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956b122e41273aa5/Documentos/PDW/"/>
    </mc:Choice>
  </mc:AlternateContent>
  <xr:revisionPtr revIDLastSave="0" documentId="8_{0080C060-946E-4287-AED9-2EC7ADC87156}" xr6:coauthVersionLast="47" xr6:coauthVersionMax="47" xr10:uidLastSave="{00000000-0000-0000-0000-000000000000}"/>
  <bookViews>
    <workbookView xWindow="-120" yWindow="-120" windowWidth="29040" windowHeight="15720" tabRatio="1000" firstSheet="21" activeTab="21" xr2:uid="{00000000-000D-0000-FFFF-FFFF00000000}"/>
  </bookViews>
  <sheets>
    <sheet name="TEMPLATE_empty" sheetId="126" r:id="rId1"/>
    <sheet name="GUIDING" sheetId="125" r:id="rId2"/>
    <sheet name="General_din_reports" sheetId="129" r:id="rId3"/>
    <sheet name="DR_001" sheetId="130" r:id="rId4"/>
    <sheet name="DR_002" sheetId="131" r:id="rId5"/>
    <sheet name="GamesWishList" sheetId="132" r:id="rId6"/>
    <sheet name="Tarot_Decks" sheetId="92" r:id="rId7"/>
    <sheet name="CdBr" sheetId="104" r:id="rId8"/>
    <sheet name="Action Figures" sheetId="1" r:id="rId9"/>
    <sheet name="Planejamento 2014" sheetId="88" r:id="rId10"/>
    <sheet name="Combustivel P208 Griffe Busines" sheetId="103" r:id="rId11"/>
    <sheet name="Senhas" sheetId="5" r:id="rId12"/>
    <sheet name="Documentos" sheetId="28" r:id="rId13"/>
    <sheet name="FGTS" sheetId="27" r:id="rId14"/>
    <sheet name="Movimentações" sheetId="8" r:id="rId15"/>
    <sheet name="ATIVAS" sheetId="137" r:id="rId16"/>
    <sheet name="DadosBancarios" sheetId="7" r:id="rId17"/>
    <sheet name="Financ_AP_01" sheetId="144" r:id="rId18"/>
    <sheet name="CARTOES" sheetId="6" r:id="rId19"/>
    <sheet name="Faturas de Cartão" sheetId="119" r:id="rId20"/>
    <sheet name="TiposLancamentos" sheetId="10" r:id="rId21"/>
    <sheet name="Amazon_Master" sheetId="133" r:id="rId22"/>
    <sheet name="Despesas" sheetId="11" r:id="rId23"/>
    <sheet name="ItaU" sheetId="16" r:id="rId24"/>
    <sheet name="ItauUniclassVisa" sheetId="128" r:id="rId25"/>
    <sheet name="ITI_Itau_CC" sheetId="124" r:id="rId26"/>
    <sheet name="MercadoPago_CC" sheetId="122" r:id="rId27"/>
    <sheet name="MercadoPago_Visa" sheetId="123" r:id="rId28"/>
    <sheet name="Nubank_ContaC" sheetId="106" r:id="rId29"/>
    <sheet name="NUBank_Master" sheetId="97" r:id="rId30"/>
    <sheet name="XP_Inv_ContaC" sheetId="116" r:id="rId31"/>
    <sheet name="XP_Inv_Visa" sheetId="115" r:id="rId32"/>
    <sheet name="Parcelamentos" sheetId="22" r:id="rId33"/>
    <sheet name="Resumo_Parcelamentos" sheetId="23" r:id="rId34"/>
    <sheet name="Vendas_diversas" sheetId="110" r:id="rId35"/>
    <sheet name="INATIVAS" sheetId="138" r:id="rId36"/>
    <sheet name="Amex" sheetId="54" r:id="rId37"/>
    <sheet name="Amex_2010" sheetId="19" r:id="rId38"/>
    <sheet name="Banco1" sheetId="48" r:id="rId39"/>
    <sheet name="Banco1MasterCard" sheetId="50" r:id="rId40"/>
    <sheet name="Banespa" sheetId="42" r:id="rId41"/>
    <sheet name="BTG_Pactual" sheetId="136" r:id="rId42"/>
    <sheet name="Carefour" sheetId="39" r:id="rId43"/>
    <sheet name="CartaoSubMaRiNo" sheetId="64" r:id="rId44"/>
    <sheet name="CEF" sheetId="90" r:id="rId45"/>
    <sheet name="CitiBank" sheetId="55" r:id="rId46"/>
    <sheet name="CitibankVisa" sheetId="58" r:id="rId47"/>
    <sheet name="CitiBankMastercard" sheetId="59" r:id="rId48"/>
    <sheet name="CrediCard_Master" sheetId="102" r:id="rId49"/>
    <sheet name="DigioVisa" sheetId="99" r:id="rId50"/>
    <sheet name="HSBC" sheetId="43" r:id="rId51"/>
    <sheet name="HSBCVisa" sheetId="45" r:id="rId52"/>
    <sheet name="ItauVisa" sheetId="20" r:id="rId53"/>
    <sheet name="ItauMasterCard" sheetId="21" r:id="rId54"/>
    <sheet name="MagaLu_Visa_Plat" sheetId="121" r:id="rId55"/>
    <sheet name="Santander" sheetId="93" r:id="rId56"/>
    <sheet name="Santander_Master" sheetId="94" r:id="rId57"/>
    <sheet name="PortoSeguro_Master" sheetId="127" r:id="rId58"/>
    <sheet name="PortoSeguroVisa" sheetId="63" r:id="rId59"/>
    <sheet name="PoupanCaItau" sheetId="29" r:id="rId60"/>
    <sheet name="Real" sheetId="60" r:id="rId61"/>
    <sheet name="Real_2007" sheetId="13" r:id="rId62"/>
    <sheet name="RealVisa" sheetId="61" r:id="rId63"/>
    <sheet name="RealVisa_2007" sheetId="18" r:id="rId64"/>
    <sheet name="Trigg_Visa" sheetId="101" r:id="rId65"/>
    <sheet name="UnibancoVisa" sheetId="51" r:id="rId66"/>
    <sheet name="CHEQUES PRE-DATADOS" sheetId="139" r:id="rId67"/>
    <sheet name="Banco1 Cheques Pre" sheetId="52" r:id="rId68"/>
    <sheet name="CitiBank Cheques Pre" sheetId="57" r:id="rId69"/>
    <sheet name="HSBC Cheques Pre" sheetId="46" r:id="rId70"/>
    <sheet name="Itau_Cheques_pre" sheetId="24" r:id="rId71"/>
    <sheet name="Real Cheques Pre" sheetId="62" r:id="rId72"/>
    <sheet name="Real2007_Cheques_pre" sheetId="14" r:id="rId73"/>
    <sheet name="Santander_Cheques_Pre" sheetId="95" r:id="rId74"/>
    <sheet name="Financiamentos" sheetId="140" r:id="rId75"/>
    <sheet name="HSBC Financiamentos" sheetId="47" r:id="rId76"/>
    <sheet name="Financ_Itau_2020" sheetId="105" r:id="rId77"/>
    <sheet name="Banco1 Financiamento" sheetId="53" r:id="rId78"/>
    <sheet name="Financ_NuBank_2022" sheetId="120" r:id="rId79"/>
    <sheet name="Financ_NuBank_2025" sheetId="143" r:id="rId80"/>
    <sheet name="Financiamentos Santander" sheetId="87" r:id="rId81"/>
    <sheet name="Financ_NuBank_2021" sheetId="114" r:id="rId82"/>
    <sheet name="IRPF" sheetId="141" r:id="rId83"/>
    <sheet name="IRPF 2004" sheetId="65" r:id="rId84"/>
    <sheet name="IRPF 2005" sheetId="66" r:id="rId85"/>
    <sheet name="IRPF 2006" sheetId="67" r:id="rId86"/>
    <sheet name="IRPF 2007" sheetId="68" r:id="rId87"/>
    <sheet name="IRPF 2008" sheetId="69" r:id="rId88"/>
    <sheet name="IRPF 2009" sheetId="70" r:id="rId89"/>
    <sheet name="IRPF 2010" sheetId="71" r:id="rId90"/>
    <sheet name="IRPF 2011" sheetId="72" r:id="rId91"/>
    <sheet name="IRPF 2012" sheetId="17" r:id="rId92"/>
    <sheet name="IRPF 2013" sheetId="83" r:id="rId93"/>
    <sheet name="IRPF 2014" sheetId="84" r:id="rId94"/>
    <sheet name="IRPF 2015" sheetId="89" r:id="rId95"/>
    <sheet name="IRPF 2016" sheetId="91" r:id="rId96"/>
    <sheet name="IRPF 2017" sheetId="98" r:id="rId97"/>
    <sheet name="IRPF 2018" sheetId="100" r:id="rId98"/>
    <sheet name="IRPF 2019" sheetId="111" r:id="rId99"/>
    <sheet name="IRPF 2020" sheetId="112" r:id="rId100"/>
    <sheet name="IRPF 2021" sheetId="113" r:id="rId101"/>
    <sheet name="IRPF 2022" sheetId="117" r:id="rId102"/>
    <sheet name="IRPF 2023" sheetId="118" r:id="rId103"/>
    <sheet name="IRPF 2024" sheetId="134" r:id="rId104"/>
    <sheet name="IRPF 2025" sheetId="135" r:id="rId105"/>
    <sheet name="GERAIS" sheetId="142" r:id="rId106"/>
    <sheet name="Contas Telefonicas_LDB" sheetId="77" r:id="rId107"/>
    <sheet name="Contas Telefonicas_BSB" sheetId="78" r:id="rId108"/>
    <sheet name="Combustivel_Titan125" sheetId="79" r:id="rId109"/>
    <sheet name="Combustivel_Twister250" sheetId="80" r:id="rId110"/>
    <sheet name="Combustivel_Peugeot206" sheetId="81" r:id="rId111"/>
    <sheet name="Combustivel_Peugeot207" sheetId="82" r:id="rId112"/>
    <sheet name="Combustivel P207-1.6-XS" sheetId="2" r:id="rId113"/>
    <sheet name="Combustivel Ecosport 2.0 XLT" sheetId="85" r:id="rId114"/>
    <sheet name=" Ecosport 2.0 XLT" sheetId="86" r:id="rId115"/>
    <sheet name="Telefones Uteis" sheetId="25" r:id="rId116"/>
    <sheet name="Grupos Contatos" sheetId="26" r:id="rId117"/>
    <sheet name="Pendencias" sheetId="74" r:id="rId118"/>
    <sheet name="Status" sheetId="75" r:id="rId119"/>
    <sheet name="Notas Adicionais" sheetId="76" r:id="rId120"/>
    <sheet name="Contas Telefonicas_SPO" sheetId="32" r:id="rId121"/>
    <sheet name="Filmes" sheetId="33" r:id="rId122"/>
    <sheet name="Livros" sheetId="34" r:id="rId123"/>
    <sheet name="Lista de DVDs" sheetId="38" r:id="rId124"/>
    <sheet name="WindowsXP" sheetId="40" r:id="rId125"/>
    <sheet name="Lista de CDs" sheetId="37" r:id="rId126"/>
    <sheet name="Médias" sheetId="41" r:id="rId127"/>
    <sheet name="Games" sheetId="36" r:id="rId128"/>
  </sheets>
  <definedNames>
    <definedName name="_1Excel_BuiltIn__FilterDatabase_12_1">Real_2007!$A$1:$F$4604</definedName>
    <definedName name="_xlnm._FilterDatabase" localSheetId="8" hidden="1">'Action Figures'!$A$1:$F$18</definedName>
    <definedName name="_xlnm._FilterDatabase" localSheetId="21" hidden="1">Amazon_Master!$A$1:$G$1028</definedName>
    <definedName name="_xlnm._FilterDatabase" localSheetId="39" hidden="1">Banco1MasterCard!$A$1:$F$160</definedName>
    <definedName name="_xlnm._FilterDatabase" localSheetId="40" hidden="1">Banespa!$A$1:$F$81</definedName>
    <definedName name="_xlnm._FilterDatabase" localSheetId="42" hidden="1">Carefour!$A$1:$F$53</definedName>
    <definedName name="_xlnm._FilterDatabase" localSheetId="18" hidden="1">CARTOES!$A$1:$K$57</definedName>
    <definedName name="_xlnm._FilterDatabase" localSheetId="44" hidden="1">CEF!$A$1:$E$308</definedName>
    <definedName name="_xlnm._FilterDatabase" localSheetId="45" hidden="1">CitiBank!$A$1:$F$483</definedName>
    <definedName name="_xlnm._FilterDatabase" localSheetId="47" hidden="1">CitiBankMastercard!$A$1:$F$180</definedName>
    <definedName name="_xlnm._FilterDatabase" localSheetId="46" hidden="1">CitibankVisa!$A$1:$F$209</definedName>
    <definedName name="_xlnm._FilterDatabase" localSheetId="48" hidden="1">CrediCard_Master!$A$1:$G$1036</definedName>
    <definedName name="_xlnm._FilterDatabase" localSheetId="22" hidden="1">Despesas!$A$1:$F$4132</definedName>
    <definedName name="_xlnm._FilterDatabase" localSheetId="49" hidden="1">DigioVisa!$A$1:$G$263</definedName>
    <definedName name="_xlnm._FilterDatabase" localSheetId="121" hidden="1">Filmes!$A$1:$F$375</definedName>
    <definedName name="_xlnm._FilterDatabase" localSheetId="78" hidden="1">Financ_NuBank_2022!$A$1:$J$25</definedName>
    <definedName name="_xlnm._FilterDatabase" localSheetId="127" hidden="1">Games!$A$1:$D$32</definedName>
    <definedName name="_xlnm._FilterDatabase" localSheetId="5" hidden="1">GamesWishList!$A$1:$E$191</definedName>
    <definedName name="_xlnm._FilterDatabase" localSheetId="50" hidden="1">HSBC!$A$1:$F$943</definedName>
    <definedName name="_xlnm._FilterDatabase" localSheetId="51" hidden="1">HSBCVisa!$A$1:$F$92</definedName>
    <definedName name="_xlnm._FilterDatabase" localSheetId="23" hidden="1">ItaU!$A$1:$G$9384</definedName>
    <definedName name="_xlnm._FilterDatabase" localSheetId="53" hidden="1">ItauMasterCard!$A$1:$G$476</definedName>
    <definedName name="_xlnm._FilterDatabase" localSheetId="24" hidden="1">ItauUniclassVisa!$A$1:$G$804</definedName>
    <definedName name="_xlnm._FilterDatabase" localSheetId="52" hidden="1">ItauVisa!$A$1:$G$1426</definedName>
    <definedName name="_xlnm._FilterDatabase" localSheetId="125" hidden="1">'Lista de CDs'!$A$1:$E$131</definedName>
    <definedName name="_xlnm._FilterDatabase" localSheetId="123" hidden="1">'Lista de DVDs'!$A$1:$D$73</definedName>
    <definedName name="_xlnm._FilterDatabase" localSheetId="28" hidden="1">Nubank_ContaC!$A$1:$G$826</definedName>
    <definedName name="_xlnm._FilterDatabase" localSheetId="29" hidden="1">NUBank_Master!$A$1:$G$1778</definedName>
    <definedName name="_xlnm._FilterDatabase" localSheetId="32" hidden="1">Parcelamentos!$G$2625:$H$2627</definedName>
    <definedName name="_xlnm._FilterDatabase" localSheetId="117" hidden="1">Pendencias!$A$1:$G$596</definedName>
    <definedName name="_xlnm._FilterDatabase" localSheetId="9" hidden="1">'Planejamento 2014'!$A$1:$D$21</definedName>
    <definedName name="_xlnm._FilterDatabase" localSheetId="58" hidden="1">PortoSeguroVisa!$A$1:$G$647</definedName>
    <definedName name="_xlnm._FilterDatabase" localSheetId="59" hidden="1">PoupanCaItau!$A$1:$F$199</definedName>
    <definedName name="_xlnm._FilterDatabase" localSheetId="60" hidden="1">Real!$A$1:$F$581</definedName>
    <definedName name="_xlnm._FilterDatabase" localSheetId="61" hidden="1">Real_2007!$A$1:$F$4621</definedName>
    <definedName name="_xlnm._FilterDatabase" localSheetId="62" hidden="1">RealVisa!$A$1:$F$277</definedName>
    <definedName name="_xlnm._FilterDatabase" localSheetId="63" hidden="1">RealVisa_2007!$A$1:$G$2263</definedName>
    <definedName name="_xlnm._FilterDatabase" localSheetId="55" hidden="1">Santander!$A$1:$G$2209</definedName>
    <definedName name="_xlnm._FilterDatabase" localSheetId="56" hidden="1">Santander_Master!$A$1:$G$2435</definedName>
    <definedName name="_xlnm._FilterDatabase" localSheetId="11" hidden="1">Senhas!$A$1:$F$161</definedName>
    <definedName name="_xlnm._FilterDatabase" localSheetId="6" hidden="1">Tarot_Decks!$A$1:$K$193</definedName>
    <definedName name="_xlnm._FilterDatabase" localSheetId="115" hidden="1">'Telefones Uteis'!$A$1:$I$120</definedName>
    <definedName name="_xlnm._FilterDatabase" localSheetId="65" hidden="1">UnibancoVisa!$A$1:$F$70</definedName>
    <definedName name="_xlnm._FilterDatabase" localSheetId="34" hidden="1">Vendas_diversas!$A$1:$H$64</definedName>
    <definedName name="_xlnm._FilterDatabase" localSheetId="30" hidden="1">XP_Inv_ContaC!$A$1:$G$6</definedName>
    <definedName name="_xlnm._FilterDatabase" localSheetId="31" hidden="1">XP_Inv_Visa!$A$1:$G$1490</definedName>
    <definedName name="dois">IF(#REF!="X",0,#REF!)</definedName>
    <definedName name="Excel_BuiltIn__FilterDatabase_10_1">ItaU!$A$1:$E$1390</definedName>
    <definedName name="Excel_BuiltIn__FilterDatabase_12_1">ItauVisa!$A$1:$F$21</definedName>
    <definedName name="Excel_BuiltIn__FilterDatabase_13">ItauMasterCard!$A$1:$F$471</definedName>
    <definedName name="Excel_BuiltIn__FilterDatabase_16">RealVisa_2007!$A$1:$F$621</definedName>
    <definedName name="Excel_BuiltIn__FilterDatabase_16_1">Parcelamentos!$A$1:$G$662</definedName>
    <definedName name="Excel_BuiltIn__FilterDatabase_18">ItauVisa!$A$1:$F$1421</definedName>
    <definedName name="Excel_BuiltIn__FilterDatabase_19">ItauMasterCard!$A$1:$F$477</definedName>
    <definedName name="Excel_BuiltIn__FilterDatabase_25_1">PoupanCaItau!$A$1:$E$1</definedName>
    <definedName name="Excel_BuiltIn__FilterDatabase_44">Banespa!$A$1:$F$78</definedName>
    <definedName name="Excel_BuiltIn__FilterDatabase_45">HSBC!$A$1:$E$943</definedName>
    <definedName name="Excel_BuiltIn__FilterDatabase_47">HSBCVisa!$A$1:$F$94</definedName>
    <definedName name="Excel_BuiltIn__FilterDatabase_49">Banco1MasterCard!$A$1:$F$160</definedName>
    <definedName name="Excel_BuiltIn__FilterDatabase_5">CARTOES!$A$1:$K$25</definedName>
    <definedName name="Excel_BuiltIn__FilterDatabase_50">Banco1!$A$1:$E$795</definedName>
    <definedName name="Excel_BuiltIn__FilterDatabase_52">Banco1MasterCard!$A$1:$F$160</definedName>
    <definedName name="Excel_BuiltIn__FilterDatabase_53">UnibancoVisa!$A$1:$F$62</definedName>
    <definedName name="Excel_BuiltIn__FilterDatabase_56">Amex!$A$1:$F$1</definedName>
    <definedName name="Excel_BuiltIn__FilterDatabase_57">CitiBank!$A$1:$E$475</definedName>
    <definedName name="Excel_BuiltIn__FilterDatabase_60">CitibankVisa!$A$1:$F$209</definedName>
    <definedName name="Excel_BuiltIn__FilterDatabase_61">CitiBankMastercard!$A$1:$F$180</definedName>
    <definedName name="Excel_BuiltIn__FilterDatabase_62">Real!$A$1:$E$581</definedName>
    <definedName name="Excel_BuiltIn__FilterDatabase_63">RealVisa!$A$1:$F$277</definedName>
    <definedName name="Excel_BuiltIn__FilterDatabase_7">TiposLancamentos!$A$1:$B$105</definedName>
    <definedName name="Excel_BuiltIn__FilterDatabase_8">Despesas!$A$1:$E$4128</definedName>
    <definedName name="SHARED_FORMULA_0" localSheetId="24">IF(#REF!="X",0,#REF!)</definedName>
    <definedName name="SHARED_FORMULA_0" localSheetId="25">IF(#REF!="X",0,#REF!)</definedName>
    <definedName name="SHARED_FORMULA_0" localSheetId="28">IF(#REF!="X",0,#REF!)</definedName>
    <definedName name="SHARED_FORMULA_0" localSheetId="57">IF(#REF!="X",0,#REF!)</definedName>
    <definedName name="SHARED_FORMULA_0" localSheetId="0">IF(#REF!="X",0,#REF!)</definedName>
    <definedName name="SHARED_FORMULA_0">IF(#REF!="X",0,#REF!)</definedName>
    <definedName name="SHARED_FORMULA_1" localSheetId="24">IF(#REF!="X",0,#REF!)</definedName>
    <definedName name="SHARED_FORMULA_1" localSheetId="25">IF(#REF!="X",0,#REF!)</definedName>
    <definedName name="SHARED_FORMULA_1" localSheetId="28">IF(#REF!="X",0,#REF!)</definedName>
    <definedName name="SHARED_FORMULA_1" localSheetId="57">IF(#REF!="X",0,#REF!)</definedName>
    <definedName name="SHARED_FORMULA_1" localSheetId="0">IF(#REF!="X",0,#REF!)</definedName>
    <definedName name="SHARED_FORMULA_1">IF(#REF!="X",0,#REF!)</definedName>
    <definedName name="SHARED_FORMULA_2" localSheetId="24">IF(#REF!="X",0,#REF!)</definedName>
    <definedName name="SHARED_FORMULA_2" localSheetId="25">IF(#REF!="X",0,#REF!)</definedName>
    <definedName name="SHARED_FORMULA_2" localSheetId="28">IF(#REF!="X",0,#REF!)</definedName>
    <definedName name="SHARED_FORMULA_2" localSheetId="57">IF(#REF!="X",0,#REF!)</definedName>
    <definedName name="SHARED_FORMULA_2" localSheetId="0">IF(#REF!="X",0,#REF!)</definedName>
    <definedName name="SHARED_FORMULA_2">IF(#REF!="X",0,#REF!)</definedName>
    <definedName name="SHARED_FORMULA_3" localSheetId="24">#REF!+1</definedName>
    <definedName name="SHARED_FORMULA_3" localSheetId="25">#REF!+1</definedName>
    <definedName name="SHARED_FORMULA_3" localSheetId="28">#REF!+1</definedName>
    <definedName name="SHARED_FORMULA_3" localSheetId="57">#REF!+1</definedName>
    <definedName name="SHARED_FORMULA_3" localSheetId="0">#REF!+1</definedName>
    <definedName name="SHARED_FORMULA_3">#REF!+1</definedName>
    <definedName name="SHARED_FORMULA_4" localSheetId="24">#REF!+1</definedName>
    <definedName name="SHARED_FORMULA_4" localSheetId="25">#REF!+1</definedName>
    <definedName name="SHARED_FORMULA_4" localSheetId="28">#REF!+1</definedName>
    <definedName name="SHARED_FORMULA_4" localSheetId="57">#REF!+1</definedName>
    <definedName name="SHARED_FORMULA_4" localSheetId="0">#REF!+1</definedName>
    <definedName name="SHARED_FORMULA_4">#REF!+1</definedName>
    <definedName name="SHARED_FORMULA_5" localSheetId="24">#REF!+1</definedName>
    <definedName name="SHARED_FORMULA_5" localSheetId="25">#REF!+1</definedName>
    <definedName name="SHARED_FORMULA_5" localSheetId="28">#REF!+1</definedName>
    <definedName name="SHARED_FORMULA_5" localSheetId="57">#REF!+1</definedName>
    <definedName name="SHARED_FORMULA_5" localSheetId="0">#REF!+1</definedName>
    <definedName name="SHARED_FORMULA_5">#REF!+1</definedName>
    <definedName name="SHARED_FORMULA_6" localSheetId="24">#REF!+1</definedName>
    <definedName name="SHARED_FORMULA_6" localSheetId="25">#REF!+1</definedName>
    <definedName name="SHARED_FORMULA_6" localSheetId="28">#REF!+1</definedName>
    <definedName name="SHARED_FORMULA_6" localSheetId="57">#REF!+1</definedName>
    <definedName name="SHARED_FORMULA_6" localSheetId="0">#REF!+1</definedName>
    <definedName name="SHARED_FORMULA_6">#REF!+1</definedName>
    <definedName name="SHARED_FORMULA_7" localSheetId="24">#REF!*#REF!</definedName>
    <definedName name="SHARED_FORMULA_7" localSheetId="25">#REF!*#REF!</definedName>
    <definedName name="SHARED_FORMULA_7" localSheetId="28">#REF!*#REF!</definedName>
    <definedName name="SHARED_FORMULA_7" localSheetId="57">#REF!*#REF!</definedName>
    <definedName name="SHARED_FORMULA_7" localSheetId="0">#REF!*#REF!</definedName>
    <definedName name="SHARED_FORMULA_7">#REF!*#REF!</definedName>
    <definedName name="TABLE" localSheetId="24">#REF!</definedName>
    <definedName name="TABLE" localSheetId="25">#REF!</definedName>
    <definedName name="TABLE" localSheetId="28">#REF!</definedName>
    <definedName name="TABLE" localSheetId="57">#REF!</definedName>
    <definedName name="TABLE" localSheetId="0">#REF!</definedName>
    <definedName name="TABLE">#REF!</definedName>
    <definedName name="TABLE___19">HSBC!$C$7:$C$7</definedName>
    <definedName name="TABLE_2">HSBC!$C$7:$C$7</definedName>
    <definedName name="TABLE_3">HSBC!$C$19:$C$19</definedName>
    <definedName name="TABLE_4">HSBC!$C$19:$C$19</definedName>
    <definedName name="TABLE_5">HSBC!$C$19:$C$19</definedName>
    <definedName name="TABLE_6">HSBC!$C$19:$C$19</definedName>
    <definedName name="TABLE_7">HSBC!$C$750:$C$750</definedName>
    <definedName name="tres">IF(#REF!="X",0,#REF!)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7" i="133" l="1"/>
  <c r="B994" i="133"/>
  <c r="B996" i="133"/>
  <c r="B989" i="133"/>
  <c r="B995" i="133"/>
  <c r="B993" i="133"/>
  <c r="B992" i="133"/>
  <c r="B981" i="133"/>
  <c r="B990" i="133"/>
  <c r="B985" i="133"/>
  <c r="B9346" i="16"/>
  <c r="B9345" i="16"/>
  <c r="B9344" i="16"/>
  <c r="B9343" i="16"/>
  <c r="B9341" i="16"/>
  <c r="B9340" i="16"/>
  <c r="B986" i="133"/>
  <c r="B988" i="133"/>
  <c r="B987" i="133"/>
  <c r="B983" i="133"/>
  <c r="B738" i="128"/>
  <c r="B984" i="133"/>
  <c r="B980" i="133"/>
  <c r="B978" i="133"/>
  <c r="B982" i="133"/>
  <c r="B956" i="133"/>
  <c r="B979" i="133"/>
  <c r="B976" i="133"/>
  <c r="B972" i="133"/>
  <c r="B977" i="133"/>
  <c r="B973" i="133"/>
  <c r="B965" i="133"/>
  <c r="B975" i="133"/>
  <c r="B896" i="133"/>
  <c r="B974" i="133"/>
  <c r="B967" i="133"/>
  <c r="B969" i="133"/>
  <c r="B9339" i="16"/>
  <c r="B766" i="128"/>
  <c r="B730" i="128"/>
  <c r="B971" i="133"/>
  <c r="B968" i="133"/>
  <c r="B970" i="133"/>
  <c r="B959" i="133"/>
  <c r="B964" i="133"/>
  <c r="B966" i="133"/>
  <c r="B955" i="133"/>
  <c r="B963" i="133"/>
  <c r="B960" i="133"/>
  <c r="B958" i="133"/>
  <c r="B962" i="133"/>
  <c r="B961" i="133"/>
  <c r="F962" i="133"/>
  <c r="B9338" i="16"/>
  <c r="B9336" i="16"/>
  <c r="B9335" i="16"/>
  <c r="B9333" i="16"/>
  <c r="B765" i="128"/>
  <c r="B754" i="128"/>
  <c r="B957" i="133"/>
  <c r="B764" i="128"/>
  <c r="B763" i="128"/>
  <c r="B954" i="133"/>
  <c r="E955" i="133"/>
  <c r="B9334" i="16"/>
  <c r="B762" i="128"/>
  <c r="F806" i="106"/>
  <c r="B806" i="106"/>
  <c r="B761" i="128"/>
  <c r="B1577" i="97"/>
  <c r="B1567" i="97"/>
  <c r="B1576" i="97"/>
  <c r="B1570" i="97"/>
  <c r="B1578" i="97"/>
  <c r="B1565" i="97"/>
  <c r="B953" i="133"/>
  <c r="B880" i="133"/>
  <c r="B952" i="133"/>
  <c r="B759" i="128"/>
  <c r="B748" i="128"/>
  <c r="B760" i="128"/>
  <c r="B9332" i="16"/>
  <c r="B9331" i="16"/>
  <c r="B9330" i="16"/>
  <c r="B9329" i="16"/>
  <c r="B9328" i="16"/>
  <c r="B758" i="128"/>
  <c r="B752" i="128"/>
  <c r="B757" i="128"/>
  <c r="B751" i="128"/>
  <c r="B756" i="128"/>
  <c r="B755" i="128"/>
  <c r="B753" i="128"/>
  <c r="B750" i="128"/>
  <c r="B950" i="133"/>
  <c r="B946" i="133"/>
  <c r="B739" i="128"/>
  <c r="B949" i="133"/>
  <c r="B945" i="133"/>
  <c r="F174" i="123"/>
  <c r="F175" i="123" s="1"/>
  <c r="F9347" i="16"/>
  <c r="B747" i="128"/>
  <c r="B948" i="133"/>
  <c r="B737" i="128"/>
  <c r="B732" i="128"/>
  <c r="B742" i="128"/>
  <c r="B740" i="128"/>
  <c r="B947" i="133"/>
  <c r="B941" i="133"/>
  <c r="B942" i="133"/>
  <c r="B746" i="128"/>
  <c r="B743" i="128"/>
  <c r="B944" i="133"/>
  <c r="B943" i="133"/>
  <c r="F745" i="128"/>
  <c r="B744" i="128"/>
  <c r="B745" i="128"/>
  <c r="B934" i="133"/>
  <c r="B9326" i="16"/>
  <c r="B720" i="128"/>
  <c r="B9325" i="16"/>
  <c r="B9323" i="16"/>
  <c r="F9324" i="16"/>
  <c r="B937" i="133"/>
  <c r="B741" i="128"/>
  <c r="B1572" i="97"/>
  <c r="B1562" i="97"/>
  <c r="B939" i="133"/>
  <c r="B940" i="133"/>
  <c r="B938" i="133"/>
  <c r="B936" i="133"/>
  <c r="F788" i="128"/>
  <c r="C65" i="119" s="1"/>
  <c r="B935" i="133"/>
  <c r="F779" i="128"/>
  <c r="C64" i="119" s="1"/>
  <c r="F749" i="128"/>
  <c r="B734" i="128"/>
  <c r="B713" i="128"/>
  <c r="B736" i="128"/>
  <c r="B714" i="128"/>
  <c r="B933" i="133"/>
  <c r="B931" i="133"/>
  <c r="B932" i="133"/>
  <c r="B928" i="133"/>
  <c r="B930" i="133"/>
  <c r="B929" i="133"/>
  <c r="M145" i="27"/>
  <c r="B927" i="133"/>
  <c r="B925" i="133"/>
  <c r="B924" i="133"/>
  <c r="B926" i="133"/>
  <c r="B916" i="133"/>
  <c r="B922" i="133"/>
  <c r="B923" i="133"/>
  <c r="B921" i="133"/>
  <c r="B733" i="128"/>
  <c r="B918" i="133"/>
  <c r="B731" i="128"/>
  <c r="B920" i="133"/>
  <c r="B919" i="133"/>
  <c r="B9322" i="16"/>
  <c r="B9321" i="16"/>
  <c r="F9319" i="16"/>
  <c r="B9319" i="16"/>
  <c r="B9318" i="16"/>
  <c r="B9317" i="16"/>
  <c r="B9316" i="16"/>
  <c r="B9315" i="16"/>
  <c r="B917" i="133"/>
  <c r="B914" i="133"/>
  <c r="B912" i="133"/>
  <c r="B913" i="133"/>
  <c r="B719" i="128"/>
  <c r="B9313" i="16"/>
  <c r="B9312" i="16"/>
  <c r="B911" i="133"/>
  <c r="B905" i="133"/>
  <c r="B910" i="133"/>
  <c r="B909" i="133"/>
  <c r="B866" i="133"/>
  <c r="B908" i="133"/>
  <c r="B907" i="133"/>
  <c r="B900" i="133"/>
  <c r="B906" i="133"/>
  <c r="B901" i="133"/>
  <c r="B904" i="133"/>
  <c r="B903" i="133"/>
  <c r="B902" i="133"/>
  <c r="B899" i="133"/>
  <c r="B898" i="133"/>
  <c r="H2607" i="22"/>
  <c r="G2614" i="22"/>
  <c r="G2603" i="22"/>
  <c r="G2594" i="22"/>
  <c r="E1012" i="133"/>
  <c r="E975" i="133"/>
  <c r="E896" i="133"/>
  <c r="B897" i="133"/>
  <c r="B804" i="106"/>
  <c r="B895" i="133"/>
  <c r="B893" i="133"/>
  <c r="B1569" i="97"/>
  <c r="B1559" i="97"/>
  <c r="B894" i="133"/>
  <c r="B891" i="133"/>
  <c r="B890" i="133"/>
  <c r="B892" i="133"/>
  <c r="B885" i="133"/>
  <c r="B889" i="133"/>
  <c r="B879" i="133"/>
  <c r="B9311" i="16"/>
  <c r="B9310" i="16"/>
  <c r="B9309" i="16"/>
  <c r="B888" i="133"/>
  <c r="B886" i="133"/>
  <c r="B887" i="133"/>
  <c r="B9308" i="16"/>
  <c r="B9307" i="16"/>
  <c r="B9305" i="16"/>
  <c r="B729" i="128"/>
  <c r="B728" i="128"/>
  <c r="B884" i="133"/>
  <c r="B883" i="133"/>
  <c r="B882" i="133"/>
  <c r="B878" i="133"/>
  <c r="B881" i="133"/>
  <c r="H2596" i="22"/>
  <c r="G2602" i="22"/>
  <c r="G2593" i="22"/>
  <c r="E953" i="133"/>
  <c r="B874" i="133"/>
  <c r="E880" i="133"/>
  <c r="B1568" i="97"/>
  <c r="B875" i="133"/>
  <c r="B877" i="133"/>
  <c r="B876" i="133"/>
  <c r="B873" i="133"/>
  <c r="B872" i="133"/>
  <c r="H2625" i="22"/>
  <c r="H2637" i="22"/>
  <c r="G2633" i="22"/>
  <c r="G2627" i="22"/>
  <c r="G2621" i="22"/>
  <c r="G2613" i="22"/>
  <c r="G2601" i="22"/>
  <c r="G2592" i="22"/>
  <c r="B1558" i="97"/>
  <c r="F1641" i="97"/>
  <c r="D69" i="119" s="1"/>
  <c r="E1624" i="97"/>
  <c r="F1631" i="97" s="1"/>
  <c r="D68" i="119" s="1"/>
  <c r="E1614" i="97"/>
  <c r="F1621" i="97" s="1"/>
  <c r="E1604" i="97"/>
  <c r="E1593" i="97"/>
  <c r="B867" i="133"/>
  <c r="B871" i="133"/>
  <c r="B859" i="133"/>
  <c r="B858" i="133"/>
  <c r="B722" i="128"/>
  <c r="B9306" i="16"/>
  <c r="B727" i="128"/>
  <c r="B723" i="128"/>
  <c r="B864" i="133"/>
  <c r="B726" i="128"/>
  <c r="B870" i="133"/>
  <c r="B9302" i="16"/>
  <c r="B9304" i="16"/>
  <c r="B9303" i="16"/>
  <c r="B9300" i="16"/>
  <c r="B1566" i="97"/>
  <c r="B1555" i="97"/>
  <c r="B1556" i="97"/>
  <c r="B803" i="106"/>
  <c r="B862" i="133"/>
  <c r="B865" i="133"/>
  <c r="B861" i="133"/>
  <c r="B863" i="133"/>
  <c r="B9298" i="16"/>
  <c r="B9291" i="16"/>
  <c r="B9297" i="16"/>
  <c r="B855" i="133"/>
  <c r="B857" i="133"/>
  <c r="B718" i="128"/>
  <c r="B606" i="128"/>
  <c r="B9295" i="16"/>
  <c r="B651" i="128"/>
  <c r="B860" i="133"/>
  <c r="B721" i="128"/>
  <c r="B847" i="133"/>
  <c r="B856" i="133"/>
  <c r="B848" i="133"/>
  <c r="B716" i="128"/>
  <c r="B840" i="133"/>
  <c r="B854" i="133"/>
  <c r="B844" i="133"/>
  <c r="B853" i="133"/>
  <c r="B852" i="133"/>
  <c r="B843" i="133"/>
  <c r="E854" i="133"/>
  <c r="G2600" i="22"/>
  <c r="G2612" i="22"/>
  <c r="G2591" i="22"/>
  <c r="E1587" i="97"/>
  <c r="E1572" i="97"/>
  <c r="E1562" i="97"/>
  <c r="B851" i="133"/>
  <c r="B849" i="133"/>
  <c r="B850" i="133"/>
  <c r="B846" i="133"/>
  <c r="B845" i="133"/>
  <c r="B717" i="128"/>
  <c r="B709" i="128"/>
  <c r="B9293" i="16"/>
  <c r="B9296" i="16" s="1"/>
  <c r="B836" i="133"/>
  <c r="B842" i="133"/>
  <c r="F844" i="133"/>
  <c r="B841" i="133"/>
  <c r="B838" i="133"/>
  <c r="B839" i="133"/>
  <c r="B824" i="133"/>
  <c r="B4114" i="11"/>
  <c r="F170" i="123"/>
  <c r="F62" i="119" s="1"/>
  <c r="F9294" i="16"/>
  <c r="B801" i="106"/>
  <c r="B800" i="106"/>
  <c r="B837" i="133"/>
  <c r="B833" i="133"/>
  <c r="B835" i="133"/>
  <c r="G2599" i="22"/>
  <c r="G2611" i="22"/>
  <c r="G2590" i="22"/>
  <c r="E1004" i="133"/>
  <c r="N146" i="27"/>
  <c r="O146" i="27" s="1"/>
  <c r="R146" i="27"/>
  <c r="N147" i="27"/>
  <c r="P148" i="27"/>
  <c r="O147" i="27"/>
  <c r="Q147" i="27"/>
  <c r="R147" i="27"/>
  <c r="N148" i="27"/>
  <c r="O148" i="27"/>
  <c r="Q148" i="27"/>
  <c r="R148" i="27"/>
  <c r="N149" i="27"/>
  <c r="O149" i="27"/>
  <c r="Q149" i="27"/>
  <c r="R149" i="27"/>
  <c r="N150" i="27"/>
  <c r="P151" i="27"/>
  <c r="O150" i="27"/>
  <c r="P150" i="27"/>
  <c r="Q150" i="27"/>
  <c r="R150" i="27"/>
  <c r="N151" i="27"/>
  <c r="O151" i="27"/>
  <c r="Q151" i="27"/>
  <c r="R151" i="27"/>
  <c r="N152" i="27"/>
  <c r="O152" i="27"/>
  <c r="Q152" i="27"/>
  <c r="R152" i="27"/>
  <c r="N153" i="27"/>
  <c r="O153" i="27"/>
  <c r="P153" i="27"/>
  <c r="Q153" i="27"/>
  <c r="R153" i="27"/>
  <c r="N154" i="27"/>
  <c r="P155" i="27"/>
  <c r="O154" i="27"/>
  <c r="P154" i="27"/>
  <c r="Q154" i="27"/>
  <c r="R154" i="27"/>
  <c r="N155" i="27"/>
  <c r="O155" i="27"/>
  <c r="Q155" i="27"/>
  <c r="R155" i="27"/>
  <c r="N156" i="27"/>
  <c r="O156" i="27"/>
  <c r="P156" i="27"/>
  <c r="Q156" i="27"/>
  <c r="R156" i="27"/>
  <c r="N157" i="27"/>
  <c r="P158" i="27"/>
  <c r="O157" i="27"/>
  <c r="P157" i="27"/>
  <c r="Q157" i="27"/>
  <c r="R157" i="27"/>
  <c r="N158" i="27"/>
  <c r="O158" i="27"/>
  <c r="Q158" i="27"/>
  <c r="R158" i="27"/>
  <c r="N159" i="27"/>
  <c r="O159" i="27"/>
  <c r="P159" i="27"/>
  <c r="Q159" i="27"/>
  <c r="R159" i="27"/>
  <c r="N160" i="27"/>
  <c r="P161" i="27"/>
  <c r="P160" i="27"/>
  <c r="Q160" i="27"/>
  <c r="R160" i="27"/>
  <c r="N161" i="27"/>
  <c r="O161" i="27"/>
  <c r="Q161" i="27"/>
  <c r="R161" i="27"/>
  <c r="N162" i="27"/>
  <c r="O162" i="27"/>
  <c r="P162" i="27"/>
  <c r="Q162" i="27"/>
  <c r="R162" i="27"/>
  <c r="N163" i="27"/>
  <c r="P164" i="27"/>
  <c r="O163" i="27"/>
  <c r="P163" i="27"/>
  <c r="Q163" i="27"/>
  <c r="R163" i="27"/>
  <c r="N164" i="27"/>
  <c r="O164" i="27"/>
  <c r="Q164" i="27"/>
  <c r="R164" i="27"/>
  <c r="N165" i="27"/>
  <c r="O165" i="27"/>
  <c r="Q165" i="27"/>
  <c r="R165" i="27"/>
  <c r="B834" i="133"/>
  <c r="B831" i="133"/>
  <c r="B832" i="133"/>
  <c r="B830" i="133"/>
  <c r="B705" i="128"/>
  <c r="B829" i="133"/>
  <c r="B823" i="133"/>
  <c r="B828" i="133"/>
  <c r="B9292" i="16"/>
  <c r="B712" i="128"/>
  <c r="B711" i="128"/>
  <c r="B822" i="133"/>
  <c r="F827" i="133"/>
  <c r="B827" i="133"/>
  <c r="B826" i="133"/>
  <c r="B825" i="133"/>
  <c r="B9281" i="16"/>
  <c r="B710" i="128"/>
  <c r="G224" i="103"/>
  <c r="H224" i="103"/>
  <c r="N224" i="103"/>
  <c r="I224" i="103"/>
  <c r="M224" i="103"/>
  <c r="G225" i="103"/>
  <c r="H225" i="103"/>
  <c r="J225" i="103"/>
  <c r="I225" i="103"/>
  <c r="M225" i="103"/>
  <c r="G226" i="103"/>
  <c r="H226" i="103"/>
  <c r="N226" i="103"/>
  <c r="I226" i="103"/>
  <c r="M226" i="103"/>
  <c r="K226" i="103"/>
  <c r="L226" i="103"/>
  <c r="G227" i="103"/>
  <c r="H227" i="103"/>
  <c r="I227" i="103"/>
  <c r="J227" i="103"/>
  <c r="K227" i="103"/>
  <c r="L227" i="103"/>
  <c r="M227" i="103"/>
  <c r="N227" i="103"/>
  <c r="G228" i="103"/>
  <c r="H228" i="103"/>
  <c r="N228" i="103" s="1"/>
  <c r="I228" i="103"/>
  <c r="L228" i="103" s="1"/>
  <c r="M228" i="103"/>
  <c r="G229" i="103"/>
  <c r="H229" i="103"/>
  <c r="N229" i="103" s="1"/>
  <c r="I229" i="103"/>
  <c r="L229" i="103" s="1"/>
  <c r="J229" i="103"/>
  <c r="K229" i="103"/>
  <c r="G230" i="103"/>
  <c r="H230" i="103"/>
  <c r="N230" i="103" s="1"/>
  <c r="I230" i="103"/>
  <c r="M230" i="103" s="1"/>
  <c r="J230" i="103"/>
  <c r="L230" i="103"/>
  <c r="G231" i="103"/>
  <c r="H231" i="103"/>
  <c r="J231" i="103" s="1"/>
  <c r="I231" i="103"/>
  <c r="L231" i="103" s="1"/>
  <c r="K231" i="103"/>
  <c r="G232" i="103"/>
  <c r="H232" i="103"/>
  <c r="N232" i="103"/>
  <c r="I232" i="103"/>
  <c r="M232" i="103"/>
  <c r="J232" i="103"/>
  <c r="K232" i="103"/>
  <c r="L232" i="103"/>
  <c r="G233" i="103"/>
  <c r="H233" i="103"/>
  <c r="I233" i="103"/>
  <c r="J233" i="103"/>
  <c r="K233" i="103"/>
  <c r="L233" i="103"/>
  <c r="M233" i="103"/>
  <c r="N233" i="103"/>
  <c r="G234" i="103"/>
  <c r="H234" i="103"/>
  <c r="N234" i="103"/>
  <c r="I234" i="103"/>
  <c r="M234" i="103"/>
  <c r="J234" i="103"/>
  <c r="K234" i="103"/>
  <c r="L234" i="103"/>
  <c r="G235" i="103"/>
  <c r="H235" i="103"/>
  <c r="I235" i="103"/>
  <c r="J235" i="103"/>
  <c r="K235" i="103"/>
  <c r="L235" i="103"/>
  <c r="M235" i="103"/>
  <c r="N235" i="103"/>
  <c r="G236" i="103"/>
  <c r="H236" i="103"/>
  <c r="N236" i="103"/>
  <c r="I236" i="103"/>
  <c r="M236" i="103"/>
  <c r="J236" i="103"/>
  <c r="K236" i="103"/>
  <c r="L236" i="103"/>
  <c r="G237" i="103"/>
  <c r="H237" i="103"/>
  <c r="I237" i="103"/>
  <c r="J237" i="103"/>
  <c r="K237" i="103"/>
  <c r="L237" i="103"/>
  <c r="M237" i="103"/>
  <c r="N237" i="103"/>
  <c r="G238" i="103"/>
  <c r="H238" i="103"/>
  <c r="N238" i="103"/>
  <c r="I238" i="103"/>
  <c r="M238" i="103"/>
  <c r="J238" i="103"/>
  <c r="K238" i="103"/>
  <c r="L238" i="103"/>
  <c r="G239" i="103"/>
  <c r="H239" i="103"/>
  <c r="I239" i="103"/>
  <c r="J239" i="103"/>
  <c r="K239" i="103"/>
  <c r="L239" i="103"/>
  <c r="M239" i="103"/>
  <c r="N239" i="103"/>
  <c r="G240" i="103"/>
  <c r="H240" i="103"/>
  <c r="N240" i="103"/>
  <c r="I240" i="103"/>
  <c r="M240" i="103"/>
  <c r="J240" i="103"/>
  <c r="K240" i="103"/>
  <c r="L240" i="103"/>
  <c r="G241" i="103"/>
  <c r="H241" i="103"/>
  <c r="I241" i="103"/>
  <c r="J241" i="103"/>
  <c r="K241" i="103"/>
  <c r="L241" i="103"/>
  <c r="M241" i="103"/>
  <c r="N241" i="103"/>
  <c r="G242" i="103"/>
  <c r="H242" i="103"/>
  <c r="N242" i="103"/>
  <c r="I242" i="103"/>
  <c r="M242" i="103"/>
  <c r="J242" i="103"/>
  <c r="K242" i="103"/>
  <c r="L242" i="103"/>
  <c r="G243" i="103"/>
  <c r="H243" i="103"/>
  <c r="I243" i="103"/>
  <c r="J243" i="103"/>
  <c r="K243" i="103"/>
  <c r="L243" i="103"/>
  <c r="M243" i="103"/>
  <c r="N243" i="103"/>
  <c r="G244" i="103"/>
  <c r="H244" i="103"/>
  <c r="N244" i="103"/>
  <c r="I244" i="103"/>
  <c r="M244" i="103"/>
  <c r="J244" i="103"/>
  <c r="K244" i="103"/>
  <c r="L244" i="103"/>
  <c r="G245" i="103"/>
  <c r="H245" i="103"/>
  <c r="I245" i="103"/>
  <c r="J245" i="103"/>
  <c r="K245" i="103"/>
  <c r="L245" i="103"/>
  <c r="M245" i="103"/>
  <c r="N245" i="103"/>
  <c r="G246" i="103"/>
  <c r="H246" i="103"/>
  <c r="N246" i="103"/>
  <c r="I246" i="103"/>
  <c r="M246" i="103"/>
  <c r="J246" i="103"/>
  <c r="K246" i="103"/>
  <c r="L246" i="103"/>
  <c r="G247" i="103"/>
  <c r="H247" i="103"/>
  <c r="I247" i="103"/>
  <c r="J247" i="103"/>
  <c r="K247" i="103"/>
  <c r="L247" i="103"/>
  <c r="M247" i="103"/>
  <c r="N247" i="103"/>
  <c r="G248" i="103"/>
  <c r="H248" i="103"/>
  <c r="N248" i="103"/>
  <c r="I248" i="103"/>
  <c r="M248" i="103"/>
  <c r="J248" i="103"/>
  <c r="K248" i="103"/>
  <c r="L248" i="103"/>
  <c r="G249" i="103"/>
  <c r="H249" i="103"/>
  <c r="I249" i="103"/>
  <c r="J249" i="103"/>
  <c r="K249" i="103"/>
  <c r="L249" i="103"/>
  <c r="M249" i="103"/>
  <c r="N249" i="103"/>
  <c r="G250" i="103"/>
  <c r="H250" i="103"/>
  <c r="N250" i="103"/>
  <c r="I250" i="103"/>
  <c r="M250" i="103"/>
  <c r="J250" i="103"/>
  <c r="K250" i="103"/>
  <c r="L250" i="103"/>
  <c r="G251" i="103"/>
  <c r="H251" i="103"/>
  <c r="I251" i="103"/>
  <c r="J251" i="103"/>
  <c r="K251" i="103"/>
  <c r="L251" i="103"/>
  <c r="M251" i="103"/>
  <c r="N251" i="103"/>
  <c r="G252" i="103"/>
  <c r="H252" i="103"/>
  <c r="N252" i="103"/>
  <c r="I252" i="103"/>
  <c r="M252" i="103"/>
  <c r="J252" i="103"/>
  <c r="K252" i="103"/>
  <c r="L252" i="103"/>
  <c r="G253" i="103"/>
  <c r="H253" i="103"/>
  <c r="I253" i="103"/>
  <c r="J253" i="103"/>
  <c r="K253" i="103"/>
  <c r="L253" i="103"/>
  <c r="M253" i="103"/>
  <c r="N253" i="103"/>
  <c r="G254" i="103"/>
  <c r="H254" i="103"/>
  <c r="N254" i="103"/>
  <c r="I254" i="103"/>
  <c r="M254" i="103"/>
  <c r="J254" i="103"/>
  <c r="K254" i="103"/>
  <c r="L254" i="103"/>
  <c r="G255" i="103"/>
  <c r="H255" i="103"/>
  <c r="I255" i="103"/>
  <c r="J255" i="103"/>
  <c r="K255" i="103"/>
  <c r="L255" i="103"/>
  <c r="M255" i="103"/>
  <c r="N255" i="103"/>
  <c r="G256" i="103"/>
  <c r="H256" i="103"/>
  <c r="N256" i="103"/>
  <c r="I256" i="103"/>
  <c r="M256" i="103"/>
  <c r="J256" i="103"/>
  <c r="K256" i="103"/>
  <c r="L256" i="103"/>
  <c r="G257" i="103"/>
  <c r="H257" i="103"/>
  <c r="I257" i="103"/>
  <c r="J257" i="103"/>
  <c r="K257" i="103"/>
  <c r="L257" i="103"/>
  <c r="M257" i="103"/>
  <c r="N257" i="103"/>
  <c r="G258" i="103"/>
  <c r="H258" i="103"/>
  <c r="I258" i="103"/>
  <c r="J258" i="103"/>
  <c r="K258" i="103"/>
  <c r="L258" i="103"/>
  <c r="M258" i="103"/>
  <c r="N258" i="103"/>
  <c r="B708" i="128"/>
  <c r="B707" i="128"/>
  <c r="B706" i="128"/>
  <c r="B704" i="128"/>
  <c r="B703" i="128"/>
  <c r="B699" i="128"/>
  <c r="B700" i="128"/>
  <c r="B702" i="128"/>
  <c r="F61" i="119"/>
  <c r="B9289" i="16"/>
  <c r="B9288" i="16"/>
  <c r="B9287" i="16"/>
  <c r="B9286" i="16"/>
  <c r="F9289" i="16"/>
  <c r="B9284" i="16"/>
  <c r="B9283" i="16"/>
  <c r="B701" i="128"/>
  <c r="B9282" i="16"/>
  <c r="B691" i="128"/>
  <c r="B1560" i="97"/>
  <c r="B1547" i="97"/>
  <c r="B698" i="128"/>
  <c r="B697" i="128"/>
  <c r="B696" i="128"/>
  <c r="B695" i="128"/>
  <c r="B694" i="128"/>
  <c r="B693" i="128"/>
  <c r="B692" i="128"/>
  <c r="B690" i="128"/>
  <c r="B686" i="128"/>
  <c r="B689" i="128"/>
  <c r="B685" i="128"/>
  <c r="B688" i="128"/>
  <c r="B687" i="128"/>
  <c r="B679" i="128"/>
  <c r="B684" i="128"/>
  <c r="F819" i="133"/>
  <c r="B820" i="133"/>
  <c r="B819" i="133"/>
  <c r="B818" i="133"/>
  <c r="B1546" i="97"/>
  <c r="B683" i="128"/>
  <c r="B9280" i="16"/>
  <c r="B682" i="128"/>
  <c r="B681" i="128"/>
  <c r="F682" i="128"/>
  <c r="B680" i="128"/>
  <c r="B674" i="128"/>
  <c r="B9279" i="16"/>
  <c r="B9278" i="16"/>
  <c r="B9275" i="16"/>
  <c r="B678" i="128"/>
  <c r="B672" i="128"/>
  <c r="B677" i="128"/>
  <c r="E677" i="128"/>
  <c r="F1680" i="97"/>
  <c r="F1670" i="97"/>
  <c r="F1660" i="97"/>
  <c r="F1650" i="97"/>
  <c r="D70" i="119" s="1"/>
  <c r="B676" i="128"/>
  <c r="B675" i="128"/>
  <c r="B673" i="128"/>
  <c r="B670" i="128"/>
  <c r="B9277" i="16"/>
  <c r="B9276" i="16"/>
  <c r="B1557" i="97"/>
  <c r="B671" i="128"/>
  <c r="B667" i="128"/>
  <c r="B669" i="128"/>
  <c r="B648" i="128"/>
  <c r="B668" i="128"/>
  <c r="B659" i="128"/>
  <c r="B660" i="128"/>
  <c r="B666" i="128"/>
  <c r="B665" i="128"/>
  <c r="B661" i="128"/>
  <c r="E662" i="128"/>
  <c r="B663" i="128"/>
  <c r="B662" i="128"/>
  <c r="B664" i="128"/>
  <c r="F9263" i="16"/>
  <c r="E9274" i="16" s="1"/>
  <c r="B9274" i="16"/>
  <c r="B9263" i="16"/>
  <c r="B657" i="128"/>
  <c r="B656" i="128"/>
  <c r="B655" i="128"/>
  <c r="B1549" i="97"/>
  <c r="F166" i="123"/>
  <c r="B658" i="128"/>
  <c r="B654" i="128"/>
  <c r="B650" i="128"/>
  <c r="B817" i="133"/>
  <c r="B9273" i="16"/>
  <c r="B9272" i="16"/>
  <c r="B9271" i="16"/>
  <c r="B9270" i="16"/>
  <c r="B9269" i="16"/>
  <c r="B9268" i="16"/>
  <c r="B9267" i="16"/>
  <c r="C305" i="23"/>
  <c r="E2618" i="22"/>
  <c r="B297" i="23"/>
  <c r="E2674" i="22"/>
  <c r="B306" i="23" s="1"/>
  <c r="E2667" i="22"/>
  <c r="B305" i="23" s="1"/>
  <c r="H2661" i="22"/>
  <c r="E2661" i="22"/>
  <c r="B304" i="23" s="1"/>
  <c r="E2655" i="22"/>
  <c r="B303" i="23" s="1"/>
  <c r="E2649" i="22"/>
  <c r="B302" i="23" s="1"/>
  <c r="E2643" i="22"/>
  <c r="B301" i="23" s="1"/>
  <c r="E2637" i="22"/>
  <c r="B300" i="23" s="1"/>
  <c r="E2631" i="22"/>
  <c r="B299" i="23" s="1"/>
  <c r="E2625" i="22"/>
  <c r="B298" i="23" s="1"/>
  <c r="C304" i="23"/>
  <c r="C303" i="23"/>
  <c r="C302" i="23"/>
  <c r="C301" i="23"/>
  <c r="G2641" i="22"/>
  <c r="C300" i="23" s="1"/>
  <c r="G2635" i="22"/>
  <c r="G2629" i="22"/>
  <c r="F1688" i="97"/>
  <c r="F1689" i="97" s="1"/>
  <c r="B815" i="133"/>
  <c r="B789" i="133"/>
  <c r="B647" i="128"/>
  <c r="B649" i="128"/>
  <c r="B646" i="128"/>
  <c r="B645" i="128"/>
  <c r="B644" i="128"/>
  <c r="B814" i="133"/>
  <c r="B810" i="133"/>
  <c r="B630" i="128"/>
  <c r="B643" i="128"/>
  <c r="B642" i="128"/>
  <c r="B641" i="128"/>
  <c r="B640" i="128"/>
  <c r="B638" i="128"/>
  <c r="B813" i="133"/>
  <c r="B812" i="133"/>
  <c r="B9264" i="16"/>
  <c r="F9265" i="16"/>
  <c r="B639" i="128"/>
  <c r="J226" i="103"/>
  <c r="N225" i="103"/>
  <c r="K225" i="103"/>
  <c r="J224" i="103"/>
  <c r="K224" i="103"/>
  <c r="L225" i="103"/>
  <c r="L224" i="103"/>
  <c r="O160" i="27"/>
  <c r="P165" i="27"/>
  <c r="P149" i="27"/>
  <c r="P152" i="27"/>
  <c r="B637" i="128"/>
  <c r="B635" i="128"/>
  <c r="B633" i="128"/>
  <c r="B632" i="128"/>
  <c r="B625" i="128"/>
  <c r="B636" i="128"/>
  <c r="B634" i="128"/>
  <c r="B631" i="128"/>
  <c r="B629" i="128"/>
  <c r="B628" i="128"/>
  <c r="B627" i="128"/>
  <c r="B1550" i="97"/>
  <c r="B811" i="133"/>
  <c r="B626" i="128"/>
  <c r="B809" i="133"/>
  <c r="B623" i="128"/>
  <c r="B622" i="128"/>
  <c r="B621" i="128"/>
  <c r="B9261" i="16"/>
  <c r="B9260" i="16"/>
  <c r="B9259" i="16"/>
  <c r="E9259" i="16"/>
  <c r="B808" i="133"/>
  <c r="B807" i="133"/>
  <c r="F808" i="133"/>
  <c r="B806" i="133"/>
  <c r="B805" i="133"/>
  <c r="B1543" i="97"/>
  <c r="B1548" i="97"/>
  <c r="B1542" i="97"/>
  <c r="B9257" i="16"/>
  <c r="B620" i="128"/>
  <c r="B802" i="133"/>
  <c r="E804" i="133"/>
  <c r="B804" i="133"/>
  <c r="B799" i="133"/>
  <c r="B803" i="133"/>
  <c r="B798" i="133"/>
  <c r="B797" i="133"/>
  <c r="B619" i="128"/>
  <c r="B618" i="128"/>
  <c r="B801" i="133"/>
  <c r="B795" i="133"/>
  <c r="B9256" i="16"/>
  <c r="B9255" i="16"/>
  <c r="B9253" i="16"/>
  <c r="B9252" i="16"/>
  <c r="B9251" i="16"/>
  <c r="B9249" i="16"/>
  <c r="B9248" i="16"/>
  <c r="B9247" i="16"/>
  <c r="B800" i="133"/>
  <c r="E799" i="133"/>
  <c r="B796" i="133"/>
  <c r="B794" i="133"/>
  <c r="B785" i="133"/>
  <c r="B1533" i="97"/>
  <c r="B615" i="128"/>
  <c r="B617" i="128"/>
  <c r="B616" i="128"/>
  <c r="B612" i="128"/>
  <c r="B613" i="128"/>
  <c r="B614" i="128"/>
  <c r="B609" i="128"/>
  <c r="B1545" i="97"/>
  <c r="B611" i="128"/>
  <c r="B610" i="128"/>
  <c r="B603" i="128"/>
  <c r="B608" i="128"/>
  <c r="B607" i="128"/>
  <c r="B605" i="128"/>
  <c r="B604" i="128"/>
  <c r="B602" i="128"/>
  <c r="B598" i="128"/>
  <c r="B9244" i="16"/>
  <c r="B9246" i="16"/>
  <c r="B9245" i="16"/>
  <c r="B9241" i="16"/>
  <c r="B1544" i="97"/>
  <c r="B597" i="128"/>
  <c r="B601" i="128"/>
  <c r="B600" i="128"/>
  <c r="F601" i="128"/>
  <c r="B599" i="128"/>
  <c r="B512" i="128"/>
  <c r="B592" i="128"/>
  <c r="B593" i="128"/>
  <c r="F596" i="128"/>
  <c r="B596" i="128"/>
  <c r="B595" i="128"/>
  <c r="B1541" i="97"/>
  <c r="B1531" i="97"/>
  <c r="B594" i="128"/>
  <c r="B591" i="128"/>
  <c r="B590" i="128"/>
  <c r="B587" i="128"/>
  <c r="B9243" i="16"/>
  <c r="B9242" i="16"/>
  <c r="B589" i="128"/>
  <c r="B586" i="128"/>
  <c r="G2623" i="22"/>
  <c r="G2616" i="22"/>
  <c r="G2605" i="22"/>
  <c r="G2595" i="22"/>
  <c r="G2584" i="22"/>
  <c r="G2575" i="22"/>
  <c r="G2565" i="22"/>
  <c r="B588" i="128"/>
  <c r="B6467" i="16"/>
  <c r="B6466" i="16"/>
  <c r="B582" i="128"/>
  <c r="B585" i="128"/>
  <c r="B581" i="128"/>
  <c r="B1540" i="97"/>
  <c r="B1530" i="97"/>
  <c r="B584" i="128"/>
  <c r="B583" i="128"/>
  <c r="B578" i="128"/>
  <c r="B580" i="128"/>
  <c r="B579" i="128"/>
  <c r="B798" i="106"/>
  <c r="B577" i="128"/>
  <c r="B255" i="116"/>
  <c r="B254" i="116"/>
  <c r="B797" i="106"/>
  <c r="B796" i="106"/>
  <c r="B243" i="116"/>
  <c r="B253" i="116"/>
  <c r="B784" i="106"/>
  <c r="B1465" i="115"/>
  <c r="B1539" i="97"/>
  <c r="B1529" i="97"/>
  <c r="B576" i="128"/>
  <c r="B792" i="133"/>
  <c r="B9240" i="16"/>
  <c r="B9239" i="16"/>
  <c r="B9238" i="16"/>
  <c r="B9237" i="16"/>
  <c r="B9236" i="16"/>
  <c r="B9235" i="16"/>
  <c r="B791" i="133"/>
  <c r="B575" i="128"/>
  <c r="B540" i="128"/>
  <c r="B537" i="128"/>
  <c r="B574" i="128"/>
  <c r="B570" i="128"/>
  <c r="B573" i="128"/>
  <c r="F1472" i="115"/>
  <c r="B1538" i="97"/>
  <c r="B1528" i="97"/>
  <c r="F162" i="123"/>
  <c r="F163" i="123" s="1"/>
  <c r="B569" i="128"/>
  <c r="B560" i="128"/>
  <c r="F567" i="128"/>
  <c r="B567" i="128"/>
  <c r="B566" i="128"/>
  <c r="B565" i="128"/>
  <c r="B564" i="128"/>
  <c r="B563" i="128"/>
  <c r="B562" i="128"/>
  <c r="B558" i="128"/>
  <c r="B768" i="133"/>
  <c r="B556" i="128"/>
  <c r="B557" i="128"/>
  <c r="E557" i="128"/>
  <c r="F557" i="128" s="1"/>
  <c r="B9233" i="16"/>
  <c r="B533" i="128"/>
  <c r="B555" i="128"/>
  <c r="B490" i="128"/>
  <c r="B496" i="128" s="1"/>
  <c r="B554" i="128"/>
  <c r="B553" i="128"/>
  <c r="B545" i="128"/>
  <c r="B552" i="128"/>
  <c r="B548" i="128"/>
  <c r="B551" i="128"/>
  <c r="B550" i="128"/>
  <c r="B549" i="128"/>
  <c r="B543" i="128"/>
  <c r="B547" i="128"/>
  <c r="E9251" i="16"/>
  <c r="B9232" i="16"/>
  <c r="B9203" i="16"/>
  <c r="B546" i="128"/>
  <c r="B544" i="128"/>
  <c r="B542" i="128"/>
  <c r="D786" i="133"/>
  <c r="F816" i="133" s="1"/>
  <c r="B786" i="133"/>
  <c r="F9231" i="16"/>
  <c r="F9201" i="16"/>
  <c r="B9230" i="16"/>
  <c r="B9200" i="16"/>
  <c r="B541" i="128"/>
  <c r="B788" i="133"/>
  <c r="B787" i="133"/>
  <c r="B538" i="128"/>
  <c r="B780" i="133"/>
  <c r="B781" i="133"/>
  <c r="B784" i="133"/>
  <c r="B782" i="133"/>
  <c r="F782" i="133"/>
  <c r="B779" i="133"/>
  <c r="B536" i="128"/>
  <c r="B778" i="133"/>
  <c r="B777" i="133"/>
  <c r="B9229" i="16"/>
  <c r="B776" i="133"/>
  <c r="B775" i="133"/>
  <c r="B774" i="133"/>
  <c r="B535" i="128"/>
  <c r="B534" i="128"/>
  <c r="B773" i="133"/>
  <c r="B532" i="128"/>
  <c r="B530" i="128"/>
  <c r="B474" i="128"/>
  <c r="B386" i="128"/>
  <c r="B531" i="128"/>
  <c r="B526" i="128"/>
  <c r="B9227" i="16"/>
  <c r="B9226" i="16"/>
  <c r="B9225" i="16"/>
  <c r="B9223" i="16"/>
  <c r="B9222" i="16"/>
  <c r="B9221" i="16"/>
  <c r="E528" i="128"/>
  <c r="B529" i="128"/>
  <c r="B528" i="128"/>
  <c r="B527" i="128"/>
  <c r="B1532" i="97"/>
  <c r="B525" i="128"/>
  <c r="B524" i="128"/>
  <c r="B523" i="128"/>
  <c r="B522" i="128"/>
  <c r="B519" i="128"/>
  <c r="B521" i="128"/>
  <c r="B520" i="128"/>
  <c r="B518" i="128"/>
  <c r="B1522" i="97"/>
  <c r="B516" i="128"/>
  <c r="B517" i="128"/>
  <c r="B515" i="128"/>
  <c r="B514" i="128"/>
  <c r="B513" i="128"/>
  <c r="B510" i="128"/>
  <c r="B9220" i="16"/>
  <c r="B9219" i="16"/>
  <c r="B511" i="128"/>
  <c r="B508" i="128"/>
  <c r="B493" i="128"/>
  <c r="B9218" i="16"/>
  <c r="B9217" i="16"/>
  <c r="B1521" i="97"/>
  <c r="E9225" i="16"/>
  <c r="B9216" i="16"/>
  <c r="B9212" i="16"/>
  <c r="B509" i="128"/>
  <c r="B507" i="128"/>
  <c r="B505" i="128"/>
  <c r="B9215" i="16"/>
  <c r="B9214" i="16"/>
  <c r="B9213" i="16"/>
  <c r="B506" i="128"/>
  <c r="B503" i="128"/>
  <c r="B1520" i="97"/>
  <c r="B504" i="128"/>
  <c r="B501" i="128"/>
  <c r="B502" i="128"/>
  <c r="B498" i="128"/>
  <c r="B500" i="128"/>
  <c r="B770" i="133"/>
  <c r="B9211" i="16"/>
  <c r="B9210" i="16"/>
  <c r="B9209" i="16"/>
  <c r="B9208" i="16"/>
  <c r="B9207" i="16"/>
  <c r="B499" i="128"/>
  <c r="B497" i="128"/>
  <c r="B1519" i="97"/>
  <c r="B492" i="128"/>
  <c r="B742" i="133"/>
  <c r="B491" i="128"/>
  <c r="B485" i="128"/>
  <c r="B402" i="128"/>
  <c r="B489" i="128"/>
  <c r="B9205" i="16"/>
  <c r="B9202" i="16"/>
  <c r="B9204" i="16"/>
  <c r="B9173" i="16"/>
  <c r="B488" i="128"/>
  <c r="B487" i="128"/>
  <c r="B472" i="128"/>
  <c r="B767" i="133"/>
  <c r="B486" i="128"/>
  <c r="B484" i="128"/>
  <c r="B483" i="128"/>
  <c r="B482" i="128"/>
  <c r="B481" i="128"/>
  <c r="B465" i="128"/>
  <c r="B479" i="128"/>
  <c r="B759" i="133"/>
  <c r="B480" i="128"/>
  <c r="B477" i="128"/>
  <c r="E479" i="128"/>
  <c r="F479" i="128" s="1"/>
  <c r="B9170" i="16"/>
  <c r="B476" i="128"/>
  <c r="E476" i="128"/>
  <c r="E477" i="128" s="1"/>
  <c r="B766" i="133"/>
  <c r="B765" i="133"/>
  <c r="B764" i="133"/>
  <c r="B471" i="128"/>
  <c r="B470" i="128"/>
  <c r="B763" i="133"/>
  <c r="B762" i="133"/>
  <c r="B761" i="133"/>
  <c r="B760" i="133"/>
  <c r="B758" i="133"/>
  <c r="B757" i="133"/>
  <c r="B756" i="133"/>
  <c r="B755" i="133"/>
  <c r="B754" i="133"/>
  <c r="B753" i="133"/>
  <c r="B751" i="133"/>
  <c r="E759" i="133"/>
  <c r="F759" i="133" s="1"/>
  <c r="B752" i="133"/>
  <c r="B750" i="133"/>
  <c r="F158" i="123"/>
  <c r="F59" i="119"/>
  <c r="B9199" i="16"/>
  <c r="B469" i="128"/>
  <c r="B468" i="128"/>
  <c r="B467" i="128"/>
  <c r="B749" i="133"/>
  <c r="B466" i="128"/>
  <c r="B464" i="128"/>
  <c r="B9198" i="16"/>
  <c r="B9195" i="16"/>
  <c r="B9194" i="16"/>
  <c r="B9193" i="16"/>
  <c r="B459" i="128"/>
  <c r="B9197" i="16"/>
  <c r="B9191" i="16"/>
  <c r="B419" i="128"/>
  <c r="B415" i="128"/>
  <c r="B434" i="128"/>
  <c r="B433" i="128"/>
  <c r="B440" i="128"/>
  <c r="B439" i="128"/>
  <c r="B1523" i="97"/>
  <c r="B463" i="128"/>
  <c r="B462" i="128"/>
  <c r="B461" i="128"/>
  <c r="B460" i="128"/>
  <c r="B457" i="128"/>
  <c r="B456" i="128"/>
  <c r="B455" i="128"/>
  <c r="B454" i="128"/>
  <c r="B458" i="128"/>
  <c r="B453" i="128"/>
  <c r="B447" i="128"/>
  <c r="F457" i="128"/>
  <c r="B452" i="128"/>
  <c r="B451" i="128"/>
  <c r="E449" i="128"/>
  <c r="E448" i="128"/>
  <c r="B450" i="128"/>
  <c r="B449" i="128"/>
  <c r="B448" i="128"/>
  <c r="B443" i="128"/>
  <c r="B446" i="128"/>
  <c r="B445" i="128"/>
  <c r="B747" i="133"/>
  <c r="B745" i="133"/>
  <c r="B444" i="128"/>
  <c r="B438" i="128"/>
  <c r="B441" i="128"/>
  <c r="B1513" i="97"/>
  <c r="B746" i="133"/>
  <c r="B433" i="133"/>
  <c r="B442" i="128"/>
  <c r="B437" i="128"/>
  <c r="B436" i="128"/>
  <c r="B9190" i="16"/>
  <c r="B9189" i="16"/>
  <c r="B9188" i="16"/>
  <c r="B435" i="128"/>
  <c r="E9193" i="16"/>
  <c r="B9187" i="16"/>
  <c r="B9184" i="16"/>
  <c r="B9180" i="16"/>
  <c r="B9186" i="16"/>
  <c r="B9182" i="16"/>
  <c r="E1568" i="97"/>
  <c r="E1557" i="97"/>
  <c r="E1540" i="97"/>
  <c r="E1530" i="97"/>
  <c r="H2566" i="22"/>
  <c r="G2555" i="22"/>
  <c r="G2564" i="22"/>
  <c r="G2574" i="22"/>
  <c r="E1531" i="97"/>
  <c r="E1521" i="97"/>
  <c r="B9185" i="16"/>
  <c r="B429" i="128"/>
  <c r="B431" i="128"/>
  <c r="B432" i="128"/>
  <c r="B430" i="128"/>
  <c r="B423" i="128"/>
  <c r="B428" i="128"/>
  <c r="B427" i="128"/>
  <c r="B426" i="128"/>
  <c r="B425" i="128"/>
  <c r="B424" i="128"/>
  <c r="B422" i="128"/>
  <c r="B421" i="128"/>
  <c r="B420" i="128"/>
  <c r="B418" i="128"/>
  <c r="B9183" i="16"/>
  <c r="B416" i="128"/>
  <c r="H2585" i="22"/>
  <c r="G2589" i="22"/>
  <c r="G2583" i="22"/>
  <c r="G2573" i="22"/>
  <c r="G2563" i="22"/>
  <c r="G2554" i="22"/>
  <c r="B417" i="128"/>
  <c r="B413" i="128"/>
  <c r="B9181" i="16"/>
  <c r="B1461" i="115"/>
  <c r="B414" i="128"/>
  <c r="B412" i="128"/>
  <c r="B411" i="128"/>
  <c r="B410" i="128"/>
  <c r="B409" i="128"/>
  <c r="B408" i="128"/>
  <c r="B403" i="128"/>
  <c r="B407" i="128"/>
  <c r="F154" i="123"/>
  <c r="B1511" i="97"/>
  <c r="B1460" i="115"/>
  <c r="B1518" i="97"/>
  <c r="B406" i="128"/>
  <c r="B744" i="133"/>
  <c r="B9179" i="16"/>
  <c r="B9178" i="16"/>
  <c r="B9177" i="16"/>
  <c r="B9176" i="16"/>
  <c r="B9175" i="16"/>
  <c r="B1458" i="115"/>
  <c r="B1452" i="115"/>
  <c r="B401" i="128"/>
  <c r="B323" i="128"/>
  <c r="B393" i="128"/>
  <c r="B400" i="128"/>
  <c r="B399" i="128"/>
  <c r="B394" i="128"/>
  <c r="B398" i="128"/>
  <c r="B397" i="128"/>
  <c r="B396" i="128"/>
  <c r="B395" i="128"/>
  <c r="F397" i="128"/>
  <c r="B392" i="128"/>
  <c r="B388" i="128"/>
  <c r="B391" i="128"/>
  <c r="B390" i="128"/>
  <c r="B387" i="128"/>
  <c r="B389" i="128"/>
  <c r="B384" i="128"/>
  <c r="B383" i="128"/>
  <c r="B381" i="128"/>
  <c r="B385" i="128"/>
  <c r="B382" i="128"/>
  <c r="B9172" i="16"/>
  <c r="B379" i="128"/>
  <c r="B380" i="128"/>
  <c r="B378" i="128"/>
  <c r="B336" i="128"/>
  <c r="B375" i="128"/>
  <c r="B377" i="128"/>
  <c r="B741" i="133"/>
  <c r="B740" i="133"/>
  <c r="B734" i="133"/>
  <c r="B739" i="133"/>
  <c r="B738" i="133"/>
  <c r="B374" i="128"/>
  <c r="B373" i="128"/>
  <c r="B371" i="128"/>
  <c r="B736" i="133"/>
  <c r="B735" i="133"/>
  <c r="B737" i="133"/>
  <c r="B372" i="128"/>
  <c r="B733" i="133"/>
  <c r="B732" i="133"/>
  <c r="B731" i="133"/>
  <c r="B9169" i="16"/>
  <c r="B369" i="128"/>
  <c r="B370" i="128"/>
  <c r="B730" i="133"/>
  <c r="B368" i="128"/>
  <c r="B367" i="128"/>
  <c r="B365" i="128"/>
  <c r="B364" i="128"/>
  <c r="F9171" i="16"/>
  <c r="B9168" i="16"/>
  <c r="B9167" i="16"/>
  <c r="B9166" i="16"/>
  <c r="B9164" i="16"/>
  <c r="B9163" i="16"/>
  <c r="B9162" i="16"/>
  <c r="B9160" i="16"/>
  <c r="B9159" i="16"/>
  <c r="B1456" i="115"/>
  <c r="B1450" i="115"/>
  <c r="B727" i="133"/>
  <c r="B728" i="133"/>
  <c r="B366" i="128"/>
  <c r="B363" i="128"/>
  <c r="B361" i="128"/>
  <c r="B362" i="128"/>
  <c r="B357" i="128"/>
  <c r="B360" i="128"/>
  <c r="B358" i="128"/>
  <c r="B359" i="128"/>
  <c r="B1514" i="97"/>
  <c r="B1504" i="97"/>
  <c r="B726" i="133"/>
  <c r="B725" i="133"/>
  <c r="B349" i="128"/>
  <c r="B356" i="128"/>
  <c r="B355" i="128"/>
  <c r="B352" i="128"/>
  <c r="E723" i="133"/>
  <c r="E724" i="133" s="1"/>
  <c r="B724" i="133"/>
  <c r="B723" i="133"/>
  <c r="B714" i="133"/>
  <c r="B354" i="128"/>
  <c r="B351" i="128"/>
  <c r="B353" i="128"/>
  <c r="B350" i="128"/>
  <c r="B347" i="128"/>
  <c r="B348" i="128"/>
  <c r="B346" i="128"/>
  <c r="B345" i="128"/>
  <c r="B344" i="128"/>
  <c r="B343" i="128"/>
  <c r="B9156" i="16"/>
  <c r="B9158" i="16"/>
  <c r="B9157" i="16"/>
  <c r="B9155" i="16"/>
  <c r="B341" i="128"/>
  <c r="B9154" i="16"/>
  <c r="B342" i="128"/>
  <c r="B340" i="128"/>
  <c r="B9153" i="16"/>
  <c r="E9162" i="16"/>
  <c r="B339" i="128"/>
  <c r="B337" i="128"/>
  <c r="B333" i="128"/>
  <c r="B338" i="128"/>
  <c r="B335" i="128"/>
  <c r="B9152" i="16"/>
  <c r="B334" i="128"/>
  <c r="B329" i="128"/>
  <c r="F332" i="128"/>
  <c r="B332" i="128"/>
  <c r="B331" i="128"/>
  <c r="F150" i="123"/>
  <c r="F57" i="119"/>
  <c r="B1455" i="115"/>
  <c r="B1449" i="115"/>
  <c r="B1454" i="115"/>
  <c r="B1448" i="115"/>
  <c r="B1512" i="97"/>
  <c r="B1502" i="97"/>
  <c r="B330" i="128"/>
  <c r="B722" i="133"/>
  <c r="B9149" i="16"/>
  <c r="B9151" i="16"/>
  <c r="B9150" i="16"/>
  <c r="B9148" i="16"/>
  <c r="B9147" i="16"/>
  <c r="B9146" i="16"/>
  <c r="B328" i="128"/>
  <c r="B324" i="128"/>
  <c r="B327" i="128"/>
  <c r="B1503" i="97"/>
  <c r="B326" i="128"/>
  <c r="B311" i="128"/>
  <c r="B720" i="133"/>
  <c r="B700" i="133"/>
  <c r="B321" i="128"/>
  <c r="B322" i="128"/>
  <c r="B239" i="128"/>
  <c r="B719" i="133"/>
  <c r="B712" i="133"/>
  <c r="B320" i="128"/>
  <c r="B316" i="128"/>
  <c r="B319" i="128"/>
  <c r="C211" i="103"/>
  <c r="H211" i="103"/>
  <c r="B318" i="128"/>
  <c r="B317" i="128"/>
  <c r="B312" i="128"/>
  <c r="B1446" i="115"/>
  <c r="B307" i="128"/>
  <c r="B9144" i="16"/>
  <c r="B315" i="128"/>
  <c r="B9143" i="16"/>
  <c r="B9134" i="16"/>
  <c r="B9142" i="16"/>
  <c r="B9141" i="16"/>
  <c r="B9139" i="16"/>
  <c r="B9102" i="16"/>
  <c r="F9140" i="16"/>
  <c r="B314" i="128"/>
  <c r="B313" i="128"/>
  <c r="B310" i="128"/>
  <c r="B309" i="128"/>
  <c r="B306" i="128"/>
  <c r="B303" i="128"/>
  <c r="B305" i="128"/>
  <c r="B304" i="128"/>
  <c r="E304" i="128"/>
  <c r="F721" i="133"/>
  <c r="B57" i="119" s="1"/>
  <c r="B9138" i="16"/>
  <c r="B302" i="128"/>
  <c r="B718" i="133"/>
  <c r="B716" i="133"/>
  <c r="B717" i="133"/>
  <c r="B296" i="128"/>
  <c r="B294" i="128"/>
  <c r="B291" i="128"/>
  <c r="B297" i="128"/>
  <c r="B295" i="128"/>
  <c r="B301" i="128"/>
  <c r="B300" i="128"/>
  <c r="B299" i="128"/>
  <c r="B298" i="128"/>
  <c r="E298" i="128"/>
  <c r="E299" i="128" s="1"/>
  <c r="F325" i="128" s="1"/>
  <c r="B293" i="128"/>
  <c r="B713" i="133"/>
  <c r="B711" i="133"/>
  <c r="B704" i="133"/>
  <c r="B715" i="133"/>
  <c r="B710" i="133"/>
  <c r="E714" i="133"/>
  <c r="E713" i="133"/>
  <c r="E712" i="133"/>
  <c r="E711" i="133"/>
  <c r="B709" i="133"/>
  <c r="B292" i="128"/>
  <c r="B286" i="128"/>
  <c r="B9137" i="16"/>
  <c r="B288" i="128"/>
  <c r="B289" i="128"/>
  <c r="B290" i="128"/>
  <c r="B287" i="128"/>
  <c r="B285" i="128"/>
  <c r="H2516" i="22"/>
  <c r="G2522" i="22"/>
  <c r="H2503" i="22"/>
  <c r="B9136" i="16"/>
  <c r="B284" i="128"/>
  <c r="B283" i="128"/>
  <c r="B282" i="128"/>
  <c r="B9135" i="16"/>
  <c r="B9132" i="16"/>
  <c r="B9131" i="16"/>
  <c r="B9130" i="16"/>
  <c r="B9128" i="16"/>
  <c r="B9127" i="16"/>
  <c r="B281" i="128"/>
  <c r="B280" i="128"/>
  <c r="B1443" i="115"/>
  <c r="H2576" i="22"/>
  <c r="G2582" i="22"/>
  <c r="G2572" i="22"/>
  <c r="G2562" i="22"/>
  <c r="G2553" i="22"/>
  <c r="G2543" i="22"/>
  <c r="G2530" i="22"/>
  <c r="B1506" i="97"/>
  <c r="B1498" i="97"/>
  <c r="B707" i="133"/>
  <c r="B9126" i="16"/>
  <c r="B279" i="128"/>
  <c r="B278" i="128"/>
  <c r="B276" i="128"/>
  <c r="B277" i="128"/>
  <c r="F9125" i="16"/>
  <c r="B275" i="128"/>
  <c r="B9124" i="16"/>
  <c r="B9125" i="16"/>
  <c r="B1505" i="97"/>
  <c r="B1497" i="97"/>
  <c r="B1496" i="97"/>
  <c r="B9123" i="16"/>
  <c r="B706" i="133"/>
  <c r="B705" i="133"/>
  <c r="B703" i="133"/>
  <c r="F706" i="133"/>
  <c r="B274" i="128"/>
  <c r="B269" i="128"/>
  <c r="B272" i="128"/>
  <c r="B273" i="128"/>
  <c r="B9122" i="16"/>
  <c r="B9121" i="16"/>
  <c r="B271" i="128"/>
  <c r="B270" i="128"/>
  <c r="B267" i="128"/>
  <c r="H2618" i="22"/>
  <c r="G2581" i="22"/>
  <c r="G2571" i="22"/>
  <c r="G2561" i="22"/>
  <c r="G2552" i="22"/>
  <c r="G2542" i="22"/>
  <c r="G2529" i="22"/>
  <c r="D800" i="128"/>
  <c r="E512" i="128"/>
  <c r="E435" i="128"/>
  <c r="E345" i="128"/>
  <c r="F405" i="128" s="1"/>
  <c r="C58" i="119" s="1"/>
  <c r="B268" i="128"/>
  <c r="B266" i="128"/>
  <c r="B265" i="128"/>
  <c r="B264" i="128"/>
  <c r="B260" i="128"/>
  <c r="B263" i="128"/>
  <c r="E9130" i="16"/>
  <c r="B9120" i="16"/>
  <c r="B9119" i="16"/>
  <c r="B9116" i="16"/>
  <c r="B9118" i="16"/>
  <c r="B9117" i="16"/>
  <c r="B261" i="128"/>
  <c r="B262" i="128"/>
  <c r="B259" i="128"/>
  <c r="B258" i="128"/>
  <c r="B257" i="128"/>
  <c r="B254" i="128"/>
  <c r="B256" i="128"/>
  <c r="B255" i="128"/>
  <c r="B253" i="128"/>
  <c r="B249" i="128"/>
  <c r="B252" i="128"/>
  <c r="B251" i="128"/>
  <c r="B250" i="128"/>
  <c r="B248" i="128"/>
  <c r="B246" i="128"/>
  <c r="B235" i="128"/>
  <c r="B9115" i="16"/>
  <c r="B242" i="116"/>
  <c r="B787" i="106"/>
  <c r="B786" i="106"/>
  <c r="B785" i="106"/>
  <c r="B780" i="106"/>
  <c r="B227" i="116"/>
  <c r="B241" i="116"/>
  <c r="B238" i="116"/>
  <c r="B9114" i="16"/>
  <c r="B9113" i="16"/>
  <c r="B247" i="128"/>
  <c r="G2620" i="22"/>
  <c r="G2610" i="22"/>
  <c r="G2598" i="22"/>
  <c r="G2588" i="22"/>
  <c r="G2580" i="22"/>
  <c r="G2570" i="22"/>
  <c r="G2560" i="22"/>
  <c r="G2551" i="22"/>
  <c r="G2540" i="22"/>
  <c r="G2528" i="22"/>
  <c r="E1602" i="97"/>
  <c r="E1591" i="97"/>
  <c r="E1576" i="97"/>
  <c r="E1566" i="97"/>
  <c r="E1555" i="97"/>
  <c r="E1538" i="97"/>
  <c r="E1528" i="97"/>
  <c r="E1519" i="97"/>
  <c r="E1511" i="97"/>
  <c r="E1503" i="97"/>
  <c r="B240" i="128"/>
  <c r="B245" i="128"/>
  <c r="B244" i="128"/>
  <c r="B702" i="133"/>
  <c r="B658" i="133"/>
  <c r="B9112" i="16"/>
  <c r="B9111" i="16"/>
  <c r="B9110" i="16"/>
  <c r="B9109" i="16"/>
  <c r="B9108" i="16"/>
  <c r="B241" i="128"/>
  <c r="B236" i="128"/>
  <c r="B9106" i="16"/>
  <c r="B9104" i="16"/>
  <c r="B1423" i="115"/>
  <c r="B238" i="128"/>
  <c r="B237" i="128"/>
  <c r="B234" i="128"/>
  <c r="B232" i="128"/>
  <c r="B233" i="128"/>
  <c r="B229" i="128"/>
  <c r="B230" i="128"/>
  <c r="B226" i="128"/>
  <c r="B231" i="128"/>
  <c r="B228" i="128"/>
  <c r="B225" i="128"/>
  <c r="B1413" i="115"/>
  <c r="B224" i="128"/>
  <c r="B227" i="128"/>
  <c r="B222" i="128"/>
  <c r="F1645" i="18"/>
  <c r="F564" i="18"/>
  <c r="F943" i="18"/>
  <c r="F671" i="18"/>
  <c r="F844" i="18"/>
  <c r="B9071" i="16"/>
  <c r="B223" i="128"/>
  <c r="B217" i="128"/>
  <c r="B221" i="128"/>
  <c r="B212" i="128"/>
  <c r="B220" i="128"/>
  <c r="B219" i="128"/>
  <c r="B218" i="128"/>
  <c r="B216" i="128"/>
  <c r="B239" i="116"/>
  <c r="F243" i="128"/>
  <c r="C56" i="119" s="1"/>
  <c r="B1445" i="115"/>
  <c r="B1402" i="115"/>
  <c r="B215" i="128"/>
  <c r="B214" i="128"/>
  <c r="M138" i="27"/>
  <c r="M139" i="27"/>
  <c r="N139" i="27"/>
  <c r="M140" i="27"/>
  <c r="N140" i="27"/>
  <c r="O140" i="27"/>
  <c r="M141" i="27"/>
  <c r="M142" i="27"/>
  <c r="N142" i="27"/>
  <c r="O142" i="27"/>
  <c r="M143" i="27"/>
  <c r="N143" i="27"/>
  <c r="M144" i="27"/>
  <c r="M167" i="27"/>
  <c r="N167" i="27"/>
  <c r="O167" i="27"/>
  <c r="R167" i="27"/>
  <c r="B210" i="128"/>
  <c r="B213" i="128"/>
  <c r="B9103" i="16"/>
  <c r="B782" i="106"/>
  <c r="B779" i="106"/>
  <c r="B781" i="106"/>
  <c r="B209" i="128"/>
  <c r="B205" i="128"/>
  <c r="F208" i="128"/>
  <c r="B208" i="128"/>
  <c r="B207" i="128"/>
  <c r="B203" i="128"/>
  <c r="B206" i="128"/>
  <c r="B204" i="128"/>
  <c r="B202" i="128"/>
  <c r="B201" i="128"/>
  <c r="B200" i="128"/>
  <c r="B195" i="128"/>
  <c r="B699" i="133"/>
  <c r="B654" i="133"/>
  <c r="F698" i="133"/>
  <c r="B698" i="133"/>
  <c r="B697" i="133"/>
  <c r="B696" i="133"/>
  <c r="B695" i="133"/>
  <c r="B694" i="133"/>
  <c r="B9068" i="16"/>
  <c r="B198" i="128"/>
  <c r="H2544" i="22"/>
  <c r="H2532" i="22"/>
  <c r="G2550" i="22"/>
  <c r="E709" i="133"/>
  <c r="B9101" i="16"/>
  <c r="G2541" i="22"/>
  <c r="G2527" i="22"/>
  <c r="B693" i="133"/>
  <c r="B688" i="133"/>
  <c r="E730" i="133"/>
  <c r="F769" i="133" s="1"/>
  <c r="B199" i="128"/>
  <c r="B197" i="128"/>
  <c r="B9100" i="16"/>
  <c r="B196" i="128"/>
  <c r="B194" i="128"/>
  <c r="B9099" i="16"/>
  <c r="B9098" i="16"/>
  <c r="B9095" i="16"/>
  <c r="B9094" i="16"/>
  <c r="B9093" i="16"/>
  <c r="B9097" i="16"/>
  <c r="B9091" i="16"/>
  <c r="B9090" i="16"/>
  <c r="G2514" i="22"/>
  <c r="G2526" i="22"/>
  <c r="G2538" i="22"/>
  <c r="B1491" i="97"/>
  <c r="B691" i="133"/>
  <c r="B690" i="133"/>
  <c r="B689" i="133"/>
  <c r="B687" i="133"/>
  <c r="B686" i="133"/>
  <c r="B1442" i="115"/>
  <c r="B1441" i="115"/>
  <c r="B1440" i="115"/>
  <c r="B1439" i="115"/>
  <c r="B685" i="133"/>
  <c r="B684" i="133"/>
  <c r="B677" i="133"/>
  <c r="B683" i="133"/>
  <c r="B682" i="133"/>
  <c r="B681" i="133"/>
  <c r="B679" i="133"/>
  <c r="B674" i="133"/>
  <c r="B1490" i="97"/>
  <c r="B1489" i="97"/>
  <c r="B675" i="133"/>
  <c r="B680" i="133"/>
  <c r="B678" i="133"/>
  <c r="F9105" i="16"/>
  <c r="E9093" i="16"/>
  <c r="B9089" i="16"/>
  <c r="B9086" i="16"/>
  <c r="B673" i="133"/>
  <c r="B9088" i="16"/>
  <c r="B676" i="133"/>
  <c r="B9087" i="16"/>
  <c r="B9083" i="16"/>
  <c r="B672" i="133"/>
  <c r="B670" i="133"/>
  <c r="B671" i="133"/>
  <c r="B1433" i="115"/>
  <c r="B669" i="133"/>
  <c r="B667" i="133"/>
  <c r="B9085" i="16"/>
  <c r="B9084" i="16"/>
  <c r="B9052" i="16"/>
  <c r="B668" i="133"/>
  <c r="B663" i="133"/>
  <c r="B24" i="124"/>
  <c r="B21" i="124"/>
  <c r="B23" i="124"/>
  <c r="B1438" i="115"/>
  <c r="B1333" i="115"/>
  <c r="B777" i="106"/>
  <c r="B776" i="106"/>
  <c r="B9082" i="16"/>
  <c r="B9081" i="16"/>
  <c r="B665" i="133"/>
  <c r="B666" i="133"/>
  <c r="B664" i="133"/>
  <c r="B9080" i="16"/>
  <c r="B661" i="133"/>
  <c r="B9079" i="16"/>
  <c r="B9078" i="16"/>
  <c r="B662" i="133"/>
  <c r="B193" i="128"/>
  <c r="B189" i="128"/>
  <c r="B1437" i="115"/>
  <c r="B1436" i="115"/>
  <c r="B1495" i="97"/>
  <c r="B660" i="133"/>
  <c r="B9076" i="16"/>
  <c r="B9077" i="16"/>
  <c r="B9075" i="16"/>
  <c r="B9074" i="16"/>
  <c r="B9073" i="16"/>
  <c r="E2607" i="22"/>
  <c r="B296" i="23" s="1"/>
  <c r="E2596" i="22"/>
  <c r="B295" i="23" s="1"/>
  <c r="G2609" i="22"/>
  <c r="G2597" i="22"/>
  <c r="G2587" i="22"/>
  <c r="G2579" i="22"/>
  <c r="G2569" i="22"/>
  <c r="G2559" i="22"/>
  <c r="G2549" i="22"/>
  <c r="G2539" i="22"/>
  <c r="G2525" i="22"/>
  <c r="G2513" i="22"/>
  <c r="B657" i="133"/>
  <c r="E1007" i="133"/>
  <c r="F701" i="133"/>
  <c r="B1434" i="115"/>
  <c r="B1432" i="115"/>
  <c r="B1429" i="115"/>
  <c r="B1431" i="115"/>
  <c r="B1430" i="115"/>
  <c r="B1428" i="115"/>
  <c r="B1426" i="115"/>
  <c r="B1427" i="115"/>
  <c r="M52" i="41"/>
  <c r="K52" i="41"/>
  <c r="J52" i="41"/>
  <c r="I52" i="41"/>
  <c r="H52" i="41"/>
  <c r="M51" i="41"/>
  <c r="K51" i="41"/>
  <c r="J51" i="41"/>
  <c r="I51" i="41"/>
  <c r="H51" i="41"/>
  <c r="M50" i="41"/>
  <c r="K50" i="41"/>
  <c r="J50" i="41"/>
  <c r="I50" i="41"/>
  <c r="H50" i="41"/>
  <c r="M49" i="41"/>
  <c r="K49" i="41"/>
  <c r="J49" i="41"/>
  <c r="I49" i="41"/>
  <c r="H49" i="41"/>
  <c r="M48" i="41"/>
  <c r="K48" i="41"/>
  <c r="J48" i="41"/>
  <c r="I48" i="41"/>
  <c r="H48" i="41"/>
  <c r="M47" i="41"/>
  <c r="K47" i="41"/>
  <c r="J47" i="41"/>
  <c r="I47" i="41"/>
  <c r="H47" i="41"/>
  <c r="M46" i="41"/>
  <c r="K46" i="41"/>
  <c r="J46" i="41"/>
  <c r="I46" i="41"/>
  <c r="H46" i="41"/>
  <c r="M45" i="41"/>
  <c r="K45" i="41"/>
  <c r="J45" i="41"/>
  <c r="I45" i="41"/>
  <c r="H45" i="41"/>
  <c r="M44" i="41"/>
  <c r="K44" i="41"/>
  <c r="J44" i="41"/>
  <c r="I44" i="41"/>
  <c r="H44" i="41"/>
  <c r="M43" i="41"/>
  <c r="K43" i="41"/>
  <c r="J43" i="41"/>
  <c r="I43" i="41"/>
  <c r="H43" i="41"/>
  <c r="M42" i="41"/>
  <c r="K42" i="41"/>
  <c r="J42" i="41"/>
  <c r="I42" i="41"/>
  <c r="H42" i="41"/>
  <c r="M41" i="41"/>
  <c r="K41" i="41"/>
  <c r="J41" i="41"/>
  <c r="I41" i="41"/>
  <c r="H41" i="41"/>
  <c r="M40" i="41"/>
  <c r="K40" i="41"/>
  <c r="J40" i="41"/>
  <c r="I40" i="41"/>
  <c r="H40" i="41"/>
  <c r="M39" i="41"/>
  <c r="K39" i="41"/>
  <c r="J39" i="41"/>
  <c r="I39" i="41"/>
  <c r="H39" i="41"/>
  <c r="M38" i="41"/>
  <c r="K38" i="41"/>
  <c r="J38" i="41"/>
  <c r="I38" i="41"/>
  <c r="H38" i="41"/>
  <c r="M37" i="41"/>
  <c r="K37" i="41"/>
  <c r="J37" i="41"/>
  <c r="I37" i="41"/>
  <c r="H37" i="41"/>
  <c r="M36" i="41"/>
  <c r="K36" i="41"/>
  <c r="J36" i="41"/>
  <c r="I36" i="41"/>
  <c r="H36" i="41"/>
  <c r="M35" i="41"/>
  <c r="K35" i="41"/>
  <c r="J35" i="41"/>
  <c r="I35" i="41"/>
  <c r="H35" i="41"/>
  <c r="M34" i="41"/>
  <c r="K34" i="41"/>
  <c r="J34" i="41"/>
  <c r="I34" i="41"/>
  <c r="H34" i="41"/>
  <c r="M33" i="41"/>
  <c r="K33" i="41"/>
  <c r="J33" i="41"/>
  <c r="I33" i="41"/>
  <c r="H33" i="41"/>
  <c r="M32" i="41"/>
  <c r="K32" i="41"/>
  <c r="J32" i="41"/>
  <c r="I32" i="41"/>
  <c r="H32" i="41"/>
  <c r="M31" i="41"/>
  <c r="K31" i="41"/>
  <c r="J31" i="41"/>
  <c r="I31" i="41"/>
  <c r="H31" i="41"/>
  <c r="M30" i="41"/>
  <c r="K30" i="41"/>
  <c r="J30" i="41"/>
  <c r="I30" i="41"/>
  <c r="H30" i="41"/>
  <c r="M27" i="41"/>
  <c r="K27" i="41"/>
  <c r="J27" i="41"/>
  <c r="I27" i="41"/>
  <c r="H27" i="41"/>
  <c r="M26" i="41"/>
  <c r="K26" i="41"/>
  <c r="J26" i="41"/>
  <c r="I26" i="41"/>
  <c r="H26" i="41"/>
  <c r="M25" i="41"/>
  <c r="K25" i="41"/>
  <c r="J25" i="41"/>
  <c r="I25" i="41"/>
  <c r="H25" i="41"/>
  <c r="M24" i="41"/>
  <c r="K24" i="41"/>
  <c r="J24" i="41"/>
  <c r="I24" i="41"/>
  <c r="H24" i="41"/>
  <c r="M23" i="41"/>
  <c r="K23" i="41"/>
  <c r="J23" i="41"/>
  <c r="I23" i="41"/>
  <c r="H23" i="41"/>
  <c r="M22" i="41"/>
  <c r="K22" i="41"/>
  <c r="J22" i="41"/>
  <c r="I22" i="41"/>
  <c r="H22" i="41"/>
  <c r="M21" i="41"/>
  <c r="K21" i="41"/>
  <c r="J21" i="41"/>
  <c r="I21" i="41"/>
  <c r="H21" i="41"/>
  <c r="M20" i="41"/>
  <c r="K20" i="41"/>
  <c r="J20" i="41"/>
  <c r="I20" i="41"/>
  <c r="H20" i="41"/>
  <c r="M19" i="41"/>
  <c r="K19" i="41"/>
  <c r="J19" i="41"/>
  <c r="I19" i="41"/>
  <c r="H19" i="41"/>
  <c r="M18" i="41"/>
  <c r="K18" i="41"/>
  <c r="J18" i="41"/>
  <c r="I18" i="41"/>
  <c r="H18" i="41"/>
  <c r="M17" i="41"/>
  <c r="K17" i="41"/>
  <c r="J17" i="41"/>
  <c r="I17" i="41"/>
  <c r="H17" i="41"/>
  <c r="M16" i="41"/>
  <c r="K16" i="41"/>
  <c r="J16" i="41"/>
  <c r="I16" i="41"/>
  <c r="H16" i="41"/>
  <c r="M13" i="41"/>
  <c r="K13" i="41"/>
  <c r="J13" i="41"/>
  <c r="I13" i="41"/>
  <c r="H13" i="41"/>
  <c r="M12" i="41"/>
  <c r="K12" i="41"/>
  <c r="J12" i="41"/>
  <c r="I12" i="41"/>
  <c r="H12" i="41"/>
  <c r="M11" i="41"/>
  <c r="K11" i="41"/>
  <c r="J11" i="41"/>
  <c r="I11" i="41"/>
  <c r="H11" i="41"/>
  <c r="M10" i="41"/>
  <c r="K10" i="41"/>
  <c r="J10" i="41"/>
  <c r="I10" i="41"/>
  <c r="H10" i="41"/>
  <c r="M9" i="41"/>
  <c r="K9" i="41"/>
  <c r="J9" i="41"/>
  <c r="I9" i="41"/>
  <c r="H9" i="41"/>
  <c r="M8" i="41"/>
  <c r="K8" i="41"/>
  <c r="J8" i="41"/>
  <c r="I8" i="41"/>
  <c r="H8" i="41"/>
  <c r="M7" i="41"/>
  <c r="K7" i="41"/>
  <c r="J7" i="41"/>
  <c r="I7" i="41"/>
  <c r="H7" i="41"/>
  <c r="M6" i="41"/>
  <c r="K6" i="41"/>
  <c r="J6" i="41"/>
  <c r="I6" i="41"/>
  <c r="H6" i="41"/>
  <c r="M5" i="41"/>
  <c r="K5" i="41"/>
  <c r="J5" i="41"/>
  <c r="I5" i="41"/>
  <c r="H5" i="41"/>
  <c r="M4" i="41"/>
  <c r="K4" i="41"/>
  <c r="J4" i="41"/>
  <c r="I4" i="41"/>
  <c r="H4" i="41"/>
  <c r="M3" i="41"/>
  <c r="K3" i="41"/>
  <c r="J3" i="41"/>
  <c r="I3" i="41"/>
  <c r="H3" i="41"/>
  <c r="E376" i="33"/>
  <c r="B368" i="33"/>
  <c r="B367" i="33"/>
  <c r="B366" i="33"/>
  <c r="B364" i="33"/>
  <c r="B363" i="33"/>
  <c r="B362" i="33"/>
  <c r="B360" i="33"/>
  <c r="B358" i="33"/>
  <c r="B357" i="33"/>
  <c r="B355" i="33"/>
  <c r="B354" i="33"/>
  <c r="B353" i="33"/>
  <c r="B352" i="33"/>
  <c r="B351" i="33"/>
  <c r="B350" i="33"/>
  <c r="B349" i="33"/>
  <c r="B348" i="33"/>
  <c r="B347" i="33"/>
  <c r="B346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6" i="33"/>
  <c r="B325" i="33"/>
  <c r="B324" i="33"/>
  <c r="B323" i="33"/>
  <c r="B322" i="33"/>
  <c r="B321" i="33"/>
  <c r="B320" i="33"/>
  <c r="G318" i="33"/>
  <c r="B318" i="33"/>
  <c r="B317" i="33"/>
  <c r="B316" i="33"/>
  <c r="B315" i="33"/>
  <c r="B314" i="33"/>
  <c r="G312" i="33"/>
  <c r="B312" i="33"/>
  <c r="B311" i="33"/>
  <c r="B310" i="33"/>
  <c r="B309" i="33"/>
  <c r="G307" i="33"/>
  <c r="B307" i="33"/>
  <c r="B306" i="33"/>
  <c r="B305" i="33"/>
  <c r="B304" i="33"/>
  <c r="G302" i="33"/>
  <c r="B302" i="33"/>
  <c r="G300" i="33"/>
  <c r="B300" i="33"/>
  <c r="B299" i="33"/>
  <c r="B298" i="33"/>
  <c r="B297" i="33"/>
  <c r="B296" i="33"/>
  <c r="B295" i="33"/>
  <c r="B294" i="33"/>
  <c r="B293" i="33"/>
  <c r="B292" i="33"/>
  <c r="B291" i="33"/>
  <c r="G289" i="33"/>
  <c r="B289" i="33"/>
  <c r="B288" i="33"/>
  <c r="G286" i="33"/>
  <c r="B286" i="33"/>
  <c r="B285" i="33"/>
  <c r="B284" i="33"/>
  <c r="G282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G266" i="33"/>
  <c r="B266" i="33"/>
  <c r="B265" i="33"/>
  <c r="G262" i="33"/>
  <c r="B262" i="33"/>
  <c r="B261" i="33"/>
  <c r="G258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G245" i="33"/>
  <c r="B245" i="33"/>
  <c r="B244" i="33"/>
  <c r="G243" i="33"/>
  <c r="B242" i="33"/>
  <c r="B241" i="33"/>
  <c r="B239" i="33"/>
  <c r="B238" i="33"/>
  <c r="B237" i="33"/>
  <c r="G236" i="33"/>
  <c r="B235" i="33"/>
  <c r="B234" i="33"/>
  <c r="B233" i="33"/>
  <c r="B232" i="33"/>
  <c r="B231" i="33"/>
  <c r="B230" i="33"/>
  <c r="B229" i="33"/>
  <c r="B228" i="33"/>
  <c r="G227" i="33"/>
  <c r="B226" i="33"/>
  <c r="B225" i="33"/>
  <c r="B224" i="33"/>
  <c r="B223" i="33"/>
  <c r="B222" i="33"/>
  <c r="B221" i="33"/>
  <c r="B220" i="33"/>
  <c r="B218" i="33"/>
  <c r="B217" i="33"/>
  <c r="B216" i="33"/>
  <c r="G215" i="33"/>
  <c r="B214" i="33"/>
  <c r="B213" i="33"/>
  <c r="B212" i="33"/>
  <c r="B211" i="33"/>
  <c r="G210" i="33"/>
  <c r="B209" i="33"/>
  <c r="B208" i="33"/>
  <c r="B207" i="33"/>
  <c r="B206" i="33"/>
  <c r="G205" i="33"/>
  <c r="B204" i="33"/>
  <c r="B203" i="33"/>
  <c r="B202" i="33"/>
  <c r="B201" i="33"/>
  <c r="B200" i="33"/>
  <c r="G199" i="33"/>
  <c r="B198" i="33"/>
  <c r="B197" i="33"/>
  <c r="G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G183" i="33"/>
  <c r="B182" i="33"/>
  <c r="B181" i="33"/>
  <c r="B180" i="33"/>
  <c r="B179" i="33"/>
  <c r="B178" i="33"/>
  <c r="B177" i="33"/>
  <c r="B176" i="33"/>
  <c r="B175" i="33"/>
  <c r="B174" i="33"/>
  <c r="B173" i="33"/>
  <c r="G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G159" i="33"/>
  <c r="B158" i="33"/>
  <c r="B157" i="33"/>
  <c r="B156" i="33"/>
  <c r="B155" i="33"/>
  <c r="G154" i="33"/>
  <c r="B153" i="33"/>
  <c r="B152" i="33"/>
  <c r="B151" i="33"/>
  <c r="B150" i="33"/>
  <c r="B149" i="33"/>
  <c r="G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G131" i="33"/>
  <c r="B130" i="33"/>
  <c r="B129" i="33"/>
  <c r="B128" i="33"/>
  <c r="B127" i="33"/>
  <c r="B126" i="33"/>
  <c r="B125" i="33"/>
  <c r="B124" i="33"/>
  <c r="B123" i="33"/>
  <c r="B122" i="33"/>
  <c r="G121" i="33"/>
  <c r="B121" i="33"/>
  <c r="B119" i="33"/>
  <c r="B118" i="33"/>
  <c r="B117" i="33"/>
  <c r="B116" i="33"/>
  <c r="B115" i="33"/>
  <c r="B114" i="33"/>
  <c r="B113" i="33"/>
  <c r="B112" i="33"/>
  <c r="B111" i="33"/>
  <c r="G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G95" i="33"/>
  <c r="B94" i="33"/>
  <c r="B93" i="33"/>
  <c r="B92" i="33"/>
  <c r="B91" i="33"/>
  <c r="B90" i="33"/>
  <c r="B89" i="33"/>
  <c r="B88" i="33"/>
  <c r="B86" i="33"/>
  <c r="B84" i="33"/>
  <c r="B83" i="33"/>
  <c r="B82" i="33"/>
  <c r="B81" i="33"/>
  <c r="B80" i="33"/>
  <c r="B79" i="33"/>
  <c r="B78" i="33"/>
  <c r="B76" i="33"/>
  <c r="B75" i="33"/>
  <c r="B74" i="33"/>
  <c r="B73" i="33"/>
  <c r="B72" i="33"/>
  <c r="G70" i="33"/>
  <c r="B70" i="33"/>
  <c r="B69" i="33"/>
  <c r="B68" i="33"/>
  <c r="B67" i="33"/>
  <c r="B66" i="33"/>
  <c r="B65" i="33"/>
  <c r="B64" i="33"/>
  <c r="G63" i="33"/>
  <c r="B62" i="33"/>
  <c r="B61" i="33"/>
  <c r="B60" i="33"/>
  <c r="B59" i="33"/>
  <c r="G58" i="33"/>
  <c r="B57" i="33"/>
  <c r="B56" i="33"/>
  <c r="B55" i="33"/>
  <c r="B54" i="33"/>
  <c r="B53" i="33"/>
  <c r="B52" i="33"/>
  <c r="G51" i="33"/>
  <c r="B49" i="33"/>
  <c r="B48" i="33"/>
  <c r="B47" i="33"/>
  <c r="B46" i="33"/>
  <c r="G45" i="33"/>
  <c r="B44" i="33"/>
  <c r="B43" i="33"/>
  <c r="B42" i="33"/>
  <c r="G41" i="33"/>
  <c r="B40" i="33"/>
  <c r="B39" i="33"/>
  <c r="B38" i="33"/>
  <c r="B37" i="33"/>
  <c r="B36" i="33"/>
  <c r="B35" i="33"/>
  <c r="G34" i="33"/>
  <c r="B33" i="33"/>
  <c r="B32" i="33"/>
  <c r="B31" i="33"/>
  <c r="B30" i="33"/>
  <c r="B29" i="33"/>
  <c r="B28" i="33"/>
  <c r="B27" i="33"/>
  <c r="B26" i="33"/>
  <c r="G25" i="33"/>
  <c r="B24" i="33"/>
  <c r="B23" i="33"/>
  <c r="B22" i="33"/>
  <c r="B21" i="33"/>
  <c r="B20" i="33"/>
  <c r="B19" i="33"/>
  <c r="B18" i="33"/>
  <c r="B17" i="33"/>
  <c r="B16" i="33"/>
  <c r="B15" i="33"/>
  <c r="B14" i="33"/>
  <c r="G13" i="33"/>
  <c r="B12" i="33"/>
  <c r="B11" i="33"/>
  <c r="B10" i="33"/>
  <c r="B9" i="33"/>
  <c r="B8" i="33"/>
  <c r="B7" i="33"/>
  <c r="B6" i="33"/>
  <c r="B5" i="33"/>
  <c r="B4" i="33"/>
  <c r="B3" i="33"/>
  <c r="C80" i="32"/>
  <c r="C78" i="32"/>
  <c r="B78" i="32"/>
  <c r="D79" i="32"/>
  <c r="D73" i="32"/>
  <c r="D72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B20" i="32"/>
  <c r="D20" i="32"/>
  <c r="D78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4" i="32"/>
  <c r="D3" i="32"/>
  <c r="D2" i="32"/>
  <c r="A5" i="76"/>
  <c r="A4" i="76"/>
  <c r="A3" i="76"/>
  <c r="A2" i="76"/>
  <c r="E582" i="74"/>
  <c r="E581" i="74"/>
  <c r="E580" i="74"/>
  <c r="E579" i="74"/>
  <c r="E578" i="74"/>
  <c r="E577" i="74"/>
  <c r="E576" i="74"/>
  <c r="E575" i="74"/>
  <c r="E574" i="74"/>
  <c r="E573" i="74"/>
  <c r="E570" i="74"/>
  <c r="E569" i="74"/>
  <c r="E568" i="74"/>
  <c r="E567" i="74"/>
  <c r="E566" i="74"/>
  <c r="E565" i="74"/>
  <c r="E564" i="74"/>
  <c r="E563" i="74"/>
  <c r="E562" i="74"/>
  <c r="E561" i="74"/>
  <c r="E560" i="74"/>
  <c r="E559" i="74"/>
  <c r="E558" i="74"/>
  <c r="E557" i="74"/>
  <c r="E556" i="74"/>
  <c r="E555" i="74"/>
  <c r="E554" i="74"/>
  <c r="E553" i="74"/>
  <c r="E552" i="74"/>
  <c r="E551" i="74"/>
  <c r="E550" i="74"/>
  <c r="E549" i="74"/>
  <c r="E547" i="74"/>
  <c r="E546" i="74"/>
  <c r="E545" i="74"/>
  <c r="E544" i="74"/>
  <c r="E543" i="74"/>
  <c r="E542" i="74"/>
  <c r="E541" i="74"/>
  <c r="E540" i="74"/>
  <c r="E539" i="74"/>
  <c r="E538" i="74"/>
  <c r="E537" i="74"/>
  <c r="E536" i="74"/>
  <c r="E535" i="74"/>
  <c r="E534" i="74"/>
  <c r="E533" i="74"/>
  <c r="E532" i="74"/>
  <c r="E531" i="74"/>
  <c r="E530" i="74"/>
  <c r="E529" i="74"/>
  <c r="E528" i="74"/>
  <c r="E527" i="74"/>
  <c r="E526" i="74"/>
  <c r="E525" i="74"/>
  <c r="E524" i="74"/>
  <c r="E523" i="74"/>
  <c r="E522" i="74"/>
  <c r="E521" i="74"/>
  <c r="E520" i="74"/>
  <c r="E519" i="74"/>
  <c r="E518" i="74"/>
  <c r="E517" i="74"/>
  <c r="E516" i="74"/>
  <c r="E515" i="74"/>
  <c r="E514" i="74"/>
  <c r="E513" i="74"/>
  <c r="E512" i="74"/>
  <c r="E511" i="74"/>
  <c r="E510" i="74"/>
  <c r="E509" i="74"/>
  <c r="E508" i="74"/>
  <c r="E507" i="74"/>
  <c r="E506" i="74"/>
  <c r="E505" i="74"/>
  <c r="E504" i="74"/>
  <c r="E503" i="74"/>
  <c r="E502" i="74"/>
  <c r="E501" i="74"/>
  <c r="E500" i="74"/>
  <c r="E499" i="74"/>
  <c r="E498" i="74"/>
  <c r="E497" i="74"/>
  <c r="E496" i="74"/>
  <c r="E495" i="74"/>
  <c r="E494" i="74"/>
  <c r="E493" i="74"/>
  <c r="E492" i="74"/>
  <c r="E491" i="74"/>
  <c r="E490" i="74"/>
  <c r="E489" i="74"/>
  <c r="E488" i="74"/>
  <c r="E487" i="74"/>
  <c r="E486" i="74"/>
  <c r="E485" i="74"/>
  <c r="E484" i="74"/>
  <c r="E483" i="74"/>
  <c r="E482" i="74"/>
  <c r="E481" i="74"/>
  <c r="E480" i="74"/>
  <c r="E479" i="74"/>
  <c r="E478" i="74"/>
  <c r="E477" i="74"/>
  <c r="E476" i="74"/>
  <c r="E475" i="74"/>
  <c r="E474" i="74"/>
  <c r="E473" i="74"/>
  <c r="E472" i="74"/>
  <c r="E471" i="74"/>
  <c r="E470" i="74"/>
  <c r="E469" i="74"/>
  <c r="E468" i="74"/>
  <c r="E467" i="74"/>
  <c r="E466" i="74"/>
  <c r="E465" i="74"/>
  <c r="E464" i="74"/>
  <c r="E463" i="74"/>
  <c r="E462" i="74"/>
  <c r="E461" i="74"/>
  <c r="E460" i="74"/>
  <c r="E459" i="74"/>
  <c r="E458" i="74"/>
  <c r="E457" i="74"/>
  <c r="E456" i="74"/>
  <c r="E455" i="74"/>
  <c r="E454" i="74"/>
  <c r="E453" i="74"/>
  <c r="E452" i="74"/>
  <c r="E451" i="74"/>
  <c r="E450" i="74"/>
  <c r="E449" i="74"/>
  <c r="E448" i="74"/>
  <c r="E447" i="74"/>
  <c r="E446" i="74"/>
  <c r="E445" i="74"/>
  <c r="E444" i="74"/>
  <c r="E443" i="74"/>
  <c r="E442" i="74"/>
  <c r="E441" i="74"/>
  <c r="E440" i="74"/>
  <c r="E439" i="74"/>
  <c r="E438" i="74"/>
  <c r="E437" i="74"/>
  <c r="E436" i="74"/>
  <c r="E435" i="74"/>
  <c r="E434" i="74"/>
  <c r="E433" i="74"/>
  <c r="E432" i="74"/>
  <c r="E431" i="74"/>
  <c r="E430" i="74"/>
  <c r="E429" i="74"/>
  <c r="E428" i="74"/>
  <c r="E427" i="74"/>
  <c r="E426" i="74"/>
  <c r="E425" i="74"/>
  <c r="E424" i="74"/>
  <c r="E423" i="74"/>
  <c r="E422" i="74"/>
  <c r="E421" i="74"/>
  <c r="E420" i="74"/>
  <c r="E419" i="74"/>
  <c r="E418" i="74"/>
  <c r="E417" i="74"/>
  <c r="E416" i="74"/>
  <c r="E415" i="74"/>
  <c r="E414" i="74"/>
  <c r="E413" i="74"/>
  <c r="E412" i="74"/>
  <c r="E411" i="74"/>
  <c r="E410" i="74"/>
  <c r="E409" i="74"/>
  <c r="E408" i="74"/>
  <c r="E407" i="74"/>
  <c r="E406" i="74"/>
  <c r="E405" i="74"/>
  <c r="E404" i="74"/>
  <c r="E403" i="74"/>
  <c r="E402" i="74"/>
  <c r="E401" i="74"/>
  <c r="E400" i="74"/>
  <c r="E399" i="74"/>
  <c r="E398" i="74"/>
  <c r="E397" i="74"/>
  <c r="E396" i="74"/>
  <c r="E395" i="74"/>
  <c r="E394" i="74"/>
  <c r="E393" i="74"/>
  <c r="E392" i="74"/>
  <c r="E391" i="74"/>
  <c r="E390" i="74"/>
  <c r="E389" i="74"/>
  <c r="E388" i="74"/>
  <c r="E387" i="74"/>
  <c r="E386" i="74"/>
  <c r="E385" i="74"/>
  <c r="E384" i="74"/>
  <c r="E383" i="74"/>
  <c r="E382" i="74"/>
  <c r="E381" i="74"/>
  <c r="E380" i="74"/>
  <c r="E379" i="74"/>
  <c r="E378" i="74"/>
  <c r="E377" i="74"/>
  <c r="E376" i="74"/>
  <c r="E375" i="74"/>
  <c r="E374" i="74"/>
  <c r="E373" i="74"/>
  <c r="E372" i="74"/>
  <c r="E371" i="74"/>
  <c r="E370" i="74"/>
  <c r="E369" i="74"/>
  <c r="E368" i="74"/>
  <c r="E367" i="74"/>
  <c r="E366" i="74"/>
  <c r="E365" i="74"/>
  <c r="E364" i="74"/>
  <c r="E363" i="74"/>
  <c r="E362" i="74"/>
  <c r="E361" i="74"/>
  <c r="E360" i="74"/>
  <c r="E359" i="74"/>
  <c r="E358" i="74"/>
  <c r="E357" i="74"/>
  <c r="E356" i="74"/>
  <c r="E355" i="74"/>
  <c r="E354" i="74"/>
  <c r="E353" i="74"/>
  <c r="E352" i="74"/>
  <c r="E351" i="74"/>
  <c r="E350" i="74"/>
  <c r="E349" i="74"/>
  <c r="E348" i="74"/>
  <c r="E347" i="74"/>
  <c r="E346" i="74"/>
  <c r="E345" i="74"/>
  <c r="E344" i="74"/>
  <c r="E343" i="74"/>
  <c r="E342" i="74"/>
  <c r="E341" i="74"/>
  <c r="E340" i="74"/>
  <c r="E339" i="74"/>
  <c r="E338" i="74"/>
  <c r="E337" i="74"/>
  <c r="E336" i="74"/>
  <c r="E335" i="74"/>
  <c r="E334" i="74"/>
  <c r="E333" i="74"/>
  <c r="E332" i="74"/>
  <c r="E331" i="74"/>
  <c r="E330" i="74"/>
  <c r="E329" i="74"/>
  <c r="E328" i="74"/>
  <c r="E327" i="74"/>
  <c r="E326" i="74"/>
  <c r="E325" i="74"/>
  <c r="E324" i="74"/>
  <c r="E323" i="74"/>
  <c r="E322" i="74"/>
  <c r="E321" i="74"/>
  <c r="E320" i="74"/>
  <c r="E319" i="74"/>
  <c r="E318" i="74"/>
  <c r="E317" i="74"/>
  <c r="E316" i="74"/>
  <c r="E315" i="74"/>
  <c r="E314" i="74"/>
  <c r="E313" i="74"/>
  <c r="E312" i="74"/>
  <c r="E311" i="74"/>
  <c r="E310" i="74"/>
  <c r="E309" i="74"/>
  <c r="E308" i="74"/>
  <c r="E307" i="74"/>
  <c r="E306" i="74"/>
  <c r="E305" i="74"/>
  <c r="E304" i="74"/>
  <c r="E303" i="74"/>
  <c r="E302" i="74"/>
  <c r="E301" i="74"/>
  <c r="E300" i="74"/>
  <c r="E299" i="74"/>
  <c r="E298" i="74"/>
  <c r="E297" i="74"/>
  <c r="E296" i="74"/>
  <c r="E295" i="74"/>
  <c r="E294" i="74"/>
  <c r="E293" i="74"/>
  <c r="E292" i="74"/>
  <c r="E291" i="74"/>
  <c r="E290" i="74"/>
  <c r="E289" i="74"/>
  <c r="E288" i="74"/>
  <c r="E287" i="74"/>
  <c r="E286" i="74"/>
  <c r="E285" i="74"/>
  <c r="E284" i="74"/>
  <c r="E283" i="74"/>
  <c r="E282" i="74"/>
  <c r="E281" i="74"/>
  <c r="E280" i="74"/>
  <c r="E279" i="74"/>
  <c r="E278" i="74"/>
  <c r="E277" i="74"/>
  <c r="E276" i="74"/>
  <c r="E275" i="74"/>
  <c r="E274" i="74"/>
  <c r="E273" i="74"/>
  <c r="E272" i="74"/>
  <c r="E271" i="74"/>
  <c r="E270" i="74"/>
  <c r="E269" i="74"/>
  <c r="E268" i="74"/>
  <c r="E267" i="74"/>
  <c r="E266" i="74"/>
  <c r="E265" i="74"/>
  <c r="E264" i="74"/>
  <c r="E263" i="74"/>
  <c r="E262" i="74"/>
  <c r="E261" i="74"/>
  <c r="E260" i="74"/>
  <c r="E259" i="74"/>
  <c r="E258" i="74"/>
  <c r="E257" i="74"/>
  <c r="E256" i="74"/>
  <c r="E255" i="74"/>
  <c r="E254" i="74"/>
  <c r="E253" i="74"/>
  <c r="E252" i="74"/>
  <c r="E251" i="74"/>
  <c r="E250" i="74"/>
  <c r="E249" i="74"/>
  <c r="E248" i="74"/>
  <c r="E247" i="74"/>
  <c r="E246" i="74"/>
  <c r="E245" i="74"/>
  <c r="E244" i="74"/>
  <c r="E243" i="74"/>
  <c r="E242" i="74"/>
  <c r="E241" i="74"/>
  <c r="E240" i="74"/>
  <c r="E239" i="74"/>
  <c r="E238" i="74"/>
  <c r="E237" i="74"/>
  <c r="E236" i="74"/>
  <c r="E235" i="74"/>
  <c r="E234" i="74"/>
  <c r="E233" i="74"/>
  <c r="E232" i="74"/>
  <c r="E231" i="74"/>
  <c r="E230" i="74"/>
  <c r="E229" i="74"/>
  <c r="E228" i="74"/>
  <c r="E227" i="74"/>
  <c r="E226" i="74"/>
  <c r="E225" i="74"/>
  <c r="E224" i="74"/>
  <c r="E223" i="74"/>
  <c r="E222" i="74"/>
  <c r="E221" i="74"/>
  <c r="E220" i="74"/>
  <c r="E219" i="74"/>
  <c r="E218" i="74"/>
  <c r="E217" i="74"/>
  <c r="E216" i="74"/>
  <c r="E215" i="74"/>
  <c r="E214" i="74"/>
  <c r="E213" i="74"/>
  <c r="E212" i="74"/>
  <c r="E211" i="74"/>
  <c r="E210" i="74"/>
  <c r="E209" i="74"/>
  <c r="E208" i="74"/>
  <c r="E207" i="74"/>
  <c r="E206" i="74"/>
  <c r="E205" i="74"/>
  <c r="E204" i="74"/>
  <c r="E203" i="74"/>
  <c r="E202" i="74"/>
  <c r="E201" i="74"/>
  <c r="E200" i="74"/>
  <c r="E199" i="74"/>
  <c r="E198" i="74"/>
  <c r="E197" i="74"/>
  <c r="E196" i="74"/>
  <c r="E195" i="74"/>
  <c r="E194" i="74"/>
  <c r="E193" i="74"/>
  <c r="E192" i="74"/>
  <c r="E191" i="74"/>
  <c r="E190" i="74"/>
  <c r="E189" i="74"/>
  <c r="E188" i="74"/>
  <c r="E187" i="74"/>
  <c r="E186" i="74"/>
  <c r="E185" i="74"/>
  <c r="E184" i="74"/>
  <c r="E183" i="74"/>
  <c r="E182" i="74"/>
  <c r="E181" i="74"/>
  <c r="E180" i="74"/>
  <c r="E179" i="74"/>
  <c r="E178" i="74"/>
  <c r="E177" i="74"/>
  <c r="E176" i="74"/>
  <c r="E175" i="74"/>
  <c r="E174" i="74"/>
  <c r="E173" i="74"/>
  <c r="E172" i="74"/>
  <c r="E171" i="74"/>
  <c r="E170" i="74"/>
  <c r="E169" i="74"/>
  <c r="E168" i="74"/>
  <c r="E167" i="74"/>
  <c r="E166" i="74"/>
  <c r="E165" i="74"/>
  <c r="E164" i="74"/>
  <c r="E163" i="74"/>
  <c r="E162" i="74"/>
  <c r="E161" i="74"/>
  <c r="E160" i="74"/>
  <c r="E159" i="74"/>
  <c r="E158" i="74"/>
  <c r="E157" i="74"/>
  <c r="E156" i="74"/>
  <c r="E155" i="74"/>
  <c r="E154" i="74"/>
  <c r="E153" i="74"/>
  <c r="E152" i="74"/>
  <c r="E151" i="74"/>
  <c r="E150" i="74"/>
  <c r="E149" i="74"/>
  <c r="E148" i="74"/>
  <c r="E147" i="74"/>
  <c r="E146" i="74"/>
  <c r="E145" i="74"/>
  <c r="E144" i="74"/>
  <c r="E143" i="74"/>
  <c r="E142" i="74"/>
  <c r="E141" i="74"/>
  <c r="E140" i="74"/>
  <c r="E139" i="74"/>
  <c r="E138" i="74"/>
  <c r="E137" i="74"/>
  <c r="E136" i="74"/>
  <c r="E135" i="74"/>
  <c r="E134" i="74"/>
  <c r="E133" i="74"/>
  <c r="E132" i="74"/>
  <c r="E131" i="74"/>
  <c r="E130" i="74"/>
  <c r="E129" i="74"/>
  <c r="E128" i="74"/>
  <c r="F127" i="74"/>
  <c r="E127" i="74"/>
  <c r="E126" i="74"/>
  <c r="E125" i="74"/>
  <c r="E124" i="74"/>
  <c r="E123" i="74"/>
  <c r="E122" i="74"/>
  <c r="E121" i="74"/>
  <c r="E120" i="74"/>
  <c r="E119" i="74"/>
  <c r="E118" i="74"/>
  <c r="E117" i="74"/>
  <c r="E116" i="74"/>
  <c r="E115" i="74"/>
  <c r="E114" i="74"/>
  <c r="E113" i="74"/>
  <c r="E112" i="74"/>
  <c r="E111" i="74"/>
  <c r="E110" i="74"/>
  <c r="E109" i="74"/>
  <c r="E108" i="74"/>
  <c r="E107" i="74"/>
  <c r="E106" i="74"/>
  <c r="E105" i="74"/>
  <c r="E104" i="74"/>
  <c r="E103" i="74"/>
  <c r="E102" i="74"/>
  <c r="E101" i="74"/>
  <c r="E100" i="74"/>
  <c r="E99" i="74"/>
  <c r="E98" i="74"/>
  <c r="E97" i="74"/>
  <c r="E96" i="74"/>
  <c r="E95" i="74"/>
  <c r="E94" i="74"/>
  <c r="E93" i="74"/>
  <c r="E92" i="74"/>
  <c r="E91" i="74"/>
  <c r="E90" i="74"/>
  <c r="E89" i="74"/>
  <c r="E88" i="74"/>
  <c r="E87" i="74"/>
  <c r="E86" i="74"/>
  <c r="E85" i="74"/>
  <c r="E84" i="74"/>
  <c r="E83" i="74"/>
  <c r="E82" i="74"/>
  <c r="E81" i="74"/>
  <c r="E80" i="74"/>
  <c r="E79" i="74"/>
  <c r="E78" i="74"/>
  <c r="E77" i="74"/>
  <c r="E76" i="74"/>
  <c r="E75" i="74"/>
  <c r="E74" i="74"/>
  <c r="E73" i="74"/>
  <c r="E72" i="74"/>
  <c r="E71" i="74"/>
  <c r="E70" i="74"/>
  <c r="E69" i="74"/>
  <c r="E68" i="74"/>
  <c r="E67" i="74"/>
  <c r="E66" i="74"/>
  <c r="E65" i="74"/>
  <c r="E64" i="74"/>
  <c r="E63" i="74"/>
  <c r="E62" i="74"/>
  <c r="E61" i="74"/>
  <c r="E60" i="74"/>
  <c r="E59" i="74"/>
  <c r="E58" i="74"/>
  <c r="E57" i="74"/>
  <c r="E56" i="74"/>
  <c r="E55" i="74"/>
  <c r="E54" i="74"/>
  <c r="E53" i="74"/>
  <c r="E52" i="74"/>
  <c r="E51" i="74"/>
  <c r="E50" i="74"/>
  <c r="E49" i="74"/>
  <c r="E48" i="74"/>
  <c r="E47" i="74"/>
  <c r="E46" i="74"/>
  <c r="E45" i="74"/>
  <c r="E44" i="74"/>
  <c r="E43" i="74"/>
  <c r="E42" i="74"/>
  <c r="E41" i="74"/>
  <c r="E40" i="74"/>
  <c r="E39" i="74"/>
  <c r="E38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E12" i="74"/>
  <c r="E11" i="74"/>
  <c r="E10" i="74"/>
  <c r="E9" i="74"/>
  <c r="E8" i="74"/>
  <c r="E7" i="74"/>
  <c r="E6" i="74"/>
  <c r="E5" i="74"/>
  <c r="E4" i="74"/>
  <c r="E3" i="74"/>
  <c r="E2" i="74"/>
  <c r="I120" i="25"/>
  <c r="H120" i="25"/>
  <c r="I119" i="25"/>
  <c r="H119" i="25"/>
  <c r="H118" i="25"/>
  <c r="I117" i="25"/>
  <c r="H117" i="25"/>
  <c r="I116" i="25"/>
  <c r="H116" i="25"/>
  <c r="H115" i="25"/>
  <c r="H114" i="25"/>
  <c r="H113" i="25"/>
  <c r="H112" i="25"/>
  <c r="H111" i="25"/>
  <c r="I110" i="25"/>
  <c r="H110" i="25"/>
  <c r="I109" i="25"/>
  <c r="H109" i="25"/>
  <c r="I108" i="25"/>
  <c r="H108" i="25"/>
  <c r="I107" i="25"/>
  <c r="H107" i="25"/>
  <c r="I106" i="25"/>
  <c r="H106" i="25"/>
  <c r="I105" i="25"/>
  <c r="H105" i="25"/>
  <c r="I104" i="25"/>
  <c r="H104" i="25"/>
  <c r="H103" i="25"/>
  <c r="I102" i="25"/>
  <c r="H102" i="25"/>
  <c r="H101" i="25"/>
  <c r="I100" i="25"/>
  <c r="H100" i="25"/>
  <c r="H99" i="25"/>
  <c r="H98" i="25"/>
  <c r="H97" i="25"/>
  <c r="I96" i="25"/>
  <c r="H96" i="25"/>
  <c r="I95" i="25"/>
  <c r="H95" i="25"/>
  <c r="H94" i="25"/>
  <c r="H93" i="25"/>
  <c r="H92" i="25"/>
  <c r="I91" i="25"/>
  <c r="H91" i="25"/>
  <c r="H90" i="25"/>
  <c r="I89" i="25"/>
  <c r="H89" i="25"/>
  <c r="I88" i="25"/>
  <c r="H88" i="25"/>
  <c r="H87" i="25"/>
  <c r="H86" i="25"/>
  <c r="H85" i="25"/>
  <c r="I84" i="25"/>
  <c r="H84" i="25"/>
  <c r="I83" i="25"/>
  <c r="H83" i="25"/>
  <c r="H82" i="25"/>
  <c r="H81" i="25"/>
  <c r="I80" i="25"/>
  <c r="H80" i="25"/>
  <c r="H79" i="25"/>
  <c r="I78" i="25"/>
  <c r="H78" i="25"/>
  <c r="I77" i="25"/>
  <c r="H77" i="25"/>
  <c r="I76" i="25"/>
  <c r="H76" i="25"/>
  <c r="H75" i="25"/>
  <c r="I74" i="25"/>
  <c r="H74" i="25"/>
  <c r="I73" i="25"/>
  <c r="H73" i="25"/>
  <c r="I72" i="25"/>
  <c r="H72" i="25"/>
  <c r="H71" i="25"/>
  <c r="H70" i="25"/>
  <c r="I69" i="25"/>
  <c r="H69" i="25"/>
  <c r="H68" i="25"/>
  <c r="I67" i="25"/>
  <c r="H67" i="25"/>
  <c r="I66" i="25"/>
  <c r="H66" i="25"/>
  <c r="H65" i="25"/>
  <c r="I64" i="25"/>
  <c r="H64" i="25"/>
  <c r="I63" i="25"/>
  <c r="H63" i="25"/>
  <c r="I62" i="25"/>
  <c r="H62" i="25"/>
  <c r="H61" i="25"/>
  <c r="I60" i="25"/>
  <c r="H60" i="25"/>
  <c r="I59" i="25"/>
  <c r="H59" i="25"/>
  <c r="I58" i="25"/>
  <c r="H58" i="25"/>
  <c r="I57" i="25"/>
  <c r="H57" i="25"/>
  <c r="I56" i="25"/>
  <c r="H56" i="25"/>
  <c r="I55" i="25"/>
  <c r="H55" i="25"/>
  <c r="I54" i="25"/>
  <c r="H54" i="25"/>
  <c r="H53" i="25"/>
  <c r="I52" i="25"/>
  <c r="H52" i="25"/>
  <c r="I51" i="25"/>
  <c r="H51" i="25"/>
  <c r="I50" i="25"/>
  <c r="H50" i="25"/>
  <c r="I49" i="25"/>
  <c r="H49" i="25"/>
  <c r="I48" i="25"/>
  <c r="H48" i="25"/>
  <c r="I47" i="25"/>
  <c r="H47" i="25"/>
  <c r="I46" i="25"/>
  <c r="H46" i="25"/>
  <c r="I45" i="25"/>
  <c r="H45" i="25"/>
  <c r="I44" i="25"/>
  <c r="H44" i="25"/>
  <c r="I43" i="25"/>
  <c r="H43" i="25"/>
  <c r="I42" i="25"/>
  <c r="H42" i="25"/>
  <c r="I41" i="25"/>
  <c r="H41" i="25"/>
  <c r="I40" i="25"/>
  <c r="H40" i="25"/>
  <c r="I39" i="25"/>
  <c r="H39" i="25"/>
  <c r="I38" i="25"/>
  <c r="I37" i="25"/>
  <c r="I36" i="25"/>
  <c r="H36" i="25"/>
  <c r="I35" i="25"/>
  <c r="H35" i="25"/>
  <c r="H34" i="25"/>
  <c r="I33" i="25"/>
  <c r="H33" i="25"/>
  <c r="I32" i="25"/>
  <c r="H32" i="25"/>
  <c r="I31" i="25"/>
  <c r="H31" i="25"/>
  <c r="I30" i="25"/>
  <c r="H30" i="25"/>
  <c r="I29" i="25"/>
  <c r="H29" i="25"/>
  <c r="I28" i="25"/>
  <c r="H28" i="25"/>
  <c r="I27" i="25"/>
  <c r="H26" i="25"/>
  <c r="I25" i="25"/>
  <c r="H25" i="25"/>
  <c r="I24" i="25"/>
  <c r="H24" i="25"/>
  <c r="I23" i="25"/>
  <c r="H23" i="25"/>
  <c r="I22" i="25"/>
  <c r="H22" i="25"/>
  <c r="I21" i="25"/>
  <c r="H21" i="25"/>
  <c r="H20" i="25"/>
  <c r="I19" i="25"/>
  <c r="H19" i="25"/>
  <c r="I18" i="25"/>
  <c r="H18" i="25"/>
  <c r="I17" i="25"/>
  <c r="I16" i="25"/>
  <c r="H16" i="25"/>
  <c r="I15" i="25"/>
  <c r="I14" i="25"/>
  <c r="H14" i="25"/>
  <c r="I13" i="25"/>
  <c r="H13" i="25"/>
  <c r="H12" i="25"/>
  <c r="I11" i="25"/>
  <c r="H11" i="25"/>
  <c r="I10" i="25"/>
  <c r="H10" i="25"/>
  <c r="I9" i="25"/>
  <c r="H9" i="25"/>
  <c r="I8" i="25"/>
  <c r="H8" i="25"/>
  <c r="I7" i="25"/>
  <c r="H7" i="25"/>
  <c r="I6" i="25"/>
  <c r="I5" i="25"/>
  <c r="H5" i="25"/>
  <c r="I4" i="25"/>
  <c r="I3" i="25"/>
  <c r="H3" i="25"/>
  <c r="I2" i="25"/>
  <c r="B42" i="86"/>
  <c r="B41" i="86"/>
  <c r="B40" i="86"/>
  <c r="I39" i="86"/>
  <c r="B39" i="86"/>
  <c r="I37" i="86"/>
  <c r="H37" i="86"/>
  <c r="G37" i="86"/>
  <c r="F37" i="86"/>
  <c r="I36" i="86"/>
  <c r="H36" i="86"/>
  <c r="G36" i="86"/>
  <c r="F36" i="86"/>
  <c r="I35" i="86"/>
  <c r="H35" i="86"/>
  <c r="G35" i="86"/>
  <c r="F35" i="86"/>
  <c r="I34" i="86"/>
  <c r="H34" i="86"/>
  <c r="G34" i="86"/>
  <c r="F34" i="86"/>
  <c r="I33" i="86"/>
  <c r="H33" i="86"/>
  <c r="G33" i="86"/>
  <c r="F33" i="86"/>
  <c r="I32" i="86"/>
  <c r="H32" i="86"/>
  <c r="G32" i="86"/>
  <c r="F32" i="86"/>
  <c r="I31" i="86"/>
  <c r="H31" i="86"/>
  <c r="G31" i="86"/>
  <c r="F31" i="86"/>
  <c r="I30" i="86"/>
  <c r="H30" i="86"/>
  <c r="G30" i="86"/>
  <c r="F30" i="86"/>
  <c r="I29" i="86"/>
  <c r="H29" i="86"/>
  <c r="G29" i="86"/>
  <c r="F29" i="86"/>
  <c r="I28" i="86"/>
  <c r="H28" i="86"/>
  <c r="G28" i="86"/>
  <c r="F28" i="86"/>
  <c r="I27" i="86"/>
  <c r="H27" i="86"/>
  <c r="G27" i="86"/>
  <c r="F27" i="86"/>
  <c r="I26" i="86"/>
  <c r="H26" i="86"/>
  <c r="G26" i="86"/>
  <c r="F26" i="86"/>
  <c r="I25" i="86"/>
  <c r="H25" i="86"/>
  <c r="G25" i="86"/>
  <c r="F25" i="86"/>
  <c r="I24" i="86"/>
  <c r="H24" i="86"/>
  <c r="G24" i="86"/>
  <c r="F24" i="86"/>
  <c r="I23" i="86"/>
  <c r="H23" i="86"/>
  <c r="G23" i="86"/>
  <c r="F23" i="86"/>
  <c r="I22" i="86"/>
  <c r="H22" i="86"/>
  <c r="G22" i="86"/>
  <c r="F22" i="86"/>
  <c r="I21" i="86"/>
  <c r="H21" i="86"/>
  <c r="G21" i="86"/>
  <c r="F21" i="86"/>
  <c r="I20" i="86"/>
  <c r="H20" i="86"/>
  <c r="G20" i="86"/>
  <c r="F20" i="86"/>
  <c r="I19" i="86"/>
  <c r="H19" i="86"/>
  <c r="G19" i="86"/>
  <c r="F19" i="86"/>
  <c r="I18" i="86"/>
  <c r="H18" i="86"/>
  <c r="G18" i="86"/>
  <c r="F18" i="86"/>
  <c r="I17" i="86"/>
  <c r="H17" i="86"/>
  <c r="G17" i="86"/>
  <c r="F17" i="86"/>
  <c r="I16" i="86"/>
  <c r="H16" i="86"/>
  <c r="G16" i="86"/>
  <c r="F16" i="86"/>
  <c r="I15" i="86"/>
  <c r="H15" i="86"/>
  <c r="G15" i="86"/>
  <c r="F15" i="86"/>
  <c r="I14" i="86"/>
  <c r="H14" i="86"/>
  <c r="G14" i="86"/>
  <c r="F14" i="86"/>
  <c r="I13" i="86"/>
  <c r="H13" i="86"/>
  <c r="G13" i="86"/>
  <c r="F13" i="86"/>
  <c r="I12" i="86"/>
  <c r="H12" i="86"/>
  <c r="G12" i="86"/>
  <c r="F12" i="86"/>
  <c r="I11" i="86"/>
  <c r="H11" i="86"/>
  <c r="G11" i="86"/>
  <c r="F11" i="86"/>
  <c r="I10" i="86"/>
  <c r="H10" i="86"/>
  <c r="G10" i="86"/>
  <c r="F10" i="86"/>
  <c r="I9" i="86"/>
  <c r="H9" i="86"/>
  <c r="G9" i="86"/>
  <c r="F9" i="86"/>
  <c r="I8" i="86"/>
  <c r="H8" i="86"/>
  <c r="G8" i="86"/>
  <c r="F8" i="86"/>
  <c r="I7" i="86"/>
  <c r="H7" i="86"/>
  <c r="G7" i="86"/>
  <c r="F7" i="86"/>
  <c r="I6" i="86"/>
  <c r="H6" i="86"/>
  <c r="G6" i="86"/>
  <c r="F6" i="86"/>
  <c r="I5" i="86"/>
  <c r="H5" i="86"/>
  <c r="G5" i="86"/>
  <c r="F5" i="86"/>
  <c r="I4" i="86"/>
  <c r="H4" i="86"/>
  <c r="G4" i="86"/>
  <c r="F4" i="86"/>
  <c r="I3" i="86"/>
  <c r="H3" i="86"/>
  <c r="G3" i="86"/>
  <c r="F3" i="86"/>
  <c r="I2" i="86"/>
  <c r="H2" i="86"/>
  <c r="G2" i="86"/>
  <c r="F2" i="86"/>
  <c r="H258" i="85"/>
  <c r="G258" i="85"/>
  <c r="E258" i="85"/>
  <c r="N257" i="85"/>
  <c r="M257" i="85"/>
  <c r="L257" i="85"/>
  <c r="K257" i="85"/>
  <c r="J257" i="85"/>
  <c r="I257" i="85"/>
  <c r="H257" i="85"/>
  <c r="G257" i="85"/>
  <c r="E257" i="85"/>
  <c r="D257" i="85"/>
  <c r="N256" i="85"/>
  <c r="M256" i="85"/>
  <c r="L256" i="85"/>
  <c r="K256" i="85"/>
  <c r="J256" i="85"/>
  <c r="I256" i="85"/>
  <c r="H256" i="85"/>
  <c r="G256" i="85"/>
  <c r="N255" i="85"/>
  <c r="M255" i="85"/>
  <c r="L255" i="85"/>
  <c r="K255" i="85"/>
  <c r="J255" i="85"/>
  <c r="I255" i="85"/>
  <c r="H255" i="85"/>
  <c r="G255" i="85"/>
  <c r="N254" i="85"/>
  <c r="M254" i="85"/>
  <c r="L254" i="85"/>
  <c r="K254" i="85"/>
  <c r="J254" i="85"/>
  <c r="I254" i="85"/>
  <c r="H254" i="85"/>
  <c r="G254" i="85"/>
  <c r="N253" i="85"/>
  <c r="M253" i="85"/>
  <c r="L253" i="85"/>
  <c r="K253" i="85"/>
  <c r="J253" i="85"/>
  <c r="I253" i="85"/>
  <c r="H253" i="85"/>
  <c r="G253" i="85"/>
  <c r="N252" i="85"/>
  <c r="M252" i="85"/>
  <c r="L252" i="85"/>
  <c r="K252" i="85"/>
  <c r="J252" i="85"/>
  <c r="I252" i="85"/>
  <c r="H252" i="85"/>
  <c r="G252" i="85"/>
  <c r="N251" i="85"/>
  <c r="M251" i="85"/>
  <c r="L251" i="85"/>
  <c r="K251" i="85"/>
  <c r="J251" i="85"/>
  <c r="I251" i="85"/>
  <c r="H251" i="85"/>
  <c r="G251" i="85"/>
  <c r="N250" i="85"/>
  <c r="M250" i="85"/>
  <c r="L250" i="85"/>
  <c r="K250" i="85"/>
  <c r="J250" i="85"/>
  <c r="I250" i="85"/>
  <c r="H250" i="85"/>
  <c r="G250" i="85"/>
  <c r="N249" i="85"/>
  <c r="M249" i="85"/>
  <c r="L249" i="85"/>
  <c r="K249" i="85"/>
  <c r="J249" i="85"/>
  <c r="I249" i="85"/>
  <c r="H249" i="85"/>
  <c r="G249" i="85"/>
  <c r="N248" i="85"/>
  <c r="M248" i="85"/>
  <c r="L248" i="85"/>
  <c r="K248" i="85"/>
  <c r="J248" i="85"/>
  <c r="I248" i="85"/>
  <c r="H248" i="85"/>
  <c r="G248" i="85"/>
  <c r="N247" i="85"/>
  <c r="M247" i="85"/>
  <c r="L247" i="85"/>
  <c r="K247" i="85"/>
  <c r="J247" i="85"/>
  <c r="I247" i="85"/>
  <c r="H247" i="85"/>
  <c r="G247" i="85"/>
  <c r="N246" i="85"/>
  <c r="M246" i="85"/>
  <c r="L246" i="85"/>
  <c r="K246" i="85"/>
  <c r="J246" i="85"/>
  <c r="I246" i="85"/>
  <c r="H246" i="85"/>
  <c r="G246" i="85"/>
  <c r="N245" i="85"/>
  <c r="M245" i="85"/>
  <c r="L245" i="85"/>
  <c r="K245" i="85"/>
  <c r="J245" i="85"/>
  <c r="I245" i="85"/>
  <c r="H245" i="85"/>
  <c r="G245" i="85"/>
  <c r="N244" i="85"/>
  <c r="M244" i="85"/>
  <c r="L244" i="85"/>
  <c r="K244" i="85"/>
  <c r="J244" i="85"/>
  <c r="I244" i="85"/>
  <c r="H244" i="85"/>
  <c r="G244" i="85"/>
  <c r="N243" i="85"/>
  <c r="M243" i="85"/>
  <c r="L243" i="85"/>
  <c r="K243" i="85"/>
  <c r="J243" i="85"/>
  <c r="I243" i="85"/>
  <c r="H243" i="85"/>
  <c r="G243" i="85"/>
  <c r="N242" i="85"/>
  <c r="M242" i="85"/>
  <c r="L242" i="85"/>
  <c r="K242" i="85"/>
  <c r="J242" i="85"/>
  <c r="I242" i="85"/>
  <c r="H242" i="85"/>
  <c r="G242" i="85"/>
  <c r="N241" i="85"/>
  <c r="M241" i="85"/>
  <c r="L241" i="85"/>
  <c r="K241" i="85"/>
  <c r="J241" i="85"/>
  <c r="I241" i="85"/>
  <c r="H241" i="85"/>
  <c r="G241" i="85"/>
  <c r="N240" i="85"/>
  <c r="M240" i="85"/>
  <c r="L240" i="85"/>
  <c r="K240" i="85"/>
  <c r="J240" i="85"/>
  <c r="I240" i="85"/>
  <c r="H240" i="85"/>
  <c r="G240" i="85"/>
  <c r="N239" i="85"/>
  <c r="M239" i="85"/>
  <c r="L239" i="85"/>
  <c r="K239" i="85"/>
  <c r="J239" i="85"/>
  <c r="I239" i="85"/>
  <c r="H239" i="85"/>
  <c r="G239" i="85"/>
  <c r="N238" i="85"/>
  <c r="M238" i="85"/>
  <c r="L238" i="85"/>
  <c r="K238" i="85"/>
  <c r="J238" i="85"/>
  <c r="I238" i="85"/>
  <c r="H238" i="85"/>
  <c r="G238" i="85"/>
  <c r="N237" i="85"/>
  <c r="M237" i="85"/>
  <c r="L237" i="85"/>
  <c r="K237" i="85"/>
  <c r="J237" i="85"/>
  <c r="I237" i="85"/>
  <c r="H237" i="85"/>
  <c r="G237" i="85"/>
  <c r="N236" i="85"/>
  <c r="M236" i="85"/>
  <c r="L236" i="85"/>
  <c r="K236" i="85"/>
  <c r="J236" i="85"/>
  <c r="I236" i="85"/>
  <c r="H236" i="85"/>
  <c r="G236" i="85"/>
  <c r="N235" i="85"/>
  <c r="M235" i="85"/>
  <c r="L235" i="85"/>
  <c r="K235" i="85"/>
  <c r="J235" i="85"/>
  <c r="I235" i="85"/>
  <c r="H235" i="85"/>
  <c r="G235" i="85"/>
  <c r="N234" i="85"/>
  <c r="M234" i="85"/>
  <c r="L234" i="85"/>
  <c r="K234" i="85"/>
  <c r="J234" i="85"/>
  <c r="I234" i="85"/>
  <c r="H234" i="85"/>
  <c r="G234" i="85"/>
  <c r="N233" i="85"/>
  <c r="M233" i="85"/>
  <c r="L233" i="85"/>
  <c r="K233" i="85"/>
  <c r="J233" i="85"/>
  <c r="I233" i="85"/>
  <c r="H233" i="85"/>
  <c r="G233" i="85"/>
  <c r="N232" i="85"/>
  <c r="M232" i="85"/>
  <c r="L232" i="85"/>
  <c r="K232" i="85"/>
  <c r="J232" i="85"/>
  <c r="I232" i="85"/>
  <c r="H232" i="85"/>
  <c r="G232" i="85"/>
  <c r="N231" i="85"/>
  <c r="M231" i="85"/>
  <c r="L231" i="85"/>
  <c r="K231" i="85"/>
  <c r="J231" i="85"/>
  <c r="I231" i="85"/>
  <c r="H231" i="85"/>
  <c r="G231" i="85"/>
  <c r="N230" i="85"/>
  <c r="M230" i="85"/>
  <c r="L230" i="85"/>
  <c r="K230" i="85"/>
  <c r="J230" i="85"/>
  <c r="I230" i="85"/>
  <c r="H230" i="85"/>
  <c r="G230" i="85"/>
  <c r="N229" i="85"/>
  <c r="M229" i="85"/>
  <c r="L229" i="85"/>
  <c r="K229" i="85"/>
  <c r="J229" i="85"/>
  <c r="I229" i="85"/>
  <c r="H229" i="85"/>
  <c r="G229" i="85"/>
  <c r="N228" i="85"/>
  <c r="M228" i="85"/>
  <c r="L228" i="85"/>
  <c r="K228" i="85"/>
  <c r="J228" i="85"/>
  <c r="I228" i="85"/>
  <c r="H228" i="85"/>
  <c r="G228" i="85"/>
  <c r="N227" i="85"/>
  <c r="M227" i="85"/>
  <c r="L227" i="85"/>
  <c r="K227" i="85"/>
  <c r="J227" i="85"/>
  <c r="I227" i="85"/>
  <c r="H227" i="85"/>
  <c r="G227" i="85"/>
  <c r="N226" i="85"/>
  <c r="M226" i="85"/>
  <c r="L226" i="85"/>
  <c r="K226" i="85"/>
  <c r="J226" i="85"/>
  <c r="I226" i="85"/>
  <c r="H226" i="85"/>
  <c r="G226" i="85"/>
  <c r="N225" i="85"/>
  <c r="M225" i="85"/>
  <c r="L225" i="85"/>
  <c r="K225" i="85"/>
  <c r="J225" i="85"/>
  <c r="I225" i="85"/>
  <c r="H225" i="85"/>
  <c r="G225" i="85"/>
  <c r="N224" i="85"/>
  <c r="M224" i="85"/>
  <c r="L224" i="85"/>
  <c r="K224" i="85"/>
  <c r="J224" i="85"/>
  <c r="I224" i="85"/>
  <c r="H224" i="85"/>
  <c r="G224" i="85"/>
  <c r="N223" i="85"/>
  <c r="M223" i="85"/>
  <c r="L223" i="85"/>
  <c r="K223" i="85"/>
  <c r="J223" i="85"/>
  <c r="I223" i="85"/>
  <c r="H223" i="85"/>
  <c r="G223" i="85"/>
  <c r="N222" i="85"/>
  <c r="M222" i="85"/>
  <c r="L222" i="85"/>
  <c r="K222" i="85"/>
  <c r="J222" i="85"/>
  <c r="I222" i="85"/>
  <c r="H222" i="85"/>
  <c r="G222" i="85"/>
  <c r="N221" i="85"/>
  <c r="M221" i="85"/>
  <c r="L221" i="85"/>
  <c r="K221" i="85"/>
  <c r="J221" i="85"/>
  <c r="I221" i="85"/>
  <c r="H221" i="85"/>
  <c r="G221" i="85"/>
  <c r="N220" i="85"/>
  <c r="M220" i="85"/>
  <c r="L220" i="85"/>
  <c r="K220" i="85"/>
  <c r="J220" i="85"/>
  <c r="I220" i="85"/>
  <c r="H220" i="85"/>
  <c r="G220" i="85"/>
  <c r="N219" i="85"/>
  <c r="M219" i="85"/>
  <c r="L219" i="85"/>
  <c r="K219" i="85"/>
  <c r="J219" i="85"/>
  <c r="I219" i="85"/>
  <c r="H219" i="85"/>
  <c r="G219" i="85"/>
  <c r="N218" i="85"/>
  <c r="M218" i="85"/>
  <c r="L218" i="85"/>
  <c r="K218" i="85"/>
  <c r="J218" i="85"/>
  <c r="I218" i="85"/>
  <c r="H218" i="85"/>
  <c r="G218" i="85"/>
  <c r="N217" i="85"/>
  <c r="M217" i="85"/>
  <c r="L217" i="85"/>
  <c r="K217" i="85"/>
  <c r="J217" i="85"/>
  <c r="I217" i="85"/>
  <c r="H217" i="85"/>
  <c r="G217" i="85"/>
  <c r="N216" i="85"/>
  <c r="M216" i="85"/>
  <c r="L216" i="85"/>
  <c r="K216" i="85"/>
  <c r="J216" i="85"/>
  <c r="I216" i="85"/>
  <c r="H216" i="85"/>
  <c r="G216" i="85"/>
  <c r="N215" i="85"/>
  <c r="M215" i="85"/>
  <c r="L215" i="85"/>
  <c r="K215" i="85"/>
  <c r="J215" i="85"/>
  <c r="I215" i="85"/>
  <c r="H215" i="85"/>
  <c r="G215" i="85"/>
  <c r="N214" i="85"/>
  <c r="M214" i="85"/>
  <c r="L214" i="85"/>
  <c r="K214" i="85"/>
  <c r="J214" i="85"/>
  <c r="I214" i="85"/>
  <c r="H214" i="85"/>
  <c r="G214" i="85"/>
  <c r="N213" i="85"/>
  <c r="M213" i="85"/>
  <c r="L213" i="85"/>
  <c r="K213" i="85"/>
  <c r="J213" i="85"/>
  <c r="I213" i="85"/>
  <c r="H213" i="85"/>
  <c r="G213" i="85"/>
  <c r="N212" i="85"/>
  <c r="M212" i="85"/>
  <c r="L212" i="85"/>
  <c r="K212" i="85"/>
  <c r="J212" i="85"/>
  <c r="I212" i="85"/>
  <c r="H212" i="85"/>
  <c r="G212" i="85"/>
  <c r="N211" i="85"/>
  <c r="M211" i="85"/>
  <c r="L211" i="85"/>
  <c r="K211" i="85"/>
  <c r="J211" i="85"/>
  <c r="I211" i="85"/>
  <c r="H211" i="85"/>
  <c r="G211" i="85"/>
  <c r="N210" i="85"/>
  <c r="M210" i="85"/>
  <c r="L210" i="85"/>
  <c r="K210" i="85"/>
  <c r="J210" i="85"/>
  <c r="I210" i="85"/>
  <c r="H210" i="85"/>
  <c r="G210" i="85"/>
  <c r="N209" i="85"/>
  <c r="M209" i="85"/>
  <c r="L209" i="85"/>
  <c r="K209" i="85"/>
  <c r="J209" i="85"/>
  <c r="I209" i="85"/>
  <c r="H209" i="85"/>
  <c r="G209" i="85"/>
  <c r="N208" i="85"/>
  <c r="M208" i="85"/>
  <c r="L208" i="85"/>
  <c r="K208" i="85"/>
  <c r="J208" i="85"/>
  <c r="I208" i="85"/>
  <c r="H208" i="85"/>
  <c r="G208" i="85"/>
  <c r="N207" i="85"/>
  <c r="M207" i="85"/>
  <c r="L207" i="85"/>
  <c r="K207" i="85"/>
  <c r="J207" i="85"/>
  <c r="I207" i="85"/>
  <c r="H207" i="85"/>
  <c r="G207" i="85"/>
  <c r="N206" i="85"/>
  <c r="M206" i="85"/>
  <c r="L206" i="85"/>
  <c r="K206" i="85"/>
  <c r="J206" i="85"/>
  <c r="I206" i="85"/>
  <c r="H206" i="85"/>
  <c r="G206" i="85"/>
  <c r="N205" i="85"/>
  <c r="M205" i="85"/>
  <c r="L205" i="85"/>
  <c r="K205" i="85"/>
  <c r="J205" i="85"/>
  <c r="I205" i="85"/>
  <c r="H205" i="85"/>
  <c r="G205" i="85"/>
  <c r="N204" i="85"/>
  <c r="M204" i="85"/>
  <c r="L204" i="85"/>
  <c r="K204" i="85"/>
  <c r="J204" i="85"/>
  <c r="I204" i="85"/>
  <c r="H204" i="85"/>
  <c r="G204" i="85"/>
  <c r="N203" i="85"/>
  <c r="M203" i="85"/>
  <c r="L203" i="85"/>
  <c r="K203" i="85"/>
  <c r="J203" i="85"/>
  <c r="I203" i="85"/>
  <c r="H203" i="85"/>
  <c r="G203" i="85"/>
  <c r="N202" i="85"/>
  <c r="M202" i="85"/>
  <c r="L202" i="85"/>
  <c r="K202" i="85"/>
  <c r="J202" i="85"/>
  <c r="I202" i="85"/>
  <c r="H202" i="85"/>
  <c r="G202" i="85"/>
  <c r="N201" i="85"/>
  <c r="M201" i="85"/>
  <c r="L201" i="85"/>
  <c r="K201" i="85"/>
  <c r="J201" i="85"/>
  <c r="I201" i="85"/>
  <c r="H201" i="85"/>
  <c r="G201" i="85"/>
  <c r="N200" i="85"/>
  <c r="M200" i="85"/>
  <c r="L200" i="85"/>
  <c r="K200" i="85"/>
  <c r="J200" i="85"/>
  <c r="I200" i="85"/>
  <c r="H200" i="85"/>
  <c r="G200" i="85"/>
  <c r="N199" i="85"/>
  <c r="M199" i="85"/>
  <c r="L199" i="85"/>
  <c r="K199" i="85"/>
  <c r="J199" i="85"/>
  <c r="I199" i="85"/>
  <c r="H199" i="85"/>
  <c r="G199" i="85"/>
  <c r="N198" i="85"/>
  <c r="M198" i="85"/>
  <c r="L198" i="85"/>
  <c r="K198" i="85"/>
  <c r="J198" i="85"/>
  <c r="I198" i="85"/>
  <c r="H198" i="85"/>
  <c r="G198" i="85"/>
  <c r="N197" i="85"/>
  <c r="M197" i="85"/>
  <c r="L197" i="85"/>
  <c r="K197" i="85"/>
  <c r="J197" i="85"/>
  <c r="I197" i="85"/>
  <c r="H197" i="85"/>
  <c r="G197" i="85"/>
  <c r="N196" i="85"/>
  <c r="M196" i="85"/>
  <c r="L196" i="85"/>
  <c r="K196" i="85"/>
  <c r="J196" i="85"/>
  <c r="I196" i="85"/>
  <c r="H196" i="85"/>
  <c r="G196" i="85"/>
  <c r="N195" i="85"/>
  <c r="M195" i="85"/>
  <c r="L195" i="85"/>
  <c r="K195" i="85"/>
  <c r="J195" i="85"/>
  <c r="I195" i="85"/>
  <c r="H195" i="85"/>
  <c r="G195" i="85"/>
  <c r="N194" i="85"/>
  <c r="M194" i="85"/>
  <c r="L194" i="85"/>
  <c r="K194" i="85"/>
  <c r="J194" i="85"/>
  <c r="I194" i="85"/>
  <c r="H194" i="85"/>
  <c r="G194" i="85"/>
  <c r="N193" i="85"/>
  <c r="M193" i="85"/>
  <c r="L193" i="85"/>
  <c r="K193" i="85"/>
  <c r="J193" i="85"/>
  <c r="I193" i="85"/>
  <c r="H193" i="85"/>
  <c r="G193" i="85"/>
  <c r="N192" i="85"/>
  <c r="M192" i="85"/>
  <c r="L192" i="85"/>
  <c r="K192" i="85"/>
  <c r="J192" i="85"/>
  <c r="I192" i="85"/>
  <c r="H192" i="85"/>
  <c r="G192" i="85"/>
  <c r="N191" i="85"/>
  <c r="M191" i="85"/>
  <c r="L191" i="85"/>
  <c r="K191" i="85"/>
  <c r="J191" i="85"/>
  <c r="I191" i="85"/>
  <c r="H191" i="85"/>
  <c r="G191" i="85"/>
  <c r="N190" i="85"/>
  <c r="M190" i="85"/>
  <c r="L190" i="85"/>
  <c r="K190" i="85"/>
  <c r="J190" i="85"/>
  <c r="I190" i="85"/>
  <c r="H190" i="85"/>
  <c r="G190" i="85"/>
  <c r="N189" i="85"/>
  <c r="M189" i="85"/>
  <c r="L189" i="85"/>
  <c r="K189" i="85"/>
  <c r="J189" i="85"/>
  <c r="I189" i="85"/>
  <c r="H189" i="85"/>
  <c r="G189" i="85"/>
  <c r="N188" i="85"/>
  <c r="M188" i="85"/>
  <c r="L188" i="85"/>
  <c r="K188" i="85"/>
  <c r="J188" i="85"/>
  <c r="I188" i="85"/>
  <c r="H188" i="85"/>
  <c r="G188" i="85"/>
  <c r="N187" i="85"/>
  <c r="M187" i="85"/>
  <c r="L187" i="85"/>
  <c r="K187" i="85"/>
  <c r="J187" i="85"/>
  <c r="I187" i="85"/>
  <c r="H187" i="85"/>
  <c r="G187" i="85"/>
  <c r="N186" i="85"/>
  <c r="M186" i="85"/>
  <c r="L186" i="85"/>
  <c r="K186" i="85"/>
  <c r="J186" i="85"/>
  <c r="I186" i="85"/>
  <c r="H186" i="85"/>
  <c r="G186" i="85"/>
  <c r="N185" i="85"/>
  <c r="M185" i="85"/>
  <c r="L185" i="85"/>
  <c r="K185" i="85"/>
  <c r="J185" i="85"/>
  <c r="I185" i="85"/>
  <c r="H185" i="85"/>
  <c r="G185" i="85"/>
  <c r="N184" i="85"/>
  <c r="M184" i="85"/>
  <c r="L184" i="85"/>
  <c r="K184" i="85"/>
  <c r="J184" i="85"/>
  <c r="I184" i="85"/>
  <c r="H184" i="85"/>
  <c r="G184" i="85"/>
  <c r="N183" i="85"/>
  <c r="M183" i="85"/>
  <c r="L183" i="85"/>
  <c r="K183" i="85"/>
  <c r="J183" i="85"/>
  <c r="I183" i="85"/>
  <c r="H183" i="85"/>
  <c r="G183" i="85"/>
  <c r="N182" i="85"/>
  <c r="M182" i="85"/>
  <c r="L182" i="85"/>
  <c r="K182" i="85"/>
  <c r="J182" i="85"/>
  <c r="I182" i="85"/>
  <c r="H182" i="85"/>
  <c r="G182" i="85"/>
  <c r="N181" i="85"/>
  <c r="M181" i="85"/>
  <c r="L181" i="85"/>
  <c r="K181" i="85"/>
  <c r="J181" i="85"/>
  <c r="I181" i="85"/>
  <c r="H181" i="85"/>
  <c r="G181" i="85"/>
  <c r="N180" i="85"/>
  <c r="M180" i="85"/>
  <c r="L180" i="85"/>
  <c r="K180" i="85"/>
  <c r="J180" i="85"/>
  <c r="I180" i="85"/>
  <c r="H180" i="85"/>
  <c r="G180" i="85"/>
  <c r="N179" i="85"/>
  <c r="M179" i="85"/>
  <c r="L179" i="85"/>
  <c r="K179" i="85"/>
  <c r="J179" i="85"/>
  <c r="I179" i="85"/>
  <c r="H179" i="85"/>
  <c r="G179" i="85"/>
  <c r="N178" i="85"/>
  <c r="M178" i="85"/>
  <c r="L178" i="85"/>
  <c r="K178" i="85"/>
  <c r="J178" i="85"/>
  <c r="I178" i="85"/>
  <c r="H178" i="85"/>
  <c r="G178" i="85"/>
  <c r="N177" i="85"/>
  <c r="M177" i="85"/>
  <c r="L177" i="85"/>
  <c r="K177" i="85"/>
  <c r="J177" i="85"/>
  <c r="I177" i="85"/>
  <c r="H177" i="85"/>
  <c r="G177" i="85"/>
  <c r="N176" i="85"/>
  <c r="M176" i="85"/>
  <c r="L176" i="85"/>
  <c r="K176" i="85"/>
  <c r="J176" i="85"/>
  <c r="I176" i="85"/>
  <c r="H176" i="85"/>
  <c r="G176" i="85"/>
  <c r="N175" i="85"/>
  <c r="M175" i="85"/>
  <c r="L175" i="85"/>
  <c r="K175" i="85"/>
  <c r="J175" i="85"/>
  <c r="I175" i="85"/>
  <c r="H175" i="85"/>
  <c r="G175" i="85"/>
  <c r="N174" i="85"/>
  <c r="M174" i="85"/>
  <c r="L174" i="85"/>
  <c r="K174" i="85"/>
  <c r="J174" i="85"/>
  <c r="I174" i="85"/>
  <c r="H174" i="85"/>
  <c r="G174" i="85"/>
  <c r="N173" i="85"/>
  <c r="M173" i="85"/>
  <c r="L173" i="85"/>
  <c r="K173" i="85"/>
  <c r="J173" i="85"/>
  <c r="I173" i="85"/>
  <c r="H173" i="85"/>
  <c r="G173" i="85"/>
  <c r="N172" i="85"/>
  <c r="M172" i="85"/>
  <c r="L172" i="85"/>
  <c r="K172" i="85"/>
  <c r="J172" i="85"/>
  <c r="I172" i="85"/>
  <c r="H172" i="85"/>
  <c r="G172" i="85"/>
  <c r="N171" i="85"/>
  <c r="M171" i="85"/>
  <c r="L171" i="85"/>
  <c r="K171" i="85"/>
  <c r="J171" i="85"/>
  <c r="I171" i="85"/>
  <c r="H171" i="85"/>
  <c r="G171" i="85"/>
  <c r="N170" i="85"/>
  <c r="M170" i="85"/>
  <c r="L170" i="85"/>
  <c r="K170" i="85"/>
  <c r="J170" i="85"/>
  <c r="I170" i="85"/>
  <c r="H170" i="85"/>
  <c r="G170" i="85"/>
  <c r="N169" i="85"/>
  <c r="M169" i="85"/>
  <c r="L169" i="85"/>
  <c r="K169" i="85"/>
  <c r="J169" i="85"/>
  <c r="I169" i="85"/>
  <c r="H169" i="85"/>
  <c r="G169" i="85"/>
  <c r="N168" i="85"/>
  <c r="M168" i="85"/>
  <c r="L168" i="85"/>
  <c r="K168" i="85"/>
  <c r="J168" i="85"/>
  <c r="I168" i="85"/>
  <c r="H168" i="85"/>
  <c r="G168" i="85"/>
  <c r="N167" i="85"/>
  <c r="M167" i="85"/>
  <c r="L167" i="85"/>
  <c r="K167" i="85"/>
  <c r="J167" i="85"/>
  <c r="I167" i="85"/>
  <c r="H167" i="85"/>
  <c r="G167" i="85"/>
  <c r="N166" i="85"/>
  <c r="M166" i="85"/>
  <c r="L166" i="85"/>
  <c r="K166" i="85"/>
  <c r="J166" i="85"/>
  <c r="I166" i="85"/>
  <c r="H166" i="85"/>
  <c r="G166" i="85"/>
  <c r="N165" i="85"/>
  <c r="M165" i="85"/>
  <c r="L165" i="85"/>
  <c r="K165" i="85"/>
  <c r="J165" i="85"/>
  <c r="I165" i="85"/>
  <c r="H165" i="85"/>
  <c r="G165" i="85"/>
  <c r="N164" i="85"/>
  <c r="M164" i="85"/>
  <c r="L164" i="85"/>
  <c r="K164" i="85"/>
  <c r="J164" i="85"/>
  <c r="I164" i="85"/>
  <c r="H164" i="85"/>
  <c r="G164" i="85"/>
  <c r="N163" i="85"/>
  <c r="M163" i="85"/>
  <c r="L163" i="85"/>
  <c r="K163" i="85"/>
  <c r="J163" i="85"/>
  <c r="I163" i="85"/>
  <c r="H163" i="85"/>
  <c r="G163" i="85"/>
  <c r="N162" i="85"/>
  <c r="M162" i="85"/>
  <c r="L162" i="85"/>
  <c r="K162" i="85"/>
  <c r="J162" i="85"/>
  <c r="I162" i="85"/>
  <c r="H162" i="85"/>
  <c r="G162" i="85"/>
  <c r="N161" i="85"/>
  <c r="M161" i="85"/>
  <c r="L161" i="85"/>
  <c r="K161" i="85"/>
  <c r="J161" i="85"/>
  <c r="I161" i="85"/>
  <c r="H161" i="85"/>
  <c r="G161" i="85"/>
  <c r="N160" i="85"/>
  <c r="M160" i="85"/>
  <c r="L160" i="85"/>
  <c r="K160" i="85"/>
  <c r="J160" i="85"/>
  <c r="I160" i="85"/>
  <c r="H160" i="85"/>
  <c r="G160" i="85"/>
  <c r="N159" i="85"/>
  <c r="M159" i="85"/>
  <c r="L159" i="85"/>
  <c r="K159" i="85"/>
  <c r="J159" i="85"/>
  <c r="I159" i="85"/>
  <c r="H159" i="85"/>
  <c r="G159" i="85"/>
  <c r="N158" i="85"/>
  <c r="M158" i="85"/>
  <c r="L158" i="85"/>
  <c r="K158" i="85"/>
  <c r="J158" i="85"/>
  <c r="I158" i="85"/>
  <c r="H158" i="85"/>
  <c r="G158" i="85"/>
  <c r="N157" i="85"/>
  <c r="M157" i="85"/>
  <c r="L157" i="85"/>
  <c r="K157" i="85"/>
  <c r="J157" i="85"/>
  <c r="I157" i="85"/>
  <c r="H157" i="85"/>
  <c r="G157" i="85"/>
  <c r="N156" i="85"/>
  <c r="M156" i="85"/>
  <c r="L156" i="85"/>
  <c r="K156" i="85"/>
  <c r="J156" i="85"/>
  <c r="I156" i="85"/>
  <c r="H156" i="85"/>
  <c r="G156" i="85"/>
  <c r="N155" i="85"/>
  <c r="M155" i="85"/>
  <c r="L155" i="85"/>
  <c r="K155" i="85"/>
  <c r="J155" i="85"/>
  <c r="I155" i="85"/>
  <c r="H155" i="85"/>
  <c r="G155" i="85"/>
  <c r="N154" i="85"/>
  <c r="M154" i="85"/>
  <c r="L154" i="85"/>
  <c r="K154" i="85"/>
  <c r="J154" i="85"/>
  <c r="I154" i="85"/>
  <c r="H154" i="85"/>
  <c r="G154" i="85"/>
  <c r="N153" i="85"/>
  <c r="M153" i="85"/>
  <c r="L153" i="85"/>
  <c r="K153" i="85"/>
  <c r="J153" i="85"/>
  <c r="I153" i="85"/>
  <c r="H153" i="85"/>
  <c r="G153" i="85"/>
  <c r="N152" i="85"/>
  <c r="M152" i="85"/>
  <c r="L152" i="85"/>
  <c r="K152" i="85"/>
  <c r="J152" i="85"/>
  <c r="I152" i="85"/>
  <c r="H152" i="85"/>
  <c r="G152" i="85"/>
  <c r="N151" i="85"/>
  <c r="M151" i="85"/>
  <c r="L151" i="85"/>
  <c r="K151" i="85"/>
  <c r="J151" i="85"/>
  <c r="I151" i="85"/>
  <c r="H151" i="85"/>
  <c r="G151" i="85"/>
  <c r="N150" i="85"/>
  <c r="M150" i="85"/>
  <c r="L150" i="85"/>
  <c r="K150" i="85"/>
  <c r="J150" i="85"/>
  <c r="I150" i="85"/>
  <c r="H150" i="85"/>
  <c r="G150" i="85"/>
  <c r="N149" i="85"/>
  <c r="M149" i="85"/>
  <c r="L149" i="85"/>
  <c r="K149" i="85"/>
  <c r="J149" i="85"/>
  <c r="I149" i="85"/>
  <c r="H149" i="85"/>
  <c r="G149" i="85"/>
  <c r="N148" i="85"/>
  <c r="M148" i="85"/>
  <c r="L148" i="85"/>
  <c r="K148" i="85"/>
  <c r="J148" i="85"/>
  <c r="I148" i="85"/>
  <c r="H148" i="85"/>
  <c r="G148" i="85"/>
  <c r="N147" i="85"/>
  <c r="M147" i="85"/>
  <c r="L147" i="85"/>
  <c r="K147" i="85"/>
  <c r="J147" i="85"/>
  <c r="I147" i="85"/>
  <c r="H147" i="85"/>
  <c r="G147" i="85"/>
  <c r="N146" i="85"/>
  <c r="M146" i="85"/>
  <c r="L146" i="85"/>
  <c r="K146" i="85"/>
  <c r="J146" i="85"/>
  <c r="I146" i="85"/>
  <c r="H146" i="85"/>
  <c r="G146" i="85"/>
  <c r="N145" i="85"/>
  <c r="M145" i="85"/>
  <c r="L145" i="85"/>
  <c r="K145" i="85"/>
  <c r="J145" i="85"/>
  <c r="I145" i="85"/>
  <c r="H145" i="85"/>
  <c r="G145" i="85"/>
  <c r="N144" i="85"/>
  <c r="M144" i="85"/>
  <c r="L144" i="85"/>
  <c r="K144" i="85"/>
  <c r="J144" i="85"/>
  <c r="I144" i="85"/>
  <c r="H144" i="85"/>
  <c r="G144" i="85"/>
  <c r="N143" i="85"/>
  <c r="M143" i="85"/>
  <c r="L143" i="85"/>
  <c r="K143" i="85"/>
  <c r="J143" i="85"/>
  <c r="I143" i="85"/>
  <c r="H143" i="85"/>
  <c r="G143" i="85"/>
  <c r="N142" i="85"/>
  <c r="M142" i="85"/>
  <c r="L142" i="85"/>
  <c r="K142" i="85"/>
  <c r="J142" i="85"/>
  <c r="I142" i="85"/>
  <c r="H142" i="85"/>
  <c r="G142" i="85"/>
  <c r="N141" i="85"/>
  <c r="M141" i="85"/>
  <c r="L141" i="85"/>
  <c r="K141" i="85"/>
  <c r="J141" i="85"/>
  <c r="I141" i="85"/>
  <c r="H141" i="85"/>
  <c r="G141" i="85"/>
  <c r="N140" i="85"/>
  <c r="M140" i="85"/>
  <c r="L140" i="85"/>
  <c r="K140" i="85"/>
  <c r="J140" i="85"/>
  <c r="I140" i="85"/>
  <c r="H140" i="85"/>
  <c r="G140" i="85"/>
  <c r="N139" i="85"/>
  <c r="M139" i="85"/>
  <c r="L139" i="85"/>
  <c r="K139" i="85"/>
  <c r="J139" i="85"/>
  <c r="I139" i="85"/>
  <c r="H139" i="85"/>
  <c r="G139" i="85"/>
  <c r="N138" i="85"/>
  <c r="M138" i="85"/>
  <c r="L138" i="85"/>
  <c r="K138" i="85"/>
  <c r="J138" i="85"/>
  <c r="I138" i="85"/>
  <c r="H138" i="85"/>
  <c r="G138" i="85"/>
  <c r="N137" i="85"/>
  <c r="M137" i="85"/>
  <c r="L137" i="85"/>
  <c r="K137" i="85"/>
  <c r="J137" i="85"/>
  <c r="I137" i="85"/>
  <c r="H137" i="85"/>
  <c r="G137" i="85"/>
  <c r="N136" i="85"/>
  <c r="M136" i="85"/>
  <c r="L136" i="85"/>
  <c r="K136" i="85"/>
  <c r="J136" i="85"/>
  <c r="I136" i="85"/>
  <c r="H136" i="85"/>
  <c r="G136" i="85"/>
  <c r="N135" i="85"/>
  <c r="M135" i="85"/>
  <c r="L135" i="85"/>
  <c r="K135" i="85"/>
  <c r="J135" i="85"/>
  <c r="I135" i="85"/>
  <c r="H135" i="85"/>
  <c r="G135" i="85"/>
  <c r="N134" i="85"/>
  <c r="M134" i="85"/>
  <c r="L134" i="85"/>
  <c r="K134" i="85"/>
  <c r="J134" i="85"/>
  <c r="I134" i="85"/>
  <c r="H134" i="85"/>
  <c r="G134" i="85"/>
  <c r="N133" i="85"/>
  <c r="M133" i="85"/>
  <c r="L133" i="85"/>
  <c r="K133" i="85"/>
  <c r="J133" i="85"/>
  <c r="I133" i="85"/>
  <c r="H133" i="85"/>
  <c r="G133" i="85"/>
  <c r="N132" i="85"/>
  <c r="M132" i="85"/>
  <c r="L132" i="85"/>
  <c r="K132" i="85"/>
  <c r="J132" i="85"/>
  <c r="I132" i="85"/>
  <c r="H132" i="85"/>
  <c r="G132" i="85"/>
  <c r="N131" i="85"/>
  <c r="M131" i="85"/>
  <c r="L131" i="85"/>
  <c r="K131" i="85"/>
  <c r="J131" i="85"/>
  <c r="I131" i="85"/>
  <c r="H131" i="85"/>
  <c r="G131" i="85"/>
  <c r="N130" i="85"/>
  <c r="M130" i="85"/>
  <c r="L130" i="85"/>
  <c r="K130" i="85"/>
  <c r="J130" i="85"/>
  <c r="I130" i="85"/>
  <c r="H130" i="85"/>
  <c r="G130" i="85"/>
  <c r="N129" i="85"/>
  <c r="M129" i="85"/>
  <c r="L129" i="85"/>
  <c r="K129" i="85"/>
  <c r="J129" i="85"/>
  <c r="I129" i="85"/>
  <c r="H129" i="85"/>
  <c r="G129" i="85"/>
  <c r="N128" i="85"/>
  <c r="M128" i="85"/>
  <c r="L128" i="85"/>
  <c r="K128" i="85"/>
  <c r="J128" i="85"/>
  <c r="I128" i="85"/>
  <c r="H128" i="85"/>
  <c r="G128" i="85"/>
  <c r="N127" i="85"/>
  <c r="M127" i="85"/>
  <c r="L127" i="85"/>
  <c r="K127" i="85"/>
  <c r="J127" i="85"/>
  <c r="I127" i="85"/>
  <c r="H127" i="85"/>
  <c r="G127" i="85"/>
  <c r="N126" i="85"/>
  <c r="M126" i="85"/>
  <c r="L126" i="85"/>
  <c r="K126" i="85"/>
  <c r="J126" i="85"/>
  <c r="I126" i="85"/>
  <c r="H126" i="85"/>
  <c r="G126" i="85"/>
  <c r="N125" i="85"/>
  <c r="M125" i="85"/>
  <c r="L125" i="85"/>
  <c r="K125" i="85"/>
  <c r="J125" i="85"/>
  <c r="I125" i="85"/>
  <c r="H125" i="85"/>
  <c r="G125" i="85"/>
  <c r="N124" i="85"/>
  <c r="M124" i="85"/>
  <c r="L124" i="85"/>
  <c r="K124" i="85"/>
  <c r="J124" i="85"/>
  <c r="I124" i="85"/>
  <c r="H124" i="85"/>
  <c r="G124" i="85"/>
  <c r="N123" i="85"/>
  <c r="M123" i="85"/>
  <c r="L123" i="85"/>
  <c r="K123" i="85"/>
  <c r="J123" i="85"/>
  <c r="I123" i="85"/>
  <c r="H123" i="85"/>
  <c r="G123" i="85"/>
  <c r="N122" i="85"/>
  <c r="M122" i="85"/>
  <c r="L122" i="85"/>
  <c r="K122" i="85"/>
  <c r="J122" i="85"/>
  <c r="I122" i="85"/>
  <c r="H122" i="85"/>
  <c r="G122" i="85"/>
  <c r="N121" i="85"/>
  <c r="M121" i="85"/>
  <c r="L121" i="85"/>
  <c r="K121" i="85"/>
  <c r="J121" i="85"/>
  <c r="I121" i="85"/>
  <c r="H121" i="85"/>
  <c r="G121" i="85"/>
  <c r="N120" i="85"/>
  <c r="M120" i="85"/>
  <c r="L120" i="85"/>
  <c r="K120" i="85"/>
  <c r="J120" i="85"/>
  <c r="I120" i="85"/>
  <c r="H120" i="85"/>
  <c r="G120" i="85"/>
  <c r="N119" i="85"/>
  <c r="M119" i="85"/>
  <c r="L119" i="85"/>
  <c r="K119" i="85"/>
  <c r="J119" i="85"/>
  <c r="I119" i="85"/>
  <c r="H119" i="85"/>
  <c r="G119" i="85"/>
  <c r="N118" i="85"/>
  <c r="M118" i="85"/>
  <c r="L118" i="85"/>
  <c r="K118" i="85"/>
  <c r="J118" i="85"/>
  <c r="I118" i="85"/>
  <c r="H118" i="85"/>
  <c r="G118" i="85"/>
  <c r="N117" i="85"/>
  <c r="M117" i="85"/>
  <c r="L117" i="85"/>
  <c r="K117" i="85"/>
  <c r="J117" i="85"/>
  <c r="I117" i="85"/>
  <c r="H117" i="85"/>
  <c r="G117" i="85"/>
  <c r="N116" i="85"/>
  <c r="M116" i="85"/>
  <c r="L116" i="85"/>
  <c r="K116" i="85"/>
  <c r="J116" i="85"/>
  <c r="I116" i="85"/>
  <c r="H116" i="85"/>
  <c r="G116" i="85"/>
  <c r="N115" i="85"/>
  <c r="M115" i="85"/>
  <c r="L115" i="85"/>
  <c r="K115" i="85"/>
  <c r="J115" i="85"/>
  <c r="I115" i="85"/>
  <c r="H115" i="85"/>
  <c r="G115" i="85"/>
  <c r="N114" i="85"/>
  <c r="M114" i="85"/>
  <c r="L114" i="85"/>
  <c r="K114" i="85"/>
  <c r="J114" i="85"/>
  <c r="I114" i="85"/>
  <c r="H114" i="85"/>
  <c r="G114" i="85"/>
  <c r="N113" i="85"/>
  <c r="M113" i="85"/>
  <c r="L113" i="85"/>
  <c r="K113" i="85"/>
  <c r="J113" i="85"/>
  <c r="I113" i="85"/>
  <c r="H113" i="85"/>
  <c r="G113" i="85"/>
  <c r="N112" i="85"/>
  <c r="M112" i="85"/>
  <c r="L112" i="85"/>
  <c r="K112" i="85"/>
  <c r="J112" i="85"/>
  <c r="I112" i="85"/>
  <c r="H112" i="85"/>
  <c r="G112" i="85"/>
  <c r="N111" i="85"/>
  <c r="M111" i="85"/>
  <c r="L111" i="85"/>
  <c r="K111" i="85"/>
  <c r="J111" i="85"/>
  <c r="I111" i="85"/>
  <c r="H111" i="85"/>
  <c r="G111" i="85"/>
  <c r="N110" i="85"/>
  <c r="M110" i="85"/>
  <c r="L110" i="85"/>
  <c r="K110" i="85"/>
  <c r="J110" i="85"/>
  <c r="I110" i="85"/>
  <c r="H110" i="85"/>
  <c r="G110" i="85"/>
  <c r="N109" i="85"/>
  <c r="M109" i="85"/>
  <c r="L109" i="85"/>
  <c r="K109" i="85"/>
  <c r="J109" i="85"/>
  <c r="I109" i="85"/>
  <c r="H109" i="85"/>
  <c r="G109" i="85"/>
  <c r="N108" i="85"/>
  <c r="M108" i="85"/>
  <c r="L108" i="85"/>
  <c r="K108" i="85"/>
  <c r="J108" i="85"/>
  <c r="I108" i="85"/>
  <c r="H108" i="85"/>
  <c r="G108" i="85"/>
  <c r="N107" i="85"/>
  <c r="M107" i="85"/>
  <c r="L107" i="85"/>
  <c r="K107" i="85"/>
  <c r="J107" i="85"/>
  <c r="I107" i="85"/>
  <c r="H107" i="85"/>
  <c r="G107" i="85"/>
  <c r="N106" i="85"/>
  <c r="M106" i="85"/>
  <c r="L106" i="85"/>
  <c r="K106" i="85"/>
  <c r="J106" i="85"/>
  <c r="I106" i="85"/>
  <c r="H106" i="85"/>
  <c r="G106" i="85"/>
  <c r="N105" i="85"/>
  <c r="M105" i="85"/>
  <c r="L105" i="85"/>
  <c r="K105" i="85"/>
  <c r="J105" i="85"/>
  <c r="I105" i="85"/>
  <c r="H105" i="85"/>
  <c r="G105" i="85"/>
  <c r="N104" i="85"/>
  <c r="M104" i="85"/>
  <c r="L104" i="85"/>
  <c r="K104" i="85"/>
  <c r="J104" i="85"/>
  <c r="I104" i="85"/>
  <c r="H104" i="85"/>
  <c r="G104" i="85"/>
  <c r="N103" i="85"/>
  <c r="M103" i="85"/>
  <c r="L103" i="85"/>
  <c r="K103" i="85"/>
  <c r="J103" i="85"/>
  <c r="I103" i="85"/>
  <c r="H103" i="85"/>
  <c r="G103" i="85"/>
  <c r="N102" i="85"/>
  <c r="M102" i="85"/>
  <c r="L102" i="85"/>
  <c r="K102" i="85"/>
  <c r="J102" i="85"/>
  <c r="I102" i="85"/>
  <c r="H102" i="85"/>
  <c r="G102" i="85"/>
  <c r="N101" i="85"/>
  <c r="M101" i="85"/>
  <c r="L101" i="85"/>
  <c r="K101" i="85"/>
  <c r="J101" i="85"/>
  <c r="I101" i="85"/>
  <c r="H101" i="85"/>
  <c r="G101" i="85"/>
  <c r="N100" i="85"/>
  <c r="M100" i="85"/>
  <c r="L100" i="85"/>
  <c r="K100" i="85"/>
  <c r="J100" i="85"/>
  <c r="I100" i="85"/>
  <c r="H100" i="85"/>
  <c r="G100" i="85"/>
  <c r="N99" i="85"/>
  <c r="M99" i="85"/>
  <c r="L99" i="85"/>
  <c r="K99" i="85"/>
  <c r="J99" i="85"/>
  <c r="I99" i="85"/>
  <c r="H99" i="85"/>
  <c r="G99" i="85"/>
  <c r="N98" i="85"/>
  <c r="M98" i="85"/>
  <c r="L98" i="85"/>
  <c r="K98" i="85"/>
  <c r="J98" i="85"/>
  <c r="I98" i="85"/>
  <c r="H98" i="85"/>
  <c r="G98" i="85"/>
  <c r="N97" i="85"/>
  <c r="M97" i="85"/>
  <c r="L97" i="85"/>
  <c r="K97" i="85"/>
  <c r="J97" i="85"/>
  <c r="I97" i="85"/>
  <c r="H97" i="85"/>
  <c r="G97" i="85"/>
  <c r="N96" i="85"/>
  <c r="M96" i="85"/>
  <c r="L96" i="85"/>
  <c r="K96" i="85"/>
  <c r="J96" i="85"/>
  <c r="I96" i="85"/>
  <c r="H96" i="85"/>
  <c r="G96" i="85"/>
  <c r="N95" i="85"/>
  <c r="M95" i="85"/>
  <c r="L95" i="85"/>
  <c r="K95" i="85"/>
  <c r="J95" i="85"/>
  <c r="I95" i="85"/>
  <c r="H95" i="85"/>
  <c r="G95" i="85"/>
  <c r="N94" i="85"/>
  <c r="M94" i="85"/>
  <c r="L94" i="85"/>
  <c r="K94" i="85"/>
  <c r="J94" i="85"/>
  <c r="I94" i="85"/>
  <c r="H94" i="85"/>
  <c r="G94" i="85"/>
  <c r="N93" i="85"/>
  <c r="M93" i="85"/>
  <c r="L93" i="85"/>
  <c r="K93" i="85"/>
  <c r="J93" i="85"/>
  <c r="I93" i="85"/>
  <c r="H93" i="85"/>
  <c r="G93" i="85"/>
  <c r="N92" i="85"/>
  <c r="M92" i="85"/>
  <c r="L92" i="85"/>
  <c r="K92" i="85"/>
  <c r="J92" i="85"/>
  <c r="I92" i="85"/>
  <c r="H92" i="85"/>
  <c r="G92" i="85"/>
  <c r="N91" i="85"/>
  <c r="M91" i="85"/>
  <c r="L91" i="85"/>
  <c r="K91" i="85"/>
  <c r="J91" i="85"/>
  <c r="I91" i="85"/>
  <c r="H91" i="85"/>
  <c r="G91" i="85"/>
  <c r="N90" i="85"/>
  <c r="M90" i="85"/>
  <c r="L90" i="85"/>
  <c r="K90" i="85"/>
  <c r="J90" i="85"/>
  <c r="I90" i="85"/>
  <c r="H90" i="85"/>
  <c r="G90" i="85"/>
  <c r="N89" i="85"/>
  <c r="M89" i="85"/>
  <c r="L89" i="85"/>
  <c r="K89" i="85"/>
  <c r="J89" i="85"/>
  <c r="I89" i="85"/>
  <c r="H89" i="85"/>
  <c r="G89" i="85"/>
  <c r="N88" i="85"/>
  <c r="M88" i="85"/>
  <c r="L88" i="85"/>
  <c r="K88" i="85"/>
  <c r="J88" i="85"/>
  <c r="I88" i="85"/>
  <c r="H88" i="85"/>
  <c r="G88" i="85"/>
  <c r="N87" i="85"/>
  <c r="M87" i="85"/>
  <c r="L87" i="85"/>
  <c r="K87" i="85"/>
  <c r="J87" i="85"/>
  <c r="I87" i="85"/>
  <c r="H87" i="85"/>
  <c r="G87" i="85"/>
  <c r="N86" i="85"/>
  <c r="M86" i="85"/>
  <c r="L86" i="85"/>
  <c r="K86" i="85"/>
  <c r="J86" i="85"/>
  <c r="I86" i="85"/>
  <c r="H86" i="85"/>
  <c r="G86" i="85"/>
  <c r="N85" i="85"/>
  <c r="M85" i="85"/>
  <c r="L85" i="85"/>
  <c r="K85" i="85"/>
  <c r="J85" i="85"/>
  <c r="I85" i="85"/>
  <c r="H85" i="85"/>
  <c r="G85" i="85"/>
  <c r="N84" i="85"/>
  <c r="M84" i="85"/>
  <c r="L84" i="85"/>
  <c r="K84" i="85"/>
  <c r="J84" i="85"/>
  <c r="I84" i="85"/>
  <c r="H84" i="85"/>
  <c r="G84" i="85"/>
  <c r="N83" i="85"/>
  <c r="M83" i="85"/>
  <c r="L83" i="85"/>
  <c r="K83" i="85"/>
  <c r="J83" i="85"/>
  <c r="I83" i="85"/>
  <c r="H83" i="85"/>
  <c r="G83" i="85"/>
  <c r="N82" i="85"/>
  <c r="M82" i="85"/>
  <c r="L82" i="85"/>
  <c r="K82" i="85"/>
  <c r="J82" i="85"/>
  <c r="I82" i="85"/>
  <c r="H82" i="85"/>
  <c r="G82" i="85"/>
  <c r="N81" i="85"/>
  <c r="M81" i="85"/>
  <c r="L81" i="85"/>
  <c r="K81" i="85"/>
  <c r="J81" i="85"/>
  <c r="I81" i="85"/>
  <c r="H81" i="85"/>
  <c r="G81" i="85"/>
  <c r="N80" i="85"/>
  <c r="M80" i="85"/>
  <c r="L80" i="85"/>
  <c r="K80" i="85"/>
  <c r="J80" i="85"/>
  <c r="I80" i="85"/>
  <c r="H80" i="85"/>
  <c r="G80" i="85"/>
  <c r="N79" i="85"/>
  <c r="M79" i="85"/>
  <c r="L79" i="85"/>
  <c r="K79" i="85"/>
  <c r="J79" i="85"/>
  <c r="I79" i="85"/>
  <c r="H79" i="85"/>
  <c r="G79" i="85"/>
  <c r="N78" i="85"/>
  <c r="M78" i="85"/>
  <c r="L78" i="85"/>
  <c r="K78" i="85"/>
  <c r="J78" i="85"/>
  <c r="I78" i="85"/>
  <c r="H78" i="85"/>
  <c r="G78" i="85"/>
  <c r="N77" i="85"/>
  <c r="M77" i="85"/>
  <c r="L77" i="85"/>
  <c r="K77" i="85"/>
  <c r="J77" i="85"/>
  <c r="I77" i="85"/>
  <c r="H77" i="85"/>
  <c r="G77" i="85"/>
  <c r="N76" i="85"/>
  <c r="M76" i="85"/>
  <c r="L76" i="85"/>
  <c r="K76" i="85"/>
  <c r="J76" i="85"/>
  <c r="I76" i="85"/>
  <c r="H76" i="85"/>
  <c r="G76" i="85"/>
  <c r="N75" i="85"/>
  <c r="M75" i="85"/>
  <c r="L75" i="85"/>
  <c r="K75" i="85"/>
  <c r="J75" i="85"/>
  <c r="I75" i="85"/>
  <c r="H75" i="85"/>
  <c r="G75" i="85"/>
  <c r="N74" i="85"/>
  <c r="M74" i="85"/>
  <c r="L74" i="85"/>
  <c r="K74" i="85"/>
  <c r="J74" i="85"/>
  <c r="I74" i="85"/>
  <c r="H74" i="85"/>
  <c r="G74" i="85"/>
  <c r="N73" i="85"/>
  <c r="M73" i="85"/>
  <c r="L73" i="85"/>
  <c r="K73" i="85"/>
  <c r="J73" i="85"/>
  <c r="I73" i="85"/>
  <c r="H73" i="85"/>
  <c r="G73" i="85"/>
  <c r="N72" i="85"/>
  <c r="M72" i="85"/>
  <c r="L72" i="85"/>
  <c r="K72" i="85"/>
  <c r="J72" i="85"/>
  <c r="I72" i="85"/>
  <c r="H72" i="85"/>
  <c r="G72" i="85"/>
  <c r="N71" i="85"/>
  <c r="M71" i="85"/>
  <c r="L71" i="85"/>
  <c r="K71" i="85"/>
  <c r="J71" i="85"/>
  <c r="I71" i="85"/>
  <c r="H71" i="85"/>
  <c r="G71" i="85"/>
  <c r="N70" i="85"/>
  <c r="M70" i="85"/>
  <c r="L70" i="85"/>
  <c r="K70" i="85"/>
  <c r="J70" i="85"/>
  <c r="I70" i="85"/>
  <c r="H70" i="85"/>
  <c r="G70" i="85"/>
  <c r="N69" i="85"/>
  <c r="M69" i="85"/>
  <c r="L69" i="85"/>
  <c r="K69" i="85"/>
  <c r="J69" i="85"/>
  <c r="I69" i="85"/>
  <c r="H69" i="85"/>
  <c r="G69" i="85"/>
  <c r="N68" i="85"/>
  <c r="M68" i="85"/>
  <c r="L68" i="85"/>
  <c r="K68" i="85"/>
  <c r="J68" i="85"/>
  <c r="I68" i="85"/>
  <c r="H68" i="85"/>
  <c r="G68" i="85"/>
  <c r="N67" i="85"/>
  <c r="M67" i="85"/>
  <c r="L67" i="85"/>
  <c r="K67" i="85"/>
  <c r="J67" i="85"/>
  <c r="I67" i="85"/>
  <c r="H67" i="85"/>
  <c r="G67" i="85"/>
  <c r="N66" i="85"/>
  <c r="M66" i="85"/>
  <c r="L66" i="85"/>
  <c r="K66" i="85"/>
  <c r="J66" i="85"/>
  <c r="I66" i="85"/>
  <c r="H66" i="85"/>
  <c r="G66" i="85"/>
  <c r="N65" i="85"/>
  <c r="M65" i="85"/>
  <c r="L65" i="85"/>
  <c r="K65" i="85"/>
  <c r="J65" i="85"/>
  <c r="I65" i="85"/>
  <c r="H65" i="85"/>
  <c r="G65" i="85"/>
  <c r="N64" i="85"/>
  <c r="M64" i="85"/>
  <c r="L64" i="85"/>
  <c r="K64" i="85"/>
  <c r="J64" i="85"/>
  <c r="I64" i="85"/>
  <c r="H64" i="85"/>
  <c r="G64" i="85"/>
  <c r="N63" i="85"/>
  <c r="M63" i="85"/>
  <c r="L63" i="85"/>
  <c r="K63" i="85"/>
  <c r="J63" i="85"/>
  <c r="I63" i="85"/>
  <c r="H63" i="85"/>
  <c r="G63" i="85"/>
  <c r="N62" i="85"/>
  <c r="M62" i="85"/>
  <c r="L62" i="85"/>
  <c r="K62" i="85"/>
  <c r="J62" i="85"/>
  <c r="I62" i="85"/>
  <c r="H62" i="85"/>
  <c r="G62" i="85"/>
  <c r="N61" i="85"/>
  <c r="M61" i="85"/>
  <c r="L61" i="85"/>
  <c r="K61" i="85"/>
  <c r="J61" i="85"/>
  <c r="I61" i="85"/>
  <c r="H61" i="85"/>
  <c r="G61" i="85"/>
  <c r="N60" i="85"/>
  <c r="M60" i="85"/>
  <c r="L60" i="85"/>
  <c r="K60" i="85"/>
  <c r="J60" i="85"/>
  <c r="I60" i="85"/>
  <c r="H60" i="85"/>
  <c r="G60" i="85"/>
  <c r="N59" i="85"/>
  <c r="M59" i="85"/>
  <c r="L59" i="85"/>
  <c r="K59" i="85"/>
  <c r="J59" i="85"/>
  <c r="I59" i="85"/>
  <c r="H59" i="85"/>
  <c r="G59" i="85"/>
  <c r="N58" i="85"/>
  <c r="M58" i="85"/>
  <c r="L58" i="85"/>
  <c r="K58" i="85"/>
  <c r="J58" i="85"/>
  <c r="I58" i="85"/>
  <c r="H58" i="85"/>
  <c r="G58" i="85"/>
  <c r="N57" i="85"/>
  <c r="M57" i="85"/>
  <c r="L57" i="85"/>
  <c r="K57" i="85"/>
  <c r="J57" i="85"/>
  <c r="I57" i="85"/>
  <c r="H57" i="85"/>
  <c r="G57" i="85"/>
  <c r="N56" i="85"/>
  <c r="M56" i="85"/>
  <c r="L56" i="85"/>
  <c r="K56" i="85"/>
  <c r="J56" i="85"/>
  <c r="I56" i="85"/>
  <c r="H56" i="85"/>
  <c r="G56" i="85"/>
  <c r="N55" i="85"/>
  <c r="M55" i="85"/>
  <c r="L55" i="85"/>
  <c r="K55" i="85"/>
  <c r="J55" i="85"/>
  <c r="I55" i="85"/>
  <c r="H55" i="85"/>
  <c r="G55" i="85"/>
  <c r="N54" i="85"/>
  <c r="M54" i="85"/>
  <c r="L54" i="85"/>
  <c r="K54" i="85"/>
  <c r="J54" i="85"/>
  <c r="I54" i="85"/>
  <c r="H54" i="85"/>
  <c r="G54" i="85"/>
  <c r="N53" i="85"/>
  <c r="M53" i="85"/>
  <c r="L53" i="85"/>
  <c r="K53" i="85"/>
  <c r="J53" i="85"/>
  <c r="I53" i="85"/>
  <c r="H53" i="85"/>
  <c r="G53" i="85"/>
  <c r="N52" i="85"/>
  <c r="M52" i="85"/>
  <c r="L52" i="85"/>
  <c r="K52" i="85"/>
  <c r="J52" i="85"/>
  <c r="I52" i="85"/>
  <c r="H52" i="85"/>
  <c r="G52" i="85"/>
  <c r="N51" i="85"/>
  <c r="M51" i="85"/>
  <c r="L51" i="85"/>
  <c r="K51" i="85"/>
  <c r="J51" i="85"/>
  <c r="I51" i="85"/>
  <c r="H51" i="85"/>
  <c r="G51" i="85"/>
  <c r="N50" i="85"/>
  <c r="M50" i="85"/>
  <c r="L50" i="85"/>
  <c r="K50" i="85"/>
  <c r="J50" i="85"/>
  <c r="I50" i="85"/>
  <c r="H50" i="85"/>
  <c r="G50" i="85"/>
  <c r="N49" i="85"/>
  <c r="M49" i="85"/>
  <c r="L49" i="85"/>
  <c r="K49" i="85"/>
  <c r="J49" i="85"/>
  <c r="I49" i="85"/>
  <c r="H49" i="85"/>
  <c r="G49" i="85"/>
  <c r="N48" i="85"/>
  <c r="M48" i="85"/>
  <c r="L48" i="85"/>
  <c r="K48" i="85"/>
  <c r="J48" i="85"/>
  <c r="I48" i="85"/>
  <c r="H48" i="85"/>
  <c r="G48" i="85"/>
  <c r="N47" i="85"/>
  <c r="M47" i="85"/>
  <c r="L47" i="85"/>
  <c r="K47" i="85"/>
  <c r="J47" i="85"/>
  <c r="I47" i="85"/>
  <c r="H47" i="85"/>
  <c r="G47" i="85"/>
  <c r="N46" i="85"/>
  <c r="M46" i="85"/>
  <c r="L46" i="85"/>
  <c r="K46" i="85"/>
  <c r="J46" i="85"/>
  <c r="I46" i="85"/>
  <c r="H46" i="85"/>
  <c r="G46" i="85"/>
  <c r="N45" i="85"/>
  <c r="M45" i="85"/>
  <c r="L45" i="85"/>
  <c r="K45" i="85"/>
  <c r="J45" i="85"/>
  <c r="I45" i="85"/>
  <c r="H45" i="85"/>
  <c r="G45" i="85"/>
  <c r="N44" i="85"/>
  <c r="M44" i="85"/>
  <c r="L44" i="85"/>
  <c r="K44" i="85"/>
  <c r="J44" i="85"/>
  <c r="I44" i="85"/>
  <c r="H44" i="85"/>
  <c r="G44" i="85"/>
  <c r="N43" i="85"/>
  <c r="M43" i="85"/>
  <c r="L43" i="85"/>
  <c r="K43" i="85"/>
  <c r="J43" i="85"/>
  <c r="I43" i="85"/>
  <c r="H43" i="85"/>
  <c r="G43" i="85"/>
  <c r="N42" i="85"/>
  <c r="M42" i="85"/>
  <c r="L42" i="85"/>
  <c r="K42" i="85"/>
  <c r="J42" i="85"/>
  <c r="I42" i="85"/>
  <c r="H42" i="85"/>
  <c r="G42" i="85"/>
  <c r="N41" i="85"/>
  <c r="M41" i="85"/>
  <c r="L41" i="85"/>
  <c r="K41" i="85"/>
  <c r="J41" i="85"/>
  <c r="I41" i="85"/>
  <c r="H41" i="85"/>
  <c r="G41" i="85"/>
  <c r="N40" i="85"/>
  <c r="M40" i="85"/>
  <c r="L40" i="85"/>
  <c r="K40" i="85"/>
  <c r="J40" i="85"/>
  <c r="I40" i="85"/>
  <c r="H40" i="85"/>
  <c r="G40" i="85"/>
  <c r="N39" i="85"/>
  <c r="M39" i="85"/>
  <c r="L39" i="85"/>
  <c r="K39" i="85"/>
  <c r="J39" i="85"/>
  <c r="I39" i="85"/>
  <c r="H39" i="85"/>
  <c r="G39" i="85"/>
  <c r="N38" i="85"/>
  <c r="M38" i="85"/>
  <c r="L38" i="85"/>
  <c r="K38" i="85"/>
  <c r="J38" i="85"/>
  <c r="I38" i="85"/>
  <c r="H38" i="85"/>
  <c r="G38" i="85"/>
  <c r="N37" i="85"/>
  <c r="M37" i="85"/>
  <c r="L37" i="85"/>
  <c r="K37" i="85"/>
  <c r="J37" i="85"/>
  <c r="I37" i="85"/>
  <c r="H37" i="85"/>
  <c r="G37" i="85"/>
  <c r="N36" i="85"/>
  <c r="M36" i="85"/>
  <c r="L36" i="85"/>
  <c r="K36" i="85"/>
  <c r="J36" i="85"/>
  <c r="I36" i="85"/>
  <c r="H36" i="85"/>
  <c r="G36" i="85"/>
  <c r="N35" i="85"/>
  <c r="M35" i="85"/>
  <c r="L35" i="85"/>
  <c r="K35" i="85"/>
  <c r="J35" i="85"/>
  <c r="I35" i="85"/>
  <c r="H35" i="85"/>
  <c r="G35" i="85"/>
  <c r="N34" i="85"/>
  <c r="M34" i="85"/>
  <c r="L34" i="85"/>
  <c r="K34" i="85"/>
  <c r="J34" i="85"/>
  <c r="I34" i="85"/>
  <c r="H34" i="85"/>
  <c r="G34" i="85"/>
  <c r="N33" i="85"/>
  <c r="M33" i="85"/>
  <c r="L33" i="85"/>
  <c r="K33" i="85"/>
  <c r="J33" i="85"/>
  <c r="I33" i="85"/>
  <c r="H33" i="85"/>
  <c r="G33" i="85"/>
  <c r="N32" i="85"/>
  <c r="M32" i="85"/>
  <c r="L32" i="85"/>
  <c r="K32" i="85"/>
  <c r="J32" i="85"/>
  <c r="I32" i="85"/>
  <c r="H32" i="85"/>
  <c r="G32" i="85"/>
  <c r="N31" i="85"/>
  <c r="M31" i="85"/>
  <c r="L31" i="85"/>
  <c r="K31" i="85"/>
  <c r="J31" i="85"/>
  <c r="I31" i="85"/>
  <c r="H31" i="85"/>
  <c r="G31" i="85"/>
  <c r="N30" i="85"/>
  <c r="M30" i="85"/>
  <c r="L30" i="85"/>
  <c r="K30" i="85"/>
  <c r="J30" i="85"/>
  <c r="I30" i="85"/>
  <c r="H30" i="85"/>
  <c r="G30" i="85"/>
  <c r="N29" i="85"/>
  <c r="M29" i="85"/>
  <c r="L29" i="85"/>
  <c r="K29" i="85"/>
  <c r="J29" i="85"/>
  <c r="I29" i="85"/>
  <c r="H29" i="85"/>
  <c r="G29" i="85"/>
  <c r="N28" i="85"/>
  <c r="M28" i="85"/>
  <c r="L28" i="85"/>
  <c r="K28" i="85"/>
  <c r="J28" i="85"/>
  <c r="I28" i="85"/>
  <c r="H28" i="85"/>
  <c r="G28" i="85"/>
  <c r="N27" i="85"/>
  <c r="M27" i="85"/>
  <c r="L27" i="85"/>
  <c r="K27" i="85"/>
  <c r="J27" i="85"/>
  <c r="I27" i="85"/>
  <c r="H27" i="85"/>
  <c r="G27" i="85"/>
  <c r="N26" i="85"/>
  <c r="M26" i="85"/>
  <c r="L26" i="85"/>
  <c r="K26" i="85"/>
  <c r="J26" i="85"/>
  <c r="I26" i="85"/>
  <c r="H26" i="85"/>
  <c r="G26" i="85"/>
  <c r="N25" i="85"/>
  <c r="M25" i="85"/>
  <c r="L25" i="85"/>
  <c r="K25" i="85"/>
  <c r="J25" i="85"/>
  <c r="I25" i="85"/>
  <c r="H25" i="85"/>
  <c r="G25" i="85"/>
  <c r="N24" i="85"/>
  <c r="M24" i="85"/>
  <c r="L24" i="85"/>
  <c r="K24" i="85"/>
  <c r="J24" i="85"/>
  <c r="I24" i="85"/>
  <c r="H24" i="85"/>
  <c r="G24" i="85"/>
  <c r="N23" i="85"/>
  <c r="M23" i="85"/>
  <c r="L23" i="85"/>
  <c r="K23" i="85"/>
  <c r="J23" i="85"/>
  <c r="I23" i="85"/>
  <c r="H23" i="85"/>
  <c r="G23" i="85"/>
  <c r="N22" i="85"/>
  <c r="M22" i="85"/>
  <c r="L22" i="85"/>
  <c r="K22" i="85"/>
  <c r="J22" i="85"/>
  <c r="I22" i="85"/>
  <c r="H22" i="85"/>
  <c r="G22" i="85"/>
  <c r="N21" i="85"/>
  <c r="M21" i="85"/>
  <c r="L21" i="85"/>
  <c r="K21" i="85"/>
  <c r="J21" i="85"/>
  <c r="I21" i="85"/>
  <c r="H21" i="85"/>
  <c r="G21" i="85"/>
  <c r="N20" i="85"/>
  <c r="M20" i="85"/>
  <c r="L20" i="85"/>
  <c r="K20" i="85"/>
  <c r="J20" i="85"/>
  <c r="I20" i="85"/>
  <c r="H20" i="85"/>
  <c r="G20" i="85"/>
  <c r="N19" i="85"/>
  <c r="M19" i="85"/>
  <c r="L19" i="85"/>
  <c r="K19" i="85"/>
  <c r="J19" i="85"/>
  <c r="I19" i="85"/>
  <c r="H19" i="85"/>
  <c r="G19" i="85"/>
  <c r="N18" i="85"/>
  <c r="M18" i="85"/>
  <c r="L18" i="85"/>
  <c r="K18" i="85"/>
  <c r="J18" i="85"/>
  <c r="I18" i="85"/>
  <c r="H18" i="85"/>
  <c r="G18" i="85"/>
  <c r="N17" i="85"/>
  <c r="M17" i="85"/>
  <c r="L17" i="85"/>
  <c r="K17" i="85"/>
  <c r="J17" i="85"/>
  <c r="I17" i="85"/>
  <c r="H17" i="85"/>
  <c r="G17" i="85"/>
  <c r="N16" i="85"/>
  <c r="M16" i="85"/>
  <c r="L16" i="85"/>
  <c r="K16" i="85"/>
  <c r="J16" i="85"/>
  <c r="I16" i="85"/>
  <c r="H16" i="85"/>
  <c r="G16" i="85"/>
  <c r="N15" i="85"/>
  <c r="M15" i="85"/>
  <c r="L15" i="85"/>
  <c r="K15" i="85"/>
  <c r="J15" i="85"/>
  <c r="I15" i="85"/>
  <c r="H15" i="85"/>
  <c r="G15" i="85"/>
  <c r="N14" i="85"/>
  <c r="M14" i="85"/>
  <c r="L14" i="85"/>
  <c r="K14" i="85"/>
  <c r="J14" i="85"/>
  <c r="I14" i="85"/>
  <c r="H14" i="85"/>
  <c r="G14" i="85"/>
  <c r="N13" i="85"/>
  <c r="M13" i="85"/>
  <c r="L13" i="85"/>
  <c r="K13" i="85"/>
  <c r="J13" i="85"/>
  <c r="I13" i="85"/>
  <c r="H13" i="85"/>
  <c r="G13" i="85"/>
  <c r="N12" i="85"/>
  <c r="M12" i="85"/>
  <c r="L12" i="85"/>
  <c r="K12" i="85"/>
  <c r="J12" i="85"/>
  <c r="I12" i="85"/>
  <c r="H12" i="85"/>
  <c r="G12" i="85"/>
  <c r="N11" i="85"/>
  <c r="M11" i="85"/>
  <c r="L11" i="85"/>
  <c r="K11" i="85"/>
  <c r="J11" i="85"/>
  <c r="I11" i="85"/>
  <c r="H11" i="85"/>
  <c r="G11" i="85"/>
  <c r="N10" i="85"/>
  <c r="M10" i="85"/>
  <c r="L10" i="85"/>
  <c r="K10" i="85"/>
  <c r="J10" i="85"/>
  <c r="I10" i="85"/>
  <c r="H10" i="85"/>
  <c r="G10" i="85"/>
  <c r="N9" i="85"/>
  <c r="M9" i="85"/>
  <c r="L9" i="85"/>
  <c r="K9" i="85"/>
  <c r="J9" i="85"/>
  <c r="I9" i="85"/>
  <c r="H9" i="85"/>
  <c r="G9" i="85"/>
  <c r="N8" i="85"/>
  <c r="M8" i="85"/>
  <c r="L8" i="85"/>
  <c r="K8" i="85"/>
  <c r="J8" i="85"/>
  <c r="I8" i="85"/>
  <c r="H8" i="85"/>
  <c r="G8" i="85"/>
  <c r="N7" i="85"/>
  <c r="M7" i="85"/>
  <c r="L7" i="85"/>
  <c r="K7" i="85"/>
  <c r="J7" i="85"/>
  <c r="I7" i="85"/>
  <c r="H7" i="85"/>
  <c r="G7" i="85"/>
  <c r="N6" i="85"/>
  <c r="M6" i="85"/>
  <c r="L6" i="85"/>
  <c r="K6" i="85"/>
  <c r="J6" i="85"/>
  <c r="I6" i="85"/>
  <c r="H6" i="85"/>
  <c r="G6" i="85"/>
  <c r="N5" i="85"/>
  <c r="M5" i="85"/>
  <c r="L5" i="85"/>
  <c r="K5" i="85"/>
  <c r="J5" i="85"/>
  <c r="I5" i="85"/>
  <c r="H5" i="85"/>
  <c r="G5" i="85"/>
  <c r="N4" i="85"/>
  <c r="M4" i="85"/>
  <c r="L4" i="85"/>
  <c r="K4" i="85"/>
  <c r="J4" i="85"/>
  <c r="I4" i="85"/>
  <c r="H4" i="85"/>
  <c r="G4" i="85"/>
  <c r="N3" i="85"/>
  <c r="M3" i="85"/>
  <c r="L3" i="85"/>
  <c r="K3" i="85"/>
  <c r="J3" i="85"/>
  <c r="I3" i="85"/>
  <c r="H3" i="85"/>
  <c r="G3" i="85"/>
  <c r="G2" i="85"/>
  <c r="H223" i="2"/>
  <c r="G223" i="2"/>
  <c r="E223" i="2"/>
  <c r="N222" i="2"/>
  <c r="M222" i="2"/>
  <c r="L222" i="2"/>
  <c r="K222" i="2"/>
  <c r="J222" i="2"/>
  <c r="I222" i="2"/>
  <c r="H222" i="2"/>
  <c r="G222" i="2"/>
  <c r="E222" i="2"/>
  <c r="D222" i="2"/>
  <c r="N221" i="2"/>
  <c r="M221" i="2"/>
  <c r="L221" i="2"/>
  <c r="K221" i="2"/>
  <c r="J221" i="2"/>
  <c r="I221" i="2"/>
  <c r="H221" i="2"/>
  <c r="G221" i="2"/>
  <c r="N220" i="2"/>
  <c r="M220" i="2"/>
  <c r="L220" i="2"/>
  <c r="K220" i="2"/>
  <c r="J220" i="2"/>
  <c r="I220" i="2"/>
  <c r="H220" i="2"/>
  <c r="G220" i="2"/>
  <c r="N219" i="2"/>
  <c r="M219" i="2"/>
  <c r="L219" i="2"/>
  <c r="K219" i="2"/>
  <c r="J219" i="2"/>
  <c r="I219" i="2"/>
  <c r="H219" i="2"/>
  <c r="G219" i="2"/>
  <c r="N218" i="2"/>
  <c r="M218" i="2"/>
  <c r="L218" i="2"/>
  <c r="K218" i="2"/>
  <c r="J218" i="2"/>
  <c r="I218" i="2"/>
  <c r="H218" i="2"/>
  <c r="G218" i="2"/>
  <c r="N217" i="2"/>
  <c r="M217" i="2"/>
  <c r="L217" i="2"/>
  <c r="K217" i="2"/>
  <c r="J217" i="2"/>
  <c r="I217" i="2"/>
  <c r="H217" i="2"/>
  <c r="G217" i="2"/>
  <c r="N216" i="2"/>
  <c r="M216" i="2"/>
  <c r="L216" i="2"/>
  <c r="K216" i="2"/>
  <c r="J216" i="2"/>
  <c r="I216" i="2"/>
  <c r="H216" i="2"/>
  <c r="G216" i="2"/>
  <c r="N215" i="2"/>
  <c r="M215" i="2"/>
  <c r="L215" i="2"/>
  <c r="K215" i="2"/>
  <c r="J215" i="2"/>
  <c r="I215" i="2"/>
  <c r="H215" i="2"/>
  <c r="G215" i="2"/>
  <c r="N214" i="2"/>
  <c r="M214" i="2"/>
  <c r="L214" i="2"/>
  <c r="K214" i="2"/>
  <c r="J214" i="2"/>
  <c r="I214" i="2"/>
  <c r="H214" i="2"/>
  <c r="G214" i="2"/>
  <c r="N213" i="2"/>
  <c r="M213" i="2"/>
  <c r="L213" i="2"/>
  <c r="K213" i="2"/>
  <c r="J213" i="2"/>
  <c r="I213" i="2"/>
  <c r="H213" i="2"/>
  <c r="G213" i="2"/>
  <c r="N212" i="2"/>
  <c r="M212" i="2"/>
  <c r="L212" i="2"/>
  <c r="K212" i="2"/>
  <c r="J212" i="2"/>
  <c r="I212" i="2"/>
  <c r="H212" i="2"/>
  <c r="G212" i="2"/>
  <c r="N211" i="2"/>
  <c r="M211" i="2"/>
  <c r="L211" i="2"/>
  <c r="K211" i="2"/>
  <c r="J211" i="2"/>
  <c r="I211" i="2"/>
  <c r="H211" i="2"/>
  <c r="G211" i="2"/>
  <c r="N210" i="2"/>
  <c r="M210" i="2"/>
  <c r="L210" i="2"/>
  <c r="K210" i="2"/>
  <c r="J210" i="2"/>
  <c r="I210" i="2"/>
  <c r="H210" i="2"/>
  <c r="G210" i="2"/>
  <c r="N209" i="2"/>
  <c r="M209" i="2"/>
  <c r="L209" i="2"/>
  <c r="K209" i="2"/>
  <c r="J209" i="2"/>
  <c r="I209" i="2"/>
  <c r="H209" i="2"/>
  <c r="G209" i="2"/>
  <c r="N208" i="2"/>
  <c r="M208" i="2"/>
  <c r="L208" i="2"/>
  <c r="K208" i="2"/>
  <c r="J208" i="2"/>
  <c r="I208" i="2"/>
  <c r="H208" i="2"/>
  <c r="G208" i="2"/>
  <c r="N207" i="2"/>
  <c r="M207" i="2"/>
  <c r="L207" i="2"/>
  <c r="K207" i="2"/>
  <c r="J207" i="2"/>
  <c r="I207" i="2"/>
  <c r="H207" i="2"/>
  <c r="G207" i="2"/>
  <c r="N206" i="2"/>
  <c r="M206" i="2"/>
  <c r="L206" i="2"/>
  <c r="K206" i="2"/>
  <c r="J206" i="2"/>
  <c r="I206" i="2"/>
  <c r="H206" i="2"/>
  <c r="G206" i="2"/>
  <c r="N205" i="2"/>
  <c r="M205" i="2"/>
  <c r="L205" i="2"/>
  <c r="K205" i="2"/>
  <c r="J205" i="2"/>
  <c r="I205" i="2"/>
  <c r="H205" i="2"/>
  <c r="G205" i="2"/>
  <c r="N204" i="2"/>
  <c r="M204" i="2"/>
  <c r="L204" i="2"/>
  <c r="K204" i="2"/>
  <c r="J204" i="2"/>
  <c r="I204" i="2"/>
  <c r="H204" i="2"/>
  <c r="G204" i="2"/>
  <c r="N203" i="2"/>
  <c r="M203" i="2"/>
  <c r="L203" i="2"/>
  <c r="K203" i="2"/>
  <c r="J203" i="2"/>
  <c r="I203" i="2"/>
  <c r="H203" i="2"/>
  <c r="G203" i="2"/>
  <c r="N202" i="2"/>
  <c r="M202" i="2"/>
  <c r="L202" i="2"/>
  <c r="K202" i="2"/>
  <c r="J202" i="2"/>
  <c r="I202" i="2"/>
  <c r="H202" i="2"/>
  <c r="G202" i="2"/>
  <c r="N201" i="2"/>
  <c r="M201" i="2"/>
  <c r="L201" i="2"/>
  <c r="K201" i="2"/>
  <c r="J201" i="2"/>
  <c r="I201" i="2"/>
  <c r="H201" i="2"/>
  <c r="G201" i="2"/>
  <c r="N200" i="2"/>
  <c r="M200" i="2"/>
  <c r="L200" i="2"/>
  <c r="K200" i="2"/>
  <c r="J200" i="2"/>
  <c r="I200" i="2"/>
  <c r="H200" i="2"/>
  <c r="G200" i="2"/>
  <c r="N199" i="2"/>
  <c r="M199" i="2"/>
  <c r="L199" i="2"/>
  <c r="K199" i="2"/>
  <c r="J199" i="2"/>
  <c r="I199" i="2"/>
  <c r="H199" i="2"/>
  <c r="G199" i="2"/>
  <c r="N198" i="2"/>
  <c r="M198" i="2"/>
  <c r="L198" i="2"/>
  <c r="K198" i="2"/>
  <c r="J198" i="2"/>
  <c r="I198" i="2"/>
  <c r="H198" i="2"/>
  <c r="G198" i="2"/>
  <c r="N197" i="2"/>
  <c r="M197" i="2"/>
  <c r="L197" i="2"/>
  <c r="K197" i="2"/>
  <c r="J197" i="2"/>
  <c r="I197" i="2"/>
  <c r="H197" i="2"/>
  <c r="G197" i="2"/>
  <c r="N196" i="2"/>
  <c r="M196" i="2"/>
  <c r="L196" i="2"/>
  <c r="K196" i="2"/>
  <c r="J196" i="2"/>
  <c r="I196" i="2"/>
  <c r="H196" i="2"/>
  <c r="G196" i="2"/>
  <c r="N195" i="2"/>
  <c r="M195" i="2"/>
  <c r="L195" i="2"/>
  <c r="K195" i="2"/>
  <c r="J195" i="2"/>
  <c r="I195" i="2"/>
  <c r="H195" i="2"/>
  <c r="G195" i="2"/>
  <c r="N194" i="2"/>
  <c r="M194" i="2"/>
  <c r="L194" i="2"/>
  <c r="K194" i="2"/>
  <c r="J194" i="2"/>
  <c r="I194" i="2"/>
  <c r="H194" i="2"/>
  <c r="G194" i="2"/>
  <c r="N193" i="2"/>
  <c r="M193" i="2"/>
  <c r="L193" i="2"/>
  <c r="K193" i="2"/>
  <c r="J193" i="2"/>
  <c r="I193" i="2"/>
  <c r="H193" i="2"/>
  <c r="G193" i="2"/>
  <c r="N192" i="2"/>
  <c r="M192" i="2"/>
  <c r="L192" i="2"/>
  <c r="K192" i="2"/>
  <c r="J192" i="2"/>
  <c r="I192" i="2"/>
  <c r="H192" i="2"/>
  <c r="G192" i="2"/>
  <c r="N191" i="2"/>
  <c r="M191" i="2"/>
  <c r="L191" i="2"/>
  <c r="K191" i="2"/>
  <c r="J191" i="2"/>
  <c r="I191" i="2"/>
  <c r="H191" i="2"/>
  <c r="G191" i="2"/>
  <c r="N190" i="2"/>
  <c r="M190" i="2"/>
  <c r="L190" i="2"/>
  <c r="K190" i="2"/>
  <c r="J190" i="2"/>
  <c r="I190" i="2"/>
  <c r="H190" i="2"/>
  <c r="G190" i="2"/>
  <c r="N189" i="2"/>
  <c r="M189" i="2"/>
  <c r="L189" i="2"/>
  <c r="K189" i="2"/>
  <c r="J189" i="2"/>
  <c r="I189" i="2"/>
  <c r="H189" i="2"/>
  <c r="G189" i="2"/>
  <c r="N188" i="2"/>
  <c r="M188" i="2"/>
  <c r="L188" i="2"/>
  <c r="K188" i="2"/>
  <c r="J188" i="2"/>
  <c r="I188" i="2"/>
  <c r="H188" i="2"/>
  <c r="G188" i="2"/>
  <c r="N187" i="2"/>
  <c r="M187" i="2"/>
  <c r="L187" i="2"/>
  <c r="K187" i="2"/>
  <c r="J187" i="2"/>
  <c r="I187" i="2"/>
  <c r="H187" i="2"/>
  <c r="G187" i="2"/>
  <c r="N186" i="2"/>
  <c r="M186" i="2"/>
  <c r="L186" i="2"/>
  <c r="K186" i="2"/>
  <c r="J186" i="2"/>
  <c r="I186" i="2"/>
  <c r="H186" i="2"/>
  <c r="G186" i="2"/>
  <c r="N185" i="2"/>
  <c r="M185" i="2"/>
  <c r="L185" i="2"/>
  <c r="K185" i="2"/>
  <c r="J185" i="2"/>
  <c r="I185" i="2"/>
  <c r="H185" i="2"/>
  <c r="G185" i="2"/>
  <c r="N184" i="2"/>
  <c r="M184" i="2"/>
  <c r="L184" i="2"/>
  <c r="K184" i="2"/>
  <c r="J184" i="2"/>
  <c r="I184" i="2"/>
  <c r="H184" i="2"/>
  <c r="G184" i="2"/>
  <c r="N183" i="2"/>
  <c r="M183" i="2"/>
  <c r="L183" i="2"/>
  <c r="K183" i="2"/>
  <c r="J183" i="2"/>
  <c r="I183" i="2"/>
  <c r="H183" i="2"/>
  <c r="G183" i="2"/>
  <c r="N182" i="2"/>
  <c r="M182" i="2"/>
  <c r="L182" i="2"/>
  <c r="K182" i="2"/>
  <c r="J182" i="2"/>
  <c r="I182" i="2"/>
  <c r="H182" i="2"/>
  <c r="G182" i="2"/>
  <c r="N181" i="2"/>
  <c r="M181" i="2"/>
  <c r="L181" i="2"/>
  <c r="K181" i="2"/>
  <c r="J181" i="2"/>
  <c r="I181" i="2"/>
  <c r="H181" i="2"/>
  <c r="G181" i="2"/>
  <c r="N180" i="2"/>
  <c r="M180" i="2"/>
  <c r="L180" i="2"/>
  <c r="K180" i="2"/>
  <c r="J180" i="2"/>
  <c r="I180" i="2"/>
  <c r="H180" i="2"/>
  <c r="G180" i="2"/>
  <c r="N179" i="2"/>
  <c r="M179" i="2"/>
  <c r="L179" i="2"/>
  <c r="K179" i="2"/>
  <c r="J179" i="2"/>
  <c r="I179" i="2"/>
  <c r="H179" i="2"/>
  <c r="G179" i="2"/>
  <c r="N178" i="2"/>
  <c r="M178" i="2"/>
  <c r="L178" i="2"/>
  <c r="K178" i="2"/>
  <c r="J178" i="2"/>
  <c r="I178" i="2"/>
  <c r="H178" i="2"/>
  <c r="G178" i="2"/>
  <c r="N177" i="2"/>
  <c r="M177" i="2"/>
  <c r="L177" i="2"/>
  <c r="K177" i="2"/>
  <c r="J177" i="2"/>
  <c r="I177" i="2"/>
  <c r="H177" i="2"/>
  <c r="G177" i="2"/>
  <c r="N176" i="2"/>
  <c r="M176" i="2"/>
  <c r="L176" i="2"/>
  <c r="K176" i="2"/>
  <c r="J176" i="2"/>
  <c r="I176" i="2"/>
  <c r="H176" i="2"/>
  <c r="G176" i="2"/>
  <c r="N175" i="2"/>
  <c r="M175" i="2"/>
  <c r="L175" i="2"/>
  <c r="K175" i="2"/>
  <c r="J175" i="2"/>
  <c r="I175" i="2"/>
  <c r="H175" i="2"/>
  <c r="G175" i="2"/>
  <c r="N174" i="2"/>
  <c r="M174" i="2"/>
  <c r="L174" i="2"/>
  <c r="K174" i="2"/>
  <c r="J174" i="2"/>
  <c r="I174" i="2"/>
  <c r="H174" i="2"/>
  <c r="G174" i="2"/>
  <c r="N173" i="2"/>
  <c r="M173" i="2"/>
  <c r="L173" i="2"/>
  <c r="K173" i="2"/>
  <c r="J173" i="2"/>
  <c r="I173" i="2"/>
  <c r="H173" i="2"/>
  <c r="G173" i="2"/>
  <c r="N172" i="2"/>
  <c r="M172" i="2"/>
  <c r="L172" i="2"/>
  <c r="K172" i="2"/>
  <c r="J172" i="2"/>
  <c r="I172" i="2"/>
  <c r="H172" i="2"/>
  <c r="G172" i="2"/>
  <c r="N171" i="2"/>
  <c r="M171" i="2"/>
  <c r="L171" i="2"/>
  <c r="K171" i="2"/>
  <c r="J171" i="2"/>
  <c r="I171" i="2"/>
  <c r="H171" i="2"/>
  <c r="G171" i="2"/>
  <c r="N170" i="2"/>
  <c r="M170" i="2"/>
  <c r="L170" i="2"/>
  <c r="K170" i="2"/>
  <c r="J170" i="2"/>
  <c r="I170" i="2"/>
  <c r="H170" i="2"/>
  <c r="G170" i="2"/>
  <c r="N169" i="2"/>
  <c r="M169" i="2"/>
  <c r="L169" i="2"/>
  <c r="K169" i="2"/>
  <c r="J169" i="2"/>
  <c r="I169" i="2"/>
  <c r="H169" i="2"/>
  <c r="G169" i="2"/>
  <c r="N168" i="2"/>
  <c r="M168" i="2"/>
  <c r="L168" i="2"/>
  <c r="K168" i="2"/>
  <c r="J168" i="2"/>
  <c r="I168" i="2"/>
  <c r="H168" i="2"/>
  <c r="G168" i="2"/>
  <c r="N167" i="2"/>
  <c r="M167" i="2"/>
  <c r="L167" i="2"/>
  <c r="K167" i="2"/>
  <c r="J167" i="2"/>
  <c r="I167" i="2"/>
  <c r="H167" i="2"/>
  <c r="G167" i="2"/>
  <c r="N166" i="2"/>
  <c r="M166" i="2"/>
  <c r="L166" i="2"/>
  <c r="K166" i="2"/>
  <c r="J166" i="2"/>
  <c r="I166" i="2"/>
  <c r="H166" i="2"/>
  <c r="G166" i="2"/>
  <c r="N165" i="2"/>
  <c r="M165" i="2"/>
  <c r="L165" i="2"/>
  <c r="K165" i="2"/>
  <c r="J165" i="2"/>
  <c r="I165" i="2"/>
  <c r="H165" i="2"/>
  <c r="G165" i="2"/>
  <c r="N164" i="2"/>
  <c r="M164" i="2"/>
  <c r="L164" i="2"/>
  <c r="K164" i="2"/>
  <c r="J164" i="2"/>
  <c r="I164" i="2"/>
  <c r="H164" i="2"/>
  <c r="G164" i="2"/>
  <c r="N163" i="2"/>
  <c r="M163" i="2"/>
  <c r="L163" i="2"/>
  <c r="K163" i="2"/>
  <c r="J163" i="2"/>
  <c r="I163" i="2"/>
  <c r="H163" i="2"/>
  <c r="G163" i="2"/>
  <c r="N162" i="2"/>
  <c r="M162" i="2"/>
  <c r="L162" i="2"/>
  <c r="K162" i="2"/>
  <c r="J162" i="2"/>
  <c r="I162" i="2"/>
  <c r="H162" i="2"/>
  <c r="G162" i="2"/>
  <c r="N161" i="2"/>
  <c r="M161" i="2"/>
  <c r="L161" i="2"/>
  <c r="K161" i="2"/>
  <c r="J161" i="2"/>
  <c r="I161" i="2"/>
  <c r="H161" i="2"/>
  <c r="G161" i="2"/>
  <c r="N160" i="2"/>
  <c r="M160" i="2"/>
  <c r="L160" i="2"/>
  <c r="K160" i="2"/>
  <c r="J160" i="2"/>
  <c r="I160" i="2"/>
  <c r="H160" i="2"/>
  <c r="G160" i="2"/>
  <c r="N159" i="2"/>
  <c r="M159" i="2"/>
  <c r="L159" i="2"/>
  <c r="K159" i="2"/>
  <c r="J159" i="2"/>
  <c r="I159" i="2"/>
  <c r="H159" i="2"/>
  <c r="G159" i="2"/>
  <c r="N158" i="2"/>
  <c r="M158" i="2"/>
  <c r="L158" i="2"/>
  <c r="K158" i="2"/>
  <c r="J158" i="2"/>
  <c r="I158" i="2"/>
  <c r="H158" i="2"/>
  <c r="G158" i="2"/>
  <c r="N157" i="2"/>
  <c r="M157" i="2"/>
  <c r="L157" i="2"/>
  <c r="K157" i="2"/>
  <c r="J157" i="2"/>
  <c r="I157" i="2"/>
  <c r="H157" i="2"/>
  <c r="G157" i="2"/>
  <c r="N156" i="2"/>
  <c r="M156" i="2"/>
  <c r="L156" i="2"/>
  <c r="K156" i="2"/>
  <c r="J156" i="2"/>
  <c r="I156" i="2"/>
  <c r="H156" i="2"/>
  <c r="G156" i="2"/>
  <c r="N155" i="2"/>
  <c r="M155" i="2"/>
  <c r="L155" i="2"/>
  <c r="K155" i="2"/>
  <c r="J155" i="2"/>
  <c r="I155" i="2"/>
  <c r="H155" i="2"/>
  <c r="G155" i="2"/>
  <c r="N154" i="2"/>
  <c r="M154" i="2"/>
  <c r="L154" i="2"/>
  <c r="K154" i="2"/>
  <c r="J154" i="2"/>
  <c r="I154" i="2"/>
  <c r="H154" i="2"/>
  <c r="G154" i="2"/>
  <c r="N153" i="2"/>
  <c r="M153" i="2"/>
  <c r="L153" i="2"/>
  <c r="K153" i="2"/>
  <c r="J153" i="2"/>
  <c r="I153" i="2"/>
  <c r="H153" i="2"/>
  <c r="G153" i="2"/>
  <c r="N152" i="2"/>
  <c r="M152" i="2"/>
  <c r="L152" i="2"/>
  <c r="K152" i="2"/>
  <c r="J152" i="2"/>
  <c r="I152" i="2"/>
  <c r="H152" i="2"/>
  <c r="G152" i="2"/>
  <c r="N151" i="2"/>
  <c r="M151" i="2"/>
  <c r="L151" i="2"/>
  <c r="K151" i="2"/>
  <c r="J151" i="2"/>
  <c r="I151" i="2"/>
  <c r="H151" i="2"/>
  <c r="G151" i="2"/>
  <c r="N150" i="2"/>
  <c r="M150" i="2"/>
  <c r="L150" i="2"/>
  <c r="K150" i="2"/>
  <c r="J150" i="2"/>
  <c r="I150" i="2"/>
  <c r="H150" i="2"/>
  <c r="G150" i="2"/>
  <c r="N149" i="2"/>
  <c r="M149" i="2"/>
  <c r="L149" i="2"/>
  <c r="K149" i="2"/>
  <c r="J149" i="2"/>
  <c r="I149" i="2"/>
  <c r="H149" i="2"/>
  <c r="G149" i="2"/>
  <c r="N148" i="2"/>
  <c r="M148" i="2"/>
  <c r="L148" i="2"/>
  <c r="K148" i="2"/>
  <c r="J148" i="2"/>
  <c r="I148" i="2"/>
  <c r="H148" i="2"/>
  <c r="G148" i="2"/>
  <c r="N147" i="2"/>
  <c r="M147" i="2"/>
  <c r="L147" i="2"/>
  <c r="K147" i="2"/>
  <c r="J147" i="2"/>
  <c r="I147" i="2"/>
  <c r="H147" i="2"/>
  <c r="G147" i="2"/>
  <c r="N146" i="2"/>
  <c r="M146" i="2"/>
  <c r="L146" i="2"/>
  <c r="K146" i="2"/>
  <c r="J146" i="2"/>
  <c r="I146" i="2"/>
  <c r="H146" i="2"/>
  <c r="G146" i="2"/>
  <c r="N145" i="2"/>
  <c r="M145" i="2"/>
  <c r="L145" i="2"/>
  <c r="K145" i="2"/>
  <c r="J145" i="2"/>
  <c r="I145" i="2"/>
  <c r="H145" i="2"/>
  <c r="G145" i="2"/>
  <c r="N144" i="2"/>
  <c r="M144" i="2"/>
  <c r="L144" i="2"/>
  <c r="K144" i="2"/>
  <c r="J144" i="2"/>
  <c r="I144" i="2"/>
  <c r="H144" i="2"/>
  <c r="G144" i="2"/>
  <c r="N143" i="2"/>
  <c r="M143" i="2"/>
  <c r="L143" i="2"/>
  <c r="K143" i="2"/>
  <c r="J143" i="2"/>
  <c r="I143" i="2"/>
  <c r="H143" i="2"/>
  <c r="G143" i="2"/>
  <c r="N142" i="2"/>
  <c r="M142" i="2"/>
  <c r="L142" i="2"/>
  <c r="K142" i="2"/>
  <c r="J142" i="2"/>
  <c r="I142" i="2"/>
  <c r="H142" i="2"/>
  <c r="G142" i="2"/>
  <c r="N141" i="2"/>
  <c r="M141" i="2"/>
  <c r="L141" i="2"/>
  <c r="K141" i="2"/>
  <c r="J141" i="2"/>
  <c r="I141" i="2"/>
  <c r="H141" i="2"/>
  <c r="G141" i="2"/>
  <c r="N140" i="2"/>
  <c r="M140" i="2"/>
  <c r="L140" i="2"/>
  <c r="K140" i="2"/>
  <c r="J140" i="2"/>
  <c r="I140" i="2"/>
  <c r="H140" i="2"/>
  <c r="G140" i="2"/>
  <c r="N139" i="2"/>
  <c r="M139" i="2"/>
  <c r="L139" i="2"/>
  <c r="K139" i="2"/>
  <c r="J139" i="2"/>
  <c r="I139" i="2"/>
  <c r="H139" i="2"/>
  <c r="G139" i="2"/>
  <c r="N138" i="2"/>
  <c r="M138" i="2"/>
  <c r="L138" i="2"/>
  <c r="K138" i="2"/>
  <c r="J138" i="2"/>
  <c r="I138" i="2"/>
  <c r="H138" i="2"/>
  <c r="G138" i="2"/>
  <c r="N137" i="2"/>
  <c r="M137" i="2"/>
  <c r="L137" i="2"/>
  <c r="K137" i="2"/>
  <c r="J137" i="2"/>
  <c r="I137" i="2"/>
  <c r="H137" i="2"/>
  <c r="G137" i="2"/>
  <c r="N136" i="2"/>
  <c r="M136" i="2"/>
  <c r="L136" i="2"/>
  <c r="K136" i="2"/>
  <c r="J136" i="2"/>
  <c r="I136" i="2"/>
  <c r="H136" i="2"/>
  <c r="G136" i="2"/>
  <c r="N135" i="2"/>
  <c r="M135" i="2"/>
  <c r="L135" i="2"/>
  <c r="K135" i="2"/>
  <c r="J135" i="2"/>
  <c r="I135" i="2"/>
  <c r="H135" i="2"/>
  <c r="G135" i="2"/>
  <c r="N134" i="2"/>
  <c r="M134" i="2"/>
  <c r="L134" i="2"/>
  <c r="K134" i="2"/>
  <c r="J134" i="2"/>
  <c r="I134" i="2"/>
  <c r="H134" i="2"/>
  <c r="G134" i="2"/>
  <c r="N133" i="2"/>
  <c r="M133" i="2"/>
  <c r="L133" i="2"/>
  <c r="K133" i="2"/>
  <c r="J133" i="2"/>
  <c r="I133" i="2"/>
  <c r="H133" i="2"/>
  <c r="G133" i="2"/>
  <c r="N132" i="2"/>
  <c r="M132" i="2"/>
  <c r="L132" i="2"/>
  <c r="K132" i="2"/>
  <c r="J132" i="2"/>
  <c r="I132" i="2"/>
  <c r="H132" i="2"/>
  <c r="G132" i="2"/>
  <c r="N131" i="2"/>
  <c r="M131" i="2"/>
  <c r="L131" i="2"/>
  <c r="K131" i="2"/>
  <c r="J131" i="2"/>
  <c r="I131" i="2"/>
  <c r="H131" i="2"/>
  <c r="G131" i="2"/>
  <c r="N130" i="2"/>
  <c r="M130" i="2"/>
  <c r="L130" i="2"/>
  <c r="K130" i="2"/>
  <c r="J130" i="2"/>
  <c r="I130" i="2"/>
  <c r="H130" i="2"/>
  <c r="G130" i="2"/>
  <c r="N129" i="2"/>
  <c r="M129" i="2"/>
  <c r="L129" i="2"/>
  <c r="K129" i="2"/>
  <c r="J129" i="2"/>
  <c r="I129" i="2"/>
  <c r="H129" i="2"/>
  <c r="G129" i="2"/>
  <c r="N128" i="2"/>
  <c r="M128" i="2"/>
  <c r="L128" i="2"/>
  <c r="K128" i="2"/>
  <c r="J128" i="2"/>
  <c r="I128" i="2"/>
  <c r="H128" i="2"/>
  <c r="G128" i="2"/>
  <c r="N127" i="2"/>
  <c r="M127" i="2"/>
  <c r="L127" i="2"/>
  <c r="K127" i="2"/>
  <c r="J127" i="2"/>
  <c r="I127" i="2"/>
  <c r="H127" i="2"/>
  <c r="G127" i="2"/>
  <c r="N126" i="2"/>
  <c r="M126" i="2"/>
  <c r="L126" i="2"/>
  <c r="K126" i="2"/>
  <c r="J126" i="2"/>
  <c r="I126" i="2"/>
  <c r="H126" i="2"/>
  <c r="G126" i="2"/>
  <c r="N125" i="2"/>
  <c r="M125" i="2"/>
  <c r="L125" i="2"/>
  <c r="K125" i="2"/>
  <c r="J125" i="2"/>
  <c r="I125" i="2"/>
  <c r="H125" i="2"/>
  <c r="G125" i="2"/>
  <c r="N124" i="2"/>
  <c r="M124" i="2"/>
  <c r="L124" i="2"/>
  <c r="K124" i="2"/>
  <c r="J124" i="2"/>
  <c r="I124" i="2"/>
  <c r="H124" i="2"/>
  <c r="G124" i="2"/>
  <c r="N123" i="2"/>
  <c r="M123" i="2"/>
  <c r="L123" i="2"/>
  <c r="K123" i="2"/>
  <c r="J123" i="2"/>
  <c r="I123" i="2"/>
  <c r="H123" i="2"/>
  <c r="G123" i="2"/>
  <c r="N122" i="2"/>
  <c r="M122" i="2"/>
  <c r="L122" i="2"/>
  <c r="K122" i="2"/>
  <c r="J122" i="2"/>
  <c r="I122" i="2"/>
  <c r="H122" i="2"/>
  <c r="G122" i="2"/>
  <c r="N121" i="2"/>
  <c r="M121" i="2"/>
  <c r="L121" i="2"/>
  <c r="K121" i="2"/>
  <c r="J121" i="2"/>
  <c r="I121" i="2"/>
  <c r="H121" i="2"/>
  <c r="G121" i="2"/>
  <c r="N120" i="2"/>
  <c r="M120" i="2"/>
  <c r="L120" i="2"/>
  <c r="K120" i="2"/>
  <c r="J120" i="2"/>
  <c r="I120" i="2"/>
  <c r="H120" i="2"/>
  <c r="G120" i="2"/>
  <c r="N119" i="2"/>
  <c r="M119" i="2"/>
  <c r="L119" i="2"/>
  <c r="K119" i="2"/>
  <c r="J119" i="2"/>
  <c r="I119" i="2"/>
  <c r="H119" i="2"/>
  <c r="G119" i="2"/>
  <c r="N118" i="2"/>
  <c r="M118" i="2"/>
  <c r="L118" i="2"/>
  <c r="K118" i="2"/>
  <c r="J118" i="2"/>
  <c r="I118" i="2"/>
  <c r="H118" i="2"/>
  <c r="G118" i="2"/>
  <c r="N117" i="2"/>
  <c r="M117" i="2"/>
  <c r="L117" i="2"/>
  <c r="K117" i="2"/>
  <c r="J117" i="2"/>
  <c r="I117" i="2"/>
  <c r="H117" i="2"/>
  <c r="G117" i="2"/>
  <c r="N116" i="2"/>
  <c r="M116" i="2"/>
  <c r="L116" i="2"/>
  <c r="K116" i="2"/>
  <c r="J116" i="2"/>
  <c r="I116" i="2"/>
  <c r="H116" i="2"/>
  <c r="G116" i="2"/>
  <c r="N115" i="2"/>
  <c r="M115" i="2"/>
  <c r="L115" i="2"/>
  <c r="K115" i="2"/>
  <c r="J115" i="2"/>
  <c r="I115" i="2"/>
  <c r="H115" i="2"/>
  <c r="G115" i="2"/>
  <c r="N114" i="2"/>
  <c r="M114" i="2"/>
  <c r="L114" i="2"/>
  <c r="K114" i="2"/>
  <c r="J114" i="2"/>
  <c r="I114" i="2"/>
  <c r="H114" i="2"/>
  <c r="G114" i="2"/>
  <c r="N113" i="2"/>
  <c r="M113" i="2"/>
  <c r="L113" i="2"/>
  <c r="K113" i="2"/>
  <c r="J113" i="2"/>
  <c r="I113" i="2"/>
  <c r="H113" i="2"/>
  <c r="G113" i="2"/>
  <c r="N112" i="2"/>
  <c r="M112" i="2"/>
  <c r="L112" i="2"/>
  <c r="K112" i="2"/>
  <c r="J112" i="2"/>
  <c r="I112" i="2"/>
  <c r="H112" i="2"/>
  <c r="G112" i="2"/>
  <c r="N111" i="2"/>
  <c r="M111" i="2"/>
  <c r="L111" i="2"/>
  <c r="K111" i="2"/>
  <c r="J111" i="2"/>
  <c r="I111" i="2"/>
  <c r="H111" i="2"/>
  <c r="G111" i="2"/>
  <c r="N110" i="2"/>
  <c r="M110" i="2"/>
  <c r="L110" i="2"/>
  <c r="K110" i="2"/>
  <c r="J110" i="2"/>
  <c r="I110" i="2"/>
  <c r="H110" i="2"/>
  <c r="G110" i="2"/>
  <c r="N109" i="2"/>
  <c r="M109" i="2"/>
  <c r="L109" i="2"/>
  <c r="K109" i="2"/>
  <c r="J109" i="2"/>
  <c r="I109" i="2"/>
  <c r="H109" i="2"/>
  <c r="G109" i="2"/>
  <c r="N108" i="2"/>
  <c r="M108" i="2"/>
  <c r="L108" i="2"/>
  <c r="K108" i="2"/>
  <c r="J108" i="2"/>
  <c r="I108" i="2"/>
  <c r="H108" i="2"/>
  <c r="G108" i="2"/>
  <c r="N107" i="2"/>
  <c r="M107" i="2"/>
  <c r="L107" i="2"/>
  <c r="K107" i="2"/>
  <c r="J107" i="2"/>
  <c r="I107" i="2"/>
  <c r="H107" i="2"/>
  <c r="G107" i="2"/>
  <c r="N106" i="2"/>
  <c r="M106" i="2"/>
  <c r="L106" i="2"/>
  <c r="K106" i="2"/>
  <c r="J106" i="2"/>
  <c r="I106" i="2"/>
  <c r="H106" i="2"/>
  <c r="G106" i="2"/>
  <c r="N105" i="2"/>
  <c r="M105" i="2"/>
  <c r="L105" i="2"/>
  <c r="K105" i="2"/>
  <c r="J105" i="2"/>
  <c r="I105" i="2"/>
  <c r="H105" i="2"/>
  <c r="G105" i="2"/>
  <c r="N104" i="2"/>
  <c r="M104" i="2"/>
  <c r="L104" i="2"/>
  <c r="K104" i="2"/>
  <c r="J104" i="2"/>
  <c r="I104" i="2"/>
  <c r="H104" i="2"/>
  <c r="G104" i="2"/>
  <c r="N103" i="2"/>
  <c r="M103" i="2"/>
  <c r="L103" i="2"/>
  <c r="K103" i="2"/>
  <c r="J103" i="2"/>
  <c r="I103" i="2"/>
  <c r="H103" i="2"/>
  <c r="G103" i="2"/>
  <c r="N102" i="2"/>
  <c r="M102" i="2"/>
  <c r="L102" i="2"/>
  <c r="K102" i="2"/>
  <c r="J102" i="2"/>
  <c r="I102" i="2"/>
  <c r="H102" i="2"/>
  <c r="G102" i="2"/>
  <c r="N101" i="2"/>
  <c r="M101" i="2"/>
  <c r="L101" i="2"/>
  <c r="K101" i="2"/>
  <c r="J101" i="2"/>
  <c r="I101" i="2"/>
  <c r="H101" i="2"/>
  <c r="G101" i="2"/>
  <c r="N100" i="2"/>
  <c r="M100" i="2"/>
  <c r="L100" i="2"/>
  <c r="K100" i="2"/>
  <c r="J100" i="2"/>
  <c r="I100" i="2"/>
  <c r="H100" i="2"/>
  <c r="G100" i="2"/>
  <c r="N99" i="2"/>
  <c r="M99" i="2"/>
  <c r="L99" i="2"/>
  <c r="K99" i="2"/>
  <c r="J99" i="2"/>
  <c r="I99" i="2"/>
  <c r="H99" i="2"/>
  <c r="G99" i="2"/>
  <c r="N98" i="2"/>
  <c r="M98" i="2"/>
  <c r="L98" i="2"/>
  <c r="K98" i="2"/>
  <c r="J98" i="2"/>
  <c r="I98" i="2"/>
  <c r="H98" i="2"/>
  <c r="G98" i="2"/>
  <c r="N97" i="2"/>
  <c r="M97" i="2"/>
  <c r="L97" i="2"/>
  <c r="K97" i="2"/>
  <c r="J97" i="2"/>
  <c r="I97" i="2"/>
  <c r="H97" i="2"/>
  <c r="G97" i="2"/>
  <c r="N96" i="2"/>
  <c r="M96" i="2"/>
  <c r="L96" i="2"/>
  <c r="K96" i="2"/>
  <c r="J96" i="2"/>
  <c r="I96" i="2"/>
  <c r="H96" i="2"/>
  <c r="G96" i="2"/>
  <c r="N95" i="2"/>
  <c r="M95" i="2"/>
  <c r="L95" i="2"/>
  <c r="K95" i="2"/>
  <c r="J95" i="2"/>
  <c r="I95" i="2"/>
  <c r="H95" i="2"/>
  <c r="G95" i="2"/>
  <c r="N94" i="2"/>
  <c r="M94" i="2"/>
  <c r="L94" i="2"/>
  <c r="K94" i="2"/>
  <c r="J94" i="2"/>
  <c r="I94" i="2"/>
  <c r="H94" i="2"/>
  <c r="G94" i="2"/>
  <c r="N93" i="2"/>
  <c r="M93" i="2"/>
  <c r="L93" i="2"/>
  <c r="K93" i="2"/>
  <c r="J93" i="2"/>
  <c r="I93" i="2"/>
  <c r="H93" i="2"/>
  <c r="G93" i="2"/>
  <c r="N92" i="2"/>
  <c r="M92" i="2"/>
  <c r="L92" i="2"/>
  <c r="K92" i="2"/>
  <c r="J92" i="2"/>
  <c r="I92" i="2"/>
  <c r="H92" i="2"/>
  <c r="G92" i="2"/>
  <c r="N91" i="2"/>
  <c r="M91" i="2"/>
  <c r="L91" i="2"/>
  <c r="K91" i="2"/>
  <c r="J91" i="2"/>
  <c r="I91" i="2"/>
  <c r="H91" i="2"/>
  <c r="G91" i="2"/>
  <c r="N90" i="2"/>
  <c r="M90" i="2"/>
  <c r="L90" i="2"/>
  <c r="K90" i="2"/>
  <c r="J90" i="2"/>
  <c r="I90" i="2"/>
  <c r="H90" i="2"/>
  <c r="G90" i="2"/>
  <c r="N89" i="2"/>
  <c r="M89" i="2"/>
  <c r="L89" i="2"/>
  <c r="K89" i="2"/>
  <c r="J89" i="2"/>
  <c r="I89" i="2"/>
  <c r="H89" i="2"/>
  <c r="G89" i="2"/>
  <c r="N88" i="2"/>
  <c r="M88" i="2"/>
  <c r="L88" i="2"/>
  <c r="K88" i="2"/>
  <c r="J88" i="2"/>
  <c r="I88" i="2"/>
  <c r="H88" i="2"/>
  <c r="G88" i="2"/>
  <c r="N87" i="2"/>
  <c r="M87" i="2"/>
  <c r="L87" i="2"/>
  <c r="K87" i="2"/>
  <c r="J87" i="2"/>
  <c r="I87" i="2"/>
  <c r="H87" i="2"/>
  <c r="G87" i="2"/>
  <c r="N86" i="2"/>
  <c r="M86" i="2"/>
  <c r="L86" i="2"/>
  <c r="K86" i="2"/>
  <c r="J86" i="2"/>
  <c r="I86" i="2"/>
  <c r="H86" i="2"/>
  <c r="G86" i="2"/>
  <c r="N85" i="2"/>
  <c r="M85" i="2"/>
  <c r="L85" i="2"/>
  <c r="K85" i="2"/>
  <c r="J85" i="2"/>
  <c r="I85" i="2"/>
  <c r="H85" i="2"/>
  <c r="G85" i="2"/>
  <c r="N84" i="2"/>
  <c r="M84" i="2"/>
  <c r="L84" i="2"/>
  <c r="K84" i="2"/>
  <c r="J84" i="2"/>
  <c r="I84" i="2"/>
  <c r="H84" i="2"/>
  <c r="G84" i="2"/>
  <c r="N83" i="2"/>
  <c r="M83" i="2"/>
  <c r="L83" i="2"/>
  <c r="K83" i="2"/>
  <c r="J83" i="2"/>
  <c r="I83" i="2"/>
  <c r="H83" i="2"/>
  <c r="G83" i="2"/>
  <c r="N82" i="2"/>
  <c r="M82" i="2"/>
  <c r="L82" i="2"/>
  <c r="K82" i="2"/>
  <c r="J82" i="2"/>
  <c r="I82" i="2"/>
  <c r="H82" i="2"/>
  <c r="G82" i="2"/>
  <c r="N81" i="2"/>
  <c r="M81" i="2"/>
  <c r="L81" i="2"/>
  <c r="K81" i="2"/>
  <c r="J81" i="2"/>
  <c r="I81" i="2"/>
  <c r="H81" i="2"/>
  <c r="G81" i="2"/>
  <c r="N80" i="2"/>
  <c r="M80" i="2"/>
  <c r="L80" i="2"/>
  <c r="K80" i="2"/>
  <c r="J80" i="2"/>
  <c r="I80" i="2"/>
  <c r="H80" i="2"/>
  <c r="G80" i="2"/>
  <c r="N79" i="2"/>
  <c r="M79" i="2"/>
  <c r="L79" i="2"/>
  <c r="K79" i="2"/>
  <c r="J79" i="2"/>
  <c r="I79" i="2"/>
  <c r="H79" i="2"/>
  <c r="G79" i="2"/>
  <c r="N78" i="2"/>
  <c r="M78" i="2"/>
  <c r="L78" i="2"/>
  <c r="K78" i="2"/>
  <c r="J78" i="2"/>
  <c r="I78" i="2"/>
  <c r="H78" i="2"/>
  <c r="G78" i="2"/>
  <c r="N77" i="2"/>
  <c r="M77" i="2"/>
  <c r="L77" i="2"/>
  <c r="K77" i="2"/>
  <c r="J77" i="2"/>
  <c r="I77" i="2"/>
  <c r="H77" i="2"/>
  <c r="G77" i="2"/>
  <c r="N76" i="2"/>
  <c r="M76" i="2"/>
  <c r="L76" i="2"/>
  <c r="K76" i="2"/>
  <c r="J76" i="2"/>
  <c r="I76" i="2"/>
  <c r="H76" i="2"/>
  <c r="G76" i="2"/>
  <c r="N75" i="2"/>
  <c r="M75" i="2"/>
  <c r="L75" i="2"/>
  <c r="K75" i="2"/>
  <c r="J75" i="2"/>
  <c r="I75" i="2"/>
  <c r="H75" i="2"/>
  <c r="G75" i="2"/>
  <c r="N74" i="2"/>
  <c r="M74" i="2"/>
  <c r="L74" i="2"/>
  <c r="K74" i="2"/>
  <c r="J74" i="2"/>
  <c r="I74" i="2"/>
  <c r="H74" i="2"/>
  <c r="G74" i="2"/>
  <c r="N73" i="2"/>
  <c r="M73" i="2"/>
  <c r="L73" i="2"/>
  <c r="K73" i="2"/>
  <c r="J73" i="2"/>
  <c r="I73" i="2"/>
  <c r="H73" i="2"/>
  <c r="G73" i="2"/>
  <c r="N72" i="2"/>
  <c r="M72" i="2"/>
  <c r="L72" i="2"/>
  <c r="K72" i="2"/>
  <c r="J72" i="2"/>
  <c r="I72" i="2"/>
  <c r="H72" i="2"/>
  <c r="G72" i="2"/>
  <c r="N71" i="2"/>
  <c r="M71" i="2"/>
  <c r="L71" i="2"/>
  <c r="K71" i="2"/>
  <c r="J71" i="2"/>
  <c r="I71" i="2"/>
  <c r="H71" i="2"/>
  <c r="G71" i="2"/>
  <c r="N70" i="2"/>
  <c r="M70" i="2"/>
  <c r="L70" i="2"/>
  <c r="K70" i="2"/>
  <c r="J70" i="2"/>
  <c r="I70" i="2"/>
  <c r="H70" i="2"/>
  <c r="G70" i="2"/>
  <c r="N69" i="2"/>
  <c r="M69" i="2"/>
  <c r="L69" i="2"/>
  <c r="K69" i="2"/>
  <c r="J69" i="2"/>
  <c r="I69" i="2"/>
  <c r="H69" i="2"/>
  <c r="G69" i="2"/>
  <c r="N68" i="2"/>
  <c r="M68" i="2"/>
  <c r="L68" i="2"/>
  <c r="K68" i="2"/>
  <c r="J68" i="2"/>
  <c r="I68" i="2"/>
  <c r="H68" i="2"/>
  <c r="G68" i="2"/>
  <c r="N67" i="2"/>
  <c r="M67" i="2"/>
  <c r="L67" i="2"/>
  <c r="K67" i="2"/>
  <c r="J67" i="2"/>
  <c r="I67" i="2"/>
  <c r="H67" i="2"/>
  <c r="G67" i="2"/>
  <c r="N66" i="2"/>
  <c r="M66" i="2"/>
  <c r="L66" i="2"/>
  <c r="K66" i="2"/>
  <c r="J66" i="2"/>
  <c r="I66" i="2"/>
  <c r="H66" i="2"/>
  <c r="G66" i="2"/>
  <c r="N65" i="2"/>
  <c r="M65" i="2"/>
  <c r="L65" i="2"/>
  <c r="K65" i="2"/>
  <c r="J65" i="2"/>
  <c r="I65" i="2"/>
  <c r="H65" i="2"/>
  <c r="G65" i="2"/>
  <c r="N64" i="2"/>
  <c r="M64" i="2"/>
  <c r="L64" i="2"/>
  <c r="K64" i="2"/>
  <c r="J64" i="2"/>
  <c r="I64" i="2"/>
  <c r="H64" i="2"/>
  <c r="G64" i="2"/>
  <c r="N63" i="2"/>
  <c r="M63" i="2"/>
  <c r="L63" i="2"/>
  <c r="K63" i="2"/>
  <c r="J63" i="2"/>
  <c r="I63" i="2"/>
  <c r="H63" i="2"/>
  <c r="G63" i="2"/>
  <c r="N62" i="2"/>
  <c r="M62" i="2"/>
  <c r="L62" i="2"/>
  <c r="K62" i="2"/>
  <c r="J62" i="2"/>
  <c r="I62" i="2"/>
  <c r="H62" i="2"/>
  <c r="G62" i="2"/>
  <c r="N61" i="2"/>
  <c r="M61" i="2"/>
  <c r="L61" i="2"/>
  <c r="K61" i="2"/>
  <c r="J61" i="2"/>
  <c r="I61" i="2"/>
  <c r="H61" i="2"/>
  <c r="G61" i="2"/>
  <c r="N60" i="2"/>
  <c r="M60" i="2"/>
  <c r="L60" i="2"/>
  <c r="K60" i="2"/>
  <c r="J60" i="2"/>
  <c r="I60" i="2"/>
  <c r="H60" i="2"/>
  <c r="G60" i="2"/>
  <c r="N59" i="2"/>
  <c r="M59" i="2"/>
  <c r="L59" i="2"/>
  <c r="K59" i="2"/>
  <c r="J59" i="2"/>
  <c r="I59" i="2"/>
  <c r="H59" i="2"/>
  <c r="G59" i="2"/>
  <c r="N58" i="2"/>
  <c r="M58" i="2"/>
  <c r="L58" i="2"/>
  <c r="K58" i="2"/>
  <c r="J58" i="2"/>
  <c r="I58" i="2"/>
  <c r="H58" i="2"/>
  <c r="G58" i="2"/>
  <c r="N57" i="2"/>
  <c r="M57" i="2"/>
  <c r="L57" i="2"/>
  <c r="K57" i="2"/>
  <c r="J57" i="2"/>
  <c r="I57" i="2"/>
  <c r="H57" i="2"/>
  <c r="G57" i="2"/>
  <c r="N56" i="2"/>
  <c r="M56" i="2"/>
  <c r="L56" i="2"/>
  <c r="K56" i="2"/>
  <c r="J56" i="2"/>
  <c r="I56" i="2"/>
  <c r="H56" i="2"/>
  <c r="G56" i="2"/>
  <c r="N55" i="2"/>
  <c r="M55" i="2"/>
  <c r="L55" i="2"/>
  <c r="K55" i="2"/>
  <c r="J55" i="2"/>
  <c r="I55" i="2"/>
  <c r="H55" i="2"/>
  <c r="G55" i="2"/>
  <c r="N54" i="2"/>
  <c r="M54" i="2"/>
  <c r="L54" i="2"/>
  <c r="K54" i="2"/>
  <c r="J54" i="2"/>
  <c r="I54" i="2"/>
  <c r="H54" i="2"/>
  <c r="G54" i="2"/>
  <c r="N53" i="2"/>
  <c r="M53" i="2"/>
  <c r="L53" i="2"/>
  <c r="K53" i="2"/>
  <c r="J53" i="2"/>
  <c r="I53" i="2"/>
  <c r="H53" i="2"/>
  <c r="G53" i="2"/>
  <c r="N52" i="2"/>
  <c r="M52" i="2"/>
  <c r="L52" i="2"/>
  <c r="K52" i="2"/>
  <c r="J52" i="2"/>
  <c r="I52" i="2"/>
  <c r="H52" i="2"/>
  <c r="G52" i="2"/>
  <c r="N51" i="2"/>
  <c r="M51" i="2"/>
  <c r="L51" i="2"/>
  <c r="K51" i="2"/>
  <c r="J51" i="2"/>
  <c r="I51" i="2"/>
  <c r="H51" i="2"/>
  <c r="G51" i="2"/>
  <c r="N50" i="2"/>
  <c r="M50" i="2"/>
  <c r="L50" i="2"/>
  <c r="K50" i="2"/>
  <c r="J50" i="2"/>
  <c r="I50" i="2"/>
  <c r="H50" i="2"/>
  <c r="G50" i="2"/>
  <c r="N49" i="2"/>
  <c r="M49" i="2"/>
  <c r="L49" i="2"/>
  <c r="K49" i="2"/>
  <c r="J49" i="2"/>
  <c r="I49" i="2"/>
  <c r="H49" i="2"/>
  <c r="G49" i="2"/>
  <c r="N48" i="2"/>
  <c r="M48" i="2"/>
  <c r="L48" i="2"/>
  <c r="K48" i="2"/>
  <c r="J48" i="2"/>
  <c r="I48" i="2"/>
  <c r="H48" i="2"/>
  <c r="G48" i="2"/>
  <c r="N47" i="2"/>
  <c r="M47" i="2"/>
  <c r="L47" i="2"/>
  <c r="K47" i="2"/>
  <c r="J47" i="2"/>
  <c r="I47" i="2"/>
  <c r="H47" i="2"/>
  <c r="G47" i="2"/>
  <c r="N46" i="2"/>
  <c r="M46" i="2"/>
  <c r="L46" i="2"/>
  <c r="K46" i="2"/>
  <c r="J46" i="2"/>
  <c r="I46" i="2"/>
  <c r="H46" i="2"/>
  <c r="G46" i="2"/>
  <c r="N45" i="2"/>
  <c r="M45" i="2"/>
  <c r="L45" i="2"/>
  <c r="K45" i="2"/>
  <c r="J45" i="2"/>
  <c r="I45" i="2"/>
  <c r="H45" i="2"/>
  <c r="G45" i="2"/>
  <c r="N44" i="2"/>
  <c r="M44" i="2"/>
  <c r="L44" i="2"/>
  <c r="K44" i="2"/>
  <c r="J44" i="2"/>
  <c r="I44" i="2"/>
  <c r="H44" i="2"/>
  <c r="G44" i="2"/>
  <c r="N43" i="2"/>
  <c r="M43" i="2"/>
  <c r="L43" i="2"/>
  <c r="K43" i="2"/>
  <c r="J43" i="2"/>
  <c r="I43" i="2"/>
  <c r="H43" i="2"/>
  <c r="G43" i="2"/>
  <c r="N42" i="2"/>
  <c r="M42" i="2"/>
  <c r="L42" i="2"/>
  <c r="K42" i="2"/>
  <c r="J42" i="2"/>
  <c r="I42" i="2"/>
  <c r="H42" i="2"/>
  <c r="G42" i="2"/>
  <c r="N41" i="2"/>
  <c r="M41" i="2"/>
  <c r="L41" i="2"/>
  <c r="K41" i="2"/>
  <c r="J41" i="2"/>
  <c r="I41" i="2"/>
  <c r="H41" i="2"/>
  <c r="G41" i="2"/>
  <c r="N40" i="2"/>
  <c r="M40" i="2"/>
  <c r="L40" i="2"/>
  <c r="K40" i="2"/>
  <c r="J40" i="2"/>
  <c r="I40" i="2"/>
  <c r="H40" i="2"/>
  <c r="G40" i="2"/>
  <c r="N39" i="2"/>
  <c r="M39" i="2"/>
  <c r="L39" i="2"/>
  <c r="K39" i="2"/>
  <c r="J39" i="2"/>
  <c r="I39" i="2"/>
  <c r="H39" i="2"/>
  <c r="G39" i="2"/>
  <c r="N38" i="2"/>
  <c r="M38" i="2"/>
  <c r="L38" i="2"/>
  <c r="K38" i="2"/>
  <c r="J38" i="2"/>
  <c r="I38" i="2"/>
  <c r="H38" i="2"/>
  <c r="G38" i="2"/>
  <c r="N37" i="2"/>
  <c r="M37" i="2"/>
  <c r="L37" i="2"/>
  <c r="K37" i="2"/>
  <c r="J37" i="2"/>
  <c r="I37" i="2"/>
  <c r="H37" i="2"/>
  <c r="G37" i="2"/>
  <c r="N36" i="2"/>
  <c r="M36" i="2"/>
  <c r="L36" i="2"/>
  <c r="K36" i="2"/>
  <c r="J36" i="2"/>
  <c r="I36" i="2"/>
  <c r="H36" i="2"/>
  <c r="G36" i="2"/>
  <c r="N35" i="2"/>
  <c r="M35" i="2"/>
  <c r="L35" i="2"/>
  <c r="K35" i="2"/>
  <c r="J35" i="2"/>
  <c r="I35" i="2"/>
  <c r="H35" i="2"/>
  <c r="G35" i="2"/>
  <c r="N34" i="2"/>
  <c r="M34" i="2"/>
  <c r="L34" i="2"/>
  <c r="K34" i="2"/>
  <c r="J34" i="2"/>
  <c r="I34" i="2"/>
  <c r="H34" i="2"/>
  <c r="G34" i="2"/>
  <c r="N33" i="2"/>
  <c r="M33" i="2"/>
  <c r="L33" i="2"/>
  <c r="K33" i="2"/>
  <c r="J33" i="2"/>
  <c r="I33" i="2"/>
  <c r="H33" i="2"/>
  <c r="G33" i="2"/>
  <c r="N32" i="2"/>
  <c r="M32" i="2"/>
  <c r="L32" i="2"/>
  <c r="K32" i="2"/>
  <c r="J32" i="2"/>
  <c r="I32" i="2"/>
  <c r="H32" i="2"/>
  <c r="G32" i="2"/>
  <c r="N31" i="2"/>
  <c r="M31" i="2"/>
  <c r="L31" i="2"/>
  <c r="K31" i="2"/>
  <c r="J31" i="2"/>
  <c r="I31" i="2"/>
  <c r="H31" i="2"/>
  <c r="G31" i="2"/>
  <c r="N30" i="2"/>
  <c r="M30" i="2"/>
  <c r="L30" i="2"/>
  <c r="K30" i="2"/>
  <c r="J30" i="2"/>
  <c r="I30" i="2"/>
  <c r="H30" i="2"/>
  <c r="G30" i="2"/>
  <c r="N29" i="2"/>
  <c r="M29" i="2"/>
  <c r="L29" i="2"/>
  <c r="K29" i="2"/>
  <c r="J29" i="2"/>
  <c r="I29" i="2"/>
  <c r="H29" i="2"/>
  <c r="G29" i="2"/>
  <c r="N28" i="2"/>
  <c r="M28" i="2"/>
  <c r="L28" i="2"/>
  <c r="K28" i="2"/>
  <c r="J28" i="2"/>
  <c r="I28" i="2"/>
  <c r="H28" i="2"/>
  <c r="G28" i="2"/>
  <c r="N27" i="2"/>
  <c r="M27" i="2"/>
  <c r="L27" i="2"/>
  <c r="K27" i="2"/>
  <c r="J27" i="2"/>
  <c r="I27" i="2"/>
  <c r="H27" i="2"/>
  <c r="G27" i="2"/>
  <c r="N26" i="2"/>
  <c r="M26" i="2"/>
  <c r="L26" i="2"/>
  <c r="K26" i="2"/>
  <c r="J26" i="2"/>
  <c r="I26" i="2"/>
  <c r="H26" i="2"/>
  <c r="G26" i="2"/>
  <c r="N25" i="2"/>
  <c r="M25" i="2"/>
  <c r="L25" i="2"/>
  <c r="K25" i="2"/>
  <c r="J25" i="2"/>
  <c r="I25" i="2"/>
  <c r="H25" i="2"/>
  <c r="G25" i="2"/>
  <c r="N24" i="2"/>
  <c r="M24" i="2"/>
  <c r="L24" i="2"/>
  <c r="K24" i="2"/>
  <c r="J24" i="2"/>
  <c r="I24" i="2"/>
  <c r="H24" i="2"/>
  <c r="G24" i="2"/>
  <c r="N23" i="2"/>
  <c r="M23" i="2"/>
  <c r="L23" i="2"/>
  <c r="K23" i="2"/>
  <c r="J23" i="2"/>
  <c r="I23" i="2"/>
  <c r="H23" i="2"/>
  <c r="G23" i="2"/>
  <c r="N22" i="2"/>
  <c r="M22" i="2"/>
  <c r="L22" i="2"/>
  <c r="K22" i="2"/>
  <c r="J22" i="2"/>
  <c r="I22" i="2"/>
  <c r="H22" i="2"/>
  <c r="G22" i="2"/>
  <c r="N21" i="2"/>
  <c r="M21" i="2"/>
  <c r="L21" i="2"/>
  <c r="K21" i="2"/>
  <c r="J21" i="2"/>
  <c r="I21" i="2"/>
  <c r="H21" i="2"/>
  <c r="G21" i="2"/>
  <c r="N20" i="2"/>
  <c r="M20" i="2"/>
  <c r="L20" i="2"/>
  <c r="K20" i="2"/>
  <c r="J20" i="2"/>
  <c r="I20" i="2"/>
  <c r="H20" i="2"/>
  <c r="G20" i="2"/>
  <c r="N19" i="2"/>
  <c r="M19" i="2"/>
  <c r="L19" i="2"/>
  <c r="K19" i="2"/>
  <c r="J19" i="2"/>
  <c r="I19" i="2"/>
  <c r="H19" i="2"/>
  <c r="G19" i="2"/>
  <c r="N18" i="2"/>
  <c r="M18" i="2"/>
  <c r="L18" i="2"/>
  <c r="K18" i="2"/>
  <c r="J18" i="2"/>
  <c r="I18" i="2"/>
  <c r="H18" i="2"/>
  <c r="G18" i="2"/>
  <c r="N17" i="2"/>
  <c r="M17" i="2"/>
  <c r="L17" i="2"/>
  <c r="K17" i="2"/>
  <c r="J17" i="2"/>
  <c r="I17" i="2"/>
  <c r="H17" i="2"/>
  <c r="G17" i="2"/>
  <c r="N16" i="2"/>
  <c r="M16" i="2"/>
  <c r="L16" i="2"/>
  <c r="K16" i="2"/>
  <c r="J16" i="2"/>
  <c r="I16" i="2"/>
  <c r="H16" i="2"/>
  <c r="G16" i="2"/>
  <c r="N15" i="2"/>
  <c r="M15" i="2"/>
  <c r="L15" i="2"/>
  <c r="K15" i="2"/>
  <c r="J15" i="2"/>
  <c r="I15" i="2"/>
  <c r="H15" i="2"/>
  <c r="G15" i="2"/>
  <c r="N14" i="2"/>
  <c r="M14" i="2"/>
  <c r="L14" i="2"/>
  <c r="K14" i="2"/>
  <c r="J14" i="2"/>
  <c r="I14" i="2"/>
  <c r="H14" i="2"/>
  <c r="G14" i="2"/>
  <c r="N13" i="2"/>
  <c r="M13" i="2"/>
  <c r="L13" i="2"/>
  <c r="K13" i="2"/>
  <c r="J13" i="2"/>
  <c r="I13" i="2"/>
  <c r="H13" i="2"/>
  <c r="G13" i="2"/>
  <c r="N12" i="2"/>
  <c r="M12" i="2"/>
  <c r="L12" i="2"/>
  <c r="K12" i="2"/>
  <c r="J12" i="2"/>
  <c r="I12" i="2"/>
  <c r="H12" i="2"/>
  <c r="G12" i="2"/>
  <c r="N11" i="2"/>
  <c r="M11" i="2"/>
  <c r="L11" i="2"/>
  <c r="K11" i="2"/>
  <c r="J11" i="2"/>
  <c r="I11" i="2"/>
  <c r="H11" i="2"/>
  <c r="G11" i="2"/>
  <c r="N10" i="2"/>
  <c r="M10" i="2"/>
  <c r="L10" i="2"/>
  <c r="K10" i="2"/>
  <c r="J10" i="2"/>
  <c r="I10" i="2"/>
  <c r="H10" i="2"/>
  <c r="G10" i="2"/>
  <c r="N9" i="2"/>
  <c r="M9" i="2"/>
  <c r="L9" i="2"/>
  <c r="K9" i="2"/>
  <c r="J9" i="2"/>
  <c r="I9" i="2"/>
  <c r="H9" i="2"/>
  <c r="G9" i="2"/>
  <c r="N8" i="2"/>
  <c r="M8" i="2"/>
  <c r="L8" i="2"/>
  <c r="K8" i="2"/>
  <c r="J8" i="2"/>
  <c r="I8" i="2"/>
  <c r="H8" i="2"/>
  <c r="G8" i="2"/>
  <c r="N7" i="2"/>
  <c r="M7" i="2"/>
  <c r="L7" i="2"/>
  <c r="K7" i="2"/>
  <c r="J7" i="2"/>
  <c r="I7" i="2"/>
  <c r="H7" i="2"/>
  <c r="G7" i="2"/>
  <c r="N6" i="2"/>
  <c r="M6" i="2"/>
  <c r="L6" i="2"/>
  <c r="K6" i="2"/>
  <c r="J6" i="2"/>
  <c r="I6" i="2"/>
  <c r="H6" i="2"/>
  <c r="G6" i="2"/>
  <c r="N5" i="2"/>
  <c r="M5" i="2"/>
  <c r="L5" i="2"/>
  <c r="K5" i="2"/>
  <c r="J5" i="2"/>
  <c r="I5" i="2"/>
  <c r="H5" i="2"/>
  <c r="G5" i="2"/>
  <c r="N4" i="2"/>
  <c r="M4" i="2"/>
  <c r="L4" i="2"/>
  <c r="K4" i="2"/>
  <c r="J4" i="2"/>
  <c r="I4" i="2"/>
  <c r="H4" i="2"/>
  <c r="G4" i="2"/>
  <c r="N3" i="2"/>
  <c r="M3" i="2"/>
  <c r="L3" i="2"/>
  <c r="K3" i="2"/>
  <c r="J3" i="2"/>
  <c r="I3" i="2"/>
  <c r="H3" i="2"/>
  <c r="G3" i="2"/>
  <c r="G2" i="2"/>
  <c r="H60" i="82"/>
  <c r="G60" i="82"/>
  <c r="E60" i="82"/>
  <c r="N59" i="82"/>
  <c r="M59" i="82"/>
  <c r="L59" i="82"/>
  <c r="K59" i="82"/>
  <c r="J59" i="82"/>
  <c r="I59" i="82"/>
  <c r="H59" i="82"/>
  <c r="G59" i="82"/>
  <c r="E59" i="82"/>
  <c r="D59" i="82"/>
  <c r="N58" i="82"/>
  <c r="M58" i="82"/>
  <c r="L58" i="82"/>
  <c r="K58" i="82"/>
  <c r="J58" i="82"/>
  <c r="I58" i="82"/>
  <c r="H58" i="82"/>
  <c r="G58" i="82"/>
  <c r="N57" i="82"/>
  <c r="M57" i="82"/>
  <c r="L57" i="82"/>
  <c r="K57" i="82"/>
  <c r="J57" i="82"/>
  <c r="I57" i="82"/>
  <c r="H57" i="82"/>
  <c r="G57" i="82"/>
  <c r="N56" i="82"/>
  <c r="M56" i="82"/>
  <c r="L56" i="82"/>
  <c r="K56" i="82"/>
  <c r="J56" i="82"/>
  <c r="I56" i="82"/>
  <c r="H56" i="82"/>
  <c r="G56" i="82"/>
  <c r="N55" i="82"/>
  <c r="M55" i="82"/>
  <c r="L55" i="82"/>
  <c r="K55" i="82"/>
  <c r="J55" i="82"/>
  <c r="I55" i="82"/>
  <c r="H55" i="82"/>
  <c r="G55" i="82"/>
  <c r="N54" i="82"/>
  <c r="M54" i="82"/>
  <c r="L54" i="82"/>
  <c r="K54" i="82"/>
  <c r="J54" i="82"/>
  <c r="I54" i="82"/>
  <c r="H54" i="82"/>
  <c r="G54" i="82"/>
  <c r="N53" i="82"/>
  <c r="M53" i="82"/>
  <c r="L53" i="82"/>
  <c r="K53" i="82"/>
  <c r="J53" i="82"/>
  <c r="I53" i="82"/>
  <c r="H53" i="82"/>
  <c r="G53" i="82"/>
  <c r="N52" i="82"/>
  <c r="M52" i="82"/>
  <c r="L52" i="82"/>
  <c r="K52" i="82"/>
  <c r="J52" i="82"/>
  <c r="I52" i="82"/>
  <c r="H52" i="82"/>
  <c r="G52" i="82"/>
  <c r="N51" i="82"/>
  <c r="M51" i="82"/>
  <c r="L51" i="82"/>
  <c r="K51" i="82"/>
  <c r="J51" i="82"/>
  <c r="I51" i="82"/>
  <c r="H51" i="82"/>
  <c r="G51" i="82"/>
  <c r="N50" i="82"/>
  <c r="M50" i="82"/>
  <c r="L50" i="82"/>
  <c r="K50" i="82"/>
  <c r="J50" i="82"/>
  <c r="I50" i="82"/>
  <c r="H50" i="82"/>
  <c r="G50" i="82"/>
  <c r="N49" i="82"/>
  <c r="M49" i="82"/>
  <c r="L49" i="82"/>
  <c r="K49" i="82"/>
  <c r="J49" i="82"/>
  <c r="I49" i="82"/>
  <c r="H49" i="82"/>
  <c r="G49" i="82"/>
  <c r="N48" i="82"/>
  <c r="M48" i="82"/>
  <c r="L48" i="82"/>
  <c r="K48" i="82"/>
  <c r="J48" i="82"/>
  <c r="I48" i="82"/>
  <c r="H48" i="82"/>
  <c r="G48" i="82"/>
  <c r="N47" i="82"/>
  <c r="M47" i="82"/>
  <c r="L47" i="82"/>
  <c r="K47" i="82"/>
  <c r="J47" i="82"/>
  <c r="I47" i="82"/>
  <c r="H47" i="82"/>
  <c r="G47" i="82"/>
  <c r="N46" i="82"/>
  <c r="M46" i="82"/>
  <c r="L46" i="82"/>
  <c r="K46" i="82"/>
  <c r="J46" i="82"/>
  <c r="I46" i="82"/>
  <c r="H46" i="82"/>
  <c r="G46" i="82"/>
  <c r="N45" i="82"/>
  <c r="M45" i="82"/>
  <c r="L45" i="82"/>
  <c r="K45" i="82"/>
  <c r="J45" i="82"/>
  <c r="I45" i="82"/>
  <c r="H45" i="82"/>
  <c r="G45" i="82"/>
  <c r="N44" i="82"/>
  <c r="M44" i="82"/>
  <c r="L44" i="82"/>
  <c r="K44" i="82"/>
  <c r="J44" i="82"/>
  <c r="I44" i="82"/>
  <c r="H44" i="82"/>
  <c r="G44" i="82"/>
  <c r="N43" i="82"/>
  <c r="M43" i="82"/>
  <c r="L43" i="82"/>
  <c r="K43" i="82"/>
  <c r="J43" i="82"/>
  <c r="I43" i="82"/>
  <c r="H43" i="82"/>
  <c r="G43" i="82"/>
  <c r="N42" i="82"/>
  <c r="M42" i="82"/>
  <c r="L42" i="82"/>
  <c r="K42" i="82"/>
  <c r="J42" i="82"/>
  <c r="I42" i="82"/>
  <c r="H42" i="82"/>
  <c r="G42" i="82"/>
  <c r="N41" i="82"/>
  <c r="M41" i="82"/>
  <c r="L41" i="82"/>
  <c r="K41" i="82"/>
  <c r="J41" i="82"/>
  <c r="I41" i="82"/>
  <c r="H41" i="82"/>
  <c r="G41" i="82"/>
  <c r="N40" i="82"/>
  <c r="M40" i="82"/>
  <c r="L40" i="82"/>
  <c r="K40" i="82"/>
  <c r="J40" i="82"/>
  <c r="I40" i="82"/>
  <c r="H40" i="82"/>
  <c r="G40" i="82"/>
  <c r="N39" i="82"/>
  <c r="M39" i="82"/>
  <c r="L39" i="82"/>
  <c r="K39" i="82"/>
  <c r="J39" i="82"/>
  <c r="I39" i="82"/>
  <c r="H39" i="82"/>
  <c r="G39" i="82"/>
  <c r="N38" i="82"/>
  <c r="M38" i="82"/>
  <c r="L38" i="82"/>
  <c r="K38" i="82"/>
  <c r="J38" i="82"/>
  <c r="I38" i="82"/>
  <c r="H38" i="82"/>
  <c r="G38" i="82"/>
  <c r="N37" i="82"/>
  <c r="M37" i="82"/>
  <c r="L37" i="82"/>
  <c r="K37" i="82"/>
  <c r="J37" i="82"/>
  <c r="I37" i="82"/>
  <c r="H37" i="82"/>
  <c r="G37" i="82"/>
  <c r="N36" i="82"/>
  <c r="M36" i="82"/>
  <c r="L36" i="82"/>
  <c r="K36" i="82"/>
  <c r="J36" i="82"/>
  <c r="I36" i="82"/>
  <c r="H36" i="82"/>
  <c r="G36" i="82"/>
  <c r="N35" i="82"/>
  <c r="M35" i="82"/>
  <c r="L35" i="82"/>
  <c r="K35" i="82"/>
  <c r="J35" i="82"/>
  <c r="I35" i="82"/>
  <c r="H35" i="82"/>
  <c r="G35" i="82"/>
  <c r="N34" i="82"/>
  <c r="M34" i="82"/>
  <c r="L34" i="82"/>
  <c r="K34" i="82"/>
  <c r="J34" i="82"/>
  <c r="I34" i="82"/>
  <c r="H34" i="82"/>
  <c r="G34" i="82"/>
  <c r="N33" i="82"/>
  <c r="M33" i="82"/>
  <c r="L33" i="82"/>
  <c r="K33" i="82"/>
  <c r="J33" i="82"/>
  <c r="I33" i="82"/>
  <c r="H33" i="82"/>
  <c r="G33" i="82"/>
  <c r="N32" i="82"/>
  <c r="M32" i="82"/>
  <c r="L32" i="82"/>
  <c r="K32" i="82"/>
  <c r="J32" i="82"/>
  <c r="I32" i="82"/>
  <c r="H32" i="82"/>
  <c r="G32" i="82"/>
  <c r="N31" i="82"/>
  <c r="M31" i="82"/>
  <c r="L31" i="82"/>
  <c r="K31" i="82"/>
  <c r="J31" i="82"/>
  <c r="I31" i="82"/>
  <c r="H31" i="82"/>
  <c r="G31" i="82"/>
  <c r="N30" i="82"/>
  <c r="M30" i="82"/>
  <c r="L30" i="82"/>
  <c r="K30" i="82"/>
  <c r="J30" i="82"/>
  <c r="I30" i="82"/>
  <c r="H30" i="82"/>
  <c r="G30" i="82"/>
  <c r="N29" i="82"/>
  <c r="M29" i="82"/>
  <c r="L29" i="82"/>
  <c r="K29" i="82"/>
  <c r="J29" i="82"/>
  <c r="I29" i="82"/>
  <c r="H29" i="82"/>
  <c r="G29" i="82"/>
  <c r="N28" i="82"/>
  <c r="M28" i="82"/>
  <c r="L28" i="82"/>
  <c r="K28" i="82"/>
  <c r="J28" i="82"/>
  <c r="I28" i="82"/>
  <c r="H28" i="82"/>
  <c r="G28" i="82"/>
  <c r="N27" i="82"/>
  <c r="M27" i="82"/>
  <c r="L27" i="82"/>
  <c r="K27" i="82"/>
  <c r="J27" i="82"/>
  <c r="I27" i="82"/>
  <c r="H27" i="82"/>
  <c r="G27" i="82"/>
  <c r="N26" i="82"/>
  <c r="M26" i="82"/>
  <c r="L26" i="82"/>
  <c r="K26" i="82"/>
  <c r="J26" i="82"/>
  <c r="I26" i="82"/>
  <c r="H26" i="82"/>
  <c r="G26" i="82"/>
  <c r="N25" i="82"/>
  <c r="M25" i="82"/>
  <c r="L25" i="82"/>
  <c r="K25" i="82"/>
  <c r="J25" i="82"/>
  <c r="I25" i="82"/>
  <c r="H25" i="82"/>
  <c r="G25" i="82"/>
  <c r="N24" i="82"/>
  <c r="M24" i="82"/>
  <c r="L24" i="82"/>
  <c r="K24" i="82"/>
  <c r="J24" i="82"/>
  <c r="I24" i="82"/>
  <c r="H24" i="82"/>
  <c r="G24" i="82"/>
  <c r="N23" i="82"/>
  <c r="M23" i="82"/>
  <c r="L23" i="82"/>
  <c r="K23" i="82"/>
  <c r="J23" i="82"/>
  <c r="I23" i="82"/>
  <c r="H23" i="82"/>
  <c r="G23" i="82"/>
  <c r="N22" i="82"/>
  <c r="M22" i="82"/>
  <c r="L22" i="82"/>
  <c r="K22" i="82"/>
  <c r="J22" i="82"/>
  <c r="I22" i="82"/>
  <c r="H22" i="82"/>
  <c r="G22" i="82"/>
  <c r="N21" i="82"/>
  <c r="M21" i="82"/>
  <c r="L21" i="82"/>
  <c r="K21" i="82"/>
  <c r="J21" i="82"/>
  <c r="I21" i="82"/>
  <c r="H21" i="82"/>
  <c r="G21" i="82"/>
  <c r="N20" i="82"/>
  <c r="M20" i="82"/>
  <c r="L20" i="82"/>
  <c r="K20" i="82"/>
  <c r="J20" i="82"/>
  <c r="I20" i="82"/>
  <c r="H20" i="82"/>
  <c r="G20" i="82"/>
  <c r="N19" i="82"/>
  <c r="M19" i="82"/>
  <c r="L19" i="82"/>
  <c r="K19" i="82"/>
  <c r="J19" i="82"/>
  <c r="I19" i="82"/>
  <c r="H19" i="82"/>
  <c r="G19" i="82"/>
  <c r="E19" i="82"/>
  <c r="N18" i="82"/>
  <c r="M18" i="82"/>
  <c r="L18" i="82"/>
  <c r="K18" i="82"/>
  <c r="J18" i="82"/>
  <c r="I18" i="82"/>
  <c r="H18" i="82"/>
  <c r="G18" i="82"/>
  <c r="N17" i="82"/>
  <c r="M17" i="82"/>
  <c r="L17" i="82"/>
  <c r="K17" i="82"/>
  <c r="J17" i="82"/>
  <c r="I17" i="82"/>
  <c r="H17" i="82"/>
  <c r="G17" i="82"/>
  <c r="N16" i="82"/>
  <c r="M16" i="82"/>
  <c r="L16" i="82"/>
  <c r="K16" i="82"/>
  <c r="J16" i="82"/>
  <c r="I16" i="82"/>
  <c r="H16" i="82"/>
  <c r="G16" i="82"/>
  <c r="E16" i="82"/>
  <c r="D16" i="82"/>
  <c r="N15" i="82"/>
  <c r="M15" i="82"/>
  <c r="L15" i="82"/>
  <c r="K15" i="82"/>
  <c r="J15" i="82"/>
  <c r="I15" i="82"/>
  <c r="H15" i="82"/>
  <c r="G15" i="82"/>
  <c r="N14" i="82"/>
  <c r="M14" i="82"/>
  <c r="L14" i="82"/>
  <c r="K14" i="82"/>
  <c r="J14" i="82"/>
  <c r="I14" i="82"/>
  <c r="H14" i="82"/>
  <c r="G14" i="82"/>
  <c r="N13" i="82"/>
  <c r="M13" i="82"/>
  <c r="L13" i="82"/>
  <c r="K13" i="82"/>
  <c r="J13" i="82"/>
  <c r="I13" i="82"/>
  <c r="H13" i="82"/>
  <c r="G13" i="82"/>
  <c r="E13" i="82"/>
  <c r="D13" i="82"/>
  <c r="N12" i="82"/>
  <c r="M12" i="82"/>
  <c r="L12" i="82"/>
  <c r="K12" i="82"/>
  <c r="J12" i="82"/>
  <c r="I12" i="82"/>
  <c r="H12" i="82"/>
  <c r="G12" i="82"/>
  <c r="N11" i="82"/>
  <c r="M11" i="82"/>
  <c r="L11" i="82"/>
  <c r="K11" i="82"/>
  <c r="J11" i="82"/>
  <c r="I11" i="82"/>
  <c r="H11" i="82"/>
  <c r="G11" i="82"/>
  <c r="N10" i="82"/>
  <c r="M10" i="82"/>
  <c r="L10" i="82"/>
  <c r="K10" i="82"/>
  <c r="J10" i="82"/>
  <c r="I10" i="82"/>
  <c r="H10" i="82"/>
  <c r="G10" i="82"/>
  <c r="E10" i="82"/>
  <c r="D10" i="82"/>
  <c r="N9" i="82"/>
  <c r="M9" i="82"/>
  <c r="L9" i="82"/>
  <c r="K9" i="82"/>
  <c r="J9" i="82"/>
  <c r="I9" i="82"/>
  <c r="H9" i="82"/>
  <c r="G9" i="82"/>
  <c r="E9" i="82"/>
  <c r="N8" i="82"/>
  <c r="M8" i="82"/>
  <c r="L8" i="82"/>
  <c r="K8" i="82"/>
  <c r="J8" i="82"/>
  <c r="I8" i="82"/>
  <c r="H8" i="82"/>
  <c r="G8" i="82"/>
  <c r="N7" i="82"/>
  <c r="M7" i="82"/>
  <c r="L7" i="82"/>
  <c r="K7" i="82"/>
  <c r="J7" i="82"/>
  <c r="I7" i="82"/>
  <c r="H7" i="82"/>
  <c r="G7" i="82"/>
  <c r="E7" i="82"/>
  <c r="D7" i="82"/>
  <c r="N6" i="82"/>
  <c r="M6" i="82"/>
  <c r="L6" i="82"/>
  <c r="K6" i="82"/>
  <c r="J6" i="82"/>
  <c r="I6" i="82"/>
  <c r="H6" i="82"/>
  <c r="G6" i="82"/>
  <c r="N5" i="82"/>
  <c r="M5" i="82"/>
  <c r="L5" i="82"/>
  <c r="K5" i="82"/>
  <c r="J5" i="82"/>
  <c r="I5" i="82"/>
  <c r="H5" i="82"/>
  <c r="G5" i="82"/>
  <c r="N4" i="82"/>
  <c r="M4" i="82"/>
  <c r="L4" i="82"/>
  <c r="K4" i="82"/>
  <c r="J4" i="82"/>
  <c r="I4" i="82"/>
  <c r="H4" i="82"/>
  <c r="G4" i="82"/>
  <c r="E4" i="82"/>
  <c r="D4" i="82"/>
  <c r="N3" i="82"/>
  <c r="M3" i="82"/>
  <c r="L3" i="82"/>
  <c r="K3" i="82"/>
  <c r="J3" i="82"/>
  <c r="I3" i="82"/>
  <c r="H3" i="82"/>
  <c r="G3" i="82"/>
  <c r="G2" i="82"/>
  <c r="G76" i="81"/>
  <c r="F76" i="81"/>
  <c r="E76" i="81"/>
  <c r="M75" i="81"/>
  <c r="L75" i="81"/>
  <c r="K75" i="81"/>
  <c r="J75" i="81"/>
  <c r="I75" i="81"/>
  <c r="H75" i="81"/>
  <c r="G75" i="81"/>
  <c r="F75" i="81"/>
  <c r="E75" i="81"/>
  <c r="D75" i="81"/>
  <c r="M74" i="81"/>
  <c r="L74" i="81"/>
  <c r="K74" i="81"/>
  <c r="J74" i="81"/>
  <c r="I74" i="81"/>
  <c r="H74" i="81"/>
  <c r="G74" i="81"/>
  <c r="F74" i="81"/>
  <c r="M73" i="81"/>
  <c r="L73" i="81"/>
  <c r="K73" i="81"/>
  <c r="J73" i="81"/>
  <c r="I73" i="81"/>
  <c r="H73" i="81"/>
  <c r="G73" i="81"/>
  <c r="F73" i="81"/>
  <c r="M72" i="81"/>
  <c r="L72" i="81"/>
  <c r="K72" i="81"/>
  <c r="J72" i="81"/>
  <c r="I72" i="81"/>
  <c r="H72" i="81"/>
  <c r="G72" i="81"/>
  <c r="F72" i="81"/>
  <c r="M71" i="81"/>
  <c r="L71" i="81"/>
  <c r="K71" i="81"/>
  <c r="J71" i="81"/>
  <c r="I71" i="81"/>
  <c r="H71" i="81"/>
  <c r="G71" i="81"/>
  <c r="F71" i="81"/>
  <c r="M70" i="81"/>
  <c r="L70" i="81"/>
  <c r="K70" i="81"/>
  <c r="J70" i="81"/>
  <c r="I70" i="81"/>
  <c r="H70" i="81"/>
  <c r="G70" i="81"/>
  <c r="F70" i="81"/>
  <c r="M69" i="81"/>
  <c r="L69" i="81"/>
  <c r="K69" i="81"/>
  <c r="J69" i="81"/>
  <c r="I69" i="81"/>
  <c r="H69" i="81"/>
  <c r="G69" i="81"/>
  <c r="F69" i="81"/>
  <c r="M68" i="81"/>
  <c r="L68" i="81"/>
  <c r="K68" i="81"/>
  <c r="J68" i="81"/>
  <c r="I68" i="81"/>
  <c r="H68" i="81"/>
  <c r="G68" i="81"/>
  <c r="F68" i="81"/>
  <c r="M67" i="81"/>
  <c r="L67" i="81"/>
  <c r="K67" i="81"/>
  <c r="J67" i="81"/>
  <c r="I67" i="81"/>
  <c r="H67" i="81"/>
  <c r="G67" i="81"/>
  <c r="F67" i="81"/>
  <c r="M66" i="81"/>
  <c r="L66" i="81"/>
  <c r="K66" i="81"/>
  <c r="J66" i="81"/>
  <c r="I66" i="81"/>
  <c r="H66" i="81"/>
  <c r="G66" i="81"/>
  <c r="F66" i="81"/>
  <c r="M65" i="81"/>
  <c r="L65" i="81"/>
  <c r="K65" i="81"/>
  <c r="J65" i="81"/>
  <c r="I65" i="81"/>
  <c r="H65" i="81"/>
  <c r="G65" i="81"/>
  <c r="F65" i="81"/>
  <c r="M64" i="81"/>
  <c r="L64" i="81"/>
  <c r="K64" i="81"/>
  <c r="J64" i="81"/>
  <c r="I64" i="81"/>
  <c r="H64" i="81"/>
  <c r="G64" i="81"/>
  <c r="F64" i="81"/>
  <c r="M63" i="81"/>
  <c r="L63" i="81"/>
  <c r="K63" i="81"/>
  <c r="J63" i="81"/>
  <c r="I63" i="81"/>
  <c r="H63" i="81"/>
  <c r="G63" i="81"/>
  <c r="F63" i="81"/>
  <c r="M62" i="81"/>
  <c r="L62" i="81"/>
  <c r="K62" i="81"/>
  <c r="J62" i="81"/>
  <c r="I62" i="81"/>
  <c r="H62" i="81"/>
  <c r="G62" i="81"/>
  <c r="F62" i="81"/>
  <c r="M61" i="81"/>
  <c r="L61" i="81"/>
  <c r="K61" i="81"/>
  <c r="J61" i="81"/>
  <c r="I61" i="81"/>
  <c r="H61" i="81"/>
  <c r="G61" i="81"/>
  <c r="F61" i="81"/>
  <c r="M60" i="81"/>
  <c r="L60" i="81"/>
  <c r="K60" i="81"/>
  <c r="J60" i="81"/>
  <c r="I60" i="81"/>
  <c r="H60" i="81"/>
  <c r="G60" i="81"/>
  <c r="F60" i="81"/>
  <c r="M59" i="81"/>
  <c r="L59" i="81"/>
  <c r="K59" i="81"/>
  <c r="J59" i="81"/>
  <c r="I59" i="81"/>
  <c r="H59" i="81"/>
  <c r="G59" i="81"/>
  <c r="F59" i="81"/>
  <c r="M58" i="81"/>
  <c r="L58" i="81"/>
  <c r="K58" i="81"/>
  <c r="J58" i="81"/>
  <c r="I58" i="81"/>
  <c r="H58" i="81"/>
  <c r="G58" i="81"/>
  <c r="F58" i="81"/>
  <c r="M57" i="81"/>
  <c r="L57" i="81"/>
  <c r="K57" i="81"/>
  <c r="J57" i="81"/>
  <c r="I57" i="81"/>
  <c r="H57" i="81"/>
  <c r="G57" i="81"/>
  <c r="F57" i="81"/>
  <c r="M56" i="81"/>
  <c r="L56" i="81"/>
  <c r="K56" i="81"/>
  <c r="J56" i="81"/>
  <c r="I56" i="81"/>
  <c r="H56" i="81"/>
  <c r="G56" i="81"/>
  <c r="F56" i="81"/>
  <c r="M55" i="81"/>
  <c r="L55" i="81"/>
  <c r="K55" i="81"/>
  <c r="J55" i="81"/>
  <c r="I55" i="81"/>
  <c r="H55" i="81"/>
  <c r="G55" i="81"/>
  <c r="F55" i="81"/>
  <c r="M54" i="81"/>
  <c r="L54" i="81"/>
  <c r="K54" i="81"/>
  <c r="J54" i="81"/>
  <c r="I54" i="81"/>
  <c r="H54" i="81"/>
  <c r="G54" i="81"/>
  <c r="F54" i="81"/>
  <c r="M53" i="81"/>
  <c r="L53" i="81"/>
  <c r="K53" i="81"/>
  <c r="J53" i="81"/>
  <c r="I53" i="81"/>
  <c r="H53" i="81"/>
  <c r="G53" i="81"/>
  <c r="F53" i="81"/>
  <c r="M52" i="81"/>
  <c r="L52" i="81"/>
  <c r="K52" i="81"/>
  <c r="J52" i="81"/>
  <c r="I52" i="81"/>
  <c r="H52" i="81"/>
  <c r="G52" i="81"/>
  <c r="F52" i="81"/>
  <c r="M51" i="81"/>
  <c r="L51" i="81"/>
  <c r="K51" i="81"/>
  <c r="J51" i="81"/>
  <c r="I51" i="81"/>
  <c r="H51" i="81"/>
  <c r="G51" i="81"/>
  <c r="F51" i="81"/>
  <c r="M50" i="81"/>
  <c r="L50" i="81"/>
  <c r="K50" i="81"/>
  <c r="J50" i="81"/>
  <c r="I50" i="81"/>
  <c r="H50" i="81"/>
  <c r="G50" i="81"/>
  <c r="F50" i="81"/>
  <c r="M49" i="81"/>
  <c r="L49" i="81"/>
  <c r="K49" i="81"/>
  <c r="J49" i="81"/>
  <c r="I49" i="81"/>
  <c r="H49" i="81"/>
  <c r="G49" i="81"/>
  <c r="F49" i="81"/>
  <c r="M48" i="81"/>
  <c r="L48" i="81"/>
  <c r="K48" i="81"/>
  <c r="J48" i="81"/>
  <c r="I48" i="81"/>
  <c r="H48" i="81"/>
  <c r="G48" i="81"/>
  <c r="F48" i="81"/>
  <c r="M47" i="81"/>
  <c r="L47" i="81"/>
  <c r="K47" i="81"/>
  <c r="J47" i="81"/>
  <c r="I47" i="81"/>
  <c r="H47" i="81"/>
  <c r="G47" i="81"/>
  <c r="F47" i="81"/>
  <c r="M46" i="81"/>
  <c r="L46" i="81"/>
  <c r="K46" i="81"/>
  <c r="J46" i="81"/>
  <c r="I46" i="81"/>
  <c r="H46" i="81"/>
  <c r="G46" i="81"/>
  <c r="F46" i="81"/>
  <c r="M45" i="81"/>
  <c r="L45" i="81"/>
  <c r="K45" i="81"/>
  <c r="J45" i="81"/>
  <c r="I45" i="81"/>
  <c r="H45" i="81"/>
  <c r="G45" i="81"/>
  <c r="F45" i="81"/>
  <c r="M44" i="81"/>
  <c r="L44" i="81"/>
  <c r="K44" i="81"/>
  <c r="J44" i="81"/>
  <c r="I44" i="81"/>
  <c r="H44" i="81"/>
  <c r="G44" i="81"/>
  <c r="F44" i="81"/>
  <c r="C44" i="81"/>
  <c r="M43" i="81"/>
  <c r="L43" i="81"/>
  <c r="K43" i="81"/>
  <c r="J43" i="81"/>
  <c r="I43" i="81"/>
  <c r="H43" i="81"/>
  <c r="G43" i="81"/>
  <c r="F43" i="81"/>
  <c r="M42" i="81"/>
  <c r="L42" i="81"/>
  <c r="K42" i="81"/>
  <c r="J42" i="81"/>
  <c r="I42" i="81"/>
  <c r="H42" i="81"/>
  <c r="G42" i="81"/>
  <c r="F42" i="81"/>
  <c r="M41" i="81"/>
  <c r="L41" i="81"/>
  <c r="K41" i="81"/>
  <c r="J41" i="81"/>
  <c r="I41" i="81"/>
  <c r="H41" i="81"/>
  <c r="G41" i="81"/>
  <c r="F41" i="81"/>
  <c r="M40" i="81"/>
  <c r="L40" i="81"/>
  <c r="K40" i="81"/>
  <c r="J40" i="81"/>
  <c r="I40" i="81"/>
  <c r="H40" i="81"/>
  <c r="G40" i="81"/>
  <c r="F40" i="81"/>
  <c r="M39" i="81"/>
  <c r="L39" i="81"/>
  <c r="K39" i="81"/>
  <c r="J39" i="81"/>
  <c r="I39" i="81"/>
  <c r="H39" i="81"/>
  <c r="G39" i="81"/>
  <c r="F39" i="81"/>
  <c r="M38" i="81"/>
  <c r="L38" i="81"/>
  <c r="K38" i="81"/>
  <c r="J38" i="81"/>
  <c r="I38" i="81"/>
  <c r="H38" i="81"/>
  <c r="G38" i="81"/>
  <c r="F38" i="81"/>
  <c r="M37" i="81"/>
  <c r="L37" i="81"/>
  <c r="K37" i="81"/>
  <c r="J37" i="81"/>
  <c r="I37" i="81"/>
  <c r="H37" i="81"/>
  <c r="G37" i="81"/>
  <c r="F37" i="81"/>
  <c r="M36" i="81"/>
  <c r="L36" i="81"/>
  <c r="K36" i="81"/>
  <c r="J36" i="81"/>
  <c r="I36" i="81"/>
  <c r="H36" i="81"/>
  <c r="G36" i="81"/>
  <c r="F36" i="81"/>
  <c r="M35" i="81"/>
  <c r="L35" i="81"/>
  <c r="K35" i="81"/>
  <c r="J35" i="81"/>
  <c r="I35" i="81"/>
  <c r="H35" i="81"/>
  <c r="G35" i="81"/>
  <c r="F35" i="81"/>
  <c r="M34" i="81"/>
  <c r="L34" i="81"/>
  <c r="K34" i="81"/>
  <c r="J34" i="81"/>
  <c r="I34" i="81"/>
  <c r="H34" i="81"/>
  <c r="G34" i="81"/>
  <c r="F34" i="81"/>
  <c r="M33" i="81"/>
  <c r="L33" i="81"/>
  <c r="K33" i="81"/>
  <c r="J33" i="81"/>
  <c r="I33" i="81"/>
  <c r="H33" i="81"/>
  <c r="G33" i="81"/>
  <c r="F33" i="81"/>
  <c r="M32" i="81"/>
  <c r="L32" i="81"/>
  <c r="K32" i="81"/>
  <c r="J32" i="81"/>
  <c r="I32" i="81"/>
  <c r="H32" i="81"/>
  <c r="G32" i="81"/>
  <c r="F32" i="81"/>
  <c r="M31" i="81"/>
  <c r="L31" i="81"/>
  <c r="K31" i="81"/>
  <c r="J31" i="81"/>
  <c r="I31" i="81"/>
  <c r="H31" i="81"/>
  <c r="G31" i="81"/>
  <c r="F31" i="81"/>
  <c r="M30" i="81"/>
  <c r="L30" i="81"/>
  <c r="K30" i="81"/>
  <c r="J30" i="81"/>
  <c r="I30" i="81"/>
  <c r="H30" i="81"/>
  <c r="G30" i="81"/>
  <c r="F30" i="81"/>
  <c r="M29" i="81"/>
  <c r="L29" i="81"/>
  <c r="K29" i="81"/>
  <c r="J29" i="81"/>
  <c r="I29" i="81"/>
  <c r="H29" i="81"/>
  <c r="G29" i="81"/>
  <c r="F29" i="81"/>
  <c r="M28" i="81"/>
  <c r="L28" i="81"/>
  <c r="K28" i="81"/>
  <c r="J28" i="81"/>
  <c r="I28" i="81"/>
  <c r="H28" i="81"/>
  <c r="G28" i="81"/>
  <c r="F28" i="81"/>
  <c r="M27" i="81"/>
  <c r="L27" i="81"/>
  <c r="K27" i="81"/>
  <c r="J27" i="81"/>
  <c r="I27" i="81"/>
  <c r="H27" i="81"/>
  <c r="G27" i="81"/>
  <c r="F27" i="81"/>
  <c r="M26" i="81"/>
  <c r="L26" i="81"/>
  <c r="K26" i="81"/>
  <c r="J26" i="81"/>
  <c r="I26" i="81"/>
  <c r="H26" i="81"/>
  <c r="G26" i="81"/>
  <c r="F26" i="81"/>
  <c r="M25" i="81"/>
  <c r="L25" i="81"/>
  <c r="K25" i="81"/>
  <c r="J25" i="81"/>
  <c r="I25" i="81"/>
  <c r="H25" i="81"/>
  <c r="G25" i="81"/>
  <c r="F25" i="81"/>
  <c r="M24" i="81"/>
  <c r="L24" i="81"/>
  <c r="K24" i="81"/>
  <c r="J24" i="81"/>
  <c r="I24" i="81"/>
  <c r="H24" i="81"/>
  <c r="G24" i="81"/>
  <c r="F24" i="81"/>
  <c r="M23" i="81"/>
  <c r="L23" i="81"/>
  <c r="K23" i="81"/>
  <c r="J23" i="81"/>
  <c r="I23" i="81"/>
  <c r="H23" i="81"/>
  <c r="G23" i="81"/>
  <c r="F23" i="81"/>
  <c r="M22" i="81"/>
  <c r="L22" i="81"/>
  <c r="K22" i="81"/>
  <c r="J22" i="81"/>
  <c r="I22" i="81"/>
  <c r="H22" i="81"/>
  <c r="G22" i="81"/>
  <c r="F22" i="81"/>
  <c r="M21" i="81"/>
  <c r="L21" i="81"/>
  <c r="K21" i="81"/>
  <c r="J21" i="81"/>
  <c r="I21" i="81"/>
  <c r="H21" i="81"/>
  <c r="G21" i="81"/>
  <c r="F21" i="81"/>
  <c r="M20" i="81"/>
  <c r="L20" i="81"/>
  <c r="K20" i="81"/>
  <c r="J20" i="81"/>
  <c r="I20" i="81"/>
  <c r="H20" i="81"/>
  <c r="G20" i="81"/>
  <c r="F20" i="81"/>
  <c r="M19" i="81"/>
  <c r="L19" i="81"/>
  <c r="K19" i="81"/>
  <c r="J19" i="81"/>
  <c r="I19" i="81"/>
  <c r="H19" i="81"/>
  <c r="G19" i="81"/>
  <c r="F19" i="81"/>
  <c r="M18" i="81"/>
  <c r="L18" i="81"/>
  <c r="K18" i="81"/>
  <c r="J18" i="81"/>
  <c r="I18" i="81"/>
  <c r="H18" i="81"/>
  <c r="G18" i="81"/>
  <c r="F18" i="81"/>
  <c r="M17" i="81"/>
  <c r="L17" i="81"/>
  <c r="K17" i="81"/>
  <c r="J17" i="81"/>
  <c r="I17" i="81"/>
  <c r="H17" i="81"/>
  <c r="G17" i="81"/>
  <c r="F17" i="81"/>
  <c r="M16" i="81"/>
  <c r="L16" i="81"/>
  <c r="K16" i="81"/>
  <c r="J16" i="81"/>
  <c r="I16" i="81"/>
  <c r="H16" i="81"/>
  <c r="G16" i="81"/>
  <c r="F16" i="81"/>
  <c r="M15" i="81"/>
  <c r="L15" i="81"/>
  <c r="K15" i="81"/>
  <c r="J15" i="81"/>
  <c r="I15" i="81"/>
  <c r="H15" i="81"/>
  <c r="G15" i="81"/>
  <c r="F15" i="81"/>
  <c r="M14" i="81"/>
  <c r="L14" i="81"/>
  <c r="K14" i="81"/>
  <c r="J14" i="81"/>
  <c r="I14" i="81"/>
  <c r="H14" i="81"/>
  <c r="G14" i="81"/>
  <c r="F14" i="81"/>
  <c r="M13" i="81"/>
  <c r="L13" i="81"/>
  <c r="K13" i="81"/>
  <c r="J13" i="81"/>
  <c r="I13" i="81"/>
  <c r="H13" i="81"/>
  <c r="G13" i="81"/>
  <c r="F13" i="81"/>
  <c r="M12" i="81"/>
  <c r="L12" i="81"/>
  <c r="K12" i="81"/>
  <c r="J12" i="81"/>
  <c r="I12" i="81"/>
  <c r="H12" i="81"/>
  <c r="G12" i="81"/>
  <c r="F12" i="81"/>
  <c r="M11" i="81"/>
  <c r="L11" i="81"/>
  <c r="K11" i="81"/>
  <c r="J11" i="81"/>
  <c r="I11" i="81"/>
  <c r="H11" i="81"/>
  <c r="G11" i="81"/>
  <c r="F11" i="81"/>
  <c r="M10" i="81"/>
  <c r="L10" i="81"/>
  <c r="K10" i="81"/>
  <c r="J10" i="81"/>
  <c r="I10" i="81"/>
  <c r="H10" i="81"/>
  <c r="G10" i="81"/>
  <c r="F10" i="81"/>
  <c r="M9" i="81"/>
  <c r="L9" i="81"/>
  <c r="K9" i="81"/>
  <c r="J9" i="81"/>
  <c r="I9" i="81"/>
  <c r="H9" i="81"/>
  <c r="G9" i="81"/>
  <c r="F9" i="81"/>
  <c r="M8" i="81"/>
  <c r="L8" i="81"/>
  <c r="K8" i="81"/>
  <c r="J8" i="81"/>
  <c r="I8" i="81"/>
  <c r="H8" i="81"/>
  <c r="G8" i="81"/>
  <c r="F8" i="81"/>
  <c r="M7" i="81"/>
  <c r="L7" i="81"/>
  <c r="K7" i="81"/>
  <c r="J7" i="81"/>
  <c r="I7" i="81"/>
  <c r="H7" i="81"/>
  <c r="G7" i="81"/>
  <c r="F7" i="81"/>
  <c r="M6" i="81"/>
  <c r="L6" i="81"/>
  <c r="K6" i="81"/>
  <c r="J6" i="81"/>
  <c r="I6" i="81"/>
  <c r="H6" i="81"/>
  <c r="G6" i="81"/>
  <c r="F6" i="81"/>
  <c r="M5" i="81"/>
  <c r="L5" i="81"/>
  <c r="K5" i="81"/>
  <c r="J5" i="81"/>
  <c r="I5" i="81"/>
  <c r="H5" i="81"/>
  <c r="G5" i="81"/>
  <c r="F5" i="81"/>
  <c r="M4" i="81"/>
  <c r="L4" i="81"/>
  <c r="K4" i="81"/>
  <c r="J4" i="81"/>
  <c r="I4" i="81"/>
  <c r="H4" i="81"/>
  <c r="G4" i="81"/>
  <c r="F4" i="81"/>
  <c r="M3" i="81"/>
  <c r="L3" i="81"/>
  <c r="K3" i="81"/>
  <c r="J3" i="81"/>
  <c r="I3" i="81"/>
  <c r="H3" i="81"/>
  <c r="G3" i="81"/>
  <c r="F3" i="81"/>
  <c r="F2" i="81"/>
  <c r="G41" i="80"/>
  <c r="F41" i="80"/>
  <c r="E41" i="80"/>
  <c r="M40" i="80"/>
  <c r="L40" i="80"/>
  <c r="K40" i="80"/>
  <c r="J40" i="80"/>
  <c r="I40" i="80"/>
  <c r="H40" i="80"/>
  <c r="G40" i="80"/>
  <c r="F40" i="80"/>
  <c r="E40" i="80"/>
  <c r="D40" i="80"/>
  <c r="M39" i="80"/>
  <c r="L39" i="80"/>
  <c r="K39" i="80"/>
  <c r="J39" i="80"/>
  <c r="I39" i="80"/>
  <c r="H39" i="80"/>
  <c r="G39" i="80"/>
  <c r="F39" i="80"/>
  <c r="M38" i="80"/>
  <c r="L38" i="80"/>
  <c r="K38" i="80"/>
  <c r="J38" i="80"/>
  <c r="I38" i="80"/>
  <c r="H38" i="80"/>
  <c r="G38" i="80"/>
  <c r="F38" i="80"/>
  <c r="M37" i="80"/>
  <c r="L37" i="80"/>
  <c r="K37" i="80"/>
  <c r="J37" i="80"/>
  <c r="I37" i="80"/>
  <c r="H37" i="80"/>
  <c r="G37" i="80"/>
  <c r="F37" i="80"/>
  <c r="M36" i="80"/>
  <c r="L36" i="80"/>
  <c r="K36" i="80"/>
  <c r="J36" i="80"/>
  <c r="I36" i="80"/>
  <c r="H36" i="80"/>
  <c r="G36" i="80"/>
  <c r="F36" i="80"/>
  <c r="M35" i="80"/>
  <c r="L35" i="80"/>
  <c r="K35" i="80"/>
  <c r="J35" i="80"/>
  <c r="I35" i="80"/>
  <c r="H35" i="80"/>
  <c r="G35" i="80"/>
  <c r="F35" i="80"/>
  <c r="M34" i="80"/>
  <c r="L34" i="80"/>
  <c r="K34" i="80"/>
  <c r="J34" i="80"/>
  <c r="I34" i="80"/>
  <c r="H34" i="80"/>
  <c r="G34" i="80"/>
  <c r="F34" i="80"/>
  <c r="M33" i="80"/>
  <c r="L33" i="80"/>
  <c r="K33" i="80"/>
  <c r="J33" i="80"/>
  <c r="I33" i="80"/>
  <c r="H33" i="80"/>
  <c r="G33" i="80"/>
  <c r="F33" i="80"/>
  <c r="M32" i="80"/>
  <c r="L32" i="80"/>
  <c r="K32" i="80"/>
  <c r="J32" i="80"/>
  <c r="I32" i="80"/>
  <c r="H32" i="80"/>
  <c r="G32" i="80"/>
  <c r="F32" i="80"/>
  <c r="M31" i="80"/>
  <c r="L31" i="80"/>
  <c r="K31" i="80"/>
  <c r="J31" i="80"/>
  <c r="I31" i="80"/>
  <c r="H31" i="80"/>
  <c r="G31" i="80"/>
  <c r="F31" i="80"/>
  <c r="M30" i="80"/>
  <c r="L30" i="80"/>
  <c r="K30" i="80"/>
  <c r="J30" i="80"/>
  <c r="I30" i="80"/>
  <c r="H30" i="80"/>
  <c r="G30" i="80"/>
  <c r="F30" i="80"/>
  <c r="M29" i="80"/>
  <c r="L29" i="80"/>
  <c r="K29" i="80"/>
  <c r="J29" i="80"/>
  <c r="I29" i="80"/>
  <c r="H29" i="80"/>
  <c r="G29" i="80"/>
  <c r="F29" i="80"/>
  <c r="M28" i="80"/>
  <c r="L28" i="80"/>
  <c r="K28" i="80"/>
  <c r="J28" i="80"/>
  <c r="I28" i="80"/>
  <c r="H28" i="80"/>
  <c r="G28" i="80"/>
  <c r="F28" i="80"/>
  <c r="M27" i="80"/>
  <c r="L27" i="80"/>
  <c r="K27" i="80"/>
  <c r="J27" i="80"/>
  <c r="I27" i="80"/>
  <c r="H27" i="80"/>
  <c r="G27" i="80"/>
  <c r="F27" i="80"/>
  <c r="M26" i="80"/>
  <c r="L26" i="80"/>
  <c r="K26" i="80"/>
  <c r="J26" i="80"/>
  <c r="I26" i="80"/>
  <c r="H26" i="80"/>
  <c r="G26" i="80"/>
  <c r="F26" i="80"/>
  <c r="M25" i="80"/>
  <c r="L25" i="80"/>
  <c r="K25" i="80"/>
  <c r="J25" i="80"/>
  <c r="I25" i="80"/>
  <c r="H25" i="80"/>
  <c r="G25" i="80"/>
  <c r="F25" i="80"/>
  <c r="M24" i="80"/>
  <c r="L24" i="80"/>
  <c r="K24" i="80"/>
  <c r="J24" i="80"/>
  <c r="I24" i="80"/>
  <c r="H24" i="80"/>
  <c r="G24" i="80"/>
  <c r="F24" i="80"/>
  <c r="M23" i="80"/>
  <c r="L23" i="80"/>
  <c r="K23" i="80"/>
  <c r="J23" i="80"/>
  <c r="I23" i="80"/>
  <c r="H23" i="80"/>
  <c r="G23" i="80"/>
  <c r="F23" i="80"/>
  <c r="M22" i="80"/>
  <c r="L22" i="80"/>
  <c r="K22" i="80"/>
  <c r="J22" i="80"/>
  <c r="I22" i="80"/>
  <c r="H22" i="80"/>
  <c r="G22" i="80"/>
  <c r="F22" i="80"/>
  <c r="M21" i="80"/>
  <c r="L21" i="80"/>
  <c r="K21" i="80"/>
  <c r="J21" i="80"/>
  <c r="I21" i="80"/>
  <c r="H21" i="80"/>
  <c r="G21" i="80"/>
  <c r="F21" i="80"/>
  <c r="M20" i="80"/>
  <c r="L20" i="80"/>
  <c r="K20" i="80"/>
  <c r="J20" i="80"/>
  <c r="I20" i="80"/>
  <c r="H20" i="80"/>
  <c r="G20" i="80"/>
  <c r="F20" i="80"/>
  <c r="M19" i="80"/>
  <c r="L19" i="80"/>
  <c r="K19" i="80"/>
  <c r="J19" i="80"/>
  <c r="I19" i="80"/>
  <c r="H19" i="80"/>
  <c r="G19" i="80"/>
  <c r="F19" i="80"/>
  <c r="M18" i="80"/>
  <c r="L18" i="80"/>
  <c r="K18" i="80"/>
  <c r="J18" i="80"/>
  <c r="I18" i="80"/>
  <c r="H18" i="80"/>
  <c r="G18" i="80"/>
  <c r="F18" i="80"/>
  <c r="M17" i="80"/>
  <c r="L17" i="80"/>
  <c r="K17" i="80"/>
  <c r="J17" i="80"/>
  <c r="I17" i="80"/>
  <c r="H17" i="80"/>
  <c r="G17" i="80"/>
  <c r="F17" i="80"/>
  <c r="M16" i="80"/>
  <c r="L16" i="80"/>
  <c r="K16" i="80"/>
  <c r="J16" i="80"/>
  <c r="I16" i="80"/>
  <c r="H16" i="80"/>
  <c r="G16" i="80"/>
  <c r="F16" i="80"/>
  <c r="M15" i="80"/>
  <c r="L15" i="80"/>
  <c r="K15" i="80"/>
  <c r="J15" i="80"/>
  <c r="I15" i="80"/>
  <c r="H15" i="80"/>
  <c r="G15" i="80"/>
  <c r="F15" i="80"/>
  <c r="M14" i="80"/>
  <c r="L14" i="80"/>
  <c r="K14" i="80"/>
  <c r="J14" i="80"/>
  <c r="I14" i="80"/>
  <c r="H14" i="80"/>
  <c r="G14" i="80"/>
  <c r="F14" i="80"/>
  <c r="M13" i="80"/>
  <c r="L13" i="80"/>
  <c r="K13" i="80"/>
  <c r="J13" i="80"/>
  <c r="I13" i="80"/>
  <c r="H13" i="80"/>
  <c r="G13" i="80"/>
  <c r="F13" i="80"/>
  <c r="M12" i="80"/>
  <c r="L12" i="80"/>
  <c r="K12" i="80"/>
  <c r="J12" i="80"/>
  <c r="I12" i="80"/>
  <c r="H12" i="80"/>
  <c r="G12" i="80"/>
  <c r="F12" i="80"/>
  <c r="M11" i="80"/>
  <c r="L11" i="80"/>
  <c r="K11" i="80"/>
  <c r="J11" i="80"/>
  <c r="I11" i="80"/>
  <c r="H11" i="80"/>
  <c r="G11" i="80"/>
  <c r="F11" i="80"/>
  <c r="M10" i="80"/>
  <c r="L10" i="80"/>
  <c r="K10" i="80"/>
  <c r="J10" i="80"/>
  <c r="I10" i="80"/>
  <c r="H10" i="80"/>
  <c r="G10" i="80"/>
  <c r="F10" i="80"/>
  <c r="M9" i="80"/>
  <c r="L9" i="80"/>
  <c r="K9" i="80"/>
  <c r="J9" i="80"/>
  <c r="I9" i="80"/>
  <c r="H9" i="80"/>
  <c r="G9" i="80"/>
  <c r="F9" i="80"/>
  <c r="M8" i="80"/>
  <c r="L8" i="80"/>
  <c r="K8" i="80"/>
  <c r="J8" i="80"/>
  <c r="I8" i="80"/>
  <c r="H8" i="80"/>
  <c r="G8" i="80"/>
  <c r="F8" i="80"/>
  <c r="M7" i="80"/>
  <c r="L7" i="80"/>
  <c r="K7" i="80"/>
  <c r="J7" i="80"/>
  <c r="I7" i="80"/>
  <c r="H7" i="80"/>
  <c r="G7" i="80"/>
  <c r="F7" i="80"/>
  <c r="M6" i="80"/>
  <c r="L6" i="80"/>
  <c r="K6" i="80"/>
  <c r="J6" i="80"/>
  <c r="I6" i="80"/>
  <c r="H6" i="80"/>
  <c r="G6" i="80"/>
  <c r="F6" i="80"/>
  <c r="M5" i="80"/>
  <c r="L5" i="80"/>
  <c r="K5" i="80"/>
  <c r="J5" i="80"/>
  <c r="I5" i="80"/>
  <c r="H5" i="80"/>
  <c r="G5" i="80"/>
  <c r="F5" i="80"/>
  <c r="M4" i="80"/>
  <c r="L4" i="80"/>
  <c r="K4" i="80"/>
  <c r="J4" i="80"/>
  <c r="I4" i="80"/>
  <c r="H4" i="80"/>
  <c r="G4" i="80"/>
  <c r="F4" i="80"/>
  <c r="M3" i="80"/>
  <c r="L3" i="80"/>
  <c r="K3" i="80"/>
  <c r="J3" i="80"/>
  <c r="I3" i="80"/>
  <c r="H3" i="80"/>
  <c r="G3" i="80"/>
  <c r="F3" i="80"/>
  <c r="F2" i="80"/>
  <c r="E70" i="79"/>
  <c r="D70" i="79"/>
  <c r="L69" i="79"/>
  <c r="K69" i="79"/>
  <c r="J69" i="79"/>
  <c r="I69" i="79"/>
  <c r="H69" i="79"/>
  <c r="G69" i="79"/>
  <c r="F69" i="79"/>
  <c r="E69" i="79"/>
  <c r="D69" i="79"/>
  <c r="C69" i="79"/>
  <c r="L68" i="79"/>
  <c r="K68" i="79"/>
  <c r="J68" i="79"/>
  <c r="I68" i="79"/>
  <c r="H68" i="79"/>
  <c r="G68" i="79"/>
  <c r="F68" i="79"/>
  <c r="E68" i="79"/>
  <c r="L67" i="79"/>
  <c r="K67" i="79"/>
  <c r="J67" i="79"/>
  <c r="I67" i="79"/>
  <c r="H67" i="79"/>
  <c r="G67" i="79"/>
  <c r="F67" i="79"/>
  <c r="E67" i="79"/>
  <c r="L66" i="79"/>
  <c r="K66" i="79"/>
  <c r="J66" i="79"/>
  <c r="I66" i="79"/>
  <c r="H66" i="79"/>
  <c r="G66" i="79"/>
  <c r="F66" i="79"/>
  <c r="E66" i="79"/>
  <c r="L65" i="79"/>
  <c r="K65" i="79"/>
  <c r="J65" i="79"/>
  <c r="I65" i="79"/>
  <c r="H65" i="79"/>
  <c r="G65" i="79"/>
  <c r="F65" i="79"/>
  <c r="E65" i="79"/>
  <c r="L64" i="79"/>
  <c r="K64" i="79"/>
  <c r="J64" i="79"/>
  <c r="I64" i="79"/>
  <c r="H64" i="79"/>
  <c r="G64" i="79"/>
  <c r="F64" i="79"/>
  <c r="E64" i="79"/>
  <c r="L63" i="79"/>
  <c r="K63" i="79"/>
  <c r="J63" i="79"/>
  <c r="I63" i="79"/>
  <c r="H63" i="79"/>
  <c r="G63" i="79"/>
  <c r="F63" i="79"/>
  <c r="E63" i="79"/>
  <c r="L62" i="79"/>
  <c r="K62" i="79"/>
  <c r="J62" i="79"/>
  <c r="I62" i="79"/>
  <c r="H62" i="79"/>
  <c r="G62" i="79"/>
  <c r="F62" i="79"/>
  <c r="E62" i="79"/>
  <c r="L61" i="79"/>
  <c r="K61" i="79"/>
  <c r="J61" i="79"/>
  <c r="I61" i="79"/>
  <c r="H61" i="79"/>
  <c r="G61" i="79"/>
  <c r="F61" i="79"/>
  <c r="E61" i="79"/>
  <c r="L60" i="79"/>
  <c r="K60" i="79"/>
  <c r="J60" i="79"/>
  <c r="I60" i="79"/>
  <c r="H60" i="79"/>
  <c r="G60" i="79"/>
  <c r="F60" i="79"/>
  <c r="E60" i="79"/>
  <c r="L59" i="79"/>
  <c r="K59" i="79"/>
  <c r="J59" i="79"/>
  <c r="I59" i="79"/>
  <c r="H59" i="79"/>
  <c r="G59" i="79"/>
  <c r="F59" i="79"/>
  <c r="E59" i="79"/>
  <c r="L58" i="79"/>
  <c r="K58" i="79"/>
  <c r="J58" i="79"/>
  <c r="I58" i="79"/>
  <c r="H58" i="79"/>
  <c r="G58" i="79"/>
  <c r="F58" i="79"/>
  <c r="E58" i="79"/>
  <c r="L57" i="79"/>
  <c r="K57" i="79"/>
  <c r="J57" i="79"/>
  <c r="I57" i="79"/>
  <c r="H57" i="79"/>
  <c r="G57" i="79"/>
  <c r="F57" i="79"/>
  <c r="E57" i="79"/>
  <c r="L56" i="79"/>
  <c r="K56" i="79"/>
  <c r="J56" i="79"/>
  <c r="I56" i="79"/>
  <c r="H56" i="79"/>
  <c r="G56" i="79"/>
  <c r="F56" i="79"/>
  <c r="E56" i="79"/>
  <c r="L55" i="79"/>
  <c r="K55" i="79"/>
  <c r="J55" i="79"/>
  <c r="I55" i="79"/>
  <c r="H55" i="79"/>
  <c r="G55" i="79"/>
  <c r="F55" i="79"/>
  <c r="E55" i="79"/>
  <c r="L54" i="79"/>
  <c r="K54" i="79"/>
  <c r="J54" i="79"/>
  <c r="I54" i="79"/>
  <c r="H54" i="79"/>
  <c r="G54" i="79"/>
  <c r="F54" i="79"/>
  <c r="E54" i="79"/>
  <c r="L53" i="79"/>
  <c r="K53" i="79"/>
  <c r="J53" i="79"/>
  <c r="I53" i="79"/>
  <c r="H53" i="79"/>
  <c r="G53" i="79"/>
  <c r="F53" i="79"/>
  <c r="E53" i="79"/>
  <c r="L52" i="79"/>
  <c r="K52" i="79"/>
  <c r="J52" i="79"/>
  <c r="I52" i="79"/>
  <c r="H52" i="79"/>
  <c r="G52" i="79"/>
  <c r="F52" i="79"/>
  <c r="E52" i="79"/>
  <c r="L51" i="79"/>
  <c r="K51" i="79"/>
  <c r="J51" i="79"/>
  <c r="I51" i="79"/>
  <c r="H51" i="79"/>
  <c r="G51" i="79"/>
  <c r="F51" i="79"/>
  <c r="E51" i="79"/>
  <c r="L50" i="79"/>
  <c r="K50" i="79"/>
  <c r="J50" i="79"/>
  <c r="I50" i="79"/>
  <c r="H50" i="79"/>
  <c r="G50" i="79"/>
  <c r="F50" i="79"/>
  <c r="E50" i="79"/>
  <c r="L49" i="79"/>
  <c r="K49" i="79"/>
  <c r="J49" i="79"/>
  <c r="I49" i="79"/>
  <c r="H49" i="79"/>
  <c r="G49" i="79"/>
  <c r="F49" i="79"/>
  <c r="E49" i="79"/>
  <c r="L48" i="79"/>
  <c r="K48" i="79"/>
  <c r="J48" i="79"/>
  <c r="I48" i="79"/>
  <c r="H48" i="79"/>
  <c r="G48" i="79"/>
  <c r="F48" i="79"/>
  <c r="E48" i="79"/>
  <c r="L47" i="79"/>
  <c r="K47" i="79"/>
  <c r="J47" i="79"/>
  <c r="I47" i="79"/>
  <c r="H47" i="79"/>
  <c r="G47" i="79"/>
  <c r="F47" i="79"/>
  <c r="E47" i="79"/>
  <c r="L46" i="79"/>
  <c r="K46" i="79"/>
  <c r="J46" i="79"/>
  <c r="I46" i="79"/>
  <c r="H46" i="79"/>
  <c r="G46" i="79"/>
  <c r="F46" i="79"/>
  <c r="E46" i="79"/>
  <c r="L45" i="79"/>
  <c r="K45" i="79"/>
  <c r="J45" i="79"/>
  <c r="I45" i="79"/>
  <c r="H45" i="79"/>
  <c r="G45" i="79"/>
  <c r="F45" i="79"/>
  <c r="E45" i="79"/>
  <c r="L44" i="79"/>
  <c r="K44" i="79"/>
  <c r="J44" i="79"/>
  <c r="I44" i="79"/>
  <c r="H44" i="79"/>
  <c r="G44" i="79"/>
  <c r="F44" i="79"/>
  <c r="E44" i="79"/>
  <c r="L43" i="79"/>
  <c r="K43" i="79"/>
  <c r="J43" i="79"/>
  <c r="I43" i="79"/>
  <c r="H43" i="79"/>
  <c r="G43" i="79"/>
  <c r="F43" i="79"/>
  <c r="E43" i="79"/>
  <c r="L42" i="79"/>
  <c r="K42" i="79"/>
  <c r="J42" i="79"/>
  <c r="I42" i="79"/>
  <c r="H42" i="79"/>
  <c r="G42" i="79"/>
  <c r="F42" i="79"/>
  <c r="E42" i="79"/>
  <c r="L41" i="79"/>
  <c r="K41" i="79"/>
  <c r="J41" i="79"/>
  <c r="I41" i="79"/>
  <c r="H41" i="79"/>
  <c r="G41" i="79"/>
  <c r="F41" i="79"/>
  <c r="E41" i="79"/>
  <c r="L40" i="79"/>
  <c r="K40" i="79"/>
  <c r="J40" i="79"/>
  <c r="I40" i="79"/>
  <c r="H40" i="79"/>
  <c r="G40" i="79"/>
  <c r="F40" i="79"/>
  <c r="E40" i="79"/>
  <c r="L39" i="79"/>
  <c r="K39" i="79"/>
  <c r="J39" i="79"/>
  <c r="I39" i="79"/>
  <c r="H39" i="79"/>
  <c r="G39" i="79"/>
  <c r="F39" i="79"/>
  <c r="E39" i="79"/>
  <c r="L38" i="79"/>
  <c r="K38" i="79"/>
  <c r="J38" i="79"/>
  <c r="I38" i="79"/>
  <c r="H38" i="79"/>
  <c r="G38" i="79"/>
  <c r="F38" i="79"/>
  <c r="E38" i="79"/>
  <c r="L37" i="79"/>
  <c r="K37" i="79"/>
  <c r="J37" i="79"/>
  <c r="I37" i="79"/>
  <c r="H37" i="79"/>
  <c r="G37" i="79"/>
  <c r="F37" i="79"/>
  <c r="E37" i="79"/>
  <c r="L36" i="79"/>
  <c r="K36" i="79"/>
  <c r="J36" i="79"/>
  <c r="I36" i="79"/>
  <c r="H36" i="79"/>
  <c r="G36" i="79"/>
  <c r="F36" i="79"/>
  <c r="E36" i="79"/>
  <c r="L35" i="79"/>
  <c r="K35" i="79"/>
  <c r="J35" i="79"/>
  <c r="I35" i="79"/>
  <c r="H35" i="79"/>
  <c r="G35" i="79"/>
  <c r="F35" i="79"/>
  <c r="E35" i="79"/>
  <c r="L34" i="79"/>
  <c r="K34" i="79"/>
  <c r="J34" i="79"/>
  <c r="I34" i="79"/>
  <c r="H34" i="79"/>
  <c r="G34" i="79"/>
  <c r="F34" i="79"/>
  <c r="E34" i="79"/>
  <c r="L33" i="79"/>
  <c r="K33" i="79"/>
  <c r="J33" i="79"/>
  <c r="I33" i="79"/>
  <c r="H33" i="79"/>
  <c r="G33" i="79"/>
  <c r="F33" i="79"/>
  <c r="E33" i="79"/>
  <c r="L32" i="79"/>
  <c r="K32" i="79"/>
  <c r="J32" i="79"/>
  <c r="I32" i="79"/>
  <c r="H32" i="79"/>
  <c r="G32" i="79"/>
  <c r="F32" i="79"/>
  <c r="E32" i="79"/>
  <c r="L31" i="79"/>
  <c r="K31" i="79"/>
  <c r="J31" i="79"/>
  <c r="I31" i="79"/>
  <c r="H31" i="79"/>
  <c r="G31" i="79"/>
  <c r="F31" i="79"/>
  <c r="E31" i="79"/>
  <c r="L30" i="79"/>
  <c r="K30" i="79"/>
  <c r="J30" i="79"/>
  <c r="I30" i="79"/>
  <c r="H30" i="79"/>
  <c r="G30" i="79"/>
  <c r="F30" i="79"/>
  <c r="E30" i="79"/>
  <c r="L29" i="79"/>
  <c r="K29" i="79"/>
  <c r="J29" i="79"/>
  <c r="I29" i="79"/>
  <c r="H29" i="79"/>
  <c r="G29" i="79"/>
  <c r="F29" i="79"/>
  <c r="E29" i="79"/>
  <c r="L28" i="79"/>
  <c r="K28" i="79"/>
  <c r="J28" i="79"/>
  <c r="I28" i="79"/>
  <c r="H28" i="79"/>
  <c r="G28" i="79"/>
  <c r="F28" i="79"/>
  <c r="E28" i="79"/>
  <c r="L27" i="79"/>
  <c r="K27" i="79"/>
  <c r="J27" i="79"/>
  <c r="I27" i="79"/>
  <c r="H27" i="79"/>
  <c r="G27" i="79"/>
  <c r="F27" i="79"/>
  <c r="E27" i="79"/>
  <c r="L26" i="79"/>
  <c r="K26" i="79"/>
  <c r="J26" i="79"/>
  <c r="I26" i="79"/>
  <c r="H26" i="79"/>
  <c r="G26" i="79"/>
  <c r="F26" i="79"/>
  <c r="E26" i="79"/>
  <c r="L25" i="79"/>
  <c r="K25" i="79"/>
  <c r="J25" i="79"/>
  <c r="I25" i="79"/>
  <c r="H25" i="79"/>
  <c r="G25" i="79"/>
  <c r="F25" i="79"/>
  <c r="E25" i="79"/>
  <c r="L24" i="79"/>
  <c r="K24" i="79"/>
  <c r="J24" i="79"/>
  <c r="I24" i="79"/>
  <c r="H24" i="79"/>
  <c r="G24" i="79"/>
  <c r="F24" i="79"/>
  <c r="E24" i="79"/>
  <c r="L23" i="79"/>
  <c r="K23" i="79"/>
  <c r="J23" i="79"/>
  <c r="I23" i="79"/>
  <c r="H23" i="79"/>
  <c r="G23" i="79"/>
  <c r="F23" i="79"/>
  <c r="E23" i="79"/>
  <c r="L22" i="79"/>
  <c r="K22" i="79"/>
  <c r="J22" i="79"/>
  <c r="I22" i="79"/>
  <c r="H22" i="79"/>
  <c r="G22" i="79"/>
  <c r="F22" i="79"/>
  <c r="E22" i="79"/>
  <c r="L21" i="79"/>
  <c r="K21" i="79"/>
  <c r="J21" i="79"/>
  <c r="I21" i="79"/>
  <c r="H21" i="79"/>
  <c r="G21" i="79"/>
  <c r="F21" i="79"/>
  <c r="E21" i="79"/>
  <c r="L20" i="79"/>
  <c r="K20" i="79"/>
  <c r="J20" i="79"/>
  <c r="I20" i="79"/>
  <c r="H20" i="79"/>
  <c r="G20" i="79"/>
  <c r="F20" i="79"/>
  <c r="E20" i="79"/>
  <c r="L19" i="79"/>
  <c r="K19" i="79"/>
  <c r="J19" i="79"/>
  <c r="I19" i="79"/>
  <c r="H19" i="79"/>
  <c r="G19" i="79"/>
  <c r="F19" i="79"/>
  <c r="E19" i="79"/>
  <c r="L18" i="79"/>
  <c r="K18" i="79"/>
  <c r="J18" i="79"/>
  <c r="I18" i="79"/>
  <c r="H18" i="79"/>
  <c r="G18" i="79"/>
  <c r="F18" i="79"/>
  <c r="E18" i="79"/>
  <c r="L17" i="79"/>
  <c r="K17" i="79"/>
  <c r="J17" i="79"/>
  <c r="I17" i="79"/>
  <c r="H17" i="79"/>
  <c r="G17" i="79"/>
  <c r="F17" i="79"/>
  <c r="E17" i="79"/>
  <c r="L16" i="79"/>
  <c r="K16" i="79"/>
  <c r="J16" i="79"/>
  <c r="I16" i="79"/>
  <c r="H16" i="79"/>
  <c r="G16" i="79"/>
  <c r="F16" i="79"/>
  <c r="E16" i="79"/>
  <c r="L15" i="79"/>
  <c r="K15" i="79"/>
  <c r="J15" i="79"/>
  <c r="I15" i="79"/>
  <c r="H15" i="79"/>
  <c r="G15" i="79"/>
  <c r="F15" i="79"/>
  <c r="E15" i="79"/>
  <c r="L14" i="79"/>
  <c r="K14" i="79"/>
  <c r="J14" i="79"/>
  <c r="I14" i="79"/>
  <c r="H14" i="79"/>
  <c r="G14" i="79"/>
  <c r="F14" i="79"/>
  <c r="E14" i="79"/>
  <c r="L13" i="79"/>
  <c r="K13" i="79"/>
  <c r="J13" i="79"/>
  <c r="I13" i="79"/>
  <c r="H13" i="79"/>
  <c r="G13" i="79"/>
  <c r="F13" i="79"/>
  <c r="E13" i="79"/>
  <c r="L12" i="79"/>
  <c r="K12" i="79"/>
  <c r="J12" i="79"/>
  <c r="I12" i="79"/>
  <c r="H12" i="79"/>
  <c r="G12" i="79"/>
  <c r="F12" i="79"/>
  <c r="E12" i="79"/>
  <c r="L11" i="79"/>
  <c r="K11" i="79"/>
  <c r="J11" i="79"/>
  <c r="I11" i="79"/>
  <c r="H11" i="79"/>
  <c r="G11" i="79"/>
  <c r="F11" i="79"/>
  <c r="E11" i="79"/>
  <c r="L10" i="79"/>
  <c r="K10" i="79"/>
  <c r="J10" i="79"/>
  <c r="I10" i="79"/>
  <c r="H10" i="79"/>
  <c r="G10" i="79"/>
  <c r="F10" i="79"/>
  <c r="E10" i="79"/>
  <c r="L9" i="79"/>
  <c r="K9" i="79"/>
  <c r="J9" i="79"/>
  <c r="I9" i="79"/>
  <c r="H9" i="79"/>
  <c r="G9" i="79"/>
  <c r="F9" i="79"/>
  <c r="E9" i="79"/>
  <c r="L8" i="79"/>
  <c r="K8" i="79"/>
  <c r="J8" i="79"/>
  <c r="I8" i="79"/>
  <c r="H8" i="79"/>
  <c r="G8" i="79"/>
  <c r="F8" i="79"/>
  <c r="E8" i="79"/>
  <c r="L7" i="79"/>
  <c r="K7" i="79"/>
  <c r="J7" i="79"/>
  <c r="I7" i="79"/>
  <c r="H7" i="79"/>
  <c r="G7" i="79"/>
  <c r="F7" i="79"/>
  <c r="E7" i="79"/>
  <c r="L6" i="79"/>
  <c r="K6" i="79"/>
  <c r="J6" i="79"/>
  <c r="I6" i="79"/>
  <c r="H6" i="79"/>
  <c r="G6" i="79"/>
  <c r="F6" i="79"/>
  <c r="E6" i="79"/>
  <c r="L5" i="79"/>
  <c r="K5" i="79"/>
  <c r="J5" i="79"/>
  <c r="I5" i="79"/>
  <c r="H5" i="79"/>
  <c r="G5" i="79"/>
  <c r="F5" i="79"/>
  <c r="E5" i="79"/>
  <c r="L4" i="79"/>
  <c r="K4" i="79"/>
  <c r="J4" i="79"/>
  <c r="I4" i="79"/>
  <c r="H4" i="79"/>
  <c r="G4" i="79"/>
  <c r="F4" i="79"/>
  <c r="E4" i="79"/>
  <c r="L3" i="79"/>
  <c r="K3" i="79"/>
  <c r="J3" i="79"/>
  <c r="I3" i="79"/>
  <c r="H3" i="79"/>
  <c r="G3" i="79"/>
  <c r="F3" i="79"/>
  <c r="E3" i="79"/>
  <c r="E2" i="79"/>
  <c r="E21" i="78"/>
  <c r="D21" i="78"/>
  <c r="C21" i="78"/>
  <c r="B21" i="78"/>
  <c r="E20" i="78"/>
  <c r="D20" i="78"/>
  <c r="C20" i="78"/>
  <c r="B20" i="78"/>
  <c r="E19" i="78"/>
  <c r="E18" i="78"/>
  <c r="E17" i="78"/>
  <c r="E16" i="78"/>
  <c r="E15" i="78"/>
  <c r="E14" i="78"/>
  <c r="E13" i="78"/>
  <c r="E12" i="78"/>
  <c r="E11" i="78"/>
  <c r="E10" i="78"/>
  <c r="E9" i="78"/>
  <c r="E8" i="78"/>
  <c r="E7" i="78"/>
  <c r="E6" i="78"/>
  <c r="E5" i="78"/>
  <c r="E4" i="78"/>
  <c r="E3" i="78"/>
  <c r="E2" i="78"/>
  <c r="G60" i="77"/>
  <c r="F60" i="77"/>
  <c r="E60" i="77"/>
  <c r="D60" i="77"/>
  <c r="C60" i="77"/>
  <c r="B60" i="77"/>
  <c r="G59" i="77"/>
  <c r="F59" i="77"/>
  <c r="E59" i="77"/>
  <c r="D59" i="77"/>
  <c r="C59" i="77"/>
  <c r="B59" i="77"/>
  <c r="G58" i="77"/>
  <c r="G57" i="77"/>
  <c r="G56" i="77"/>
  <c r="G55" i="77"/>
  <c r="G54" i="77"/>
  <c r="F54" i="77"/>
  <c r="G53" i="77"/>
  <c r="G52" i="77"/>
  <c r="G51" i="77"/>
  <c r="G50" i="77"/>
  <c r="G49" i="77"/>
  <c r="H48" i="77"/>
  <c r="G48" i="77"/>
  <c r="A48" i="77"/>
  <c r="G47" i="77"/>
  <c r="A47" i="77"/>
  <c r="G46" i="77"/>
  <c r="A46" i="77"/>
  <c r="G45" i="77"/>
  <c r="A45" i="77"/>
  <c r="G44" i="77"/>
  <c r="A44" i="77"/>
  <c r="G43" i="77"/>
  <c r="A43" i="77"/>
  <c r="G42" i="77"/>
  <c r="G41" i="77"/>
  <c r="G40" i="77"/>
  <c r="G39" i="77"/>
  <c r="G38" i="77"/>
  <c r="G37" i="77"/>
  <c r="G36" i="77"/>
  <c r="G35" i="77"/>
  <c r="G34" i="77"/>
  <c r="G33" i="77"/>
  <c r="G32" i="77"/>
  <c r="G31" i="77"/>
  <c r="G30" i="77"/>
  <c r="G29" i="77"/>
  <c r="G28" i="77"/>
  <c r="G27" i="77"/>
  <c r="G26" i="77"/>
  <c r="G25" i="77"/>
  <c r="G24" i="77"/>
  <c r="G23" i="77"/>
  <c r="G22" i="77"/>
  <c r="G21" i="77"/>
  <c r="G20" i="77"/>
  <c r="G19" i="77"/>
  <c r="G18" i="77"/>
  <c r="G17" i="77"/>
  <c r="G16" i="77"/>
  <c r="G15" i="77"/>
  <c r="G14" i="77"/>
  <c r="G13" i="77"/>
  <c r="G12" i="77"/>
  <c r="G11" i="77"/>
  <c r="G10" i="77"/>
  <c r="G9" i="77"/>
  <c r="G8" i="77"/>
  <c r="G7" i="77"/>
  <c r="G6" i="77"/>
  <c r="G5" i="77"/>
  <c r="G4" i="77"/>
  <c r="G3" i="77"/>
  <c r="G2" i="77"/>
  <c r="J31" i="135"/>
  <c r="I31" i="135"/>
  <c r="H31" i="135"/>
  <c r="G31" i="135"/>
  <c r="F31" i="135"/>
  <c r="E31" i="135"/>
  <c r="D31" i="135"/>
  <c r="C31" i="135"/>
  <c r="K28" i="135"/>
  <c r="J28" i="135"/>
  <c r="I28" i="135"/>
  <c r="H28" i="135"/>
  <c r="G28" i="135"/>
  <c r="F28" i="135"/>
  <c r="E28" i="135"/>
  <c r="D28" i="135"/>
  <c r="C28" i="135"/>
  <c r="K27" i="135"/>
  <c r="J27" i="135"/>
  <c r="I27" i="135"/>
  <c r="H27" i="135"/>
  <c r="K20" i="135"/>
  <c r="K19" i="135"/>
  <c r="K18" i="135"/>
  <c r="K17" i="135"/>
  <c r="K15" i="135"/>
  <c r="K14" i="135"/>
  <c r="K13" i="135"/>
  <c r="K12" i="135"/>
  <c r="K11" i="135"/>
  <c r="G11" i="135"/>
  <c r="F11" i="135"/>
  <c r="K10" i="135"/>
  <c r="G10" i="135"/>
  <c r="F10" i="135"/>
  <c r="K9" i="135"/>
  <c r="G9" i="135"/>
  <c r="E9" i="135"/>
  <c r="B9" i="135"/>
  <c r="K8" i="135"/>
  <c r="K7" i="135"/>
  <c r="K6" i="135"/>
  <c r="K5" i="135"/>
  <c r="K4" i="135"/>
  <c r="G4" i="135"/>
  <c r="K3" i="135"/>
  <c r="K2" i="135"/>
  <c r="G2" i="135"/>
  <c r="J31" i="134"/>
  <c r="I31" i="134"/>
  <c r="H31" i="134"/>
  <c r="G31" i="134"/>
  <c r="F31" i="134"/>
  <c r="E31" i="134"/>
  <c r="D31" i="134"/>
  <c r="C31" i="134"/>
  <c r="K28" i="134"/>
  <c r="J28" i="134"/>
  <c r="I28" i="134"/>
  <c r="H28" i="134"/>
  <c r="G28" i="134"/>
  <c r="F28" i="134"/>
  <c r="E28" i="134"/>
  <c r="D28" i="134"/>
  <c r="C28" i="134"/>
  <c r="K27" i="134"/>
  <c r="J27" i="134"/>
  <c r="I27" i="134"/>
  <c r="H27" i="134"/>
  <c r="K20" i="134"/>
  <c r="K19" i="134"/>
  <c r="K18" i="134"/>
  <c r="K17" i="134"/>
  <c r="K15" i="134"/>
  <c r="K14" i="134"/>
  <c r="K13" i="134"/>
  <c r="K12" i="134"/>
  <c r="G12" i="134"/>
  <c r="K11" i="134"/>
  <c r="G11" i="134"/>
  <c r="K10" i="134"/>
  <c r="K9" i="134"/>
  <c r="G9" i="134"/>
  <c r="K8" i="134"/>
  <c r="G8" i="134"/>
  <c r="K7" i="134"/>
  <c r="G7" i="134"/>
  <c r="K6" i="134"/>
  <c r="G6" i="134"/>
  <c r="K5" i="134"/>
  <c r="G5" i="134"/>
  <c r="K4" i="134"/>
  <c r="K3" i="134"/>
  <c r="G3" i="134"/>
  <c r="K2" i="134"/>
  <c r="G2" i="134"/>
  <c r="J32" i="118"/>
  <c r="I32" i="118"/>
  <c r="H32" i="118"/>
  <c r="G32" i="118"/>
  <c r="F32" i="118"/>
  <c r="E32" i="118"/>
  <c r="D32" i="118"/>
  <c r="C32" i="118"/>
  <c r="K29" i="118"/>
  <c r="J29" i="118"/>
  <c r="I29" i="118"/>
  <c r="H29" i="118"/>
  <c r="G29" i="118"/>
  <c r="F29" i="118"/>
  <c r="E29" i="118"/>
  <c r="D29" i="118"/>
  <c r="C29" i="118"/>
  <c r="K28" i="118"/>
  <c r="J28" i="118"/>
  <c r="I28" i="118"/>
  <c r="H28" i="118"/>
  <c r="K21" i="118"/>
  <c r="K20" i="118"/>
  <c r="K19" i="118"/>
  <c r="K18" i="118"/>
  <c r="K16" i="118"/>
  <c r="K15" i="118"/>
  <c r="K14" i="118"/>
  <c r="K13" i="118"/>
  <c r="K12" i="118"/>
  <c r="K11" i="118"/>
  <c r="K10" i="118"/>
  <c r="K9" i="118"/>
  <c r="K8" i="118"/>
  <c r="K7" i="118"/>
  <c r="H7" i="118"/>
  <c r="K6" i="118"/>
  <c r="H6" i="118"/>
  <c r="K5" i="118"/>
  <c r="H5" i="118"/>
  <c r="K4" i="118"/>
  <c r="H4" i="118"/>
  <c r="K3" i="118"/>
  <c r="H3" i="118"/>
  <c r="K2" i="118"/>
  <c r="H2" i="118"/>
  <c r="J31" i="117"/>
  <c r="I31" i="117"/>
  <c r="H31" i="117"/>
  <c r="G31" i="117"/>
  <c r="F31" i="117"/>
  <c r="E31" i="117"/>
  <c r="D31" i="117"/>
  <c r="C31" i="117"/>
  <c r="K28" i="117"/>
  <c r="J28" i="117"/>
  <c r="I28" i="117"/>
  <c r="H28" i="117"/>
  <c r="G28" i="117"/>
  <c r="F28" i="117"/>
  <c r="E28" i="117"/>
  <c r="D28" i="117"/>
  <c r="C28" i="117"/>
  <c r="K27" i="117"/>
  <c r="J27" i="117"/>
  <c r="I27" i="117"/>
  <c r="H27" i="117"/>
  <c r="K20" i="117"/>
  <c r="K19" i="117"/>
  <c r="K18" i="117"/>
  <c r="K17" i="117"/>
  <c r="K16" i="117"/>
  <c r="K15" i="117"/>
  <c r="K14" i="117"/>
  <c r="K13" i="117"/>
  <c r="H13" i="117"/>
  <c r="K12" i="117"/>
  <c r="H12" i="117"/>
  <c r="K11" i="117"/>
  <c r="H11" i="117"/>
  <c r="K10" i="117"/>
  <c r="H10" i="117"/>
  <c r="K9" i="117"/>
  <c r="H9" i="117"/>
  <c r="K8" i="117"/>
  <c r="H8" i="117"/>
  <c r="K7" i="117"/>
  <c r="H7" i="117"/>
  <c r="K6" i="117"/>
  <c r="K5" i="117"/>
  <c r="K4" i="117"/>
  <c r="K3" i="117"/>
  <c r="K2" i="117"/>
  <c r="J31" i="113"/>
  <c r="I31" i="113"/>
  <c r="H31" i="113"/>
  <c r="G31" i="113"/>
  <c r="F31" i="113"/>
  <c r="E31" i="113"/>
  <c r="D31" i="113"/>
  <c r="C31" i="113"/>
  <c r="K28" i="113"/>
  <c r="J28" i="113"/>
  <c r="I28" i="113"/>
  <c r="H28" i="113"/>
  <c r="G28" i="113"/>
  <c r="F28" i="113"/>
  <c r="E28" i="113"/>
  <c r="D28" i="113"/>
  <c r="C28" i="113"/>
  <c r="K27" i="113"/>
  <c r="J27" i="113"/>
  <c r="I27" i="113"/>
  <c r="H27" i="113"/>
  <c r="K20" i="113"/>
  <c r="K19" i="113"/>
  <c r="K18" i="113"/>
  <c r="K17" i="113"/>
  <c r="K16" i="113"/>
  <c r="K15" i="113"/>
  <c r="K14" i="113"/>
  <c r="K12" i="113"/>
  <c r="K11" i="113"/>
  <c r="K10" i="113"/>
  <c r="K9" i="113"/>
  <c r="K8" i="113"/>
  <c r="K7" i="113"/>
  <c r="K6" i="113"/>
  <c r="K5" i="113"/>
  <c r="K4" i="113"/>
  <c r="K3" i="113"/>
  <c r="K2" i="113"/>
  <c r="J31" i="112"/>
  <c r="I31" i="112"/>
  <c r="H31" i="112"/>
  <c r="G31" i="112"/>
  <c r="F31" i="112"/>
  <c r="E31" i="112"/>
  <c r="D31" i="112"/>
  <c r="C31" i="112"/>
  <c r="K28" i="112"/>
  <c r="J28" i="112"/>
  <c r="I28" i="112"/>
  <c r="H28" i="112"/>
  <c r="G28" i="112"/>
  <c r="F28" i="112"/>
  <c r="E28" i="112"/>
  <c r="D28" i="112"/>
  <c r="C28" i="112"/>
  <c r="K27" i="112"/>
  <c r="J27" i="112"/>
  <c r="I27" i="112"/>
  <c r="H27" i="112"/>
  <c r="K20" i="112"/>
  <c r="K19" i="112"/>
  <c r="K18" i="112"/>
  <c r="K17" i="112"/>
  <c r="K16" i="112"/>
  <c r="K15" i="112"/>
  <c r="K14" i="112"/>
  <c r="K13" i="112"/>
  <c r="K12" i="112"/>
  <c r="K11" i="112"/>
  <c r="K10" i="112"/>
  <c r="K9" i="112"/>
  <c r="K8" i="112"/>
  <c r="K7" i="112"/>
  <c r="K6" i="112"/>
  <c r="K5" i="112"/>
  <c r="K4" i="112"/>
  <c r="K3" i="112"/>
  <c r="K2" i="112"/>
  <c r="J30" i="111"/>
  <c r="I30" i="111"/>
  <c r="H30" i="111"/>
  <c r="G30" i="111"/>
  <c r="F30" i="111"/>
  <c r="E30" i="111"/>
  <c r="D30" i="111"/>
  <c r="C30" i="111"/>
  <c r="K28" i="111"/>
  <c r="J28" i="111"/>
  <c r="I28" i="111"/>
  <c r="H28" i="111"/>
  <c r="G28" i="111"/>
  <c r="F28" i="111"/>
  <c r="E28" i="111"/>
  <c r="D28" i="111"/>
  <c r="C28" i="111"/>
  <c r="K27" i="111"/>
  <c r="J27" i="111"/>
  <c r="I27" i="111"/>
  <c r="H27" i="111"/>
  <c r="K13" i="111"/>
  <c r="K12" i="111"/>
  <c r="K11" i="111"/>
  <c r="K10" i="111"/>
  <c r="K9" i="111"/>
  <c r="K8" i="111"/>
  <c r="K7" i="111"/>
  <c r="K6" i="111"/>
  <c r="K5" i="111"/>
  <c r="K4" i="111"/>
  <c r="K3" i="111"/>
  <c r="K2" i="111"/>
  <c r="J30" i="100"/>
  <c r="I30" i="100"/>
  <c r="H30" i="100"/>
  <c r="G30" i="100"/>
  <c r="F30" i="100"/>
  <c r="E30" i="100"/>
  <c r="D30" i="100"/>
  <c r="C30" i="100"/>
  <c r="K28" i="100"/>
  <c r="J28" i="100"/>
  <c r="I28" i="100"/>
  <c r="H28" i="100"/>
  <c r="G28" i="100"/>
  <c r="F28" i="100"/>
  <c r="E28" i="100"/>
  <c r="D28" i="100"/>
  <c r="C28" i="100"/>
  <c r="J27" i="100"/>
  <c r="I27" i="100"/>
  <c r="H27" i="100"/>
  <c r="K13" i="100"/>
  <c r="K12" i="100"/>
  <c r="K11" i="100"/>
  <c r="K10" i="100"/>
  <c r="K9" i="100"/>
  <c r="K8" i="100"/>
  <c r="K7" i="100"/>
  <c r="K6" i="100"/>
  <c r="K5" i="100"/>
  <c r="K4" i="100"/>
  <c r="K3" i="100"/>
  <c r="K2" i="100"/>
  <c r="J30" i="98"/>
  <c r="I30" i="98"/>
  <c r="H30" i="98"/>
  <c r="G30" i="98"/>
  <c r="F30" i="98"/>
  <c r="E30" i="98"/>
  <c r="D30" i="98"/>
  <c r="C30" i="98"/>
  <c r="J28" i="98"/>
  <c r="I28" i="98"/>
  <c r="H28" i="98"/>
  <c r="G28" i="98"/>
  <c r="F28" i="98"/>
  <c r="E28" i="98"/>
  <c r="D28" i="98"/>
  <c r="C28" i="98"/>
  <c r="J27" i="98"/>
  <c r="I27" i="98"/>
  <c r="H27" i="98"/>
  <c r="B19" i="98"/>
  <c r="B18" i="98"/>
  <c r="K13" i="98"/>
  <c r="H13" i="98"/>
  <c r="K12" i="98"/>
  <c r="K11" i="98"/>
  <c r="K10" i="98"/>
  <c r="K9" i="98"/>
  <c r="K8" i="98"/>
  <c r="K7" i="98"/>
  <c r="K6" i="98"/>
  <c r="K5" i="98"/>
  <c r="K4" i="98"/>
  <c r="K3" i="98"/>
  <c r="K2" i="98"/>
  <c r="K30" i="91"/>
  <c r="J30" i="91"/>
  <c r="I30" i="91"/>
  <c r="H30" i="91"/>
  <c r="G30" i="91"/>
  <c r="F30" i="91"/>
  <c r="E30" i="91"/>
  <c r="D30" i="91"/>
  <c r="C30" i="91"/>
  <c r="K28" i="91"/>
  <c r="J28" i="91"/>
  <c r="I28" i="91"/>
  <c r="H28" i="91"/>
  <c r="G28" i="91"/>
  <c r="F28" i="91"/>
  <c r="E28" i="91"/>
  <c r="D28" i="91"/>
  <c r="C28" i="91"/>
  <c r="J27" i="91"/>
  <c r="I27" i="91"/>
  <c r="H27" i="91"/>
  <c r="K13" i="91"/>
  <c r="K12" i="91"/>
  <c r="K11" i="91"/>
  <c r="K10" i="91"/>
  <c r="K9" i="91"/>
  <c r="K8" i="91"/>
  <c r="K7" i="91"/>
  <c r="K6" i="91"/>
  <c r="K5" i="91"/>
  <c r="K4" i="91"/>
  <c r="J30" i="89"/>
  <c r="I30" i="89"/>
  <c r="H30" i="89"/>
  <c r="G30" i="89"/>
  <c r="F30" i="89"/>
  <c r="E30" i="89"/>
  <c r="D30" i="89"/>
  <c r="C30" i="89"/>
  <c r="J28" i="89"/>
  <c r="I28" i="89"/>
  <c r="H28" i="89"/>
  <c r="G28" i="89"/>
  <c r="F28" i="89"/>
  <c r="E28" i="89"/>
  <c r="D28" i="89"/>
  <c r="C28" i="89"/>
  <c r="J27" i="89"/>
  <c r="I27" i="89"/>
  <c r="H27" i="89"/>
  <c r="H2" i="89"/>
  <c r="J29" i="84"/>
  <c r="I29" i="84"/>
  <c r="H29" i="84"/>
  <c r="G29" i="84"/>
  <c r="F29" i="84"/>
  <c r="E29" i="84"/>
  <c r="D29" i="84"/>
  <c r="C29" i="84"/>
  <c r="J28" i="84"/>
  <c r="I28" i="84"/>
  <c r="H28" i="84"/>
  <c r="G28" i="84"/>
  <c r="F28" i="84"/>
  <c r="E28" i="84"/>
  <c r="D28" i="84"/>
  <c r="C28" i="84"/>
  <c r="J27" i="84"/>
  <c r="I27" i="84"/>
  <c r="H27" i="84"/>
  <c r="H13" i="84"/>
  <c r="H12" i="84"/>
  <c r="H11" i="84"/>
  <c r="H10" i="84"/>
  <c r="H9" i="84"/>
  <c r="H8" i="84"/>
  <c r="H7" i="84"/>
  <c r="H6" i="84"/>
  <c r="H5" i="84"/>
  <c r="H4" i="84"/>
  <c r="H3" i="84"/>
  <c r="H2" i="84"/>
  <c r="J29" i="83"/>
  <c r="I29" i="83"/>
  <c r="H29" i="83"/>
  <c r="G29" i="83"/>
  <c r="F29" i="83"/>
  <c r="E29" i="83"/>
  <c r="D29" i="83"/>
  <c r="C29" i="83"/>
  <c r="J28" i="83"/>
  <c r="I28" i="83"/>
  <c r="H28" i="83"/>
  <c r="G28" i="83"/>
  <c r="F28" i="83"/>
  <c r="E28" i="83"/>
  <c r="D28" i="83"/>
  <c r="C28" i="83"/>
  <c r="J27" i="83"/>
  <c r="I27" i="83"/>
  <c r="H27" i="83"/>
  <c r="H13" i="83"/>
  <c r="H12" i="83"/>
  <c r="H11" i="83"/>
  <c r="H10" i="83"/>
  <c r="H9" i="83"/>
  <c r="H8" i="83"/>
  <c r="H7" i="83"/>
  <c r="H6" i="83"/>
  <c r="H5" i="83"/>
  <c r="G5" i="83"/>
  <c r="H4" i="83"/>
  <c r="H3" i="83"/>
  <c r="H2" i="83"/>
  <c r="J29" i="17"/>
  <c r="I29" i="17"/>
  <c r="H29" i="17"/>
  <c r="G29" i="17"/>
  <c r="F29" i="17"/>
  <c r="E29" i="17"/>
  <c r="D29" i="17"/>
  <c r="C29" i="17"/>
  <c r="J28" i="17"/>
  <c r="I28" i="17"/>
  <c r="H28" i="17"/>
  <c r="G28" i="17"/>
  <c r="F28" i="17"/>
  <c r="E28" i="17"/>
  <c r="D28" i="17"/>
  <c r="C28" i="17"/>
  <c r="J27" i="17"/>
  <c r="I27" i="17"/>
  <c r="H27" i="17"/>
  <c r="H13" i="17"/>
  <c r="H12" i="17"/>
  <c r="H11" i="17"/>
  <c r="H10" i="17"/>
  <c r="H9" i="17"/>
  <c r="H8" i="17"/>
  <c r="H7" i="17"/>
  <c r="H6" i="17"/>
  <c r="H5" i="17"/>
  <c r="H4" i="17"/>
  <c r="H3" i="17"/>
  <c r="H2" i="17"/>
  <c r="J29" i="72"/>
  <c r="I29" i="72"/>
  <c r="H29" i="72"/>
  <c r="G29" i="72"/>
  <c r="F29" i="72"/>
  <c r="E29" i="72"/>
  <c r="D29" i="72"/>
  <c r="C29" i="72"/>
  <c r="J28" i="72"/>
  <c r="I28" i="72"/>
  <c r="H28" i="72"/>
  <c r="G28" i="72"/>
  <c r="F28" i="72"/>
  <c r="E28" i="72"/>
  <c r="D28" i="72"/>
  <c r="C28" i="72"/>
  <c r="J27" i="72"/>
  <c r="I27" i="72"/>
  <c r="H27" i="72"/>
  <c r="B21" i="72"/>
  <c r="B20" i="72"/>
  <c r="B19" i="72"/>
  <c r="B18" i="72"/>
  <c r="H16" i="72"/>
  <c r="H13" i="72"/>
  <c r="H12" i="72"/>
  <c r="H9" i="72"/>
  <c r="H8" i="72"/>
  <c r="H7" i="72"/>
  <c r="H6" i="72"/>
  <c r="H5" i="72"/>
  <c r="H4" i="72"/>
  <c r="H3" i="72"/>
  <c r="H2" i="72"/>
  <c r="J29" i="71"/>
  <c r="I29" i="71"/>
  <c r="H29" i="71"/>
  <c r="G29" i="71"/>
  <c r="F29" i="71"/>
  <c r="E29" i="71"/>
  <c r="D29" i="71"/>
  <c r="C29" i="71"/>
  <c r="J28" i="71"/>
  <c r="I28" i="71"/>
  <c r="H28" i="71"/>
  <c r="G28" i="71"/>
  <c r="F28" i="71"/>
  <c r="E28" i="71"/>
  <c r="D28" i="71"/>
  <c r="C28" i="71"/>
  <c r="J27" i="71"/>
  <c r="I27" i="71"/>
  <c r="H27" i="71"/>
  <c r="H13" i="71"/>
  <c r="D13" i="71"/>
  <c r="H12" i="71"/>
  <c r="H11" i="71"/>
  <c r="H10" i="71"/>
  <c r="H9" i="71"/>
  <c r="H8" i="71"/>
  <c r="H7" i="71"/>
  <c r="H6" i="71"/>
  <c r="H5" i="71"/>
  <c r="H4" i="71"/>
  <c r="H3" i="71"/>
  <c r="H2" i="71"/>
  <c r="J29" i="70"/>
  <c r="I29" i="70"/>
  <c r="H29" i="70"/>
  <c r="G29" i="70"/>
  <c r="F29" i="70"/>
  <c r="E29" i="70"/>
  <c r="D29" i="70"/>
  <c r="C29" i="70"/>
  <c r="J28" i="70"/>
  <c r="I28" i="70"/>
  <c r="H28" i="70"/>
  <c r="G28" i="70"/>
  <c r="F28" i="70"/>
  <c r="E28" i="70"/>
  <c r="D28" i="70"/>
  <c r="C28" i="70"/>
  <c r="J27" i="70"/>
  <c r="I27" i="70"/>
  <c r="H27" i="70"/>
  <c r="H13" i="70"/>
  <c r="H9" i="70"/>
  <c r="H8" i="70"/>
  <c r="H7" i="70"/>
  <c r="H6" i="70"/>
  <c r="H5" i="70"/>
  <c r="H4" i="70"/>
  <c r="H3" i="70"/>
  <c r="H2" i="70"/>
  <c r="J25" i="69"/>
  <c r="I25" i="69"/>
  <c r="H25" i="69"/>
  <c r="G25" i="69"/>
  <c r="F25" i="69"/>
  <c r="E25" i="69"/>
  <c r="D25" i="69"/>
  <c r="C25" i="69"/>
  <c r="J24" i="69"/>
  <c r="I24" i="69"/>
  <c r="H24" i="69"/>
  <c r="G24" i="69"/>
  <c r="F24" i="69"/>
  <c r="E24" i="69"/>
  <c r="D24" i="69"/>
  <c r="C24" i="69"/>
  <c r="J23" i="69"/>
  <c r="I23" i="69"/>
  <c r="H23" i="69"/>
  <c r="H13" i="69"/>
  <c r="H12" i="69"/>
  <c r="H7" i="69"/>
  <c r="H6" i="69"/>
  <c r="H5" i="69"/>
  <c r="H4" i="69"/>
  <c r="H3" i="69"/>
  <c r="H2" i="69"/>
  <c r="F28" i="68"/>
  <c r="E28" i="68"/>
  <c r="C28" i="68"/>
  <c r="J23" i="68"/>
  <c r="I23" i="68"/>
  <c r="H23" i="68"/>
  <c r="G23" i="68"/>
  <c r="F23" i="68"/>
  <c r="E23" i="68"/>
  <c r="D23" i="68"/>
  <c r="C23" i="68"/>
  <c r="J22" i="68"/>
  <c r="I22" i="68"/>
  <c r="H22" i="68"/>
  <c r="G22" i="68"/>
  <c r="F22" i="68"/>
  <c r="E22" i="68"/>
  <c r="D22" i="68"/>
  <c r="C22" i="68"/>
  <c r="J21" i="68"/>
  <c r="I21" i="68"/>
  <c r="H21" i="68"/>
  <c r="C16" i="68"/>
  <c r="B16" i="68"/>
  <c r="H13" i="68"/>
  <c r="H12" i="68"/>
  <c r="H11" i="68"/>
  <c r="H10" i="68"/>
  <c r="B8" i="68"/>
  <c r="B7" i="68"/>
  <c r="B6" i="68"/>
  <c r="G3" i="68"/>
  <c r="H25" i="67"/>
  <c r="G25" i="67"/>
  <c r="F25" i="67"/>
  <c r="E25" i="67"/>
  <c r="D25" i="67"/>
  <c r="C25" i="67"/>
  <c r="H24" i="67"/>
  <c r="G24" i="67"/>
  <c r="F24" i="67"/>
  <c r="E24" i="67"/>
  <c r="C24" i="67"/>
  <c r="H23" i="67"/>
  <c r="G23" i="67"/>
  <c r="F23" i="67"/>
  <c r="E23" i="67"/>
  <c r="H22" i="67"/>
  <c r="G22" i="67"/>
  <c r="F22" i="67"/>
  <c r="E22" i="67"/>
  <c r="C22" i="67"/>
  <c r="H21" i="67"/>
  <c r="G21" i="67"/>
  <c r="F21" i="67"/>
  <c r="B14" i="67"/>
  <c r="F9" i="67"/>
  <c r="E9" i="67"/>
  <c r="B25" i="66"/>
  <c r="B24" i="66"/>
  <c r="C22" i="66"/>
  <c r="B22" i="66"/>
  <c r="C20" i="66"/>
  <c r="B13" i="66"/>
  <c r="C16" i="65"/>
  <c r="B16" i="65"/>
  <c r="C15" i="65"/>
  <c r="B15" i="65"/>
  <c r="D29" i="114"/>
  <c r="D28" i="114"/>
  <c r="D27" i="114"/>
  <c r="D26" i="114"/>
  <c r="D25" i="114"/>
  <c r="D24" i="114"/>
  <c r="D23" i="114"/>
  <c r="D22" i="114"/>
  <c r="D16" i="114"/>
  <c r="J13" i="114"/>
  <c r="I13" i="114"/>
  <c r="H13" i="114"/>
  <c r="G13" i="114"/>
  <c r="D13" i="114"/>
  <c r="J12" i="114"/>
  <c r="I12" i="114"/>
  <c r="H12" i="114"/>
  <c r="G12" i="114"/>
  <c r="D12" i="114"/>
  <c r="J11" i="114"/>
  <c r="I11" i="114"/>
  <c r="H11" i="114"/>
  <c r="G11" i="114"/>
  <c r="D11" i="114"/>
  <c r="J10" i="114"/>
  <c r="I10" i="114"/>
  <c r="H10" i="114"/>
  <c r="G10" i="114"/>
  <c r="D10" i="114"/>
  <c r="J9" i="114"/>
  <c r="I9" i="114"/>
  <c r="H9" i="114"/>
  <c r="G9" i="114"/>
  <c r="D9" i="114"/>
  <c r="J8" i="114"/>
  <c r="I8" i="114"/>
  <c r="H8" i="114"/>
  <c r="G8" i="114"/>
  <c r="D8" i="114"/>
  <c r="J7" i="114"/>
  <c r="I7" i="114"/>
  <c r="H7" i="114"/>
  <c r="G7" i="114"/>
  <c r="D7" i="114"/>
  <c r="J6" i="114"/>
  <c r="I6" i="114"/>
  <c r="H6" i="114"/>
  <c r="G6" i="114"/>
  <c r="D6" i="114"/>
  <c r="J5" i="114"/>
  <c r="I5" i="114"/>
  <c r="H5" i="114"/>
  <c r="G5" i="114"/>
  <c r="D5" i="114"/>
  <c r="J4" i="114"/>
  <c r="I4" i="114"/>
  <c r="H4" i="114"/>
  <c r="G4" i="114"/>
  <c r="D4" i="114"/>
  <c r="J3" i="114"/>
  <c r="I3" i="114"/>
  <c r="H3" i="114"/>
  <c r="G3" i="114"/>
  <c r="D3" i="114"/>
  <c r="J2" i="114"/>
  <c r="I2" i="114"/>
  <c r="H2" i="114"/>
  <c r="G2" i="114"/>
  <c r="D2" i="114"/>
  <c r="D63" i="87"/>
  <c r="D62" i="87"/>
  <c r="D61" i="87"/>
  <c r="D60" i="87"/>
  <c r="D59" i="87"/>
  <c r="D57" i="87"/>
  <c r="D53" i="87"/>
  <c r="J51" i="87"/>
  <c r="I51" i="87"/>
  <c r="H51" i="87"/>
  <c r="G51" i="87"/>
  <c r="J50" i="87"/>
  <c r="I50" i="87"/>
  <c r="H50" i="87"/>
  <c r="G50" i="87"/>
  <c r="J49" i="87"/>
  <c r="I49" i="87"/>
  <c r="H49" i="87"/>
  <c r="G49" i="87"/>
  <c r="J48" i="87"/>
  <c r="I48" i="87"/>
  <c r="H48" i="87"/>
  <c r="G48" i="87"/>
  <c r="J47" i="87"/>
  <c r="I47" i="87"/>
  <c r="H47" i="87"/>
  <c r="G47" i="87"/>
  <c r="J46" i="87"/>
  <c r="I46" i="87"/>
  <c r="H46" i="87"/>
  <c r="G46" i="87"/>
  <c r="J45" i="87"/>
  <c r="I45" i="87"/>
  <c r="H45" i="87"/>
  <c r="G45" i="87"/>
  <c r="J44" i="87"/>
  <c r="I44" i="87"/>
  <c r="H44" i="87"/>
  <c r="G44" i="87"/>
  <c r="J43" i="87"/>
  <c r="I43" i="87"/>
  <c r="H43" i="87"/>
  <c r="G43" i="87"/>
  <c r="J42" i="87"/>
  <c r="I42" i="87"/>
  <c r="H42" i="87"/>
  <c r="G42" i="87"/>
  <c r="J41" i="87"/>
  <c r="I41" i="87"/>
  <c r="H41" i="87"/>
  <c r="G41" i="87"/>
  <c r="J40" i="87"/>
  <c r="I40" i="87"/>
  <c r="H40" i="87"/>
  <c r="G40" i="87"/>
  <c r="J39" i="87"/>
  <c r="I39" i="87"/>
  <c r="H39" i="87"/>
  <c r="G39" i="87"/>
  <c r="J38" i="87"/>
  <c r="I38" i="87"/>
  <c r="H38" i="87"/>
  <c r="G38" i="87"/>
  <c r="J37" i="87"/>
  <c r="I37" i="87"/>
  <c r="H37" i="87"/>
  <c r="G37" i="87"/>
  <c r="J36" i="87"/>
  <c r="I36" i="87"/>
  <c r="H36" i="87"/>
  <c r="G36" i="87"/>
  <c r="J35" i="87"/>
  <c r="I35" i="87"/>
  <c r="H35" i="87"/>
  <c r="G35" i="87"/>
  <c r="J34" i="87"/>
  <c r="I34" i="87"/>
  <c r="H34" i="87"/>
  <c r="G34" i="87"/>
  <c r="J33" i="87"/>
  <c r="I33" i="87"/>
  <c r="H33" i="87"/>
  <c r="G33" i="87"/>
  <c r="J32" i="87"/>
  <c r="I32" i="87"/>
  <c r="H32" i="87"/>
  <c r="G32" i="87"/>
  <c r="J31" i="87"/>
  <c r="I31" i="87"/>
  <c r="H31" i="87"/>
  <c r="G31" i="87"/>
  <c r="J30" i="87"/>
  <c r="I30" i="87"/>
  <c r="H30" i="87"/>
  <c r="G30" i="87"/>
  <c r="J29" i="87"/>
  <c r="I29" i="87"/>
  <c r="H29" i="87"/>
  <c r="G29" i="87"/>
  <c r="J28" i="87"/>
  <c r="I28" i="87"/>
  <c r="H28" i="87"/>
  <c r="G28" i="87"/>
  <c r="J27" i="87"/>
  <c r="I27" i="87"/>
  <c r="H27" i="87"/>
  <c r="G27" i="87"/>
  <c r="J26" i="87"/>
  <c r="I26" i="87"/>
  <c r="H26" i="87"/>
  <c r="G26" i="87"/>
  <c r="J25" i="87"/>
  <c r="I25" i="87"/>
  <c r="H25" i="87"/>
  <c r="G25" i="87"/>
  <c r="J24" i="87"/>
  <c r="I24" i="87"/>
  <c r="H24" i="87"/>
  <c r="G24" i="87"/>
  <c r="J23" i="87"/>
  <c r="I23" i="87"/>
  <c r="H23" i="87"/>
  <c r="G23" i="87"/>
  <c r="J22" i="87"/>
  <c r="I22" i="87"/>
  <c r="H22" i="87"/>
  <c r="G22" i="87"/>
  <c r="J21" i="87"/>
  <c r="I21" i="87"/>
  <c r="H21" i="87"/>
  <c r="G21" i="87"/>
  <c r="J20" i="87"/>
  <c r="I20" i="87"/>
  <c r="H20" i="87"/>
  <c r="G20" i="87"/>
  <c r="J19" i="87"/>
  <c r="I19" i="87"/>
  <c r="H19" i="87"/>
  <c r="G19" i="87"/>
  <c r="J18" i="87"/>
  <c r="I18" i="87"/>
  <c r="H18" i="87"/>
  <c r="G18" i="87"/>
  <c r="J17" i="87"/>
  <c r="I17" i="87"/>
  <c r="H17" i="87"/>
  <c r="G17" i="87"/>
  <c r="J16" i="87"/>
  <c r="I16" i="87"/>
  <c r="H16" i="87"/>
  <c r="G16" i="87"/>
  <c r="J15" i="87"/>
  <c r="I15" i="87"/>
  <c r="H15" i="87"/>
  <c r="G15" i="87"/>
  <c r="J14" i="87"/>
  <c r="I14" i="87"/>
  <c r="H14" i="87"/>
  <c r="G14" i="87"/>
  <c r="J13" i="87"/>
  <c r="I13" i="87"/>
  <c r="H13" i="87"/>
  <c r="G13" i="87"/>
  <c r="J12" i="87"/>
  <c r="I12" i="87"/>
  <c r="H12" i="87"/>
  <c r="G12" i="87"/>
  <c r="J11" i="87"/>
  <c r="I11" i="87"/>
  <c r="H11" i="87"/>
  <c r="G11" i="87"/>
  <c r="J10" i="87"/>
  <c r="I10" i="87"/>
  <c r="H10" i="87"/>
  <c r="G10" i="87"/>
  <c r="J9" i="87"/>
  <c r="I9" i="87"/>
  <c r="H9" i="87"/>
  <c r="G9" i="87"/>
  <c r="J8" i="87"/>
  <c r="I8" i="87"/>
  <c r="H8" i="87"/>
  <c r="G8" i="87"/>
  <c r="J7" i="87"/>
  <c r="I7" i="87"/>
  <c r="H7" i="87"/>
  <c r="G7" i="87"/>
  <c r="J6" i="87"/>
  <c r="I6" i="87"/>
  <c r="H6" i="87"/>
  <c r="G6" i="87"/>
  <c r="J5" i="87"/>
  <c r="I5" i="87"/>
  <c r="H5" i="87"/>
  <c r="G5" i="87"/>
  <c r="J4" i="87"/>
  <c r="I4" i="87"/>
  <c r="H4" i="87"/>
  <c r="G4" i="87"/>
  <c r="J3" i="87"/>
  <c r="I3" i="87"/>
  <c r="H3" i="87"/>
  <c r="G3" i="87"/>
  <c r="J2" i="87"/>
  <c r="I2" i="87"/>
  <c r="H2" i="87"/>
  <c r="G2" i="87"/>
  <c r="D42" i="120"/>
  <c r="D41" i="120"/>
  <c r="D40" i="120"/>
  <c r="D39" i="120"/>
  <c r="D38" i="120"/>
  <c r="D37" i="120"/>
  <c r="D36" i="120"/>
  <c r="D35" i="120"/>
  <c r="D32" i="120"/>
  <c r="D31" i="120"/>
  <c r="D27" i="120"/>
  <c r="J25" i="120"/>
  <c r="I25" i="120"/>
  <c r="H25" i="120"/>
  <c r="G25" i="120"/>
  <c r="J24" i="120"/>
  <c r="I24" i="120"/>
  <c r="H24" i="120"/>
  <c r="G24" i="120"/>
  <c r="J23" i="120"/>
  <c r="I23" i="120"/>
  <c r="H23" i="120"/>
  <c r="G23" i="120"/>
  <c r="J22" i="120"/>
  <c r="I22" i="120"/>
  <c r="H22" i="120"/>
  <c r="G22" i="120"/>
  <c r="J21" i="120"/>
  <c r="I21" i="120"/>
  <c r="H21" i="120"/>
  <c r="G21" i="120"/>
  <c r="J20" i="120"/>
  <c r="I20" i="120"/>
  <c r="H20" i="120"/>
  <c r="G20" i="120"/>
  <c r="J19" i="120"/>
  <c r="I19" i="120"/>
  <c r="H19" i="120"/>
  <c r="G19" i="120"/>
  <c r="J18" i="120"/>
  <c r="I18" i="120"/>
  <c r="H18" i="120"/>
  <c r="G18" i="120"/>
  <c r="J17" i="120"/>
  <c r="I17" i="120"/>
  <c r="H17" i="120"/>
  <c r="G17" i="120"/>
  <c r="J16" i="120"/>
  <c r="I16" i="120"/>
  <c r="H16" i="120"/>
  <c r="G16" i="120"/>
  <c r="J15" i="120"/>
  <c r="I15" i="120"/>
  <c r="H15" i="120"/>
  <c r="G15" i="120"/>
  <c r="J14" i="120"/>
  <c r="I14" i="120"/>
  <c r="H14" i="120"/>
  <c r="G14" i="120"/>
  <c r="J13" i="120"/>
  <c r="I13" i="120"/>
  <c r="H13" i="120"/>
  <c r="G13" i="120"/>
  <c r="J12" i="120"/>
  <c r="I12" i="120"/>
  <c r="H12" i="120"/>
  <c r="G12" i="120"/>
  <c r="J11" i="120"/>
  <c r="I11" i="120"/>
  <c r="H11" i="120"/>
  <c r="G11" i="120"/>
  <c r="J10" i="120"/>
  <c r="I10" i="120"/>
  <c r="H10" i="120"/>
  <c r="G10" i="120"/>
  <c r="J9" i="120"/>
  <c r="I9" i="120"/>
  <c r="H9" i="120"/>
  <c r="G9" i="120"/>
  <c r="J8" i="120"/>
  <c r="I8" i="120"/>
  <c r="H8" i="120"/>
  <c r="G8" i="120"/>
  <c r="J7" i="120"/>
  <c r="I7" i="120"/>
  <c r="H7" i="120"/>
  <c r="G7" i="120"/>
  <c r="J6" i="120"/>
  <c r="I6" i="120"/>
  <c r="H6" i="120"/>
  <c r="G6" i="120"/>
  <c r="J5" i="120"/>
  <c r="I5" i="120"/>
  <c r="H5" i="120"/>
  <c r="G5" i="120"/>
  <c r="J4" i="120"/>
  <c r="I4" i="120"/>
  <c r="H4" i="120"/>
  <c r="G4" i="120"/>
  <c r="J3" i="120"/>
  <c r="I3" i="120"/>
  <c r="H3" i="120"/>
  <c r="G3" i="120"/>
  <c r="J2" i="120"/>
  <c r="I2" i="120"/>
  <c r="H2" i="120"/>
  <c r="G2" i="120"/>
  <c r="E45" i="53"/>
  <c r="D45" i="53"/>
  <c r="G44" i="53"/>
  <c r="G43" i="53"/>
  <c r="G42" i="53"/>
  <c r="G41" i="53"/>
  <c r="G40" i="53"/>
  <c r="G39" i="53"/>
  <c r="G38" i="53"/>
  <c r="G36" i="53"/>
  <c r="G34" i="53"/>
  <c r="G32" i="53"/>
  <c r="G30" i="53"/>
  <c r="G28" i="53"/>
  <c r="G26" i="53"/>
  <c r="G24" i="53"/>
  <c r="G22" i="53"/>
  <c r="G20" i="53"/>
  <c r="G18" i="53"/>
  <c r="G16" i="53"/>
  <c r="G14" i="53"/>
  <c r="G12" i="53"/>
  <c r="G10" i="53"/>
  <c r="G8" i="53"/>
  <c r="G6" i="53"/>
  <c r="G4" i="53"/>
  <c r="G45" i="53" s="1"/>
  <c r="E1" i="53" s="1"/>
  <c r="G1" i="53" s="1"/>
  <c r="D40" i="105"/>
  <c r="D39" i="105"/>
  <c r="D38" i="105"/>
  <c r="D37" i="105"/>
  <c r="D36" i="105"/>
  <c r="D35" i="105"/>
  <c r="D34" i="105"/>
  <c r="D33" i="105"/>
  <c r="D32" i="105"/>
  <c r="D27" i="105"/>
  <c r="J25" i="105"/>
  <c r="I25" i="105"/>
  <c r="H25" i="105"/>
  <c r="G25" i="105"/>
  <c r="D25" i="105"/>
  <c r="J24" i="105"/>
  <c r="I24" i="105"/>
  <c r="H24" i="105"/>
  <c r="G24" i="105"/>
  <c r="D24" i="105"/>
  <c r="J23" i="105"/>
  <c r="I23" i="105"/>
  <c r="H23" i="105"/>
  <c r="G23" i="105"/>
  <c r="D23" i="105"/>
  <c r="J22" i="105"/>
  <c r="I22" i="105"/>
  <c r="H22" i="105"/>
  <c r="G22" i="105"/>
  <c r="D22" i="105"/>
  <c r="J21" i="105"/>
  <c r="I21" i="105"/>
  <c r="H21" i="105"/>
  <c r="G21" i="105"/>
  <c r="D21" i="105"/>
  <c r="J20" i="105"/>
  <c r="I20" i="105"/>
  <c r="H20" i="105"/>
  <c r="G20" i="105"/>
  <c r="D20" i="105"/>
  <c r="J19" i="105"/>
  <c r="I19" i="105"/>
  <c r="H19" i="105"/>
  <c r="G19" i="105"/>
  <c r="D19" i="105"/>
  <c r="J18" i="105"/>
  <c r="I18" i="105"/>
  <c r="H18" i="105"/>
  <c r="G18" i="105"/>
  <c r="D18" i="105"/>
  <c r="J17" i="105"/>
  <c r="I17" i="105"/>
  <c r="H17" i="105"/>
  <c r="G17" i="105"/>
  <c r="D17" i="105"/>
  <c r="J16" i="105"/>
  <c r="I16" i="105"/>
  <c r="H16" i="105"/>
  <c r="G16" i="105"/>
  <c r="D16" i="105"/>
  <c r="J15" i="105"/>
  <c r="I15" i="105"/>
  <c r="H15" i="105"/>
  <c r="G15" i="105"/>
  <c r="D15" i="105"/>
  <c r="J14" i="105"/>
  <c r="I14" i="105"/>
  <c r="H14" i="105"/>
  <c r="G14" i="105"/>
  <c r="D14" i="105"/>
  <c r="J13" i="105"/>
  <c r="I13" i="105"/>
  <c r="H13" i="105"/>
  <c r="G13" i="105"/>
  <c r="D13" i="105"/>
  <c r="J12" i="105"/>
  <c r="I12" i="105"/>
  <c r="H12" i="105"/>
  <c r="G12" i="105"/>
  <c r="D12" i="105"/>
  <c r="J11" i="105"/>
  <c r="I11" i="105"/>
  <c r="H11" i="105"/>
  <c r="G11" i="105"/>
  <c r="D11" i="105"/>
  <c r="J10" i="105"/>
  <c r="I10" i="105"/>
  <c r="H10" i="105"/>
  <c r="G10" i="105"/>
  <c r="D10" i="105"/>
  <c r="J9" i="105"/>
  <c r="I9" i="105"/>
  <c r="H9" i="105"/>
  <c r="G9" i="105"/>
  <c r="D9" i="105"/>
  <c r="J8" i="105"/>
  <c r="I8" i="105"/>
  <c r="H8" i="105"/>
  <c r="G8" i="105"/>
  <c r="D8" i="105"/>
  <c r="J7" i="105"/>
  <c r="I7" i="105"/>
  <c r="H7" i="105"/>
  <c r="G7" i="105"/>
  <c r="D7" i="105"/>
  <c r="J6" i="105"/>
  <c r="I6" i="105"/>
  <c r="H6" i="105"/>
  <c r="G6" i="105"/>
  <c r="D6" i="105"/>
  <c r="J5" i="105"/>
  <c r="I5" i="105"/>
  <c r="H5" i="105"/>
  <c r="G5" i="105"/>
  <c r="D5" i="105"/>
  <c r="J4" i="105"/>
  <c r="I4" i="105"/>
  <c r="H4" i="105"/>
  <c r="G4" i="105"/>
  <c r="D4" i="105"/>
  <c r="J3" i="105"/>
  <c r="I3" i="105"/>
  <c r="H3" i="105"/>
  <c r="G3" i="105"/>
  <c r="D3" i="105"/>
  <c r="J2" i="105"/>
  <c r="I2" i="105"/>
  <c r="H2" i="105"/>
  <c r="G2" i="105"/>
  <c r="D2" i="105"/>
  <c r="G32" i="47"/>
  <c r="E32" i="47"/>
  <c r="D32" i="47"/>
  <c r="G31" i="47"/>
  <c r="G30" i="47"/>
  <c r="G29" i="47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1" i="47"/>
  <c r="E1" i="47"/>
  <c r="F12" i="95"/>
  <c r="D12" i="95"/>
  <c r="C12" i="95"/>
  <c r="F10" i="95"/>
  <c r="F4" i="95"/>
  <c r="F3" i="95"/>
  <c r="F40" i="14"/>
  <c r="D40" i="14"/>
  <c r="C40" i="14"/>
  <c r="F35" i="14"/>
  <c r="F33" i="14"/>
  <c r="F31" i="14"/>
  <c r="F29" i="14"/>
  <c r="F28" i="14"/>
  <c r="F27" i="14"/>
  <c r="F26" i="14"/>
  <c r="F25" i="14"/>
  <c r="F24" i="14"/>
  <c r="F23" i="14"/>
  <c r="F22" i="14"/>
  <c r="F20" i="14"/>
  <c r="F19" i="14"/>
  <c r="F17" i="14"/>
  <c r="F16" i="14"/>
  <c r="F15" i="14"/>
  <c r="F14" i="14"/>
  <c r="F12" i="14"/>
  <c r="F11" i="14"/>
  <c r="F10" i="14"/>
  <c r="F9" i="14"/>
  <c r="F8" i="14"/>
  <c r="F7" i="14"/>
  <c r="F6" i="14"/>
  <c r="F5" i="14"/>
  <c r="F4" i="14"/>
  <c r="F3" i="14"/>
  <c r="F2" i="14"/>
  <c r="G34" i="62"/>
  <c r="E34" i="62"/>
  <c r="D34" i="62"/>
  <c r="G33" i="62"/>
  <c r="G31" i="62"/>
  <c r="G29" i="62"/>
  <c r="G28" i="62"/>
  <c r="G26" i="62"/>
  <c r="G25" i="62"/>
  <c r="G24" i="62"/>
  <c r="G23" i="62"/>
  <c r="G22" i="62"/>
  <c r="G21" i="62"/>
  <c r="G20" i="62"/>
  <c r="G19" i="62"/>
  <c r="G18" i="62"/>
  <c r="G16" i="62"/>
  <c r="G15" i="62"/>
  <c r="G14" i="62"/>
  <c r="G13" i="62"/>
  <c r="G12" i="62"/>
  <c r="G11" i="62"/>
  <c r="G10" i="62"/>
  <c r="G9" i="62"/>
  <c r="G8" i="62"/>
  <c r="G7" i="62"/>
  <c r="G6" i="62"/>
  <c r="G5" i="62"/>
  <c r="G4" i="62"/>
  <c r="F89" i="24"/>
  <c r="D89" i="24"/>
  <c r="C89" i="24"/>
  <c r="F87" i="24"/>
  <c r="F83" i="24"/>
  <c r="F81" i="24"/>
  <c r="F80" i="24"/>
  <c r="F78" i="24"/>
  <c r="F77" i="24"/>
  <c r="F76" i="24"/>
  <c r="F75" i="24"/>
  <c r="F74" i="24"/>
  <c r="F73" i="24"/>
  <c r="F71" i="24"/>
  <c r="F70" i="24"/>
  <c r="F69" i="24"/>
  <c r="F68" i="24"/>
  <c r="F67" i="24"/>
  <c r="F66" i="24"/>
  <c r="F64" i="24"/>
  <c r="F63" i="24"/>
  <c r="F62" i="24"/>
  <c r="F61" i="24"/>
  <c r="F60" i="24"/>
  <c r="F59" i="24"/>
  <c r="F58" i="24"/>
  <c r="F57" i="24"/>
  <c r="F55" i="24"/>
  <c r="F54" i="24"/>
  <c r="F53" i="24"/>
  <c r="F52" i="24"/>
  <c r="F51" i="24"/>
  <c r="F50" i="24"/>
  <c r="F48" i="24"/>
  <c r="F46" i="24"/>
  <c r="F44" i="24"/>
  <c r="F43" i="24"/>
  <c r="F42" i="24"/>
  <c r="F41" i="24"/>
  <c r="F40" i="24"/>
  <c r="F39" i="24"/>
  <c r="F36" i="24"/>
  <c r="F34" i="24"/>
  <c r="F33" i="24"/>
  <c r="F32" i="24"/>
  <c r="F30" i="24"/>
  <c r="F28" i="24"/>
  <c r="F27" i="24"/>
  <c r="F25" i="24"/>
  <c r="F23" i="24"/>
  <c r="F21" i="24"/>
  <c r="F20" i="24"/>
  <c r="F19" i="24"/>
  <c r="F17" i="24"/>
  <c r="F16" i="24"/>
  <c r="F15" i="24"/>
  <c r="F13" i="24"/>
  <c r="F12" i="24"/>
  <c r="F11" i="24"/>
  <c r="F10" i="24"/>
  <c r="F9" i="24"/>
  <c r="F7" i="24"/>
  <c r="F6" i="24"/>
  <c r="F4" i="24"/>
  <c r="G57" i="46"/>
  <c r="G56" i="46"/>
  <c r="E56" i="46"/>
  <c r="D56" i="46"/>
  <c r="G55" i="46"/>
  <c r="G54" i="46"/>
  <c r="G53" i="46"/>
  <c r="G52" i="46"/>
  <c r="G51" i="46"/>
  <c r="G50" i="46"/>
  <c r="G49" i="46"/>
  <c r="G48" i="46"/>
  <c r="G47" i="46"/>
  <c r="G46" i="46"/>
  <c r="G45" i="46"/>
  <c r="G44" i="46"/>
  <c r="G43" i="46"/>
  <c r="G42" i="46"/>
  <c r="G40" i="46"/>
  <c r="G38" i="46"/>
  <c r="G37" i="46"/>
  <c r="G35" i="46"/>
  <c r="G34" i="46"/>
  <c r="G32" i="46"/>
  <c r="G30" i="46"/>
  <c r="G29" i="46"/>
  <c r="G27" i="46"/>
  <c r="G26" i="46"/>
  <c r="G24" i="46"/>
  <c r="G22" i="46"/>
  <c r="G21" i="46"/>
  <c r="H20" i="46"/>
  <c r="G19" i="46"/>
  <c r="H18" i="46"/>
  <c r="G17" i="46"/>
  <c r="H16" i="46"/>
  <c r="G15" i="46"/>
  <c r="H14" i="46"/>
  <c r="G13" i="46"/>
  <c r="H12" i="46"/>
  <c r="G12" i="46"/>
  <c r="G10" i="46"/>
  <c r="G9" i="46"/>
  <c r="G8" i="46"/>
  <c r="H7" i="46"/>
  <c r="G6" i="46"/>
  <c r="H5" i="46"/>
  <c r="G4" i="46"/>
  <c r="E25" i="57"/>
  <c r="D25" i="57"/>
  <c r="G24" i="57"/>
  <c r="G23" i="57"/>
  <c r="G21" i="57"/>
  <c r="G20" i="57"/>
  <c r="G18" i="57"/>
  <c r="G17" i="57"/>
  <c r="G16" i="57"/>
  <c r="G15" i="57"/>
  <c r="G13" i="57"/>
  <c r="G12" i="57"/>
  <c r="G10" i="57"/>
  <c r="G9" i="57"/>
  <c r="G8" i="57"/>
  <c r="G6" i="57"/>
  <c r="G5" i="57"/>
  <c r="G4" i="57"/>
  <c r="G3" i="57"/>
  <c r="E32" i="52"/>
  <c r="D32" i="52"/>
  <c r="G31" i="52"/>
  <c r="G29" i="52"/>
  <c r="G28" i="52"/>
  <c r="G27" i="52"/>
  <c r="G26" i="52"/>
  <c r="G24" i="52"/>
  <c r="G23" i="52"/>
  <c r="G21" i="52"/>
  <c r="G20" i="52"/>
  <c r="G19" i="52"/>
  <c r="G17" i="52"/>
  <c r="G16" i="52"/>
  <c r="G15" i="52"/>
  <c r="G14" i="52"/>
  <c r="G13" i="52"/>
  <c r="G12" i="52"/>
  <c r="G11" i="52"/>
  <c r="G10" i="52"/>
  <c r="G9" i="52"/>
  <c r="G8" i="52"/>
  <c r="G7" i="52"/>
  <c r="G5" i="52"/>
  <c r="G4" i="52"/>
  <c r="G3" i="52"/>
  <c r="C70" i="51"/>
  <c r="E63" i="51"/>
  <c r="B59" i="51"/>
  <c r="F58" i="51"/>
  <c r="E57" i="51"/>
  <c r="B57" i="51"/>
  <c r="B56" i="51"/>
  <c r="B55" i="51"/>
  <c r="F54" i="51"/>
  <c r="B53" i="51"/>
  <c r="B52" i="51"/>
  <c r="E51" i="51"/>
  <c r="B51" i="51"/>
  <c r="D50" i="51"/>
  <c r="D63" i="51" s="1"/>
  <c r="B50" i="51"/>
  <c r="F49" i="51"/>
  <c r="B48" i="51"/>
  <c r="B47" i="51"/>
  <c r="B45" i="51"/>
  <c r="B44" i="51"/>
  <c r="E43" i="51"/>
  <c r="B43" i="51"/>
  <c r="B42" i="51"/>
  <c r="B41" i="51"/>
  <c r="F40" i="51"/>
  <c r="B39" i="51"/>
  <c r="B38" i="51"/>
  <c r="B37" i="51"/>
  <c r="B36" i="51"/>
  <c r="B35" i="51"/>
  <c r="B34" i="51"/>
  <c r="B33" i="51"/>
  <c r="B32" i="51"/>
  <c r="B31" i="51"/>
  <c r="B30" i="51"/>
  <c r="B29" i="51"/>
  <c r="B28" i="51"/>
  <c r="B27" i="51"/>
  <c r="F26" i="51"/>
  <c r="B25" i="51"/>
  <c r="B24" i="51"/>
  <c r="B23" i="51"/>
  <c r="B22" i="51"/>
  <c r="B21" i="51"/>
  <c r="B20" i="51"/>
  <c r="B19" i="51"/>
  <c r="B17" i="51"/>
  <c r="B16" i="51"/>
  <c r="B15" i="51"/>
  <c r="B14" i="51"/>
  <c r="B13" i="51"/>
  <c r="B12" i="51"/>
  <c r="B11" i="51"/>
  <c r="B10" i="51"/>
  <c r="B9" i="51"/>
  <c r="B8" i="51"/>
  <c r="B7" i="51"/>
  <c r="B6" i="51"/>
  <c r="B5" i="51"/>
  <c r="B4" i="51"/>
  <c r="B3" i="51"/>
  <c r="E59" i="101"/>
  <c r="D59" i="101"/>
  <c r="F59" i="101"/>
  <c r="E56" i="101"/>
  <c r="E55" i="101"/>
  <c r="D55" i="101"/>
  <c r="B50" i="101"/>
  <c r="B49" i="101"/>
  <c r="E48" i="101"/>
  <c r="B48" i="101"/>
  <c r="B47" i="101"/>
  <c r="E46" i="101"/>
  <c r="B46" i="101"/>
  <c r="B45" i="101"/>
  <c r="E44" i="101"/>
  <c r="B44" i="101"/>
  <c r="B43" i="101"/>
  <c r="E42" i="101"/>
  <c r="B42" i="101"/>
  <c r="B41" i="101"/>
  <c r="E40" i="101"/>
  <c r="B40" i="101"/>
  <c r="B39" i="101"/>
  <c r="E38" i="101"/>
  <c r="B38" i="101"/>
  <c r="B37" i="101"/>
  <c r="E36" i="101"/>
  <c r="B36" i="101"/>
  <c r="B35" i="101"/>
  <c r="E34" i="101"/>
  <c r="B34" i="101"/>
  <c r="B33" i="101"/>
  <c r="E32" i="101"/>
  <c r="B32" i="101"/>
  <c r="B31" i="101"/>
  <c r="F30" i="101"/>
  <c r="E28" i="101"/>
  <c r="B28" i="101"/>
  <c r="B27" i="101"/>
  <c r="B26" i="101"/>
  <c r="F25" i="101"/>
  <c r="E23" i="101"/>
  <c r="B23" i="101"/>
  <c r="B22" i="101"/>
  <c r="F21" i="101"/>
  <c r="B20" i="101"/>
  <c r="B17" i="101"/>
  <c r="E16" i="101"/>
  <c r="B16" i="101"/>
  <c r="B15" i="101"/>
  <c r="B12" i="101"/>
  <c r="B8" i="101"/>
  <c r="B4" i="101"/>
  <c r="B3" i="101"/>
  <c r="C2259" i="18"/>
  <c r="E2255" i="18"/>
  <c r="B2248" i="18"/>
  <c r="F2247" i="18"/>
  <c r="B2244" i="18"/>
  <c r="F2243" i="18"/>
  <c r="B2240" i="18"/>
  <c r="F2239" i="18"/>
  <c r="B2238" i="18"/>
  <c r="B2236" i="18"/>
  <c r="F2235" i="18"/>
  <c r="B2234" i="18"/>
  <c r="B2232" i="18"/>
  <c r="F2231" i="18"/>
  <c r="B2230" i="18"/>
  <c r="B2228" i="18"/>
  <c r="B2227" i="18"/>
  <c r="F2226" i="18"/>
  <c r="B2225" i="18"/>
  <c r="B2223" i="18"/>
  <c r="B2222" i="18"/>
  <c r="F2221" i="18"/>
  <c r="B2220" i="18"/>
  <c r="B2218" i="18"/>
  <c r="B2217" i="18"/>
  <c r="F2216" i="18"/>
  <c r="B2215" i="18"/>
  <c r="B2213" i="18"/>
  <c r="B2212" i="18"/>
  <c r="F2211" i="18"/>
  <c r="B2210" i="18"/>
  <c r="B2208" i="18"/>
  <c r="B2207" i="18"/>
  <c r="F2206" i="18"/>
  <c r="B2206" i="18"/>
  <c r="B2205" i="18"/>
  <c r="F2204" i="18"/>
  <c r="B2203" i="18"/>
  <c r="B2201" i="18"/>
  <c r="B2200" i="18"/>
  <c r="B2199" i="18"/>
  <c r="B2198" i="18"/>
  <c r="B2197" i="18"/>
  <c r="B2196" i="18"/>
  <c r="B2195" i="18"/>
  <c r="B2194" i="18"/>
  <c r="F2193" i="18"/>
  <c r="B2193" i="18"/>
  <c r="F2192" i="18"/>
  <c r="B2191" i="18"/>
  <c r="F2190" i="18"/>
  <c r="E2190" i="18"/>
  <c r="B2190" i="18"/>
  <c r="E2189" i="18"/>
  <c r="B2189" i="18"/>
  <c r="B2187" i="18"/>
  <c r="F2186" i="18"/>
  <c r="B2186" i="18"/>
  <c r="B2185" i="18"/>
  <c r="B2184" i="18"/>
  <c r="B2183" i="18"/>
  <c r="B2182" i="18"/>
  <c r="B2181" i="18"/>
  <c r="B2180" i="18"/>
  <c r="B2179" i="18"/>
  <c r="B2178" i="18"/>
  <c r="E2177" i="18"/>
  <c r="B2177" i="18"/>
  <c r="B2176" i="18"/>
  <c r="B2175" i="18"/>
  <c r="B2174" i="18"/>
  <c r="B2173" i="18"/>
  <c r="B2172" i="18"/>
  <c r="E2171" i="18"/>
  <c r="B2171" i="18"/>
  <c r="B2170" i="18"/>
  <c r="B2169" i="18"/>
  <c r="B2168" i="18"/>
  <c r="B2167" i="18"/>
  <c r="B2166" i="18"/>
  <c r="B2165" i="18"/>
  <c r="B2164" i="18"/>
  <c r="B2163" i="18"/>
  <c r="B2161" i="18"/>
  <c r="F2160" i="18"/>
  <c r="B2160" i="18"/>
  <c r="B2159" i="18"/>
  <c r="B2158" i="18"/>
  <c r="B2157" i="18"/>
  <c r="B2156" i="18"/>
  <c r="B2155" i="18"/>
  <c r="B2154" i="18"/>
  <c r="B2153" i="18"/>
  <c r="B2152" i="18"/>
  <c r="B2151" i="18"/>
  <c r="B2150" i="18"/>
  <c r="B2149" i="18"/>
  <c r="B2148" i="18"/>
  <c r="B2147" i="18"/>
  <c r="B2146" i="18"/>
  <c r="B2145" i="18"/>
  <c r="B2144" i="18"/>
  <c r="B2143" i="18"/>
  <c r="B2142" i="18"/>
  <c r="B2141" i="18"/>
  <c r="B2140" i="18"/>
  <c r="B2139" i="18"/>
  <c r="B2138" i="18"/>
  <c r="B2137" i="18"/>
  <c r="B2136" i="18"/>
  <c r="B2135" i="18"/>
  <c r="B2134" i="18"/>
  <c r="B2133" i="18"/>
  <c r="F2132" i="18"/>
  <c r="E2132" i="18"/>
  <c r="B2132" i="18"/>
  <c r="E2131" i="18"/>
  <c r="B2131" i="18"/>
  <c r="B2130" i="18"/>
  <c r="F2129" i="18"/>
  <c r="B2128" i="18"/>
  <c r="B2127" i="18"/>
  <c r="B2126" i="18"/>
  <c r="B2125" i="18"/>
  <c r="B2124" i="18"/>
  <c r="B2123" i="18"/>
  <c r="B2122" i="18"/>
  <c r="B2121" i="18"/>
  <c r="B2120" i="18"/>
  <c r="B2119" i="18"/>
  <c r="F2118" i="18"/>
  <c r="B2118" i="18"/>
  <c r="B2117" i="18"/>
  <c r="B2116" i="18"/>
  <c r="B2115" i="18"/>
  <c r="B2114" i="18"/>
  <c r="B2113" i="18"/>
  <c r="B2112" i="18"/>
  <c r="B2111" i="18"/>
  <c r="B2110" i="18"/>
  <c r="B2109" i="18"/>
  <c r="B2108" i="18"/>
  <c r="B2107" i="18"/>
  <c r="B2106" i="18"/>
  <c r="B2105" i="18"/>
  <c r="B2104" i="18"/>
  <c r="B2103" i="18"/>
  <c r="B2102" i="18"/>
  <c r="B2101" i="18"/>
  <c r="B2099" i="18"/>
  <c r="B2098" i="18"/>
  <c r="B2097" i="18"/>
  <c r="F2096" i="18"/>
  <c r="B2096" i="18"/>
  <c r="B2095" i="18"/>
  <c r="B2094" i="18"/>
  <c r="B2093" i="18"/>
  <c r="B2092" i="18"/>
  <c r="B2091" i="18"/>
  <c r="B2090" i="18"/>
  <c r="B2089" i="18"/>
  <c r="B2088" i="18"/>
  <c r="B2087" i="18"/>
  <c r="B2086" i="18"/>
  <c r="B2085" i="18"/>
  <c r="B2084" i="18"/>
  <c r="B2083" i="18"/>
  <c r="B2082" i="18"/>
  <c r="B2081" i="18"/>
  <c r="B2080" i="18"/>
  <c r="B2079" i="18"/>
  <c r="B2078" i="18"/>
  <c r="B2077" i="18"/>
  <c r="B2076" i="18"/>
  <c r="B2075" i="18"/>
  <c r="B2074" i="18"/>
  <c r="B2073" i="18"/>
  <c r="B2072" i="18"/>
  <c r="B2071" i="18"/>
  <c r="B2070" i="18"/>
  <c r="B2069" i="18"/>
  <c r="B2068" i="18"/>
  <c r="B2067" i="18"/>
  <c r="B2066" i="18"/>
  <c r="B2065" i="18"/>
  <c r="B2064" i="18"/>
  <c r="B2063" i="18"/>
  <c r="F2062" i="18"/>
  <c r="B2062" i="18"/>
  <c r="F2061" i="18"/>
  <c r="B2060" i="18"/>
  <c r="B2059" i="18"/>
  <c r="B2058" i="18"/>
  <c r="B2057" i="18"/>
  <c r="B2056" i="18"/>
  <c r="F2055" i="18"/>
  <c r="B2055" i="18"/>
  <c r="B2054" i="18"/>
  <c r="B2053" i="18"/>
  <c r="B2052" i="18"/>
  <c r="B2051" i="18"/>
  <c r="B2050" i="18"/>
  <c r="B2049" i="18"/>
  <c r="B2048" i="18"/>
  <c r="B2047" i="18"/>
  <c r="B2046" i="18"/>
  <c r="B2045" i="18"/>
  <c r="B2044" i="18"/>
  <c r="B2043" i="18"/>
  <c r="B2042" i="18"/>
  <c r="B2041" i="18"/>
  <c r="B2040" i="18"/>
  <c r="B2039" i="18"/>
  <c r="B2038" i="18"/>
  <c r="B2037" i="18"/>
  <c r="B2036" i="18"/>
  <c r="B2035" i="18"/>
  <c r="B2034" i="18"/>
  <c r="B2033" i="18"/>
  <c r="B2032" i="18"/>
  <c r="B2031" i="18"/>
  <c r="B2030" i="18"/>
  <c r="B2029" i="18"/>
  <c r="B2028" i="18"/>
  <c r="B2027" i="18"/>
  <c r="B2026" i="18"/>
  <c r="B2025" i="18"/>
  <c r="B2024" i="18"/>
  <c r="B2023" i="18"/>
  <c r="B2022" i="18"/>
  <c r="B2021" i="18"/>
  <c r="B2020" i="18"/>
  <c r="B2019" i="18"/>
  <c r="B2018" i="18"/>
  <c r="B2016" i="18"/>
  <c r="B2015" i="18"/>
  <c r="B2014" i="18"/>
  <c r="B2013" i="18"/>
  <c r="B2012" i="18"/>
  <c r="B2011" i="18"/>
  <c r="B2010" i="18"/>
  <c r="B2009" i="18"/>
  <c r="B2008" i="18"/>
  <c r="B2007" i="18"/>
  <c r="B2006" i="18"/>
  <c r="B2005" i="18"/>
  <c r="B2004" i="18"/>
  <c r="B2003" i="18"/>
  <c r="B2002" i="18"/>
  <c r="B2001" i="18"/>
  <c r="B2000" i="18"/>
  <c r="B1999" i="18"/>
  <c r="B1998" i="18"/>
  <c r="B1997" i="18"/>
  <c r="B1996" i="18"/>
  <c r="B1995" i="18"/>
  <c r="B1994" i="18"/>
  <c r="B1993" i="18"/>
  <c r="B1992" i="18"/>
  <c r="B1991" i="18"/>
  <c r="B1990" i="18"/>
  <c r="B1989" i="18"/>
  <c r="B1988" i="18"/>
  <c r="B1987" i="18"/>
  <c r="B1986" i="18"/>
  <c r="B1985" i="18"/>
  <c r="B1984" i="18"/>
  <c r="B1983" i="18"/>
  <c r="B1982" i="18"/>
  <c r="B1981" i="18"/>
  <c r="B1980" i="18"/>
  <c r="B1979" i="18"/>
  <c r="B1978" i="18"/>
  <c r="B1977" i="18"/>
  <c r="B1976" i="18"/>
  <c r="B1975" i="18"/>
  <c r="F1974" i="18"/>
  <c r="B1974" i="18"/>
  <c r="F1973" i="18"/>
  <c r="B1972" i="18"/>
  <c r="F1971" i="18"/>
  <c r="B1971" i="18"/>
  <c r="B1970" i="18"/>
  <c r="B1969" i="18"/>
  <c r="B1968" i="18"/>
  <c r="B1967" i="18"/>
  <c r="B1966" i="18"/>
  <c r="B1965" i="18"/>
  <c r="B1964" i="18"/>
  <c r="B1963" i="18"/>
  <c r="B1962" i="18"/>
  <c r="B1961" i="18"/>
  <c r="B1960" i="18"/>
  <c r="B1959" i="18"/>
  <c r="B1958" i="18"/>
  <c r="B1957" i="18"/>
  <c r="B1956" i="18"/>
  <c r="B1955" i="18"/>
  <c r="B1954" i="18"/>
  <c r="B1953" i="18"/>
  <c r="B1951" i="18"/>
  <c r="B1950" i="18"/>
  <c r="B1949" i="18"/>
  <c r="B1948" i="18"/>
  <c r="B1947" i="18"/>
  <c r="B1946" i="18"/>
  <c r="B1945" i="18"/>
  <c r="B1944" i="18"/>
  <c r="B1943" i="18"/>
  <c r="B1941" i="18"/>
  <c r="B1940" i="18"/>
  <c r="B1939" i="18"/>
  <c r="B1938" i="18"/>
  <c r="B1942" i="18"/>
  <c r="F1937" i="18"/>
  <c r="B1937" i="18"/>
  <c r="F1936" i="18"/>
  <c r="B1935" i="18"/>
  <c r="B1934" i="18"/>
  <c r="B1933" i="18"/>
  <c r="B1932" i="18"/>
  <c r="B1931" i="18"/>
  <c r="B1930" i="18"/>
  <c r="B1929" i="18"/>
  <c r="B1928" i="18"/>
  <c r="B1927" i="18"/>
  <c r="B1925" i="18"/>
  <c r="B1924" i="18"/>
  <c r="B1923" i="18"/>
  <c r="B1922" i="18"/>
  <c r="B1921" i="18"/>
  <c r="B1920" i="18"/>
  <c r="B1919" i="18"/>
  <c r="B1918" i="18"/>
  <c r="B1917" i="18"/>
  <c r="B1916" i="18"/>
  <c r="B1915" i="18"/>
  <c r="B1914" i="18"/>
  <c r="B1913" i="18"/>
  <c r="F1912" i="18"/>
  <c r="B1912" i="18"/>
  <c r="F1911" i="18"/>
  <c r="B1910" i="18"/>
  <c r="B1909" i="18"/>
  <c r="B1908" i="18"/>
  <c r="B1907" i="18"/>
  <c r="B1906" i="18"/>
  <c r="B1905" i="18"/>
  <c r="B1903" i="18"/>
  <c r="B1902" i="18"/>
  <c r="B1901" i="18"/>
  <c r="B1900" i="18"/>
  <c r="B1899" i="18"/>
  <c r="B1898" i="18"/>
  <c r="B1897" i="18"/>
  <c r="B1896" i="18"/>
  <c r="B1895" i="18"/>
  <c r="B1894" i="18"/>
  <c r="B1893" i="18"/>
  <c r="F1892" i="18"/>
  <c r="B1892" i="18"/>
  <c r="F1891" i="18"/>
  <c r="B1890" i="18"/>
  <c r="B1889" i="18"/>
  <c r="B1888" i="18"/>
  <c r="B1887" i="18"/>
  <c r="B1886" i="18"/>
  <c r="B1885" i="18"/>
  <c r="B1883" i="18"/>
  <c r="B1882" i="18"/>
  <c r="B1881" i="18"/>
  <c r="B1880" i="18"/>
  <c r="B1879" i="18"/>
  <c r="B1878" i="18"/>
  <c r="B1877" i="18"/>
  <c r="B1876" i="18"/>
  <c r="B1875" i="18"/>
  <c r="B1874" i="18"/>
  <c r="B1873" i="18"/>
  <c r="B1872" i="18"/>
  <c r="B1871" i="18"/>
  <c r="F1870" i="18"/>
  <c r="B1870" i="18"/>
  <c r="B1869" i="18"/>
  <c r="F1868" i="18"/>
  <c r="B1867" i="18"/>
  <c r="B1866" i="18"/>
  <c r="B1865" i="18"/>
  <c r="B1864" i="18"/>
  <c r="B1863" i="18"/>
  <c r="B1862" i="18"/>
  <c r="B1861" i="18"/>
  <c r="B1859" i="18"/>
  <c r="B1858" i="18"/>
  <c r="B1857" i="18"/>
  <c r="B1856" i="18"/>
  <c r="B1855" i="18"/>
  <c r="E1854" i="18"/>
  <c r="B1854" i="18"/>
  <c r="B1853" i="18"/>
  <c r="B1852" i="18"/>
  <c r="B1851" i="18"/>
  <c r="F1850" i="18"/>
  <c r="B1850" i="18"/>
  <c r="F1849" i="18"/>
  <c r="B1848" i="18"/>
  <c r="B1847" i="18"/>
  <c r="B1845" i="18"/>
  <c r="B1844" i="18"/>
  <c r="B1843" i="18"/>
  <c r="F1842" i="18"/>
  <c r="B1842" i="18"/>
  <c r="F1841" i="18"/>
  <c r="B1840" i="18"/>
  <c r="B1839" i="18"/>
  <c r="B1838" i="18"/>
  <c r="B1837" i="18"/>
  <c r="B1836" i="18"/>
  <c r="B1835" i="18"/>
  <c r="B1833" i="18"/>
  <c r="B1832" i="18"/>
  <c r="B1831" i="18"/>
  <c r="B1830" i="18"/>
  <c r="F1829" i="18"/>
  <c r="B1829" i="18"/>
  <c r="F1828" i="18"/>
  <c r="B1827" i="18"/>
  <c r="B1825" i="18"/>
  <c r="B1824" i="18"/>
  <c r="B1823" i="18"/>
  <c r="B1822" i="18"/>
  <c r="B1821" i="18"/>
  <c r="B1820" i="18"/>
  <c r="F1819" i="18"/>
  <c r="B1819" i="18"/>
  <c r="F1818" i="18"/>
  <c r="B1817" i="18"/>
  <c r="B1816" i="18"/>
  <c r="B1815" i="18"/>
  <c r="B1814" i="18"/>
  <c r="B1813" i="18"/>
  <c r="B1812" i="18"/>
  <c r="B1810" i="18"/>
  <c r="B1809" i="18"/>
  <c r="B1808" i="18"/>
  <c r="F1807" i="18"/>
  <c r="B1807" i="18"/>
  <c r="F1806" i="18"/>
  <c r="B1805" i="18"/>
  <c r="B1804" i="18"/>
  <c r="B1803" i="18"/>
  <c r="B1801" i="18"/>
  <c r="B1800" i="18"/>
  <c r="B1799" i="18"/>
  <c r="B1798" i="18"/>
  <c r="B1797" i="18"/>
  <c r="F1796" i="18"/>
  <c r="B1796" i="18"/>
  <c r="F1795" i="18"/>
  <c r="B1794" i="18"/>
  <c r="B1793" i="18"/>
  <c r="B1792" i="18"/>
  <c r="B1791" i="18"/>
  <c r="B1790" i="18"/>
  <c r="B1789" i="18"/>
  <c r="B1787" i="18"/>
  <c r="F1786" i="18"/>
  <c r="B1786" i="18"/>
  <c r="F1785" i="18"/>
  <c r="B1784" i="18"/>
  <c r="B1783" i="18"/>
  <c r="B1782" i="18"/>
  <c r="B1781" i="18"/>
  <c r="B1780" i="18"/>
  <c r="B1779" i="18"/>
  <c r="B1777" i="18"/>
  <c r="B1776" i="18"/>
  <c r="B1775" i="18"/>
  <c r="B1774" i="18"/>
  <c r="B1773" i="18"/>
  <c r="B1772" i="18"/>
  <c r="B1771" i="18"/>
  <c r="B1770" i="18"/>
  <c r="B1769" i="18"/>
  <c r="F1768" i="18"/>
  <c r="B1768" i="18"/>
  <c r="F1767" i="18"/>
  <c r="B1766" i="18"/>
  <c r="B1765" i="18"/>
  <c r="B1764" i="18"/>
  <c r="B1763" i="18"/>
  <c r="E1762" i="18"/>
  <c r="B1762" i="18"/>
  <c r="B1761" i="18"/>
  <c r="B1760" i="18"/>
  <c r="B1758" i="18"/>
  <c r="B1757" i="18"/>
  <c r="B1756" i="18"/>
  <c r="B1755" i="18"/>
  <c r="B1754" i="18"/>
  <c r="B1753" i="18"/>
  <c r="B1752" i="18"/>
  <c r="B1751" i="18"/>
  <c r="B1750" i="18"/>
  <c r="B1749" i="18"/>
  <c r="B1748" i="18"/>
  <c r="B1747" i="18"/>
  <c r="F1746" i="18"/>
  <c r="B1746" i="18"/>
  <c r="F1745" i="18"/>
  <c r="B1744" i="18"/>
  <c r="B1743" i="18"/>
  <c r="B1742" i="18"/>
  <c r="E1741" i="18"/>
  <c r="B1741" i="18"/>
  <c r="B1740" i="18"/>
  <c r="B1739" i="18"/>
  <c r="B1737" i="18"/>
  <c r="B1736" i="18"/>
  <c r="B1735" i="18"/>
  <c r="B1734" i="18"/>
  <c r="B1733" i="18"/>
  <c r="B1732" i="18"/>
  <c r="B1731" i="18"/>
  <c r="B1730" i="18"/>
  <c r="B1729" i="18"/>
  <c r="B1728" i="18"/>
  <c r="B1727" i="18"/>
  <c r="B1726" i="18"/>
  <c r="B1725" i="18"/>
  <c r="B1724" i="18"/>
  <c r="B1723" i="18"/>
  <c r="B1722" i="18"/>
  <c r="F1721" i="18"/>
  <c r="B1721" i="18"/>
  <c r="F1720" i="18"/>
  <c r="B1719" i="18"/>
  <c r="B1718" i="18"/>
  <c r="B1717" i="18"/>
  <c r="E1716" i="18"/>
  <c r="B1716" i="18"/>
  <c r="B1715" i="18"/>
  <c r="B1714" i="18"/>
  <c r="B1713" i="18"/>
  <c r="B1711" i="18"/>
  <c r="B1710" i="18"/>
  <c r="B1709" i="18"/>
  <c r="B1708" i="18"/>
  <c r="B1706" i="18"/>
  <c r="B1705" i="18"/>
  <c r="B1704" i="18"/>
  <c r="B1703" i="18"/>
  <c r="B1702" i="18"/>
  <c r="B1707" i="18"/>
  <c r="B1701" i="18"/>
  <c r="B1700" i="18"/>
  <c r="B1699" i="18"/>
  <c r="B1698" i="18"/>
  <c r="B1697" i="18"/>
  <c r="B1696" i="18"/>
  <c r="B1695" i="18"/>
  <c r="B1694" i="18"/>
  <c r="B1693" i="18"/>
  <c r="F1692" i="18"/>
  <c r="B1691" i="18"/>
  <c r="B1690" i="18"/>
  <c r="E1689" i="18"/>
  <c r="B1689" i="18"/>
  <c r="B1688" i="18"/>
  <c r="B1687" i="18"/>
  <c r="B1686" i="18"/>
  <c r="B1685" i="18"/>
  <c r="B1684" i="18"/>
  <c r="B1683" i="18"/>
  <c r="B1682" i="18"/>
  <c r="B1680" i="18"/>
  <c r="B1679" i="18"/>
  <c r="B1678" i="18"/>
  <c r="B1677" i="18"/>
  <c r="B1676" i="18"/>
  <c r="B1675" i="18"/>
  <c r="B1674" i="18"/>
  <c r="B1673" i="18"/>
  <c r="B1672" i="18"/>
  <c r="B1671" i="18"/>
  <c r="B1670" i="18"/>
  <c r="B1669" i="18"/>
  <c r="B1668" i="18"/>
  <c r="B1667" i="18"/>
  <c r="B1666" i="18"/>
  <c r="B1665" i="18"/>
  <c r="B1664" i="18"/>
  <c r="B1663" i="18"/>
  <c r="B1662" i="18"/>
  <c r="B1661" i="18"/>
  <c r="F1660" i="18"/>
  <c r="B1660" i="18"/>
  <c r="B1659" i="18"/>
  <c r="B1658" i="18"/>
  <c r="B1657" i="18"/>
  <c r="E1656" i="18"/>
  <c r="B1656" i="18"/>
  <c r="B1655" i="18"/>
  <c r="B1654" i="18"/>
  <c r="E1653" i="18"/>
  <c r="B1653" i="18"/>
  <c r="E1652" i="18"/>
  <c r="B1652" i="18"/>
  <c r="B1651" i="18"/>
  <c r="B1650" i="18"/>
  <c r="B1649" i="18"/>
  <c r="B1648" i="18"/>
  <c r="B1647" i="18"/>
  <c r="B1646" i="18"/>
  <c r="B1644" i="18"/>
  <c r="F1643" i="18"/>
  <c r="B1643" i="18"/>
  <c r="B1642" i="18"/>
  <c r="B1641" i="18"/>
  <c r="B1640" i="18"/>
  <c r="B1639" i="18"/>
  <c r="B1638" i="18"/>
  <c r="B1637" i="18"/>
  <c r="B1636" i="18"/>
  <c r="B1635" i="18"/>
  <c r="B1634" i="18"/>
  <c r="B1633" i="18"/>
  <c r="E1632" i="18"/>
  <c r="B1632" i="18"/>
  <c r="B1631" i="18"/>
  <c r="B1630" i="18"/>
  <c r="B1629" i="18"/>
  <c r="B1628" i="18"/>
  <c r="B1627" i="18"/>
  <c r="B1626" i="18"/>
  <c r="B1625" i="18"/>
  <c r="B1624" i="18"/>
  <c r="B1623" i="18"/>
  <c r="B1622" i="18"/>
  <c r="B1621" i="18"/>
  <c r="B1619" i="18"/>
  <c r="B1618" i="18"/>
  <c r="B1617" i="18"/>
  <c r="B1616" i="18"/>
  <c r="B1615" i="18"/>
  <c r="B1614" i="18"/>
  <c r="B1613" i="18"/>
  <c r="B1612" i="18"/>
  <c r="B1611" i="18"/>
  <c r="B1610" i="18"/>
  <c r="B1609" i="18"/>
  <c r="B1608" i="18"/>
  <c r="B1607" i="18"/>
  <c r="B1606" i="18"/>
  <c r="B1605" i="18"/>
  <c r="B1604" i="18"/>
  <c r="B1603" i="18"/>
  <c r="B1602" i="18"/>
  <c r="B1601" i="18"/>
  <c r="B1600" i="18"/>
  <c r="B1599" i="18"/>
  <c r="B1598" i="18"/>
  <c r="B1597" i="18"/>
  <c r="B1596" i="18"/>
  <c r="B1595" i="18"/>
  <c r="B1594" i="18"/>
  <c r="B1593" i="18"/>
  <c r="B1592" i="18"/>
  <c r="B1591" i="18"/>
  <c r="B1590" i="18"/>
  <c r="B1589" i="18"/>
  <c r="B1588" i="18"/>
  <c r="E1587" i="18"/>
  <c r="B1587" i="18"/>
  <c r="B1586" i="18"/>
  <c r="B1585" i="18"/>
  <c r="B1584" i="18"/>
  <c r="B1583" i="18"/>
  <c r="B1582" i="18"/>
  <c r="B1581" i="18"/>
  <c r="B1580" i="18"/>
  <c r="B1579" i="18"/>
  <c r="F1578" i="18"/>
  <c r="B1578" i="18"/>
  <c r="F1577" i="18"/>
  <c r="B1576" i="18"/>
  <c r="B1575" i="18"/>
  <c r="B1574" i="18"/>
  <c r="B1573" i="18"/>
  <c r="B1572" i="18"/>
  <c r="B1571" i="18"/>
  <c r="B1570" i="18"/>
  <c r="B1569" i="18"/>
  <c r="B1568" i="18"/>
  <c r="B1567" i="18"/>
  <c r="B1566" i="18"/>
  <c r="B1565" i="18"/>
  <c r="B1564" i="18"/>
  <c r="B1563" i="18"/>
  <c r="B1562" i="18"/>
  <c r="B1561" i="18"/>
  <c r="B1560" i="18"/>
  <c r="B1559" i="18"/>
  <c r="B1558" i="18"/>
  <c r="B1557" i="18"/>
  <c r="B1556" i="18"/>
  <c r="B1555" i="18"/>
  <c r="B1553" i="18"/>
  <c r="B1552" i="18"/>
  <c r="B1551" i="18"/>
  <c r="B1550" i="18"/>
  <c r="B1549" i="18"/>
  <c r="B1548" i="18"/>
  <c r="B1547" i="18"/>
  <c r="B1546" i="18"/>
  <c r="B1545" i="18"/>
  <c r="B1544" i="18"/>
  <c r="B1543" i="18"/>
  <c r="B1542" i="18"/>
  <c r="B1541" i="18"/>
  <c r="B1540" i="18"/>
  <c r="B1539" i="18"/>
  <c r="F1538" i="18"/>
  <c r="B1538" i="18"/>
  <c r="F1537" i="18"/>
  <c r="B1536" i="18"/>
  <c r="B1535" i="18"/>
  <c r="B1534" i="18"/>
  <c r="B1533" i="18"/>
  <c r="B1532" i="18"/>
  <c r="B1531" i="18"/>
  <c r="B1530" i="18"/>
  <c r="B1529" i="18"/>
  <c r="B1528" i="18"/>
  <c r="B1527" i="18"/>
  <c r="B1526" i="18"/>
  <c r="B1525" i="18"/>
  <c r="B1524" i="18"/>
  <c r="B1523" i="18"/>
  <c r="B1522" i="18"/>
  <c r="B1521" i="18"/>
  <c r="B1520" i="18"/>
  <c r="B1519" i="18"/>
  <c r="B1518" i="18"/>
  <c r="B1517" i="18"/>
  <c r="B1516" i="18"/>
  <c r="B1514" i="18"/>
  <c r="B1513" i="18"/>
  <c r="B1512" i="18"/>
  <c r="B1511" i="18"/>
  <c r="B1510" i="18"/>
  <c r="B1509" i="18"/>
  <c r="B1508" i="18"/>
  <c r="B1507" i="18"/>
  <c r="B1506" i="18"/>
  <c r="B1505" i="18"/>
  <c r="B1504" i="18"/>
  <c r="B1503" i="18"/>
  <c r="B1502" i="18"/>
  <c r="B1501" i="18"/>
  <c r="B1500" i="18"/>
  <c r="F1499" i="18"/>
  <c r="B1499" i="18"/>
  <c r="F1498" i="18"/>
  <c r="B1497" i="18"/>
  <c r="B1496" i="18"/>
  <c r="B1495" i="18"/>
  <c r="B1494" i="18"/>
  <c r="B1493" i="18"/>
  <c r="B1492" i="18"/>
  <c r="B1491" i="18"/>
  <c r="B1490" i="18"/>
  <c r="B1489" i="18"/>
  <c r="B1488" i="18"/>
  <c r="B1487" i="18"/>
  <c r="B1485" i="18"/>
  <c r="B1484" i="18"/>
  <c r="B1483" i="18"/>
  <c r="B1482" i="18"/>
  <c r="B1481" i="18"/>
  <c r="B1480" i="18"/>
  <c r="B1479" i="18"/>
  <c r="B1478" i="18"/>
  <c r="B1477" i="18"/>
  <c r="B1476" i="18"/>
  <c r="F1475" i="18"/>
  <c r="B1475" i="18"/>
  <c r="F1474" i="18"/>
  <c r="B1473" i="18"/>
  <c r="B1472" i="18"/>
  <c r="B1471" i="18"/>
  <c r="B1470" i="18"/>
  <c r="B1469" i="18"/>
  <c r="B1468" i="18"/>
  <c r="B1467" i="18"/>
  <c r="B1466" i="18"/>
  <c r="B1465" i="18"/>
  <c r="B1464" i="18"/>
  <c r="B1463" i="18"/>
  <c r="B1462" i="18"/>
  <c r="B1461" i="18"/>
  <c r="B1460" i="18"/>
  <c r="B1459" i="18"/>
  <c r="B1458" i="18"/>
  <c r="B1457" i="18"/>
  <c r="B1456" i="18"/>
  <c r="B1455" i="18"/>
  <c r="B1454" i="18"/>
  <c r="B1453" i="18"/>
  <c r="B1452" i="18"/>
  <c r="B1451" i="18"/>
  <c r="B1450" i="18"/>
  <c r="B1449" i="18"/>
  <c r="B1448" i="18"/>
  <c r="B1447" i="18"/>
  <c r="B1446" i="18"/>
  <c r="B1445" i="18"/>
  <c r="B1444" i="18"/>
  <c r="B1443" i="18"/>
  <c r="B1442" i="18"/>
  <c r="B1441" i="18"/>
  <c r="B1440" i="18"/>
  <c r="B1439" i="18"/>
  <c r="B1438" i="18"/>
  <c r="B1437" i="18"/>
  <c r="B1435" i="18"/>
  <c r="B1434" i="18"/>
  <c r="B1433" i="18"/>
  <c r="B1432" i="18"/>
  <c r="B1431" i="18"/>
  <c r="B1430" i="18"/>
  <c r="B1429" i="18"/>
  <c r="B1428" i="18"/>
  <c r="B1427" i="18"/>
  <c r="B1426" i="18"/>
  <c r="B1425" i="18"/>
  <c r="B1424" i="18"/>
  <c r="B1423" i="18"/>
  <c r="B1422" i="18"/>
  <c r="B1421" i="18"/>
  <c r="B1420" i="18"/>
  <c r="B1419" i="18"/>
  <c r="B1418" i="18"/>
  <c r="B1417" i="18"/>
  <c r="B1416" i="18"/>
  <c r="B1415" i="18"/>
  <c r="B1414" i="18"/>
  <c r="B1413" i="18"/>
  <c r="B1412" i="18"/>
  <c r="B1411" i="18"/>
  <c r="B1410" i="18"/>
  <c r="B1409" i="18"/>
  <c r="F1408" i="18"/>
  <c r="B1408" i="18"/>
  <c r="F1407" i="18"/>
  <c r="B1405" i="18"/>
  <c r="B1404" i="18"/>
  <c r="B1403" i="18"/>
  <c r="B1402" i="18"/>
  <c r="B1401" i="18"/>
  <c r="B1400" i="18"/>
  <c r="B1399" i="18"/>
  <c r="B1398" i="18"/>
  <c r="B1397" i="18"/>
  <c r="B1396" i="18"/>
  <c r="B1395" i="18"/>
  <c r="B1394" i="18"/>
  <c r="B1393" i="18"/>
  <c r="B1392" i="18"/>
  <c r="B1391" i="18"/>
  <c r="B1390" i="18"/>
  <c r="B1389" i="18"/>
  <c r="B1388" i="18"/>
  <c r="B1387" i="18"/>
  <c r="B1386" i="18"/>
  <c r="B1384" i="18"/>
  <c r="B1383" i="18"/>
  <c r="B1382" i="18"/>
  <c r="B1381" i="18"/>
  <c r="B1380" i="18"/>
  <c r="B1379" i="18"/>
  <c r="B1378" i="18"/>
  <c r="B1377" i="18"/>
  <c r="B1376" i="18"/>
  <c r="B1375" i="18"/>
  <c r="B1374" i="18"/>
  <c r="B1373" i="18"/>
  <c r="B1372" i="18"/>
  <c r="B1371" i="18"/>
  <c r="B1370" i="18"/>
  <c r="B1369" i="18"/>
  <c r="B1368" i="18"/>
  <c r="E1367" i="18"/>
  <c r="B1367" i="18"/>
  <c r="B1366" i="18"/>
  <c r="B1365" i="18"/>
  <c r="B1364" i="18"/>
  <c r="B1363" i="18"/>
  <c r="B1362" i="18"/>
  <c r="B1361" i="18"/>
  <c r="B1360" i="18"/>
  <c r="B1359" i="18"/>
  <c r="B1358" i="18"/>
  <c r="B1357" i="18"/>
  <c r="B1356" i="18"/>
  <c r="B1355" i="18"/>
  <c r="B1354" i="18"/>
  <c r="B1353" i="18"/>
  <c r="B1352" i="18"/>
  <c r="B1351" i="18"/>
  <c r="F1350" i="18"/>
  <c r="B1350" i="18"/>
  <c r="F1349" i="18"/>
  <c r="B1348" i="18"/>
  <c r="B1347" i="18"/>
  <c r="B1346" i="18"/>
  <c r="B1345" i="18"/>
  <c r="B1344" i="18"/>
  <c r="B1343" i="18"/>
  <c r="B1342" i="18"/>
  <c r="B1341" i="18"/>
  <c r="B1340" i="18"/>
  <c r="B1339" i="18"/>
  <c r="B1338" i="18"/>
  <c r="B1337" i="18"/>
  <c r="B1336" i="18"/>
  <c r="B1334" i="18"/>
  <c r="B1333" i="18"/>
  <c r="B1332" i="18"/>
  <c r="B1331" i="18"/>
  <c r="B1330" i="18"/>
  <c r="B1329" i="18"/>
  <c r="B1328" i="18"/>
  <c r="B1327" i="18"/>
  <c r="B1326" i="18"/>
  <c r="B1325" i="18"/>
  <c r="B1324" i="18"/>
  <c r="B1323" i="18"/>
  <c r="B1322" i="18"/>
  <c r="B1321" i="18"/>
  <c r="B1320" i="18"/>
  <c r="F1319" i="18"/>
  <c r="B1318" i="18"/>
  <c r="B1317" i="18"/>
  <c r="B1316" i="18"/>
  <c r="E1315" i="18"/>
  <c r="B1315" i="18"/>
  <c r="E1314" i="18"/>
  <c r="B1314" i="18"/>
  <c r="B1313" i="18"/>
  <c r="B1312" i="18"/>
  <c r="B1311" i="18"/>
  <c r="B1310" i="18"/>
  <c r="B1309" i="18"/>
  <c r="B1308" i="18"/>
  <c r="B1307" i="18"/>
  <c r="B1306" i="18"/>
  <c r="B1305" i="18"/>
  <c r="B1304" i="18"/>
  <c r="B1303" i="18"/>
  <c r="B1302" i="18"/>
  <c r="B1301" i="18"/>
  <c r="B1299" i="18"/>
  <c r="B1298" i="18"/>
  <c r="B1297" i="18"/>
  <c r="B1296" i="18"/>
  <c r="B1295" i="18"/>
  <c r="B1294" i="18"/>
  <c r="B1293" i="18"/>
  <c r="B1292" i="18"/>
  <c r="B1291" i="18"/>
  <c r="B1290" i="18"/>
  <c r="B1289" i="18"/>
  <c r="B1288" i="18"/>
  <c r="B1287" i="18"/>
  <c r="B1286" i="18"/>
  <c r="B1285" i="18"/>
  <c r="F1284" i="18"/>
  <c r="B1284" i="18"/>
  <c r="F1283" i="18"/>
  <c r="B1282" i="18"/>
  <c r="B1281" i="18"/>
  <c r="B1280" i="18"/>
  <c r="B1279" i="18"/>
  <c r="B1278" i="18"/>
  <c r="B1277" i="18"/>
  <c r="B1276" i="18"/>
  <c r="B1275" i="18"/>
  <c r="B1274" i="18"/>
  <c r="B1273" i="18"/>
  <c r="B1272" i="18"/>
  <c r="B1271" i="18"/>
  <c r="B1270" i="18"/>
  <c r="B1269" i="18"/>
  <c r="B1268" i="18"/>
  <c r="B1267" i="18"/>
  <c r="B1266" i="18"/>
  <c r="E1265" i="18"/>
  <c r="B1265" i="18"/>
  <c r="E1264" i="18"/>
  <c r="B1264" i="18"/>
  <c r="B1263" i="18"/>
  <c r="B1262" i="18"/>
  <c r="B1261" i="18"/>
  <c r="B1260" i="18"/>
  <c r="B1259" i="18"/>
  <c r="B1256" i="18"/>
  <c r="B1255" i="18"/>
  <c r="B1254" i="18"/>
  <c r="B1253" i="18"/>
  <c r="B1252" i="18"/>
  <c r="B1251" i="18"/>
  <c r="E1250" i="18"/>
  <c r="B1250" i="18"/>
  <c r="B1249" i="18"/>
  <c r="B1248" i="18"/>
  <c r="B1247" i="18"/>
  <c r="B1246" i="18"/>
  <c r="B1245" i="18"/>
  <c r="B1244" i="18"/>
  <c r="B1243" i="18"/>
  <c r="B1242" i="18"/>
  <c r="B1241" i="18"/>
  <c r="B1240" i="18"/>
  <c r="B1239" i="18"/>
  <c r="B1238" i="18"/>
  <c r="B1237" i="18"/>
  <c r="B1236" i="18"/>
  <c r="B1235" i="18"/>
  <c r="B1234" i="18"/>
  <c r="B1233" i="18"/>
  <c r="B1232" i="18"/>
  <c r="F1231" i="18"/>
  <c r="B1231" i="18"/>
  <c r="F1230" i="18"/>
  <c r="B1229" i="18"/>
  <c r="B1228" i="18"/>
  <c r="B1227" i="18"/>
  <c r="B1226" i="18"/>
  <c r="B1225" i="18"/>
  <c r="B1224" i="18"/>
  <c r="B1222" i="18"/>
  <c r="B1221" i="18"/>
  <c r="B1220" i="18"/>
  <c r="B1219" i="18"/>
  <c r="B1218" i="18"/>
  <c r="B1217" i="18"/>
  <c r="B1216" i="18"/>
  <c r="E1215" i="18"/>
  <c r="B1215" i="18"/>
  <c r="B1214" i="18"/>
  <c r="B1213" i="18"/>
  <c r="B1212" i="18"/>
  <c r="B1211" i="18"/>
  <c r="B1210" i="18"/>
  <c r="B1209" i="18"/>
  <c r="B1208" i="18"/>
  <c r="F1207" i="18"/>
  <c r="F1206" i="18"/>
  <c r="B1205" i="18"/>
  <c r="B1204" i="18"/>
  <c r="B1203" i="18"/>
  <c r="B1202" i="18"/>
  <c r="B1201" i="18"/>
  <c r="B1200" i="18"/>
  <c r="B1199" i="18"/>
  <c r="B1198" i="18"/>
  <c r="B1197" i="18"/>
  <c r="B1196" i="18"/>
  <c r="B1195" i="18"/>
  <c r="B1194" i="18"/>
  <c r="B1193" i="18"/>
  <c r="B1192" i="18"/>
  <c r="B1191" i="18"/>
  <c r="B1190" i="18"/>
  <c r="B1189" i="18"/>
  <c r="B1188" i="18"/>
  <c r="B1187" i="18"/>
  <c r="B1185" i="18"/>
  <c r="B1184" i="18"/>
  <c r="B1183" i="18"/>
  <c r="B1182" i="18"/>
  <c r="B1181" i="18"/>
  <c r="B1180" i="18"/>
  <c r="B1179" i="18"/>
  <c r="B1178" i="18"/>
  <c r="B1177" i="18"/>
  <c r="F1176" i="18"/>
  <c r="B1176" i="18"/>
  <c r="F1175" i="18"/>
  <c r="B1174" i="18"/>
  <c r="B1173" i="18"/>
  <c r="B1172" i="18"/>
  <c r="B1171" i="18"/>
  <c r="B1170" i="18"/>
  <c r="B1169" i="18"/>
  <c r="E1168" i="18"/>
  <c r="B1168" i="18"/>
  <c r="B1167" i="18"/>
  <c r="E1166" i="18"/>
  <c r="B1166" i="18"/>
  <c r="B1165" i="18"/>
  <c r="B1164" i="18"/>
  <c r="B1163" i="18"/>
  <c r="B1162" i="18"/>
  <c r="B1161" i="18"/>
  <c r="B1160" i="18"/>
  <c r="B1159" i="18"/>
  <c r="B1158" i="18"/>
  <c r="B1157" i="18"/>
  <c r="B1156" i="18"/>
  <c r="B1155" i="18"/>
  <c r="B1154" i="18"/>
  <c r="B1153" i="18"/>
  <c r="B1152" i="18"/>
  <c r="B1151" i="18"/>
  <c r="F1150" i="18"/>
  <c r="E1149" i="18"/>
  <c r="B1149" i="18"/>
  <c r="E1148" i="18"/>
  <c r="B1148" i="18"/>
  <c r="E1147" i="18"/>
  <c r="B1147" i="18"/>
  <c r="E1146" i="18"/>
  <c r="B1146" i="18"/>
  <c r="B1145" i="18"/>
  <c r="E1144" i="18"/>
  <c r="B1144" i="18"/>
  <c r="B1143" i="18"/>
  <c r="B1142" i="18"/>
  <c r="B1141" i="18"/>
  <c r="B1140" i="18"/>
  <c r="B1139" i="18"/>
  <c r="B1138" i="18"/>
  <c r="B1137" i="18"/>
  <c r="B1136" i="18"/>
  <c r="B1135" i="18"/>
  <c r="B1133" i="18"/>
  <c r="B1132" i="18"/>
  <c r="B1131" i="18"/>
  <c r="B1130" i="18"/>
  <c r="B1129" i="18"/>
  <c r="B1128" i="18"/>
  <c r="B1127" i="18"/>
  <c r="B1126" i="18"/>
  <c r="B1125" i="18"/>
  <c r="B1124" i="18"/>
  <c r="F1123" i="18"/>
  <c r="B1123" i="18"/>
  <c r="E1122" i="18"/>
  <c r="B1122" i="18"/>
  <c r="B1121" i="18"/>
  <c r="E1120" i="18"/>
  <c r="B1120" i="18"/>
  <c r="E1119" i="18"/>
  <c r="B1119" i="18"/>
  <c r="B1118" i="18"/>
  <c r="B1117" i="18"/>
  <c r="F1116" i="18"/>
  <c r="B1116" i="18"/>
  <c r="B1115" i="18"/>
  <c r="F1114" i="18"/>
  <c r="B1113" i="18"/>
  <c r="B1112" i="18"/>
  <c r="B1111" i="18"/>
  <c r="B1110" i="18"/>
  <c r="B1109" i="18"/>
  <c r="B1108" i="18"/>
  <c r="B1107" i="18"/>
  <c r="B1106" i="18"/>
  <c r="B1105" i="18"/>
  <c r="B1104" i="18"/>
  <c r="B1103" i="18"/>
  <c r="B1102" i="18"/>
  <c r="B1101" i="18"/>
  <c r="B1100" i="18"/>
  <c r="B1099" i="18"/>
  <c r="B1097" i="18"/>
  <c r="B1096" i="18"/>
  <c r="B1095" i="18"/>
  <c r="F1094" i="18"/>
  <c r="B1094" i="18"/>
  <c r="B1093" i="18"/>
  <c r="E1092" i="18"/>
  <c r="B1092" i="18"/>
  <c r="B1091" i="18"/>
  <c r="B1090" i="18"/>
  <c r="B1089" i="18"/>
  <c r="B1088" i="18"/>
  <c r="B1087" i="18"/>
  <c r="B1086" i="18"/>
  <c r="B1085" i="18"/>
  <c r="B1084" i="18"/>
  <c r="E1083" i="18"/>
  <c r="B1083" i="18"/>
  <c r="B1082" i="18"/>
  <c r="B1081" i="18"/>
  <c r="B1080" i="18"/>
  <c r="B1079" i="18"/>
  <c r="B1078" i="18"/>
  <c r="B1077" i="18"/>
  <c r="B1076" i="18"/>
  <c r="B1075" i="18"/>
  <c r="F1074" i="18"/>
  <c r="B1073" i="18"/>
  <c r="B1072" i="18"/>
  <c r="F1071" i="18"/>
  <c r="E1071" i="18"/>
  <c r="B1071" i="18"/>
  <c r="B1070" i="18"/>
  <c r="B1069" i="18"/>
  <c r="E1068" i="18"/>
  <c r="B1068" i="18"/>
  <c r="B1067" i="18"/>
  <c r="B1065" i="18"/>
  <c r="B1064" i="18"/>
  <c r="B1063" i="18"/>
  <c r="B1062" i="18"/>
  <c r="B1061" i="18"/>
  <c r="B1060" i="18"/>
  <c r="F1059" i="18"/>
  <c r="B1059" i="18"/>
  <c r="B1058" i="18"/>
  <c r="B1057" i="18"/>
  <c r="E1056" i="18"/>
  <c r="B1056" i="18"/>
  <c r="B1055" i="18"/>
  <c r="B1054" i="18"/>
  <c r="B1053" i="18"/>
  <c r="B1052" i="18"/>
  <c r="F1051" i="18"/>
  <c r="B1051" i="18"/>
  <c r="F1050" i="18"/>
  <c r="B1049" i="18"/>
  <c r="B1048" i="18"/>
  <c r="B1047" i="18"/>
  <c r="B1046" i="18"/>
  <c r="B1045" i="18"/>
  <c r="B1044" i="18"/>
  <c r="B1043" i="18"/>
  <c r="B1042" i="18"/>
  <c r="B1041" i="18"/>
  <c r="B1039" i="18"/>
  <c r="B1038" i="18"/>
  <c r="B1037" i="18"/>
  <c r="B1036" i="18"/>
  <c r="B1035" i="18"/>
  <c r="B1034" i="18"/>
  <c r="B1033" i="18"/>
  <c r="B1032" i="18"/>
  <c r="B1031" i="18"/>
  <c r="B1030" i="18"/>
  <c r="B1029" i="18"/>
  <c r="F1028" i="18"/>
  <c r="B1028" i="18"/>
  <c r="F1027" i="18"/>
  <c r="B1026" i="18"/>
  <c r="B1025" i="18"/>
  <c r="B1024" i="18"/>
  <c r="B1023" i="18"/>
  <c r="B1022" i="18"/>
  <c r="B1021" i="18"/>
  <c r="F1020" i="18"/>
  <c r="B1020" i="18"/>
  <c r="B1019" i="18"/>
  <c r="B1018" i="18"/>
  <c r="B1017" i="18"/>
  <c r="B1016" i="18"/>
  <c r="B1015" i="18"/>
  <c r="B1013" i="18"/>
  <c r="B1012" i="18"/>
  <c r="B1011" i="18"/>
  <c r="B1010" i="18"/>
  <c r="B1009" i="18"/>
  <c r="B1008" i="18"/>
  <c r="B1007" i="18"/>
  <c r="F1006" i="18"/>
  <c r="B1006" i="18"/>
  <c r="B1005" i="18"/>
  <c r="B1004" i="18"/>
  <c r="B1003" i="18"/>
  <c r="B1002" i="18"/>
  <c r="B1001" i="18"/>
  <c r="B1000" i="18"/>
  <c r="B999" i="18"/>
  <c r="F998" i="18"/>
  <c r="B998" i="18"/>
  <c r="F997" i="18"/>
  <c r="B996" i="18"/>
  <c r="B995" i="18"/>
  <c r="B994" i="18"/>
  <c r="F993" i="18"/>
  <c r="B993" i="18"/>
  <c r="B992" i="18"/>
  <c r="B991" i="18"/>
  <c r="B990" i="18"/>
  <c r="B989" i="18"/>
  <c r="B988" i="18"/>
  <c r="B987" i="18"/>
  <c r="B986" i="18"/>
  <c r="B985" i="18"/>
  <c r="B984" i="18"/>
  <c r="B983" i="18"/>
  <c r="B982" i="18"/>
  <c r="B980" i="18"/>
  <c r="F979" i="18"/>
  <c r="B979" i="18"/>
  <c r="B978" i="18"/>
  <c r="B977" i="18"/>
  <c r="B976" i="18"/>
  <c r="F975" i="18"/>
  <c r="B974" i="18"/>
  <c r="B973" i="18"/>
  <c r="F972" i="18"/>
  <c r="B972" i="18"/>
  <c r="E971" i="18"/>
  <c r="B971" i="18"/>
  <c r="B970" i="18"/>
  <c r="B969" i="18"/>
  <c r="B968" i="18"/>
  <c r="B966" i="18"/>
  <c r="B965" i="18"/>
  <c r="B964" i="18"/>
  <c r="B963" i="18"/>
  <c r="B962" i="18"/>
  <c r="B961" i="18"/>
  <c r="B960" i="18"/>
  <c r="F959" i="18"/>
  <c r="B958" i="18"/>
  <c r="F957" i="18"/>
  <c r="B957" i="18"/>
  <c r="B956" i="18"/>
  <c r="B955" i="18"/>
  <c r="B954" i="18"/>
  <c r="B952" i="18"/>
  <c r="B951" i="18"/>
  <c r="B950" i="18"/>
  <c r="B949" i="18"/>
  <c r="B948" i="18"/>
  <c r="B947" i="18"/>
  <c r="B946" i="18"/>
  <c r="B945" i="18"/>
  <c r="B944" i="18"/>
  <c r="B942" i="18"/>
  <c r="F941" i="18"/>
  <c r="B941" i="18"/>
  <c r="B940" i="18"/>
  <c r="B939" i="18"/>
  <c r="B937" i="18"/>
  <c r="B936" i="18"/>
  <c r="B935" i="18"/>
  <c r="B934" i="18"/>
  <c r="B933" i="18"/>
  <c r="B932" i="18"/>
  <c r="F931" i="18"/>
  <c r="B931" i="18"/>
  <c r="F930" i="18"/>
  <c r="B929" i="18"/>
  <c r="B928" i="18"/>
  <c r="B927" i="18"/>
  <c r="F926" i="18"/>
  <c r="B926" i="18"/>
  <c r="E925" i="18"/>
  <c r="B925" i="18"/>
  <c r="B924" i="18"/>
  <c r="B922" i="18"/>
  <c r="B921" i="18"/>
  <c r="B920" i="18"/>
  <c r="B919" i="18"/>
  <c r="B918" i="18"/>
  <c r="B917" i="18"/>
  <c r="B916" i="18"/>
  <c r="B915" i="18"/>
  <c r="B914" i="18"/>
  <c r="B913" i="18"/>
  <c r="B912" i="18"/>
  <c r="B911" i="18"/>
  <c r="B910" i="18"/>
  <c r="F909" i="18"/>
  <c r="B908" i="18"/>
  <c r="B907" i="18"/>
  <c r="B906" i="18"/>
  <c r="B905" i="18"/>
  <c r="B904" i="18"/>
  <c r="F903" i="18"/>
  <c r="B903" i="18"/>
  <c r="E902" i="18"/>
  <c r="B902" i="18"/>
  <c r="B900" i="18"/>
  <c r="B899" i="18"/>
  <c r="B898" i="18"/>
  <c r="B897" i="18"/>
  <c r="B896" i="18"/>
  <c r="B895" i="18"/>
  <c r="B894" i="18"/>
  <c r="B893" i="18"/>
  <c r="B892" i="18"/>
  <c r="B891" i="18"/>
  <c r="B890" i="18"/>
  <c r="B889" i="18"/>
  <c r="B888" i="18"/>
  <c r="F887" i="18"/>
  <c r="B887" i="18"/>
  <c r="B886" i="18"/>
  <c r="B885" i="18"/>
  <c r="B884" i="18"/>
  <c r="B883" i="18"/>
  <c r="B882" i="18"/>
  <c r="B881" i="18"/>
  <c r="B880" i="18"/>
  <c r="B879" i="18"/>
  <c r="B878" i="18"/>
  <c r="B877" i="18"/>
  <c r="B876" i="18"/>
  <c r="E875" i="18"/>
  <c r="B875" i="18"/>
  <c r="B874" i="18"/>
  <c r="B873" i="18"/>
  <c r="B872" i="18"/>
  <c r="B871" i="18"/>
  <c r="B870" i="18"/>
  <c r="F869" i="18"/>
  <c r="B868" i="18"/>
  <c r="B867" i="18"/>
  <c r="B866" i="18"/>
  <c r="B865" i="18"/>
  <c r="B864" i="18"/>
  <c r="F863" i="18"/>
  <c r="B863" i="18"/>
  <c r="E862" i="18"/>
  <c r="B862" i="18"/>
  <c r="B861" i="18"/>
  <c r="B859" i="18"/>
  <c r="B858" i="18"/>
  <c r="B857" i="18"/>
  <c r="B856" i="18"/>
  <c r="B855" i="18"/>
  <c r="E854" i="18"/>
  <c r="B854" i="18"/>
  <c r="E853" i="18"/>
  <c r="B853" i="18"/>
  <c r="B852" i="18"/>
  <c r="B851" i="18"/>
  <c r="B850" i="18"/>
  <c r="B849" i="18"/>
  <c r="B848" i="18"/>
  <c r="B847" i="18"/>
  <c r="B846" i="18"/>
  <c r="B845" i="18"/>
  <c r="F870" i="18"/>
  <c r="B843" i="18"/>
  <c r="B842" i="18"/>
  <c r="B841" i="18"/>
  <c r="B840" i="18"/>
  <c r="B839" i="18"/>
  <c r="B837" i="18"/>
  <c r="E836" i="18"/>
  <c r="B836" i="18"/>
  <c r="B835" i="18"/>
  <c r="B834" i="18"/>
  <c r="B833" i="18"/>
  <c r="B832" i="18"/>
  <c r="B831" i="18"/>
  <c r="F830" i="18"/>
  <c r="B829" i="18"/>
  <c r="B828" i="18"/>
  <c r="E827" i="18"/>
  <c r="B827" i="18"/>
  <c r="B826" i="18"/>
  <c r="B824" i="18"/>
  <c r="B823" i="18"/>
  <c r="B822" i="18"/>
  <c r="B821" i="18"/>
  <c r="B820" i="18"/>
  <c r="E819" i="18"/>
  <c r="B819" i="18"/>
  <c r="B818" i="18"/>
  <c r="B817" i="18"/>
  <c r="B816" i="18"/>
  <c r="B815" i="18"/>
  <c r="B814" i="18"/>
  <c r="F813" i="18"/>
  <c r="B813" i="18"/>
  <c r="F812" i="18"/>
  <c r="B811" i="18"/>
  <c r="B810" i="18"/>
  <c r="B809" i="18"/>
  <c r="B808" i="18"/>
  <c r="B807" i="18"/>
  <c r="B806" i="18"/>
  <c r="B805" i="18"/>
  <c r="B804" i="18"/>
  <c r="B803" i="18"/>
  <c r="E802" i="18"/>
  <c r="B802" i="18"/>
  <c r="B801" i="18"/>
  <c r="B800" i="18"/>
  <c r="B799" i="18"/>
  <c r="B798" i="18"/>
  <c r="B797" i="18"/>
  <c r="B796" i="18"/>
  <c r="B795" i="18"/>
  <c r="B794" i="18"/>
  <c r="B792" i="18"/>
  <c r="B791" i="18"/>
  <c r="B790" i="18"/>
  <c r="B789" i="18"/>
  <c r="B788" i="18"/>
  <c r="E787" i="18"/>
  <c r="B787" i="18"/>
  <c r="B786" i="18"/>
  <c r="B785" i="18"/>
  <c r="B784" i="18"/>
  <c r="B783" i="18"/>
  <c r="B782" i="18"/>
  <c r="B781" i="18"/>
  <c r="F780" i="18"/>
  <c r="B780" i="18"/>
  <c r="F779" i="18"/>
  <c r="B778" i="18"/>
  <c r="B777" i="18"/>
  <c r="B776" i="18"/>
  <c r="B775" i="18"/>
  <c r="B774" i="18"/>
  <c r="B773" i="18"/>
  <c r="E772" i="18"/>
  <c r="B772" i="18"/>
  <c r="B771" i="18"/>
  <c r="B770" i="18"/>
  <c r="B769" i="18"/>
  <c r="B768" i="18"/>
  <c r="B767" i="18"/>
  <c r="B766" i="18"/>
  <c r="B764" i="18"/>
  <c r="B763" i="18"/>
  <c r="B762" i="18"/>
  <c r="B761" i="18"/>
  <c r="B760" i="18"/>
  <c r="B759" i="18"/>
  <c r="B758" i="18"/>
  <c r="E757" i="18"/>
  <c r="B757" i="18"/>
  <c r="B756" i="18"/>
  <c r="B755" i="18"/>
  <c r="B754" i="18"/>
  <c r="B753" i="18"/>
  <c r="F752" i="18"/>
  <c r="B751" i="18"/>
  <c r="E750" i="18"/>
  <c r="B750" i="18"/>
  <c r="B749" i="18"/>
  <c r="B748" i="18"/>
  <c r="B746" i="18"/>
  <c r="E745" i="18"/>
  <c r="B745" i="18"/>
  <c r="B744" i="18"/>
  <c r="B743" i="18"/>
  <c r="E742" i="18"/>
  <c r="B742" i="18"/>
  <c r="B741" i="18"/>
  <c r="B740" i="18"/>
  <c r="B739" i="18"/>
  <c r="B738" i="18"/>
  <c r="B737" i="18"/>
  <c r="B736" i="18"/>
  <c r="D735" i="18"/>
  <c r="D2255" i="18"/>
  <c r="B735" i="18"/>
  <c r="F734" i="18"/>
  <c r="B733" i="18"/>
  <c r="B732" i="18"/>
  <c r="B731" i="18"/>
  <c r="B730" i="18"/>
  <c r="B729" i="18"/>
  <c r="B728" i="18"/>
  <c r="B727" i="18"/>
  <c r="E726" i="18"/>
  <c r="B726" i="18"/>
  <c r="B725" i="18"/>
  <c r="B724" i="18"/>
  <c r="E723" i="18"/>
  <c r="B723" i="18"/>
  <c r="B722" i="18"/>
  <c r="E721" i="18"/>
  <c r="B721" i="18"/>
  <c r="E720" i="18"/>
  <c r="B720" i="18"/>
  <c r="B718" i="18"/>
  <c r="B717" i="18"/>
  <c r="B716" i="18"/>
  <c r="B715" i="18"/>
  <c r="E714" i="18"/>
  <c r="B714" i="18"/>
  <c r="B713" i="18"/>
  <c r="B712" i="18"/>
  <c r="B711" i="18"/>
  <c r="B710" i="18"/>
  <c r="B709" i="18"/>
  <c r="F708" i="18"/>
  <c r="B707" i="18"/>
  <c r="B706" i="18"/>
  <c r="B705" i="18"/>
  <c r="B704" i="18"/>
  <c r="B703" i="18"/>
  <c r="B701" i="18"/>
  <c r="B700" i="18"/>
  <c r="B699" i="18"/>
  <c r="B698" i="18"/>
  <c r="B697" i="18"/>
  <c r="B696" i="18"/>
  <c r="B695" i="18"/>
  <c r="B694" i="18"/>
  <c r="B693" i="18"/>
  <c r="B692" i="18"/>
  <c r="B691" i="18"/>
  <c r="F690" i="18"/>
  <c r="F689" i="18"/>
  <c r="B689" i="18"/>
  <c r="B688" i="18"/>
  <c r="B687" i="18"/>
  <c r="B686" i="18"/>
  <c r="B685" i="18"/>
  <c r="B683" i="18"/>
  <c r="B682" i="18"/>
  <c r="B681" i="18"/>
  <c r="B680" i="18"/>
  <c r="B679" i="18"/>
  <c r="B678" i="18"/>
  <c r="B677" i="18"/>
  <c r="B676" i="18"/>
  <c r="B675" i="18"/>
  <c r="B674" i="18"/>
  <c r="B673" i="18"/>
  <c r="B672" i="18"/>
  <c r="B670" i="18"/>
  <c r="B669" i="18"/>
  <c r="B668" i="18"/>
  <c r="B667" i="18"/>
  <c r="B665" i="18"/>
  <c r="B664" i="18"/>
  <c r="B663" i="18"/>
  <c r="B662" i="18"/>
  <c r="B661" i="18"/>
  <c r="B660" i="18"/>
  <c r="B659" i="18"/>
  <c r="F658" i="18"/>
  <c r="B657" i="18"/>
  <c r="B656" i="18"/>
  <c r="B655" i="18"/>
  <c r="B654" i="18"/>
  <c r="B653" i="18"/>
  <c r="B652" i="18"/>
  <c r="B651" i="18"/>
  <c r="B650" i="18"/>
  <c r="B649" i="18"/>
  <c r="B648" i="18"/>
  <c r="B646" i="18"/>
  <c r="B645" i="18"/>
  <c r="B644" i="18"/>
  <c r="B643" i="18"/>
  <c r="B642" i="18"/>
  <c r="B641" i="18"/>
  <c r="B640" i="18"/>
  <c r="B639" i="18"/>
  <c r="B638" i="18"/>
  <c r="B637" i="18"/>
  <c r="B636" i="18"/>
  <c r="B635" i="18"/>
  <c r="B634" i="18"/>
  <c r="B633" i="18"/>
  <c r="B632" i="18"/>
  <c r="B631" i="18"/>
  <c r="F630" i="18"/>
  <c r="B629" i="18"/>
  <c r="B628" i="18"/>
  <c r="B627" i="18"/>
  <c r="B626" i="18"/>
  <c r="B625" i="18"/>
  <c r="B624" i="18"/>
  <c r="B623" i="18"/>
  <c r="B622" i="18"/>
  <c r="B620" i="18"/>
  <c r="B619" i="18"/>
  <c r="B618" i="18"/>
  <c r="B617" i="18"/>
  <c r="F616" i="18"/>
  <c r="E616" i="18"/>
  <c r="B616" i="18"/>
  <c r="B615" i="18"/>
  <c r="E614" i="18"/>
  <c r="B614" i="18"/>
  <c r="B613" i="18"/>
  <c r="B612" i="18"/>
  <c r="B611" i="18"/>
  <c r="B610" i="18"/>
  <c r="B609" i="18"/>
  <c r="B608" i="18"/>
  <c r="F607" i="18"/>
  <c r="B606" i="18"/>
  <c r="B605" i="18"/>
  <c r="B604" i="18"/>
  <c r="B603" i="18"/>
  <c r="B602" i="18"/>
  <c r="B601" i="18"/>
  <c r="B600" i="18"/>
  <c r="B598" i="18"/>
  <c r="B597" i="18"/>
  <c r="B596" i="18"/>
  <c r="B595" i="18"/>
  <c r="B594" i="18"/>
  <c r="F593" i="18"/>
  <c r="B592" i="18"/>
  <c r="B591" i="18"/>
  <c r="F590" i="18"/>
  <c r="B590" i="18"/>
  <c r="B589" i="18"/>
  <c r="B588" i="18"/>
  <c r="B587" i="18"/>
  <c r="B585" i="18"/>
  <c r="B584" i="18"/>
  <c r="B583" i="18"/>
  <c r="B582" i="18"/>
  <c r="B581" i="18"/>
  <c r="B580" i="18"/>
  <c r="B579" i="18"/>
  <c r="B578" i="18"/>
  <c r="B577" i="18"/>
  <c r="B576" i="18"/>
  <c r="F575" i="18"/>
  <c r="B574" i="18"/>
  <c r="B573" i="18"/>
  <c r="B571" i="18"/>
  <c r="B570" i="18"/>
  <c r="B569" i="18"/>
  <c r="B568" i="18"/>
  <c r="B567" i="18"/>
  <c r="B566" i="18"/>
  <c r="B565" i="18"/>
  <c r="B563" i="18"/>
  <c r="B562" i="18"/>
  <c r="B561" i="18"/>
  <c r="B560" i="18"/>
  <c r="B559" i="18"/>
  <c r="B558" i="18"/>
  <c r="B557" i="18"/>
  <c r="B556" i="18"/>
  <c r="B555" i="18"/>
  <c r="B554" i="18"/>
  <c r="B553" i="18"/>
  <c r="B552" i="18"/>
  <c r="B550" i="18"/>
  <c r="B549" i="18"/>
  <c r="B548" i="18"/>
  <c r="B547" i="18"/>
  <c r="B546" i="18"/>
  <c r="B545" i="18"/>
  <c r="B544" i="18"/>
  <c r="B543" i="18"/>
  <c r="B542" i="18"/>
  <c r="B541" i="18"/>
  <c r="B540" i="18"/>
  <c r="B539" i="18"/>
  <c r="F538" i="18"/>
  <c r="B537" i="18"/>
  <c r="B536" i="18"/>
  <c r="B535" i="18"/>
  <c r="B534" i="18"/>
  <c r="B533" i="18"/>
  <c r="B532" i="18"/>
  <c r="B531" i="18"/>
  <c r="B530" i="18"/>
  <c r="B529" i="18"/>
  <c r="B528" i="18"/>
  <c r="B527" i="18"/>
  <c r="B526" i="18"/>
  <c r="B525" i="18"/>
  <c r="B523" i="18"/>
  <c r="F522" i="18"/>
  <c r="E522" i="18"/>
  <c r="B522" i="18"/>
  <c r="B521" i="18"/>
  <c r="B520" i="18"/>
  <c r="B519" i="18"/>
  <c r="B518" i="18"/>
  <c r="B517" i="18"/>
  <c r="B516" i="18"/>
  <c r="B515" i="18"/>
  <c r="B514" i="18"/>
  <c r="B513" i="18"/>
  <c r="B512" i="18"/>
  <c r="B511" i="18"/>
  <c r="B510" i="18"/>
  <c r="F509" i="18"/>
  <c r="B508" i="18"/>
  <c r="B507" i="18"/>
  <c r="B506" i="18"/>
  <c r="B505" i="18"/>
  <c r="F504" i="18"/>
  <c r="B504" i="18"/>
  <c r="B503" i="18"/>
  <c r="B502" i="18"/>
  <c r="B501" i="18"/>
  <c r="B500" i="18"/>
  <c r="B499" i="18"/>
  <c r="B498" i="18"/>
  <c r="B497" i="18"/>
  <c r="B496" i="18"/>
  <c r="B494" i="18"/>
  <c r="B493" i="18"/>
  <c r="B492" i="18"/>
  <c r="B491" i="18"/>
  <c r="B490" i="18"/>
  <c r="B489" i="18"/>
  <c r="B488" i="18"/>
  <c r="B487" i="18"/>
  <c r="B486" i="18"/>
  <c r="B485" i="18"/>
  <c r="B484" i="18"/>
  <c r="B483" i="18"/>
  <c r="B482" i="18"/>
  <c r="B481" i="18"/>
  <c r="B480" i="18"/>
  <c r="B479" i="18"/>
  <c r="B478" i="18"/>
  <c r="F477" i="18"/>
  <c r="B477" i="18"/>
  <c r="F476" i="18"/>
  <c r="B475" i="18"/>
  <c r="B474" i="18"/>
  <c r="B473" i="18"/>
  <c r="B472" i="18"/>
  <c r="B471" i="18"/>
  <c r="B470" i="18"/>
  <c r="B468" i="18"/>
  <c r="B467" i="18"/>
  <c r="B466" i="18"/>
  <c r="B465" i="18"/>
  <c r="B464" i="18"/>
  <c r="F463" i="18"/>
  <c r="B462" i="18"/>
  <c r="B461" i="18"/>
  <c r="B460" i="18"/>
  <c r="B459" i="18"/>
  <c r="B458" i="18"/>
  <c r="B457" i="18"/>
  <c r="B456" i="18"/>
  <c r="B455" i="18"/>
  <c r="B454" i="18"/>
  <c r="B452" i="18"/>
  <c r="B451" i="18"/>
  <c r="B450" i="18"/>
  <c r="B449" i="18"/>
  <c r="B448" i="18"/>
  <c r="B447" i="18"/>
  <c r="F446" i="18"/>
  <c r="B445" i="18"/>
  <c r="B444" i="18"/>
  <c r="B443" i="18"/>
  <c r="B442" i="18"/>
  <c r="E441" i="18"/>
  <c r="B441" i="18"/>
  <c r="B440" i="18"/>
  <c r="B439" i="18"/>
  <c r="F437" i="18"/>
  <c r="B437" i="18"/>
  <c r="B436" i="18"/>
  <c r="B435" i="18"/>
  <c r="B434" i="18"/>
  <c r="B433" i="18"/>
  <c r="B432" i="18"/>
  <c r="B431" i="18"/>
  <c r="B430" i="18"/>
  <c r="B429" i="18"/>
  <c r="F428" i="18"/>
  <c r="B427" i="18"/>
  <c r="B426" i="18"/>
  <c r="B424" i="18"/>
  <c r="B423" i="18"/>
  <c r="B422" i="18"/>
  <c r="B421" i="18"/>
  <c r="B420" i="18"/>
  <c r="B419" i="18"/>
  <c r="B418" i="18"/>
  <c r="F417" i="18"/>
  <c r="B416" i="18"/>
  <c r="B415" i="18"/>
  <c r="B414" i="18"/>
  <c r="B413" i="18"/>
  <c r="B411" i="18"/>
  <c r="B410" i="18"/>
  <c r="B409" i="18"/>
  <c r="B408" i="18"/>
  <c r="B407" i="18"/>
  <c r="B406" i="18"/>
  <c r="B405" i="18"/>
  <c r="F404" i="18"/>
  <c r="B403" i="18"/>
  <c r="B402" i="18"/>
  <c r="B400" i="18"/>
  <c r="B399" i="18"/>
  <c r="E398" i="18"/>
  <c r="B398" i="18"/>
  <c r="B397" i="18"/>
  <c r="B396" i="18"/>
  <c r="B395" i="18"/>
  <c r="B394" i="18"/>
  <c r="B393" i="18"/>
  <c r="B392" i="18"/>
  <c r="D391" i="18"/>
  <c r="B391" i="18"/>
  <c r="F390" i="18"/>
  <c r="B388" i="18"/>
  <c r="B387" i="18"/>
  <c r="B386" i="18"/>
  <c r="B385" i="18"/>
  <c r="B384" i="18"/>
  <c r="B383" i="18"/>
  <c r="F382" i="18"/>
  <c r="B381" i="18"/>
  <c r="B380" i="18"/>
  <c r="B379" i="18"/>
  <c r="B378" i="18"/>
  <c r="B377" i="18"/>
  <c r="B375" i="18"/>
  <c r="B374" i="18"/>
  <c r="B373" i="18"/>
  <c r="B372" i="18"/>
  <c r="F371" i="18"/>
  <c r="B371" i="18"/>
  <c r="B370" i="18"/>
  <c r="B369" i="18"/>
  <c r="B368" i="18"/>
  <c r="B367" i="18"/>
  <c r="F366" i="18"/>
  <c r="B365" i="18"/>
  <c r="F364" i="18"/>
  <c r="B364" i="18"/>
  <c r="B363" i="18"/>
  <c r="B362" i="18"/>
  <c r="B361" i="18"/>
  <c r="B360" i="18"/>
  <c r="B359" i="18"/>
  <c r="B357" i="18"/>
  <c r="B356" i="18"/>
  <c r="B355" i="18"/>
  <c r="B354" i="18"/>
  <c r="B353" i="18"/>
  <c r="B352" i="18"/>
  <c r="F351" i="18"/>
  <c r="B350" i="18"/>
  <c r="B349" i="18"/>
  <c r="B348" i="18"/>
  <c r="B347" i="18"/>
  <c r="B346" i="18"/>
  <c r="B345" i="18"/>
  <c r="B344" i="18"/>
  <c r="B343" i="18"/>
  <c r="B342" i="18"/>
  <c r="B340" i="18"/>
  <c r="B339" i="18"/>
  <c r="B338" i="18"/>
  <c r="B337" i="18"/>
  <c r="F336" i="18"/>
  <c r="B335" i="18"/>
  <c r="B334" i="18"/>
  <c r="B332" i="18"/>
  <c r="B331" i="18"/>
  <c r="B330" i="18"/>
  <c r="B329" i="18"/>
  <c r="B328" i="18"/>
  <c r="B327" i="18"/>
  <c r="F326" i="18"/>
  <c r="E326" i="18"/>
  <c r="B326" i="18"/>
  <c r="B325" i="18"/>
  <c r="B324" i="18"/>
  <c r="B323" i="18"/>
  <c r="F322" i="18"/>
  <c r="B321" i="18"/>
  <c r="B320" i="18"/>
  <c r="B319" i="18"/>
  <c r="B318" i="18"/>
  <c r="B317" i="18"/>
  <c r="B316" i="18"/>
  <c r="B315" i="18"/>
  <c r="B313" i="18"/>
  <c r="B312" i="18"/>
  <c r="B311" i="18"/>
  <c r="B310" i="18"/>
  <c r="B309" i="18"/>
  <c r="B308" i="18"/>
  <c r="B307" i="18"/>
  <c r="B306" i="18"/>
  <c r="B305" i="18"/>
  <c r="B304" i="18"/>
  <c r="B303" i="18"/>
  <c r="B302" i="18"/>
  <c r="B301" i="18"/>
  <c r="B300" i="18"/>
  <c r="B299" i="18"/>
  <c r="F298" i="18"/>
  <c r="B297" i="18"/>
  <c r="B296" i="18"/>
  <c r="B295" i="18"/>
  <c r="B294" i="18"/>
  <c r="B293" i="18"/>
  <c r="B292" i="18"/>
  <c r="B291" i="18"/>
  <c r="B290" i="18"/>
  <c r="B289" i="18"/>
  <c r="B288" i="18"/>
  <c r="B287" i="18"/>
  <c r="B286" i="18"/>
  <c r="B285" i="18"/>
  <c r="B283" i="18"/>
  <c r="B282" i="18"/>
  <c r="B281" i="18"/>
  <c r="F280" i="18"/>
  <c r="B279" i="18"/>
  <c r="B278" i="18"/>
  <c r="B277" i="18"/>
  <c r="B276" i="18"/>
  <c r="B275" i="18"/>
  <c r="B274" i="18"/>
  <c r="B273" i="18"/>
  <c r="B272" i="18"/>
  <c r="B271" i="18"/>
  <c r="B270" i="18"/>
  <c r="E269" i="18"/>
  <c r="B269" i="18"/>
  <c r="B268" i="18"/>
  <c r="B266" i="18"/>
  <c r="B265" i="18"/>
  <c r="B264" i="18"/>
  <c r="B263" i="18"/>
  <c r="B262" i="18"/>
  <c r="B261" i="18"/>
  <c r="B260" i="18"/>
  <c r="F259" i="18"/>
  <c r="B258" i="18"/>
  <c r="B257" i="18"/>
  <c r="E256" i="18"/>
  <c r="B256" i="18"/>
  <c r="E255" i="18"/>
  <c r="B255" i="18"/>
  <c r="B253" i="18"/>
  <c r="B252" i="18"/>
  <c r="B251" i="18"/>
  <c r="B250" i="18"/>
  <c r="F249" i="18"/>
  <c r="B248" i="18"/>
  <c r="B247" i="18"/>
  <c r="B246" i="18"/>
  <c r="B245" i="18"/>
  <c r="B244" i="18"/>
  <c r="B243" i="18"/>
  <c r="B242" i="18"/>
  <c r="B241" i="18"/>
  <c r="B240" i="18"/>
  <c r="B239" i="18"/>
  <c r="B238" i="18"/>
  <c r="B237" i="18"/>
  <c r="B236" i="18"/>
  <c r="B234" i="18"/>
  <c r="B233" i="18"/>
  <c r="B232" i="18"/>
  <c r="F231" i="18"/>
  <c r="B230" i="18"/>
  <c r="B229" i="18"/>
  <c r="B228" i="18"/>
  <c r="B227" i="18"/>
  <c r="B225" i="18"/>
  <c r="B224" i="18"/>
  <c r="B223" i="18"/>
  <c r="F222" i="18"/>
  <c r="B221" i="18"/>
  <c r="B220" i="18"/>
  <c r="B219" i="18"/>
  <c r="B218" i="18"/>
  <c r="B216" i="18"/>
  <c r="B215" i="18"/>
  <c r="B214" i="18"/>
  <c r="B213" i="18"/>
  <c r="B212" i="18"/>
  <c r="B211" i="18"/>
  <c r="B210" i="18"/>
  <c r="B209" i="18"/>
  <c r="B208" i="18"/>
  <c r="B207" i="18"/>
  <c r="B206" i="18"/>
  <c r="B205" i="18"/>
  <c r="B204" i="18"/>
  <c r="B203" i="18"/>
  <c r="B202" i="18"/>
  <c r="B201" i="18"/>
  <c r="B200" i="18"/>
  <c r="B199" i="18"/>
  <c r="B198" i="18"/>
  <c r="B197" i="18"/>
  <c r="F196" i="18"/>
  <c r="B195" i="18"/>
  <c r="B194" i="18"/>
  <c r="B193" i="18"/>
  <c r="B191" i="18"/>
  <c r="B190" i="18"/>
  <c r="B189" i="18"/>
  <c r="B188" i="18"/>
  <c r="B187" i="18"/>
  <c r="B186" i="18"/>
  <c r="B185" i="18"/>
  <c r="B184" i="18"/>
  <c r="F183" i="18"/>
  <c r="B182" i="18"/>
  <c r="B181" i="18"/>
  <c r="B180" i="18"/>
  <c r="B179" i="18"/>
  <c r="B178" i="18"/>
  <c r="B177" i="18"/>
  <c r="B176" i="18"/>
  <c r="B175" i="18"/>
  <c r="B174" i="18"/>
  <c r="B173" i="18"/>
  <c r="B172" i="18"/>
  <c r="B171" i="18"/>
  <c r="B169" i="18"/>
  <c r="B168" i="18"/>
  <c r="B167" i="18"/>
  <c r="B166" i="18"/>
  <c r="B165" i="18"/>
  <c r="E164" i="18"/>
  <c r="B164" i="18"/>
  <c r="B163" i="18"/>
  <c r="B162" i="18"/>
  <c r="B161" i="18"/>
  <c r="F160" i="18"/>
  <c r="B159" i="18"/>
  <c r="B158" i="18"/>
  <c r="B156" i="18"/>
  <c r="B155" i="18"/>
  <c r="B154" i="18"/>
  <c r="F153" i="18"/>
  <c r="B152" i="18"/>
  <c r="B151" i="18"/>
  <c r="B150" i="18"/>
  <c r="B149" i="18"/>
  <c r="B147" i="18"/>
  <c r="B146" i="18"/>
  <c r="B145" i="18"/>
  <c r="B144" i="18"/>
  <c r="B143" i="18"/>
  <c r="B142" i="18"/>
  <c r="F141" i="18"/>
  <c r="B140" i="18"/>
  <c r="B139" i="18"/>
  <c r="B138" i="18"/>
  <c r="B137" i="18"/>
  <c r="B135" i="18"/>
  <c r="B134" i="18"/>
  <c r="B133" i="18"/>
  <c r="B132" i="18"/>
  <c r="B131" i="18"/>
  <c r="F130" i="18"/>
  <c r="B129" i="18"/>
  <c r="B127" i="18"/>
  <c r="B126" i="18"/>
  <c r="B125" i="18"/>
  <c r="F124" i="18"/>
  <c r="B123" i="18"/>
  <c r="B122" i="18"/>
  <c r="B121" i="18"/>
  <c r="B120" i="18"/>
  <c r="B118" i="18"/>
  <c r="B117" i="18"/>
  <c r="B116" i="18"/>
  <c r="E115" i="18"/>
  <c r="B115" i="18"/>
  <c r="E114" i="18"/>
  <c r="B114" i="18"/>
  <c r="E113" i="18"/>
  <c r="B113" i="18"/>
  <c r="F112" i="18"/>
  <c r="B111" i="18"/>
  <c r="B109" i="18"/>
  <c r="B108" i="18"/>
  <c r="B107" i="18"/>
  <c r="B106" i="18"/>
  <c r="F105" i="18"/>
  <c r="B104" i="18"/>
  <c r="B103" i="18"/>
  <c r="B101" i="18"/>
  <c r="B100" i="18"/>
  <c r="B99" i="18"/>
  <c r="B98" i="18"/>
  <c r="F97" i="18"/>
  <c r="B96" i="18"/>
  <c r="B95" i="18"/>
  <c r="B93" i="18"/>
  <c r="B92" i="18"/>
  <c r="B91" i="18"/>
  <c r="F90" i="18"/>
  <c r="E89" i="18"/>
  <c r="B89" i="18"/>
  <c r="B87" i="18"/>
  <c r="B86" i="18"/>
  <c r="B85" i="18"/>
  <c r="F84" i="18"/>
  <c r="E83" i="18"/>
  <c r="B83" i="18"/>
  <c r="B81" i="18"/>
  <c r="B80" i="18"/>
  <c r="B79" i="18"/>
  <c r="B78" i="18"/>
  <c r="B77" i="18"/>
  <c r="F76" i="18"/>
  <c r="E75" i="18"/>
  <c r="B75" i="18"/>
  <c r="E74" i="18"/>
  <c r="B74" i="18"/>
  <c r="E73" i="18"/>
  <c r="B73" i="18"/>
  <c r="B72" i="18"/>
  <c r="B70" i="18"/>
  <c r="B69" i="18"/>
  <c r="B68" i="18"/>
  <c r="B67" i="18"/>
  <c r="B66" i="18"/>
  <c r="B65" i="18"/>
  <c r="B64" i="18"/>
  <c r="B63" i="18"/>
  <c r="F62" i="18"/>
  <c r="B61" i="18"/>
  <c r="B60" i="18"/>
  <c r="B59" i="18"/>
  <c r="B58" i="18"/>
  <c r="B57" i="18"/>
  <c r="B56" i="18"/>
  <c r="B55" i="18"/>
  <c r="B54" i="18"/>
  <c r="B52" i="18"/>
  <c r="B51" i="18"/>
  <c r="B50" i="18"/>
  <c r="B49" i="18"/>
  <c r="B48" i="18"/>
  <c r="B47" i="18"/>
  <c r="B46" i="18"/>
  <c r="F45" i="18"/>
  <c r="B44" i="18"/>
  <c r="B43" i="18"/>
  <c r="B42" i="18"/>
  <c r="B41" i="18"/>
  <c r="B40" i="18"/>
  <c r="B38" i="18"/>
  <c r="B37" i="18"/>
  <c r="F36" i="18"/>
  <c r="B35" i="18"/>
  <c r="B33" i="18"/>
  <c r="B32" i="18"/>
  <c r="F31" i="18"/>
  <c r="B30" i="18"/>
  <c r="B28" i="18"/>
  <c r="B27" i="18"/>
  <c r="B26" i="18"/>
  <c r="B25" i="18"/>
  <c r="F24" i="18"/>
  <c r="B23" i="18"/>
  <c r="B21" i="18"/>
  <c r="B20" i="18"/>
  <c r="F19" i="18"/>
  <c r="B18" i="18"/>
  <c r="B16" i="18"/>
  <c r="B15" i="18"/>
  <c r="B14" i="18"/>
  <c r="B13" i="18"/>
  <c r="B12" i="18"/>
  <c r="B11" i="18"/>
  <c r="F10" i="18"/>
  <c r="B9" i="18"/>
  <c r="B8" i="18"/>
  <c r="E7" i="18"/>
  <c r="B7" i="18"/>
  <c r="E6" i="18"/>
  <c r="B6" i="18"/>
  <c r="B4" i="18"/>
  <c r="B3" i="18"/>
  <c r="E276" i="61"/>
  <c r="E275" i="61"/>
  <c r="D275" i="61"/>
  <c r="B274" i="61"/>
  <c r="B273" i="61"/>
  <c r="F272" i="61"/>
  <c r="B271" i="61"/>
  <c r="B270" i="61"/>
  <c r="B269" i="61"/>
  <c r="B268" i="61"/>
  <c r="F267" i="61"/>
  <c r="B266" i="61"/>
  <c r="B265" i="61"/>
  <c r="B264" i="61"/>
  <c r="B263" i="61"/>
  <c r="F262" i="61"/>
  <c r="B261" i="61"/>
  <c r="B260" i="61"/>
  <c r="B259" i="61"/>
  <c r="B258" i="61"/>
  <c r="F257" i="61"/>
  <c r="B256" i="61"/>
  <c r="B255" i="61"/>
  <c r="B254" i="61"/>
  <c r="F253" i="61"/>
  <c r="B252" i="61"/>
  <c r="B251" i="61"/>
  <c r="B250" i="61"/>
  <c r="B249" i="61"/>
  <c r="B248" i="61"/>
  <c r="B247" i="61"/>
  <c r="F246" i="61"/>
  <c r="B245" i="61"/>
  <c r="B244" i="61"/>
  <c r="B243" i="61"/>
  <c r="F242" i="61"/>
  <c r="B241" i="61"/>
  <c r="F240" i="61"/>
  <c r="B239" i="61"/>
  <c r="F238" i="61"/>
  <c r="B237" i="61"/>
  <c r="F236" i="61"/>
  <c r="B235" i="61"/>
  <c r="F234" i="61"/>
  <c r="B233" i="61"/>
  <c r="B232" i="61"/>
  <c r="F231" i="61"/>
  <c r="B230" i="61"/>
  <c r="B229" i="61"/>
  <c r="B228" i="61"/>
  <c r="B227" i="61"/>
  <c r="B226" i="61"/>
  <c r="B225" i="61"/>
  <c r="F224" i="61"/>
  <c r="B223" i="61"/>
  <c r="B222" i="61"/>
  <c r="B221" i="61"/>
  <c r="B220" i="61"/>
  <c r="B219" i="61"/>
  <c r="F218" i="61"/>
  <c r="B217" i="61"/>
  <c r="B216" i="61"/>
  <c r="B215" i="61"/>
  <c r="B213" i="61"/>
  <c r="B212" i="61"/>
  <c r="F211" i="61"/>
  <c r="B210" i="61"/>
  <c r="B209" i="61"/>
  <c r="B208" i="61"/>
  <c r="B207" i="61"/>
  <c r="B206" i="61"/>
  <c r="B205" i="61"/>
  <c r="F204" i="61"/>
  <c r="B203" i="61"/>
  <c r="B202" i="61"/>
  <c r="B201" i="61"/>
  <c r="B200" i="61"/>
  <c r="F199" i="61"/>
  <c r="B198" i="61"/>
  <c r="B197" i="61"/>
  <c r="B196" i="61"/>
  <c r="B195" i="61"/>
  <c r="B194" i="61"/>
  <c r="F193" i="61"/>
  <c r="B192" i="61"/>
  <c r="B191" i="61"/>
  <c r="B190" i="61"/>
  <c r="B189" i="61"/>
  <c r="B188" i="61"/>
  <c r="B187" i="61"/>
  <c r="F186" i="61"/>
  <c r="B185" i="61"/>
  <c r="B184" i="61"/>
  <c r="B183" i="61"/>
  <c r="B182" i="61"/>
  <c r="B181" i="61"/>
  <c r="B180" i="61"/>
  <c r="B179" i="61"/>
  <c r="F178" i="61"/>
  <c r="B177" i="61"/>
  <c r="B176" i="61"/>
  <c r="B175" i="61"/>
  <c r="B174" i="61"/>
  <c r="B173" i="61"/>
  <c r="B172" i="61"/>
  <c r="F171" i="61"/>
  <c r="B170" i="61"/>
  <c r="B169" i="61"/>
  <c r="B168" i="61"/>
  <c r="B167" i="61"/>
  <c r="F166" i="61"/>
  <c r="B165" i="61"/>
  <c r="B164" i="61"/>
  <c r="B163" i="61"/>
  <c r="B162" i="61"/>
  <c r="B161" i="61"/>
  <c r="B160" i="61"/>
  <c r="F159" i="61"/>
  <c r="B158" i="61"/>
  <c r="B157" i="61"/>
  <c r="B156" i="61"/>
  <c r="B155" i="61"/>
  <c r="F154" i="61"/>
  <c r="B153" i="61"/>
  <c r="B152" i="61"/>
  <c r="B151" i="61"/>
  <c r="B150" i="61"/>
  <c r="B149" i="61"/>
  <c r="B148" i="61"/>
  <c r="B147" i="61"/>
  <c r="F146" i="61"/>
  <c r="B145" i="61"/>
  <c r="B144" i="61"/>
  <c r="B143" i="61"/>
  <c r="B142" i="61"/>
  <c r="B141" i="61"/>
  <c r="B140" i="61"/>
  <c r="B139" i="61"/>
  <c r="B138" i="61"/>
  <c r="B137" i="61"/>
  <c r="B136" i="61"/>
  <c r="F135" i="61"/>
  <c r="B134" i="61"/>
  <c r="B133" i="61"/>
  <c r="B132" i="61"/>
  <c r="B131" i="61"/>
  <c r="B130" i="61"/>
  <c r="B129" i="61"/>
  <c r="B128" i="61"/>
  <c r="B127" i="61"/>
  <c r="B126" i="61"/>
  <c r="B125" i="61"/>
  <c r="B124" i="61"/>
  <c r="B123" i="61"/>
  <c r="F122" i="61"/>
  <c r="B121" i="61"/>
  <c r="B120" i="61"/>
  <c r="B119" i="61"/>
  <c r="B118" i="61"/>
  <c r="B117" i="61"/>
  <c r="B116" i="61"/>
  <c r="B115" i="61"/>
  <c r="F114" i="61"/>
  <c r="B113" i="61"/>
  <c r="B112" i="61"/>
  <c r="B111" i="61"/>
  <c r="B110" i="61"/>
  <c r="B109" i="61"/>
  <c r="F108" i="61"/>
  <c r="B107" i="61"/>
  <c r="B106" i="61"/>
  <c r="B105" i="61"/>
  <c r="B104" i="61"/>
  <c r="B103" i="61"/>
  <c r="B102" i="61"/>
  <c r="B101" i="61"/>
  <c r="B100" i="61"/>
  <c r="B99" i="61"/>
  <c r="B98" i="61"/>
  <c r="F97" i="61"/>
  <c r="B96" i="61"/>
  <c r="B95" i="61"/>
  <c r="B94" i="61"/>
  <c r="B93" i="61"/>
  <c r="B92" i="61"/>
  <c r="F91" i="61"/>
  <c r="B90" i="61"/>
  <c r="B89" i="61"/>
  <c r="B88" i="61"/>
  <c r="B87" i="61"/>
  <c r="B86" i="61"/>
  <c r="B85" i="61"/>
  <c r="B84" i="61"/>
  <c r="B83" i="61"/>
  <c r="F82" i="61"/>
  <c r="B81" i="61"/>
  <c r="B80" i="61"/>
  <c r="B79" i="61"/>
  <c r="B78" i="61"/>
  <c r="B77" i="61"/>
  <c r="B76" i="61"/>
  <c r="B75" i="61"/>
  <c r="B74" i="61"/>
  <c r="F73" i="61"/>
  <c r="B72" i="61"/>
  <c r="B71" i="61"/>
  <c r="B70" i="61"/>
  <c r="B69" i="61"/>
  <c r="B68" i="61"/>
  <c r="F67" i="61"/>
  <c r="B66" i="61"/>
  <c r="B65" i="61"/>
  <c r="B64" i="61"/>
  <c r="F63" i="61"/>
  <c r="B62" i="61"/>
  <c r="B61" i="61"/>
  <c r="B60" i="61"/>
  <c r="B59" i="61"/>
  <c r="F58" i="61"/>
  <c r="B57" i="61"/>
  <c r="B56" i="61"/>
  <c r="B55" i="61"/>
  <c r="B54" i="61"/>
  <c r="B53" i="61"/>
  <c r="F52" i="61"/>
  <c r="B51" i="61"/>
  <c r="B50" i="61"/>
  <c r="B49" i="61"/>
  <c r="B48" i="61"/>
  <c r="B47" i="61"/>
  <c r="F46" i="61"/>
  <c r="B45" i="61"/>
  <c r="B44" i="61"/>
  <c r="B43" i="61"/>
  <c r="B42" i="61"/>
  <c r="B41" i="61"/>
  <c r="B40" i="61"/>
  <c r="F39" i="61"/>
  <c r="B38" i="61"/>
  <c r="B37" i="61"/>
  <c r="B36" i="61"/>
  <c r="B35" i="61"/>
  <c r="F34" i="61"/>
  <c r="B33" i="61"/>
  <c r="B32" i="61"/>
  <c r="B31" i="61"/>
  <c r="B30" i="61"/>
  <c r="B29" i="61"/>
  <c r="F28" i="61"/>
  <c r="B27" i="61"/>
  <c r="B26" i="61"/>
  <c r="B25" i="61"/>
  <c r="F24" i="61"/>
  <c r="B23" i="61"/>
  <c r="B22" i="61"/>
  <c r="F21" i="61"/>
  <c r="B20" i="61"/>
  <c r="B19" i="61"/>
  <c r="B18" i="61"/>
  <c r="F17" i="61"/>
  <c r="B16" i="61"/>
  <c r="B15" i="61"/>
  <c r="B14" i="61"/>
  <c r="F13" i="61"/>
  <c r="B12" i="61"/>
  <c r="B11" i="61"/>
  <c r="B9" i="61"/>
  <c r="F8" i="61"/>
  <c r="B7" i="61"/>
  <c r="B6" i="61"/>
  <c r="B5" i="61"/>
  <c r="B4" i="61"/>
  <c r="B3" i="61"/>
  <c r="B2" i="61"/>
  <c r="E4608" i="13"/>
  <c r="D4605" i="13"/>
  <c r="B17" i="8"/>
  <c r="B4599" i="13"/>
  <c r="B4598" i="13"/>
  <c r="B4596" i="13"/>
  <c r="B4595" i="13"/>
  <c r="B4593" i="13"/>
  <c r="B4592" i="13"/>
  <c r="B4591" i="13"/>
  <c r="B4590" i="13"/>
  <c r="B4588" i="13"/>
  <c r="B4587" i="13"/>
  <c r="B4586" i="13"/>
  <c r="B4584" i="13"/>
  <c r="B4583" i="13"/>
  <c r="B4581" i="13"/>
  <c r="B4579" i="13"/>
  <c r="B4578" i="13"/>
  <c r="B4577" i="13"/>
  <c r="B4575" i="13"/>
  <c r="B4574" i="13"/>
  <c r="B4573" i="13"/>
  <c r="B4571" i="13"/>
  <c r="B4570" i="13"/>
  <c r="B4569" i="13"/>
  <c r="B4567" i="13"/>
  <c r="B4566" i="13"/>
  <c r="B4565" i="13"/>
  <c r="B4564" i="13"/>
  <c r="B4562" i="13"/>
  <c r="B4561" i="13"/>
  <c r="B4560" i="13"/>
  <c r="B4559" i="13"/>
  <c r="B4557" i="13"/>
  <c r="B4556" i="13"/>
  <c r="B4555" i="13"/>
  <c r="B4554" i="13"/>
  <c r="B4553" i="13"/>
  <c r="B4551" i="13"/>
  <c r="B4550" i="13"/>
  <c r="B4549" i="13"/>
  <c r="B4548" i="13"/>
  <c r="B4547" i="13"/>
  <c r="B4546" i="13"/>
  <c r="B4545" i="13"/>
  <c r="B4543" i="13"/>
  <c r="B4542" i="13"/>
  <c r="F4541" i="13"/>
  <c r="B4541" i="13"/>
  <c r="B4540" i="13"/>
  <c r="B4539" i="13"/>
  <c r="B4538" i="13"/>
  <c r="B4537" i="13"/>
  <c r="B4536" i="13"/>
  <c r="E4535" i="13"/>
  <c r="B4535" i="13"/>
  <c r="B4534" i="13"/>
  <c r="B4533" i="13"/>
  <c r="B4532" i="13"/>
  <c r="B4531" i="13"/>
  <c r="B4530" i="13"/>
  <c r="B4528" i="13"/>
  <c r="B4527" i="13"/>
  <c r="B4526" i="13"/>
  <c r="B4525" i="13"/>
  <c r="B4523" i="13"/>
  <c r="B4522" i="13"/>
  <c r="B4521" i="13"/>
  <c r="B4520" i="13"/>
  <c r="B4518" i="13"/>
  <c r="B4517" i="13"/>
  <c r="B4515" i="13"/>
  <c r="B4513" i="13"/>
  <c r="B4512" i="13"/>
  <c r="B4511" i="13"/>
  <c r="B4510" i="13"/>
  <c r="B4508" i="13"/>
  <c r="B4506" i="13"/>
  <c r="B4504" i="13"/>
  <c r="B4503" i="13"/>
  <c r="B4501" i="13"/>
  <c r="B4500" i="13"/>
  <c r="B4499" i="13"/>
  <c r="B4498" i="13"/>
  <c r="B4496" i="13"/>
  <c r="B4495" i="13"/>
  <c r="B4494" i="13"/>
  <c r="B4492" i="13"/>
  <c r="B4491" i="13"/>
  <c r="B4490" i="13"/>
  <c r="B4489" i="13"/>
  <c r="B4487" i="13"/>
  <c r="B4486" i="13"/>
  <c r="B4485" i="13"/>
  <c r="B4483" i="13"/>
  <c r="B4482" i="13"/>
  <c r="B4481" i="13"/>
  <c r="B4480" i="13"/>
  <c r="B4478" i="13"/>
  <c r="B4477" i="13"/>
  <c r="B4476" i="13"/>
  <c r="B4475" i="13"/>
  <c r="B4474" i="13"/>
  <c r="B4473" i="13"/>
  <c r="B4472" i="13"/>
  <c r="B4471" i="13"/>
  <c r="E4470" i="13"/>
  <c r="B4470" i="13"/>
  <c r="E4469" i="13"/>
  <c r="B4469" i="13"/>
  <c r="B4468" i="13"/>
  <c r="B4467" i="13"/>
  <c r="B4466" i="13"/>
  <c r="B4465" i="13"/>
  <c r="B4464" i="13"/>
  <c r="B4463" i="13"/>
  <c r="B4462" i="13"/>
  <c r="B4461" i="13"/>
  <c r="B4460" i="13"/>
  <c r="B4459" i="13"/>
  <c r="B4458" i="13"/>
  <c r="B4457" i="13"/>
  <c r="B4456" i="13"/>
  <c r="B4455" i="13"/>
  <c r="F4454" i="13"/>
  <c r="B4454" i="13"/>
  <c r="B4453" i="13"/>
  <c r="B4452" i="13"/>
  <c r="B4451" i="13"/>
  <c r="B4450" i="13"/>
  <c r="B4449" i="13"/>
  <c r="B4448" i="13"/>
  <c r="B4447" i="13"/>
  <c r="B4446" i="13"/>
  <c r="B4445" i="13"/>
  <c r="B4444" i="13"/>
  <c r="B4443" i="13"/>
  <c r="E4442" i="13"/>
  <c r="B4442" i="13"/>
  <c r="B4441" i="13"/>
  <c r="E4440" i="13"/>
  <c r="B4440" i="13"/>
  <c r="B4439" i="13"/>
  <c r="B4438" i="13"/>
  <c r="B4437" i="13"/>
  <c r="B4436" i="13"/>
  <c r="B4435" i="13"/>
  <c r="F4434" i="13"/>
  <c r="B4434" i="13"/>
  <c r="B4433" i="13"/>
  <c r="B4432" i="13"/>
  <c r="B4431" i="13"/>
  <c r="B4430" i="13"/>
  <c r="B4429" i="13"/>
  <c r="B4428" i="13"/>
  <c r="B4427" i="13"/>
  <c r="B4426" i="13"/>
  <c r="F4425" i="13"/>
  <c r="B4425" i="13"/>
  <c r="B4424" i="13"/>
  <c r="B4423" i="13"/>
  <c r="B4422" i="13"/>
  <c r="B4421" i="13"/>
  <c r="B4420" i="13"/>
  <c r="E4419" i="13"/>
  <c r="B4419" i="13"/>
  <c r="B4418" i="13"/>
  <c r="B4417" i="13"/>
  <c r="B4416" i="13"/>
  <c r="B4415" i="13"/>
  <c r="B4414" i="13"/>
  <c r="B4413" i="13"/>
  <c r="B4411" i="13"/>
  <c r="B4410" i="13"/>
  <c r="B4409" i="13"/>
  <c r="B4408" i="13"/>
  <c r="B4407" i="13"/>
  <c r="B4406" i="13"/>
  <c r="B4405" i="13"/>
  <c r="B4404" i="13"/>
  <c r="B4403" i="13"/>
  <c r="B4402" i="13"/>
  <c r="B4401" i="13"/>
  <c r="B4400" i="13"/>
  <c r="B4399" i="13"/>
  <c r="B4398" i="13"/>
  <c r="B4397" i="13"/>
  <c r="B4396" i="13"/>
  <c r="B4395" i="13"/>
  <c r="B4394" i="13"/>
  <c r="B4393" i="13"/>
  <c r="B4392" i="13"/>
  <c r="B4391" i="13"/>
  <c r="B4390" i="13"/>
  <c r="B4389" i="13"/>
  <c r="B4388" i="13"/>
  <c r="B4387" i="13"/>
  <c r="B4386" i="13"/>
  <c r="B4385" i="13"/>
  <c r="B4384" i="13"/>
  <c r="B4383" i="13"/>
  <c r="B4382" i="13"/>
  <c r="B4381" i="13"/>
  <c r="E4380" i="13"/>
  <c r="B4380" i="13"/>
  <c r="B4379" i="13"/>
  <c r="B4378" i="13"/>
  <c r="B4377" i="13"/>
  <c r="E4376" i="13"/>
  <c r="B4376" i="13"/>
  <c r="E4375" i="13"/>
  <c r="B4375" i="13"/>
  <c r="E4374" i="13"/>
  <c r="B4374" i="13"/>
  <c r="B4373" i="13"/>
  <c r="B4372" i="13"/>
  <c r="B4371" i="13"/>
  <c r="B4370" i="13"/>
  <c r="B4369" i="13"/>
  <c r="B4368" i="13"/>
  <c r="B4367" i="13"/>
  <c r="B4366" i="13"/>
  <c r="B4365" i="13"/>
  <c r="B4364" i="13"/>
  <c r="B4363" i="13"/>
  <c r="E4362" i="13"/>
  <c r="B4362" i="13"/>
  <c r="E4361" i="13"/>
  <c r="B4361" i="13"/>
  <c r="B4360" i="13"/>
  <c r="B4359" i="13"/>
  <c r="B4358" i="13"/>
  <c r="B4357" i="13"/>
  <c r="B4356" i="13"/>
  <c r="B4355" i="13"/>
  <c r="B4354" i="13"/>
  <c r="B4353" i="13"/>
  <c r="B4352" i="13"/>
  <c r="B4351" i="13"/>
  <c r="F4350" i="13"/>
  <c r="B4350" i="13"/>
  <c r="B4349" i="13"/>
  <c r="B4348" i="13"/>
  <c r="B4347" i="13"/>
  <c r="B4346" i="13"/>
  <c r="B4345" i="13"/>
  <c r="B4344" i="13"/>
  <c r="F4343" i="13"/>
  <c r="B4343" i="13"/>
  <c r="B4342" i="13"/>
  <c r="B4341" i="13"/>
  <c r="B4340" i="13"/>
  <c r="B4339" i="13"/>
  <c r="B4338" i="13"/>
  <c r="B4337" i="13"/>
  <c r="B4336" i="13"/>
  <c r="B4335" i="13"/>
  <c r="B4334" i="13"/>
  <c r="B4333" i="13"/>
  <c r="B4332" i="13"/>
  <c r="B4331" i="13"/>
  <c r="B4330" i="13"/>
  <c r="B4329" i="13"/>
  <c r="B4328" i="13"/>
  <c r="B4327" i="13"/>
  <c r="B4326" i="13"/>
  <c r="B4325" i="13"/>
  <c r="B4324" i="13"/>
  <c r="B4323" i="13"/>
  <c r="B4322" i="13"/>
  <c r="B4321" i="13"/>
  <c r="B4320" i="13"/>
  <c r="B4319" i="13"/>
  <c r="B4318" i="13"/>
  <c r="B4317" i="13"/>
  <c r="B4316" i="13"/>
  <c r="B4315" i="13"/>
  <c r="B4314" i="13"/>
  <c r="B4313" i="13"/>
  <c r="B4312" i="13"/>
  <c r="B4311" i="13"/>
  <c r="B4310" i="13"/>
  <c r="B4309" i="13"/>
  <c r="F4308" i="13"/>
  <c r="B4308" i="13"/>
  <c r="B4307" i="13"/>
  <c r="B4306" i="13"/>
  <c r="B4305" i="13"/>
  <c r="B4304" i="13"/>
  <c r="B4303" i="13"/>
  <c r="B4302" i="13"/>
  <c r="B4301" i="13"/>
  <c r="B4300" i="13"/>
  <c r="B4299" i="13"/>
  <c r="B4298" i="13"/>
  <c r="B4297" i="13"/>
  <c r="B4296" i="13"/>
  <c r="B4295" i="13"/>
  <c r="B4294" i="13"/>
  <c r="B4293" i="13"/>
  <c r="B4292" i="13"/>
  <c r="B4291" i="13"/>
  <c r="B4290" i="13"/>
  <c r="B4289" i="13"/>
  <c r="E4288" i="13"/>
  <c r="B4288" i="13"/>
  <c r="B4287" i="13"/>
  <c r="B4285" i="13"/>
  <c r="B4284" i="13"/>
  <c r="B4282" i="13"/>
  <c r="B4281" i="13"/>
  <c r="B4280" i="13"/>
  <c r="B4279" i="13"/>
  <c r="B4278" i="13"/>
  <c r="B4283" i="13"/>
  <c r="B4277" i="13"/>
  <c r="B4276" i="13"/>
  <c r="B4275" i="13"/>
  <c r="B4274" i="13"/>
  <c r="B4273" i="13"/>
  <c r="B4272" i="13"/>
  <c r="B4271" i="13"/>
  <c r="B4270" i="13"/>
  <c r="B4269" i="13"/>
  <c r="E4268" i="13"/>
  <c r="B4268" i="13"/>
  <c r="B4267" i="13"/>
  <c r="B4266" i="13"/>
  <c r="B4265" i="13"/>
  <c r="B4264" i="13"/>
  <c r="B4263" i="13"/>
  <c r="B4262" i="13"/>
  <c r="B4261" i="13"/>
  <c r="B4260" i="13"/>
  <c r="B4259" i="13"/>
  <c r="B4258" i="13"/>
  <c r="B4257" i="13"/>
  <c r="B4256" i="13"/>
  <c r="B4255" i="13"/>
  <c r="B4254" i="13"/>
  <c r="F4253" i="13"/>
  <c r="B4253" i="13"/>
  <c r="B4252" i="13"/>
  <c r="B4251" i="13"/>
  <c r="B4250" i="13"/>
  <c r="B4249" i="13"/>
  <c r="B4248" i="13"/>
  <c r="B4247" i="13"/>
  <c r="E4246" i="13"/>
  <c r="B4246" i="13"/>
  <c r="B4245" i="13"/>
  <c r="B4244" i="13"/>
  <c r="B4243" i="13"/>
  <c r="B4242" i="13"/>
  <c r="B4241" i="13"/>
  <c r="B4240" i="13"/>
  <c r="B4239" i="13"/>
  <c r="B4238" i="13"/>
  <c r="B4237" i="13"/>
  <c r="B4236" i="13"/>
  <c r="B4235" i="13"/>
  <c r="E4234" i="13"/>
  <c r="B4234" i="13"/>
  <c r="E4233" i="13"/>
  <c r="B4233" i="13"/>
  <c r="B4232" i="13"/>
  <c r="B4231" i="13"/>
  <c r="B4230" i="13"/>
  <c r="B4229" i="13"/>
  <c r="B4228" i="13"/>
  <c r="B4227" i="13"/>
  <c r="B4226" i="13"/>
  <c r="B4225" i="13"/>
  <c r="B4224" i="13"/>
  <c r="B4223" i="13"/>
  <c r="B4222" i="13"/>
  <c r="B4221" i="13"/>
  <c r="F4220" i="13"/>
  <c r="B4220" i="13"/>
  <c r="B4219" i="13"/>
  <c r="B4218" i="13"/>
  <c r="B4217" i="13"/>
  <c r="B4216" i="13"/>
  <c r="F4215" i="13"/>
  <c r="B4215" i="13"/>
  <c r="B4214" i="13"/>
  <c r="E4213" i="13"/>
  <c r="B4213" i="13"/>
  <c r="B4212" i="13"/>
  <c r="B4211" i="13"/>
  <c r="B4210" i="13"/>
  <c r="B4208" i="13"/>
  <c r="B4207" i="13"/>
  <c r="F4206" i="13"/>
  <c r="B4206" i="13"/>
  <c r="B4205" i="13"/>
  <c r="B4204" i="13"/>
  <c r="B4203" i="13"/>
  <c r="B4202" i="13"/>
  <c r="B4201" i="13"/>
  <c r="B4200" i="13"/>
  <c r="B4199" i="13"/>
  <c r="B4198" i="13"/>
  <c r="B4197" i="13"/>
  <c r="B4196" i="13"/>
  <c r="B4195" i="13"/>
  <c r="B4194" i="13"/>
  <c r="B4193" i="13"/>
  <c r="B4192" i="13"/>
  <c r="B4191" i="13"/>
  <c r="B4190" i="13"/>
  <c r="B4189" i="13"/>
  <c r="B4188" i="13"/>
  <c r="B4187" i="13"/>
  <c r="B4186" i="13"/>
  <c r="B4185" i="13"/>
  <c r="B4184" i="13"/>
  <c r="B4183" i="13"/>
  <c r="B4182" i="13"/>
  <c r="B4181" i="13"/>
  <c r="B4180" i="13"/>
  <c r="B4179" i="13"/>
  <c r="B4178" i="13"/>
  <c r="F4177" i="13"/>
  <c r="B4177" i="13"/>
  <c r="E4176" i="13"/>
  <c r="B4176" i="13"/>
  <c r="B4175" i="13"/>
  <c r="B4174" i="13"/>
  <c r="B4173" i="13"/>
  <c r="B4172" i="13"/>
  <c r="B4171" i="13"/>
  <c r="B4170" i="13"/>
  <c r="B4169" i="13"/>
  <c r="B4168" i="13"/>
  <c r="B4167" i="13"/>
  <c r="B4166" i="13"/>
  <c r="B4165" i="13"/>
  <c r="B4164" i="13"/>
  <c r="B4163" i="13"/>
  <c r="B4162" i="13"/>
  <c r="B4161" i="13"/>
  <c r="B4160" i="13"/>
  <c r="B4159" i="13"/>
  <c r="B4158" i="13"/>
  <c r="B4157" i="13"/>
  <c r="B4156" i="13"/>
  <c r="B4155" i="13"/>
  <c r="B4154" i="13"/>
  <c r="B4153" i="13"/>
  <c r="E4152" i="13"/>
  <c r="B4152" i="13"/>
  <c r="E4151" i="13"/>
  <c r="B4151" i="13"/>
  <c r="B4150" i="13"/>
  <c r="B4149" i="13"/>
  <c r="B4148" i="13"/>
  <c r="B4147" i="13"/>
  <c r="B4146" i="13"/>
  <c r="B4145" i="13"/>
  <c r="E4144" i="13"/>
  <c r="B4144" i="13"/>
  <c r="B4143" i="13"/>
  <c r="B4142" i="13"/>
  <c r="B4141" i="13"/>
  <c r="B4140" i="13"/>
  <c r="F4139" i="13"/>
  <c r="B4139" i="13"/>
  <c r="B4138" i="13"/>
  <c r="B4137" i="13"/>
  <c r="B4136" i="13"/>
  <c r="B4135" i="13"/>
  <c r="F4134" i="13"/>
  <c r="B4134" i="13"/>
  <c r="B4133" i="13"/>
  <c r="B4132" i="13"/>
  <c r="B4131" i="13"/>
  <c r="B4129" i="13"/>
  <c r="B4128" i="13"/>
  <c r="B4127" i="13"/>
  <c r="B4126" i="13"/>
  <c r="B4125" i="13"/>
  <c r="B4124" i="13"/>
  <c r="B4123" i="13"/>
  <c r="B4122" i="13"/>
  <c r="B4121" i="13"/>
  <c r="B4120" i="13"/>
  <c r="B4119" i="13"/>
  <c r="B4118" i="13"/>
  <c r="B4117" i="13"/>
  <c r="E4116" i="13"/>
  <c r="B4116" i="13"/>
  <c r="B4115" i="13"/>
  <c r="B4114" i="13"/>
  <c r="B4113" i="13"/>
  <c r="B4112" i="13"/>
  <c r="B4111" i="13"/>
  <c r="B4110" i="13"/>
  <c r="B4109" i="13"/>
  <c r="B4108" i="13"/>
  <c r="B4107" i="13"/>
  <c r="B4106" i="13"/>
  <c r="B4105" i="13"/>
  <c r="B4104" i="13"/>
  <c r="B4103" i="13"/>
  <c r="B4102" i="13"/>
  <c r="B4100" i="13"/>
  <c r="B4099" i="13"/>
  <c r="B4101" i="13"/>
  <c r="B4098" i="13"/>
  <c r="B4097" i="13"/>
  <c r="B4096" i="13"/>
  <c r="B4095" i="13"/>
  <c r="B4094" i="13"/>
  <c r="B4093" i="13"/>
  <c r="B4092" i="13"/>
  <c r="B4091" i="13"/>
  <c r="B4090" i="13"/>
  <c r="B4089" i="13"/>
  <c r="B4088" i="13"/>
  <c r="E4087" i="13"/>
  <c r="B4087" i="13"/>
  <c r="E4086" i="13"/>
  <c r="B4086" i="13"/>
  <c r="B4085" i="13"/>
  <c r="F4084" i="13"/>
  <c r="B4084" i="13"/>
  <c r="B4083" i="13"/>
  <c r="B4082" i="13"/>
  <c r="B4081" i="13"/>
  <c r="B4080" i="13"/>
  <c r="B4079" i="13"/>
  <c r="B4078" i="13"/>
  <c r="B4077" i="13"/>
  <c r="E4076" i="13"/>
  <c r="B4076" i="13"/>
  <c r="B4075" i="13"/>
  <c r="B4074" i="13"/>
  <c r="B4073" i="13"/>
  <c r="B4072" i="13"/>
  <c r="B4071" i="13"/>
  <c r="B4070" i="13"/>
  <c r="B4069" i="13"/>
  <c r="B4068" i="13"/>
  <c r="B4067" i="13"/>
  <c r="B4066" i="13"/>
  <c r="F4065" i="13"/>
  <c r="E4065" i="13"/>
  <c r="B4065" i="13"/>
  <c r="B4064" i="13"/>
  <c r="B4063" i="13"/>
  <c r="B4062" i="13"/>
  <c r="B4061" i="13"/>
  <c r="B4060" i="13"/>
  <c r="B4059" i="13"/>
  <c r="B4058" i="13"/>
  <c r="B4057" i="13"/>
  <c r="B4056" i="13"/>
  <c r="E4055" i="13"/>
  <c r="B4055" i="13"/>
  <c r="B4054" i="13"/>
  <c r="B4053" i="13"/>
  <c r="E4052" i="13"/>
  <c r="B4052" i="13"/>
  <c r="B4051" i="13"/>
  <c r="F4050" i="13"/>
  <c r="B4050" i="13"/>
  <c r="B4049" i="13"/>
  <c r="B4048" i="13"/>
  <c r="B4047" i="13"/>
  <c r="B4046" i="13"/>
  <c r="B4045" i="13"/>
  <c r="F4044" i="13"/>
  <c r="B4044" i="13"/>
  <c r="B4043" i="13"/>
  <c r="B4042" i="13"/>
  <c r="B4041" i="13"/>
  <c r="B4040" i="13"/>
  <c r="B4038" i="13"/>
  <c r="B4037" i="13"/>
  <c r="B4036" i="13"/>
  <c r="B4035" i="13"/>
  <c r="B4034" i="13"/>
  <c r="B4033" i="13"/>
  <c r="E4032" i="13"/>
  <c r="B4032" i="13"/>
  <c r="B4031" i="13"/>
  <c r="B4030" i="13"/>
  <c r="B4029" i="13"/>
  <c r="B4028" i="13"/>
  <c r="B4027" i="13"/>
  <c r="B4026" i="13"/>
  <c r="B4025" i="13"/>
  <c r="B4024" i="13"/>
  <c r="B4023" i="13"/>
  <c r="F4022" i="13"/>
  <c r="B4022" i="13"/>
  <c r="B4021" i="13"/>
  <c r="B4020" i="13"/>
  <c r="E4019" i="13"/>
  <c r="B4019" i="13"/>
  <c r="E4018" i="13"/>
  <c r="B4018" i="13"/>
  <c r="B4017" i="13"/>
  <c r="B4016" i="13"/>
  <c r="E4015" i="13"/>
  <c r="B4015" i="13"/>
  <c r="B4014" i="13"/>
  <c r="B4013" i="13"/>
  <c r="B4012" i="13"/>
  <c r="F4011" i="13"/>
  <c r="B4011" i="13"/>
  <c r="B4010" i="13"/>
  <c r="B4009" i="13"/>
  <c r="B4008" i="13"/>
  <c r="F4007" i="13"/>
  <c r="B4007" i="13"/>
  <c r="E4006" i="13"/>
  <c r="B4006" i="13"/>
  <c r="B4005" i="13"/>
  <c r="B4004" i="13"/>
  <c r="B4003" i="13"/>
  <c r="B4002" i="13"/>
  <c r="B4001" i="13"/>
  <c r="B4000" i="13"/>
  <c r="B3999" i="13"/>
  <c r="F3998" i="13"/>
  <c r="B3998" i="13"/>
  <c r="B3997" i="13"/>
  <c r="B3996" i="13"/>
  <c r="B3995" i="13"/>
  <c r="B3994" i="13"/>
  <c r="F3993" i="13"/>
  <c r="B3993" i="13"/>
  <c r="B3992" i="13"/>
  <c r="E3991" i="13"/>
  <c r="B3991" i="13"/>
  <c r="B3990" i="13"/>
  <c r="B3989" i="13"/>
  <c r="B3987" i="13"/>
  <c r="B3986" i="13"/>
  <c r="B3985" i="13"/>
  <c r="B3984" i="13"/>
  <c r="B3983" i="13"/>
  <c r="B3982" i="13"/>
  <c r="B3981" i="13"/>
  <c r="B3980" i="13"/>
  <c r="B3979" i="13"/>
  <c r="B3978" i="13"/>
  <c r="B3977" i="13"/>
  <c r="B3976" i="13"/>
  <c r="B3975" i="13"/>
  <c r="F3974" i="13"/>
  <c r="E3974" i="13"/>
  <c r="B3974" i="13"/>
  <c r="E3973" i="13"/>
  <c r="B3973" i="13"/>
  <c r="B3972" i="13"/>
  <c r="B3971" i="13"/>
  <c r="B3970" i="13"/>
  <c r="B3969" i="13"/>
  <c r="B3968" i="13"/>
  <c r="B3967" i="13"/>
  <c r="B3966" i="13"/>
  <c r="B3965" i="13"/>
  <c r="B3964" i="13"/>
  <c r="B3963" i="13"/>
  <c r="B3962" i="13"/>
  <c r="F3961" i="13"/>
  <c r="B3961" i="13"/>
  <c r="B3960" i="13"/>
  <c r="B3959" i="13"/>
  <c r="B3958" i="13"/>
  <c r="B3957" i="13"/>
  <c r="B3956" i="13"/>
  <c r="B3955" i="13"/>
  <c r="B3954" i="13"/>
  <c r="F3953" i="13"/>
  <c r="B3953" i="13"/>
  <c r="B3952" i="13"/>
  <c r="B3951" i="13"/>
  <c r="B3950" i="13"/>
  <c r="B3949" i="13"/>
  <c r="B3948" i="13"/>
  <c r="B3947" i="13"/>
  <c r="B3946" i="13"/>
  <c r="B3945" i="13"/>
  <c r="B3944" i="13"/>
  <c r="F3943" i="13"/>
  <c r="B3943" i="13"/>
  <c r="B3942" i="13"/>
  <c r="B3941" i="13"/>
  <c r="B3940" i="13"/>
  <c r="B3939" i="13"/>
  <c r="B3938" i="13"/>
  <c r="B3937" i="13"/>
  <c r="B3936" i="13"/>
  <c r="B3935" i="13"/>
  <c r="B3934" i="13"/>
  <c r="B3933" i="13"/>
  <c r="B3932" i="13"/>
  <c r="B3931" i="13"/>
  <c r="B3930" i="13"/>
  <c r="B3929" i="13"/>
  <c r="B3928" i="13"/>
  <c r="F3927" i="13"/>
  <c r="B3927" i="13"/>
  <c r="B3926" i="13"/>
  <c r="B3925" i="13"/>
  <c r="F3924" i="13"/>
  <c r="B3924" i="13"/>
  <c r="B3923" i="13"/>
  <c r="B3922" i="13"/>
  <c r="B3920" i="13"/>
  <c r="B3919" i="13"/>
  <c r="B3918" i="13"/>
  <c r="B3917" i="13"/>
  <c r="B3916" i="13"/>
  <c r="B3915" i="13"/>
  <c r="B3914" i="13"/>
  <c r="B3913" i="13"/>
  <c r="B3912" i="13"/>
  <c r="B3911" i="13"/>
  <c r="B3910" i="13"/>
  <c r="B3909" i="13"/>
  <c r="B3908" i="13"/>
  <c r="B3907" i="13"/>
  <c r="B3906" i="13"/>
  <c r="B3905" i="13"/>
  <c r="B3904" i="13"/>
  <c r="B3903" i="13"/>
  <c r="B3902" i="13"/>
  <c r="B3901" i="13"/>
  <c r="B3900" i="13"/>
  <c r="B3899" i="13"/>
  <c r="B3898" i="13"/>
  <c r="F3897" i="13"/>
  <c r="B3897" i="13"/>
  <c r="B3896" i="13"/>
  <c r="B3895" i="13"/>
  <c r="B3894" i="13"/>
  <c r="B3893" i="13"/>
  <c r="B3892" i="13"/>
  <c r="B3891" i="13"/>
  <c r="B3890" i="13"/>
  <c r="B3889" i="13"/>
  <c r="B3888" i="13"/>
  <c r="F3887" i="13"/>
  <c r="B3887" i="13"/>
  <c r="B3886" i="13"/>
  <c r="B3885" i="13"/>
  <c r="B3884" i="13"/>
  <c r="B3883" i="13"/>
  <c r="B3882" i="13"/>
  <c r="B3881" i="13"/>
  <c r="B3880" i="13"/>
  <c r="F3879" i="13"/>
  <c r="B3879" i="13"/>
  <c r="E3878" i="13"/>
  <c r="B3878" i="13"/>
  <c r="B3877" i="13"/>
  <c r="B3876" i="13"/>
  <c r="B3875" i="13"/>
  <c r="B3874" i="13"/>
  <c r="B3873" i="13"/>
  <c r="B3872" i="13"/>
  <c r="B3871" i="13"/>
  <c r="B3870" i="13"/>
  <c r="B3869" i="13"/>
  <c r="B3868" i="13"/>
  <c r="B3867" i="13"/>
  <c r="E3866" i="13"/>
  <c r="F3866" i="13"/>
  <c r="B3866" i="13"/>
  <c r="E3865" i="13"/>
  <c r="B3865" i="13"/>
  <c r="B3864" i="13"/>
  <c r="F3863" i="13"/>
  <c r="B3863" i="13"/>
  <c r="B3862" i="13"/>
  <c r="B3861" i="13"/>
  <c r="B3860" i="13"/>
  <c r="B3859" i="13"/>
  <c r="B3858" i="13"/>
  <c r="F3857" i="13"/>
  <c r="B3857" i="13"/>
  <c r="B3856" i="13"/>
  <c r="B3855" i="13"/>
  <c r="F3854" i="13"/>
  <c r="B3854" i="13"/>
  <c r="B3853" i="13"/>
  <c r="B3852" i="13"/>
  <c r="B3851" i="13"/>
  <c r="B3850" i="13"/>
  <c r="F3848" i="13"/>
  <c r="E3848" i="13"/>
  <c r="B3848" i="13"/>
  <c r="B3847" i="13"/>
  <c r="B3846" i="13"/>
  <c r="B3845" i="13"/>
  <c r="B3844" i="13"/>
  <c r="B3843" i="13"/>
  <c r="B3842" i="13"/>
  <c r="B3841" i="13"/>
  <c r="B3840" i="13"/>
  <c r="B3839" i="13"/>
  <c r="B3838" i="13"/>
  <c r="B3837" i="13"/>
  <c r="B3836" i="13"/>
  <c r="B3835" i="13"/>
  <c r="B3834" i="13"/>
  <c r="E3833" i="13"/>
  <c r="B3833" i="13"/>
  <c r="E3832" i="13"/>
  <c r="B3832" i="13"/>
  <c r="B3831" i="13"/>
  <c r="B3830" i="13"/>
  <c r="B3829" i="13"/>
  <c r="B3828" i="13"/>
  <c r="B3827" i="13"/>
  <c r="B3826" i="13"/>
  <c r="B3825" i="13"/>
  <c r="B3824" i="13"/>
  <c r="B3823" i="13"/>
  <c r="B3822" i="13"/>
  <c r="B3821" i="13"/>
  <c r="B3820" i="13"/>
  <c r="B3819" i="13"/>
  <c r="B3818" i="13"/>
  <c r="B3817" i="13"/>
  <c r="B3816" i="13"/>
  <c r="B3815" i="13"/>
  <c r="B3814" i="13"/>
  <c r="B3813" i="13"/>
  <c r="B3812" i="13"/>
  <c r="B3811" i="13"/>
  <c r="F3810" i="13"/>
  <c r="B3810" i="13"/>
  <c r="B3809" i="13"/>
  <c r="B3808" i="13"/>
  <c r="B3807" i="13"/>
  <c r="B3806" i="13"/>
  <c r="B3805" i="13"/>
  <c r="B3804" i="13"/>
  <c r="B3803" i="13"/>
  <c r="B3802" i="13"/>
  <c r="B3801" i="13"/>
  <c r="B3800" i="13"/>
  <c r="B3799" i="13"/>
  <c r="B3798" i="13"/>
  <c r="B3797" i="13"/>
  <c r="B3796" i="13"/>
  <c r="F3795" i="13"/>
  <c r="B3795" i="13"/>
  <c r="B3794" i="13"/>
  <c r="B3793" i="13"/>
  <c r="B3792" i="13"/>
  <c r="B3791" i="13"/>
  <c r="B3790" i="13"/>
  <c r="B3789" i="13"/>
  <c r="B3788" i="13"/>
  <c r="B3787" i="13"/>
  <c r="B3786" i="13"/>
  <c r="B3785" i="13"/>
  <c r="B3784" i="13"/>
  <c r="B3783" i="13"/>
  <c r="B3782" i="13"/>
  <c r="B3781" i="13"/>
  <c r="B3780" i="13"/>
  <c r="B3779" i="13"/>
  <c r="B3778" i="13"/>
  <c r="F3777" i="13"/>
  <c r="B3777" i="13"/>
  <c r="B3776" i="13"/>
  <c r="B3775" i="13"/>
  <c r="B3774" i="13"/>
  <c r="B3773" i="13"/>
  <c r="B3772" i="13"/>
  <c r="B3771" i="13"/>
  <c r="B3770" i="13"/>
  <c r="B3768" i="13"/>
  <c r="B3767" i="13"/>
  <c r="B3766" i="13"/>
  <c r="B3765" i="13"/>
  <c r="B3764" i="13"/>
  <c r="B3763" i="13"/>
  <c r="B3762" i="13"/>
  <c r="B3761" i="13"/>
  <c r="B3760" i="13"/>
  <c r="B3759" i="13"/>
  <c r="B3758" i="13"/>
  <c r="B3757" i="13"/>
  <c r="B3756" i="13"/>
  <c r="B3755" i="13"/>
  <c r="B3754" i="13"/>
  <c r="B3753" i="13"/>
  <c r="B3752" i="13"/>
  <c r="B3751" i="13"/>
  <c r="B3750" i="13"/>
  <c r="B3749" i="13"/>
  <c r="B3748" i="13"/>
  <c r="B3747" i="13"/>
  <c r="B3746" i="13"/>
  <c r="B3745" i="13"/>
  <c r="B3744" i="13"/>
  <c r="B3743" i="13"/>
  <c r="B3742" i="13"/>
  <c r="B3741" i="13"/>
  <c r="B3740" i="13"/>
  <c r="B3739" i="13"/>
  <c r="B3738" i="13"/>
  <c r="B3737" i="13"/>
  <c r="B3736" i="13"/>
  <c r="B3735" i="13"/>
  <c r="B3734" i="13"/>
  <c r="E3733" i="13"/>
  <c r="B3733" i="13"/>
  <c r="E3732" i="13"/>
  <c r="B3732" i="13"/>
  <c r="B3731" i="13"/>
  <c r="B3730" i="13"/>
  <c r="B3729" i="13"/>
  <c r="B3728" i="13"/>
  <c r="B3727" i="13"/>
  <c r="B3726" i="13"/>
  <c r="B3725" i="13"/>
  <c r="B3724" i="13"/>
  <c r="B3723" i="13"/>
  <c r="B3722" i="13"/>
  <c r="B3721" i="13"/>
  <c r="B3720" i="13"/>
  <c r="B3719" i="13"/>
  <c r="B3718" i="13"/>
  <c r="B3717" i="13"/>
  <c r="B3716" i="13"/>
  <c r="B3715" i="13"/>
  <c r="B3714" i="13"/>
  <c r="B3713" i="13"/>
  <c r="B3712" i="13"/>
  <c r="B3711" i="13"/>
  <c r="B3710" i="13"/>
  <c r="E3709" i="13"/>
  <c r="B3709" i="13"/>
  <c r="B3708" i="13"/>
  <c r="B3707" i="13"/>
  <c r="B3706" i="13"/>
  <c r="B3705" i="13"/>
  <c r="B3704" i="13"/>
  <c r="B3703" i="13"/>
  <c r="B3702" i="13"/>
  <c r="B3701" i="13"/>
  <c r="B3700" i="13"/>
  <c r="B3699" i="13"/>
  <c r="B3698" i="13"/>
  <c r="B3697" i="13"/>
  <c r="B3696" i="13"/>
  <c r="B3695" i="13"/>
  <c r="F3694" i="13"/>
  <c r="B3694" i="13"/>
  <c r="B3693" i="13"/>
  <c r="B3692" i="13"/>
  <c r="B3691" i="13"/>
  <c r="B3690" i="13"/>
  <c r="B3689" i="13"/>
  <c r="B3688" i="13"/>
  <c r="B3687" i="13"/>
  <c r="B3685" i="13"/>
  <c r="E3684" i="13"/>
  <c r="B3684" i="13"/>
  <c r="E3683" i="13"/>
  <c r="B3683" i="13"/>
  <c r="B3682" i="13"/>
  <c r="B3681" i="13"/>
  <c r="B3680" i="13"/>
  <c r="F3679" i="13"/>
  <c r="B3679" i="13"/>
  <c r="B3678" i="13"/>
  <c r="B3677" i="13"/>
  <c r="B3676" i="13"/>
  <c r="B3675" i="13"/>
  <c r="B3674" i="13"/>
  <c r="B3673" i="13"/>
  <c r="B3672" i="13"/>
  <c r="B3671" i="13"/>
  <c r="F3670" i="13"/>
  <c r="B3670" i="13"/>
  <c r="E3669" i="13"/>
  <c r="B3669" i="13"/>
  <c r="B3668" i="13"/>
  <c r="B3667" i="13"/>
  <c r="B3666" i="13"/>
  <c r="B3665" i="13"/>
  <c r="B3664" i="13"/>
  <c r="B3663" i="13"/>
  <c r="B3662" i="13"/>
  <c r="B3661" i="13"/>
  <c r="B3660" i="13"/>
  <c r="F3659" i="13"/>
  <c r="B3659" i="13"/>
  <c r="B3658" i="13"/>
  <c r="B3657" i="13"/>
  <c r="B3656" i="13"/>
  <c r="B3655" i="13"/>
  <c r="B3654" i="13"/>
  <c r="B3653" i="13"/>
  <c r="B3652" i="13"/>
  <c r="B3651" i="13"/>
  <c r="B3650" i="13"/>
  <c r="B3649" i="13"/>
  <c r="B3648" i="13"/>
  <c r="B3647" i="13"/>
  <c r="B3646" i="13"/>
  <c r="B3645" i="13"/>
  <c r="B3644" i="13"/>
  <c r="B3643" i="13"/>
  <c r="B3642" i="13"/>
  <c r="F3641" i="13"/>
  <c r="B3641" i="13"/>
  <c r="B3640" i="13"/>
  <c r="B3639" i="13"/>
  <c r="B3638" i="13"/>
  <c r="E3637" i="13"/>
  <c r="B3637" i="13"/>
  <c r="B3636" i="13"/>
  <c r="B3635" i="13"/>
  <c r="B3634" i="13"/>
  <c r="B3633" i="13"/>
  <c r="B3632" i="13"/>
  <c r="B3631" i="13"/>
  <c r="B3630" i="13"/>
  <c r="B3629" i="13"/>
  <c r="B3628" i="13"/>
  <c r="B3627" i="13"/>
  <c r="B3626" i="13"/>
  <c r="B3625" i="13"/>
  <c r="B3624" i="13"/>
  <c r="B3623" i="13"/>
  <c r="B3622" i="13"/>
  <c r="F3621" i="13"/>
  <c r="B3621" i="13"/>
  <c r="B3620" i="13"/>
  <c r="B3619" i="13"/>
  <c r="B3618" i="13"/>
  <c r="B3617" i="13"/>
  <c r="B3616" i="13"/>
  <c r="B3615" i="13"/>
  <c r="B3614" i="13"/>
  <c r="B3612" i="13"/>
  <c r="B3611" i="13"/>
  <c r="B3610" i="13"/>
  <c r="B3609" i="13"/>
  <c r="B3608" i="13"/>
  <c r="B3607" i="13"/>
  <c r="B3606" i="13"/>
  <c r="B3605" i="13"/>
  <c r="E3604" i="13"/>
  <c r="B3604" i="13"/>
  <c r="B3603" i="13"/>
  <c r="B3602" i="13"/>
  <c r="B3601" i="13"/>
  <c r="B3600" i="13"/>
  <c r="B3599" i="13"/>
  <c r="E3598" i="13"/>
  <c r="B3598" i="13"/>
  <c r="E3597" i="13"/>
  <c r="B3597" i="13"/>
  <c r="B3596" i="13"/>
  <c r="B3595" i="13"/>
  <c r="B3594" i="13"/>
  <c r="B3593" i="13"/>
  <c r="B3592" i="13"/>
  <c r="B3591" i="13"/>
  <c r="B3590" i="13"/>
  <c r="B3589" i="13"/>
  <c r="B3588" i="13"/>
  <c r="B3587" i="13"/>
  <c r="B3586" i="13"/>
  <c r="B3585" i="13"/>
  <c r="B3584" i="13"/>
  <c r="B3583" i="13"/>
  <c r="B3582" i="13"/>
  <c r="B3581" i="13"/>
  <c r="B3580" i="13"/>
  <c r="B3579" i="13"/>
  <c r="B3578" i="13"/>
  <c r="B3577" i="13"/>
  <c r="B3576" i="13"/>
  <c r="B3575" i="13"/>
  <c r="B3574" i="13"/>
  <c r="B3573" i="13"/>
  <c r="B3572" i="13"/>
  <c r="B3571" i="13"/>
  <c r="B3570" i="13"/>
  <c r="B3569" i="13"/>
  <c r="B3568" i="13"/>
  <c r="B3567" i="13"/>
  <c r="B3566" i="13"/>
  <c r="B3565" i="13"/>
  <c r="B3564" i="13"/>
  <c r="B3563" i="13"/>
  <c r="B3562" i="13"/>
  <c r="B3561" i="13"/>
  <c r="B3560" i="13"/>
  <c r="B3559" i="13"/>
  <c r="B3558" i="13"/>
  <c r="F3557" i="13"/>
  <c r="B3557" i="13"/>
  <c r="B3556" i="13"/>
  <c r="B3555" i="13"/>
  <c r="B3554" i="13"/>
  <c r="E3553" i="13"/>
  <c r="B3553" i="13"/>
  <c r="B3552" i="13"/>
  <c r="B3551" i="13"/>
  <c r="B3550" i="13"/>
  <c r="B3549" i="13"/>
  <c r="B3548" i="13"/>
  <c r="B3547" i="13"/>
  <c r="B3546" i="13"/>
  <c r="B3545" i="13"/>
  <c r="B3544" i="13"/>
  <c r="B3543" i="13"/>
  <c r="B3542" i="13"/>
  <c r="B3541" i="13"/>
  <c r="B3540" i="13"/>
  <c r="B3539" i="13"/>
  <c r="B3538" i="13"/>
  <c r="B3537" i="13"/>
  <c r="B3536" i="13"/>
  <c r="B3535" i="13"/>
  <c r="B3534" i="13"/>
  <c r="B3533" i="13"/>
  <c r="B3532" i="13"/>
  <c r="B3531" i="13"/>
  <c r="B3530" i="13"/>
  <c r="B3528" i="13"/>
  <c r="B3527" i="13"/>
  <c r="B3526" i="13"/>
  <c r="B3525" i="13"/>
  <c r="B3524" i="13"/>
  <c r="B3523" i="13"/>
  <c r="B3522" i="13"/>
  <c r="B3521" i="13"/>
  <c r="B3520" i="13"/>
  <c r="B3519" i="13"/>
  <c r="B3518" i="13"/>
  <c r="B3517" i="13"/>
  <c r="B3516" i="13"/>
  <c r="B3515" i="13"/>
  <c r="B3514" i="13"/>
  <c r="B3513" i="13"/>
  <c r="B3512" i="13"/>
  <c r="B3511" i="13"/>
  <c r="B3510" i="13"/>
  <c r="B3509" i="13"/>
  <c r="B3508" i="13"/>
  <c r="B3507" i="13"/>
  <c r="B3506" i="13"/>
  <c r="B3505" i="13"/>
  <c r="B3504" i="13"/>
  <c r="B3503" i="13"/>
  <c r="B3502" i="13"/>
  <c r="B3501" i="13"/>
  <c r="B3500" i="13"/>
  <c r="B3499" i="13"/>
  <c r="B3498" i="13"/>
  <c r="B3497" i="13"/>
  <c r="B3496" i="13"/>
  <c r="B3495" i="13"/>
  <c r="B3494" i="13"/>
  <c r="B3493" i="13"/>
  <c r="B3492" i="13"/>
  <c r="B3491" i="13"/>
  <c r="B3490" i="13"/>
  <c r="B3489" i="13"/>
  <c r="B3488" i="13"/>
  <c r="B3487" i="13"/>
  <c r="B3486" i="13"/>
  <c r="B3485" i="13"/>
  <c r="B3484" i="13"/>
  <c r="B3483" i="13"/>
  <c r="B3482" i="13"/>
  <c r="B3481" i="13"/>
  <c r="F3480" i="13"/>
  <c r="B3480" i="13"/>
  <c r="B3479" i="13"/>
  <c r="B3478" i="13"/>
  <c r="B3477" i="13"/>
  <c r="B3476" i="13"/>
  <c r="E3475" i="13"/>
  <c r="B3475" i="13"/>
  <c r="B3474" i="13"/>
  <c r="B3472" i="13"/>
  <c r="B3471" i="13"/>
  <c r="B3470" i="13"/>
  <c r="B3469" i="13"/>
  <c r="B3468" i="13"/>
  <c r="B3467" i="13"/>
  <c r="B3466" i="13"/>
  <c r="B3465" i="13"/>
  <c r="B3464" i="13"/>
  <c r="B3463" i="13"/>
  <c r="B3462" i="13"/>
  <c r="B3461" i="13"/>
  <c r="B3460" i="13"/>
  <c r="B3459" i="13"/>
  <c r="B3458" i="13"/>
  <c r="B3457" i="13"/>
  <c r="B3456" i="13"/>
  <c r="B3455" i="13"/>
  <c r="B3454" i="13"/>
  <c r="B3453" i="13"/>
  <c r="B3452" i="13"/>
  <c r="B3451" i="13"/>
  <c r="B3450" i="13"/>
  <c r="B3449" i="13"/>
  <c r="B3448" i="13"/>
  <c r="B3447" i="13"/>
  <c r="B3446" i="13"/>
  <c r="B3445" i="13"/>
  <c r="B3444" i="13"/>
  <c r="B3443" i="13"/>
  <c r="B3442" i="13"/>
  <c r="B3441" i="13"/>
  <c r="B3440" i="13"/>
  <c r="B3439" i="13"/>
  <c r="B3438" i="13"/>
  <c r="B3437" i="13"/>
  <c r="B3436" i="13"/>
  <c r="B3435" i="13"/>
  <c r="B3434" i="13"/>
  <c r="B3433" i="13"/>
  <c r="B3432" i="13"/>
  <c r="B3431" i="13"/>
  <c r="B3430" i="13"/>
  <c r="E3429" i="13"/>
  <c r="B3429" i="13"/>
  <c r="E3428" i="13"/>
  <c r="B3428" i="13"/>
  <c r="B3427" i="13"/>
  <c r="B3426" i="13"/>
  <c r="B3425" i="13"/>
  <c r="B3424" i="13"/>
  <c r="B3423" i="13"/>
  <c r="B3422" i="13"/>
  <c r="B3421" i="13"/>
  <c r="B3420" i="13"/>
  <c r="F3419" i="13"/>
  <c r="B3419" i="13"/>
  <c r="B3418" i="13"/>
  <c r="B3417" i="13"/>
  <c r="B3416" i="13"/>
  <c r="B3415" i="13"/>
  <c r="E3414" i="13"/>
  <c r="B3414" i="13"/>
  <c r="B3413" i="13"/>
  <c r="B3412" i="13"/>
  <c r="B3410" i="13"/>
  <c r="B3409" i="13"/>
  <c r="B3408" i="13"/>
  <c r="B3407" i="13"/>
  <c r="B3406" i="13"/>
  <c r="B3405" i="13"/>
  <c r="B3404" i="13"/>
  <c r="B3403" i="13"/>
  <c r="B3402" i="13"/>
  <c r="B3401" i="13"/>
  <c r="B3400" i="13"/>
  <c r="B3399" i="13"/>
  <c r="B3398" i="13"/>
  <c r="B3397" i="13"/>
  <c r="B3396" i="13"/>
  <c r="B3395" i="13"/>
  <c r="B3394" i="13"/>
  <c r="B3393" i="13"/>
  <c r="B3392" i="13"/>
  <c r="B3391" i="13"/>
  <c r="B3390" i="13"/>
  <c r="B3389" i="13"/>
  <c r="E3388" i="13"/>
  <c r="B3388" i="13"/>
  <c r="B3387" i="13"/>
  <c r="B3386" i="13"/>
  <c r="B3385" i="13"/>
  <c r="B3384" i="13"/>
  <c r="B3383" i="13"/>
  <c r="B3382" i="13"/>
  <c r="B3381" i="13"/>
  <c r="B3380" i="13"/>
  <c r="B3379" i="13"/>
  <c r="B3378" i="13"/>
  <c r="B3377" i="13"/>
  <c r="B3376" i="13"/>
  <c r="B3375" i="13"/>
  <c r="B3374" i="13"/>
  <c r="B3373" i="13"/>
  <c r="B3372" i="13"/>
  <c r="B3371" i="13"/>
  <c r="B3370" i="13"/>
  <c r="B3369" i="13"/>
  <c r="B3368" i="13"/>
  <c r="B3367" i="13"/>
  <c r="B3366" i="13"/>
  <c r="B3365" i="13"/>
  <c r="B3364" i="13"/>
  <c r="B3363" i="13"/>
  <c r="B3362" i="13"/>
  <c r="B3361" i="13"/>
  <c r="F3360" i="13"/>
  <c r="B3360" i="13"/>
  <c r="B3359" i="13"/>
  <c r="B3358" i="13"/>
  <c r="B3357" i="13"/>
  <c r="B3356" i="13"/>
  <c r="B3355" i="13"/>
  <c r="E3354" i="13"/>
  <c r="B3354" i="13"/>
  <c r="B3353" i="13"/>
  <c r="B3352" i="13"/>
  <c r="B3351" i="13"/>
  <c r="B3350" i="13"/>
  <c r="B3349" i="13"/>
  <c r="B3348" i="13"/>
  <c r="B3347" i="13"/>
  <c r="B3346" i="13"/>
  <c r="B3345" i="13"/>
  <c r="B3344" i="13"/>
  <c r="B3343" i="13"/>
  <c r="B3341" i="13"/>
  <c r="B3340" i="13"/>
  <c r="B3339" i="13"/>
  <c r="B3338" i="13"/>
  <c r="B3337" i="13"/>
  <c r="B3336" i="13"/>
  <c r="B3335" i="13"/>
  <c r="B3334" i="13"/>
  <c r="B3333" i="13"/>
  <c r="B3332" i="13"/>
  <c r="B3331" i="13"/>
  <c r="B3330" i="13"/>
  <c r="B3329" i="13"/>
  <c r="B3328" i="13"/>
  <c r="B3327" i="13"/>
  <c r="B3326" i="13"/>
  <c r="B3325" i="13"/>
  <c r="B3324" i="13"/>
  <c r="B3323" i="13"/>
  <c r="B3322" i="13"/>
  <c r="E3321" i="13"/>
  <c r="B3321" i="13"/>
  <c r="E3320" i="13"/>
  <c r="B3320" i="13"/>
  <c r="B3319" i="13"/>
  <c r="B3318" i="13"/>
  <c r="B3317" i="13"/>
  <c r="B3316" i="13"/>
  <c r="B3315" i="13"/>
  <c r="B3314" i="13"/>
  <c r="B3313" i="13"/>
  <c r="B3312" i="13"/>
  <c r="B3311" i="13"/>
  <c r="B3310" i="13"/>
  <c r="B3309" i="13"/>
  <c r="B3308" i="13"/>
  <c r="B3307" i="13"/>
  <c r="B3306" i="13"/>
  <c r="B3305" i="13"/>
  <c r="B3304" i="13"/>
  <c r="B3303" i="13"/>
  <c r="B3302" i="13"/>
  <c r="B3301" i="13"/>
  <c r="B3300" i="13"/>
  <c r="B3299" i="13"/>
  <c r="B3298" i="13"/>
  <c r="B3297" i="13"/>
  <c r="B3296" i="13"/>
  <c r="B3295" i="13"/>
  <c r="B3294" i="13"/>
  <c r="B3293" i="13"/>
  <c r="B3292" i="13"/>
  <c r="B3291" i="13"/>
  <c r="B3290" i="13"/>
  <c r="B3289" i="13"/>
  <c r="B3288" i="13"/>
  <c r="B3287" i="13"/>
  <c r="B3286" i="13"/>
  <c r="B3285" i="13"/>
  <c r="B3284" i="13"/>
  <c r="B3283" i="13"/>
  <c r="B3282" i="13"/>
  <c r="B3281" i="13"/>
  <c r="B3280" i="13"/>
  <c r="B3279" i="13"/>
  <c r="B3278" i="13"/>
  <c r="B3277" i="13"/>
  <c r="B3276" i="13"/>
  <c r="B3275" i="13"/>
  <c r="B3274" i="13"/>
  <c r="B3273" i="13"/>
  <c r="B3272" i="13"/>
  <c r="B3271" i="13"/>
  <c r="B3270" i="13"/>
  <c r="B3269" i="13"/>
  <c r="B3268" i="13"/>
  <c r="F3267" i="13"/>
  <c r="B3267" i="13"/>
  <c r="B3266" i="13"/>
  <c r="B3265" i="13"/>
  <c r="B3264" i="13"/>
  <c r="B3263" i="13"/>
  <c r="E3262" i="13"/>
  <c r="B3262" i="13"/>
  <c r="B3261" i="13"/>
  <c r="B3260" i="13"/>
  <c r="B3258" i="13"/>
  <c r="B3257" i="13"/>
  <c r="B3256" i="13"/>
  <c r="B3255" i="13"/>
  <c r="B3254" i="13"/>
  <c r="B3253" i="13"/>
  <c r="B3252" i="13"/>
  <c r="B3251" i="13"/>
  <c r="B3250" i="13"/>
  <c r="B3249" i="13"/>
  <c r="B3248" i="13"/>
  <c r="B3247" i="13"/>
  <c r="B3246" i="13"/>
  <c r="B3245" i="13"/>
  <c r="B3244" i="13"/>
  <c r="B3243" i="13"/>
  <c r="B3242" i="13"/>
  <c r="B3241" i="13"/>
  <c r="B3240" i="13"/>
  <c r="B3239" i="13"/>
  <c r="B3238" i="13"/>
  <c r="B3237" i="13"/>
  <c r="B3236" i="13"/>
  <c r="B3235" i="13"/>
  <c r="B3234" i="13"/>
  <c r="B3233" i="13"/>
  <c r="B3232" i="13"/>
  <c r="B3231" i="13"/>
  <c r="B3230" i="13"/>
  <c r="B3229" i="13"/>
  <c r="E3228" i="13"/>
  <c r="B3228" i="13"/>
  <c r="B3227" i="13"/>
  <c r="B3226" i="13"/>
  <c r="B3225" i="13"/>
  <c r="B3224" i="13"/>
  <c r="B3223" i="13"/>
  <c r="B3222" i="13"/>
  <c r="B3221" i="13"/>
  <c r="B3220" i="13"/>
  <c r="B3219" i="13"/>
  <c r="B3218" i="13"/>
  <c r="B3217" i="13"/>
  <c r="B3216" i="13"/>
  <c r="B3215" i="13"/>
  <c r="B3214" i="13"/>
  <c r="F3213" i="13"/>
  <c r="B3213" i="13"/>
  <c r="B3212" i="13"/>
  <c r="B3211" i="13"/>
  <c r="B3210" i="13"/>
  <c r="B3209" i="13"/>
  <c r="B3208" i="13"/>
  <c r="B3207" i="13"/>
  <c r="B3206" i="13"/>
  <c r="B3205" i="13"/>
  <c r="B3204" i="13"/>
  <c r="B3203" i="13"/>
  <c r="B3202" i="13"/>
  <c r="B3201" i="13"/>
  <c r="B3200" i="13"/>
  <c r="B3199" i="13"/>
  <c r="B3198" i="13"/>
  <c r="B3197" i="13"/>
  <c r="B3196" i="13"/>
  <c r="B3195" i="13"/>
  <c r="B3194" i="13"/>
  <c r="B3193" i="13"/>
  <c r="B3192" i="13"/>
  <c r="B3191" i="13"/>
  <c r="B3190" i="13"/>
  <c r="B3189" i="13"/>
  <c r="B3188" i="13"/>
  <c r="B3187" i="13"/>
  <c r="B3186" i="13"/>
  <c r="F3185" i="13"/>
  <c r="B3185" i="13"/>
  <c r="B3184" i="13"/>
  <c r="B3183" i="13"/>
  <c r="B3182" i="13"/>
  <c r="E3181" i="13"/>
  <c r="B3181" i="13"/>
  <c r="B3180" i="13"/>
  <c r="B3179" i="13"/>
  <c r="B3178" i="13"/>
  <c r="B3176" i="13"/>
  <c r="B3175" i="13"/>
  <c r="B3174" i="13"/>
  <c r="B3173" i="13"/>
  <c r="B3172" i="13"/>
  <c r="B3171" i="13"/>
  <c r="B3170" i="13"/>
  <c r="B3169" i="13"/>
  <c r="B3168" i="13"/>
  <c r="B3167" i="13"/>
  <c r="B3166" i="13"/>
  <c r="B3165" i="13"/>
  <c r="B3164" i="13"/>
  <c r="B3163" i="13"/>
  <c r="B3162" i="13"/>
  <c r="B3161" i="13"/>
  <c r="B3160" i="13"/>
  <c r="B3159" i="13"/>
  <c r="B3158" i="13"/>
  <c r="B3157" i="13"/>
  <c r="B3156" i="13"/>
  <c r="B3155" i="13"/>
  <c r="B3154" i="13"/>
  <c r="B3153" i="13"/>
  <c r="B3152" i="13"/>
  <c r="B3151" i="13"/>
  <c r="B3150" i="13"/>
  <c r="B3149" i="13"/>
  <c r="B3148" i="13"/>
  <c r="B3147" i="13"/>
  <c r="B3146" i="13"/>
  <c r="B3145" i="13"/>
  <c r="B3144" i="13"/>
  <c r="B3143" i="13"/>
  <c r="B3142" i="13"/>
  <c r="B3141" i="13"/>
  <c r="B3140" i="13"/>
  <c r="B3139" i="13"/>
  <c r="B3138" i="13"/>
  <c r="B3137" i="13"/>
  <c r="B3136" i="13"/>
  <c r="B3135" i="13"/>
  <c r="B3134" i="13"/>
  <c r="B3133" i="13"/>
  <c r="B3132" i="13"/>
  <c r="B3131" i="13"/>
  <c r="B3129" i="13"/>
  <c r="B3128" i="13"/>
  <c r="B3127" i="13"/>
  <c r="B3126" i="13"/>
  <c r="B3125" i="13"/>
  <c r="B3124" i="13"/>
  <c r="B3123" i="13"/>
  <c r="B3122" i="13"/>
  <c r="B3121" i="13"/>
  <c r="E3120" i="13"/>
  <c r="B3120" i="13"/>
  <c r="B3119" i="13"/>
  <c r="F3118" i="13"/>
  <c r="B3118" i="13"/>
  <c r="B3117" i="13"/>
  <c r="E3116" i="13"/>
  <c r="B3116" i="13"/>
  <c r="B3115" i="13"/>
  <c r="B3114" i="13"/>
  <c r="B3112" i="13"/>
  <c r="B3111" i="13"/>
  <c r="B3110" i="13"/>
  <c r="B3109" i="13"/>
  <c r="B3108" i="13"/>
  <c r="B3107" i="13"/>
  <c r="B3106" i="13"/>
  <c r="B3105" i="13"/>
  <c r="B3104" i="13"/>
  <c r="B3103" i="13"/>
  <c r="B3102" i="13"/>
  <c r="B3101" i="13"/>
  <c r="B3100" i="13"/>
  <c r="B3099" i="13"/>
  <c r="B3098" i="13"/>
  <c r="B3097" i="13"/>
  <c r="B3096" i="13"/>
  <c r="B3095" i="13"/>
  <c r="B3094" i="13"/>
  <c r="B3093" i="13"/>
  <c r="B3092" i="13"/>
  <c r="B3091" i="13"/>
  <c r="B3090" i="13"/>
  <c r="B3089" i="13"/>
  <c r="B3088" i="13"/>
  <c r="B3087" i="13"/>
  <c r="B3086" i="13"/>
  <c r="B3085" i="13"/>
  <c r="B3084" i="13"/>
  <c r="B3083" i="13"/>
  <c r="B3082" i="13"/>
  <c r="B3081" i="13"/>
  <c r="B3080" i="13"/>
  <c r="B3079" i="13"/>
  <c r="B3078" i="13"/>
  <c r="B3077" i="13"/>
  <c r="B3076" i="13"/>
  <c r="B3075" i="13"/>
  <c r="B3074" i="13"/>
  <c r="B3073" i="13"/>
  <c r="B3072" i="13"/>
  <c r="B3071" i="13"/>
  <c r="B3070" i="13"/>
  <c r="B3069" i="13"/>
  <c r="B3068" i="13"/>
  <c r="B3067" i="13"/>
  <c r="B3066" i="13"/>
  <c r="B3065" i="13"/>
  <c r="B3064" i="13"/>
  <c r="B3063" i="13"/>
  <c r="B3062" i="13"/>
  <c r="B3061" i="13"/>
  <c r="B3060" i="13"/>
  <c r="B3059" i="13"/>
  <c r="B3130" i="13"/>
  <c r="F3058" i="13"/>
  <c r="B3058" i="13"/>
  <c r="B3057" i="13"/>
  <c r="B3056" i="13"/>
  <c r="B3055" i="13"/>
  <c r="B3054" i="13"/>
  <c r="B3053" i="13"/>
  <c r="E3052" i="13"/>
  <c r="B3052" i="13"/>
  <c r="B3051" i="13"/>
  <c r="B3050" i="13"/>
  <c r="B3049" i="13"/>
  <c r="B3047" i="13"/>
  <c r="B3046" i="13"/>
  <c r="B3045" i="13"/>
  <c r="B3044" i="13"/>
  <c r="B3043" i="13"/>
  <c r="B3042" i="13"/>
  <c r="B3041" i="13"/>
  <c r="B3040" i="13"/>
  <c r="B3039" i="13"/>
  <c r="B3038" i="13"/>
  <c r="B3037" i="13"/>
  <c r="B3036" i="13"/>
  <c r="B3035" i="13"/>
  <c r="B3034" i="13"/>
  <c r="B3033" i="13"/>
  <c r="B3032" i="13"/>
  <c r="B3031" i="13"/>
  <c r="B3030" i="13"/>
  <c r="B3029" i="13"/>
  <c r="B3028" i="13"/>
  <c r="B3027" i="13"/>
  <c r="B3026" i="13"/>
  <c r="B3025" i="13"/>
  <c r="B3024" i="13"/>
  <c r="E3023" i="13"/>
  <c r="B3023" i="13"/>
  <c r="E3022" i="13"/>
  <c r="B3022" i="13"/>
  <c r="B3021" i="13"/>
  <c r="B3020" i="13"/>
  <c r="B3019" i="13"/>
  <c r="B3018" i="13"/>
  <c r="B3017" i="13"/>
  <c r="B3016" i="13"/>
  <c r="B3015" i="13"/>
  <c r="B3014" i="13"/>
  <c r="B3013" i="13"/>
  <c r="B3012" i="13"/>
  <c r="B3011" i="13"/>
  <c r="B3010" i="13"/>
  <c r="B3009" i="13"/>
  <c r="B3008" i="13"/>
  <c r="B3007" i="13"/>
  <c r="B3006" i="13"/>
  <c r="B3005" i="13"/>
  <c r="B3004" i="13"/>
  <c r="B3003" i="13"/>
  <c r="B3002" i="13"/>
  <c r="B3001" i="13"/>
  <c r="B3000" i="13"/>
  <c r="B2999" i="13"/>
  <c r="B2998" i="13"/>
  <c r="B2997" i="13"/>
  <c r="B2996" i="13"/>
  <c r="F2995" i="13"/>
  <c r="B2995" i="13"/>
  <c r="B2994" i="13"/>
  <c r="B2993" i="13"/>
  <c r="B2992" i="13"/>
  <c r="B2991" i="13"/>
  <c r="B2990" i="13"/>
  <c r="B2988" i="13"/>
  <c r="B2987" i="13"/>
  <c r="B2986" i="13"/>
  <c r="B2985" i="13"/>
  <c r="B2984" i="13"/>
  <c r="B2983" i="13"/>
  <c r="B2982" i="13"/>
  <c r="B2981" i="13"/>
  <c r="B2980" i="13"/>
  <c r="B2979" i="13"/>
  <c r="B2978" i="13"/>
  <c r="B2977" i="13"/>
  <c r="B2976" i="13"/>
  <c r="B2975" i="13"/>
  <c r="B2974" i="13"/>
  <c r="B2973" i="13"/>
  <c r="B2972" i="13"/>
  <c r="B2971" i="13"/>
  <c r="B2970" i="13"/>
  <c r="B2969" i="13"/>
  <c r="B2968" i="13"/>
  <c r="B2967" i="13"/>
  <c r="B2966" i="13"/>
  <c r="B2965" i="13"/>
  <c r="B2964" i="13"/>
  <c r="B2963" i="13"/>
  <c r="B2962" i="13"/>
  <c r="B2961" i="13"/>
  <c r="B2960" i="13"/>
  <c r="B2959" i="13"/>
  <c r="B2958" i="13"/>
  <c r="B2957" i="13"/>
  <c r="B2956" i="13"/>
  <c r="B2955" i="13"/>
  <c r="B2954" i="13"/>
  <c r="B2953" i="13"/>
  <c r="B2952" i="13"/>
  <c r="B2951" i="13"/>
  <c r="B2950" i="13"/>
  <c r="B2949" i="13"/>
  <c r="B2948" i="13"/>
  <c r="B2947" i="13"/>
  <c r="B2946" i="13"/>
  <c r="B2945" i="13"/>
  <c r="B2944" i="13"/>
  <c r="B2943" i="13"/>
  <c r="B2942" i="13"/>
  <c r="B2941" i="13"/>
  <c r="B2940" i="13"/>
  <c r="B2939" i="13"/>
  <c r="F2938" i="13"/>
  <c r="B2938" i="13"/>
  <c r="B2937" i="13"/>
  <c r="B2936" i="13"/>
  <c r="E2935" i="13"/>
  <c r="B2935" i="13"/>
  <c r="E2934" i="13"/>
  <c r="B2934" i="13"/>
  <c r="B2933" i="13"/>
  <c r="B2932" i="13"/>
  <c r="B2931" i="13"/>
  <c r="B2930" i="13"/>
  <c r="B2929" i="13"/>
  <c r="B2928" i="13"/>
  <c r="B2927" i="13"/>
  <c r="B2926" i="13"/>
  <c r="F2925" i="13"/>
  <c r="B2925" i="13"/>
  <c r="B2924" i="13"/>
  <c r="B2923" i="13"/>
  <c r="B2922" i="13"/>
  <c r="B2921" i="13"/>
  <c r="B2920" i="13"/>
  <c r="B2919" i="13"/>
  <c r="B2917" i="13"/>
  <c r="B2916" i="13"/>
  <c r="B2915" i="13"/>
  <c r="B2914" i="13"/>
  <c r="B2913" i="13"/>
  <c r="B2912" i="13"/>
  <c r="B2911" i="13"/>
  <c r="B2910" i="13"/>
  <c r="B2909" i="13"/>
  <c r="B2908" i="13"/>
  <c r="B2907" i="13"/>
  <c r="B2906" i="13"/>
  <c r="B2905" i="13"/>
  <c r="B2904" i="13"/>
  <c r="B2903" i="13"/>
  <c r="B2902" i="13"/>
  <c r="B2901" i="13"/>
  <c r="B2900" i="13"/>
  <c r="B2899" i="13"/>
  <c r="B2898" i="13"/>
  <c r="B2897" i="13"/>
  <c r="B2896" i="13"/>
  <c r="B2895" i="13"/>
  <c r="B2894" i="13"/>
  <c r="B2893" i="13"/>
  <c r="B2892" i="13"/>
  <c r="B2891" i="13"/>
  <c r="B2890" i="13"/>
  <c r="B2889" i="13"/>
  <c r="B2888" i="13"/>
  <c r="B2887" i="13"/>
  <c r="B2886" i="13"/>
  <c r="B2885" i="13"/>
  <c r="B2884" i="13"/>
  <c r="B2883" i="13"/>
  <c r="B2882" i="13"/>
  <c r="F2881" i="13"/>
  <c r="B2881" i="13"/>
  <c r="B2880" i="13"/>
  <c r="B2879" i="13"/>
  <c r="B2878" i="13"/>
  <c r="B2877" i="13"/>
  <c r="B2876" i="13"/>
  <c r="B2875" i="13"/>
  <c r="B2874" i="13"/>
  <c r="B2873" i="13"/>
  <c r="B2872" i="13"/>
  <c r="B2871" i="13"/>
  <c r="B2870" i="13"/>
  <c r="B2869" i="13"/>
  <c r="B2868" i="13"/>
  <c r="B2867" i="13"/>
  <c r="B2866" i="13"/>
  <c r="B2865" i="13"/>
  <c r="B2864" i="13"/>
  <c r="B2863" i="13"/>
  <c r="B2862" i="13"/>
  <c r="B2861" i="13"/>
  <c r="B2860" i="13"/>
  <c r="B2859" i="13"/>
  <c r="B2858" i="13"/>
  <c r="B2857" i="13"/>
  <c r="B2856" i="13"/>
  <c r="B2855" i="13"/>
  <c r="B2854" i="13"/>
  <c r="B2853" i="13"/>
  <c r="B2852" i="13"/>
  <c r="B2851" i="13"/>
  <c r="B2850" i="13"/>
  <c r="B2849" i="13"/>
  <c r="F2848" i="13"/>
  <c r="B2848" i="13"/>
  <c r="B2847" i="13"/>
  <c r="B2846" i="13"/>
  <c r="B2845" i="13"/>
  <c r="B2844" i="13"/>
  <c r="B2843" i="13"/>
  <c r="B2842" i="13"/>
  <c r="B2841" i="13"/>
  <c r="B2840" i="13"/>
  <c r="B2838" i="13"/>
  <c r="B2837" i="13"/>
  <c r="B2836" i="13"/>
  <c r="B2835" i="13"/>
  <c r="B2834" i="13"/>
  <c r="B2833" i="13"/>
  <c r="B2832" i="13"/>
  <c r="B2831" i="13"/>
  <c r="B2830" i="13"/>
  <c r="B2829" i="13"/>
  <c r="B2828" i="13"/>
  <c r="B2827" i="13"/>
  <c r="B2826" i="13"/>
  <c r="B2825" i="13"/>
  <c r="B2824" i="13"/>
  <c r="B2823" i="13"/>
  <c r="B2822" i="13"/>
  <c r="B2821" i="13"/>
  <c r="B2820" i="13"/>
  <c r="B2819" i="13"/>
  <c r="B2818" i="13"/>
  <c r="B2817" i="13"/>
  <c r="B2816" i="13"/>
  <c r="B2815" i="13"/>
  <c r="B2814" i="13"/>
  <c r="B2813" i="13"/>
  <c r="B2812" i="13"/>
  <c r="B2811" i="13"/>
  <c r="B2810" i="13"/>
  <c r="B2809" i="13"/>
  <c r="B2808" i="13"/>
  <c r="B2807" i="13"/>
  <c r="B2806" i="13"/>
  <c r="B2805" i="13"/>
  <c r="B2804" i="13"/>
  <c r="B2803" i="13"/>
  <c r="B2802" i="13"/>
  <c r="B2801" i="13"/>
  <c r="B2800" i="13"/>
  <c r="B2799" i="13"/>
  <c r="B2798" i="13"/>
  <c r="B2797" i="13"/>
  <c r="F2796" i="13"/>
  <c r="B2796" i="13"/>
  <c r="B2795" i="13"/>
  <c r="B2794" i="13"/>
  <c r="B2793" i="13"/>
  <c r="B2792" i="13"/>
  <c r="B2791" i="13"/>
  <c r="B2790" i="13"/>
  <c r="B2789" i="13"/>
  <c r="B2788" i="13"/>
  <c r="B2787" i="13"/>
  <c r="B2785" i="13"/>
  <c r="B2784" i="13"/>
  <c r="B2783" i="13"/>
  <c r="B2782" i="13"/>
  <c r="B2781" i="13"/>
  <c r="B2780" i="13"/>
  <c r="B2779" i="13"/>
  <c r="B2778" i="13"/>
  <c r="B2777" i="13"/>
  <c r="B2776" i="13"/>
  <c r="B2775" i="13"/>
  <c r="B2774" i="13"/>
  <c r="B2773" i="13"/>
  <c r="B2772" i="13"/>
  <c r="B2771" i="13"/>
  <c r="B2770" i="13"/>
  <c r="B2769" i="13"/>
  <c r="B2768" i="13"/>
  <c r="B2767" i="13"/>
  <c r="B2766" i="13"/>
  <c r="B2765" i="13"/>
  <c r="B2764" i="13"/>
  <c r="B2763" i="13"/>
  <c r="B2762" i="13"/>
  <c r="B2761" i="13"/>
  <c r="B2760" i="13"/>
  <c r="B2759" i="13"/>
  <c r="B2758" i="13"/>
  <c r="B2757" i="13"/>
  <c r="B2756" i="13"/>
  <c r="B2755" i="13"/>
  <c r="B2754" i="13"/>
  <c r="B2753" i="13"/>
  <c r="B2752" i="13"/>
  <c r="B2751" i="13"/>
  <c r="B2750" i="13"/>
  <c r="B2749" i="13"/>
  <c r="B2748" i="13"/>
  <c r="B2747" i="13"/>
  <c r="B2746" i="13"/>
  <c r="B2745" i="13"/>
  <c r="B2744" i="13"/>
  <c r="B2743" i="13"/>
  <c r="B2742" i="13"/>
  <c r="B2741" i="13"/>
  <c r="B2740" i="13"/>
  <c r="B2739" i="13"/>
  <c r="B2738" i="13"/>
  <c r="B2737" i="13"/>
  <c r="B2736" i="13"/>
  <c r="B2735" i="13"/>
  <c r="B2734" i="13"/>
  <c r="B2733" i="13"/>
  <c r="B2732" i="13"/>
  <c r="B2731" i="13"/>
  <c r="B2730" i="13"/>
  <c r="B2729" i="13"/>
  <c r="B2728" i="13"/>
  <c r="B2727" i="13"/>
  <c r="B2726" i="13"/>
  <c r="B2725" i="13"/>
  <c r="B2724" i="13"/>
  <c r="B2723" i="13"/>
  <c r="B2722" i="13"/>
  <c r="B2721" i="13"/>
  <c r="B2720" i="13"/>
  <c r="B2719" i="13"/>
  <c r="F2718" i="13"/>
  <c r="B2718" i="13"/>
  <c r="E2717" i="13"/>
  <c r="B2717" i="13"/>
  <c r="E2716" i="13"/>
  <c r="B2716" i="13"/>
  <c r="B2715" i="13"/>
  <c r="B2714" i="13"/>
  <c r="B2713" i="13"/>
  <c r="B2712" i="13"/>
  <c r="B2710" i="13"/>
  <c r="B2709" i="13"/>
  <c r="B2708" i="13"/>
  <c r="B2707" i="13"/>
  <c r="B2706" i="13"/>
  <c r="B2705" i="13"/>
  <c r="B2704" i="13"/>
  <c r="B2703" i="13"/>
  <c r="B2702" i="13"/>
  <c r="B2701" i="13"/>
  <c r="B2700" i="13"/>
  <c r="B2699" i="13"/>
  <c r="B2698" i="13"/>
  <c r="B2697" i="13"/>
  <c r="B2696" i="13"/>
  <c r="B2695" i="13"/>
  <c r="B2694" i="13"/>
  <c r="B2693" i="13"/>
  <c r="B2692" i="13"/>
  <c r="B2691" i="13"/>
  <c r="B2690" i="13"/>
  <c r="B2689" i="13"/>
  <c r="B2688" i="13"/>
  <c r="B2687" i="13"/>
  <c r="B2686" i="13"/>
  <c r="B2685" i="13"/>
  <c r="B2684" i="13"/>
  <c r="B2683" i="13"/>
  <c r="B2682" i="13"/>
  <c r="B2681" i="13"/>
  <c r="B2680" i="13"/>
  <c r="B2679" i="13"/>
  <c r="B2678" i="13"/>
  <c r="B2677" i="13"/>
  <c r="B2676" i="13"/>
  <c r="B2675" i="13"/>
  <c r="B2674" i="13"/>
  <c r="B2673" i="13"/>
  <c r="B2672" i="13"/>
  <c r="B2671" i="13"/>
  <c r="B2670" i="13"/>
  <c r="B2669" i="13"/>
  <c r="B2668" i="13"/>
  <c r="B2667" i="13"/>
  <c r="B2666" i="13"/>
  <c r="B2665" i="13"/>
  <c r="B2664" i="13"/>
  <c r="B2663" i="13"/>
  <c r="B2662" i="13"/>
  <c r="B2661" i="13"/>
  <c r="B2660" i="13"/>
  <c r="B2659" i="13"/>
  <c r="B2658" i="13"/>
  <c r="B2657" i="13"/>
  <c r="B2656" i="13"/>
  <c r="B2655" i="13"/>
  <c r="B2654" i="13"/>
  <c r="B2653" i="13"/>
  <c r="B2652" i="13"/>
  <c r="B2651" i="13"/>
  <c r="B2650" i="13"/>
  <c r="B2649" i="13"/>
  <c r="B2648" i="13"/>
  <c r="B2647" i="13"/>
  <c r="B2646" i="13"/>
  <c r="B2645" i="13"/>
  <c r="B2644" i="13"/>
  <c r="B2643" i="13"/>
  <c r="B2642" i="13"/>
  <c r="B2641" i="13"/>
  <c r="B2640" i="13"/>
  <c r="B2639" i="13"/>
  <c r="B2638" i="13"/>
  <c r="B2637" i="13"/>
  <c r="B2636" i="13"/>
  <c r="B2635" i="13"/>
  <c r="B2634" i="13"/>
  <c r="F2633" i="13"/>
  <c r="B2633" i="13"/>
  <c r="E2632" i="13"/>
  <c r="B2632" i="13"/>
  <c r="E2631" i="13"/>
  <c r="B2631" i="13"/>
  <c r="B2630" i="13"/>
  <c r="B2629" i="13"/>
  <c r="B2628" i="13"/>
  <c r="B2627" i="13"/>
  <c r="B2626" i="13"/>
  <c r="B2624" i="13"/>
  <c r="B2623" i="13"/>
  <c r="B2622" i="13"/>
  <c r="B2621" i="13"/>
  <c r="B2620" i="13"/>
  <c r="B2619" i="13"/>
  <c r="B2618" i="13"/>
  <c r="B2617" i="13"/>
  <c r="B2616" i="13"/>
  <c r="B2615" i="13"/>
  <c r="B2614" i="13"/>
  <c r="B2613" i="13"/>
  <c r="B2612" i="13"/>
  <c r="B2611" i="13"/>
  <c r="B2610" i="13"/>
  <c r="B2609" i="13"/>
  <c r="B2608" i="13"/>
  <c r="B2607" i="13"/>
  <c r="B2606" i="13"/>
  <c r="B2605" i="13"/>
  <c r="B2604" i="13"/>
  <c r="B2603" i="13"/>
  <c r="B2602" i="13"/>
  <c r="B2601" i="13"/>
  <c r="B2600" i="13"/>
  <c r="B2599" i="13"/>
  <c r="B2598" i="13"/>
  <c r="B2597" i="13"/>
  <c r="B2596" i="13"/>
  <c r="F2595" i="13"/>
  <c r="B2595" i="13"/>
  <c r="B2594" i="13"/>
  <c r="B2593" i="13"/>
  <c r="B2592" i="13"/>
  <c r="B2591" i="13"/>
  <c r="B2590" i="13"/>
  <c r="E2589" i="13"/>
  <c r="B2589" i="13"/>
  <c r="E2588" i="13"/>
  <c r="B2588" i="13"/>
  <c r="B2587" i="13"/>
  <c r="B2586" i="13"/>
  <c r="B2585" i="13"/>
  <c r="B2584" i="13"/>
  <c r="B2583" i="13"/>
  <c r="B2582" i="13"/>
  <c r="B2581" i="13"/>
  <c r="B2580" i="13"/>
  <c r="B2579" i="13"/>
  <c r="B2578" i="13"/>
  <c r="B2577" i="13"/>
  <c r="B2576" i="13"/>
  <c r="B2575" i="13"/>
  <c r="B2574" i="13"/>
  <c r="B2573" i="13"/>
  <c r="B2572" i="13"/>
  <c r="F2571" i="13"/>
  <c r="B2571" i="13"/>
  <c r="B2570" i="13"/>
  <c r="B2569" i="13"/>
  <c r="B2568" i="13"/>
  <c r="B2567" i="13"/>
  <c r="B2566" i="13"/>
  <c r="B2565" i="13"/>
  <c r="B2563" i="13"/>
  <c r="B2562" i="13"/>
  <c r="B2561" i="13"/>
  <c r="B2560" i="13"/>
  <c r="B2559" i="13"/>
  <c r="B2558" i="13"/>
  <c r="B2557" i="13"/>
  <c r="B2556" i="13"/>
  <c r="B2555" i="13"/>
  <c r="B2554" i="13"/>
  <c r="B2553" i="13"/>
  <c r="B2552" i="13"/>
  <c r="B2551" i="13"/>
  <c r="B2550" i="13"/>
  <c r="B2549" i="13"/>
  <c r="B2548" i="13"/>
  <c r="B2547" i="13"/>
  <c r="B2546" i="13"/>
  <c r="B2545" i="13"/>
  <c r="B2544" i="13"/>
  <c r="B2543" i="13"/>
  <c r="B2542" i="13"/>
  <c r="B2541" i="13"/>
  <c r="B2540" i="13"/>
  <c r="B2539" i="13"/>
  <c r="B2538" i="13"/>
  <c r="B2537" i="13"/>
  <c r="B2536" i="13"/>
  <c r="B2535" i="13"/>
  <c r="B2534" i="13"/>
  <c r="B2533" i="13"/>
  <c r="B2532" i="13"/>
  <c r="B2531" i="13"/>
  <c r="B2530" i="13"/>
  <c r="B2529" i="13"/>
  <c r="B2528" i="13"/>
  <c r="B2527" i="13"/>
  <c r="B2526" i="13"/>
  <c r="B2525" i="13"/>
  <c r="B2524" i="13"/>
  <c r="B2523" i="13"/>
  <c r="B2522" i="13"/>
  <c r="B2521" i="13"/>
  <c r="B2520" i="13"/>
  <c r="F2519" i="13"/>
  <c r="B2519" i="13"/>
  <c r="B2518" i="13"/>
  <c r="B2517" i="13"/>
  <c r="B2516" i="13"/>
  <c r="B2515" i="13"/>
  <c r="B2514" i="13"/>
  <c r="B2513" i="13"/>
  <c r="B2512" i="13"/>
  <c r="B2511" i="13"/>
  <c r="B2510" i="13"/>
  <c r="B2509" i="13"/>
  <c r="B2508" i="13"/>
  <c r="B2507" i="13"/>
  <c r="B2506" i="13"/>
  <c r="B2505" i="13"/>
  <c r="B2504" i="13"/>
  <c r="B2503" i="13"/>
  <c r="B2502" i="13"/>
  <c r="B2501" i="13"/>
  <c r="B2500" i="13"/>
  <c r="B2499" i="13"/>
  <c r="B2498" i="13"/>
  <c r="B2496" i="13"/>
  <c r="B2495" i="13"/>
  <c r="B2494" i="13"/>
  <c r="B2493" i="13"/>
  <c r="B2492" i="13"/>
  <c r="B2491" i="13"/>
  <c r="B2490" i="13"/>
  <c r="B2489" i="13"/>
  <c r="B2488" i="13"/>
  <c r="B2487" i="13"/>
  <c r="B2486" i="13"/>
  <c r="B2485" i="13"/>
  <c r="B2484" i="13"/>
  <c r="B2483" i="13"/>
  <c r="B2482" i="13"/>
  <c r="B2481" i="13"/>
  <c r="B2480" i="13"/>
  <c r="B2479" i="13"/>
  <c r="B2478" i="13"/>
  <c r="B2477" i="13"/>
  <c r="B2476" i="13"/>
  <c r="B2475" i="13"/>
  <c r="B2474" i="13"/>
  <c r="B2473" i="13"/>
  <c r="B2472" i="13"/>
  <c r="B2471" i="13"/>
  <c r="B2470" i="13"/>
  <c r="B2469" i="13"/>
  <c r="B2468" i="13"/>
  <c r="B2467" i="13"/>
  <c r="B2466" i="13"/>
  <c r="B2465" i="13"/>
  <c r="B2464" i="13"/>
  <c r="B2463" i="13"/>
  <c r="B2462" i="13"/>
  <c r="B2461" i="13"/>
  <c r="B2460" i="13"/>
  <c r="B2459" i="13"/>
  <c r="B2458" i="13"/>
  <c r="B2457" i="13"/>
  <c r="B2456" i="13"/>
  <c r="B2455" i="13"/>
  <c r="B2454" i="13"/>
  <c r="B2453" i="13"/>
  <c r="B2452" i="13"/>
  <c r="B2451" i="13"/>
  <c r="B2450" i="13"/>
  <c r="B2449" i="13"/>
  <c r="B2448" i="13"/>
  <c r="B2447" i="13"/>
  <c r="B2446" i="13"/>
  <c r="B2445" i="13"/>
  <c r="B2444" i="13"/>
  <c r="B2443" i="13"/>
  <c r="B2442" i="13"/>
  <c r="B2441" i="13"/>
  <c r="F2440" i="13"/>
  <c r="B2440" i="13"/>
  <c r="B2439" i="13"/>
  <c r="B2438" i="13"/>
  <c r="B2437" i="13"/>
  <c r="B2436" i="13"/>
  <c r="B2435" i="13"/>
  <c r="B2434" i="13"/>
  <c r="B2433" i="13"/>
  <c r="B2432" i="13"/>
  <c r="B2430" i="13"/>
  <c r="B2429" i="13"/>
  <c r="B2428" i="13"/>
  <c r="B2427" i="13"/>
  <c r="B2426" i="13"/>
  <c r="B2425" i="13"/>
  <c r="B2424" i="13"/>
  <c r="B2423" i="13"/>
  <c r="B2422" i="13"/>
  <c r="B2421" i="13"/>
  <c r="B2420" i="13"/>
  <c r="B2419" i="13"/>
  <c r="B2418" i="13"/>
  <c r="B2417" i="13"/>
  <c r="B2416" i="13"/>
  <c r="B2415" i="13"/>
  <c r="B2414" i="13"/>
  <c r="B2413" i="13"/>
  <c r="B2412" i="13"/>
  <c r="B2411" i="13"/>
  <c r="B2410" i="13"/>
  <c r="B2409" i="13"/>
  <c r="B2408" i="13"/>
  <c r="B2407" i="13"/>
  <c r="B2406" i="13"/>
  <c r="B2405" i="13"/>
  <c r="B2404" i="13"/>
  <c r="B2403" i="13"/>
  <c r="B2402" i="13"/>
  <c r="B2401" i="13"/>
  <c r="B2400" i="13"/>
  <c r="B2399" i="13"/>
  <c r="B2398" i="13"/>
  <c r="B2397" i="13"/>
  <c r="B2396" i="13"/>
  <c r="B2395" i="13"/>
  <c r="B2394" i="13"/>
  <c r="B2393" i="13"/>
  <c r="F2392" i="13"/>
  <c r="B2392" i="13"/>
  <c r="B2391" i="13"/>
  <c r="B2390" i="13"/>
  <c r="B2389" i="13"/>
  <c r="B2388" i="13"/>
  <c r="B2387" i="13"/>
  <c r="B2386" i="13"/>
  <c r="B2385" i="13"/>
  <c r="B2384" i="13"/>
  <c r="B2383" i="13"/>
  <c r="B2382" i="13"/>
  <c r="B2381" i="13"/>
  <c r="B2380" i="13"/>
  <c r="B2379" i="13"/>
  <c r="B2378" i="13"/>
  <c r="B2377" i="13"/>
  <c r="B2376" i="13"/>
  <c r="B2375" i="13"/>
  <c r="B2374" i="13"/>
  <c r="B2373" i="13"/>
  <c r="B2372" i="13"/>
  <c r="B2371" i="13"/>
  <c r="B2370" i="13"/>
  <c r="B2369" i="13"/>
  <c r="B2367" i="13"/>
  <c r="B2366" i="13"/>
  <c r="B2365" i="13"/>
  <c r="B2364" i="13"/>
  <c r="B2363" i="13"/>
  <c r="B2362" i="13"/>
  <c r="B2361" i="13"/>
  <c r="B2360" i="13"/>
  <c r="B2359" i="13"/>
  <c r="B2358" i="13"/>
  <c r="B2357" i="13"/>
  <c r="B2356" i="13"/>
  <c r="B2355" i="13"/>
  <c r="B2354" i="13"/>
  <c r="B2353" i="13"/>
  <c r="B2352" i="13"/>
  <c r="B2351" i="13"/>
  <c r="B2350" i="13"/>
  <c r="B2349" i="13"/>
  <c r="B2348" i="13"/>
  <c r="B2347" i="13"/>
  <c r="B2346" i="13"/>
  <c r="B2345" i="13"/>
  <c r="B2344" i="13"/>
  <c r="B2343" i="13"/>
  <c r="B2342" i="13"/>
  <c r="B2341" i="13"/>
  <c r="B2340" i="13"/>
  <c r="B2339" i="13"/>
  <c r="B2338" i="13"/>
  <c r="B2337" i="13"/>
  <c r="B2336" i="13"/>
  <c r="B2335" i="13"/>
  <c r="B2334" i="13"/>
  <c r="B2333" i="13"/>
  <c r="B2332" i="13"/>
  <c r="F2331" i="13"/>
  <c r="B2331" i="13"/>
  <c r="B2330" i="13"/>
  <c r="B2329" i="13"/>
  <c r="B2328" i="13"/>
  <c r="B2327" i="13"/>
  <c r="B2326" i="13"/>
  <c r="B2325" i="13"/>
  <c r="B2324" i="13"/>
  <c r="B2323" i="13"/>
  <c r="B2322" i="13"/>
  <c r="B2321" i="13"/>
  <c r="F2320" i="13"/>
  <c r="B2320" i="13"/>
  <c r="B2319" i="13"/>
  <c r="B2318" i="13"/>
  <c r="B2317" i="13"/>
  <c r="B2316" i="13"/>
  <c r="B2314" i="13"/>
  <c r="B2313" i="13"/>
  <c r="B2312" i="13"/>
  <c r="B2311" i="13"/>
  <c r="B2310" i="13"/>
  <c r="B2309" i="13"/>
  <c r="B2308" i="13"/>
  <c r="B2307" i="13"/>
  <c r="B2306" i="13"/>
  <c r="B2305" i="13"/>
  <c r="B2304" i="13"/>
  <c r="B2303" i="13"/>
  <c r="B2302" i="13"/>
  <c r="B2301" i="13"/>
  <c r="B2300" i="13"/>
  <c r="B2299" i="13"/>
  <c r="B2298" i="13"/>
  <c r="B2297" i="13"/>
  <c r="B2296" i="13"/>
  <c r="B2295" i="13"/>
  <c r="B2294" i="13"/>
  <c r="B2293" i="13"/>
  <c r="B2292" i="13"/>
  <c r="B2291" i="13"/>
  <c r="B2290" i="13"/>
  <c r="B2289" i="13"/>
  <c r="B2288" i="13"/>
  <c r="B2287" i="13"/>
  <c r="B2286" i="13"/>
  <c r="B2285" i="13"/>
  <c r="B2284" i="13"/>
  <c r="B2283" i="13"/>
  <c r="B2282" i="13"/>
  <c r="B2281" i="13"/>
  <c r="B2280" i="13"/>
  <c r="B2279" i="13"/>
  <c r="B2278" i="13"/>
  <c r="B2277" i="13"/>
  <c r="B2276" i="13"/>
  <c r="B2275" i="13"/>
  <c r="B2274" i="13"/>
  <c r="B2273" i="13"/>
  <c r="B2272" i="13"/>
  <c r="B2271" i="13"/>
  <c r="B2270" i="13"/>
  <c r="B2269" i="13"/>
  <c r="B2268" i="13"/>
  <c r="B2267" i="13"/>
  <c r="B2266" i="13"/>
  <c r="B2265" i="13"/>
  <c r="B2264" i="13"/>
  <c r="B2263" i="13"/>
  <c r="B2262" i="13"/>
  <c r="B2261" i="13"/>
  <c r="B2260" i="13"/>
  <c r="B2259" i="13"/>
  <c r="B2258" i="13"/>
  <c r="F2257" i="13"/>
  <c r="B2257" i="13"/>
  <c r="B2256" i="13"/>
  <c r="B2255" i="13"/>
  <c r="B2254" i="13"/>
  <c r="B2253" i="13"/>
  <c r="B2252" i="13"/>
  <c r="B2251" i="13"/>
  <c r="B2250" i="13"/>
  <c r="B2249" i="13"/>
  <c r="B2248" i="13"/>
  <c r="B2247" i="13"/>
  <c r="B2246" i="13"/>
  <c r="B2245" i="13"/>
  <c r="B2244" i="13"/>
  <c r="B2242" i="13"/>
  <c r="B2241" i="13"/>
  <c r="B2240" i="13"/>
  <c r="B2239" i="13"/>
  <c r="B2238" i="13"/>
  <c r="B2237" i="13"/>
  <c r="B2236" i="13"/>
  <c r="B2235" i="13"/>
  <c r="B2234" i="13"/>
  <c r="B2233" i="13"/>
  <c r="B2232" i="13"/>
  <c r="B2231" i="13"/>
  <c r="B2230" i="13"/>
  <c r="B2229" i="13"/>
  <c r="B2228" i="13"/>
  <c r="B2227" i="13"/>
  <c r="B2226" i="13"/>
  <c r="B2225" i="13"/>
  <c r="B2224" i="13"/>
  <c r="B2223" i="13"/>
  <c r="B2222" i="13"/>
  <c r="B2221" i="13"/>
  <c r="B2220" i="13"/>
  <c r="B2219" i="13"/>
  <c r="B2218" i="13"/>
  <c r="B2217" i="13"/>
  <c r="B2216" i="13"/>
  <c r="B2215" i="13"/>
  <c r="B2214" i="13"/>
  <c r="B2213" i="13"/>
  <c r="B2212" i="13"/>
  <c r="B2211" i="13"/>
  <c r="B2210" i="13"/>
  <c r="B2209" i="13"/>
  <c r="B2208" i="13"/>
  <c r="B2207" i="13"/>
  <c r="B2206" i="13"/>
  <c r="B2205" i="13"/>
  <c r="B2204" i="13"/>
  <c r="B2203" i="13"/>
  <c r="B2202" i="13"/>
  <c r="B2201" i="13"/>
  <c r="B2200" i="13"/>
  <c r="B2199" i="13"/>
  <c r="B2198" i="13"/>
  <c r="B2197" i="13"/>
  <c r="B2196" i="13"/>
  <c r="B2195" i="13"/>
  <c r="B2194" i="13"/>
  <c r="B2193" i="13"/>
  <c r="B2192" i="13"/>
  <c r="B2191" i="13"/>
  <c r="B2190" i="13"/>
  <c r="B2189" i="13"/>
  <c r="B2188" i="13"/>
  <c r="B2187" i="13"/>
  <c r="B2186" i="13"/>
  <c r="B2185" i="13"/>
  <c r="B2184" i="13"/>
  <c r="B2183" i="13"/>
  <c r="B2182" i="13"/>
  <c r="B2181" i="13"/>
  <c r="F2180" i="13"/>
  <c r="B2180" i="13"/>
  <c r="B2179" i="13"/>
  <c r="B2178" i="13"/>
  <c r="B2177" i="13"/>
  <c r="B2176" i="13"/>
  <c r="E2175" i="13"/>
  <c r="F2176" i="13"/>
  <c r="B2175" i="13"/>
  <c r="B2174" i="13"/>
  <c r="B2173" i="13"/>
  <c r="B2172" i="13"/>
  <c r="B2171" i="13"/>
  <c r="B2170" i="13"/>
  <c r="B2168" i="13"/>
  <c r="B2167" i="13"/>
  <c r="B2166" i="13"/>
  <c r="B2165" i="13"/>
  <c r="B2164" i="13"/>
  <c r="B2163" i="13"/>
  <c r="B2162" i="13"/>
  <c r="B2161" i="13"/>
  <c r="B2160" i="13"/>
  <c r="B2159" i="13"/>
  <c r="B2158" i="13"/>
  <c r="B2157" i="13"/>
  <c r="B2156" i="13"/>
  <c r="B2155" i="13"/>
  <c r="B2154" i="13"/>
  <c r="B2153" i="13"/>
  <c r="B2152" i="13"/>
  <c r="B2151" i="13"/>
  <c r="B2150" i="13"/>
  <c r="B2149" i="13"/>
  <c r="B2148" i="13"/>
  <c r="B2147" i="13"/>
  <c r="B2146" i="13"/>
  <c r="B2145" i="13"/>
  <c r="B2144" i="13"/>
  <c r="B2143" i="13"/>
  <c r="B2142" i="13"/>
  <c r="B2141" i="13"/>
  <c r="B2140" i="13"/>
  <c r="B2139" i="13"/>
  <c r="B2138" i="13"/>
  <c r="B2137" i="13"/>
  <c r="B2136" i="13"/>
  <c r="B2135" i="13"/>
  <c r="B2134" i="13"/>
  <c r="B2133" i="13"/>
  <c r="B2132" i="13"/>
  <c r="B2131" i="13"/>
  <c r="B2130" i="13"/>
  <c r="B2129" i="13"/>
  <c r="B2128" i="13"/>
  <c r="B2127" i="13"/>
  <c r="B2126" i="13"/>
  <c r="B2125" i="13"/>
  <c r="B2124" i="13"/>
  <c r="B2123" i="13"/>
  <c r="B2122" i="13"/>
  <c r="B2121" i="13"/>
  <c r="B2120" i="13"/>
  <c r="B2119" i="13"/>
  <c r="B2118" i="13"/>
  <c r="B2117" i="13"/>
  <c r="B2116" i="13"/>
  <c r="F2115" i="13"/>
  <c r="B2115" i="13"/>
  <c r="B2114" i="13"/>
  <c r="B2113" i="13"/>
  <c r="B2112" i="13"/>
  <c r="B2111" i="13"/>
  <c r="G2110" i="13"/>
  <c r="B2110" i="13"/>
  <c r="B2109" i="13"/>
  <c r="B2108" i="13"/>
  <c r="B2107" i="13"/>
  <c r="B2106" i="13"/>
  <c r="B2105" i="13"/>
  <c r="B2104" i="13"/>
  <c r="B2103" i="13"/>
  <c r="B2102" i="13"/>
  <c r="B2101" i="13"/>
  <c r="B2100" i="13"/>
  <c r="B2099" i="13"/>
  <c r="B2098" i="13"/>
  <c r="B2097" i="13"/>
  <c r="B2096" i="13"/>
  <c r="B2095" i="13"/>
  <c r="B2094" i="13"/>
  <c r="B2093" i="13"/>
  <c r="B2091" i="13"/>
  <c r="B2090" i="13"/>
  <c r="B2089" i="13"/>
  <c r="B2088" i="13"/>
  <c r="B2087" i="13"/>
  <c r="B2086" i="13"/>
  <c r="B2085" i="13"/>
  <c r="B2084" i="13"/>
  <c r="B2083" i="13"/>
  <c r="B2082" i="13"/>
  <c r="B2081" i="13"/>
  <c r="B2080" i="13"/>
  <c r="B2079" i="13"/>
  <c r="B2078" i="13"/>
  <c r="B2077" i="13"/>
  <c r="B2076" i="13"/>
  <c r="B2075" i="13"/>
  <c r="B2074" i="13"/>
  <c r="B2073" i="13"/>
  <c r="B2072" i="13"/>
  <c r="B2071" i="13"/>
  <c r="B2070" i="13"/>
  <c r="B2069" i="13"/>
  <c r="B2068" i="13"/>
  <c r="B2067" i="13"/>
  <c r="B2066" i="13"/>
  <c r="B2065" i="13"/>
  <c r="B2064" i="13"/>
  <c r="B2063" i="13"/>
  <c r="B2062" i="13"/>
  <c r="B2061" i="13"/>
  <c r="B2060" i="13"/>
  <c r="B2059" i="13"/>
  <c r="B2058" i="13"/>
  <c r="B2057" i="13"/>
  <c r="B2056" i="13"/>
  <c r="B2055" i="13"/>
  <c r="B2054" i="13"/>
  <c r="B2053" i="13"/>
  <c r="B2052" i="13"/>
  <c r="B2051" i="13"/>
  <c r="B2050" i="13"/>
  <c r="B2049" i="13"/>
  <c r="B2048" i="13"/>
  <c r="B2047" i="13"/>
  <c r="B2046" i="13"/>
  <c r="B2045" i="13"/>
  <c r="B2044" i="13"/>
  <c r="B2043" i="13"/>
  <c r="B2042" i="13"/>
  <c r="B2041" i="13"/>
  <c r="F2040" i="13"/>
  <c r="B2040" i="13"/>
  <c r="B2039" i="13"/>
  <c r="B2038" i="13"/>
  <c r="B2037" i="13"/>
  <c r="E2036" i="13"/>
  <c r="B2036" i="13"/>
  <c r="B2035" i="13"/>
  <c r="B2034" i="13"/>
  <c r="B2033" i="13"/>
  <c r="B2032" i="13"/>
  <c r="B2031" i="13"/>
  <c r="B2030" i="13"/>
  <c r="B2029" i="13"/>
  <c r="E2028" i="13"/>
  <c r="F2029" i="13"/>
  <c r="B2028" i="13"/>
  <c r="B2027" i="13"/>
  <c r="B2026" i="13"/>
  <c r="B2025" i="13"/>
  <c r="B2024" i="13"/>
  <c r="B2023" i="13"/>
  <c r="B2022" i="13"/>
  <c r="B2021" i="13"/>
  <c r="B2020" i="13"/>
  <c r="B2019" i="13"/>
  <c r="B2018" i="13"/>
  <c r="B2017" i="13"/>
  <c r="B2016" i="13"/>
  <c r="B2015" i="13"/>
  <c r="B2014" i="13"/>
  <c r="B2012" i="13"/>
  <c r="B2011" i="13"/>
  <c r="B2010" i="13"/>
  <c r="B2009" i="13"/>
  <c r="B2008" i="13"/>
  <c r="B2007" i="13"/>
  <c r="B2006" i="13"/>
  <c r="B2005" i="13"/>
  <c r="B2004" i="13"/>
  <c r="B2003" i="13"/>
  <c r="B2002" i="13"/>
  <c r="B2001" i="13"/>
  <c r="B2000" i="13"/>
  <c r="B1999" i="13"/>
  <c r="B1998" i="13"/>
  <c r="E1997" i="13"/>
  <c r="F1997" i="13"/>
  <c r="B1997" i="13"/>
  <c r="B1996" i="13"/>
  <c r="B1995" i="13"/>
  <c r="B1994" i="13"/>
  <c r="B1993" i="13"/>
  <c r="E1992" i="13"/>
  <c r="F1992" i="13"/>
  <c r="B1992" i="13"/>
  <c r="B1991" i="13"/>
  <c r="B1990" i="13"/>
  <c r="B1989" i="13"/>
  <c r="B1988" i="13"/>
  <c r="B1987" i="13"/>
  <c r="B1986" i="13"/>
  <c r="B1985" i="13"/>
  <c r="B1984" i="13"/>
  <c r="B1983" i="13"/>
  <c r="B1982" i="13"/>
  <c r="B1981" i="13"/>
  <c r="B1980" i="13"/>
  <c r="B1979" i="13"/>
  <c r="B1978" i="13"/>
  <c r="E1977" i="13"/>
  <c r="B1977" i="13"/>
  <c r="E1976" i="13"/>
  <c r="B1976" i="13"/>
  <c r="B1975" i="13"/>
  <c r="B1974" i="13"/>
  <c r="B1973" i="13"/>
  <c r="B1972" i="13"/>
  <c r="B1971" i="13"/>
  <c r="B1970" i="13"/>
  <c r="B1969" i="13"/>
  <c r="B1968" i="13"/>
  <c r="B1967" i="13"/>
  <c r="B1966" i="13"/>
  <c r="B1965" i="13"/>
  <c r="B1964" i="13"/>
  <c r="B1963" i="13"/>
  <c r="B1962" i="13"/>
  <c r="B1961" i="13"/>
  <c r="B1960" i="13"/>
  <c r="B1959" i="13"/>
  <c r="B1958" i="13"/>
  <c r="B1957" i="13"/>
  <c r="B1956" i="13"/>
  <c r="B1955" i="13"/>
  <c r="B1954" i="13"/>
  <c r="B1953" i="13"/>
  <c r="B1952" i="13"/>
  <c r="B1951" i="13"/>
  <c r="B1950" i="13"/>
  <c r="B1949" i="13"/>
  <c r="B1948" i="13"/>
  <c r="B1947" i="13"/>
  <c r="B1946" i="13"/>
  <c r="B1945" i="13"/>
  <c r="B1944" i="13"/>
  <c r="B1943" i="13"/>
  <c r="E1942" i="13"/>
  <c r="B1942" i="13"/>
  <c r="B1941" i="13"/>
  <c r="B1940" i="13"/>
  <c r="B1939" i="13"/>
  <c r="B1938" i="13"/>
  <c r="B1937" i="13"/>
  <c r="B1936" i="13"/>
  <c r="F1935" i="13"/>
  <c r="B1935" i="13"/>
  <c r="B1934" i="13"/>
  <c r="B1933" i="13"/>
  <c r="B1932" i="13"/>
  <c r="B1931" i="13"/>
  <c r="B1930" i="13"/>
  <c r="B1929" i="13"/>
  <c r="B1928" i="13"/>
  <c r="B1927" i="13"/>
  <c r="B1926" i="13"/>
  <c r="B1925" i="13"/>
  <c r="B1924" i="13"/>
  <c r="B1922" i="13"/>
  <c r="B1921" i="13"/>
  <c r="B1920" i="13"/>
  <c r="B1919" i="13"/>
  <c r="B1918" i="13"/>
  <c r="B1917" i="13"/>
  <c r="B1916" i="13"/>
  <c r="B1915" i="13"/>
  <c r="B1914" i="13"/>
  <c r="B1913" i="13"/>
  <c r="B1912" i="13"/>
  <c r="B1911" i="13"/>
  <c r="B1910" i="13"/>
  <c r="B1909" i="13"/>
  <c r="B1908" i="13"/>
  <c r="B1907" i="13"/>
  <c r="B1906" i="13"/>
  <c r="B1905" i="13"/>
  <c r="B1904" i="13"/>
  <c r="B1903" i="13"/>
  <c r="B1902" i="13"/>
  <c r="F1901" i="13"/>
  <c r="B1901" i="13"/>
  <c r="B1900" i="13"/>
  <c r="B1899" i="13"/>
  <c r="B1898" i="13"/>
  <c r="B1897" i="13"/>
  <c r="B1896" i="13"/>
  <c r="B1895" i="13"/>
  <c r="B1894" i="13"/>
  <c r="B1893" i="13"/>
  <c r="B1892" i="13"/>
  <c r="B1891" i="13"/>
  <c r="B1890" i="13"/>
  <c r="B1889" i="13"/>
  <c r="B1888" i="13"/>
  <c r="B1887" i="13"/>
  <c r="E1886" i="13"/>
  <c r="B1886" i="13"/>
  <c r="B1885" i="13"/>
  <c r="B1884" i="13"/>
  <c r="B1883" i="13"/>
  <c r="B1882" i="13"/>
  <c r="B1881" i="13"/>
  <c r="B1880" i="13"/>
  <c r="B1879" i="13"/>
  <c r="B1878" i="13"/>
  <c r="B1877" i="13"/>
  <c r="B1876" i="13"/>
  <c r="B1875" i="13"/>
  <c r="B1874" i="13"/>
  <c r="B1873" i="13"/>
  <c r="B1872" i="13"/>
  <c r="B1871" i="13"/>
  <c r="B1870" i="13"/>
  <c r="B1869" i="13"/>
  <c r="B1868" i="13"/>
  <c r="B1867" i="13"/>
  <c r="B1866" i="13"/>
  <c r="B1865" i="13"/>
  <c r="F1864" i="13"/>
  <c r="B1864" i="13"/>
  <c r="E1863" i="13"/>
  <c r="B1863" i="13"/>
  <c r="B1862" i="13"/>
  <c r="B1861" i="13"/>
  <c r="F1860" i="13"/>
  <c r="E1860" i="13"/>
  <c r="B1860" i="13"/>
  <c r="B1859" i="13"/>
  <c r="B1858" i="13"/>
  <c r="B1857" i="13"/>
  <c r="B1856" i="13"/>
  <c r="B1855" i="13"/>
  <c r="B1854" i="13"/>
  <c r="B1852" i="13"/>
  <c r="B1851" i="13"/>
  <c r="B1850" i="13"/>
  <c r="B1849" i="13"/>
  <c r="B1848" i="13"/>
  <c r="B1847" i="13"/>
  <c r="B1846" i="13"/>
  <c r="B1845" i="13"/>
  <c r="B1844" i="13"/>
  <c r="B1843" i="13"/>
  <c r="B1842" i="13"/>
  <c r="B1841" i="13"/>
  <c r="B1840" i="13"/>
  <c r="B1839" i="13"/>
  <c r="B1838" i="13"/>
  <c r="B1837" i="13"/>
  <c r="B1836" i="13"/>
  <c r="B1835" i="13"/>
  <c r="B1834" i="13"/>
  <c r="B1833" i="13"/>
  <c r="B1832" i="13"/>
  <c r="B1831" i="13"/>
  <c r="F1830" i="13"/>
  <c r="B1830" i="13"/>
  <c r="B1829" i="13"/>
  <c r="B1828" i="13"/>
  <c r="B1827" i="13"/>
  <c r="B1826" i="13"/>
  <c r="B1825" i="13"/>
  <c r="B1824" i="13"/>
  <c r="B1823" i="13"/>
  <c r="B1822" i="13"/>
  <c r="B1821" i="13"/>
  <c r="B1820" i="13"/>
  <c r="B1819" i="13"/>
  <c r="B1818" i="13"/>
  <c r="B1817" i="13"/>
  <c r="B1816" i="13"/>
  <c r="B1815" i="13"/>
  <c r="B1814" i="13"/>
  <c r="B1813" i="13"/>
  <c r="B1812" i="13"/>
  <c r="E1811" i="13"/>
  <c r="B1811" i="13"/>
  <c r="E1810" i="13"/>
  <c r="F1811" i="13"/>
  <c r="B1810" i="13"/>
  <c r="B1809" i="13"/>
  <c r="B1808" i="13"/>
  <c r="B1807" i="13"/>
  <c r="B1806" i="13"/>
  <c r="B1805" i="13"/>
  <c r="F1804" i="13"/>
  <c r="B1804" i="13"/>
  <c r="B1803" i="13"/>
  <c r="B1802" i="13"/>
  <c r="B1801" i="13"/>
  <c r="B1800" i="13"/>
  <c r="B1799" i="13"/>
  <c r="B1798" i="13"/>
  <c r="B1797" i="13"/>
  <c r="B1796" i="13"/>
  <c r="B1795" i="13"/>
  <c r="B1794" i="13"/>
  <c r="B1793" i="13"/>
  <c r="B1792" i="13"/>
  <c r="B1791" i="13"/>
  <c r="B1790" i="13"/>
  <c r="B1789" i="13"/>
  <c r="B1788" i="13"/>
  <c r="B1787" i="13"/>
  <c r="B1786" i="13"/>
  <c r="B1785" i="13"/>
  <c r="B1784" i="13"/>
  <c r="B1783" i="13"/>
  <c r="E1782" i="13"/>
  <c r="B1782" i="13"/>
  <c r="B1781" i="13"/>
  <c r="B1780" i="13"/>
  <c r="B1779" i="13"/>
  <c r="B1778" i="13"/>
  <c r="B1776" i="13"/>
  <c r="B1775" i="13"/>
  <c r="B1774" i="13"/>
  <c r="B1773" i="13"/>
  <c r="B1772" i="13"/>
  <c r="B1771" i="13"/>
  <c r="B1770" i="13"/>
  <c r="B1769" i="13"/>
  <c r="B1768" i="13"/>
  <c r="B1767" i="13"/>
  <c r="B1766" i="13"/>
  <c r="B1765" i="13"/>
  <c r="B1764" i="13"/>
  <c r="B1763" i="13"/>
  <c r="B1762" i="13"/>
  <c r="B1761" i="13"/>
  <c r="B1760" i="13"/>
  <c r="B1759" i="13"/>
  <c r="B1758" i="13"/>
  <c r="B1757" i="13"/>
  <c r="B1756" i="13"/>
  <c r="B1755" i="13"/>
  <c r="B1754" i="13"/>
  <c r="B1753" i="13"/>
  <c r="B1752" i="13"/>
  <c r="B1751" i="13"/>
  <c r="B1750" i="13"/>
  <c r="B1749" i="13"/>
  <c r="B1748" i="13"/>
  <c r="B1747" i="13"/>
  <c r="B1746" i="13"/>
  <c r="B1745" i="13"/>
  <c r="B1744" i="13"/>
  <c r="B1743" i="13"/>
  <c r="B1742" i="13"/>
  <c r="B1741" i="13"/>
  <c r="B1740" i="13"/>
  <c r="B1739" i="13"/>
  <c r="B1738" i="13"/>
  <c r="B1737" i="13"/>
  <c r="B1736" i="13"/>
  <c r="B1735" i="13"/>
  <c r="B1734" i="13"/>
  <c r="B1733" i="13"/>
  <c r="B1732" i="13"/>
  <c r="B1731" i="13"/>
  <c r="B1730" i="13"/>
  <c r="B1729" i="13"/>
  <c r="B1728" i="13"/>
  <c r="B1727" i="13"/>
  <c r="F1726" i="13"/>
  <c r="B1726" i="13"/>
  <c r="B1725" i="13"/>
  <c r="E1724" i="13"/>
  <c r="B1724" i="13"/>
  <c r="B1723" i="13"/>
  <c r="E1722" i="13"/>
  <c r="B1722" i="13"/>
  <c r="B1721" i="13"/>
  <c r="B1720" i="13"/>
  <c r="B1719" i="13"/>
  <c r="B1718" i="13"/>
  <c r="B1717" i="13"/>
  <c r="B1716" i="13"/>
  <c r="B1715" i="13"/>
  <c r="B1714" i="13"/>
  <c r="B1713" i="13"/>
  <c r="B1712" i="13"/>
  <c r="B1711" i="13"/>
  <c r="B1710" i="13"/>
  <c r="B1709" i="13"/>
  <c r="B1708" i="13"/>
  <c r="B1707" i="13"/>
  <c r="B1706" i="13"/>
  <c r="F1705" i="13"/>
  <c r="E1705" i="13"/>
  <c r="B1705" i="13"/>
  <c r="B1704" i="13"/>
  <c r="B1703" i="13"/>
  <c r="B1702" i="13"/>
  <c r="B1701" i="13"/>
  <c r="B1700" i="13"/>
  <c r="B1699" i="13"/>
  <c r="B1697" i="13"/>
  <c r="B1696" i="13"/>
  <c r="B1695" i="13"/>
  <c r="B1694" i="13"/>
  <c r="B1693" i="13"/>
  <c r="B1692" i="13"/>
  <c r="B1691" i="13"/>
  <c r="B1690" i="13"/>
  <c r="B1689" i="13"/>
  <c r="B1688" i="13"/>
  <c r="B1687" i="13"/>
  <c r="B1686" i="13"/>
  <c r="B1685" i="13"/>
  <c r="B1684" i="13"/>
  <c r="B1683" i="13"/>
  <c r="B1682" i="13"/>
  <c r="B1681" i="13"/>
  <c r="B1680" i="13"/>
  <c r="B1679" i="13"/>
  <c r="B1678" i="13"/>
  <c r="B1677" i="13"/>
  <c r="B1676" i="13"/>
  <c r="B1675" i="13"/>
  <c r="B1674" i="13"/>
  <c r="B1673" i="13"/>
  <c r="B1672" i="13"/>
  <c r="B1671" i="13"/>
  <c r="B1670" i="13"/>
  <c r="B1669" i="13"/>
  <c r="E1668" i="13"/>
  <c r="B1668" i="13"/>
  <c r="B1667" i="13"/>
  <c r="B1666" i="13"/>
  <c r="B1665" i="13"/>
  <c r="B1664" i="13"/>
  <c r="B1663" i="13"/>
  <c r="B1662" i="13"/>
  <c r="B1661" i="13"/>
  <c r="B1660" i="13"/>
  <c r="B1659" i="13"/>
  <c r="B1658" i="13"/>
  <c r="B1657" i="13"/>
  <c r="B1656" i="13"/>
  <c r="B1655" i="13"/>
  <c r="B1654" i="13"/>
  <c r="B1653" i="13"/>
  <c r="B1652" i="13"/>
  <c r="B1651" i="13"/>
  <c r="B1650" i="13"/>
  <c r="B1649" i="13"/>
  <c r="B1648" i="13"/>
  <c r="B1647" i="13"/>
  <c r="B1646" i="13"/>
  <c r="B1644" i="13"/>
  <c r="B1643" i="13"/>
  <c r="B1642" i="13"/>
  <c r="B1641" i="13"/>
  <c r="B1640" i="13"/>
  <c r="B1639" i="13"/>
  <c r="B1638" i="13"/>
  <c r="B1637" i="13"/>
  <c r="B1636" i="13"/>
  <c r="B1635" i="13"/>
  <c r="B1634" i="13"/>
  <c r="B1633" i="13"/>
  <c r="B1632" i="13"/>
  <c r="B1631" i="13"/>
  <c r="B1630" i="13"/>
  <c r="B1629" i="13"/>
  <c r="B1628" i="13"/>
  <c r="B1627" i="13"/>
  <c r="B1626" i="13"/>
  <c r="B1625" i="13"/>
  <c r="B1624" i="13"/>
  <c r="B1623" i="13"/>
  <c r="B1622" i="13"/>
  <c r="B1621" i="13"/>
  <c r="E1620" i="13"/>
  <c r="F1620" i="13"/>
  <c r="B1620" i="13"/>
  <c r="B1619" i="13"/>
  <c r="B1618" i="13"/>
  <c r="B1617" i="13"/>
  <c r="B1616" i="13"/>
  <c r="B1615" i="13"/>
  <c r="B1614" i="13"/>
  <c r="B1613" i="13"/>
  <c r="B1612" i="13"/>
  <c r="B1611" i="13"/>
  <c r="B1610" i="13"/>
  <c r="B1609" i="13"/>
  <c r="B1608" i="13"/>
  <c r="B1607" i="13"/>
  <c r="B1606" i="13"/>
  <c r="E1605" i="13"/>
  <c r="B1605" i="13"/>
  <c r="B1604" i="13"/>
  <c r="B1603" i="13"/>
  <c r="B1602" i="13"/>
  <c r="B1601" i="13"/>
  <c r="B1600" i="13"/>
  <c r="B1599" i="13"/>
  <c r="B1598" i="13"/>
  <c r="B1597" i="13"/>
  <c r="B1596" i="13"/>
  <c r="B1595" i="13"/>
  <c r="B1594" i="13"/>
  <c r="B1593" i="13"/>
  <c r="B1592" i="13"/>
  <c r="B1591" i="13"/>
  <c r="B1590" i="13"/>
  <c r="B1589" i="13"/>
  <c r="B1588" i="13"/>
  <c r="B1587" i="13"/>
  <c r="B1586" i="13"/>
  <c r="B1585" i="13"/>
  <c r="B1584" i="13"/>
  <c r="B1583" i="13"/>
  <c r="B1582" i="13"/>
  <c r="B1581" i="13"/>
  <c r="B1580" i="13"/>
  <c r="B1578" i="13"/>
  <c r="B1577" i="13"/>
  <c r="B1576" i="13"/>
  <c r="B1575" i="13"/>
  <c r="B1574" i="13"/>
  <c r="B1573" i="13"/>
  <c r="B1572" i="13"/>
  <c r="B1571" i="13"/>
  <c r="B1570" i="13"/>
  <c r="B1569" i="13"/>
  <c r="B1568" i="13"/>
  <c r="B1567" i="13"/>
  <c r="B1566" i="13"/>
  <c r="B1565" i="13"/>
  <c r="B1564" i="13"/>
  <c r="B1563" i="13"/>
  <c r="B1562" i="13"/>
  <c r="B1561" i="13"/>
  <c r="B1560" i="13"/>
  <c r="B1559" i="13"/>
  <c r="B1558" i="13"/>
  <c r="B1557" i="13"/>
  <c r="B1556" i="13"/>
  <c r="B1555" i="13"/>
  <c r="B1554" i="13"/>
  <c r="B1553" i="13"/>
  <c r="B1552" i="13"/>
  <c r="B1551" i="13"/>
  <c r="B1550" i="13"/>
  <c r="B1549" i="13"/>
  <c r="B1548" i="13"/>
  <c r="B1547" i="13"/>
  <c r="B1546" i="13"/>
  <c r="B1545" i="13"/>
  <c r="B1544" i="13"/>
  <c r="B1543" i="13"/>
  <c r="E1542" i="13"/>
  <c r="B1542" i="13"/>
  <c r="B1541" i="13"/>
  <c r="B1540" i="13"/>
  <c r="B1539" i="13"/>
  <c r="B1538" i="13"/>
  <c r="F1537" i="13"/>
  <c r="B1537" i="13"/>
  <c r="B1536" i="13"/>
  <c r="F1535" i="13"/>
  <c r="B1535" i="13"/>
  <c r="E1534" i="13"/>
  <c r="B1534" i="13"/>
  <c r="B1533" i="13"/>
  <c r="B1532" i="13"/>
  <c r="B1531" i="13"/>
  <c r="B1530" i="13"/>
  <c r="B1529" i="13"/>
  <c r="B1528" i="13"/>
  <c r="B1527" i="13"/>
  <c r="B1526" i="13"/>
  <c r="B1525" i="13"/>
  <c r="B1524" i="13"/>
  <c r="B1523" i="13"/>
  <c r="B1522" i="13"/>
  <c r="B1521" i="13"/>
  <c r="B1520" i="13"/>
  <c r="B1519" i="13"/>
  <c r="B1518" i="13"/>
  <c r="B1517" i="13"/>
  <c r="B1516" i="13"/>
  <c r="F1515" i="13"/>
  <c r="B1515" i="13"/>
  <c r="B1514" i="13"/>
  <c r="B1513" i="13"/>
  <c r="B1512" i="13"/>
  <c r="B1511" i="13"/>
  <c r="B1510" i="13"/>
  <c r="B1509" i="13"/>
  <c r="F1508" i="13"/>
  <c r="B1508" i="13"/>
  <c r="B1507" i="13"/>
  <c r="B1506" i="13"/>
  <c r="B1504" i="13"/>
  <c r="B1503" i="13"/>
  <c r="B1502" i="13"/>
  <c r="B1501" i="13"/>
  <c r="B1500" i="13"/>
  <c r="B1499" i="13"/>
  <c r="B1498" i="13"/>
  <c r="B1497" i="13"/>
  <c r="B1496" i="13"/>
  <c r="B1495" i="13"/>
  <c r="B1494" i="13"/>
  <c r="B1493" i="13"/>
  <c r="B1492" i="13"/>
  <c r="B1491" i="13"/>
  <c r="B1490" i="13"/>
  <c r="B1489" i="13"/>
  <c r="B1488" i="13"/>
  <c r="B1487" i="13"/>
  <c r="B1486" i="13"/>
  <c r="B1485" i="13"/>
  <c r="B1484" i="13"/>
  <c r="B1483" i="13"/>
  <c r="B1482" i="13"/>
  <c r="B1481" i="13"/>
  <c r="B1480" i="13"/>
  <c r="B1479" i="13"/>
  <c r="B1478" i="13"/>
  <c r="B1477" i="13"/>
  <c r="B1476" i="13"/>
  <c r="B1475" i="13"/>
  <c r="B1474" i="13"/>
  <c r="B1473" i="13"/>
  <c r="B1472" i="13"/>
  <c r="B1471" i="13"/>
  <c r="B1470" i="13"/>
  <c r="B1469" i="13"/>
  <c r="B1468" i="13"/>
  <c r="B1467" i="13"/>
  <c r="B1466" i="13"/>
  <c r="E1465" i="13"/>
  <c r="B1465" i="13"/>
  <c r="B1464" i="13"/>
  <c r="B1463" i="13"/>
  <c r="B1462" i="13"/>
  <c r="B1461" i="13"/>
  <c r="B1460" i="13"/>
  <c r="B1459" i="13"/>
  <c r="B1458" i="13"/>
  <c r="B1457" i="13"/>
  <c r="B1456" i="13"/>
  <c r="B1455" i="13"/>
  <c r="B1454" i="13"/>
  <c r="F1453" i="13"/>
  <c r="B1453" i="13"/>
  <c r="E1452" i="13"/>
  <c r="B1452" i="13"/>
  <c r="B1451" i="13"/>
  <c r="B1450" i="13"/>
  <c r="B1449" i="13"/>
  <c r="B1448" i="13"/>
  <c r="B1447" i="13"/>
  <c r="B1446" i="13"/>
  <c r="B1445" i="13"/>
  <c r="B1444" i="13"/>
  <c r="B1443" i="13"/>
  <c r="B1442" i="13"/>
  <c r="B1441" i="13"/>
  <c r="B1440" i="13"/>
  <c r="B1438" i="13"/>
  <c r="B1437" i="13"/>
  <c r="B1436" i="13"/>
  <c r="B1435" i="13"/>
  <c r="B1434" i="13"/>
  <c r="B1433" i="13"/>
  <c r="B1432" i="13"/>
  <c r="B1431" i="13"/>
  <c r="B1430" i="13"/>
  <c r="B1429" i="13"/>
  <c r="B1428" i="13"/>
  <c r="B1427" i="13"/>
  <c r="B1426" i="13"/>
  <c r="B1425" i="13"/>
  <c r="B1424" i="13"/>
  <c r="B1423" i="13"/>
  <c r="B1422" i="13"/>
  <c r="B1421" i="13"/>
  <c r="B1420" i="13"/>
  <c r="B1419" i="13"/>
  <c r="B1418" i="13"/>
  <c r="B1417" i="13"/>
  <c r="B1416" i="13"/>
  <c r="B1415" i="13"/>
  <c r="B1414" i="13"/>
  <c r="B1413" i="13"/>
  <c r="B1412" i="13"/>
  <c r="B1411" i="13"/>
  <c r="B1410" i="13"/>
  <c r="F1409" i="13"/>
  <c r="B1409" i="13"/>
  <c r="E1408" i="13"/>
  <c r="B1408" i="13"/>
  <c r="B1407" i="13"/>
  <c r="B1406" i="13"/>
  <c r="B1405" i="13"/>
  <c r="B1404" i="13"/>
  <c r="B1403" i="13"/>
  <c r="B1402" i="13"/>
  <c r="B1401" i="13"/>
  <c r="B1400" i="13"/>
  <c r="B1399" i="13"/>
  <c r="B1398" i="13"/>
  <c r="B1397" i="13"/>
  <c r="B1396" i="13"/>
  <c r="B1395" i="13"/>
  <c r="B1394" i="13"/>
  <c r="B1393" i="13"/>
  <c r="B1392" i="13"/>
  <c r="B1391" i="13"/>
  <c r="B1390" i="13"/>
  <c r="B1389" i="13"/>
  <c r="B1388" i="13"/>
  <c r="B1387" i="13"/>
  <c r="B1386" i="13"/>
  <c r="B1385" i="13"/>
  <c r="B1384" i="13"/>
  <c r="F1383" i="13"/>
  <c r="B1383" i="13"/>
  <c r="B1382" i="13"/>
  <c r="B1381" i="13"/>
  <c r="B1380" i="13"/>
  <c r="B1379" i="13"/>
  <c r="B1378" i="13"/>
  <c r="E1377" i="13"/>
  <c r="B1377" i="13"/>
  <c r="B1376" i="13"/>
  <c r="B1375" i="13"/>
  <c r="B1374" i="13"/>
  <c r="B1373" i="13"/>
  <c r="B1372" i="13"/>
  <c r="B1371" i="13"/>
  <c r="B1370" i="13"/>
  <c r="B1369" i="13"/>
  <c r="F1368" i="13"/>
  <c r="B1368" i="13"/>
  <c r="B1367" i="13"/>
  <c r="B1366" i="13"/>
  <c r="B1365" i="13"/>
  <c r="F1364" i="13"/>
  <c r="B1364" i="13"/>
  <c r="B1363" i="13"/>
  <c r="B1362" i="13"/>
  <c r="B1361" i="13"/>
  <c r="B1360" i="13"/>
  <c r="B1359" i="13"/>
  <c r="B1358" i="13"/>
  <c r="B1357" i="13"/>
  <c r="B1356" i="13"/>
  <c r="B1355" i="13"/>
  <c r="B1354" i="13"/>
  <c r="B1353" i="13"/>
  <c r="B1352" i="13"/>
  <c r="B1351" i="13"/>
  <c r="B1350" i="13"/>
  <c r="B1349" i="13"/>
  <c r="B1347" i="13"/>
  <c r="B1346" i="13"/>
  <c r="B1345" i="13"/>
  <c r="B1344" i="13"/>
  <c r="B1343" i="13"/>
  <c r="B1342" i="13"/>
  <c r="B1341" i="13"/>
  <c r="B1340" i="13"/>
  <c r="B1339" i="13"/>
  <c r="B1338" i="13"/>
  <c r="B1337" i="13"/>
  <c r="B1336" i="13"/>
  <c r="B1335" i="13"/>
  <c r="B1334" i="13"/>
  <c r="B1333" i="13"/>
  <c r="B1332" i="13"/>
  <c r="B1331" i="13"/>
  <c r="B1330" i="13"/>
  <c r="B1329" i="13"/>
  <c r="B1328" i="13"/>
  <c r="B1327" i="13"/>
  <c r="B1326" i="13"/>
  <c r="B1325" i="13"/>
  <c r="B1324" i="13"/>
  <c r="B1323" i="13"/>
  <c r="B1322" i="13"/>
  <c r="B1321" i="13"/>
  <c r="B1320" i="13"/>
  <c r="B1319" i="13"/>
  <c r="B1318" i="13"/>
  <c r="B1317" i="13"/>
  <c r="B1316" i="13"/>
  <c r="B1315" i="13"/>
  <c r="B1314" i="13"/>
  <c r="B1313" i="13"/>
  <c r="B1312" i="13"/>
  <c r="B1311" i="13"/>
  <c r="B1310" i="13"/>
  <c r="B1309" i="13"/>
  <c r="B1308" i="13"/>
  <c r="B1307" i="13"/>
  <c r="B1306" i="13"/>
  <c r="B1305" i="13"/>
  <c r="B1304" i="13"/>
  <c r="B1303" i="13"/>
  <c r="B1302" i="13"/>
  <c r="B1301" i="13"/>
  <c r="B1300" i="13"/>
  <c r="B1299" i="13"/>
  <c r="B1298" i="13"/>
  <c r="B1297" i="13"/>
  <c r="B1296" i="13"/>
  <c r="B1295" i="13"/>
  <c r="B1294" i="13"/>
  <c r="B1293" i="13"/>
  <c r="B1292" i="13"/>
  <c r="B1291" i="13"/>
  <c r="B1290" i="13"/>
  <c r="B1289" i="13"/>
  <c r="B1288" i="13"/>
  <c r="B1287" i="13"/>
  <c r="B1286" i="13"/>
  <c r="B1285" i="13"/>
  <c r="B1284" i="13"/>
  <c r="B1283" i="13"/>
  <c r="B1282" i="13"/>
  <c r="B1281" i="13"/>
  <c r="B1280" i="13"/>
  <c r="B1279" i="13"/>
  <c r="B1278" i="13"/>
  <c r="B1277" i="13"/>
  <c r="B1276" i="13"/>
  <c r="B1275" i="13"/>
  <c r="B1274" i="13"/>
  <c r="B1273" i="13"/>
  <c r="B1272" i="13"/>
  <c r="B1271" i="13"/>
  <c r="B1269" i="13"/>
  <c r="B1268" i="13"/>
  <c r="B1267" i="13"/>
  <c r="B1266" i="13"/>
  <c r="B1265" i="13"/>
  <c r="B1264" i="13"/>
  <c r="B1263" i="13"/>
  <c r="B1262" i="13"/>
  <c r="B1261" i="13"/>
  <c r="B1260" i="13"/>
  <c r="B1259" i="13"/>
  <c r="B1258" i="13"/>
  <c r="B1257" i="13"/>
  <c r="B1256" i="13"/>
  <c r="B1255" i="13"/>
  <c r="B1254" i="13"/>
  <c r="B1253" i="13"/>
  <c r="B1252" i="13"/>
  <c r="B1251" i="13"/>
  <c r="B1250" i="13"/>
  <c r="B1249" i="13"/>
  <c r="B1248" i="13"/>
  <c r="B1247" i="13"/>
  <c r="B1246" i="13"/>
  <c r="B1245" i="13"/>
  <c r="B1244" i="13"/>
  <c r="B1243" i="13"/>
  <c r="B1242" i="13"/>
  <c r="B1241" i="13"/>
  <c r="B1240" i="13"/>
  <c r="B1239" i="13"/>
  <c r="B1238" i="13"/>
  <c r="B1237" i="13"/>
  <c r="B1236" i="13"/>
  <c r="B1235" i="13"/>
  <c r="B1234" i="13"/>
  <c r="B1233" i="13"/>
  <c r="B1232" i="13"/>
  <c r="B1231" i="13"/>
  <c r="B1230" i="13"/>
  <c r="B1229" i="13"/>
  <c r="B1228" i="13"/>
  <c r="B1227" i="13"/>
  <c r="B1226" i="13"/>
  <c r="B1225" i="13"/>
  <c r="B1224" i="13"/>
  <c r="B1223" i="13"/>
  <c r="B1222" i="13"/>
  <c r="B1221" i="13"/>
  <c r="B1220" i="13"/>
  <c r="B1219" i="13"/>
  <c r="B1218" i="13"/>
  <c r="B1217" i="13"/>
  <c r="B1216" i="13"/>
  <c r="B1215" i="13"/>
  <c r="B1214" i="13"/>
  <c r="B1213" i="13"/>
  <c r="B1212" i="13"/>
  <c r="B1211" i="13"/>
  <c r="B1210" i="13"/>
  <c r="B1209" i="13"/>
  <c r="B1208" i="13"/>
  <c r="B1207" i="13"/>
  <c r="B1206" i="13"/>
  <c r="B1205" i="13"/>
  <c r="B1204" i="13"/>
  <c r="B1203" i="13"/>
  <c r="B1202" i="13"/>
  <c r="B1201" i="13"/>
  <c r="B1200" i="13"/>
  <c r="B1199" i="13"/>
  <c r="B1198" i="13"/>
  <c r="B1197" i="13"/>
  <c r="B1196" i="13"/>
  <c r="B1195" i="13"/>
  <c r="B1193" i="13"/>
  <c r="B1192" i="13"/>
  <c r="B1191" i="13"/>
  <c r="B1190" i="13"/>
  <c r="B1189" i="13"/>
  <c r="B1188" i="13"/>
  <c r="B1187" i="13"/>
  <c r="B1186" i="13"/>
  <c r="B1185" i="13"/>
  <c r="B1184" i="13"/>
  <c r="B1183" i="13"/>
  <c r="B1182" i="13"/>
  <c r="B1181" i="13"/>
  <c r="B1180" i="13"/>
  <c r="B1179" i="13"/>
  <c r="B1178" i="13"/>
  <c r="B1177" i="13"/>
  <c r="B1176" i="13"/>
  <c r="B1175" i="13"/>
  <c r="B1174" i="13"/>
  <c r="B1173" i="13"/>
  <c r="B1172" i="13"/>
  <c r="B1171" i="13"/>
  <c r="B1170" i="13"/>
  <c r="B1169" i="13"/>
  <c r="B1168" i="13"/>
  <c r="B1167" i="13"/>
  <c r="B1166" i="13"/>
  <c r="B1165" i="13"/>
  <c r="B1164" i="13"/>
  <c r="B1163" i="13"/>
  <c r="B1162" i="13"/>
  <c r="B1161" i="13"/>
  <c r="B1160" i="13"/>
  <c r="B1159" i="13"/>
  <c r="B1158" i="13"/>
  <c r="B1157" i="13"/>
  <c r="B1156" i="13"/>
  <c r="B1155" i="13"/>
  <c r="B1154" i="13"/>
  <c r="B1153" i="13"/>
  <c r="B1152" i="13"/>
  <c r="B1151" i="13"/>
  <c r="B1150" i="13"/>
  <c r="B1149" i="13"/>
  <c r="B1148" i="13"/>
  <c r="B1147" i="13"/>
  <c r="B1146" i="13"/>
  <c r="B1145" i="13"/>
  <c r="B1144" i="13"/>
  <c r="B1143" i="13"/>
  <c r="B1142" i="13"/>
  <c r="B1141" i="13"/>
  <c r="B1140" i="13"/>
  <c r="B1139" i="13"/>
  <c r="B1138" i="13"/>
  <c r="B1137" i="13"/>
  <c r="B1136" i="13"/>
  <c r="B1135" i="13"/>
  <c r="B1134" i="13"/>
  <c r="B1133" i="13"/>
  <c r="B1132" i="13"/>
  <c r="B1131" i="13"/>
  <c r="B1130" i="13"/>
  <c r="B1129" i="13"/>
  <c r="B1128" i="13"/>
  <c r="B1127" i="13"/>
  <c r="B1126" i="13"/>
  <c r="B1125" i="13"/>
  <c r="B1124" i="13"/>
  <c r="B1123" i="13"/>
  <c r="B1122" i="13"/>
  <c r="B1120" i="13"/>
  <c r="B1119" i="13"/>
  <c r="B1118" i="13"/>
  <c r="B1117" i="13"/>
  <c r="B1116" i="13"/>
  <c r="B1115" i="13"/>
  <c r="B1114" i="13"/>
  <c r="B1113" i="13"/>
  <c r="B1112" i="13"/>
  <c r="B1111" i="13"/>
  <c r="B1110" i="13"/>
  <c r="B1109" i="13"/>
  <c r="B1108" i="13"/>
  <c r="B1107" i="13"/>
  <c r="B1106" i="13"/>
  <c r="B1105" i="13"/>
  <c r="B1104" i="13"/>
  <c r="B1103" i="13"/>
  <c r="B1102" i="13"/>
  <c r="E1101" i="13"/>
  <c r="B1101" i="13"/>
  <c r="B1100" i="13"/>
  <c r="B1099" i="13"/>
  <c r="B1098" i="13"/>
  <c r="B1097" i="13"/>
  <c r="B1096" i="13"/>
  <c r="B1095" i="13"/>
  <c r="B1094" i="13"/>
  <c r="B1093" i="13"/>
  <c r="B1092" i="13"/>
  <c r="B1091" i="13"/>
  <c r="B1090" i="13"/>
  <c r="B1089" i="13"/>
  <c r="B1088" i="13"/>
  <c r="B1087" i="13"/>
  <c r="B1086" i="13"/>
  <c r="B1085" i="13"/>
  <c r="B1084" i="13"/>
  <c r="B1083" i="13"/>
  <c r="B1082" i="13"/>
  <c r="B1081" i="13"/>
  <c r="B1080" i="13"/>
  <c r="B1079" i="13"/>
  <c r="B1078" i="13"/>
  <c r="B1077" i="13"/>
  <c r="B1076" i="13"/>
  <c r="B1075" i="13"/>
  <c r="B1074" i="13"/>
  <c r="B1073" i="13"/>
  <c r="B1072" i="13"/>
  <c r="B1071" i="13"/>
  <c r="B1070" i="13"/>
  <c r="B1069" i="13"/>
  <c r="B1068" i="13"/>
  <c r="B1067" i="13"/>
  <c r="B1066" i="13"/>
  <c r="B1065" i="13"/>
  <c r="B1064" i="13"/>
  <c r="B1063" i="13"/>
  <c r="B1062" i="13"/>
  <c r="B1061" i="13"/>
  <c r="B1060" i="13"/>
  <c r="B1059" i="13"/>
  <c r="B1058" i="13"/>
  <c r="B1057" i="13"/>
  <c r="B1056" i="13"/>
  <c r="B1054" i="13"/>
  <c r="B1053" i="13"/>
  <c r="B1052" i="13"/>
  <c r="B1051" i="13"/>
  <c r="B1050" i="13"/>
  <c r="B1049" i="13"/>
  <c r="B1048" i="13"/>
  <c r="B1047" i="13"/>
  <c r="B1046" i="13"/>
  <c r="B1045" i="13"/>
  <c r="B1044" i="13"/>
  <c r="B1043" i="13"/>
  <c r="B1042" i="13"/>
  <c r="B1041" i="13"/>
  <c r="B1040" i="13"/>
  <c r="B1039" i="13"/>
  <c r="B1038" i="13"/>
  <c r="B1036" i="13"/>
  <c r="B1035" i="13"/>
  <c r="B1034" i="13"/>
  <c r="B1033" i="13"/>
  <c r="B1032" i="13"/>
  <c r="B1031" i="13"/>
  <c r="B1030" i="13"/>
  <c r="B1029" i="13"/>
  <c r="B1028" i="13"/>
  <c r="B1027" i="13"/>
  <c r="B1026" i="13"/>
  <c r="B1025" i="13"/>
  <c r="B1024" i="13"/>
  <c r="B1023" i="13"/>
  <c r="B1022" i="13"/>
  <c r="B1021" i="13"/>
  <c r="B1020" i="13"/>
  <c r="B1019" i="13"/>
  <c r="B1018" i="13"/>
  <c r="B1017" i="13"/>
  <c r="B1016" i="13"/>
  <c r="B1015" i="13"/>
  <c r="B1014" i="13"/>
  <c r="B1013" i="13"/>
  <c r="B1012" i="13"/>
  <c r="B1011" i="13"/>
  <c r="B1010" i="13"/>
  <c r="B1009" i="13"/>
  <c r="B1008" i="13"/>
  <c r="B1007" i="13"/>
  <c r="B1006" i="13"/>
  <c r="B1005" i="13"/>
  <c r="E1004" i="13"/>
  <c r="B1004" i="13"/>
  <c r="E1003" i="13"/>
  <c r="B1003" i="13"/>
  <c r="B1002" i="13"/>
  <c r="B1001" i="13"/>
  <c r="B1000" i="13"/>
  <c r="B999" i="13"/>
  <c r="B998" i="13"/>
  <c r="B997" i="13"/>
  <c r="B996" i="13"/>
  <c r="B995" i="13"/>
  <c r="B994" i="13"/>
  <c r="B993" i="13"/>
  <c r="B992" i="13"/>
  <c r="B991" i="13"/>
  <c r="B990" i="13"/>
  <c r="B989" i="13"/>
  <c r="B987" i="13"/>
  <c r="B986" i="13"/>
  <c r="B985" i="13"/>
  <c r="B984" i="13"/>
  <c r="B983" i="13"/>
  <c r="B982" i="13"/>
  <c r="B981" i="13"/>
  <c r="B980" i="13"/>
  <c r="B979" i="13"/>
  <c r="B978" i="13"/>
  <c r="B977" i="13"/>
  <c r="B976" i="13"/>
  <c r="B975" i="13"/>
  <c r="B974" i="13"/>
  <c r="B973" i="13"/>
  <c r="B972" i="13"/>
  <c r="E971" i="13"/>
  <c r="B971" i="13"/>
  <c r="E970" i="13"/>
  <c r="B970" i="13"/>
  <c r="B969" i="13"/>
  <c r="B968" i="13"/>
  <c r="B967" i="13"/>
  <c r="B966" i="13"/>
  <c r="B965" i="13"/>
  <c r="B964" i="13"/>
  <c r="B963" i="13"/>
  <c r="B962" i="13"/>
  <c r="B961" i="13"/>
  <c r="B960" i="13"/>
  <c r="B959" i="13"/>
  <c r="B958" i="13"/>
  <c r="B957" i="13"/>
  <c r="B956" i="13"/>
  <c r="B955" i="13"/>
  <c r="B954" i="13"/>
  <c r="B953" i="13"/>
  <c r="B952" i="13"/>
  <c r="B951" i="13"/>
  <c r="B950" i="13"/>
  <c r="B949" i="13"/>
  <c r="B948" i="13"/>
  <c r="B947" i="13"/>
  <c r="B946" i="13"/>
  <c r="B945" i="13"/>
  <c r="B944" i="13"/>
  <c r="B943" i="13"/>
  <c r="B942" i="13"/>
  <c r="B941" i="13"/>
  <c r="B940" i="13"/>
  <c r="B939" i="13"/>
  <c r="B938" i="13"/>
  <c r="B937" i="13"/>
  <c r="B936" i="13"/>
  <c r="B935" i="13"/>
  <c r="B934" i="13"/>
  <c r="B933" i="13"/>
  <c r="B932" i="13"/>
  <c r="B931" i="13"/>
  <c r="B930" i="13"/>
  <c r="B929" i="13"/>
  <c r="B928" i="13"/>
  <c r="B927" i="13"/>
  <c r="B926" i="13"/>
  <c r="B925" i="13"/>
  <c r="B923" i="13"/>
  <c r="B922" i="13"/>
  <c r="B921" i="13"/>
  <c r="B920" i="13"/>
  <c r="B919" i="13"/>
  <c r="B918" i="13"/>
  <c r="B917" i="13"/>
  <c r="B916" i="13"/>
  <c r="B915" i="13"/>
  <c r="B914" i="13"/>
  <c r="B913" i="13"/>
  <c r="B912" i="13"/>
  <c r="B911" i="13"/>
  <c r="B910" i="13"/>
  <c r="B909" i="13"/>
  <c r="B908" i="13"/>
  <c r="B907" i="13"/>
  <c r="B906" i="13"/>
  <c r="B905" i="13"/>
  <c r="B904" i="13"/>
  <c r="B903" i="13"/>
  <c r="B902" i="13"/>
  <c r="B901" i="13"/>
  <c r="B900" i="13"/>
  <c r="B899" i="13"/>
  <c r="B898" i="13"/>
  <c r="B897" i="13"/>
  <c r="B896" i="13"/>
  <c r="B895" i="13"/>
  <c r="B894" i="13"/>
  <c r="B893" i="13"/>
  <c r="B892" i="13"/>
  <c r="B891" i="13"/>
  <c r="B890" i="13"/>
  <c r="E889" i="13"/>
  <c r="B889" i="13"/>
  <c r="E888" i="13"/>
  <c r="B888" i="13"/>
  <c r="B887" i="13"/>
  <c r="B886" i="13"/>
  <c r="B885" i="13"/>
  <c r="B884" i="13"/>
  <c r="B883" i="13"/>
  <c r="B882" i="13"/>
  <c r="B881" i="13"/>
  <c r="B880" i="13"/>
  <c r="B879" i="13"/>
  <c r="B878" i="13"/>
  <c r="B877" i="13"/>
  <c r="B876" i="13"/>
  <c r="B875" i="13"/>
  <c r="B874" i="13"/>
  <c r="B873" i="13"/>
  <c r="B872" i="13"/>
  <c r="B871" i="13"/>
  <c r="B870" i="13"/>
  <c r="B869" i="13"/>
  <c r="B868" i="13"/>
  <c r="B867" i="13"/>
  <c r="B866" i="13"/>
  <c r="B865" i="13"/>
  <c r="B864" i="13"/>
  <c r="B863" i="13"/>
  <c r="B862" i="13"/>
  <c r="B861" i="13"/>
  <c r="B860" i="13"/>
  <c r="B859" i="13"/>
  <c r="B858" i="13"/>
  <c r="B857" i="13"/>
  <c r="B855" i="13"/>
  <c r="B854" i="13"/>
  <c r="B853" i="13"/>
  <c r="B852" i="13"/>
  <c r="B851" i="13"/>
  <c r="B850" i="13"/>
  <c r="B849" i="13"/>
  <c r="B848" i="13"/>
  <c r="B847" i="13"/>
  <c r="B846" i="13"/>
  <c r="B845" i="13"/>
  <c r="B844" i="13"/>
  <c r="B843" i="13"/>
  <c r="B842" i="13"/>
  <c r="E841" i="13"/>
  <c r="B841" i="13"/>
  <c r="B840" i="13"/>
  <c r="B839" i="13"/>
  <c r="B838" i="13"/>
  <c r="B837" i="13"/>
  <c r="B836" i="13"/>
  <c r="B835" i="13"/>
  <c r="B834" i="13"/>
  <c r="B833" i="13"/>
  <c r="B832" i="13"/>
  <c r="B831" i="13"/>
  <c r="B830" i="13"/>
  <c r="B829" i="13"/>
  <c r="B828" i="13"/>
  <c r="B827" i="13"/>
  <c r="B826" i="13"/>
  <c r="B825" i="13"/>
  <c r="B824" i="13"/>
  <c r="B823" i="13"/>
  <c r="B822" i="13"/>
  <c r="B821" i="13"/>
  <c r="B820" i="13"/>
  <c r="B819" i="13"/>
  <c r="B818" i="13"/>
  <c r="B817" i="13"/>
  <c r="E816" i="13"/>
  <c r="B816" i="13"/>
  <c r="E815" i="13"/>
  <c r="B815" i="13"/>
  <c r="B814" i="13"/>
  <c r="B813" i="13"/>
  <c r="B812" i="13"/>
  <c r="B811" i="13"/>
  <c r="B810" i="13"/>
  <c r="B809" i="13"/>
  <c r="B808" i="13"/>
  <c r="B807" i="13"/>
  <c r="B806" i="13"/>
  <c r="B805" i="13"/>
  <c r="B804" i="13"/>
  <c r="B803" i="13"/>
  <c r="B802" i="13"/>
  <c r="B801" i="13"/>
  <c r="B800" i="13"/>
  <c r="B799" i="13"/>
  <c r="B798" i="13"/>
  <c r="B797" i="13"/>
  <c r="B796" i="13"/>
  <c r="B794" i="13"/>
  <c r="B793" i="13"/>
  <c r="B792" i="13"/>
  <c r="B791" i="13"/>
  <c r="B790" i="13"/>
  <c r="B789" i="13"/>
  <c r="B788" i="13"/>
  <c r="B787" i="13"/>
  <c r="B786" i="13"/>
  <c r="B785" i="13"/>
  <c r="E784" i="13"/>
  <c r="B784" i="13"/>
  <c r="B783" i="13"/>
  <c r="B782" i="13"/>
  <c r="E781" i="13"/>
  <c r="B781" i="13"/>
  <c r="B780" i="13"/>
  <c r="B779" i="13"/>
  <c r="B778" i="13"/>
  <c r="B777" i="13"/>
  <c r="B776" i="13"/>
  <c r="B775" i="13"/>
  <c r="B774" i="13"/>
  <c r="B773" i="13"/>
  <c r="B772" i="13"/>
  <c r="B771" i="13"/>
  <c r="B770" i="13"/>
  <c r="B769" i="13"/>
  <c r="B768" i="13"/>
  <c r="B767" i="13"/>
  <c r="B766" i="13"/>
  <c r="B765" i="13"/>
  <c r="B764" i="13"/>
  <c r="B763" i="13"/>
  <c r="B762" i="13"/>
  <c r="B761" i="13"/>
  <c r="B760" i="13"/>
  <c r="B759" i="13"/>
  <c r="B758" i="13"/>
  <c r="B757" i="13"/>
  <c r="B756" i="13"/>
  <c r="B755" i="13"/>
  <c r="B754" i="13"/>
  <c r="B753" i="13"/>
  <c r="B752" i="13"/>
  <c r="B751" i="13"/>
  <c r="B750" i="13"/>
  <c r="B749" i="13"/>
  <c r="B748" i="13"/>
  <c r="B747" i="13"/>
  <c r="B746" i="13"/>
  <c r="B745" i="13"/>
  <c r="B744" i="13"/>
  <c r="B743" i="13"/>
  <c r="B742" i="13"/>
  <c r="E741" i="13"/>
  <c r="B741" i="13"/>
  <c r="B740" i="13"/>
  <c r="B739" i="13"/>
  <c r="B738" i="13"/>
  <c r="B737" i="13"/>
  <c r="B736" i="13"/>
  <c r="B735" i="13"/>
  <c r="B734" i="13"/>
  <c r="B733" i="13"/>
  <c r="B732" i="13"/>
  <c r="B731" i="13"/>
  <c r="B730" i="13"/>
  <c r="B729" i="13"/>
  <c r="B728" i="13"/>
  <c r="B727" i="13"/>
  <c r="B726" i="13"/>
  <c r="B725" i="13"/>
  <c r="B724" i="13"/>
  <c r="B723" i="13"/>
  <c r="B722" i="13"/>
  <c r="B721" i="13"/>
  <c r="B720" i="13"/>
  <c r="B719" i="13"/>
  <c r="B718" i="13"/>
  <c r="B717" i="13"/>
  <c r="B716" i="13"/>
  <c r="B715" i="13"/>
  <c r="B714" i="13"/>
  <c r="B712" i="13"/>
  <c r="B711" i="13"/>
  <c r="B710" i="13"/>
  <c r="B709" i="13"/>
  <c r="B708" i="13"/>
  <c r="B707" i="13"/>
  <c r="B706" i="13"/>
  <c r="B705" i="13"/>
  <c r="B704" i="13"/>
  <c r="B703" i="13"/>
  <c r="B702" i="13"/>
  <c r="B701" i="13"/>
  <c r="B700" i="13"/>
  <c r="B699" i="13"/>
  <c r="B698" i="13"/>
  <c r="B697" i="13"/>
  <c r="B696" i="13"/>
  <c r="B695" i="13"/>
  <c r="B694" i="13"/>
  <c r="B693" i="13"/>
  <c r="B692" i="13"/>
  <c r="B691" i="13"/>
  <c r="B690" i="13"/>
  <c r="B689" i="13"/>
  <c r="B688" i="13"/>
  <c r="B687" i="13"/>
  <c r="B686" i="13"/>
  <c r="B685" i="13"/>
  <c r="B684" i="13"/>
  <c r="B683" i="13"/>
  <c r="B682" i="13"/>
  <c r="B681" i="13"/>
  <c r="B680" i="13"/>
  <c r="B679" i="13"/>
  <c r="B678" i="13"/>
  <c r="B677" i="13"/>
  <c r="B676" i="13"/>
  <c r="B675" i="13"/>
  <c r="B674" i="13"/>
  <c r="B673" i="13"/>
  <c r="B672" i="13"/>
  <c r="B671" i="13"/>
  <c r="B670" i="13"/>
  <c r="B669" i="13"/>
  <c r="B668" i="13"/>
  <c r="B667" i="13"/>
  <c r="B666" i="13"/>
  <c r="B665" i="13"/>
  <c r="B664" i="13"/>
  <c r="B663" i="13"/>
  <c r="B662" i="13"/>
  <c r="B661" i="13"/>
  <c r="B660" i="13"/>
  <c r="B659" i="13"/>
  <c r="B658" i="13"/>
  <c r="B657" i="13"/>
  <c r="B656" i="13"/>
  <c r="B655" i="13"/>
  <c r="B654" i="13"/>
  <c r="B653" i="13"/>
  <c r="B652" i="13"/>
  <c r="B651" i="13"/>
  <c r="B650" i="13"/>
  <c r="B649" i="13"/>
  <c r="B648" i="13"/>
  <c r="B647" i="13"/>
  <c r="B646" i="13"/>
  <c r="B645" i="13"/>
  <c r="B644" i="13"/>
  <c r="B643" i="13"/>
  <c r="B642" i="13"/>
  <c r="B641" i="13"/>
  <c r="B640" i="13"/>
  <c r="B639" i="13"/>
  <c r="B638" i="13"/>
  <c r="B636" i="13"/>
  <c r="B635" i="13"/>
  <c r="B634" i="13"/>
  <c r="B633" i="13"/>
  <c r="B632" i="13"/>
  <c r="B631" i="13"/>
  <c r="B630" i="13"/>
  <c r="B629" i="13"/>
  <c r="B628" i="13"/>
  <c r="B627" i="13"/>
  <c r="B626" i="13"/>
  <c r="B625" i="13"/>
  <c r="B624" i="13"/>
  <c r="B623" i="13"/>
  <c r="B622" i="13"/>
  <c r="B621" i="13"/>
  <c r="B620" i="13"/>
  <c r="B619" i="13"/>
  <c r="B618" i="13"/>
  <c r="B617" i="13"/>
  <c r="B616" i="13"/>
  <c r="B615" i="13"/>
  <c r="B614" i="13"/>
  <c r="B613" i="13"/>
  <c r="B612" i="13"/>
  <c r="B611" i="13"/>
  <c r="B610" i="13"/>
  <c r="B609" i="13"/>
  <c r="B608" i="13"/>
  <c r="B607" i="13"/>
  <c r="B606" i="13"/>
  <c r="B605" i="13"/>
  <c r="B604" i="13"/>
  <c r="B603" i="13"/>
  <c r="B602" i="13"/>
  <c r="B601" i="13"/>
  <c r="B600" i="13"/>
  <c r="B599" i="13"/>
  <c r="B598" i="13"/>
  <c r="B597" i="13"/>
  <c r="B596" i="13"/>
  <c r="B595" i="13"/>
  <c r="B594" i="13"/>
  <c r="B593" i="13"/>
  <c r="B592" i="13"/>
  <c r="B591" i="13"/>
  <c r="B590" i="13"/>
  <c r="B589" i="13"/>
  <c r="B588" i="13"/>
  <c r="B587" i="13"/>
  <c r="B586" i="13"/>
  <c r="B585" i="13"/>
  <c r="B584" i="13"/>
  <c r="B583" i="13"/>
  <c r="B582" i="13"/>
  <c r="B581" i="13"/>
  <c r="B580" i="13"/>
  <c r="B579" i="13"/>
  <c r="B578" i="13"/>
  <c r="B577" i="13"/>
  <c r="B576" i="13"/>
  <c r="B575" i="13"/>
  <c r="B574" i="13"/>
  <c r="B573" i="13"/>
  <c r="B572" i="13"/>
  <c r="B571" i="13"/>
  <c r="B570" i="13"/>
  <c r="B569" i="13"/>
  <c r="B568" i="13"/>
  <c r="B567" i="13"/>
  <c r="B566" i="13"/>
  <c r="B565" i="13"/>
  <c r="B564" i="13"/>
  <c r="B563" i="13"/>
  <c r="B562" i="13"/>
  <c r="B561" i="13"/>
  <c r="B560" i="13"/>
  <c r="B559" i="13"/>
  <c r="B558" i="13"/>
  <c r="B557" i="13"/>
  <c r="B556" i="13"/>
  <c r="B555" i="13"/>
  <c r="B553" i="13"/>
  <c r="B552" i="13"/>
  <c r="B551" i="13"/>
  <c r="B550" i="13"/>
  <c r="B549" i="13"/>
  <c r="B548" i="13"/>
  <c r="B547" i="13"/>
  <c r="B546" i="13"/>
  <c r="B545" i="13"/>
  <c r="B544" i="13"/>
  <c r="B543" i="13"/>
  <c r="B542" i="13"/>
  <c r="B541" i="13"/>
  <c r="B540" i="13"/>
  <c r="B539" i="13"/>
  <c r="B538" i="13"/>
  <c r="B537" i="13"/>
  <c r="B536" i="13"/>
  <c r="B535" i="13"/>
  <c r="B534" i="13"/>
  <c r="B533" i="13"/>
  <c r="B532" i="13"/>
  <c r="B531" i="13"/>
  <c r="B530" i="13"/>
  <c r="B529" i="13"/>
  <c r="B528" i="13"/>
  <c r="B527" i="13"/>
  <c r="B526" i="13"/>
  <c r="B525" i="13"/>
  <c r="B524" i="13"/>
  <c r="B523" i="13"/>
  <c r="B522" i="13"/>
  <c r="B521" i="13"/>
  <c r="B520" i="13"/>
  <c r="B519" i="13"/>
  <c r="B518" i="13"/>
  <c r="B517" i="13"/>
  <c r="B516" i="13"/>
  <c r="B515" i="13"/>
  <c r="B514" i="13"/>
  <c r="B513" i="13"/>
  <c r="B512" i="13"/>
  <c r="B511" i="13"/>
  <c r="B510" i="13"/>
  <c r="B509" i="13"/>
  <c r="B508" i="13"/>
  <c r="E507" i="13"/>
  <c r="B507" i="13"/>
  <c r="B506" i="13"/>
  <c r="B505" i="13"/>
  <c r="B504" i="13"/>
  <c r="B503" i="13"/>
  <c r="B502" i="13"/>
  <c r="B501" i="13"/>
  <c r="B500" i="13"/>
  <c r="B499" i="13"/>
  <c r="B498" i="13"/>
  <c r="B497" i="13"/>
  <c r="B496" i="13"/>
  <c r="B495" i="13"/>
  <c r="B494" i="13"/>
  <c r="B493" i="13"/>
  <c r="B492" i="13"/>
  <c r="B491" i="13"/>
  <c r="B490" i="13"/>
  <c r="B489" i="13"/>
  <c r="B488" i="13"/>
  <c r="B487" i="13"/>
  <c r="B486" i="13"/>
  <c r="B485" i="13"/>
  <c r="B484" i="13"/>
  <c r="B483" i="13"/>
  <c r="B482" i="13"/>
  <c r="B481" i="13"/>
  <c r="B480" i="13"/>
  <c r="B479" i="13"/>
  <c r="B478" i="13"/>
  <c r="B477" i="13"/>
  <c r="B476" i="13"/>
  <c r="B474" i="13"/>
  <c r="B473" i="13"/>
  <c r="B472" i="13"/>
  <c r="B471" i="13"/>
  <c r="B470" i="13"/>
  <c r="B469" i="13"/>
  <c r="B468" i="13"/>
  <c r="B467" i="13"/>
  <c r="B466" i="13"/>
  <c r="B465" i="13"/>
  <c r="B464" i="13"/>
  <c r="B463" i="13"/>
  <c r="B462" i="13"/>
  <c r="B461" i="13"/>
  <c r="B460" i="13"/>
  <c r="B459" i="13"/>
  <c r="B458" i="13"/>
  <c r="B457" i="13"/>
  <c r="B456" i="13"/>
  <c r="B455" i="13"/>
  <c r="B454" i="13"/>
  <c r="B453" i="13"/>
  <c r="B452" i="13"/>
  <c r="B451" i="13"/>
  <c r="B450" i="13"/>
  <c r="B449" i="13"/>
  <c r="B448" i="13"/>
  <c r="B447" i="13"/>
  <c r="B446" i="13"/>
  <c r="B445" i="13"/>
  <c r="B444" i="13"/>
  <c r="B443" i="13"/>
  <c r="B442" i="13"/>
  <c r="E441" i="13"/>
  <c r="B441" i="13"/>
  <c r="B440" i="13"/>
  <c r="B439" i="13"/>
  <c r="B438" i="13"/>
  <c r="B437" i="13"/>
  <c r="B436" i="13"/>
  <c r="B435" i="13"/>
  <c r="B434" i="13"/>
  <c r="B433" i="13"/>
  <c r="B432" i="13"/>
  <c r="B431" i="13"/>
  <c r="B430" i="13"/>
  <c r="B429" i="13"/>
  <c r="B428" i="13"/>
  <c r="B427" i="13"/>
  <c r="B426" i="13"/>
  <c r="B425" i="13"/>
  <c r="B424" i="13"/>
  <c r="B423" i="13"/>
  <c r="B422" i="13"/>
  <c r="B421" i="13"/>
  <c r="B420" i="13"/>
  <c r="B419" i="13"/>
  <c r="B418" i="13"/>
  <c r="B417" i="13"/>
  <c r="B416" i="13"/>
  <c r="B415" i="13"/>
  <c r="B414" i="13"/>
  <c r="B413" i="13"/>
  <c r="B412" i="13"/>
  <c r="B411" i="13"/>
  <c r="B410" i="13"/>
  <c r="B409" i="13"/>
  <c r="B408" i="13"/>
  <c r="B407" i="13"/>
  <c r="B406" i="13"/>
  <c r="B405" i="13"/>
  <c r="B404" i="13"/>
  <c r="B402" i="13"/>
  <c r="B401" i="13"/>
  <c r="B400" i="13"/>
  <c r="B399" i="13"/>
  <c r="B398" i="13"/>
  <c r="E397" i="13"/>
  <c r="B397" i="13"/>
  <c r="B396" i="13"/>
  <c r="B395" i="13"/>
  <c r="B394" i="13"/>
  <c r="B393" i="13"/>
  <c r="B392" i="13"/>
  <c r="B391" i="13"/>
  <c r="B390" i="13"/>
  <c r="B389" i="13"/>
  <c r="B388" i="13"/>
  <c r="B387" i="13"/>
  <c r="B386" i="13"/>
  <c r="B385" i="13"/>
  <c r="B384" i="13"/>
  <c r="B383" i="13"/>
  <c r="B382" i="13"/>
  <c r="B381" i="13"/>
  <c r="B380" i="13"/>
  <c r="B379" i="13"/>
  <c r="B378" i="13"/>
  <c r="B377" i="13"/>
  <c r="B376" i="13"/>
  <c r="B375" i="13"/>
  <c r="B374" i="13"/>
  <c r="B373" i="13"/>
  <c r="B372" i="13"/>
  <c r="B371" i="13"/>
  <c r="B370" i="13"/>
  <c r="B369" i="13"/>
  <c r="E368" i="13"/>
  <c r="B368" i="13"/>
  <c r="B367" i="13"/>
  <c r="B366" i="13"/>
  <c r="B365" i="13"/>
  <c r="B364" i="13"/>
  <c r="E363" i="13"/>
  <c r="B363" i="13"/>
  <c r="B362" i="13"/>
  <c r="B361" i="13"/>
  <c r="B360" i="13"/>
  <c r="B359" i="13"/>
  <c r="B358" i="13"/>
  <c r="B357" i="13"/>
  <c r="B356" i="13"/>
  <c r="B355" i="13"/>
  <c r="B354" i="13"/>
  <c r="B353" i="13"/>
  <c r="B352" i="13"/>
  <c r="B351" i="13"/>
  <c r="B350" i="13"/>
  <c r="B349" i="13"/>
  <c r="B348" i="13"/>
  <c r="B347" i="13"/>
  <c r="B346" i="13"/>
  <c r="B345" i="13"/>
  <c r="B344" i="13"/>
  <c r="B343" i="13"/>
  <c r="B342" i="13"/>
  <c r="B341" i="13"/>
  <c r="B340" i="13"/>
  <c r="B339" i="13"/>
  <c r="B338" i="13"/>
  <c r="B337" i="13"/>
  <c r="B336" i="13"/>
  <c r="B334" i="13"/>
  <c r="B333" i="13"/>
  <c r="B332" i="13"/>
  <c r="B331" i="13"/>
  <c r="B330" i="13"/>
  <c r="B329" i="13"/>
  <c r="B328" i="13"/>
  <c r="B327" i="13"/>
  <c r="B326" i="13"/>
  <c r="B325" i="13"/>
  <c r="B324" i="13"/>
  <c r="B323" i="13"/>
  <c r="B322" i="13"/>
  <c r="B321" i="13"/>
  <c r="B320" i="13"/>
  <c r="E319" i="13"/>
  <c r="B319" i="13"/>
  <c r="B318" i="13"/>
  <c r="B317" i="13"/>
  <c r="B316" i="13"/>
  <c r="B315" i="13"/>
  <c r="B314" i="13"/>
  <c r="B313" i="13"/>
  <c r="B312" i="13"/>
  <c r="B311" i="13"/>
  <c r="B310" i="13"/>
  <c r="B309" i="13"/>
  <c r="B308" i="13"/>
  <c r="B306" i="13"/>
  <c r="B305" i="13"/>
  <c r="B304" i="13"/>
  <c r="B303" i="13"/>
  <c r="B302" i="13"/>
  <c r="B301" i="13"/>
  <c r="B300" i="13"/>
  <c r="B299" i="13"/>
  <c r="B298" i="13"/>
  <c r="B297" i="13"/>
  <c r="B296" i="13"/>
  <c r="B295" i="13"/>
  <c r="B294" i="13"/>
  <c r="B293" i="13"/>
  <c r="B292" i="13"/>
  <c r="E291" i="13"/>
  <c r="B291" i="13"/>
  <c r="B290" i="13"/>
  <c r="B289" i="13"/>
  <c r="B288" i="13"/>
  <c r="B287" i="13"/>
  <c r="B307" i="13"/>
  <c r="B286" i="13"/>
  <c r="B285" i="13"/>
  <c r="B284" i="13"/>
  <c r="B283" i="13"/>
  <c r="B282" i="13"/>
  <c r="B281" i="13"/>
  <c r="B280" i="13"/>
  <c r="B279" i="13"/>
  <c r="B278" i="13"/>
  <c r="B277" i="13"/>
  <c r="B276" i="13"/>
  <c r="B275" i="13"/>
  <c r="E274" i="13"/>
  <c r="B274" i="13"/>
  <c r="B273" i="13"/>
  <c r="B272" i="13"/>
  <c r="B271" i="13"/>
  <c r="B270" i="13"/>
  <c r="B269" i="13"/>
  <c r="B268" i="13"/>
  <c r="B267" i="13"/>
  <c r="B266" i="13"/>
  <c r="B265" i="13"/>
  <c r="B264" i="13"/>
  <c r="B263" i="13"/>
  <c r="B262" i="13"/>
  <c r="B261" i="13"/>
  <c r="B260" i="13"/>
  <c r="B259" i="13"/>
  <c r="B258" i="13"/>
  <c r="B257" i="13"/>
  <c r="B256" i="13"/>
  <c r="B255" i="13"/>
  <c r="B254" i="13"/>
  <c r="B253" i="13"/>
  <c r="B252" i="13"/>
  <c r="B251" i="13"/>
  <c r="B250" i="13"/>
  <c r="B248" i="13"/>
  <c r="B247" i="13"/>
  <c r="B246" i="13"/>
  <c r="B245" i="13"/>
  <c r="B244" i="13"/>
  <c r="B243" i="13"/>
  <c r="B242" i="13"/>
  <c r="B241" i="13"/>
  <c r="B239" i="13"/>
  <c r="B238" i="13"/>
  <c r="B237" i="13"/>
  <c r="B236" i="13"/>
  <c r="B235" i="13"/>
  <c r="B234" i="13"/>
  <c r="B233" i="13"/>
  <c r="B232" i="13"/>
  <c r="B231" i="13"/>
  <c r="B230" i="13"/>
  <c r="B229" i="13"/>
  <c r="B228" i="13"/>
  <c r="B227" i="13"/>
  <c r="B225" i="13"/>
  <c r="B224" i="13"/>
  <c r="B223" i="13"/>
  <c r="B222" i="13"/>
  <c r="B221" i="13"/>
  <c r="B220" i="13"/>
  <c r="B219" i="13"/>
  <c r="B218" i="13"/>
  <c r="B217" i="13"/>
  <c r="B216" i="13"/>
  <c r="B215" i="13"/>
  <c r="B214" i="13"/>
  <c r="B213" i="13"/>
  <c r="B211" i="13"/>
  <c r="B210" i="13"/>
  <c r="B212" i="13"/>
  <c r="B209" i="13"/>
  <c r="B208" i="13"/>
  <c r="E207" i="13"/>
  <c r="B207" i="13"/>
  <c r="B206" i="13"/>
  <c r="B205" i="13"/>
  <c r="B204" i="13"/>
  <c r="B203" i="13"/>
  <c r="B202" i="13"/>
  <c r="B201" i="13"/>
  <c r="B200" i="13"/>
  <c r="B199" i="13"/>
  <c r="B198" i="13"/>
  <c r="B197" i="13"/>
  <c r="B196" i="13"/>
  <c r="B195" i="13"/>
  <c r="B194" i="13"/>
  <c r="B193" i="13"/>
  <c r="B192" i="13"/>
  <c r="B191" i="13"/>
  <c r="B190" i="13"/>
  <c r="B189" i="13"/>
  <c r="B188" i="13"/>
  <c r="B187" i="13"/>
  <c r="B186" i="13"/>
  <c r="B185" i="13"/>
  <c r="B183" i="13"/>
  <c r="B182" i="13"/>
  <c r="B181" i="13"/>
  <c r="B180" i="13"/>
  <c r="B179" i="13"/>
  <c r="B178" i="13"/>
  <c r="B177" i="13"/>
  <c r="B176" i="13"/>
  <c r="B175" i="13"/>
  <c r="E174" i="13"/>
  <c r="B174" i="13"/>
  <c r="B173" i="13"/>
  <c r="B172" i="13"/>
  <c r="B171" i="13"/>
  <c r="B170" i="13"/>
  <c r="B169" i="13"/>
  <c r="B168" i="13"/>
  <c r="B167" i="13"/>
  <c r="B166" i="13"/>
  <c r="B165" i="13"/>
  <c r="B164" i="13"/>
  <c r="B163" i="13"/>
  <c r="B162" i="13"/>
  <c r="B161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E146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7" i="13"/>
  <c r="B126" i="13"/>
  <c r="B125" i="13"/>
  <c r="B124" i="13"/>
  <c r="B123" i="13"/>
  <c r="B122" i="13"/>
  <c r="B121" i="13"/>
  <c r="B120" i="13"/>
  <c r="B119" i="13"/>
  <c r="B118" i="13"/>
  <c r="E117" i="13"/>
  <c r="B117" i="13"/>
  <c r="B116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E88" i="13"/>
  <c r="B88" i="13"/>
  <c r="E87" i="13"/>
  <c r="B87" i="13"/>
  <c r="B86" i="13"/>
  <c r="B85" i="13"/>
  <c r="B84" i="13"/>
  <c r="B83" i="13"/>
  <c r="B82" i="13"/>
  <c r="B81" i="13"/>
  <c r="E80" i="13"/>
  <c r="B80" i="13"/>
  <c r="E79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7" i="13"/>
  <c r="B36" i="13"/>
  <c r="B35" i="13"/>
  <c r="B34" i="13"/>
  <c r="B33" i="13"/>
  <c r="B32" i="13"/>
  <c r="E31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F5" i="13"/>
  <c r="B5" i="13"/>
  <c r="E4" i="13"/>
  <c r="B4" i="13"/>
  <c r="B3" i="13"/>
  <c r="E581" i="60"/>
  <c r="E580" i="60"/>
  <c r="D580" i="60"/>
  <c r="B579" i="60"/>
  <c r="B578" i="60"/>
  <c r="B577" i="60"/>
  <c r="B575" i="60"/>
  <c r="B574" i="60"/>
  <c r="B573" i="60"/>
  <c r="B572" i="60"/>
  <c r="B571" i="60"/>
  <c r="B570" i="60"/>
  <c r="B569" i="60"/>
  <c r="B568" i="60"/>
  <c r="B567" i="60"/>
  <c r="B565" i="60"/>
  <c r="B564" i="60"/>
  <c r="B563" i="60"/>
  <c r="B562" i="60"/>
  <c r="B561" i="60"/>
  <c r="B559" i="60"/>
  <c r="B558" i="60"/>
  <c r="B557" i="60"/>
  <c r="B556" i="60"/>
  <c r="B555" i="60"/>
  <c r="B554" i="60"/>
  <c r="B552" i="60"/>
  <c r="B551" i="60"/>
  <c r="B550" i="60"/>
  <c r="B549" i="60"/>
  <c r="B548" i="60"/>
  <c r="B547" i="60"/>
  <c r="B543" i="60"/>
  <c r="B542" i="60"/>
  <c r="B541" i="60"/>
  <c r="B540" i="60"/>
  <c r="B539" i="60"/>
  <c r="B538" i="60"/>
  <c r="B536" i="60"/>
  <c r="B535" i="60"/>
  <c r="B534" i="60"/>
  <c r="B533" i="60"/>
  <c r="B531" i="60"/>
  <c r="B530" i="60"/>
  <c r="B529" i="60"/>
  <c r="B528" i="60"/>
  <c r="B527" i="60"/>
  <c r="B525" i="60"/>
  <c r="B524" i="60"/>
  <c r="B523" i="60"/>
  <c r="B522" i="60"/>
  <c r="B520" i="60"/>
  <c r="B519" i="60"/>
  <c r="B518" i="60"/>
  <c r="B517" i="60"/>
  <c r="B516" i="60"/>
  <c r="B515" i="60"/>
  <c r="B513" i="60"/>
  <c r="B512" i="60"/>
  <c r="B511" i="60"/>
  <c r="B510" i="60"/>
  <c r="B509" i="60"/>
  <c r="B508" i="60"/>
  <c r="B507" i="60"/>
  <c r="B506" i="60"/>
  <c r="B505" i="60"/>
  <c r="B504" i="60"/>
  <c r="B503" i="60"/>
  <c r="B502" i="60"/>
  <c r="B501" i="60"/>
  <c r="B500" i="60"/>
  <c r="B499" i="60"/>
  <c r="B497" i="60"/>
  <c r="B495" i="60"/>
  <c r="B494" i="60"/>
  <c r="B493" i="60"/>
  <c r="B492" i="60"/>
  <c r="B491" i="60"/>
  <c r="B490" i="60"/>
  <c r="B489" i="60"/>
  <c r="B488" i="60"/>
  <c r="B486" i="60"/>
  <c r="B485" i="60"/>
  <c r="B484" i="60"/>
  <c r="B483" i="60"/>
  <c r="B482" i="60"/>
  <c r="B480" i="60"/>
  <c r="B479" i="60"/>
  <c r="B478" i="60"/>
  <c r="B477" i="60"/>
  <c r="B476" i="60"/>
  <c r="B475" i="60"/>
  <c r="B474" i="60"/>
  <c r="B473" i="60"/>
  <c r="B471" i="60"/>
  <c r="B470" i="60"/>
  <c r="B469" i="60"/>
  <c r="B468" i="60"/>
  <c r="B467" i="60"/>
  <c r="B465" i="60"/>
  <c r="B464" i="60"/>
  <c r="B463" i="60"/>
  <c r="B462" i="60"/>
  <c r="B461" i="60"/>
  <c r="B460" i="60"/>
  <c r="B459" i="60"/>
  <c r="B458" i="60"/>
  <c r="B457" i="60"/>
  <c r="B456" i="60"/>
  <c r="B454" i="60"/>
  <c r="B453" i="60"/>
  <c r="B452" i="60"/>
  <c r="B451" i="60"/>
  <c r="B450" i="60"/>
  <c r="B449" i="60"/>
  <c r="B448" i="60"/>
  <c r="B447" i="60"/>
  <c r="B446" i="60"/>
  <c r="B445" i="60"/>
  <c r="B444" i="60"/>
  <c r="B442" i="60"/>
  <c r="B441" i="60"/>
  <c r="B440" i="60"/>
  <c r="B439" i="60"/>
  <c r="B438" i="60"/>
  <c r="B437" i="60"/>
  <c r="B436" i="60"/>
  <c r="B435" i="60"/>
  <c r="B434" i="60"/>
  <c r="B433" i="60"/>
  <c r="B432" i="60"/>
  <c r="B431" i="60"/>
  <c r="B430" i="60"/>
  <c r="B428" i="60"/>
  <c r="B427" i="60"/>
  <c r="B426" i="60"/>
  <c r="B425" i="60"/>
  <c r="B424" i="60"/>
  <c r="B423" i="60"/>
  <c r="B422" i="60"/>
  <c r="B421" i="60"/>
  <c r="B420" i="60"/>
  <c r="B419" i="60"/>
  <c r="B418" i="60"/>
  <c r="B417" i="60"/>
  <c r="B416" i="60"/>
  <c r="B415" i="60"/>
  <c r="B414" i="60"/>
  <c r="B413" i="60"/>
  <c r="B412" i="60"/>
  <c r="B410" i="60"/>
  <c r="B409" i="60"/>
  <c r="B408" i="60"/>
  <c r="B407" i="60"/>
  <c r="B406" i="60"/>
  <c r="B405" i="60"/>
  <c r="B404" i="60"/>
  <c r="B403" i="60"/>
  <c r="B402" i="60"/>
  <c r="B401" i="60"/>
  <c r="B400" i="60"/>
  <c r="B399" i="60"/>
  <c r="B398" i="60"/>
  <c r="B397" i="60"/>
  <c r="B396" i="60"/>
  <c r="B395" i="60"/>
  <c r="B394" i="60"/>
  <c r="B393" i="60"/>
  <c r="B392" i="60"/>
  <c r="B391" i="60"/>
  <c r="B390" i="60"/>
  <c r="B389" i="60"/>
  <c r="B388" i="60"/>
  <c r="B387" i="60"/>
  <c r="B385" i="60"/>
  <c r="B384" i="60"/>
  <c r="B383" i="60"/>
  <c r="B382" i="60"/>
  <c r="B381" i="60"/>
  <c r="B380" i="60"/>
  <c r="B379" i="60"/>
  <c r="B378" i="60"/>
  <c r="B377" i="60"/>
  <c r="B376" i="60"/>
  <c r="B375" i="60"/>
  <c r="B374" i="60"/>
  <c r="B373" i="60"/>
  <c r="B371" i="60"/>
  <c r="B370" i="60"/>
  <c r="B369" i="60"/>
  <c r="B368" i="60"/>
  <c r="B367" i="60"/>
  <c r="B366" i="60"/>
  <c r="B365" i="60"/>
  <c r="B364" i="60"/>
  <c r="B363" i="60"/>
  <c r="B362" i="60"/>
  <c r="B361" i="60"/>
  <c r="B360" i="60"/>
  <c r="B359" i="60"/>
  <c r="B358" i="60"/>
  <c r="B356" i="60"/>
  <c r="B355" i="60"/>
  <c r="B354" i="60"/>
  <c r="B353" i="60"/>
  <c r="B352" i="60"/>
  <c r="B351" i="60"/>
  <c r="B350" i="60"/>
  <c r="B349" i="60"/>
  <c r="B348" i="60"/>
  <c r="B347" i="60"/>
  <c r="B346" i="60"/>
  <c r="B345" i="60"/>
  <c r="B344" i="60"/>
  <c r="B343" i="60"/>
  <c r="B342" i="60"/>
  <c r="B340" i="60"/>
  <c r="B339" i="60"/>
  <c r="B338" i="60"/>
  <c r="B337" i="60"/>
  <c r="B336" i="60"/>
  <c r="B335" i="60"/>
  <c r="B334" i="60"/>
  <c r="B333" i="60"/>
  <c r="B332" i="60"/>
  <c r="B331" i="60"/>
  <c r="B330" i="60"/>
  <c r="B329" i="60"/>
  <c r="B328" i="60"/>
  <c r="B327" i="60"/>
  <c r="B326" i="60"/>
  <c r="B324" i="60"/>
  <c r="B323" i="60"/>
  <c r="B322" i="60"/>
  <c r="B321" i="60"/>
  <c r="B320" i="60"/>
  <c r="B319" i="60"/>
  <c r="B318" i="60"/>
  <c r="B317" i="60"/>
  <c r="B316" i="60"/>
  <c r="B315" i="60"/>
  <c r="B314" i="60"/>
  <c r="B313" i="60"/>
  <c r="B312" i="60"/>
  <c r="B311" i="60"/>
  <c r="B310" i="60"/>
  <c r="B308" i="60"/>
  <c r="B307" i="60"/>
  <c r="B306" i="60"/>
  <c r="B305" i="60"/>
  <c r="B304" i="60"/>
  <c r="B303" i="60"/>
  <c r="B302" i="60"/>
  <c r="B301" i="60"/>
  <c r="B299" i="60"/>
  <c r="B298" i="60"/>
  <c r="B297" i="60"/>
  <c r="B296" i="60"/>
  <c r="B295" i="60"/>
  <c r="B294" i="60"/>
  <c r="B293" i="60"/>
  <c r="B292" i="60"/>
  <c r="B291" i="60"/>
  <c r="B290" i="60"/>
  <c r="B289" i="60"/>
  <c r="B288" i="60"/>
  <c r="B287" i="60"/>
  <c r="B286" i="60"/>
  <c r="B284" i="60"/>
  <c r="B283" i="60"/>
  <c r="B282" i="60"/>
  <c r="B281" i="60"/>
  <c r="B280" i="60"/>
  <c r="B279" i="60"/>
  <c r="B277" i="60"/>
  <c r="B276" i="60"/>
  <c r="B275" i="60"/>
  <c r="B274" i="60"/>
  <c r="B273" i="60"/>
  <c r="B272" i="60"/>
  <c r="B271" i="60"/>
  <c r="B270" i="60"/>
  <c r="B269" i="60"/>
  <c r="B268" i="60"/>
  <c r="B267" i="60"/>
  <c r="B266" i="60"/>
  <c r="B265" i="60"/>
  <c r="B264" i="60"/>
  <c r="B263" i="60"/>
  <c r="B262" i="60"/>
  <c r="B261" i="60"/>
  <c r="B259" i="60"/>
  <c r="B258" i="60"/>
  <c r="B257" i="60"/>
  <c r="B256" i="60"/>
  <c r="B255" i="60"/>
  <c r="B254" i="60"/>
  <c r="B253" i="60"/>
  <c r="B252" i="60"/>
  <c r="B251" i="60"/>
  <c r="B250" i="60"/>
  <c r="B249" i="60"/>
  <c r="B248" i="60"/>
  <c r="B247" i="60"/>
  <c r="B246" i="60"/>
  <c r="B245" i="60"/>
  <c r="B244" i="60"/>
  <c r="B243" i="60"/>
  <c r="B241" i="60"/>
  <c r="B240" i="60"/>
  <c r="B239" i="60"/>
  <c r="B238" i="60"/>
  <c r="B237" i="60"/>
  <c r="B236" i="60"/>
  <c r="B235" i="60"/>
  <c r="B234" i="60"/>
  <c r="B233" i="60"/>
  <c r="B232" i="60"/>
  <c r="B231" i="60"/>
  <c r="B230" i="60"/>
  <c r="B229" i="60"/>
  <c r="B228" i="60"/>
  <c r="B227" i="60"/>
  <c r="B225" i="60"/>
  <c r="B224" i="60"/>
  <c r="B223" i="60"/>
  <c r="B222" i="60"/>
  <c r="B221" i="60"/>
  <c r="B220" i="60"/>
  <c r="B219" i="60"/>
  <c r="B218" i="60"/>
  <c r="B217" i="60"/>
  <c r="B216" i="60"/>
  <c r="B215" i="60"/>
  <c r="B214" i="60"/>
  <c r="B213" i="60"/>
  <c r="B212" i="60"/>
  <c r="B211" i="60"/>
  <c r="B210" i="60"/>
  <c r="B209" i="60"/>
  <c r="B208" i="60"/>
  <c r="B207" i="60"/>
  <c r="B206" i="60"/>
  <c r="B205" i="60"/>
  <c r="B203" i="60"/>
  <c r="B202" i="60"/>
  <c r="B201" i="60"/>
  <c r="B200" i="60"/>
  <c r="B199" i="60"/>
  <c r="B198" i="60"/>
  <c r="B197" i="60"/>
  <c r="B196" i="60"/>
  <c r="B195" i="60"/>
  <c r="B194" i="60"/>
  <c r="B193" i="60"/>
  <c r="B192" i="60"/>
  <c r="B191" i="60"/>
  <c r="B190" i="60"/>
  <c r="B188" i="60"/>
  <c r="B187" i="60"/>
  <c r="B186" i="60"/>
  <c r="B185" i="60"/>
  <c r="B184" i="60"/>
  <c r="B183" i="60"/>
  <c r="B182" i="60"/>
  <c r="B181" i="60"/>
  <c r="B180" i="60"/>
  <c r="B179" i="60"/>
  <c r="B178" i="60"/>
  <c r="B177" i="60"/>
  <c r="B176" i="60"/>
  <c r="B175" i="60"/>
  <c r="B174" i="60"/>
  <c r="B173" i="60"/>
  <c r="B172" i="60"/>
  <c r="B171" i="60"/>
  <c r="B170" i="60"/>
  <c r="B169" i="60"/>
  <c r="B167" i="60"/>
  <c r="B166" i="60"/>
  <c r="B165" i="60"/>
  <c r="B164" i="60"/>
  <c r="B163" i="60"/>
  <c r="B162" i="60"/>
  <c r="B160" i="60"/>
  <c r="B159" i="60"/>
  <c r="B158" i="60"/>
  <c r="B157" i="60"/>
  <c r="B156" i="60"/>
  <c r="B155" i="60"/>
  <c r="B154" i="60"/>
  <c r="B153" i="60"/>
  <c r="B152" i="60"/>
  <c r="B151" i="60"/>
  <c r="B150" i="60"/>
  <c r="B149" i="60"/>
  <c r="B148" i="60"/>
  <c r="B146" i="60"/>
  <c r="B145" i="60"/>
  <c r="B144" i="60"/>
  <c r="B143" i="60"/>
  <c r="B142" i="60"/>
  <c r="B141" i="60"/>
  <c r="B140" i="60"/>
  <c r="B139" i="60"/>
  <c r="B138" i="60"/>
  <c r="B137" i="60"/>
  <c r="B136" i="60"/>
  <c r="B135" i="60"/>
  <c r="B134" i="60"/>
  <c r="B133" i="60"/>
  <c r="B132" i="60"/>
  <c r="B131" i="60"/>
  <c r="B129" i="60"/>
  <c r="B128" i="60"/>
  <c r="B127" i="60"/>
  <c r="B126" i="60"/>
  <c r="B125" i="60"/>
  <c r="B124" i="60"/>
  <c r="B123" i="60"/>
  <c r="B122" i="60"/>
  <c r="B121" i="60"/>
  <c r="B120" i="60"/>
  <c r="B119" i="60"/>
  <c r="B118" i="60"/>
  <c r="B117" i="60"/>
  <c r="B116" i="60"/>
  <c r="B115" i="60"/>
  <c r="B114" i="60"/>
  <c r="B113" i="60"/>
  <c r="B112" i="60"/>
  <c r="B111" i="60"/>
  <c r="B110" i="60"/>
  <c r="B109" i="60"/>
  <c r="B108" i="60"/>
  <c r="B107" i="60"/>
  <c r="B106" i="60"/>
  <c r="B105" i="60"/>
  <c r="B104" i="60"/>
  <c r="B102" i="60"/>
  <c r="B101" i="60"/>
  <c r="B100" i="60"/>
  <c r="B99" i="60"/>
  <c r="B98" i="60"/>
  <c r="B97" i="60"/>
  <c r="B96" i="60"/>
  <c r="B95" i="60"/>
  <c r="B94" i="60"/>
  <c r="B93" i="60"/>
  <c r="B92" i="60"/>
  <c r="B91" i="60"/>
  <c r="B89" i="60"/>
  <c r="B88" i="60"/>
  <c r="B87" i="60"/>
  <c r="B86" i="60"/>
  <c r="B85" i="60"/>
  <c r="B84" i="60"/>
  <c r="B83" i="60"/>
  <c r="B82" i="60"/>
  <c r="B81" i="60"/>
  <c r="B80" i="60"/>
  <c r="B79" i="60"/>
  <c r="B78" i="60"/>
  <c r="B77" i="60"/>
  <c r="B76" i="60"/>
  <c r="B75" i="60"/>
  <c r="B74" i="60"/>
  <c r="B72" i="60"/>
  <c r="B71" i="60"/>
  <c r="B70" i="60"/>
  <c r="B69" i="60"/>
  <c r="B68" i="60"/>
  <c r="B67" i="60"/>
  <c r="B66" i="60"/>
  <c r="B65" i="60"/>
  <c r="B64" i="60"/>
  <c r="B63" i="60"/>
  <c r="B62" i="60"/>
  <c r="B61" i="60"/>
  <c r="B60" i="60"/>
  <c r="B59" i="60"/>
  <c r="B58" i="60"/>
  <c r="B56" i="60"/>
  <c r="B55" i="60"/>
  <c r="B54" i="60"/>
  <c r="B53" i="60"/>
  <c r="B52" i="60"/>
  <c r="B50" i="60"/>
  <c r="B49" i="60"/>
  <c r="B48" i="60"/>
  <c r="B47" i="60"/>
  <c r="B46" i="60"/>
  <c r="B45" i="60"/>
  <c r="B44" i="60"/>
  <c r="B42" i="60"/>
  <c r="B41" i="60"/>
  <c r="B40" i="60"/>
  <c r="B39" i="60"/>
  <c r="B38" i="60"/>
  <c r="B37" i="60"/>
  <c r="B36" i="60"/>
  <c r="B35" i="60"/>
  <c r="B34" i="60"/>
  <c r="B33" i="60"/>
  <c r="B32" i="60"/>
  <c r="B31" i="60"/>
  <c r="B30" i="60"/>
  <c r="B28" i="60"/>
  <c r="B27" i="60"/>
  <c r="B26" i="60"/>
  <c r="B25" i="60"/>
  <c r="B24" i="60"/>
  <c r="B23" i="60"/>
  <c r="B22" i="60"/>
  <c r="B21" i="60"/>
  <c r="B20" i="60"/>
  <c r="B19" i="60"/>
  <c r="B18" i="60"/>
  <c r="B17" i="60"/>
  <c r="B16" i="60"/>
  <c r="B15" i="60"/>
  <c r="B14" i="60"/>
  <c r="B13" i="60"/>
  <c r="B12" i="60"/>
  <c r="B11" i="60"/>
  <c r="B10" i="60"/>
  <c r="B9" i="60"/>
  <c r="B8" i="60"/>
  <c r="B6" i="60"/>
  <c r="B5" i="60"/>
  <c r="B4" i="60"/>
  <c r="B3" i="60"/>
  <c r="B2" i="60"/>
  <c r="E199" i="29"/>
  <c r="E197" i="29"/>
  <c r="E196" i="29"/>
  <c r="D196" i="29"/>
  <c r="B188" i="29"/>
  <c r="B187" i="29"/>
  <c r="B186" i="29"/>
  <c r="B184" i="29"/>
  <c r="B182" i="29"/>
  <c r="B180" i="29"/>
  <c r="B178" i="29"/>
  <c r="B177" i="29"/>
  <c r="B176" i="29"/>
  <c r="B175" i="29"/>
  <c r="B172" i="29"/>
  <c r="B169" i="29"/>
  <c r="B168" i="29"/>
  <c r="B166" i="29"/>
  <c r="B164" i="29"/>
  <c r="B162" i="29"/>
  <c r="B160" i="29"/>
  <c r="B158" i="29"/>
  <c r="B157" i="29"/>
  <c r="B155" i="29"/>
  <c r="D154" i="29"/>
  <c r="B154" i="29"/>
  <c r="B152" i="29"/>
  <c r="B150" i="29"/>
  <c r="B149" i="29"/>
  <c r="B147" i="29"/>
  <c r="B146" i="29"/>
  <c r="B144" i="29"/>
  <c r="B142" i="29"/>
  <c r="B141" i="29"/>
  <c r="B139" i="29"/>
  <c r="B137" i="29"/>
  <c r="B135" i="29"/>
  <c r="B133" i="29"/>
  <c r="B131" i="29"/>
  <c r="B129" i="29"/>
  <c r="B127" i="29"/>
  <c r="B125" i="29"/>
  <c r="B123" i="29"/>
  <c r="B121" i="29"/>
  <c r="B120" i="29"/>
  <c r="B118" i="29"/>
  <c r="B116" i="29"/>
  <c r="B114" i="29"/>
  <c r="B112" i="29"/>
  <c r="B111" i="29"/>
  <c r="B109" i="29"/>
  <c r="B107" i="29"/>
  <c r="B105" i="29"/>
  <c r="B103" i="29"/>
  <c r="B101" i="29"/>
  <c r="B99" i="29"/>
  <c r="B97" i="29"/>
  <c r="B96" i="29"/>
  <c r="B93" i="29"/>
  <c r="B91" i="29"/>
  <c r="B89" i="29"/>
  <c r="B87" i="29"/>
  <c r="B85" i="29"/>
  <c r="B83" i="29"/>
  <c r="B81" i="29"/>
  <c r="B80" i="29"/>
  <c r="B79" i="29"/>
  <c r="B78" i="29"/>
  <c r="B77" i="29"/>
  <c r="B76" i="29"/>
  <c r="B75" i="29"/>
  <c r="B74" i="29"/>
  <c r="B72" i="29"/>
  <c r="B70" i="29"/>
  <c r="B69" i="29"/>
  <c r="B67" i="29"/>
  <c r="B66" i="29"/>
  <c r="B64" i="29"/>
  <c r="B62" i="29"/>
  <c r="B60" i="29"/>
  <c r="B59" i="29"/>
  <c r="B58" i="29"/>
  <c r="B56" i="29"/>
  <c r="B55" i="29"/>
  <c r="B54" i="29"/>
  <c r="B53" i="29"/>
  <c r="B52" i="29"/>
  <c r="B51" i="29"/>
  <c r="B50" i="29"/>
  <c r="B49" i="29"/>
  <c r="B48" i="29"/>
  <c r="B47" i="29"/>
  <c r="B45" i="29"/>
  <c r="B44" i="29"/>
  <c r="B42" i="29"/>
  <c r="B41" i="29"/>
  <c r="B39" i="29"/>
  <c r="B37" i="29"/>
  <c r="B35" i="29"/>
  <c r="B34" i="29"/>
  <c r="B33" i="29"/>
  <c r="D32" i="29"/>
  <c r="B32" i="29"/>
  <c r="D31" i="29"/>
  <c r="B31" i="29"/>
  <c r="B30" i="29"/>
  <c r="B28" i="29"/>
  <c r="B27" i="29"/>
  <c r="B26" i="29"/>
  <c r="B24" i="29"/>
  <c r="B23" i="29"/>
  <c r="B20" i="29"/>
  <c r="B19" i="29"/>
  <c r="B18" i="29"/>
  <c r="B17" i="29"/>
  <c r="D16" i="29"/>
  <c r="B16" i="29"/>
  <c r="B14" i="29"/>
  <c r="B13" i="29"/>
  <c r="B11" i="29"/>
  <c r="B10" i="29"/>
  <c r="B9" i="29"/>
  <c r="B8" i="29"/>
  <c r="B7" i="29"/>
  <c r="B5" i="29"/>
  <c r="B4" i="29"/>
  <c r="B3" i="29"/>
  <c r="F647" i="63"/>
  <c r="E647" i="63"/>
  <c r="C647" i="63"/>
  <c r="E644" i="63"/>
  <c r="E643" i="63"/>
  <c r="D643" i="63"/>
  <c r="B640" i="63"/>
  <c r="F639" i="63"/>
  <c r="B639" i="63"/>
  <c r="F638" i="63"/>
  <c r="F635" i="63"/>
  <c r="B635" i="63"/>
  <c r="F634" i="63"/>
  <c r="B633" i="63"/>
  <c r="B632" i="63"/>
  <c r="B631" i="63"/>
  <c r="F629" i="63"/>
  <c r="B629" i="63"/>
  <c r="F628" i="63"/>
  <c r="B628" i="63"/>
  <c r="F627" i="63"/>
  <c r="B626" i="63"/>
  <c r="B625" i="63"/>
  <c r="B623" i="63"/>
  <c r="F622" i="63"/>
  <c r="B622" i="63"/>
  <c r="F621" i="63"/>
  <c r="B620" i="63"/>
  <c r="B619" i="63"/>
  <c r="B617" i="63"/>
  <c r="B616" i="63"/>
  <c r="B615" i="63"/>
  <c r="B614" i="63"/>
  <c r="F613" i="63"/>
  <c r="B613" i="63"/>
  <c r="F612" i="63"/>
  <c r="B611" i="63"/>
  <c r="B610" i="63"/>
  <c r="B609" i="63"/>
  <c r="B608" i="63"/>
  <c r="B607" i="63"/>
  <c r="B606" i="63"/>
  <c r="F605" i="63"/>
  <c r="B605" i="63"/>
  <c r="E604" i="63"/>
  <c r="B604" i="63"/>
  <c r="B603" i="63"/>
  <c r="B602" i="63"/>
  <c r="B601" i="63"/>
  <c r="B600" i="63"/>
  <c r="B599" i="63"/>
  <c r="F598" i="63"/>
  <c r="E598" i="63"/>
  <c r="B598" i="63"/>
  <c r="F597" i="63"/>
  <c r="B597" i="63"/>
  <c r="B596" i="63"/>
  <c r="B595" i="63"/>
  <c r="B594" i="63"/>
  <c r="B593" i="63"/>
  <c r="B591" i="63"/>
  <c r="B590" i="63"/>
  <c r="B589" i="63"/>
  <c r="B588" i="63"/>
  <c r="B587" i="63"/>
  <c r="B586" i="63"/>
  <c r="B585" i="63"/>
  <c r="E584" i="63"/>
  <c r="B584" i="63"/>
  <c r="B583" i="63"/>
  <c r="B582" i="63"/>
  <c r="B581" i="63"/>
  <c r="B580" i="63"/>
  <c r="B579" i="63"/>
  <c r="F578" i="63"/>
  <c r="B578" i="63"/>
  <c r="F577" i="63"/>
  <c r="B576" i="63"/>
  <c r="B575" i="63"/>
  <c r="B574" i="63"/>
  <c r="B573" i="63"/>
  <c r="B572" i="63"/>
  <c r="B570" i="63"/>
  <c r="F569" i="63"/>
  <c r="B569" i="63"/>
  <c r="F568" i="63"/>
  <c r="B567" i="63"/>
  <c r="B566" i="63"/>
  <c r="B565" i="63"/>
  <c r="B564" i="63"/>
  <c r="B563" i="63"/>
  <c r="B562" i="63"/>
  <c r="B561" i="63"/>
  <c r="B560" i="63"/>
  <c r="B559" i="63"/>
  <c r="B558" i="63"/>
  <c r="B557" i="63"/>
  <c r="B556" i="63"/>
  <c r="B555" i="63"/>
  <c r="B554" i="63"/>
  <c r="B553" i="63"/>
  <c r="B551" i="63"/>
  <c r="B550" i="63"/>
  <c r="B549" i="63"/>
  <c r="B548" i="63"/>
  <c r="B547" i="63"/>
  <c r="B546" i="63"/>
  <c r="B545" i="63"/>
  <c r="B544" i="63"/>
  <c r="B543" i="63"/>
  <c r="B542" i="63"/>
  <c r="B541" i="63"/>
  <c r="B540" i="63"/>
  <c r="B539" i="63"/>
  <c r="B538" i="63"/>
  <c r="B537" i="63"/>
  <c r="B536" i="63"/>
  <c r="B535" i="63"/>
  <c r="B534" i="63"/>
  <c r="F533" i="63"/>
  <c r="B532" i="63"/>
  <c r="F531" i="63"/>
  <c r="E531" i="63"/>
  <c r="B531" i="63"/>
  <c r="E530" i="63"/>
  <c r="B530" i="63"/>
  <c r="E529" i="63"/>
  <c r="B529" i="63"/>
  <c r="B528" i="63"/>
  <c r="B527" i="63"/>
  <c r="B526" i="63"/>
  <c r="B525" i="63"/>
  <c r="B524" i="63"/>
  <c r="B523" i="63"/>
  <c r="B522" i="63"/>
  <c r="B521" i="63"/>
  <c r="B520" i="63"/>
  <c r="B519" i="63"/>
  <c r="B518" i="63"/>
  <c r="B517" i="63"/>
  <c r="E516" i="63"/>
  <c r="B516" i="63"/>
  <c r="B515" i="63"/>
  <c r="B514" i="63"/>
  <c r="B513" i="63"/>
  <c r="B512" i="63"/>
  <c r="B511" i="63"/>
  <c r="B510" i="63"/>
  <c r="B509" i="63"/>
  <c r="B508" i="63"/>
  <c r="B507" i="63"/>
  <c r="B506" i="63"/>
  <c r="B504" i="63"/>
  <c r="B503" i="63"/>
  <c r="B502" i="63"/>
  <c r="B501" i="63"/>
  <c r="B500" i="63"/>
  <c r="B499" i="63"/>
  <c r="B498" i="63"/>
  <c r="B497" i="63"/>
  <c r="F496" i="63"/>
  <c r="B496" i="63"/>
  <c r="B495" i="63"/>
  <c r="B494" i="63"/>
  <c r="B493" i="63"/>
  <c r="B492" i="63"/>
  <c r="B491" i="63"/>
  <c r="B490" i="63"/>
  <c r="B489" i="63"/>
  <c r="B488" i="63"/>
  <c r="B487" i="63"/>
  <c r="B486" i="63"/>
  <c r="B485" i="63"/>
  <c r="B484" i="63"/>
  <c r="B483" i="63"/>
  <c r="B482" i="63"/>
  <c r="B481" i="63"/>
  <c r="B480" i="63"/>
  <c r="B479" i="63"/>
  <c r="F478" i="63"/>
  <c r="B478" i="63"/>
  <c r="F477" i="63"/>
  <c r="B476" i="63"/>
  <c r="B475" i="63"/>
  <c r="B474" i="63"/>
  <c r="F473" i="63"/>
  <c r="B473" i="63"/>
  <c r="B472" i="63"/>
  <c r="B471" i="63"/>
  <c r="B470" i="63"/>
  <c r="B469" i="63"/>
  <c r="B468" i="63"/>
  <c r="B467" i="63"/>
  <c r="B466" i="63"/>
  <c r="B465" i="63"/>
  <c r="B464" i="63"/>
  <c r="B463" i="63"/>
  <c r="B462" i="63"/>
  <c r="B461" i="63"/>
  <c r="B460" i="63"/>
  <c r="B459" i="63"/>
  <c r="B458" i="63"/>
  <c r="B457" i="63"/>
  <c r="B456" i="63"/>
  <c r="B455" i="63"/>
  <c r="B454" i="63"/>
  <c r="B453" i="63"/>
  <c r="B452" i="63"/>
  <c r="B451" i="63"/>
  <c r="F450" i="63"/>
  <c r="E450" i="63"/>
  <c r="B450" i="63"/>
  <c r="E449" i="63"/>
  <c r="B449" i="63"/>
  <c r="B448" i="63"/>
  <c r="F447" i="63"/>
  <c r="B447" i="63"/>
  <c r="B446" i="63"/>
  <c r="B445" i="63"/>
  <c r="B444" i="63"/>
  <c r="B443" i="63"/>
  <c r="B442" i="63"/>
  <c r="B441" i="63"/>
  <c r="B440" i="63"/>
  <c r="B439" i="63"/>
  <c r="B437" i="63"/>
  <c r="B436" i="63"/>
  <c r="B435" i="63"/>
  <c r="B434" i="63"/>
  <c r="B433" i="63"/>
  <c r="B432" i="63"/>
  <c r="B431" i="63"/>
  <c r="B430" i="63"/>
  <c r="B429" i="63"/>
  <c r="B428" i="63"/>
  <c r="B427" i="63"/>
  <c r="B426" i="63"/>
  <c r="B425" i="63"/>
  <c r="B424" i="63"/>
  <c r="B423" i="63"/>
  <c r="B422" i="63"/>
  <c r="B421" i="63"/>
  <c r="B420" i="63"/>
  <c r="B419" i="63"/>
  <c r="B418" i="63"/>
  <c r="B417" i="63"/>
  <c r="B416" i="63"/>
  <c r="B415" i="63"/>
  <c r="F414" i="63"/>
  <c r="B414" i="63"/>
  <c r="F413" i="63"/>
  <c r="B412" i="63"/>
  <c r="F411" i="63"/>
  <c r="B411" i="63"/>
  <c r="B410" i="63"/>
  <c r="B409" i="63"/>
  <c r="B408" i="63"/>
  <c r="B407" i="63"/>
  <c r="B406" i="63"/>
  <c r="B405" i="63"/>
  <c r="B404" i="63"/>
  <c r="B403" i="63"/>
  <c r="B402" i="63"/>
  <c r="B401" i="63"/>
  <c r="B400" i="63"/>
  <c r="B399" i="63"/>
  <c r="B398" i="63"/>
  <c r="B397" i="63"/>
  <c r="B396" i="63"/>
  <c r="B395" i="63"/>
  <c r="B394" i="63"/>
  <c r="B393" i="63"/>
  <c r="B392" i="63"/>
  <c r="B391" i="63"/>
  <c r="F390" i="63"/>
  <c r="B390" i="63"/>
  <c r="B389" i="63"/>
  <c r="F388" i="63"/>
  <c r="E388" i="63"/>
  <c r="B388" i="63"/>
  <c r="E387" i="63"/>
  <c r="B387" i="63"/>
  <c r="B386" i="63"/>
  <c r="F385" i="63"/>
  <c r="B385" i="63"/>
  <c r="B384" i="63"/>
  <c r="B383" i="63"/>
  <c r="B381" i="63"/>
  <c r="B380" i="63"/>
  <c r="B379" i="63"/>
  <c r="B378" i="63"/>
  <c r="B377" i="63"/>
  <c r="B376" i="63"/>
  <c r="B375" i="63"/>
  <c r="B374" i="63"/>
  <c r="B373" i="63"/>
  <c r="B372" i="63"/>
  <c r="B371" i="63"/>
  <c r="B370" i="63"/>
  <c r="B369" i="63"/>
  <c r="B368" i="63"/>
  <c r="F367" i="63"/>
  <c r="B367" i="63"/>
  <c r="B366" i="63"/>
  <c r="B365" i="63"/>
  <c r="B364" i="63"/>
  <c r="B363" i="63"/>
  <c r="B362" i="63"/>
  <c r="E361" i="63"/>
  <c r="B361" i="63"/>
  <c r="B360" i="63"/>
  <c r="B359" i="63"/>
  <c r="B358" i="63"/>
  <c r="E357" i="63"/>
  <c r="B357" i="63"/>
  <c r="F356" i="63"/>
  <c r="B356" i="63"/>
  <c r="B355" i="63"/>
  <c r="B354" i="63"/>
  <c r="B353" i="63"/>
  <c r="F352" i="63"/>
  <c r="B352" i="63"/>
  <c r="F351" i="63"/>
  <c r="B350" i="63"/>
  <c r="B349" i="63"/>
  <c r="F348" i="63"/>
  <c r="B348" i="63"/>
  <c r="B347" i="63"/>
  <c r="B346" i="63"/>
  <c r="B345" i="63"/>
  <c r="B344" i="63"/>
  <c r="B343" i="63"/>
  <c r="B342" i="63"/>
  <c r="B341" i="63"/>
  <c r="B340" i="63"/>
  <c r="B339" i="63"/>
  <c r="B338" i="63"/>
  <c r="B337" i="63"/>
  <c r="B336" i="63"/>
  <c r="B335" i="63"/>
  <c r="B334" i="63"/>
  <c r="B333" i="63"/>
  <c r="B332" i="63"/>
  <c r="B331" i="63"/>
  <c r="B329" i="63"/>
  <c r="B328" i="63"/>
  <c r="F327" i="63"/>
  <c r="B327" i="63"/>
  <c r="F326" i="63"/>
  <c r="B325" i="63"/>
  <c r="B324" i="63"/>
  <c r="B323" i="63"/>
  <c r="B322" i="63"/>
  <c r="B321" i="63"/>
  <c r="B320" i="63"/>
  <c r="B319" i="63"/>
  <c r="B318" i="63"/>
  <c r="B317" i="63"/>
  <c r="B316" i="63"/>
  <c r="B315" i="63"/>
  <c r="B314" i="63"/>
  <c r="B313" i="63"/>
  <c r="B312" i="63"/>
  <c r="B311" i="63"/>
  <c r="B310" i="63"/>
  <c r="B309" i="63"/>
  <c r="B308" i="63"/>
  <c r="B307" i="63"/>
  <c r="B306" i="63"/>
  <c r="B305" i="63"/>
  <c r="B304" i="63"/>
  <c r="B303" i="63"/>
  <c r="B302" i="63"/>
  <c r="B301" i="63"/>
  <c r="E299" i="63"/>
  <c r="B299" i="63"/>
  <c r="B298" i="63"/>
  <c r="B297" i="63"/>
  <c r="B296" i="63"/>
  <c r="B295" i="63"/>
  <c r="B294" i="63"/>
  <c r="B293" i="63"/>
  <c r="B292" i="63"/>
  <c r="B291" i="63"/>
  <c r="B290" i="63"/>
  <c r="B289" i="63"/>
  <c r="B288" i="63"/>
  <c r="B287" i="63"/>
  <c r="B286" i="63"/>
  <c r="B285" i="63"/>
  <c r="B284" i="63"/>
  <c r="B283" i="63"/>
  <c r="F282" i="63"/>
  <c r="B282" i="63"/>
  <c r="F281" i="63"/>
  <c r="B280" i="63"/>
  <c r="B279" i="63"/>
  <c r="B278" i="63"/>
  <c r="B277" i="63"/>
  <c r="B276" i="63"/>
  <c r="B275" i="63"/>
  <c r="B274" i="63"/>
  <c r="B273" i="63"/>
  <c r="E272" i="63"/>
  <c r="B272" i="63"/>
  <c r="B270" i="63"/>
  <c r="B269" i="63"/>
  <c r="F268" i="63"/>
  <c r="B268" i="63"/>
  <c r="F267" i="63"/>
  <c r="B266" i="63"/>
  <c r="B265" i="63"/>
  <c r="B264" i="63"/>
  <c r="B263" i="63"/>
  <c r="B262" i="63"/>
  <c r="B261" i="63"/>
  <c r="B260" i="63"/>
  <c r="B259" i="63"/>
  <c r="F258" i="63"/>
  <c r="B258" i="63"/>
  <c r="B257" i="63"/>
  <c r="B256" i="63"/>
  <c r="B255" i="63"/>
  <c r="B254" i="63"/>
  <c r="B253" i="63"/>
  <c r="B252" i="63"/>
  <c r="B251" i="63"/>
  <c r="B250" i="63"/>
  <c r="B248" i="63"/>
  <c r="B247" i="63"/>
  <c r="B246" i="63"/>
  <c r="B245" i="63"/>
  <c r="B244" i="63"/>
  <c r="B243" i="63"/>
  <c r="B242" i="63"/>
  <c r="B241" i="63"/>
  <c r="B240" i="63"/>
  <c r="E239" i="63"/>
  <c r="B239" i="63"/>
  <c r="B238" i="63"/>
  <c r="B237" i="63"/>
  <c r="B236" i="63"/>
  <c r="B235" i="63"/>
  <c r="B234" i="63"/>
  <c r="B233" i="63"/>
  <c r="B232" i="63"/>
  <c r="B231" i="63"/>
  <c r="B230" i="63"/>
  <c r="F229" i="63"/>
  <c r="B228" i="63"/>
  <c r="B227" i="63"/>
  <c r="B226" i="63"/>
  <c r="B225" i="63"/>
  <c r="C224" i="63"/>
  <c r="B224" i="63"/>
  <c r="B223" i="63"/>
  <c r="B222" i="63"/>
  <c r="B221" i="63"/>
  <c r="B220" i="63"/>
  <c r="B219" i="63"/>
  <c r="B218" i="63"/>
  <c r="B217" i="63"/>
  <c r="B215" i="63"/>
  <c r="B214" i="63"/>
  <c r="B213" i="63"/>
  <c r="B212" i="63"/>
  <c r="B211" i="63"/>
  <c r="B210" i="63"/>
  <c r="B209" i="63"/>
  <c r="B208" i="63"/>
  <c r="B207" i="63"/>
  <c r="B206" i="63"/>
  <c r="B205" i="63"/>
  <c r="B204" i="63"/>
  <c r="B203" i="63"/>
  <c r="B202" i="63"/>
  <c r="B201" i="63"/>
  <c r="B200" i="63"/>
  <c r="B199" i="63"/>
  <c r="B197" i="63"/>
  <c r="B195" i="63"/>
  <c r="B193" i="63"/>
  <c r="B191" i="63"/>
  <c r="F190" i="63"/>
  <c r="B189" i="63"/>
  <c r="C187" i="63"/>
  <c r="B187" i="63"/>
  <c r="F186" i="63"/>
  <c r="B185" i="63"/>
  <c r="C183" i="63"/>
  <c r="B183" i="63"/>
  <c r="F182" i="63"/>
  <c r="B181" i="63"/>
  <c r="B180" i="63"/>
  <c r="B179" i="63"/>
  <c r="B177" i="63"/>
  <c r="F176" i="63"/>
  <c r="B175" i="63"/>
  <c r="B174" i="63"/>
  <c r="B173" i="63"/>
  <c r="B171" i="63"/>
  <c r="F170" i="63"/>
  <c r="B169" i="63"/>
  <c r="B168" i="63"/>
  <c r="B167" i="63"/>
  <c r="B166" i="63"/>
  <c r="B164" i="63"/>
  <c r="F163" i="63"/>
  <c r="B162" i="63"/>
  <c r="B161" i="63"/>
  <c r="B160" i="63"/>
  <c r="B159" i="63"/>
  <c r="B157" i="63"/>
  <c r="B155" i="63"/>
  <c r="B154" i="63"/>
  <c r="B152" i="63"/>
  <c r="B150" i="63"/>
  <c r="B149" i="63"/>
  <c r="B147" i="63"/>
  <c r="B145" i="63"/>
  <c r="B143" i="63"/>
  <c r="B141" i="63"/>
  <c r="B139" i="63"/>
  <c r="B137" i="63"/>
  <c r="B135" i="63"/>
  <c r="B133" i="63"/>
  <c r="B131" i="63"/>
  <c r="B129" i="63"/>
  <c r="B127" i="63"/>
  <c r="B125" i="63"/>
  <c r="B123" i="63"/>
  <c r="B122" i="63"/>
  <c r="F121" i="63"/>
  <c r="B120" i="63"/>
  <c r="B118" i="63"/>
  <c r="B117" i="63"/>
  <c r="B116" i="63"/>
  <c r="F115" i="63"/>
  <c r="E114" i="63"/>
  <c r="B114" i="63"/>
  <c r="B112" i="63"/>
  <c r="B111" i="63"/>
  <c r="B110" i="63"/>
  <c r="F109" i="63"/>
  <c r="E108" i="63"/>
  <c r="B108" i="63"/>
  <c r="B107" i="63"/>
  <c r="B105" i="63"/>
  <c r="B104" i="63"/>
  <c r="B103" i="63"/>
  <c r="E101" i="63"/>
  <c r="B101" i="63"/>
  <c r="B100" i="63"/>
  <c r="B98" i="63"/>
  <c r="B97" i="63"/>
  <c r="B96" i="63"/>
  <c r="B93" i="63"/>
  <c r="B89" i="63"/>
  <c r="B86" i="63"/>
  <c r="B83" i="63"/>
  <c r="B81" i="63"/>
  <c r="B80" i="63"/>
  <c r="B79" i="63"/>
  <c r="B76" i="63"/>
  <c r="B75" i="63"/>
  <c r="B72" i="63"/>
  <c r="B69" i="63"/>
  <c r="B64" i="63"/>
  <c r="B63" i="63"/>
  <c r="B62" i="63"/>
  <c r="B61" i="63"/>
  <c r="B60" i="63"/>
  <c r="B59" i="63"/>
  <c r="B58" i="63"/>
  <c r="B57" i="63"/>
  <c r="B56" i="63"/>
  <c r="B55" i="63"/>
  <c r="B54" i="63"/>
  <c r="B53" i="63"/>
  <c r="F50" i="63"/>
  <c r="B48" i="63"/>
  <c r="B44" i="63"/>
  <c r="B41" i="63"/>
  <c r="B40" i="63"/>
  <c r="F39" i="63"/>
  <c r="B37" i="63"/>
  <c r="F36" i="63"/>
  <c r="B35" i="63"/>
  <c r="B33" i="63"/>
  <c r="F32" i="63"/>
  <c r="B31" i="63"/>
  <c r="B29" i="63"/>
  <c r="F28" i="63"/>
  <c r="B27" i="63"/>
  <c r="B24" i="63"/>
  <c r="B20" i="63"/>
  <c r="F19" i="63"/>
  <c r="B17" i="63"/>
  <c r="F16" i="63"/>
  <c r="B15" i="63"/>
  <c r="B13" i="63"/>
  <c r="B12" i="63"/>
  <c r="F11" i="63"/>
  <c r="B10" i="63"/>
  <c r="B8" i="63"/>
  <c r="F7" i="63"/>
  <c r="B6" i="63"/>
  <c r="B3" i="63"/>
  <c r="F25" i="127"/>
  <c r="E25" i="127"/>
  <c r="E22" i="127"/>
  <c r="E21" i="127"/>
  <c r="D21" i="127"/>
  <c r="B4" i="127"/>
  <c r="B3" i="127"/>
  <c r="F2435" i="94"/>
  <c r="E2435" i="94"/>
  <c r="E2432" i="94"/>
  <c r="E2431" i="94"/>
  <c r="D2431" i="94"/>
  <c r="B2428" i="94"/>
  <c r="F2427" i="94"/>
  <c r="B2427" i="94"/>
  <c r="G2426" i="94"/>
  <c r="F2426" i="94"/>
  <c r="F2423" i="94"/>
  <c r="B2423" i="94"/>
  <c r="G2422" i="94"/>
  <c r="F2422" i="94"/>
  <c r="F2421" i="94"/>
  <c r="B2421" i="94"/>
  <c r="B2419" i="94"/>
  <c r="B2418" i="94"/>
  <c r="G2417" i="94"/>
  <c r="F2417" i="94"/>
  <c r="F2416" i="94"/>
  <c r="B2416" i="94"/>
  <c r="F2413" i="94"/>
  <c r="B2413" i="94"/>
  <c r="B2412" i="94"/>
  <c r="F2411" i="94"/>
  <c r="B2411" i="94"/>
  <c r="G2410" i="94"/>
  <c r="F2410" i="94"/>
  <c r="F2409" i="94"/>
  <c r="B2409" i="94"/>
  <c r="B2408" i="94"/>
  <c r="B2407" i="94"/>
  <c r="B2406" i="94"/>
  <c r="B2404" i="94"/>
  <c r="B2403" i="94"/>
  <c r="B2402" i="94"/>
  <c r="B2401" i="94"/>
  <c r="F2400" i="94"/>
  <c r="B2400" i="94"/>
  <c r="B2399" i="94"/>
  <c r="B2398" i="94"/>
  <c r="F2397" i="94"/>
  <c r="B2397" i="94"/>
  <c r="G2396" i="94"/>
  <c r="F2396" i="94"/>
  <c r="B2395" i="94"/>
  <c r="F2394" i="94"/>
  <c r="B2394" i="94"/>
  <c r="B2393" i="94"/>
  <c r="B2392" i="94"/>
  <c r="B2390" i="94"/>
  <c r="B2389" i="94"/>
  <c r="B2388" i="94"/>
  <c r="F2387" i="94"/>
  <c r="B2387" i="94"/>
  <c r="B2386" i="94"/>
  <c r="F2385" i="94"/>
  <c r="B2385" i="94"/>
  <c r="G2384" i="94"/>
  <c r="F2384" i="94"/>
  <c r="B2383" i="94"/>
  <c r="F2382" i="94"/>
  <c r="B2382" i="94"/>
  <c r="B2381" i="94"/>
  <c r="B2380" i="94"/>
  <c r="B2379" i="94"/>
  <c r="B2377" i="94"/>
  <c r="B2376" i="94"/>
  <c r="E2375" i="94"/>
  <c r="B2375" i="94"/>
  <c r="B2374" i="94"/>
  <c r="B2373" i="94"/>
  <c r="B2372" i="94"/>
  <c r="B2371" i="94"/>
  <c r="B2370" i="94"/>
  <c r="B2369" i="94"/>
  <c r="B2368" i="94"/>
  <c r="F2367" i="94"/>
  <c r="B2367" i="94"/>
  <c r="B2366" i="94"/>
  <c r="B2365" i="94"/>
  <c r="B2364" i="94"/>
  <c r="B2363" i="94"/>
  <c r="B2362" i="94"/>
  <c r="F2361" i="94"/>
  <c r="B2361" i="94"/>
  <c r="F2360" i="94"/>
  <c r="E2359" i="94"/>
  <c r="B2359" i="94"/>
  <c r="B2358" i="94"/>
  <c r="E2357" i="94"/>
  <c r="B2357" i="94"/>
  <c r="B2356" i="94"/>
  <c r="B2355" i="94"/>
  <c r="B2354" i="94"/>
  <c r="B2353" i="94"/>
  <c r="B2352" i="94"/>
  <c r="B2351" i="94"/>
  <c r="B2350" i="94"/>
  <c r="F2349" i="94"/>
  <c r="B2349" i="94"/>
  <c r="B2348" i="94"/>
  <c r="B2347" i="94"/>
  <c r="B2346" i="94"/>
  <c r="B2345" i="94"/>
  <c r="B2344" i="94"/>
  <c r="B2343" i="94"/>
  <c r="E2341" i="94"/>
  <c r="B2341" i="94"/>
  <c r="B2340" i="94"/>
  <c r="B2339" i="94"/>
  <c r="B2338" i="94"/>
  <c r="B2337" i="94"/>
  <c r="B2336" i="94"/>
  <c r="B2335" i="94"/>
  <c r="B2334" i="94"/>
  <c r="B2333" i="94"/>
  <c r="B2332" i="94"/>
  <c r="B2331" i="94"/>
  <c r="B2330" i="94"/>
  <c r="B2329" i="94"/>
  <c r="B2328" i="94"/>
  <c r="B2327" i="94"/>
  <c r="B2326" i="94"/>
  <c r="B2325" i="94"/>
  <c r="B2324" i="94"/>
  <c r="B2323" i="94"/>
  <c r="B2321" i="94"/>
  <c r="B2320" i="94"/>
  <c r="B2319" i="94"/>
  <c r="B2318" i="94"/>
  <c r="B2322" i="94"/>
  <c r="B2317" i="94"/>
  <c r="B2316" i="94"/>
  <c r="B2315" i="94"/>
  <c r="B2314" i="94"/>
  <c r="B2313" i="94"/>
  <c r="B2312" i="94"/>
  <c r="B2311" i="94"/>
  <c r="B2310" i="94"/>
  <c r="B2309" i="94"/>
  <c r="B2308" i="94"/>
  <c r="F2307" i="94"/>
  <c r="F2306" i="94"/>
  <c r="E2305" i="94"/>
  <c r="B2305" i="94"/>
  <c r="B2304" i="94"/>
  <c r="B2303" i="94"/>
  <c r="B2302" i="94"/>
  <c r="B2301" i="94"/>
  <c r="B2300" i="94"/>
  <c r="B2299" i="94"/>
  <c r="B2307" i="94"/>
  <c r="B2298" i="94"/>
  <c r="B2297" i="94"/>
  <c r="B2296" i="94"/>
  <c r="E2295" i="94"/>
  <c r="B2295" i="94"/>
  <c r="B2294" i="94"/>
  <c r="B2293" i="94"/>
  <c r="B2292" i="94"/>
  <c r="B2291" i="94"/>
  <c r="B2290" i="94"/>
  <c r="E2289" i="94"/>
  <c r="B2289" i="94"/>
  <c r="B2288" i="94"/>
  <c r="B2287" i="94"/>
  <c r="B2286" i="94"/>
  <c r="B2285" i="94"/>
  <c r="B2284" i="94"/>
  <c r="B2283" i="94"/>
  <c r="B2282" i="94"/>
  <c r="B2281" i="94"/>
  <c r="B2280" i="94"/>
  <c r="B2279" i="94"/>
  <c r="B2278" i="94"/>
  <c r="B2277" i="94"/>
  <c r="B2276" i="94"/>
  <c r="B2275" i="94"/>
  <c r="B2274" i="94"/>
  <c r="B2273" i="94"/>
  <c r="B2272" i="94"/>
  <c r="B2270" i="94"/>
  <c r="E2269" i="94"/>
  <c r="B2269" i="94"/>
  <c r="B2268" i="94"/>
  <c r="B2267" i="94"/>
  <c r="B2266" i="94"/>
  <c r="B2265" i="94"/>
  <c r="B2264" i="94"/>
  <c r="B2263" i="94"/>
  <c r="E2262" i="94"/>
  <c r="B2262" i="94"/>
  <c r="B2261" i="94"/>
  <c r="B2260" i="94"/>
  <c r="B2259" i="94"/>
  <c r="B2258" i="94"/>
  <c r="B2257" i="94"/>
  <c r="B2256" i="94"/>
  <c r="B2255" i="94"/>
  <c r="B2254" i="94"/>
  <c r="B2253" i="94"/>
  <c r="B2252" i="94"/>
  <c r="B2251" i="94"/>
  <c r="B2250" i="94"/>
  <c r="B2249" i="94"/>
  <c r="B2248" i="94"/>
  <c r="B2247" i="94"/>
  <c r="B2246" i="94"/>
  <c r="B2245" i="94"/>
  <c r="B2244" i="94"/>
  <c r="B2243" i="94"/>
  <c r="B2242" i="94"/>
  <c r="B2241" i="94"/>
  <c r="B2240" i="94"/>
  <c r="B2239" i="94"/>
  <c r="B2238" i="94"/>
  <c r="B2237" i="94"/>
  <c r="B2236" i="94"/>
  <c r="B2235" i="94"/>
  <c r="B2234" i="94"/>
  <c r="B2233" i="94"/>
  <c r="B2232" i="94"/>
  <c r="F2231" i="94"/>
  <c r="B2231" i="94"/>
  <c r="F2230" i="94"/>
  <c r="B2229" i="94"/>
  <c r="B2228" i="94"/>
  <c r="B2227" i="94"/>
  <c r="B2226" i="94"/>
  <c r="E2225" i="94"/>
  <c r="B2225" i="94"/>
  <c r="B2224" i="94"/>
  <c r="B2223" i="94"/>
  <c r="B2222" i="94"/>
  <c r="B2221" i="94"/>
  <c r="B2220" i="94"/>
  <c r="B2219" i="94"/>
  <c r="E2218" i="94"/>
  <c r="B2218" i="94"/>
  <c r="B2217" i="94"/>
  <c r="B2216" i="94"/>
  <c r="B2215" i="94"/>
  <c r="B2214" i="94"/>
  <c r="B2213" i="94"/>
  <c r="B2212" i="94"/>
  <c r="B2211" i="94"/>
  <c r="B2210" i="94"/>
  <c r="B2209" i="94"/>
  <c r="B2208" i="94"/>
  <c r="B2207" i="94"/>
  <c r="B2206" i="94"/>
  <c r="B2205" i="94"/>
  <c r="B2204" i="94"/>
  <c r="B2203" i="94"/>
  <c r="B2202" i="94"/>
  <c r="B2201" i="94"/>
  <c r="B2200" i="94"/>
  <c r="B2199" i="94"/>
  <c r="B2198" i="94"/>
  <c r="B2197" i="94"/>
  <c r="B2196" i="94"/>
  <c r="B2195" i="94"/>
  <c r="B2194" i="94"/>
  <c r="B2193" i="94"/>
  <c r="B2192" i="94"/>
  <c r="B2190" i="94"/>
  <c r="B2189" i="94"/>
  <c r="B2188" i="94"/>
  <c r="B2187" i="94"/>
  <c r="B2186" i="94"/>
  <c r="B2185" i="94"/>
  <c r="B2184" i="94"/>
  <c r="B2183" i="94"/>
  <c r="B2182" i="94"/>
  <c r="B2181" i="94"/>
  <c r="B2180" i="94"/>
  <c r="B2179" i="94"/>
  <c r="E2178" i="94"/>
  <c r="B2178" i="94"/>
  <c r="B2177" i="94"/>
  <c r="B2176" i="94"/>
  <c r="B2175" i="94"/>
  <c r="B2174" i="94"/>
  <c r="B2173" i="94"/>
  <c r="B2172" i="94"/>
  <c r="B2171" i="94"/>
  <c r="B2170" i="94"/>
  <c r="B2169" i="94"/>
  <c r="B2168" i="94"/>
  <c r="B2167" i="94"/>
  <c r="B2166" i="94"/>
  <c r="B2165" i="94"/>
  <c r="B2164" i="94"/>
  <c r="B2163" i="94"/>
  <c r="B2162" i="94"/>
  <c r="B2161" i="94"/>
  <c r="B2160" i="94"/>
  <c r="B2159" i="94"/>
  <c r="B2158" i="94"/>
  <c r="B2157" i="94"/>
  <c r="B2156" i="94"/>
  <c r="B2155" i="94"/>
  <c r="B2154" i="94"/>
  <c r="F2153" i="94"/>
  <c r="B2153" i="94"/>
  <c r="F2152" i="94"/>
  <c r="B2151" i="94"/>
  <c r="B2150" i="94"/>
  <c r="B2149" i="94"/>
  <c r="B2148" i="94"/>
  <c r="B2147" i="94"/>
  <c r="B2146" i="94"/>
  <c r="B2145" i="94"/>
  <c r="B2144" i="94"/>
  <c r="B2143" i="94"/>
  <c r="B2142" i="94"/>
  <c r="B2141" i="94"/>
  <c r="B2140" i="94"/>
  <c r="B2139" i="94"/>
  <c r="B2138" i="94"/>
  <c r="B2137" i="94"/>
  <c r="E2136" i="94"/>
  <c r="B2136" i="94"/>
  <c r="B2135" i="94"/>
  <c r="B2134" i="94"/>
  <c r="B2133" i="94"/>
  <c r="B2132" i="94"/>
  <c r="B2131" i="94"/>
  <c r="B2130" i="94"/>
  <c r="B2129" i="94"/>
  <c r="B2128" i="94"/>
  <c r="B2127" i="94"/>
  <c r="B2126" i="94"/>
  <c r="B2125" i="94"/>
  <c r="B2124" i="94"/>
  <c r="B2123" i="94"/>
  <c r="B2122" i="94"/>
  <c r="B2121" i="94"/>
  <c r="B2120" i="94"/>
  <c r="B2119" i="94"/>
  <c r="B2118" i="94"/>
  <c r="B2116" i="94"/>
  <c r="B2115" i="94"/>
  <c r="B2114" i="94"/>
  <c r="B2113" i="94"/>
  <c r="B2112" i="94"/>
  <c r="B2111" i="94"/>
  <c r="E2110" i="94"/>
  <c r="B2110" i="94"/>
  <c r="B2109" i="94"/>
  <c r="B2108" i="94"/>
  <c r="F2107" i="94"/>
  <c r="B2107" i="94"/>
  <c r="B2106" i="94"/>
  <c r="B2105" i="94"/>
  <c r="B2104" i="94"/>
  <c r="B2103" i="94"/>
  <c r="B2102" i="94"/>
  <c r="B2101" i="94"/>
  <c r="B2100" i="94"/>
  <c r="B2099" i="94"/>
  <c r="B2098" i="94"/>
  <c r="B2097" i="94"/>
  <c r="B2096" i="94"/>
  <c r="B2095" i="94"/>
  <c r="B2094" i="94"/>
  <c r="B2093" i="94"/>
  <c r="B2092" i="94"/>
  <c r="B2091" i="94"/>
  <c r="B2090" i="94"/>
  <c r="B2089" i="94"/>
  <c r="B2088" i="94"/>
  <c r="B2087" i="94"/>
  <c r="B2086" i="94"/>
  <c r="B2085" i="94"/>
  <c r="B2084" i="94"/>
  <c r="B2083" i="94"/>
  <c r="B2082" i="94"/>
  <c r="B2081" i="94"/>
  <c r="F2080" i="94"/>
  <c r="B2080" i="94"/>
  <c r="F2079" i="94"/>
  <c r="B2078" i="94"/>
  <c r="B2077" i="94"/>
  <c r="B2076" i="94"/>
  <c r="B2075" i="94"/>
  <c r="B2074" i="94"/>
  <c r="B2073" i="94"/>
  <c r="B2072" i="94"/>
  <c r="B2071" i="94"/>
  <c r="B2070" i="94"/>
  <c r="B2069" i="94"/>
  <c r="B2068" i="94"/>
  <c r="B2067" i="94"/>
  <c r="B2066" i="94"/>
  <c r="B2065" i="94"/>
  <c r="B2064" i="94"/>
  <c r="B2063" i="94"/>
  <c r="B2062" i="94"/>
  <c r="B2061" i="94"/>
  <c r="B2060" i="94"/>
  <c r="B2059" i="94"/>
  <c r="B2058" i="94"/>
  <c r="B2057" i="94"/>
  <c r="B2056" i="94"/>
  <c r="B2055" i="94"/>
  <c r="B2054" i="94"/>
  <c r="B2053" i="94"/>
  <c r="E2052" i="94"/>
  <c r="B2052" i="94"/>
  <c r="B2051" i="94"/>
  <c r="B2050" i="94"/>
  <c r="B2049" i="94"/>
  <c r="B2048" i="94"/>
  <c r="B2047" i="94"/>
  <c r="B2046" i="94"/>
  <c r="B2045" i="94"/>
  <c r="B2044" i="94"/>
  <c r="B2043" i="94"/>
  <c r="B2042" i="94"/>
  <c r="B2041" i="94"/>
  <c r="B2040" i="94"/>
  <c r="B2039" i="94"/>
  <c r="E2038" i="94"/>
  <c r="B2038" i="94"/>
  <c r="B2037" i="94"/>
  <c r="B2036" i="94"/>
  <c r="B2035" i="94"/>
  <c r="E2034" i="94"/>
  <c r="B2034" i="94"/>
  <c r="B2032" i="94"/>
  <c r="B2031" i="94"/>
  <c r="B2030" i="94"/>
  <c r="B2029" i="94"/>
  <c r="E2028" i="94"/>
  <c r="B2028" i="94"/>
  <c r="B2027" i="94"/>
  <c r="B2026" i="94"/>
  <c r="B2025" i="94"/>
  <c r="B2024" i="94"/>
  <c r="B2023" i="94"/>
  <c r="B2022" i="94"/>
  <c r="B2021" i="94"/>
  <c r="B2020" i="94"/>
  <c r="B2019" i="94"/>
  <c r="B2018" i="94"/>
  <c r="B2017" i="94"/>
  <c r="B2016" i="94"/>
  <c r="E2015" i="94"/>
  <c r="B2015" i="94"/>
  <c r="E2014" i="94"/>
  <c r="B2014" i="94"/>
  <c r="B2013" i="94"/>
  <c r="B2012" i="94"/>
  <c r="B2011" i="94"/>
  <c r="E2010" i="94"/>
  <c r="B2010" i="94"/>
  <c r="B2009" i="94"/>
  <c r="B2008" i="94"/>
  <c r="F2007" i="94"/>
  <c r="B2007" i="94"/>
  <c r="B2006" i="94"/>
  <c r="B2005" i="94"/>
  <c r="B2004" i="94"/>
  <c r="B2003" i="94"/>
  <c r="B2002" i="94"/>
  <c r="B2001" i="94"/>
  <c r="E2000" i="94"/>
  <c r="B2000" i="94"/>
  <c r="E1999" i="94"/>
  <c r="B1999" i="94"/>
  <c r="B1998" i="94"/>
  <c r="B1997" i="94"/>
  <c r="B1996" i="94"/>
  <c r="B1995" i="94"/>
  <c r="B1994" i="94"/>
  <c r="B1993" i="94"/>
  <c r="B1992" i="94"/>
  <c r="B1991" i="94"/>
  <c r="B1990" i="94"/>
  <c r="B1989" i="94"/>
  <c r="B1988" i="94"/>
  <c r="B1987" i="94"/>
  <c r="B1986" i="94"/>
  <c r="B1985" i="94"/>
  <c r="B1984" i="94"/>
  <c r="B1983" i="94"/>
  <c r="B1982" i="94"/>
  <c r="B1981" i="94"/>
  <c r="B1980" i="94"/>
  <c r="B1979" i="94"/>
  <c r="B1978" i="94"/>
  <c r="B1977" i="94"/>
  <c r="F1976" i="94"/>
  <c r="B1975" i="94"/>
  <c r="B1974" i="94"/>
  <c r="B1973" i="94"/>
  <c r="B1972" i="94"/>
  <c r="B1971" i="94"/>
  <c r="B1970" i="94"/>
  <c r="B1969" i="94"/>
  <c r="B1968" i="94"/>
  <c r="B1967" i="94"/>
  <c r="B1966" i="94"/>
  <c r="B1965" i="94"/>
  <c r="B1964" i="94"/>
  <c r="B1963" i="94"/>
  <c r="B1962" i="94"/>
  <c r="B1961" i="94"/>
  <c r="B1960" i="94"/>
  <c r="B1959" i="94"/>
  <c r="B1958" i="94"/>
  <c r="B1957" i="94"/>
  <c r="B1956" i="94"/>
  <c r="B1955" i="94"/>
  <c r="B1954" i="94"/>
  <c r="B1953" i="94"/>
  <c r="B1952" i="94"/>
  <c r="B1951" i="94"/>
  <c r="B1950" i="94"/>
  <c r="B1949" i="94"/>
  <c r="B1948" i="94"/>
  <c r="B1947" i="94"/>
  <c r="B1946" i="94"/>
  <c r="F1945" i="94"/>
  <c r="B1945" i="94"/>
  <c r="B1944" i="94"/>
  <c r="B1943" i="94"/>
  <c r="B1942" i="94"/>
  <c r="B1941" i="94"/>
  <c r="B1940" i="94"/>
  <c r="B1939" i="94"/>
  <c r="B1938" i="94"/>
  <c r="B1937" i="94"/>
  <c r="B1936" i="94"/>
  <c r="E1935" i="94"/>
  <c r="B1935" i="94"/>
  <c r="B1934" i="94"/>
  <c r="B1933" i="94"/>
  <c r="B1932" i="94"/>
  <c r="B1931" i="94"/>
  <c r="E1930" i="94"/>
  <c r="B1930" i="94"/>
  <c r="B1929" i="94"/>
  <c r="B1928" i="94"/>
  <c r="B1927" i="94"/>
  <c r="B1926" i="94"/>
  <c r="B1925" i="94"/>
  <c r="B1924" i="94"/>
  <c r="B1922" i="94"/>
  <c r="B1921" i="94"/>
  <c r="B1920" i="94"/>
  <c r="E1919" i="94"/>
  <c r="B1919" i="94"/>
  <c r="B1917" i="94"/>
  <c r="B1923" i="94"/>
  <c r="B1916" i="94"/>
  <c r="B1915" i="94"/>
  <c r="B1914" i="94"/>
  <c r="B1913" i="94"/>
  <c r="B1912" i="94"/>
  <c r="B1911" i="94"/>
  <c r="B1910" i="94"/>
  <c r="B1909" i="94"/>
  <c r="B1908" i="94"/>
  <c r="F1907" i="94"/>
  <c r="B1907" i="94"/>
  <c r="B1906" i="94"/>
  <c r="B1905" i="94"/>
  <c r="B1904" i="94"/>
  <c r="E1903" i="94"/>
  <c r="B1903" i="94"/>
  <c r="B1902" i="94"/>
  <c r="B1901" i="94"/>
  <c r="B1900" i="94"/>
  <c r="B1899" i="94"/>
  <c r="E1898" i="94"/>
  <c r="B1898" i="94"/>
  <c r="B1897" i="94"/>
  <c r="B1896" i="94"/>
  <c r="B1895" i="94"/>
  <c r="B1894" i="94"/>
  <c r="B1893" i="94"/>
  <c r="B1892" i="94"/>
  <c r="F1891" i="94"/>
  <c r="B1891" i="94"/>
  <c r="B1890" i="94"/>
  <c r="F1889" i="94"/>
  <c r="B1888" i="94"/>
  <c r="B1887" i="94"/>
  <c r="B1886" i="94"/>
  <c r="B1885" i="94"/>
  <c r="B1884" i="94"/>
  <c r="B1883" i="94"/>
  <c r="B1882" i="94"/>
  <c r="B1881" i="94"/>
  <c r="B1880" i="94"/>
  <c r="B1879" i="94"/>
  <c r="B1878" i="94"/>
  <c r="B1877" i="94"/>
  <c r="B1876" i="94"/>
  <c r="B1875" i="94"/>
  <c r="B1874" i="94"/>
  <c r="B1873" i="94"/>
  <c r="B1872" i="94"/>
  <c r="B1871" i="94"/>
  <c r="B1870" i="94"/>
  <c r="B1869" i="94"/>
  <c r="E1868" i="94"/>
  <c r="B1868" i="94"/>
  <c r="B1867" i="94"/>
  <c r="B1866" i="94"/>
  <c r="E1865" i="94"/>
  <c r="B1865" i="94"/>
  <c r="E1864" i="94"/>
  <c r="B1864" i="94"/>
  <c r="B1863" i="94"/>
  <c r="B1862" i="94"/>
  <c r="B1861" i="94"/>
  <c r="B1860" i="94"/>
  <c r="B1859" i="94"/>
  <c r="B1858" i="94"/>
  <c r="B1857" i="94"/>
  <c r="B1856" i="94"/>
  <c r="B1855" i="94"/>
  <c r="E1854" i="94"/>
  <c r="B1854" i="94"/>
  <c r="B1853" i="94"/>
  <c r="B1852" i="94"/>
  <c r="B1851" i="94"/>
  <c r="B1850" i="94"/>
  <c r="B1849" i="94"/>
  <c r="B1848" i="94"/>
  <c r="B1847" i="94"/>
  <c r="B1846" i="94"/>
  <c r="B1845" i="94"/>
  <c r="E1843" i="94"/>
  <c r="B1843" i="94"/>
  <c r="B1842" i="94"/>
  <c r="B1841" i="94"/>
  <c r="B1840" i="94"/>
  <c r="B1839" i="94"/>
  <c r="B1838" i="94"/>
  <c r="B1837" i="94"/>
  <c r="B1836" i="94"/>
  <c r="B1835" i="94"/>
  <c r="B1834" i="94"/>
  <c r="B1833" i="94"/>
  <c r="B1832" i="94"/>
  <c r="B1831" i="94"/>
  <c r="B1830" i="94"/>
  <c r="B1829" i="94"/>
  <c r="B1828" i="94"/>
  <c r="B1827" i="94"/>
  <c r="B1826" i="94"/>
  <c r="B1825" i="94"/>
  <c r="E1824" i="94"/>
  <c r="B1824" i="94"/>
  <c r="B1823" i="94"/>
  <c r="B1822" i="94"/>
  <c r="B1821" i="94"/>
  <c r="B1820" i="94"/>
  <c r="B1819" i="94"/>
  <c r="B1818" i="94"/>
  <c r="B1817" i="94"/>
  <c r="B1816" i="94"/>
  <c r="B1815" i="94"/>
  <c r="B1814" i="94"/>
  <c r="F1813" i="94"/>
  <c r="B1813" i="94"/>
  <c r="F1812" i="94"/>
  <c r="B1811" i="94"/>
  <c r="B1810" i="94"/>
  <c r="B1809" i="94"/>
  <c r="B1808" i="94"/>
  <c r="B1807" i="94"/>
  <c r="B1806" i="94"/>
  <c r="B1805" i="94"/>
  <c r="B1804" i="94"/>
  <c r="B1803" i="94"/>
  <c r="B1802" i="94"/>
  <c r="B1801" i="94"/>
  <c r="B1800" i="94"/>
  <c r="B1799" i="94"/>
  <c r="B1798" i="94"/>
  <c r="B1797" i="94"/>
  <c r="E1796" i="94"/>
  <c r="B1796" i="94"/>
  <c r="B1795" i="94"/>
  <c r="B1794" i="94"/>
  <c r="B1793" i="94"/>
  <c r="E1792" i="94"/>
  <c r="B1792" i="94"/>
  <c r="B1790" i="94"/>
  <c r="B1789" i="94"/>
  <c r="B1788" i="94"/>
  <c r="B1787" i="94"/>
  <c r="B1791" i="94"/>
  <c r="E1786" i="94"/>
  <c r="B1786" i="94"/>
  <c r="B1785" i="94"/>
  <c r="B1784" i="94"/>
  <c r="B1783" i="94"/>
  <c r="B1782" i="94"/>
  <c r="B1781" i="94"/>
  <c r="B1780" i="94"/>
  <c r="B1779" i="94"/>
  <c r="B1778" i="94"/>
  <c r="B1777" i="94"/>
  <c r="B1776" i="94"/>
  <c r="B1774" i="94"/>
  <c r="B1773" i="94"/>
  <c r="B1772" i="94"/>
  <c r="B1771" i="94"/>
  <c r="B1770" i="94"/>
  <c r="B1769" i="94"/>
  <c r="B1768" i="94"/>
  <c r="B1767" i="94"/>
  <c r="B1766" i="94"/>
  <c r="B1765" i="94"/>
  <c r="B1764" i="94"/>
  <c r="B1763" i="94"/>
  <c r="B1762" i="94"/>
  <c r="B1761" i="94"/>
  <c r="E1760" i="94"/>
  <c r="B1760" i="94"/>
  <c r="B1759" i="94"/>
  <c r="B1758" i="94"/>
  <c r="B1757" i="94"/>
  <c r="B1756" i="94"/>
  <c r="B1755" i="94"/>
  <c r="B1754" i="94"/>
  <c r="B1753" i="94"/>
  <c r="B1752" i="94"/>
  <c r="B1751" i="94"/>
  <c r="B1750" i="94"/>
  <c r="B1749" i="94"/>
  <c r="B1748" i="94"/>
  <c r="F1747" i="94"/>
  <c r="B1747" i="94"/>
  <c r="F1746" i="94"/>
  <c r="B1745" i="94"/>
  <c r="B1744" i="94"/>
  <c r="B1743" i="94"/>
  <c r="B1742" i="94"/>
  <c r="B1741" i="94"/>
  <c r="B1740" i="94"/>
  <c r="B1739" i="94"/>
  <c r="B1738" i="94"/>
  <c r="B1737" i="94"/>
  <c r="B1736" i="94"/>
  <c r="B1735" i="94"/>
  <c r="B1734" i="94"/>
  <c r="B1733" i="94"/>
  <c r="B1732" i="94"/>
  <c r="B1731" i="94"/>
  <c r="B1730" i="94"/>
  <c r="B1729" i="94"/>
  <c r="B1728" i="94"/>
  <c r="B1727" i="94"/>
  <c r="E1726" i="94"/>
  <c r="B1726" i="94"/>
  <c r="B1725" i="94"/>
  <c r="B1724" i="94"/>
  <c r="B1723" i="94"/>
  <c r="B1722" i="94"/>
  <c r="B1721" i="94"/>
  <c r="B1720" i="94"/>
  <c r="B1719" i="94"/>
  <c r="E1718" i="94"/>
  <c r="B1718" i="94"/>
  <c r="B1717" i="94"/>
  <c r="E1716" i="94"/>
  <c r="B1716" i="94"/>
  <c r="B1715" i="94"/>
  <c r="B1714" i="94"/>
  <c r="B1713" i="94"/>
  <c r="B1712" i="94"/>
  <c r="B1710" i="94"/>
  <c r="B1709" i="94"/>
  <c r="B1708" i="94"/>
  <c r="B1707" i="94"/>
  <c r="B1706" i="94"/>
  <c r="B1705" i="94"/>
  <c r="B1704" i="94"/>
  <c r="B1703" i="94"/>
  <c r="B1702" i="94"/>
  <c r="B1701" i="94"/>
  <c r="B1700" i="94"/>
  <c r="B1699" i="94"/>
  <c r="B1698" i="94"/>
  <c r="B1697" i="94"/>
  <c r="B1696" i="94"/>
  <c r="B1695" i="94"/>
  <c r="B1694" i="94"/>
  <c r="B1693" i="94"/>
  <c r="B1692" i="94"/>
  <c r="B1690" i="94"/>
  <c r="B1689" i="94"/>
  <c r="B1691" i="94"/>
  <c r="B1688" i="94"/>
  <c r="B1687" i="94"/>
  <c r="B1686" i="94"/>
  <c r="B1685" i="94"/>
  <c r="B1684" i="94"/>
  <c r="B1683" i="94"/>
  <c r="B1682" i="94"/>
  <c r="B1681" i="94"/>
  <c r="B1680" i="94"/>
  <c r="B1679" i="94"/>
  <c r="B1678" i="94"/>
  <c r="E1677" i="94"/>
  <c r="B1677" i="94"/>
  <c r="B1676" i="94"/>
  <c r="B1675" i="94"/>
  <c r="B1674" i="94"/>
  <c r="B1673" i="94"/>
  <c r="F1672" i="94"/>
  <c r="B1672" i="94"/>
  <c r="F1671" i="94"/>
  <c r="B1671" i="94"/>
  <c r="B1670" i="94"/>
  <c r="F1669" i="94"/>
  <c r="B1669" i="94"/>
  <c r="F1668" i="94"/>
  <c r="B1667" i="94"/>
  <c r="B1666" i="94"/>
  <c r="B1665" i="94"/>
  <c r="B1664" i="94"/>
  <c r="B1663" i="94"/>
  <c r="B1662" i="94"/>
  <c r="B1661" i="94"/>
  <c r="E1660" i="94"/>
  <c r="B1660" i="94"/>
  <c r="B1659" i="94"/>
  <c r="B1658" i="94"/>
  <c r="B1657" i="94"/>
  <c r="B1656" i="94"/>
  <c r="B1655" i="94"/>
  <c r="B1654" i="94"/>
  <c r="B1653" i="94"/>
  <c r="B1652" i="94"/>
  <c r="B1651" i="94"/>
  <c r="E1650" i="94"/>
  <c r="B1650" i="94"/>
  <c r="B1649" i="94"/>
  <c r="B1648" i="94"/>
  <c r="B1647" i="94"/>
  <c r="B1646" i="94"/>
  <c r="B1645" i="94"/>
  <c r="B1644" i="94"/>
  <c r="B1643" i="94"/>
  <c r="B1642" i="94"/>
  <c r="B1641" i="94"/>
  <c r="B1640" i="94"/>
  <c r="B1639" i="94"/>
  <c r="B1638" i="94"/>
  <c r="E1637" i="94"/>
  <c r="B1637" i="94"/>
  <c r="B1636" i="94"/>
  <c r="B1635" i="94"/>
  <c r="F1634" i="94"/>
  <c r="B1634" i="94"/>
  <c r="B1633" i="94"/>
  <c r="B1632" i="94"/>
  <c r="B1631" i="94"/>
  <c r="B1630" i="94"/>
  <c r="B1629" i="94"/>
  <c r="B1627" i="94"/>
  <c r="B1626" i="94"/>
  <c r="B1625" i="94"/>
  <c r="B1624" i="94"/>
  <c r="B1623" i="94"/>
  <c r="E1622" i="94"/>
  <c r="B1622" i="94"/>
  <c r="B1621" i="94"/>
  <c r="E1620" i="94"/>
  <c r="B1620" i="94"/>
  <c r="B1619" i="94"/>
  <c r="E1618" i="94"/>
  <c r="B1618" i="94"/>
  <c r="B1617" i="94"/>
  <c r="B1616" i="94"/>
  <c r="B1615" i="94"/>
  <c r="B1614" i="94"/>
  <c r="B1613" i="94"/>
  <c r="B1612" i="94"/>
  <c r="B1611" i="94"/>
  <c r="B1610" i="94"/>
  <c r="B1609" i="94"/>
  <c r="B1608" i="94"/>
  <c r="E1607" i="94"/>
  <c r="B1607" i="94"/>
  <c r="B1606" i="94"/>
  <c r="B1605" i="94"/>
  <c r="B1604" i="94"/>
  <c r="B1603" i="94"/>
  <c r="B1602" i="94"/>
  <c r="B1601" i="94"/>
  <c r="B1600" i="94"/>
  <c r="B1599" i="94"/>
  <c r="E1598" i="94"/>
  <c r="B1598" i="94"/>
  <c r="B1597" i="94"/>
  <c r="B1596" i="94"/>
  <c r="B1595" i="94"/>
  <c r="F1594" i="94"/>
  <c r="B1594" i="94"/>
  <c r="F1593" i="94"/>
  <c r="B1593" i="94"/>
  <c r="B1592" i="94"/>
  <c r="B1591" i="94"/>
  <c r="F1590" i="94"/>
  <c r="B1590" i="94"/>
  <c r="F1589" i="94"/>
  <c r="B1588" i="94"/>
  <c r="B1587" i="94"/>
  <c r="B1586" i="94"/>
  <c r="B1585" i="94"/>
  <c r="B1584" i="94"/>
  <c r="F1583" i="94"/>
  <c r="E1583" i="94"/>
  <c r="B1583" i="94"/>
  <c r="E1582" i="94"/>
  <c r="B1582" i="94"/>
  <c r="B1581" i="94"/>
  <c r="B1580" i="94"/>
  <c r="B1579" i="94"/>
  <c r="B1578" i="94"/>
  <c r="B1577" i="94"/>
  <c r="B1576" i="94"/>
  <c r="B1575" i="94"/>
  <c r="B1574" i="94"/>
  <c r="B1573" i="94"/>
  <c r="B1572" i="94"/>
  <c r="B1571" i="94"/>
  <c r="B1570" i="94"/>
  <c r="B1569" i="94"/>
  <c r="E1568" i="94"/>
  <c r="B1568" i="94"/>
  <c r="B1567" i="94"/>
  <c r="B1566" i="94"/>
  <c r="B1565" i="94"/>
  <c r="B1564" i="94"/>
  <c r="B1563" i="94"/>
  <c r="B1562" i="94"/>
  <c r="B1561" i="94"/>
  <c r="B1560" i="94"/>
  <c r="B1559" i="94"/>
  <c r="B1558" i="94"/>
  <c r="B1557" i="94"/>
  <c r="B1556" i="94"/>
  <c r="B1555" i="94"/>
  <c r="B1554" i="94"/>
  <c r="B1553" i="94"/>
  <c r="B1552" i="94"/>
  <c r="B1550" i="94"/>
  <c r="B1549" i="94"/>
  <c r="B1548" i="94"/>
  <c r="B1547" i="94"/>
  <c r="B1546" i="94"/>
  <c r="B1545" i="94"/>
  <c r="B1544" i="94"/>
  <c r="B1543" i="94"/>
  <c r="B1542" i="94"/>
  <c r="B1541" i="94"/>
  <c r="B1540" i="94"/>
  <c r="B1539" i="94"/>
  <c r="B1538" i="94"/>
  <c r="E1537" i="94"/>
  <c r="B1537" i="94"/>
  <c r="B1536" i="94"/>
  <c r="E1535" i="94"/>
  <c r="B1535" i="94"/>
  <c r="B1534" i="94"/>
  <c r="B1533" i="94"/>
  <c r="B1532" i="94"/>
  <c r="B1531" i="94"/>
  <c r="B1530" i="94"/>
  <c r="B1529" i="94"/>
  <c r="B1528" i="94"/>
  <c r="B1527" i="94"/>
  <c r="E1526" i="94"/>
  <c r="B1526" i="94"/>
  <c r="B1525" i="94"/>
  <c r="B1524" i="94"/>
  <c r="F1523" i="94"/>
  <c r="B1523" i="94"/>
  <c r="F1522" i="94"/>
  <c r="B1522" i="94"/>
  <c r="B1521" i="94"/>
  <c r="B1520" i="94"/>
  <c r="B1519" i="94"/>
  <c r="B1518" i="94"/>
  <c r="E1517" i="94"/>
  <c r="B1517" i="94"/>
  <c r="B1516" i="94"/>
  <c r="B1515" i="94"/>
  <c r="B1514" i="94"/>
  <c r="B1513" i="94"/>
  <c r="F1512" i="94"/>
  <c r="B1512" i="94"/>
  <c r="F1511" i="94"/>
  <c r="B1511" i="94"/>
  <c r="B1510" i="94"/>
  <c r="B1509" i="94"/>
  <c r="B1508" i="94"/>
  <c r="B1506" i="94"/>
  <c r="B1507" i="94"/>
  <c r="B1505" i="94"/>
  <c r="B1504" i="94"/>
  <c r="F1503" i="94"/>
  <c r="B1503" i="94"/>
  <c r="F1502" i="94"/>
  <c r="B1501" i="94"/>
  <c r="B1500" i="94"/>
  <c r="B1499" i="94"/>
  <c r="B1498" i="94"/>
  <c r="B1497" i="94"/>
  <c r="B1496" i="94"/>
  <c r="B1495" i="94"/>
  <c r="B1494" i="94"/>
  <c r="B1493" i="94"/>
  <c r="B1492" i="94"/>
  <c r="B1491" i="94"/>
  <c r="B1490" i="94"/>
  <c r="B1489" i="94"/>
  <c r="B1488" i="94"/>
  <c r="B1487" i="94"/>
  <c r="B1486" i="94"/>
  <c r="B1485" i="94"/>
  <c r="B1484" i="94"/>
  <c r="E1483" i="94"/>
  <c r="B1483" i="94"/>
  <c r="B1482" i="94"/>
  <c r="B1481" i="94"/>
  <c r="B1480" i="94"/>
  <c r="B1479" i="94"/>
  <c r="B1478" i="94"/>
  <c r="B1477" i="94"/>
  <c r="B1476" i="94"/>
  <c r="B1475" i="94"/>
  <c r="B1474" i="94"/>
  <c r="B1473" i="94"/>
  <c r="B1472" i="94"/>
  <c r="B1471" i="94"/>
  <c r="B1470" i="94"/>
  <c r="B1469" i="94"/>
  <c r="B1468" i="94"/>
  <c r="B1467" i="94"/>
  <c r="B1465" i="94"/>
  <c r="B1464" i="94"/>
  <c r="B1463" i="94"/>
  <c r="B1462" i="94"/>
  <c r="B1461" i="94"/>
  <c r="B1460" i="94"/>
  <c r="B1459" i="94"/>
  <c r="B1458" i="94"/>
  <c r="B1457" i="94"/>
  <c r="B1456" i="94"/>
  <c r="B1455" i="94"/>
  <c r="F1454" i="94"/>
  <c r="B1454" i="94"/>
  <c r="B1453" i="94"/>
  <c r="B1452" i="94"/>
  <c r="B1451" i="94"/>
  <c r="B1450" i="94"/>
  <c r="B1449" i="94"/>
  <c r="B1448" i="94"/>
  <c r="B1447" i="94"/>
  <c r="B1446" i="94"/>
  <c r="B1445" i="94"/>
  <c r="B1444" i="94"/>
  <c r="B1443" i="94"/>
  <c r="B1442" i="94"/>
  <c r="B1441" i="94"/>
  <c r="B1440" i="94"/>
  <c r="B1439" i="94"/>
  <c r="B1438" i="94"/>
  <c r="B1437" i="94"/>
  <c r="B1436" i="94"/>
  <c r="B1435" i="94"/>
  <c r="B1434" i="94"/>
  <c r="B1433" i="94"/>
  <c r="B1432" i="94"/>
  <c r="B1431" i="94"/>
  <c r="B1430" i="94"/>
  <c r="B1429" i="94"/>
  <c r="B1428" i="94"/>
  <c r="B1427" i="94"/>
  <c r="B1426" i="94"/>
  <c r="B1425" i="94"/>
  <c r="B1424" i="94"/>
  <c r="E1423" i="94"/>
  <c r="B1423" i="94"/>
  <c r="B1422" i="94"/>
  <c r="E1421" i="94"/>
  <c r="B1421" i="94"/>
  <c r="B1420" i="94"/>
  <c r="B1419" i="94"/>
  <c r="B1418" i="94"/>
  <c r="B1417" i="94"/>
  <c r="B1416" i="94"/>
  <c r="B1415" i="94"/>
  <c r="B1414" i="94"/>
  <c r="B1413" i="94"/>
  <c r="B1412" i="94"/>
  <c r="E1411" i="94"/>
  <c r="B1411" i="94"/>
  <c r="B1410" i="94"/>
  <c r="B1409" i="94"/>
  <c r="B1408" i="94"/>
  <c r="F1407" i="94"/>
  <c r="B1407" i="94"/>
  <c r="F1406" i="94"/>
  <c r="B1406" i="94"/>
  <c r="B1405" i="94"/>
  <c r="B1404" i="94"/>
  <c r="B1403" i="94"/>
  <c r="B1402" i="94"/>
  <c r="E1401" i="94"/>
  <c r="B1401" i="94"/>
  <c r="B1400" i="94"/>
  <c r="B1399" i="94"/>
  <c r="B1398" i="94"/>
  <c r="B1397" i="94"/>
  <c r="B1396" i="94"/>
  <c r="B1395" i="94"/>
  <c r="B1394" i="94"/>
  <c r="B1393" i="94"/>
  <c r="B1392" i="94"/>
  <c r="B1391" i="94"/>
  <c r="E1390" i="94"/>
  <c r="B1390" i="94"/>
  <c r="B1389" i="94"/>
  <c r="B1388" i="94"/>
  <c r="F1387" i="94"/>
  <c r="B1387" i="94"/>
  <c r="F1386" i="94"/>
  <c r="B1385" i="94"/>
  <c r="B1384" i="94"/>
  <c r="B1383" i="94"/>
  <c r="B1382" i="94"/>
  <c r="B1381" i="94"/>
  <c r="B1380" i="94"/>
  <c r="B1379" i="94"/>
  <c r="B1378" i="94"/>
  <c r="B1377" i="94"/>
  <c r="B1376" i="94"/>
  <c r="B1375" i="94"/>
  <c r="B1374" i="94"/>
  <c r="B1373" i="94"/>
  <c r="B1372" i="94"/>
  <c r="B1371" i="94"/>
  <c r="B1370" i="94"/>
  <c r="B1369" i="94"/>
  <c r="B1368" i="94"/>
  <c r="B1367" i="94"/>
  <c r="B1366" i="94"/>
  <c r="E1365" i="94"/>
  <c r="B1365" i="94"/>
  <c r="B1364" i="94"/>
  <c r="B1363" i="94"/>
  <c r="B1362" i="94"/>
  <c r="B1361" i="94"/>
  <c r="B1360" i="94"/>
  <c r="B1359" i="94"/>
  <c r="B1358" i="94"/>
  <c r="B1357" i="94"/>
  <c r="B1356" i="94"/>
  <c r="B1355" i="94"/>
  <c r="B1354" i="94"/>
  <c r="B1353" i="94"/>
  <c r="B1352" i="94"/>
  <c r="B1351" i="94"/>
  <c r="B1350" i="94"/>
  <c r="B1349" i="94"/>
  <c r="B1348" i="94"/>
  <c r="B1347" i="94"/>
  <c r="B1346" i="94"/>
  <c r="B1345" i="94"/>
  <c r="B1344" i="94"/>
  <c r="B1343" i="94"/>
  <c r="B1342" i="94"/>
  <c r="B1341" i="94"/>
  <c r="B1340" i="94"/>
  <c r="B1339" i="94"/>
  <c r="B1337" i="94"/>
  <c r="B1336" i="94"/>
  <c r="B1335" i="94"/>
  <c r="B1334" i="94"/>
  <c r="B1333" i="94"/>
  <c r="B1332" i="94"/>
  <c r="B1331" i="94"/>
  <c r="B1330" i="94"/>
  <c r="B1329" i="94"/>
  <c r="E1328" i="94"/>
  <c r="B1328" i="94"/>
  <c r="E1327" i="94"/>
  <c r="B1327" i="94"/>
  <c r="B1326" i="94"/>
  <c r="E1325" i="94"/>
  <c r="B1325" i="94"/>
  <c r="B1324" i="94"/>
  <c r="B1323" i="94"/>
  <c r="B1322" i="94"/>
  <c r="B1321" i="94"/>
  <c r="B1320" i="94"/>
  <c r="B1319" i="94"/>
  <c r="E1318" i="94"/>
  <c r="B1318" i="94"/>
  <c r="B1317" i="94"/>
  <c r="E1316" i="94"/>
  <c r="B1316" i="94"/>
  <c r="B1315" i="94"/>
  <c r="B1314" i="94"/>
  <c r="B1313" i="94"/>
  <c r="B1312" i="94"/>
  <c r="B1311" i="94"/>
  <c r="B1310" i="94"/>
  <c r="B1309" i="94"/>
  <c r="B1308" i="94"/>
  <c r="B1307" i="94"/>
  <c r="B1306" i="94"/>
  <c r="B1305" i="94"/>
  <c r="F1304" i="94"/>
  <c r="B1304" i="94"/>
  <c r="B1303" i="94"/>
  <c r="F1302" i="94"/>
  <c r="B1302" i="94"/>
  <c r="B1301" i="94"/>
  <c r="B1300" i="94"/>
  <c r="B1299" i="94"/>
  <c r="B1298" i="94"/>
  <c r="B1297" i="94"/>
  <c r="B1296" i="94"/>
  <c r="B1295" i="94"/>
  <c r="B1294" i="94"/>
  <c r="B1293" i="94"/>
  <c r="B1292" i="94"/>
  <c r="B1291" i="94"/>
  <c r="B1290" i="94"/>
  <c r="B1289" i="94"/>
  <c r="E1288" i="94"/>
  <c r="B1288" i="94"/>
  <c r="B1287" i="94"/>
  <c r="F1286" i="94"/>
  <c r="B1286" i="94"/>
  <c r="F1285" i="94"/>
  <c r="B1284" i="94"/>
  <c r="E1283" i="94"/>
  <c r="B1283" i="94"/>
  <c r="E1282" i="94"/>
  <c r="B1282" i="94"/>
  <c r="B1281" i="94"/>
  <c r="B1280" i="94"/>
  <c r="B1279" i="94"/>
  <c r="B1278" i="94"/>
  <c r="B1277" i="94"/>
  <c r="B1276" i="94"/>
  <c r="E1275" i="94"/>
  <c r="B1275" i="94"/>
  <c r="B1274" i="94"/>
  <c r="E1273" i="94"/>
  <c r="B1273" i="94"/>
  <c r="B1272" i="94"/>
  <c r="B1271" i="94"/>
  <c r="B1270" i="94"/>
  <c r="B1269" i="94"/>
  <c r="B1268" i="94"/>
  <c r="B1267" i="94"/>
  <c r="B1266" i="94"/>
  <c r="B1265" i="94"/>
  <c r="B1264" i="94"/>
  <c r="B1263" i="94"/>
  <c r="B1262" i="94"/>
  <c r="B1261" i="94"/>
  <c r="B1260" i="94"/>
  <c r="B1259" i="94"/>
  <c r="B1258" i="94"/>
  <c r="B1257" i="94"/>
  <c r="B1256" i="94"/>
  <c r="B1255" i="94"/>
  <c r="B1254" i="94"/>
  <c r="B1253" i="94"/>
  <c r="B1251" i="94"/>
  <c r="B1250" i="94"/>
  <c r="B1249" i="94"/>
  <c r="E1248" i="94"/>
  <c r="B1248" i="94"/>
  <c r="B1247" i="94"/>
  <c r="B1246" i="94"/>
  <c r="B1245" i="94"/>
  <c r="B1244" i="94"/>
  <c r="B1243" i="94"/>
  <c r="B1242" i="94"/>
  <c r="B1241" i="94"/>
  <c r="B1240" i="94"/>
  <c r="B1239" i="94"/>
  <c r="B1238" i="94"/>
  <c r="B1237" i="94"/>
  <c r="B1236" i="94"/>
  <c r="B1235" i="94"/>
  <c r="B1234" i="94"/>
  <c r="B1233" i="94"/>
  <c r="B1232" i="94"/>
  <c r="B1231" i="94"/>
  <c r="B1230" i="94"/>
  <c r="B1229" i="94"/>
  <c r="B1228" i="94"/>
  <c r="B1227" i="94"/>
  <c r="B1226" i="94"/>
  <c r="B1225" i="94"/>
  <c r="E1224" i="94"/>
  <c r="B1224" i="94"/>
  <c r="B1223" i="94"/>
  <c r="B1222" i="94"/>
  <c r="B1221" i="94"/>
  <c r="B1220" i="94"/>
  <c r="E1219" i="94"/>
  <c r="B1219" i="94"/>
  <c r="B1218" i="94"/>
  <c r="E1217" i="94"/>
  <c r="B1217" i="94"/>
  <c r="B1216" i="94"/>
  <c r="B1215" i="94"/>
  <c r="B1214" i="94"/>
  <c r="B1213" i="94"/>
  <c r="B1212" i="94"/>
  <c r="B1211" i="94"/>
  <c r="B1210" i="94"/>
  <c r="B1209" i="94"/>
  <c r="B1208" i="94"/>
  <c r="B1207" i="94"/>
  <c r="B1206" i="94"/>
  <c r="B1205" i="94"/>
  <c r="B1204" i="94"/>
  <c r="B1203" i="94"/>
  <c r="B1202" i="94"/>
  <c r="B1201" i="94"/>
  <c r="B1200" i="94"/>
  <c r="B1199" i="94"/>
  <c r="B1198" i="94"/>
  <c r="E1197" i="94"/>
  <c r="B1197" i="94"/>
  <c r="E1196" i="94"/>
  <c r="B1196" i="94"/>
  <c r="B1195" i="94"/>
  <c r="B1194" i="94"/>
  <c r="B1193" i="94"/>
  <c r="B1192" i="94"/>
  <c r="B1191" i="94"/>
  <c r="E1190" i="94"/>
  <c r="B1190" i="94"/>
  <c r="F1189" i="94"/>
  <c r="B1189" i="94"/>
  <c r="F1188" i="94"/>
  <c r="B1187" i="94"/>
  <c r="B1186" i="94"/>
  <c r="B1185" i="94"/>
  <c r="B1184" i="94"/>
  <c r="B1183" i="94"/>
  <c r="B1182" i="94"/>
  <c r="B1181" i="94"/>
  <c r="B1179" i="94"/>
  <c r="B1180" i="94"/>
  <c r="E1178" i="94"/>
  <c r="B1178" i="94"/>
  <c r="B1177" i="94"/>
  <c r="B1176" i="94"/>
  <c r="B1175" i="94"/>
  <c r="F1174" i="94"/>
  <c r="B1174" i="94"/>
  <c r="B1173" i="94"/>
  <c r="B1172" i="94"/>
  <c r="B1171" i="94"/>
  <c r="B1170" i="94"/>
  <c r="B1169" i="94"/>
  <c r="B1168" i="94"/>
  <c r="B1167" i="94"/>
  <c r="E1166" i="94"/>
  <c r="B1166" i="94"/>
  <c r="B1165" i="94"/>
  <c r="B1164" i="94"/>
  <c r="B1163" i="94"/>
  <c r="B1162" i="94"/>
  <c r="F1161" i="94"/>
  <c r="B1161" i="94"/>
  <c r="B1160" i="94"/>
  <c r="B1159" i="94"/>
  <c r="B1158" i="94"/>
  <c r="B1157" i="94"/>
  <c r="B1156" i="94"/>
  <c r="B1155" i="94"/>
  <c r="B1154" i="94"/>
  <c r="B1153" i="94"/>
  <c r="B1152" i="94"/>
  <c r="B1151" i="94"/>
  <c r="B1150" i="94"/>
  <c r="B1149" i="94"/>
  <c r="B1148" i="94"/>
  <c r="B1147" i="94"/>
  <c r="B1146" i="94"/>
  <c r="B1145" i="94"/>
  <c r="B1144" i="94"/>
  <c r="B1142" i="94"/>
  <c r="B1141" i="94"/>
  <c r="B1140" i="94"/>
  <c r="B1139" i="94"/>
  <c r="B1138" i="94"/>
  <c r="B1137" i="94"/>
  <c r="B1136" i="94"/>
  <c r="B1135" i="94"/>
  <c r="B1134" i="94"/>
  <c r="B1133" i="94"/>
  <c r="B1132" i="94"/>
  <c r="B1131" i="94"/>
  <c r="B1130" i="94"/>
  <c r="B1129" i="94"/>
  <c r="E1128" i="94"/>
  <c r="B1128" i="94"/>
  <c r="B1127" i="94"/>
  <c r="B1126" i="94"/>
  <c r="B1125" i="94"/>
  <c r="E1124" i="94"/>
  <c r="B1124" i="94"/>
  <c r="B1123" i="94"/>
  <c r="B1122" i="94"/>
  <c r="B1121" i="94"/>
  <c r="B1120" i="94"/>
  <c r="B1119" i="94"/>
  <c r="B1118" i="94"/>
  <c r="B1117" i="94"/>
  <c r="B1116" i="94"/>
  <c r="B1115" i="94"/>
  <c r="E1114" i="94"/>
  <c r="B1114" i="94"/>
  <c r="B1113" i="94"/>
  <c r="B1112" i="94"/>
  <c r="B1111" i="94"/>
  <c r="B1110" i="94"/>
  <c r="B1109" i="94"/>
  <c r="B1108" i="94"/>
  <c r="B1107" i="94"/>
  <c r="B1106" i="94"/>
  <c r="B1105" i="94"/>
  <c r="B1104" i="94"/>
  <c r="B1103" i="94"/>
  <c r="B1102" i="94"/>
  <c r="B1101" i="94"/>
  <c r="B1100" i="94"/>
  <c r="B1099" i="94"/>
  <c r="B1098" i="94"/>
  <c r="B1097" i="94"/>
  <c r="E1096" i="94"/>
  <c r="B1096" i="94"/>
  <c r="E1095" i="94"/>
  <c r="B1095" i="94"/>
  <c r="B1094" i="94"/>
  <c r="F1093" i="94"/>
  <c r="B1093" i="94"/>
  <c r="F1092" i="94"/>
  <c r="B1091" i="94"/>
  <c r="B1090" i="94"/>
  <c r="B1089" i="94"/>
  <c r="B1088" i="94"/>
  <c r="B1087" i="94"/>
  <c r="B1086" i="94"/>
  <c r="B1085" i="94"/>
  <c r="B1084" i="94"/>
  <c r="B1083" i="94"/>
  <c r="E1082" i="94"/>
  <c r="B1082" i="94"/>
  <c r="E1081" i="94"/>
  <c r="B1081" i="94"/>
  <c r="E1080" i="94"/>
  <c r="B1080" i="94"/>
  <c r="E1079" i="94"/>
  <c r="B1079" i="94"/>
  <c r="B1078" i="94"/>
  <c r="B1077" i="94"/>
  <c r="B1076" i="94"/>
  <c r="B1075" i="94"/>
  <c r="B1074" i="94"/>
  <c r="B1073" i="94"/>
  <c r="B1072" i="94"/>
  <c r="B1071" i="94"/>
  <c r="B1070" i="94"/>
  <c r="B1069" i="94"/>
  <c r="B1068" i="94"/>
  <c r="B1067" i="94"/>
  <c r="B1066" i="94"/>
  <c r="B1065" i="94"/>
  <c r="E1064" i="94"/>
  <c r="B1064" i="94"/>
  <c r="B1063" i="94"/>
  <c r="B1062" i="94"/>
  <c r="B1061" i="94"/>
  <c r="B1059" i="94"/>
  <c r="B1058" i="94"/>
  <c r="B1057" i="94"/>
  <c r="B1056" i="94"/>
  <c r="B1055" i="94"/>
  <c r="B1054" i="94"/>
  <c r="B1053" i="94"/>
  <c r="B1052" i="94"/>
  <c r="E1051" i="94"/>
  <c r="B1051" i="94"/>
  <c r="B1050" i="94"/>
  <c r="B1049" i="94"/>
  <c r="B1048" i="94"/>
  <c r="B1047" i="94"/>
  <c r="E1046" i="94"/>
  <c r="B1046" i="94"/>
  <c r="B1045" i="94"/>
  <c r="B1044" i="94"/>
  <c r="B1043" i="94"/>
  <c r="B1042" i="94"/>
  <c r="B1041" i="94"/>
  <c r="B1040" i="94"/>
  <c r="E1039" i="94"/>
  <c r="B1039" i="94"/>
  <c r="B1038" i="94"/>
  <c r="B1037" i="94"/>
  <c r="B1036" i="94"/>
  <c r="B1035" i="94"/>
  <c r="B1034" i="94"/>
  <c r="B1033" i="94"/>
  <c r="B1032" i="94"/>
  <c r="B1031" i="94"/>
  <c r="B1030" i="94"/>
  <c r="B1029" i="94"/>
  <c r="B1028" i="94"/>
  <c r="E1027" i="94"/>
  <c r="B1027" i="94"/>
  <c r="E1026" i="94"/>
  <c r="B1026" i="94"/>
  <c r="B1025" i="94"/>
  <c r="B1024" i="94"/>
  <c r="B1023" i="94"/>
  <c r="B1022" i="94"/>
  <c r="B1021" i="94"/>
  <c r="B1020" i="94"/>
  <c r="F1019" i="94"/>
  <c r="B1019" i="94"/>
  <c r="F1018" i="94"/>
  <c r="B1017" i="94"/>
  <c r="B1016" i="94"/>
  <c r="B1015" i="94"/>
  <c r="B1014" i="94"/>
  <c r="B1013" i="94"/>
  <c r="B1012" i="94"/>
  <c r="B1011" i="94"/>
  <c r="B1010" i="94"/>
  <c r="B1009" i="94"/>
  <c r="B1008" i="94"/>
  <c r="B1007" i="94"/>
  <c r="B1006" i="94"/>
  <c r="B1005" i="94"/>
  <c r="B1004" i="94"/>
  <c r="E1003" i="94"/>
  <c r="B1003" i="94"/>
  <c r="B1002" i="94"/>
  <c r="B1001" i="94"/>
  <c r="B1000" i="94"/>
  <c r="B999" i="94"/>
  <c r="B998" i="94"/>
  <c r="B997" i="94"/>
  <c r="B996" i="94"/>
  <c r="B995" i="94"/>
  <c r="E994" i="94"/>
  <c r="B994" i="94"/>
  <c r="B993" i="94"/>
  <c r="B992" i="94"/>
  <c r="B991" i="94"/>
  <c r="B990" i="94"/>
  <c r="B989" i="94"/>
  <c r="B988" i="94"/>
  <c r="E987" i="94"/>
  <c r="B987" i="94"/>
  <c r="B986" i="94"/>
  <c r="B985" i="94"/>
  <c r="B984" i="94"/>
  <c r="B983" i="94"/>
  <c r="B982" i="94"/>
  <c r="B980" i="94"/>
  <c r="B979" i="94"/>
  <c r="B978" i="94"/>
  <c r="B977" i="94"/>
  <c r="B976" i="94"/>
  <c r="B975" i="94"/>
  <c r="E974" i="94"/>
  <c r="B974" i="94"/>
  <c r="B973" i="94"/>
  <c r="B972" i="94"/>
  <c r="B971" i="94"/>
  <c r="B970" i="94"/>
  <c r="B969" i="94"/>
  <c r="F968" i="94"/>
  <c r="B968" i="94"/>
  <c r="B967" i="94"/>
  <c r="B966" i="94"/>
  <c r="B965" i="94"/>
  <c r="B964" i="94"/>
  <c r="F963" i="94"/>
  <c r="B963" i="94"/>
  <c r="B962" i="94"/>
  <c r="E961" i="94"/>
  <c r="B961" i="94"/>
  <c r="B960" i="94"/>
  <c r="B959" i="94"/>
  <c r="B958" i="94"/>
  <c r="B957" i="94"/>
  <c r="B956" i="94"/>
  <c r="B955" i="94"/>
  <c r="B954" i="94"/>
  <c r="B953" i="94"/>
  <c r="B952" i="94"/>
  <c r="B951" i="94"/>
  <c r="E950" i="94"/>
  <c r="B950" i="94"/>
  <c r="E949" i="94"/>
  <c r="B949" i="94"/>
  <c r="B948" i="94"/>
  <c r="B947" i="94"/>
  <c r="B946" i="94"/>
  <c r="B945" i="94"/>
  <c r="F944" i="94"/>
  <c r="E944" i="94"/>
  <c r="B944" i="94"/>
  <c r="E943" i="94"/>
  <c r="B943" i="94"/>
  <c r="B942" i="94"/>
  <c r="B941" i="94"/>
  <c r="B940" i="94"/>
  <c r="E939" i="94"/>
  <c r="B939" i="94"/>
  <c r="B938" i="94"/>
  <c r="F937" i="94"/>
  <c r="B936" i="94"/>
  <c r="B935" i="94"/>
  <c r="B934" i="94"/>
  <c r="B933" i="94"/>
  <c r="B932" i="94"/>
  <c r="B931" i="94"/>
  <c r="B930" i="94"/>
  <c r="B929" i="94"/>
  <c r="B928" i="94"/>
  <c r="B927" i="94"/>
  <c r="B926" i="94"/>
  <c r="B925" i="94"/>
  <c r="B924" i="94"/>
  <c r="B923" i="94"/>
  <c r="B922" i="94"/>
  <c r="B921" i="94"/>
  <c r="B920" i="94"/>
  <c r="B919" i="94"/>
  <c r="B918" i="94"/>
  <c r="B917" i="94"/>
  <c r="B916" i="94"/>
  <c r="B915" i="94"/>
  <c r="B914" i="94"/>
  <c r="B913" i="94"/>
  <c r="B912" i="94"/>
  <c r="B911" i="94"/>
  <c r="F910" i="94"/>
  <c r="B910" i="94"/>
  <c r="B909" i="94"/>
  <c r="B908" i="94"/>
  <c r="B907" i="94"/>
  <c r="B906" i="94"/>
  <c r="B905" i="94"/>
  <c r="B904" i="94"/>
  <c r="B903" i="94"/>
  <c r="B902" i="94"/>
  <c r="B901" i="94"/>
  <c r="B900" i="94"/>
  <c r="B899" i="94"/>
  <c r="B898" i="94"/>
  <c r="B897" i="94"/>
  <c r="B896" i="94"/>
  <c r="B895" i="94"/>
  <c r="B894" i="94"/>
  <c r="B893" i="94"/>
  <c r="B892" i="94"/>
  <c r="E891" i="94"/>
  <c r="B891" i="94"/>
  <c r="B890" i="94"/>
  <c r="B889" i="94"/>
  <c r="B888" i="94"/>
  <c r="B887" i="94"/>
  <c r="B885" i="94"/>
  <c r="B884" i="94"/>
  <c r="B883" i="94"/>
  <c r="B882" i="94"/>
  <c r="B881" i="94"/>
  <c r="B880" i="94"/>
  <c r="B879" i="94"/>
  <c r="B878" i="94"/>
  <c r="B877" i="94"/>
  <c r="B876" i="94"/>
  <c r="B875" i="94"/>
  <c r="E874" i="94"/>
  <c r="B874" i="94"/>
  <c r="B873" i="94"/>
  <c r="B872" i="94"/>
  <c r="B871" i="94"/>
  <c r="B870" i="94"/>
  <c r="F869" i="94"/>
  <c r="B869" i="94"/>
  <c r="B868" i="94"/>
  <c r="F867" i="94"/>
  <c r="B867" i="94"/>
  <c r="B866" i="94"/>
  <c r="B865" i="94"/>
  <c r="B864" i="94"/>
  <c r="B863" i="94"/>
  <c r="B862" i="94"/>
  <c r="B861" i="94"/>
  <c r="B860" i="94"/>
  <c r="B859" i="94"/>
  <c r="B858" i="94"/>
  <c r="B857" i="94"/>
  <c r="B856" i="94"/>
  <c r="B855" i="94"/>
  <c r="B854" i="94"/>
  <c r="E853" i="94"/>
  <c r="B853" i="94"/>
  <c r="F852" i="94"/>
  <c r="B852" i="94"/>
  <c r="B851" i="94"/>
  <c r="B850" i="94"/>
  <c r="B849" i="94"/>
  <c r="F848" i="94"/>
  <c r="B848" i="94"/>
  <c r="F847" i="94"/>
  <c r="B846" i="94"/>
  <c r="B845" i="94"/>
  <c r="B844" i="94"/>
  <c r="B843" i="94"/>
  <c r="B842" i="94"/>
  <c r="B841" i="94"/>
  <c r="B840" i="94"/>
  <c r="B839" i="94"/>
  <c r="B838" i="94"/>
  <c r="B837" i="94"/>
  <c r="B836" i="94"/>
  <c r="B835" i="94"/>
  <c r="B834" i="94"/>
  <c r="B833" i="94"/>
  <c r="B832" i="94"/>
  <c r="B831" i="94"/>
  <c r="B830" i="94"/>
  <c r="B829" i="94"/>
  <c r="B828" i="94"/>
  <c r="B827" i="94"/>
  <c r="B826" i="94"/>
  <c r="F825" i="94"/>
  <c r="B825" i="94"/>
  <c r="B824" i="94"/>
  <c r="E823" i="94"/>
  <c r="B823" i="94"/>
  <c r="B822" i="94"/>
  <c r="B821" i="94"/>
  <c r="B820" i="94"/>
  <c r="B819" i="94"/>
  <c r="B818" i="94"/>
  <c r="B817" i="94"/>
  <c r="B816" i="94"/>
  <c r="B815" i="94"/>
  <c r="B814" i="94"/>
  <c r="B813" i="94"/>
  <c r="B812" i="94"/>
  <c r="B811" i="94"/>
  <c r="B810" i="94"/>
  <c r="B809" i="94"/>
  <c r="B807" i="94"/>
  <c r="B806" i="94"/>
  <c r="B805" i="94"/>
  <c r="B804" i="94"/>
  <c r="B803" i="94"/>
  <c r="B802" i="94"/>
  <c r="B801" i="94"/>
  <c r="B800" i="94"/>
  <c r="B799" i="94"/>
  <c r="E798" i="94"/>
  <c r="B798" i="94"/>
  <c r="B797" i="94"/>
  <c r="B796" i="94"/>
  <c r="B792" i="94"/>
  <c r="B791" i="94"/>
  <c r="B790" i="94"/>
  <c r="B789" i="94"/>
  <c r="B788" i="94"/>
  <c r="F787" i="94"/>
  <c r="B787" i="94"/>
  <c r="B786" i="94"/>
  <c r="B795" i="94"/>
  <c r="B785" i="94"/>
  <c r="E784" i="94"/>
  <c r="B784" i="94"/>
  <c r="B783" i="94"/>
  <c r="B782" i="94"/>
  <c r="B781" i="94"/>
  <c r="E780" i="94"/>
  <c r="B780" i="94"/>
  <c r="B779" i="94"/>
  <c r="F778" i="94"/>
  <c r="B778" i="94"/>
  <c r="B777" i="94"/>
  <c r="B776" i="94"/>
  <c r="B775" i="94"/>
  <c r="B774" i="94"/>
  <c r="B773" i="94"/>
  <c r="B772" i="94"/>
  <c r="B771" i="94"/>
  <c r="B770" i="94"/>
  <c r="F769" i="94"/>
  <c r="B769" i="94"/>
  <c r="B768" i="94"/>
  <c r="B767" i="94"/>
  <c r="E766" i="94"/>
  <c r="B766" i="94"/>
  <c r="B765" i="94"/>
  <c r="E764" i="94"/>
  <c r="B764" i="94"/>
  <c r="E763" i="94"/>
  <c r="B763" i="94"/>
  <c r="B762" i="94"/>
  <c r="B761" i="94"/>
  <c r="F760" i="94"/>
  <c r="B760" i="94"/>
  <c r="F759" i="94"/>
  <c r="B758" i="94"/>
  <c r="B757" i="94"/>
  <c r="E756" i="94"/>
  <c r="B756" i="94"/>
  <c r="B755" i="94"/>
  <c r="B754" i="94"/>
  <c r="B753" i="94"/>
  <c r="B752" i="94"/>
  <c r="B751" i="94"/>
  <c r="B750" i="94"/>
  <c r="E749" i="94"/>
  <c r="B749" i="94"/>
  <c r="B748" i="94"/>
  <c r="B747" i="94"/>
  <c r="E746" i="94"/>
  <c r="B746" i="94"/>
  <c r="B745" i="94"/>
  <c r="B744" i="94"/>
  <c r="B743" i="94"/>
  <c r="B742" i="94"/>
  <c r="B741" i="94"/>
  <c r="B740" i="94"/>
  <c r="B739" i="94"/>
  <c r="F738" i="94"/>
  <c r="B738" i="94"/>
  <c r="B737" i="94"/>
  <c r="B736" i="94"/>
  <c r="B735" i="94"/>
  <c r="B734" i="94"/>
  <c r="B733" i="94"/>
  <c r="B732" i="94"/>
  <c r="B731" i="94"/>
  <c r="B730" i="94"/>
  <c r="B729" i="94"/>
  <c r="B728" i="94"/>
  <c r="B727" i="94"/>
  <c r="B726" i="94"/>
  <c r="B725" i="94"/>
  <c r="B724" i="94"/>
  <c r="B723" i="94"/>
  <c r="B722" i="94"/>
  <c r="B721" i="94"/>
  <c r="B719" i="94"/>
  <c r="B718" i="94"/>
  <c r="E717" i="94"/>
  <c r="B717" i="94"/>
  <c r="B716" i="94"/>
  <c r="B715" i="94"/>
  <c r="B714" i="94"/>
  <c r="B713" i="94"/>
  <c r="B712" i="94"/>
  <c r="B711" i="94"/>
  <c r="B710" i="94"/>
  <c r="B709" i="94"/>
  <c r="E708" i="94"/>
  <c r="B708" i="94"/>
  <c r="E707" i="94"/>
  <c r="B707" i="94"/>
  <c r="B706" i="94"/>
  <c r="B705" i="94"/>
  <c r="B704" i="94"/>
  <c r="B703" i="94"/>
  <c r="B702" i="94"/>
  <c r="B701" i="94"/>
  <c r="B700" i="94"/>
  <c r="B699" i="94"/>
  <c r="B698" i="94"/>
  <c r="F697" i="94"/>
  <c r="B697" i="94"/>
  <c r="B696" i="94"/>
  <c r="B695" i="94"/>
  <c r="B694" i="94"/>
  <c r="B693" i="94"/>
  <c r="B692" i="94"/>
  <c r="B691" i="94"/>
  <c r="B690" i="94"/>
  <c r="B689" i="94"/>
  <c r="F688" i="94"/>
  <c r="B688" i="94"/>
  <c r="B687" i="94"/>
  <c r="B686" i="94"/>
  <c r="B685" i="94"/>
  <c r="B684" i="94"/>
  <c r="B683" i="94"/>
  <c r="B682" i="94"/>
  <c r="B681" i="94"/>
  <c r="B680" i="94"/>
  <c r="B679" i="94"/>
  <c r="B678" i="94"/>
  <c r="B677" i="94"/>
  <c r="F676" i="94"/>
  <c r="B675" i="94"/>
  <c r="B673" i="94"/>
  <c r="B672" i="94"/>
  <c r="B671" i="94"/>
  <c r="B670" i="94"/>
  <c r="B668" i="94"/>
  <c r="B667" i="94"/>
  <c r="B666" i="94"/>
  <c r="B665" i="94"/>
  <c r="B664" i="94"/>
  <c r="B663" i="94"/>
  <c r="B662" i="94"/>
  <c r="B659" i="94"/>
  <c r="B658" i="94"/>
  <c r="F657" i="94"/>
  <c r="B657" i="94"/>
  <c r="F656" i="94"/>
  <c r="E656" i="94"/>
  <c r="B656" i="94"/>
  <c r="E655" i="94"/>
  <c r="B655" i="94"/>
  <c r="E654" i="94"/>
  <c r="B654" i="94"/>
  <c r="B653" i="94"/>
  <c r="B651" i="94"/>
  <c r="F649" i="94"/>
  <c r="B649" i="94"/>
  <c r="B648" i="94"/>
  <c r="B652" i="94"/>
  <c r="B647" i="94"/>
  <c r="B646" i="94"/>
  <c r="B645" i="94"/>
  <c r="E644" i="94"/>
  <c r="B644" i="94"/>
  <c r="B643" i="94"/>
  <c r="F642" i="94"/>
  <c r="B642" i="94"/>
  <c r="B641" i="94"/>
  <c r="B640" i="94"/>
  <c r="E639" i="94"/>
  <c r="B639" i="94"/>
  <c r="B638" i="94"/>
  <c r="B637" i="94"/>
  <c r="B636" i="94"/>
  <c r="B635" i="94"/>
  <c r="F634" i="94"/>
  <c r="B634" i="94"/>
  <c r="B633" i="94"/>
  <c r="B632" i="94"/>
  <c r="B631" i="94"/>
  <c r="B630" i="94"/>
  <c r="B629" i="94"/>
  <c r="B628" i="94"/>
  <c r="B627" i="94"/>
  <c r="B626" i="94"/>
  <c r="F625" i="94"/>
  <c r="B625" i="94"/>
  <c r="B624" i="94"/>
  <c r="B623" i="94"/>
  <c r="F622" i="94"/>
  <c r="B622" i="94"/>
  <c r="F621" i="94"/>
  <c r="B620" i="94"/>
  <c r="B619" i="94"/>
  <c r="B618" i="94"/>
  <c r="B617" i="94"/>
  <c r="B616" i="94"/>
  <c r="B615" i="94"/>
  <c r="B614" i="94"/>
  <c r="B613" i="94"/>
  <c r="B612" i="94"/>
  <c r="B611" i="94"/>
  <c r="B610" i="94"/>
  <c r="B609" i="94"/>
  <c r="B608" i="94"/>
  <c r="B607" i="94"/>
  <c r="F605" i="94"/>
  <c r="B605" i="94"/>
  <c r="E604" i="94"/>
  <c r="B604" i="94"/>
  <c r="E603" i="94"/>
  <c r="B603" i="94"/>
  <c r="B602" i="94"/>
  <c r="F601" i="94"/>
  <c r="B601" i="94"/>
  <c r="B600" i="94"/>
  <c r="C599" i="94"/>
  <c r="B598" i="94"/>
  <c r="F597" i="94"/>
  <c r="B597" i="94"/>
  <c r="B596" i="94"/>
  <c r="B595" i="94"/>
  <c r="B594" i="94"/>
  <c r="B593" i="94"/>
  <c r="B592" i="94"/>
  <c r="B591" i="94"/>
  <c r="B590" i="94"/>
  <c r="F589" i="94"/>
  <c r="B589" i="94"/>
  <c r="B588" i="94"/>
  <c r="B587" i="94"/>
  <c r="B586" i="94"/>
  <c r="B585" i="94"/>
  <c r="B584" i="94"/>
  <c r="B583" i="94"/>
  <c r="B582" i="94"/>
  <c r="E581" i="94"/>
  <c r="B581" i="94"/>
  <c r="E580" i="94"/>
  <c r="B580" i="94"/>
  <c r="B579" i="94"/>
  <c r="B578" i="94"/>
  <c r="B577" i="94"/>
  <c r="B576" i="94"/>
  <c r="F575" i="94"/>
  <c r="B575" i="94"/>
  <c r="B574" i="94"/>
  <c r="B599" i="94"/>
  <c r="F573" i="94"/>
  <c r="B572" i="94"/>
  <c r="B571" i="94"/>
  <c r="B570" i="94"/>
  <c r="B569" i="94"/>
  <c r="B568" i="94"/>
  <c r="B567" i="94"/>
  <c r="B566" i="94"/>
  <c r="B565" i="94"/>
  <c r="E564" i="94"/>
  <c r="B564" i="94"/>
  <c r="E563" i="94"/>
  <c r="B563" i="94"/>
  <c r="B562" i="94"/>
  <c r="B561" i="94"/>
  <c r="B560" i="94"/>
  <c r="B559" i="94"/>
  <c r="B558" i="94"/>
  <c r="E557" i="94"/>
  <c r="B557" i="94"/>
  <c r="B556" i="94"/>
  <c r="B555" i="94"/>
  <c r="B554" i="94"/>
  <c r="B553" i="94"/>
  <c r="B552" i="94"/>
  <c r="B551" i="94"/>
  <c r="B550" i="94"/>
  <c r="B549" i="94"/>
  <c r="B548" i="94"/>
  <c r="B547" i="94"/>
  <c r="B546" i="94"/>
  <c r="B545" i="94"/>
  <c r="F543" i="94"/>
  <c r="B543" i="94"/>
  <c r="B542" i="94"/>
  <c r="B541" i="94"/>
  <c r="B540" i="94"/>
  <c r="E539" i="94"/>
  <c r="B539" i="94"/>
  <c r="B538" i="94"/>
  <c r="B537" i="94"/>
  <c r="B536" i="94"/>
  <c r="F535" i="94"/>
  <c r="B535" i="94"/>
  <c r="B534" i="94"/>
  <c r="E533" i="94"/>
  <c r="B533" i="94"/>
  <c r="B532" i="94"/>
  <c r="B531" i="94"/>
  <c r="B530" i="94"/>
  <c r="B529" i="94"/>
  <c r="B528" i="94"/>
  <c r="B527" i="94"/>
  <c r="B526" i="94"/>
  <c r="B525" i="94"/>
  <c r="B524" i="94"/>
  <c r="B523" i="94"/>
  <c r="F522" i="94"/>
  <c r="E522" i="94"/>
  <c r="B522" i="94"/>
  <c r="E521" i="94"/>
  <c r="B521" i="94"/>
  <c r="E520" i="94"/>
  <c r="B520" i="94"/>
  <c r="B519" i="94"/>
  <c r="B518" i="94"/>
  <c r="B517" i="94"/>
  <c r="B516" i="94"/>
  <c r="B515" i="94"/>
  <c r="B514" i="94"/>
  <c r="B513" i="94"/>
  <c r="B512" i="94"/>
  <c r="B511" i="94"/>
  <c r="B510" i="94"/>
  <c r="B509" i="94"/>
  <c r="B508" i="94"/>
  <c r="B507" i="94"/>
  <c r="E506" i="94"/>
  <c r="B506" i="94"/>
  <c r="B505" i="94"/>
  <c r="B504" i="94"/>
  <c r="B503" i="94"/>
  <c r="B502" i="94"/>
  <c r="B501" i="94"/>
  <c r="B500" i="94"/>
  <c r="B499" i="94"/>
  <c r="B498" i="94"/>
  <c r="E497" i="94"/>
  <c r="B497" i="94"/>
  <c r="E496" i="94"/>
  <c r="B496" i="94"/>
  <c r="B495" i="94"/>
  <c r="B494" i="94"/>
  <c r="E493" i="94"/>
  <c r="B493" i="94"/>
  <c r="E492" i="94"/>
  <c r="B492" i="94"/>
  <c r="B491" i="94"/>
  <c r="B490" i="94"/>
  <c r="F489" i="94"/>
  <c r="B489" i="94"/>
  <c r="B488" i="94"/>
  <c r="F487" i="94"/>
  <c r="F485" i="94"/>
  <c r="B485" i="94"/>
  <c r="B484" i="94"/>
  <c r="B483" i="94"/>
  <c r="B482" i="94"/>
  <c r="B481" i="94"/>
  <c r="B480" i="94"/>
  <c r="B479" i="94"/>
  <c r="B478" i="94"/>
  <c r="B477" i="94"/>
  <c r="B476" i="94"/>
  <c r="B475" i="94"/>
  <c r="B474" i="94"/>
  <c r="B473" i="94"/>
  <c r="B472" i="94"/>
  <c r="B471" i="94"/>
  <c r="B470" i="94"/>
  <c r="B469" i="94"/>
  <c r="B468" i="94"/>
  <c r="B467" i="94"/>
  <c r="B466" i="94"/>
  <c r="B465" i="94"/>
  <c r="B464" i="94"/>
  <c r="E463" i="94"/>
  <c r="B463" i="94"/>
  <c r="E462" i="94"/>
  <c r="B462" i="94"/>
  <c r="B461" i="94"/>
  <c r="B460" i="94"/>
  <c r="B459" i="94"/>
  <c r="B458" i="94"/>
  <c r="B457" i="94"/>
  <c r="E456" i="94"/>
  <c r="B456" i="94"/>
  <c r="B455" i="94"/>
  <c r="B454" i="94"/>
  <c r="B453" i="94"/>
  <c r="B452" i="94"/>
  <c r="B451" i="94"/>
  <c r="B450" i="94"/>
  <c r="B449" i="94"/>
  <c r="B447" i="94"/>
  <c r="E446" i="94"/>
  <c r="B446" i="94"/>
  <c r="B445" i="94"/>
  <c r="B444" i="94"/>
  <c r="B443" i="94"/>
  <c r="B442" i="94"/>
  <c r="B441" i="94"/>
  <c r="B440" i="94"/>
  <c r="B439" i="94"/>
  <c r="B438" i="94"/>
  <c r="F437" i="94"/>
  <c r="B437" i="94"/>
  <c r="E436" i="94"/>
  <c r="B436" i="94"/>
  <c r="B435" i="94"/>
  <c r="B434" i="94"/>
  <c r="B433" i="94"/>
  <c r="B432" i="94"/>
  <c r="B431" i="94"/>
  <c r="B430" i="94"/>
  <c r="B429" i="94"/>
  <c r="B428" i="94"/>
  <c r="B427" i="94"/>
  <c r="B426" i="94"/>
  <c r="B425" i="94"/>
  <c r="B424" i="94"/>
  <c r="B423" i="94"/>
  <c r="B422" i="94"/>
  <c r="B421" i="94"/>
  <c r="B420" i="94"/>
  <c r="B419" i="94"/>
  <c r="B418" i="94"/>
  <c r="B417" i="94"/>
  <c r="B416" i="94"/>
  <c r="B415" i="94"/>
  <c r="E414" i="94"/>
  <c r="B414" i="94"/>
  <c r="E413" i="94"/>
  <c r="B413" i="94"/>
  <c r="B412" i="94"/>
  <c r="B411" i="94"/>
  <c r="B410" i="94"/>
  <c r="E409" i="94"/>
  <c r="B409" i="94"/>
  <c r="F408" i="94"/>
  <c r="B408" i="94"/>
  <c r="F407" i="94"/>
  <c r="B406" i="94"/>
  <c r="B405" i="94"/>
  <c r="B404" i="94"/>
  <c r="B403" i="94"/>
  <c r="B402" i="94"/>
  <c r="B401" i="94"/>
  <c r="B400" i="94"/>
  <c r="B399" i="94"/>
  <c r="B398" i="94"/>
  <c r="B397" i="94"/>
  <c r="B396" i="94"/>
  <c r="B395" i="94"/>
  <c r="B394" i="94"/>
  <c r="B393" i="94"/>
  <c r="B392" i="94"/>
  <c r="B391" i="94"/>
  <c r="B390" i="94"/>
  <c r="B389" i="94"/>
  <c r="B388" i="94"/>
  <c r="B387" i="94"/>
  <c r="B386" i="94"/>
  <c r="B385" i="94"/>
  <c r="B384" i="94"/>
  <c r="B383" i="94"/>
  <c r="B382" i="94"/>
  <c r="B381" i="94"/>
  <c r="B380" i="94"/>
  <c r="B379" i="94"/>
  <c r="B378" i="94"/>
  <c r="B377" i="94"/>
  <c r="E376" i="94"/>
  <c r="B376" i="94"/>
  <c r="B375" i="94"/>
  <c r="B374" i="94"/>
  <c r="B372" i="94"/>
  <c r="B371" i="94"/>
  <c r="B370" i="94"/>
  <c r="B369" i="94"/>
  <c r="E368" i="94"/>
  <c r="B368" i="94"/>
  <c r="B367" i="94"/>
  <c r="F366" i="94"/>
  <c r="B366" i="94"/>
  <c r="E365" i="94"/>
  <c r="B365" i="94"/>
  <c r="E364" i="94"/>
  <c r="B364" i="94"/>
  <c r="B363" i="94"/>
  <c r="B362" i="94"/>
  <c r="B361" i="94"/>
  <c r="B360" i="94"/>
  <c r="B359" i="94"/>
  <c r="F358" i="94"/>
  <c r="B358" i="94"/>
  <c r="F357" i="94"/>
  <c r="B356" i="94"/>
  <c r="B355" i="94"/>
  <c r="B354" i="94"/>
  <c r="B353" i="94"/>
  <c r="B352" i="94"/>
  <c r="B351" i="94"/>
  <c r="B350" i="94"/>
  <c r="B349" i="94"/>
  <c r="B347" i="94"/>
  <c r="B346" i="94"/>
  <c r="B345" i="94"/>
  <c r="B344" i="94"/>
  <c r="B343" i="94"/>
  <c r="E342" i="94"/>
  <c r="B342" i="94"/>
  <c r="F341" i="94"/>
  <c r="B341" i="94"/>
  <c r="E340" i="94"/>
  <c r="B340" i="94"/>
  <c r="B339" i="94"/>
  <c r="B338" i="94"/>
  <c r="F337" i="94"/>
  <c r="B337" i="94"/>
  <c r="B336" i="94"/>
  <c r="B335" i="94"/>
  <c r="F334" i="94"/>
  <c r="B334" i="94"/>
  <c r="B333" i="94"/>
  <c r="E332" i="94"/>
  <c r="B332" i="94"/>
  <c r="E331" i="94"/>
  <c r="B331" i="94"/>
  <c r="B330" i="94"/>
  <c r="B329" i="94"/>
  <c r="B328" i="94"/>
  <c r="D327" i="94"/>
  <c r="B327" i="94"/>
  <c r="F326" i="94"/>
  <c r="B325" i="94"/>
  <c r="F324" i="94"/>
  <c r="E324" i="94"/>
  <c r="B324" i="94"/>
  <c r="E323" i="94"/>
  <c r="B323" i="94"/>
  <c r="B322" i="94"/>
  <c r="B321" i="94"/>
  <c r="B320" i="94"/>
  <c r="B319" i="94"/>
  <c r="B318" i="94"/>
  <c r="B317" i="94"/>
  <c r="B316" i="94"/>
  <c r="B315" i="94"/>
  <c r="B314" i="94"/>
  <c r="B313" i="94"/>
  <c r="B312" i="94"/>
  <c r="B311" i="94"/>
  <c r="B310" i="94"/>
  <c r="B309" i="94"/>
  <c r="B308" i="94"/>
  <c r="B307" i="94"/>
  <c r="B306" i="94"/>
  <c r="B305" i="94"/>
  <c r="B303" i="94"/>
  <c r="B302" i="94"/>
  <c r="B301" i="94"/>
  <c r="F300" i="94"/>
  <c r="B300" i="94"/>
  <c r="B299" i="94"/>
  <c r="E298" i="94"/>
  <c r="B298" i="94"/>
  <c r="B297" i="94"/>
  <c r="B296" i="94"/>
  <c r="B295" i="94"/>
  <c r="F294" i="94"/>
  <c r="B293" i="94"/>
  <c r="B292" i="94"/>
  <c r="B290" i="94"/>
  <c r="E289" i="94"/>
  <c r="B289" i="94"/>
  <c r="B288" i="94"/>
  <c r="B287" i="94"/>
  <c r="B286" i="94"/>
  <c r="B285" i="94"/>
  <c r="B284" i="94"/>
  <c r="B283" i="94"/>
  <c r="F282" i="94"/>
  <c r="B282" i="94"/>
  <c r="F281" i="94"/>
  <c r="B280" i="94"/>
  <c r="B279" i="94"/>
  <c r="B278" i="94"/>
  <c r="B277" i="94"/>
  <c r="B276" i="94"/>
  <c r="B275" i="94"/>
  <c r="B274" i="94"/>
  <c r="B273" i="94"/>
  <c r="B272" i="94"/>
  <c r="B271" i="94"/>
  <c r="B270" i="94"/>
  <c r="B268" i="94"/>
  <c r="E267" i="94"/>
  <c r="B267" i="94"/>
  <c r="B266" i="94"/>
  <c r="B265" i="94"/>
  <c r="B264" i="94"/>
  <c r="B263" i="94"/>
  <c r="B262" i="94"/>
  <c r="B261" i="94"/>
  <c r="B260" i="94"/>
  <c r="B259" i="94"/>
  <c r="B258" i="94"/>
  <c r="F257" i="94"/>
  <c r="B257" i="94"/>
  <c r="F256" i="94"/>
  <c r="B255" i="94"/>
  <c r="B254" i="94"/>
  <c r="B253" i="94"/>
  <c r="B252" i="94"/>
  <c r="B251" i="94"/>
  <c r="B250" i="94"/>
  <c r="B249" i="94"/>
  <c r="B248" i="94"/>
  <c r="B247" i="94"/>
  <c r="B245" i="94"/>
  <c r="B244" i="94"/>
  <c r="B243" i="94"/>
  <c r="B242" i="94"/>
  <c r="B241" i="94"/>
  <c r="B240" i="94"/>
  <c r="B239" i="94"/>
  <c r="B238" i="94"/>
  <c r="B237" i="94"/>
  <c r="E236" i="94"/>
  <c r="B236" i="94"/>
  <c r="B235" i="94"/>
  <c r="F234" i="94"/>
  <c r="B234" i="94"/>
  <c r="F233" i="94"/>
  <c r="B232" i="94"/>
  <c r="B231" i="94"/>
  <c r="B230" i="94"/>
  <c r="B229" i="94"/>
  <c r="B228" i="94"/>
  <c r="B227" i="94"/>
  <c r="B226" i="94"/>
  <c r="B225" i="94"/>
  <c r="B224" i="94"/>
  <c r="B223" i="94"/>
  <c r="B222" i="94"/>
  <c r="B221" i="94"/>
  <c r="B219" i="94"/>
  <c r="B218" i="94"/>
  <c r="B217" i="94"/>
  <c r="B216" i="94"/>
  <c r="B215" i="94"/>
  <c r="B214" i="94"/>
  <c r="B213" i="94"/>
  <c r="B212" i="94"/>
  <c r="E211" i="94"/>
  <c r="B211" i="94"/>
  <c r="B210" i="94"/>
  <c r="F209" i="94"/>
  <c r="B209" i="94"/>
  <c r="F208" i="94"/>
  <c r="B207" i="94"/>
  <c r="B206" i="94"/>
  <c r="B205" i="94"/>
  <c r="B204" i="94"/>
  <c r="B203" i="94"/>
  <c r="B201" i="94"/>
  <c r="B200" i="94"/>
  <c r="E199" i="94"/>
  <c r="B199" i="94"/>
  <c r="F198" i="94"/>
  <c r="B198" i="94"/>
  <c r="F197" i="94"/>
  <c r="B196" i="94"/>
  <c r="B195" i="94"/>
  <c r="B194" i="94"/>
  <c r="B193" i="94"/>
  <c r="B192" i="94"/>
  <c r="B191" i="94"/>
  <c r="B190" i="94"/>
  <c r="F189" i="94"/>
  <c r="E189" i="94"/>
  <c r="B189" i="94"/>
  <c r="E188" i="94"/>
  <c r="B188" i="94"/>
  <c r="B187" i="94"/>
  <c r="B186" i="94"/>
  <c r="B185" i="94"/>
  <c r="B184" i="94"/>
  <c r="B182" i="94"/>
  <c r="B181" i="94"/>
  <c r="B180" i="94"/>
  <c r="B179" i="94"/>
  <c r="E178" i="94"/>
  <c r="B178" i="94"/>
  <c r="F177" i="94"/>
  <c r="B177" i="94"/>
  <c r="F176" i="94"/>
  <c r="B175" i="94"/>
  <c r="F174" i="94"/>
  <c r="E174" i="94"/>
  <c r="B174" i="94"/>
  <c r="B172" i="94"/>
  <c r="B171" i="94"/>
  <c r="B170" i="94"/>
  <c r="B169" i="94"/>
  <c r="B168" i="94"/>
  <c r="B167" i="94"/>
  <c r="F166" i="94"/>
  <c r="B166" i="94"/>
  <c r="F165" i="94"/>
  <c r="B164" i="94"/>
  <c r="B163" i="94"/>
  <c r="B162" i="94"/>
  <c r="B161" i="94"/>
  <c r="B160" i="94"/>
  <c r="B159" i="94"/>
  <c r="F158" i="94"/>
  <c r="E158" i="94"/>
  <c r="B158" i="94"/>
  <c r="B157" i="94"/>
  <c r="B156" i="94"/>
  <c r="B155" i="94"/>
  <c r="B154" i="94"/>
  <c r="B152" i="94"/>
  <c r="B151" i="94"/>
  <c r="B150" i="94"/>
  <c r="B149" i="94"/>
  <c r="B148" i="94"/>
  <c r="B147" i="94"/>
  <c r="B146" i="94"/>
  <c r="B145" i="94"/>
  <c r="B144" i="94"/>
  <c r="F143" i="94"/>
  <c r="B143" i="94"/>
  <c r="F142" i="94"/>
  <c r="B141" i="94"/>
  <c r="B140" i="94"/>
  <c r="B139" i="94"/>
  <c r="B138" i="94"/>
  <c r="B137" i="94"/>
  <c r="B136" i="94"/>
  <c r="B135" i="94"/>
  <c r="B134" i="94"/>
  <c r="B133" i="94"/>
  <c r="B132" i="94"/>
  <c r="B131" i="94"/>
  <c r="B130" i="94"/>
  <c r="B129" i="94"/>
  <c r="B128" i="94"/>
  <c r="B127" i="94"/>
  <c r="B126" i="94"/>
  <c r="F125" i="94"/>
  <c r="E125" i="94"/>
  <c r="B125" i="94"/>
  <c r="B124" i="94"/>
  <c r="B122" i="94"/>
  <c r="B121" i="94"/>
  <c r="B120" i="94"/>
  <c r="B119" i="94"/>
  <c r="B118" i="94"/>
  <c r="B117" i="94"/>
  <c r="B116" i="94"/>
  <c r="B115" i="94"/>
  <c r="B114" i="94"/>
  <c r="B113" i="94"/>
  <c r="B112" i="94"/>
  <c r="F111" i="94"/>
  <c r="B111" i="94"/>
  <c r="F110" i="94"/>
  <c r="B109" i="94"/>
  <c r="B108" i="94"/>
  <c r="B107" i="94"/>
  <c r="B106" i="94"/>
  <c r="B105" i="94"/>
  <c r="B104" i="94"/>
  <c r="B103" i="94"/>
  <c r="B101" i="94"/>
  <c r="B100" i="94"/>
  <c r="B99" i="94"/>
  <c r="B98" i="94"/>
  <c r="B97" i="94"/>
  <c r="B96" i="94"/>
  <c r="B95" i="94"/>
  <c r="B94" i="94"/>
  <c r="B93" i="94"/>
  <c r="F92" i="94"/>
  <c r="B92" i="94"/>
  <c r="F91" i="94"/>
  <c r="B90" i="94"/>
  <c r="B89" i="94"/>
  <c r="B88" i="94"/>
  <c r="B87" i="94"/>
  <c r="B86" i="94"/>
  <c r="B85" i="94"/>
  <c r="B84" i="94"/>
  <c r="B83" i="94"/>
  <c r="E82" i="94"/>
  <c r="B82" i="94"/>
  <c r="B81" i="94"/>
  <c r="B80" i="94"/>
  <c r="B79" i="94"/>
  <c r="B78" i="94"/>
  <c r="B76" i="94"/>
  <c r="B75" i="94"/>
  <c r="B74" i="94"/>
  <c r="B73" i="94"/>
  <c r="B72" i="94"/>
  <c r="B71" i="94"/>
  <c r="B70" i="94"/>
  <c r="B69" i="94"/>
  <c r="B68" i="94"/>
  <c r="B67" i="94"/>
  <c r="B66" i="94"/>
  <c r="B65" i="94"/>
  <c r="B64" i="94"/>
  <c r="B63" i="94"/>
  <c r="F62" i="94"/>
  <c r="B62" i="94"/>
  <c r="B61" i="94"/>
  <c r="B60" i="94"/>
  <c r="B59" i="94"/>
  <c r="B58" i="94"/>
  <c r="B57" i="94"/>
  <c r="B56" i="94"/>
  <c r="B55" i="94"/>
  <c r="B54" i="94"/>
  <c r="B53" i="94"/>
  <c r="B52" i="94"/>
  <c r="B51" i="94"/>
  <c r="B50" i="94"/>
  <c r="B49" i="94"/>
  <c r="B48" i="94"/>
  <c r="B47" i="94"/>
  <c r="B46" i="94"/>
  <c r="B45" i="94"/>
  <c r="B44" i="94"/>
  <c r="B43" i="94"/>
  <c r="B42" i="94"/>
  <c r="B41" i="94"/>
  <c r="F40" i="94"/>
  <c r="B40" i="94"/>
  <c r="F39" i="94"/>
  <c r="B38" i="94"/>
  <c r="B37" i="94"/>
  <c r="B36" i="94"/>
  <c r="B35" i="94"/>
  <c r="B34" i="94"/>
  <c r="B33" i="94"/>
  <c r="B32" i="94"/>
  <c r="B31" i="94"/>
  <c r="B30" i="94"/>
  <c r="B29" i="94"/>
  <c r="B28" i="94"/>
  <c r="B27" i="94"/>
  <c r="B26" i="94"/>
  <c r="B25" i="94"/>
  <c r="E24" i="94"/>
  <c r="B24" i="94"/>
  <c r="B23" i="94"/>
  <c r="B22" i="94"/>
  <c r="B21" i="94"/>
  <c r="B20" i="94"/>
  <c r="B19" i="94"/>
  <c r="B18" i="94"/>
  <c r="B17" i="94"/>
  <c r="B16" i="94"/>
  <c r="B15" i="94"/>
  <c r="B13" i="94"/>
  <c r="B12" i="94"/>
  <c r="B11" i="94"/>
  <c r="B10" i="94"/>
  <c r="B9" i="94"/>
  <c r="B8" i="94"/>
  <c r="F7" i="94"/>
  <c r="B7" i="94"/>
  <c r="F6" i="94"/>
  <c r="B5" i="94"/>
  <c r="B3" i="94"/>
  <c r="E2208" i="93"/>
  <c r="E2207" i="93"/>
  <c r="E2206" i="93"/>
  <c r="E2205" i="93"/>
  <c r="E2196" i="93"/>
  <c r="E2194" i="93"/>
  <c r="E2192" i="93"/>
  <c r="E2191" i="93"/>
  <c r="D2191" i="93"/>
  <c r="B2182" i="93"/>
  <c r="B2181" i="93"/>
  <c r="B2179" i="93"/>
  <c r="B2178" i="93"/>
  <c r="B2177" i="93"/>
  <c r="B2176" i="93"/>
  <c r="B2175" i="93"/>
  <c r="B2174" i="93"/>
  <c r="B2173" i="93"/>
  <c r="B2172" i="93"/>
  <c r="B2171" i="93"/>
  <c r="B2170" i="93"/>
  <c r="B2169" i="93"/>
  <c r="B2167" i="93"/>
  <c r="B2166" i="93"/>
  <c r="B2165" i="93"/>
  <c r="B2164" i="93"/>
  <c r="B2163" i="93"/>
  <c r="B2162" i="93"/>
  <c r="B2161" i="93"/>
  <c r="F2159" i="93"/>
  <c r="B2159" i="93"/>
  <c r="B2158" i="93"/>
  <c r="B2157" i="93"/>
  <c r="B2156" i="93"/>
  <c r="B2155" i="93"/>
  <c r="B2153" i="93"/>
  <c r="B2152" i="93"/>
  <c r="B2151" i="93"/>
  <c r="B2150" i="93"/>
  <c r="B2149" i="93"/>
  <c r="B2146" i="93"/>
  <c r="B2145" i="93"/>
  <c r="B2144" i="93"/>
  <c r="E2143" i="93"/>
  <c r="B2143" i="93"/>
  <c r="B2142" i="93"/>
  <c r="B2141" i="93"/>
  <c r="B2140" i="93"/>
  <c r="B2139" i="93"/>
  <c r="B2138" i="93"/>
  <c r="B2137" i="93"/>
  <c r="B2136" i="93"/>
  <c r="B2135" i="93"/>
  <c r="B2134" i="93"/>
  <c r="B2132" i="93"/>
  <c r="B2131" i="93"/>
  <c r="B2130" i="93"/>
  <c r="B2129" i="93"/>
  <c r="B2128" i="93"/>
  <c r="B2127" i="93"/>
  <c r="B2126" i="93"/>
  <c r="B2125" i="93"/>
  <c r="B2124" i="93"/>
  <c r="B2123" i="93"/>
  <c r="B2122" i="93"/>
  <c r="B2121" i="93"/>
  <c r="B2120" i="93"/>
  <c r="B2119" i="93"/>
  <c r="B2118" i="93"/>
  <c r="B2117" i="93"/>
  <c r="B2116" i="93"/>
  <c r="B2115" i="93"/>
  <c r="B2114" i="93"/>
  <c r="E2113" i="93"/>
  <c r="B2113" i="93"/>
  <c r="B2112" i="93"/>
  <c r="B2111" i="93"/>
  <c r="B2110" i="93"/>
  <c r="B2109" i="93"/>
  <c r="B2108" i="93"/>
  <c r="B2107" i="93"/>
  <c r="B2106" i="93"/>
  <c r="B2105" i="93"/>
  <c r="B2104" i="93"/>
  <c r="B2103" i="93"/>
  <c r="B2102" i="93"/>
  <c r="B2101" i="93"/>
  <c r="B2100" i="93"/>
  <c r="B2099" i="93"/>
  <c r="B2098" i="93"/>
  <c r="B2096" i="93"/>
  <c r="B2095" i="93"/>
  <c r="B2094" i="93"/>
  <c r="B2093" i="93"/>
  <c r="B2092" i="93"/>
  <c r="B2091" i="93"/>
  <c r="B2090" i="93"/>
  <c r="B2089" i="93"/>
  <c r="B2088" i="93"/>
  <c r="B2087" i="93"/>
  <c r="B2086" i="93"/>
  <c r="B2085" i="93"/>
  <c r="B2084" i="93"/>
  <c r="B2083" i="93"/>
  <c r="B2082" i="93"/>
  <c r="B2081" i="93"/>
  <c r="B2080" i="93"/>
  <c r="B2079" i="93"/>
  <c r="B2078" i="93"/>
  <c r="B2077" i="93"/>
  <c r="B2076" i="93"/>
  <c r="B2075" i="93"/>
  <c r="B2074" i="93"/>
  <c r="B2073" i="93"/>
  <c r="B2072" i="93"/>
  <c r="B2071" i="93"/>
  <c r="B2070" i="93"/>
  <c r="B2069" i="93"/>
  <c r="B2068" i="93"/>
  <c r="B2067" i="93"/>
  <c r="B2066" i="93"/>
  <c r="B2065" i="93"/>
  <c r="B2064" i="93"/>
  <c r="B2063" i="93"/>
  <c r="B2062" i="93"/>
  <c r="B2061" i="93"/>
  <c r="B2060" i="93"/>
  <c r="B2059" i="93"/>
  <c r="E2058" i="93"/>
  <c r="B2058" i="93"/>
  <c r="B2057" i="93"/>
  <c r="B2056" i="93"/>
  <c r="B2055" i="93"/>
  <c r="B2054" i="93"/>
  <c r="B2053" i="93"/>
  <c r="B2052" i="93"/>
  <c r="B2051" i="93"/>
  <c r="B2050" i="93"/>
  <c r="B2049" i="93"/>
  <c r="B2048" i="93"/>
  <c r="B2047" i="93"/>
  <c r="B2046" i="93"/>
  <c r="B2045" i="93"/>
  <c r="B2044" i="93"/>
  <c r="B2043" i="93"/>
  <c r="B2042" i="93"/>
  <c r="B2041" i="93"/>
  <c r="B2040" i="93"/>
  <c r="F2039" i="93"/>
  <c r="B2039" i="93"/>
  <c r="B2038" i="93"/>
  <c r="B2037" i="93"/>
  <c r="B2035" i="93"/>
  <c r="B2034" i="93"/>
  <c r="F2033" i="93"/>
  <c r="B2033" i="93"/>
  <c r="B2032" i="93"/>
  <c r="B2031" i="93"/>
  <c r="B2030" i="93"/>
  <c r="B2029" i="93"/>
  <c r="B2028" i="93"/>
  <c r="B2027" i="93"/>
  <c r="B2026" i="93"/>
  <c r="B2025" i="93"/>
  <c r="B2024" i="93"/>
  <c r="B2023" i="93"/>
  <c r="B2022" i="93"/>
  <c r="B2021" i="93"/>
  <c r="B2020" i="93"/>
  <c r="B2019" i="93"/>
  <c r="E2018" i="93"/>
  <c r="B2018" i="93"/>
  <c r="B2017" i="93"/>
  <c r="B2016" i="93"/>
  <c r="B2015" i="93"/>
  <c r="B2014" i="93"/>
  <c r="B2013" i="93"/>
  <c r="B2012" i="93"/>
  <c r="B2011" i="93"/>
  <c r="B2010" i="93"/>
  <c r="B2009" i="93"/>
  <c r="B2008" i="93"/>
  <c r="B2007" i="93"/>
  <c r="B2006" i="93"/>
  <c r="B2005" i="93"/>
  <c r="B2004" i="93"/>
  <c r="B2003" i="93"/>
  <c r="B2002" i="93"/>
  <c r="B2001" i="93"/>
  <c r="B2000" i="93"/>
  <c r="E1999" i="93"/>
  <c r="B1999" i="93"/>
  <c r="B1998" i="93"/>
  <c r="B1997" i="93"/>
  <c r="B1996" i="93"/>
  <c r="B1995" i="93"/>
  <c r="B1994" i="93"/>
  <c r="B1993" i="93"/>
  <c r="B1992" i="93"/>
  <c r="B1991" i="93"/>
  <c r="B1990" i="93"/>
  <c r="B1989" i="93"/>
  <c r="B1988" i="93"/>
  <c r="B1987" i="93"/>
  <c r="B1986" i="93"/>
  <c r="B1985" i="93"/>
  <c r="B1984" i="93"/>
  <c r="B1983" i="93"/>
  <c r="B1982" i="93"/>
  <c r="B1981" i="93"/>
  <c r="B1980" i="93"/>
  <c r="B1979" i="93"/>
  <c r="B1977" i="93"/>
  <c r="B1976" i="93"/>
  <c r="B1975" i="93"/>
  <c r="B1974" i="93"/>
  <c r="B1973" i="93"/>
  <c r="B1972" i="93"/>
  <c r="B1971" i="93"/>
  <c r="B1970" i="93"/>
  <c r="B1969" i="93"/>
  <c r="B1968" i="93"/>
  <c r="B1967" i="93"/>
  <c r="B1966" i="93"/>
  <c r="B1965" i="93"/>
  <c r="B1964" i="93"/>
  <c r="B1963" i="93"/>
  <c r="B1962" i="93"/>
  <c r="B1961" i="93"/>
  <c r="B1960" i="93"/>
  <c r="B1959" i="93"/>
  <c r="B1958" i="93"/>
  <c r="B1957" i="93"/>
  <c r="B1956" i="93"/>
  <c r="B1955" i="93"/>
  <c r="B1954" i="93"/>
  <c r="B1953" i="93"/>
  <c r="B1952" i="93"/>
  <c r="B1951" i="93"/>
  <c r="B1950" i="93"/>
  <c r="B1949" i="93"/>
  <c r="B1948" i="93"/>
  <c r="B1947" i="93"/>
  <c r="F1946" i="93"/>
  <c r="B1946" i="93"/>
  <c r="B1945" i="93"/>
  <c r="B1944" i="93"/>
  <c r="B1942" i="93"/>
  <c r="B1941" i="93"/>
  <c r="B1940" i="93"/>
  <c r="B1939" i="93"/>
  <c r="E1938" i="93"/>
  <c r="B1938" i="93"/>
  <c r="B1937" i="93"/>
  <c r="B1936" i="93"/>
  <c r="B1935" i="93"/>
  <c r="B1934" i="93"/>
  <c r="B1933" i="93"/>
  <c r="B1932" i="93"/>
  <c r="B1931" i="93"/>
  <c r="B1930" i="93"/>
  <c r="B1929" i="93"/>
  <c r="B1928" i="93"/>
  <c r="E1927" i="93"/>
  <c r="B1927" i="93"/>
  <c r="B1926" i="93"/>
  <c r="B1925" i="93"/>
  <c r="B1924" i="93"/>
  <c r="B1922" i="93"/>
  <c r="B1921" i="93"/>
  <c r="B1920" i="93"/>
  <c r="B1918" i="93"/>
  <c r="B1917" i="93"/>
  <c r="B1916" i="93"/>
  <c r="E1915" i="93"/>
  <c r="B1915" i="93"/>
  <c r="B1914" i="93"/>
  <c r="B1913" i="93"/>
  <c r="B1912" i="93"/>
  <c r="B1911" i="93"/>
  <c r="B1910" i="93"/>
  <c r="B1909" i="93"/>
  <c r="B1908" i="93"/>
  <c r="B1907" i="93"/>
  <c r="B1906" i="93"/>
  <c r="B1905" i="93"/>
  <c r="B1904" i="93"/>
  <c r="B1903" i="93"/>
  <c r="B1902" i="93"/>
  <c r="B1900" i="93"/>
  <c r="B1899" i="93"/>
  <c r="B1898" i="93"/>
  <c r="B1897" i="93"/>
  <c r="B1896" i="93"/>
  <c r="B1895" i="93"/>
  <c r="E1894" i="93"/>
  <c r="B1894" i="93"/>
  <c r="B1893" i="93"/>
  <c r="B1892" i="93"/>
  <c r="B1891" i="93"/>
  <c r="B1890" i="93"/>
  <c r="B1889" i="93"/>
  <c r="B1888" i="93"/>
  <c r="B1887" i="93"/>
  <c r="B1886" i="93"/>
  <c r="B1885" i="93"/>
  <c r="B1883" i="93"/>
  <c r="B1882" i="93"/>
  <c r="B1881" i="93"/>
  <c r="E1880" i="93"/>
  <c r="B1880" i="93"/>
  <c r="B1879" i="93"/>
  <c r="B1878" i="93"/>
  <c r="B1877" i="93"/>
  <c r="B1876" i="93"/>
  <c r="E1875" i="93"/>
  <c r="B1875" i="93"/>
  <c r="B1874" i="93"/>
  <c r="B1873" i="93"/>
  <c r="B1872" i="93"/>
  <c r="B1871" i="93"/>
  <c r="B1870" i="93"/>
  <c r="B1869" i="93"/>
  <c r="B1868" i="93"/>
  <c r="B1867" i="93"/>
  <c r="B1866" i="93"/>
  <c r="B1865" i="93"/>
  <c r="B1864" i="93"/>
  <c r="B1862" i="93"/>
  <c r="B1861" i="93"/>
  <c r="B1860" i="93"/>
  <c r="B1859" i="93"/>
  <c r="B1858" i="93"/>
  <c r="B1857" i="93"/>
  <c r="B1856" i="93"/>
  <c r="B1855" i="93"/>
  <c r="B1854" i="93"/>
  <c r="B1853" i="93"/>
  <c r="B1852" i="93"/>
  <c r="B1851" i="93"/>
  <c r="E1850" i="93"/>
  <c r="B1850" i="93"/>
  <c r="B1848" i="93"/>
  <c r="B1847" i="93"/>
  <c r="B1846" i="93"/>
  <c r="E1845" i="93"/>
  <c r="B1845" i="93"/>
  <c r="B1844" i="93"/>
  <c r="B1843" i="93"/>
  <c r="B1842" i="93"/>
  <c r="B1841" i="93"/>
  <c r="B1840" i="93"/>
  <c r="E1839" i="93"/>
  <c r="B1839" i="93"/>
  <c r="B1838" i="93"/>
  <c r="B1837" i="93"/>
  <c r="B1836" i="93"/>
  <c r="B1835" i="93"/>
  <c r="B1834" i="93"/>
  <c r="B1833" i="93"/>
  <c r="B1832" i="93"/>
  <c r="B1831" i="93"/>
  <c r="B1830" i="93"/>
  <c r="B1829" i="93"/>
  <c r="B1827" i="93"/>
  <c r="B1826" i="93"/>
  <c r="B1825" i="93"/>
  <c r="B1824" i="93"/>
  <c r="B1823" i="93"/>
  <c r="B1822" i="93"/>
  <c r="B1821" i="93"/>
  <c r="B1820" i="93"/>
  <c r="B1819" i="93"/>
  <c r="B1818" i="93"/>
  <c r="B1817" i="93"/>
  <c r="B1816" i="93"/>
  <c r="B1815" i="93"/>
  <c r="F1814" i="93"/>
  <c r="B1814" i="93"/>
  <c r="B1813" i="93"/>
  <c r="E1812" i="93"/>
  <c r="B1812" i="93"/>
  <c r="B1810" i="93"/>
  <c r="B1809" i="93"/>
  <c r="B1808" i="93"/>
  <c r="E1807" i="93"/>
  <c r="B1807" i="93"/>
  <c r="B1806" i="93"/>
  <c r="B1805" i="93"/>
  <c r="B1804" i="93"/>
  <c r="B1803" i="93"/>
  <c r="B1802" i="93"/>
  <c r="B1801" i="93"/>
  <c r="B1800" i="93"/>
  <c r="E1799" i="93"/>
  <c r="B1799" i="93"/>
  <c r="B1798" i="93"/>
  <c r="B1797" i="93"/>
  <c r="B1796" i="93"/>
  <c r="B1795" i="93"/>
  <c r="B1794" i="93"/>
  <c r="B1793" i="93"/>
  <c r="B1792" i="93"/>
  <c r="B1791" i="93"/>
  <c r="B1790" i="93"/>
  <c r="B1789" i="93"/>
  <c r="B1788" i="93"/>
  <c r="B1787" i="93"/>
  <c r="B1786" i="93"/>
  <c r="B1784" i="93"/>
  <c r="B1783" i="93"/>
  <c r="B1782" i="93"/>
  <c r="B1781" i="93"/>
  <c r="B1780" i="93"/>
  <c r="B1779" i="93"/>
  <c r="B1778" i="93"/>
  <c r="F1777" i="93"/>
  <c r="B1777" i="93"/>
  <c r="B1776" i="93"/>
  <c r="B1775" i="93"/>
  <c r="B1773" i="93"/>
  <c r="B1772" i="93"/>
  <c r="B1771" i="93"/>
  <c r="E1770" i="93"/>
  <c r="B1770" i="93"/>
  <c r="B1769" i="93"/>
  <c r="B1768" i="93"/>
  <c r="B1767" i="93"/>
  <c r="B1766" i="93"/>
  <c r="B1765" i="93"/>
  <c r="B1764" i="93"/>
  <c r="B1763" i="93"/>
  <c r="E1762" i="93"/>
  <c r="B1762" i="93"/>
  <c r="B1761" i="93"/>
  <c r="B1760" i="93"/>
  <c r="B1759" i="93"/>
  <c r="B1758" i="93"/>
  <c r="B1757" i="93"/>
  <c r="B1756" i="93"/>
  <c r="B1755" i="93"/>
  <c r="B1754" i="93"/>
  <c r="B1752" i="93"/>
  <c r="B1751" i="93"/>
  <c r="B1750" i="93"/>
  <c r="B1749" i="93"/>
  <c r="B1748" i="93"/>
  <c r="B1747" i="93"/>
  <c r="B1746" i="93"/>
  <c r="B1745" i="93"/>
  <c r="B1744" i="93"/>
  <c r="B1743" i="93"/>
  <c r="B1742" i="93"/>
  <c r="F1741" i="93"/>
  <c r="B1741" i="93"/>
  <c r="B1740" i="93"/>
  <c r="B1739" i="93"/>
  <c r="B1737" i="93"/>
  <c r="B1736" i="93"/>
  <c r="E1735" i="93"/>
  <c r="B1735" i="93"/>
  <c r="B1734" i="93"/>
  <c r="B1733" i="93"/>
  <c r="B1732" i="93"/>
  <c r="B1731" i="93"/>
  <c r="B1730" i="93"/>
  <c r="B1729" i="93"/>
  <c r="B1728" i="93"/>
  <c r="B1727" i="93"/>
  <c r="B1726" i="93"/>
  <c r="B1725" i="93"/>
  <c r="B1724" i="93"/>
  <c r="B1723" i="93"/>
  <c r="B1722" i="93"/>
  <c r="B1721" i="93"/>
  <c r="B1720" i="93"/>
  <c r="B1719" i="93"/>
  <c r="B1718" i="93"/>
  <c r="B1717" i="93"/>
  <c r="B1715" i="93"/>
  <c r="B1714" i="93"/>
  <c r="B1713" i="93"/>
  <c r="B1712" i="93"/>
  <c r="B1711" i="93"/>
  <c r="B1710" i="93"/>
  <c r="B1709" i="93"/>
  <c r="F1708" i="93"/>
  <c r="B1708" i="93"/>
  <c r="B1707" i="93"/>
  <c r="B1706" i="93"/>
  <c r="B1704" i="93"/>
  <c r="B1703" i="93"/>
  <c r="E1702" i="93"/>
  <c r="B1702" i="93"/>
  <c r="B1701" i="93"/>
  <c r="B1700" i="93"/>
  <c r="B1699" i="93"/>
  <c r="B1698" i="93"/>
  <c r="B1696" i="93"/>
  <c r="B1695" i="93"/>
  <c r="B1697" i="93"/>
  <c r="B1694" i="93"/>
  <c r="B1693" i="93"/>
  <c r="B1692" i="93"/>
  <c r="B1691" i="93"/>
  <c r="B1690" i="93"/>
  <c r="B1689" i="93"/>
  <c r="B1688" i="93"/>
  <c r="B1687" i="93"/>
  <c r="B1686" i="93"/>
  <c r="B1685" i="93"/>
  <c r="B1684" i="93"/>
  <c r="B1683" i="93"/>
  <c r="B1682" i="93"/>
  <c r="B1681" i="93"/>
  <c r="B1680" i="93"/>
  <c r="B1679" i="93"/>
  <c r="B1678" i="93"/>
  <c r="B1677" i="93"/>
  <c r="B1676" i="93"/>
  <c r="B1675" i="93"/>
  <c r="B1674" i="93"/>
  <c r="B1672" i="93"/>
  <c r="B1671" i="93"/>
  <c r="B1670" i="93"/>
  <c r="B1669" i="93"/>
  <c r="B1666" i="93"/>
  <c r="B1665" i="93"/>
  <c r="B1668" i="93"/>
  <c r="B1664" i="93"/>
  <c r="F1663" i="93"/>
  <c r="B1663" i="93"/>
  <c r="B1662" i="93"/>
  <c r="B1661" i="93"/>
  <c r="B1659" i="93"/>
  <c r="B1658" i="93"/>
  <c r="E1657" i="93"/>
  <c r="B1657" i="93"/>
  <c r="B1656" i="93"/>
  <c r="B1655" i="93"/>
  <c r="B1654" i="93"/>
  <c r="B1653" i="93"/>
  <c r="B1652" i="93"/>
  <c r="B1651" i="93"/>
  <c r="B1650" i="93"/>
  <c r="B1649" i="93"/>
  <c r="B1648" i="93"/>
  <c r="B1647" i="93"/>
  <c r="B1646" i="93"/>
  <c r="B1645" i="93"/>
  <c r="B1644" i="93"/>
  <c r="B1643" i="93"/>
  <c r="B1642" i="93"/>
  <c r="B1641" i="93"/>
  <c r="B1640" i="93"/>
  <c r="B1639" i="93"/>
  <c r="B1638" i="93"/>
  <c r="B1637" i="93"/>
  <c r="B1636" i="93"/>
  <c r="B1635" i="93"/>
  <c r="B1633" i="93"/>
  <c r="B1632" i="93"/>
  <c r="B1631" i="93"/>
  <c r="B1630" i="93"/>
  <c r="B1629" i="93"/>
  <c r="B1628" i="93"/>
  <c r="B1627" i="93"/>
  <c r="B1626" i="93"/>
  <c r="B1625" i="93"/>
  <c r="B1624" i="93"/>
  <c r="B1623" i="93"/>
  <c r="F1622" i="93"/>
  <c r="B1622" i="93"/>
  <c r="B1621" i="93"/>
  <c r="B1620" i="93"/>
  <c r="B1618" i="93"/>
  <c r="B1617" i="93"/>
  <c r="E1616" i="93"/>
  <c r="B1616" i="93"/>
  <c r="B1615" i="93"/>
  <c r="B1614" i="93"/>
  <c r="B1613" i="93"/>
  <c r="B1612" i="93"/>
  <c r="B1611" i="93"/>
  <c r="B1610" i="93"/>
  <c r="F1609" i="93"/>
  <c r="B1609" i="93"/>
  <c r="B1608" i="93"/>
  <c r="B1607" i="93"/>
  <c r="B1606" i="93"/>
  <c r="B1605" i="93"/>
  <c r="B1604" i="93"/>
  <c r="B1603" i="93"/>
  <c r="B1602" i="93"/>
  <c r="B1601" i="93"/>
  <c r="B1600" i="93"/>
  <c r="B1599" i="93"/>
  <c r="B1598" i="93"/>
  <c r="B1596" i="93"/>
  <c r="B1595" i="93"/>
  <c r="B1594" i="93"/>
  <c r="B1593" i="93"/>
  <c r="B1592" i="93"/>
  <c r="B1591" i="93"/>
  <c r="B1590" i="93"/>
  <c r="B1589" i="93"/>
  <c r="B1588" i="93"/>
  <c r="B1587" i="93"/>
  <c r="B1586" i="93"/>
  <c r="B1585" i="93"/>
  <c r="F1584" i="93"/>
  <c r="B1584" i="93"/>
  <c r="B1583" i="93"/>
  <c r="B1582" i="93"/>
  <c r="B1580" i="93"/>
  <c r="B1579" i="93"/>
  <c r="E1578" i="93"/>
  <c r="B1578" i="93"/>
  <c r="B1577" i="93"/>
  <c r="B1576" i="93"/>
  <c r="B1575" i="93"/>
  <c r="F1574" i="93"/>
  <c r="B1574" i="93"/>
  <c r="B1573" i="93"/>
  <c r="B1572" i="93"/>
  <c r="B1571" i="93"/>
  <c r="B1570" i="93"/>
  <c r="B1569" i="93"/>
  <c r="B1568" i="93"/>
  <c r="B1567" i="93"/>
  <c r="B1566" i="93"/>
  <c r="B1565" i="93"/>
  <c r="B1564" i="93"/>
  <c r="B1563" i="93"/>
  <c r="B1562" i="93"/>
  <c r="B1561" i="93"/>
  <c r="B1560" i="93"/>
  <c r="B1559" i="93"/>
  <c r="B1558" i="93"/>
  <c r="B1557" i="93"/>
  <c r="B1555" i="93"/>
  <c r="B1554" i="93"/>
  <c r="B1553" i="93"/>
  <c r="B1552" i="93"/>
  <c r="B1551" i="93"/>
  <c r="B1550" i="93"/>
  <c r="B1549" i="93"/>
  <c r="B1548" i="93"/>
  <c r="B1547" i="93"/>
  <c r="B1546" i="93"/>
  <c r="B1545" i="93"/>
  <c r="B1544" i="93"/>
  <c r="B1543" i="93"/>
  <c r="B1542" i="93"/>
  <c r="B1541" i="93"/>
  <c r="F1540" i="93"/>
  <c r="B1540" i="93"/>
  <c r="B1539" i="93"/>
  <c r="B1538" i="93"/>
  <c r="B1536" i="93"/>
  <c r="B1535" i="93"/>
  <c r="E1534" i="93"/>
  <c r="B1534" i="93"/>
  <c r="B1533" i="93"/>
  <c r="B1532" i="93"/>
  <c r="B1531" i="93"/>
  <c r="B1530" i="93"/>
  <c r="F1529" i="93"/>
  <c r="B1529" i="93"/>
  <c r="B1528" i="93"/>
  <c r="E1527" i="93"/>
  <c r="B1527" i="93"/>
  <c r="B1526" i="93"/>
  <c r="B1525" i="93"/>
  <c r="B1524" i="93"/>
  <c r="B1523" i="93"/>
  <c r="B1522" i="93"/>
  <c r="B1521" i="93"/>
  <c r="B1520" i="93"/>
  <c r="B1519" i="93"/>
  <c r="B1518" i="93"/>
  <c r="B1517" i="93"/>
  <c r="B1516" i="93"/>
  <c r="B1515" i="93"/>
  <c r="B1514" i="93"/>
  <c r="B1513" i="93"/>
  <c r="B1512" i="93"/>
  <c r="B1511" i="93"/>
  <c r="B1510" i="93"/>
  <c r="B1508" i="93"/>
  <c r="B1507" i="93"/>
  <c r="B1506" i="93"/>
  <c r="B1505" i="93"/>
  <c r="B1504" i="93"/>
  <c r="B1503" i="93"/>
  <c r="B1502" i="93"/>
  <c r="B1501" i="93"/>
  <c r="B1500" i="93"/>
  <c r="B1499" i="93"/>
  <c r="B1498" i="93"/>
  <c r="B1497" i="93"/>
  <c r="B1496" i="93"/>
  <c r="B1495" i="93"/>
  <c r="B1494" i="93"/>
  <c r="B1493" i="93"/>
  <c r="B1492" i="93"/>
  <c r="B1491" i="93"/>
  <c r="F1490" i="93"/>
  <c r="B1490" i="93"/>
  <c r="B1489" i="93"/>
  <c r="B1488" i="93"/>
  <c r="B1486" i="93"/>
  <c r="B1485" i="93"/>
  <c r="E1484" i="93"/>
  <c r="B1484" i="93"/>
  <c r="B1483" i="93"/>
  <c r="B1482" i="93"/>
  <c r="B1481" i="93"/>
  <c r="F1480" i="93"/>
  <c r="B1480" i="93"/>
  <c r="B1479" i="93"/>
  <c r="B1478" i="93"/>
  <c r="B1477" i="93"/>
  <c r="B1476" i="93"/>
  <c r="B1475" i="93"/>
  <c r="B1474" i="93"/>
  <c r="B1473" i="93"/>
  <c r="B1472" i="93"/>
  <c r="B1471" i="93"/>
  <c r="B1470" i="93"/>
  <c r="B1469" i="93"/>
  <c r="B1468" i="93"/>
  <c r="B1467" i="93"/>
  <c r="B1466" i="93"/>
  <c r="B1464" i="93"/>
  <c r="B1463" i="93"/>
  <c r="B1462" i="93"/>
  <c r="B1461" i="93"/>
  <c r="F1460" i="93"/>
  <c r="B1460" i="93"/>
  <c r="B1459" i="93"/>
  <c r="B1458" i="93"/>
  <c r="F1456" i="93"/>
  <c r="B1456" i="93"/>
  <c r="B1455" i="93"/>
  <c r="B1454" i="93"/>
  <c r="B1453" i="93"/>
  <c r="B1452" i="93"/>
  <c r="B1451" i="93"/>
  <c r="B1450" i="93"/>
  <c r="B1449" i="93"/>
  <c r="B1448" i="93"/>
  <c r="B1447" i="93"/>
  <c r="B1446" i="93"/>
  <c r="B1445" i="93"/>
  <c r="B1444" i="93"/>
  <c r="E1443" i="93"/>
  <c r="B1443" i="93"/>
  <c r="B1442" i="93"/>
  <c r="B1441" i="93"/>
  <c r="B1440" i="93"/>
  <c r="B1439" i="93"/>
  <c r="B1438" i="93"/>
  <c r="B1437" i="93"/>
  <c r="F1436" i="93"/>
  <c r="B1436" i="93"/>
  <c r="B1435" i="93"/>
  <c r="B1434" i="93"/>
  <c r="B1433" i="93"/>
  <c r="B1432" i="93"/>
  <c r="B1431" i="93"/>
  <c r="B1430" i="93"/>
  <c r="B1429" i="93"/>
  <c r="B1428" i="93"/>
  <c r="B1427" i="93"/>
  <c r="B1426" i="93"/>
  <c r="B1424" i="93"/>
  <c r="B1423" i="93"/>
  <c r="B1422" i="93"/>
  <c r="B1421" i="93"/>
  <c r="B1420" i="93"/>
  <c r="B1419" i="93"/>
  <c r="B1418" i="93"/>
  <c r="F1417" i="93"/>
  <c r="B1417" i="93"/>
  <c r="B1416" i="93"/>
  <c r="B1415" i="93"/>
  <c r="F1413" i="93"/>
  <c r="B1413" i="93"/>
  <c r="B1412" i="93"/>
  <c r="B1411" i="93"/>
  <c r="B1410" i="93"/>
  <c r="B1409" i="93"/>
  <c r="B1408" i="93"/>
  <c r="B1407" i="93"/>
  <c r="B1406" i="93"/>
  <c r="B1405" i="93"/>
  <c r="E1404" i="93"/>
  <c r="B1404" i="93"/>
  <c r="B1403" i="93"/>
  <c r="B1402" i="93"/>
  <c r="B1401" i="93"/>
  <c r="B1400" i="93"/>
  <c r="B1399" i="93"/>
  <c r="B1398" i="93"/>
  <c r="B1397" i="93"/>
  <c r="B1396" i="93"/>
  <c r="B1395" i="93"/>
  <c r="B1394" i="93"/>
  <c r="B1393" i="93"/>
  <c r="B1392" i="93"/>
  <c r="B1391" i="93"/>
  <c r="B1390" i="93"/>
  <c r="B1388" i="93"/>
  <c r="B1387" i="93"/>
  <c r="B1386" i="93"/>
  <c r="B1385" i="93"/>
  <c r="B1384" i="93"/>
  <c r="B1383" i="93"/>
  <c r="B1382" i="93"/>
  <c r="B1381" i="93"/>
  <c r="B1380" i="93"/>
  <c r="B1379" i="93"/>
  <c r="B1378" i="93"/>
  <c r="B1377" i="93"/>
  <c r="B1376" i="93"/>
  <c r="B1375" i="93"/>
  <c r="B1374" i="93"/>
  <c r="B1373" i="93"/>
  <c r="B1372" i="93"/>
  <c r="F1371" i="93"/>
  <c r="B1371" i="93"/>
  <c r="B1370" i="93"/>
  <c r="B1369" i="93"/>
  <c r="F1367" i="93"/>
  <c r="B1367" i="93"/>
  <c r="B1366" i="93"/>
  <c r="B1365" i="93"/>
  <c r="B1364" i="93"/>
  <c r="B1363" i="93"/>
  <c r="B1362" i="93"/>
  <c r="B1361" i="93"/>
  <c r="B1360" i="93"/>
  <c r="B1359" i="93"/>
  <c r="B1358" i="93"/>
  <c r="B1357" i="93"/>
  <c r="F1356" i="93"/>
  <c r="B1356" i="93"/>
  <c r="B1355" i="93"/>
  <c r="B1354" i="93"/>
  <c r="B1353" i="93"/>
  <c r="B1352" i="93"/>
  <c r="E1351" i="93"/>
  <c r="B1351" i="93"/>
  <c r="B1350" i="93"/>
  <c r="B1349" i="93"/>
  <c r="B1348" i="93"/>
  <c r="B1347" i="93"/>
  <c r="B1346" i="93"/>
  <c r="B1345" i="93"/>
  <c r="B1344" i="93"/>
  <c r="B1343" i="93"/>
  <c r="B1342" i="93"/>
  <c r="B1341" i="93"/>
  <c r="B1340" i="93"/>
  <c r="B1339" i="93"/>
  <c r="B1338" i="93"/>
  <c r="B1337" i="93"/>
  <c r="B1336" i="93"/>
  <c r="B1335" i="93"/>
  <c r="B1334" i="93"/>
  <c r="B1332" i="93"/>
  <c r="B1331" i="93"/>
  <c r="B1330" i="93"/>
  <c r="B1329" i="93"/>
  <c r="E1328" i="93"/>
  <c r="B1328" i="93"/>
  <c r="B1327" i="93"/>
  <c r="B1326" i="93"/>
  <c r="B1325" i="93"/>
  <c r="B1324" i="93"/>
  <c r="B1323" i="93"/>
  <c r="B1322" i="93"/>
  <c r="B1321" i="93"/>
  <c r="B1320" i="93"/>
  <c r="B1319" i="93"/>
  <c r="B1318" i="93"/>
  <c r="B1317" i="93"/>
  <c r="B1316" i="93"/>
  <c r="B1315" i="93"/>
  <c r="B1314" i="93"/>
  <c r="B1313" i="93"/>
  <c r="B1312" i="93"/>
  <c r="B1311" i="93"/>
  <c r="F1310" i="93"/>
  <c r="B1310" i="93"/>
  <c r="B1309" i="93"/>
  <c r="B1308" i="93"/>
  <c r="B1306" i="93"/>
  <c r="B1305" i="93"/>
  <c r="E1304" i="93"/>
  <c r="B1304" i="93"/>
  <c r="B1303" i="93"/>
  <c r="B1302" i="93"/>
  <c r="B1301" i="93"/>
  <c r="B1300" i="93"/>
  <c r="B1299" i="93"/>
  <c r="B1298" i="93"/>
  <c r="E1297" i="93"/>
  <c r="B1297" i="93"/>
  <c r="F1295" i="93"/>
  <c r="B1295" i="93"/>
  <c r="B1294" i="93"/>
  <c r="B1293" i="93"/>
  <c r="B1292" i="93"/>
  <c r="B1291" i="93"/>
  <c r="B1290" i="93"/>
  <c r="B1289" i="93"/>
  <c r="B1288" i="93"/>
  <c r="B1287" i="93"/>
  <c r="B1286" i="93"/>
  <c r="B1285" i="93"/>
  <c r="B1284" i="93"/>
  <c r="B1283" i="93"/>
  <c r="B1281" i="93"/>
  <c r="B1280" i="93"/>
  <c r="B1279" i="93"/>
  <c r="B1278" i="93"/>
  <c r="B1277" i="93"/>
  <c r="B1276" i="93"/>
  <c r="B1275" i="93"/>
  <c r="B1274" i="93"/>
  <c r="B1273" i="93"/>
  <c r="B1272" i="93"/>
  <c r="B1271" i="93"/>
  <c r="B1270" i="93"/>
  <c r="B1269" i="93"/>
  <c r="B1268" i="93"/>
  <c r="B1267" i="93"/>
  <c r="B1266" i="93"/>
  <c r="B1265" i="93"/>
  <c r="B1264" i="93"/>
  <c r="B1263" i="93"/>
  <c r="F1262" i="93"/>
  <c r="B1262" i="93"/>
  <c r="B1261" i="93"/>
  <c r="B1260" i="93"/>
  <c r="B1258" i="93"/>
  <c r="B1257" i="93"/>
  <c r="E1256" i="93"/>
  <c r="B1256" i="93"/>
  <c r="B1255" i="93"/>
  <c r="B1254" i="93"/>
  <c r="B1253" i="93"/>
  <c r="B1252" i="93"/>
  <c r="B1251" i="93"/>
  <c r="B1250" i="93"/>
  <c r="B1249" i="93"/>
  <c r="E1248" i="93"/>
  <c r="B1248" i="93"/>
  <c r="B1247" i="93"/>
  <c r="B1246" i="93"/>
  <c r="B1245" i="93"/>
  <c r="B1244" i="93"/>
  <c r="B1243" i="93"/>
  <c r="B1242" i="93"/>
  <c r="B1241" i="93"/>
  <c r="B1240" i="93"/>
  <c r="B1239" i="93"/>
  <c r="B1238" i="93"/>
  <c r="B1237" i="93"/>
  <c r="B1236" i="93"/>
  <c r="B1234" i="93"/>
  <c r="B1233" i="93"/>
  <c r="B1232" i="93"/>
  <c r="B1231" i="93"/>
  <c r="B1230" i="93"/>
  <c r="B1229" i="93"/>
  <c r="B1228" i="93"/>
  <c r="F1227" i="93"/>
  <c r="B1227" i="93"/>
  <c r="B1226" i="93"/>
  <c r="B1225" i="93"/>
  <c r="B1223" i="93"/>
  <c r="B1222" i="93"/>
  <c r="E1221" i="93"/>
  <c r="B1221" i="93"/>
  <c r="B1220" i="93"/>
  <c r="B1219" i="93"/>
  <c r="B1218" i="93"/>
  <c r="B1217" i="93"/>
  <c r="B1216" i="93"/>
  <c r="B1215" i="93"/>
  <c r="B1214" i="93"/>
  <c r="E1213" i="93"/>
  <c r="B1213" i="93"/>
  <c r="B1212" i="93"/>
  <c r="B1211" i="93"/>
  <c r="B1210" i="93"/>
  <c r="B1209" i="93"/>
  <c r="B1208" i="93"/>
  <c r="B1207" i="93"/>
  <c r="B1206" i="93"/>
  <c r="B1205" i="93"/>
  <c r="B1204" i="93"/>
  <c r="B1203" i="93"/>
  <c r="B1202" i="93"/>
  <c r="B1200" i="93"/>
  <c r="B1199" i="93"/>
  <c r="B1198" i="93"/>
  <c r="B1197" i="93"/>
  <c r="B1196" i="93"/>
  <c r="B1195" i="93"/>
  <c r="B1194" i="93"/>
  <c r="B1193" i="93"/>
  <c r="B1192" i="93"/>
  <c r="B1191" i="93"/>
  <c r="B1190" i="93"/>
  <c r="B1189" i="93"/>
  <c r="F1188" i="93"/>
  <c r="B1188" i="93"/>
  <c r="B1187" i="93"/>
  <c r="E1186" i="93"/>
  <c r="B1186" i="93"/>
  <c r="B1184" i="93"/>
  <c r="B1183" i="93"/>
  <c r="E1182" i="93"/>
  <c r="B1182" i="93"/>
  <c r="B1181" i="93"/>
  <c r="B1180" i="93"/>
  <c r="B1179" i="93"/>
  <c r="B1178" i="93"/>
  <c r="E1177" i="93"/>
  <c r="B1177" i="93"/>
  <c r="B1176" i="93"/>
  <c r="B1175" i="93"/>
  <c r="B1174" i="93"/>
  <c r="B1173" i="93"/>
  <c r="B1172" i="93"/>
  <c r="B1171" i="93"/>
  <c r="B1170" i="93"/>
  <c r="B1169" i="93"/>
  <c r="B1168" i="93"/>
  <c r="B1167" i="93"/>
  <c r="B1166" i="93"/>
  <c r="B1165" i="93"/>
  <c r="B1164" i="93"/>
  <c r="B1163" i="93"/>
  <c r="B1162" i="93"/>
  <c r="B1160" i="93"/>
  <c r="B1159" i="93"/>
  <c r="B1158" i="93"/>
  <c r="B1157" i="93"/>
  <c r="F1156" i="93"/>
  <c r="B1156" i="93"/>
  <c r="B1155" i="93"/>
  <c r="B1154" i="93"/>
  <c r="B1153" i="93"/>
  <c r="B1152" i="93"/>
  <c r="B1151" i="93"/>
  <c r="B1150" i="93"/>
  <c r="F1149" i="93"/>
  <c r="B1149" i="93"/>
  <c r="B1148" i="93"/>
  <c r="B1147" i="93"/>
  <c r="F1145" i="93"/>
  <c r="B1145" i="93"/>
  <c r="B1144" i="93"/>
  <c r="B1143" i="93"/>
  <c r="B1142" i="93"/>
  <c r="B1141" i="93"/>
  <c r="B1140" i="93"/>
  <c r="E1139" i="93"/>
  <c r="B1139" i="93"/>
  <c r="B1138" i="93"/>
  <c r="B1137" i="93"/>
  <c r="B1136" i="93"/>
  <c r="B1135" i="93"/>
  <c r="B1134" i="93"/>
  <c r="B1133" i="93"/>
  <c r="B1132" i="93"/>
  <c r="B1131" i="93"/>
  <c r="B1130" i="93"/>
  <c r="B1129" i="93"/>
  <c r="B1128" i="93"/>
  <c r="B1127" i="93"/>
  <c r="B1126" i="93"/>
  <c r="B1124" i="93"/>
  <c r="B1123" i="93"/>
  <c r="B1122" i="93"/>
  <c r="B1121" i="93"/>
  <c r="B1120" i="93"/>
  <c r="B1119" i="93"/>
  <c r="B1118" i="93"/>
  <c r="B1117" i="93"/>
  <c r="B1116" i="93"/>
  <c r="B1115" i="93"/>
  <c r="B1114" i="93"/>
  <c r="B1113" i="93"/>
  <c r="B1112" i="93"/>
  <c r="B1111" i="93"/>
  <c r="B1110" i="93"/>
  <c r="B1109" i="93"/>
  <c r="B1108" i="93"/>
  <c r="B1107" i="93"/>
  <c r="B1106" i="93"/>
  <c r="B1105" i="93"/>
  <c r="B1104" i="93"/>
  <c r="B1103" i="93"/>
  <c r="B1102" i="93"/>
  <c r="B1101" i="93"/>
  <c r="B1100" i="93"/>
  <c r="B1099" i="93"/>
  <c r="B1098" i="93"/>
  <c r="B1097" i="93"/>
  <c r="B1095" i="93"/>
  <c r="B1094" i="93"/>
  <c r="B1093" i="93"/>
  <c r="B1092" i="93"/>
  <c r="B1096" i="93"/>
  <c r="B1091" i="93"/>
  <c r="B1090" i="93"/>
  <c r="B1089" i="93"/>
  <c r="B1088" i="93"/>
  <c r="B1087" i="93"/>
  <c r="F1086" i="93"/>
  <c r="B1086" i="93"/>
  <c r="B1085" i="93"/>
  <c r="B1084" i="93"/>
  <c r="F1082" i="93"/>
  <c r="B1082" i="93"/>
  <c r="B1081" i="93"/>
  <c r="B1080" i="93"/>
  <c r="B1079" i="93"/>
  <c r="B1078" i="93"/>
  <c r="B1077" i="93"/>
  <c r="E1076" i="93"/>
  <c r="B1076" i="93"/>
  <c r="B1075" i="93"/>
  <c r="B1074" i="93"/>
  <c r="B1073" i="93"/>
  <c r="B1072" i="93"/>
  <c r="B1071" i="93"/>
  <c r="B1070" i="93"/>
  <c r="B1069" i="93"/>
  <c r="E1068" i="93"/>
  <c r="B1068" i="93"/>
  <c r="E1067" i="93"/>
  <c r="B1067" i="93"/>
  <c r="B1066" i="93"/>
  <c r="B1065" i="93"/>
  <c r="B1064" i="93"/>
  <c r="B1063" i="93"/>
  <c r="B1062" i="93"/>
  <c r="B1061" i="93"/>
  <c r="E1060" i="93"/>
  <c r="B1060" i="93"/>
  <c r="B1059" i="93"/>
  <c r="B1058" i="93"/>
  <c r="B1057" i="93"/>
  <c r="B1056" i="93"/>
  <c r="B1055" i="93"/>
  <c r="B1054" i="93"/>
  <c r="B1053" i="93"/>
  <c r="B1052" i="93"/>
  <c r="B1051" i="93"/>
  <c r="B1050" i="93"/>
  <c r="B1049" i="93"/>
  <c r="B1048" i="93"/>
  <c r="B1047" i="93"/>
  <c r="B1046" i="93"/>
  <c r="B1045" i="93"/>
  <c r="B1044" i="93"/>
  <c r="B1043" i="93"/>
  <c r="B1042" i="93"/>
  <c r="B1041" i="93"/>
  <c r="B1040" i="93"/>
  <c r="B1039" i="93"/>
  <c r="B1038" i="93"/>
  <c r="B1037" i="93"/>
  <c r="B1036" i="93"/>
  <c r="B1035" i="93"/>
  <c r="B1033" i="93"/>
  <c r="B1032" i="93"/>
  <c r="B1031" i="93"/>
  <c r="B1030" i="93"/>
  <c r="B1029" i="93"/>
  <c r="B1028" i="93"/>
  <c r="B1027" i="93"/>
  <c r="B1026" i="93"/>
  <c r="B1025" i="93"/>
  <c r="B1024" i="93"/>
  <c r="B1023" i="93"/>
  <c r="B1022" i="93"/>
  <c r="B1021" i="93"/>
  <c r="B1020" i="93"/>
  <c r="B1019" i="93"/>
  <c r="B1018" i="93"/>
  <c r="B1017" i="93"/>
  <c r="B1016" i="93"/>
  <c r="B1015" i="93"/>
  <c r="B1014" i="93"/>
  <c r="B1013" i="93"/>
  <c r="B1012" i="93"/>
  <c r="B1011" i="93"/>
  <c r="B1010" i="93"/>
  <c r="B1009" i="93"/>
  <c r="B1008" i="93"/>
  <c r="B1007" i="93"/>
  <c r="B1006" i="93"/>
  <c r="B1005" i="93"/>
  <c r="B1004" i="93"/>
  <c r="B1003" i="93"/>
  <c r="B1002" i="93"/>
  <c r="B1001" i="93"/>
  <c r="F1000" i="93"/>
  <c r="B1000" i="93"/>
  <c r="B999" i="93"/>
  <c r="B998" i="93"/>
  <c r="F996" i="93"/>
  <c r="B996" i="93"/>
  <c r="B995" i="93"/>
  <c r="E994" i="93"/>
  <c r="B994" i="93"/>
  <c r="B993" i="93"/>
  <c r="B992" i="93"/>
  <c r="B991" i="93"/>
  <c r="B990" i="93"/>
  <c r="B989" i="93"/>
  <c r="B988" i="93"/>
  <c r="E986" i="93"/>
  <c r="B986" i="93"/>
  <c r="B985" i="93"/>
  <c r="B987" i="93"/>
  <c r="B984" i="93"/>
  <c r="B983" i="93"/>
  <c r="E982" i="93"/>
  <c r="B982" i="93"/>
  <c r="E981" i="93"/>
  <c r="B981" i="93"/>
  <c r="E979" i="93"/>
  <c r="E978" i="93"/>
  <c r="B978" i="93"/>
  <c r="B976" i="93"/>
  <c r="B979" i="93"/>
  <c r="B975" i="93"/>
  <c r="B977" i="93"/>
  <c r="B974" i="93"/>
  <c r="B973" i="93"/>
  <c r="B972" i="93"/>
  <c r="E971" i="93"/>
  <c r="B971" i="93"/>
  <c r="B970" i="93"/>
  <c r="B969" i="93"/>
  <c r="B968" i="93"/>
  <c r="B967" i="93"/>
  <c r="B966" i="93"/>
  <c r="B965" i="93"/>
  <c r="B964" i="93"/>
  <c r="B963" i="93"/>
  <c r="B962" i="93"/>
  <c r="B961" i="93"/>
  <c r="B960" i="93"/>
  <c r="B959" i="93"/>
  <c r="B958" i="93"/>
  <c r="B957" i="93"/>
  <c r="B956" i="93"/>
  <c r="B955" i="93"/>
  <c r="B954" i="93"/>
  <c r="B953" i="93"/>
  <c r="B952" i="93"/>
  <c r="B951" i="93"/>
  <c r="B950" i="93"/>
  <c r="B949" i="93"/>
  <c r="B948" i="93"/>
  <c r="B947" i="93"/>
  <c r="B946" i="93"/>
  <c r="B945" i="93"/>
  <c r="B944" i="93"/>
  <c r="B943" i="93"/>
  <c r="B942" i="93"/>
  <c r="B941" i="93"/>
  <c r="B939" i="93"/>
  <c r="B938" i="93"/>
  <c r="B937" i="93"/>
  <c r="B936" i="93"/>
  <c r="B935" i="93"/>
  <c r="B934" i="93"/>
  <c r="B933" i="93"/>
  <c r="B932" i="93"/>
  <c r="B931" i="93"/>
  <c r="B930" i="93"/>
  <c r="B929" i="93"/>
  <c r="B928" i="93"/>
  <c r="B927" i="93"/>
  <c r="B926" i="93"/>
  <c r="B925" i="93"/>
  <c r="B924" i="93"/>
  <c r="B923" i="93"/>
  <c r="B922" i="93"/>
  <c r="B921" i="93"/>
  <c r="B920" i="93"/>
  <c r="B919" i="93"/>
  <c r="B918" i="93"/>
  <c r="B917" i="93"/>
  <c r="B916" i="93"/>
  <c r="B915" i="93"/>
  <c r="F914" i="93"/>
  <c r="B914" i="93"/>
  <c r="B913" i="93"/>
  <c r="B912" i="93"/>
  <c r="F910" i="93"/>
  <c r="B910" i="93"/>
  <c r="B909" i="93"/>
  <c r="B908" i="93"/>
  <c r="B907" i="93"/>
  <c r="B906" i="93"/>
  <c r="B905" i="93"/>
  <c r="B904" i="93"/>
  <c r="B903" i="93"/>
  <c r="B902" i="93"/>
  <c r="E901" i="93"/>
  <c r="B901" i="93"/>
  <c r="B900" i="93"/>
  <c r="B899" i="93"/>
  <c r="B898" i="93"/>
  <c r="B897" i="93"/>
  <c r="B896" i="93"/>
  <c r="B895" i="93"/>
  <c r="B894" i="93"/>
  <c r="B893" i="93"/>
  <c r="B892" i="93"/>
  <c r="B891" i="93"/>
  <c r="B890" i="93"/>
  <c r="B889" i="93"/>
  <c r="B888" i="93"/>
  <c r="B887" i="93"/>
  <c r="B886" i="93"/>
  <c r="B885" i="93"/>
  <c r="B884" i="93"/>
  <c r="B883" i="93"/>
  <c r="B881" i="93"/>
  <c r="B880" i="93"/>
  <c r="B879" i="93"/>
  <c r="B878" i="93"/>
  <c r="B877" i="93"/>
  <c r="B876" i="93"/>
  <c r="B875" i="93"/>
  <c r="B874" i="93"/>
  <c r="B873" i="93"/>
  <c r="F872" i="93"/>
  <c r="B872" i="93"/>
  <c r="B871" i="93"/>
  <c r="B870" i="93"/>
  <c r="F868" i="93"/>
  <c r="B868" i="93"/>
  <c r="B867" i="93"/>
  <c r="B866" i="93"/>
  <c r="B865" i="93"/>
  <c r="F864" i="93"/>
  <c r="B864" i="93"/>
  <c r="B863" i="93"/>
  <c r="E862" i="93"/>
  <c r="B862" i="93"/>
  <c r="B861" i="93"/>
  <c r="B860" i="93"/>
  <c r="B859" i="93"/>
  <c r="B858" i="93"/>
  <c r="B857" i="93"/>
  <c r="B856" i="93"/>
  <c r="B855" i="93"/>
  <c r="B854" i="93"/>
  <c r="B853" i="93"/>
  <c r="B852" i="93"/>
  <c r="B851" i="93"/>
  <c r="B850" i="93"/>
  <c r="B849" i="93"/>
  <c r="B847" i="93"/>
  <c r="B846" i="93"/>
  <c r="B845" i="93"/>
  <c r="B844" i="93"/>
  <c r="B843" i="93"/>
  <c r="B842" i="93"/>
  <c r="B841" i="93"/>
  <c r="B840" i="93"/>
  <c r="B839" i="93"/>
  <c r="B838" i="93"/>
  <c r="B837" i="93"/>
  <c r="B836" i="93"/>
  <c r="B835" i="93"/>
  <c r="B834" i="93"/>
  <c r="F833" i="93"/>
  <c r="B833" i="93"/>
  <c r="B832" i="93"/>
  <c r="B831" i="93"/>
  <c r="B830" i="93"/>
  <c r="B829" i="93"/>
  <c r="B828" i="93"/>
  <c r="B827" i="93"/>
  <c r="B826" i="93"/>
  <c r="B825" i="93"/>
  <c r="B824" i="93"/>
  <c r="B823" i="93"/>
  <c r="B822" i="93"/>
  <c r="B821" i="93"/>
  <c r="B820" i="93"/>
  <c r="B819" i="93"/>
  <c r="B817" i="93"/>
  <c r="B816" i="93"/>
  <c r="B815" i="93"/>
  <c r="B814" i="93"/>
  <c r="B813" i="93"/>
  <c r="B812" i="93"/>
  <c r="B811" i="93"/>
  <c r="B810" i="93"/>
  <c r="B809" i="93"/>
  <c r="B808" i="93"/>
  <c r="B807" i="93"/>
  <c r="B806" i="93"/>
  <c r="B805" i="93"/>
  <c r="B804" i="93"/>
  <c r="B803" i="93"/>
  <c r="B802" i="93"/>
  <c r="F801" i="93"/>
  <c r="B801" i="93"/>
  <c r="B800" i="93"/>
  <c r="B799" i="93"/>
  <c r="F797" i="93"/>
  <c r="B797" i="93"/>
  <c r="B796" i="93"/>
  <c r="B795" i="93"/>
  <c r="B794" i="93"/>
  <c r="F793" i="93"/>
  <c r="B793" i="93"/>
  <c r="B792" i="93"/>
  <c r="E791" i="93"/>
  <c r="B791" i="93"/>
  <c r="B790" i="93"/>
  <c r="B789" i="93"/>
  <c r="B788" i="93"/>
  <c r="B787" i="93"/>
  <c r="B786" i="93"/>
  <c r="B785" i="93"/>
  <c r="B784" i="93"/>
  <c r="B783" i="93"/>
  <c r="B782" i="93"/>
  <c r="B781" i="93"/>
  <c r="B780" i="93"/>
  <c r="B779" i="93"/>
  <c r="B778" i="93"/>
  <c r="B777" i="93"/>
  <c r="B775" i="93"/>
  <c r="B774" i="93"/>
  <c r="B773" i="93"/>
  <c r="B772" i="93"/>
  <c r="B771" i="93"/>
  <c r="B770" i="93"/>
  <c r="B769" i="93"/>
  <c r="B768" i="93"/>
  <c r="B767" i="93"/>
  <c r="F766" i="93"/>
  <c r="B766" i="93"/>
  <c r="B765" i="93"/>
  <c r="B764" i="93"/>
  <c r="F762" i="93"/>
  <c r="B762" i="93"/>
  <c r="B761" i="93"/>
  <c r="B760" i="93"/>
  <c r="B759" i="93"/>
  <c r="B758" i="93"/>
  <c r="B757" i="93"/>
  <c r="F756" i="93"/>
  <c r="B756" i="93"/>
  <c r="B755" i="93"/>
  <c r="E754" i="93"/>
  <c r="B754" i="93"/>
  <c r="B753" i="93"/>
  <c r="B752" i="93"/>
  <c r="B751" i="93"/>
  <c r="B750" i="93"/>
  <c r="B749" i="93"/>
  <c r="B748" i="93"/>
  <c r="B747" i="93"/>
  <c r="B746" i="93"/>
  <c r="B745" i="93"/>
  <c r="B744" i="93"/>
  <c r="B743" i="93"/>
  <c r="B742" i="93"/>
  <c r="B741" i="93"/>
  <c r="B740" i="93"/>
  <c r="B739" i="93"/>
  <c r="B738" i="93"/>
  <c r="B736" i="93"/>
  <c r="B735" i="93"/>
  <c r="B734" i="93"/>
  <c r="B733" i="93"/>
  <c r="B732" i="93"/>
  <c r="B731" i="93"/>
  <c r="B730" i="93"/>
  <c r="B729" i="93"/>
  <c r="B728" i="93"/>
  <c r="B727" i="93"/>
  <c r="B726" i="93"/>
  <c r="B725" i="93"/>
  <c r="B724" i="93"/>
  <c r="B723" i="93"/>
  <c r="B722" i="93"/>
  <c r="B721" i="93"/>
  <c r="B720" i="93"/>
  <c r="B719" i="93"/>
  <c r="F718" i="93"/>
  <c r="B718" i="93"/>
  <c r="F717" i="93"/>
  <c r="B717" i="93"/>
  <c r="B716" i="93"/>
  <c r="B715" i="93"/>
  <c r="B714" i="93"/>
  <c r="B713" i="93"/>
  <c r="B712" i="93"/>
  <c r="B711" i="93"/>
  <c r="B710" i="93"/>
  <c r="B709" i="93"/>
  <c r="B708" i="93"/>
  <c r="B707" i="93"/>
  <c r="B706" i="93"/>
  <c r="B705" i="93"/>
  <c r="B704" i="93"/>
  <c r="F703" i="93"/>
  <c r="B703" i="93"/>
  <c r="B702" i="93"/>
  <c r="B701" i="93"/>
  <c r="F699" i="93"/>
  <c r="B699" i="93"/>
  <c r="B698" i="93"/>
  <c r="B697" i="93"/>
  <c r="B696" i="93"/>
  <c r="B695" i="93"/>
  <c r="F694" i="93"/>
  <c r="B694" i="93"/>
  <c r="B693" i="93"/>
  <c r="E692" i="93"/>
  <c r="B692" i="93"/>
  <c r="B691" i="93"/>
  <c r="B690" i="93"/>
  <c r="B689" i="93"/>
  <c r="B688" i="93"/>
  <c r="B687" i="93"/>
  <c r="B686" i="93"/>
  <c r="B685" i="93"/>
  <c r="B684" i="93"/>
  <c r="B683" i="93"/>
  <c r="B682" i="93"/>
  <c r="B681" i="93"/>
  <c r="B680" i="93"/>
  <c r="B679" i="93"/>
  <c r="B678" i="93"/>
  <c r="B677" i="93"/>
  <c r="B676" i="93"/>
  <c r="B675" i="93"/>
  <c r="B674" i="93"/>
  <c r="B673" i="93"/>
  <c r="B672" i="93"/>
  <c r="B670" i="93"/>
  <c r="B669" i="93"/>
  <c r="B668" i="93"/>
  <c r="B667" i="93"/>
  <c r="B666" i="93"/>
  <c r="B665" i="93"/>
  <c r="B664" i="93"/>
  <c r="B663" i="93"/>
  <c r="B662" i="93"/>
  <c r="B661" i="93"/>
  <c r="B660" i="93"/>
  <c r="B659" i="93"/>
  <c r="B658" i="93"/>
  <c r="B657" i="93"/>
  <c r="B656" i="93"/>
  <c r="F655" i="93"/>
  <c r="B655" i="93"/>
  <c r="B654" i="93"/>
  <c r="E653" i="93"/>
  <c r="B653" i="93"/>
  <c r="F651" i="93"/>
  <c r="B651" i="93"/>
  <c r="B650" i="93"/>
  <c r="E649" i="93"/>
  <c r="B649" i="93"/>
  <c r="B648" i="93"/>
  <c r="B647" i="93"/>
  <c r="B646" i="93"/>
  <c r="F645" i="93"/>
  <c r="B645" i="93"/>
  <c r="B644" i="93"/>
  <c r="E643" i="93"/>
  <c r="B643" i="93"/>
  <c r="B642" i="93"/>
  <c r="B641" i="93"/>
  <c r="B640" i="93"/>
  <c r="B639" i="93"/>
  <c r="B638" i="93"/>
  <c r="B637" i="93"/>
  <c r="B636" i="93"/>
  <c r="B635" i="93"/>
  <c r="B634" i="93"/>
  <c r="B633" i="93"/>
  <c r="B632" i="93"/>
  <c r="B631" i="93"/>
  <c r="B630" i="93"/>
  <c r="B629" i="93"/>
  <c r="B628" i="93"/>
  <c r="B627" i="93"/>
  <c r="B626" i="93"/>
  <c r="B625" i="93"/>
  <c r="B624" i="93"/>
  <c r="B623" i="93"/>
  <c r="B622" i="93"/>
  <c r="B620" i="93"/>
  <c r="B619" i="93"/>
  <c r="B618" i="93"/>
  <c r="B617" i="93"/>
  <c r="B616" i="93"/>
  <c r="B615" i="93"/>
  <c r="B614" i="93"/>
  <c r="B613" i="93"/>
  <c r="B612" i="93"/>
  <c r="B611" i="93"/>
  <c r="B610" i="93"/>
  <c r="B609" i="93"/>
  <c r="B608" i="93"/>
  <c r="B607" i="93"/>
  <c r="B606" i="93"/>
  <c r="F605" i="93"/>
  <c r="B605" i="93"/>
  <c r="B604" i="93"/>
  <c r="E603" i="93"/>
  <c r="B603" i="93"/>
  <c r="F601" i="93"/>
  <c r="B601" i="93"/>
  <c r="B600" i="93"/>
  <c r="E599" i="93"/>
  <c r="B599" i="93"/>
  <c r="B598" i="93"/>
  <c r="B597" i="93"/>
  <c r="B596" i="93"/>
  <c r="B595" i="93"/>
  <c r="B594" i="93"/>
  <c r="F593" i="93"/>
  <c r="B593" i="93"/>
  <c r="B592" i="93"/>
  <c r="E591" i="93"/>
  <c r="B591" i="93"/>
  <c r="B590" i="93"/>
  <c r="B589" i="93"/>
  <c r="B588" i="93"/>
  <c r="B587" i="93"/>
  <c r="B586" i="93"/>
  <c r="B585" i="93"/>
  <c r="B584" i="93"/>
  <c r="B583" i="93"/>
  <c r="B582" i="93"/>
  <c r="B581" i="93"/>
  <c r="B580" i="93"/>
  <c r="B579" i="93"/>
  <c r="B577" i="93"/>
  <c r="B576" i="93"/>
  <c r="B575" i="93"/>
  <c r="B574" i="93"/>
  <c r="B573" i="93"/>
  <c r="B572" i="93"/>
  <c r="B571" i="93"/>
  <c r="B570" i="93"/>
  <c r="B569" i="93"/>
  <c r="B568" i="93"/>
  <c r="B567" i="93"/>
  <c r="B566" i="93"/>
  <c r="B565" i="93"/>
  <c r="B564" i="93"/>
  <c r="B563" i="93"/>
  <c r="B562" i="93"/>
  <c r="B561" i="93"/>
  <c r="B560" i="93"/>
  <c r="B559" i="93"/>
  <c r="B558" i="93"/>
  <c r="B557" i="93"/>
  <c r="B556" i="93"/>
  <c r="F555" i="93"/>
  <c r="B555" i="93"/>
  <c r="B554" i="93"/>
  <c r="E553" i="93"/>
  <c r="B553" i="93"/>
  <c r="F551" i="93"/>
  <c r="B551" i="93"/>
  <c r="B550" i="93"/>
  <c r="E549" i="93"/>
  <c r="B549" i="93"/>
  <c r="B548" i="93"/>
  <c r="B547" i="93"/>
  <c r="F546" i="93"/>
  <c r="B546" i="93"/>
  <c r="B545" i="93"/>
  <c r="E544" i="93"/>
  <c r="B544" i="93"/>
  <c r="B543" i="93"/>
  <c r="B542" i="93"/>
  <c r="B541" i="93"/>
  <c r="B540" i="93"/>
  <c r="B539" i="93"/>
  <c r="B538" i="93"/>
  <c r="B537" i="93"/>
  <c r="B536" i="93"/>
  <c r="B535" i="93"/>
  <c r="B534" i="93"/>
  <c r="B533" i="93"/>
  <c r="B532" i="93"/>
  <c r="B531" i="93"/>
  <c r="B530" i="93"/>
  <c r="B528" i="93"/>
  <c r="B527" i="93"/>
  <c r="B526" i="93"/>
  <c r="B525" i="93"/>
  <c r="B524" i="93"/>
  <c r="B523" i="93"/>
  <c r="B522" i="93"/>
  <c r="B521" i="93"/>
  <c r="B520" i="93"/>
  <c r="B519" i="93"/>
  <c r="B518" i="93"/>
  <c r="B517" i="93"/>
  <c r="B516" i="93"/>
  <c r="B515" i="93"/>
  <c r="B514" i="93"/>
  <c r="B513" i="93"/>
  <c r="B512" i="93"/>
  <c r="B511" i="93"/>
  <c r="B510" i="93"/>
  <c r="B509" i="93"/>
  <c r="B508" i="93"/>
  <c r="B507" i="93"/>
  <c r="B506" i="93"/>
  <c r="B505" i="93"/>
  <c r="B504" i="93"/>
  <c r="B503" i="93"/>
  <c r="B502" i="93"/>
  <c r="B501" i="93"/>
  <c r="B500" i="93"/>
  <c r="B499" i="93"/>
  <c r="B498" i="93"/>
  <c r="B497" i="93"/>
  <c r="B496" i="93"/>
  <c r="B495" i="93"/>
  <c r="B494" i="93"/>
  <c r="F493" i="93"/>
  <c r="B493" i="93"/>
  <c r="B492" i="93"/>
  <c r="E491" i="93"/>
  <c r="B491" i="93"/>
  <c r="B489" i="93"/>
  <c r="F488" i="93"/>
  <c r="B488" i="93"/>
  <c r="B487" i="93"/>
  <c r="B486" i="93"/>
  <c r="B485" i="93"/>
  <c r="B484" i="93"/>
  <c r="F483" i="93"/>
  <c r="B483" i="93"/>
  <c r="B482" i="93"/>
  <c r="E481" i="93"/>
  <c r="B481" i="93"/>
  <c r="B480" i="93"/>
  <c r="B479" i="93"/>
  <c r="B478" i="93"/>
  <c r="B477" i="93"/>
  <c r="B476" i="93"/>
  <c r="B475" i="93"/>
  <c r="B474" i="93"/>
  <c r="B473" i="93"/>
  <c r="B472" i="93"/>
  <c r="B471" i="93"/>
  <c r="B470" i="93"/>
  <c r="B469" i="93"/>
  <c r="B468" i="93"/>
  <c r="B467" i="93"/>
  <c r="B466" i="93"/>
  <c r="B465" i="93"/>
  <c r="B464" i="93"/>
  <c r="B463" i="93"/>
  <c r="B462" i="93"/>
  <c r="B461" i="93"/>
  <c r="B459" i="93"/>
  <c r="B458" i="93"/>
  <c r="B457" i="93"/>
  <c r="B456" i="93"/>
  <c r="B455" i="93"/>
  <c r="B454" i="93"/>
  <c r="B453" i="93"/>
  <c r="B452" i="93"/>
  <c r="B451" i="93"/>
  <c r="B450" i="93"/>
  <c r="B449" i="93"/>
  <c r="B448" i="93"/>
  <c r="B447" i="93"/>
  <c r="B446" i="93"/>
  <c r="B445" i="93"/>
  <c r="B444" i="93"/>
  <c r="B443" i="93"/>
  <c r="B442" i="93"/>
  <c r="B441" i="93"/>
  <c r="B440" i="93"/>
  <c r="B439" i="93"/>
  <c r="B438" i="93"/>
  <c r="B437" i="93"/>
  <c r="B436" i="93"/>
  <c r="B435" i="93"/>
  <c r="B434" i="93"/>
  <c r="B433" i="93"/>
  <c r="B432" i="93"/>
  <c r="B431" i="93"/>
  <c r="B430" i="93"/>
  <c r="B429" i="93"/>
  <c r="B428" i="93"/>
  <c r="B427" i="93"/>
  <c r="F426" i="93"/>
  <c r="B426" i="93"/>
  <c r="B425" i="93"/>
  <c r="B424" i="93"/>
  <c r="B423" i="93"/>
  <c r="B422" i="93"/>
  <c r="F421" i="93"/>
  <c r="B421" i="93"/>
  <c r="B420" i="93"/>
  <c r="B419" i="93"/>
  <c r="B418" i="93"/>
  <c r="B417" i="93"/>
  <c r="B416" i="93"/>
  <c r="B415" i="93"/>
  <c r="B414" i="93"/>
  <c r="B413" i="93"/>
  <c r="B412" i="93"/>
  <c r="B411" i="93"/>
  <c r="B410" i="93"/>
  <c r="B409" i="93"/>
  <c r="B408" i="93"/>
  <c r="B407" i="93"/>
  <c r="B406" i="93"/>
  <c r="F405" i="93"/>
  <c r="B405" i="93"/>
  <c r="B404" i="93"/>
  <c r="E403" i="93"/>
  <c r="B403" i="93"/>
  <c r="B402" i="93"/>
  <c r="B401" i="93"/>
  <c r="B400" i="93"/>
  <c r="B399" i="93"/>
  <c r="B398" i="93"/>
  <c r="B397" i="93"/>
  <c r="B396" i="93"/>
  <c r="B395" i="93"/>
  <c r="B394" i="93"/>
  <c r="B393" i="93"/>
  <c r="B392" i="93"/>
  <c r="B391" i="93"/>
  <c r="B390" i="93"/>
  <c r="B389" i="93"/>
  <c r="B388" i="93"/>
  <c r="B387" i="93"/>
  <c r="B386" i="93"/>
  <c r="B385" i="93"/>
  <c r="B384" i="93"/>
  <c r="B383" i="93"/>
  <c r="B382" i="93"/>
  <c r="B381" i="93"/>
  <c r="B380" i="93"/>
  <c r="B379" i="93"/>
  <c r="B378" i="93"/>
  <c r="B376" i="93"/>
  <c r="B375" i="93"/>
  <c r="B374" i="93"/>
  <c r="B373" i="93"/>
  <c r="B372" i="93"/>
  <c r="B371" i="93"/>
  <c r="B370" i="93"/>
  <c r="B369" i="93"/>
  <c r="B368" i="93"/>
  <c r="B367" i="93"/>
  <c r="B366" i="93"/>
  <c r="B365" i="93"/>
  <c r="B364" i="93"/>
  <c r="B363" i="93"/>
  <c r="B362" i="93"/>
  <c r="B361" i="93"/>
  <c r="B360" i="93"/>
  <c r="B359" i="93"/>
  <c r="B358" i="93"/>
  <c r="B357" i="93"/>
  <c r="B356" i="93"/>
  <c r="B355" i="93"/>
  <c r="B354" i="93"/>
  <c r="B353" i="93"/>
  <c r="B352" i="93"/>
  <c r="F351" i="93"/>
  <c r="B351" i="93"/>
  <c r="B350" i="93"/>
  <c r="E349" i="93"/>
  <c r="B349" i="93"/>
  <c r="B348" i="93"/>
  <c r="B347" i="93"/>
  <c r="B346" i="93"/>
  <c r="F345" i="93"/>
  <c r="B345" i="93"/>
  <c r="B344" i="93"/>
  <c r="E343" i="93"/>
  <c r="B343" i="93"/>
  <c r="B342" i="93"/>
  <c r="B341" i="93"/>
  <c r="B340" i="93"/>
  <c r="B339" i="93"/>
  <c r="B338" i="93"/>
  <c r="B337" i="93"/>
  <c r="B336" i="93"/>
  <c r="B335" i="93"/>
  <c r="B334" i="93"/>
  <c r="B333" i="93"/>
  <c r="B332" i="93"/>
  <c r="B331" i="93"/>
  <c r="B330" i="93"/>
  <c r="B329" i="93"/>
  <c r="B328" i="93"/>
  <c r="B327" i="93"/>
  <c r="F326" i="93"/>
  <c r="B326" i="93"/>
  <c r="B325" i="93"/>
  <c r="E324" i="93"/>
  <c r="B324" i="93"/>
  <c r="B323" i="93"/>
  <c r="B322" i="93"/>
  <c r="B321" i="93"/>
  <c r="B320" i="93"/>
  <c r="B319" i="93"/>
  <c r="B318" i="93"/>
  <c r="B317" i="93"/>
  <c r="E316" i="93"/>
  <c r="B316" i="93"/>
  <c r="B315" i="93"/>
  <c r="B314" i="93"/>
  <c r="B313" i="93"/>
  <c r="B312" i="93"/>
  <c r="B311" i="93"/>
  <c r="B310" i="93"/>
  <c r="B309" i="93"/>
  <c r="B308" i="93"/>
  <c r="B307" i="93"/>
  <c r="B306" i="93"/>
  <c r="B305" i="93"/>
  <c r="B304" i="93"/>
  <c r="B303" i="93"/>
  <c r="B302" i="93"/>
  <c r="B301" i="93"/>
  <c r="B300" i="93"/>
  <c r="B299" i="93"/>
  <c r="B298" i="93"/>
  <c r="B297" i="93"/>
  <c r="B296" i="93"/>
  <c r="B295" i="93"/>
  <c r="B294" i="93"/>
  <c r="B293" i="93"/>
  <c r="B292" i="93"/>
  <c r="B291" i="93"/>
  <c r="B290" i="93"/>
  <c r="B289" i="93"/>
  <c r="B287" i="93"/>
  <c r="B286" i="93"/>
  <c r="B285" i="93"/>
  <c r="B284" i="93"/>
  <c r="B283" i="93"/>
  <c r="B282" i="93"/>
  <c r="B281" i="93"/>
  <c r="B280" i="93"/>
  <c r="B279" i="93"/>
  <c r="B278" i="93"/>
  <c r="B277" i="93"/>
  <c r="B276" i="93"/>
  <c r="B275" i="93"/>
  <c r="B274" i="93"/>
  <c r="B273" i="93"/>
  <c r="F272" i="93"/>
  <c r="B272" i="93"/>
  <c r="B271" i="93"/>
  <c r="B270" i="93"/>
  <c r="B269" i="93"/>
  <c r="B268" i="93"/>
  <c r="B267" i="93"/>
  <c r="B266" i="93"/>
  <c r="B265" i="93"/>
  <c r="B264" i="93"/>
  <c r="B263" i="93"/>
  <c r="F262" i="93"/>
  <c r="B262" i="93"/>
  <c r="B261" i="93"/>
  <c r="B260" i="93"/>
  <c r="B259" i="93"/>
  <c r="F258" i="93"/>
  <c r="B258" i="93"/>
  <c r="B257" i="93"/>
  <c r="E256" i="93"/>
  <c r="B256" i="93"/>
  <c r="B255" i="93"/>
  <c r="B254" i="93"/>
  <c r="B253" i="93"/>
  <c r="B252" i="93"/>
  <c r="B251" i="93"/>
  <c r="B250" i="93"/>
  <c r="B249" i="93"/>
  <c r="B248" i="93"/>
  <c r="B247" i="93"/>
  <c r="B246" i="93"/>
  <c r="B245" i="93"/>
  <c r="B244" i="93"/>
  <c r="B243" i="93"/>
  <c r="B242" i="93"/>
  <c r="B240" i="93"/>
  <c r="B239" i="93"/>
  <c r="B238" i="93"/>
  <c r="B237" i="93"/>
  <c r="B236" i="93"/>
  <c r="B235" i="93"/>
  <c r="B234" i="93"/>
  <c r="B233" i="93"/>
  <c r="B232" i="93"/>
  <c r="B231" i="93"/>
  <c r="B230" i="93"/>
  <c r="F229" i="93"/>
  <c r="B229" i="93"/>
  <c r="B228" i="93"/>
  <c r="E227" i="93"/>
  <c r="B227" i="93"/>
  <c r="B226" i="93"/>
  <c r="B225" i="93"/>
  <c r="B224" i="93"/>
  <c r="F223" i="93"/>
  <c r="E223" i="93"/>
  <c r="B223" i="93"/>
  <c r="B222" i="93"/>
  <c r="E221" i="93"/>
  <c r="B221" i="93"/>
  <c r="B220" i="93"/>
  <c r="F219" i="93"/>
  <c r="B219" i="93"/>
  <c r="B218" i="93"/>
  <c r="E217" i="93"/>
  <c r="B217" i="93"/>
  <c r="B216" i="93"/>
  <c r="B215" i="93"/>
  <c r="B214" i="93"/>
  <c r="B213" i="93"/>
  <c r="B212" i="93"/>
  <c r="B211" i="93"/>
  <c r="B210" i="93"/>
  <c r="B209" i="93"/>
  <c r="B208" i="93"/>
  <c r="B207" i="93"/>
  <c r="B206" i="93"/>
  <c r="B204" i="93"/>
  <c r="B202" i="93"/>
  <c r="B201" i="93"/>
  <c r="B200" i="93"/>
  <c r="B199" i="93"/>
  <c r="B198" i="93"/>
  <c r="B197" i="93"/>
  <c r="B196" i="93"/>
  <c r="E195" i="93"/>
  <c r="B195" i="93"/>
  <c r="B194" i="93"/>
  <c r="B203" i="93"/>
  <c r="F193" i="93"/>
  <c r="B193" i="93"/>
  <c r="B192" i="93"/>
  <c r="E191" i="93"/>
  <c r="B191" i="93"/>
  <c r="B189" i="93"/>
  <c r="B188" i="93"/>
  <c r="E187" i="93"/>
  <c r="B187" i="93"/>
  <c r="B186" i="93"/>
  <c r="B185" i="93"/>
  <c r="B184" i="93"/>
  <c r="B183" i="93"/>
  <c r="B182" i="93"/>
  <c r="B181" i="93"/>
  <c r="B180" i="93"/>
  <c r="B179" i="93"/>
  <c r="B178" i="93"/>
  <c r="B177" i="93"/>
  <c r="B176" i="93"/>
  <c r="B175" i="93"/>
  <c r="B174" i="93"/>
  <c r="B173" i="93"/>
  <c r="B172" i="93"/>
  <c r="B171" i="93"/>
  <c r="B169" i="93"/>
  <c r="B168" i="93"/>
  <c r="B167" i="93"/>
  <c r="B166" i="93"/>
  <c r="B165" i="93"/>
  <c r="B164" i="93"/>
  <c r="B163" i="93"/>
  <c r="B162" i="93"/>
  <c r="B161" i="93"/>
  <c r="B160" i="93"/>
  <c r="B159" i="93"/>
  <c r="B158" i="93"/>
  <c r="B157" i="93"/>
  <c r="B156" i="93"/>
  <c r="B155" i="93"/>
  <c r="B154" i="93"/>
  <c r="B153" i="93"/>
  <c r="B152" i="93"/>
  <c r="F151" i="93"/>
  <c r="B151" i="93"/>
  <c r="B150" i="93"/>
  <c r="B149" i="93"/>
  <c r="B148" i="93"/>
  <c r="B147" i="93"/>
  <c r="B146" i="93"/>
  <c r="B145" i="93"/>
  <c r="B144" i="93"/>
  <c r="B143" i="93"/>
  <c r="B142" i="93"/>
  <c r="B141" i="93"/>
  <c r="B140" i="93"/>
  <c r="E139" i="93"/>
  <c r="B139" i="93"/>
  <c r="B138" i="93"/>
  <c r="B137" i="93"/>
  <c r="B136" i="93"/>
  <c r="B135" i="93"/>
  <c r="B134" i="93"/>
  <c r="B133" i="93"/>
  <c r="B132" i="93"/>
  <c r="B131" i="93"/>
  <c r="B130" i="93"/>
  <c r="B129" i="93"/>
  <c r="B128" i="93"/>
  <c r="B127" i="93"/>
  <c r="B126" i="93"/>
  <c r="B125" i="93"/>
  <c r="B124" i="93"/>
  <c r="B123" i="93"/>
  <c r="B122" i="93"/>
  <c r="B121" i="93"/>
  <c r="B120" i="93"/>
  <c r="B119" i="93"/>
  <c r="B118" i="93"/>
  <c r="B117" i="93"/>
  <c r="B116" i="93"/>
  <c r="B115" i="93"/>
  <c r="B114" i="93"/>
  <c r="B112" i="93"/>
  <c r="B111" i="93"/>
  <c r="B110" i="93"/>
  <c r="B109" i="93"/>
  <c r="B108" i="93"/>
  <c r="B107" i="93"/>
  <c r="B106" i="93"/>
  <c r="B105" i="93"/>
  <c r="B104" i="93"/>
  <c r="B103" i="93"/>
  <c r="B102" i="93"/>
  <c r="B101" i="93"/>
  <c r="B100" i="93"/>
  <c r="B99" i="93"/>
  <c r="B98" i="93"/>
  <c r="B97" i="93"/>
  <c r="B96" i="93"/>
  <c r="B95" i="93"/>
  <c r="E94" i="93"/>
  <c r="B94" i="93"/>
  <c r="B93" i="93"/>
  <c r="B92" i="93"/>
  <c r="B91" i="93"/>
  <c r="F90" i="93"/>
  <c r="B90" i="93"/>
  <c r="B89" i="93"/>
  <c r="B88" i="93"/>
  <c r="B87" i="93"/>
  <c r="B86" i="93"/>
  <c r="B85" i="93"/>
  <c r="E84" i="93"/>
  <c r="B84" i="93"/>
  <c r="B83" i="93"/>
  <c r="B82" i="93"/>
  <c r="B81" i="93"/>
  <c r="B80" i="93"/>
  <c r="B79" i="93"/>
  <c r="B78" i="93"/>
  <c r="B77" i="93"/>
  <c r="B76" i="93"/>
  <c r="B75" i="93"/>
  <c r="B74" i="93"/>
  <c r="B73" i="93"/>
  <c r="B72" i="93"/>
  <c r="B71" i="93"/>
  <c r="B70" i="93"/>
  <c r="B69" i="93"/>
  <c r="B68" i="93"/>
  <c r="B67" i="93"/>
  <c r="B66" i="93"/>
  <c r="B65" i="93"/>
  <c r="B64" i="93"/>
  <c r="B63" i="93"/>
  <c r="B62" i="93"/>
  <c r="B60" i="93"/>
  <c r="B59" i="93"/>
  <c r="B58" i="93"/>
  <c r="B57" i="93"/>
  <c r="B56" i="93"/>
  <c r="B55" i="93"/>
  <c r="B54" i="93"/>
  <c r="B53" i="93"/>
  <c r="B52" i="93"/>
  <c r="B51" i="93"/>
  <c r="B50" i="93"/>
  <c r="B49" i="93"/>
  <c r="B48" i="93"/>
  <c r="B47" i="93"/>
  <c r="B46" i="93"/>
  <c r="B45" i="93"/>
  <c r="B44" i="93"/>
  <c r="B43" i="93"/>
  <c r="E42" i="93"/>
  <c r="B42" i="93"/>
  <c r="B41" i="93"/>
  <c r="F38" i="93"/>
  <c r="B38" i="93"/>
  <c r="B37" i="93"/>
  <c r="B36" i="93"/>
  <c r="B34" i="93"/>
  <c r="B33" i="93"/>
  <c r="E32" i="93"/>
  <c r="B32" i="93"/>
  <c r="E30" i="93"/>
  <c r="B30" i="93"/>
  <c r="B29" i="93"/>
  <c r="B28" i="93"/>
  <c r="B40" i="93"/>
  <c r="B27" i="93"/>
  <c r="B26" i="93"/>
  <c r="B25" i="93"/>
  <c r="B24" i="93"/>
  <c r="B23" i="93"/>
  <c r="B22" i="93"/>
  <c r="B21" i="93"/>
  <c r="B20" i="93"/>
  <c r="B18" i="93"/>
  <c r="B17" i="93"/>
  <c r="B16" i="93"/>
  <c r="B15" i="93"/>
  <c r="B14" i="93"/>
  <c r="B13" i="93"/>
  <c r="B12" i="93"/>
  <c r="B11" i="93"/>
  <c r="B10" i="93"/>
  <c r="B9" i="93"/>
  <c r="B7" i="93"/>
  <c r="B6" i="93"/>
  <c r="B5" i="93"/>
  <c r="B4" i="93"/>
  <c r="F54" i="121"/>
  <c r="E54" i="121"/>
  <c r="E51" i="121"/>
  <c r="E50" i="121"/>
  <c r="D50" i="121"/>
  <c r="F43" i="121"/>
  <c r="F42" i="121"/>
  <c r="B32" i="121"/>
  <c r="F31" i="121"/>
  <c r="B27" i="121"/>
  <c r="F26" i="121"/>
  <c r="B26" i="121"/>
  <c r="F25" i="121"/>
  <c r="F19" i="121"/>
  <c r="B19" i="121"/>
  <c r="E18" i="121"/>
  <c r="B18" i="121"/>
  <c r="F17" i="121"/>
  <c r="F16" i="121"/>
  <c r="B12" i="121"/>
  <c r="F11" i="121"/>
  <c r="B8" i="121"/>
  <c r="B4" i="121"/>
  <c r="B3" i="121"/>
  <c r="D476" i="21"/>
  <c r="F472" i="21"/>
  <c r="E471" i="21"/>
  <c r="E470" i="21"/>
  <c r="D470" i="21"/>
  <c r="B468" i="21"/>
  <c r="B467" i="21"/>
  <c r="B463" i="21"/>
  <c r="B461" i="21"/>
  <c r="B459" i="21"/>
  <c r="F458" i="21"/>
  <c r="B453" i="21"/>
  <c r="F452" i="21"/>
  <c r="B446" i="21"/>
  <c r="B442" i="21"/>
  <c r="B441" i="21"/>
  <c r="B439" i="21"/>
  <c r="B438" i="21"/>
  <c r="F437" i="21"/>
  <c r="B435" i="21"/>
  <c r="B434" i="21"/>
  <c r="F433" i="21"/>
  <c r="B433" i="21"/>
  <c r="F432" i="21"/>
  <c r="B430" i="21"/>
  <c r="B429" i="21"/>
  <c r="B428" i="21"/>
  <c r="F427" i="21"/>
  <c r="B427" i="21"/>
  <c r="F426" i="21"/>
  <c r="B425" i="21"/>
  <c r="B423" i="21"/>
  <c r="E422" i="21"/>
  <c r="B422" i="21"/>
  <c r="B421" i="21"/>
  <c r="B420" i="21"/>
  <c r="B419" i="21"/>
  <c r="B418" i="21"/>
  <c r="B417" i="21"/>
  <c r="F416" i="21"/>
  <c r="B415" i="21"/>
  <c r="B414" i="21"/>
  <c r="B413" i="21"/>
  <c r="B412" i="21"/>
  <c r="B411" i="21"/>
  <c r="B410" i="21"/>
  <c r="B409" i="21"/>
  <c r="B407" i="21"/>
  <c r="B406" i="21"/>
  <c r="B405" i="21"/>
  <c r="B404" i="21"/>
  <c r="F403" i="21"/>
  <c r="B403" i="21"/>
  <c r="F402" i="21"/>
  <c r="B401" i="21"/>
  <c r="B400" i="21"/>
  <c r="B399" i="21"/>
  <c r="B398" i="21"/>
  <c r="B397" i="21"/>
  <c r="B396" i="21"/>
  <c r="B394" i="21"/>
  <c r="B393" i="21"/>
  <c r="B392" i="21"/>
  <c r="B391" i="21"/>
  <c r="B390" i="21"/>
  <c r="B389" i="21"/>
  <c r="F388" i="21"/>
  <c r="B388" i="21"/>
  <c r="F387" i="21"/>
  <c r="E386" i="21"/>
  <c r="B386" i="21"/>
  <c r="B385" i="21"/>
  <c r="B384" i="21"/>
  <c r="B383" i="21"/>
  <c r="B382" i="21"/>
  <c r="F381" i="21"/>
  <c r="B381" i="21"/>
  <c r="B380" i="21"/>
  <c r="B378" i="21"/>
  <c r="B377" i="21"/>
  <c r="B376" i="21"/>
  <c r="B375" i="21"/>
  <c r="B374" i="21"/>
  <c r="F373" i="21"/>
  <c r="B373" i="21"/>
  <c r="F372" i="21"/>
  <c r="E371" i="21"/>
  <c r="B371" i="21"/>
  <c r="B370" i="21"/>
  <c r="B369" i="21"/>
  <c r="F368" i="21"/>
  <c r="B368" i="21"/>
  <c r="B366" i="21"/>
  <c r="B365" i="21"/>
  <c r="F364" i="21"/>
  <c r="B364" i="21"/>
  <c r="F363" i="21"/>
  <c r="E362" i="21"/>
  <c r="B362" i="21"/>
  <c r="B361" i="21"/>
  <c r="B359" i="21"/>
  <c r="B358" i="21"/>
  <c r="B357" i="21"/>
  <c r="B356" i="21"/>
  <c r="F355" i="21"/>
  <c r="B355" i="21"/>
  <c r="F354" i="21"/>
  <c r="B353" i="21"/>
  <c r="B352" i="21"/>
  <c r="B351" i="21"/>
  <c r="B349" i="21"/>
  <c r="B348" i="21"/>
  <c r="B347" i="21"/>
  <c r="B346" i="21"/>
  <c r="F345" i="21"/>
  <c r="B345" i="21"/>
  <c r="F344" i="21"/>
  <c r="B343" i="21"/>
  <c r="B342" i="21"/>
  <c r="B340" i="21"/>
  <c r="B339" i="21"/>
  <c r="B338" i="21"/>
  <c r="F337" i="21"/>
  <c r="B337" i="21"/>
  <c r="F336" i="21"/>
  <c r="B335" i="21"/>
  <c r="B334" i="21"/>
  <c r="B333" i="21"/>
  <c r="B332" i="21"/>
  <c r="B331" i="21"/>
  <c r="B330" i="21"/>
  <c r="B329" i="21"/>
  <c r="B327" i="21"/>
  <c r="B326" i="21"/>
  <c r="B325" i="21"/>
  <c r="F324" i="21"/>
  <c r="B324" i="21"/>
  <c r="F323" i="21"/>
  <c r="B322" i="21"/>
  <c r="B321" i="21"/>
  <c r="B320" i="21"/>
  <c r="F319" i="21"/>
  <c r="B319" i="21"/>
  <c r="E318" i="21"/>
  <c r="B318" i="21"/>
  <c r="B317" i="21"/>
  <c r="B315" i="21"/>
  <c r="B314" i="21"/>
  <c r="F313" i="21"/>
  <c r="B313" i="21"/>
  <c r="F312" i="21"/>
  <c r="B311" i="21"/>
  <c r="B310" i="21"/>
  <c r="B309" i="21"/>
  <c r="F307" i="21"/>
  <c r="B307" i="21"/>
  <c r="F306" i="21"/>
  <c r="B305" i="21"/>
  <c r="B304" i="21"/>
  <c r="B303" i="21"/>
  <c r="B302" i="21"/>
  <c r="B301" i="21"/>
  <c r="B300" i="21"/>
  <c r="B299" i="21"/>
  <c r="B298" i="21"/>
  <c r="B297" i="21"/>
  <c r="B296" i="21"/>
  <c r="B295" i="21"/>
  <c r="B294" i="21"/>
  <c r="B293" i="21"/>
  <c r="B292" i="21"/>
  <c r="B291" i="21"/>
  <c r="B290" i="21"/>
  <c r="B289" i="21"/>
  <c r="B287" i="21"/>
  <c r="B286" i="21"/>
  <c r="B285" i="21"/>
  <c r="F284" i="21"/>
  <c r="B283" i="21"/>
  <c r="F282" i="21"/>
  <c r="B282" i="21"/>
  <c r="B281" i="21"/>
  <c r="E280" i="21"/>
  <c r="B280" i="21"/>
  <c r="B279" i="21"/>
  <c r="B278" i="21"/>
  <c r="B277" i="21"/>
  <c r="B276" i="21"/>
  <c r="B275" i="21"/>
  <c r="B274" i="21"/>
  <c r="B273" i="21"/>
  <c r="B272" i="21"/>
  <c r="B271" i="21"/>
  <c r="B270" i="21"/>
  <c r="B269" i="21"/>
  <c r="F268" i="21"/>
  <c r="B268" i="21"/>
  <c r="E267" i="21"/>
  <c r="B267" i="21"/>
  <c r="B266" i="21"/>
  <c r="B265" i="21"/>
  <c r="B264" i="21"/>
  <c r="B262" i="21"/>
  <c r="B261" i="21"/>
  <c r="B260" i="21"/>
  <c r="B259" i="21"/>
  <c r="B258" i="21"/>
  <c r="B257" i="21"/>
  <c r="B256" i="21"/>
  <c r="B255" i="21"/>
  <c r="B254" i="21"/>
  <c r="B253" i="21"/>
  <c r="B252" i="21"/>
  <c r="B251" i="21"/>
  <c r="B250" i="21"/>
  <c r="B249" i="21"/>
  <c r="B248" i="21"/>
  <c r="B247" i="21"/>
  <c r="B246" i="21"/>
  <c r="B245" i="21"/>
  <c r="B244" i="21"/>
  <c r="B243" i="21"/>
  <c r="B242" i="21"/>
  <c r="F241" i="21"/>
  <c r="B241" i="21"/>
  <c r="F240" i="21"/>
  <c r="B239" i="21"/>
  <c r="B238" i="21"/>
  <c r="B237" i="21"/>
  <c r="B236" i="21"/>
  <c r="B235" i="21"/>
  <c r="B234" i="21"/>
  <c r="B233" i="21"/>
  <c r="B232" i="21"/>
  <c r="B231" i="21"/>
  <c r="B230" i="21"/>
  <c r="B229" i="21"/>
  <c r="B228" i="21"/>
  <c r="B227" i="21"/>
  <c r="B226" i="21"/>
  <c r="B225" i="21"/>
  <c r="B224" i="21"/>
  <c r="B223" i="21"/>
  <c r="B222" i="21"/>
  <c r="B221" i="21"/>
  <c r="B220" i="21"/>
  <c r="B218" i="21"/>
  <c r="B217" i="21"/>
  <c r="B216" i="21"/>
  <c r="B215" i="21"/>
  <c r="B214" i="21"/>
  <c r="B213" i="21"/>
  <c r="B212" i="21"/>
  <c r="B211" i="21"/>
  <c r="B210" i="21"/>
  <c r="B209" i="21"/>
  <c r="B208" i="21"/>
  <c r="F207" i="21"/>
  <c r="B206" i="21"/>
  <c r="B205" i="21"/>
  <c r="B204" i="21"/>
  <c r="B203" i="21"/>
  <c r="B202" i="21"/>
  <c r="B201" i="21"/>
  <c r="B200" i="21"/>
  <c r="B199" i="21"/>
  <c r="B198" i="21"/>
  <c r="B197" i="21"/>
  <c r="B196" i="21"/>
  <c r="B195" i="21"/>
  <c r="B194" i="21"/>
  <c r="B193" i="21"/>
  <c r="B192" i="21"/>
  <c r="F190" i="21"/>
  <c r="B190" i="21"/>
  <c r="B189" i="21"/>
  <c r="B188" i="21"/>
  <c r="B187" i="21"/>
  <c r="B186" i="21"/>
  <c r="B185" i="21"/>
  <c r="B184" i="21"/>
  <c r="B183" i="21"/>
  <c r="E182" i="21"/>
  <c r="B182" i="21"/>
  <c r="E181" i="21"/>
  <c r="B181" i="21"/>
  <c r="B180" i="21"/>
  <c r="B179" i="21"/>
  <c r="B178" i="21"/>
  <c r="B177" i="21"/>
  <c r="B176" i="21"/>
  <c r="B175" i="21"/>
  <c r="B174" i="21"/>
  <c r="B173" i="21"/>
  <c r="B172" i="21"/>
  <c r="B171" i="21"/>
  <c r="B170" i="21"/>
  <c r="B169" i="21"/>
  <c r="B168" i="21"/>
  <c r="B167" i="21"/>
  <c r="B165" i="21"/>
  <c r="B164" i="21"/>
  <c r="B163" i="21"/>
  <c r="B162" i="21"/>
  <c r="B161" i="21"/>
  <c r="B160" i="21"/>
  <c r="B159" i="21"/>
  <c r="B156" i="21"/>
  <c r="B154" i="21"/>
  <c r="B153" i="21"/>
  <c r="B152" i="21"/>
  <c r="B150" i="21"/>
  <c r="B149" i="21"/>
  <c r="B147" i="21"/>
  <c r="B146" i="21"/>
  <c r="E144" i="21"/>
  <c r="B142" i="21"/>
  <c r="B139" i="21"/>
  <c r="B138" i="21"/>
  <c r="B135" i="21"/>
  <c r="F130" i="21"/>
  <c r="B128" i="21"/>
  <c r="F127" i="21"/>
  <c r="B125" i="21"/>
  <c r="B124" i="21"/>
  <c r="F123" i="21"/>
  <c r="B122" i="21"/>
  <c r="B120" i="21"/>
  <c r="F119" i="21"/>
  <c r="B117" i="21"/>
  <c r="F116" i="21"/>
  <c r="B115" i="21"/>
  <c r="B113" i="21"/>
  <c r="F112" i="21"/>
  <c r="B111" i="21"/>
  <c r="B109" i="21"/>
  <c r="F108" i="21"/>
  <c r="B107" i="21"/>
  <c r="B104" i="21"/>
  <c r="B100" i="21"/>
  <c r="F99" i="21"/>
  <c r="B97" i="21"/>
  <c r="F96" i="21"/>
  <c r="B95" i="21"/>
  <c r="E93" i="21"/>
  <c r="B93" i="21"/>
  <c r="E92" i="21"/>
  <c r="B92" i="21"/>
  <c r="B91" i="21"/>
  <c r="B90" i="21"/>
  <c r="F89" i="21"/>
  <c r="B87" i="21"/>
  <c r="F86" i="21"/>
  <c r="B85" i="21"/>
  <c r="B83" i="21"/>
  <c r="F82" i="21"/>
  <c r="B81" i="21"/>
  <c r="B79" i="21"/>
  <c r="B78" i="21"/>
  <c r="F77" i="21"/>
  <c r="B76" i="21"/>
  <c r="B75" i="21"/>
  <c r="B74" i="21"/>
  <c r="B72" i="21"/>
  <c r="B71" i="21"/>
  <c r="F70" i="21"/>
  <c r="B69" i="21"/>
  <c r="B67" i="21"/>
  <c r="B66" i="21"/>
  <c r="F65" i="21"/>
  <c r="B64" i="21"/>
  <c r="B62" i="21"/>
  <c r="B61" i="21"/>
  <c r="F60" i="21"/>
  <c r="B59" i="21"/>
  <c r="B57" i="21"/>
  <c r="B56" i="21"/>
  <c r="F55" i="21"/>
  <c r="B54" i="21"/>
  <c r="B52" i="21"/>
  <c r="B51" i="21"/>
  <c r="F50" i="21"/>
  <c r="B49" i="21"/>
  <c r="B47" i="21"/>
  <c r="B46" i="21"/>
  <c r="F45" i="21"/>
  <c r="B44" i="21"/>
  <c r="B42" i="21"/>
  <c r="B41" i="21"/>
  <c r="B40" i="21"/>
  <c r="F39" i="21"/>
  <c r="B38" i="21"/>
  <c r="B36" i="21"/>
  <c r="B35" i="21"/>
  <c r="B34" i="21"/>
  <c r="F33" i="21"/>
  <c r="B31" i="21"/>
  <c r="B30" i="21"/>
  <c r="B29" i="21"/>
  <c r="F28" i="21"/>
  <c r="B27" i="21"/>
  <c r="B25" i="21"/>
  <c r="B24" i="21"/>
  <c r="F23" i="21"/>
  <c r="B22" i="21"/>
  <c r="B21" i="21"/>
  <c r="B19" i="21"/>
  <c r="B18" i="21"/>
  <c r="F17" i="21"/>
  <c r="B16" i="21"/>
  <c r="B15" i="21"/>
  <c r="B13" i="21"/>
  <c r="F12" i="21"/>
  <c r="B11" i="21"/>
  <c r="B10" i="21"/>
  <c r="F9" i="21"/>
  <c r="B8" i="21"/>
  <c r="B7" i="21"/>
  <c r="F6" i="21"/>
  <c r="B5" i="21"/>
  <c r="B3" i="21"/>
  <c r="D1426" i="20"/>
  <c r="C1426" i="20"/>
  <c r="E1422" i="20"/>
  <c r="B1416" i="20"/>
  <c r="B1415" i="20"/>
  <c r="F1414" i="20"/>
  <c r="B1411" i="20"/>
  <c r="F1410" i="20"/>
  <c r="E1409" i="20"/>
  <c r="B1409" i="20"/>
  <c r="B1407" i="20"/>
  <c r="E1405" i="20"/>
  <c r="B1405" i="20"/>
  <c r="B1403" i="20"/>
  <c r="F1402" i="20"/>
  <c r="E1401" i="20"/>
  <c r="B1401" i="20"/>
  <c r="B1399" i="20"/>
  <c r="F1398" i="20"/>
  <c r="E1397" i="20"/>
  <c r="B1397" i="20"/>
  <c r="E1395" i="20"/>
  <c r="B1395" i="20"/>
  <c r="B1394" i="20"/>
  <c r="F1393" i="20"/>
  <c r="E1391" i="20"/>
  <c r="B1391" i="20"/>
  <c r="E1389" i="20"/>
  <c r="B1389" i="20"/>
  <c r="F1388" i="20"/>
  <c r="B1388" i="20"/>
  <c r="F1387" i="20"/>
  <c r="E1386" i="20"/>
  <c r="B1386" i="20"/>
  <c r="E1384" i="20"/>
  <c r="B1384" i="20"/>
  <c r="F1383" i="20"/>
  <c r="B1383" i="20"/>
  <c r="F1382" i="20"/>
  <c r="E1381" i="20"/>
  <c r="B1381" i="20"/>
  <c r="E1379" i="20"/>
  <c r="B1379" i="20"/>
  <c r="F1378" i="20"/>
  <c r="B1378" i="20"/>
  <c r="F1377" i="20"/>
  <c r="E1376" i="20"/>
  <c r="B1376" i="20"/>
  <c r="E1375" i="20"/>
  <c r="B1375" i="20"/>
  <c r="B1374" i="20"/>
  <c r="E1372" i="20"/>
  <c r="B1372" i="20"/>
  <c r="F1371" i="20"/>
  <c r="B1371" i="20"/>
  <c r="F1370" i="20"/>
  <c r="E1369" i="20"/>
  <c r="B1369" i="20"/>
  <c r="B1368" i="20"/>
  <c r="E1367" i="20"/>
  <c r="B1367" i="20"/>
  <c r="E1366" i="20"/>
  <c r="B1366" i="20"/>
  <c r="B1365" i="20"/>
  <c r="B1364" i="20"/>
  <c r="E1362" i="20"/>
  <c r="B1362" i="20"/>
  <c r="F1361" i="20"/>
  <c r="B1361" i="20"/>
  <c r="F1360" i="20"/>
  <c r="E1359" i="20"/>
  <c r="B1359" i="20"/>
  <c r="E1358" i="20"/>
  <c r="B1358" i="20"/>
  <c r="E1357" i="20"/>
  <c r="B1357" i="20"/>
  <c r="B1356" i="20"/>
  <c r="B1355" i="20"/>
  <c r="E1353" i="20"/>
  <c r="B1353" i="20"/>
  <c r="B1352" i="20"/>
  <c r="B1351" i="20"/>
  <c r="F1350" i="20"/>
  <c r="B1350" i="20"/>
  <c r="F1349" i="20"/>
  <c r="B1348" i="20"/>
  <c r="B1347" i="20"/>
  <c r="B1346" i="20"/>
  <c r="E1345" i="20"/>
  <c r="B1345" i="20"/>
  <c r="B1343" i="20"/>
  <c r="E1342" i="20"/>
  <c r="B1342" i="20"/>
  <c r="F1341" i="20"/>
  <c r="B1341" i="20"/>
  <c r="F1340" i="20"/>
  <c r="B1339" i="20"/>
  <c r="B1338" i="20"/>
  <c r="B1337" i="20"/>
  <c r="B1336" i="20"/>
  <c r="E1335" i="20"/>
  <c r="B1335" i="20"/>
  <c r="B1334" i="20"/>
  <c r="B1333" i="20"/>
  <c r="B1332" i="20"/>
  <c r="E1331" i="20"/>
  <c r="B1331" i="20"/>
  <c r="B1330" i="20"/>
  <c r="B1328" i="20"/>
  <c r="E1327" i="20"/>
  <c r="B1327" i="20"/>
  <c r="B1326" i="20"/>
  <c r="B1325" i="20"/>
  <c r="F1324" i="20"/>
  <c r="B1324" i="20"/>
  <c r="F1323" i="20"/>
  <c r="B1322" i="20"/>
  <c r="B1321" i="20"/>
  <c r="B1320" i="20"/>
  <c r="B1319" i="20"/>
  <c r="B1318" i="20"/>
  <c r="B1317" i="20"/>
  <c r="B1316" i="20"/>
  <c r="B1315" i="20"/>
  <c r="B1314" i="20"/>
  <c r="B1313" i="20"/>
  <c r="B1312" i="20"/>
  <c r="B1311" i="20"/>
  <c r="B1310" i="20"/>
  <c r="B1309" i="20"/>
  <c r="B1308" i="20"/>
  <c r="B1307" i="20"/>
  <c r="B1306" i="20"/>
  <c r="B1305" i="20"/>
  <c r="B1304" i="20"/>
  <c r="B1303" i="20"/>
  <c r="B1302" i="20"/>
  <c r="B1301" i="20"/>
  <c r="B1299" i="20"/>
  <c r="B1298" i="20"/>
  <c r="E1297" i="20"/>
  <c r="B1297" i="20"/>
  <c r="B1296" i="20"/>
  <c r="F1295" i="20"/>
  <c r="B1295" i="20"/>
  <c r="F1294" i="20"/>
  <c r="B1293" i="20"/>
  <c r="B1292" i="20"/>
  <c r="B1291" i="20"/>
  <c r="B1290" i="20"/>
  <c r="B1289" i="20"/>
  <c r="B1287" i="20"/>
  <c r="B1286" i="20"/>
  <c r="B1285" i="20"/>
  <c r="B1284" i="20"/>
  <c r="B1283" i="20"/>
  <c r="B1282" i="20"/>
  <c r="B1281" i="20"/>
  <c r="F1280" i="20"/>
  <c r="B1280" i="20"/>
  <c r="F1279" i="20"/>
  <c r="B1278" i="20"/>
  <c r="B1277" i="20"/>
  <c r="B1276" i="20"/>
  <c r="B1275" i="20"/>
  <c r="B1274" i="20"/>
  <c r="B1272" i="20"/>
  <c r="E1271" i="20"/>
  <c r="B1271" i="20"/>
  <c r="B1270" i="20"/>
  <c r="B1269" i="20"/>
  <c r="B1268" i="20"/>
  <c r="B1267" i="20"/>
  <c r="B1266" i="20"/>
  <c r="B1265" i="20"/>
  <c r="F1264" i="20"/>
  <c r="B1264" i="20"/>
  <c r="F1263" i="20"/>
  <c r="B1262" i="20"/>
  <c r="B1261" i="20"/>
  <c r="B1260" i="20"/>
  <c r="B1259" i="20"/>
  <c r="B1258" i="20"/>
  <c r="B1257" i="20"/>
  <c r="B1256" i="20"/>
  <c r="B1255" i="20"/>
  <c r="B1254" i="20"/>
  <c r="B1252" i="20"/>
  <c r="B1251" i="20"/>
  <c r="E1250" i="20"/>
  <c r="B1250" i="20"/>
  <c r="B1249" i="20"/>
  <c r="B1248" i="20"/>
  <c r="B1247" i="20"/>
  <c r="B1246" i="20"/>
  <c r="B1245" i="20"/>
  <c r="B1244" i="20"/>
  <c r="B1243" i="20"/>
  <c r="B1242" i="20"/>
  <c r="B1241" i="20"/>
  <c r="F1240" i="20"/>
  <c r="B1240" i="20"/>
  <c r="F1239" i="20"/>
  <c r="B1238" i="20"/>
  <c r="F1237" i="20"/>
  <c r="B1237" i="20"/>
  <c r="B1236" i="20"/>
  <c r="B1235" i="20"/>
  <c r="B1234" i="20"/>
  <c r="B1233" i="20"/>
  <c r="B1232" i="20"/>
  <c r="B1231" i="20"/>
  <c r="B1230" i="20"/>
  <c r="B1229" i="20"/>
  <c r="B1228" i="20"/>
  <c r="B1227" i="20"/>
  <c r="B1226" i="20"/>
  <c r="B1224" i="20"/>
  <c r="B1223" i="20"/>
  <c r="B1222" i="20"/>
  <c r="B1221" i="20"/>
  <c r="B1220" i="20"/>
  <c r="B1219" i="20"/>
  <c r="B1218" i="20"/>
  <c r="B1217" i="20"/>
  <c r="B1216" i="20"/>
  <c r="B1215" i="20"/>
  <c r="B1214" i="20"/>
  <c r="B1213" i="20"/>
  <c r="E1212" i="20"/>
  <c r="B1212" i="20"/>
  <c r="B1211" i="20"/>
  <c r="B1210" i="20"/>
  <c r="B1209" i="20"/>
  <c r="B1208" i="20"/>
  <c r="B1207" i="20"/>
  <c r="B1206" i="20"/>
  <c r="B1205" i="20"/>
  <c r="B1204" i="20"/>
  <c r="B1203" i="20"/>
  <c r="B1202" i="20"/>
  <c r="B1201" i="20"/>
  <c r="B1200" i="20"/>
  <c r="B1199" i="20"/>
  <c r="B1198" i="20"/>
  <c r="B1197" i="20"/>
  <c r="B1196" i="20"/>
  <c r="B1195" i="20"/>
  <c r="B1194" i="20"/>
  <c r="B1193" i="20"/>
  <c r="B1192" i="20"/>
  <c r="B1191" i="20"/>
  <c r="B1190" i="20"/>
  <c r="B1189" i="20"/>
  <c r="B1188" i="20"/>
  <c r="B1187" i="20"/>
  <c r="B1186" i="20"/>
  <c r="B1185" i="20"/>
  <c r="B1184" i="20"/>
  <c r="F1183" i="20"/>
  <c r="B1183" i="20"/>
  <c r="F1182" i="20"/>
  <c r="B1181" i="20"/>
  <c r="B1180" i="20"/>
  <c r="B1179" i="20"/>
  <c r="B1178" i="20"/>
  <c r="B1177" i="20"/>
  <c r="B1176" i="20"/>
  <c r="B1175" i="20"/>
  <c r="B1174" i="20"/>
  <c r="B1173" i="20"/>
  <c r="B1172" i="20"/>
  <c r="B1171" i="20"/>
  <c r="B1170" i="20"/>
  <c r="B1169" i="20"/>
  <c r="B1168" i="20"/>
  <c r="B1167" i="20"/>
  <c r="B1166" i="20"/>
  <c r="B1165" i="20"/>
  <c r="B1164" i="20"/>
  <c r="B1163" i="20"/>
  <c r="B1162" i="20"/>
  <c r="B1161" i="20"/>
  <c r="B1160" i="20"/>
  <c r="B1159" i="20"/>
  <c r="B1158" i="20"/>
  <c r="B1157" i="20"/>
  <c r="B1155" i="20"/>
  <c r="B1154" i="20"/>
  <c r="B1153" i="20"/>
  <c r="B1152" i="20"/>
  <c r="B1151" i="20"/>
  <c r="B1150" i="20"/>
  <c r="B1149" i="20"/>
  <c r="B1148" i="20"/>
  <c r="B1147" i="20"/>
  <c r="B1146" i="20"/>
  <c r="B1145" i="20"/>
  <c r="B1144" i="20"/>
  <c r="B1143" i="20"/>
  <c r="B1142" i="20"/>
  <c r="B1141" i="20"/>
  <c r="B1140" i="20"/>
  <c r="B1139" i="20"/>
  <c r="B1138" i="20"/>
  <c r="B1137" i="20"/>
  <c r="B1136" i="20"/>
  <c r="B1135" i="20"/>
  <c r="B1134" i="20"/>
  <c r="B1133" i="20"/>
  <c r="B1132" i="20"/>
  <c r="B1131" i="20"/>
  <c r="F1130" i="20"/>
  <c r="B1130" i="20"/>
  <c r="F1129" i="20"/>
  <c r="B1128" i="20"/>
  <c r="B1127" i="20"/>
  <c r="B1126" i="20"/>
  <c r="B1125" i="20"/>
  <c r="B1124" i="20"/>
  <c r="B1123" i="20"/>
  <c r="B1122" i="20"/>
  <c r="B1121" i="20"/>
  <c r="B1120" i="20"/>
  <c r="B1119" i="20"/>
  <c r="B1118" i="20"/>
  <c r="B1117" i="20"/>
  <c r="B1116" i="20"/>
  <c r="B1115" i="20"/>
  <c r="B1114" i="20"/>
  <c r="B1113" i="20"/>
  <c r="B1112" i="20"/>
  <c r="B1111" i="20"/>
  <c r="B1110" i="20"/>
  <c r="B1109" i="20"/>
  <c r="B1108" i="20"/>
  <c r="B1107" i="20"/>
  <c r="B1106" i="20"/>
  <c r="B1105" i="20"/>
  <c r="B1104" i="20"/>
  <c r="B1103" i="20"/>
  <c r="B1102" i="20"/>
  <c r="B1101" i="20"/>
  <c r="B1100" i="20"/>
  <c r="B1099" i="20"/>
  <c r="B1098" i="20"/>
  <c r="B1097" i="20"/>
  <c r="B1096" i="20"/>
  <c r="F1095" i="20"/>
  <c r="B1095" i="20"/>
  <c r="B1094" i="20"/>
  <c r="B1093" i="20"/>
  <c r="B1092" i="20"/>
  <c r="B1091" i="20"/>
  <c r="B1089" i="20"/>
  <c r="B1088" i="20"/>
  <c r="B1087" i="20"/>
  <c r="B1086" i="20"/>
  <c r="B1085" i="20"/>
  <c r="B1084" i="20"/>
  <c r="B1083" i="20"/>
  <c r="B1082" i="20"/>
  <c r="B1081" i="20"/>
  <c r="B1080" i="20"/>
  <c r="B1079" i="20"/>
  <c r="B1078" i="20"/>
  <c r="B1077" i="20"/>
  <c r="B1076" i="20"/>
  <c r="B1075" i="20"/>
  <c r="B1074" i="20"/>
  <c r="B1073" i="20"/>
  <c r="B1072" i="20"/>
  <c r="B1071" i="20"/>
  <c r="B1070" i="20"/>
  <c r="B1069" i="20"/>
  <c r="B1068" i="20"/>
  <c r="B1067" i="20"/>
  <c r="B1066" i="20"/>
  <c r="B1065" i="20"/>
  <c r="B1064" i="20"/>
  <c r="B1063" i="20"/>
  <c r="B1062" i="20"/>
  <c r="B1061" i="20"/>
  <c r="B1060" i="20"/>
  <c r="B1059" i="20"/>
  <c r="B1058" i="20"/>
  <c r="B1057" i="20"/>
  <c r="B1056" i="20"/>
  <c r="B1055" i="20"/>
  <c r="B1054" i="20"/>
  <c r="B1053" i="20"/>
  <c r="B1052" i="20"/>
  <c r="B1051" i="20"/>
  <c r="B1050" i="20"/>
  <c r="F1049" i="20"/>
  <c r="B1049" i="20"/>
  <c r="B1048" i="20"/>
  <c r="B1047" i="20"/>
  <c r="B1046" i="20"/>
  <c r="B1045" i="20"/>
  <c r="F1044" i="20"/>
  <c r="B1044" i="20"/>
  <c r="F1043" i="20"/>
  <c r="B1042" i="20"/>
  <c r="B1041" i="20"/>
  <c r="B1040" i="20"/>
  <c r="B1039" i="20"/>
  <c r="B1038" i="20"/>
  <c r="B1037" i="20"/>
  <c r="B1036" i="20"/>
  <c r="B1035" i="20"/>
  <c r="B1034" i="20"/>
  <c r="B1033" i="20"/>
  <c r="B1032" i="20"/>
  <c r="B1031" i="20"/>
  <c r="B1030" i="20"/>
  <c r="F1029" i="20"/>
  <c r="B1029" i="20"/>
  <c r="B1028" i="20"/>
  <c r="B1027" i="20"/>
  <c r="B1026" i="20"/>
  <c r="E1025" i="20"/>
  <c r="B1025" i="20"/>
  <c r="B1024" i="20"/>
  <c r="B1023" i="20"/>
  <c r="B1021" i="20"/>
  <c r="B1020" i="20"/>
  <c r="B1019" i="20"/>
  <c r="B1018" i="20"/>
  <c r="B1017" i="20"/>
  <c r="B1016" i="20"/>
  <c r="B1015" i="20"/>
  <c r="B1014" i="20"/>
  <c r="B1013" i="20"/>
  <c r="B1012" i="20"/>
  <c r="B1011" i="20"/>
  <c r="E1010" i="20"/>
  <c r="B1010" i="20"/>
  <c r="E1009" i="20"/>
  <c r="B1009" i="20"/>
  <c r="B1008" i="20"/>
  <c r="E1007" i="20"/>
  <c r="B1007" i="20"/>
  <c r="E1006" i="20"/>
  <c r="B1006" i="20"/>
  <c r="B1005" i="20"/>
  <c r="E1004" i="20"/>
  <c r="B1004" i="20"/>
  <c r="B1003" i="20"/>
  <c r="B1002" i="20"/>
  <c r="F1001" i="20"/>
  <c r="B1000" i="20"/>
  <c r="B999" i="20"/>
  <c r="B998" i="20"/>
  <c r="B997" i="20"/>
  <c r="B996" i="20"/>
  <c r="B995" i="20"/>
  <c r="B994" i="20"/>
  <c r="B993" i="20"/>
  <c r="B992" i="20"/>
  <c r="B991" i="20"/>
  <c r="B990" i="20"/>
  <c r="B989" i="20"/>
  <c r="B988" i="20"/>
  <c r="B987" i="20"/>
  <c r="B986" i="20"/>
  <c r="B985" i="20"/>
  <c r="B984" i="20"/>
  <c r="E983" i="20"/>
  <c r="B983" i="20"/>
  <c r="B982" i="20"/>
  <c r="B981" i="20"/>
  <c r="B980" i="20"/>
  <c r="B979" i="20"/>
  <c r="B978" i="20"/>
  <c r="B977" i="20"/>
  <c r="B975" i="20"/>
  <c r="B974" i="20"/>
  <c r="B973" i="20"/>
  <c r="B972" i="20"/>
  <c r="B971" i="20"/>
  <c r="B970" i="20"/>
  <c r="B969" i="20"/>
  <c r="B968" i="20"/>
  <c r="B967" i="20"/>
  <c r="B966" i="20"/>
  <c r="B965" i="20"/>
  <c r="B964" i="20"/>
  <c r="B963" i="20"/>
  <c r="B962" i="20"/>
  <c r="B961" i="20"/>
  <c r="B960" i="20"/>
  <c r="F959" i="20"/>
  <c r="B959" i="20"/>
  <c r="F958" i="20"/>
  <c r="B957" i="20"/>
  <c r="B956" i="20"/>
  <c r="B955" i="20"/>
  <c r="B954" i="20"/>
  <c r="B953" i="20"/>
  <c r="B952" i="20"/>
  <c r="B951" i="20"/>
  <c r="B950" i="20"/>
  <c r="F948" i="20"/>
  <c r="B948" i="20"/>
  <c r="B947" i="20"/>
  <c r="B946" i="20"/>
  <c r="B945" i="20"/>
  <c r="B944" i="20"/>
  <c r="B943" i="20"/>
  <c r="B942" i="20"/>
  <c r="B941" i="20"/>
  <c r="B940" i="20"/>
  <c r="B939" i="20"/>
  <c r="F938" i="20"/>
  <c r="B938" i="20"/>
  <c r="F937" i="20"/>
  <c r="B936" i="20"/>
  <c r="B935" i="20"/>
  <c r="B934" i="20"/>
  <c r="B933" i="20"/>
  <c r="F932" i="20"/>
  <c r="B932" i="20"/>
  <c r="B931" i="20"/>
  <c r="B930" i="20"/>
  <c r="B929" i="20"/>
  <c r="B928" i="20"/>
  <c r="B927" i="20"/>
  <c r="B926" i="20"/>
  <c r="B925" i="20"/>
  <c r="B924" i="20"/>
  <c r="B923" i="20"/>
  <c r="B922" i="20"/>
  <c r="B920" i="20"/>
  <c r="B919" i="20"/>
  <c r="B918" i="20"/>
  <c r="B917" i="20"/>
  <c r="B916" i="20"/>
  <c r="B915" i="20"/>
  <c r="B914" i="20"/>
  <c r="B913" i="20"/>
  <c r="B912" i="20"/>
  <c r="B911" i="20"/>
  <c r="B910" i="20"/>
  <c r="B909" i="20"/>
  <c r="B908" i="20"/>
  <c r="F907" i="20"/>
  <c r="B907" i="20"/>
  <c r="F906" i="20"/>
  <c r="B905" i="20"/>
  <c r="B904" i="20"/>
  <c r="B903" i="20"/>
  <c r="B902" i="20"/>
  <c r="B901" i="20"/>
  <c r="B900" i="20"/>
  <c r="B899" i="20"/>
  <c r="B898" i="20"/>
  <c r="B896" i="20"/>
  <c r="B895" i="20"/>
  <c r="B894" i="20"/>
  <c r="B893" i="20"/>
  <c r="B892" i="20"/>
  <c r="B891" i="20"/>
  <c r="B890" i="20"/>
  <c r="B889" i="20"/>
  <c r="B888" i="20"/>
  <c r="B887" i="20"/>
  <c r="B886" i="20"/>
  <c r="B885" i="20"/>
  <c r="B884" i="20"/>
  <c r="B883" i="20"/>
  <c r="B882" i="20"/>
  <c r="B881" i="20"/>
  <c r="B880" i="20"/>
  <c r="B879" i="20"/>
  <c r="B878" i="20"/>
  <c r="B877" i="20"/>
  <c r="B876" i="20"/>
  <c r="B875" i="20"/>
  <c r="B874" i="20"/>
  <c r="B873" i="20"/>
  <c r="B872" i="20"/>
  <c r="B871" i="20"/>
  <c r="B870" i="20"/>
  <c r="B869" i="20"/>
  <c r="B868" i="20"/>
  <c r="B867" i="20"/>
  <c r="B866" i="20"/>
  <c r="B865" i="20"/>
  <c r="B864" i="20"/>
  <c r="B863" i="20"/>
  <c r="B862" i="20"/>
  <c r="B861" i="20"/>
  <c r="B860" i="20"/>
  <c r="B859" i="20"/>
  <c r="B858" i="20"/>
  <c r="B857" i="20"/>
  <c r="B856" i="20"/>
  <c r="B855" i="20"/>
  <c r="B854" i="20"/>
  <c r="B853" i="20"/>
  <c r="B852" i="20"/>
  <c r="B851" i="20"/>
  <c r="B850" i="20"/>
  <c r="B849" i="20"/>
  <c r="B848" i="20"/>
  <c r="F847" i="20"/>
  <c r="B847" i="20"/>
  <c r="B846" i="20"/>
  <c r="B845" i="20"/>
  <c r="F844" i="20"/>
  <c r="B844" i="20"/>
  <c r="F843" i="20"/>
  <c r="B842" i="20"/>
  <c r="B841" i="20"/>
  <c r="B840" i="20"/>
  <c r="B839" i="20"/>
  <c r="B838" i="20"/>
  <c r="B837" i="20"/>
  <c r="B836" i="20"/>
  <c r="B835" i="20"/>
  <c r="B834" i="20"/>
  <c r="B833" i="20"/>
  <c r="B832" i="20"/>
  <c r="B831" i="20"/>
  <c r="B830" i="20"/>
  <c r="B829" i="20"/>
  <c r="B828" i="20"/>
  <c r="B827" i="20"/>
  <c r="B825" i="20"/>
  <c r="B824" i="20"/>
  <c r="B823" i="20"/>
  <c r="B822" i="20"/>
  <c r="B821" i="20"/>
  <c r="B820" i="20"/>
  <c r="B819" i="20"/>
  <c r="B818" i="20"/>
  <c r="B817" i="20"/>
  <c r="B816" i="20"/>
  <c r="B815" i="20"/>
  <c r="B814" i="20"/>
  <c r="B813" i="20"/>
  <c r="B812" i="20"/>
  <c r="B811" i="20"/>
  <c r="B810" i="20"/>
  <c r="B809" i="20"/>
  <c r="B808" i="20"/>
  <c r="F807" i="20"/>
  <c r="B807" i="20"/>
  <c r="F806" i="20"/>
  <c r="B805" i="20"/>
  <c r="B804" i="20"/>
  <c r="B803" i="20"/>
  <c r="B802" i="20"/>
  <c r="B801" i="20"/>
  <c r="B800" i="20"/>
  <c r="B799" i="20"/>
  <c r="B798" i="20"/>
  <c r="B797" i="20"/>
  <c r="B796" i="20"/>
  <c r="B795" i="20"/>
  <c r="B794" i="20"/>
  <c r="B793" i="20"/>
  <c r="B792" i="20"/>
  <c r="B791" i="20"/>
  <c r="B790" i="20"/>
  <c r="B788" i="20"/>
  <c r="B787" i="20"/>
  <c r="B786" i="20"/>
  <c r="B785" i="20"/>
  <c r="B784" i="20"/>
  <c r="B783" i="20"/>
  <c r="B782" i="20"/>
  <c r="B781" i="20"/>
  <c r="B780" i="20"/>
  <c r="B779" i="20"/>
  <c r="B778" i="20"/>
  <c r="B777" i="20"/>
  <c r="B776" i="20"/>
  <c r="B775" i="20"/>
  <c r="B774" i="20"/>
  <c r="B773" i="20"/>
  <c r="B772" i="20"/>
  <c r="B771" i="20"/>
  <c r="B770" i="20"/>
  <c r="B769" i="20"/>
  <c r="B768" i="20"/>
  <c r="B767" i="20"/>
  <c r="B766" i="20"/>
  <c r="B765" i="20"/>
  <c r="B764" i="20"/>
  <c r="B763" i="20"/>
  <c r="B762" i="20"/>
  <c r="B761" i="20"/>
  <c r="B760" i="20"/>
  <c r="B759" i="20"/>
  <c r="B758" i="20"/>
  <c r="B757" i="20"/>
  <c r="B756" i="20"/>
  <c r="B755" i="20"/>
  <c r="B754" i="20"/>
  <c r="B753" i="20"/>
  <c r="B752" i="20"/>
  <c r="B751" i="20"/>
  <c r="B750" i="20"/>
  <c r="B749" i="20"/>
  <c r="B748" i="20"/>
  <c r="B747" i="20"/>
  <c r="F746" i="20"/>
  <c r="B746" i="20"/>
  <c r="F745" i="20"/>
  <c r="B744" i="20"/>
  <c r="B743" i="20"/>
  <c r="B742" i="20"/>
  <c r="F741" i="20"/>
  <c r="B741" i="20"/>
  <c r="E740" i="20"/>
  <c r="B740" i="20"/>
  <c r="B739" i="20"/>
  <c r="B738" i="20"/>
  <c r="B737" i="20"/>
  <c r="B736" i="20"/>
  <c r="B735" i="20"/>
  <c r="B734" i="20"/>
  <c r="B733" i="20"/>
  <c r="B732" i="20"/>
  <c r="B731" i="20"/>
  <c r="B730" i="20"/>
  <c r="B729" i="20"/>
  <c r="B728" i="20"/>
  <c r="B727" i="20"/>
  <c r="B726" i="20"/>
  <c r="B725" i="20"/>
  <c r="B724" i="20"/>
  <c r="B723" i="20"/>
  <c r="B722" i="20"/>
  <c r="B720" i="20"/>
  <c r="B719" i="20"/>
  <c r="B718" i="20"/>
  <c r="B717" i="20"/>
  <c r="B716" i="20"/>
  <c r="B715" i="20"/>
  <c r="B714" i="20"/>
  <c r="B713" i="20"/>
  <c r="B712" i="20"/>
  <c r="B711" i="20"/>
  <c r="F710" i="20"/>
  <c r="B710" i="20"/>
  <c r="B709" i="20"/>
  <c r="B708" i="20"/>
  <c r="B707" i="20"/>
  <c r="F706" i="20"/>
  <c r="B705" i="20"/>
  <c r="B704" i="20"/>
  <c r="B703" i="20"/>
  <c r="B702" i="20"/>
  <c r="B701" i="20"/>
  <c r="B700" i="20"/>
  <c r="B699" i="20"/>
  <c r="B698" i="20"/>
  <c r="B697" i="20"/>
  <c r="B696" i="20"/>
  <c r="B695" i="20"/>
  <c r="B694" i="20"/>
  <c r="B693" i="20"/>
  <c r="B692" i="20"/>
  <c r="B691" i="20"/>
  <c r="B690" i="20"/>
  <c r="B689" i="20"/>
  <c r="B688" i="20"/>
  <c r="B687" i="20"/>
  <c r="B686" i="20"/>
  <c r="B685" i="20"/>
  <c r="B684" i="20"/>
  <c r="F683" i="20"/>
  <c r="B683" i="20"/>
  <c r="B682" i="20"/>
  <c r="B681" i="20"/>
  <c r="B680" i="20"/>
  <c r="B679" i="20"/>
  <c r="B678" i="20"/>
  <c r="B677" i="20"/>
  <c r="B676" i="20"/>
  <c r="B674" i="20"/>
  <c r="B673" i="20"/>
  <c r="B672" i="20"/>
  <c r="B671" i="20"/>
  <c r="B670" i="20"/>
  <c r="B669" i="20"/>
  <c r="B668" i="20"/>
  <c r="B667" i="20"/>
  <c r="B666" i="20"/>
  <c r="B665" i="20"/>
  <c r="B664" i="20"/>
  <c r="B663" i="20"/>
  <c r="B662" i="20"/>
  <c r="B661" i="20"/>
  <c r="B660" i="20"/>
  <c r="B659" i="20"/>
  <c r="B658" i="20"/>
  <c r="B657" i="20"/>
  <c r="B656" i="20"/>
  <c r="B655" i="20"/>
  <c r="B654" i="20"/>
  <c r="B651" i="20"/>
  <c r="B650" i="20"/>
  <c r="F649" i="20"/>
  <c r="B647" i="20"/>
  <c r="B646" i="20"/>
  <c r="B645" i="20"/>
  <c r="B644" i="20"/>
  <c r="F643" i="20"/>
  <c r="B642" i="20"/>
  <c r="B641" i="20"/>
  <c r="B639" i="20"/>
  <c r="B638" i="20"/>
  <c r="F637" i="20"/>
  <c r="B636" i="20"/>
  <c r="B635" i="20"/>
  <c r="B633" i="20"/>
  <c r="B632" i="20"/>
  <c r="F631" i="20"/>
  <c r="B630" i="20"/>
  <c r="B628" i="20"/>
  <c r="B627" i="20"/>
  <c r="B626" i="20"/>
  <c r="B625" i="20"/>
  <c r="F624" i="20"/>
  <c r="B623" i="20"/>
  <c r="B621" i="20"/>
  <c r="B620" i="20"/>
  <c r="F619" i="20"/>
  <c r="B617" i="20"/>
  <c r="B616" i="20"/>
  <c r="B615" i="20"/>
  <c r="B614" i="20"/>
  <c r="B613" i="20"/>
  <c r="F612" i="20"/>
  <c r="B611" i="20"/>
  <c r="B610" i="20"/>
  <c r="B609" i="20"/>
  <c r="B608" i="20"/>
  <c r="B607" i="20"/>
  <c r="B605" i="20"/>
  <c r="D604" i="20"/>
  <c r="B604" i="20"/>
  <c r="F603" i="20"/>
  <c r="B602" i="20"/>
  <c r="B601" i="20"/>
  <c r="B600" i="20"/>
  <c r="B598" i="20"/>
  <c r="B597" i="20"/>
  <c r="B596" i="20"/>
  <c r="B595" i="20"/>
  <c r="B594" i="20"/>
  <c r="B593" i="20"/>
  <c r="B592" i="20"/>
  <c r="B591" i="20"/>
  <c r="F590" i="20"/>
  <c r="B589" i="20"/>
  <c r="B588" i="20"/>
  <c r="B586" i="20"/>
  <c r="B585" i="20"/>
  <c r="B584" i="20"/>
  <c r="B583" i="20"/>
  <c r="F582" i="20"/>
  <c r="B581" i="20"/>
  <c r="B579" i="20"/>
  <c r="B578" i="20"/>
  <c r="B577" i="20"/>
  <c r="B576" i="20"/>
  <c r="F575" i="20"/>
  <c r="B574" i="20"/>
  <c r="B572" i="20"/>
  <c r="B571" i="20"/>
  <c r="B570" i="20"/>
  <c r="B569" i="20"/>
  <c r="B568" i="20"/>
  <c r="B567" i="20"/>
  <c r="B566" i="20"/>
  <c r="F565" i="20"/>
  <c r="B564" i="20"/>
  <c r="B562" i="20"/>
  <c r="B561" i="20"/>
  <c r="B560" i="20"/>
  <c r="B559" i="20"/>
  <c r="B558" i="20"/>
  <c r="B557" i="20"/>
  <c r="B556" i="20"/>
  <c r="B555" i="20"/>
  <c r="B554" i="20"/>
  <c r="F553" i="20"/>
  <c r="B551" i="20"/>
  <c r="B550" i="20"/>
  <c r="B549" i="20"/>
  <c r="B548" i="20"/>
  <c r="B547" i="20"/>
  <c r="B546" i="20"/>
  <c r="B545" i="20"/>
  <c r="F544" i="20"/>
  <c r="B542" i="20"/>
  <c r="B541" i="20"/>
  <c r="B540" i="20"/>
  <c r="B539" i="20"/>
  <c r="B538" i="20"/>
  <c r="F537" i="20"/>
  <c r="B536" i="20"/>
  <c r="B535" i="20"/>
  <c r="B533" i="20"/>
  <c r="B532" i="20"/>
  <c r="B531" i="20"/>
  <c r="F530" i="20"/>
  <c r="B529" i="20"/>
  <c r="B528" i="20"/>
  <c r="B527" i="20"/>
  <c r="B526" i="20"/>
  <c r="B523" i="20"/>
  <c r="B522" i="20"/>
  <c r="B521" i="20"/>
  <c r="B520" i="20"/>
  <c r="B519" i="20"/>
  <c r="B518" i="20"/>
  <c r="B517" i="20"/>
  <c r="B516" i="20"/>
  <c r="B515" i="20"/>
  <c r="B514" i="20"/>
  <c r="B513" i="20"/>
  <c r="F512" i="20"/>
  <c r="B511" i="20"/>
  <c r="B510" i="20"/>
  <c r="B509" i="20"/>
  <c r="B508" i="20"/>
  <c r="B506" i="20"/>
  <c r="B505" i="20"/>
  <c r="B504" i="20"/>
  <c r="B503" i="20"/>
  <c r="B502" i="20"/>
  <c r="F501" i="20"/>
  <c r="B500" i="20"/>
  <c r="B499" i="20"/>
  <c r="B498" i="20"/>
  <c r="B496" i="20"/>
  <c r="B495" i="20"/>
  <c r="B494" i="20"/>
  <c r="B493" i="20"/>
  <c r="B492" i="20"/>
  <c r="B491" i="20"/>
  <c r="B490" i="20"/>
  <c r="B489" i="20"/>
  <c r="B488" i="20"/>
  <c r="B487" i="20"/>
  <c r="F486" i="20"/>
  <c r="B485" i="20"/>
  <c r="B484" i="20"/>
  <c r="B482" i="20"/>
  <c r="B481" i="20"/>
  <c r="B480" i="20"/>
  <c r="B479" i="20"/>
  <c r="F478" i="20"/>
  <c r="B477" i="20"/>
  <c r="B476" i="20"/>
  <c r="B474" i="20"/>
  <c r="B473" i="20"/>
  <c r="B472" i="20"/>
  <c r="B471" i="20"/>
  <c r="B470" i="20"/>
  <c r="B469" i="20"/>
  <c r="F468" i="20"/>
  <c r="B466" i="20"/>
  <c r="B465" i="20"/>
  <c r="F464" i="20"/>
  <c r="B463" i="20"/>
  <c r="B462" i="20"/>
  <c r="B460" i="20"/>
  <c r="B459" i="20"/>
  <c r="B458" i="20"/>
  <c r="F457" i="20"/>
  <c r="B456" i="20"/>
  <c r="B454" i="20"/>
  <c r="B453" i="20"/>
  <c r="B452" i="20"/>
  <c r="B451" i="20"/>
  <c r="B450" i="20"/>
  <c r="B449" i="20"/>
  <c r="B448" i="20"/>
  <c r="B447" i="20"/>
  <c r="B446" i="20"/>
  <c r="F445" i="20"/>
  <c r="B444" i="20"/>
  <c r="B443" i="20"/>
  <c r="B441" i="20"/>
  <c r="B440" i="20"/>
  <c r="B439" i="20"/>
  <c r="B438" i="20"/>
  <c r="F437" i="20"/>
  <c r="B435" i="20"/>
  <c r="B433" i="20"/>
  <c r="F432" i="20"/>
  <c r="B431" i="20"/>
  <c r="B430" i="20"/>
  <c r="B428" i="20"/>
  <c r="B427" i="20"/>
  <c r="B426" i="20"/>
  <c r="B425" i="20"/>
  <c r="F424" i="20"/>
  <c r="B423" i="20"/>
  <c r="B422" i="20"/>
  <c r="B420" i="20"/>
  <c r="B419" i="20"/>
  <c r="F418" i="20"/>
  <c r="B417" i="20"/>
  <c r="B416" i="20"/>
  <c r="B415" i="20"/>
  <c r="B413" i="20"/>
  <c r="B412" i="20"/>
  <c r="F411" i="20"/>
  <c r="B410" i="20"/>
  <c r="B408" i="20"/>
  <c r="B407" i="20"/>
  <c r="F406" i="20"/>
  <c r="B405" i="20"/>
  <c r="B403" i="20"/>
  <c r="B402" i="20"/>
  <c r="B401" i="20"/>
  <c r="B400" i="20"/>
  <c r="B399" i="20"/>
  <c r="B398" i="20"/>
  <c r="B397" i="20"/>
  <c r="B396" i="20"/>
  <c r="F395" i="20"/>
  <c r="B394" i="20"/>
  <c r="B393" i="20"/>
  <c r="B392" i="20"/>
  <c r="B391" i="20"/>
  <c r="B389" i="20"/>
  <c r="B388" i="20"/>
  <c r="B387" i="20"/>
  <c r="F386" i="20"/>
  <c r="B385" i="20"/>
  <c r="B384" i="20"/>
  <c r="B382" i="20"/>
  <c r="B381" i="20"/>
  <c r="B380" i="20"/>
  <c r="B379" i="20"/>
  <c r="B378" i="20"/>
  <c r="B377" i="20"/>
  <c r="B376" i="20"/>
  <c r="F375" i="20"/>
  <c r="B373" i="20"/>
  <c r="B372" i="20"/>
  <c r="B371" i="20"/>
  <c r="B370" i="20"/>
  <c r="B369" i="20"/>
  <c r="F368" i="20"/>
  <c r="B367" i="20"/>
  <c r="B365" i="20"/>
  <c r="B364" i="20"/>
  <c r="B363" i="20"/>
  <c r="B362" i="20"/>
  <c r="F361" i="20"/>
  <c r="B360" i="20"/>
  <c r="B359" i="20"/>
  <c r="B358" i="20"/>
  <c r="B356" i="20"/>
  <c r="B355" i="20"/>
  <c r="B354" i="20"/>
  <c r="B353" i="20"/>
  <c r="F352" i="20"/>
  <c r="B350" i="20"/>
  <c r="B349" i="20"/>
  <c r="B348" i="20"/>
  <c r="F347" i="20"/>
  <c r="B346" i="20"/>
  <c r="B344" i="20"/>
  <c r="B343" i="20"/>
  <c r="B342" i="20"/>
  <c r="F341" i="20"/>
  <c r="B341" i="20"/>
  <c r="B339" i="20"/>
  <c r="B338" i="20"/>
  <c r="B336" i="20"/>
  <c r="B335" i="20"/>
  <c r="B334" i="20"/>
  <c r="B333" i="20"/>
  <c r="F332" i="20"/>
  <c r="B330" i="20"/>
  <c r="B329" i="20"/>
  <c r="B328" i="20"/>
  <c r="B327" i="20"/>
  <c r="B326" i="20"/>
  <c r="B325" i="20"/>
  <c r="F324" i="20"/>
  <c r="B322" i="20"/>
  <c r="B321" i="20"/>
  <c r="B320" i="20"/>
  <c r="B319" i="20"/>
  <c r="F318" i="20"/>
  <c r="B317" i="20"/>
  <c r="B316" i="20"/>
  <c r="B315" i="20"/>
  <c r="B314" i="20"/>
  <c r="B313" i="20"/>
  <c r="B312" i="20"/>
  <c r="B311" i="20"/>
  <c r="B310" i="20"/>
  <c r="B308" i="20"/>
  <c r="B307" i="20"/>
  <c r="B306" i="20"/>
  <c r="B305" i="20"/>
  <c r="B304" i="20"/>
  <c r="B303" i="20"/>
  <c r="B302" i="20"/>
  <c r="B301" i="20"/>
  <c r="B300" i="20"/>
  <c r="B299" i="20"/>
  <c r="B298" i="20"/>
  <c r="B297" i="20"/>
  <c r="B296" i="20"/>
  <c r="B295" i="20"/>
  <c r="F294" i="20"/>
  <c r="B293" i="20"/>
  <c r="B292" i="20"/>
  <c r="B291" i="20"/>
  <c r="B290" i="20"/>
  <c r="B289" i="20"/>
  <c r="B288" i="20"/>
  <c r="B287" i="20"/>
  <c r="B286" i="20"/>
  <c r="B285" i="20"/>
  <c r="B284" i="20"/>
  <c r="B283" i="20"/>
  <c r="B282" i="20"/>
  <c r="B280" i="20"/>
  <c r="B279" i="20"/>
  <c r="B278" i="20"/>
  <c r="B277" i="20"/>
  <c r="B276" i="20"/>
  <c r="B275" i="20"/>
  <c r="B274" i="20"/>
  <c r="B273" i="20"/>
  <c r="B272" i="20"/>
  <c r="B271" i="20"/>
  <c r="B270" i="20"/>
  <c r="F269" i="20"/>
  <c r="B268" i="20"/>
  <c r="B267" i="20"/>
  <c r="F266" i="20"/>
  <c r="E266" i="20"/>
  <c r="B266" i="20"/>
  <c r="E265" i="20"/>
  <c r="B265" i="20"/>
  <c r="B264" i="20"/>
  <c r="B263" i="20"/>
  <c r="B262" i="20"/>
  <c r="B261" i="20"/>
  <c r="B260" i="20"/>
  <c r="F259" i="20"/>
  <c r="B259" i="20"/>
  <c r="E258" i="20"/>
  <c r="B258" i="20"/>
  <c r="B257" i="20"/>
  <c r="B255" i="20"/>
  <c r="B254" i="20"/>
  <c r="B253" i="20"/>
  <c r="B252" i="20"/>
  <c r="F251" i="20"/>
  <c r="B250" i="20"/>
  <c r="B249" i="20"/>
  <c r="B248" i="20"/>
  <c r="B247" i="20"/>
  <c r="B246" i="20"/>
  <c r="B245" i="20"/>
  <c r="B244" i="20"/>
  <c r="B243" i="20"/>
  <c r="E242" i="20"/>
  <c r="B242" i="20"/>
  <c r="B240" i="20"/>
  <c r="B239" i="20"/>
  <c r="B238" i="20"/>
  <c r="B237" i="20"/>
  <c r="B236" i="20"/>
  <c r="F235" i="20"/>
  <c r="B234" i="20"/>
  <c r="B233" i="20"/>
  <c r="B232" i="20"/>
  <c r="E231" i="20"/>
  <c r="B231" i="20"/>
  <c r="B230" i="20"/>
  <c r="B229" i="20"/>
  <c r="E228" i="20"/>
  <c r="B228" i="20"/>
  <c r="B227" i="20"/>
  <c r="B226" i="20"/>
  <c r="B225" i="20"/>
  <c r="B224" i="20"/>
  <c r="B223" i="20"/>
  <c r="B222" i="20"/>
  <c r="B221" i="20"/>
  <c r="B220" i="20"/>
  <c r="B219" i="20"/>
  <c r="B217" i="20"/>
  <c r="B216" i="20"/>
  <c r="B215" i="20"/>
  <c r="B214" i="20"/>
  <c r="B213" i="20"/>
  <c r="B212" i="20"/>
  <c r="B211" i="20"/>
  <c r="B210" i="20"/>
  <c r="B209" i="20"/>
  <c r="B208" i="20"/>
  <c r="F207" i="20"/>
  <c r="B206" i="20"/>
  <c r="E205" i="20"/>
  <c r="B205" i="20"/>
  <c r="B203" i="20"/>
  <c r="B202" i="20"/>
  <c r="B201" i="20"/>
  <c r="B200" i="20"/>
  <c r="B199" i="20"/>
  <c r="F198" i="20"/>
  <c r="B197" i="20"/>
  <c r="B196" i="20"/>
  <c r="B195" i="20"/>
  <c r="B194" i="20"/>
  <c r="B193" i="20"/>
  <c r="B192" i="20"/>
  <c r="B191" i="20"/>
  <c r="B190" i="20"/>
  <c r="B189" i="20"/>
  <c r="B188" i="20"/>
  <c r="B187" i="20"/>
  <c r="B186" i="20"/>
  <c r="B185" i="20"/>
  <c r="B184" i="20"/>
  <c r="B183" i="20"/>
  <c r="B181" i="20"/>
  <c r="B180" i="20"/>
  <c r="B179" i="20"/>
  <c r="B178" i="20"/>
  <c r="B177" i="20"/>
  <c r="E176" i="20"/>
  <c r="B176" i="20"/>
  <c r="E175" i="20"/>
  <c r="B175" i="20"/>
  <c r="B174" i="20"/>
  <c r="B173" i="20"/>
  <c r="B172" i="20"/>
  <c r="B171" i="20"/>
  <c r="B170" i="20"/>
  <c r="B169" i="20"/>
  <c r="B168" i="20"/>
  <c r="B167" i="20"/>
  <c r="B166" i="20"/>
  <c r="B165" i="20"/>
  <c r="B164" i="20"/>
  <c r="B163" i="20"/>
  <c r="B162" i="20"/>
  <c r="F161" i="20"/>
  <c r="B160" i="20"/>
  <c r="B159" i="20"/>
  <c r="B158" i="20"/>
  <c r="B157" i="20"/>
  <c r="B156" i="20"/>
  <c r="B155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F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E127" i="20"/>
  <c r="B127" i="20"/>
  <c r="B126" i="20"/>
  <c r="B124" i="20"/>
  <c r="B123" i="20"/>
  <c r="B122" i="20"/>
  <c r="B121" i="20"/>
  <c r="B120" i="20"/>
  <c r="B119" i="20"/>
  <c r="B118" i="20"/>
  <c r="F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F89" i="20"/>
  <c r="B88" i="20"/>
  <c r="B87" i="20"/>
  <c r="B85" i="20"/>
  <c r="B84" i="20"/>
  <c r="B83" i="20"/>
  <c r="B82" i="20"/>
  <c r="B81" i="20"/>
  <c r="F80" i="20"/>
  <c r="B79" i="20"/>
  <c r="B78" i="20"/>
  <c r="B77" i="20"/>
  <c r="B76" i="20"/>
  <c r="B74" i="20"/>
  <c r="B73" i="20"/>
  <c r="B72" i="20"/>
  <c r="B71" i="20"/>
  <c r="B70" i="20"/>
  <c r="B69" i="20"/>
  <c r="B68" i="20"/>
  <c r="B67" i="20"/>
  <c r="F66" i="20"/>
  <c r="B65" i="20"/>
  <c r="B64" i="20"/>
  <c r="B63" i="20"/>
  <c r="B61" i="20"/>
  <c r="B60" i="20"/>
  <c r="B59" i="20"/>
  <c r="B58" i="20"/>
  <c r="B57" i="20"/>
  <c r="B56" i="20"/>
  <c r="B55" i="20"/>
  <c r="B54" i="20"/>
  <c r="B53" i="20"/>
  <c r="F52" i="20"/>
  <c r="B51" i="20"/>
  <c r="B50" i="20"/>
  <c r="B49" i="20"/>
  <c r="B48" i="20"/>
  <c r="B47" i="20"/>
  <c r="B45" i="20"/>
  <c r="B44" i="20"/>
  <c r="B43" i="20"/>
  <c r="B42" i="20"/>
  <c r="B41" i="20"/>
  <c r="B40" i="20"/>
  <c r="B39" i="20"/>
  <c r="E38" i="20"/>
  <c r="B38" i="20"/>
  <c r="B37" i="20"/>
  <c r="D36" i="20"/>
  <c r="D1422" i="20" s="1"/>
  <c r="B36" i="20"/>
  <c r="B35" i="20"/>
  <c r="F34" i="20"/>
  <c r="B33" i="20"/>
  <c r="B32" i="20"/>
  <c r="B30" i="20"/>
  <c r="B29" i="20"/>
  <c r="B28" i="20"/>
  <c r="B27" i="20"/>
  <c r="B26" i="20"/>
  <c r="B25" i="20"/>
  <c r="B24" i="20"/>
  <c r="F23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E92" i="45"/>
  <c r="E91" i="45"/>
  <c r="D91" i="45"/>
  <c r="B90" i="45"/>
  <c r="F89" i="45"/>
  <c r="B88" i="45"/>
  <c r="F87" i="45"/>
  <c r="B86" i="45"/>
  <c r="B85" i="45"/>
  <c r="F84" i="45"/>
  <c r="B83" i="45"/>
  <c r="B82" i="45"/>
  <c r="F81" i="45"/>
  <c r="B80" i="45"/>
  <c r="B79" i="45"/>
  <c r="F78" i="45"/>
  <c r="B77" i="45"/>
  <c r="B76" i="45"/>
  <c r="B75" i="45"/>
  <c r="F74" i="45"/>
  <c r="B73" i="45"/>
  <c r="B72" i="45"/>
  <c r="B71" i="45"/>
  <c r="B70" i="45"/>
  <c r="B69" i="45"/>
  <c r="B68" i="45"/>
  <c r="F67" i="45"/>
  <c r="B66" i="45"/>
  <c r="B65" i="45"/>
  <c r="B64" i="45"/>
  <c r="B63" i="45"/>
  <c r="B62" i="45"/>
  <c r="B61" i="45"/>
  <c r="B60" i="45"/>
  <c r="F59" i="45"/>
  <c r="B58" i="45"/>
  <c r="B57" i="45"/>
  <c r="B56" i="45"/>
  <c r="B55" i="45"/>
  <c r="B54" i="45"/>
  <c r="B53" i="45"/>
  <c r="B52" i="45"/>
  <c r="F51" i="45"/>
  <c r="B50" i="45"/>
  <c r="B49" i="45"/>
  <c r="B48" i="45"/>
  <c r="B47" i="45"/>
  <c r="B46" i="45"/>
  <c r="F45" i="45"/>
  <c r="B44" i="45"/>
  <c r="B43" i="45"/>
  <c r="B42" i="45"/>
  <c r="B41" i="45"/>
  <c r="B40" i="45"/>
  <c r="F39" i="45"/>
  <c r="B39" i="45"/>
  <c r="B37" i="45"/>
  <c r="B36" i="45"/>
  <c r="B35" i="45"/>
  <c r="F34" i="45"/>
  <c r="B33" i="45"/>
  <c r="B32" i="45"/>
  <c r="B31" i="45"/>
  <c r="B30" i="45"/>
  <c r="B29" i="45"/>
  <c r="B28" i="45"/>
  <c r="F27" i="45"/>
  <c r="B26" i="45"/>
  <c r="B25" i="45"/>
  <c r="F24" i="45"/>
  <c r="B23" i="45"/>
  <c r="B22" i="45"/>
  <c r="B21" i="45"/>
  <c r="B20" i="45"/>
  <c r="B19" i="45"/>
  <c r="F18" i="45"/>
  <c r="B17" i="45"/>
  <c r="B16" i="45"/>
  <c r="B15" i="45"/>
  <c r="B14" i="45"/>
  <c r="B13" i="45"/>
  <c r="B12" i="45"/>
  <c r="F11" i="45"/>
  <c r="B10" i="45"/>
  <c r="B9" i="45"/>
  <c r="B8" i="45"/>
  <c r="B7" i="45"/>
  <c r="F6" i="45"/>
  <c r="B5" i="45"/>
  <c r="B4" i="45"/>
  <c r="B2" i="45"/>
  <c r="E943" i="43"/>
  <c r="E942" i="43"/>
  <c r="D942" i="43"/>
  <c r="B941" i="43"/>
  <c r="B940" i="43"/>
  <c r="B939" i="43"/>
  <c r="B938" i="43"/>
  <c r="B937" i="43"/>
  <c r="B935" i="43"/>
  <c r="B934" i="43"/>
  <c r="B933" i="43"/>
  <c r="B932" i="43"/>
  <c r="B931" i="43"/>
  <c r="B930" i="43"/>
  <c r="B929" i="43"/>
  <c r="B928" i="43"/>
  <c r="B927" i="43"/>
  <c r="B926" i="43"/>
  <c r="B925" i="43"/>
  <c r="B924" i="43"/>
  <c r="B923" i="43"/>
  <c r="B922" i="43"/>
  <c r="B921" i="43"/>
  <c r="B920" i="43"/>
  <c r="B919" i="43"/>
  <c r="B918" i="43"/>
  <c r="B917" i="43"/>
  <c r="B915" i="43"/>
  <c r="B914" i="43"/>
  <c r="B913" i="43"/>
  <c r="B912" i="43"/>
  <c r="B911" i="43"/>
  <c r="B910" i="43"/>
  <c r="B909" i="43"/>
  <c r="B908" i="43"/>
  <c r="B907" i="43"/>
  <c r="B906" i="43"/>
  <c r="B905" i="43"/>
  <c r="B904" i="43"/>
  <c r="B903" i="43"/>
  <c r="B902" i="43"/>
  <c r="B901" i="43"/>
  <c r="B900" i="43"/>
  <c r="B899" i="43"/>
  <c r="B897" i="43"/>
  <c r="B896" i="43"/>
  <c r="B895" i="43"/>
  <c r="B894" i="43"/>
  <c r="B893" i="43"/>
  <c r="B892" i="43"/>
  <c r="B891" i="43"/>
  <c r="B890" i="43"/>
  <c r="B889" i="43"/>
  <c r="B888" i="43"/>
  <c r="B887" i="43"/>
  <c r="B886" i="43"/>
  <c r="B885" i="43"/>
  <c r="B884" i="43"/>
  <c r="B883" i="43"/>
  <c r="B882" i="43"/>
  <c r="B881" i="43"/>
  <c r="B880" i="43"/>
  <c r="B879" i="43"/>
  <c r="B878" i="43"/>
  <c r="B877" i="43"/>
  <c r="B876" i="43"/>
  <c r="B875" i="43"/>
  <c r="B874" i="43"/>
  <c r="B873" i="43"/>
  <c r="B872" i="43"/>
  <c r="B871" i="43"/>
  <c r="B870" i="43"/>
  <c r="B869" i="43"/>
  <c r="B868" i="43"/>
  <c r="B867" i="43"/>
  <c r="B866" i="43"/>
  <c r="B865" i="43"/>
  <c r="B864" i="43"/>
  <c r="B863" i="43"/>
  <c r="B862" i="43"/>
  <c r="B861" i="43"/>
  <c r="B860" i="43"/>
  <c r="B859" i="43"/>
  <c r="B858" i="43"/>
  <c r="B857" i="43"/>
  <c r="B856" i="43"/>
  <c r="B854" i="43"/>
  <c r="B853" i="43"/>
  <c r="B852" i="43"/>
  <c r="B851" i="43"/>
  <c r="B850" i="43"/>
  <c r="B849" i="43"/>
  <c r="B848" i="43"/>
  <c r="B847" i="43"/>
  <c r="B846" i="43"/>
  <c r="B845" i="43"/>
  <c r="B844" i="43"/>
  <c r="B843" i="43"/>
  <c r="B842" i="43"/>
  <c r="B841" i="43"/>
  <c r="B840" i="43"/>
  <c r="B839" i="43"/>
  <c r="B838" i="43"/>
  <c r="B837" i="43"/>
  <c r="B836" i="43"/>
  <c r="B835" i="43"/>
  <c r="B834" i="43"/>
  <c r="B833" i="43"/>
  <c r="B832" i="43"/>
  <c r="B831" i="43"/>
  <c r="B830" i="43"/>
  <c r="B829" i="43"/>
  <c r="B828" i="43"/>
  <c r="B827" i="43"/>
  <c r="B826" i="43"/>
  <c r="B825" i="43"/>
  <c r="B824" i="43"/>
  <c r="B823" i="43"/>
  <c r="B822" i="43"/>
  <c r="B821" i="43"/>
  <c r="B820" i="43"/>
  <c r="B819" i="43"/>
  <c r="B818" i="43"/>
  <c r="B817" i="43"/>
  <c r="B816" i="43"/>
  <c r="B815" i="43"/>
  <c r="B814" i="43"/>
  <c r="B813" i="43"/>
  <c r="B812" i="43"/>
  <c r="B811" i="43"/>
  <c r="B810" i="43"/>
  <c r="B809" i="43"/>
  <c r="B808" i="43"/>
  <c r="B807" i="43"/>
  <c r="B806" i="43"/>
  <c r="B805" i="43"/>
  <c r="B804" i="43"/>
  <c r="B802" i="43"/>
  <c r="B801" i="43"/>
  <c r="B800" i="43"/>
  <c r="B799" i="43"/>
  <c r="B798" i="43"/>
  <c r="B797" i="43"/>
  <c r="B796" i="43"/>
  <c r="B795" i="43"/>
  <c r="B794" i="43"/>
  <c r="B793" i="43"/>
  <c r="B792" i="43"/>
  <c r="B791" i="43"/>
  <c r="B790" i="43"/>
  <c r="B789" i="43"/>
  <c r="B788" i="43"/>
  <c r="B787" i="43"/>
  <c r="B786" i="43"/>
  <c r="B785" i="43"/>
  <c r="B784" i="43"/>
  <c r="B783" i="43"/>
  <c r="B782" i="43"/>
  <c r="B781" i="43"/>
  <c r="B780" i="43"/>
  <c r="B779" i="43"/>
  <c r="B778" i="43"/>
  <c r="B777" i="43"/>
  <c r="B776" i="43"/>
  <c r="B775" i="43"/>
  <c r="B774" i="43"/>
  <c r="B773" i="43"/>
  <c r="B772" i="43"/>
  <c r="B771" i="43"/>
  <c r="B770" i="43"/>
  <c r="B769" i="43"/>
  <c r="B768" i="43"/>
  <c r="B767" i="43"/>
  <c r="B766" i="43"/>
  <c r="B765" i="43"/>
  <c r="B764" i="43"/>
  <c r="B763" i="43"/>
  <c r="B762" i="43"/>
  <c r="B761" i="43"/>
  <c r="B760" i="43"/>
  <c r="B759" i="43"/>
  <c r="B758" i="43"/>
  <c r="B757" i="43"/>
  <c r="B756" i="43"/>
  <c r="B755" i="43"/>
  <c r="B754" i="43"/>
  <c r="B753" i="43"/>
  <c r="B752" i="43"/>
  <c r="B751" i="43"/>
  <c r="B750" i="43"/>
  <c r="B748" i="43"/>
  <c r="B747" i="43"/>
  <c r="B746" i="43"/>
  <c r="B745" i="43"/>
  <c r="B744" i="43"/>
  <c r="B743" i="43"/>
  <c r="B742" i="43"/>
  <c r="B741" i="43"/>
  <c r="B740" i="43"/>
  <c r="B739" i="43"/>
  <c r="B738" i="43"/>
  <c r="B737" i="43"/>
  <c r="B736" i="43"/>
  <c r="B735" i="43"/>
  <c r="B734" i="43"/>
  <c r="B733" i="43"/>
  <c r="B732" i="43"/>
  <c r="B731" i="43"/>
  <c r="B730" i="43"/>
  <c r="B729" i="43"/>
  <c r="B728" i="43"/>
  <c r="B727" i="43"/>
  <c r="B726" i="43"/>
  <c r="B725" i="43"/>
  <c r="B724" i="43"/>
  <c r="B723" i="43"/>
  <c r="B722" i="43"/>
  <c r="B721" i="43"/>
  <c r="B720" i="43"/>
  <c r="B719" i="43"/>
  <c r="B718" i="43"/>
  <c r="B717" i="43"/>
  <c r="B716" i="43"/>
  <c r="B3" i="42"/>
  <c r="B715" i="43"/>
  <c r="B714" i="43"/>
  <c r="B713" i="43"/>
  <c r="B712" i="43"/>
  <c r="B711" i="43"/>
  <c r="B710" i="43"/>
  <c r="B709" i="43"/>
  <c r="B708" i="43"/>
  <c r="B706" i="43"/>
  <c r="B705" i="43"/>
  <c r="B704" i="43"/>
  <c r="B703" i="43"/>
  <c r="B702" i="43"/>
  <c r="B701" i="43"/>
  <c r="B700" i="43"/>
  <c r="B699" i="43"/>
  <c r="B698" i="43"/>
  <c r="B697" i="43"/>
  <c r="B696" i="43"/>
  <c r="B695" i="43"/>
  <c r="B694" i="43"/>
  <c r="B693" i="43"/>
  <c r="B692" i="43"/>
  <c r="B691" i="43"/>
  <c r="B690" i="43"/>
  <c r="B689" i="43"/>
  <c r="B688" i="43"/>
  <c r="B687" i="43"/>
  <c r="B686" i="43"/>
  <c r="B685" i="43"/>
  <c r="B684" i="43"/>
  <c r="B683" i="43"/>
  <c r="B682" i="43"/>
  <c r="B681" i="43"/>
  <c r="B680" i="43"/>
  <c r="B679" i="43"/>
  <c r="B678" i="43"/>
  <c r="B677" i="43"/>
  <c r="B676" i="43"/>
  <c r="B675" i="43"/>
  <c r="B674" i="43"/>
  <c r="B673" i="43"/>
  <c r="B671" i="43"/>
  <c r="B670" i="43"/>
  <c r="B669" i="43"/>
  <c r="B668" i="43"/>
  <c r="B667" i="43"/>
  <c r="B666" i="43"/>
  <c r="B665" i="43"/>
  <c r="B664" i="43"/>
  <c r="B663" i="43"/>
  <c r="B662" i="43"/>
  <c r="B661" i="43"/>
  <c r="B660" i="43"/>
  <c r="B659" i="43"/>
  <c r="B658" i="43"/>
  <c r="B657" i="43"/>
  <c r="B656" i="43"/>
  <c r="B655" i="43"/>
  <c r="B654" i="43"/>
  <c r="B653" i="43"/>
  <c r="B652" i="43"/>
  <c r="B651" i="43"/>
  <c r="B650" i="43"/>
  <c r="B649" i="43"/>
  <c r="B648" i="43"/>
  <c r="B647" i="43"/>
  <c r="B646" i="43"/>
  <c r="B645" i="43"/>
  <c r="B644" i="43"/>
  <c r="B642" i="43"/>
  <c r="B641" i="43"/>
  <c r="B640" i="43"/>
  <c r="B639" i="43"/>
  <c r="B638" i="43"/>
  <c r="B637" i="43"/>
  <c r="B636" i="43"/>
  <c r="B635" i="43"/>
  <c r="B634" i="43"/>
  <c r="B633" i="43"/>
  <c r="B632" i="43"/>
  <c r="B631" i="43"/>
  <c r="B630" i="43"/>
  <c r="B629" i="43"/>
  <c r="B628" i="43"/>
  <c r="B627" i="43"/>
  <c r="B626" i="43"/>
  <c r="B625" i="43"/>
  <c r="B624" i="43"/>
  <c r="B623" i="43"/>
  <c r="B622" i="43"/>
  <c r="B621" i="43"/>
  <c r="B620" i="43"/>
  <c r="B619" i="43"/>
  <c r="B618" i="43"/>
  <c r="B617" i="43"/>
  <c r="B616" i="43"/>
  <c r="B615" i="43"/>
  <c r="B614" i="43"/>
  <c r="B613" i="43"/>
  <c r="B612" i="43"/>
  <c r="B611" i="43"/>
  <c r="B610" i="43"/>
  <c r="B609" i="43"/>
  <c r="B608" i="43"/>
  <c r="B607" i="43"/>
  <c r="B606" i="43"/>
  <c r="B605" i="43"/>
  <c r="B604" i="43"/>
  <c r="B603" i="43"/>
  <c r="B602" i="43"/>
  <c r="B601" i="43"/>
  <c r="B600" i="43"/>
  <c r="B599" i="43"/>
  <c r="B597" i="43"/>
  <c r="B596" i="43"/>
  <c r="B595" i="43"/>
  <c r="B594" i="43"/>
  <c r="B593" i="43"/>
  <c r="B592" i="43"/>
  <c r="B591" i="43"/>
  <c r="B590" i="43"/>
  <c r="B589" i="43"/>
  <c r="B588" i="43"/>
  <c r="B587" i="43"/>
  <c r="B586" i="43"/>
  <c r="B585" i="43"/>
  <c r="B584" i="43"/>
  <c r="B583" i="43"/>
  <c r="B582" i="43"/>
  <c r="B581" i="43"/>
  <c r="B580" i="43"/>
  <c r="B579" i="43"/>
  <c r="B578" i="43"/>
  <c r="B577" i="43"/>
  <c r="B576" i="43"/>
  <c r="B575" i="43"/>
  <c r="B574" i="43"/>
  <c r="B573" i="43"/>
  <c r="B572" i="43"/>
  <c r="B571" i="43"/>
  <c r="B570" i="43"/>
  <c r="B569" i="43"/>
  <c r="B568" i="43"/>
  <c r="B567" i="43"/>
  <c r="B566" i="43"/>
  <c r="B565" i="43"/>
  <c r="B564" i="43"/>
  <c r="B563" i="43"/>
  <c r="B562" i="43"/>
  <c r="B561" i="43"/>
  <c r="B560" i="43"/>
  <c r="B559" i="43"/>
  <c r="B558" i="43"/>
  <c r="B557" i="43"/>
  <c r="B556" i="43"/>
  <c r="B554" i="43"/>
  <c r="B553" i="43"/>
  <c r="B552" i="43"/>
  <c r="B551" i="43"/>
  <c r="B550" i="43"/>
  <c r="B549" i="43"/>
  <c r="B548" i="43"/>
  <c r="B547" i="43"/>
  <c r="B546" i="43"/>
  <c r="B545" i="43"/>
  <c r="B544" i="43"/>
  <c r="B543" i="43"/>
  <c r="B542" i="43"/>
  <c r="B541" i="43"/>
  <c r="B540" i="43"/>
  <c r="B539" i="43"/>
  <c r="B538" i="43"/>
  <c r="B537" i="43"/>
  <c r="B536" i="43"/>
  <c r="B535" i="43"/>
  <c r="B534" i="43"/>
  <c r="B533" i="43"/>
  <c r="B532" i="43"/>
  <c r="B531" i="43"/>
  <c r="B530" i="43"/>
  <c r="B529" i="43"/>
  <c r="B528" i="43"/>
  <c r="B527" i="43"/>
  <c r="B526" i="43"/>
  <c r="B524" i="43"/>
  <c r="B523" i="43"/>
  <c r="B522" i="43"/>
  <c r="B521" i="43"/>
  <c r="B520" i="43"/>
  <c r="B519" i="43"/>
  <c r="B518" i="43"/>
  <c r="B517" i="43"/>
  <c r="B516" i="43"/>
  <c r="B515" i="43"/>
  <c r="B514" i="43"/>
  <c r="B513" i="43"/>
  <c r="B512" i="43"/>
  <c r="B511" i="43"/>
  <c r="B510" i="43"/>
  <c r="B509" i="43"/>
  <c r="B508" i="43"/>
  <c r="B507" i="43"/>
  <c r="B506" i="43"/>
  <c r="B505" i="43"/>
  <c r="B504" i="43"/>
  <c r="B503" i="43"/>
  <c r="B502" i="43"/>
  <c r="B501" i="43"/>
  <c r="B500" i="43"/>
  <c r="B499" i="43"/>
  <c r="B498" i="43"/>
  <c r="B497" i="43"/>
  <c r="B496" i="43"/>
  <c r="B495" i="43"/>
  <c r="B494" i="43"/>
  <c r="B493" i="43"/>
  <c r="B492" i="43"/>
  <c r="B491" i="43"/>
  <c r="B490" i="43"/>
  <c r="B489" i="43"/>
  <c r="B487" i="43"/>
  <c r="B486" i="43"/>
  <c r="B485" i="43"/>
  <c r="B484" i="43"/>
  <c r="B483" i="43"/>
  <c r="B482" i="43"/>
  <c r="B481" i="43"/>
  <c r="B480" i="43"/>
  <c r="B479" i="43"/>
  <c r="B478" i="43"/>
  <c r="B477" i="43"/>
  <c r="B476" i="43"/>
  <c r="B475" i="43"/>
  <c r="B474" i="43"/>
  <c r="B473" i="43"/>
  <c r="B472" i="43"/>
  <c r="B471" i="43"/>
  <c r="B470" i="43"/>
  <c r="B469" i="43"/>
  <c r="B468" i="43"/>
  <c r="B467" i="43"/>
  <c r="B466" i="43"/>
  <c r="B465" i="43"/>
  <c r="B464" i="43"/>
  <c r="B463" i="43"/>
  <c r="B462" i="43"/>
  <c r="B461" i="43"/>
  <c r="B460" i="43"/>
  <c r="B459" i="43"/>
  <c r="B458" i="43"/>
  <c r="B457" i="43"/>
  <c r="B456" i="43"/>
  <c r="B455" i="43"/>
  <c r="B454" i="43"/>
  <c r="B453" i="43"/>
  <c r="B451" i="43"/>
  <c r="B450" i="43"/>
  <c r="B449" i="43"/>
  <c r="B448" i="43"/>
  <c r="B447" i="43"/>
  <c r="B446" i="43"/>
  <c r="B445" i="43"/>
  <c r="B444" i="43"/>
  <c r="B443" i="43"/>
  <c r="B442" i="43"/>
  <c r="B441" i="43"/>
  <c r="B440" i="43"/>
  <c r="B439" i="43"/>
  <c r="B438" i="43"/>
  <c r="B437" i="43"/>
  <c r="B436" i="43"/>
  <c r="B435" i="43"/>
  <c r="B434" i="43"/>
  <c r="B433" i="43"/>
  <c r="B432" i="43"/>
  <c r="B431" i="43"/>
  <c r="B430" i="43"/>
  <c r="B429" i="43"/>
  <c r="B428" i="43"/>
  <c r="B427" i="43"/>
  <c r="B426" i="43"/>
  <c r="B425" i="43"/>
  <c r="B424" i="43"/>
  <c r="B423" i="43"/>
  <c r="B422" i="43"/>
  <c r="B421" i="43"/>
  <c r="B420" i="43"/>
  <c r="B419" i="43"/>
  <c r="B418" i="43"/>
  <c r="B417" i="43"/>
  <c r="B416" i="43"/>
  <c r="B415" i="43"/>
  <c r="B414" i="43"/>
  <c r="B413" i="43"/>
  <c r="B412" i="43"/>
  <c r="B411" i="43"/>
  <c r="B410" i="43"/>
  <c r="B409" i="43"/>
  <c r="B408" i="43"/>
  <c r="B407" i="43"/>
  <c r="B406" i="43"/>
  <c r="B405" i="43"/>
  <c r="B404" i="43"/>
  <c r="B403" i="43"/>
  <c r="B402" i="43"/>
  <c r="B401" i="43"/>
  <c r="B400" i="43"/>
  <c r="B399" i="43"/>
  <c r="B398" i="43"/>
  <c r="B397" i="43"/>
  <c r="B396" i="43"/>
  <c r="B394" i="43"/>
  <c r="B393" i="43"/>
  <c r="B392" i="43"/>
  <c r="B391" i="43"/>
  <c r="B390" i="43"/>
  <c r="B389" i="43"/>
  <c r="B388" i="43"/>
  <c r="B387" i="43"/>
  <c r="B386" i="43"/>
  <c r="B385" i="43"/>
  <c r="B384" i="43"/>
  <c r="B383" i="43"/>
  <c r="B382" i="43"/>
  <c r="B381" i="43"/>
  <c r="B380" i="43"/>
  <c r="B379" i="43"/>
  <c r="B378" i="43"/>
  <c r="B377" i="43"/>
  <c r="B376" i="43"/>
  <c r="B375" i="43"/>
  <c r="B374" i="43"/>
  <c r="B373" i="43"/>
  <c r="B372" i="43"/>
  <c r="B371" i="43"/>
  <c r="B370" i="43"/>
  <c r="B369" i="43"/>
  <c r="B368" i="43"/>
  <c r="B367" i="43"/>
  <c r="B366" i="43"/>
  <c r="B365" i="43"/>
  <c r="B364" i="43"/>
  <c r="B362" i="43"/>
  <c r="B361" i="43"/>
  <c r="B360" i="43"/>
  <c r="B359" i="43"/>
  <c r="B358" i="43"/>
  <c r="B357" i="43"/>
  <c r="B356" i="43"/>
  <c r="B355" i="43"/>
  <c r="B354" i="43"/>
  <c r="B353" i="43"/>
  <c r="B352" i="43"/>
  <c r="B351" i="43"/>
  <c r="B350" i="43"/>
  <c r="B349" i="43"/>
  <c r="B348" i="43"/>
  <c r="B347" i="43"/>
  <c r="B346" i="43"/>
  <c r="B345" i="43"/>
  <c r="B344" i="43"/>
  <c r="B343" i="43"/>
  <c r="B342" i="43"/>
  <c r="B341" i="43"/>
  <c r="B340" i="43"/>
  <c r="B339" i="43"/>
  <c r="B338" i="43"/>
  <c r="B337" i="43"/>
  <c r="B336" i="43"/>
  <c r="B335" i="43"/>
  <c r="B334" i="43"/>
  <c r="B333" i="43"/>
  <c r="B331" i="43"/>
  <c r="B330" i="43"/>
  <c r="B329" i="43"/>
  <c r="B328" i="43"/>
  <c r="B327" i="43"/>
  <c r="B326" i="43"/>
  <c r="B325" i="43"/>
  <c r="B324" i="43"/>
  <c r="B323" i="43"/>
  <c r="B322" i="43"/>
  <c r="B321" i="43"/>
  <c r="B320" i="43"/>
  <c r="B319" i="43"/>
  <c r="B318" i="43"/>
  <c r="B317" i="43"/>
  <c r="B316" i="43"/>
  <c r="B315" i="43"/>
  <c r="B314" i="43"/>
  <c r="B313" i="43"/>
  <c r="B312" i="43"/>
  <c r="B311" i="43"/>
  <c r="B310" i="43"/>
  <c r="B309" i="43"/>
  <c r="B308" i="43"/>
  <c r="B307" i="43"/>
  <c r="B306" i="43"/>
  <c r="B305" i="43"/>
  <c r="B304" i="43"/>
  <c r="B303" i="43"/>
  <c r="B302" i="43"/>
  <c r="B301" i="43"/>
  <c r="B300" i="43"/>
  <c r="B298" i="43"/>
  <c r="B297" i="43"/>
  <c r="B296" i="43"/>
  <c r="B295" i="43"/>
  <c r="B294" i="43"/>
  <c r="B293" i="43"/>
  <c r="B292" i="43"/>
  <c r="B291" i="43"/>
  <c r="B290" i="43"/>
  <c r="B289" i="43"/>
  <c r="B288" i="43"/>
  <c r="B287" i="43"/>
  <c r="B286" i="43"/>
  <c r="B285" i="43"/>
  <c r="B284" i="43"/>
  <c r="B283" i="43"/>
  <c r="B282" i="43"/>
  <c r="B281" i="43"/>
  <c r="B280" i="43"/>
  <c r="B279" i="43"/>
  <c r="B278" i="43"/>
  <c r="B277" i="43"/>
  <c r="B276" i="43"/>
  <c r="B275" i="43"/>
  <c r="B274" i="43"/>
  <c r="B273" i="43"/>
  <c r="B272" i="43"/>
  <c r="B271" i="43"/>
  <c r="B270" i="43"/>
  <c r="B269" i="43"/>
  <c r="B268" i="43"/>
  <c r="B267" i="43"/>
  <c r="B266" i="43"/>
  <c r="B265" i="43"/>
  <c r="B264" i="43"/>
  <c r="B263" i="43"/>
  <c r="B261" i="43"/>
  <c r="B260" i="43"/>
  <c r="B259" i="43"/>
  <c r="B258" i="43"/>
  <c r="B257" i="43"/>
  <c r="B256" i="43"/>
  <c r="B255" i="43"/>
  <c r="B254" i="43"/>
  <c r="B253" i="43"/>
  <c r="B252" i="43"/>
  <c r="B251" i="43"/>
  <c r="B250" i="43"/>
  <c r="B249" i="43"/>
  <c r="B248" i="43"/>
  <c r="B247" i="43"/>
  <c r="B246" i="43"/>
  <c r="B245" i="43"/>
  <c r="B244" i="43"/>
  <c r="B243" i="43"/>
  <c r="B242" i="43"/>
  <c r="B241" i="43"/>
  <c r="B240" i="43"/>
  <c r="B239" i="43"/>
  <c r="B238" i="43"/>
  <c r="B237" i="43"/>
  <c r="B236" i="43"/>
  <c r="B235" i="43"/>
  <c r="B234" i="43"/>
  <c r="B233" i="43"/>
  <c r="B232" i="43"/>
  <c r="B231" i="43"/>
  <c r="B230" i="43"/>
  <c r="B229" i="43"/>
  <c r="B228" i="43"/>
  <c r="B227" i="43"/>
  <c r="B226" i="43"/>
  <c r="B225" i="43"/>
  <c r="B224" i="43"/>
  <c r="B223" i="43"/>
  <c r="B221" i="43"/>
  <c r="B220" i="43"/>
  <c r="B219" i="43"/>
  <c r="B218" i="43"/>
  <c r="B217" i="43"/>
  <c r="B216" i="43"/>
  <c r="B215" i="43"/>
  <c r="B214" i="43"/>
  <c r="B213" i="43"/>
  <c r="B212" i="43"/>
  <c r="B211" i="43"/>
  <c r="B210" i="43"/>
  <c r="B209" i="43"/>
  <c r="B208" i="43"/>
  <c r="B207" i="43"/>
  <c r="B206" i="43"/>
  <c r="B205" i="43"/>
  <c r="B204" i="43"/>
  <c r="B203" i="43"/>
  <c r="B202" i="43"/>
  <c r="B201" i="43"/>
  <c r="B200" i="43"/>
  <c r="B199" i="43"/>
  <c r="B198" i="43"/>
  <c r="B197" i="43"/>
  <c r="B196" i="43"/>
  <c r="B195" i="43"/>
  <c r="B193" i="43"/>
  <c r="B192" i="43"/>
  <c r="B191" i="43"/>
  <c r="B190" i="43"/>
  <c r="B189" i="43"/>
  <c r="B188" i="43"/>
  <c r="B187" i="43"/>
  <c r="B186" i="43"/>
  <c r="B185" i="43"/>
  <c r="B184" i="43"/>
  <c r="B183" i="43"/>
  <c r="B182" i="43"/>
  <c r="B181" i="43"/>
  <c r="B180" i="43"/>
  <c r="B179" i="43"/>
  <c r="B178" i="43"/>
  <c r="B177" i="43"/>
  <c r="B176" i="43"/>
  <c r="B175" i="43"/>
  <c r="B174" i="43"/>
  <c r="B173" i="43"/>
  <c r="B172" i="43"/>
  <c r="B171" i="43"/>
  <c r="B170" i="43"/>
  <c r="B169" i="43"/>
  <c r="B168" i="43"/>
  <c r="B166" i="43"/>
  <c r="B165" i="43"/>
  <c r="B164" i="43"/>
  <c r="B163" i="43"/>
  <c r="B162" i="43"/>
  <c r="B161" i="43"/>
  <c r="B160" i="43"/>
  <c r="B159" i="43"/>
  <c r="B158" i="43"/>
  <c r="B157" i="43"/>
  <c r="B156" i="43"/>
  <c r="B155" i="43"/>
  <c r="B154" i="43"/>
  <c r="B153" i="43"/>
  <c r="B152" i="43"/>
  <c r="B151" i="43"/>
  <c r="B150" i="43"/>
  <c r="B149" i="43"/>
  <c r="B148" i="43"/>
  <c r="B147" i="43"/>
  <c r="B146" i="43"/>
  <c r="B145" i="43"/>
  <c r="B144" i="43"/>
  <c r="B143" i="43"/>
  <c r="B142" i="43"/>
  <c r="B141" i="43"/>
  <c r="B140" i="43"/>
  <c r="B139" i="43"/>
  <c r="B138" i="43"/>
  <c r="B137" i="43"/>
  <c r="B135" i="43"/>
  <c r="B134" i="43"/>
  <c r="B133" i="43"/>
  <c r="B132" i="43"/>
  <c r="B131" i="43"/>
  <c r="B130" i="43"/>
  <c r="B129" i="43"/>
  <c r="B128" i="43"/>
  <c r="B127" i="43"/>
  <c r="B126" i="43"/>
  <c r="B125" i="43"/>
  <c r="B124" i="43"/>
  <c r="B123" i="43"/>
  <c r="B122" i="43"/>
  <c r="B121" i="43"/>
  <c r="B120" i="43"/>
  <c r="B119" i="43"/>
  <c r="B118" i="43"/>
  <c r="B117" i="43"/>
  <c r="B116" i="43"/>
  <c r="B115" i="43"/>
  <c r="B114" i="43"/>
  <c r="B113" i="43"/>
  <c r="B112" i="43"/>
  <c r="B111" i="43"/>
  <c r="B110" i="43"/>
  <c r="B108" i="43"/>
  <c r="B107" i="43"/>
  <c r="B106" i="43"/>
  <c r="B105" i="43"/>
  <c r="B104" i="43"/>
  <c r="B103" i="43"/>
  <c r="B102" i="43"/>
  <c r="B101" i="43"/>
  <c r="B100" i="43"/>
  <c r="B99" i="43"/>
  <c r="B98" i="43"/>
  <c r="B97" i="43"/>
  <c r="B96" i="43"/>
  <c r="B94" i="43"/>
  <c r="B93" i="43"/>
  <c r="B92" i="43"/>
  <c r="B91" i="43"/>
  <c r="B90" i="43"/>
  <c r="B89" i="43"/>
  <c r="B88" i="43"/>
  <c r="B87" i="43"/>
  <c r="B86" i="43"/>
  <c r="B85" i="43"/>
  <c r="B84" i="43"/>
  <c r="B83" i="43"/>
  <c r="B81" i="43"/>
  <c r="B80" i="43"/>
  <c r="B79" i="43"/>
  <c r="B78" i="43"/>
  <c r="B77" i="43"/>
  <c r="B76" i="43"/>
  <c r="B75" i="43"/>
  <c r="B74" i="43"/>
  <c r="B73" i="43"/>
  <c r="B72" i="43"/>
  <c r="B71" i="43"/>
  <c r="B70" i="43"/>
  <c r="B69" i="43"/>
  <c r="B68" i="43"/>
  <c r="B67" i="43"/>
  <c r="B66" i="43"/>
  <c r="B65" i="43"/>
  <c r="B64" i="43"/>
  <c r="B63" i="43"/>
  <c r="B62" i="43"/>
  <c r="B61" i="43"/>
  <c r="B60" i="43"/>
  <c r="B59" i="43"/>
  <c r="B58" i="43"/>
  <c r="B57" i="43"/>
  <c r="B56" i="43"/>
  <c r="B54" i="43"/>
  <c r="B53" i="43"/>
  <c r="B52" i="43"/>
  <c r="B51" i="43"/>
  <c r="B50" i="43"/>
  <c r="B49" i="43"/>
  <c r="B48" i="43"/>
  <c r="B47" i="43"/>
  <c r="B46" i="43"/>
  <c r="B45" i="43"/>
  <c r="B44" i="43"/>
  <c r="B43" i="43"/>
  <c r="B42" i="43"/>
  <c r="B41" i="43"/>
  <c r="B40" i="43"/>
  <c r="B39" i="43"/>
  <c r="B38" i="43"/>
  <c r="B37" i="43"/>
  <c r="B36" i="43"/>
  <c r="B35" i="43"/>
  <c r="B34" i="43"/>
  <c r="B32" i="43"/>
  <c r="B31" i="43"/>
  <c r="B30" i="43"/>
  <c r="B29" i="43"/>
  <c r="B28" i="43"/>
  <c r="B27" i="43"/>
  <c r="B26" i="43"/>
  <c r="B25" i="43"/>
  <c r="B24" i="43"/>
  <c r="B23" i="43"/>
  <c r="B22" i="43"/>
  <c r="B21" i="43"/>
  <c r="B20" i="43"/>
  <c r="B19" i="43"/>
  <c r="B18" i="43"/>
  <c r="B17" i="43"/>
  <c r="B16" i="43"/>
  <c r="B15" i="43"/>
  <c r="B14" i="43"/>
  <c r="B13" i="43"/>
  <c r="B11" i="43"/>
  <c r="B10" i="43"/>
  <c r="B9" i="43"/>
  <c r="B8" i="43"/>
  <c r="B7" i="43"/>
  <c r="B6" i="43"/>
  <c r="B5" i="43"/>
  <c r="B3" i="43"/>
  <c r="B2" i="43"/>
  <c r="F263" i="99"/>
  <c r="E263" i="99"/>
  <c r="E260" i="99"/>
  <c r="E259" i="99"/>
  <c r="D259" i="99"/>
  <c r="B257" i="99"/>
  <c r="B256" i="99"/>
  <c r="F255" i="99"/>
  <c r="B252" i="99"/>
  <c r="F251" i="99"/>
  <c r="B250" i="99"/>
  <c r="B249" i="99"/>
  <c r="B247" i="99"/>
  <c r="B246" i="99"/>
  <c r="B245" i="99"/>
  <c r="F244" i="99"/>
  <c r="B243" i="99"/>
  <c r="B241" i="99"/>
  <c r="F240" i="99"/>
  <c r="B239" i="99"/>
  <c r="B237" i="99"/>
  <c r="B236" i="99"/>
  <c r="F235" i="99"/>
  <c r="B232" i="99"/>
  <c r="B231" i="99"/>
  <c r="B230" i="99"/>
  <c r="B229" i="99"/>
  <c r="B228" i="99"/>
  <c r="F227" i="99"/>
  <c r="B223" i="99"/>
  <c r="F222" i="99"/>
  <c r="B220" i="99"/>
  <c r="E219" i="99"/>
  <c r="B219" i="99"/>
  <c r="E218" i="99"/>
  <c r="B218" i="99"/>
  <c r="B214" i="99"/>
  <c r="F213" i="99"/>
  <c r="E211" i="99"/>
  <c r="B211" i="99"/>
  <c r="E210" i="99"/>
  <c r="B210" i="99"/>
  <c r="B206" i="99"/>
  <c r="F205" i="99"/>
  <c r="E203" i="99"/>
  <c r="B203" i="99"/>
  <c r="E202" i="99"/>
  <c r="B202" i="99"/>
  <c r="B198" i="99"/>
  <c r="F197" i="99"/>
  <c r="E195" i="99"/>
  <c r="B195" i="99"/>
  <c r="E194" i="99"/>
  <c r="B194" i="99"/>
  <c r="B190" i="99"/>
  <c r="F189" i="99"/>
  <c r="E187" i="99"/>
  <c r="B187" i="99"/>
  <c r="E186" i="99"/>
  <c r="B186" i="99"/>
  <c r="B182" i="99"/>
  <c r="F181" i="99"/>
  <c r="E179" i="99"/>
  <c r="B179" i="99"/>
  <c r="E178" i="99"/>
  <c r="B178" i="99"/>
  <c r="B174" i="99"/>
  <c r="F173" i="99"/>
  <c r="E171" i="99"/>
  <c r="B171" i="99"/>
  <c r="E170" i="99"/>
  <c r="B170" i="99"/>
  <c r="B166" i="99"/>
  <c r="F165" i="99"/>
  <c r="E163" i="99"/>
  <c r="B163" i="99"/>
  <c r="E162" i="99"/>
  <c r="B162" i="99"/>
  <c r="B159" i="99"/>
  <c r="F158" i="99"/>
  <c r="E157" i="99"/>
  <c r="B157" i="99"/>
  <c r="E156" i="99"/>
  <c r="B156" i="99"/>
  <c r="B154" i="99"/>
  <c r="F153" i="99"/>
  <c r="E152" i="99"/>
  <c r="B152" i="99"/>
  <c r="E151" i="99"/>
  <c r="B151" i="99"/>
  <c r="B149" i="99"/>
  <c r="F148" i="99"/>
  <c r="E147" i="99"/>
  <c r="B147" i="99"/>
  <c r="E146" i="99"/>
  <c r="B146" i="99"/>
  <c r="F144" i="99"/>
  <c r="E143" i="99"/>
  <c r="B143" i="99"/>
  <c r="E142" i="99"/>
  <c r="B142" i="99"/>
  <c r="B141" i="99"/>
  <c r="B140" i="99"/>
  <c r="F138" i="99"/>
  <c r="B138" i="99"/>
  <c r="F137" i="99"/>
  <c r="B134" i="99"/>
  <c r="F133" i="99"/>
  <c r="B133" i="99"/>
  <c r="F132" i="99"/>
  <c r="B131" i="99"/>
  <c r="B130" i="99"/>
  <c r="B129" i="99"/>
  <c r="B128" i="99"/>
  <c r="B127" i="99"/>
  <c r="E125" i="99"/>
  <c r="B125" i="99"/>
  <c r="E124" i="99"/>
  <c r="B124" i="99"/>
  <c r="E123" i="99"/>
  <c r="B123" i="99"/>
  <c r="F122" i="99"/>
  <c r="B122" i="99"/>
  <c r="F121" i="99"/>
  <c r="E119" i="99"/>
  <c r="B119" i="99"/>
  <c r="E118" i="99"/>
  <c r="B118" i="99"/>
  <c r="E117" i="99"/>
  <c r="B117" i="99"/>
  <c r="F116" i="99"/>
  <c r="B116" i="99"/>
  <c r="F115" i="99"/>
  <c r="E113" i="99"/>
  <c r="B113" i="99"/>
  <c r="E112" i="99"/>
  <c r="B112" i="99"/>
  <c r="E111" i="99"/>
  <c r="B111" i="99"/>
  <c r="F110" i="99"/>
  <c r="B110" i="99"/>
  <c r="F109" i="99"/>
  <c r="B107" i="99"/>
  <c r="E106" i="99"/>
  <c r="B106" i="99"/>
  <c r="E105" i="99"/>
  <c r="B105" i="99"/>
  <c r="E104" i="99"/>
  <c r="B104" i="99"/>
  <c r="B103" i="99"/>
  <c r="F102" i="99"/>
  <c r="B101" i="99"/>
  <c r="B100" i="99"/>
  <c r="B99" i="99"/>
  <c r="B98" i="99"/>
  <c r="B97" i="99"/>
  <c r="B96" i="99"/>
  <c r="B95" i="99"/>
  <c r="B94" i="99"/>
  <c r="B93" i="99"/>
  <c r="B92" i="99"/>
  <c r="B91" i="99"/>
  <c r="B90" i="99"/>
  <c r="B89" i="99"/>
  <c r="B88" i="99"/>
  <c r="B86" i="99"/>
  <c r="E85" i="99"/>
  <c r="B85" i="99"/>
  <c r="E84" i="99"/>
  <c r="B84" i="99"/>
  <c r="E83" i="99"/>
  <c r="B83" i="99"/>
  <c r="D82" i="99"/>
  <c r="B82" i="99"/>
  <c r="F81" i="99"/>
  <c r="B80" i="99"/>
  <c r="B79" i="99"/>
  <c r="E78" i="99"/>
  <c r="B78" i="99"/>
  <c r="B77" i="99"/>
  <c r="E76" i="99"/>
  <c r="B76" i="99"/>
  <c r="B75" i="99"/>
  <c r="B74" i="99"/>
  <c r="B73" i="99"/>
  <c r="B71" i="99"/>
  <c r="B70" i="99"/>
  <c r="B69" i="99"/>
  <c r="B68" i="99"/>
  <c r="B67" i="99"/>
  <c r="B66" i="99"/>
  <c r="B65" i="99"/>
  <c r="B64" i="99"/>
  <c r="B63" i="99"/>
  <c r="B62" i="99"/>
  <c r="B61" i="99"/>
  <c r="B60" i="99"/>
  <c r="B59" i="99"/>
  <c r="B58" i="99"/>
  <c r="B57" i="99"/>
  <c r="B56" i="99"/>
  <c r="B55" i="99"/>
  <c r="B54" i="99"/>
  <c r="B53" i="99"/>
  <c r="E52" i="99"/>
  <c r="B52" i="99"/>
  <c r="E51" i="99"/>
  <c r="B51" i="99"/>
  <c r="B50" i="99"/>
  <c r="B49" i="99"/>
  <c r="B48" i="99"/>
  <c r="B47" i="99"/>
  <c r="B46" i="99"/>
  <c r="E45" i="99"/>
  <c r="B45" i="99"/>
  <c r="B44" i="99"/>
  <c r="B43" i="99"/>
  <c r="B42" i="99"/>
  <c r="F41" i="99"/>
  <c r="E40" i="99"/>
  <c r="B40" i="99"/>
  <c r="B39" i="99"/>
  <c r="B38" i="99"/>
  <c r="B37" i="99"/>
  <c r="B36" i="99"/>
  <c r="B35" i="99"/>
  <c r="B34" i="99"/>
  <c r="E33" i="99"/>
  <c r="B33" i="99"/>
  <c r="B32" i="99"/>
  <c r="B31" i="99"/>
  <c r="B30" i="99"/>
  <c r="B29" i="99"/>
  <c r="B28" i="99"/>
  <c r="B27" i="99"/>
  <c r="B26" i="99"/>
  <c r="B25" i="99"/>
  <c r="B23" i="99"/>
  <c r="B22" i="99"/>
  <c r="B21" i="99"/>
  <c r="B20" i="99"/>
  <c r="B19" i="99"/>
  <c r="B18" i="99"/>
  <c r="B17" i="99"/>
  <c r="B16" i="99"/>
  <c r="E15" i="99"/>
  <c r="B15" i="99"/>
  <c r="E14" i="99"/>
  <c r="B14" i="99"/>
  <c r="E13" i="99"/>
  <c r="B13" i="99"/>
  <c r="F10" i="99"/>
  <c r="F8" i="99"/>
  <c r="F6" i="99"/>
  <c r="B6" i="99"/>
  <c r="F5" i="99"/>
  <c r="B3" i="99"/>
  <c r="D1010" i="102"/>
  <c r="E1005" i="102"/>
  <c r="F994" i="102"/>
  <c r="F993" i="102"/>
  <c r="F990" i="102"/>
  <c r="B990" i="102"/>
  <c r="F989" i="102"/>
  <c r="B986" i="102"/>
  <c r="B985" i="102"/>
  <c r="F984" i="102"/>
  <c r="B984" i="102"/>
  <c r="F983" i="102"/>
  <c r="B980" i="102"/>
  <c r="B979" i="102"/>
  <c r="F978" i="102"/>
  <c r="B978" i="102"/>
  <c r="F977" i="102"/>
  <c r="B977" i="102"/>
  <c r="F976" i="102"/>
  <c r="B973" i="102"/>
  <c r="B972" i="102"/>
  <c r="B971" i="102"/>
  <c r="E970" i="102"/>
  <c r="B970" i="102"/>
  <c r="F969" i="102"/>
  <c r="B969" i="102"/>
  <c r="F968" i="102"/>
  <c r="B968" i="102"/>
  <c r="F967" i="102"/>
  <c r="B964" i="102"/>
  <c r="B963" i="102"/>
  <c r="B962" i="102"/>
  <c r="E961" i="102"/>
  <c r="B961" i="102"/>
  <c r="F960" i="102"/>
  <c r="B960" i="102"/>
  <c r="F959" i="102"/>
  <c r="B959" i="102"/>
  <c r="F958" i="102"/>
  <c r="B956" i="102"/>
  <c r="B954" i="102"/>
  <c r="B953" i="102"/>
  <c r="B952" i="102"/>
  <c r="B951" i="102"/>
  <c r="B950" i="102"/>
  <c r="E949" i="102"/>
  <c r="B949" i="102"/>
  <c r="F948" i="102"/>
  <c r="B948" i="102"/>
  <c r="B947" i="102"/>
  <c r="F946" i="102"/>
  <c r="B946" i="102"/>
  <c r="F945" i="102"/>
  <c r="E944" i="102"/>
  <c r="B944" i="102"/>
  <c r="E943" i="102"/>
  <c r="B943" i="102"/>
  <c r="B942" i="102"/>
  <c r="B941" i="102"/>
  <c r="B939" i="102"/>
  <c r="B938" i="102"/>
  <c r="B937" i="102"/>
  <c r="B936" i="102"/>
  <c r="E935" i="102"/>
  <c r="B935" i="102"/>
  <c r="B934" i="102"/>
  <c r="B933" i="102"/>
  <c r="F932" i="102"/>
  <c r="B932" i="102"/>
  <c r="F931" i="102"/>
  <c r="B931" i="102"/>
  <c r="F930" i="102"/>
  <c r="E928" i="102"/>
  <c r="B928" i="102"/>
  <c r="E927" i="102"/>
  <c r="B927" i="102"/>
  <c r="B925" i="102"/>
  <c r="B924" i="102"/>
  <c r="B923" i="102"/>
  <c r="B922" i="102"/>
  <c r="B921" i="102"/>
  <c r="E920" i="102"/>
  <c r="B920" i="102"/>
  <c r="B919" i="102"/>
  <c r="F918" i="102"/>
  <c r="B918" i="102"/>
  <c r="F917" i="102"/>
  <c r="B914" i="102"/>
  <c r="F913" i="102"/>
  <c r="B913" i="102"/>
  <c r="B912" i="102"/>
  <c r="B911" i="102"/>
  <c r="E910" i="102"/>
  <c r="B910" i="102"/>
  <c r="B909" i="102"/>
  <c r="F908" i="102"/>
  <c r="B908" i="102"/>
  <c r="F907" i="102"/>
  <c r="B904" i="102"/>
  <c r="B903" i="102"/>
  <c r="B902" i="102"/>
  <c r="E901" i="102"/>
  <c r="B901" i="102"/>
  <c r="B900" i="102"/>
  <c r="B899" i="102"/>
  <c r="B898" i="102"/>
  <c r="F897" i="102"/>
  <c r="B897" i="102"/>
  <c r="F896" i="102"/>
  <c r="B893" i="102"/>
  <c r="B892" i="102"/>
  <c r="B891" i="102"/>
  <c r="E890" i="102"/>
  <c r="B890" i="102"/>
  <c r="B889" i="102"/>
  <c r="F888" i="102"/>
  <c r="B888" i="102"/>
  <c r="F887" i="102"/>
  <c r="B886" i="102"/>
  <c r="B885" i="102"/>
  <c r="B883" i="102"/>
  <c r="E882" i="102"/>
  <c r="B882" i="102"/>
  <c r="B881" i="102"/>
  <c r="F880" i="102"/>
  <c r="B880" i="102"/>
  <c r="F879" i="102"/>
  <c r="B876" i="102"/>
  <c r="E875" i="102"/>
  <c r="B875" i="102"/>
  <c r="B874" i="102"/>
  <c r="F873" i="102"/>
  <c r="B873" i="102"/>
  <c r="F872" i="102"/>
  <c r="B869" i="102"/>
  <c r="B868" i="102"/>
  <c r="B867" i="102"/>
  <c r="B866" i="102"/>
  <c r="B865" i="102"/>
  <c r="F864" i="102"/>
  <c r="B864" i="102"/>
  <c r="F863" i="102"/>
  <c r="B860" i="102"/>
  <c r="B859" i="102"/>
  <c r="B858" i="102"/>
  <c r="B857" i="102"/>
  <c r="B856" i="102"/>
  <c r="F855" i="102"/>
  <c r="B855" i="102"/>
  <c r="F854" i="102"/>
  <c r="B853" i="102"/>
  <c r="B852" i="102"/>
  <c r="B850" i="102"/>
  <c r="B849" i="102"/>
  <c r="B848" i="102"/>
  <c r="B847" i="102"/>
  <c r="B846" i="102"/>
  <c r="B845" i="102"/>
  <c r="B844" i="102"/>
  <c r="B843" i="102"/>
  <c r="B842" i="102"/>
  <c r="F841" i="102"/>
  <c r="B841" i="102"/>
  <c r="F840" i="102"/>
  <c r="B838" i="102"/>
  <c r="B836" i="102"/>
  <c r="B835" i="102"/>
  <c r="B834" i="102"/>
  <c r="B833" i="102"/>
  <c r="B832" i="102"/>
  <c r="B831" i="102"/>
  <c r="B830" i="102"/>
  <c r="B829" i="102"/>
  <c r="F828" i="102"/>
  <c r="B828" i="102"/>
  <c r="F827" i="102"/>
  <c r="B826" i="102"/>
  <c r="B825" i="102"/>
  <c r="B824" i="102"/>
  <c r="B823" i="102"/>
  <c r="B822" i="102"/>
  <c r="B820" i="102"/>
  <c r="B819" i="102"/>
  <c r="B818" i="102"/>
  <c r="B817" i="102"/>
  <c r="B816" i="102"/>
  <c r="B815" i="102"/>
  <c r="B814" i="102"/>
  <c r="B813" i="102"/>
  <c r="B812" i="102"/>
  <c r="F811" i="102"/>
  <c r="B811" i="102"/>
  <c r="F810" i="102"/>
  <c r="B809" i="102"/>
  <c r="B808" i="102"/>
  <c r="B807" i="102"/>
  <c r="B806" i="102"/>
  <c r="B805" i="102"/>
  <c r="B804" i="102"/>
  <c r="B802" i="102"/>
  <c r="B801" i="102"/>
  <c r="B800" i="102"/>
  <c r="B799" i="102"/>
  <c r="B798" i="102"/>
  <c r="B797" i="102"/>
  <c r="B796" i="102"/>
  <c r="E795" i="102"/>
  <c r="B795" i="102"/>
  <c r="B794" i="102"/>
  <c r="F793" i="102"/>
  <c r="B793" i="102"/>
  <c r="F792" i="102"/>
  <c r="B791" i="102"/>
  <c r="B789" i="102"/>
  <c r="B788" i="102"/>
  <c r="B787" i="102"/>
  <c r="B786" i="102"/>
  <c r="B785" i="102"/>
  <c r="B784" i="102"/>
  <c r="B783" i="102"/>
  <c r="B782" i="102"/>
  <c r="B781" i="102"/>
  <c r="B780" i="102"/>
  <c r="E779" i="102"/>
  <c r="B779" i="102"/>
  <c r="B778" i="102"/>
  <c r="B777" i="102"/>
  <c r="B776" i="102"/>
  <c r="B775" i="102"/>
  <c r="F774" i="102"/>
  <c r="B774" i="102"/>
  <c r="F773" i="102"/>
  <c r="B772" i="102"/>
  <c r="B771" i="102"/>
  <c r="B769" i="102"/>
  <c r="B768" i="102"/>
  <c r="B767" i="102"/>
  <c r="B766" i="102"/>
  <c r="B765" i="102"/>
  <c r="B764" i="102"/>
  <c r="E763" i="102"/>
  <c r="B763" i="102"/>
  <c r="B762" i="102"/>
  <c r="F761" i="102"/>
  <c r="B761" i="102"/>
  <c r="F760" i="102"/>
  <c r="B759" i="102"/>
  <c r="B758" i="102"/>
  <c r="B757" i="102"/>
  <c r="B755" i="102"/>
  <c r="B754" i="102"/>
  <c r="E753" i="102"/>
  <c r="B753" i="102"/>
  <c r="F752" i="102"/>
  <c r="B752" i="102"/>
  <c r="F751" i="102"/>
  <c r="B749" i="102"/>
  <c r="B748" i="102"/>
  <c r="B745" i="102"/>
  <c r="B744" i="102"/>
  <c r="B743" i="102"/>
  <c r="B742" i="102"/>
  <c r="B741" i="102"/>
  <c r="E740" i="102"/>
  <c r="B740" i="102"/>
  <c r="F739" i="102"/>
  <c r="B739" i="102"/>
  <c r="F738" i="102"/>
  <c r="B737" i="102"/>
  <c r="B736" i="102"/>
  <c r="B735" i="102"/>
  <c r="B733" i="102"/>
  <c r="B732" i="102"/>
  <c r="E731" i="102"/>
  <c r="B731" i="102"/>
  <c r="F730" i="102"/>
  <c r="B730" i="102"/>
  <c r="F729" i="102"/>
  <c r="B728" i="102"/>
  <c r="B727" i="102"/>
  <c r="B726" i="102"/>
  <c r="B725" i="102"/>
  <c r="B723" i="102"/>
  <c r="B722" i="102"/>
  <c r="B721" i="102"/>
  <c r="B720" i="102"/>
  <c r="E719" i="102"/>
  <c r="B719" i="102"/>
  <c r="F718" i="102"/>
  <c r="B718" i="102"/>
  <c r="F717" i="102"/>
  <c r="B716" i="102"/>
  <c r="B715" i="102"/>
  <c r="B714" i="102"/>
  <c r="B713" i="102"/>
  <c r="B712" i="102"/>
  <c r="B710" i="102"/>
  <c r="B709" i="102"/>
  <c r="E708" i="102"/>
  <c r="B708" i="102"/>
  <c r="F707" i="102"/>
  <c r="B707" i="102"/>
  <c r="F706" i="102"/>
  <c r="B705" i="102"/>
  <c r="B704" i="102"/>
  <c r="B703" i="102"/>
  <c r="B702" i="102"/>
  <c r="B701" i="102"/>
  <c r="B700" i="102"/>
  <c r="B699" i="102"/>
  <c r="B698" i="102"/>
  <c r="B695" i="102"/>
  <c r="B694" i="102"/>
  <c r="E693" i="102"/>
  <c r="B693" i="102"/>
  <c r="F692" i="102"/>
  <c r="B692" i="102"/>
  <c r="F691" i="102"/>
  <c r="B690" i="102"/>
  <c r="B689" i="102"/>
  <c r="B688" i="102"/>
  <c r="B687" i="102"/>
  <c r="B686" i="102"/>
  <c r="B685" i="102"/>
  <c r="B684" i="102"/>
  <c r="B681" i="102"/>
  <c r="B680" i="102"/>
  <c r="B679" i="102"/>
  <c r="B678" i="102"/>
  <c r="B677" i="102"/>
  <c r="B676" i="102"/>
  <c r="E675" i="102"/>
  <c r="B675" i="102"/>
  <c r="F674" i="102"/>
  <c r="B674" i="102"/>
  <c r="F673" i="102"/>
  <c r="B672" i="102"/>
  <c r="B671" i="102"/>
  <c r="B670" i="102"/>
  <c r="B669" i="102"/>
  <c r="F668" i="102"/>
  <c r="B668" i="102"/>
  <c r="B667" i="102"/>
  <c r="E666" i="102"/>
  <c r="B666" i="102"/>
  <c r="B665" i="102"/>
  <c r="B663" i="102"/>
  <c r="B682" i="102"/>
  <c r="B696" i="102"/>
  <c r="B662" i="102"/>
  <c r="B661" i="102"/>
  <c r="B660" i="102"/>
  <c r="B659" i="102"/>
  <c r="F658" i="102"/>
  <c r="B658" i="102"/>
  <c r="F657" i="102"/>
  <c r="B656" i="102"/>
  <c r="B655" i="102"/>
  <c r="B654" i="102"/>
  <c r="B653" i="102"/>
  <c r="B652" i="102"/>
  <c r="B651" i="102"/>
  <c r="B649" i="102"/>
  <c r="F648" i="102"/>
  <c r="B648" i="102"/>
  <c r="B647" i="102"/>
  <c r="B646" i="102"/>
  <c r="B645" i="102"/>
  <c r="C644" i="102"/>
  <c r="B643" i="102"/>
  <c r="B642" i="102"/>
  <c r="B644" i="102"/>
  <c r="F641" i="102"/>
  <c r="F640" i="102"/>
  <c r="B639" i="102"/>
  <c r="B638" i="102"/>
  <c r="B637" i="102"/>
  <c r="B636" i="102"/>
  <c r="B633" i="102"/>
  <c r="B632" i="102"/>
  <c r="B631" i="102"/>
  <c r="B630" i="102"/>
  <c r="B629" i="102"/>
  <c r="F628" i="102"/>
  <c r="B628" i="102"/>
  <c r="B641" i="102"/>
  <c r="F627" i="102"/>
  <c r="B626" i="102"/>
  <c r="B625" i="102"/>
  <c r="B624" i="102"/>
  <c r="B623" i="102"/>
  <c r="B620" i="102"/>
  <c r="B619" i="102"/>
  <c r="B618" i="102"/>
  <c r="F617" i="102"/>
  <c r="B617" i="102"/>
  <c r="F616" i="102"/>
  <c r="B615" i="102"/>
  <c r="B614" i="102"/>
  <c r="B613" i="102"/>
  <c r="B612" i="102"/>
  <c r="B611" i="102"/>
  <c r="B608" i="102"/>
  <c r="B607" i="102"/>
  <c r="F606" i="102"/>
  <c r="B606" i="102"/>
  <c r="F605" i="102"/>
  <c r="B604" i="102"/>
  <c r="B603" i="102"/>
  <c r="B602" i="102"/>
  <c r="B601" i="102"/>
  <c r="B600" i="102"/>
  <c r="B599" i="102"/>
  <c r="B598" i="102"/>
  <c r="B597" i="102"/>
  <c r="B594" i="102"/>
  <c r="B593" i="102"/>
  <c r="B592" i="102"/>
  <c r="F591" i="102"/>
  <c r="B591" i="102"/>
  <c r="F590" i="102"/>
  <c r="B589" i="102"/>
  <c r="B588" i="102"/>
  <c r="B587" i="102"/>
  <c r="B586" i="102"/>
  <c r="B585" i="102"/>
  <c r="B584" i="102"/>
  <c r="B583" i="102"/>
  <c r="B581" i="102"/>
  <c r="B595" i="102"/>
  <c r="B609" i="102"/>
  <c r="B621" i="102"/>
  <c r="B634" i="102"/>
  <c r="B580" i="102"/>
  <c r="B579" i="102"/>
  <c r="B578" i="102"/>
  <c r="B577" i="102"/>
  <c r="B576" i="102"/>
  <c r="B575" i="102"/>
  <c r="F574" i="102"/>
  <c r="B574" i="102"/>
  <c r="F573" i="102"/>
  <c r="B572" i="102"/>
  <c r="B570" i="102"/>
  <c r="F569" i="102"/>
  <c r="B569" i="102"/>
  <c r="B568" i="102"/>
  <c r="B567" i="102"/>
  <c r="B565" i="102"/>
  <c r="B564" i="102"/>
  <c r="B563" i="102"/>
  <c r="B562" i="102"/>
  <c r="B561" i="102"/>
  <c r="F560" i="102"/>
  <c r="B560" i="102"/>
  <c r="F559" i="102"/>
  <c r="B558" i="102"/>
  <c r="B557" i="102"/>
  <c r="B556" i="102"/>
  <c r="B571" i="102"/>
  <c r="B554" i="102"/>
  <c r="E553" i="102"/>
  <c r="B553" i="102"/>
  <c r="B552" i="102"/>
  <c r="B551" i="102"/>
  <c r="B550" i="102"/>
  <c r="E549" i="102"/>
  <c r="B549" i="102"/>
  <c r="E548" i="102"/>
  <c r="B548" i="102"/>
  <c r="B547" i="102"/>
  <c r="B546" i="102"/>
  <c r="F544" i="102"/>
  <c r="B544" i="102"/>
  <c r="F543" i="102"/>
  <c r="B542" i="102"/>
  <c r="E539" i="102"/>
  <c r="B539" i="102"/>
  <c r="B538" i="102"/>
  <c r="B537" i="102"/>
  <c r="E536" i="102"/>
  <c r="B536" i="102"/>
  <c r="E535" i="102"/>
  <c r="B535" i="102"/>
  <c r="B534" i="102"/>
  <c r="B533" i="102"/>
  <c r="B532" i="102"/>
  <c r="B545" i="102"/>
  <c r="F531" i="102"/>
  <c r="B531" i="102"/>
  <c r="F530" i="102"/>
  <c r="B529" i="102"/>
  <c r="B528" i="102"/>
  <c r="B541" i="102"/>
  <c r="B526" i="102"/>
  <c r="E525" i="102"/>
  <c r="B525" i="102"/>
  <c r="B524" i="102"/>
  <c r="B523" i="102"/>
  <c r="E522" i="102"/>
  <c r="B522" i="102"/>
  <c r="B521" i="102"/>
  <c r="B520" i="102"/>
  <c r="E519" i="102"/>
  <c r="B519" i="102"/>
  <c r="B518" i="102"/>
  <c r="B517" i="102"/>
  <c r="B516" i="102"/>
  <c r="F515" i="102"/>
  <c r="D515" i="102"/>
  <c r="D1005" i="102" s="1"/>
  <c r="E1006" i="102" s="1"/>
  <c r="E1010" i="102" s="1"/>
  <c r="B515" i="102"/>
  <c r="F514" i="102"/>
  <c r="B513" i="102"/>
  <c r="B510" i="102"/>
  <c r="E509" i="102"/>
  <c r="B509" i="102"/>
  <c r="B508" i="102"/>
  <c r="B507" i="102"/>
  <c r="B506" i="102"/>
  <c r="E505" i="102"/>
  <c r="B505" i="102"/>
  <c r="E504" i="102"/>
  <c r="B504" i="102"/>
  <c r="B503" i="102"/>
  <c r="B502" i="102"/>
  <c r="B501" i="102"/>
  <c r="F500" i="102"/>
  <c r="B500" i="102"/>
  <c r="F499" i="102"/>
  <c r="B498" i="102"/>
  <c r="B497" i="102"/>
  <c r="B512" i="102"/>
  <c r="E495" i="102"/>
  <c r="B495" i="102"/>
  <c r="B494" i="102"/>
  <c r="B493" i="102"/>
  <c r="B492" i="102"/>
  <c r="B491" i="102"/>
  <c r="B490" i="102"/>
  <c r="B489" i="102"/>
  <c r="B488" i="102"/>
  <c r="F487" i="102"/>
  <c r="B487" i="102"/>
  <c r="F486" i="102"/>
  <c r="B485" i="102"/>
  <c r="B484" i="102"/>
  <c r="B483" i="102"/>
  <c r="B482" i="102"/>
  <c r="B481" i="102"/>
  <c r="E479" i="102"/>
  <c r="B479" i="102"/>
  <c r="B478" i="102"/>
  <c r="B477" i="102"/>
  <c r="B476" i="102"/>
  <c r="B474" i="102"/>
  <c r="B473" i="102"/>
  <c r="F472" i="102"/>
  <c r="B472" i="102"/>
  <c r="F471" i="102"/>
  <c r="B470" i="102"/>
  <c r="B469" i="102"/>
  <c r="B468" i="102"/>
  <c r="B466" i="102"/>
  <c r="B465" i="102"/>
  <c r="B464" i="102"/>
  <c r="B475" i="102"/>
  <c r="B463" i="102"/>
  <c r="B462" i="102"/>
  <c r="B461" i="102"/>
  <c r="F460" i="102"/>
  <c r="B460" i="102"/>
  <c r="F459" i="102"/>
  <c r="B458" i="102"/>
  <c r="B457" i="102"/>
  <c r="B456" i="102"/>
  <c r="E454" i="102"/>
  <c r="B454" i="102"/>
  <c r="B453" i="102"/>
  <c r="B452" i="102"/>
  <c r="B451" i="102"/>
  <c r="B450" i="102"/>
  <c r="B449" i="102"/>
  <c r="F448" i="102"/>
  <c r="B448" i="102"/>
  <c r="F447" i="102"/>
  <c r="B446" i="102"/>
  <c r="B445" i="102"/>
  <c r="B444" i="102"/>
  <c r="E442" i="102"/>
  <c r="B442" i="102"/>
  <c r="B441" i="102"/>
  <c r="B440" i="102"/>
  <c r="B439" i="102"/>
  <c r="B438" i="102"/>
  <c r="F437" i="102"/>
  <c r="B437" i="102"/>
  <c r="F436" i="102"/>
  <c r="B435" i="102"/>
  <c r="B434" i="102"/>
  <c r="B433" i="102"/>
  <c r="B432" i="102"/>
  <c r="E430" i="102"/>
  <c r="B430" i="102"/>
  <c r="B429" i="102"/>
  <c r="E428" i="102"/>
  <c r="B428" i="102"/>
  <c r="E427" i="102"/>
  <c r="B427" i="102"/>
  <c r="F425" i="102"/>
  <c r="B425" i="102"/>
  <c r="F424" i="102"/>
  <c r="B423" i="102"/>
  <c r="B422" i="102"/>
  <c r="B421" i="102"/>
  <c r="B420" i="102"/>
  <c r="B419" i="102"/>
  <c r="B418" i="102"/>
  <c r="B415" i="102"/>
  <c r="E414" i="102"/>
  <c r="B414" i="102"/>
  <c r="B413" i="102"/>
  <c r="F411" i="102"/>
  <c r="B411" i="102"/>
  <c r="F410" i="102"/>
  <c r="B409" i="102"/>
  <c r="B408" i="102"/>
  <c r="B407" i="102"/>
  <c r="B406" i="102"/>
  <c r="B404" i="102"/>
  <c r="B402" i="102"/>
  <c r="B416" i="102"/>
  <c r="B401" i="102"/>
  <c r="B399" i="102"/>
  <c r="B397" i="102"/>
  <c r="B396" i="102"/>
  <c r="B395" i="102"/>
  <c r="B394" i="102"/>
  <c r="B393" i="102"/>
  <c r="B392" i="102"/>
  <c r="B391" i="102"/>
  <c r="E390" i="102"/>
  <c r="B390" i="102"/>
  <c r="B389" i="102"/>
  <c r="B412" i="102"/>
  <c r="B426" i="102"/>
  <c r="E388" i="102"/>
  <c r="F387" i="102"/>
  <c r="B387" i="102"/>
  <c r="F386" i="102"/>
  <c r="B385" i="102"/>
  <c r="B384" i="102"/>
  <c r="B398" i="102"/>
  <c r="B383" i="102"/>
  <c r="B388" i="102"/>
  <c r="B382" i="102"/>
  <c r="E381" i="102"/>
  <c r="B381" i="102"/>
  <c r="B405" i="102"/>
  <c r="B380" i="102"/>
  <c r="B379" i="102"/>
  <c r="E378" i="102"/>
  <c r="B378" i="102"/>
  <c r="B377" i="102"/>
  <c r="B403" i="102"/>
  <c r="B376" i="102"/>
  <c r="B375" i="102"/>
  <c r="B374" i="102"/>
  <c r="B372" i="102"/>
  <c r="E371" i="102"/>
  <c r="B371" i="102"/>
  <c r="F370" i="102"/>
  <c r="B370" i="102"/>
  <c r="B369" i="102"/>
  <c r="B368" i="102"/>
  <c r="B367" i="102"/>
  <c r="B366" i="102"/>
  <c r="B365" i="102"/>
  <c r="B364" i="102"/>
  <c r="B363" i="102"/>
  <c r="B362" i="102"/>
  <c r="E361" i="102"/>
  <c r="B361" i="102"/>
  <c r="B360" i="102"/>
  <c r="E359" i="102"/>
  <c r="B359" i="102"/>
  <c r="B358" i="102"/>
  <c r="B357" i="102"/>
  <c r="B356" i="102"/>
  <c r="F355" i="102"/>
  <c r="B355" i="102"/>
  <c r="F354" i="102"/>
  <c r="B353" i="102"/>
  <c r="B352" i="102"/>
  <c r="B351" i="102"/>
  <c r="E350" i="102"/>
  <c r="B350" i="102"/>
  <c r="B349" i="102"/>
  <c r="B348" i="102"/>
  <c r="B347" i="102"/>
  <c r="B346" i="102"/>
  <c r="B345" i="102"/>
  <c r="E344" i="102"/>
  <c r="B344" i="102"/>
  <c r="E341" i="102"/>
  <c r="B341" i="102"/>
  <c r="B340" i="102"/>
  <c r="B339" i="102"/>
  <c r="B338" i="102"/>
  <c r="B337" i="102"/>
  <c r="B336" i="102"/>
  <c r="B335" i="102"/>
  <c r="E334" i="102"/>
  <c r="B334" i="102"/>
  <c r="F333" i="102"/>
  <c r="B333" i="102"/>
  <c r="F332" i="102"/>
  <c r="B331" i="102"/>
  <c r="B330" i="102"/>
  <c r="B329" i="102"/>
  <c r="B328" i="102"/>
  <c r="B327" i="102"/>
  <c r="B326" i="102"/>
  <c r="B325" i="102"/>
  <c r="B323" i="102"/>
  <c r="B322" i="102"/>
  <c r="B343" i="102"/>
  <c r="E321" i="102"/>
  <c r="B321" i="102"/>
  <c r="E319" i="102"/>
  <c r="B319" i="102"/>
  <c r="B318" i="102"/>
  <c r="B317" i="102"/>
  <c r="B316" i="102"/>
  <c r="B315" i="102"/>
  <c r="B314" i="102"/>
  <c r="B313" i="102"/>
  <c r="B312" i="102"/>
  <c r="F311" i="102"/>
  <c r="B311" i="102"/>
  <c r="F310" i="102"/>
  <c r="B309" i="102"/>
  <c r="B308" i="102"/>
  <c r="F307" i="102"/>
  <c r="B307" i="102"/>
  <c r="B306" i="102"/>
  <c r="B305" i="102"/>
  <c r="B304" i="102"/>
  <c r="E303" i="102"/>
  <c r="B303" i="102"/>
  <c r="B301" i="102"/>
  <c r="E300" i="102"/>
  <c r="B300" i="102"/>
  <c r="B299" i="102"/>
  <c r="B298" i="102"/>
  <c r="B297" i="102"/>
  <c r="B296" i="102"/>
  <c r="B295" i="102"/>
  <c r="B294" i="102"/>
  <c r="B293" i="102"/>
  <c r="F292" i="102"/>
  <c r="B292" i="102"/>
  <c r="F291" i="102"/>
  <c r="B290" i="102"/>
  <c r="B289" i="102"/>
  <c r="B288" i="102"/>
  <c r="B287" i="102"/>
  <c r="B286" i="102"/>
  <c r="B285" i="102"/>
  <c r="B284" i="102"/>
  <c r="B324" i="102"/>
  <c r="F283" i="102"/>
  <c r="B283" i="102"/>
  <c r="B282" i="102"/>
  <c r="B281" i="102"/>
  <c r="F280" i="102"/>
  <c r="B280" i="102"/>
  <c r="B279" i="102"/>
  <c r="B278" i="102"/>
  <c r="E277" i="102"/>
  <c r="B277" i="102"/>
  <c r="B275" i="102"/>
  <c r="E274" i="102"/>
  <c r="B274" i="102"/>
  <c r="B273" i="102"/>
  <c r="B272" i="102"/>
  <c r="B271" i="102"/>
  <c r="B270" i="102"/>
  <c r="B269" i="102"/>
  <c r="B268" i="102"/>
  <c r="B267" i="102"/>
  <c r="B266" i="102"/>
  <c r="B265" i="102"/>
  <c r="B264" i="102"/>
  <c r="B263" i="102"/>
  <c r="F262" i="102"/>
  <c r="B262" i="102"/>
  <c r="F261" i="102"/>
  <c r="B260" i="102"/>
  <c r="B259" i="102"/>
  <c r="B258" i="102"/>
  <c r="F257" i="102"/>
  <c r="B257" i="102"/>
  <c r="F256" i="102"/>
  <c r="E256" i="102"/>
  <c r="B256" i="102"/>
  <c r="B255" i="102"/>
  <c r="B254" i="102"/>
  <c r="E253" i="102"/>
  <c r="B253" i="102"/>
  <c r="B251" i="102"/>
  <c r="B250" i="102"/>
  <c r="E249" i="102"/>
  <c r="B249" i="102"/>
  <c r="B248" i="102"/>
  <c r="B247" i="102"/>
  <c r="B246" i="102"/>
  <c r="B245" i="102"/>
  <c r="F244" i="102"/>
  <c r="B244" i="102"/>
  <c r="F243" i="102"/>
  <c r="B242" i="102"/>
  <c r="B241" i="102"/>
  <c r="B240" i="102"/>
  <c r="B239" i="102"/>
  <c r="F238" i="102"/>
  <c r="E238" i="102"/>
  <c r="B238" i="102"/>
  <c r="B237" i="102"/>
  <c r="B236" i="102"/>
  <c r="F235" i="102"/>
  <c r="B235" i="102"/>
  <c r="E234" i="102"/>
  <c r="B234" i="102"/>
  <c r="B232" i="102"/>
  <c r="B231" i="102"/>
  <c r="B230" i="102"/>
  <c r="B229" i="102"/>
  <c r="B228" i="102"/>
  <c r="F227" i="102"/>
  <c r="B227" i="102"/>
  <c r="F226" i="102"/>
  <c r="B225" i="102"/>
  <c r="B224" i="102"/>
  <c r="F223" i="102"/>
  <c r="B223" i="102"/>
  <c r="B222" i="102"/>
  <c r="B221" i="102"/>
  <c r="B220" i="102"/>
  <c r="F219" i="102"/>
  <c r="B219" i="102"/>
  <c r="E218" i="102"/>
  <c r="B218" i="102"/>
  <c r="B216" i="102"/>
  <c r="F214" i="102"/>
  <c r="B214" i="102"/>
  <c r="F213" i="102"/>
  <c r="B212" i="102"/>
  <c r="B211" i="102"/>
  <c r="F210" i="102"/>
  <c r="B210" i="102"/>
  <c r="B209" i="102"/>
  <c r="B208" i="102"/>
  <c r="B207" i="102"/>
  <c r="F206" i="102"/>
  <c r="B206" i="102"/>
  <c r="E205" i="102"/>
  <c r="B205" i="102"/>
  <c r="B203" i="102"/>
  <c r="B202" i="102"/>
  <c r="F201" i="102"/>
  <c r="B201" i="102"/>
  <c r="F200" i="102"/>
  <c r="B199" i="102"/>
  <c r="B198" i="102"/>
  <c r="B197" i="102"/>
  <c r="B196" i="102"/>
  <c r="F195" i="102"/>
  <c r="B195" i="102"/>
  <c r="F194" i="102"/>
  <c r="B194" i="102"/>
  <c r="E193" i="102"/>
  <c r="B193" i="102"/>
  <c r="F191" i="102"/>
  <c r="B191" i="102"/>
  <c r="F190" i="102"/>
  <c r="B188" i="102"/>
  <c r="B187" i="102"/>
  <c r="B186" i="102"/>
  <c r="B189" i="102"/>
  <c r="B185" i="102"/>
  <c r="B184" i="102"/>
  <c r="B183" i="102"/>
  <c r="B182" i="102"/>
  <c r="F181" i="102"/>
  <c r="B181" i="102"/>
  <c r="F180" i="102"/>
  <c r="B180" i="102"/>
  <c r="E179" i="102"/>
  <c r="B179" i="102"/>
  <c r="B177" i="102"/>
  <c r="F176" i="102"/>
  <c r="B176" i="102"/>
  <c r="F175" i="102"/>
  <c r="B174" i="102"/>
  <c r="B173" i="102"/>
  <c r="B172" i="102"/>
  <c r="B171" i="102"/>
  <c r="F170" i="102"/>
  <c r="B170" i="102"/>
  <c r="F169" i="102"/>
  <c r="B169" i="102"/>
  <c r="E168" i="102"/>
  <c r="B168" i="102"/>
  <c r="B166" i="102"/>
  <c r="B165" i="102"/>
  <c r="B164" i="102"/>
  <c r="F163" i="102"/>
  <c r="B163" i="102"/>
  <c r="F162" i="102"/>
  <c r="B161" i="102"/>
  <c r="B160" i="102"/>
  <c r="B159" i="102"/>
  <c r="B158" i="102"/>
  <c r="B157" i="102"/>
  <c r="B156" i="102"/>
  <c r="B155" i="102"/>
  <c r="B153" i="102"/>
  <c r="B152" i="102"/>
  <c r="B151" i="102"/>
  <c r="B150" i="102"/>
  <c r="B149" i="102"/>
  <c r="B148" i="102"/>
  <c r="B147" i="102"/>
  <c r="B146" i="102"/>
  <c r="B145" i="102"/>
  <c r="B144" i="102"/>
  <c r="B143" i="102"/>
  <c r="B142" i="102"/>
  <c r="F141" i="102"/>
  <c r="B141" i="102"/>
  <c r="F140" i="102"/>
  <c r="B139" i="102"/>
  <c r="B138" i="102"/>
  <c r="B137" i="102"/>
  <c r="B136" i="102"/>
  <c r="B135" i="102"/>
  <c r="B134" i="102"/>
  <c r="B133" i="102"/>
  <c r="B132" i="102"/>
  <c r="B131" i="102"/>
  <c r="B130" i="102"/>
  <c r="B129" i="102"/>
  <c r="B128" i="102"/>
  <c r="B127" i="102"/>
  <c r="B126" i="102"/>
  <c r="B124" i="102"/>
  <c r="B123" i="102"/>
  <c r="B122" i="102"/>
  <c r="E121" i="102"/>
  <c r="B121" i="102"/>
  <c r="F120" i="102"/>
  <c r="B120" i="102"/>
  <c r="F119" i="102"/>
  <c r="B118" i="102"/>
  <c r="B117" i="102"/>
  <c r="B116" i="102"/>
  <c r="E115" i="102"/>
  <c r="B115" i="102"/>
  <c r="E114" i="102"/>
  <c r="B114" i="102"/>
  <c r="B113" i="102"/>
  <c r="B112" i="102"/>
  <c r="B110" i="102"/>
  <c r="B109" i="102"/>
  <c r="B108" i="102"/>
  <c r="B107" i="102"/>
  <c r="B106" i="102"/>
  <c r="B105" i="102"/>
  <c r="B104" i="102"/>
  <c r="B103" i="102"/>
  <c r="F102" i="102"/>
  <c r="B101" i="102"/>
  <c r="B100" i="102"/>
  <c r="E99" i="102"/>
  <c r="B99" i="102"/>
  <c r="B98" i="102"/>
  <c r="B97" i="102"/>
  <c r="B95" i="102"/>
  <c r="B94" i="102"/>
  <c r="B93" i="102"/>
  <c r="B92" i="102"/>
  <c r="B91" i="102"/>
  <c r="B90" i="102"/>
  <c r="F89" i="102"/>
  <c r="B88" i="102"/>
  <c r="B87" i="102"/>
  <c r="F85" i="102"/>
  <c r="B84" i="102"/>
  <c r="B83" i="102"/>
  <c r="B81" i="102"/>
  <c r="F80" i="102"/>
  <c r="B76" i="102"/>
  <c r="F74" i="102"/>
  <c r="B72" i="102"/>
  <c r="B68" i="102"/>
  <c r="F67" i="102"/>
  <c r="B65" i="102"/>
  <c r="F64" i="102"/>
  <c r="B60" i="102"/>
  <c r="F59" i="102"/>
  <c r="E56" i="102"/>
  <c r="B56" i="102"/>
  <c r="B55" i="102"/>
  <c r="B54" i="102"/>
  <c r="F53" i="102"/>
  <c r="B52" i="102"/>
  <c r="E50" i="102"/>
  <c r="B50" i="102"/>
  <c r="B49" i="102"/>
  <c r="F48" i="102"/>
  <c r="E45" i="102"/>
  <c r="B45" i="102"/>
  <c r="B44" i="102"/>
  <c r="F43" i="102"/>
  <c r="E40" i="102"/>
  <c r="B40" i="102"/>
  <c r="B39" i="102"/>
  <c r="F38" i="102"/>
  <c r="E35" i="102"/>
  <c r="B35" i="102"/>
  <c r="B34" i="102"/>
  <c r="B33" i="102"/>
  <c r="F32" i="102"/>
  <c r="E29" i="102"/>
  <c r="B29" i="102"/>
  <c r="B28" i="102"/>
  <c r="F27" i="102"/>
  <c r="E24" i="102"/>
  <c r="B24" i="102"/>
  <c r="B23" i="102"/>
  <c r="F22" i="102"/>
  <c r="B19" i="102"/>
  <c r="E18" i="102"/>
  <c r="B18" i="102"/>
  <c r="B17" i="102"/>
  <c r="F16" i="102"/>
  <c r="E13" i="102"/>
  <c r="B13" i="102"/>
  <c r="B12" i="102"/>
  <c r="B11" i="102"/>
  <c r="E7" i="102"/>
  <c r="B7" i="102"/>
  <c r="B5" i="102"/>
  <c r="B4" i="102"/>
  <c r="B3" i="102"/>
  <c r="E178" i="59"/>
  <c r="B177" i="59"/>
  <c r="D176" i="59"/>
  <c r="D178" i="59" s="1"/>
  <c r="B176" i="59"/>
  <c r="F175" i="59"/>
  <c r="B173" i="59"/>
  <c r="B172" i="59"/>
  <c r="F171" i="59"/>
  <c r="B170" i="59"/>
  <c r="B169" i="59"/>
  <c r="F168" i="59"/>
  <c r="B167" i="59"/>
  <c r="B165" i="59"/>
  <c r="B164" i="59"/>
  <c r="B163" i="59"/>
  <c r="B162" i="59"/>
  <c r="B161" i="59"/>
  <c r="B160" i="59"/>
  <c r="B159" i="59"/>
  <c r="B158" i="59"/>
  <c r="B157" i="59"/>
  <c r="B156" i="59"/>
  <c r="F155" i="59"/>
  <c r="B154" i="59"/>
  <c r="B153" i="59"/>
  <c r="B152" i="59"/>
  <c r="B151" i="59"/>
  <c r="B150" i="59"/>
  <c r="B149" i="59"/>
  <c r="B148" i="59"/>
  <c r="B147" i="59"/>
  <c r="B146" i="59"/>
  <c r="B145" i="59"/>
  <c r="B143" i="59"/>
  <c r="B142" i="59"/>
  <c r="B141" i="59"/>
  <c r="B140" i="59"/>
  <c r="B139" i="59"/>
  <c r="B138" i="59"/>
  <c r="B137" i="59"/>
  <c r="B136" i="59"/>
  <c r="B135" i="59"/>
  <c r="B134" i="59"/>
  <c r="B133" i="59"/>
  <c r="B132" i="59"/>
  <c r="B131" i="59"/>
  <c r="B130" i="59"/>
  <c r="B129" i="59"/>
  <c r="B128" i="59"/>
  <c r="B127" i="59"/>
  <c r="B126" i="59"/>
  <c r="B125" i="59"/>
  <c r="B124" i="59"/>
  <c r="F123" i="59"/>
  <c r="B121" i="59"/>
  <c r="B120" i="59"/>
  <c r="B119" i="59"/>
  <c r="B118" i="59"/>
  <c r="B117" i="59"/>
  <c r="B116" i="59"/>
  <c r="B115" i="59"/>
  <c r="B114" i="59"/>
  <c r="E113" i="59"/>
  <c r="B113" i="59"/>
  <c r="B112" i="59"/>
  <c r="B111" i="59"/>
  <c r="B110" i="59"/>
  <c r="B109" i="59"/>
  <c r="B108" i="59"/>
  <c r="B107" i="59"/>
  <c r="B105" i="59"/>
  <c r="B104" i="59"/>
  <c r="B103" i="59"/>
  <c r="B102" i="59"/>
  <c r="B101" i="59"/>
  <c r="B100" i="59"/>
  <c r="B99" i="59"/>
  <c r="B98" i="59"/>
  <c r="F97" i="59"/>
  <c r="B96" i="59"/>
  <c r="B122" i="59"/>
  <c r="B95" i="59"/>
  <c r="B94" i="59"/>
  <c r="B93" i="59"/>
  <c r="B92" i="59"/>
  <c r="B91" i="59"/>
  <c r="B89" i="59"/>
  <c r="B88" i="59"/>
  <c r="B87" i="59"/>
  <c r="B86" i="59"/>
  <c r="B85" i="59"/>
  <c r="F84" i="59"/>
  <c r="B83" i="59"/>
  <c r="B82" i="59"/>
  <c r="B81" i="59"/>
  <c r="B80" i="59"/>
  <c r="B78" i="59"/>
  <c r="B77" i="59"/>
  <c r="F76" i="59"/>
  <c r="B75" i="59"/>
  <c r="B74" i="59"/>
  <c r="B73" i="59"/>
  <c r="B72" i="59"/>
  <c r="B70" i="59"/>
  <c r="B69" i="59"/>
  <c r="B68" i="59"/>
  <c r="F67" i="59"/>
  <c r="B66" i="59"/>
  <c r="B65" i="59"/>
  <c r="B64" i="59"/>
  <c r="B62" i="59"/>
  <c r="B61" i="59"/>
  <c r="B60" i="59"/>
  <c r="F59" i="59"/>
  <c r="B58" i="59"/>
  <c r="B57" i="59"/>
  <c r="B56" i="59"/>
  <c r="B55" i="59"/>
  <c r="B53" i="59"/>
  <c r="B52" i="59"/>
  <c r="B51" i="59"/>
  <c r="B50" i="59"/>
  <c r="B49" i="59"/>
  <c r="B48" i="59"/>
  <c r="B47" i="59"/>
  <c r="B46" i="59"/>
  <c r="B45" i="59"/>
  <c r="B44" i="59"/>
  <c r="B43" i="59"/>
  <c r="F41" i="59"/>
  <c r="B40" i="59"/>
  <c r="B39" i="59"/>
  <c r="B38" i="59"/>
  <c r="C37" i="59"/>
  <c r="B36" i="59"/>
  <c r="B33" i="59"/>
  <c r="C32" i="59"/>
  <c r="B31" i="59"/>
  <c r="F29" i="59"/>
  <c r="B27" i="59"/>
  <c r="B25" i="59"/>
  <c r="B24" i="59"/>
  <c r="B23" i="59"/>
  <c r="B37" i="59"/>
  <c r="B20" i="59"/>
  <c r="B19" i="59"/>
  <c r="B21" i="59"/>
  <c r="B16" i="59"/>
  <c r="B15" i="59"/>
  <c r="B13" i="59"/>
  <c r="B32" i="59"/>
  <c r="F11" i="59"/>
  <c r="B10" i="59"/>
  <c r="B9" i="59"/>
  <c r="B17" i="59"/>
  <c r="B8" i="59"/>
  <c r="B7" i="59"/>
  <c r="B6" i="59"/>
  <c r="B18" i="59"/>
  <c r="B5" i="59"/>
  <c r="B12" i="59"/>
  <c r="B3" i="59"/>
  <c r="E208" i="58"/>
  <c r="E207" i="58"/>
  <c r="D207" i="58"/>
  <c r="B206" i="58"/>
  <c r="B205" i="58"/>
  <c r="F204" i="58"/>
  <c r="B203" i="58"/>
  <c r="B202" i="58"/>
  <c r="B201" i="58"/>
  <c r="B200" i="58"/>
  <c r="B199" i="58"/>
  <c r="B198" i="58"/>
  <c r="B196" i="58"/>
  <c r="B195" i="58"/>
  <c r="B194" i="58"/>
  <c r="B193" i="58"/>
  <c r="B192" i="58"/>
  <c r="B191" i="58"/>
  <c r="B190" i="58"/>
  <c r="B189" i="58"/>
  <c r="B188" i="58"/>
  <c r="F187" i="58"/>
  <c r="B185" i="58"/>
  <c r="B183" i="58"/>
  <c r="B182" i="58"/>
  <c r="B181" i="58"/>
  <c r="B180" i="58"/>
  <c r="B179" i="58"/>
  <c r="B178" i="58"/>
  <c r="B177" i="58"/>
  <c r="B176" i="58"/>
  <c r="B175" i="58"/>
  <c r="B174" i="58"/>
  <c r="B173" i="58"/>
  <c r="B172" i="58"/>
  <c r="B171" i="58"/>
  <c r="F170" i="58"/>
  <c r="B169" i="58"/>
  <c r="B168" i="58"/>
  <c r="B186" i="58"/>
  <c r="B167" i="58"/>
  <c r="B166" i="58"/>
  <c r="B165" i="58"/>
  <c r="B164" i="58"/>
  <c r="B163" i="58"/>
  <c r="B162" i="58"/>
  <c r="B161" i="58"/>
  <c r="B160" i="58"/>
  <c r="B159" i="58"/>
  <c r="B158" i="58"/>
  <c r="B156" i="58"/>
  <c r="B155" i="58"/>
  <c r="B154" i="58"/>
  <c r="B153" i="58"/>
  <c r="B152" i="58"/>
  <c r="B151" i="58"/>
  <c r="B150" i="58"/>
  <c r="B149" i="58"/>
  <c r="B148" i="58"/>
  <c r="B147" i="58"/>
  <c r="B146" i="58"/>
  <c r="B145" i="58"/>
  <c r="B144" i="58"/>
  <c r="B143" i="58"/>
  <c r="B142" i="58"/>
  <c r="B141" i="58"/>
  <c r="B140" i="58"/>
  <c r="B139" i="58"/>
  <c r="F138" i="58"/>
  <c r="B137" i="58"/>
  <c r="B136" i="58"/>
  <c r="B135" i="58"/>
  <c r="B134" i="58"/>
  <c r="B133" i="58"/>
  <c r="B132" i="58"/>
  <c r="B131" i="58"/>
  <c r="B130" i="58"/>
  <c r="B129" i="58"/>
  <c r="B128" i="58"/>
  <c r="B127" i="58"/>
  <c r="B126" i="58"/>
  <c r="B125" i="58"/>
  <c r="B123" i="58"/>
  <c r="B122" i="58"/>
  <c r="B121" i="58"/>
  <c r="B120" i="58"/>
  <c r="B119" i="58"/>
  <c r="B118" i="58"/>
  <c r="E117" i="58"/>
  <c r="B117" i="58"/>
  <c r="B115" i="58"/>
  <c r="B114" i="58"/>
  <c r="B113" i="58"/>
  <c r="B112" i="58"/>
  <c r="B111" i="58"/>
  <c r="B110" i="58"/>
  <c r="B109" i="58"/>
  <c r="F108" i="58"/>
  <c r="B107" i="58"/>
  <c r="B106" i="58"/>
  <c r="B105" i="58"/>
  <c r="B104" i="58"/>
  <c r="B103" i="58"/>
  <c r="B102" i="58"/>
  <c r="B101" i="58"/>
  <c r="B100" i="58"/>
  <c r="B99" i="58"/>
  <c r="B98" i="58"/>
  <c r="B97" i="58"/>
  <c r="B96" i="58"/>
  <c r="B95" i="58"/>
  <c r="B94" i="58"/>
  <c r="B93" i="58"/>
  <c r="B92" i="58"/>
  <c r="B91" i="58"/>
  <c r="B89" i="58"/>
  <c r="B88" i="58"/>
  <c r="B87" i="58"/>
  <c r="F86" i="58"/>
  <c r="B84" i="58"/>
  <c r="B83" i="58"/>
  <c r="B82" i="58"/>
  <c r="B81" i="58"/>
  <c r="B80" i="58"/>
  <c r="B79" i="58"/>
  <c r="B78" i="58"/>
  <c r="B74" i="58"/>
  <c r="B73" i="58"/>
  <c r="B72" i="58"/>
  <c r="B71" i="58"/>
  <c r="B70" i="58"/>
  <c r="B68" i="58"/>
  <c r="B67" i="58"/>
  <c r="B66" i="58"/>
  <c r="B65" i="58"/>
  <c r="B64" i="58"/>
  <c r="B63" i="58"/>
  <c r="F62" i="58"/>
  <c r="B61" i="58"/>
  <c r="B59" i="58"/>
  <c r="B58" i="58"/>
  <c r="B57" i="58"/>
  <c r="B56" i="58"/>
  <c r="B55" i="58"/>
  <c r="B54" i="58"/>
  <c r="B53" i="58"/>
  <c r="B52" i="58"/>
  <c r="B51" i="58"/>
  <c r="B50" i="58"/>
  <c r="B49" i="58"/>
  <c r="B48" i="58"/>
  <c r="B47" i="58"/>
  <c r="B45" i="58"/>
  <c r="B44" i="58"/>
  <c r="B43" i="58"/>
  <c r="B42" i="58"/>
  <c r="B41" i="58"/>
  <c r="B40" i="58"/>
  <c r="B39" i="58"/>
  <c r="B38" i="58"/>
  <c r="B37" i="58"/>
  <c r="F36" i="58"/>
  <c r="B35" i="58"/>
  <c r="B32" i="58"/>
  <c r="B31" i="58"/>
  <c r="B30" i="58"/>
  <c r="B27" i="58"/>
  <c r="B26" i="58"/>
  <c r="B33" i="58"/>
  <c r="B25" i="58"/>
  <c r="B23" i="58"/>
  <c r="B21" i="58"/>
  <c r="B20" i="58"/>
  <c r="B17" i="58"/>
  <c r="B15" i="58"/>
  <c r="B14" i="58"/>
  <c r="F13" i="58"/>
  <c r="B9" i="58"/>
  <c r="B8" i="58"/>
  <c r="B11" i="58"/>
  <c r="B16" i="58"/>
  <c r="B22" i="58"/>
  <c r="B7" i="58"/>
  <c r="B12" i="58"/>
  <c r="B6" i="58"/>
  <c r="B4" i="58"/>
  <c r="B18" i="58"/>
  <c r="B2" i="58"/>
  <c r="E475" i="55"/>
  <c r="E474" i="55"/>
  <c r="D474" i="55"/>
  <c r="B473" i="55"/>
  <c r="B472" i="55"/>
  <c r="B471" i="55"/>
  <c r="B470" i="55"/>
  <c r="B469" i="55"/>
  <c r="B468" i="55"/>
  <c r="B467" i="55"/>
  <c r="B466" i="55"/>
  <c r="B465" i="55"/>
  <c r="B464" i="55"/>
  <c r="B463" i="55"/>
  <c r="B462" i="55"/>
  <c r="B461" i="55"/>
  <c r="B460" i="55"/>
  <c r="B459" i="55"/>
  <c r="B458" i="55"/>
  <c r="B457" i="55"/>
  <c r="B456" i="55"/>
  <c r="B455" i="55"/>
  <c r="B454" i="55"/>
  <c r="B453" i="55"/>
  <c r="B452" i="55"/>
  <c r="B451" i="55"/>
  <c r="B450" i="55"/>
  <c r="B449" i="55"/>
  <c r="B448" i="55"/>
  <c r="B446" i="55"/>
  <c r="B445" i="55"/>
  <c r="B444" i="55"/>
  <c r="B443" i="55"/>
  <c r="B442" i="55"/>
  <c r="B441" i="55"/>
  <c r="B440" i="55"/>
  <c r="B439" i="55"/>
  <c r="B438" i="55"/>
  <c r="B437" i="55"/>
  <c r="B436" i="55"/>
  <c r="B435" i="55"/>
  <c r="B434" i="55"/>
  <c r="B433" i="55"/>
  <c r="B432" i="55"/>
  <c r="B431" i="55"/>
  <c r="B430" i="55"/>
  <c r="B429" i="55"/>
  <c r="B428" i="55"/>
  <c r="B427" i="55"/>
  <c r="B426" i="55"/>
  <c r="B425" i="55"/>
  <c r="B424" i="55"/>
  <c r="B423" i="55"/>
  <c r="B422" i="55"/>
  <c r="B421" i="55"/>
  <c r="B420" i="55"/>
  <c r="B419" i="55"/>
  <c r="B418" i="55"/>
  <c r="B417" i="55"/>
  <c r="B416" i="55"/>
  <c r="B415" i="55"/>
  <c r="B414" i="55"/>
  <c r="B413" i="55"/>
  <c r="B412" i="55"/>
  <c r="B411" i="55"/>
  <c r="B410" i="55"/>
  <c r="B409" i="55"/>
  <c r="B408" i="55"/>
  <c r="B407" i="55"/>
  <c r="B406" i="55"/>
  <c r="B405" i="55"/>
  <c r="B404" i="55"/>
  <c r="B403" i="55"/>
  <c r="B402" i="55"/>
  <c r="B401" i="55"/>
  <c r="B400" i="55"/>
  <c r="B399" i="55"/>
  <c r="B398" i="55"/>
  <c r="B397" i="55"/>
  <c r="B395" i="55"/>
  <c r="B394" i="55"/>
  <c r="B393" i="55"/>
  <c r="B392" i="55"/>
  <c r="B391" i="55"/>
  <c r="B390" i="55"/>
  <c r="B389" i="55"/>
  <c r="B388" i="55"/>
  <c r="B387" i="55"/>
  <c r="B386" i="55"/>
  <c r="B385" i="55"/>
  <c r="B384" i="55"/>
  <c r="B383" i="55"/>
  <c r="B382" i="55"/>
  <c r="B381" i="55"/>
  <c r="B380" i="55"/>
  <c r="B379" i="55"/>
  <c r="B378" i="55"/>
  <c r="B377" i="55"/>
  <c r="B376" i="55"/>
  <c r="B375" i="55"/>
  <c r="B374" i="55"/>
  <c r="B373" i="55"/>
  <c r="B372" i="55"/>
  <c r="B371" i="55"/>
  <c r="B370" i="55"/>
  <c r="B369" i="55"/>
  <c r="B368" i="55"/>
  <c r="B367" i="55"/>
  <c r="B366" i="55"/>
  <c r="B365" i="55"/>
  <c r="B364" i="55"/>
  <c r="B363" i="55"/>
  <c r="B362" i="55"/>
  <c r="B361" i="55"/>
  <c r="B360" i="55"/>
  <c r="B359" i="55"/>
  <c r="B358" i="55"/>
  <c r="B357" i="55"/>
  <c r="B356" i="55"/>
  <c r="B355" i="55"/>
  <c r="B354" i="55"/>
  <c r="B353" i="55"/>
  <c r="B352" i="55"/>
  <c r="B351" i="55"/>
  <c r="B350" i="55"/>
  <c r="B349" i="55"/>
  <c r="B348" i="55"/>
  <c r="B347" i="55"/>
  <c r="B346" i="55"/>
  <c r="B345" i="55"/>
  <c r="B344" i="55"/>
  <c r="B343" i="55"/>
  <c r="B342" i="55"/>
  <c r="B341" i="55"/>
  <c r="B340" i="55"/>
  <c r="B339" i="55"/>
  <c r="B338" i="55"/>
  <c r="B337" i="55"/>
  <c r="B336" i="55"/>
  <c r="B335" i="55"/>
  <c r="B334" i="55"/>
  <c r="B333" i="55"/>
  <c r="B332" i="55"/>
  <c r="B331" i="55"/>
  <c r="B330" i="55"/>
  <c r="B329" i="55"/>
  <c r="B328" i="55"/>
  <c r="B327" i="55"/>
  <c r="B326" i="55"/>
  <c r="B324" i="55"/>
  <c r="B323" i="55"/>
  <c r="B322" i="55"/>
  <c r="B325" i="55"/>
  <c r="B321" i="55"/>
  <c r="B320" i="55"/>
  <c r="B319" i="55"/>
  <c r="B318" i="55"/>
  <c r="B316" i="55"/>
  <c r="B315" i="55"/>
  <c r="B313" i="55"/>
  <c r="B312" i="55"/>
  <c r="B311" i="55"/>
  <c r="B310" i="55"/>
  <c r="B309" i="55"/>
  <c r="B308" i="55"/>
  <c r="B317" i="55"/>
  <c r="B307" i="55"/>
  <c r="B306" i="55"/>
  <c r="B305" i="55"/>
  <c r="B304" i="55"/>
  <c r="B303" i="55"/>
  <c r="B302" i="55"/>
  <c r="B301" i="55"/>
  <c r="B299" i="55"/>
  <c r="B298" i="55"/>
  <c r="B297" i="55"/>
  <c r="B296" i="55"/>
  <c r="B300" i="55"/>
  <c r="B295" i="55"/>
  <c r="B294" i="55"/>
  <c r="B293" i="55"/>
  <c r="B291" i="55"/>
  <c r="B290" i="55"/>
  <c r="B289" i="55"/>
  <c r="B288" i="55"/>
  <c r="B287" i="55"/>
  <c r="B286" i="55"/>
  <c r="B285" i="55"/>
  <c r="B292" i="55"/>
  <c r="B284" i="55"/>
  <c r="B283" i="55"/>
  <c r="B282" i="55"/>
  <c r="B281" i="55"/>
  <c r="B280" i="55"/>
  <c r="B279" i="55"/>
  <c r="B278" i="55"/>
  <c r="B277" i="55"/>
  <c r="B276" i="55"/>
  <c r="B275" i="55"/>
  <c r="B274" i="55"/>
  <c r="B273" i="55"/>
  <c r="B271" i="55"/>
  <c r="B270" i="55"/>
  <c r="B269" i="55"/>
  <c r="B268" i="55"/>
  <c r="B266" i="55"/>
  <c r="B262" i="55"/>
  <c r="B261" i="55"/>
  <c r="B260" i="55"/>
  <c r="B259" i="55"/>
  <c r="B267" i="55"/>
  <c r="B256" i="55"/>
  <c r="B242" i="55"/>
  <c r="B241" i="55"/>
  <c r="B240" i="55"/>
  <c r="B239" i="55"/>
  <c r="B238" i="55"/>
  <c r="B231" i="55"/>
  <c r="B230" i="55"/>
  <c r="B243" i="55"/>
  <c r="B252" i="55"/>
  <c r="B248" i="55"/>
  <c r="B228" i="55"/>
  <c r="B265" i="55"/>
  <c r="B226" i="55"/>
  <c r="B225" i="55"/>
  <c r="B223" i="55"/>
  <c r="B222" i="55"/>
  <c r="B219" i="55"/>
  <c r="B218" i="55"/>
  <c r="C217" i="55"/>
  <c r="B216" i="55"/>
  <c r="B215" i="55"/>
  <c r="B213" i="55"/>
  <c r="B206" i="55"/>
  <c r="B204" i="55"/>
  <c r="B199" i="55"/>
  <c r="B189" i="55"/>
  <c r="B188" i="55"/>
  <c r="B258" i="55"/>
  <c r="B185" i="55"/>
  <c r="B180" i="55"/>
  <c r="B250" i="55"/>
  <c r="B178" i="55"/>
  <c r="B175" i="55"/>
  <c r="B176" i="55"/>
  <c r="B190" i="55"/>
  <c r="B197" i="55"/>
  <c r="B173" i="55"/>
  <c r="B182" i="55"/>
  <c r="B193" i="55"/>
  <c r="B196" i="55"/>
  <c r="B201" i="55"/>
  <c r="B214" i="55"/>
  <c r="B172" i="55"/>
  <c r="C171" i="55"/>
  <c r="B169" i="55"/>
  <c r="B167" i="55"/>
  <c r="B166" i="55"/>
  <c r="B165" i="55"/>
  <c r="B184" i="55"/>
  <c r="B195" i="55"/>
  <c r="B164" i="55"/>
  <c r="C162" i="55"/>
  <c r="B157" i="55"/>
  <c r="B156" i="55"/>
  <c r="B154" i="55"/>
  <c r="B153" i="55"/>
  <c r="B149" i="55"/>
  <c r="B145" i="55"/>
  <c r="B205" i="55"/>
  <c r="B141" i="55"/>
  <c r="B139" i="55"/>
  <c r="B136" i="55"/>
  <c r="B138" i="55"/>
  <c r="B137" i="55"/>
  <c r="B133" i="55"/>
  <c r="B131" i="55"/>
  <c r="C130" i="55"/>
  <c r="C128" i="55"/>
  <c r="B127" i="55"/>
  <c r="C125" i="55"/>
  <c r="B122" i="55"/>
  <c r="B118" i="55"/>
  <c r="B126" i="55"/>
  <c r="B135" i="55"/>
  <c r="B117" i="55"/>
  <c r="B121" i="55"/>
  <c r="B125" i="55"/>
  <c r="B129" i="55"/>
  <c r="B132" i="55"/>
  <c r="B134" i="55"/>
  <c r="B142" i="55"/>
  <c r="B116" i="55"/>
  <c r="B115" i="55"/>
  <c r="B150" i="55"/>
  <c r="B113" i="55"/>
  <c r="B112" i="55"/>
  <c r="B111" i="55"/>
  <c r="B108" i="55"/>
  <c r="B107" i="55"/>
  <c r="B106" i="55"/>
  <c r="C105" i="55"/>
  <c r="B104" i="55"/>
  <c r="B103" i="55"/>
  <c r="C102" i="55"/>
  <c r="C101" i="55"/>
  <c r="C100" i="55"/>
  <c r="C99" i="55"/>
  <c r="B97" i="55"/>
  <c r="B152" i="55"/>
  <c r="B96" i="55"/>
  <c r="B95" i="55"/>
  <c r="B94" i="55"/>
  <c r="B93" i="55"/>
  <c r="B92" i="55"/>
  <c r="B91" i="55"/>
  <c r="B123" i="55"/>
  <c r="C90" i="55"/>
  <c r="C87" i="55"/>
  <c r="B86" i="55"/>
  <c r="B84" i="55"/>
  <c r="B81" i="55"/>
  <c r="C80" i="55"/>
  <c r="B78" i="55"/>
  <c r="B76" i="55"/>
  <c r="B79" i="55"/>
  <c r="B83" i="55"/>
  <c r="B75" i="55"/>
  <c r="C74" i="55"/>
  <c r="B72" i="55"/>
  <c r="B148" i="55"/>
  <c r="C71" i="55"/>
  <c r="C70" i="55"/>
  <c r="B67" i="55"/>
  <c r="B66" i="55"/>
  <c r="C65" i="55"/>
  <c r="B64" i="55"/>
  <c r="C61" i="55"/>
  <c r="C59" i="55"/>
  <c r="B56" i="55"/>
  <c r="B54" i="55"/>
  <c r="B53" i="55"/>
  <c r="B52" i="55"/>
  <c r="B51" i="55"/>
  <c r="B50" i="55"/>
  <c r="B48" i="55"/>
  <c r="B63" i="55"/>
  <c r="B80" i="55"/>
  <c r="B100" i="55"/>
  <c r="B124" i="55"/>
  <c r="B170" i="55"/>
  <c r="B46" i="55"/>
  <c r="B45" i="55"/>
  <c r="B44" i="55"/>
  <c r="B43" i="55"/>
  <c r="B42" i="55"/>
  <c r="B41" i="55"/>
  <c r="B73" i="55"/>
  <c r="B40" i="55"/>
  <c r="B70" i="55"/>
  <c r="B110" i="55"/>
  <c r="B147" i="55"/>
  <c r="C38" i="55"/>
  <c r="C37" i="55"/>
  <c r="C36" i="55"/>
  <c r="B35" i="55"/>
  <c r="B62" i="55"/>
  <c r="E33" i="55"/>
  <c r="C33" i="55"/>
  <c r="C32" i="55"/>
  <c r="B30" i="55"/>
  <c r="C29" i="55"/>
  <c r="B26" i="55"/>
  <c r="C25" i="55"/>
  <c r="B23" i="55"/>
  <c r="B22" i="55"/>
  <c r="B24" i="55"/>
  <c r="B27" i="55"/>
  <c r="B28" i="55"/>
  <c r="B31" i="55"/>
  <c r="B34" i="55"/>
  <c r="B36" i="55"/>
  <c r="B38" i="55"/>
  <c r="B47" i="55"/>
  <c r="C21" i="55"/>
  <c r="B19" i="55"/>
  <c r="B18" i="55"/>
  <c r="B17" i="55"/>
  <c r="B16" i="55"/>
  <c r="B82" i="55"/>
  <c r="B15" i="55"/>
  <c r="B13" i="55"/>
  <c r="B12" i="55"/>
  <c r="C11" i="55"/>
  <c r="B10" i="55"/>
  <c r="B9" i="55"/>
  <c r="B8" i="55"/>
  <c r="B14" i="55"/>
  <c r="B7" i="55"/>
  <c r="B6" i="55"/>
  <c r="B71" i="55"/>
  <c r="B4" i="55"/>
  <c r="B11" i="55"/>
  <c r="B2" i="55"/>
  <c r="E302" i="90"/>
  <c r="E301" i="90"/>
  <c r="E300" i="90"/>
  <c r="E299" i="90"/>
  <c r="E290" i="90"/>
  <c r="E288" i="90"/>
  <c r="E286" i="90"/>
  <c r="E285" i="90"/>
  <c r="D285" i="90"/>
  <c r="B280" i="90"/>
  <c r="B279" i="90"/>
  <c r="B278" i="90"/>
  <c r="B277" i="90"/>
  <c r="B276" i="90"/>
  <c r="B275" i="90"/>
  <c r="B274" i="90"/>
  <c r="B273" i="90"/>
  <c r="B270" i="90"/>
  <c r="B268" i="90"/>
  <c r="B267" i="90"/>
  <c r="B266" i="90"/>
  <c r="B265" i="90"/>
  <c r="B264" i="90"/>
  <c r="B263" i="90"/>
  <c r="B262" i="90"/>
  <c r="B261" i="90"/>
  <c r="B260" i="90"/>
  <c r="B259" i="90"/>
  <c r="B258" i="90"/>
  <c r="B257" i="90"/>
  <c r="B256" i="90"/>
  <c r="B254" i="90"/>
  <c r="B253" i="90"/>
  <c r="B252" i="90"/>
  <c r="B251" i="90"/>
  <c r="B250" i="90"/>
  <c r="B249" i="90"/>
  <c r="B248" i="90"/>
  <c r="B247" i="90"/>
  <c r="B246" i="90"/>
  <c r="B245" i="90"/>
  <c r="B244" i="90"/>
  <c r="B243" i="90"/>
  <c r="B242" i="90"/>
  <c r="B241" i="90"/>
  <c r="B240" i="90"/>
  <c r="B239" i="90"/>
  <c r="B238" i="90"/>
  <c r="B237" i="90"/>
  <c r="B236" i="90"/>
  <c r="B235" i="90"/>
  <c r="B234" i="90"/>
  <c r="B233" i="90"/>
  <c r="B232" i="90"/>
  <c r="B231" i="90"/>
  <c r="B230" i="90"/>
  <c r="B229" i="90"/>
  <c r="B228" i="90"/>
  <c r="B227" i="90"/>
  <c r="B226" i="90"/>
  <c r="B225" i="90"/>
  <c r="B224" i="90"/>
  <c r="B223" i="90"/>
  <c r="B222" i="90"/>
  <c r="B221" i="90"/>
  <c r="B220" i="90"/>
  <c r="B219" i="90"/>
  <c r="B218" i="90"/>
  <c r="B217" i="90"/>
  <c r="B216" i="90"/>
  <c r="B215" i="90"/>
  <c r="B214" i="90"/>
  <c r="B213" i="90"/>
  <c r="B212" i="90"/>
  <c r="B211" i="90"/>
  <c r="B210" i="90"/>
  <c r="B209" i="90"/>
  <c r="B208" i="90"/>
  <c r="B207" i="90"/>
  <c r="B206" i="90"/>
  <c r="B205" i="90"/>
  <c r="B204" i="90"/>
  <c r="B203" i="90"/>
  <c r="B202" i="90"/>
  <c r="B201" i="90"/>
  <c r="B200" i="90"/>
  <c r="B199" i="90"/>
  <c r="B197" i="90"/>
  <c r="B196" i="90"/>
  <c r="B195" i="90"/>
  <c r="B194" i="90"/>
  <c r="B193" i="90"/>
  <c r="B192" i="90"/>
  <c r="B191" i="90"/>
  <c r="B190" i="90"/>
  <c r="B189" i="90"/>
  <c r="B188" i="90"/>
  <c r="B187" i="90"/>
  <c r="B186" i="90"/>
  <c r="B185" i="90"/>
  <c r="B184" i="90"/>
  <c r="B183" i="90"/>
  <c r="B182" i="90"/>
  <c r="B181" i="90"/>
  <c r="B180" i="90"/>
  <c r="B179" i="90"/>
  <c r="B178" i="90"/>
  <c r="B177" i="90"/>
  <c r="B176" i="90"/>
  <c r="B175" i="90"/>
  <c r="B174" i="90"/>
  <c r="B173" i="90"/>
  <c r="B172" i="90"/>
  <c r="B171" i="90"/>
  <c r="B170" i="90"/>
  <c r="B169" i="90"/>
  <c r="B168" i="90"/>
  <c r="B167" i="90"/>
  <c r="B166" i="90"/>
  <c r="B165" i="90"/>
  <c r="B164" i="90"/>
  <c r="B163" i="90"/>
  <c r="B162" i="90"/>
  <c r="B161" i="90"/>
  <c r="B160" i="90"/>
  <c r="B159" i="90"/>
  <c r="F158" i="90"/>
  <c r="B158" i="90"/>
  <c r="B157" i="90"/>
  <c r="B156" i="90"/>
  <c r="B155" i="90"/>
  <c r="B154" i="90"/>
  <c r="B153" i="90"/>
  <c r="B152" i="90"/>
  <c r="B151" i="90"/>
  <c r="B150" i="90"/>
  <c r="B149" i="90"/>
  <c r="B148" i="90"/>
  <c r="B147" i="90"/>
  <c r="B146" i="90"/>
  <c r="B145" i="90"/>
  <c r="B144" i="90"/>
  <c r="B143" i="90"/>
  <c r="B142" i="90"/>
  <c r="B141" i="90"/>
  <c r="B140" i="90"/>
  <c r="B139" i="90"/>
  <c r="B138" i="90"/>
  <c r="E137" i="90"/>
  <c r="B137" i="90"/>
  <c r="B136" i="90"/>
  <c r="B134" i="90"/>
  <c r="B133" i="90"/>
  <c r="B132" i="90"/>
  <c r="B131" i="90"/>
  <c r="E129" i="90"/>
  <c r="B129" i="90"/>
  <c r="B128" i="90"/>
  <c r="B127" i="90"/>
  <c r="B126" i="90"/>
  <c r="B125" i="90"/>
  <c r="B130" i="90"/>
  <c r="B124" i="90"/>
  <c r="B123" i="90"/>
  <c r="B122" i="90"/>
  <c r="B121" i="90"/>
  <c r="B120" i="90"/>
  <c r="B119" i="90"/>
  <c r="B118" i="90"/>
  <c r="B117" i="90"/>
  <c r="B116" i="90"/>
  <c r="B115" i="90"/>
  <c r="B114" i="90"/>
  <c r="B113" i="90"/>
  <c r="B112" i="90"/>
  <c r="B111" i="90"/>
  <c r="B110" i="90"/>
  <c r="B109" i="90"/>
  <c r="B108" i="90"/>
  <c r="B107" i="90"/>
  <c r="B106" i="90"/>
  <c r="B105" i="90"/>
  <c r="B104" i="90"/>
  <c r="B103" i="90"/>
  <c r="B102" i="90"/>
  <c r="B101" i="90"/>
  <c r="B100" i="90"/>
  <c r="B99" i="90"/>
  <c r="B98" i="90"/>
  <c r="B97" i="90"/>
  <c r="B96" i="90"/>
  <c r="B95" i="90"/>
  <c r="B93" i="90"/>
  <c r="B94" i="90"/>
  <c r="B92" i="90"/>
  <c r="E91" i="90"/>
  <c r="B91" i="90"/>
  <c r="B90" i="90"/>
  <c r="B89" i="90"/>
  <c r="B88" i="90"/>
  <c r="B87" i="90"/>
  <c r="B86" i="90"/>
  <c r="B85" i="90"/>
  <c r="B84" i="90"/>
  <c r="B83" i="90"/>
  <c r="B82" i="90"/>
  <c r="B81" i="90"/>
  <c r="B80" i="90"/>
  <c r="B79" i="90"/>
  <c r="B78" i="90"/>
  <c r="B77" i="90"/>
  <c r="F76" i="90"/>
  <c r="B76" i="90"/>
  <c r="B75" i="90"/>
  <c r="B74" i="90"/>
  <c r="F72" i="90"/>
  <c r="B72" i="90"/>
  <c r="B71" i="90"/>
  <c r="E70" i="90"/>
  <c r="B70" i="90"/>
  <c r="B69" i="90"/>
  <c r="B68" i="90"/>
  <c r="B67" i="90"/>
  <c r="B66" i="90"/>
  <c r="B65" i="90"/>
  <c r="B64" i="90"/>
  <c r="B63" i="90"/>
  <c r="B62" i="90"/>
  <c r="B61" i="90"/>
  <c r="B59" i="90"/>
  <c r="B58" i="90"/>
  <c r="B57" i="90"/>
  <c r="B56" i="90"/>
  <c r="B55" i="90"/>
  <c r="B54" i="90"/>
  <c r="B52" i="90"/>
  <c r="B51" i="90"/>
  <c r="B50" i="90"/>
  <c r="B48" i="90"/>
  <c r="B47" i="90"/>
  <c r="B46" i="90"/>
  <c r="B45" i="90"/>
  <c r="B44" i="90"/>
  <c r="B43" i="90"/>
  <c r="B41" i="90"/>
  <c r="B40" i="90"/>
  <c r="B39" i="90"/>
  <c r="B38" i="90"/>
  <c r="B36" i="90"/>
  <c r="B35" i="90"/>
  <c r="B34" i="90"/>
  <c r="B33" i="90"/>
  <c r="B32" i="90"/>
  <c r="B31" i="90"/>
  <c r="B30" i="90"/>
  <c r="B29" i="90"/>
  <c r="B27" i="90"/>
  <c r="B26" i="90"/>
  <c r="B25" i="90"/>
  <c r="B24" i="90"/>
  <c r="B22" i="90"/>
  <c r="B21" i="90"/>
  <c r="B20" i="90"/>
  <c r="F19" i="90"/>
  <c r="B19" i="90"/>
  <c r="B18" i="90"/>
  <c r="B17" i="90"/>
  <c r="B16" i="90"/>
  <c r="B15" i="90"/>
  <c r="B14" i="90"/>
  <c r="B13" i="90"/>
  <c r="B12" i="90"/>
  <c r="B11" i="90"/>
  <c r="B9" i="90"/>
  <c r="B8" i="90"/>
  <c r="B7" i="90"/>
  <c r="B6" i="90"/>
  <c r="B5" i="90"/>
  <c r="B3" i="90"/>
  <c r="F26" i="64"/>
  <c r="E26" i="64"/>
  <c r="C26" i="64"/>
  <c r="E23" i="64"/>
  <c r="E22" i="64"/>
  <c r="D22" i="64"/>
  <c r="F12" i="64"/>
  <c r="B12" i="64"/>
  <c r="B10" i="64"/>
  <c r="B9" i="64"/>
  <c r="B7" i="64"/>
  <c r="F5" i="64"/>
  <c r="E71" i="39"/>
  <c r="E69" i="39"/>
  <c r="D69" i="39"/>
  <c r="B67" i="39"/>
  <c r="B66" i="39"/>
  <c r="B65" i="39"/>
  <c r="B63" i="39"/>
  <c r="B61" i="39"/>
  <c r="B60" i="39"/>
  <c r="B59" i="39"/>
  <c r="B58" i="39"/>
  <c r="B56" i="39"/>
  <c r="B53" i="39"/>
  <c r="B52" i="39"/>
  <c r="B50" i="39"/>
  <c r="B48" i="39"/>
  <c r="B46" i="39"/>
  <c r="B45" i="39"/>
  <c r="B43" i="39"/>
  <c r="B42" i="39"/>
  <c r="B40" i="39"/>
  <c r="B39" i="39"/>
  <c r="B37" i="39"/>
  <c r="B36" i="39"/>
  <c r="B34" i="39"/>
  <c r="B33" i="39"/>
  <c r="B32" i="39"/>
  <c r="B31" i="39"/>
  <c r="B29" i="39"/>
  <c r="B28" i="39"/>
  <c r="B27" i="39"/>
  <c r="B26" i="39"/>
  <c r="B24" i="39"/>
  <c r="B23" i="39"/>
  <c r="B22" i="39"/>
  <c r="B21" i="39"/>
  <c r="B19" i="39"/>
  <c r="B18" i="39"/>
  <c r="B17" i="39"/>
  <c r="B15" i="39"/>
  <c r="B14" i="39"/>
  <c r="B12" i="39"/>
  <c r="B10" i="39"/>
  <c r="B9" i="39"/>
  <c r="B7" i="39"/>
  <c r="B5" i="39"/>
  <c r="B3" i="39"/>
  <c r="F25" i="136"/>
  <c r="E25" i="136"/>
  <c r="E22" i="136"/>
  <c r="E21" i="136"/>
  <c r="D21" i="136"/>
  <c r="B7" i="136"/>
  <c r="B6" i="136"/>
  <c r="B4" i="136"/>
  <c r="B3" i="136"/>
  <c r="E78" i="42"/>
  <c r="F77" i="42"/>
  <c r="E77" i="42"/>
  <c r="D77" i="42"/>
  <c r="B76" i="42"/>
  <c r="F75" i="42"/>
  <c r="B74" i="42"/>
  <c r="B73" i="42"/>
  <c r="F72" i="42"/>
  <c r="B71" i="42"/>
  <c r="B70" i="42"/>
  <c r="B69" i="42"/>
  <c r="B68" i="42"/>
  <c r="B67" i="42"/>
  <c r="F66" i="42"/>
  <c r="B65" i="42"/>
  <c r="B64" i="42"/>
  <c r="B63" i="42"/>
  <c r="B62" i="42"/>
  <c r="B61" i="42"/>
  <c r="B60" i="42"/>
  <c r="B59" i="42"/>
  <c r="B58" i="42"/>
  <c r="B57" i="42"/>
  <c r="F56" i="42"/>
  <c r="B55" i="42"/>
  <c r="B54" i="42"/>
  <c r="B53" i="42"/>
  <c r="B52" i="42"/>
  <c r="B51" i="42"/>
  <c r="B50" i="42"/>
  <c r="F49" i="42"/>
  <c r="B48" i="42"/>
  <c r="B47" i="42"/>
  <c r="B46" i="42"/>
  <c r="B45" i="42"/>
  <c r="B44" i="42"/>
  <c r="B43" i="42"/>
  <c r="F42" i="42"/>
  <c r="B41" i="42"/>
  <c r="B40" i="42"/>
  <c r="B39" i="42"/>
  <c r="B38" i="42"/>
  <c r="B37" i="42"/>
  <c r="F36" i="42"/>
  <c r="B35" i="42"/>
  <c r="B34" i="42"/>
  <c r="F33" i="42"/>
  <c r="B32" i="42"/>
  <c r="F31" i="42"/>
  <c r="B30" i="42"/>
  <c r="B29" i="42"/>
  <c r="B28" i="42"/>
  <c r="F27" i="42"/>
  <c r="B26" i="42"/>
  <c r="B25" i="42"/>
  <c r="B24" i="42"/>
  <c r="B23" i="42"/>
  <c r="B22" i="42"/>
  <c r="F21" i="42"/>
  <c r="B20" i="42"/>
  <c r="B19" i="42"/>
  <c r="F18" i="42"/>
  <c r="B17" i="42"/>
  <c r="B16" i="42"/>
  <c r="F15" i="42"/>
  <c r="B14" i="42"/>
  <c r="F13" i="42"/>
  <c r="B12" i="42"/>
  <c r="B11" i="42"/>
  <c r="F10" i="42"/>
  <c r="B9" i="42"/>
  <c r="B8" i="42"/>
  <c r="B7" i="42"/>
  <c r="B6" i="42"/>
  <c r="B5" i="42"/>
  <c r="F4" i="42"/>
  <c r="B2" i="42"/>
  <c r="E159" i="50"/>
  <c r="E158" i="50"/>
  <c r="D158" i="50"/>
  <c r="B157" i="50"/>
  <c r="B156" i="50"/>
  <c r="B155" i="50"/>
  <c r="F154" i="50"/>
  <c r="B153" i="50"/>
  <c r="F152" i="50"/>
  <c r="B151" i="50"/>
  <c r="B150" i="50"/>
  <c r="B149" i="50"/>
  <c r="F148" i="50"/>
  <c r="B147" i="50"/>
  <c r="B146" i="50"/>
  <c r="B145" i="50"/>
  <c r="B144" i="50"/>
  <c r="F143" i="50"/>
  <c r="B141" i="50"/>
  <c r="B140" i="50"/>
  <c r="B139" i="50"/>
  <c r="B138" i="50"/>
  <c r="F137" i="50"/>
  <c r="B136" i="50"/>
  <c r="B135" i="50"/>
  <c r="B134" i="50"/>
  <c r="B133" i="50"/>
  <c r="B132" i="50"/>
  <c r="B131" i="50"/>
  <c r="F130" i="50"/>
  <c r="B129" i="50"/>
  <c r="B128" i="50"/>
  <c r="B127" i="50"/>
  <c r="B126" i="50"/>
  <c r="B125" i="50"/>
  <c r="F124" i="50"/>
  <c r="B123" i="50"/>
  <c r="B122" i="50"/>
  <c r="B121" i="50"/>
  <c r="B120" i="50"/>
  <c r="B119" i="50"/>
  <c r="F118" i="50"/>
  <c r="B117" i="50"/>
  <c r="B115" i="50"/>
  <c r="B114" i="50"/>
  <c r="F113" i="50"/>
  <c r="B112" i="50"/>
  <c r="B110" i="50"/>
  <c r="B109" i="50"/>
  <c r="B108" i="50"/>
  <c r="B107" i="50"/>
  <c r="F106" i="50"/>
  <c r="B105" i="50"/>
  <c r="C104" i="50"/>
  <c r="B103" i="50"/>
  <c r="B102" i="50"/>
  <c r="B101" i="50"/>
  <c r="B100" i="50"/>
  <c r="F99" i="50"/>
  <c r="B98" i="50"/>
  <c r="B97" i="50"/>
  <c r="B96" i="50"/>
  <c r="B95" i="50"/>
  <c r="C94" i="50"/>
  <c r="B94" i="50"/>
  <c r="B104" i="50"/>
  <c r="B111" i="50"/>
  <c r="B116" i="50"/>
  <c r="B93" i="50"/>
  <c r="B92" i="50"/>
  <c r="B91" i="50"/>
  <c r="B90" i="50"/>
  <c r="B89" i="50"/>
  <c r="E85" i="50"/>
  <c r="B85" i="50"/>
  <c r="F84" i="50"/>
  <c r="B83" i="50"/>
  <c r="B82" i="50"/>
  <c r="B81" i="50"/>
  <c r="B80" i="50"/>
  <c r="B79" i="50"/>
  <c r="B78" i="50"/>
  <c r="B77" i="50"/>
  <c r="B75" i="50"/>
  <c r="B74" i="50"/>
  <c r="B72" i="50"/>
  <c r="B76" i="50"/>
  <c r="B71" i="50"/>
  <c r="B70" i="50"/>
  <c r="B69" i="50"/>
  <c r="F68" i="50"/>
  <c r="B67" i="50"/>
  <c r="B66" i="50"/>
  <c r="B65" i="50"/>
  <c r="B64" i="50"/>
  <c r="B63" i="50"/>
  <c r="B62" i="50"/>
  <c r="B61" i="50"/>
  <c r="B60" i="50"/>
  <c r="B59" i="50"/>
  <c r="B58" i="50"/>
  <c r="F57" i="50"/>
  <c r="B56" i="50"/>
  <c r="B55" i="50"/>
  <c r="B54" i="50"/>
  <c r="B53" i="50"/>
  <c r="B52" i="50"/>
  <c r="F51" i="50"/>
  <c r="B50" i="50"/>
  <c r="B49" i="50"/>
  <c r="B48" i="50"/>
  <c r="B47" i="50"/>
  <c r="B46" i="50"/>
  <c r="B45" i="50"/>
  <c r="B44" i="50"/>
  <c r="F43" i="50"/>
  <c r="B42" i="50"/>
  <c r="B41" i="50"/>
  <c r="B40" i="50"/>
  <c r="B39" i="50"/>
  <c r="B38" i="50"/>
  <c r="B37" i="50"/>
  <c r="F36" i="50"/>
  <c r="B35" i="50"/>
  <c r="B34" i="50"/>
  <c r="B33" i="50"/>
  <c r="B32" i="50"/>
  <c r="B31" i="50"/>
  <c r="B30" i="50"/>
  <c r="F29" i="50"/>
  <c r="B28" i="50"/>
  <c r="B27" i="50"/>
  <c r="B26" i="50"/>
  <c r="B25" i="50"/>
  <c r="B24" i="50"/>
  <c r="F23" i="50"/>
  <c r="B22" i="50"/>
  <c r="B21" i="50"/>
  <c r="B20" i="50"/>
  <c r="B19" i="50"/>
  <c r="B18" i="50"/>
  <c r="B17" i="50"/>
  <c r="B16" i="50"/>
  <c r="B15" i="50"/>
  <c r="F14" i="50"/>
  <c r="B13" i="50"/>
  <c r="B12" i="50"/>
  <c r="B11" i="50"/>
  <c r="B10" i="50"/>
  <c r="B9" i="50"/>
  <c r="B8" i="50"/>
  <c r="F7" i="50"/>
  <c r="B6" i="50"/>
  <c r="B5" i="50"/>
  <c r="F4" i="50"/>
  <c r="B4" i="50"/>
  <c r="B2" i="50"/>
  <c r="E814" i="48"/>
  <c r="E813" i="48"/>
  <c r="E812" i="48"/>
  <c r="E811" i="48"/>
  <c r="E797" i="48"/>
  <c r="E795" i="48"/>
  <c r="D795" i="48"/>
  <c r="B794" i="48"/>
  <c r="B793" i="48"/>
  <c r="B792" i="48"/>
  <c r="B791" i="48"/>
  <c r="B790" i="48"/>
  <c r="B789" i="48"/>
  <c r="B788" i="48"/>
  <c r="B787" i="48"/>
  <c r="B786" i="48"/>
  <c r="B785" i="48"/>
  <c r="B784" i="48"/>
  <c r="B783" i="48"/>
  <c r="B782" i="48"/>
  <c r="B781" i="48"/>
  <c r="B780" i="48"/>
  <c r="B779" i="48"/>
  <c r="B778" i="48"/>
  <c r="B777" i="48"/>
  <c r="B775" i="48"/>
  <c r="B774" i="48"/>
  <c r="B773" i="48"/>
  <c r="B772" i="48"/>
  <c r="B771" i="48"/>
  <c r="B770" i="48"/>
  <c r="B769" i="48"/>
  <c r="B768" i="48"/>
  <c r="B766" i="48"/>
  <c r="B765" i="48"/>
  <c r="B764" i="48"/>
  <c r="B763" i="48"/>
  <c r="B762" i="48"/>
  <c r="B761" i="48"/>
  <c r="B760" i="48"/>
  <c r="B759" i="48"/>
  <c r="B758" i="48"/>
  <c r="B757" i="48"/>
  <c r="B756" i="48"/>
  <c r="B755" i="48"/>
  <c r="B754" i="48"/>
  <c r="B752" i="48"/>
  <c r="B751" i="48"/>
  <c r="B750" i="48"/>
  <c r="B749" i="48"/>
  <c r="B748" i="48"/>
  <c r="B747" i="48"/>
  <c r="B746" i="48"/>
  <c r="B745" i="48"/>
  <c r="B744" i="48"/>
  <c r="B743" i="48"/>
  <c r="B742" i="48"/>
  <c r="B741" i="48"/>
  <c r="B740" i="48"/>
  <c r="B739" i="48"/>
  <c r="B738" i="48"/>
  <c r="B737" i="48"/>
  <c r="B736" i="48"/>
  <c r="B735" i="48"/>
  <c r="B734" i="48"/>
  <c r="B733" i="48"/>
  <c r="B732" i="48"/>
  <c r="B731" i="48"/>
  <c r="B730" i="48"/>
  <c r="B729" i="48"/>
  <c r="B728" i="48"/>
  <c r="B726" i="48"/>
  <c r="B725" i="48"/>
  <c r="B724" i="48"/>
  <c r="B723" i="48"/>
  <c r="B722" i="48"/>
  <c r="B721" i="48"/>
  <c r="B720" i="48"/>
  <c r="B719" i="48"/>
  <c r="B718" i="48"/>
  <c r="B717" i="48"/>
  <c r="B716" i="48"/>
  <c r="B714" i="48"/>
  <c r="B713" i="48"/>
  <c r="B712" i="48"/>
  <c r="B711" i="48"/>
  <c r="B710" i="48"/>
  <c r="B709" i="48"/>
  <c r="B708" i="48"/>
  <c r="B707" i="48"/>
  <c r="B706" i="48"/>
  <c r="B705" i="48"/>
  <c r="B704" i="48"/>
  <c r="B703" i="48"/>
  <c r="B701" i="48"/>
  <c r="B700" i="48"/>
  <c r="B699" i="48"/>
  <c r="B698" i="48"/>
  <c r="B697" i="48"/>
  <c r="B696" i="48"/>
  <c r="B695" i="48"/>
  <c r="B694" i="48"/>
  <c r="B693" i="48"/>
  <c r="B692" i="48"/>
  <c r="B691" i="48"/>
  <c r="B690" i="48"/>
  <c r="B689" i="48"/>
  <c r="B688" i="48"/>
  <c r="B687" i="48"/>
  <c r="B686" i="48"/>
  <c r="B685" i="48"/>
  <c r="B683" i="48"/>
  <c r="B682" i="48"/>
  <c r="B681" i="48"/>
  <c r="B680" i="48"/>
  <c r="B679" i="48"/>
  <c r="B678" i="48"/>
  <c r="B677" i="48"/>
  <c r="B676" i="48"/>
  <c r="B675" i="48"/>
  <c r="B674" i="48"/>
  <c r="B673" i="48"/>
  <c r="B672" i="48"/>
  <c r="B671" i="48"/>
  <c r="B670" i="48"/>
  <c r="B669" i="48"/>
  <c r="B667" i="48"/>
  <c r="B666" i="48"/>
  <c r="B665" i="48"/>
  <c r="B664" i="48"/>
  <c r="B663" i="48"/>
  <c r="B662" i="48"/>
  <c r="B661" i="48"/>
  <c r="B660" i="48"/>
  <c r="B659" i="48"/>
  <c r="B658" i="48"/>
  <c r="B656" i="48"/>
  <c r="B655" i="48"/>
  <c r="B654" i="48"/>
  <c r="B653" i="48"/>
  <c r="B652" i="48"/>
  <c r="B651" i="48"/>
  <c r="B650" i="48"/>
  <c r="B649" i="48"/>
  <c r="B648" i="48"/>
  <c r="B647" i="48"/>
  <c r="B646" i="48"/>
  <c r="B645" i="48"/>
  <c r="B643" i="48"/>
  <c r="B642" i="48"/>
  <c r="B641" i="48"/>
  <c r="B640" i="48"/>
  <c r="B639" i="48"/>
  <c r="B638" i="48"/>
  <c r="B637" i="48"/>
  <c r="B636" i="48"/>
  <c r="B633" i="48"/>
  <c r="B632" i="48"/>
  <c r="C627" i="48"/>
  <c r="B621" i="48"/>
  <c r="B620" i="48"/>
  <c r="B619" i="48"/>
  <c r="C616" i="48"/>
  <c r="B610" i="48"/>
  <c r="B607" i="48"/>
  <c r="B604" i="48"/>
  <c r="C603" i="48"/>
  <c r="C600" i="48"/>
  <c r="C599" i="48"/>
  <c r="B598" i="48"/>
  <c r="B595" i="48"/>
  <c r="B602" i="48"/>
  <c r="C597" i="48"/>
  <c r="B594" i="48"/>
  <c r="B593" i="48"/>
  <c r="C592" i="48"/>
  <c r="B591" i="48"/>
  <c r="B590" i="48"/>
  <c r="B589" i="48"/>
  <c r="B587" i="48"/>
  <c r="C585" i="48"/>
  <c r="B584" i="48"/>
  <c r="B583" i="48"/>
  <c r="B144" i="55"/>
  <c r="B203" i="55"/>
  <c r="B272" i="55"/>
  <c r="B582" i="48"/>
  <c r="C580" i="48"/>
  <c r="C579" i="48"/>
  <c r="C576" i="48"/>
  <c r="B575" i="48"/>
  <c r="C574" i="48"/>
  <c r="B573" i="48"/>
  <c r="C568" i="48"/>
  <c r="B567" i="48"/>
  <c r="C565" i="48"/>
  <c r="B564" i="48"/>
  <c r="B585" i="48"/>
  <c r="B597" i="48"/>
  <c r="B606" i="48"/>
  <c r="C559" i="48"/>
  <c r="C555" i="48"/>
  <c r="B554" i="48"/>
  <c r="B555" i="48"/>
  <c r="B559" i="48"/>
  <c r="B562" i="48"/>
  <c r="C552" i="48"/>
  <c r="B552" i="48"/>
  <c r="B551" i="48"/>
  <c r="B550" i="48"/>
  <c r="B549" i="48"/>
  <c r="B548" i="48"/>
  <c r="B547" i="48"/>
  <c r="B544" i="48"/>
  <c r="B546" i="48"/>
  <c r="B553" i="48"/>
  <c r="B556" i="48"/>
  <c r="B558" i="48"/>
  <c r="B543" i="48"/>
  <c r="B542" i="48"/>
  <c r="B541" i="48"/>
  <c r="B540" i="48"/>
  <c r="C539" i="48"/>
  <c r="B539" i="48"/>
  <c r="C537" i="48"/>
  <c r="B537" i="48"/>
  <c r="B536" i="48"/>
  <c r="B535" i="48"/>
  <c r="B534" i="48"/>
  <c r="B533" i="48"/>
  <c r="B532" i="48"/>
  <c r="B531" i="48"/>
  <c r="B530" i="48"/>
  <c r="C529" i="48"/>
  <c r="B529" i="48"/>
  <c r="C528" i="48"/>
  <c r="B528" i="48"/>
  <c r="B526" i="48"/>
  <c r="B525" i="48"/>
  <c r="B524" i="48"/>
  <c r="B523" i="48"/>
  <c r="B522" i="48"/>
  <c r="B521" i="48"/>
  <c r="B520" i="48"/>
  <c r="B519" i="48"/>
  <c r="B518" i="48"/>
  <c r="B517" i="48"/>
  <c r="B516" i="48"/>
  <c r="B515" i="48"/>
  <c r="B514" i="48"/>
  <c r="B513" i="48"/>
  <c r="B512" i="48"/>
  <c r="B511" i="48"/>
  <c r="B510" i="48"/>
  <c r="B509" i="48"/>
  <c r="B508" i="48"/>
  <c r="B507" i="48"/>
  <c r="C506" i="48"/>
  <c r="B506" i="48"/>
  <c r="B505" i="48"/>
  <c r="B504" i="48"/>
  <c r="B503" i="48"/>
  <c r="B501" i="48"/>
  <c r="C500" i="48"/>
  <c r="B500" i="48"/>
  <c r="B499" i="48"/>
  <c r="B498" i="48"/>
  <c r="B497" i="48"/>
  <c r="B496" i="48"/>
  <c r="B495" i="48"/>
  <c r="B494" i="48"/>
  <c r="B493" i="48"/>
  <c r="B492" i="48"/>
  <c r="B491" i="48"/>
  <c r="B490" i="48"/>
  <c r="C489" i="48"/>
  <c r="B489" i="48"/>
  <c r="B488" i="48"/>
  <c r="B487" i="48"/>
  <c r="B486" i="48"/>
  <c r="B485" i="48"/>
  <c r="B484" i="48"/>
  <c r="B483" i="48"/>
  <c r="B482" i="48"/>
  <c r="B481" i="48"/>
  <c r="B480" i="48"/>
  <c r="B479" i="48"/>
  <c r="B478" i="48"/>
  <c r="B477" i="48"/>
  <c r="B476" i="48"/>
  <c r="B475" i="48"/>
  <c r="B474" i="48"/>
  <c r="C473" i="48"/>
  <c r="B473" i="48"/>
  <c r="C472" i="48"/>
  <c r="B472" i="48"/>
  <c r="B471" i="48"/>
  <c r="B470" i="48"/>
  <c r="B469" i="48"/>
  <c r="B468" i="48"/>
  <c r="B467" i="48"/>
  <c r="B466" i="48"/>
  <c r="B465" i="48"/>
  <c r="B464" i="48"/>
  <c r="B462" i="48"/>
  <c r="B461" i="48"/>
  <c r="B460" i="48"/>
  <c r="C459" i="48"/>
  <c r="B459" i="48"/>
  <c r="C458" i="48"/>
  <c r="B458" i="48"/>
  <c r="B457" i="48"/>
  <c r="B456" i="48"/>
  <c r="B455" i="48"/>
  <c r="B454" i="48"/>
  <c r="C453" i="48"/>
  <c r="B453" i="48"/>
  <c r="B452" i="48"/>
  <c r="B451" i="48"/>
  <c r="B450" i="48"/>
  <c r="B449" i="48"/>
  <c r="B448" i="48"/>
  <c r="B447" i="48"/>
  <c r="B446" i="48"/>
  <c r="B445" i="48"/>
  <c r="B444" i="48"/>
  <c r="B443" i="48"/>
  <c r="B442" i="48"/>
  <c r="B441" i="48"/>
  <c r="B440" i="48"/>
  <c r="B439" i="48"/>
  <c r="B438" i="48"/>
  <c r="B437" i="48"/>
  <c r="B436" i="48"/>
  <c r="B435" i="48"/>
  <c r="B434" i="48"/>
  <c r="B433" i="48"/>
  <c r="C432" i="48"/>
  <c r="B432" i="48"/>
  <c r="B431" i="48"/>
  <c r="B430" i="48"/>
  <c r="B429" i="48"/>
  <c r="B428" i="48"/>
  <c r="B427" i="48"/>
  <c r="B426" i="48"/>
  <c r="B425" i="48"/>
  <c r="B424" i="48"/>
  <c r="B423" i="48"/>
  <c r="B422" i="48"/>
  <c r="B421" i="48"/>
  <c r="B419" i="48"/>
  <c r="B418" i="48"/>
  <c r="B417" i="48"/>
  <c r="B416" i="48"/>
  <c r="B415" i="48"/>
  <c r="C414" i="48"/>
  <c r="B414" i="48"/>
  <c r="B413" i="48"/>
  <c r="B412" i="48"/>
  <c r="B411" i="48"/>
  <c r="B410" i="48"/>
  <c r="B409" i="48"/>
  <c r="B408" i="48"/>
  <c r="B407" i="48"/>
  <c r="B406" i="48"/>
  <c r="B405" i="48"/>
  <c r="B404" i="48"/>
  <c r="B403" i="48"/>
  <c r="B402" i="48"/>
  <c r="B401" i="48"/>
  <c r="B400" i="48"/>
  <c r="B399" i="48"/>
  <c r="B398" i="48"/>
  <c r="B397" i="48"/>
  <c r="B396" i="48"/>
  <c r="B395" i="48"/>
  <c r="B394" i="48"/>
  <c r="B393" i="48"/>
  <c r="B392" i="48"/>
  <c r="B391" i="48"/>
  <c r="B390" i="48"/>
  <c r="B389" i="48"/>
  <c r="B388" i="48"/>
  <c r="B387" i="48"/>
  <c r="C386" i="48"/>
  <c r="B386" i="48"/>
  <c r="B385" i="48"/>
  <c r="B384" i="48"/>
  <c r="B383" i="48"/>
  <c r="B382" i="48"/>
  <c r="B381" i="48"/>
  <c r="B380" i="48"/>
  <c r="C379" i="48"/>
  <c r="B379" i="48"/>
  <c r="B378" i="48"/>
  <c r="B377" i="48"/>
  <c r="B376" i="48"/>
  <c r="B375" i="48"/>
  <c r="B373" i="48"/>
  <c r="B372" i="48"/>
  <c r="B371" i="48"/>
  <c r="B370" i="48"/>
  <c r="B369" i="48"/>
  <c r="B368" i="48"/>
  <c r="B367" i="48"/>
  <c r="B366" i="48"/>
  <c r="B365" i="48"/>
  <c r="B364" i="48"/>
  <c r="C363" i="48"/>
  <c r="B363" i="48"/>
  <c r="B362" i="48"/>
  <c r="B361" i="48"/>
  <c r="B360" i="48"/>
  <c r="B359" i="48"/>
  <c r="B358" i="48"/>
  <c r="B357" i="48"/>
  <c r="B356" i="48"/>
  <c r="B355" i="48"/>
  <c r="B354" i="48"/>
  <c r="B353" i="48"/>
  <c r="B352" i="48"/>
  <c r="B351" i="48"/>
  <c r="B350" i="48"/>
  <c r="C349" i="48"/>
  <c r="B349" i="48"/>
  <c r="B348" i="48"/>
  <c r="B347" i="48"/>
  <c r="B346" i="48"/>
  <c r="B345" i="48"/>
  <c r="B344" i="48"/>
  <c r="B343" i="48"/>
  <c r="B342" i="48"/>
  <c r="B341" i="48"/>
  <c r="B340" i="48"/>
  <c r="B339" i="48"/>
  <c r="B338" i="48"/>
  <c r="B337" i="48"/>
  <c r="B336" i="48"/>
  <c r="B335" i="48"/>
  <c r="B334" i="48"/>
  <c r="B333" i="48"/>
  <c r="B332" i="48"/>
  <c r="B331" i="48"/>
  <c r="B330" i="48"/>
  <c r="B328" i="48"/>
  <c r="B327" i="48"/>
  <c r="B326" i="48"/>
  <c r="B325" i="48"/>
  <c r="B324" i="48"/>
  <c r="B323" i="48"/>
  <c r="B322" i="48"/>
  <c r="B321" i="48"/>
  <c r="B320" i="48"/>
  <c r="B319" i="48"/>
  <c r="B318" i="48"/>
  <c r="B317" i="48"/>
  <c r="B316" i="48"/>
  <c r="B315" i="48"/>
  <c r="B314" i="48"/>
  <c r="B313" i="48"/>
  <c r="B312" i="48"/>
  <c r="B311" i="48"/>
  <c r="B310" i="48"/>
  <c r="B309" i="48"/>
  <c r="B308" i="48"/>
  <c r="B307" i="48"/>
  <c r="B306" i="48"/>
  <c r="B305" i="48"/>
  <c r="B304" i="48"/>
  <c r="B303" i="48"/>
  <c r="B302" i="48"/>
  <c r="B301" i="48"/>
  <c r="B300" i="48"/>
  <c r="B299" i="48"/>
  <c r="B298" i="48"/>
  <c r="B297" i="48"/>
  <c r="B296" i="48"/>
  <c r="B295" i="48"/>
  <c r="B294" i="48"/>
  <c r="B293" i="48"/>
  <c r="B292" i="48"/>
  <c r="B291" i="48"/>
  <c r="B290" i="48"/>
  <c r="B289" i="48"/>
  <c r="B288" i="48"/>
  <c r="B287" i="48"/>
  <c r="B286" i="48"/>
  <c r="B285" i="48"/>
  <c r="B284" i="48"/>
  <c r="B283" i="48"/>
  <c r="B282" i="48"/>
  <c r="B281" i="48"/>
  <c r="B280" i="48"/>
  <c r="B279" i="48"/>
  <c r="B278" i="48"/>
  <c r="B276" i="48"/>
  <c r="B275" i="48"/>
  <c r="B274" i="48"/>
  <c r="B273" i="48"/>
  <c r="B272" i="48"/>
  <c r="B271" i="48"/>
  <c r="B270" i="48"/>
  <c r="B269" i="48"/>
  <c r="B268" i="48"/>
  <c r="B267" i="48"/>
  <c r="B266" i="48"/>
  <c r="B265" i="48"/>
  <c r="B264" i="48"/>
  <c r="B263" i="48"/>
  <c r="B262" i="48"/>
  <c r="B261" i="48"/>
  <c r="B260" i="48"/>
  <c r="B259" i="48"/>
  <c r="B258" i="48"/>
  <c r="B257" i="48"/>
  <c r="B256" i="48"/>
  <c r="B255" i="48"/>
  <c r="B254" i="48"/>
  <c r="B253" i="48"/>
  <c r="B252" i="48"/>
  <c r="B251" i="48"/>
  <c r="B250" i="48"/>
  <c r="B249" i="48"/>
  <c r="B248" i="48"/>
  <c r="B247" i="48"/>
  <c r="B246" i="48"/>
  <c r="B245" i="48"/>
  <c r="B244" i="48"/>
  <c r="B243" i="48"/>
  <c r="B242" i="48"/>
  <c r="B241" i="48"/>
  <c r="B240" i="48"/>
  <c r="B239" i="48"/>
  <c r="B236" i="48"/>
  <c r="B235" i="48"/>
  <c r="B234" i="48"/>
  <c r="B233" i="48"/>
  <c r="B232" i="48"/>
  <c r="B231" i="48"/>
  <c r="B230" i="48"/>
  <c r="B229" i="48"/>
  <c r="B228" i="48"/>
  <c r="B227" i="48"/>
  <c r="B226" i="48"/>
  <c r="B225" i="48"/>
  <c r="B224" i="48"/>
  <c r="B223" i="48"/>
  <c r="B222" i="48"/>
  <c r="B221" i="48"/>
  <c r="B220" i="48"/>
  <c r="B219" i="48"/>
  <c r="B218" i="48"/>
  <c r="B217" i="48"/>
  <c r="B215" i="48"/>
  <c r="B214" i="48"/>
  <c r="B213" i="48"/>
  <c r="B212" i="48"/>
  <c r="B211" i="48"/>
  <c r="B210" i="48"/>
  <c r="B209" i="48"/>
  <c r="B208" i="48"/>
  <c r="B207" i="48"/>
  <c r="B206" i="48"/>
  <c r="B205" i="48"/>
  <c r="B204" i="48"/>
  <c r="B203" i="48"/>
  <c r="B202" i="48"/>
  <c r="B201" i="48"/>
  <c r="B200" i="48"/>
  <c r="B199" i="48"/>
  <c r="B198" i="48"/>
  <c r="B197" i="48"/>
  <c r="B196" i="48"/>
  <c r="B195" i="48"/>
  <c r="B194" i="48"/>
  <c r="B193" i="48"/>
  <c r="B192" i="48"/>
  <c r="B191" i="48"/>
  <c r="B190" i="48"/>
  <c r="B189" i="48"/>
  <c r="B188" i="48"/>
  <c r="B187" i="48"/>
  <c r="B186" i="48"/>
  <c r="B185" i="48"/>
  <c r="B184" i="48"/>
  <c r="B183" i="48"/>
  <c r="B182" i="48"/>
  <c r="B181" i="48"/>
  <c r="B180" i="48"/>
  <c r="B179" i="48"/>
  <c r="B178" i="48"/>
  <c r="B177" i="48"/>
  <c r="B176" i="48"/>
  <c r="B175" i="48"/>
  <c r="B174" i="48"/>
  <c r="B173" i="48"/>
  <c r="B172" i="48"/>
  <c r="B171" i="48"/>
  <c r="B170" i="48"/>
  <c r="B169" i="48"/>
  <c r="B168" i="48"/>
  <c r="B167" i="48"/>
  <c r="B165" i="48"/>
  <c r="B164" i="48"/>
  <c r="B163" i="48"/>
  <c r="B162" i="48"/>
  <c r="B161" i="48"/>
  <c r="B160" i="48"/>
  <c r="B159" i="48"/>
  <c r="B158" i="48"/>
  <c r="B157" i="48"/>
  <c r="B156" i="48"/>
  <c r="B155" i="48"/>
  <c r="B154" i="48"/>
  <c r="B153" i="48"/>
  <c r="B152" i="48"/>
  <c r="B151" i="48"/>
  <c r="B150" i="48"/>
  <c r="B149" i="48"/>
  <c r="B148" i="48"/>
  <c r="B147" i="48"/>
  <c r="B146" i="48"/>
  <c r="B145" i="48"/>
  <c r="B144" i="48"/>
  <c r="B143" i="48"/>
  <c r="B142" i="48"/>
  <c r="B141" i="48"/>
  <c r="B140" i="48"/>
  <c r="B139" i="48"/>
  <c r="B138" i="48"/>
  <c r="B137" i="48"/>
  <c r="B136" i="48"/>
  <c r="B135" i="48"/>
  <c r="B134" i="48"/>
  <c r="B133" i="48"/>
  <c r="B132" i="48"/>
  <c r="B131" i="48"/>
  <c r="B130" i="48"/>
  <c r="B129" i="48"/>
  <c r="B128" i="48"/>
  <c r="B126" i="48"/>
  <c r="B125" i="48"/>
  <c r="B124" i="48"/>
  <c r="B123" i="48"/>
  <c r="B122" i="48"/>
  <c r="B121" i="48"/>
  <c r="B120" i="48"/>
  <c r="B119" i="48"/>
  <c r="B118" i="48"/>
  <c r="B117" i="48"/>
  <c r="B116" i="48"/>
  <c r="B115" i="48"/>
  <c r="B114" i="48"/>
  <c r="B113" i="48"/>
  <c r="B112" i="48"/>
  <c r="B111" i="48"/>
  <c r="B110" i="48"/>
  <c r="B109" i="48"/>
  <c r="B108" i="48"/>
  <c r="B107" i="48"/>
  <c r="B106" i="48"/>
  <c r="B105" i="48"/>
  <c r="B104" i="48"/>
  <c r="B103" i="48"/>
  <c r="B102" i="48"/>
  <c r="B101" i="48"/>
  <c r="B100" i="48"/>
  <c r="B99" i="48"/>
  <c r="B98" i="48"/>
  <c r="B97" i="48"/>
  <c r="B96" i="48"/>
  <c r="B95" i="48"/>
  <c r="B94" i="48"/>
  <c r="B93" i="48"/>
  <c r="B91" i="48"/>
  <c r="B90" i="48"/>
  <c r="B89" i="48"/>
  <c r="B88" i="48"/>
  <c r="B87" i="48"/>
  <c r="B86" i="48"/>
  <c r="B85" i="48"/>
  <c r="B84" i="48"/>
  <c r="B83" i="48"/>
  <c r="B82" i="48"/>
  <c r="B81" i="48"/>
  <c r="B80" i="48"/>
  <c r="B79" i="48"/>
  <c r="B78" i="48"/>
  <c r="B77" i="48"/>
  <c r="B76" i="48"/>
  <c r="B75" i="48"/>
  <c r="B74" i="48"/>
  <c r="B73" i="48"/>
  <c r="B72" i="48"/>
  <c r="B71" i="48"/>
  <c r="B70" i="48"/>
  <c r="B69" i="48"/>
  <c r="B68" i="48"/>
  <c r="B67" i="48"/>
  <c r="B66" i="48"/>
  <c r="B65" i="48"/>
  <c r="B64" i="48"/>
  <c r="B62" i="48"/>
  <c r="B61" i="48"/>
  <c r="B60" i="48"/>
  <c r="B59" i="48"/>
  <c r="B58" i="48"/>
  <c r="B57" i="48"/>
  <c r="B56" i="48"/>
  <c r="B55" i="48"/>
  <c r="B53" i="48"/>
  <c r="B52" i="48"/>
  <c r="B51" i="48"/>
  <c r="B50" i="48"/>
  <c r="B49" i="48"/>
  <c r="B48" i="48"/>
  <c r="B47" i="48"/>
  <c r="B46" i="48"/>
  <c r="B45" i="48"/>
  <c r="B44" i="48"/>
  <c r="B43" i="48"/>
  <c r="B42" i="48"/>
  <c r="B40" i="48"/>
  <c r="B39" i="48"/>
  <c r="B38" i="48"/>
  <c r="B37" i="48"/>
  <c r="B36" i="48"/>
  <c r="B35" i="48"/>
  <c r="B34" i="48"/>
  <c r="B33" i="48"/>
  <c r="B32" i="48"/>
  <c r="B31" i="48"/>
  <c r="B29" i="48"/>
  <c r="B28" i="48"/>
  <c r="B27" i="48"/>
  <c r="B26" i="48"/>
  <c r="B25" i="48"/>
  <c r="B24" i="48"/>
  <c r="B23" i="48"/>
  <c r="B22" i="48"/>
  <c r="B20" i="48"/>
  <c r="B19" i="48"/>
  <c r="B18" i="48"/>
  <c r="B17" i="48"/>
  <c r="B16" i="48"/>
  <c r="B15" i="48"/>
  <c r="B14" i="48"/>
  <c r="B13" i="48"/>
  <c r="B12" i="48"/>
  <c r="B10" i="48"/>
  <c r="B9" i="48"/>
  <c r="B8" i="48"/>
  <c r="B7" i="48"/>
  <c r="B6" i="48"/>
  <c r="B5" i="48"/>
  <c r="B4" i="48"/>
  <c r="B2" i="48"/>
  <c r="F72" i="19"/>
  <c r="E72" i="19"/>
  <c r="E69" i="19"/>
  <c r="E68" i="19"/>
  <c r="D68" i="19"/>
  <c r="B66" i="19"/>
  <c r="B65" i="19"/>
  <c r="B64" i="19"/>
  <c r="B63" i="19"/>
  <c r="B62" i="19"/>
  <c r="B61" i="19"/>
  <c r="B60" i="19"/>
  <c r="B59" i="19"/>
  <c r="B57" i="19"/>
  <c r="B56" i="19"/>
  <c r="B55" i="19"/>
  <c r="B54" i="19"/>
  <c r="B53" i="19"/>
  <c r="B52" i="19"/>
  <c r="B51" i="19"/>
  <c r="B50" i="19"/>
  <c r="B49" i="19"/>
  <c r="B48" i="19"/>
  <c r="B46" i="19"/>
  <c r="B45" i="19"/>
  <c r="F44" i="19"/>
  <c r="B43" i="19"/>
  <c r="B42" i="19"/>
  <c r="B41" i="19"/>
  <c r="B39" i="19"/>
  <c r="F38" i="19"/>
  <c r="B37" i="19"/>
  <c r="B36" i="19"/>
  <c r="B35" i="19"/>
  <c r="B32" i="19"/>
  <c r="B31" i="19"/>
  <c r="B30" i="19"/>
  <c r="B29" i="19"/>
  <c r="B28" i="19"/>
  <c r="F27" i="19"/>
  <c r="B25" i="19"/>
  <c r="B24" i="19"/>
  <c r="B23" i="19"/>
  <c r="B22" i="19"/>
  <c r="B21" i="19"/>
  <c r="B19" i="19"/>
  <c r="B17" i="19"/>
  <c r="B16" i="19"/>
  <c r="B15" i="19"/>
  <c r="F14" i="19"/>
  <c r="E14" i="19"/>
  <c r="B14" i="19"/>
  <c r="B13" i="19"/>
  <c r="F12" i="19"/>
  <c r="B10" i="19"/>
  <c r="B9" i="19"/>
  <c r="B8" i="19"/>
  <c r="B7" i="19"/>
  <c r="B6" i="19"/>
  <c r="B5" i="19"/>
  <c r="B4" i="19"/>
  <c r="B3" i="19"/>
  <c r="E33" i="54"/>
  <c r="E32" i="54"/>
  <c r="D32" i="54"/>
  <c r="B29" i="54"/>
  <c r="B26" i="54"/>
  <c r="B23" i="54"/>
  <c r="C15" i="54"/>
  <c r="C12" i="54"/>
  <c r="C8" i="54"/>
  <c r="B7" i="54"/>
  <c r="B12" i="54"/>
  <c r="B19" i="54"/>
  <c r="B5" i="54"/>
  <c r="B17" i="54"/>
  <c r="B24" i="54"/>
  <c r="B22" i="54"/>
  <c r="B3" i="54"/>
  <c r="B6" i="54"/>
  <c r="B11" i="54"/>
  <c r="B14" i="54"/>
  <c r="B15" i="54"/>
  <c r="B18" i="54"/>
  <c r="B21" i="54"/>
  <c r="B2" i="54"/>
  <c r="E66" i="110"/>
  <c r="E65" i="110"/>
  <c r="D65" i="110"/>
  <c r="C39" i="110"/>
  <c r="B4" i="110"/>
  <c r="B3" i="110"/>
  <c r="B210" i="23"/>
  <c r="B208" i="23"/>
  <c r="B207" i="23"/>
  <c r="B206" i="23"/>
  <c r="B205" i="23"/>
  <c r="B204" i="23"/>
  <c r="B203" i="23"/>
  <c r="B202" i="23"/>
  <c r="B201" i="23"/>
  <c r="B200" i="23"/>
  <c r="B199" i="23"/>
  <c r="B198" i="23"/>
  <c r="D199" i="23" s="1"/>
  <c r="B197" i="23"/>
  <c r="B196" i="23"/>
  <c r="B195" i="23"/>
  <c r="B194" i="23"/>
  <c r="B193" i="23"/>
  <c r="B192" i="23"/>
  <c r="B176" i="23"/>
  <c r="B175" i="23"/>
  <c r="B174" i="23"/>
  <c r="D175" i="23" s="1"/>
  <c r="B167" i="23"/>
  <c r="B166" i="23"/>
  <c r="B132" i="23"/>
  <c r="B131" i="23"/>
  <c r="D132" i="23" s="1"/>
  <c r="B130" i="23"/>
  <c r="B129" i="23"/>
  <c r="B128" i="23"/>
  <c r="B127" i="23"/>
  <c r="B126" i="23"/>
  <c r="B125" i="23"/>
  <c r="D126" i="23" s="1"/>
  <c r="B122" i="23"/>
  <c r="B116" i="23"/>
  <c r="B115" i="23"/>
  <c r="B114" i="23"/>
  <c r="B113" i="23"/>
  <c r="B112" i="23"/>
  <c r="B111" i="23"/>
  <c r="B110" i="23"/>
  <c r="B109" i="23"/>
  <c r="B108" i="23"/>
  <c r="B107" i="23"/>
  <c r="B106" i="23"/>
  <c r="B105" i="23"/>
  <c r="B104" i="23"/>
  <c r="B103" i="23"/>
  <c r="B102" i="23"/>
  <c r="D103" i="23" s="1"/>
  <c r="B101" i="23"/>
  <c r="B100" i="23"/>
  <c r="B99" i="23"/>
  <c r="B98" i="23"/>
  <c r="B97" i="23"/>
  <c r="D98" i="23" s="1"/>
  <c r="B96" i="23"/>
  <c r="B95" i="23"/>
  <c r="B94" i="23"/>
  <c r="B93" i="23"/>
  <c r="D94" i="23" s="1"/>
  <c r="B92" i="23"/>
  <c r="B91" i="23"/>
  <c r="B90" i="23"/>
  <c r="B89" i="23"/>
  <c r="B88" i="23"/>
  <c r="B87" i="23"/>
  <c r="B86" i="23"/>
  <c r="D87" i="23" s="1"/>
  <c r="B85" i="23"/>
  <c r="B84" i="23"/>
  <c r="B83" i="23"/>
  <c r="B82" i="23"/>
  <c r="D83" i="23" s="1"/>
  <c r="B81" i="23"/>
  <c r="D81" i="23"/>
  <c r="B79" i="23"/>
  <c r="D80" i="23" s="1"/>
  <c r="B78" i="23"/>
  <c r="B77" i="23"/>
  <c r="B76" i="23"/>
  <c r="B75" i="23"/>
  <c r="B74" i="23"/>
  <c r="B73" i="23"/>
  <c r="B72" i="23"/>
  <c r="B71" i="23"/>
  <c r="B70" i="23"/>
  <c r="B69" i="23"/>
  <c r="B68" i="23"/>
  <c r="B67" i="23"/>
  <c r="B66" i="23"/>
  <c r="B65" i="23"/>
  <c r="B64" i="23"/>
  <c r="B63" i="23"/>
  <c r="B62" i="23"/>
  <c r="B61" i="23"/>
  <c r="B60" i="23"/>
  <c r="B59" i="23"/>
  <c r="B58" i="23"/>
  <c r="B57" i="23"/>
  <c r="B56" i="23"/>
  <c r="B55" i="23"/>
  <c r="D56" i="23" s="1"/>
  <c r="B54" i="23"/>
  <c r="B53" i="23"/>
  <c r="B52" i="23"/>
  <c r="B51" i="23"/>
  <c r="B50" i="23"/>
  <c r="B49" i="23"/>
  <c r="D50" i="23" s="1"/>
  <c r="B48" i="23"/>
  <c r="B47" i="23"/>
  <c r="B46" i="23"/>
  <c r="B45" i="23"/>
  <c r="D46" i="23" s="1"/>
  <c r="B44" i="23"/>
  <c r="B43" i="23"/>
  <c r="B42" i="23"/>
  <c r="B41" i="23"/>
  <c r="B40" i="23"/>
  <c r="B39" i="23"/>
  <c r="B38" i="23"/>
  <c r="B37" i="23"/>
  <c r="C36" i="23"/>
  <c r="B36" i="23"/>
  <c r="D37" i="23" s="1"/>
  <c r="C35" i="23"/>
  <c r="B35" i="23"/>
  <c r="D36" i="23" s="1"/>
  <c r="B34" i="23"/>
  <c r="B33" i="23"/>
  <c r="B32" i="23"/>
  <c r="B31" i="23"/>
  <c r="B30" i="23"/>
  <c r="B29" i="23"/>
  <c r="B28" i="23"/>
  <c r="B27" i="23"/>
  <c r="B26" i="23"/>
  <c r="B25" i="23"/>
  <c r="D26" i="23" s="1"/>
  <c r="B24" i="23"/>
  <c r="B23" i="23"/>
  <c r="B22" i="23"/>
  <c r="B21" i="23"/>
  <c r="B20" i="23"/>
  <c r="B19" i="23"/>
  <c r="B18" i="23"/>
  <c r="B17" i="23"/>
  <c r="B16" i="23"/>
  <c r="B15" i="23"/>
  <c r="D16" i="23" s="1"/>
  <c r="B14" i="23"/>
  <c r="B13" i="23"/>
  <c r="B12" i="23"/>
  <c r="B11" i="23"/>
  <c r="B10" i="23"/>
  <c r="B9" i="23"/>
  <c r="D10" i="23" s="1"/>
  <c r="B8" i="23"/>
  <c r="B7" i="23"/>
  <c r="B6" i="23"/>
  <c r="B5" i="23"/>
  <c r="B4" i="23"/>
  <c r="B3" i="23"/>
  <c r="D4" i="23" s="1"/>
  <c r="B2" i="23"/>
  <c r="D2" i="23" s="1"/>
  <c r="G2586" i="22"/>
  <c r="E2585" i="22"/>
  <c r="B294" i="23" s="1"/>
  <c r="G2578" i="22"/>
  <c r="G2577" i="22"/>
  <c r="E2576" i="22"/>
  <c r="B293" i="23" s="1"/>
  <c r="G2568" i="22"/>
  <c r="G2567" i="22"/>
  <c r="E2566" i="22"/>
  <c r="B292" i="23" s="1"/>
  <c r="G2558" i="22"/>
  <c r="G2557" i="22"/>
  <c r="E2556" i="22"/>
  <c r="B291" i="23" s="1"/>
  <c r="G2548" i="22"/>
  <c r="G2547" i="22"/>
  <c r="G2546" i="22"/>
  <c r="G2545" i="22"/>
  <c r="E2544" i="22"/>
  <c r="B290" i="23" s="1"/>
  <c r="G2537" i="22"/>
  <c r="G2536" i="22"/>
  <c r="G2535" i="22"/>
  <c r="G2534" i="22"/>
  <c r="G2533" i="22"/>
  <c r="E2532" i="22"/>
  <c r="B289" i="23" s="1"/>
  <c r="G2531" i="22"/>
  <c r="G2524" i="22"/>
  <c r="G2523" i="22"/>
  <c r="G2521" i="22"/>
  <c r="G2520" i="22"/>
  <c r="G2519" i="22"/>
  <c r="G2518" i="22"/>
  <c r="G2517" i="22"/>
  <c r="E2516" i="22"/>
  <c r="B288" i="23" s="1"/>
  <c r="G2515" i="22"/>
  <c r="G2512" i="22"/>
  <c r="G2511" i="22"/>
  <c r="G2510" i="22"/>
  <c r="G2509" i="22"/>
  <c r="G2508" i="22"/>
  <c r="G2507" i="22"/>
  <c r="G2506" i="22"/>
  <c r="G2505" i="22"/>
  <c r="G2504" i="22"/>
  <c r="E2503" i="22"/>
  <c r="B287" i="23"/>
  <c r="G2502" i="22"/>
  <c r="G2501" i="22"/>
  <c r="G2500" i="22"/>
  <c r="E2499" i="22"/>
  <c r="H2490" i="22" s="1"/>
  <c r="G2498" i="22"/>
  <c r="G2497" i="22"/>
  <c r="G2496" i="22"/>
  <c r="G2495" i="22"/>
  <c r="G2494" i="22"/>
  <c r="G2493" i="22"/>
  <c r="G2492" i="22"/>
  <c r="G2491" i="22"/>
  <c r="G2489" i="22"/>
  <c r="G2488" i="22"/>
  <c r="G2487" i="22"/>
  <c r="G2486" i="22"/>
  <c r="E2486" i="22"/>
  <c r="E2475" i="22"/>
  <c r="B285" i="23" s="1"/>
  <c r="G2485" i="22"/>
  <c r="G2484" i="22"/>
  <c r="G2483" i="22"/>
  <c r="G2482" i="22"/>
  <c r="G2481" i="22"/>
  <c r="G2480" i="22"/>
  <c r="G2479" i="22"/>
  <c r="G2478" i="22"/>
  <c r="G2477" i="22"/>
  <c r="G2476" i="22"/>
  <c r="H2475" i="22"/>
  <c r="G2474" i="22"/>
  <c r="G2473" i="22"/>
  <c r="G2472" i="22"/>
  <c r="G2471" i="22"/>
  <c r="G2470" i="22"/>
  <c r="G2469" i="22"/>
  <c r="G2468" i="22"/>
  <c r="G2467" i="22"/>
  <c r="G2466" i="22"/>
  <c r="G2465" i="22"/>
  <c r="G2464" i="22"/>
  <c r="G2463" i="22"/>
  <c r="G2462" i="22"/>
  <c r="G2461" i="22"/>
  <c r="G2460" i="22"/>
  <c r="G2459" i="22"/>
  <c r="H2458" i="22"/>
  <c r="E2458" i="22"/>
  <c r="B284" i="23"/>
  <c r="G2457" i="22"/>
  <c r="G2456" i="22"/>
  <c r="G2455" i="22"/>
  <c r="G2454" i="22"/>
  <c r="G2453" i="22"/>
  <c r="G2452" i="22"/>
  <c r="G2451" i="22"/>
  <c r="G2450" i="22"/>
  <c r="G2449" i="22"/>
  <c r="G2448" i="22"/>
  <c r="G2447" i="22"/>
  <c r="G2446" i="22"/>
  <c r="G2445" i="22"/>
  <c r="G2444" i="22"/>
  <c r="G2443" i="22"/>
  <c r="H2442" i="22"/>
  <c r="E2442" i="22"/>
  <c r="B283" i="23"/>
  <c r="G2441" i="22"/>
  <c r="G2440" i="22"/>
  <c r="G2439" i="22"/>
  <c r="G2438" i="22"/>
  <c r="G2437" i="22"/>
  <c r="G2436" i="22"/>
  <c r="G2435" i="22"/>
  <c r="G2434" i="22"/>
  <c r="G2433" i="22"/>
  <c r="G2432" i="22"/>
  <c r="G2431" i="22"/>
  <c r="G2430" i="22"/>
  <c r="H2429" i="22"/>
  <c r="E2429" i="22"/>
  <c r="B282" i="23" s="1"/>
  <c r="G2428" i="22"/>
  <c r="G2427" i="22"/>
  <c r="G2426" i="22"/>
  <c r="G2425" i="22"/>
  <c r="G2424" i="22"/>
  <c r="G2423" i="22"/>
  <c r="G2422" i="22"/>
  <c r="G2421" i="22"/>
  <c r="C281" i="23" s="1"/>
  <c r="H2420" i="22"/>
  <c r="E2420" i="22"/>
  <c r="B281" i="23" s="1"/>
  <c r="G2419" i="22"/>
  <c r="G2418" i="22"/>
  <c r="G2417" i="22"/>
  <c r="G2416" i="22"/>
  <c r="G2415" i="22"/>
  <c r="G2414" i="22"/>
  <c r="H2413" i="22"/>
  <c r="E2413" i="22"/>
  <c r="B280" i="23" s="1"/>
  <c r="G2412" i="22"/>
  <c r="G2411" i="22"/>
  <c r="G2410" i="22"/>
  <c r="G2409" i="22"/>
  <c r="G2408" i="22"/>
  <c r="G2407" i="22"/>
  <c r="G2406" i="22"/>
  <c r="G2405" i="22"/>
  <c r="G2404" i="22"/>
  <c r="G2403" i="22"/>
  <c r="H2402" i="22"/>
  <c r="E2402" i="22"/>
  <c r="B279" i="23" s="1"/>
  <c r="G2401" i="22"/>
  <c r="G2400" i="22"/>
  <c r="G2399" i="22"/>
  <c r="G2398" i="22"/>
  <c r="G2397" i="22"/>
  <c r="G2396" i="22"/>
  <c r="G2395" i="22"/>
  <c r="G2394" i="22"/>
  <c r="G2393" i="22"/>
  <c r="G2392" i="22"/>
  <c r="G2391" i="22"/>
  <c r="C278" i="23" s="1"/>
  <c r="H2390" i="22"/>
  <c r="E2390" i="22"/>
  <c r="B278" i="23" s="1"/>
  <c r="G2389" i="22"/>
  <c r="G2388" i="22"/>
  <c r="G2387" i="22"/>
  <c r="G2386" i="22"/>
  <c r="G2385" i="22"/>
  <c r="G2384" i="22"/>
  <c r="G2383" i="22"/>
  <c r="G2382" i="22"/>
  <c r="G2381" i="22"/>
  <c r="G2380" i="22"/>
  <c r="H2379" i="22"/>
  <c r="E2379" i="22"/>
  <c r="B277" i="23" s="1"/>
  <c r="G2378" i="22"/>
  <c r="G2377" i="22"/>
  <c r="G2376" i="22"/>
  <c r="G2375" i="22"/>
  <c r="G2374" i="22"/>
  <c r="G2373" i="22"/>
  <c r="G2372" i="22"/>
  <c r="G2371" i="22"/>
  <c r="G2370" i="22"/>
  <c r="G2369" i="22"/>
  <c r="G2368" i="22"/>
  <c r="G2367" i="22"/>
  <c r="G2366" i="22"/>
  <c r="H2365" i="22"/>
  <c r="E2365" i="22"/>
  <c r="B276" i="23" s="1"/>
  <c r="G2364" i="22"/>
  <c r="G2363" i="22"/>
  <c r="G2362" i="22"/>
  <c r="G2361" i="22"/>
  <c r="G2360" i="22"/>
  <c r="G2359" i="22"/>
  <c r="G2358" i="22"/>
  <c r="G2357" i="22"/>
  <c r="G2356" i="22"/>
  <c r="G2355" i="22"/>
  <c r="G2354" i="22"/>
  <c r="G2353" i="22"/>
  <c r="G2352" i="22"/>
  <c r="G2351" i="22"/>
  <c r="G2350" i="22"/>
  <c r="H2349" i="22"/>
  <c r="E2349" i="22"/>
  <c r="B275" i="23" s="1"/>
  <c r="G2348" i="22"/>
  <c r="G2347" i="22"/>
  <c r="G2346" i="22"/>
  <c r="G2345" i="22"/>
  <c r="G2344" i="22"/>
  <c r="G2343" i="22"/>
  <c r="G2342" i="22"/>
  <c r="G2341" i="22"/>
  <c r="G2340" i="22"/>
  <c r="G2339" i="22"/>
  <c r="G2338" i="22"/>
  <c r="G2337" i="22"/>
  <c r="G2336" i="22"/>
  <c r="H2335" i="22"/>
  <c r="E2335" i="22"/>
  <c r="B274" i="23" s="1"/>
  <c r="G2334" i="22"/>
  <c r="G2333" i="22"/>
  <c r="G2332" i="22"/>
  <c r="G2331" i="22"/>
  <c r="G2330" i="22"/>
  <c r="G2329" i="22"/>
  <c r="G2328" i="22"/>
  <c r="G2327" i="22"/>
  <c r="G2326" i="22"/>
  <c r="G2325" i="22"/>
  <c r="G2324" i="22"/>
  <c r="G2323" i="22"/>
  <c r="H2322" i="22"/>
  <c r="E2322" i="22"/>
  <c r="B273" i="23" s="1"/>
  <c r="G2321" i="22"/>
  <c r="G2320" i="22"/>
  <c r="G2319" i="22"/>
  <c r="G2318" i="22"/>
  <c r="G2317" i="22"/>
  <c r="G2316" i="22"/>
  <c r="G2315" i="22"/>
  <c r="G2314" i="22"/>
  <c r="G2313" i="22"/>
  <c r="E2312" i="22"/>
  <c r="B272" i="23" s="1"/>
  <c r="G2311" i="22"/>
  <c r="G2310" i="22"/>
  <c r="G2309" i="22"/>
  <c r="G2308" i="22"/>
  <c r="G2307" i="22"/>
  <c r="G2306" i="22"/>
  <c r="G2305" i="22"/>
  <c r="G2304" i="22"/>
  <c r="H2303" i="22"/>
  <c r="E2303" i="22"/>
  <c r="B271" i="23" s="1"/>
  <c r="G2302" i="22"/>
  <c r="G2301" i="22"/>
  <c r="G2300" i="22"/>
  <c r="G2299" i="22"/>
  <c r="G2298" i="22"/>
  <c r="G2297" i="22"/>
  <c r="G2296" i="22"/>
  <c r="G2295" i="22"/>
  <c r="G2294" i="22"/>
  <c r="G2293" i="22"/>
  <c r="G2292" i="22"/>
  <c r="H2290" i="22"/>
  <c r="E2290" i="22"/>
  <c r="B270" i="23"/>
  <c r="G2289" i="22"/>
  <c r="G2288" i="22"/>
  <c r="G2287" i="22"/>
  <c r="G2286" i="22"/>
  <c r="G2285" i="22"/>
  <c r="G2284" i="22"/>
  <c r="G2283" i="22"/>
  <c r="G2282" i="22"/>
  <c r="G2281" i="22"/>
  <c r="G2280" i="22"/>
  <c r="G2279" i="22"/>
  <c r="G2278" i="22"/>
  <c r="G2277" i="22"/>
  <c r="H2276" i="22"/>
  <c r="E2276" i="22"/>
  <c r="B269" i="23"/>
  <c r="G2275" i="22"/>
  <c r="G2274" i="22"/>
  <c r="G2273" i="22"/>
  <c r="G2272" i="22"/>
  <c r="G2271" i="22"/>
  <c r="G2270" i="22"/>
  <c r="G2269" i="22"/>
  <c r="G2268" i="22"/>
  <c r="G2267" i="22"/>
  <c r="G2266" i="22"/>
  <c r="G2265" i="22"/>
  <c r="G2264" i="22"/>
  <c r="G2263" i="22"/>
  <c r="G2262" i="22"/>
  <c r="H2261" i="22"/>
  <c r="E2261" i="22"/>
  <c r="B268" i="23" s="1"/>
  <c r="G2260" i="22"/>
  <c r="G2259" i="22"/>
  <c r="G2258" i="22"/>
  <c r="G2257" i="22"/>
  <c r="G2256" i="22"/>
  <c r="G2255" i="22"/>
  <c r="G2254" i="22"/>
  <c r="G2253" i="22"/>
  <c r="G2252" i="22"/>
  <c r="G2251" i="22"/>
  <c r="G2250" i="22"/>
  <c r="G2249" i="22"/>
  <c r="G2248" i="22"/>
  <c r="G2247" i="22"/>
  <c r="G2246" i="22"/>
  <c r="G2245" i="22"/>
  <c r="H2244" i="22"/>
  <c r="E2244" i="22"/>
  <c r="B267" i="23" s="1"/>
  <c r="G2243" i="22"/>
  <c r="G2242" i="22"/>
  <c r="G2241" i="22"/>
  <c r="G2240" i="22"/>
  <c r="G2239" i="22"/>
  <c r="G2238" i="22"/>
  <c r="G2237" i="22"/>
  <c r="G2236" i="22"/>
  <c r="G2235" i="22"/>
  <c r="G2234" i="22"/>
  <c r="G2233" i="22"/>
  <c r="G2232" i="22"/>
  <c r="G2231" i="22"/>
  <c r="G2230" i="22"/>
  <c r="G2229" i="22"/>
  <c r="G2228" i="22"/>
  <c r="G2227" i="22"/>
  <c r="G2226" i="22"/>
  <c r="G2225" i="22"/>
  <c r="H2224" i="22"/>
  <c r="E2224" i="22"/>
  <c r="B266" i="23" s="1"/>
  <c r="G2223" i="22"/>
  <c r="G2222" i="22"/>
  <c r="G2221" i="22"/>
  <c r="G2220" i="22"/>
  <c r="G2219" i="22"/>
  <c r="G2218" i="22"/>
  <c r="G2217" i="22"/>
  <c r="G2216" i="22"/>
  <c r="G2215" i="22"/>
  <c r="G2214" i="22"/>
  <c r="G2213" i="22"/>
  <c r="G2212" i="22"/>
  <c r="G2211" i="22"/>
  <c r="G2210" i="22"/>
  <c r="G2209" i="22"/>
  <c r="E2208" i="22"/>
  <c r="B265" i="23" s="1"/>
  <c r="G2207" i="22"/>
  <c r="G2206" i="22"/>
  <c r="G2205" i="22"/>
  <c r="G2204" i="22"/>
  <c r="G2203" i="22"/>
  <c r="G2202" i="22"/>
  <c r="G2201" i="22"/>
  <c r="G2200" i="22"/>
  <c r="G2199" i="22"/>
  <c r="E2198" i="22"/>
  <c r="B264" i="23" s="1"/>
  <c r="G2197" i="22"/>
  <c r="G2196" i="22"/>
  <c r="G2195" i="22"/>
  <c r="G2194" i="22"/>
  <c r="G2193" i="22"/>
  <c r="G2192" i="22"/>
  <c r="G2191" i="22"/>
  <c r="G2190" i="22"/>
  <c r="G2189" i="22"/>
  <c r="H2188" i="22"/>
  <c r="E2188" i="22"/>
  <c r="B263" i="23" s="1"/>
  <c r="G2187" i="22"/>
  <c r="G2186" i="22"/>
  <c r="G2185" i="22"/>
  <c r="G2184" i="22"/>
  <c r="G2183" i="22"/>
  <c r="G2182" i="22"/>
  <c r="E2181" i="22"/>
  <c r="B262" i="23" s="1"/>
  <c r="G2180" i="22"/>
  <c r="G2179" i="22"/>
  <c r="G2178" i="22"/>
  <c r="G2177" i="22"/>
  <c r="G2176" i="22"/>
  <c r="H2175" i="22"/>
  <c r="E2175" i="22"/>
  <c r="B261" i="23"/>
  <c r="G2174" i="22"/>
  <c r="G2173" i="22"/>
  <c r="G2172" i="22"/>
  <c r="G2171" i="22"/>
  <c r="C260" i="23" s="1"/>
  <c r="E2170" i="22"/>
  <c r="B260" i="23" s="1"/>
  <c r="D261" i="23" s="1"/>
  <c r="G2169" i="22"/>
  <c r="G2168" i="22"/>
  <c r="G2167" i="22"/>
  <c r="G2166" i="22"/>
  <c r="G2165" i="22"/>
  <c r="H2164" i="22"/>
  <c r="E2164" i="22"/>
  <c r="B259" i="23"/>
  <c r="G2163" i="22"/>
  <c r="G2162" i="22"/>
  <c r="G2161" i="22"/>
  <c r="G2160" i="22"/>
  <c r="G2159" i="22"/>
  <c r="H2158" i="22"/>
  <c r="E2158" i="22"/>
  <c r="B258" i="23" s="1"/>
  <c r="D259" i="23" s="1"/>
  <c r="G2157" i="22"/>
  <c r="G2156" i="22"/>
  <c r="G2155" i="22"/>
  <c r="G2154" i="22"/>
  <c r="G2153" i="22"/>
  <c r="G2152" i="22"/>
  <c r="H2151" i="22"/>
  <c r="E2151" i="22"/>
  <c r="B257" i="23" s="1"/>
  <c r="G2150" i="22"/>
  <c r="G2149" i="22"/>
  <c r="G2148" i="22"/>
  <c r="G2147" i="22"/>
  <c r="G2146" i="22"/>
  <c r="G2145" i="22"/>
  <c r="G2144" i="22"/>
  <c r="G2143" i="22"/>
  <c r="G2142" i="22"/>
  <c r="G2141" i="22"/>
  <c r="G2140" i="22"/>
  <c r="G2139" i="22"/>
  <c r="G2138" i="22"/>
  <c r="G2137" i="22"/>
  <c r="G2136" i="22"/>
  <c r="G2135" i="22"/>
  <c r="G2134" i="22"/>
  <c r="G2133" i="22"/>
  <c r="G2132" i="22"/>
  <c r="G2131" i="22"/>
  <c r="G2130" i="22"/>
  <c r="G2129" i="22"/>
  <c r="G2128" i="22"/>
  <c r="H2127" i="22"/>
  <c r="E2127" i="22"/>
  <c r="B256" i="23" s="1"/>
  <c r="G2126" i="22"/>
  <c r="G2125" i="22"/>
  <c r="G2124" i="22"/>
  <c r="G2123" i="22"/>
  <c r="G2122" i="22"/>
  <c r="G2121" i="22"/>
  <c r="G2120" i="22"/>
  <c r="G2119" i="22"/>
  <c r="G2118" i="22"/>
  <c r="G2117" i="22"/>
  <c r="H2116" i="22"/>
  <c r="E2116" i="22"/>
  <c r="B255" i="23"/>
  <c r="G2115" i="22"/>
  <c r="G2114" i="22"/>
  <c r="G2113" i="22"/>
  <c r="G2112" i="22"/>
  <c r="G2111" i="22"/>
  <c r="G2110" i="22"/>
  <c r="G2109" i="22"/>
  <c r="G2108" i="22"/>
  <c r="G2107" i="22"/>
  <c r="E2106" i="22"/>
  <c r="B254" i="23" s="1"/>
  <c r="G2105" i="22"/>
  <c r="G2104" i="22"/>
  <c r="G2103" i="22"/>
  <c r="G2102" i="22"/>
  <c r="G2101" i="22"/>
  <c r="G2100" i="22"/>
  <c r="H2099" i="22"/>
  <c r="E2099" i="22"/>
  <c r="B253" i="23"/>
  <c r="G2098" i="22"/>
  <c r="G2097" i="22"/>
  <c r="G2096" i="22"/>
  <c r="G2095" i="22"/>
  <c r="E2094" i="22"/>
  <c r="B252" i="23" s="1"/>
  <c r="G2093" i="22"/>
  <c r="G2092" i="22"/>
  <c r="G2091" i="22"/>
  <c r="G2090" i="22"/>
  <c r="H2089" i="22"/>
  <c r="E2089" i="22"/>
  <c r="B251" i="23" s="1"/>
  <c r="G2088" i="22"/>
  <c r="G2087" i="22"/>
  <c r="G2086" i="22"/>
  <c r="G2085" i="22"/>
  <c r="H2084" i="22"/>
  <c r="E2084" i="22"/>
  <c r="B250" i="23"/>
  <c r="G2083" i="22"/>
  <c r="G2082" i="22"/>
  <c r="G2081" i="22"/>
  <c r="G2080" i="22"/>
  <c r="C249" i="23" s="1"/>
  <c r="E2079" i="22"/>
  <c r="B249" i="23"/>
  <c r="G2078" i="22"/>
  <c r="G2077" i="22"/>
  <c r="G2076" i="22"/>
  <c r="G2075" i="22"/>
  <c r="E2074" i="22"/>
  <c r="B248" i="23" s="1"/>
  <c r="G2073" i="22"/>
  <c r="G2072" i="22"/>
  <c r="H2069" i="22" s="1"/>
  <c r="G2071" i="22"/>
  <c r="G2070" i="22"/>
  <c r="E2069" i="22"/>
  <c r="B247" i="23" s="1"/>
  <c r="G2068" i="22"/>
  <c r="G2067" i="22"/>
  <c r="G2066" i="22"/>
  <c r="G2065" i="22"/>
  <c r="E2064" i="22"/>
  <c r="B246" i="23" s="1"/>
  <c r="G2063" i="22"/>
  <c r="G2062" i="22"/>
  <c r="G2061" i="22"/>
  <c r="G2060" i="22"/>
  <c r="G2059" i="22"/>
  <c r="G2058" i="22"/>
  <c r="G2057" i="22"/>
  <c r="G2056" i="22"/>
  <c r="H2055" i="22"/>
  <c r="E2055" i="22"/>
  <c r="B245" i="23" s="1"/>
  <c r="G2054" i="22"/>
  <c r="G2053" i="22"/>
  <c r="G2052" i="22"/>
  <c r="G2051" i="22"/>
  <c r="G2050" i="22"/>
  <c r="G2049" i="22"/>
  <c r="G2048" i="22"/>
  <c r="G2047" i="22"/>
  <c r="E2046" i="22"/>
  <c r="B244" i="23" s="1"/>
  <c r="G2045" i="22"/>
  <c r="G2044" i="22"/>
  <c r="G2043" i="22"/>
  <c r="G2042" i="22"/>
  <c r="G2041" i="22"/>
  <c r="G2040" i="22"/>
  <c r="G2039" i="22"/>
  <c r="G2038" i="22"/>
  <c r="G2037" i="22"/>
  <c r="G2036" i="22"/>
  <c r="H2035" i="22"/>
  <c r="E2035" i="22"/>
  <c r="B243" i="23" s="1"/>
  <c r="G2034" i="22"/>
  <c r="G2033" i="22"/>
  <c r="G2032" i="22"/>
  <c r="G2031" i="22"/>
  <c r="G2030" i="22"/>
  <c r="G2029" i="22"/>
  <c r="G2028" i="22"/>
  <c r="G2027" i="22"/>
  <c r="E2026" i="22"/>
  <c r="B242" i="23" s="1"/>
  <c r="G2025" i="22"/>
  <c r="G2024" i="22"/>
  <c r="G2023" i="22"/>
  <c r="G2022" i="22"/>
  <c r="G2021" i="22"/>
  <c r="H2020" i="22"/>
  <c r="E2020" i="22"/>
  <c r="B241" i="23" s="1"/>
  <c r="G2019" i="22"/>
  <c r="G2018" i="22"/>
  <c r="G2017" i="22"/>
  <c r="G2016" i="22"/>
  <c r="G2015" i="22"/>
  <c r="E2014" i="22"/>
  <c r="B240" i="23" s="1"/>
  <c r="G2013" i="22"/>
  <c r="G2012" i="22"/>
  <c r="G2011" i="22"/>
  <c r="G2010" i="22"/>
  <c r="H2009" i="22"/>
  <c r="E2009" i="22"/>
  <c r="B239" i="23" s="1"/>
  <c r="G2008" i="22"/>
  <c r="G2007" i="22"/>
  <c r="G2006" i="22"/>
  <c r="G2005" i="22"/>
  <c r="G2004" i="22"/>
  <c r="G2003" i="22"/>
  <c r="H2002" i="22"/>
  <c r="E2002" i="22"/>
  <c r="B238" i="23" s="1"/>
  <c r="G2001" i="22"/>
  <c r="G2000" i="22"/>
  <c r="G1999" i="22"/>
  <c r="G1998" i="22"/>
  <c r="G1997" i="22"/>
  <c r="G1996" i="22"/>
  <c r="G1995" i="22"/>
  <c r="H1994" i="22"/>
  <c r="E1994" i="22"/>
  <c r="B237" i="23" s="1"/>
  <c r="G1993" i="22"/>
  <c r="G1992" i="22"/>
  <c r="G1991" i="22"/>
  <c r="G1990" i="22"/>
  <c r="G1989" i="22"/>
  <c r="G1988" i="22"/>
  <c r="G1987" i="22"/>
  <c r="G1986" i="22"/>
  <c r="G1985" i="22"/>
  <c r="H1984" i="22"/>
  <c r="E1984" i="22"/>
  <c r="B236" i="23" s="1"/>
  <c r="G1983" i="22"/>
  <c r="G1982" i="22"/>
  <c r="G1981" i="22"/>
  <c r="G1980" i="22"/>
  <c r="G1979" i="22"/>
  <c r="G1978" i="22"/>
  <c r="G1977" i="22"/>
  <c r="G1976" i="22"/>
  <c r="G1975" i="22"/>
  <c r="G1974" i="22"/>
  <c r="H1973" i="22"/>
  <c r="E1973" i="22"/>
  <c r="B235" i="23" s="1"/>
  <c r="G1972" i="22"/>
  <c r="G1971" i="22"/>
  <c r="G1970" i="22"/>
  <c r="G1969" i="22"/>
  <c r="G1968" i="22"/>
  <c r="G1967" i="22"/>
  <c r="G1966" i="22"/>
  <c r="G1965" i="22"/>
  <c r="G1964" i="22"/>
  <c r="G1963" i="22"/>
  <c r="G1962" i="22"/>
  <c r="G1961" i="22"/>
  <c r="H1960" i="22"/>
  <c r="E1960" i="22"/>
  <c r="B234" i="23" s="1"/>
  <c r="G1959" i="22"/>
  <c r="G1958" i="22"/>
  <c r="G1957" i="22"/>
  <c r="G1956" i="22"/>
  <c r="G1955" i="22"/>
  <c r="G1954" i="22"/>
  <c r="G1953" i="22"/>
  <c r="G1952" i="22"/>
  <c r="G1951" i="22"/>
  <c r="G1950" i="22"/>
  <c r="G1949" i="22"/>
  <c r="G1948" i="22"/>
  <c r="H1947" i="22"/>
  <c r="E1947" i="22"/>
  <c r="B233" i="23" s="1"/>
  <c r="G1946" i="22"/>
  <c r="G1945" i="22"/>
  <c r="G1944" i="22"/>
  <c r="G1943" i="22"/>
  <c r="G1942" i="22"/>
  <c r="G1941" i="22"/>
  <c r="G1940" i="22"/>
  <c r="G1939" i="22"/>
  <c r="G1938" i="22"/>
  <c r="G1937" i="22"/>
  <c r="H1936" i="22"/>
  <c r="G1936" i="22"/>
  <c r="E1935" i="22"/>
  <c r="B232" i="23"/>
  <c r="G1934" i="22"/>
  <c r="G1933" i="22"/>
  <c r="G1932" i="22"/>
  <c r="G1931" i="22"/>
  <c r="G1930" i="22"/>
  <c r="G1929" i="22"/>
  <c r="G1928" i="22"/>
  <c r="G1926" i="22"/>
  <c r="G1925" i="22"/>
  <c r="G1924" i="22"/>
  <c r="H1923" i="22"/>
  <c r="E1923" i="22"/>
  <c r="B231" i="23" s="1"/>
  <c r="G1922" i="22"/>
  <c r="G1921" i="22"/>
  <c r="G1920" i="22"/>
  <c r="G1919" i="22"/>
  <c r="G1918" i="22"/>
  <c r="G1917" i="22"/>
  <c r="G1916" i="22"/>
  <c r="G1915" i="22"/>
  <c r="G1914" i="22"/>
  <c r="G1913" i="22"/>
  <c r="G1912" i="22"/>
  <c r="E1911" i="22"/>
  <c r="B230" i="23" s="1"/>
  <c r="G1910" i="22"/>
  <c r="G1909" i="22"/>
  <c r="G1908" i="22"/>
  <c r="G1907" i="22"/>
  <c r="G1906" i="22"/>
  <c r="G1905" i="22"/>
  <c r="G1904" i="22"/>
  <c r="G1903" i="22"/>
  <c r="G1902" i="22"/>
  <c r="G1901" i="22"/>
  <c r="G1900" i="22"/>
  <c r="G1899" i="22"/>
  <c r="H1898" i="22"/>
  <c r="E1898" i="22"/>
  <c r="B229" i="23"/>
  <c r="G1897" i="22"/>
  <c r="G1896" i="22"/>
  <c r="G1895" i="22"/>
  <c r="G1894" i="22"/>
  <c r="G1893" i="22"/>
  <c r="G1892" i="22"/>
  <c r="G1891" i="22"/>
  <c r="G1890" i="22"/>
  <c r="G1889" i="22"/>
  <c r="G1888" i="22"/>
  <c r="G1887" i="22"/>
  <c r="G1886" i="22"/>
  <c r="H1885" i="22"/>
  <c r="E1885" i="22"/>
  <c r="B228" i="23"/>
  <c r="G1884" i="22"/>
  <c r="G1883" i="22"/>
  <c r="G1882" i="22"/>
  <c r="G1881" i="22"/>
  <c r="G1880" i="22"/>
  <c r="G1879" i="22"/>
  <c r="G1878" i="22"/>
  <c r="G1877" i="22"/>
  <c r="G1876" i="22"/>
  <c r="G1875" i="22"/>
  <c r="G1874" i="22"/>
  <c r="H1873" i="22"/>
  <c r="E1873" i="22"/>
  <c r="B227" i="23" s="1"/>
  <c r="G1872" i="22"/>
  <c r="G1871" i="22"/>
  <c r="G1870" i="22"/>
  <c r="G1869" i="22"/>
  <c r="G1868" i="22"/>
  <c r="G1867" i="22"/>
  <c r="G1866" i="22"/>
  <c r="G1865" i="22"/>
  <c r="G1864" i="22"/>
  <c r="G1863" i="22"/>
  <c r="G1862" i="22"/>
  <c r="H1861" i="22"/>
  <c r="E1861" i="22"/>
  <c r="B226" i="23" s="1"/>
  <c r="G1860" i="22"/>
  <c r="G1859" i="22"/>
  <c r="G1858" i="22"/>
  <c r="G1857" i="22"/>
  <c r="G1856" i="22"/>
  <c r="G1855" i="22"/>
  <c r="G1854" i="22"/>
  <c r="G1853" i="22"/>
  <c r="H1852" i="22"/>
  <c r="E1852" i="22"/>
  <c r="B225" i="23" s="1"/>
  <c r="G1851" i="22"/>
  <c r="G1850" i="22"/>
  <c r="G1849" i="22"/>
  <c r="G1848" i="22"/>
  <c r="G1847" i="22"/>
  <c r="G1846" i="22"/>
  <c r="G1845" i="22"/>
  <c r="G1844" i="22"/>
  <c r="H1843" i="22"/>
  <c r="E1843" i="22"/>
  <c r="B224" i="23" s="1"/>
  <c r="G1842" i="22"/>
  <c r="G1841" i="22"/>
  <c r="G1840" i="22"/>
  <c r="G1839" i="22"/>
  <c r="G1838" i="22"/>
  <c r="G1837" i="22"/>
  <c r="G1836" i="22"/>
  <c r="G1835" i="22"/>
  <c r="E1834" i="22"/>
  <c r="B223" i="23" s="1"/>
  <c r="G1833" i="22"/>
  <c r="G1832" i="22"/>
  <c r="G1831" i="22"/>
  <c r="G1830" i="22"/>
  <c r="G1829" i="22"/>
  <c r="G1828" i="22"/>
  <c r="H1827" i="22"/>
  <c r="E1827" i="22"/>
  <c r="B222" i="23"/>
  <c r="G1826" i="22"/>
  <c r="G1825" i="22"/>
  <c r="G1824" i="22"/>
  <c r="G1823" i="22"/>
  <c r="G1822" i="22"/>
  <c r="G1821" i="22"/>
  <c r="G1820" i="22"/>
  <c r="H1819" i="22"/>
  <c r="E1819" i="22"/>
  <c r="B221" i="23" s="1"/>
  <c r="G1818" i="22"/>
  <c r="G1817" i="22"/>
  <c r="G1816" i="22"/>
  <c r="G1815" i="22"/>
  <c r="G1814" i="22"/>
  <c r="E1814" i="22"/>
  <c r="E1810" i="22" s="1"/>
  <c r="B220" i="23" s="1"/>
  <c r="G1813" i="22"/>
  <c r="G1812" i="22"/>
  <c r="G1811" i="22"/>
  <c r="G1809" i="22"/>
  <c r="G1808" i="22"/>
  <c r="G1807" i="22"/>
  <c r="E1807" i="22"/>
  <c r="E1802" i="22" s="1"/>
  <c r="B219" i="23" s="1"/>
  <c r="G1806" i="22"/>
  <c r="G1805" i="22"/>
  <c r="G1804" i="22"/>
  <c r="G1803" i="22"/>
  <c r="H1802" i="22"/>
  <c r="G1801" i="22"/>
  <c r="G1800" i="22"/>
  <c r="G1799" i="22"/>
  <c r="G1798" i="22"/>
  <c r="E1798" i="22"/>
  <c r="E1792" i="22" s="1"/>
  <c r="B218" i="23" s="1"/>
  <c r="G1797" i="22"/>
  <c r="G1796" i="22"/>
  <c r="G1795" i="22"/>
  <c r="G1794" i="22"/>
  <c r="G1793" i="22"/>
  <c r="H1792" i="22"/>
  <c r="G1791" i="22"/>
  <c r="G1790" i="22"/>
  <c r="H1783" i="22"/>
  <c r="G1789" i="22"/>
  <c r="G1788" i="22"/>
  <c r="G1787" i="22"/>
  <c r="G1786" i="22"/>
  <c r="G1785" i="22"/>
  <c r="G1784" i="22"/>
  <c r="E1783" i="22"/>
  <c r="B217" i="23" s="1"/>
  <c r="G1782" i="22"/>
  <c r="G1781" i="22"/>
  <c r="G1780" i="22"/>
  <c r="G1779" i="22"/>
  <c r="G1778" i="22"/>
  <c r="G1777" i="22"/>
  <c r="G1776" i="22"/>
  <c r="G1775" i="22"/>
  <c r="G1774" i="22"/>
  <c r="G1773" i="22"/>
  <c r="G1772" i="22"/>
  <c r="G1771" i="22"/>
  <c r="G1770" i="22"/>
  <c r="H1769" i="22"/>
  <c r="E1769" i="22"/>
  <c r="B216" i="23" s="1"/>
  <c r="G1768" i="22"/>
  <c r="G1767" i="22"/>
  <c r="G1766" i="22"/>
  <c r="G1765" i="22"/>
  <c r="G1764" i="22"/>
  <c r="G1763" i="22"/>
  <c r="G1762" i="22"/>
  <c r="G1761" i="22"/>
  <c r="G1760" i="22"/>
  <c r="G1759" i="22"/>
  <c r="E1758" i="22"/>
  <c r="B215" i="23" s="1"/>
  <c r="G1757" i="22"/>
  <c r="G1756" i="22"/>
  <c r="G1755" i="22"/>
  <c r="G1754" i="22"/>
  <c r="G1753" i="22"/>
  <c r="G1752" i="22"/>
  <c r="G1751" i="22"/>
  <c r="G1750" i="22"/>
  <c r="G1749" i="22"/>
  <c r="G1748" i="22"/>
  <c r="H1747" i="22"/>
  <c r="E1747" i="22"/>
  <c r="B214" i="23" s="1"/>
  <c r="G1746" i="22"/>
  <c r="G1745" i="22"/>
  <c r="G1744" i="22"/>
  <c r="G1743" i="22"/>
  <c r="G1742" i="22"/>
  <c r="G1741" i="22"/>
  <c r="G1740" i="22"/>
  <c r="G1739" i="22"/>
  <c r="G1738" i="22"/>
  <c r="G1737" i="22"/>
  <c r="H1736" i="22"/>
  <c r="E1736" i="22"/>
  <c r="B213" i="23" s="1"/>
  <c r="G1735" i="22"/>
  <c r="G1734" i="22"/>
  <c r="G1733" i="22"/>
  <c r="G1732" i="22"/>
  <c r="G1731" i="22"/>
  <c r="G1730" i="22"/>
  <c r="G1729" i="22"/>
  <c r="G1728" i="22"/>
  <c r="G1727" i="22"/>
  <c r="G1726" i="22"/>
  <c r="G1725" i="22"/>
  <c r="G1724" i="22"/>
  <c r="G1723" i="22"/>
  <c r="H1722" i="22"/>
  <c r="E1722" i="22"/>
  <c r="B212" i="23" s="1"/>
  <c r="G1721" i="22"/>
  <c r="G1720" i="22"/>
  <c r="G1719" i="22"/>
  <c r="G1718" i="22"/>
  <c r="G1717" i="22"/>
  <c r="G1716" i="22"/>
  <c r="G1715" i="22"/>
  <c r="G1714" i="22"/>
  <c r="G1713" i="22"/>
  <c r="G1712" i="22"/>
  <c r="G1711" i="22"/>
  <c r="G1710" i="22"/>
  <c r="E1709" i="22"/>
  <c r="B211" i="23" s="1"/>
  <c r="D211" i="23" s="1"/>
  <c r="G1708" i="22"/>
  <c r="G1707" i="22"/>
  <c r="G1706" i="22"/>
  <c r="G1705" i="22"/>
  <c r="G1704" i="22"/>
  <c r="G1703" i="22"/>
  <c r="H1702" i="22"/>
  <c r="G1702" i="22"/>
  <c r="G1700" i="22"/>
  <c r="E1699" i="22"/>
  <c r="G1698" i="22"/>
  <c r="G1697" i="22"/>
  <c r="G1696" i="22"/>
  <c r="G1695" i="22"/>
  <c r="G1694" i="22"/>
  <c r="G1693" i="22"/>
  <c r="H1692" i="22"/>
  <c r="G1692" i="22"/>
  <c r="G1691" i="22"/>
  <c r="G1690" i="22"/>
  <c r="G1689" i="22"/>
  <c r="G1688" i="22"/>
  <c r="E1687" i="22"/>
  <c r="B209" i="23" s="1"/>
  <c r="G1686" i="22"/>
  <c r="G1685" i="22"/>
  <c r="H1684" i="22"/>
  <c r="G1684" i="22"/>
  <c r="G1683" i="22"/>
  <c r="G1682" i="22"/>
  <c r="G1681" i="22"/>
  <c r="G1680" i="22"/>
  <c r="G1679" i="22"/>
  <c r="G1678" i="22"/>
  <c r="G1677" i="22"/>
  <c r="G1676" i="22"/>
  <c r="E1675" i="22"/>
  <c r="G1674" i="22"/>
  <c r="G1673" i="22"/>
  <c r="H1672" i="22"/>
  <c r="G1672" i="22"/>
  <c r="G1671" i="22"/>
  <c r="G1670" i="22"/>
  <c r="G1669" i="22"/>
  <c r="G1668" i="22"/>
  <c r="G1667" i="22"/>
  <c r="G1666" i="22"/>
  <c r="G1665" i="22"/>
  <c r="G1664" i="22"/>
  <c r="G1663" i="22"/>
  <c r="G1662" i="22"/>
  <c r="E1661" i="22"/>
  <c r="G1660" i="22"/>
  <c r="G1659" i="22"/>
  <c r="H1658" i="22"/>
  <c r="G1658" i="22"/>
  <c r="G1657" i="22"/>
  <c r="G1656" i="22"/>
  <c r="G1655" i="22"/>
  <c r="G1654" i="22"/>
  <c r="G1653" i="22"/>
  <c r="G1652" i="22"/>
  <c r="G1651" i="22"/>
  <c r="G1650" i="22"/>
  <c r="G1649" i="22"/>
  <c r="G1648" i="22"/>
  <c r="E1647" i="22"/>
  <c r="G1646" i="22"/>
  <c r="G1645" i="22"/>
  <c r="G1644" i="22"/>
  <c r="G1643" i="22"/>
  <c r="G1642" i="22"/>
  <c r="G1641" i="22"/>
  <c r="G1640" i="22"/>
  <c r="G1639" i="22"/>
  <c r="G1638" i="22"/>
  <c r="G1637" i="22"/>
  <c r="G1636" i="22"/>
  <c r="G1635" i="22"/>
  <c r="G1634" i="22"/>
  <c r="G1633" i="22"/>
  <c r="E1632" i="22"/>
  <c r="G1631" i="22"/>
  <c r="G1630" i="22"/>
  <c r="G1629" i="22"/>
  <c r="G1628" i="22"/>
  <c r="G1627" i="22"/>
  <c r="G1626" i="22"/>
  <c r="G1625" i="22"/>
  <c r="G1624" i="22"/>
  <c r="G1623" i="22"/>
  <c r="G1622" i="22"/>
  <c r="G1621" i="22"/>
  <c r="G1620" i="22"/>
  <c r="G1619" i="22"/>
  <c r="E1618" i="22"/>
  <c r="G1617" i="22"/>
  <c r="G1616" i="22"/>
  <c r="G1615" i="22"/>
  <c r="G1614" i="22"/>
  <c r="G1613" i="22"/>
  <c r="G1612" i="22"/>
  <c r="G1611" i="22"/>
  <c r="G1610" i="22"/>
  <c r="G1609" i="22"/>
  <c r="G1608" i="22"/>
  <c r="G1607" i="22"/>
  <c r="G1606" i="22"/>
  <c r="G1605" i="22"/>
  <c r="E1604" i="22"/>
  <c r="G1603" i="22"/>
  <c r="G1602" i="22"/>
  <c r="G1601" i="22"/>
  <c r="G1600" i="22"/>
  <c r="G1599" i="22"/>
  <c r="G1598" i="22"/>
  <c r="G1597" i="22"/>
  <c r="G1596" i="22"/>
  <c r="G1595" i="22"/>
  <c r="G1594" i="22"/>
  <c r="G1593" i="22"/>
  <c r="G1592" i="22"/>
  <c r="G1591" i="22"/>
  <c r="G1590" i="22"/>
  <c r="E1589" i="22"/>
  <c r="G1588" i="22"/>
  <c r="G1587" i="22"/>
  <c r="G1586" i="22"/>
  <c r="G1585" i="22"/>
  <c r="G1584" i="22"/>
  <c r="G1583" i="22"/>
  <c r="G1582" i="22"/>
  <c r="G1581" i="22"/>
  <c r="G1580" i="22"/>
  <c r="G1579" i="22"/>
  <c r="G1578" i="22"/>
  <c r="G1577" i="22"/>
  <c r="G1576" i="22"/>
  <c r="E1575" i="22"/>
  <c r="G1574" i="22"/>
  <c r="G1573" i="22"/>
  <c r="G1572" i="22"/>
  <c r="G1571" i="22"/>
  <c r="G1570" i="22"/>
  <c r="G1569" i="22"/>
  <c r="G1568" i="22"/>
  <c r="G1567" i="22"/>
  <c r="G1566" i="22"/>
  <c r="G1565" i="22"/>
  <c r="G1564" i="22"/>
  <c r="E1563" i="22"/>
  <c r="G1562" i="22"/>
  <c r="G1561" i="22"/>
  <c r="G1560" i="22"/>
  <c r="G1559" i="22"/>
  <c r="G1558" i="22"/>
  <c r="G1557" i="22"/>
  <c r="G1556" i="22"/>
  <c r="G1555" i="22"/>
  <c r="G1554" i="22"/>
  <c r="G1553" i="22"/>
  <c r="G1552" i="22"/>
  <c r="G1551" i="22"/>
  <c r="G1550" i="22"/>
  <c r="G1549" i="22"/>
  <c r="E1548" i="22"/>
  <c r="G1547" i="22"/>
  <c r="G1546" i="22"/>
  <c r="G1545" i="22"/>
  <c r="G1544" i="22"/>
  <c r="G1543" i="22"/>
  <c r="G1542" i="22"/>
  <c r="G1541" i="22"/>
  <c r="G1540" i="22"/>
  <c r="G1539" i="22"/>
  <c r="G1538" i="22"/>
  <c r="G1537" i="22"/>
  <c r="G1536" i="22"/>
  <c r="E1535" i="22"/>
  <c r="G1534" i="22"/>
  <c r="G1533" i="22"/>
  <c r="G1532" i="22"/>
  <c r="G1531" i="22"/>
  <c r="G1530" i="22"/>
  <c r="G1529" i="22"/>
  <c r="G1528" i="22"/>
  <c r="G1527" i="22"/>
  <c r="G1526" i="22"/>
  <c r="G1525" i="22"/>
  <c r="G1524" i="22"/>
  <c r="G1523" i="22"/>
  <c r="E1522" i="22"/>
  <c r="G1521" i="22"/>
  <c r="G1520" i="22"/>
  <c r="G1519" i="22"/>
  <c r="G1518" i="22"/>
  <c r="G1517" i="22"/>
  <c r="G1516" i="22"/>
  <c r="G1515" i="22"/>
  <c r="G1514" i="22"/>
  <c r="G1513" i="22"/>
  <c r="E1512" i="22"/>
  <c r="G1511" i="22"/>
  <c r="G1510" i="22"/>
  <c r="G1509" i="22"/>
  <c r="G1508" i="22"/>
  <c r="G1507" i="22"/>
  <c r="G1506" i="22"/>
  <c r="G1505" i="22"/>
  <c r="G1504" i="22"/>
  <c r="G1503" i="22"/>
  <c r="G1502" i="22"/>
  <c r="G1501" i="22"/>
  <c r="E1500" i="22"/>
  <c r="G1499" i="22"/>
  <c r="G1498" i="22"/>
  <c r="G1497" i="22"/>
  <c r="G1496" i="22"/>
  <c r="G1495" i="22"/>
  <c r="G1494" i="22"/>
  <c r="G1493" i="22"/>
  <c r="G1492" i="22"/>
  <c r="G1491" i="22"/>
  <c r="G1490" i="22"/>
  <c r="G1489" i="22"/>
  <c r="G1488" i="22"/>
  <c r="G1487" i="22"/>
  <c r="G1486" i="22"/>
  <c r="G1485" i="22"/>
  <c r="E1484" i="22"/>
  <c r="G1483" i="22"/>
  <c r="G1482" i="22"/>
  <c r="G1481" i="22"/>
  <c r="G1480" i="22"/>
  <c r="G1479" i="22"/>
  <c r="G1478" i="22"/>
  <c r="G1477" i="22"/>
  <c r="G1476" i="22"/>
  <c r="G1475" i="22"/>
  <c r="G1474" i="22"/>
  <c r="G1473" i="22"/>
  <c r="G1472" i="22"/>
  <c r="G1471" i="22"/>
  <c r="E1470" i="22"/>
  <c r="G1469" i="22"/>
  <c r="G1468" i="22"/>
  <c r="G1467" i="22"/>
  <c r="G1466" i="22"/>
  <c r="G1465" i="22"/>
  <c r="G1464" i="22"/>
  <c r="G1463" i="22"/>
  <c r="G1462" i="22"/>
  <c r="G1461" i="22"/>
  <c r="G1460" i="22"/>
  <c r="G1459" i="22"/>
  <c r="G1458" i="22"/>
  <c r="G1457" i="22"/>
  <c r="G1456" i="22"/>
  <c r="E1455" i="22"/>
  <c r="G1454" i="22"/>
  <c r="G1453" i="22"/>
  <c r="G1452" i="22"/>
  <c r="G1451" i="22"/>
  <c r="G1450" i="22"/>
  <c r="G1449" i="22"/>
  <c r="G1448" i="22"/>
  <c r="G1447" i="22"/>
  <c r="G1446" i="22"/>
  <c r="G1445" i="22"/>
  <c r="G1444" i="22"/>
  <c r="G1443" i="22"/>
  <c r="E1443" i="22"/>
  <c r="B191" i="23" s="1"/>
  <c r="G1441" i="22"/>
  <c r="G1440" i="22"/>
  <c r="G1439" i="22"/>
  <c r="G1438" i="22"/>
  <c r="G1437" i="22"/>
  <c r="G1436" i="22"/>
  <c r="G1435" i="22"/>
  <c r="G1434" i="22"/>
  <c r="G1433" i="22"/>
  <c r="G1432" i="22"/>
  <c r="G1431" i="22"/>
  <c r="G1430" i="22"/>
  <c r="E1430" i="22"/>
  <c r="B190" i="23" s="1"/>
  <c r="G1428" i="22"/>
  <c r="G1427" i="22"/>
  <c r="G1426" i="22"/>
  <c r="G1425" i="22"/>
  <c r="G1424" i="22"/>
  <c r="G1423" i="22"/>
  <c r="G1422" i="22"/>
  <c r="G1421" i="22"/>
  <c r="G1420" i="22"/>
  <c r="G1419" i="22"/>
  <c r="G1418" i="22"/>
  <c r="G1417" i="22"/>
  <c r="E1417" i="22"/>
  <c r="G1416" i="22"/>
  <c r="E1416" i="22"/>
  <c r="G1414" i="22"/>
  <c r="G1413" i="22"/>
  <c r="G1412" i="22"/>
  <c r="G1411" i="22"/>
  <c r="G1410" i="22"/>
  <c r="G1409" i="22"/>
  <c r="G1408" i="22"/>
  <c r="G1407" i="22"/>
  <c r="G1406" i="22"/>
  <c r="G1405" i="22"/>
  <c r="E1405" i="22"/>
  <c r="G1404" i="22"/>
  <c r="E1404" i="22"/>
  <c r="B188" i="23" s="1"/>
  <c r="G1402" i="22"/>
  <c r="G1401" i="22"/>
  <c r="G1400" i="22"/>
  <c r="G1399" i="22"/>
  <c r="G1398" i="22"/>
  <c r="G1397" i="22"/>
  <c r="E1397" i="22"/>
  <c r="G1396" i="22"/>
  <c r="G1395" i="22"/>
  <c r="E1395" i="22"/>
  <c r="G1394" i="22"/>
  <c r="E1394" i="22"/>
  <c r="E1393" i="22" s="1"/>
  <c r="G1392" i="22"/>
  <c r="G1391" i="22"/>
  <c r="G1390" i="22"/>
  <c r="G1389" i="22"/>
  <c r="G1388" i="22"/>
  <c r="G1387" i="22"/>
  <c r="E1387" i="22"/>
  <c r="G1386" i="22"/>
  <c r="E1386" i="22"/>
  <c r="G1385" i="22"/>
  <c r="G1384" i="22"/>
  <c r="E1384" i="22"/>
  <c r="G1382" i="22"/>
  <c r="G1381" i="22"/>
  <c r="G1380" i="22"/>
  <c r="G1379" i="22"/>
  <c r="E1379" i="22"/>
  <c r="G1378" i="22"/>
  <c r="E1378" i="22"/>
  <c r="G1377" i="22"/>
  <c r="G1376" i="22"/>
  <c r="E1376" i="22"/>
  <c r="G1374" i="22"/>
  <c r="G1373" i="22"/>
  <c r="G1372" i="22"/>
  <c r="G1371" i="22"/>
  <c r="G1370" i="22"/>
  <c r="E1370" i="22"/>
  <c r="G1369" i="22"/>
  <c r="G1368" i="22"/>
  <c r="E1368" i="22"/>
  <c r="G1367" i="22"/>
  <c r="G1366" i="22"/>
  <c r="G1365" i="22"/>
  <c r="G1364" i="22"/>
  <c r="G1363" i="22"/>
  <c r="G1362" i="22"/>
  <c r="E1362" i="22"/>
  <c r="G1360" i="22"/>
  <c r="G1359" i="22"/>
  <c r="G1358" i="22"/>
  <c r="E1358" i="22"/>
  <c r="G1357" i="22"/>
  <c r="G1356" i="22"/>
  <c r="G1355" i="22"/>
  <c r="G1354" i="22"/>
  <c r="G1353" i="22"/>
  <c r="G1352" i="22"/>
  <c r="G1351" i="22"/>
  <c r="G1350" i="22"/>
  <c r="E1350" i="22"/>
  <c r="G1349" i="22"/>
  <c r="E1349" i="22"/>
  <c r="G1348" i="22"/>
  <c r="G1347" i="22"/>
  <c r="G1345" i="22"/>
  <c r="G1344" i="22"/>
  <c r="G1343" i="22"/>
  <c r="G1342" i="22"/>
  <c r="G1341" i="22"/>
  <c r="G1340" i="22"/>
  <c r="G1339" i="22"/>
  <c r="G1338" i="22"/>
  <c r="E1338" i="22"/>
  <c r="G1337" i="22"/>
  <c r="E1337" i="22"/>
  <c r="G1336" i="22"/>
  <c r="G1335" i="22"/>
  <c r="G1334" i="22"/>
  <c r="E1334" i="22"/>
  <c r="G1333" i="22"/>
  <c r="G1332" i="22"/>
  <c r="G1330" i="22"/>
  <c r="G1329" i="22"/>
  <c r="G1328" i="22"/>
  <c r="G1327" i="22"/>
  <c r="G1326" i="22"/>
  <c r="G1325" i="22"/>
  <c r="E1325" i="22"/>
  <c r="B181" i="23" s="1"/>
  <c r="G1324" i="22"/>
  <c r="G1323" i="22"/>
  <c r="G1321" i="22"/>
  <c r="G1320" i="22"/>
  <c r="G1319" i="22"/>
  <c r="G1318" i="22"/>
  <c r="G1317" i="22"/>
  <c r="E1317" i="22"/>
  <c r="G1316" i="22"/>
  <c r="G1315" i="22"/>
  <c r="G1314" i="22"/>
  <c r="G1313" i="22"/>
  <c r="E1313" i="22"/>
  <c r="G1311" i="22"/>
  <c r="G1310" i="22"/>
  <c r="G1309" i="22"/>
  <c r="G1308" i="22"/>
  <c r="G1307" i="22"/>
  <c r="G1306" i="22"/>
  <c r="E1306" i="22"/>
  <c r="B179" i="23" s="1"/>
  <c r="E1304" i="22"/>
  <c r="G1305" i="22"/>
  <c r="G1303" i="22"/>
  <c r="G1302" i="22"/>
  <c r="G1301" i="22"/>
  <c r="G1300" i="22"/>
  <c r="E1300" i="22"/>
  <c r="B178" i="23" s="1"/>
  <c r="G1299" i="22"/>
  <c r="G1298" i="22"/>
  <c r="G1297" i="22"/>
  <c r="G1296" i="22"/>
  <c r="G1295" i="22"/>
  <c r="G1293" i="22"/>
  <c r="G1292" i="22"/>
  <c r="G1291" i="22"/>
  <c r="E1291" i="22"/>
  <c r="E1286" i="22" s="1"/>
  <c r="G1290" i="22"/>
  <c r="G1289" i="22"/>
  <c r="G1288" i="22"/>
  <c r="G1287" i="22"/>
  <c r="G1285" i="22"/>
  <c r="G1284" i="22"/>
  <c r="G1283" i="22"/>
  <c r="G1282" i="22"/>
  <c r="G1281" i="22"/>
  <c r="G1280" i="22"/>
  <c r="G1279" i="22"/>
  <c r="G1278" i="22"/>
  <c r="G1277" i="22"/>
  <c r="E1276" i="22"/>
  <c r="G1275" i="22"/>
  <c r="G1274" i="22"/>
  <c r="G1273" i="22"/>
  <c r="G1272" i="22"/>
  <c r="G1271" i="22"/>
  <c r="G1270" i="22"/>
  <c r="G1269" i="22"/>
  <c r="G1268" i="22"/>
  <c r="E1267" i="22"/>
  <c r="G1266" i="22"/>
  <c r="G1265" i="22"/>
  <c r="G1264" i="22"/>
  <c r="G1263" i="22"/>
  <c r="G1262" i="22"/>
  <c r="G1261" i="22"/>
  <c r="G1260" i="22"/>
  <c r="E1259" i="22"/>
  <c r="G1258" i="22"/>
  <c r="G1257" i="22"/>
  <c r="G1256" i="22"/>
  <c r="G1255" i="22"/>
  <c r="G1254" i="22"/>
  <c r="G1253" i="22"/>
  <c r="G1252" i="22"/>
  <c r="G1251" i="22"/>
  <c r="E1251" i="22"/>
  <c r="E1250" i="22" s="1"/>
  <c r="G1249" i="22"/>
  <c r="G1248" i="22"/>
  <c r="G1247" i="22"/>
  <c r="G1246" i="22"/>
  <c r="G1245" i="22"/>
  <c r="E1245" i="22"/>
  <c r="E1242" i="22"/>
  <c r="G1244" i="22"/>
  <c r="G1243" i="22"/>
  <c r="G1241" i="22"/>
  <c r="G1240" i="22"/>
  <c r="G1239" i="22"/>
  <c r="G1238" i="22"/>
  <c r="G1237" i="22"/>
  <c r="G1236" i="22"/>
  <c r="G1235" i="22"/>
  <c r="E1235" i="22"/>
  <c r="B171" i="23" s="1"/>
  <c r="G1234" i="22"/>
  <c r="G1232" i="22"/>
  <c r="G1231" i="22"/>
  <c r="G1230" i="22"/>
  <c r="E1230" i="22"/>
  <c r="E1227" i="22" s="1"/>
  <c r="G1229" i="22"/>
  <c r="G1228" i="22"/>
  <c r="G1226" i="22"/>
  <c r="G1225" i="22"/>
  <c r="G1224" i="22"/>
  <c r="G1223" i="22"/>
  <c r="G1222" i="22"/>
  <c r="G1221" i="22"/>
  <c r="E1221" i="22"/>
  <c r="B169" i="23" s="1"/>
  <c r="G1220" i="22"/>
  <c r="G1219" i="22"/>
  <c r="G1217" i="22"/>
  <c r="G1216" i="22"/>
  <c r="G1215" i="22"/>
  <c r="G1214" i="22"/>
  <c r="G1213" i="22"/>
  <c r="E1213" i="22"/>
  <c r="B168" i="23" s="1"/>
  <c r="G1212" i="22"/>
  <c r="G1211" i="22"/>
  <c r="G1210" i="22"/>
  <c r="G1209" i="22"/>
  <c r="G1207" i="22"/>
  <c r="G1206" i="22"/>
  <c r="G1205" i="22"/>
  <c r="G1204" i="22"/>
  <c r="G1203" i="22"/>
  <c r="G1202" i="22"/>
  <c r="E1201" i="22"/>
  <c r="G1200" i="22"/>
  <c r="G1199" i="22"/>
  <c r="G1198" i="22"/>
  <c r="G1197" i="22"/>
  <c r="G1196" i="22"/>
  <c r="G1195" i="22"/>
  <c r="G1194" i="22"/>
  <c r="G1193" i="22"/>
  <c r="G1192" i="22"/>
  <c r="E1191" i="22"/>
  <c r="G1190" i="22"/>
  <c r="G1189" i="22"/>
  <c r="G1188" i="22"/>
  <c r="G1187" i="22"/>
  <c r="G1186" i="22"/>
  <c r="G1185" i="22"/>
  <c r="G1184" i="22"/>
  <c r="G1183" i="22"/>
  <c r="E1182" i="22"/>
  <c r="B165" i="23" s="1"/>
  <c r="G1181" i="22"/>
  <c r="G1180" i="22"/>
  <c r="G1179" i="22"/>
  <c r="G1178" i="22"/>
  <c r="G1177" i="22"/>
  <c r="G1176" i="22"/>
  <c r="G1175" i="22"/>
  <c r="E1174" i="22"/>
  <c r="B164" i="23" s="1"/>
  <c r="G1173" i="22"/>
  <c r="G1172" i="22"/>
  <c r="G1171" i="22"/>
  <c r="G1170" i="22"/>
  <c r="G1169" i="22"/>
  <c r="G1168" i="22"/>
  <c r="E1167" i="22"/>
  <c r="B163" i="23" s="1"/>
  <c r="G1166" i="22"/>
  <c r="G1165" i="22"/>
  <c r="G1164" i="22"/>
  <c r="G1163" i="22"/>
  <c r="G1162" i="22"/>
  <c r="G1161" i="22"/>
  <c r="G1160" i="22"/>
  <c r="G1159" i="22"/>
  <c r="E1158" i="22"/>
  <c r="B162" i="23" s="1"/>
  <c r="G1157" i="22"/>
  <c r="G1156" i="22"/>
  <c r="G1155" i="22"/>
  <c r="G1154" i="22"/>
  <c r="G1153" i="22"/>
  <c r="G1152" i="22"/>
  <c r="G1151" i="22"/>
  <c r="E1150" i="22"/>
  <c r="B161" i="23" s="1"/>
  <c r="G1149" i="22"/>
  <c r="G1148" i="22"/>
  <c r="G1147" i="22"/>
  <c r="G1146" i="22"/>
  <c r="G1145" i="22"/>
  <c r="G1144" i="22"/>
  <c r="G1143" i="22"/>
  <c r="E1142" i="22"/>
  <c r="B160" i="23"/>
  <c r="G1141" i="22"/>
  <c r="G1140" i="22"/>
  <c r="G1139" i="22"/>
  <c r="G1138" i="22"/>
  <c r="G1137" i="22"/>
  <c r="G1136" i="22"/>
  <c r="G1135" i="22"/>
  <c r="G1134" i="22"/>
  <c r="G1133" i="22"/>
  <c r="E1132" i="22"/>
  <c r="B159" i="23"/>
  <c r="G1131" i="22"/>
  <c r="G1130" i="22"/>
  <c r="G1129" i="22"/>
  <c r="G1128" i="22"/>
  <c r="G1127" i="22"/>
  <c r="G1126" i="22"/>
  <c r="G1125" i="22"/>
  <c r="G1124" i="22"/>
  <c r="G1123" i="22"/>
  <c r="E1122" i="22"/>
  <c r="B158" i="23" s="1"/>
  <c r="G1121" i="22"/>
  <c r="G1120" i="22"/>
  <c r="G1119" i="22"/>
  <c r="G1118" i="22"/>
  <c r="G1117" i="22"/>
  <c r="G1116" i="22"/>
  <c r="G1115" i="22"/>
  <c r="G1114" i="22"/>
  <c r="G1113" i="22"/>
  <c r="G1112" i="22"/>
  <c r="E1111" i="22"/>
  <c r="B157" i="23" s="1"/>
  <c r="G1110" i="22"/>
  <c r="G1109" i="22"/>
  <c r="G1108" i="22"/>
  <c r="G1107" i="22"/>
  <c r="G1106" i="22"/>
  <c r="G1105" i="22"/>
  <c r="G1104" i="22"/>
  <c r="G1103" i="22"/>
  <c r="G1102" i="22"/>
  <c r="G1101" i="22"/>
  <c r="E1100" i="22"/>
  <c r="B156" i="23" s="1"/>
  <c r="G1099" i="22"/>
  <c r="G1098" i="22"/>
  <c r="G1097" i="22"/>
  <c r="G1096" i="22"/>
  <c r="G1095" i="22"/>
  <c r="G1094" i="22"/>
  <c r="G1093" i="22"/>
  <c r="G1092" i="22"/>
  <c r="G1091" i="22"/>
  <c r="E1090" i="22"/>
  <c r="B155" i="23" s="1"/>
  <c r="G1089" i="22"/>
  <c r="G1088" i="22"/>
  <c r="G1087" i="22"/>
  <c r="G1086" i="22"/>
  <c r="G1085" i="22"/>
  <c r="E1084" i="22"/>
  <c r="B154" i="23" s="1"/>
  <c r="G1083" i="22"/>
  <c r="G1082" i="22"/>
  <c r="G1081" i="22"/>
  <c r="G1080" i="22"/>
  <c r="G1079" i="22"/>
  <c r="G1078" i="22"/>
  <c r="E1077" i="22"/>
  <c r="B153" i="23" s="1"/>
  <c r="G1076" i="22"/>
  <c r="G1075" i="22"/>
  <c r="G1074" i="22"/>
  <c r="G1073" i="22"/>
  <c r="G1072" i="22"/>
  <c r="E1071" i="22"/>
  <c r="B152" i="23" s="1"/>
  <c r="G1070" i="22"/>
  <c r="G1069" i="22"/>
  <c r="G1068" i="22"/>
  <c r="G1067" i="22"/>
  <c r="G1066" i="22"/>
  <c r="E1065" i="22"/>
  <c r="B151" i="23" s="1"/>
  <c r="G1064" i="22"/>
  <c r="G1063" i="22"/>
  <c r="G1062" i="22"/>
  <c r="G1061" i="22"/>
  <c r="E1060" i="22"/>
  <c r="B150" i="23" s="1"/>
  <c r="G1059" i="22"/>
  <c r="G1058" i="22"/>
  <c r="G1057" i="22"/>
  <c r="G1056" i="22"/>
  <c r="G1055" i="22"/>
  <c r="E1054" i="22"/>
  <c r="B149" i="23" s="1"/>
  <c r="G1053" i="22"/>
  <c r="G1052" i="22"/>
  <c r="G1051" i="22"/>
  <c r="G1050" i="22"/>
  <c r="G1049" i="22"/>
  <c r="G1048" i="22"/>
  <c r="G1047" i="22"/>
  <c r="E1047" i="22"/>
  <c r="E1046" i="22" s="1"/>
  <c r="B148" i="23" s="1"/>
  <c r="G1045" i="22"/>
  <c r="G1044" i="22"/>
  <c r="G1043" i="22"/>
  <c r="G1042" i="22"/>
  <c r="G1041" i="22"/>
  <c r="G1040" i="22"/>
  <c r="G1039" i="22"/>
  <c r="G1038" i="22"/>
  <c r="E1038" i="22"/>
  <c r="E1037" i="22" s="1"/>
  <c r="B147" i="23" s="1"/>
  <c r="G1036" i="22"/>
  <c r="G1035" i="22"/>
  <c r="G1034" i="22"/>
  <c r="G1033" i="22"/>
  <c r="G1032" i="22"/>
  <c r="G1031" i="22"/>
  <c r="G1030" i="22"/>
  <c r="G1029" i="22"/>
  <c r="G1028" i="22"/>
  <c r="G1027" i="22"/>
  <c r="E1027" i="22"/>
  <c r="E1026" i="22" s="1"/>
  <c r="B146" i="23" s="1"/>
  <c r="G1025" i="22"/>
  <c r="G1024" i="22"/>
  <c r="G1023" i="22"/>
  <c r="G1022" i="22"/>
  <c r="G1021" i="22"/>
  <c r="G1020" i="22"/>
  <c r="G1019" i="22"/>
  <c r="G1018" i="22"/>
  <c r="G1017" i="22"/>
  <c r="G1016" i="22"/>
  <c r="E1016" i="22"/>
  <c r="E1015" i="22" s="1"/>
  <c r="B145" i="23" s="1"/>
  <c r="G1014" i="22"/>
  <c r="G1013" i="22"/>
  <c r="G1012" i="22"/>
  <c r="G1011" i="22"/>
  <c r="G1010" i="22"/>
  <c r="G1009" i="22"/>
  <c r="G1008" i="22"/>
  <c r="G1007" i="22"/>
  <c r="G1006" i="22"/>
  <c r="G1005" i="22"/>
  <c r="G1004" i="22"/>
  <c r="E1004" i="22"/>
  <c r="E1001" i="22" s="1"/>
  <c r="B144" i="23" s="1"/>
  <c r="G1003" i="22"/>
  <c r="G1002" i="22"/>
  <c r="G1000" i="22"/>
  <c r="G999" i="22"/>
  <c r="G998" i="22"/>
  <c r="G997" i="22"/>
  <c r="G996" i="22"/>
  <c r="G995" i="22"/>
  <c r="G994" i="22"/>
  <c r="G993" i="22"/>
  <c r="G992" i="22"/>
  <c r="E992" i="22"/>
  <c r="E989" i="22" s="1"/>
  <c r="B143" i="23" s="1"/>
  <c r="G991" i="22"/>
  <c r="G990" i="22"/>
  <c r="G988" i="22"/>
  <c r="G987" i="22"/>
  <c r="G986" i="22"/>
  <c r="G985" i="22"/>
  <c r="G984" i="22"/>
  <c r="G983" i="22"/>
  <c r="G982" i="22"/>
  <c r="G981" i="22"/>
  <c r="G979" i="22"/>
  <c r="G978" i="22"/>
  <c r="G977" i="22"/>
  <c r="G976" i="22"/>
  <c r="G975" i="22"/>
  <c r="G974" i="22"/>
  <c r="G973" i="22"/>
  <c r="G971" i="22"/>
  <c r="G970" i="22"/>
  <c r="G969" i="22"/>
  <c r="G968" i="22"/>
  <c r="G967" i="22"/>
  <c r="G966" i="22"/>
  <c r="G965" i="22"/>
  <c r="G963" i="22"/>
  <c r="G962" i="22"/>
  <c r="G961" i="22"/>
  <c r="G960" i="22"/>
  <c r="G959" i="22"/>
  <c r="G958" i="22"/>
  <c r="C139" i="23" s="1"/>
  <c r="G956" i="22"/>
  <c r="G955" i="22"/>
  <c r="G954" i="22"/>
  <c r="G953" i="22"/>
  <c r="G951" i="22"/>
  <c r="G950" i="22"/>
  <c r="G949" i="22"/>
  <c r="G948" i="22"/>
  <c r="G946" i="22"/>
  <c r="G945" i="22"/>
  <c r="G944" i="22"/>
  <c r="G942" i="22"/>
  <c r="G941" i="22"/>
  <c r="G940" i="22"/>
  <c r="G939" i="22"/>
  <c r="G938" i="22"/>
  <c r="C135" i="23" s="1"/>
  <c r="G936" i="22"/>
  <c r="G935" i="22"/>
  <c r="E935" i="22"/>
  <c r="G934" i="22"/>
  <c r="G933" i="22"/>
  <c r="G931" i="22"/>
  <c r="G930" i="22"/>
  <c r="G929" i="22"/>
  <c r="G928" i="22"/>
  <c r="G927" i="22"/>
  <c r="G926" i="22"/>
  <c r="E925" i="22"/>
  <c r="B133" i="23" s="1"/>
  <c r="G924" i="22"/>
  <c r="G923" i="22"/>
  <c r="G922" i="22"/>
  <c r="G921" i="22"/>
  <c r="G920" i="22"/>
  <c r="G919" i="22"/>
  <c r="E918" i="22"/>
  <c r="G917" i="22"/>
  <c r="G916" i="22"/>
  <c r="G915" i="22"/>
  <c r="E914" i="22"/>
  <c r="G913" i="22"/>
  <c r="G912" i="22"/>
  <c r="G911" i="22"/>
  <c r="E910" i="22"/>
  <c r="G909" i="22"/>
  <c r="G908" i="22"/>
  <c r="G907" i="22"/>
  <c r="E906" i="22"/>
  <c r="G905" i="22"/>
  <c r="G904" i="22"/>
  <c r="G903" i="22"/>
  <c r="G902" i="22"/>
  <c r="E901" i="22"/>
  <c r="G900" i="22"/>
  <c r="G899" i="22"/>
  <c r="G898" i="22"/>
  <c r="G897" i="22"/>
  <c r="E896" i="22"/>
  <c r="G895" i="22"/>
  <c r="G894" i="22"/>
  <c r="G893" i="22"/>
  <c r="G892" i="22"/>
  <c r="E891" i="22"/>
  <c r="G890" i="22"/>
  <c r="G889" i="22"/>
  <c r="G888" i="22"/>
  <c r="G887" i="22"/>
  <c r="C125" i="23" s="1"/>
  <c r="E886" i="22"/>
  <c r="G885" i="22"/>
  <c r="G884" i="22"/>
  <c r="G883" i="22"/>
  <c r="G882" i="22"/>
  <c r="G881" i="22"/>
  <c r="G879" i="22"/>
  <c r="G878" i="22"/>
  <c r="G877" i="22"/>
  <c r="G876" i="22"/>
  <c r="G875" i="22"/>
  <c r="E875" i="22"/>
  <c r="E872" i="22" s="1"/>
  <c r="E883" i="22"/>
  <c r="E880" i="22" s="1"/>
  <c r="G874" i="22"/>
  <c r="G873" i="22"/>
  <c r="G871" i="22"/>
  <c r="G870" i="22"/>
  <c r="G869" i="22"/>
  <c r="G868" i="22"/>
  <c r="G867" i="22"/>
  <c r="E866" i="22"/>
  <c r="G865" i="22"/>
  <c r="G864" i="22"/>
  <c r="G863" i="22"/>
  <c r="G862" i="22"/>
  <c r="G861" i="22"/>
  <c r="G860" i="22"/>
  <c r="G859" i="22"/>
  <c r="E859" i="22"/>
  <c r="B121" i="23" s="1"/>
  <c r="G857" i="22"/>
  <c r="G856" i="22"/>
  <c r="G855" i="22"/>
  <c r="E855" i="22"/>
  <c r="B120" i="23" s="1"/>
  <c r="G854" i="22"/>
  <c r="G853" i="22"/>
  <c r="G852" i="22"/>
  <c r="G851" i="22"/>
  <c r="G849" i="22"/>
  <c r="G848" i="22"/>
  <c r="G847" i="22"/>
  <c r="G846" i="22"/>
  <c r="E846" i="22"/>
  <c r="G845" i="22"/>
  <c r="G844" i="22"/>
  <c r="G843" i="22"/>
  <c r="C119" i="23" s="1"/>
  <c r="E843" i="22"/>
  <c r="G841" i="22"/>
  <c r="G840" i="22"/>
  <c r="G839" i="22"/>
  <c r="G838" i="22"/>
  <c r="G837" i="22"/>
  <c r="G836" i="22"/>
  <c r="G835" i="22"/>
  <c r="E835" i="22"/>
  <c r="B118" i="23" s="1"/>
  <c r="G834" i="22"/>
  <c r="G833" i="22"/>
  <c r="G831" i="22"/>
  <c r="G830" i="22"/>
  <c r="G829" i="22"/>
  <c r="G828" i="22"/>
  <c r="G827" i="22"/>
  <c r="G826" i="22"/>
  <c r="G825" i="22"/>
  <c r="G824" i="22"/>
  <c r="E824" i="22"/>
  <c r="E819" i="22" s="1"/>
  <c r="G823" i="22"/>
  <c r="G822" i="22"/>
  <c r="G821" i="22"/>
  <c r="G820" i="22"/>
  <c r="G818" i="22"/>
  <c r="G817" i="22"/>
  <c r="G816" i="22"/>
  <c r="G815" i="22"/>
  <c r="G814" i="22"/>
  <c r="G813" i="22"/>
  <c r="G812" i="22"/>
  <c r="G811" i="22"/>
  <c r="G810" i="22"/>
  <c r="G809" i="22"/>
  <c r="G808" i="22"/>
  <c r="G807" i="22"/>
  <c r="E806" i="22"/>
  <c r="G805" i="22"/>
  <c r="G804" i="22"/>
  <c r="G803" i="22"/>
  <c r="G802" i="22"/>
  <c r="G801" i="22"/>
  <c r="G800" i="22"/>
  <c r="G799" i="22"/>
  <c r="G798" i="22"/>
  <c r="E797" i="22"/>
  <c r="G796" i="22"/>
  <c r="G795" i="22"/>
  <c r="G794" i="22"/>
  <c r="G793" i="22"/>
  <c r="G792" i="22"/>
  <c r="E791" i="22"/>
  <c r="G790" i="22"/>
  <c r="G789" i="22"/>
  <c r="G788" i="22"/>
  <c r="G787" i="22"/>
  <c r="G786" i="22"/>
  <c r="E785" i="22"/>
  <c r="G784" i="22"/>
  <c r="G783" i="22"/>
  <c r="G782" i="22"/>
  <c r="G781" i="22"/>
  <c r="C112" i="23" s="1"/>
  <c r="E780" i="22"/>
  <c r="G779" i="22"/>
  <c r="G778" i="22"/>
  <c r="G777" i="22"/>
  <c r="E776" i="22"/>
  <c r="G775" i="22"/>
  <c r="G774" i="22"/>
  <c r="G773" i="22"/>
  <c r="G772" i="22"/>
  <c r="E771" i="22"/>
  <c r="G770" i="22"/>
  <c r="G769" i="22"/>
  <c r="G768" i="22"/>
  <c r="G767" i="22"/>
  <c r="G766" i="22"/>
  <c r="E765" i="22"/>
  <c r="G764" i="22"/>
  <c r="G763" i="22"/>
  <c r="G762" i="22"/>
  <c r="G761" i="22"/>
  <c r="G760" i="22"/>
  <c r="G759" i="22"/>
  <c r="G758" i="22"/>
  <c r="E757" i="22"/>
  <c r="G756" i="22"/>
  <c r="G755" i="22"/>
  <c r="G754" i="22"/>
  <c r="G753" i="22"/>
  <c r="G752" i="22"/>
  <c r="G751" i="22"/>
  <c r="E750" i="22"/>
  <c r="G749" i="22"/>
  <c r="G748" i="22"/>
  <c r="G747" i="22"/>
  <c r="G746" i="22"/>
  <c r="G745" i="22"/>
  <c r="G744" i="22"/>
  <c r="G743" i="22"/>
  <c r="G742" i="22"/>
  <c r="G741" i="22"/>
  <c r="G740" i="22"/>
  <c r="E739" i="22"/>
  <c r="G738" i="22"/>
  <c r="G737" i="22"/>
  <c r="G736" i="22"/>
  <c r="G735" i="22"/>
  <c r="E734" i="22"/>
  <c r="G733" i="22"/>
  <c r="G732" i="22"/>
  <c r="G731" i="22"/>
  <c r="G730" i="22"/>
  <c r="E729" i="22"/>
  <c r="G728" i="22"/>
  <c r="G727" i="22"/>
  <c r="G726" i="22"/>
  <c r="G725" i="22"/>
  <c r="E724" i="22"/>
  <c r="G723" i="22"/>
  <c r="G722" i="22"/>
  <c r="E721" i="22"/>
  <c r="G720" i="22"/>
  <c r="G719" i="22"/>
  <c r="E718" i="22"/>
  <c r="C718" i="22"/>
  <c r="G717" i="22"/>
  <c r="G716" i="22"/>
  <c r="G715" i="22"/>
  <c r="E714" i="22"/>
  <c r="G713" i="22"/>
  <c r="G712" i="22"/>
  <c r="G711" i="22"/>
  <c r="G710" i="22"/>
  <c r="G709" i="22"/>
  <c r="E708" i="22"/>
  <c r="G707" i="22"/>
  <c r="G706" i="22"/>
  <c r="G705" i="22"/>
  <c r="E704" i="22"/>
  <c r="G703" i="22"/>
  <c r="G702" i="22"/>
  <c r="G701" i="22"/>
  <c r="G700" i="22"/>
  <c r="G699" i="22"/>
  <c r="E698" i="22"/>
  <c r="G697" i="22"/>
  <c r="G696" i="22"/>
  <c r="G695" i="22"/>
  <c r="G694" i="22"/>
  <c r="G693" i="22"/>
  <c r="G692" i="22"/>
  <c r="E691" i="22"/>
  <c r="G690" i="22"/>
  <c r="G689" i="22"/>
  <c r="G688" i="22"/>
  <c r="G687" i="22"/>
  <c r="G686" i="22"/>
  <c r="E685" i="22"/>
  <c r="G684" i="22"/>
  <c r="G683" i="22"/>
  <c r="G682" i="22"/>
  <c r="G681" i="22"/>
  <c r="G680" i="22"/>
  <c r="G679" i="22"/>
  <c r="E678" i="22"/>
  <c r="G677" i="22"/>
  <c r="G676" i="22"/>
  <c r="G675" i="22"/>
  <c r="G674" i="22"/>
  <c r="E673" i="22"/>
  <c r="G672" i="22"/>
  <c r="G671" i="22"/>
  <c r="G670" i="22"/>
  <c r="G669" i="22"/>
  <c r="E668" i="22"/>
  <c r="G667" i="22"/>
  <c r="G666" i="22"/>
  <c r="G665" i="22"/>
  <c r="G664" i="22"/>
  <c r="E663" i="22"/>
  <c r="G662" i="22"/>
  <c r="G661" i="22"/>
  <c r="G660" i="22"/>
  <c r="G659" i="22"/>
  <c r="G658" i="22"/>
  <c r="G657" i="22"/>
  <c r="G656" i="22"/>
  <c r="G655" i="22"/>
  <c r="E654" i="22"/>
  <c r="G653" i="22"/>
  <c r="G652" i="22"/>
  <c r="G651" i="22"/>
  <c r="G650" i="22"/>
  <c r="G649" i="22"/>
  <c r="G648" i="22"/>
  <c r="G647" i="22"/>
  <c r="G646" i="22"/>
  <c r="G645" i="22"/>
  <c r="E644" i="22"/>
  <c r="G643" i="22"/>
  <c r="G642" i="22"/>
  <c r="G641" i="22"/>
  <c r="G640" i="22"/>
  <c r="G639" i="22"/>
  <c r="G638" i="22"/>
  <c r="G637" i="22"/>
  <c r="G636" i="22"/>
  <c r="G635" i="22"/>
  <c r="E634" i="22"/>
  <c r="G633" i="22"/>
  <c r="G632" i="22"/>
  <c r="G631" i="22"/>
  <c r="G630" i="22"/>
  <c r="G629" i="22"/>
  <c r="G628" i="22"/>
  <c r="G627" i="22"/>
  <c r="G626" i="22"/>
  <c r="E625" i="22"/>
  <c r="G624" i="22"/>
  <c r="G623" i="22"/>
  <c r="G622" i="22"/>
  <c r="G621" i="22"/>
  <c r="G620" i="22"/>
  <c r="G619" i="22"/>
  <c r="G618" i="22"/>
  <c r="G617" i="22"/>
  <c r="G616" i="22"/>
  <c r="E615" i="22"/>
  <c r="G614" i="22"/>
  <c r="G613" i="22"/>
  <c r="G612" i="22"/>
  <c r="G611" i="22"/>
  <c r="G610" i="22"/>
  <c r="G609" i="22"/>
  <c r="G608" i="22"/>
  <c r="G607" i="22"/>
  <c r="G606" i="22"/>
  <c r="E605" i="22"/>
  <c r="G603" i="22"/>
  <c r="G602" i="22"/>
  <c r="G601" i="22"/>
  <c r="G600" i="22"/>
  <c r="G599" i="22"/>
  <c r="G598" i="22"/>
  <c r="G597" i="22"/>
  <c r="G596" i="22"/>
  <c r="E595" i="22"/>
  <c r="G594" i="22"/>
  <c r="G593" i="22"/>
  <c r="G592" i="22"/>
  <c r="G591" i="22"/>
  <c r="E590" i="22"/>
  <c r="G589" i="22"/>
  <c r="G588" i="22"/>
  <c r="G587" i="22"/>
  <c r="G586" i="22"/>
  <c r="E585" i="22"/>
  <c r="G584" i="22"/>
  <c r="G583" i="22"/>
  <c r="C81" i="23" s="1"/>
  <c r="E582" i="22"/>
  <c r="G581" i="22"/>
  <c r="C79" i="23" s="1"/>
  <c r="E580" i="22"/>
  <c r="G579" i="22"/>
  <c r="C78" i="23" s="1"/>
  <c r="E578" i="22"/>
  <c r="G577" i="22"/>
  <c r="C77" i="23" s="1"/>
  <c r="E576" i="22"/>
  <c r="G575" i="22"/>
  <c r="G574" i="22"/>
  <c r="G573" i="22"/>
  <c r="G572" i="22"/>
  <c r="E571" i="22"/>
  <c r="G570" i="22"/>
  <c r="G569" i="22"/>
  <c r="G568" i="22"/>
  <c r="G567" i="22"/>
  <c r="E566" i="22"/>
  <c r="G565" i="22"/>
  <c r="G564" i="22"/>
  <c r="G563" i="22"/>
  <c r="G562" i="22"/>
  <c r="G561" i="22"/>
  <c r="G560" i="22"/>
  <c r="C75" i="23" s="1"/>
  <c r="E559" i="22"/>
  <c r="G558" i="22"/>
  <c r="G557" i="22"/>
  <c r="G556" i="22"/>
  <c r="G555" i="22"/>
  <c r="E554" i="22"/>
  <c r="G553" i="22"/>
  <c r="G552" i="22"/>
  <c r="G551" i="22"/>
  <c r="G550" i="22"/>
  <c r="E549" i="22"/>
  <c r="G548" i="22"/>
  <c r="G547" i="22"/>
  <c r="G546" i="22"/>
  <c r="G545" i="22"/>
  <c r="C71" i="23" s="1"/>
  <c r="E544" i="22"/>
  <c r="G543" i="22"/>
  <c r="G542" i="22"/>
  <c r="G541" i="22"/>
  <c r="G540" i="22"/>
  <c r="E539" i="22"/>
  <c r="G538" i="22"/>
  <c r="G537" i="22"/>
  <c r="G536" i="22"/>
  <c r="G535" i="22"/>
  <c r="G534" i="22"/>
  <c r="E533" i="22"/>
  <c r="G532" i="22"/>
  <c r="G531" i="22"/>
  <c r="G530" i="22"/>
  <c r="G529" i="22"/>
  <c r="G528" i="22"/>
  <c r="C68" i="23" s="1"/>
  <c r="E527" i="22"/>
  <c r="G526" i="22"/>
  <c r="G525" i="22"/>
  <c r="G524" i="22"/>
  <c r="G523" i="22"/>
  <c r="G522" i="22"/>
  <c r="G521" i="22"/>
  <c r="E520" i="22"/>
  <c r="G519" i="22"/>
  <c r="G518" i="22"/>
  <c r="G517" i="22"/>
  <c r="G516" i="22"/>
  <c r="G515" i="22"/>
  <c r="G514" i="22"/>
  <c r="C66" i="23" s="1"/>
  <c r="E513" i="22"/>
  <c r="G512" i="22"/>
  <c r="G511" i="22"/>
  <c r="G510" i="22"/>
  <c r="G509" i="22"/>
  <c r="G508" i="22"/>
  <c r="G507" i="22"/>
  <c r="G506" i="22"/>
  <c r="E505" i="22"/>
  <c r="G504" i="22"/>
  <c r="G503" i="22"/>
  <c r="G502" i="22"/>
  <c r="G501" i="22"/>
  <c r="G500" i="22"/>
  <c r="G499" i="22"/>
  <c r="E498" i="22"/>
  <c r="G497" i="22"/>
  <c r="G496" i="22"/>
  <c r="G495" i="22"/>
  <c r="G494" i="22"/>
  <c r="G493" i="22"/>
  <c r="G492" i="22"/>
  <c r="G491" i="22"/>
  <c r="G490" i="22"/>
  <c r="G489" i="22"/>
  <c r="G488" i="22"/>
  <c r="E487" i="22"/>
  <c r="G486" i="22"/>
  <c r="G485" i="22"/>
  <c r="G484" i="22"/>
  <c r="G483" i="22"/>
  <c r="G482" i="22"/>
  <c r="C62" i="23" s="1"/>
  <c r="E481" i="22"/>
  <c r="G480" i="22"/>
  <c r="G479" i="22"/>
  <c r="G478" i="22"/>
  <c r="E477" i="22"/>
  <c r="G476" i="22"/>
  <c r="G475" i="22"/>
  <c r="E474" i="22"/>
  <c r="G473" i="22"/>
  <c r="G472" i="22"/>
  <c r="G471" i="22"/>
  <c r="E470" i="22"/>
  <c r="G469" i="22"/>
  <c r="G468" i="22"/>
  <c r="C58" i="23" s="1"/>
  <c r="E467" i="22"/>
  <c r="G466" i="22"/>
  <c r="G465" i="22"/>
  <c r="G464" i="22"/>
  <c r="G463" i="22"/>
  <c r="G462" i="22"/>
  <c r="G461" i="22"/>
  <c r="G460" i="22"/>
  <c r="G459" i="22"/>
  <c r="G458" i="22"/>
  <c r="G457" i="22"/>
  <c r="G456" i="22"/>
  <c r="G455" i="22"/>
  <c r="G454" i="22"/>
  <c r="G453" i="22"/>
  <c r="G452" i="22"/>
  <c r="G451" i="22"/>
  <c r="E450" i="22"/>
  <c r="G449" i="22"/>
  <c r="G448" i="22"/>
  <c r="G447" i="22"/>
  <c r="E446" i="22"/>
  <c r="G445" i="22"/>
  <c r="G444" i="22"/>
  <c r="G443" i="22"/>
  <c r="G442" i="22"/>
  <c r="G441" i="22"/>
  <c r="E440" i="22"/>
  <c r="G439" i="22"/>
  <c r="G438" i="22"/>
  <c r="G437" i="22"/>
  <c r="G436" i="22"/>
  <c r="G435" i="22"/>
  <c r="E434" i="22"/>
  <c r="G433" i="22"/>
  <c r="G432" i="22"/>
  <c r="G431" i="22"/>
  <c r="G430" i="22"/>
  <c r="E429" i="22"/>
  <c r="G428" i="22"/>
  <c r="G427" i="22"/>
  <c r="G426" i="22"/>
  <c r="E425" i="22"/>
  <c r="G424" i="22"/>
  <c r="G423" i="22"/>
  <c r="E422" i="22"/>
  <c r="G421" i="22"/>
  <c r="G420" i="22"/>
  <c r="G419" i="22"/>
  <c r="G418" i="22"/>
  <c r="G417" i="22"/>
  <c r="G416" i="22"/>
  <c r="G415" i="22"/>
  <c r="G414" i="22"/>
  <c r="G413" i="22"/>
  <c r="G412" i="22"/>
  <c r="G411" i="22"/>
  <c r="G410" i="22"/>
  <c r="G409" i="22"/>
  <c r="G408" i="22"/>
  <c r="E407" i="22"/>
  <c r="G406" i="22"/>
  <c r="G405" i="22"/>
  <c r="G404" i="22"/>
  <c r="G403" i="22"/>
  <c r="G402" i="22"/>
  <c r="G401" i="22"/>
  <c r="G400" i="22"/>
  <c r="G399" i="22"/>
  <c r="G398" i="22"/>
  <c r="G397" i="22"/>
  <c r="G396" i="22"/>
  <c r="G395" i="22"/>
  <c r="G394" i="22"/>
  <c r="E393" i="22"/>
  <c r="G392" i="22"/>
  <c r="G391" i="22"/>
  <c r="G390" i="22"/>
  <c r="G389" i="22"/>
  <c r="G388" i="22"/>
  <c r="E387" i="22"/>
  <c r="C387" i="22"/>
  <c r="G386" i="22"/>
  <c r="G385" i="22"/>
  <c r="G384" i="22"/>
  <c r="G383" i="22"/>
  <c r="G382" i="22"/>
  <c r="G381" i="22"/>
  <c r="G380" i="22"/>
  <c r="G379" i="22"/>
  <c r="E378" i="22"/>
  <c r="G377" i="22"/>
  <c r="G376" i="22"/>
  <c r="G375" i="22"/>
  <c r="G374" i="22"/>
  <c r="G373" i="22"/>
  <c r="G372" i="22"/>
  <c r="G371" i="22"/>
  <c r="G370" i="22"/>
  <c r="G369" i="22"/>
  <c r="G368" i="22"/>
  <c r="G367" i="22"/>
  <c r="E366" i="22"/>
  <c r="G365" i="22"/>
  <c r="G364" i="22"/>
  <c r="G363" i="22"/>
  <c r="G362" i="22"/>
  <c r="G361" i="22"/>
  <c r="G360" i="22"/>
  <c r="G359" i="22"/>
  <c r="G358" i="22"/>
  <c r="G357" i="22"/>
  <c r="G356" i="22"/>
  <c r="E355" i="22"/>
  <c r="G354" i="22"/>
  <c r="G353" i="22"/>
  <c r="G352" i="22"/>
  <c r="G351" i="22"/>
  <c r="G350" i="22"/>
  <c r="G349" i="22"/>
  <c r="G348" i="22"/>
  <c r="G347" i="22"/>
  <c r="G346" i="22"/>
  <c r="G345" i="22"/>
  <c r="G344" i="22"/>
  <c r="G343" i="22"/>
  <c r="E342" i="22"/>
  <c r="G341" i="22"/>
  <c r="G340" i="22"/>
  <c r="G339" i="22"/>
  <c r="G338" i="22"/>
  <c r="G337" i="22"/>
  <c r="G336" i="22"/>
  <c r="G335" i="22"/>
  <c r="G334" i="22"/>
  <c r="G333" i="22"/>
  <c r="G332" i="22"/>
  <c r="G331" i="22"/>
  <c r="E330" i="22"/>
  <c r="G330" i="22" s="1"/>
  <c r="G329" i="22"/>
  <c r="G328" i="22"/>
  <c r="G327" i="22"/>
  <c r="G326" i="22"/>
  <c r="G325" i="22"/>
  <c r="G324" i="22"/>
  <c r="G323" i="22"/>
  <c r="G322" i="22"/>
  <c r="G321" i="22"/>
  <c r="G320" i="22"/>
  <c r="G319" i="22"/>
  <c r="G318" i="22"/>
  <c r="E317" i="22"/>
  <c r="G316" i="22"/>
  <c r="G315" i="22"/>
  <c r="G314" i="22"/>
  <c r="G313" i="22"/>
  <c r="G312" i="22"/>
  <c r="G311" i="22"/>
  <c r="G310" i="22"/>
  <c r="G309" i="22"/>
  <c r="G308" i="22"/>
  <c r="G307" i="22"/>
  <c r="G306" i="22"/>
  <c r="G305" i="22"/>
  <c r="G304" i="22"/>
  <c r="G303" i="22"/>
  <c r="G302" i="22"/>
  <c r="E301" i="22"/>
  <c r="G300" i="22"/>
  <c r="G299" i="22"/>
  <c r="G298" i="22"/>
  <c r="G297" i="22"/>
  <c r="G296" i="22"/>
  <c r="G295" i="22"/>
  <c r="G294" i="22"/>
  <c r="G293" i="22"/>
  <c r="G292" i="22"/>
  <c r="G291" i="22"/>
  <c r="G290" i="22"/>
  <c r="G289" i="22"/>
  <c r="G288" i="22"/>
  <c r="E287" i="22"/>
  <c r="G286" i="22"/>
  <c r="G285" i="22"/>
  <c r="G284" i="22"/>
  <c r="G283" i="22"/>
  <c r="G282" i="22"/>
  <c r="G281" i="22"/>
  <c r="G280" i="22"/>
  <c r="G279" i="22"/>
  <c r="G278" i="22"/>
  <c r="G277" i="22"/>
  <c r="E276" i="22"/>
  <c r="G275" i="22"/>
  <c r="G274" i="22"/>
  <c r="G273" i="22"/>
  <c r="G272" i="22"/>
  <c r="G271" i="22"/>
  <c r="G270" i="22"/>
  <c r="G269" i="22"/>
  <c r="G268" i="22"/>
  <c r="G267" i="22"/>
  <c r="G266" i="22"/>
  <c r="G265" i="22"/>
  <c r="E264" i="22"/>
  <c r="G263" i="22"/>
  <c r="G262" i="22"/>
  <c r="G261" i="22"/>
  <c r="G260" i="22"/>
  <c r="G259" i="22"/>
  <c r="G258" i="22"/>
  <c r="G257" i="22"/>
  <c r="G256" i="22"/>
  <c r="G255" i="22"/>
  <c r="G254" i="22"/>
  <c r="G253" i="22"/>
  <c r="G252" i="22"/>
  <c r="G251" i="22"/>
  <c r="E250" i="22"/>
  <c r="G249" i="22"/>
  <c r="G248" i="22"/>
  <c r="G247" i="22"/>
  <c r="G246" i="22"/>
  <c r="G245" i="22"/>
  <c r="G244" i="22"/>
  <c r="G243" i="22"/>
  <c r="G242" i="22"/>
  <c r="G241" i="22"/>
  <c r="G240" i="22"/>
  <c r="G239" i="22"/>
  <c r="G238" i="22"/>
  <c r="E237" i="22"/>
  <c r="G236" i="22"/>
  <c r="G235" i="22"/>
  <c r="G234" i="22"/>
  <c r="G233" i="22"/>
  <c r="G232" i="22"/>
  <c r="G231" i="22"/>
  <c r="G230" i="22"/>
  <c r="G229" i="22"/>
  <c r="G228" i="22"/>
  <c r="E227" i="22"/>
  <c r="G226" i="22"/>
  <c r="G225" i="22"/>
  <c r="G224" i="22"/>
  <c r="G223" i="22"/>
  <c r="G222" i="22"/>
  <c r="G221" i="22"/>
  <c r="E220" i="22"/>
  <c r="G219" i="22"/>
  <c r="G218" i="22"/>
  <c r="G217" i="22"/>
  <c r="G216" i="22"/>
  <c r="G215" i="22"/>
  <c r="E214" i="22"/>
  <c r="G213" i="22"/>
  <c r="G212" i="22"/>
  <c r="E211" i="22"/>
  <c r="G210" i="22"/>
  <c r="G209" i="22"/>
  <c r="E208" i="22"/>
  <c r="G207" i="22"/>
  <c r="G206" i="22"/>
  <c r="E205" i="22"/>
  <c r="G204" i="22"/>
  <c r="G203" i="22"/>
  <c r="G202" i="22"/>
  <c r="E201" i="22"/>
  <c r="G200" i="22"/>
  <c r="G199" i="22"/>
  <c r="G198" i="22"/>
  <c r="E197" i="22"/>
  <c r="G196" i="22"/>
  <c r="G195" i="22"/>
  <c r="E194" i="22"/>
  <c r="G193" i="22"/>
  <c r="G192" i="22"/>
  <c r="E191" i="22"/>
  <c r="G190" i="22"/>
  <c r="G189" i="22"/>
  <c r="G188" i="22"/>
  <c r="G187" i="22"/>
  <c r="E186" i="22"/>
  <c r="G185" i="22"/>
  <c r="G184" i="22"/>
  <c r="E183" i="22"/>
  <c r="G182" i="22"/>
  <c r="E181" i="22"/>
  <c r="G180" i="22"/>
  <c r="E179" i="22"/>
  <c r="G178" i="22"/>
  <c r="E177" i="22"/>
  <c r="G176" i="22"/>
  <c r="G175" i="22"/>
  <c r="G174" i="22"/>
  <c r="E173" i="22"/>
  <c r="G172" i="22"/>
  <c r="G171" i="22"/>
  <c r="G170" i="22"/>
  <c r="E169" i="22"/>
  <c r="G168" i="22"/>
  <c r="G167" i="22"/>
  <c r="E166" i="22"/>
  <c r="G165" i="22"/>
  <c r="G164" i="22"/>
  <c r="E163" i="22"/>
  <c r="G162" i="22"/>
  <c r="G161" i="22"/>
  <c r="G160" i="22"/>
  <c r="E159" i="22"/>
  <c r="G158" i="22"/>
  <c r="G157" i="22"/>
  <c r="G156" i="22"/>
  <c r="G155" i="22"/>
  <c r="E154" i="22"/>
  <c r="G153" i="22"/>
  <c r="G152" i="22"/>
  <c r="G151" i="22"/>
  <c r="G150" i="22"/>
  <c r="E149" i="22"/>
  <c r="G148" i="22"/>
  <c r="G147" i="22"/>
  <c r="G146" i="22"/>
  <c r="E145" i="22"/>
  <c r="G144" i="22"/>
  <c r="G143" i="22"/>
  <c r="G142" i="22"/>
  <c r="G141" i="22"/>
  <c r="E140" i="22"/>
  <c r="G139" i="22"/>
  <c r="G138" i="22"/>
  <c r="G137" i="22"/>
  <c r="G136" i="22"/>
  <c r="G135" i="22"/>
  <c r="G134" i="22"/>
  <c r="E133" i="22"/>
  <c r="G132" i="22"/>
  <c r="G131" i="22"/>
  <c r="G130" i="22"/>
  <c r="G129" i="22"/>
  <c r="G128" i="22"/>
  <c r="G127" i="22"/>
  <c r="E126" i="22"/>
  <c r="G125" i="22"/>
  <c r="G124" i="22"/>
  <c r="G123" i="22"/>
  <c r="G122" i="22"/>
  <c r="G121" i="22"/>
  <c r="G120" i="22"/>
  <c r="G119" i="22"/>
  <c r="E118" i="22"/>
  <c r="G117" i="22"/>
  <c r="G116" i="22"/>
  <c r="G115" i="22"/>
  <c r="G114" i="22"/>
  <c r="G113" i="22"/>
  <c r="G112" i="22"/>
  <c r="E111" i="22"/>
  <c r="G110" i="22"/>
  <c r="G109" i="22"/>
  <c r="G108" i="22"/>
  <c r="G107" i="22"/>
  <c r="E106" i="22"/>
  <c r="G105" i="22"/>
  <c r="G104" i="22"/>
  <c r="G103" i="22"/>
  <c r="E102" i="22"/>
  <c r="G101" i="22"/>
  <c r="G100" i="22"/>
  <c r="G99" i="22"/>
  <c r="G98" i="22"/>
  <c r="G97" i="22"/>
  <c r="E96" i="22"/>
  <c r="G95" i="22"/>
  <c r="G94" i="22"/>
  <c r="G93" i="22"/>
  <c r="G92" i="22"/>
  <c r="E91" i="22"/>
  <c r="G90" i="22"/>
  <c r="G89" i="22"/>
  <c r="E88" i="22"/>
  <c r="G87" i="22"/>
  <c r="G86" i="22"/>
  <c r="E85" i="22"/>
  <c r="G84" i="22"/>
  <c r="G83" i="22"/>
  <c r="E82" i="22"/>
  <c r="G81" i="22"/>
  <c r="G80" i="22"/>
  <c r="E79" i="22"/>
  <c r="G78" i="22"/>
  <c r="E77" i="22"/>
  <c r="G76" i="22"/>
  <c r="G75" i="22"/>
  <c r="E74" i="22"/>
  <c r="G73" i="22"/>
  <c r="G72" i="22"/>
  <c r="G71" i="22"/>
  <c r="E70" i="22"/>
  <c r="G69" i="22"/>
  <c r="G68" i="22"/>
  <c r="G67" i="22"/>
  <c r="E66" i="22"/>
  <c r="G65" i="22"/>
  <c r="G64" i="22"/>
  <c r="G63" i="22"/>
  <c r="E62" i="22"/>
  <c r="G61" i="22"/>
  <c r="G60" i="22"/>
  <c r="E59" i="22"/>
  <c r="G58" i="22"/>
  <c r="G57" i="22"/>
  <c r="G56" i="22"/>
  <c r="E55" i="22"/>
  <c r="G54" i="22"/>
  <c r="G53" i="22"/>
  <c r="E52" i="22"/>
  <c r="G51" i="22"/>
  <c r="G50" i="22"/>
  <c r="E49" i="22"/>
  <c r="G48" i="22"/>
  <c r="G47" i="22"/>
  <c r="G46" i="22"/>
  <c r="G45" i="22"/>
  <c r="E44" i="22"/>
  <c r="G43" i="22"/>
  <c r="G42" i="22"/>
  <c r="G41" i="22"/>
  <c r="G40" i="22"/>
  <c r="G39" i="22"/>
  <c r="G38" i="22"/>
  <c r="E37" i="22"/>
  <c r="G36" i="22"/>
  <c r="G35" i="22"/>
  <c r="G34" i="22"/>
  <c r="G33" i="22"/>
  <c r="E32" i="22"/>
  <c r="G31" i="22"/>
  <c r="G30" i="22"/>
  <c r="E29" i="22"/>
  <c r="G28" i="22"/>
  <c r="E27" i="22"/>
  <c r="G26" i="22"/>
  <c r="G25" i="22"/>
  <c r="E24" i="22"/>
  <c r="G23" i="22"/>
  <c r="E22" i="22"/>
  <c r="G21" i="22"/>
  <c r="E20" i="22"/>
  <c r="G19" i="22"/>
  <c r="G18" i="22"/>
  <c r="E17" i="22"/>
  <c r="G16" i="22"/>
  <c r="G15" i="22"/>
  <c r="E14" i="22"/>
  <c r="G13" i="22"/>
  <c r="E12" i="22"/>
  <c r="G11" i="22"/>
  <c r="E10" i="22"/>
  <c r="G9" i="22"/>
  <c r="E8" i="22"/>
  <c r="G7" i="22"/>
  <c r="E6" i="22"/>
  <c r="G5" i="22"/>
  <c r="E4" i="22"/>
  <c r="G3" i="22"/>
  <c r="E2" i="22"/>
  <c r="F1468" i="115"/>
  <c r="E1461" i="115"/>
  <c r="E1458" i="115"/>
  <c r="E1456" i="115"/>
  <c r="E1455" i="115"/>
  <c r="E1452" i="115"/>
  <c r="E1450" i="115"/>
  <c r="E1449" i="115"/>
  <c r="E1446" i="115"/>
  <c r="E1445" i="115"/>
  <c r="E1443" i="115"/>
  <c r="E1438" i="115"/>
  <c r="E1427" i="115"/>
  <c r="B1425" i="115"/>
  <c r="E1424" i="115"/>
  <c r="B1424" i="115"/>
  <c r="B1422" i="115"/>
  <c r="B1421" i="115"/>
  <c r="B1420" i="115"/>
  <c r="B1419" i="115"/>
  <c r="B1418" i="115"/>
  <c r="B1417" i="115"/>
  <c r="B1416" i="115"/>
  <c r="B1415" i="115"/>
  <c r="B1414" i="115"/>
  <c r="E1413" i="115"/>
  <c r="B1412" i="115"/>
  <c r="B1411" i="115"/>
  <c r="B1410" i="115"/>
  <c r="B1409" i="115"/>
  <c r="B1408" i="115"/>
  <c r="B1407" i="115"/>
  <c r="B1406" i="115"/>
  <c r="B1405" i="115"/>
  <c r="B1404" i="115"/>
  <c r="B1403" i="115"/>
  <c r="E1402" i="115"/>
  <c r="F1401" i="115"/>
  <c r="B1401" i="115"/>
  <c r="B1400" i="115"/>
  <c r="B1399" i="115"/>
  <c r="F1398" i="115"/>
  <c r="B1398" i="115"/>
  <c r="B1397" i="115"/>
  <c r="B1396" i="115"/>
  <c r="B1395" i="115"/>
  <c r="B1394" i="115"/>
  <c r="B1393" i="115"/>
  <c r="B1391" i="115"/>
  <c r="B1390" i="115"/>
  <c r="B1389" i="115"/>
  <c r="B1388" i="115"/>
  <c r="B1387" i="115"/>
  <c r="B1386" i="115"/>
  <c r="B1385" i="115"/>
  <c r="B1384" i="115"/>
  <c r="B1383" i="115"/>
  <c r="B1382" i="115"/>
  <c r="B1381" i="115"/>
  <c r="B1380" i="115"/>
  <c r="B1379" i="115"/>
  <c r="B1378" i="115"/>
  <c r="B1377" i="115"/>
  <c r="B1376" i="115"/>
  <c r="B1375" i="115"/>
  <c r="B1374" i="115"/>
  <c r="B1373" i="115"/>
  <c r="B1372" i="115"/>
  <c r="B1371" i="115"/>
  <c r="B1370" i="115"/>
  <c r="E1369" i="115"/>
  <c r="B1369" i="115"/>
  <c r="B1368" i="115"/>
  <c r="B1367" i="115"/>
  <c r="B1366" i="115"/>
  <c r="B1365" i="115"/>
  <c r="B1364" i="115"/>
  <c r="B1363" i="115"/>
  <c r="B1362" i="115"/>
  <c r="B1361" i="115"/>
  <c r="B1360" i="115"/>
  <c r="B1359" i="115"/>
  <c r="B1358" i="115"/>
  <c r="B1357" i="115"/>
  <c r="B1356" i="115"/>
  <c r="B1355" i="115"/>
  <c r="B1354" i="115"/>
  <c r="B1353" i="115"/>
  <c r="B1352" i="115"/>
  <c r="B1351" i="115"/>
  <c r="B1350" i="115"/>
  <c r="B1349" i="115"/>
  <c r="B1348" i="115"/>
  <c r="B1347" i="115"/>
  <c r="B1346" i="115"/>
  <c r="B1345" i="115"/>
  <c r="B1344" i="115"/>
  <c r="B1343" i="115"/>
  <c r="B1342" i="115"/>
  <c r="B1341" i="115"/>
  <c r="B1340" i="115"/>
  <c r="B1339" i="115"/>
  <c r="B1338" i="115"/>
  <c r="B1337" i="115"/>
  <c r="B1336" i="115"/>
  <c r="B1335" i="115"/>
  <c r="E1333" i="115"/>
  <c r="B1331" i="115"/>
  <c r="B1330" i="115"/>
  <c r="B1329" i="115"/>
  <c r="B1328" i="115"/>
  <c r="B1327" i="115"/>
  <c r="B1326" i="115"/>
  <c r="B1325" i="115"/>
  <c r="B1324" i="115"/>
  <c r="B1322" i="115"/>
  <c r="B1321" i="115"/>
  <c r="F1320" i="115"/>
  <c r="B1320" i="115"/>
  <c r="B1319" i="115"/>
  <c r="B1318" i="115"/>
  <c r="B1317" i="115"/>
  <c r="B1316" i="115"/>
  <c r="B1315" i="115"/>
  <c r="B1314" i="115"/>
  <c r="B1313" i="115"/>
  <c r="B1312" i="115"/>
  <c r="B1311" i="115"/>
  <c r="E1310" i="115"/>
  <c r="B1310" i="115"/>
  <c r="B1309" i="115"/>
  <c r="B1308" i="115"/>
  <c r="B1307" i="115"/>
  <c r="B1306" i="115"/>
  <c r="B1305" i="115"/>
  <c r="B1304" i="115"/>
  <c r="B1303" i="115"/>
  <c r="B1302" i="115"/>
  <c r="B1301" i="115"/>
  <c r="B1300" i="115"/>
  <c r="B1299" i="115"/>
  <c r="B1298" i="115"/>
  <c r="B1297" i="115"/>
  <c r="B1296" i="115"/>
  <c r="F1294" i="115"/>
  <c r="B1294" i="115"/>
  <c r="B1293" i="115"/>
  <c r="B1292" i="115"/>
  <c r="B1291" i="115"/>
  <c r="B1289" i="115"/>
  <c r="E1288" i="115"/>
  <c r="B1288" i="115"/>
  <c r="F1286" i="115"/>
  <c r="B1286" i="115"/>
  <c r="B1285" i="115"/>
  <c r="B1283" i="115"/>
  <c r="E1282" i="115"/>
  <c r="B1282" i="115"/>
  <c r="B1281" i="115"/>
  <c r="B1279" i="115"/>
  <c r="B1278" i="115"/>
  <c r="B1277" i="115"/>
  <c r="B1276" i="115"/>
  <c r="B1275" i="115"/>
  <c r="B1274" i="115"/>
  <c r="B1273" i="115"/>
  <c r="B1272" i="115"/>
  <c r="B1271" i="115"/>
  <c r="B1270" i="115"/>
  <c r="B1269" i="115"/>
  <c r="B1268" i="115"/>
  <c r="B1267" i="115"/>
  <c r="B1266" i="115"/>
  <c r="B1265" i="115"/>
  <c r="B1264" i="115"/>
  <c r="B1263" i="115"/>
  <c r="B1262" i="115"/>
  <c r="B1261" i="115"/>
  <c r="B1260" i="115"/>
  <c r="B1259" i="115"/>
  <c r="B1258" i="115"/>
  <c r="B1257" i="115"/>
  <c r="B1256" i="115"/>
  <c r="B1255" i="115"/>
  <c r="E1254" i="115"/>
  <c r="B1254" i="115"/>
  <c r="B1253" i="115"/>
  <c r="B1252" i="115"/>
  <c r="B1251" i="115"/>
  <c r="B1250" i="115"/>
  <c r="B1249" i="115"/>
  <c r="B1248" i="115"/>
  <c r="B1247" i="115"/>
  <c r="B1246" i="115"/>
  <c r="B1245" i="115"/>
  <c r="B1244" i="115"/>
  <c r="B1243" i="115"/>
  <c r="B1242" i="115"/>
  <c r="E1241" i="115"/>
  <c r="B1241" i="115"/>
  <c r="B1240" i="115"/>
  <c r="B1239" i="115"/>
  <c r="B1238" i="115"/>
  <c r="B1237" i="115"/>
  <c r="B1236" i="115"/>
  <c r="B1235" i="115"/>
  <c r="B1234" i="115"/>
  <c r="B1233" i="115"/>
  <c r="B1232" i="115"/>
  <c r="B1230" i="115"/>
  <c r="B1229" i="115"/>
  <c r="B1228" i="115"/>
  <c r="E1227" i="115"/>
  <c r="B1227" i="115"/>
  <c r="B1226" i="115"/>
  <c r="B1225" i="115"/>
  <c r="B1224" i="115"/>
  <c r="B1223" i="115"/>
  <c r="B1222" i="115"/>
  <c r="B1221" i="115"/>
  <c r="B1219" i="115"/>
  <c r="E1218" i="115"/>
  <c r="B1218" i="115"/>
  <c r="B1217" i="115"/>
  <c r="B1216" i="115"/>
  <c r="B1215" i="115"/>
  <c r="B1214" i="115"/>
  <c r="B1213" i="115"/>
  <c r="B1212" i="115"/>
  <c r="E1211" i="115"/>
  <c r="B1211" i="115"/>
  <c r="B1210" i="115"/>
  <c r="B1208" i="115"/>
  <c r="B1207" i="115"/>
  <c r="B1206" i="115"/>
  <c r="E1205" i="115"/>
  <c r="B1205" i="115"/>
  <c r="B1204" i="115"/>
  <c r="B1203" i="115"/>
  <c r="B1202" i="115"/>
  <c r="B1201" i="115"/>
  <c r="B1200" i="115"/>
  <c r="B1199" i="115"/>
  <c r="B1198" i="115"/>
  <c r="B1197" i="115"/>
  <c r="B1196" i="115"/>
  <c r="B1195" i="115"/>
  <c r="B1194" i="115"/>
  <c r="B1193" i="115"/>
  <c r="B1192" i="115"/>
  <c r="B1191" i="115"/>
  <c r="B1190" i="115"/>
  <c r="B1189" i="115"/>
  <c r="B1188" i="115"/>
  <c r="B1187" i="115"/>
  <c r="B1186" i="115"/>
  <c r="B1185" i="115"/>
  <c r="B1184" i="115"/>
  <c r="B1183" i="115"/>
  <c r="B1182" i="115"/>
  <c r="B1181" i="115"/>
  <c r="B1180" i="115"/>
  <c r="B1179" i="115"/>
  <c r="B1178" i="115"/>
  <c r="E1177" i="115"/>
  <c r="B1177" i="115"/>
  <c r="B1176" i="115"/>
  <c r="B1175" i="115"/>
  <c r="B1174" i="115"/>
  <c r="B1173" i="115"/>
  <c r="B1172" i="115"/>
  <c r="B1171" i="115"/>
  <c r="B1170" i="115"/>
  <c r="B1168" i="115"/>
  <c r="B1167" i="115"/>
  <c r="B1169" i="115"/>
  <c r="B1166" i="115"/>
  <c r="B1165" i="115"/>
  <c r="E1164" i="115"/>
  <c r="B1164" i="115"/>
  <c r="B1163" i="115"/>
  <c r="B1162" i="115"/>
  <c r="B1161" i="115"/>
  <c r="B1160" i="115"/>
  <c r="B1159" i="115"/>
  <c r="B1158" i="115"/>
  <c r="F1157" i="115"/>
  <c r="E52" i="119"/>
  <c r="B1156" i="115"/>
  <c r="B1155" i="115"/>
  <c r="B1154" i="115"/>
  <c r="B1153" i="115"/>
  <c r="B1152" i="115"/>
  <c r="B1151" i="115"/>
  <c r="B1150" i="115"/>
  <c r="B1149" i="115"/>
  <c r="B1148" i="115"/>
  <c r="E1147" i="115"/>
  <c r="B1147" i="115"/>
  <c r="B1146" i="115"/>
  <c r="B1145" i="115"/>
  <c r="B1144" i="115"/>
  <c r="B1143" i="115"/>
  <c r="B1142" i="115"/>
  <c r="B1141" i="115"/>
  <c r="B1140" i="115"/>
  <c r="B1139" i="115"/>
  <c r="B1138" i="115"/>
  <c r="B1136" i="115"/>
  <c r="B1135" i="115"/>
  <c r="B1134" i="115"/>
  <c r="B1133" i="115"/>
  <c r="B1132" i="115"/>
  <c r="B1131" i="115"/>
  <c r="B1130" i="115"/>
  <c r="B1129" i="115"/>
  <c r="B1137" i="115"/>
  <c r="B1128" i="115"/>
  <c r="B1126" i="115"/>
  <c r="B1125" i="115"/>
  <c r="B1123" i="115"/>
  <c r="B1122" i="115"/>
  <c r="B1121" i="115"/>
  <c r="B1120" i="115"/>
  <c r="B1119" i="115"/>
  <c r="B1118" i="115"/>
  <c r="B1124" i="115"/>
  <c r="B1117" i="115"/>
  <c r="B1116" i="115"/>
  <c r="B1115" i="115"/>
  <c r="B1114" i="115"/>
  <c r="B1113" i="115"/>
  <c r="B1112" i="115"/>
  <c r="B1111" i="115"/>
  <c r="F1110" i="115"/>
  <c r="B1110" i="115"/>
  <c r="B1109" i="115"/>
  <c r="B1108" i="115"/>
  <c r="B1107" i="115"/>
  <c r="B1106" i="115"/>
  <c r="B1105" i="115"/>
  <c r="B1104" i="115"/>
  <c r="B1103" i="115"/>
  <c r="B1102" i="115"/>
  <c r="B1101" i="115"/>
  <c r="B1100" i="115"/>
  <c r="B1098" i="115"/>
  <c r="B1097" i="115"/>
  <c r="B1096" i="115"/>
  <c r="B1095" i="115"/>
  <c r="B1094" i="115"/>
  <c r="B1093" i="115"/>
  <c r="B1092" i="115"/>
  <c r="B1091" i="115"/>
  <c r="B1090" i="115"/>
  <c r="B1089" i="115"/>
  <c r="B1088" i="115"/>
  <c r="B1087" i="115"/>
  <c r="B1086" i="115"/>
  <c r="B1085" i="115"/>
  <c r="B1084" i="115"/>
  <c r="B1083" i="115"/>
  <c r="B1082" i="115"/>
  <c r="B1081" i="115"/>
  <c r="B1080" i="115"/>
  <c r="F1079" i="115"/>
  <c r="B1079" i="115"/>
  <c r="B1078" i="115"/>
  <c r="B1076" i="115"/>
  <c r="B1075" i="115"/>
  <c r="D1074" i="115"/>
  <c r="D1486" i="115"/>
  <c r="B1074" i="115"/>
  <c r="B1073" i="115"/>
  <c r="B1072" i="115"/>
  <c r="B1071" i="115"/>
  <c r="B1070" i="115"/>
  <c r="B1069" i="115"/>
  <c r="E1068" i="115"/>
  <c r="B1068" i="115"/>
  <c r="B1067" i="115"/>
  <c r="B1066" i="115"/>
  <c r="B1065" i="115"/>
  <c r="B1064" i="115"/>
  <c r="B1063" i="115"/>
  <c r="E1062" i="115"/>
  <c r="B1062" i="115"/>
  <c r="B1061" i="115"/>
  <c r="B1060" i="115"/>
  <c r="B1059" i="115"/>
  <c r="B1058" i="115"/>
  <c r="B1056" i="115"/>
  <c r="B1055" i="115"/>
  <c r="E1054" i="115"/>
  <c r="B1054" i="115"/>
  <c r="B1053" i="115"/>
  <c r="E1052" i="115"/>
  <c r="B1052" i="115"/>
  <c r="B1051" i="115"/>
  <c r="B1050" i="115"/>
  <c r="B1048" i="115"/>
  <c r="B1047" i="115"/>
  <c r="B1046" i="115"/>
  <c r="B1045" i="115"/>
  <c r="B1044" i="115"/>
  <c r="B1043" i="115"/>
  <c r="B1042" i="115"/>
  <c r="B1041" i="115"/>
  <c r="B1040" i="115"/>
  <c r="B1039" i="115"/>
  <c r="E1038" i="115"/>
  <c r="B1038" i="115"/>
  <c r="B1037" i="115"/>
  <c r="B1036" i="115"/>
  <c r="B1034" i="115"/>
  <c r="B1033" i="115"/>
  <c r="B1032" i="115"/>
  <c r="B1035" i="115"/>
  <c r="B1031" i="115"/>
  <c r="B1030" i="115"/>
  <c r="B1029" i="115"/>
  <c r="B1028" i="115"/>
  <c r="B1027" i="115"/>
  <c r="E1026" i="115"/>
  <c r="B1026" i="115"/>
  <c r="B1025" i="115"/>
  <c r="B1023" i="115"/>
  <c r="E1022" i="115"/>
  <c r="B1022" i="115"/>
  <c r="E1021" i="115"/>
  <c r="B1021" i="115"/>
  <c r="B1020" i="115"/>
  <c r="B1019" i="115"/>
  <c r="B1018" i="115"/>
  <c r="B1017" i="115"/>
  <c r="B1016" i="115"/>
  <c r="B1015" i="115"/>
  <c r="B1014" i="115"/>
  <c r="B1013" i="115"/>
  <c r="B1011" i="115"/>
  <c r="B1010" i="115"/>
  <c r="B1009" i="115"/>
  <c r="B1008" i="115"/>
  <c r="B1007" i="115"/>
  <c r="B1006" i="115"/>
  <c r="B1005" i="115"/>
  <c r="B1004" i="115"/>
  <c r="B1003" i="115"/>
  <c r="B1002" i="115"/>
  <c r="B1001" i="115"/>
  <c r="B1000" i="115"/>
  <c r="B999" i="115"/>
  <c r="B998" i="115"/>
  <c r="B997" i="115"/>
  <c r="B996" i="115"/>
  <c r="B995" i="115"/>
  <c r="B994" i="115"/>
  <c r="B993" i="115"/>
  <c r="B992" i="115"/>
  <c r="E991" i="115"/>
  <c r="B991" i="115"/>
  <c r="B990" i="115"/>
  <c r="B989" i="115"/>
  <c r="B988" i="115"/>
  <c r="B987" i="115"/>
  <c r="B986" i="115"/>
  <c r="B985" i="115"/>
  <c r="B984" i="115"/>
  <c r="B983" i="115"/>
  <c r="B982" i="115"/>
  <c r="B981" i="115"/>
  <c r="B980" i="115"/>
  <c r="B979" i="115"/>
  <c r="B978" i="115"/>
  <c r="B977" i="115"/>
  <c r="B976" i="115"/>
  <c r="B975" i="115"/>
  <c r="B974" i="115"/>
  <c r="B973" i="115"/>
  <c r="B972" i="115"/>
  <c r="B971" i="115"/>
  <c r="B970" i="115"/>
  <c r="B969" i="115"/>
  <c r="B968" i="115"/>
  <c r="E966" i="115"/>
  <c r="B966" i="115"/>
  <c r="E965" i="115"/>
  <c r="B965" i="115"/>
  <c r="B964" i="115"/>
  <c r="B963" i="115"/>
  <c r="B962" i="115"/>
  <c r="B960" i="115"/>
  <c r="B959" i="115"/>
  <c r="B958" i="115"/>
  <c r="E957" i="115"/>
  <c r="B957" i="115"/>
  <c r="B956" i="115"/>
  <c r="B955" i="115"/>
  <c r="B954" i="115"/>
  <c r="B953" i="115"/>
  <c r="F952" i="115"/>
  <c r="B952" i="115"/>
  <c r="B951" i="115"/>
  <c r="E950" i="115"/>
  <c r="B950" i="115"/>
  <c r="B949" i="115"/>
  <c r="B948" i="115"/>
  <c r="B947" i="115"/>
  <c r="B946" i="115"/>
  <c r="B945" i="115"/>
  <c r="B943" i="115"/>
  <c r="E942" i="115"/>
  <c r="B942" i="115"/>
  <c r="B941" i="115"/>
  <c r="B940" i="115"/>
  <c r="B939" i="115"/>
  <c r="B944" i="115"/>
  <c r="B937" i="115"/>
  <c r="B936" i="115"/>
  <c r="B935" i="115"/>
  <c r="B934" i="115"/>
  <c r="B932" i="115"/>
  <c r="B931" i="115"/>
  <c r="B930" i="115"/>
  <c r="B929" i="115"/>
  <c r="B928" i="115"/>
  <c r="B927" i="115"/>
  <c r="E926" i="115"/>
  <c r="B926" i="115"/>
  <c r="E925" i="115"/>
  <c r="B925" i="115"/>
  <c r="B924" i="115"/>
  <c r="B923" i="115"/>
  <c r="B922" i="115"/>
  <c r="B921" i="115"/>
  <c r="B920" i="115"/>
  <c r="B919" i="115"/>
  <c r="B918" i="115"/>
  <c r="B917" i="115"/>
  <c r="B916" i="115"/>
  <c r="F915" i="115"/>
  <c r="B915" i="115"/>
  <c r="B914" i="115"/>
  <c r="B913" i="115"/>
  <c r="B938" i="115"/>
  <c r="B912" i="115"/>
  <c r="B911" i="115"/>
  <c r="B910" i="115"/>
  <c r="B909" i="115"/>
  <c r="B908" i="115"/>
  <c r="B907" i="115"/>
  <c r="B906" i="115"/>
  <c r="B905" i="115"/>
  <c r="B904" i="115"/>
  <c r="B903" i="115"/>
  <c r="E902" i="115"/>
  <c r="B902" i="115"/>
  <c r="E901" i="115"/>
  <c r="B901" i="115"/>
  <c r="B900" i="115"/>
  <c r="B899" i="115"/>
  <c r="B897" i="115"/>
  <c r="B896" i="115"/>
  <c r="B895" i="115"/>
  <c r="B894" i="115"/>
  <c r="B893" i="115"/>
  <c r="B892" i="115"/>
  <c r="B891" i="115"/>
  <c r="B890" i="115"/>
  <c r="B889" i="115"/>
  <c r="B888" i="115"/>
  <c r="B887" i="115"/>
  <c r="B886" i="115"/>
  <c r="B885" i="115"/>
  <c r="B884" i="115"/>
  <c r="B883" i="115"/>
  <c r="B882" i="115"/>
  <c r="B881" i="115"/>
  <c r="E880" i="115"/>
  <c r="B880" i="115"/>
  <c r="B879" i="115"/>
  <c r="B878" i="115"/>
  <c r="B877" i="115"/>
  <c r="F876" i="115"/>
  <c r="B876" i="115"/>
  <c r="B875" i="115"/>
  <c r="B874" i="115"/>
  <c r="B873" i="115"/>
  <c r="B872" i="115"/>
  <c r="B871" i="115"/>
  <c r="B870" i="115"/>
  <c r="B869" i="115"/>
  <c r="B868" i="115"/>
  <c r="E867" i="115"/>
  <c r="B867" i="115"/>
  <c r="B866" i="115"/>
  <c r="B865" i="115"/>
  <c r="B864" i="115"/>
  <c r="E863" i="115"/>
  <c r="B863" i="115"/>
  <c r="B862" i="115"/>
  <c r="B861" i="115"/>
  <c r="B860" i="115"/>
  <c r="B859" i="115"/>
  <c r="B858" i="115"/>
  <c r="B856" i="115"/>
  <c r="B855" i="115"/>
  <c r="B854" i="115"/>
  <c r="B853" i="115"/>
  <c r="B852" i="115"/>
  <c r="B851" i="115"/>
  <c r="E850" i="115"/>
  <c r="B850" i="115"/>
  <c r="E849" i="115"/>
  <c r="B849" i="115"/>
  <c r="B847" i="115"/>
  <c r="B846" i="115"/>
  <c r="B848" i="115"/>
  <c r="B845" i="115"/>
  <c r="B844" i="115"/>
  <c r="B843" i="115"/>
  <c r="B842" i="115"/>
  <c r="B841" i="115"/>
  <c r="B840" i="115"/>
  <c r="B839" i="115"/>
  <c r="F838" i="115"/>
  <c r="B838" i="115"/>
  <c r="B837" i="115"/>
  <c r="B836" i="115"/>
  <c r="B835" i="115"/>
  <c r="B834" i="115"/>
  <c r="B833" i="115"/>
  <c r="F832" i="115"/>
  <c r="B832" i="115"/>
  <c r="B831" i="115"/>
  <c r="B830" i="115"/>
  <c r="B829" i="115"/>
  <c r="B828" i="115"/>
  <c r="B827" i="115"/>
  <c r="B826" i="115"/>
  <c r="E825" i="115"/>
  <c r="B825" i="115"/>
  <c r="B824" i="115"/>
  <c r="B823" i="115"/>
  <c r="B821" i="115"/>
  <c r="B820" i="115"/>
  <c r="B819" i="115"/>
  <c r="B818" i="115"/>
  <c r="B817" i="115"/>
  <c r="B816" i="115"/>
  <c r="B815" i="115"/>
  <c r="B814" i="115"/>
  <c r="B813" i="115"/>
  <c r="B812" i="115"/>
  <c r="B811" i="115"/>
  <c r="B810" i="115"/>
  <c r="B809" i="115"/>
  <c r="B808" i="115"/>
  <c r="B807" i="115"/>
  <c r="B806" i="115"/>
  <c r="B805" i="115"/>
  <c r="B804" i="115"/>
  <c r="B803" i="115"/>
  <c r="B802" i="115"/>
  <c r="B801" i="115"/>
  <c r="B800" i="115"/>
  <c r="A800" i="115"/>
  <c r="B799" i="115"/>
  <c r="B798" i="115"/>
  <c r="B797" i="115"/>
  <c r="B796" i="115"/>
  <c r="E795" i="115"/>
  <c r="F857" i="115"/>
  <c r="B795" i="115"/>
  <c r="B794" i="115"/>
  <c r="B793" i="115"/>
  <c r="B792" i="115"/>
  <c r="B791" i="115"/>
  <c r="B788" i="115"/>
  <c r="B787" i="115"/>
  <c r="B786" i="115"/>
  <c r="B785" i="115"/>
  <c r="B784" i="115"/>
  <c r="B783" i="115"/>
  <c r="B782" i="115"/>
  <c r="B781" i="115"/>
  <c r="B780" i="115"/>
  <c r="B779" i="115"/>
  <c r="B778" i="115"/>
  <c r="B775" i="115"/>
  <c r="B774" i="115"/>
  <c r="B773" i="115"/>
  <c r="B772" i="115"/>
  <c r="B771" i="115"/>
  <c r="B770" i="115"/>
  <c r="B769" i="115"/>
  <c r="B768" i="115"/>
  <c r="B767" i="115"/>
  <c r="B766" i="115"/>
  <c r="B765" i="115"/>
  <c r="B764" i="115"/>
  <c r="B763" i="115"/>
  <c r="B762" i="115"/>
  <c r="B761" i="115"/>
  <c r="E760" i="115"/>
  <c r="B760" i="115"/>
  <c r="B759" i="115"/>
  <c r="B758" i="115"/>
  <c r="B757" i="115"/>
  <c r="B756" i="115"/>
  <c r="B755" i="115"/>
  <c r="B754" i="115"/>
  <c r="B753" i="115"/>
  <c r="B752" i="115"/>
  <c r="B751" i="115"/>
  <c r="B750" i="115"/>
  <c r="B749" i="115"/>
  <c r="B747" i="115"/>
  <c r="B746" i="115"/>
  <c r="E745" i="115"/>
  <c r="B745" i="115"/>
  <c r="B744" i="115"/>
  <c r="B742" i="115"/>
  <c r="B741" i="115"/>
  <c r="B740" i="115"/>
  <c r="F739" i="115"/>
  <c r="B739" i="115"/>
  <c r="B738" i="115"/>
  <c r="B737" i="115"/>
  <c r="B734" i="115"/>
  <c r="B732" i="115"/>
  <c r="B731" i="115"/>
  <c r="B730" i="115"/>
  <c r="B729" i="115"/>
  <c r="B728" i="115"/>
  <c r="B727" i="115"/>
  <c r="B726" i="115"/>
  <c r="B725" i="115"/>
  <c r="B724" i="115"/>
  <c r="B723" i="115"/>
  <c r="B722" i="115"/>
  <c r="B721" i="115"/>
  <c r="B720" i="115"/>
  <c r="B719" i="115"/>
  <c r="B718" i="115"/>
  <c r="B717" i="115"/>
  <c r="B716" i="115"/>
  <c r="B715" i="115"/>
  <c r="B714" i="115"/>
  <c r="B713" i="115"/>
  <c r="B712" i="115"/>
  <c r="B711" i="115"/>
  <c r="B710" i="115"/>
  <c r="B709" i="115"/>
  <c r="B708" i="115"/>
  <c r="B707" i="115"/>
  <c r="B706" i="115"/>
  <c r="B705" i="115"/>
  <c r="B702" i="115"/>
  <c r="B701" i="115"/>
  <c r="E700" i="115"/>
  <c r="B700" i="115"/>
  <c r="B699" i="115"/>
  <c r="B698" i="115"/>
  <c r="B697" i="115"/>
  <c r="B696" i="115"/>
  <c r="B695" i="115"/>
  <c r="B694" i="115"/>
  <c r="E693" i="115"/>
  <c r="B693" i="115"/>
  <c r="B692" i="115"/>
  <c r="B691" i="115"/>
  <c r="B690" i="115"/>
  <c r="B688" i="115"/>
  <c r="B687" i="115"/>
  <c r="B686" i="115"/>
  <c r="B685" i="115"/>
  <c r="B684" i="115"/>
  <c r="B683" i="115"/>
  <c r="B682" i="115"/>
  <c r="B681" i="115"/>
  <c r="B680" i="115"/>
  <c r="B679" i="115"/>
  <c r="B678" i="115"/>
  <c r="B677" i="115"/>
  <c r="B676" i="115"/>
  <c r="B675" i="115"/>
  <c r="B674" i="115"/>
  <c r="B673" i="115"/>
  <c r="B672" i="115"/>
  <c r="B671" i="115"/>
  <c r="B670" i="115"/>
  <c r="B669" i="115"/>
  <c r="B668" i="115"/>
  <c r="E667" i="115"/>
  <c r="F668" i="115"/>
  <c r="B667" i="115"/>
  <c r="B666" i="115"/>
  <c r="B665" i="115"/>
  <c r="B664" i="115"/>
  <c r="E663" i="115"/>
  <c r="B663" i="115"/>
  <c r="B662" i="115"/>
  <c r="B661" i="115"/>
  <c r="B660" i="115"/>
  <c r="B659" i="115"/>
  <c r="B658" i="115"/>
  <c r="B657" i="115"/>
  <c r="B655" i="115"/>
  <c r="B654" i="115"/>
  <c r="B653" i="115"/>
  <c r="B652" i="115"/>
  <c r="B656" i="115"/>
  <c r="B651" i="115"/>
  <c r="B650" i="115"/>
  <c r="B649" i="115"/>
  <c r="B648" i="115"/>
  <c r="B647" i="115"/>
  <c r="B645" i="115"/>
  <c r="B644" i="115"/>
  <c r="B643" i="115"/>
  <c r="B642" i="115"/>
  <c r="B641" i="115"/>
  <c r="B640" i="115"/>
  <c r="B639" i="115"/>
  <c r="B638" i="115"/>
  <c r="E637" i="115"/>
  <c r="B637" i="115"/>
  <c r="B636" i="115"/>
  <c r="B635" i="115"/>
  <c r="B634" i="115"/>
  <c r="B633" i="115"/>
  <c r="B632" i="115"/>
  <c r="B631" i="115"/>
  <c r="B630" i="115"/>
  <c r="B629" i="115"/>
  <c r="B627" i="115"/>
  <c r="B626" i="115"/>
  <c r="B625" i="115"/>
  <c r="B624" i="115"/>
  <c r="B623" i="115"/>
  <c r="B622" i="115"/>
  <c r="B621" i="115"/>
  <c r="B620" i="115"/>
  <c r="B619" i="115"/>
  <c r="B618" i="115"/>
  <c r="B617" i="115"/>
  <c r="B616" i="115"/>
  <c r="B615" i="115"/>
  <c r="B614" i="115"/>
  <c r="B613" i="115"/>
  <c r="B612" i="115"/>
  <c r="B611" i="115"/>
  <c r="B610" i="115"/>
  <c r="E609" i="115"/>
  <c r="F613" i="115"/>
  <c r="B609" i="115"/>
  <c r="B608" i="115"/>
  <c r="B607" i="115"/>
  <c r="B606" i="115"/>
  <c r="B605" i="115"/>
  <c r="B604" i="115"/>
  <c r="B603" i="115"/>
  <c r="B602" i="115"/>
  <c r="F601" i="115"/>
  <c r="E41" i="119"/>
  <c r="B600" i="115"/>
  <c r="B599" i="115"/>
  <c r="B598" i="115"/>
  <c r="E597" i="115"/>
  <c r="B597" i="115"/>
  <c r="B596" i="115"/>
  <c r="B595" i="115"/>
  <c r="B594" i="115"/>
  <c r="B593" i="115"/>
  <c r="B592" i="115"/>
  <c r="B590" i="115"/>
  <c r="B589" i="115"/>
  <c r="B588" i="115"/>
  <c r="B587" i="115"/>
  <c r="B586" i="115"/>
  <c r="B585" i="115"/>
  <c r="B584" i="115"/>
  <c r="B583" i="115"/>
  <c r="B582" i="115"/>
  <c r="B581" i="115"/>
  <c r="B580" i="115"/>
  <c r="B579" i="115"/>
  <c r="B578" i="115"/>
  <c r="B577" i="115"/>
  <c r="B576" i="115"/>
  <c r="B575" i="115"/>
  <c r="B574" i="115"/>
  <c r="B573" i="115"/>
  <c r="B572" i="115"/>
  <c r="B571" i="115"/>
  <c r="B570" i="115"/>
  <c r="B569" i="115"/>
  <c r="B568" i="115"/>
  <c r="B567" i="115"/>
  <c r="B566" i="115"/>
  <c r="B565" i="115"/>
  <c r="B564" i="115"/>
  <c r="B561" i="115"/>
  <c r="B559" i="115"/>
  <c r="B558" i="115"/>
  <c r="B557" i="115"/>
  <c r="B555" i="115"/>
  <c r="B554" i="115"/>
  <c r="B553" i="115"/>
  <c r="B552" i="115"/>
  <c r="B556" i="115"/>
  <c r="B551" i="115"/>
  <c r="B550" i="115"/>
  <c r="B549" i="115"/>
  <c r="B548" i="115"/>
  <c r="B547" i="115"/>
  <c r="B546" i="115"/>
  <c r="B545" i="115"/>
  <c r="E544" i="115"/>
  <c r="F563" i="115"/>
  <c r="E40" i="119"/>
  <c r="B544" i="115"/>
  <c r="B543" i="115"/>
  <c r="B542" i="115"/>
  <c r="B541" i="115"/>
  <c r="B540" i="115"/>
  <c r="B539" i="115"/>
  <c r="B538" i="115"/>
  <c r="B537" i="115"/>
  <c r="F536" i="115"/>
  <c r="B536" i="115"/>
  <c r="B535" i="115"/>
  <c r="B534" i="115"/>
  <c r="B533" i="115"/>
  <c r="B532" i="115"/>
  <c r="B531" i="115"/>
  <c r="B530" i="115"/>
  <c r="B529" i="115"/>
  <c r="B528" i="115"/>
  <c r="B527" i="115"/>
  <c r="B526" i="115"/>
  <c r="B525" i="115"/>
  <c r="B523" i="115"/>
  <c r="B522" i="115"/>
  <c r="B521" i="115"/>
  <c r="B520" i="115"/>
  <c r="B519" i="115"/>
  <c r="B517" i="115"/>
  <c r="B516" i="115"/>
  <c r="B515" i="115"/>
  <c r="B514" i="115"/>
  <c r="B513" i="115"/>
  <c r="B512" i="115"/>
  <c r="B518" i="115"/>
  <c r="B511" i="115"/>
  <c r="B510" i="115"/>
  <c r="B509" i="115"/>
  <c r="B508" i="115"/>
  <c r="B507" i="115"/>
  <c r="F506" i="115"/>
  <c r="B506" i="115"/>
  <c r="B505" i="115"/>
  <c r="B504" i="115"/>
  <c r="B503" i="115"/>
  <c r="B502" i="115"/>
  <c r="B500" i="115"/>
  <c r="B499" i="115"/>
  <c r="B498" i="115"/>
  <c r="B497" i="115"/>
  <c r="B496" i="115"/>
  <c r="B495" i="115"/>
  <c r="B493" i="115"/>
  <c r="B492" i="115"/>
  <c r="B491" i="115"/>
  <c r="B490" i="115"/>
  <c r="B489" i="115"/>
  <c r="B488" i="115"/>
  <c r="B494" i="115"/>
  <c r="B487" i="115"/>
  <c r="B486" i="115"/>
  <c r="B485" i="115"/>
  <c r="B484" i="115"/>
  <c r="F483" i="115"/>
  <c r="E38" i="119"/>
  <c r="B482" i="115"/>
  <c r="B481" i="115"/>
  <c r="B480" i="115"/>
  <c r="B479" i="115"/>
  <c r="B478" i="115"/>
  <c r="E477" i="115"/>
  <c r="F524" i="115"/>
  <c r="B477" i="115"/>
  <c r="B476" i="115"/>
  <c r="B474" i="115"/>
  <c r="B473" i="115"/>
  <c r="B472" i="115"/>
  <c r="B471" i="115"/>
  <c r="B470" i="115"/>
  <c r="B469" i="115"/>
  <c r="B468" i="115"/>
  <c r="B467" i="115"/>
  <c r="B465" i="115"/>
  <c r="E463" i="115"/>
  <c r="F466" i="115"/>
  <c r="E37" i="119"/>
  <c r="B463" i="115"/>
  <c r="B462" i="115"/>
  <c r="B461" i="115"/>
  <c r="B460" i="115"/>
  <c r="B459" i="115"/>
  <c r="B458" i="115"/>
  <c r="B456" i="115"/>
  <c r="B455" i="115"/>
  <c r="B454" i="115"/>
  <c r="B453" i="115"/>
  <c r="B452" i="115"/>
  <c r="B451" i="115"/>
  <c r="B450" i="115"/>
  <c r="B449" i="115"/>
  <c r="B448" i="115"/>
  <c r="B447" i="115"/>
  <c r="B446" i="115"/>
  <c r="B445" i="115"/>
  <c r="B444" i="115"/>
  <c r="B443" i="115"/>
  <c r="B442" i="115"/>
  <c r="B441" i="115"/>
  <c r="E439" i="115"/>
  <c r="F457" i="115"/>
  <c r="B439" i="115"/>
  <c r="B438" i="115"/>
  <c r="B437" i="115"/>
  <c r="B436" i="115"/>
  <c r="B435" i="115"/>
  <c r="B434" i="115"/>
  <c r="B433" i="115"/>
  <c r="B432" i="115"/>
  <c r="B431" i="115"/>
  <c r="B430" i="115"/>
  <c r="B429" i="115"/>
  <c r="B428" i="115"/>
  <c r="B427" i="115"/>
  <c r="B426" i="115"/>
  <c r="B424" i="115"/>
  <c r="B423" i="115"/>
  <c r="B422" i="115"/>
  <c r="B421" i="115"/>
  <c r="B420" i="115"/>
  <c r="B419" i="115"/>
  <c r="B418" i="115"/>
  <c r="B417" i="115"/>
  <c r="B416" i="115"/>
  <c r="F415" i="115"/>
  <c r="B415" i="115"/>
  <c r="B414" i="115"/>
  <c r="B413" i="115"/>
  <c r="B412" i="115"/>
  <c r="B411" i="115"/>
  <c r="B410" i="115"/>
  <c r="B409" i="115"/>
  <c r="B407" i="115"/>
  <c r="B406" i="115"/>
  <c r="B405" i="115"/>
  <c r="B404" i="115"/>
  <c r="B403" i="115"/>
  <c r="B402" i="115"/>
  <c r="B401" i="115"/>
  <c r="B400" i="115"/>
  <c r="E399" i="115"/>
  <c r="B399" i="115"/>
  <c r="B398" i="115"/>
  <c r="B397" i="115"/>
  <c r="B395" i="115"/>
  <c r="B394" i="115"/>
  <c r="B393" i="115"/>
  <c r="E392" i="115"/>
  <c r="B392" i="115"/>
  <c r="B391" i="115"/>
  <c r="B390" i="115"/>
  <c r="B389" i="115"/>
  <c r="B396" i="115"/>
  <c r="B388" i="115"/>
  <c r="B387" i="115"/>
  <c r="B386" i="115"/>
  <c r="B383" i="115"/>
  <c r="B382" i="115"/>
  <c r="B379" i="115"/>
  <c r="B378" i="115"/>
  <c r="B377" i="115"/>
  <c r="B380" i="115"/>
  <c r="B376" i="115"/>
  <c r="B375" i="115"/>
  <c r="B374" i="115"/>
  <c r="B373" i="115"/>
  <c r="E372" i="115"/>
  <c r="B372" i="115"/>
  <c r="B371" i="115"/>
  <c r="B370" i="115"/>
  <c r="B369" i="115"/>
  <c r="B368" i="115"/>
  <c r="B367" i="115"/>
  <c r="B366" i="115"/>
  <c r="B365" i="115"/>
  <c r="B364" i="115"/>
  <c r="F363" i="115"/>
  <c r="B363" i="115"/>
  <c r="B362" i="115"/>
  <c r="B361" i="115"/>
  <c r="B360" i="115"/>
  <c r="B359" i="115"/>
  <c r="B358" i="115"/>
  <c r="B357" i="115"/>
  <c r="B356" i="115"/>
  <c r="B355" i="115"/>
  <c r="B354" i="115"/>
  <c r="B353" i="115"/>
  <c r="B352" i="115"/>
  <c r="F351" i="115"/>
  <c r="E33" i="119"/>
  <c r="B350" i="115"/>
  <c r="B349" i="115"/>
  <c r="B348" i="115"/>
  <c r="B347" i="115"/>
  <c r="B346" i="115"/>
  <c r="B345" i="115"/>
  <c r="B344" i="115"/>
  <c r="B343" i="115"/>
  <c r="B342" i="115"/>
  <c r="B341" i="115"/>
  <c r="F340" i="115"/>
  <c r="B340" i="115"/>
  <c r="B339" i="115"/>
  <c r="B338" i="115"/>
  <c r="B337" i="115"/>
  <c r="B336" i="115"/>
  <c r="B335" i="115"/>
  <c r="B334" i="115"/>
  <c r="B333" i="115"/>
  <c r="B332" i="115"/>
  <c r="B331" i="115"/>
  <c r="B330" i="115"/>
  <c r="B329" i="115"/>
  <c r="B328" i="115"/>
  <c r="B327" i="115"/>
  <c r="B326" i="115"/>
  <c r="B325" i="115"/>
  <c r="E324" i="115"/>
  <c r="B324" i="115"/>
  <c r="E323" i="115"/>
  <c r="B323" i="115"/>
  <c r="B321" i="115"/>
  <c r="B320" i="115"/>
  <c r="B319" i="115"/>
  <c r="B318" i="115"/>
  <c r="B317" i="115"/>
  <c r="B315" i="115"/>
  <c r="B314" i="115"/>
  <c r="B313" i="115"/>
  <c r="B312" i="115"/>
  <c r="B311" i="115"/>
  <c r="B310" i="115"/>
  <c r="E307" i="115"/>
  <c r="F316" i="115"/>
  <c r="E32" i="119"/>
  <c r="B307" i="115"/>
  <c r="B306" i="115"/>
  <c r="B305" i="115"/>
  <c r="B304" i="115"/>
  <c r="B303" i="115"/>
  <c r="B302" i="115"/>
  <c r="B301" i="115"/>
  <c r="B300" i="115"/>
  <c r="B298" i="115"/>
  <c r="B297" i="115"/>
  <c r="B296" i="115"/>
  <c r="B295" i="115"/>
  <c r="B294" i="115"/>
  <c r="B293" i="115"/>
  <c r="B292" i="115"/>
  <c r="B291" i="115"/>
  <c r="B290" i="115"/>
  <c r="B289" i="115"/>
  <c r="B288" i="115"/>
  <c r="B287" i="115"/>
  <c r="B286" i="115"/>
  <c r="B285" i="115"/>
  <c r="B284" i="115"/>
  <c r="B281" i="115"/>
  <c r="F278" i="115"/>
  <c r="B278" i="115"/>
  <c r="B277" i="115"/>
  <c r="B276" i="115"/>
  <c r="B275" i="115"/>
  <c r="B274" i="115"/>
  <c r="B273" i="115"/>
  <c r="B271" i="115"/>
  <c r="E269" i="115"/>
  <c r="F299" i="115"/>
  <c r="B269" i="115"/>
  <c r="B268" i="115"/>
  <c r="B267" i="115"/>
  <c r="B264" i="115"/>
  <c r="F263" i="115"/>
  <c r="E29" i="119"/>
  <c r="F261" i="115"/>
  <c r="B261" i="115"/>
  <c r="B260" i="115"/>
  <c r="B258" i="115"/>
  <c r="E256" i="115"/>
  <c r="F280" i="115"/>
  <c r="B256" i="115"/>
  <c r="B255" i="115"/>
  <c r="B254" i="115"/>
  <c r="B250" i="115"/>
  <c r="F249" i="115"/>
  <c r="E28" i="119"/>
  <c r="B247" i="115"/>
  <c r="B246" i="115"/>
  <c r="B245" i="115"/>
  <c r="F242" i="115"/>
  <c r="B242" i="115"/>
  <c r="B241" i="115"/>
  <c r="B240" i="115"/>
  <c r="F239" i="115"/>
  <c r="E27" i="119"/>
  <c r="F238" i="115"/>
  <c r="B238" i="115"/>
  <c r="B237" i="115"/>
  <c r="B236" i="115"/>
  <c r="B235" i="115"/>
  <c r="B234" i="115"/>
  <c r="B231" i="115"/>
  <c r="B229" i="115"/>
  <c r="B228" i="115"/>
  <c r="B227" i="115"/>
  <c r="B226" i="115"/>
  <c r="F224" i="115"/>
  <c r="B224" i="115"/>
  <c r="B223" i="115"/>
  <c r="B222" i="115"/>
  <c r="B221" i="115"/>
  <c r="E217" i="115"/>
  <c r="B217" i="115"/>
  <c r="B216" i="115"/>
  <c r="E214" i="115"/>
  <c r="B214" i="115"/>
  <c r="B213" i="115"/>
  <c r="B212" i="115"/>
  <c r="F211" i="115"/>
  <c r="E25" i="119"/>
  <c r="B208" i="115"/>
  <c r="B207" i="115"/>
  <c r="F206" i="115"/>
  <c r="E24" i="119"/>
  <c r="B205" i="115"/>
  <c r="F202" i="115"/>
  <c r="B202" i="115"/>
  <c r="B201" i="115"/>
  <c r="F199" i="115"/>
  <c r="B199" i="115"/>
  <c r="B198" i="115"/>
  <c r="B197" i="115"/>
  <c r="B196" i="115"/>
  <c r="B193" i="115"/>
  <c r="F191" i="115"/>
  <c r="B191" i="115"/>
  <c r="F190" i="115"/>
  <c r="B190" i="115"/>
  <c r="B189" i="115"/>
  <c r="B188" i="115"/>
  <c r="B187" i="115"/>
  <c r="B185" i="115"/>
  <c r="E182" i="115"/>
  <c r="F195" i="115"/>
  <c r="B182" i="115"/>
  <c r="B181" i="115"/>
  <c r="B180" i="115"/>
  <c r="B179" i="115"/>
  <c r="F178" i="115"/>
  <c r="B178" i="115"/>
  <c r="B177" i="115"/>
  <c r="B176" i="115"/>
  <c r="F175" i="115"/>
  <c r="E22" i="119"/>
  <c r="F173" i="115"/>
  <c r="B173" i="115"/>
  <c r="B172" i="115"/>
  <c r="B171" i="115"/>
  <c r="F167" i="115"/>
  <c r="B167" i="115"/>
  <c r="B166" i="115"/>
  <c r="B165" i="115"/>
  <c r="B164" i="115"/>
  <c r="B163" i="115"/>
  <c r="F162" i="115"/>
  <c r="E21" i="119"/>
  <c r="B161" i="115"/>
  <c r="B160" i="115"/>
  <c r="B156" i="115"/>
  <c r="F155" i="115"/>
  <c r="E20" i="119"/>
  <c r="B154" i="115"/>
  <c r="B151" i="115"/>
  <c r="F150" i="115"/>
  <c r="E19" i="119"/>
  <c r="B149" i="115"/>
  <c r="B146" i="115"/>
  <c r="F145" i="115"/>
  <c r="E18" i="119"/>
  <c r="B144" i="115"/>
  <c r="B141" i="115"/>
  <c r="B140" i="115"/>
  <c r="B139" i="115"/>
  <c r="B138" i="115"/>
  <c r="B137" i="115"/>
  <c r="F136" i="115"/>
  <c r="E17" i="119"/>
  <c r="B135" i="115"/>
  <c r="B134" i="115"/>
  <c r="F131" i="115"/>
  <c r="B131" i="115"/>
  <c r="B130" i="115"/>
  <c r="B129" i="115"/>
  <c r="B128" i="115"/>
  <c r="B127" i="115"/>
  <c r="F126" i="115"/>
  <c r="E16" i="119"/>
  <c r="B125" i="115"/>
  <c r="B124" i="115"/>
  <c r="B122" i="115"/>
  <c r="F121" i="115"/>
  <c r="B121" i="115"/>
  <c r="B120" i="115"/>
  <c r="B118" i="115"/>
  <c r="B117" i="115"/>
  <c r="B119" i="115"/>
  <c r="B116" i="115"/>
  <c r="B115" i="115"/>
  <c r="F114" i="115"/>
  <c r="E15" i="119"/>
  <c r="B113" i="115"/>
  <c r="B111" i="115"/>
  <c r="B110" i="115"/>
  <c r="B109" i="115"/>
  <c r="F108" i="115"/>
  <c r="E14" i="119"/>
  <c r="B107" i="115"/>
  <c r="B106" i="115"/>
  <c r="B105" i="115"/>
  <c r="B103" i="115"/>
  <c r="F102" i="115"/>
  <c r="E13" i="119"/>
  <c r="B101" i="115"/>
  <c r="B100" i="115"/>
  <c r="B99" i="115"/>
  <c r="B97" i="115"/>
  <c r="F96" i="115"/>
  <c r="B94" i="115"/>
  <c r="B92" i="115"/>
  <c r="B91" i="115"/>
  <c r="F90" i="115"/>
  <c r="E11" i="119"/>
  <c r="B89" i="115"/>
  <c r="B87" i="115"/>
  <c r="B86" i="115"/>
  <c r="B84" i="115"/>
  <c r="B83" i="115"/>
  <c r="B82" i="115"/>
  <c r="B81" i="115"/>
  <c r="F80" i="115"/>
  <c r="E10" i="119"/>
  <c r="B79" i="115"/>
  <c r="B78" i="115"/>
  <c r="B77" i="115"/>
  <c r="B95" i="115"/>
  <c r="B75" i="115"/>
  <c r="F74" i="115"/>
  <c r="E9" i="119"/>
  <c r="B73" i="115"/>
  <c r="B72" i="115"/>
  <c r="B71" i="115"/>
  <c r="B70" i="115"/>
  <c r="B68" i="115"/>
  <c r="B67" i="115"/>
  <c r="B66" i="115"/>
  <c r="B65" i="115"/>
  <c r="B64" i="115"/>
  <c r="B63" i="115"/>
  <c r="B62" i="115"/>
  <c r="F61" i="115"/>
  <c r="E8" i="119"/>
  <c r="B60" i="115"/>
  <c r="B59" i="115"/>
  <c r="B57" i="115"/>
  <c r="B56" i="115"/>
  <c r="B55" i="115"/>
  <c r="B54" i="115"/>
  <c r="F53" i="115"/>
  <c r="E7" i="119"/>
  <c r="B52" i="115"/>
  <c r="B51" i="115"/>
  <c r="B50" i="115"/>
  <c r="B49" i="115"/>
  <c r="B47" i="115"/>
  <c r="F46" i="115"/>
  <c r="E6" i="119"/>
  <c r="B45" i="115"/>
  <c r="B43" i="115"/>
  <c r="B41" i="115"/>
  <c r="B39" i="115"/>
  <c r="B38" i="115"/>
  <c r="B37" i="115"/>
  <c r="B36" i="115"/>
  <c r="B35" i="115"/>
  <c r="B33" i="115"/>
  <c r="E32" i="115"/>
  <c r="F42" i="115"/>
  <c r="B32" i="115"/>
  <c r="B31" i="115"/>
  <c r="B30" i="115"/>
  <c r="B29" i="115"/>
  <c r="F28" i="115"/>
  <c r="B28" i="115"/>
  <c r="B27" i="115"/>
  <c r="B26" i="115"/>
  <c r="B24" i="115"/>
  <c r="B23" i="115"/>
  <c r="B22" i="115"/>
  <c r="B21" i="115"/>
  <c r="B20" i="115"/>
  <c r="F19" i="115"/>
  <c r="B19" i="115"/>
  <c r="B18" i="115"/>
  <c r="B17" i="115"/>
  <c r="B16" i="115"/>
  <c r="B15" i="115"/>
  <c r="F14" i="115"/>
  <c r="B13" i="115"/>
  <c r="B12" i="115"/>
  <c r="E11" i="115"/>
  <c r="F34" i="115"/>
  <c r="B11" i="115"/>
  <c r="B10" i="115"/>
  <c r="B7" i="115"/>
  <c r="B8" i="115"/>
  <c r="B5" i="115"/>
  <c r="B4" i="115"/>
  <c r="B3" i="115"/>
  <c r="D273" i="116"/>
  <c r="B226" i="116"/>
  <c r="B225" i="116"/>
  <c r="B224" i="116"/>
  <c r="B223" i="116"/>
  <c r="F222" i="116"/>
  <c r="B222" i="116"/>
  <c r="B221" i="116"/>
  <c r="B220" i="116"/>
  <c r="B219" i="116"/>
  <c r="B218" i="116"/>
  <c r="B217" i="116"/>
  <c r="B216" i="116"/>
  <c r="B215" i="116"/>
  <c r="B214" i="116"/>
  <c r="B213" i="116"/>
  <c r="B212" i="116"/>
  <c r="B211" i="116"/>
  <c r="B210" i="116"/>
  <c r="B209" i="116"/>
  <c r="B208" i="116"/>
  <c r="B207" i="116"/>
  <c r="B206" i="116"/>
  <c r="B205" i="116"/>
  <c r="B204" i="116"/>
  <c r="B203" i="116"/>
  <c r="B202" i="116"/>
  <c r="B201" i="116"/>
  <c r="B200" i="116"/>
  <c r="B199" i="116"/>
  <c r="B198" i="116"/>
  <c r="B197" i="116"/>
  <c r="B196" i="116"/>
  <c r="B195" i="116"/>
  <c r="B194" i="116"/>
  <c r="B193" i="116"/>
  <c r="B192" i="116"/>
  <c r="B191" i="116"/>
  <c r="B190" i="116"/>
  <c r="B189" i="116"/>
  <c r="B187" i="116"/>
  <c r="B186" i="116"/>
  <c r="B185" i="116"/>
  <c r="B184" i="116"/>
  <c r="B183" i="116"/>
  <c r="B182" i="116"/>
  <c r="B181" i="116"/>
  <c r="B180" i="116"/>
  <c r="B179" i="116"/>
  <c r="B178" i="116"/>
  <c r="B177" i="116"/>
  <c r="B176" i="116"/>
  <c r="B175" i="116"/>
  <c r="B174" i="116"/>
  <c r="F173" i="116"/>
  <c r="B173" i="116"/>
  <c r="B172" i="116"/>
  <c r="B171" i="116"/>
  <c r="B170" i="116"/>
  <c r="B169" i="116"/>
  <c r="B168" i="116"/>
  <c r="B167" i="116"/>
  <c r="B166" i="116"/>
  <c r="B165" i="116"/>
  <c r="B164" i="116"/>
  <c r="B163" i="116"/>
  <c r="B162" i="116"/>
  <c r="B161" i="116"/>
  <c r="B160" i="116"/>
  <c r="B159" i="116"/>
  <c r="B158" i="116"/>
  <c r="E156" i="116"/>
  <c r="B156" i="116"/>
  <c r="B155" i="116"/>
  <c r="B154" i="116"/>
  <c r="B153" i="116"/>
  <c r="B152" i="116"/>
  <c r="B151" i="116"/>
  <c r="B150" i="116"/>
  <c r="B149" i="116"/>
  <c r="B148" i="116"/>
  <c r="B147" i="116"/>
  <c r="B146" i="116"/>
  <c r="B157" i="116"/>
  <c r="B145" i="116"/>
  <c r="B144" i="116"/>
  <c r="B143" i="116"/>
  <c r="B141" i="116"/>
  <c r="B140" i="116"/>
  <c r="B139" i="116"/>
  <c r="B138" i="116"/>
  <c r="B137" i="116"/>
  <c r="B136" i="116"/>
  <c r="E135" i="116"/>
  <c r="B135" i="116"/>
  <c r="B133" i="116"/>
  <c r="B132" i="116"/>
  <c r="B131" i="116"/>
  <c r="B130" i="116"/>
  <c r="B129" i="116"/>
  <c r="E128" i="116"/>
  <c r="B128" i="116"/>
  <c r="B127" i="116"/>
  <c r="B126" i="116"/>
  <c r="B125" i="116"/>
  <c r="B124" i="116"/>
  <c r="B123" i="116"/>
  <c r="B122" i="116"/>
  <c r="B121" i="116"/>
  <c r="F120" i="116"/>
  <c r="B120" i="116"/>
  <c r="B119" i="116"/>
  <c r="B118" i="116"/>
  <c r="B117" i="116"/>
  <c r="E116" i="116"/>
  <c r="B116" i="116"/>
  <c r="B115" i="116"/>
  <c r="B114" i="116"/>
  <c r="B113" i="116"/>
  <c r="B112" i="116"/>
  <c r="B111" i="116"/>
  <c r="F110" i="116"/>
  <c r="B110" i="116"/>
  <c r="B109" i="116"/>
  <c r="B108" i="116"/>
  <c r="B107" i="116"/>
  <c r="B106" i="116"/>
  <c r="B105" i="116"/>
  <c r="B104" i="116"/>
  <c r="B103" i="116"/>
  <c r="C102" i="116"/>
  <c r="B102" i="116"/>
  <c r="B101" i="116"/>
  <c r="B100" i="116"/>
  <c r="B99" i="116"/>
  <c r="B98" i="116"/>
  <c r="B97" i="116"/>
  <c r="B96" i="116"/>
  <c r="B95" i="116"/>
  <c r="F93" i="116"/>
  <c r="B93" i="116"/>
  <c r="B92" i="116"/>
  <c r="B91" i="116"/>
  <c r="B90" i="116"/>
  <c r="B89" i="116"/>
  <c r="B88" i="116"/>
  <c r="B86" i="116"/>
  <c r="B85" i="116"/>
  <c r="B84" i="116"/>
  <c r="B83" i="116"/>
  <c r="B81" i="116"/>
  <c r="B78" i="116"/>
  <c r="B77" i="116"/>
  <c r="B76" i="116"/>
  <c r="B75" i="116"/>
  <c r="B73" i="116"/>
  <c r="B72" i="116"/>
  <c r="B80" i="116"/>
  <c r="B71" i="116"/>
  <c r="B70" i="116"/>
  <c r="B69" i="116"/>
  <c r="B68" i="116"/>
  <c r="B67" i="116"/>
  <c r="B66" i="116"/>
  <c r="B64" i="116"/>
  <c r="B63" i="116"/>
  <c r="B62" i="116"/>
  <c r="B60" i="116"/>
  <c r="B59" i="116"/>
  <c r="B57" i="116"/>
  <c r="B56" i="116"/>
  <c r="B54" i="116"/>
  <c r="B53" i="116"/>
  <c r="B51" i="116"/>
  <c r="B49" i="116"/>
  <c r="F48" i="116"/>
  <c r="B48" i="116"/>
  <c r="B46" i="116"/>
  <c r="B45" i="116"/>
  <c r="B43" i="116"/>
  <c r="B42" i="116"/>
  <c r="B40" i="116"/>
  <c r="B39" i="116"/>
  <c r="B38" i="116"/>
  <c r="B37" i="116"/>
  <c r="B36" i="116"/>
  <c r="B35" i="116"/>
  <c r="B33" i="116"/>
  <c r="B32" i="116"/>
  <c r="B31" i="116"/>
  <c r="B34" i="116"/>
  <c r="B30" i="116"/>
  <c r="B29" i="116"/>
  <c r="B28" i="116"/>
  <c r="B26" i="116"/>
  <c r="B25" i="116"/>
  <c r="B23" i="116"/>
  <c r="B22" i="116"/>
  <c r="B20" i="116"/>
  <c r="B18" i="116"/>
  <c r="B16" i="116"/>
  <c r="B15" i="116"/>
  <c r="B4" i="116"/>
  <c r="B3" i="116"/>
  <c r="D1706" i="97"/>
  <c r="E1560" i="97"/>
  <c r="E1547" i="97"/>
  <c r="E1533" i="97"/>
  <c r="E1523" i="97"/>
  <c r="E1522" i="97"/>
  <c r="E1514" i="97"/>
  <c r="E1506" i="97"/>
  <c r="E1505" i="97"/>
  <c r="E1498" i="97"/>
  <c r="E1497" i="97"/>
  <c r="E1491" i="97"/>
  <c r="E1490" i="97"/>
  <c r="B1488" i="97"/>
  <c r="E1484" i="97"/>
  <c r="B1484" i="97"/>
  <c r="E1483" i="97"/>
  <c r="B1483" i="97"/>
  <c r="B1482" i="97"/>
  <c r="B1481" i="97"/>
  <c r="E1477" i="97"/>
  <c r="B1477" i="97"/>
  <c r="E1476" i="97"/>
  <c r="B1476" i="97"/>
  <c r="B1475" i="97"/>
  <c r="B1474" i="97"/>
  <c r="B1473" i="97"/>
  <c r="E1469" i="97"/>
  <c r="F1472" i="97" s="1"/>
  <c r="B1469" i="97"/>
  <c r="B1468" i="97"/>
  <c r="B1467" i="97"/>
  <c r="B1466" i="97"/>
  <c r="E1462" i="97"/>
  <c r="F1465" i="97" s="1"/>
  <c r="B1462" i="97"/>
  <c r="B1461" i="97"/>
  <c r="E1457" i="97"/>
  <c r="F1460" i="97" s="1"/>
  <c r="D50" i="119" s="1"/>
  <c r="B1457" i="97"/>
  <c r="B1456" i="97"/>
  <c r="E1452" i="97"/>
  <c r="F1455" i="97" s="1"/>
  <c r="B1452" i="97"/>
  <c r="B1451" i="97"/>
  <c r="E1447" i="97"/>
  <c r="F1450" i="97" s="1"/>
  <c r="B1447" i="97"/>
  <c r="B1446" i="97"/>
  <c r="E1442" i="97"/>
  <c r="F1445" i="97" s="1"/>
  <c r="B1442" i="97"/>
  <c r="B1441" i="97"/>
  <c r="B1437" i="97"/>
  <c r="E1436" i="97"/>
  <c r="B1436" i="97"/>
  <c r="E1435" i="97"/>
  <c r="B1435" i="97"/>
  <c r="E1434" i="97"/>
  <c r="B1434" i="97"/>
  <c r="B1433" i="97"/>
  <c r="E1429" i="97"/>
  <c r="B1429" i="97"/>
  <c r="B1428" i="97"/>
  <c r="E1427" i="97"/>
  <c r="B1427" i="97"/>
  <c r="E1426" i="97"/>
  <c r="B1426" i="97"/>
  <c r="E1425" i="97"/>
  <c r="B1425" i="97"/>
  <c r="B1424" i="97"/>
  <c r="E1420" i="97"/>
  <c r="B1420" i="97"/>
  <c r="E1419" i="97"/>
  <c r="B1419" i="97"/>
  <c r="E1418" i="97"/>
  <c r="B1418" i="97"/>
  <c r="B1417" i="97"/>
  <c r="E1416" i="97"/>
  <c r="B1416" i="97"/>
  <c r="E1415" i="97"/>
  <c r="B1415" i="97"/>
  <c r="E1414" i="97"/>
  <c r="B1414" i="97"/>
  <c r="B1413" i="97"/>
  <c r="E1411" i="97"/>
  <c r="B1411" i="97"/>
  <c r="B1409" i="97"/>
  <c r="E1408" i="97"/>
  <c r="B1408" i="97"/>
  <c r="E1407" i="97"/>
  <c r="B1407" i="97"/>
  <c r="E1406" i="97"/>
  <c r="B1406" i="97"/>
  <c r="B1405" i="97"/>
  <c r="E1404" i="97"/>
  <c r="B1404" i="97"/>
  <c r="E1403" i="97"/>
  <c r="B1403" i="97"/>
  <c r="B1402" i="97"/>
  <c r="B1401" i="97"/>
  <c r="B1400" i="97"/>
  <c r="E1399" i="97"/>
  <c r="B1399" i="97"/>
  <c r="E1398" i="97"/>
  <c r="B1398" i="97"/>
  <c r="B1397" i="97"/>
  <c r="E1394" i="97"/>
  <c r="B1394" i="97"/>
  <c r="B1391" i="97"/>
  <c r="E1390" i="97"/>
  <c r="B1390" i="97"/>
  <c r="B1389" i="97"/>
  <c r="E1388" i="97"/>
  <c r="B1388" i="97"/>
  <c r="E1387" i="97"/>
  <c r="B1387" i="97"/>
  <c r="E1386" i="97"/>
  <c r="B1386" i="97"/>
  <c r="E1385" i="97"/>
  <c r="B1385" i="97"/>
  <c r="B1384" i="97"/>
  <c r="E1382" i="97"/>
  <c r="B1382" i="97"/>
  <c r="B1380" i="97"/>
  <c r="E1379" i="97"/>
  <c r="B1379" i="97"/>
  <c r="B1378" i="97"/>
  <c r="E1377" i="97"/>
  <c r="B1377" i="97"/>
  <c r="B1376" i="97"/>
  <c r="E1375" i="97"/>
  <c r="B1375" i="97"/>
  <c r="B1374" i="97"/>
  <c r="E1372" i="97"/>
  <c r="B1372" i="97"/>
  <c r="B1369" i="97"/>
  <c r="E1368" i="97"/>
  <c r="B1368" i="97"/>
  <c r="E1367" i="97"/>
  <c r="B1367" i="97"/>
  <c r="B1366" i="97"/>
  <c r="E1365" i="97"/>
  <c r="B1365" i="97"/>
  <c r="E1364" i="97"/>
  <c r="B1364" i="97"/>
  <c r="B1363" i="97"/>
  <c r="B1359" i="97"/>
  <c r="B1358" i="97"/>
  <c r="B1357" i="97"/>
  <c r="B1356" i="97"/>
  <c r="B1355" i="97"/>
  <c r="E1354" i="97"/>
  <c r="B1354" i="97"/>
  <c r="E1353" i="97"/>
  <c r="B1353" i="97"/>
  <c r="B1352" i="97"/>
  <c r="E1351" i="97"/>
  <c r="B1351" i="97"/>
  <c r="E1350" i="97"/>
  <c r="B1350" i="97"/>
  <c r="B1349" i="97"/>
  <c r="B1348" i="97"/>
  <c r="E1344" i="97"/>
  <c r="B1344" i="97"/>
  <c r="E1343" i="97"/>
  <c r="B1343" i="97"/>
  <c r="E1342" i="97"/>
  <c r="B1342" i="97"/>
  <c r="E1341" i="97"/>
  <c r="B1341" i="97"/>
  <c r="E1340" i="97"/>
  <c r="B1340" i="97"/>
  <c r="E1339" i="97"/>
  <c r="B1339" i="97"/>
  <c r="E1338" i="97"/>
  <c r="B1338" i="97"/>
  <c r="B1337" i="97"/>
  <c r="E1334" i="97"/>
  <c r="B1334" i="97"/>
  <c r="E1333" i="97"/>
  <c r="B1333" i="97"/>
  <c r="B1330" i="97"/>
  <c r="E1329" i="97"/>
  <c r="B1329" i="97"/>
  <c r="E1328" i="97"/>
  <c r="B1328" i="97"/>
  <c r="B1327" i="97"/>
  <c r="E1326" i="97"/>
  <c r="B1326" i="97"/>
  <c r="B1325" i="97"/>
  <c r="B1324" i="97"/>
  <c r="B1321" i="97"/>
  <c r="E1320" i="97"/>
  <c r="B1320" i="97"/>
  <c r="E1318" i="97"/>
  <c r="B1318" i="97"/>
  <c r="B1316" i="97"/>
  <c r="E1315" i="97"/>
  <c r="B1315" i="97"/>
  <c r="E1314" i="97"/>
  <c r="B1314" i="97"/>
  <c r="B1313" i="97"/>
  <c r="E1312" i="97"/>
  <c r="B1312" i="97"/>
  <c r="E1311" i="97"/>
  <c r="B1311" i="97"/>
  <c r="B1310" i="97"/>
  <c r="B1309" i="97"/>
  <c r="E1306" i="97"/>
  <c r="B1306" i="97"/>
  <c r="B1305" i="97"/>
  <c r="E1303" i="97"/>
  <c r="B1303" i="97"/>
  <c r="D1301" i="97"/>
  <c r="C1301" i="97"/>
  <c r="B1301" i="97"/>
  <c r="B1300" i="97"/>
  <c r="E1299" i="97"/>
  <c r="B1299" i="97"/>
  <c r="E1298" i="97"/>
  <c r="B1298" i="97"/>
  <c r="B1297" i="97"/>
  <c r="B1296" i="97"/>
  <c r="E1295" i="97"/>
  <c r="B1295" i="97"/>
  <c r="B1294" i="97"/>
  <c r="B1293" i="97"/>
  <c r="E1292" i="97"/>
  <c r="B1292" i="97"/>
  <c r="B1291" i="97"/>
  <c r="B1288" i="97"/>
  <c r="E1287" i="97"/>
  <c r="B1287" i="97"/>
  <c r="E1285" i="97"/>
  <c r="B1285" i="97"/>
  <c r="B1284" i="97"/>
  <c r="B1282" i="97"/>
  <c r="B1281" i="97"/>
  <c r="B1280" i="97"/>
  <c r="E1279" i="97"/>
  <c r="B1279" i="97"/>
  <c r="E1278" i="97"/>
  <c r="B1278" i="97"/>
  <c r="B1277" i="97"/>
  <c r="B1276" i="97"/>
  <c r="E1275" i="97"/>
  <c r="B1275" i="97"/>
  <c r="B1274" i="97"/>
  <c r="B1273" i="97"/>
  <c r="B1272" i="97"/>
  <c r="B1271" i="97"/>
  <c r="E1270" i="97"/>
  <c r="B1270" i="97"/>
  <c r="B1269" i="97"/>
  <c r="B1266" i="97"/>
  <c r="B1265" i="97"/>
  <c r="B1264" i="97"/>
  <c r="B1263" i="97"/>
  <c r="B1262" i="97"/>
  <c r="B1261" i="97"/>
  <c r="B1260" i="97"/>
  <c r="B1259" i="97"/>
  <c r="E1257" i="97"/>
  <c r="B1257" i="97"/>
  <c r="B1256" i="97"/>
  <c r="E1254" i="97"/>
  <c r="B1254" i="97"/>
  <c r="B1253" i="97"/>
  <c r="B1251" i="97"/>
  <c r="E1250" i="97"/>
  <c r="B1250" i="97"/>
  <c r="E1249" i="97"/>
  <c r="B1249" i="97"/>
  <c r="E1248" i="97"/>
  <c r="B1248" i="97"/>
  <c r="B1247" i="97"/>
  <c r="B1245" i="97"/>
  <c r="B1244" i="97"/>
  <c r="B1243" i="97"/>
  <c r="B1242" i="97"/>
  <c r="B1241" i="97"/>
  <c r="B1240" i="97"/>
  <c r="F1239" i="97"/>
  <c r="B1239" i="97"/>
  <c r="F1238" i="97"/>
  <c r="B1237" i="97"/>
  <c r="B1236" i="97"/>
  <c r="B1235" i="97"/>
  <c r="E1234" i="97"/>
  <c r="B1234" i="97"/>
  <c r="B1233" i="97"/>
  <c r="B1231" i="97"/>
  <c r="E1230" i="97"/>
  <c r="B1230" i="97"/>
  <c r="F1229" i="97"/>
  <c r="B1229" i="97"/>
  <c r="F1228" i="97"/>
  <c r="B1228" i="97"/>
  <c r="B1227" i="97"/>
  <c r="E1226" i="97"/>
  <c r="B1226" i="97"/>
  <c r="B1225" i="97"/>
  <c r="B1223" i="97"/>
  <c r="B1222" i="97"/>
  <c r="B1221" i="97"/>
  <c r="E1220" i="97"/>
  <c r="B1220" i="97"/>
  <c r="B1219" i="97"/>
  <c r="F1218" i="97"/>
  <c r="B1218" i="97"/>
  <c r="F1217" i="97"/>
  <c r="B1217" i="97"/>
  <c r="B1215" i="97"/>
  <c r="E1214" i="97"/>
  <c r="B1214" i="97"/>
  <c r="B1213" i="97"/>
  <c r="B1212" i="97"/>
  <c r="E1211" i="97"/>
  <c r="B1211" i="97"/>
  <c r="F1210" i="97"/>
  <c r="D30" i="119" s="1"/>
  <c r="B1209" i="97"/>
  <c r="B1208" i="97"/>
  <c r="B1207" i="97"/>
  <c r="B1206" i="97"/>
  <c r="B1205" i="97"/>
  <c r="B1204" i="97"/>
  <c r="F1203" i="97"/>
  <c r="B1203" i="97"/>
  <c r="B1202" i="97"/>
  <c r="B1201" i="97"/>
  <c r="B1200" i="97"/>
  <c r="B1199" i="97"/>
  <c r="B1198" i="97"/>
  <c r="B1197" i="97"/>
  <c r="B1196" i="97"/>
  <c r="B1195" i="97"/>
  <c r="B1194" i="97"/>
  <c r="B1193" i="97"/>
  <c r="B1192" i="97"/>
  <c r="B1191" i="97"/>
  <c r="B1190" i="97"/>
  <c r="B1189" i="97"/>
  <c r="B1188" i="97"/>
  <c r="B1187" i="97"/>
  <c r="B1186" i="97"/>
  <c r="B1185" i="97"/>
  <c r="B1184" i="97"/>
  <c r="B1183" i="97"/>
  <c r="B1182" i="97"/>
  <c r="B1181" i="97"/>
  <c r="B1180" i="97"/>
  <c r="F1179" i="97"/>
  <c r="B1179" i="97"/>
  <c r="F1178" i="97"/>
  <c r="B1178" i="97"/>
  <c r="F1177" i="97"/>
  <c r="B1177" i="97"/>
  <c r="B1175" i="97"/>
  <c r="B1174" i="97"/>
  <c r="B1173" i="97"/>
  <c r="B1172" i="97"/>
  <c r="B1171" i="97"/>
  <c r="B1170" i="97"/>
  <c r="F1169" i="97"/>
  <c r="D29" i="119" s="1"/>
  <c r="B1168" i="97"/>
  <c r="B1167" i="97"/>
  <c r="F1166" i="97"/>
  <c r="B1166" i="97"/>
  <c r="F1165" i="97"/>
  <c r="B1165" i="97"/>
  <c r="B1163" i="97"/>
  <c r="B1162" i="97"/>
  <c r="B1159" i="97"/>
  <c r="B1158" i="97"/>
  <c r="B1157" i="97"/>
  <c r="F1156" i="97"/>
  <c r="B1156" i="97"/>
  <c r="F1155" i="97"/>
  <c r="B1155" i="97"/>
  <c r="E1153" i="97"/>
  <c r="B1153" i="97"/>
  <c r="D1152" i="97"/>
  <c r="C1152" i="97"/>
  <c r="B1152" i="97"/>
  <c r="B1151" i="97"/>
  <c r="B1150" i="97"/>
  <c r="E1149" i="97"/>
  <c r="B1149" i="97"/>
  <c r="B1148" i="97"/>
  <c r="B1147" i="97"/>
  <c r="B1146" i="97"/>
  <c r="B1145" i="97"/>
  <c r="D1144" i="97"/>
  <c r="B1144" i="97"/>
  <c r="F1143" i="97"/>
  <c r="B1143" i="97"/>
  <c r="B1142" i="97"/>
  <c r="B1141" i="97"/>
  <c r="F1140" i="97"/>
  <c r="D27" i="119" s="1"/>
  <c r="B1139" i="97"/>
  <c r="B1138" i="97"/>
  <c r="F1137" i="97"/>
  <c r="B1137" i="97"/>
  <c r="F1136" i="97"/>
  <c r="B1136" i="97"/>
  <c r="B1134" i="97"/>
  <c r="B1133" i="97"/>
  <c r="B1132" i="97"/>
  <c r="F1131" i="97"/>
  <c r="D26" i="119" s="1"/>
  <c r="B1130" i="97"/>
  <c r="B1129" i="97"/>
  <c r="B1127" i="97"/>
  <c r="B1126" i="97"/>
  <c r="B1124" i="97"/>
  <c r="B1123" i="97"/>
  <c r="E1121" i="97"/>
  <c r="B1121" i="97"/>
  <c r="E1120" i="97"/>
  <c r="B1120" i="97"/>
  <c r="E1119" i="97"/>
  <c r="B1119" i="97"/>
  <c r="E1118" i="97"/>
  <c r="B1118" i="97"/>
  <c r="E1117" i="97"/>
  <c r="B1117" i="97"/>
  <c r="E1116" i="97"/>
  <c r="B1116" i="97"/>
  <c r="E1115" i="97"/>
  <c r="B1115" i="97"/>
  <c r="E1114" i="97"/>
  <c r="B1114" i="97"/>
  <c r="E1113" i="97"/>
  <c r="B1113" i="97"/>
  <c r="E1112" i="97"/>
  <c r="B1112" i="97"/>
  <c r="E1111" i="97"/>
  <c r="B1111" i="97"/>
  <c r="E1110" i="97"/>
  <c r="B1110" i="97"/>
  <c r="E1109" i="97"/>
  <c r="B1109" i="97"/>
  <c r="E1108" i="97"/>
  <c r="B1108" i="97"/>
  <c r="B1107" i="97"/>
  <c r="B1106" i="97"/>
  <c r="B1105" i="97"/>
  <c r="E1103" i="97"/>
  <c r="B1103" i="97"/>
  <c r="B1102" i="97"/>
  <c r="B1101" i="97"/>
  <c r="B1100" i="97"/>
  <c r="B1099" i="97"/>
  <c r="B1097" i="97"/>
  <c r="B1096" i="97"/>
  <c r="E1094" i="97"/>
  <c r="F1104" i="97" s="1"/>
  <c r="B1094" i="97"/>
  <c r="B1093" i="97"/>
  <c r="B1092" i="97"/>
  <c r="B1091" i="97"/>
  <c r="B1090" i="97"/>
  <c r="B1088" i="97"/>
  <c r="B1087" i="97"/>
  <c r="E1085" i="97"/>
  <c r="F1095" i="97" s="1"/>
  <c r="D23" i="119" s="1"/>
  <c r="B1085" i="97"/>
  <c r="B1084" i="97"/>
  <c r="B1083" i="97"/>
  <c r="B1082" i="97"/>
  <c r="B1080" i="97"/>
  <c r="B1079" i="97"/>
  <c r="B1078" i="97"/>
  <c r="B1077" i="97"/>
  <c r="E1075" i="97"/>
  <c r="F1086" i="97" s="1"/>
  <c r="B1075" i="97"/>
  <c r="B1074" i="97"/>
  <c r="B1073" i="97"/>
  <c r="B1072" i="97"/>
  <c r="B1071" i="97"/>
  <c r="B1070" i="97"/>
  <c r="B1069" i="97"/>
  <c r="B1068" i="97"/>
  <c r="B1067" i="97"/>
  <c r="B1064" i="97"/>
  <c r="E1062" i="97"/>
  <c r="F1076" i="97" s="1"/>
  <c r="D21" i="119" s="1"/>
  <c r="B1062" i="97"/>
  <c r="B1061" i="97"/>
  <c r="B1060" i="97"/>
  <c r="B1059" i="97"/>
  <c r="B1058" i="97"/>
  <c r="B1057" i="97"/>
  <c r="B1055" i="97"/>
  <c r="F1054" i="97"/>
  <c r="D19" i="119" s="1"/>
  <c r="E1053" i="97"/>
  <c r="F1063" i="97" s="1"/>
  <c r="B1053" i="97"/>
  <c r="B1052" i="97"/>
  <c r="B1051" i="97"/>
  <c r="B1050" i="97"/>
  <c r="B1048" i="97"/>
  <c r="F1047" i="97"/>
  <c r="B1046" i="97"/>
  <c r="B1045" i="97"/>
  <c r="B1044" i="97"/>
  <c r="B1042" i="97"/>
  <c r="B1041" i="97"/>
  <c r="F1040" i="97"/>
  <c r="D17" i="119" s="1"/>
  <c r="B1039" i="97"/>
  <c r="B1038" i="97"/>
  <c r="B1037" i="97"/>
  <c r="B1035" i="97"/>
  <c r="F1034" i="97"/>
  <c r="B1033" i="97"/>
  <c r="B1032" i="97"/>
  <c r="B1031" i="97"/>
  <c r="B1029" i="97"/>
  <c r="F1028" i="97"/>
  <c r="B1027" i="97"/>
  <c r="B1026" i="97"/>
  <c r="B1025" i="97"/>
  <c r="B1024" i="97"/>
  <c r="B1023" i="97"/>
  <c r="B1021" i="97"/>
  <c r="F1020" i="97"/>
  <c r="D14" i="119" s="1"/>
  <c r="B1019" i="97"/>
  <c r="B1018" i="97"/>
  <c r="B1017" i="97"/>
  <c r="B1015" i="97"/>
  <c r="B1014" i="97"/>
  <c r="B1013" i="97"/>
  <c r="F1012" i="97"/>
  <c r="D13" i="119" s="1"/>
  <c r="B1011" i="97"/>
  <c r="B1010" i="97"/>
  <c r="B1009" i="97"/>
  <c r="B1007" i="97"/>
  <c r="B1006" i="97"/>
  <c r="F1005" i="97"/>
  <c r="D12" i="119" s="1"/>
  <c r="B1004" i="97"/>
  <c r="B1003" i="97"/>
  <c r="B1002" i="97"/>
  <c r="B1001" i="97"/>
  <c r="B999" i="97"/>
  <c r="F998" i="97"/>
  <c r="B997" i="97"/>
  <c r="B996" i="97"/>
  <c r="B995" i="97"/>
  <c r="B993" i="97"/>
  <c r="F992" i="97"/>
  <c r="D10" i="119" s="1"/>
  <c r="B991" i="97"/>
  <c r="B990" i="97"/>
  <c r="B989" i="97"/>
  <c r="B987" i="97"/>
  <c r="F986" i="97"/>
  <c r="D9" i="119" s="1"/>
  <c r="B985" i="97"/>
  <c r="B984" i="97"/>
  <c r="B982" i="97"/>
  <c r="F981" i="97"/>
  <c r="D8" i="119" s="1"/>
  <c r="B980" i="97"/>
  <c r="B979" i="97"/>
  <c r="B977" i="97"/>
  <c r="B975" i="97"/>
  <c r="B974" i="97"/>
  <c r="E972" i="97"/>
  <c r="F976" i="97" s="1"/>
  <c r="B972" i="97"/>
  <c r="B971" i="97"/>
  <c r="B969" i="97"/>
  <c r="B968" i="97"/>
  <c r="B966" i="97"/>
  <c r="E965" i="97"/>
  <c r="F970" i="97" s="1"/>
  <c r="B965" i="97"/>
  <c r="B964" i="97"/>
  <c r="B962" i="97"/>
  <c r="B960" i="97"/>
  <c r="E959" i="97"/>
  <c r="F963" i="97" s="1"/>
  <c r="D5" i="119" s="1"/>
  <c r="B959" i="97"/>
  <c r="B958" i="97"/>
  <c r="B956" i="97"/>
  <c r="B954" i="97"/>
  <c r="F953" i="97"/>
  <c r="F960" i="97" s="1"/>
  <c r="F966" i="97" s="1"/>
  <c r="B953" i="97"/>
  <c r="E952" i="97"/>
  <c r="B952" i="97"/>
  <c r="E951" i="97"/>
  <c r="B951" i="97"/>
  <c r="B950" i="97"/>
  <c r="B948" i="97"/>
  <c r="B947" i="97"/>
  <c r="E945" i="97"/>
  <c r="B945" i="97"/>
  <c r="E944" i="97"/>
  <c r="B944" i="97"/>
  <c r="B943" i="97"/>
  <c r="B942" i="97"/>
  <c r="E941" i="97"/>
  <c r="B941" i="97"/>
  <c r="B940" i="97"/>
  <c r="B938" i="97"/>
  <c r="B937" i="97"/>
  <c r="B935" i="97"/>
  <c r="B934" i="97"/>
  <c r="E933" i="97"/>
  <c r="B933" i="97"/>
  <c r="B932" i="97"/>
  <c r="B931" i="97"/>
  <c r="E930" i="97"/>
  <c r="B930" i="97"/>
  <c r="B929" i="97"/>
  <c r="B927" i="97"/>
  <c r="B926" i="97"/>
  <c r="B924" i="97"/>
  <c r="E923" i="97"/>
  <c r="B923" i="97"/>
  <c r="E921" i="97"/>
  <c r="B921" i="97"/>
  <c r="B920" i="97"/>
  <c r="B918" i="97"/>
  <c r="B917" i="97"/>
  <c r="B922" i="97" s="1"/>
  <c r="B916" i="97"/>
  <c r="E914" i="97"/>
  <c r="B914" i="97"/>
  <c r="B913" i="97"/>
  <c r="B912" i="97"/>
  <c r="E911" i="97"/>
  <c r="B911" i="97"/>
  <c r="B909" i="97"/>
  <c r="B908" i="97"/>
  <c r="B906" i="97"/>
  <c r="B905" i="97"/>
  <c r="E904" i="97"/>
  <c r="B904" i="97"/>
  <c r="B903" i="97"/>
  <c r="E902" i="97"/>
  <c r="B902" i="97"/>
  <c r="B901" i="97"/>
  <c r="B899" i="97"/>
  <c r="B898" i="97"/>
  <c r="B897" i="97"/>
  <c r="B895" i="97"/>
  <c r="B894" i="97"/>
  <c r="B893" i="97"/>
  <c r="E892" i="97"/>
  <c r="B892" i="97"/>
  <c r="B891" i="97"/>
  <c r="B890" i="97"/>
  <c r="E889" i="97"/>
  <c r="B889" i="97"/>
  <c r="B887" i="97"/>
  <c r="B886" i="97"/>
  <c r="B884" i="97"/>
  <c r="B883" i="97"/>
  <c r="B882" i="97"/>
  <c r="B881" i="97"/>
  <c r="E880" i="97"/>
  <c r="B880" i="97"/>
  <c r="B879" i="97"/>
  <c r="B878" i="97"/>
  <c r="E877" i="97"/>
  <c r="B877" i="97"/>
  <c r="B876" i="97"/>
  <c r="B874" i="97"/>
  <c r="B872" i="97"/>
  <c r="E871" i="97"/>
  <c r="B871" i="97"/>
  <c r="B870" i="97"/>
  <c r="E869" i="97"/>
  <c r="B869" i="97"/>
  <c r="E868" i="97"/>
  <c r="B868" i="97"/>
  <c r="B867" i="97"/>
  <c r="B865" i="97"/>
  <c r="B863" i="97"/>
  <c r="B862" i="97"/>
  <c r="B861" i="97"/>
  <c r="B860" i="97"/>
  <c r="E859" i="97"/>
  <c r="B859" i="97"/>
  <c r="E858" i="97"/>
  <c r="B858" i="97"/>
  <c r="B857" i="97"/>
  <c r="F856" i="97"/>
  <c r="B855" i="97"/>
  <c r="B854" i="97"/>
  <c r="B853" i="97"/>
  <c r="B851" i="97"/>
  <c r="B850" i="97"/>
  <c r="B848" i="97"/>
  <c r="E846" i="97"/>
  <c r="F849" i="97" s="1"/>
  <c r="B846" i="97"/>
  <c r="B845" i="97"/>
  <c r="B843" i="97"/>
  <c r="B841" i="97"/>
  <c r="E840" i="97"/>
  <c r="F844" i="97" s="1"/>
  <c r="B840" i="97"/>
  <c r="B839" i="97"/>
  <c r="B837" i="97"/>
  <c r="E835" i="97"/>
  <c r="F838" i="97" s="1"/>
  <c r="B835" i="97"/>
  <c r="B834" i="97"/>
  <c r="B832" i="97"/>
  <c r="B830" i="97"/>
  <c r="B829" i="97"/>
  <c r="B828" i="97"/>
  <c r="E827" i="97"/>
  <c r="F833" i="97" s="1"/>
  <c r="B827" i="97"/>
  <c r="B826" i="97"/>
  <c r="B825" i="97"/>
  <c r="B824" i="97"/>
  <c r="B823" i="97"/>
  <c r="B822" i="97"/>
  <c r="F821" i="97"/>
  <c r="B820" i="97"/>
  <c r="B819" i="97"/>
  <c r="B818" i="97"/>
  <c r="B817" i="97"/>
  <c r="B816" i="97"/>
  <c r="B815" i="97"/>
  <c r="B814" i="97"/>
  <c r="B813" i="97"/>
  <c r="B812" i="97"/>
  <c r="B810" i="97"/>
  <c r="B809" i="97"/>
  <c r="B808" i="97"/>
  <c r="B807" i="97"/>
  <c r="F806" i="97"/>
  <c r="B805" i="97"/>
  <c r="B804" i="97"/>
  <c r="B803" i="97"/>
  <c r="B802" i="97"/>
  <c r="B801" i="97"/>
  <c r="B800" i="97"/>
  <c r="B798" i="97"/>
  <c r="B797" i="97"/>
  <c r="B796" i="97"/>
  <c r="B795" i="97"/>
  <c r="B794" i="97"/>
  <c r="B793" i="97"/>
  <c r="B792" i="97"/>
  <c r="F791" i="97"/>
  <c r="B790" i="97"/>
  <c r="B789" i="97"/>
  <c r="B787" i="97"/>
  <c r="B786" i="97"/>
  <c r="B785" i="97"/>
  <c r="B784" i="97"/>
  <c r="B783" i="97"/>
  <c r="F782" i="97"/>
  <c r="B782" i="97"/>
  <c r="B781" i="97"/>
  <c r="B780" i="97"/>
  <c r="B779" i="97"/>
  <c r="B778" i="97"/>
  <c r="B777" i="97"/>
  <c r="F776" i="97"/>
  <c r="B775" i="97"/>
  <c r="B773" i="97"/>
  <c r="B772" i="97"/>
  <c r="B771" i="97"/>
  <c r="F770" i="97"/>
  <c r="B769" i="97"/>
  <c r="F767" i="97"/>
  <c r="B767" i="97"/>
  <c r="B766" i="97"/>
  <c r="F765" i="97"/>
  <c r="B761" i="97"/>
  <c r="F760" i="97"/>
  <c r="B756" i="97"/>
  <c r="F754" i="97"/>
  <c r="B750" i="97"/>
  <c r="E745" i="97"/>
  <c r="F749" i="97" s="1"/>
  <c r="B745" i="97"/>
  <c r="B744" i="97"/>
  <c r="B740" i="97"/>
  <c r="E739" i="97"/>
  <c r="F743" i="97" s="1"/>
  <c r="B739" i="97"/>
  <c r="B738" i="97"/>
  <c r="E734" i="97"/>
  <c r="B734" i="97"/>
  <c r="B733" i="97"/>
  <c r="E730" i="97"/>
  <c r="B730" i="97"/>
  <c r="B729" i="97"/>
  <c r="E726" i="97"/>
  <c r="F728" i="97" s="1"/>
  <c r="B726" i="97"/>
  <c r="B725" i="97"/>
  <c r="E722" i="97"/>
  <c r="B722" i="97"/>
  <c r="B721" i="97"/>
  <c r="E719" i="97"/>
  <c r="B719" i="97"/>
  <c r="E717" i="97"/>
  <c r="B717" i="97"/>
  <c r="E716" i="97"/>
  <c r="B716" i="97"/>
  <c r="B715" i="97"/>
  <c r="E712" i="97"/>
  <c r="B712" i="97"/>
  <c r="E711" i="97"/>
  <c r="B711" i="97"/>
  <c r="B710" i="97"/>
  <c r="B708" i="97"/>
  <c r="B707" i="97"/>
  <c r="E705" i="97"/>
  <c r="B705" i="97"/>
  <c r="B704" i="97"/>
  <c r="E703" i="97"/>
  <c r="B703" i="97"/>
  <c r="B702" i="97"/>
  <c r="B701" i="97"/>
  <c r="B700" i="97"/>
  <c r="B698" i="97"/>
  <c r="B697" i="97"/>
  <c r="B696" i="97"/>
  <c r="B695" i="97"/>
  <c r="B693" i="97"/>
  <c r="B691" i="97"/>
  <c r="B689" i="97"/>
  <c r="B688" i="97"/>
  <c r="B687" i="97"/>
  <c r="B686" i="97"/>
  <c r="B685" i="97"/>
  <c r="B684" i="97"/>
  <c r="B683" i="97"/>
  <c r="B692" i="97" s="1"/>
  <c r="B682" i="97"/>
  <c r="B681" i="97"/>
  <c r="B680" i="97"/>
  <c r="B679" i="97"/>
  <c r="B678" i="97"/>
  <c r="B677" i="97"/>
  <c r="B676" i="97"/>
  <c r="B675" i="97"/>
  <c r="B674" i="97"/>
  <c r="B673" i="97"/>
  <c r="B672" i="97"/>
  <c r="B671" i="97"/>
  <c r="B670" i="97"/>
  <c r="B669" i="97"/>
  <c r="B668" i="97"/>
  <c r="B667" i="97"/>
  <c r="B666" i="97"/>
  <c r="B665" i="97"/>
  <c r="E664" i="97"/>
  <c r="B664" i="97"/>
  <c r="B663" i="97"/>
  <c r="B662" i="97"/>
  <c r="B661" i="97"/>
  <c r="B660" i="97"/>
  <c r="E659" i="97"/>
  <c r="E658" i="97" s="1"/>
  <c r="B659" i="97"/>
  <c r="B658" i="97"/>
  <c r="B657" i="97"/>
  <c r="B656" i="97"/>
  <c r="B654" i="97"/>
  <c r="B653" i="97"/>
  <c r="B652" i="97"/>
  <c r="B651" i="97"/>
  <c r="B650" i="97"/>
  <c r="B649" i="97"/>
  <c r="B648" i="97"/>
  <c r="B647" i="97"/>
  <c r="B646" i="97"/>
  <c r="B645" i="97"/>
  <c r="B644" i="97"/>
  <c r="B643" i="97"/>
  <c r="B642" i="97"/>
  <c r="B641" i="97"/>
  <c r="B640" i="97"/>
  <c r="B638" i="97"/>
  <c r="B637" i="97"/>
  <c r="E636" i="97"/>
  <c r="B636" i="97"/>
  <c r="B635" i="97"/>
  <c r="B634" i="97"/>
  <c r="B633" i="97"/>
  <c r="B632" i="97"/>
  <c r="B631" i="97"/>
  <c r="B630" i="97"/>
  <c r="B629" i="97"/>
  <c r="B628" i="97"/>
  <c r="B627" i="97"/>
  <c r="E626" i="97"/>
  <c r="B626" i="97"/>
  <c r="E625" i="97"/>
  <c r="E624" i="97" s="1"/>
  <c r="B625" i="97"/>
  <c r="B624" i="97"/>
  <c r="B623" i="97"/>
  <c r="B622" i="97"/>
  <c r="B621" i="97"/>
  <c r="B620" i="97"/>
  <c r="B619" i="97"/>
  <c r="B618" i="97"/>
  <c r="B617" i="97"/>
  <c r="B616" i="97"/>
  <c r="B615" i="97"/>
  <c r="B614" i="97"/>
  <c r="D613" i="97"/>
  <c r="B613" i="97"/>
  <c r="B611" i="97"/>
  <c r="B610" i="97"/>
  <c r="B609" i="97"/>
  <c r="B608" i="97"/>
  <c r="B607" i="97"/>
  <c r="B606" i="97"/>
  <c r="E605" i="97"/>
  <c r="B605" i="97"/>
  <c r="B604" i="97"/>
  <c r="B602" i="97"/>
  <c r="B601" i="97"/>
  <c r="E600" i="97"/>
  <c r="B600" i="97"/>
  <c r="E599" i="97"/>
  <c r="B599" i="97"/>
  <c r="B598" i="97"/>
  <c r="B597" i="97"/>
  <c r="B595" i="97"/>
  <c r="B594" i="97"/>
  <c r="B593" i="97"/>
  <c r="E592" i="97"/>
  <c r="B592" i="97"/>
  <c r="B591" i="97"/>
  <c r="B589" i="97"/>
  <c r="E588" i="97"/>
  <c r="B588" i="97"/>
  <c r="E587" i="97"/>
  <c r="B587" i="97"/>
  <c r="B586" i="97"/>
  <c r="B585" i="97"/>
  <c r="B584" i="97"/>
  <c r="B583" i="97"/>
  <c r="B582" i="97"/>
  <c r="B581" i="97"/>
  <c r="B580" i="97"/>
  <c r="B579" i="97"/>
  <c r="B578" i="97"/>
  <c r="B577" i="97"/>
  <c r="B576" i="97"/>
  <c r="B575" i="97"/>
  <c r="B574" i="97"/>
  <c r="B573" i="97"/>
  <c r="B572" i="97"/>
  <c r="B571" i="97"/>
  <c r="B570" i="97"/>
  <c r="B569" i="97"/>
  <c r="B567" i="97"/>
  <c r="B566" i="97"/>
  <c r="B565" i="97"/>
  <c r="B564" i="97"/>
  <c r="B563" i="97"/>
  <c r="B562" i="97"/>
  <c r="B561" i="97"/>
  <c r="B560" i="97"/>
  <c r="B559" i="97"/>
  <c r="B558" i="97"/>
  <c r="B557" i="97"/>
  <c r="B556" i="97"/>
  <c r="B555" i="97"/>
  <c r="E554" i="97"/>
  <c r="B554" i="97"/>
  <c r="B553" i="97"/>
  <c r="B551" i="97"/>
  <c r="E550" i="97"/>
  <c r="B550" i="97"/>
  <c r="B549" i="97"/>
  <c r="B548" i="97"/>
  <c r="B547" i="97"/>
  <c r="E546" i="97"/>
  <c r="B546" i="97"/>
  <c r="B545" i="97"/>
  <c r="B544" i="97"/>
  <c r="B543" i="97"/>
  <c r="B542" i="97"/>
  <c r="B541" i="97"/>
  <c r="B540" i="97"/>
  <c r="B539" i="97"/>
  <c r="B538" i="97"/>
  <c r="B537" i="97"/>
  <c r="B536" i="97"/>
  <c r="B535" i="97"/>
  <c r="B534" i="97"/>
  <c r="B533" i="97"/>
  <c r="B532" i="97"/>
  <c r="B531" i="97"/>
  <c r="B530" i="97"/>
  <c r="B529" i="97"/>
  <c r="B528" i="97"/>
  <c r="B527" i="97"/>
  <c r="B526" i="97"/>
  <c r="B524" i="97"/>
  <c r="B523" i="97"/>
  <c r="B522" i="97"/>
  <c r="B521" i="97"/>
  <c r="E520" i="97"/>
  <c r="B520" i="97"/>
  <c r="B519" i="97"/>
  <c r="B517" i="97"/>
  <c r="E516" i="97"/>
  <c r="B516" i="97"/>
  <c r="E515" i="97"/>
  <c r="B515" i="97"/>
  <c r="B514" i="97"/>
  <c r="B513" i="97"/>
  <c r="B512" i="97"/>
  <c r="B511" i="97"/>
  <c r="B510" i="97"/>
  <c r="B509" i="97"/>
  <c r="B508" i="97"/>
  <c r="B507" i="97"/>
  <c r="B506" i="97"/>
  <c r="B505" i="97"/>
  <c r="B504" i="97"/>
  <c r="B503" i="97"/>
  <c r="B502" i="97"/>
  <c r="B501" i="97"/>
  <c r="B500" i="97"/>
  <c r="B499" i="97"/>
  <c r="B498" i="97"/>
  <c r="B497" i="97"/>
  <c r="B496" i="97"/>
  <c r="B495" i="97"/>
  <c r="B494" i="97"/>
  <c r="B493" i="97"/>
  <c r="B492" i="97"/>
  <c r="B490" i="97"/>
  <c r="B489" i="97"/>
  <c r="B488" i="97"/>
  <c r="B487" i="97"/>
  <c r="B486" i="97"/>
  <c r="B485" i="97"/>
  <c r="B484" i="97"/>
  <c r="B482" i="97"/>
  <c r="B481" i="97"/>
  <c r="B480" i="97"/>
  <c r="B479" i="97"/>
  <c r="B478" i="97"/>
  <c r="E477" i="97"/>
  <c r="B477" i="97"/>
  <c r="B475" i="97"/>
  <c r="B474" i="97"/>
  <c r="B473" i="97"/>
  <c r="B472" i="97"/>
  <c r="B471" i="97"/>
  <c r="B470" i="97"/>
  <c r="B469" i="97"/>
  <c r="E468" i="97"/>
  <c r="B468" i="97"/>
  <c r="B467" i="97"/>
  <c r="B466" i="97"/>
  <c r="B465" i="97"/>
  <c r="B464" i="97"/>
  <c r="B463" i="97"/>
  <c r="B462" i="97"/>
  <c r="E461" i="97"/>
  <c r="B461" i="97"/>
  <c r="B460" i="97"/>
  <c r="B459" i="97"/>
  <c r="B458" i="97"/>
  <c r="B457" i="97"/>
  <c r="B456" i="97"/>
  <c r="B455" i="97"/>
  <c r="B454" i="97"/>
  <c r="B453" i="97"/>
  <c r="B452" i="97"/>
  <c r="B451" i="97"/>
  <c r="B450" i="97"/>
  <c r="B449" i="97"/>
  <c r="B448" i="97"/>
  <c r="B447" i="97"/>
  <c r="B446" i="97"/>
  <c r="F445" i="97"/>
  <c r="B445" i="97"/>
  <c r="B444" i="97"/>
  <c r="B443" i="97"/>
  <c r="B442" i="97"/>
  <c r="B441" i="97"/>
  <c r="B440" i="97"/>
  <c r="B439" i="97"/>
  <c r="B438" i="97"/>
  <c r="B437" i="97"/>
  <c r="B436" i="97"/>
  <c r="B434" i="97"/>
  <c r="B433" i="97"/>
  <c r="E432" i="97"/>
  <c r="B432" i="97"/>
  <c r="B431" i="97"/>
  <c r="B430" i="97"/>
  <c r="B428" i="97"/>
  <c r="B427" i="97"/>
  <c r="E426" i="97"/>
  <c r="B426" i="97"/>
  <c r="B425" i="97"/>
  <c r="B424" i="97"/>
  <c r="B423" i="97"/>
  <c r="B422" i="97"/>
  <c r="B421" i="97"/>
  <c r="B420" i="97"/>
  <c r="B419" i="97"/>
  <c r="B418" i="97"/>
  <c r="B417" i="97"/>
  <c r="B416" i="97"/>
  <c r="B415" i="97"/>
  <c r="B414" i="97"/>
  <c r="E413" i="97"/>
  <c r="B413" i="97"/>
  <c r="E412" i="97"/>
  <c r="B412" i="97"/>
  <c r="B411" i="97"/>
  <c r="B410" i="97"/>
  <c r="B409" i="97"/>
  <c r="B407" i="97"/>
  <c r="B406" i="97"/>
  <c r="B405" i="97"/>
  <c r="E404" i="97"/>
  <c r="B404" i="97"/>
  <c r="B403" i="97"/>
  <c r="B402" i="97"/>
  <c r="F401" i="97"/>
  <c r="B401" i="97"/>
  <c r="B400" i="97"/>
  <c r="B399" i="97"/>
  <c r="E398" i="97"/>
  <c r="B398" i="97"/>
  <c r="B396" i="97"/>
  <c r="B395" i="97"/>
  <c r="B394" i="97"/>
  <c r="E393" i="97"/>
  <c r="B393" i="97"/>
  <c r="E392" i="97"/>
  <c r="B392" i="97"/>
  <c r="B391" i="97"/>
  <c r="B390" i="97"/>
  <c r="B389" i="97"/>
  <c r="B388" i="97"/>
  <c r="F386" i="97"/>
  <c r="B386" i="97"/>
  <c r="B385" i="97"/>
  <c r="B384" i="97"/>
  <c r="E383" i="97"/>
  <c r="B383" i="97"/>
  <c r="B382" i="97"/>
  <c r="B381" i="97"/>
  <c r="B380" i="97"/>
  <c r="B379" i="97"/>
  <c r="B378" i="97"/>
  <c r="B377" i="97"/>
  <c r="B376" i="97"/>
  <c r="B375" i="97"/>
  <c r="B374" i="97"/>
  <c r="B373" i="97"/>
  <c r="B372" i="97"/>
  <c r="B371" i="97"/>
  <c r="B370" i="97"/>
  <c r="B369" i="97"/>
  <c r="B368" i="97"/>
  <c r="B367" i="97"/>
  <c r="E366" i="97"/>
  <c r="B366" i="97"/>
  <c r="B365" i="97"/>
  <c r="B363" i="97"/>
  <c r="B362" i="97"/>
  <c r="B361" i="97"/>
  <c r="B360" i="97"/>
  <c r="B359" i="97"/>
  <c r="B358" i="97"/>
  <c r="E357" i="97"/>
  <c r="B357" i="97"/>
  <c r="B356" i="97"/>
  <c r="B355" i="97"/>
  <c r="B354" i="97"/>
  <c r="B353" i="97"/>
  <c r="B352" i="97"/>
  <c r="B351" i="97"/>
  <c r="B350" i="97"/>
  <c r="B349" i="97"/>
  <c r="E347" i="97"/>
  <c r="B347" i="97"/>
  <c r="B346" i="97"/>
  <c r="B345" i="97"/>
  <c r="B344" i="97"/>
  <c r="E343" i="97"/>
  <c r="B343" i="97"/>
  <c r="E342" i="97"/>
  <c r="B342" i="97"/>
  <c r="B341" i="97"/>
  <c r="B340" i="97"/>
  <c r="B339" i="97"/>
  <c r="B338" i="97"/>
  <c r="B337" i="97"/>
  <c r="B336" i="97"/>
  <c r="B335" i="97"/>
  <c r="E334" i="97"/>
  <c r="B334" i="97"/>
  <c r="B332" i="97"/>
  <c r="B331" i="97"/>
  <c r="B330" i="97"/>
  <c r="B329" i="97"/>
  <c r="B328" i="97"/>
  <c r="B327" i="97"/>
  <c r="B326" i="97"/>
  <c r="B325" i="97"/>
  <c r="B324" i="97"/>
  <c r="B323" i="97"/>
  <c r="E322" i="97"/>
  <c r="E323" i="97" s="1"/>
  <c r="B322" i="97"/>
  <c r="B321" i="97"/>
  <c r="B320" i="97"/>
  <c r="F319" i="97"/>
  <c r="B319" i="97"/>
  <c r="B318" i="97"/>
  <c r="B317" i="97"/>
  <c r="B316" i="97"/>
  <c r="B315" i="97"/>
  <c r="B314" i="97"/>
  <c r="B313" i="97"/>
  <c r="B312" i="97"/>
  <c r="B311" i="97"/>
  <c r="B310" i="97"/>
  <c r="B309" i="97"/>
  <c r="B308" i="97"/>
  <c r="B307" i="97"/>
  <c r="B306" i="97"/>
  <c r="B305" i="97"/>
  <c r="E304" i="97"/>
  <c r="B304" i="97"/>
  <c r="B303" i="97"/>
  <c r="B301" i="97"/>
  <c r="B300" i="97"/>
  <c r="E299" i="97"/>
  <c r="B299" i="97"/>
  <c r="B298" i="97"/>
  <c r="B297" i="97"/>
  <c r="B296" i="97"/>
  <c r="B295" i="97"/>
  <c r="E294" i="97"/>
  <c r="B294" i="97"/>
  <c r="B293" i="97"/>
  <c r="B292" i="97"/>
  <c r="B291" i="97"/>
  <c r="B290" i="97"/>
  <c r="B288" i="97"/>
  <c r="B287" i="97"/>
  <c r="B286" i="97"/>
  <c r="B285" i="97"/>
  <c r="B284" i="97"/>
  <c r="B283" i="97"/>
  <c r="B282" i="97"/>
  <c r="B281" i="97"/>
  <c r="B280" i="97"/>
  <c r="B279" i="97"/>
  <c r="B278" i="97"/>
  <c r="B277" i="97"/>
  <c r="B276" i="97"/>
  <c r="B275" i="97"/>
  <c r="B274" i="97"/>
  <c r="B273" i="97"/>
  <c r="B272" i="97"/>
  <c r="B271" i="97"/>
  <c r="B270" i="97"/>
  <c r="B269" i="97"/>
  <c r="B268" i="97"/>
  <c r="B267" i="97"/>
  <c r="E266" i="97"/>
  <c r="E267" i="97" s="1"/>
  <c r="B266" i="97"/>
  <c r="B265" i="97"/>
  <c r="B264" i="97"/>
  <c r="B263" i="97"/>
  <c r="B262" i="97"/>
  <c r="B261" i="97"/>
  <c r="B260" i="97"/>
  <c r="B259" i="97"/>
  <c r="B258" i="97"/>
  <c r="B257" i="97"/>
  <c r="B256" i="97"/>
  <c r="B254" i="97"/>
  <c r="B253" i="97"/>
  <c r="B252" i="97"/>
  <c r="B251" i="97"/>
  <c r="B250" i="97"/>
  <c r="B249" i="97"/>
  <c r="B248" i="97"/>
  <c r="B247" i="97"/>
  <c r="B246" i="97"/>
  <c r="B245" i="97"/>
  <c r="B255" i="97" s="1"/>
  <c r="B244" i="97"/>
  <c r="E243" i="97"/>
  <c r="B243" i="97"/>
  <c r="B240" i="97"/>
  <c r="E239" i="97"/>
  <c r="B239" i="97"/>
  <c r="B238" i="97"/>
  <c r="B237" i="97"/>
  <c r="B236" i="97"/>
  <c r="B235" i="97"/>
  <c r="B234" i="97"/>
  <c r="B233" i="97"/>
  <c r="B232" i="97"/>
  <c r="B231" i="97"/>
  <c r="B230" i="97"/>
  <c r="F229" i="97"/>
  <c r="B229" i="97"/>
  <c r="B228" i="97"/>
  <c r="B227" i="97"/>
  <c r="B226" i="97"/>
  <c r="B225" i="97"/>
  <c r="B224" i="97"/>
  <c r="B223" i="97"/>
  <c r="B221" i="97"/>
  <c r="B220" i="97"/>
  <c r="B219" i="97"/>
  <c r="B218" i="97"/>
  <c r="B217" i="97"/>
  <c r="B216" i="97"/>
  <c r="B215" i="97"/>
  <c r="B214" i="97"/>
  <c r="B213" i="97"/>
  <c r="B212" i="97"/>
  <c r="B211" i="97"/>
  <c r="B210" i="97"/>
  <c r="B209" i="97"/>
  <c r="B208" i="97"/>
  <c r="E207" i="97"/>
  <c r="E208" i="97" s="1"/>
  <c r="B207" i="97"/>
  <c r="B206" i="97"/>
  <c r="F205" i="97"/>
  <c r="B205" i="97"/>
  <c r="B204" i="97"/>
  <c r="B203" i="97"/>
  <c r="B202" i="97"/>
  <c r="F201" i="97"/>
  <c r="B201" i="97"/>
  <c r="B200" i="97"/>
  <c r="B199" i="97"/>
  <c r="B198" i="97"/>
  <c r="B197" i="97"/>
  <c r="B196" i="97"/>
  <c r="B195" i="97"/>
  <c r="B194" i="97"/>
  <c r="E193" i="97"/>
  <c r="E192" i="97" s="1"/>
  <c r="B193" i="97"/>
  <c r="B192" i="97"/>
  <c r="B191" i="97"/>
  <c r="B190" i="97"/>
  <c r="B189" i="97"/>
  <c r="B188" i="97"/>
  <c r="B187" i="97"/>
  <c r="B186" i="97"/>
  <c r="B185" i="97"/>
  <c r="B184" i="97"/>
  <c r="B182" i="97"/>
  <c r="B181" i="97"/>
  <c r="E180" i="97"/>
  <c r="B180" i="97"/>
  <c r="B179" i="97"/>
  <c r="B178" i="97"/>
  <c r="B177" i="97"/>
  <c r="B176" i="97"/>
  <c r="B175" i="97"/>
  <c r="B174" i="97"/>
  <c r="B173" i="97"/>
  <c r="B172" i="97"/>
  <c r="B170" i="97"/>
  <c r="B169" i="97"/>
  <c r="B168" i="97"/>
  <c r="B167" i="97"/>
  <c r="F166" i="97"/>
  <c r="B166" i="97"/>
  <c r="B165" i="97"/>
  <c r="E164" i="97"/>
  <c r="F183" i="97" s="1"/>
  <c r="B164" i="97"/>
  <c r="B163" i="97"/>
  <c r="B162" i="97"/>
  <c r="B161" i="97"/>
  <c r="B159" i="97"/>
  <c r="B157" i="97"/>
  <c r="B156" i="97"/>
  <c r="B155" i="97"/>
  <c r="B154" i="97"/>
  <c r="B153" i="97"/>
  <c r="B152" i="97"/>
  <c r="B151" i="97"/>
  <c r="B150" i="97"/>
  <c r="B149" i="97"/>
  <c r="B148" i="97"/>
  <c r="B147" i="97"/>
  <c r="B146" i="97"/>
  <c r="B145" i="97"/>
  <c r="B144" i="97"/>
  <c r="B143" i="97"/>
  <c r="F142" i="97"/>
  <c r="B142" i="97"/>
  <c r="B141" i="97"/>
  <c r="E140" i="97"/>
  <c r="F160" i="97" s="1"/>
  <c r="B140" i="97"/>
  <c r="B139" i="97"/>
  <c r="B138" i="97"/>
  <c r="B137" i="97"/>
  <c r="B136" i="97"/>
  <c r="B135" i="97"/>
  <c r="B134" i="97"/>
  <c r="B133" i="97"/>
  <c r="B132" i="97"/>
  <c r="B131" i="97"/>
  <c r="B130" i="97"/>
  <c r="B128" i="97"/>
  <c r="B127" i="97"/>
  <c r="B126" i="97"/>
  <c r="B125" i="97"/>
  <c r="B124" i="97"/>
  <c r="B123" i="97"/>
  <c r="B122" i="97"/>
  <c r="B121" i="97"/>
  <c r="B120" i="97"/>
  <c r="B119" i="97"/>
  <c r="B118" i="97"/>
  <c r="B116" i="97"/>
  <c r="B115" i="97"/>
  <c r="B114" i="97"/>
  <c r="E113" i="97"/>
  <c r="B113" i="97"/>
  <c r="B112" i="97"/>
  <c r="B111" i="97"/>
  <c r="B110" i="97"/>
  <c r="B109" i="97"/>
  <c r="F108" i="97"/>
  <c r="B108" i="97"/>
  <c r="B107" i="97"/>
  <c r="B106" i="97"/>
  <c r="B105" i="97"/>
  <c r="B104" i="97"/>
  <c r="B103" i="97"/>
  <c r="B102" i="97"/>
  <c r="B101" i="97"/>
  <c r="B100" i="97"/>
  <c r="F99" i="97"/>
  <c r="B99" i="97"/>
  <c r="B98" i="97"/>
  <c r="B97" i="97"/>
  <c r="B96" i="97"/>
  <c r="B95" i="97"/>
  <c r="B94" i="97"/>
  <c r="B93" i="97"/>
  <c r="F92" i="97"/>
  <c r="B92" i="97"/>
  <c r="B91" i="97"/>
  <c r="B90" i="97"/>
  <c r="B89" i="97"/>
  <c r="E88" i="97"/>
  <c r="B88" i="97"/>
  <c r="B87" i="97"/>
  <c r="B86" i="97"/>
  <c r="E85" i="97"/>
  <c r="B85" i="97"/>
  <c r="B84" i="97"/>
  <c r="B83" i="97"/>
  <c r="B82" i="97"/>
  <c r="B80" i="97"/>
  <c r="B79" i="97"/>
  <c r="B78" i="97"/>
  <c r="B77" i="97"/>
  <c r="B76" i="97"/>
  <c r="B75" i="97"/>
  <c r="B74" i="97"/>
  <c r="B73" i="97"/>
  <c r="B72" i="97"/>
  <c r="B71" i="97"/>
  <c r="E70" i="97"/>
  <c r="F71" i="97" s="1"/>
  <c r="B70" i="97"/>
  <c r="B69" i="97"/>
  <c r="B68" i="97"/>
  <c r="B67" i="97"/>
  <c r="B66" i="97"/>
  <c r="B65" i="97"/>
  <c r="B64" i="97"/>
  <c r="B63" i="97"/>
  <c r="B61" i="97"/>
  <c r="B60" i="97"/>
  <c r="B59" i="97"/>
  <c r="B58" i="97"/>
  <c r="B57" i="97"/>
  <c r="B56" i="97"/>
  <c r="B55" i="97"/>
  <c r="B54" i="97"/>
  <c r="B53" i="97"/>
  <c r="B52" i="97"/>
  <c r="B51" i="97"/>
  <c r="B50" i="97"/>
  <c r="B49" i="97"/>
  <c r="B48" i="97"/>
  <c r="B46" i="97"/>
  <c r="B45" i="97"/>
  <c r="B44" i="97"/>
  <c r="B47" i="97" s="1"/>
  <c r="B43" i="97"/>
  <c r="B42" i="97"/>
  <c r="B41" i="97"/>
  <c r="B40" i="97"/>
  <c r="B39" i="97"/>
  <c r="B38" i="97"/>
  <c r="B37" i="97"/>
  <c r="B36" i="97"/>
  <c r="B35" i="97"/>
  <c r="B34" i="97"/>
  <c r="E33" i="97"/>
  <c r="B33" i="97"/>
  <c r="B32" i="97"/>
  <c r="B31" i="97"/>
  <c r="B30" i="97"/>
  <c r="B28" i="97"/>
  <c r="B27" i="97"/>
  <c r="B26" i="97"/>
  <c r="B25" i="97"/>
  <c r="B24" i="97"/>
  <c r="B23" i="97"/>
  <c r="B22" i="97"/>
  <c r="B21" i="97"/>
  <c r="B20" i="97"/>
  <c r="B19" i="97"/>
  <c r="B18" i="97"/>
  <c r="B17" i="97"/>
  <c r="B16" i="97"/>
  <c r="B15" i="97"/>
  <c r="B14" i="97"/>
  <c r="B13" i="97"/>
  <c r="B12" i="97"/>
  <c r="F11" i="97"/>
  <c r="B11" i="97"/>
  <c r="B10" i="97"/>
  <c r="B9" i="97"/>
  <c r="B8" i="97"/>
  <c r="E7" i="97"/>
  <c r="B7" i="97"/>
  <c r="B6" i="97"/>
  <c r="B5" i="97"/>
  <c r="B4" i="97"/>
  <c r="E821" i="106"/>
  <c r="D818" i="106"/>
  <c r="B774" i="106"/>
  <c r="B773" i="106"/>
  <c r="B772" i="106"/>
  <c r="B771" i="106"/>
  <c r="B770" i="106"/>
  <c r="B769" i="106"/>
  <c r="B768" i="106"/>
  <c r="B767" i="106"/>
  <c r="B766" i="106"/>
  <c r="B765" i="106"/>
  <c r="B763" i="106"/>
  <c r="B762" i="106"/>
  <c r="B761" i="106"/>
  <c r="B760" i="106"/>
  <c r="B759" i="106"/>
  <c r="B758" i="106"/>
  <c r="B757" i="106"/>
  <c r="B756" i="106"/>
  <c r="B755" i="106"/>
  <c r="B754" i="106"/>
  <c r="B752" i="106"/>
  <c r="B751" i="106"/>
  <c r="B750" i="106"/>
  <c r="B749" i="106"/>
  <c r="B747" i="106"/>
  <c r="B746" i="106"/>
  <c r="B744" i="106"/>
  <c r="B743" i="106"/>
  <c r="B742" i="106"/>
  <c r="B741" i="106"/>
  <c r="B739" i="106"/>
  <c r="B738" i="106"/>
  <c r="B736" i="106"/>
  <c r="B735" i="106"/>
  <c r="B734" i="106"/>
  <c r="B733" i="106"/>
  <c r="B732" i="106"/>
  <c r="B731" i="106"/>
  <c r="B729" i="106"/>
  <c r="B727" i="106"/>
  <c r="B723" i="106"/>
  <c r="B722" i="106"/>
  <c r="B720" i="106"/>
  <c r="B719" i="106"/>
  <c r="B718" i="106"/>
  <c r="B717" i="106"/>
  <c r="F716" i="106"/>
  <c r="B716" i="106"/>
  <c r="B715" i="106"/>
  <c r="B714" i="106"/>
  <c r="B712" i="106"/>
  <c r="B708" i="106"/>
  <c r="B706" i="106"/>
  <c r="B704" i="106"/>
  <c r="B702" i="106"/>
  <c r="B700" i="106"/>
  <c r="B698" i="106"/>
  <c r="B697" i="106"/>
  <c r="B696" i="106"/>
  <c r="B695" i="106"/>
  <c r="B693" i="106"/>
  <c r="B692" i="106"/>
  <c r="B691" i="106"/>
  <c r="B689" i="106"/>
  <c r="B688" i="106"/>
  <c r="B687" i="106"/>
  <c r="B686" i="106"/>
  <c r="B685" i="106"/>
  <c r="B684" i="106"/>
  <c r="B683" i="106"/>
  <c r="B682" i="106"/>
  <c r="B681" i="106"/>
  <c r="B680" i="106"/>
  <c r="B679" i="106"/>
  <c r="B678" i="106"/>
  <c r="B677" i="106"/>
  <c r="B676" i="106"/>
  <c r="B674" i="106"/>
  <c r="B673" i="106"/>
  <c r="B672" i="106"/>
  <c r="B671" i="106"/>
  <c r="B670" i="106"/>
  <c r="B669" i="106"/>
  <c r="B667" i="106"/>
  <c r="B666" i="106"/>
  <c r="B664" i="106"/>
  <c r="B663" i="106"/>
  <c r="B662" i="106"/>
  <c r="B661" i="106"/>
  <c r="B660" i="106"/>
  <c r="B659" i="106"/>
  <c r="B658" i="106"/>
  <c r="B657" i="106"/>
  <c r="B656" i="106"/>
  <c r="B655" i="106"/>
  <c r="B654" i="106"/>
  <c r="B652" i="106"/>
  <c r="B651" i="106"/>
  <c r="B650" i="106"/>
  <c r="B649" i="106"/>
  <c r="B648" i="106"/>
  <c r="B647" i="106"/>
  <c r="B645" i="106"/>
  <c r="B644" i="106"/>
  <c r="B643" i="106"/>
  <c r="B642" i="106"/>
  <c r="B641" i="106"/>
  <c r="B639" i="106"/>
  <c r="B638" i="106"/>
  <c r="B636" i="106"/>
  <c r="B635" i="106"/>
  <c r="B634" i="106"/>
  <c r="B633" i="106"/>
  <c r="B631" i="106"/>
  <c r="B630" i="106"/>
  <c r="B629" i="106"/>
  <c r="B628" i="106"/>
  <c r="B626" i="106"/>
  <c r="B625" i="106"/>
  <c r="B624" i="106"/>
  <c r="B623" i="106"/>
  <c r="B622" i="106"/>
  <c r="B621" i="106"/>
  <c r="B620" i="106"/>
  <c r="B617" i="106"/>
  <c r="B616" i="106"/>
  <c r="B615" i="106"/>
  <c r="B614" i="106"/>
  <c r="B613" i="106"/>
  <c r="E612" i="106"/>
  <c r="B612" i="106"/>
  <c r="B611" i="106"/>
  <c r="B610" i="106"/>
  <c r="B609" i="106"/>
  <c r="B607" i="106"/>
  <c r="B606" i="106"/>
  <c r="C605" i="106"/>
  <c r="B603" i="106"/>
  <c r="B605" i="106"/>
  <c r="B602" i="106"/>
  <c r="B601" i="106"/>
  <c r="B600" i="106"/>
  <c r="B599" i="106"/>
  <c r="B598" i="106"/>
  <c r="B597" i="106"/>
  <c r="B596" i="106"/>
  <c r="B604" i="106"/>
  <c r="B595" i="106"/>
  <c r="B594" i="106"/>
  <c r="B593" i="106"/>
  <c r="B592" i="106"/>
  <c r="B591" i="106"/>
  <c r="B590" i="106"/>
  <c r="B589" i="106"/>
  <c r="B588" i="106"/>
  <c r="B586" i="106"/>
  <c r="B585" i="106"/>
  <c r="E584" i="106"/>
  <c r="B584" i="106"/>
  <c r="B582" i="106"/>
  <c r="B581" i="106"/>
  <c r="B580" i="106"/>
  <c r="B579" i="106"/>
  <c r="B578" i="106"/>
  <c r="B577" i="106"/>
  <c r="B576" i="106"/>
  <c r="B575" i="106"/>
  <c r="B574" i="106"/>
  <c r="B573" i="106"/>
  <c r="B572" i="106"/>
  <c r="B571" i="106"/>
  <c r="B569" i="106"/>
  <c r="B568" i="106"/>
  <c r="B567" i="106"/>
  <c r="B566" i="106"/>
  <c r="B565" i="106"/>
  <c r="B564" i="106"/>
  <c r="B562" i="106"/>
  <c r="B560" i="106"/>
  <c r="B559" i="106"/>
  <c r="B563" i="106"/>
  <c r="B558" i="106"/>
  <c r="B557" i="106"/>
  <c r="B556" i="106"/>
  <c r="B555" i="106"/>
  <c r="B553" i="106"/>
  <c r="B552" i="106"/>
  <c r="B561" i="106"/>
  <c r="B551" i="106"/>
  <c r="B550" i="106"/>
  <c r="B549" i="106"/>
  <c r="B548" i="106"/>
  <c r="B547" i="106"/>
  <c r="B546" i="106"/>
  <c r="B545" i="106"/>
  <c r="B544" i="106"/>
  <c r="B542" i="106"/>
  <c r="B541" i="106"/>
  <c r="B539" i="106"/>
  <c r="B538" i="106"/>
  <c r="B537" i="106"/>
  <c r="B536" i="106"/>
  <c r="B535" i="106"/>
  <c r="B534" i="106"/>
  <c r="B532" i="106"/>
  <c r="B531" i="106"/>
  <c r="B530" i="106"/>
  <c r="B528" i="106"/>
  <c r="B526" i="106"/>
  <c r="B524" i="106"/>
  <c r="B527" i="106"/>
  <c r="B523" i="106"/>
  <c r="B540" i="106"/>
  <c r="B554" i="106"/>
  <c r="B570" i="106"/>
  <c r="B522" i="106"/>
  <c r="B521" i="106"/>
  <c r="B520" i="106"/>
  <c r="B519" i="106"/>
  <c r="B518" i="106"/>
  <c r="A517" i="106"/>
  <c r="B515" i="106"/>
  <c r="B513" i="106"/>
  <c r="B517" i="106"/>
  <c r="B512" i="106"/>
  <c r="B511" i="106"/>
  <c r="B516" i="106"/>
  <c r="B510" i="106"/>
  <c r="B509" i="106"/>
  <c r="B508" i="106"/>
  <c r="B507" i="106"/>
  <c r="B505" i="106"/>
  <c r="B504" i="106"/>
  <c r="B503" i="106"/>
  <c r="B502" i="106"/>
  <c r="B501" i="106"/>
  <c r="B506" i="106"/>
  <c r="B499" i="106"/>
  <c r="B498" i="106"/>
  <c r="B497" i="106"/>
  <c r="B496" i="106"/>
  <c r="B494" i="106"/>
  <c r="B493" i="106"/>
  <c r="B492" i="106"/>
  <c r="B491" i="106"/>
  <c r="B490" i="106"/>
  <c r="E489" i="106"/>
  <c r="B489" i="106"/>
  <c r="B485" i="106"/>
  <c r="B484" i="106"/>
  <c r="B483" i="106"/>
  <c r="B482" i="106"/>
  <c r="B486" i="106"/>
  <c r="B500" i="106"/>
  <c r="B514" i="106"/>
  <c r="B525" i="106"/>
  <c r="B529" i="106"/>
  <c r="B533" i="106"/>
  <c r="B481" i="106"/>
  <c r="B480" i="106"/>
  <c r="B479" i="106"/>
  <c r="B478" i="106"/>
  <c r="B476" i="106"/>
  <c r="B477" i="106"/>
  <c r="B487" i="106"/>
  <c r="B475" i="106"/>
  <c r="B473" i="106"/>
  <c r="B472" i="106"/>
  <c r="E471" i="106"/>
  <c r="B471" i="106"/>
  <c r="B469" i="106"/>
  <c r="B468" i="106"/>
  <c r="B467" i="106"/>
  <c r="B1065" i="97"/>
  <c r="B466" i="106"/>
  <c r="B465" i="106"/>
  <c r="B464" i="106"/>
  <c r="B463" i="106"/>
  <c r="B462" i="106"/>
  <c r="B461" i="106"/>
  <c r="B460" i="106"/>
  <c r="B459" i="106"/>
  <c r="B457" i="106"/>
  <c r="B456" i="106"/>
  <c r="B455" i="106"/>
  <c r="B454" i="106"/>
  <c r="B453" i="106"/>
  <c r="B452" i="106"/>
  <c r="B451" i="106"/>
  <c r="B450" i="106"/>
  <c r="B449" i="106"/>
  <c r="B448" i="106"/>
  <c r="B447" i="106"/>
  <c r="B446" i="106"/>
  <c r="B445" i="106"/>
  <c r="B444" i="106"/>
  <c r="B443" i="106"/>
  <c r="B442" i="106"/>
  <c r="B441" i="106"/>
  <c r="B440" i="106"/>
  <c r="B439" i="106"/>
  <c r="B438" i="106"/>
  <c r="B458" i="106"/>
  <c r="B437" i="106"/>
  <c r="B436" i="106"/>
  <c r="B435" i="106"/>
  <c r="B434" i="106"/>
  <c r="B433" i="106"/>
  <c r="B432" i="106"/>
  <c r="B431" i="106"/>
  <c r="B430" i="106"/>
  <c r="B429" i="106"/>
  <c r="B428" i="106"/>
  <c r="B426" i="106"/>
  <c r="B425" i="106"/>
  <c r="B424" i="106"/>
  <c r="B423" i="106"/>
  <c r="B422" i="106"/>
  <c r="B421" i="106"/>
  <c r="B420" i="106"/>
  <c r="B419" i="106"/>
  <c r="B418" i="106"/>
  <c r="B416" i="106"/>
  <c r="B415" i="106"/>
  <c r="B413" i="106"/>
  <c r="B412" i="106"/>
  <c r="B411" i="106"/>
  <c r="B410" i="106"/>
  <c r="B409" i="106"/>
  <c r="C408" i="106"/>
  <c r="C439" i="106"/>
  <c r="C447" i="106"/>
  <c r="C476" i="106"/>
  <c r="C477" i="106"/>
  <c r="C487" i="106"/>
  <c r="C499" i="106"/>
  <c r="C513" i="106"/>
  <c r="C517" i="106"/>
  <c r="C523" i="106"/>
  <c r="C540" i="106"/>
  <c r="B407" i="106"/>
  <c r="B406" i="106"/>
  <c r="B405" i="106"/>
  <c r="B414" i="106"/>
  <c r="B404" i="106"/>
  <c r="B403" i="106"/>
  <c r="B402" i="106"/>
  <c r="B401" i="106"/>
  <c r="B408" i="106"/>
  <c r="B427" i="106"/>
  <c r="B400" i="106"/>
  <c r="B399" i="106"/>
  <c r="B398" i="106"/>
  <c r="B397" i="106"/>
  <c r="B396" i="106"/>
  <c r="C395" i="106"/>
  <c r="B393" i="106"/>
  <c r="B395" i="106"/>
  <c r="B392" i="106"/>
  <c r="B391" i="106"/>
  <c r="B390" i="106"/>
  <c r="B389" i="106"/>
  <c r="B388" i="106"/>
  <c r="B387" i="106"/>
  <c r="B386" i="106"/>
  <c r="B385" i="106"/>
  <c r="B384" i="106"/>
  <c r="B383" i="106"/>
  <c r="B382" i="106"/>
  <c r="B381" i="106"/>
  <c r="B380" i="106"/>
  <c r="B378" i="106"/>
  <c r="B377" i="106"/>
  <c r="B376" i="106"/>
  <c r="B375" i="106"/>
  <c r="B374" i="106"/>
  <c r="B373" i="106"/>
  <c r="B372" i="106"/>
  <c r="B371" i="106"/>
  <c r="B370" i="106"/>
  <c r="B369" i="106"/>
  <c r="B368" i="106"/>
  <c r="B367" i="106"/>
  <c r="B365" i="106"/>
  <c r="B364" i="106"/>
  <c r="B363" i="106"/>
  <c r="B362" i="106"/>
  <c r="C361" i="106"/>
  <c r="C366" i="106"/>
  <c r="C379" i="106"/>
  <c r="B360" i="106"/>
  <c r="B359" i="106"/>
  <c r="E358" i="106"/>
  <c r="B358" i="106"/>
  <c r="B357" i="106"/>
  <c r="B356" i="106"/>
  <c r="B354" i="106"/>
  <c r="B353" i="106"/>
  <c r="B352" i="106"/>
  <c r="B351" i="106"/>
  <c r="B350" i="106"/>
  <c r="B349" i="106"/>
  <c r="B348" i="106"/>
  <c r="B347" i="106"/>
  <c r="B346" i="106"/>
  <c r="B345" i="106"/>
  <c r="B343" i="106"/>
  <c r="B342" i="106"/>
  <c r="B341" i="106"/>
  <c r="B340" i="106"/>
  <c r="B339" i="106"/>
  <c r="B338" i="106"/>
  <c r="B335" i="106"/>
  <c r="B334" i="106"/>
  <c r="E333" i="106"/>
  <c r="B333" i="106"/>
  <c r="B331" i="106"/>
  <c r="B330" i="106"/>
  <c r="B329" i="106"/>
  <c r="B328" i="106"/>
  <c r="B327" i="106"/>
  <c r="B326" i="106"/>
  <c r="B325" i="106"/>
  <c r="B324" i="106"/>
  <c r="B323" i="106"/>
  <c r="B322" i="106"/>
  <c r="B321" i="106"/>
  <c r="B320" i="106"/>
  <c r="B319" i="106"/>
  <c r="B317" i="106"/>
  <c r="B316" i="106"/>
  <c r="B315" i="106"/>
  <c r="B314" i="106"/>
  <c r="B313" i="106"/>
  <c r="B312" i="106"/>
  <c r="B311" i="106"/>
  <c r="B310" i="106"/>
  <c r="B309" i="106"/>
  <c r="B308" i="106"/>
  <c r="B307" i="106"/>
  <c r="B306" i="106"/>
  <c r="B305" i="106"/>
  <c r="B304" i="106"/>
  <c r="B302" i="106"/>
  <c r="B301" i="106"/>
  <c r="B300" i="106"/>
  <c r="B299" i="106"/>
  <c r="B298" i="106"/>
  <c r="B297" i="106"/>
  <c r="B296" i="106"/>
  <c r="B295" i="106"/>
  <c r="B293" i="106"/>
  <c r="B292" i="106"/>
  <c r="B291" i="106"/>
  <c r="B290" i="106"/>
  <c r="B289" i="106"/>
  <c r="B288" i="106"/>
  <c r="B287" i="106"/>
  <c r="B286" i="106"/>
  <c r="B285" i="106"/>
  <c r="B284" i="106"/>
  <c r="B282" i="106"/>
  <c r="B281" i="106"/>
  <c r="B280" i="106"/>
  <c r="B279" i="106"/>
  <c r="B278" i="106"/>
  <c r="B277" i="106"/>
  <c r="B276" i="106"/>
  <c r="B274" i="106"/>
  <c r="B283" i="106"/>
  <c r="B273" i="106"/>
  <c r="B272" i="106"/>
  <c r="B271" i="106"/>
  <c r="B270" i="106"/>
  <c r="B269" i="106"/>
  <c r="B268" i="106"/>
  <c r="B267" i="106"/>
  <c r="B266" i="106"/>
  <c r="B265" i="106"/>
  <c r="B264" i="106"/>
  <c r="B263" i="106"/>
  <c r="B262" i="106"/>
  <c r="B261" i="106"/>
  <c r="B260" i="106"/>
  <c r="B259" i="106"/>
  <c r="B258" i="106"/>
  <c r="B257" i="106"/>
  <c r="B256" i="106"/>
  <c r="B254" i="106"/>
  <c r="B253" i="106"/>
  <c r="B252" i="106"/>
  <c r="B251" i="106"/>
  <c r="B250" i="106"/>
  <c r="B248" i="106"/>
  <c r="B246" i="106"/>
  <c r="B244" i="106"/>
  <c r="B243" i="106"/>
  <c r="B242" i="106"/>
  <c r="B241" i="106"/>
  <c r="B245" i="106"/>
  <c r="B249" i="106"/>
  <c r="B240" i="106"/>
  <c r="B239" i="106"/>
  <c r="B238" i="106"/>
  <c r="B237" i="106"/>
  <c r="B255" i="106"/>
  <c r="B236" i="106"/>
  <c r="B234" i="106"/>
  <c r="B233" i="106"/>
  <c r="B232" i="106"/>
  <c r="B231" i="106"/>
  <c r="B230" i="106"/>
  <c r="E229" i="106"/>
  <c r="B229" i="106"/>
  <c r="B227" i="106"/>
  <c r="B226" i="106"/>
  <c r="B225" i="106"/>
  <c r="B224" i="106"/>
  <c r="B223" i="106"/>
  <c r="B222" i="106"/>
  <c r="B221" i="106"/>
  <c r="B220" i="106"/>
  <c r="B219" i="106"/>
  <c r="B218" i="106"/>
  <c r="B217" i="106"/>
  <c r="B216" i="106"/>
  <c r="B215" i="106"/>
  <c r="B214" i="106"/>
  <c r="B213" i="106"/>
  <c r="B212" i="106"/>
  <c r="B211" i="106"/>
  <c r="B210" i="106"/>
  <c r="B344" i="106"/>
  <c r="B209" i="106"/>
  <c r="B208" i="106"/>
  <c r="B207" i="106"/>
  <c r="B206" i="106"/>
  <c r="B204" i="106"/>
  <c r="B203" i="106"/>
  <c r="E202" i="106"/>
  <c r="B202" i="106"/>
  <c r="B200" i="106"/>
  <c r="B199" i="106"/>
  <c r="B198" i="106"/>
  <c r="B197" i="106"/>
  <c r="B196" i="106"/>
  <c r="B195" i="106"/>
  <c r="B194" i="106"/>
  <c r="B193" i="106"/>
  <c r="B192" i="106"/>
  <c r="E191" i="106"/>
  <c r="B191" i="106"/>
  <c r="B190" i="106"/>
  <c r="B189" i="106"/>
  <c r="B188" i="106"/>
  <c r="B187" i="106"/>
  <c r="B186" i="106"/>
  <c r="B185" i="106"/>
  <c r="B184" i="106"/>
  <c r="B183" i="106"/>
  <c r="F182" i="106"/>
  <c r="B182" i="106"/>
  <c r="B181" i="106"/>
  <c r="B180" i="106"/>
  <c r="B179" i="106"/>
  <c r="B178" i="106"/>
  <c r="B177" i="106"/>
  <c r="B176" i="106"/>
  <c r="B175" i="106"/>
  <c r="B174" i="106"/>
  <c r="B173" i="106"/>
  <c r="B172" i="106"/>
  <c r="B171" i="106"/>
  <c r="B170" i="106"/>
  <c r="B169" i="106"/>
  <c r="B168" i="106"/>
  <c r="B167" i="106"/>
  <c r="B166" i="106"/>
  <c r="B165" i="106"/>
  <c r="B164" i="106"/>
  <c r="B163" i="106"/>
  <c r="B162" i="106"/>
  <c r="B161" i="106"/>
  <c r="B160" i="106"/>
  <c r="B159" i="106"/>
  <c r="B158" i="106"/>
  <c r="B157" i="106"/>
  <c r="B156" i="106"/>
  <c r="B155" i="106"/>
  <c r="B154" i="106"/>
  <c r="B153" i="106"/>
  <c r="B152" i="106"/>
  <c r="B151" i="106"/>
  <c r="B150" i="106"/>
  <c r="B149" i="106"/>
  <c r="B148" i="106"/>
  <c r="B147" i="106"/>
  <c r="B146" i="106"/>
  <c r="B145" i="106"/>
  <c r="B144" i="106"/>
  <c r="B143" i="106"/>
  <c r="B142" i="106"/>
  <c r="B141" i="106"/>
  <c r="B139" i="106"/>
  <c r="B138" i="106"/>
  <c r="B137" i="106"/>
  <c r="B136" i="106"/>
  <c r="B135" i="106"/>
  <c r="B134" i="106"/>
  <c r="B133" i="106"/>
  <c r="B132" i="106"/>
  <c r="B131" i="106"/>
  <c r="B130" i="106"/>
  <c r="B129" i="106"/>
  <c r="B128" i="106"/>
  <c r="B127" i="106"/>
  <c r="B126" i="106"/>
  <c r="B125" i="106"/>
  <c r="F124" i="106"/>
  <c r="B124" i="106"/>
  <c r="B123" i="106"/>
  <c r="B122" i="106"/>
  <c r="B121" i="106"/>
  <c r="B120" i="106"/>
  <c r="B119" i="106"/>
  <c r="B118" i="106"/>
  <c r="B117" i="106"/>
  <c r="B116" i="106"/>
  <c r="B115" i="106"/>
  <c r="B114" i="106"/>
  <c r="B113" i="106"/>
  <c r="B112" i="106"/>
  <c r="B111" i="106"/>
  <c r="B110" i="106"/>
  <c r="B109" i="106"/>
  <c r="B108" i="106"/>
  <c r="B107" i="106"/>
  <c r="B106" i="106"/>
  <c r="B105" i="106"/>
  <c r="B103" i="106"/>
  <c r="B102" i="106"/>
  <c r="B101" i="106"/>
  <c r="B100" i="106"/>
  <c r="B99" i="106"/>
  <c r="B98" i="106"/>
  <c r="B96" i="106"/>
  <c r="B95" i="106"/>
  <c r="B94" i="106"/>
  <c r="B93" i="106"/>
  <c r="B92" i="106"/>
  <c r="B91" i="106"/>
  <c r="B90" i="106"/>
  <c r="B89" i="106"/>
  <c r="B88" i="106"/>
  <c r="B87" i="106"/>
  <c r="B86" i="106"/>
  <c r="B85" i="106"/>
  <c r="B84" i="106"/>
  <c r="B83" i="106"/>
  <c r="B82" i="106"/>
  <c r="B81" i="106"/>
  <c r="B80" i="106"/>
  <c r="B79" i="106"/>
  <c r="B97" i="106"/>
  <c r="B78" i="106"/>
  <c r="B77" i="106"/>
  <c r="B76" i="106"/>
  <c r="B75" i="106"/>
  <c r="B74" i="106"/>
  <c r="B73" i="106"/>
  <c r="B72" i="106"/>
  <c r="B71" i="106"/>
  <c r="B70" i="106"/>
  <c r="B69" i="106"/>
  <c r="B68" i="106"/>
  <c r="B67" i="106"/>
  <c r="B66" i="106"/>
  <c r="B65" i="106"/>
  <c r="B64" i="106"/>
  <c r="B63" i="106"/>
  <c r="B62" i="106"/>
  <c r="B60" i="106"/>
  <c r="B59" i="106"/>
  <c r="B58" i="106"/>
  <c r="B61" i="106"/>
  <c r="B57" i="106"/>
  <c r="B56" i="106"/>
  <c r="B55" i="106"/>
  <c r="B54" i="106"/>
  <c r="B53" i="106"/>
  <c r="B52" i="106"/>
  <c r="B51" i="106"/>
  <c r="B50" i="106"/>
  <c r="B49" i="106"/>
  <c r="B47" i="106"/>
  <c r="B48" i="106"/>
  <c r="B46" i="106"/>
  <c r="B44" i="106"/>
  <c r="B43" i="106"/>
  <c r="B41" i="106"/>
  <c r="B40" i="106"/>
  <c r="B42" i="106"/>
  <c r="B39" i="106"/>
  <c r="B38" i="106"/>
  <c r="B37" i="106"/>
  <c r="B36" i="106"/>
  <c r="B34" i="106"/>
  <c r="B32" i="106"/>
  <c r="B31" i="106"/>
  <c r="B29" i="106"/>
  <c r="B28" i="106"/>
  <c r="B27" i="106"/>
  <c r="B26" i="106"/>
  <c r="B25" i="106"/>
  <c r="B24" i="106"/>
  <c r="B23" i="106"/>
  <c r="B22" i="106"/>
  <c r="B21" i="106"/>
  <c r="B20" i="106"/>
  <c r="B19" i="106"/>
  <c r="B18" i="106"/>
  <c r="B17" i="106"/>
  <c r="B16" i="106"/>
  <c r="B15" i="106"/>
  <c r="B14" i="106"/>
  <c r="B13" i="106"/>
  <c r="B12" i="106"/>
  <c r="B11" i="106"/>
  <c r="B10" i="106"/>
  <c r="B9" i="106"/>
  <c r="B8" i="106"/>
  <c r="B7" i="106"/>
  <c r="B6" i="106"/>
  <c r="B4" i="106"/>
  <c r="B3" i="106"/>
  <c r="D187" i="123"/>
  <c r="D183" i="123"/>
  <c r="F146" i="123"/>
  <c r="F142" i="123"/>
  <c r="F55" i="119"/>
  <c r="B139" i="123"/>
  <c r="F138" i="123"/>
  <c r="F143" i="123" s="1"/>
  <c r="B135" i="123"/>
  <c r="B134" i="123"/>
  <c r="F133" i="123"/>
  <c r="F53" i="119"/>
  <c r="B131" i="123"/>
  <c r="B129" i="123"/>
  <c r="F128" i="123"/>
  <c r="C128" i="123"/>
  <c r="B128" i="123"/>
  <c r="B127" i="123"/>
  <c r="B126" i="123"/>
  <c r="B125" i="123"/>
  <c r="F124" i="123"/>
  <c r="F52" i="119"/>
  <c r="B121" i="123"/>
  <c r="B120" i="123"/>
  <c r="B119" i="123"/>
  <c r="F118" i="123"/>
  <c r="F51" i="119" s="1"/>
  <c r="B115" i="123"/>
  <c r="B114" i="123"/>
  <c r="F113" i="123"/>
  <c r="F50" i="119" s="1"/>
  <c r="B110" i="123"/>
  <c r="B109" i="123"/>
  <c r="F108" i="123"/>
  <c r="F49" i="119" s="1"/>
  <c r="B105" i="123"/>
  <c r="B104" i="123"/>
  <c r="F103" i="123"/>
  <c r="F48" i="119"/>
  <c r="B101" i="123"/>
  <c r="B99" i="123"/>
  <c r="B98" i="123"/>
  <c r="B97" i="123"/>
  <c r="B96" i="123"/>
  <c r="F95" i="123"/>
  <c r="F47" i="119" s="1"/>
  <c r="B92" i="123"/>
  <c r="B91" i="123"/>
  <c r="B90" i="123"/>
  <c r="F89" i="123"/>
  <c r="F46" i="119" s="1"/>
  <c r="F85" i="123"/>
  <c r="B85" i="123"/>
  <c r="B84" i="123"/>
  <c r="B82" i="123"/>
  <c r="F81" i="123"/>
  <c r="F45" i="119" s="1"/>
  <c r="B78" i="123"/>
  <c r="F77" i="123"/>
  <c r="F44" i="119"/>
  <c r="B74" i="123"/>
  <c r="B73" i="123"/>
  <c r="F72" i="123"/>
  <c r="F69" i="123"/>
  <c r="F42" i="119"/>
  <c r="B66" i="123"/>
  <c r="F65" i="123"/>
  <c r="F41" i="119" s="1"/>
  <c r="B61" i="123"/>
  <c r="F60" i="123"/>
  <c r="F40" i="119"/>
  <c r="B57" i="123"/>
  <c r="B56" i="123"/>
  <c r="F55" i="123"/>
  <c r="F56" i="123" s="1"/>
  <c r="F52" i="123"/>
  <c r="B52" i="123"/>
  <c r="B51" i="123"/>
  <c r="B50" i="123"/>
  <c r="F49" i="123"/>
  <c r="F38" i="119"/>
  <c r="B46" i="123"/>
  <c r="F45" i="123"/>
  <c r="F37" i="119" s="1"/>
  <c r="B42" i="123"/>
  <c r="B41" i="123"/>
  <c r="B40" i="123"/>
  <c r="F39" i="123"/>
  <c r="F40" i="123" s="1"/>
  <c r="F36" i="119"/>
  <c r="B36" i="123"/>
  <c r="B35" i="123"/>
  <c r="E30" i="123"/>
  <c r="F34" i="123"/>
  <c r="F35" i="123" s="1"/>
  <c r="B30" i="123"/>
  <c r="B29" i="123"/>
  <c r="B28" i="123"/>
  <c r="F27" i="123"/>
  <c r="B27" i="123"/>
  <c r="B26" i="123"/>
  <c r="B25" i="123"/>
  <c r="B24" i="123"/>
  <c r="F23" i="123"/>
  <c r="F34" i="119"/>
  <c r="B20" i="123"/>
  <c r="B19" i="123"/>
  <c r="F18" i="123"/>
  <c r="F33" i="119" s="1"/>
  <c r="F14" i="123"/>
  <c r="B14" i="123"/>
  <c r="B13" i="123"/>
  <c r="F12" i="123"/>
  <c r="B12" i="123"/>
  <c r="B11" i="123"/>
  <c r="B10" i="123"/>
  <c r="F9" i="123"/>
  <c r="B9" i="123"/>
  <c r="B8" i="123"/>
  <c r="F7" i="123"/>
  <c r="F8" i="123"/>
  <c r="B4" i="123"/>
  <c r="B3" i="123"/>
  <c r="F367" i="122"/>
  <c r="E367" i="122"/>
  <c r="E365" i="122"/>
  <c r="E363" i="122"/>
  <c r="E361" i="122"/>
  <c r="E360" i="122"/>
  <c r="D360" i="122"/>
  <c r="B351" i="122"/>
  <c r="B350" i="122"/>
  <c r="B349" i="122"/>
  <c r="B348" i="122"/>
  <c r="F347" i="122"/>
  <c r="B347" i="122"/>
  <c r="B346" i="122"/>
  <c r="F345" i="122"/>
  <c r="B345" i="122"/>
  <c r="B344" i="122"/>
  <c r="B343" i="122"/>
  <c r="F342" i="122"/>
  <c r="B342" i="122"/>
  <c r="B341" i="122"/>
  <c r="F340" i="122"/>
  <c r="B340" i="122"/>
  <c r="B339" i="122"/>
  <c r="B338" i="122"/>
  <c r="B337" i="122"/>
  <c r="B336" i="122"/>
  <c r="B335" i="122"/>
  <c r="B334" i="122"/>
  <c r="B333" i="122"/>
  <c r="B332" i="122"/>
  <c r="B331" i="122"/>
  <c r="B330" i="122"/>
  <c r="B329" i="122"/>
  <c r="F328" i="122"/>
  <c r="B328" i="122"/>
  <c r="B327" i="122"/>
  <c r="B326" i="122"/>
  <c r="B325" i="122"/>
  <c r="B324" i="122"/>
  <c r="B323" i="122"/>
  <c r="B322" i="122"/>
  <c r="B321" i="122"/>
  <c r="B320" i="122"/>
  <c r="B319" i="122"/>
  <c r="B318" i="122"/>
  <c r="B317" i="122"/>
  <c r="B316" i="122"/>
  <c r="B315" i="122"/>
  <c r="B314" i="122"/>
  <c r="B313" i="122"/>
  <c r="B312" i="122"/>
  <c r="B311" i="122"/>
  <c r="B310" i="122"/>
  <c r="B309" i="122"/>
  <c r="B308" i="122"/>
  <c r="F307" i="122"/>
  <c r="B307" i="122"/>
  <c r="B306" i="122"/>
  <c r="B305" i="122"/>
  <c r="F304" i="122"/>
  <c r="E304" i="122"/>
  <c r="B304" i="122"/>
  <c r="E303" i="122"/>
  <c r="B303" i="122"/>
  <c r="E302" i="122"/>
  <c r="B302" i="122"/>
  <c r="E301" i="122"/>
  <c r="B301" i="122"/>
  <c r="B300" i="122"/>
  <c r="B299" i="122"/>
  <c r="B298" i="122"/>
  <c r="B297" i="122"/>
  <c r="F295" i="122"/>
  <c r="B295" i="122"/>
  <c r="B294" i="122"/>
  <c r="B293" i="122"/>
  <c r="B292" i="122"/>
  <c r="F290" i="122"/>
  <c r="B290" i="122"/>
  <c r="B289" i="122"/>
  <c r="B287" i="122"/>
  <c r="B286" i="122"/>
  <c r="B285" i="122"/>
  <c r="B284" i="122"/>
  <c r="B283" i="122"/>
  <c r="B282" i="122"/>
  <c r="B281" i="122"/>
  <c r="B279" i="122"/>
  <c r="B278" i="122"/>
  <c r="B277" i="122"/>
  <c r="B276" i="122"/>
  <c r="B275" i="122"/>
  <c r="B274" i="122"/>
  <c r="E273" i="122"/>
  <c r="B273" i="122"/>
  <c r="B271" i="122"/>
  <c r="B270" i="122"/>
  <c r="B269" i="122"/>
  <c r="B268" i="122"/>
  <c r="B267" i="122"/>
  <c r="B266" i="122"/>
  <c r="B265" i="122"/>
  <c r="B264" i="122"/>
  <c r="B263" i="122"/>
  <c r="B262" i="122"/>
  <c r="B261" i="122"/>
  <c r="B260" i="122"/>
  <c r="B258" i="122"/>
  <c r="B257" i="122"/>
  <c r="B256" i="122"/>
  <c r="B255" i="122"/>
  <c r="B259" i="122"/>
  <c r="B254" i="122"/>
  <c r="B253" i="122"/>
  <c r="B252" i="122"/>
  <c r="B251" i="122"/>
  <c r="B250" i="122"/>
  <c r="B249" i="122"/>
  <c r="B248" i="122"/>
  <c r="B247" i="122"/>
  <c r="B246" i="122"/>
  <c r="B245" i="122"/>
  <c r="B244" i="122"/>
  <c r="C243" i="122"/>
  <c r="B243" i="122"/>
  <c r="B242" i="122"/>
  <c r="B241" i="122"/>
  <c r="B240" i="122"/>
  <c r="C239" i="122"/>
  <c r="B239" i="122"/>
  <c r="B238" i="122"/>
  <c r="B237" i="122"/>
  <c r="B236" i="122"/>
  <c r="B235" i="122"/>
  <c r="C234" i="122"/>
  <c r="B234" i="122"/>
  <c r="B233" i="122"/>
  <c r="B232" i="122"/>
  <c r="B231" i="122"/>
  <c r="B230" i="122"/>
  <c r="B229" i="122"/>
  <c r="C228" i="122"/>
  <c r="B228" i="122"/>
  <c r="B227" i="122"/>
  <c r="B226" i="122"/>
  <c r="B225" i="122"/>
  <c r="B224" i="122"/>
  <c r="B223" i="122"/>
  <c r="B222" i="122"/>
  <c r="B221" i="122"/>
  <c r="B220" i="122"/>
  <c r="C219" i="122"/>
  <c r="B219" i="122"/>
  <c r="B218" i="122"/>
  <c r="B217" i="122"/>
  <c r="B216" i="122"/>
  <c r="B215" i="122"/>
  <c r="B214" i="122"/>
  <c r="F213" i="122"/>
  <c r="B213" i="122"/>
  <c r="B212" i="122"/>
  <c r="B211" i="122"/>
  <c r="B210" i="122"/>
  <c r="B209" i="122"/>
  <c r="F208" i="122"/>
  <c r="B208" i="122"/>
  <c r="B207" i="122"/>
  <c r="B206" i="122"/>
  <c r="B205" i="122"/>
  <c r="B204" i="122"/>
  <c r="F203" i="122"/>
  <c r="B203" i="122"/>
  <c r="B202" i="122"/>
  <c r="B201" i="122"/>
  <c r="B200" i="122"/>
  <c r="B199" i="122"/>
  <c r="B198" i="122"/>
  <c r="C197" i="122"/>
  <c r="B197" i="122"/>
  <c r="B196" i="122"/>
  <c r="B195" i="122"/>
  <c r="B194" i="122"/>
  <c r="B193" i="122"/>
  <c r="C192" i="122"/>
  <c r="B192" i="122"/>
  <c r="B191" i="122"/>
  <c r="F190" i="122"/>
  <c r="B190" i="122"/>
  <c r="B189" i="122"/>
  <c r="B188" i="122"/>
  <c r="B187" i="122"/>
  <c r="B186" i="122"/>
  <c r="B185" i="122"/>
  <c r="B184" i="122"/>
  <c r="B183" i="122"/>
  <c r="B182" i="122"/>
  <c r="B181" i="122"/>
  <c r="B180" i="122"/>
  <c r="B179" i="122"/>
  <c r="B178" i="122"/>
  <c r="B177" i="122"/>
  <c r="B176" i="122"/>
  <c r="B175" i="122"/>
  <c r="F174" i="122"/>
  <c r="B174" i="122"/>
  <c r="B173" i="122"/>
  <c r="B171" i="122"/>
  <c r="B170" i="122"/>
  <c r="B169" i="122"/>
  <c r="B168" i="122"/>
  <c r="B167" i="122"/>
  <c r="E166" i="122"/>
  <c r="B166" i="122"/>
  <c r="B164" i="122"/>
  <c r="B163" i="122"/>
  <c r="B162" i="122"/>
  <c r="B161" i="122"/>
  <c r="B160" i="122"/>
  <c r="B159" i="122"/>
  <c r="B158" i="122"/>
  <c r="B157" i="122"/>
  <c r="B156" i="122"/>
  <c r="B155" i="122"/>
  <c r="F154" i="122"/>
  <c r="B154" i="122"/>
  <c r="B153" i="122"/>
  <c r="B152" i="122"/>
  <c r="B151" i="122"/>
  <c r="B149" i="122"/>
  <c r="B148" i="122"/>
  <c r="B147" i="122"/>
  <c r="B146" i="122"/>
  <c r="B145" i="122"/>
  <c r="E144" i="122"/>
  <c r="B144" i="122"/>
  <c r="B142" i="122"/>
  <c r="B141" i="122"/>
  <c r="B140" i="122"/>
  <c r="B139" i="122"/>
  <c r="B138" i="122"/>
  <c r="B137" i="122"/>
  <c r="B136" i="122"/>
  <c r="B135" i="122"/>
  <c r="B134" i="122"/>
  <c r="B133" i="122"/>
  <c r="B132" i="122"/>
  <c r="B131" i="122"/>
  <c r="B130" i="122"/>
  <c r="B129" i="122"/>
  <c r="B128" i="122"/>
  <c r="F127" i="122"/>
  <c r="B127" i="122"/>
  <c r="B126" i="122"/>
  <c r="B125" i="122"/>
  <c r="B124" i="122"/>
  <c r="B123" i="122"/>
  <c r="B122" i="122"/>
  <c r="B121" i="122"/>
  <c r="B120" i="122"/>
  <c r="B119" i="122"/>
  <c r="F118" i="122"/>
  <c r="B118" i="122"/>
  <c r="B117" i="122"/>
  <c r="B116" i="122"/>
  <c r="B115" i="122"/>
  <c r="B114" i="122"/>
  <c r="B113" i="122"/>
  <c r="B112" i="122"/>
  <c r="B111" i="122"/>
  <c r="B110" i="122"/>
  <c r="B109" i="122"/>
  <c r="B108" i="122"/>
  <c r="B107" i="122"/>
  <c r="B106" i="122"/>
  <c r="F105" i="122"/>
  <c r="B105" i="122"/>
  <c r="B104" i="122"/>
  <c r="B103" i="122"/>
  <c r="B102" i="122"/>
  <c r="B101" i="122"/>
  <c r="B100" i="122"/>
  <c r="B99" i="122"/>
  <c r="B98" i="122"/>
  <c r="B97" i="122"/>
  <c r="B96" i="122"/>
  <c r="B95" i="122"/>
  <c r="B94" i="122"/>
  <c r="B93" i="122"/>
  <c r="B92" i="122"/>
  <c r="B91" i="122"/>
  <c r="B90" i="122"/>
  <c r="B89" i="122"/>
  <c r="B88" i="122"/>
  <c r="B87" i="122"/>
  <c r="E86" i="122"/>
  <c r="B86" i="122"/>
  <c r="E85" i="122"/>
  <c r="B85" i="122"/>
  <c r="B84" i="122"/>
  <c r="B83" i="122"/>
  <c r="B82" i="122"/>
  <c r="B81" i="122"/>
  <c r="B80" i="122"/>
  <c r="B79" i="122"/>
  <c r="B78" i="122"/>
  <c r="B77" i="122"/>
  <c r="B76" i="122"/>
  <c r="B75" i="122"/>
  <c r="B74" i="122"/>
  <c r="F73" i="122"/>
  <c r="B73" i="122"/>
  <c r="B72" i="122"/>
  <c r="B71" i="122"/>
  <c r="B70" i="122"/>
  <c r="B69" i="122"/>
  <c r="B68" i="122"/>
  <c r="B67" i="122"/>
  <c r="B66" i="122"/>
  <c r="B64" i="122"/>
  <c r="B63" i="122"/>
  <c r="B62" i="122"/>
  <c r="B61" i="122"/>
  <c r="B60" i="122"/>
  <c r="B59" i="122"/>
  <c r="E58" i="122"/>
  <c r="B58" i="122"/>
  <c r="E56" i="122"/>
  <c r="B56" i="122"/>
  <c r="B55" i="122"/>
  <c r="B54" i="122"/>
  <c r="B53" i="122"/>
  <c r="B52" i="122"/>
  <c r="B51" i="122"/>
  <c r="B50" i="122"/>
  <c r="B49" i="122"/>
  <c r="B48" i="122"/>
  <c r="B47" i="122"/>
  <c r="B46" i="122"/>
  <c r="B45" i="122"/>
  <c r="B44" i="122"/>
  <c r="B43" i="122"/>
  <c r="B42" i="122"/>
  <c r="B41" i="122"/>
  <c r="B40" i="122"/>
  <c r="B39" i="122"/>
  <c r="F37" i="122"/>
  <c r="B37" i="122"/>
  <c r="B36" i="122"/>
  <c r="F34" i="122"/>
  <c r="B34" i="122"/>
  <c r="B33" i="122"/>
  <c r="B32" i="122"/>
  <c r="B31" i="122"/>
  <c r="B30" i="122"/>
  <c r="B29" i="122"/>
  <c r="B28" i="122"/>
  <c r="B27" i="122"/>
  <c r="B26" i="122"/>
  <c r="B25" i="122"/>
  <c r="B24" i="122"/>
  <c r="B23" i="122"/>
  <c r="E22" i="122"/>
  <c r="B22" i="122"/>
  <c r="B21" i="122"/>
  <c r="F20" i="122"/>
  <c r="B20" i="122"/>
  <c r="B19" i="122"/>
  <c r="B18" i="122"/>
  <c r="B17" i="122"/>
  <c r="F16" i="122"/>
  <c r="B16" i="122"/>
  <c r="B15" i="122"/>
  <c r="B14" i="122"/>
  <c r="F13" i="122"/>
  <c r="B13" i="122"/>
  <c r="B12" i="122"/>
  <c r="B11" i="122"/>
  <c r="E10" i="122"/>
  <c r="B10" i="122"/>
  <c r="B9" i="122"/>
  <c r="B8" i="122"/>
  <c r="B7" i="122"/>
  <c r="B6" i="122"/>
  <c r="B5" i="122"/>
  <c r="B4" i="122"/>
  <c r="B3" i="122"/>
  <c r="B2" i="122"/>
  <c r="E33" i="124"/>
  <c r="E30" i="124"/>
  <c r="E31" i="124"/>
  <c r="D30" i="124"/>
  <c r="B22" i="124"/>
  <c r="B20" i="124"/>
  <c r="B19" i="124"/>
  <c r="B18" i="124"/>
  <c r="B17" i="124"/>
  <c r="B16" i="124"/>
  <c r="B15" i="124"/>
  <c r="B14" i="124"/>
  <c r="B13" i="124"/>
  <c r="B12" i="124"/>
  <c r="B11" i="124"/>
  <c r="B10" i="124"/>
  <c r="B9" i="124"/>
  <c r="B8" i="124"/>
  <c r="B7" i="124"/>
  <c r="B6" i="124"/>
  <c r="B5" i="124"/>
  <c r="B4" i="124"/>
  <c r="B3" i="124"/>
  <c r="B2" i="124"/>
  <c r="D804" i="128"/>
  <c r="F192" i="128"/>
  <c r="C55" i="119" s="1"/>
  <c r="F188" i="128"/>
  <c r="C54" i="119" s="1"/>
  <c r="B185" i="128"/>
  <c r="B184" i="128"/>
  <c r="B183" i="128"/>
  <c r="B182" i="128"/>
  <c r="B181" i="128"/>
  <c r="B180" i="128"/>
  <c r="B179" i="128"/>
  <c r="F178" i="128"/>
  <c r="C53" i="119" s="1"/>
  <c r="B174" i="128"/>
  <c r="F173" i="128"/>
  <c r="B169" i="128"/>
  <c r="F168" i="128"/>
  <c r="C51" i="119" s="1"/>
  <c r="B165" i="128"/>
  <c r="F164" i="128"/>
  <c r="C50" i="119" s="1"/>
  <c r="B161" i="128"/>
  <c r="B171" i="128" s="1"/>
  <c r="B160" i="128"/>
  <c r="B159" i="128"/>
  <c r="B158" i="128"/>
  <c r="B157" i="128"/>
  <c r="F156" i="128"/>
  <c r="C49" i="119" s="1"/>
  <c r="B153" i="128"/>
  <c r="F152" i="128"/>
  <c r="C48" i="119" s="1"/>
  <c r="B150" i="128"/>
  <c r="B148" i="128"/>
  <c r="B147" i="128"/>
  <c r="F146" i="128"/>
  <c r="C47" i="119" s="1"/>
  <c r="B144" i="128"/>
  <c r="B142" i="128"/>
  <c r="B141" i="128"/>
  <c r="B140" i="128"/>
  <c r="F139" i="128"/>
  <c r="C46" i="119" s="1"/>
  <c r="B136" i="128"/>
  <c r="F135" i="128"/>
  <c r="C45" i="119" s="1"/>
  <c r="B132" i="128"/>
  <c r="F131" i="128"/>
  <c r="C44" i="119" s="1"/>
  <c r="B128" i="128"/>
  <c r="B127" i="128"/>
  <c r="F126" i="128"/>
  <c r="B123" i="128"/>
  <c r="F122" i="128"/>
  <c r="C42" i="119" s="1"/>
  <c r="B121" i="128"/>
  <c r="B120" i="128"/>
  <c r="B118" i="128"/>
  <c r="B117" i="128"/>
  <c r="F116" i="128"/>
  <c r="C41" i="119" s="1"/>
  <c r="B115" i="128"/>
  <c r="B111" i="128"/>
  <c r="F110" i="128"/>
  <c r="C40" i="119" s="1"/>
  <c r="B107" i="128"/>
  <c r="B106" i="128"/>
  <c r="B105" i="128"/>
  <c r="B104" i="128"/>
  <c r="F103" i="128"/>
  <c r="C39" i="119" s="1"/>
  <c r="B100" i="128"/>
  <c r="B99" i="128"/>
  <c r="F98" i="128"/>
  <c r="B95" i="128"/>
  <c r="F94" i="128"/>
  <c r="C37" i="119" s="1"/>
  <c r="B91" i="128"/>
  <c r="B90" i="128"/>
  <c r="B89" i="128"/>
  <c r="B88" i="128"/>
  <c r="F87" i="128"/>
  <c r="B86" i="128"/>
  <c r="B85" i="128"/>
  <c r="B84" i="128"/>
  <c r="B82" i="128"/>
  <c r="B81" i="128"/>
  <c r="F80" i="128"/>
  <c r="C35" i="119" s="1"/>
  <c r="B77" i="128"/>
  <c r="B76" i="128"/>
  <c r="B75" i="128"/>
  <c r="B74" i="128"/>
  <c r="F73" i="128"/>
  <c r="C34" i="119" s="1"/>
  <c r="F72" i="128"/>
  <c r="B70" i="128"/>
  <c r="B69" i="128"/>
  <c r="F68" i="128"/>
  <c r="C33" i="119" s="1"/>
  <c r="F67" i="128"/>
  <c r="B65" i="128"/>
  <c r="B64" i="128"/>
  <c r="B63" i="128"/>
  <c r="B61" i="128"/>
  <c r="F60" i="128"/>
  <c r="C30" i="119" s="1"/>
  <c r="F59" i="128"/>
  <c r="B57" i="128"/>
  <c r="F56" i="128"/>
  <c r="C29" i="119" s="1"/>
  <c r="B53" i="128"/>
  <c r="B49" i="128"/>
  <c r="B47" i="128"/>
  <c r="F46" i="128"/>
  <c r="E47" i="128" s="1"/>
  <c r="B46" i="128"/>
  <c r="B45" i="128"/>
  <c r="B44" i="128"/>
  <c r="B43" i="128"/>
  <c r="B42" i="128"/>
  <c r="B40" i="128"/>
  <c r="B38" i="128"/>
  <c r="B37" i="128"/>
  <c r="F36" i="128"/>
  <c r="C27" i="119" s="1"/>
  <c r="B35" i="128"/>
  <c r="B34" i="128"/>
  <c r="B33" i="128"/>
  <c r="B32" i="128"/>
  <c r="B39" i="128" s="1"/>
  <c r="B31" i="128"/>
  <c r="B29" i="128"/>
  <c r="B28" i="128"/>
  <c r="F27" i="128"/>
  <c r="C26" i="119" s="1"/>
  <c r="B26" i="128"/>
  <c r="B25" i="128"/>
  <c r="B24" i="128"/>
  <c r="B23" i="128"/>
  <c r="F21" i="128"/>
  <c r="B21" i="128"/>
  <c r="B20" i="128"/>
  <c r="B19" i="128"/>
  <c r="B18" i="128"/>
  <c r="B17" i="128"/>
  <c r="B16" i="128"/>
  <c r="B15" i="128"/>
  <c r="F14" i="128"/>
  <c r="C25" i="119" s="1"/>
  <c r="B10" i="128"/>
  <c r="B9" i="128"/>
  <c r="B4" i="128"/>
  <c r="B3" i="128"/>
  <c r="E9384" i="16"/>
  <c r="E9383" i="16"/>
  <c r="F9070" i="16"/>
  <c r="B9069" i="16"/>
  <c r="B9067" i="16"/>
  <c r="B9066" i="16"/>
  <c r="B9064" i="16"/>
  <c r="B9063" i="16"/>
  <c r="E9062" i="16"/>
  <c r="B9062" i="16"/>
  <c r="B9060" i="16"/>
  <c r="B9059" i="16"/>
  <c r="B9058" i="16"/>
  <c r="B9057" i="16"/>
  <c r="B9056" i="16"/>
  <c r="B9055" i="16"/>
  <c r="B9054" i="16"/>
  <c r="B9053" i="16"/>
  <c r="B9051" i="16"/>
  <c r="B9050" i="16"/>
  <c r="B9049" i="16"/>
  <c r="B9048" i="16"/>
  <c r="B9047" i="16"/>
  <c r="B9046" i="16"/>
  <c r="B9045" i="16"/>
  <c r="B9044" i="16"/>
  <c r="B9043" i="16"/>
  <c r="B9042" i="16"/>
  <c r="B9041" i="16"/>
  <c r="B9040" i="16"/>
  <c r="B9039" i="16"/>
  <c r="B9038" i="16"/>
  <c r="B9036" i="16"/>
  <c r="B9035" i="16"/>
  <c r="F9034" i="16"/>
  <c r="B9033" i="16"/>
  <c r="B9032" i="16"/>
  <c r="B9031" i="16"/>
  <c r="B9030" i="16"/>
  <c r="B9029" i="16"/>
  <c r="B9027" i="16"/>
  <c r="B9026" i="16"/>
  <c r="E9025" i="16"/>
  <c r="B9025" i="16"/>
  <c r="B9023" i="16"/>
  <c r="B9022" i="16"/>
  <c r="B9021" i="16"/>
  <c r="B9020" i="16"/>
  <c r="B9019" i="16"/>
  <c r="B9018" i="16"/>
  <c r="B9017" i="16"/>
  <c r="B9016" i="16"/>
  <c r="B9015" i="16"/>
  <c r="B9014" i="16"/>
  <c r="B9013" i="16"/>
  <c r="B9012" i="16"/>
  <c r="B9011" i="16"/>
  <c r="B9010" i="16"/>
  <c r="B9009" i="16"/>
  <c r="B9008" i="16"/>
  <c r="B9007" i="16"/>
  <c r="B9005" i="16"/>
  <c r="B9004" i="16"/>
  <c r="B9002" i="16"/>
  <c r="B9001" i="16"/>
  <c r="B9000" i="16"/>
  <c r="B8999" i="16"/>
  <c r="B8998" i="16"/>
  <c r="B8997" i="16"/>
  <c r="E8996" i="16"/>
  <c r="B8996" i="16"/>
  <c r="B8994" i="16"/>
  <c r="B8992" i="16"/>
  <c r="B8991" i="16"/>
  <c r="B8990" i="16"/>
  <c r="B8989" i="16"/>
  <c r="B8988" i="16"/>
  <c r="B8987" i="16"/>
  <c r="B8986" i="16"/>
  <c r="B8985" i="16"/>
  <c r="B8984" i="16"/>
  <c r="B8982" i="16"/>
  <c r="B8981" i="16"/>
  <c r="E8980" i="16"/>
  <c r="B8980" i="16"/>
  <c r="B8978" i="16"/>
  <c r="B8977" i="16"/>
  <c r="E8976" i="16"/>
  <c r="B8976" i="16"/>
  <c r="B8974" i="16"/>
  <c r="B8973" i="16"/>
  <c r="B8972" i="16"/>
  <c r="B8971" i="16"/>
  <c r="B8970" i="16"/>
  <c r="B8969" i="16"/>
  <c r="B8968" i="16"/>
  <c r="B8967" i="16"/>
  <c r="B8966" i="16"/>
  <c r="B8965" i="16"/>
  <c r="B8964" i="16"/>
  <c r="B8963" i="16"/>
  <c r="B8962" i="16"/>
  <c r="B8961" i="16"/>
  <c r="B8960" i="16"/>
  <c r="B8959" i="16"/>
  <c r="B8958" i="16"/>
  <c r="B8957" i="16"/>
  <c r="B8956" i="16"/>
  <c r="B8955" i="16"/>
  <c r="B8954" i="16"/>
  <c r="B8952" i="16"/>
  <c r="B8951" i="16"/>
  <c r="B8950" i="16"/>
  <c r="B8949" i="16"/>
  <c r="B8948" i="16"/>
  <c r="B8947" i="16"/>
  <c r="B8946" i="16"/>
  <c r="B8945" i="16"/>
  <c r="B8944" i="16"/>
  <c r="F8943" i="16"/>
  <c r="B8942" i="16"/>
  <c r="B8941" i="16"/>
  <c r="B8940" i="16"/>
  <c r="B8939" i="16"/>
  <c r="B8938" i="16"/>
  <c r="B8936" i="16"/>
  <c r="B8935" i="16"/>
  <c r="B8934" i="16"/>
  <c r="B8933" i="16"/>
  <c r="B8932" i="16"/>
  <c r="B8931" i="16"/>
  <c r="E8930" i="16"/>
  <c r="B8930" i="16"/>
  <c r="F8928" i="16"/>
  <c r="B8928" i="16"/>
  <c r="B8927" i="16"/>
  <c r="B8926" i="16"/>
  <c r="B8924" i="16"/>
  <c r="B8923" i="16"/>
  <c r="E8922" i="16"/>
  <c r="B8922" i="16"/>
  <c r="B8920" i="16"/>
  <c r="B8919" i="16"/>
  <c r="B8918" i="16"/>
  <c r="B8917" i="16"/>
  <c r="B8914" i="16"/>
  <c r="B8915" i="16" s="1"/>
  <c r="B8913" i="16"/>
  <c r="B8912" i="16"/>
  <c r="B8911" i="16"/>
  <c r="B8910" i="16"/>
  <c r="B8909" i="16"/>
  <c r="B8908" i="16"/>
  <c r="B8904" i="16"/>
  <c r="B8906" i="16" s="1"/>
  <c r="B8916" i="16" s="1"/>
  <c r="B8903" i="16"/>
  <c r="B8902" i="16"/>
  <c r="B8907" i="16" s="1"/>
  <c r="F8900" i="16"/>
  <c r="B8900" i="16"/>
  <c r="B8899" i="16"/>
  <c r="B8898" i="16"/>
  <c r="B8896" i="16"/>
  <c r="F8894" i="16"/>
  <c r="B8894" i="16"/>
  <c r="B8893" i="16"/>
  <c r="B8892" i="16"/>
  <c r="B8890" i="16"/>
  <c r="B8889" i="16"/>
  <c r="B8888" i="16"/>
  <c r="B8887" i="16"/>
  <c r="B8886" i="16"/>
  <c r="B8885" i="16"/>
  <c r="B8884" i="16"/>
  <c r="B8883" i="16"/>
  <c r="B8882" i="16"/>
  <c r="B8881" i="16"/>
  <c r="B8880" i="16"/>
  <c r="B8879" i="16"/>
  <c r="B8878" i="16"/>
  <c r="B8877" i="16"/>
  <c r="B8876" i="16"/>
  <c r="B8875" i="16"/>
  <c r="B8874" i="16"/>
  <c r="B8873" i="16"/>
  <c r="B8872" i="16"/>
  <c r="B8871" i="16"/>
  <c r="B8870" i="16"/>
  <c r="B8869" i="16"/>
  <c r="B8868" i="16"/>
  <c r="B8867" i="16"/>
  <c r="B8866" i="16"/>
  <c r="B8865" i="16"/>
  <c r="B8864" i="16"/>
  <c r="B8863" i="16"/>
  <c r="B8862" i="16"/>
  <c r="B8861" i="16"/>
  <c r="B8860" i="16"/>
  <c r="B8859" i="16"/>
  <c r="C8858" i="16"/>
  <c r="B8858" i="16"/>
  <c r="F8856" i="16"/>
  <c r="B8856" i="16"/>
  <c r="B8855" i="16"/>
  <c r="B8854" i="16"/>
  <c r="B8852" i="16"/>
  <c r="B8851" i="16"/>
  <c r="B8850" i="16"/>
  <c r="B8849" i="16"/>
  <c r="B8848" i="16"/>
  <c r="B8847" i="16"/>
  <c r="B8846" i="16"/>
  <c r="B8845" i="16"/>
  <c r="B8844" i="16"/>
  <c r="B8843" i="16"/>
  <c r="B8842" i="16"/>
  <c r="B8841" i="16"/>
  <c r="B8840" i="16"/>
  <c r="B8839" i="16"/>
  <c r="B8838" i="16"/>
  <c r="B8837" i="16"/>
  <c r="B8836" i="16"/>
  <c r="B8834" i="16"/>
  <c r="B8833" i="16"/>
  <c r="B8832" i="16"/>
  <c r="B8831" i="16"/>
  <c r="B8830" i="16"/>
  <c r="B8829" i="16"/>
  <c r="B8828" i="16"/>
  <c r="B8827" i="16"/>
  <c r="B8826" i="16"/>
  <c r="B8825" i="16"/>
  <c r="B8824" i="16"/>
  <c r="B8823" i="16"/>
  <c r="B8822" i="16"/>
  <c r="B8821" i="16"/>
  <c r="B8819" i="16"/>
  <c r="B8818" i="16"/>
  <c r="B8817" i="16"/>
  <c r="B8816" i="16"/>
  <c r="B8815" i="16"/>
  <c r="B8814" i="16"/>
  <c r="E8813" i="16"/>
  <c r="B8813" i="16"/>
  <c r="B8810" i="16"/>
  <c r="B8811" i="16" s="1"/>
  <c r="B8809" i="16"/>
  <c r="B8808" i="16"/>
  <c r="B8807" i="16"/>
  <c r="B8806" i="16"/>
  <c r="B8805" i="16"/>
  <c r="B8804" i="16"/>
  <c r="B8803" i="16"/>
  <c r="B8802" i="16"/>
  <c r="B8801" i="16"/>
  <c r="B8800" i="16"/>
  <c r="B8799" i="16"/>
  <c r="B8797" i="16"/>
  <c r="B8796" i="16"/>
  <c r="E8795" i="16"/>
  <c r="B8795" i="16"/>
  <c r="B8793" i="16"/>
  <c r="B8792" i="16"/>
  <c r="B8791" i="16"/>
  <c r="B8790" i="16"/>
  <c r="B8789" i="16"/>
  <c r="B8788" i="16"/>
  <c r="B8787" i="16"/>
  <c r="B8786" i="16"/>
  <c r="B8785" i="16"/>
  <c r="B8784" i="16"/>
  <c r="B8783" i="16"/>
  <c r="B8782" i="16"/>
  <c r="B8781" i="16"/>
  <c r="B8780" i="16"/>
  <c r="B8779" i="16"/>
  <c r="B8778" i="16"/>
  <c r="B8777" i="16"/>
  <c r="B8776" i="16"/>
  <c r="B8774" i="16"/>
  <c r="B8772" i="16"/>
  <c r="B8770" i="16"/>
  <c r="B8769" i="16"/>
  <c r="E8768" i="16"/>
  <c r="B8768" i="16"/>
  <c r="B8766" i="16"/>
  <c r="B8765" i="16"/>
  <c r="B8764" i="16"/>
  <c r="B8763" i="16"/>
  <c r="B8762" i="16"/>
  <c r="B8761" i="16"/>
  <c r="B8760" i="16"/>
  <c r="B8759" i="16"/>
  <c r="B8758" i="16"/>
  <c r="B8757" i="16"/>
  <c r="B8755" i="16"/>
  <c r="B8754" i="16"/>
  <c r="B8753" i="16"/>
  <c r="B8752" i="16"/>
  <c r="B8751" i="16"/>
  <c r="B8750" i="16"/>
  <c r="B8749" i="16"/>
  <c r="B8747" i="16"/>
  <c r="B8746" i="16"/>
  <c r="B8745" i="16"/>
  <c r="B8744" i="16"/>
  <c r="B8743" i="16"/>
  <c r="B8742" i="16"/>
  <c r="E8741" i="16"/>
  <c r="B8741" i="16"/>
  <c r="B8739" i="16"/>
  <c r="B8737" i="16"/>
  <c r="B8736" i="16"/>
  <c r="E8735" i="16"/>
  <c r="B8735" i="16"/>
  <c r="B8733" i="16"/>
  <c r="B8732" i="16"/>
  <c r="B8731" i="16"/>
  <c r="B8730" i="16"/>
  <c r="B8729" i="16"/>
  <c r="B8728" i="16"/>
  <c r="F8726" i="16"/>
  <c r="B8726" i="16"/>
  <c r="B8725" i="16"/>
  <c r="B8724" i="16"/>
  <c r="F8722" i="16"/>
  <c r="B8722" i="16"/>
  <c r="B8721" i="16"/>
  <c r="B8720" i="16"/>
  <c r="B8723" i="16" s="1"/>
  <c r="B8719" i="16"/>
  <c r="B8718" i="16"/>
  <c r="B8717" i="16"/>
  <c r="B8716" i="16"/>
  <c r="F8715" i="16"/>
  <c r="B8715" i="16"/>
  <c r="B8714" i="16"/>
  <c r="B8713" i="16"/>
  <c r="B8712" i="16"/>
  <c r="B8711" i="16"/>
  <c r="B8710" i="16"/>
  <c r="B8709" i="16"/>
  <c r="B8708" i="16"/>
  <c r="B8707" i="16"/>
  <c r="B8706" i="16"/>
  <c r="B8705" i="16"/>
  <c r="B8703" i="16"/>
  <c r="B8701" i="16"/>
  <c r="B8700" i="16"/>
  <c r="E8699" i="16"/>
  <c r="B8699" i="16"/>
  <c r="B8697" i="16"/>
  <c r="B8696" i="16"/>
  <c r="B8695" i="16"/>
  <c r="B8694" i="16"/>
  <c r="B8693" i="16"/>
  <c r="B8692" i="16"/>
  <c r="B8691" i="16"/>
  <c r="B8690" i="16"/>
  <c r="B8689" i="16"/>
  <c r="B8688" i="16"/>
  <c r="B8687" i="16"/>
  <c r="B8686" i="16"/>
  <c r="B8684" i="16"/>
  <c r="B8683" i="16"/>
  <c r="B8682" i="16"/>
  <c r="B8681" i="16"/>
  <c r="B8679" i="16"/>
  <c r="B8678" i="16"/>
  <c r="B8677" i="16"/>
  <c r="B8676" i="16"/>
  <c r="B8675" i="16"/>
  <c r="B8674" i="16"/>
  <c r="E8673" i="16"/>
  <c r="B8673" i="16"/>
  <c r="B8671" i="16"/>
  <c r="B8670" i="16"/>
  <c r="B8668" i="16"/>
  <c r="B8667" i="16"/>
  <c r="E8666" i="16"/>
  <c r="B8666" i="16"/>
  <c r="B8664" i="16"/>
  <c r="B8663" i="16"/>
  <c r="B8662" i="16"/>
  <c r="B8661" i="16"/>
  <c r="B8660" i="16"/>
  <c r="F8659" i="16"/>
  <c r="B8659" i="16"/>
  <c r="B8658" i="16"/>
  <c r="B8657" i="16"/>
  <c r="B8656" i="16"/>
  <c r="B8655" i="16"/>
  <c r="B8654" i="16"/>
  <c r="B8653" i="16"/>
  <c r="B8652" i="16"/>
  <c r="B8651" i="16"/>
  <c r="B8650" i="16"/>
  <c r="B8649" i="16"/>
  <c r="B8648" i="16"/>
  <c r="B8647" i="16"/>
  <c r="B8646" i="16"/>
  <c r="B8645" i="16"/>
  <c r="B8644" i="16"/>
  <c r="B8642" i="16"/>
  <c r="F8640" i="16"/>
  <c r="C8640" i="16"/>
  <c r="B8640" i="16"/>
  <c r="B8639" i="16"/>
  <c r="B8637" i="16"/>
  <c r="F8635" i="16"/>
  <c r="B8635" i="16"/>
  <c r="B8634" i="16"/>
  <c r="B8633" i="16"/>
  <c r="B8632" i="16"/>
  <c r="B8631" i="16"/>
  <c r="F8630" i="16"/>
  <c r="B8630" i="16"/>
  <c r="B8629" i="16"/>
  <c r="B8628" i="16"/>
  <c r="B8627" i="16"/>
  <c r="B8625" i="16"/>
  <c r="B8624" i="16"/>
  <c r="B8623" i="16"/>
  <c r="B8622" i="16"/>
  <c r="B8621" i="16"/>
  <c r="B8620" i="16"/>
  <c r="E8619" i="16"/>
  <c r="B8619" i="16"/>
  <c r="B8617" i="16"/>
  <c r="B8616" i="16"/>
  <c r="B8615" i="16"/>
  <c r="B8613" i="16"/>
  <c r="B8612" i="16"/>
  <c r="E8611" i="16"/>
  <c r="B8611" i="16"/>
  <c r="B8609" i="16"/>
  <c r="B8608" i="16"/>
  <c r="B8607" i="16"/>
  <c r="B8606" i="16"/>
  <c r="B8605" i="16"/>
  <c r="B8604" i="16"/>
  <c r="B8603" i="16"/>
  <c r="B8602" i="16"/>
  <c r="B8601" i="16"/>
  <c r="F8599" i="16"/>
  <c r="B8599" i="16"/>
  <c r="B8598" i="16"/>
  <c r="B8596" i="16"/>
  <c r="B8595" i="16"/>
  <c r="B8594" i="16"/>
  <c r="B8593" i="16"/>
  <c r="B8592" i="16"/>
  <c r="B8591" i="16"/>
  <c r="B8590" i="16"/>
  <c r="B8589" i="16"/>
  <c r="B8588" i="16"/>
  <c r="B8587" i="16"/>
  <c r="B8586" i="16"/>
  <c r="B8585" i="16"/>
  <c r="B8584" i="16"/>
  <c r="B8583" i="16"/>
  <c r="B8582" i="16"/>
  <c r="B8581" i="16"/>
  <c r="B8580" i="16"/>
  <c r="F8578" i="16"/>
  <c r="B8578" i="16"/>
  <c r="B8577" i="16"/>
  <c r="B8576" i="16"/>
  <c r="B8575" i="16"/>
  <c r="B8574" i="16"/>
  <c r="F8572" i="16"/>
  <c r="B8572" i="16"/>
  <c r="B8571" i="16"/>
  <c r="B8570" i="16"/>
  <c r="B8568" i="16"/>
  <c r="B8567" i="16"/>
  <c r="B8566" i="16"/>
  <c r="B8565" i="16"/>
  <c r="B8564" i="16"/>
  <c r="B8563" i="16"/>
  <c r="E8562" i="16"/>
  <c r="B8562" i="16"/>
  <c r="B8560" i="16"/>
  <c r="B8559" i="16"/>
  <c r="B8558" i="16"/>
  <c r="B8557" i="16"/>
  <c r="B8555" i="16"/>
  <c r="B8554" i="16"/>
  <c r="E8553" i="16"/>
  <c r="B8553" i="16"/>
  <c r="B8551" i="16"/>
  <c r="B8550" i="16"/>
  <c r="B8549" i="16"/>
  <c r="B8548" i="16"/>
  <c r="B8547" i="16"/>
  <c r="B8546" i="16"/>
  <c r="B8545" i="16"/>
  <c r="B8544" i="16"/>
  <c r="B8543" i="16"/>
  <c r="B8542" i="16"/>
  <c r="B8540" i="16"/>
  <c r="B8537" i="16"/>
  <c r="B8534" i="16"/>
  <c r="B8533" i="16"/>
  <c r="B8531" i="16"/>
  <c r="B8530" i="16"/>
  <c r="B8529" i="16"/>
  <c r="B8528" i="16"/>
  <c r="B8527" i="16"/>
  <c r="B8526" i="16"/>
  <c r="E8525" i="16"/>
  <c r="B8525" i="16"/>
  <c r="B8523" i="16"/>
  <c r="B8522" i="16"/>
  <c r="B8520" i="16"/>
  <c r="B8519" i="16"/>
  <c r="E8518" i="16"/>
  <c r="B8518" i="16"/>
  <c r="B8516" i="16"/>
  <c r="B8515" i="16"/>
  <c r="B8514" i="16"/>
  <c r="B8513" i="16"/>
  <c r="B8512" i="16"/>
  <c r="B8511" i="16"/>
  <c r="B8510" i="16"/>
  <c r="B8509" i="16"/>
  <c r="B8508" i="16"/>
  <c r="B8507" i="16"/>
  <c r="B8506" i="16"/>
  <c r="B8503" i="16"/>
  <c r="F8502" i="16"/>
  <c r="B8502" i="16"/>
  <c r="B8501" i="16"/>
  <c r="B8500" i="16"/>
  <c r="B8498" i="16"/>
  <c r="B8497" i="16"/>
  <c r="B8496" i="16"/>
  <c r="B8495" i="16"/>
  <c r="B8494" i="16"/>
  <c r="B8493" i="16"/>
  <c r="E8492" i="16"/>
  <c r="B8492" i="16"/>
  <c r="B8490" i="16"/>
  <c r="B8488" i="16"/>
  <c r="B8487" i="16"/>
  <c r="E8486" i="16"/>
  <c r="B8486" i="16"/>
  <c r="B8484" i="16"/>
  <c r="B8483" i="16"/>
  <c r="B8482" i="16"/>
  <c r="B8481" i="16"/>
  <c r="B8480" i="16"/>
  <c r="B8479" i="16"/>
  <c r="B8478" i="16"/>
  <c r="B8477" i="16"/>
  <c r="B8476" i="16"/>
  <c r="B8475" i="16"/>
  <c r="B8474" i="16"/>
  <c r="B8473" i="16"/>
  <c r="B8472" i="16"/>
  <c r="B8470" i="16"/>
  <c r="B8469" i="16"/>
  <c r="B8468" i="16"/>
  <c r="B8467" i="16"/>
  <c r="B8466" i="16"/>
  <c r="B8464" i="16"/>
  <c r="B8463" i="16"/>
  <c r="B8462" i="16"/>
  <c r="B8461" i="16"/>
  <c r="B8460" i="16"/>
  <c r="B8459" i="16"/>
  <c r="E8458" i="16"/>
  <c r="B8458" i="16"/>
  <c r="B8456" i="16"/>
  <c r="B8455" i="16"/>
  <c r="B8454" i="16"/>
  <c r="B8453" i="16"/>
  <c r="B8452" i="16"/>
  <c r="B8451" i="16"/>
  <c r="B8450" i="16"/>
  <c r="B8449" i="16"/>
  <c r="B8448" i="16"/>
  <c r="B8447" i="16"/>
  <c r="B8446" i="16"/>
  <c r="B8445" i="16"/>
  <c r="B8444" i="16"/>
  <c r="B8443" i="16"/>
  <c r="B8442" i="16"/>
  <c r="B8441" i="16"/>
  <c r="B8439" i="16"/>
  <c r="B8438" i="16"/>
  <c r="E8437" i="16"/>
  <c r="B8437" i="16"/>
  <c r="B8435" i="16"/>
  <c r="E8434" i="16"/>
  <c r="B8434" i="16"/>
  <c r="B8433" i="16"/>
  <c r="B8432" i="16"/>
  <c r="B8431" i="16"/>
  <c r="B8430" i="16"/>
  <c r="B8429" i="16"/>
  <c r="E8428" i="16"/>
  <c r="B8428" i="16"/>
  <c r="B8427" i="16"/>
  <c r="B8426" i="16"/>
  <c r="B8425" i="16"/>
  <c r="E8424" i="16"/>
  <c r="B8424" i="16"/>
  <c r="B8423" i="16"/>
  <c r="B8422" i="16"/>
  <c r="B8421" i="16"/>
  <c r="B8420" i="16"/>
  <c r="B8419" i="16"/>
  <c r="B8418" i="16"/>
  <c r="B8417" i="16"/>
  <c r="B8416" i="16"/>
  <c r="E8415" i="16"/>
  <c r="B8415" i="16"/>
  <c r="B8414" i="16"/>
  <c r="B8413" i="16"/>
  <c r="B8412" i="16"/>
  <c r="B8411" i="16"/>
  <c r="F8410" i="16"/>
  <c r="B8410" i="16"/>
  <c r="B8409" i="16"/>
  <c r="B8408" i="16"/>
  <c r="B8407" i="16"/>
  <c r="B8406" i="16"/>
  <c r="F8405" i="16"/>
  <c r="B8405" i="16"/>
  <c r="B8404" i="16"/>
  <c r="B8403" i="16"/>
  <c r="B8402" i="16"/>
  <c r="B8401" i="16"/>
  <c r="B8400" i="16"/>
  <c r="F8399" i="16"/>
  <c r="B8399" i="16"/>
  <c r="B8398" i="16"/>
  <c r="F8396" i="16"/>
  <c r="B8396" i="16"/>
  <c r="B8395" i="16"/>
  <c r="B8394" i="16"/>
  <c r="B8393" i="16"/>
  <c r="B8392" i="16"/>
  <c r="B8391" i="16"/>
  <c r="B8390" i="16"/>
  <c r="B8389" i="16"/>
  <c r="B8388" i="16"/>
  <c r="B8387" i="16"/>
  <c r="B8385" i="16"/>
  <c r="B8384" i="16"/>
  <c r="B8383" i="16"/>
  <c r="B8382" i="16"/>
  <c r="B8381" i="16"/>
  <c r="B8380" i="16"/>
  <c r="B8379" i="16"/>
  <c r="B8378" i="16"/>
  <c r="B8377" i="16"/>
  <c r="B8376" i="16"/>
  <c r="B8374" i="16"/>
  <c r="B8373" i="16"/>
  <c r="B8372" i="16"/>
  <c r="B8371" i="16"/>
  <c r="B8370" i="16"/>
  <c r="B8369" i="16"/>
  <c r="E8368" i="16"/>
  <c r="B8368" i="16"/>
  <c r="B8366" i="16"/>
  <c r="B8365" i="16"/>
  <c r="B8364" i="16"/>
  <c r="B8362" i="16"/>
  <c r="B8361" i="16"/>
  <c r="E8360" i="16"/>
  <c r="B8360" i="16"/>
  <c r="B8358" i="16"/>
  <c r="B8357" i="16"/>
  <c r="B8356" i="16"/>
  <c r="B8355" i="16"/>
  <c r="B8354" i="16"/>
  <c r="B8353" i="16"/>
  <c r="B8352" i="16"/>
  <c r="B8351" i="16"/>
  <c r="B8350" i="16"/>
  <c r="B8349" i="16"/>
  <c r="B8348" i="16"/>
  <c r="B8347" i="16"/>
  <c r="B8346" i="16"/>
  <c r="B8345" i="16"/>
  <c r="B8344" i="16"/>
  <c r="B8343" i="16"/>
  <c r="B8341" i="16"/>
  <c r="B8340" i="16"/>
  <c r="B8339" i="16"/>
  <c r="B8338" i="16"/>
  <c r="B8337" i="16"/>
  <c r="B8336" i="16"/>
  <c r="B8334" i="16"/>
  <c r="B8333" i="16"/>
  <c r="B8332" i="16"/>
  <c r="B8331" i="16"/>
  <c r="B8330" i="16"/>
  <c r="B8329" i="16"/>
  <c r="E8328" i="16"/>
  <c r="B8328" i="16"/>
  <c r="B8326" i="16"/>
  <c r="B8325" i="16"/>
  <c r="B8324" i="16"/>
  <c r="B8323" i="16"/>
  <c r="B8322" i="16"/>
  <c r="B8320" i="16"/>
  <c r="B8319" i="16"/>
  <c r="E8318" i="16"/>
  <c r="B8318" i="16"/>
  <c r="B8316" i="16"/>
  <c r="B8315" i="16"/>
  <c r="B8314" i="16"/>
  <c r="B8313" i="16"/>
  <c r="B8312" i="16"/>
  <c r="B8311" i="16"/>
  <c r="B8310" i="16"/>
  <c r="B8309" i="16"/>
  <c r="B8308" i="16"/>
  <c r="B8307" i="16"/>
  <c r="B8306" i="16"/>
  <c r="B8305" i="16"/>
  <c r="B8304" i="16"/>
  <c r="B8303" i="16"/>
  <c r="B8302" i="16"/>
  <c r="B8301" i="16"/>
  <c r="B8300" i="16"/>
  <c r="B8299" i="16"/>
  <c r="B8298" i="16"/>
  <c r="B8297" i="16"/>
  <c r="B8296" i="16"/>
  <c r="B8295" i="16"/>
  <c r="B8294" i="16"/>
  <c r="B8292" i="16"/>
  <c r="B8291" i="16"/>
  <c r="B8290" i="16"/>
  <c r="B8289" i="16"/>
  <c r="B8288" i="16"/>
  <c r="B8287" i="16"/>
  <c r="B8286" i="16"/>
  <c r="B8285" i="16"/>
  <c r="B8283" i="16"/>
  <c r="B8282" i="16"/>
  <c r="E8281" i="16"/>
  <c r="B8281" i="16"/>
  <c r="B8279" i="16"/>
  <c r="B8278" i="16"/>
  <c r="B8277" i="16"/>
  <c r="B8276" i="16"/>
  <c r="B8275" i="16"/>
  <c r="B8274" i="16"/>
  <c r="B8273" i="16"/>
  <c r="B8272" i="16"/>
  <c r="B8271" i="16"/>
  <c r="B8270" i="16"/>
  <c r="B8269" i="16"/>
  <c r="B8268" i="16"/>
  <c r="B8267" i="16"/>
  <c r="B8266" i="16"/>
  <c r="B8265" i="16"/>
  <c r="B8264" i="16"/>
  <c r="B8263" i="16"/>
  <c r="B8262" i="16"/>
  <c r="B8261" i="16"/>
  <c r="B8260" i="16"/>
  <c r="B8259" i="16"/>
  <c r="B8258" i="16"/>
  <c r="B8257" i="16"/>
  <c r="B8256" i="16"/>
  <c r="B8255" i="16"/>
  <c r="B8253" i="16"/>
  <c r="E8252" i="16"/>
  <c r="B8252" i="16"/>
  <c r="E8251" i="16"/>
  <c r="B8251" i="16"/>
  <c r="E8250" i="16"/>
  <c r="B8250" i="16"/>
  <c r="B8249" i="16"/>
  <c r="B8247" i="16"/>
  <c r="B8246" i="16"/>
  <c r="E8245" i="16"/>
  <c r="B8245" i="16"/>
  <c r="B8243" i="16"/>
  <c r="B8242" i="16"/>
  <c r="B8241" i="16"/>
  <c r="B8240" i="16"/>
  <c r="B8239" i="16"/>
  <c r="B8238" i="16"/>
  <c r="B8237" i="16"/>
  <c r="B8236" i="16"/>
  <c r="B8235" i="16"/>
  <c r="B8233" i="16"/>
  <c r="B8232" i="16"/>
  <c r="B8231" i="16"/>
  <c r="B8230" i="16"/>
  <c r="B8228" i="16"/>
  <c r="B8227" i="16"/>
  <c r="E8226" i="16"/>
  <c r="B8226" i="16"/>
  <c r="B8224" i="16"/>
  <c r="B8223" i="16"/>
  <c r="B8222" i="16"/>
  <c r="B8221" i="16"/>
  <c r="B8220" i="16"/>
  <c r="B8219" i="16"/>
  <c r="B8218" i="16"/>
  <c r="B8217" i="16"/>
  <c r="B8216" i="16"/>
  <c r="B8215" i="16"/>
  <c r="B8214" i="16"/>
  <c r="B8213" i="16"/>
  <c r="B8212" i="16"/>
  <c r="B8211" i="16"/>
  <c r="B8210" i="16"/>
  <c r="B8209" i="16"/>
  <c r="B8208" i="16"/>
  <c r="B8207" i="16"/>
  <c r="B8206" i="16"/>
  <c r="B8205" i="16"/>
  <c r="B8204" i="16"/>
  <c r="B8203" i="16"/>
  <c r="B8202" i="16"/>
  <c r="B8201" i="16"/>
  <c r="B8200" i="16"/>
  <c r="B8199" i="16"/>
  <c r="B8198" i="16"/>
  <c r="B8197" i="16"/>
  <c r="B8196" i="16"/>
  <c r="B8194" i="16"/>
  <c r="B8193" i="16"/>
  <c r="B8192" i="16"/>
  <c r="B8190" i="16"/>
  <c r="B8189" i="16"/>
  <c r="B8188" i="16"/>
  <c r="B8187" i="16"/>
  <c r="B8186" i="16"/>
  <c r="E8185" i="16"/>
  <c r="B8185" i="16"/>
  <c r="B8183" i="16"/>
  <c r="B8182" i="16"/>
  <c r="B8181" i="16"/>
  <c r="B8180" i="16"/>
  <c r="B8178" i="16"/>
  <c r="B8177" i="16"/>
  <c r="E8176" i="16"/>
  <c r="B8176" i="16"/>
  <c r="B8174" i="16"/>
  <c r="B8173" i="16"/>
  <c r="B8172" i="16"/>
  <c r="B8171" i="16"/>
  <c r="B8170" i="16"/>
  <c r="B8169" i="16"/>
  <c r="B8168" i="16"/>
  <c r="B8167" i="16"/>
  <c r="F8166" i="16"/>
  <c r="B8166" i="16"/>
  <c r="B8165" i="16"/>
  <c r="B8164" i="16"/>
  <c r="B8163" i="16"/>
  <c r="B8162" i="16"/>
  <c r="B8161" i="16"/>
  <c r="B8160" i="16"/>
  <c r="B8159" i="16"/>
  <c r="B8158" i="16"/>
  <c r="B8157" i="16"/>
  <c r="B8156" i="16"/>
  <c r="B8155" i="16"/>
  <c r="B8154" i="16"/>
  <c r="B8152" i="16"/>
  <c r="B8151" i="16"/>
  <c r="B8150" i="16"/>
  <c r="B8149" i="16"/>
  <c r="B8148" i="16"/>
  <c r="B8147" i="16"/>
  <c r="B8146" i="16"/>
  <c r="B8145" i="16"/>
  <c r="B8144" i="16"/>
  <c r="B8142" i="16"/>
  <c r="B8141" i="16"/>
  <c r="B8140" i="16"/>
  <c r="B8139" i="16"/>
  <c r="B8137" i="16"/>
  <c r="B8136" i="16"/>
  <c r="B8135" i="16"/>
  <c r="B8134" i="16"/>
  <c r="B8133" i="16"/>
  <c r="E8132" i="16"/>
  <c r="B8132" i="16"/>
  <c r="B8130" i="16"/>
  <c r="B8129" i="16"/>
  <c r="B8128" i="16"/>
  <c r="B8127" i="16"/>
  <c r="B8125" i="16"/>
  <c r="B8124" i="16"/>
  <c r="E8123" i="16"/>
  <c r="B8123" i="16"/>
  <c r="B8121" i="16"/>
  <c r="B8120" i="16"/>
  <c r="B8119" i="16"/>
  <c r="B8118" i="16"/>
  <c r="B8117" i="16"/>
  <c r="B8116" i="16"/>
  <c r="B8115" i="16"/>
  <c r="B8114" i="16"/>
  <c r="B8113" i="16"/>
  <c r="B8112" i="16"/>
  <c r="B8111" i="16"/>
  <c r="B8110" i="16"/>
  <c r="B8109" i="16"/>
  <c r="B8108" i="16"/>
  <c r="B8107" i="16"/>
  <c r="B8106" i="16"/>
  <c r="B8104" i="16"/>
  <c r="B8103" i="16"/>
  <c r="F8102" i="16"/>
  <c r="B8102" i="16"/>
  <c r="B8101" i="16"/>
  <c r="B8100" i="16"/>
  <c r="B8099" i="16"/>
  <c r="B8097" i="16"/>
  <c r="B8096" i="16"/>
  <c r="B8095" i="16"/>
  <c r="B8094" i="16"/>
  <c r="B8093" i="16"/>
  <c r="E8092" i="16"/>
  <c r="B8092" i="16"/>
  <c r="B8090" i="16"/>
  <c r="B8089" i="16"/>
  <c r="B8087" i="16"/>
  <c r="B8086" i="16"/>
  <c r="E8085" i="16"/>
  <c r="B8085" i="16"/>
  <c r="B8083" i="16"/>
  <c r="B8082" i="16"/>
  <c r="B8081" i="16"/>
  <c r="B8080" i="16"/>
  <c r="B8079" i="16"/>
  <c r="B8078" i="16"/>
  <c r="B8077" i="16"/>
  <c r="B8076" i="16"/>
  <c r="B8075" i="16"/>
  <c r="B8074" i="16"/>
  <c r="B8073" i="16"/>
  <c r="B8072" i="16"/>
  <c r="B8071" i="16"/>
  <c r="B8070" i="16"/>
  <c r="B8069" i="16"/>
  <c r="B8068" i="16"/>
  <c r="B8067" i="16"/>
  <c r="B8065" i="16"/>
  <c r="B8064" i="16"/>
  <c r="B8063" i="16"/>
  <c r="B8062" i="16"/>
  <c r="B8061" i="16"/>
  <c r="B8060" i="16"/>
  <c r="B8059" i="16"/>
  <c r="B8058" i="16"/>
  <c r="B8056" i="16"/>
  <c r="B8055" i="16"/>
  <c r="E8054" i="16"/>
  <c r="B8054" i="16"/>
  <c r="E8053" i="16"/>
  <c r="B8053" i="16"/>
  <c r="E8052" i="16"/>
  <c r="B8052" i="16"/>
  <c r="B8051" i="16"/>
  <c r="B8049" i="16"/>
  <c r="B8047" i="16"/>
  <c r="B8046" i="16"/>
  <c r="E8045" i="16"/>
  <c r="B8045" i="16"/>
  <c r="B8043" i="16"/>
  <c r="E8042" i="16"/>
  <c r="B8042" i="16"/>
  <c r="B8041" i="16"/>
  <c r="B8040" i="16"/>
  <c r="B8039" i="16"/>
  <c r="B8038" i="16"/>
  <c r="B8037" i="16"/>
  <c r="B8036" i="16"/>
  <c r="B8035" i="16"/>
  <c r="B8034" i="16"/>
  <c r="B8033" i="16"/>
  <c r="B8032" i="16"/>
  <c r="B8031" i="16"/>
  <c r="E8030" i="16"/>
  <c r="E8029" i="16" s="1"/>
  <c r="B8030" i="16"/>
  <c r="B8029" i="16"/>
  <c r="B8028" i="16"/>
  <c r="B8027" i="16"/>
  <c r="B8026" i="16"/>
  <c r="B8025" i="16"/>
  <c r="B8024" i="16"/>
  <c r="B8023" i="16"/>
  <c r="B8022" i="16"/>
  <c r="B8021" i="16"/>
  <c r="B8020" i="16"/>
  <c r="B8019" i="16"/>
  <c r="B8018" i="16"/>
  <c r="B8017" i="16"/>
  <c r="B8016" i="16"/>
  <c r="B8014" i="16"/>
  <c r="B8013" i="16"/>
  <c r="B8012" i="16"/>
  <c r="B8011" i="16"/>
  <c r="B8010" i="16"/>
  <c r="B8009" i="16"/>
  <c r="B8008" i="16"/>
  <c r="B8007" i="16"/>
  <c r="B8006" i="16"/>
  <c r="B8005" i="16"/>
  <c r="B8003" i="16"/>
  <c r="B8002" i="16"/>
  <c r="B8001" i="16"/>
  <c r="B8000" i="16"/>
  <c r="B7999" i="16"/>
  <c r="E7998" i="16"/>
  <c r="B7998" i="16"/>
  <c r="B7996" i="16"/>
  <c r="B7995" i="16"/>
  <c r="B7994" i="16"/>
  <c r="B7993" i="16"/>
  <c r="B7992" i="16"/>
  <c r="B7991" i="16"/>
  <c r="B7989" i="16"/>
  <c r="B7988" i="16"/>
  <c r="E7987" i="16"/>
  <c r="B7987" i="16"/>
  <c r="B7985" i="16"/>
  <c r="B7984" i="16"/>
  <c r="B7983" i="16"/>
  <c r="B7982" i="16"/>
  <c r="B7981" i="16"/>
  <c r="B7980" i="16"/>
  <c r="B7979" i="16"/>
  <c r="B7978" i="16"/>
  <c r="B7977" i="16"/>
  <c r="B7976" i="16"/>
  <c r="B7975" i="16"/>
  <c r="B7974" i="16"/>
  <c r="B7973" i="16"/>
  <c r="B7972" i="16"/>
  <c r="B7971" i="16"/>
  <c r="B7970" i="16"/>
  <c r="B7969" i="16"/>
  <c r="B7968" i="16"/>
  <c r="B7967" i="16"/>
  <c r="B7966" i="16"/>
  <c r="B7965" i="16"/>
  <c r="B7964" i="16"/>
  <c r="B7963" i="16"/>
  <c r="B7962" i="16"/>
  <c r="B7961" i="16"/>
  <c r="B7960" i="16"/>
  <c r="B7959" i="16"/>
  <c r="B7957" i="16"/>
  <c r="B7956" i="16"/>
  <c r="B7955" i="16"/>
  <c r="B7954" i="16"/>
  <c r="B7953" i="16"/>
  <c r="B7952" i="16"/>
  <c r="B7951" i="16"/>
  <c r="B7950" i="16"/>
  <c r="B7949" i="16"/>
  <c r="B7948" i="16"/>
  <c r="B7947" i="16"/>
  <c r="B7946" i="16"/>
  <c r="B7945" i="16"/>
  <c r="B7944" i="16"/>
  <c r="B7942" i="16"/>
  <c r="B7941" i="16"/>
  <c r="B7940" i="16"/>
  <c r="B7939" i="16"/>
  <c r="B7938" i="16"/>
  <c r="E7937" i="16"/>
  <c r="B7937" i="16"/>
  <c r="B7935" i="16"/>
  <c r="B7934" i="16"/>
  <c r="B7933" i="16"/>
  <c r="B7932" i="16"/>
  <c r="B7931" i="16"/>
  <c r="B7930" i="16"/>
  <c r="B7929" i="16"/>
  <c r="B7928" i="16"/>
  <c r="B7927" i="16"/>
  <c r="B7926" i="16"/>
  <c r="B7925" i="16"/>
  <c r="B7924" i="16"/>
  <c r="B7922" i="16"/>
  <c r="B7921" i="16"/>
  <c r="E7920" i="16"/>
  <c r="B7920" i="16"/>
  <c r="B7918" i="16"/>
  <c r="B7917" i="16"/>
  <c r="B7916" i="16"/>
  <c r="B7915" i="16"/>
  <c r="B7913" i="16"/>
  <c r="B7912" i="16"/>
  <c r="B7914" i="16" s="1"/>
  <c r="B7911" i="16"/>
  <c r="B7910" i="16"/>
  <c r="B7909" i="16"/>
  <c r="B7908" i="16"/>
  <c r="B7907" i="16"/>
  <c r="B7906" i="16"/>
  <c r="B7905" i="16"/>
  <c r="B7904" i="16"/>
  <c r="B7903" i="16"/>
  <c r="F7901" i="16"/>
  <c r="B7901" i="16"/>
  <c r="B7900" i="16"/>
  <c r="B7899" i="16"/>
  <c r="B7898" i="16"/>
  <c r="B7897" i="16"/>
  <c r="B7896" i="16"/>
  <c r="B7895" i="16"/>
  <c r="B7894" i="16"/>
  <c r="B7893" i="16"/>
  <c r="B7892" i="16"/>
  <c r="F7891" i="16"/>
  <c r="B7891" i="16"/>
  <c r="B7890" i="16"/>
  <c r="B7889" i="16"/>
  <c r="B7888" i="16"/>
  <c r="B7887" i="16"/>
  <c r="B7886" i="16"/>
  <c r="B7885" i="16"/>
  <c r="B7884" i="16"/>
  <c r="B7883" i="16"/>
  <c r="F7882" i="16"/>
  <c r="B7882" i="16"/>
  <c r="B7881" i="16"/>
  <c r="B7880" i="16"/>
  <c r="B7879" i="16"/>
  <c r="B7878" i="16"/>
  <c r="B7877" i="16"/>
  <c r="B7876" i="16"/>
  <c r="B7875" i="16"/>
  <c r="B7873" i="16"/>
  <c r="B7872" i="16"/>
  <c r="B7871" i="16"/>
  <c r="B7870" i="16"/>
  <c r="B7869" i="16"/>
  <c r="B7868" i="16"/>
  <c r="B7867" i="16"/>
  <c r="B7866" i="16"/>
  <c r="B7865" i="16"/>
  <c r="B7864" i="16"/>
  <c r="B7863" i="16"/>
  <c r="B7862" i="16"/>
  <c r="B7861" i="16"/>
  <c r="B7860" i="16"/>
  <c r="B7859" i="16"/>
  <c r="B7858" i="16"/>
  <c r="B7857" i="16"/>
  <c r="B7855" i="16"/>
  <c r="B7854" i="16"/>
  <c r="B7853" i="16"/>
  <c r="B7852" i="16"/>
  <c r="B7851" i="16"/>
  <c r="B7850" i="16"/>
  <c r="B7849" i="16"/>
  <c r="E7848" i="16"/>
  <c r="B7848" i="16"/>
  <c r="B7846" i="16"/>
  <c r="B7845" i="16"/>
  <c r="B7843" i="16"/>
  <c r="B7842" i="16"/>
  <c r="E7841" i="16"/>
  <c r="B7841" i="16"/>
  <c r="B7839" i="16"/>
  <c r="B7838" i="16"/>
  <c r="B7837" i="16"/>
  <c r="B7836" i="16"/>
  <c r="B7835" i="16"/>
  <c r="B7834" i="16"/>
  <c r="B7833" i="16"/>
  <c r="B7832" i="16"/>
  <c r="B7831" i="16"/>
  <c r="B7830" i="16"/>
  <c r="B7829" i="16"/>
  <c r="B7828" i="16"/>
  <c r="B7827" i="16"/>
  <c r="B7826" i="16"/>
  <c r="B7825" i="16"/>
  <c r="B7824" i="16"/>
  <c r="B7823" i="16"/>
  <c r="B7822" i="16"/>
  <c r="B7821" i="16"/>
  <c r="B7820" i="16"/>
  <c r="B7819" i="16"/>
  <c r="B7818" i="16"/>
  <c r="B7817" i="16"/>
  <c r="B7816" i="16"/>
  <c r="B7815" i="16"/>
  <c r="B7814" i="16"/>
  <c r="B7813" i="16"/>
  <c r="B7812" i="16"/>
  <c r="B7811" i="16"/>
  <c r="B7810" i="16"/>
  <c r="B7809" i="16"/>
  <c r="B7808" i="16"/>
  <c r="B7807" i="16"/>
  <c r="B7806" i="16"/>
  <c r="B7805" i="16"/>
  <c r="B7803" i="16"/>
  <c r="B7802" i="16"/>
  <c r="B7801" i="16"/>
  <c r="B7800" i="16"/>
  <c r="B7799" i="16"/>
  <c r="B7798" i="16"/>
  <c r="B7797" i="16"/>
  <c r="B7796" i="16"/>
  <c r="B7795" i="16"/>
  <c r="E7794" i="16"/>
  <c r="B7794" i="16"/>
  <c r="B7793" i="16"/>
  <c r="B7792" i="16"/>
  <c r="B7791" i="16"/>
  <c r="B7790" i="16"/>
  <c r="B7789" i="16"/>
  <c r="B7788" i="16"/>
  <c r="B7787" i="16"/>
  <c r="B7786" i="16"/>
  <c r="B7785" i="16"/>
  <c r="B7784" i="16"/>
  <c r="B7783" i="16"/>
  <c r="B7781" i="16"/>
  <c r="B7780" i="16"/>
  <c r="B7779" i="16"/>
  <c r="B7778" i="16"/>
  <c r="B7777" i="16"/>
  <c r="B7776" i="16"/>
  <c r="E7775" i="16"/>
  <c r="B7775" i="16"/>
  <c r="B7773" i="16"/>
  <c r="B7772" i="16"/>
  <c r="B7771" i="16"/>
  <c r="B7770" i="16"/>
  <c r="B7769" i="16"/>
  <c r="B7768" i="16"/>
  <c r="B7767" i="16"/>
  <c r="B7766" i="16"/>
  <c r="B7765" i="16"/>
  <c r="B7764" i="16"/>
  <c r="B7763" i="16"/>
  <c r="B7762" i="16"/>
  <c r="B7761" i="16"/>
  <c r="B7760" i="16"/>
  <c r="B7759" i="16"/>
  <c r="B7758" i="16"/>
  <c r="B7757" i="16"/>
  <c r="B7756" i="16"/>
  <c r="B7755" i="16"/>
  <c r="B7754" i="16"/>
  <c r="B7753" i="16"/>
  <c r="B7752" i="16"/>
  <c r="B7751" i="16"/>
  <c r="B7750" i="16"/>
  <c r="B7749" i="16"/>
  <c r="B7748" i="16"/>
  <c r="B7746" i="16"/>
  <c r="B7745" i="16"/>
  <c r="E7744" i="16"/>
  <c r="B7744" i="16"/>
  <c r="B7742" i="16"/>
  <c r="B7741" i="16"/>
  <c r="B7740" i="16"/>
  <c r="B7739" i="16"/>
  <c r="B7738" i="16"/>
  <c r="B7737" i="16"/>
  <c r="B7736" i="16"/>
  <c r="B7735" i="16"/>
  <c r="B7734" i="16"/>
  <c r="F7733" i="16"/>
  <c r="B7733" i="16"/>
  <c r="B7732" i="16"/>
  <c r="B7731" i="16"/>
  <c r="B7730" i="16"/>
  <c r="F7729" i="16"/>
  <c r="B7729" i="16"/>
  <c r="B7728" i="16"/>
  <c r="F7726" i="16"/>
  <c r="B7726" i="16"/>
  <c r="B7725" i="16"/>
  <c r="B7724" i="16"/>
  <c r="B7723" i="16"/>
  <c r="B7722" i="16"/>
  <c r="B7721" i="16"/>
  <c r="B7720" i="16"/>
  <c r="B7719" i="16"/>
  <c r="B7718" i="16"/>
  <c r="B7717" i="16"/>
  <c r="B7716" i="16"/>
  <c r="B7714" i="16"/>
  <c r="B7713" i="16"/>
  <c r="B7712" i="16"/>
  <c r="B7711" i="16"/>
  <c r="F7710" i="16"/>
  <c r="B7710" i="16"/>
  <c r="B7709" i="16"/>
  <c r="B7708" i="16"/>
  <c r="B7707" i="16"/>
  <c r="B7706" i="16"/>
  <c r="B7705" i="16"/>
  <c r="B7704" i="16"/>
  <c r="B7702" i="16"/>
  <c r="F7701" i="16"/>
  <c r="B7701" i="16"/>
  <c r="B7700" i="16"/>
  <c r="B7699" i="16"/>
  <c r="B7698" i="16"/>
  <c r="B7697" i="16"/>
  <c r="B7696" i="16"/>
  <c r="B7695" i="16"/>
  <c r="B7694" i="16"/>
  <c r="B7703" i="16" s="1"/>
  <c r="B7693" i="16"/>
  <c r="B7692" i="16"/>
  <c r="B7691" i="16"/>
  <c r="B7689" i="16"/>
  <c r="B7688" i="16"/>
  <c r="B7687" i="16"/>
  <c r="B7686" i="16"/>
  <c r="B7685" i="16"/>
  <c r="B7684" i="16"/>
  <c r="E7683" i="16"/>
  <c r="B7683" i="16"/>
  <c r="B7681" i="16"/>
  <c r="B7680" i="16"/>
  <c r="B7679" i="16"/>
  <c r="B7678" i="16"/>
  <c r="B7677" i="16"/>
  <c r="B7676" i="16"/>
  <c r="B7675" i="16"/>
  <c r="B7674" i="16"/>
  <c r="B7672" i="16"/>
  <c r="B7671" i="16"/>
  <c r="E7670" i="16"/>
  <c r="B7670" i="16"/>
  <c r="B7668" i="16"/>
  <c r="B7666" i="16"/>
  <c r="B7665" i="16"/>
  <c r="B7667" i="16" s="1"/>
  <c r="B7664" i="16"/>
  <c r="B7663" i="16"/>
  <c r="B7662" i="16"/>
  <c r="B7661" i="16"/>
  <c r="F7660" i="16"/>
  <c r="B7660" i="16"/>
  <c r="B7659" i="16"/>
  <c r="B7658" i="16"/>
  <c r="B7657" i="16"/>
  <c r="B7656" i="16"/>
  <c r="B7655" i="16"/>
  <c r="B7654" i="16"/>
  <c r="B7653" i="16"/>
  <c r="B7652" i="16"/>
  <c r="B7651" i="16"/>
  <c r="B7650" i="16"/>
  <c r="B7649" i="16"/>
  <c r="B7648" i="16"/>
  <c r="B7647" i="16"/>
  <c r="B7646" i="16"/>
  <c r="B7645" i="16"/>
  <c r="B7644" i="16"/>
  <c r="B7643" i="16"/>
  <c r="B7642" i="16"/>
  <c r="B7641" i="16"/>
  <c r="B7640" i="16"/>
  <c r="B7639" i="16"/>
  <c r="B7638" i="16"/>
  <c r="B7637" i="16"/>
  <c r="B7636" i="16"/>
  <c r="B7635" i="16"/>
  <c r="B7634" i="16"/>
  <c r="B7633" i="16"/>
  <c r="B7632" i="16"/>
  <c r="B7631" i="16"/>
  <c r="B7630" i="16"/>
  <c r="B7629" i="16"/>
  <c r="B7628" i="16"/>
  <c r="B7627" i="16"/>
  <c r="B7626" i="16"/>
  <c r="B7625" i="16"/>
  <c r="B7624" i="16"/>
  <c r="B7623" i="16"/>
  <c r="B7622" i="16"/>
  <c r="B7621" i="16"/>
  <c r="B7620" i="16"/>
  <c r="B7619" i="16"/>
  <c r="B7618" i="16"/>
  <c r="B7617" i="16"/>
  <c r="B7615" i="16"/>
  <c r="B7614" i="16"/>
  <c r="B7613" i="16"/>
  <c r="B7612" i="16"/>
  <c r="B7611" i="16"/>
  <c r="B7610" i="16"/>
  <c r="B7609" i="16"/>
  <c r="B7608" i="16"/>
  <c r="B7607" i="16"/>
  <c r="B7606" i="16"/>
  <c r="B7605" i="16"/>
  <c r="B7604" i="16"/>
  <c r="B7603" i="16"/>
  <c r="B7602" i="16"/>
  <c r="B7601" i="16"/>
  <c r="B7600" i="16"/>
  <c r="B7598" i="16"/>
  <c r="B7597" i="16"/>
  <c r="B7596" i="16"/>
  <c r="B7595" i="16"/>
  <c r="B7594" i="16"/>
  <c r="E7593" i="16"/>
  <c r="B7593" i="16"/>
  <c r="B7591" i="16"/>
  <c r="B7590" i="16"/>
  <c r="B7589" i="16"/>
  <c r="B7588" i="16"/>
  <c r="B7587" i="16"/>
  <c r="B7586" i="16"/>
  <c r="B7584" i="16"/>
  <c r="B7583" i="16"/>
  <c r="E7582" i="16"/>
  <c r="B7582" i="16"/>
  <c r="B7580" i="16"/>
  <c r="B7579" i="16"/>
  <c r="B7578" i="16"/>
  <c r="B7577" i="16"/>
  <c r="B7576" i="16"/>
  <c r="B7575" i="16"/>
  <c r="B7574" i="16"/>
  <c r="B7573" i="16"/>
  <c r="B7572" i="16"/>
  <c r="B7571" i="16"/>
  <c r="B7570" i="16"/>
  <c r="B7569" i="16"/>
  <c r="E7568" i="16"/>
  <c r="B7568" i="16"/>
  <c r="B7567" i="16"/>
  <c r="B7566" i="16"/>
  <c r="B7565" i="16"/>
  <c r="B7564" i="16"/>
  <c r="B7563" i="16"/>
  <c r="B7562" i="16"/>
  <c r="B7561" i="16"/>
  <c r="B7560" i="16"/>
  <c r="B7559" i="16"/>
  <c r="B7558" i="16"/>
  <c r="B7557" i="16"/>
  <c r="B7556" i="16"/>
  <c r="B7555" i="16"/>
  <c r="B7554" i="16"/>
  <c r="B7553" i="16"/>
  <c r="B7552" i="16"/>
  <c r="B7551" i="16"/>
  <c r="B7550" i="16"/>
  <c r="B7549" i="16"/>
  <c r="B7548" i="16"/>
  <c r="B7547" i="16"/>
  <c r="B7546" i="16"/>
  <c r="B7545" i="16"/>
  <c r="B7544" i="16"/>
  <c r="B7543" i="16"/>
  <c r="B7542" i="16"/>
  <c r="B7541" i="16"/>
  <c r="B7540" i="16"/>
  <c r="B7539" i="16"/>
  <c r="B7538" i="16"/>
  <c r="B7537" i="16"/>
  <c r="B7536" i="16"/>
  <c r="B7535" i="16"/>
  <c r="B7534" i="16"/>
  <c r="B7533" i="16"/>
  <c r="B7532" i="16"/>
  <c r="B7531" i="16"/>
  <c r="B7530" i="16"/>
  <c r="B7528" i="16"/>
  <c r="B7527" i="16"/>
  <c r="B7526" i="16"/>
  <c r="B7525" i="16"/>
  <c r="B7524" i="16"/>
  <c r="B7523" i="16"/>
  <c r="B7522" i="16"/>
  <c r="B7521" i="16"/>
  <c r="B7520" i="16"/>
  <c r="B7519" i="16"/>
  <c r="B7518" i="16"/>
  <c r="B7517" i="16"/>
  <c r="B7516" i="16"/>
  <c r="B7515" i="16"/>
  <c r="B7514" i="16"/>
  <c r="B7513" i="16"/>
  <c r="B7512" i="16"/>
  <c r="B7511" i="16"/>
  <c r="B7510" i="16"/>
  <c r="B7509" i="16"/>
  <c r="B7508" i="16"/>
  <c r="B7506" i="16"/>
  <c r="B7505" i="16"/>
  <c r="B7504" i="16"/>
  <c r="B7503" i="16"/>
  <c r="E7502" i="16"/>
  <c r="B7502" i="16"/>
  <c r="B7500" i="16"/>
  <c r="B7499" i="16"/>
  <c r="B7498" i="16"/>
  <c r="B7497" i="16"/>
  <c r="B7496" i="16"/>
  <c r="B7495" i="16"/>
  <c r="F7494" i="16"/>
  <c r="B7494" i="16"/>
  <c r="B7493" i="16"/>
  <c r="B7492" i="16"/>
  <c r="B7491" i="16"/>
  <c r="B7490" i="16"/>
  <c r="B7489" i="16"/>
  <c r="B7488" i="16"/>
  <c r="B7487" i="16"/>
  <c r="B7486" i="16"/>
  <c r="B7485" i="16"/>
  <c r="B7484" i="16"/>
  <c r="B7483" i="16"/>
  <c r="B7482" i="16"/>
  <c r="B7481" i="16"/>
  <c r="B7480" i="16"/>
  <c r="B7478" i="16"/>
  <c r="B7477" i="16"/>
  <c r="E7476" i="16"/>
  <c r="B7476" i="16"/>
  <c r="B7474" i="16"/>
  <c r="B7473" i="16"/>
  <c r="B7472" i="16"/>
  <c r="B7471" i="16"/>
  <c r="B7470" i="16"/>
  <c r="B7469" i="16"/>
  <c r="B7468" i="16"/>
  <c r="B7467" i="16"/>
  <c r="B7466" i="16"/>
  <c r="B7465" i="16"/>
  <c r="B7464" i="16"/>
  <c r="B7463" i="16"/>
  <c r="B7462" i="16"/>
  <c r="B7461" i="16"/>
  <c r="B7460" i="16"/>
  <c r="B7459" i="16"/>
  <c r="F7458" i="16"/>
  <c r="E7459" i="16" s="1"/>
  <c r="B7458" i="16"/>
  <c r="B7457" i="16"/>
  <c r="B7456" i="16"/>
  <c r="B7455" i="16"/>
  <c r="B7454" i="16"/>
  <c r="B7453" i="16"/>
  <c r="B7452" i="16"/>
  <c r="B7451" i="16"/>
  <c r="B7450" i="16"/>
  <c r="B7449" i="16"/>
  <c r="B7448" i="16"/>
  <c r="B7447" i="16"/>
  <c r="B7446" i="16"/>
  <c r="B7445" i="16"/>
  <c r="B7444" i="16"/>
  <c r="B7443" i="16"/>
  <c r="B7442" i="16"/>
  <c r="B7441" i="16"/>
  <c r="B7440" i="16"/>
  <c r="B7439" i="16"/>
  <c r="B7438" i="16"/>
  <c r="B7437" i="16"/>
  <c r="B7436" i="16"/>
  <c r="B7435" i="16"/>
  <c r="B7434" i="16"/>
  <c r="B7433" i="16"/>
  <c r="B7432" i="16"/>
  <c r="B7430" i="16"/>
  <c r="B7429" i="16"/>
  <c r="B7427" i="16"/>
  <c r="B7426" i="16"/>
  <c r="B7425" i="16"/>
  <c r="B7424" i="16"/>
  <c r="B7423" i="16"/>
  <c r="B7422" i="16"/>
  <c r="B7421" i="16"/>
  <c r="B7420" i="16"/>
  <c r="B7419" i="16"/>
  <c r="B7418" i="16"/>
  <c r="B7417" i="16"/>
  <c r="B7416" i="16"/>
  <c r="B7415" i="16"/>
  <c r="B7414" i="16"/>
  <c r="B7413" i="16"/>
  <c r="B7412" i="16"/>
  <c r="B7411" i="16"/>
  <c r="B7410" i="16"/>
  <c r="B7409" i="16"/>
  <c r="B7408" i="16"/>
  <c r="B7406" i="16"/>
  <c r="B7405" i="16"/>
  <c r="B7404" i="16"/>
  <c r="B7403" i="16"/>
  <c r="E7402" i="16"/>
  <c r="B7402" i="16"/>
  <c r="B7400" i="16"/>
  <c r="B7399" i="16"/>
  <c r="B7398" i="16"/>
  <c r="B7397" i="16"/>
  <c r="B7396" i="16"/>
  <c r="B7395" i="16"/>
  <c r="B7394" i="16"/>
  <c r="B7393" i="16"/>
  <c r="B7392" i="16"/>
  <c r="B7391" i="16"/>
  <c r="B7389" i="16"/>
  <c r="B7388" i="16"/>
  <c r="E7387" i="16"/>
  <c r="B7387" i="16"/>
  <c r="B7385" i="16"/>
  <c r="B7384" i="16"/>
  <c r="E7383" i="16"/>
  <c r="B7383" i="16"/>
  <c r="B7381" i="16"/>
  <c r="B7380" i="16"/>
  <c r="B7379" i="16"/>
  <c r="B7378" i="16"/>
  <c r="B7377" i="16"/>
  <c r="B7376" i="16"/>
  <c r="B7375" i="16"/>
  <c r="B7374" i="16"/>
  <c r="B7373" i="16"/>
  <c r="B7372" i="16"/>
  <c r="B7371" i="16"/>
  <c r="B7370" i="16"/>
  <c r="B7369" i="16"/>
  <c r="B7368" i="16"/>
  <c r="B7367" i="16"/>
  <c r="B7366" i="16"/>
  <c r="B7365" i="16"/>
  <c r="B7364" i="16"/>
  <c r="B7363" i="16"/>
  <c r="B7362" i="16"/>
  <c r="B7361" i="16"/>
  <c r="B7360" i="16"/>
  <c r="E7359" i="16"/>
  <c r="B7359" i="16"/>
  <c r="B7358" i="16"/>
  <c r="B7357" i="16"/>
  <c r="B7356" i="16"/>
  <c r="B7355" i="16"/>
  <c r="E7354" i="16"/>
  <c r="E7355" i="16" s="1"/>
  <c r="B7354" i="16"/>
  <c r="B7353" i="16"/>
  <c r="B7352" i="16"/>
  <c r="B7351" i="16"/>
  <c r="B7350" i="16"/>
  <c r="B7349" i="16"/>
  <c r="B7348" i="16"/>
  <c r="B7347" i="16"/>
  <c r="B7346" i="16"/>
  <c r="B7345" i="16"/>
  <c r="B7344" i="16"/>
  <c r="B7343" i="16"/>
  <c r="B7342" i="16"/>
  <c r="B7341" i="16"/>
  <c r="B7339" i="16"/>
  <c r="B7338" i="16"/>
  <c r="B7336" i="16"/>
  <c r="B7335" i="16"/>
  <c r="B7334" i="16"/>
  <c r="B7333" i="16"/>
  <c r="B7332" i="16"/>
  <c r="B7331" i="16"/>
  <c r="B7330" i="16"/>
  <c r="B7329" i="16"/>
  <c r="B7328" i="16"/>
  <c r="B7327" i="16"/>
  <c r="B7326" i="16"/>
  <c r="B7325" i="16"/>
  <c r="B7324" i="16"/>
  <c r="B7323" i="16"/>
  <c r="B7322" i="16"/>
  <c r="B7321" i="16"/>
  <c r="B7320" i="16"/>
  <c r="B7319" i="16"/>
  <c r="B7318" i="16"/>
  <c r="B7317" i="16"/>
  <c r="B7316" i="16"/>
  <c r="E7315" i="16"/>
  <c r="B7315" i="16"/>
  <c r="B7314" i="16"/>
  <c r="B7313" i="16"/>
  <c r="B7312" i="16"/>
  <c r="B7311" i="16"/>
  <c r="B7310" i="16"/>
  <c r="B7308" i="16"/>
  <c r="B7307" i="16"/>
  <c r="E7306" i="16"/>
  <c r="B7306" i="16"/>
  <c r="B7304" i="16"/>
  <c r="B7303" i="16"/>
  <c r="E7302" i="16"/>
  <c r="B7302" i="16"/>
  <c r="B7300" i="16"/>
  <c r="F7299" i="16"/>
  <c r="B7299" i="16"/>
  <c r="B7298" i="16"/>
  <c r="B7297" i="16"/>
  <c r="B7296" i="16"/>
  <c r="B7295" i="16"/>
  <c r="B7294" i="16"/>
  <c r="B7293" i="16"/>
  <c r="B7292" i="16"/>
  <c r="B7291" i="16"/>
  <c r="B7290" i="16"/>
  <c r="B7289" i="16"/>
  <c r="B7288" i="16"/>
  <c r="B7287" i="16"/>
  <c r="B7286" i="16"/>
  <c r="B7285" i="16"/>
  <c r="B7284" i="16"/>
  <c r="B7283" i="16"/>
  <c r="B7282" i="16"/>
  <c r="B7281" i="16"/>
  <c r="B7280" i="16"/>
  <c r="B7279" i="16"/>
  <c r="B7277" i="16"/>
  <c r="B7276" i="16"/>
  <c r="B7275" i="16"/>
  <c r="B7274" i="16"/>
  <c r="B7273" i="16"/>
  <c r="B7337" i="16" s="1"/>
  <c r="B7272" i="16"/>
  <c r="B7271" i="16"/>
  <c r="B7270" i="16"/>
  <c r="B7269" i="16"/>
  <c r="B7268" i="16"/>
  <c r="B7267" i="16"/>
  <c r="B7266" i="16"/>
  <c r="B7265" i="16"/>
  <c r="B7264" i="16"/>
  <c r="B7263" i="16"/>
  <c r="B7262" i="16"/>
  <c r="B7261" i="16"/>
  <c r="B7260" i="16"/>
  <c r="B7259" i="16"/>
  <c r="B7258" i="16"/>
  <c r="B7257" i="16"/>
  <c r="B7256" i="16"/>
  <c r="B7255" i="16"/>
  <c r="B7254" i="16"/>
  <c r="B7253" i="16"/>
  <c r="B7251" i="16"/>
  <c r="B7250" i="16"/>
  <c r="E7249" i="16"/>
  <c r="B7249" i="16"/>
  <c r="B7247" i="16"/>
  <c r="B7246" i="16"/>
  <c r="E7245" i="16"/>
  <c r="B7245" i="16"/>
  <c r="B7243" i="16"/>
  <c r="B7242" i="16"/>
  <c r="B7241" i="16"/>
  <c r="B7240" i="16"/>
  <c r="B7239" i="16"/>
  <c r="B7238" i="16"/>
  <c r="B7237" i="16"/>
  <c r="B7236" i="16"/>
  <c r="B7235" i="16"/>
  <c r="E7234" i="16"/>
  <c r="B7234" i="16"/>
  <c r="B7233" i="16"/>
  <c r="B7232" i="16"/>
  <c r="B7231" i="16"/>
  <c r="B7230" i="16"/>
  <c r="B7229" i="16"/>
  <c r="B7228" i="16"/>
  <c r="B7227" i="16"/>
  <c r="B7226" i="16"/>
  <c r="B7225" i="16"/>
  <c r="B7224" i="16"/>
  <c r="B7223" i="16"/>
  <c r="B7222" i="16"/>
  <c r="B7221" i="16"/>
  <c r="B7220" i="16"/>
  <c r="B7219" i="16"/>
  <c r="B7218" i="16"/>
  <c r="B7217" i="16"/>
  <c r="B7216" i="16"/>
  <c r="B7215" i="16"/>
  <c r="B7214" i="16"/>
  <c r="B7213" i="16"/>
  <c r="B7212" i="16"/>
  <c r="B7211" i="16"/>
  <c r="B7210" i="16"/>
  <c r="B7209" i="16"/>
  <c r="B7208" i="16"/>
  <c r="B7207" i="16"/>
  <c r="B7206" i="16"/>
  <c r="B7205" i="16"/>
  <c r="B7204" i="16"/>
  <c r="B7203" i="16"/>
  <c r="B7202" i="16"/>
  <c r="B7200" i="16"/>
  <c r="B7199" i="16"/>
  <c r="B7198" i="16"/>
  <c r="B7197" i="16"/>
  <c r="B7196" i="16"/>
  <c r="B7195" i="16"/>
  <c r="B7194" i="16"/>
  <c r="B7192" i="16"/>
  <c r="B7191" i="16"/>
  <c r="B7193" i="16" s="1"/>
  <c r="B7190" i="16"/>
  <c r="B7189" i="16"/>
  <c r="B7188" i="16"/>
  <c r="B7187" i="16"/>
  <c r="B7186" i="16"/>
  <c r="B7185" i="16"/>
  <c r="B7184" i="16"/>
  <c r="B7183" i="16"/>
  <c r="B7182" i="16"/>
  <c r="B7181" i="16"/>
  <c r="B7180" i="16"/>
  <c r="B7179" i="16"/>
  <c r="B7178" i="16"/>
  <c r="B7177" i="16"/>
  <c r="B7176" i="16"/>
  <c r="B7175" i="16"/>
  <c r="B7173" i="16"/>
  <c r="B7172" i="16"/>
  <c r="B7171" i="16"/>
  <c r="B7170" i="16"/>
  <c r="B7169" i="16"/>
  <c r="E7168" i="16"/>
  <c r="B7168" i="16"/>
  <c r="B7166" i="16"/>
  <c r="B7165" i="16"/>
  <c r="B7164" i="16"/>
  <c r="B7163" i="16"/>
  <c r="B7162" i="16"/>
  <c r="B7160" i="16"/>
  <c r="B7159" i="16"/>
  <c r="E7158" i="16"/>
  <c r="B7158" i="16"/>
  <c r="B7156" i="16"/>
  <c r="B7154" i="16"/>
  <c r="B7153" i="16"/>
  <c r="B7151" i="16"/>
  <c r="B7150" i="16"/>
  <c r="E7149" i="16"/>
  <c r="B7149" i="16"/>
  <c r="B7147" i="16"/>
  <c r="B7146" i="16"/>
  <c r="B7145" i="16"/>
  <c r="B7144" i="16"/>
  <c r="C7143" i="16"/>
  <c r="B7142" i="16"/>
  <c r="B7138" i="16"/>
  <c r="B7137" i="16"/>
  <c r="B7135" i="16"/>
  <c r="B7134" i="16"/>
  <c r="E7133" i="16"/>
  <c r="B7133" i="16"/>
  <c r="B7131" i="16"/>
  <c r="B7130" i="16"/>
  <c r="B7129" i="16"/>
  <c r="B7127" i="16"/>
  <c r="B7139" i="16" s="1"/>
  <c r="B7126" i="16"/>
  <c r="B7125" i="16"/>
  <c r="B7124" i="16"/>
  <c r="B7123" i="16"/>
  <c r="F7122" i="16"/>
  <c r="B7122" i="16"/>
  <c r="B7121" i="16"/>
  <c r="B7120" i="16"/>
  <c r="B7119" i="16"/>
  <c r="B7118" i="16"/>
  <c r="B7117" i="16"/>
  <c r="B7116" i="16"/>
  <c r="B7115" i="16"/>
  <c r="B7114" i="16"/>
  <c r="B7113" i="16"/>
  <c r="B7112" i="16"/>
  <c r="B7111" i="16"/>
  <c r="B7110" i="16"/>
  <c r="B7109" i="16"/>
  <c r="B7108" i="16"/>
  <c r="B7106" i="16"/>
  <c r="E7105" i="16"/>
  <c r="E7104" i="16" s="1"/>
  <c r="B7105" i="16"/>
  <c r="B7104" i="16"/>
  <c r="B7102" i="16"/>
  <c r="B7101" i="16"/>
  <c r="B7099" i="16"/>
  <c r="B7140" i="16" s="1"/>
  <c r="B7143" i="16" s="1"/>
  <c r="B7098" i="16"/>
  <c r="B7097" i="16"/>
  <c r="B7096" i="16"/>
  <c r="B7095" i="16"/>
  <c r="B7094" i="16"/>
  <c r="B7093" i="16"/>
  <c r="B7092" i="16"/>
  <c r="B7091" i="16"/>
  <c r="B7090" i="16"/>
  <c r="B7089" i="16"/>
  <c r="B7088" i="16"/>
  <c r="B7087" i="16"/>
  <c r="B7086" i="16"/>
  <c r="B7085" i="16"/>
  <c r="B7084" i="16"/>
  <c r="B7083" i="16"/>
  <c r="B7082" i="16"/>
  <c r="B7081" i="16"/>
  <c r="B7080" i="16"/>
  <c r="B7079" i="16"/>
  <c r="B7078" i="16"/>
  <c r="B7077" i="16"/>
  <c r="B7076" i="16"/>
  <c r="B7075" i="16"/>
  <c r="E7074" i="16"/>
  <c r="B7074" i="16"/>
  <c r="B7073" i="16"/>
  <c r="B7072" i="16"/>
  <c r="B7071" i="16"/>
  <c r="B7070" i="16"/>
  <c r="E7069" i="16"/>
  <c r="B7069" i="16"/>
  <c r="B7068" i="16"/>
  <c r="B7067" i="16"/>
  <c r="E7066" i="16"/>
  <c r="B7066" i="16"/>
  <c r="B7065" i="16"/>
  <c r="B7064" i="16"/>
  <c r="B7063" i="16"/>
  <c r="B7062" i="16"/>
  <c r="B7061" i="16"/>
  <c r="B7060" i="16"/>
  <c r="B7059" i="16"/>
  <c r="B7058" i="16"/>
  <c r="B7057" i="16"/>
  <c r="B7056" i="16"/>
  <c r="B7054" i="16"/>
  <c r="E7053" i="16"/>
  <c r="E7052" i="16" s="1"/>
  <c r="B7053" i="16"/>
  <c r="B7052" i="16"/>
  <c r="B7050" i="16"/>
  <c r="B7049" i="16"/>
  <c r="B7048" i="16"/>
  <c r="E7047" i="16"/>
  <c r="B7047" i="16"/>
  <c r="B7045" i="16"/>
  <c r="B7044" i="16"/>
  <c r="B7043" i="16"/>
  <c r="B7042" i="16"/>
  <c r="B7041" i="16"/>
  <c r="B7040" i="16"/>
  <c r="B7039" i="16"/>
  <c r="B7038" i="16"/>
  <c r="B7037" i="16"/>
  <c r="B7036" i="16"/>
  <c r="B7035" i="16"/>
  <c r="B7034" i="16"/>
  <c r="B7033" i="16"/>
  <c r="B7032" i="16"/>
  <c r="B7031" i="16"/>
  <c r="B7030" i="16"/>
  <c r="B7029" i="16"/>
  <c r="B7028" i="16"/>
  <c r="B7027" i="16"/>
  <c r="B7026" i="16"/>
  <c r="B7025" i="16"/>
  <c r="B7024" i="16"/>
  <c r="B7023" i="16"/>
  <c r="B7022" i="16"/>
  <c r="B7021" i="16"/>
  <c r="B7020" i="16"/>
  <c r="B7019" i="16"/>
  <c r="B7018" i="16"/>
  <c r="B7017" i="16"/>
  <c r="B7016" i="16"/>
  <c r="B7015" i="16"/>
  <c r="B7014" i="16"/>
  <c r="B7013" i="16"/>
  <c r="B7012" i="16"/>
  <c r="B7011" i="16"/>
  <c r="B7010" i="16"/>
  <c r="B7009" i="16"/>
  <c r="B7008" i="16"/>
  <c r="B7007" i="16"/>
  <c r="B7006" i="16"/>
  <c r="B7005" i="16"/>
  <c r="B7004" i="16"/>
  <c r="B7002" i="16"/>
  <c r="B7001" i="16"/>
  <c r="B7000" i="16"/>
  <c r="B6999" i="16"/>
  <c r="B6998" i="16"/>
  <c r="B6997" i="16"/>
  <c r="B6996" i="16"/>
  <c r="B6995" i="16"/>
  <c r="B6994" i="16"/>
  <c r="B6993" i="16"/>
  <c r="B6992" i="16"/>
  <c r="B6991" i="16"/>
  <c r="B6990" i="16"/>
  <c r="B6989" i="16"/>
  <c r="B6988" i="16"/>
  <c r="B6987" i="16"/>
  <c r="B6986" i="16"/>
  <c r="B6985" i="16"/>
  <c r="B6984" i="16"/>
  <c r="B6983" i="16"/>
  <c r="B6982" i="16"/>
  <c r="B6981" i="16"/>
  <c r="B6980" i="16"/>
  <c r="B6979" i="16"/>
  <c r="E6978" i="16"/>
  <c r="E6976" i="16" s="1"/>
  <c r="B6978" i="16"/>
  <c r="B6977" i="16"/>
  <c r="B6976" i="16"/>
  <c r="B6975" i="16"/>
  <c r="B6974" i="16"/>
  <c r="B6973" i="16"/>
  <c r="B6972" i="16"/>
  <c r="B6971" i="16"/>
  <c r="B6970" i="16"/>
  <c r="B6969" i="16"/>
  <c r="B6968" i="16"/>
  <c r="B6967" i="16"/>
  <c r="B6965" i="16"/>
  <c r="B6964" i="16"/>
  <c r="E6963" i="16"/>
  <c r="B6963" i="16"/>
  <c r="B6960" i="16"/>
  <c r="B6959" i="16"/>
  <c r="E6958" i="16"/>
  <c r="B6958" i="16"/>
  <c r="B6956" i="16"/>
  <c r="B6955" i="16"/>
  <c r="B6954" i="16"/>
  <c r="B6953" i="16"/>
  <c r="B6952" i="16"/>
  <c r="B6951" i="16"/>
  <c r="B6950" i="16"/>
  <c r="B6949" i="16"/>
  <c r="B6948" i="16"/>
  <c r="B6947" i="16"/>
  <c r="B6946" i="16"/>
  <c r="B6945" i="16"/>
  <c r="B6944" i="16"/>
  <c r="B6943" i="16"/>
  <c r="B6942" i="16"/>
  <c r="B6941" i="16"/>
  <c r="B6940" i="16"/>
  <c r="B6939" i="16"/>
  <c r="B6938" i="16"/>
  <c r="B6937" i="16"/>
  <c r="B6936" i="16"/>
  <c r="B6935" i="16"/>
  <c r="B6934" i="16"/>
  <c r="B6933" i="16"/>
  <c r="B6932" i="16"/>
  <c r="B6931" i="16"/>
  <c r="B6930" i="16"/>
  <c r="B6929" i="16"/>
  <c r="B6927" i="16"/>
  <c r="B6926" i="16"/>
  <c r="B6925" i="16"/>
  <c r="B6924" i="16"/>
  <c r="B6923" i="16"/>
  <c r="B6922" i="16"/>
  <c r="B6921" i="16"/>
  <c r="B6920" i="16"/>
  <c r="B6919" i="16"/>
  <c r="B6918" i="16"/>
  <c r="B6916" i="16"/>
  <c r="B6917" i="16" s="1"/>
  <c r="B6915" i="16"/>
  <c r="B6914" i="16"/>
  <c r="B6913" i="16"/>
  <c r="B6912" i="16"/>
  <c r="B6911" i="16"/>
  <c r="F6910" i="16"/>
  <c r="B6910" i="16"/>
  <c r="B6909" i="16"/>
  <c r="B6908" i="16"/>
  <c r="B6907" i="16"/>
  <c r="B6906" i="16"/>
  <c r="B6905" i="16"/>
  <c r="B6904" i="16"/>
  <c r="B6903" i="16"/>
  <c r="E6902" i="16"/>
  <c r="B6902" i="16"/>
  <c r="B6901" i="16"/>
  <c r="B6900" i="16"/>
  <c r="B6899" i="16"/>
  <c r="B6898" i="16"/>
  <c r="B6897" i="16"/>
  <c r="B6896" i="16"/>
  <c r="E6895" i="16"/>
  <c r="B6895" i="16"/>
  <c r="B6892" i="16"/>
  <c r="B6891" i="16"/>
  <c r="E6890" i="16"/>
  <c r="B6890" i="16"/>
  <c r="B6888" i="16"/>
  <c r="B6887" i="16"/>
  <c r="B6886" i="16"/>
  <c r="B6885" i="16"/>
  <c r="B6884" i="16"/>
  <c r="B6883" i="16"/>
  <c r="B6881" i="16"/>
  <c r="B6880" i="16"/>
  <c r="B6879" i="16"/>
  <c r="B6878" i="16"/>
  <c r="B6877" i="16"/>
  <c r="B6876" i="16"/>
  <c r="B6875" i="16"/>
  <c r="B6882" i="16" s="1"/>
  <c r="B6874" i="16"/>
  <c r="B6873" i="16"/>
  <c r="B6872" i="16"/>
  <c r="B6871" i="16"/>
  <c r="B6870" i="16"/>
  <c r="B6869" i="16"/>
  <c r="B6868" i="16"/>
  <c r="B6867" i="16"/>
  <c r="B6866" i="16"/>
  <c r="B6865" i="16"/>
  <c r="B6864" i="16"/>
  <c r="B6863" i="16"/>
  <c r="B6862" i="16"/>
  <c r="B6861" i="16"/>
  <c r="B6860" i="16"/>
  <c r="B6858" i="16"/>
  <c r="B6857" i="16"/>
  <c r="B6856" i="16"/>
  <c r="B6855" i="16"/>
  <c r="B6854" i="16"/>
  <c r="B6853" i="16"/>
  <c r="B6852" i="16"/>
  <c r="B6851" i="16"/>
  <c r="B6850" i="16"/>
  <c r="B6849" i="16"/>
  <c r="B6848" i="16"/>
  <c r="B6847" i="16"/>
  <c r="B6846" i="16"/>
  <c r="B6845" i="16"/>
  <c r="B6844" i="16"/>
  <c r="B6843" i="16"/>
  <c r="B6842" i="16"/>
  <c r="E6841" i="16"/>
  <c r="B6841" i="16"/>
  <c r="B6840" i="16"/>
  <c r="B6839" i="16"/>
  <c r="B6838" i="16"/>
  <c r="B6837" i="16"/>
  <c r="B6836" i="16"/>
  <c r="B6835" i="16"/>
  <c r="B6834" i="16"/>
  <c r="B6833" i="16"/>
  <c r="B6832" i="16"/>
  <c r="B6831" i="16"/>
  <c r="B6830" i="16"/>
  <c r="B6829" i="16"/>
  <c r="B6828" i="16"/>
  <c r="B6827" i="16"/>
  <c r="B6826" i="16"/>
  <c r="B6825" i="16"/>
  <c r="B6824" i="16"/>
  <c r="E6823" i="16"/>
  <c r="B6823" i="16"/>
  <c r="B6822" i="16"/>
  <c r="B6821" i="16"/>
  <c r="B6820" i="16"/>
  <c r="B6819" i="16"/>
  <c r="B6818" i="16"/>
  <c r="B6817" i="16"/>
  <c r="B6816" i="16"/>
  <c r="B6815" i="16"/>
  <c r="E6814" i="16"/>
  <c r="B6814" i="16"/>
  <c r="B6811" i="16"/>
  <c r="B6810" i="16"/>
  <c r="E6809" i="16"/>
  <c r="B6809" i="16"/>
  <c r="B6807" i="16"/>
  <c r="B6806" i="16"/>
  <c r="B6805" i="16"/>
  <c r="B6803" i="16"/>
  <c r="B6802" i="16"/>
  <c r="B6801" i="16"/>
  <c r="B6804" i="16" s="1"/>
  <c r="B6800" i="16"/>
  <c r="B6799" i="16"/>
  <c r="B6798" i="16"/>
  <c r="B6797" i="16"/>
  <c r="B6796" i="16"/>
  <c r="B6795" i="16"/>
  <c r="B6794" i="16"/>
  <c r="B6793" i="16"/>
  <c r="B6792" i="16"/>
  <c r="B6791" i="16"/>
  <c r="B6790" i="16"/>
  <c r="B6789" i="16"/>
  <c r="B6788" i="16"/>
  <c r="B6787" i="16"/>
  <c r="B6786" i="16"/>
  <c r="B6785" i="16"/>
  <c r="B6784" i="16"/>
  <c r="B6783" i="16"/>
  <c r="B6782" i="16"/>
  <c r="B6781" i="16"/>
  <c r="B6780" i="16"/>
  <c r="B6779" i="16"/>
  <c r="B6778" i="16"/>
  <c r="B6776" i="16"/>
  <c r="B6775" i="16"/>
  <c r="B6774" i="16"/>
  <c r="B6773" i="16"/>
  <c r="B6772" i="16"/>
  <c r="B6771" i="16"/>
  <c r="B6770" i="16"/>
  <c r="B6769" i="16"/>
  <c r="B6768" i="16"/>
  <c r="B6767" i="16"/>
  <c r="B6766" i="16"/>
  <c r="B6765" i="16"/>
  <c r="B6764" i="16"/>
  <c r="B6763" i="16"/>
  <c r="B6762" i="16"/>
  <c r="B6761" i="16"/>
  <c r="B6760" i="16"/>
  <c r="B6759" i="16"/>
  <c r="B6758" i="16"/>
  <c r="B6757" i="16"/>
  <c r="B6756" i="16"/>
  <c r="B6755" i="16"/>
  <c r="B6754" i="16"/>
  <c r="B6753" i="16"/>
  <c r="B6752" i="16"/>
  <c r="B6751" i="16"/>
  <c r="E6750" i="16"/>
  <c r="B6750" i="16"/>
  <c r="B6749" i="16"/>
  <c r="B6748" i="16"/>
  <c r="B6747" i="16"/>
  <c r="B6746" i="16"/>
  <c r="B6745" i="16"/>
  <c r="B6744" i="16"/>
  <c r="B6743" i="16"/>
  <c r="B6742" i="16"/>
  <c r="B6741" i="16"/>
  <c r="B6740" i="16"/>
  <c r="B6739" i="16"/>
  <c r="B6738" i="16"/>
  <c r="B6736" i="16"/>
  <c r="B6735" i="16"/>
  <c r="B6734" i="16"/>
  <c r="B6733" i="16"/>
  <c r="B6737" i="16" s="1"/>
  <c r="B6732" i="16"/>
  <c r="B6731" i="16"/>
  <c r="B6730" i="16"/>
  <c r="B6729" i="16"/>
  <c r="B6728" i="16"/>
  <c r="B6727" i="16"/>
  <c r="E6726" i="16"/>
  <c r="B6726" i="16"/>
  <c r="B6723" i="16"/>
  <c r="B6722" i="16"/>
  <c r="E6721" i="16"/>
  <c r="B6721" i="16"/>
  <c r="B6719" i="16"/>
  <c r="B6718" i="16"/>
  <c r="B6717" i="16"/>
  <c r="B6716" i="16"/>
  <c r="B6715" i="16"/>
  <c r="B6714" i="16"/>
  <c r="B6713" i="16"/>
  <c r="B6712" i="16"/>
  <c r="B6711" i="16"/>
  <c r="B6710" i="16"/>
  <c r="B6709" i="16"/>
  <c r="B6708" i="16"/>
  <c r="B6707" i="16"/>
  <c r="B6706" i="16"/>
  <c r="B6705" i="16"/>
  <c r="B6704" i="16"/>
  <c r="B6703" i="16"/>
  <c r="B6702" i="16"/>
  <c r="B6701" i="16"/>
  <c r="B6700" i="16"/>
  <c r="B6699" i="16"/>
  <c r="B6698" i="16"/>
  <c r="B6697" i="16"/>
  <c r="B6696" i="16"/>
  <c r="B6695" i="16"/>
  <c r="B6694" i="16"/>
  <c r="B6693" i="16"/>
  <c r="B6692" i="16"/>
  <c r="B6691" i="16"/>
  <c r="B6690" i="16"/>
  <c r="B6689" i="16"/>
  <c r="B6688" i="16"/>
  <c r="B6687" i="16"/>
  <c r="B6686" i="16"/>
  <c r="B6685" i="16"/>
  <c r="B6684" i="16"/>
  <c r="B6683" i="16"/>
  <c r="B6679" i="16"/>
  <c r="B6678" i="16"/>
  <c r="B6677" i="16"/>
  <c r="B6676" i="16"/>
  <c r="B6675" i="16"/>
  <c r="B6674" i="16"/>
  <c r="B6673" i="16"/>
  <c r="B6672" i="16"/>
  <c r="B6671" i="16"/>
  <c r="B6670" i="16"/>
  <c r="B6669" i="16"/>
  <c r="B6681" i="16" s="1"/>
  <c r="B6680" i="16" s="1"/>
  <c r="B6668" i="16"/>
  <c r="B6667" i="16"/>
  <c r="B6666" i="16"/>
  <c r="B6665" i="16"/>
  <c r="B6664" i="16"/>
  <c r="B6663" i="16"/>
  <c r="B6662" i="16"/>
  <c r="B6661" i="16"/>
  <c r="B6660" i="16"/>
  <c r="B6659" i="16"/>
  <c r="B6658" i="16"/>
  <c r="B6657" i="16"/>
  <c r="B6656" i="16"/>
  <c r="B6655" i="16"/>
  <c r="E6654" i="16"/>
  <c r="B6654" i="16"/>
  <c r="B6653" i="16"/>
  <c r="B6652" i="16"/>
  <c r="B6651" i="16"/>
  <c r="B6650" i="16"/>
  <c r="B6649" i="16"/>
  <c r="B6648" i="16"/>
  <c r="B6647" i="16"/>
  <c r="B6646" i="16"/>
  <c r="B6645" i="16"/>
  <c r="B6644" i="16"/>
  <c r="E6643" i="16"/>
  <c r="B6643" i="16"/>
  <c r="B6640" i="16"/>
  <c r="B6639" i="16"/>
  <c r="E6638" i="16"/>
  <c r="B6638" i="16"/>
  <c r="B6636" i="16"/>
  <c r="B6635" i="16"/>
  <c r="B6634" i="16"/>
  <c r="B6633" i="16"/>
  <c r="B6632" i="16"/>
  <c r="E6631" i="16"/>
  <c r="B6631" i="16"/>
  <c r="B6630" i="16"/>
  <c r="B6629" i="16"/>
  <c r="B6628" i="16"/>
  <c r="B6627" i="16"/>
  <c r="B6626" i="16"/>
  <c r="B6625" i="16"/>
  <c r="B6624" i="16"/>
  <c r="B6623" i="16"/>
  <c r="B6622" i="16"/>
  <c r="B6621" i="16"/>
  <c r="B6620" i="16"/>
  <c r="B6619" i="16"/>
  <c r="B6618" i="16"/>
  <c r="B6617" i="16"/>
  <c r="B6616" i="16"/>
  <c r="B6615" i="16"/>
  <c r="B6614" i="16"/>
  <c r="B6613" i="16"/>
  <c r="B6612" i="16"/>
  <c r="B6611" i="16"/>
  <c r="B6610" i="16"/>
  <c r="B6609" i="16"/>
  <c r="B6608" i="16"/>
  <c r="B6607" i="16"/>
  <c r="B6606" i="16"/>
  <c r="B6605" i="16"/>
  <c r="B6603" i="16"/>
  <c r="B6602" i="16"/>
  <c r="B6601" i="16"/>
  <c r="B6600" i="16"/>
  <c r="B6599" i="16"/>
  <c r="B6598" i="16"/>
  <c r="B6597" i="16"/>
  <c r="B6596" i="16"/>
  <c r="B6595" i="16"/>
  <c r="B6594" i="16"/>
  <c r="B6593" i="16"/>
  <c r="B6592" i="16"/>
  <c r="B6591" i="16"/>
  <c r="B6590" i="16"/>
  <c r="B6589" i="16"/>
  <c r="B6588" i="16"/>
  <c r="B6587" i="16"/>
  <c r="B6586" i="16"/>
  <c r="B6585" i="16"/>
  <c r="B6584" i="16"/>
  <c r="B6583" i="16"/>
  <c r="B6582" i="16"/>
  <c r="B6581" i="16"/>
  <c r="B6580" i="16"/>
  <c r="B6579" i="16"/>
  <c r="B6578" i="16"/>
  <c r="B6577" i="16"/>
  <c r="B6576" i="16"/>
  <c r="B6575" i="16"/>
  <c r="E6574" i="16"/>
  <c r="B6574" i="16"/>
  <c r="B6573" i="16"/>
  <c r="B6572" i="16"/>
  <c r="B6571" i="16"/>
  <c r="B6570" i="16"/>
  <c r="B6569" i="16"/>
  <c r="B6568" i="16"/>
  <c r="B6567" i="16"/>
  <c r="B6566" i="16"/>
  <c r="B6565" i="16"/>
  <c r="B6564" i="16"/>
  <c r="B6563" i="16"/>
  <c r="E6562" i="16"/>
  <c r="B6562" i="16"/>
  <c r="B6560" i="16"/>
  <c r="B6559" i="16"/>
  <c r="E6558" i="16"/>
  <c r="B6558" i="16"/>
  <c r="E6556" i="16"/>
  <c r="B6556" i="16"/>
  <c r="B6555" i="16"/>
  <c r="B6554" i="16"/>
  <c r="B6553" i="16"/>
  <c r="B6552" i="16"/>
  <c r="B6551" i="16"/>
  <c r="B6550" i="16"/>
  <c r="B6549" i="16"/>
  <c r="B6548" i="16"/>
  <c r="B6547" i="16"/>
  <c r="B6546" i="16"/>
  <c r="B6545" i="16"/>
  <c r="B6544" i="16"/>
  <c r="B6542" i="16"/>
  <c r="B6543" i="16" s="1"/>
  <c r="B6541" i="16"/>
  <c r="B6540" i="16"/>
  <c r="B6539" i="16"/>
  <c r="B6538" i="16"/>
  <c r="B6537" i="16"/>
  <c r="B6536" i="16"/>
  <c r="B6535" i="16"/>
  <c r="B6534" i="16"/>
  <c r="B6533" i="16"/>
  <c r="B6532" i="16"/>
  <c r="B6531" i="16"/>
  <c r="B6530" i="16"/>
  <c r="B6529" i="16"/>
  <c r="B6528" i="16"/>
  <c r="B6525" i="16"/>
  <c r="B6523" i="16"/>
  <c r="B6522" i="16"/>
  <c r="B6521" i="16"/>
  <c r="B6520" i="16"/>
  <c r="B6526" i="16" s="1"/>
  <c r="B6519" i="16"/>
  <c r="B6518" i="16"/>
  <c r="B6524" i="16" s="1"/>
  <c r="B6517" i="16"/>
  <c r="B6516" i="16"/>
  <c r="B6515" i="16"/>
  <c r="B6514" i="16"/>
  <c r="B6513" i="16"/>
  <c r="B6512" i="16"/>
  <c r="B6511" i="16"/>
  <c r="B6510" i="16"/>
  <c r="B6509" i="16"/>
  <c r="B6508" i="16"/>
  <c r="B6507" i="16"/>
  <c r="B6506" i="16"/>
  <c r="B6505" i="16"/>
  <c r="B6504" i="16"/>
  <c r="B6503" i="16"/>
  <c r="B6502" i="16"/>
  <c r="B6501" i="16"/>
  <c r="B6500" i="16"/>
  <c r="B6499" i="16"/>
  <c r="E6498" i="16"/>
  <c r="B6498" i="16"/>
  <c r="B6497" i="16"/>
  <c r="B6496" i="16"/>
  <c r="B6495" i="16"/>
  <c r="B6493" i="16"/>
  <c r="B6492" i="16"/>
  <c r="B6494" i="16" s="1"/>
  <c r="B6491" i="16"/>
  <c r="B6490" i="16"/>
  <c r="B6489" i="16"/>
  <c r="B6488" i="16"/>
  <c r="B6487" i="16"/>
  <c r="B6486" i="16"/>
  <c r="B6485" i="16"/>
  <c r="B6484" i="16"/>
  <c r="E6483" i="16"/>
  <c r="B6483" i="16"/>
  <c r="B6481" i="16"/>
  <c r="B6480" i="16"/>
  <c r="E6479" i="16"/>
  <c r="B6479" i="16"/>
  <c r="B6478" i="16"/>
  <c r="B6477" i="16"/>
  <c r="B6476" i="16"/>
  <c r="B6475" i="16"/>
  <c r="B6474" i="16"/>
  <c r="B6473" i="16"/>
  <c r="B6472" i="16"/>
  <c r="B6471" i="16"/>
  <c r="B6470" i="16"/>
  <c r="B6469" i="16"/>
  <c r="B6468" i="16"/>
  <c r="B6464" i="16"/>
  <c r="B6463" i="16"/>
  <c r="B6462" i="16"/>
  <c r="B6465" i="16" s="1"/>
  <c r="B6461" i="16"/>
  <c r="B6460" i="16"/>
  <c r="B6459" i="16"/>
  <c r="B6458" i="16"/>
  <c r="B6457" i="16"/>
  <c r="B6456" i="16"/>
  <c r="B6455" i="16"/>
  <c r="B6454" i="16"/>
  <c r="B6453" i="16"/>
  <c r="B6452" i="16"/>
  <c r="B6451" i="16"/>
  <c r="B6450" i="16"/>
  <c r="B6449" i="16"/>
  <c r="B6448" i="16"/>
  <c r="B6446" i="16"/>
  <c r="B6445" i="16"/>
  <c r="B6443" i="16"/>
  <c r="B6442" i="16"/>
  <c r="B6444" i="16" s="1"/>
  <c r="B6441" i="16"/>
  <c r="B6440" i="16"/>
  <c r="B6439" i="16"/>
  <c r="B6438" i="16"/>
  <c r="B6437" i="16"/>
  <c r="B6436" i="16"/>
  <c r="B6435" i="16"/>
  <c r="B6434" i="16"/>
  <c r="B6433" i="16"/>
  <c r="B6431" i="16"/>
  <c r="B6430" i="16"/>
  <c r="B6429" i="16"/>
  <c r="B6428" i="16"/>
  <c r="B6432" i="16" s="1"/>
  <c r="B6427" i="16"/>
  <c r="B6426" i="16"/>
  <c r="B6425" i="16"/>
  <c r="B6424" i="16"/>
  <c r="B6423" i="16"/>
  <c r="B6422" i="16"/>
  <c r="B6421" i="16"/>
  <c r="B6420" i="16"/>
  <c r="B6419" i="16"/>
  <c r="B6418" i="16"/>
  <c r="E6417" i="16"/>
  <c r="B6417" i="16"/>
  <c r="B6416" i="16"/>
  <c r="B6415" i="16"/>
  <c r="B6414" i="16"/>
  <c r="B6413" i="16"/>
  <c r="B6412" i="16"/>
  <c r="B6411" i="16"/>
  <c r="B6410" i="16"/>
  <c r="B6409" i="16"/>
  <c r="B6408" i="16"/>
  <c r="B6407" i="16"/>
  <c r="B6406" i="16"/>
  <c r="B6405" i="16"/>
  <c r="B6404" i="16"/>
  <c r="B6403" i="16"/>
  <c r="B6402" i="16"/>
  <c r="B6401" i="16"/>
  <c r="B6400" i="16"/>
  <c r="E6399" i="16"/>
  <c r="B6399" i="16"/>
  <c r="B6397" i="16"/>
  <c r="B6396" i="16"/>
  <c r="E6395" i="16"/>
  <c r="B6395" i="16"/>
  <c r="B6394" i="16"/>
  <c r="B6393" i="16"/>
  <c r="B6392" i="16"/>
  <c r="B6390" i="16"/>
  <c r="B6389" i="16"/>
  <c r="B6388" i="16"/>
  <c r="B6387" i="16"/>
  <c r="B6386" i="16"/>
  <c r="B6385" i="16"/>
  <c r="B6391" i="16" s="1"/>
  <c r="B6384" i="16"/>
  <c r="B6383" i="16"/>
  <c r="B6382" i="16"/>
  <c r="B6381" i="16"/>
  <c r="B6380" i="16"/>
  <c r="B6379" i="16"/>
  <c r="B6378" i="16"/>
  <c r="B6377" i="16"/>
  <c r="B6375" i="16"/>
  <c r="B6376" i="16" s="1"/>
  <c r="B6374" i="16"/>
  <c r="B6373" i="16"/>
  <c r="B6372" i="16"/>
  <c r="B6369" i="16"/>
  <c r="B6371" i="16" s="1"/>
  <c r="B6368" i="16"/>
  <c r="B6370" i="16" s="1"/>
  <c r="B6367" i="16"/>
  <c r="B6366" i="16"/>
  <c r="B6365" i="16"/>
  <c r="B6364" i="16"/>
  <c r="B6363" i="16"/>
  <c r="B6362" i="16"/>
  <c r="B6361" i="16"/>
  <c r="B6360" i="16"/>
  <c r="B6359" i="16"/>
  <c r="B6358" i="16"/>
  <c r="B6357" i="16"/>
  <c r="B6356" i="16"/>
  <c r="B6355" i="16"/>
  <c r="B6354" i="16"/>
  <c r="B6352" i="16"/>
  <c r="B6351" i="16"/>
  <c r="B6350" i="16"/>
  <c r="B6349" i="16"/>
  <c r="B6348" i="16"/>
  <c r="B6347" i="16"/>
  <c r="B6346" i="16"/>
  <c r="B6345" i="16"/>
  <c r="B6344" i="16"/>
  <c r="B6343" i="16"/>
  <c r="B6342" i="16"/>
  <c r="B6341" i="16"/>
  <c r="B6340" i="16"/>
  <c r="B6339" i="16"/>
  <c r="B6338" i="16"/>
  <c r="B6337" i="16"/>
  <c r="B6336" i="16"/>
  <c r="B6335" i="16"/>
  <c r="B6334" i="16"/>
  <c r="B6333" i="16"/>
  <c r="B6332" i="16"/>
  <c r="B6331" i="16"/>
  <c r="B6330" i="16"/>
  <c r="B6329" i="16"/>
  <c r="B6328" i="16"/>
  <c r="B6327" i="16"/>
  <c r="B6326" i="16"/>
  <c r="B6325" i="16"/>
  <c r="B6324" i="16"/>
  <c r="B6323" i="16"/>
  <c r="B6322" i="16"/>
  <c r="B6321" i="16"/>
  <c r="B6320" i="16"/>
  <c r="B6319" i="16"/>
  <c r="B6318" i="16"/>
  <c r="B6317" i="16"/>
  <c r="B6316" i="16"/>
  <c r="B6315" i="16"/>
  <c r="B6314" i="16"/>
  <c r="B6313" i="16"/>
  <c r="B6312" i="16"/>
  <c r="E6311" i="16"/>
  <c r="B6311" i="16"/>
  <c r="B6310" i="16"/>
  <c r="B6309" i="16"/>
  <c r="B6308" i="16"/>
  <c r="B6307" i="16"/>
  <c r="B6306" i="16"/>
  <c r="B6305" i="16"/>
  <c r="B6304" i="16"/>
  <c r="B6303" i="16"/>
  <c r="B6300" i="16"/>
  <c r="B6301" i="16" s="1"/>
  <c r="B6299" i="16"/>
  <c r="B6298" i="16"/>
  <c r="B6297" i="16"/>
  <c r="B6296" i="16"/>
  <c r="B6295" i="16"/>
  <c r="B6294" i="16"/>
  <c r="B6293" i="16"/>
  <c r="B6292" i="16"/>
  <c r="E6291" i="16"/>
  <c r="B6291" i="16"/>
  <c r="B6289" i="16"/>
  <c r="B6288" i="16"/>
  <c r="E6287" i="16"/>
  <c r="B6287" i="16"/>
  <c r="B6286" i="16"/>
  <c r="B6285" i="16"/>
  <c r="B6284" i="16"/>
  <c r="B6283" i="16"/>
  <c r="B6282" i="16"/>
  <c r="B6281" i="16"/>
  <c r="B6280" i="16"/>
  <c r="B6279" i="16"/>
  <c r="B6278" i="16"/>
  <c r="B6277" i="16"/>
  <c r="B6276" i="16"/>
  <c r="B6275" i="16"/>
  <c r="B6274" i="16"/>
  <c r="B6273" i="16"/>
  <c r="B6272" i="16"/>
  <c r="B6271" i="16"/>
  <c r="B6270" i="16"/>
  <c r="B6269" i="16"/>
  <c r="B6268" i="16"/>
  <c r="B6267" i="16"/>
  <c r="B6266" i="16"/>
  <c r="B6265" i="16"/>
  <c r="B6264" i="16"/>
  <c r="B6263" i="16"/>
  <c r="B6262" i="16"/>
  <c r="B6261" i="16"/>
  <c r="B6260" i="16"/>
  <c r="B6259" i="16"/>
  <c r="B6258" i="16"/>
  <c r="B6257" i="16"/>
  <c r="B6256" i="16"/>
  <c r="B6255" i="16"/>
  <c r="B6254" i="16"/>
  <c r="B6253" i="16"/>
  <c r="B6252" i="16"/>
  <c r="B6251" i="16"/>
  <c r="B6250" i="16"/>
  <c r="B6249" i="16"/>
  <c r="B6248" i="16"/>
  <c r="B6247" i="16"/>
  <c r="B6246" i="16"/>
  <c r="B6245" i="16"/>
  <c r="B6244" i="16"/>
  <c r="B6243" i="16"/>
  <c r="B6242" i="16"/>
  <c r="B6241" i="16"/>
  <c r="B6239" i="16"/>
  <c r="B6238" i="16"/>
  <c r="B6237" i="16"/>
  <c r="B6236" i="16"/>
  <c r="B6235" i="16"/>
  <c r="B6234" i="16"/>
  <c r="B6233" i="16"/>
  <c r="B6232" i="16"/>
  <c r="B6231" i="16"/>
  <c r="B6230" i="16"/>
  <c r="B6229" i="16"/>
  <c r="B6228" i="16"/>
  <c r="B6227" i="16"/>
  <c r="B6226" i="16"/>
  <c r="B6225" i="16"/>
  <c r="B6224" i="16"/>
  <c r="B6223" i="16"/>
  <c r="E6222" i="16"/>
  <c r="B6222" i="16"/>
  <c r="B6221" i="16"/>
  <c r="B6220" i="16"/>
  <c r="B6219" i="16"/>
  <c r="B6218" i="16"/>
  <c r="B6217" i="16"/>
  <c r="B6216" i="16"/>
  <c r="B6215" i="16"/>
  <c r="B6214" i="16"/>
  <c r="B6213" i="16"/>
  <c r="B6212" i="16"/>
  <c r="B6211" i="16"/>
  <c r="B6210" i="16"/>
  <c r="B6209" i="16"/>
  <c r="B6208" i="16"/>
  <c r="B6207" i="16"/>
  <c r="B6206" i="16"/>
  <c r="E6205" i="16"/>
  <c r="B6205" i="16"/>
  <c r="B6203" i="16"/>
  <c r="B6202" i="16"/>
  <c r="E6201" i="16"/>
  <c r="B6201" i="16"/>
  <c r="B6200" i="16"/>
  <c r="B6199" i="16"/>
  <c r="B6198" i="16"/>
  <c r="B6197" i="16"/>
  <c r="B6196" i="16"/>
  <c r="B6195" i="16"/>
  <c r="B6194" i="16"/>
  <c r="B6193" i="16"/>
  <c r="B6192" i="16"/>
  <c r="B6191" i="16"/>
  <c r="B6190" i="16"/>
  <c r="B6189" i="16"/>
  <c r="B6188" i="16"/>
  <c r="B6187" i="16"/>
  <c r="B6185" i="16"/>
  <c r="B6184" i="16"/>
  <c r="B6183" i="16"/>
  <c r="B6182" i="16"/>
  <c r="B6181" i="16"/>
  <c r="B6180" i="16"/>
  <c r="B6178" i="16"/>
  <c r="B6177" i="16"/>
  <c r="B6176" i="16"/>
  <c r="B6175" i="16"/>
  <c r="B6174" i="16"/>
  <c r="B6173" i="16"/>
  <c r="B6172" i="16"/>
  <c r="B6171" i="16"/>
  <c r="B6170" i="16"/>
  <c r="B6168" i="16"/>
  <c r="B6167" i="16"/>
  <c r="B6166" i="16"/>
  <c r="B6164" i="16"/>
  <c r="B6163" i="16"/>
  <c r="B6162" i="16"/>
  <c r="B6161" i="16"/>
  <c r="B6160" i="16"/>
  <c r="B6159" i="16"/>
  <c r="B6158" i="16"/>
  <c r="B6157" i="16"/>
  <c r="B6156" i="16"/>
  <c r="B6155" i="16"/>
  <c r="B6154" i="16"/>
  <c r="B6152" i="16"/>
  <c r="B6151" i="16"/>
  <c r="B6150" i="16"/>
  <c r="B6179" i="16" s="1"/>
  <c r="B6149" i="16"/>
  <c r="B6148" i="16"/>
  <c r="B6147" i="16"/>
  <c r="B6146" i="16"/>
  <c r="B6145" i="16"/>
  <c r="B6144" i="16"/>
  <c r="B6142" i="16"/>
  <c r="B6141" i="16"/>
  <c r="B6140" i="16"/>
  <c r="B6139" i="16"/>
  <c r="B6138" i="16"/>
  <c r="B6137" i="16"/>
  <c r="B6136" i="16"/>
  <c r="B6135" i="16"/>
  <c r="B6134" i="16"/>
  <c r="B6133" i="16"/>
  <c r="B6132" i="16"/>
  <c r="B6131" i="16"/>
  <c r="B6130" i="16"/>
  <c r="B6129" i="16"/>
  <c r="B6128" i="16"/>
  <c r="B6127" i="16"/>
  <c r="B6126" i="16"/>
  <c r="B6125" i="16"/>
  <c r="E6124" i="16"/>
  <c r="B6124" i="16"/>
  <c r="C6123" i="16"/>
  <c r="C6143" i="16" s="1"/>
  <c r="C6153" i="16" s="1"/>
  <c r="C6169" i="16" s="1"/>
  <c r="C6186" i="16" s="1"/>
  <c r="C6319" i="16" s="1"/>
  <c r="B6122" i="16"/>
  <c r="E6121" i="16"/>
  <c r="B6121" i="16"/>
  <c r="B6120" i="16"/>
  <c r="B6119" i="16"/>
  <c r="B6118" i="16"/>
  <c r="B6117" i="16"/>
  <c r="B6116" i="16"/>
  <c r="B6115" i="16"/>
  <c r="B6114" i="16"/>
  <c r="B6113" i="16"/>
  <c r="E6112" i="16"/>
  <c r="B6112" i="16"/>
  <c r="B6110" i="16"/>
  <c r="B6109" i="16"/>
  <c r="E6108" i="16"/>
  <c r="B6108" i="16"/>
  <c r="B6107" i="16"/>
  <c r="B6106" i="16"/>
  <c r="B6104" i="16"/>
  <c r="B6103" i="16"/>
  <c r="B6102" i="16"/>
  <c r="E6101" i="16"/>
  <c r="B6101" i="16"/>
  <c r="B6100" i="16"/>
  <c r="B6099" i="16"/>
  <c r="B6098" i="16"/>
  <c r="B6097" i="16"/>
  <c r="E6096" i="16"/>
  <c r="B6096" i="16"/>
  <c r="B6095" i="16"/>
  <c r="B6094" i="16"/>
  <c r="B6093" i="16"/>
  <c r="B6092" i="16"/>
  <c r="B6105" i="16" s="1"/>
  <c r="B6111" i="16" s="1"/>
  <c r="B6123" i="16" s="1"/>
  <c r="B6143" i="16" s="1"/>
  <c r="B6153" i="16" s="1"/>
  <c r="B6169" i="16" s="1"/>
  <c r="B6186" i="16" s="1"/>
  <c r="B6091" i="16"/>
  <c r="B6090" i="16"/>
  <c r="B6089" i="16"/>
  <c r="B6088" i="16"/>
  <c r="B6087" i="16"/>
  <c r="B6086" i="16"/>
  <c r="B6085" i="16"/>
  <c r="B6084" i="16"/>
  <c r="B6083" i="16"/>
  <c r="B6082" i="16"/>
  <c r="B6081" i="16"/>
  <c r="B6080" i="16"/>
  <c r="B6079" i="16"/>
  <c r="B6078" i="16"/>
  <c r="B6077" i="16"/>
  <c r="B6076" i="16"/>
  <c r="B6075" i="16"/>
  <c r="B6074" i="16"/>
  <c r="B6072" i="16"/>
  <c r="B6071" i="16"/>
  <c r="B6070" i="16"/>
  <c r="B6069" i="16"/>
  <c r="B6068" i="16"/>
  <c r="B6067" i="16"/>
  <c r="B6066" i="16"/>
  <c r="B6065" i="16"/>
  <c r="B6064" i="16"/>
  <c r="E6063" i="16"/>
  <c r="E6062" i="16" s="1"/>
  <c r="B6063" i="16"/>
  <c r="B6062" i="16"/>
  <c r="B6061" i="16"/>
  <c r="B6060" i="16"/>
  <c r="B6059" i="16"/>
  <c r="B6058" i="16"/>
  <c r="B6057" i="16"/>
  <c r="B6056" i="16"/>
  <c r="B6055" i="16"/>
  <c r="B6054" i="16"/>
  <c r="B6053" i="16"/>
  <c r="B6052" i="16"/>
  <c r="B6050" i="16"/>
  <c r="B6049" i="16"/>
  <c r="B6048" i="16"/>
  <c r="B6051" i="16" s="1"/>
  <c r="B6047" i="16"/>
  <c r="B6046" i="16"/>
  <c r="B6045" i="16"/>
  <c r="B6044" i="16"/>
  <c r="B6043" i="16"/>
  <c r="B6042" i="16"/>
  <c r="B6041" i="16"/>
  <c r="B6040" i="16"/>
  <c r="B6039" i="16"/>
  <c r="B6038" i="16"/>
  <c r="B6037" i="16"/>
  <c r="E6036" i="16"/>
  <c r="B6036" i="16"/>
  <c r="B6035" i="16"/>
  <c r="B6034" i="16"/>
  <c r="B6033" i="16"/>
  <c r="B6032" i="16"/>
  <c r="B6031" i="16"/>
  <c r="B6030" i="16"/>
  <c r="B6029" i="16"/>
  <c r="B6028" i="16"/>
  <c r="B6027" i="16"/>
  <c r="B6026" i="16"/>
  <c r="B6025" i="16"/>
  <c r="B6024" i="16"/>
  <c r="B6023" i="16"/>
  <c r="B6022" i="16"/>
  <c r="B6021" i="16"/>
  <c r="B6020" i="16"/>
  <c r="B6019" i="16"/>
  <c r="E6018" i="16"/>
  <c r="B6018" i="16"/>
  <c r="B6017" i="16"/>
  <c r="B6016" i="16"/>
  <c r="B6015" i="16"/>
  <c r="E6014" i="16"/>
  <c r="B6014" i="16"/>
  <c r="B6013" i="16"/>
  <c r="B6012" i="16"/>
  <c r="B6011" i="16"/>
  <c r="B6010" i="16"/>
  <c r="B6009" i="16"/>
  <c r="B6008" i="16"/>
  <c r="B6007" i="16"/>
  <c r="B6006" i="16"/>
  <c r="B6005" i="16"/>
  <c r="B6004" i="16"/>
  <c r="B6003" i="16"/>
  <c r="B6002" i="16"/>
  <c r="B6001" i="16"/>
  <c r="B6000" i="16"/>
  <c r="B5999" i="16"/>
  <c r="B5998" i="16"/>
  <c r="B5997" i="16"/>
  <c r="B5996" i="16"/>
  <c r="B5995" i="16"/>
  <c r="B5994" i="16"/>
  <c r="B5993" i="16"/>
  <c r="B5992" i="16"/>
  <c r="B5990" i="16"/>
  <c r="B5989" i="16"/>
  <c r="B5988" i="16"/>
  <c r="B5987" i="16"/>
  <c r="B5986" i="16"/>
  <c r="B5985" i="16"/>
  <c r="B5984" i="16"/>
  <c r="B5983" i="16"/>
  <c r="B5982" i="16"/>
  <c r="B5981" i="16"/>
  <c r="B5980" i="16"/>
  <c r="B5979" i="16"/>
  <c r="B5991" i="16" s="1"/>
  <c r="B5978" i="16"/>
  <c r="B5977" i="16"/>
  <c r="B5976" i="16"/>
  <c r="B5975" i="16"/>
  <c r="B5974" i="16"/>
  <c r="B5973" i="16"/>
  <c r="B5970" i="16"/>
  <c r="B5969" i="16"/>
  <c r="B5971" i="16" s="1"/>
  <c r="B5968" i="16"/>
  <c r="B5967" i="16"/>
  <c r="B5966" i="16"/>
  <c r="B5965" i="16"/>
  <c r="B5964" i="16"/>
  <c r="B5963" i="16"/>
  <c r="B5962" i="16"/>
  <c r="B5961" i="16"/>
  <c r="B5960" i="16"/>
  <c r="B5959" i="16"/>
  <c r="B5958" i="16"/>
  <c r="B5957" i="16"/>
  <c r="E5956" i="16"/>
  <c r="B5956" i="16"/>
  <c r="B5955" i="16"/>
  <c r="B5954" i="16"/>
  <c r="B5953" i="16"/>
  <c r="B5952" i="16"/>
  <c r="B5951" i="16"/>
  <c r="B5950" i="16"/>
  <c r="B5949" i="16"/>
  <c r="B5948" i="16"/>
  <c r="B5947" i="16"/>
  <c r="B5946" i="16"/>
  <c r="B5945" i="16"/>
  <c r="B5944" i="16"/>
  <c r="B5943" i="16"/>
  <c r="B5942" i="16"/>
  <c r="E5941" i="16"/>
  <c r="B5941" i="16"/>
  <c r="E5940" i="16"/>
  <c r="E5939" i="16" s="1"/>
  <c r="B5940" i="16"/>
  <c r="B5938" i="16"/>
  <c r="B5937" i="16"/>
  <c r="B5939" i="16" s="1"/>
  <c r="B5936" i="16"/>
  <c r="B5935" i="16"/>
  <c r="B5934" i="16"/>
  <c r="B5933" i="16"/>
  <c r="B5932" i="16"/>
  <c r="B5931" i="16"/>
  <c r="E5930" i="16"/>
  <c r="B5930" i="16"/>
  <c r="B5929" i="16"/>
  <c r="B5928" i="16"/>
  <c r="B5927" i="16"/>
  <c r="B5926" i="16"/>
  <c r="B5925" i="16"/>
  <c r="B5924" i="16"/>
  <c r="B5923" i="16"/>
  <c r="B5922" i="16"/>
  <c r="E5921" i="16"/>
  <c r="B5921" i="16"/>
  <c r="B5919" i="16"/>
  <c r="B5918" i="16"/>
  <c r="E5917" i="16"/>
  <c r="B5917" i="16"/>
  <c r="B5916" i="16"/>
  <c r="B5915" i="16"/>
  <c r="B5914" i="16"/>
  <c r="B5913" i="16"/>
  <c r="B5912" i="16"/>
  <c r="B5911" i="16"/>
  <c r="B5910" i="16"/>
  <c r="B5909" i="16"/>
  <c r="B5908" i="16"/>
  <c r="B5907" i="16"/>
  <c r="B5906" i="16"/>
  <c r="B5905" i="16"/>
  <c r="B5904" i="16"/>
  <c r="B5903" i="16"/>
  <c r="B5902" i="16"/>
  <c r="B5901" i="16"/>
  <c r="B5900" i="16"/>
  <c r="B5899" i="16"/>
  <c r="B5898" i="16"/>
  <c r="B5897" i="16"/>
  <c r="B5896" i="16"/>
  <c r="B5895" i="16"/>
  <c r="B5894" i="16"/>
  <c r="B5893" i="16"/>
  <c r="B5892" i="16"/>
  <c r="B5891" i="16"/>
  <c r="B5890" i="16"/>
  <c r="B5889" i="16"/>
  <c r="B5887" i="16"/>
  <c r="B5886" i="16"/>
  <c r="B5885" i="16"/>
  <c r="B5884" i="16"/>
  <c r="B5883" i="16"/>
  <c r="B5882" i="16"/>
  <c r="B5881" i="16"/>
  <c r="B5880" i="16"/>
  <c r="B5879" i="16"/>
  <c r="B5878" i="16"/>
  <c r="B5877" i="16"/>
  <c r="B5876" i="16"/>
  <c r="B5875" i="16"/>
  <c r="B5874" i="16"/>
  <c r="B5873" i="16"/>
  <c r="B5872" i="16"/>
  <c r="B5871" i="16"/>
  <c r="B5870" i="16"/>
  <c r="B5869" i="16"/>
  <c r="B5868" i="16"/>
  <c r="B5867" i="16"/>
  <c r="B5866" i="16"/>
  <c r="B5865" i="16"/>
  <c r="B5864" i="16"/>
  <c r="B5863" i="16"/>
  <c r="B5862" i="16"/>
  <c r="B5861" i="16"/>
  <c r="E5860" i="16"/>
  <c r="B5860" i="16"/>
  <c r="B5857" i="16"/>
  <c r="B5856" i="16"/>
  <c r="B5858" i="16" s="1"/>
  <c r="B5855" i="16"/>
  <c r="B5854" i="16"/>
  <c r="B5853" i="16"/>
  <c r="B5852" i="16"/>
  <c r="B5851" i="16"/>
  <c r="B5850" i="16"/>
  <c r="B5849" i="16"/>
  <c r="B5848" i="16"/>
  <c r="E5847" i="16"/>
  <c r="B5847" i="16"/>
  <c r="B5845" i="16"/>
  <c r="B5844" i="16"/>
  <c r="E5843" i="16"/>
  <c r="B5843" i="16"/>
  <c r="B5842" i="16"/>
  <c r="E5841" i="16"/>
  <c r="B5841" i="16"/>
  <c r="B5840" i="16"/>
  <c r="B5839" i="16"/>
  <c r="B5838" i="16"/>
  <c r="B5837" i="16"/>
  <c r="B5836" i="16"/>
  <c r="B5835" i="16"/>
  <c r="B5834" i="16"/>
  <c r="B5833" i="16"/>
  <c r="B5832" i="16"/>
  <c r="B5831" i="16"/>
  <c r="B33" i="106" s="1"/>
  <c r="B35" i="106" s="1"/>
  <c r="B5830" i="16"/>
  <c r="B5829" i="16"/>
  <c r="B5828" i="16"/>
  <c r="B5827" i="16"/>
  <c r="B5826" i="16"/>
  <c r="B5824" i="16" s="1"/>
  <c r="B5825" i="16"/>
  <c r="B5823" i="16"/>
  <c r="B5822" i="16"/>
  <c r="B5821" i="16"/>
  <c r="B5820" i="16"/>
  <c r="B5819" i="16"/>
  <c r="B5818" i="16"/>
  <c r="B5817" i="16"/>
  <c r="B5816" i="16"/>
  <c r="B5815" i="16"/>
  <c r="B5814" i="16"/>
  <c r="B5813" i="16"/>
  <c r="B5812" i="16"/>
  <c r="B5810" i="16" s="1"/>
  <c r="B5811" i="16"/>
  <c r="B5808" i="16"/>
  <c r="B5807" i="16"/>
  <c r="B5806" i="16"/>
  <c r="B5805" i="16"/>
  <c r="B5804" i="16"/>
  <c r="B5809" i="16" s="1"/>
  <c r="B5803" i="16"/>
  <c r="B5802" i="16"/>
  <c r="B5800" i="16"/>
  <c r="B5799" i="16"/>
  <c r="B5798" i="16"/>
  <c r="B5797" i="16"/>
  <c r="B5796" i="16"/>
  <c r="B5795" i="16"/>
  <c r="B5794" i="16"/>
  <c r="B5793" i="16"/>
  <c r="B5792" i="16"/>
  <c r="B5791" i="16"/>
  <c r="B5790" i="16"/>
  <c r="B5789" i="16"/>
  <c r="B5788" i="16"/>
  <c r="B5787" i="16"/>
  <c r="B5786" i="16"/>
  <c r="B5785" i="16"/>
  <c r="B5784" i="16"/>
  <c r="B5783" i="16"/>
  <c r="B5782" i="16"/>
  <c r="B5781" i="16"/>
  <c r="B5780" i="16"/>
  <c r="B5779" i="16"/>
  <c r="B5778" i="16"/>
  <c r="E5777" i="16"/>
  <c r="E5776" i="16" s="1"/>
  <c r="B5777" i="16"/>
  <c r="B5776" i="16"/>
  <c r="B5775" i="16"/>
  <c r="B5774" i="16"/>
  <c r="B5773" i="16"/>
  <c r="B5772" i="16"/>
  <c r="B5771" i="16"/>
  <c r="B5770" i="16"/>
  <c r="B5769" i="16"/>
  <c r="B5768" i="16"/>
  <c r="B5767" i="16"/>
  <c r="B5766" i="16"/>
  <c r="B5765" i="16"/>
  <c r="B5764" i="16"/>
  <c r="B5763" i="16"/>
  <c r="B5762" i="16"/>
  <c r="E5761" i="16"/>
  <c r="B5761" i="16"/>
  <c r="B5760" i="16"/>
  <c r="B5759" i="16"/>
  <c r="B5758" i="16"/>
  <c r="E5757" i="16"/>
  <c r="B5757" i="16"/>
  <c r="B5756" i="16"/>
  <c r="B5755" i="16"/>
  <c r="B5754" i="16"/>
  <c r="B5753" i="16"/>
  <c r="B5752" i="16"/>
  <c r="B5751" i="16"/>
  <c r="B5750" i="16"/>
  <c r="B5749" i="16"/>
  <c r="B5748" i="16"/>
  <c r="B5747" i="16"/>
  <c r="B5746" i="16"/>
  <c r="B5745" i="16"/>
  <c r="B5744" i="16"/>
  <c r="B5743" i="16"/>
  <c r="B5742" i="16"/>
  <c r="B5741" i="16"/>
  <c r="B5740" i="16"/>
  <c r="B5739" i="16"/>
  <c r="B5737" i="16"/>
  <c r="B5736" i="16"/>
  <c r="B5735" i="16"/>
  <c r="B5734" i="16"/>
  <c r="B5733" i="16"/>
  <c r="B5732" i="16"/>
  <c r="B5731" i="16"/>
  <c r="B5730" i="16"/>
  <c r="B5729" i="16"/>
  <c r="B5728" i="16"/>
  <c r="B5727" i="16"/>
  <c r="B5726" i="16"/>
  <c r="B5725" i="16"/>
  <c r="B5724" i="16"/>
  <c r="B5723" i="16"/>
  <c r="B5722" i="16"/>
  <c r="B5721" i="16"/>
  <c r="E5720" i="16"/>
  <c r="B5720" i="16"/>
  <c r="B5719" i="16"/>
  <c r="B5718" i="16"/>
  <c r="B5717" i="16"/>
  <c r="B5716" i="16"/>
  <c r="B5715" i="16"/>
  <c r="B5714" i="16"/>
  <c r="B5713" i="16"/>
  <c r="B5712" i="16"/>
  <c r="B5711" i="16"/>
  <c r="B5710" i="16"/>
  <c r="B5709" i="16"/>
  <c r="E5708" i="16"/>
  <c r="B5708" i="16"/>
  <c r="B5706" i="16"/>
  <c r="B5705" i="16"/>
  <c r="E5704" i="16"/>
  <c r="B5704" i="16"/>
  <c r="B5703" i="16"/>
  <c r="B5702" i="16"/>
  <c r="B5701" i="16"/>
  <c r="B5700" i="16"/>
  <c r="B5699" i="16"/>
  <c r="B5698" i="16"/>
  <c r="B5697" i="16"/>
  <c r="B5696" i="16"/>
  <c r="B5695" i="16"/>
  <c r="B5694" i="16"/>
  <c r="B5693" i="16"/>
  <c r="B5692" i="16"/>
  <c r="B5691" i="16"/>
  <c r="B5690" i="16"/>
  <c r="B5689" i="16"/>
  <c r="B5688" i="16"/>
  <c r="B5687" i="16"/>
  <c r="B5686" i="16"/>
  <c r="B5685" i="16"/>
  <c r="B5684" i="16"/>
  <c r="B5683" i="16"/>
  <c r="B5682" i="16"/>
  <c r="B5681" i="16"/>
  <c r="B5680" i="16"/>
  <c r="B5678" i="16"/>
  <c r="B5677" i="16"/>
  <c r="B5676" i="16"/>
  <c r="B5675" i="16"/>
  <c r="B5674" i="16"/>
  <c r="B5673" i="16"/>
  <c r="B5672" i="16"/>
  <c r="B5671" i="16"/>
  <c r="B5670" i="16"/>
  <c r="E5669" i="16"/>
  <c r="B5669" i="16"/>
  <c r="B5668" i="16"/>
  <c r="B5667" i="16"/>
  <c r="B5666" i="16"/>
  <c r="B5665" i="16"/>
  <c r="B5664" i="16"/>
  <c r="E5663" i="16"/>
  <c r="B5663" i="16"/>
  <c r="B5662" i="16"/>
  <c r="B5661" i="16"/>
  <c r="B5660" i="16"/>
  <c r="B5659" i="16"/>
  <c r="B5658" i="16"/>
  <c r="B5657" i="16"/>
  <c r="B5656" i="16"/>
  <c r="B5655" i="16"/>
  <c r="B5654" i="16"/>
  <c r="B5653" i="16"/>
  <c r="B5652" i="16"/>
  <c r="B5651" i="16"/>
  <c r="B5650" i="16"/>
  <c r="B5649" i="16"/>
  <c r="B5648" i="16"/>
  <c r="B5647" i="16"/>
  <c r="B5646" i="16"/>
  <c r="B5645" i="16"/>
  <c r="B5644" i="16"/>
  <c r="B5643" i="16"/>
  <c r="B5642" i="16"/>
  <c r="B5641" i="16"/>
  <c r="E5640" i="16"/>
  <c r="B5640" i="16"/>
  <c r="B5639" i="16"/>
  <c r="B5638" i="16"/>
  <c r="B5637" i="16"/>
  <c r="B5636" i="16"/>
  <c r="B5635" i="16"/>
  <c r="B5634" i="16"/>
  <c r="B5633" i="16"/>
  <c r="B5632" i="16"/>
  <c r="B5631" i="16"/>
  <c r="B5630" i="16"/>
  <c r="B5629" i="16"/>
  <c r="B5628" i="16"/>
  <c r="B5627" i="16"/>
  <c r="B5626" i="16"/>
  <c r="B5625" i="16"/>
  <c r="B5623" i="16"/>
  <c r="B5622" i="16"/>
  <c r="B5621" i="16"/>
  <c r="B5620" i="16"/>
  <c r="B5619" i="16"/>
  <c r="B5618" i="16"/>
  <c r="B5617" i="16"/>
  <c r="B5624" i="16" s="1"/>
  <c r="B5616" i="16"/>
  <c r="B5615" i="16"/>
  <c r="B5614" i="16"/>
  <c r="B5613" i="16"/>
  <c r="B5612" i="16"/>
  <c r="B5611" i="16"/>
  <c r="B5610" i="16"/>
  <c r="B5609" i="16"/>
  <c r="B5608" i="16"/>
  <c r="B5607" i="16"/>
  <c r="B5606" i="16"/>
  <c r="B5604" i="16"/>
  <c r="B5603" i="16"/>
  <c r="B5602" i="16"/>
  <c r="B5601" i="16"/>
  <c r="B5600" i="16"/>
  <c r="B5599" i="16"/>
  <c r="B5598" i="16"/>
  <c r="B5597" i="16"/>
  <c r="B5596" i="16"/>
  <c r="B5595" i="16"/>
  <c r="B5594" i="16"/>
  <c r="B5593" i="16"/>
  <c r="B5592" i="16"/>
  <c r="B5591" i="16"/>
  <c r="B5590" i="16"/>
  <c r="B5589" i="16"/>
  <c r="B5588" i="16"/>
  <c r="B5587" i="16"/>
  <c r="B5586" i="16"/>
  <c r="B5585" i="16"/>
  <c r="B5584" i="16"/>
  <c r="B5583" i="16"/>
  <c r="B5582" i="16"/>
  <c r="B5581" i="16"/>
  <c r="B5580" i="16"/>
  <c r="B5579" i="16"/>
  <c r="B5578" i="16"/>
  <c r="B5577" i="16"/>
  <c r="B5576" i="16"/>
  <c r="B5575" i="16"/>
  <c r="B5574" i="16"/>
  <c r="E5573" i="16"/>
  <c r="B5573" i="16"/>
  <c r="B5572" i="16"/>
  <c r="B5571" i="16"/>
  <c r="B5570" i="16"/>
  <c r="B5569" i="16"/>
  <c r="B5568" i="16"/>
  <c r="B5567" i="16"/>
  <c r="E5566" i="16"/>
  <c r="B5566" i="16"/>
  <c r="B5565" i="16"/>
  <c r="B5564" i="16"/>
  <c r="B5563" i="16"/>
  <c r="B5562" i="16"/>
  <c r="B5561" i="16"/>
  <c r="B5560" i="16"/>
  <c r="E5559" i="16"/>
  <c r="B5559" i="16"/>
  <c r="B5557" i="16"/>
  <c r="B5556" i="16"/>
  <c r="E5555" i="16"/>
  <c r="B5555" i="16"/>
  <c r="B5554" i="16"/>
  <c r="B5553" i="16"/>
  <c r="B5552" i="16"/>
  <c r="B5551" i="16"/>
  <c r="B5550" i="16"/>
  <c r="B5549" i="16"/>
  <c r="B5548" i="16"/>
  <c r="B5547" i="16"/>
  <c r="B5546" i="16"/>
  <c r="B5545" i="16"/>
  <c r="B5544" i="16"/>
  <c r="B5543" i="16"/>
  <c r="B5542" i="16"/>
  <c r="B5541" i="16"/>
  <c r="B5540" i="16"/>
  <c r="B5539" i="16"/>
  <c r="B5538" i="16"/>
  <c r="B5537" i="16"/>
  <c r="B5536" i="16"/>
  <c r="B5534" i="16"/>
  <c r="B5532" i="16"/>
  <c r="B5531" i="16"/>
  <c r="B5530" i="16"/>
  <c r="B5533" i="16" s="1"/>
  <c r="B5529" i="16"/>
  <c r="B5528" i="16"/>
  <c r="B5527" i="16"/>
  <c r="B5526" i="16"/>
  <c r="B5525" i="16"/>
  <c r="B5524" i="16"/>
  <c r="B5523" i="16"/>
  <c r="B5522" i="16"/>
  <c r="B5521" i="16"/>
  <c r="B5520" i="16"/>
  <c r="B5519" i="16"/>
  <c r="B5518" i="16"/>
  <c r="B5517" i="16"/>
  <c r="B5516" i="16"/>
  <c r="B5515" i="16"/>
  <c r="B5514" i="16"/>
  <c r="B5513" i="16"/>
  <c r="B5512" i="16"/>
  <c r="B5511" i="16"/>
  <c r="B5510" i="16"/>
  <c r="B5509" i="16"/>
  <c r="B5508" i="16"/>
  <c r="B5507" i="16"/>
  <c r="B5506" i="16"/>
  <c r="B5505" i="16"/>
  <c r="B5504" i="16"/>
  <c r="E5503" i="16"/>
  <c r="B5503" i="16"/>
  <c r="B5502" i="16"/>
  <c r="B5501" i="16"/>
  <c r="B5500" i="16"/>
  <c r="B5499" i="16"/>
  <c r="B5498" i="16"/>
  <c r="B5497" i="16"/>
  <c r="B5496" i="16"/>
  <c r="B5495" i="16"/>
  <c r="B5494" i="16"/>
  <c r="B5493" i="16"/>
  <c r="B5492" i="16"/>
  <c r="B5491" i="16"/>
  <c r="B5490" i="16"/>
  <c r="B5489" i="16"/>
  <c r="E5488" i="16"/>
  <c r="B5488" i="16"/>
  <c r="B5486" i="16"/>
  <c r="B5485" i="16"/>
  <c r="E5484" i="16"/>
  <c r="B5484" i="16"/>
  <c r="B5483" i="16"/>
  <c r="B5482" i="16"/>
  <c r="B5481" i="16"/>
  <c r="B5480" i="16"/>
  <c r="B5479" i="16"/>
  <c r="B5478" i="16"/>
  <c r="B5477" i="16"/>
  <c r="B5476" i="16"/>
  <c r="B5475" i="16"/>
  <c r="B5474" i="16"/>
  <c r="B5473" i="16"/>
  <c r="B5472" i="16"/>
  <c r="B5471" i="16"/>
  <c r="B5470" i="16"/>
  <c r="B5469" i="16"/>
  <c r="B5468" i="16"/>
  <c r="B5467" i="16"/>
  <c r="B5466" i="16"/>
  <c r="B5465" i="16"/>
  <c r="B5464" i="16"/>
  <c r="B5463" i="16"/>
  <c r="B5462" i="16"/>
  <c r="B5461" i="16"/>
  <c r="B5460" i="16"/>
  <c r="B5459" i="16"/>
  <c r="B5458" i="16"/>
  <c r="B5457" i="16"/>
  <c r="B5456" i="16"/>
  <c r="B5455" i="16"/>
  <c r="B5454" i="16"/>
  <c r="B5453" i="16"/>
  <c r="B5452" i="16"/>
  <c r="B5451" i="16"/>
  <c r="B5450" i="16"/>
  <c r="B5449" i="16"/>
  <c r="B5448" i="16"/>
  <c r="B5446" i="16"/>
  <c r="B5445" i="16"/>
  <c r="B5444" i="16"/>
  <c r="B5443" i="16"/>
  <c r="B5442" i="16"/>
  <c r="B5441" i="16"/>
  <c r="B5440" i="16"/>
  <c r="B5439" i="16"/>
  <c r="B5438" i="16"/>
  <c r="B5436" i="16"/>
  <c r="B5435" i="16"/>
  <c r="B5434" i="16"/>
  <c r="B5437" i="16" s="1"/>
  <c r="B5433" i="16"/>
  <c r="B5432" i="16"/>
  <c r="B5431" i="16"/>
  <c r="B5430" i="16"/>
  <c r="B5429" i="16"/>
  <c r="E5428" i="16"/>
  <c r="B5428" i="16"/>
  <c r="B5427" i="16"/>
  <c r="B5426" i="16"/>
  <c r="B5425" i="16"/>
  <c r="B5424" i="16"/>
  <c r="B5423" i="16"/>
  <c r="B5422" i="16"/>
  <c r="B5421" i="16"/>
  <c r="B5420" i="16"/>
  <c r="B5419" i="16"/>
  <c r="B5418" i="16"/>
  <c r="B5417" i="16"/>
  <c r="B5416" i="16"/>
  <c r="B5415" i="16"/>
  <c r="B5414" i="16"/>
  <c r="B5413" i="16"/>
  <c r="B5412" i="16"/>
  <c r="E5411" i="16"/>
  <c r="B5411" i="16"/>
  <c r="B5410" i="16"/>
  <c r="B5409" i="16"/>
  <c r="B5408" i="16"/>
  <c r="B5407" i="16"/>
  <c r="B5406" i="16"/>
  <c r="B5405" i="16"/>
  <c r="B5404" i="16"/>
  <c r="B5403" i="16"/>
  <c r="B5402" i="16"/>
  <c r="B5401" i="16"/>
  <c r="B5400" i="16"/>
  <c r="B5399" i="16"/>
  <c r="B5398" i="16"/>
  <c r="B5397" i="16"/>
  <c r="B5396" i="16"/>
  <c r="B5395" i="16"/>
  <c r="B5394" i="16"/>
  <c r="B5393" i="16"/>
  <c r="B5392" i="16"/>
  <c r="B5391" i="16"/>
  <c r="B5390" i="16"/>
  <c r="B5389" i="16"/>
  <c r="B5388" i="16"/>
  <c r="B5387" i="16"/>
  <c r="B5386" i="16"/>
  <c r="B5385" i="16"/>
  <c r="B5384" i="16"/>
  <c r="B5383" i="16"/>
  <c r="B5382" i="16"/>
  <c r="B5381" i="16"/>
  <c r="B5380" i="16"/>
  <c r="B5379" i="16"/>
  <c r="B5378" i="16"/>
  <c r="B5377" i="16"/>
  <c r="B5376" i="16"/>
  <c r="B5375" i="16"/>
  <c r="B5372" i="16"/>
  <c r="B5371" i="16"/>
  <c r="B5374" i="16" s="1"/>
  <c r="B5370" i="16"/>
  <c r="B5369" i="16"/>
  <c r="B5368" i="16"/>
  <c r="B5367" i="16"/>
  <c r="B5366" i="16"/>
  <c r="B5365" i="16"/>
  <c r="B5364" i="16"/>
  <c r="B5363" i="16"/>
  <c r="B5362" i="16"/>
  <c r="B5361" i="16"/>
  <c r="B5360" i="16"/>
  <c r="B5359" i="16"/>
  <c r="B5358" i="16"/>
  <c r="B5357" i="16"/>
  <c r="B5356" i="16"/>
  <c r="B5355" i="16"/>
  <c r="B5354" i="16"/>
  <c r="B5353" i="16"/>
  <c r="B5352" i="16"/>
  <c r="B5351" i="16"/>
  <c r="B5350" i="16"/>
  <c r="B5349" i="16"/>
  <c r="B5348" i="16"/>
  <c r="B5347" i="16"/>
  <c r="B5346" i="16"/>
  <c r="B5345" i="16"/>
  <c r="B5344" i="16"/>
  <c r="B5343" i="16"/>
  <c r="B5342" i="16"/>
  <c r="B5341" i="16"/>
  <c r="E5340" i="16"/>
  <c r="B5340" i="16"/>
  <c r="B5339" i="16"/>
  <c r="B5338" i="16"/>
  <c r="B5337" i="16"/>
  <c r="B5336" i="16"/>
  <c r="B5335" i="16"/>
  <c r="B5334" i="16"/>
  <c r="B5333" i="16"/>
  <c r="B5332" i="16"/>
  <c r="B5331" i="16"/>
  <c r="B5329" i="16"/>
  <c r="B5328" i="16"/>
  <c r="E5327" i="16"/>
  <c r="B5327" i="16"/>
  <c r="B5326" i="16"/>
  <c r="B5325" i="16"/>
  <c r="B5324" i="16"/>
  <c r="B5323" i="16"/>
  <c r="B5322" i="16"/>
  <c r="B5321" i="16"/>
  <c r="B5320" i="16"/>
  <c r="B5319" i="16"/>
  <c r="B5318" i="16"/>
  <c r="B5317" i="16"/>
  <c r="B5316" i="16"/>
  <c r="B5315" i="16"/>
  <c r="B5314" i="16"/>
  <c r="B5313" i="16"/>
  <c r="B5312" i="16"/>
  <c r="B5311" i="16"/>
  <c r="B5310" i="16"/>
  <c r="B5309" i="16"/>
  <c r="B5308" i="16"/>
  <c r="E5307" i="16"/>
  <c r="B5307" i="16"/>
  <c r="B5306" i="16"/>
  <c r="B5305" i="16"/>
  <c r="B5304" i="16"/>
  <c r="B5303" i="16"/>
  <c r="B5302" i="16"/>
  <c r="B5301" i="16"/>
  <c r="B5300" i="16"/>
  <c r="B5299" i="16"/>
  <c r="B5298" i="16"/>
  <c r="B5297" i="16"/>
  <c r="B5296" i="16"/>
  <c r="B5295" i="16"/>
  <c r="B5294" i="16"/>
  <c r="B5293" i="16"/>
  <c r="B5292" i="16"/>
  <c r="B5291" i="16"/>
  <c r="B5290" i="16"/>
  <c r="B5289" i="16"/>
  <c r="B5288" i="16"/>
  <c r="B5287" i="16"/>
  <c r="B5286" i="16"/>
  <c r="B5285" i="16"/>
  <c r="B5283" i="16"/>
  <c r="B5282" i="16"/>
  <c r="B5281" i="16"/>
  <c r="B5280" i="16"/>
  <c r="B5279" i="16"/>
  <c r="B5278" i="16"/>
  <c r="B5277" i="16"/>
  <c r="B5276" i="16"/>
  <c r="B5275" i="16"/>
  <c r="B5274" i="16"/>
  <c r="B5273" i="16"/>
  <c r="B5272" i="16"/>
  <c r="B5271" i="16"/>
  <c r="B5270" i="16"/>
  <c r="B5269" i="16"/>
  <c r="B5268" i="16"/>
  <c r="B5267" i="16"/>
  <c r="B5266" i="16"/>
  <c r="B5265" i="16"/>
  <c r="B5264" i="16"/>
  <c r="E5263" i="16"/>
  <c r="B5263" i="16"/>
  <c r="B5262" i="16"/>
  <c r="B5261" i="16"/>
  <c r="B5260" i="16"/>
  <c r="B5259" i="16"/>
  <c r="B5258" i="16"/>
  <c r="B5257" i="16"/>
  <c r="B5256" i="16"/>
  <c r="B5255" i="16"/>
  <c r="B5254" i="16"/>
  <c r="B5253" i="16"/>
  <c r="B5252" i="16"/>
  <c r="B5251" i="16"/>
  <c r="B5250" i="16"/>
  <c r="B5249" i="16"/>
  <c r="B5248" i="16"/>
  <c r="B5247" i="16"/>
  <c r="B5246" i="16"/>
  <c r="B5245" i="16"/>
  <c r="B5244" i="16"/>
  <c r="B5243" i="16"/>
  <c r="B5242" i="16"/>
  <c r="B5241" i="16"/>
  <c r="B5240" i="16"/>
  <c r="E5239" i="16"/>
  <c r="B5239" i="16"/>
  <c r="B5238" i="16"/>
  <c r="B5237" i="16"/>
  <c r="B5236" i="16"/>
  <c r="B5235" i="16"/>
  <c r="B5234" i="16"/>
  <c r="B5233" i="16"/>
  <c r="B5232" i="16"/>
  <c r="B5231" i="16"/>
  <c r="B5230" i="16"/>
  <c r="B5229" i="16"/>
  <c r="B5228" i="16"/>
  <c r="B5227" i="16"/>
  <c r="B5226" i="16"/>
  <c r="B5225" i="16"/>
  <c r="B5224" i="16"/>
  <c r="B5223" i="16"/>
  <c r="B5222" i="16"/>
  <c r="B5221" i="16"/>
  <c r="B5220" i="16"/>
  <c r="B5219" i="16"/>
  <c r="B5218" i="16"/>
  <c r="B5217" i="16"/>
  <c r="B5216" i="16"/>
  <c r="B5215" i="16"/>
  <c r="B5214" i="16"/>
  <c r="B5213" i="16"/>
  <c r="B5212" i="16"/>
  <c r="B5211" i="16"/>
  <c r="B5207" i="16"/>
  <c r="B5206" i="16"/>
  <c r="B5205" i="16"/>
  <c r="B5204" i="16"/>
  <c r="B5203" i="16"/>
  <c r="B5202" i="16"/>
  <c r="B5201" i="16"/>
  <c r="B5200" i="16"/>
  <c r="B5199" i="16"/>
  <c r="B5198" i="16"/>
  <c r="B5197" i="16"/>
  <c r="B5196" i="16"/>
  <c r="B5195" i="16"/>
  <c r="B5194" i="16"/>
  <c r="B5193" i="16"/>
  <c r="B5192" i="16"/>
  <c r="B5191" i="16"/>
  <c r="B5190" i="16"/>
  <c r="B5189" i="16"/>
  <c r="E5188" i="16"/>
  <c r="B5188" i="16"/>
  <c r="B5187" i="16"/>
  <c r="B5186" i="16"/>
  <c r="B5185" i="16"/>
  <c r="B5184" i="16"/>
  <c r="B5183" i="16"/>
  <c r="B5182" i="16"/>
  <c r="B5181" i="16"/>
  <c r="B5180" i="16"/>
  <c r="B5179" i="16"/>
  <c r="E5178" i="16"/>
  <c r="B5178" i="16"/>
  <c r="E5177" i="16"/>
  <c r="B5177" i="16"/>
  <c r="B5176" i="16"/>
  <c r="B5175" i="16"/>
  <c r="B5174" i="16"/>
  <c r="E5173" i="16"/>
  <c r="B5173" i="16"/>
  <c r="B5172" i="16"/>
  <c r="B5171" i="16"/>
  <c r="B5170" i="16"/>
  <c r="B5169" i="16"/>
  <c r="B5168" i="16"/>
  <c r="B5167" i="16"/>
  <c r="B5166" i="16"/>
  <c r="B5208" i="16" s="1"/>
  <c r="B5165" i="16"/>
  <c r="B5164" i="16"/>
  <c r="B5163" i="16"/>
  <c r="B5162" i="16"/>
  <c r="B5161" i="16"/>
  <c r="B5160" i="16"/>
  <c r="B5159" i="16"/>
  <c r="B5158" i="16"/>
  <c r="B215" i="102" s="1"/>
  <c r="B5157" i="16"/>
  <c r="B5156" i="16"/>
  <c r="B5155" i="16"/>
  <c r="B5154" i="16"/>
  <c r="B5153" i="16"/>
  <c r="B5152" i="16"/>
  <c r="B5151" i="16"/>
  <c r="B5150" i="16"/>
  <c r="B5149" i="16"/>
  <c r="B5148" i="16"/>
  <c r="E5147" i="16"/>
  <c r="B5147" i="16"/>
  <c r="B5146" i="16"/>
  <c r="B5145" i="16"/>
  <c r="B5144" i="16"/>
  <c r="B5143" i="16"/>
  <c r="B5142" i="16"/>
  <c r="B5140" i="16"/>
  <c r="B5139" i="16"/>
  <c r="B5138" i="16"/>
  <c r="B5137" i="16"/>
  <c r="B5136" i="16"/>
  <c r="B5135" i="16"/>
  <c r="B5134" i="16"/>
  <c r="B5133" i="16"/>
  <c r="B5132" i="16"/>
  <c r="B5131" i="16"/>
  <c r="B5130" i="16"/>
  <c r="B5129" i="16"/>
  <c r="B5128" i="16"/>
  <c r="B5127" i="16"/>
  <c r="B5126" i="16"/>
  <c r="B5125" i="16"/>
  <c r="B5124" i="16"/>
  <c r="B5123" i="16"/>
  <c r="B5122" i="16"/>
  <c r="B5121" i="16"/>
  <c r="B5120" i="16"/>
  <c r="B5119" i="16"/>
  <c r="B5118" i="16"/>
  <c r="B5117" i="16"/>
  <c r="B5116" i="16"/>
  <c r="B5115" i="16"/>
  <c r="B5114" i="16"/>
  <c r="B5113" i="16"/>
  <c r="B5112" i="16"/>
  <c r="B5111" i="16"/>
  <c r="B5110" i="16"/>
  <c r="B5109" i="16"/>
  <c r="B5108" i="16"/>
  <c r="B5107" i="16"/>
  <c r="B5106" i="16"/>
  <c r="B5105" i="16"/>
  <c r="E5104" i="16"/>
  <c r="B5104" i="16"/>
  <c r="B5103" i="16"/>
  <c r="B5102" i="16"/>
  <c r="B5101" i="16"/>
  <c r="B5100" i="16"/>
  <c r="B5099" i="16"/>
  <c r="B5098" i="16"/>
  <c r="B5097" i="16"/>
  <c r="B5096" i="16"/>
  <c r="B5095" i="16"/>
  <c r="B5094" i="16"/>
  <c r="B5093" i="16"/>
  <c r="B5092" i="16"/>
  <c r="B5091" i="16"/>
  <c r="B5090" i="16"/>
  <c r="B5089" i="16"/>
  <c r="B5088" i="16"/>
  <c r="B5087" i="16"/>
  <c r="E5086" i="16"/>
  <c r="B5086" i="16"/>
  <c r="E5085" i="16"/>
  <c r="B5085" i="16"/>
  <c r="D5084" i="16"/>
  <c r="D9367" i="16" s="1"/>
  <c r="B15" i="8" s="1"/>
  <c r="B5084" i="16"/>
  <c r="B5083" i="16"/>
  <c r="B5082" i="16"/>
  <c r="B5081" i="16"/>
  <c r="B5080" i="16"/>
  <c r="B5079" i="16"/>
  <c r="B5078" i="16"/>
  <c r="B5077" i="16"/>
  <c r="B5076" i="16"/>
  <c r="B5075" i="16"/>
  <c r="B5074" i="16"/>
  <c r="B5073" i="16"/>
  <c r="B5072" i="16"/>
  <c r="B5071" i="16"/>
  <c r="B5070" i="16"/>
  <c r="B5069" i="16"/>
  <c r="B5068" i="16"/>
  <c r="B5067" i="16"/>
  <c r="B5066" i="16"/>
  <c r="B5065" i="16"/>
  <c r="B5064" i="16"/>
  <c r="B5063" i="16"/>
  <c r="B5062" i="16"/>
  <c r="B5061" i="16"/>
  <c r="B5060" i="16"/>
  <c r="B5059" i="16"/>
  <c r="B5058" i="16"/>
  <c r="B5057" i="16"/>
  <c r="B5056" i="16"/>
  <c r="B5055" i="16"/>
  <c r="B5054" i="16"/>
  <c r="B5053" i="16"/>
  <c r="B5052" i="16"/>
  <c r="B5051" i="16"/>
  <c r="B5050" i="16"/>
  <c r="B5049" i="16"/>
  <c r="B5048" i="16"/>
  <c r="B5045" i="16"/>
  <c r="B5044" i="16"/>
  <c r="B5043" i="16"/>
  <c r="B5042" i="16"/>
  <c r="B5041" i="16"/>
  <c r="B5040" i="16"/>
  <c r="B5039" i="16"/>
  <c r="B5038" i="16"/>
  <c r="B5037" i="16"/>
  <c r="B5036" i="16"/>
  <c r="B5035" i="16"/>
  <c r="B5034" i="16"/>
  <c r="B5033" i="16"/>
  <c r="B5032" i="16"/>
  <c r="B5031" i="16"/>
  <c r="B5030" i="16"/>
  <c r="B5029" i="16"/>
  <c r="B5028" i="16"/>
  <c r="B5027" i="16"/>
  <c r="B5026" i="16"/>
  <c r="E5025" i="16"/>
  <c r="B5025" i="16"/>
  <c r="B5024" i="16"/>
  <c r="B5023" i="16"/>
  <c r="B5022" i="16"/>
  <c r="B5021" i="16"/>
  <c r="B5020" i="16"/>
  <c r="B5019" i="16"/>
  <c r="B5018" i="16"/>
  <c r="B5017" i="16"/>
  <c r="B5016" i="16"/>
  <c r="B5015" i="16"/>
  <c r="B5014" i="16"/>
  <c r="B5013" i="16"/>
  <c r="B5012" i="16"/>
  <c r="E5011" i="16"/>
  <c r="B5011" i="16"/>
  <c r="E5010" i="16"/>
  <c r="B5010" i="16"/>
  <c r="B5009" i="16"/>
  <c r="B5008" i="16"/>
  <c r="B5007" i="16"/>
  <c r="E5006" i="16"/>
  <c r="B5006" i="16"/>
  <c r="B5005" i="16"/>
  <c r="B5004" i="16"/>
  <c r="B5003" i="16"/>
  <c r="B5002" i="16"/>
  <c r="B5001" i="16"/>
  <c r="B5000" i="16"/>
  <c r="B4999" i="16"/>
  <c r="B4998" i="16"/>
  <c r="B4997" i="16"/>
  <c r="B4996" i="16"/>
  <c r="B4995" i="16"/>
  <c r="B4994" i="16"/>
  <c r="B4993" i="16"/>
  <c r="B4992" i="16"/>
  <c r="B4991" i="16"/>
  <c r="B4990" i="16"/>
  <c r="B4989" i="16"/>
  <c r="B4986" i="16"/>
  <c r="B4985" i="16"/>
  <c r="B4984" i="16"/>
  <c r="B4983" i="16"/>
  <c r="B4982" i="16"/>
  <c r="B4981" i="16"/>
  <c r="B4980" i="16"/>
  <c r="B4979" i="16"/>
  <c r="E4978" i="16"/>
  <c r="B4978" i="16"/>
  <c r="B4977" i="16"/>
  <c r="B4976" i="16"/>
  <c r="B4975" i="16"/>
  <c r="E4974" i="16"/>
  <c r="B4974" i="16"/>
  <c r="E4973" i="16"/>
  <c r="B4973" i="16"/>
  <c r="B4972" i="16"/>
  <c r="B4971" i="16"/>
  <c r="B4970" i="16"/>
  <c r="B4969" i="16"/>
  <c r="B4968" i="16"/>
  <c r="B4967" i="16"/>
  <c r="B4966" i="16"/>
  <c r="B4965" i="16"/>
  <c r="E4964" i="16"/>
  <c r="B4964" i="16"/>
  <c r="B4963" i="16"/>
  <c r="B4962" i="16"/>
  <c r="B4961" i="16"/>
  <c r="B4960" i="16"/>
  <c r="B4959" i="16"/>
  <c r="B4958" i="16"/>
  <c r="B4957" i="16"/>
  <c r="E4956" i="16"/>
  <c r="B4956" i="16"/>
  <c r="B4955" i="16"/>
  <c r="B4954" i="16"/>
  <c r="B4953" i="16"/>
  <c r="B4952" i="16"/>
  <c r="B4951" i="16"/>
  <c r="B4950" i="16"/>
  <c r="B4949" i="16"/>
  <c r="B4948" i="16"/>
  <c r="B4947" i="16"/>
  <c r="B4946" i="16"/>
  <c r="B4945" i="16"/>
  <c r="B4944" i="16"/>
  <c r="B4943" i="16"/>
  <c r="B4942" i="16"/>
  <c r="B4941" i="16"/>
  <c r="B4940" i="16"/>
  <c r="B4939" i="16"/>
  <c r="B4938" i="16"/>
  <c r="B4937" i="16"/>
  <c r="B4936" i="16"/>
  <c r="B4935" i="16"/>
  <c r="B4934" i="16"/>
  <c r="B4933" i="16"/>
  <c r="B4932" i="16"/>
  <c r="B4931" i="16"/>
  <c r="B4930" i="16"/>
  <c r="B4928" i="16"/>
  <c r="B4927" i="16"/>
  <c r="B4926" i="16"/>
  <c r="B4925" i="16"/>
  <c r="B4924" i="16"/>
  <c r="E4923" i="16"/>
  <c r="B4923" i="16"/>
  <c r="B4922" i="16"/>
  <c r="B4921" i="16"/>
  <c r="B4920" i="16"/>
  <c r="B4919" i="16"/>
  <c r="B4918" i="16"/>
  <c r="B4917" i="16"/>
  <c r="B4916" i="16"/>
  <c r="B4915" i="16"/>
  <c r="B4914" i="16"/>
  <c r="E4913" i="16"/>
  <c r="B4913" i="16"/>
  <c r="B4912" i="16"/>
  <c r="B4911" i="16"/>
  <c r="B4910" i="16"/>
  <c r="E4909" i="16"/>
  <c r="B4909" i="16"/>
  <c r="E4908" i="16"/>
  <c r="B4908" i="16"/>
  <c r="B4907" i="16"/>
  <c r="B4906" i="16"/>
  <c r="B4905" i="16"/>
  <c r="E4904" i="16"/>
  <c r="B4904" i="16"/>
  <c r="B4903" i="16"/>
  <c r="B4902" i="16"/>
  <c r="B4901" i="16"/>
  <c r="B4900" i="16"/>
  <c r="B4899" i="16"/>
  <c r="B4898" i="16"/>
  <c r="B4897" i="16"/>
  <c r="B4896" i="16"/>
  <c r="B4895" i="16"/>
  <c r="B4894" i="16"/>
  <c r="B4893" i="16"/>
  <c r="B4892" i="16"/>
  <c r="B4891" i="16"/>
  <c r="B4890" i="16"/>
  <c r="B4889" i="16"/>
  <c r="B4888" i="16"/>
  <c r="B4887" i="16"/>
  <c r="B4886" i="16"/>
  <c r="B4885" i="16"/>
  <c r="B4884" i="16"/>
  <c r="B4882" i="16"/>
  <c r="B4881" i="16"/>
  <c r="B4880" i="16"/>
  <c r="B4879" i="16"/>
  <c r="B4878" i="16"/>
  <c r="B4877" i="16"/>
  <c r="B4876" i="16"/>
  <c r="E4875" i="16"/>
  <c r="B4875" i="16"/>
  <c r="B4874" i="16"/>
  <c r="B4873" i="16"/>
  <c r="B4872" i="16"/>
  <c r="B4871" i="16"/>
  <c r="E4870" i="16"/>
  <c r="B4870" i="16"/>
  <c r="B4869" i="16"/>
  <c r="B4868" i="16"/>
  <c r="F4867" i="16"/>
  <c r="B4867" i="16"/>
  <c r="B4866" i="16"/>
  <c r="B4865" i="16"/>
  <c r="B4864" i="16"/>
  <c r="B4863" i="16"/>
  <c r="B4862" i="16"/>
  <c r="B4861" i="16"/>
  <c r="B4860" i="16"/>
  <c r="B4859" i="16"/>
  <c r="B4858" i="16"/>
  <c r="B4857" i="16"/>
  <c r="B4856" i="16"/>
  <c r="B4855" i="16"/>
  <c r="B4854" i="16"/>
  <c r="B4853" i="16"/>
  <c r="B4852" i="16"/>
  <c r="B4851" i="16"/>
  <c r="B4850" i="16"/>
  <c r="B4849" i="16"/>
  <c r="B4848" i="16"/>
  <c r="B4847" i="16"/>
  <c r="B4846" i="16"/>
  <c r="B4845" i="16"/>
  <c r="B4844" i="16"/>
  <c r="B4843" i="16"/>
  <c r="B4842" i="16"/>
  <c r="B4841" i="16"/>
  <c r="B4840" i="16"/>
  <c r="B4839" i="16"/>
  <c r="B4838" i="16"/>
  <c r="B4837" i="16"/>
  <c r="B4836" i="16"/>
  <c r="B4835" i="16"/>
  <c r="B4834" i="16"/>
  <c r="B4833" i="16"/>
  <c r="B4832" i="16"/>
  <c r="B4831" i="16"/>
  <c r="B4829" i="16"/>
  <c r="B4828" i="16"/>
  <c r="B4827" i="16"/>
  <c r="B4826" i="16"/>
  <c r="B4825" i="16"/>
  <c r="B4824" i="16"/>
  <c r="B4823" i="16"/>
  <c r="B4822" i="16"/>
  <c r="B4821" i="16"/>
  <c r="B4820" i="16"/>
  <c r="B4819" i="16"/>
  <c r="B4818" i="16"/>
  <c r="B4817" i="16"/>
  <c r="B4816" i="16"/>
  <c r="B4815" i="16"/>
  <c r="B4814" i="16"/>
  <c r="B4813" i="16"/>
  <c r="B4812" i="16"/>
  <c r="E4811" i="16"/>
  <c r="B4811" i="16"/>
  <c r="B4810" i="16"/>
  <c r="B4809" i="16"/>
  <c r="B4808" i="16"/>
  <c r="B4807" i="16"/>
  <c r="E4806" i="16"/>
  <c r="E4805" i="16" s="1"/>
  <c r="B4806" i="16"/>
  <c r="B4805" i="16"/>
  <c r="B4804" i="16"/>
  <c r="B4803" i="16"/>
  <c r="B4802" i="16"/>
  <c r="B4801" i="16"/>
  <c r="B4800" i="16"/>
  <c r="B4799" i="16"/>
  <c r="B4798" i="16"/>
  <c r="B4797" i="16"/>
  <c r="B4796" i="16"/>
  <c r="B4795" i="16"/>
  <c r="B4794" i="16"/>
  <c r="B4793" i="16"/>
  <c r="E4792" i="16"/>
  <c r="B4792" i="16"/>
  <c r="B4791" i="16"/>
  <c r="B4790" i="16"/>
  <c r="B4789" i="16"/>
  <c r="B4788" i="16"/>
  <c r="E4787" i="16"/>
  <c r="F4789" i="16" s="1"/>
  <c r="B4787" i="16"/>
  <c r="B4786" i="16"/>
  <c r="B4785" i="16"/>
  <c r="B4784" i="16"/>
  <c r="B4783" i="16"/>
  <c r="B4782" i="16"/>
  <c r="B4781" i="16"/>
  <c r="B4780" i="16"/>
  <c r="B4779" i="16"/>
  <c r="B4778" i="16"/>
  <c r="B4777" i="16"/>
  <c r="B4776" i="16"/>
  <c r="B4775" i="16"/>
  <c r="B4774" i="16"/>
  <c r="B4773" i="16"/>
  <c r="B4772" i="16"/>
  <c r="B4771" i="16"/>
  <c r="B4770" i="16"/>
  <c r="B4769" i="16"/>
  <c r="B4768" i="16"/>
  <c r="B4767" i="16"/>
  <c r="B4766" i="16"/>
  <c r="B4765" i="16"/>
  <c r="B4764" i="16"/>
  <c r="B4763" i="16"/>
  <c r="B4762" i="16"/>
  <c r="B4761" i="16"/>
  <c r="B4760" i="16"/>
  <c r="B4759" i="16"/>
  <c r="B4758" i="16"/>
  <c r="B4757" i="16"/>
  <c r="B4756" i="16"/>
  <c r="B4755" i="16"/>
  <c r="B4754" i="16"/>
  <c r="B4752" i="16"/>
  <c r="B4751" i="16"/>
  <c r="B4750" i="16"/>
  <c r="B4749" i="16"/>
  <c r="B4748" i="16"/>
  <c r="B4747" i="16"/>
  <c r="B4746" i="16"/>
  <c r="B4745" i="16"/>
  <c r="B4744" i="16"/>
  <c r="B4743" i="16"/>
  <c r="E4742" i="16"/>
  <c r="B4742" i="16"/>
  <c r="B4741" i="16"/>
  <c r="B4740" i="16"/>
  <c r="B4739" i="16"/>
  <c r="B4738" i="16"/>
  <c r="B4737" i="16"/>
  <c r="B4736" i="16"/>
  <c r="F4735" i="16"/>
  <c r="E4730" i="16" s="1"/>
  <c r="B4735" i="16"/>
  <c r="B4734" i="16"/>
  <c r="B4733" i="16"/>
  <c r="B4732" i="16"/>
  <c r="B4731" i="16"/>
  <c r="B4730" i="16"/>
  <c r="B4729" i="16"/>
  <c r="B4728" i="16"/>
  <c r="B4727" i="16"/>
  <c r="B4726" i="16"/>
  <c r="B4725" i="16"/>
  <c r="B4724" i="16"/>
  <c r="B4723" i="16"/>
  <c r="B4722" i="16"/>
  <c r="B4721" i="16"/>
  <c r="B4720" i="16"/>
  <c r="B4719" i="16"/>
  <c r="E4718" i="16"/>
  <c r="B4718" i="16"/>
  <c r="B4717" i="16"/>
  <c r="B4716" i="16"/>
  <c r="F4715" i="16"/>
  <c r="B4715" i="16"/>
  <c r="B4714" i="16"/>
  <c r="B4713" i="16"/>
  <c r="B4712" i="16"/>
  <c r="B4711" i="16"/>
  <c r="B4710" i="16"/>
  <c r="B4709" i="16"/>
  <c r="B4708" i="16"/>
  <c r="B4707" i="16"/>
  <c r="B4706" i="16"/>
  <c r="B4705" i="16"/>
  <c r="B4704" i="16"/>
  <c r="B4703" i="16"/>
  <c r="B4702" i="16"/>
  <c r="B4701" i="16"/>
  <c r="B4700" i="16"/>
  <c r="B4699" i="16"/>
  <c r="B4698" i="16"/>
  <c r="B4697" i="16"/>
  <c r="B4696" i="16"/>
  <c r="B4695" i="16"/>
  <c r="B4694" i="16"/>
  <c r="B4693" i="16"/>
  <c r="B4692" i="16"/>
  <c r="B4691" i="16"/>
  <c r="B4690" i="16"/>
  <c r="B4689" i="16"/>
  <c r="B4688" i="16"/>
  <c r="B4687" i="16"/>
  <c r="B4686" i="16"/>
  <c r="B4685" i="16"/>
  <c r="B4684" i="16"/>
  <c r="B4682" i="16"/>
  <c r="B4681" i="16"/>
  <c r="B4680" i="16"/>
  <c r="B4679" i="16"/>
  <c r="B4678" i="16"/>
  <c r="B4677" i="16"/>
  <c r="B4676" i="16"/>
  <c r="B4675" i="16"/>
  <c r="B4674" i="16"/>
  <c r="B4673" i="16"/>
  <c r="B4672" i="16"/>
  <c r="B4671" i="16"/>
  <c r="B4670" i="16"/>
  <c r="B4669" i="16"/>
  <c r="B4668" i="16"/>
  <c r="B4667" i="16"/>
  <c r="B4666" i="16"/>
  <c r="B4665" i="16"/>
  <c r="B4664" i="16"/>
  <c r="B4663" i="16"/>
  <c r="B4662" i="16"/>
  <c r="B4661" i="16"/>
  <c r="B4660" i="16"/>
  <c r="B4659" i="16"/>
  <c r="B4658" i="16"/>
  <c r="B4657" i="16"/>
  <c r="B4656" i="16"/>
  <c r="B4655" i="16"/>
  <c r="B4654" i="16"/>
  <c r="F4653" i="16"/>
  <c r="B4653" i="16"/>
  <c r="B4652" i="16"/>
  <c r="B4651" i="16"/>
  <c r="B4649" i="16"/>
  <c r="B4648" i="16"/>
  <c r="B4647" i="16"/>
  <c r="B4646" i="16"/>
  <c r="E4645" i="16"/>
  <c r="B4645" i="16"/>
  <c r="B4644" i="16"/>
  <c r="B4643" i="16"/>
  <c r="B4642" i="16"/>
  <c r="B4641" i="16"/>
  <c r="B4640" i="16"/>
  <c r="B4639" i="16"/>
  <c r="B4638" i="16"/>
  <c r="B4637" i="16"/>
  <c r="B4636" i="16"/>
  <c r="B4635" i="16"/>
  <c r="B4634" i="16"/>
  <c r="E4633" i="16"/>
  <c r="B4633" i="16"/>
  <c r="B4632" i="16"/>
  <c r="B4631" i="16"/>
  <c r="B4630" i="16"/>
  <c r="B4629" i="16"/>
  <c r="B4628" i="16"/>
  <c r="B4627" i="16"/>
  <c r="B4626" i="16"/>
  <c r="B4625" i="16"/>
  <c r="B4624" i="16"/>
  <c r="B4623" i="16"/>
  <c r="B4622" i="16"/>
  <c r="B4621" i="16"/>
  <c r="B4620" i="16"/>
  <c r="B4619" i="16"/>
  <c r="B4618" i="16"/>
  <c r="B4617" i="16"/>
  <c r="B4616" i="16"/>
  <c r="B4615" i="16"/>
  <c r="B4614" i="16"/>
  <c r="B4613" i="16"/>
  <c r="B4612" i="16"/>
  <c r="B4611" i="16"/>
  <c r="B4610" i="16"/>
  <c r="B4609" i="16"/>
  <c r="B4608" i="16"/>
  <c r="B4607" i="16"/>
  <c r="B4606" i="16"/>
  <c r="B4605" i="16"/>
  <c r="B4604" i="16"/>
  <c r="B4603" i="16"/>
  <c r="B4602" i="16"/>
  <c r="B4601" i="16"/>
  <c r="B4600" i="16"/>
  <c r="B4599" i="16"/>
  <c r="B4598" i="16"/>
  <c r="B4597" i="16"/>
  <c r="B4596" i="16"/>
  <c r="B4595" i="16"/>
  <c r="B4594" i="16"/>
  <c r="B4593" i="16"/>
  <c r="B4591" i="16"/>
  <c r="B4590" i="16"/>
  <c r="B4589" i="16"/>
  <c r="B4588" i="16"/>
  <c r="B4587" i="16"/>
  <c r="B4586" i="16"/>
  <c r="B4585" i="16"/>
  <c r="B4584" i="16"/>
  <c r="B4583" i="16"/>
  <c r="B4582" i="16"/>
  <c r="B4581" i="16"/>
  <c r="B4580" i="16"/>
  <c r="B4578" i="16"/>
  <c r="B4577" i="16"/>
  <c r="B4576" i="16"/>
  <c r="B4574" i="16"/>
  <c r="B4573" i="16"/>
  <c r="B4572" i="16"/>
  <c r="B4571" i="16"/>
  <c r="B4563" i="16"/>
  <c r="B4562" i="16"/>
  <c r="B4561" i="16"/>
  <c r="B4559" i="16"/>
  <c r="B4558" i="16"/>
  <c r="B4557" i="16"/>
  <c r="B4556" i="16"/>
  <c r="B4555" i="16"/>
  <c r="B4554" i="16"/>
  <c r="B4553" i="16"/>
  <c r="B4552" i="16"/>
  <c r="B4551" i="16"/>
  <c r="B4550" i="16"/>
  <c r="B4549" i="16"/>
  <c r="B4548" i="16"/>
  <c r="B4547" i="16"/>
  <c r="B4546" i="16"/>
  <c r="B4544" i="16"/>
  <c r="B4543" i="16"/>
  <c r="B4542" i="16"/>
  <c r="B4541" i="16"/>
  <c r="B4540" i="16"/>
  <c r="B4539" i="16"/>
  <c r="B4538" i="16"/>
  <c r="B4537" i="16"/>
  <c r="B4536" i="16"/>
  <c r="B4535" i="16"/>
  <c r="B4534" i="16"/>
  <c r="B4533" i="16"/>
  <c r="E4532" i="16"/>
  <c r="B4532" i="16"/>
  <c r="B4531" i="16"/>
  <c r="B4530" i="16"/>
  <c r="B4529" i="16"/>
  <c r="B4528" i="16"/>
  <c r="B4527" i="16"/>
  <c r="B4526" i="16"/>
  <c r="B4525" i="16"/>
  <c r="B4524" i="16"/>
  <c r="B4523" i="16"/>
  <c r="E4522" i="16"/>
  <c r="B4522" i="16"/>
  <c r="B4521" i="16"/>
  <c r="B4520" i="16"/>
  <c r="B4519" i="16"/>
  <c r="B4518" i="16"/>
  <c r="B4516" i="16"/>
  <c r="B4515" i="16"/>
  <c r="B4514" i="16"/>
  <c r="B4513" i="16"/>
  <c r="B4512" i="16"/>
  <c r="B4511" i="16"/>
  <c r="B4510" i="16"/>
  <c r="B4509" i="16"/>
  <c r="B4508" i="16"/>
  <c r="B4507" i="16"/>
  <c r="B4506" i="16"/>
  <c r="B4505" i="16"/>
  <c r="B4504" i="16"/>
  <c r="E4503" i="16"/>
  <c r="B4503" i="16"/>
  <c r="F4501" i="16"/>
  <c r="B4501" i="16"/>
  <c r="B4500" i="16"/>
  <c r="B4499" i="16"/>
  <c r="B4498" i="16"/>
  <c r="B4497" i="16"/>
  <c r="B4496" i="16"/>
  <c r="E4495" i="16"/>
  <c r="B4495" i="16"/>
  <c r="B4494" i="16"/>
  <c r="B4493" i="16"/>
  <c r="B4492" i="16"/>
  <c r="B4491" i="16"/>
  <c r="B4490" i="16"/>
  <c r="B4489" i="16"/>
  <c r="B4488" i="16"/>
  <c r="B4487" i="16"/>
  <c r="B4486" i="16"/>
  <c r="B4485" i="16"/>
  <c r="B4484" i="16"/>
  <c r="B4483" i="16"/>
  <c r="B4482" i="16"/>
  <c r="B4481" i="16"/>
  <c r="B4480" i="16"/>
  <c r="B4478" i="16"/>
  <c r="B4477" i="16"/>
  <c r="B4476" i="16"/>
  <c r="B4475" i="16"/>
  <c r="B4474" i="16"/>
  <c r="B4473" i="16"/>
  <c r="B4472" i="16"/>
  <c r="B4471" i="16"/>
  <c r="B4470" i="16"/>
  <c r="B4469" i="16"/>
  <c r="B4468" i="16"/>
  <c r="B4467" i="16"/>
  <c r="B4466" i="16"/>
  <c r="F4465" i="16"/>
  <c r="B4465" i="16"/>
  <c r="B4464" i="16"/>
  <c r="B4463" i="16"/>
  <c r="B4462" i="16"/>
  <c r="B4461" i="16"/>
  <c r="B4460" i="16"/>
  <c r="B4459" i="16"/>
  <c r="B4458" i="16"/>
  <c r="B4457" i="16"/>
  <c r="B4456" i="16"/>
  <c r="B4455" i="16"/>
  <c r="E4454" i="16"/>
  <c r="B4454" i="16"/>
  <c r="B4453" i="16"/>
  <c r="B4452" i="16"/>
  <c r="B4451" i="16"/>
  <c r="B4450" i="16"/>
  <c r="B4448" i="16"/>
  <c r="B4447" i="16"/>
  <c r="B4446" i="16"/>
  <c r="B4445" i="16"/>
  <c r="B4444" i="16"/>
  <c r="B4443" i="16"/>
  <c r="B4442" i="16"/>
  <c r="B4441" i="16"/>
  <c r="B4440" i="16"/>
  <c r="B4439" i="16"/>
  <c r="B4438" i="16"/>
  <c r="B4437" i="16"/>
  <c r="F4436" i="16"/>
  <c r="B4436" i="16"/>
  <c r="B4435" i="16"/>
  <c r="B4434" i="16"/>
  <c r="B4433" i="16"/>
  <c r="B4432" i="16"/>
  <c r="E4431" i="16"/>
  <c r="B4431" i="16"/>
  <c r="F4430" i="16"/>
  <c r="B4430" i="16"/>
  <c r="B4429" i="16"/>
  <c r="B4428" i="16"/>
  <c r="B4427" i="16"/>
  <c r="B4426" i="16"/>
  <c r="B4425" i="16"/>
  <c r="B4424" i="16"/>
  <c r="E4423" i="16"/>
  <c r="B4423" i="16"/>
  <c r="B4422" i="16"/>
  <c r="B4421" i="16"/>
  <c r="B4420" i="16"/>
  <c r="F4419" i="16"/>
  <c r="B4419" i="16"/>
  <c r="B4418" i="16"/>
  <c r="B4417" i="16"/>
  <c r="B4416" i="16"/>
  <c r="B4415" i="16"/>
  <c r="B4414" i="16"/>
  <c r="B4412" i="16"/>
  <c r="B4411" i="16"/>
  <c r="B4410" i="16"/>
  <c r="B4409" i="16"/>
  <c r="B4408" i="16"/>
  <c r="B4407" i="16"/>
  <c r="B4406" i="16"/>
  <c r="B4405" i="16"/>
  <c r="B4404" i="16"/>
  <c r="B4403" i="16"/>
  <c r="B4402" i="16"/>
  <c r="B4401" i="16"/>
  <c r="E4400" i="16"/>
  <c r="B4400" i="16"/>
  <c r="B4399" i="16"/>
  <c r="B4398" i="16"/>
  <c r="B4397" i="16"/>
  <c r="B4396" i="16"/>
  <c r="B4395" i="16"/>
  <c r="B4394" i="16"/>
  <c r="E4393" i="16"/>
  <c r="F4393" i="16" s="1"/>
  <c r="B4393" i="16"/>
  <c r="B4392" i="16"/>
  <c r="B4391" i="16"/>
  <c r="B4390" i="16"/>
  <c r="B4389" i="16"/>
  <c r="B4388" i="16"/>
  <c r="B4387" i="16"/>
  <c r="E4386" i="16"/>
  <c r="B4386" i="16"/>
  <c r="B4385" i="16"/>
  <c r="B4384" i="16"/>
  <c r="B4383" i="16"/>
  <c r="B4382" i="16"/>
  <c r="B4381" i="16"/>
  <c r="B4380" i="16"/>
  <c r="B4379" i="16"/>
  <c r="B4378" i="16"/>
  <c r="B4377" i="16"/>
  <c r="B4376" i="16"/>
  <c r="B4375" i="16"/>
  <c r="B4374" i="16"/>
  <c r="B4372" i="16"/>
  <c r="B4371" i="16"/>
  <c r="B4370" i="16"/>
  <c r="B4369" i="16"/>
  <c r="B4368" i="16"/>
  <c r="B4367" i="16"/>
  <c r="B4366" i="16"/>
  <c r="B4365" i="16"/>
  <c r="B4364" i="16"/>
  <c r="B4363" i="16"/>
  <c r="B4362" i="16"/>
  <c r="B4361" i="16"/>
  <c r="B4360" i="16"/>
  <c r="E4359" i="16"/>
  <c r="B4359" i="16"/>
  <c r="B4358" i="16"/>
  <c r="B4357" i="16"/>
  <c r="B4356" i="16"/>
  <c r="B4355" i="16"/>
  <c r="B4354" i="16"/>
  <c r="E4353" i="16"/>
  <c r="B4353" i="16"/>
  <c r="B4352" i="16"/>
  <c r="B4351" i="16"/>
  <c r="B4350" i="16"/>
  <c r="B4349" i="16"/>
  <c r="E4348" i="16"/>
  <c r="F4350" i="16" s="1"/>
  <c r="B4348" i="16"/>
  <c r="B4347" i="16"/>
  <c r="B4346" i="16"/>
  <c r="E4345" i="16"/>
  <c r="F4345" i="16" s="1"/>
  <c r="B4345" i="16"/>
  <c r="B4344" i="16"/>
  <c r="B4343" i="16"/>
  <c r="B4342" i="16"/>
  <c r="B4341" i="16"/>
  <c r="B4340" i="16"/>
  <c r="B4339" i="16"/>
  <c r="B4338" i="16"/>
  <c r="B4337" i="16"/>
  <c r="B4336" i="16"/>
  <c r="B4335" i="16"/>
  <c r="B4334" i="16"/>
  <c r="B4333" i="16"/>
  <c r="B4332" i="16"/>
  <c r="B4331" i="16"/>
  <c r="B4329" i="16"/>
  <c r="B4328" i="16"/>
  <c r="B4327" i="16"/>
  <c r="B4326" i="16"/>
  <c r="B4325" i="16"/>
  <c r="B4324" i="16"/>
  <c r="B4323" i="16"/>
  <c r="B4322" i="16"/>
  <c r="B4321" i="16"/>
  <c r="B4320" i="16"/>
  <c r="B4319" i="16"/>
  <c r="B4318" i="16"/>
  <c r="B4317" i="16"/>
  <c r="B4316" i="16"/>
  <c r="B4315" i="16"/>
  <c r="B4314" i="16"/>
  <c r="E4313" i="16"/>
  <c r="B4313" i="16"/>
  <c r="B4312" i="16"/>
  <c r="B4311" i="16"/>
  <c r="B4310" i="16"/>
  <c r="B4309" i="16"/>
  <c r="B4308" i="16"/>
  <c r="B4307" i="16"/>
  <c r="E4306" i="16"/>
  <c r="F4308" i="16" s="1"/>
  <c r="B4306" i="16"/>
  <c r="B4305" i="16"/>
  <c r="F4304" i="16"/>
  <c r="B4304" i="16"/>
  <c r="B4303" i="16"/>
  <c r="B4302" i="16"/>
  <c r="B4301" i="16"/>
  <c r="B4300" i="16"/>
  <c r="B4299" i="16"/>
  <c r="B4298" i="16"/>
  <c r="B4297" i="16"/>
  <c r="B4296" i="16"/>
  <c r="B4295" i="16"/>
  <c r="B4294" i="16"/>
  <c r="B4293" i="16"/>
  <c r="B4292" i="16"/>
  <c r="B4291" i="16"/>
  <c r="B4290" i="16"/>
  <c r="B4289" i="16"/>
  <c r="B4287" i="16"/>
  <c r="B4286" i="16"/>
  <c r="B4285" i="16"/>
  <c r="B4284" i="16"/>
  <c r="B4283" i="16"/>
  <c r="B4282" i="16"/>
  <c r="B4281" i="16"/>
  <c r="B4280" i="16"/>
  <c r="B4279" i="16"/>
  <c r="B4278" i="16"/>
  <c r="B4277" i="16"/>
  <c r="B4276" i="16"/>
  <c r="B4275" i="16"/>
  <c r="B4274" i="16"/>
  <c r="B4273" i="16"/>
  <c r="B4272" i="16"/>
  <c r="B4271" i="16"/>
  <c r="E4270" i="16"/>
  <c r="B4270" i="16"/>
  <c r="B4269" i="16"/>
  <c r="F4268" i="16"/>
  <c r="B4268" i="16"/>
  <c r="B4267" i="16"/>
  <c r="B4266" i="16"/>
  <c r="B4265" i="16"/>
  <c r="B4264" i="16"/>
  <c r="B4263" i="16"/>
  <c r="E4262" i="16"/>
  <c r="F4264" i="16" s="1"/>
  <c r="B4262" i="16"/>
  <c r="B4261" i="16"/>
  <c r="B4260" i="16"/>
  <c r="B4259" i="16"/>
  <c r="B4258" i="16"/>
  <c r="B4257" i="16"/>
  <c r="B4256" i="16"/>
  <c r="B4255" i="16"/>
  <c r="B4254" i="16"/>
  <c r="B4253" i="16"/>
  <c r="B4252" i="16"/>
  <c r="B4251" i="16"/>
  <c r="B4250" i="16"/>
  <c r="B4249" i="16"/>
  <c r="B4247" i="16"/>
  <c r="B4246" i="16"/>
  <c r="B4245" i="16"/>
  <c r="B4244" i="16"/>
  <c r="B4243" i="16"/>
  <c r="B4242" i="16"/>
  <c r="B4241" i="16"/>
  <c r="B4240" i="16"/>
  <c r="B4239" i="16"/>
  <c r="B4238" i="16"/>
  <c r="E4237" i="16"/>
  <c r="F4238" i="16" s="1"/>
  <c r="B4237" i="16"/>
  <c r="B4236" i="16"/>
  <c r="B4235" i="16"/>
  <c r="B4234" i="16"/>
  <c r="B4233" i="16"/>
  <c r="B4232" i="16"/>
  <c r="F4231" i="16"/>
  <c r="B4231" i="16"/>
  <c r="B4230" i="16"/>
  <c r="B4229" i="16"/>
  <c r="B4228" i="16"/>
  <c r="B4227" i="16"/>
  <c r="F4226" i="16"/>
  <c r="B4226" i="16"/>
  <c r="B4225" i="16"/>
  <c r="B4224" i="16"/>
  <c r="B4223" i="16"/>
  <c r="B4222" i="16"/>
  <c r="B4221" i="16"/>
  <c r="B4220" i="16"/>
  <c r="E4219" i="16"/>
  <c r="F4221" i="16" s="1"/>
  <c r="B4219" i="16"/>
  <c r="B4218" i="16"/>
  <c r="B4217" i="16"/>
  <c r="B4216" i="16"/>
  <c r="B4215" i="16"/>
  <c r="B4214" i="16"/>
  <c r="B4213" i="16"/>
  <c r="B4212" i="16"/>
  <c r="B4211" i="16"/>
  <c r="B4210" i="16"/>
  <c r="B4209" i="16"/>
  <c r="B4208" i="16"/>
  <c r="B4207" i="16"/>
  <c r="B4206" i="16"/>
  <c r="B4205" i="16"/>
  <c r="B4203" i="16"/>
  <c r="B4202" i="16"/>
  <c r="B4201" i="16"/>
  <c r="B4200" i="16"/>
  <c r="B4199" i="16"/>
  <c r="B4198" i="16"/>
  <c r="B4197" i="16"/>
  <c r="B4196" i="16"/>
  <c r="B4195" i="16"/>
  <c r="B4194" i="16"/>
  <c r="B4193" i="16"/>
  <c r="B4192" i="16"/>
  <c r="F4191" i="16"/>
  <c r="B4191" i="16"/>
  <c r="B4190" i="16"/>
  <c r="B4189" i="16"/>
  <c r="B4188" i="16"/>
  <c r="B4187" i="16"/>
  <c r="B4186" i="16"/>
  <c r="B4185" i="16"/>
  <c r="B4184" i="16"/>
  <c r="B4183" i="16"/>
  <c r="B4182" i="16"/>
  <c r="B4181" i="16"/>
  <c r="B4180" i="16"/>
  <c r="B4179" i="16"/>
  <c r="B4178" i="16"/>
  <c r="B4177" i="16"/>
  <c r="E4176" i="16"/>
  <c r="F4178" i="16" s="1"/>
  <c r="B4176" i="16"/>
  <c r="B4175" i="16"/>
  <c r="B4174" i="16"/>
  <c r="B4173" i="16"/>
  <c r="B4172" i="16"/>
  <c r="B4171" i="16"/>
  <c r="B4170" i="16"/>
  <c r="B4169" i="16"/>
  <c r="B4168" i="16"/>
  <c r="B4167" i="16"/>
  <c r="B4166" i="16"/>
  <c r="B4165" i="16"/>
  <c r="B4164" i="16"/>
  <c r="B4163" i="16"/>
  <c r="B4162" i="16"/>
  <c r="B4161" i="16"/>
  <c r="B4160" i="16"/>
  <c r="B4159" i="16"/>
  <c r="B4158" i="16"/>
  <c r="B4157" i="16"/>
  <c r="B4156" i="16"/>
  <c r="B4155" i="16"/>
  <c r="B4154" i="16"/>
  <c r="B4153" i="16"/>
  <c r="B4152" i="16"/>
  <c r="B4150" i="16"/>
  <c r="B4149" i="16"/>
  <c r="B4148" i="16"/>
  <c r="B4147" i="16"/>
  <c r="B4146" i="16"/>
  <c r="B4145" i="16"/>
  <c r="B4144" i="16"/>
  <c r="B4143" i="16"/>
  <c r="B4142" i="16"/>
  <c r="B4141" i="16"/>
  <c r="B4140" i="16"/>
  <c r="B4139" i="16"/>
  <c r="B4138" i="16"/>
  <c r="B4137" i="16"/>
  <c r="B4136" i="16"/>
  <c r="B4135" i="16"/>
  <c r="B4134" i="16"/>
  <c r="B4133" i="16"/>
  <c r="B4132" i="16"/>
  <c r="B4131" i="16"/>
  <c r="B4130" i="16"/>
  <c r="B4129" i="16"/>
  <c r="B4128" i="16"/>
  <c r="B4127" i="16"/>
  <c r="B4126" i="16"/>
  <c r="B4125" i="16"/>
  <c r="B4124" i="16"/>
  <c r="B4123" i="16"/>
  <c r="B4122" i="16"/>
  <c r="B4121" i="16"/>
  <c r="B4120" i="16"/>
  <c r="F4119" i="16"/>
  <c r="B4119" i="16"/>
  <c r="B4118" i="16"/>
  <c r="B4117" i="16"/>
  <c r="B4116" i="16"/>
  <c r="B4115" i="16"/>
  <c r="F4114" i="16"/>
  <c r="B4114" i="16"/>
  <c r="B4113" i="16"/>
  <c r="B4112" i="16"/>
  <c r="B4111" i="16"/>
  <c r="F4110" i="16"/>
  <c r="B4110" i="16"/>
  <c r="B4109" i="16"/>
  <c r="B4108" i="16"/>
  <c r="B4107" i="16"/>
  <c r="B4106" i="16"/>
  <c r="B4105" i="16"/>
  <c r="B4104" i="16"/>
  <c r="B4103" i="16"/>
  <c r="B4102" i="16"/>
  <c r="B4101" i="16"/>
  <c r="B4100" i="16"/>
  <c r="B4099" i="16"/>
  <c r="B4098" i="16"/>
  <c r="B4097" i="16"/>
  <c r="B4096" i="16"/>
  <c r="B4095" i="16"/>
  <c r="B4094" i="16"/>
  <c r="B4093" i="16"/>
  <c r="B4092" i="16"/>
  <c r="B4091" i="16"/>
  <c r="B4090" i="16"/>
  <c r="B4089" i="16"/>
  <c r="B4087" i="16"/>
  <c r="B4086" i="16"/>
  <c r="B4085" i="16"/>
  <c r="B4084" i="16"/>
  <c r="B4083" i="16"/>
  <c r="B4082" i="16"/>
  <c r="B4081" i="16"/>
  <c r="B4080" i="16"/>
  <c r="B4079" i="16"/>
  <c r="B4078" i="16"/>
  <c r="B4077" i="16"/>
  <c r="B4076" i="16"/>
  <c r="B4075" i="16"/>
  <c r="B4074" i="16"/>
  <c r="F4073" i="16"/>
  <c r="B4073" i="16"/>
  <c r="B4072" i="16"/>
  <c r="B4071" i="16"/>
  <c r="B4070" i="16"/>
  <c r="B4069" i="16"/>
  <c r="B4068" i="16"/>
  <c r="B4067" i="16"/>
  <c r="B4066" i="16"/>
  <c r="B4065" i="16"/>
  <c r="B4064" i="16"/>
  <c r="B4063" i="16"/>
  <c r="B4062" i="16"/>
  <c r="E4061" i="16"/>
  <c r="B4061" i="16"/>
  <c r="B4060" i="16"/>
  <c r="B4059" i="16"/>
  <c r="B4058" i="16"/>
  <c r="B4057" i="16"/>
  <c r="B4056" i="16"/>
  <c r="B4055" i="16"/>
  <c r="B4054" i="16"/>
  <c r="B4053" i="16"/>
  <c r="B4052" i="16"/>
  <c r="B4051" i="16"/>
  <c r="B4049" i="16"/>
  <c r="B4048" i="16"/>
  <c r="B4047" i="16"/>
  <c r="B4046" i="16"/>
  <c r="B4045" i="16"/>
  <c r="B4044" i="16"/>
  <c r="B4043" i="16"/>
  <c r="B4042" i="16"/>
  <c r="B4041" i="16"/>
  <c r="B4040" i="16"/>
  <c r="B4039" i="16"/>
  <c r="B4038" i="16"/>
  <c r="B4037" i="16"/>
  <c r="B4036" i="16"/>
  <c r="B4035" i="16"/>
  <c r="B4034" i="16"/>
  <c r="F4033" i="16"/>
  <c r="B4033" i="16"/>
  <c r="B4032" i="16"/>
  <c r="B4031" i="16"/>
  <c r="B4030" i="16"/>
  <c r="B4029" i="16"/>
  <c r="B4028" i="16"/>
  <c r="B4027" i="16"/>
  <c r="B4026" i="16"/>
  <c r="B4025" i="16"/>
  <c r="B4024" i="16"/>
  <c r="B4023" i="16"/>
  <c r="F4022" i="16"/>
  <c r="B4022" i="16"/>
  <c r="B4021" i="16"/>
  <c r="B4020" i="16"/>
  <c r="B4019" i="16"/>
  <c r="F4018" i="16"/>
  <c r="B4018" i="16"/>
  <c r="B4017" i="16"/>
  <c r="B4016" i="16"/>
  <c r="B4015" i="16"/>
  <c r="B4014" i="16"/>
  <c r="B4013" i="16"/>
  <c r="B4012" i="16"/>
  <c r="B4011" i="16"/>
  <c r="B4010" i="16"/>
  <c r="B4009" i="16"/>
  <c r="B4008" i="16"/>
  <c r="B4007" i="16"/>
  <c r="B4006" i="16"/>
  <c r="B4005" i="16"/>
  <c r="B4004" i="16"/>
  <c r="B4003" i="16"/>
  <c r="B4002" i="16"/>
  <c r="B4001" i="16"/>
  <c r="B4000" i="16"/>
  <c r="B3999" i="16"/>
  <c r="B3998" i="16"/>
  <c r="B3997" i="16"/>
  <c r="B3996" i="16"/>
  <c r="B3995" i="16"/>
  <c r="B3993" i="16"/>
  <c r="B3992" i="16"/>
  <c r="F3991" i="16"/>
  <c r="B3991" i="16"/>
  <c r="B3990" i="16"/>
  <c r="B3989" i="16"/>
  <c r="B3988" i="16"/>
  <c r="B3987" i="16"/>
  <c r="B3986" i="16"/>
  <c r="B3985" i="16"/>
  <c r="B3984" i="16"/>
  <c r="B3983" i="16"/>
  <c r="B3982" i="16"/>
  <c r="B3981" i="16"/>
  <c r="B3980" i="16"/>
  <c r="B3979" i="16"/>
  <c r="B3978" i="16"/>
  <c r="B3977" i="16"/>
  <c r="B3976" i="16"/>
  <c r="B3975" i="16"/>
  <c r="B3974" i="16"/>
  <c r="B3973" i="16"/>
  <c r="B3972" i="16"/>
  <c r="B3971" i="16"/>
  <c r="B3970" i="16"/>
  <c r="F3969" i="16"/>
  <c r="B3969" i="16"/>
  <c r="B3968" i="16"/>
  <c r="B3967" i="16"/>
  <c r="B3966" i="16"/>
  <c r="F3965" i="16"/>
  <c r="B3965" i="16"/>
  <c r="B3964" i="16"/>
  <c r="B3963" i="16"/>
  <c r="B3962" i="16"/>
  <c r="F3961" i="16"/>
  <c r="B3961" i="16"/>
  <c r="B3960" i="16"/>
  <c r="B3959" i="16"/>
  <c r="B3958" i="16"/>
  <c r="F3957" i="16"/>
  <c r="B3957" i="16"/>
  <c r="B3956" i="16"/>
  <c r="B3955" i="16"/>
  <c r="B3954" i="16"/>
  <c r="B3953" i="16"/>
  <c r="B3952" i="16"/>
  <c r="B3951" i="16"/>
  <c r="B3950" i="16"/>
  <c r="B3949" i="16"/>
  <c r="B3948" i="16"/>
  <c r="B3947" i="16"/>
  <c r="B3946" i="16"/>
  <c r="B3945" i="16"/>
  <c r="B3943" i="16"/>
  <c r="B3942" i="16"/>
  <c r="B3941" i="16"/>
  <c r="B3940" i="16"/>
  <c r="B3939" i="16"/>
  <c r="B3938" i="16"/>
  <c r="B3937" i="16"/>
  <c r="B3936" i="16"/>
  <c r="B3935" i="16"/>
  <c r="B3934" i="16"/>
  <c r="B3933" i="16"/>
  <c r="B3932" i="16"/>
  <c r="B3931" i="16"/>
  <c r="B3930" i="16"/>
  <c r="B3929" i="16"/>
  <c r="B3928" i="16"/>
  <c r="B3927" i="16"/>
  <c r="B3926" i="16"/>
  <c r="B3925" i="16"/>
  <c r="B3924" i="16"/>
  <c r="B3923" i="16"/>
  <c r="F3922" i="16"/>
  <c r="B3922" i="16"/>
  <c r="B3921" i="16"/>
  <c r="B3920" i="16"/>
  <c r="B3919" i="16"/>
  <c r="B3918" i="16"/>
  <c r="B3917" i="16"/>
  <c r="B3916" i="16"/>
  <c r="B3915" i="16"/>
  <c r="B3914" i="16"/>
  <c r="E3913" i="16"/>
  <c r="F3915" i="16" s="1"/>
  <c r="B3913" i="16"/>
  <c r="B3912" i="16"/>
  <c r="B3911" i="16"/>
  <c r="F3910" i="16"/>
  <c r="B3910" i="16"/>
  <c r="B3909" i="16"/>
  <c r="B3908" i="16"/>
  <c r="B3907" i="16"/>
  <c r="B3906" i="16"/>
  <c r="B3905" i="16"/>
  <c r="B3904" i="16"/>
  <c r="B3903" i="16"/>
  <c r="B3902" i="16"/>
  <c r="B3901" i="16"/>
  <c r="B3900" i="16"/>
  <c r="B3899" i="16"/>
  <c r="B3898" i="16"/>
  <c r="B3897" i="16"/>
  <c r="B3896" i="16"/>
  <c r="B3894" i="16"/>
  <c r="B3893" i="16"/>
  <c r="B3892" i="16"/>
  <c r="B3891" i="16"/>
  <c r="B3890" i="16"/>
  <c r="B3889" i="16"/>
  <c r="B3888" i="16"/>
  <c r="B3887" i="16"/>
  <c r="F3886" i="16"/>
  <c r="B3886" i="16"/>
  <c r="B3885" i="16"/>
  <c r="B3884" i="16"/>
  <c r="B3883" i="16"/>
  <c r="B3882" i="16"/>
  <c r="B3881" i="16"/>
  <c r="B3880" i="16"/>
  <c r="B3879" i="16"/>
  <c r="B3878" i="16"/>
  <c r="E3877" i="16"/>
  <c r="F3879" i="16" s="1"/>
  <c r="B3877" i="16"/>
  <c r="B3876" i="16"/>
  <c r="B3875" i="16"/>
  <c r="B3874" i="16"/>
  <c r="B3873" i="16"/>
  <c r="F3872" i="16"/>
  <c r="B3872" i="16"/>
  <c r="B3871" i="16"/>
  <c r="B3870" i="16"/>
  <c r="B3869" i="16"/>
  <c r="B3868" i="16"/>
  <c r="B3867" i="16"/>
  <c r="B3866" i="16"/>
  <c r="B3865" i="16"/>
  <c r="B3864" i="16"/>
  <c r="B3863" i="16"/>
  <c r="B3862" i="16"/>
  <c r="B3861" i="16"/>
  <c r="B3859" i="16"/>
  <c r="B3858" i="16"/>
  <c r="B3857" i="16"/>
  <c r="B3856" i="16"/>
  <c r="B3855" i="16"/>
  <c r="B3854" i="16"/>
  <c r="B3853" i="16"/>
  <c r="B3852" i="16"/>
  <c r="B3851" i="16"/>
  <c r="B3850" i="16"/>
  <c r="B3849" i="16"/>
  <c r="B3848" i="16"/>
  <c r="B3847" i="16"/>
  <c r="B3846" i="16"/>
  <c r="B3845" i="16"/>
  <c r="B3844" i="16"/>
  <c r="B3843" i="16"/>
  <c r="B3842" i="16"/>
  <c r="B3841" i="16"/>
  <c r="B3840" i="16"/>
  <c r="B3839" i="16"/>
  <c r="B3838" i="16"/>
  <c r="B3837" i="16"/>
  <c r="B3836" i="16"/>
  <c r="B3835" i="16"/>
  <c r="B3834" i="16"/>
  <c r="B3833" i="16"/>
  <c r="B3832" i="16"/>
  <c r="B3831" i="16"/>
  <c r="B3830" i="16"/>
  <c r="B3829" i="16"/>
  <c r="B3828" i="16"/>
  <c r="B3827" i="16"/>
  <c r="B3826" i="16"/>
  <c r="B3825" i="16"/>
  <c r="B3824" i="16"/>
  <c r="B3823" i="16"/>
  <c r="B3822" i="16"/>
  <c r="B3821" i="16"/>
  <c r="B3820" i="16"/>
  <c r="B3819" i="16"/>
  <c r="B3818" i="16"/>
  <c r="B3817" i="16"/>
  <c r="B3816" i="16"/>
  <c r="B3815" i="16"/>
  <c r="B3814" i="16"/>
  <c r="B3813" i="16"/>
  <c r="B3812" i="16"/>
  <c r="B3811" i="16"/>
  <c r="B3810" i="16"/>
  <c r="B3809" i="16"/>
  <c r="B3808" i="16"/>
  <c r="B3807" i="16"/>
  <c r="B3806" i="16"/>
  <c r="B3805" i="16"/>
  <c r="B3804" i="16"/>
  <c r="B3803" i="16"/>
  <c r="B3802" i="16"/>
  <c r="F3801" i="16"/>
  <c r="B3801" i="16"/>
  <c r="B3800" i="16"/>
  <c r="B3799" i="16"/>
  <c r="B3798" i="16"/>
  <c r="B3797" i="16"/>
  <c r="B3796" i="16"/>
  <c r="B3795" i="16"/>
  <c r="B3794" i="16"/>
  <c r="B3793" i="16"/>
  <c r="B3792" i="16"/>
  <c r="B3791" i="16"/>
  <c r="B3790" i="16"/>
  <c r="B3789" i="16"/>
  <c r="B3788" i="16"/>
  <c r="B3787" i="16"/>
  <c r="B3786" i="16"/>
  <c r="F3785" i="16"/>
  <c r="B3785" i="16"/>
  <c r="B3784" i="16"/>
  <c r="B3783" i="16"/>
  <c r="B3782" i="16"/>
  <c r="F3781" i="16"/>
  <c r="B3781" i="16"/>
  <c r="B3780" i="16"/>
  <c r="B3779" i="16"/>
  <c r="B3778" i="16"/>
  <c r="B3777" i="16"/>
  <c r="B3776" i="16"/>
  <c r="B3775" i="16"/>
  <c r="B3774" i="16"/>
  <c r="B3773" i="16"/>
  <c r="B3772" i="16"/>
  <c r="B3771" i="16"/>
  <c r="B3770" i="16"/>
  <c r="B3769" i="16"/>
  <c r="B3768" i="16"/>
  <c r="B3767" i="16"/>
  <c r="B3766" i="16"/>
  <c r="B3765" i="16"/>
  <c r="B3764" i="16"/>
  <c r="B3763" i="16"/>
  <c r="B3762" i="16"/>
  <c r="B3761" i="16"/>
  <c r="B3760" i="16"/>
  <c r="B3759" i="16"/>
  <c r="B3758" i="16"/>
  <c r="B3757" i="16"/>
  <c r="B3756" i="16"/>
  <c r="B3755" i="16"/>
  <c r="B3754" i="16"/>
  <c r="B3753" i="16"/>
  <c r="B3752" i="16"/>
  <c r="B3750" i="16"/>
  <c r="B3749" i="16"/>
  <c r="B3748" i="16"/>
  <c r="B3747" i="16"/>
  <c r="B3746" i="16"/>
  <c r="B3745" i="16"/>
  <c r="E3744" i="16"/>
  <c r="B3744" i="16"/>
  <c r="B3743" i="16"/>
  <c r="B3742" i="16"/>
  <c r="B3741" i="16"/>
  <c r="B3740" i="16"/>
  <c r="B3739" i="16"/>
  <c r="B3738" i="16"/>
  <c r="B3737" i="16"/>
  <c r="B3736" i="16"/>
  <c r="B3735" i="16"/>
  <c r="B3734" i="16"/>
  <c r="B3733" i="16"/>
  <c r="B3732" i="16"/>
  <c r="B3731" i="16"/>
  <c r="B3730" i="16"/>
  <c r="B3729" i="16"/>
  <c r="B3728" i="16"/>
  <c r="B3727" i="16"/>
  <c r="B3726" i="16"/>
  <c r="B3725" i="16"/>
  <c r="B3724" i="16"/>
  <c r="B3723" i="16"/>
  <c r="B3722" i="16"/>
  <c r="B3721" i="16"/>
  <c r="B3720" i="16"/>
  <c r="B3719" i="16"/>
  <c r="B3718" i="16"/>
  <c r="B3717" i="16"/>
  <c r="B3716" i="16"/>
  <c r="B3715" i="16"/>
  <c r="B3714" i="16"/>
  <c r="B3713" i="16"/>
  <c r="B3712" i="16"/>
  <c r="B3711" i="16"/>
  <c r="B3710" i="16"/>
  <c r="B3709" i="16"/>
  <c r="B3708" i="16"/>
  <c r="B3707" i="16"/>
  <c r="B3706" i="16"/>
  <c r="B3705" i="16"/>
  <c r="B3704" i="16"/>
  <c r="B3703" i="16"/>
  <c r="B3702" i="16"/>
  <c r="B3701" i="16"/>
  <c r="F3700" i="16"/>
  <c r="B3700" i="16"/>
  <c r="B3699" i="16"/>
  <c r="B3698" i="16"/>
  <c r="B3697" i="16"/>
  <c r="B3696" i="16"/>
  <c r="B3695" i="16"/>
  <c r="B3694" i="16"/>
  <c r="B3693" i="16"/>
  <c r="B3692" i="16"/>
  <c r="B3691" i="16"/>
  <c r="B3690" i="16"/>
  <c r="B3689" i="16"/>
  <c r="B3688" i="16"/>
  <c r="B3687" i="16"/>
  <c r="B3686" i="16"/>
  <c r="F3685" i="16"/>
  <c r="B3685" i="16"/>
  <c r="B3684" i="16"/>
  <c r="B3683" i="16"/>
  <c r="B3682" i="16"/>
  <c r="B3681" i="16"/>
  <c r="B3680" i="16"/>
  <c r="B3679" i="16"/>
  <c r="F3678" i="16"/>
  <c r="B3678" i="16"/>
  <c r="B3677" i="16"/>
  <c r="B3676" i="16"/>
  <c r="B3675" i="16"/>
  <c r="B3674" i="16"/>
  <c r="B3673" i="16"/>
  <c r="B3672" i="16"/>
  <c r="B3671" i="16"/>
  <c r="B3670" i="16"/>
  <c r="B3669" i="16"/>
  <c r="B3668" i="16"/>
  <c r="B3667" i="16"/>
  <c r="B3666" i="16"/>
  <c r="B3665" i="16"/>
  <c r="B3664" i="16"/>
  <c r="B3663" i="16"/>
  <c r="B3662" i="16"/>
  <c r="B3661" i="16"/>
  <c r="B3660" i="16"/>
  <c r="B3659" i="16"/>
  <c r="B3658" i="16"/>
  <c r="B3657" i="16"/>
  <c r="B3656" i="16"/>
  <c r="B3655" i="16"/>
  <c r="B3654" i="16"/>
  <c r="B3653" i="16"/>
  <c r="B3652" i="16"/>
  <c r="B3651" i="16"/>
  <c r="B3650" i="16"/>
  <c r="B3649" i="16"/>
  <c r="B3648" i="16"/>
  <c r="B3647" i="16"/>
  <c r="B3646" i="16"/>
  <c r="B3645" i="16"/>
  <c r="B3644" i="16"/>
  <c r="B3642" i="16"/>
  <c r="B3641" i="16"/>
  <c r="B3640" i="16"/>
  <c r="B3639" i="16"/>
  <c r="B3638" i="16"/>
  <c r="B3637" i="16"/>
  <c r="B3636" i="16"/>
  <c r="B3635" i="16"/>
  <c r="B3634" i="16"/>
  <c r="B3633" i="16"/>
  <c r="B3632" i="16"/>
  <c r="B3631" i="16"/>
  <c r="B3630" i="16"/>
  <c r="B3629" i="16"/>
  <c r="B3628" i="16"/>
  <c r="B3627" i="16"/>
  <c r="B3626" i="16"/>
  <c r="B3625" i="16"/>
  <c r="B3624" i="16"/>
  <c r="B3623" i="16"/>
  <c r="B3622" i="16"/>
  <c r="B3621" i="16"/>
  <c r="B3620" i="16"/>
  <c r="B3619" i="16"/>
  <c r="B3618" i="16"/>
  <c r="B3617" i="16"/>
  <c r="B3616" i="16"/>
  <c r="B3615" i="16"/>
  <c r="B3614" i="16"/>
  <c r="B3613" i="16"/>
  <c r="B3612" i="16"/>
  <c r="B3609" i="16"/>
  <c r="B3608" i="16"/>
  <c r="B3611" i="16" s="1"/>
  <c r="B3607" i="16"/>
  <c r="B3606" i="16"/>
  <c r="B3605" i="16"/>
  <c r="B3604" i="16"/>
  <c r="F3603" i="16"/>
  <c r="B3603" i="16"/>
  <c r="B3602" i="16"/>
  <c r="B3601" i="16"/>
  <c r="B3600" i="16"/>
  <c r="B3599" i="16"/>
  <c r="B3598" i="16"/>
  <c r="B3597" i="16"/>
  <c r="B3596" i="16"/>
  <c r="B3595" i="16"/>
  <c r="B3594" i="16"/>
  <c r="B3593" i="16"/>
  <c r="B3592" i="16"/>
  <c r="B3591" i="16"/>
  <c r="B3590" i="16"/>
  <c r="B3589" i="16"/>
  <c r="B3588" i="16"/>
  <c r="B3587" i="16"/>
  <c r="F3586" i="16"/>
  <c r="B3586" i="16"/>
  <c r="B3585" i="16"/>
  <c r="B3584" i="16"/>
  <c r="B3583" i="16"/>
  <c r="B3582" i="16"/>
  <c r="B3581" i="16"/>
  <c r="B3580" i="16"/>
  <c r="B3579" i="16"/>
  <c r="E3578" i="16"/>
  <c r="F3580" i="16" s="1"/>
  <c r="B3578" i="16"/>
  <c r="B3577" i="16"/>
  <c r="B3576" i="16"/>
  <c r="B3575" i="16"/>
  <c r="B3574" i="16"/>
  <c r="B3573" i="16"/>
  <c r="B3572" i="16"/>
  <c r="B3571" i="16"/>
  <c r="B3570" i="16"/>
  <c r="B3569" i="16"/>
  <c r="B3568" i="16"/>
  <c r="B3567" i="16"/>
  <c r="B3566" i="16"/>
  <c r="B3565" i="16"/>
  <c r="B3564" i="16"/>
  <c r="B3563" i="16"/>
  <c r="B3562" i="16"/>
  <c r="B3561" i="16"/>
  <c r="B3560" i="16"/>
  <c r="B3559" i="16"/>
  <c r="B3558" i="16"/>
  <c r="B3557" i="16"/>
  <c r="B3556" i="16"/>
  <c r="B3555" i="16"/>
  <c r="B3554" i="16"/>
  <c r="B3553" i="16"/>
  <c r="B3552" i="16"/>
  <c r="B3551" i="16"/>
  <c r="B3550" i="16"/>
  <c r="B3549" i="16"/>
  <c r="B3548" i="16"/>
  <c r="B3546" i="16"/>
  <c r="B3545" i="16"/>
  <c r="B3544" i="16"/>
  <c r="B3543" i="16"/>
  <c r="B3542" i="16"/>
  <c r="B3541" i="16"/>
  <c r="B3540" i="16"/>
  <c r="B3539" i="16"/>
  <c r="B3538" i="16"/>
  <c r="B3537" i="16"/>
  <c r="B3536" i="16"/>
  <c r="B3535" i="16"/>
  <c r="B3534" i="16"/>
  <c r="B3533" i="16"/>
  <c r="B3532" i="16"/>
  <c r="B3531" i="16"/>
  <c r="B3530" i="16"/>
  <c r="B3529" i="16"/>
  <c r="B3528" i="16"/>
  <c r="B3527" i="16"/>
  <c r="B3526" i="16"/>
  <c r="B3525" i="16"/>
  <c r="B3524" i="16"/>
  <c r="B3523" i="16"/>
  <c r="B3522" i="16"/>
  <c r="B3521" i="16"/>
  <c r="B3520" i="16"/>
  <c r="B3519" i="16"/>
  <c r="B3518" i="16"/>
  <c r="B3517" i="16"/>
  <c r="B3516" i="16"/>
  <c r="B3515" i="16"/>
  <c r="B3514" i="16"/>
  <c r="B3513" i="16"/>
  <c r="B3512" i="16"/>
  <c r="B3511" i="16"/>
  <c r="B3510" i="16"/>
  <c r="B3509" i="16"/>
  <c r="B3508" i="16"/>
  <c r="B3507" i="16"/>
  <c r="B3506" i="16"/>
  <c r="B3505" i="16"/>
  <c r="B3504" i="16"/>
  <c r="B3503" i="16"/>
  <c r="B3502" i="16"/>
  <c r="B3501" i="16"/>
  <c r="B3500" i="16"/>
  <c r="B3499" i="16"/>
  <c r="B3498" i="16"/>
  <c r="B3497" i="16"/>
  <c r="B3496" i="16"/>
  <c r="B3495" i="16"/>
  <c r="B3494" i="16"/>
  <c r="B3493" i="16"/>
  <c r="B3492" i="16"/>
  <c r="B3491" i="16"/>
  <c r="B3490" i="16"/>
  <c r="B3489" i="16"/>
  <c r="B3488" i="16"/>
  <c r="B3487" i="16"/>
  <c r="B3486" i="16"/>
  <c r="F3485" i="16"/>
  <c r="B3485" i="16"/>
  <c r="B3484" i="16"/>
  <c r="B3483" i="16"/>
  <c r="B3482" i="16"/>
  <c r="B3481" i="16"/>
  <c r="B3480" i="16"/>
  <c r="B3479" i="16"/>
  <c r="B3478" i="16"/>
  <c r="B3477" i="16"/>
  <c r="E3476" i="16"/>
  <c r="B3476" i="16"/>
  <c r="B3475" i="16"/>
  <c r="B3474" i="16"/>
  <c r="B3473" i="16"/>
  <c r="B3472" i="16"/>
  <c r="B3471" i="16"/>
  <c r="B3470" i="16"/>
  <c r="B3469" i="16"/>
  <c r="B3468" i="16"/>
  <c r="B3467" i="16"/>
  <c r="B3466" i="16"/>
  <c r="B3465" i="16"/>
  <c r="B3464" i="16"/>
  <c r="B3463" i="16"/>
  <c r="B3462" i="16"/>
  <c r="B3461" i="16"/>
  <c r="B3460" i="16"/>
  <c r="B3459" i="16"/>
  <c r="B3458" i="16"/>
  <c r="B3457" i="16"/>
  <c r="B3456" i="16"/>
  <c r="B3455" i="16"/>
  <c r="B3454" i="16"/>
  <c r="B3453" i="16"/>
  <c r="B3452" i="16"/>
  <c r="B3451" i="16"/>
  <c r="B3450" i="16"/>
  <c r="B3449" i="16"/>
  <c r="B3448" i="16"/>
  <c r="B3447" i="16"/>
  <c r="B3446" i="16"/>
  <c r="B3445" i="16"/>
  <c r="B3444" i="16"/>
  <c r="B3443" i="16"/>
  <c r="B3441" i="16"/>
  <c r="B3440" i="16"/>
  <c r="B3439" i="16"/>
  <c r="B3438" i="16"/>
  <c r="B3437" i="16"/>
  <c r="B3436" i="16"/>
  <c r="B3435" i="16"/>
  <c r="B3434" i="16"/>
  <c r="B3433" i="16"/>
  <c r="B3432" i="16"/>
  <c r="B3431" i="16"/>
  <c r="B3430" i="16"/>
  <c r="B3429" i="16"/>
  <c r="B3428" i="16"/>
  <c r="B3427" i="16"/>
  <c r="B3426" i="16"/>
  <c r="B3425" i="16"/>
  <c r="B3424" i="16"/>
  <c r="B3423" i="16"/>
  <c r="B3422" i="16"/>
  <c r="B3421" i="16"/>
  <c r="B3420" i="16"/>
  <c r="B3419" i="16"/>
  <c r="B3418" i="16"/>
  <c r="B3417" i="16"/>
  <c r="B3416" i="16"/>
  <c r="B3415" i="16"/>
  <c r="F3414" i="16"/>
  <c r="B3414" i="16"/>
  <c r="B3413" i="16"/>
  <c r="B3412" i="16"/>
  <c r="B3411" i="16"/>
  <c r="B3410" i="16"/>
  <c r="B3409" i="16"/>
  <c r="B3408" i="16"/>
  <c r="B3407" i="16"/>
  <c r="B3406" i="16"/>
  <c r="B3405" i="16"/>
  <c r="B3404" i="16"/>
  <c r="B3403" i="16"/>
  <c r="B3402" i="16"/>
  <c r="B3401" i="16"/>
  <c r="F3400" i="16"/>
  <c r="B3400" i="16"/>
  <c r="B3399" i="16"/>
  <c r="B3398" i="16"/>
  <c r="B3397" i="16"/>
  <c r="B3396" i="16"/>
  <c r="B3395" i="16"/>
  <c r="B3394" i="16"/>
  <c r="B3393" i="16"/>
  <c r="F3392" i="16"/>
  <c r="B3391" i="16"/>
  <c r="B3390" i="16"/>
  <c r="B3389" i="16"/>
  <c r="B3388" i="16"/>
  <c r="B3387" i="16"/>
  <c r="B3386" i="16"/>
  <c r="B3385" i="16"/>
  <c r="B3384" i="16"/>
  <c r="B3383" i="16"/>
  <c r="B3382" i="16"/>
  <c r="B3381" i="16"/>
  <c r="B3380" i="16"/>
  <c r="B3379" i="16"/>
  <c r="B3378" i="16"/>
  <c r="B3377" i="16"/>
  <c r="B3376" i="16"/>
  <c r="B3375" i="16"/>
  <c r="B3374" i="16"/>
  <c r="B3373" i="16"/>
  <c r="B3372" i="16"/>
  <c r="B3371" i="16"/>
  <c r="B3370" i="16"/>
  <c r="B3369" i="16"/>
  <c r="B3368" i="16"/>
  <c r="B3367" i="16"/>
  <c r="B3366" i="16"/>
  <c r="B3365" i="16"/>
  <c r="B3364" i="16"/>
  <c r="B3362" i="16"/>
  <c r="B3361" i="16"/>
  <c r="B3360" i="16"/>
  <c r="B3359" i="16"/>
  <c r="B3358" i="16"/>
  <c r="B3357" i="16"/>
  <c r="B3356" i="16"/>
  <c r="B3355" i="16"/>
  <c r="B3354" i="16"/>
  <c r="B3353" i="16"/>
  <c r="B3352" i="16"/>
  <c r="B3351" i="16"/>
  <c r="B3350" i="16"/>
  <c r="B3349" i="16"/>
  <c r="B3348" i="16"/>
  <c r="B3347" i="16"/>
  <c r="B3346" i="16"/>
  <c r="B3345" i="16"/>
  <c r="B3344" i="16"/>
  <c r="B3343" i="16"/>
  <c r="B3342" i="16"/>
  <c r="B3341" i="16"/>
  <c r="B3340" i="16"/>
  <c r="B3339" i="16"/>
  <c r="B3338" i="16"/>
  <c r="B3337" i="16"/>
  <c r="B3336" i="16"/>
  <c r="B3335" i="16"/>
  <c r="B3334" i="16"/>
  <c r="B3333" i="16"/>
  <c r="B3332" i="16"/>
  <c r="B3331" i="16"/>
  <c r="B3330" i="16"/>
  <c r="B3329" i="16"/>
  <c r="B3328" i="16"/>
  <c r="B3327" i="16"/>
  <c r="B3326" i="16"/>
  <c r="B3325" i="16"/>
  <c r="E3324" i="16"/>
  <c r="F3326" i="16" s="1"/>
  <c r="B3324" i="16"/>
  <c r="B3323" i="16"/>
  <c r="B3322" i="16"/>
  <c r="B3321" i="16"/>
  <c r="B3320" i="16"/>
  <c r="B3319" i="16"/>
  <c r="B3318" i="16"/>
  <c r="B3317" i="16"/>
  <c r="B3316" i="16"/>
  <c r="F3315" i="16"/>
  <c r="B3315" i="16"/>
  <c r="B3314" i="16"/>
  <c r="B3313" i="16"/>
  <c r="B3312" i="16"/>
  <c r="B3311" i="16"/>
  <c r="B3310" i="16"/>
  <c r="F3309" i="16"/>
  <c r="B3309" i="16"/>
  <c r="B3308" i="16"/>
  <c r="B3307" i="16"/>
  <c r="B3306" i="16"/>
  <c r="B3305" i="16"/>
  <c r="B3304" i="16"/>
  <c r="B3303" i="16"/>
  <c r="B3302" i="16"/>
  <c r="B3301" i="16"/>
  <c r="B3300" i="16"/>
  <c r="B3299" i="16"/>
  <c r="B3298" i="16"/>
  <c r="B3297" i="16"/>
  <c r="B3296" i="16"/>
  <c r="B3295" i="16"/>
  <c r="B3294" i="16"/>
  <c r="B3293" i="16"/>
  <c r="B3292" i="16"/>
  <c r="B3291" i="16"/>
  <c r="B3290" i="16"/>
  <c r="B3289" i="16"/>
  <c r="B3288" i="16"/>
  <c r="B3287" i="16"/>
  <c r="B3286" i="16"/>
  <c r="B3285" i="16"/>
  <c r="B3284" i="16"/>
  <c r="B3283" i="16"/>
  <c r="B3282" i="16"/>
  <c r="B3281" i="16"/>
  <c r="B3279" i="16"/>
  <c r="B3278" i="16"/>
  <c r="B3277" i="16"/>
  <c r="B3276" i="16"/>
  <c r="B3275" i="16"/>
  <c r="B3274" i="16"/>
  <c r="B3273" i="16"/>
  <c r="B3272" i="16"/>
  <c r="B3271" i="16"/>
  <c r="B3270" i="16"/>
  <c r="B3269" i="16"/>
  <c r="B3268" i="16"/>
  <c r="B3267" i="16"/>
  <c r="B3266" i="16"/>
  <c r="B3265" i="16"/>
  <c r="B3264" i="16"/>
  <c r="B3263" i="16"/>
  <c r="B3262" i="16"/>
  <c r="B3261" i="16"/>
  <c r="B3260" i="16"/>
  <c r="B3259" i="16"/>
  <c r="B3258" i="16"/>
  <c r="B3257" i="16"/>
  <c r="B3256" i="16"/>
  <c r="B3255" i="16"/>
  <c r="B3254" i="16"/>
  <c r="B3253" i="16"/>
  <c r="B3250" i="16"/>
  <c r="B3249" i="16"/>
  <c r="B3248" i="16"/>
  <c r="B3247" i="16"/>
  <c r="B3245" i="16"/>
  <c r="B3244" i="16"/>
  <c r="B3243" i="16"/>
  <c r="B3242" i="16"/>
  <c r="B3246" i="16" s="1"/>
  <c r="B3251" i="16" s="1"/>
  <c r="B3252" i="16" s="1"/>
  <c r="B3241" i="16"/>
  <c r="B3240" i="16"/>
  <c r="B3239" i="16"/>
  <c r="B3238" i="16"/>
  <c r="E3237" i="16"/>
  <c r="B3237" i="16"/>
  <c r="B3236" i="16"/>
  <c r="B3235" i="16"/>
  <c r="B3234" i="16"/>
  <c r="B3233" i="16"/>
  <c r="B3232" i="16"/>
  <c r="B3231" i="16"/>
  <c r="B3230" i="16"/>
  <c r="B3229" i="16"/>
  <c r="B3228" i="16"/>
  <c r="B3227" i="16"/>
  <c r="B3226" i="16"/>
  <c r="E3225" i="16"/>
  <c r="B3225" i="16"/>
  <c r="B3224" i="16"/>
  <c r="B3223" i="16"/>
  <c r="B3222" i="16"/>
  <c r="B3221" i="16"/>
  <c r="B3220" i="16"/>
  <c r="B3219" i="16"/>
  <c r="B3218" i="16"/>
  <c r="E3217" i="16"/>
  <c r="B3217" i="16"/>
  <c r="B3216" i="16"/>
  <c r="F3215" i="16"/>
  <c r="B3215" i="16"/>
  <c r="B3214" i="16"/>
  <c r="B3213" i="16"/>
  <c r="B3212" i="16"/>
  <c r="E3211" i="16"/>
  <c r="B3211" i="16"/>
  <c r="B3210" i="16"/>
  <c r="B3209" i="16"/>
  <c r="B3208" i="16"/>
  <c r="B3207" i="16"/>
  <c r="B3206" i="16"/>
  <c r="B3205" i="16"/>
  <c r="B3204" i="16"/>
  <c r="B3203" i="16"/>
  <c r="B3202" i="16"/>
  <c r="B3201" i="16"/>
  <c r="B3200" i="16"/>
  <c r="B3199" i="16"/>
  <c r="B3198" i="16"/>
  <c r="B3197" i="16"/>
  <c r="B3196" i="16"/>
  <c r="B3195" i="16"/>
  <c r="B3194" i="16"/>
  <c r="B3193" i="16"/>
  <c r="B3192" i="16"/>
  <c r="B3191" i="16"/>
  <c r="B3190" i="16"/>
  <c r="B3189" i="16"/>
  <c r="B3188" i="16"/>
  <c r="B3187" i="16"/>
  <c r="B3186" i="16"/>
  <c r="B3185" i="16"/>
  <c r="B3184" i="16"/>
  <c r="B3183" i="16"/>
  <c r="B3182" i="16"/>
  <c r="B3181" i="16"/>
  <c r="B3180" i="16"/>
  <c r="B3178" i="16"/>
  <c r="B3177" i="16"/>
  <c r="B3176" i="16"/>
  <c r="B3175" i="16"/>
  <c r="B3174" i="16"/>
  <c r="B3173" i="16"/>
  <c r="B3172" i="16"/>
  <c r="B3171" i="16"/>
  <c r="B3170" i="16"/>
  <c r="B3169" i="16"/>
  <c r="B3168" i="16"/>
  <c r="B3167" i="16"/>
  <c r="B3166" i="16"/>
  <c r="B3165" i="16"/>
  <c r="B3164" i="16"/>
  <c r="B3163" i="16"/>
  <c r="B3162" i="16"/>
  <c r="B3161" i="16"/>
  <c r="B3160" i="16"/>
  <c r="B3159" i="16"/>
  <c r="B3158" i="16"/>
  <c r="B3157" i="16"/>
  <c r="B3156" i="16"/>
  <c r="B3155" i="16"/>
  <c r="B3154" i="16"/>
  <c r="B3153" i="16"/>
  <c r="B3152" i="16"/>
  <c r="B3151" i="16"/>
  <c r="B3150" i="16"/>
  <c r="B3149" i="16"/>
  <c r="B3148" i="16"/>
  <c r="B3147" i="16"/>
  <c r="B3146" i="16"/>
  <c r="B3145" i="16"/>
  <c r="B3144" i="16"/>
  <c r="B3143" i="16"/>
  <c r="B3142" i="16"/>
  <c r="B3141" i="16"/>
  <c r="B3140" i="16"/>
  <c r="E3139" i="16"/>
  <c r="B3139" i="16"/>
  <c r="B3138" i="16"/>
  <c r="B3137" i="16"/>
  <c r="B3136" i="16"/>
  <c r="B3135" i="16"/>
  <c r="E3134" i="16"/>
  <c r="B3134" i="16"/>
  <c r="B3133" i="16"/>
  <c r="B3132" i="16"/>
  <c r="B3131" i="16"/>
  <c r="B3130" i="16"/>
  <c r="B3129" i="16"/>
  <c r="E3128" i="16"/>
  <c r="B3128" i="16"/>
  <c r="B3127" i="16"/>
  <c r="B3126" i="16"/>
  <c r="B3125" i="16"/>
  <c r="B3124" i="16"/>
  <c r="B3123" i="16"/>
  <c r="B3122" i="16"/>
  <c r="B3121" i="16"/>
  <c r="B3120" i="16"/>
  <c r="B3119" i="16"/>
  <c r="B3118" i="16"/>
  <c r="B3117" i="16"/>
  <c r="B3116" i="16"/>
  <c r="B3115" i="16"/>
  <c r="B3114" i="16"/>
  <c r="B3113" i="16"/>
  <c r="E3112" i="16"/>
  <c r="B3112" i="16"/>
  <c r="B3111" i="16"/>
  <c r="B3110" i="16"/>
  <c r="B3109" i="16"/>
  <c r="B3108" i="16"/>
  <c r="B3107" i="16"/>
  <c r="E3106" i="16"/>
  <c r="B3106" i="16"/>
  <c r="B3105" i="16"/>
  <c r="B3104" i="16"/>
  <c r="B3103" i="16"/>
  <c r="B3102" i="16"/>
  <c r="B3101" i="16"/>
  <c r="B3100" i="16"/>
  <c r="B3099" i="16"/>
  <c r="B3098" i="16"/>
  <c r="B3097" i="16"/>
  <c r="B3096" i="16"/>
  <c r="B3095" i="16"/>
  <c r="B3094" i="16"/>
  <c r="B3093" i="16"/>
  <c r="B3092" i="16"/>
  <c r="B3091" i="16"/>
  <c r="B3090" i="16"/>
  <c r="B3089" i="16"/>
  <c r="B3088" i="16"/>
  <c r="B3087" i="16"/>
  <c r="B3086" i="16"/>
  <c r="B3085" i="16"/>
  <c r="B3084" i="16"/>
  <c r="B3083" i="16"/>
  <c r="B3082" i="16"/>
  <c r="B3081" i="16"/>
  <c r="B3080" i="16"/>
  <c r="B3079" i="16"/>
  <c r="B3078" i="16"/>
  <c r="B3077" i="16"/>
  <c r="B3076" i="16"/>
  <c r="F3075" i="16"/>
  <c r="B3075" i="16"/>
  <c r="B3074" i="16"/>
  <c r="B3073" i="16"/>
  <c r="B3071" i="16"/>
  <c r="B3070" i="16"/>
  <c r="B3069" i="16"/>
  <c r="B3068" i="16"/>
  <c r="B3067" i="16"/>
  <c r="B3066" i="16"/>
  <c r="B3065" i="16"/>
  <c r="B3064" i="16"/>
  <c r="B3063" i="16"/>
  <c r="B3062" i="16"/>
  <c r="B3061" i="16"/>
  <c r="B3060" i="16"/>
  <c r="B3059" i="16"/>
  <c r="B3058" i="16"/>
  <c r="B3057" i="16"/>
  <c r="B3056" i="16"/>
  <c r="B3055" i="16"/>
  <c r="B3054" i="16"/>
  <c r="B3053" i="16"/>
  <c r="B3052" i="16"/>
  <c r="B3051" i="16"/>
  <c r="B3050" i="16"/>
  <c r="B3049" i="16"/>
  <c r="B3048" i="16"/>
  <c r="B3047" i="16"/>
  <c r="B3046" i="16"/>
  <c r="B3045" i="16"/>
  <c r="B3044" i="16"/>
  <c r="B3043" i="16"/>
  <c r="B3042" i="16"/>
  <c r="B3041" i="16"/>
  <c r="B3040" i="16"/>
  <c r="B3039" i="16"/>
  <c r="F3038" i="16"/>
  <c r="B3038" i="16"/>
  <c r="B3037" i="16"/>
  <c r="B3036" i="16"/>
  <c r="B3035" i="16"/>
  <c r="B3034" i="16"/>
  <c r="B3033" i="16"/>
  <c r="B3032" i="16"/>
  <c r="B3031" i="16"/>
  <c r="B3030" i="16"/>
  <c r="B3029" i="16"/>
  <c r="B3028" i="16"/>
  <c r="B3027" i="16"/>
  <c r="B3026" i="16"/>
  <c r="B3025" i="16"/>
  <c r="B3024" i="16"/>
  <c r="B3023" i="16"/>
  <c r="B3022" i="16"/>
  <c r="E3021" i="16"/>
  <c r="F3023" i="16" s="1"/>
  <c r="B3021" i="16"/>
  <c r="B3020" i="16"/>
  <c r="B3019" i="16"/>
  <c r="B3018" i="16"/>
  <c r="B3017" i="16"/>
  <c r="B3016" i="16"/>
  <c r="E3015" i="16"/>
  <c r="B3015" i="16"/>
  <c r="B3014" i="16"/>
  <c r="B3013" i="16"/>
  <c r="F3012" i="16"/>
  <c r="B3012" i="16"/>
  <c r="B3011" i="16"/>
  <c r="B3010" i="16"/>
  <c r="B3009" i="16"/>
  <c r="B3008" i="16"/>
  <c r="B3007" i="16"/>
  <c r="B3006" i="16"/>
  <c r="B3005" i="16"/>
  <c r="B3004" i="16"/>
  <c r="B3003" i="16"/>
  <c r="B3002" i="16"/>
  <c r="B3001" i="16"/>
  <c r="B3000" i="16"/>
  <c r="B2999" i="16"/>
  <c r="B2998" i="16"/>
  <c r="B2997" i="16"/>
  <c r="B2996" i="16"/>
  <c r="B2995" i="16"/>
  <c r="B2994" i="16"/>
  <c r="B2993" i="16"/>
  <c r="B2992" i="16"/>
  <c r="B2991" i="16"/>
  <c r="B2990" i="16"/>
  <c r="B2989" i="16"/>
  <c r="B2988" i="16"/>
  <c r="B2987" i="16"/>
  <c r="B2986" i="16"/>
  <c r="B2985" i="16"/>
  <c r="B2984" i="16"/>
  <c r="B2983" i="16"/>
  <c r="B2982" i="16"/>
  <c r="B2981" i="16"/>
  <c r="B2980" i="16"/>
  <c r="B2978" i="16"/>
  <c r="B2977" i="16"/>
  <c r="B2976" i="16"/>
  <c r="B2975" i="16"/>
  <c r="B2974" i="16"/>
  <c r="B2973" i="16"/>
  <c r="B2972" i="16"/>
  <c r="B2971" i="16"/>
  <c r="B2970" i="16"/>
  <c r="B2969" i="16"/>
  <c r="B2968" i="16"/>
  <c r="B2967" i="16"/>
  <c r="B2966" i="16"/>
  <c r="B2965" i="16"/>
  <c r="B2964" i="16"/>
  <c r="B2963" i="16"/>
  <c r="B2962" i="16"/>
  <c r="B2961" i="16"/>
  <c r="B2960" i="16"/>
  <c r="B2959" i="16"/>
  <c r="B2958" i="16"/>
  <c r="B2957" i="16"/>
  <c r="B2956" i="16"/>
  <c r="F2955" i="16"/>
  <c r="B2955" i="16"/>
  <c r="B2954" i="16"/>
  <c r="B2953" i="16"/>
  <c r="B2952" i="16"/>
  <c r="B2951" i="16"/>
  <c r="B2950" i="16"/>
  <c r="B2949" i="16"/>
  <c r="B2948" i="16"/>
  <c r="B2947" i="16"/>
  <c r="B2946" i="16"/>
  <c r="B2945" i="16"/>
  <c r="B2944" i="16"/>
  <c r="B2943" i="16"/>
  <c r="B2942" i="16"/>
  <c r="E2941" i="16"/>
  <c r="F2943" i="16" s="1"/>
  <c r="B2941" i="16"/>
  <c r="B2940" i="16"/>
  <c r="B2939" i="16"/>
  <c r="F2938" i="16"/>
  <c r="B2938" i="16"/>
  <c r="B2937" i="16"/>
  <c r="B2936" i="16"/>
  <c r="B2935" i="16"/>
  <c r="B2934" i="16"/>
  <c r="B2933" i="16"/>
  <c r="B2932" i="16"/>
  <c r="B2931" i="16"/>
  <c r="B2930" i="16"/>
  <c r="B2929" i="16"/>
  <c r="B2928" i="16"/>
  <c r="B2927" i="16"/>
  <c r="B2926" i="16"/>
  <c r="B2925" i="16"/>
  <c r="B2924" i="16"/>
  <c r="B2923" i="16"/>
  <c r="B2922" i="16"/>
  <c r="B2921" i="16"/>
  <c r="F2920" i="16"/>
  <c r="B2920" i="16"/>
  <c r="B2919" i="16"/>
  <c r="B2918" i="16"/>
  <c r="B2917" i="16"/>
  <c r="B2916" i="16"/>
  <c r="B2915" i="16"/>
  <c r="B2914" i="16"/>
  <c r="B2913" i="16"/>
  <c r="B2912" i="16"/>
  <c r="B2911" i="16"/>
  <c r="B2910" i="16"/>
  <c r="B2909" i="16"/>
  <c r="B2908" i="16"/>
  <c r="B2907" i="16"/>
  <c r="B2906" i="16"/>
  <c r="B2905" i="16"/>
  <c r="B2904" i="16"/>
  <c r="B2902" i="16"/>
  <c r="B2901" i="16"/>
  <c r="B2900" i="16"/>
  <c r="B2899" i="16"/>
  <c r="B2898" i="16"/>
  <c r="B2897" i="16"/>
  <c r="B2896" i="16"/>
  <c r="B2895" i="16"/>
  <c r="B2894" i="16"/>
  <c r="B2893" i="16"/>
  <c r="B2892" i="16"/>
  <c r="B2891" i="16"/>
  <c r="B2890" i="16"/>
  <c r="B2889" i="16"/>
  <c r="B2888" i="16"/>
  <c r="B2887" i="16"/>
  <c r="B2886" i="16"/>
  <c r="B2885" i="16"/>
  <c r="B2884" i="16"/>
  <c r="B2883" i="16"/>
  <c r="B2882" i="16"/>
  <c r="B2881" i="16"/>
  <c r="B2880" i="16"/>
  <c r="B2879" i="16"/>
  <c r="B2878" i="16"/>
  <c r="B2877" i="16"/>
  <c r="B2876" i="16"/>
  <c r="B2875" i="16"/>
  <c r="B2874" i="16"/>
  <c r="B2873" i="16"/>
  <c r="B2872" i="16"/>
  <c r="B2871" i="16"/>
  <c r="F2870" i="16"/>
  <c r="B2870" i="16"/>
  <c r="B2869" i="16"/>
  <c r="B2868" i="16"/>
  <c r="B2867" i="16"/>
  <c r="B2866" i="16"/>
  <c r="B2865" i="16"/>
  <c r="B2864" i="16"/>
  <c r="B2863" i="16"/>
  <c r="B2862" i="16"/>
  <c r="B2861" i="16"/>
  <c r="B2860" i="16"/>
  <c r="B2859" i="16"/>
  <c r="B2858" i="16"/>
  <c r="B2857" i="16"/>
  <c r="B2856" i="16"/>
  <c r="B2855" i="16"/>
  <c r="B2854" i="16"/>
  <c r="B2853" i="16"/>
  <c r="E2852" i="16"/>
  <c r="B2852" i="16"/>
  <c r="B2851" i="16"/>
  <c r="B2850" i="16"/>
  <c r="B2849" i="16"/>
  <c r="B2848" i="16"/>
  <c r="B2847" i="16"/>
  <c r="F2846" i="16"/>
  <c r="B2846" i="16"/>
  <c r="B2845" i="16"/>
  <c r="B2844" i="16"/>
  <c r="B2843" i="16"/>
  <c r="B2842" i="16"/>
  <c r="B2841" i="16"/>
  <c r="B2840" i="16"/>
  <c r="B2839" i="16"/>
  <c r="B2838" i="16"/>
  <c r="B2837" i="16"/>
  <c r="B2836" i="16"/>
  <c r="E2835" i="16"/>
  <c r="B2835" i="16"/>
  <c r="B2834" i="16"/>
  <c r="B2833" i="16"/>
  <c r="B2832" i="16"/>
  <c r="B2831" i="16"/>
  <c r="B2830" i="16"/>
  <c r="B2829" i="16"/>
  <c r="B2828" i="16"/>
  <c r="B2827" i="16"/>
  <c r="B2826" i="16"/>
  <c r="B2825" i="16"/>
  <c r="B2824" i="16"/>
  <c r="B2823" i="16"/>
  <c r="B2821" i="16"/>
  <c r="B2820" i="16"/>
  <c r="B2819" i="16"/>
  <c r="B2818" i="16"/>
  <c r="B2817" i="16"/>
  <c r="B2816" i="16"/>
  <c r="B2815" i="16"/>
  <c r="B2814" i="16"/>
  <c r="B2813" i="16"/>
  <c r="B2812" i="16"/>
  <c r="B2811" i="16"/>
  <c r="B2810" i="16"/>
  <c r="B2809" i="16"/>
  <c r="B2808" i="16"/>
  <c r="F2807" i="16"/>
  <c r="B2807" i="16"/>
  <c r="B2806" i="16"/>
  <c r="B2805" i="16"/>
  <c r="B2804" i="16"/>
  <c r="B2803" i="16"/>
  <c r="B2802" i="16"/>
  <c r="B2801" i="16"/>
  <c r="B2800" i="16"/>
  <c r="E2799" i="16"/>
  <c r="B2799" i="16"/>
  <c r="B2798" i="16"/>
  <c r="E2797" i="16"/>
  <c r="B2797" i="16"/>
  <c r="E2796" i="16"/>
  <c r="B2796" i="16"/>
  <c r="B2795" i="16"/>
  <c r="B2794" i="16"/>
  <c r="B2793" i="16"/>
  <c r="B2792" i="16"/>
  <c r="B2791" i="16"/>
  <c r="B2790" i="16"/>
  <c r="B2789" i="16"/>
  <c r="B2788" i="16"/>
  <c r="B2787" i="16"/>
  <c r="B2786" i="16"/>
  <c r="B2785" i="16"/>
  <c r="B2784" i="16"/>
  <c r="B2783" i="16"/>
  <c r="B2782" i="16"/>
  <c r="B2781" i="16"/>
  <c r="B2780" i="16"/>
  <c r="B2779" i="16"/>
  <c r="B2778" i="16"/>
  <c r="B2777" i="16"/>
  <c r="B2775" i="16"/>
  <c r="B2774" i="16"/>
  <c r="B2773" i="16"/>
  <c r="B2772" i="16"/>
  <c r="B2771" i="16"/>
  <c r="B2770" i="16"/>
  <c r="B2769" i="16"/>
  <c r="B2768" i="16"/>
  <c r="B2767" i="16"/>
  <c r="B2766" i="16"/>
  <c r="B2765" i="16"/>
  <c r="B2764" i="16"/>
  <c r="B2763" i="16"/>
  <c r="B2762" i="16"/>
  <c r="B2761" i="16"/>
  <c r="B2760" i="16"/>
  <c r="E2759" i="16"/>
  <c r="F2761" i="16" s="1"/>
  <c r="B2759" i="16"/>
  <c r="F2758" i="16"/>
  <c r="B2758" i="16"/>
  <c r="B2757" i="16"/>
  <c r="B2756" i="16"/>
  <c r="B2755" i="16"/>
  <c r="B2754" i="16"/>
  <c r="F2753" i="16"/>
  <c r="B2753" i="16"/>
  <c r="B2752" i="16"/>
  <c r="F2751" i="16"/>
  <c r="B2751" i="16"/>
  <c r="B2750" i="16"/>
  <c r="B2749" i="16"/>
  <c r="B2748" i="16"/>
  <c r="F2747" i="16"/>
  <c r="B2747" i="16"/>
  <c r="B2746" i="16"/>
  <c r="B2745" i="16"/>
  <c r="B2744" i="16"/>
  <c r="B2743" i="16"/>
  <c r="B2742" i="16"/>
  <c r="B2741" i="16"/>
  <c r="B2740" i="16"/>
  <c r="B2739" i="16"/>
  <c r="B2738" i="16"/>
  <c r="B2737" i="16"/>
  <c r="B2736" i="16"/>
  <c r="B2735" i="16"/>
  <c r="B2733" i="16"/>
  <c r="B2732" i="16"/>
  <c r="B2731" i="16"/>
  <c r="B2730" i="16"/>
  <c r="B2729" i="16"/>
  <c r="B2728" i="16"/>
  <c r="B2727" i="16"/>
  <c r="B2726" i="16"/>
  <c r="B2725" i="16"/>
  <c r="B2724" i="16"/>
  <c r="B2723" i="16"/>
  <c r="B2722" i="16"/>
  <c r="B2721" i="16"/>
  <c r="B2720" i="16"/>
  <c r="B2719" i="16"/>
  <c r="B2718" i="16"/>
  <c r="B2717" i="16"/>
  <c r="B2716" i="16"/>
  <c r="B2715" i="16"/>
  <c r="F2714" i="16"/>
  <c r="B2714" i="16"/>
  <c r="B2713" i="16"/>
  <c r="B2712" i="16"/>
  <c r="B2711" i="16"/>
  <c r="B2710" i="16"/>
  <c r="B2709" i="16"/>
  <c r="B2708" i="16"/>
  <c r="B2707" i="16"/>
  <c r="B2706" i="16"/>
  <c r="B2705" i="16"/>
  <c r="B2704" i="16"/>
  <c r="B2703" i="16"/>
  <c r="B2702" i="16"/>
  <c r="B2701" i="16"/>
  <c r="B2700" i="16"/>
  <c r="B2699" i="16"/>
  <c r="E2698" i="16"/>
  <c r="B2698" i="16"/>
  <c r="B2697" i="16"/>
  <c r="B2696" i="16"/>
  <c r="B2695" i="16"/>
  <c r="B2694" i="16"/>
  <c r="B2693" i="16"/>
  <c r="B2692" i="16"/>
  <c r="B2691" i="16"/>
  <c r="B2690" i="16"/>
  <c r="B2689" i="16"/>
  <c r="B2688" i="16"/>
  <c r="B2687" i="16"/>
  <c r="B2686" i="16"/>
  <c r="B2685" i="16"/>
  <c r="B2684" i="16"/>
  <c r="F2683" i="16"/>
  <c r="B2683" i="16"/>
  <c r="B2682" i="16"/>
  <c r="B2681" i="16"/>
  <c r="B2680" i="16"/>
  <c r="E2679" i="16"/>
  <c r="F2681" i="16" s="1"/>
  <c r="B2679" i="16"/>
  <c r="B2678" i="16"/>
  <c r="B2677" i="16"/>
  <c r="B2676" i="16"/>
  <c r="B2675" i="16"/>
  <c r="B2674" i="16"/>
  <c r="B2673" i="16"/>
  <c r="B2672" i="16"/>
  <c r="B2671" i="16"/>
  <c r="B2670" i="16"/>
  <c r="B2669" i="16"/>
  <c r="B2668" i="16"/>
  <c r="B2667" i="16"/>
  <c r="B2666" i="16"/>
  <c r="B2665" i="16"/>
  <c r="B2663" i="16"/>
  <c r="B2662" i="16"/>
  <c r="B2661" i="16"/>
  <c r="B2660" i="16"/>
  <c r="B2659" i="16"/>
  <c r="B2658" i="16"/>
  <c r="B2657" i="16" s="1"/>
  <c r="B2656" i="16"/>
  <c r="B2655" i="16"/>
  <c r="B2654" i="16"/>
  <c r="B2653" i="16"/>
  <c r="B2652" i="16"/>
  <c r="B2651" i="16"/>
  <c r="B2650" i="16"/>
  <c r="B2649" i="16"/>
  <c r="B2648" i="16"/>
  <c r="B2647" i="16"/>
  <c r="F2646" i="16"/>
  <c r="B2646" i="16"/>
  <c r="B2645" i="16"/>
  <c r="B2644" i="16"/>
  <c r="B2643" i="16"/>
  <c r="B2642" i="16"/>
  <c r="B2641" i="16"/>
  <c r="B2640" i="16"/>
  <c r="B2639" i="16"/>
  <c r="B2638" i="16"/>
  <c r="B2637" i="16"/>
  <c r="B2636" i="16"/>
  <c r="B2635" i="16"/>
  <c r="B2634" i="16"/>
  <c r="B2633" i="16"/>
  <c r="B2632" i="16"/>
  <c r="B2631" i="16"/>
  <c r="B2630" i="16"/>
  <c r="B2629" i="16"/>
  <c r="B2628" i="16"/>
  <c r="B2627" i="16"/>
  <c r="B2625" i="16"/>
  <c r="B2624" i="16"/>
  <c r="B2623" i="16"/>
  <c r="B2622" i="16"/>
  <c r="B2621" i="16"/>
  <c r="B2620" i="16"/>
  <c r="B2619" i="16"/>
  <c r="B2618" i="16"/>
  <c r="B2617" i="16"/>
  <c r="B2616" i="16"/>
  <c r="B2615" i="16"/>
  <c r="B2614" i="16"/>
  <c r="B2613" i="16"/>
  <c r="B2612" i="16"/>
  <c r="B2611" i="16"/>
  <c r="B2610" i="16"/>
  <c r="E2609" i="16"/>
  <c r="B2609" i="16"/>
  <c r="B2608" i="16"/>
  <c r="B2607" i="16"/>
  <c r="B2606" i="16"/>
  <c r="B2605" i="16"/>
  <c r="B2604" i="16"/>
  <c r="B2603" i="16"/>
  <c r="B2602" i="16"/>
  <c r="B2601" i="16"/>
  <c r="E2600" i="16"/>
  <c r="B2600" i="16"/>
  <c r="B2599" i="16"/>
  <c r="F2598" i="16"/>
  <c r="B2598" i="16"/>
  <c r="B2597" i="16"/>
  <c r="B2596" i="16"/>
  <c r="B2595" i="16"/>
  <c r="B2594" i="16"/>
  <c r="B2593" i="16"/>
  <c r="B2592" i="16"/>
  <c r="B2591" i="16"/>
  <c r="B2590" i="16"/>
  <c r="B2589" i="16"/>
  <c r="B2588" i="16"/>
  <c r="B2587" i="16"/>
  <c r="B2586" i="16"/>
  <c r="B2585" i="16"/>
  <c r="B2584" i="16"/>
  <c r="B2583" i="16"/>
  <c r="B2582" i="16"/>
  <c r="B2581" i="16"/>
  <c r="B2579" i="16"/>
  <c r="B2578" i="16"/>
  <c r="B2577" i="16"/>
  <c r="B2576" i="16"/>
  <c r="B2575" i="16"/>
  <c r="B2574" i="16"/>
  <c r="B2573" i="16"/>
  <c r="B2572" i="16"/>
  <c r="B2571" i="16"/>
  <c r="B2570" i="16"/>
  <c r="B2569" i="16"/>
  <c r="B2568" i="16"/>
  <c r="B2567" i="16"/>
  <c r="B2566" i="16"/>
  <c r="B2565" i="16"/>
  <c r="B2564" i="16"/>
  <c r="B2563" i="16"/>
  <c r="B2562" i="16"/>
  <c r="F2561" i="16"/>
  <c r="B2561" i="16"/>
  <c r="B2560" i="16"/>
  <c r="B2559" i="16"/>
  <c r="B2558" i="16"/>
  <c r="B2557" i="16"/>
  <c r="B2556" i="16"/>
  <c r="B2555" i="16"/>
  <c r="B2554" i="16"/>
  <c r="B2553" i="16"/>
  <c r="B2552" i="16"/>
  <c r="E2551" i="16"/>
  <c r="F2553" i="16" s="1"/>
  <c r="B2551" i="16"/>
  <c r="B2550" i="16"/>
  <c r="B2549" i="16"/>
  <c r="B2548" i="16"/>
  <c r="B2547" i="16"/>
  <c r="B2546" i="16"/>
  <c r="B2545" i="16"/>
  <c r="B2544" i="16"/>
  <c r="B2543" i="16"/>
  <c r="F2542" i="16"/>
  <c r="B2542" i="16"/>
  <c r="B2541" i="16"/>
  <c r="B2540" i="16"/>
  <c r="B2539" i="16"/>
  <c r="B2538" i="16"/>
  <c r="E2537" i="16"/>
  <c r="B2537" i="16"/>
  <c r="B2536" i="16"/>
  <c r="B2535" i="16"/>
  <c r="B2534" i="16"/>
  <c r="B2533" i="16"/>
  <c r="B2532" i="16"/>
  <c r="B2531" i="16"/>
  <c r="B2530" i="16"/>
  <c r="B2529" i="16"/>
  <c r="B2528" i="16"/>
  <c r="B2527" i="16"/>
  <c r="B2526" i="16"/>
  <c r="B2525" i="16"/>
  <c r="B2524" i="16"/>
  <c r="B2523" i="16"/>
  <c r="B2522" i="16"/>
  <c r="B2521" i="16"/>
  <c r="B2520" i="16"/>
  <c r="B2518" i="16"/>
  <c r="B2517" i="16"/>
  <c r="B2516" i="16"/>
  <c r="B2515" i="16"/>
  <c r="B2514" i="16"/>
  <c r="B2513" i="16"/>
  <c r="B2512" i="16"/>
  <c r="B2511" i="16"/>
  <c r="B2510" i="16"/>
  <c r="B2509" i="16"/>
  <c r="B2508" i="16"/>
  <c r="B2507" i="16"/>
  <c r="B2506" i="16"/>
  <c r="B2505" i="16"/>
  <c r="F2504" i="16"/>
  <c r="B2504" i="16"/>
  <c r="B2503" i="16"/>
  <c r="B2502" i="16"/>
  <c r="B2501" i="16"/>
  <c r="B2500" i="16"/>
  <c r="B2499" i="16"/>
  <c r="B2498" i="16"/>
  <c r="E2497" i="16"/>
  <c r="F2499" i="16" s="1"/>
  <c r="B2497" i="16"/>
  <c r="B2496" i="16"/>
  <c r="B2495" i="16"/>
  <c r="B2494" i="16"/>
  <c r="B2493" i="16"/>
  <c r="B2492" i="16"/>
  <c r="B2491" i="16"/>
  <c r="B2490" i="16"/>
  <c r="B2489" i="16"/>
  <c r="B2488" i="16"/>
  <c r="B2487" i="16"/>
  <c r="B2486" i="16"/>
  <c r="E2485" i="16"/>
  <c r="B2485" i="16"/>
  <c r="B2484" i="16"/>
  <c r="B2483" i="16"/>
  <c r="B2482" i="16"/>
  <c r="B2481" i="16"/>
  <c r="B2480" i="16"/>
  <c r="B2479" i="16"/>
  <c r="B2478" i="16"/>
  <c r="B2477" i="16"/>
  <c r="B2476" i="16"/>
  <c r="B2475" i="16"/>
  <c r="B2474" i="16"/>
  <c r="B2473" i="16"/>
  <c r="B2472" i="16"/>
  <c r="B2471" i="16"/>
  <c r="B2470" i="16"/>
  <c r="B2469" i="16"/>
  <c r="B2468" i="16"/>
  <c r="B2467" i="16"/>
  <c r="B2466" i="16"/>
  <c r="F2465" i="16"/>
  <c r="B2465" i="16"/>
  <c r="B2464" i="16"/>
  <c r="B2463" i="16"/>
  <c r="B2462" i="16"/>
  <c r="B2461" i="16"/>
  <c r="B2460" i="16"/>
  <c r="B2459" i="16"/>
  <c r="B2458" i="16"/>
  <c r="B2456" i="16"/>
  <c r="B2455" i="16"/>
  <c r="B2454" i="16"/>
  <c r="B2453" i="16"/>
  <c r="B2452" i="16"/>
  <c r="B2451" i="16"/>
  <c r="F2450" i="16"/>
  <c r="B2450" i="16"/>
  <c r="B2449" i="16"/>
  <c r="B2448" i="16"/>
  <c r="B2447" i="16"/>
  <c r="B2446" i="16"/>
  <c r="B2445" i="16"/>
  <c r="B2444" i="16"/>
  <c r="B2443" i="16"/>
  <c r="B2442" i="16"/>
  <c r="B2441" i="16"/>
  <c r="B2440" i="16"/>
  <c r="B2439" i="16"/>
  <c r="B2438" i="16"/>
  <c r="B2437" i="16"/>
  <c r="B2436" i="16"/>
  <c r="E2435" i="16"/>
  <c r="F2436" i="16" s="1"/>
  <c r="B2435" i="16"/>
  <c r="B2434" i="16"/>
  <c r="B2433" i="16"/>
  <c r="B2432" i="16"/>
  <c r="B2431" i="16"/>
  <c r="B2430" i="16"/>
  <c r="B2429" i="16"/>
  <c r="B2428" i="16"/>
  <c r="B2427" i="16"/>
  <c r="B2426" i="16"/>
  <c r="E2425" i="16"/>
  <c r="B2425" i="16"/>
  <c r="B2424" i="16"/>
  <c r="B2423" i="16"/>
  <c r="B2422" i="16"/>
  <c r="B2421" i="16"/>
  <c r="B2420" i="16"/>
  <c r="B2419" i="16"/>
  <c r="B2418" i="16"/>
  <c r="B2417" i="16"/>
  <c r="B2416" i="16"/>
  <c r="B2415" i="16"/>
  <c r="B2414" i="16"/>
  <c r="B2413" i="16"/>
  <c r="B2412" i="16"/>
  <c r="F2411" i="16"/>
  <c r="B2411" i="16"/>
  <c r="B2410" i="16"/>
  <c r="B2409" i="16"/>
  <c r="B2408" i="16"/>
  <c r="B2407" i="16"/>
  <c r="B2406" i="16"/>
  <c r="B2405" i="16"/>
  <c r="B2403" i="16"/>
  <c r="B2402" i="16"/>
  <c r="B2401" i="16"/>
  <c r="B2400" i="16"/>
  <c r="B2399" i="16"/>
  <c r="B2398" i="16"/>
  <c r="B2397" i="16"/>
  <c r="B2396" i="16"/>
  <c r="B2395" i="16"/>
  <c r="B2394" i="16"/>
  <c r="B2393" i="16"/>
  <c r="B2392" i="16"/>
  <c r="B2391" i="16"/>
  <c r="B2390" i="16"/>
  <c r="B2389" i="16"/>
  <c r="B2388" i="16"/>
  <c r="B2387" i="16"/>
  <c r="B2386" i="16"/>
  <c r="B2385" i="16"/>
  <c r="B2384" i="16"/>
  <c r="B2383" i="16"/>
  <c r="B2382" i="16"/>
  <c r="B2381" i="16"/>
  <c r="B2380" i="16"/>
  <c r="B2379" i="16"/>
  <c r="B2378" i="16"/>
  <c r="B2377" i="16"/>
  <c r="B2376" i="16"/>
  <c r="B2375" i="16"/>
  <c r="B2374" i="16"/>
  <c r="B2373" i="16"/>
  <c r="B2372" i="16"/>
  <c r="B2371" i="16"/>
  <c r="B2370" i="16"/>
  <c r="B2369" i="16"/>
  <c r="B2368" i="16"/>
  <c r="B2367" i="16"/>
  <c r="B2366" i="16"/>
  <c r="B2365" i="16"/>
  <c r="B2364" i="16"/>
  <c r="E2363" i="16"/>
  <c r="F2364" i="16" s="1"/>
  <c r="B2363" i="16"/>
  <c r="B2362" i="16"/>
  <c r="B2361" i="16"/>
  <c r="B2360" i="16"/>
  <c r="B2359" i="16"/>
  <c r="B2358" i="16"/>
  <c r="B2357" i="16"/>
  <c r="B2356" i="16"/>
  <c r="B2355" i="16"/>
  <c r="B2354" i="16"/>
  <c r="B2353" i="16"/>
  <c r="B2352" i="16"/>
  <c r="B2351" i="16"/>
  <c r="B2350" i="16"/>
  <c r="B2349" i="16"/>
  <c r="B2348" i="16"/>
  <c r="B2347" i="16"/>
  <c r="E2346" i="16"/>
  <c r="F2348" i="16" s="1"/>
  <c r="B2346" i="16"/>
  <c r="F2345" i="16"/>
  <c r="B2345" i="16"/>
  <c r="B2344" i="16"/>
  <c r="B2343" i="16"/>
  <c r="B2342" i="16"/>
  <c r="B2341" i="16"/>
  <c r="B2340" i="16"/>
  <c r="B2339" i="16"/>
  <c r="B2338" i="16"/>
  <c r="B2337" i="16"/>
  <c r="B2336" i="16"/>
  <c r="B2335" i="16"/>
  <c r="B2334" i="16"/>
  <c r="B2333" i="16"/>
  <c r="B2332" i="16"/>
  <c r="B2331" i="16"/>
  <c r="B2330" i="16"/>
  <c r="B2329" i="16"/>
  <c r="B2328" i="16"/>
  <c r="B2327" i="16"/>
  <c r="B2326" i="16"/>
  <c r="B2325" i="16"/>
  <c r="B2324" i="16"/>
  <c r="B2323" i="16"/>
  <c r="B2322" i="16"/>
  <c r="B2321" i="16"/>
  <c r="B2320" i="16"/>
  <c r="B2319" i="16"/>
  <c r="B2317" i="16"/>
  <c r="B2316" i="16"/>
  <c r="B2315" i="16"/>
  <c r="B2314" i="16"/>
  <c r="B2313" i="16"/>
  <c r="B2312" i="16"/>
  <c r="B2311" i="16"/>
  <c r="B2310" i="16"/>
  <c r="B2309" i="16"/>
  <c r="B2308" i="16"/>
  <c r="B2307" i="16"/>
  <c r="B2306" i="16"/>
  <c r="B2305" i="16"/>
  <c r="B2304" i="16"/>
  <c r="B2303" i="16"/>
  <c r="B2302" i="16"/>
  <c r="B2301" i="16"/>
  <c r="B2300" i="16"/>
  <c r="E2299" i="16"/>
  <c r="F2300" i="16" s="1"/>
  <c r="B2299" i="16"/>
  <c r="B2298" i="16"/>
  <c r="B2297" i="16"/>
  <c r="B2296" i="16"/>
  <c r="B2295" i="16"/>
  <c r="B2294" i="16"/>
  <c r="B2293" i="16"/>
  <c r="B2292" i="16"/>
  <c r="E2291" i="16"/>
  <c r="B2291" i="16"/>
  <c r="B2290" i="16"/>
  <c r="B2289" i="16"/>
  <c r="B2288" i="16"/>
  <c r="B2287" i="16"/>
  <c r="B2286" i="16"/>
  <c r="B2285" i="16"/>
  <c r="B2284" i="16"/>
  <c r="B2283" i="16"/>
  <c r="B2282" i="16"/>
  <c r="B2281" i="16"/>
  <c r="B2280" i="16"/>
  <c r="B2279" i="16"/>
  <c r="B2278" i="16"/>
  <c r="B2277" i="16"/>
  <c r="B2276" i="16"/>
  <c r="B2275" i="16"/>
  <c r="B2274" i="16"/>
  <c r="B2273" i="16"/>
  <c r="B2272" i="16"/>
  <c r="E2271" i="16"/>
  <c r="F2273" i="16" s="1"/>
  <c r="B2271" i="16"/>
  <c r="B2270" i="16"/>
  <c r="B2269" i="16"/>
  <c r="B2268" i="16"/>
  <c r="B2267" i="16"/>
  <c r="B2266" i="16"/>
  <c r="B2265" i="16"/>
  <c r="B2263" i="16"/>
  <c r="B2262" i="16"/>
  <c r="B2261" i="16"/>
  <c r="B2260" i="16"/>
  <c r="B2259" i="16"/>
  <c r="B2258" i="16"/>
  <c r="B2257" i="16"/>
  <c r="B2256" i="16"/>
  <c r="B2255" i="16"/>
  <c r="B2254" i="16"/>
  <c r="B2253" i="16"/>
  <c r="B2252" i="16"/>
  <c r="B2251" i="16"/>
  <c r="B2250" i="16"/>
  <c r="B2249" i="16"/>
  <c r="B2248" i="16"/>
  <c r="B2247" i="16"/>
  <c r="B2246" i="16"/>
  <c r="B2245" i="16"/>
  <c r="B2244" i="16"/>
  <c r="E2243" i="16"/>
  <c r="F2244" i="16" s="1"/>
  <c r="B2243" i="16"/>
  <c r="B2242" i="16"/>
  <c r="B2241" i="16"/>
  <c r="B2240" i="16"/>
  <c r="B2239" i="16"/>
  <c r="B2238" i="16"/>
  <c r="B2237" i="16"/>
  <c r="B2236" i="16"/>
  <c r="B2235" i="16"/>
  <c r="B2234" i="16"/>
  <c r="B2233" i="16"/>
  <c r="B2232" i="16"/>
  <c r="B2231" i="16"/>
  <c r="B2230" i="16"/>
  <c r="B2229" i="16"/>
  <c r="B2228" i="16"/>
  <c r="B2227" i="16"/>
  <c r="B2226" i="16"/>
  <c r="B2225" i="16"/>
  <c r="B2224" i="16"/>
  <c r="E2223" i="16"/>
  <c r="F2225" i="16" s="1"/>
  <c r="B2223" i="16"/>
  <c r="B2222" i="16"/>
  <c r="B2221" i="16"/>
  <c r="B2220" i="16"/>
  <c r="B2219" i="16"/>
  <c r="B2218" i="16"/>
  <c r="B2217" i="16"/>
  <c r="B2216" i="16"/>
  <c r="E2215" i="16"/>
  <c r="B2215" i="16"/>
  <c r="B2214" i="16"/>
  <c r="B2213" i="16"/>
  <c r="B2212" i="16"/>
  <c r="F2211" i="16"/>
  <c r="B2211" i="16"/>
  <c r="B2210" i="16"/>
  <c r="B2209" i="16"/>
  <c r="B2208" i="16"/>
  <c r="B2207" i="16"/>
  <c r="B2206" i="16"/>
  <c r="B2205" i="16"/>
  <c r="B2204" i="16"/>
  <c r="B2202" i="16"/>
  <c r="B2201" i="16"/>
  <c r="E2200" i="16"/>
  <c r="E2201" i="16" s="1"/>
  <c r="B2200" i="16"/>
  <c r="B2199" i="16"/>
  <c r="B2198" i="16"/>
  <c r="B2197" i="16"/>
  <c r="B2196" i="16"/>
  <c r="B2195" i="16"/>
  <c r="B2194" i="16"/>
  <c r="B2193" i="16"/>
  <c r="B2192" i="16"/>
  <c r="B2191" i="16"/>
  <c r="B2190" i="16"/>
  <c r="B2189" i="16"/>
  <c r="B2188" i="16"/>
  <c r="B2187" i="16"/>
  <c r="B2186" i="16"/>
  <c r="B2185" i="16"/>
  <c r="B2184" i="16"/>
  <c r="B2183" i="16"/>
  <c r="E2182" i="16"/>
  <c r="B2182" i="16"/>
  <c r="B2181" i="16"/>
  <c r="B2180" i="16"/>
  <c r="B2179" i="16"/>
  <c r="B2178" i="16"/>
  <c r="B2177" i="16"/>
  <c r="B2176" i="16"/>
  <c r="F2175" i="16"/>
  <c r="B2175" i="16"/>
  <c r="B2174" i="16"/>
  <c r="B2173" i="16"/>
  <c r="B2172" i="16"/>
  <c r="B2171" i="16"/>
  <c r="B2170" i="16"/>
  <c r="B2169" i="16"/>
  <c r="B2168" i="16"/>
  <c r="B2167" i="16"/>
  <c r="B2166" i="16"/>
  <c r="B2165" i="16"/>
  <c r="B2164" i="16"/>
  <c r="B2163" i="16"/>
  <c r="B2162" i="16"/>
  <c r="B2161" i="16"/>
  <c r="B2160" i="16"/>
  <c r="B2159" i="16"/>
  <c r="B2158" i="16"/>
  <c r="B2157" i="16"/>
  <c r="B2156" i="16"/>
  <c r="B2155" i="16"/>
  <c r="B2154" i="16"/>
  <c r="B2153" i="16"/>
  <c r="B2152" i="16"/>
  <c r="B2151" i="16"/>
  <c r="B2150" i="16"/>
  <c r="B2149" i="16"/>
  <c r="B2148" i="16"/>
  <c r="B2147" i="16"/>
  <c r="B2146" i="16"/>
  <c r="B2145" i="16"/>
  <c r="B2144" i="16"/>
  <c r="B2143" i="16"/>
  <c r="B2142" i="16"/>
  <c r="B2141" i="16"/>
  <c r="B2140" i="16"/>
  <c r="E2139" i="16"/>
  <c r="B2139" i="16"/>
  <c r="B2138" i="16"/>
  <c r="B2137" i="16"/>
  <c r="E2136" i="16"/>
  <c r="B2136" i="16"/>
  <c r="B2135" i="16"/>
  <c r="B2134" i="16"/>
  <c r="B2133" i="16"/>
  <c r="B2132" i="16"/>
  <c r="B2131" i="16"/>
  <c r="B2130" i="16"/>
  <c r="B2128" i="16"/>
  <c r="B2127" i="16"/>
  <c r="B2126" i="16"/>
  <c r="B2125" i="16"/>
  <c r="B2124" i="16"/>
  <c r="B2123" i="16"/>
  <c r="B2122" i="16"/>
  <c r="B2121" i="16"/>
  <c r="B2120" i="16"/>
  <c r="B2119" i="16"/>
  <c r="B2118" i="16"/>
  <c r="B2117" i="16"/>
  <c r="B2116" i="16"/>
  <c r="B2115" i="16"/>
  <c r="B2114" i="16"/>
  <c r="B2113" i="16"/>
  <c r="B2112" i="16"/>
  <c r="B2111" i="16"/>
  <c r="B2110" i="16"/>
  <c r="B2109" i="16"/>
  <c r="B2108" i="16"/>
  <c r="B2107" i="16"/>
  <c r="B2106" i="16"/>
  <c r="B2105" i="16"/>
  <c r="B2104" i="16"/>
  <c r="B2103" i="16"/>
  <c r="B2102" i="16"/>
  <c r="B2101" i="16"/>
  <c r="B2100" i="16"/>
  <c r="B2099" i="16"/>
  <c r="B2098" i="16"/>
  <c r="F2097" i="16"/>
  <c r="B2097" i="16"/>
  <c r="B2096" i="16"/>
  <c r="B2095" i="16"/>
  <c r="B2094" i="16"/>
  <c r="B2093" i="16"/>
  <c r="B2092" i="16"/>
  <c r="B2091" i="16"/>
  <c r="B2090" i="16"/>
  <c r="B2089" i="16"/>
  <c r="B2088" i="16"/>
  <c r="B2087" i="16"/>
  <c r="B2086" i="16"/>
  <c r="B2085" i="16"/>
  <c r="B2084" i="16"/>
  <c r="B2083" i="16"/>
  <c r="B2082" i="16"/>
  <c r="B2081" i="16"/>
  <c r="B2080" i="16"/>
  <c r="B2079" i="16"/>
  <c r="B2078" i="16"/>
  <c r="B2077" i="16"/>
  <c r="B2076" i="16"/>
  <c r="B2075" i="16"/>
  <c r="B2074" i="16"/>
  <c r="B2073" i="16"/>
  <c r="E2072" i="16"/>
  <c r="B2072" i="16"/>
  <c r="F2071" i="16"/>
  <c r="B2071" i="16"/>
  <c r="B2070" i="16"/>
  <c r="B2069" i="16"/>
  <c r="B2068" i="16"/>
  <c r="B2067" i="16"/>
  <c r="B2066" i="16"/>
  <c r="B2065" i="16"/>
  <c r="B2064" i="16"/>
  <c r="B2063" i="16"/>
  <c r="B2062" i="16"/>
  <c r="B2060" i="16"/>
  <c r="B2059" i="16"/>
  <c r="B2058" i="16"/>
  <c r="B2057" i="16"/>
  <c r="B2056" i="16"/>
  <c r="B2055" i="16"/>
  <c r="B2054" i="16"/>
  <c r="B2053" i="16"/>
  <c r="B2052" i="16"/>
  <c r="B2051" i="16"/>
  <c r="B2050" i="16"/>
  <c r="B2049" i="16"/>
  <c r="B2048" i="16"/>
  <c r="B2047" i="16"/>
  <c r="B2046" i="16"/>
  <c r="B2045" i="16"/>
  <c r="B2044" i="16"/>
  <c r="B2043" i="16"/>
  <c r="B2042" i="16"/>
  <c r="B2041" i="16"/>
  <c r="B2040" i="16"/>
  <c r="B2039" i="16"/>
  <c r="B2038" i="16"/>
  <c r="B2037" i="16"/>
  <c r="B2036" i="16"/>
  <c r="F2035" i="16"/>
  <c r="B2035" i="16"/>
  <c r="B2034" i="16"/>
  <c r="B2033" i="16"/>
  <c r="B2032" i="16"/>
  <c r="B2031" i="16"/>
  <c r="B2030" i="16"/>
  <c r="B2029" i="16"/>
  <c r="B2028" i="16"/>
  <c r="B2027" i="16"/>
  <c r="B2026" i="16"/>
  <c r="B2025" i="16"/>
  <c r="B2024" i="16"/>
  <c r="B2023" i="16"/>
  <c r="B2022" i="16"/>
  <c r="B2021" i="16"/>
  <c r="B2020" i="16"/>
  <c r="B2019" i="16"/>
  <c r="B2018" i="16"/>
  <c r="B2017" i="16"/>
  <c r="B2016" i="16"/>
  <c r="B2015" i="16"/>
  <c r="B2014" i="16"/>
  <c r="B2013" i="16"/>
  <c r="B2012" i="16"/>
  <c r="B2011" i="16"/>
  <c r="B2010" i="16"/>
  <c r="B2009" i="16"/>
  <c r="E2008" i="16"/>
  <c r="B2008" i="16"/>
  <c r="B2007" i="16"/>
  <c r="F2006" i="16"/>
  <c r="B2006" i="16"/>
  <c r="B2005" i="16"/>
  <c r="B2004" i="16"/>
  <c r="B2003" i="16"/>
  <c r="B2002" i="16"/>
  <c r="B2001" i="16"/>
  <c r="B2000" i="16"/>
  <c r="B1999" i="16"/>
  <c r="B1998" i="16"/>
  <c r="B1997" i="16"/>
  <c r="B1996" i="16"/>
  <c r="B1994" i="16"/>
  <c r="B1993" i="16"/>
  <c r="B1992" i="16"/>
  <c r="B1991" i="16"/>
  <c r="B1990" i="16"/>
  <c r="B1989" i="16"/>
  <c r="B1988" i="16"/>
  <c r="B1987" i="16"/>
  <c r="B1986" i="16"/>
  <c r="B1985" i="16"/>
  <c r="B1984" i="16"/>
  <c r="B1983" i="16"/>
  <c r="B1982" i="16"/>
  <c r="B1981" i="16"/>
  <c r="B1980" i="16"/>
  <c r="B1979" i="16"/>
  <c r="B1978" i="16"/>
  <c r="B1977" i="16"/>
  <c r="B1976" i="16"/>
  <c r="B1975" i="16"/>
  <c r="B1974" i="16"/>
  <c r="B1973" i="16"/>
  <c r="B1972" i="16"/>
  <c r="B1971" i="16"/>
  <c r="B1970" i="16"/>
  <c r="B1969" i="16"/>
  <c r="B1968" i="16"/>
  <c r="B1967" i="16"/>
  <c r="B1966" i="16"/>
  <c r="B1965" i="16"/>
  <c r="B1964" i="16"/>
  <c r="B1963" i="16"/>
  <c r="B1962" i="16"/>
  <c r="B1961" i="16"/>
  <c r="E1960" i="16"/>
  <c r="B1960" i="16"/>
  <c r="B1959" i="16"/>
  <c r="B1958" i="16"/>
  <c r="B1957" i="16"/>
  <c r="B1956" i="16"/>
  <c r="B1955" i="16"/>
  <c r="B1954" i="16"/>
  <c r="B1953" i="16"/>
  <c r="F1952" i="16"/>
  <c r="B1952" i="16"/>
  <c r="B1951" i="16"/>
  <c r="B1950" i="16"/>
  <c r="B1949" i="16"/>
  <c r="B1948" i="16"/>
  <c r="B1947" i="16"/>
  <c r="B1946" i="16"/>
  <c r="B1945" i="16"/>
  <c r="B1944" i="16"/>
  <c r="B1943" i="16"/>
  <c r="B1942" i="16"/>
  <c r="B1941" i="16"/>
  <c r="B1940" i="16"/>
  <c r="B1939" i="16"/>
  <c r="B1938" i="16"/>
  <c r="B1937" i="16"/>
  <c r="F1936" i="16"/>
  <c r="B1936" i="16"/>
  <c r="B1935" i="16"/>
  <c r="B1934" i="16"/>
  <c r="E1933" i="16"/>
  <c r="E1934" i="16" s="1"/>
  <c r="B1933" i="16"/>
  <c r="B1932" i="16"/>
  <c r="B1931" i="16"/>
  <c r="B1930" i="16"/>
  <c r="B1929" i="16"/>
  <c r="B1928" i="16"/>
  <c r="B1927" i="16"/>
  <c r="E1926" i="16"/>
  <c r="B1926" i="16"/>
  <c r="F1925" i="16"/>
  <c r="B1925" i="16"/>
  <c r="B1924" i="16"/>
  <c r="B1923" i="16"/>
  <c r="B1922" i="16"/>
  <c r="B1921" i="16"/>
  <c r="B1920" i="16"/>
  <c r="B1919" i="16"/>
  <c r="B1918" i="16"/>
  <c r="B1917" i="16"/>
  <c r="E1916" i="16"/>
  <c r="B1916" i="16"/>
  <c r="B1915" i="16"/>
  <c r="B1914" i="16"/>
  <c r="B1913" i="16"/>
  <c r="B1912" i="16"/>
  <c r="B1911" i="16"/>
  <c r="B1910" i="16"/>
  <c r="B1909" i="16"/>
  <c r="B1908" i="16"/>
  <c r="B1907" i="16"/>
  <c r="B1906" i="16"/>
  <c r="B1905" i="16"/>
  <c r="B1904" i="16"/>
  <c r="B1903" i="16"/>
  <c r="B1902" i="16"/>
  <c r="B1901" i="16"/>
  <c r="B1898" i="16"/>
  <c r="B1897" i="16"/>
  <c r="B1896" i="16"/>
  <c r="B1899" i="16" s="1"/>
  <c r="B1900" i="16" s="1"/>
  <c r="B1894" i="16"/>
  <c r="B1893" i="16"/>
  <c r="B1892" i="16"/>
  <c r="B1891" i="16"/>
  <c r="B1890" i="16"/>
  <c r="B1889" i="16"/>
  <c r="B1888" i="16"/>
  <c r="B1887" i="16"/>
  <c r="B1886" i="16"/>
  <c r="B1885" i="16"/>
  <c r="B1884" i="16"/>
  <c r="B1883" i="16"/>
  <c r="B1882" i="16"/>
  <c r="B1881" i="16"/>
  <c r="B1880" i="16"/>
  <c r="B1879" i="16"/>
  <c r="B1878" i="16"/>
  <c r="B1877" i="16"/>
  <c r="B1876" i="16"/>
  <c r="B1875" i="16"/>
  <c r="B1874" i="16"/>
  <c r="F1873" i="16"/>
  <c r="B1873" i="16"/>
  <c r="B1872" i="16"/>
  <c r="B1871" i="16"/>
  <c r="B1870" i="16"/>
  <c r="B1869" i="16"/>
  <c r="B1868" i="16"/>
  <c r="B1867" i="16"/>
  <c r="B1866" i="16"/>
  <c r="B1865" i="16"/>
  <c r="B1864" i="16"/>
  <c r="B1863" i="16"/>
  <c r="B1862" i="16"/>
  <c r="B1861" i="16"/>
  <c r="F1860" i="16"/>
  <c r="B1860" i="16"/>
  <c r="B1859" i="16"/>
  <c r="F1858" i="16"/>
  <c r="B1858" i="16"/>
  <c r="B1857" i="16"/>
  <c r="B1856" i="16"/>
  <c r="B1855" i="16"/>
  <c r="B1854" i="16"/>
  <c r="B1853" i="16"/>
  <c r="B1852" i="16"/>
  <c r="B1851" i="16"/>
  <c r="B1850" i="16"/>
  <c r="B1849" i="16"/>
  <c r="B1848" i="16"/>
  <c r="B1847" i="16"/>
  <c r="B1846" i="16"/>
  <c r="F1845" i="16"/>
  <c r="B1845" i="16"/>
  <c r="B1844" i="16"/>
  <c r="B1843" i="16"/>
  <c r="B1842" i="16"/>
  <c r="B1841" i="16"/>
  <c r="E1840" i="16"/>
  <c r="B1840" i="16"/>
  <c r="B1839" i="16"/>
  <c r="B1837" i="16"/>
  <c r="B1836" i="16"/>
  <c r="B1835" i="16"/>
  <c r="B1834" i="16"/>
  <c r="B1833" i="16"/>
  <c r="B1832" i="16"/>
  <c r="B1831" i="16"/>
  <c r="B1830" i="16"/>
  <c r="B1829" i="16"/>
  <c r="B1828" i="16"/>
  <c r="B1827" i="16"/>
  <c r="B1826" i="16"/>
  <c r="B1825" i="16"/>
  <c r="B1824" i="16"/>
  <c r="B1823" i="16"/>
  <c r="B1822" i="16"/>
  <c r="B1821" i="16"/>
  <c r="B1820" i="16"/>
  <c r="F1819" i="16"/>
  <c r="B1819" i="16"/>
  <c r="B1818" i="16"/>
  <c r="B1817" i="16"/>
  <c r="B1816" i="16"/>
  <c r="B1815" i="16"/>
  <c r="B1814" i="16"/>
  <c r="B1813" i="16"/>
  <c r="B1812" i="16"/>
  <c r="B1811" i="16"/>
  <c r="E1810" i="16"/>
  <c r="E1811" i="16" s="1"/>
  <c r="B1810" i="16"/>
  <c r="B1809" i="16"/>
  <c r="B1808" i="16"/>
  <c r="B1807" i="16"/>
  <c r="B1806" i="16"/>
  <c r="B1805" i="16"/>
  <c r="E1804" i="16"/>
  <c r="B1804" i="16"/>
  <c r="B1803" i="16"/>
  <c r="B1802" i="16"/>
  <c r="B1801" i="16"/>
  <c r="B1800" i="16"/>
  <c r="F1799" i="16"/>
  <c r="B1799" i="16"/>
  <c r="B1798" i="16"/>
  <c r="B1797" i="16"/>
  <c r="B1796" i="16"/>
  <c r="B1795" i="16"/>
  <c r="F1794" i="16"/>
  <c r="B1794" i="16"/>
  <c r="B1793" i="16"/>
  <c r="B1792" i="16"/>
  <c r="B1791" i="16"/>
  <c r="B1790" i="16"/>
  <c r="B1789" i="16"/>
  <c r="B1788" i="16"/>
  <c r="B1787" i="16"/>
  <c r="F1786" i="16"/>
  <c r="B1786" i="16"/>
  <c r="B1785" i="16"/>
  <c r="B1784" i="16"/>
  <c r="B1783" i="16"/>
  <c r="B1782" i="16"/>
  <c r="B1781" i="16"/>
  <c r="E1780" i="16"/>
  <c r="B1780" i="16"/>
  <c r="B1779" i="16"/>
  <c r="B1778" i="16"/>
  <c r="B1776" i="16"/>
  <c r="B1775" i="16"/>
  <c r="B1774" i="16"/>
  <c r="B1773" i="16"/>
  <c r="B1772" i="16"/>
  <c r="B1769" i="16"/>
  <c r="B1768" i="16"/>
  <c r="B1765" i="16"/>
  <c r="B1764" i="16"/>
  <c r="B1766" i="16" s="1"/>
  <c r="B1763" i="16"/>
  <c r="B1761" i="16"/>
  <c r="B1760" i="16"/>
  <c r="B1759" i="16"/>
  <c r="B1758" i="16"/>
  <c r="B1757" i="16"/>
  <c r="B1756" i="16"/>
  <c r="B1754" i="16"/>
  <c r="B1752" i="16"/>
  <c r="B1750" i="16"/>
  <c r="B1748" i="16"/>
  <c r="B1746" i="16"/>
  <c r="B1744" i="16"/>
  <c r="B1742" i="16"/>
  <c r="B1741" i="16"/>
  <c r="B1740" i="16"/>
  <c r="B1739" i="16"/>
  <c r="B1738" i="16"/>
  <c r="B1736" i="16"/>
  <c r="B1735" i="16"/>
  <c r="B1734" i="16"/>
  <c r="B1733" i="16"/>
  <c r="B1732" i="16"/>
  <c r="B1731" i="16"/>
  <c r="B1730" i="16"/>
  <c r="B1729" i="16"/>
  <c r="B1728" i="16"/>
  <c r="B1727" i="16"/>
  <c r="B1726" i="16"/>
  <c r="B1725" i="16"/>
  <c r="B1724" i="16"/>
  <c r="B1723" i="16"/>
  <c r="B1722" i="16"/>
  <c r="B1721" i="16"/>
  <c r="B1720" i="16"/>
  <c r="B1719" i="16"/>
  <c r="B1718" i="16"/>
  <c r="B1716" i="16"/>
  <c r="B1715" i="16"/>
  <c r="B1714" i="16"/>
  <c r="B1713" i="16"/>
  <c r="B1712" i="16"/>
  <c r="B1711" i="16"/>
  <c r="B1709" i="16"/>
  <c r="B1708" i="16"/>
  <c r="B1707" i="16"/>
  <c r="B1706" i="16"/>
  <c r="B1705" i="16"/>
  <c r="B1704" i="16"/>
  <c r="B1703" i="16"/>
  <c r="B1702" i="16"/>
  <c r="B1701" i="16"/>
  <c r="B1700" i="16"/>
  <c r="B1699" i="16"/>
  <c r="B1697" i="16"/>
  <c r="B1696" i="16"/>
  <c r="B1694" i="16"/>
  <c r="B1693" i="16"/>
  <c r="B1692" i="16"/>
  <c r="B1690" i="16"/>
  <c r="B1689" i="16"/>
  <c r="B1688" i="16"/>
  <c r="B1687" i="16"/>
  <c r="B1686" i="16"/>
  <c r="B1684" i="16"/>
  <c r="B1683" i="16"/>
  <c r="B1682" i="16"/>
  <c r="B1681" i="16"/>
  <c r="B1680" i="16"/>
  <c r="B1679" i="16"/>
  <c r="B1678" i="16"/>
  <c r="B1676" i="16"/>
  <c r="B1675" i="16"/>
  <c r="B1674" i="16"/>
  <c r="B1673" i="16"/>
  <c r="B1671" i="16"/>
  <c r="B1670" i="16"/>
  <c r="B1669" i="16"/>
  <c r="B1668" i="16"/>
  <c r="B1667" i="16"/>
  <c r="B1666" i="16"/>
  <c r="B1665" i="16"/>
  <c r="B1664" i="16"/>
  <c r="B1663" i="16"/>
  <c r="B1662" i="16"/>
  <c r="B1661" i="16"/>
  <c r="B1660" i="16"/>
  <c r="B1658" i="16"/>
  <c r="B1657" i="16"/>
  <c r="B1656" i="16"/>
  <c r="B1655" i="16"/>
  <c r="B1654" i="16"/>
  <c r="B1653" i="16"/>
  <c r="B1652" i="16"/>
  <c r="B1651" i="16"/>
  <c r="B1650" i="16"/>
  <c r="B1649" i="16"/>
  <c r="B1648" i="16"/>
  <c r="B1647" i="16"/>
  <c r="B1645" i="16"/>
  <c r="B1644" i="16"/>
  <c r="B1643" i="16"/>
  <c r="B1642" i="16"/>
  <c r="B1641" i="16"/>
  <c r="B1640" i="16"/>
  <c r="B1639" i="16"/>
  <c r="B1638" i="16"/>
  <c r="B1637" i="16"/>
  <c r="B1635" i="16"/>
  <c r="B1634" i="16"/>
  <c r="B1633" i="16"/>
  <c r="B1632" i="16"/>
  <c r="B1631" i="16"/>
  <c r="B1630" i="16"/>
  <c r="B1629" i="16"/>
  <c r="B1628" i="16"/>
  <c r="B1627" i="16"/>
  <c r="B1626" i="16"/>
  <c r="B1625" i="16"/>
  <c r="B1624" i="16"/>
  <c r="B1623" i="16"/>
  <c r="B1622" i="16"/>
  <c r="B1621" i="16"/>
  <c r="B1620" i="16"/>
  <c r="B1619" i="16"/>
  <c r="B1618" i="16"/>
  <c r="B1617" i="16"/>
  <c r="B1616" i="16"/>
  <c r="B1615" i="16"/>
  <c r="B1614" i="16"/>
  <c r="B1613" i="16"/>
  <c r="B1612" i="16"/>
  <c r="B1611" i="16"/>
  <c r="B1610" i="16"/>
  <c r="B1609" i="16"/>
  <c r="B1608" i="16"/>
  <c r="B1607" i="16"/>
  <c r="B1606" i="16"/>
  <c r="B1605" i="16"/>
  <c r="B1604" i="16"/>
  <c r="B1603" i="16"/>
  <c r="B1602" i="16"/>
  <c r="B1601" i="16"/>
  <c r="B1600" i="16"/>
  <c r="B1598" i="16"/>
  <c r="B1597" i="16"/>
  <c r="B1596" i="16"/>
  <c r="B1595" i="16"/>
  <c r="B1594" i="16"/>
  <c r="B1593" i="16"/>
  <c r="B1592" i="16"/>
  <c r="B1591" i="16"/>
  <c r="B1590" i="16"/>
  <c r="B1589" i="16"/>
  <c r="B1588" i="16"/>
  <c r="B1586" i="16"/>
  <c r="B1585" i="16"/>
  <c r="B1584" i="16"/>
  <c r="B1583" i="16"/>
  <c r="B1582" i="16"/>
  <c r="B1581" i="16"/>
  <c r="B1579" i="16"/>
  <c r="B1578" i="16"/>
  <c r="B1577" i="16"/>
  <c r="B1576" i="16"/>
  <c r="B1575" i="16"/>
  <c r="B1574" i="16"/>
  <c r="B1573" i="16"/>
  <c r="B1571" i="16"/>
  <c r="B1570" i="16"/>
  <c r="B1569" i="16"/>
  <c r="B1568" i="16"/>
  <c r="B1567" i="16"/>
  <c r="B1565" i="16"/>
  <c r="B1564" i="16"/>
  <c r="B1563" i="16"/>
  <c r="B1562" i="16"/>
  <c r="B1561" i="16"/>
  <c r="B1560" i="16"/>
  <c r="B1558" i="16"/>
  <c r="B1557" i="16"/>
  <c r="B1556" i="16"/>
  <c r="B1555" i="16"/>
  <c r="B1554" i="16"/>
  <c r="B1553" i="16"/>
  <c r="B1552" i="16"/>
  <c r="B1550" i="16"/>
  <c r="B1549" i="16"/>
  <c r="B1548" i="16"/>
  <c r="B1547" i="16"/>
  <c r="B1546" i="16"/>
  <c r="B1545" i="16"/>
  <c r="B1544" i="16"/>
  <c r="B1543" i="16"/>
  <c r="B1542" i="16"/>
  <c r="B1541" i="16"/>
  <c r="B1540" i="16"/>
  <c r="B1539" i="16"/>
  <c r="B1538" i="16"/>
  <c r="B1537" i="16"/>
  <c r="B1536" i="16"/>
  <c r="B1534" i="16"/>
  <c r="B1533" i="16"/>
  <c r="B1532" i="16"/>
  <c r="B1531" i="16"/>
  <c r="B1530" i="16"/>
  <c r="B1529" i="16"/>
  <c r="B1528" i="16"/>
  <c r="B1527" i="16"/>
  <c r="B1526" i="16"/>
  <c r="B1525" i="16"/>
  <c r="B1524" i="16"/>
  <c r="B1523" i="16"/>
  <c r="B1522" i="16"/>
  <c r="B1521" i="16"/>
  <c r="B1520" i="16"/>
  <c r="B1519" i="16"/>
  <c r="B1518" i="16"/>
  <c r="B1517" i="16"/>
  <c r="B1516" i="16"/>
  <c r="B1515" i="16"/>
  <c r="B1514" i="16"/>
  <c r="B1513" i="16"/>
  <c r="B1512" i="16"/>
  <c r="B1511" i="16"/>
  <c r="B1510" i="16"/>
  <c r="B1509" i="16"/>
  <c r="B1508" i="16"/>
  <c r="B1507" i="16"/>
  <c r="B1506" i="16"/>
  <c r="B1505" i="16"/>
  <c r="B1504" i="16"/>
  <c r="B1503" i="16"/>
  <c r="B1502" i="16"/>
  <c r="B1501" i="16"/>
  <c r="B1500" i="16"/>
  <c r="B1498" i="16"/>
  <c r="B1497" i="16"/>
  <c r="B1496" i="16"/>
  <c r="B1495" i="16"/>
  <c r="B1494" i="16"/>
  <c r="B1493" i="16"/>
  <c r="B1492" i="16"/>
  <c r="B1491" i="16"/>
  <c r="B1490" i="16"/>
  <c r="B1489" i="16"/>
  <c r="B1488" i="16"/>
  <c r="B1487" i="16"/>
  <c r="B1486" i="16"/>
  <c r="B1485" i="16"/>
  <c r="B1484" i="16"/>
  <c r="B1483" i="16"/>
  <c r="B1482" i="16"/>
  <c r="B1481" i="16"/>
  <c r="B1480" i="16"/>
  <c r="B1479" i="16"/>
  <c r="B1478" i="16"/>
  <c r="B1477" i="16"/>
  <c r="B1476" i="16"/>
  <c r="B1475" i="16"/>
  <c r="B1474" i="16"/>
  <c r="E1473" i="16"/>
  <c r="E1474" i="16" s="1"/>
  <c r="B1473" i="16"/>
  <c r="B1472" i="16"/>
  <c r="B1471" i="16"/>
  <c r="B1470" i="16"/>
  <c r="B1469" i="16"/>
  <c r="B1468" i="16"/>
  <c r="B1467" i="16"/>
  <c r="B1466" i="16"/>
  <c r="B1465" i="16"/>
  <c r="B1464" i="16"/>
  <c r="B1463" i="16"/>
  <c r="B1462" i="16"/>
  <c r="B1461" i="16"/>
  <c r="B1460" i="16"/>
  <c r="B1459" i="16"/>
  <c r="B1458" i="16"/>
  <c r="B1457" i="16"/>
  <c r="B1456" i="16"/>
  <c r="B1455" i="16"/>
  <c r="B1454" i="16"/>
  <c r="B1453" i="16"/>
  <c r="B1452" i="16"/>
  <c r="B1451" i="16"/>
  <c r="B1450" i="16"/>
  <c r="B1449" i="16"/>
  <c r="B1448" i="16"/>
  <c r="B1447" i="16"/>
  <c r="B1446" i="16"/>
  <c r="B1445" i="16"/>
  <c r="B1444" i="16"/>
  <c r="B1443" i="16"/>
  <c r="B1442" i="16"/>
  <c r="B1441" i="16"/>
  <c r="B1439" i="16"/>
  <c r="B1438" i="16"/>
  <c r="B1437" i="16"/>
  <c r="B1436" i="16"/>
  <c r="B1435" i="16"/>
  <c r="B1433" i="16"/>
  <c r="B1432" i="16"/>
  <c r="B1431" i="16"/>
  <c r="B1430" i="16"/>
  <c r="B1429" i="16"/>
  <c r="B1428" i="16"/>
  <c r="B1426" i="16"/>
  <c r="B1425" i="16"/>
  <c r="B1422" i="16"/>
  <c r="B1421" i="16"/>
  <c r="B1419" i="16"/>
  <c r="B1418" i="16"/>
  <c r="B1417" i="16"/>
  <c r="B1416" i="16"/>
  <c r="B1415" i="16"/>
  <c r="B1413" i="16"/>
  <c r="B1412" i="16"/>
  <c r="B1411" i="16"/>
  <c r="B1410" i="16"/>
  <c r="B1408" i="16"/>
  <c r="B1407" i="16"/>
  <c r="B1406" i="16"/>
  <c r="B1405" i="16"/>
  <c r="B1404" i="16"/>
  <c r="B1403" i="16"/>
  <c r="B1402" i="16"/>
  <c r="B1400" i="16"/>
  <c r="B1398" i="16"/>
  <c r="B1397" i="16"/>
  <c r="B1395" i="16"/>
  <c r="B1394" i="16"/>
  <c r="B1393" i="16"/>
  <c r="B1392" i="16"/>
  <c r="B1391" i="16"/>
  <c r="B1390" i="16"/>
  <c r="B1389" i="16"/>
  <c r="B1388" i="16"/>
  <c r="B1387" i="16"/>
  <c r="B1385" i="16"/>
  <c r="B1384" i="16"/>
  <c r="B1383" i="16"/>
  <c r="B1382" i="16"/>
  <c r="B1381" i="16"/>
  <c r="B1380" i="16"/>
  <c r="B1379" i="16"/>
  <c r="B1378" i="16"/>
  <c r="B1377" i="16"/>
  <c r="B1376" i="16"/>
  <c r="B1375" i="16"/>
  <c r="B1374" i="16"/>
  <c r="B1373" i="16"/>
  <c r="B1372" i="16"/>
  <c r="B1371" i="16"/>
  <c r="B1370" i="16"/>
  <c r="B1369" i="16"/>
  <c r="B1368" i="16"/>
  <c r="B1367" i="16"/>
  <c r="B1366" i="16"/>
  <c r="B1365" i="16"/>
  <c r="B1364" i="16"/>
  <c r="B1363" i="16"/>
  <c r="B1362" i="16"/>
  <c r="B1361" i="16"/>
  <c r="B1360" i="16"/>
  <c r="B1359" i="16"/>
  <c r="B1358" i="16"/>
  <c r="B1357" i="16"/>
  <c r="B1356" i="16"/>
  <c r="B1355" i="16"/>
  <c r="B1354" i="16"/>
  <c r="B1353" i="16"/>
  <c r="B1352" i="16"/>
  <c r="B1351" i="16"/>
  <c r="B1350" i="16"/>
  <c r="B1349" i="16"/>
  <c r="B1348" i="16"/>
  <c r="B1346" i="16"/>
  <c r="B1345" i="16"/>
  <c r="B1344" i="16"/>
  <c r="B1343" i="16"/>
  <c r="B1342" i="16"/>
  <c r="B1341" i="16"/>
  <c r="B1340" i="16"/>
  <c r="B1339" i="16"/>
  <c r="B1338" i="16"/>
  <c r="B1337" i="16"/>
  <c r="B1336" i="16"/>
  <c r="B1335" i="16"/>
  <c r="E1334" i="16"/>
  <c r="B1334" i="16"/>
  <c r="B1333" i="16"/>
  <c r="B1332" i="16"/>
  <c r="B1331" i="16"/>
  <c r="B1330" i="16"/>
  <c r="B1329" i="16"/>
  <c r="B1328" i="16"/>
  <c r="B1327" i="16"/>
  <c r="B1326" i="16"/>
  <c r="B1325" i="16"/>
  <c r="B1324" i="16"/>
  <c r="B1323" i="16"/>
  <c r="B1322" i="16"/>
  <c r="B1321" i="16"/>
  <c r="B1320" i="16"/>
  <c r="B1319" i="16"/>
  <c r="B1318" i="16"/>
  <c r="B1317" i="16"/>
  <c r="B1316" i="16"/>
  <c r="B1315" i="16"/>
  <c r="B1314" i="16"/>
  <c r="B1313" i="16"/>
  <c r="B1311" i="16"/>
  <c r="B1310" i="16"/>
  <c r="B1309" i="16"/>
  <c r="B1307" i="16"/>
  <c r="B1306" i="16"/>
  <c r="B1305" i="16"/>
  <c r="B1304" i="16"/>
  <c r="B1302" i="16"/>
  <c r="B1301" i="16"/>
  <c r="B1300" i="16"/>
  <c r="B1299" i="16"/>
  <c r="B1298" i="16"/>
  <c r="B1297" i="16"/>
  <c r="B1296" i="16"/>
  <c r="B1295" i="16"/>
  <c r="B1294" i="16"/>
  <c r="B1293" i="16"/>
  <c r="B1292" i="16"/>
  <c r="B1291" i="16"/>
  <c r="B1290" i="16"/>
  <c r="B1289" i="16"/>
  <c r="B1288" i="16"/>
  <c r="B1287" i="16"/>
  <c r="B1286" i="16"/>
  <c r="B1285" i="16"/>
  <c r="B1283" i="16"/>
  <c r="B1282" i="16"/>
  <c r="B1281" i="16"/>
  <c r="B1280" i="16"/>
  <c r="B1279" i="16"/>
  <c r="B1278" i="16"/>
  <c r="B1277" i="16"/>
  <c r="B1276" i="16"/>
  <c r="B1274" i="16"/>
  <c r="B1273" i="16"/>
  <c r="B1272" i="16"/>
  <c r="B1271" i="16"/>
  <c r="B1270" i="16"/>
  <c r="B1269" i="16"/>
  <c r="B1268" i="16"/>
  <c r="B1267" i="16"/>
  <c r="B1266" i="16"/>
  <c r="B1265" i="16"/>
  <c r="B1264" i="16"/>
  <c r="B1263" i="16"/>
  <c r="B1262" i="16"/>
  <c r="B1261" i="16"/>
  <c r="B1260" i="16"/>
  <c r="B1259" i="16"/>
  <c r="B1258" i="16"/>
  <c r="B1257" i="16"/>
  <c r="B1256" i="16"/>
  <c r="B1255" i="16"/>
  <c r="B1254" i="16"/>
  <c r="B1253" i="16"/>
  <c r="B1252" i="16"/>
  <c r="B1251" i="16"/>
  <c r="B1250" i="16"/>
  <c r="B1249" i="16"/>
  <c r="B1248" i="16"/>
  <c r="B1247" i="16"/>
  <c r="B1246" i="16"/>
  <c r="B1245" i="16"/>
  <c r="B1244" i="16"/>
  <c r="B1243" i="16"/>
  <c r="B1242" i="16"/>
  <c r="E1241" i="16"/>
  <c r="B1241" i="16"/>
  <c r="B1240" i="16"/>
  <c r="B1239" i="16"/>
  <c r="B1238" i="16"/>
  <c r="B1237" i="16"/>
  <c r="B1236" i="16"/>
  <c r="B1235" i="16"/>
  <c r="B1234" i="16"/>
  <c r="E1233" i="16"/>
  <c r="B1233" i="16"/>
  <c r="B1232" i="16"/>
  <c r="B1231" i="16"/>
  <c r="B1230" i="16"/>
  <c r="B1229" i="16"/>
  <c r="B1227" i="16"/>
  <c r="B1226" i="16"/>
  <c r="B1225" i="16"/>
  <c r="B1224" i="16"/>
  <c r="B1223" i="16"/>
  <c r="B1222" i="16"/>
  <c r="B1221" i="16"/>
  <c r="B1220" i="16"/>
  <c r="B1219" i="16"/>
  <c r="B1218" i="16"/>
  <c r="B1217" i="16"/>
  <c r="E1216" i="16"/>
  <c r="B1216" i="16"/>
  <c r="B1215" i="16"/>
  <c r="B1214" i="16"/>
  <c r="B1213" i="16"/>
  <c r="B1212" i="16"/>
  <c r="B1211" i="16"/>
  <c r="B1210" i="16"/>
  <c r="B1209" i="16"/>
  <c r="B1208" i="16"/>
  <c r="B1207" i="16"/>
  <c r="B1206" i="16"/>
  <c r="B1205" i="16"/>
  <c r="B1204" i="16"/>
  <c r="B1203" i="16"/>
  <c r="B1202" i="16"/>
  <c r="B1201" i="16"/>
  <c r="B1200" i="16"/>
  <c r="B1199" i="16"/>
  <c r="B1198" i="16"/>
  <c r="B1197" i="16"/>
  <c r="B1196" i="16"/>
  <c r="B1195" i="16"/>
  <c r="B1194" i="16"/>
  <c r="B1193" i="16"/>
  <c r="B1192" i="16"/>
  <c r="B1191" i="16"/>
  <c r="B1190" i="16"/>
  <c r="B1189" i="16"/>
  <c r="B1188" i="16"/>
  <c r="B1187" i="16"/>
  <c r="B1186" i="16"/>
  <c r="B1185" i="16"/>
  <c r="B1184" i="16"/>
  <c r="B1183" i="16"/>
  <c r="B1182" i="16"/>
  <c r="B1181" i="16"/>
  <c r="B1180" i="16"/>
  <c r="B1179" i="16"/>
  <c r="B1178" i="16"/>
  <c r="B1177" i="16"/>
  <c r="B1176" i="16"/>
  <c r="B1175" i="16"/>
  <c r="B1174" i="16"/>
  <c r="B1173" i="16"/>
  <c r="B1172" i="16"/>
  <c r="B1171" i="16"/>
  <c r="B1170" i="16"/>
  <c r="B1169" i="16"/>
  <c r="B1168" i="16"/>
  <c r="B1167" i="16"/>
  <c r="B1166" i="16"/>
  <c r="B1165" i="16"/>
  <c r="B1164" i="16"/>
  <c r="B1163" i="16"/>
  <c r="B1162" i="16"/>
  <c r="B1161" i="16"/>
  <c r="B1160" i="16"/>
  <c r="B1159" i="16"/>
  <c r="B1158" i="16"/>
  <c r="B1157" i="16"/>
  <c r="B1156" i="16"/>
  <c r="B1155" i="16"/>
  <c r="B1154" i="16"/>
  <c r="B1152" i="16"/>
  <c r="B1151" i="16"/>
  <c r="B1150" i="16"/>
  <c r="B1149" i="16"/>
  <c r="B1148" i="16"/>
  <c r="B1147" i="16"/>
  <c r="B1146" i="16"/>
  <c r="B1145" i="16"/>
  <c r="B1144" i="16"/>
  <c r="B1143" i="16"/>
  <c r="B1142" i="16"/>
  <c r="B1141" i="16"/>
  <c r="B1140" i="16"/>
  <c r="B1139" i="16"/>
  <c r="B1138" i="16"/>
  <c r="B1137" i="16"/>
  <c r="B1136" i="16"/>
  <c r="B1135" i="16"/>
  <c r="B1134" i="16"/>
  <c r="B1133" i="16"/>
  <c r="B1132" i="16"/>
  <c r="B1131" i="16"/>
  <c r="B1130" i="16"/>
  <c r="B1129" i="16"/>
  <c r="B1128" i="16"/>
  <c r="B1127" i="16"/>
  <c r="B1126" i="16"/>
  <c r="B1125" i="16"/>
  <c r="B1124" i="16"/>
  <c r="B1123" i="16"/>
  <c r="B1122" i="16"/>
  <c r="B1121" i="16"/>
  <c r="B1120" i="16"/>
  <c r="B1119" i="16"/>
  <c r="B1118" i="16"/>
  <c r="B1117" i="16"/>
  <c r="B1116" i="16"/>
  <c r="B1115" i="16"/>
  <c r="B1114" i="16"/>
  <c r="B1113" i="16"/>
  <c r="B1112" i="16"/>
  <c r="B1111" i="16"/>
  <c r="B1110" i="16"/>
  <c r="B1109" i="16"/>
  <c r="B1108" i="16"/>
  <c r="B1107" i="16"/>
  <c r="B1106" i="16"/>
  <c r="B1105" i="16"/>
  <c r="B1104" i="16"/>
  <c r="B1103" i="16"/>
  <c r="B1102" i="16"/>
  <c r="B1101" i="16"/>
  <c r="B1100" i="16"/>
  <c r="B1099" i="16"/>
  <c r="B1098" i="16"/>
  <c r="B1097" i="16"/>
  <c r="B1096" i="16"/>
  <c r="B1095" i="16"/>
  <c r="B1093" i="16"/>
  <c r="B1092" i="16"/>
  <c r="B1091" i="16"/>
  <c r="B1090" i="16"/>
  <c r="B1089" i="16"/>
  <c r="B1088" i="16"/>
  <c r="B1087" i="16"/>
  <c r="B1086" i="16"/>
  <c r="B1085" i="16"/>
  <c r="B1084" i="16"/>
  <c r="B1083" i="16"/>
  <c r="B1082" i="16"/>
  <c r="B1081" i="16"/>
  <c r="B1080" i="16"/>
  <c r="B1079" i="16"/>
  <c r="B1078" i="16"/>
  <c r="B1077" i="16"/>
  <c r="B1076" i="16"/>
  <c r="B1075" i="16"/>
  <c r="B1074" i="16"/>
  <c r="B1073" i="16"/>
  <c r="B1072" i="16"/>
  <c r="B1071" i="16"/>
  <c r="B1070" i="16"/>
  <c r="B1069" i="16"/>
  <c r="B1068" i="16"/>
  <c r="B1067" i="16"/>
  <c r="B1066" i="16"/>
  <c r="B1065" i="16"/>
  <c r="B1064" i="16"/>
  <c r="E1063" i="16"/>
  <c r="B1063" i="16"/>
  <c r="B1062" i="16"/>
  <c r="B1061" i="16"/>
  <c r="B1060" i="16"/>
  <c r="B1059" i="16"/>
  <c r="B1058" i="16"/>
  <c r="B1057" i="16"/>
  <c r="B1056" i="16"/>
  <c r="B1055" i="16"/>
  <c r="B1054" i="16"/>
  <c r="B1053" i="16"/>
  <c r="B1052" i="16"/>
  <c r="B1051" i="16"/>
  <c r="B1050" i="16"/>
  <c r="B1049" i="16"/>
  <c r="B1048" i="16"/>
  <c r="B1047" i="16"/>
  <c r="B1046" i="16"/>
  <c r="B1045" i="16"/>
  <c r="B1044" i="16"/>
  <c r="B1043" i="16"/>
  <c r="B1042" i="16"/>
  <c r="B1041" i="16"/>
  <c r="B1040" i="16"/>
  <c r="B1039" i="16"/>
  <c r="B1038" i="16"/>
  <c r="B1037" i="16"/>
  <c r="B1036" i="16"/>
  <c r="B1035" i="16"/>
  <c r="B1034" i="16"/>
  <c r="B1033" i="16"/>
  <c r="B1032" i="16"/>
  <c r="B1031" i="16"/>
  <c r="B1030" i="16"/>
  <c r="B1029" i="16"/>
  <c r="B1028" i="16"/>
  <c r="B1026" i="16"/>
  <c r="B1025" i="16"/>
  <c r="B1024" i="16"/>
  <c r="B1023" i="16"/>
  <c r="B1022" i="16"/>
  <c r="B1021" i="16"/>
  <c r="B1020" i="16"/>
  <c r="B1019" i="16"/>
  <c r="B1018" i="16"/>
  <c r="B1017" i="16"/>
  <c r="B1016" i="16"/>
  <c r="B1015" i="16"/>
  <c r="B1014" i="16"/>
  <c r="B1013" i="16"/>
  <c r="B1012" i="16"/>
  <c r="B1011" i="16"/>
  <c r="B1010" i="16"/>
  <c r="B1009" i="16"/>
  <c r="B1008" i="16"/>
  <c r="B1007" i="16"/>
  <c r="B1006" i="16"/>
  <c r="B1005" i="16"/>
  <c r="B1004" i="16"/>
  <c r="B1003" i="16"/>
  <c r="B1002" i="16"/>
  <c r="B1001" i="16"/>
  <c r="B1000" i="16"/>
  <c r="B999" i="16"/>
  <c r="B998" i="16"/>
  <c r="B997" i="16"/>
  <c r="B996" i="16"/>
  <c r="B995" i="16"/>
  <c r="B994" i="16"/>
  <c r="C993" i="16"/>
  <c r="B993" i="16"/>
  <c r="B992" i="16"/>
  <c r="B991" i="16"/>
  <c r="B990" i="16"/>
  <c r="B989" i="16"/>
  <c r="B988" i="16"/>
  <c r="B987" i="16"/>
  <c r="B986" i="16"/>
  <c r="B985" i="16"/>
  <c r="B984" i="16"/>
  <c r="B983" i="16"/>
  <c r="B982" i="16"/>
  <c r="B981" i="16"/>
  <c r="B980" i="16"/>
  <c r="B979" i="16"/>
  <c r="B978" i="16"/>
  <c r="B977" i="16"/>
  <c r="B976" i="16"/>
  <c r="B975" i="16"/>
  <c r="E974" i="16"/>
  <c r="E975" i="16" s="1"/>
  <c r="B974" i="16"/>
  <c r="B973" i="16"/>
  <c r="B972" i="16"/>
  <c r="B971" i="16"/>
  <c r="B970" i="16"/>
  <c r="B969" i="16"/>
  <c r="B968" i="16"/>
  <c r="B967" i="16"/>
  <c r="B966" i="16"/>
  <c r="B965" i="16"/>
  <c r="B964" i="16"/>
  <c r="B963" i="16"/>
  <c r="B962" i="16"/>
  <c r="B961" i="16"/>
  <c r="B960" i="16"/>
  <c r="B959" i="16"/>
  <c r="B958" i="16"/>
  <c r="B957" i="16"/>
  <c r="B955" i="16"/>
  <c r="B954" i="16"/>
  <c r="B953" i="16"/>
  <c r="B952" i="16"/>
  <c r="B951" i="16"/>
  <c r="B950" i="16"/>
  <c r="B949" i="16"/>
  <c r="B948" i="16"/>
  <c r="B947" i="16"/>
  <c r="B946" i="16"/>
  <c r="B945" i="16"/>
  <c r="B944" i="16"/>
  <c r="B943" i="16"/>
  <c r="B942" i="16"/>
  <c r="B941" i="16"/>
  <c r="B940" i="16"/>
  <c r="B939" i="16"/>
  <c r="B938" i="16"/>
  <c r="B937" i="16"/>
  <c r="B936" i="16"/>
  <c r="B935" i="16"/>
  <c r="B934" i="16"/>
  <c r="B933" i="16"/>
  <c r="B932" i="16"/>
  <c r="B931" i="16"/>
  <c r="B930" i="16"/>
  <c r="B929" i="16"/>
  <c r="B928" i="16"/>
  <c r="B927" i="16"/>
  <c r="B926" i="16"/>
  <c r="B925" i="16"/>
  <c r="B924" i="16"/>
  <c r="B923" i="16"/>
  <c r="B922" i="16"/>
  <c r="B921" i="16"/>
  <c r="B920" i="16"/>
  <c r="B919" i="16"/>
  <c r="B918" i="16"/>
  <c r="E917" i="16"/>
  <c r="B917" i="16"/>
  <c r="B916" i="16"/>
  <c r="B915" i="16"/>
  <c r="B914" i="16"/>
  <c r="B913" i="16"/>
  <c r="B912" i="16"/>
  <c r="B911" i="16"/>
  <c r="B910" i="16"/>
  <c r="B909" i="16"/>
  <c r="B908" i="16"/>
  <c r="B907" i="16"/>
  <c r="B906" i="16"/>
  <c r="B905" i="16"/>
  <c r="B904" i="16"/>
  <c r="B903" i="16"/>
  <c r="B902" i="16"/>
  <c r="B901" i="16"/>
  <c r="B900" i="16"/>
  <c r="B899" i="16"/>
  <c r="B898" i="16"/>
  <c r="B897" i="16"/>
  <c r="B896" i="16"/>
  <c r="B895" i="16"/>
  <c r="B894" i="16"/>
  <c r="B893" i="16"/>
  <c r="B892" i="16"/>
  <c r="B891" i="16"/>
  <c r="B890" i="16"/>
  <c r="B889" i="16"/>
  <c r="B888" i="16"/>
  <c r="B887" i="16"/>
  <c r="B886" i="16"/>
  <c r="B885" i="16"/>
  <c r="B884" i="16"/>
  <c r="B883" i="16"/>
  <c r="B882" i="16"/>
  <c r="B881" i="16"/>
  <c r="B880" i="16"/>
  <c r="B879" i="16"/>
  <c r="B878" i="16"/>
  <c r="B877" i="16"/>
  <c r="B876" i="16"/>
  <c r="B875" i="16"/>
  <c r="B874" i="16"/>
  <c r="B873" i="16"/>
  <c r="B872" i="16"/>
  <c r="B870" i="16"/>
  <c r="B869" i="16"/>
  <c r="B868" i="16"/>
  <c r="B867" i="16"/>
  <c r="B866" i="16"/>
  <c r="B865" i="16"/>
  <c r="B864" i="16"/>
  <c r="B863" i="16"/>
  <c r="B862" i="16"/>
  <c r="B861" i="16"/>
  <c r="B860" i="16"/>
  <c r="B859" i="16"/>
  <c r="B858" i="16"/>
  <c r="B857" i="16"/>
  <c r="B856" i="16"/>
  <c r="B855" i="16"/>
  <c r="B854" i="16"/>
  <c r="B853" i="16"/>
  <c r="B852" i="16"/>
  <c r="B851" i="16"/>
  <c r="B850" i="16"/>
  <c r="B849" i="16"/>
  <c r="B848" i="16"/>
  <c r="B847" i="16"/>
  <c r="B846" i="16"/>
  <c r="B845" i="16"/>
  <c r="B844" i="16"/>
  <c r="B843" i="16"/>
  <c r="B842" i="16"/>
  <c r="E841" i="16"/>
  <c r="B841" i="16"/>
  <c r="B840" i="16"/>
  <c r="B839" i="16"/>
  <c r="B838" i="16"/>
  <c r="B837" i="16"/>
  <c r="B836" i="16"/>
  <c r="B835" i="16"/>
  <c r="B834" i="16"/>
  <c r="B833" i="16"/>
  <c r="B832" i="16"/>
  <c r="B831" i="16"/>
  <c r="B830" i="16"/>
  <c r="B829" i="16"/>
  <c r="B828" i="16"/>
  <c r="B827" i="16"/>
  <c r="B826" i="16"/>
  <c r="B825" i="16"/>
  <c r="B824" i="16"/>
  <c r="B823" i="16"/>
  <c r="B822" i="16"/>
  <c r="B821" i="16"/>
  <c r="B820" i="16"/>
  <c r="B819" i="16"/>
  <c r="B818" i="16"/>
  <c r="B817" i="16"/>
  <c r="B816" i="16"/>
  <c r="B815" i="16"/>
  <c r="B814" i="16"/>
  <c r="B813" i="16"/>
  <c r="B812" i="16"/>
  <c r="B811" i="16"/>
  <c r="B810" i="16"/>
  <c r="B809" i="16"/>
  <c r="B808" i="16"/>
  <c r="B807" i="16"/>
  <c r="B806" i="16"/>
  <c r="E804" i="16"/>
  <c r="B804" i="16"/>
  <c r="E803" i="16"/>
  <c r="B803" i="16"/>
  <c r="B802" i="16"/>
  <c r="B801" i="16"/>
  <c r="B800" i="16"/>
  <c r="B799" i="16"/>
  <c r="B798" i="16"/>
  <c r="B797" i="16"/>
  <c r="B796" i="16"/>
  <c r="B795" i="16"/>
  <c r="E794" i="16"/>
  <c r="E795" i="16" s="1"/>
  <c r="B794" i="16"/>
  <c r="B793" i="16"/>
  <c r="B792" i="16"/>
  <c r="B791" i="16"/>
  <c r="B790" i="16"/>
  <c r="B789" i="16"/>
  <c r="B788" i="16"/>
  <c r="B787" i="16"/>
  <c r="B786" i="16"/>
  <c r="B785" i="16"/>
  <c r="B784" i="16"/>
  <c r="B783" i="16"/>
  <c r="B782" i="16"/>
  <c r="B781" i="16"/>
  <c r="B780" i="16"/>
  <c r="B779" i="16"/>
  <c r="B778" i="16"/>
  <c r="B777" i="16"/>
  <c r="B776" i="16"/>
  <c r="B775" i="16"/>
  <c r="B774" i="16"/>
  <c r="B773" i="16"/>
  <c r="B772" i="16"/>
  <c r="B771" i="16"/>
  <c r="B770" i="16"/>
  <c r="B769" i="16"/>
  <c r="B768" i="16"/>
  <c r="B767" i="16"/>
  <c r="B766" i="16"/>
  <c r="B765" i="16"/>
  <c r="B764" i="16"/>
  <c r="B763" i="16"/>
  <c r="B762" i="16"/>
  <c r="B761" i="16"/>
  <c r="B760" i="16"/>
  <c r="B759" i="16"/>
  <c r="B758" i="16"/>
  <c r="B757" i="16"/>
  <c r="B756" i="16"/>
  <c r="B755" i="16"/>
  <c r="B754" i="16"/>
  <c r="B753" i="16"/>
  <c r="B752" i="16"/>
  <c r="E751" i="16"/>
  <c r="E752" i="16" s="1"/>
  <c r="B751" i="16"/>
  <c r="B750" i="16"/>
  <c r="B749" i="16"/>
  <c r="B748" i="16"/>
  <c r="B747" i="16"/>
  <c r="B746" i="16"/>
  <c r="B745" i="16"/>
  <c r="B744" i="16"/>
  <c r="B743" i="16"/>
  <c r="B742" i="16"/>
  <c r="B741" i="16"/>
  <c r="B740" i="16"/>
  <c r="E739" i="16"/>
  <c r="B739" i="16"/>
  <c r="B738" i="16"/>
  <c r="B737" i="16"/>
  <c r="B736" i="16"/>
  <c r="B735" i="16"/>
  <c r="B734" i="16"/>
  <c r="B733" i="16"/>
  <c r="B732" i="16"/>
  <c r="B731" i="16"/>
  <c r="B730" i="16"/>
  <c r="B729" i="16"/>
  <c r="B728" i="16"/>
  <c r="B727" i="16"/>
  <c r="B726" i="16"/>
  <c r="B725" i="16"/>
  <c r="B724" i="16"/>
  <c r="B722" i="16"/>
  <c r="B721" i="16"/>
  <c r="B720" i="16"/>
  <c r="B719" i="16"/>
  <c r="B718" i="16"/>
  <c r="B717" i="16"/>
  <c r="B716" i="16"/>
  <c r="B715" i="16"/>
  <c r="B714" i="16"/>
  <c r="B713" i="16"/>
  <c r="B712" i="16"/>
  <c r="B711" i="16"/>
  <c r="B710" i="16"/>
  <c r="B709" i="16"/>
  <c r="B708" i="16"/>
  <c r="B707" i="16"/>
  <c r="B706" i="16"/>
  <c r="B705" i="16"/>
  <c r="B704" i="16"/>
  <c r="B703" i="16"/>
  <c r="B702" i="16"/>
  <c r="B701" i="16"/>
  <c r="B700" i="16"/>
  <c r="B699" i="16"/>
  <c r="B698" i="16"/>
  <c r="B697" i="16"/>
  <c r="B696" i="16"/>
  <c r="B695" i="16"/>
  <c r="B694" i="16"/>
  <c r="B693" i="16"/>
  <c r="B692" i="16"/>
  <c r="B691" i="16"/>
  <c r="B690" i="16"/>
  <c r="B689" i="16"/>
  <c r="B688" i="16"/>
  <c r="B687" i="16"/>
  <c r="B686" i="16"/>
  <c r="E685" i="16"/>
  <c r="B685" i="16"/>
  <c r="B684" i="16"/>
  <c r="B683" i="16"/>
  <c r="B682" i="16"/>
  <c r="B681" i="16"/>
  <c r="B680" i="16"/>
  <c r="B679" i="16"/>
  <c r="B678" i="16"/>
  <c r="B677" i="16"/>
  <c r="B675" i="16"/>
  <c r="B674" i="16"/>
  <c r="B673" i="16"/>
  <c r="B672" i="16"/>
  <c r="E671" i="16"/>
  <c r="B671" i="16"/>
  <c r="E670" i="16"/>
  <c r="B670" i="16"/>
  <c r="B669" i="16"/>
  <c r="B668" i="16"/>
  <c r="B667" i="16"/>
  <c r="B666" i="16"/>
  <c r="B665" i="16"/>
  <c r="B664" i="16"/>
  <c r="B663" i="16"/>
  <c r="B662" i="16"/>
  <c r="B661" i="16"/>
  <c r="B660" i="16"/>
  <c r="B659" i="16"/>
  <c r="B658" i="16"/>
  <c r="B657" i="16"/>
  <c r="B656" i="16"/>
  <c r="B655" i="16"/>
  <c r="B654" i="16"/>
  <c r="B653" i="16"/>
  <c r="B652" i="16"/>
  <c r="B651" i="16"/>
  <c r="B650" i="16"/>
  <c r="B649" i="16"/>
  <c r="B648" i="16"/>
  <c r="B647" i="16"/>
  <c r="E646" i="16"/>
  <c r="B646" i="16"/>
  <c r="E645" i="16"/>
  <c r="B645" i="16"/>
  <c r="B644" i="16"/>
  <c r="B643" i="16"/>
  <c r="B642" i="16"/>
  <c r="B641" i="16"/>
  <c r="B640" i="16"/>
  <c r="B639" i="16"/>
  <c r="B638" i="16"/>
  <c r="B637" i="16"/>
  <c r="B636" i="16"/>
  <c r="B635" i="16"/>
  <c r="B634" i="16"/>
  <c r="B633" i="16"/>
  <c r="B631" i="16"/>
  <c r="B630" i="16"/>
  <c r="B629" i="16"/>
  <c r="B628" i="16"/>
  <c r="B627" i="16"/>
  <c r="B626" i="16"/>
  <c r="B625" i="16"/>
  <c r="B624" i="16"/>
  <c r="B623" i="16"/>
  <c r="B622" i="16"/>
  <c r="B621" i="16"/>
  <c r="B620" i="16"/>
  <c r="B619" i="16"/>
  <c r="B618" i="16"/>
  <c r="B617" i="16"/>
  <c r="B616" i="16"/>
  <c r="B615" i="16"/>
  <c r="B614" i="16"/>
  <c r="B613" i="16"/>
  <c r="B612" i="16"/>
  <c r="B611" i="16"/>
  <c r="B610" i="16"/>
  <c r="B609" i="16"/>
  <c r="B608" i="16"/>
  <c r="B607" i="16"/>
  <c r="B606" i="16"/>
  <c r="B605" i="16"/>
  <c r="B604" i="16"/>
  <c r="B603" i="16"/>
  <c r="B602" i="16"/>
  <c r="B601" i="16"/>
  <c r="B600" i="16"/>
  <c r="B599" i="16"/>
  <c r="B598" i="16"/>
  <c r="B597" i="16"/>
  <c r="B596" i="16"/>
  <c r="B594" i="16"/>
  <c r="B593" i="16"/>
  <c r="B592" i="16"/>
  <c r="B591" i="16"/>
  <c r="B590" i="16"/>
  <c r="B589" i="16"/>
  <c r="B588" i="16"/>
  <c r="B587" i="16"/>
  <c r="B586" i="16"/>
  <c r="B585" i="16"/>
  <c r="B584" i="16"/>
  <c r="B583" i="16"/>
  <c r="B582" i="16"/>
  <c r="B581" i="16"/>
  <c r="B580" i="16"/>
  <c r="B579" i="16"/>
  <c r="B578" i="16"/>
  <c r="B577" i="16"/>
  <c r="B576" i="16"/>
  <c r="B575" i="16"/>
  <c r="B574" i="16"/>
  <c r="B573" i="16"/>
  <c r="B571" i="16"/>
  <c r="B570" i="16"/>
  <c r="B569" i="16"/>
  <c r="B568" i="16"/>
  <c r="B567" i="16"/>
  <c r="E566" i="16"/>
  <c r="E567" i="16" s="1"/>
  <c r="B566" i="16"/>
  <c r="B565" i="16"/>
  <c r="B564" i="16"/>
  <c r="B563" i="16"/>
  <c r="B562" i="16"/>
  <c r="B561" i="16"/>
  <c r="B560" i="16"/>
  <c r="B559" i="16"/>
  <c r="B558" i="16"/>
  <c r="B557" i="16"/>
  <c r="B556" i="16"/>
  <c r="B555" i="16"/>
  <c r="B554" i="16"/>
  <c r="B553" i="16"/>
  <c r="B552" i="16"/>
  <c r="B551" i="16"/>
  <c r="B550" i="16"/>
  <c r="B549" i="16"/>
  <c r="B548" i="16"/>
  <c r="B547" i="16"/>
  <c r="B546" i="16"/>
  <c r="B545" i="16"/>
  <c r="B543" i="16"/>
  <c r="B542" i="16"/>
  <c r="B541" i="16"/>
  <c r="B540" i="16"/>
  <c r="B539" i="16"/>
  <c r="B538" i="16"/>
  <c r="B537" i="16"/>
  <c r="B536" i="16"/>
  <c r="B535" i="16"/>
  <c r="B534" i="16"/>
  <c r="B533" i="16"/>
  <c r="B532" i="16"/>
  <c r="B531" i="16"/>
  <c r="B530" i="16"/>
  <c r="B529" i="16"/>
  <c r="B528" i="16"/>
  <c r="B527" i="16"/>
  <c r="B526" i="16"/>
  <c r="B525" i="16"/>
  <c r="B572" i="16" s="1"/>
  <c r="B524" i="16"/>
  <c r="B523" i="16"/>
  <c r="B522" i="16"/>
  <c r="B521" i="16"/>
  <c r="B520" i="16"/>
  <c r="B519" i="16"/>
  <c r="B518" i="16"/>
  <c r="B517" i="16"/>
  <c r="B516" i="16"/>
  <c r="B515" i="16"/>
  <c r="B514" i="16"/>
  <c r="B513" i="16"/>
  <c r="B512" i="16"/>
  <c r="B511" i="16"/>
  <c r="B510" i="16"/>
  <c r="B509" i="16"/>
  <c r="B508" i="16"/>
  <c r="B507" i="16"/>
  <c r="B506" i="16"/>
  <c r="B505" i="16"/>
  <c r="B504" i="16"/>
  <c r="B503" i="16"/>
  <c r="B502" i="16"/>
  <c r="E501" i="16"/>
  <c r="B501" i="16"/>
  <c r="E500" i="16"/>
  <c r="B500" i="16"/>
  <c r="B499" i="16"/>
  <c r="B498" i="16"/>
  <c r="B497" i="16"/>
  <c r="B496" i="16"/>
  <c r="B495" i="16"/>
  <c r="B494" i="16"/>
  <c r="B493" i="16"/>
  <c r="B492" i="16"/>
  <c r="B491" i="16"/>
  <c r="B490" i="16"/>
  <c r="B489" i="16"/>
  <c r="B488" i="16"/>
  <c r="B487" i="16"/>
  <c r="B486" i="16"/>
  <c r="B485" i="16"/>
  <c r="B484" i="16"/>
  <c r="B483" i="16"/>
  <c r="B481" i="16"/>
  <c r="E480" i="16"/>
  <c r="B480" i="16"/>
  <c r="B479" i="16"/>
  <c r="B478" i="16"/>
  <c r="B477" i="16"/>
  <c r="B476" i="16"/>
  <c r="B475" i="16"/>
  <c r="B474" i="16"/>
  <c r="E473" i="16"/>
  <c r="B473" i="16"/>
  <c r="B472" i="16"/>
  <c r="B471" i="16"/>
  <c r="B470" i="16"/>
  <c r="B469" i="16"/>
  <c r="B468" i="16"/>
  <c r="B467" i="16"/>
  <c r="B466" i="16"/>
  <c r="B465" i="16"/>
  <c r="B464" i="16"/>
  <c r="B463" i="16"/>
  <c r="B462" i="16"/>
  <c r="B461" i="16"/>
  <c r="B460" i="16"/>
  <c r="B459" i="16"/>
  <c r="B458" i="16"/>
  <c r="B457" i="16"/>
  <c r="B456" i="16"/>
  <c r="B455" i="16"/>
  <c r="B454" i="16"/>
  <c r="B453" i="16"/>
  <c r="E452" i="16"/>
  <c r="E453" i="16" s="1"/>
  <c r="B452" i="16"/>
  <c r="B451" i="16"/>
  <c r="B450" i="16"/>
  <c r="B449" i="16"/>
  <c r="B448" i="16"/>
  <c r="B447" i="16"/>
  <c r="B446" i="16"/>
  <c r="B445" i="16"/>
  <c r="B444" i="16"/>
  <c r="B443" i="16"/>
  <c r="B442" i="16"/>
  <c r="B441" i="16"/>
  <c r="B440" i="16"/>
  <c r="B439" i="16"/>
  <c r="B438" i="16"/>
  <c r="E437" i="16"/>
  <c r="B437" i="16"/>
  <c r="B436" i="16"/>
  <c r="B435" i="16"/>
  <c r="B434" i="16"/>
  <c r="B433" i="16"/>
  <c r="B432" i="16"/>
  <c r="B431" i="16"/>
  <c r="B430" i="16"/>
  <c r="B429" i="16"/>
  <c r="B428" i="16"/>
  <c r="B427" i="16"/>
  <c r="B426" i="16"/>
  <c r="B425" i="16"/>
  <c r="B424" i="16"/>
  <c r="B423" i="16"/>
  <c r="B422" i="16"/>
  <c r="B421" i="16"/>
  <c r="B420" i="16"/>
  <c r="B419" i="16"/>
  <c r="B418" i="16"/>
  <c r="B417" i="16"/>
  <c r="B416" i="16"/>
  <c r="E415" i="16"/>
  <c r="B415" i="16"/>
  <c r="B414" i="16"/>
  <c r="B413" i="16"/>
  <c r="B412" i="16"/>
  <c r="B411" i="16"/>
  <c r="B410" i="16"/>
  <c r="B409" i="16"/>
  <c r="B408" i="16"/>
  <c r="B407" i="16"/>
  <c r="B406" i="16"/>
  <c r="B405" i="16"/>
  <c r="B404" i="16"/>
  <c r="B403" i="16"/>
  <c r="B402" i="16"/>
  <c r="B401" i="16"/>
  <c r="B400" i="16"/>
  <c r="B399" i="16"/>
  <c r="B398" i="16"/>
  <c r="B397" i="16"/>
  <c r="B396" i="16"/>
  <c r="B395" i="16"/>
  <c r="B394" i="16"/>
  <c r="B392" i="16"/>
  <c r="B391" i="16"/>
  <c r="B390" i="16"/>
  <c r="B389" i="16"/>
  <c r="B388" i="16"/>
  <c r="B387" i="16"/>
  <c r="B386" i="16"/>
  <c r="B385" i="16"/>
  <c r="B384" i="16"/>
  <c r="B383" i="16"/>
  <c r="B382" i="16"/>
  <c r="B381" i="16"/>
  <c r="B380" i="16"/>
  <c r="B379" i="16"/>
  <c r="B378" i="16"/>
  <c r="B377" i="16"/>
  <c r="B376" i="16"/>
  <c r="B375" i="16"/>
  <c r="B374" i="16"/>
  <c r="B373" i="16"/>
  <c r="B372" i="16"/>
  <c r="B371" i="16"/>
  <c r="B370" i="16"/>
  <c r="B369" i="16"/>
  <c r="B368" i="16"/>
  <c r="B367" i="16"/>
  <c r="B366" i="16"/>
  <c r="B365" i="16"/>
  <c r="B364" i="16"/>
  <c r="B363" i="16"/>
  <c r="B362" i="16"/>
  <c r="B361" i="16"/>
  <c r="B359" i="16"/>
  <c r="B358" i="16"/>
  <c r="B357" i="16"/>
  <c r="B356" i="16"/>
  <c r="B355" i="16"/>
  <c r="B354" i="16"/>
  <c r="B353" i="16"/>
  <c r="B352" i="16"/>
  <c r="B351" i="16"/>
  <c r="B350" i="16"/>
  <c r="B349" i="16"/>
  <c r="B360" i="16" s="1"/>
  <c r="B348" i="16"/>
  <c r="B347" i="16"/>
  <c r="B346" i="16"/>
  <c r="B345" i="16"/>
  <c r="B344" i="16"/>
  <c r="B343" i="16"/>
  <c r="B342" i="16"/>
  <c r="B341" i="16"/>
  <c r="B340" i="16"/>
  <c r="B339" i="16"/>
  <c r="B338" i="16"/>
  <c r="B337" i="16"/>
  <c r="B336" i="16"/>
  <c r="B334" i="16"/>
  <c r="B333" i="16"/>
  <c r="B332" i="16"/>
  <c r="B330" i="16"/>
  <c r="B329" i="16"/>
  <c r="B328" i="16"/>
  <c r="B327" i="16"/>
  <c r="B326" i="16"/>
  <c r="B325" i="16"/>
  <c r="B324" i="16"/>
  <c r="B323" i="16"/>
  <c r="B322" i="16"/>
  <c r="B321" i="16"/>
  <c r="B320" i="16"/>
  <c r="B319" i="16"/>
  <c r="B318" i="16"/>
  <c r="B317" i="16"/>
  <c r="B316" i="16"/>
  <c r="B315" i="16"/>
  <c r="B314" i="16"/>
  <c r="B313" i="16"/>
  <c r="B312" i="16"/>
  <c r="B311" i="16"/>
  <c r="B310" i="16"/>
  <c r="B309" i="16"/>
  <c r="B308" i="16"/>
  <c r="B307" i="16"/>
  <c r="B306" i="16"/>
  <c r="B305" i="16"/>
  <c r="B304" i="16"/>
  <c r="B303" i="16"/>
  <c r="B302" i="16"/>
  <c r="B301" i="16"/>
  <c r="B300" i="16"/>
  <c r="B299" i="16"/>
  <c r="B298" i="16"/>
  <c r="B297" i="16"/>
  <c r="B296" i="16"/>
  <c r="B295" i="16"/>
  <c r="B294" i="16"/>
  <c r="B293" i="16"/>
  <c r="B292" i="16"/>
  <c r="B291" i="16"/>
  <c r="B290" i="16"/>
  <c r="B289" i="16"/>
  <c r="B288" i="16"/>
  <c r="B287" i="16"/>
  <c r="B286" i="16"/>
  <c r="B285" i="16"/>
  <c r="B284" i="16"/>
  <c r="B283" i="16"/>
  <c r="B282" i="16"/>
  <c r="B281" i="16"/>
  <c r="B280" i="16"/>
  <c r="B279" i="16"/>
  <c r="B278" i="16"/>
  <c r="B277" i="16"/>
  <c r="B276" i="16"/>
  <c r="B275" i="16"/>
  <c r="B274" i="16"/>
  <c r="B273" i="16"/>
  <c r="B272" i="16"/>
  <c r="B271" i="16"/>
  <c r="B270" i="16"/>
  <c r="B267" i="16"/>
  <c r="B266" i="16"/>
  <c r="B265" i="16"/>
  <c r="B264" i="16"/>
  <c r="B263" i="16"/>
  <c r="B262" i="16"/>
  <c r="B261" i="16"/>
  <c r="B260" i="16"/>
  <c r="B259" i="16"/>
  <c r="B258" i="16"/>
  <c r="B257" i="16"/>
  <c r="B256" i="16"/>
  <c r="B255" i="16"/>
  <c r="B254" i="16"/>
  <c r="B253" i="16"/>
  <c r="B252" i="16"/>
  <c r="B251" i="16"/>
  <c r="B250" i="16"/>
  <c r="B249" i="16"/>
  <c r="B248" i="16"/>
  <c r="B247" i="16"/>
  <c r="B246" i="16"/>
  <c r="B245" i="16"/>
  <c r="B244" i="16"/>
  <c r="B243" i="16"/>
  <c r="B242" i="16"/>
  <c r="B241" i="16"/>
  <c r="B240" i="16"/>
  <c r="B239" i="16"/>
  <c r="B238" i="16"/>
  <c r="B237" i="16"/>
  <c r="B236" i="16"/>
  <c r="B235" i="16"/>
  <c r="B234" i="16"/>
  <c r="B233" i="16"/>
  <c r="B232" i="16"/>
  <c r="B231" i="16"/>
  <c r="B230" i="16"/>
  <c r="B229" i="16"/>
  <c r="B228" i="16"/>
  <c r="B227" i="16"/>
  <c r="B226" i="16"/>
  <c r="B225" i="16"/>
  <c r="B224" i="16"/>
  <c r="B223" i="16"/>
  <c r="B222" i="16"/>
  <c r="B221" i="16"/>
  <c r="B220" i="16"/>
  <c r="B219" i="16"/>
  <c r="B218" i="16"/>
  <c r="B217" i="16"/>
  <c r="B216" i="16"/>
  <c r="B215" i="16"/>
  <c r="B214" i="16"/>
  <c r="B213" i="16"/>
  <c r="B212" i="16"/>
  <c r="B211" i="16"/>
  <c r="B210" i="16"/>
  <c r="B209" i="16"/>
  <c r="B208" i="16"/>
  <c r="B207" i="16"/>
  <c r="B206" i="16"/>
  <c r="B205" i="16"/>
  <c r="B204" i="16"/>
  <c r="B202" i="16"/>
  <c r="B201" i="16"/>
  <c r="B200" i="16"/>
  <c r="B199" i="16"/>
  <c r="B198" i="16"/>
  <c r="B197" i="16"/>
  <c r="B196" i="16"/>
  <c r="B195" i="16"/>
  <c r="B194" i="16"/>
  <c r="B193" i="16"/>
  <c r="B192" i="16"/>
  <c r="B191" i="16"/>
  <c r="B190" i="16"/>
  <c r="B189" i="16"/>
  <c r="B188" i="16"/>
  <c r="B187" i="16"/>
  <c r="B186" i="16"/>
  <c r="B185" i="16"/>
  <c r="B184" i="16"/>
  <c r="B183" i="16"/>
  <c r="B182" i="16"/>
  <c r="B181" i="16"/>
  <c r="B180" i="16"/>
  <c r="B179" i="16"/>
  <c r="B178" i="16"/>
  <c r="B177" i="16"/>
  <c r="B176" i="16"/>
  <c r="B174" i="16"/>
  <c r="B173" i="16"/>
  <c r="B172" i="16"/>
  <c r="B171" i="16"/>
  <c r="B170" i="16"/>
  <c r="B169" i="16"/>
  <c r="B168" i="16"/>
  <c r="B167" i="16"/>
  <c r="B166" i="16"/>
  <c r="B165" i="16"/>
  <c r="B164" i="16"/>
  <c r="B163" i="16"/>
  <c r="B162" i="16"/>
  <c r="B161" i="16"/>
  <c r="B160" i="16"/>
  <c r="B159" i="16"/>
  <c r="B158" i="16"/>
  <c r="B157" i="16"/>
  <c r="B156" i="16"/>
  <c r="B155" i="16"/>
  <c r="B154" i="16"/>
  <c r="B153" i="16"/>
  <c r="B152" i="16"/>
  <c r="B151" i="16"/>
  <c r="B150" i="16"/>
  <c r="B149" i="16"/>
  <c r="B148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9" i="16"/>
  <c r="B8" i="16"/>
  <c r="B7" i="16"/>
  <c r="B6" i="16"/>
  <c r="B5" i="16"/>
  <c r="B4" i="16"/>
  <c r="B3" i="16"/>
  <c r="E4132" i="11"/>
  <c r="E4129" i="11"/>
  <c r="C25" i="8"/>
  <c r="D4129" i="11"/>
  <c r="B25" i="8"/>
  <c r="B4113" i="11"/>
  <c r="C4112" i="11"/>
  <c r="B4111" i="11"/>
  <c r="B4110" i="11"/>
  <c r="B4109" i="11"/>
  <c r="B4108" i="11"/>
  <c r="B4107" i="11"/>
  <c r="B4106" i="11"/>
  <c r="B4105" i="11"/>
  <c r="B4104" i="11"/>
  <c r="B4103" i="11"/>
  <c r="B4102" i="11"/>
  <c r="B4112" i="11"/>
  <c r="B4101" i="11"/>
  <c r="B4100" i="11"/>
  <c r="B4098" i="11"/>
  <c r="B4099" i="11"/>
  <c r="B4097" i="11"/>
  <c r="B4096" i="11"/>
  <c r="B4095" i="11"/>
  <c r="B4094" i="11"/>
  <c r="B4093" i="11"/>
  <c r="B4092" i="11"/>
  <c r="B4091" i="11"/>
  <c r="B4090" i="11"/>
  <c r="B4089" i="11"/>
  <c r="B4088" i="11"/>
  <c r="B4087" i="11"/>
  <c r="B4086" i="11"/>
  <c r="B4085" i="11"/>
  <c r="B4084" i="11"/>
  <c r="B4083" i="11"/>
  <c r="B4082" i="11"/>
  <c r="B4081" i="11"/>
  <c r="B4080" i="11"/>
  <c r="B4079" i="11"/>
  <c r="B4078" i="11"/>
  <c r="B4077" i="11"/>
  <c r="B4076" i="11"/>
  <c r="B4075" i="11"/>
  <c r="B4074" i="11"/>
  <c r="B4073" i="11"/>
  <c r="B4072" i="11"/>
  <c r="B4071" i="11"/>
  <c r="B4070" i="11"/>
  <c r="B4069" i="11"/>
  <c r="B4068" i="11"/>
  <c r="B4067" i="11"/>
  <c r="B4066" i="11"/>
  <c r="B4064" i="11"/>
  <c r="B4065" i="11"/>
  <c r="B4063" i="11"/>
  <c r="B4062" i="11"/>
  <c r="B4061" i="11"/>
  <c r="B4060" i="11"/>
  <c r="B4059" i="11"/>
  <c r="B4058" i="11"/>
  <c r="B4057" i="11"/>
  <c r="B4056" i="11"/>
  <c r="B4055" i="11"/>
  <c r="B4054" i="11"/>
  <c r="B4053" i="11"/>
  <c r="B4052" i="11"/>
  <c r="B4051" i="11"/>
  <c r="B4050" i="11"/>
  <c r="B4049" i="11"/>
  <c r="B4048" i="11"/>
  <c r="E4047" i="11"/>
  <c r="B4047" i="11"/>
  <c r="B4046" i="11"/>
  <c r="B4045" i="11"/>
  <c r="B4044" i="11"/>
  <c r="B4043" i="11"/>
  <c r="B4042" i="11"/>
  <c r="E4041" i="11"/>
  <c r="B4041" i="11"/>
  <c r="E4040" i="11"/>
  <c r="B4040" i="11"/>
  <c r="B4039" i="11"/>
  <c r="B4038" i="11"/>
  <c r="B4037" i="11"/>
  <c r="B4036" i="11"/>
  <c r="B4035" i="11"/>
  <c r="B4034" i="11"/>
  <c r="B4033" i="11"/>
  <c r="B4032" i="11"/>
  <c r="B4031" i="11"/>
  <c r="B4030" i="11"/>
  <c r="B4029" i="11"/>
  <c r="B4028" i="11"/>
  <c r="B4027" i="11"/>
  <c r="B4026" i="11"/>
  <c r="B4025" i="11"/>
  <c r="B4024" i="11"/>
  <c r="B4023" i="11"/>
  <c r="B4022" i="11"/>
  <c r="B4021" i="11"/>
  <c r="B4020" i="11"/>
  <c r="B4019" i="11"/>
  <c r="B4018" i="11"/>
  <c r="B4017" i="11"/>
  <c r="B4016" i="11"/>
  <c r="B4015" i="11"/>
  <c r="B4014" i="11"/>
  <c r="B4013" i="11"/>
  <c r="B4012" i="11"/>
  <c r="B4011" i="11"/>
  <c r="B4010" i="11"/>
  <c r="B4009" i="11"/>
  <c r="B4008" i="11"/>
  <c r="B4007" i="11"/>
  <c r="B4006" i="11"/>
  <c r="B4005" i="11"/>
  <c r="B4004" i="11"/>
  <c r="B4003" i="11"/>
  <c r="B4002" i="11"/>
  <c r="B4001" i="11"/>
  <c r="B4000" i="11"/>
  <c r="B3999" i="11"/>
  <c r="B3998" i="11"/>
  <c r="B3997" i="11"/>
  <c r="B3996" i="11"/>
  <c r="B3995" i="11"/>
  <c r="B3994" i="11"/>
  <c r="B3993" i="11"/>
  <c r="B3992" i="11"/>
  <c r="B3991" i="11"/>
  <c r="B3990" i="11"/>
  <c r="B3989" i="11"/>
  <c r="B3988" i="11"/>
  <c r="B3987" i="11"/>
  <c r="B3986" i="11"/>
  <c r="B3985" i="11"/>
  <c r="B3984" i="11"/>
  <c r="B3983" i="11"/>
  <c r="E3982" i="11"/>
  <c r="B3982" i="11"/>
  <c r="B3981" i="11"/>
  <c r="B3980" i="11"/>
  <c r="B3979" i="11"/>
  <c r="B3978" i="11"/>
  <c r="B3977" i="11"/>
  <c r="E3976" i="11"/>
  <c r="B3976" i="11"/>
  <c r="B3975" i="11"/>
  <c r="B3974" i="11"/>
  <c r="B3973" i="11"/>
  <c r="B3972" i="11"/>
  <c r="B3971" i="11"/>
  <c r="B3970" i="11"/>
  <c r="B3969" i="11"/>
  <c r="B3968" i="11"/>
  <c r="B3967" i="11"/>
  <c r="B3966" i="11"/>
  <c r="B3965" i="11"/>
  <c r="B3964" i="11"/>
  <c r="B3963" i="11"/>
  <c r="B3962" i="11"/>
  <c r="B3961" i="11"/>
  <c r="B3960" i="11"/>
  <c r="B3959" i="11"/>
  <c r="E3958" i="11"/>
  <c r="B3958" i="11"/>
  <c r="B3957" i="11"/>
  <c r="B3956" i="11"/>
  <c r="B3955" i="11"/>
  <c r="B3954" i="11"/>
  <c r="B3953" i="11"/>
  <c r="B3952" i="11"/>
  <c r="B3951" i="11"/>
  <c r="B3950" i="11"/>
  <c r="B3949" i="11"/>
  <c r="B3948" i="11"/>
  <c r="B3947" i="11"/>
  <c r="B3946" i="11"/>
  <c r="B3945" i="11"/>
  <c r="B3944" i="11"/>
  <c r="B3943" i="11"/>
  <c r="B3942" i="11"/>
  <c r="B3941" i="11"/>
  <c r="B3940" i="11"/>
  <c r="B3939" i="11"/>
  <c r="B3938" i="11"/>
  <c r="B3937" i="11"/>
  <c r="B3936" i="11"/>
  <c r="B3935" i="11"/>
  <c r="B3934" i="11"/>
  <c r="B3933" i="11"/>
  <c r="B3932" i="11"/>
  <c r="B3931" i="11"/>
  <c r="B3930" i="11"/>
  <c r="B3929" i="11"/>
  <c r="B3928" i="11"/>
  <c r="B3927" i="11"/>
  <c r="B3926" i="11"/>
  <c r="B3925" i="11"/>
  <c r="B3924" i="11"/>
  <c r="B3923" i="11"/>
  <c r="B3922" i="11"/>
  <c r="B3921" i="11"/>
  <c r="B3920" i="11"/>
  <c r="B3919" i="11"/>
  <c r="B3918" i="11"/>
  <c r="B3917" i="11"/>
  <c r="B3916" i="11"/>
  <c r="B3915" i="11"/>
  <c r="B3914" i="11"/>
  <c r="B3913" i="11"/>
  <c r="E3912" i="11"/>
  <c r="B3912" i="11"/>
  <c r="B3911" i="11"/>
  <c r="B3910" i="11"/>
  <c r="B3909" i="11"/>
  <c r="B3908" i="11"/>
  <c r="B3907" i="11"/>
  <c r="B3906" i="11"/>
  <c r="B3905" i="11"/>
  <c r="B3904" i="11"/>
  <c r="B3903" i="11"/>
  <c r="B3902" i="11"/>
  <c r="B3901" i="11"/>
  <c r="B3900" i="11"/>
  <c r="B3899" i="11"/>
  <c r="B3898" i="11"/>
  <c r="B3897" i="11"/>
  <c r="B3896" i="11"/>
  <c r="B3895" i="11"/>
  <c r="B3894" i="11"/>
  <c r="B3893" i="11"/>
  <c r="B3892" i="11"/>
  <c r="B3891" i="11"/>
  <c r="B3890" i="11"/>
  <c r="B3889" i="11"/>
  <c r="B3888" i="11"/>
  <c r="B3887" i="11"/>
  <c r="B3886" i="11"/>
  <c r="B3885" i="11"/>
  <c r="B3884" i="11"/>
  <c r="B3883" i="11"/>
  <c r="B3882" i="11"/>
  <c r="B3881" i="11"/>
  <c r="B3880" i="11"/>
  <c r="B3879" i="11"/>
  <c r="B3878" i="11"/>
  <c r="B3877" i="11"/>
  <c r="B3876" i="11"/>
  <c r="B3875" i="11"/>
  <c r="B3874" i="11"/>
  <c r="B3873" i="11"/>
  <c r="B3872" i="11"/>
  <c r="B3871" i="11"/>
  <c r="B3870" i="11"/>
  <c r="B3869" i="11"/>
  <c r="B3868" i="11"/>
  <c r="B3867" i="11"/>
  <c r="B3866" i="11"/>
  <c r="B3865" i="11"/>
  <c r="B3864" i="11"/>
  <c r="B3863" i="11"/>
  <c r="B3862" i="11"/>
  <c r="B3861" i="11"/>
  <c r="B3860" i="11"/>
  <c r="B3859" i="11"/>
  <c r="B3858" i="11"/>
  <c r="B3857" i="11"/>
  <c r="B3856" i="11"/>
  <c r="B3855" i="11"/>
  <c r="B3854" i="11"/>
  <c r="B3853" i="11"/>
  <c r="B3852" i="11"/>
  <c r="B3851" i="11"/>
  <c r="B3850" i="11"/>
  <c r="B3849" i="11"/>
  <c r="B3848" i="11"/>
  <c r="B3847" i="11"/>
  <c r="B3846" i="11"/>
  <c r="B3845" i="11"/>
  <c r="B3844" i="11"/>
  <c r="B3843" i="11"/>
  <c r="B3842" i="11"/>
  <c r="B3841" i="11"/>
  <c r="B3840" i="11"/>
  <c r="B3839" i="11"/>
  <c r="B3838" i="11"/>
  <c r="B3837" i="11"/>
  <c r="B3836" i="11"/>
  <c r="B3835" i="11"/>
  <c r="B3834" i="11"/>
  <c r="B3833" i="11"/>
  <c r="B3832" i="11"/>
  <c r="B3831" i="11"/>
  <c r="B3830" i="11"/>
  <c r="B3829" i="11"/>
  <c r="B3828" i="11"/>
  <c r="B3827" i="11"/>
  <c r="B3826" i="11"/>
  <c r="B3825" i="11"/>
  <c r="B3824" i="11"/>
  <c r="B3823" i="11"/>
  <c r="B3822" i="11"/>
  <c r="B3821" i="11"/>
  <c r="B3820" i="11"/>
  <c r="B3819" i="11"/>
  <c r="B3818" i="11"/>
  <c r="B3817" i="11"/>
  <c r="B3816" i="11"/>
  <c r="B3815" i="11"/>
  <c r="B3814" i="11"/>
  <c r="B3813" i="11"/>
  <c r="B3812" i="11"/>
  <c r="B3811" i="11"/>
  <c r="B3810" i="11"/>
  <c r="B3809" i="11"/>
  <c r="B3807" i="11"/>
  <c r="B3806" i="11"/>
  <c r="B3805" i="11"/>
  <c r="B3804" i="11"/>
  <c r="E3802" i="11"/>
  <c r="B3802" i="11"/>
  <c r="B3801" i="11"/>
  <c r="B3800" i="11"/>
  <c r="B3799" i="11"/>
  <c r="B3798" i="11"/>
  <c r="B3797" i="11"/>
  <c r="B3796" i="11"/>
  <c r="B3795" i="11"/>
  <c r="B3794" i="11"/>
  <c r="B3793" i="11"/>
  <c r="B3792" i="11"/>
  <c r="B3791" i="11"/>
  <c r="B3790" i="11"/>
  <c r="E3789" i="11"/>
  <c r="B3789" i="11"/>
  <c r="B3788" i="11"/>
  <c r="B3787" i="11"/>
  <c r="B3786" i="11"/>
  <c r="B3785" i="11"/>
  <c r="B3784" i="11"/>
  <c r="B3783" i="11"/>
  <c r="B3782" i="11"/>
  <c r="B3781" i="11"/>
  <c r="B3780" i="11"/>
  <c r="B3779" i="11"/>
  <c r="B3778" i="11"/>
  <c r="B3777" i="11"/>
  <c r="B3776" i="11"/>
  <c r="B3775" i="11"/>
  <c r="B3773" i="11"/>
  <c r="B3772" i="11"/>
  <c r="B3774" i="11"/>
  <c r="B3771" i="11"/>
  <c r="B3770" i="11"/>
  <c r="B3769" i="11"/>
  <c r="B3768" i="11"/>
  <c r="B3767" i="11"/>
  <c r="B3766" i="11"/>
  <c r="B3765" i="11"/>
  <c r="B3764" i="11"/>
  <c r="B3763" i="11"/>
  <c r="B3762" i="11"/>
  <c r="B3761" i="11"/>
  <c r="B3760" i="11"/>
  <c r="B3759" i="11"/>
  <c r="B3758" i="11"/>
  <c r="B3757" i="11"/>
  <c r="B3756" i="11"/>
  <c r="B3755" i="11"/>
  <c r="B3754" i="11"/>
  <c r="B3753" i="11"/>
  <c r="B3752" i="11"/>
  <c r="B3751" i="11"/>
  <c r="B3750" i="11"/>
  <c r="B3749" i="11"/>
  <c r="B3748" i="11"/>
  <c r="B3747" i="11"/>
  <c r="B3746" i="11"/>
  <c r="B3745" i="11"/>
  <c r="B3744" i="11"/>
  <c r="B3743" i="11"/>
  <c r="B3742" i="11"/>
  <c r="B3741" i="11"/>
  <c r="B3740" i="11"/>
  <c r="B3739" i="11"/>
  <c r="B3738" i="11"/>
  <c r="B3737" i="11"/>
  <c r="B3736" i="11"/>
  <c r="B3735" i="11"/>
  <c r="B3734" i="11"/>
  <c r="B3733" i="11"/>
  <c r="B3732" i="11"/>
  <c r="B3731" i="11"/>
  <c r="B3730" i="11"/>
  <c r="B3729" i="11"/>
  <c r="B3728" i="11"/>
  <c r="B3727" i="11"/>
  <c r="B3726" i="11"/>
  <c r="B3725" i="11"/>
  <c r="B3724" i="11"/>
  <c r="B3723" i="11"/>
  <c r="B3722" i="11"/>
  <c r="B3721" i="11"/>
  <c r="B3719" i="11"/>
  <c r="B3718" i="11"/>
  <c r="B3717" i="11"/>
  <c r="B3716" i="11"/>
  <c r="B3715" i="11"/>
  <c r="B3720" i="11"/>
  <c r="E3714" i="11"/>
  <c r="B3714" i="11"/>
  <c r="B3713" i="11"/>
  <c r="B3712" i="11"/>
  <c r="B3711" i="11"/>
  <c r="B3710" i="11"/>
  <c r="B3709" i="11"/>
  <c r="B3708" i="11"/>
  <c r="B3707" i="11"/>
  <c r="B3706" i="11"/>
  <c r="B3705" i="11"/>
  <c r="B3704" i="11"/>
  <c r="B3703" i="11"/>
  <c r="B3702" i="11"/>
  <c r="B3701" i="11"/>
  <c r="B3700" i="11"/>
  <c r="B3699" i="11"/>
  <c r="B3698" i="11"/>
  <c r="B3697" i="11"/>
  <c r="B3696" i="11"/>
  <c r="B3694" i="11"/>
  <c r="B3693" i="11"/>
  <c r="B3692" i="11"/>
  <c r="B3695" i="11"/>
  <c r="B3691" i="11"/>
  <c r="B3690" i="11"/>
  <c r="B3689" i="11"/>
  <c r="B3688" i="11"/>
  <c r="B3687" i="11"/>
  <c r="B3686" i="11"/>
  <c r="B3685" i="11"/>
  <c r="B3684" i="11"/>
  <c r="B3683" i="11"/>
  <c r="B3682" i="11"/>
  <c r="B3681" i="11"/>
  <c r="B3680" i="11"/>
  <c r="B3679" i="11"/>
  <c r="B3678" i="11"/>
  <c r="B3677" i="11"/>
  <c r="B3676" i="11"/>
  <c r="B3675" i="11"/>
  <c r="B3674" i="11"/>
  <c r="B3673" i="11"/>
  <c r="B3672" i="11"/>
  <c r="B3671" i="11"/>
  <c r="B3670" i="11"/>
  <c r="B3669" i="11"/>
  <c r="B3668" i="11"/>
  <c r="B3667" i="11"/>
  <c r="B3666" i="11"/>
  <c r="B3665" i="11"/>
  <c r="B3664" i="11"/>
  <c r="B3663" i="11"/>
  <c r="B3662" i="11"/>
  <c r="B3661" i="11"/>
  <c r="B3660" i="11"/>
  <c r="B3659" i="11"/>
  <c r="B3658" i="11"/>
  <c r="B3657" i="11"/>
  <c r="B3656" i="11"/>
  <c r="B3655" i="11"/>
  <c r="B3654" i="11"/>
  <c r="B3653" i="11"/>
  <c r="B3652" i="11"/>
  <c r="B3651" i="11"/>
  <c r="B3650" i="11"/>
  <c r="B3649" i="11"/>
  <c r="B3648" i="11"/>
  <c r="B3647" i="11"/>
  <c r="B3646" i="11"/>
  <c r="B3645" i="11"/>
  <c r="B3644" i="11"/>
  <c r="B3643" i="11"/>
  <c r="B3642" i="11"/>
  <c r="B3641" i="11"/>
  <c r="B3640" i="11"/>
  <c r="B3639" i="11"/>
  <c r="B3638" i="11"/>
  <c r="B3637" i="11"/>
  <c r="B3636" i="11"/>
  <c r="B3635" i="11"/>
  <c r="B3634" i="11"/>
  <c r="B3633" i="11"/>
  <c r="B3632" i="11"/>
  <c r="B3631" i="11"/>
  <c r="B3630" i="11"/>
  <c r="B3629" i="11"/>
  <c r="B3628" i="11"/>
  <c r="B3627" i="11"/>
  <c r="B3626" i="11"/>
  <c r="B3625" i="11"/>
  <c r="B3624" i="11"/>
  <c r="B3623" i="11"/>
  <c r="B3622" i="11"/>
  <c r="B3621" i="11"/>
  <c r="B3620" i="11"/>
  <c r="B3619" i="11"/>
  <c r="B3618" i="11"/>
  <c r="B3617" i="11"/>
  <c r="B3616" i="11"/>
  <c r="B3615" i="11"/>
  <c r="B3614" i="11"/>
  <c r="B3613" i="11"/>
  <c r="B3612" i="11"/>
  <c r="B3611" i="11"/>
  <c r="B3610" i="11"/>
  <c r="B3609" i="11"/>
  <c r="B3608" i="11"/>
  <c r="B3607" i="11"/>
  <c r="B3606" i="11"/>
  <c r="B3605" i="11"/>
  <c r="B3604" i="11"/>
  <c r="B3603" i="11"/>
  <c r="B3602" i="11"/>
  <c r="B3601" i="11"/>
  <c r="B3600" i="11"/>
  <c r="B3599" i="11"/>
  <c r="B3598" i="11"/>
  <c r="B3597" i="11"/>
  <c r="B3596" i="11"/>
  <c r="B3595" i="11"/>
  <c r="B3594" i="11"/>
  <c r="B3593" i="11"/>
  <c r="B3592" i="11"/>
  <c r="B3591" i="11"/>
  <c r="B3590" i="11"/>
  <c r="B3589" i="11"/>
  <c r="B3588" i="11"/>
  <c r="B3587" i="11"/>
  <c r="B3586" i="11"/>
  <c r="B3585" i="11"/>
  <c r="B3584" i="11"/>
  <c r="B3583" i="11"/>
  <c r="B3582" i="11"/>
  <c r="B3581" i="11"/>
  <c r="B3580" i="11"/>
  <c r="B3579" i="11"/>
  <c r="B3578" i="11"/>
  <c r="B3577" i="11"/>
  <c r="B3576" i="11"/>
  <c r="B3575" i="11"/>
  <c r="B3574" i="11"/>
  <c r="B3573" i="11"/>
  <c r="B3572" i="11"/>
  <c r="B3571" i="11"/>
  <c r="B3570" i="11"/>
  <c r="B3569" i="11"/>
  <c r="B3568" i="11"/>
  <c r="B3567" i="11"/>
  <c r="B3566" i="11"/>
  <c r="B3565" i="11"/>
  <c r="B3564" i="11"/>
  <c r="B3563" i="11"/>
  <c r="B3562" i="11"/>
  <c r="B3561" i="11"/>
  <c r="B3560" i="11"/>
  <c r="B3559" i="11"/>
  <c r="B3558" i="11"/>
  <c r="B3557" i="11"/>
  <c r="B3556" i="11"/>
  <c r="B3555" i="11"/>
  <c r="B3554" i="11"/>
  <c r="B3553" i="11"/>
  <c r="B3552" i="11"/>
  <c r="B3551" i="11"/>
  <c r="B3550" i="11"/>
  <c r="B3549" i="11"/>
  <c r="B3548" i="11"/>
  <c r="B3547" i="11"/>
  <c r="B3546" i="11"/>
  <c r="B3545" i="11"/>
  <c r="E3544" i="11"/>
  <c r="B3544" i="11"/>
  <c r="B3543" i="11"/>
  <c r="B3540" i="11"/>
  <c r="B3539" i="11"/>
  <c r="B3538" i="11"/>
  <c r="B3537" i="11"/>
  <c r="B3536" i="11"/>
  <c r="B3535" i="11"/>
  <c r="B3534" i="11"/>
  <c r="B3541" i="11"/>
  <c r="B3533" i="11"/>
  <c r="B3542" i="11"/>
  <c r="B3532" i="11"/>
  <c r="B3531" i="11"/>
  <c r="B3530" i="11"/>
  <c r="E3528" i="11"/>
  <c r="B3528" i="11"/>
  <c r="B3527" i="11"/>
  <c r="B3526" i="11"/>
  <c r="B3524" i="11"/>
  <c r="B3523" i="11"/>
  <c r="B3522" i="11"/>
  <c r="B3521" i="11"/>
  <c r="B3520" i="11"/>
  <c r="B3519" i="11"/>
  <c r="B3518" i="11"/>
  <c r="B3517" i="11"/>
  <c r="B3516" i="11"/>
  <c r="B3515" i="11"/>
  <c r="B3525" i="11"/>
  <c r="B3514" i="11"/>
  <c r="B3513" i="11"/>
  <c r="B3512" i="11"/>
  <c r="B3511" i="11"/>
  <c r="B3510" i="11"/>
  <c r="B3509" i="11"/>
  <c r="B3508" i="11"/>
  <c r="B3507" i="11"/>
  <c r="B3506" i="11"/>
  <c r="B3505" i="11"/>
  <c r="B3504" i="11"/>
  <c r="B3503" i="11"/>
  <c r="B3502" i="11"/>
  <c r="B3501" i="11"/>
  <c r="B3500" i="11"/>
  <c r="B3499" i="11"/>
  <c r="B3498" i="11"/>
  <c r="B3497" i="11"/>
  <c r="B3496" i="11"/>
  <c r="B3495" i="11"/>
  <c r="B3494" i="11"/>
  <c r="B3493" i="11"/>
  <c r="B3492" i="11"/>
  <c r="B3491" i="11"/>
  <c r="B3490" i="11"/>
  <c r="B3489" i="11"/>
  <c r="B3488" i="11"/>
  <c r="B3487" i="11"/>
  <c r="B3486" i="11"/>
  <c r="B3485" i="11"/>
  <c r="B3484" i="11"/>
  <c r="B3483" i="11"/>
  <c r="B3482" i="11"/>
  <c r="B3481" i="11"/>
  <c r="B3480" i="11"/>
  <c r="B3479" i="11"/>
  <c r="B3478" i="11"/>
  <c r="B3477" i="11"/>
  <c r="B3476" i="11"/>
  <c r="B3475" i="11"/>
  <c r="B3474" i="11"/>
  <c r="B3473" i="11"/>
  <c r="B3472" i="11"/>
  <c r="B3471" i="11"/>
  <c r="B3470" i="11"/>
  <c r="B3469" i="11"/>
  <c r="B3468" i="11"/>
  <c r="B3467" i="11"/>
  <c r="B3466" i="11"/>
  <c r="B3465" i="11"/>
  <c r="B3464" i="11"/>
  <c r="B3463" i="11"/>
  <c r="B3462" i="11"/>
  <c r="B3461" i="11"/>
  <c r="B3460" i="11"/>
  <c r="B3459" i="11"/>
  <c r="B3458" i="11"/>
  <c r="B3457" i="11"/>
  <c r="B3456" i="11"/>
  <c r="B3455" i="11"/>
  <c r="B3454" i="11"/>
  <c r="B3453" i="11"/>
  <c r="B3452" i="11"/>
  <c r="B3451" i="11"/>
  <c r="B3450" i="11"/>
  <c r="B3449" i="11"/>
  <c r="B3448" i="11"/>
  <c r="B3447" i="11"/>
  <c r="B3446" i="11"/>
  <c r="B3445" i="11"/>
  <c r="B3444" i="11"/>
  <c r="B3443" i="11"/>
  <c r="E3442" i="11"/>
  <c r="B3442" i="11"/>
  <c r="B3441" i="11"/>
  <c r="B3440" i="11"/>
  <c r="B3439" i="11"/>
  <c r="B3438" i="11"/>
  <c r="B3437" i="11"/>
  <c r="B3436" i="11"/>
  <c r="B3435" i="11"/>
  <c r="B3434" i="11"/>
  <c r="B3433" i="11"/>
  <c r="B3432" i="11"/>
  <c r="B3431" i="11"/>
  <c r="E3430" i="11"/>
  <c r="B3430" i="11"/>
  <c r="B3429" i="11"/>
  <c r="B3428" i="11"/>
  <c r="B3427" i="11"/>
  <c r="B3426" i="11"/>
  <c r="B3425" i="11"/>
  <c r="B3424" i="11"/>
  <c r="B3423" i="11"/>
  <c r="B3422" i="11"/>
  <c r="B3421" i="11"/>
  <c r="B3420" i="11"/>
  <c r="B3419" i="11"/>
  <c r="B3418" i="11"/>
  <c r="B3417" i="11"/>
  <c r="B3416" i="11"/>
  <c r="B3415" i="11"/>
  <c r="B3414" i="11"/>
  <c r="B3413" i="11"/>
  <c r="B3412" i="11"/>
  <c r="B3411" i="11"/>
  <c r="B3410" i="11"/>
  <c r="B3409" i="11"/>
  <c r="B3408" i="11"/>
  <c r="B3407" i="11"/>
  <c r="B3406" i="11"/>
  <c r="B3405" i="11"/>
  <c r="B3404" i="11"/>
  <c r="B3403" i="11"/>
  <c r="B3402" i="11"/>
  <c r="B3401" i="11"/>
  <c r="B3400" i="11"/>
  <c r="B3399" i="11"/>
  <c r="B3398" i="11"/>
  <c r="B3397" i="11"/>
  <c r="B3396" i="11"/>
  <c r="B3395" i="11"/>
  <c r="B3394" i="11"/>
  <c r="B3393" i="11"/>
  <c r="B3392" i="11"/>
  <c r="B3391" i="11"/>
  <c r="B3390" i="11"/>
  <c r="B3389" i="11"/>
  <c r="B3388" i="11"/>
  <c r="B3387" i="11"/>
  <c r="B3386" i="11"/>
  <c r="B3385" i="11"/>
  <c r="B3384" i="11"/>
  <c r="B3383" i="11"/>
  <c r="B3382" i="11"/>
  <c r="B3381" i="11"/>
  <c r="B3380" i="11"/>
  <c r="B3379" i="11"/>
  <c r="B3378" i="11"/>
  <c r="B3377" i="11"/>
  <c r="B3376" i="11"/>
  <c r="B3375" i="11"/>
  <c r="B3374" i="11"/>
  <c r="B3373" i="11"/>
  <c r="B3372" i="11"/>
  <c r="B3371" i="11"/>
  <c r="B3370" i="11"/>
  <c r="B3369" i="11"/>
  <c r="B3368" i="11"/>
  <c r="B3367" i="11"/>
  <c r="B3366" i="11"/>
  <c r="B3365" i="11"/>
  <c r="B3364" i="11"/>
  <c r="B3363" i="11"/>
  <c r="B3362" i="11"/>
  <c r="B3361" i="11"/>
  <c r="B3360" i="11"/>
  <c r="E3359" i="11"/>
  <c r="B3359" i="11"/>
  <c r="B3358" i="11"/>
  <c r="B3357" i="11"/>
  <c r="B3356" i="11"/>
  <c r="B3355" i="11"/>
  <c r="B3354" i="11"/>
  <c r="B3353" i="11"/>
  <c r="B3352" i="11"/>
  <c r="B3351" i="11"/>
  <c r="B3350" i="11"/>
  <c r="B3349" i="11"/>
  <c r="B3348" i="11"/>
  <c r="B3347" i="11"/>
  <c r="B3346" i="11"/>
  <c r="B3345" i="11"/>
  <c r="B3344" i="11"/>
  <c r="B3343" i="11"/>
  <c r="B3342" i="11"/>
  <c r="B3341" i="11"/>
  <c r="B3340" i="11"/>
  <c r="B3339" i="11"/>
  <c r="B3338" i="11"/>
  <c r="B3337" i="11"/>
  <c r="B3336" i="11"/>
  <c r="B3335" i="11"/>
  <c r="B3334" i="11"/>
  <c r="B3333" i="11"/>
  <c r="B3332" i="11"/>
  <c r="B3331" i="11"/>
  <c r="B3330" i="11"/>
  <c r="B3329" i="11"/>
  <c r="B3328" i="11"/>
  <c r="E3327" i="11"/>
  <c r="B3327" i="11"/>
  <c r="B3326" i="11"/>
  <c r="B3325" i="11"/>
  <c r="B3324" i="11"/>
  <c r="B3323" i="11"/>
  <c r="B3322" i="11"/>
  <c r="B3321" i="11"/>
  <c r="B3320" i="11"/>
  <c r="B3319" i="11"/>
  <c r="B3318" i="11"/>
  <c r="B3317" i="11"/>
  <c r="B3316" i="11"/>
  <c r="B3315" i="11"/>
  <c r="B3314" i="11"/>
  <c r="B3313" i="11"/>
  <c r="B3312" i="11"/>
  <c r="B3311" i="11"/>
  <c r="B3310" i="11"/>
  <c r="B3309" i="11"/>
  <c r="B3308" i="11"/>
  <c r="B3307" i="11"/>
  <c r="B3306" i="11"/>
  <c r="B3305" i="11"/>
  <c r="B3304" i="11"/>
  <c r="B3303" i="11"/>
  <c r="B3302" i="11"/>
  <c r="B3301" i="11"/>
  <c r="B3300" i="11"/>
  <c r="B3299" i="11"/>
  <c r="B3298" i="11"/>
  <c r="B3297" i="11"/>
  <c r="B3296" i="11"/>
  <c r="B3295" i="11"/>
  <c r="B3294" i="11"/>
  <c r="B3293" i="11"/>
  <c r="B3292" i="11"/>
  <c r="B3291" i="11"/>
  <c r="B3290" i="11"/>
  <c r="B3289" i="11"/>
  <c r="B3288" i="11"/>
  <c r="B3287" i="11"/>
  <c r="B3286" i="11"/>
  <c r="B3285" i="11"/>
  <c r="B3284" i="11"/>
  <c r="B3283" i="11"/>
  <c r="B3282" i="11"/>
  <c r="B3281" i="11"/>
  <c r="B3280" i="11"/>
  <c r="B3279" i="11"/>
  <c r="B3278" i="11"/>
  <c r="B3277" i="11"/>
  <c r="B3276" i="11"/>
  <c r="B3275" i="11"/>
  <c r="B3274" i="11"/>
  <c r="B3273" i="11"/>
  <c r="B3272" i="11"/>
  <c r="B3271" i="11"/>
  <c r="B3270" i="11"/>
  <c r="B3269" i="11"/>
  <c r="B3268" i="11"/>
  <c r="B3267" i="11"/>
  <c r="B3266" i="11"/>
  <c r="B3265" i="11"/>
  <c r="B3264" i="11"/>
  <c r="B3263" i="11"/>
  <c r="B3262" i="11"/>
  <c r="B3261" i="11"/>
  <c r="B3260" i="11"/>
  <c r="B3259" i="11"/>
  <c r="B3258" i="11"/>
  <c r="B3257" i="11"/>
  <c r="B3256" i="11"/>
  <c r="B3255" i="11"/>
  <c r="B3254" i="11"/>
  <c r="B3253" i="11"/>
  <c r="B3252" i="11"/>
  <c r="B3251" i="11"/>
  <c r="B3250" i="11"/>
  <c r="B3249" i="11"/>
  <c r="B3248" i="11"/>
  <c r="B3247" i="11"/>
  <c r="B3246" i="11"/>
  <c r="B3245" i="11"/>
  <c r="B3244" i="11"/>
  <c r="B3243" i="11"/>
  <c r="B3242" i="11"/>
  <c r="B3241" i="11"/>
  <c r="B3240" i="11"/>
  <c r="B3239" i="11"/>
  <c r="B3238" i="11"/>
  <c r="B3237" i="11"/>
  <c r="B3236" i="11"/>
  <c r="B3235" i="11"/>
  <c r="B3234" i="11"/>
  <c r="B3233" i="11"/>
  <c r="B3232" i="11"/>
  <c r="B3231" i="11"/>
  <c r="B3230" i="11"/>
  <c r="B3229" i="11"/>
  <c r="B3228" i="11"/>
  <c r="B3227" i="11"/>
  <c r="B3226" i="11"/>
  <c r="B3225" i="11"/>
  <c r="B3224" i="11"/>
  <c r="B3223" i="11"/>
  <c r="B3222" i="11"/>
  <c r="B3220" i="11"/>
  <c r="B3219" i="11"/>
  <c r="B3218" i="11"/>
  <c r="B3217" i="11"/>
  <c r="B3216" i="11"/>
  <c r="B3215" i="11"/>
  <c r="B3214" i="11"/>
  <c r="B3213" i="11"/>
  <c r="B3211" i="11"/>
  <c r="B3210" i="11"/>
  <c r="B3209" i="11"/>
  <c r="B3208" i="11"/>
  <c r="B3207" i="11"/>
  <c r="B3206" i="11"/>
  <c r="B3205" i="11"/>
  <c r="B3203" i="11"/>
  <c r="B3202" i="11"/>
  <c r="B3201" i="11"/>
  <c r="B3200" i="11"/>
  <c r="B3199" i="11"/>
  <c r="B3198" i="11"/>
  <c r="B3197" i="11"/>
  <c r="B3196" i="11"/>
  <c r="B3195" i="11"/>
  <c r="B3194" i="11"/>
  <c r="B3193" i="11"/>
  <c r="B3192" i="11"/>
  <c r="B3191" i="11"/>
  <c r="B3190" i="11"/>
  <c r="B3189" i="11"/>
  <c r="B3188" i="11"/>
  <c r="B3186" i="11"/>
  <c r="B3185" i="11"/>
  <c r="B3184" i="11"/>
  <c r="B3183" i="11"/>
  <c r="C3182" i="11"/>
  <c r="B3182" i="11"/>
  <c r="B3181" i="11"/>
  <c r="B3180" i="11"/>
  <c r="B3179" i="11"/>
  <c r="B3178" i="11"/>
  <c r="B3177" i="11"/>
  <c r="B3176" i="11"/>
  <c r="B3175" i="11"/>
  <c r="B3173" i="11"/>
  <c r="B3172" i="11"/>
  <c r="B3171" i="11"/>
  <c r="B3170" i="11"/>
  <c r="B3169" i="11"/>
  <c r="B3168" i="11"/>
  <c r="B3167" i="11"/>
  <c r="B3166" i="11"/>
  <c r="B3165" i="11"/>
  <c r="B3163" i="11"/>
  <c r="B3162" i="11"/>
  <c r="B3161" i="11"/>
  <c r="B3160" i="11"/>
  <c r="B3159" i="11"/>
  <c r="B3158" i="11"/>
  <c r="B3157" i="11"/>
  <c r="B3156" i="11"/>
  <c r="B3155" i="11"/>
  <c r="B3154" i="11"/>
  <c r="B3153" i="11"/>
  <c r="B3152" i="11"/>
  <c r="B3151" i="11"/>
  <c r="B3150" i="11"/>
  <c r="B3149" i="11"/>
  <c r="B3148" i="11"/>
  <c r="B3147" i="11"/>
  <c r="B3146" i="11"/>
  <c r="B3145" i="11"/>
  <c r="B3144" i="11"/>
  <c r="B3143" i="11"/>
  <c r="B3142" i="11"/>
  <c r="B3141" i="11"/>
  <c r="B3140" i="11"/>
  <c r="B3139" i="11"/>
  <c r="B3138" i="11"/>
  <c r="B3137" i="11"/>
  <c r="B3136" i="11"/>
  <c r="B3134" i="11"/>
  <c r="B3133" i="11"/>
  <c r="B3132" i="11"/>
  <c r="B3131" i="11"/>
  <c r="B3130" i="11"/>
  <c r="B3129" i="11"/>
  <c r="B3128" i="11"/>
  <c r="B3127" i="11"/>
  <c r="B3125" i="11"/>
  <c r="B3124" i="11"/>
  <c r="B3123" i="11"/>
  <c r="B3122" i="11"/>
  <c r="B3121" i="11"/>
  <c r="B3120" i="11"/>
  <c r="B3119" i="11"/>
  <c r="B3118" i="11"/>
  <c r="B3117" i="11"/>
  <c r="B3116" i="11"/>
  <c r="B3115" i="11"/>
  <c r="B3114" i="11"/>
  <c r="B3113" i="11"/>
  <c r="B3112" i="11"/>
  <c r="B3111" i="11"/>
  <c r="B3110" i="11"/>
  <c r="B3109" i="11"/>
  <c r="B3108" i="11"/>
  <c r="B3107" i="11"/>
  <c r="B3106" i="11"/>
  <c r="B3105" i="11"/>
  <c r="B3104" i="11"/>
  <c r="B3103" i="11"/>
  <c r="B3102" i="11"/>
  <c r="B3101" i="11"/>
  <c r="B3100" i="11"/>
  <c r="B3099" i="11"/>
  <c r="B3098" i="11"/>
  <c r="B3097" i="11"/>
  <c r="B3096" i="11"/>
  <c r="B3095" i="11"/>
  <c r="B3094" i="11"/>
  <c r="B3092" i="11"/>
  <c r="B3091" i="11"/>
  <c r="B3090" i="11"/>
  <c r="B3089" i="11"/>
  <c r="B3088" i="11"/>
  <c r="B3087" i="11"/>
  <c r="B3086" i="11"/>
  <c r="B3085" i="11"/>
  <c r="B3084" i="11"/>
  <c r="B3083" i="11"/>
  <c r="B3082" i="11"/>
  <c r="B3081" i="11"/>
  <c r="B3080" i="11"/>
  <c r="B3079" i="11"/>
  <c r="B3078" i="11"/>
  <c r="B3077" i="11"/>
  <c r="B3076" i="11"/>
  <c r="B3075" i="11"/>
  <c r="B3074" i="11"/>
  <c r="B3073" i="11"/>
  <c r="B3072" i="11"/>
  <c r="B3071" i="11"/>
  <c r="E3070" i="11"/>
  <c r="B3070" i="11"/>
  <c r="B3069" i="11"/>
  <c r="B3068" i="11"/>
  <c r="B3067" i="11"/>
  <c r="B3065" i="11"/>
  <c r="B3064" i="11"/>
  <c r="B3063" i="11"/>
  <c r="B3062" i="11"/>
  <c r="B3061" i="11"/>
  <c r="B3060" i="11"/>
  <c r="B3059" i="11"/>
  <c r="B3058" i="11"/>
  <c r="B3057" i="11"/>
  <c r="B3056" i="11"/>
  <c r="B3055" i="11"/>
  <c r="B3054" i="11"/>
  <c r="B3053" i="11"/>
  <c r="B3052" i="11"/>
  <c r="B3051" i="11"/>
  <c r="B3050" i="11"/>
  <c r="B3049" i="11"/>
  <c r="B3048" i="11"/>
  <c r="B3047" i="11"/>
  <c r="B3046" i="11"/>
  <c r="B3045" i="11"/>
  <c r="B3044" i="11"/>
  <c r="B3043" i="11"/>
  <c r="B3042" i="11"/>
  <c r="B3041" i="11"/>
  <c r="B3040" i="11"/>
  <c r="B3039" i="11"/>
  <c r="E3038" i="11"/>
  <c r="B3038" i="11"/>
  <c r="B3037" i="11"/>
  <c r="B3036" i="11"/>
  <c r="B3035" i="11"/>
  <c r="B3034" i="11"/>
  <c r="B3033" i="11"/>
  <c r="B3032" i="11"/>
  <c r="B3031" i="11"/>
  <c r="B3030" i="11"/>
  <c r="B3029" i="11"/>
  <c r="B3027" i="11"/>
  <c r="B3026" i="11"/>
  <c r="B3025" i="11"/>
  <c r="B3024" i="11"/>
  <c r="B3023" i="11"/>
  <c r="B3022" i="11"/>
  <c r="B3021" i="11"/>
  <c r="B3020" i="11"/>
  <c r="B3019" i="11"/>
  <c r="B3018" i="11"/>
  <c r="B3017" i="11"/>
  <c r="B3016" i="11"/>
  <c r="B3015" i="11"/>
  <c r="B3014" i="11"/>
  <c r="B3013" i="11"/>
  <c r="B3012" i="11"/>
  <c r="B3011" i="11"/>
  <c r="B3010" i="11"/>
  <c r="B3009" i="11"/>
  <c r="B3008" i="11"/>
  <c r="B3007" i="11"/>
  <c r="B3006" i="11"/>
  <c r="B3005" i="11"/>
  <c r="B3004" i="11"/>
  <c r="B3003" i="11"/>
  <c r="B3002" i="11"/>
  <c r="B3000" i="11"/>
  <c r="B2999" i="11"/>
  <c r="B2998" i="11"/>
  <c r="B2997" i="11"/>
  <c r="B2996" i="11"/>
  <c r="B2995" i="11"/>
  <c r="B2994" i="11"/>
  <c r="B2993" i="11"/>
  <c r="B2992" i="11"/>
  <c r="B2991" i="11"/>
  <c r="B2990" i="11"/>
  <c r="B2989" i="11"/>
  <c r="B2988" i="11"/>
  <c r="B2987" i="11"/>
  <c r="B2986" i="11"/>
  <c r="B2985" i="11"/>
  <c r="B2984" i="11"/>
  <c r="B2982" i="11"/>
  <c r="B2981" i="11"/>
  <c r="B2980" i="11"/>
  <c r="B2979" i="11"/>
  <c r="B2978" i="11"/>
  <c r="B2977" i="11"/>
  <c r="B2976" i="11"/>
  <c r="B2975" i="11"/>
  <c r="B2974" i="11"/>
  <c r="B2972" i="11"/>
  <c r="B2971" i="11"/>
  <c r="B2970" i="11"/>
  <c r="B2969" i="11"/>
  <c r="B2968" i="11"/>
  <c r="B2966" i="11"/>
  <c r="B2965" i="11"/>
  <c r="B2964" i="11"/>
  <c r="B2963" i="11"/>
  <c r="B2962" i="11"/>
  <c r="B2961" i="11"/>
  <c r="B2960" i="11"/>
  <c r="B2959" i="11"/>
  <c r="B2958" i="11"/>
  <c r="B2957" i="11"/>
  <c r="B2956" i="11"/>
  <c r="B2955" i="11"/>
  <c r="B2953" i="11"/>
  <c r="B2952" i="11"/>
  <c r="B2951" i="11"/>
  <c r="B2950" i="11"/>
  <c r="B2949" i="11"/>
  <c r="B2948" i="11"/>
  <c r="B2947" i="11"/>
  <c r="B2946" i="11"/>
  <c r="B2945" i="11"/>
  <c r="B2944" i="11"/>
  <c r="B2943" i="11"/>
  <c r="B2942" i="11"/>
  <c r="B2940" i="11"/>
  <c r="B2939" i="11"/>
  <c r="B2938" i="11"/>
  <c r="B2937" i="11"/>
  <c r="B2936" i="11"/>
  <c r="B2935" i="11"/>
  <c r="B2934" i="11"/>
  <c r="B2933" i="11"/>
  <c r="B2932" i="11"/>
  <c r="B2931" i="11"/>
  <c r="E2929" i="11"/>
  <c r="B2929" i="11"/>
  <c r="B2928" i="11"/>
  <c r="B2927" i="11"/>
  <c r="B2926" i="11"/>
  <c r="B2925" i="11"/>
  <c r="B2924" i="11"/>
  <c r="B2923" i="11"/>
  <c r="B2922" i="11"/>
  <c r="B2921" i="11"/>
  <c r="B2920" i="11"/>
  <c r="B2919" i="11"/>
  <c r="B2918" i="11"/>
  <c r="B2917" i="11"/>
  <c r="B2916" i="11"/>
  <c r="B2915" i="11"/>
  <c r="B2913" i="11"/>
  <c r="B2912" i="11"/>
  <c r="B2911" i="11"/>
  <c r="B2910" i="11"/>
  <c r="B2909" i="11"/>
  <c r="B2908" i="11"/>
  <c r="B2907" i="11"/>
  <c r="B2906" i="11"/>
  <c r="B2905" i="11"/>
  <c r="B2904" i="11"/>
  <c r="B2903" i="11"/>
  <c r="B2902" i="11"/>
  <c r="B2901" i="11"/>
  <c r="B2900" i="11"/>
  <c r="B2899" i="11"/>
  <c r="B2898" i="11"/>
  <c r="B2897" i="11"/>
  <c r="B2896" i="11"/>
  <c r="B2895" i="11"/>
  <c r="B2894" i="11"/>
  <c r="E2893" i="11"/>
  <c r="B2893" i="11"/>
  <c r="B2892" i="11"/>
  <c r="B2891" i="11"/>
  <c r="B2890" i="11"/>
  <c r="B2889" i="11"/>
  <c r="B2888" i="11"/>
  <c r="B2887" i="11"/>
  <c r="B2885" i="11"/>
  <c r="B2884" i="11"/>
  <c r="B2883" i="11"/>
  <c r="B2882" i="11"/>
  <c r="B2881" i="11"/>
  <c r="B2880" i="11"/>
  <c r="B2879" i="11"/>
  <c r="B2878" i="11"/>
  <c r="B2877" i="11"/>
  <c r="B2876" i="11"/>
  <c r="B2875" i="11"/>
  <c r="E2874" i="11"/>
  <c r="B2874" i="11"/>
  <c r="E2873" i="11"/>
  <c r="B2873" i="11"/>
  <c r="B2872" i="11"/>
  <c r="B2871" i="11"/>
  <c r="B2870" i="11"/>
  <c r="B2869" i="11"/>
  <c r="B2868" i="11"/>
  <c r="B2867" i="11"/>
  <c r="B2866" i="11"/>
  <c r="B2865" i="11"/>
  <c r="B2864" i="11"/>
  <c r="B2863" i="11"/>
  <c r="B2862" i="11"/>
  <c r="B2861" i="11"/>
  <c r="B2860" i="11"/>
  <c r="B2859" i="11"/>
  <c r="B2858" i="11"/>
  <c r="B2857" i="11"/>
  <c r="B2856" i="11"/>
  <c r="B2855" i="11"/>
  <c r="B2854" i="11"/>
  <c r="B2853" i="11"/>
  <c r="B2852" i="11"/>
  <c r="B2851" i="11"/>
  <c r="B2850" i="11"/>
  <c r="B2848" i="11"/>
  <c r="B2847" i="11"/>
  <c r="B2846" i="11"/>
  <c r="B2845" i="11"/>
  <c r="B2844" i="11"/>
  <c r="B2843" i="11"/>
  <c r="B2842" i="11"/>
  <c r="B2841" i="11"/>
  <c r="B2840" i="11"/>
  <c r="B2839" i="11"/>
  <c r="B2838" i="11"/>
  <c r="B2837" i="11"/>
  <c r="B2836" i="11"/>
  <c r="B2835" i="11"/>
  <c r="B2834" i="11"/>
  <c r="B2833" i="11"/>
  <c r="B2832" i="11"/>
  <c r="B2831" i="11"/>
  <c r="B2830" i="11"/>
  <c r="B2829" i="11"/>
  <c r="B2828" i="11"/>
  <c r="B2827" i="11"/>
  <c r="B2826" i="11"/>
  <c r="B2825" i="11"/>
  <c r="B2824" i="11"/>
  <c r="B2823" i="11"/>
  <c r="B2822" i="11"/>
  <c r="B2821" i="11"/>
  <c r="B2820" i="11"/>
  <c r="B2819" i="11"/>
  <c r="B2818" i="11"/>
  <c r="B2817" i="11"/>
  <c r="B2816" i="11"/>
  <c r="B2815" i="11"/>
  <c r="B2814" i="11"/>
  <c r="B2813" i="11"/>
  <c r="B2811" i="11"/>
  <c r="B2810" i="11"/>
  <c r="B2809" i="11"/>
  <c r="B2808" i="11"/>
  <c r="B2807" i="11"/>
  <c r="B2806" i="11"/>
  <c r="B2805" i="11"/>
  <c r="B2804" i="11"/>
  <c r="B2803" i="11"/>
  <c r="B2802" i="11"/>
  <c r="B2801" i="11"/>
  <c r="B2800" i="11"/>
  <c r="B2799" i="11"/>
  <c r="B2798" i="11"/>
  <c r="B2797" i="11"/>
  <c r="B2796" i="11"/>
  <c r="B2795" i="11"/>
  <c r="B2793" i="11"/>
  <c r="B2792" i="11"/>
  <c r="B2791" i="11"/>
  <c r="B2790" i="11"/>
  <c r="B2789" i="11"/>
  <c r="B2788" i="11"/>
  <c r="B2787" i="11"/>
  <c r="B2786" i="11"/>
  <c r="B2785" i="11"/>
  <c r="B2784" i="11"/>
  <c r="B2783" i="11"/>
  <c r="B2782" i="11"/>
  <c r="B2781" i="11"/>
  <c r="B2780" i="11"/>
  <c r="B2779" i="11"/>
  <c r="B2778" i="11"/>
  <c r="B2777" i="11"/>
  <c r="B2776" i="11"/>
  <c r="B2775" i="11"/>
  <c r="B2774" i="11"/>
  <c r="B2773" i="11"/>
  <c r="B2772" i="11"/>
  <c r="B2771" i="11"/>
  <c r="B2770" i="11"/>
  <c r="B2769" i="11"/>
  <c r="E2768" i="11"/>
  <c r="B2768" i="11"/>
  <c r="B2767" i="11"/>
  <c r="B2765" i="11"/>
  <c r="B2764" i="11"/>
  <c r="B2763" i="11"/>
  <c r="B2762" i="11"/>
  <c r="B2761" i="11"/>
  <c r="B2760" i="11"/>
  <c r="B2759" i="11"/>
  <c r="B2758" i="11"/>
  <c r="B2757" i="11"/>
  <c r="B2756" i="11"/>
  <c r="B2755" i="11"/>
  <c r="B2754" i="11"/>
  <c r="B2753" i="11"/>
  <c r="B2752" i="11"/>
  <c r="B2751" i="11"/>
  <c r="E2750" i="11"/>
  <c r="B2750" i="11"/>
  <c r="B2749" i="11"/>
  <c r="B2748" i="11"/>
  <c r="B2747" i="11"/>
  <c r="B2746" i="11"/>
  <c r="B2745" i="11"/>
  <c r="B2744" i="11"/>
  <c r="B2743" i="11"/>
  <c r="B2741" i="11"/>
  <c r="B2740" i="11"/>
  <c r="B2739" i="11"/>
  <c r="B2738" i="11"/>
  <c r="B2737" i="11"/>
  <c r="B2736" i="11"/>
  <c r="B2735" i="11"/>
  <c r="B2733" i="11"/>
  <c r="B2732" i="11"/>
  <c r="B2731" i="11"/>
  <c r="B2730" i="11"/>
  <c r="B2729" i="11"/>
  <c r="B2728" i="11"/>
  <c r="B2727" i="11"/>
  <c r="B2726" i="11"/>
  <c r="B2725" i="11"/>
  <c r="B2723" i="11"/>
  <c r="B2722" i="11"/>
  <c r="B2721" i="11"/>
  <c r="B2720" i="11"/>
  <c r="B2719" i="11"/>
  <c r="B2718" i="11"/>
  <c r="B2717" i="11"/>
  <c r="B2716" i="11"/>
  <c r="B2715" i="11"/>
  <c r="B2714" i="11"/>
  <c r="B2713" i="11"/>
  <c r="B2712" i="11"/>
  <c r="B2711" i="11"/>
  <c r="B2710" i="11"/>
  <c r="B2709" i="11"/>
  <c r="B2708" i="11"/>
  <c r="B2707" i="11"/>
  <c r="B2706" i="11"/>
  <c r="B2705" i="11"/>
  <c r="B2704" i="11"/>
  <c r="B2703" i="11"/>
  <c r="B2702" i="11"/>
  <c r="B2701" i="11"/>
  <c r="B2699" i="11"/>
  <c r="B2698" i="11"/>
  <c r="E2697" i="11"/>
  <c r="B2697" i="11"/>
  <c r="B2696" i="11"/>
  <c r="B2695" i="11"/>
  <c r="B2694" i="11"/>
  <c r="B2693" i="11"/>
  <c r="B2692" i="11"/>
  <c r="B2691" i="11"/>
  <c r="B2690" i="11"/>
  <c r="B2689" i="11"/>
  <c r="B2688" i="11"/>
  <c r="B2687" i="11"/>
  <c r="B2686" i="11"/>
  <c r="B2685" i="11"/>
  <c r="B2684" i="11"/>
  <c r="B2683" i="11"/>
  <c r="B2682" i="11"/>
  <c r="B2681" i="11"/>
  <c r="B2680" i="11"/>
  <c r="B2679" i="11"/>
  <c r="B2678" i="11"/>
  <c r="B2677" i="11"/>
  <c r="B2676" i="11"/>
  <c r="B2675" i="11"/>
  <c r="B2674" i="11"/>
  <c r="B2673" i="11"/>
  <c r="B2672" i="11"/>
  <c r="B2671" i="11"/>
  <c r="B2669" i="11"/>
  <c r="B2668" i="11"/>
  <c r="B2667" i="11"/>
  <c r="B2666" i="11"/>
  <c r="B2665" i="11"/>
  <c r="B2664" i="11"/>
  <c r="B2663" i="11"/>
  <c r="B2662" i="11"/>
  <c r="B2661" i="11"/>
  <c r="B2660" i="11"/>
  <c r="B2659" i="11"/>
  <c r="B2658" i="11"/>
  <c r="B2657" i="11"/>
  <c r="B2656" i="11"/>
  <c r="B2655" i="11"/>
  <c r="B2654" i="11"/>
  <c r="B2653" i="11"/>
  <c r="B2652" i="11"/>
  <c r="B2651" i="11"/>
  <c r="B2650" i="11"/>
  <c r="B2649" i="11"/>
  <c r="B2648" i="11"/>
  <c r="B2647" i="11"/>
  <c r="B2646" i="11"/>
  <c r="B2645" i="11"/>
  <c r="E2644" i="11"/>
  <c r="B2644" i="11"/>
  <c r="E2643" i="11"/>
  <c r="B2643" i="11"/>
  <c r="B2642" i="11"/>
  <c r="B2641" i="11"/>
  <c r="B2640" i="11"/>
  <c r="B2639" i="11"/>
  <c r="B2637" i="11"/>
  <c r="B2636" i="11"/>
  <c r="B2635" i="11"/>
  <c r="B2634" i="11"/>
  <c r="B2633" i="11"/>
  <c r="B2632" i="11"/>
  <c r="B2631" i="11"/>
  <c r="B2630" i="11"/>
  <c r="B2629" i="11"/>
  <c r="B2628" i="11"/>
  <c r="B2627" i="11"/>
  <c r="B2626" i="11"/>
  <c r="B2625" i="11"/>
  <c r="B2624" i="11"/>
  <c r="B2621" i="11"/>
  <c r="B2623" i="11"/>
  <c r="B2620" i="11"/>
  <c r="B2619" i="11"/>
  <c r="B2618" i="11"/>
  <c r="B2617" i="11"/>
  <c r="B2622" i="11"/>
  <c r="B2616" i="11"/>
  <c r="B2615" i="11"/>
  <c r="B2614" i="11"/>
  <c r="B2613" i="11"/>
  <c r="B2612" i="11"/>
  <c r="E2611" i="11"/>
  <c r="B2611" i="11"/>
  <c r="B2610" i="11"/>
  <c r="B2609" i="11"/>
  <c r="B2608" i="11"/>
  <c r="B2607" i="11"/>
  <c r="E2606" i="11"/>
  <c r="B2606" i="11"/>
  <c r="B2605" i="11"/>
  <c r="B2604" i="11"/>
  <c r="E2603" i="11"/>
  <c r="B2603" i="11"/>
  <c r="B2601" i="11"/>
  <c r="B2600" i="11"/>
  <c r="B2599" i="11"/>
  <c r="B2598" i="11"/>
  <c r="B2597" i="11"/>
  <c r="B2596" i="11"/>
  <c r="B2602" i="11"/>
  <c r="B2595" i="11"/>
  <c r="B2594" i="11"/>
  <c r="B2593" i="11"/>
  <c r="B2591" i="11"/>
  <c r="B2590" i="11"/>
  <c r="B2589" i="11"/>
  <c r="B2588" i="11"/>
  <c r="B2587" i="11"/>
  <c r="B2586" i="11"/>
  <c r="B2585" i="11"/>
  <c r="B2584" i="11"/>
  <c r="B2583" i="11"/>
  <c r="B2582" i="11"/>
  <c r="B2581" i="11"/>
  <c r="B2580" i="11"/>
  <c r="B2579" i="11"/>
  <c r="B2578" i="11"/>
  <c r="B2577" i="11"/>
  <c r="B2576" i="11"/>
  <c r="B2575" i="11"/>
  <c r="B2574" i="11"/>
  <c r="B2573" i="11"/>
  <c r="B2572" i="11"/>
  <c r="B2571" i="11"/>
  <c r="B2570" i="11"/>
  <c r="B2569" i="11"/>
  <c r="B2568" i="11"/>
  <c r="B2567" i="11"/>
  <c r="B2565" i="11"/>
  <c r="E2564" i="11"/>
  <c r="B2564" i="11"/>
  <c r="B2563" i="11"/>
  <c r="B2562" i="11"/>
  <c r="B2561" i="11"/>
  <c r="B2560" i="11"/>
  <c r="B2559" i="11"/>
  <c r="B2558" i="11"/>
  <c r="B2557" i="11"/>
  <c r="B2556" i="11"/>
  <c r="B2555" i="11"/>
  <c r="B2554" i="11"/>
  <c r="B2553" i="11"/>
  <c r="B2552" i="11"/>
  <c r="B2551" i="11"/>
  <c r="B2550" i="11"/>
  <c r="E2549" i="11"/>
  <c r="B2549" i="11"/>
  <c r="B2548" i="11"/>
  <c r="B2547" i="11"/>
  <c r="B2546" i="11"/>
  <c r="B2545" i="11"/>
  <c r="B2544" i="11"/>
  <c r="B2543" i="11"/>
  <c r="B2542" i="11"/>
  <c r="B2541" i="11"/>
  <c r="B2540" i="11"/>
  <c r="B2539" i="11"/>
  <c r="B2538" i="11"/>
  <c r="B2537" i="11"/>
  <c r="B2536" i="11"/>
  <c r="B2535" i="11"/>
  <c r="B2534" i="11"/>
  <c r="B2532" i="11"/>
  <c r="B2531" i="11"/>
  <c r="B2530" i="11"/>
  <c r="B2529" i="11"/>
  <c r="B2528" i="11"/>
  <c r="B2527" i="11"/>
  <c r="B2526" i="11"/>
  <c r="B2525" i="11"/>
  <c r="B2524" i="11"/>
  <c r="B2523" i="11"/>
  <c r="B2522" i="11"/>
  <c r="B2521" i="11"/>
  <c r="B2520" i="11"/>
  <c r="B2519" i="11"/>
  <c r="B2518" i="11"/>
  <c r="B2517" i="11"/>
  <c r="B2516" i="11"/>
  <c r="B2515" i="11"/>
  <c r="B2514" i="11"/>
  <c r="B2513" i="11"/>
  <c r="B2512" i="11"/>
  <c r="B2511" i="11"/>
  <c r="B2510" i="11"/>
  <c r="B2509" i="11"/>
  <c r="B2508" i="11"/>
  <c r="B2507" i="11"/>
  <c r="B2506" i="11"/>
  <c r="B2505" i="11"/>
  <c r="B2504" i="11"/>
  <c r="B2503" i="11"/>
  <c r="B2502" i="11"/>
  <c r="B2501" i="11"/>
  <c r="B2500" i="11"/>
  <c r="B2499" i="11"/>
  <c r="B2498" i="11"/>
  <c r="B2497" i="11"/>
  <c r="B2496" i="11"/>
  <c r="B2494" i="11"/>
  <c r="B2493" i="11"/>
  <c r="B2492" i="11"/>
  <c r="B2491" i="11"/>
  <c r="B2490" i="11"/>
  <c r="B2489" i="11"/>
  <c r="B2488" i="11"/>
  <c r="B2487" i="11"/>
  <c r="B2486" i="11"/>
  <c r="B2485" i="11"/>
  <c r="B2484" i="11"/>
  <c r="B2483" i="11"/>
  <c r="B2482" i="11"/>
  <c r="B2481" i="11"/>
  <c r="B2480" i="11"/>
  <c r="B2479" i="11"/>
  <c r="B2478" i="11"/>
  <c r="B2477" i="11"/>
  <c r="B2476" i="11"/>
  <c r="B2475" i="11"/>
  <c r="B2474" i="11"/>
  <c r="B2473" i="11"/>
  <c r="B2472" i="11"/>
  <c r="B2471" i="11"/>
  <c r="B2470" i="11"/>
  <c r="B2469" i="11"/>
  <c r="B2468" i="11"/>
  <c r="B2467" i="11"/>
  <c r="B2466" i="11"/>
  <c r="B2465" i="11"/>
  <c r="B2463" i="11"/>
  <c r="B2462" i="11"/>
  <c r="B2461" i="11"/>
  <c r="B2460" i="11"/>
  <c r="B2459" i="11"/>
  <c r="B2458" i="11"/>
  <c r="B2457" i="11"/>
  <c r="B2456" i="11"/>
  <c r="B2455" i="11"/>
  <c r="B2454" i="11"/>
  <c r="B2453" i="11"/>
  <c r="B2452" i="11"/>
  <c r="B2451" i="11"/>
  <c r="B2450" i="11"/>
  <c r="B2449" i="11"/>
  <c r="B2448" i="11"/>
  <c r="B2447" i="11"/>
  <c r="B2446" i="11"/>
  <c r="B2445" i="11"/>
  <c r="B2444" i="11"/>
  <c r="B2443" i="11"/>
  <c r="B2442" i="11"/>
  <c r="B2441" i="11"/>
  <c r="B2440" i="11"/>
  <c r="B2439" i="11"/>
  <c r="B2438" i="11"/>
  <c r="B2437" i="11"/>
  <c r="B2436" i="11"/>
  <c r="B2434" i="11"/>
  <c r="B2433" i="11"/>
  <c r="B2432" i="11"/>
  <c r="B2431" i="11"/>
  <c r="B2430" i="11"/>
  <c r="B2429" i="11"/>
  <c r="B2428" i="11"/>
  <c r="B2427" i="11"/>
  <c r="B2426" i="11"/>
  <c r="B2425" i="11"/>
  <c r="B2424" i="11"/>
  <c r="B2423" i="11"/>
  <c r="B2422" i="11"/>
  <c r="B2421" i="11"/>
  <c r="B2420" i="11"/>
  <c r="B2419" i="11"/>
  <c r="B2418" i="11"/>
  <c r="B2417" i="11"/>
  <c r="B2416" i="11"/>
  <c r="B2415" i="11"/>
  <c r="B2414" i="11"/>
  <c r="B2413" i="11"/>
  <c r="B2412" i="11"/>
  <c r="B2411" i="11"/>
  <c r="B2410" i="11"/>
  <c r="B2409" i="11"/>
  <c r="B2408" i="11"/>
  <c r="B2407" i="11"/>
  <c r="B2406" i="11"/>
  <c r="B2405" i="11"/>
  <c r="B2404" i="11"/>
  <c r="B2403" i="11"/>
  <c r="B2402" i="11"/>
  <c r="B2401" i="11"/>
  <c r="B2400" i="11"/>
  <c r="B2399" i="11"/>
  <c r="B2398" i="11"/>
  <c r="B2397" i="11"/>
  <c r="B2396" i="11"/>
  <c r="B2395" i="11"/>
  <c r="B2394" i="11"/>
  <c r="B2393" i="11"/>
  <c r="B2392" i="11"/>
  <c r="B2391" i="11"/>
  <c r="B2390" i="11"/>
  <c r="B2389" i="11"/>
  <c r="B2388" i="11"/>
  <c r="B2387" i="11"/>
  <c r="B2385" i="11"/>
  <c r="B2384" i="11"/>
  <c r="B2383" i="11"/>
  <c r="B2382" i="11"/>
  <c r="B2381" i="11"/>
  <c r="B2380" i="11"/>
  <c r="B2379" i="11"/>
  <c r="B2378" i="11"/>
  <c r="B2377" i="11"/>
  <c r="B2376" i="11"/>
  <c r="B2375" i="11"/>
  <c r="B2374" i="11"/>
  <c r="B2373" i="11"/>
  <c r="B2372" i="11"/>
  <c r="B2371" i="11"/>
  <c r="B2370" i="11"/>
  <c r="B2369" i="11"/>
  <c r="B2368" i="11"/>
  <c r="B2367" i="11"/>
  <c r="B2365" i="11"/>
  <c r="B2364" i="11"/>
  <c r="B2363" i="11"/>
  <c r="B2362" i="11"/>
  <c r="B2361" i="11"/>
  <c r="B2360" i="11"/>
  <c r="B2359" i="11"/>
  <c r="B2358" i="11"/>
  <c r="B2357" i="11"/>
  <c r="B2356" i="11"/>
  <c r="B2355" i="11"/>
  <c r="B2354" i="11"/>
  <c r="B2353" i="11"/>
  <c r="B2352" i="11"/>
  <c r="B2351" i="11"/>
  <c r="B2350" i="11"/>
  <c r="B2349" i="11"/>
  <c r="B2348" i="11"/>
  <c r="B2347" i="11"/>
  <c r="B2346" i="11"/>
  <c r="B2345" i="11"/>
  <c r="B2344" i="11"/>
  <c r="C2343" i="11"/>
  <c r="B2343" i="11"/>
  <c r="B2342" i="11"/>
  <c r="B2341" i="11"/>
  <c r="B2340" i="11"/>
  <c r="B2339" i="11"/>
  <c r="B2338" i="11"/>
  <c r="B2337" i="11"/>
  <c r="B2336" i="11"/>
  <c r="B2335" i="11"/>
  <c r="B2334" i="11"/>
  <c r="B2333" i="11"/>
  <c r="B2332" i="11"/>
  <c r="B2331" i="11"/>
  <c r="B2330" i="11"/>
  <c r="B2329" i="11"/>
  <c r="B2328" i="11"/>
  <c r="B2327" i="11"/>
  <c r="B2326" i="11"/>
  <c r="B2325" i="11"/>
  <c r="B2324" i="11"/>
  <c r="B2323" i="11"/>
  <c r="B2322" i="11"/>
  <c r="B2321" i="11"/>
  <c r="B2320" i="11"/>
  <c r="B2318" i="11"/>
  <c r="B2317" i="11"/>
  <c r="B2316" i="11"/>
  <c r="B2315" i="11"/>
  <c r="B2314" i="11"/>
  <c r="B2313" i="11"/>
  <c r="B2312" i="11"/>
  <c r="B2311" i="11"/>
  <c r="B2310" i="11"/>
  <c r="B2309" i="11"/>
  <c r="B2308" i="11"/>
  <c r="B2307" i="11"/>
  <c r="B2306" i="11"/>
  <c r="B2305" i="11"/>
  <c r="B2304" i="11"/>
  <c r="B2303" i="11"/>
  <c r="B2302" i="11"/>
  <c r="B2301" i="11"/>
  <c r="B2300" i="11"/>
  <c r="B2299" i="11"/>
  <c r="B2298" i="11"/>
  <c r="B2297" i="11"/>
  <c r="B2296" i="11"/>
  <c r="B2295" i="11"/>
  <c r="B2294" i="11"/>
  <c r="B2293" i="11"/>
  <c r="B2292" i="11"/>
  <c r="B2291" i="11"/>
  <c r="B2289" i="11"/>
  <c r="B2288" i="11"/>
  <c r="B2287" i="11"/>
  <c r="B2286" i="11"/>
  <c r="B2285" i="11"/>
  <c r="B2284" i="11"/>
  <c r="B2283" i="11"/>
  <c r="B2282" i="11"/>
  <c r="B2281" i="11"/>
  <c r="B2280" i="11"/>
  <c r="B2278" i="11"/>
  <c r="B2277" i="11"/>
  <c r="B2276" i="11"/>
  <c r="B2275" i="11"/>
  <c r="B2274" i="11"/>
  <c r="B2273" i="11"/>
  <c r="B2272" i="11"/>
  <c r="B2271" i="11"/>
  <c r="B2270" i="11"/>
  <c r="B2269" i="11"/>
  <c r="B2268" i="11"/>
  <c r="B2267" i="11"/>
  <c r="B2266" i="11"/>
  <c r="B2265" i="11"/>
  <c r="B2264" i="11"/>
  <c r="B2263" i="11"/>
  <c r="B2262" i="11"/>
  <c r="B2261" i="11"/>
  <c r="B2260" i="11"/>
  <c r="B2259" i="11"/>
  <c r="B2258" i="11"/>
  <c r="B2257" i="11"/>
  <c r="B2255" i="11"/>
  <c r="B2254" i="11"/>
  <c r="B2253" i="11"/>
  <c r="B2252" i="11"/>
  <c r="B2251" i="11"/>
  <c r="B2250" i="11"/>
  <c r="B2249" i="11"/>
  <c r="B2248" i="11"/>
  <c r="B2247" i="11"/>
  <c r="B2246" i="11"/>
  <c r="B2245" i="11"/>
  <c r="B2244" i="11"/>
  <c r="B2243" i="11"/>
  <c r="B2242" i="11"/>
  <c r="B2241" i="11"/>
  <c r="B2240" i="11"/>
  <c r="B2239" i="11"/>
  <c r="B2238" i="11"/>
  <c r="B2237" i="11"/>
  <c r="B2236" i="11"/>
  <c r="B2235" i="11"/>
  <c r="B2234" i="11"/>
  <c r="B2233" i="11"/>
  <c r="B2232" i="11"/>
  <c r="B2231" i="11"/>
  <c r="B2230" i="11"/>
  <c r="B2229" i="11"/>
  <c r="B2228" i="11"/>
  <c r="B2227" i="11"/>
  <c r="B2226" i="11"/>
  <c r="B2225" i="11"/>
  <c r="B2224" i="11"/>
  <c r="B2223" i="11"/>
  <c r="B2222" i="11"/>
  <c r="B2221" i="11"/>
  <c r="B2220" i="11"/>
  <c r="B2219" i="11"/>
  <c r="B2218" i="11"/>
  <c r="B2217" i="11"/>
  <c r="B2216" i="11"/>
  <c r="B2215" i="11"/>
  <c r="B2214" i="11"/>
  <c r="B2213" i="11"/>
  <c r="B2212" i="11"/>
  <c r="B2211" i="11"/>
  <c r="B2210" i="11"/>
  <c r="B2208" i="11"/>
  <c r="B2207" i="11"/>
  <c r="B2206" i="11"/>
  <c r="B2205" i="11"/>
  <c r="B2204" i="11"/>
  <c r="B2203" i="11"/>
  <c r="B2202" i="11"/>
  <c r="B2201" i="11"/>
  <c r="B2200" i="11"/>
  <c r="B2199" i="11"/>
  <c r="B2198" i="11"/>
  <c r="B2197" i="11"/>
  <c r="B2196" i="11"/>
  <c r="B2195" i="11"/>
  <c r="B2194" i="11"/>
  <c r="B2193" i="11"/>
  <c r="B2192" i="11"/>
  <c r="B2191" i="11"/>
  <c r="B2190" i="11"/>
  <c r="B2189" i="11"/>
  <c r="B2188" i="11"/>
  <c r="B2187" i="11"/>
  <c r="E2186" i="11"/>
  <c r="B2186" i="11"/>
  <c r="B2185" i="11"/>
  <c r="B2184" i="11"/>
  <c r="B2183" i="11"/>
  <c r="B2182" i="11"/>
  <c r="B2181" i="11"/>
  <c r="B2180" i="11"/>
  <c r="B2179" i="11"/>
  <c r="B2178" i="11"/>
  <c r="B2177" i="11"/>
  <c r="B2176" i="11"/>
  <c r="B2175" i="11"/>
  <c r="B2174" i="11"/>
  <c r="B2173" i="11"/>
  <c r="B2172" i="11"/>
  <c r="B2171" i="11"/>
  <c r="B2170" i="11"/>
  <c r="B2169" i="11"/>
  <c r="B2168" i="11"/>
  <c r="B2167" i="11"/>
  <c r="B2166" i="11"/>
  <c r="B2164" i="11"/>
  <c r="B2163" i="11"/>
  <c r="B2162" i="11"/>
  <c r="B2161" i="11"/>
  <c r="B2160" i="11"/>
  <c r="B2159" i="11"/>
  <c r="B2158" i="11"/>
  <c r="B2157" i="11"/>
  <c r="B2156" i="11"/>
  <c r="B2155" i="11"/>
  <c r="B2154" i="11"/>
  <c r="B2153" i="11"/>
  <c r="B2152" i="11"/>
  <c r="B2151" i="11"/>
  <c r="B2150" i="11"/>
  <c r="B2149" i="11"/>
  <c r="B2148" i="11"/>
  <c r="B2147" i="11"/>
  <c r="B2146" i="11"/>
  <c r="B2145" i="11"/>
  <c r="B2144" i="11"/>
  <c r="B2143" i="11"/>
  <c r="B2142" i="11"/>
  <c r="B2141" i="11"/>
  <c r="B2140" i="11"/>
  <c r="B2139" i="11"/>
  <c r="B2138" i="11"/>
  <c r="B2137" i="11"/>
  <c r="B2136" i="11"/>
  <c r="B2135" i="11"/>
  <c r="B2134" i="11"/>
  <c r="B2133" i="11"/>
  <c r="B2132" i="11"/>
  <c r="B2131" i="11"/>
  <c r="B2130" i="11"/>
  <c r="B2129" i="11"/>
  <c r="B2128" i="11"/>
  <c r="B2127" i="11"/>
  <c r="B2126" i="11"/>
  <c r="B2125" i="11"/>
  <c r="B2124" i="11"/>
  <c r="B2123" i="11"/>
  <c r="B2122" i="11"/>
  <c r="B2121" i="11"/>
  <c r="B2120" i="11"/>
  <c r="B2119" i="11"/>
  <c r="B2118" i="11"/>
  <c r="B2117" i="11"/>
  <c r="B2116" i="11"/>
  <c r="B2115" i="11"/>
  <c r="B2114" i="11"/>
  <c r="B2113" i="11"/>
  <c r="B2112" i="11"/>
  <c r="B2110" i="11"/>
  <c r="B2109" i="11"/>
  <c r="B2108" i="11"/>
  <c r="B2107" i="11"/>
  <c r="B2106" i="11"/>
  <c r="B2105" i="11"/>
  <c r="B2104" i="11"/>
  <c r="B2103" i="11"/>
  <c r="B2101" i="11"/>
  <c r="B2100" i="11"/>
  <c r="B2099" i="11"/>
  <c r="B2098" i="11"/>
  <c r="B2097" i="11"/>
  <c r="B2096" i="11"/>
  <c r="B2095" i="11"/>
  <c r="B2094" i="11"/>
  <c r="B2093" i="11"/>
  <c r="B2092" i="11"/>
  <c r="B2091" i="11"/>
  <c r="B2090" i="11"/>
  <c r="B2089" i="11"/>
  <c r="B2088" i="11"/>
  <c r="B2087" i="11"/>
  <c r="B2086" i="11"/>
  <c r="B2085" i="11"/>
  <c r="B2084" i="11"/>
  <c r="B2083" i="11"/>
  <c r="B2082" i="11"/>
  <c r="B2081" i="11"/>
  <c r="B2080" i="11"/>
  <c r="B2079" i="11"/>
  <c r="B2078" i="11"/>
  <c r="B2077" i="11"/>
  <c r="B2076" i="11"/>
  <c r="B2075" i="11"/>
  <c r="B2074" i="11"/>
  <c r="B2073" i="11"/>
  <c r="B2072" i="11"/>
  <c r="B2071" i="11"/>
  <c r="B2070" i="11"/>
  <c r="B2069" i="11"/>
  <c r="B2068" i="11"/>
  <c r="B2067" i="11"/>
  <c r="B2066" i="11"/>
  <c r="B2065" i="11"/>
  <c r="B2064" i="11"/>
  <c r="B2063" i="11"/>
  <c r="B2062" i="11"/>
  <c r="B2061" i="11"/>
  <c r="B2060" i="11"/>
  <c r="B2059" i="11"/>
  <c r="B2058" i="11"/>
  <c r="B2057" i="11"/>
  <c r="B2056" i="11"/>
  <c r="B2055" i="11"/>
  <c r="B2054" i="11"/>
  <c r="B2052" i="11"/>
  <c r="B2051" i="11"/>
  <c r="B2050" i="11"/>
  <c r="B2049" i="11"/>
  <c r="B2048" i="11"/>
  <c r="B2047" i="11"/>
  <c r="B2046" i="11"/>
  <c r="B2045" i="11"/>
  <c r="B2044" i="11"/>
  <c r="B2043" i="11"/>
  <c r="B2042" i="11"/>
  <c r="B2041" i="11"/>
  <c r="B2040" i="11"/>
  <c r="B2039" i="11"/>
  <c r="B2038" i="11"/>
  <c r="B2037" i="11"/>
  <c r="B2036" i="11"/>
  <c r="B2035" i="11"/>
  <c r="B2034" i="11"/>
  <c r="B2033" i="11"/>
  <c r="B2032" i="11"/>
  <c r="B2031" i="11"/>
  <c r="B2029" i="11"/>
  <c r="B2028" i="11"/>
  <c r="B2027" i="11"/>
  <c r="B2026" i="11"/>
  <c r="B2025" i="11"/>
  <c r="B2024" i="11"/>
  <c r="B2023" i="11"/>
  <c r="B2022" i="11"/>
  <c r="B2021" i="11"/>
  <c r="B2020" i="11"/>
  <c r="B2019" i="11"/>
  <c r="B2018" i="11"/>
  <c r="B2017" i="11"/>
  <c r="B2016" i="11"/>
  <c r="B2015" i="11"/>
  <c r="B2014" i="11"/>
  <c r="B2013" i="11"/>
  <c r="B2012" i="11"/>
  <c r="B2011" i="11"/>
  <c r="B2010" i="11"/>
  <c r="B2008" i="11"/>
  <c r="B2007" i="11"/>
  <c r="B2006" i="11"/>
  <c r="B2005" i="11"/>
  <c r="B2004" i="11"/>
  <c r="B2003" i="11"/>
  <c r="B2002" i="11"/>
  <c r="B2001" i="11"/>
  <c r="B2000" i="11"/>
  <c r="B1999" i="11"/>
  <c r="B1998" i="11"/>
  <c r="B1997" i="11"/>
  <c r="B1996" i="11"/>
  <c r="B1995" i="11"/>
  <c r="B1994" i="11"/>
  <c r="B1993" i="11"/>
  <c r="B1992" i="11"/>
  <c r="B1991" i="11"/>
  <c r="B1990" i="11"/>
  <c r="B1989" i="11"/>
  <c r="B1988" i="11"/>
  <c r="B1987" i="11"/>
  <c r="B1986" i="11"/>
  <c r="B1985" i="11"/>
  <c r="B1984" i="11"/>
  <c r="B1983" i="11"/>
  <c r="B1982" i="11"/>
  <c r="B1981" i="11"/>
  <c r="B1980" i="11"/>
  <c r="B1979" i="11"/>
  <c r="B1978" i="11"/>
  <c r="B1977" i="11"/>
  <c r="B1976" i="11"/>
  <c r="B1975" i="11"/>
  <c r="B1974" i="11"/>
  <c r="B1972" i="11"/>
  <c r="B1971" i="11"/>
  <c r="B1970" i="11"/>
  <c r="B1969" i="11"/>
  <c r="B1968" i="11"/>
  <c r="B1967" i="11"/>
  <c r="B1966" i="11"/>
  <c r="B1965" i="11"/>
  <c r="B1964" i="11"/>
  <c r="B1963" i="11"/>
  <c r="B1962" i="11"/>
  <c r="B1961" i="11"/>
  <c r="B1960" i="11"/>
  <c r="B1959" i="11"/>
  <c r="B1958" i="11"/>
  <c r="B1957" i="11"/>
  <c r="B1956" i="11"/>
  <c r="B1955" i="11"/>
  <c r="B1954" i="11"/>
  <c r="B1953" i="11"/>
  <c r="B1952" i="11"/>
  <c r="B1951" i="11"/>
  <c r="B1950" i="11"/>
  <c r="B1949" i="11"/>
  <c r="B1948" i="11"/>
  <c r="B1947" i="11"/>
  <c r="B1946" i="11"/>
  <c r="B1945" i="11"/>
  <c r="B1944" i="11"/>
  <c r="B1943" i="11"/>
  <c r="B1942" i="11"/>
  <c r="B1941" i="11"/>
  <c r="B1940" i="11"/>
  <c r="B1939" i="11"/>
  <c r="B1938" i="11"/>
  <c r="B1937" i="11"/>
  <c r="B1936" i="11"/>
  <c r="B1934" i="11"/>
  <c r="B1933" i="11"/>
  <c r="B1932" i="11"/>
  <c r="B1931" i="11"/>
  <c r="B1930" i="11"/>
  <c r="B1929" i="11"/>
  <c r="B1928" i="11"/>
  <c r="B1927" i="11"/>
  <c r="B1926" i="11"/>
  <c r="B1925" i="11"/>
  <c r="B1924" i="11"/>
  <c r="B1923" i="11"/>
  <c r="B1922" i="11"/>
  <c r="B1921" i="11"/>
  <c r="B1920" i="11"/>
  <c r="B1919" i="11"/>
  <c r="B1918" i="11"/>
  <c r="B1917" i="11"/>
  <c r="B1916" i="11"/>
  <c r="B1915" i="11"/>
  <c r="B1914" i="11"/>
  <c r="B1913" i="11"/>
  <c r="B1912" i="11"/>
  <c r="B1911" i="11"/>
  <c r="B1910" i="11"/>
  <c r="B1909" i="11"/>
  <c r="B1908" i="11"/>
  <c r="B1907" i="11"/>
  <c r="B1906" i="11"/>
  <c r="B1905" i="11"/>
  <c r="B1904" i="11"/>
  <c r="E1903" i="11"/>
  <c r="B1903" i="11"/>
  <c r="B1902" i="11"/>
  <c r="B1901" i="11"/>
  <c r="B1900" i="11"/>
  <c r="B1899" i="11"/>
  <c r="B1898" i="11"/>
  <c r="B1897" i="11"/>
  <c r="B1896" i="11"/>
  <c r="B1894" i="11"/>
  <c r="B1893" i="11"/>
  <c r="B1892" i="11"/>
  <c r="B1891" i="11"/>
  <c r="B1890" i="11"/>
  <c r="B1889" i="11"/>
  <c r="B1888" i="11"/>
  <c r="B1887" i="11"/>
  <c r="B1886" i="11"/>
  <c r="B1885" i="11"/>
  <c r="B1884" i="11"/>
  <c r="B1883" i="11"/>
  <c r="B1882" i="11"/>
  <c r="B1881" i="11"/>
  <c r="B1880" i="11"/>
  <c r="B1879" i="11"/>
  <c r="B1878" i="11"/>
  <c r="B1877" i="11"/>
  <c r="B1876" i="11"/>
  <c r="B1875" i="11"/>
  <c r="B1874" i="11"/>
  <c r="B1873" i="11"/>
  <c r="B1872" i="11"/>
  <c r="B1871" i="11"/>
  <c r="B1870" i="11"/>
  <c r="B1869" i="11"/>
  <c r="B1868" i="11"/>
  <c r="B1867" i="11"/>
  <c r="B1866" i="11"/>
  <c r="B1865" i="11"/>
  <c r="B1864" i="11"/>
  <c r="B1863" i="11"/>
  <c r="B1861" i="11"/>
  <c r="B1860" i="11"/>
  <c r="B1859" i="11"/>
  <c r="B1858" i="11"/>
  <c r="B1857" i="11"/>
  <c r="B1856" i="11"/>
  <c r="B1855" i="11"/>
  <c r="B1854" i="11"/>
  <c r="B1853" i="11"/>
  <c r="B1852" i="11"/>
  <c r="B1851" i="11"/>
  <c r="B1850" i="11"/>
  <c r="B1849" i="11"/>
  <c r="B1848" i="11"/>
  <c r="B1847" i="11"/>
  <c r="B1846" i="11"/>
  <c r="B1845" i="11"/>
  <c r="B1844" i="11"/>
  <c r="B1843" i="11"/>
  <c r="B1842" i="11"/>
  <c r="B1841" i="11"/>
  <c r="B1840" i="11"/>
  <c r="B1839" i="11"/>
  <c r="B1838" i="11"/>
  <c r="B1837" i="11"/>
  <c r="B1836" i="11"/>
  <c r="B1835" i="11"/>
  <c r="B1834" i="11"/>
  <c r="B1833" i="11"/>
  <c r="B1831" i="11"/>
  <c r="B1830" i="11"/>
  <c r="B1829" i="11"/>
  <c r="B1828" i="11"/>
  <c r="B1827" i="11"/>
  <c r="B1826" i="11"/>
  <c r="B1825" i="11"/>
  <c r="B1824" i="11"/>
  <c r="B1823" i="11"/>
  <c r="B1822" i="11"/>
  <c r="B1821" i="11"/>
  <c r="B1820" i="11"/>
  <c r="B1819" i="11"/>
  <c r="B1818" i="11"/>
  <c r="B1817" i="11"/>
  <c r="B1816" i="11"/>
  <c r="E1815" i="11"/>
  <c r="B1815" i="11"/>
  <c r="B1814" i="11"/>
  <c r="B1812" i="11"/>
  <c r="B1811" i="11"/>
  <c r="B1810" i="11"/>
  <c r="B1809" i="11"/>
  <c r="B1808" i="11"/>
  <c r="B1807" i="11"/>
  <c r="B1806" i="11"/>
  <c r="B1805" i="11"/>
  <c r="B1804" i="11"/>
  <c r="B1803" i="11"/>
  <c r="B1802" i="11"/>
  <c r="B1801" i="11"/>
  <c r="B1800" i="11"/>
  <c r="B1799" i="11"/>
  <c r="B1798" i="11"/>
  <c r="B1797" i="11"/>
  <c r="B1796" i="11"/>
  <c r="B1795" i="11"/>
  <c r="B1794" i="11"/>
  <c r="B1793" i="11"/>
  <c r="B1792" i="11"/>
  <c r="B1791" i="11"/>
  <c r="B1790" i="11"/>
  <c r="B1789" i="11"/>
  <c r="B1788" i="11"/>
  <c r="B1787" i="11"/>
  <c r="B1785" i="11"/>
  <c r="B1784" i="11"/>
  <c r="B1783" i="11"/>
  <c r="B1782" i="11"/>
  <c r="B1781" i="11"/>
  <c r="B1780" i="11"/>
  <c r="B1779" i="11"/>
  <c r="B1778" i="11"/>
  <c r="B1777" i="11"/>
  <c r="B1776" i="11"/>
  <c r="B1775" i="11"/>
  <c r="B1774" i="11"/>
  <c r="B1773" i="11"/>
  <c r="B1772" i="11"/>
  <c r="B1771" i="11"/>
  <c r="B1770" i="11"/>
  <c r="B1769" i="11"/>
  <c r="B1768" i="11"/>
  <c r="B1767" i="11"/>
  <c r="B1765" i="11"/>
  <c r="B1764" i="11"/>
  <c r="B1763" i="11"/>
  <c r="B1762" i="11"/>
  <c r="B1761" i="11"/>
  <c r="B1760" i="11"/>
  <c r="B1759" i="11"/>
  <c r="B1758" i="11"/>
  <c r="B1757" i="11"/>
  <c r="B1756" i="11"/>
  <c r="B1755" i="11"/>
  <c r="B1754" i="11"/>
  <c r="B1750" i="11"/>
  <c r="B1749" i="11"/>
  <c r="B1748" i="11"/>
  <c r="B1747" i="11"/>
  <c r="B1746" i="11"/>
  <c r="B1745" i="11"/>
  <c r="B1744" i="11"/>
  <c r="B1743" i="11"/>
  <c r="B1742" i="11"/>
  <c r="B1741" i="11"/>
  <c r="B1740" i="11"/>
  <c r="B1739" i="11"/>
  <c r="B1738" i="11"/>
  <c r="B1737" i="11"/>
  <c r="B1736" i="11"/>
  <c r="B1735" i="11"/>
  <c r="B1734" i="11"/>
  <c r="B1733" i="11"/>
  <c r="B1731" i="11"/>
  <c r="B1730" i="11"/>
  <c r="B1729" i="11"/>
  <c r="B1728" i="11"/>
  <c r="B1727" i="11"/>
  <c r="B1726" i="11"/>
  <c r="B1725" i="11"/>
  <c r="B1724" i="11"/>
  <c r="B1723" i="11"/>
  <c r="B1722" i="11"/>
  <c r="B1721" i="11"/>
  <c r="B1720" i="11"/>
  <c r="B1719" i="11"/>
  <c r="B1718" i="11"/>
  <c r="B1717" i="11"/>
  <c r="B1716" i="11"/>
  <c r="B1715" i="11"/>
  <c r="B1714" i="11"/>
  <c r="B1713" i="11"/>
  <c r="B1712" i="11"/>
  <c r="B1711" i="11"/>
  <c r="B1710" i="11"/>
  <c r="B1709" i="11"/>
  <c r="B1708" i="11"/>
  <c r="B1707" i="11"/>
  <c r="B1706" i="11"/>
  <c r="B1705" i="11"/>
  <c r="B1704" i="11"/>
  <c r="B1703" i="11"/>
  <c r="B1702" i="11"/>
  <c r="B1701" i="11"/>
  <c r="B1700" i="11"/>
  <c r="E1698" i="11"/>
  <c r="B1698" i="11"/>
  <c r="B1697" i="11"/>
  <c r="B1696" i="11"/>
  <c r="B1695" i="11"/>
  <c r="B1694" i="11"/>
  <c r="B1693" i="11"/>
  <c r="B1692" i="11"/>
  <c r="B1691" i="11"/>
  <c r="B1690" i="11"/>
  <c r="B1689" i="11"/>
  <c r="B1688" i="11"/>
  <c r="B1687" i="11"/>
  <c r="B1686" i="11"/>
  <c r="B1685" i="11"/>
  <c r="B1684" i="11"/>
  <c r="B1683" i="11"/>
  <c r="B1682" i="11"/>
  <c r="B1681" i="11"/>
  <c r="B1680" i="11"/>
  <c r="B1679" i="11"/>
  <c r="B1678" i="11"/>
  <c r="B1677" i="11"/>
  <c r="B1676" i="11"/>
  <c r="B1674" i="11"/>
  <c r="B1673" i="11"/>
  <c r="B1672" i="11"/>
  <c r="B1671" i="11"/>
  <c r="B1670" i="11"/>
  <c r="E1669" i="11"/>
  <c r="B1669" i="11"/>
  <c r="B1668" i="11"/>
  <c r="B1667" i="11"/>
  <c r="B1666" i="11"/>
  <c r="B1665" i="11"/>
  <c r="B1664" i="11"/>
  <c r="B1663" i="11"/>
  <c r="B1662" i="11"/>
  <c r="B1661" i="11"/>
  <c r="B1660" i="11"/>
  <c r="B1659" i="11"/>
  <c r="B1658" i="11"/>
  <c r="B1657" i="11"/>
  <c r="B1656" i="11"/>
  <c r="B1655" i="11"/>
  <c r="B1654" i="11"/>
  <c r="B1653" i="11"/>
  <c r="B1652" i="11"/>
  <c r="B1651" i="11"/>
  <c r="B1650" i="11"/>
  <c r="B1649" i="11"/>
  <c r="B1648" i="11"/>
  <c r="B1647" i="11"/>
  <c r="B1646" i="11"/>
  <c r="B1645" i="11"/>
  <c r="B1644" i="11"/>
  <c r="B1643" i="11"/>
  <c r="B1642" i="11"/>
  <c r="B1641" i="11"/>
  <c r="B1640" i="11"/>
  <c r="B1639" i="11"/>
  <c r="B1638" i="11"/>
  <c r="B1637" i="11"/>
  <c r="B1636" i="11"/>
  <c r="E1635" i="11"/>
  <c r="B1635" i="11"/>
  <c r="B1634" i="11"/>
  <c r="B1633" i="11"/>
  <c r="B1632" i="11"/>
  <c r="B1631" i="11"/>
  <c r="B1630" i="11"/>
  <c r="B1629" i="11"/>
  <c r="E1628" i="11"/>
  <c r="B1628" i="11"/>
  <c r="B1627" i="11"/>
  <c r="B1626" i="11"/>
  <c r="B1625" i="11"/>
  <c r="B1624" i="11"/>
  <c r="B1623" i="11"/>
  <c r="B1622" i="11"/>
  <c r="B1621" i="11"/>
  <c r="B1620" i="11"/>
  <c r="B1619" i="11"/>
  <c r="B1618" i="11"/>
  <c r="B1617" i="11"/>
  <c r="B1616" i="11"/>
  <c r="B1615" i="11"/>
  <c r="B1614" i="11"/>
  <c r="B1613" i="11"/>
  <c r="B1612" i="11"/>
  <c r="B1611" i="11"/>
  <c r="B1610" i="11"/>
  <c r="B1609" i="11"/>
  <c r="B1608" i="11"/>
  <c r="B1607" i="11"/>
  <c r="B1606" i="11"/>
  <c r="B1605" i="11"/>
  <c r="B1604" i="11"/>
  <c r="B1603" i="11"/>
  <c r="B1602" i="11"/>
  <c r="B1601" i="11"/>
  <c r="B1600" i="11"/>
  <c r="B1599" i="11"/>
  <c r="B1598" i="11"/>
  <c r="B1597" i="11"/>
  <c r="B1596" i="11"/>
  <c r="B1595" i="11"/>
  <c r="B1594" i="11"/>
  <c r="B1593" i="11"/>
  <c r="B1592" i="11"/>
  <c r="B1591" i="11"/>
  <c r="B1590" i="11"/>
  <c r="B1589" i="11"/>
  <c r="B1588" i="11"/>
  <c r="B1587" i="11"/>
  <c r="B1586" i="11"/>
  <c r="B1585" i="11"/>
  <c r="B1584" i="11"/>
  <c r="B1583" i="11"/>
  <c r="B1582" i="11"/>
  <c r="B1581" i="11"/>
  <c r="B1580" i="11"/>
  <c r="B1579" i="11"/>
  <c r="B1578" i="11"/>
  <c r="B1577" i="11"/>
  <c r="B1576" i="11"/>
  <c r="B1575" i="11"/>
  <c r="B1574" i="11"/>
  <c r="B1573" i="11"/>
  <c r="B1572" i="11"/>
  <c r="B1571" i="11"/>
  <c r="B1570" i="11"/>
  <c r="B1569" i="11"/>
  <c r="B1568" i="11"/>
  <c r="B1566" i="11"/>
  <c r="B1565" i="11"/>
  <c r="B1564" i="11"/>
  <c r="B1563" i="11"/>
  <c r="B1562" i="11"/>
  <c r="B1561" i="11"/>
  <c r="B1560" i="11"/>
  <c r="B1559" i="11"/>
  <c r="B1558" i="11"/>
  <c r="B1557" i="11"/>
  <c r="B1556" i="11"/>
  <c r="B1555" i="11"/>
  <c r="B1554" i="11"/>
  <c r="B1553" i="11"/>
  <c r="B1552" i="11"/>
  <c r="B1551" i="11"/>
  <c r="B1550" i="11"/>
  <c r="B1549" i="11"/>
  <c r="B1548" i="11"/>
  <c r="B1547" i="11"/>
  <c r="B1546" i="11"/>
  <c r="B1545" i="11"/>
  <c r="B1544" i="11"/>
  <c r="B1543" i="11"/>
  <c r="B1542" i="11"/>
  <c r="B1541" i="11"/>
  <c r="B1540" i="11"/>
  <c r="B1539" i="11"/>
  <c r="B1538" i="11"/>
  <c r="B1537" i="11"/>
  <c r="B1536" i="11"/>
  <c r="B1535" i="11"/>
  <c r="B1533" i="11"/>
  <c r="B1532" i="11"/>
  <c r="B1531" i="11"/>
  <c r="B1530" i="11"/>
  <c r="B1529" i="11"/>
  <c r="B1528" i="11"/>
  <c r="B1527" i="11"/>
  <c r="B1526" i="11"/>
  <c r="B1525" i="11"/>
  <c r="B1524" i="11"/>
  <c r="B1523" i="11"/>
  <c r="B1522" i="11"/>
  <c r="B1521" i="11"/>
  <c r="B1520" i="11"/>
  <c r="B1519" i="11"/>
  <c r="B1518" i="11"/>
  <c r="B1517" i="11"/>
  <c r="B1516" i="11"/>
  <c r="E1515" i="11"/>
  <c r="B1515" i="11"/>
  <c r="B1514" i="11"/>
  <c r="B1513" i="11"/>
  <c r="B1512" i="11"/>
  <c r="B1511" i="11"/>
  <c r="B1510" i="11"/>
  <c r="B1509" i="11"/>
  <c r="B1508" i="11"/>
  <c r="B1507" i="11"/>
  <c r="B1506" i="11"/>
  <c r="B1505" i="11"/>
  <c r="B1504" i="11"/>
  <c r="B1503" i="11"/>
  <c r="B1502" i="11"/>
  <c r="B1500" i="11"/>
  <c r="B1499" i="11"/>
  <c r="B1498" i="11"/>
  <c r="B1497" i="11"/>
  <c r="B1496" i="11"/>
  <c r="B1495" i="11"/>
  <c r="B1494" i="11"/>
  <c r="B1493" i="11"/>
  <c r="B1492" i="11"/>
  <c r="B1491" i="11"/>
  <c r="B1490" i="11"/>
  <c r="B1489" i="11"/>
  <c r="B1488" i="11"/>
  <c r="B1487" i="11"/>
  <c r="B1486" i="11"/>
  <c r="B1485" i="11"/>
  <c r="B1484" i="11"/>
  <c r="B1483" i="11"/>
  <c r="B1482" i="11"/>
  <c r="B1481" i="11"/>
  <c r="B1480" i="11"/>
  <c r="B1479" i="11"/>
  <c r="B1478" i="11"/>
  <c r="B1477" i="11"/>
  <c r="B1476" i="11"/>
  <c r="B1475" i="11"/>
  <c r="B1474" i="11"/>
  <c r="B1473" i="11"/>
  <c r="B1472" i="11"/>
  <c r="B1471" i="11"/>
  <c r="B1470" i="11"/>
  <c r="B1469" i="11"/>
  <c r="B1468" i="11"/>
  <c r="B1467" i="11"/>
  <c r="B1466" i="11"/>
  <c r="B1465" i="11"/>
  <c r="B1464" i="11"/>
  <c r="B1463" i="11"/>
  <c r="B1462" i="11"/>
  <c r="B1461" i="11"/>
  <c r="B1460" i="11"/>
  <c r="B1459" i="11"/>
  <c r="B1457" i="11"/>
  <c r="B1456" i="11"/>
  <c r="B1455" i="11"/>
  <c r="B1454" i="11"/>
  <c r="B1453" i="11"/>
  <c r="B1452" i="11"/>
  <c r="B1451" i="11"/>
  <c r="B1450" i="11"/>
  <c r="B1449" i="11"/>
  <c r="B1448" i="11"/>
  <c r="B1447" i="11"/>
  <c r="B1446" i="11"/>
  <c r="B1445" i="11"/>
  <c r="B1444" i="11"/>
  <c r="B1443" i="11"/>
  <c r="B1442" i="11"/>
  <c r="B1441" i="11"/>
  <c r="B1440" i="11"/>
  <c r="B1439" i="11"/>
  <c r="B1438" i="11"/>
  <c r="B1437" i="11"/>
  <c r="B1436" i="11"/>
  <c r="E1435" i="11"/>
  <c r="B1435" i="11"/>
  <c r="B1434" i="11"/>
  <c r="B1433" i="11"/>
  <c r="B1432" i="11"/>
  <c r="B1431" i="11"/>
  <c r="E1430" i="11"/>
  <c r="B1430" i="11"/>
  <c r="B1429" i="11"/>
  <c r="B1428" i="11"/>
  <c r="B1427" i="11"/>
  <c r="B1425" i="11"/>
  <c r="B1424" i="11"/>
  <c r="B1423" i="11"/>
  <c r="B1422" i="11"/>
  <c r="B1421" i="11"/>
  <c r="B1420" i="11"/>
  <c r="B1419" i="11"/>
  <c r="B1418" i="11"/>
  <c r="B1417" i="11"/>
  <c r="B1416" i="11"/>
  <c r="B1415" i="11"/>
  <c r="E1414" i="11"/>
  <c r="B1414" i="11"/>
  <c r="B1413" i="11"/>
  <c r="B1412" i="11"/>
  <c r="B1411" i="11"/>
  <c r="B1410" i="11"/>
  <c r="B1409" i="11"/>
  <c r="B1408" i="11"/>
  <c r="B1407" i="11"/>
  <c r="B1406" i="11"/>
  <c r="B1405" i="11"/>
  <c r="B1404" i="11"/>
  <c r="B1403" i="11"/>
  <c r="B1402" i="11"/>
  <c r="B1401" i="11"/>
  <c r="B1400" i="11"/>
  <c r="B1399" i="11"/>
  <c r="B1398" i="11"/>
  <c r="B1397" i="11"/>
  <c r="B1396" i="11"/>
  <c r="B1395" i="11"/>
  <c r="B1394" i="11"/>
  <c r="B1393" i="11"/>
  <c r="B1392" i="11"/>
  <c r="B1391" i="11"/>
  <c r="B1390" i="11"/>
  <c r="B1388" i="11"/>
  <c r="B1387" i="11"/>
  <c r="B1386" i="11"/>
  <c r="B1385" i="11"/>
  <c r="B1384" i="11"/>
  <c r="B1383" i="11"/>
  <c r="B1382" i="11"/>
  <c r="B1381" i="11"/>
  <c r="B1380" i="11"/>
  <c r="B1379" i="11"/>
  <c r="B1378" i="11"/>
  <c r="B1377" i="11"/>
  <c r="B1376" i="11"/>
  <c r="B1375" i="11"/>
  <c r="B1374" i="11"/>
  <c r="B1373" i="11"/>
  <c r="B1372" i="11"/>
  <c r="B1371" i="11"/>
  <c r="B1370" i="11"/>
  <c r="B1369" i="11"/>
  <c r="B1368" i="11"/>
  <c r="B1367" i="11"/>
  <c r="B1366" i="11"/>
  <c r="B1365" i="11"/>
  <c r="B1364" i="11"/>
  <c r="B1363" i="11"/>
  <c r="B1362" i="11"/>
  <c r="B1361" i="11"/>
  <c r="B1360" i="11"/>
  <c r="B1359" i="11"/>
  <c r="B1358" i="11"/>
  <c r="B1357" i="11"/>
  <c r="B1356" i="11"/>
  <c r="B1355" i="11"/>
  <c r="B1354" i="11"/>
  <c r="B1353" i="11"/>
  <c r="B1352" i="11"/>
  <c r="B1351" i="11"/>
  <c r="B1350" i="11"/>
  <c r="B1349" i="11"/>
  <c r="B1348" i="11"/>
  <c r="B1347" i="11"/>
  <c r="B1346" i="11"/>
  <c r="B1345" i="11"/>
  <c r="B1344" i="11"/>
  <c r="B1343" i="11"/>
  <c r="B1341" i="11"/>
  <c r="B1340" i="11"/>
  <c r="B1339" i="11"/>
  <c r="B1338" i="11"/>
  <c r="B1337" i="11"/>
  <c r="B1336" i="11"/>
  <c r="B1335" i="11"/>
  <c r="B1334" i="11"/>
  <c r="B1333" i="11"/>
  <c r="B1332" i="11"/>
  <c r="B1331" i="11"/>
  <c r="B1330" i="11"/>
  <c r="B1329" i="11"/>
  <c r="B1328" i="11"/>
  <c r="B1327" i="11"/>
  <c r="B1326" i="11"/>
  <c r="B1325" i="11"/>
  <c r="B1324" i="11"/>
  <c r="B1323" i="11"/>
  <c r="B1322" i="11"/>
  <c r="B1321" i="11"/>
  <c r="B1320" i="11"/>
  <c r="B1319" i="11"/>
  <c r="B1318" i="11"/>
  <c r="B1317" i="11"/>
  <c r="B1316" i="11"/>
  <c r="B1315" i="11"/>
  <c r="B1314" i="11"/>
  <c r="B1313" i="11"/>
  <c r="E1312" i="11"/>
  <c r="B1312" i="11"/>
  <c r="B1311" i="11"/>
  <c r="B1310" i="11"/>
  <c r="B1309" i="11"/>
  <c r="B1308" i="11"/>
  <c r="B1307" i="11"/>
  <c r="B1306" i="11"/>
  <c r="B1304" i="11"/>
  <c r="B1303" i="11"/>
  <c r="B1302" i="11"/>
  <c r="B1301" i="11"/>
  <c r="B1300" i="11"/>
  <c r="B1299" i="11"/>
  <c r="B1298" i="11"/>
  <c r="B1297" i="11"/>
  <c r="B1296" i="11"/>
  <c r="B1295" i="11"/>
  <c r="B1294" i="11"/>
  <c r="B1293" i="11"/>
  <c r="B1292" i="11"/>
  <c r="B1291" i="11"/>
  <c r="B1290" i="11"/>
  <c r="B1289" i="11"/>
  <c r="B1288" i="11"/>
  <c r="B1286" i="11"/>
  <c r="B1285" i="11"/>
  <c r="B1284" i="11"/>
  <c r="B1283" i="11"/>
  <c r="B1282" i="11"/>
  <c r="B1281" i="11"/>
  <c r="B1280" i="11"/>
  <c r="B1279" i="11"/>
  <c r="B1278" i="11"/>
  <c r="B1277" i="11"/>
  <c r="B1276" i="11"/>
  <c r="B1275" i="11"/>
  <c r="B1273" i="11"/>
  <c r="B1272" i="11"/>
  <c r="B1271" i="11"/>
  <c r="B1270" i="11"/>
  <c r="B1269" i="11"/>
  <c r="B1268" i="11"/>
  <c r="B1267" i="11"/>
  <c r="B1266" i="11"/>
  <c r="B1265" i="11"/>
  <c r="B1264" i="11"/>
  <c r="B1263" i="11"/>
  <c r="B1262" i="11"/>
  <c r="B1261" i="11"/>
  <c r="B1260" i="11"/>
  <c r="B1259" i="11"/>
  <c r="B1258" i="11"/>
  <c r="B1257" i="11"/>
  <c r="B1256" i="11"/>
  <c r="B1255" i="11"/>
  <c r="B1254" i="11"/>
  <c r="B1253" i="11"/>
  <c r="D1252" i="11"/>
  <c r="B1252" i="11"/>
  <c r="B1251" i="11"/>
  <c r="B1249" i="11"/>
  <c r="B1248" i="11"/>
  <c r="B1247" i="11"/>
  <c r="B1246" i="11"/>
  <c r="B1245" i="11"/>
  <c r="B1244" i="11"/>
  <c r="B1243" i="11"/>
  <c r="B1242" i="11"/>
  <c r="B1241" i="11"/>
  <c r="B1240" i="11"/>
  <c r="B1239" i="11"/>
  <c r="B1238" i="11"/>
  <c r="B1237" i="11"/>
  <c r="B1236" i="11"/>
  <c r="B1235" i="11"/>
  <c r="B1234" i="11"/>
  <c r="B1233" i="11"/>
  <c r="B1232" i="11"/>
  <c r="B1231" i="11"/>
  <c r="B1230" i="11"/>
  <c r="B1229" i="11"/>
  <c r="B1228" i="11"/>
  <c r="B1227" i="11"/>
  <c r="B1226" i="11"/>
  <c r="B1225" i="11"/>
  <c r="B1224" i="11"/>
  <c r="B1223" i="11"/>
  <c r="B1222" i="11"/>
  <c r="B1221" i="11"/>
  <c r="B1219" i="11"/>
  <c r="B1218" i="11"/>
  <c r="B1217" i="11"/>
  <c r="B1216" i="11"/>
  <c r="B1215" i="11"/>
  <c r="B1214" i="11"/>
  <c r="B1213" i="11"/>
  <c r="B1212" i="11"/>
  <c r="B1211" i="11"/>
  <c r="B1210" i="11"/>
  <c r="B1209" i="11"/>
  <c r="B1208" i="11"/>
  <c r="B1207" i="11"/>
  <c r="B1206" i="11"/>
  <c r="B1205" i="11"/>
  <c r="B1204" i="11"/>
  <c r="B1203" i="11"/>
  <c r="B1202" i="11"/>
  <c r="B1201" i="11"/>
  <c r="B1200" i="11"/>
  <c r="B1199" i="11"/>
  <c r="B1198" i="11"/>
  <c r="B1197" i="11"/>
  <c r="B1196" i="11"/>
  <c r="B1195" i="11"/>
  <c r="B1194" i="11"/>
  <c r="B1193" i="11"/>
  <c r="B1192" i="11"/>
  <c r="B1191" i="11"/>
  <c r="B1190" i="11"/>
  <c r="B1189" i="11"/>
  <c r="B1188" i="11"/>
  <c r="B1187" i="11"/>
  <c r="B1186" i="11"/>
  <c r="B1185" i="11"/>
  <c r="B1184" i="11"/>
  <c r="B1183" i="11"/>
  <c r="B1182" i="11"/>
  <c r="B1181" i="11"/>
  <c r="B1180" i="11"/>
  <c r="B1179" i="11"/>
  <c r="B1178" i="11"/>
  <c r="B1177" i="11"/>
  <c r="B1175" i="11"/>
  <c r="B1174" i="11"/>
  <c r="B1173" i="11"/>
  <c r="B1172" i="11"/>
  <c r="B1171" i="11"/>
  <c r="B1170" i="11"/>
  <c r="B1169" i="11"/>
  <c r="B1168" i="11"/>
  <c r="B1167" i="11"/>
  <c r="B1166" i="11"/>
  <c r="B1165" i="11"/>
  <c r="B1164" i="11"/>
  <c r="B1163" i="11"/>
  <c r="B1162" i="11"/>
  <c r="B1161" i="11"/>
  <c r="B1160" i="11"/>
  <c r="B1159" i="11"/>
  <c r="B1158" i="11"/>
  <c r="B1157" i="11"/>
  <c r="B1156" i="11"/>
  <c r="B1155" i="11"/>
  <c r="B1154" i="11"/>
  <c r="B1153" i="11"/>
  <c r="B1152" i="11"/>
  <c r="B1151" i="11"/>
  <c r="B1150" i="11"/>
  <c r="B1149" i="11"/>
  <c r="B1148" i="11"/>
  <c r="B1147" i="11"/>
  <c r="B1146" i="11"/>
  <c r="B1145" i="11"/>
  <c r="B1144" i="11"/>
  <c r="B1143" i="11"/>
  <c r="B1142" i="11"/>
  <c r="B1141" i="11"/>
  <c r="B1140" i="11"/>
  <c r="B1139" i="11"/>
  <c r="B1138" i="11"/>
  <c r="B1137" i="11"/>
  <c r="B1136" i="11"/>
  <c r="B1135" i="11"/>
  <c r="B1134" i="11"/>
  <c r="B1133" i="11"/>
  <c r="B1132" i="11"/>
  <c r="B1131" i="11"/>
  <c r="B1130" i="11"/>
  <c r="B1129" i="11"/>
  <c r="B1128" i="11"/>
  <c r="B1127" i="11"/>
  <c r="B1126" i="11"/>
  <c r="B1125" i="11"/>
  <c r="B1124" i="11"/>
  <c r="B1123" i="11"/>
  <c r="B1122" i="11"/>
  <c r="B1121" i="11"/>
  <c r="B1120" i="11"/>
  <c r="B1119" i="11"/>
  <c r="B1118" i="11"/>
  <c r="B1117" i="11"/>
  <c r="B1116" i="11"/>
  <c r="B1115" i="11"/>
  <c r="B1114" i="11"/>
  <c r="B1113" i="11"/>
  <c r="B1112" i="11"/>
  <c r="B1111" i="11"/>
  <c r="B1110" i="11"/>
  <c r="B1109" i="11"/>
  <c r="B1108" i="11"/>
  <c r="B1107" i="11"/>
  <c r="B1106" i="11"/>
  <c r="B1105" i="11"/>
  <c r="B1104" i="11"/>
  <c r="B1103" i="11"/>
  <c r="B1102" i="11"/>
  <c r="B1101" i="11"/>
  <c r="B1100" i="11"/>
  <c r="B1099" i="11"/>
  <c r="B1098" i="11"/>
  <c r="B1096" i="11"/>
  <c r="B1095" i="11"/>
  <c r="B1094" i="11"/>
  <c r="B1093" i="11"/>
  <c r="B1092" i="11"/>
  <c r="B1091" i="11"/>
  <c r="B1090" i="11"/>
  <c r="B1089" i="11"/>
  <c r="B1088" i="11"/>
  <c r="B1087" i="11"/>
  <c r="B1086" i="11"/>
  <c r="B1085" i="11"/>
  <c r="B1084" i="11"/>
  <c r="B1083" i="11"/>
  <c r="B1082" i="11"/>
  <c r="B1081" i="11"/>
  <c r="B1080" i="11"/>
  <c r="B1079" i="11"/>
  <c r="B1078" i="11"/>
  <c r="B1077" i="11"/>
  <c r="B1076" i="11"/>
  <c r="B1075" i="11"/>
  <c r="B1074" i="11"/>
  <c r="B1073" i="11"/>
  <c r="B1072" i="11"/>
  <c r="B1071" i="11"/>
  <c r="B1070" i="11"/>
  <c r="B1069" i="11"/>
  <c r="B1068" i="11"/>
  <c r="B1067" i="11"/>
  <c r="B1066" i="11"/>
  <c r="B1065" i="11"/>
  <c r="B1064" i="11"/>
  <c r="B1063" i="11"/>
  <c r="B1062" i="11"/>
  <c r="B1061" i="11"/>
  <c r="B1060" i="11"/>
  <c r="B1059" i="11"/>
  <c r="B1058" i="11"/>
  <c r="B1057" i="11"/>
  <c r="B1056" i="11"/>
  <c r="B1055" i="11"/>
  <c r="B1054" i="11"/>
  <c r="B1053" i="11"/>
  <c r="B1052" i="11"/>
  <c r="B1051" i="11"/>
  <c r="B1050" i="11"/>
  <c r="B1049" i="11"/>
  <c r="B1048" i="11"/>
  <c r="B1047" i="11"/>
  <c r="B1046" i="11"/>
  <c r="B1045" i="11"/>
  <c r="B1044" i="11"/>
  <c r="B1043" i="11"/>
  <c r="B1042" i="11"/>
  <c r="B1041" i="11"/>
  <c r="B1040" i="11"/>
  <c r="B1038" i="11"/>
  <c r="B1037" i="11"/>
  <c r="B1036" i="11"/>
  <c r="B1035" i="11"/>
  <c r="B1034" i="11"/>
  <c r="B1033" i="11"/>
  <c r="B1032" i="11"/>
  <c r="B1031" i="11"/>
  <c r="B1030" i="11"/>
  <c r="B1029" i="11"/>
  <c r="B1028" i="11"/>
  <c r="B1027" i="11"/>
  <c r="B1026" i="11"/>
  <c r="B1025" i="11"/>
  <c r="B1024" i="11"/>
  <c r="B1023" i="11"/>
  <c r="B1022" i="11"/>
  <c r="B1021" i="11"/>
  <c r="B1020" i="11"/>
  <c r="B1019" i="11"/>
  <c r="B1018" i="11"/>
  <c r="B1017" i="11"/>
  <c r="B1016" i="11"/>
  <c r="B1015" i="11"/>
  <c r="B1014" i="11"/>
  <c r="B1013" i="11"/>
  <c r="B1012" i="11"/>
  <c r="B1011" i="11"/>
  <c r="B1010" i="11"/>
  <c r="B1009" i="11"/>
  <c r="B1008" i="11"/>
  <c r="B1007" i="11"/>
  <c r="B1006" i="11"/>
  <c r="B1005" i="11"/>
  <c r="B1004" i="11"/>
  <c r="B1003" i="11"/>
  <c r="B1002" i="11"/>
  <c r="B1001" i="11"/>
  <c r="B1000" i="11"/>
  <c r="B999" i="11"/>
  <c r="B998" i="11"/>
  <c r="B997" i="11"/>
  <c r="B996" i="11"/>
  <c r="B995" i="11"/>
  <c r="B994" i="11"/>
  <c r="B993" i="11"/>
  <c r="B992" i="11"/>
  <c r="B991" i="11"/>
  <c r="B990" i="11"/>
  <c r="B989" i="11"/>
  <c r="B988" i="11"/>
  <c r="B987" i="11"/>
  <c r="B986" i="11"/>
  <c r="B985" i="11"/>
  <c r="B984" i="11"/>
  <c r="B983" i="11"/>
  <c r="B982" i="11"/>
  <c r="B981" i="11"/>
  <c r="B980" i="11"/>
  <c r="B979" i="11"/>
  <c r="B978" i="11"/>
  <c r="B977" i="11"/>
  <c r="B976" i="11"/>
  <c r="B975" i="11"/>
  <c r="B974" i="11"/>
  <c r="B973" i="11"/>
  <c r="B972" i="11"/>
  <c r="B971" i="11"/>
  <c r="B970" i="11"/>
  <c r="B969" i="11"/>
  <c r="B968" i="11"/>
  <c r="B967" i="11"/>
  <c r="B966" i="11"/>
  <c r="B965" i="11"/>
  <c r="B964" i="11"/>
  <c r="B963" i="11"/>
  <c r="B962" i="11"/>
  <c r="B961" i="11"/>
  <c r="B960" i="1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B941" i="11"/>
  <c r="B940" i="1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B921" i="11"/>
  <c r="B920" i="1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B901" i="11"/>
  <c r="B899" i="11"/>
  <c r="B898" i="11"/>
  <c r="B900" i="11"/>
  <c r="B897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B881" i="11"/>
  <c r="B880" i="1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B861" i="11"/>
  <c r="B860" i="11"/>
  <c r="B859" i="11"/>
  <c r="B858" i="11"/>
  <c r="B857" i="11"/>
  <c r="B856" i="11"/>
  <c r="B855" i="11"/>
  <c r="B854" i="11"/>
  <c r="B853" i="11"/>
  <c r="B852" i="11"/>
  <c r="B851" i="11"/>
  <c r="B850" i="11"/>
  <c r="B848" i="11"/>
  <c r="B847" i="11"/>
  <c r="B846" i="11"/>
  <c r="B845" i="11"/>
  <c r="B844" i="11"/>
  <c r="B843" i="11"/>
  <c r="B842" i="11"/>
  <c r="B841" i="11"/>
  <c r="B840" i="1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B821" i="11"/>
  <c r="B820" i="1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B801" i="11"/>
  <c r="B800" i="11"/>
  <c r="B799" i="11"/>
  <c r="B798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B781" i="11"/>
  <c r="B780" i="11"/>
  <c r="B779" i="11"/>
  <c r="B778" i="11"/>
  <c r="B777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B761" i="11"/>
  <c r="B760" i="1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4" i="11"/>
  <c r="B743" i="11"/>
  <c r="B742" i="11"/>
  <c r="B741" i="11"/>
  <c r="B740" i="1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B721" i="11"/>
  <c r="B720" i="11"/>
  <c r="B719" i="11"/>
  <c r="B718" i="11"/>
  <c r="B717" i="11"/>
  <c r="B716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8" i="11"/>
  <c r="B567" i="11"/>
  <c r="B566" i="11"/>
  <c r="B565" i="11"/>
  <c r="B564" i="11"/>
  <c r="B563" i="11"/>
  <c r="B569" i="11"/>
  <c r="B562" i="11"/>
  <c r="B561" i="11"/>
  <c r="B560" i="11"/>
  <c r="B559" i="11"/>
  <c r="B558" i="11"/>
  <c r="B557" i="11"/>
  <c r="B556" i="11"/>
  <c r="B554" i="11"/>
  <c r="B551" i="11"/>
  <c r="B550" i="11"/>
  <c r="B547" i="11"/>
  <c r="B544" i="11"/>
  <c r="B539" i="11"/>
  <c r="B548" i="11"/>
  <c r="B537" i="11"/>
  <c r="B535" i="11"/>
  <c r="B533" i="11"/>
  <c r="B553" i="11"/>
  <c r="B555" i="11"/>
  <c r="B530" i="11"/>
  <c r="B525" i="11"/>
  <c r="B523" i="11"/>
  <c r="B522" i="11"/>
  <c r="B520" i="11"/>
  <c r="B517" i="11"/>
  <c r="B516" i="11"/>
  <c r="B531" i="11"/>
  <c r="B513" i="11"/>
  <c r="B510" i="11"/>
  <c r="B503" i="11"/>
  <c r="B511" i="11"/>
  <c r="B518" i="11"/>
  <c r="B501" i="11"/>
  <c r="B499" i="11"/>
  <c r="B504" i="11"/>
  <c r="B498" i="11"/>
  <c r="B534" i="11"/>
  <c r="B497" i="11"/>
  <c r="B495" i="11"/>
  <c r="B496" i="11"/>
  <c r="B491" i="11"/>
  <c r="B490" i="11"/>
  <c r="B489" i="11"/>
  <c r="B487" i="11"/>
  <c r="B492" i="11"/>
  <c r="B486" i="11"/>
  <c r="B483" i="11"/>
  <c r="B482" i="11"/>
  <c r="B481" i="11"/>
  <c r="B480" i="11"/>
  <c r="B479" i="11"/>
  <c r="B478" i="11"/>
  <c r="B488" i="11"/>
  <c r="B477" i="11"/>
  <c r="B476" i="11"/>
  <c r="B475" i="11"/>
  <c r="B485" i="11"/>
  <c r="B474" i="11"/>
  <c r="B473" i="11"/>
  <c r="B470" i="11"/>
  <c r="B466" i="11"/>
  <c r="B465" i="11"/>
  <c r="C464" i="11"/>
  <c r="B463" i="11"/>
  <c r="B459" i="11"/>
  <c r="B454" i="11"/>
  <c r="B451" i="11"/>
  <c r="B447" i="11"/>
  <c r="B464" i="11"/>
  <c r="B444" i="11"/>
  <c r="B443" i="11"/>
  <c r="B441" i="11"/>
  <c r="B439" i="11"/>
  <c r="B438" i="11"/>
  <c r="B437" i="11"/>
  <c r="B436" i="11"/>
  <c r="B446" i="11"/>
  <c r="C429" i="11"/>
  <c r="C423" i="11"/>
  <c r="C422" i="11"/>
  <c r="B418" i="11"/>
  <c r="B414" i="11"/>
  <c r="B412" i="11"/>
  <c r="B429" i="11"/>
  <c r="B433" i="11"/>
  <c r="B411" i="11"/>
  <c r="B419" i="11"/>
  <c r="B423" i="11"/>
  <c r="B426" i="11"/>
  <c r="C410" i="11"/>
  <c r="B408" i="11"/>
  <c r="B405" i="11"/>
  <c r="B402" i="11"/>
  <c r="B401" i="11"/>
  <c r="B398" i="11"/>
  <c r="B397" i="11"/>
  <c r="B396" i="11"/>
  <c r="C395" i="11"/>
  <c r="B393" i="11"/>
  <c r="B392" i="11"/>
  <c r="B388" i="11"/>
  <c r="B386" i="11"/>
  <c r="B385" i="11"/>
  <c r="B381" i="11"/>
  <c r="B379" i="11"/>
  <c r="B378" i="11"/>
  <c r="B377" i="11"/>
  <c r="C376" i="11"/>
  <c r="C371" i="11"/>
  <c r="C368" i="11"/>
  <c r="C367" i="11"/>
  <c r="B364" i="11"/>
  <c r="C363" i="11"/>
  <c r="B360" i="11"/>
  <c r="B363" i="11"/>
  <c r="B353" i="11"/>
  <c r="B352" i="11"/>
  <c r="B349" i="11"/>
  <c r="B347" i="11"/>
  <c r="B346" i="11"/>
  <c r="B341" i="11"/>
  <c r="B340" i="11"/>
  <c r="B342" i="11"/>
  <c r="B338" i="11"/>
  <c r="B330" i="11"/>
  <c r="B328" i="11"/>
  <c r="B327" i="11"/>
  <c r="B326" i="11"/>
  <c r="B324" i="11"/>
  <c r="C323" i="11"/>
  <c r="B322" i="11"/>
  <c r="C321" i="11"/>
  <c r="B321" i="11"/>
  <c r="C320" i="11"/>
  <c r="B318" i="11"/>
  <c r="B317" i="11"/>
  <c r="B316" i="11"/>
  <c r="B315" i="11"/>
  <c r="B314" i="11"/>
  <c r="C312" i="11"/>
  <c r="C310" i="11"/>
  <c r="C304" i="11"/>
  <c r="C303" i="11"/>
  <c r="C302" i="11"/>
  <c r="C301" i="11"/>
  <c r="B299" i="11"/>
  <c r="B311" i="11"/>
  <c r="B320" i="11"/>
  <c r="B298" i="11"/>
  <c r="B292" i="11"/>
  <c r="C290" i="11"/>
  <c r="B289" i="11"/>
  <c r="C287" i="11"/>
  <c r="B282" i="11"/>
  <c r="C281" i="11"/>
  <c r="C280" i="11"/>
  <c r="C277" i="11"/>
  <c r="C271" i="11"/>
  <c r="C270" i="11"/>
  <c r="B269" i="11"/>
  <c r="B273" i="11"/>
  <c r="C265" i="11"/>
  <c r="B264" i="11"/>
  <c r="B275" i="11"/>
  <c r="B262" i="11"/>
  <c r="B263" i="11"/>
  <c r="C260" i="11"/>
  <c r="C259" i="11"/>
  <c r="C258" i="11"/>
  <c r="C256" i="11"/>
  <c r="B255" i="11"/>
  <c r="C249" i="11"/>
  <c r="B248" i="11"/>
  <c r="B247" i="11"/>
  <c r="B251" i="11"/>
  <c r="B259" i="11"/>
  <c r="B260" i="11"/>
  <c r="B270" i="11"/>
  <c r="B241" i="11"/>
  <c r="B237" i="11"/>
  <c r="B239" i="11"/>
  <c r="B244" i="11"/>
  <c r="B246" i="11"/>
  <c r="B343" i="11"/>
  <c r="B236" i="11"/>
  <c r="B240" i="11"/>
  <c r="B235" i="11"/>
  <c r="B249" i="11"/>
  <c r="B234" i="11"/>
  <c r="B233" i="11"/>
  <c r="B232" i="11"/>
  <c r="B231" i="11"/>
  <c r="B230" i="11"/>
  <c r="B229" i="11"/>
  <c r="B238" i="11"/>
  <c r="B242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7" i="11"/>
  <c r="B76" i="11"/>
  <c r="B75" i="11"/>
  <c r="B74" i="11"/>
  <c r="B73" i="11"/>
  <c r="B72" i="11"/>
  <c r="B71" i="11"/>
  <c r="B70" i="11"/>
  <c r="B69" i="11"/>
  <c r="B78" i="11"/>
  <c r="B68" i="11"/>
  <c r="B67" i="11"/>
  <c r="B65" i="11"/>
  <c r="B64" i="11"/>
  <c r="B63" i="11"/>
  <c r="C62" i="11"/>
  <c r="B62" i="11"/>
  <c r="B61" i="11"/>
  <c r="B60" i="11"/>
  <c r="B59" i="11"/>
  <c r="B58" i="11"/>
  <c r="B57" i="11"/>
  <c r="B56" i="11"/>
  <c r="B55" i="11"/>
  <c r="B66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D1028" i="133"/>
  <c r="F659" i="133"/>
  <c r="B55" i="119" s="1"/>
  <c r="B656" i="133"/>
  <c r="B655" i="133"/>
  <c r="B652" i="133"/>
  <c r="B650" i="133"/>
  <c r="B649" i="133"/>
  <c r="B647" i="133"/>
  <c r="B645" i="133"/>
  <c r="F644" i="133"/>
  <c r="B644" i="133"/>
  <c r="B643" i="133"/>
  <c r="B641" i="133"/>
  <c r="E640" i="133"/>
  <c r="E641" i="133" s="1"/>
  <c r="B640" i="133"/>
  <c r="B639" i="133"/>
  <c r="B638" i="133"/>
  <c r="E637" i="133"/>
  <c r="B637" i="133"/>
  <c r="B636" i="133"/>
  <c r="B635" i="133"/>
  <c r="B634" i="133"/>
  <c r="B633" i="133"/>
  <c r="B632" i="133"/>
  <c r="B631" i="133"/>
  <c r="B630" i="133"/>
  <c r="B629" i="133"/>
  <c r="B628" i="133"/>
  <c r="B627" i="133"/>
  <c r="E626" i="133"/>
  <c r="B626" i="133"/>
  <c r="B625" i="133"/>
  <c r="B623" i="133"/>
  <c r="B622" i="133"/>
  <c r="B621" i="133"/>
  <c r="B620" i="133"/>
  <c r="B619" i="133"/>
  <c r="B618" i="133"/>
  <c r="B617" i="133"/>
  <c r="B615" i="133"/>
  <c r="E614" i="133"/>
  <c r="B614" i="133"/>
  <c r="B613" i="133"/>
  <c r="B612" i="133"/>
  <c r="B611" i="133"/>
  <c r="B610" i="133"/>
  <c r="F608" i="133"/>
  <c r="C608" i="133"/>
  <c r="B608" i="133"/>
  <c r="B607" i="133"/>
  <c r="F605" i="133"/>
  <c r="C605" i="133"/>
  <c r="B605" i="133"/>
  <c r="B604" i="133"/>
  <c r="F602" i="133"/>
  <c r="B602" i="133"/>
  <c r="B601" i="133"/>
  <c r="B600" i="133"/>
  <c r="F599" i="133"/>
  <c r="C599" i="133"/>
  <c r="B599" i="133"/>
  <c r="B598" i="133"/>
  <c r="B597" i="133"/>
  <c r="B596" i="133"/>
  <c r="B595" i="133"/>
  <c r="B593" i="133"/>
  <c r="E592" i="133"/>
  <c r="B592" i="133"/>
  <c r="B591" i="133"/>
  <c r="B590" i="133"/>
  <c r="B589" i="133"/>
  <c r="B588" i="133"/>
  <c r="B587" i="133"/>
  <c r="B586" i="133"/>
  <c r="B585" i="133"/>
  <c r="B584" i="133"/>
  <c r="F583" i="133"/>
  <c r="B583" i="133"/>
  <c r="B582" i="133"/>
  <c r="B581" i="133"/>
  <c r="E580" i="133"/>
  <c r="B580" i="133"/>
  <c r="B579" i="133"/>
  <c r="B594" i="133" s="1"/>
  <c r="B577" i="133"/>
  <c r="B576" i="133"/>
  <c r="B575" i="133"/>
  <c r="B574" i="133"/>
  <c r="B573" i="133"/>
  <c r="E572" i="133"/>
  <c r="B572" i="133"/>
  <c r="B571" i="133"/>
  <c r="B569" i="133"/>
  <c r="B568" i="133"/>
  <c r="B567" i="133"/>
  <c r="B566" i="133"/>
  <c r="E564" i="133"/>
  <c r="B564" i="133"/>
  <c r="E563" i="133"/>
  <c r="B563" i="133"/>
  <c r="B562" i="133"/>
  <c r="B561" i="133"/>
  <c r="B560" i="133"/>
  <c r="B559" i="133"/>
  <c r="E558" i="133"/>
  <c r="B558" i="133"/>
  <c r="B556" i="133"/>
  <c r="B555" i="133"/>
  <c r="B554" i="133"/>
  <c r="B553" i="133"/>
  <c r="E552" i="133"/>
  <c r="F554" i="133" s="1"/>
  <c r="B552" i="133"/>
  <c r="B551" i="133"/>
  <c r="B550" i="133"/>
  <c r="B548" i="133"/>
  <c r="B547" i="133"/>
  <c r="B565" i="133" s="1"/>
  <c r="B546" i="133"/>
  <c r="B545" i="133"/>
  <c r="B544" i="133"/>
  <c r="E543" i="133"/>
  <c r="B543" i="133"/>
  <c r="E542" i="133"/>
  <c r="B542" i="133"/>
  <c r="B541" i="133"/>
  <c r="B540" i="133"/>
  <c r="B539" i="133"/>
  <c r="B537" i="133"/>
  <c r="B536" i="133"/>
  <c r="B535" i="133"/>
  <c r="B534" i="133"/>
  <c r="B533" i="133"/>
  <c r="B532" i="133"/>
  <c r="B531" i="133"/>
  <c r="B530" i="133"/>
  <c r="B529" i="133"/>
  <c r="B528" i="133"/>
  <c r="F526" i="133"/>
  <c r="B526" i="133"/>
  <c r="B525" i="133"/>
  <c r="F523" i="133"/>
  <c r="B523" i="133"/>
  <c r="B522" i="133"/>
  <c r="B521" i="133"/>
  <c r="B520" i="133"/>
  <c r="B519" i="133"/>
  <c r="B518" i="133"/>
  <c r="B517" i="133"/>
  <c r="B516" i="133"/>
  <c r="B515" i="133"/>
  <c r="B514" i="133"/>
  <c r="F513" i="133"/>
  <c r="B49" i="119" s="1"/>
  <c r="B512" i="133"/>
  <c r="B511" i="133"/>
  <c r="B510" i="133"/>
  <c r="B509" i="133"/>
  <c r="B508" i="133"/>
  <c r="B507" i="133"/>
  <c r="B506" i="133"/>
  <c r="B505" i="133"/>
  <c r="F504" i="133"/>
  <c r="B504" i="133"/>
  <c r="B503" i="133"/>
  <c r="B502" i="133"/>
  <c r="B501" i="133"/>
  <c r="B500" i="133"/>
  <c r="B499" i="133"/>
  <c r="B498" i="133"/>
  <c r="B497" i="133"/>
  <c r="B496" i="133"/>
  <c r="B495" i="133"/>
  <c r="E494" i="133"/>
  <c r="F549" i="133" s="1"/>
  <c r="B494" i="133"/>
  <c r="B493" i="133"/>
  <c r="B492" i="133"/>
  <c r="B491" i="133"/>
  <c r="B490" i="133"/>
  <c r="B489" i="133"/>
  <c r="B488" i="133"/>
  <c r="B487" i="133"/>
  <c r="B486" i="133"/>
  <c r="B485" i="133"/>
  <c r="B484" i="133"/>
  <c r="B483" i="133"/>
  <c r="B482" i="133"/>
  <c r="B481" i="133"/>
  <c r="B480" i="133"/>
  <c r="B479" i="133"/>
  <c r="B478" i="133"/>
  <c r="B476" i="133"/>
  <c r="B475" i="133"/>
  <c r="B474" i="133"/>
  <c r="B473" i="133"/>
  <c r="F472" i="133"/>
  <c r="B48" i="119" s="1"/>
  <c r="B470" i="133"/>
  <c r="B469" i="133"/>
  <c r="B468" i="133"/>
  <c r="B467" i="133"/>
  <c r="F466" i="133"/>
  <c r="B466" i="133"/>
  <c r="B465" i="133"/>
  <c r="B463" i="133"/>
  <c r="B462" i="133"/>
  <c r="B461" i="133"/>
  <c r="B460" i="133"/>
  <c r="B459" i="133"/>
  <c r="B456" i="133"/>
  <c r="B455" i="133"/>
  <c r="B454" i="133"/>
  <c r="B453" i="133"/>
  <c r="B451" i="133"/>
  <c r="B450" i="133"/>
  <c r="B449" i="133"/>
  <c r="B448" i="133"/>
  <c r="B447" i="133"/>
  <c r="B452" i="133" s="1"/>
  <c r="B446" i="133"/>
  <c r="B445" i="133"/>
  <c r="B444" i="133"/>
  <c r="B443" i="133"/>
  <c r="B442" i="133"/>
  <c r="B441" i="133"/>
  <c r="B440" i="133"/>
  <c r="B439" i="133"/>
  <c r="B437" i="133"/>
  <c r="B436" i="133"/>
  <c r="B435" i="133"/>
  <c r="B434" i="133"/>
  <c r="B432" i="133"/>
  <c r="B431" i="133"/>
  <c r="B430" i="133"/>
  <c r="E429" i="133"/>
  <c r="F431" i="133" s="1"/>
  <c r="B429" i="133"/>
  <c r="B428" i="133"/>
  <c r="B427" i="133"/>
  <c r="B426" i="133"/>
  <c r="B425" i="133"/>
  <c r="B424" i="133"/>
  <c r="B423" i="133"/>
  <c r="B422" i="133"/>
  <c r="B420" i="133"/>
  <c r="B419" i="133"/>
  <c r="B418" i="133"/>
  <c r="E417" i="133"/>
  <c r="B417" i="133"/>
  <c r="B416" i="133"/>
  <c r="B415" i="133"/>
  <c r="B414" i="133"/>
  <c r="B413" i="133"/>
  <c r="B412" i="133"/>
  <c r="B411" i="133"/>
  <c r="B410" i="133"/>
  <c r="B409" i="133"/>
  <c r="B408" i="133"/>
  <c r="B407" i="133"/>
  <c r="F406" i="133"/>
  <c r="B406" i="133"/>
  <c r="B405" i="133"/>
  <c r="B404" i="133"/>
  <c r="B403" i="133"/>
  <c r="B402" i="133"/>
  <c r="B401" i="133"/>
  <c r="B400" i="133"/>
  <c r="B399" i="133"/>
  <c r="B396" i="133"/>
  <c r="B395" i="133"/>
  <c r="F393" i="133"/>
  <c r="B393" i="133"/>
  <c r="B392" i="133"/>
  <c r="B391" i="133"/>
  <c r="B390" i="133"/>
  <c r="B389" i="133"/>
  <c r="B388" i="133"/>
  <c r="B387" i="133"/>
  <c r="B386" i="133"/>
  <c r="B385" i="133"/>
  <c r="B384" i="133"/>
  <c r="B383" i="133"/>
  <c r="B382" i="133"/>
  <c r="B381" i="133"/>
  <c r="B380" i="133"/>
  <c r="B379" i="133"/>
  <c r="B378" i="133"/>
  <c r="B377" i="133"/>
  <c r="B376" i="133"/>
  <c r="B375" i="133"/>
  <c r="B374" i="133"/>
  <c r="B373" i="133"/>
  <c r="B372" i="133"/>
  <c r="B790" i="115" s="1"/>
  <c r="B369" i="133"/>
  <c r="B368" i="133"/>
  <c r="B366" i="133"/>
  <c r="E365" i="133"/>
  <c r="F421" i="133" s="1"/>
  <c r="B365" i="133"/>
  <c r="F364" i="133"/>
  <c r="B364" i="133"/>
  <c r="B363" i="133"/>
  <c r="B362" i="133"/>
  <c r="B361" i="133"/>
  <c r="B360" i="133"/>
  <c r="B359" i="133"/>
  <c r="B358" i="133"/>
  <c r="B357" i="133"/>
  <c r="F356" i="133"/>
  <c r="B356" i="133"/>
  <c r="B355" i="133"/>
  <c r="B354" i="133"/>
  <c r="B353" i="133"/>
  <c r="B352" i="133"/>
  <c r="B351" i="133"/>
  <c r="B350" i="133"/>
  <c r="B349" i="133"/>
  <c r="B348" i="133"/>
  <c r="B347" i="133"/>
  <c r="B346" i="133"/>
  <c r="B345" i="133"/>
  <c r="B344" i="133"/>
  <c r="B343" i="133"/>
  <c r="B342" i="133"/>
  <c r="B341" i="133"/>
  <c r="B340" i="133"/>
  <c r="B338" i="133"/>
  <c r="B337" i="133"/>
  <c r="B336" i="133"/>
  <c r="B335" i="133"/>
  <c r="B334" i="133"/>
  <c r="B333" i="133"/>
  <c r="B332" i="133"/>
  <c r="B331" i="133"/>
  <c r="B330" i="133"/>
  <c r="B329" i="133"/>
  <c r="B328" i="133"/>
  <c r="B327" i="133"/>
  <c r="B326" i="133"/>
  <c r="B325" i="133"/>
  <c r="B324" i="133"/>
  <c r="B323" i="133"/>
  <c r="B322" i="133"/>
  <c r="B321" i="133"/>
  <c r="B320" i="133"/>
  <c r="B318" i="133"/>
  <c r="B317" i="133"/>
  <c r="B316" i="133"/>
  <c r="B315" i="133"/>
  <c r="E313" i="133"/>
  <c r="B313" i="133"/>
  <c r="B312" i="133"/>
  <c r="E310" i="133"/>
  <c r="B310" i="133"/>
  <c r="B309" i="133"/>
  <c r="B307" i="133"/>
  <c r="B306" i="133"/>
  <c r="B305" i="133"/>
  <c r="B304" i="133"/>
  <c r="B303" i="133"/>
  <c r="B302" i="133"/>
  <c r="B301" i="133"/>
  <c r="B300" i="133"/>
  <c r="B299" i="133"/>
  <c r="B298" i="133"/>
  <c r="B297" i="133"/>
  <c r="E296" i="133"/>
  <c r="B296" i="133"/>
  <c r="B295" i="133"/>
  <c r="B294" i="133"/>
  <c r="B293" i="133"/>
  <c r="B292" i="133"/>
  <c r="B291" i="133"/>
  <c r="E289" i="133"/>
  <c r="B289" i="133"/>
  <c r="B288" i="133"/>
  <c r="B285" i="133"/>
  <c r="B284" i="133"/>
  <c r="B283" i="133"/>
  <c r="B282" i="133"/>
  <c r="B281" i="133"/>
  <c r="B280" i="133"/>
  <c r="E279" i="133"/>
  <c r="B279" i="133"/>
  <c r="B278" i="133"/>
  <c r="B277" i="133"/>
  <c r="B276" i="133"/>
  <c r="B275" i="133"/>
  <c r="B274" i="133"/>
  <c r="B273" i="133"/>
  <c r="B271" i="133"/>
  <c r="B270" i="133"/>
  <c r="B269" i="133"/>
  <c r="B268" i="133"/>
  <c r="B267" i="133"/>
  <c r="B266" i="133"/>
  <c r="B265" i="133"/>
  <c r="B264" i="133"/>
  <c r="B263" i="133"/>
  <c r="B262" i="133"/>
  <c r="B261" i="133"/>
  <c r="B260" i="133"/>
  <c r="B259" i="133"/>
  <c r="B258" i="133"/>
  <c r="B257" i="133"/>
  <c r="B256" i="133"/>
  <c r="B255" i="133"/>
  <c r="B254" i="133"/>
  <c r="B253" i="133"/>
  <c r="B252" i="133"/>
  <c r="B251" i="133"/>
  <c r="B250" i="133"/>
  <c r="B249" i="133"/>
  <c r="B248" i="133"/>
  <c r="B247" i="133"/>
  <c r="B246" i="133"/>
  <c r="B245" i="133"/>
  <c r="B244" i="133"/>
  <c r="E243" i="133"/>
  <c r="B243" i="133"/>
  <c r="B242" i="133"/>
  <c r="B241" i="133"/>
  <c r="B240" i="133"/>
  <c r="B239" i="133"/>
  <c r="B238" i="133"/>
  <c r="B237" i="133"/>
  <c r="B236" i="133"/>
  <c r="B235" i="133"/>
  <c r="B234" i="133"/>
  <c r="B231" i="133"/>
  <c r="B229" i="133"/>
  <c r="B228" i="133"/>
  <c r="B227" i="133"/>
  <c r="B226" i="133"/>
  <c r="B225" i="133"/>
  <c r="E224" i="133"/>
  <c r="F272" i="133" s="1"/>
  <c r="B224" i="133"/>
  <c r="B223" i="133"/>
  <c r="B222" i="133"/>
  <c r="B220" i="133"/>
  <c r="B219" i="133"/>
  <c r="B232" i="133" s="1"/>
  <c r="B218" i="133"/>
  <c r="B216" i="133"/>
  <c r="B215" i="133"/>
  <c r="B214" i="133"/>
  <c r="F213" i="133"/>
  <c r="B213" i="133"/>
  <c r="B212" i="133"/>
  <c r="B211" i="133"/>
  <c r="B210" i="133"/>
  <c r="E209" i="133"/>
  <c r="F230" i="133" s="1"/>
  <c r="B209" i="133"/>
  <c r="B208" i="133"/>
  <c r="B207" i="133"/>
  <c r="B205" i="133"/>
  <c r="B204" i="133"/>
  <c r="B203" i="133"/>
  <c r="B202" i="133"/>
  <c r="B201" i="133"/>
  <c r="B200" i="133"/>
  <c r="F199" i="133"/>
  <c r="B40" i="119" s="1"/>
  <c r="B198" i="133"/>
  <c r="B197" i="133"/>
  <c r="B196" i="133"/>
  <c r="B195" i="133"/>
  <c r="B194" i="133"/>
  <c r="B193" i="133"/>
  <c r="B192" i="133"/>
  <c r="B191" i="133"/>
  <c r="B190" i="133"/>
  <c r="E189" i="133"/>
  <c r="F217" i="133" s="1"/>
  <c r="B41" i="119" s="1"/>
  <c r="B189" i="133"/>
  <c r="B187" i="133"/>
  <c r="B186" i="133"/>
  <c r="B184" i="133"/>
  <c r="B183" i="133"/>
  <c r="B182" i="133"/>
  <c r="B181" i="133"/>
  <c r="B180" i="133"/>
  <c r="B179" i="133"/>
  <c r="B178" i="133"/>
  <c r="B177" i="133"/>
  <c r="B176" i="133"/>
  <c r="B175" i="133"/>
  <c r="B173" i="133"/>
  <c r="B172" i="133"/>
  <c r="B171" i="133"/>
  <c r="B170" i="133"/>
  <c r="B169" i="133"/>
  <c r="B168" i="133"/>
  <c r="F167" i="133"/>
  <c r="B38" i="119" s="1"/>
  <c r="B166" i="133"/>
  <c r="B165" i="133"/>
  <c r="B164" i="133"/>
  <c r="B163" i="133"/>
  <c r="B162" i="133"/>
  <c r="B161" i="133"/>
  <c r="B160" i="133"/>
  <c r="B159" i="133"/>
  <c r="B158" i="133"/>
  <c r="F157" i="133"/>
  <c r="B157" i="133"/>
  <c r="B156" i="133"/>
  <c r="B155" i="133"/>
  <c r="B154" i="133"/>
  <c r="B153" i="133"/>
  <c r="B152" i="133"/>
  <c r="B151" i="133"/>
  <c r="B150" i="133"/>
  <c r="E149" i="133"/>
  <c r="F185" i="133" s="1"/>
  <c r="B39" i="119" s="1"/>
  <c r="B149" i="133"/>
  <c r="B148" i="133"/>
  <c r="B146" i="133"/>
  <c r="B145" i="133"/>
  <c r="B144" i="133"/>
  <c r="B143" i="133"/>
  <c r="B142" i="133"/>
  <c r="B139" i="133"/>
  <c r="B138" i="133"/>
  <c r="B137" i="133"/>
  <c r="B136" i="133"/>
  <c r="B134" i="133"/>
  <c r="B133" i="133"/>
  <c r="B132" i="133"/>
  <c r="B140" i="133" s="1"/>
  <c r="B131" i="133"/>
  <c r="F130" i="133"/>
  <c r="B36" i="119" s="1"/>
  <c r="B129" i="133"/>
  <c r="B128" i="133"/>
  <c r="B127" i="133"/>
  <c r="B126" i="133"/>
  <c r="B125" i="133"/>
  <c r="B124" i="133"/>
  <c r="F123" i="133"/>
  <c r="B123" i="133"/>
  <c r="F122" i="133"/>
  <c r="B122" i="133"/>
  <c r="B121" i="133"/>
  <c r="F119" i="133"/>
  <c r="B119" i="133"/>
  <c r="B118" i="133"/>
  <c r="B117" i="133"/>
  <c r="F116" i="133"/>
  <c r="B115" i="133"/>
  <c r="B114" i="133"/>
  <c r="B113" i="133"/>
  <c r="B112" i="133"/>
  <c r="B111" i="133"/>
  <c r="B110" i="133"/>
  <c r="B109" i="133"/>
  <c r="E108" i="133"/>
  <c r="F141" i="133" s="1"/>
  <c r="B108" i="133"/>
  <c r="B107" i="133"/>
  <c r="B106" i="133"/>
  <c r="B104" i="133"/>
  <c r="B103" i="133"/>
  <c r="B102" i="133"/>
  <c r="B101" i="133"/>
  <c r="B100" i="133"/>
  <c r="B99" i="133"/>
  <c r="B98" i="133"/>
  <c r="B96" i="133"/>
  <c r="B95" i="133"/>
  <c r="B94" i="133"/>
  <c r="B93" i="133"/>
  <c r="B91" i="133"/>
  <c r="B90" i="133"/>
  <c r="B89" i="133"/>
  <c r="B88" i="133"/>
  <c r="B87" i="133"/>
  <c r="B86" i="133"/>
  <c r="B85" i="133"/>
  <c r="B84" i="133"/>
  <c r="B83" i="133"/>
  <c r="E82" i="133"/>
  <c r="B82" i="133"/>
  <c r="B80" i="133"/>
  <c r="E79" i="133"/>
  <c r="B79" i="133"/>
  <c r="B78" i="133"/>
  <c r="B77" i="133"/>
  <c r="B76" i="133"/>
  <c r="B75" i="133"/>
  <c r="B74" i="133"/>
  <c r="B73" i="133"/>
  <c r="B72" i="133"/>
  <c r="B71" i="133"/>
  <c r="B70" i="133"/>
  <c r="B69" i="133"/>
  <c r="F67" i="133"/>
  <c r="B67" i="133"/>
  <c r="B66" i="133"/>
  <c r="B65" i="133"/>
  <c r="E63" i="133"/>
  <c r="B63" i="133"/>
  <c r="B62" i="133"/>
  <c r="B60" i="133"/>
  <c r="B59" i="133"/>
  <c r="B58" i="133"/>
  <c r="B57" i="133"/>
  <c r="B56" i="133"/>
  <c r="B55" i="133"/>
  <c r="B54" i="133"/>
  <c r="F53" i="133"/>
  <c r="B34" i="119" s="1"/>
  <c r="B52" i="133"/>
  <c r="E51" i="133"/>
  <c r="B51" i="133"/>
  <c r="B50" i="133"/>
  <c r="B49" i="133"/>
  <c r="B48" i="133"/>
  <c r="B47" i="133"/>
  <c r="B46" i="133"/>
  <c r="B45" i="133"/>
  <c r="B44" i="133"/>
  <c r="B43" i="133"/>
  <c r="B42" i="133"/>
  <c r="B41" i="133"/>
  <c r="B40" i="133"/>
  <c r="B39" i="133"/>
  <c r="B38" i="133"/>
  <c r="B37" i="133"/>
  <c r="B36" i="133"/>
  <c r="B35" i="133"/>
  <c r="B34" i="133"/>
  <c r="B33" i="133"/>
  <c r="B32" i="133"/>
  <c r="B31" i="133"/>
  <c r="B30" i="133"/>
  <c r="B28" i="133"/>
  <c r="B27" i="133"/>
  <c r="B26" i="133"/>
  <c r="B25" i="133"/>
  <c r="B24" i="133"/>
  <c r="B29" i="133" s="1"/>
  <c r="B23" i="133"/>
  <c r="B22" i="133"/>
  <c r="B21" i="133"/>
  <c r="B19" i="133"/>
  <c r="B18" i="133"/>
  <c r="F17" i="133"/>
  <c r="B33" i="119" s="1"/>
  <c r="B13" i="133"/>
  <c r="B12" i="133"/>
  <c r="B11" i="133"/>
  <c r="B10" i="133"/>
  <c r="B9" i="133"/>
  <c r="F8" i="133"/>
  <c r="F9" i="133" s="1"/>
  <c r="B4" i="133"/>
  <c r="B3" i="133"/>
  <c r="J84" i="119"/>
  <c r="H50" i="119"/>
  <c r="H49" i="119"/>
  <c r="H48" i="119"/>
  <c r="H47" i="119"/>
  <c r="H46" i="119"/>
  <c r="H45" i="119"/>
  <c r="H44" i="119"/>
  <c r="H43" i="119"/>
  <c r="H42" i="119"/>
  <c r="H41" i="119"/>
  <c r="H40" i="119"/>
  <c r="H39" i="119"/>
  <c r="H38" i="119"/>
  <c r="H37" i="119"/>
  <c r="H36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G24" i="119"/>
  <c r="H23" i="119"/>
  <c r="G23" i="119"/>
  <c r="H22" i="119"/>
  <c r="G22" i="119"/>
  <c r="H21" i="119"/>
  <c r="G21" i="119"/>
  <c r="H20" i="119"/>
  <c r="H19" i="119"/>
  <c r="H18" i="119"/>
  <c r="H17" i="119"/>
  <c r="G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H4" i="119"/>
  <c r="K3" i="119"/>
  <c r="J57" i="6"/>
  <c r="I57" i="6"/>
  <c r="I50" i="6"/>
  <c r="J50" i="6"/>
  <c r="I46" i="6"/>
  <c r="J46" i="6"/>
  <c r="H45" i="6"/>
  <c r="H57" i="6"/>
  <c r="J30" i="6"/>
  <c r="J16" i="6"/>
  <c r="I16" i="6"/>
  <c r="I12" i="6"/>
  <c r="J12" i="6"/>
  <c r="G29" i="144"/>
  <c r="E29" i="144"/>
  <c r="D29" i="144"/>
  <c r="J27" i="144"/>
  <c r="J26" i="144"/>
  <c r="K25" i="144"/>
  <c r="J25" i="144"/>
  <c r="I25" i="144"/>
  <c r="H25" i="144"/>
  <c r="E25" i="144"/>
  <c r="C25" i="144"/>
  <c r="K24" i="144"/>
  <c r="J24" i="144"/>
  <c r="I24" i="144"/>
  <c r="H24" i="144"/>
  <c r="E24" i="144"/>
  <c r="C24" i="144"/>
  <c r="K23" i="144"/>
  <c r="J23" i="144"/>
  <c r="I23" i="144"/>
  <c r="H23" i="144"/>
  <c r="E23" i="144"/>
  <c r="C23" i="144"/>
  <c r="K22" i="144"/>
  <c r="J22" i="144"/>
  <c r="I22" i="144"/>
  <c r="H22" i="144"/>
  <c r="E22" i="144"/>
  <c r="C22" i="144"/>
  <c r="K21" i="144"/>
  <c r="J21" i="144"/>
  <c r="I21" i="144"/>
  <c r="H21" i="144"/>
  <c r="E21" i="144"/>
  <c r="C21" i="144"/>
  <c r="K20" i="144"/>
  <c r="J20" i="144"/>
  <c r="I20" i="144"/>
  <c r="H20" i="144"/>
  <c r="E20" i="144"/>
  <c r="C20" i="144"/>
  <c r="K19" i="144"/>
  <c r="J19" i="144"/>
  <c r="I19" i="144"/>
  <c r="H19" i="144"/>
  <c r="E19" i="144"/>
  <c r="C19" i="144"/>
  <c r="K18" i="144"/>
  <c r="J18" i="144"/>
  <c r="I18" i="144"/>
  <c r="H18" i="144"/>
  <c r="E18" i="144"/>
  <c r="C18" i="144"/>
  <c r="K17" i="144"/>
  <c r="J17" i="144"/>
  <c r="I17" i="144"/>
  <c r="H17" i="144"/>
  <c r="E17" i="144"/>
  <c r="C17" i="144"/>
  <c r="K16" i="144"/>
  <c r="J16" i="144"/>
  <c r="I16" i="144"/>
  <c r="H16" i="144"/>
  <c r="E16" i="144"/>
  <c r="C16" i="144"/>
  <c r="K15" i="144"/>
  <c r="J15" i="144"/>
  <c r="I15" i="144"/>
  <c r="H15" i="144"/>
  <c r="E15" i="144"/>
  <c r="C15" i="144"/>
  <c r="K14" i="144"/>
  <c r="J14" i="144"/>
  <c r="I14" i="144"/>
  <c r="H14" i="144"/>
  <c r="E14" i="144"/>
  <c r="C14" i="144"/>
  <c r="K13" i="144"/>
  <c r="J13" i="144"/>
  <c r="I13" i="144"/>
  <c r="H13" i="144"/>
  <c r="E13" i="144"/>
  <c r="C13" i="144"/>
  <c r="K12" i="144"/>
  <c r="J12" i="144"/>
  <c r="I12" i="144"/>
  <c r="H12" i="144"/>
  <c r="E12" i="144"/>
  <c r="C12" i="144"/>
  <c r="K11" i="144"/>
  <c r="J11" i="144"/>
  <c r="I11" i="144"/>
  <c r="H11" i="144"/>
  <c r="E11" i="144"/>
  <c r="C11" i="144"/>
  <c r="J10" i="144"/>
  <c r="K10" i="144"/>
  <c r="I10" i="144"/>
  <c r="H10" i="144"/>
  <c r="E10" i="144"/>
  <c r="C10" i="144"/>
  <c r="J9" i="144"/>
  <c r="K9" i="144"/>
  <c r="I9" i="144"/>
  <c r="H9" i="144"/>
  <c r="E9" i="144"/>
  <c r="C9" i="144"/>
  <c r="J8" i="144"/>
  <c r="K8" i="144"/>
  <c r="I8" i="144"/>
  <c r="H8" i="144"/>
  <c r="E8" i="144"/>
  <c r="C8" i="144"/>
  <c r="K7" i="144"/>
  <c r="J7" i="144"/>
  <c r="I7" i="144"/>
  <c r="H7" i="144"/>
  <c r="E7" i="144"/>
  <c r="C7" i="144"/>
  <c r="K6" i="144"/>
  <c r="J6" i="144"/>
  <c r="I6" i="144"/>
  <c r="H6" i="144"/>
  <c r="E6" i="144"/>
  <c r="C6" i="144"/>
  <c r="K5" i="144"/>
  <c r="J5" i="144"/>
  <c r="I5" i="144"/>
  <c r="H5" i="144"/>
  <c r="E5" i="144"/>
  <c r="C5" i="144"/>
  <c r="K4" i="144"/>
  <c r="J4" i="144"/>
  <c r="I4" i="144"/>
  <c r="H4" i="144"/>
  <c r="E4" i="144"/>
  <c r="C4" i="144"/>
  <c r="K3" i="144"/>
  <c r="J3" i="144"/>
  <c r="I3" i="144"/>
  <c r="H3" i="144"/>
  <c r="E3" i="144"/>
  <c r="C3" i="144"/>
  <c r="K2" i="144"/>
  <c r="J2" i="144"/>
  <c r="I2" i="144"/>
  <c r="H2" i="144"/>
  <c r="C2" i="144"/>
  <c r="D22" i="143"/>
  <c r="D21" i="143"/>
  <c r="D20" i="143"/>
  <c r="D19" i="143"/>
  <c r="D18" i="143"/>
  <c r="D12" i="143"/>
  <c r="J11" i="143"/>
  <c r="I11" i="143"/>
  <c r="H11" i="143"/>
  <c r="G11" i="143"/>
  <c r="D11" i="143"/>
  <c r="J10" i="143"/>
  <c r="I10" i="143"/>
  <c r="H10" i="143"/>
  <c r="G10" i="143"/>
  <c r="D10" i="143"/>
  <c r="I9" i="143"/>
  <c r="J9" i="143"/>
  <c r="H9" i="143"/>
  <c r="G9" i="143"/>
  <c r="D9" i="143"/>
  <c r="I8" i="143"/>
  <c r="J8" i="143"/>
  <c r="H8" i="143"/>
  <c r="G8" i="143"/>
  <c r="D8" i="143"/>
  <c r="I7" i="143"/>
  <c r="J7" i="143"/>
  <c r="H7" i="143"/>
  <c r="G7" i="143"/>
  <c r="D7" i="143"/>
  <c r="I6" i="143"/>
  <c r="J6" i="143"/>
  <c r="D25" i="143"/>
  <c r="D23" i="143"/>
  <c r="H6" i="143"/>
  <c r="D24" i="143"/>
  <c r="G6" i="143"/>
  <c r="D6" i="143"/>
  <c r="J5" i="143"/>
  <c r="I5" i="143"/>
  <c r="H5" i="143"/>
  <c r="G5" i="143"/>
  <c r="D5" i="143"/>
  <c r="J4" i="143"/>
  <c r="I4" i="143"/>
  <c r="H4" i="143"/>
  <c r="G4" i="143"/>
  <c r="D4" i="143"/>
  <c r="J3" i="143"/>
  <c r="I3" i="143"/>
  <c r="H3" i="143"/>
  <c r="G3" i="143"/>
  <c r="D3" i="143"/>
  <c r="J2" i="143"/>
  <c r="I2" i="143"/>
  <c r="H2" i="143"/>
  <c r="G2" i="143"/>
  <c r="D2" i="143"/>
  <c r="C24" i="8"/>
  <c r="D23" i="8"/>
  <c r="C23" i="8"/>
  <c r="B23" i="8"/>
  <c r="D22" i="8"/>
  <c r="C22" i="8"/>
  <c r="B22" i="8"/>
  <c r="D20" i="8"/>
  <c r="C20" i="8"/>
  <c r="B20" i="8"/>
  <c r="D19" i="8"/>
  <c r="C19" i="8"/>
  <c r="B19" i="8"/>
  <c r="C18" i="8"/>
  <c r="D16" i="8"/>
  <c r="C16" i="8"/>
  <c r="B16" i="8"/>
  <c r="D14" i="8"/>
  <c r="C14" i="8"/>
  <c r="B14" i="8"/>
  <c r="D13" i="8"/>
  <c r="C13" i="8"/>
  <c r="B13" i="8"/>
  <c r="C12" i="8"/>
  <c r="D11" i="8"/>
  <c r="C11" i="8"/>
  <c r="B11" i="8"/>
  <c r="D10" i="8"/>
  <c r="C10" i="8"/>
  <c r="B10" i="8"/>
  <c r="C9" i="8"/>
  <c r="D8" i="8"/>
  <c r="C8" i="8"/>
  <c r="B8" i="8"/>
  <c r="D7" i="8"/>
  <c r="C7" i="8"/>
  <c r="B7" i="8"/>
  <c r="D6" i="8"/>
  <c r="C6" i="8"/>
  <c r="B6" i="8"/>
  <c r="D5" i="8"/>
  <c r="C5" i="8"/>
  <c r="B5" i="8"/>
  <c r="D4" i="8"/>
  <c r="C4" i="8"/>
  <c r="B4" i="8"/>
  <c r="D3" i="8"/>
  <c r="C3" i="8"/>
  <c r="B3" i="8"/>
  <c r="D2" i="8"/>
  <c r="C2" i="8"/>
  <c r="B2" i="8"/>
  <c r="M137" i="27"/>
  <c r="N136" i="27"/>
  <c r="O136" i="27"/>
  <c r="M136" i="27"/>
  <c r="M135" i="27"/>
  <c r="N135" i="27"/>
  <c r="M134" i="27"/>
  <c r="N134" i="27"/>
  <c r="O134" i="27"/>
  <c r="N133" i="27"/>
  <c r="M133" i="27"/>
  <c r="M132" i="27"/>
  <c r="M131" i="27"/>
  <c r="M130" i="27"/>
  <c r="N130" i="27"/>
  <c r="M129" i="27"/>
  <c r="M128" i="27"/>
  <c r="M127" i="27"/>
  <c r="M126" i="27"/>
  <c r="M125" i="27"/>
  <c r="M124" i="27"/>
  <c r="M123" i="27"/>
  <c r="N123" i="27"/>
  <c r="O123" i="27"/>
  <c r="M122" i="27"/>
  <c r="N121" i="27"/>
  <c r="O121" i="27"/>
  <c r="M121" i="27"/>
  <c r="M120" i="27"/>
  <c r="N120" i="27"/>
  <c r="M119" i="27"/>
  <c r="N119" i="27"/>
  <c r="M118" i="27"/>
  <c r="N118" i="27"/>
  <c r="O118" i="27"/>
  <c r="M117" i="27"/>
  <c r="N117" i="27"/>
  <c r="M116" i="27"/>
  <c r="M115" i="27"/>
  <c r="M114" i="27"/>
  <c r="N114" i="27"/>
  <c r="M113" i="27"/>
  <c r="M112" i="27"/>
  <c r="M111" i="27"/>
  <c r="M110" i="27"/>
  <c r="M109" i="27"/>
  <c r="M108" i="27"/>
  <c r="M107" i="27"/>
  <c r="N107" i="27"/>
  <c r="O107" i="27"/>
  <c r="M106" i="27"/>
  <c r="M105" i="27"/>
  <c r="N105" i="27"/>
  <c r="O105" i="27"/>
  <c r="N104" i="27"/>
  <c r="O104" i="27"/>
  <c r="M104" i="27"/>
  <c r="N103" i="27"/>
  <c r="M103" i="27"/>
  <c r="M102" i="27"/>
  <c r="N102" i="27"/>
  <c r="O102" i="27"/>
  <c r="N101" i="27"/>
  <c r="M101" i="27"/>
  <c r="M100" i="27"/>
  <c r="M99" i="27"/>
  <c r="M98" i="27"/>
  <c r="N98" i="27"/>
  <c r="M97" i="27"/>
  <c r="M96" i="27"/>
  <c r="M95" i="27"/>
  <c r="M94" i="27"/>
  <c r="M93" i="27"/>
  <c r="M92" i="27"/>
  <c r="M91" i="27"/>
  <c r="N91" i="27"/>
  <c r="O91" i="27"/>
  <c r="M90" i="27"/>
  <c r="N90" i="27"/>
  <c r="N89" i="27"/>
  <c r="O89" i="27"/>
  <c r="M89" i="27"/>
  <c r="M88" i="27"/>
  <c r="N88" i="27"/>
  <c r="M87" i="27"/>
  <c r="N87" i="27"/>
  <c r="M86" i="27"/>
  <c r="N86" i="27"/>
  <c r="O86" i="27"/>
  <c r="M85" i="27"/>
  <c r="N85" i="27"/>
  <c r="M84" i="27"/>
  <c r="M83" i="27"/>
  <c r="M82" i="27"/>
  <c r="N82" i="27"/>
  <c r="M81" i="27"/>
  <c r="M80" i="27"/>
  <c r="M79" i="27"/>
  <c r="M78" i="27"/>
  <c r="R78" i="27"/>
  <c r="M77" i="27"/>
  <c r="N77" i="27"/>
  <c r="P78" i="27"/>
  <c r="M76" i="27"/>
  <c r="M75" i="27"/>
  <c r="M74" i="27"/>
  <c r="N74" i="27"/>
  <c r="M73" i="27"/>
  <c r="M72" i="27"/>
  <c r="M71" i="27"/>
  <c r="M70" i="27"/>
  <c r="R70" i="27"/>
  <c r="O69" i="27"/>
  <c r="M69" i="27"/>
  <c r="N69" i="27"/>
  <c r="P70" i="27"/>
  <c r="M68" i="27"/>
  <c r="M67" i="27"/>
  <c r="M66" i="27"/>
  <c r="N66" i="27"/>
  <c r="M65" i="27"/>
  <c r="M64" i="27"/>
  <c r="M63" i="27"/>
  <c r="M62" i="27"/>
  <c r="M61" i="27"/>
  <c r="N61" i="27"/>
  <c r="P62" i="27"/>
  <c r="M60" i="27"/>
  <c r="M59" i="27"/>
  <c r="M58" i="27"/>
  <c r="M57" i="27"/>
  <c r="M56" i="27"/>
  <c r="M55" i="27"/>
  <c r="M54" i="27"/>
  <c r="O53" i="27"/>
  <c r="M53" i="27"/>
  <c r="N53" i="27"/>
  <c r="P54" i="27"/>
  <c r="M52" i="27"/>
  <c r="M51" i="27"/>
  <c r="M50" i="27"/>
  <c r="M49" i="27"/>
  <c r="M48" i="27"/>
  <c r="M47" i="27"/>
  <c r="M46" i="27"/>
  <c r="M45" i="27"/>
  <c r="M44" i="27"/>
  <c r="M43" i="27"/>
  <c r="M42" i="27"/>
  <c r="M41" i="27"/>
  <c r="M40" i="27"/>
  <c r="M39" i="27"/>
  <c r="M38" i="27"/>
  <c r="M37" i="27"/>
  <c r="N37" i="27"/>
  <c r="P38" i="27"/>
  <c r="S38" i="27"/>
  <c r="M36" i="27"/>
  <c r="M35" i="27"/>
  <c r="M34" i="27"/>
  <c r="N34" i="27"/>
  <c r="M33" i="27"/>
  <c r="M32" i="27"/>
  <c r="M31" i="27"/>
  <c r="M30" i="27"/>
  <c r="M29" i="27"/>
  <c r="M28" i="27"/>
  <c r="M27" i="27"/>
  <c r="M26" i="27"/>
  <c r="M25" i="27"/>
  <c r="M24" i="27"/>
  <c r="M23" i="27"/>
  <c r="M22" i="27"/>
  <c r="M21" i="27"/>
  <c r="N21" i="27"/>
  <c r="P22" i="27"/>
  <c r="S22" i="27"/>
  <c r="M20" i="27"/>
  <c r="M19" i="27"/>
  <c r="M18" i="27"/>
  <c r="N18" i="27"/>
  <c r="M17" i="27"/>
  <c r="M16" i="27"/>
  <c r="M15" i="27"/>
  <c r="M14" i="27"/>
  <c r="M13" i="27"/>
  <c r="M12" i="27"/>
  <c r="M11" i="27"/>
  <c r="M10" i="27"/>
  <c r="N10" i="27"/>
  <c r="M9" i="27"/>
  <c r="M8" i="27"/>
  <c r="M7" i="27"/>
  <c r="M6" i="27"/>
  <c r="M5" i="27"/>
  <c r="N4" i="27"/>
  <c r="O4" i="27"/>
  <c r="M4" i="27"/>
  <c r="M3" i="27"/>
  <c r="N3" i="27"/>
  <c r="M2" i="27"/>
  <c r="E260" i="103"/>
  <c r="E259" i="103"/>
  <c r="D259" i="103"/>
  <c r="I223" i="103"/>
  <c r="M223" i="103"/>
  <c r="H223" i="103"/>
  <c r="N223" i="103"/>
  <c r="G223" i="103"/>
  <c r="I222" i="103"/>
  <c r="H222" i="103"/>
  <c r="G222" i="103"/>
  <c r="I221" i="103"/>
  <c r="H221" i="103"/>
  <c r="G221" i="103"/>
  <c r="I220" i="103"/>
  <c r="H220" i="103"/>
  <c r="G220" i="103"/>
  <c r="I219" i="103"/>
  <c r="M219" i="103"/>
  <c r="H219" i="103"/>
  <c r="G219" i="103"/>
  <c r="I218" i="103"/>
  <c r="M218" i="103"/>
  <c r="H218" i="103"/>
  <c r="N218" i="103"/>
  <c r="G218" i="103"/>
  <c r="I217" i="103"/>
  <c r="M217" i="103"/>
  <c r="H217" i="103"/>
  <c r="G217" i="103"/>
  <c r="I216" i="103"/>
  <c r="H216" i="103"/>
  <c r="G216" i="103"/>
  <c r="I215" i="103"/>
  <c r="H215" i="103"/>
  <c r="G215" i="103"/>
  <c r="I214" i="103"/>
  <c r="H214" i="103"/>
  <c r="G214" i="103"/>
  <c r="I213" i="103"/>
  <c r="M213" i="103"/>
  <c r="H213" i="103"/>
  <c r="G213" i="103"/>
  <c r="I212" i="103"/>
  <c r="M212" i="103"/>
  <c r="G212" i="103"/>
  <c r="I211" i="103"/>
  <c r="G211" i="103"/>
  <c r="I210" i="103"/>
  <c r="H210" i="103"/>
  <c r="G210" i="103"/>
  <c r="I209" i="103"/>
  <c r="H209" i="103"/>
  <c r="G209" i="103"/>
  <c r="I208" i="103"/>
  <c r="M208" i="103"/>
  <c r="H208" i="103"/>
  <c r="N208" i="103"/>
  <c r="G208" i="103"/>
  <c r="I207" i="103"/>
  <c r="M207" i="103"/>
  <c r="H207" i="103"/>
  <c r="G207" i="103"/>
  <c r="I206" i="103"/>
  <c r="H206" i="103"/>
  <c r="G206" i="103"/>
  <c r="I205" i="103"/>
  <c r="H205" i="103"/>
  <c r="G205" i="103"/>
  <c r="I204" i="103"/>
  <c r="H204" i="103"/>
  <c r="N204" i="103"/>
  <c r="G204" i="103"/>
  <c r="I203" i="103"/>
  <c r="L203" i="103"/>
  <c r="H203" i="103"/>
  <c r="K203" i="103"/>
  <c r="G203" i="103"/>
  <c r="I202" i="103"/>
  <c r="H202" i="103"/>
  <c r="N202" i="103"/>
  <c r="G202" i="103"/>
  <c r="N201" i="103"/>
  <c r="I201" i="103"/>
  <c r="M201" i="103"/>
  <c r="H201" i="103"/>
  <c r="G201" i="103"/>
  <c r="I200" i="103"/>
  <c r="H200" i="103"/>
  <c r="N200" i="103"/>
  <c r="G200" i="103"/>
  <c r="I199" i="103"/>
  <c r="M199" i="103"/>
  <c r="H199" i="103"/>
  <c r="K199" i="103"/>
  <c r="G199" i="103"/>
  <c r="I198" i="103"/>
  <c r="H198" i="103"/>
  <c r="N198" i="103"/>
  <c r="G198" i="103"/>
  <c r="N197" i="103"/>
  <c r="M197" i="103"/>
  <c r="I197" i="103"/>
  <c r="H197" i="103"/>
  <c r="K197" i="103"/>
  <c r="G197" i="103"/>
  <c r="I196" i="103"/>
  <c r="H196" i="103"/>
  <c r="N196" i="103"/>
  <c r="G196" i="103"/>
  <c r="N195" i="103"/>
  <c r="I195" i="103"/>
  <c r="M195" i="103"/>
  <c r="H195" i="103"/>
  <c r="G195" i="103"/>
  <c r="I194" i="103"/>
  <c r="H194" i="103"/>
  <c r="N194" i="103"/>
  <c r="G194" i="103"/>
  <c r="N193" i="103"/>
  <c r="M193" i="103"/>
  <c r="I193" i="103"/>
  <c r="H193" i="103"/>
  <c r="G193" i="103"/>
  <c r="J192" i="103"/>
  <c r="I192" i="103"/>
  <c r="H192" i="103"/>
  <c r="N192" i="103"/>
  <c r="G192" i="103"/>
  <c r="N191" i="103"/>
  <c r="I191" i="103"/>
  <c r="M191" i="103"/>
  <c r="H191" i="103"/>
  <c r="G191" i="103"/>
  <c r="K190" i="103"/>
  <c r="I190" i="103"/>
  <c r="H190" i="103"/>
  <c r="N190" i="103"/>
  <c r="G190" i="103"/>
  <c r="M189" i="103"/>
  <c r="I189" i="103"/>
  <c r="L189" i="103"/>
  <c r="H189" i="103"/>
  <c r="K189" i="103"/>
  <c r="G189" i="103"/>
  <c r="I188" i="103"/>
  <c r="H188" i="103"/>
  <c r="N188" i="103"/>
  <c r="G188" i="103"/>
  <c r="I187" i="103"/>
  <c r="M187" i="103"/>
  <c r="H187" i="103"/>
  <c r="K187" i="103"/>
  <c r="G187" i="103"/>
  <c r="I186" i="103"/>
  <c r="H186" i="103"/>
  <c r="N186" i="103"/>
  <c r="G186" i="103"/>
  <c r="L187" i="103"/>
  <c r="I185" i="103"/>
  <c r="M185" i="103"/>
  <c r="H185" i="103"/>
  <c r="N185" i="103"/>
  <c r="G185" i="103"/>
  <c r="I184" i="103"/>
  <c r="H184" i="103"/>
  <c r="N184" i="103"/>
  <c r="G184" i="103"/>
  <c r="N183" i="103"/>
  <c r="I183" i="103"/>
  <c r="M183" i="103"/>
  <c r="H183" i="103"/>
  <c r="G183" i="103"/>
  <c r="K182" i="103"/>
  <c r="I182" i="103"/>
  <c r="H182" i="103"/>
  <c r="G182" i="103"/>
  <c r="I181" i="103"/>
  <c r="M181" i="103"/>
  <c r="H181" i="103"/>
  <c r="G181" i="103"/>
  <c r="J180" i="103"/>
  <c r="I180" i="103"/>
  <c r="H180" i="103"/>
  <c r="G180" i="103"/>
  <c r="I179" i="103"/>
  <c r="M179" i="103"/>
  <c r="H179" i="103"/>
  <c r="K179" i="103"/>
  <c r="G179" i="103"/>
  <c r="I178" i="103"/>
  <c r="H178" i="103"/>
  <c r="N178" i="103"/>
  <c r="G178" i="103"/>
  <c r="I177" i="103"/>
  <c r="M177" i="103"/>
  <c r="H177" i="103"/>
  <c r="N177" i="103"/>
  <c r="G177" i="103"/>
  <c r="J178" i="103"/>
  <c r="N176" i="103"/>
  <c r="I176" i="103"/>
  <c r="H176" i="103"/>
  <c r="G176" i="103"/>
  <c r="N175" i="103"/>
  <c r="I175" i="103"/>
  <c r="M175" i="103"/>
  <c r="H175" i="103"/>
  <c r="G175" i="103"/>
  <c r="I174" i="103"/>
  <c r="H174" i="103"/>
  <c r="J174" i="103"/>
  <c r="G174" i="103"/>
  <c r="I173" i="103"/>
  <c r="M173" i="103"/>
  <c r="H173" i="103"/>
  <c r="K173" i="103"/>
  <c r="G173" i="103"/>
  <c r="J172" i="103"/>
  <c r="I172" i="103"/>
  <c r="H172" i="103"/>
  <c r="N172" i="103"/>
  <c r="G172" i="103"/>
  <c r="N171" i="103"/>
  <c r="I171" i="103"/>
  <c r="M171" i="103"/>
  <c r="H171" i="103"/>
  <c r="G171" i="103"/>
  <c r="J170" i="103"/>
  <c r="I170" i="103"/>
  <c r="H170" i="103"/>
  <c r="N170" i="103"/>
  <c r="G170" i="103"/>
  <c r="L171" i="103"/>
  <c r="N169" i="103"/>
  <c r="I169" i="103"/>
  <c r="M169" i="103"/>
  <c r="H169" i="103"/>
  <c r="G169" i="103"/>
  <c r="I168" i="103"/>
  <c r="H168" i="103"/>
  <c r="K168" i="103"/>
  <c r="G168" i="103"/>
  <c r="N167" i="103"/>
  <c r="I167" i="103"/>
  <c r="M167" i="103"/>
  <c r="H167" i="103"/>
  <c r="G167" i="103"/>
  <c r="I166" i="103"/>
  <c r="H166" i="103"/>
  <c r="J166" i="103"/>
  <c r="G166" i="103"/>
  <c r="N165" i="103"/>
  <c r="I165" i="103"/>
  <c r="M165" i="103"/>
  <c r="H165" i="103"/>
  <c r="G165" i="103"/>
  <c r="I164" i="103"/>
  <c r="H164" i="103"/>
  <c r="G164" i="103"/>
  <c r="I163" i="103"/>
  <c r="M163" i="103"/>
  <c r="H163" i="103"/>
  <c r="K163" i="103"/>
  <c r="G163" i="103"/>
  <c r="J164" i="103"/>
  <c r="I162" i="103"/>
  <c r="H162" i="103"/>
  <c r="N162" i="103"/>
  <c r="G162" i="103"/>
  <c r="N161" i="103"/>
  <c r="I161" i="103"/>
  <c r="M161" i="103"/>
  <c r="H161" i="103"/>
  <c r="G161" i="103"/>
  <c r="N160" i="103"/>
  <c r="I160" i="103"/>
  <c r="H160" i="103"/>
  <c r="G160" i="103"/>
  <c r="N159" i="103"/>
  <c r="I159" i="103"/>
  <c r="M159" i="103"/>
  <c r="H159" i="103"/>
  <c r="G159" i="103"/>
  <c r="I158" i="103"/>
  <c r="K158" i="103"/>
  <c r="H158" i="103"/>
  <c r="G158" i="103"/>
  <c r="I157" i="103"/>
  <c r="M157" i="103"/>
  <c r="H157" i="103"/>
  <c r="K157" i="103"/>
  <c r="G157" i="103"/>
  <c r="I156" i="103"/>
  <c r="H156" i="103"/>
  <c r="N156" i="103"/>
  <c r="G156" i="103"/>
  <c r="L157" i="103"/>
  <c r="I155" i="103"/>
  <c r="M155" i="103"/>
  <c r="H155" i="103"/>
  <c r="K155" i="103"/>
  <c r="G155" i="103"/>
  <c r="J156" i="103"/>
  <c r="I154" i="103"/>
  <c r="H154" i="103"/>
  <c r="N154" i="103"/>
  <c r="G154" i="103"/>
  <c r="N153" i="103"/>
  <c r="I153" i="103"/>
  <c r="M153" i="103"/>
  <c r="H153" i="103"/>
  <c r="G153" i="103"/>
  <c r="I152" i="103"/>
  <c r="H152" i="103"/>
  <c r="K152" i="103"/>
  <c r="G152" i="103"/>
  <c r="I151" i="103"/>
  <c r="M151" i="103"/>
  <c r="H151" i="103"/>
  <c r="K151" i="103"/>
  <c r="G151" i="103"/>
  <c r="K150" i="103"/>
  <c r="I150" i="103"/>
  <c r="H150" i="103"/>
  <c r="J150" i="103"/>
  <c r="G150" i="103"/>
  <c r="N149" i="103"/>
  <c r="I149" i="103"/>
  <c r="M149" i="103"/>
  <c r="H149" i="103"/>
  <c r="K149" i="103"/>
  <c r="G149" i="103"/>
  <c r="J148" i="103"/>
  <c r="I148" i="103"/>
  <c r="H148" i="103"/>
  <c r="G148" i="103"/>
  <c r="L149" i="103"/>
  <c r="N147" i="103"/>
  <c r="L147" i="103"/>
  <c r="I147" i="103"/>
  <c r="M147" i="103"/>
  <c r="H147" i="103"/>
  <c r="K147" i="103"/>
  <c r="G147" i="103"/>
  <c r="I146" i="103"/>
  <c r="H146" i="103"/>
  <c r="N146" i="103"/>
  <c r="G146" i="103"/>
  <c r="I145" i="103"/>
  <c r="M145" i="103"/>
  <c r="H145" i="103"/>
  <c r="N145" i="103"/>
  <c r="G145" i="103"/>
  <c r="I144" i="103"/>
  <c r="H144" i="103"/>
  <c r="K144" i="103"/>
  <c r="G144" i="103"/>
  <c r="I143" i="103"/>
  <c r="M143" i="103"/>
  <c r="H143" i="103"/>
  <c r="G143" i="103"/>
  <c r="I142" i="103"/>
  <c r="H142" i="103"/>
  <c r="G142" i="103"/>
  <c r="I141" i="103"/>
  <c r="M141" i="103"/>
  <c r="H141" i="103"/>
  <c r="K141" i="103"/>
  <c r="G141" i="103"/>
  <c r="I140" i="103"/>
  <c r="H140" i="103"/>
  <c r="K140" i="103"/>
  <c r="G140" i="103"/>
  <c r="N139" i="103"/>
  <c r="L139" i="103"/>
  <c r="I139" i="103"/>
  <c r="M139" i="103"/>
  <c r="H139" i="103"/>
  <c r="K139" i="103"/>
  <c r="G139" i="103"/>
  <c r="I138" i="103"/>
  <c r="H138" i="103"/>
  <c r="N138" i="103"/>
  <c r="G138" i="103"/>
  <c r="N137" i="103"/>
  <c r="I137" i="103"/>
  <c r="M137" i="103"/>
  <c r="H137" i="103"/>
  <c r="G137" i="103"/>
  <c r="N136" i="103"/>
  <c r="J136" i="103"/>
  <c r="I136" i="103"/>
  <c r="H136" i="103"/>
  <c r="K136" i="103"/>
  <c r="G136" i="103"/>
  <c r="I135" i="103"/>
  <c r="M135" i="103"/>
  <c r="H135" i="103"/>
  <c r="K135" i="103"/>
  <c r="G135" i="103"/>
  <c r="I134" i="103"/>
  <c r="H134" i="103"/>
  <c r="G134" i="103"/>
  <c r="I133" i="103"/>
  <c r="M133" i="103"/>
  <c r="H133" i="103"/>
  <c r="K133" i="103"/>
  <c r="G133" i="103"/>
  <c r="I132" i="103"/>
  <c r="H132" i="103"/>
  <c r="G132" i="103"/>
  <c r="L131" i="103"/>
  <c r="I131" i="103"/>
  <c r="M131" i="103"/>
  <c r="H131" i="103"/>
  <c r="K131" i="103"/>
  <c r="G131" i="103"/>
  <c r="I130" i="103"/>
  <c r="H130" i="103"/>
  <c r="N130" i="103"/>
  <c r="G130" i="103"/>
  <c r="I129" i="103"/>
  <c r="M129" i="103"/>
  <c r="H129" i="103"/>
  <c r="N129" i="103"/>
  <c r="G129" i="103"/>
  <c r="N128" i="103"/>
  <c r="I128" i="103"/>
  <c r="H128" i="103"/>
  <c r="K128" i="103"/>
  <c r="G128" i="103"/>
  <c r="I127" i="103"/>
  <c r="M127" i="103"/>
  <c r="H127" i="103"/>
  <c r="K127" i="103"/>
  <c r="G127" i="103"/>
  <c r="I126" i="103"/>
  <c r="K126" i="103"/>
  <c r="H126" i="103"/>
  <c r="J126" i="103"/>
  <c r="G126" i="103"/>
  <c r="N125" i="103"/>
  <c r="M125" i="103"/>
  <c r="I125" i="103"/>
  <c r="H125" i="103"/>
  <c r="K125" i="103"/>
  <c r="G125" i="103"/>
  <c r="I124" i="103"/>
  <c r="H124" i="103"/>
  <c r="N124" i="103"/>
  <c r="G124" i="103"/>
  <c r="L125" i="103"/>
  <c r="I123" i="103"/>
  <c r="M123" i="103"/>
  <c r="H123" i="103"/>
  <c r="K123" i="103"/>
  <c r="G123" i="103"/>
  <c r="I122" i="103"/>
  <c r="H122" i="103"/>
  <c r="N122" i="103"/>
  <c r="G122" i="103"/>
  <c r="I121" i="103"/>
  <c r="M121" i="103"/>
  <c r="H121" i="103"/>
  <c r="N121" i="103"/>
  <c r="G121" i="103"/>
  <c r="J120" i="103"/>
  <c r="I120" i="103"/>
  <c r="H120" i="103"/>
  <c r="K120" i="103"/>
  <c r="G120" i="103"/>
  <c r="I119" i="103"/>
  <c r="M119" i="103"/>
  <c r="H119" i="103"/>
  <c r="K119" i="103"/>
  <c r="G119" i="103"/>
  <c r="I118" i="103"/>
  <c r="H118" i="103"/>
  <c r="J118" i="103"/>
  <c r="G118" i="103"/>
  <c r="N117" i="103"/>
  <c r="I117" i="103"/>
  <c r="M117" i="103"/>
  <c r="H117" i="103"/>
  <c r="K117" i="103"/>
  <c r="G117" i="103"/>
  <c r="I116" i="103"/>
  <c r="H116" i="103"/>
  <c r="N116" i="103"/>
  <c r="G116" i="103"/>
  <c r="L117" i="103"/>
  <c r="L115" i="103"/>
  <c r="I115" i="103"/>
  <c r="M115" i="103"/>
  <c r="H115" i="103"/>
  <c r="K115" i="103"/>
  <c r="G115" i="103"/>
  <c r="J114" i="103"/>
  <c r="I114" i="103"/>
  <c r="H114" i="103"/>
  <c r="N114" i="103"/>
  <c r="G114" i="103"/>
  <c r="I113" i="103"/>
  <c r="M113" i="103"/>
  <c r="H113" i="103"/>
  <c r="N113" i="103"/>
  <c r="G113" i="103"/>
  <c r="I112" i="103"/>
  <c r="H112" i="103"/>
  <c r="K112" i="103"/>
  <c r="G112" i="103"/>
  <c r="I111" i="103"/>
  <c r="M111" i="103"/>
  <c r="H111" i="103"/>
  <c r="K111" i="103"/>
  <c r="G111" i="103"/>
  <c r="I110" i="103"/>
  <c r="H110" i="103"/>
  <c r="J110" i="103"/>
  <c r="G110" i="103"/>
  <c r="M109" i="103"/>
  <c r="I109" i="103"/>
  <c r="H109" i="103"/>
  <c r="K109" i="103"/>
  <c r="G109" i="103"/>
  <c r="I108" i="103"/>
  <c r="H108" i="103"/>
  <c r="N108" i="103"/>
  <c r="G108" i="103"/>
  <c r="L109" i="103"/>
  <c r="N107" i="103"/>
  <c r="I107" i="103"/>
  <c r="M107" i="103"/>
  <c r="H107" i="103"/>
  <c r="G107" i="103"/>
  <c r="I106" i="103"/>
  <c r="H106" i="103"/>
  <c r="N106" i="103"/>
  <c r="G106" i="103"/>
  <c r="I105" i="103"/>
  <c r="M105" i="103"/>
  <c r="H105" i="103"/>
  <c r="N105" i="103"/>
  <c r="G105" i="103"/>
  <c r="I104" i="103"/>
  <c r="H104" i="103"/>
  <c r="K104" i="103"/>
  <c r="G104" i="103"/>
  <c r="N103" i="103"/>
  <c r="I103" i="103"/>
  <c r="M103" i="103"/>
  <c r="H103" i="103"/>
  <c r="K103" i="103"/>
  <c r="G103" i="103"/>
  <c r="I102" i="103"/>
  <c r="H102" i="103"/>
  <c r="K102" i="103"/>
  <c r="G102" i="103"/>
  <c r="I101" i="103"/>
  <c r="M101" i="103"/>
  <c r="H101" i="103"/>
  <c r="K101" i="103"/>
  <c r="G101" i="103"/>
  <c r="I100" i="103"/>
  <c r="H100" i="103"/>
  <c r="K100" i="103"/>
  <c r="G100" i="103"/>
  <c r="L101" i="103"/>
  <c r="N99" i="103"/>
  <c r="L99" i="103"/>
  <c r="I99" i="103"/>
  <c r="M99" i="103"/>
  <c r="H99" i="103"/>
  <c r="K99" i="103"/>
  <c r="G99" i="103"/>
  <c r="J98" i="103"/>
  <c r="I98" i="103"/>
  <c r="H98" i="103"/>
  <c r="N98" i="103"/>
  <c r="G98" i="103"/>
  <c r="I97" i="103"/>
  <c r="M97" i="103"/>
  <c r="H97" i="103"/>
  <c r="N97" i="103"/>
  <c r="G97" i="103"/>
  <c r="N96" i="103"/>
  <c r="J96" i="103"/>
  <c r="I96" i="103"/>
  <c r="H96" i="103"/>
  <c r="G96" i="103"/>
  <c r="N95" i="103"/>
  <c r="I95" i="103"/>
  <c r="M95" i="103"/>
  <c r="H95" i="103"/>
  <c r="G95" i="103"/>
  <c r="I94" i="103"/>
  <c r="H94" i="103"/>
  <c r="G94" i="103"/>
  <c r="M93" i="103"/>
  <c r="I93" i="103"/>
  <c r="H93" i="103"/>
  <c r="K93" i="103"/>
  <c r="G93" i="103"/>
  <c r="J92" i="103"/>
  <c r="I92" i="103"/>
  <c r="H92" i="103"/>
  <c r="K92" i="103"/>
  <c r="G92" i="103"/>
  <c r="N91" i="103"/>
  <c r="I91" i="103"/>
  <c r="M91" i="103"/>
  <c r="H91" i="103"/>
  <c r="G91" i="103"/>
  <c r="I90" i="103"/>
  <c r="H90" i="103"/>
  <c r="N90" i="103"/>
  <c r="G90" i="103"/>
  <c r="I89" i="103"/>
  <c r="M89" i="103"/>
  <c r="H89" i="103"/>
  <c r="N89" i="103"/>
  <c r="G89" i="103"/>
  <c r="J88" i="103"/>
  <c r="I88" i="103"/>
  <c r="H88" i="103"/>
  <c r="K88" i="103"/>
  <c r="G88" i="103"/>
  <c r="I87" i="103"/>
  <c r="M87" i="103"/>
  <c r="H87" i="103"/>
  <c r="G87" i="103"/>
  <c r="I86" i="103"/>
  <c r="H86" i="103"/>
  <c r="G86" i="103"/>
  <c r="I85" i="103"/>
  <c r="M85" i="103"/>
  <c r="H85" i="103"/>
  <c r="G85" i="103"/>
  <c r="I84" i="103"/>
  <c r="H84" i="103"/>
  <c r="N84" i="103"/>
  <c r="G84" i="103"/>
  <c r="I83" i="103"/>
  <c r="M83" i="103"/>
  <c r="H83" i="103"/>
  <c r="G83" i="103"/>
  <c r="I82" i="103"/>
  <c r="H82" i="103"/>
  <c r="N82" i="103"/>
  <c r="G82" i="103"/>
  <c r="I81" i="103"/>
  <c r="M81" i="103"/>
  <c r="H81" i="103"/>
  <c r="N81" i="103"/>
  <c r="G81" i="103"/>
  <c r="I80" i="103"/>
  <c r="H80" i="103"/>
  <c r="K80" i="103"/>
  <c r="G80" i="103"/>
  <c r="I79" i="103"/>
  <c r="M79" i="103"/>
  <c r="H79" i="103"/>
  <c r="G79" i="103"/>
  <c r="I78" i="103"/>
  <c r="H78" i="103"/>
  <c r="G78" i="103"/>
  <c r="I77" i="103"/>
  <c r="M77" i="103"/>
  <c r="H77" i="103"/>
  <c r="G77" i="103"/>
  <c r="I76" i="103"/>
  <c r="H76" i="103"/>
  <c r="G76" i="103"/>
  <c r="I75" i="103"/>
  <c r="M75" i="103"/>
  <c r="H75" i="103"/>
  <c r="G75" i="103"/>
  <c r="J76" i="103"/>
  <c r="I74" i="103"/>
  <c r="H74" i="103"/>
  <c r="N74" i="103"/>
  <c r="G74" i="103"/>
  <c r="I73" i="103"/>
  <c r="M73" i="103"/>
  <c r="H73" i="103"/>
  <c r="N73" i="103"/>
  <c r="G73" i="103"/>
  <c r="I72" i="103"/>
  <c r="H72" i="103"/>
  <c r="K72" i="103"/>
  <c r="G72" i="103"/>
  <c r="I71" i="103"/>
  <c r="M71" i="103"/>
  <c r="H71" i="103"/>
  <c r="N71" i="103"/>
  <c r="G71" i="103"/>
  <c r="I70" i="103"/>
  <c r="H70" i="103"/>
  <c r="G70" i="103"/>
  <c r="I69" i="103"/>
  <c r="M69" i="103"/>
  <c r="H69" i="103"/>
  <c r="G69" i="103"/>
  <c r="I68" i="103"/>
  <c r="H68" i="103"/>
  <c r="K68" i="103"/>
  <c r="G68" i="103"/>
  <c r="I67" i="103"/>
  <c r="M67" i="103"/>
  <c r="H67" i="103"/>
  <c r="G67" i="103"/>
  <c r="I66" i="103"/>
  <c r="H66" i="103"/>
  <c r="N66" i="103"/>
  <c r="G66" i="103"/>
  <c r="I65" i="103"/>
  <c r="M65" i="103"/>
  <c r="H65" i="103"/>
  <c r="N65" i="103"/>
  <c r="G65" i="103"/>
  <c r="I64" i="103"/>
  <c r="H64" i="103"/>
  <c r="K64" i="103"/>
  <c r="G64" i="103"/>
  <c r="I63" i="103"/>
  <c r="M63" i="103"/>
  <c r="H63" i="103"/>
  <c r="N63" i="103"/>
  <c r="G63" i="103"/>
  <c r="K62" i="103"/>
  <c r="I62" i="103"/>
  <c r="H62" i="103"/>
  <c r="G62" i="103"/>
  <c r="M61" i="103"/>
  <c r="I61" i="103"/>
  <c r="H61" i="103"/>
  <c r="G61" i="103"/>
  <c r="J60" i="103"/>
  <c r="I60" i="103"/>
  <c r="H60" i="103"/>
  <c r="N60" i="103"/>
  <c r="G60" i="103"/>
  <c r="L61" i="103"/>
  <c r="I59" i="103"/>
  <c r="M59" i="103"/>
  <c r="H59" i="103"/>
  <c r="G59" i="103"/>
  <c r="I58" i="103"/>
  <c r="H58" i="103"/>
  <c r="N58" i="103"/>
  <c r="G58" i="103"/>
  <c r="L59" i="103"/>
  <c r="I57" i="103"/>
  <c r="M57" i="103"/>
  <c r="H57" i="103"/>
  <c r="N57" i="103"/>
  <c r="G57" i="103"/>
  <c r="J58" i="103"/>
  <c r="N56" i="103"/>
  <c r="I56" i="103"/>
  <c r="H56" i="103"/>
  <c r="K56" i="103"/>
  <c r="G56" i="103"/>
  <c r="I55" i="103"/>
  <c r="M55" i="103"/>
  <c r="H55" i="103"/>
  <c r="N55" i="103"/>
  <c r="G55" i="103"/>
  <c r="J56" i="103"/>
  <c r="I54" i="103"/>
  <c r="K54" i="103"/>
  <c r="H54" i="103"/>
  <c r="G54" i="103"/>
  <c r="I53" i="103"/>
  <c r="M53" i="103"/>
  <c r="H53" i="103"/>
  <c r="G53" i="103"/>
  <c r="J52" i="103"/>
  <c r="I52" i="103"/>
  <c r="H52" i="103"/>
  <c r="N52" i="103"/>
  <c r="G52" i="103"/>
  <c r="I51" i="103"/>
  <c r="M51" i="103"/>
  <c r="H51" i="103"/>
  <c r="G51" i="103"/>
  <c r="I50" i="103"/>
  <c r="H50" i="103"/>
  <c r="N50" i="103"/>
  <c r="G50" i="103"/>
  <c r="N49" i="103"/>
  <c r="I49" i="103"/>
  <c r="M49" i="103"/>
  <c r="H49" i="103"/>
  <c r="G49" i="103"/>
  <c r="N48" i="103"/>
  <c r="I48" i="103"/>
  <c r="H48" i="103"/>
  <c r="G48" i="103"/>
  <c r="I47" i="103"/>
  <c r="M47" i="103"/>
  <c r="H47" i="103"/>
  <c r="G47" i="103"/>
  <c r="J48" i="103"/>
  <c r="K46" i="103"/>
  <c r="I46" i="103"/>
  <c r="H46" i="103"/>
  <c r="G46" i="103"/>
  <c r="I45" i="103"/>
  <c r="M45" i="103"/>
  <c r="H45" i="103"/>
  <c r="G45" i="103"/>
  <c r="I44" i="103"/>
  <c r="H44" i="103"/>
  <c r="N44" i="103"/>
  <c r="G44" i="103"/>
  <c r="L43" i="103"/>
  <c r="I43" i="103"/>
  <c r="M43" i="103"/>
  <c r="H43" i="103"/>
  <c r="N43" i="103"/>
  <c r="G43" i="103"/>
  <c r="I42" i="103"/>
  <c r="M42" i="103"/>
  <c r="H42" i="103"/>
  <c r="N42" i="103"/>
  <c r="G42" i="103"/>
  <c r="J43" i="103"/>
  <c r="I41" i="103"/>
  <c r="M41" i="103"/>
  <c r="H41" i="103"/>
  <c r="G41" i="103"/>
  <c r="J42" i="103"/>
  <c r="J40" i="103"/>
  <c r="I40" i="103"/>
  <c r="M40" i="103"/>
  <c r="H40" i="103"/>
  <c r="N40" i="103"/>
  <c r="G40" i="103"/>
  <c r="I39" i="103"/>
  <c r="M39" i="103"/>
  <c r="H39" i="103"/>
  <c r="G39" i="103"/>
  <c r="I38" i="103"/>
  <c r="M38" i="103"/>
  <c r="H38" i="103"/>
  <c r="N38" i="103"/>
  <c r="G38" i="103"/>
  <c r="I37" i="103"/>
  <c r="M37" i="103"/>
  <c r="H37" i="103"/>
  <c r="J37" i="103"/>
  <c r="G37" i="103"/>
  <c r="J38" i="103"/>
  <c r="I36" i="103"/>
  <c r="M36" i="103"/>
  <c r="H36" i="103"/>
  <c r="N36" i="103"/>
  <c r="G36" i="103"/>
  <c r="K35" i="103"/>
  <c r="I35" i="103"/>
  <c r="M35" i="103"/>
  <c r="H35" i="103"/>
  <c r="G35" i="103"/>
  <c r="I34" i="103"/>
  <c r="M34" i="103"/>
  <c r="H34" i="103"/>
  <c r="N34" i="103"/>
  <c r="G34" i="103"/>
  <c r="N33" i="103"/>
  <c r="I33" i="103"/>
  <c r="M33" i="103"/>
  <c r="H33" i="103"/>
  <c r="G33" i="103"/>
  <c r="I32" i="103"/>
  <c r="M32" i="103"/>
  <c r="H32" i="103"/>
  <c r="N32" i="103"/>
  <c r="G32" i="103"/>
  <c r="N31" i="103"/>
  <c r="I31" i="103"/>
  <c r="M31" i="103"/>
  <c r="H31" i="103"/>
  <c r="G31" i="103"/>
  <c r="J32" i="103"/>
  <c r="I30" i="103"/>
  <c r="M30" i="103"/>
  <c r="H30" i="103"/>
  <c r="N30" i="103"/>
  <c r="G30" i="103"/>
  <c r="N29" i="103"/>
  <c r="I29" i="103"/>
  <c r="M29" i="103"/>
  <c r="H29" i="103"/>
  <c r="G29" i="103"/>
  <c r="I28" i="103"/>
  <c r="M28" i="103"/>
  <c r="H28" i="103"/>
  <c r="N28" i="103"/>
  <c r="G28" i="103"/>
  <c r="I27" i="103"/>
  <c r="M27" i="103"/>
  <c r="H27" i="103"/>
  <c r="J27" i="103"/>
  <c r="G27" i="103"/>
  <c r="I26" i="103"/>
  <c r="M26" i="103"/>
  <c r="H26" i="103"/>
  <c r="N26" i="103"/>
  <c r="G26" i="103"/>
  <c r="N25" i="103"/>
  <c r="K25" i="103"/>
  <c r="I25" i="103"/>
  <c r="M25" i="103"/>
  <c r="H25" i="103"/>
  <c r="J25" i="103"/>
  <c r="G25" i="103"/>
  <c r="I24" i="103"/>
  <c r="M24" i="103"/>
  <c r="H24" i="103"/>
  <c r="N24" i="103"/>
  <c r="G24" i="103"/>
  <c r="I23" i="103"/>
  <c r="M23" i="103"/>
  <c r="H23" i="103"/>
  <c r="J23" i="103"/>
  <c r="G23" i="103"/>
  <c r="J22" i="103"/>
  <c r="I22" i="103"/>
  <c r="M22" i="103"/>
  <c r="H22" i="103"/>
  <c r="N22" i="103"/>
  <c r="G22" i="103"/>
  <c r="N21" i="103"/>
  <c r="I21" i="103"/>
  <c r="M21" i="103"/>
  <c r="H21" i="103"/>
  <c r="G21" i="103"/>
  <c r="I20" i="103"/>
  <c r="M20" i="103"/>
  <c r="H20" i="103"/>
  <c r="N20" i="103"/>
  <c r="G20" i="103"/>
  <c r="I19" i="103"/>
  <c r="M19" i="103"/>
  <c r="H19" i="103"/>
  <c r="J19" i="103"/>
  <c r="G19" i="103"/>
  <c r="J18" i="103"/>
  <c r="I18" i="103"/>
  <c r="M18" i="103"/>
  <c r="H18" i="103"/>
  <c r="N18" i="103"/>
  <c r="G18" i="103"/>
  <c r="N17" i="103"/>
  <c r="I17" i="103"/>
  <c r="M17" i="103"/>
  <c r="H17" i="103"/>
  <c r="G17" i="103"/>
  <c r="J16" i="103"/>
  <c r="I16" i="103"/>
  <c r="M16" i="103"/>
  <c r="H16" i="103"/>
  <c r="N16" i="103"/>
  <c r="G16" i="103"/>
  <c r="N15" i="103"/>
  <c r="K15" i="103"/>
  <c r="I15" i="103"/>
  <c r="M15" i="103"/>
  <c r="H15" i="103"/>
  <c r="J15" i="103"/>
  <c r="G15" i="103"/>
  <c r="I14" i="103"/>
  <c r="M14" i="103"/>
  <c r="H14" i="103"/>
  <c r="N14" i="103"/>
  <c r="G14" i="103"/>
  <c r="I13" i="103"/>
  <c r="M13" i="103"/>
  <c r="H13" i="103"/>
  <c r="G13" i="103"/>
  <c r="I12" i="103"/>
  <c r="M12" i="103"/>
  <c r="H12" i="103"/>
  <c r="N12" i="103"/>
  <c r="G12" i="103"/>
  <c r="K11" i="103"/>
  <c r="I11" i="103"/>
  <c r="M11" i="103"/>
  <c r="H11" i="103"/>
  <c r="G11" i="103"/>
  <c r="I10" i="103"/>
  <c r="M10" i="103"/>
  <c r="H10" i="103"/>
  <c r="N10" i="103"/>
  <c r="G10" i="103"/>
  <c r="I9" i="103"/>
  <c r="M9" i="103"/>
  <c r="H9" i="103"/>
  <c r="G9" i="103"/>
  <c r="J10" i="103"/>
  <c r="J8" i="103"/>
  <c r="I8" i="103"/>
  <c r="M8" i="103"/>
  <c r="H8" i="103"/>
  <c r="N8" i="103"/>
  <c r="G8" i="103"/>
  <c r="I7" i="103"/>
  <c r="M7" i="103"/>
  <c r="H7" i="103"/>
  <c r="K7" i="103"/>
  <c r="G7" i="103"/>
  <c r="I6" i="103"/>
  <c r="M6" i="103"/>
  <c r="H6" i="103"/>
  <c r="N6" i="103"/>
  <c r="G6" i="103"/>
  <c r="I5" i="103"/>
  <c r="M5" i="103"/>
  <c r="H5" i="103"/>
  <c r="J5" i="103"/>
  <c r="G5" i="103"/>
  <c r="I4" i="103"/>
  <c r="M4" i="103"/>
  <c r="H4" i="103"/>
  <c r="N4" i="103"/>
  <c r="G4" i="103"/>
  <c r="K3" i="103"/>
  <c r="I3" i="103"/>
  <c r="M3" i="103"/>
  <c r="H3" i="103"/>
  <c r="N3" i="103"/>
  <c r="G3" i="103"/>
  <c r="G2" i="103"/>
  <c r="B194" i="104"/>
  <c r="A194" i="104"/>
  <c r="B193" i="104"/>
  <c r="A193" i="104"/>
  <c r="B192" i="104"/>
  <c r="A192" i="104"/>
  <c r="B191" i="104"/>
  <c r="A191" i="104"/>
  <c r="B190" i="104"/>
  <c r="A190" i="104"/>
  <c r="B189" i="104"/>
  <c r="A189" i="104"/>
  <c r="B188" i="104"/>
  <c r="A188" i="104"/>
  <c r="B187" i="104"/>
  <c r="A187" i="104"/>
  <c r="B186" i="104"/>
  <c r="A186" i="104"/>
  <c r="B185" i="104"/>
  <c r="A185" i="104"/>
  <c r="B184" i="104"/>
  <c r="A184" i="104"/>
  <c r="B183" i="104"/>
  <c r="A183" i="104"/>
  <c r="B182" i="104"/>
  <c r="A182" i="104"/>
  <c r="B181" i="104"/>
  <c r="A181" i="104"/>
  <c r="B180" i="104"/>
  <c r="A180" i="104"/>
  <c r="B179" i="104"/>
  <c r="A179" i="104"/>
  <c r="B178" i="104"/>
  <c r="A178" i="104"/>
  <c r="B177" i="104"/>
  <c r="A177" i="104"/>
  <c r="B176" i="104"/>
  <c r="A176" i="104"/>
  <c r="B175" i="104"/>
  <c r="A175" i="104"/>
  <c r="B174" i="104"/>
  <c r="A174" i="104"/>
  <c r="B173" i="104"/>
  <c r="A173" i="104"/>
  <c r="B172" i="104"/>
  <c r="A172" i="104"/>
  <c r="B171" i="104"/>
  <c r="A171" i="104"/>
  <c r="B170" i="104"/>
  <c r="A170" i="104"/>
  <c r="B169" i="104"/>
  <c r="A169" i="104"/>
  <c r="B168" i="104"/>
  <c r="A168" i="104"/>
  <c r="B167" i="104"/>
  <c r="A167" i="104"/>
  <c r="B166" i="104"/>
  <c r="A166" i="104"/>
  <c r="B165" i="104"/>
  <c r="A165" i="104"/>
  <c r="B164" i="104"/>
  <c r="A164" i="104"/>
  <c r="B163" i="104"/>
  <c r="A163" i="104"/>
  <c r="B162" i="104"/>
  <c r="A162" i="104"/>
  <c r="B161" i="104"/>
  <c r="A161" i="104"/>
  <c r="B160" i="104"/>
  <c r="A160" i="104"/>
  <c r="B159" i="104"/>
  <c r="A159" i="104"/>
  <c r="B158" i="104"/>
  <c r="A158" i="104"/>
  <c r="B157" i="104"/>
  <c r="A157" i="104"/>
  <c r="B156" i="104"/>
  <c r="A156" i="104"/>
  <c r="B155" i="104"/>
  <c r="A155" i="104"/>
  <c r="B154" i="104"/>
  <c r="A154" i="104"/>
  <c r="B153" i="104"/>
  <c r="A153" i="104"/>
  <c r="B152" i="104"/>
  <c r="A152" i="104"/>
  <c r="B151" i="104"/>
  <c r="A151" i="104"/>
  <c r="B150" i="104"/>
  <c r="A150" i="104"/>
  <c r="B149" i="104"/>
  <c r="A149" i="104"/>
  <c r="B148" i="104"/>
  <c r="A148" i="104"/>
  <c r="B147" i="104"/>
  <c r="A147" i="104"/>
  <c r="B146" i="104"/>
  <c r="A146" i="104"/>
  <c r="B145" i="104"/>
  <c r="A145" i="104"/>
  <c r="B144" i="104"/>
  <c r="A144" i="104"/>
  <c r="B143" i="104"/>
  <c r="A143" i="104"/>
  <c r="B142" i="104"/>
  <c r="A142" i="104"/>
  <c r="B141" i="104"/>
  <c r="A141" i="104"/>
  <c r="B140" i="104"/>
  <c r="A140" i="104"/>
  <c r="B139" i="104"/>
  <c r="A139" i="104"/>
  <c r="B138" i="104"/>
  <c r="A138" i="104"/>
  <c r="B137" i="104"/>
  <c r="A137" i="104"/>
  <c r="B136" i="104"/>
  <c r="A136" i="104"/>
  <c r="B135" i="104"/>
  <c r="A135" i="104"/>
  <c r="B134" i="104"/>
  <c r="A134" i="104"/>
  <c r="B133" i="104"/>
  <c r="A133" i="104"/>
  <c r="B132" i="104"/>
  <c r="A132" i="104"/>
  <c r="B131" i="104"/>
  <c r="A131" i="104"/>
  <c r="B130" i="104"/>
  <c r="A130" i="104"/>
  <c r="B129" i="104"/>
  <c r="A129" i="104"/>
  <c r="B128" i="104"/>
  <c r="A128" i="104"/>
  <c r="B127" i="104"/>
  <c r="A127" i="104"/>
  <c r="B126" i="104"/>
  <c r="A126" i="104"/>
  <c r="B125" i="104"/>
  <c r="A125" i="104"/>
  <c r="B124" i="104"/>
  <c r="A124" i="104"/>
  <c r="B123" i="104"/>
  <c r="A123" i="104"/>
  <c r="B122" i="104"/>
  <c r="A122" i="104"/>
  <c r="B121" i="104"/>
  <c r="A121" i="104"/>
  <c r="B120" i="104"/>
  <c r="A120" i="104"/>
  <c r="B119" i="104"/>
  <c r="A119" i="104"/>
  <c r="B118" i="104"/>
  <c r="A118" i="104"/>
  <c r="B117" i="104"/>
  <c r="A117" i="104"/>
  <c r="B116" i="104"/>
  <c r="A116" i="104"/>
  <c r="B115" i="104"/>
  <c r="A115" i="104"/>
  <c r="B114" i="104"/>
  <c r="A114" i="104"/>
  <c r="B113" i="104"/>
  <c r="A113" i="104"/>
  <c r="B112" i="104"/>
  <c r="A112" i="104"/>
  <c r="B111" i="104"/>
  <c r="A111" i="104"/>
  <c r="B110" i="104"/>
  <c r="A110" i="104"/>
  <c r="B109" i="104"/>
  <c r="A109" i="104"/>
  <c r="B108" i="104"/>
  <c r="A108" i="104"/>
  <c r="B107" i="104"/>
  <c r="A107" i="104"/>
  <c r="B106" i="104"/>
  <c r="A106" i="104"/>
  <c r="B105" i="104"/>
  <c r="A105" i="104"/>
  <c r="B104" i="104"/>
  <c r="A104" i="104"/>
  <c r="B103" i="104"/>
  <c r="A103" i="104"/>
  <c r="B102" i="104"/>
  <c r="A102" i="104"/>
  <c r="B101" i="104"/>
  <c r="A101" i="104"/>
  <c r="B100" i="104"/>
  <c r="A100" i="104"/>
  <c r="B99" i="104"/>
  <c r="A99" i="104"/>
  <c r="B98" i="104"/>
  <c r="A98" i="104"/>
  <c r="B97" i="104"/>
  <c r="A97" i="104"/>
  <c r="B96" i="104"/>
  <c r="A96" i="104"/>
  <c r="B95" i="104"/>
  <c r="A95" i="104"/>
  <c r="B94" i="104"/>
  <c r="A94" i="104"/>
  <c r="B93" i="104"/>
  <c r="A93" i="104"/>
  <c r="B92" i="104"/>
  <c r="A92" i="104"/>
  <c r="B91" i="104"/>
  <c r="A91" i="104"/>
  <c r="B90" i="104"/>
  <c r="A90" i="104"/>
  <c r="B89" i="104"/>
  <c r="A89" i="104"/>
  <c r="B88" i="104"/>
  <c r="A88" i="104"/>
  <c r="B87" i="104"/>
  <c r="A87" i="104"/>
  <c r="B86" i="104"/>
  <c r="A86" i="104"/>
  <c r="B85" i="104"/>
  <c r="A85" i="104"/>
  <c r="B84" i="104"/>
  <c r="A84" i="104"/>
  <c r="B83" i="104"/>
  <c r="A83" i="104"/>
  <c r="B82" i="104"/>
  <c r="A82" i="104"/>
  <c r="B81" i="104"/>
  <c r="A81" i="104"/>
  <c r="B80" i="104"/>
  <c r="A80" i="104"/>
  <c r="B79" i="104"/>
  <c r="A79" i="104"/>
  <c r="B78" i="104"/>
  <c r="A78" i="104"/>
  <c r="B77" i="104"/>
  <c r="A77" i="104"/>
  <c r="B76" i="104"/>
  <c r="A76" i="104"/>
  <c r="B75" i="104"/>
  <c r="A75" i="104"/>
  <c r="B74" i="104"/>
  <c r="A74" i="104"/>
  <c r="B73" i="104"/>
  <c r="A73" i="104"/>
  <c r="B72" i="104"/>
  <c r="A72" i="104"/>
  <c r="B71" i="104"/>
  <c r="A71" i="104"/>
  <c r="B70" i="104"/>
  <c r="A70" i="104"/>
  <c r="B69" i="104"/>
  <c r="A69" i="104"/>
  <c r="B68" i="104"/>
  <c r="A68" i="104"/>
  <c r="B67" i="104"/>
  <c r="A67" i="104"/>
  <c r="B66" i="104"/>
  <c r="A66" i="104"/>
  <c r="B65" i="104"/>
  <c r="A65" i="104"/>
  <c r="B64" i="104"/>
  <c r="A64" i="104"/>
  <c r="B63" i="104"/>
  <c r="A63" i="104"/>
  <c r="B62" i="104"/>
  <c r="A62" i="104"/>
  <c r="B61" i="104"/>
  <c r="A61" i="104"/>
  <c r="B60" i="104"/>
  <c r="A60" i="104"/>
  <c r="B59" i="104"/>
  <c r="A59" i="104"/>
  <c r="B58" i="104"/>
  <c r="A58" i="104"/>
  <c r="B57" i="104"/>
  <c r="A57" i="104"/>
  <c r="B56" i="104"/>
  <c r="A56" i="104"/>
  <c r="B55" i="104"/>
  <c r="A55" i="104"/>
  <c r="B54" i="104"/>
  <c r="A54" i="104"/>
  <c r="B53" i="104"/>
  <c r="A53" i="104"/>
  <c r="B52" i="104"/>
  <c r="A52" i="104"/>
  <c r="B51" i="104"/>
  <c r="A51" i="104"/>
  <c r="B50" i="104"/>
  <c r="A50" i="104"/>
  <c r="B49" i="104"/>
  <c r="A49" i="104"/>
  <c r="B48" i="104"/>
  <c r="A48" i="104"/>
  <c r="B47" i="104"/>
  <c r="A47" i="104"/>
  <c r="B46" i="104"/>
  <c r="A46" i="104"/>
  <c r="B45" i="104"/>
  <c r="A45" i="104"/>
  <c r="B44" i="104"/>
  <c r="A44" i="104"/>
  <c r="B43" i="104"/>
  <c r="A43" i="104"/>
  <c r="B42" i="104"/>
  <c r="A42" i="104"/>
  <c r="B41" i="104"/>
  <c r="A41" i="104"/>
  <c r="B40" i="104"/>
  <c r="A40" i="104"/>
  <c r="B39" i="104"/>
  <c r="A39" i="104"/>
  <c r="B38" i="104"/>
  <c r="A38" i="104"/>
  <c r="B37" i="104"/>
  <c r="A37" i="104"/>
  <c r="B36" i="104"/>
  <c r="A36" i="104"/>
  <c r="B35" i="104"/>
  <c r="A35" i="104"/>
  <c r="B34" i="104"/>
  <c r="A34" i="104"/>
  <c r="B33" i="104"/>
  <c r="A33" i="104"/>
  <c r="B32" i="104"/>
  <c r="A32" i="104"/>
  <c r="B31" i="104"/>
  <c r="A31" i="104"/>
  <c r="B30" i="104"/>
  <c r="A30" i="104"/>
  <c r="B29" i="104"/>
  <c r="A29" i="104"/>
  <c r="B28" i="104"/>
  <c r="A28" i="104"/>
  <c r="B27" i="104"/>
  <c r="A27" i="104"/>
  <c r="B26" i="104"/>
  <c r="A26" i="104"/>
  <c r="B25" i="104"/>
  <c r="A25" i="104"/>
  <c r="B24" i="104"/>
  <c r="A24" i="104"/>
  <c r="B23" i="104"/>
  <c r="A23" i="104"/>
  <c r="B22" i="104"/>
  <c r="A22" i="104"/>
  <c r="B21" i="104"/>
  <c r="A21" i="104"/>
  <c r="B20" i="104"/>
  <c r="A20" i="104"/>
  <c r="B19" i="104"/>
  <c r="A19" i="104"/>
  <c r="B18" i="104"/>
  <c r="A18" i="104"/>
  <c r="B17" i="104"/>
  <c r="A17" i="104"/>
  <c r="B16" i="104"/>
  <c r="A16" i="104"/>
  <c r="B15" i="104"/>
  <c r="A15" i="104"/>
  <c r="B14" i="104"/>
  <c r="A14" i="104"/>
  <c r="B13" i="104"/>
  <c r="A13" i="104"/>
  <c r="B12" i="104"/>
  <c r="A12" i="104"/>
  <c r="B11" i="104"/>
  <c r="A11" i="104"/>
  <c r="B10" i="104"/>
  <c r="A10" i="104"/>
  <c r="B9" i="104"/>
  <c r="A9" i="104"/>
  <c r="B8" i="104"/>
  <c r="A8" i="104"/>
  <c r="B7" i="104"/>
  <c r="A7" i="104"/>
  <c r="B6" i="104"/>
  <c r="A6" i="104"/>
  <c r="B5" i="104"/>
  <c r="A5" i="104"/>
  <c r="B4" i="104"/>
  <c r="A4" i="104"/>
  <c r="B3" i="104"/>
  <c r="A3" i="104"/>
  <c r="B2" i="104"/>
  <c r="A2" i="104"/>
  <c r="B1" i="104"/>
  <c r="K194" i="92"/>
  <c r="K193" i="92"/>
  <c r="K192" i="92"/>
  <c r="K191" i="92"/>
  <c r="K190" i="92"/>
  <c r="K189" i="92"/>
  <c r="K188" i="92"/>
  <c r="K187" i="92"/>
  <c r="K186" i="92"/>
  <c r="K185" i="92"/>
  <c r="K184" i="92"/>
  <c r="K183" i="92"/>
  <c r="K182" i="92"/>
  <c r="K181" i="92"/>
  <c r="K180" i="92"/>
  <c r="K179" i="92"/>
  <c r="K178" i="92"/>
  <c r="K177" i="92"/>
  <c r="K176" i="92"/>
  <c r="K175" i="92"/>
  <c r="K174" i="92"/>
  <c r="K173" i="92"/>
  <c r="K172" i="92"/>
  <c r="K171" i="92"/>
  <c r="H171" i="92"/>
  <c r="K170" i="92"/>
  <c r="K169" i="92"/>
  <c r="K168" i="92"/>
  <c r="K167" i="92"/>
  <c r="K166" i="92"/>
  <c r="K165" i="92"/>
  <c r="K164" i="92"/>
  <c r="K163" i="92"/>
  <c r="K162" i="92"/>
  <c r="K161" i="92"/>
  <c r="K160" i="92"/>
  <c r="K159" i="92"/>
  <c r="K158" i="92"/>
  <c r="K157" i="92"/>
  <c r="K156" i="92"/>
  <c r="K155" i="92"/>
  <c r="K154" i="92"/>
  <c r="K153" i="92"/>
  <c r="H153" i="92"/>
  <c r="K152" i="92"/>
  <c r="H152" i="92"/>
  <c r="K151" i="92"/>
  <c r="K150" i="92"/>
  <c r="K149" i="92"/>
  <c r="K148" i="92"/>
  <c r="K147" i="92"/>
  <c r="K146" i="92"/>
  <c r="K145" i="92"/>
  <c r="K144" i="92"/>
  <c r="K143" i="92"/>
  <c r="K142" i="92"/>
  <c r="K141" i="92"/>
  <c r="K140" i="92"/>
  <c r="K139" i="92"/>
  <c r="K138" i="92"/>
  <c r="K137" i="92"/>
  <c r="K136" i="92"/>
  <c r="K135" i="92"/>
  <c r="K134" i="92"/>
  <c r="K133" i="92"/>
  <c r="K132" i="92"/>
  <c r="K131" i="92"/>
  <c r="K130" i="92"/>
  <c r="K129" i="92"/>
  <c r="K128" i="92"/>
  <c r="K127" i="92"/>
  <c r="K126" i="92"/>
  <c r="K125" i="92"/>
  <c r="K124" i="92"/>
  <c r="K123" i="92"/>
  <c r="K122" i="92"/>
  <c r="K121" i="92"/>
  <c r="K120" i="92"/>
  <c r="K119" i="92"/>
  <c r="K118" i="92"/>
  <c r="K117" i="92"/>
  <c r="K116" i="92"/>
  <c r="K115" i="92"/>
  <c r="K114" i="92"/>
  <c r="K113" i="92"/>
  <c r="K112" i="92"/>
  <c r="K111" i="92"/>
  <c r="K110" i="92"/>
  <c r="K109" i="92"/>
  <c r="K108" i="92"/>
  <c r="K107" i="92"/>
  <c r="K106" i="92"/>
  <c r="K105" i="92"/>
  <c r="K104" i="92"/>
  <c r="K103" i="92"/>
  <c r="K102" i="92"/>
  <c r="K101" i="92"/>
  <c r="K100" i="92"/>
  <c r="K99" i="92"/>
  <c r="K98" i="92"/>
  <c r="K97" i="92"/>
  <c r="K96" i="92"/>
  <c r="K95" i="92"/>
  <c r="K94" i="92"/>
  <c r="K93" i="92"/>
  <c r="K92" i="92"/>
  <c r="K91" i="92"/>
  <c r="K90" i="92"/>
  <c r="K89" i="92"/>
  <c r="K88" i="92"/>
  <c r="K87" i="92"/>
  <c r="K86" i="92"/>
  <c r="K85" i="92"/>
  <c r="K84" i="92"/>
  <c r="K83" i="92"/>
  <c r="K82" i="92"/>
  <c r="K81" i="92"/>
  <c r="K80" i="92"/>
  <c r="K79" i="92"/>
  <c r="K78" i="92"/>
  <c r="K77" i="92"/>
  <c r="K76" i="92"/>
  <c r="K75" i="92"/>
  <c r="K74" i="92"/>
  <c r="K73" i="92"/>
  <c r="K72" i="92"/>
  <c r="K71" i="92"/>
  <c r="K70" i="92"/>
  <c r="K69" i="92"/>
  <c r="K68" i="92"/>
  <c r="K67" i="92"/>
  <c r="K66" i="92"/>
  <c r="K65" i="92"/>
  <c r="K64" i="92"/>
  <c r="K63" i="92"/>
  <c r="K62" i="92"/>
  <c r="K61" i="92"/>
  <c r="K60" i="92"/>
  <c r="K59" i="92"/>
  <c r="K58" i="92"/>
  <c r="K57" i="92"/>
  <c r="K56" i="92"/>
  <c r="K55" i="92"/>
  <c r="K54" i="92"/>
  <c r="K53" i="92"/>
  <c r="K52" i="92"/>
  <c r="K51" i="92"/>
  <c r="K50" i="92"/>
  <c r="K49" i="92"/>
  <c r="K48" i="92"/>
  <c r="K47" i="92"/>
  <c r="K46" i="92"/>
  <c r="K45" i="92"/>
  <c r="K44" i="92"/>
  <c r="K43" i="92"/>
  <c r="K42" i="92"/>
  <c r="K41" i="92"/>
  <c r="K40" i="92"/>
  <c r="K39" i="92"/>
  <c r="K38" i="92"/>
  <c r="K37" i="92"/>
  <c r="K36" i="92"/>
  <c r="K35" i="92"/>
  <c r="K34" i="92"/>
  <c r="K33" i="92"/>
  <c r="K32" i="92"/>
  <c r="K31" i="92"/>
  <c r="K30" i="92"/>
  <c r="K29" i="92"/>
  <c r="K28" i="92"/>
  <c r="K27" i="92"/>
  <c r="K26" i="92"/>
  <c r="K25" i="92"/>
  <c r="K24" i="92"/>
  <c r="K23" i="92"/>
  <c r="K22" i="92"/>
  <c r="K21" i="92"/>
  <c r="K20" i="92"/>
  <c r="K19" i="92"/>
  <c r="K18" i="92"/>
  <c r="K17" i="92"/>
  <c r="K16" i="92"/>
  <c r="K15" i="92"/>
  <c r="K14" i="92"/>
  <c r="K13" i="92"/>
  <c r="K12" i="92"/>
  <c r="K11" i="92"/>
  <c r="K10" i="92"/>
  <c r="K9" i="92"/>
  <c r="K8" i="92"/>
  <c r="K7" i="92"/>
  <c r="K6" i="92"/>
  <c r="K5" i="92"/>
  <c r="K4" i="92"/>
  <c r="K3" i="92"/>
  <c r="K2" i="92"/>
  <c r="A18" i="131"/>
  <c r="A17" i="131"/>
  <c r="A16" i="131"/>
  <c r="A15" i="131"/>
  <c r="A14" i="131"/>
  <c r="A13" i="131"/>
  <c r="A12" i="131"/>
  <c r="A11" i="131"/>
  <c r="A10" i="131"/>
  <c r="A9" i="131"/>
  <c r="A8" i="131"/>
  <c r="A7" i="131"/>
  <c r="A6" i="131"/>
  <c r="A5" i="131"/>
  <c r="A4" i="131"/>
  <c r="A3" i="131"/>
  <c r="A13" i="130"/>
  <c r="A12" i="130"/>
  <c r="A11" i="130"/>
  <c r="A10" i="130"/>
  <c r="A9" i="130"/>
  <c r="A8" i="130"/>
  <c r="A7" i="130"/>
  <c r="A6" i="130"/>
  <c r="A5" i="130"/>
  <c r="A4" i="130"/>
  <c r="A3" i="130"/>
  <c r="F25" i="126"/>
  <c r="E25" i="126"/>
  <c r="E22" i="126"/>
  <c r="E21" i="126"/>
  <c r="D21" i="126"/>
  <c r="B4" i="126"/>
  <c r="B3" i="126"/>
  <c r="E4130" i="11"/>
  <c r="D25" i="8"/>
  <c r="O120" i="27"/>
  <c r="P121" i="27"/>
  <c r="O88" i="27"/>
  <c r="P89" i="27"/>
  <c r="P137" i="27"/>
  <c r="N141" i="27"/>
  <c r="P144" i="27"/>
  <c r="Q144" i="27"/>
  <c r="P105" i="27"/>
  <c r="Q105" i="27"/>
  <c r="N29" i="27"/>
  <c r="P30" i="27"/>
  <c r="S30" i="27"/>
  <c r="N58" i="27"/>
  <c r="N26" i="27"/>
  <c r="O26" i="27"/>
  <c r="N42" i="27"/>
  <c r="O42" i="27"/>
  <c r="N13" i="27"/>
  <c r="N45" i="27"/>
  <c r="N137" i="27"/>
  <c r="N96" i="27"/>
  <c r="O96" i="27"/>
  <c r="N128" i="27"/>
  <c r="O128" i="27"/>
  <c r="S62" i="27"/>
  <c r="S78" i="27"/>
  <c r="O77" i="27"/>
  <c r="N138" i="27"/>
  <c r="P140" i="27"/>
  <c r="Q140" i="27"/>
  <c r="N5" i="27"/>
  <c r="P6" i="27"/>
  <c r="S6" i="27"/>
  <c r="N50" i="27"/>
  <c r="N112" i="27"/>
  <c r="O112" i="27"/>
  <c r="R6" i="27"/>
  <c r="O37" i="27"/>
  <c r="R38" i="27"/>
  <c r="S54" i="27"/>
  <c r="N144" i="27"/>
  <c r="P145" i="27" s="1"/>
  <c r="P167" i="27"/>
  <c r="S70" i="27"/>
  <c r="K5" i="103"/>
  <c r="J9" i="103"/>
  <c r="J12" i="103"/>
  <c r="N19" i="103"/>
  <c r="K37" i="103"/>
  <c r="J41" i="103"/>
  <c r="J100" i="103"/>
  <c r="N111" i="103"/>
  <c r="J122" i="103"/>
  <c r="J144" i="103"/>
  <c r="K148" i="103"/>
  <c r="L155" i="103"/>
  <c r="K159" i="103"/>
  <c r="N173" i="103"/>
  <c r="K181" i="103"/>
  <c r="J188" i="103"/>
  <c r="N199" i="103"/>
  <c r="M203" i="103"/>
  <c r="K33" i="103"/>
  <c r="K23" i="103"/>
  <c r="N37" i="103"/>
  <c r="J104" i="103"/>
  <c r="N133" i="103"/>
  <c r="N144" i="103"/>
  <c r="N155" i="103"/>
  <c r="K166" i="103"/>
  <c r="N203" i="103"/>
  <c r="N5" i="103"/>
  <c r="J30" i="103"/>
  <c r="K9" i="103"/>
  <c r="J13" i="103"/>
  <c r="N23" i="103"/>
  <c r="K41" i="103"/>
  <c r="J70" i="103"/>
  <c r="J78" i="103"/>
  <c r="J86" i="103"/>
  <c r="N93" i="103"/>
  <c r="N104" i="103"/>
  <c r="N115" i="103"/>
  <c r="J140" i="103"/>
  <c r="I259" i="103"/>
  <c r="N9" i="103"/>
  <c r="K27" i="103"/>
  <c r="J31" i="103"/>
  <c r="J34" i="103"/>
  <c r="N41" i="103"/>
  <c r="J62" i="103"/>
  <c r="J108" i="103"/>
  <c r="N119" i="103"/>
  <c r="J130" i="103"/>
  <c r="J134" i="103"/>
  <c r="J152" i="103"/>
  <c r="L163" i="103"/>
  <c r="K167" i="103"/>
  <c r="N181" i="103"/>
  <c r="L185" i="103"/>
  <c r="J196" i="103"/>
  <c r="J26" i="103"/>
  <c r="N151" i="103"/>
  <c r="J162" i="103"/>
  <c r="K13" i="103"/>
  <c r="J17" i="103"/>
  <c r="J20" i="103"/>
  <c r="N27" i="103"/>
  <c r="J54" i="103"/>
  <c r="J66" i="103"/>
  <c r="K70" i="103"/>
  <c r="J74" i="103"/>
  <c r="K78" i="103"/>
  <c r="J82" i="103"/>
  <c r="K86" i="103"/>
  <c r="J90" i="103"/>
  <c r="J94" i="103"/>
  <c r="J112" i="103"/>
  <c r="L123" i="103"/>
  <c r="N141" i="103"/>
  <c r="N152" i="103"/>
  <c r="K160" i="103"/>
  <c r="N163" i="103"/>
  <c r="K171" i="103"/>
  <c r="K174" i="103"/>
  <c r="J200" i="103"/>
  <c r="J184" i="103"/>
  <c r="J6" i="103"/>
  <c r="N13" i="103"/>
  <c r="K31" i="103"/>
  <c r="J35" i="103"/>
  <c r="J46" i="103"/>
  <c r="N101" i="103"/>
  <c r="N112" i="103"/>
  <c r="N123" i="103"/>
  <c r="K134" i="103"/>
  <c r="L165" i="103"/>
  <c r="J182" i="103"/>
  <c r="L193" i="103"/>
  <c r="L107" i="103"/>
  <c r="L195" i="103"/>
  <c r="K19" i="103"/>
  <c r="K188" i="103"/>
  <c r="K17" i="103"/>
  <c r="J21" i="103"/>
  <c r="J24" i="103"/>
  <c r="J50" i="103"/>
  <c r="J64" i="103"/>
  <c r="K91" i="103"/>
  <c r="K94" i="103"/>
  <c r="J116" i="103"/>
  <c r="N127" i="103"/>
  <c r="J138" i="103"/>
  <c r="J142" i="103"/>
  <c r="J160" i="103"/>
  <c r="K164" i="103"/>
  <c r="K175" i="103"/>
  <c r="N189" i="103"/>
  <c r="L197" i="103"/>
  <c r="J39" i="103"/>
  <c r="K21" i="103"/>
  <c r="J28" i="103"/>
  <c r="N35" i="103"/>
  <c r="L67" i="103"/>
  <c r="L75" i="103"/>
  <c r="L83" i="103"/>
  <c r="L91" i="103"/>
  <c r="K95" i="103"/>
  <c r="N109" i="103"/>
  <c r="N120" i="103"/>
  <c r="N131" i="103"/>
  <c r="K142" i="103"/>
  <c r="L173" i="103"/>
  <c r="J11" i="103"/>
  <c r="J14" i="103"/>
  <c r="K39" i="103"/>
  <c r="L69" i="103"/>
  <c r="L77" i="103"/>
  <c r="L85" i="103"/>
  <c r="J124" i="103"/>
  <c r="L133" i="103"/>
  <c r="N135" i="103"/>
  <c r="J146" i="103"/>
  <c r="J168" i="103"/>
  <c r="L179" i="103"/>
  <c r="K183" i="103"/>
  <c r="G259" i="103"/>
  <c r="K118" i="103"/>
  <c r="L199" i="103"/>
  <c r="J7" i="103"/>
  <c r="J102" i="103"/>
  <c r="N7" i="103"/>
  <c r="J29" i="103"/>
  <c r="N39" i="103"/>
  <c r="L51" i="103"/>
  <c r="K76" i="103"/>
  <c r="L93" i="103"/>
  <c r="J106" i="103"/>
  <c r="J128" i="103"/>
  <c r="K132" i="103"/>
  <c r="K143" i="103"/>
  <c r="N157" i="103"/>
  <c r="K165" i="103"/>
  <c r="N168" i="103"/>
  <c r="K176" i="103"/>
  <c r="N179" i="103"/>
  <c r="H212" i="103"/>
  <c r="N212" i="103"/>
  <c r="L53" i="103"/>
  <c r="J72" i="103"/>
  <c r="J80" i="103"/>
  <c r="L181" i="103"/>
  <c r="J44" i="103"/>
  <c r="J4" i="103"/>
  <c r="N11" i="103"/>
  <c r="K29" i="103"/>
  <c r="J33" i="103"/>
  <c r="J36" i="103"/>
  <c r="L45" i="103"/>
  <c r="K48" i="103"/>
  <c r="N64" i="103"/>
  <c r="J68" i="103"/>
  <c r="N72" i="103"/>
  <c r="N80" i="103"/>
  <c r="J84" i="103"/>
  <c r="N88" i="103"/>
  <c r="K96" i="103"/>
  <c r="K107" i="103"/>
  <c r="K110" i="103"/>
  <c r="J132" i="103"/>
  <c r="L141" i="103"/>
  <c r="N143" i="103"/>
  <c r="J154" i="103"/>
  <c r="J158" i="103"/>
  <c r="J176" i="103"/>
  <c r="K180" i="103"/>
  <c r="N187" i="103"/>
  <c r="N46" i="103"/>
  <c r="L49" i="103"/>
  <c r="N54" i="103"/>
  <c r="L57" i="103"/>
  <c r="N62" i="103"/>
  <c r="N70" i="103"/>
  <c r="N78" i="103"/>
  <c r="L81" i="103"/>
  <c r="N86" i="103"/>
  <c r="N94" i="103"/>
  <c r="L97" i="103"/>
  <c r="N102" i="103"/>
  <c r="L105" i="103"/>
  <c r="N110" i="103"/>
  <c r="L113" i="103"/>
  <c r="N118" i="103"/>
  <c r="N126" i="103"/>
  <c r="L129" i="103"/>
  <c r="N134" i="103"/>
  <c r="L137" i="103"/>
  <c r="N142" i="103"/>
  <c r="L145" i="103"/>
  <c r="N150" i="103"/>
  <c r="L153" i="103"/>
  <c r="N158" i="103"/>
  <c r="L161" i="103"/>
  <c r="N166" i="103"/>
  <c r="L169" i="103"/>
  <c r="N174" i="103"/>
  <c r="L177" i="103"/>
  <c r="N182" i="103"/>
  <c r="L191" i="103"/>
  <c r="M194" i="103"/>
  <c r="L194" i="103"/>
  <c r="L65" i="103"/>
  <c r="L73" i="103"/>
  <c r="L89" i="103"/>
  <c r="L121" i="103"/>
  <c r="M44" i="103"/>
  <c r="L44" i="103"/>
  <c r="M52" i="103"/>
  <c r="L52" i="103"/>
  <c r="M60" i="103"/>
  <c r="L60" i="103"/>
  <c r="M68" i="103"/>
  <c r="L68" i="103"/>
  <c r="M76" i="103"/>
  <c r="L76" i="103"/>
  <c r="M84" i="103"/>
  <c r="L84" i="103"/>
  <c r="M92" i="103"/>
  <c r="L92" i="103"/>
  <c r="M100" i="103"/>
  <c r="L100" i="103"/>
  <c r="M108" i="103"/>
  <c r="L108" i="103"/>
  <c r="M116" i="103"/>
  <c r="L116" i="103"/>
  <c r="M124" i="103"/>
  <c r="L124" i="103"/>
  <c r="M132" i="103"/>
  <c r="L132" i="103"/>
  <c r="M140" i="103"/>
  <c r="L140" i="103"/>
  <c r="M148" i="103"/>
  <c r="L148" i="103"/>
  <c r="M156" i="103"/>
  <c r="L156" i="103"/>
  <c r="M164" i="103"/>
  <c r="L164" i="103"/>
  <c r="M172" i="103"/>
  <c r="L172" i="103"/>
  <c r="M180" i="103"/>
  <c r="L180" i="103"/>
  <c r="J194" i="103"/>
  <c r="M200" i="103"/>
  <c r="L200" i="103"/>
  <c r="M188" i="103"/>
  <c r="L188" i="103"/>
  <c r="K79" i="103"/>
  <c r="J79" i="103"/>
  <c r="K194" i="103"/>
  <c r="K44" i="103"/>
  <c r="K52" i="103"/>
  <c r="K60" i="103"/>
  <c r="K84" i="103"/>
  <c r="K108" i="103"/>
  <c r="K116" i="103"/>
  <c r="K124" i="103"/>
  <c r="K156" i="103"/>
  <c r="K172" i="103"/>
  <c r="K200" i="103"/>
  <c r="K4" i="103"/>
  <c r="K6" i="103"/>
  <c r="K8" i="103"/>
  <c r="K10" i="103"/>
  <c r="K12" i="103"/>
  <c r="K14" i="103"/>
  <c r="K16" i="103"/>
  <c r="K18" i="103"/>
  <c r="K20" i="103"/>
  <c r="K22" i="103"/>
  <c r="K24" i="103"/>
  <c r="K26" i="103"/>
  <c r="K28" i="103"/>
  <c r="K30" i="103"/>
  <c r="K32" i="103"/>
  <c r="K34" i="103"/>
  <c r="K36" i="103"/>
  <c r="K38" i="103"/>
  <c r="K40" i="103"/>
  <c r="K42" i="103"/>
  <c r="L47" i="103"/>
  <c r="L55" i="103"/>
  <c r="L63" i="103"/>
  <c r="N68" i="103"/>
  <c r="L71" i="103"/>
  <c r="N76" i="103"/>
  <c r="L79" i="103"/>
  <c r="L87" i="103"/>
  <c r="N92" i="103"/>
  <c r="L95" i="103"/>
  <c r="N100" i="103"/>
  <c r="L103" i="103"/>
  <c r="L111" i="103"/>
  <c r="L119" i="103"/>
  <c r="L127" i="103"/>
  <c r="N132" i="103"/>
  <c r="L135" i="103"/>
  <c r="N140" i="103"/>
  <c r="L143" i="103"/>
  <c r="N148" i="103"/>
  <c r="L151" i="103"/>
  <c r="L159" i="103"/>
  <c r="N164" i="103"/>
  <c r="L167" i="103"/>
  <c r="L175" i="103"/>
  <c r="N180" i="103"/>
  <c r="L183" i="103"/>
  <c r="M186" i="103"/>
  <c r="L186" i="103"/>
  <c r="K195" i="103"/>
  <c r="K47" i="103"/>
  <c r="J47" i="103"/>
  <c r="L4" i="103"/>
  <c r="L6" i="103"/>
  <c r="L8" i="103"/>
  <c r="L10" i="103"/>
  <c r="L12" i="103"/>
  <c r="L14" i="103"/>
  <c r="L16" i="103"/>
  <c r="L18" i="103"/>
  <c r="L20" i="103"/>
  <c r="L22" i="103"/>
  <c r="L24" i="103"/>
  <c r="L26" i="103"/>
  <c r="L28" i="103"/>
  <c r="L30" i="103"/>
  <c r="L32" i="103"/>
  <c r="L34" i="103"/>
  <c r="L36" i="103"/>
  <c r="L38" i="103"/>
  <c r="L40" i="103"/>
  <c r="L42" i="103"/>
  <c r="M50" i="103"/>
  <c r="L50" i="103"/>
  <c r="M58" i="103"/>
  <c r="L58" i="103"/>
  <c r="M66" i="103"/>
  <c r="L66" i="103"/>
  <c r="M74" i="103"/>
  <c r="L74" i="103"/>
  <c r="M82" i="103"/>
  <c r="L82" i="103"/>
  <c r="M90" i="103"/>
  <c r="L90" i="103"/>
  <c r="M98" i="103"/>
  <c r="L98" i="103"/>
  <c r="M106" i="103"/>
  <c r="L106" i="103"/>
  <c r="M114" i="103"/>
  <c r="L114" i="103"/>
  <c r="M122" i="103"/>
  <c r="L122" i="103"/>
  <c r="M130" i="103"/>
  <c r="L130" i="103"/>
  <c r="M138" i="103"/>
  <c r="L138" i="103"/>
  <c r="M146" i="103"/>
  <c r="L146" i="103"/>
  <c r="M154" i="103"/>
  <c r="L154" i="103"/>
  <c r="M162" i="103"/>
  <c r="L162" i="103"/>
  <c r="M170" i="103"/>
  <c r="L170" i="103"/>
  <c r="M178" i="103"/>
  <c r="L178" i="103"/>
  <c r="J186" i="103"/>
  <c r="M192" i="103"/>
  <c r="L192" i="103"/>
  <c r="K201" i="103"/>
  <c r="K69" i="103"/>
  <c r="J69" i="103"/>
  <c r="K186" i="103"/>
  <c r="M198" i="103"/>
  <c r="L198" i="103"/>
  <c r="K50" i="103"/>
  <c r="K58" i="103"/>
  <c r="K66" i="103"/>
  <c r="K74" i="103"/>
  <c r="K82" i="103"/>
  <c r="K90" i="103"/>
  <c r="K98" i="103"/>
  <c r="K106" i="103"/>
  <c r="K114" i="103"/>
  <c r="K122" i="103"/>
  <c r="K130" i="103"/>
  <c r="K138" i="103"/>
  <c r="K146" i="103"/>
  <c r="K154" i="103"/>
  <c r="K162" i="103"/>
  <c r="K170" i="103"/>
  <c r="K178" i="103"/>
  <c r="K192" i="103"/>
  <c r="J198" i="103"/>
  <c r="L201" i="103"/>
  <c r="M204" i="103"/>
  <c r="L204" i="103"/>
  <c r="K87" i="103"/>
  <c r="J87" i="103"/>
  <c r="K45" i="103"/>
  <c r="J45" i="103"/>
  <c r="K53" i="103"/>
  <c r="J53" i="103"/>
  <c r="K61" i="103"/>
  <c r="J61" i="103"/>
  <c r="N79" i="103"/>
  <c r="K85" i="103"/>
  <c r="J85" i="103"/>
  <c r="K198" i="103"/>
  <c r="J204" i="103"/>
  <c r="K71" i="103"/>
  <c r="J71" i="103"/>
  <c r="N87" i="103"/>
  <c r="H259" i="103"/>
  <c r="M48" i="103"/>
  <c r="L48" i="103"/>
  <c r="M56" i="103"/>
  <c r="L56" i="103"/>
  <c r="M64" i="103"/>
  <c r="L64" i="103"/>
  <c r="M72" i="103"/>
  <c r="L72" i="103"/>
  <c r="M80" i="103"/>
  <c r="L80" i="103"/>
  <c r="M88" i="103"/>
  <c r="L88" i="103"/>
  <c r="M96" i="103"/>
  <c r="L96" i="103"/>
  <c r="M104" i="103"/>
  <c r="L104" i="103"/>
  <c r="M112" i="103"/>
  <c r="L112" i="103"/>
  <c r="M120" i="103"/>
  <c r="L120" i="103"/>
  <c r="M128" i="103"/>
  <c r="L128" i="103"/>
  <c r="M136" i="103"/>
  <c r="L136" i="103"/>
  <c r="M144" i="103"/>
  <c r="L144" i="103"/>
  <c r="M152" i="103"/>
  <c r="L152" i="103"/>
  <c r="M160" i="103"/>
  <c r="L160" i="103"/>
  <c r="M168" i="103"/>
  <c r="L168" i="103"/>
  <c r="M176" i="103"/>
  <c r="L176" i="103"/>
  <c r="M184" i="103"/>
  <c r="L184" i="103"/>
  <c r="K193" i="103"/>
  <c r="K204" i="103"/>
  <c r="N45" i="103"/>
  <c r="K51" i="103"/>
  <c r="J51" i="103"/>
  <c r="N53" i="103"/>
  <c r="K59" i="103"/>
  <c r="J59" i="103"/>
  <c r="N61" i="103"/>
  <c r="K67" i="103"/>
  <c r="J67" i="103"/>
  <c r="N85" i="103"/>
  <c r="M190" i="103"/>
  <c r="L190" i="103"/>
  <c r="K63" i="103"/>
  <c r="J63" i="103"/>
  <c r="N47" i="103"/>
  <c r="K77" i="103"/>
  <c r="J77" i="103"/>
  <c r="N69" i="103"/>
  <c r="K75" i="103"/>
  <c r="J75" i="103"/>
  <c r="N77" i="103"/>
  <c r="K83" i="103"/>
  <c r="J83" i="103"/>
  <c r="J3" i="103"/>
  <c r="K43" i="103"/>
  <c r="K184" i="103"/>
  <c r="J190" i="103"/>
  <c r="M196" i="103"/>
  <c r="L196" i="103"/>
  <c r="K55" i="103"/>
  <c r="J55" i="103"/>
  <c r="L3" i="103"/>
  <c r="L5" i="103"/>
  <c r="L7" i="103"/>
  <c r="L9" i="103"/>
  <c r="L11" i="103"/>
  <c r="L13" i="103"/>
  <c r="L15" i="103"/>
  <c r="L17" i="103"/>
  <c r="L19" i="103"/>
  <c r="L21" i="103"/>
  <c r="L23" i="103"/>
  <c r="L25" i="103"/>
  <c r="L27" i="103"/>
  <c r="L29" i="103"/>
  <c r="L31" i="103"/>
  <c r="L33" i="103"/>
  <c r="L35" i="103"/>
  <c r="L37" i="103"/>
  <c r="L39" i="103"/>
  <c r="L41" i="103"/>
  <c r="M46" i="103"/>
  <c r="L46" i="103"/>
  <c r="M54" i="103"/>
  <c r="L54" i="103"/>
  <c r="M62" i="103"/>
  <c r="L62" i="103"/>
  <c r="M70" i="103"/>
  <c r="L70" i="103"/>
  <c r="M78" i="103"/>
  <c r="L78" i="103"/>
  <c r="M86" i="103"/>
  <c r="L86" i="103"/>
  <c r="M94" i="103"/>
  <c r="L94" i="103"/>
  <c r="M102" i="103"/>
  <c r="L102" i="103"/>
  <c r="M110" i="103"/>
  <c r="L110" i="103"/>
  <c r="M118" i="103"/>
  <c r="L118" i="103"/>
  <c r="M126" i="103"/>
  <c r="L126" i="103"/>
  <c r="M134" i="103"/>
  <c r="L134" i="103"/>
  <c r="M142" i="103"/>
  <c r="L142" i="103"/>
  <c r="M150" i="103"/>
  <c r="L150" i="103"/>
  <c r="M158" i="103"/>
  <c r="L158" i="103"/>
  <c r="M166" i="103"/>
  <c r="L166" i="103"/>
  <c r="M174" i="103"/>
  <c r="L174" i="103"/>
  <c r="M182" i="103"/>
  <c r="L182" i="103"/>
  <c r="K185" i="103"/>
  <c r="K196" i="103"/>
  <c r="J202" i="103"/>
  <c r="M202" i="103"/>
  <c r="L202" i="103"/>
  <c r="K49" i="103"/>
  <c r="J49" i="103"/>
  <c r="N51" i="103"/>
  <c r="K57" i="103"/>
  <c r="J57" i="103"/>
  <c r="N59" i="103"/>
  <c r="K65" i="103"/>
  <c r="J65" i="103"/>
  <c r="N67" i="103"/>
  <c r="K73" i="103"/>
  <c r="J73" i="103"/>
  <c r="N75" i="103"/>
  <c r="K81" i="103"/>
  <c r="J81" i="103"/>
  <c r="N83" i="103"/>
  <c r="K89" i="103"/>
  <c r="K97" i="103"/>
  <c r="K105" i="103"/>
  <c r="K113" i="103"/>
  <c r="K121" i="103"/>
  <c r="K129" i="103"/>
  <c r="K137" i="103"/>
  <c r="K145" i="103"/>
  <c r="K153" i="103"/>
  <c r="K161" i="103"/>
  <c r="K169" i="103"/>
  <c r="K177" i="103"/>
  <c r="K191" i="103"/>
  <c r="K202" i="103"/>
  <c r="N217" i="103"/>
  <c r="K217" i="103"/>
  <c r="K207" i="103"/>
  <c r="K209" i="103"/>
  <c r="J89" i="103"/>
  <c r="J91" i="103"/>
  <c r="J93" i="103"/>
  <c r="J95" i="103"/>
  <c r="J97" i="103"/>
  <c r="J99" i="103"/>
  <c r="J101" i="103"/>
  <c r="J103" i="103"/>
  <c r="J105" i="103"/>
  <c r="J107" i="103"/>
  <c r="J109" i="103"/>
  <c r="J111" i="103"/>
  <c r="J113" i="103"/>
  <c r="J115" i="103"/>
  <c r="J117" i="103"/>
  <c r="J119" i="103"/>
  <c r="J121" i="103"/>
  <c r="J123" i="103"/>
  <c r="J125" i="103"/>
  <c r="J127" i="103"/>
  <c r="J129" i="103"/>
  <c r="J131" i="103"/>
  <c r="J133" i="103"/>
  <c r="J135" i="103"/>
  <c r="J137" i="103"/>
  <c r="J139" i="103"/>
  <c r="J141" i="103"/>
  <c r="J143" i="103"/>
  <c r="J145" i="103"/>
  <c r="J147" i="103"/>
  <c r="J149" i="103"/>
  <c r="J151" i="103"/>
  <c r="J153" i="103"/>
  <c r="J155" i="103"/>
  <c r="J157" i="103"/>
  <c r="J159" i="103"/>
  <c r="J161" i="103"/>
  <c r="J163" i="103"/>
  <c r="J165" i="103"/>
  <c r="J167" i="103"/>
  <c r="J169" i="103"/>
  <c r="J171" i="103"/>
  <c r="J173" i="103"/>
  <c r="J175" i="103"/>
  <c r="J177" i="103"/>
  <c r="J179" i="103"/>
  <c r="J181" i="103"/>
  <c r="J183" i="103"/>
  <c r="J185" i="103"/>
  <c r="J187" i="103"/>
  <c r="J189" i="103"/>
  <c r="J191" i="103"/>
  <c r="J193" i="103"/>
  <c r="J195" i="103"/>
  <c r="J197" i="103"/>
  <c r="J199" i="103"/>
  <c r="J201" i="103"/>
  <c r="J203" i="103"/>
  <c r="J223" i="103"/>
  <c r="K223" i="103"/>
  <c r="L223" i="103"/>
  <c r="F1473" i="115"/>
  <c r="O143" i="27"/>
  <c r="N222" i="103"/>
  <c r="K222" i="103"/>
  <c r="J222" i="103"/>
  <c r="M222" i="103"/>
  <c r="L222" i="103"/>
  <c r="N221" i="103"/>
  <c r="K221" i="103"/>
  <c r="J221" i="103"/>
  <c r="M221" i="103"/>
  <c r="L221" i="103"/>
  <c r="N219" i="103"/>
  <c r="K219" i="103"/>
  <c r="N220" i="103"/>
  <c r="K220" i="103"/>
  <c r="J220" i="103"/>
  <c r="M220" i="103"/>
  <c r="L220" i="103"/>
  <c r="B257" i="11"/>
  <c r="B266" i="11"/>
  <c r="B283" i="11"/>
  <c r="B252" i="11"/>
  <c r="B3529" i="11"/>
  <c r="B39" i="93"/>
  <c r="B506" i="11"/>
  <c r="B514" i="11"/>
  <c r="B35" i="59"/>
  <c r="B179" i="55"/>
  <c r="B14" i="59"/>
  <c r="B22" i="59"/>
  <c r="B26" i="59"/>
  <c r="B28" i="59"/>
  <c r="B34" i="59"/>
  <c r="B181" i="55"/>
  <c r="B264" i="55"/>
  <c r="B484" i="11"/>
  <c r="B669" i="94"/>
  <c r="B661" i="94"/>
  <c r="B660" i="94"/>
  <c r="B674" i="94"/>
  <c r="B160" i="55"/>
  <c r="B159" i="55"/>
  <c r="B30" i="59"/>
  <c r="B42" i="59"/>
  <c r="B58" i="55"/>
  <c r="B60" i="55"/>
  <c r="B68" i="55"/>
  <c r="B77" i="55"/>
  <c r="B89" i="55"/>
  <c r="B90" i="55"/>
  <c r="B509" i="11"/>
  <c r="B508" i="11"/>
  <c r="B507" i="11"/>
  <c r="B512" i="11"/>
  <c r="B505" i="11"/>
  <c r="B277" i="11"/>
  <c r="B271" i="11"/>
  <c r="B524" i="11"/>
  <c r="B521" i="11"/>
  <c r="B20" i="55"/>
  <c r="B21" i="55"/>
  <c r="B25" i="55"/>
  <c r="B210" i="55"/>
  <c r="B162" i="55"/>
  <c r="B623" i="48"/>
  <c r="B605" i="48"/>
  <c r="B155" i="55"/>
  <c r="B143" i="55"/>
  <c r="B251" i="55"/>
  <c r="B257" i="55"/>
  <c r="B245" i="11"/>
  <c r="B250" i="11"/>
  <c r="B253" i="11"/>
  <c r="B254" i="11"/>
  <c r="B256" i="11"/>
  <c r="B258" i="11"/>
  <c r="B261" i="11"/>
  <c r="B243" i="11"/>
  <c r="B356" i="11"/>
  <c r="B358" i="11"/>
  <c r="B362" i="11"/>
  <c r="B367" i="11"/>
  <c r="B369" i="11"/>
  <c r="B372" i="11"/>
  <c r="B294" i="11"/>
  <c r="B297" i="11"/>
  <c r="B85" i="58"/>
  <c r="B34" i="58"/>
  <c r="B28" i="58"/>
  <c r="B24" i="58"/>
  <c r="B19" i="58"/>
  <c r="B77" i="58"/>
  <c r="B60" i="58"/>
  <c r="B75" i="58"/>
  <c r="B76" i="58"/>
  <c r="B211" i="55"/>
  <c r="B207" i="55"/>
  <c r="B227" i="55"/>
  <c r="B232" i="55"/>
  <c r="B31" i="54"/>
  <c r="B30" i="54"/>
  <c r="B27" i="54"/>
  <c r="B561" i="48"/>
  <c r="B560" i="48"/>
  <c r="B565" i="48"/>
  <c r="B568" i="48"/>
  <c r="B370" i="11"/>
  <c r="B373" i="11"/>
  <c r="B374" i="11"/>
  <c r="B376" i="11"/>
  <c r="B365" i="11"/>
  <c r="B450" i="11"/>
  <c r="B453" i="11"/>
  <c r="B458" i="11"/>
  <c r="B566" i="48"/>
  <c r="B570" i="48"/>
  <c r="B571" i="48"/>
  <c r="B572" i="48"/>
  <c r="B563" i="48"/>
  <c r="B500" i="11"/>
  <c r="B611" i="48"/>
  <c r="B8" i="54"/>
  <c r="B1667" i="93"/>
  <c r="B440" i="11"/>
  <c r="B286" i="11"/>
  <c r="B288" i="11"/>
  <c r="B293" i="11"/>
  <c r="B300" i="11"/>
  <c r="B793" i="94"/>
  <c r="B274" i="11"/>
  <c r="B281" i="11"/>
  <c r="B86" i="50"/>
  <c r="B794" i="94"/>
  <c r="B87" i="50"/>
  <c r="B361" i="11"/>
  <c r="B546" i="11"/>
  <c r="K218" i="103"/>
  <c r="J219" i="103"/>
  <c r="L219" i="103"/>
  <c r="F1464" i="115"/>
  <c r="F1469" i="115"/>
  <c r="J218" i="103"/>
  <c r="L218" i="103"/>
  <c r="L217" i="103"/>
  <c r="O141" i="27"/>
  <c r="P142" i="27"/>
  <c r="Q142" i="27"/>
  <c r="S142" i="27"/>
  <c r="P143" i="27"/>
  <c r="Q143" i="27"/>
  <c r="S143" i="27"/>
  <c r="E60" i="119"/>
  <c r="J217" i="103"/>
  <c r="F155" i="123"/>
  <c r="F159" i="123"/>
  <c r="F58" i="119"/>
  <c r="N216" i="103"/>
  <c r="K216" i="103"/>
  <c r="J216" i="103"/>
  <c r="M216" i="103"/>
  <c r="L216" i="103"/>
  <c r="M215" i="103"/>
  <c r="L215" i="103"/>
  <c r="F151" i="123"/>
  <c r="F114" i="123"/>
  <c r="N215" i="103"/>
  <c r="K215" i="103"/>
  <c r="J215" i="103"/>
  <c r="E4605" i="13"/>
  <c r="C17" i="8"/>
  <c r="D17" i="8"/>
  <c r="D2263" i="18"/>
  <c r="B18" i="8"/>
  <c r="B80" i="32"/>
  <c r="D80" i="32"/>
  <c r="M214" i="103"/>
  <c r="L214" i="103"/>
  <c r="F1459" i="115"/>
  <c r="L213" i="103"/>
  <c r="N213" i="103"/>
  <c r="K213" i="103"/>
  <c r="J213" i="103"/>
  <c r="N214" i="103"/>
  <c r="K214" i="103"/>
  <c r="J214" i="103"/>
  <c r="J212" i="103"/>
  <c r="K212" i="103"/>
  <c r="L212" i="103"/>
  <c r="N211" i="103"/>
  <c r="K211" i="103"/>
  <c r="J211" i="103"/>
  <c r="N210" i="103"/>
  <c r="K210" i="103"/>
  <c r="J210" i="103"/>
  <c r="M211" i="103"/>
  <c r="L211" i="103"/>
  <c r="M209" i="103"/>
  <c r="L209" i="103"/>
  <c r="M210" i="103"/>
  <c r="L210" i="103"/>
  <c r="N209" i="103"/>
  <c r="J209" i="103"/>
  <c r="J208" i="103"/>
  <c r="K208" i="103"/>
  <c r="L208" i="103"/>
  <c r="E273" i="116"/>
  <c r="E274" i="116"/>
  <c r="E279" i="116"/>
  <c r="F279" i="116"/>
  <c r="F116" i="116"/>
  <c r="F273" i="116"/>
  <c r="E276" i="116"/>
  <c r="B247" i="106"/>
  <c r="F1453" i="115"/>
  <c r="E57" i="119"/>
  <c r="F147" i="123"/>
  <c r="F110" i="123"/>
  <c r="F56" i="119"/>
  <c r="F119" i="123"/>
  <c r="F17" i="119"/>
  <c r="F82" i="123"/>
  <c r="F1693" i="18"/>
  <c r="F1646" i="18"/>
  <c r="F960" i="18"/>
  <c r="F945" i="18"/>
  <c r="D18" i="8"/>
  <c r="E2263" i="18"/>
  <c r="E2256" i="18"/>
  <c r="E2259" i="18"/>
  <c r="F2259" i="18"/>
  <c r="O138" i="27"/>
  <c r="P139" i="27"/>
  <c r="Q139" i="27"/>
  <c r="S139" i="27"/>
  <c r="R139" i="27"/>
  <c r="O139" i="27"/>
  <c r="Q167" i="27"/>
  <c r="S167" i="27"/>
  <c r="P141" i="27"/>
  <c r="Q141" i="27"/>
  <c r="S141" i="27"/>
  <c r="O82" i="27"/>
  <c r="O130" i="27"/>
  <c r="N20" i="27"/>
  <c r="R19" i="27"/>
  <c r="N19" i="27"/>
  <c r="N52" i="27"/>
  <c r="N51" i="27"/>
  <c r="O114" i="27"/>
  <c r="O10" i="27"/>
  <c r="P11" i="27"/>
  <c r="S11" i="27"/>
  <c r="R62" i="27"/>
  <c r="P91" i="27"/>
  <c r="Q91" i="27"/>
  <c r="R91" i="27"/>
  <c r="O90" i="27"/>
  <c r="N9" i="27"/>
  <c r="N8" i="27"/>
  <c r="O50" i="27"/>
  <c r="P51" i="27"/>
  <c r="R51" i="27"/>
  <c r="O98" i="27"/>
  <c r="O74" i="27"/>
  <c r="P75" i="27"/>
  <c r="R75" i="27"/>
  <c r="N41" i="27"/>
  <c r="N40" i="27"/>
  <c r="O61" i="27"/>
  <c r="N73" i="27"/>
  <c r="N72" i="27"/>
  <c r="N12" i="27"/>
  <c r="R11" i="27"/>
  <c r="N11" i="27"/>
  <c r="O21" i="27"/>
  <c r="N33" i="27"/>
  <c r="N32" i="27"/>
  <c r="N65" i="27"/>
  <c r="N64" i="27"/>
  <c r="O18" i="27"/>
  <c r="P19" i="27"/>
  <c r="S19" i="27"/>
  <c r="N44" i="27"/>
  <c r="N43" i="27"/>
  <c r="N76" i="27"/>
  <c r="N75" i="27"/>
  <c r="R22" i="27"/>
  <c r="R54" i="27"/>
  <c r="O85" i="27"/>
  <c r="N92" i="27"/>
  <c r="P102" i="27"/>
  <c r="Q102" i="27"/>
  <c r="S102" i="27"/>
  <c r="O101" i="27"/>
  <c r="N108" i="27"/>
  <c r="O117" i="27"/>
  <c r="N124" i="27"/>
  <c r="O133" i="27"/>
  <c r="P4" i="27"/>
  <c r="R4" i="27"/>
  <c r="O3" i="27"/>
  <c r="O34" i="27"/>
  <c r="P35" i="27"/>
  <c r="S35" i="27"/>
  <c r="O66" i="27"/>
  <c r="P67" i="27"/>
  <c r="S67" i="27"/>
  <c r="N25" i="27"/>
  <c r="N24" i="27"/>
  <c r="N57" i="27"/>
  <c r="N56" i="27"/>
  <c r="N94" i="27"/>
  <c r="N110" i="27"/>
  <c r="N126" i="27"/>
  <c r="Q90" i="27"/>
  <c r="N36" i="27"/>
  <c r="N35" i="27"/>
  <c r="N68" i="27"/>
  <c r="R67" i="27"/>
  <c r="N67" i="27"/>
  <c r="P88" i="27"/>
  <c r="Q88" i="27"/>
  <c r="P90" i="27"/>
  <c r="O87" i="27"/>
  <c r="P104" i="27"/>
  <c r="Q104" i="27"/>
  <c r="P106" i="27"/>
  <c r="Q106" i="27"/>
  <c r="O103" i="27"/>
  <c r="P120" i="27"/>
  <c r="Q120" i="27"/>
  <c r="P122" i="27"/>
  <c r="Q122" i="27"/>
  <c r="O119" i="27"/>
  <c r="P136" i="27"/>
  <c r="Q136" i="27"/>
  <c r="S136" i="27"/>
  <c r="O135" i="27"/>
  <c r="P27" i="27"/>
  <c r="S27" i="27"/>
  <c r="O58" i="27"/>
  <c r="P59" i="27"/>
  <c r="S59" i="27"/>
  <c r="N17" i="27"/>
  <c r="N16" i="27"/>
  <c r="N49" i="27"/>
  <c r="N48" i="27"/>
  <c r="N81" i="27"/>
  <c r="R80" i="27"/>
  <c r="N80" i="27"/>
  <c r="Q89" i="27"/>
  <c r="Q121" i="27"/>
  <c r="N28" i="27"/>
  <c r="N27" i="27"/>
  <c r="N60" i="27"/>
  <c r="N59" i="27"/>
  <c r="P5" i="27"/>
  <c r="Q137" i="27"/>
  <c r="N83" i="27"/>
  <c r="N99" i="27"/>
  <c r="N115" i="27"/>
  <c r="N131" i="27"/>
  <c r="N6" i="27"/>
  <c r="N14" i="27"/>
  <c r="N22" i="27"/>
  <c r="N30" i="27"/>
  <c r="N38" i="27"/>
  <c r="N46" i="27"/>
  <c r="N54" i="27"/>
  <c r="N62" i="27"/>
  <c r="N70" i="27"/>
  <c r="N78" i="27"/>
  <c r="P92" i="27"/>
  <c r="Q92" i="27"/>
  <c r="N106" i="27"/>
  <c r="P108" i="27"/>
  <c r="Q108" i="27"/>
  <c r="N122" i="27"/>
  <c r="P124" i="27"/>
  <c r="Q124" i="27"/>
  <c r="N97" i="27"/>
  <c r="N113" i="27"/>
  <c r="N129" i="27"/>
  <c r="N95" i="27"/>
  <c r="N111" i="27"/>
  <c r="N127" i="27"/>
  <c r="N109" i="27"/>
  <c r="N125" i="27"/>
  <c r="N7" i="27"/>
  <c r="N15" i="27"/>
  <c r="N23" i="27"/>
  <c r="N31" i="27"/>
  <c r="N39" i="27"/>
  <c r="N47" i="27"/>
  <c r="N55" i="27"/>
  <c r="N63" i="27"/>
  <c r="N71" i="27"/>
  <c r="N79" i="27"/>
  <c r="N84" i="27"/>
  <c r="N100" i="27"/>
  <c r="N116" i="27"/>
  <c r="N132" i="27"/>
  <c r="N93" i="27"/>
  <c r="R79" i="27"/>
  <c r="J207" i="103"/>
  <c r="N207" i="103"/>
  <c r="L207" i="103"/>
  <c r="E1233" i="22"/>
  <c r="F704" i="115"/>
  <c r="E43" i="119"/>
  <c r="F646" i="115"/>
  <c r="E42" i="119"/>
  <c r="E1312" i="22"/>
  <c r="D73" i="23"/>
  <c r="D106" i="23"/>
  <c r="F933" i="115"/>
  <c r="E47" i="119"/>
  <c r="N205" i="103"/>
  <c r="K205" i="103"/>
  <c r="J205" i="103"/>
  <c r="N206" i="103"/>
  <c r="K206" i="103"/>
  <c r="J206" i="103"/>
  <c r="I260" i="103"/>
  <c r="M205" i="103"/>
  <c r="L205" i="103"/>
  <c r="M206" i="103"/>
  <c r="L206" i="103"/>
  <c r="E38" i="124"/>
  <c r="F38" i="124"/>
  <c r="E35" i="124"/>
  <c r="F62" i="115"/>
  <c r="F75" i="115"/>
  <c r="F81" i="115"/>
  <c r="F97" i="115"/>
  <c r="F127" i="115"/>
  <c r="F146" i="115"/>
  <c r="F212" i="115"/>
  <c r="F317" i="115"/>
  <c r="F484" i="115"/>
  <c r="F1099" i="115"/>
  <c r="F1159" i="115"/>
  <c r="B1334" i="115"/>
  <c r="B1332" i="115"/>
  <c r="B45" i="106"/>
  <c r="E36" i="119"/>
  <c r="F35" i="115"/>
  <c r="E4" i="119"/>
  <c r="F230" i="115"/>
  <c r="E26" i="119"/>
  <c r="E12" i="119"/>
  <c r="F789" i="115"/>
  <c r="F858" i="115"/>
  <c r="E903" i="115"/>
  <c r="F967" i="115"/>
  <c r="F1231" i="115"/>
  <c r="F1232" i="115"/>
  <c r="F103" i="115"/>
  <c r="F1323" i="115"/>
  <c r="F54" i="115"/>
  <c r="F1057" i="115"/>
  <c r="B88" i="115"/>
  <c r="F736" i="115"/>
  <c r="E44" i="119"/>
  <c r="F1024" i="115"/>
  <c r="E49" i="119"/>
  <c r="F109" i="115"/>
  <c r="F352" i="115"/>
  <c r="F425" i="115"/>
  <c r="F1447" i="115"/>
  <c r="F467" i="115"/>
  <c r="F156" i="115"/>
  <c r="F250" i="115"/>
  <c r="F385" i="115"/>
  <c r="E34" i="119"/>
  <c r="F115" i="115"/>
  <c r="F1435" i="115"/>
  <c r="E55" i="119"/>
  <c r="E183" i="123"/>
  <c r="F50" i="123"/>
  <c r="F125" i="123"/>
  <c r="D72" i="23"/>
  <c r="D17" i="23"/>
  <c r="D88" i="23"/>
  <c r="D8" i="23"/>
  <c r="D52" i="23"/>
  <c r="D41" i="23"/>
  <c r="D105" i="23"/>
  <c r="C129" i="23"/>
  <c r="B180" i="23"/>
  <c r="D12" i="23"/>
  <c r="D27" i="23"/>
  <c r="D58" i="23"/>
  <c r="C164" i="23"/>
  <c r="E1208" i="22"/>
  <c r="D68" i="23"/>
  <c r="D22" i="23"/>
  <c r="D110" i="23"/>
  <c r="B119" i="23"/>
  <c r="D129" i="23"/>
  <c r="D33" i="23"/>
  <c r="D111" i="23"/>
  <c r="D21" i="23"/>
  <c r="D203" i="23"/>
  <c r="D104" i="23"/>
  <c r="D57" i="23"/>
  <c r="D115" i="23"/>
  <c r="D11" i="23"/>
  <c r="C138" i="23"/>
  <c r="D28" i="23"/>
  <c r="D95" i="23"/>
  <c r="E842" i="22"/>
  <c r="D127" i="23"/>
  <c r="D197" i="23"/>
  <c r="D196" i="23"/>
  <c r="E941" i="22"/>
  <c r="E937" i="22" s="1"/>
  <c r="B135" i="23" s="1"/>
  <c r="E932" i="22"/>
  <c r="B134" i="23" s="1"/>
  <c r="B189" i="23"/>
  <c r="D63" i="23"/>
  <c r="E1322" i="22"/>
  <c r="H1810" i="22"/>
  <c r="D47" i="23"/>
  <c r="D79" i="23"/>
  <c r="B170" i="23"/>
  <c r="B172" i="23"/>
  <c r="D172" i="23" s="1"/>
  <c r="D198" i="23"/>
  <c r="G2499" i="22"/>
  <c r="E30" i="119"/>
  <c r="F281" i="115"/>
  <c r="F47" i="115"/>
  <c r="F43" i="115"/>
  <c r="E5" i="119"/>
  <c r="E39" i="119"/>
  <c r="F525" i="115"/>
  <c r="E46" i="119"/>
  <c r="F196" i="115"/>
  <c r="E23" i="119"/>
  <c r="F207" i="115"/>
  <c r="F564" i="115"/>
  <c r="E31" i="119"/>
  <c r="F300" i="115"/>
  <c r="F151" i="115"/>
  <c r="F602" i="115"/>
  <c r="F137" i="115"/>
  <c r="F91" i="115"/>
  <c r="F264" i="115"/>
  <c r="F702" i="115"/>
  <c r="B394" i="106"/>
  <c r="C427" i="106"/>
  <c r="B303" i="106"/>
  <c r="B294" i="106"/>
  <c r="F134" i="123"/>
  <c r="E818" i="106"/>
  <c r="E819" i="106" s="1"/>
  <c r="R92" i="27"/>
  <c r="S92" i="27"/>
  <c r="S144" i="27"/>
  <c r="R144" i="27"/>
  <c r="S140" i="27"/>
  <c r="R140" i="27"/>
  <c r="P134" i="27"/>
  <c r="Q134" i="27"/>
  <c r="O29" i="27"/>
  <c r="P14" i="27"/>
  <c r="O13" i="27"/>
  <c r="R30" i="27"/>
  <c r="O144" i="27"/>
  <c r="O5" i="27"/>
  <c r="R141" i="27"/>
  <c r="R143" i="27"/>
  <c r="P46" i="27"/>
  <c r="O45" i="27"/>
  <c r="P43" i="27"/>
  <c r="S43" i="27"/>
  <c r="S51" i="27"/>
  <c r="R142" i="27"/>
  <c r="O137" i="27"/>
  <c r="P138" i="27"/>
  <c r="Q138" i="27"/>
  <c r="N259" i="103"/>
  <c r="K259" i="103"/>
  <c r="M259" i="103"/>
  <c r="L259" i="103"/>
  <c r="J259" i="103"/>
  <c r="B515" i="11"/>
  <c r="B519" i="11"/>
  <c r="B526" i="11"/>
  <c r="B265" i="11"/>
  <c r="B267" i="11"/>
  <c r="B268" i="11"/>
  <c r="B276" i="11"/>
  <c r="B278" i="11"/>
  <c r="B280" i="11"/>
  <c r="B284" i="11"/>
  <c r="B291" i="11"/>
  <c r="B272" i="11"/>
  <c r="B308" i="11"/>
  <c r="B306" i="11"/>
  <c r="B235" i="55"/>
  <c r="B237" i="55"/>
  <c r="B279" i="11"/>
  <c r="B287" i="11"/>
  <c r="B290" i="11"/>
  <c r="B29" i="55"/>
  <c r="B32" i="55"/>
  <c r="B33" i="55"/>
  <c r="B460" i="11"/>
  <c r="B469" i="11"/>
  <c r="B529" i="11"/>
  <c r="B532" i="11"/>
  <c r="B569" i="48"/>
  <c r="B576" i="48"/>
  <c r="B574" i="48"/>
  <c r="B389" i="11"/>
  <c r="B390" i="11"/>
  <c r="B382" i="11"/>
  <c r="E59" i="119"/>
  <c r="E4606" i="13"/>
  <c r="E56" i="119"/>
  <c r="S134" i="27"/>
  <c r="R134" i="27"/>
  <c r="R106" i="27"/>
  <c r="S106" i="27"/>
  <c r="R122" i="27"/>
  <c r="S122" i="27"/>
  <c r="S124" i="27"/>
  <c r="R124" i="27"/>
  <c r="S108" i="27"/>
  <c r="R108" i="27"/>
  <c r="P81" i="27"/>
  <c r="O80" i="27"/>
  <c r="P74" i="27"/>
  <c r="O73" i="27"/>
  <c r="P82" i="27"/>
  <c r="O81" i="27"/>
  <c r="O31" i="27"/>
  <c r="P32" i="27"/>
  <c r="P114" i="27"/>
  <c r="Q114" i="27"/>
  <c r="O113" i="27"/>
  <c r="P47" i="27"/>
  <c r="O46" i="27"/>
  <c r="R59" i="27"/>
  <c r="P111" i="27"/>
  <c r="Q111" i="27"/>
  <c r="O110" i="27"/>
  <c r="S4" i="27"/>
  <c r="P93" i="27"/>
  <c r="Q93" i="27"/>
  <c r="O92" i="27"/>
  <c r="S75" i="27"/>
  <c r="P42" i="27"/>
  <c r="O41" i="27"/>
  <c r="P20" i="27"/>
  <c r="O19" i="27"/>
  <c r="S137" i="27"/>
  <c r="R137" i="27"/>
  <c r="P130" i="27"/>
  <c r="Q130" i="27"/>
  <c r="O129" i="27"/>
  <c r="P60" i="27"/>
  <c r="O59" i="27"/>
  <c r="P26" i="27"/>
  <c r="O25" i="27"/>
  <c r="O23" i="27"/>
  <c r="P24" i="27"/>
  <c r="P98" i="27"/>
  <c r="Q98" i="27"/>
  <c r="O97" i="27"/>
  <c r="P39" i="27"/>
  <c r="O38" i="27"/>
  <c r="O76" i="27"/>
  <c r="P77" i="27"/>
  <c r="P99" i="27"/>
  <c r="Q99" i="27"/>
  <c r="P52" i="27"/>
  <c r="O51" i="27"/>
  <c r="P41" i="27"/>
  <c r="O40" i="27"/>
  <c r="S5" i="27"/>
  <c r="R5" i="27"/>
  <c r="P55" i="27"/>
  <c r="O54" i="27"/>
  <c r="P49" i="27"/>
  <c r="O48" i="27"/>
  <c r="O52" i="27"/>
  <c r="P53" i="27"/>
  <c r="O93" i="27"/>
  <c r="P94" i="27"/>
  <c r="Q94" i="27"/>
  <c r="O15" i="27"/>
  <c r="P16" i="27"/>
  <c r="P31" i="27"/>
  <c r="O30" i="27"/>
  <c r="O60" i="27"/>
  <c r="P61" i="27"/>
  <c r="P50" i="27"/>
  <c r="O49" i="27"/>
  <c r="S88" i="27"/>
  <c r="R88" i="27"/>
  <c r="P44" i="27"/>
  <c r="O43" i="27"/>
  <c r="P34" i="27"/>
  <c r="O33" i="27"/>
  <c r="O71" i="27"/>
  <c r="P72" i="27"/>
  <c r="S90" i="27"/>
  <c r="R90" i="27"/>
  <c r="P79" i="27"/>
  <c r="S79" i="27"/>
  <c r="O78" i="27"/>
  <c r="O95" i="27"/>
  <c r="P96" i="27"/>
  <c r="Q96" i="27"/>
  <c r="P66" i="27"/>
  <c r="O65" i="27"/>
  <c r="O39" i="27"/>
  <c r="P40" i="27"/>
  <c r="O7" i="27"/>
  <c r="P8" i="27"/>
  <c r="P23" i="27"/>
  <c r="O22" i="27"/>
  <c r="S91" i="27"/>
  <c r="P28" i="27"/>
  <c r="O27" i="27"/>
  <c r="P17" i="27"/>
  <c r="O16" i="27"/>
  <c r="P68" i="27"/>
  <c r="O67" i="27"/>
  <c r="R43" i="27"/>
  <c r="O20" i="27"/>
  <c r="P21" i="27"/>
  <c r="P58" i="27"/>
  <c r="O57" i="27"/>
  <c r="P84" i="27"/>
  <c r="O83" i="27"/>
  <c r="P33" i="27"/>
  <c r="O32" i="27"/>
  <c r="O125" i="27"/>
  <c r="P126" i="27"/>
  <c r="Q126" i="27"/>
  <c r="P15" i="27"/>
  <c r="O14" i="27"/>
  <c r="R27" i="27"/>
  <c r="P95" i="27"/>
  <c r="Q95" i="27"/>
  <c r="O94" i="27"/>
  <c r="P125" i="27"/>
  <c r="Q125" i="27"/>
  <c r="O124" i="27"/>
  <c r="P12" i="27"/>
  <c r="O11" i="27"/>
  <c r="P25" i="27"/>
  <c r="O24" i="27"/>
  <c r="O109" i="27"/>
  <c r="P110" i="27"/>
  <c r="Q110" i="27"/>
  <c r="O44" i="27"/>
  <c r="P45" i="27"/>
  <c r="O28" i="27"/>
  <c r="P29" i="27"/>
  <c r="P18" i="27"/>
  <c r="O17" i="27"/>
  <c r="O68" i="27"/>
  <c r="P69" i="27"/>
  <c r="P127" i="27"/>
  <c r="Q127" i="27"/>
  <c r="O126" i="27"/>
  <c r="O47" i="27"/>
  <c r="P48" i="27"/>
  <c r="O116" i="27"/>
  <c r="P117" i="27"/>
  <c r="Q117" i="27"/>
  <c r="P119" i="27"/>
  <c r="Q119" i="27"/>
  <c r="R136" i="27"/>
  <c r="P129" i="27"/>
  <c r="Q129" i="27"/>
  <c r="P36" i="27"/>
  <c r="O35" i="27"/>
  <c r="P83" i="27"/>
  <c r="O111" i="27"/>
  <c r="P112" i="27"/>
  <c r="Q112" i="27"/>
  <c r="P65" i="27"/>
  <c r="O64" i="27"/>
  <c r="O63" i="27"/>
  <c r="P64" i="27"/>
  <c r="P123" i="27"/>
  <c r="Q123" i="27"/>
  <c r="O122" i="27"/>
  <c r="P9" i="27"/>
  <c r="O8" i="27"/>
  <c r="O100" i="27"/>
  <c r="P101" i="27"/>
  <c r="Q101" i="27"/>
  <c r="P103" i="27"/>
  <c r="Q103" i="27"/>
  <c r="P116" i="27"/>
  <c r="Q116" i="27"/>
  <c r="O115" i="27"/>
  <c r="P113" i="27"/>
  <c r="Q113" i="27"/>
  <c r="R35" i="27"/>
  <c r="P57" i="27"/>
  <c r="O56" i="27"/>
  <c r="P73" i="27"/>
  <c r="O72" i="27"/>
  <c r="P10" i="27"/>
  <c r="O9" i="27"/>
  <c r="S104" i="27"/>
  <c r="R104" i="27"/>
  <c r="O55" i="27"/>
  <c r="P56" i="27"/>
  <c r="P7" i="27"/>
  <c r="O6" i="27"/>
  <c r="R102" i="27"/>
  <c r="P86" i="27"/>
  <c r="P131" i="27"/>
  <c r="Q131" i="27"/>
  <c r="O132" i="27"/>
  <c r="P133" i="27"/>
  <c r="Q133" i="27"/>
  <c r="P135" i="27"/>
  <c r="Q135" i="27"/>
  <c r="P132" i="27"/>
  <c r="Q132" i="27"/>
  <c r="O131" i="27"/>
  <c r="O12" i="27"/>
  <c r="P13" i="27"/>
  <c r="P107" i="27"/>
  <c r="Q107" i="27"/>
  <c r="O106" i="27"/>
  <c r="S121" i="27"/>
  <c r="R121" i="27"/>
  <c r="S120" i="27"/>
  <c r="R120" i="27"/>
  <c r="O84" i="27"/>
  <c r="P85" i="27"/>
  <c r="P87" i="27"/>
  <c r="Q87" i="27"/>
  <c r="O127" i="27"/>
  <c r="P128" i="27"/>
  <c r="Q128" i="27"/>
  <c r="S105" i="27"/>
  <c r="R105" i="27"/>
  <c r="P97" i="27"/>
  <c r="Q97" i="27"/>
  <c r="P118" i="27"/>
  <c r="Q118" i="27"/>
  <c r="P115" i="27"/>
  <c r="Q115" i="27"/>
  <c r="P71" i="27"/>
  <c r="O70" i="27"/>
  <c r="P63" i="27"/>
  <c r="O62" i="27"/>
  <c r="P76" i="27"/>
  <c r="O75" i="27"/>
  <c r="O79" i="27"/>
  <c r="P80" i="27"/>
  <c r="S80" i="27"/>
  <c r="P100" i="27"/>
  <c r="Q100" i="27"/>
  <c r="O99" i="27"/>
  <c r="S89" i="27"/>
  <c r="R89" i="27"/>
  <c r="O36" i="27"/>
  <c r="P37" i="27"/>
  <c r="P109" i="27"/>
  <c r="Q109" i="27"/>
  <c r="O108" i="27"/>
  <c r="F647" i="115"/>
  <c r="F1058" i="115"/>
  <c r="F737" i="115"/>
  <c r="F1465" i="115"/>
  <c r="E58" i="119"/>
  <c r="F705" i="115"/>
  <c r="F1448" i="115"/>
  <c r="F240" i="115"/>
  <c r="E50" i="119"/>
  <c r="F231" i="115"/>
  <c r="F934" i="115"/>
  <c r="E45" i="119"/>
  <c r="F1454" i="115"/>
  <c r="F1436" i="115"/>
  <c r="E51" i="119"/>
  <c r="F790" i="115"/>
  <c r="E54" i="119"/>
  <c r="F1100" i="115"/>
  <c r="E35" i="119"/>
  <c r="F458" i="115"/>
  <c r="F1025" i="115"/>
  <c r="E53" i="119"/>
  <c r="F386" i="115"/>
  <c r="F1324" i="115"/>
  <c r="F968" i="115"/>
  <c r="E1486" i="115"/>
  <c r="E1487" i="115"/>
  <c r="E1490" i="115"/>
  <c r="F1490" i="115"/>
  <c r="E48" i="119"/>
  <c r="F426" i="115"/>
  <c r="F1460" i="115"/>
  <c r="B318" i="106"/>
  <c r="B337" i="106"/>
  <c r="B355" i="106"/>
  <c r="B361" i="106"/>
  <c r="B366" i="106"/>
  <c r="B379" i="106"/>
  <c r="S14" i="27"/>
  <c r="R14" i="27"/>
  <c r="S46" i="27"/>
  <c r="R46" i="27"/>
  <c r="S138" i="27"/>
  <c r="R138" i="27"/>
  <c r="B304" i="11"/>
  <c r="B303" i="11"/>
  <c r="B302" i="11"/>
  <c r="B301" i="11"/>
  <c r="B540" i="11"/>
  <c r="B543" i="11"/>
  <c r="B536" i="11"/>
  <c r="B549" i="11"/>
  <c r="B387" i="11"/>
  <c r="B394" i="11"/>
  <c r="B383" i="11"/>
  <c r="B337" i="11"/>
  <c r="B310" i="11"/>
  <c r="B399" i="11"/>
  <c r="B395" i="11"/>
  <c r="B319" i="11"/>
  <c r="B295" i="11"/>
  <c r="B527" i="11"/>
  <c r="B528" i="11"/>
  <c r="B541" i="11"/>
  <c r="B39" i="55"/>
  <c r="B55" i="55"/>
  <c r="B57" i="55"/>
  <c r="B59" i="55"/>
  <c r="B37" i="55"/>
  <c r="B580" i="48"/>
  <c r="B577" i="48"/>
  <c r="B579" i="48"/>
  <c r="B599" i="48"/>
  <c r="E4616" i="13"/>
  <c r="E4618" i="13"/>
  <c r="E4617" i="13"/>
  <c r="E4619" i="13"/>
  <c r="S110" i="27"/>
  <c r="R110" i="27"/>
  <c r="R42" i="27"/>
  <c r="S42" i="27"/>
  <c r="S84" i="27"/>
  <c r="Q84" i="27"/>
  <c r="R84" i="27"/>
  <c r="S49" i="27"/>
  <c r="R49" i="27"/>
  <c r="S81" i="27"/>
  <c r="R81" i="27"/>
  <c r="S103" i="27"/>
  <c r="R103" i="27"/>
  <c r="S94" i="27"/>
  <c r="R94" i="27"/>
  <c r="S101" i="27"/>
  <c r="R101" i="27"/>
  <c r="R33" i="27"/>
  <c r="S33" i="27"/>
  <c r="R8" i="27"/>
  <c r="S8" i="27"/>
  <c r="S39" i="27"/>
  <c r="R39" i="27"/>
  <c r="S9" i="27"/>
  <c r="R9" i="27"/>
  <c r="S98" i="27"/>
  <c r="R98" i="27"/>
  <c r="S24" i="27"/>
  <c r="R24" i="27"/>
  <c r="S115" i="27"/>
  <c r="R115" i="27"/>
  <c r="S118" i="27"/>
  <c r="R118" i="27"/>
  <c r="R10" i="27"/>
  <c r="S10" i="27"/>
  <c r="S64" i="27"/>
  <c r="R64" i="27"/>
  <c r="R66" i="27"/>
  <c r="S66" i="27"/>
  <c r="R50" i="27"/>
  <c r="S50" i="27"/>
  <c r="S55" i="27"/>
  <c r="R55" i="27"/>
  <c r="R20" i="27"/>
  <c r="S20" i="27"/>
  <c r="S7" i="27"/>
  <c r="R7" i="27"/>
  <c r="S23" i="27"/>
  <c r="R23" i="27"/>
  <c r="S56" i="27"/>
  <c r="R56" i="27"/>
  <c r="R58" i="27"/>
  <c r="S58" i="27"/>
  <c r="R123" i="27"/>
  <c r="S123" i="27"/>
  <c r="S21" i="27"/>
  <c r="R21" i="27"/>
  <c r="R109" i="27"/>
  <c r="S109" i="27"/>
  <c r="S37" i="27"/>
  <c r="R37" i="27"/>
  <c r="R97" i="27"/>
  <c r="S97" i="27"/>
  <c r="S127" i="27"/>
  <c r="R127" i="27"/>
  <c r="R125" i="27"/>
  <c r="S125" i="27"/>
  <c r="S96" i="27"/>
  <c r="R96" i="27"/>
  <c r="S61" i="27"/>
  <c r="R61" i="27"/>
  <c r="R26" i="27"/>
  <c r="S26" i="27"/>
  <c r="S111" i="27"/>
  <c r="R111" i="27"/>
  <c r="R76" i="27"/>
  <c r="S76" i="27"/>
  <c r="Q82" i="27"/>
  <c r="R82" i="27"/>
  <c r="S82" i="27"/>
  <c r="S117" i="27"/>
  <c r="R117" i="27"/>
  <c r="R74" i="27"/>
  <c r="S74" i="27"/>
  <c r="S53" i="27"/>
  <c r="R53" i="27"/>
  <c r="R63" i="27"/>
  <c r="S63" i="27"/>
  <c r="R25" i="27"/>
  <c r="S25" i="27"/>
  <c r="R71" i="27"/>
  <c r="S71" i="27"/>
  <c r="S48" i="27"/>
  <c r="R48" i="27"/>
  <c r="R12" i="27"/>
  <c r="S12" i="27"/>
  <c r="R129" i="27"/>
  <c r="S129" i="27"/>
  <c r="R34" i="27"/>
  <c r="S34" i="27"/>
  <c r="S119" i="27"/>
  <c r="R119" i="27"/>
  <c r="R44" i="27"/>
  <c r="S44" i="27"/>
  <c r="R40" i="27"/>
  <c r="S40" i="27"/>
  <c r="R107" i="27"/>
  <c r="S107" i="27"/>
  <c r="R93" i="27"/>
  <c r="S93" i="27"/>
  <c r="S13" i="27"/>
  <c r="R13" i="27"/>
  <c r="S132" i="27"/>
  <c r="R132" i="27"/>
  <c r="R73" i="27"/>
  <c r="S73" i="27"/>
  <c r="S69" i="27"/>
  <c r="R69" i="27"/>
  <c r="S135" i="27"/>
  <c r="R135" i="27"/>
  <c r="S65" i="27"/>
  <c r="R65" i="27"/>
  <c r="R95" i="27"/>
  <c r="S95" i="27"/>
  <c r="R68" i="27"/>
  <c r="S68" i="27"/>
  <c r="R60" i="27"/>
  <c r="S60" i="27"/>
  <c r="S128" i="27"/>
  <c r="R128" i="27"/>
  <c r="S133" i="27"/>
  <c r="R133" i="27"/>
  <c r="S57" i="27"/>
  <c r="R57" i="27"/>
  <c r="S112" i="27"/>
  <c r="R112" i="27"/>
  <c r="S31" i="27"/>
  <c r="R31" i="27"/>
  <c r="R41" i="27"/>
  <c r="S41" i="27"/>
  <c r="R47" i="27"/>
  <c r="S47" i="27"/>
  <c r="R18" i="27"/>
  <c r="S18" i="27"/>
  <c r="R17" i="27"/>
  <c r="S17" i="27"/>
  <c r="S130" i="27"/>
  <c r="R130" i="27"/>
  <c r="S100" i="27"/>
  <c r="R100" i="27"/>
  <c r="S87" i="27"/>
  <c r="R87" i="27"/>
  <c r="S131" i="27"/>
  <c r="R131" i="27"/>
  <c r="R113" i="27"/>
  <c r="S113" i="27"/>
  <c r="S83" i="27"/>
  <c r="Q83" i="27"/>
  <c r="R83" i="27"/>
  <c r="S29" i="27"/>
  <c r="R29" i="27"/>
  <c r="S15" i="27"/>
  <c r="R15" i="27"/>
  <c r="R52" i="27"/>
  <c r="S52" i="27"/>
  <c r="S114" i="27"/>
  <c r="R114" i="27"/>
  <c r="S85" i="27"/>
  <c r="Q85" i="27"/>
  <c r="R85" i="27"/>
  <c r="S86" i="27"/>
  <c r="Q86" i="27"/>
  <c r="R86" i="27"/>
  <c r="S126" i="27"/>
  <c r="R126" i="27"/>
  <c r="R28" i="27"/>
  <c r="S28" i="27"/>
  <c r="S72" i="27"/>
  <c r="R72" i="27"/>
  <c r="S16" i="27"/>
  <c r="R16" i="27"/>
  <c r="S99" i="27"/>
  <c r="R99" i="27"/>
  <c r="S32" i="27"/>
  <c r="R32" i="27"/>
  <c r="S116" i="27"/>
  <c r="R116" i="27"/>
  <c r="R36" i="27"/>
  <c r="S36" i="27"/>
  <c r="S45" i="27"/>
  <c r="R45" i="27"/>
  <c r="S77" i="27"/>
  <c r="R77" i="27"/>
  <c r="I53" i="6"/>
  <c r="B545" i="11"/>
  <c r="B542" i="11"/>
  <c r="B552" i="11"/>
  <c r="B325" i="11"/>
  <c r="B333" i="11"/>
  <c r="B334" i="11"/>
  <c r="B406" i="11"/>
  <c r="B407" i="11"/>
  <c r="B409" i="11"/>
  <c r="B403" i="11"/>
  <c r="B616" i="48"/>
  <c r="B615" i="48"/>
  <c r="B355" i="11"/>
  <c r="B359" i="11"/>
  <c r="B366" i="11"/>
  <c r="B368" i="11"/>
  <c r="B339" i="11"/>
  <c r="B345" i="11"/>
  <c r="B351" i="11"/>
  <c r="B305" i="11"/>
  <c r="B313" i="11"/>
  <c r="B296" i="11"/>
  <c r="B581" i="48"/>
  <c r="B588" i="48"/>
  <c r="B600" i="48"/>
  <c r="B586" i="48"/>
  <c r="B592" i="48"/>
  <c r="B309" i="11"/>
  <c r="B312" i="11"/>
  <c r="B323" i="11"/>
  <c r="B332" i="11"/>
  <c r="B307" i="11"/>
  <c r="B65" i="55"/>
  <c r="B69" i="55"/>
  <c r="B61" i="55"/>
  <c r="E9370" i="16"/>
  <c r="B416" i="11"/>
  <c r="B413" i="11"/>
  <c r="B375" i="11"/>
  <c r="B384" i="11"/>
  <c r="B391" i="11"/>
  <c r="B400" i="11"/>
  <c r="B404" i="11"/>
  <c r="B410" i="11"/>
  <c r="B371" i="11"/>
  <c r="B336" i="11"/>
  <c r="B344" i="11"/>
  <c r="B348" i="11"/>
  <c r="B335" i="11"/>
  <c r="B331" i="11"/>
  <c r="B329" i="11"/>
  <c r="B85" i="55"/>
  <c r="B74" i="55"/>
  <c r="B608" i="48"/>
  <c r="B603" i="48"/>
  <c r="B601" i="48"/>
  <c r="B617" i="48"/>
  <c r="B628" i="48"/>
  <c r="B626" i="48"/>
  <c r="B622" i="48"/>
  <c r="B624" i="48"/>
  <c r="B618" i="48"/>
  <c r="B627" i="48"/>
  <c r="B629" i="48"/>
  <c r="B630" i="48"/>
  <c r="B609" i="48"/>
  <c r="B612" i="48"/>
  <c r="B613" i="48"/>
  <c r="B421" i="11"/>
  <c r="B424" i="11"/>
  <c r="B427" i="11"/>
  <c r="B430" i="11"/>
  <c r="B415" i="11"/>
  <c r="B88" i="55"/>
  <c r="B87" i="55"/>
  <c r="B354" i="11"/>
  <c r="B357" i="11"/>
  <c r="B350" i="11"/>
  <c r="B417" i="11"/>
  <c r="B420" i="11"/>
  <c r="B422" i="11"/>
  <c r="B425" i="11"/>
  <c r="B428" i="11"/>
  <c r="B431" i="11"/>
  <c r="B99" i="55"/>
  <c r="B101" i="55"/>
  <c r="B432" i="11"/>
  <c r="B434" i="11"/>
  <c r="B442" i="11"/>
  <c r="B449" i="11"/>
  <c r="B445" i="11"/>
  <c r="B448" i="11"/>
  <c r="B452" i="11"/>
  <c r="B634" i="48"/>
  <c r="B631" i="48"/>
  <c r="B456" i="11"/>
  <c r="B457" i="11"/>
  <c r="B461" i="11"/>
  <c r="B462" i="11"/>
  <c r="B467" i="11"/>
  <c r="B455" i="11"/>
  <c r="B109" i="55"/>
  <c r="B119" i="55"/>
  <c r="B102" i="55"/>
  <c r="B105" i="55"/>
  <c r="B120" i="55"/>
  <c r="B128" i="55"/>
  <c r="B472" i="11"/>
  <c r="B468" i="11"/>
  <c r="B471" i="11"/>
  <c r="B493" i="11"/>
  <c r="B494" i="11"/>
  <c r="B140" i="55"/>
  <c r="B146" i="55"/>
  <c r="B151" i="55"/>
  <c r="B130" i="55"/>
  <c r="B163" i="55"/>
  <c r="B158" i="55"/>
  <c r="B168" i="55"/>
  <c r="B171" i="55"/>
  <c r="B161" i="55"/>
  <c r="B183" i="55"/>
  <c r="B174" i="55"/>
  <c r="B186" i="55"/>
  <c r="B187" i="55"/>
  <c r="B191" i="55"/>
  <c r="B194" i="55"/>
  <c r="B198" i="55"/>
  <c r="B200" i="55"/>
  <c r="B202" i="55"/>
  <c r="B208" i="55"/>
  <c r="B192" i="55"/>
  <c r="B212" i="55"/>
  <c r="B217" i="55"/>
  <c r="B220" i="55"/>
  <c r="B221" i="55"/>
  <c r="B224" i="55"/>
  <c r="B229" i="55"/>
  <c r="B233" i="55"/>
  <c r="B234" i="55"/>
  <c r="B209" i="55"/>
  <c r="B244" i="55"/>
  <c r="B245" i="55"/>
  <c r="B236" i="55"/>
  <c r="B249" i="55"/>
  <c r="B253" i="55"/>
  <c r="B254" i="55"/>
  <c r="B255" i="55"/>
  <c r="B263" i="55"/>
  <c r="B246" i="55"/>
  <c r="C123" i="23" l="1"/>
  <c r="C126" i="23"/>
  <c r="C128" i="23"/>
  <c r="C132" i="23"/>
  <c r="C141" i="23"/>
  <c r="C174" i="23"/>
  <c r="E1383" i="22"/>
  <c r="C221" i="23"/>
  <c r="C223" i="23"/>
  <c r="C236" i="23"/>
  <c r="D264" i="23"/>
  <c r="D270" i="23"/>
  <c r="D271" i="23"/>
  <c r="D279" i="23"/>
  <c r="D280" i="23"/>
  <c r="D283" i="23"/>
  <c r="D5" i="23"/>
  <c r="D7" i="23"/>
  <c r="D18" i="23"/>
  <c r="D23" i="23"/>
  <c r="D24" i="23"/>
  <c r="D30" i="23"/>
  <c r="D34" i="23"/>
  <c r="D38" i="23"/>
  <c r="D39" i="23"/>
  <c r="D42" i="23"/>
  <c r="D43" i="23"/>
  <c r="D48" i="23"/>
  <c r="D51" i="23"/>
  <c r="D53" i="23"/>
  <c r="D54" i="23"/>
  <c r="D64" i="23"/>
  <c r="D67" i="23"/>
  <c r="D69" i="23"/>
  <c r="D70" i="23"/>
  <c r="D75" i="23"/>
  <c r="D85" i="23"/>
  <c r="D89" i="23"/>
  <c r="D91" i="23"/>
  <c r="D99" i="23"/>
  <c r="D101" i="23"/>
  <c r="D107" i="23"/>
  <c r="D114" i="23"/>
  <c r="D128" i="23"/>
  <c r="D130" i="23"/>
  <c r="D176" i="23"/>
  <c r="D200" i="23"/>
  <c r="D207" i="23"/>
  <c r="D208" i="23"/>
  <c r="C292" i="23"/>
  <c r="K230" i="103"/>
  <c r="N231" i="103"/>
  <c r="M231" i="103"/>
  <c r="Q145" i="27"/>
  <c r="R145" i="27" s="1"/>
  <c r="S145" i="27"/>
  <c r="C294" i="23"/>
  <c r="C100" i="23"/>
  <c r="C101" i="23"/>
  <c r="C165" i="23"/>
  <c r="B187" i="23"/>
  <c r="C256" i="23"/>
  <c r="B173" i="23"/>
  <c r="D173" i="23" s="1"/>
  <c r="D6" i="23"/>
  <c r="C53" i="23"/>
  <c r="C61" i="23"/>
  <c r="C217" i="23"/>
  <c r="C258" i="23"/>
  <c r="C82" i="23"/>
  <c r="C293" i="23"/>
  <c r="D14" i="23"/>
  <c r="D44" i="23"/>
  <c r="D60" i="23"/>
  <c r="D76" i="23"/>
  <c r="D155" i="23"/>
  <c r="C163" i="23"/>
  <c r="D249" i="23"/>
  <c r="D93" i="23"/>
  <c r="C56" i="23"/>
  <c r="D133" i="23"/>
  <c r="C150" i="23"/>
  <c r="C156" i="23"/>
  <c r="C240" i="23"/>
  <c r="C244" i="23"/>
  <c r="D167" i="23"/>
  <c r="D204" i="23"/>
  <c r="E2490" i="22"/>
  <c r="B286" i="23" s="1"/>
  <c r="D286" i="23" s="1"/>
  <c r="E1429" i="22"/>
  <c r="C54" i="23"/>
  <c r="C107" i="23"/>
  <c r="D84" i="23"/>
  <c r="D100" i="23"/>
  <c r="D116" i="23"/>
  <c r="D193" i="23"/>
  <c r="C296" i="23"/>
  <c r="D195" i="23"/>
  <c r="D290" i="23"/>
  <c r="C83" i="23"/>
  <c r="C167" i="23"/>
  <c r="C197" i="23"/>
  <c r="C205" i="23"/>
  <c r="C74" i="23"/>
  <c r="C299" i="23"/>
  <c r="C134" i="23"/>
  <c r="C160" i="23"/>
  <c r="C179" i="23"/>
  <c r="C185" i="23"/>
  <c r="E1415" i="22"/>
  <c r="C210" i="23"/>
  <c r="C282" i="23"/>
  <c r="C285" i="23"/>
  <c r="C288" i="23"/>
  <c r="D9" i="23"/>
  <c r="D82" i="23"/>
  <c r="C93" i="23"/>
  <c r="D160" i="23"/>
  <c r="C172" i="23"/>
  <c r="D188" i="23"/>
  <c r="C196" i="23"/>
  <c r="D71" i="23"/>
  <c r="D232" i="23"/>
  <c r="D250" i="23"/>
  <c r="C252" i="23"/>
  <c r="D170" i="23"/>
  <c r="C111" i="23"/>
  <c r="C154" i="23"/>
  <c r="C157" i="23"/>
  <c r="C247" i="23"/>
  <c r="D298" i="23"/>
  <c r="C251" i="23"/>
  <c r="C298" i="23"/>
  <c r="C246" i="23"/>
  <c r="B186" i="23"/>
  <c r="C149" i="23"/>
  <c r="C152" i="23"/>
  <c r="C272" i="23"/>
  <c r="D13" i="23"/>
  <c r="D29" i="23"/>
  <c r="D59" i="23"/>
  <c r="D74" i="23"/>
  <c r="C297" i="23"/>
  <c r="F724" i="97"/>
  <c r="F1487" i="97"/>
  <c r="D54" i="119" s="1"/>
  <c r="F1564" i="97"/>
  <c r="D62" i="119" s="1"/>
  <c r="G260" i="103"/>
  <c r="K228" i="103"/>
  <c r="M229" i="103"/>
  <c r="E184" i="123"/>
  <c r="E187" i="123" s="1"/>
  <c r="F187" i="123" s="1"/>
  <c r="F167" i="123"/>
  <c r="F139" i="123"/>
  <c r="F18" i="119"/>
  <c r="F39" i="119"/>
  <c r="F46" i="123"/>
  <c r="F171" i="123"/>
  <c r="F24" i="123"/>
  <c r="F35" i="119"/>
  <c r="F54" i="119"/>
  <c r="J228" i="103"/>
  <c r="F789" i="128"/>
  <c r="B6302" i="16"/>
  <c r="B3610" i="16"/>
  <c r="F709" i="97"/>
  <c r="F1536" i="97"/>
  <c r="D60" i="119" s="1"/>
  <c r="F822" i="97"/>
  <c r="F850" i="97"/>
  <c r="F1064" i="97"/>
  <c r="F450" i="128"/>
  <c r="F780" i="128"/>
  <c r="F495" i="128"/>
  <c r="C59" i="119" s="1"/>
  <c r="D180" i="23"/>
  <c r="D194" i="23"/>
  <c r="D284" i="23"/>
  <c r="C146" i="23"/>
  <c r="D168" i="23"/>
  <c r="C96" i="23"/>
  <c r="E832" i="22"/>
  <c r="D102" i="23"/>
  <c r="B124" i="23"/>
  <c r="E1403" i="22"/>
  <c r="C97" i="23"/>
  <c r="D55" i="23"/>
  <c r="C218" i="23"/>
  <c r="C243" i="23"/>
  <c r="C277" i="23"/>
  <c r="E945" i="22"/>
  <c r="D86" i="23"/>
  <c r="E850" i="22"/>
  <c r="D25" i="23"/>
  <c r="D40" i="23"/>
  <c r="D90" i="23"/>
  <c r="C140" i="23"/>
  <c r="C276" i="23"/>
  <c r="C92" i="23"/>
  <c r="C95" i="23"/>
  <c r="C99" i="23"/>
  <c r="D119" i="23"/>
  <c r="C124" i="23"/>
  <c r="C153" i="23"/>
  <c r="C94" i="23"/>
  <c r="C120" i="23"/>
  <c r="C144" i="23"/>
  <c r="C239" i="23"/>
  <c r="C98" i="23"/>
  <c r="D45" i="23"/>
  <c r="B123" i="23"/>
  <c r="D123" i="23" s="1"/>
  <c r="C43" i="23"/>
  <c r="C50" i="23"/>
  <c r="C63" i="23"/>
  <c r="E1218" i="22"/>
  <c r="B177" i="23"/>
  <c r="D177" i="23" s="1"/>
  <c r="B117" i="23"/>
  <c r="D117" i="23" s="1"/>
  <c r="E858" i="22"/>
  <c r="C202" i="23"/>
  <c r="C262" i="23"/>
  <c r="C41" i="23"/>
  <c r="C42" i="23"/>
  <c r="C70" i="23"/>
  <c r="C76" i="23"/>
  <c r="B182" i="23"/>
  <c r="E1361" i="22"/>
  <c r="E1375" i="22"/>
  <c r="C189" i="23"/>
  <c r="C228" i="23"/>
  <c r="B690" i="97"/>
  <c r="F1671" i="97"/>
  <c r="F568" i="97"/>
  <c r="F699" i="97"/>
  <c r="F834" i="97"/>
  <c r="F1224" i="97"/>
  <c r="F1225" i="97" s="1"/>
  <c r="F1517" i="97"/>
  <c r="D58" i="119" s="1"/>
  <c r="F919" i="97"/>
  <c r="F1041" i="97"/>
  <c r="F81" i="97"/>
  <c r="F387" i="97"/>
  <c r="F596" i="97"/>
  <c r="F939" i="97"/>
  <c r="F1553" i="97"/>
  <c r="F910" i="97"/>
  <c r="F1290" i="97"/>
  <c r="D34" i="119" s="1"/>
  <c r="J34" i="119" s="1"/>
  <c r="F1440" i="97"/>
  <c r="D46" i="119" s="1"/>
  <c r="F1611" i="97"/>
  <c r="F1622" i="97" s="1"/>
  <c r="F1035" i="97"/>
  <c r="F888" i="97"/>
  <c r="F900" i="97"/>
  <c r="F1268" i="97"/>
  <c r="D33" i="119" s="1"/>
  <c r="J33" i="119" s="1"/>
  <c r="F612" i="97"/>
  <c r="F714" i="97"/>
  <c r="D16" i="119"/>
  <c r="J16" i="119" s="1"/>
  <c r="F1501" i="97"/>
  <c r="D56" i="119" s="1"/>
  <c r="F129" i="97"/>
  <c r="F1480" i="97"/>
  <c r="D53" i="119" s="1"/>
  <c r="F720" i="97"/>
  <c r="F1246" i="97"/>
  <c r="F1574" i="97"/>
  <c r="F1396" i="97"/>
  <c r="D42" i="119" s="1"/>
  <c r="F1494" i="97"/>
  <c r="D55" i="119" s="1"/>
  <c r="J55" i="119" s="1"/>
  <c r="F1600" i="97"/>
  <c r="D65" i="119" s="1"/>
  <c r="F1651" i="97"/>
  <c r="F1141" i="97"/>
  <c r="F971" i="97"/>
  <c r="F1161" i="97"/>
  <c r="D28" i="119" s="1"/>
  <c r="F1509" i="97"/>
  <c r="F1518" i="97" s="1"/>
  <c r="F1362" i="97"/>
  <c r="F1021" i="97"/>
  <c r="F875" i="97"/>
  <c r="F491" i="97"/>
  <c r="F1412" i="97"/>
  <c r="D43" i="119" s="1"/>
  <c r="F655" i="97"/>
  <c r="C1706" i="97" s="1"/>
  <c r="F866" i="97"/>
  <c r="F949" i="97"/>
  <c r="D67" i="119"/>
  <c r="J67" i="119" s="1"/>
  <c r="F1632" i="97"/>
  <c r="F845" i="97"/>
  <c r="F928" i="97"/>
  <c r="F957" i="97"/>
  <c r="F1308" i="97"/>
  <c r="D35" i="119" s="1"/>
  <c r="F1373" i="97"/>
  <c r="D40" i="119" s="1"/>
  <c r="J40" i="119" s="1"/>
  <c r="F1383" i="97"/>
  <c r="F1423" i="97"/>
  <c r="D44" i="119" s="1"/>
  <c r="F1432" i="97"/>
  <c r="F1077" i="97"/>
  <c r="D20" i="119"/>
  <c r="J20" i="119" s="1"/>
  <c r="F1125" i="97"/>
  <c r="F1126" i="97" s="1"/>
  <c r="F435" i="97"/>
  <c r="F729" i="97"/>
  <c r="F1642" i="97"/>
  <c r="F1323" i="97"/>
  <c r="D36" i="119" s="1"/>
  <c r="F525" i="97"/>
  <c r="F1336" i="97"/>
  <c r="D37" i="119" s="1"/>
  <c r="F1347" i="97"/>
  <c r="F1526" i="97"/>
  <c r="D59" i="119" s="1"/>
  <c r="F1661" i="97"/>
  <c r="F1048" i="97"/>
  <c r="F999" i="97"/>
  <c r="F1681" i="97"/>
  <c r="F241" i="97"/>
  <c r="F242" i="97" s="1"/>
  <c r="F1589" i="97"/>
  <c r="D64" i="119" s="1"/>
  <c r="F408" i="97"/>
  <c r="F348" i="97"/>
  <c r="F653" i="128"/>
  <c r="C61" i="119" s="1"/>
  <c r="C43" i="119"/>
  <c r="C63" i="119"/>
  <c r="F725" i="128"/>
  <c r="C62" i="119" s="1"/>
  <c r="F99" i="128"/>
  <c r="F61" i="128"/>
  <c r="F169" i="128"/>
  <c r="F165" i="128"/>
  <c r="F572" i="128"/>
  <c r="F88" i="128"/>
  <c r="F105" i="128"/>
  <c r="C38" i="119"/>
  <c r="F174" i="128"/>
  <c r="F193" i="128"/>
  <c r="F147" i="128"/>
  <c r="F244" i="128"/>
  <c r="F153" i="128"/>
  <c r="F37" i="128"/>
  <c r="F28" i="128"/>
  <c r="C57" i="119"/>
  <c r="F326" i="128"/>
  <c r="F406" i="128"/>
  <c r="F111" i="128"/>
  <c r="F179" i="128"/>
  <c r="F189" i="128" s="1"/>
  <c r="C36" i="119"/>
  <c r="F95" i="128"/>
  <c r="F140" i="128"/>
  <c r="C52" i="119"/>
  <c r="F74" i="128"/>
  <c r="E800" i="128"/>
  <c r="E801" i="128" s="1"/>
  <c r="I23" i="6" s="1"/>
  <c r="J23" i="6" s="1"/>
  <c r="F52" i="128"/>
  <c r="F136" i="128"/>
  <c r="F81" i="128"/>
  <c r="F97" i="133"/>
  <c r="B35" i="119" s="1"/>
  <c r="P147" i="27"/>
  <c r="N145" i="27"/>
  <c r="J14" i="119"/>
  <c r="J17" i="119"/>
  <c r="J21" i="119"/>
  <c r="J12" i="119"/>
  <c r="J29" i="119"/>
  <c r="J23" i="119"/>
  <c r="J19" i="119"/>
  <c r="J13" i="119"/>
  <c r="J26" i="119"/>
  <c r="J10" i="119"/>
  <c r="J8" i="119"/>
  <c r="J5" i="119"/>
  <c r="J9" i="119"/>
  <c r="J30" i="119"/>
  <c r="J27" i="119"/>
  <c r="B30" i="106"/>
  <c r="E672" i="16"/>
  <c r="B5209" i="16"/>
  <c r="B9" i="8"/>
  <c r="D9" i="8" s="1"/>
  <c r="E64" i="51"/>
  <c r="E67" i="51" s="1"/>
  <c r="F67" i="51" s="1"/>
  <c r="B8905" i="16"/>
  <c r="E8051" i="16"/>
  <c r="B5859" i="16"/>
  <c r="F854" i="133"/>
  <c r="F951" i="133"/>
  <c r="F8252" i="16"/>
  <c r="D190" i="23"/>
  <c r="D181" i="23"/>
  <c r="G2687" i="22"/>
  <c r="C37" i="23"/>
  <c r="C38" i="23"/>
  <c r="C39" i="23"/>
  <c r="C40" i="23"/>
  <c r="C44" i="23"/>
  <c r="C45" i="23"/>
  <c r="C46" i="23"/>
  <c r="C47" i="23"/>
  <c r="C48" i="23"/>
  <c r="C49" i="23"/>
  <c r="C51" i="23"/>
  <c r="C52" i="23"/>
  <c r="C55" i="23"/>
  <c r="C57" i="23"/>
  <c r="C59" i="23"/>
  <c r="C60" i="23"/>
  <c r="C64" i="23"/>
  <c r="C65" i="23"/>
  <c r="C67" i="23"/>
  <c r="C69" i="23"/>
  <c r="C72" i="23"/>
  <c r="C73" i="23"/>
  <c r="C84" i="23"/>
  <c r="C85" i="23"/>
  <c r="C86" i="23"/>
  <c r="C87" i="23"/>
  <c r="C103" i="23"/>
  <c r="C110" i="23"/>
  <c r="C113" i="23"/>
  <c r="C114" i="23"/>
  <c r="C115" i="23"/>
  <c r="C116" i="23"/>
  <c r="C117" i="23"/>
  <c r="C118" i="23"/>
  <c r="D120" i="23"/>
  <c r="C121" i="23"/>
  <c r="C122" i="23"/>
  <c r="C127" i="23"/>
  <c r="C130" i="23"/>
  <c r="C131" i="23"/>
  <c r="C133" i="23"/>
  <c r="C136" i="23"/>
  <c r="C137" i="23"/>
  <c r="C142" i="23"/>
  <c r="C143" i="23"/>
  <c r="D144" i="23"/>
  <c r="C145" i="23"/>
  <c r="D147" i="23"/>
  <c r="C147" i="23"/>
  <c r="C148" i="23"/>
  <c r="D150" i="23"/>
  <c r="C151" i="23"/>
  <c r="D152" i="23"/>
  <c r="C155" i="23"/>
  <c r="D156" i="23"/>
  <c r="D158" i="23"/>
  <c r="C158" i="23"/>
  <c r="C159" i="23"/>
  <c r="D161" i="23"/>
  <c r="C161" i="23"/>
  <c r="C162" i="23"/>
  <c r="D164" i="23"/>
  <c r="C166" i="23"/>
  <c r="C168" i="23"/>
  <c r="D169" i="23"/>
  <c r="C169" i="23"/>
  <c r="C170" i="23"/>
  <c r="D171" i="23"/>
  <c r="C171" i="23"/>
  <c r="C173" i="23"/>
  <c r="C175" i="23"/>
  <c r="C176" i="23"/>
  <c r="C177" i="23"/>
  <c r="C178" i="23"/>
  <c r="C180" i="23"/>
  <c r="C181" i="23"/>
  <c r="D182" i="23"/>
  <c r="C182" i="23"/>
  <c r="C183" i="23"/>
  <c r="E1346" i="22"/>
  <c r="C184" i="23"/>
  <c r="C186" i="23"/>
  <c r="C187" i="23"/>
  <c r="C188" i="23"/>
  <c r="C190" i="23"/>
  <c r="C191" i="23"/>
  <c r="C192" i="23"/>
  <c r="C193" i="23"/>
  <c r="C194" i="23"/>
  <c r="C195" i="23"/>
  <c r="C198" i="23"/>
  <c r="C199" i="23"/>
  <c r="C200" i="23"/>
  <c r="C201" i="23"/>
  <c r="C203" i="23"/>
  <c r="C204" i="23"/>
  <c r="C206" i="23"/>
  <c r="C207" i="23"/>
  <c r="C208" i="23"/>
  <c r="C209" i="23"/>
  <c r="C211" i="23"/>
  <c r="D212" i="23"/>
  <c r="C212" i="23"/>
  <c r="D213" i="23"/>
  <c r="C213" i="23"/>
  <c r="D214" i="23"/>
  <c r="C214" i="23"/>
  <c r="C215" i="23"/>
  <c r="C216" i="23"/>
  <c r="D217" i="23"/>
  <c r="D218" i="23"/>
  <c r="C219" i="23"/>
  <c r="D219" i="23"/>
  <c r="C220" i="23"/>
  <c r="C222" i="23"/>
  <c r="D223" i="23"/>
  <c r="C224" i="23"/>
  <c r="C225" i="23"/>
  <c r="D226" i="23"/>
  <c r="C226" i="23"/>
  <c r="C227" i="23"/>
  <c r="D229" i="23"/>
  <c r="C229" i="23"/>
  <c r="C230" i="23"/>
  <c r="C231" i="23"/>
  <c r="C232" i="23"/>
  <c r="C233" i="23"/>
  <c r="C234" i="23"/>
  <c r="D235" i="23"/>
  <c r="C235" i="23"/>
  <c r="D236" i="23"/>
  <c r="D237" i="23"/>
  <c r="C237" i="23"/>
  <c r="C238" i="23"/>
  <c r="D240" i="23"/>
  <c r="D241" i="23"/>
  <c r="C241" i="23"/>
  <c r="C242" i="23"/>
  <c r="D245" i="23"/>
  <c r="C245" i="23"/>
  <c r="C248" i="23"/>
  <c r="C250" i="23"/>
  <c r="D253" i="23"/>
  <c r="C253" i="23"/>
  <c r="D254" i="23"/>
  <c r="C254" i="23"/>
  <c r="C255" i="23"/>
  <c r="D256" i="23"/>
  <c r="D257" i="23"/>
  <c r="C257" i="23"/>
  <c r="C259" i="23"/>
  <c r="C261" i="23"/>
  <c r="C263" i="23"/>
  <c r="C264" i="23"/>
  <c r="D265" i="23"/>
  <c r="C265" i="23"/>
  <c r="C266" i="23"/>
  <c r="D267" i="23"/>
  <c r="C267" i="23"/>
  <c r="C268" i="23"/>
  <c r="C269" i="23"/>
  <c r="C270" i="23"/>
  <c r="C271" i="23"/>
  <c r="D272" i="23"/>
  <c r="D273" i="23"/>
  <c r="C273" i="23"/>
  <c r="D274" i="23"/>
  <c r="C274" i="23"/>
  <c r="C275" i="23"/>
  <c r="D276" i="23"/>
  <c r="C279" i="23"/>
  <c r="C280" i="23"/>
  <c r="C283" i="23"/>
  <c r="C284" i="23"/>
  <c r="D285" i="23"/>
  <c r="C286" i="23"/>
  <c r="C287" i="23"/>
  <c r="C290" i="23"/>
  <c r="D291" i="23"/>
  <c r="D293" i="23"/>
  <c r="D19" i="23"/>
  <c r="D31" i="23"/>
  <c r="D61" i="23"/>
  <c r="D65" i="23"/>
  <c r="D77" i="23"/>
  <c r="D92" i="23"/>
  <c r="D96" i="23"/>
  <c r="D108" i="23"/>
  <c r="D112" i="23"/>
  <c r="D201" i="23"/>
  <c r="D205" i="23"/>
  <c r="C289" i="23"/>
  <c r="C291" i="23"/>
  <c r="D303" i="23"/>
  <c r="C295" i="23"/>
  <c r="D7" i="119"/>
  <c r="J7" i="119" s="1"/>
  <c r="F977" i="97"/>
  <c r="F982" i="97"/>
  <c r="F1456" i="97"/>
  <c r="F1461" i="97"/>
  <c r="D49" i="119"/>
  <c r="J49" i="119" s="1"/>
  <c r="D24" i="119"/>
  <c r="J24" i="119" s="1"/>
  <c r="F1105" i="97"/>
  <c r="F184" i="97"/>
  <c r="F1466" i="97"/>
  <c r="D51" i="119"/>
  <c r="D22" i="119"/>
  <c r="J22" i="119" s="1"/>
  <c r="F1087" i="97"/>
  <c r="F1096" i="97"/>
  <c r="F302" i="97"/>
  <c r="D47" i="119"/>
  <c r="D52" i="119"/>
  <c r="F1473" i="97"/>
  <c r="F1451" i="97"/>
  <c r="D48" i="119"/>
  <c r="J48" i="119" s="1"/>
  <c r="F993" i="97"/>
  <c r="F987" i="97"/>
  <c r="D15" i="119"/>
  <c r="J15" i="119" s="1"/>
  <c r="D6" i="119"/>
  <c r="J6" i="119" s="1"/>
  <c r="D11" i="119"/>
  <c r="J11" i="119" s="1"/>
  <c r="D18" i="119"/>
  <c r="J18" i="119" s="1"/>
  <c r="F857" i="97"/>
  <c r="F1212" i="97"/>
  <c r="D1702" i="97"/>
  <c r="F1029" i="97"/>
  <c r="F1055" i="97"/>
  <c r="E1702" i="97"/>
  <c r="C21" i="8" s="1"/>
  <c r="E179" i="59"/>
  <c r="B12" i="8"/>
  <c r="D12" i="8" s="1"/>
  <c r="B7428" i="16"/>
  <c r="F2798" i="16"/>
  <c r="B24" i="8"/>
  <c r="D24" i="8" s="1"/>
  <c r="E1423" i="20"/>
  <c r="I10" i="6"/>
  <c r="J10" i="6" s="1"/>
  <c r="F1010" i="102"/>
  <c r="F790" i="133"/>
  <c r="B60" i="119" s="1"/>
  <c r="F366" i="133"/>
  <c r="D1024" i="133"/>
  <c r="F319" i="133"/>
  <c r="F320" i="133" s="1"/>
  <c r="F371" i="133"/>
  <c r="B45" i="119" s="1"/>
  <c r="F702" i="133"/>
  <c r="F869" i="133"/>
  <c r="F870" i="133" s="1"/>
  <c r="D148" i="23"/>
  <c r="D153" i="23"/>
  <c r="D154" i="23"/>
  <c r="D163" i="23"/>
  <c r="D300" i="23"/>
  <c r="D145" i="23"/>
  <c r="D302" i="23"/>
  <c r="D301" i="23"/>
  <c r="D165" i="23"/>
  <c r="D166" i="23"/>
  <c r="D299" i="23"/>
  <c r="D151" i="23"/>
  <c r="D295" i="23"/>
  <c r="D294" i="23"/>
  <c r="D157" i="23"/>
  <c r="D192" i="23"/>
  <c r="D191" i="23"/>
  <c r="D231" i="23"/>
  <c r="D230" i="23"/>
  <c r="D242" i="23"/>
  <c r="D289" i="23"/>
  <c r="D288" i="23"/>
  <c r="D296" i="23"/>
  <c r="D297" i="23"/>
  <c r="D179" i="23"/>
  <c r="D266" i="23"/>
  <c r="D304" i="23"/>
  <c r="D220" i="23"/>
  <c r="D162" i="23"/>
  <c r="D224" i="23"/>
  <c r="D225" i="23"/>
  <c r="D263" i="23"/>
  <c r="D262" i="23"/>
  <c r="D305" i="23"/>
  <c r="D149" i="23"/>
  <c r="D215" i="23"/>
  <c r="D216" i="23"/>
  <c r="D238" i="23"/>
  <c r="D239" i="23"/>
  <c r="D228" i="23"/>
  <c r="D227" i="23"/>
  <c r="D121" i="23"/>
  <c r="D122" i="23"/>
  <c r="D233" i="23"/>
  <c r="D234" i="23"/>
  <c r="D255" i="23"/>
  <c r="D146" i="23"/>
  <c r="D210" i="23"/>
  <c r="D209" i="23"/>
  <c r="D221" i="23"/>
  <c r="D222" i="23"/>
  <c r="D252" i="23"/>
  <c r="D251" i="23"/>
  <c r="D268" i="23"/>
  <c r="D269" i="23"/>
  <c r="D134" i="23"/>
  <c r="D135" i="23"/>
  <c r="D243" i="23"/>
  <c r="D244" i="23"/>
  <c r="D246" i="23"/>
  <c r="D247" i="23"/>
  <c r="D275" i="23"/>
  <c r="D278" i="23"/>
  <c r="D277" i="23"/>
  <c r="D282" i="23"/>
  <c r="D281" i="23"/>
  <c r="D292" i="23"/>
  <c r="D113" i="23"/>
  <c r="B183" i="23"/>
  <c r="C89" i="23"/>
  <c r="D49" i="23"/>
  <c r="D32" i="23"/>
  <c r="D78" i="23"/>
  <c r="D62" i="23"/>
  <c r="D35" i="23"/>
  <c r="D202" i="23"/>
  <c r="C91" i="23"/>
  <c r="B185" i="23"/>
  <c r="D20" i="23"/>
  <c r="C102" i="23"/>
  <c r="D109" i="23"/>
  <c r="D189" i="23"/>
  <c r="D159" i="23"/>
  <c r="D260" i="23"/>
  <c r="D258" i="23"/>
  <c r="E1294" i="22"/>
  <c r="B184" i="23"/>
  <c r="C109" i="23"/>
  <c r="D15" i="23"/>
  <c r="D131" i="23"/>
  <c r="D248" i="23"/>
  <c r="C88" i="23"/>
  <c r="D3" i="23"/>
  <c r="C108" i="23"/>
  <c r="C90" i="23"/>
  <c r="D66" i="23"/>
  <c r="C105" i="23"/>
  <c r="D97" i="23"/>
  <c r="D206" i="23"/>
  <c r="E1442" i="22"/>
  <c r="C104" i="23"/>
  <c r="C106" i="23"/>
  <c r="E1331" i="22"/>
  <c r="F743" i="133"/>
  <c r="F770" i="133" s="1"/>
  <c r="F714" i="133"/>
  <c r="F218" i="133"/>
  <c r="B46" i="119"/>
  <c r="F651" i="133"/>
  <c r="F168" i="133"/>
  <c r="B37" i="119"/>
  <c r="F570" i="133"/>
  <c r="B51" i="119" s="1"/>
  <c r="F646" i="133"/>
  <c r="F722" i="133"/>
  <c r="F514" i="133"/>
  <c r="F616" i="133"/>
  <c r="F458" i="133"/>
  <c r="F473" i="133" s="1"/>
  <c r="F231" i="133"/>
  <c r="F273" i="133"/>
  <c r="F54" i="133"/>
  <c r="E1024" i="133"/>
  <c r="I2" i="6" s="1"/>
  <c r="J2" i="6" s="1"/>
  <c r="F1009" i="133"/>
  <c r="B64" i="119" s="1"/>
  <c r="F1018" i="133"/>
  <c r="B65" i="119" s="1"/>
  <c r="F550" i="133"/>
  <c r="B50" i="119"/>
  <c r="J50" i="119" s="1"/>
  <c r="B59" i="119"/>
  <c r="B61" i="119"/>
  <c r="F142" i="133"/>
  <c r="B56" i="119"/>
  <c r="B43" i="119"/>
  <c r="B42" i="119"/>
  <c r="F200" i="133"/>
  <c r="F186" i="133"/>
  <c r="E823" i="106"/>
  <c r="E826" i="106"/>
  <c r="F826" i="106" s="1"/>
  <c r="F1565" i="97" l="1"/>
  <c r="F1247" i="97"/>
  <c r="F803" i="106"/>
  <c r="E9367" i="16"/>
  <c r="E9368" i="16" s="1"/>
  <c r="E9382" i="16" s="1"/>
  <c r="D187" i="23"/>
  <c r="D174" i="23"/>
  <c r="D287" i="23"/>
  <c r="D184" i="23"/>
  <c r="F1575" i="97"/>
  <c r="F715" i="97"/>
  <c r="F710" i="97"/>
  <c r="I27" i="6"/>
  <c r="J27" i="6" s="1"/>
  <c r="F130" i="97"/>
  <c r="F901" i="97"/>
  <c r="D31" i="119"/>
  <c r="J31" i="119" s="1"/>
  <c r="K31" i="119" s="1"/>
  <c r="D66" i="119"/>
  <c r="J66" i="119" s="1"/>
  <c r="K67" i="119" s="1"/>
  <c r="F950" i="97"/>
  <c r="F131" i="133"/>
  <c r="F920" i="97"/>
  <c r="F721" i="97"/>
  <c r="F1554" i="97"/>
  <c r="F597" i="97"/>
  <c r="J42" i="119"/>
  <c r="F1384" i="97"/>
  <c r="J46" i="119"/>
  <c r="F1446" i="97"/>
  <c r="F958" i="97"/>
  <c r="F929" i="97"/>
  <c r="F750" i="128"/>
  <c r="F496" i="128"/>
  <c r="D125" i="23"/>
  <c r="D124" i="23"/>
  <c r="D178" i="23"/>
  <c r="D183" i="23"/>
  <c r="E949" i="22"/>
  <c r="E943" i="22"/>
  <c r="B136" i="23" s="1"/>
  <c r="D136" i="23" s="1"/>
  <c r="D118" i="23"/>
  <c r="F98" i="133"/>
  <c r="J35" i="119"/>
  <c r="K35" i="119" s="1"/>
  <c r="F876" i="97"/>
  <c r="F526" i="97"/>
  <c r="F1363" i="97"/>
  <c r="F1309" i="97"/>
  <c r="F1291" i="97"/>
  <c r="F700" i="97"/>
  <c r="F388" i="97"/>
  <c r="D63" i="119"/>
  <c r="F409" i="97"/>
  <c r="D32" i="119"/>
  <c r="J32" i="119" s="1"/>
  <c r="K33" i="119" s="1"/>
  <c r="F613" i="97"/>
  <c r="D61" i="119"/>
  <c r="J61" i="119" s="1"/>
  <c r="F1269" i="97"/>
  <c r="F569" i="97"/>
  <c r="F656" i="97"/>
  <c r="F1441" i="97"/>
  <c r="F1612" i="97"/>
  <c r="F436" i="97"/>
  <c r="J56" i="119"/>
  <c r="K56" i="119" s="1"/>
  <c r="F1348" i="97"/>
  <c r="F161" i="97"/>
  <c r="F1510" i="97"/>
  <c r="D4" i="119"/>
  <c r="J4" i="119" s="1"/>
  <c r="K4" i="119" s="1"/>
  <c r="F725" i="97"/>
  <c r="F964" i="97"/>
  <c r="F1481" i="97"/>
  <c r="J65" i="119"/>
  <c r="F1488" i="97"/>
  <c r="F1537" i="97"/>
  <c r="F1397" i="97"/>
  <c r="F890" i="97"/>
  <c r="F1162" i="97"/>
  <c r="F1527" i="97"/>
  <c r="F1171" i="97"/>
  <c r="F492" i="97"/>
  <c r="F1590" i="97"/>
  <c r="F1601" i="97" s="1"/>
  <c r="D45" i="119"/>
  <c r="J45" i="119" s="1"/>
  <c r="F1433" i="97"/>
  <c r="F1424" i="97"/>
  <c r="D38" i="119"/>
  <c r="J38" i="119" s="1"/>
  <c r="D39" i="119"/>
  <c r="J39" i="119" s="1"/>
  <c r="K40" i="119" s="1"/>
  <c r="D41" i="119"/>
  <c r="J41" i="119" s="1"/>
  <c r="F1502" i="97"/>
  <c r="D57" i="119"/>
  <c r="J57" i="119" s="1"/>
  <c r="F1374" i="97"/>
  <c r="F1495" i="97"/>
  <c r="F1413" i="97"/>
  <c r="K21" i="119"/>
  <c r="F940" i="97"/>
  <c r="D25" i="119"/>
  <c r="J25" i="119" s="1"/>
  <c r="K26" i="119" s="1"/>
  <c r="F1132" i="97"/>
  <c r="F1337" i="97"/>
  <c r="F303" i="97"/>
  <c r="F1324" i="97"/>
  <c r="J64" i="119"/>
  <c r="K18" i="119"/>
  <c r="F726" i="128"/>
  <c r="J43" i="119"/>
  <c r="F654" i="128"/>
  <c r="J36" i="119"/>
  <c r="C60" i="119"/>
  <c r="J60" i="119" s="1"/>
  <c r="F573" i="128"/>
  <c r="C28" i="119"/>
  <c r="J28" i="119" s="1"/>
  <c r="K28" i="119" s="1"/>
  <c r="F53" i="128"/>
  <c r="F57" i="128"/>
  <c r="O145" i="27"/>
  <c r="P146" i="27"/>
  <c r="Q146" i="27" s="1"/>
  <c r="E804" i="128"/>
  <c r="F804" i="128" s="1"/>
  <c r="F372" i="133"/>
  <c r="K22" i="119"/>
  <c r="K13" i="119"/>
  <c r="K17" i="119"/>
  <c r="K9" i="119"/>
  <c r="K6" i="119"/>
  <c r="K10" i="119"/>
  <c r="J59" i="119"/>
  <c r="K30" i="119"/>
  <c r="K20" i="119"/>
  <c r="K14" i="119"/>
  <c r="K23" i="119"/>
  <c r="K27" i="119"/>
  <c r="J37" i="119"/>
  <c r="K7" i="119"/>
  <c r="K24" i="119"/>
  <c r="J51" i="119"/>
  <c r="K51" i="119" s="1"/>
  <c r="K8" i="119"/>
  <c r="K49" i="119"/>
  <c r="F350" i="97"/>
  <c r="K19" i="119"/>
  <c r="K50" i="119"/>
  <c r="K34" i="119"/>
  <c r="K11" i="119"/>
  <c r="K12" i="119"/>
  <c r="B21" i="8"/>
  <c r="E1703" i="97"/>
  <c r="K16" i="119"/>
  <c r="K15" i="119"/>
  <c r="I22" i="6"/>
  <c r="J22" i="6" s="1"/>
  <c r="E1426" i="20"/>
  <c r="F1426" i="20" s="1"/>
  <c r="B58" i="119"/>
  <c r="J58" i="119" s="1"/>
  <c r="F744" i="133"/>
  <c r="F459" i="133"/>
  <c r="F817" i="133"/>
  <c r="F791" i="133"/>
  <c r="B47" i="119"/>
  <c r="J47" i="119" s="1"/>
  <c r="K48" i="119" s="1"/>
  <c r="F1010" i="133"/>
  <c r="B63" i="119"/>
  <c r="B44" i="119"/>
  <c r="J44" i="119" s="1"/>
  <c r="F952" i="133"/>
  <c r="B62" i="119"/>
  <c r="J62" i="119" s="1"/>
  <c r="F617" i="133"/>
  <c r="F422" i="133"/>
  <c r="D186" i="23"/>
  <c r="D185" i="23"/>
  <c r="F1019" i="133"/>
  <c r="F647" i="133"/>
  <c r="E1025" i="133"/>
  <c r="E1028" i="133" s="1"/>
  <c r="F1028" i="133" s="1"/>
  <c r="B53" i="119"/>
  <c r="J53" i="119" s="1"/>
  <c r="B54" i="119"/>
  <c r="J54" i="119" s="1"/>
  <c r="F660" i="133"/>
  <c r="B52" i="119"/>
  <c r="J52" i="119" s="1"/>
  <c r="F652" i="133"/>
  <c r="F571" i="133"/>
  <c r="K66" i="119" l="1"/>
  <c r="C15" i="8"/>
  <c r="D15" i="8" s="1"/>
  <c r="E9381" i="16"/>
  <c r="E9372" i="16"/>
  <c r="K5" i="119"/>
  <c r="K46" i="119"/>
  <c r="K32" i="119"/>
  <c r="K42" i="119"/>
  <c r="K43" i="119"/>
  <c r="K25" i="119"/>
  <c r="K36" i="119"/>
  <c r="K57" i="119"/>
  <c r="E954" i="22"/>
  <c r="E947" i="22"/>
  <c r="B137" i="23" s="1"/>
  <c r="D137" i="23" s="1"/>
  <c r="J63" i="119"/>
  <c r="K64" i="119" s="1"/>
  <c r="K61" i="119"/>
  <c r="K44" i="119"/>
  <c r="K41" i="119"/>
  <c r="K39" i="119"/>
  <c r="K65" i="119"/>
  <c r="K62" i="119"/>
  <c r="K38" i="119"/>
  <c r="K60" i="119"/>
  <c r="K58" i="119"/>
  <c r="K29" i="119"/>
  <c r="K37" i="119"/>
  <c r="I32" i="6"/>
  <c r="J32" i="6" s="1"/>
  <c r="I31" i="6"/>
  <c r="J31" i="6" s="1"/>
  <c r="E1706" i="97"/>
  <c r="F1706" i="97" s="1"/>
  <c r="D21" i="8"/>
  <c r="B28" i="8"/>
  <c r="K59" i="119"/>
  <c r="K45" i="119"/>
  <c r="K47" i="119"/>
  <c r="K53" i="119"/>
  <c r="I3" i="6"/>
  <c r="J3" i="6" s="1"/>
  <c r="K54" i="119"/>
  <c r="K55" i="119"/>
  <c r="K52" i="119"/>
  <c r="C28" i="8" l="1"/>
  <c r="D28" i="8" s="1"/>
  <c r="E961" i="22"/>
  <c r="E952" i="22"/>
  <c r="B138" i="23" s="1"/>
  <c r="D138" i="23" s="1"/>
  <c r="K63" i="119"/>
  <c r="K82" i="119"/>
  <c r="K83" i="119"/>
  <c r="E957" i="22" l="1"/>
  <c r="B139" i="23" s="1"/>
  <c r="D139" i="23" s="1"/>
  <c r="E969" i="22"/>
  <c r="E977" i="22" l="1"/>
  <c r="E964" i="22"/>
  <c r="B140" i="23" s="1"/>
  <c r="D140" i="23" s="1"/>
  <c r="E986" i="22" l="1"/>
  <c r="E980" i="22" s="1"/>
  <c r="B142" i="23" s="1"/>
  <c r="E972" i="22"/>
  <c r="B141" i="23" s="1"/>
  <c r="D141" i="23" s="1"/>
  <c r="D142" i="23" l="1"/>
  <c r="D143" i="23"/>
  <c r="E268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9" authorId="0" shapeId="0" xr:uid="{00000000-0006-0000-3500-000001000000}">
      <text>
        <r>
          <rPr>
            <sz val="10"/>
            <rFont val="Arial"/>
            <family val="2"/>
          </rPr>
          <t>LCarlin:
Valor total de crédito</t>
        </r>
      </text>
    </comment>
    <comment ref="E69" authorId="0" shapeId="0" xr:uid="{00000000-0006-0000-3500-000002000000}">
      <text>
        <r>
          <rPr>
            <sz val="10"/>
            <rFont val="Arial"/>
            <family val="2"/>
          </rPr>
          <t>LCarlin:
Valor total de Débito</t>
        </r>
      </text>
    </comment>
    <comment ref="E71" authorId="0" shapeId="0" xr:uid="{00000000-0006-0000-3500-000003000000}">
      <text>
        <r>
          <rPr>
            <sz val="10"/>
            <rFont val="Arial"/>
            <family val="2"/>
          </rPr>
          <t xml:space="preserve">LCarlin:
Saldo Presumido
Levando em conta todos os débitos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643" authorId="0" shapeId="0" xr:uid="{00000000-0006-0000-4E00-000001000000}">
      <text>
        <r>
          <rPr>
            <b/>
            <sz val="8"/>
            <color indexed="9"/>
            <rFont val="Tahoma"/>
            <family val="2"/>
          </rPr>
          <t xml:space="preserve">lcarlin: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7000-000001000000}">
      <text>
        <r>
          <rPr>
            <sz val="10"/>
            <rFont val="Arial"/>
            <family val="2"/>
          </rPr>
          <t>mailto:lcarlin@exactus.com.br
mailto:Cleide.Carrara@vivo.com.br
mailto:lcarlin@exactus.com.br
mailto:lcarlin@exactus.com.br
mailto:lcarlin@exactus.com.br
mailto:lcarlin@exactus.com.br</t>
        </r>
      </text>
    </comment>
  </commentList>
</comments>
</file>

<file path=xl/sharedStrings.xml><?xml version="1.0" encoding="utf-8"?>
<sst xmlns="http://schemas.openxmlformats.org/spreadsheetml/2006/main" count="65284" uniqueCount="26992">
  <si>
    <t>Data</t>
  </si>
  <si>
    <t>TIPO</t>
  </si>
  <si>
    <t>DESCRICAO</t>
  </si>
  <si>
    <t>Credito</t>
  </si>
  <si>
    <t>Debito</t>
  </si>
  <si>
    <t>Subtotais</t>
  </si>
  <si>
    <t>Check</t>
  </si>
  <si>
    <t>Dezembro/2019</t>
  </si>
  <si>
    <t>Teste</t>
  </si>
  <si>
    <t>X</t>
  </si>
  <si>
    <t>CORTE DE FATURAMENTO</t>
  </si>
  <si>
    <t>???</t>
  </si>
  <si>
    <t>Totais:</t>
  </si>
  <si>
    <t xml:space="preserve">Saldo Presumido </t>
  </si>
  <si>
    <t>Limite</t>
  </si>
  <si>
    <t>Posição</t>
  </si>
  <si>
    <t>Disponivel</t>
  </si>
  <si>
    <t>Valor Parcial da Fatura</t>
  </si>
  <si>
    <t>TABLE_NAME</t>
  </si>
  <si>
    <t>LOADABLE</t>
  </si>
  <si>
    <t>ACCOUNTING</t>
  </si>
  <si>
    <t>CLEANABLE</t>
  </si>
  <si>
    <t>GUIDING</t>
  </si>
  <si>
    <t>GamesWishList</t>
  </si>
  <si>
    <t>TiposLancamentos</t>
  </si>
  <si>
    <t>Despesas</t>
  </si>
  <si>
    <t>Banco1MasterCard</t>
  </si>
  <si>
    <t>Banespa</t>
  </si>
  <si>
    <t>ItauUniclassVisa</t>
  </si>
  <si>
    <t>ItaU</t>
  </si>
  <si>
    <t>Amazon_Master</t>
  </si>
  <si>
    <t>BTG_Pactual</t>
  </si>
  <si>
    <t>Santander</t>
  </si>
  <si>
    <t>CrediCard_Master</t>
  </si>
  <si>
    <t>XP_Inv_ContaC</t>
  </si>
  <si>
    <t>NUBank_Master</t>
  </si>
  <si>
    <t>XP_Inv_Visa</t>
  </si>
  <si>
    <t>MercadoPago_CC</t>
  </si>
  <si>
    <t>MercadoPago_Visa</t>
  </si>
  <si>
    <t>Real</t>
  </si>
  <si>
    <t>RealVisa</t>
  </si>
  <si>
    <t>Faturas de Cartão</t>
  </si>
  <si>
    <t>PortoSeguro_Master</t>
  </si>
  <si>
    <t>MagaLu_Visa_Plat</t>
  </si>
  <si>
    <t>Filmes</t>
  </si>
  <si>
    <t>Livros</t>
  </si>
  <si>
    <t>Games</t>
  </si>
  <si>
    <t>Lista de CDs</t>
  </si>
  <si>
    <t>Lista de DVDs</t>
  </si>
  <si>
    <t>Amex</t>
  </si>
  <si>
    <t>Amex_2010</t>
  </si>
  <si>
    <t>Banco1</t>
  </si>
  <si>
    <t>Carefour</t>
  </si>
  <si>
    <t>CartaoSubMaRiNo</t>
  </si>
  <si>
    <t>CEF</t>
  </si>
  <si>
    <t>CitiBank</t>
  </si>
  <si>
    <t>CitiBankMastercard</t>
  </si>
  <si>
    <t>CitibankVisa</t>
  </si>
  <si>
    <t>DigioVisa</t>
  </si>
  <si>
    <t>HSBC</t>
  </si>
  <si>
    <t>HSBCVisa</t>
  </si>
  <si>
    <t>ItauMasterCard</t>
  </si>
  <si>
    <t>ItauVisa</t>
  </si>
  <si>
    <t>ITI_Itau_CC</t>
  </si>
  <si>
    <t>Nubank_ContaC</t>
  </si>
  <si>
    <t>Parcelamentos</t>
  </si>
  <si>
    <t>PortoSeguroVisa</t>
  </si>
  <si>
    <t>PoupanCaItau</t>
  </si>
  <si>
    <t>Real_2007</t>
  </si>
  <si>
    <t>RealVisa_2007</t>
  </si>
  <si>
    <t>Santander_Master</t>
  </si>
  <si>
    <t>Senhas</t>
  </si>
  <si>
    <t>Trigg_Visa</t>
  </si>
  <si>
    <t>UnibancoVisa</t>
  </si>
  <si>
    <t>Vendas_diversas</t>
  </si>
  <si>
    <t>Tarot_Decks</t>
  </si>
  <si>
    <t>FGTS</t>
  </si>
  <si>
    <t>Financ_NuBank_2025</t>
  </si>
  <si>
    <t>Resumo_Parcelamentos</t>
  </si>
  <si>
    <t>DEST_TABLE</t>
  </si>
  <si>
    <t>SHEETY</t>
  </si>
  <si>
    <t>REPORT_NAME</t>
  </si>
  <si>
    <t>LIVING_COSTS</t>
  </si>
  <si>
    <t>DR_001</t>
  </si>
  <si>
    <t>Custos Com Moradia</t>
  </si>
  <si>
    <t>FUNNY_COSTS</t>
  </si>
  <si>
    <t>DR_002</t>
  </si>
  <si>
    <t>Entreterimento</t>
  </si>
  <si>
    <t>COLUMN_NAME</t>
  </si>
  <si>
    <t>AnoMes</t>
  </si>
  <si>
    <t>Title</t>
  </si>
  <si>
    <t>Platform</t>
  </si>
  <si>
    <t>comprado</t>
  </si>
  <si>
    <t>data</t>
  </si>
  <si>
    <t>onde</t>
  </si>
  <si>
    <t>Bayonetta 2</t>
  </si>
  <si>
    <t>Nintendo Switch</t>
  </si>
  <si>
    <t>Bayonetta 3</t>
  </si>
  <si>
    <t>Bloodrayne</t>
  </si>
  <si>
    <t>PS2</t>
  </si>
  <si>
    <t>eBay.com US&amp;A</t>
  </si>
  <si>
    <t>Bloodrayne 2</t>
  </si>
  <si>
    <t>Game collection Show</t>
  </si>
  <si>
    <t xml:space="preserve">Castlevania: lament of Innocence </t>
  </si>
  <si>
    <t>gvl Games - whatsApp</t>
  </si>
  <si>
    <t xml:space="preserve">Devil May Cry </t>
  </si>
  <si>
    <t>Devil May Cry  2 JP</t>
  </si>
  <si>
    <t>Devil May Cry 3 Dante´s Awakening</t>
  </si>
  <si>
    <t>Final Fantasy X</t>
  </si>
  <si>
    <t>Pororó Games no Yabacura</t>
  </si>
  <si>
    <t>Final Fantasy X-2</t>
  </si>
  <si>
    <t>Old Tete Sound no Yabacuara</t>
  </si>
  <si>
    <t>Final Fantasy XII</t>
  </si>
  <si>
    <t>Final Fantasy XII -COM LATA E DVD EXTRA</t>
  </si>
  <si>
    <t>Number 1 Games na ExpoCanal3</t>
  </si>
  <si>
    <t>God of War (2005)</t>
  </si>
  <si>
    <t>God of War II (2007)</t>
  </si>
  <si>
    <t>Gran Turismo 4</t>
  </si>
  <si>
    <t>10º GCShow Jabaquara</t>
  </si>
  <si>
    <t>Guitar Hero</t>
  </si>
  <si>
    <t>x</t>
  </si>
  <si>
    <t xml:space="preserve">Ferinha do Jabaquara </t>
  </si>
  <si>
    <t>Guitar Hero 5</t>
  </si>
  <si>
    <t>Guitar Hero II</t>
  </si>
  <si>
    <t>World Games - Feira Jabaquara</t>
  </si>
  <si>
    <t>Guitar Hero III</t>
  </si>
  <si>
    <t>9º GCShow</t>
  </si>
  <si>
    <t>Sterling Games na ExpoCanal3</t>
  </si>
  <si>
    <t xml:space="preserve">Hitman 2: Silent Assassin </t>
  </si>
  <si>
    <t>Infinity Retro Games na GCShow</t>
  </si>
  <si>
    <t>Hitman: Blood Money</t>
  </si>
  <si>
    <t>Hitman: Contracts</t>
  </si>
  <si>
    <t>Primal</t>
  </si>
  <si>
    <t>Prince of Persia: Sands of time</t>
  </si>
  <si>
    <t>Grupo World Colecionaveis</t>
  </si>
  <si>
    <t>Prince of Persia: The Two Thrones</t>
  </si>
  <si>
    <t>Pororó instagram</t>
  </si>
  <si>
    <t>Prince of Persia: The WarriorWirhing</t>
  </si>
  <si>
    <t>GameTechZone</t>
  </si>
  <si>
    <t xml:space="preserve">Red Dead Revolver </t>
  </si>
  <si>
    <t>World Colecionaveis Somente vendas</t>
  </si>
  <si>
    <t>Red Ninja</t>
  </si>
  <si>
    <t>Resident Evil 4 Europeu</t>
  </si>
  <si>
    <t>Evento Galpão Games</t>
  </si>
  <si>
    <t>Resident Evil 4 Greatest Hits</t>
  </si>
  <si>
    <t>AdautoWorld Colecionaveis</t>
  </si>
  <si>
    <t>Spawn: Armageddon</t>
  </si>
  <si>
    <t>Syphn filterDark Mirror</t>
  </si>
  <si>
    <t>Tourist trophy</t>
  </si>
  <si>
    <t>Direto do Nelson Loia JR</t>
  </si>
  <si>
    <t>Alice: Madness Returns</t>
  </si>
  <si>
    <t>PS3</t>
  </si>
  <si>
    <t>Gabriel FB Market</t>
  </si>
  <si>
    <t>Alone In The Dark Inferno</t>
  </si>
  <si>
    <t>MeuGameUsado</t>
  </si>
  <si>
    <t>Anarchy Reigns</t>
  </si>
  <si>
    <t>HouseOfGames Taubate : Yabacuara</t>
  </si>
  <si>
    <t>Assassin´s Creed´s II</t>
  </si>
  <si>
    <t>RetroCon 2023</t>
  </si>
  <si>
    <t>Assassin´s Creed´s III</t>
  </si>
  <si>
    <t>Grupo Facebook PS3</t>
  </si>
  <si>
    <t>Assassin´s Creed´s IV Black Flag</t>
  </si>
  <si>
    <t>Asura's Wrath</t>
  </si>
  <si>
    <t>Mercadolibre</t>
  </si>
  <si>
    <t>Bayonetta</t>
  </si>
  <si>
    <t>Berserk and the band of the Hawk</t>
  </si>
  <si>
    <t>Beyond: Two Souls</t>
  </si>
  <si>
    <t xml:space="preserve">Dika Games </t>
  </si>
  <si>
    <t xml:space="preserve">Bioshock </t>
  </si>
  <si>
    <t>Anderson Pinto</t>
  </si>
  <si>
    <t>Bioshock Infinite</t>
  </si>
  <si>
    <t>Blades of Time</t>
  </si>
  <si>
    <t>Body Count</t>
  </si>
  <si>
    <t>Pereira Retro Games</t>
  </si>
  <si>
    <t>Bound by Flame</t>
  </si>
  <si>
    <t>Brütal Legend</t>
  </si>
  <si>
    <t xml:space="preserve">Bullet Storm </t>
  </si>
  <si>
    <t xml:space="preserve">Natan Games no Atrium </t>
  </si>
  <si>
    <t>BulletStorm (Alternative cover)</t>
  </si>
  <si>
    <t>Glaukera Games</t>
  </si>
  <si>
    <t>Burnout Paradise</t>
  </si>
  <si>
    <t>Castlevania Lord of The Shadows</t>
  </si>
  <si>
    <t>Castlevania Lord of The Shadows 2</t>
  </si>
  <si>
    <t>Catherine (EUR)</t>
  </si>
  <si>
    <t>Glaukera Games PS3</t>
  </si>
  <si>
    <t>Clive Barker's Jericho</t>
  </si>
  <si>
    <t>Pororó Classic Games no GCSHOW Yabacuara</t>
  </si>
  <si>
    <t>Conan</t>
  </si>
  <si>
    <t>João Paulo</t>
  </si>
  <si>
    <t>Cyrsis 3</t>
  </si>
  <si>
    <t>MarcosGames - Feira Jabaquara</t>
  </si>
  <si>
    <t>Damnation</t>
  </si>
  <si>
    <t>Dark Sector</t>
  </si>
  <si>
    <t>DarkSiders</t>
  </si>
  <si>
    <t xml:space="preserve">Dead Space </t>
  </si>
  <si>
    <t>FaceBook Market Rodrigo Moska</t>
  </si>
  <si>
    <t>Dead to rights retribution</t>
  </si>
  <si>
    <t>Deadfall Adventures</t>
  </si>
  <si>
    <t>Deadfall Adventurs: the fall of Atlantis</t>
  </si>
  <si>
    <t>Deadly premonition</t>
  </si>
  <si>
    <t>ps3</t>
  </si>
  <si>
    <t>Diablo III</t>
  </si>
  <si>
    <t>DmC</t>
  </si>
  <si>
    <t>Eat Lead</t>
  </si>
  <si>
    <t>Enchanted Arms</t>
  </si>
  <si>
    <t xml:space="preserve">Enslaved </t>
  </si>
  <si>
    <t>Final Fantasy X/X-2</t>
  </si>
  <si>
    <t>Glauquera direto</t>
  </si>
  <si>
    <t>Final Fantasy XIII</t>
  </si>
  <si>
    <t>Ronirvi Games Atriu</t>
  </si>
  <si>
    <t>Final Fantasy XIII-2</t>
  </si>
  <si>
    <t>Folklore</t>
  </si>
  <si>
    <t>Leandro Souza Bass OLX</t>
  </si>
  <si>
    <t>Genji Days of the blade</t>
  </si>
  <si>
    <t>God Mode</t>
  </si>
  <si>
    <t>Gran Turismo 5 XL Editiom</t>
  </si>
  <si>
    <t>Golden Games 90 na GCShow</t>
  </si>
  <si>
    <t>Guitar Hero aEROsMITH</t>
  </si>
  <si>
    <t>Guitar Hero V - Warriors of rock</t>
  </si>
  <si>
    <t>Heavy Rain</t>
  </si>
  <si>
    <t>storm Games centro</t>
  </si>
  <si>
    <t>Hitman Absolution</t>
  </si>
  <si>
    <t>Ronivir Games Atrium</t>
  </si>
  <si>
    <t>Hunted: The Demon's Forge</t>
  </si>
  <si>
    <t>I Am Alive</t>
  </si>
  <si>
    <t>ICO &amp; Shadow of The Colossus Collection</t>
  </si>
  <si>
    <t>inFamous</t>
  </si>
  <si>
    <t>inFamous PS3</t>
  </si>
  <si>
    <t>Storm games do centro</t>
  </si>
  <si>
    <t xml:space="preserve">inFamous Second Son Limited Ed. </t>
  </si>
  <si>
    <t xml:space="preserve">inFamous2 </t>
  </si>
  <si>
    <t>G3 Games Atrium</t>
  </si>
  <si>
    <t>L.A. Noir</t>
  </si>
  <si>
    <t xml:space="preserve">Lightning Returns: Final Fantasy XIII </t>
  </si>
  <si>
    <t>CW Games no Atrium</t>
  </si>
  <si>
    <t>Lollipop ChainSaw</t>
  </si>
  <si>
    <t>Marvel Ultimate Alliance II</t>
  </si>
  <si>
    <t>Mercenaries 2  World in Flames</t>
  </si>
  <si>
    <t>Gold Games em SCS</t>
  </si>
  <si>
    <t>Metal Gear Solid 4</t>
  </si>
  <si>
    <t>Metal Gear V  Ground Zero</t>
  </si>
  <si>
    <t>Metal Gear V The Phanton Pain</t>
  </si>
  <si>
    <t>Metro Last Night</t>
  </si>
  <si>
    <t>Mirror's Edge</t>
  </si>
  <si>
    <t>Murdered: Soul Suspect</t>
  </si>
  <si>
    <t>Nail'd</t>
  </si>
  <si>
    <t>Need For Speed: Hot Pursuit</t>
  </si>
  <si>
    <t>Pororó Classic Games no GCSHOW</t>
  </si>
  <si>
    <t>Need For Speed: Most Wanted</t>
  </si>
  <si>
    <t>Nier</t>
  </si>
  <si>
    <t>Outlast</t>
  </si>
  <si>
    <t>PlayStation Move Sharp Shooter</t>
  </si>
  <si>
    <t xml:space="preserve">Prince of Persia </t>
  </si>
  <si>
    <t>Quantun Theory</t>
  </si>
  <si>
    <t>Red Dead Redemption</t>
  </si>
  <si>
    <t xml:space="preserve">Do Suguimoto </t>
  </si>
  <si>
    <t xml:space="preserve">Remember ME </t>
  </si>
  <si>
    <t>Resident Evil 5</t>
  </si>
  <si>
    <t>Resonance Of Fate</t>
  </si>
  <si>
    <t>Rock Band</t>
  </si>
  <si>
    <t>Pereira RetroGames</t>
  </si>
  <si>
    <t>Rock Band 2</t>
  </si>
  <si>
    <t>Shadows of the damned</t>
  </si>
  <si>
    <t>Siren Blood Curse</t>
  </si>
  <si>
    <t>Socom 4 U.S. Navy Seals</t>
  </si>
  <si>
    <t>Spec Ops: The Line</t>
  </si>
  <si>
    <t>MeuGameUsado.com.br</t>
  </si>
  <si>
    <t>StarkHawk</t>
  </si>
  <si>
    <t>The Bureau XCOM declassified</t>
  </si>
  <si>
    <t>The Cursed Crusade</t>
  </si>
  <si>
    <t>The Evil Within</t>
  </si>
  <si>
    <t xml:space="preserve">The Last of US : REPOSICAO </t>
  </si>
  <si>
    <t>The Saboteur</t>
  </si>
  <si>
    <t>Facebook Market Gustavo Andrade</t>
  </si>
  <si>
    <t>Tomb Raider 2013</t>
  </si>
  <si>
    <t>Uncharted 2</t>
  </si>
  <si>
    <t>Uncharted 2 : Reposição</t>
  </si>
  <si>
    <t xml:space="preserve">Untold Legends: Dark Kingdom </t>
  </si>
  <si>
    <t>Venetica</t>
  </si>
  <si>
    <t>Viking Battle for Asgard</t>
  </si>
  <si>
    <t>Warhammer 4000 Spacemarine</t>
  </si>
  <si>
    <t>Treco-velo na ExpoCanal3</t>
  </si>
  <si>
    <t>Watch Dogs</t>
  </si>
  <si>
    <t>Watchmen</t>
  </si>
  <si>
    <t>World Colecionaveis WhatsApp</t>
  </si>
  <si>
    <t>WET</t>
  </si>
  <si>
    <t>X-Blades</t>
  </si>
  <si>
    <t xml:space="preserve">FB Market </t>
  </si>
  <si>
    <t xml:space="preserve">Alan Wake </t>
  </si>
  <si>
    <t>PS4</t>
  </si>
  <si>
    <t>MagaLu.com.br</t>
  </si>
  <si>
    <t>Burnout Paradise Remastered</t>
  </si>
  <si>
    <t>Catherine - Full Body</t>
  </si>
  <si>
    <t>Control</t>
  </si>
  <si>
    <t>MercadoLIvre: Games Hut</t>
  </si>
  <si>
    <t>CyberPunk 2077</t>
  </si>
  <si>
    <t>Days Gone</t>
  </si>
  <si>
    <t>Detroit became Human</t>
  </si>
  <si>
    <t>Final Fantasy VII Remake  2020</t>
  </si>
  <si>
    <t>Golden Game 90 - Canal 3</t>
  </si>
  <si>
    <t>Final Fantasy XII The Zodiac Age</t>
  </si>
  <si>
    <t>Amazon.com.br</t>
  </si>
  <si>
    <t>Ghost of Tsushima</t>
  </si>
  <si>
    <t>Gran Turismo 7</t>
  </si>
  <si>
    <t>Gun Grave Gore - Day One Edition</t>
  </si>
  <si>
    <t>Heavy Rain &amp; Beyond: Two Souls Collection</t>
  </si>
  <si>
    <t xml:space="preserve">Nos camelôs do centro </t>
  </si>
  <si>
    <t>Hellblade Senua's Sacrifice</t>
  </si>
  <si>
    <t>Horizon: Zero Dawn</t>
  </si>
  <si>
    <t xml:space="preserve">InFamous - First Light </t>
  </si>
  <si>
    <t xml:space="preserve">Mad Max </t>
  </si>
  <si>
    <t xml:space="preserve">Metro Exodus </t>
  </si>
  <si>
    <t>Need for Speed: Hot Pursuit Remastered</t>
  </si>
  <si>
    <t>Need for Speed: Unbound</t>
  </si>
  <si>
    <t xml:space="preserve">Nier: Automata </t>
  </si>
  <si>
    <t>Nier Replicant</t>
  </si>
  <si>
    <t>Red Dead Redemption II</t>
  </si>
  <si>
    <t>MercadoLivre</t>
  </si>
  <si>
    <t xml:space="preserve">Resident Evil 2 Remake </t>
  </si>
  <si>
    <t>Evolution Game Centro</t>
  </si>
  <si>
    <t>Resident Evil 5 Remaster</t>
  </si>
  <si>
    <t>Sekiro Shadow's Die Twice</t>
  </si>
  <si>
    <t>RetroCon 2024</t>
  </si>
  <si>
    <t xml:space="preserve">Shadow of The colossus </t>
  </si>
  <si>
    <t>Bruno FB Market Place</t>
  </si>
  <si>
    <t xml:space="preserve">Outlast2 </t>
  </si>
  <si>
    <t>The Evil Within 2</t>
  </si>
  <si>
    <t>Until Dawn</t>
  </si>
  <si>
    <t>WatchDog 2</t>
  </si>
  <si>
    <t>World Games atrium</t>
  </si>
  <si>
    <t>WatchDog Legions</t>
  </si>
  <si>
    <t>A Ascensão do Ronin</t>
  </si>
  <si>
    <t>PS5</t>
  </si>
  <si>
    <t>The Crew Motorfest</t>
  </si>
  <si>
    <t>Black Myth: Wukong</t>
  </si>
  <si>
    <t>Claire Obscure: Expedition 33</t>
  </si>
  <si>
    <t>Disorder</t>
  </si>
  <si>
    <t>Final Fantasy VII : (1) Remake</t>
  </si>
  <si>
    <t>Glaukera Games directo</t>
  </si>
  <si>
    <t xml:space="preserve">Nioh Collection </t>
  </si>
  <si>
    <t>Resident Evil 4 remake</t>
  </si>
  <si>
    <t>Final Fantasy VII : (2) Rebirth</t>
  </si>
  <si>
    <t>Resident Evil Village</t>
  </si>
  <si>
    <t>The Last of US PT I</t>
  </si>
  <si>
    <t>Golden Game 90 - Yabacuara</t>
  </si>
  <si>
    <t>The Witcher III WW</t>
  </si>
  <si>
    <t>Silent Hill 2 Remake</t>
  </si>
  <si>
    <t>Where the Winds Meet</t>
  </si>
  <si>
    <t>Dante´s Inferno</t>
  </si>
  <si>
    <t>PSP</t>
  </si>
  <si>
    <t xml:space="preserve">Mario das listas dos games do azap </t>
  </si>
  <si>
    <t>God Of War: Ghost of Sparta</t>
  </si>
  <si>
    <t>Mercado Livre</t>
  </si>
  <si>
    <t>Wuchang: Fallen Feathers</t>
  </si>
  <si>
    <t>Xbox 360</t>
  </si>
  <si>
    <t>Ryse : Sons of Rome</t>
  </si>
  <si>
    <t>#</t>
  </si>
  <si>
    <t>Nome do Deck</t>
  </si>
  <si>
    <t>Editora</t>
  </si>
  <si>
    <t>Autor(es)</t>
  </si>
  <si>
    <t>Livreto</t>
  </si>
  <si>
    <t>Digital</t>
  </si>
  <si>
    <t>Data da Compra</t>
  </si>
  <si>
    <t>Valor</t>
  </si>
  <si>
    <t>Onde foi Adquirido</t>
  </si>
  <si>
    <t>Tipo</t>
  </si>
  <si>
    <t>Chave Primária</t>
  </si>
  <si>
    <t>Marselha Generico</t>
  </si>
  <si>
    <t>Alfabeto</t>
  </si>
  <si>
    <t>Brigite Zuraá</t>
  </si>
  <si>
    <t>SIM</t>
  </si>
  <si>
    <t>Saraiva de SCS</t>
  </si>
  <si>
    <t>Full Tarot Deck</t>
  </si>
  <si>
    <t>O Tarô Universal de Waite</t>
  </si>
  <si>
    <t>Isis Brasil</t>
  </si>
  <si>
    <t>Edith Waite</t>
  </si>
  <si>
    <t>Não</t>
  </si>
  <si>
    <t xml:space="preserve">Crowley Thoth </t>
  </si>
  <si>
    <t>US Games Inc.</t>
  </si>
  <si>
    <t>Aleister Crowley / Frieda Harris</t>
  </si>
  <si>
    <t>Simbólika</t>
  </si>
  <si>
    <t>Renaissance</t>
  </si>
  <si>
    <t>Brian Willians</t>
  </si>
  <si>
    <t>Mitológico</t>
  </si>
  <si>
    <t>Madras Brasil</t>
  </si>
  <si>
    <t>Juliet Sharman-Burke, Liz Greene</t>
  </si>
  <si>
    <t>Madras da Bienal do Livro</t>
  </si>
  <si>
    <t>Nei Naiff</t>
  </si>
  <si>
    <t>Nova Era</t>
  </si>
  <si>
    <t>Thais Linhares / Nei Naiff</t>
  </si>
  <si>
    <t>Direto da Editora</t>
  </si>
  <si>
    <t>Tarô Intuitivo</t>
  </si>
  <si>
    <t>DAVID MILES</t>
  </si>
  <si>
    <t>Lo Scarabeo</t>
  </si>
  <si>
    <t>Mark McElroy, Anna Lazzarini</t>
  </si>
  <si>
    <t xml:space="preserve">Rider Waite classical Original Tarot </t>
  </si>
  <si>
    <t>A.E. Waite / P. C. Smith</t>
  </si>
  <si>
    <t>US Games Brasil</t>
  </si>
  <si>
    <t xml:space="preserve">Hermetic Kaballah Tarot 2 </t>
  </si>
  <si>
    <t>Daemon Editora</t>
  </si>
  <si>
    <t>Marcelo Deldebbio / Rodrigo Grola</t>
  </si>
  <si>
    <t>Fenestra tarot</t>
  </si>
  <si>
    <t>Chatriya</t>
  </si>
  <si>
    <t>Namur TaroT</t>
  </si>
  <si>
    <t>N/A</t>
  </si>
  <si>
    <t>Namur Gopalla / Martha Leyrós</t>
  </si>
  <si>
    <t>Direto do Autor</t>
  </si>
  <si>
    <t>The B.O.T.A. Full Tarot Deck</t>
  </si>
  <si>
    <t>B.O.T.A.</t>
  </si>
  <si>
    <t>Visconti Sforza</t>
  </si>
  <si>
    <t xml:space="preserve">Pierpont Morgan </t>
  </si>
  <si>
    <t>O Argonauta - Feira Mistica Paulista</t>
  </si>
  <si>
    <t>Radiant Rider Waite (Lata) Cristaiane</t>
  </si>
  <si>
    <t>BIG B.O.T.A. Major Arcanas</t>
  </si>
  <si>
    <t>Pirates Tarot</t>
  </si>
  <si>
    <t xml:space="preserve">Bepi Vigna, Michele Benevento, </t>
  </si>
  <si>
    <t>Editora Pressagio</t>
  </si>
  <si>
    <t>Dark Royo tarot</t>
  </si>
  <si>
    <t>Luis Royo</t>
  </si>
  <si>
    <t>The Secrets Tarot</t>
  </si>
  <si>
    <t>Marco Nizzoli</t>
  </si>
  <si>
    <t>The Golden TSAR Tarot</t>
  </si>
  <si>
    <t>Pietro Alligo, Atanas A. Atanassov</t>
  </si>
  <si>
    <t>Presente</t>
  </si>
  <si>
    <t>Golden Dawn Tarot</t>
  </si>
  <si>
    <t>Robert Wang / Israel Regardie</t>
  </si>
  <si>
    <t>New Visions of Rider Waite</t>
  </si>
  <si>
    <t>Pietro Alligo, Raul Cestaro, Gianluca Cestaro</t>
  </si>
  <si>
    <t>Crowley Thoth Grande</t>
  </si>
  <si>
    <t>Russian Tarot of St. Petersburg Deck</t>
  </si>
  <si>
    <t>Yury Shakov</t>
  </si>
  <si>
    <t>ISIS Version of Tarot de Marseille</t>
  </si>
  <si>
    <t>ISIS Osiris</t>
  </si>
  <si>
    <t>TADAHIRO ONUMA  / SUMI ONUMA</t>
  </si>
  <si>
    <t>Harmonious Tarot - Taro da Harmonia</t>
  </si>
  <si>
    <t>Walter Crane, Ernest Fitzpatrick</t>
  </si>
  <si>
    <t>Tarot of the Mystic Spiral - Taro da Espiral Mistica</t>
  </si>
  <si>
    <t>Giovanni Pelosini, Giuseppe Palumbo</t>
  </si>
  <si>
    <t>El Gran Tarot Esoterico</t>
  </si>
  <si>
    <t>Naipes Heraclio Fournier</t>
  </si>
  <si>
    <t>The Hermetic Tarot from Golden Dawn</t>
  </si>
  <si>
    <t>Godfrey Dowson</t>
  </si>
  <si>
    <t>Symbolon Grande</t>
  </si>
  <si>
    <t>AGM Müller Urania</t>
  </si>
  <si>
    <t>Ingrid Zinnel, Peter Orban &amp; Thea Weller</t>
  </si>
  <si>
    <t>Oracle 78 Cards</t>
  </si>
  <si>
    <t>Tarot de Marseille de Francois Chosson 1736</t>
  </si>
  <si>
    <t>Yves Reynaud</t>
  </si>
  <si>
    <t>Le Tarot de Marseille</t>
  </si>
  <si>
    <t>Morgan-Greer</t>
  </si>
  <si>
    <t>Bill F. Greer with Lloyd Morgan</t>
  </si>
  <si>
    <t>Rider Waite Tarot</t>
  </si>
  <si>
    <t>Pamela Colman Smith</t>
  </si>
  <si>
    <t>Tarot de marseille 1760</t>
  </si>
  <si>
    <t>CAMOIN</t>
  </si>
  <si>
    <t>Alexandre JODOROWSKY / Philippe CAMOIN</t>
  </si>
  <si>
    <t>Direto com o Editor</t>
  </si>
  <si>
    <t>Haindl Tarot</t>
  </si>
  <si>
    <t>Hermann Haindl</t>
  </si>
  <si>
    <t>Casa de Bruxa de Sto. André</t>
  </si>
  <si>
    <t>O Tarot dos Boêmios Tarot Papus-Goulinat</t>
  </si>
  <si>
    <t>Papus</t>
  </si>
  <si>
    <t>Sebo Poesia Santo André</t>
  </si>
  <si>
    <t>Editora Planeta</t>
  </si>
  <si>
    <t>Tarot Universal Salvador dalí</t>
  </si>
  <si>
    <t>Ever Green</t>
  </si>
  <si>
    <t>Johannes Iebig</t>
  </si>
  <si>
    <t>Hanson-Roberts Tarot</t>
  </si>
  <si>
    <t>Mary Hanson-Roberts</t>
  </si>
  <si>
    <t>Deviant Moon Tarot Borderless Edition</t>
  </si>
  <si>
    <t>Patrick Valenza</t>
  </si>
  <si>
    <t>The Golden Tarot</t>
  </si>
  <si>
    <t xml:space="preserve">Kat Black </t>
  </si>
  <si>
    <t>O Livro de Thoth Etteilla</t>
  </si>
  <si>
    <t>Etteilla</t>
  </si>
  <si>
    <t>The Archeon Tarot</t>
  </si>
  <si>
    <t>Timoty Lantz</t>
  </si>
  <si>
    <t>O Tarot Illuminati</t>
  </si>
  <si>
    <t>Kim Huggens &amp; Erik C Dunne</t>
  </si>
  <si>
    <t xml:space="preserve">Amazon Brasil </t>
  </si>
  <si>
    <t>O tarô carbônico</t>
  </si>
  <si>
    <t>Gnose Brasil</t>
  </si>
  <si>
    <t>Adriano Camargo Monteiro</t>
  </si>
  <si>
    <t>Major Arcanas only</t>
  </si>
  <si>
    <t>The Labyrinth Tarot</t>
  </si>
  <si>
    <t>Medieval tarot</t>
  </si>
  <si>
    <t>Guido Zirbodi Marchesi</t>
  </si>
  <si>
    <t>Kama Sutra Tarot</t>
  </si>
  <si>
    <t>A.R. Madan</t>
  </si>
  <si>
    <t>Mantegna Tarot</t>
  </si>
  <si>
    <t>Könings Furt</t>
  </si>
  <si>
    <t>Cico Books</t>
  </si>
  <si>
    <t>Dean Liz</t>
  </si>
  <si>
    <t>Saraiva Online</t>
  </si>
  <si>
    <t>Oswald Wirth Tarot</t>
  </si>
  <si>
    <t>Oswald Wirth</t>
  </si>
  <si>
    <t xml:space="preserve">Liber T Tarot </t>
  </si>
  <si>
    <t>Robert Negrini / Andrea Serio</t>
  </si>
  <si>
    <t>Radiant Rider Waite</t>
  </si>
  <si>
    <t>Tarot of Reflections</t>
  </si>
  <si>
    <t>Francesco Ciapi</t>
  </si>
  <si>
    <t>Tarot of Art Nouveau</t>
  </si>
  <si>
    <t>Lunaea Weatherstone / Antonella Castelli</t>
  </si>
  <si>
    <t>Manara Erotic Tarot</t>
  </si>
  <si>
    <t>Millo Manara</t>
  </si>
  <si>
    <t>The H.R. Giger Tarot</t>
  </si>
  <si>
    <t>Taschen</t>
  </si>
  <si>
    <t>Arkon / H.R. Giger</t>
  </si>
  <si>
    <t>Hermetic Kaballah Tarot 1.5</t>
  </si>
  <si>
    <t>Tarot da Magia Sexual</t>
  </si>
  <si>
    <t>Laura Tuan, Mauro De Luca</t>
  </si>
  <si>
    <t>Casa de Bruxa de Uro. André</t>
  </si>
  <si>
    <t>Tarot Of The Old Path</t>
  </si>
  <si>
    <t>Sylvia Gainsford e Howard Rodway</t>
  </si>
  <si>
    <t>Copag Online</t>
  </si>
  <si>
    <t>1JJ SWISS TAROT DECK</t>
  </si>
  <si>
    <t>Stuart Kaplan</t>
  </si>
  <si>
    <t>Initiatory Golden Dawn Tarot</t>
  </si>
  <si>
    <t>Giordano Berti / Patrizio Evangelisti</t>
  </si>
  <si>
    <t>Universal Wirth Tarot</t>
  </si>
  <si>
    <t>Oswald Wirth / Giordano Berti /Stefano Palumbo</t>
  </si>
  <si>
    <t>Tarô de Marselha</t>
  </si>
  <si>
    <t>Vera Martins</t>
  </si>
  <si>
    <t xml:space="preserve">Ancient Enlightened Tarot (Sola Busca) </t>
  </si>
  <si>
    <t>Exotérica RJ</t>
  </si>
  <si>
    <t>Tarot de Thoth de Aleister Crowley</t>
  </si>
  <si>
    <t>Merlin Tarot</t>
  </si>
  <si>
    <t>Aquarian Press</t>
  </si>
  <si>
    <t>RJ Stewart</t>
  </si>
  <si>
    <t>The Pamela Colman Smith Commemorative Set</t>
  </si>
  <si>
    <t>O Argonauta - Direto</t>
  </si>
  <si>
    <t>Pixie´s Astounding Lenormand - Em Lata</t>
  </si>
  <si>
    <t>Edmund Zebrowski &amp; Pamela Colman Smith</t>
  </si>
  <si>
    <t>Baralho para ver a Sorte</t>
  </si>
  <si>
    <t>Copag Brasil</t>
  </si>
  <si>
    <t>Copag Brasil / Emanuel J. Santos</t>
  </si>
  <si>
    <t>Espaço Merkaba</t>
  </si>
  <si>
    <t>Lenormand</t>
  </si>
  <si>
    <t>The New Palladini tarot</t>
  </si>
  <si>
    <t>David Palladini</t>
  </si>
  <si>
    <t>Old English Tarot</t>
  </si>
  <si>
    <t>Maggie Kneen</t>
  </si>
  <si>
    <t>William Blake Tarot of the Creative Imagination</t>
  </si>
  <si>
    <t>Harper san Francisco</t>
  </si>
  <si>
    <t>Ed Buryn  / Mary K. Greer</t>
  </si>
  <si>
    <t>Antica Sibilla Italiana</t>
  </si>
  <si>
    <t>Gina  Pace / Franco Rivolli</t>
  </si>
  <si>
    <t>54 Cards</t>
  </si>
  <si>
    <t>Ancient Italian Tarot</t>
  </si>
  <si>
    <t>Cartiera Italiana</t>
  </si>
  <si>
    <t>Decameron Tarot</t>
  </si>
  <si>
    <t>Luciano Spadanuda, Giacinto Gaudenzi</t>
  </si>
  <si>
    <t>Pressagio Editora - Cartomância</t>
  </si>
  <si>
    <t>Casanova Tarot</t>
  </si>
  <si>
    <t>Giacomo Casanova, Mario Pignatiello, Luca Raimondo</t>
  </si>
  <si>
    <t>The Tarot of the Sevenfold Mystery</t>
  </si>
  <si>
    <t>Hermes Publications</t>
  </si>
  <si>
    <t>Robert Place / Rachel Pollak</t>
  </si>
  <si>
    <t>Robert Place - Cartomância</t>
  </si>
  <si>
    <t>Alchemical Tarot - 4a. Edição</t>
  </si>
  <si>
    <t>Robert Place</t>
  </si>
  <si>
    <t>The New York Lenormand</t>
  </si>
  <si>
    <t xml:space="preserve">The Burning Serpent Oracle </t>
  </si>
  <si>
    <t>Medieval Scapini Tarot</t>
  </si>
  <si>
    <t>Luigi Scapini</t>
  </si>
  <si>
    <t>Klimt Tarot</t>
  </si>
  <si>
    <t>Gustav Klimt</t>
  </si>
  <si>
    <t>Pressagio Editora - Confraria do Tarot</t>
  </si>
  <si>
    <t>O Tarô das Associações</t>
  </si>
  <si>
    <t>Pensamento</t>
  </si>
  <si>
    <t>Barbara Moore / Ciro Marchetti</t>
  </si>
  <si>
    <t>Confraria do Tarot</t>
  </si>
  <si>
    <t>Oráculo Cabalístico</t>
  </si>
  <si>
    <t>Deepack Chopra / Michael "Zappy"Zapolin / Alys R. Yablon</t>
  </si>
  <si>
    <t>22 Cartas</t>
  </si>
  <si>
    <t>The Wild Unknown Tarot</t>
  </si>
  <si>
    <t>The Wild Unknown Ed.</t>
  </si>
  <si>
    <t>Kim Krans</t>
  </si>
  <si>
    <t>Direto do Editor</t>
  </si>
  <si>
    <t xml:space="preserve">O Tarô dos Santos </t>
  </si>
  <si>
    <t>Editora Agir</t>
  </si>
  <si>
    <t>Robert M Place</t>
  </si>
  <si>
    <t>Internet</t>
  </si>
  <si>
    <t>The Complete Arthurian Tarot - Revised ed. edition (March 1, 2015)</t>
  </si>
  <si>
    <t>Connections Book Publishing</t>
  </si>
  <si>
    <t xml:space="preserve">Caitlín Matthews (Author), John Matthews (Author), Miranda Gray (Illustrator) </t>
  </si>
  <si>
    <t>Amazon US</t>
  </si>
  <si>
    <t>CBD Marseille</t>
  </si>
  <si>
    <t>Yoab Ben-dov</t>
  </si>
  <si>
    <t>Direto do Yoan Bem-dov</t>
  </si>
  <si>
    <t>The Pictorial Key Tarot</t>
  </si>
  <si>
    <t>Giordano Berti, Davide Corsi</t>
  </si>
  <si>
    <t>Pressagio Editora</t>
  </si>
  <si>
    <t>The Marziano Tarot</t>
  </si>
  <si>
    <t>Direto do Robert Place</t>
  </si>
  <si>
    <t>????</t>
  </si>
  <si>
    <t>O Tarô Celta</t>
  </si>
  <si>
    <t>Ed. Melhoramentos</t>
  </si>
  <si>
    <t>Pedro Anós</t>
  </si>
  <si>
    <t>The Gilded Tarot</t>
  </si>
  <si>
    <t>Llewellyn</t>
  </si>
  <si>
    <t>The Tarot of the Spirit</t>
  </si>
  <si>
    <t>Pamela &amp; Joyce Eakins</t>
  </si>
  <si>
    <t>Crowley Thoth - SwissPocket</t>
  </si>
  <si>
    <t xml:space="preserve">Tarot Mucha   </t>
  </si>
  <si>
    <t>Lunaea Weatherstone, Massimiliano Filadoro, Giulia F. Massaglia</t>
  </si>
  <si>
    <t>Golden Dawn Magic Tarot</t>
  </si>
  <si>
    <t>Chic Cicero / Sandra Tabatha Cicero</t>
  </si>
  <si>
    <t>The Original Aleister Crowley Thoth Tarot Standard</t>
  </si>
  <si>
    <t>Amazon German</t>
  </si>
  <si>
    <t>The Wildwod Tarot</t>
  </si>
  <si>
    <t>Sterling Ethos</t>
  </si>
  <si>
    <t>Mark Ryan (Author), John Matthews (Author), Will Worthington (Illustrator)</t>
  </si>
  <si>
    <t>The Tarot of Atlantis</t>
  </si>
  <si>
    <t>Bepi Vigna, Massimo Rotundo</t>
  </si>
  <si>
    <t>Aquarian Tarot</t>
  </si>
  <si>
    <t>David Palladin</t>
  </si>
  <si>
    <t>Modern Spellcaster's Tarot</t>
  </si>
  <si>
    <t>Melanie Marquis, Scott Murphy</t>
  </si>
  <si>
    <t>Tarocchi Sola Busca tarot</t>
  </si>
  <si>
    <t>rab A Fenice</t>
  </si>
  <si>
    <t>Giordano Berti</t>
  </si>
  <si>
    <t>Cartas de Salamancas</t>
  </si>
  <si>
    <t>Barbara Walker Tarot in a Tin</t>
  </si>
  <si>
    <t>Barbara Walker</t>
  </si>
  <si>
    <t>The Forty Servants</t>
  </si>
  <si>
    <t>The Game Crafter</t>
  </si>
  <si>
    <t>Tommie Kelly</t>
  </si>
  <si>
    <t>40 Cards</t>
  </si>
  <si>
    <t>The Sacred Roses Tarot</t>
  </si>
  <si>
    <t>Johanna Gargiulo-Sherman</t>
  </si>
  <si>
    <t>Jean Noblet Tarot</t>
  </si>
  <si>
    <t>Editions Le tarot.com</t>
  </si>
  <si>
    <t>Jean-Claude Flornoy</t>
  </si>
  <si>
    <t>Connolly Tarot</t>
  </si>
  <si>
    <t xml:space="preserve">Peter Paul Connolly /  Eileen Connolly </t>
  </si>
  <si>
    <t>New Century tarot</t>
  </si>
  <si>
    <t>Rolf Eichelmann</t>
  </si>
  <si>
    <t>El tarot Thoth de Aleister Crowley</t>
  </si>
  <si>
    <t>King Solomon Oracle Cards</t>
  </si>
  <si>
    <t>Orna Ben-Shoshan, Itzhak Mizrahi</t>
  </si>
  <si>
    <t>Oracle 40 Cards</t>
  </si>
  <si>
    <t>Brotherhood of Light Egyptian Tarot</t>
  </si>
  <si>
    <t>Vicki Brewer</t>
  </si>
  <si>
    <t>I Tarocchi di Aleister Crowley</t>
  </si>
  <si>
    <t>Mercado Livre - Santa Mistica</t>
  </si>
  <si>
    <t>Magic Manga Tarot</t>
  </si>
  <si>
    <t xml:space="preserve">Viviane (?) </t>
  </si>
  <si>
    <t>The Jungian Tarot</t>
  </si>
  <si>
    <t xml:space="preserve">Marcus Aurelius Press </t>
  </si>
  <si>
    <t>Robert Wang</t>
  </si>
  <si>
    <t>Cosmic Tarot</t>
  </si>
  <si>
    <t>Norbert Losche</t>
  </si>
  <si>
    <t>XIII Tarot by Nekro</t>
  </si>
  <si>
    <t>Nekro</t>
  </si>
  <si>
    <t xml:space="preserve">The Jungian Tarot (2 COPIA) </t>
  </si>
  <si>
    <t xml:space="preserve">Tarot Renascentista de Giovanni Vacchetta </t>
  </si>
  <si>
    <t xml:space="preserve">Julian M. White </t>
  </si>
  <si>
    <t xml:space="preserve">Bonefire Tarot </t>
  </si>
  <si>
    <t>Schiffer Publishing</t>
  </si>
  <si>
    <t>Gabi Angus-West</t>
  </si>
  <si>
    <t xml:space="preserve">The Druid Craft Tarot: Use the Magic of Wicca and Druidry to Guide Your Life </t>
  </si>
  <si>
    <t>St. Martin's Press</t>
  </si>
  <si>
    <t xml:space="preserve">Philip Carr-Gomm (Autor), Stephanie Carr-Gomm (Autor), William Worthington (Ilustrador) </t>
  </si>
  <si>
    <t xml:space="preserve">Tarot Estilo Marsellés </t>
  </si>
  <si>
    <t xml:space="preserve">Belén Lombardi / Agustín Murias </t>
  </si>
  <si>
    <t>Feira San Telmo Argentina</t>
  </si>
  <si>
    <t>Crowley Thoth Grande Green</t>
  </si>
  <si>
    <t>Leonardo Chioda</t>
  </si>
  <si>
    <t>Legacy Of The Divine Tarot</t>
  </si>
  <si>
    <t xml:space="preserve">Llewellyn </t>
  </si>
  <si>
    <t>Ciro Marchetti</t>
  </si>
  <si>
    <t>Legend: Arthurian Tarot</t>
  </si>
  <si>
    <t>Anna-Marie Ferguson</t>
  </si>
  <si>
    <t>Tarot of Dreams</t>
  </si>
  <si>
    <t>Ciro Marchetti / Lee Bursten</t>
  </si>
  <si>
    <t>Us Games Brasil - Mistic Fair - Paulista</t>
  </si>
  <si>
    <t>Smith-Waite Tarot Deck Borderless</t>
  </si>
  <si>
    <t>Mystical Manga Tarot</t>
  </si>
  <si>
    <t>RANN / Barbara Moore</t>
  </si>
  <si>
    <t>ShadowScapes Tarot</t>
  </si>
  <si>
    <t>Stephanie Pui-Mun Law / Barbara Moore</t>
  </si>
  <si>
    <t>Rosa Chá Tarot Infitity of Stars</t>
  </si>
  <si>
    <t xml:space="preserve">Rosa Chá </t>
  </si>
  <si>
    <t xml:space="preserve">Magickal Spellcards: Craft - Cast - Activate - Empower </t>
  </si>
  <si>
    <t>Lucy Cavendish,</t>
  </si>
  <si>
    <t>Oracle 45 Cards</t>
  </si>
  <si>
    <t>The Steampunk Tarot</t>
  </si>
  <si>
    <t>Barbara Moore / Aly Fell</t>
  </si>
  <si>
    <t>Saraiva Shopping ABC</t>
  </si>
  <si>
    <t>Kalciferun Tarot</t>
  </si>
  <si>
    <t>Andrei Fernandes</t>
  </si>
  <si>
    <t xml:space="preserve">Mundo Freak </t>
  </si>
  <si>
    <t>The Enchanted Tarot: 25th Anniversary Edition</t>
  </si>
  <si>
    <t>Race Point Publishing</t>
  </si>
  <si>
    <t>Amy Zerner / ‎ Monte Farber</t>
  </si>
  <si>
    <t>Santa Muerte Tarot Deck - Book Of The Dead</t>
  </si>
  <si>
    <t>Fabio Listrani</t>
  </si>
  <si>
    <t>Saraiva.com.br</t>
  </si>
  <si>
    <t>Tarocchi Sola Busca tarot - Ferrera XV Century</t>
  </si>
  <si>
    <t>Ferrara</t>
  </si>
  <si>
    <t>Cartas de Salamancas - Mystic Fair</t>
  </si>
  <si>
    <t>Golden Wirth Tarot</t>
  </si>
  <si>
    <t>Necronomicon Tarot</t>
  </si>
  <si>
    <t>Donald Tyson / Anne Stroke</t>
  </si>
  <si>
    <t>Dark Grimoire Tarot</t>
  </si>
  <si>
    <t>Michele Penco</t>
  </si>
  <si>
    <t>Hermetic Kabbalah Tarot 3.0</t>
  </si>
  <si>
    <t>Cartase.Me</t>
  </si>
  <si>
    <t>Karma Tarot</t>
  </si>
  <si>
    <t>Birgit Boline Erfurt</t>
  </si>
  <si>
    <t>Alexandre Argonauta</t>
  </si>
  <si>
    <t>Cagliostro Tarot</t>
  </si>
  <si>
    <t>Modiano</t>
  </si>
  <si>
    <t xml:space="preserve">Tarô dos Boemios (Papus) </t>
  </si>
  <si>
    <t>Thot Editora</t>
  </si>
  <si>
    <t>MartiusAmerica /Osvaldo Rodrigues Condé Filho / Fernando Saraiva Etchbarne</t>
  </si>
  <si>
    <t>Mythic Tarot Deck</t>
  </si>
  <si>
    <t>Rider Books</t>
  </si>
  <si>
    <t>The Victorian Steam Punk Tarot</t>
  </si>
  <si>
    <t>Liz Dean / Bev Speight</t>
  </si>
  <si>
    <t xml:space="preserve">Tarô Biblico </t>
  </si>
  <si>
    <t>Icone Editora</t>
  </si>
  <si>
    <t>Vilson Alvers</t>
  </si>
  <si>
    <t>I Tarocchi Visconti-Sforza -Ed. Il Meneghello</t>
  </si>
  <si>
    <t>Osvaldo Menegazzi</t>
  </si>
  <si>
    <t>Viviane Macedo</t>
  </si>
  <si>
    <t>Eight Coins' Tattoo Tarot</t>
  </si>
  <si>
    <t>Lana Zellner</t>
  </si>
  <si>
    <t>Mystical Tarot</t>
  </si>
  <si>
    <t>Giuliano Costa</t>
  </si>
  <si>
    <t>Alchemy 1977 England Tarot</t>
  </si>
  <si>
    <t>Alchemy 1977</t>
  </si>
  <si>
    <t>Crystal Tarot</t>
  </si>
  <si>
    <t>Elisabetta Trevisan</t>
  </si>
  <si>
    <t>Zillich Tarot - Em Lata</t>
  </si>
  <si>
    <t>Christine Zillich /  Johan Von Kirschner</t>
  </si>
  <si>
    <t>Sibila Della Zingara</t>
  </si>
  <si>
    <t>Gipsy oracle cards</t>
  </si>
  <si>
    <t>Tarot Illuminati - Kit Edition</t>
  </si>
  <si>
    <t>Erik C. Dunne / Kim Huggens</t>
  </si>
  <si>
    <t>Tarô Adivinhatório</t>
  </si>
  <si>
    <t xml:space="preserve">Diversos (???) </t>
  </si>
  <si>
    <t>Grupo Pensamento Site</t>
  </si>
  <si>
    <t>Tarô Egípcio Kier</t>
  </si>
  <si>
    <t>Bibiana Rovira</t>
  </si>
  <si>
    <t xml:space="preserve">o Tarô Maçonico </t>
  </si>
  <si>
    <t>Patricio Diaz Silva</t>
  </si>
  <si>
    <t>Nobel Shopping Atrium</t>
  </si>
  <si>
    <t>Game Of Thrones Tarot</t>
  </si>
  <si>
    <t>Chronicle Books</t>
  </si>
  <si>
    <t>Michel Morris /  Liz Dean / Graig Coss</t>
  </si>
  <si>
    <t xml:space="preserve">Oráculo Sibillus </t>
  </si>
  <si>
    <t>Pettrus SaLes</t>
  </si>
  <si>
    <t>Tibet Dark Gothic Tarot</t>
  </si>
  <si>
    <t>Master Book</t>
  </si>
  <si>
    <t>Elizabeth Queiroz</t>
  </si>
  <si>
    <t>Faces da Lua com o Emanuel</t>
  </si>
  <si>
    <t>Tarot Apolakypsis</t>
  </si>
  <si>
    <t>Eric C. Dunne, Kim Huggens</t>
  </si>
  <si>
    <t>CaldeiraoMistico.com.br</t>
  </si>
  <si>
    <t>Universal Goddess Tarot</t>
  </si>
  <si>
    <t>Maria Caratti</t>
  </si>
  <si>
    <t>Tarot Melefic by Luis Royo</t>
  </si>
  <si>
    <t xml:space="preserve">Luis Royo / Romulo Royo </t>
  </si>
  <si>
    <t xml:space="preserve">Tarot Balbi </t>
  </si>
  <si>
    <t>Maxi Kiosko em B.A.</t>
  </si>
  <si>
    <t xml:space="preserve">Tarot de Maesella redondo </t>
  </si>
  <si>
    <t xml:space="preserve">Tarot RDR Iluminarte </t>
  </si>
  <si>
    <t>Iluminarte Argentina</t>
  </si>
  <si>
    <t xml:space="preserve">Somos FE B.A. </t>
  </si>
  <si>
    <t>Tarot de Marseilla</t>
  </si>
  <si>
    <t>Tarot Atalla</t>
  </si>
  <si>
    <t>Daniel Atalla / Maria Inês Bastos</t>
  </si>
  <si>
    <t>Escola Esotérica - Mistic Fair - Paulista</t>
  </si>
  <si>
    <t>Oracle of Visions</t>
  </si>
  <si>
    <t>Ciro marchetti</t>
  </si>
  <si>
    <t>Oracle Deck</t>
  </si>
  <si>
    <t>Giant Rider Waite Tarot Deck</t>
  </si>
  <si>
    <t>The Egyptian Tarot</t>
  </si>
  <si>
    <t>Giordano Berti / Tiberio Gonard</t>
  </si>
  <si>
    <t>Saraiva - Mooca Shopping</t>
  </si>
  <si>
    <t xml:space="preserve">Tarot Insensati </t>
  </si>
  <si>
    <t>Igum Djorge / Pedro Hutsch Balboni</t>
  </si>
  <si>
    <t>The All-type Tarot</t>
  </si>
  <si>
    <t>Boros Oracle</t>
  </si>
  <si>
    <t>Jonathan Brum</t>
  </si>
  <si>
    <t>Otiot, o oráculo das letras hebraicas</t>
  </si>
  <si>
    <t xml:space="preserve">Marcelo Bueno </t>
  </si>
  <si>
    <t>Oracle 22 Cards</t>
  </si>
  <si>
    <t>Os 40 Servidores PTBR</t>
  </si>
  <si>
    <t>Penumbra Livros</t>
  </si>
  <si>
    <t>Oracle 44 Cards</t>
  </si>
  <si>
    <t>Tarot Cabalistico</t>
  </si>
  <si>
    <t>J. A. Portela</t>
  </si>
  <si>
    <t>Lua Azul Prod. Esotericos S.A.</t>
  </si>
  <si>
    <t>Millennium Thoth Tarot</t>
  </si>
  <si>
    <t>Renata Lechner</t>
  </si>
  <si>
    <t>Thelema Tarot</t>
  </si>
  <si>
    <t>Anchient GODs tarot</t>
  </si>
  <si>
    <t>Bianco Nero Tarot</t>
  </si>
  <si>
    <t>Marco Proietto</t>
  </si>
  <si>
    <t>Tarô do Folclore</t>
  </si>
  <si>
    <t>Roberta Cardoso da Costa cirne</t>
  </si>
  <si>
    <t>Erotic Fantasy Tarot</t>
  </si>
  <si>
    <t>Joseph Viglioglia, Simona Rossi</t>
  </si>
  <si>
    <t>Hermetic Kabbalah Tarot 4.0</t>
  </si>
  <si>
    <t>Hermetic Vision Tarot</t>
  </si>
  <si>
    <t>Hermetic Legacy Tarot</t>
  </si>
  <si>
    <t>Crowley Thoth - SwissPocket 3 Magus</t>
  </si>
  <si>
    <t>Tarot Divination . Org</t>
  </si>
  <si>
    <t>The Wild Unknown Pocket Tarot</t>
  </si>
  <si>
    <t>Hermetic Kabbalah Tarot 5.0 - 10 YEARS Giant</t>
  </si>
  <si>
    <t>Rose Tarot</t>
  </si>
  <si>
    <t>Llewellyn Books</t>
  </si>
  <si>
    <t>Nigel Jackson</t>
  </si>
  <si>
    <t>Hush Tarot</t>
  </si>
  <si>
    <t>US Games Inc. (Falso)</t>
  </si>
  <si>
    <t>Jeremy Hush</t>
  </si>
  <si>
    <t xml:space="preserve">Tarot Alquimico </t>
  </si>
  <si>
    <t>AlkhemyLab</t>
  </si>
  <si>
    <t>Joel Aleixo</t>
  </si>
  <si>
    <t>Loja.Alkhemylab.com</t>
  </si>
  <si>
    <t>Sequencial</t>
  </si>
  <si>
    <t>Nome do Action</t>
  </si>
  <si>
    <t xml:space="preserve">Data </t>
  </si>
  <si>
    <t xml:space="preserve">Onde comprei </t>
  </si>
  <si>
    <t xml:space="preserve">Valor </t>
  </si>
  <si>
    <t xml:space="preserve">Status </t>
  </si>
  <si>
    <t>OBS</t>
  </si>
  <si>
    <t>Kriska Barchenowa Lingerie ver. (PVC Figure) Alphamax 1/7 Sky Tube</t>
  </si>
  <si>
    <t>http://www.1999.co.jp/eng/</t>
  </si>
  <si>
    <t>5,780 yen</t>
  </si>
  <si>
    <t>Received</t>
  </si>
  <si>
    <t>Aguardando CORREIOS</t>
  </si>
  <si>
    <t>Ghostbusters Bishoujo Lucy Complete</t>
  </si>
  <si>
    <t>http://www.amiami.com</t>
  </si>
  <si>
    <t>5,430 Yen</t>
  </si>
  <si>
    <t>Aguardando Envio</t>
  </si>
  <si>
    <t>Androids Miniactions</t>
  </si>
  <si>
    <t>http://www.deadzebra.com</t>
  </si>
  <si>
    <t>$24.14 USD</t>
  </si>
  <si>
    <t xml:space="preserve">Sexy girl "Canal" 6" </t>
  </si>
  <si>
    <t>http://myworld.ebay.com/ekinyangyiwei</t>
  </si>
  <si>
    <t>$26.50 USD</t>
  </si>
  <si>
    <t>Marvel Bishoujo Statue ELEKTRA Kotobukiya 1/7 Bishoujo Statue</t>
  </si>
  <si>
    <t xml:space="preserve"> 5,270 yen</t>
  </si>
  <si>
    <t>Late September 2011</t>
  </si>
  <si>
    <t>Marvel Bishoujo Mystique Kotobukiya 1/7 Bishoujo Statue</t>
  </si>
  <si>
    <t>Late December 2011</t>
  </si>
  <si>
    <t>MARVEL BISHOUJO - X-23 Complete Figure</t>
  </si>
  <si>
    <t>4,950 Yen</t>
  </si>
  <si>
    <t>Canceled</t>
  </si>
  <si>
    <t>March 2012</t>
  </si>
  <si>
    <t>Marvel Bishoujo Statue Emma Frost Kotobukiya 1/8 Bishoujo Statue</t>
  </si>
  <si>
    <t>5,580 Yen</t>
  </si>
  <si>
    <t>Nariko</t>
  </si>
  <si>
    <t>http://myworld.ebay.com/toymania168/</t>
  </si>
  <si>
    <t>$26,95 USD</t>
  </si>
  <si>
    <t>No Tracking ID</t>
  </si>
  <si>
    <t>Super Sonico -Nurse Ver.- (PVC Figure)</t>
  </si>
  <si>
    <t>7,043 yen</t>
  </si>
  <si>
    <t>Late Aug 2012</t>
  </si>
  <si>
    <t>Megurine Luka Tony ver. *Special Price 20%OFF (PVC Figure)</t>
  </si>
  <si>
    <t>6,704 yen</t>
  </si>
  <si>
    <t>Late Jul 2012</t>
  </si>
  <si>
    <t>Christie Monteiro Tekken Bishoujo - Kotobukiya</t>
  </si>
  <si>
    <t>http://www.allcenter.com.br</t>
  </si>
  <si>
    <t>Barrado pela operação Maré Vermelha</t>
  </si>
  <si>
    <t>Batman  - Wacky Wobbler</t>
  </si>
  <si>
    <t>entrega errada. Devolvido</t>
  </si>
  <si>
    <t>Alisa Ilynichna Amiera (PVC Figure)</t>
  </si>
  <si>
    <t>01/05/25012</t>
  </si>
  <si>
    <t>6,630 Yen</t>
  </si>
  <si>
    <t>Witchblade Estátua De Resina 30cm Altura Fantástica!!!</t>
  </si>
  <si>
    <t>http://www.mercadolivre.com.br/brasil/ml/org_prod.p_main?it_s=MLB&amp;it_n=239082157</t>
  </si>
  <si>
    <t xml:space="preserve">Scott Pilgrim </t>
  </si>
  <si>
    <t>www.limitededition.com.br</t>
  </si>
  <si>
    <t xml:space="preserve">Poison IVY Bishoujo </t>
  </si>
  <si>
    <t>MegaHouse 814624 Yamato Girls Collection Space Battleship Yamato 2199 Mori Yuki Battleship Cloth Ver. (PVC Figure) 1/8</t>
  </si>
  <si>
    <t>9,070 yen</t>
  </si>
  <si>
    <t>Item #</t>
  </si>
  <si>
    <t>Ano</t>
  </si>
  <si>
    <t>Descrição</t>
  </si>
  <si>
    <t>Status</t>
  </si>
  <si>
    <t>Certificações necessárias</t>
  </si>
  <si>
    <t>Quitar débitos no banco, positivando as contas</t>
  </si>
  <si>
    <t>OK</t>
  </si>
  <si>
    <t>Linux LPI-101</t>
  </si>
  <si>
    <t>Pagar financiamento do Santander</t>
  </si>
  <si>
    <t>Linux LPI-102</t>
  </si>
  <si>
    <t>Trocar de Emprego</t>
  </si>
  <si>
    <t>ITIL v3</t>
  </si>
  <si>
    <t>Voltar a reter provisoes para imprevistos</t>
  </si>
  <si>
    <t>Cobit 4.1</t>
  </si>
  <si>
    <t>Cortar custos excedentes ?!?!?!</t>
  </si>
  <si>
    <t>Scrum Master?</t>
  </si>
  <si>
    <t xml:space="preserve">Terminar todas as materias MBA </t>
  </si>
  <si>
    <t>SAP ???</t>
  </si>
  <si>
    <t>Fazer o TCC do MBA</t>
  </si>
  <si>
    <t xml:space="preserve">Protheus </t>
  </si>
  <si>
    <t>Pagar GGM4 EchoSports</t>
  </si>
  <si>
    <t>ERP ToTVS</t>
  </si>
  <si>
    <t>Reduzir custos com moradia (Aluguel condominio)</t>
  </si>
  <si>
    <t>PMI</t>
  </si>
  <si>
    <t xml:space="preserve">Comprar um AP em SCS </t>
  </si>
  <si>
    <t>Seq</t>
  </si>
  <si>
    <t>Kilometragem</t>
  </si>
  <si>
    <t>Vlr Litro</t>
  </si>
  <si>
    <t>Valor total</t>
  </si>
  <si>
    <t xml:space="preserve">LtoTotal </t>
  </si>
  <si>
    <t>KmRodados</t>
  </si>
  <si>
    <t>Dias</t>
  </si>
  <si>
    <t>Km/Litro</t>
  </si>
  <si>
    <t>Km/Dia</t>
  </si>
  <si>
    <t>Lt/Dia</t>
  </si>
  <si>
    <t>R$/Dia</t>
  </si>
  <si>
    <t>R$/KM</t>
  </si>
  <si>
    <t>Gasolina</t>
  </si>
  <si>
    <t>Alcool</t>
  </si>
  <si>
    <t>Médias</t>
  </si>
  <si>
    <t xml:space="preserve">Tipos </t>
  </si>
  <si>
    <t>Mistura</t>
  </si>
  <si>
    <t>Local</t>
  </si>
  <si>
    <t>user ID</t>
  </si>
  <si>
    <t>Password</t>
  </si>
  <si>
    <t>Atualização Dados</t>
  </si>
  <si>
    <t>Ativo</t>
  </si>
  <si>
    <t>Exportado</t>
  </si>
  <si>
    <t>404notfound.com.br</t>
  </si>
  <si>
    <t>GarGaMel</t>
  </si>
  <si>
    <t>sync750v</t>
  </si>
  <si>
    <t>Online Services</t>
  </si>
  <si>
    <t>N</t>
  </si>
  <si>
    <t>AIM</t>
  </si>
  <si>
    <t>Hardrappel</t>
  </si>
  <si>
    <t>p_280277</t>
  </si>
  <si>
    <t>Instant Message</t>
  </si>
  <si>
    <t>Y</t>
  </si>
  <si>
    <t>americanas.com</t>
  </si>
  <si>
    <t>luizcarlin</t>
  </si>
  <si>
    <t>Shopping</t>
  </si>
  <si>
    <t>apinfo.com</t>
  </si>
  <si>
    <t>Jobs</t>
  </si>
  <si>
    <t>arquivo-x.com</t>
  </si>
  <si>
    <t>gargamel</t>
  </si>
  <si>
    <t>LAC280277</t>
  </si>
  <si>
    <t>e-mail</t>
  </si>
  <si>
    <t>arremate.com</t>
  </si>
  <si>
    <t>hardrappel</t>
  </si>
  <si>
    <t>unibanco.com.br</t>
  </si>
  <si>
    <t>7007 -105877-3</t>
  </si>
  <si>
    <t>Internet Banking</t>
  </si>
  <si>
    <t>bancoreal.com.br</t>
  </si>
  <si>
    <t>luizcarlin 0247 9705879</t>
  </si>
  <si>
    <t>banespa.com.br</t>
  </si>
  <si>
    <t>acarlin - 920009805</t>
  </si>
  <si>
    <t>250680</t>
  </si>
  <si>
    <t>blogger.com.br</t>
  </si>
  <si>
    <t>cyberspawn</t>
  </si>
  <si>
    <t>Blogger</t>
  </si>
  <si>
    <t>n</t>
  </si>
  <si>
    <t>Bol.com.br</t>
  </si>
  <si>
    <t>gargamel_lac</t>
  </si>
  <si>
    <t>borland.com</t>
  </si>
  <si>
    <t>Cdpoint.com.br</t>
  </si>
  <si>
    <t>Video/Music</t>
  </si>
  <si>
    <t>Cell.com.br</t>
  </si>
  <si>
    <t>lcarlin</t>
  </si>
  <si>
    <t>5876</t>
  </si>
  <si>
    <t>Cell Services</t>
  </si>
  <si>
    <t>ceviu.com.br</t>
  </si>
  <si>
    <t>cipsga.org.br</t>
  </si>
  <si>
    <t>citibank.com.br</t>
  </si>
  <si>
    <t>luizao123</t>
  </si>
  <si>
    <t>cjb.net</t>
  </si>
  <si>
    <t>URL redir</t>
  </si>
  <si>
    <t>luizao-gargamel</t>
  </si>
  <si>
    <t>marlboroman</t>
  </si>
  <si>
    <t>Comvc</t>
  </si>
  <si>
    <t>gargamel -220213</t>
  </si>
  <si>
    <t>280277</t>
  </si>
  <si>
    <t>counter.li.org</t>
  </si>
  <si>
    <t>153198-84399</t>
  </si>
  <si>
    <t>Counter</t>
  </si>
  <si>
    <t>digitis.com</t>
  </si>
  <si>
    <t>gargamel_do_rappel</t>
  </si>
  <si>
    <t>dromadario.com.br</t>
  </si>
  <si>
    <t>ebit.com.br</t>
  </si>
  <si>
    <t>gargamel@ldapalm.com.br</t>
  </si>
  <si>
    <t>elefante.com.br</t>
  </si>
  <si>
    <t>luiz.carlin@ibest.com.br</t>
  </si>
  <si>
    <t>ezdir.com.br</t>
  </si>
  <si>
    <t>hardrappel@icqmail.com</t>
  </si>
  <si>
    <t>freedrive.com</t>
  </si>
  <si>
    <t>gmail.com</t>
  </si>
  <si>
    <t>luiz.carlin</t>
  </si>
  <si>
    <t>bucet@69</t>
  </si>
  <si>
    <t>Grupos.com.br</t>
  </si>
  <si>
    <t>Mailling</t>
  </si>
  <si>
    <t>gargamel_do_rappel@yahoo.com</t>
  </si>
  <si>
    <t>hotmail.com</t>
  </si>
  <si>
    <t>e-mail/Mess</t>
  </si>
  <si>
    <t>luiz_carlin</t>
  </si>
  <si>
    <t>hpg.com.br</t>
  </si>
  <si>
    <t>Hosting</t>
  </si>
  <si>
    <t>HSBC Wap</t>
  </si>
  <si>
    <t>03650900434</t>
  </si>
  <si>
    <t>9230</t>
  </si>
  <si>
    <t>WAP</t>
  </si>
  <si>
    <t>Hsbc.com.br - Novo</t>
  </si>
  <si>
    <t>0365 0900434</t>
  </si>
  <si>
    <t>sync750</t>
  </si>
  <si>
    <t>Hsbc.com.br - Velho</t>
  </si>
  <si>
    <t>mercadolivre.com.br</t>
  </si>
  <si>
    <t>gargamaiden</t>
  </si>
  <si>
    <t>ICQ</t>
  </si>
  <si>
    <t>gargamel - 11792390</t>
  </si>
  <si>
    <t>HardRappel-25012361</t>
  </si>
  <si>
    <t>marlboroman - 40934750</t>
  </si>
  <si>
    <t>gargamel-46302474</t>
  </si>
  <si>
    <t>icqmail</t>
  </si>
  <si>
    <t>ieg.com.br</t>
  </si>
  <si>
    <t>ig.com.br</t>
  </si>
  <si>
    <t>imesh.com.br</t>
  </si>
  <si>
    <t>ironmaiden.com</t>
  </si>
  <si>
    <t>ironmaiden.com.br</t>
  </si>
  <si>
    <t>itraceyou.com</t>
  </si>
  <si>
    <t>jabbercentral.org</t>
  </si>
  <si>
    <t>GarGamel</t>
  </si>
  <si>
    <t>LdaPalm.com.br</t>
  </si>
  <si>
    <t>linuxmall.com.br</t>
  </si>
  <si>
    <t>luiz.carlin@gmail.com</t>
  </si>
  <si>
    <t>linuxsecurity.com.br</t>
  </si>
  <si>
    <t>Gargamel</t>
  </si>
  <si>
    <t>magazineluiza.com</t>
  </si>
  <si>
    <t>mailbr.com.br</t>
  </si>
  <si>
    <t>Napster</t>
  </si>
  <si>
    <t>lac280277</t>
  </si>
  <si>
    <t>File Sharing</t>
  </si>
  <si>
    <t>netcard.com.br</t>
  </si>
  <si>
    <t>Cards</t>
  </si>
  <si>
    <t>nextg.com.br</t>
  </si>
  <si>
    <t>Odigo</t>
  </si>
  <si>
    <t>423729</t>
  </si>
  <si>
    <t>olinux.com.br</t>
  </si>
  <si>
    <t>oracle.com</t>
  </si>
  <si>
    <t>orkut.com</t>
  </si>
  <si>
    <t>Online Comunnity</t>
  </si>
  <si>
    <t>luiz_carlin@yahoo.com.br</t>
  </si>
  <si>
    <t>Osite.com.br</t>
  </si>
  <si>
    <t>gargpel</t>
  </si>
  <si>
    <t>lac2802</t>
  </si>
  <si>
    <t>Rational.com</t>
  </si>
  <si>
    <t xml:space="preserve">Real Wap </t>
  </si>
  <si>
    <t>20031979</t>
  </si>
  <si>
    <t>redhat.com</t>
  </si>
  <si>
    <t>redsex.com.br</t>
  </si>
  <si>
    <t>hardrappel@ig.com.br</t>
  </si>
  <si>
    <t>saraiva.com.br</t>
  </si>
  <si>
    <t>sexway.com.br</t>
  </si>
  <si>
    <t>garmamel@ldapalm.com.br</t>
  </si>
  <si>
    <t>072622cD</t>
  </si>
  <si>
    <t>sexyclub.com.br</t>
  </si>
  <si>
    <t>garga3570</t>
  </si>
  <si>
    <t>sourceforge.org</t>
  </si>
  <si>
    <t>submarino.com.br</t>
  </si>
  <si>
    <t>sun.com</t>
  </si>
  <si>
    <t>super11.net</t>
  </si>
  <si>
    <t>hrdrapel</t>
  </si>
  <si>
    <t>techrepublic.com</t>
  </si>
  <si>
    <t>luizcarlin@uol.com.br</t>
  </si>
  <si>
    <t>tecwork.com.br</t>
  </si>
  <si>
    <t>TheCountrer.com</t>
  </si>
  <si>
    <t>TempoReal.com.br</t>
  </si>
  <si>
    <t>Books</t>
  </si>
  <si>
    <t>uol.com.br</t>
  </si>
  <si>
    <t>luizcarliN@uol.com.br</t>
  </si>
  <si>
    <t>kppt25</t>
  </si>
  <si>
    <t>counter</t>
  </si>
  <si>
    <t>Unopar.br</t>
  </si>
  <si>
    <t>IZ5O58</t>
  </si>
  <si>
    <t>ky2cu-cf</t>
  </si>
  <si>
    <t>WebOs.com</t>
  </si>
  <si>
    <t>Yahoo!Br</t>
  </si>
  <si>
    <t>wergilio_antunes_fabrin</t>
  </si>
  <si>
    <t>yahoo!geocities</t>
  </si>
  <si>
    <t>yahoo.com.br</t>
  </si>
  <si>
    <t>zipmail.com.br</t>
  </si>
  <si>
    <t>jobshopping.com.br</t>
  </si>
  <si>
    <t>sulamerica.com.br/saudeonline</t>
  </si>
  <si>
    <t>445 15054 0000 2316 0012</t>
  </si>
  <si>
    <t>755 63480 0000 2316 0012</t>
  </si>
  <si>
    <t>arcadenoeh.com.br</t>
  </si>
  <si>
    <t>Photos</t>
  </si>
  <si>
    <t>Skype</t>
  </si>
  <si>
    <t>msdn.com.br</t>
  </si>
  <si>
    <t>luiz_carlin@hotmail.com / 103528</t>
  </si>
  <si>
    <t>9q5jycr5</t>
  </si>
  <si>
    <t>y</t>
  </si>
  <si>
    <t>gazzag.com</t>
  </si>
  <si>
    <t>sms.ac</t>
  </si>
  <si>
    <t>carlinluiz</t>
  </si>
  <si>
    <t>syxt.com.br</t>
  </si>
  <si>
    <t>vidaexecutiva.com.br</t>
  </si>
  <si>
    <t>voegol.com.br</t>
  </si>
  <si>
    <t>Travelling</t>
  </si>
  <si>
    <t>blogspot.com</t>
  </si>
  <si>
    <t>videoloucos.com.br</t>
  </si>
  <si>
    <t>Movies</t>
  </si>
  <si>
    <t>bravenet.com</t>
  </si>
  <si>
    <t>cqcounter.com</t>
  </si>
  <si>
    <t>hrappel</t>
  </si>
  <si>
    <t>musicrice.com</t>
  </si>
  <si>
    <t>Music Download</t>
  </si>
  <si>
    <t>viacaogarcia.com.br</t>
  </si>
  <si>
    <t>luiz.carlin@pop.com.br</t>
  </si>
  <si>
    <t>caixa.gov.br</t>
  </si>
  <si>
    <t>tol.pro.br</t>
  </si>
  <si>
    <t>logmein.com</t>
  </si>
  <si>
    <t>carrefour.com.br</t>
  </si>
  <si>
    <t>507860-20-30007845282</t>
  </si>
  <si>
    <t>brasiltelecom.com.br</t>
  </si>
  <si>
    <t>Telephony</t>
  </si>
  <si>
    <t>spon.com.br</t>
  </si>
  <si>
    <t>lcarlin@timbrasil.com.br</t>
  </si>
  <si>
    <t>Casemoding</t>
  </si>
  <si>
    <t>livrariaphylos.com.br</t>
  </si>
  <si>
    <t>2001video.com.br</t>
  </si>
  <si>
    <t>infoemprego.com.br</t>
  </si>
  <si>
    <t>twisteronline.com.br</t>
  </si>
  <si>
    <t>Forums</t>
  </si>
  <si>
    <t>portaladsl.com.br</t>
  </si>
  <si>
    <t>pequenasnotaveis.com.br</t>
  </si>
  <si>
    <t>paypal.com</t>
  </si>
  <si>
    <t>ebay.com</t>
  </si>
  <si>
    <t>lostbrasil.com</t>
  </si>
  <si>
    <t>amomeucarro.com.br</t>
  </si>
  <si>
    <t>lojaabril.com.br</t>
  </si>
  <si>
    <t>google.com/reader</t>
  </si>
  <si>
    <t>News</t>
  </si>
  <si>
    <t>maps.google.com</t>
  </si>
  <si>
    <t>Maps</t>
  </si>
  <si>
    <t>maplink.uol.com.br</t>
  </si>
  <si>
    <t>autoshow.com.br</t>
  </si>
  <si>
    <t>21278502890</t>
  </si>
  <si>
    <t>Auto Selling</t>
  </si>
  <si>
    <t>moto.com.br</t>
  </si>
  <si>
    <t>motoecia.com.br</t>
  </si>
  <si>
    <t>primeiramao.com.br</t>
  </si>
  <si>
    <t>clubedohardware.com.br</t>
  </si>
  <si>
    <t>brpay.com.br</t>
  </si>
  <si>
    <t>semparar.com.br</t>
  </si>
  <si>
    <t>d1KF65Rj</t>
  </si>
  <si>
    <t>playstation2.com.br</t>
  </si>
  <si>
    <t>finalgames.com.br</t>
  </si>
  <si>
    <t>htforum.com</t>
  </si>
  <si>
    <t>blacklabelsociety.com</t>
  </si>
  <si>
    <t>lcarlin@uol.com.br</t>
  </si>
  <si>
    <t>megadeth.com</t>
  </si>
  <si>
    <t>youtube.com</t>
  </si>
  <si>
    <t>lcarlin77</t>
  </si>
  <si>
    <t>Videos</t>
  </si>
  <si>
    <t>sonystile.com.br</t>
  </si>
  <si>
    <t>psp-news.org</t>
  </si>
  <si>
    <t>acesso.ps3forum.com.br (Irmandade ProMeTheus)</t>
  </si>
  <si>
    <t>forumshare.net</t>
  </si>
  <si>
    <t>guitarplayer.com.br</t>
  </si>
  <si>
    <t>haitou.com</t>
  </si>
  <si>
    <t>Animes</t>
  </si>
  <si>
    <t>megaupload.com</t>
  </si>
  <si>
    <t>lcarlin1</t>
  </si>
  <si>
    <t>Pinguinho@123</t>
  </si>
  <si>
    <t>Downlaods</t>
  </si>
  <si>
    <t>rapidshare.com</t>
  </si>
  <si>
    <t>afelixrg / 6868231</t>
  </si>
  <si>
    <t>4vsqjz</t>
  </si>
  <si>
    <t>twitter.com</t>
  </si>
  <si>
    <t>seizu.org</t>
  </si>
  <si>
    <t>Playstation network</t>
  </si>
  <si>
    <t>gargamaiden1 / luiz.carlin@gmail.com</t>
  </si>
  <si>
    <t>Gametrailers.com</t>
  </si>
  <si>
    <t>hoxt.me</t>
  </si>
  <si>
    <t>six6.net</t>
  </si>
  <si>
    <t>xpg.com.br</t>
  </si>
  <si>
    <t>kcres.com.br</t>
  </si>
  <si>
    <t>locaweb.com.br</t>
  </si>
  <si>
    <t>Moto01Atrix</t>
  </si>
  <si>
    <t>Numero</t>
  </si>
  <si>
    <t>Emissao</t>
  </si>
  <si>
    <t>Validade</t>
  </si>
  <si>
    <t>RG</t>
  </si>
  <si>
    <t>27.454.974-8 ssp/SP</t>
  </si>
  <si>
    <t>CPF</t>
  </si>
  <si>
    <t>212.785.028-90</t>
  </si>
  <si>
    <t>PIS</t>
  </si>
  <si>
    <t>127.17912.50.0</t>
  </si>
  <si>
    <t>CNH</t>
  </si>
  <si>
    <t>1028869406</t>
  </si>
  <si>
    <t>Reservista</t>
  </si>
  <si>
    <t>RA 14123203556-0</t>
  </si>
  <si>
    <t>Titulo Eleitor</t>
  </si>
  <si>
    <t>02373638601-16 Zn 307 Sec 0346</t>
  </si>
  <si>
    <t>237363860116</t>
  </si>
  <si>
    <t>CLT / CTPS</t>
  </si>
  <si>
    <t>nº 031175 Serie 00218-sp</t>
  </si>
  <si>
    <t>CREA</t>
  </si>
  <si>
    <t>12.855/D</t>
  </si>
  <si>
    <t>Passaporte</t>
  </si>
  <si>
    <t>FR932650</t>
  </si>
  <si>
    <t>Rg Cris</t>
  </si>
  <si>
    <t>7.262.861-6</t>
  </si>
  <si>
    <t>2.717.198 SSP/DF</t>
  </si>
  <si>
    <t>CPF Cris</t>
  </si>
  <si>
    <t>041.568.599-08</t>
  </si>
  <si>
    <t>0073032550671</t>
  </si>
  <si>
    <t>Habilitação</t>
  </si>
  <si>
    <t>01962042677</t>
  </si>
  <si>
    <t>CG Titan 125</t>
  </si>
  <si>
    <t>RENAVAN</t>
  </si>
  <si>
    <t>82001972-0</t>
  </si>
  <si>
    <t>CHASSIS</t>
  </si>
  <si>
    <t>9C2JC30104R067155</t>
  </si>
  <si>
    <t>MOTOR</t>
  </si>
  <si>
    <t>JC30E14067155</t>
  </si>
  <si>
    <t>PLACA</t>
  </si>
  <si>
    <t>ALL-9328</t>
  </si>
  <si>
    <t>Careca</t>
  </si>
  <si>
    <t>453.870.528-49</t>
  </si>
  <si>
    <t xml:space="preserve">RG </t>
  </si>
  <si>
    <t>1.774.386-SSP/SP</t>
  </si>
  <si>
    <t>195.378.368-60</t>
  </si>
  <si>
    <t>CBX Twister 250</t>
  </si>
  <si>
    <t>9C2MC35007R00973</t>
  </si>
  <si>
    <t>DPW-0854</t>
  </si>
  <si>
    <t>Peugeot 206</t>
  </si>
  <si>
    <t>9362A7LZ96B013136</t>
  </si>
  <si>
    <t>DQH-4141</t>
  </si>
  <si>
    <t>act Digital</t>
  </si>
  <si>
    <t>Claro</t>
  </si>
  <si>
    <t>DXC</t>
  </si>
  <si>
    <t>Global Hitss</t>
  </si>
  <si>
    <t>Global Telecom</t>
  </si>
  <si>
    <t>NTT Data_Everis</t>
  </si>
  <si>
    <t>TIM</t>
  </si>
  <si>
    <t>UniTech</t>
  </si>
  <si>
    <t>Bearing Point</t>
  </si>
  <si>
    <t>Exactus</t>
  </si>
  <si>
    <t>Digitep</t>
  </si>
  <si>
    <t>Total</t>
  </si>
  <si>
    <t>Diff Mês Anterior</t>
  </si>
  <si>
    <t>Diff_Mes_Anterior</t>
  </si>
  <si>
    <t>Projecao</t>
  </si>
  <si>
    <t>Total_Projecao</t>
  </si>
  <si>
    <t>Diff_Projecao</t>
  </si>
  <si>
    <t>Meta</t>
  </si>
  <si>
    <t>12717912500</t>
  </si>
  <si>
    <t>https://acessoseguro.sso.caixa.gov.br/portal/#</t>
  </si>
  <si>
    <t xml:space="preserve">Credito </t>
  </si>
  <si>
    <t>Saldo</t>
  </si>
  <si>
    <t>Real Visa</t>
  </si>
  <si>
    <t>HSBC Visa</t>
  </si>
  <si>
    <t>Carrefour</t>
  </si>
  <si>
    <t>Banco1.Master</t>
  </si>
  <si>
    <t>Banco1.Visa</t>
  </si>
  <si>
    <t>citibank</t>
  </si>
  <si>
    <t>citibank Visa</t>
  </si>
  <si>
    <t>Citibank Master</t>
  </si>
  <si>
    <t>ItaU MasteCard</t>
  </si>
  <si>
    <t>Poupança ItaU</t>
  </si>
  <si>
    <t>Real - 2007</t>
  </si>
  <si>
    <t>Real Visa - 2007</t>
  </si>
  <si>
    <t xml:space="preserve">PortoSeguro VISA </t>
  </si>
  <si>
    <t>NuBank Master</t>
  </si>
  <si>
    <t>Santander Master</t>
  </si>
  <si>
    <t>ItaU Visa</t>
  </si>
  <si>
    <t>Amazon_Master!A1</t>
  </si>
  <si>
    <t>BANCO</t>
  </si>
  <si>
    <t>Código Banco</t>
  </si>
  <si>
    <t>AGENCIA</t>
  </si>
  <si>
    <t>CONTA</t>
  </si>
  <si>
    <t>USUARIO</t>
  </si>
  <si>
    <t>SENHA Saque</t>
  </si>
  <si>
    <t>SENHA ELETRONICA</t>
  </si>
  <si>
    <t>Chave PX</t>
  </si>
  <si>
    <t>Poupança caixa</t>
  </si>
  <si>
    <t>104</t>
  </si>
  <si>
    <t>0333</t>
  </si>
  <si>
    <t>013.2073-0</t>
  </si>
  <si>
    <t>CARLINLUIZ02</t>
  </si>
  <si>
    <t>2802</t>
  </si>
  <si>
    <t>Sucker09</t>
  </si>
  <si>
    <t>513736</t>
  </si>
  <si>
    <t>1288.000766611949 - 7</t>
  </si>
  <si>
    <t>XP Invest</t>
  </si>
  <si>
    <t>102</t>
  </si>
  <si>
    <t>0001</t>
  </si>
  <si>
    <t>260167-6</t>
  </si>
  <si>
    <t>2601676</t>
  </si>
  <si>
    <t>143702</t>
  </si>
  <si>
    <t>14370231</t>
  </si>
  <si>
    <t>luiz.carlin@icloud.com</t>
  </si>
  <si>
    <t>Itau Cristiane</t>
  </si>
  <si>
    <t>341</t>
  </si>
  <si>
    <t>3094</t>
  </si>
  <si>
    <t>26295-7</t>
  </si>
  <si>
    <t>061405</t>
  </si>
  <si>
    <t>112805</t>
  </si>
  <si>
    <t>11982027012</t>
  </si>
  <si>
    <t>Itau - Global HITSS</t>
  </si>
  <si>
    <t>26917-6</t>
  </si>
  <si>
    <t>090506</t>
  </si>
  <si>
    <t>287931</t>
  </si>
  <si>
    <t>luiz.carlin@outlook.com</t>
  </si>
  <si>
    <t>NuConta- NuBank</t>
  </si>
  <si>
    <t>260</t>
  </si>
  <si>
    <t>8710072-4</t>
  </si>
  <si>
    <t>MercadoPago</t>
  </si>
  <si>
    <t>323</t>
  </si>
  <si>
    <t>7389697285-9</t>
  </si>
  <si>
    <t>luiz.carlin@proton.me</t>
  </si>
  <si>
    <t>Itau ITI</t>
  </si>
  <si>
    <t>0500</t>
  </si>
  <si>
    <t>00078708-5</t>
  </si>
  <si>
    <t>luiz.carlin@me.com</t>
  </si>
  <si>
    <t>7139</t>
  </si>
  <si>
    <t>0022923-6</t>
  </si>
  <si>
    <t>250879</t>
  </si>
  <si>
    <t>033</t>
  </si>
  <si>
    <t>4354</t>
  </si>
  <si>
    <t>02010899-5</t>
  </si>
  <si>
    <t>1930</t>
  </si>
  <si>
    <t>287931 / JFH</t>
  </si>
  <si>
    <t>luiz.carlin@protonmail.com</t>
  </si>
  <si>
    <t>BTG PACTUAL</t>
  </si>
  <si>
    <t>208</t>
  </si>
  <si>
    <t>0020</t>
  </si>
  <si>
    <t>008026425</t>
  </si>
  <si>
    <t>luiz.carlin@aol.com</t>
  </si>
  <si>
    <t xml:space="preserve">Caixa Economica </t>
  </si>
  <si>
    <t>4058</t>
  </si>
  <si>
    <t>001.22967-4</t>
  </si>
  <si>
    <t>521862</t>
  </si>
  <si>
    <t>PP Santander</t>
  </si>
  <si>
    <t>0642</t>
  </si>
  <si>
    <t>60.011323.6</t>
  </si>
  <si>
    <t>3294</t>
  </si>
  <si>
    <t>02.000297.2</t>
  </si>
  <si>
    <t>1793</t>
  </si>
  <si>
    <t>Neon Conta</t>
  </si>
  <si>
    <t>655</t>
  </si>
  <si>
    <t>0655</t>
  </si>
  <si>
    <t>2741278-4</t>
  </si>
  <si>
    <t>Itau Personnalité</t>
  </si>
  <si>
    <t>9688</t>
  </si>
  <si>
    <t>15563-0</t>
  </si>
  <si>
    <t>206210</t>
  </si>
  <si>
    <t>616274</t>
  </si>
  <si>
    <t>01.000969.1</t>
  </si>
  <si>
    <t>Roubo!01</t>
  </si>
  <si>
    <t>0767</t>
  </si>
  <si>
    <t>01.040528.2</t>
  </si>
  <si>
    <t>8770</t>
  </si>
  <si>
    <t>Itau</t>
  </si>
  <si>
    <t>15563-1</t>
  </si>
  <si>
    <t>161230</t>
  </si>
  <si>
    <t>0294</t>
  </si>
  <si>
    <t>6029069-7</t>
  </si>
  <si>
    <t>LCARLIN</t>
  </si>
  <si>
    <t>0614</t>
  </si>
  <si>
    <t>Banco1.Net</t>
  </si>
  <si>
    <t>'0110</t>
  </si>
  <si>
    <t>100893-4</t>
  </si>
  <si>
    <t>7007</t>
  </si>
  <si>
    <t>105877-3</t>
  </si>
  <si>
    <t>Citibank</t>
  </si>
  <si>
    <t>008</t>
  </si>
  <si>
    <t>96923156</t>
  </si>
  <si>
    <t>jaspion3</t>
  </si>
  <si>
    <t>0364</t>
  </si>
  <si>
    <t>09004-34</t>
  </si>
  <si>
    <t>iTAU</t>
  </si>
  <si>
    <t>2628</t>
  </si>
  <si>
    <t>04045-9</t>
  </si>
  <si>
    <t xml:space="preserve">Banco do brasil </t>
  </si>
  <si>
    <t>3279-4</t>
  </si>
  <si>
    <t>22684-0</t>
  </si>
  <si>
    <t>e3fcb9a8-8710-4e36-ae4c-cfb568e24216</t>
  </si>
  <si>
    <t>EasyInvest</t>
  </si>
  <si>
    <t>140</t>
  </si>
  <si>
    <t>7843113-0</t>
  </si>
  <si>
    <t>Email/CPF</t>
  </si>
  <si>
    <t>P!r0c4#93</t>
  </si>
  <si>
    <t xml:space="preserve"> 463b6b</t>
  </si>
  <si>
    <t>Lançamento</t>
  </si>
  <si>
    <t>Diif Mes Ant</t>
  </si>
  <si>
    <t>Dt Pagamento</t>
  </si>
  <si>
    <t>Valor Pago</t>
  </si>
  <si>
    <t>% Paga</t>
  </si>
  <si>
    <t>Desconto</t>
  </si>
  <si>
    <t>Pago</t>
  </si>
  <si>
    <t>Total de Parcelas contratadas</t>
  </si>
  <si>
    <t>D.V.</t>
  </si>
  <si>
    <t>Vencimento</t>
  </si>
  <si>
    <t>Corte</t>
  </si>
  <si>
    <t>Usado</t>
  </si>
  <si>
    <t>Amazon Master</t>
  </si>
  <si>
    <t>5373.6300.7124.3028</t>
  </si>
  <si>
    <t>796</t>
  </si>
  <si>
    <t>09/28</t>
  </si>
  <si>
    <t>2167</t>
  </si>
  <si>
    <t>01</t>
  </si>
  <si>
    <t>5373.6300.7124.3010</t>
  </si>
  <si>
    <t>187</t>
  </si>
  <si>
    <t>Cancelado</t>
  </si>
  <si>
    <t xml:space="preserve">Amex </t>
  </si>
  <si>
    <t>3764.727880.51008</t>
  </si>
  <si>
    <t>1612</t>
  </si>
  <si>
    <t>15</t>
  </si>
  <si>
    <t>5547.7500.2325.9010</t>
  </si>
  <si>
    <t>5390.2856.1083.0048</t>
  </si>
  <si>
    <t>4002.2549.6566.8851</t>
  </si>
  <si>
    <t>CrediCard Visa Cristiane</t>
  </si>
  <si>
    <t>4032.1760.0269.6526</t>
  </si>
  <si>
    <t>764</t>
  </si>
  <si>
    <t>3244</t>
  </si>
  <si>
    <t>CrediCard Visa Luiz</t>
  </si>
  <si>
    <t>4032.1760.0272.2249</t>
  </si>
  <si>
    <t>598</t>
  </si>
  <si>
    <t>1486</t>
  </si>
  <si>
    <t>CrediCard Zero Master</t>
  </si>
  <si>
    <t>​​5358.5002.2231.2080</t>
  </si>
  <si>
    <t>172</t>
  </si>
  <si>
    <t>01/26</t>
  </si>
  <si>
    <t>5302</t>
  </si>
  <si>
    <t xml:space="preserve">24 / 25 </t>
  </si>
  <si>
    <t>Credicard Zero Master - VIRTUAL</t>
  </si>
  <si>
    <t>5358.5006.7213.9447</t>
  </si>
  <si>
    <t>276</t>
  </si>
  <si>
    <t>05/30</t>
  </si>
  <si>
    <t>Digio Visa</t>
  </si>
  <si>
    <t>4589.1974.8199.3231</t>
  </si>
  <si>
    <t>441</t>
  </si>
  <si>
    <t>11/21</t>
  </si>
  <si>
    <t>9238</t>
  </si>
  <si>
    <t>25</t>
  </si>
  <si>
    <t>HSBC VISA</t>
  </si>
  <si>
    <t>4487.3309.1437.6129</t>
  </si>
  <si>
    <t>Itau Master Cristiane</t>
  </si>
  <si>
    <t>5448.5987.3959.3418</t>
  </si>
  <si>
    <t>02</t>
  </si>
  <si>
    <t>22 / 23</t>
  </si>
  <si>
    <t>Itau Master Luiz</t>
  </si>
  <si>
    <t>5448.5987.6327.6997</t>
  </si>
  <si>
    <t>Itau Mastercard</t>
  </si>
  <si>
    <t>5256.6318.0910.4435</t>
  </si>
  <si>
    <t>214</t>
  </si>
  <si>
    <t>11/27</t>
  </si>
  <si>
    <t>21 / 22</t>
  </si>
  <si>
    <t>Itau Personalitee Master Multiplo</t>
  </si>
  <si>
    <t>5491.6702.9454.0674</t>
  </si>
  <si>
    <t>250</t>
  </si>
  <si>
    <t>Itau Visa Cristiane</t>
  </si>
  <si>
    <t>4032.4792.8392.2326</t>
  </si>
  <si>
    <t>05</t>
  </si>
  <si>
    <t>25 / 26</t>
  </si>
  <si>
    <t>Itau Visa Luiz</t>
  </si>
  <si>
    <t>4032.4792.8689.5537</t>
  </si>
  <si>
    <t>ItauCard 2.0 Cristiane</t>
  </si>
  <si>
    <t>4593.1303.2233.6058</t>
  </si>
  <si>
    <t>845</t>
  </si>
  <si>
    <t>7233</t>
  </si>
  <si>
    <t>4593.1303.3758.6986</t>
  </si>
  <si>
    <t>692</t>
  </si>
  <si>
    <t>ItauCard 2.0 Luiz</t>
  </si>
  <si>
    <t>4593.1303.3904.1717</t>
  </si>
  <si>
    <t>685</t>
  </si>
  <si>
    <t>8081</t>
  </si>
  <si>
    <t>ItauUniClass Visa Fisico</t>
  </si>
  <si>
    <t>4831.5004.3490.2033</t>
  </si>
  <si>
    <t>786</t>
  </si>
  <si>
    <t>02/30</t>
  </si>
  <si>
    <t>1605</t>
  </si>
  <si>
    <t>ItauUniClass Visa Virtual</t>
  </si>
  <si>
    <t>4831.5005.0882.2810</t>
  </si>
  <si>
    <t>044</t>
  </si>
  <si>
    <t>MagaLu Visa Platiniu</t>
  </si>
  <si>
    <t>4985.5604.8873.1849</t>
  </si>
  <si>
    <t>351</t>
  </si>
  <si>
    <t>03/30</t>
  </si>
  <si>
    <t>7306</t>
  </si>
  <si>
    <t xml:space="preserve">21 / 22 </t>
  </si>
  <si>
    <t xml:space="preserve">MercadoPago DEBITO </t>
  </si>
  <si>
    <t>4174.0101.9005.0147</t>
  </si>
  <si>
    <t>168</t>
  </si>
  <si>
    <t>06/27</t>
  </si>
  <si>
    <t>MercadoPago Visa</t>
  </si>
  <si>
    <t>4078.4301.7048.9478</t>
  </si>
  <si>
    <t>131</t>
  </si>
  <si>
    <t>09/29</t>
  </si>
  <si>
    <t>04</t>
  </si>
  <si>
    <t>Neon</t>
  </si>
  <si>
    <t>4040.2500.5201.0258</t>
  </si>
  <si>
    <t>206</t>
  </si>
  <si>
    <t>09/24</t>
  </si>
  <si>
    <t>NU Bank - VIRTUAL</t>
  </si>
  <si>
    <t>5162.9276.8422.4691</t>
  </si>
  <si>
    <t>640</t>
  </si>
  <si>
    <t>NU Bank Master</t>
  </si>
  <si>
    <t>5162.2083.5489.3358</t>
  </si>
  <si>
    <t>419</t>
  </si>
  <si>
    <t>Nu Bank Master Patinum</t>
  </si>
  <si>
    <t>5162.9256.3930.5284</t>
  </si>
  <si>
    <t>427</t>
  </si>
  <si>
    <t>01/28</t>
  </si>
  <si>
    <t>Nu Bank Master Patinum Fisico</t>
  </si>
  <si>
    <t>5162.9230.0993.8032</t>
  </si>
  <si>
    <t>193</t>
  </si>
  <si>
    <t>04/29</t>
  </si>
  <si>
    <t xml:space="preserve">Nu Bank Master Patinum Virtual </t>
  </si>
  <si>
    <t>Petrobras BB</t>
  </si>
  <si>
    <t>4444.5650.8250.1360</t>
  </si>
  <si>
    <t>355</t>
  </si>
  <si>
    <t>801765</t>
  </si>
  <si>
    <t>Porto Seguro Masrer Luiz</t>
  </si>
  <si>
    <t>5363.3701.0795.4211</t>
  </si>
  <si>
    <t>361</t>
  </si>
  <si>
    <t>3791</t>
  </si>
  <si>
    <t>03</t>
  </si>
  <si>
    <t>23</t>
  </si>
  <si>
    <t>Porto Seguro Master Cristiane</t>
  </si>
  <si>
    <t>5365.3701.0795.4112</t>
  </si>
  <si>
    <t>988</t>
  </si>
  <si>
    <t>4620</t>
  </si>
  <si>
    <t>Porto Seguro Visa</t>
  </si>
  <si>
    <t>4121.7701.4314.7118</t>
  </si>
  <si>
    <t>23 / 24</t>
  </si>
  <si>
    <t>Porto Seguro Visa Cristiane</t>
  </si>
  <si>
    <t>4152.7405.1420.3115</t>
  </si>
  <si>
    <t>460</t>
  </si>
  <si>
    <t>1403</t>
  </si>
  <si>
    <t>Porto Seguro Visa Luiz</t>
  </si>
  <si>
    <t>4152.7405.1420.3214</t>
  </si>
  <si>
    <t>070</t>
  </si>
  <si>
    <t>2012</t>
  </si>
  <si>
    <t>Real Mastercard Platinum</t>
  </si>
  <si>
    <t>5316.5400.0216.2017</t>
  </si>
  <si>
    <t>Real Mastercard Platinum Cris</t>
  </si>
  <si>
    <t>5316.5400.0216.2025</t>
  </si>
  <si>
    <t>Real Visa 2007</t>
  </si>
  <si>
    <t>4916.7466.7217.4045</t>
  </si>
  <si>
    <t>Real Visa Cris</t>
  </si>
  <si>
    <t>4916.7466.7217.4060</t>
  </si>
  <si>
    <t>805</t>
  </si>
  <si>
    <t xml:space="preserve">4916.7426.6613.0036 </t>
  </si>
  <si>
    <t>Santander Master Cristiane</t>
  </si>
  <si>
    <t>5155.9003.8853.1850</t>
  </si>
  <si>
    <t>770</t>
  </si>
  <si>
    <t>07/23</t>
  </si>
  <si>
    <t>1816</t>
  </si>
  <si>
    <t xml:space="preserve">Santander Master Luiz </t>
  </si>
  <si>
    <t>5155.9012.8097.9726</t>
  </si>
  <si>
    <t>332</t>
  </si>
  <si>
    <t>Santander Visa</t>
  </si>
  <si>
    <t>4916.7424.4138.8164</t>
  </si>
  <si>
    <t xml:space="preserve">Santander Visa </t>
  </si>
  <si>
    <t>4916.7432.4482.4975</t>
  </si>
  <si>
    <t>915</t>
  </si>
  <si>
    <t>Submarino</t>
  </si>
  <si>
    <t>507860.18.00014.950320</t>
  </si>
  <si>
    <t>15 / 16</t>
  </si>
  <si>
    <t>Trigg Visa</t>
  </si>
  <si>
    <t>4722.8000.1104.2548</t>
  </si>
  <si>
    <t>674</t>
  </si>
  <si>
    <t>09/22</t>
  </si>
  <si>
    <t>Unibanco Visa</t>
  </si>
  <si>
    <t>4100.0105.4654.5013</t>
  </si>
  <si>
    <t>XP Investimentos Debito</t>
  </si>
  <si>
    <t>4984.7300.4463.3323</t>
  </si>
  <si>
    <t>612</t>
  </si>
  <si>
    <t>10/27</t>
  </si>
  <si>
    <t>XP Investimentos VISA Virtual</t>
  </si>
  <si>
    <t>4998.1800.3019.7459</t>
  </si>
  <si>
    <t>229</t>
  </si>
  <si>
    <t xml:space="preserve">22 / 23 </t>
  </si>
  <si>
    <t>ItauUniClass Visa Adicional</t>
  </si>
  <si>
    <t>4179.3700.0339,2242</t>
  </si>
  <si>
    <t>09/33</t>
  </si>
  <si>
    <t>Referencia</t>
  </si>
  <si>
    <t>Amazon Masters</t>
  </si>
  <si>
    <t>ItauUniclasV</t>
  </si>
  <si>
    <t>Xp Visa</t>
  </si>
  <si>
    <t>MercadoPagoVisa</t>
  </si>
  <si>
    <t>MagaLuVisaPlat</t>
  </si>
  <si>
    <t>CrediCard Master</t>
  </si>
  <si>
    <t>DUMMY</t>
  </si>
  <si>
    <t>Diferença</t>
  </si>
  <si>
    <t>Abril / 2021</t>
  </si>
  <si>
    <t>Maio / 2021</t>
  </si>
  <si>
    <t>Junho/2021</t>
  </si>
  <si>
    <t>Julho/2021</t>
  </si>
  <si>
    <t>Agosto/2021</t>
  </si>
  <si>
    <t>Setembro/2021</t>
  </si>
  <si>
    <t>Outubro/2021</t>
  </si>
  <si>
    <t>Novembro / 2021</t>
  </si>
  <si>
    <t>Dezembro / 2021</t>
  </si>
  <si>
    <t>Janeiro / 2022</t>
  </si>
  <si>
    <t>Fevereiro / 2022</t>
  </si>
  <si>
    <t>Março / 2022</t>
  </si>
  <si>
    <t>Abril / 2022</t>
  </si>
  <si>
    <t>Maio / 2022</t>
  </si>
  <si>
    <t>Junho / 2022</t>
  </si>
  <si>
    <t>Julho / 2022</t>
  </si>
  <si>
    <t>Agosto / 2022</t>
  </si>
  <si>
    <t>Setembro / 2022</t>
  </si>
  <si>
    <t>Outubro / 2022</t>
  </si>
  <si>
    <t>Novembro / 2022</t>
  </si>
  <si>
    <t>Dezembro / 2022</t>
  </si>
  <si>
    <t>Janeiro / 2023</t>
  </si>
  <si>
    <t>Fevereiro / 2023</t>
  </si>
  <si>
    <t>Março / 2023</t>
  </si>
  <si>
    <t>Abril / 2023</t>
  </si>
  <si>
    <t>Maio / 2023</t>
  </si>
  <si>
    <t>Junho / 2023</t>
  </si>
  <si>
    <t>Julho / 2023</t>
  </si>
  <si>
    <t>Agosto / 2023</t>
  </si>
  <si>
    <t>Setembro / 2023</t>
  </si>
  <si>
    <t>Outubro / 2023</t>
  </si>
  <si>
    <t>Novembro / 2023</t>
  </si>
  <si>
    <t>Dezembro / 2023</t>
  </si>
  <si>
    <t>Janeiro / 2024</t>
  </si>
  <si>
    <t>Fevereiro / 2024</t>
  </si>
  <si>
    <t>Março / 2024</t>
  </si>
  <si>
    <t>Abril / 2024</t>
  </si>
  <si>
    <t>Maio / 2024</t>
  </si>
  <si>
    <t>Junho / 2024</t>
  </si>
  <si>
    <t>Julho / 2024</t>
  </si>
  <si>
    <t>Agosto / 2024</t>
  </si>
  <si>
    <t>Setembro / 2024</t>
  </si>
  <si>
    <t>Outubro / 2024</t>
  </si>
  <si>
    <t>Novembro / 2024</t>
  </si>
  <si>
    <t>Dezembro / 2024</t>
  </si>
  <si>
    <t>Janeiro / 2025</t>
  </si>
  <si>
    <t>Fevereiro / 2025</t>
  </si>
  <si>
    <t>Março / 2025</t>
  </si>
  <si>
    <t>Abril / 2025</t>
  </si>
  <si>
    <t>Maio / 2025</t>
  </si>
  <si>
    <t>Junho / 2025</t>
  </si>
  <si>
    <t>Julho / 2025</t>
  </si>
  <si>
    <t>Agosto / 2025</t>
  </si>
  <si>
    <t>Setembro / 2025</t>
  </si>
  <si>
    <t>Outubro / 2025</t>
  </si>
  <si>
    <t>Novembro / 2025</t>
  </si>
  <si>
    <t>Dezembro / 2025</t>
  </si>
  <si>
    <t>Janeiro / 2026</t>
  </si>
  <si>
    <t xml:space="preserve">Fevereiro / 2026 </t>
  </si>
  <si>
    <t>Março / 2026</t>
  </si>
  <si>
    <t>Abril / 2026</t>
  </si>
  <si>
    <t>Maio / 2026</t>
  </si>
  <si>
    <t>Junho / 2026</t>
  </si>
  <si>
    <t>Julho / 2026</t>
  </si>
  <si>
    <t>Agosto /2026</t>
  </si>
  <si>
    <t>Setembro / 2026</t>
  </si>
  <si>
    <t xml:space="preserve">Outubro / 2026 </t>
  </si>
  <si>
    <t>Novembro / 2026</t>
  </si>
  <si>
    <t xml:space="preserve">Dezembro / 2026 </t>
  </si>
  <si>
    <t xml:space="preserve">Diminuiu </t>
  </si>
  <si>
    <t xml:space="preserve">Aumentou </t>
  </si>
  <si>
    <t>Limite/Mês desejado</t>
  </si>
  <si>
    <t>Código</t>
  </si>
  <si>
    <t>FIX001</t>
  </si>
  <si>
    <t>Telefonia</t>
  </si>
  <si>
    <t>FIX002</t>
  </si>
  <si>
    <t>FIX003</t>
  </si>
  <si>
    <t>Taxas Bancarias</t>
  </si>
  <si>
    <t>FIX004</t>
  </si>
  <si>
    <t>Supermercado</t>
  </si>
  <si>
    <t>FIX005</t>
  </si>
  <si>
    <t>Energia Eletrica</t>
  </si>
  <si>
    <t>FIX006</t>
  </si>
  <si>
    <t>Apto. Proprio 01</t>
  </si>
  <si>
    <t>FIX007</t>
  </si>
  <si>
    <t>Aluguel</t>
  </si>
  <si>
    <t>FIX008</t>
  </si>
  <si>
    <t>Condominio</t>
  </si>
  <si>
    <t>FIX009</t>
  </si>
  <si>
    <t>Distr. Água Municipal</t>
  </si>
  <si>
    <t>FIX010</t>
  </si>
  <si>
    <t>Coleta Municipal Lixo</t>
  </si>
  <si>
    <t>FIX011</t>
  </si>
  <si>
    <t>IPTU</t>
  </si>
  <si>
    <t>FIX012</t>
  </si>
  <si>
    <t>Moradia</t>
  </si>
  <si>
    <t>FIX013</t>
  </si>
  <si>
    <t>Gás de cozinha</t>
  </si>
  <si>
    <t>FIX014</t>
  </si>
  <si>
    <t>Cartões de Crédito</t>
  </si>
  <si>
    <t>FIX015</t>
  </si>
  <si>
    <t>Cristiane</t>
  </si>
  <si>
    <t>FIX016</t>
  </si>
  <si>
    <t>GATO</t>
  </si>
  <si>
    <t>FIX017</t>
  </si>
  <si>
    <t>Alimentacao</t>
  </si>
  <si>
    <t>FIX018</t>
  </si>
  <si>
    <t>Restaurantes</t>
  </si>
  <si>
    <t>FIX019</t>
  </si>
  <si>
    <t>Saques</t>
  </si>
  <si>
    <t>FIX020</t>
  </si>
  <si>
    <t>Transf. Poupanca</t>
  </si>
  <si>
    <t>FIX021</t>
  </si>
  <si>
    <t>Combustivel</t>
  </si>
  <si>
    <t>FIX022</t>
  </si>
  <si>
    <t>P208 GRIFFE 1.6 AUT BUSINESS</t>
  </si>
  <si>
    <t>FIX024</t>
  </si>
  <si>
    <t>Estacionamentos</t>
  </si>
  <si>
    <t>FIX025</t>
  </si>
  <si>
    <t>CD_DVD_BD</t>
  </si>
  <si>
    <t>FIX026</t>
  </si>
  <si>
    <t>LIVROS</t>
  </si>
  <si>
    <t>FIX027</t>
  </si>
  <si>
    <t>Jornais e revistas</t>
  </si>
  <si>
    <t>FIX028</t>
  </si>
  <si>
    <t>ComicBook</t>
  </si>
  <si>
    <t>FIX029</t>
  </si>
  <si>
    <t>Mangá</t>
  </si>
  <si>
    <t>FIX030</t>
  </si>
  <si>
    <t>Cinema</t>
  </si>
  <si>
    <t>FIX031</t>
  </si>
  <si>
    <t>Action Figures</t>
  </si>
  <si>
    <t>FIX032</t>
  </si>
  <si>
    <t>Clinicas e tratamentos</t>
  </si>
  <si>
    <t>FIX033</t>
  </si>
  <si>
    <t>Pedágios</t>
  </si>
  <si>
    <t>FIX034</t>
  </si>
  <si>
    <t>Seguros</t>
  </si>
  <si>
    <t>FIX035</t>
  </si>
  <si>
    <t>Tv à Cabo</t>
  </si>
  <si>
    <t>FIX036</t>
  </si>
  <si>
    <t>Playstation 2</t>
  </si>
  <si>
    <t>FIX037</t>
  </si>
  <si>
    <t>Playstation 3</t>
  </si>
  <si>
    <t>FIX038</t>
  </si>
  <si>
    <t>Playstation 4</t>
  </si>
  <si>
    <t>FIX039</t>
  </si>
  <si>
    <t>Playstation 5</t>
  </si>
  <si>
    <t>FIX040</t>
  </si>
  <si>
    <t>PS Vita Slim 2k</t>
  </si>
  <si>
    <t>FIX041</t>
  </si>
  <si>
    <t>PSP Slim 3k</t>
  </si>
  <si>
    <t>FIX042</t>
  </si>
  <si>
    <t>PSP FAT 1K</t>
  </si>
  <si>
    <t>FIX043</t>
  </si>
  <si>
    <t>Imposto de Renda</t>
  </si>
  <si>
    <t>FIX044</t>
  </si>
  <si>
    <t>Academia</t>
  </si>
  <si>
    <t>FIX045</t>
  </si>
  <si>
    <t>FIX046</t>
  </si>
  <si>
    <t>Maçonaria</t>
  </si>
  <si>
    <t>EXT001</t>
  </si>
  <si>
    <t>Baralhos e Oráculos</t>
  </si>
  <si>
    <t>EXT002</t>
  </si>
  <si>
    <t>Mergulho</t>
  </si>
  <si>
    <t>EXT003</t>
  </si>
  <si>
    <t>Guitarra</t>
  </si>
  <si>
    <t>EXT004</t>
  </si>
  <si>
    <t>Marlboro</t>
  </si>
  <si>
    <t>EXT005</t>
  </si>
  <si>
    <t>Multas</t>
  </si>
  <si>
    <t>EXT006</t>
  </si>
  <si>
    <t>Auxilio Idoso</t>
  </si>
  <si>
    <t>EXT007</t>
  </si>
  <si>
    <t>Metro</t>
  </si>
  <si>
    <t>EXT008</t>
  </si>
  <si>
    <t>Onibus Urbano</t>
  </si>
  <si>
    <t>EXT009</t>
  </si>
  <si>
    <t>Farmácia</t>
  </si>
  <si>
    <t>EXT010</t>
  </si>
  <si>
    <t>Informática</t>
  </si>
  <si>
    <t>EXT011</t>
  </si>
  <si>
    <t>Fotografias</t>
  </si>
  <si>
    <t>EXT012</t>
  </si>
  <si>
    <t>Documentos</t>
  </si>
  <si>
    <t>EXT013</t>
  </si>
  <si>
    <t>Correio</t>
  </si>
  <si>
    <t>EXT014</t>
  </si>
  <si>
    <t>Xerox</t>
  </si>
  <si>
    <t>EXT015</t>
  </si>
  <si>
    <t>Papelaria</t>
  </si>
  <si>
    <t>EXT016</t>
  </si>
  <si>
    <t>EXT017</t>
  </si>
  <si>
    <t>Viagens</t>
  </si>
  <si>
    <t>EXT018</t>
  </si>
  <si>
    <t>Taxi</t>
  </si>
  <si>
    <t>EXT019</t>
  </si>
  <si>
    <t>Faxineira</t>
  </si>
  <si>
    <t>EXT020</t>
  </si>
  <si>
    <t>Lavanderia</t>
  </si>
  <si>
    <t>EXT021</t>
  </si>
  <si>
    <t>Bombas</t>
  </si>
  <si>
    <t>EXT022</t>
  </si>
  <si>
    <t>Consertos</t>
  </si>
  <si>
    <t>EXT023</t>
  </si>
  <si>
    <t>Vestuário</t>
  </si>
  <si>
    <t>EXT024</t>
  </si>
  <si>
    <t>Itens Pessoais</t>
  </si>
  <si>
    <t>EXT025</t>
  </si>
  <si>
    <t>Presentes</t>
  </si>
  <si>
    <t>EXT026</t>
  </si>
  <si>
    <t>Cursos</t>
  </si>
  <si>
    <t>EXT027</t>
  </si>
  <si>
    <t>Noite</t>
  </si>
  <si>
    <t>EXT028</t>
  </si>
  <si>
    <t>Shows</t>
  </si>
  <si>
    <t>EXT029</t>
  </si>
  <si>
    <t>Motel</t>
  </si>
  <si>
    <t>EXT030</t>
  </si>
  <si>
    <t>Esporádico</t>
  </si>
  <si>
    <t>EXT031</t>
  </si>
  <si>
    <t>Diferenças</t>
  </si>
  <si>
    <t>EXT032</t>
  </si>
  <si>
    <t>Financiamento Banco</t>
  </si>
  <si>
    <t>EXT033</t>
  </si>
  <si>
    <t>Mudanças</t>
  </si>
  <si>
    <t>EXT034</t>
  </si>
  <si>
    <t>Ferramentas gerais</t>
  </si>
  <si>
    <t>EXT035</t>
  </si>
  <si>
    <t>EXT036</t>
  </si>
  <si>
    <t>Artigos Moto</t>
  </si>
  <si>
    <t>EXT037</t>
  </si>
  <si>
    <t>Cbx Twister 250</t>
  </si>
  <si>
    <t>EXT038</t>
  </si>
  <si>
    <t>Peugeout 206</t>
  </si>
  <si>
    <t>EXT039</t>
  </si>
  <si>
    <t>Peugeout 207</t>
  </si>
  <si>
    <t>EXT040</t>
  </si>
  <si>
    <t>P207-1.6-XS</t>
  </si>
  <si>
    <t>EXT041</t>
  </si>
  <si>
    <t>Ford Ecosport XLT</t>
  </si>
  <si>
    <t>EXT042</t>
  </si>
  <si>
    <t>Custos Processuais</t>
  </si>
  <si>
    <t>EXT043</t>
  </si>
  <si>
    <t>Locadora</t>
  </si>
  <si>
    <t>PSP Slim 2000</t>
  </si>
  <si>
    <t>MUL001</t>
  </si>
  <si>
    <t>Lanc.Multiplos</t>
  </si>
  <si>
    <t>ENT001</t>
  </si>
  <si>
    <t>Salarios</t>
  </si>
  <si>
    <t>ENT002</t>
  </si>
  <si>
    <t>Resg.Poup.</t>
  </si>
  <si>
    <t>ENT003</t>
  </si>
  <si>
    <t>Deposito Terc.</t>
  </si>
  <si>
    <t>ENT004</t>
  </si>
  <si>
    <t>Restituições</t>
  </si>
  <si>
    <t>ENT005</t>
  </si>
  <si>
    <t>Venda de algo</t>
  </si>
  <si>
    <t>ENT006</t>
  </si>
  <si>
    <t>Emprestimos</t>
  </si>
  <si>
    <t>ENT007</t>
  </si>
  <si>
    <t>Troco de Vr</t>
  </si>
  <si>
    <t>ENT008</t>
  </si>
  <si>
    <t>ESTORNO</t>
  </si>
  <si>
    <t>ENT009</t>
  </si>
  <si>
    <t>Juros_Corr. Poupança</t>
  </si>
  <si>
    <t>TRA001</t>
  </si>
  <si>
    <t>Transf. Bco</t>
  </si>
  <si>
    <t>Setembro/2023</t>
  </si>
  <si>
    <t xml:space="preserve">Teste In </t>
  </si>
  <si>
    <t>Teste Out</t>
  </si>
  <si>
    <t>/DEV/NULL</t>
  </si>
  <si>
    <t>Amazon.com.br: Smart data Mini Liquidificador Portatil Mixer Portatil Shake Coqueteleira Eletrica Sem Fio Squeeze Recarregavel 400ml (verde azul rosa Roxo - enviado</t>
  </si>
  <si>
    <t>Frete: Amazon.com.br: Smart data Mini Liquidificador Portatil Mixer Portatil Shake Coqueteleira Eletrica Sem Fio Squeeze Recarregavel 400ml (verde azul rosa Roxo - enviado</t>
  </si>
  <si>
    <t>Amazon.com.br: Controle Super Nintendo Snes USB Joystick Retrô com fio Video Game Pc Computador Notebook Mac Raspberry</t>
  </si>
  <si>
    <t>Amazon.com.br: Relógio despertador digital, Relógio LED para quarto, Relógio eletrônico de mesa com visor de temperatura, brilho ajustável,</t>
  </si>
  <si>
    <t>Amazon.com.br: Cabo Hdmi 2.1 áudio e vídeo Ultra Hd Speed 2m Hs8k20 Elg</t>
  </si>
  <si>
    <t>Pagamento de Fatura</t>
  </si>
  <si>
    <t>Amazon.com.br: Bomba Dispensador Elétrico Para Galão De Água Recarregável USB Premium Praticidade e Luxo na hidratação diária Cores Sortidas LCS Eletrônicos</t>
  </si>
  <si>
    <t xml:space="preserve">iCloud+ 50GB Mensal </t>
  </si>
  <si>
    <t>MagazineLuiza.com.br: Controle Sony DualSense PS5, Sem Fio, Midnight Black</t>
  </si>
  <si>
    <t>O Carrefour mini de SCS</t>
  </si>
  <si>
    <t>o oXXo</t>
  </si>
  <si>
    <t>Gazzozza no Pejô GGM5</t>
  </si>
  <si>
    <t xml:space="preserve">Eso-Meprazol e Donperidona </t>
  </si>
  <si>
    <t>Jeronimos no Mapping</t>
  </si>
  <si>
    <t>Kalunga Shoppig Mapping: Pilhas Alcalinas AA</t>
  </si>
  <si>
    <t xml:space="preserve">No mercadinho do predio </t>
  </si>
  <si>
    <t>Café no posto do patins em guarulhos</t>
  </si>
  <si>
    <t xml:space="preserve">o Raggazzoo </t>
  </si>
  <si>
    <t>Remédios de dores de cabeças</t>
  </si>
  <si>
    <t>iFood: Didios</t>
  </si>
  <si>
    <t>Trabalho: Café de manha na padoca</t>
  </si>
  <si>
    <t>Trabalho: O Gallo´s</t>
  </si>
  <si>
    <t>Trabalho: Caféz</t>
  </si>
  <si>
    <t xml:space="preserve">UBER pra ir pra estação </t>
  </si>
  <si>
    <t>Paccocca santa monicas</t>
  </si>
  <si>
    <t>Assinatura Mensal Netflix (2 Telas FullHD)</t>
  </si>
  <si>
    <t xml:space="preserve">Assinatura Mensal do Spotfy Familiar (5 Acessos) </t>
  </si>
  <si>
    <t>O Primus</t>
  </si>
  <si>
    <t>Nova Bandeija de Coco, areia de coco e saches</t>
  </si>
  <si>
    <t>Maçonaria: Tres Pontos</t>
  </si>
  <si>
    <t xml:space="preserve">Trabalho: A la carte do mineiro </t>
  </si>
  <si>
    <t>Trabalho: chocolates</t>
  </si>
  <si>
    <t>Assinatura Mensal HBO Max</t>
  </si>
  <si>
    <t>Hometheater: AliExpress.com: LEDS RGBs</t>
  </si>
  <si>
    <t xml:space="preserve">Cortar Cabelos </t>
  </si>
  <si>
    <t>O Embaixador no centro</t>
  </si>
  <si>
    <t>Ração, Areia e saches</t>
  </si>
  <si>
    <t>A Coop da Industrial</t>
  </si>
  <si>
    <t>iFood: The Burgues Galleries</t>
  </si>
  <si>
    <t>Trabalho: Creditos TOPs</t>
  </si>
  <si>
    <t>Aliexpress.com: Bateria para Sony PS3 Playstation 3, LIS1442, 4-180-962-01, controlador de navegação, CECH-ZCS1E, CECH-ZCS1U</t>
  </si>
  <si>
    <t>Frete: Bateria para Sony PS3 Playstation 3, LIS1442, 4-180-962-01, controlador de navegação, CECH-ZCS1E, CECH-ZCS1U</t>
  </si>
  <si>
    <t>Cremes intimos</t>
  </si>
  <si>
    <t xml:space="preserve">Termometros </t>
  </si>
  <si>
    <t>chocolates</t>
  </si>
  <si>
    <t>Na laser ocular</t>
  </si>
  <si>
    <t>iFood: Thew Burgues Galleries</t>
  </si>
  <si>
    <t>Maçonaria: Presentes de finais de anos</t>
  </si>
  <si>
    <t xml:space="preserve">Cafés no centro </t>
  </si>
  <si>
    <t>Gazozza no Pejo GGM5</t>
  </si>
  <si>
    <t>Assinatura Anual Amazon Prime</t>
  </si>
  <si>
    <t xml:space="preserve">Almoço no Shopping são Pailo </t>
  </si>
  <si>
    <t xml:space="preserve">Estacionamento em Sp </t>
  </si>
  <si>
    <t>iFood: Didios:</t>
  </si>
  <si>
    <t>iFood: The Burguês Galleries</t>
  </si>
  <si>
    <t>Hometheater: AliExpress.com: LEDS RGBs (silver errado)</t>
  </si>
  <si>
    <t>Areia de coco de gatos</t>
  </si>
  <si>
    <t>o rancho 53</t>
  </si>
  <si>
    <t>a camponesa da castelo</t>
  </si>
  <si>
    <t>tiquinhos sorveter's piraju</t>
  </si>
  <si>
    <t>O Maristela gaarals</t>
  </si>
  <si>
    <t>A quinta do marqiues do KM57</t>
  </si>
  <si>
    <t>Go Coffee do centro</t>
  </si>
  <si>
    <t>iFood: Netão´s</t>
  </si>
  <si>
    <t>iFood: continental pizzas</t>
  </si>
  <si>
    <t>iFood: The Burgês Galleries</t>
  </si>
  <si>
    <t>iFood: Didios Pizzerias</t>
  </si>
  <si>
    <t>The Johnny roquets</t>
  </si>
  <si>
    <t>cafés n oShopping</t>
  </si>
  <si>
    <t>MercadoLivre.com.br: Carregador de BATERIAS do PSP Slim 3k</t>
  </si>
  <si>
    <t>Frete do carregador</t>
  </si>
  <si>
    <t>Esio 40Mg, Odera 7.000, Sinvastatina, losartana, HidroCloritiazida</t>
  </si>
  <si>
    <t>Trabalho: UBER Para a Henry dunant</t>
  </si>
  <si>
    <t xml:space="preserve">o oXXo </t>
  </si>
  <si>
    <t>A coop de SCS</t>
  </si>
  <si>
    <t>MercadoLivre.com.br: Kit Parafusos Tampas Ps2 7xxxx</t>
  </si>
  <si>
    <t>Kit Parafusos Tampas Ps2 7xxxx</t>
  </si>
  <si>
    <t>MercadoLivre.com.br: Memory Card Opl + Ulauncher + Fmcb Atualizado Para Ps2</t>
  </si>
  <si>
    <t>/dev/null</t>
  </si>
  <si>
    <t>MercadoLivre.com.br: Suporte Base Apoio Mesa Playstation 2 Slim O Mais Firme</t>
  </si>
  <si>
    <t>Ingressos RetroCon 2024</t>
  </si>
  <si>
    <t>Maçonaria: 5 a sec</t>
  </si>
  <si>
    <t xml:space="preserve">cortar os cabelos </t>
  </si>
  <si>
    <t>Trabalho: UBER pra Henri Dunant</t>
  </si>
  <si>
    <t>Software: MobileApp: Ios: Passe pokémon Go</t>
  </si>
  <si>
    <t>Traballho: 01 passe metro</t>
  </si>
  <si>
    <t>MArço / 2024</t>
  </si>
  <si>
    <t>Amazon.com.br: Bruce Dickinson Mandrake Projetc</t>
  </si>
  <si>
    <t>Trabalho: 20 passes TOPES</t>
  </si>
  <si>
    <t>Amazon.com.br:Combo Teclado e Mouse sem fio Logitech MK220 com Design Compacto, Conexão USB, Pilhas Inclusas e Layout ABNT2</t>
  </si>
  <si>
    <t>Amazon.com.br:JBL, Fone de Ouvido in Ear, C50HI - Preto</t>
  </si>
  <si>
    <t>Amazon.com.br: Case Gamer Ssd Hdd Hd Usb 3.0 Xbox S X Ps4 Pro Notebook T32</t>
  </si>
  <si>
    <t>Amazon.com.br: Sandisk Ultra Shift Usb 3.0 Flash Drive 128Gb</t>
  </si>
  <si>
    <t>Trabalho: Almoço</t>
  </si>
  <si>
    <t>Trabalho: Café</t>
  </si>
  <si>
    <t>Cortar cabelos</t>
  </si>
  <si>
    <t>Paccoccas santa monicas</t>
  </si>
  <si>
    <t>MercadoLIvre.com.br: Cabo Hd Externo Usb-c Tipo C 3.1 Para Micro B 5gbps - Ugreen Cor Preto</t>
  </si>
  <si>
    <t>Maçonaria: Pedra Bruta</t>
  </si>
  <si>
    <t>Trabalho: Praça divinus</t>
  </si>
  <si>
    <t>Trabalho: Almoços</t>
  </si>
  <si>
    <t>04 passes metros</t>
  </si>
  <si>
    <t>Amazon.com.br: Caixa Organizadora Linho, 25x25x15 cm, Preto, Pequena, Protea</t>
  </si>
  <si>
    <t>Amazon.com.br: JBL, Headset Gamer, Quantum 100 - Preto</t>
  </si>
  <si>
    <t xml:space="preserve">Casa de carnes </t>
  </si>
  <si>
    <t xml:space="preserve">The B Burges no centro </t>
  </si>
  <si>
    <t>Carry4 mkt</t>
  </si>
  <si>
    <t>Gift card de R$ 60.00 no Rei dos COINs</t>
  </si>
  <si>
    <t>20 creditos tops</t>
  </si>
  <si>
    <t>Pastelarias bascelonas</t>
  </si>
  <si>
    <t>The Jhonny Rockts</t>
  </si>
  <si>
    <t>A holandeza cafes</t>
  </si>
  <si>
    <t>óculos Novos (01/06)</t>
  </si>
  <si>
    <t>Minuto Pao de Açucar Vitória Regia´s</t>
  </si>
  <si>
    <t>óculos Novos (02/06)</t>
  </si>
  <si>
    <t xml:space="preserve">UBER pra casa do Hopsítal </t>
  </si>
  <si>
    <t>iFood: pizeria olimpica</t>
  </si>
  <si>
    <t>Game: MercadoLivre.com.br: Red Dead redemption II</t>
  </si>
  <si>
    <t>Ifood: Razzazzo</t>
  </si>
  <si>
    <t>iFood: Burges Galleries</t>
  </si>
  <si>
    <t>ifood: pizzeria Olimpica</t>
  </si>
  <si>
    <t>MercadoLIvre.com.br: Câmera de segurança Xiaomi Mi Home Security Camera 360° 1080 p com resolução de 2MP visão nocturna incluída branca</t>
  </si>
  <si>
    <t>Amazon.com.br: 02 Carregador USB de Parede Bivolt e Universal Branco - WC1AE ELG</t>
  </si>
  <si>
    <t>Amazon.com.br: Dom Line Ar Comprimido Super Dom 300Ml 190G</t>
  </si>
  <si>
    <t>O minuto pao de Açucar</t>
  </si>
  <si>
    <t>iFood: Pizzeria Olimpica</t>
  </si>
  <si>
    <t>óculos Novos (03/06)</t>
  </si>
  <si>
    <t>ifood: habibes</t>
  </si>
  <si>
    <t>MercadoLivre.com.br: Tampa Para Psp Série 2000 3000 Black Piano Bateria Traseira!</t>
  </si>
  <si>
    <t>Frete: Tampa Para Psp Série 2000 3000 Black Piano Bateria Traseira!</t>
  </si>
  <si>
    <t xml:space="preserve">02 tiques metro App </t>
  </si>
  <si>
    <t>10 tiques metro app</t>
  </si>
  <si>
    <t>Gazoza no pejo GGM5</t>
  </si>
  <si>
    <t xml:space="preserve">Amazon.com.br: Amazon fireStick </t>
  </si>
  <si>
    <t>óculos Novos (04/06)</t>
  </si>
  <si>
    <t xml:space="preserve">20 tiques metro trop </t>
  </si>
  <si>
    <t>Açougue da Marina</t>
  </si>
  <si>
    <t>o Okynawa HortiFruty</t>
  </si>
  <si>
    <t>Assinatura NordVPN - 24 Meses + 4Meses</t>
  </si>
  <si>
    <t>Trabalho: dedô de môcá</t>
  </si>
  <si>
    <t>Padaria Santa monica</t>
  </si>
  <si>
    <t>óculos Novos (05/06)</t>
  </si>
  <si>
    <t>o minuto pao de açucar</t>
  </si>
  <si>
    <t xml:space="preserve">01 passe top avulso </t>
  </si>
  <si>
    <t xml:space="preserve">Sodie do cenro </t>
  </si>
  <si>
    <t xml:space="preserve">Estacionamento no centro </t>
  </si>
  <si>
    <t xml:space="preserve">Amazon.com.br: Pilas AAA </t>
  </si>
  <si>
    <t>20 Creditos TOPs</t>
  </si>
  <si>
    <t>Trabalho: Mineiro</t>
  </si>
  <si>
    <t xml:space="preserve">Trabalho: o churrasco amarelo </t>
  </si>
  <si>
    <t>Trabalho: cafés e BomsBOmms</t>
  </si>
  <si>
    <t>Pedra Bruta</t>
  </si>
  <si>
    <t xml:space="preserve">Trabalho: Shoop taime </t>
  </si>
  <si>
    <t xml:space="preserve">Paes no mercadinho do predio </t>
  </si>
  <si>
    <t>Trabalho: Café de manha</t>
  </si>
  <si>
    <t>Trabalho: Piavi</t>
  </si>
  <si>
    <t xml:space="preserve">Trabalho: Cafés </t>
  </si>
  <si>
    <t>Areia de coco de gato</t>
  </si>
  <si>
    <t>LexaPro 10mg</t>
  </si>
  <si>
    <t xml:space="preserve">O Oxxo </t>
  </si>
  <si>
    <t>Amazon.com.br: 2x4xPilas AAA</t>
  </si>
  <si>
    <t>Amazon.com.br: Sabrent USB 3.0 para SSD/SATA I/II/IIIAdaptador de disco rígido de 2,5 polegadas (EC-SSHD), preto</t>
  </si>
  <si>
    <t>Creditos TOPs</t>
  </si>
  <si>
    <t>EsoMeprasol, Bisopnid, anti alergico, losartana, sinvastatina</t>
  </si>
  <si>
    <t xml:space="preserve">Frete medicamentos </t>
  </si>
  <si>
    <t>passagens avulsa</t>
  </si>
  <si>
    <t>Cortar os cabelos</t>
  </si>
  <si>
    <t>Ração diversas</t>
  </si>
  <si>
    <t>Game: eBay.com : Final Fantasy XII PlayStation 2 PS2 US Version Complete W/Manual Reg Card CIB</t>
  </si>
  <si>
    <t>Frete Final Fantasy XII PlayStation 2 PS2 US Version Complete W/Manual Reg Card CIB</t>
  </si>
  <si>
    <t>04 creditos TOPs</t>
  </si>
  <si>
    <t>Trabalho: Uber pra ir pra estação Jundiai</t>
  </si>
  <si>
    <t>ifood : pizzas</t>
  </si>
  <si>
    <t xml:space="preserve">IOF COMPRAS INTERNACIONAIS </t>
  </si>
  <si>
    <t xml:space="preserve">iFood: chineis </t>
  </si>
  <si>
    <t>óculos Novos (06/06)</t>
  </si>
  <si>
    <t>Amazon.com.br: Cabo Dual Shock Micro USB V8 Preto - 1,2m - Gshield</t>
  </si>
  <si>
    <t>Trabalho: Uber pra ir pr CCR</t>
  </si>
  <si>
    <t xml:space="preserve">Trabalho: Uber pra ir pr CCR </t>
  </si>
  <si>
    <t>iFood: Brabus Burtus</t>
  </si>
  <si>
    <t>iFood: pizzaria Artico</t>
  </si>
  <si>
    <t>iFood: assinatura de descontos</t>
  </si>
  <si>
    <t>Game: Ebay.com: Bloodrayne Playstation 2 Game, Case, Manual (Complete)</t>
  </si>
  <si>
    <t>Frete: Bloodrayne Playstation 2 Game, Case, Manual (Complete)</t>
  </si>
  <si>
    <t>Game: Ebay.com: Primal - Sony PlayStation 2 PS2 Game &amp; Manual **FAST POSTAGE**</t>
  </si>
  <si>
    <t>Frete: Primal - Sony PlayStation 2 PS2 Game &amp; Manual **FAST POSTAGE**</t>
  </si>
  <si>
    <t>IfOOD: Bolo da Tarde</t>
  </si>
  <si>
    <t>IfOOD: Olimpica</t>
  </si>
  <si>
    <t>Kindle Paperwhite (16 GB) - O Kindle mais rápido já lançado, com nova tela antirreflexo de 7” (01/06)</t>
  </si>
  <si>
    <t>Capa de tecido para Novo Kindle Paperwhite, leve, dobrável e resistente a água - Cor Preta (01/06)</t>
  </si>
  <si>
    <t>Amazon.com.br: Ebook Kindle: Para ensinar e aprender xadrez</t>
  </si>
  <si>
    <t>Catho online</t>
  </si>
  <si>
    <t xml:space="preserve">A coop da industrial </t>
  </si>
  <si>
    <t>Amazon.com.br: Ebook Kindle: Iniciação ao Hermetismo</t>
  </si>
  <si>
    <t>Amazon.com.br: Ebook Kindle: A Chave para  a Verdadeira Cabala: O Cabalista como um oberano no Microcosmo e Macrocosmo</t>
  </si>
  <si>
    <t>o Carrefour xPress da alegre</t>
  </si>
  <si>
    <t>Serras para cano pvc</t>
  </si>
  <si>
    <t xml:space="preserve">Mochila da Oakley </t>
  </si>
  <si>
    <t>Ingresso feira Gamer Canal3</t>
  </si>
  <si>
    <t>Game: amazon.com.br: FFXII - Zodiac Age</t>
  </si>
  <si>
    <t>Game: PSN: Dragon's Crown PRO</t>
  </si>
  <si>
    <t>IOF: Game: PSN: Dragon's Crown PRO</t>
  </si>
  <si>
    <t>iFood Club</t>
  </si>
  <si>
    <t xml:space="preserve">YouTube premium </t>
  </si>
  <si>
    <t>Amazon.com.br: Ebook Kindle: A Coleção Completa Dos Livros De Enoque (Anotado): Todas As Três Bíblias Enoquianas (O Etíope, Os Segredos Eslavos E O Hebraico) eBook</t>
  </si>
  <si>
    <t>Amazon.com.br: Chamex - Papel Sulfite, A4, 75g, 500 folhas</t>
  </si>
  <si>
    <t>Amazon.com.br: Pilha recarregável AAA 1000mAh Elgin com 4 unidades Palito</t>
  </si>
  <si>
    <t>Amazon.com.br: 2x Suporte de Mesa para Celular Ajustável Articulado Tablet Smartphone (Preto)</t>
  </si>
  <si>
    <t>Frete: Amazon.con.br: Suporte de Mesa para Celular Ajustável Articulado Tablet Smartphone (Preto)</t>
  </si>
  <si>
    <t>20 passes top</t>
  </si>
  <si>
    <t>Assinatura Mensal do Spotfy Premium Duo</t>
  </si>
  <si>
    <t>Águas na expoCanal3</t>
  </si>
  <si>
    <t>Cerveja na ExpoCanal3</t>
  </si>
  <si>
    <t>Pastel na ExpoCanal3</t>
  </si>
  <si>
    <t>Sorvere no ExpoCanal3</t>
  </si>
  <si>
    <t>Lexapro 10MG</t>
  </si>
  <si>
    <t xml:space="preserve">Assintatura LInkedin premium </t>
  </si>
  <si>
    <t>Losartana 50mg, Hidrocloritiazida 25mg, Sinvastatina 20mg , donPeridona 10mg</t>
  </si>
  <si>
    <t>Trabalho: Almoço lojão do Bras</t>
  </si>
  <si>
    <t>MobileApp: Ios: Game: Temple Run</t>
  </si>
  <si>
    <t>MobileApp: Ios: iCollect Everything</t>
  </si>
  <si>
    <t>Symbicort  12/400</t>
  </si>
  <si>
    <t>Esomeprazol Magnésico 40mg 28 Comprimidos Medley</t>
  </si>
  <si>
    <t>Frte da farmácia</t>
  </si>
  <si>
    <t>Capa de tecido para Novo Kindle Paperwhite, leve, dobrável e resistente a água - Cor Preta (02/06)</t>
  </si>
  <si>
    <t>Kindle Paperwhite (16 GB) - O Kindle mais rápido já lançado, com nova tela antirreflexo de 7” (02/06)</t>
  </si>
  <si>
    <t>Lojas Mel do Shopping</t>
  </si>
  <si>
    <t>stacionamento no plaza</t>
  </si>
  <si>
    <t>A coop da industrial</t>
  </si>
  <si>
    <t>O Rei dos coins PSN 100 CONTOS</t>
  </si>
  <si>
    <t>Game: DLC da Stellar Blade x NieR Automata</t>
  </si>
  <si>
    <t>IOF: Game: DLC da Stellar Blade x NieR Automata</t>
  </si>
  <si>
    <t>Uber pra ir da Pejô pra casa</t>
  </si>
  <si>
    <t>Assinatura Apple TV+</t>
  </si>
  <si>
    <t>Amazon.com.br: Capa Case Kindle 10ª Geração Paperwhite 4 Pq94wif + Película DM ACESSÓRIOS (PRETO)</t>
  </si>
  <si>
    <t>Uber pra ir pra casa</t>
  </si>
  <si>
    <t>eBay.com: NEW tilt FX 3D motion control sensor for PSP playstation console</t>
  </si>
  <si>
    <t>EUR 13.99</t>
  </si>
  <si>
    <t>Frete: NEW tilt FX 3D motion control sensor for PSP playstation console</t>
  </si>
  <si>
    <t>EUR 6.00</t>
  </si>
  <si>
    <t xml:space="preserve">Uber pra ir pegar a pejozera </t>
  </si>
  <si>
    <t>IOF:eBay.com: NEW tilt FX 3D motion control sensor for PSP playstation console</t>
  </si>
  <si>
    <t>Dezembro/ 2024</t>
  </si>
  <si>
    <t>20 creditos TOPs</t>
  </si>
  <si>
    <t>eBook: O Poder da Mente</t>
  </si>
  <si>
    <t>AliExpress.com: Cartão de memória Bitfunx PSxMemCard Gen2 para armazenar economiza jogos PS1 e PS2 para consoles de jogos PlayStation1 PS one Playstation2</t>
  </si>
  <si>
    <t>Frete: AliExpress.com: Cartão de memória Bitfunx PSxMemCard Gen2 para armazenar economiza jogos PS1 e PS2 para consoles de jogos PlayStation1 PS one Playstation2</t>
  </si>
  <si>
    <t>imposto: AliExpress.com: Cartão de memória Bitfunx PSxMemCard Gen2 para armazenar economiza jogos PS1 e PS2 para consoles de jogos PlayStation1 PS one Playstation2</t>
  </si>
  <si>
    <t>Credito Zona Azul SCS</t>
  </si>
  <si>
    <t>Kindle Paperwhite (16 GB) - O Kindle mais rápido já lançado, com nova tela antirreflexo de 7” (03/06)</t>
  </si>
  <si>
    <t>Capa de tecido para Novo Kindle Paperwhite, leve, dobrável e resistente a água - Cor Preta (03/06)</t>
  </si>
  <si>
    <t>Gazzozza na EchoSport</t>
  </si>
  <si>
    <t xml:space="preserve">Creditos de estacionamento </t>
  </si>
  <si>
    <t>Flores diversas</t>
  </si>
  <si>
    <t>ifood: antonella</t>
  </si>
  <si>
    <t>a SODIÊ DO CENTRO</t>
  </si>
  <si>
    <t>A coop da industril champane rose PG</t>
  </si>
  <si>
    <t>Gazozza na Pekpzera GGM5</t>
  </si>
  <si>
    <t>Pousada Quinta do Olivardo - chaé Alvarinhp</t>
  </si>
  <si>
    <t>Jantar na 5ºdoOlivedo</t>
  </si>
  <si>
    <t>Chocolotes diversos  em são roquers</t>
  </si>
  <si>
    <t>Estila São roue  em são roquers</t>
  </si>
  <si>
    <t>Vinhos e bebidas dersas em são roquers</t>
  </si>
  <si>
    <t>Pousada Quinta do Olivardo</t>
  </si>
  <si>
    <t>Bebidas no Morro do Gavião</t>
  </si>
  <si>
    <t>Creditos estacionamento SCS</t>
  </si>
  <si>
    <t>Ubber pra ir pra casa</t>
  </si>
  <si>
    <t>Kindle Paperwhite (16 GB) - O Kindle mais rápido já lançado, com nova tela antirreflexo de 7” (04/06)</t>
  </si>
  <si>
    <t>Capa de tecido para Novo Kindle Paperwhite, leve, dobrável e resistente a água - Cor Preta (04/06)</t>
  </si>
  <si>
    <t>Amazon.com.br: Copo Liquidificador Arno Optimix Plus Faciclic Mm016</t>
  </si>
  <si>
    <t>Assinatura anual linkedIn carrer premium</t>
  </si>
  <si>
    <t>Appp de I pra fotos</t>
  </si>
  <si>
    <t>Uber pra ir do terreiro pra casa</t>
  </si>
  <si>
    <t>Amazon.com.br: Spawn Origens 01 e 03</t>
  </si>
  <si>
    <t>Amazon.com.br: Spawn Origens 02 03 e 05</t>
  </si>
  <si>
    <t>Kindle Paperwhite (16 GB) - O Kindle mais rápido já lançado, com nova tela antirreflexo de 7” (05/06)</t>
  </si>
  <si>
    <t>Capa de tecido para Novo Kindle Paperwhite, leve, dobrável e resistente a água - Cor Preta (05/06)</t>
  </si>
  <si>
    <t>No mercadinho do pedio</t>
  </si>
  <si>
    <t>Areia de coco de gato + Saches</t>
  </si>
  <si>
    <t xml:space="preserve">Refil Dr. Jones </t>
  </si>
  <si>
    <t>Gazoza a Pejozera GGm5</t>
  </si>
  <si>
    <t>McSorvetes</t>
  </si>
  <si>
    <t xml:space="preserve">Estacionamento no banco </t>
  </si>
  <si>
    <t>Almoço n apaccocca´s</t>
  </si>
  <si>
    <t>No mercadinho do predio</t>
  </si>
  <si>
    <t xml:space="preserve">MercadoLIvre.com.br: Blueretro </t>
  </si>
  <si>
    <t>Uber</t>
  </si>
  <si>
    <t>no mercadinho do predio</t>
  </si>
  <si>
    <t>Estátua Ada Wong Rifle: Resident Evil 4 Biohazard RE: 4 Escala 1/6 (01/03)</t>
  </si>
  <si>
    <t>Gazzoza na Pejozera GGM5</t>
  </si>
  <si>
    <t xml:space="preserve">Velas e alfazema na ZP7 </t>
  </si>
  <si>
    <t>MercadoLivre.com.br : Par Apoio Pino Pezinho Reposição Teclado Logitech K230-mk220</t>
  </si>
  <si>
    <t>frete: Par Apoio Pino Pezinho Reposição Teclado Logitech K230-mk220</t>
  </si>
  <si>
    <t>Primus MarMiTas´s</t>
  </si>
  <si>
    <t>Removedor ahua rosas</t>
  </si>
  <si>
    <t>Pingo d'olro Gold</t>
  </si>
  <si>
    <t xml:space="preserve">Suco no mercadinho do predio </t>
  </si>
  <si>
    <t>Maçonaria: Terno e camisa</t>
  </si>
  <si>
    <t xml:space="preserve">Bebidas no mercadinho do predio </t>
  </si>
  <si>
    <t>Sacos de lixp</t>
  </si>
  <si>
    <t>GAME: WatchDog 2</t>
  </si>
  <si>
    <t>Pasteis de Barcelona</t>
  </si>
  <si>
    <t>O minuto pão de açucar</t>
  </si>
  <si>
    <t>A vasoura quebrada do Atrium</t>
  </si>
  <si>
    <t>Receptor de Guitar Hero</t>
  </si>
  <si>
    <t>Café cacau Show Atrium</t>
  </si>
  <si>
    <t>7x capacitores 220uF 10v 105º / Sugador de Solda / Esponja vegetal/ Lupa Bancada</t>
  </si>
  <si>
    <t>Frete: moduloeletronica.com.br</t>
  </si>
  <si>
    <t>MercadoLivre.com.br: Pasta Para Soldar Cobix Pote 110g Plastico Solda 110V/220V</t>
  </si>
  <si>
    <t>Frete: Pasta Para Soldar Cobix Pote 110g Plastico Solda 110V/220V</t>
  </si>
  <si>
    <t>Gazozza na Pejozera GGM5</t>
  </si>
  <si>
    <t xml:space="preserve">Ração e areia </t>
  </si>
  <si>
    <t>Alenia 12/400 , cetoprofeno, Ibuprofeno</t>
  </si>
  <si>
    <t>Alinhamento em Piraju</t>
  </si>
  <si>
    <t>Estacionamento na dentista</t>
  </si>
  <si>
    <t>Kindle Paperwhite (16 GB) - O Kindle mais rápido já lançado, com nova tela antirreflexo de 7” (06/06)</t>
  </si>
  <si>
    <t>Capa de tecido para Novo Kindle Paperwhite, leve, dobrável e resistente a água - Cor Preta (06/06)</t>
  </si>
  <si>
    <t xml:space="preserve">No centro </t>
  </si>
  <si>
    <t>Estátua Ada Wong Rifle: Resident Evil 4 Biohazard RE: 4 Escala 1/6 (02/03)</t>
  </si>
  <si>
    <t>MercadoLIvre.com.br; Guitarra Para Ps2 Ps3 Nintendo Wii Cor Madeira Sem Fio Nova (01/03</t>
  </si>
  <si>
    <t>Amazon.com.br: Pilas recarregaveis Elgin AAA</t>
  </si>
  <si>
    <t>Uber pra ir de SCS pra casa</t>
  </si>
  <si>
    <t>Amazon.com.br: Geonav Cabo USB-C para USB-C, 1.2 metros, nylon trançado, resiste até 10 mil dobras, carregamento rápido (até 100 W) e tranferência de dados (480 Mbps), ESC06BK, preto</t>
  </si>
  <si>
    <t>Amazon.com.br: SSD Crucial BX500 500GB SATA lll 2,5" Dell XPS 14-L421x</t>
  </si>
  <si>
    <t>Frete: 'Amazon.com.br: SSD Crucial BX500 500GB SATA lll 2,5"</t>
  </si>
  <si>
    <t>Amazon.con.br: Mouse Gamer 3200 DPI de Alta Precisão Com 7 Botões Programáveis e Cabo Reforçado Sensor Gamer Super Veloz Para Jogos Trabalho Estudos, LED RGB Ergonômico Com Tecnologia Non Slip Dell XPS 14-L421x</t>
  </si>
  <si>
    <t>Uber pra ir procentro de umbanda</t>
  </si>
  <si>
    <t>Uber pra voltar pra casa</t>
  </si>
  <si>
    <t>09 Patchs para Mochila Invictus</t>
  </si>
  <si>
    <t>Frete : 09 Patchs para Mochila Invictus</t>
  </si>
  <si>
    <t>IfOOD: raggazzo</t>
  </si>
  <si>
    <t>iFood: Pizzeria do Artctio</t>
  </si>
  <si>
    <t>Tenis Asics e Nike (01/06)</t>
  </si>
  <si>
    <t>Estátua Ada Wong Rifle: Resident Evil 4 Biohazard RE: 4 Escala 1/6 (03/03)</t>
  </si>
  <si>
    <t>MercadoLIvre.com.br; Guitarra Para Ps2 Ps3 Nintendo Wii Cor Madeira Sem Fio Nova (02/03</t>
  </si>
  <si>
    <t>iFood: pizzRIA Olimpica</t>
  </si>
  <si>
    <t>Produtos de cabelo s</t>
  </si>
  <si>
    <t>Amazon.com.br: Filtro De Linha Régua Extensão 10 Tomadas Espaçadas Cabo 3 metros Preto Metálico Circuit Breaker Upsai</t>
  </si>
  <si>
    <t>Uber Tietê -&gt; Marques marica</t>
  </si>
  <si>
    <t>iFood: Sacomã Point comer</t>
  </si>
  <si>
    <t>Maçonaria: Uber para IR para a GLESP</t>
  </si>
  <si>
    <t>Maçonaria: uber pra voltar pro sacoman</t>
  </si>
  <si>
    <t>Amazon.com.br: Relógio despertador digital, Relógio LED para quarto</t>
  </si>
  <si>
    <t>Frete: Relógio despertador digital, Relógio LED para quarto</t>
  </si>
  <si>
    <t>Tenis Asics e Nike (02/06)</t>
  </si>
  <si>
    <t>Shoee.com.br: Depurador De Ar Slim Suggar 60cm Preto 127V - DPS161PT</t>
  </si>
  <si>
    <t>iFood: Almoçodo Duilio</t>
  </si>
  <si>
    <t>Adaptação fogão ElectroLux</t>
  </si>
  <si>
    <t>iFood: Habubes</t>
  </si>
  <si>
    <t>Almoços</t>
  </si>
  <si>
    <t>Maçonaria: 3 pontos</t>
  </si>
  <si>
    <t>Restaurante d SU</t>
  </si>
  <si>
    <t>padoca rainha do cacomã</t>
  </si>
  <si>
    <t>O Sonda de SCS</t>
  </si>
  <si>
    <t>MercadoLIvre.com.br; Guitarra Para Ps2 Ps3 Nintendo Wii Cor Madeira Sem Fio Nova (03/03)</t>
  </si>
  <si>
    <t>Trabalho: Flor de Iris</t>
  </si>
  <si>
    <t>Amazon.com.br: 
Lâmina Trapezoidal para Estilete 19,0x61,0 mm Vonder</t>
  </si>
  <si>
    <t>Amazon.com,br: Lanterna de Bolso 9 leds Elgin 3 Pilhas Alcalinas AAA Comum Inclusas Preta</t>
  </si>
  <si>
    <t>Amazon.com.br: Chinelo Havaianas Top Max Comfort COR:Preto;TAMANHO:43/44</t>
  </si>
  <si>
    <t>Elseve serum liso dos</t>
  </si>
  <si>
    <t>Amazon.com.br: Spawn: Origens Vol. 06</t>
  </si>
  <si>
    <t>Amazon.com.br: Spawn: Origens Vol. 07</t>
  </si>
  <si>
    <t>Amazon.com.br: Spawn: Origens Vol. 08</t>
  </si>
  <si>
    <t>Amazon.com.br: Spawn: Origens Vol. 09</t>
  </si>
  <si>
    <t>Assinatura mensal /turboscribe.ai/</t>
  </si>
  <si>
    <t>$ 20,00 usd</t>
  </si>
  <si>
    <t>IOF ref. /turboscribe.ai/</t>
  </si>
  <si>
    <t>Ifood: Ração</t>
  </si>
  <si>
    <t>Frete ração</t>
  </si>
  <si>
    <t>ifood</t>
  </si>
  <si>
    <t>Buteco aruanda bars</t>
  </si>
  <si>
    <t>Peça teatral CROWLEY - O MAGO DO NOVO AEON</t>
  </si>
  <si>
    <t>Maçonaria: Uber pra IR pra Glesp</t>
  </si>
  <si>
    <t>Maçonaria: Uber pra voltar da Glesp</t>
  </si>
  <si>
    <t>Shopee.com.br: kit 10 un Conector Compacto Elétrico Emenda E Derivação 4mm e 6mm</t>
  </si>
  <si>
    <t>Amazon.com.br: Command 3M Organizador de Fios Transparente Pequeno 20 unidades</t>
  </si>
  <si>
    <t>Drogasil: Losartana, Hidrocloritiazida, Ezomprasol</t>
  </si>
  <si>
    <t>Drogasil</t>
  </si>
  <si>
    <t>Biscoitos na rainha do sacomãn</t>
  </si>
  <si>
    <t>Tenis Asics e Nike (03/06)</t>
  </si>
  <si>
    <t>O Bom Preço do sacomãn</t>
  </si>
  <si>
    <t>A leroy Merlyn da Jafete</t>
  </si>
  <si>
    <t>Cafes diversos</t>
  </si>
  <si>
    <t>A rainha do Sacomãn</t>
  </si>
  <si>
    <t>Amazon.com.br: Borracha Pé Moveis, Cadeiras Resistente Retangular Piso e Porta, Anti deslizante Proteção Autoadesivo, 4x4cmo Autoadesivo Emborrachado, "Shop Brasil"</t>
  </si>
  <si>
    <t>Keyato: puxadores de metais de moveis (01/02)</t>
  </si>
  <si>
    <t>Gazoozza na Pejozera GGM5</t>
  </si>
  <si>
    <t>Alenia 12/400 mcg 60</t>
  </si>
  <si>
    <t>OLLLas</t>
  </si>
  <si>
    <t>Frete fARMÁCIAS</t>
  </si>
  <si>
    <t>Exclusiva Sexxy Shops</t>
  </si>
  <si>
    <t>Frete Exclusivas</t>
  </si>
  <si>
    <t>Rotisseria santa pasta</t>
  </si>
  <si>
    <t>julho / 2025</t>
  </si>
  <si>
    <t>Tenis Asics e Nike (04/06)</t>
  </si>
  <si>
    <t>Keyato: puxadores de metais de moveis (02/02)</t>
  </si>
  <si>
    <t>Tenis Asics e Nike (05/06)</t>
  </si>
  <si>
    <t>Amazon.com.br: Batman/spawn</t>
  </si>
  <si>
    <t>Amazon.com.br: Batman/spawn: a Coleção Clássica</t>
  </si>
  <si>
    <t>Amazon.com.br: Kingston NV3 2TB M.2 2280 NVMe SSD | PCIe 4.0 Gen 4x4 | Até 6000 MB/s | SNV3S/2000G (01/10)</t>
  </si>
  <si>
    <t>Amazon.com.br: Dissipador de Calor para SSD M2 2280 em Alumínio, Com Thermal Pad - PROLONGA A VIDA ÚTIL DO SEU SSD - Desktop, PS5, PC - EASY IDEA NETWORK (Cinza)</t>
  </si>
  <si>
    <t>Trabalho: A Rainha do Sacomãn</t>
  </si>
  <si>
    <t>Areia decocoo e ração</t>
  </si>
  <si>
    <t>Mercadinhios</t>
  </si>
  <si>
    <t>Mercadinho do sacomã</t>
  </si>
  <si>
    <t>A rainha do Sacomã</t>
  </si>
  <si>
    <t>Almoço na Berrini</t>
  </si>
  <si>
    <t>Padoca da bverrini</t>
  </si>
  <si>
    <t>Cantina do Magrão</t>
  </si>
  <si>
    <t>Padoca  A rainha do Sacomãn</t>
  </si>
  <si>
    <t>2x domPeridona 20mg 60cps</t>
  </si>
  <si>
    <t xml:space="preserve">areia de coco de gato </t>
  </si>
  <si>
    <t>O Bom preço Sacomçãn</t>
  </si>
  <si>
    <t>Maçonaria: Uber pra ir pra glesp</t>
  </si>
  <si>
    <t>Maçonaria: Uber pra voltar da glesp</t>
  </si>
  <si>
    <t>O requinte da silva bueno</t>
  </si>
  <si>
    <t>mcSorvetes</t>
  </si>
  <si>
    <t xml:space="preserve">Bolos da Tarde </t>
  </si>
  <si>
    <t xml:space="preserve">Estacionamento </t>
  </si>
  <si>
    <t>Alenia 12/400 + Bepantol Spray</t>
  </si>
  <si>
    <t>lANCHE NA FEIRA DO CANAL 3</t>
  </si>
  <si>
    <t>Game: Final Fantasy VII</t>
  </si>
  <si>
    <t>lanche na feira do canal 3</t>
  </si>
  <si>
    <t>Ubber para ir pra casa</t>
  </si>
  <si>
    <t>Cobasi: Ração, areia, sache e grma (01/03)</t>
  </si>
  <si>
    <t>Game: Castlevania Lament of Innocence (01/03)</t>
  </si>
  <si>
    <t>Gazzozza na Pejozera GGM 5</t>
  </si>
  <si>
    <t>Maçonaria: Pin de Acacia</t>
  </si>
  <si>
    <t>Maçonaria: grampo de gravata</t>
  </si>
  <si>
    <t>Tenis Asics e Nike (06/06)</t>
  </si>
  <si>
    <t>Amazon.com.br: Kingston NV3 2TB M.2 2280 NVMe SSD | PCIe 4.0 Gen 4x4 | Até 6000 MB/s | SNV3S/2000G (02/10)</t>
  </si>
  <si>
    <t>Panini.com.br: Spawn Vol 1</t>
  </si>
  <si>
    <t>Panini.com.br: Spawn Vol 2</t>
  </si>
  <si>
    <t>Panini.com.br: Spawn Vol 3</t>
  </si>
  <si>
    <t>Frete Panini</t>
  </si>
  <si>
    <t>Cobasi: Ração, areia, sache e grma (02/03)</t>
  </si>
  <si>
    <t>Game: Castlevania Lament of Innocence (02/03)</t>
  </si>
  <si>
    <t>Amazon.com.br: Spawn Vol 04</t>
  </si>
  <si>
    <t>Amazon.com.br: Spawn Vol 05</t>
  </si>
  <si>
    <t>Amazon.com.br: Spawn Vol 06</t>
  </si>
  <si>
    <t>Amazon.com.br: Spawn Vol 08</t>
  </si>
  <si>
    <t>Castelinho da pamonha</t>
  </si>
  <si>
    <t>Amazon.com.br: G-Tech BSP11, Aparelho de Pressão Digital Automático de Braço(22-36cm)</t>
  </si>
  <si>
    <t>Amazon.com.br: Spawn Vol 07</t>
  </si>
  <si>
    <t>Amazon.com.br: Kingston NV3 2TB M.2 2280 NVMe SSD | PCIe 4.0 Gen 4x4 | Até 6000 MB/s | SNV3S/2000G (03/10)</t>
  </si>
  <si>
    <t>Amazon.com.br: Rei Spawn nº1</t>
  </si>
  <si>
    <t>Amazon.com.br: Rei Spawn nº2</t>
  </si>
  <si>
    <t>Amazon.com.br: Psyllium Husk, Suplemento Alimentar de Psyllium em Cápsulas, 180 Cápsulas de 700 mg</t>
  </si>
  <si>
    <t>Cobasi: Ração, areia, sache e grma (03/03)</t>
  </si>
  <si>
    <t>Shopee: Cola Fixa Tudo Branca</t>
  </si>
  <si>
    <t>Shopee: Transparex 385ML Removedor de Manchas Vidro Box</t>
  </si>
  <si>
    <t>Game: Castlevania Lament of Innocence (03/03)</t>
  </si>
  <si>
    <t>Cadeira Gamer da Work moveis</t>
  </si>
  <si>
    <t>o Bem barato do Sacomãn</t>
  </si>
  <si>
    <t>O Boteko Nazareth</t>
  </si>
  <si>
    <t>o sorvete Chique da Lino Koutinhos</t>
  </si>
  <si>
    <t>coisas diversas no goya cósMesticos</t>
  </si>
  <si>
    <t>hetywer bier</t>
  </si>
  <si>
    <t>Ração e saches de gatos</t>
  </si>
  <si>
    <t>o Hirotaś</t>
  </si>
  <si>
    <t>Alem-car's</t>
  </si>
  <si>
    <t>Amazon.com.br: Kingston NV3 2TB M.2 2280 NVMe SSD | PCIe 4.0 Gen 4x4 | Até 6000 MB/s | SNV3S/2000G (04/10)</t>
  </si>
  <si>
    <t xml:space="preserve">Amazon.com.br:  SEFER YETZIRAH (EM PORTUGUÊS) - OU O LIVRO DA CRIAÇÃO - POR WILLIAM WYNN WESTCOTT </t>
  </si>
  <si>
    <t xml:space="preserve">Amazon.com.br: Liber Al Vel Legis - Back Pack </t>
  </si>
  <si>
    <t>Amazon.com.br:Psyllium Husk, Suplemento Alimentar de Psyllium em Cápsulas, 180 Cápsulas de 700 mg</t>
  </si>
  <si>
    <t>iFood Hamburgueres</t>
  </si>
  <si>
    <t xml:space="preserve">Bella Paulistas </t>
  </si>
  <si>
    <t>Spawn : feudo de Sangue</t>
  </si>
  <si>
    <t>Piijamas novos</t>
  </si>
  <si>
    <t>Estacionamento Sacomãn</t>
  </si>
  <si>
    <t>Americanas: Gabides</t>
  </si>
  <si>
    <t>Americanas: cóquihas</t>
  </si>
  <si>
    <t>Americanas: cuecas</t>
  </si>
  <si>
    <t>Areia de coco e rações</t>
  </si>
  <si>
    <t>Hettwer Bier Ypiranga</t>
  </si>
  <si>
    <t>2x adaptadores 270º HDMI em piraju</t>
  </si>
  <si>
    <t>3x adaptadores  90º HDMI em piraju</t>
  </si>
  <si>
    <t>esfiharia piraju</t>
  </si>
  <si>
    <t>Nimesulida e colirios</t>
  </si>
  <si>
    <t>Amazon.com.br: Kingston NV3 2TB M.2 2280 NVMe SSD | PCIe 4.0 Gen 4x4 | Até 6000 MB/s | SNV3S/2000G (05/10)</t>
  </si>
  <si>
    <t>Janeiro  2026</t>
  </si>
  <si>
    <t>Amazon.com.br: Loctite Super Bonder Power Gel, Cola Transparente com Fórmula Especial Flexível, Super Forte, Supercola Para Todos os Tipos de Materiais, 1x2g</t>
  </si>
  <si>
    <t>hettwer Biergarten</t>
  </si>
  <si>
    <t>o Hirota do Ypiranga´s</t>
  </si>
  <si>
    <t>Alenia 12/400, Esomeprasol, DonPeridona</t>
  </si>
  <si>
    <t>Shopeee.com.br: CAMISETA Malha Premium Spawn Logo GG</t>
  </si>
  <si>
    <t>Shopeee.com.br: Pasta Risque Rabisque ACP Com 20 Folhas Tamanho A3</t>
  </si>
  <si>
    <t>Shopeee.com.br: Pasta Risque Rabisque A4 com 10 folhas - ACP</t>
  </si>
  <si>
    <t>Hettwer BierGartedn Ypiranga</t>
  </si>
  <si>
    <t>No mercadinho do Predio</t>
  </si>
  <si>
    <t>Amazon.com.br: Kingston NV3 2TB M.2 2280 NVMe SSD | PCIe 4.0 Gen 4x4 | Até 6000 MB/s | SNV3S/2000G (06/10)</t>
  </si>
  <si>
    <t>Fevereiro / 2026</t>
  </si>
  <si>
    <t>Amazon.com.br: Gshield Case Capa Capinha Armor Para Apple Watch 44MM, Preta</t>
  </si>
  <si>
    <t>Beer rock Club</t>
  </si>
  <si>
    <t xml:space="preserve">ifood: macarrão chineis </t>
  </si>
  <si>
    <t>Game: WUCHANG: Fallen Feathers - Deluxe edition</t>
  </si>
  <si>
    <t>IOF WUCHANG: Fallen Feathers</t>
  </si>
  <si>
    <t>iFood: HamBurgueres</t>
  </si>
  <si>
    <t>A varanda Nazareth</t>
  </si>
  <si>
    <t>Game: NieR Replicant ver.1.22474487139</t>
  </si>
  <si>
    <t>IOF: NieR Replicant ver.1.22474487139</t>
  </si>
  <si>
    <t>Bem Barato Sacomãn</t>
  </si>
  <si>
    <t>2x Omepresol 20mg</t>
  </si>
  <si>
    <t xml:space="preserve">Frete drogasil </t>
  </si>
  <si>
    <t>Posto rodoserve do relógio</t>
  </si>
  <si>
    <t>A torre de pizza em piraju</t>
  </si>
  <si>
    <t>Amazon.com.br: Entendendo Algoritmos (Aditya Bhargava)</t>
  </si>
  <si>
    <t>Sushi japoneis</t>
  </si>
  <si>
    <t>ifood: pizza Hut</t>
  </si>
  <si>
    <t>Amazon.com.br: Kingston NV3 2TB M.2 2280 NVMe SSD | PCIe 4.0 Gen 4x4 | Até 6000 MB/s | SNV3S/2000G (07/10)</t>
  </si>
  <si>
    <t>Amazon.com.br: Cabo USB-C I2GO 2m 2,4A Nylon Trançado Chumbo - I2GO PRO</t>
  </si>
  <si>
    <t>Amazon.com.br: Geonav Cabo USB-A para USB-C, 1.2 metros, nylon trançado, resiste até 10 mil dobras, carregamento rápido (até 40 W) e tranferência de dados (480 Mbps), ESC05WT, branco</t>
  </si>
  <si>
    <t>Amazon.com.br: INIU Cabo USB para USB-C (tipo C), 3.1A Cabo de Carregamento Rápido, Cabo de Dados Nylon Trançado para iPhone Série 17/16/15 Pro Max Phablet Phone Galaxy S25/S24/S23 Xiaomi e mais (1,0 m)</t>
  </si>
  <si>
    <t>no mercado do predio</t>
  </si>
  <si>
    <t>Maçonaria: Uber pra IR pra estação Sacomãn</t>
  </si>
  <si>
    <t>Maçonaria: Uber pra Voltar pra estação Sacomãn</t>
  </si>
  <si>
    <t>Game: Meu Game Usado: Sspec OPS the line</t>
  </si>
  <si>
    <t>frete: 'Game: Meu Game Usado: Sspec OPS the line</t>
  </si>
  <si>
    <t xml:space="preserve">Los Picos </t>
  </si>
  <si>
    <t xml:space="preserve">no mercdinho do predio </t>
  </si>
  <si>
    <t>ifood: yakssobas</t>
  </si>
  <si>
    <t>O Bem Barao do Sacomãn</t>
  </si>
  <si>
    <t xml:space="preserve">ifood:KasKaTas 1979 </t>
  </si>
  <si>
    <t>Esomeprasol 40mg, Hidrocloritiazida 25mg, Losartana 50mg</t>
  </si>
  <si>
    <t>Amazon.com.br: G-Shock GWM5610-1 (01/03)</t>
  </si>
  <si>
    <t>RAÇÃO</t>
  </si>
  <si>
    <t>Amazoon Market Place</t>
  </si>
  <si>
    <t>Dermatologista no Dr consulta</t>
  </si>
  <si>
    <t>AliXpress.comn: 04 (2 x 2) Mini Portable Watch Strap compass</t>
  </si>
  <si>
    <t xml:space="preserve">Imposto importação </t>
  </si>
  <si>
    <t>ICMS</t>
  </si>
  <si>
    <t xml:space="preserve">Trabalho: Flor de Iris	</t>
  </si>
  <si>
    <t>ifood: pizzas</t>
  </si>
  <si>
    <t>Cafe na oliveira lima</t>
  </si>
  <si>
    <t>Estacionamento na oliveira lima</t>
  </si>
  <si>
    <t>Mercadinho Alen- Car</t>
  </si>
  <si>
    <t xml:space="preserve">Charutos para o terreiro </t>
  </si>
  <si>
    <t>imposto de importação Shopee.com.br: Wire Bumperfor G ShOck 56XX</t>
  </si>
  <si>
    <t>icms Shopee.com.br: Wire Bumperfor G ShOck 56XX</t>
  </si>
  <si>
    <t>Shopee.com.br: Wire Bumperfor G ShOck 56XX</t>
  </si>
  <si>
    <t>ifood: KasKata 1979</t>
  </si>
  <si>
    <t>Pasteis no merado do piranga</t>
  </si>
  <si>
    <t>No mercadão do Ypiranga</t>
  </si>
  <si>
    <t xml:space="preserve">no MERCADINHO do predio </t>
  </si>
  <si>
    <t>Oggi Sorvetes</t>
  </si>
  <si>
    <t>o Bem Barato do Sacomãn</t>
  </si>
  <si>
    <t>Amazon.com.br: Kingston NV3 2TB M.2 2280 NVMe SSD | PCIe 4.0 Gen 4x4 | Até 6000 MB/s | SNV3S/2000G (08/10)</t>
  </si>
  <si>
    <t>iFood: Sapore Di Pizza</t>
  </si>
  <si>
    <t>O Requinte da Silva &amp; Bueno</t>
  </si>
  <si>
    <t>Busonid 32 MG</t>
  </si>
  <si>
    <t>Cafés na Leroy &amp;¨Merlin</t>
  </si>
  <si>
    <t>Leroy &amp; merlin - Ripado da sacada e ferramentas (01/02)</t>
  </si>
  <si>
    <t>O carica do Sacomãn</t>
  </si>
  <si>
    <t>Alen-car</t>
  </si>
  <si>
    <t>Maçonaria: Três pontos</t>
  </si>
  <si>
    <t>Alen-CAR</t>
  </si>
  <si>
    <t>Ração e Areia</t>
  </si>
  <si>
    <t>Master System II (01/03)</t>
  </si>
  <si>
    <t>Pasteis no Mercadao do Ypiranga</t>
  </si>
  <si>
    <t>Doces do mercadão do Ypigranga</t>
  </si>
  <si>
    <t>Padaria FioraVante</t>
  </si>
  <si>
    <t>Hettwer beer</t>
  </si>
  <si>
    <t>Drogasil: Alenia 12/400</t>
  </si>
  <si>
    <t>Drogasil:Acido Azelaico</t>
  </si>
  <si>
    <t>Drogasil: Frete farmacia</t>
  </si>
  <si>
    <t xml:space="preserve">PREVIDAS LTDA - Consulta para pedir o beneficio </t>
  </si>
  <si>
    <t>No mercadinhodo Predio I</t>
  </si>
  <si>
    <t>No mercadinhodo Predio II</t>
  </si>
  <si>
    <t xml:space="preserve">No Mercadinho do predio </t>
  </si>
  <si>
    <t>O Bem barato do Sacomãn</t>
  </si>
  <si>
    <t>Loaratadina, xarope e Busonie</t>
  </si>
  <si>
    <t>Varinhas de brincadeiras de gatos</t>
  </si>
  <si>
    <t>Velaqs diversas</t>
  </si>
  <si>
    <t>Cafés do Shopping BourBouns</t>
  </si>
  <si>
    <t>OutBack do Shopping BourBoun</t>
  </si>
  <si>
    <t>O KasKaTas1979 Burguees</t>
  </si>
  <si>
    <t>Alem-CAR</t>
  </si>
  <si>
    <t>O Almiranteś B.A.R.</t>
  </si>
  <si>
    <t>tilenol Sinys, soro fisiologio , ibupufreno 600mg</t>
  </si>
  <si>
    <t xml:space="preserve">Alen-CAR </t>
  </si>
  <si>
    <t>No dr consultas</t>
  </si>
  <si>
    <t>ifood: Sapore di Piza</t>
  </si>
  <si>
    <t>Amazon.com.br: G-Shock GWM5610-1 (02/03)</t>
  </si>
  <si>
    <t xml:space="preserve">No mercadiho do predio </t>
  </si>
  <si>
    <t>Uber pra ir pra estação</t>
  </si>
  <si>
    <t>Uber pra voltr da estação</t>
  </si>
  <si>
    <t>Gazozza na pejozera GGM5</t>
  </si>
  <si>
    <t>Shopee.com.br: comedouros</t>
  </si>
  <si>
    <t>Amazon.com.br: Kingston NV3 2TB M.2 2280 NVMe SSD | PCIe 4.0 Gen 4x4 | Até 6000 MB/s | SNV3S/2000G (09/10)</t>
  </si>
  <si>
    <t>Leroy &amp; merlin - Ripado da sacada e ferramentas (02/02)</t>
  </si>
  <si>
    <t>Padoca A Rainha do sacomãn</t>
  </si>
  <si>
    <t>Maçonaria: Taxi para voltar para cas</t>
  </si>
  <si>
    <t>Software: GOG.com: Arkanoid - Eternal Battle</t>
  </si>
  <si>
    <t>Panini.com.br: Spawn: Origens Vol. 20</t>
  </si>
  <si>
    <t>Frete Spawn: Origens Vol. 20</t>
  </si>
  <si>
    <t>iFood: Sappore di Pizza</t>
  </si>
  <si>
    <t>IOF (???</t>
  </si>
  <si>
    <t>Super Game collection Show LIberty</t>
  </si>
  <si>
    <t xml:space="preserve">Controle Adicional Master System II </t>
  </si>
  <si>
    <t>Lanche dSuper GC Show</t>
  </si>
  <si>
    <t>O BK da Ricardo Jaffet</t>
  </si>
  <si>
    <t>Desodorisantes pessoais no Goya's</t>
  </si>
  <si>
    <t>iFood: mineiros</t>
  </si>
  <si>
    <t>Master System II (02/03)</t>
  </si>
  <si>
    <t>Ração e gatos</t>
  </si>
  <si>
    <t>Mercadinho Alen-C.A.R.</t>
  </si>
  <si>
    <t>O Bem Varao do Sacomãn</t>
  </si>
  <si>
    <t>Alenia 12/400 , Busonid SEM 32MG 120 DOSES</t>
  </si>
  <si>
    <t>Assinatura Mensal Cloude Code IA</t>
  </si>
  <si>
    <t>ifood: KasKaTas 1979</t>
  </si>
  <si>
    <t>Uber: pra ir pra turiassu, 507</t>
  </si>
  <si>
    <t>Uber: pra ir pra Deep bar</t>
  </si>
  <si>
    <t>Habubes do Yabacuara</t>
  </si>
  <si>
    <t>No Mercadinho do predio</t>
  </si>
  <si>
    <t>Ifood: Billy Jhow Burgês</t>
  </si>
  <si>
    <t>Amazon.com.br: G-Shock GWM5610-1 (03/03)</t>
  </si>
  <si>
    <t>Amazon.com.br: Kingston NV3 2TB M.2 2280 NVMe SSD | PCIe 4.0 Gen 4x4 | Até 6000 MB/s | SNV3S/2000G (10/10)</t>
  </si>
  <si>
    <t>Master System II (03/03)</t>
  </si>
  <si>
    <t xml:space="preserve"> Junho / 2004</t>
  </si>
  <si>
    <t>Ajustes</t>
  </si>
  <si>
    <t>Rec. Salario</t>
  </si>
  <si>
    <t>Pagamento conectway</t>
  </si>
  <si>
    <t>Tia que LavaRopa</t>
  </si>
  <si>
    <t>Pagamento da Luva do maffei</t>
  </si>
  <si>
    <t>Deposito Salário Banco1</t>
  </si>
  <si>
    <t>Recebimento do Cristovão – Livro UML</t>
  </si>
  <si>
    <t>Bateria do relógio</t>
  </si>
  <si>
    <t>Bolacha + leite + nescau</t>
  </si>
  <si>
    <t>Recebimento do Diego – Livro S.D</t>
  </si>
  <si>
    <t>Estacionamento perto da labor</t>
  </si>
  <si>
    <t>Conserto da Jaqueta</t>
  </si>
  <si>
    <t>Bolacha no mercado</t>
  </si>
  <si>
    <t>Pedágio</t>
  </si>
  <si>
    <t>Jantar</t>
  </si>
  <si>
    <t>Festa da junina</t>
  </si>
  <si>
    <t xml:space="preserve">Aluguel </t>
  </si>
  <si>
    <t>SAQUE parea pagar o correio</t>
  </si>
  <si>
    <t>Postagem do prinmce of persia 3d</t>
  </si>
  <si>
    <t>Compra de pão + mortandela</t>
  </si>
  <si>
    <t>Pastel na feira + lanche do Robs</t>
  </si>
  <si>
    <t>Recebimento de Venda dos livros (01/02)</t>
  </si>
  <si>
    <t>Lanche do Robs</t>
  </si>
  <si>
    <t xml:space="preserve">Bolachas do Bigatu´s </t>
  </si>
  <si>
    <t xml:space="preserve"> Julho / 2004</t>
  </si>
  <si>
    <t>Pagamento dos CeDês Virge na InfoCia</t>
  </si>
  <si>
    <t>Gasolina na motoca</t>
  </si>
  <si>
    <t>Fatura Telefonica - Sercomtel</t>
  </si>
  <si>
    <t>Cristiane - Busão + encadernar</t>
  </si>
  <si>
    <t>Troco</t>
  </si>
  <si>
    <t>Recebimento de Venda dos livros (02/02)</t>
  </si>
  <si>
    <t>Pão com mortandela do Bigatu´s</t>
  </si>
  <si>
    <t>Produtos de Limpeza</t>
  </si>
  <si>
    <t>Rec. Salário</t>
  </si>
  <si>
    <t>Copel</t>
  </si>
  <si>
    <t>Parc. Financiamento Moto (06/24)</t>
  </si>
  <si>
    <t>Restaurante Doce café</t>
  </si>
  <si>
    <t>estacionamento perto do bradesco</t>
  </si>
  <si>
    <t>Padaria</t>
  </si>
  <si>
    <t>Estacionamento</t>
  </si>
  <si>
    <t>Exterminador do Futuro</t>
  </si>
  <si>
    <t>refrigerante pra janta</t>
  </si>
  <si>
    <t>Chaveiro Algemas</t>
  </si>
  <si>
    <t>Banqueta pra colocar o Porta Cedês</t>
  </si>
  <si>
    <t>Recebimento do Diego - Xerox de Livro</t>
  </si>
  <si>
    <t>Bolachas</t>
  </si>
  <si>
    <t>Pao + mortandela</t>
  </si>
  <si>
    <t>Doce no restaurante do Jorjão</t>
  </si>
  <si>
    <t>Locadora - Senhor dos Aneis - retorno...</t>
  </si>
  <si>
    <t>bolachas</t>
  </si>
  <si>
    <t>Pagamento Fatura Mastercard</t>
  </si>
  <si>
    <t xml:space="preserve">Farmácia - eno </t>
  </si>
  <si>
    <t>Fatura Telefonica - GVT</t>
  </si>
  <si>
    <t>Pagamento dos Shampoos do mês passado</t>
  </si>
  <si>
    <t>Alugel</t>
  </si>
  <si>
    <t>cedê virge</t>
  </si>
  <si>
    <t>Pastel no cantinho do pastel</t>
  </si>
  <si>
    <t>insenso</t>
  </si>
  <si>
    <t xml:space="preserve">Lavagem </t>
  </si>
  <si>
    <t>Bolacha do Bigatus</t>
  </si>
  <si>
    <t>Doces no Jorjão</t>
  </si>
  <si>
    <t>Buzão pra ir pro trabalho</t>
  </si>
  <si>
    <t>Leite + bolachas</t>
  </si>
  <si>
    <t>Doces no jorjão</t>
  </si>
  <si>
    <t>retrovisor e manopla da embreagem</t>
  </si>
  <si>
    <t>Locadora - T3 + Uma saida de Mestre</t>
  </si>
  <si>
    <t>Pizzaria Happen</t>
  </si>
  <si>
    <t>Café da manhã na padaria</t>
  </si>
  <si>
    <t>Frutas + camisinhas</t>
  </si>
  <si>
    <t>Locadora  - filhos de Duna</t>
  </si>
  <si>
    <t>Docê do Jorjão</t>
  </si>
  <si>
    <t>Locadora - Neno + 21 Gramas</t>
  </si>
  <si>
    <t>Q-boa</t>
  </si>
  <si>
    <t>Deposito no Banco1.net</t>
  </si>
  <si>
    <t>coisas pra janta</t>
  </si>
  <si>
    <t>Lanche no bobs</t>
  </si>
  <si>
    <t>Livro Messia de Duna</t>
  </si>
  <si>
    <t>Pastel</t>
  </si>
  <si>
    <t>Sorvete</t>
  </si>
  <si>
    <t>Mercado</t>
  </si>
  <si>
    <t xml:space="preserve"> Agosto / 2004</t>
  </si>
  <si>
    <t>Café da manha no bigatu´s</t>
  </si>
  <si>
    <t>Anti-inflatório pra dor de cabeça</t>
  </si>
  <si>
    <t>estacionamento no Autdromo</t>
  </si>
  <si>
    <t>Ingresso pro autodromo</t>
  </si>
  <si>
    <t>Refri no autodromo</t>
  </si>
  <si>
    <t>Lanche no Cenourinha´s</t>
  </si>
  <si>
    <t>Bolacha do Biugatus</t>
  </si>
  <si>
    <t>Cristiane - Cedê virge</t>
  </si>
  <si>
    <t>Parc. Financiamento Moto (07/24)</t>
  </si>
  <si>
    <t>Deposito Banco1.net</t>
  </si>
  <si>
    <t>estacionamento</t>
  </si>
  <si>
    <t>Parc. Quarda-roupas (01/18)</t>
  </si>
  <si>
    <t xml:space="preserve">Kiberama </t>
  </si>
  <si>
    <t>Escova + barbeador + cotonete</t>
  </si>
  <si>
    <t>Farmácia - esparadrapo</t>
  </si>
  <si>
    <t>Troca de Oleo</t>
  </si>
  <si>
    <t>Lanche na Unifil</t>
  </si>
  <si>
    <t>Bolachinhas do Bigatu´s</t>
  </si>
  <si>
    <t>Mercado - cumidas</t>
  </si>
  <si>
    <t>Cristiane - mercado</t>
  </si>
  <si>
    <t>Pão</t>
  </si>
  <si>
    <t>Doce no Armazem da moda</t>
  </si>
  <si>
    <t>Pao + Mate</t>
  </si>
  <si>
    <t>Pao + bolacha</t>
  </si>
  <si>
    <t>Lanche no Buzão</t>
  </si>
  <si>
    <t xml:space="preserve">Cortar cabelo </t>
  </si>
  <si>
    <t>Paos 0</t>
  </si>
  <si>
    <t>Dinheíro pro pedágio</t>
  </si>
  <si>
    <t>padágio</t>
  </si>
  <si>
    <t>Café da manhã no Bigatus</t>
  </si>
  <si>
    <t>Devolução do troco</t>
  </si>
  <si>
    <t xml:space="preserve"> Setembro / 2004</t>
  </si>
  <si>
    <t xml:space="preserve">Saque Viagem </t>
  </si>
  <si>
    <t>Passagem de Circular</t>
  </si>
  <si>
    <t>Lanche na Estrada</t>
  </si>
  <si>
    <t>Cerveja no Buteco Canto do rio</t>
  </si>
  <si>
    <t>pano de Prato pra D. Cida</t>
  </si>
  <si>
    <t>Venda da cadeira Secretária</t>
  </si>
  <si>
    <t>Geladeira + cafeteira + liquidi</t>
  </si>
  <si>
    <t xml:space="preserve">Lanche </t>
  </si>
  <si>
    <t>Filme pra Cris</t>
  </si>
  <si>
    <t>Fatura Telefonica -- GVT</t>
  </si>
  <si>
    <t>Parc. Financiamento Moto (08/24)</t>
  </si>
  <si>
    <t>Alguel + condominio + Luz + Limpeza</t>
  </si>
  <si>
    <t>Pagamento do Mouse na info&amp;cia</t>
  </si>
  <si>
    <t xml:space="preserve">Pastel na feira </t>
  </si>
  <si>
    <t>Correios - Livro pra Ana Celia</t>
  </si>
  <si>
    <t>Recisão da Exactus</t>
  </si>
  <si>
    <t>Deposito Banco.net</t>
  </si>
  <si>
    <t>Almoço</t>
  </si>
  <si>
    <t>Fotos</t>
  </si>
  <si>
    <t>Trocar Bateria Relogio</t>
  </si>
  <si>
    <t>Exame Médico</t>
  </si>
  <si>
    <t>Historico Escolar</t>
  </si>
  <si>
    <t>Cartão Telefonico</t>
  </si>
  <si>
    <t>Onibus</t>
  </si>
  <si>
    <t>Roupas Novas</t>
  </si>
  <si>
    <t>Sapatos</t>
  </si>
  <si>
    <t>Sorvete + agua</t>
  </si>
  <si>
    <t>Rec. Edson - Caixas</t>
  </si>
  <si>
    <t>Barras na calça social</t>
  </si>
  <si>
    <t xml:space="preserve">Cristiane - </t>
  </si>
  <si>
    <t>Café</t>
  </si>
  <si>
    <t>Cerva com o Fafi</t>
  </si>
  <si>
    <t>Sedex</t>
  </si>
  <si>
    <t>lanche</t>
  </si>
  <si>
    <t>Lanche</t>
  </si>
  <si>
    <t>Mercado - Ferro passar + pasta</t>
  </si>
  <si>
    <t>Lanche tarde</t>
  </si>
  <si>
    <t>Carapatino</t>
  </si>
  <si>
    <t>Cerva no Posto</t>
  </si>
  <si>
    <t>Giraffas</t>
  </si>
  <si>
    <t xml:space="preserve">Festa </t>
  </si>
  <si>
    <t xml:space="preserve">Lache </t>
  </si>
  <si>
    <t>CocaCola</t>
  </si>
  <si>
    <t>Cerva no posto</t>
  </si>
  <si>
    <t>giraaffas</t>
  </si>
  <si>
    <t>cerva</t>
  </si>
  <si>
    <t>cafes</t>
  </si>
  <si>
    <t>foto do Crachá</t>
  </si>
  <si>
    <t xml:space="preserve">Pacote do celular pro correio </t>
  </si>
  <si>
    <t>Celular pra Araponga</t>
  </si>
  <si>
    <t>Troco do VR</t>
  </si>
  <si>
    <t>almoco</t>
  </si>
  <si>
    <t>Café da Tarde</t>
  </si>
  <si>
    <t>Pizza</t>
  </si>
  <si>
    <t xml:space="preserve">Saque </t>
  </si>
  <si>
    <t>café</t>
  </si>
  <si>
    <t>Refri</t>
  </si>
  <si>
    <t>refri</t>
  </si>
  <si>
    <t>Cafes</t>
  </si>
  <si>
    <t xml:space="preserve"> Outubro / 2004</t>
  </si>
  <si>
    <t>Saque protaxi</t>
  </si>
  <si>
    <t>saques</t>
  </si>
  <si>
    <t>Manteiga de cacau</t>
  </si>
  <si>
    <t>Cerva</t>
  </si>
  <si>
    <t>saque para almocos</t>
  </si>
  <si>
    <t>Troco do Diraffas</t>
  </si>
  <si>
    <t>Toco do Mc</t>
  </si>
  <si>
    <t>Saque</t>
  </si>
  <si>
    <t>Troco do Giraffas</t>
  </si>
  <si>
    <t>troca do Cheque 000001 CitiBank</t>
  </si>
  <si>
    <t>Parc. Financiamento Moto (09/24)</t>
  </si>
  <si>
    <t>Busão</t>
  </si>
  <si>
    <t>Cerva noposto</t>
  </si>
  <si>
    <t>Autenticação de documentontos do aluguel</t>
  </si>
  <si>
    <t>Estacionament0</t>
  </si>
  <si>
    <t>gIRAFFAS</t>
  </si>
  <si>
    <t>Sorvete No  Mc</t>
  </si>
  <si>
    <t>Lavar Roupas</t>
  </si>
  <si>
    <t>Lance do Creeps</t>
  </si>
  <si>
    <t>Taxi pra ir embora do Hotel</t>
  </si>
  <si>
    <t>Lanches</t>
  </si>
  <si>
    <t>Cafés</t>
  </si>
  <si>
    <t>Pizza em Pé</t>
  </si>
  <si>
    <t>Saque pra pagar a lavagem</t>
  </si>
  <si>
    <t xml:space="preserve">Lavagem da moto </t>
  </si>
  <si>
    <t>Saque de diversos</t>
  </si>
  <si>
    <t>Chaves</t>
  </si>
  <si>
    <t>Doce do almoco</t>
  </si>
  <si>
    <t>Saque - pra di versos</t>
  </si>
  <si>
    <t>documentos do casamento</t>
  </si>
  <si>
    <t>Liscenciamento + seguro</t>
  </si>
  <si>
    <t>Filtro de linha</t>
  </si>
  <si>
    <t>Valvula do bujao de gaz</t>
  </si>
  <si>
    <t>Saque pro almoco</t>
  </si>
  <si>
    <t>Almoco</t>
  </si>
  <si>
    <t>Pizza Em Pé</t>
  </si>
  <si>
    <t>Money do Ajimura</t>
  </si>
  <si>
    <t>Carrapatino</t>
  </si>
  <si>
    <t xml:space="preserve">café </t>
  </si>
  <si>
    <t>Alomoco</t>
  </si>
  <si>
    <t>Lanche da Tarde</t>
  </si>
  <si>
    <t>saque - Diversos</t>
  </si>
  <si>
    <t>Agua Mineral</t>
  </si>
  <si>
    <t xml:space="preserve"> Novembro / 2004</t>
  </si>
  <si>
    <t>CarrapatinoS</t>
  </si>
  <si>
    <t>pagamentos</t>
  </si>
  <si>
    <t xml:space="preserve">Suco no Pizza Em Pé </t>
  </si>
  <si>
    <t>Carrapatinos</t>
  </si>
  <si>
    <t>Correio + Envelopes + diversos</t>
  </si>
  <si>
    <t>Envio da certidao de nascimento</t>
  </si>
  <si>
    <t>Envelopes</t>
  </si>
  <si>
    <t>Lanches Noturnos Pos Balada</t>
  </si>
  <si>
    <t>Emprestado pro boiola</t>
  </si>
  <si>
    <t>Riffa de 500tão</t>
  </si>
  <si>
    <t>Money pro coffe do tales</t>
  </si>
  <si>
    <t>carrpatino</t>
  </si>
  <si>
    <t>Saque em dinheiro</t>
  </si>
  <si>
    <t>eno</t>
  </si>
  <si>
    <t>Dentista</t>
  </si>
  <si>
    <t>Cervas no posto</t>
  </si>
  <si>
    <t>lanche no posto</t>
  </si>
  <si>
    <t>Cerva no posto + lanche no posto</t>
  </si>
  <si>
    <t>salgado</t>
  </si>
  <si>
    <t>empresado do fabiano</t>
  </si>
  <si>
    <t>Cerva no Pos</t>
  </si>
  <si>
    <t>Lanche noPosto</t>
  </si>
  <si>
    <t>Lanche no Posto</t>
  </si>
  <si>
    <t xml:space="preserve"> dezembro / 2004</t>
  </si>
  <si>
    <t>saque - Telefone + zelador</t>
  </si>
  <si>
    <t>Grana pro Zelador</t>
  </si>
  <si>
    <t>Fatura Telefonica - BrT GSM</t>
  </si>
  <si>
    <t>jardinete</t>
  </si>
  <si>
    <t>Saque no posto</t>
  </si>
  <si>
    <t>Lanche no posto + cerva</t>
  </si>
  <si>
    <t>Insensos</t>
  </si>
  <si>
    <t>Saque no Posto</t>
  </si>
  <si>
    <t>Cerva No Posto</t>
  </si>
  <si>
    <t>Pizza Em pÉ</t>
  </si>
  <si>
    <t>coca Cola</t>
  </si>
  <si>
    <t>Saque pro piercing</t>
  </si>
  <si>
    <t>Piercing</t>
  </si>
  <si>
    <t>Saque pro estacionamento</t>
  </si>
  <si>
    <t>Estacionamento patio Brasil</t>
  </si>
  <si>
    <t>Saque pro Lance</t>
  </si>
  <si>
    <t>Lanche pra noite</t>
  </si>
  <si>
    <t>Carraptino</t>
  </si>
  <si>
    <t>saque pra Viagem</t>
  </si>
  <si>
    <t>Lanche em Minas</t>
  </si>
  <si>
    <t>Pedagios</t>
  </si>
  <si>
    <t>Presente Cristiane</t>
  </si>
  <si>
    <t>Deposito Unibanco</t>
  </si>
  <si>
    <t>Protetor Solar</t>
  </si>
  <si>
    <t xml:space="preserve">Sunga </t>
  </si>
  <si>
    <t>Filmes Fotograficos</t>
  </si>
  <si>
    <t>Chinelas</t>
  </si>
  <si>
    <t>Bijuteras Cris</t>
  </si>
  <si>
    <t>Lingerie Cris</t>
  </si>
  <si>
    <t>Troco VR</t>
  </si>
  <si>
    <t>Batatas Fritas no Giraffas</t>
  </si>
  <si>
    <t>Adaptador da mangueira da maquina de lava</t>
  </si>
  <si>
    <t>saque pro telefone</t>
  </si>
  <si>
    <t>Chocolate</t>
  </si>
  <si>
    <t>Onde está Wally ???</t>
  </si>
  <si>
    <t xml:space="preserve"> Janeiro / 2005</t>
  </si>
  <si>
    <t>Saque pro lanche</t>
  </si>
  <si>
    <t>Lanche Tarde</t>
  </si>
  <si>
    <t>Lanche a noite</t>
  </si>
  <si>
    <t>Café Tarde</t>
  </si>
  <si>
    <t>Caixinha</t>
  </si>
  <si>
    <t>Saque no Banco</t>
  </si>
  <si>
    <t>Lanche da tarde</t>
  </si>
  <si>
    <t>Mercado pra janta</t>
  </si>
  <si>
    <t>Troco VRs</t>
  </si>
  <si>
    <t>Saque - Cristiane</t>
  </si>
  <si>
    <t>Money pro almoço</t>
  </si>
  <si>
    <t>Saque - resto da mudança</t>
  </si>
  <si>
    <t>Transportador na rodoviaria</t>
  </si>
  <si>
    <t>Taxi pra casa</t>
  </si>
  <si>
    <t>Pagamento de lavagem da moto</t>
  </si>
  <si>
    <t>Lanche pro almoço</t>
  </si>
  <si>
    <t>Camisinhas</t>
  </si>
  <si>
    <t>Saque - Telefone</t>
  </si>
  <si>
    <t>Dinheiro da caixinha</t>
  </si>
  <si>
    <t>Fatura BrTurbo</t>
  </si>
  <si>
    <t xml:space="preserve"> fevereiro / 2005</t>
  </si>
  <si>
    <t>Colinha Piercing</t>
  </si>
  <si>
    <t>Trocos</t>
  </si>
  <si>
    <t>Epocler</t>
  </si>
  <si>
    <t>Troco pro busão</t>
  </si>
  <si>
    <t>Reconhecer firma</t>
  </si>
  <si>
    <t>Correio pro documento do diploma</t>
  </si>
  <si>
    <t>Troco de VR</t>
  </si>
  <si>
    <t>Pra caixinha</t>
  </si>
  <si>
    <t>Saque pra Cris</t>
  </si>
  <si>
    <t>correio pro lucas</t>
  </si>
  <si>
    <t>Crepps no Patio Brasil</t>
  </si>
  <si>
    <t>adesivos de geladeira</t>
  </si>
  <si>
    <t>IPVA. Edso, Etc</t>
  </si>
  <si>
    <t>IPVA da Moto</t>
  </si>
  <si>
    <t>Deposito pro Edson</t>
  </si>
  <si>
    <t>Pro Busão</t>
  </si>
  <si>
    <t>Diversos</t>
  </si>
  <si>
    <t>Esponja pra liimpar jaqueta</t>
  </si>
  <si>
    <t>Café no Alameda Sul Taguatinga</t>
  </si>
  <si>
    <t>Estacionamento no Alameda Sul</t>
  </si>
  <si>
    <t xml:space="preserve"> Março / 2005</t>
  </si>
  <si>
    <t xml:space="preserve">Estacionamento no patio </t>
  </si>
  <si>
    <t>Sorvete McTrash</t>
  </si>
  <si>
    <t>Refi da tarde</t>
  </si>
  <si>
    <t>Cafa da manha</t>
  </si>
  <si>
    <t>Ingresso pro Engenheiros Acustiom</t>
  </si>
  <si>
    <t>Cristiane - Busão</t>
  </si>
  <si>
    <t>Camisinhas na farmácia</t>
  </si>
  <si>
    <t>Fita de Video pro Jonny</t>
  </si>
  <si>
    <t>Café da mana</t>
  </si>
  <si>
    <t>Refrescos</t>
  </si>
  <si>
    <t>Refri pra janta</t>
  </si>
  <si>
    <t>Revistas da cris</t>
  </si>
  <si>
    <t>Milk shake</t>
  </si>
  <si>
    <t>Saque - Tattoo</t>
  </si>
  <si>
    <t>Pagamento do fim da Tattoo Dragão</t>
  </si>
  <si>
    <t>Correios</t>
  </si>
  <si>
    <t>Cafézinho na padoca</t>
  </si>
  <si>
    <t xml:space="preserve"> Abril / 2005</t>
  </si>
  <si>
    <t>Documentos do CREA</t>
  </si>
  <si>
    <t>Xerox de documentos do CREA</t>
  </si>
  <si>
    <t>mais Xerox</t>
  </si>
  <si>
    <t>Estacionamento pro malandro</t>
  </si>
  <si>
    <t>Kibe</t>
  </si>
  <si>
    <t>Slagadinho Pingo douro</t>
  </si>
  <si>
    <t>Troco de VR no Mc Donalds</t>
  </si>
  <si>
    <t>Creps em Taguatinga</t>
  </si>
  <si>
    <t>Estancionamento em Taguatinga</t>
  </si>
  <si>
    <t>Saque Unibanco</t>
  </si>
  <si>
    <t>do Loiola</t>
  </si>
  <si>
    <t xml:space="preserve"> Maio / 2005</t>
  </si>
  <si>
    <t>Acertos</t>
  </si>
  <si>
    <t>Saque - Itau</t>
  </si>
  <si>
    <t>Pamonhas Fresquinhas</t>
  </si>
  <si>
    <t>Troco no Bobs</t>
  </si>
  <si>
    <t>Saque - crachá - CB</t>
  </si>
  <si>
    <t>Crachá</t>
  </si>
  <si>
    <t>Pro loiola</t>
  </si>
  <si>
    <t>Saque pra cerva no posto</t>
  </si>
  <si>
    <t>Fatura da CEB</t>
  </si>
  <si>
    <t>Areia do Cato</t>
  </si>
  <si>
    <t>Encerramento de conta</t>
  </si>
  <si>
    <t>docê de leitê</t>
  </si>
  <si>
    <t>Junho / 2005</t>
  </si>
  <si>
    <t>Saque pra diversos</t>
  </si>
  <si>
    <t>Pra Cris</t>
  </si>
  <si>
    <t>Pagamento de Divida com o Cicero</t>
  </si>
  <si>
    <t>Troco do Mercado</t>
  </si>
  <si>
    <t>Chocolates</t>
  </si>
  <si>
    <t>Vinho</t>
  </si>
  <si>
    <t>Churrus</t>
  </si>
  <si>
    <t>Achado não é roubo</t>
  </si>
  <si>
    <t>Locadora 7 arte</t>
  </si>
  <si>
    <t>Locadora 100% Video</t>
  </si>
  <si>
    <t>Pro cacfé</t>
  </si>
  <si>
    <t>Café na padoca</t>
  </si>
  <si>
    <t>Doces na tarde</t>
  </si>
  <si>
    <t>Cristiane pro mercado</t>
  </si>
  <si>
    <t>Da Cris pra pagar a Luz</t>
  </si>
  <si>
    <t>CEB</t>
  </si>
  <si>
    <t>Troco pra Cris</t>
  </si>
  <si>
    <t>Venda do A50 e A52</t>
  </si>
  <si>
    <t>Celular Novo</t>
  </si>
  <si>
    <t>Pra Locadora</t>
  </si>
  <si>
    <t xml:space="preserve"> Julho / 2005</t>
  </si>
  <si>
    <t>Que devia pro loiola</t>
  </si>
  <si>
    <t>filmes</t>
  </si>
  <si>
    <t xml:space="preserve">Cris </t>
  </si>
  <si>
    <t>Van pro centro</t>
  </si>
  <si>
    <t>Café da manha na padoca</t>
  </si>
  <si>
    <t>saque</t>
  </si>
  <si>
    <t>Busão I</t>
  </si>
  <si>
    <t>Busaõ II</t>
  </si>
  <si>
    <t>Lanche no aeroporto</t>
  </si>
  <si>
    <t>Pro Taxi</t>
  </si>
  <si>
    <t>Ovomaltine do Girraffas</t>
  </si>
  <si>
    <t xml:space="preserve"> Agosto / 2005</t>
  </si>
  <si>
    <t>Saldo de Ajuste</t>
  </si>
  <si>
    <t>Coca Cola</t>
  </si>
  <si>
    <t>Carteirinha do SESC</t>
  </si>
  <si>
    <t>Restaurante de Tia</t>
  </si>
  <si>
    <t>Doce na tarde</t>
  </si>
  <si>
    <t>Da Cristiane</t>
  </si>
  <si>
    <t>Paes</t>
  </si>
  <si>
    <t xml:space="preserve">Troco </t>
  </si>
  <si>
    <t>Da Cris</t>
  </si>
  <si>
    <t>chocolate</t>
  </si>
  <si>
    <t>Doce de leite</t>
  </si>
  <si>
    <t>Paoes</t>
  </si>
  <si>
    <t xml:space="preserve"> Setembro / 2005</t>
  </si>
  <si>
    <t>Pro almoço</t>
  </si>
  <si>
    <t>Chocolocate</t>
  </si>
  <si>
    <t>Doce da Tarde</t>
  </si>
  <si>
    <t>Ogro Maltine</t>
  </si>
  <si>
    <t>sAQUE</t>
  </si>
  <si>
    <t xml:space="preserve"> Outubro / 2005</t>
  </si>
  <si>
    <t>Cortar cabelo</t>
  </si>
  <si>
    <t>Padoca</t>
  </si>
  <si>
    <t>Pra Sorvete</t>
  </si>
  <si>
    <t>Sorvete + chocolate</t>
  </si>
  <si>
    <t>Taxi pro aeroporto</t>
  </si>
  <si>
    <t>Coca no aeroporto</t>
  </si>
  <si>
    <t>Passagem pra Piraju</t>
  </si>
  <si>
    <t>Yorgut na rodoviaria</t>
  </si>
  <si>
    <t>Passagem pra SP - diff</t>
  </si>
  <si>
    <t>Conserto do controle remoto</t>
  </si>
  <si>
    <t>Lanche na estrada</t>
  </si>
  <si>
    <t>Lanche de esfirras</t>
  </si>
  <si>
    <t>Passagem de Metro</t>
  </si>
  <si>
    <t>Taxi pra TIM</t>
  </si>
  <si>
    <t>Passagn de cirular</t>
  </si>
  <si>
    <t>Presente pra Cris</t>
  </si>
  <si>
    <t>Taxi em rbasilia</t>
  </si>
  <si>
    <t>Locadora pra cris</t>
  </si>
  <si>
    <t>Coca na padoca</t>
  </si>
  <si>
    <t>Queijo pro almoço</t>
  </si>
  <si>
    <t>C ristiane</t>
  </si>
  <si>
    <t>Sorvete da Tarde</t>
  </si>
  <si>
    <t>bolinho</t>
  </si>
  <si>
    <t>Docês</t>
  </si>
  <si>
    <t>Diferenãs</t>
  </si>
  <si>
    <t>Jornais</t>
  </si>
  <si>
    <t>Fatura AmEx</t>
  </si>
  <si>
    <t>Piercing novo</t>
  </si>
  <si>
    <t>Chocolocate + sorvete</t>
  </si>
  <si>
    <t xml:space="preserve"> Novembro / 2005</t>
  </si>
  <si>
    <t>Rifa do Elzio</t>
  </si>
  <si>
    <t>Xerox de documentos</t>
  </si>
  <si>
    <t>Sorvetes</t>
  </si>
  <si>
    <t>Areia do Gato</t>
  </si>
  <si>
    <t>PadariA</t>
  </si>
  <si>
    <t>Autenticação de documentos</t>
  </si>
  <si>
    <t>Saque p/ viagem</t>
  </si>
  <si>
    <t>Milk Shake Bobs</t>
  </si>
  <si>
    <t xml:space="preserve">Metro </t>
  </si>
  <si>
    <t>Mc Lanche</t>
  </si>
  <si>
    <t>McSorvete</t>
  </si>
  <si>
    <t>Café expresso</t>
  </si>
  <si>
    <t>Cocacola</t>
  </si>
  <si>
    <t>k-suco</t>
  </si>
  <si>
    <t>Foilhas de sulfitie</t>
  </si>
  <si>
    <t xml:space="preserve"> Dezembro / 2005</t>
  </si>
  <si>
    <t>Salgado</t>
  </si>
  <si>
    <t>metro</t>
  </si>
  <si>
    <t>taxi</t>
  </si>
  <si>
    <t>Quarda Cuvas</t>
  </si>
  <si>
    <t>onibus</t>
  </si>
  <si>
    <t>Fotos pro furlan</t>
  </si>
  <si>
    <t>Onibus Unitech</t>
  </si>
  <si>
    <t>Onibus p/ metrro</t>
  </si>
  <si>
    <t>Cartão pro almoço</t>
  </si>
  <si>
    <t>Trem</t>
  </si>
  <si>
    <t>Da Mignez</t>
  </si>
  <si>
    <t>No McDonald</t>
  </si>
  <si>
    <t>coca cola</t>
  </si>
  <si>
    <t>Troco Vr do Bobos</t>
  </si>
  <si>
    <t xml:space="preserve">Onibus </t>
  </si>
  <si>
    <t>Pro Terminal</t>
  </si>
  <si>
    <t>pra Imobiliaria nova</t>
  </si>
  <si>
    <t>saque pra documentos</t>
  </si>
  <si>
    <t>da Imobiliária</t>
  </si>
  <si>
    <t xml:space="preserve">pra Tim </t>
  </si>
  <si>
    <t xml:space="preserve">Oninus </t>
  </si>
  <si>
    <t>troco do McDonaldos</t>
  </si>
  <si>
    <t>Café Matinal</t>
  </si>
  <si>
    <t>Autenticar documentos aluguel</t>
  </si>
  <si>
    <t>Taxi ida e volta do cartório</t>
  </si>
  <si>
    <t>Bobos</t>
  </si>
  <si>
    <t>Coca cola</t>
  </si>
  <si>
    <t>Coffe break Fast</t>
  </si>
  <si>
    <t>Onibus pro Aeroporto</t>
  </si>
  <si>
    <t>Lanche do Sp Burguer</t>
  </si>
  <si>
    <t>chocolate + halls</t>
  </si>
  <si>
    <t>Mais Metro</t>
  </si>
  <si>
    <t>Troco de vale da Tia Maria</t>
  </si>
  <si>
    <t>Pra busangas</t>
  </si>
  <si>
    <t>Lanche na rodoviaria</t>
  </si>
  <si>
    <t>Taxi da Imob pro Ap</t>
  </si>
  <si>
    <t>Almoço no Habbibs</t>
  </si>
  <si>
    <t>estacionamento da Balada</t>
  </si>
  <si>
    <t>Pra cris</t>
  </si>
  <si>
    <t>DA Cris</t>
  </si>
  <si>
    <t>Busão pro trampo</t>
  </si>
  <si>
    <t>Conserto do Interfone</t>
  </si>
  <si>
    <t>Cris - papeis</t>
  </si>
  <si>
    <t>Comida do gato</t>
  </si>
  <si>
    <t>Sorverte</t>
  </si>
  <si>
    <t>Larissa</t>
  </si>
  <si>
    <t xml:space="preserve">Cópia de chaves do portão </t>
  </si>
  <si>
    <t>Troco de VRs</t>
  </si>
  <si>
    <t>correios</t>
  </si>
  <si>
    <t>Cumida do Gatto</t>
  </si>
  <si>
    <t>Ligar Telefone</t>
  </si>
  <si>
    <t>Taxi do Mercado</t>
  </si>
  <si>
    <t>Troco do Mc Donaldos</t>
  </si>
  <si>
    <t>mais troco do VR</t>
  </si>
  <si>
    <t>Pasteis na Feira</t>
  </si>
  <si>
    <t>saldo para Ajuste</t>
  </si>
  <si>
    <t xml:space="preserve"> Janeiro / 2006</t>
  </si>
  <si>
    <t>Troco do Vr</t>
  </si>
  <si>
    <t>Trem Metropolitanoo</t>
  </si>
  <si>
    <t>Lanche na Rua</t>
  </si>
  <si>
    <t>Lanche na Rodô</t>
  </si>
  <si>
    <t>Metrô</t>
  </si>
  <si>
    <t>Deposito UniBanco</t>
  </si>
  <si>
    <t>restaurante Pirelli</t>
  </si>
  <si>
    <t>Mais saque</t>
  </si>
  <si>
    <t>Areia do gatto</t>
  </si>
  <si>
    <t>Metros</t>
  </si>
  <si>
    <t>Suco Gelado</t>
  </si>
  <si>
    <t>Pra Cristiane</t>
  </si>
  <si>
    <t>doce de Brigadeiro e chocolate</t>
  </si>
  <si>
    <t>Coxinha Gostosa</t>
  </si>
  <si>
    <t>restaurante da pirelli</t>
  </si>
  <si>
    <t xml:space="preserve">saque </t>
  </si>
  <si>
    <t>Coxinhas Gostosas</t>
  </si>
  <si>
    <t>Mc Sorvetes</t>
  </si>
  <si>
    <t>Agua de cocô</t>
  </si>
  <si>
    <t>Pra Transporte</t>
  </si>
  <si>
    <t>Do Silvio</t>
  </si>
  <si>
    <t xml:space="preserve"> Fevereiro / 2006</t>
  </si>
  <si>
    <t xml:space="preserve">Comida wiskcas </t>
  </si>
  <si>
    <t xml:space="preserve"> Milk Shake</t>
  </si>
  <si>
    <t>Habbibs</t>
  </si>
  <si>
    <t>Pr aViagem</t>
  </si>
  <si>
    <t>Guaraná e batata fitras no mercado</t>
  </si>
  <si>
    <t>Cris</t>
  </si>
  <si>
    <t>Cvhocolate</t>
  </si>
  <si>
    <t>mETRô</t>
  </si>
  <si>
    <t>Milk Shake</t>
  </si>
  <si>
    <t>Taxy</t>
  </si>
  <si>
    <t>Pasta de Dentes</t>
  </si>
  <si>
    <t>Passses de Metro</t>
  </si>
  <si>
    <t xml:space="preserve">Sorvete </t>
  </si>
  <si>
    <t>MetrÔ</t>
  </si>
  <si>
    <t>Devolvi rpro Cassio</t>
  </si>
  <si>
    <t>Bolsa cris</t>
  </si>
  <si>
    <t>Locadora de Flmes</t>
  </si>
  <si>
    <t>Labche da tarde - que Lanche!</t>
  </si>
  <si>
    <t>Locadora de Flmes em DVD</t>
  </si>
  <si>
    <t>Saque pra Cris e pro Gato</t>
  </si>
  <si>
    <t xml:space="preserve">Banho do Gato e raçao </t>
  </si>
  <si>
    <t>Conserto do forno do Fugão</t>
  </si>
  <si>
    <t>Docê da Tarde</t>
  </si>
  <si>
    <t>Gasosa na motoca</t>
  </si>
  <si>
    <t>Caneta da Cris</t>
  </si>
  <si>
    <t>Nc Sorvetes</t>
  </si>
  <si>
    <t>Saque pro Tx</t>
  </si>
  <si>
    <t>Taxi pro Home Teather</t>
  </si>
  <si>
    <t>Pasteis no centro</t>
  </si>
  <si>
    <t>Onde, Onde está Wally ???</t>
  </si>
  <si>
    <t>Lanchinho da manha</t>
  </si>
  <si>
    <t>Entrada da Bienalç do Livro</t>
  </si>
  <si>
    <t>Revista da Cristiane</t>
  </si>
  <si>
    <t>Iman de geladeira da Cristiane</t>
  </si>
  <si>
    <t>Quisuco gelado</t>
  </si>
  <si>
    <t>Metro de volta</t>
  </si>
  <si>
    <t>Mc Sorverte</t>
  </si>
  <si>
    <t>pro presente do Rebento do Coyote</t>
  </si>
  <si>
    <t>Lanchinho da tarde</t>
  </si>
  <si>
    <t>Pro Taxy</t>
  </si>
  <si>
    <t>Café da manha</t>
  </si>
  <si>
    <t>Mousse de chocolate</t>
  </si>
  <si>
    <t>No shopping pro silvio</t>
  </si>
  <si>
    <t>LEDS UV</t>
  </si>
  <si>
    <t>Locadora Andy</t>
  </si>
  <si>
    <t>Pra Diversos</t>
  </si>
  <si>
    <t xml:space="preserve"> Abril / 2006</t>
  </si>
  <si>
    <t>Pasagens de Trem</t>
  </si>
  <si>
    <t>cardarço de Tênis</t>
  </si>
  <si>
    <t>Passagens de Metrô</t>
  </si>
  <si>
    <t>Passagens de Onibus</t>
  </si>
  <si>
    <t>pro Busão</t>
  </si>
  <si>
    <t>Xocolate quenter</t>
  </si>
  <si>
    <t xml:space="preserve">Taxy pra levar o gato no médico </t>
  </si>
  <si>
    <t>Lanche da tarde que equivale a um almoço</t>
  </si>
  <si>
    <t>Mc sorvete Feliz</t>
  </si>
  <si>
    <t>Lanchinho da Tarde</t>
  </si>
  <si>
    <t>Hospedagem</t>
  </si>
  <si>
    <t>Pro Onibus</t>
  </si>
  <si>
    <t>Onde, Onde está wally ???</t>
  </si>
  <si>
    <t xml:space="preserve"> Maio / 2006</t>
  </si>
  <si>
    <t>Achado no Bolso</t>
  </si>
  <si>
    <t>Troco do Almoço</t>
  </si>
  <si>
    <t>carrapatino</t>
  </si>
  <si>
    <t>Almoço dentro da tim</t>
  </si>
  <si>
    <t>Docê da Under Table</t>
  </si>
  <si>
    <t>Almolço</t>
  </si>
  <si>
    <t>Tx pra ir almoçar</t>
  </si>
  <si>
    <t>MAIS tx</t>
  </si>
  <si>
    <t>Cá gelado</t>
  </si>
  <si>
    <t>Cha gelado Ice Tea</t>
  </si>
  <si>
    <t xml:space="preserve"> Junho / 2006</t>
  </si>
  <si>
    <t>Mc Sorvete</t>
  </si>
  <si>
    <t>Para a cristiane</t>
  </si>
  <si>
    <t>pra Cristiane</t>
  </si>
  <si>
    <t>Troco do habbibs</t>
  </si>
  <si>
    <t>Doce de muce de xocolate</t>
  </si>
  <si>
    <t xml:space="preserve"> Julho / 2007</t>
  </si>
  <si>
    <t>troco do habbibs</t>
  </si>
  <si>
    <t>Locadora de filmes</t>
  </si>
  <si>
    <t>Sonho gostoso</t>
  </si>
  <si>
    <t>Almoço no carrefour</t>
  </si>
  <si>
    <t>Muçe de xocolate</t>
  </si>
  <si>
    <t>Docê</t>
  </si>
  <si>
    <t>pro busão</t>
  </si>
  <si>
    <t>Cortar Cabelo</t>
  </si>
  <si>
    <t>troco do VR do almoço</t>
  </si>
  <si>
    <t xml:space="preserve"> Agosto / 2006</t>
  </si>
  <si>
    <t xml:space="preserve">Pro Busão </t>
  </si>
  <si>
    <t>Do habbibs</t>
  </si>
  <si>
    <t>Do sorvete do Mc Donaldos</t>
  </si>
  <si>
    <t xml:space="preserve">Lanche da tarde </t>
  </si>
  <si>
    <t>Netrô</t>
  </si>
  <si>
    <t>Ônibus</t>
  </si>
  <si>
    <t>Lanche no parque</t>
  </si>
  <si>
    <t>Mais Onibus</t>
  </si>
  <si>
    <t>Docês da Tarde</t>
  </si>
  <si>
    <t>café da manha gostoso</t>
  </si>
  <si>
    <t xml:space="preserve">café da manhã </t>
  </si>
  <si>
    <t>Trem pra sana infigenia</t>
  </si>
  <si>
    <t>Game: Jogos de videogame</t>
  </si>
  <si>
    <t>Trem de Volta</t>
  </si>
  <si>
    <t>Lixas da Cristiane</t>
  </si>
  <si>
    <t>Paoes e coisas</t>
  </si>
  <si>
    <t>bandeijão</t>
  </si>
  <si>
    <t xml:space="preserve">docê na tardê </t>
  </si>
  <si>
    <t xml:space="preserve"> Setembro / 2006</t>
  </si>
  <si>
    <t>revistas das Cristiane</t>
  </si>
  <si>
    <t>Filmes de CDs</t>
  </si>
  <si>
    <t>Lanche no Mercado Municipal</t>
  </si>
  <si>
    <t>Docê no mercado municipal</t>
  </si>
  <si>
    <t>Metrô pra Paulistaa</t>
  </si>
  <si>
    <t>ônibus</t>
  </si>
  <si>
    <t>No Boobs milkskare</t>
  </si>
  <si>
    <t>Onibusus</t>
  </si>
  <si>
    <t>Passagens de Metro</t>
  </si>
  <si>
    <t>Na beira da Estrada</t>
  </si>
  <si>
    <t>Almoço no Sortie</t>
  </si>
  <si>
    <t>reconhecimento de firmas em cartórios</t>
  </si>
  <si>
    <t>Saque pra cristiane</t>
  </si>
  <si>
    <t>Pra cristiane</t>
  </si>
  <si>
    <t>Pro Pão e pro filtro de café</t>
  </si>
  <si>
    <t>Game: Jogos de videogame (MK e GT4)</t>
  </si>
  <si>
    <t>Porta CD de jogos</t>
  </si>
  <si>
    <t>Busão de volta</t>
  </si>
  <si>
    <t>Devover</t>
  </si>
  <si>
    <t>Saque Pra Cristiane</t>
  </si>
  <si>
    <t>Saque pro doc Twister</t>
  </si>
  <si>
    <t>Doc Twister</t>
  </si>
  <si>
    <t>Trocodo documento da Twister</t>
  </si>
  <si>
    <t>Capa de Celular + cordinhas de chaveiros</t>
  </si>
  <si>
    <t>Caixas de DVDs</t>
  </si>
  <si>
    <t>Porta Cartas</t>
  </si>
  <si>
    <t>Coisas da Cris de cabelos</t>
  </si>
  <si>
    <t>carrinhos de compras</t>
  </si>
  <si>
    <t>Pastel Feira</t>
  </si>
  <si>
    <t xml:space="preserve"> Outubro / 2006</t>
  </si>
  <si>
    <t>Seringas do Gatinho</t>
  </si>
  <si>
    <t>envelopes</t>
  </si>
  <si>
    <t>Pro seu lucas mandar as coisas</t>
  </si>
  <si>
    <t>Carta pro seu Lucas</t>
  </si>
  <si>
    <t>Onius</t>
  </si>
  <si>
    <t>Windows 64</t>
  </si>
  <si>
    <t xml:space="preserve">Win SP 2 Eng + Norton </t>
  </si>
  <si>
    <t>CDs e DVDs Virge</t>
  </si>
  <si>
    <t>Ogro Maltini</t>
  </si>
  <si>
    <t>Pro Opnibus</t>
  </si>
  <si>
    <t>Do Seu Pedro</t>
  </si>
  <si>
    <t>Habibins</t>
  </si>
  <si>
    <t>Almoço no shopping</t>
  </si>
  <si>
    <t>Pilha(s) do monitor cardiaco</t>
  </si>
  <si>
    <t>Pasteis e refri na feira</t>
  </si>
  <si>
    <t xml:space="preserve">M&amp;M´s </t>
  </si>
  <si>
    <t>Mussê de chocolatê</t>
  </si>
  <si>
    <t>k d ado</t>
  </si>
  <si>
    <t>Docê de Pão de meu</t>
  </si>
  <si>
    <t xml:space="preserve"> Novembro / 2006 </t>
  </si>
  <si>
    <t>Mc Flurry</t>
  </si>
  <si>
    <t xml:space="preserve">Saques </t>
  </si>
  <si>
    <t>Power Modem ADSL Wi-Fi</t>
  </si>
  <si>
    <t>Coquinha Gostosa</t>
  </si>
  <si>
    <t>Busão Pro santo André</t>
  </si>
  <si>
    <t>Lavar a tiran</t>
  </si>
  <si>
    <t>Estacionamento da tw</t>
  </si>
  <si>
    <t>Modeim ADESL</t>
  </si>
  <si>
    <t>Barra de Cereal</t>
  </si>
  <si>
    <t>Pra moto</t>
  </si>
  <si>
    <t>Pro Trabalho</t>
  </si>
  <si>
    <t>COISASde comer</t>
  </si>
  <si>
    <t>Lance de Tarde</t>
  </si>
  <si>
    <t>feirão do automovi</t>
  </si>
  <si>
    <t>pasteis</t>
  </si>
  <si>
    <t>devolver</t>
  </si>
  <si>
    <t>cartas da promoçao do estadão</t>
  </si>
  <si>
    <t>Pra casa do Cassio</t>
  </si>
  <si>
    <t xml:space="preserve"> Dezembro / 2006</t>
  </si>
  <si>
    <t>paes de Meis do Douglras</t>
  </si>
  <si>
    <t>Do cabo do Uilian</t>
  </si>
  <si>
    <t>Resto dos pães do douglas</t>
  </si>
  <si>
    <t>Troco do Uilian</t>
  </si>
  <si>
    <t>Da Cristiane pra joguinhos</t>
  </si>
  <si>
    <t>Diferença dos jogos</t>
  </si>
  <si>
    <t>Pilhas do monitor cardiaco</t>
  </si>
  <si>
    <t>Coisas de comer</t>
  </si>
  <si>
    <t>pasteis na feira</t>
  </si>
  <si>
    <t>conserto do paralame traseiro</t>
  </si>
  <si>
    <t>Saquê</t>
  </si>
  <si>
    <t>Mc Sorvete TOP</t>
  </si>
  <si>
    <t>Troco do Donaldos</t>
  </si>
  <si>
    <t>da Cristiane</t>
  </si>
  <si>
    <t>Pra Promoção do istadão</t>
  </si>
  <si>
    <t>Pro Taxy pra pegar o GarGaMovel</t>
  </si>
  <si>
    <t xml:space="preserve">Da Cris </t>
  </si>
  <si>
    <t>gasosa no Gargamovel</t>
  </si>
  <si>
    <t>No Shopping</t>
  </si>
  <si>
    <t xml:space="preserve">Do Rack do </t>
  </si>
  <si>
    <t>Coca litro</t>
  </si>
  <si>
    <t>Filme</t>
  </si>
  <si>
    <t>Mc Lanches</t>
  </si>
  <si>
    <t>No shopping</t>
  </si>
  <si>
    <t>Pasteis na fera</t>
  </si>
  <si>
    <t>Cd do córel drau</t>
  </si>
  <si>
    <t xml:space="preserve"> Janeiro / 2007</t>
  </si>
  <si>
    <t>Pro denis</t>
  </si>
  <si>
    <t>lanchê da tardê</t>
  </si>
  <si>
    <t>Coisas de COmer</t>
  </si>
  <si>
    <t>Pra Viagem</t>
  </si>
  <si>
    <t>café da manha</t>
  </si>
  <si>
    <t>Conserto da Vibração da moto e carga bat</t>
  </si>
  <si>
    <t>Pastéis na Fera</t>
  </si>
  <si>
    <t>Chocloate</t>
  </si>
  <si>
    <t>Lanche da terde</t>
  </si>
  <si>
    <t>No  Xópin ABC praza</t>
  </si>
  <si>
    <t>Pro sérgio, sandra e promoção do istadão</t>
  </si>
  <si>
    <t>Estacionamento no xópin</t>
  </si>
  <si>
    <t>coisas</t>
  </si>
  <si>
    <t>Docinhos do Douglas</t>
  </si>
  <si>
    <t xml:space="preserve"> Fevereiro / 2007</t>
  </si>
  <si>
    <t>Mucê de xocolate</t>
  </si>
  <si>
    <t>Mais coisas de comer</t>
  </si>
  <si>
    <t>Docê da kika</t>
  </si>
  <si>
    <t>Lavagem do carro</t>
  </si>
  <si>
    <t>Onibusão</t>
  </si>
  <si>
    <t>coisas de comer</t>
  </si>
  <si>
    <t>estacionamento de xópin</t>
  </si>
  <si>
    <t>cocacola</t>
  </si>
  <si>
    <t>estacionamento no centro</t>
  </si>
  <si>
    <t>No Habbibs</t>
  </si>
  <si>
    <t>Pasteis nas feiras</t>
  </si>
  <si>
    <t>Pro Furlan pra despesas de Aluguel + familia</t>
  </si>
  <si>
    <t xml:space="preserve">Fios e cabos </t>
  </si>
  <si>
    <t xml:space="preserve"> Março / 2007</t>
  </si>
  <si>
    <t xml:space="preserve">Coisas no posto </t>
  </si>
  <si>
    <t>Coisas comidas na praia</t>
  </si>
  <si>
    <t>estacionamento perto do cartório</t>
  </si>
  <si>
    <t xml:space="preserve">Despesas com o cartório (aluguel Ap) </t>
  </si>
  <si>
    <t xml:space="preserve">mais Saque pro furlan </t>
  </si>
  <si>
    <t>Sedex de Documentos para Aluguel</t>
  </si>
  <si>
    <t>Mc flurry</t>
  </si>
  <si>
    <t>pro Furlan pra despesas de cartório + correio</t>
  </si>
  <si>
    <t>Do Karlo</t>
  </si>
  <si>
    <t>Cofe da manha</t>
  </si>
  <si>
    <t>Coquinha no xópin</t>
  </si>
  <si>
    <t>Devolver</t>
  </si>
  <si>
    <t>Coca na feira</t>
  </si>
  <si>
    <t>Pasteis na feira</t>
  </si>
  <si>
    <t>Prastico Bolha</t>
  </si>
  <si>
    <t>Chaves DO Casa nova</t>
  </si>
  <si>
    <t>Coisas do Mercado Livre</t>
  </si>
  <si>
    <t>Tiozinho que colocou as coisas q faltavam</t>
  </si>
  <si>
    <t>reconhecer firma doc titan</t>
  </si>
  <si>
    <t>Venda da titan</t>
  </si>
  <si>
    <t xml:space="preserve">Mudança </t>
  </si>
  <si>
    <t>Pra ir pegar o carro</t>
  </si>
  <si>
    <t>Borracha do fugão</t>
  </si>
  <si>
    <t>Coisas da cozinha</t>
  </si>
  <si>
    <t>Ração e areia de coco</t>
  </si>
  <si>
    <t>Pizzas</t>
  </si>
  <si>
    <t xml:space="preserve">Tapete + Pufe + registro de gais </t>
  </si>
  <si>
    <t>Parafusadeira eletrica + chave fenda + procas</t>
  </si>
  <si>
    <t>Almoço no xópin</t>
  </si>
  <si>
    <t>Mais remedios pra bronquite</t>
  </si>
  <si>
    <t>remédios, mais remédios</t>
  </si>
  <si>
    <t>Cofé da manha</t>
  </si>
  <si>
    <t>veda Roscas Uiiii</t>
  </si>
  <si>
    <t>Docês da Trdê</t>
  </si>
  <si>
    <t>Mais coisas de comer na manha</t>
  </si>
  <si>
    <t xml:space="preserve">CD rom do Tiozinho </t>
  </si>
  <si>
    <t>Instalação do talufone Fixo</t>
  </si>
  <si>
    <t>Redes de Proteção</t>
  </si>
  <si>
    <t>Lanche do lugar do armoçu</t>
  </si>
  <si>
    <t>Mais Mercadi</t>
  </si>
  <si>
    <t>Pizzas. Mais pizzas</t>
  </si>
  <si>
    <t>Docê da Terde</t>
  </si>
  <si>
    <t>Onibus pro centro</t>
  </si>
  <si>
    <t>espelhos retrovisoreas da Tw</t>
  </si>
  <si>
    <t>Onibus pro trabalho</t>
  </si>
  <si>
    <t>Mais grana com a merda dos móveis novos</t>
  </si>
  <si>
    <t>estacionamento pra Tw</t>
  </si>
  <si>
    <t>Mc Trash</t>
  </si>
  <si>
    <t>Funilaria e pintura do GarGaMóvel</t>
  </si>
  <si>
    <t>Gazosa no GarGamóvel</t>
  </si>
  <si>
    <t>Estacionamento no hospital</t>
  </si>
  <si>
    <t>Olha a agua mineral, agua miral ...</t>
  </si>
  <si>
    <t>Chuveiro novo</t>
  </si>
  <si>
    <t>Farmácias denovo</t>
  </si>
  <si>
    <t>Gira Giraffas</t>
  </si>
  <si>
    <t>Coisas de mercados</t>
  </si>
  <si>
    <t>habbibs</t>
  </si>
  <si>
    <t>Coquinha de 2 litro</t>
  </si>
  <si>
    <t>Mc flurry de MMs</t>
  </si>
  <si>
    <t>Almoço no carry 4</t>
  </si>
  <si>
    <t>Arreia de coco de gatinho</t>
  </si>
  <si>
    <t>MMs</t>
  </si>
  <si>
    <t>Cortar Caeblos</t>
  </si>
  <si>
    <t>Controles remotos do portão</t>
  </si>
  <si>
    <t>Pra pegar as porcas dos retrovisores</t>
  </si>
  <si>
    <t>Porcas dos retrovisores</t>
  </si>
  <si>
    <t>Lipton Iced Tea de Pessego</t>
  </si>
  <si>
    <t>Muce de cholocate + docê</t>
  </si>
  <si>
    <t>pizzas</t>
  </si>
  <si>
    <t>cofe da manha</t>
  </si>
  <si>
    <t>Mc sorvete</t>
  </si>
  <si>
    <t>BomsBomns</t>
  </si>
  <si>
    <t>Gasosa no GarGaMóvel</t>
  </si>
  <si>
    <t xml:space="preserve"> Abril / 2007</t>
  </si>
  <si>
    <t>Coisas de comer na praria e aqui</t>
  </si>
  <si>
    <t>Hotel do Gatinho</t>
  </si>
  <si>
    <t>Pintura da Cléia</t>
  </si>
  <si>
    <t>Despacho do rube</t>
  </si>
  <si>
    <t>Có1uinha coquinha gostosa</t>
  </si>
  <si>
    <t>Bombom</t>
  </si>
  <si>
    <t>Carrapatinho</t>
  </si>
  <si>
    <t>pra Lurdinha</t>
  </si>
  <si>
    <t>pasteis no centro</t>
  </si>
  <si>
    <t>No xópin</t>
  </si>
  <si>
    <t>Capas Anti-alérgicas</t>
  </si>
  <si>
    <t>Cófe da manha</t>
  </si>
  <si>
    <t>Deposito no ItaU</t>
  </si>
  <si>
    <t>Onibus de ida e volta Pro centro</t>
  </si>
  <si>
    <t xml:space="preserve"> MAIO / 2007</t>
  </si>
  <si>
    <t>Lavagem no GarGaMóvel</t>
  </si>
  <si>
    <t>Olha a agua Mineral</t>
  </si>
  <si>
    <t>estacionamento do xópin</t>
  </si>
  <si>
    <t>Passagens de onibus</t>
  </si>
  <si>
    <t>Cabos de VGA macho/femea</t>
  </si>
  <si>
    <t>Tia loca que me extoceu</t>
  </si>
  <si>
    <t>Pro busão</t>
  </si>
  <si>
    <t>pra Pizzas</t>
  </si>
  <si>
    <t>Do Bolo do aniversariante do mês passado</t>
  </si>
  <si>
    <t>Barra de cereal matinal</t>
  </si>
  <si>
    <t>Caixa de Sedex pro Monitor</t>
  </si>
  <si>
    <t>Despacho do monitor cardiaco pra Assist</t>
  </si>
  <si>
    <t>lanche da tardê</t>
  </si>
  <si>
    <t>Coisas diversas de comer</t>
  </si>
  <si>
    <t>Bullying: God Of war II e FFXII</t>
  </si>
  <si>
    <t>Cófe da Manha</t>
  </si>
  <si>
    <t>No xópin praza</t>
  </si>
  <si>
    <t xml:space="preserve">Do renato loco </t>
  </si>
  <si>
    <t xml:space="preserve"> Junho / 2007</t>
  </si>
  <si>
    <t xml:space="preserve">CAFés diversos de manhna no posto </t>
  </si>
  <si>
    <t>Cafés diversos</t>
  </si>
  <si>
    <t xml:space="preserve">Filmes diversos </t>
  </si>
  <si>
    <t>Game: DVDs de Jogos Diversos</t>
  </si>
  <si>
    <t>Lanche enquanto espera o Play2</t>
  </si>
  <si>
    <t>Pagamento da Tunnagem do Play2</t>
  </si>
  <si>
    <t>Passagens de Oninusão</t>
  </si>
  <si>
    <t>Pra Cristians</t>
  </si>
  <si>
    <t xml:space="preserve">Olha a agua mineral </t>
  </si>
  <si>
    <t>pagar pro tiozinho retirar o box</t>
  </si>
  <si>
    <t xml:space="preserve"> Agosto/2007</t>
  </si>
  <si>
    <t xml:space="preserve"> setembro / 2007</t>
  </si>
  <si>
    <t>Do INSS</t>
  </si>
  <si>
    <t>Praq Cris</t>
  </si>
  <si>
    <t>Gazoza no GarGaMóvel</t>
  </si>
  <si>
    <t>Estacionamento do Hospital</t>
  </si>
  <si>
    <t>FARmácias</t>
  </si>
  <si>
    <t>Caixinha Pra arrumar o vidro do carro</t>
  </si>
  <si>
    <t>estacionamento do hospital</t>
  </si>
  <si>
    <t xml:space="preserve"> Outubro / 2007 </t>
  </si>
  <si>
    <t>Coocas</t>
  </si>
  <si>
    <t>Sorvetes no xópin</t>
  </si>
  <si>
    <t>Sedex pra Piraju</t>
  </si>
  <si>
    <t>Estacionamento Blue zone</t>
  </si>
  <si>
    <t>Estacionamentos do hospital</t>
  </si>
  <si>
    <t>refrigerante do xópin</t>
  </si>
  <si>
    <t>Saquedo ItaU</t>
  </si>
  <si>
    <t>Estacionamento zona asul</t>
  </si>
  <si>
    <t xml:space="preserve">Estacionamento hospital </t>
  </si>
  <si>
    <t xml:space="preserve"> Novemrbro / 2007</t>
  </si>
  <si>
    <t>Dinheiro do INSS</t>
  </si>
  <si>
    <t>Estacionamento no centro</t>
  </si>
  <si>
    <t>Lanche de almoço</t>
  </si>
  <si>
    <t>estacionamento no hospital</t>
  </si>
  <si>
    <t>Saque do itau</t>
  </si>
  <si>
    <t>Pra Pizzas</t>
  </si>
  <si>
    <t>Saque do real</t>
  </si>
  <si>
    <t>Estacionamento do hospital</t>
  </si>
  <si>
    <t xml:space="preserve">no hospita </t>
  </si>
  <si>
    <t>Saque do Real</t>
  </si>
  <si>
    <t>Estacionamento de Zona Azul</t>
  </si>
  <si>
    <t>Estacionamento no Hospital</t>
  </si>
  <si>
    <t xml:space="preserve"> Dezembro / 2007</t>
  </si>
  <si>
    <t>Da Cristiabne</t>
  </si>
  <si>
    <t>Taxis</t>
  </si>
  <si>
    <t>Pasteis</t>
  </si>
  <si>
    <t>Lavagem do GarGAMóvel</t>
  </si>
  <si>
    <t>Papeis da Cris</t>
  </si>
  <si>
    <t>Estacionamento pra comprar Guitarras</t>
  </si>
  <si>
    <t>Ki-sucos e sorvetes no xópin</t>
  </si>
  <si>
    <t>estacionamento no xópin</t>
  </si>
  <si>
    <t xml:space="preserve"> Janeiro / 2008</t>
  </si>
  <si>
    <t>Sorvete da tarde</t>
  </si>
  <si>
    <t>Farmácias</t>
  </si>
  <si>
    <t xml:space="preserve">Lanche terde </t>
  </si>
  <si>
    <t>Estacionamento do hostpital</t>
  </si>
  <si>
    <t>Carrapatino´s</t>
  </si>
  <si>
    <t>Do Xópin</t>
  </si>
  <si>
    <t>Lanche da Terde</t>
  </si>
  <si>
    <t>Lannhe da manha</t>
  </si>
  <si>
    <t>Miuque xeique do bóbis</t>
  </si>
  <si>
    <t>Pro Denniss</t>
  </si>
  <si>
    <t>estacionamento na rodoviária</t>
  </si>
  <si>
    <t>Estacionamento do xópen</t>
  </si>
  <si>
    <t xml:space="preserve"> Fevereiro / 2008</t>
  </si>
  <si>
    <t>Game: Dvd de Jogo PS2 Aeon Flux</t>
  </si>
  <si>
    <t>Revista Covr Guitar</t>
  </si>
  <si>
    <t>Lavagem do GarGamóvel</t>
  </si>
  <si>
    <t>Cóquinha gostosa</t>
  </si>
  <si>
    <t>lanchinho da Terde</t>
  </si>
  <si>
    <t>Lanche de Terde</t>
  </si>
  <si>
    <t>Saque do ITAU</t>
  </si>
  <si>
    <t>estacionamento do xópen</t>
  </si>
  <si>
    <t>Sauqe do REAL</t>
  </si>
  <si>
    <t>IPTU 2008</t>
  </si>
  <si>
    <t>estacionamento no banco</t>
  </si>
  <si>
    <t>Areia de coco de gatinho</t>
  </si>
  <si>
    <t>Olha a agua mineral</t>
  </si>
  <si>
    <t>Reconhecimento de firmas</t>
  </si>
  <si>
    <t>estacionamento no hospitals</t>
  </si>
  <si>
    <t>Lanche de Manha</t>
  </si>
  <si>
    <t>estacionameno na Casa esperança(?)</t>
  </si>
  <si>
    <t>Coquinha gostosa</t>
  </si>
  <si>
    <t>mais saque do real</t>
  </si>
  <si>
    <t>Lanche da manha</t>
  </si>
  <si>
    <t>Chocolate da terde</t>
  </si>
  <si>
    <t>pasteis do Japoneis no centrp</t>
  </si>
  <si>
    <t>Estacionamento do centro</t>
  </si>
  <si>
    <t xml:space="preserve">Venda da TV pro santana - Parte 1 </t>
  </si>
  <si>
    <t xml:space="preserve">Pizza´s </t>
  </si>
  <si>
    <t xml:space="preserve"> Março / 2008</t>
  </si>
  <si>
    <t>Cabo Spiraflex</t>
  </si>
  <si>
    <t>Cabos e conexões</t>
  </si>
  <si>
    <t>Pastas e fones</t>
  </si>
  <si>
    <t>Espetinhos de carne de frangos</t>
  </si>
  <si>
    <t>Lanchinho da Manha</t>
  </si>
  <si>
    <t>Lanche da TERDE</t>
  </si>
  <si>
    <t>café no post0</t>
  </si>
  <si>
    <t>Churros</t>
  </si>
  <si>
    <t>Pizza´s</t>
  </si>
  <si>
    <t>Pro porteiro maluco</t>
  </si>
  <si>
    <t>recebimento do Santana</t>
  </si>
  <si>
    <t>Pra Cristiane recarregar cartuchos</t>
  </si>
  <si>
    <t xml:space="preserve">Saque do real </t>
  </si>
  <si>
    <t>Depósito pro Tiozinho do Mouse</t>
  </si>
  <si>
    <t>Saque do Itau</t>
  </si>
  <si>
    <t xml:space="preserve">Correio pra enviar o mouse </t>
  </si>
  <si>
    <t>Estacionamento no Centro</t>
  </si>
  <si>
    <t>Box de marbo</t>
  </si>
  <si>
    <t>Maco istaile de marba</t>
  </si>
  <si>
    <t>Saque do IaU</t>
  </si>
  <si>
    <t>Almoço na Tia´s</t>
  </si>
  <si>
    <t xml:space="preserve">Lavagem do GarGamóvel </t>
  </si>
  <si>
    <t>Coffi no xópin</t>
  </si>
  <si>
    <t>Lancha no posto na extrada</t>
  </si>
  <si>
    <t>Raiox X de tornozelos</t>
  </si>
  <si>
    <t>Mais saques doreal</t>
  </si>
  <si>
    <t xml:space="preserve">Sorvetes </t>
  </si>
  <si>
    <t>Gasto em Que ??</t>
  </si>
  <si>
    <t>Lanche na estradas</t>
  </si>
  <si>
    <t>cófis</t>
  </si>
  <si>
    <t xml:space="preserve"> Abril / 2008</t>
  </si>
  <si>
    <t>Saque do ItaU</t>
  </si>
  <si>
    <t>Estacionamento do xópin</t>
  </si>
  <si>
    <t>Coquinhas, xocolates e marbo</t>
  </si>
  <si>
    <t>Busão pra terra do metal</t>
  </si>
  <si>
    <t>Adesivos do Ezzy</t>
  </si>
  <si>
    <t>Bandana do Ezzy</t>
  </si>
  <si>
    <t>arquivo de diabinho do ezzy</t>
  </si>
  <si>
    <t>E o resto foi de Bebidas</t>
  </si>
  <si>
    <t>Comida Japoniezas</t>
  </si>
  <si>
    <t>Estacionamento no hospial</t>
  </si>
  <si>
    <t>Coffée da manha</t>
  </si>
  <si>
    <t>Saque so ItaU</t>
  </si>
  <si>
    <t>Jogos Assassins Helgate Tomraider</t>
  </si>
  <si>
    <t>Cóquiha no xópin</t>
  </si>
  <si>
    <t>Devolução do Portero</t>
  </si>
  <si>
    <t>maço de Marlboro</t>
  </si>
  <si>
    <t>Folhas de papeis pra Cris</t>
  </si>
  <si>
    <t>Mais um maço de Marlboro</t>
  </si>
  <si>
    <t>materiais de Cófe da manha Na paccocca´s</t>
  </si>
  <si>
    <t>estacionamento do Hospital</t>
  </si>
  <si>
    <t>Coisas diversas</t>
  </si>
  <si>
    <t>Mais um</t>
  </si>
  <si>
    <t>Kisucos no carry4</t>
  </si>
  <si>
    <t>Ezstacionamento no centro</t>
  </si>
  <si>
    <t>Saque do REAL</t>
  </si>
  <si>
    <t>Lanchinho da Terde</t>
  </si>
  <si>
    <t>Mais Um</t>
  </si>
  <si>
    <t>Aacertos</t>
  </si>
  <si>
    <t xml:space="preserve"> Maio / 2008</t>
  </si>
  <si>
    <t xml:space="preserve">Mais um </t>
  </si>
  <si>
    <t>Laser pra Lazer do Gato</t>
  </si>
  <si>
    <t>Halls preto</t>
  </si>
  <si>
    <t>Saque dp Real</t>
  </si>
  <si>
    <t>Depósito pra pagar iAcessórios</t>
  </si>
  <si>
    <t xml:space="preserve">Mais Um </t>
  </si>
  <si>
    <t>Agua mineral</t>
  </si>
  <si>
    <t>Pra Crisitane</t>
  </si>
  <si>
    <t>Lavagem no gargamel</t>
  </si>
  <si>
    <t>Pro bandejão</t>
  </si>
  <si>
    <t>Lance de terder</t>
  </si>
  <si>
    <t>Coisas de beber em piraju</t>
  </si>
  <si>
    <t>Buteco de piraju</t>
  </si>
  <si>
    <t>Nas Baladas DE Pirajus</t>
  </si>
  <si>
    <t>Cerveja no Buteco</t>
  </si>
  <si>
    <t xml:space="preserve">Cofé da Manha </t>
  </si>
  <si>
    <t>Mais daque do real</t>
  </si>
  <si>
    <t>Pra tia que limpa</t>
  </si>
  <si>
    <t>Pra Crisiane</t>
  </si>
  <si>
    <t>Cófi da manha</t>
  </si>
  <si>
    <t>Pro Karlo</t>
  </si>
  <si>
    <t xml:space="preserve"> Junho / 2008</t>
  </si>
  <si>
    <t>Mais um e LA</t>
  </si>
  <si>
    <t>Lanchde de noite antes do chow</t>
  </si>
  <si>
    <t>Estacionamento no Show</t>
  </si>
  <si>
    <t>Camisetas e paletas do Megadeth</t>
  </si>
  <si>
    <t xml:space="preserve">Lanchinho no centro </t>
  </si>
  <si>
    <t>Acougue I</t>
  </si>
  <si>
    <t>Açougue II</t>
  </si>
  <si>
    <t>Lanchinho de Terde</t>
  </si>
  <si>
    <t>Cófi no xópin</t>
  </si>
  <si>
    <t>Da cristiane</t>
  </si>
  <si>
    <t>Lanche de manha</t>
  </si>
  <si>
    <t xml:space="preserve"> Julho / 2008</t>
  </si>
  <si>
    <t>Cordas de guitarras pro UILHA</t>
  </si>
  <si>
    <t>Lanchinho no centro</t>
  </si>
  <si>
    <t>Mais duas palhetas novas</t>
  </si>
  <si>
    <t>Pilhas para o monitor cardeaco</t>
  </si>
  <si>
    <t>restencia do xuvero</t>
  </si>
  <si>
    <t>Frutas Frescas</t>
  </si>
  <si>
    <t xml:space="preserve">Estacionamento no xópin </t>
  </si>
  <si>
    <t>Bengala de Dança de Ventres</t>
  </si>
  <si>
    <t>Sucos no Centro</t>
  </si>
  <si>
    <t>Lavagem do GarGamóbile</t>
  </si>
  <si>
    <t>Mais Dois</t>
  </si>
  <si>
    <t>Jogo na Loteria - AGORA VAI</t>
  </si>
  <si>
    <t>Cafés e sucos</t>
  </si>
  <si>
    <t>saque pra diversos</t>
  </si>
  <si>
    <t>cafés diversos</t>
  </si>
  <si>
    <t xml:space="preserve"> Agosto / 2008</t>
  </si>
  <si>
    <t>mais um</t>
  </si>
  <si>
    <t>daque pra diversos</t>
  </si>
  <si>
    <t>Estacionamento na Naite</t>
  </si>
  <si>
    <t>Mais um conserto do peneu do gargamóvel</t>
  </si>
  <si>
    <t>Lucky Strike</t>
  </si>
  <si>
    <t>Cafézim</t>
  </si>
  <si>
    <t>Estacionamento no óculista</t>
  </si>
  <si>
    <t>estacionamento na rodoviaria</t>
  </si>
  <si>
    <t>Chaveiro do BLS</t>
  </si>
  <si>
    <t>DVDs de Filmes Piratas</t>
  </si>
  <si>
    <t>Cafés no xópin</t>
  </si>
  <si>
    <t>Suquinhos no centro</t>
  </si>
  <si>
    <t>Estacionamento no El Botin</t>
  </si>
  <si>
    <t>Caderno pra aula de guitarras</t>
  </si>
  <si>
    <t>Na rodoviarias</t>
  </si>
  <si>
    <t>Fezinha na loto</t>
  </si>
  <si>
    <t>No centro na nova aulinha de quitarras</t>
  </si>
  <si>
    <t>Colirios e sais nasais</t>
  </si>
  <si>
    <t>Estacionamento no Dentista</t>
  </si>
  <si>
    <t xml:space="preserve">Pra Cristiane </t>
  </si>
  <si>
    <t>Café No xópin cagalera</t>
  </si>
  <si>
    <t>Café na tim</t>
  </si>
  <si>
    <t>Cortar os cabelos da cabeça</t>
  </si>
  <si>
    <t>Pipocas no xópin</t>
  </si>
  <si>
    <t>Lanches no posto de madrugadas</t>
  </si>
  <si>
    <t>Cofé de manha no Patio San Miguel</t>
  </si>
  <si>
    <t>Suco no royal plaza</t>
  </si>
  <si>
    <t>Lisador pra dor mortal</t>
  </si>
  <si>
    <t>troco da Cristiane</t>
  </si>
  <si>
    <t>Materiais de Curativos</t>
  </si>
  <si>
    <t>Lanche no posto de madrugada</t>
  </si>
  <si>
    <t>Taxi pra vir embora</t>
  </si>
  <si>
    <t>No Hospital</t>
  </si>
  <si>
    <t>Lanches na paccocca´s</t>
  </si>
  <si>
    <t>Mais NO hOSpital</t>
  </si>
  <si>
    <t xml:space="preserve"> setembro / 2008</t>
  </si>
  <si>
    <t>Saque para diversos</t>
  </si>
  <si>
    <t>Desas no catórioos</t>
  </si>
  <si>
    <t>Café no Xópin</t>
  </si>
  <si>
    <t>Capa do celular</t>
  </si>
  <si>
    <t>estacionamento no banco do centro</t>
  </si>
  <si>
    <t>saque d ITAU</t>
  </si>
  <si>
    <t>estacionamento no INSS</t>
  </si>
  <si>
    <t xml:space="preserve"> Outubro / 2008</t>
  </si>
  <si>
    <t xml:space="preserve">Taxi prra ir pegar o GarGaMóvel </t>
  </si>
  <si>
    <t>Esyacionamento no El Botin</t>
  </si>
  <si>
    <t>Estacionamentono centro</t>
  </si>
  <si>
    <t>Gazoza no gargamóvel</t>
  </si>
  <si>
    <t>Comidas japonesas nas liberdades</t>
  </si>
  <si>
    <t>Estacionamento na liberdade</t>
  </si>
  <si>
    <t>Paccocca´s</t>
  </si>
  <si>
    <t>Estacionamento INSS</t>
  </si>
  <si>
    <t>lanche na paccocca´s</t>
  </si>
  <si>
    <t>pra caixas de mudanças</t>
  </si>
  <si>
    <t>Café no xópin</t>
  </si>
  <si>
    <t>Saque de Poupanças</t>
  </si>
  <si>
    <t>Almoço no habibis</t>
  </si>
  <si>
    <t>Parafusos da moto</t>
  </si>
  <si>
    <t>Mais Saque de Poupanças</t>
  </si>
  <si>
    <t>Livros de Games</t>
  </si>
  <si>
    <t>Revista do Trigun Maximun</t>
  </si>
  <si>
    <t>Despesas da mudança</t>
  </si>
  <si>
    <t>Mercado da Vouquis</t>
  </si>
  <si>
    <t>C&amp;C Casa e Construção</t>
  </si>
  <si>
    <t>No Mercado da Vouquis</t>
  </si>
  <si>
    <t>Coisas de comer em algum lugar</t>
  </si>
  <si>
    <t>iuqui xeique do Bóbis</t>
  </si>
  <si>
    <t xml:space="preserve">Coisas de comer por aqi </t>
  </si>
  <si>
    <t>Ligação de linha telefonica</t>
  </si>
  <si>
    <t>Habbibbibs</t>
  </si>
  <si>
    <t xml:space="preserve">Estacionamento em SP </t>
  </si>
  <si>
    <t>Café perto do Hospital</t>
  </si>
  <si>
    <t>Saque do  ItaU</t>
  </si>
  <si>
    <t>Saque da Poupança</t>
  </si>
  <si>
    <t>Lanche no centro</t>
  </si>
  <si>
    <t>Estacionamento no o-CU-lista</t>
  </si>
  <si>
    <t>Fluidio do Zippos</t>
  </si>
  <si>
    <t>Saque da PouPança</t>
  </si>
  <si>
    <t>Mais UM</t>
  </si>
  <si>
    <t>Lanche no mercadis</t>
  </si>
  <si>
    <t xml:space="preserve"> Novembro / 2008</t>
  </si>
  <si>
    <t>Agua de Cocô no mercadis</t>
  </si>
  <si>
    <t>Auxilio-doença</t>
  </si>
  <si>
    <t>Olha a Agua Mineral</t>
  </si>
  <si>
    <t>Estacionamento no Metropis</t>
  </si>
  <si>
    <t>Rifa na TIM</t>
  </si>
  <si>
    <t>Onde está wally ?????</t>
  </si>
  <si>
    <t>Estacionameno do xópin ABC CoCô</t>
  </si>
  <si>
    <t>Lanche na rua</t>
  </si>
  <si>
    <t>Estacionamento no Credicard Hall</t>
  </si>
  <si>
    <t>bebidas e Afins no CCH</t>
  </si>
  <si>
    <t>Pizzas em final-de-noite</t>
  </si>
  <si>
    <t>Under Table do Bobos</t>
  </si>
  <si>
    <t>pra Cidas</t>
  </si>
  <si>
    <t xml:space="preserve">mais um </t>
  </si>
  <si>
    <t>eletrcistas</t>
  </si>
  <si>
    <t>Coisas de Mato de Gatos</t>
  </si>
  <si>
    <t>Lavagem do GarGaMóvel</t>
  </si>
  <si>
    <t>Lenche de terde</t>
  </si>
  <si>
    <t>Almoço no primu´s</t>
  </si>
  <si>
    <t>Lenche de Terde</t>
  </si>
  <si>
    <t>Maquiagia da Cristiane</t>
  </si>
  <si>
    <t>Jogo na loto</t>
  </si>
  <si>
    <t>Ajuda pra TIM SC</t>
  </si>
  <si>
    <t>Estacionamenos</t>
  </si>
  <si>
    <t xml:space="preserve">Mais estacionamentos </t>
  </si>
  <si>
    <t>Rastelinho do jardinzin Zem</t>
  </si>
  <si>
    <t xml:space="preserve"> Dezembro / 2008</t>
  </si>
  <si>
    <t>Cófis no xópin</t>
  </si>
  <si>
    <t>Xaves das Portais</t>
  </si>
  <si>
    <t>Café ne Ce e Ce</t>
  </si>
  <si>
    <t>Fézinha na Loto</t>
  </si>
  <si>
    <t>Café no centro</t>
  </si>
  <si>
    <t>Mais estacionamento</t>
  </si>
  <si>
    <t xml:space="preserve">Agua mineral </t>
  </si>
  <si>
    <t>Vedação de xuberos</t>
  </si>
  <si>
    <t>Estacionamento centro</t>
  </si>
  <si>
    <t>No Aeroporto</t>
  </si>
  <si>
    <t>Saque d Real</t>
  </si>
  <si>
    <t>Molduras de cuadros de paredes</t>
  </si>
  <si>
    <t>Vafé no xópin</t>
  </si>
  <si>
    <t>Mais um ?!?!?</t>
  </si>
  <si>
    <t>No Habibis</t>
  </si>
  <si>
    <t>café no xópin</t>
  </si>
  <si>
    <t>café no centro</t>
  </si>
  <si>
    <t>Devolução das redes de proteção</t>
  </si>
  <si>
    <t>lanche no mercado</t>
  </si>
  <si>
    <t>Papeis de Cristiane</t>
  </si>
  <si>
    <t>Pra CIDA</t>
  </si>
  <si>
    <t>Lanche no xópin</t>
  </si>
  <si>
    <t>Na paccocca´s</t>
  </si>
  <si>
    <t>Lanche na fera</t>
  </si>
  <si>
    <t>Lanche na paccocca do centro</t>
  </si>
  <si>
    <t>Cuadros novos</t>
  </si>
  <si>
    <t>No butecu´s</t>
  </si>
  <si>
    <t>Estacionamento no Butecu´s</t>
  </si>
  <si>
    <t xml:space="preserve">Lanche de Terde </t>
  </si>
  <si>
    <t>Estacionamentos diversificados</t>
  </si>
  <si>
    <t>Mc Tortinhas</t>
  </si>
  <si>
    <t>Pasteis nas Fera</t>
  </si>
  <si>
    <t>Enfeites de bolas de gels pra vasos</t>
  </si>
  <si>
    <t>Janeiro / 2009</t>
  </si>
  <si>
    <t>Baterias de Relógios</t>
  </si>
  <si>
    <t>Flanelas de Polir Pratas</t>
  </si>
  <si>
    <t>estacionamento hospital</t>
  </si>
  <si>
    <t>Cafes nos xópin</t>
  </si>
  <si>
    <t>Trigun Maximun</t>
  </si>
  <si>
    <t>Lanhcinho de noite no trabalho</t>
  </si>
  <si>
    <t>Pastel na fera</t>
  </si>
  <si>
    <t>Cófi de Manha</t>
  </si>
  <si>
    <t xml:space="preserve">Agua Mineral </t>
  </si>
  <si>
    <t>Almoço no Primu´s</t>
  </si>
  <si>
    <t xml:space="preserve">Cafes diversos </t>
  </si>
  <si>
    <t>Fotos reveladas</t>
  </si>
  <si>
    <t>Tapa na Guitarra</t>
  </si>
  <si>
    <t>Suquinho Lenche de Terde</t>
  </si>
  <si>
    <t>Estacionamento de guitarras</t>
  </si>
  <si>
    <t>Estacionamento de hospital</t>
  </si>
  <si>
    <t>Cafés no centros</t>
  </si>
  <si>
    <t>estacionamentos no centros</t>
  </si>
  <si>
    <t>Qui-suco no centro</t>
  </si>
  <si>
    <t>Fevereiro / 2009</t>
  </si>
  <si>
    <t>Estacionamento Xópin</t>
  </si>
  <si>
    <t xml:space="preserve">Do Real </t>
  </si>
  <si>
    <t xml:space="preserve">Pra Diversos </t>
  </si>
  <si>
    <t>miuqe  xeique do bóbis</t>
  </si>
  <si>
    <t xml:space="preserve">Estacionamento  no agua doce </t>
  </si>
  <si>
    <t>Game: Tomb Raider PS2</t>
  </si>
  <si>
    <t>Diversos no centro</t>
  </si>
  <si>
    <t>Saque pra Diversos do REAL</t>
  </si>
  <si>
    <t>Cura-tivos</t>
  </si>
  <si>
    <t>Raxide de presente</t>
  </si>
  <si>
    <t>Novo Saque de Real</t>
  </si>
  <si>
    <t>Mais sarque de Real</t>
  </si>
  <si>
    <t>Ingressos de Iates</t>
  </si>
  <si>
    <t>Bebidas de Iate</t>
  </si>
  <si>
    <t>Lanches de fins de noites</t>
  </si>
  <si>
    <t>Sorvetes e diversos</t>
  </si>
  <si>
    <t>Mc Pato Donaldos</t>
  </si>
  <si>
    <t xml:space="preserve"> Março / 2009</t>
  </si>
  <si>
    <t>Aluguel de garagens</t>
  </si>
  <si>
    <t>Estacionamentos no Centros</t>
  </si>
  <si>
    <t>Doação pra ajuda pra funcionários</t>
  </si>
  <si>
    <t>Mais estacionamentos</t>
  </si>
  <si>
    <t>lenches de pra-ias</t>
  </si>
  <si>
    <t xml:space="preserve">Para o Show do Iron </t>
  </si>
  <si>
    <t>Taxi pra riff Pro Iron</t>
  </si>
  <si>
    <t>Almoço na paccocca´s</t>
  </si>
  <si>
    <t>Busão pra terra do Metal</t>
  </si>
  <si>
    <t>Aguas e doritos de postos</t>
  </si>
  <si>
    <t>Iron-coisas</t>
  </si>
  <si>
    <t>Bebidas e comidas durante o show</t>
  </si>
  <si>
    <t>Estacionamento n centro</t>
  </si>
  <si>
    <t>saque do real</t>
  </si>
  <si>
    <t>cortar cabelos</t>
  </si>
  <si>
    <t>pra cristiane</t>
  </si>
  <si>
    <t>Frutunha de Terde</t>
  </si>
  <si>
    <t>Pro Presente do KIM</t>
  </si>
  <si>
    <t>saque do REAl pra diversos</t>
  </si>
  <si>
    <t>Cafés no centro</t>
  </si>
  <si>
    <t>lenche na paccocca</t>
  </si>
  <si>
    <t>Cofi de Manha</t>
  </si>
  <si>
    <t>conserto do relógio</t>
  </si>
  <si>
    <t>cofi no xópin</t>
  </si>
  <si>
    <t>Abril / 2009</t>
  </si>
  <si>
    <t>pro presente de casamento do edu-ardo</t>
  </si>
  <si>
    <t>Cofi no centro</t>
  </si>
  <si>
    <t>Cofi no xópin</t>
  </si>
  <si>
    <t>Trigun Maximun 05</t>
  </si>
  <si>
    <t>Café de xópin</t>
  </si>
  <si>
    <t>Saque diversos</t>
  </si>
  <si>
    <t>Estacionamento xópin</t>
  </si>
  <si>
    <t>Mais Saque</t>
  </si>
  <si>
    <t>mais Um</t>
  </si>
  <si>
    <t xml:space="preserve"> Maio / 2009</t>
  </si>
  <si>
    <t>estacinamento no xópin</t>
  </si>
  <si>
    <t>estacionamento no el-Botin</t>
  </si>
  <si>
    <t>Incensos diversos</t>
  </si>
  <si>
    <t>estacionamento n Liberty</t>
  </si>
  <si>
    <t>Café de caputinos</t>
  </si>
  <si>
    <t xml:space="preserve">No Centro </t>
  </si>
  <si>
    <t>Fotos da Cristiane</t>
  </si>
  <si>
    <t>Correio pro presente do mário</t>
  </si>
  <si>
    <t>Coquinha Na Fera</t>
  </si>
  <si>
    <t>Saque Do Real</t>
  </si>
  <si>
    <t>Gazoza no garGaMovel</t>
  </si>
  <si>
    <t>Chicretes Pretis</t>
  </si>
  <si>
    <t>Estacionamento do Credicardhell</t>
  </si>
  <si>
    <t>No CrediCardHell</t>
  </si>
  <si>
    <t>Lenchde de final de noite de paccocca´s</t>
  </si>
  <si>
    <t xml:space="preserve">Na rodô </t>
  </si>
  <si>
    <t>Mais coisas pra Cristiane</t>
  </si>
  <si>
    <t>Café de Manha</t>
  </si>
  <si>
    <t>Cordas de Guitarras</t>
  </si>
  <si>
    <t>Paes Diversos</t>
  </si>
  <si>
    <t>ProPresente do Daniel</t>
  </si>
  <si>
    <t>Montagem do movel da sala</t>
  </si>
  <si>
    <t>Cafés No Centro</t>
  </si>
  <si>
    <t>Do real0</t>
  </si>
  <si>
    <t>Na Balladas</t>
  </si>
  <si>
    <t>Junho/2009</t>
  </si>
  <si>
    <t xml:space="preserve">Saqure do REAL </t>
  </si>
  <si>
    <t>No Xópin</t>
  </si>
  <si>
    <t>mais UM</t>
  </si>
  <si>
    <t>No metropis</t>
  </si>
  <si>
    <t>No Crepparias</t>
  </si>
  <si>
    <t>Do real</t>
  </si>
  <si>
    <t>&lt;ais hum</t>
  </si>
  <si>
    <t>Saque di REAL</t>
  </si>
  <si>
    <t>Quermesses da igrejas</t>
  </si>
  <si>
    <t xml:space="preserve">Lampadas Negras </t>
  </si>
  <si>
    <t>Suportes pra HD Externos</t>
  </si>
  <si>
    <t>Emprestimo do Gilzinho</t>
  </si>
  <si>
    <t>capa Bahiana de celular</t>
  </si>
  <si>
    <t>Da Patricia</t>
  </si>
  <si>
    <t>Pasteis de feras</t>
  </si>
  <si>
    <t>Coquinhas</t>
  </si>
  <si>
    <t>devolvido pro Gil</t>
  </si>
  <si>
    <t>Estacionammento no xópin</t>
  </si>
  <si>
    <t>Mais HUM</t>
  </si>
  <si>
    <t xml:space="preserve"> Julho / 2009</t>
  </si>
  <si>
    <t>mais HUM</t>
  </si>
  <si>
    <t>Docinho de Xópin</t>
  </si>
  <si>
    <t>Estacionamento de xópin</t>
  </si>
  <si>
    <t>Para o roteador novo em cash</t>
  </si>
  <si>
    <t xml:space="preserve">Mais um Roteador Wireless WiFi </t>
  </si>
  <si>
    <t>Saque pra diversos do real</t>
  </si>
  <si>
    <t>Reconmhecimento Firmas</t>
  </si>
  <si>
    <t>Cofi de Manhas</t>
  </si>
  <si>
    <t>cofi no centreos</t>
  </si>
  <si>
    <t>Estaciopnamentos</t>
  </si>
  <si>
    <t>Pro Rorato Do Bolao</t>
  </si>
  <si>
    <t>Coquinha Gostosas</t>
  </si>
  <si>
    <t>Game: Heavenly Sword</t>
  </si>
  <si>
    <t>Game: Mirror´s Edge</t>
  </si>
  <si>
    <t>Estacionamento no centroes</t>
  </si>
  <si>
    <t>O Uqe Será ?!?!?!?!?!?!?!?!</t>
  </si>
  <si>
    <t>Do Itau</t>
  </si>
  <si>
    <t>Saque nosso do itau</t>
  </si>
  <si>
    <t>Coonserto de lampias do banheros</t>
  </si>
  <si>
    <t>mais um e Bllinhos</t>
  </si>
  <si>
    <t>Fezinha na megasena</t>
  </si>
  <si>
    <t>Agosto / 2009</t>
  </si>
  <si>
    <t>No centro</t>
  </si>
  <si>
    <t>Mais um Luccky Strike com caixinhas</t>
  </si>
  <si>
    <t>Estacionamento no Maria Ó</t>
  </si>
  <si>
    <t>Assinatura do megaUpload</t>
  </si>
  <si>
    <t>No Centros</t>
  </si>
  <si>
    <t>Mais uM</t>
  </si>
  <si>
    <t>café de xópin</t>
  </si>
  <si>
    <t>Lenche de terdes</t>
  </si>
  <si>
    <t>Miuqui xeique do bóbis</t>
  </si>
  <si>
    <t>Xocolates</t>
  </si>
  <si>
    <t>DVDs e CDs Virges</t>
  </si>
  <si>
    <t>Lavagem no GargaMóvel</t>
  </si>
  <si>
    <t>Lenche de Terdes</t>
  </si>
  <si>
    <t>Estacionamento no Martia Ó</t>
  </si>
  <si>
    <t>Estacionamento no rabibis</t>
  </si>
  <si>
    <t>Mandar a multa - EPSERO Q ULTIMA</t>
  </si>
  <si>
    <t>Burgers kinguios</t>
  </si>
  <si>
    <t>Café do xópin</t>
  </si>
  <si>
    <t>lenche de terdes</t>
  </si>
  <si>
    <t>NO El Botan</t>
  </si>
  <si>
    <t>Pra Faixineira</t>
  </si>
  <si>
    <t>Brownie do xópin</t>
  </si>
  <si>
    <t>Estcaionamento do Xópin</t>
  </si>
  <si>
    <t>Cortar carbelos</t>
  </si>
  <si>
    <t>Café do centro</t>
  </si>
  <si>
    <t>Lavagem do Gargamóvel</t>
  </si>
  <si>
    <t>Setembro / 2009</t>
  </si>
  <si>
    <t>Coisas de comer na tim</t>
  </si>
  <si>
    <t>Coquinha no centro</t>
  </si>
  <si>
    <t>Opa - Lucky Strike</t>
  </si>
  <si>
    <t>Faxineira diarista</t>
  </si>
  <si>
    <t>Coisas de commer</t>
  </si>
  <si>
    <t>Coquinha da padocas</t>
  </si>
  <si>
    <t>Alugue da garagem excente</t>
  </si>
  <si>
    <t>Opa mais Um</t>
  </si>
  <si>
    <t>Browniers</t>
  </si>
  <si>
    <t>Pro Presente de Carlos</t>
  </si>
  <si>
    <t>Mais Hum</t>
  </si>
  <si>
    <t>estacionamento expocenter</t>
  </si>
  <si>
    <t>Expomusic</t>
  </si>
  <si>
    <t>Cartão de aniversário do Karlo</t>
  </si>
  <si>
    <t>Estacionamento do xóping</t>
  </si>
  <si>
    <t>Mais dois</t>
  </si>
  <si>
    <t>bateria do notebook</t>
  </si>
  <si>
    <t>No que foi isso ?</t>
  </si>
  <si>
    <t>Outubro / 2009</t>
  </si>
  <si>
    <t>Ingressos do Show do Ac/Dc</t>
  </si>
  <si>
    <t>Lanche no posto de estradas</t>
  </si>
  <si>
    <t>Lavagem no gargamóvel</t>
  </si>
  <si>
    <t>Saques diversos</t>
  </si>
  <si>
    <t>Faxineiras</t>
  </si>
  <si>
    <t>Mercados</t>
  </si>
  <si>
    <t>Pro presente do berton</t>
  </si>
  <si>
    <t xml:space="preserve">Nova tattoo </t>
  </si>
  <si>
    <t>Storm Bringger Has Coming</t>
  </si>
  <si>
    <t>Novo Saque</t>
  </si>
  <si>
    <t xml:space="preserve">Carapatinos </t>
  </si>
  <si>
    <t xml:space="preserve">Mais </t>
  </si>
  <si>
    <t>No GarGaMóvel 2.0</t>
  </si>
  <si>
    <t>Picoccas diversas</t>
  </si>
  <si>
    <t>Aguass minerais</t>
  </si>
  <si>
    <t xml:space="preserve"> Novembro / 2009</t>
  </si>
  <si>
    <t>Opa + Hum</t>
  </si>
  <si>
    <t>pro carlo</t>
  </si>
  <si>
    <t>Sorvete no xópin</t>
  </si>
  <si>
    <t>Roupas de Praias</t>
  </si>
  <si>
    <t>Na liberdades</t>
  </si>
  <si>
    <t>Passagens de treins</t>
  </si>
  <si>
    <t>Cabo de rede 5 Mts</t>
  </si>
  <si>
    <t>DVDs Piratas de programas</t>
  </si>
  <si>
    <t>Outro cabo de redes 5,5 Mts</t>
  </si>
  <si>
    <t>Neusa</t>
  </si>
  <si>
    <t>Caféses de xópin</t>
  </si>
  <si>
    <t>Polimento de alianças</t>
  </si>
  <si>
    <t>Pra despesas</t>
  </si>
  <si>
    <t>Taxis Gerais</t>
  </si>
  <si>
    <t>Restaurantes Gerais</t>
  </si>
  <si>
    <t>Presentes de artesanatos</t>
  </si>
  <si>
    <t>Mais do real</t>
  </si>
  <si>
    <t>DVD da Viagems</t>
  </si>
  <si>
    <t>Pitts Burgues</t>
  </si>
  <si>
    <t>Bobs do aeroportos</t>
  </si>
  <si>
    <t>Na padocas</t>
  </si>
  <si>
    <t>Lenche de estradas</t>
  </si>
  <si>
    <t>Deposito no Itau</t>
  </si>
  <si>
    <t>Estacionamento na Santa Figena</t>
  </si>
  <si>
    <t>Lenche ne estrede</t>
  </si>
  <si>
    <t>Sub-ways da Berrini´s</t>
  </si>
  <si>
    <t>TAxis Gerais</t>
  </si>
  <si>
    <t>Lenches</t>
  </si>
  <si>
    <t>Busão proAC/DC</t>
  </si>
  <si>
    <t>bebidas gerais</t>
  </si>
  <si>
    <t>barras de cereais</t>
  </si>
  <si>
    <t xml:space="preserve"> Dezembro / 2009</t>
  </si>
  <si>
    <t>Cabo USB BOM</t>
  </si>
  <si>
    <t>Estacionamento no centros</t>
  </si>
  <si>
    <t>Paes e Leites</t>
  </si>
  <si>
    <t>do-nuts</t>
  </si>
  <si>
    <t>Pipocas e cafes diversos</t>
  </si>
  <si>
    <t>Remedios de gripes</t>
  </si>
  <si>
    <t>Cafeses de xópins</t>
  </si>
  <si>
    <t xml:space="preserve">Do Guilherme </t>
  </si>
  <si>
    <t>Do presente do Uilia</t>
  </si>
  <si>
    <t>Estacionmentos no centreos</t>
  </si>
  <si>
    <t>Areias de  cocos de gatos</t>
  </si>
  <si>
    <t>Miuque xeiques</t>
  </si>
  <si>
    <t>Trigun Maximun 08</t>
  </si>
  <si>
    <t>pra neusa</t>
  </si>
  <si>
    <t>Aguas minerais</t>
  </si>
  <si>
    <t>Almoço no centro</t>
  </si>
  <si>
    <t>Mais Pedagios</t>
  </si>
  <si>
    <t>Farmácias de azias</t>
  </si>
  <si>
    <t xml:space="preserve">Pedagios </t>
  </si>
  <si>
    <t>Mais Pedágios</t>
  </si>
  <si>
    <t xml:space="preserve"> Janeiro / 2010</t>
  </si>
  <si>
    <t>No cento</t>
  </si>
  <si>
    <t>No centros</t>
  </si>
  <si>
    <t>Cafeses de xópin</t>
  </si>
  <si>
    <t>Game: Brütal Legends</t>
  </si>
  <si>
    <t>Pra Neuzas</t>
  </si>
  <si>
    <t>Cafeses do xópin</t>
  </si>
  <si>
    <t>Café de manhas de paccocca´s</t>
  </si>
  <si>
    <t>Lenches deversos</t>
  </si>
  <si>
    <t>mercados</t>
  </si>
  <si>
    <t>coisas diversas de comer</t>
  </si>
  <si>
    <t>Estacionamentoos</t>
  </si>
  <si>
    <t>pro presente do nenê do Ômár</t>
  </si>
  <si>
    <t>Pra Neusa Loca</t>
  </si>
  <si>
    <t>Busão pro Metallica</t>
  </si>
  <si>
    <t>Cigarros e bebidas</t>
  </si>
  <si>
    <t>Bandanas do metalicas</t>
  </si>
  <si>
    <t>Coisas diversas de comer e beber</t>
  </si>
  <si>
    <t xml:space="preserve"> Fevereiro / 2010</t>
  </si>
  <si>
    <t>Massagia Reiki Shiatsu</t>
  </si>
  <si>
    <t>Coffi de xópin</t>
  </si>
  <si>
    <t>Estacionamento de liberdades</t>
  </si>
  <si>
    <t>Estacionamento de centros</t>
  </si>
  <si>
    <t>Aguas e sucos</t>
  </si>
  <si>
    <t>Cocas e Dun Hills</t>
  </si>
  <si>
    <t>Maquina digital D50</t>
  </si>
  <si>
    <t>Pro Batata´s</t>
  </si>
  <si>
    <t>troco do Consertos</t>
  </si>
  <si>
    <t>do real</t>
  </si>
  <si>
    <t>Oba Mais Hum</t>
  </si>
  <si>
    <t>Pizzas em casas</t>
  </si>
  <si>
    <t xml:space="preserve"> Março / 2010</t>
  </si>
  <si>
    <t>Cafeses de Xópin</t>
  </si>
  <si>
    <t>Trigun Maximun 11</t>
  </si>
  <si>
    <t>Saques do reais</t>
  </si>
  <si>
    <t>Mercadios</t>
  </si>
  <si>
    <t>Estacionamentos feca-pis</t>
  </si>
  <si>
    <t>Casas das crianças</t>
  </si>
  <si>
    <t>Estacionamentos de xópin</t>
  </si>
  <si>
    <t>centro de são andrew</t>
  </si>
  <si>
    <t>no centreos</t>
  </si>
  <si>
    <t xml:space="preserve"> Abril / 2010</t>
  </si>
  <si>
    <t xml:space="preserve">Cafeses </t>
  </si>
  <si>
    <t>Na galeria do roqui</t>
  </si>
  <si>
    <t>na liberadeas</t>
  </si>
  <si>
    <t xml:space="preserve">Estacionamentos </t>
  </si>
  <si>
    <t>Féléxis de D-50</t>
  </si>
  <si>
    <t>estacionamentos de paulitas</t>
  </si>
  <si>
    <t>Fundo de Shows</t>
  </si>
  <si>
    <t>Lenches pre-xois</t>
  </si>
  <si>
    <t>Burgues kinguios</t>
  </si>
  <si>
    <t>Da ViViAne do ciNema</t>
  </si>
  <si>
    <t>Estacionamentos xópins</t>
  </si>
  <si>
    <t>Cristlização pemtura</t>
  </si>
  <si>
    <t xml:space="preserve"> maio / 2010</t>
  </si>
  <si>
    <t>Restos mortais do n95</t>
  </si>
  <si>
    <t xml:space="preserve">Trigun Maximun </t>
  </si>
  <si>
    <t>Pro Presentes do Gillss</t>
  </si>
  <si>
    <t>Cofé de manhas na paccocca´s</t>
  </si>
  <si>
    <t>CrediCardHellss</t>
  </si>
  <si>
    <t>Pasteis de Feras</t>
  </si>
  <si>
    <t>No LoooLLaaas</t>
  </si>
  <si>
    <t>Pipocas de cinemas</t>
  </si>
  <si>
    <t>Paes de queijos de paccocca´s</t>
  </si>
  <si>
    <t>Pro casamento do Igor Presunto</t>
  </si>
  <si>
    <t>Pilias de Rálojus</t>
  </si>
  <si>
    <t>estacionamentos</t>
  </si>
  <si>
    <t>Pro niver so Uóxintom</t>
  </si>
  <si>
    <t>Pitiças em casas</t>
  </si>
  <si>
    <t>pipoquinhas gostosas</t>
  </si>
  <si>
    <t>Pra estacionamentos</t>
  </si>
  <si>
    <t>Pro casamento de karlo</t>
  </si>
  <si>
    <t xml:space="preserve"> Junho / 2010</t>
  </si>
  <si>
    <t>Do xípin Mapping</t>
  </si>
  <si>
    <t>No kasamento do Karlo</t>
  </si>
  <si>
    <t>Pra gravatas do karlos</t>
  </si>
  <si>
    <t xml:space="preserve">Da simones </t>
  </si>
  <si>
    <t>Estacionamento da festa do karlos</t>
  </si>
  <si>
    <t>Pra Simone do GIU</t>
  </si>
  <si>
    <t>Cabo HDMI pro Ever-son</t>
  </si>
  <si>
    <t xml:space="preserve"> Julho / 2010</t>
  </si>
  <si>
    <t>Pizzas das torres</t>
  </si>
  <si>
    <t>Estacionamento no centreos</t>
  </si>
  <si>
    <t>No Centreos</t>
  </si>
  <si>
    <t>trigun Maximun 14</t>
  </si>
  <si>
    <t>cóquinhas</t>
  </si>
  <si>
    <t>Acisas</t>
  </si>
  <si>
    <t>Chaves reservas</t>
  </si>
  <si>
    <t>Mais HUNM</t>
  </si>
  <si>
    <t>No xópins</t>
  </si>
  <si>
    <t>Reconhecer firmas no centros</t>
  </si>
  <si>
    <t>Taxixs</t>
  </si>
  <si>
    <t>Onibus pra trabalhos</t>
  </si>
  <si>
    <t>Pro gui-lerme</t>
  </si>
  <si>
    <t>Pulseirinhas do restart</t>
  </si>
  <si>
    <t xml:space="preserve">Mai sum </t>
  </si>
  <si>
    <t>Taxi pra ir em-nbora</t>
  </si>
  <si>
    <t>Paisteis de Feiras</t>
  </si>
  <si>
    <t>Coisas de comeres</t>
  </si>
  <si>
    <t xml:space="preserve"> Agosto / 2010</t>
  </si>
  <si>
    <t>Pra despedida do uósxinto</t>
  </si>
  <si>
    <t>KFEZES</t>
  </si>
  <si>
    <t>Manutencao da SG</t>
  </si>
  <si>
    <t>Estacionamentos no centreos</t>
  </si>
  <si>
    <t>reconhecimento de firmas</t>
  </si>
  <si>
    <t>Conector JACKs da Startto´s</t>
  </si>
  <si>
    <t>Capaz de Celolares</t>
  </si>
  <si>
    <t>Estacionamentos de xópins</t>
  </si>
  <si>
    <t>Onibuses Urbanos</t>
  </si>
  <si>
    <t>Metroses</t>
  </si>
  <si>
    <t>No xópings</t>
  </si>
  <si>
    <t>Xoco-Lates</t>
  </si>
  <si>
    <t>Cristianes</t>
  </si>
  <si>
    <t>OrgoMaltines</t>
  </si>
  <si>
    <t>Estacionamento do Xópins</t>
  </si>
  <si>
    <t xml:space="preserve"> setembro / 2010</t>
  </si>
  <si>
    <t>Lucky Strike do branco</t>
  </si>
  <si>
    <t>Oninuses Urbanos</t>
  </si>
  <si>
    <t>no xópings</t>
  </si>
  <si>
    <t>Controle do portão</t>
  </si>
  <si>
    <t xml:space="preserve">Saque do Real </t>
  </si>
  <si>
    <t>Saques pra diversos</t>
  </si>
  <si>
    <t>No Lolllalls</t>
  </si>
  <si>
    <t>Loollas</t>
  </si>
  <si>
    <t>Boa Lucky Strike</t>
  </si>
  <si>
    <t>NO banco</t>
  </si>
  <si>
    <t>Nova Maquina Fotografica</t>
  </si>
  <si>
    <t>Na PAU-Lista</t>
  </si>
  <si>
    <t>Na Liber-dades</t>
  </si>
  <si>
    <t>Do resto da camera</t>
  </si>
  <si>
    <t>Outubro / 2010</t>
  </si>
  <si>
    <t>Valkyrie</t>
  </si>
  <si>
    <t>Na Liberdades</t>
  </si>
  <si>
    <t>NA liberades</t>
  </si>
  <si>
    <t>Nivaldires</t>
  </si>
  <si>
    <t>Cafezes de estradas</t>
  </si>
  <si>
    <t>Massasgia no xópins</t>
  </si>
  <si>
    <t>Paes docês de terdes</t>
  </si>
  <si>
    <t xml:space="preserve"> Novembro / 2010</t>
  </si>
  <si>
    <t>Choco-lates</t>
  </si>
  <si>
    <t>Lavagem do GarGaMovel 3.0</t>
  </si>
  <si>
    <t>NoteBook Acerr (01/02)</t>
  </si>
  <si>
    <t>Len ches de manhãs</t>
  </si>
  <si>
    <t xml:space="preserve"> Dezembro / 2010</t>
  </si>
  <si>
    <t>Lig Lig Em Casas</t>
  </si>
  <si>
    <t>Estacionamento PERTO do xópings</t>
  </si>
  <si>
    <t>Cristtianes</t>
  </si>
  <si>
    <t>Janeiro / 2011</t>
  </si>
  <si>
    <t>Estacionamento na liberdadeś</t>
  </si>
  <si>
    <t>Estacionamento no analia francos</t>
  </si>
  <si>
    <t>Estacionamento soppungs</t>
  </si>
  <si>
    <t xml:space="preserve">Restaurante dos japas </t>
  </si>
  <si>
    <t>Cristianeas</t>
  </si>
  <si>
    <t xml:space="preserve"> Fevereiro / 2011</t>
  </si>
  <si>
    <t>Depositos</t>
  </si>
  <si>
    <t xml:space="preserve">Alcoois </t>
  </si>
  <si>
    <t>Cofi de manha na paccocca´s</t>
  </si>
  <si>
    <t xml:space="preserve"> Março / 2011</t>
  </si>
  <si>
    <t>Aguas mineirais</t>
  </si>
  <si>
    <t>Saque – fundo de Shows</t>
  </si>
  <si>
    <t xml:space="preserve">Busão pro Iron </t>
  </si>
  <si>
    <t>Bandeira do Iron Maiden</t>
  </si>
  <si>
    <t>Porta-crachás dp Iron  Maiden</t>
  </si>
  <si>
    <t xml:space="preserve">Coisas de comer </t>
  </si>
  <si>
    <t xml:space="preserve">Restituições </t>
  </si>
  <si>
    <t xml:space="preserve"> Abril / 2011</t>
  </si>
  <si>
    <t>2 DVD Dual Layers</t>
  </si>
  <si>
    <t>Lavagem de carros</t>
  </si>
  <si>
    <t>GUIATRRA deo guitar Hero PS2</t>
  </si>
  <si>
    <t>faxineiras</t>
  </si>
  <si>
    <t>Saque do santader</t>
  </si>
  <si>
    <t>estacionamento no centreos</t>
  </si>
  <si>
    <t>Do santander</t>
  </si>
  <si>
    <t>A Diarista</t>
  </si>
  <si>
    <t xml:space="preserve"> Maio / 2011</t>
  </si>
  <si>
    <t xml:space="preserve">No centro de sto andrews </t>
  </si>
  <si>
    <t>Velcrois</t>
  </si>
  <si>
    <t>Saque do santander</t>
  </si>
  <si>
    <t>Reconhecimento de firma´s</t>
  </si>
  <si>
    <t>correios de contratos</t>
  </si>
  <si>
    <t>Mai sHum</t>
  </si>
  <si>
    <t>Ver-Duras</t>
  </si>
  <si>
    <t>Saque do Santander</t>
  </si>
  <si>
    <t>Faixineiras</t>
  </si>
  <si>
    <t>Saque do SanTanDer</t>
  </si>
  <si>
    <t>Aguas Minerais</t>
  </si>
  <si>
    <t>Gattaccca</t>
  </si>
  <si>
    <t>Correios FFXII</t>
  </si>
  <si>
    <t>FaiXiNeiras</t>
  </si>
  <si>
    <t>Sedex para o Mini Fender</t>
  </si>
  <si>
    <t>SanTanDer</t>
  </si>
  <si>
    <t>PAC para o Nokia 5800</t>
  </si>
  <si>
    <t xml:space="preserve">  Junho / 2011</t>
  </si>
  <si>
    <t xml:space="preserve">Correios envios w710i + metronomo </t>
  </si>
  <si>
    <t>Envio de Kits Pandora´s</t>
  </si>
  <si>
    <t>Sedex 10 PSP :(</t>
  </si>
  <si>
    <t>Do Santander</t>
  </si>
  <si>
    <t>NO Medico de ólios</t>
  </si>
  <si>
    <t>Multas para a cristiane</t>
  </si>
  <si>
    <t>DO Santander</t>
  </si>
  <si>
    <t xml:space="preserve">Bloodrayne </t>
  </si>
  <si>
    <t>limpeza</t>
  </si>
  <si>
    <t>Fundo de Viagem</t>
  </si>
  <si>
    <t>Cigarros de Aeroportos</t>
  </si>
  <si>
    <t>Taxis paro Dragão do Mar</t>
  </si>
  <si>
    <t>Taxis de Volta para o Vl Galé</t>
  </si>
  <si>
    <t>Passeios de Bugues - Aquiraz Beach Park</t>
  </si>
  <si>
    <t>Lanches nas Dunas de Aquiraz</t>
  </si>
  <si>
    <t>Passeios para Lagoinhas</t>
  </si>
  <si>
    <t>Lanches dentro do Beach Parks</t>
  </si>
  <si>
    <t>Saques I</t>
  </si>
  <si>
    <t>Saques II</t>
  </si>
  <si>
    <t>Passeios de Lagoinhas</t>
  </si>
  <si>
    <t>Lanches no Caminho Jeri-Coa-Coa-ra</t>
  </si>
  <si>
    <t>Almoçp Jeri-Coa-Coa-ra</t>
  </si>
  <si>
    <t>Passeios de Buges Jeri-Coa-Coa-ra</t>
  </si>
  <si>
    <t xml:space="preserve">Visita dos cavalos marinhos </t>
  </si>
  <si>
    <t>Lanches no passeio super tris</t>
  </si>
  <si>
    <t>Travcessias de Balsas</t>
  </si>
  <si>
    <t>Extrensão do passeio de Bugues</t>
  </si>
  <si>
    <t xml:space="preserve"> Julho / 2011</t>
  </si>
  <si>
    <t>Almoço na lagoa para-isos</t>
  </si>
  <si>
    <t>Lanches de estradas</t>
  </si>
  <si>
    <t>Passagens de trens</t>
  </si>
  <si>
    <t>Cafeses de Aefigenias</t>
  </si>
  <si>
    <t>Adapitador perdido :(</t>
  </si>
  <si>
    <t>Taxis para levar gargamovel revisão</t>
  </si>
  <si>
    <t>Pra onibus</t>
  </si>
  <si>
    <t>Saque do sanTanDer</t>
  </si>
  <si>
    <t>Taxis para pegar gargamovel revisão</t>
  </si>
  <si>
    <t>DVDs Piratex</t>
  </si>
  <si>
    <t>limpezasa</t>
  </si>
  <si>
    <t>Estacionamento da liberdadeś</t>
  </si>
  <si>
    <t xml:space="preserve">Correios </t>
  </si>
  <si>
    <t>Dicertos ?</t>
  </si>
  <si>
    <t>Pra Michelly</t>
  </si>
  <si>
    <t>Estacion amento no banco</t>
  </si>
  <si>
    <t xml:space="preserve">Saque para diversos </t>
  </si>
  <si>
    <t>Mais DOIS</t>
  </si>
  <si>
    <t>Agosto / 2011</t>
  </si>
  <si>
    <t>pra CRISTIANE</t>
  </si>
  <si>
    <t>Da Peugeot pra TIM</t>
  </si>
  <si>
    <t>Da Tim pra Peugeot</t>
  </si>
  <si>
    <t>Saque do eantander</t>
  </si>
  <si>
    <t>Pra pegar o carro</t>
  </si>
  <si>
    <t>Pra Mixelly</t>
  </si>
  <si>
    <t>Almoço no Figueiras</t>
  </si>
  <si>
    <t>Estacionamento na Liberdades</t>
  </si>
  <si>
    <t>mais UJM</t>
  </si>
  <si>
    <t>Pra Faxina Semanal</t>
  </si>
  <si>
    <t>Saque do real santander</t>
  </si>
  <si>
    <t>Bullying: EM029161137JP Ghostbusters Bishoujo Lucy Complete</t>
  </si>
  <si>
    <t>Estacionaemnto no El Botin</t>
  </si>
  <si>
    <t>MyChelly</t>
  </si>
  <si>
    <t>Setembro / 2011</t>
  </si>
  <si>
    <t>Entrada no looollllaa</t>
  </si>
  <si>
    <t>Bebidas no looolla</t>
  </si>
  <si>
    <t>Estacionamento na liberdade´s</t>
  </si>
  <si>
    <t xml:space="preserve"> Outubro / 2011</t>
  </si>
  <si>
    <t>Sauqe do Itau</t>
  </si>
  <si>
    <t>Bullying: EJ135785267JP Kotobukiya Bishoujo  Emma Frost</t>
  </si>
  <si>
    <t>Estacionamentop na paulista</t>
  </si>
  <si>
    <t>Chaveiro do Angry Birds</t>
  </si>
  <si>
    <t>Estacionamento na Liberdade´s</t>
  </si>
  <si>
    <t>Noite da Pizzas</t>
  </si>
  <si>
    <t>Passagens de Onbus</t>
  </si>
  <si>
    <t>Passagens de Trens</t>
  </si>
  <si>
    <t>Coisas de cabelos</t>
  </si>
  <si>
    <t>Bebidas</t>
  </si>
  <si>
    <t>Estacionamento na Fr Canecas</t>
  </si>
  <si>
    <t>Bullying: EJ135784553JP Kriska Barchenowa Lingerie ver</t>
  </si>
  <si>
    <t>Cafeses no centreos</t>
  </si>
  <si>
    <t>No centreos</t>
  </si>
  <si>
    <t>Bateria de relógios</t>
  </si>
  <si>
    <t>Baterias de monitores cardiacos</t>
  </si>
  <si>
    <t xml:space="preserve"> Novembro / 2011</t>
  </si>
  <si>
    <t>Consertos de pneus</t>
  </si>
  <si>
    <t>Paes de mercados</t>
  </si>
  <si>
    <t>Na libertys</t>
  </si>
  <si>
    <t>Coisas de comer ao longo do mês</t>
  </si>
  <si>
    <t xml:space="preserve"> Dezembro / 2011</t>
  </si>
  <si>
    <t>Cafeses no Mappings</t>
  </si>
  <si>
    <t>Conserdo do Monitor cardeaco</t>
  </si>
  <si>
    <t>Baterias no relógio da cristiane</t>
  </si>
  <si>
    <t>Estacionamento perto do xópins</t>
  </si>
  <si>
    <t>choco-late's</t>
  </si>
  <si>
    <t xml:space="preserve">coisas de comer </t>
  </si>
  <si>
    <t>cristiane</t>
  </si>
  <si>
    <t xml:space="preserve"> Janeiro / 2012</t>
  </si>
  <si>
    <t>Taxix pro trampo</t>
  </si>
  <si>
    <t>Novos InsulFilms do GGM3</t>
  </si>
  <si>
    <t>Novos Saques</t>
  </si>
  <si>
    <t>Bullying: EJ154844705JP Kotobukiya Bishoujo MISTIQUE</t>
  </si>
  <si>
    <t>Revista do Spawn X BatMan</t>
  </si>
  <si>
    <t>Cafeses do centro</t>
  </si>
  <si>
    <t>Lavagem do GarGaMóvel 3.0</t>
  </si>
  <si>
    <t>Coisas de comer por ai ?</t>
  </si>
  <si>
    <t xml:space="preserve">Estacinamento </t>
  </si>
  <si>
    <t xml:space="preserve"> Fevereiro /2012</t>
  </si>
  <si>
    <t>Guitar Hero Aero-Smith</t>
  </si>
  <si>
    <t>Estacionamento na Limited edition</t>
  </si>
  <si>
    <t xml:space="preserve">Estacionamento na Liberdade´s </t>
  </si>
  <si>
    <t>Estacionamento no Red Wood</t>
  </si>
  <si>
    <t xml:space="preserve"> Março / 2012</t>
  </si>
  <si>
    <t>Cama Neoprene do Novo Note</t>
  </si>
  <si>
    <t>No gastros</t>
  </si>
  <si>
    <t>Guitar Hero IV World Tour</t>
  </si>
  <si>
    <t xml:space="preserve">Lavar Mochilas </t>
  </si>
  <si>
    <t xml:space="preserve"> Abril / 2012</t>
  </si>
  <si>
    <t>Gorjeta´s La Cantina´s</t>
  </si>
  <si>
    <t>So SanTanDer</t>
  </si>
  <si>
    <t>Bullying: EJ163158665JP Kotobukya Bishoujo Electra</t>
  </si>
  <si>
    <t xml:space="preserve">Cristiane </t>
  </si>
  <si>
    <t>Pra Cristiae</t>
  </si>
  <si>
    <t>CDS Sertanejos para a Sogra</t>
  </si>
  <si>
    <t>Passeios de teleféwricos</t>
  </si>
  <si>
    <t>Estacionamentos em Jordeoes</t>
  </si>
  <si>
    <t>Coisas de comer de lanche da terde</t>
  </si>
  <si>
    <t>Drivers de disquete 3,25</t>
  </si>
  <si>
    <t>Do SantanDer</t>
  </si>
  <si>
    <t>No Xópin Máppin</t>
  </si>
  <si>
    <t xml:space="preserve">Estacionamento na liberdade </t>
  </si>
  <si>
    <t>Chocoloates da Terda</t>
  </si>
  <si>
    <t>Lenche de A Tarde</t>
  </si>
  <si>
    <t>Lenche de Manha</t>
  </si>
  <si>
    <t xml:space="preserve">Choco-lates </t>
  </si>
  <si>
    <t>Lenche de A Terde</t>
  </si>
  <si>
    <t>Para gravidas do trabalho</t>
  </si>
  <si>
    <t>Materiais de scrapi</t>
  </si>
  <si>
    <t>DVDs Virges</t>
  </si>
  <si>
    <t>NA liberdade</t>
  </si>
  <si>
    <t>Para a Cristiane</t>
  </si>
  <si>
    <t>Bullying: EJ167235694JP Alisa Iilynichna Amiera</t>
  </si>
  <si>
    <t>Iphone 4s da cristiane</t>
  </si>
  <si>
    <t xml:space="preserve">Acessórios iPhone </t>
  </si>
  <si>
    <t>Caneta Stylys</t>
  </si>
  <si>
    <t>do Santander</t>
  </si>
  <si>
    <t>coisas de scraps</t>
  </si>
  <si>
    <t>Fundo de viagens</t>
  </si>
  <si>
    <t>Taxi pro aeroportos</t>
  </si>
  <si>
    <t>Taxis pra ver o cristos</t>
  </si>
  <si>
    <t>Subida do cristos</t>
  </si>
  <si>
    <t>taxis de voltas</t>
  </si>
  <si>
    <t>Cangas e vestideos</t>
  </si>
  <si>
    <t>Taxis de O Aereo Portos</t>
  </si>
  <si>
    <t>Estacionamento no Xpópin</t>
  </si>
  <si>
    <t>Sucos no centro</t>
  </si>
  <si>
    <t>Estacionamento no cocos</t>
  </si>
  <si>
    <t>Saque I</t>
  </si>
  <si>
    <t>Sqque II</t>
  </si>
  <si>
    <t>Critiane</t>
  </si>
  <si>
    <t>Para Cristiane</t>
  </si>
  <si>
    <t xml:space="preserve">Do itaU </t>
  </si>
  <si>
    <t>Para cristiane</t>
  </si>
  <si>
    <t>Bullying: EJ202951786JP Super Sonico Tokonatsu Suntann</t>
  </si>
  <si>
    <t>Para diverss</t>
  </si>
  <si>
    <t>envio do Modem 3G para troca</t>
  </si>
  <si>
    <t>na FSA</t>
  </si>
  <si>
    <t>Acumulado no periodo</t>
  </si>
  <si>
    <t xml:space="preserve">Cristalização </t>
  </si>
  <si>
    <t>Para diversos</t>
  </si>
  <si>
    <t>Para chocolates</t>
  </si>
  <si>
    <t>Para Aguas</t>
  </si>
  <si>
    <t>Para Diversos</t>
  </si>
  <si>
    <t>No hospitais</t>
  </si>
  <si>
    <t>Lanche de Terdes</t>
  </si>
  <si>
    <t>Sauqe</t>
  </si>
  <si>
    <t>estacionamento em O Centro</t>
  </si>
  <si>
    <t>estacionamento na FSA</t>
  </si>
  <si>
    <t>Conserto de O Vidros do GGM3</t>
  </si>
  <si>
    <t>Mais Saques</t>
  </si>
  <si>
    <t>Bullying: EJ223696868JP Kotobukiya Takamura Yui</t>
  </si>
  <si>
    <t>Bullying: EJ223680151JP Yamato Mori Yuki Battlesh</t>
  </si>
  <si>
    <t>Fundos de Viagens</t>
  </si>
  <si>
    <t xml:space="preserve">Para a Cristiabe </t>
  </si>
  <si>
    <t>Taxis diversos (I e II)</t>
  </si>
  <si>
    <t xml:space="preserve">Taxis diversos (I e II) </t>
  </si>
  <si>
    <t xml:space="preserve">Sucos </t>
  </si>
  <si>
    <t>Bolsas dirsas de artesanatos</t>
  </si>
  <si>
    <t>Tapetes diversos de fotos</t>
  </si>
  <si>
    <t>Saques para Buggies</t>
  </si>
  <si>
    <t>Adiantamento de passeios</t>
  </si>
  <si>
    <t>Passeio e Bugues</t>
  </si>
  <si>
    <t>Bebidas nas cachoeiras de aguas limpidas</t>
  </si>
  <si>
    <t>CDs de fotos de descidas de dunas</t>
  </si>
  <si>
    <t>Almoços nas piscinas naturais</t>
  </si>
  <si>
    <t>Fotos de buggies</t>
  </si>
  <si>
    <t>Passeio de Pajerona</t>
  </si>
  <si>
    <t>Chapeus de natais</t>
  </si>
  <si>
    <t>Passeio de tartarugas</t>
  </si>
  <si>
    <t>Cervejas nas praias</t>
  </si>
  <si>
    <t xml:space="preserve">Taxis para O Hotel </t>
  </si>
  <si>
    <t>Passeios de quadriciclos</t>
  </si>
  <si>
    <t xml:space="preserve">Coisas de comer no meio do passeio </t>
  </si>
  <si>
    <t>Lembranas diversas</t>
  </si>
  <si>
    <t>coisas de comer diversas</t>
  </si>
  <si>
    <t>Sucos diversos</t>
  </si>
  <si>
    <t>Lembranças de chanveiros</t>
  </si>
  <si>
    <t>Saque para Taxis</t>
  </si>
  <si>
    <t>Taxis para o Hotel</t>
  </si>
  <si>
    <t>Taxis para o Aeroportos</t>
  </si>
  <si>
    <t>Tróleibuses</t>
  </si>
  <si>
    <t>Bullying: EJ225761184JP Kotobukiya Kriska Barchenowa</t>
  </si>
  <si>
    <t>Saques para diversos</t>
  </si>
  <si>
    <t>Bolas para a Gabis</t>
  </si>
  <si>
    <t>Estacionamento na FSA</t>
  </si>
  <si>
    <t>Baterias de relógios</t>
  </si>
  <si>
    <t>Passagias de mrtôes</t>
  </si>
  <si>
    <t>aguas na ruas</t>
  </si>
  <si>
    <t>Shiatso´s</t>
  </si>
  <si>
    <t>Mais Shiatso´s</t>
  </si>
  <si>
    <t>Café no shopping</t>
  </si>
  <si>
    <t xml:space="preserve">Saque para Diversos </t>
  </si>
  <si>
    <t>Bullying: EE978375045US G.I. Joe Sharc</t>
  </si>
  <si>
    <t>Global Auto Shopping</t>
  </si>
  <si>
    <t>Global Auto Shoppin</t>
  </si>
  <si>
    <t>Pra Pegar o GGM4</t>
  </si>
  <si>
    <t>Bullying: EJ220037685JP Max Factory Figma Cryska Barchenowa</t>
  </si>
  <si>
    <t>NA FSA</t>
  </si>
  <si>
    <t>Para Diversps</t>
  </si>
  <si>
    <t xml:space="preserve">copia de chaves </t>
  </si>
  <si>
    <t>Lavagem do GGM3 PeJô</t>
  </si>
  <si>
    <t>Acendedor de cigarros da EcoSport</t>
  </si>
  <si>
    <t>Para a vaquinah da cafeteira</t>
  </si>
  <si>
    <t>Estacionamento no Ana Rosas</t>
  </si>
  <si>
    <t>Asgard Pube</t>
  </si>
  <si>
    <t>Para Diveross</t>
  </si>
  <si>
    <t>suquinho na FSA</t>
  </si>
  <si>
    <t>Thiago Vinicius Garcia</t>
  </si>
  <si>
    <t>Pasteis na Feiras</t>
  </si>
  <si>
    <t>Estacionamento na libertade</t>
  </si>
  <si>
    <t>Cerveja de O Iron Maiden</t>
  </si>
  <si>
    <t>As Cristiane</t>
  </si>
  <si>
    <t>Pelicula de iPhone</t>
  </si>
  <si>
    <t>Estacionamento na liberade</t>
  </si>
  <si>
    <t>Estacionameto na Ana Rossas</t>
  </si>
  <si>
    <t>Na Ana rosas</t>
  </si>
  <si>
    <t>lanche da FSA</t>
  </si>
  <si>
    <t>Busão pro metal</t>
  </si>
  <si>
    <t>Alcoois</t>
  </si>
  <si>
    <t>Agua</t>
  </si>
  <si>
    <t>taxis para a IDA</t>
  </si>
  <si>
    <t>Taxis para a volta</t>
  </si>
  <si>
    <t>Reconhecimento de Firmas</t>
  </si>
  <si>
    <t>Estacionamento no cartório</t>
  </si>
  <si>
    <t xml:space="preserve">Lavagem do PejÔ GGM3 </t>
  </si>
  <si>
    <t>estacionamento na Ana Rosas</t>
  </si>
  <si>
    <t>Cafese de manhas</t>
  </si>
  <si>
    <t>Lenches de Terdes</t>
  </si>
  <si>
    <t>Lenches da FSA</t>
  </si>
  <si>
    <t>NO show do Black Sabbath e Megadeth</t>
  </si>
  <si>
    <t>Lavagem do Pejô GGM3</t>
  </si>
  <si>
    <t>Estacionamento  na FSA</t>
  </si>
  <si>
    <t>Suco na FSA</t>
  </si>
  <si>
    <t>Para A Cristiane</t>
  </si>
  <si>
    <t>Taxis para Casa</t>
  </si>
  <si>
    <t>Estacionamento no oftalmologistas</t>
  </si>
  <si>
    <t>na Anna Rossas</t>
  </si>
  <si>
    <t>Estacionamento no centrp</t>
  </si>
  <si>
    <t>Estacionamento no  centro</t>
  </si>
  <si>
    <t>Na ana rosas</t>
  </si>
  <si>
    <t>no shopping</t>
  </si>
  <si>
    <t>Jornais de Pirajus</t>
  </si>
  <si>
    <t>Lavação do Pejô GGM3</t>
  </si>
  <si>
    <t>Para a acristiane</t>
  </si>
  <si>
    <t>Bullying: EJ252010675JP Kotobukiya Bishoujo Psylock Ninja Outfi</t>
  </si>
  <si>
    <t>Para diversps</t>
  </si>
  <si>
    <t>NO Ciretrans</t>
  </si>
  <si>
    <t>Exame para renovar CNH</t>
  </si>
  <si>
    <t>Estacionamento na rodoviarias</t>
  </si>
  <si>
    <t xml:space="preserve">Taxa de renovação d aCNH </t>
  </si>
  <si>
    <t>No marcelo</t>
  </si>
  <si>
    <t>Na FSA</t>
  </si>
  <si>
    <t>Zonas Azuis</t>
  </si>
  <si>
    <t>Manuais de Monogrfias ABNT</t>
  </si>
  <si>
    <t>Metro de ida</t>
  </si>
  <si>
    <t>metro de volta</t>
  </si>
  <si>
    <t>Autenticação de cópias diversas</t>
  </si>
  <si>
    <t>Estacionameno poupa tempo</t>
  </si>
  <si>
    <t>Lanches na Fsa</t>
  </si>
  <si>
    <t>Do Itau Para Diversos</t>
  </si>
  <si>
    <t>Estacionamento no NY Burguers</t>
  </si>
  <si>
    <t>Estacionamento no cwentro</t>
  </si>
  <si>
    <t>Adapdatores P10-&gt;P02</t>
  </si>
  <si>
    <t>cocascolcas</t>
  </si>
  <si>
    <t>Saque da CEF</t>
  </si>
  <si>
    <t>Documentos para o CREA</t>
  </si>
  <si>
    <t>Lanche na FSA</t>
  </si>
  <si>
    <t>Ahuas Minerais</t>
  </si>
  <si>
    <t>Mais lanches na FSA</t>
  </si>
  <si>
    <t>Troleibues</t>
  </si>
  <si>
    <t>Bullying: EJ279940285JP Kotobukiya Bishoujo Wonder Woman Armored</t>
  </si>
  <si>
    <t>Novas Faxineiras</t>
  </si>
  <si>
    <t>Varios vafés da FSA</t>
  </si>
  <si>
    <t>Cristalização de vidros</t>
  </si>
  <si>
    <t>Cafeses nas estradas</t>
  </si>
  <si>
    <t>Coisas de comer no mês</t>
  </si>
  <si>
    <t>Estaconamentos n omes</t>
  </si>
  <si>
    <t>estacionamento em SP no 4linux LPI</t>
  </si>
  <si>
    <t>Bullying: EJ288933875JP Kotobukiya Bishoujo Spider Woman</t>
  </si>
  <si>
    <t>Los Mariachies</t>
  </si>
  <si>
    <t>Missa de 7º dia do Careca</t>
  </si>
  <si>
    <t>Autenticar cópias (1)</t>
  </si>
  <si>
    <t xml:space="preserve">Autenticar cópias (2) </t>
  </si>
  <si>
    <t>Depósito do cartório - nova certidão de casamento</t>
  </si>
  <si>
    <t>Estacionamemnto no centro</t>
  </si>
  <si>
    <t>Pra ir na LE</t>
  </si>
  <si>
    <t>Pra ir consertar a Maquina de Escrever</t>
  </si>
  <si>
    <t>Lavagem da EchoSport GGM4</t>
  </si>
  <si>
    <t>Passagens de Trens/Metro</t>
  </si>
  <si>
    <t>Alavanca do espaçador de linha da Olivetti lettera 22</t>
  </si>
  <si>
    <t>cafés na lavagem do Pejô GGm3</t>
  </si>
  <si>
    <t>correios envio de documentos pro furlan</t>
  </si>
  <si>
    <t>agua mineral</t>
  </si>
  <si>
    <t>Conserto do relógio do careca</t>
  </si>
  <si>
    <t>estacionamento perto da claro</t>
  </si>
  <si>
    <t>Lavagem do Pejô GGm3</t>
  </si>
  <si>
    <t>Café na berrini</t>
  </si>
  <si>
    <t>estacionamento na berrini</t>
  </si>
  <si>
    <t>Passagem de trem de IDA pra bienal de livros</t>
  </si>
  <si>
    <t>Entrada da bienal de livros</t>
  </si>
  <si>
    <t>Passagem de volta de TREM</t>
  </si>
  <si>
    <t>Saque oara diversos</t>
  </si>
  <si>
    <t>cóquinha na FSA</t>
  </si>
  <si>
    <t>Passagem de trolebus</t>
  </si>
  <si>
    <t>Roubo na maquina de cafés</t>
  </si>
  <si>
    <t>Trem pra casa</t>
  </si>
  <si>
    <t>Lavagem do GGM3</t>
  </si>
  <si>
    <t>Agua Mieral em casa</t>
  </si>
  <si>
    <t>para a cristiane</t>
  </si>
  <si>
    <t>cóquinha na feira</t>
  </si>
  <si>
    <t>Metro pra ir embora</t>
  </si>
  <si>
    <t>Estacionamento em SCS na Fatto à Manno</t>
  </si>
  <si>
    <t>Limpeza semanal</t>
  </si>
  <si>
    <t>Lavagem no pejô</t>
  </si>
  <si>
    <t>Estacionamento no el botin</t>
  </si>
  <si>
    <t>metro pra ir embora</t>
  </si>
  <si>
    <t>Estacionamento no centro pra cortar cabelos</t>
  </si>
  <si>
    <t>Para diiversos</t>
  </si>
  <si>
    <t>No el Botin</t>
  </si>
  <si>
    <t>Agua em Campso do Jordão</t>
  </si>
  <si>
    <t>Taxi para entrevista da V_T</t>
  </si>
  <si>
    <t>Passagem de Trem pra ir embora</t>
  </si>
  <si>
    <t>Café da máquina</t>
  </si>
  <si>
    <t xml:space="preserve">Taxi pra entrevista </t>
  </si>
  <si>
    <t>Taxi para depois do Almoço</t>
  </si>
  <si>
    <t>Café de máquinas</t>
  </si>
  <si>
    <t>Para Cristiane viajar</t>
  </si>
  <si>
    <t>Troileinus</t>
  </si>
  <si>
    <t>taxys</t>
  </si>
  <si>
    <t>Para o Trabalhp</t>
  </si>
  <si>
    <t>Agua mineral em casa</t>
  </si>
  <si>
    <t>Alcool no pejô</t>
  </si>
  <si>
    <t>Troilebus</t>
  </si>
  <si>
    <t xml:space="preserve">Cafés no trabalho </t>
  </si>
  <si>
    <t>Metro pra ir no BMG</t>
  </si>
  <si>
    <t>Saque para o correio</t>
  </si>
  <si>
    <t>Correios, envio de coisa pro sergio</t>
  </si>
  <si>
    <t>Mais saque para o correio</t>
  </si>
  <si>
    <t>Taxa de bulling do correio Bishoujo Jubilee</t>
  </si>
  <si>
    <t>Trabalho: Café e Bolachas</t>
  </si>
  <si>
    <t>Troleibus</t>
  </si>
  <si>
    <t>Estacionamento na Galeria do róqui</t>
  </si>
  <si>
    <t>Trem Para a NTT Ida e Volta</t>
  </si>
  <si>
    <t>Cabos de Iphone</t>
  </si>
  <si>
    <t>Aguas diversas</t>
  </si>
  <si>
    <t>Conserto da Fechadura</t>
  </si>
  <si>
    <t>Estacionamento no Hospitas</t>
  </si>
  <si>
    <t>Roda de Step</t>
  </si>
  <si>
    <t>Metros diversos</t>
  </si>
  <si>
    <t>Tarot: Encadernamento de Material</t>
  </si>
  <si>
    <t>Diversas coisas de comer</t>
  </si>
  <si>
    <t>Estacionamento no SanTanDer</t>
  </si>
  <si>
    <t>para Diversos</t>
  </si>
  <si>
    <t>Cafés de Shoppings</t>
  </si>
  <si>
    <t>Estacionamento no hospital portuguesa</t>
  </si>
  <si>
    <t>Trem de Ida e Volda pro BMG</t>
  </si>
  <si>
    <t>Ter de Ida pra SP</t>
  </si>
  <si>
    <t>Trem de volta rpa Sto Andre</t>
  </si>
  <si>
    <t>Trabalho: Jantar no Atrium</t>
  </si>
  <si>
    <t>Trabalho: Cafézes do Atrium</t>
  </si>
  <si>
    <t>Trabalho: Jantar em O Atriumm</t>
  </si>
  <si>
    <t>Labche de Terde</t>
  </si>
  <si>
    <t>Doce de máquina</t>
  </si>
  <si>
    <t>Estacionamento no Ana Rosa</t>
  </si>
  <si>
    <t>Estacionamento Ana Rosa</t>
  </si>
  <si>
    <t>Lavaçãoo do Pejô GGM3</t>
  </si>
  <si>
    <t>Chocolate de tredes</t>
  </si>
  <si>
    <t>Estacionamento na Ana Rosa</t>
  </si>
  <si>
    <t>Encadernamento diversos</t>
  </si>
  <si>
    <t>Trem de idae volta da paiulista</t>
  </si>
  <si>
    <t>Chocolatres diversos</t>
  </si>
  <si>
    <t xml:space="preserve">Mega bizão </t>
  </si>
  <si>
    <t>Estacionamento na Ana Rosas</t>
  </si>
  <si>
    <t>Tarot: Encadernação apostila do Symbolon</t>
  </si>
  <si>
    <t>Agua e suco na Feira Holistica</t>
  </si>
  <si>
    <t>Estacionamento n Feira Holistica</t>
  </si>
  <si>
    <t>Chocolate´s</t>
  </si>
  <si>
    <t>Agua Mineral em casa</t>
  </si>
  <si>
    <t xml:space="preserve">Conserto do pneu trazeiro esquerdo </t>
  </si>
  <si>
    <t>Cafés no shopppings</t>
  </si>
  <si>
    <t>Incensos diversos para a casa</t>
  </si>
  <si>
    <t>Saque para diversos de O Itau</t>
  </si>
  <si>
    <t>Tarot: Curso do Symbolon / Giancarlo / Espaço Oceano da Vera</t>
  </si>
  <si>
    <t>Estacionamento na Augusta</t>
  </si>
  <si>
    <t>Fichários da Cristiane</t>
  </si>
  <si>
    <t xml:space="preserve">Estacionamento no cuso do marcelo </t>
  </si>
  <si>
    <t>Coisas de comer no trabalho</t>
  </si>
  <si>
    <t xml:space="preserve">Estacionamento no hospital </t>
  </si>
  <si>
    <t>Para a faxineira</t>
  </si>
  <si>
    <t>Para a limpeza</t>
  </si>
  <si>
    <t xml:space="preserve">Para </t>
  </si>
  <si>
    <t>Entrada para a feira Holistica</t>
  </si>
  <si>
    <t>Trabalho: Lanche da tarde</t>
  </si>
  <si>
    <t>Saque para os diversos</t>
  </si>
  <si>
    <t>Trens para a paulistas</t>
  </si>
  <si>
    <t>Para estacionamento</t>
  </si>
  <si>
    <t>Massagem Terapeutica</t>
  </si>
  <si>
    <t>Baterias de relório</t>
  </si>
  <si>
    <t>Saque para pagar multas</t>
  </si>
  <si>
    <t>Duas multas da Echo</t>
  </si>
  <si>
    <t>cristane</t>
  </si>
  <si>
    <t>Para a cuidadora de OS Gatos</t>
  </si>
  <si>
    <t>Beneficio de estacionamento</t>
  </si>
  <si>
    <t>Trabalho: Estacionamento no Atrium Shopping/TIM</t>
  </si>
  <si>
    <t>Estacionamento na SBE</t>
  </si>
  <si>
    <t>Pasteis de feira na SBE/Oscar freire</t>
  </si>
  <si>
    <t>Chaveiros da SBE</t>
  </si>
  <si>
    <t>Café no Shopping</t>
  </si>
  <si>
    <t>Alfajores da terde</t>
  </si>
  <si>
    <t>Tarot: The Alpha-Beith do Tarot / Letras Hebraicas / MarceloBueno / Studio Nivia</t>
  </si>
  <si>
    <t>Labches diversos</t>
  </si>
  <si>
    <t>Estacionamento na Senrei</t>
  </si>
  <si>
    <t>Estacionamento no santander</t>
  </si>
  <si>
    <t>Saques para Diversos</t>
  </si>
  <si>
    <t>Onde Foi ?</t>
  </si>
  <si>
    <t>Estacionamento naLarissa</t>
  </si>
  <si>
    <t>Na psicologa</t>
  </si>
  <si>
    <t>Mais do ItaU</t>
  </si>
  <si>
    <t>Para o Eletrecista</t>
  </si>
  <si>
    <t>Estacionamento na psicologa</t>
  </si>
  <si>
    <t>Estacionamento no Santander</t>
  </si>
  <si>
    <t>Taxa de Buling: Trhe Wild Unknown</t>
  </si>
  <si>
    <t>Trens de ida e volda pra Sta. Efigenia</t>
  </si>
  <si>
    <t xml:space="preserve">Saque do Santander </t>
  </si>
  <si>
    <t xml:space="preserve">Trabalhoo: Sobremesa de café de tarde no Atrium </t>
  </si>
  <si>
    <t>Trem e Metro de ida e volda pra Daemon editora</t>
  </si>
  <si>
    <t>tomada do aspirador</t>
  </si>
  <si>
    <t>capinha de telefone</t>
  </si>
  <si>
    <t>Estacionamento no banco CEF</t>
  </si>
  <si>
    <t>Conserto das torneirs da cozinha</t>
  </si>
  <si>
    <t xml:space="preserve">Reconhecimento de firmas </t>
  </si>
  <si>
    <t>Traquinas da Ibirapueras</t>
  </si>
  <si>
    <t>Agua de coco da Ibirapueras</t>
  </si>
  <si>
    <t>Saque para diversos/</t>
  </si>
  <si>
    <t>Taxi uber para o Aereoporto</t>
  </si>
  <si>
    <t>Para a adriana cuidar da Jade</t>
  </si>
  <si>
    <t>Estacionamento no banco para cancelar o itau</t>
  </si>
  <si>
    <t>Agua no centro</t>
  </si>
  <si>
    <t>Ataque dos Titãs Nº 19</t>
  </si>
  <si>
    <t>Agua minerais</t>
  </si>
  <si>
    <t>Estacionamento na beneficência portuguesa</t>
  </si>
  <si>
    <t>Sorvetes Merona´s</t>
  </si>
  <si>
    <t>Capas de chuvas</t>
  </si>
  <si>
    <t>Estacionamenbto no centro</t>
  </si>
  <si>
    <t>Estacionamento no Burguês 4y</t>
  </si>
  <si>
    <t>Estacionamento no Pinheiros</t>
  </si>
  <si>
    <t>The Burguer Factory</t>
  </si>
  <si>
    <t>NA apucaranas</t>
  </si>
  <si>
    <t>Reconhecer firma + Autenticar + Cartórios</t>
  </si>
  <si>
    <t>enviar documentos de crea</t>
  </si>
  <si>
    <t>Trocos diversos</t>
  </si>
  <si>
    <t xml:space="preserve">Bateria de relórios </t>
  </si>
  <si>
    <t>Estacionamento no medico vida de homi</t>
  </si>
  <si>
    <t>The Burgues 4you</t>
  </si>
  <si>
    <t>Saque para os Diversos</t>
  </si>
  <si>
    <t>Estacionamento na Vida de homi</t>
  </si>
  <si>
    <t>2m de Espaguete Termoretratil</t>
  </si>
  <si>
    <t xml:space="preserve">Estacionamento no Paris 6 </t>
  </si>
  <si>
    <t>Estacionamento no The burgues4você</t>
  </si>
  <si>
    <t xml:space="preserve">Para agua mineral </t>
  </si>
  <si>
    <t>The burgues 4 you</t>
  </si>
  <si>
    <t>cóquinha de feiras</t>
  </si>
  <si>
    <t xml:space="preserve">Vida de Homem </t>
  </si>
  <si>
    <t xml:space="preserve">Para aAdriana do Predrio </t>
  </si>
  <si>
    <t>Passeios de Argentinas</t>
  </si>
  <si>
    <t xml:space="preserve">Saque de ARS 1.000,00 Santander Río </t>
  </si>
  <si>
    <t xml:space="preserve">Tarot: 2x Tarot Estilo Marsellés </t>
  </si>
  <si>
    <t>Para os Ubers</t>
  </si>
  <si>
    <t>Estacionamento na caixa</t>
  </si>
  <si>
    <t>Águas na Mystic Fair</t>
  </si>
  <si>
    <t>Saque para divefsos</t>
  </si>
  <si>
    <t>Estacionamento no shoping Apcarana</t>
  </si>
  <si>
    <t>Estacionameto no centro</t>
  </si>
  <si>
    <t xml:space="preserve">Saque I </t>
  </si>
  <si>
    <t>Saque II</t>
  </si>
  <si>
    <t>Para a adriana cuidar dos gatos</t>
  </si>
  <si>
    <t>Tiozinho do uber</t>
  </si>
  <si>
    <t>Tioozinho do Uber</t>
  </si>
  <si>
    <t>Saque da caixa</t>
  </si>
  <si>
    <t>Cafeteira do trabalho</t>
  </si>
  <si>
    <t>Ajustes de conta</t>
  </si>
  <si>
    <t>Fundo paa viagem de Ilha Grande</t>
  </si>
  <si>
    <t>Pousada do Nautillus</t>
  </si>
  <si>
    <t>Exame médico no detrans</t>
  </si>
  <si>
    <t>Para ir e voltar no detrans</t>
  </si>
  <si>
    <t>saques para diversos</t>
  </si>
  <si>
    <t>Fdaxineira Meia Boca</t>
  </si>
  <si>
    <t>Trens de ida-e-volda para o Detrans</t>
  </si>
  <si>
    <t>estacionamento no centrpo</t>
  </si>
  <si>
    <t xml:space="preserve">Ervas para banhos </t>
  </si>
  <si>
    <t>Cabos termo retratio para acabamento</t>
  </si>
  <si>
    <t>Garrafinhas da TupperWares</t>
  </si>
  <si>
    <t>Saque sgerais</t>
  </si>
  <si>
    <t>Ida e volta do detram Armenia</t>
  </si>
  <si>
    <t xml:space="preserve">Estacionamento no centro no cartório </t>
  </si>
  <si>
    <t>Saques para os diversos</t>
  </si>
  <si>
    <t xml:space="preserve">Certidões negativas para o furlan </t>
  </si>
  <si>
    <t>Estacionamento no cartóerio</t>
  </si>
  <si>
    <t>Tibet Dark Darot com o Emanuel</t>
  </si>
  <si>
    <t>Troca da pulseira do Aqualand JP-1060</t>
  </si>
  <si>
    <t>Bingo da Scafo ABC</t>
  </si>
  <si>
    <t>Ida e voda da biental</t>
  </si>
  <si>
    <t>Para a adsrianas</t>
  </si>
  <si>
    <t>para a adriana cuidar dos gatos</t>
  </si>
  <si>
    <t>Correios de presentes</t>
  </si>
  <si>
    <t>Conserto pulseira Seiko PADI</t>
  </si>
  <si>
    <t>Botões do Blazer creme</t>
  </si>
  <si>
    <t>Massagem shiats</t>
  </si>
  <si>
    <t xml:space="preserve">trocar bateria do IronMan |Timex II </t>
  </si>
  <si>
    <t>Saque para diveros</t>
  </si>
  <si>
    <t>Passagem de trem</t>
  </si>
  <si>
    <t>Passagem de metro</t>
  </si>
  <si>
    <t>Estacionamento na Outur</t>
  </si>
  <si>
    <t>Xerox na prefeitura</t>
  </si>
  <si>
    <t>Plastificação do cartão DeFis</t>
  </si>
  <si>
    <t>Estacionamento na prefeituras</t>
  </si>
  <si>
    <t>Saque - fundo de Viagens</t>
  </si>
  <si>
    <t>Pediagios diversos</t>
  </si>
  <si>
    <t xml:space="preserve">Entradas no parque </t>
  </si>
  <si>
    <t>Entrada no caselo caracol</t>
  </si>
  <si>
    <t>Cafés no castelo caracolis</t>
  </si>
  <si>
    <t>chaveiros de viagens</t>
  </si>
  <si>
    <t>Ajustes e diferenças</t>
  </si>
  <si>
    <t>Para a adriana</t>
  </si>
  <si>
    <t>Metros para ir e voltar</t>
  </si>
  <si>
    <t xml:space="preserve">Estacionamento no tyerminal </t>
  </si>
  <si>
    <t>No cartórios</t>
  </si>
  <si>
    <t xml:space="preserve">Dentista Raio X B26 </t>
  </si>
  <si>
    <t>Na dentistias</t>
  </si>
  <si>
    <t>No Radiun Raiuox</t>
  </si>
  <si>
    <t>para diversos</t>
  </si>
  <si>
    <t>Metros de idaevolda de SP</t>
  </si>
  <si>
    <t xml:space="preserve">Estacionamento na dentistas </t>
  </si>
  <si>
    <t>Saques pada diversos</t>
  </si>
  <si>
    <t xml:space="preserve">Para a lavagem </t>
  </si>
  <si>
    <t>Jantar de piraju</t>
  </si>
  <si>
    <t>Estacionamento na Sagitta</t>
  </si>
  <si>
    <t>para a Adriana</t>
  </si>
  <si>
    <t xml:space="preserve">Para diversos </t>
  </si>
  <si>
    <t>Diversos em Piraju</t>
  </si>
  <si>
    <t>Estacionamento no The Burgues MAPAs</t>
  </si>
  <si>
    <t xml:space="preserve">Trem/metro de ida-volta paulistas </t>
  </si>
  <si>
    <t>Maçonaria: Certidão negativa de protesto</t>
  </si>
  <si>
    <t>Mas Saques</t>
  </si>
  <si>
    <t>Trocar baterias de 2 relogios</t>
  </si>
  <si>
    <t xml:space="preserve">Saques para diversos </t>
  </si>
  <si>
    <t>Ida e volta da paulista pra entregar docs pro ulisses</t>
  </si>
  <si>
    <t>Para adriana cuidar dos gatos</t>
  </si>
  <si>
    <t>Para ir pra PinacoTecas</t>
  </si>
  <si>
    <t>Saquesw para diversos</t>
  </si>
  <si>
    <t>Jogo na mega sena</t>
  </si>
  <si>
    <t>Massagem Shiatsu no shopping</t>
  </si>
  <si>
    <t>Maçonaria: Camisa maçonica</t>
  </si>
  <si>
    <t>Para o sacola preta</t>
  </si>
  <si>
    <t>Fotos diversas</t>
  </si>
  <si>
    <t>fitas crepes</t>
  </si>
  <si>
    <t>Enos tabs</t>
  </si>
  <si>
    <t xml:space="preserve">Pasteis na feira de piraju </t>
  </si>
  <si>
    <t xml:space="preserve">Na quermesse </t>
  </si>
  <si>
    <t>Maçonaria: Terno + Camisa</t>
  </si>
  <si>
    <t xml:space="preserve">estacionameto no medico </t>
  </si>
  <si>
    <t>Para di versos</t>
  </si>
  <si>
    <t>Trem pra ir prapaulista</t>
  </si>
  <si>
    <t>toalha de leitura amarela</t>
  </si>
  <si>
    <t>Trem pra voltar da Paulista</t>
  </si>
  <si>
    <t>Tronco de solidaridade</t>
  </si>
  <si>
    <t>Para voltar depois da recisão</t>
  </si>
  <si>
    <t>tronco de solidariedade</t>
  </si>
  <si>
    <t xml:space="preserve">em são paulo </t>
  </si>
  <si>
    <t>diversos</t>
  </si>
  <si>
    <t>Na Pottallas</t>
  </si>
  <si>
    <t>Para a Adriana cuidar dos gatos</t>
  </si>
  <si>
    <t>Pra fazer o Admissional da HITSS</t>
  </si>
  <si>
    <t>NA dentista</t>
  </si>
  <si>
    <t>Maçonaria: lavagem do terno</t>
  </si>
  <si>
    <t>Onibus pra ir tabalhar</t>
  </si>
  <si>
    <t>Metro pra ir trabalhar</t>
  </si>
  <si>
    <t>Dois metros</t>
  </si>
  <si>
    <t>4 Trens</t>
  </si>
  <si>
    <t>Maçonaria: pra voltar pra casa</t>
  </si>
  <si>
    <t>Metro para ir da paulista para a verbo Divino</t>
  </si>
  <si>
    <t>1x Trens</t>
  </si>
  <si>
    <t>Passagengs de Trems 8x</t>
  </si>
  <si>
    <t>Soro Fisiologico nasal</t>
  </si>
  <si>
    <t xml:space="preserve">Bateria para relogios </t>
  </si>
  <si>
    <t>Da DomPedro I para o centro</t>
  </si>
  <si>
    <t>Corda Crachá para o BOM</t>
  </si>
  <si>
    <t>Na Larissa</t>
  </si>
  <si>
    <t>Saque do santanter para a mudança</t>
  </si>
  <si>
    <t>Saque do Itau para a mudança</t>
  </si>
  <si>
    <t>Mudnaça da Uruguaiana pra a tiete</t>
  </si>
  <si>
    <t>Disco Vinil Benediction pelo OLX</t>
  </si>
  <si>
    <t>contribuição para o café do trabalho</t>
  </si>
  <si>
    <t>para comprar agua mineral</t>
  </si>
  <si>
    <t>Uncharted 2 + Tomb Raider (PS3)</t>
  </si>
  <si>
    <t>Na larissa</t>
  </si>
  <si>
    <t>Estacionamento no casamento</t>
  </si>
  <si>
    <t xml:space="preserve">Na liberdade </t>
  </si>
  <si>
    <t>Saldo de Ajustes</t>
  </si>
  <si>
    <t>Estatua Batman em resina</t>
  </si>
  <si>
    <t>Troca do Disjunto do predio</t>
  </si>
  <si>
    <t>2x Baterias CR 1220 para maquina digital Canon</t>
  </si>
  <si>
    <t>Graminha de comer</t>
  </si>
  <si>
    <t xml:space="preserve">Aggua Mineral </t>
  </si>
  <si>
    <t>Sorvete no centro</t>
  </si>
  <si>
    <t>no centro de santo andré</t>
  </si>
  <si>
    <t>No Braz</t>
  </si>
  <si>
    <t>em são caetano</t>
  </si>
  <si>
    <t xml:space="preserve">Em são paulo </t>
  </si>
  <si>
    <t>Para diuversos</t>
  </si>
  <si>
    <t>Ida e volda de SP</t>
  </si>
  <si>
    <t>Saques parea diversos</t>
  </si>
  <si>
    <t xml:space="preserve">Estacionamento lá em Sp </t>
  </si>
  <si>
    <t>Consero do quarda-roupas</t>
  </si>
  <si>
    <t>Saldos para Ajustes</t>
  </si>
  <si>
    <t xml:space="preserve">HD Western Digital Blu 500 GB </t>
  </si>
  <si>
    <t xml:space="preserve">Deposito no Itau - HD Western Digital Blu 500 GB </t>
  </si>
  <si>
    <t>IPVA Peugeot 2021/2022</t>
  </si>
  <si>
    <t>Exame para renovr a CNH</t>
  </si>
  <si>
    <t>Xerox diversos</t>
  </si>
  <si>
    <t>Para a Bolsa de Hospitalaria</t>
  </si>
  <si>
    <t>do Itau</t>
  </si>
  <si>
    <t>Caixinha gratificação</t>
  </si>
  <si>
    <t>Valor real</t>
  </si>
  <si>
    <t>Abril / 2005</t>
  </si>
  <si>
    <t>CREDITO DE SALARIO UNITECH</t>
  </si>
  <si>
    <t>Pagamento Condominio</t>
  </si>
  <si>
    <t>Fatura Telefonica - BrT Fixa</t>
  </si>
  <si>
    <t>Pagamento Fatura Visa (CB)</t>
  </si>
  <si>
    <t>Pagamento Fatura Master Card (CB)</t>
  </si>
  <si>
    <t>Cheque Eletronico - Mercado</t>
  </si>
  <si>
    <t>Maio / 2005</t>
  </si>
  <si>
    <t>Cheque Eletronico - Gasosa na motoca</t>
  </si>
  <si>
    <t>Cheque Eletronico - Farmácia  pra cris</t>
  </si>
  <si>
    <t>TAR MAXICONTA MENS</t>
  </si>
  <si>
    <t>Cheque Eletronico - Coisas do Gato</t>
  </si>
  <si>
    <t>cpmfi</t>
  </si>
  <si>
    <t>Cheque eletronico - Luvas da moto</t>
  </si>
  <si>
    <t>Cheque Eletronico - Giraffas</t>
  </si>
  <si>
    <t>Cheque eletronico - Revisao Moto</t>
  </si>
  <si>
    <t>Deposito do conserto da moto</t>
  </si>
  <si>
    <t>Cheque Eletronico - Aluguel Maio/2005</t>
  </si>
  <si>
    <t>Cheque Eletronico - Raçao pro gato</t>
  </si>
  <si>
    <t xml:space="preserve">Cheque Eletronico - Pizzaria </t>
  </si>
  <si>
    <t>Fatura unibanco Mastercard</t>
  </si>
  <si>
    <t>Fatura CEB</t>
  </si>
  <si>
    <t xml:space="preserve">Fatura Telefonica - TIM </t>
  </si>
  <si>
    <t>Cheque Eletronico - Gasolina na motoca</t>
  </si>
  <si>
    <t>Cheque Eletronico - Mc Sorvete</t>
  </si>
  <si>
    <t>Cheque eletronico - Mc Trash</t>
  </si>
  <si>
    <t>TAR MAXICONTA MENS 05/05</t>
  </si>
  <si>
    <t>Cheque Eletronico - Banho + afiador de Unhas</t>
  </si>
  <si>
    <t>Cheuqe eletronico - Raçao pro gato</t>
  </si>
  <si>
    <t>cheque eletronico - Bobs</t>
  </si>
  <si>
    <t>Cheque eletronico - Milkshake bobs</t>
  </si>
  <si>
    <t>Moto (17/24)</t>
  </si>
  <si>
    <t xml:space="preserve">Transf Unibanco </t>
  </si>
  <si>
    <t>Pagamento Aluguel</t>
  </si>
  <si>
    <t xml:space="preserve">Cheque Eletronico - Farmácia </t>
  </si>
  <si>
    <t>Fatura Telefonica - Brt Fixa</t>
  </si>
  <si>
    <t>Fatura Telefonica - TIM</t>
  </si>
  <si>
    <t>condominio</t>
  </si>
  <si>
    <t>Julho / 2005</t>
  </si>
  <si>
    <t>TAR MAXICONTA MENS 06/05</t>
  </si>
  <si>
    <t>TAR MAXCONTA EXCED 06/05</t>
  </si>
  <si>
    <t>Oleo na motoca</t>
  </si>
  <si>
    <t>McAlmoço</t>
  </si>
  <si>
    <t>CPMFI</t>
  </si>
  <si>
    <t>Moto(18/24)</t>
  </si>
  <si>
    <t>Transf Unibanco</t>
  </si>
  <si>
    <t xml:space="preserve">Credito no celular </t>
  </si>
  <si>
    <t>Agosto / 2005</t>
  </si>
  <si>
    <t>IOF</t>
  </si>
  <si>
    <t>COMISS VALOR LIBERADo</t>
  </si>
  <si>
    <t>Tarf. Max Conta</t>
  </si>
  <si>
    <t>Tarf. Max Conta Exced</t>
  </si>
  <si>
    <t>Raçao pro gato</t>
  </si>
  <si>
    <t>CDs Virgem</t>
  </si>
  <si>
    <t>LIS/ENCARGOS</t>
  </si>
  <si>
    <t>TAR LIS MAXCTA ECONOMICA</t>
  </si>
  <si>
    <t>Fatura Ceb</t>
  </si>
  <si>
    <t>Banho + Ração</t>
  </si>
  <si>
    <t>Setembro / 2005</t>
  </si>
  <si>
    <t>TAR MAXICONTA MENS 08/05</t>
  </si>
  <si>
    <t xml:space="preserve">TAR LIS MAXCTA ECONOMICA </t>
  </si>
  <si>
    <t>Fatura Unicard</t>
  </si>
  <si>
    <t xml:space="preserve">Fatura Telefonica - BrT </t>
  </si>
  <si>
    <t>Fatura Telefonica - Tim - Luiz</t>
  </si>
  <si>
    <t>Outubro / 2005</t>
  </si>
  <si>
    <t>Tar Max Conta</t>
  </si>
  <si>
    <t>CPFMI</t>
  </si>
  <si>
    <t>Agua Oxigenada</t>
  </si>
  <si>
    <t>Areia de coco</t>
  </si>
  <si>
    <t>lis Encargos</t>
  </si>
  <si>
    <t>Moto (21/24)</t>
  </si>
  <si>
    <t>Guarda-Pó</t>
  </si>
  <si>
    <t>Fatura Telefonica - TIM - Cris</t>
  </si>
  <si>
    <t>Tar Lis MxConta</t>
  </si>
  <si>
    <t>Ceb</t>
  </si>
  <si>
    <t>Liscenciamento das moto</t>
  </si>
  <si>
    <t>Pamonhas Fresquinhas, puro creme do milho</t>
  </si>
  <si>
    <t>Milk Shakw</t>
  </si>
  <si>
    <t>Novembro / 2005</t>
  </si>
  <si>
    <t>Comis Valor Liberado</t>
  </si>
  <si>
    <t>Coisas pra Quilling e tinta de pintura</t>
  </si>
  <si>
    <t xml:space="preserve">Pizza no Terrassu´s </t>
  </si>
  <si>
    <t>Tar. Max Comnta</t>
  </si>
  <si>
    <t>Fechadoura da porta</t>
  </si>
  <si>
    <t>Tinta de Impressora</t>
  </si>
  <si>
    <t>Fatura Telefonica - TIM Luiz</t>
  </si>
  <si>
    <t>Bobs Almoço</t>
  </si>
  <si>
    <t>materiais de Arte</t>
  </si>
  <si>
    <t>Fotos do casamento</t>
  </si>
  <si>
    <t>Fatura Telefonica - TIM Cris</t>
  </si>
  <si>
    <t>Encargos LIS</t>
  </si>
  <si>
    <t>Dezembro / 2005</t>
  </si>
  <si>
    <t>Recisão Unirech</t>
  </si>
  <si>
    <t>Pagamento Fatura Visa Unibanco</t>
  </si>
  <si>
    <t xml:space="preserve">Fatura MasterCard (CB) </t>
  </si>
  <si>
    <t>Tar. Max Conta</t>
  </si>
  <si>
    <t>Fatura Tefonica - BrT Fixa</t>
  </si>
  <si>
    <t>Tarf. Doc</t>
  </si>
  <si>
    <t>Taransf unibanco</t>
  </si>
  <si>
    <t>Transformadores elétricos</t>
  </si>
  <si>
    <t>pra semana ?!?!</t>
  </si>
  <si>
    <t>Fatura telefonica - Tim Cristiane</t>
  </si>
  <si>
    <t>deposito da Sofia pra Cris</t>
  </si>
  <si>
    <t>pagamento Alugel coemi</t>
  </si>
  <si>
    <t>TAR lis Maxconta economivca</t>
  </si>
  <si>
    <t>saque pra documentos e diversos</t>
  </si>
  <si>
    <t>Adiantamento Quinzenal</t>
  </si>
  <si>
    <t>Palmilha do sapato</t>
  </si>
  <si>
    <t>Areia do gato</t>
  </si>
  <si>
    <t>Resto do Aluguel e afins do SW</t>
  </si>
  <si>
    <t>pra transportes</t>
  </si>
  <si>
    <t>mercado</t>
  </si>
  <si>
    <t>mcDonaldos</t>
  </si>
  <si>
    <t>Mecado</t>
  </si>
  <si>
    <t>Toca de Papai  Noel pro Sebastian e Isabella</t>
  </si>
  <si>
    <t>Remédio de garGanTa</t>
  </si>
  <si>
    <t>RodoPosto</t>
  </si>
  <si>
    <t xml:space="preserve">Cabo de Antena da TV </t>
  </si>
  <si>
    <t>Conserto da Moto</t>
  </si>
  <si>
    <t>Compra do  Mês</t>
  </si>
  <si>
    <t>ferramentas, Pregos, Parafusos e algo Mais</t>
  </si>
  <si>
    <t>Cartão pre-pago TIM</t>
  </si>
  <si>
    <t>Gabittes</t>
  </si>
  <si>
    <t xml:space="preserve">Conserto do Som </t>
  </si>
  <si>
    <t>habibs</t>
  </si>
  <si>
    <t>saque pra cris e pro taxi e pro conserto</t>
  </si>
  <si>
    <t>mesa nova do Computador</t>
  </si>
  <si>
    <t xml:space="preserve">Mercado (verificar vlr correto ) </t>
  </si>
  <si>
    <t>1ª Parc. PLR - MBO - Part. Lucros</t>
  </si>
  <si>
    <t>CREDITO DE SALARIO TIM CELULAR</t>
  </si>
  <si>
    <t>CD do Masacration</t>
  </si>
  <si>
    <t>Locadora Block Buster</t>
  </si>
  <si>
    <t>Pra Jantar de Ano novo</t>
  </si>
  <si>
    <t>Janeiro / 2006</t>
  </si>
  <si>
    <t>Onde Está Wally ?!?!?!</t>
  </si>
  <si>
    <t>Fatura Itau Card Visa</t>
  </si>
  <si>
    <t>fatura Unicard visa</t>
  </si>
  <si>
    <t>Fatura Citicard</t>
  </si>
  <si>
    <t>Fatura Telefonica - Tim Luiz</t>
  </si>
  <si>
    <t>DVD helloween</t>
  </si>
  <si>
    <t>Vacina de pulgas</t>
  </si>
  <si>
    <t>Carrefour - coisas da casa</t>
  </si>
  <si>
    <t>TAR MAXICONTA MENS 12/05</t>
  </si>
  <si>
    <t>TAR MAXCONTA EXCED 12/05</t>
  </si>
  <si>
    <t xml:space="preserve">fatura Telefonica - Telefonica </t>
  </si>
  <si>
    <t xml:space="preserve">Saque - </t>
  </si>
  <si>
    <t>McDonaldos</t>
  </si>
  <si>
    <t xml:space="preserve">Mercado pro coffe break Fast </t>
  </si>
  <si>
    <t xml:space="preserve">saque pro Unibanco </t>
  </si>
  <si>
    <t>Habbins</t>
  </si>
  <si>
    <t>Saque pro Busão 1</t>
  </si>
  <si>
    <t>Saque pra Cris Viajar</t>
  </si>
  <si>
    <t>Bobs</t>
  </si>
  <si>
    <t>Habibs</t>
  </si>
  <si>
    <t>Cadernos, elástico, grampos e os lápis da Cris</t>
  </si>
  <si>
    <t>DVD do caligula</t>
  </si>
  <si>
    <t>fatura Telefonica - BrT Fixa</t>
  </si>
  <si>
    <t>Creditos Celular Cristiane</t>
  </si>
  <si>
    <t>Mcsorvete</t>
  </si>
  <si>
    <t xml:space="preserve">Pagamento Aluguel (01/2006) </t>
  </si>
  <si>
    <t>papeis de scrapi buquin</t>
  </si>
  <si>
    <t>Gravador de DVD + Mudia Virgem</t>
  </si>
  <si>
    <t>Camistesas do Masssacration e Kiss</t>
  </si>
  <si>
    <t>Transf. Livros Op. Cavalo troia 2</t>
  </si>
  <si>
    <t>Complemento de Trabsf de vendas</t>
  </si>
  <si>
    <t>Restituição de Transf indevida</t>
  </si>
  <si>
    <t>Cpmf</t>
  </si>
  <si>
    <t xml:space="preserve">Almoço </t>
  </si>
  <si>
    <t>Filhos de Duna + Livrto da Cris</t>
  </si>
  <si>
    <t>Milk Shake Giraffas</t>
  </si>
  <si>
    <t>Lâmpada Negra</t>
  </si>
  <si>
    <t>Tranformador de força Lampada Negra</t>
  </si>
  <si>
    <t>Cheque - AA-000001 - Academia + Matricula</t>
  </si>
  <si>
    <t>Transferencia pro Silveira - cabeleirero</t>
  </si>
  <si>
    <t>Fevereiro / 2005</t>
  </si>
  <si>
    <t>Cheque - AA-000007 - Condominio 02/2006</t>
  </si>
  <si>
    <t>Fatura telefonica - Telefônica</t>
  </si>
  <si>
    <t>Fatura Speedy</t>
  </si>
  <si>
    <t>Cabos do compotador</t>
  </si>
  <si>
    <t>UniCard 02/2006</t>
  </si>
  <si>
    <t>ItaUcard 02/2006</t>
  </si>
  <si>
    <t>Livros da Disal</t>
  </si>
  <si>
    <t>Fatura eletroPaulo 02/2006</t>
  </si>
  <si>
    <t>Habbibis</t>
  </si>
  <si>
    <t>Fatura Telefônicas - TIM Luiz</t>
  </si>
  <si>
    <t>Pra Viagem e Cris</t>
  </si>
  <si>
    <t>cpmi</t>
  </si>
  <si>
    <t>Transf Itau pro Silvio</t>
  </si>
  <si>
    <t>Depósito da Debora dos Armários</t>
  </si>
  <si>
    <t>Despesas do Hotel</t>
  </si>
  <si>
    <t xml:space="preserve">Mercado </t>
  </si>
  <si>
    <t>DVD gravável</t>
  </si>
  <si>
    <t>Mc Donaldos</t>
  </si>
  <si>
    <t>Cheque - AA-000008 - Pizza</t>
  </si>
  <si>
    <t>CREA 2006</t>
  </si>
  <si>
    <t>Fatura Telefonica - TIM BSB</t>
  </si>
  <si>
    <t xml:space="preserve">Mais Saque </t>
  </si>
  <si>
    <t>Areia do gatto - CARREFOUR</t>
  </si>
  <si>
    <t>papel de Impressora CARREFOUR</t>
  </si>
  <si>
    <t>Coisas de Scapping Bookin</t>
  </si>
  <si>
    <t>Revelação fotod Cris</t>
  </si>
  <si>
    <t>Habbibs no Shoppiong ABC</t>
  </si>
  <si>
    <t>Saque pra Taxi</t>
  </si>
  <si>
    <t>Filmes da Block Busters</t>
  </si>
  <si>
    <t>Mais Locadora</t>
  </si>
  <si>
    <t>Capas do Sofá</t>
  </si>
  <si>
    <t>Cheque - AA-000009 - Estante sala</t>
  </si>
  <si>
    <t>habibbs</t>
  </si>
  <si>
    <t>Março / 2006</t>
  </si>
  <si>
    <t>Cheque - AA-000002 - Academia Março/2006</t>
  </si>
  <si>
    <t>Fatura Telefonica - Telefónica</t>
  </si>
  <si>
    <t>Produtos de case Mod</t>
  </si>
  <si>
    <t>Cheque - AA-000010 -  Condominio</t>
  </si>
  <si>
    <t>lacres de nylon e conduite</t>
  </si>
  <si>
    <t>cheque - AA-000011 - Mudança (01/04)</t>
  </si>
  <si>
    <t>Fattura ItauCard</t>
  </si>
  <si>
    <t>Mais Materiais de Iscrapi buking</t>
  </si>
  <si>
    <t>Lanche do King Burguers</t>
  </si>
  <si>
    <t>tx. Cheque abaixo valor</t>
  </si>
  <si>
    <t>cpmfi - 23/02 24/02</t>
  </si>
  <si>
    <t>Eletropaulo</t>
  </si>
  <si>
    <t>Imperador-Deus duna e entrev. Com vampiro</t>
  </si>
  <si>
    <t>Cabites + broca + trena</t>
  </si>
  <si>
    <t>Cheque - AA-000015 - Tintas e lixas</t>
  </si>
  <si>
    <t>Coisas da Cris</t>
  </si>
  <si>
    <t>Pasta da Cristiane + chocolates</t>
  </si>
  <si>
    <t>Meias do Luiz</t>
  </si>
  <si>
    <t>Rioua da KDMia da Cristiane</t>
  </si>
  <si>
    <t>Pizza Hut</t>
  </si>
  <si>
    <t>Doce de Bolo de Brigadeiro</t>
  </si>
  <si>
    <t>Fatura telefonica - TIM BSB</t>
  </si>
  <si>
    <t>Anti gripais e cortadô de Unhas</t>
  </si>
  <si>
    <t>Cheque - AA000016 - Academia</t>
  </si>
  <si>
    <t>coisas de café de manha</t>
  </si>
  <si>
    <t>DVDs do Istá Uar</t>
  </si>
  <si>
    <t>Lampadas Dicoricas da casa</t>
  </si>
  <si>
    <t>Artigos de Jantar e decoração</t>
  </si>
  <si>
    <t xml:space="preserve">Farmácia para a Cristiane </t>
  </si>
  <si>
    <t>Carnes e afins no P.A Ipiranguinha</t>
  </si>
  <si>
    <t>Ração + areia no carrefour</t>
  </si>
  <si>
    <t>caixa de bombom da cris</t>
  </si>
  <si>
    <t>Cheque - AA-000019 - Cortinas (01/02)</t>
  </si>
  <si>
    <t>prepago Cris</t>
  </si>
  <si>
    <t>Restituição da Viagem pro Rio</t>
  </si>
  <si>
    <t>Lampadas Dicroicas e Ratores</t>
  </si>
  <si>
    <t>Habbibs do Shopping</t>
  </si>
  <si>
    <t>Camiseta da Cristiane</t>
  </si>
  <si>
    <t>Presente Amga da Cris</t>
  </si>
  <si>
    <t>DVD dos Mostros S/A</t>
  </si>
  <si>
    <t>DVD Constatine e Guerra dos Mundos</t>
  </si>
  <si>
    <t>Locação de filmes na Block Buster</t>
  </si>
  <si>
    <t>Bermudas pra kdmia</t>
  </si>
  <si>
    <t>Saque - pra Cristiane</t>
  </si>
  <si>
    <t>pagamento Aluguel + Parc. 1 e 2 IPTU</t>
  </si>
  <si>
    <t>Docê gostoso</t>
  </si>
  <si>
    <t>CPMF</t>
  </si>
  <si>
    <t xml:space="preserve">Giraffa´s </t>
  </si>
  <si>
    <t>Esponja de lavar</t>
  </si>
  <si>
    <t>Gatto - Areia de cagar cocô</t>
  </si>
  <si>
    <t>Placa de rede nova pro compotador</t>
  </si>
  <si>
    <t>Revelação de fotos de Gato</t>
  </si>
  <si>
    <t xml:space="preserve">Coisas de Papel </t>
  </si>
  <si>
    <t>cheque - AA-000023 - Condominio</t>
  </si>
  <si>
    <t>4 camisas Novas</t>
  </si>
  <si>
    <t>Sapato Preto novo</t>
  </si>
  <si>
    <t>DVDs do Matrix</t>
  </si>
  <si>
    <t>Mc Lanche Feliz</t>
  </si>
  <si>
    <t>Sapatos Bege</t>
  </si>
  <si>
    <t>Cheque - AA-000024 - Pizzas</t>
  </si>
  <si>
    <t>Batata assadas</t>
  </si>
  <si>
    <t>Fatura Telefonica - Telefonica</t>
  </si>
  <si>
    <t>ItauCard</t>
  </si>
  <si>
    <t>Farmácia pra Gripe</t>
  </si>
  <si>
    <t>Carteira nova da Cris</t>
  </si>
  <si>
    <t>Grill + artigos de cosinha e bolachas</t>
  </si>
  <si>
    <t>Arreia e raçã</t>
  </si>
  <si>
    <t>Jantar no habbibs</t>
  </si>
  <si>
    <t>cheque - AA-000012 - Mudança (02/04)</t>
  </si>
  <si>
    <t>Fatura Telefonica - TIM Sp</t>
  </si>
  <si>
    <t>Cheque - AA-000003 - kdmia</t>
  </si>
  <si>
    <t>Cheque - AA-000017 - Academia cris Abril</t>
  </si>
  <si>
    <t>Capacete novo Bieffe e viseira do antigo</t>
  </si>
  <si>
    <t>Coisas de Papel</t>
  </si>
  <si>
    <t>Coisas da cris de fazer chocolate</t>
  </si>
  <si>
    <t>Colcha da cama de casal</t>
  </si>
  <si>
    <t>Mercado do Mês</t>
  </si>
  <si>
    <t>Cheque - AA-000026 - consulta medica + exame</t>
  </si>
  <si>
    <t>Cheque - AA-000027 - Taxy pra voltar do med</t>
  </si>
  <si>
    <t>Comida de gato + comida dos cachorro</t>
  </si>
  <si>
    <t>Cheque - AA-000020 - Cortinas (02/02)</t>
  </si>
  <si>
    <t>Cheque - AA-000024 - Consorcio Twister (01/25)</t>
  </si>
  <si>
    <t>Carteirinha do VetPet</t>
  </si>
  <si>
    <t>Rações e shamppous</t>
  </si>
  <si>
    <t>Fluor</t>
  </si>
  <si>
    <t>Aluguel 04/2006 + Iptu</t>
  </si>
  <si>
    <t>Habbibs do Almoço</t>
  </si>
  <si>
    <t>Cheque - AA-000028 - taxy pra voltar do Vete.</t>
  </si>
  <si>
    <t>Algumas coisas diversas</t>
  </si>
  <si>
    <t>Remédios de Gripes</t>
  </si>
  <si>
    <t>Coisas de mulher</t>
  </si>
  <si>
    <t>CatNip + vermifugo</t>
  </si>
  <si>
    <t>Maio / 2006</t>
  </si>
  <si>
    <t>Espelho retrovisor Direito</t>
  </si>
  <si>
    <t>Restaurantes dos Japoneis</t>
  </si>
  <si>
    <t>Cheque - AA-000029 - Condominio</t>
  </si>
  <si>
    <t>Pagamento Fatura Visa</t>
  </si>
  <si>
    <t>Pra Moto</t>
  </si>
  <si>
    <t>Cheque - AA-000004 - Academia Maio/2006</t>
  </si>
  <si>
    <t>cheque - AA-000013 - Mudança (03/04)</t>
  </si>
  <si>
    <t>Credito celular prepago</t>
  </si>
  <si>
    <t>ELETROPAulo</t>
  </si>
  <si>
    <t>TAR CH BAIXO VALOR</t>
  </si>
  <si>
    <t>Cheque - AA-000018 - Academia Cris maio</t>
  </si>
  <si>
    <t>Resgate de fundos para viagem</t>
  </si>
  <si>
    <t xml:space="preserve">Jantar </t>
  </si>
  <si>
    <t>Areia de cocô</t>
  </si>
  <si>
    <t>Coisas pra viagem</t>
  </si>
  <si>
    <t>Mais, Mais mercadi!!!!!</t>
  </si>
  <si>
    <t>saque pra Cristiane</t>
  </si>
  <si>
    <t>Consorcio Twisyer (02/25)</t>
  </si>
  <si>
    <t>Aluguel Maio</t>
  </si>
  <si>
    <t xml:space="preserve">Pra Moto </t>
  </si>
  <si>
    <t>Almoço no ZazTraz</t>
  </si>
  <si>
    <t>No Boobs</t>
  </si>
  <si>
    <t>Almoço no Giraffas</t>
  </si>
  <si>
    <t>boobs</t>
  </si>
  <si>
    <t>Giraffa's</t>
  </si>
  <si>
    <t>Presente da Cris</t>
  </si>
  <si>
    <t>Cheque - AA-000005 - Academia Junho/2006</t>
  </si>
  <si>
    <t>Junho/2006</t>
  </si>
  <si>
    <t xml:space="preserve">Cheque - AA-000030 - Condominio </t>
  </si>
  <si>
    <t>cheque - AA-000014 - Mudança (04/04)</t>
  </si>
  <si>
    <t>Fatura Visa</t>
  </si>
  <si>
    <t>Para a Moto</t>
  </si>
  <si>
    <t>DVD Duna</t>
  </si>
  <si>
    <t>Salgados do filme</t>
  </si>
  <si>
    <t>Gasolina na Motoca</t>
  </si>
  <si>
    <t>Comida de gato + brinquedo de franquinho</t>
  </si>
  <si>
    <t>Pra pagar conta</t>
  </si>
  <si>
    <t>Consorcio Twister (03/25)</t>
  </si>
  <si>
    <t>Burguers Kings</t>
  </si>
  <si>
    <t>Presente cris</t>
  </si>
  <si>
    <t>Saque pra locadora</t>
  </si>
  <si>
    <t>Deposito de terceiros</t>
  </si>
  <si>
    <t>Mc Donalds</t>
  </si>
  <si>
    <t>Cheque - AA-000032 - Pizza e, casa</t>
  </si>
  <si>
    <t>pra cubrir</t>
  </si>
  <si>
    <t>resgate</t>
  </si>
  <si>
    <t>Participação Lucros</t>
  </si>
  <si>
    <t>Julho / 2006</t>
  </si>
  <si>
    <t>Cheque - AA-000033 - Condominio</t>
  </si>
  <si>
    <t>fatura Telefonica - Telefonica</t>
  </si>
  <si>
    <t>ItaU card</t>
  </si>
  <si>
    <t xml:space="preserve">Transf. Poupança (pra Moto) </t>
  </si>
  <si>
    <t>Cheque - AA-000006 - Academia Julho/2006</t>
  </si>
  <si>
    <t>TARIFA Cheque Abaixo Valor</t>
  </si>
  <si>
    <t>No HaBBIbs</t>
  </si>
  <si>
    <t>Pizzaria de perto da igreja</t>
  </si>
  <si>
    <t>Areia De Coco cherosa</t>
  </si>
  <si>
    <t xml:space="preserve">Locadora de Filmes </t>
  </si>
  <si>
    <t>Consorcio Twister (04/25)</t>
  </si>
  <si>
    <t>Super BOX - do Super Méim</t>
  </si>
  <si>
    <t>Pizzaria de perto da locadora na DPI</t>
  </si>
  <si>
    <t>Cheque - AA-000034 - Oculos novos denovo</t>
  </si>
  <si>
    <t>Mc donaldos</t>
  </si>
  <si>
    <t>Pilhas recarregáveis</t>
  </si>
  <si>
    <t>Aluguel Julho/2006</t>
  </si>
  <si>
    <t>Bagaça do SuperMan iV</t>
  </si>
  <si>
    <t>Burger Kinks</t>
  </si>
  <si>
    <t>Reembolso viagem</t>
  </si>
  <si>
    <t>Porduto de limpeza de Couro</t>
  </si>
  <si>
    <t>Bandejas e formas</t>
  </si>
  <si>
    <t>"Furia em 2 rodas" e "Ruas de Fogo"</t>
  </si>
  <si>
    <t>Tinta de cabelo e coisas de cabelo</t>
  </si>
  <si>
    <t>Tintas de Impressora</t>
  </si>
  <si>
    <t>Agosto / 2006</t>
  </si>
  <si>
    <t>Fatura Telefonica - tefonica</t>
  </si>
  <si>
    <t>Cheque - AA-000035 -  Exames Cristiane</t>
  </si>
  <si>
    <t>Fatura ItaUVisa</t>
  </si>
  <si>
    <t>Gardenal do gattoouu</t>
  </si>
  <si>
    <t>Remédios diversos</t>
  </si>
  <si>
    <t>EletroPaulo</t>
  </si>
  <si>
    <t>Cheque - AA-000036 - PIZZAs</t>
  </si>
  <si>
    <t xml:space="preserve">Pra cubrir </t>
  </si>
  <si>
    <t>Depósito cheque cristiane</t>
  </si>
  <si>
    <t>Consorcio Twister (05/25)</t>
  </si>
  <si>
    <t>Ração do Bixano</t>
  </si>
  <si>
    <t>Aluguel Agosto/2006</t>
  </si>
  <si>
    <t>pro Coffi breique</t>
  </si>
  <si>
    <t>resgatete pra moto</t>
  </si>
  <si>
    <t>Pagamento do lance da Moto</t>
  </si>
  <si>
    <t>Areia de Cocô de Gato</t>
  </si>
  <si>
    <t>Fatura Telefonica - TIM DF 6181142443 - Atrasos</t>
  </si>
  <si>
    <t>Coffe da Manhâ</t>
  </si>
  <si>
    <t>Setembro / 2006</t>
  </si>
  <si>
    <t>Fatura Telefonica - Telefoncia</t>
  </si>
  <si>
    <t>Tintura de Cabelo</t>
  </si>
  <si>
    <t>COMIS VALOR LIBERADO-CVL</t>
  </si>
  <si>
    <t>Cheque - 000037 - cursos monitor</t>
  </si>
  <si>
    <t>Docês do Mercadio Municipal</t>
  </si>
  <si>
    <t>Coisas de Iscrapi Buquin</t>
  </si>
  <si>
    <t>cheque - 000039 - Ipod Nano</t>
  </si>
  <si>
    <t>Cheque Eletjronico - IpoNano</t>
  </si>
  <si>
    <t>Cheque - 000040 - Capa iPod Nano</t>
  </si>
  <si>
    <t>Brnquedo Novo do Gatto</t>
  </si>
  <si>
    <t>Cristiane - coisas</t>
  </si>
  <si>
    <t>Roupas novas</t>
  </si>
  <si>
    <t>Placa USB</t>
  </si>
  <si>
    <t>TAR CH BAIXO VALOR 08/06</t>
  </si>
  <si>
    <t>Fios  e M&amp;M</t>
  </si>
  <si>
    <t xml:space="preserve">Presente Mig </t>
  </si>
  <si>
    <t>Burgers Kibgs</t>
  </si>
  <si>
    <t>Sapato Cris</t>
  </si>
  <si>
    <t xml:space="preserve">Fotos </t>
  </si>
  <si>
    <t>Pulhas Recaregáveis</t>
  </si>
  <si>
    <t>Teclado novo + DVD-r + capinhas de CD</t>
  </si>
  <si>
    <t>Gatto  Hotel</t>
  </si>
  <si>
    <t>Crisyiane - Chinella</t>
  </si>
  <si>
    <t xml:space="preserve">Cristiane - Roupas </t>
  </si>
  <si>
    <t>Rodoserv - almoço</t>
  </si>
  <si>
    <t>LIS - encargos</t>
  </si>
  <si>
    <t xml:space="preserve">cheque - AA-000041 - Academia setembro </t>
  </si>
  <si>
    <t>Fone de Ouvido mega Power</t>
  </si>
  <si>
    <t>Frete da Tw</t>
  </si>
  <si>
    <t>Almoço no rabibis</t>
  </si>
  <si>
    <t>Restituição do IR 2006</t>
  </si>
  <si>
    <t>Consorcio Twister (06/25)</t>
  </si>
  <si>
    <t>Pen drive 1gb + Placa USB</t>
  </si>
  <si>
    <t>DVD iron Maiden Death on the Road</t>
  </si>
  <si>
    <t>Camiseta do Manowar</t>
  </si>
  <si>
    <t>Coisas de gengiskan</t>
  </si>
  <si>
    <t xml:space="preserve">Aluguel de setembro </t>
  </si>
  <si>
    <t>Pilhas do alarme da moto</t>
  </si>
  <si>
    <t>Saque pra Cristiane</t>
  </si>
  <si>
    <t>Saque Documentação  Twister</t>
  </si>
  <si>
    <t>Papá de Gatinho</t>
  </si>
  <si>
    <t>Combustivel na Twister</t>
  </si>
  <si>
    <t>Alarme da Twister</t>
  </si>
  <si>
    <t>Mc Donaldis</t>
  </si>
  <si>
    <t>Luquidificador e Chuveiro</t>
  </si>
  <si>
    <t>Caixa de som nova</t>
  </si>
  <si>
    <t>Vestido da Cris</t>
  </si>
  <si>
    <t>Hub USB</t>
  </si>
  <si>
    <t>Diet Shaky pra ficar magrinho</t>
  </si>
  <si>
    <t>coisas de farmácia</t>
  </si>
  <si>
    <t>Cheque - AA-000045-PIZZA EM CASA</t>
  </si>
  <si>
    <t>Luvas Novas</t>
  </si>
  <si>
    <t>Óleo na titan</t>
  </si>
  <si>
    <t>Outubro / 2006</t>
  </si>
  <si>
    <t>Revelar Fotos</t>
  </si>
  <si>
    <t xml:space="preserve">Revistas </t>
  </si>
  <si>
    <t>Condimonio</t>
  </si>
  <si>
    <t>Fatura MasterCard</t>
  </si>
  <si>
    <t>Documento da Titan</t>
  </si>
  <si>
    <t>Pra Poupança</t>
  </si>
  <si>
    <t>Cheque - AA-000046 - escova progressiva</t>
  </si>
  <si>
    <t>deposito de pagamento para compensar</t>
  </si>
  <si>
    <t>Remédios de Gripes e gargantas</t>
  </si>
  <si>
    <t>pro Notebook</t>
  </si>
  <si>
    <t>Cheque - AA-000047 - Notebook Acer</t>
  </si>
  <si>
    <t>Cheque - AA-000047-PIZZA EM CASA</t>
  </si>
  <si>
    <t>Cheque - AA-000049 - Curso</t>
  </si>
  <si>
    <t>Mochila do Note Book</t>
  </si>
  <si>
    <t>Trava do Notebook</t>
  </si>
  <si>
    <t>Xampouuu na amarericanas</t>
  </si>
  <si>
    <t>gasosa na titan</t>
  </si>
  <si>
    <t>fatura Telefonica - TIM  BSB 61-8113-2443</t>
  </si>
  <si>
    <t xml:space="preserve">Cheque - AA-000042 - Academia Outubro </t>
  </si>
  <si>
    <t>Table Mate II</t>
  </si>
  <si>
    <t>Habbinbs</t>
  </si>
  <si>
    <t xml:space="preserve">Trava da Moto </t>
  </si>
  <si>
    <t>Kings Burgers</t>
  </si>
  <si>
    <t>Consorcio Twister (07/25)</t>
  </si>
  <si>
    <t>Festa do Hallowtiim</t>
  </si>
  <si>
    <t>Burges Kinguin</t>
  </si>
  <si>
    <t>Almoço Shopping</t>
  </si>
  <si>
    <t>Venda do dos convites da festa  HallowTim</t>
  </si>
  <si>
    <t xml:space="preserve">CPMFI </t>
  </si>
  <si>
    <t>Lanche da Manhã</t>
  </si>
  <si>
    <t>escova de dentes + M&amp;M</t>
  </si>
  <si>
    <t>Automotivo: Seguro Twister 200/2007 (01/04)</t>
  </si>
  <si>
    <t>tarifa do Mercado Livre</t>
  </si>
  <si>
    <t>Novembro / 2006</t>
  </si>
  <si>
    <t>Gasosa na Twister</t>
  </si>
  <si>
    <t>PraPoupança</t>
  </si>
  <si>
    <t>Pizzarias</t>
  </si>
  <si>
    <t>EletrôPauloô</t>
  </si>
  <si>
    <t>Vacinas de réiva</t>
  </si>
  <si>
    <t xml:space="preserve">Pro Modeim </t>
  </si>
  <si>
    <t>Saque 1</t>
  </si>
  <si>
    <t>Saque 2</t>
  </si>
  <si>
    <t>Tar. Cheque abaixo valor</t>
  </si>
  <si>
    <t>Camisetas Meias e Taias</t>
  </si>
  <si>
    <t>Batata Assadas</t>
  </si>
  <si>
    <t>Miuque xieque do bobos</t>
  </si>
  <si>
    <t>Mais taxas do ML</t>
  </si>
  <si>
    <t>Assinatura do Estadão</t>
  </si>
  <si>
    <t>M&amp;Ms</t>
  </si>
  <si>
    <t>DVD Virge</t>
  </si>
  <si>
    <t>Mc Donalndos</t>
  </si>
  <si>
    <t>Cheque - AA-000053 - Pizza Rute</t>
  </si>
  <si>
    <t>Ganchos retrateis para bagagem</t>
  </si>
  <si>
    <t>Venda do Modem ADSL Speed Touch</t>
  </si>
  <si>
    <t>Academia de Novembro/2006</t>
  </si>
  <si>
    <t>Parc. Consórcio CBX Twister (08/25)</t>
  </si>
  <si>
    <t xml:space="preserve">Coisas de meter </t>
  </si>
  <si>
    <t>Lanche da Tardê</t>
  </si>
  <si>
    <t>Cheque da Coração</t>
  </si>
  <si>
    <t>Pro café de manha</t>
  </si>
  <si>
    <t>DVD do clube de Luta e terminator</t>
  </si>
  <si>
    <t>Controle remoto + jogo Prince persia</t>
  </si>
  <si>
    <t>Coisas de Jantar</t>
  </si>
  <si>
    <t>Cheque - AA-000054 - Churrascaria</t>
  </si>
  <si>
    <t>Aluguel Nov/2006</t>
  </si>
  <si>
    <t xml:space="preserve">Mc Donaldos </t>
  </si>
  <si>
    <t>Deposito Cabo celular - Milene</t>
  </si>
  <si>
    <t>Deposito Cabo celular - Mirian</t>
  </si>
  <si>
    <t>Deposito Cabo celular - Mácelu + Getson</t>
  </si>
  <si>
    <t>Deposito Cabo celular - Denis</t>
  </si>
  <si>
    <t>Deposito Cabo celular - Leonardo</t>
  </si>
  <si>
    <t>Cabos de celular</t>
  </si>
  <si>
    <t>Deposito Cabo celular -CA53</t>
  </si>
  <si>
    <t>Deposito Cabo celular - Marcello</t>
  </si>
  <si>
    <t>Deposito Cabo celular - Everson</t>
  </si>
  <si>
    <t>Deposito Cabo celular - Erico</t>
  </si>
  <si>
    <t>Deposito Cabo celular - Rorato</t>
  </si>
  <si>
    <t>Deposito Cabo celular - Cassio</t>
  </si>
  <si>
    <t>Pra coisas</t>
  </si>
  <si>
    <t>Dezembro / 2006</t>
  </si>
  <si>
    <t>iof</t>
  </si>
  <si>
    <t>Automotivo: seguro Twister 2006/2007 (02/04)</t>
  </si>
  <si>
    <t>Condominio de Novembro</t>
  </si>
  <si>
    <t>Fatura telefonica - telefonica</t>
  </si>
  <si>
    <t>Deposito do salário</t>
  </si>
  <si>
    <t>Enfeites de dragãos e deixas</t>
  </si>
  <si>
    <t>Aluguel de Filmes</t>
  </si>
  <si>
    <t>Transferencia pra poupança</t>
  </si>
  <si>
    <t>Taxas do mercado Livre</t>
  </si>
  <si>
    <t>Remédios de dores</t>
  </si>
  <si>
    <t>Cheque - AA - 000055 - parcela do curso</t>
  </si>
  <si>
    <t>Cheque - AA-000056 - Academia de Dezembro/2006</t>
  </si>
  <si>
    <t>LIS + encargos</t>
  </si>
  <si>
    <t>Habibbibbibs</t>
  </si>
  <si>
    <t>Coisa de comer</t>
  </si>
  <si>
    <t xml:space="preserve">Coisas de comer à terde </t>
  </si>
  <si>
    <t>2ª Parcela 13º Salário</t>
  </si>
  <si>
    <t>Aluguel Dezembro</t>
  </si>
  <si>
    <t>Chocolatê do douglas</t>
  </si>
  <si>
    <t xml:space="preserve">Mc donaldos </t>
  </si>
  <si>
    <t>Paralama traseiro Twister</t>
  </si>
  <si>
    <t>vacina do sebastian</t>
  </si>
  <si>
    <t>Trabesseiros</t>
  </si>
  <si>
    <t>Pizza Rute</t>
  </si>
  <si>
    <t>Cheque - AA-000052 - Tenis</t>
  </si>
  <si>
    <t>Participação Lucros PL</t>
  </si>
  <si>
    <t>Transf Poupança</t>
  </si>
  <si>
    <t>Cheque - AA-000057 - TENIS cristiane</t>
  </si>
  <si>
    <t>Cheque - AA-000058 - Chapinha Cristiane</t>
  </si>
  <si>
    <t>pro Poizé</t>
  </si>
  <si>
    <t>Transf TED para o Poizé</t>
  </si>
  <si>
    <t>Cheque - AA-000060 - Conserto dos banheiros</t>
  </si>
  <si>
    <t>Lanche da Tarde enquanto espera</t>
  </si>
  <si>
    <t>Janeiro / 2007</t>
  </si>
  <si>
    <t>Conta Telefonica - Telefonica</t>
  </si>
  <si>
    <t xml:space="preserve">Condominio (12/2006) </t>
  </si>
  <si>
    <t>Automotivo: seguro Twister 2006/2007 (03/04)</t>
  </si>
  <si>
    <t>Fatura masTerCard</t>
  </si>
  <si>
    <t>Fatura EletroPaulo</t>
  </si>
  <si>
    <t>Automotivo: Seguro Carro 2007 (01/04)</t>
  </si>
  <si>
    <t>Cheque - AA-000061 - Mais coisas de Gatinho</t>
  </si>
  <si>
    <t>Revistas de Iscrapi Bukin e de Fotos</t>
  </si>
  <si>
    <t>Capa da máquina fotográfica nova</t>
  </si>
  <si>
    <t>Treco de retirar os pelos das roupas</t>
  </si>
  <si>
    <t>Habbibs do xopin</t>
  </si>
  <si>
    <t>Anuncio da Titasn no 1ª mão</t>
  </si>
  <si>
    <t>Taxas do Mercado Livre</t>
  </si>
  <si>
    <t>CAFE DA TARDE</t>
  </si>
  <si>
    <t>CPMF (*)02/01 - 10/01</t>
  </si>
  <si>
    <t xml:space="preserve">DVD -r </t>
  </si>
  <si>
    <t>Café da Manha</t>
  </si>
  <si>
    <t>Parc. Consórcio CBX Twister (10/25)</t>
  </si>
  <si>
    <t>IPVA 2007/2006 da Twister</t>
  </si>
  <si>
    <t>Sistema Sem Parar</t>
  </si>
  <si>
    <t>No Burgues King</t>
  </si>
  <si>
    <t xml:space="preserve">Dados de Retrovisor </t>
  </si>
  <si>
    <t>Cheque - AA000064 - KDMIA</t>
  </si>
  <si>
    <t>Cheque - AA-000062 - Camiseta do Tubarão</t>
  </si>
  <si>
    <t>Creditos de Celulares</t>
  </si>
  <si>
    <t>Aluguel Jan/2007</t>
  </si>
  <si>
    <t>Cheque - AA000065 - Coisas de Iscrapi Bukin</t>
  </si>
  <si>
    <t>No Habbibs do xópin</t>
  </si>
  <si>
    <t>Locadora de Filmes</t>
  </si>
  <si>
    <t>Parc. Peugeot 206 (01/12)</t>
  </si>
  <si>
    <t>Venda DO c650 PRO ERICO</t>
  </si>
  <si>
    <t>Coisas do café da mannha</t>
  </si>
  <si>
    <t>Cheque - AA-000066 - Doc. Do GarGaMóvel</t>
  </si>
  <si>
    <t>Cortar cabelo no Carry4</t>
  </si>
  <si>
    <t>Gasosa na Tuisti</t>
  </si>
  <si>
    <t>Fevereiro / 2007</t>
  </si>
  <si>
    <t>Automotivo: seguro Twister 2006/2007 (04/04)</t>
  </si>
  <si>
    <t>Fatura Telefonica - telefonica</t>
  </si>
  <si>
    <t>Claritin - D</t>
  </si>
  <si>
    <t>Automotivo: Seguro Carro 2007 (02/04)</t>
  </si>
  <si>
    <t>Cheque - AA-000063 -  CABELO</t>
  </si>
  <si>
    <t>Fatura Master Card</t>
  </si>
  <si>
    <t>Chaveiro novo denovo do carro</t>
  </si>
  <si>
    <t>fotos de iscrapi bukin</t>
  </si>
  <si>
    <t>Coisas mais de comer</t>
  </si>
  <si>
    <t>Assinatura Estadão</t>
  </si>
  <si>
    <t>Raçao + vacinas anti pulgas</t>
  </si>
  <si>
    <t>Na Pizza Rute</t>
  </si>
  <si>
    <t>No McDonaldos</t>
  </si>
  <si>
    <t>Ropas Intimas</t>
  </si>
  <si>
    <t>Sandálias</t>
  </si>
  <si>
    <t>Pra voltar pra casa</t>
  </si>
  <si>
    <t>LIS + Encargos</t>
  </si>
  <si>
    <t>IPVA do Peugeot 206</t>
  </si>
  <si>
    <t xml:space="preserve">Mc Sorvete </t>
  </si>
  <si>
    <t xml:space="preserve">Sistema Sem Parar </t>
  </si>
  <si>
    <t>Consórcio CBX Twister Parcs 13 12 11 - FIM</t>
  </si>
  <si>
    <t>Placa mãe Asus A7S8X-MX</t>
  </si>
  <si>
    <t>HD 250GB SATA</t>
  </si>
  <si>
    <t>Revisão da Twister</t>
  </si>
  <si>
    <t xml:space="preserve">Aluguel Fev/2007 </t>
  </si>
  <si>
    <t>Parc. Peugeot 206 (02/12)</t>
  </si>
  <si>
    <t>1ª Parcela 13º Salário</t>
  </si>
  <si>
    <t>Cartucho de Impressora</t>
  </si>
  <si>
    <t>Março / 2007</t>
  </si>
  <si>
    <t>Telefonica</t>
  </si>
  <si>
    <t>Anuidade do CREA</t>
  </si>
  <si>
    <t>Automotivo: Seguro Carro 2007 (03/04)</t>
  </si>
  <si>
    <t>Pizzaria Casantina</t>
  </si>
  <si>
    <t>Roupas de praia</t>
  </si>
  <si>
    <t>diversas</t>
  </si>
  <si>
    <t>Mais farmácia</t>
  </si>
  <si>
    <t>estadia do Gatinho no hotel</t>
  </si>
  <si>
    <t>eletrÔpaulÔ</t>
  </si>
  <si>
    <t>mais coisas de  comer</t>
  </si>
  <si>
    <t>Protetor contra o sol escaldante</t>
  </si>
  <si>
    <t>Coisas do Karlo</t>
  </si>
  <si>
    <t>Memória no notebuque</t>
  </si>
  <si>
    <t>Jantar no xópin</t>
  </si>
  <si>
    <t>mineiros</t>
  </si>
  <si>
    <t>Orgos maltines</t>
  </si>
  <si>
    <t>Hometheater: Cabos de Audio pro romi tiater</t>
  </si>
  <si>
    <t>Case de HD externo</t>
  </si>
  <si>
    <t>Lustres e Fios</t>
  </si>
  <si>
    <t>gasosa no GarGaMóvel</t>
  </si>
  <si>
    <t>tomadas e fios diversos</t>
  </si>
  <si>
    <t>Dep. Emerson Oliveria - Drive 5 1/4</t>
  </si>
  <si>
    <t>Dep. Cesar Cabral Silva - Placa USB</t>
  </si>
  <si>
    <t>Dep. Moises Borges - Placa A7S333</t>
  </si>
  <si>
    <t>torneiras de banheiro e de máquina</t>
  </si>
  <si>
    <t>Dep. André Ferreira Veiga - CD Rom</t>
  </si>
  <si>
    <t>Gazoza na motoca</t>
  </si>
  <si>
    <t>HABBIbs</t>
  </si>
  <si>
    <t>Remedios pra evitar dores de cabeça</t>
  </si>
  <si>
    <t>Pilhas</t>
  </si>
  <si>
    <t>Aluguel Uruguaiana</t>
  </si>
  <si>
    <t>Carregador do celular Nókia</t>
  </si>
  <si>
    <t xml:space="preserve">Energia eletrica </t>
  </si>
  <si>
    <t>Parc. Peugeot 206 (03/12)</t>
  </si>
  <si>
    <t>Aluguel Ap novo</t>
  </si>
  <si>
    <t>Condominio Ap novo</t>
  </si>
  <si>
    <t>Aspirador de pó pra casa</t>
  </si>
  <si>
    <t>Capa de proteção e bicos do peneu</t>
  </si>
  <si>
    <t>Blusinhas</t>
  </si>
  <si>
    <t>Midias de DVDs Virge</t>
  </si>
  <si>
    <t>Mais mais mercadi</t>
  </si>
  <si>
    <t>Deposito de cheque</t>
  </si>
  <si>
    <t>Tintas para pintar a clélia</t>
  </si>
  <si>
    <t xml:space="preserve">Venda do HUB </t>
  </si>
  <si>
    <t>Protetor solar</t>
  </si>
  <si>
    <t>Abril / 2007</t>
  </si>
  <si>
    <t>Automotivo: Seguro Carro 2007 (04/04)</t>
  </si>
  <si>
    <t>Condominio da Cleia</t>
  </si>
  <si>
    <t>Fatur Visa</t>
  </si>
  <si>
    <t>EletroPaulo da Cléia</t>
  </si>
  <si>
    <t>fatura telefonica - telefonica</t>
  </si>
  <si>
    <t>Cheque - AA-000068 - RECISÃO DA CLÉIA</t>
  </si>
  <si>
    <t>Mais remédios de alergias</t>
  </si>
  <si>
    <t>Furadeira, martelo de burracha e coisas</t>
  </si>
  <si>
    <t>Seguro Obrigatório Twister</t>
  </si>
  <si>
    <t>mais taxas do M.L</t>
  </si>
  <si>
    <t>Mais mais remédios pra saude</t>
  </si>
  <si>
    <t>Midias de DVD DL RW</t>
  </si>
  <si>
    <t>Jantar com visitas</t>
  </si>
  <si>
    <t>Cofe da Manha</t>
  </si>
  <si>
    <t>ogo maltine</t>
  </si>
  <si>
    <t xml:space="preserve">Barras das calças </t>
  </si>
  <si>
    <t>Ogros Maltinis</t>
  </si>
  <si>
    <t>Cabo de desentipir privadas</t>
  </si>
  <si>
    <t>Jantar no habbibs do xópin</t>
  </si>
  <si>
    <t>Parc. Peugeot 206 (04/12)</t>
  </si>
  <si>
    <t>Parc. Peugeot 206 (12/12)</t>
  </si>
  <si>
    <t>Gasosa no GarGamóvel</t>
  </si>
  <si>
    <t>Almoço no carry4</t>
  </si>
  <si>
    <t>M&amp;Ms do Carry4</t>
  </si>
  <si>
    <t>parcela marabRás (06/06)</t>
  </si>
  <si>
    <t>Depósito no ItaU</t>
  </si>
  <si>
    <t>Maio / 2007</t>
  </si>
  <si>
    <t xml:space="preserve">O resto </t>
  </si>
  <si>
    <t>Game: Blood rayne 1</t>
  </si>
  <si>
    <t>Trans do REAL</t>
  </si>
  <si>
    <t>Depósito Cheque Cristiane</t>
  </si>
  <si>
    <t>Venda DO lg g7100</t>
  </si>
  <si>
    <t>Junho /2007</t>
  </si>
  <si>
    <t>COMISS SALDO DEVEDOR LIBERADO</t>
  </si>
  <si>
    <t>Botas Novas</t>
  </si>
  <si>
    <t>Bolsanova</t>
  </si>
  <si>
    <t>roupas da TNG</t>
  </si>
  <si>
    <t>Tranf pra coisas de Iscrapi buquin</t>
  </si>
  <si>
    <t>LIS / Encargos</t>
  </si>
  <si>
    <t>Cuecas grandes e cmseta</t>
  </si>
  <si>
    <t>Amulettas</t>
  </si>
  <si>
    <t>Creditos no celular</t>
  </si>
  <si>
    <t>Julho / 2007</t>
  </si>
  <si>
    <t>Restituição do Seguro do carro</t>
  </si>
  <si>
    <t>Creditos Telemóvel Cristiane</t>
  </si>
  <si>
    <t>Parc 4 do IRPF 2006</t>
  </si>
  <si>
    <t>Agosto / 2007</t>
  </si>
  <si>
    <t xml:space="preserve">Setembro / 2007 </t>
  </si>
  <si>
    <t>Deposito do dinheiro do INSS</t>
  </si>
  <si>
    <t>Racção do Gato</t>
  </si>
  <si>
    <t>mais remédios de pé quebrado</t>
  </si>
  <si>
    <t>coisas de comer de padaria</t>
  </si>
  <si>
    <t>Eletropaulô</t>
  </si>
  <si>
    <t>Recarga Telemóvel Cristiane</t>
  </si>
  <si>
    <t>Transf Banco Real</t>
  </si>
  <si>
    <t>Medicamentos do Seb + atendimento urgencia</t>
  </si>
  <si>
    <t>Internação e medicamentos sebastian</t>
  </si>
  <si>
    <t>Bobs do xópin</t>
  </si>
  <si>
    <t>Farmácia - mais farmácias</t>
  </si>
  <si>
    <t>Liscenciamento da Moto</t>
  </si>
  <si>
    <t>Mcdonaldos</t>
  </si>
  <si>
    <t>Aluguel Set/2007</t>
  </si>
  <si>
    <t>Condominio Set/2007</t>
  </si>
  <si>
    <t>Pro real</t>
  </si>
  <si>
    <t>Padarias</t>
  </si>
  <si>
    <t>padarias novamente</t>
  </si>
  <si>
    <t>Parc. Peugeot 206 (09/12)</t>
  </si>
  <si>
    <t>Açougue</t>
  </si>
  <si>
    <t>Cheque - AA000068 - PIZZA</t>
  </si>
  <si>
    <t xml:space="preserve">Saque - Cris </t>
  </si>
  <si>
    <t>Cheque - AA000069 - PIZZA</t>
  </si>
  <si>
    <t>Outubro / 2007</t>
  </si>
  <si>
    <t>Fatura telefonica - Telefonica</t>
  </si>
  <si>
    <t>Fatura Real Visa</t>
  </si>
  <si>
    <t>Fatura Itau Visa</t>
  </si>
  <si>
    <t>Fatura Itaus Master</t>
  </si>
  <si>
    <t>Transferencia pra cris</t>
  </si>
  <si>
    <t>EletroPaulô</t>
  </si>
  <si>
    <t>Docês de Padaria</t>
  </si>
  <si>
    <t xml:space="preserve">Transf pro real </t>
  </si>
  <si>
    <t>Lis/encargos</t>
  </si>
  <si>
    <t>Cheque - AA-000070 - Recolocar o BOX do banheiro</t>
  </si>
  <si>
    <t>Saques pra cris</t>
  </si>
  <si>
    <t>Farmácias - listerini</t>
  </si>
  <si>
    <t xml:space="preserve">Chuveiro - Lampadas </t>
  </si>
  <si>
    <t>Condominio Out 2007</t>
  </si>
  <si>
    <t>Aluguel Out 2007</t>
  </si>
  <si>
    <t>Almoço mno xópinjin jin</t>
  </si>
  <si>
    <t>Areia de Cocô de GatÔ</t>
  </si>
  <si>
    <t>Pizza Hut do xópin</t>
  </si>
  <si>
    <t>Parc. Peugeot 206 (10/12)</t>
  </si>
  <si>
    <t xml:space="preserve">Habbibs </t>
  </si>
  <si>
    <t>Mais gases pra curativod</t>
  </si>
  <si>
    <t>Burguers kings</t>
  </si>
  <si>
    <t>Mais antiniioticos pra curar</t>
  </si>
  <si>
    <t>Pesos de exercicios e theraband</t>
  </si>
  <si>
    <t xml:space="preserve">Filmes de locação </t>
  </si>
  <si>
    <t>Novembro / 2007</t>
  </si>
  <si>
    <t>Dezembro / 2007</t>
  </si>
  <si>
    <t>Janeiro / 2008</t>
  </si>
  <si>
    <t>Trasnferencia do real</t>
  </si>
  <si>
    <t>Fevereiro /2008</t>
  </si>
  <si>
    <t>TV LCD LG 22ls4rlg</t>
  </si>
  <si>
    <t>Coisas de curativos pros pész</t>
  </si>
  <si>
    <t>Cinzerio istaile</t>
  </si>
  <si>
    <t>Cófi da Manha na paccocca´s</t>
  </si>
  <si>
    <t>Patos Mc Donaldos</t>
  </si>
  <si>
    <t>Transferencia do REAL</t>
  </si>
  <si>
    <t>Março / 2008</t>
  </si>
  <si>
    <t>Abril / 2008</t>
  </si>
  <si>
    <t>Depósito da Cris</t>
  </si>
  <si>
    <t>Saqaue do Real</t>
  </si>
  <si>
    <t>Maio / 2008</t>
  </si>
  <si>
    <t>Do Real</t>
  </si>
  <si>
    <t>Pro futuro</t>
  </si>
  <si>
    <t>Junho / 2008</t>
  </si>
  <si>
    <t>Julho / 2008</t>
  </si>
  <si>
    <t>Pro Futuro</t>
  </si>
  <si>
    <t>Agosto / 2008</t>
  </si>
  <si>
    <t>Placa Mae do Athlon Xp 2000 e memorias</t>
  </si>
  <si>
    <t>Transferencia pra cristiane pra viagem</t>
  </si>
  <si>
    <t>Setembro / 2008</t>
  </si>
  <si>
    <t>Tarifa emissão segunda via cartão</t>
  </si>
  <si>
    <t>Cheque - AA-000072 - Documentação de aluguel</t>
  </si>
  <si>
    <t>Resgate da Poupança</t>
  </si>
  <si>
    <t>Cheque - AA-000073 - Parcelas Moveis Novos (01/05)</t>
  </si>
  <si>
    <t>Outubro / 2008</t>
  </si>
  <si>
    <t>Cortar Cabelos</t>
  </si>
  <si>
    <t>Pen Drive 8 GB</t>
  </si>
  <si>
    <t>Habibis</t>
  </si>
  <si>
    <t>No Shabab</t>
  </si>
  <si>
    <t>No Xiratas</t>
  </si>
  <si>
    <t>No Compre BEM caro</t>
  </si>
  <si>
    <t>Camiseta do KRATOS</t>
  </si>
  <si>
    <t xml:space="preserve">Vasos e rosas pra casa </t>
  </si>
  <si>
    <t>Pincéis Atómicos e Fitas Adesivas</t>
  </si>
  <si>
    <t>Lanche no Bóbis</t>
  </si>
  <si>
    <t>Cabo USB pro CeloLaR</t>
  </si>
  <si>
    <t>Remédios Di-versos</t>
  </si>
  <si>
    <t>Colirios para Olhos</t>
  </si>
  <si>
    <t>Almoço no xópin com a Galera</t>
  </si>
  <si>
    <t>Pra cubirir despesas</t>
  </si>
  <si>
    <t>No Habbibbibs</t>
  </si>
  <si>
    <t>Cooperativa da Vouquis</t>
  </si>
  <si>
    <t>Multi e Coisas- rodinhas de compotador e cabos</t>
  </si>
  <si>
    <t>Dóquitor Fiti - podóloga</t>
  </si>
  <si>
    <t>Papeis contaquiti e divisores de arquivo</t>
  </si>
  <si>
    <t>Aluguel: Cheque - AA-000071 - Seguro Fiança</t>
  </si>
  <si>
    <t>Coperativa da Vouquis</t>
  </si>
  <si>
    <t>Transferencia da Poupança</t>
  </si>
  <si>
    <t>Aluguel Setembro/2008</t>
  </si>
  <si>
    <t>Condominio Setembro/2008</t>
  </si>
  <si>
    <t>Remédios para a cris</t>
  </si>
  <si>
    <t>Cheque - AA-000078 - Pintura Ap Antigo</t>
  </si>
  <si>
    <t>Barras da Calças sociais</t>
  </si>
  <si>
    <t>ComGas</t>
  </si>
  <si>
    <t>EletroPaulô do ap antigo</t>
  </si>
  <si>
    <t>Aluguel residual da motoca do predio antigo</t>
  </si>
  <si>
    <t>Coisas pra casas</t>
  </si>
  <si>
    <t>Mais Mercaids</t>
  </si>
  <si>
    <t>Do Habbibibibs</t>
  </si>
  <si>
    <t>Cheque - AA-000079 - Redes do Gato (01/02)</t>
  </si>
  <si>
    <t>mais mercadis</t>
  </si>
  <si>
    <t>Rábibis</t>
  </si>
  <si>
    <t>Auxilio-Doença</t>
  </si>
  <si>
    <t>Potes de Muffins</t>
  </si>
  <si>
    <t>Revelação de fotos</t>
  </si>
  <si>
    <t>Mercado do Extra</t>
  </si>
  <si>
    <t>Novembro / 2008</t>
  </si>
  <si>
    <t>Mercadis e mais mercadis na vouquis</t>
  </si>
  <si>
    <t>Paes de festas na paccocca´s</t>
  </si>
  <si>
    <t>Saca rolhas e tefris</t>
  </si>
  <si>
    <t>sobre a mesas do Méqui Donaldis</t>
  </si>
  <si>
    <t>Almoço no Primo´s cagalera</t>
  </si>
  <si>
    <t>Multa do Aluguel da Lello</t>
  </si>
  <si>
    <t>Cheque - AA-000074 - Parcelas Moveis Novos (02/05)</t>
  </si>
  <si>
    <t>Almoço no Primo´s</t>
  </si>
  <si>
    <t>Shabbabas</t>
  </si>
  <si>
    <t>NetViVaX</t>
  </si>
  <si>
    <t>Automotivo: Sistema carSysTem</t>
  </si>
  <si>
    <t>LIS/encargos</t>
  </si>
  <si>
    <t>Depósito de sinal de venda da Twsiter</t>
  </si>
  <si>
    <t>Almoço no giraffa´s</t>
  </si>
  <si>
    <t>Capa de celulares</t>
  </si>
  <si>
    <t>Camiseta do Jovem Nerd</t>
  </si>
  <si>
    <t>Combustivel do GarGaMóvel</t>
  </si>
  <si>
    <t>Venda da Twsiter</t>
  </si>
  <si>
    <t>Transf pra poupança</t>
  </si>
  <si>
    <t>Cheque - AA-000079 - Parcelas Rede Gato (02/02)</t>
  </si>
  <si>
    <t>Impressão do licenciamento do carro</t>
  </si>
  <si>
    <t>Doc DO Real</t>
  </si>
  <si>
    <t>Pra diversos na Liberty</t>
  </si>
  <si>
    <t>Dezembro / 2008</t>
  </si>
  <si>
    <t>Comis Calor Liverado CVL</t>
  </si>
  <si>
    <t>Cheque - AA-000075 - Parcelas Moveis Novos (03/05)</t>
  </si>
  <si>
    <t>Credito no cell da Cris</t>
  </si>
  <si>
    <t>Juros /LIS</t>
  </si>
  <si>
    <t>a Biblia DO Spawn</t>
  </si>
  <si>
    <t>Spawn - Ed. 161-169</t>
  </si>
  <si>
    <t>almoco no primus</t>
  </si>
  <si>
    <t>No Mc Pato Tonaldos</t>
  </si>
  <si>
    <t xml:space="preserve">Pagamento Parcela GPS (05/10) </t>
  </si>
  <si>
    <t>Várias fotos pra revelar</t>
  </si>
  <si>
    <t>Cheque - AA-000076 - Parcelas Moveis Novos (04/05)</t>
  </si>
  <si>
    <t>Comiss Valor Liberado</t>
  </si>
  <si>
    <t>SPAWN SERIE 29 TH EVOLUTIONS BONECO ZERA MCFARLANE</t>
  </si>
  <si>
    <t>LIS/JUROS</t>
  </si>
  <si>
    <t>NO Rabibis</t>
  </si>
  <si>
    <t>Cheque - AA-000077 - Parcelas Moveis Novos (01/05)</t>
  </si>
  <si>
    <t>Saque pra Diveros</t>
  </si>
  <si>
    <t>LIS JUROS</t>
  </si>
  <si>
    <t>Roupas de priraju</t>
  </si>
  <si>
    <t>Março / 2009</t>
  </si>
  <si>
    <t>Da cristiane pro AIRON</t>
  </si>
  <si>
    <t>pra conta da cristiane</t>
  </si>
  <si>
    <t>Fonte Notebook Acer 19v 3.42a Aspire Nova NOTA FISCAL</t>
  </si>
  <si>
    <t>Fatura Itau Master</t>
  </si>
  <si>
    <t>Da Poupança</t>
  </si>
  <si>
    <t>Cheque - 000102 - Dentistas</t>
  </si>
  <si>
    <t>Maio / 2009</t>
  </si>
  <si>
    <t>Lenche no xópin antes de filminho</t>
  </si>
  <si>
    <t>LIS/JURS</t>
  </si>
  <si>
    <t>Junho / 2009</t>
  </si>
  <si>
    <t>LIS/Juros</t>
  </si>
  <si>
    <t>café e marboro do xópin</t>
  </si>
  <si>
    <t>Hometheater: TV Nova de Plasma 42 TH-42PY85LB</t>
  </si>
  <si>
    <t>Remédios de Dores de barrigas</t>
  </si>
  <si>
    <t>Habibibibs</t>
  </si>
  <si>
    <t>Pilhas de controles remotos</t>
  </si>
  <si>
    <t>Al-mosso no xópin</t>
  </si>
  <si>
    <t>Lampias</t>
  </si>
  <si>
    <t>Julho / 2009</t>
  </si>
  <si>
    <t>DO REAL PRA Poupança</t>
  </si>
  <si>
    <t>Pra Futuros</t>
  </si>
  <si>
    <t>Acessórios de Sinais no Novo GarGaMóvel</t>
  </si>
  <si>
    <t>Cheque - AA-000102 - Documentos 207</t>
  </si>
  <si>
    <t>Pro Novo GarGaMóvel</t>
  </si>
  <si>
    <t>Transf parcela Entrada</t>
  </si>
  <si>
    <t>Cabo IP-BUS P2 do ML</t>
  </si>
  <si>
    <t>O console de 160 GB Model: CECHP01 CF34944093 Uncharted Ed.</t>
  </si>
  <si>
    <t>Acordo processual do acidente</t>
  </si>
  <si>
    <t>Pra cristiane (01/02)</t>
  </si>
  <si>
    <t>pra Cristiane (02/02)</t>
  </si>
  <si>
    <t>Almoço no Xópin Subway BOMZÃO</t>
  </si>
  <si>
    <t xml:space="preserve">Lenche de Terde </t>
  </si>
  <si>
    <t>saque pra Gueimes</t>
  </si>
  <si>
    <t xml:space="preserve">Trasf pro Marcelo </t>
  </si>
  <si>
    <t>Al-mosso no Cuccicnnares</t>
  </si>
  <si>
    <t>Jantar no Xópin</t>
  </si>
  <si>
    <t>Al-mosso subduway n sópin</t>
  </si>
  <si>
    <t>Pastas de dentes</t>
  </si>
  <si>
    <t xml:space="preserve">Saque do Itau </t>
  </si>
  <si>
    <t>Travesseiros Novos</t>
  </si>
  <si>
    <t>JANTAr na paccoccas</t>
  </si>
  <si>
    <t>Mais e Mais Mercadis</t>
  </si>
  <si>
    <t xml:space="preserve">Kappa SuShis </t>
  </si>
  <si>
    <t>3 rações e 6 Areias</t>
  </si>
  <si>
    <t>Na TIMs</t>
  </si>
  <si>
    <t>Burguer Kinguios</t>
  </si>
  <si>
    <t>Saque Nosso de cada dia</t>
  </si>
  <si>
    <t>Eletro Paulo</t>
  </si>
  <si>
    <t>No GarGaMóvel</t>
  </si>
  <si>
    <t>Transf presente cristiane</t>
  </si>
  <si>
    <t>Hometheater: Cabos Video-componte Net Digital</t>
  </si>
  <si>
    <t>Restituição IR</t>
  </si>
  <si>
    <t>tarifa 2ª Via Cartão</t>
  </si>
  <si>
    <t>restituição da festa</t>
  </si>
  <si>
    <t>NoteSkin pro Acer Aspire 3100</t>
  </si>
  <si>
    <t>subway</t>
  </si>
  <si>
    <t>mc Pato Donaldos</t>
  </si>
  <si>
    <t>LIS Juros</t>
  </si>
  <si>
    <t>Jin Jim no xópin</t>
  </si>
  <si>
    <t>Burguer kinguios</t>
  </si>
  <si>
    <t>Gabites</t>
  </si>
  <si>
    <t>Cafés de xópins</t>
  </si>
  <si>
    <t>No Subduway</t>
  </si>
  <si>
    <t>Rabibis</t>
  </si>
  <si>
    <t xml:space="preserve">Do Itau </t>
  </si>
  <si>
    <t>Bateria do Acer Aspire 3100</t>
  </si>
  <si>
    <t>Saque do ItauI</t>
  </si>
  <si>
    <t>Pomoadas cicatrizantes e sabonetes</t>
  </si>
  <si>
    <t xml:space="preserve">Habibis </t>
  </si>
  <si>
    <t>Várias barras de cereais</t>
  </si>
  <si>
    <t>Complemento Condominio</t>
  </si>
  <si>
    <t>Novembro / 2009</t>
  </si>
  <si>
    <t>COMISS VAL LIBER</t>
  </si>
  <si>
    <t>Deposito em conta corrente</t>
  </si>
  <si>
    <t>Dezembro / 2009</t>
  </si>
  <si>
    <t>Adapitador PS2-&gt;USB</t>
  </si>
  <si>
    <t>Mor-gans</t>
  </si>
  <si>
    <t>Supermercados</t>
  </si>
  <si>
    <t>Resistências de xuveros</t>
  </si>
  <si>
    <t>BloodStone I e II</t>
  </si>
  <si>
    <t>Janeiro / 2010</t>
  </si>
  <si>
    <t>Fevereiro / 2010</t>
  </si>
  <si>
    <t>Transferencia para CANON D50</t>
  </si>
  <si>
    <t>Março / 2010</t>
  </si>
  <si>
    <t>Abril / 2010</t>
  </si>
  <si>
    <t xml:space="preserve">Da Cristiane </t>
  </si>
  <si>
    <t>Ra-bibis</t>
  </si>
  <si>
    <t>Mais mercados</t>
  </si>
  <si>
    <t>Lavagem de jaquetias</t>
  </si>
  <si>
    <t>Lampias fruoereascentes</t>
  </si>
  <si>
    <t>Paccocca´s Portugais</t>
  </si>
  <si>
    <t>Vienna Shopping ABC</t>
  </si>
  <si>
    <t>Cofi de manhas de paccocca´s</t>
  </si>
  <si>
    <t>Lenches Pós Baladas</t>
  </si>
  <si>
    <t>Onde, digo ONDE está isso ?</t>
  </si>
  <si>
    <t>Caneta Stylus Nokia N97, 5800, N900 - Frete Grátis</t>
  </si>
  <si>
    <t>almocos</t>
  </si>
  <si>
    <t>coffi ce manhas de TIMs</t>
  </si>
  <si>
    <t>Maio / 2010</t>
  </si>
  <si>
    <t>juROS</t>
  </si>
  <si>
    <t>Resgate</t>
  </si>
  <si>
    <t>TAR 2A VIA-CARTAO DEBITO</t>
  </si>
  <si>
    <t>Pra lente nova</t>
  </si>
  <si>
    <t>LIS jUros</t>
  </si>
  <si>
    <t>Mercadis</t>
  </si>
  <si>
    <t>LIS JURTOS</t>
  </si>
  <si>
    <t>Cubrir</t>
  </si>
  <si>
    <t>Rebatedor Circular 110cm 5 em 1 Dobrável com capa protetora</t>
  </si>
  <si>
    <t>Junho / 2011</t>
  </si>
  <si>
    <t>Celular SonyEricson w710i</t>
  </si>
  <si>
    <t>Kit Pandora´s</t>
  </si>
  <si>
    <t>Fatura TIMs</t>
  </si>
  <si>
    <t>Automotivo: Ituran</t>
  </si>
  <si>
    <t>AmEx</t>
  </si>
  <si>
    <t>Julho / 2011</t>
  </si>
  <si>
    <t>X-Men First Class</t>
  </si>
  <si>
    <t>Outubro/2011</t>
  </si>
  <si>
    <t>pro correios</t>
  </si>
  <si>
    <t>Março / 2012</t>
  </si>
  <si>
    <t>Do SanTanDer</t>
  </si>
  <si>
    <t>Abril / 2012</t>
  </si>
  <si>
    <t xml:space="preserve">Pro Futuro ? </t>
  </si>
  <si>
    <t>Maio / 2012</t>
  </si>
  <si>
    <t>Creditos NFP</t>
  </si>
  <si>
    <t>Das Fotos Da Cristiane no Rio</t>
  </si>
  <si>
    <t>Julho / 2012</t>
  </si>
  <si>
    <t xml:space="preserve">Da Garagem </t>
  </si>
  <si>
    <t>Agosto / 2012</t>
  </si>
  <si>
    <t>Prefixo´s</t>
  </si>
  <si>
    <t xml:space="preserve">Da cristiane </t>
  </si>
  <si>
    <t>Setembro / 2012</t>
  </si>
  <si>
    <t>Conserto do Atrix</t>
  </si>
  <si>
    <t>The Burguer Mapas</t>
  </si>
  <si>
    <t>Outubro / 2012</t>
  </si>
  <si>
    <t>Pro SanTander</t>
  </si>
  <si>
    <t>Fatura Santander VISA</t>
  </si>
  <si>
    <t xml:space="preserve">IPTU 2012 (09/10) </t>
  </si>
  <si>
    <t>Net TV</t>
  </si>
  <si>
    <t>Net Virtua</t>
  </si>
  <si>
    <t>Net Fone</t>
  </si>
  <si>
    <t>Fatura da TIM</t>
  </si>
  <si>
    <t>Internet Movel Vivo 3G</t>
  </si>
  <si>
    <t>Lavação do GarGaMóvel 3.0</t>
  </si>
  <si>
    <t>Star Buques</t>
  </si>
  <si>
    <t>Action Figures dos Avengers - Dia das crianças</t>
  </si>
  <si>
    <t>Presente de dia da Criança da Gabbys</t>
  </si>
  <si>
    <t>Produtos de limpezas faciais</t>
  </si>
  <si>
    <t>Nagumos</t>
  </si>
  <si>
    <t>Produtos de esteticas</t>
  </si>
  <si>
    <t>Mais capas de Iphones</t>
  </si>
  <si>
    <t>NA Fenac Paulista</t>
  </si>
  <si>
    <t>Na Limited edition</t>
  </si>
  <si>
    <t>Audrey Cosmético´s</t>
  </si>
  <si>
    <t>Para-Fusos e Ade-Sivos</t>
  </si>
  <si>
    <t>Cheque - 000141 - Academia Luiz + exame médicos</t>
  </si>
  <si>
    <t>Cheque - 000141 - Academia Cristiane + Exame Médicos</t>
  </si>
  <si>
    <t>Gazozza no GarGaMóvel</t>
  </si>
  <si>
    <t>Cheque - 000144 - Super Pizza, PAM!</t>
  </si>
  <si>
    <t>Extra Ipíranguinhas</t>
  </si>
  <si>
    <t>Ome-Prazóis e Jonny Texies</t>
  </si>
  <si>
    <t>Tenis Novo</t>
  </si>
  <si>
    <t>Tenises Novos</t>
  </si>
  <si>
    <t>Vienna´s do Shoppings</t>
  </si>
  <si>
    <t>2 pares de sapatos novos</t>
  </si>
  <si>
    <t>Saques para a cristiane</t>
  </si>
  <si>
    <t>Mais Mercados</t>
  </si>
  <si>
    <t xml:space="preserve">Sistema Sem Parar - estacionamento: Peugeot 207 </t>
  </si>
  <si>
    <t>Batman TDKR BD</t>
  </si>
  <si>
    <t>Nbagumos</t>
  </si>
  <si>
    <t>Curativos diversos</t>
  </si>
  <si>
    <t>Areia de cocoôs e CatNips</t>
  </si>
  <si>
    <t>Lampadas diversas</t>
  </si>
  <si>
    <t>Pizzas em casa</t>
  </si>
  <si>
    <t>Cortar os Cabelo´s</t>
  </si>
  <si>
    <t>garndenais</t>
  </si>
  <si>
    <t>Remedios diversos</t>
  </si>
  <si>
    <t>Reembolso plano saude</t>
  </si>
  <si>
    <t xml:space="preserve">Saque pra diversos </t>
  </si>
  <si>
    <t>Pro SanTanDer</t>
  </si>
  <si>
    <t>El Botin</t>
  </si>
  <si>
    <t>Novembro / 2012</t>
  </si>
  <si>
    <t xml:space="preserve">IPTU 2012 (10/10) </t>
  </si>
  <si>
    <t>PortoSeguro Visa</t>
  </si>
  <si>
    <t>ItauCard Visa Cristiane</t>
  </si>
  <si>
    <t>Bluray Avatar 3D</t>
  </si>
  <si>
    <t>Andaiamo</t>
  </si>
  <si>
    <t>cafeses de shoppings</t>
  </si>
  <si>
    <t>Locadora Video OZ</t>
  </si>
  <si>
    <t>Cheque - 000142 - Academia Luiz</t>
  </si>
  <si>
    <t>Cheque - 000142 - Academia Cristiane</t>
  </si>
  <si>
    <t>Ome-prazóis</t>
  </si>
  <si>
    <t>Remedios Diversos</t>
  </si>
  <si>
    <t>Remédios de asMas</t>
  </si>
  <si>
    <t>Pizzareia Sporcione em casa</t>
  </si>
  <si>
    <t>Coisas de cosméticos na IkeSaKui</t>
  </si>
  <si>
    <t>SubDuWay´s</t>
  </si>
  <si>
    <t>Naghumos</t>
  </si>
  <si>
    <t>Anti-Alergios e Pastilhas Benaletys</t>
  </si>
  <si>
    <t>Cheque - 000145 - Cabeleileiros</t>
  </si>
  <si>
    <t>Extra ipiranginha</t>
  </si>
  <si>
    <t>Capital Steak House</t>
  </si>
  <si>
    <t>Mercadpo Nahumo´s</t>
  </si>
  <si>
    <t>Docêria no centro</t>
  </si>
  <si>
    <t>Pizzza na paccocca´s</t>
  </si>
  <si>
    <t>Symbicort 12/400 e Diversos</t>
  </si>
  <si>
    <t>Red Woods</t>
  </si>
  <si>
    <t>Gazozza no GGM3</t>
  </si>
  <si>
    <t>Adam-west Movel</t>
  </si>
  <si>
    <t>American´s</t>
  </si>
  <si>
    <t>Cafeses de Terdes</t>
  </si>
  <si>
    <t>DVDs de presentes</t>
  </si>
  <si>
    <t>estacionamento na FNACs</t>
  </si>
  <si>
    <t>Pizza em casa</t>
  </si>
  <si>
    <t>Pra viajar</t>
  </si>
  <si>
    <t>Mais e Mais Nahumo´s</t>
  </si>
  <si>
    <t>Seguro Camera (01/04)</t>
  </si>
  <si>
    <t>Café de manha na paccocca´s</t>
  </si>
  <si>
    <t>MorGãos</t>
  </si>
  <si>
    <t>Cafeses da Terde</t>
  </si>
  <si>
    <t>Coisas de comer de noites</t>
  </si>
  <si>
    <t>Rec Salários</t>
  </si>
  <si>
    <t>Dezembro / 2012</t>
  </si>
  <si>
    <t>Areias, rações _ diversos</t>
  </si>
  <si>
    <t>Gazoza no GGM3</t>
  </si>
  <si>
    <t>Almoco Chilli ppepperes</t>
  </si>
  <si>
    <t>StarBiques</t>
  </si>
  <si>
    <t>Mercados extras</t>
  </si>
  <si>
    <t>Fatura PortoSeguro Visa</t>
  </si>
  <si>
    <t xml:space="preserve">Condominio </t>
  </si>
  <si>
    <t>Fatura TIM Cristiane</t>
  </si>
  <si>
    <t>Para o Santander</t>
  </si>
  <si>
    <t>Para Furos de C/C</t>
  </si>
  <si>
    <t>Sporocacione´s em casa</t>
  </si>
  <si>
    <t>Açougues</t>
  </si>
  <si>
    <t>Lavagem do GarGaMóvwl</t>
  </si>
  <si>
    <t>Tamba de ralo, soda caustica e lampadas</t>
  </si>
  <si>
    <t>Mercadis NaHuMo´s</t>
  </si>
  <si>
    <t>Remedios diveros</t>
  </si>
  <si>
    <t>OmePrazóis</t>
  </si>
  <si>
    <t>Andiamos Iotalianos</t>
  </si>
  <si>
    <t>Bateria de relogios</t>
  </si>
  <si>
    <t>Cafeses de xopin</t>
  </si>
  <si>
    <t>Ventosas e botoes de silicones</t>
  </si>
  <si>
    <t>Aluguel: Seguro Aluguel (01/11) (02/11)</t>
  </si>
  <si>
    <t>Net TV + cobranças ProRatas</t>
  </si>
  <si>
    <t>Credito celular claro</t>
  </si>
  <si>
    <t>Kalunga - Pastas para Manuais</t>
  </si>
  <si>
    <t>Lingeries</t>
  </si>
  <si>
    <t>Produtos de rostos</t>
  </si>
  <si>
    <t>O Boticarios</t>
  </si>
  <si>
    <t>Cheque - 000143 - Academia Luiz</t>
  </si>
  <si>
    <t>Cheque - 000143 - Academia Cristiane</t>
  </si>
  <si>
    <t>Conserto do SubWoofer</t>
  </si>
  <si>
    <t>Aluguel Aspirador Power</t>
  </si>
  <si>
    <t>Shababs</t>
  </si>
  <si>
    <t>Saque do Itau para Cristiane</t>
  </si>
  <si>
    <t>NaHuMOs</t>
  </si>
  <si>
    <t>Buteco Ó Maria Ó</t>
  </si>
  <si>
    <t>Leiba</t>
  </si>
  <si>
    <t>Aspirador de Pó RainBow</t>
  </si>
  <si>
    <t>NaHuMo´s</t>
  </si>
  <si>
    <t>Seguro Camera (02/04)</t>
  </si>
  <si>
    <t>Mesa Lateral Tropicalia Tabaco no Submarino</t>
  </si>
  <si>
    <t>Marisas</t>
  </si>
  <si>
    <t>Gazzozza´s</t>
  </si>
  <si>
    <t>Bate-moveis</t>
  </si>
  <si>
    <t>Cortar os Cabelos da cabeça</t>
  </si>
  <si>
    <t>Almpço no centro</t>
  </si>
  <si>
    <t>lanche da terdes</t>
  </si>
  <si>
    <t>Pizza em casa do Sporcacciones</t>
  </si>
  <si>
    <t>Mais Mercadis</t>
  </si>
  <si>
    <t>Janter de 8 anos de casa-mento</t>
  </si>
  <si>
    <t>Pneu novo</t>
  </si>
  <si>
    <t>Symbicort 12/400 + budecorte</t>
  </si>
  <si>
    <t xml:space="preserve">Banri </t>
  </si>
  <si>
    <t>Eva Unit 01</t>
  </si>
  <si>
    <t>Relogio da citzen Eco-drive Promaster C660 Sailhawk  JR4045-57E TZ10002T</t>
  </si>
  <si>
    <t>Lance de noites na paccocca´s</t>
  </si>
  <si>
    <t>Presente de natal da gabies</t>
  </si>
  <si>
    <t xml:space="preserve">Tomadas novas </t>
  </si>
  <si>
    <t>NaHuMO´s</t>
  </si>
  <si>
    <t>Nahumos cafes de Manha</t>
  </si>
  <si>
    <t>Hometheater: Cabo HDMI + flanena</t>
  </si>
  <si>
    <t>Batman Arkham City</t>
  </si>
  <si>
    <t>BanRis de novos</t>
  </si>
  <si>
    <t>Parafusadeiras +  ponteiras</t>
  </si>
  <si>
    <t>Lanchinhos de cinemas</t>
  </si>
  <si>
    <t>Frans Cafeses</t>
  </si>
  <si>
    <t>Coisas de passar roupas</t>
  </si>
  <si>
    <t>Naturetty</t>
  </si>
  <si>
    <t>The Outi Béquis</t>
  </si>
  <si>
    <t xml:space="preserve">Game: God Of War origins </t>
  </si>
  <si>
    <t>Roupas na Riachuello´s</t>
  </si>
  <si>
    <t>Produtos de Maquiagia</t>
  </si>
  <si>
    <t>Janeiro / 2013</t>
  </si>
  <si>
    <t>Bateria nova pro GGM3</t>
  </si>
  <si>
    <t>Aluuel + taxas</t>
  </si>
  <si>
    <t>Aluguel: seguro Fiança (03/23)</t>
  </si>
  <si>
    <t>Taxa Passaporte</t>
  </si>
  <si>
    <t>IOF no periodo</t>
  </si>
  <si>
    <t>Para o Aptos</t>
  </si>
  <si>
    <t>Eno + Advil</t>
  </si>
  <si>
    <t>Sporcaciones</t>
  </si>
  <si>
    <t>Gazzozzas</t>
  </si>
  <si>
    <t>Lampada Nova</t>
  </si>
  <si>
    <t>Jantar no xópins</t>
  </si>
  <si>
    <t>creditos de celulares</t>
  </si>
  <si>
    <t>extra ipiranguinhas</t>
  </si>
  <si>
    <t>ó Maria, oH</t>
  </si>
  <si>
    <t>MicroAspirador + limpamonitores</t>
  </si>
  <si>
    <t>Produtos de cabelos</t>
  </si>
  <si>
    <t>Sporcacione´S</t>
  </si>
  <si>
    <t>Azias, Gargantas e Cabeças</t>
  </si>
  <si>
    <t>Spporcaccione´s</t>
  </si>
  <si>
    <t>Inscrição para o MBA</t>
  </si>
  <si>
    <t>Farmácias de gripés</t>
  </si>
  <si>
    <t>IPVA</t>
  </si>
  <si>
    <t>DPVAT</t>
  </si>
  <si>
    <t>Licenciamento</t>
  </si>
  <si>
    <t>Nota fiscal da Paulista</t>
  </si>
  <si>
    <t>conserto do relogin TNG</t>
  </si>
  <si>
    <t>Capa Luva neoprene 14" + CDs Virges</t>
  </si>
  <si>
    <t>Cadenors para a Pós</t>
  </si>
  <si>
    <t>Seguro Camera (03/04)</t>
  </si>
  <si>
    <t>remedios de gargantas</t>
  </si>
  <si>
    <t>Cafes de manhas na paccoccas</t>
  </si>
  <si>
    <t>almoço em A Paccocca's</t>
  </si>
  <si>
    <t>The burger Maps</t>
  </si>
  <si>
    <t>Mazza ristorantes</t>
  </si>
  <si>
    <t>Algodão e curativos</t>
  </si>
  <si>
    <t>Cafeses de Manhas</t>
  </si>
  <si>
    <t>Café de manhas</t>
  </si>
  <si>
    <t>Fevereiro / 2013</t>
  </si>
  <si>
    <t xml:space="preserve">Iptu (01/10) </t>
  </si>
  <si>
    <t>Aluguel: seguro Fiança (04/23)</t>
  </si>
  <si>
    <t>The Fifties</t>
  </si>
  <si>
    <t>Cosméticos</t>
  </si>
  <si>
    <t>China in BOX</t>
  </si>
  <si>
    <t>Pizzas da pacoccas</t>
  </si>
  <si>
    <t>Adiantamento 13º Salário</t>
  </si>
  <si>
    <t>Paes e diversos</t>
  </si>
  <si>
    <t>Colchoes e cebolas</t>
  </si>
  <si>
    <t>Para O sanTanDer</t>
  </si>
  <si>
    <t>Remedios de dores e azias</t>
  </si>
  <si>
    <t>Materiais para scrap</t>
  </si>
  <si>
    <t>Para O Futuro</t>
  </si>
  <si>
    <t>Pizzas da paccoca´s</t>
  </si>
  <si>
    <t>Sistema SemParar</t>
  </si>
  <si>
    <t>Mais um óculos novo</t>
  </si>
  <si>
    <t>Almoço no xópping</t>
  </si>
  <si>
    <t>Almoço no xóping coco</t>
  </si>
  <si>
    <t>roupas de renner</t>
  </si>
  <si>
    <t>Sorvetes diversos</t>
  </si>
  <si>
    <t>Farmacias diversas</t>
  </si>
  <si>
    <t>Almoço no trabalho</t>
  </si>
  <si>
    <t>Farmácias diversas</t>
  </si>
  <si>
    <t>Jantares em A Paccocca´s</t>
  </si>
  <si>
    <t>Cheque - 000146 - conserto da maquina de lavar</t>
  </si>
  <si>
    <t>Almoço no Na Viena do Shoppings</t>
  </si>
  <si>
    <t>Cafeses do KompenHagens</t>
  </si>
  <si>
    <t>Remédios de queimaduras</t>
  </si>
  <si>
    <t xml:space="preserve">Xhamabs </t>
  </si>
  <si>
    <t>Ração de Gatos</t>
  </si>
  <si>
    <t>Cafes de manhas na paccocca´s</t>
  </si>
  <si>
    <t>Cheque - 000147 - Martelinho D'Ouro</t>
  </si>
  <si>
    <t>Curativos</t>
  </si>
  <si>
    <t>Paccoccas´s</t>
  </si>
  <si>
    <t>Multa de 18/11/2012</t>
  </si>
  <si>
    <t>crea</t>
  </si>
  <si>
    <t>Cafes no Shopping</t>
  </si>
  <si>
    <t>Perfumes de presentes</t>
  </si>
  <si>
    <t>remédios de queimaduras</t>
  </si>
  <si>
    <t>Março / 2013</t>
  </si>
  <si>
    <t>Confidence</t>
  </si>
  <si>
    <t xml:space="preserve">Iptu (02/10) </t>
  </si>
  <si>
    <t>Aluguel: seguro Fiança (05/11)</t>
  </si>
  <si>
    <t>secador novo e coisas novas</t>
  </si>
  <si>
    <t>Puxdores de portas de banheiros</t>
  </si>
  <si>
    <t xml:space="preserve">Pulseira do relogios </t>
  </si>
  <si>
    <t>Cheque - 000148 - verstidos de casamentos</t>
  </si>
  <si>
    <t xml:space="preserve">creditos no celular </t>
  </si>
  <si>
    <t>Itau Visa da Cristiane</t>
  </si>
  <si>
    <t>No Morgãos</t>
  </si>
  <si>
    <t>benaetis</t>
  </si>
  <si>
    <t>Lanche de A tArde</t>
  </si>
  <si>
    <t>Almoço no Xópin, - lA Vienna´s</t>
  </si>
  <si>
    <t>Presentes de O Lucas</t>
  </si>
  <si>
    <t>Cafeses de StarBurques</t>
  </si>
  <si>
    <t>Mais presentes de O Lucas</t>
  </si>
  <si>
    <t>BAN ri</t>
  </si>
  <si>
    <t>Lingeries de Super Heroes</t>
  </si>
  <si>
    <t>lanches da FSA</t>
  </si>
  <si>
    <t>Gardenais de gatos</t>
  </si>
  <si>
    <t>LIS / Juros</t>
  </si>
  <si>
    <t>Bluray Stelbok do Batimá</t>
  </si>
  <si>
    <t>Almoço no Cocô</t>
  </si>
  <si>
    <t>Remédios de AsMas e de queimaduras</t>
  </si>
  <si>
    <t>Remédios de evitar dores de cabeças</t>
  </si>
  <si>
    <t>Lancinho da tarde</t>
  </si>
  <si>
    <t>sofas novos de dormir</t>
  </si>
  <si>
    <t>almoço no morgãos</t>
  </si>
  <si>
    <t>Areia de cocô e anti-arranha</t>
  </si>
  <si>
    <t>Gazzozza no gargamovel</t>
  </si>
  <si>
    <t>Oleos, filtros e afins</t>
  </si>
  <si>
    <t>calças novas Da TNG</t>
  </si>
  <si>
    <t>Lanches da FSA</t>
  </si>
  <si>
    <t>NaGuMO's</t>
  </si>
  <si>
    <t>Paccoccas</t>
  </si>
  <si>
    <t>Enos mastigaveis</t>
  </si>
  <si>
    <t>Sporaccione´s</t>
  </si>
  <si>
    <t>IRPF 2011 - RESTO</t>
  </si>
  <si>
    <t>O Cruzeiro O Bar</t>
  </si>
  <si>
    <t>Calças sociais e ternos novos</t>
  </si>
  <si>
    <t>Pilhas e coisas de cozinhas</t>
  </si>
  <si>
    <t>Sapatos e cintos de casamento</t>
  </si>
  <si>
    <t>Sandalidas de casamentos</t>
  </si>
  <si>
    <t>Presente de casamenots</t>
  </si>
  <si>
    <t>Abril / 2013</t>
  </si>
  <si>
    <t xml:space="preserve">Condomoninio </t>
  </si>
  <si>
    <t>Alcoois no GGM3</t>
  </si>
  <si>
    <t>Limpadores para-brisas</t>
  </si>
  <si>
    <t>Symbicort 12/400</t>
  </si>
  <si>
    <t>Lavagem no GarGaMovel</t>
  </si>
  <si>
    <t>Mensalidade do MBA da FSA</t>
  </si>
  <si>
    <t>Cafeses na estradas</t>
  </si>
  <si>
    <t>Morgãos</t>
  </si>
  <si>
    <t xml:space="preserve">Iptu (03/10) </t>
  </si>
  <si>
    <t>Aluguel: seguro Fiança (06/11)</t>
  </si>
  <si>
    <t>Saque do Itau para Aguas</t>
  </si>
  <si>
    <t>Cheque - 000149 - Conserto da TV 42</t>
  </si>
  <si>
    <t>Juros / LIS</t>
  </si>
  <si>
    <t>Lanches de Manhas</t>
  </si>
  <si>
    <t>Nova Lavagem do GGM3</t>
  </si>
  <si>
    <t>Fly Café do Congonha´s</t>
  </si>
  <si>
    <t>Enos Mastigáveis</t>
  </si>
  <si>
    <t>Filtros Polarizadores ?</t>
  </si>
  <si>
    <t>Cafeses da Paulistas</t>
  </si>
  <si>
    <t>Xaropes de Tosses</t>
  </si>
  <si>
    <t>Parcela de Abril/2013</t>
  </si>
  <si>
    <t>Mais remédios</t>
  </si>
  <si>
    <t>Sporcacione´s</t>
  </si>
  <si>
    <t>MorGãoes</t>
  </si>
  <si>
    <t>Lenche da Terdes</t>
  </si>
  <si>
    <t>Café dwe manha na paccocca´s</t>
  </si>
  <si>
    <t>Estacionamento da FSAs</t>
  </si>
  <si>
    <t>Lenches de paccocca´s</t>
  </si>
  <si>
    <t>Cafeses de Manhas na paccocca´s</t>
  </si>
  <si>
    <t>Cortar os cabelos da Cabeça</t>
  </si>
  <si>
    <t xml:space="preserve">Almoço em O Centro </t>
  </si>
  <si>
    <t>Cafeses em O Centro</t>
  </si>
  <si>
    <t>SanSei Cosméticows</t>
  </si>
  <si>
    <t>IRPF 2013 (01/08)</t>
  </si>
  <si>
    <t>Saldos de Ajustes ???</t>
  </si>
  <si>
    <t>Maio / 2013</t>
  </si>
  <si>
    <t>Shababas</t>
  </si>
  <si>
    <t>Transferencia</t>
  </si>
  <si>
    <t>Remédios de Asmas</t>
  </si>
  <si>
    <t>Lances de Filmes</t>
  </si>
  <si>
    <t>Auxilio Idoso - Maio/2013</t>
  </si>
  <si>
    <t>mini-estudio de fotos</t>
  </si>
  <si>
    <t>tecidos de fotos</t>
  </si>
  <si>
    <t>Ó Maria, Ó</t>
  </si>
  <si>
    <t>Cardiolgistas</t>
  </si>
  <si>
    <t>remedio De e para Evitar dores de cabeças</t>
  </si>
  <si>
    <t>Mensalidade FSA Maio 2013</t>
  </si>
  <si>
    <t>Creditos da NFP</t>
  </si>
  <si>
    <t>Aluguel  + taxas</t>
  </si>
  <si>
    <t xml:space="preserve">Iptu (04/10) </t>
  </si>
  <si>
    <t>Aluguel: seguro Fiança (07/11)</t>
  </si>
  <si>
    <t>Rserva do Rifolis</t>
  </si>
  <si>
    <t>Balas diversas</t>
  </si>
  <si>
    <t>Café de manhas na paccocca´s</t>
  </si>
  <si>
    <t>Lenches de Terde´s</t>
  </si>
  <si>
    <t>Lenches der Terdes</t>
  </si>
  <si>
    <t>Mais saques de correios</t>
  </si>
  <si>
    <t>Recarga da claro</t>
  </si>
  <si>
    <t>Café de manha da paccocca´s</t>
  </si>
  <si>
    <t xml:space="preserve">Pagamento de multa de dezembro </t>
  </si>
  <si>
    <t>Lanche da Tardes</t>
  </si>
  <si>
    <t>IRPF 2013 (02/08)</t>
  </si>
  <si>
    <t>Remédios de gordos manipulados</t>
  </si>
  <si>
    <t xml:space="preserve">Cheque - 000156 - Revisão do Pejô 207 </t>
  </si>
  <si>
    <t>Junho /2013</t>
  </si>
  <si>
    <t>Symbicort 12/400, budecortes e advil</t>
  </si>
  <si>
    <t>Novalginas 1G</t>
  </si>
  <si>
    <t>Fatura SanTanDer Visa</t>
  </si>
  <si>
    <t>Credito Férias</t>
  </si>
  <si>
    <t>ConDoMiNios</t>
  </si>
  <si>
    <t>Mensalidade FSA Junho 2013</t>
  </si>
  <si>
    <t>TIM cristiane</t>
  </si>
  <si>
    <t>Dc Comics Bishoujo: Huntress - Kotobukiya</t>
  </si>
  <si>
    <t>Coisas de Scrapes</t>
  </si>
  <si>
    <t>Cheque - 000158 - Aulas de scripes</t>
  </si>
  <si>
    <t>The Americans</t>
  </si>
  <si>
    <t>Memórias de notebuques</t>
  </si>
  <si>
    <t>Coisas de iPhones</t>
  </si>
  <si>
    <t>Estacionamento na paulistas</t>
  </si>
  <si>
    <t>Extra Ipiranguinhas</t>
  </si>
  <si>
    <t>OmePraZóis</t>
  </si>
  <si>
    <t>Almoço em A Paccocca´s</t>
  </si>
  <si>
    <t xml:space="preserve">Iptu (05/10) </t>
  </si>
  <si>
    <t>Aluguel:seguro Fiança (08/11)</t>
  </si>
  <si>
    <t>Cheque - 000157 - Dentistas</t>
  </si>
  <si>
    <t xml:space="preserve">Camisetas de praias </t>
  </si>
  <si>
    <t>Nahumo´s</t>
  </si>
  <si>
    <t>Produtos para praias</t>
  </si>
  <si>
    <t>Cafeses do Xóppings</t>
  </si>
  <si>
    <t>Estadia do Rifolis</t>
  </si>
  <si>
    <t>Mini redes</t>
  </si>
  <si>
    <t>cortadores de unhas e Lub</t>
  </si>
  <si>
    <t>Saque para o Bugues</t>
  </si>
  <si>
    <t>O Bistro de PiPa</t>
  </si>
  <si>
    <t>B-Pantol, Protetor solares e Cala-Drils</t>
  </si>
  <si>
    <t xml:space="preserve">Castanhas de Cajus diversas </t>
  </si>
  <si>
    <t>Lembranças para a galera - 01 - Chaveiros</t>
  </si>
  <si>
    <t>Lembranças para as sogras</t>
  </si>
  <si>
    <t>Lembranças para a galera - 02 - Chaveiros</t>
  </si>
  <si>
    <t>Mais Castahnhas de cajus diversas</t>
  </si>
  <si>
    <t>Saques para Taxis</t>
  </si>
  <si>
    <t>Despezas do Hotel</t>
  </si>
  <si>
    <t>Pizzaria Mazzano</t>
  </si>
  <si>
    <t>Trocas de escapamentos do Pejô</t>
  </si>
  <si>
    <t>Mercadis Nahumis</t>
  </si>
  <si>
    <t>Areia de cocos de gatos</t>
  </si>
  <si>
    <t>remédios de feridas labiais</t>
  </si>
  <si>
    <t>Cafes no centro</t>
  </si>
  <si>
    <t>Estacionament no centro</t>
  </si>
  <si>
    <t>Pasteis de bertiogas</t>
  </si>
  <si>
    <t>NaGumos</t>
  </si>
  <si>
    <t>Rouoas de kdmias</t>
  </si>
  <si>
    <t>The rock Ribs</t>
  </si>
  <si>
    <t>Cafese de terde</t>
  </si>
  <si>
    <t>Universidade Mostros</t>
  </si>
  <si>
    <t>O Cruzeiro´s</t>
  </si>
  <si>
    <t>O Centauro´s</t>
  </si>
  <si>
    <t>Estacionamento em A FSA</t>
  </si>
  <si>
    <t>MIB Agente G Bishoujo Kotobukiya</t>
  </si>
  <si>
    <t>Nagumo´s</t>
  </si>
  <si>
    <t>IRPF 2013 (03/08)</t>
  </si>
  <si>
    <t>Lenches na estradas I</t>
  </si>
  <si>
    <t>Lenches na estradas II</t>
  </si>
  <si>
    <t>Almoço de piraju</t>
  </si>
  <si>
    <t>Julho / 2013</t>
  </si>
  <si>
    <t>Fatura Santander Visa</t>
  </si>
  <si>
    <t>Fatura TIM</t>
  </si>
  <si>
    <t>Mensalidade FSA - Julho -2013</t>
  </si>
  <si>
    <t xml:space="preserve">Automotivo: Ituran </t>
  </si>
  <si>
    <t>Cheque - 000150 - Clin. Bella Forma (01/06)</t>
  </si>
  <si>
    <t>Saque para a cristiane</t>
  </si>
  <si>
    <t xml:space="preserve">Para a Cristiane </t>
  </si>
  <si>
    <t>Asmas e diversos</t>
  </si>
  <si>
    <t>Dentistas</t>
  </si>
  <si>
    <t>Açougues de carnes</t>
  </si>
  <si>
    <t>Atacadão Roldão</t>
  </si>
  <si>
    <t xml:space="preserve">Iptu (06/10) </t>
  </si>
  <si>
    <t>Aluguel:seguro Fiança (09/11)</t>
  </si>
  <si>
    <t>Kit de acessório do Atrix</t>
  </si>
  <si>
    <t>Brincos e correntes</t>
  </si>
  <si>
    <t>Lenços novos</t>
  </si>
  <si>
    <t>Vitaminia Centais</t>
  </si>
  <si>
    <t>Complemento do Condomio</t>
  </si>
  <si>
    <t>Avaliação fisica</t>
  </si>
  <si>
    <t>Sucos e alfaces</t>
  </si>
  <si>
    <t>remédios para Gordos</t>
  </si>
  <si>
    <t>Sinal do GGM4</t>
  </si>
  <si>
    <t>Mercadis de Almocis</t>
  </si>
  <si>
    <t>Da Poupança pro GGM4</t>
  </si>
  <si>
    <t>Parao GGM4</t>
  </si>
  <si>
    <t>Cortar Os Cabelos da Cabeças</t>
  </si>
  <si>
    <t>Nuestro Bieff</t>
  </si>
  <si>
    <t>Xiratas</t>
  </si>
  <si>
    <t>Cheque - 000159 - Academia For Life (01/08)</t>
  </si>
  <si>
    <t>Academia For Life</t>
  </si>
  <si>
    <t>Almoço na páccocca´s</t>
  </si>
  <si>
    <t>Baterias de óculos 3ds</t>
  </si>
  <si>
    <t>IRPF 2013 (04/08)</t>
  </si>
  <si>
    <t>Remédios Manipulados para Gordos</t>
  </si>
  <si>
    <t xml:space="preserve"> Agosto / 2013 </t>
  </si>
  <si>
    <t>Mensalidade FSA - Agosto -2013</t>
  </si>
  <si>
    <t>Instalar e Consertar coisas eletricas</t>
  </si>
  <si>
    <t>Cheque - 000151 - Clin. Bella Forma (02/06)</t>
  </si>
  <si>
    <t>PARA DIVERSOS</t>
  </si>
  <si>
    <t>Presentes de aniversário adiantado da cristiane</t>
  </si>
  <si>
    <t>NaGuMos</t>
  </si>
  <si>
    <t>Remedios de Gatos e de Cristiane</t>
  </si>
  <si>
    <t>Ortopedista do Kardequis</t>
  </si>
  <si>
    <t>Gazozza na ecoSportts</t>
  </si>
  <si>
    <t>Farmáciais de sinutites</t>
  </si>
  <si>
    <t>Nicolau MAX Pirajus</t>
  </si>
  <si>
    <t>Gazoza na Echo</t>
  </si>
  <si>
    <t>Lenche de Estratas</t>
  </si>
  <si>
    <t>Sopas diversas</t>
  </si>
  <si>
    <t>VicsVaporUpes e diversos</t>
  </si>
  <si>
    <t xml:space="preserve">Iptu (07/10) </t>
  </si>
  <si>
    <t>Aluguel:seguro Fiança (10/11)</t>
  </si>
  <si>
    <t>LIS/ Juros</t>
  </si>
  <si>
    <t>Rações, Areias e diversos</t>
  </si>
  <si>
    <t>Curativos e diversos</t>
  </si>
  <si>
    <t>EcoSport (01/36)</t>
  </si>
  <si>
    <t>EcoSport (36/36)</t>
  </si>
  <si>
    <t>Sistema Sem Parar - estacionamento: ecosport</t>
  </si>
  <si>
    <t>Gazzozza no GGM3 - Pejô</t>
  </si>
  <si>
    <t>Gazzozza no GGM4 - EcoSports</t>
  </si>
  <si>
    <t>Cafese da terdes no coco</t>
  </si>
  <si>
    <t>Cheque - 000159 - Academia For Life (02/08)</t>
  </si>
  <si>
    <t>CASAdo Pão ?!?!?!?!</t>
  </si>
  <si>
    <t>Jantar em A Paccocca´s</t>
  </si>
  <si>
    <t>IRPF 2013 (05/08)</t>
  </si>
  <si>
    <t>Para o SanTanDer</t>
  </si>
  <si>
    <t>Do Tomires do Iphone</t>
  </si>
  <si>
    <t>The Burguer Maps</t>
  </si>
  <si>
    <t>curativoes e diversos</t>
  </si>
  <si>
    <t>Shampoo´s e diversos</t>
  </si>
  <si>
    <t>Setembro / 2013</t>
  </si>
  <si>
    <t>na Fsa</t>
  </si>
  <si>
    <t>Cheque - 000152 - Clin. Bella Forma (03/06)</t>
  </si>
  <si>
    <t>Lampadias do Pejô</t>
  </si>
  <si>
    <t>FSA - Setembro - 2013</t>
  </si>
  <si>
    <t>Azias em Piraju</t>
  </si>
  <si>
    <t>Restaurantes de Pirajus</t>
  </si>
  <si>
    <t>Dentista da Cristiane</t>
  </si>
  <si>
    <t>Fatura TIM Luiz</t>
  </si>
  <si>
    <t>Iptu (08/10)</t>
  </si>
  <si>
    <t>Aluguel:seguro Fiança (11/11)</t>
  </si>
  <si>
    <t>Estorno LIS Jutos</t>
  </si>
  <si>
    <t>Cheque AA-000167 - SuperPizza - PAN</t>
  </si>
  <si>
    <t>Automotivo: Ituran do Peugeot</t>
  </si>
  <si>
    <t>Nova consulta paga no cardequi</t>
  </si>
  <si>
    <t>Lenche na FAZ</t>
  </si>
  <si>
    <t>Papeis diversos</t>
  </si>
  <si>
    <t>Gases de curativos</t>
  </si>
  <si>
    <t>Sporcaccione´s</t>
  </si>
  <si>
    <t>Cheque - 000161 - Academia For Life (03/08)</t>
  </si>
  <si>
    <t>Tintas de impressoras e papeis</t>
  </si>
  <si>
    <t>DOC Bradesco Saude Re. Cardiologistas</t>
  </si>
  <si>
    <t xml:space="preserve">dobradiças de portas </t>
  </si>
  <si>
    <t>Cofe de manhas na paccoccas</t>
  </si>
  <si>
    <t>EcoSport (02/36)</t>
  </si>
  <si>
    <t>NO MorGãos</t>
  </si>
  <si>
    <t>Cardarços de Sapatos</t>
  </si>
  <si>
    <t>Automotivo: Ituran da echoSports</t>
  </si>
  <si>
    <t>Saque para diversps</t>
  </si>
  <si>
    <t>Multa de Junho/2013</t>
  </si>
  <si>
    <t>IRPF 2013 (06/08)</t>
  </si>
  <si>
    <t>Outubro / 2013</t>
  </si>
  <si>
    <t>Cheque - 000153 - Clin. Bella Forma (04/06)</t>
  </si>
  <si>
    <t xml:space="preserve">IOF </t>
  </si>
  <si>
    <t>PortoSeguro VISA</t>
  </si>
  <si>
    <t>Itau Master cristiane</t>
  </si>
  <si>
    <t>DOC 237.0001BRADESCO SAL</t>
  </si>
  <si>
    <t xml:space="preserve">Tapetes </t>
  </si>
  <si>
    <t>Rações de gatos</t>
  </si>
  <si>
    <t>Dentistas Cristiane</t>
  </si>
  <si>
    <t>Rombos</t>
  </si>
  <si>
    <t>Iptu (09/10)</t>
  </si>
  <si>
    <t>Aluguel:seguro Fiança (01/11)</t>
  </si>
  <si>
    <t>Ituran Peugeot</t>
  </si>
  <si>
    <t>Restituição da Nota Fiscal Paulista</t>
  </si>
  <si>
    <t xml:space="preserve">Almoço no centro </t>
  </si>
  <si>
    <t>Lanches do rabibis</t>
  </si>
  <si>
    <t>EcoSport (03/36)</t>
  </si>
  <si>
    <t>Paa diversos</t>
  </si>
  <si>
    <t>Ituran Da EchoSport</t>
  </si>
  <si>
    <t>IRPF 2013 (07/08)</t>
  </si>
  <si>
    <t xml:space="preserve"> Novembro / 2013</t>
  </si>
  <si>
    <t>Cheque - 000154 - Clin. Bella Forma (05/06)</t>
  </si>
  <si>
    <t>Fatura ItauCard Cristiane</t>
  </si>
  <si>
    <t>Condominio - Novembro - 2013</t>
  </si>
  <si>
    <t>Estacionamentona FSA</t>
  </si>
  <si>
    <t xml:space="preserve">Fatura TIM Cristiane </t>
  </si>
  <si>
    <t>FSA Novembro</t>
  </si>
  <si>
    <t>CEP Juros</t>
  </si>
  <si>
    <t>Automotivo: Ituran Peugeot</t>
  </si>
  <si>
    <t>Ragazzo do shoping mapping</t>
  </si>
  <si>
    <t>Pasta Termica para PS3</t>
  </si>
  <si>
    <t>EcoSport (04/36)</t>
  </si>
  <si>
    <t>Automotivo: Ituran EchoSport</t>
  </si>
  <si>
    <t>Conserto dos vidros Eletricos</t>
  </si>
  <si>
    <t>IRPF 2013 (08/08)</t>
  </si>
  <si>
    <t>Cabo de aço revestido com plastico</t>
  </si>
  <si>
    <t>abraçadeiras e chave 7mm</t>
  </si>
  <si>
    <t>Puxadores de gavetas</t>
  </si>
  <si>
    <t>Correios diversos</t>
  </si>
  <si>
    <t>Dobradiças</t>
  </si>
  <si>
    <t xml:space="preserve"> Dezembro / 2013</t>
  </si>
  <si>
    <t>Pagamento Fatura Santander VISA</t>
  </si>
  <si>
    <t>ENCARGOS CONTA CORRENTE</t>
  </si>
  <si>
    <t>Cheque - AA-000155 - Clin. Bella Forma (06/06)</t>
  </si>
  <si>
    <t>ItauVisa Cristiane</t>
  </si>
  <si>
    <t>Lavagem no Pejô GGM3</t>
  </si>
  <si>
    <t>PLR 2013-2014</t>
  </si>
  <si>
    <t>Acordo Sindical</t>
  </si>
  <si>
    <t>Condominio Dezembro</t>
  </si>
  <si>
    <t>FSA Dezembro</t>
  </si>
  <si>
    <t>Aluguel:seguro Fiança (04/11)</t>
  </si>
  <si>
    <t>EcoSport (05/36)</t>
  </si>
  <si>
    <t>EcoSport (35/36)</t>
  </si>
  <si>
    <t>Automotivo: recisão Ituran Pejô</t>
  </si>
  <si>
    <t>Presente para a Dona Conceição</t>
  </si>
  <si>
    <t>AntiAlergicos e Tylenol Synus</t>
  </si>
  <si>
    <t>Coca-colas</t>
  </si>
  <si>
    <t>Gazzozza na echoSport GGM4</t>
  </si>
  <si>
    <t>Remedios diverss</t>
  </si>
  <si>
    <t>Cortar cabelos e barbias</t>
  </si>
  <si>
    <t>Esquedrão Suicida Vol 01</t>
  </si>
  <si>
    <t>Como trabalhar para um IDIOTA</t>
  </si>
  <si>
    <t>Os Novos Vingadores: Guerra Civil</t>
  </si>
  <si>
    <t>Cruzeiro´s Bar´s</t>
  </si>
  <si>
    <t>Juros/CEP</t>
  </si>
  <si>
    <t>Restituuição Bradesco Saude</t>
  </si>
  <si>
    <t xml:space="preserve">Batman: Terra UM </t>
  </si>
  <si>
    <t>Ragazzo´s</t>
  </si>
  <si>
    <t>Almoço no Shopping</t>
  </si>
  <si>
    <t>Pizza HUTE</t>
  </si>
  <si>
    <t>Coisas de comer no filme</t>
  </si>
  <si>
    <t>Gazzozza no Pejô GGM3</t>
  </si>
  <si>
    <t>Pasteis do trevo de bertioga</t>
  </si>
  <si>
    <t>Nagumo</t>
  </si>
  <si>
    <t>Cheque - AA-000169 - Dentistas</t>
  </si>
  <si>
    <t>Cheque - AA-000170 - ScrapBuquin</t>
  </si>
  <si>
    <t>The cupCakes</t>
  </si>
  <si>
    <t>Multa de Setembro da echoSport em SP</t>
  </si>
  <si>
    <t>Sedex de duas multas</t>
  </si>
  <si>
    <t>correios de presentes</t>
  </si>
  <si>
    <t>Mauá tecidos</t>
  </si>
  <si>
    <t>Theodora´s</t>
  </si>
  <si>
    <t>Automotivo: Ituran echoSport</t>
  </si>
  <si>
    <t>The New 52 CatWoman  The Joker Arkham Asylum</t>
  </si>
  <si>
    <t>Lampadinhas e Papa-pelos de roupas</t>
  </si>
  <si>
    <t xml:space="preserve"> Janeiro / 2014</t>
  </si>
  <si>
    <t>Fatura Itau MasterCard</t>
  </si>
  <si>
    <t>Fatura ItauVisa Cristiane</t>
  </si>
  <si>
    <t>Cheque AA-000171 - Naturas</t>
  </si>
  <si>
    <t>eletroPaulo</t>
  </si>
  <si>
    <t>FSA - Janeiro 2014</t>
  </si>
  <si>
    <t>Coisas de Scrapis</t>
  </si>
  <si>
    <t>Aluguel:seguro Fiança (05/11)</t>
  </si>
  <si>
    <t>Chocolate para a galera</t>
  </si>
  <si>
    <t xml:space="preserve">Canetas </t>
  </si>
  <si>
    <t>CEP - JUROS</t>
  </si>
  <si>
    <t>Revelação de fotos diversas</t>
  </si>
  <si>
    <t>IPVA echoSport (01/03)</t>
  </si>
  <si>
    <t>IPVA Eco + Licenciamento Renavam 00983803650</t>
  </si>
  <si>
    <t xml:space="preserve">IPVA Pejô (01/03) </t>
  </si>
  <si>
    <t>EcoSport (06/36)</t>
  </si>
  <si>
    <t>Estacionamentos dioversos</t>
  </si>
  <si>
    <t>Almoços em Pirajus</t>
  </si>
  <si>
    <t>Hamburqueria de Pirajus</t>
  </si>
  <si>
    <t xml:space="preserve">Automotivo: Ituran EchoSport </t>
  </si>
  <si>
    <t xml:space="preserve"> Fevereiro / 2014</t>
  </si>
  <si>
    <t>rabibes</t>
  </si>
  <si>
    <t>sorvetes</t>
  </si>
  <si>
    <t>Fatura ItauMastercard</t>
  </si>
  <si>
    <t>PAGTO RESG_PARC_PGBL0665</t>
  </si>
  <si>
    <t>Para o rombo do SanTander</t>
  </si>
  <si>
    <t>Saque ára diversos</t>
  </si>
  <si>
    <t>FSA - Fevereiro -  2014</t>
  </si>
  <si>
    <t>Chocolates diversos para a galera</t>
  </si>
  <si>
    <t>Pasteis de Feiras</t>
  </si>
  <si>
    <t>Sorvertes de mercados</t>
  </si>
  <si>
    <t>CEP JUROS no Periodo</t>
  </si>
  <si>
    <t>Iptu (01/10)</t>
  </si>
  <si>
    <t>Aluguel:seguro Fiança (06/11)</t>
  </si>
  <si>
    <t>Lanche de Tardes</t>
  </si>
  <si>
    <t>Multa do Pejô I</t>
  </si>
  <si>
    <t>Multa do Pejô II</t>
  </si>
  <si>
    <t>IPVA Pejô (02/03)</t>
  </si>
  <si>
    <t>EcoSport (07/36)</t>
  </si>
  <si>
    <t>Recisão de trabalho da TIM</t>
  </si>
  <si>
    <t>para o futuro</t>
  </si>
  <si>
    <t>Afiação de alicates de unhas</t>
  </si>
  <si>
    <t>The Burguer MAPs</t>
  </si>
  <si>
    <t>GPS TomTom Start 45</t>
  </si>
  <si>
    <t xml:space="preserve"> Março / 2014</t>
  </si>
  <si>
    <t>O cogumlo´s</t>
  </si>
  <si>
    <t>Fatura Itau MasterCards</t>
  </si>
  <si>
    <t>Fatura Master Cards</t>
  </si>
  <si>
    <t>Banri comercial</t>
  </si>
  <si>
    <t>estacionamento na liberdades</t>
  </si>
  <si>
    <t>Pizzaria Santa Clara</t>
  </si>
  <si>
    <t>Antialrgicos</t>
  </si>
  <si>
    <t>Nagumops</t>
  </si>
  <si>
    <t xml:space="preserve">Almoço na padoca </t>
  </si>
  <si>
    <t>Aerlo Lanches Hamburguers</t>
  </si>
  <si>
    <t>Consulta medica da jade</t>
  </si>
  <si>
    <t>Remédios da Jade</t>
  </si>
  <si>
    <t>Gazzozza</t>
  </si>
  <si>
    <t>lanche na FSA</t>
  </si>
  <si>
    <t>Iptu (02/10)</t>
  </si>
  <si>
    <t>Aluguel:seguro Fiança (07/11)</t>
  </si>
  <si>
    <t>FSA - Março - 2014</t>
  </si>
  <si>
    <t>Sporcacione em casa</t>
  </si>
  <si>
    <t>Broca para colocar dobradiças</t>
  </si>
  <si>
    <t>Bateria do telefone sem fios</t>
  </si>
  <si>
    <t>Na fsa</t>
  </si>
  <si>
    <t>Pra diversos</t>
  </si>
  <si>
    <t>No Mc Donaldos</t>
  </si>
  <si>
    <t>MultiMetros e Pilhas diversas</t>
  </si>
  <si>
    <t>Mais NaHuMo´s</t>
  </si>
  <si>
    <t>Pasteis do mercado</t>
  </si>
  <si>
    <t>IPVA Pejô (03/03)</t>
  </si>
  <si>
    <t>Cheque - AA-000172 - Dentistas</t>
  </si>
  <si>
    <t>Lanche na Fsa</t>
  </si>
  <si>
    <t>BK Burguer Kinguios</t>
  </si>
  <si>
    <t>Estacionamento no cocô</t>
  </si>
  <si>
    <t>Jantar na paccocca´s</t>
  </si>
  <si>
    <t>Churrascaria Chiquerello</t>
  </si>
  <si>
    <t>Almoço de Pirajus</t>
  </si>
  <si>
    <t>Pijamas de Pirajus</t>
  </si>
  <si>
    <t>Advil e Tylenol Synus</t>
  </si>
  <si>
    <t>Restaurantes Pirajus</t>
  </si>
  <si>
    <t>Aero Lanches Santo André</t>
  </si>
  <si>
    <t>EcoSport (08/36)</t>
  </si>
  <si>
    <t>Da poupança</t>
  </si>
  <si>
    <t>Peliculas de iPhones</t>
  </si>
  <si>
    <t>Estacionamento no Mapping</t>
  </si>
  <si>
    <t>McDobaldo da Liberdade</t>
  </si>
  <si>
    <t>Café na Liberdade</t>
  </si>
  <si>
    <t>Gripes e Symbicort 12/400</t>
  </si>
  <si>
    <t>Resistencia de chuveiro, arame e prego liquido</t>
  </si>
  <si>
    <t xml:space="preserve"> Abril / 2014</t>
  </si>
  <si>
    <t>EletoPaulo</t>
  </si>
  <si>
    <t>Café da tarde no Shopping</t>
  </si>
  <si>
    <t>IOF no Periodo</t>
  </si>
  <si>
    <t>Nagumis</t>
  </si>
  <si>
    <t>Stante de partituras , cordas e enroladores</t>
  </si>
  <si>
    <t>Desodorisantes corporaris</t>
  </si>
  <si>
    <t>pizzaria Santa clara</t>
  </si>
  <si>
    <t>Café de manha na estrada 53</t>
  </si>
  <si>
    <t>Almoço no nicolau Max</t>
  </si>
  <si>
    <t>Chocolates de postos</t>
  </si>
  <si>
    <t>Lanches na estradas</t>
  </si>
  <si>
    <t>MC Donaldos</t>
  </si>
  <si>
    <t xml:space="preserve">Fatura telefonica - TIM Luiz </t>
  </si>
  <si>
    <t>Calça nova social de entrevistas</t>
  </si>
  <si>
    <t>cortar cabelos no Shoopping</t>
  </si>
  <si>
    <t>The SubWay´s</t>
  </si>
  <si>
    <t>Estacionamento na triad Systems</t>
  </si>
  <si>
    <t>Cheque - AA-000173 - o Marido de Aluguel</t>
  </si>
  <si>
    <t>The NY Burguers</t>
  </si>
  <si>
    <t>Iptu (03/10)</t>
  </si>
  <si>
    <t>FSA - Abril - 2014</t>
  </si>
  <si>
    <t>Ferro de passar roupas novos</t>
  </si>
  <si>
    <t>Pendrives Sandisk 16GB</t>
  </si>
  <si>
    <t>Enos E Diversos</t>
  </si>
  <si>
    <t>Los Mariaches</t>
  </si>
  <si>
    <t>Pastel do trevo de bertiogas</t>
  </si>
  <si>
    <t>Remedio de evitar dores de cabeça</t>
  </si>
  <si>
    <t>Injustiça: Deuses entre Nós</t>
  </si>
  <si>
    <t>Diversos no nahumo´s</t>
  </si>
  <si>
    <t>Lanche da FSA</t>
  </si>
  <si>
    <t>Nota Fiscal Paulistas</t>
  </si>
  <si>
    <t>Nagumoes</t>
  </si>
  <si>
    <t>Seguro Obrigatório do pejô</t>
  </si>
  <si>
    <t>Cheque - AA-000174 - Dentistas</t>
  </si>
  <si>
    <t>EcoSport (09/36)</t>
  </si>
  <si>
    <t>Pasteis de Bertiogas</t>
  </si>
  <si>
    <t>Mais nagumo´s</t>
  </si>
  <si>
    <t>Gazzozza no Pejô</t>
  </si>
  <si>
    <t>NaHumo´s</t>
  </si>
  <si>
    <t xml:space="preserve"> Maio / 2014</t>
  </si>
  <si>
    <t>Enoes, dosodorizantes e diversos</t>
  </si>
  <si>
    <t>estacionamento na liberades</t>
  </si>
  <si>
    <t>fatura Santander Visa</t>
  </si>
  <si>
    <t>Fatura Portoseguro Visa</t>
  </si>
  <si>
    <t>Estacionamento na Nextel</t>
  </si>
  <si>
    <t>O Cruzeiro´s Bar´s</t>
  </si>
  <si>
    <t>NY BurGuers</t>
  </si>
  <si>
    <t>Habibes</t>
  </si>
  <si>
    <t>Inscrição provas LP101 e LPI102</t>
  </si>
  <si>
    <t>Desentupidores na coop</t>
  </si>
  <si>
    <t>Rações e Areias de cocôs</t>
  </si>
  <si>
    <t xml:space="preserve">Condominio Maio </t>
  </si>
  <si>
    <t xml:space="preserve">FSA Maio </t>
  </si>
  <si>
    <t>Fatura telefonica - TIM Luiz</t>
  </si>
  <si>
    <t>Multa da Echo</t>
  </si>
  <si>
    <t>Gazzozza´s no Pejô GGM3</t>
  </si>
  <si>
    <t>CEP/Juros</t>
  </si>
  <si>
    <t>Iptu (04/10)</t>
  </si>
  <si>
    <t>The hOOters</t>
  </si>
  <si>
    <t>Revisão dos 40K</t>
  </si>
  <si>
    <t>Da poupança pra cobrir</t>
  </si>
  <si>
    <t>La pastas</t>
  </si>
  <si>
    <t>Padaria Segredo dos Paes</t>
  </si>
  <si>
    <t>NaGuMO´s</t>
  </si>
  <si>
    <t>Licenciamento do Pejô</t>
  </si>
  <si>
    <t>nagumo's</t>
  </si>
  <si>
    <t>Gazzozza no Pejô GGm3</t>
  </si>
  <si>
    <t>Chocolate de postos</t>
  </si>
  <si>
    <t>EcoSport (10/36)</t>
  </si>
  <si>
    <t>AntiAcidos e AntiAlergicos</t>
  </si>
  <si>
    <t>DVDs gravaveis</t>
  </si>
  <si>
    <t>Bolos Diversos</t>
  </si>
  <si>
    <t xml:space="preserve">AeroLanches </t>
  </si>
  <si>
    <t xml:space="preserve">Symbicort 12/400 + </t>
  </si>
  <si>
    <t>VanaIrs</t>
  </si>
  <si>
    <t>X-Men - dias de um futuro esquecido</t>
  </si>
  <si>
    <t>Almoço ni Atrium</t>
  </si>
  <si>
    <t>Cafés no Atriums</t>
  </si>
  <si>
    <t>Estacionamento no Atrium</t>
  </si>
  <si>
    <t>Frans Cafés</t>
  </si>
  <si>
    <t>Lavagem de 2 ternos</t>
  </si>
  <si>
    <t>Da Poupanças</t>
  </si>
  <si>
    <t>FSA</t>
  </si>
  <si>
    <t>Estacionamento na Spread</t>
  </si>
  <si>
    <t>Baterias de controles</t>
  </si>
  <si>
    <t>Enos diversos</t>
  </si>
  <si>
    <t>Anuidade proporcional CREASP</t>
  </si>
  <si>
    <t>Anuidade CREADF</t>
  </si>
  <si>
    <t>O Berlockque da Vivara</t>
  </si>
  <si>
    <t>Palhacinhos da Gabi</t>
  </si>
  <si>
    <t>Os Cruzeiros Bares</t>
  </si>
  <si>
    <t>Cafeses da estradas</t>
  </si>
  <si>
    <t>Horas de Sobre-Aviso de 2009</t>
  </si>
  <si>
    <t>Nicolau Ferreira´s</t>
  </si>
  <si>
    <t xml:space="preserve"> Junho / 2014</t>
  </si>
  <si>
    <t>Almoço em Piraju</t>
  </si>
  <si>
    <t xml:space="preserve">Gazzozza no Pejo GGM3 </t>
  </si>
  <si>
    <t>AeroLanches</t>
  </si>
  <si>
    <t>Material Filatélico claudioamato.com.br</t>
  </si>
  <si>
    <t>Como Supreender em entrevistas</t>
  </si>
  <si>
    <t>Cabides diversos</t>
  </si>
  <si>
    <t>Cafés na Vila Olipmpias - TQI</t>
  </si>
  <si>
    <t>The rockFellas rock Bar</t>
  </si>
  <si>
    <t>Estacionamento na Vila Olimpia - TQI</t>
  </si>
  <si>
    <t>McDonaldo´s</t>
  </si>
  <si>
    <t>Café em SP</t>
  </si>
  <si>
    <t>Pastel de Bertioga´s</t>
  </si>
  <si>
    <t>Roupas de presentes pro Ichiro</t>
  </si>
  <si>
    <t>Routeador pra regina</t>
  </si>
  <si>
    <t>Blusas da Cristians</t>
  </si>
  <si>
    <t>Cafes de Manhas</t>
  </si>
  <si>
    <t>Iptu (05/10)</t>
  </si>
  <si>
    <t>Juros / CEP</t>
  </si>
  <si>
    <t>Cheque - AA-000175 - CONSERTO da Secadora</t>
  </si>
  <si>
    <t>Lupa para ver Selos</t>
  </si>
  <si>
    <t>Mouse + PenDrives</t>
  </si>
  <si>
    <t>2 Oberlocquers de presentes</t>
  </si>
  <si>
    <t>Caféses de Shopping</t>
  </si>
  <si>
    <t>Meias de Presentes</t>
  </si>
  <si>
    <t>Lanches na FSA</t>
  </si>
  <si>
    <t>Gazzozzas no GGM3 Pejô</t>
  </si>
  <si>
    <t>KM 53</t>
  </si>
  <si>
    <t>rodoserv Sorrisos</t>
  </si>
  <si>
    <t>Enos TABs</t>
  </si>
  <si>
    <t>cóquinha da Terde</t>
  </si>
  <si>
    <t>Coisas diversas de mercado</t>
  </si>
  <si>
    <t>Gazzozzas no Pejô GGM3</t>
  </si>
  <si>
    <t>Fitas de Máquinas de Escrever</t>
  </si>
  <si>
    <t>Almoço na Estrana</t>
  </si>
  <si>
    <t>Lancha na estrada</t>
  </si>
  <si>
    <t>Gynoicaden</t>
  </si>
  <si>
    <t>Livorno do Mapping</t>
  </si>
  <si>
    <t>Camiseta do brasils</t>
  </si>
  <si>
    <t>Café do Shoppings</t>
  </si>
  <si>
    <t>Shampoos</t>
  </si>
  <si>
    <t>Shampoos e diversos</t>
  </si>
  <si>
    <t>Mc Sobremeses</t>
  </si>
  <si>
    <t>Selos do Mercado Livre</t>
  </si>
  <si>
    <t>Selos diversos do FaceBook</t>
  </si>
  <si>
    <t>Cheque - AA-000175 - Cabelos cristiane</t>
  </si>
  <si>
    <t>The FifThies</t>
  </si>
  <si>
    <t>Cafés no Shopping</t>
  </si>
  <si>
    <t>Pasteis do Trevo de bertioga</t>
  </si>
  <si>
    <t>Correios no centro</t>
  </si>
  <si>
    <t xml:space="preserve">Meias de Pilatos </t>
  </si>
  <si>
    <t>O cruzeiro´s Bar´s</t>
  </si>
  <si>
    <t>Extra do Shoppings</t>
  </si>
  <si>
    <t>Gazozza no Pejô GGM3</t>
  </si>
  <si>
    <t>StarBuckes do Rochaverá</t>
  </si>
  <si>
    <t>estacionamento no RochaVerá</t>
  </si>
  <si>
    <t>Extintor novo</t>
  </si>
  <si>
    <t>Bateria Nova</t>
  </si>
  <si>
    <t>Lampadas Novas</t>
  </si>
  <si>
    <t>EmLas e adviruls</t>
  </si>
  <si>
    <t xml:space="preserve">McDonaldos </t>
  </si>
  <si>
    <t>Paes de Paccocca´s</t>
  </si>
  <si>
    <t>Nahgumo´s</t>
  </si>
  <si>
    <t>Bepantol</t>
  </si>
  <si>
    <t>Areia de gato</t>
  </si>
  <si>
    <t>Restante de sobre-aviso da TIM</t>
  </si>
  <si>
    <t>Julho / 2014</t>
  </si>
  <si>
    <t>Farmácias Eno TABs e anti-alergicos</t>
  </si>
  <si>
    <t>HD Novo (WD Black Scorpion 750 GB 7200 RPM) pro XMBC</t>
  </si>
  <si>
    <t>Presente da Gaby´s</t>
  </si>
  <si>
    <t>Almoço no café Donutes</t>
  </si>
  <si>
    <t>Sporcacione Pizzerias</t>
  </si>
  <si>
    <t>Gazzozza na Echo Sport GGM4</t>
  </si>
  <si>
    <t>em Aparecida´s</t>
  </si>
  <si>
    <t>Mc Donaldo´s</t>
  </si>
  <si>
    <t>Boobs</t>
  </si>
  <si>
    <t>St. Louis Burguers</t>
  </si>
  <si>
    <t>Camiseta de Batimás</t>
  </si>
  <si>
    <t>Cafeses de terdes</t>
  </si>
  <si>
    <t>Gazzozza Na EchoSport GGM4</t>
  </si>
  <si>
    <t>Almoço no Terraçpo de são Vicente</t>
  </si>
  <si>
    <t>Café no Museo do Café</t>
  </si>
  <si>
    <t>FSA - Julho</t>
  </si>
  <si>
    <t>LING XIAOYU Bishoujo Kotobukiya</t>
  </si>
  <si>
    <t>Carregador Veicular + cabos</t>
  </si>
  <si>
    <t>Nahumops</t>
  </si>
  <si>
    <t>Café n Shopping</t>
  </si>
  <si>
    <t>Case de HDs</t>
  </si>
  <si>
    <t>Porta-Algodãos</t>
  </si>
  <si>
    <t>òculos Novos</t>
  </si>
  <si>
    <t xml:space="preserve">Sporcaciones </t>
  </si>
  <si>
    <t>Iptu (06/10)</t>
  </si>
  <si>
    <t>Cafés No Shopping</t>
  </si>
  <si>
    <t>Batman : Caos em Arkham 2</t>
  </si>
  <si>
    <t>Almoço no Crizeiros</t>
  </si>
  <si>
    <t>coisas diversas de farmácias</t>
  </si>
  <si>
    <t>Almoço no TAI Chin</t>
  </si>
  <si>
    <t>nagumo</t>
  </si>
  <si>
    <t>Multa Echo Sport sinal vermelho</t>
  </si>
  <si>
    <t>Chuveiro qdo banheiro do quarto</t>
  </si>
  <si>
    <t>Cheque - AA-000177 - Procuração de cartorio</t>
  </si>
  <si>
    <t>Albuns de fotos</t>
  </si>
  <si>
    <t>Sedex da procuração</t>
  </si>
  <si>
    <t>coisas diversas</t>
  </si>
  <si>
    <t xml:space="preserve">Pizzas no Shopping </t>
  </si>
  <si>
    <t>Extra do Shopping</t>
  </si>
  <si>
    <t>Gazzozza na EchoSport GGM4</t>
  </si>
  <si>
    <t>Almoço n Shoppings</t>
  </si>
  <si>
    <t>Cafés no Shoppings</t>
  </si>
  <si>
    <t>Tarot: Marselha + Universar Rider Waite na  Saraiva de SCS</t>
  </si>
  <si>
    <t>Burguer Kinguis</t>
  </si>
  <si>
    <t>El Botin mexican foods</t>
  </si>
  <si>
    <t>Mais Nagumos</t>
  </si>
  <si>
    <t>PASTEIS DO trevo de bertioga</t>
  </si>
  <si>
    <t>SubWays</t>
  </si>
  <si>
    <t>Mais Mercados Nagumos</t>
  </si>
  <si>
    <t>Gazzozza no pejô GGM3</t>
  </si>
  <si>
    <t>ALMOÇO na Zepa</t>
  </si>
  <si>
    <t>Cafézes na Zepa</t>
  </si>
  <si>
    <t>Estacionamento na Zepa</t>
  </si>
  <si>
    <t>Revisão do TCC MBA 2013</t>
  </si>
  <si>
    <t>Almoço no xóping mapping</t>
  </si>
  <si>
    <t>xamppoos diversos</t>
  </si>
  <si>
    <t>Cremes diversos</t>
  </si>
  <si>
    <t>O Crureiros Bars</t>
  </si>
  <si>
    <t>Multa Pejô Castello</t>
  </si>
  <si>
    <t>Ração e areias</t>
  </si>
  <si>
    <t>Coisas de caelos</t>
  </si>
  <si>
    <t>Eno e anti-alergico</t>
  </si>
  <si>
    <t>Habbibes</t>
  </si>
  <si>
    <t>Padocas</t>
  </si>
  <si>
    <t>Agosto / 2014</t>
  </si>
  <si>
    <t>Pagamento Fatura Itau Master</t>
  </si>
  <si>
    <t>Pagamento Fatura Portoeguro Visa</t>
  </si>
  <si>
    <t>Incesos e diversos</t>
  </si>
  <si>
    <t>Estacionamento da FSA</t>
  </si>
  <si>
    <t>da Poupança</t>
  </si>
  <si>
    <t>FSA Agosto</t>
  </si>
  <si>
    <t>Tarot: Toalha de Tarot e Insensos</t>
  </si>
  <si>
    <t>Almoço no shoppings</t>
  </si>
  <si>
    <t>Tyleno Synus + Enois</t>
  </si>
  <si>
    <t>Almoço no Mappings</t>
  </si>
  <si>
    <t>Hagumos</t>
  </si>
  <si>
    <t>Iptu (07/10)</t>
  </si>
  <si>
    <t>Lanche perto da claro</t>
  </si>
  <si>
    <t xml:space="preserve">Saque do </t>
  </si>
  <si>
    <t>Cofi da manha na paccocca</t>
  </si>
  <si>
    <t>Para cobrir</t>
  </si>
  <si>
    <t>The´odora´s</t>
  </si>
  <si>
    <t>Gazzozza noPejô GGM3</t>
  </si>
  <si>
    <t>A antologia do pinto-em-filho</t>
  </si>
  <si>
    <t>cosméticos diversos</t>
  </si>
  <si>
    <t>Gnoa ?!?!?</t>
  </si>
  <si>
    <t>Almoço em Santos</t>
  </si>
  <si>
    <t>Passeio de barcos em Santos</t>
  </si>
  <si>
    <t xml:space="preserve">Bolos de Aniversários </t>
  </si>
  <si>
    <t>Jantar de Aniversário da Cristiane</t>
  </si>
  <si>
    <t>Livro de fotografia para a Cristiane</t>
  </si>
  <si>
    <t>comix do GOT para a Cristiane</t>
  </si>
  <si>
    <t>Tarot: Tarot Mitologico</t>
  </si>
  <si>
    <t>Lanche na Bienal do livro</t>
  </si>
  <si>
    <t>Sporcaciones em casa</t>
  </si>
  <si>
    <t xml:space="preserve"> Setembro / 2014</t>
  </si>
  <si>
    <t>Fatura ItauMaster</t>
  </si>
  <si>
    <t>Fatura Santader Visa</t>
  </si>
  <si>
    <t>As Poupança</t>
  </si>
  <si>
    <t>estacionamento na Spread</t>
  </si>
  <si>
    <t>Lavação do terno e Gravatas</t>
  </si>
  <si>
    <t>Almoço no Shoppings</t>
  </si>
  <si>
    <t>Caféses no Shoppings</t>
  </si>
  <si>
    <t>FSA - Setembro / 2014</t>
  </si>
  <si>
    <t>Condominio Setembro 2014</t>
  </si>
  <si>
    <t>Spolettos</t>
  </si>
  <si>
    <t>Maquiagens diversas</t>
  </si>
  <si>
    <t>Capa-bateria de iPhone</t>
  </si>
  <si>
    <t>Sulfites, CDs, Colas para gravar TCC</t>
  </si>
  <si>
    <t>Trabalho: Café na Starbuks</t>
  </si>
  <si>
    <t>Trabalho: McDonald´s</t>
  </si>
  <si>
    <t>Enois</t>
  </si>
  <si>
    <t>Resgate total de PGBL</t>
  </si>
  <si>
    <t>Para a poupanças</t>
  </si>
  <si>
    <t>Trabalho: Almoço no Aconchego</t>
  </si>
  <si>
    <t>Seguro Fiança (NN/NN)</t>
  </si>
  <si>
    <t>Trabalho: Café de manhã na Caires Morumbi</t>
  </si>
  <si>
    <t>Cheque - AA-000178 - Fretado</t>
  </si>
  <si>
    <t>Roupas novas da Khelfs</t>
  </si>
  <si>
    <t>Alicates de Unhas Diversos</t>
  </si>
  <si>
    <t>Sorvetes no Shoppiins</t>
  </si>
  <si>
    <t>Symbicort 12/400 + Enois</t>
  </si>
  <si>
    <t xml:space="preserve">Remedio de Gato, Barbeador e espumas </t>
  </si>
  <si>
    <t>Tarot: Tarot do Nei naiff</t>
  </si>
  <si>
    <t>Butecp ò Maria, Ò</t>
  </si>
  <si>
    <t>Mercado nagumo</t>
  </si>
  <si>
    <t>EcoSport (14/36)</t>
  </si>
  <si>
    <t>Café da manha na padoca´s</t>
  </si>
  <si>
    <t>Quatro camisas novas de trabalho na Colombos</t>
  </si>
  <si>
    <t>Enos e Neosaldinas</t>
  </si>
  <si>
    <t>Trabalho: Almoço no Degustes</t>
  </si>
  <si>
    <t>The burguer MAPS</t>
  </si>
  <si>
    <t>Ragazzo</t>
  </si>
  <si>
    <t>Trabalho: Café da tarde na Nextel</t>
  </si>
  <si>
    <t xml:space="preserve">Outubro / 2014 </t>
  </si>
  <si>
    <t>Cafeses nespressos</t>
  </si>
  <si>
    <t>Adoçantes para Cafeses</t>
  </si>
  <si>
    <t xml:space="preserve">Cheque - AA00180 - Fretado </t>
  </si>
  <si>
    <t>Da poupanças</t>
  </si>
  <si>
    <t>Pizza ruts</t>
  </si>
  <si>
    <t>AntiAlérgio Power</t>
  </si>
  <si>
    <t>Gazzozza no Pejô ggm3</t>
  </si>
  <si>
    <t>The Fifties Burgues</t>
  </si>
  <si>
    <t>Estacionamento na FNACS</t>
  </si>
  <si>
    <t>FSA - Outubro / 2014</t>
  </si>
  <si>
    <t>Para os Furos</t>
  </si>
  <si>
    <t>EagleMoss - DarkSeid + Fichários</t>
  </si>
  <si>
    <t>Cafés de NEsPressos</t>
  </si>
  <si>
    <t>Trabalho: McDonalds</t>
  </si>
  <si>
    <t>Aluguel:Seguro Fiança (NN/NN)</t>
  </si>
  <si>
    <t>Cheque - SA-00181 - Pilates Cristiane</t>
  </si>
  <si>
    <t>Pasteis do Trevo de Bertiogas</t>
  </si>
  <si>
    <t>Sorvetes do McDobalds</t>
  </si>
  <si>
    <t>The NY Burgues</t>
  </si>
  <si>
    <t>Para Cobrir</t>
  </si>
  <si>
    <t>Queijos diversos no trabaho</t>
  </si>
  <si>
    <t>Chips Claro pro Xoom</t>
  </si>
  <si>
    <t>Mais Nespressos</t>
  </si>
  <si>
    <t>Pitiça do Sporcaciones</t>
  </si>
  <si>
    <t>Pasteis de feiras</t>
  </si>
  <si>
    <t>Remedios de AsMas</t>
  </si>
  <si>
    <t xml:space="preserve">Rec Salarios - INSAT </t>
  </si>
  <si>
    <t xml:space="preserve">Aluguel:Seguro Aluguel (01/11) </t>
  </si>
  <si>
    <t>EcoSport (15/36)</t>
  </si>
  <si>
    <t xml:space="preserve">Automotivo: Ituran da Echo </t>
  </si>
  <si>
    <t>Killer Crock do EagleMoss</t>
  </si>
  <si>
    <t>Trabalho: Jantar  na Caires Morumbi</t>
  </si>
  <si>
    <t>Taxi pra vir embora pra casa</t>
  </si>
  <si>
    <t>Almoço no Shopping SCS</t>
  </si>
  <si>
    <t>StarBucks Shopping SCS</t>
  </si>
  <si>
    <t>roupas novas na Fatto à Manno</t>
  </si>
  <si>
    <t>Suco de Laranjas</t>
  </si>
  <si>
    <t xml:space="preserve">El Botin </t>
  </si>
  <si>
    <t>Fazer Barras nas calças novas</t>
  </si>
  <si>
    <t>Biprofenid para dores</t>
  </si>
  <si>
    <t>Cafés Nespressos</t>
  </si>
  <si>
    <t>O cruzeiros Bares</t>
  </si>
  <si>
    <t>Sorvete do BKs</t>
  </si>
  <si>
    <t>Novembro / 2014</t>
  </si>
  <si>
    <t>Johnny Rocket Burgues</t>
  </si>
  <si>
    <t>Melissa da Melevolas</t>
  </si>
  <si>
    <t>Spocaciones em casa</t>
  </si>
  <si>
    <t>ò Maria, ó</t>
  </si>
  <si>
    <t>Milkshakes do bobis</t>
  </si>
  <si>
    <t>Chips Claro para o Galaxy S</t>
  </si>
  <si>
    <t>Nagumo-s</t>
  </si>
  <si>
    <t>Achonchego´s</t>
  </si>
  <si>
    <t>Fatura ItauMasterCard</t>
  </si>
  <si>
    <t>Trabalho: Almoço no Shopping Morumbi</t>
  </si>
  <si>
    <t>Batman Arkham Caos em Arkham 3</t>
  </si>
  <si>
    <t>Pastel de Bertioga</t>
  </si>
  <si>
    <t>Trabalho: Almoço no Shopping Imbirabueras</t>
  </si>
  <si>
    <t>Rollers Skates da Cristiane</t>
  </si>
  <si>
    <t>Sucos e Sorvetes n Shoppping Imbirabueras</t>
  </si>
  <si>
    <t>Bagumo´s</t>
  </si>
  <si>
    <t>Super Pizza PAM</t>
  </si>
  <si>
    <t>Cheque - SA-000187 - Fretado</t>
  </si>
  <si>
    <t>Iptu (10/10)</t>
  </si>
  <si>
    <t>Aluguel:Seguro Fiança (02/11)</t>
  </si>
  <si>
    <t>CEP/JUROS</t>
  </si>
  <si>
    <t>Cheque - SA-00182 - Pilates Cristiane</t>
  </si>
  <si>
    <t>Cafés nespressos</t>
  </si>
  <si>
    <t>NY Burguers</t>
  </si>
  <si>
    <t>Tarot: Curso Proibido Tarot de Crowley - Mod I / Fr. Goya / Merkabah</t>
  </si>
  <si>
    <t>Almoço em Mooca - curso de tarot</t>
  </si>
  <si>
    <t>McDonald´s - dia do curso</t>
  </si>
  <si>
    <t>Sherlock Hot Dogs</t>
  </si>
  <si>
    <t>O Ragazzo do Shoppping</t>
  </si>
  <si>
    <t>Jogo da Vida e Quebra-scabças</t>
  </si>
  <si>
    <t>Chá Gelado de Aeroporto</t>
  </si>
  <si>
    <t>Pizza do Sporcaciones</t>
  </si>
  <si>
    <t>Cabos diversos de celulares</t>
  </si>
  <si>
    <t>Aguas na liberdades</t>
  </si>
  <si>
    <t>Theodira´s</t>
  </si>
  <si>
    <t>Ecosport (16/36)</t>
  </si>
  <si>
    <t>Automotivo: Ituran da echo</t>
  </si>
  <si>
    <t xml:space="preserve">Fatura TIM </t>
  </si>
  <si>
    <t>La Pasta Pizzas</t>
  </si>
  <si>
    <t>Resto de pendencias de 2011</t>
  </si>
  <si>
    <t>Padoca´s Voctorya Regya´s</t>
  </si>
  <si>
    <t>Restaurante América do Shopping SCS</t>
  </si>
  <si>
    <t>Lingeries diversas</t>
  </si>
  <si>
    <t>Mac Cosméticos</t>
  </si>
  <si>
    <t>Cafes do Pontos</t>
  </si>
  <si>
    <t>Oberloques da Vivara</t>
  </si>
  <si>
    <t>Adapatador de MicroSD -&gt; USB</t>
  </si>
  <si>
    <t>Pães de Açucares</t>
  </si>
  <si>
    <t>Dezembro / 2014</t>
  </si>
  <si>
    <t>Carregador de Bateria do Dell</t>
  </si>
  <si>
    <t>Livro da Cristiane</t>
  </si>
  <si>
    <t>DARF do IRPF de 2014</t>
  </si>
  <si>
    <t>IOF No Periodo</t>
  </si>
  <si>
    <t>Fatura Santadner Visa</t>
  </si>
  <si>
    <t>Fatura Itau master</t>
  </si>
  <si>
    <t>Internet Movel Claro  4G</t>
  </si>
  <si>
    <t>cafes do Nespresso</t>
  </si>
  <si>
    <t>Pizza em casa do La Pastas</t>
  </si>
  <si>
    <t>The Outbacks</t>
  </si>
  <si>
    <t>Shabab´s</t>
  </si>
  <si>
    <t>Menina Modernas</t>
  </si>
  <si>
    <t>Cosmetics</t>
  </si>
  <si>
    <t>Nahoe Sushis</t>
  </si>
  <si>
    <t>Trabalho: Almoço no verasKG</t>
  </si>
  <si>
    <t>Budecort Acqua 64mg</t>
  </si>
  <si>
    <t>Condominio / Dez-2014</t>
  </si>
  <si>
    <t>TIM Luiz</t>
  </si>
  <si>
    <t>Iptu (XX/YY)</t>
  </si>
  <si>
    <t>Aluguel:Seguro Fiança (03/11)</t>
  </si>
  <si>
    <t>Eno, Tylenol e Neosaldina</t>
  </si>
  <si>
    <t>CEP/Juros Novembro/2014</t>
  </si>
  <si>
    <t>Cheque - SA-000183 - Pilates Cristiane</t>
  </si>
  <si>
    <t>Cheque - AA-000188 - Fretado</t>
  </si>
  <si>
    <t>Café de manha na Caires morombi</t>
  </si>
  <si>
    <t xml:space="preserve">Tarot: Rider Waite classical Original Tarot </t>
  </si>
  <si>
    <t>Comidas de cinemas</t>
  </si>
  <si>
    <t>El botin</t>
  </si>
  <si>
    <t>Nagumos diversos</t>
  </si>
  <si>
    <t xml:space="preserve">reserva hotel Nevada - Campos do Jordão </t>
  </si>
  <si>
    <t>O Banden Baden</t>
  </si>
  <si>
    <t xml:space="preserve">O Viznho </t>
  </si>
  <si>
    <t>Café de tardes</t>
  </si>
  <si>
    <t>Fraunlein</t>
  </si>
  <si>
    <t>Casaco de ursos</t>
  </si>
  <si>
    <t>Almoço no Capos do Jordão</t>
  </si>
  <si>
    <t>Cafés de tardes</t>
  </si>
  <si>
    <t>Gazozza no pejô GGM3</t>
  </si>
  <si>
    <t>Ecosport (17/36)</t>
  </si>
  <si>
    <t>Extorno pagamento</t>
  </si>
  <si>
    <t xml:space="preserve">Cheque - AA-000189 - Alianças novas </t>
  </si>
  <si>
    <t>Presente de natal da crisyiane</t>
  </si>
  <si>
    <t>Coisas na americanas</t>
  </si>
  <si>
    <t>Coxinhas do raggazzo</t>
  </si>
  <si>
    <t>Automotivo: Ituran Echo</t>
  </si>
  <si>
    <t>Banri Comercial</t>
  </si>
  <si>
    <t>Vilãs de Action figures para a cristiane</t>
  </si>
  <si>
    <t xml:space="preserve">Capa de celular carregador </t>
  </si>
  <si>
    <t>Ataque dos Titãs Nº 07</t>
  </si>
  <si>
    <t>estacionamento na lberdade</t>
  </si>
  <si>
    <t>Tintas de cabelos</t>
  </si>
  <si>
    <t>O cruzeiros bars</t>
  </si>
  <si>
    <t>NY Burgues</t>
  </si>
  <si>
    <t>Creme dental power</t>
  </si>
  <si>
    <t>Budecorte Acqua 64</t>
  </si>
  <si>
    <t>Quebra-Cabeças dos Avengadores</t>
  </si>
  <si>
    <t>Nagumoos</t>
  </si>
  <si>
    <t>Bar do Alemão em SCS</t>
  </si>
  <si>
    <t xml:space="preserve"> Janeiro / 2015</t>
  </si>
  <si>
    <t>Pagamento Fatura - Santander Visa</t>
  </si>
  <si>
    <t>Pagamento Fatura - Itau Master</t>
  </si>
  <si>
    <t>Pagamento fatura - Portoseguro Visa</t>
  </si>
  <si>
    <t>Pizza HIT do Shopping</t>
  </si>
  <si>
    <t xml:space="preserve">Kimono novo </t>
  </si>
  <si>
    <t>Travesseiros novo da Zelo</t>
  </si>
  <si>
    <t>Sorvetes dos Bobís</t>
  </si>
  <si>
    <t>Porta-revistas da Kalunga</t>
  </si>
  <si>
    <t>Pasteis de Feira</t>
  </si>
  <si>
    <t>Nagum0´s</t>
  </si>
  <si>
    <t xml:space="preserve">TAR MULTICTA MENS 12/14   </t>
  </si>
  <si>
    <t>America´s da Alameda Santos</t>
  </si>
  <si>
    <t>Aluguel:Seguro Fiança (04/11)</t>
  </si>
  <si>
    <t xml:space="preserve">linha em branco </t>
  </si>
  <si>
    <t>Trabalho: Passatempo recheadas</t>
  </si>
  <si>
    <t>Paccocca´s VRs</t>
  </si>
  <si>
    <t>Cheque - SA-000184 - Pilates Cristiane</t>
  </si>
  <si>
    <t>CEP + Juros</t>
  </si>
  <si>
    <t>Cheque - AA-000190 - Fretado</t>
  </si>
  <si>
    <t xml:space="preserve">IPVA do Peugeot (01/03) </t>
  </si>
  <si>
    <t>IPVA da EchoSport (01/03)</t>
  </si>
  <si>
    <t>Cheque - AA_000191 - Novas Alianças</t>
  </si>
  <si>
    <t>Cheque Devolvido (sem Favorecido) - AA_000191 - Novas Alianças</t>
  </si>
  <si>
    <t>Saque para divesos</t>
  </si>
  <si>
    <t>Trabalho: Sorvete no McDonalds</t>
  </si>
  <si>
    <t>The Burguer kinguios</t>
  </si>
  <si>
    <t>Subway</t>
  </si>
  <si>
    <t>Rações de Gatos</t>
  </si>
  <si>
    <t>Pizza na Paccocca VR´s</t>
  </si>
  <si>
    <t>Saldo Residual Parcela 30/09/2011</t>
  </si>
  <si>
    <t>Saldo Residual Parcela 31/10/2011</t>
  </si>
  <si>
    <t>Saldo Residual Parcela 30/11/2011</t>
  </si>
  <si>
    <t>Ecosport (18/36)</t>
  </si>
  <si>
    <t>Saque full da poupança para encerrar a conta</t>
  </si>
  <si>
    <t>Trabalho: McSorvetes</t>
  </si>
  <si>
    <t>No curso de Tarot</t>
  </si>
  <si>
    <t>Tarot: Curso Proibido Tarot de Crowley - Mod II / Fr. Goya / Merkabah</t>
  </si>
  <si>
    <t>Trabalho: Santo Prato</t>
  </si>
  <si>
    <t>Trabalho: Café da tarde</t>
  </si>
  <si>
    <t>Trabalho: Ibes Hotel (Insat/Nextel)</t>
  </si>
  <si>
    <t>McDonalds</t>
  </si>
  <si>
    <t>Padaria Vitória regias</t>
  </si>
  <si>
    <t xml:space="preserve">EletroPaulo </t>
  </si>
  <si>
    <t>Tintas para os cabelos</t>
  </si>
  <si>
    <t>MEGA PRESS (?)</t>
  </si>
  <si>
    <t>VOLTOLIN (Loja de incensos)</t>
  </si>
  <si>
    <t>Xirata</t>
  </si>
  <si>
    <t>Gazzozza naEchoSport GGM3</t>
  </si>
  <si>
    <t>Lente Nova Canon 24/105</t>
  </si>
  <si>
    <t>Estacionamento no FNAC</t>
  </si>
  <si>
    <t>Nagumps</t>
  </si>
  <si>
    <t>Saque para corrios</t>
  </si>
  <si>
    <t>Mais dsaque para correios</t>
  </si>
  <si>
    <t xml:space="preserve"> Fevereiro / 2015</t>
  </si>
  <si>
    <t>Anuidade do CREA_DF</t>
  </si>
  <si>
    <t>Pendencias IRPF 2010/2011</t>
  </si>
  <si>
    <t xml:space="preserve">TAR MULTICTA MENS 01/15  </t>
  </si>
  <si>
    <t>Aluguel:Seguro Fiança (05/11)</t>
  </si>
  <si>
    <t>Cheque - SA-000185 - Pilates Cristiane</t>
  </si>
  <si>
    <t>CEP + JUROS</t>
  </si>
  <si>
    <t>Cheque - AA-000193 - Fretado</t>
  </si>
  <si>
    <t xml:space="preserve">IPVA do Peugeot (02/03) </t>
  </si>
  <si>
    <t>IPVA da EchoSport (02/03)</t>
  </si>
  <si>
    <t>Ecosport (19/36)</t>
  </si>
  <si>
    <t>Tarot: Athame e moedas diversas</t>
  </si>
  <si>
    <t>Tarot: Namur TaroT</t>
  </si>
  <si>
    <t>Fatura TIM celular</t>
  </si>
  <si>
    <t xml:space="preserve"> Março / 2015</t>
  </si>
  <si>
    <t>Fatura Itau Masters</t>
  </si>
  <si>
    <t>Multa da Echo no Parque Ibirapuera Nov/2014</t>
  </si>
  <si>
    <t xml:space="preserve">Coisas de Scrap do Marido da Amiga </t>
  </si>
  <si>
    <t>Tarifa da conta</t>
  </si>
  <si>
    <t>Mês de Março/2015</t>
  </si>
  <si>
    <t>Aluguel:Seguro Fiança (06/11)</t>
  </si>
  <si>
    <t>Cheque - SA-000186 - Pilates Cristiane</t>
  </si>
  <si>
    <t xml:space="preserve">IPVA do Peugeot (03/03) </t>
  </si>
  <si>
    <t>IPVA da EchoSport (03/03)</t>
  </si>
  <si>
    <t>Materais de passa roupas</t>
  </si>
  <si>
    <t xml:space="preserve">EST TAR MULTICONTA MENS  </t>
  </si>
  <si>
    <t>Mais Incensos</t>
  </si>
  <si>
    <t>Nagumo´S</t>
  </si>
  <si>
    <t>Ecosport (20/36)</t>
  </si>
  <si>
    <t>Pneu de Step</t>
  </si>
  <si>
    <t>Fatura da TIM Celular</t>
  </si>
  <si>
    <t>eno tabs + Neosaldina</t>
  </si>
  <si>
    <t>Café da manha no Shopping El Dorado</t>
  </si>
  <si>
    <t>Trabalho: Shopping El dorado (NTT data)</t>
  </si>
  <si>
    <t xml:space="preserve">Cheque - AA-000199 - Martelinho Echo </t>
  </si>
  <si>
    <t>Rec Salarios - NTT Data</t>
  </si>
  <si>
    <t xml:space="preserve"> Abril / 2015</t>
  </si>
  <si>
    <t>Para a CEF pagar a Echo</t>
  </si>
  <si>
    <t>Condomonio</t>
  </si>
  <si>
    <t>Tarot: Curso Proibido Tarot de Crowley - Mod III / Fr. Goya / Merkabah</t>
  </si>
  <si>
    <t>Cartas ciganas para a Cristiane</t>
  </si>
  <si>
    <t>Cheque - AA-000192 - Pilates Cristiane</t>
  </si>
  <si>
    <t>Aluguel:Seguro Fiança (07/11)</t>
  </si>
  <si>
    <t>Neosaldina de 20 comprimidos</t>
  </si>
  <si>
    <t xml:space="preserve">Tinturas de cabelos </t>
  </si>
  <si>
    <t>Tarot: Curso de Arcanos Menores / Marcelo Bueno / Merkabah</t>
  </si>
  <si>
    <t>Tarot: Giled Lenormand para a Cristiane</t>
  </si>
  <si>
    <t>Café de Starburques</t>
  </si>
  <si>
    <t>Estacionamento na Paulistra FNAC</t>
  </si>
  <si>
    <t>Paccocca´s VR´s</t>
  </si>
  <si>
    <t xml:space="preserve">Fatura Telefonica - TIM Cristiane </t>
  </si>
  <si>
    <t>Padarias diversas</t>
  </si>
  <si>
    <t>Automotivo: Sistema Sem Parar Echo</t>
  </si>
  <si>
    <t>Estacionamento da NTT</t>
  </si>
  <si>
    <t>EletroPaulo do caraio</t>
  </si>
  <si>
    <t>Saque para Diversos</t>
  </si>
  <si>
    <t>Lapiz de cores diversas</t>
  </si>
  <si>
    <t>Cadernos + Baralho</t>
  </si>
  <si>
    <t xml:space="preserve"> Maio / 2015</t>
  </si>
  <si>
    <t>Gazzozza na EchoSpoort GGM4</t>
  </si>
  <si>
    <t>Incensos doversos</t>
  </si>
  <si>
    <t>Fatura ItauMasters</t>
  </si>
  <si>
    <t>Para a Caixa Economica</t>
  </si>
  <si>
    <t>Debitos Pendentes da Echosport</t>
  </si>
  <si>
    <t>Debitos Pendentes da pejô</t>
  </si>
  <si>
    <t>Symbicort 12/400,  Bidecorte , Remedios de Gripes</t>
  </si>
  <si>
    <t>Paccocaps VRs</t>
  </si>
  <si>
    <t>Controle remoto de camera digital</t>
  </si>
  <si>
    <t>Batman: Caos em Arkham vol 4</t>
  </si>
  <si>
    <t>Aluguel:Seguro Fiança (08/11)</t>
  </si>
  <si>
    <t>CEP JUROS</t>
  </si>
  <si>
    <t>Cheque - AS-000194 - Pilates Cristiane</t>
  </si>
  <si>
    <t xml:space="preserve">DOC - Hotel Nevada Campos do Jordão </t>
  </si>
  <si>
    <t>Amoço na paccocca´s</t>
  </si>
  <si>
    <t>Pelicula e Capas</t>
  </si>
  <si>
    <t>Troca de Bateria de relógio</t>
  </si>
  <si>
    <t>EagleMoss 01, 07 e 08</t>
  </si>
  <si>
    <t>Envio de eagleMoss</t>
  </si>
  <si>
    <t>Hotel Nevada Campos do Jordão</t>
  </si>
  <si>
    <t>Café no Shoppings</t>
  </si>
  <si>
    <t>Café da tarde no Shoppings</t>
  </si>
  <si>
    <t xml:space="preserve">Fatura Celular </t>
  </si>
  <si>
    <t>Café Shoppings</t>
  </si>
  <si>
    <t>Há-bibes</t>
  </si>
  <si>
    <t>Automotivo: Ituran da Echo</t>
  </si>
  <si>
    <t>Licenciamento Echo 2015</t>
  </si>
  <si>
    <t>licenciamento Pejô 2015</t>
  </si>
  <si>
    <t>05 Canecas de Fotografia´s</t>
  </si>
  <si>
    <t>Estacionamento da NTT Data</t>
  </si>
  <si>
    <t>Estacionamento na Liberdade</t>
  </si>
  <si>
    <t xml:space="preserve"> Junho / 2015</t>
  </si>
  <si>
    <t>Pasteis do Trevo de Bertioga´s</t>
  </si>
  <si>
    <t>Fatura - tim Luiz</t>
  </si>
  <si>
    <t>Aluguel:Seguro Fiança (09/11)</t>
  </si>
  <si>
    <t>Cheque - AS-000195 - Pilates Cristiane</t>
  </si>
  <si>
    <t>Pelicula do Tablet</t>
  </si>
  <si>
    <t>Trabalho: Lanche de a Tarde</t>
  </si>
  <si>
    <t>RA_bibes</t>
  </si>
  <si>
    <t>Coisas de Nivaldir NivalMix</t>
  </si>
  <si>
    <t>Almoço no Merkabah!</t>
  </si>
  <si>
    <t>TIM Cristiane</t>
  </si>
  <si>
    <t>Trabalho: Lenche de Terde</t>
  </si>
  <si>
    <t>Adiantamento 13º Salario NTT</t>
  </si>
  <si>
    <t xml:space="preserve"> Julho / 2015</t>
  </si>
  <si>
    <t>Estacionamento na rodoviária</t>
  </si>
  <si>
    <t>exame de sangue do sebastiman</t>
  </si>
  <si>
    <t>Bem Te Vi Pasteis do Mercadão</t>
  </si>
  <si>
    <t>Tarot: Carimbo Luiz e Laminação de poster de Tarot</t>
  </si>
  <si>
    <t>Incensos diversos pra ficar legal</t>
  </si>
  <si>
    <t>Sukyua LT</t>
  </si>
  <si>
    <t>Carimbo do Baphomet</t>
  </si>
  <si>
    <t>Fatura do Itau Visa</t>
  </si>
  <si>
    <t>Aluguel:Seguro Fiança (10/11)</t>
  </si>
  <si>
    <t>Cheque - AS-000196 - Pilates Cristiane</t>
  </si>
  <si>
    <t xml:space="preserve">Tarot: Manual do Tarot - Capa Amarela - Disal </t>
  </si>
  <si>
    <t>CatNipe de Gatpos</t>
  </si>
  <si>
    <t>Lanches da terde na paccocca´s</t>
  </si>
  <si>
    <t>Saque para divrsos</t>
  </si>
  <si>
    <t>Lampadas e conserto do vidro do Pejô GGM3</t>
  </si>
  <si>
    <t>Pedras Mágicas diversas</t>
  </si>
  <si>
    <t>McDonaldos na paulistas</t>
  </si>
  <si>
    <t>Estacionamento no Shoppings</t>
  </si>
  <si>
    <t>Giraffa´s</t>
  </si>
  <si>
    <t>PARA Divresos</t>
  </si>
  <si>
    <t>Estacionamento no Trabalho</t>
  </si>
  <si>
    <t>Trabalho: Almoço no Shoppings</t>
  </si>
  <si>
    <t>Trabalho: Caféses no Shoppings</t>
  </si>
  <si>
    <t>Trabalho: Paccocca´s</t>
  </si>
  <si>
    <t>Rabibes</t>
  </si>
  <si>
    <t>antialergico e nóis</t>
  </si>
  <si>
    <t>Trabalho: Montana Grill</t>
  </si>
  <si>
    <t xml:space="preserve">Trabalho: Ragazzo </t>
  </si>
  <si>
    <t>Trabalho: Vafé No Shopping Attriuum</t>
  </si>
  <si>
    <t>Trabalho: Spoletto´s</t>
  </si>
  <si>
    <t>Trabalho: Café no Shopping Attrittum</t>
  </si>
  <si>
    <t>McDOnaldo´s</t>
  </si>
  <si>
    <t>Tarot: Pedras Misticas + Hermetic Kabbalah Tarot</t>
  </si>
  <si>
    <t>Chilli Pepers</t>
  </si>
  <si>
    <t>Tarot: Symbolon, Mile Lenormand + Pedras</t>
  </si>
  <si>
    <t>The StarBuckes</t>
  </si>
  <si>
    <t>Estacionamento na Paulista</t>
  </si>
  <si>
    <t>Padaria Portugal pra tirar sangue</t>
  </si>
  <si>
    <t>Fatura ItauVisa</t>
  </si>
  <si>
    <t>Fatura PortoserguroVisa</t>
  </si>
  <si>
    <t>Cheque - AA-000200 - Revisão da EchoSport GGM4</t>
  </si>
  <si>
    <t>Café de Manha na paccocca´s</t>
  </si>
  <si>
    <t>Pizza Rute do Shippings</t>
  </si>
  <si>
    <t xml:space="preserve">PEDIR REEMBOLSO DA DISAL </t>
  </si>
  <si>
    <t>Pedra Amazonita para a Cristiane</t>
  </si>
  <si>
    <t>Aluguel:Seguro Fiança (11/11)</t>
  </si>
  <si>
    <t>Cheque - AS-000197 - Pilates Cristiane</t>
  </si>
  <si>
    <t>Fatura ItauVisa 2.0</t>
  </si>
  <si>
    <t>Tarot: Tarot e Autoconhecimento / Giancarlo / Espaço Merkabah</t>
  </si>
  <si>
    <t>Café do Shopping</t>
  </si>
  <si>
    <t>Estacionamentos no Grazzi Pizzeria</t>
  </si>
  <si>
    <t>Pasteis do Treveo de Bertiogás</t>
  </si>
  <si>
    <t xml:space="preserve"> Setembro / 2015</t>
  </si>
  <si>
    <t>Cafés na Paulistas</t>
  </si>
  <si>
    <t>Chocolate na Americana</t>
  </si>
  <si>
    <t>Café donuts Café da manha</t>
  </si>
  <si>
    <t>Aluguel:Seguro Fiança (00/00)</t>
  </si>
  <si>
    <t>Cheque - AS-000198 - Pilates Cristiane</t>
  </si>
  <si>
    <t>Cheque - AA-000201 - Terapia Holisticas</t>
  </si>
  <si>
    <t>Doc Bruno Bazzoli - Livros A.C.</t>
  </si>
  <si>
    <t>Almoco Café Donuts</t>
  </si>
  <si>
    <t>Tarot: Haindl Tarot</t>
  </si>
  <si>
    <t>Tarot: Marselha Planeta + Sem Nome</t>
  </si>
  <si>
    <t>The pictorial Key to the tarot</t>
  </si>
  <si>
    <t>Saque para os diversos de sempre</t>
  </si>
  <si>
    <t xml:space="preserve">Automotivo: Seguro Peugeot 2015/2016 (01/04) </t>
  </si>
  <si>
    <t xml:space="preserve"> Outubro / 2015</t>
  </si>
  <si>
    <t>Registro ABRATH</t>
  </si>
  <si>
    <t>Café da manha no centro</t>
  </si>
  <si>
    <t xml:space="preserve">TIM Luiz </t>
  </si>
  <si>
    <t>Cheque - SA-000203 - Terapia Holisticas</t>
  </si>
  <si>
    <t>IRPF 2015</t>
  </si>
  <si>
    <t>DOC Da Caixa</t>
  </si>
  <si>
    <t>Saque para pagar cursos</t>
  </si>
  <si>
    <t>Tarot: Arcanos Maiores Inclinações da Alma / Mercelo Bueno / Arouche</t>
  </si>
  <si>
    <t>Tarot: Laminação do Tarot Carbonico</t>
  </si>
  <si>
    <t xml:space="preserve">Automotivo: Ituran da EchoSport </t>
  </si>
  <si>
    <t>Estacionamento do Trabalho</t>
  </si>
  <si>
    <t>Cabos diversos</t>
  </si>
  <si>
    <t xml:space="preserve">Automotivo: Seguro Peugeot 2015/2016 (02/04) </t>
  </si>
  <si>
    <t xml:space="preserve"> Novembro / 2015</t>
  </si>
  <si>
    <t>Fatura santander visa</t>
  </si>
  <si>
    <t xml:space="preserve">Transferencia para o Kapacete </t>
  </si>
  <si>
    <t xml:space="preserve">IOF no periodo </t>
  </si>
  <si>
    <t>Cheque - AS-000204 - Oficina Echo</t>
  </si>
  <si>
    <t>Restaurante Rong Hee</t>
  </si>
  <si>
    <t xml:space="preserve">Estacionamento no rabaçho </t>
  </si>
  <si>
    <t>Net Fone - Serviços eventuais</t>
  </si>
  <si>
    <t>Aluguel:Seguro Fiança (01/11)</t>
  </si>
  <si>
    <t>Revista Mundo Estranho de Ocultisms</t>
  </si>
  <si>
    <t xml:space="preserve">Revisa Mondo Estrenho </t>
  </si>
  <si>
    <t>Cristiane:Iphone 5S</t>
  </si>
  <si>
    <t>Trabalho: Café de Tarde</t>
  </si>
  <si>
    <t>Café da Terde no Xhoppings</t>
  </si>
  <si>
    <t>Estacionamento no trabalho</t>
  </si>
  <si>
    <t xml:space="preserve">Automotivo: Ituran Echo </t>
  </si>
  <si>
    <t xml:space="preserve">Automotivo: Seguro Peugeot 2015/2016 (03/04) </t>
  </si>
  <si>
    <t>EloletroPaulo</t>
  </si>
  <si>
    <t xml:space="preserve"> Dezembro / 2015</t>
  </si>
  <si>
    <t xml:space="preserve">Exame ultrason doppler + utina + sangue do Sebastian </t>
  </si>
  <si>
    <t xml:space="preserve">Consulta Veterinaria + soro </t>
  </si>
  <si>
    <t>ItauVisa da Cristiane</t>
  </si>
  <si>
    <t>ScrapDiary</t>
  </si>
  <si>
    <t>Iptu (0/0)</t>
  </si>
  <si>
    <t>13º Salario</t>
  </si>
  <si>
    <t>Pasteis do Treveo de Bertioga</t>
  </si>
  <si>
    <t>Fatura Telefonica da TIM</t>
  </si>
  <si>
    <t>Gravador DVD/CD externo pro notebuqui</t>
  </si>
  <si>
    <t xml:space="preserve">Automotivo: Seguro Peugeot 2015/2016 (04/04) </t>
  </si>
  <si>
    <t>Artigos Esotéricos</t>
  </si>
  <si>
    <t>SUKIYA</t>
  </si>
  <si>
    <t>Presente para a Acupunturistas</t>
  </si>
  <si>
    <t>óleo de cocô</t>
  </si>
  <si>
    <t>Lixa de pés</t>
  </si>
  <si>
    <t xml:space="preserve"> Janeiro / 2016</t>
  </si>
  <si>
    <t>SanTander Visa</t>
  </si>
  <si>
    <t>Condominio do mês</t>
  </si>
  <si>
    <t>Pasteis do trevo de bertiogas</t>
  </si>
  <si>
    <t>Colore Pedraria</t>
  </si>
  <si>
    <t>IPVA da echoSport GGM4</t>
  </si>
  <si>
    <t>Transferencia para a Terapeuta</t>
  </si>
  <si>
    <t xml:space="preserve">DEVDOC864896 13/01 MOT57 </t>
  </si>
  <si>
    <t>Ipva do Pejô GGM3</t>
  </si>
  <si>
    <t>Pastel do trevo de bertioga</t>
  </si>
  <si>
    <t>Automotivo: Ituran EchoSport GGM4</t>
  </si>
  <si>
    <t>Anuidade do Crea-DF</t>
  </si>
  <si>
    <t>Estorno do SINDPD</t>
  </si>
  <si>
    <t>Coxinha do chefe</t>
  </si>
  <si>
    <t>Arquivos secretos de Nazismo Estérico</t>
  </si>
  <si>
    <t>Baterias do brinquedo da cristiane</t>
  </si>
  <si>
    <t xml:space="preserve"> Fevereiro / 2016</t>
  </si>
  <si>
    <t>Pagamento Fatura Itau Visa</t>
  </si>
  <si>
    <t>Pagamento para a cibele</t>
  </si>
  <si>
    <t>Health Place</t>
  </si>
  <si>
    <t>Academia Health Place</t>
  </si>
  <si>
    <t xml:space="preserve">Estacionamento NTT </t>
  </si>
  <si>
    <t>Restade de poupança</t>
  </si>
  <si>
    <t>Tarot: Pamela Colman Smith Commemorative Set</t>
  </si>
  <si>
    <t xml:space="preserve"> Março  2016</t>
  </si>
  <si>
    <t>Pagamento de fatura ItauVisa</t>
  </si>
  <si>
    <t>Pagamento de itens de patins</t>
  </si>
  <si>
    <t>Kapyrotagya: Filiação A.M.O.R.C.</t>
  </si>
  <si>
    <t>DOC Devolvido motivo 57</t>
  </si>
  <si>
    <t>DOC para Pagamento de itens de patins</t>
  </si>
  <si>
    <t>Cheque - AA-000205 - exame de reciclagem de CNH</t>
  </si>
  <si>
    <t>DOC DEVOLVIDO MOT 57</t>
  </si>
  <si>
    <t>Trabalho: Salgado do Algfarres</t>
  </si>
  <si>
    <t>camiseta de patins</t>
  </si>
  <si>
    <t>coisas de patins</t>
  </si>
  <si>
    <t>EleroPaulo</t>
  </si>
  <si>
    <t>Automotivo: Ituran Echosport</t>
  </si>
  <si>
    <t xml:space="preserve"> Abril / 2016</t>
  </si>
  <si>
    <t>Ferramenta de Scrapbookings</t>
  </si>
  <si>
    <t>Pastéis da Feira</t>
  </si>
  <si>
    <t>lanche no Shopping de SCS</t>
  </si>
  <si>
    <t>cóquinha e batatas fritas de cinemas</t>
  </si>
  <si>
    <t>Under The Roses Lenormand</t>
  </si>
  <si>
    <t>Tarot: The New Palladini Tarot</t>
  </si>
  <si>
    <t>Cóquinha da Americanas</t>
  </si>
  <si>
    <t>Pesteis de Bertiogas</t>
  </si>
  <si>
    <t>Cheque - AA-000206 - Mais conserto do Pejô</t>
  </si>
  <si>
    <t>Nota Fiscal Paulista</t>
  </si>
  <si>
    <t>No curso e AlfpaBeit do Mercelo</t>
  </si>
  <si>
    <t xml:space="preserve">Automotivo: Ituran echo </t>
  </si>
  <si>
    <t>Trabalho: Pães de Méis</t>
  </si>
  <si>
    <t>Estacionamento na  Via Funchau</t>
  </si>
  <si>
    <t>EletroPauoo</t>
  </si>
  <si>
    <t>Iniciação à caballa</t>
  </si>
  <si>
    <t xml:space="preserve"> Maio / 2016</t>
  </si>
  <si>
    <t>Cheque - AA-000207 - Clinica da Pscologa</t>
  </si>
  <si>
    <t>Condominio de Maiô</t>
  </si>
  <si>
    <t>The Burguer MAP´s</t>
  </si>
  <si>
    <t>Pasteis de Bertioga´s</t>
  </si>
  <si>
    <t>Cheque - AA-000208 - Clinica da Pscologa</t>
  </si>
  <si>
    <t>Do SanTAnDer</t>
  </si>
  <si>
    <t>Estacionamento no pisicologia</t>
  </si>
  <si>
    <t>Cheque - AA-000210 - Clinica da Pscologa</t>
  </si>
  <si>
    <t xml:space="preserve"> Junho / 2016</t>
  </si>
  <si>
    <t>Conserto da MagicCat</t>
  </si>
  <si>
    <t>Cheque - AA-000209 - Clinica da Pscologa</t>
  </si>
  <si>
    <t>Liscenciament Pejo</t>
  </si>
  <si>
    <t>Liscenciamento Echo</t>
  </si>
  <si>
    <t>Da Caixa</t>
  </si>
  <si>
    <t xml:space="preserve"> Julho / 2016</t>
  </si>
  <si>
    <t>Juros até o periodo</t>
  </si>
  <si>
    <t xml:space="preserve"> Agosto / 2016</t>
  </si>
  <si>
    <t xml:space="preserve"> Setembro / 2016</t>
  </si>
  <si>
    <t xml:space="preserve"> Outubro / 2016</t>
  </si>
  <si>
    <t xml:space="preserve"> Novembro / 2016</t>
  </si>
  <si>
    <t>Restitição do IR 2016</t>
  </si>
  <si>
    <t>Aplicação de invertimentos</t>
  </si>
  <si>
    <t>Reserva no hotel de Los Roques</t>
  </si>
  <si>
    <t>Aulas de Patinetes</t>
  </si>
  <si>
    <t xml:space="preserve">Dezembro / 2016 </t>
  </si>
  <si>
    <t xml:space="preserve">tarifa Manut. Conta Nov/2016 </t>
  </si>
  <si>
    <t>Para o sanhtander</t>
  </si>
  <si>
    <t xml:space="preserve">Novembro / 2019 </t>
  </si>
  <si>
    <t>Deposito do Haathner para o BeteWiliam Heitor/Bia</t>
  </si>
  <si>
    <t>Beneficios mês Global Hitss</t>
  </si>
  <si>
    <t>Rec. Salario Proprocional Global Hitss</t>
  </si>
  <si>
    <t>Trabalho: Augustu´s</t>
  </si>
  <si>
    <t>Gripes diversas</t>
  </si>
  <si>
    <t>Enel</t>
  </si>
  <si>
    <t>Trabalho: Jeti´s</t>
  </si>
  <si>
    <t>Supe Pizza, PAM!</t>
  </si>
  <si>
    <t xml:space="preserve">Padaria VR Novo Conceito </t>
  </si>
  <si>
    <t>Demokrata´s</t>
  </si>
  <si>
    <t>Dezembro /2019</t>
  </si>
  <si>
    <t>Trabalho: Café de manha na padocas</t>
  </si>
  <si>
    <t>Fatura Digio Visa</t>
  </si>
  <si>
    <t>Fatura Nubank Master</t>
  </si>
  <si>
    <t>Fatura Trigg Master</t>
  </si>
  <si>
    <t>Fatura CrediCared Master</t>
  </si>
  <si>
    <t>Trabalho: Tipo Premiums</t>
  </si>
  <si>
    <t>Trabalho: Para o dia</t>
  </si>
  <si>
    <t>Trabalho: Cafés</t>
  </si>
  <si>
    <t>Maçonaria: McTrash</t>
  </si>
  <si>
    <t>Trabalho: Café de manhas</t>
  </si>
  <si>
    <t>REND PAGO APLIC AUT APR</t>
  </si>
  <si>
    <t>Trabalho: Almoço divinu´s</t>
  </si>
  <si>
    <t>Trabalho: Vafés</t>
  </si>
  <si>
    <t>Trabalho: Café de tardes</t>
  </si>
  <si>
    <t>Trabalho: Almoço na padoca</t>
  </si>
  <si>
    <t>Trabalho: UnderTables</t>
  </si>
  <si>
    <t xml:space="preserve">Trabalho: O Verdinho </t>
  </si>
  <si>
    <t xml:space="preserve">Sodiê Docês </t>
  </si>
  <si>
    <t>Lavagem do pejô</t>
  </si>
  <si>
    <t>Soro |fisiologico</t>
  </si>
  <si>
    <t>Trabalho: café na padoca</t>
  </si>
  <si>
    <t>Aradois 50mg</t>
  </si>
  <si>
    <t>Trabalho: Café de manhas na padoca</t>
  </si>
  <si>
    <t>Trabalho: cafés</t>
  </si>
  <si>
    <t>Kit de livros maçom profurlan</t>
  </si>
  <si>
    <t>Livro de aprendiz maçom do Amilcar</t>
  </si>
  <si>
    <t>Deposito do Alvinho pro William</t>
  </si>
  <si>
    <t>Par o Wilian tratar das crianças</t>
  </si>
  <si>
    <t>Do Altierie</t>
  </si>
  <si>
    <t>DOC do Vantuir</t>
  </si>
  <si>
    <t xml:space="preserve">TBI do Poaulinho </t>
  </si>
  <si>
    <t>YBI Ulisses</t>
  </si>
  <si>
    <t xml:space="preserve">Pasteis na feira </t>
  </si>
  <si>
    <t>cóqueinha na feira</t>
  </si>
  <si>
    <t>Sorvetes Goutmetes</t>
  </si>
  <si>
    <t>Sistema Sem Parar - estacionamento: Peugeot 208</t>
  </si>
  <si>
    <t>Fatura da Claro Cristiane</t>
  </si>
  <si>
    <t>Fatura da Claro luiz</t>
  </si>
  <si>
    <t>Contribuição Mensal - Dezembro/2019</t>
  </si>
  <si>
    <t>Café perto do escritorio do fabio</t>
  </si>
  <si>
    <t>Sodie Sobremesas</t>
  </si>
  <si>
    <t xml:space="preserve">2ª Parcela 13º Salario </t>
  </si>
  <si>
    <t>Silica de coco de gatos</t>
  </si>
  <si>
    <t>PaSTEIS NA FEIRA</t>
  </si>
  <si>
    <t>Cóquinha na feira</t>
  </si>
  <si>
    <t>Sorvete pra alegrar a alma</t>
  </si>
  <si>
    <t>Johnny Rockets</t>
  </si>
  <si>
    <t xml:space="preserve">Buscopam generico composto </t>
  </si>
  <si>
    <t>Trabalho: Bolo da tarde</t>
  </si>
  <si>
    <t>Paccocca´s VR´s a ultima VEZ</t>
  </si>
  <si>
    <t>plastico bole e canetas</t>
  </si>
  <si>
    <t>Barba e cabelo</t>
  </si>
  <si>
    <t xml:space="preserve">Assentos de privadas </t>
  </si>
  <si>
    <t xml:space="preserve">O Boteco </t>
  </si>
  <si>
    <t>Para a mudança</t>
  </si>
  <si>
    <t>Lanche para a mudança</t>
  </si>
  <si>
    <t>Enel da Uruguauana</t>
  </si>
  <si>
    <t>Coop de SCS</t>
  </si>
  <si>
    <t>Janeiro /2020</t>
  </si>
  <si>
    <t>Symbicort 12/400 e ante alergicos</t>
  </si>
  <si>
    <t>Fatura Santander Master</t>
  </si>
  <si>
    <t>Fatura Trigg Visa</t>
  </si>
  <si>
    <t>Fatura Credicard Master</t>
  </si>
  <si>
    <t>Tarifa comunicação digital (???)</t>
  </si>
  <si>
    <t>Remedios para a colica de vesicula biliar</t>
  </si>
  <si>
    <t>Condominio Carajas Janeiro/2020</t>
  </si>
  <si>
    <t xml:space="preserve">Coisas de casa nova na C&amp;C </t>
  </si>
  <si>
    <t>Ataque dos Titãs Nº 28</t>
  </si>
  <si>
    <t>Cabo novo do multimetro e teste de tomadas</t>
  </si>
  <si>
    <t>remédios e antibióticos</t>
  </si>
  <si>
    <t>Estacionamento no centreo para cancelar o santander</t>
  </si>
  <si>
    <t>Nagumo´s A ultima vez - Será???</t>
  </si>
  <si>
    <t xml:space="preserve">Maçonaria: Lavagem do Terno </t>
  </si>
  <si>
    <t>Roupas para casamentos de Peruas</t>
  </si>
  <si>
    <t>Artrovastatina e coisas de azias</t>
  </si>
  <si>
    <t>O Cruzeiro´s B.A.R.s</t>
  </si>
  <si>
    <t>Band-Aids</t>
  </si>
  <si>
    <t>estacionamento no sorvetes</t>
  </si>
  <si>
    <t>Coop São Caetano do Sul</t>
  </si>
  <si>
    <t>Rong HE Liberade</t>
  </si>
  <si>
    <t>Na Liberdade</t>
  </si>
  <si>
    <t>Chaves do Ap da tietê</t>
  </si>
  <si>
    <t>CloudWA*d</t>
  </si>
  <si>
    <t>Contribuição Mensal - Janeiro/2020</t>
  </si>
  <si>
    <t>Coisas no armarrinhos fernandos</t>
  </si>
  <si>
    <t>Mega Press ???</t>
  </si>
  <si>
    <t>Mais tomadas e ferramentas na C&amp;C do Shopping</t>
  </si>
  <si>
    <t>Papeis para embalar coisas de correios</t>
  </si>
  <si>
    <t>The Johnny Rockets</t>
  </si>
  <si>
    <t>CoffeeHolic 418</t>
  </si>
  <si>
    <t xml:space="preserve">Estacionamento no Brasil Clinica Hospital </t>
  </si>
  <si>
    <t>Aluguel BS House + Taxas (01/12)</t>
  </si>
  <si>
    <t>SEMASA - Agua Potavel</t>
  </si>
  <si>
    <t>TX de Coleta de Esgoto Municipal</t>
  </si>
  <si>
    <t xml:space="preserve">Taxa de Boleto </t>
  </si>
  <si>
    <t>IPTU Del Piano (01/12)</t>
  </si>
  <si>
    <t>Condominio Del Piano</t>
  </si>
  <si>
    <t>Fatura Enel da Uruguaiana - a ultima</t>
  </si>
  <si>
    <t>Remedio de pressao e coisas da cristiane</t>
  </si>
  <si>
    <t xml:space="preserve">Coop SCS </t>
  </si>
  <si>
    <t xml:space="preserve">Taxa de Pintura completa da Uruguaiana 335 Ap 72 </t>
  </si>
  <si>
    <t xml:space="preserve">Etualla Cabeleireiros </t>
  </si>
  <si>
    <t xml:space="preserve">enviar pedestal para o Walter fazer </t>
  </si>
  <si>
    <t>Enviar os baralhos do emanuel</t>
  </si>
  <si>
    <t>Areias de coco de gatos</t>
  </si>
  <si>
    <t>O cruzeiro´s B.A.R.s</t>
  </si>
  <si>
    <t>Parafusos para a privada do quarto</t>
  </si>
  <si>
    <t>Let´s Burgues SCS</t>
  </si>
  <si>
    <t>Silicas de cocô de gatôs</t>
  </si>
  <si>
    <t>conserto do vaso sanitario e do tanque da cozinha</t>
  </si>
  <si>
    <t>Para p Dr. Murilo para pagar o Instrumentista</t>
  </si>
  <si>
    <t>Fevereiro /2020</t>
  </si>
  <si>
    <t>Lampadas, tapetes, buchas e coisas diversas na C&amp;C</t>
  </si>
  <si>
    <t>Maquininha de lixar unhas</t>
  </si>
  <si>
    <t>Symbicort 12/400, pomada de dor e coisas de dor de cabeça</t>
  </si>
  <si>
    <t>fatura Nubank Master</t>
  </si>
  <si>
    <t>Lanche no hospital</t>
  </si>
  <si>
    <t>Rações diversas</t>
  </si>
  <si>
    <t>Nova consulta de RH e esotérica com o JC Petronilho</t>
  </si>
  <si>
    <t>Adesivos diversos</t>
  </si>
  <si>
    <t xml:space="preserve"> TAR COMUNICACAO DIGITAL</t>
  </si>
  <si>
    <t>LIS + Juros</t>
  </si>
  <si>
    <t>Materiais de curativos</t>
  </si>
  <si>
    <t>curativos diversos]</t>
  </si>
  <si>
    <t>blusinhas de KDMia</t>
  </si>
  <si>
    <t>Curativos e remedios de estomago</t>
  </si>
  <si>
    <t>Mais gaveteiros para o quarto</t>
  </si>
  <si>
    <t>Gaz de cozinha do mês</t>
  </si>
  <si>
    <t>Materiais para constrir prateleiras na Leroy Merlin</t>
  </si>
  <si>
    <t>Café na ENEL</t>
  </si>
  <si>
    <t>Baterias do relogi Swatch</t>
  </si>
  <si>
    <t>diferenças parafusos C&amp;C</t>
  </si>
  <si>
    <t xml:space="preserve">Novo filtro de linha para o quarto </t>
  </si>
  <si>
    <t>Banri na liberdade</t>
  </si>
  <si>
    <t>Agua mineral na liberdade</t>
  </si>
  <si>
    <t>estacionamento na liberdade</t>
  </si>
  <si>
    <t>Paes de cafes de tarde</t>
  </si>
  <si>
    <t xml:space="preserve">Contribuição Mensal - Fevereiro / 2020 </t>
  </si>
  <si>
    <t>Estacionamento no médico de estomagos</t>
  </si>
  <si>
    <t>almoço no buteco perto de casa</t>
  </si>
  <si>
    <t>Adaptador AV2HDMI</t>
  </si>
  <si>
    <t>Caixas cestos de coisas diversas</t>
  </si>
  <si>
    <t xml:space="preserve">Varões de cortinas </t>
  </si>
  <si>
    <t>Coop diversas</t>
  </si>
  <si>
    <t xml:space="preserve">Varios discos em vinil </t>
  </si>
  <si>
    <t>Produtos de cremes no mercado livre</t>
  </si>
  <si>
    <t>Dobradiças da vitrola no Mercado Livre</t>
  </si>
  <si>
    <t>Credito da NFP</t>
  </si>
  <si>
    <t>Bolo da tarde pra alegrar a galera</t>
  </si>
  <si>
    <t>Aluguel BS House + Taxas (02/12)</t>
  </si>
  <si>
    <t>IPTU Del Piano (02/12)</t>
  </si>
  <si>
    <t>Seguro Incêncio - Parcela Única</t>
  </si>
  <si>
    <t xml:space="preserve">Trabalho: Café da Tarde </t>
  </si>
  <si>
    <t>Trabalho: Under Table</t>
  </si>
  <si>
    <t>O Rodoserves</t>
  </si>
  <si>
    <t>Trabalho: Sobre a Mesa</t>
  </si>
  <si>
    <t>Trabalho: Under Tablet</t>
  </si>
  <si>
    <t>Trabalho: Café de Tarder</t>
  </si>
  <si>
    <t>Revelar fotos diversas</t>
  </si>
  <si>
    <t xml:space="preserve">estacionamento no centro </t>
  </si>
  <si>
    <t>Março /2020</t>
  </si>
  <si>
    <t>Pilhas para o afinador KORG GA-30</t>
  </si>
  <si>
    <t>Kit palhetas do Iron Maiden pro Ratala</t>
  </si>
  <si>
    <t>Encargos de IOFs</t>
  </si>
  <si>
    <t>Epocler, eno e tylenols</t>
  </si>
  <si>
    <t>Fatura ComGás</t>
  </si>
  <si>
    <t xml:space="preserve">2x Multas do Pejô dem Set/2019 (Pagar pelo itau) </t>
  </si>
  <si>
    <t xml:space="preserve">MercadoLIvre: e encordamentos + pedestal </t>
  </si>
  <si>
    <t>Pada diversos</t>
  </si>
  <si>
    <t>Lavagem dos tapetes</t>
  </si>
  <si>
    <t>Ervas para banhos</t>
  </si>
  <si>
    <t>Sabonetes mágicos</t>
  </si>
  <si>
    <t>Hamburgue na paulistas</t>
  </si>
  <si>
    <t>Sí Senõr</t>
  </si>
  <si>
    <t>Café no shopping cacau de shows</t>
  </si>
  <si>
    <t>Geladeira Eletrolux DF46 Celebreate</t>
  </si>
  <si>
    <t>Pagar IPVA da Echo - Ultima chance</t>
  </si>
  <si>
    <t>O Sukyia do centro</t>
  </si>
  <si>
    <t>Mais dois varões de cortinas</t>
  </si>
  <si>
    <t>Areia de cocô de gatos</t>
  </si>
  <si>
    <t>Sodiê docês</t>
  </si>
  <si>
    <t>Supermercados COOPs</t>
  </si>
  <si>
    <t xml:space="preserve">Contribuição Mensal - Março / 2020 </t>
  </si>
  <si>
    <t>Aluguel BS House + Taxas (03/12)</t>
  </si>
  <si>
    <t>IPTU Del Piano (03/12)</t>
  </si>
  <si>
    <t>Enel de dez/2019 à Mar/2020</t>
  </si>
  <si>
    <t>Abril /2020</t>
  </si>
  <si>
    <t>Aradois 50mg + Artorvastatina + lisador + coisas diversas</t>
  </si>
  <si>
    <t>Lasagnas, coxinhas e coisas de café de tarrde</t>
  </si>
  <si>
    <t xml:space="preserve">ADIANT.DEPOSITANTE 01/04 </t>
  </si>
  <si>
    <t>Acerto final da GlobalHitss</t>
  </si>
  <si>
    <t>Fatura Comgáz Março 2020</t>
  </si>
  <si>
    <t xml:space="preserve">Silica areia e saches </t>
  </si>
  <si>
    <t>Silica, ração e novo banheiro</t>
  </si>
  <si>
    <t>HomeOffice: Toner de impressora Brother HL1212W TN1060</t>
  </si>
  <si>
    <t xml:space="preserve">Contribuição Mensal - Abril / 2020 </t>
  </si>
  <si>
    <t xml:space="preserve">O Dia %% </t>
  </si>
  <si>
    <t>Aluguel BS House + Taxas (04/12)</t>
  </si>
  <si>
    <t>IPTU Del Piano (04/12)</t>
  </si>
  <si>
    <t xml:space="preserve">Tylenol + Anti Inflamatório </t>
  </si>
  <si>
    <t>Enel de Março/2020 à Abril/2020</t>
  </si>
  <si>
    <t>Kalunga: Suporte Note + Fone Ouvido</t>
  </si>
  <si>
    <t>HomeOffice: Kalunga: Caixa Som Rustica</t>
  </si>
  <si>
    <t>Lampadas, colas e pregos</t>
  </si>
  <si>
    <t>A Coop de SCS</t>
  </si>
  <si>
    <t>Raçao de Gatos</t>
  </si>
  <si>
    <t>Maio /2020</t>
  </si>
  <si>
    <t>O Dia %%</t>
  </si>
  <si>
    <t>Burguer Kiguios BK41</t>
  </si>
  <si>
    <t>Juros Adiant depositanye</t>
  </si>
  <si>
    <t>Brasart HCT 160/12,5 mg + Sinvastatina 10MG</t>
  </si>
  <si>
    <t>FGTS da Hitss (01/02</t>
  </si>
  <si>
    <t>FGTS da Hitss (02/02)</t>
  </si>
  <si>
    <t>Comparini Pizzaria</t>
  </si>
  <si>
    <t>Marmitex em casa</t>
  </si>
  <si>
    <t xml:space="preserve">Chave Dijuntor C70 +  Grafiete em pó </t>
  </si>
  <si>
    <t>Cheque - UA-000001 - Conserto da máquina de lavar</t>
  </si>
  <si>
    <t xml:space="preserve">Padoca VR´s </t>
  </si>
  <si>
    <t>Coisas de cabelo no mercado livre</t>
  </si>
  <si>
    <t>Velas, Lampadas e chocolates</t>
  </si>
  <si>
    <t xml:space="preserve">Maçonaria - Contribuição Mensal - Maio  / 2020 </t>
  </si>
  <si>
    <t>Coop SCS</t>
  </si>
  <si>
    <t>Symbicort 12/400 + remedios de azia e estomagos</t>
  </si>
  <si>
    <t>Aluguel BS House + Taxas (05/12)</t>
  </si>
  <si>
    <t>IPTU Del Piano (05/12)</t>
  </si>
  <si>
    <t>Ataque dos Titãs Nº 29</t>
  </si>
  <si>
    <t>Enel Maio/2020</t>
  </si>
  <si>
    <t>Areia de Coco e mato de Vomitar</t>
  </si>
  <si>
    <t xml:space="preserve">Manutenção da SG com o ASLuthier </t>
  </si>
  <si>
    <t>Coffe Holic Torras de sobremesas</t>
  </si>
  <si>
    <t xml:space="preserve">Case BAG para a SG + DUAS palhetas </t>
  </si>
  <si>
    <t>MarMiTex Em Casa</t>
  </si>
  <si>
    <t>TED da CEF (???)</t>
  </si>
  <si>
    <t>A Paccocca´s VR´s</t>
  </si>
  <si>
    <t>Junho /2020</t>
  </si>
  <si>
    <t xml:space="preserve">Fatura Comgas - Maio/Junho </t>
  </si>
  <si>
    <t>Boleto do curso de Guitarras</t>
  </si>
  <si>
    <t>Tar. Com. Digital</t>
  </si>
  <si>
    <t>Oba HortFuit</t>
  </si>
  <si>
    <t>Paccocca´s VR`s</t>
  </si>
  <si>
    <t>Juros acumulados do periodo</t>
  </si>
  <si>
    <t>Colesterol + Analgésicos</t>
  </si>
  <si>
    <t>O Rei das Marmitas</t>
  </si>
  <si>
    <t>Coop do centro</t>
  </si>
  <si>
    <t>Bateria Heliar</t>
  </si>
  <si>
    <t>Maçonaria - Contribuição Mensal - Junho / 2020</t>
  </si>
  <si>
    <t>Busonid</t>
  </si>
  <si>
    <t>No Pejô GGM5</t>
  </si>
  <si>
    <t>O Rei das Marmitas Primu´s B.A.R.s</t>
  </si>
  <si>
    <t>Aluguel BS House + Taxas (06/12)</t>
  </si>
  <si>
    <t>IPTU Del Piano (06/12)</t>
  </si>
  <si>
    <t>Enel Junho/2020</t>
  </si>
  <si>
    <t>SeboPoesia: O PerfuraNeves / The SnowPiercer</t>
  </si>
  <si>
    <t>Sacolão OBA</t>
  </si>
  <si>
    <t xml:space="preserve">Madeiro´s </t>
  </si>
  <si>
    <t>Coop do centro de AS</t>
  </si>
  <si>
    <t>GomGás de julho</t>
  </si>
  <si>
    <t xml:space="preserve">Julho / 2020 </t>
  </si>
  <si>
    <t>Parcela Som Echo (01/03)</t>
  </si>
  <si>
    <t>Burguers Kinguios</t>
  </si>
  <si>
    <t>A paccocca´s VR´s</t>
  </si>
  <si>
    <t>Primu´s B.A.R.'s O Rei das Marmitas</t>
  </si>
  <si>
    <t>Cartão de memória para o som da EchoSport</t>
  </si>
  <si>
    <t>Brasart HCT 160/12 MG + Artrovastatina 10MG</t>
  </si>
  <si>
    <t>Café da Sodie doces</t>
  </si>
  <si>
    <t>Pelicula do iphone</t>
  </si>
  <si>
    <t>Pelicula do iphone + campinha nova</t>
  </si>
  <si>
    <t>Fone de ouvido de dar aulas</t>
  </si>
  <si>
    <t>Velas de 7 dias</t>
  </si>
  <si>
    <t>Instalação de SOM, troca de lampadas, camera de ré</t>
  </si>
  <si>
    <t>FGTS da Global Hitts</t>
  </si>
  <si>
    <t>Cabo P3 macho p2 imp femea</t>
  </si>
  <si>
    <t>Bolo em casa</t>
  </si>
  <si>
    <t>Feijoda do Primus B.A.R.s O Rei das MarMiTas</t>
  </si>
  <si>
    <t>The Burgues Kinguios</t>
  </si>
  <si>
    <t>Ração de gatos</t>
  </si>
  <si>
    <t>Paccocca´s V.R.s</t>
  </si>
  <si>
    <t>Bosonid + Azia + pós Barbas</t>
  </si>
  <si>
    <t>Post Its e cabos</t>
  </si>
  <si>
    <t>Saque para a agua</t>
  </si>
  <si>
    <t>Maçonaria - Contribuição Mensal - Julho / 2020</t>
  </si>
  <si>
    <t>Simbolika: The Eortic Fantasy Tarot</t>
  </si>
  <si>
    <t>Areia de cocô de Gato</t>
  </si>
  <si>
    <t>Cabo de iphone Gorila Shield</t>
  </si>
  <si>
    <t>Aluguel BS House + Taxas (07/12)</t>
  </si>
  <si>
    <t>IPTU Del Piano (07/12)</t>
  </si>
  <si>
    <t>Conserto do Som PANASONIC</t>
  </si>
  <si>
    <t>Chocolates diversos</t>
  </si>
  <si>
    <t xml:space="preserve">panelas de pressão </t>
  </si>
  <si>
    <t>Lavagem do Pejô GGM5</t>
  </si>
  <si>
    <t>Enel Julho/2020</t>
  </si>
  <si>
    <t>Barbeador na Ikesaki</t>
  </si>
  <si>
    <t>Almoço no centro KiDelicy</t>
  </si>
  <si>
    <t xml:space="preserve">Armarinhos Fernandos </t>
  </si>
  <si>
    <t>A casa de Coisas fitness</t>
  </si>
  <si>
    <t>Botequim de Santo André</t>
  </si>
  <si>
    <t>Alcool isopropilico em Spray</t>
  </si>
  <si>
    <t>Correios envios do bateman Selencio</t>
  </si>
  <si>
    <t>Mais portas-coisas no armarinhos do fernandos</t>
  </si>
  <si>
    <t>Magic: The Gatering - Duel Deck - Speed vs Cunning</t>
  </si>
  <si>
    <t>Frete de enciclopédia de Tarot</t>
  </si>
  <si>
    <t>Envio de Deck De magick</t>
  </si>
  <si>
    <t>O extra do Shopping Plaza</t>
  </si>
  <si>
    <t>Johnny rockets Burgues</t>
  </si>
  <si>
    <t>Bolos da tarde.</t>
  </si>
  <si>
    <t>Palhetas Schultz</t>
  </si>
  <si>
    <t xml:space="preserve">Bolos da tarde </t>
  </si>
  <si>
    <t>coop DE scs</t>
  </si>
  <si>
    <t xml:space="preserve">Agosto / 2020 </t>
  </si>
  <si>
    <t>Fatura da ComGás</t>
  </si>
  <si>
    <t>Carregador de celular na Kalunga</t>
  </si>
  <si>
    <t xml:space="preserve">Pilhas e pézinhos de silicone </t>
  </si>
  <si>
    <t>Cones de patins</t>
  </si>
  <si>
    <t>Coisas de lanche de tarde na paccocca´s V.R.´s</t>
  </si>
  <si>
    <t xml:space="preserve">Grama de gatos </t>
  </si>
  <si>
    <t>Brasart HCT 160/12,5 + Artrovastatina</t>
  </si>
  <si>
    <t>Primus B.A.R.s o rei das Marmitas</t>
  </si>
  <si>
    <t>Software: McAffee 1 ano 3 devices</t>
  </si>
  <si>
    <t>Ataque dos Titãs Nº 30</t>
  </si>
  <si>
    <t xml:space="preserve">KI-Delici do centro </t>
  </si>
  <si>
    <t>HomeOffice: MousePad couro grande KryptoMen</t>
  </si>
  <si>
    <t>Pasta Capa Sleeve Notebook</t>
  </si>
  <si>
    <t>O DIA %%</t>
  </si>
  <si>
    <t>Bolinho da Tarde</t>
  </si>
  <si>
    <t>Restaurante da coop</t>
  </si>
  <si>
    <t>Cooop das coqueiros de Santo andré</t>
  </si>
  <si>
    <t xml:space="preserve">Lanche no centro </t>
  </si>
  <si>
    <t>Estacionamento Carinhoso - o do centro</t>
  </si>
  <si>
    <t>Maçonaria - Contribuição Mensal - Agosto / 2020</t>
  </si>
  <si>
    <t>gazzozza no pejô GGM5</t>
  </si>
  <si>
    <t>Symbicort 12/400, budecorte e azias</t>
  </si>
  <si>
    <t>The BK´s</t>
  </si>
  <si>
    <t xml:space="preserve">Lanche no Atriums </t>
  </si>
  <si>
    <t>Aluguel BS House + Taxas (08/12)</t>
  </si>
  <si>
    <t>IPTU Del Piano (08/12)</t>
  </si>
  <si>
    <t>Enel Agosto</t>
  </si>
  <si>
    <t>A Coop de Santo André</t>
  </si>
  <si>
    <t xml:space="preserve">Kharina do Mapping </t>
  </si>
  <si>
    <t>HomeOffice: Cabo de rede de 3Metros</t>
  </si>
  <si>
    <t>O Cruzeiros B.A.R.S</t>
  </si>
  <si>
    <t xml:space="preserve">HomeOffice: Almofada Pulso para mouse </t>
  </si>
  <si>
    <t xml:space="preserve">Sal e cozinha + Adocçante no Pao ed Açucar </t>
  </si>
  <si>
    <t>The Señor do Shopping SCS</t>
  </si>
  <si>
    <t>Gazzozza na Echosport</t>
  </si>
  <si>
    <t>The Habibies</t>
  </si>
  <si>
    <t xml:space="preserve">IRPF 2020 </t>
  </si>
  <si>
    <t xml:space="preserve">Setembro / 2020 </t>
  </si>
  <si>
    <t>COmGas</t>
  </si>
  <si>
    <t>A coop grandona</t>
  </si>
  <si>
    <t xml:space="preserve">Areias de coco </t>
  </si>
  <si>
    <t>TAR COMUNICACAO DIGITAL</t>
  </si>
  <si>
    <t>TAR PACOTE ITAU AGO/20</t>
  </si>
  <si>
    <t>Xampoos diversos</t>
  </si>
  <si>
    <t>Brasart HCT160/12mg</t>
  </si>
  <si>
    <t>Creme protetor solar da Adcos</t>
  </si>
  <si>
    <t xml:space="preserve">Coop de Santo andté </t>
  </si>
  <si>
    <t>Juros/LIS</t>
  </si>
  <si>
    <t>Resistência de Chuveiros</t>
  </si>
  <si>
    <t>Saque para água Minerao</t>
  </si>
  <si>
    <t xml:space="preserve">Coop de SCS </t>
  </si>
  <si>
    <t>Lanhe O Imperador no centro</t>
  </si>
  <si>
    <t xml:space="preserve">COOP de Santo André </t>
  </si>
  <si>
    <t>Areia de Cocô de gatos</t>
  </si>
  <si>
    <t>NovaCoop Atos</t>
  </si>
  <si>
    <t>Maçonaria - Contribuição Mensal - Setembro / 2020</t>
  </si>
  <si>
    <t>The burgues Kinguios</t>
  </si>
  <si>
    <t>Almoço nos Cruzeiros B.A.R.</t>
  </si>
  <si>
    <t>Cortar os cabelos da cabeças</t>
  </si>
  <si>
    <t>Maçonaria: Camisas Brancas Fatto a Manno</t>
  </si>
  <si>
    <t>Symbicort 12/400, Busonid Artrovastatina, azia e pinça</t>
  </si>
  <si>
    <t>KITs Máscaras</t>
  </si>
  <si>
    <t>Cervejas Madalenas pro Furlan</t>
  </si>
  <si>
    <t>gazzozza no pejo vermeio ggm5</t>
  </si>
  <si>
    <t>O KM 53</t>
  </si>
  <si>
    <t>A Camponesa</t>
  </si>
  <si>
    <t>Sal de fruta pro extomago</t>
  </si>
  <si>
    <t xml:space="preserve">O Maristela </t>
  </si>
  <si>
    <t>Aluguel BS House + Taxas (09/12)</t>
  </si>
  <si>
    <t>IPTU Del Piano (09/12)</t>
  </si>
  <si>
    <t>Enel Setembro</t>
  </si>
  <si>
    <t>Coop Santo andré, a grandona</t>
  </si>
  <si>
    <t>Glesp Tres Pontos</t>
  </si>
  <si>
    <t>Farmacias Diversas</t>
  </si>
  <si>
    <t xml:space="preserve">O Buteco Santo André </t>
  </si>
  <si>
    <t>Coope de Santo André</t>
  </si>
  <si>
    <t>Paes de pacocca´s</t>
  </si>
  <si>
    <t xml:space="preserve">Taco Bells no Coco </t>
  </si>
  <si>
    <t xml:space="preserve">Sushi da cristiane no coco </t>
  </si>
  <si>
    <t>Tenis Allstarst de oncinha no  Plaza</t>
  </si>
  <si>
    <t>Baterias Dcr2032 da cristiane</t>
  </si>
  <si>
    <t>Mesa de notebook da marabras</t>
  </si>
  <si>
    <t>ComGás</t>
  </si>
  <si>
    <t xml:space="preserve">Outubro / 2020 </t>
  </si>
  <si>
    <t>Coop de Santo andré</t>
  </si>
  <si>
    <t>Remedios de azias, Gastrite e refluxos</t>
  </si>
  <si>
    <t>Saque para a agua mineral</t>
  </si>
  <si>
    <t>TAR PACOTE ITAU SET/20</t>
  </si>
  <si>
    <t>Antialergico + busonids</t>
  </si>
  <si>
    <t>Creme Anti Rusgas</t>
  </si>
  <si>
    <t>Paes na padaria</t>
  </si>
  <si>
    <t>Docê Magia</t>
  </si>
  <si>
    <t xml:space="preserve">Documentos da Eco 2020 </t>
  </si>
  <si>
    <t>Documentos do Peugeot</t>
  </si>
  <si>
    <t>Ração e shamposs de banhos</t>
  </si>
  <si>
    <t>Brasart HCT 160/12,5 MG</t>
  </si>
  <si>
    <t>Bolo da Tarde</t>
  </si>
  <si>
    <t>Maçonaria: tres pontos</t>
  </si>
  <si>
    <t>Brows Burgues</t>
  </si>
  <si>
    <t>Capinha de telefone de iphone</t>
  </si>
  <si>
    <t>Paes de lanches</t>
  </si>
  <si>
    <t>O Rancho 53</t>
  </si>
  <si>
    <t>A campnesa</t>
  </si>
  <si>
    <t>Bebidas da cristiane</t>
  </si>
  <si>
    <t>O Maristelas</t>
  </si>
  <si>
    <t>Quitutes para o café da Tarde</t>
  </si>
  <si>
    <t>Lanche no São Caetano</t>
  </si>
  <si>
    <t>Coop Santo André</t>
  </si>
  <si>
    <t>Remedios diverrsos de queimaduras</t>
  </si>
  <si>
    <t>Envio de relogio e de mangá</t>
  </si>
  <si>
    <t>Pães de Queijos e bolos</t>
  </si>
  <si>
    <t>Thomas Case RH</t>
  </si>
  <si>
    <t>Maçonaria - Contribuição Mensal - Outubro / 2020</t>
  </si>
  <si>
    <t xml:space="preserve">Lavagem do motor </t>
  </si>
  <si>
    <t>The Star Burquês</t>
  </si>
  <si>
    <t>Dona Lina e Seu Luigi em SCS</t>
  </si>
  <si>
    <t>Aluguel BS House + Taxas (10/12)</t>
  </si>
  <si>
    <t>IPTU Del Piano (10/12)</t>
  </si>
  <si>
    <t>A coop</t>
  </si>
  <si>
    <t>Maçonaria: Estacionamento 3 pontos</t>
  </si>
  <si>
    <t>Maçonaria: Lanche na Glespe</t>
  </si>
  <si>
    <t>Symbicort 12/400 e Atrovastatina</t>
  </si>
  <si>
    <t>Xunxador de Busta</t>
  </si>
  <si>
    <t>ENEl de Outubro</t>
  </si>
  <si>
    <t>O P.R.I.M.U.S B.A.R.</t>
  </si>
  <si>
    <t xml:space="preserve">Resto de herança dos carlins </t>
  </si>
  <si>
    <t>O Taco Bells do Shopping plaza</t>
  </si>
  <si>
    <t>O Extra</t>
  </si>
  <si>
    <t>O Super Grill do Plaza</t>
  </si>
  <si>
    <t>Coisas da Daiso</t>
  </si>
  <si>
    <t>Máscaras pra Kdmias</t>
  </si>
  <si>
    <t>A Coop Santo andré</t>
  </si>
  <si>
    <t>Sinal de revisão relogio Citizen Sail Hawk</t>
  </si>
  <si>
    <t>The Old PUBs</t>
  </si>
  <si>
    <t>Kaharina do Shopping Mappim</t>
  </si>
  <si>
    <t>The Star Buques do Mapping</t>
  </si>
  <si>
    <t>Sí Señor shopping Metrópis</t>
  </si>
  <si>
    <t>Café no Shopping Metrópis</t>
  </si>
  <si>
    <t xml:space="preserve">Novembro / 2020 </t>
  </si>
  <si>
    <t>Jeronimo! Hamburgues</t>
  </si>
  <si>
    <t>Resgate fundo investimentos da XP Invest</t>
  </si>
  <si>
    <t>Fatura CrediCard Master</t>
  </si>
  <si>
    <t>ComGaz</t>
  </si>
  <si>
    <t>A Coops</t>
  </si>
  <si>
    <t>O Cruzeiros B.A.R.s</t>
  </si>
  <si>
    <t>Brasart HCT 160/12,5 MG + Busonid + diversos</t>
  </si>
  <si>
    <t>café no Shopping</t>
  </si>
  <si>
    <t>TAR PACOTE ITAU   OUT/20</t>
  </si>
  <si>
    <t>A coop de AS</t>
  </si>
  <si>
    <t>Seguro LIS Itau</t>
  </si>
  <si>
    <t>KI Delici do centro</t>
  </si>
  <si>
    <t xml:space="preserve">The Fifthies </t>
  </si>
  <si>
    <t>The MCDonalds</t>
  </si>
  <si>
    <t>Almoço no hospital</t>
  </si>
  <si>
    <t xml:space="preserve">Shampoos dimensions 3 em 1 </t>
  </si>
  <si>
    <t>Gazzozza no pejô GGM5</t>
  </si>
  <si>
    <t>Madero´s NURGUES</t>
  </si>
  <si>
    <t>a COOPR DE as</t>
  </si>
  <si>
    <t>Maçonaria - Contribuição Mensal - Novembro / 2020</t>
  </si>
  <si>
    <t>Triologia do Nei Naiff</t>
  </si>
  <si>
    <t>O Primus B.A.R.s</t>
  </si>
  <si>
    <t>Farmnácia diversas</t>
  </si>
  <si>
    <t>A Coopd de AS</t>
  </si>
  <si>
    <t>Aluguel BS House + Taxas (11/12)</t>
  </si>
  <si>
    <t>IPTU Del Piano (11/12)</t>
  </si>
  <si>
    <t>O Buteco Santo André</t>
  </si>
  <si>
    <t>Cabos I2Go</t>
  </si>
  <si>
    <t xml:space="preserve">Fatura da Enel de novembro </t>
  </si>
  <si>
    <t xml:space="preserve">Coop de São caetano </t>
  </si>
  <si>
    <t>Symbicort 12/400, Busonide, azias e dores de cabeças diversas</t>
  </si>
  <si>
    <t>Jeronimo Hamburgues</t>
  </si>
  <si>
    <t>Para ir para Piraju</t>
  </si>
  <si>
    <t>Remédio de Calmantes</t>
  </si>
  <si>
    <t>Sorvetes na Estação</t>
  </si>
  <si>
    <t>Gazoza no Pejô GGM5</t>
  </si>
  <si>
    <t xml:space="preserve">Dezembro / 2020 </t>
  </si>
  <si>
    <t>Revisão relogio Citizen Sail Hawk</t>
  </si>
  <si>
    <t>A Coop de AS</t>
  </si>
  <si>
    <t>REND PAGO APLIC AUT MAIS</t>
  </si>
  <si>
    <t>Máscaras anti-covif19 descartávies</t>
  </si>
  <si>
    <t>Silica ed coco de gatos</t>
  </si>
  <si>
    <t>DocÊs da Sodiê Dôces</t>
  </si>
  <si>
    <t>Bateria CR2025 de monitor cardiaco</t>
  </si>
  <si>
    <t>TAR PACOTE ITAU NOV/20</t>
  </si>
  <si>
    <t>A Coop de São caetanos</t>
  </si>
  <si>
    <t>Feijoadas do P.R.I.M.U.S b.a.r.S</t>
  </si>
  <si>
    <t>The Caverna Burgues</t>
  </si>
  <si>
    <t>Shabbabs</t>
  </si>
  <si>
    <t>Cortar os cabelos no centro</t>
  </si>
  <si>
    <t xml:space="preserve">A coop de santo andré </t>
  </si>
  <si>
    <t>Azias, dores de cabeças e afins</t>
  </si>
  <si>
    <t>SEGURO LIS ITAU 20120</t>
  </si>
  <si>
    <t xml:space="preserve">Cesta de natal de crianças </t>
  </si>
  <si>
    <t>Alomoço no shopping Plaza super Grill</t>
  </si>
  <si>
    <t>Ataque dos Titãs Nº 31</t>
  </si>
  <si>
    <t>Brasart HCT 160/12,5mg + Artrovastatina 10 mg</t>
  </si>
  <si>
    <t>Pino da pulseita do SailHawk</t>
  </si>
  <si>
    <t>Café no Shopping pós almoço</t>
  </si>
  <si>
    <t>O America Chique da Paulista</t>
  </si>
  <si>
    <t xml:space="preserve">Xiaomi Mi Band 5 </t>
  </si>
  <si>
    <t xml:space="preserve">o Dia %% </t>
  </si>
  <si>
    <t>Maçonaria - Contribuição Mensal - Dezembro / 2020</t>
  </si>
  <si>
    <t>A coop de Santo André</t>
  </si>
  <si>
    <t>Almoço no Cruzeiros B.A.R.s</t>
  </si>
  <si>
    <t>Meias e toalhas de Kdmias</t>
  </si>
  <si>
    <t>Pézinhos silicone Anti Impacto</t>
  </si>
  <si>
    <t>Café no shoppings</t>
  </si>
  <si>
    <t>O Buteco Santo Andté</t>
  </si>
  <si>
    <t>Café da Sodie no centro</t>
  </si>
  <si>
    <t xml:space="preserve">A coope de Santo andré </t>
  </si>
  <si>
    <t>Farmácia: Tylenol Sinus</t>
  </si>
  <si>
    <t>Aluguel BS House + Taxas (12/12)</t>
  </si>
  <si>
    <t>IPTU Del Piano (12/12)</t>
  </si>
  <si>
    <t xml:space="preserve">Fatura da Enel de Dezembro </t>
  </si>
  <si>
    <t>Grazzi napolie</t>
  </si>
  <si>
    <t>Madalenas para o furlan e a cibele</t>
  </si>
  <si>
    <t>Grama de comer</t>
  </si>
  <si>
    <t>Symbicort 12/400, buzonide e azias</t>
  </si>
  <si>
    <t>Areias, rações e diversos</t>
  </si>
  <si>
    <t>Gazzozza no pejo GGM5</t>
  </si>
  <si>
    <t>Lanche no rancho 53</t>
  </si>
  <si>
    <t>Bomba de encher boias</t>
  </si>
  <si>
    <t>Jogos de Unos</t>
  </si>
  <si>
    <t>Cremes de cabelos</t>
  </si>
  <si>
    <t>Cremes de bronzear</t>
  </si>
  <si>
    <t>Pilhas AA</t>
  </si>
  <si>
    <t>Pilhas AAA</t>
  </si>
  <si>
    <t>paccocca´s florenças Pirajus</t>
  </si>
  <si>
    <t xml:space="preserve">Xantinon B12 </t>
  </si>
  <si>
    <t>O Nicolau ferreira de Piraju</t>
  </si>
  <si>
    <t>cortar Cabelos</t>
  </si>
  <si>
    <t>Gengibres</t>
  </si>
  <si>
    <t>Cremes do Boticário´s</t>
  </si>
  <si>
    <t xml:space="preserve">2x chaveiros de Maçonaria em Piraju </t>
  </si>
  <si>
    <t>Roupas Praianas</t>
  </si>
  <si>
    <t>Coisas de Unhas</t>
  </si>
  <si>
    <t>Nicolau MAXs</t>
  </si>
  <si>
    <t xml:space="preserve">Alguma coisa que não sei o o que é </t>
  </si>
  <si>
    <t xml:space="preserve">Consertos das lampadas da sala </t>
  </si>
  <si>
    <t>Janeiro / 2021</t>
  </si>
  <si>
    <t>Cevejas no nicolau ferreiaras</t>
  </si>
  <si>
    <t xml:space="preserve">Olha a agua minreal </t>
  </si>
  <si>
    <t>Nova Victórya Chosmestiques</t>
  </si>
  <si>
    <t>Borsetinhas de celolares</t>
  </si>
  <si>
    <t>Tar Comunicação Digital</t>
  </si>
  <si>
    <t>Tar. Pacote Itau Dez/2020</t>
  </si>
  <si>
    <t>Gazolina no Pejô GGM5</t>
  </si>
  <si>
    <t>Lanches na estrada</t>
  </si>
  <si>
    <t>Pix.In: NuBank</t>
  </si>
  <si>
    <t>Juros Acumulados no periodo</t>
  </si>
  <si>
    <t>Remedios para dores de cabeças</t>
  </si>
  <si>
    <t>A Coop de São Caetano do Sul</t>
  </si>
  <si>
    <t>IPVA Peugeot 208 (01/03)</t>
  </si>
  <si>
    <t>Brasarth HCT  160/12,G mg</t>
  </si>
  <si>
    <t>Sodiê doces</t>
  </si>
  <si>
    <t>Maçonaria - Contribuição Mensal - Janeiro/2021</t>
  </si>
  <si>
    <t>Aluguel BS House + Taxas (01/30)</t>
  </si>
  <si>
    <t>IPTU Del Piano (01/30)</t>
  </si>
  <si>
    <t xml:space="preserve">deSTRO hq + 1 EDIÇÃO </t>
  </si>
  <si>
    <t>Paccocca´s Vrs</t>
  </si>
  <si>
    <t>Enel de Dez/2020 - Jan/2021</t>
  </si>
  <si>
    <t>Estacionamento na Larissa</t>
  </si>
  <si>
    <t xml:space="preserve">Rinosoro Infantil Spray </t>
  </si>
  <si>
    <t>coisas de cabelos e diversos</t>
  </si>
  <si>
    <t>A coop de santo andré</t>
  </si>
  <si>
    <t>Disagua agua mineral</t>
  </si>
  <si>
    <t>Soutiens diversos</t>
  </si>
  <si>
    <t>Castanhas diversas</t>
  </si>
  <si>
    <t>Lanches do P.R.I.M.U.s. B.A.R.</t>
  </si>
  <si>
    <t>A coop de São Caetano</t>
  </si>
  <si>
    <t xml:space="preserve">Sorvetes artesanais </t>
  </si>
  <si>
    <t>Sorvetes e mamões</t>
  </si>
  <si>
    <t>Fevereiro / 2021</t>
  </si>
  <si>
    <t>ComGaz de Fevereiro/2021</t>
  </si>
  <si>
    <t>Da XP Investimenbtos</t>
  </si>
  <si>
    <t>IOf</t>
  </si>
  <si>
    <t>Acoop de Santo André</t>
  </si>
  <si>
    <t>Tar. Pacote Itau Jan/2021</t>
  </si>
  <si>
    <t>Bolos dos Primos BARs</t>
  </si>
  <si>
    <t xml:space="preserve">A coop de São Caetano </t>
  </si>
  <si>
    <t>O Sukyia do cenro</t>
  </si>
  <si>
    <t>Remedios de dores de cabeças</t>
  </si>
  <si>
    <t>Coisas de Mulher</t>
  </si>
  <si>
    <t>Mercadim do Predio</t>
  </si>
  <si>
    <t>Clinica ProFem</t>
  </si>
  <si>
    <t>Estacionamento na clinica</t>
  </si>
  <si>
    <t>Jeronimos BUGUES</t>
  </si>
  <si>
    <t>SEGURO LIS ITAU 21020</t>
  </si>
  <si>
    <t>ifood: Pizza em casa</t>
  </si>
  <si>
    <t xml:space="preserve">Disagua agua mineral </t>
  </si>
  <si>
    <t>café no Mooca Shopoing</t>
  </si>
  <si>
    <t>The Maderos do Mooca Shoppins</t>
  </si>
  <si>
    <t>IPVA Peugeot 208 (02/03)</t>
  </si>
  <si>
    <t>Fatura Celular Vivo Telefonica</t>
  </si>
  <si>
    <t>Maçonaria - Contribuição Mensal - Fevereiro/2021</t>
  </si>
  <si>
    <t xml:space="preserve">The Johnny Rockets </t>
  </si>
  <si>
    <t>Brasarth HCT 160/2.5MG</t>
  </si>
  <si>
    <t>Artigos do SexShops</t>
  </si>
  <si>
    <t>o Kharina do Shopping Mapping</t>
  </si>
  <si>
    <t>Baterias e pilhas divresas</t>
  </si>
  <si>
    <t>Café de B.Len no Shopping Maping</t>
  </si>
  <si>
    <t>Coisas da Dayso Brasil</t>
  </si>
  <si>
    <t>Café de manha no centro</t>
  </si>
  <si>
    <t xml:space="preserve">coquinha e salgadinhos no predio </t>
  </si>
  <si>
    <t xml:space="preserve">Sí Señor do Shopping São caetano </t>
  </si>
  <si>
    <t>Café no Shopping São caetano</t>
  </si>
  <si>
    <t xml:space="preserve">Doce do Shopping são caetano </t>
  </si>
  <si>
    <t xml:space="preserve">Areia de coco de Gato </t>
  </si>
  <si>
    <t>Enel energia Eletricas</t>
  </si>
  <si>
    <t>Aluguel BS House + Taxas (02/30)</t>
  </si>
  <si>
    <t>IPTU Del Piano (02/30)</t>
  </si>
  <si>
    <t>Gazzozza no Pejo ggm5</t>
  </si>
  <si>
    <t>A coop de Santo andré</t>
  </si>
  <si>
    <t>Março / 2021</t>
  </si>
  <si>
    <t>PIX Do NuBank</t>
  </si>
  <si>
    <t>ComGaz de Março/2021</t>
  </si>
  <si>
    <t>Vaquinha pro presente do Goya</t>
  </si>
  <si>
    <t>Tar. Pacote Itau Fev2021</t>
  </si>
  <si>
    <t>Agua Mineral PIX</t>
  </si>
  <si>
    <t>Cafpe no Shoppings</t>
  </si>
  <si>
    <t>Symbicort 12/400, Budecorte e colesterol</t>
  </si>
  <si>
    <t xml:space="preserve">A coop de Santo André </t>
  </si>
  <si>
    <t>IOF lis/Juros</t>
  </si>
  <si>
    <t>Chocolocate no mercadinho do predio</t>
  </si>
  <si>
    <t>IPVA Echo 2021</t>
  </si>
  <si>
    <t>Doriflexes</t>
  </si>
  <si>
    <t xml:space="preserve">Gazozza Pejô </t>
  </si>
  <si>
    <t>a coop de santo Andté</t>
  </si>
  <si>
    <t>Taxa de Bulling do Correio - Casio Duro MDV-106</t>
  </si>
  <si>
    <t xml:space="preserve">Documentos Transito </t>
  </si>
  <si>
    <t>Maçonaria - Contribuição Mensal - Março/2021</t>
  </si>
  <si>
    <t>Brasart HCT 160/12,5mg</t>
  </si>
  <si>
    <t xml:space="preserve">O Dia % </t>
  </si>
  <si>
    <t>Aluguel BS House + Taxas (03/30)</t>
  </si>
  <si>
    <t>IPTU Del Piano (03/30)</t>
  </si>
  <si>
    <t>Fatura Enel - Março - 2021</t>
  </si>
  <si>
    <t xml:space="preserve">Areia de coco de gatos </t>
  </si>
  <si>
    <t>Pix pra agua mineral</t>
  </si>
  <si>
    <t>Anti-Alergicos diversos</t>
  </si>
  <si>
    <t xml:space="preserve">cóquinha no mercadinho do predio </t>
  </si>
  <si>
    <t>A Paccocca´s VR's</t>
  </si>
  <si>
    <t xml:space="preserve">A coop de são caetano </t>
  </si>
  <si>
    <t xml:space="preserve">Maquina de vendas do predio </t>
  </si>
  <si>
    <t>O Dia % perto do Mapping</t>
  </si>
  <si>
    <t xml:space="preserve">Vacina de Gripes no predio </t>
  </si>
  <si>
    <t>Tar. Pacote Itau Mar/2021</t>
  </si>
  <si>
    <t>Seguro LIS</t>
  </si>
  <si>
    <t>Vendinha do predio</t>
  </si>
  <si>
    <t xml:space="preserve">5x10 Miguelão fixa-cabos </t>
  </si>
  <si>
    <t xml:space="preserve">A Coop de são Caetano </t>
  </si>
  <si>
    <t xml:space="preserve">Floratil 200MG </t>
  </si>
  <si>
    <t>Maçonaria - Contribuição Mensal - Abril/2021</t>
  </si>
  <si>
    <t xml:space="preserve">Abertura de Empresa para trabalhar na Compliance IT </t>
  </si>
  <si>
    <t>Fazer as unhas das mãos</t>
  </si>
  <si>
    <t xml:space="preserve">Pasteis no centro </t>
  </si>
  <si>
    <t>Jeronimo´s</t>
  </si>
  <si>
    <t>Banho na Jade no Dr. Hato</t>
  </si>
  <si>
    <t>Petiscos de Gatos</t>
  </si>
  <si>
    <t>Àgua Mineral disagua coqueiros</t>
  </si>
  <si>
    <t>Pix para cobrir a conta</t>
  </si>
  <si>
    <t>Aluguel BS House + Taxas (04/30)</t>
  </si>
  <si>
    <t>IPTU Del Piano (04/30)</t>
  </si>
  <si>
    <t xml:space="preserve">Seguro Incendio Anual </t>
  </si>
  <si>
    <t xml:space="preserve">Pasteis de feira do preddio </t>
  </si>
  <si>
    <t>O Armazém São Caetano</t>
  </si>
  <si>
    <t>Pix para os Primus BARs</t>
  </si>
  <si>
    <t>Fatura Enel - Abril - 2021</t>
  </si>
  <si>
    <t>Symbicort 12/400, Bidecorte e agua oxigenada</t>
  </si>
  <si>
    <t xml:space="preserve">A coop de Santo andré da Industrial </t>
  </si>
  <si>
    <t>sorvete do Jeronimo´s</t>
  </si>
  <si>
    <t>Brasart HCT 160/12,5 MG + Artovastatina 10mg</t>
  </si>
  <si>
    <t xml:space="preserve">Pasteis do predio </t>
  </si>
  <si>
    <t xml:space="preserve">Mercadinho do predio </t>
  </si>
  <si>
    <t>Bolo no Primus B.A.R.s</t>
  </si>
  <si>
    <t xml:space="preserve">Habibes da Dom Pedro II </t>
  </si>
  <si>
    <t>A coop industrial</t>
  </si>
  <si>
    <t>Fatura XP Visa</t>
  </si>
  <si>
    <t>Mercadinho do predio deter-gentes</t>
  </si>
  <si>
    <t>TAR PACOTE ITAU   ABR/21</t>
  </si>
  <si>
    <t xml:space="preserve">A Coop da Industrial </t>
  </si>
  <si>
    <t>Diclofenaco de Potassio + Azias</t>
  </si>
  <si>
    <t xml:space="preserve">Coisas de higiene </t>
  </si>
  <si>
    <t xml:space="preserve">Tortas no centro </t>
  </si>
  <si>
    <t>Cadernos e canetas da Kalunga</t>
  </si>
  <si>
    <t>estacionamento no plaza</t>
  </si>
  <si>
    <t>Café da Tarde à Tarde</t>
  </si>
  <si>
    <t xml:space="preserve">A coop da Industrial </t>
  </si>
  <si>
    <t>Padoca Santa Monica</t>
  </si>
  <si>
    <t>A coop de São Caetano do SUL</t>
  </si>
  <si>
    <t>01 Galão de 20l de aguas</t>
  </si>
  <si>
    <t>Multa do Peugeot</t>
  </si>
  <si>
    <t>Pix: NuBank</t>
  </si>
  <si>
    <t>Paccocca´s Santa Monica</t>
  </si>
  <si>
    <t xml:space="preserve">Cortar Cabelos - Bunker </t>
  </si>
  <si>
    <t xml:space="preserve">Sodiê dôces </t>
  </si>
  <si>
    <t>Tortas no centro</t>
  </si>
  <si>
    <t xml:space="preserve">Grama de gatos para bola de pelos </t>
  </si>
  <si>
    <t>O cruzeiros B.A.R.s</t>
  </si>
  <si>
    <t>Pulseira AppleWatch</t>
  </si>
  <si>
    <t>Capa de celualr SamSing A01</t>
  </si>
  <si>
    <t xml:space="preserve">Cacau Show </t>
  </si>
  <si>
    <t>Maçonaria - Contribuição Mensal - Maio/2021</t>
  </si>
  <si>
    <t xml:space="preserve">Symbicort 12/400, Azia e anti-inflamatório </t>
  </si>
  <si>
    <t>Diferença Pulseira AppleWatch</t>
  </si>
  <si>
    <t>Tacco Bells do Plaza pra delivery</t>
  </si>
  <si>
    <t>anuidade de cartão de credito</t>
  </si>
  <si>
    <t xml:space="preserve">Pasteis no predio </t>
  </si>
  <si>
    <t>Padocas Santa Monica</t>
  </si>
  <si>
    <t>Super Grills do Plaza</t>
  </si>
  <si>
    <t>Café Holandesa do Plaza</t>
  </si>
  <si>
    <t>Aluguel BS House + Taxas (05/30)</t>
  </si>
  <si>
    <t>IPTU Del Piano (05/30)</t>
  </si>
  <si>
    <t>Fatura Enel Maio/2021</t>
  </si>
  <si>
    <t xml:space="preserve">Sorvete no mercadinho do predio </t>
  </si>
  <si>
    <t>Baterias CR2032</t>
  </si>
  <si>
    <t>Sodiê Dôces</t>
  </si>
  <si>
    <t>Estacionamento carinhoso no centro</t>
  </si>
  <si>
    <t>The Johnny rockets BURGUES</t>
  </si>
  <si>
    <t xml:space="preserve">PIX agua mineral coqueiros </t>
  </si>
  <si>
    <t xml:space="preserve">The FifTies os anos 50 </t>
  </si>
  <si>
    <t>Paccocas Santa Monica´s</t>
  </si>
  <si>
    <t xml:space="preserve">PIX agua mineral </t>
  </si>
  <si>
    <t>Paccocca´s Nova VR</t>
  </si>
  <si>
    <t>O Pecorrino do Shopping Mapping</t>
  </si>
  <si>
    <t>DXC Tecnologies</t>
  </si>
  <si>
    <t>Junho / 2021</t>
  </si>
  <si>
    <t xml:space="preserve">Sorvetes no mercadinho do predio </t>
  </si>
  <si>
    <t xml:space="preserve">Tar. Comunicação Digital </t>
  </si>
  <si>
    <t xml:space="preserve">Café do centro </t>
  </si>
  <si>
    <t>Busonid, Brasart e Artrovastatina</t>
  </si>
  <si>
    <t>Padoca da Santa Monica</t>
  </si>
  <si>
    <t>Gazzozza no pejo ggm5</t>
  </si>
  <si>
    <t>Almoço no paris do Mapping</t>
  </si>
  <si>
    <t>Grama de gatos</t>
  </si>
  <si>
    <t>Café da Tarde na padocas</t>
  </si>
  <si>
    <t>Gatos</t>
  </si>
  <si>
    <t>Symbicort 12/400, Predsim e Pastilhas de azias</t>
  </si>
  <si>
    <t xml:space="preserve">Envio dos 2 Aqualands para manutenção </t>
  </si>
  <si>
    <t>Adiantamento Quinzenal DxC</t>
  </si>
  <si>
    <t>Pix: NUBank</t>
  </si>
  <si>
    <t>Mais um bebedouro de gatos</t>
  </si>
  <si>
    <t>Sinal para manutenção dos Aqualands</t>
  </si>
  <si>
    <t>Maçonaria - Contribuição Mensal - Junho/2021</t>
  </si>
  <si>
    <t xml:space="preserve">HomeOffice: 02 Suportes Aluminio de Notenbook </t>
  </si>
  <si>
    <t>HomeOffice: Amazon.com.br: Teclado k270 mk220</t>
  </si>
  <si>
    <t>Amazon.com.br: O mítico homem-mês: ensaios sobre engenharia de software</t>
  </si>
  <si>
    <t>cortar os cabelos da cabeça</t>
  </si>
  <si>
    <t>Tortas e salgados no centro</t>
  </si>
  <si>
    <t>pilhas e chocolocates na amareicanas</t>
  </si>
  <si>
    <t>Café da tarde na Sodiê</t>
  </si>
  <si>
    <t>Deter-gentes</t>
  </si>
  <si>
    <t>Bisonid 32 + Azias</t>
  </si>
  <si>
    <t>Aluguel BS House + Taxas (06/30)</t>
  </si>
  <si>
    <t>IPTU Del Piano (06/30)</t>
  </si>
  <si>
    <t>Fatura Enel Junho/2021</t>
  </si>
  <si>
    <t>Pix: Maçonaria - Auxilio excepcional - Junho/2021</t>
  </si>
  <si>
    <t>Pix: Para o presente da Larissa</t>
  </si>
  <si>
    <t>Verdinho Tylenol Sinus</t>
  </si>
  <si>
    <t>Agua Mineral da agua coqueiros</t>
  </si>
  <si>
    <t>Camisetas de KDMia</t>
  </si>
  <si>
    <t>Roupas de KDMia</t>
  </si>
  <si>
    <t>Grama de gato</t>
  </si>
  <si>
    <t>estacionamento na Larissa</t>
  </si>
  <si>
    <t>The Johnny rockets Burgues</t>
  </si>
  <si>
    <t>02 conjuntos de 02 máscaras da Lupo</t>
  </si>
  <si>
    <t>Café da Tarde no Plaza</t>
  </si>
  <si>
    <t>Paccocca´s Santa Mônica´s</t>
  </si>
  <si>
    <t>Adiantamento 13º Salario DXC</t>
  </si>
  <si>
    <t xml:space="preserve">A coop de são caetano do sul </t>
  </si>
  <si>
    <t xml:space="preserve">Encerramento de Empresa para trabalhar na Compliance IT </t>
  </si>
  <si>
    <t>Julho / 2021</t>
  </si>
  <si>
    <t xml:space="preserve">Almoço no Plaza Porto Fino </t>
  </si>
  <si>
    <t>Chocolates na Americanas do Plaza</t>
  </si>
  <si>
    <t>Estacionamento no plaza</t>
  </si>
  <si>
    <t>Pix: Teste para o NuBank</t>
  </si>
  <si>
    <t>Café na Sodiê do centro</t>
  </si>
  <si>
    <t>Meias de Kdmias</t>
  </si>
  <si>
    <t>Jeronimo´s Burgues</t>
  </si>
  <si>
    <t>Sorvetes do Jeronimo´s Burges</t>
  </si>
  <si>
    <t>A coop de santo André</t>
  </si>
  <si>
    <t>Symbicote 12/400 + Brasarth HCT 160 12,5 mg</t>
  </si>
  <si>
    <t xml:space="preserve">Molho de tomate no mercadinho do predio </t>
  </si>
  <si>
    <t>Paccocca´s Santa Monicás</t>
  </si>
  <si>
    <t>Paccocca´S Santa Monica´s</t>
  </si>
  <si>
    <t>Agua coqueiros</t>
  </si>
  <si>
    <t>The Madero´s do São caetano Park Shopping</t>
  </si>
  <si>
    <t>Café no São Caetano Park shoppings</t>
  </si>
  <si>
    <t>ifood:Sushi Japones</t>
  </si>
  <si>
    <t>Gazzozza no Pejô GGm5</t>
  </si>
  <si>
    <t>Estacionamento nas Perdizes</t>
  </si>
  <si>
    <t>O Shabbabbas</t>
  </si>
  <si>
    <t xml:space="preserve">café no centro </t>
  </si>
  <si>
    <t>Nhoque do Primus B.A.R.s</t>
  </si>
  <si>
    <t>A coop da Industrial de Santo André</t>
  </si>
  <si>
    <t>Miojos no mercadinho do predio</t>
  </si>
  <si>
    <t>Busonid 32mg</t>
  </si>
  <si>
    <t>Predisim + azias</t>
  </si>
  <si>
    <t>A coop da industrial de santo andré</t>
  </si>
  <si>
    <t>Da cristiane para pagar seguro da Echo</t>
  </si>
  <si>
    <t>Seguro da Echo - 2021/2022</t>
  </si>
  <si>
    <t>Maçonaria - Contribuição Mensal - Julho/2021</t>
  </si>
  <si>
    <t>Pix: Maçonaria - Auxilio excepcional - Julho/2021</t>
  </si>
  <si>
    <t>PIX: Para o XP investimento</t>
  </si>
  <si>
    <t>O Imperador Lanches no centro</t>
  </si>
  <si>
    <t>The Johnny Rockets Burgues</t>
  </si>
  <si>
    <t>Mercadinho do predio</t>
  </si>
  <si>
    <t>Extra do Plaza</t>
  </si>
  <si>
    <t>Aluguel BS House + Taxas (07/30)</t>
  </si>
  <si>
    <t>IPTU Del Piano (07/30)</t>
  </si>
  <si>
    <t xml:space="preserve">fatura Enel </t>
  </si>
  <si>
    <t>Novo envio dos Aqualands</t>
  </si>
  <si>
    <t>Jantar de 20 anos no Peccorrinno do Mapping</t>
  </si>
  <si>
    <t>Correio: envio de arqualands para consertos</t>
  </si>
  <si>
    <t>Plantas diversas</t>
  </si>
  <si>
    <t>Café na Sodiê dôces</t>
  </si>
  <si>
    <t>Cortar os cabelos no Nunker</t>
  </si>
  <si>
    <t>Perfumarias diversas</t>
  </si>
  <si>
    <t>estaCIONAMENTO NO CENTRO</t>
  </si>
  <si>
    <t>Pastelaria Barcelona de são caetano</t>
  </si>
  <si>
    <t>remédios de azia</t>
  </si>
  <si>
    <t>A coop da industrial de santo andt´r</t>
  </si>
  <si>
    <t>Café na coop da industrial</t>
  </si>
  <si>
    <t xml:space="preserve">Farmacias diversas </t>
  </si>
  <si>
    <t>Artorvastatina Calcica 10mg</t>
  </si>
  <si>
    <t>Symbicort 12/400 60 D + SIMETICONA 125 CIG 10S</t>
  </si>
  <si>
    <t>Pix: Maçonaria - Auxilio excepcional - Julho/2021 (2)</t>
  </si>
  <si>
    <t>Tenis Nikes novos</t>
  </si>
  <si>
    <t>Estracionamento no centro</t>
  </si>
  <si>
    <t>Agosto / 2021</t>
  </si>
  <si>
    <t>Café ca cacau Show do plaza</t>
  </si>
  <si>
    <t xml:space="preserve">Deposito venda HD Western Digital Blu 500 GB </t>
  </si>
  <si>
    <t>iFood: Barbaros Pizzas</t>
  </si>
  <si>
    <t>PIX: Atendimento Psicologico Jane Alcantara</t>
  </si>
  <si>
    <t>iFood: Taco Bell´s</t>
  </si>
  <si>
    <t>ifood: Burgues Gallery</t>
  </si>
  <si>
    <t xml:space="preserve">ifood: Patroni São caetano </t>
  </si>
  <si>
    <t>pasteis perto do Mercado</t>
  </si>
  <si>
    <t xml:space="preserve">A coop de São caetano </t>
  </si>
  <si>
    <t>Pomnadas de Piercings</t>
  </si>
  <si>
    <t>Brasarth HCT 160/12,5mg</t>
  </si>
  <si>
    <t>Sodîê Dôces</t>
  </si>
  <si>
    <t>Desodorizantes Dove Sem perfume</t>
  </si>
  <si>
    <t>02 Baterias Relogios Iron Man Antigo e Seculos</t>
  </si>
  <si>
    <t>Esfregão da cozinha</t>
  </si>
  <si>
    <t>papel branco A4</t>
  </si>
  <si>
    <t>O SubWay do centro</t>
  </si>
  <si>
    <t>The fifties do Mooca Shooping</t>
  </si>
  <si>
    <t>Café no Mooca shopping</t>
  </si>
  <si>
    <t>Maçonaria - Contribuição Mensal - Agosto/2021</t>
  </si>
  <si>
    <t>Pizza Hut do Mapping</t>
  </si>
  <si>
    <t>Busonid 32MG</t>
  </si>
  <si>
    <t>exame de gravidez</t>
  </si>
  <si>
    <t>iFood: Burgues Gallery</t>
  </si>
  <si>
    <t>Aluguel BS House + Taxas (08/30)</t>
  </si>
  <si>
    <t>IPTU Del Piano (08/30)</t>
  </si>
  <si>
    <t>PIX: Consulta Psiquiatra Dr. Tomáz</t>
  </si>
  <si>
    <t>Lexapro 10mg</t>
  </si>
  <si>
    <t>iFood: Barbaroos Pizzas</t>
  </si>
  <si>
    <t>Pagamento Pecúlio extra Agosto/2021</t>
  </si>
  <si>
    <t>Pastel bairro barcelona</t>
  </si>
  <si>
    <t>Pìx dos remedios</t>
  </si>
  <si>
    <t>A Coop de Santo Andre</t>
  </si>
  <si>
    <t>Areia de coco e Agradinbho</t>
  </si>
  <si>
    <t>Estacionamento na Laser Ocular</t>
  </si>
  <si>
    <t>coisas para festas</t>
  </si>
  <si>
    <t>Paccocca´s Santa Monicas</t>
  </si>
  <si>
    <t>ifood: Patroni Parmegiana</t>
  </si>
  <si>
    <t xml:space="preserve">Coquinha no mercado do predio </t>
  </si>
  <si>
    <t xml:space="preserve">Kantar Aniversário Cristiane </t>
  </si>
  <si>
    <t>Pix: SUL America Restituição Psquiatra</t>
  </si>
  <si>
    <t>O Extra do Plaza</t>
  </si>
  <si>
    <t xml:space="preserve">The Johnny Rockets do Plaza </t>
  </si>
  <si>
    <t>Açougues para o churrasco de aniversário</t>
  </si>
  <si>
    <t>cortar os cabelos No Bunquer</t>
  </si>
  <si>
    <t>Jeronimo para a familia</t>
  </si>
  <si>
    <t>Mais mercado para aniversário</t>
  </si>
  <si>
    <t>Bolo de aniversário</t>
  </si>
  <si>
    <t>gelos para aniversário</t>
  </si>
  <si>
    <t>iFood: Japoneis em casa</t>
  </si>
  <si>
    <t>Setembro / 2021</t>
  </si>
  <si>
    <t>Agulhas de tomar remedios</t>
  </si>
  <si>
    <t>Pix: SUL America Restituição Psicologa</t>
  </si>
  <si>
    <t>Restante do pagamento dos consertos do citizen</t>
  </si>
  <si>
    <t>Pix para o Furlan dos remedios de piraju</t>
  </si>
  <si>
    <t>Paccoccaás VRs</t>
  </si>
  <si>
    <t>Oba Hortifruti</t>
  </si>
  <si>
    <t>Bonés preto do Iron Maiden</t>
  </si>
  <si>
    <t xml:space="preserve">Acetona para os dedos </t>
  </si>
  <si>
    <t>O America do Shopping São caetano</t>
  </si>
  <si>
    <t xml:space="preserve">A coop de santo andre da industrial </t>
  </si>
  <si>
    <t>Gazozza na EchoSport GGM4</t>
  </si>
  <si>
    <t>Agua mineral de 20l</t>
  </si>
  <si>
    <t>Barthô Bar em SBC</t>
  </si>
  <si>
    <t>O Cruzeiros´s B.A.R.s</t>
  </si>
  <si>
    <t>maçonaria: Estacionamento no Hotel</t>
  </si>
  <si>
    <t>Maçonaria - Contribuição Mensal - Setembro/2021</t>
  </si>
  <si>
    <t>Pagamento Pecúlio extra Setembro/2021</t>
  </si>
  <si>
    <t>Fatura vivo Celular</t>
  </si>
  <si>
    <t>Free Modas</t>
  </si>
  <si>
    <t xml:space="preserve">no Flags BAR </t>
  </si>
  <si>
    <t>The Flag B.A.R.s</t>
  </si>
  <si>
    <t>Café no Mercsdo</t>
  </si>
  <si>
    <t>Anti Alergicos, Busonid e remedio de urina</t>
  </si>
  <si>
    <t>Aluguel BS House + Taxas (09/30)</t>
  </si>
  <si>
    <t>IPTU Del Piano (09/30)</t>
  </si>
  <si>
    <t>Fatura enel - Setembro - 2021</t>
  </si>
  <si>
    <t xml:space="preserve">Maçonaria: no hotel </t>
  </si>
  <si>
    <t xml:space="preserve">para retirar o colchao velho </t>
  </si>
  <si>
    <t>O Sí Señor do Shopping SCS</t>
  </si>
  <si>
    <t>café no Shopping SCS</t>
  </si>
  <si>
    <t xml:space="preserve">Bixcoitos no mercadinho do predio </t>
  </si>
  <si>
    <t>Outubro / 2021</t>
  </si>
  <si>
    <t>Fatura NuBank Master</t>
  </si>
  <si>
    <t xml:space="preserve">Ted do XP Invest </t>
  </si>
  <si>
    <t>Pix: Valor de Implantes médicos</t>
  </si>
  <si>
    <t xml:space="preserve">Pó de café no mercado do predio </t>
  </si>
  <si>
    <t>Produtos de Cabelos</t>
  </si>
  <si>
    <t>Plug Anal G</t>
  </si>
  <si>
    <t>Cortar os cabelos no Bunquer</t>
  </si>
  <si>
    <t>Lavagem</t>
  </si>
  <si>
    <t xml:space="preserve">Açucar no mercadinho do predio </t>
  </si>
  <si>
    <t>Lavagem + agradinhos</t>
  </si>
  <si>
    <t>O Johnny rockets do plaza</t>
  </si>
  <si>
    <t xml:space="preserve">Anas marias no mercadinho do predio </t>
  </si>
  <si>
    <t xml:space="preserve">Coisas de Azia na Coop </t>
  </si>
  <si>
    <t>Maçonaria: Jantar na GLESP</t>
  </si>
  <si>
    <t>Maçonaria: No hotel Palmas da GLESP</t>
  </si>
  <si>
    <t>BuscoFem + Doriflex</t>
  </si>
  <si>
    <t>Marmitas do Primus B.A.R.s</t>
  </si>
  <si>
    <t xml:space="preserve">PIX: Água mieral de 20l </t>
  </si>
  <si>
    <t xml:space="preserve">pix: Sul America Seguros </t>
  </si>
  <si>
    <t>PIX: Para a cristiane</t>
  </si>
  <si>
    <t xml:space="preserve">O Raggazzo de são caetano </t>
  </si>
  <si>
    <t>Pasteis na floricultura</t>
  </si>
  <si>
    <t>o Dia %%</t>
  </si>
  <si>
    <t>Ceveja cara-CU primus</t>
  </si>
  <si>
    <t>iFood: Pizza Barbaros</t>
  </si>
  <si>
    <t>Anel ring de celular</t>
  </si>
  <si>
    <t xml:space="preserve">Maçonaria: Terno e 2 camisas </t>
  </si>
  <si>
    <t>Anti Inflamatórios genericos</t>
  </si>
  <si>
    <t>Remedios de pressão e Colesterol</t>
  </si>
  <si>
    <t>Paccocca´s Santa´s Monica´s</t>
  </si>
  <si>
    <t>Almoço na padoca Santa modicas</t>
  </si>
  <si>
    <t>Maçonaria - Contribuição Mensal - Outubro/2021</t>
  </si>
  <si>
    <t>Pagamento Pecúlio extra Outubro/2021</t>
  </si>
  <si>
    <t>Pasteis barcelonas</t>
  </si>
  <si>
    <t>The Neighbour PUBs SCS</t>
  </si>
  <si>
    <t>O Madero´s de SCS</t>
  </si>
  <si>
    <t>Café do ponto no shopping SCS</t>
  </si>
  <si>
    <t>Blusa na hentings</t>
  </si>
  <si>
    <t>Gazozza no pejô GGM5</t>
  </si>
  <si>
    <t>A paccocca´s Santa´s Monica´s</t>
  </si>
  <si>
    <t xml:space="preserve">no MERcadinho do predio </t>
  </si>
  <si>
    <t>Maçonaria: Pedra Brutta</t>
  </si>
  <si>
    <t xml:space="preserve">Maçonaria: Leques Brasil </t>
  </si>
  <si>
    <t>Aluguel BS House + Taxas (10/30)</t>
  </si>
  <si>
    <t>IPTU Del Piano (10/30)</t>
  </si>
  <si>
    <t xml:space="preserve">Nota Fiscal Paulista </t>
  </si>
  <si>
    <t>A enel eletrica</t>
  </si>
  <si>
    <t xml:space="preserve">iFood: The Burguer Gallergy </t>
  </si>
  <si>
    <t>Paccocca Santa monica´s</t>
  </si>
  <si>
    <t xml:space="preserve">Lasporte campestre </t>
  </si>
  <si>
    <t>A paccocca´s S.M.s</t>
  </si>
  <si>
    <t xml:space="preserve">Para o Gabriel da DXC </t>
  </si>
  <si>
    <t>Areia de coco de gatos e saches</t>
  </si>
  <si>
    <t>iFood: Japoneis</t>
  </si>
  <si>
    <t xml:space="preserve">No  mercadinho do predio </t>
  </si>
  <si>
    <t>Lexapro 10MG + furosiamidia</t>
  </si>
  <si>
    <t xml:space="preserve">Maçonaria: Hotel Palmas </t>
  </si>
  <si>
    <t>Almoço na padoca Santa Monica</t>
  </si>
  <si>
    <t xml:space="preserve">O Raggazzo de São caetano </t>
  </si>
  <si>
    <t xml:space="preserve">Symbicort 12/400 + Busonid + predisim </t>
  </si>
  <si>
    <t xml:space="preserve">PIX: Primus </t>
  </si>
  <si>
    <t xml:space="preserve">PIX: Agua Mineral </t>
  </si>
  <si>
    <t xml:space="preserve">iFood: Dominíos </t>
  </si>
  <si>
    <t>Padaria Santa Tereza SãoPaulo</t>
  </si>
  <si>
    <t>Café na liberdade</t>
  </si>
  <si>
    <t>Roller Dancing ABC</t>
  </si>
  <si>
    <t>Almoço no hong-he libedade</t>
  </si>
  <si>
    <t>iFood: docê Magia</t>
  </si>
  <si>
    <t xml:space="preserve">Chipes no mercadinho do predio </t>
  </si>
  <si>
    <t xml:space="preserve">para prender os piercings </t>
  </si>
  <si>
    <t>Padoca Santa Monicas</t>
  </si>
  <si>
    <t>TAR. Com. Digital do Itau</t>
  </si>
  <si>
    <t>A coop da Industrial (I)</t>
  </si>
  <si>
    <t>A coop da Industrial (II)</t>
  </si>
  <si>
    <t>Farmácia da Coop da Industrial</t>
  </si>
  <si>
    <t xml:space="preserve">Cortar os cabelos no Bunker no centro </t>
  </si>
  <si>
    <t xml:space="preserve">o Shabbabs no centro </t>
  </si>
  <si>
    <t>Baterias do relogio Tecnos</t>
  </si>
  <si>
    <t>Sodiê Cafês</t>
  </si>
  <si>
    <t>Paccocca Santa Monicas</t>
  </si>
  <si>
    <t>iFood: Burguer Gallery</t>
  </si>
  <si>
    <t xml:space="preserve">coquinha no mercado do predio </t>
  </si>
  <si>
    <t>24 madalenas para o Sr. Ademir</t>
  </si>
  <si>
    <t>Pix: Cristiane para pagar as chaves da maçonaria</t>
  </si>
  <si>
    <t>Gazzozza FULL no pejo ggm5</t>
  </si>
  <si>
    <t>iFood:Taco bells</t>
  </si>
  <si>
    <t xml:space="preserve">O Rancho 53 </t>
  </si>
  <si>
    <t>A Camponesas</t>
  </si>
  <si>
    <t xml:space="preserve">Coisas para  cabelo em Piraju </t>
  </si>
  <si>
    <t>Gazzozza no Pejô GGM5 em Piraju</t>
  </si>
  <si>
    <t>O Maristela´s</t>
  </si>
  <si>
    <t>mcTrash na kennedy em SCS</t>
  </si>
  <si>
    <t>Maçonaria - Contribuição Mensal - Novembro/2021</t>
  </si>
  <si>
    <t xml:space="preserve">Pix para Jantar de Final de Ano </t>
  </si>
  <si>
    <t>Pix: reembolso consultas da Jane</t>
  </si>
  <si>
    <t xml:space="preserve">Padoca Santa Monicas </t>
  </si>
  <si>
    <t>Pix: Marmitas do Primus B.A.R.s</t>
  </si>
  <si>
    <t xml:space="preserve">pasteis em São Caetano </t>
  </si>
  <si>
    <t>Café da Terde no centro</t>
  </si>
  <si>
    <t xml:space="preserve">café na coop da industrial </t>
  </si>
  <si>
    <t>Raçoes diversas</t>
  </si>
  <si>
    <t>Fatura enel - Novembro - 2021</t>
  </si>
  <si>
    <t>Aluguel BS House + Taxas (11/30)</t>
  </si>
  <si>
    <t>IPTU Del Piano (11/30)</t>
  </si>
  <si>
    <t xml:space="preserve">SEMASA - Agua Potavel (Set/21 - Oct21) </t>
  </si>
  <si>
    <t>Estacionamento na dentista Marcia</t>
  </si>
  <si>
    <t>PIX: Sul America ref. Ao psiquiatra</t>
  </si>
  <si>
    <t>Almoço na Paccocca Santa Monica</t>
  </si>
  <si>
    <t>Paes na Padoca Santa Monica</t>
  </si>
  <si>
    <t>Hotel Leques - Estadia para 03/12/2021</t>
  </si>
  <si>
    <t xml:space="preserve">Maçonaria: Leques </t>
  </si>
  <si>
    <t>PIX: Do furlan ref. As madalenas</t>
  </si>
  <si>
    <t>Contribuição extra Nov/2021</t>
  </si>
  <si>
    <t>A padoca Santa Monica</t>
  </si>
  <si>
    <t>Lexapro 10Mg</t>
  </si>
  <si>
    <t>No Urologista</t>
  </si>
  <si>
    <t xml:space="preserve">Vitaminas D manipuladas. </t>
  </si>
  <si>
    <t>01 galão de 20l agua coqueiros</t>
  </si>
  <si>
    <t>A paccocca Santa  Monicas</t>
  </si>
  <si>
    <t>Bar do urso colorado</t>
  </si>
  <si>
    <t>Estacionamento no bar do urso colocaro</t>
  </si>
  <si>
    <t>Lavagem da EchoSport GG4</t>
  </si>
  <si>
    <t>pix: Lavagem da EchoSport GG4</t>
  </si>
  <si>
    <t>O Rei dos Assados das Mamitas</t>
  </si>
  <si>
    <t>Leques Hotel</t>
  </si>
  <si>
    <t>ifood: Sushi Japonês Santa Paula de SCS</t>
  </si>
  <si>
    <t xml:space="preserve">ifood: The Burguer Gallery </t>
  </si>
  <si>
    <t>Mais mercado ainda</t>
  </si>
  <si>
    <t xml:space="preserve">Mais veterinário para o Shiro </t>
  </si>
  <si>
    <t xml:space="preserve">Maçonaria: Estacionamento </t>
  </si>
  <si>
    <t xml:space="preserve">Cóquinha no Predio </t>
  </si>
  <si>
    <t>NA dentistas</t>
  </si>
  <si>
    <t xml:space="preserve">Para o churrasco do gabriel </t>
  </si>
  <si>
    <t>Alcool no Pejô GGM5</t>
  </si>
  <si>
    <t>Lanche na estrada indo para araraquara</t>
  </si>
  <si>
    <t>bebidas para o churrasco em arara-quara</t>
  </si>
  <si>
    <t>Hotel Porco Ibis em Arara-quara</t>
  </si>
  <si>
    <t>Lanche 01 de volta de arara-qaura</t>
  </si>
  <si>
    <t>lanche 02 voltado de arara-quara</t>
  </si>
  <si>
    <t>Maçonaria - Contribuição Mensal - Dezembro/2021</t>
  </si>
  <si>
    <t>Mascras anti COVID</t>
  </si>
  <si>
    <t>Busonid, soro fisiologico, azia e gripe</t>
  </si>
  <si>
    <t>iFood: Tacos 'n' Bell</t>
  </si>
  <si>
    <t>IfOOD: Caverna´S Burgues</t>
  </si>
  <si>
    <t>2ª Parc. 13º Salário DXC</t>
  </si>
  <si>
    <t>Aluguel BS House + Taxas (12/30)</t>
  </si>
  <si>
    <t>IPTU Del Piano (12/30)</t>
  </si>
  <si>
    <t xml:space="preserve">iFood: BarbaRos Pizza´s </t>
  </si>
  <si>
    <t xml:space="preserve">Mercadinho do Predio </t>
  </si>
  <si>
    <t xml:space="preserve">Fatura EnEL </t>
  </si>
  <si>
    <t>17º Jantar Anual de aniversário de csamento- Questo Pastta</t>
  </si>
  <si>
    <t xml:space="preserve">Restaurante Laporto </t>
  </si>
  <si>
    <t>Galao de 20l de água</t>
  </si>
  <si>
    <t>Lexapro 10mg 30 capsulas</t>
  </si>
  <si>
    <t>iFood: Senhorita Burguês</t>
  </si>
  <si>
    <t>ethanol no Pejô GGM5</t>
  </si>
  <si>
    <t xml:space="preserve">Lanche no 53 </t>
  </si>
  <si>
    <t>ComGás (2)</t>
  </si>
  <si>
    <t>O chiquinho em piraju</t>
  </si>
  <si>
    <t>compras em Piraju</t>
  </si>
  <si>
    <t>Sorvetes do Chiquinho´s</t>
  </si>
  <si>
    <t>Mercadinho tais piraju</t>
  </si>
  <si>
    <t>coisas na vitória regia</t>
  </si>
  <si>
    <t>O Nucolau M.A.X.</t>
  </si>
  <si>
    <t>Smirnoffs Ice´s</t>
  </si>
  <si>
    <t>Cóquinha na padioca de Piraju</t>
  </si>
  <si>
    <t>Mercadinho Thais em Piraju</t>
  </si>
  <si>
    <t>Coraçãozinho do açougue</t>
  </si>
  <si>
    <t>Gazzozza em Piraju no Pejô GGM5</t>
  </si>
  <si>
    <t>Para o Barnabé ter cuidado dos Gatos</t>
  </si>
  <si>
    <t>Coisas diversas para aszias</t>
  </si>
  <si>
    <t>MARMITEX do Primus BARs</t>
  </si>
  <si>
    <t>O Johnny rockets</t>
  </si>
  <si>
    <t>Café da tarde no plaza</t>
  </si>
  <si>
    <t xml:space="preserve">O extra de São caetano </t>
  </si>
  <si>
    <t>Maçonaria: Lavagem do terno e camisas</t>
  </si>
  <si>
    <t>Extra da Alegra</t>
  </si>
  <si>
    <t>Remedios de pressão e colesterol</t>
  </si>
  <si>
    <t>Agua mineral disagua coqueiros</t>
  </si>
  <si>
    <t>O Shababs do centro</t>
  </si>
  <si>
    <t>Sodiê Dõces</t>
  </si>
  <si>
    <t>The Johnny roquetes</t>
  </si>
  <si>
    <t>Geek Point . Wonder Woman terra 1 vol3</t>
  </si>
  <si>
    <t>Geek Point: Batman Terra Um Vol 3</t>
  </si>
  <si>
    <t>Maçonaria - Contribuição Mensal - Janeiro/2022</t>
  </si>
  <si>
    <t>Pacccocas Santa Monica´s</t>
  </si>
  <si>
    <t>PIX para o gabriel</t>
  </si>
  <si>
    <t>Pasteis a feira perto de casa</t>
  </si>
  <si>
    <t>Remedios para  as gripes</t>
  </si>
  <si>
    <t>Marmitex dos Primus</t>
  </si>
  <si>
    <t>Aluguel BS House + Taxas (13/30)</t>
  </si>
  <si>
    <t>IPTU Del Piano (13/30)</t>
  </si>
  <si>
    <t>a COOP de santo andré</t>
  </si>
  <si>
    <t>fatura Enel Jan/2022</t>
  </si>
  <si>
    <t>Raggazzo de SCS</t>
  </si>
  <si>
    <t>ifood: brabaros Pizzerias</t>
  </si>
  <si>
    <t>Case de carnes da Marina</t>
  </si>
  <si>
    <t xml:space="preserve">no mercadinho do predio </t>
  </si>
  <si>
    <t>Spoletto do Mappin</t>
  </si>
  <si>
    <t>Chafe no mapping</t>
  </si>
  <si>
    <t xml:space="preserve">Nutella no mercadinho do predio </t>
  </si>
  <si>
    <t>Gino Calden e pomadas de espinhas</t>
  </si>
  <si>
    <t xml:space="preserve">Lexapro Generico 2x30 </t>
  </si>
  <si>
    <t>O Extra da figueiras</t>
  </si>
  <si>
    <t xml:space="preserve">Coquinha ni mercadinho do predio </t>
  </si>
  <si>
    <t>Na coop da industrial de santo andre</t>
  </si>
  <si>
    <t xml:space="preserve">Café na coop da industrial de santo andté </t>
  </si>
  <si>
    <t>ComGáz de Janeiro/2022</t>
  </si>
  <si>
    <t xml:space="preserve">Pasteis da rua perto do predio </t>
  </si>
  <si>
    <t>O rei dos assados e das marmitas</t>
  </si>
  <si>
    <t xml:space="preserve">Areia de coco de gato </t>
  </si>
  <si>
    <t xml:space="preserve">TAR COMUNICACAO DIGITAL </t>
  </si>
  <si>
    <t>Agua mineral da disagua</t>
  </si>
  <si>
    <t>The roller and dancing</t>
  </si>
  <si>
    <t>Shababas no centro</t>
  </si>
  <si>
    <t xml:space="preserve">desodorizanes em gerais </t>
  </si>
  <si>
    <t xml:space="preserve">Café no centro </t>
  </si>
  <si>
    <t>Estacio0namento no centro</t>
  </si>
  <si>
    <t>SulAmerica - ref ao Psiquiatra</t>
  </si>
  <si>
    <t>PIX: O Rei dos Assados Das MarMiTax</t>
  </si>
  <si>
    <t>Pasteis na feira perto de casa</t>
  </si>
  <si>
    <t>GoCoffee no centro</t>
  </si>
  <si>
    <t>Lexapro 10Mg de marca</t>
  </si>
  <si>
    <t>iFood: The Burguer gallery</t>
  </si>
  <si>
    <t>A coop de santo andté</t>
  </si>
  <si>
    <t>IPVA echo 2022 (01/05)</t>
  </si>
  <si>
    <t xml:space="preserve">Ração </t>
  </si>
  <si>
    <t>Maçonaria - Contribuição Mensal - Fevereiro/2022</t>
  </si>
  <si>
    <t xml:space="preserve">ipva DO Peugeot (01/05) </t>
  </si>
  <si>
    <t>Agua mineral do coqueiros</t>
  </si>
  <si>
    <t>iFood: Taco Bells</t>
  </si>
  <si>
    <t>The johnny rockets</t>
  </si>
  <si>
    <t>Aluguel BS House + Taxas (14/30)</t>
  </si>
  <si>
    <t>IPTU Del Piano (14/30)</t>
  </si>
  <si>
    <t>Diff Agua Bol Jan/22</t>
  </si>
  <si>
    <t xml:space="preserve">Enel - Fevereiro / 2022 </t>
  </si>
  <si>
    <t xml:space="preserve">Lavagem dos Tapetes </t>
  </si>
  <si>
    <t xml:space="preserve">BUSGUER na madalena </t>
  </si>
  <si>
    <t>Cervejas na Madalena</t>
  </si>
  <si>
    <t>Cervejas Madalenas para o Furlan</t>
  </si>
  <si>
    <t>Areia, Saches e brinquedos</t>
  </si>
  <si>
    <t xml:space="preserve">Padaria Santa Monica </t>
  </si>
  <si>
    <t xml:space="preserve">a COOP DE SANTO andré </t>
  </si>
  <si>
    <t>Almoço na padoca santa monica</t>
  </si>
  <si>
    <t>Gazozza n opejô GGM5</t>
  </si>
  <si>
    <t>Boné novo da cristiane</t>
  </si>
  <si>
    <t xml:space="preserve">Frapucchino no centro </t>
  </si>
  <si>
    <t xml:space="preserve">Não sei o que é </t>
  </si>
  <si>
    <t>A camponesa</t>
  </si>
  <si>
    <t>duas duzias de Ovos Jumbos Brancos</t>
  </si>
  <si>
    <t>O Nicolau M.A.X. de piraju</t>
  </si>
  <si>
    <t xml:space="preserve">O Maristela Graal Rodoserve </t>
  </si>
  <si>
    <t>A 57ª quinta do marquês</t>
  </si>
  <si>
    <t>iFood: Don Fornu</t>
  </si>
  <si>
    <t>ComGáz de Fevereiro/2022</t>
  </si>
  <si>
    <t xml:space="preserve">Estacionamento na dentista </t>
  </si>
  <si>
    <t>Grazie Napoli Santo André AVPN</t>
  </si>
  <si>
    <t xml:space="preserve">Cóquinha no predio </t>
  </si>
  <si>
    <t>Marmitex dos reis dos assados das marmitas dos P.R.I.M.U.S. BARs</t>
  </si>
  <si>
    <t>Galao de 20l de agua do Agua coqueiros</t>
  </si>
  <si>
    <t xml:space="preserve">O Madero´s do Shopping São caetano </t>
  </si>
  <si>
    <t xml:space="preserve">Cafés do café do Ponto do shopping de São Caetano </t>
  </si>
  <si>
    <t>O FRITZ Bar Alemão</t>
  </si>
  <si>
    <t xml:space="preserve">Maçonaria: hotel Leques Brasil </t>
  </si>
  <si>
    <t>SEGURO LIS ITAU 22030</t>
  </si>
  <si>
    <t>Maçonaria - Contribuição Mensal - Março/2022</t>
  </si>
  <si>
    <t>Mercado diversos</t>
  </si>
  <si>
    <t>Symbicort 12/400 + Busonid</t>
  </si>
  <si>
    <t xml:space="preserve">No complexo medico do Hospital brasil </t>
  </si>
  <si>
    <t xml:space="preserve">01 galão de 20l de agua </t>
  </si>
  <si>
    <t>A Coopp de SCS</t>
  </si>
  <si>
    <t>ifood: PizzaLegre</t>
  </si>
  <si>
    <t>Tomadas da Secadora, Tampa de Privada  e lata de lixo</t>
  </si>
  <si>
    <t xml:space="preserve">Planning Organizadores </t>
  </si>
  <si>
    <t xml:space="preserve">ipva FULLL restante da Echo </t>
  </si>
  <si>
    <t>Troca das tomadas e fiação da área de serviço pelo Barnabé</t>
  </si>
  <si>
    <t xml:space="preserve">Maçonaria; Leques Brasil Hotel </t>
  </si>
  <si>
    <t xml:space="preserve">Conserto da Secadora </t>
  </si>
  <si>
    <t xml:space="preserve">Estacionamento no Hospital Brasil </t>
  </si>
  <si>
    <t xml:space="preserve">Paccocca Brasil da Portugal </t>
  </si>
  <si>
    <t xml:space="preserve">Quitutes de café da manha da padoca VR´s </t>
  </si>
  <si>
    <t>PIX: Agua mineral entregue em casa</t>
  </si>
  <si>
    <t>Salgadinhos no mercadinho do predio</t>
  </si>
  <si>
    <t>iFood: PizzaAlegre</t>
  </si>
  <si>
    <t xml:space="preserve">Cóquinha no mercadinho do predio </t>
  </si>
  <si>
    <t xml:space="preserve">Deter-gente no mercadinho do predio </t>
  </si>
  <si>
    <t>Almoço no Americas do Shopping SCS</t>
  </si>
  <si>
    <t>Star Buques do shopping SCS</t>
  </si>
  <si>
    <t>Café no Shopping de SCS</t>
  </si>
  <si>
    <t>Fatura Enel - Março - 2022</t>
  </si>
  <si>
    <t>almoço na padocsa Santa Monica</t>
  </si>
  <si>
    <t>PIX: Portas dos Guardaroupas</t>
  </si>
  <si>
    <t>Aluguel BS House + Taxas (15/30)</t>
  </si>
  <si>
    <t>IPTU Del Piano (15/30)</t>
  </si>
  <si>
    <t>Marmitex do P.R.I.M.U.S. B.A.R.</t>
  </si>
  <si>
    <t>Estacionamento na dentistas</t>
  </si>
  <si>
    <t>A coop de santo andre</t>
  </si>
  <si>
    <t xml:space="preserve">Frango com tudo </t>
  </si>
  <si>
    <t xml:space="preserve">estacionamento em Sp </t>
  </si>
  <si>
    <t xml:space="preserve">Porto Fino no Shopping Plaza </t>
  </si>
  <si>
    <t>Café da tarde na Star Buques</t>
  </si>
  <si>
    <t xml:space="preserve">Bateria C2025 para o monitor Cardiaco </t>
  </si>
  <si>
    <t>iFood: PizzAlgre</t>
  </si>
  <si>
    <t>Farmácia diversas</t>
  </si>
  <si>
    <t>Busonido 32Mg</t>
  </si>
  <si>
    <t>Maçonaria: Leques Brasil</t>
  </si>
  <si>
    <t>Fatura ComGás março 2022</t>
  </si>
  <si>
    <t>Coisas para casa no centro</t>
  </si>
  <si>
    <t>iFood: PizzAlegre</t>
  </si>
  <si>
    <t>PIX: Atendimento Psicologico Jane Alcantara em 01/04/2022</t>
  </si>
  <si>
    <t xml:space="preserve">No hospital Brasil </t>
  </si>
  <si>
    <t>TAR. Com Digital</t>
  </si>
  <si>
    <t xml:space="preserve">PIX: Shopping PCD pra renovar as isençoes doPEJO </t>
  </si>
  <si>
    <t xml:space="preserve">Maçonaria: Hotel Leques brasil </t>
  </si>
  <si>
    <t>Seguro LIS Juros</t>
  </si>
  <si>
    <t>PIX: Agua Minerao</t>
  </si>
  <si>
    <t xml:space="preserve">Coisas para o cabelo </t>
  </si>
  <si>
    <t xml:space="preserve">Coisas diversas no centro </t>
  </si>
  <si>
    <t>GoCoffe no centro</t>
  </si>
  <si>
    <t>Cervejaria Holly Water em SCS</t>
  </si>
  <si>
    <t>Valverde Gelateria SCS</t>
  </si>
  <si>
    <t>Maçonaria - Contribuição Mensal - Abril/2022</t>
  </si>
  <si>
    <t xml:space="preserve">Gulosiemas no mercadinho do predio </t>
  </si>
  <si>
    <t xml:space="preserve">McDonaldos da Dom Pedro II </t>
  </si>
  <si>
    <t>pacocca Santa Monica</t>
  </si>
  <si>
    <t xml:space="preserve">Remedios de rpessão e colestelrol </t>
  </si>
  <si>
    <t>Ref. Ao Jantar ritualistico de 2022</t>
  </si>
  <si>
    <t>Paccocca santa Monica´s</t>
  </si>
  <si>
    <t>PIX: Maçonaria: Três Pontos</t>
  </si>
  <si>
    <t>Aluguel BS House + Taxas (16/30)</t>
  </si>
  <si>
    <t>IPTU Del Piano (16/30)</t>
  </si>
  <si>
    <t>Maçonaria: Lavagem do Terno Backup</t>
  </si>
  <si>
    <t>Paccocca´s Santa Monica´s</t>
  </si>
  <si>
    <t>Cafeteria Holandeza do Shopping</t>
  </si>
  <si>
    <t xml:space="preserve">Fatura Enel </t>
  </si>
  <si>
    <t>HomeOffice: conserto da cadeira Gamer</t>
  </si>
  <si>
    <t>Paccocca santa Monicas</t>
  </si>
  <si>
    <t xml:space="preserve">PIX: Agua  mineral </t>
  </si>
  <si>
    <t>PIX: Atendimento Psicologico Jane Alcantara em 22/04/2022</t>
  </si>
  <si>
    <t>PIX: Linda menindas</t>
  </si>
  <si>
    <t>Cortar os cabelos Bunker no centro</t>
  </si>
  <si>
    <t xml:space="preserve">Capinhas de celular e Pulseira de ApplWatch </t>
  </si>
  <si>
    <t>cabo USB C 1m</t>
  </si>
  <si>
    <t xml:space="preserve">calças militares Swat </t>
  </si>
  <si>
    <t>GoCoffe</t>
  </si>
  <si>
    <t>iFood: PizzaLegre</t>
  </si>
  <si>
    <t xml:space="preserve">o Atacadão do AssaI </t>
  </si>
  <si>
    <t>Paccocca Santa Monica´s</t>
  </si>
  <si>
    <t>NA paccocca santa Monicas</t>
  </si>
  <si>
    <t xml:space="preserve">A Coop de santo andré </t>
  </si>
  <si>
    <t xml:space="preserve">Areia de coco e agradinhos </t>
  </si>
  <si>
    <t>PIX: Atendimento Psicologico Jane Alcantara em 29/04/2022</t>
  </si>
  <si>
    <t xml:space="preserve">Pastelaria Barlcelona SCS </t>
  </si>
  <si>
    <t>The Burguers MAPs</t>
  </si>
  <si>
    <t>Fatura ComGás Abril/2022</t>
  </si>
  <si>
    <t>estacionamento na DXC de SBC</t>
  </si>
  <si>
    <t>SEGURO LIS ITAU 22050</t>
  </si>
  <si>
    <t>iFood: Don Forni</t>
  </si>
  <si>
    <t>PIX: Atendimento Psicologico Jane Alcantara em 06/05/2022</t>
  </si>
  <si>
    <t>Maçonaria - Contribuição Mensal - Maio/2022</t>
  </si>
  <si>
    <t>Maçonaria: Três Ponto</t>
  </si>
  <si>
    <t xml:space="preserve">Ração de Gatos </t>
  </si>
  <si>
    <t>PIX: Atendimento Psicologico Jane Alcantara em 13/05/2022</t>
  </si>
  <si>
    <t xml:space="preserve">Shabbabs do centro </t>
  </si>
  <si>
    <t xml:space="preserve">Symbicort 12/400 123/400 + Busonid 32mg </t>
  </si>
  <si>
    <t>Go Coffe no centro</t>
  </si>
  <si>
    <t>A coop de San Adreas</t>
  </si>
  <si>
    <t xml:space="preserve">Fatura Vivo Celular </t>
  </si>
  <si>
    <t>Gazosa no pejô GGM5</t>
  </si>
  <si>
    <t>Maçonaria: Terno e camisas</t>
  </si>
  <si>
    <t>iFood: Gallery Burguês</t>
  </si>
  <si>
    <t>Aluguel BS House + Taxas (17/30)</t>
  </si>
  <si>
    <t>IPTU Del Piano (17/30)</t>
  </si>
  <si>
    <t>PIX: Atendimento Psicologico Jane Alcantara em 20/05/2022</t>
  </si>
  <si>
    <t xml:space="preserve">Nivalmixdir Lampada e resistencia de chuveiro </t>
  </si>
  <si>
    <t xml:space="preserve">2x Lexapro 10mg (20comp) </t>
  </si>
  <si>
    <t>Cortar cabelos no centro</t>
  </si>
  <si>
    <t>Fatura Enel - Maio - 2022</t>
  </si>
  <si>
    <t xml:space="preserve">Habibes da Goias de SCS </t>
  </si>
  <si>
    <t>O Primus bars</t>
  </si>
  <si>
    <t xml:space="preserve">o Burguers Kinguiops da DPII </t>
  </si>
  <si>
    <t>PIX: Atendimento Psicologico Jane Alcantara em 27/05/2022</t>
  </si>
  <si>
    <t>Pastelaria Barcelonas</t>
  </si>
  <si>
    <t>A coop de santo sandré</t>
  </si>
  <si>
    <t>Haste do chuveiro do banheiro do Quarto + veda-roscas</t>
  </si>
  <si>
    <t>ifood: Don Forni</t>
  </si>
  <si>
    <t>PIX : Do NuBank</t>
  </si>
  <si>
    <t xml:space="preserve">O Madero de SCS </t>
  </si>
  <si>
    <t>Cóquinha, Pipoca e M&amp;Ms no cinemas</t>
  </si>
  <si>
    <t>Fatura ComGás Maio/2022</t>
  </si>
  <si>
    <t xml:space="preserve">Areia de coco de gato e agradinhos </t>
  </si>
  <si>
    <t>PIX: Atendimento Psicologico Jane Alcantara em 03/06/2022</t>
  </si>
  <si>
    <t>Gasolina no Pejô GGM5</t>
  </si>
  <si>
    <t>canetas e mosquetoões diversos</t>
  </si>
  <si>
    <t>Peliculas do iPhone 13</t>
  </si>
  <si>
    <t>Capinha do iPhone 13</t>
  </si>
  <si>
    <t>Espetaria Churrasco é o Nome</t>
  </si>
  <si>
    <t>ValVerDe gelateria SCS</t>
  </si>
  <si>
    <t xml:space="preserve">lis/Juros no periodo (26 dias) </t>
  </si>
  <si>
    <t>clinica de emagrecimentos</t>
  </si>
  <si>
    <t>SEGURO LIS ITAU 22060</t>
  </si>
  <si>
    <t>Maçonaria - Contribuição Mensal - Junho/2022</t>
  </si>
  <si>
    <t>Porto Fino do Plazza0</t>
  </si>
  <si>
    <t xml:space="preserve">IfOOD: The Burgues Gallery </t>
  </si>
  <si>
    <t>Taxa: Elevação de A∴M∴ para C∴M∴ na NE132</t>
  </si>
  <si>
    <t>Pastilhas de Azias</t>
  </si>
  <si>
    <t xml:space="preserve">ABC Gardem </t>
  </si>
  <si>
    <t>Paccoccas Santas Monicas</t>
  </si>
  <si>
    <t xml:space="preserve">PIX: Para o NuBank para pagar o Financiamento </t>
  </si>
  <si>
    <t xml:space="preserve">The Johnny Rockets Burgues </t>
  </si>
  <si>
    <t>Tylenol Sinus + Busonid</t>
  </si>
  <si>
    <t>iFood: Taco &amp; Bells</t>
  </si>
  <si>
    <t>Pão Pulman no mercadinho do predio</t>
  </si>
  <si>
    <t>PIX: Atendimento Psicologico Jane Alcantara em 17/06/2022</t>
  </si>
  <si>
    <t>Pastelaria Barcelona</t>
  </si>
  <si>
    <t>Aluguel BS House + Taxas (18/30)</t>
  </si>
  <si>
    <t>IPTU Del Piano (18/30)</t>
  </si>
  <si>
    <t>Juros acumulados no periodo</t>
  </si>
  <si>
    <t>Fatura Enel - Junho - 2022</t>
  </si>
  <si>
    <t xml:space="preserve">Cortar os cabelos no Papai Smurfe </t>
  </si>
  <si>
    <t>A coop de Santo AndreaS</t>
  </si>
  <si>
    <t xml:space="preserve">Habibes da DPII </t>
  </si>
  <si>
    <t xml:space="preserve">Cóquinha nbo mercadinho do predio </t>
  </si>
  <si>
    <t>The BusGuers na Magdalenas</t>
  </si>
  <si>
    <t>Na Magdalena´s</t>
  </si>
  <si>
    <t>Fatura Luiza Visa</t>
  </si>
  <si>
    <t>Churras Anual de Aniversário da Loj∴</t>
  </si>
  <si>
    <t>linda meninas</t>
  </si>
  <si>
    <t xml:space="preserve">Loja de cosméticos no centro </t>
  </si>
  <si>
    <t>café embaixador no centro</t>
  </si>
  <si>
    <t>casa de plasticos no centro</t>
  </si>
  <si>
    <t>o boticario no centro</t>
  </si>
  <si>
    <t xml:space="preserve">Go Coffe no centro </t>
  </si>
  <si>
    <t>Piercings novos</t>
  </si>
  <si>
    <t>iFood: Don Forny</t>
  </si>
  <si>
    <t>Fatura ComGás - Junho - 2022</t>
  </si>
  <si>
    <t>Boné New Era NY</t>
  </si>
  <si>
    <t>SEGURO LIS ITAU 22070</t>
  </si>
  <si>
    <t xml:space="preserve">Acetona (da errada) </t>
  </si>
  <si>
    <t>Pix: Shopee: proterdor fe fone de ouvido JBL</t>
  </si>
  <si>
    <t>The BUrguer4Yoo</t>
  </si>
  <si>
    <t>Sorvetes Sorvtes da Rua St.o Amndrte</t>
  </si>
  <si>
    <t>Gazoza no Pejp GGM5</t>
  </si>
  <si>
    <t>Habibes da Goyas em SCS</t>
  </si>
  <si>
    <t>Maçonaria - Contribuição Mensal - Julho/2022</t>
  </si>
  <si>
    <t xml:space="preserve">Juros e correção no periodo </t>
  </si>
  <si>
    <t xml:space="preserve">Recisão da DXC </t>
  </si>
  <si>
    <t>Almoço no Shabbabas</t>
  </si>
  <si>
    <t xml:space="preserve">Farmácias diversas </t>
  </si>
  <si>
    <t>na dxc em SBC</t>
  </si>
  <si>
    <t>PIX: Atendimento Psicologico Jane Alcantara em 15/07/2022</t>
  </si>
  <si>
    <t>iFood: Don Forní</t>
  </si>
  <si>
    <t>Licenciamento Pejô GGM5 2022</t>
  </si>
  <si>
    <t>Licenciamento echo GGM4 2022</t>
  </si>
  <si>
    <t>Pastelaria Nova Barcelona</t>
  </si>
  <si>
    <t>Symbicort 12/400, busonides e diversos</t>
  </si>
  <si>
    <t>Sí Señor São Caetano Park Shopping</t>
  </si>
  <si>
    <t>vivara: Relógio Nautica Masculino Borracha Preta NAPTDS901 10 ATM</t>
  </si>
  <si>
    <t>Café no  São Caetano Park Shopping</t>
  </si>
  <si>
    <t xml:space="preserve">ViVo Cell  Phone </t>
  </si>
  <si>
    <t xml:space="preserve">MercadoLivre.com.br: Luva Academia Unissex Treino Fitness Musculação Bike - Par </t>
  </si>
  <si>
    <t>MercadoLivre.com.br: Maçonaria: Bone Preto All Black</t>
  </si>
  <si>
    <t>PIX: Para o NuBank</t>
  </si>
  <si>
    <t>Maçonaria: Ternos e camisas</t>
  </si>
  <si>
    <t>Lavagem da Mochila Padi</t>
  </si>
  <si>
    <t>Cantinho da Siria</t>
  </si>
  <si>
    <t xml:space="preserve">No mercadinho do Predio </t>
  </si>
  <si>
    <t>Aluguel BS House + Taxas (19/30)</t>
  </si>
  <si>
    <t>IPTU Del Piano (19/30)</t>
  </si>
  <si>
    <t>Madero no Shopping Mooca</t>
  </si>
  <si>
    <t>Star Buques no Mooca Shopping</t>
  </si>
  <si>
    <t>Baterias G-Shocks e Iron Man</t>
  </si>
  <si>
    <t>Fatura Enel - Julho 2022</t>
  </si>
  <si>
    <t>Renovação Seguro EchoSport 2022-2023</t>
  </si>
  <si>
    <t>BarBeAria Papai Smurf Campestre</t>
  </si>
  <si>
    <t xml:space="preserve">Extacionamento na frente da claro </t>
  </si>
  <si>
    <t xml:space="preserve">no mercadinho dopredio </t>
  </si>
  <si>
    <t>iFood: Kasato santa Paula</t>
  </si>
  <si>
    <t>PIX: do NuBank</t>
  </si>
  <si>
    <t>PIX: Para do NuBank Pagar a SemParar</t>
  </si>
  <si>
    <t xml:space="preserve">Credito Valeu refeição Alelo Claro </t>
  </si>
  <si>
    <t xml:space="preserve">PIX: Agua mineral </t>
  </si>
  <si>
    <t xml:space="preserve">GoCoffee no centro </t>
  </si>
  <si>
    <t>cortar os cabelos da cabela</t>
  </si>
  <si>
    <t>Combustivel no Pejô GGM5</t>
  </si>
  <si>
    <t>Insana Chopps no paço municipal de San Andreas</t>
  </si>
  <si>
    <t>MV Burgues  no paço municipal de San Andreas</t>
  </si>
  <si>
    <t>Tacos Mexicanos no paço municipal de San Andreas</t>
  </si>
  <si>
    <t>Churrasquinhos  no paço municipal de San Andreas</t>
  </si>
  <si>
    <t>Churros  no paço municipal de San Andreas</t>
  </si>
  <si>
    <t>PIX: Do NuBank</t>
  </si>
  <si>
    <t>Trabalho: Chocolates</t>
  </si>
  <si>
    <t>Claro Brasil S/A</t>
  </si>
  <si>
    <t>TAR COM DIGITAL</t>
  </si>
  <si>
    <t>Soro da Jade</t>
  </si>
  <si>
    <t>Juros Limite Conta</t>
  </si>
  <si>
    <t>Deposito Ref a restiuiçção IPVA Peugeot 2022/2021</t>
  </si>
  <si>
    <t>Maçonaria: Pix: Para o Rafael Tavares</t>
  </si>
  <si>
    <t>Pix: do NuBank</t>
  </si>
  <si>
    <t>Aluguel BS House + Taxas (23/30)</t>
  </si>
  <si>
    <t>IPTU Del Piano (20/30)</t>
  </si>
  <si>
    <t>Trabalho: The Urban Park Alex dumas 1630</t>
  </si>
  <si>
    <t>Trabalho: Gazoza no Pejô</t>
  </si>
  <si>
    <t>Maçonaria: Tres pontos</t>
  </si>
  <si>
    <t>Trabalho: Café cacau Show</t>
  </si>
  <si>
    <t>Docês de Leite com o Vantuir</t>
  </si>
  <si>
    <t>Na padoca santa Monicas</t>
  </si>
  <si>
    <t>iFood: RaBiBes</t>
  </si>
  <si>
    <t xml:space="preserve">Coquinha no predio </t>
  </si>
  <si>
    <t>no Dia %%</t>
  </si>
  <si>
    <t>A coop de Santo Andre perimetral</t>
  </si>
  <si>
    <t>Azia e gripes na farmacia da cooop</t>
  </si>
  <si>
    <t>O Sukyia no centro</t>
  </si>
  <si>
    <t>Arvores de natais</t>
  </si>
  <si>
    <t>Go Coffee no centro</t>
  </si>
  <si>
    <t xml:space="preserve">iFood: The Burgues Gallery </t>
  </si>
  <si>
    <t xml:space="preserve">PIX: Para o Almoço da Lojas NE 132 </t>
  </si>
  <si>
    <t>PIX:Trabalho: The Urban Park Alex dumas 1630</t>
  </si>
  <si>
    <t>No dia %%</t>
  </si>
  <si>
    <t>iFood: Don forny</t>
  </si>
  <si>
    <t>Fatura CrediCard Masters</t>
  </si>
  <si>
    <t>Fatura Magalu Visa</t>
  </si>
  <si>
    <t>Juros e correção no perido</t>
  </si>
  <si>
    <t>TAR COMUNICACAO DIGITA</t>
  </si>
  <si>
    <t>MercadoLivre.com.br: Pix: Disco sólido interno Crucial CT240BX500SSD1 240GB preto / Case Slim Hd Ssd Adaptador Usb 3.0 Sata3 Externo 6gbps</t>
  </si>
  <si>
    <t>A coop da instustrial de San Adreas</t>
  </si>
  <si>
    <t>JUROS LIMITE DA CONTA</t>
  </si>
  <si>
    <t>Limpador de parabrisas</t>
  </si>
  <si>
    <t xml:space="preserve">Areia sanitárias </t>
  </si>
  <si>
    <t>Trabalho: Gazozza no Pejô GGM5</t>
  </si>
  <si>
    <t>Trabalho: GoCoffe</t>
  </si>
  <si>
    <t>PIX: Agua Mineral</t>
  </si>
  <si>
    <t>PIX: PARA A CONTA Itau ITI</t>
  </si>
  <si>
    <t>Maçonaria: Tres Ponos</t>
  </si>
  <si>
    <t>Maçonaria: Lavar camisas 5 a sec</t>
  </si>
  <si>
    <t>Maçonaria - Contribuição Mensal - Dezembro/2022</t>
  </si>
  <si>
    <t>iFood: don Formy</t>
  </si>
  <si>
    <t>A coop de da Industial de San Adread</t>
  </si>
  <si>
    <t>Game: Mercadolivre.com.br: Tomb Raider Under World</t>
  </si>
  <si>
    <t>Game: Mercadolivre.com.br: devil May Cry 4</t>
  </si>
  <si>
    <t>Uber: pra ir pegar o kit natal</t>
  </si>
  <si>
    <t>Uber: pra voltar pra Verbo Divino 1356</t>
  </si>
  <si>
    <t>Symbicort 12/400, Busonid, dorflex e Pastilha de azias</t>
  </si>
  <si>
    <t>Trabalho: Gazzozza no pejõ ggm5</t>
  </si>
  <si>
    <t>Restituição de compra do ML</t>
  </si>
  <si>
    <t>Fatura Claro Celular</t>
  </si>
  <si>
    <t>iFood: Super Pizza, PÃNNN!!!</t>
  </si>
  <si>
    <t>Mercadolivre.com.br: DmC4 +TR:UW</t>
  </si>
  <si>
    <t xml:space="preserve">Sodiê no centro </t>
  </si>
  <si>
    <t xml:space="preserve">O Dia %% Alegre </t>
  </si>
  <si>
    <t>Ração Seca, Pate, Vermifugo e pasta de comer</t>
  </si>
  <si>
    <t>The Burgues 4 You</t>
  </si>
  <si>
    <t>Fatura Vivo Celular</t>
  </si>
  <si>
    <t xml:space="preserve">Restante 13º salario claro </t>
  </si>
  <si>
    <t>Fatura enel - Dezembro - 2022</t>
  </si>
  <si>
    <t>No Peugeot GGM5 pra Viajar</t>
  </si>
  <si>
    <t xml:space="preserve">A coop de São caetano do sul </t>
  </si>
  <si>
    <t>remedios de pressão</t>
  </si>
  <si>
    <t>Chinelas HAvaianas Powers de Pirajus</t>
  </si>
  <si>
    <t>Pazinha de coletar coco de gatos</t>
  </si>
  <si>
    <t>Tylenois Sinuses</t>
  </si>
  <si>
    <t>O Nicolau Ferreira M.A.X.</t>
  </si>
  <si>
    <t xml:space="preserve">Areia de coco do Shiro </t>
  </si>
  <si>
    <t>Gazzozza no PejôGGM5</t>
  </si>
  <si>
    <t>Bebidas no Nicolau ferreira de PiraJus</t>
  </si>
  <si>
    <t>Dadinhos na campineira em pirajus</t>
  </si>
  <si>
    <t xml:space="preserve">Juros de uso do limite da conta corrente </t>
  </si>
  <si>
    <t>Cortar os cabelos no Bunker do Centro</t>
  </si>
  <si>
    <t>Pilhas, canbos e diversos</t>
  </si>
  <si>
    <t>Agua Mineral em 16/12/2022</t>
  </si>
  <si>
    <t>Maçonaria - Contribuição Mensal - Janeiro/2023</t>
  </si>
  <si>
    <t xml:space="preserve">Cartão TOP BOM </t>
  </si>
  <si>
    <t>iFood: Dom Forny</t>
  </si>
  <si>
    <t xml:space="preserve">IPVA 2023 (01/05) </t>
  </si>
  <si>
    <t>iFood: Tacco &amp; Bellss</t>
  </si>
  <si>
    <t>Débito Automático:Fatura Claro Celular</t>
  </si>
  <si>
    <t>PIX: Do Nubank</t>
  </si>
  <si>
    <t>Aluguel BS House + Taxas (25/30)</t>
  </si>
  <si>
    <t>IPTU Del Piano (21/30)</t>
  </si>
  <si>
    <t xml:space="preserve">goCoffe no centro </t>
  </si>
  <si>
    <t>Fatura enel - Janeiro - 2023</t>
  </si>
  <si>
    <t>Lexapro 10mg 60 caps</t>
  </si>
  <si>
    <t xml:space="preserve">Trabalho: UBER: pra ir pro metro </t>
  </si>
  <si>
    <t xml:space="preserve">Remédios de pressão </t>
  </si>
  <si>
    <t>Ração, areia e Agradinho</t>
  </si>
  <si>
    <t>Maçonaria: Pix: Ref. Ao emprestimo pro Rafa em 11/2022</t>
  </si>
  <si>
    <t xml:space="preserve">The Burgues Gallery </t>
  </si>
  <si>
    <t>Pix: Para o NuBank</t>
  </si>
  <si>
    <t>iFood: Di Marino´s</t>
  </si>
  <si>
    <t xml:space="preserve">O Embaixador no centro </t>
  </si>
  <si>
    <t>Controle remoto tv Quarto, Pilhas LR44, cabo celular</t>
  </si>
  <si>
    <t>Americanas: Cuecas novas</t>
  </si>
  <si>
    <t>Americanas: Doces de comer</t>
  </si>
  <si>
    <t>The roller Dances SCS</t>
  </si>
  <si>
    <t>MercadoLivre.com.br: PIX: Placa Captura Vídeo Hdmi Para Usb Tipo C 1080p 4k Ps5 Xbox</t>
  </si>
  <si>
    <t>MercadoLivre.com.br: PIX: Ugreen Cabo Micro Hdmi 2.0 Sony A6000 Gopro Raspberry 1,5m</t>
  </si>
  <si>
    <t>MercadoLivre.com.br: Cabo usb tipo c 3.0 Baseus preto/cinza com entrada USB saída USB-C</t>
  </si>
  <si>
    <t>MercadoLivre.com.br: Pulseira Compatível Seiko Scuba 22mm Diver Skx007 Skx009</t>
  </si>
  <si>
    <t>Maçonaria - Contribuição Mensal - Fevereiro/2023</t>
  </si>
  <si>
    <t>MercadoLivre.com.br: Pix: HomeOffice: Switch Hdmi Adaptador Hub 5x1 Splitter 4k Com Controle</t>
  </si>
  <si>
    <t>Cabos USB C, Suportre celular Mesa, dividos Mic/Som</t>
  </si>
  <si>
    <t>A Sodiê do centro</t>
  </si>
  <si>
    <t>iFood: Super Pizza PAN</t>
  </si>
  <si>
    <t xml:space="preserve">iFood: The Burgies Gallery </t>
  </si>
  <si>
    <t xml:space="preserve">IPVA 2023 (02/05) </t>
  </si>
  <si>
    <t xml:space="preserve">Azias, Busonid, dorflex, Rinosoro </t>
  </si>
  <si>
    <t>Porta Cartão/cracha pra o TOP</t>
  </si>
  <si>
    <t xml:space="preserve">PPR 2022 Claro </t>
  </si>
  <si>
    <t>Sodiê do centro</t>
  </si>
  <si>
    <t xml:space="preserve">Cortar os cbelos </t>
  </si>
  <si>
    <t>A coop de São Caetano do Sul</t>
  </si>
  <si>
    <t xml:space="preserve">A coop de SCS </t>
  </si>
  <si>
    <t>Aluguel BS House + Taxas (26/30)</t>
  </si>
  <si>
    <t>IPTU Del Piano (22/30)</t>
  </si>
  <si>
    <t>Estacionamento No Plaza</t>
  </si>
  <si>
    <t>The Habibes</t>
  </si>
  <si>
    <t>Fatura Enel - Fevereiro - 2023</t>
  </si>
  <si>
    <t xml:space="preserve">areia de coco de gatos e agradinhos </t>
  </si>
  <si>
    <t>The Ex touros Lanches</t>
  </si>
  <si>
    <t xml:space="preserve">Água Mineral </t>
  </si>
  <si>
    <t>Rong He na liberdade</t>
  </si>
  <si>
    <t>HayKay na liberdade</t>
  </si>
  <si>
    <t>Sorvetes na Liberdade</t>
  </si>
  <si>
    <t>Milanta Plus + Pastilhas Magnezia para azias</t>
  </si>
  <si>
    <t>MercadoLivre.com.br: Ograx Gatos Com 30 Capsulas Ômega 3 Ácidos Graxos Essenciais</t>
  </si>
  <si>
    <t>Trabalho: dedo de moça</t>
  </si>
  <si>
    <t xml:space="preserve">Trabalho: cafés </t>
  </si>
  <si>
    <t>iFood; Don Forny</t>
  </si>
  <si>
    <t>Fatura Itau UniClass Visa</t>
  </si>
  <si>
    <t>PCJ serviços de limpeza</t>
  </si>
  <si>
    <t xml:space="preserve">El Botin de Santo André </t>
  </si>
  <si>
    <t>Ração e escovas de dentes</t>
  </si>
  <si>
    <t>iFood: The BurguÊs Galleries</t>
  </si>
  <si>
    <t>PIX: PS2 Fat (SCPH-50001) do Facebook Market (Daniel da Silva Oliveira )</t>
  </si>
  <si>
    <t>Gazoza no Pejô GGM 5</t>
  </si>
  <si>
    <t>Maçonaria: Três Pontos</t>
  </si>
  <si>
    <t>PIX: Controle Adicional + memory cards 32 mb Facebook Market (Daniel da Silva Oliveira )</t>
  </si>
  <si>
    <t>Maçonaria - Contribuição Mensal - Março/2023</t>
  </si>
  <si>
    <t>PIX: Shopee: Suporte Baia Hd 2.5 E Ssd Para Ps2 Playstation 2 Fat</t>
  </si>
  <si>
    <t>PIX: Shopee: Cabo Vídeo Componente Xd540 Para Playstation Ps2 Ps3 Novo</t>
  </si>
  <si>
    <t>PIX: Shopee: Memory Card PS2 com OPL Atual e Free Boot (FMCB) e Emuladores MegaDrive SNES 8MB</t>
  </si>
  <si>
    <t>PIX: Shopee: Modem SATA Ps2 Fat Adaptador Rede Network Adapter Hd Sata</t>
  </si>
  <si>
    <t>PIX: Shopee: Fretes diverso</t>
  </si>
  <si>
    <t>Orçamento da geladeira</t>
  </si>
  <si>
    <t xml:space="preserve">Mercado o Dia %% </t>
  </si>
  <si>
    <t>PIX: MercadoLivre.com.br: Memory Card 8mb + Opl Atualizado + Ulaunchel</t>
  </si>
  <si>
    <t>iFood: Super Pizza, PAM!</t>
  </si>
  <si>
    <t xml:space="preserve">O OxxO </t>
  </si>
  <si>
    <t>iFood: Super Pizza, PAM! - 13/03/2023</t>
  </si>
  <si>
    <t>IPVA 2023 (03/05)</t>
  </si>
  <si>
    <t>PGTO MIN-ITAUCARD-2033</t>
  </si>
  <si>
    <t>Laporte perto de casa</t>
  </si>
  <si>
    <t>PIX: Ref Ao Jantar Rituaistico de 28-mar-2023</t>
  </si>
  <si>
    <t>Trabalho: The Burgues Gallery</t>
  </si>
  <si>
    <t>PIX: Agua mineral</t>
  </si>
  <si>
    <t>Cafe no Plaza</t>
  </si>
  <si>
    <t>Micro ondas novos</t>
  </si>
  <si>
    <t>Cartão de Memória de 16MB</t>
  </si>
  <si>
    <t>Porta-cartão de memória</t>
  </si>
  <si>
    <t>Chaveiro MosquetãO</t>
  </si>
  <si>
    <t>Produtos de unhas</t>
  </si>
  <si>
    <t xml:space="preserve">Coisas na Sayso </t>
  </si>
  <si>
    <t>Estacionamento no Plaza</t>
  </si>
  <si>
    <t>O oXXo (1)</t>
  </si>
  <si>
    <t xml:space="preserve">o Oxxo (2) </t>
  </si>
  <si>
    <t>Aluguel BS House + Taxas (27/30)</t>
  </si>
  <si>
    <t>IPTU Del Piano (23/30)</t>
  </si>
  <si>
    <t>Lampada para o Banheiro, e kit tomadas micro ondas</t>
  </si>
  <si>
    <t>PIX: MercadoLivre.com.br: Conversor Ps2 Audio Vídeo Av Para Cabo HdmI</t>
  </si>
  <si>
    <t>Fatura Enel - Março - 2023</t>
  </si>
  <si>
    <t>Trabalho: A padoca santa monica perto de casa</t>
  </si>
  <si>
    <t xml:space="preserve">Medicação pra pressão e colesterol </t>
  </si>
  <si>
    <t xml:space="preserve">Capinha de fone de ouvidos Apple like </t>
  </si>
  <si>
    <t xml:space="preserve">No mercadiho do prdio </t>
  </si>
  <si>
    <t>no oxxo</t>
  </si>
  <si>
    <t>Sorvere no choppunt</t>
  </si>
  <si>
    <t>No Grand Plaza</t>
  </si>
  <si>
    <t>PIX: Agua mineria de 31/03</t>
  </si>
  <si>
    <t>Gazoza no Pejkô GGM 5</t>
  </si>
  <si>
    <t>PIX: MercadoLivre.com.br: Ograx Gatos C/30 Cápsulas Avert Omega 3 Epa + Dha</t>
  </si>
  <si>
    <t xml:space="preserve">Vinhos no mercado perto do trabalho </t>
  </si>
  <si>
    <t>Pix: Shopee.com: Controle Remoto scph-10420 Original Para SONY PLAYSTATION 2/PS2 DVD Player-77001 70000</t>
  </si>
  <si>
    <t>iFood: Super Pizza, PAN!!!</t>
  </si>
  <si>
    <t>Pix: MercadoLivre.com.br: Case HD 2.5 usb</t>
  </si>
  <si>
    <t>O Outbacks do Mappim</t>
  </si>
  <si>
    <t>estacionamento no Mapping</t>
  </si>
  <si>
    <t xml:space="preserve">A coop da pindustrial </t>
  </si>
  <si>
    <t>Maçonaria - Contribuição Mensal - Abril/2023</t>
  </si>
  <si>
    <t>Multa do Peugeot de 19/12/2022</t>
  </si>
  <si>
    <t>Busonid 32MG/L</t>
  </si>
  <si>
    <t xml:space="preserve">IPVA 2023 (04/05) </t>
  </si>
  <si>
    <t>Pix: MercadoLivre.com.br: Cabo Audio Optico Digital 1,8 Mts Spdif Som Da Tv No Home</t>
  </si>
  <si>
    <t>Na soneda m coisas diversas</t>
  </si>
  <si>
    <t>Barbeador March 3</t>
  </si>
  <si>
    <t>08 pixas AAA</t>
  </si>
  <si>
    <t>Hamburgão no paço municipal</t>
  </si>
  <si>
    <t>Cervejas no Paço Municipal</t>
  </si>
  <si>
    <t xml:space="preserve">Batas Fritas no Paço Municipal </t>
  </si>
  <si>
    <t>Churros espanhois no Paço municipal</t>
  </si>
  <si>
    <t>Areia de coco e agradinhos</t>
  </si>
  <si>
    <t xml:space="preserve">Maçonaria: Tres Pontos </t>
  </si>
  <si>
    <t>Aluguel BS House + Taxas (28/30)</t>
  </si>
  <si>
    <t>IPTU Del Piano (24/30)</t>
  </si>
  <si>
    <t>Taxa de Boletos</t>
  </si>
  <si>
    <t>Pix: Game: Prince Of Persia</t>
  </si>
  <si>
    <t>Pix: Game: Bioshock 01</t>
  </si>
  <si>
    <t xml:space="preserve">The Burgues for </t>
  </si>
  <si>
    <t>ifood: Don forny</t>
  </si>
  <si>
    <t>Fatura Enel - Abril - 2023</t>
  </si>
  <si>
    <t xml:space="preserve">Cortar os cabelos </t>
  </si>
  <si>
    <t>Gazoza n oPejô GGM5</t>
  </si>
  <si>
    <t xml:space="preserve">iFood: The Burges Gallery </t>
  </si>
  <si>
    <t>No pejo GGM 5 pra ir pra piraju 5</t>
  </si>
  <si>
    <t>Areia de coco, agradinnhos e comprimidos de vomitos</t>
  </si>
  <si>
    <t>O Nicolau Ferreira Max de Pirajus</t>
  </si>
  <si>
    <t>O Castelinho da pamonha na estrada</t>
  </si>
  <si>
    <t>ZUL Digital</t>
  </si>
  <si>
    <t>Lexapro 10mg / Hidrocloritiazia / lorartana /sinvastatina</t>
  </si>
  <si>
    <t>Ome-Pra-Zol</t>
  </si>
  <si>
    <t>tar com digi</t>
  </si>
  <si>
    <t>Pix: MercadoLivre.combr: Game: Prince Of Persia - Forgotten Sands</t>
  </si>
  <si>
    <t>2 reguas tomadas 5x, 3 adaptadores, uma lampada</t>
  </si>
  <si>
    <t xml:space="preserve">Cabo de Force </t>
  </si>
  <si>
    <t xml:space="preserve">PIX: Do NuBank </t>
  </si>
  <si>
    <t>iFood: Pizza HUT</t>
  </si>
  <si>
    <t xml:space="preserve">The Johnnny rockets do Plaza </t>
  </si>
  <si>
    <t>Symbicort 12/400 , AntiAlergico, Soro fisiologico, dorflex</t>
  </si>
  <si>
    <t>Estacionamento no GrandePlazas</t>
  </si>
  <si>
    <t>SEGURO LIS ITAU 23050</t>
  </si>
  <si>
    <t xml:space="preserve">Ração e Saches </t>
  </si>
  <si>
    <t>Maçonaria - Contribuição Mensal - Maio/2023</t>
  </si>
  <si>
    <t xml:space="preserve">Água Mneral </t>
  </si>
  <si>
    <t>Mylanta Plus + Pastilhas de azias</t>
  </si>
  <si>
    <t xml:space="preserve">IPVA 2023 (05/05) </t>
  </si>
  <si>
    <t>Pix: Game: Dika Game: Metal Gear Solid 4</t>
  </si>
  <si>
    <t>Pix: Game: Dika Game: Rember Me</t>
  </si>
  <si>
    <t>Pix: Game: Dika Game: Ico &amp; Shadow of the colossus</t>
  </si>
  <si>
    <t>Pix: Game: Dika Game: BioShock Infinit</t>
  </si>
  <si>
    <t>Pix: Game: Dika Game: DarkSiders</t>
  </si>
  <si>
    <t>Pix: Game: Dika Game: Heavy Rain</t>
  </si>
  <si>
    <t>Pix: Game: Dika Game: Beyond: Two Souls</t>
  </si>
  <si>
    <t>Pix: Game: Dika Game: Dark Sector</t>
  </si>
  <si>
    <t xml:space="preserve">Resistência de chuveiro +  dois ralos </t>
  </si>
  <si>
    <t>Cosméticos GOYA</t>
  </si>
  <si>
    <t xml:space="preserve">Bomba para ágia mineral </t>
  </si>
  <si>
    <t>PIX: Fone de Ouvidos Sem Fios FN-BA3</t>
  </si>
  <si>
    <t>GoCoffe do centro</t>
  </si>
  <si>
    <t xml:space="preserve">iFood: The Burgues Galerry </t>
  </si>
  <si>
    <t xml:space="preserve">A coop da Insdustrial </t>
  </si>
  <si>
    <t>iFood: SuperPizza, PAM!!!!</t>
  </si>
  <si>
    <t xml:space="preserve">BodeBrow Beer no passos </t>
  </si>
  <si>
    <t>Vitinho Burgues no passo</t>
  </si>
  <si>
    <t xml:space="preserve">Churrus no passo </t>
  </si>
  <si>
    <t xml:space="preserve">Boné de Iron Maiden no passo </t>
  </si>
  <si>
    <t>Aluguel BS House + Taxas (29/30)</t>
  </si>
  <si>
    <t>IPTU Del Piano (29/30)</t>
  </si>
  <si>
    <t xml:space="preserve">Seguro Incencio  - renovação </t>
  </si>
  <si>
    <t>Fatura Enel - Maio - 2023</t>
  </si>
  <si>
    <t xml:space="preserve">Mais um chuveiro novo </t>
  </si>
  <si>
    <t xml:space="preserve">Cortar os cabelos da cabeça </t>
  </si>
  <si>
    <t xml:space="preserve">Lixas diversas </t>
  </si>
  <si>
    <t>SharkPowerGames.com.br: Cartão De Memória Sony Scph-10020 8 Mb</t>
  </si>
  <si>
    <t>Gazzozza n oPejozera</t>
  </si>
  <si>
    <t>Pix: Game: Dika Game: Brütal Legend</t>
  </si>
  <si>
    <t>Pix: Game: Dika Game: Shadow of The Damned</t>
  </si>
  <si>
    <t xml:space="preserve">No mercadinho do Prédio </t>
  </si>
  <si>
    <t>No São CaetanoPark Shopping</t>
  </si>
  <si>
    <t>Game: PIX: FacebookMarketPlace: X-Blades</t>
  </si>
  <si>
    <t>ComGás de cozinhas</t>
  </si>
  <si>
    <t>Claro S/A</t>
  </si>
  <si>
    <t xml:space="preserve">PIX: Da CC XP </t>
  </si>
  <si>
    <t xml:space="preserve">PIX: Alice Madness Returns </t>
  </si>
  <si>
    <t xml:space="preserve">Areia de coco + Saches </t>
  </si>
  <si>
    <t>Pix: Game: MercadoLivre.com.br: Asura´s Wrath</t>
  </si>
  <si>
    <t>Frete: Pix: Game: MercadoLivre.com.br: Asura´s Wrath</t>
  </si>
  <si>
    <t>Pix: MercadoLivre.com.br: Ograx Gatos Com 30 Capsulas Ômega 3 Ácidos Graxos Essenciais</t>
  </si>
  <si>
    <t>Frete: Pix: Ograx Gatos Com 30 Capsulas Ômega 3 Ácidos Graxos Essenciais</t>
  </si>
  <si>
    <t xml:space="preserve">Pastelaria barcelona </t>
  </si>
  <si>
    <t xml:space="preserve">Ração primium </t>
  </si>
  <si>
    <t xml:space="preserve">Taxa de Importação - NB280166231BR - GoW I (2005) EBAy US&amp;A </t>
  </si>
  <si>
    <t>Taxa de Importação - NB263691648BR - GoW II (2007) EBAy US&amp;A</t>
  </si>
  <si>
    <t>Maçonaria: Tes Pontos</t>
  </si>
  <si>
    <t>SEGURO LIS ITAU 23060</t>
  </si>
  <si>
    <t>Para o contato do Botura.</t>
  </si>
  <si>
    <t>The Burguês 4 you</t>
  </si>
  <si>
    <t>Lampada LED E14 para a luminaria de cabeçeira</t>
  </si>
  <si>
    <t>Porto fino do Shopping Plaza</t>
  </si>
  <si>
    <t>No grande Plaza</t>
  </si>
  <si>
    <t>NA coop da industrial</t>
  </si>
  <si>
    <t>Maçonaria - Contribuição Mensal - Junho/2023</t>
  </si>
  <si>
    <t>Omeprazol, Buzonid, remedios de pressão</t>
  </si>
  <si>
    <t>O Habibes da DomPedro II</t>
  </si>
  <si>
    <t xml:space="preserve">iFood: The Burgês Gallery </t>
  </si>
  <si>
    <t xml:space="preserve">Churrasco Blindado é no mome </t>
  </si>
  <si>
    <t>Água mineral</t>
  </si>
  <si>
    <t>Aluguel BS House + Taxas (30/30)</t>
  </si>
  <si>
    <t>IPTU Del Piano (30/30)</t>
  </si>
  <si>
    <t>Enel Junho 2023</t>
  </si>
  <si>
    <t xml:space="preserve">PIX: Àgua Mineral </t>
  </si>
  <si>
    <t>Vero Verde Pizzerias</t>
  </si>
  <si>
    <t>AEROLIN SPY 200D</t>
  </si>
  <si>
    <t>Dove Spray anti transpirantes</t>
  </si>
  <si>
    <t>Spray anti transpirantes</t>
  </si>
  <si>
    <t>Sorvete no oxxo</t>
  </si>
  <si>
    <t>Bosonid 32mg , Prednisona 20 mg</t>
  </si>
  <si>
    <t>Trabalho:  Chopp Time</t>
  </si>
  <si>
    <t>iFood: Super, Pizza, PAN!!!</t>
  </si>
  <si>
    <t xml:space="preserve">PIX: Doces de leite do Tio Vantu </t>
  </si>
  <si>
    <t>PIX: Para o MerCardoPago</t>
  </si>
  <si>
    <t xml:space="preserve">PIX: para o NuBank </t>
  </si>
  <si>
    <t xml:space="preserve">PIX: Game: ReiDosCoins.com.br: R$ 100 de credito na PSN (asura´s Wrath) </t>
  </si>
  <si>
    <t>ração e saches diversos</t>
  </si>
  <si>
    <t>iFood: The Burgues Gallery</t>
  </si>
  <si>
    <t>iFood: Calzone´s</t>
  </si>
  <si>
    <t>SEGURO LIS ITAU 23070</t>
  </si>
  <si>
    <t xml:space="preserve">Água mineral </t>
  </si>
  <si>
    <t>iFood: Super, Pizza. PAN!</t>
  </si>
  <si>
    <t>O Jeronimo´s da Paineira´s</t>
  </si>
  <si>
    <t>A Sodiê do Centrô</t>
  </si>
  <si>
    <t>Kasato Sushi SCS</t>
  </si>
  <si>
    <t xml:space="preserve">NA coop da Indistrial </t>
  </si>
  <si>
    <t>Na farmácia da Coop</t>
  </si>
  <si>
    <t>Trabalho: Cafés NaNiCa´s</t>
  </si>
  <si>
    <t xml:space="preserve">iFood: BarBaRos </t>
  </si>
  <si>
    <t>O Dia %%%</t>
  </si>
  <si>
    <t>Diff Valor Pago A Menos em 06/2023</t>
  </si>
  <si>
    <t>iFood: Ragazzo (A Estornar)</t>
  </si>
  <si>
    <t>iFood: Ragazzo</t>
  </si>
  <si>
    <t>Enel Julho 2023</t>
  </si>
  <si>
    <t>Gazoza no Pejô 55M5</t>
  </si>
  <si>
    <t>Bolos diversos para a tarde</t>
  </si>
  <si>
    <t>A padoca santa monicas</t>
  </si>
  <si>
    <t>Areia de coco e saches</t>
  </si>
  <si>
    <t>The B Burgues</t>
  </si>
  <si>
    <t xml:space="preserve">Café no Sodiê do centro </t>
  </si>
  <si>
    <t>A coop da indistrial</t>
  </si>
  <si>
    <t xml:space="preserve"> </t>
  </si>
  <si>
    <t>o Ó-qui-sso</t>
  </si>
  <si>
    <t>Faxinaria</t>
  </si>
  <si>
    <t>Lavagem no Pejo</t>
  </si>
  <si>
    <t>Game: NieR</t>
  </si>
  <si>
    <t>Game: Quantun Theory</t>
  </si>
  <si>
    <t>Frete dos 2 Games do JP</t>
  </si>
  <si>
    <t>coisas diversas na farmácia</t>
  </si>
  <si>
    <t>O Madero´s do Shopping de SBC</t>
  </si>
  <si>
    <t>Estacionamento no shopping</t>
  </si>
  <si>
    <t>Inframax</t>
  </si>
  <si>
    <t>Água mIneral</t>
  </si>
  <si>
    <t>Go! Coffeee</t>
  </si>
  <si>
    <t>lavagem na EchoXport GGM4</t>
  </si>
  <si>
    <t>Game: MercadoLivre.com.br: Grant Turismo 7</t>
  </si>
  <si>
    <t>Bolsa de armazenar PSP 3k Slin</t>
  </si>
  <si>
    <t>Frete da Bolsa</t>
  </si>
  <si>
    <t>iFood: The Barbaro´s</t>
  </si>
  <si>
    <t>SEGURO LIS ITAU 23080</t>
  </si>
  <si>
    <t>Fatura ComGás - Julho - 2023</t>
  </si>
  <si>
    <t>Laportes Restaurantes</t>
  </si>
  <si>
    <t>iFood: Habibes</t>
  </si>
  <si>
    <t>Berô Retro: Bateria 4800mah</t>
  </si>
  <si>
    <t>The B Burgês</t>
  </si>
  <si>
    <t>Symbicort 12/400 + Desodorizantes</t>
  </si>
  <si>
    <t>Café na Sodiê Dôces</t>
  </si>
  <si>
    <t>Maçonaria - Contribuição Mensal - Agosto/2023</t>
  </si>
  <si>
    <t>Maçonaria: 5ASec</t>
  </si>
  <si>
    <t xml:space="preserve">iFood: Radiola Pizzeria </t>
  </si>
  <si>
    <t>Fonte de 5v2A</t>
  </si>
  <si>
    <t xml:space="preserve">Busonid| Omeprazol e Rinosoro </t>
  </si>
  <si>
    <t>O extra do shopping</t>
  </si>
  <si>
    <t>Enel Agosto 2023</t>
  </si>
  <si>
    <t xml:space="preserve">iFood: Pizzeria Artico </t>
  </si>
  <si>
    <t>iFood: The Burgues Gallaries</t>
  </si>
  <si>
    <t>ifood: Pizza rute</t>
  </si>
  <si>
    <t>PIX: Game: Tomb Raider 2013</t>
  </si>
  <si>
    <t>Pelicula protetora de celular</t>
  </si>
  <si>
    <t>iFood: Super Pizza, PAN!</t>
  </si>
  <si>
    <t xml:space="preserve">Pix: MercadoLIvre.com.br: Cartão 128 GB </t>
  </si>
  <si>
    <t>Licenciamento Echo 2023</t>
  </si>
  <si>
    <t xml:space="preserve">Multa de 13/05/2023 - Dika Games - </t>
  </si>
  <si>
    <t>Frete da Kabbalah Hermetica 3.0</t>
  </si>
  <si>
    <t>Pagamento de Fatura NuBank Masters</t>
  </si>
  <si>
    <t>Fatura da comGás</t>
  </si>
  <si>
    <t>B BurguÊs</t>
  </si>
  <si>
    <t>Go Coffe</t>
  </si>
  <si>
    <t>IOF no perido</t>
  </si>
  <si>
    <t>PIX: Na veridiana Pezzaria</t>
  </si>
  <si>
    <t>iFood: Super Puzza PAN</t>
  </si>
  <si>
    <t>SEGURO LIS ITAU 23090</t>
  </si>
  <si>
    <t>Baby Pasteis</t>
  </si>
  <si>
    <t>A coop da idustrial</t>
  </si>
  <si>
    <t>Ifood: Burgers Galleries</t>
  </si>
  <si>
    <t>Maçonaria - Contribuição Mensal - Setembro/2023</t>
  </si>
  <si>
    <t>Maconaria: Tres Pontos</t>
  </si>
  <si>
    <t>iFood: Tacco &amp; Bells</t>
  </si>
  <si>
    <t>PIX: água coqueiros</t>
  </si>
  <si>
    <t>iFood: The Burgues Galleies</t>
  </si>
  <si>
    <t>Pastilhas anti azias</t>
  </si>
  <si>
    <t>Enel Setembro 2023</t>
  </si>
  <si>
    <t xml:space="preserve">iFood: Pizza Artico </t>
  </si>
  <si>
    <t>Go Coffeee no centro</t>
  </si>
  <si>
    <t>cortar os cabelos</t>
  </si>
  <si>
    <t>Pastilhas de azias</t>
  </si>
  <si>
    <t>Fatura NuBank Masters</t>
  </si>
  <si>
    <t>Agua Mineram em 29-set-2023</t>
  </si>
  <si>
    <t>Busonid e remedios de pressão e cholesterol</t>
  </si>
  <si>
    <t>SEGURO LIS ITAU 23100</t>
  </si>
  <si>
    <t>Kalunga: Caixas organizadoras pas coisas do PS2</t>
  </si>
  <si>
    <t>Klaunga: Chocolates</t>
  </si>
  <si>
    <t>iFood: Pizzariea Artico</t>
  </si>
  <si>
    <t>iFood: The Burgues Galleires</t>
  </si>
  <si>
    <t xml:space="preserve">Saches de bolas de pelos </t>
  </si>
  <si>
    <t>Tylenol Sinus</t>
  </si>
  <si>
    <t xml:space="preserve">Graminha de gato para o estomago </t>
  </si>
  <si>
    <t>Gazzoza no pejo GGM5</t>
  </si>
  <si>
    <t>Nimesulida 100mg</t>
  </si>
  <si>
    <t>PIX: Água Mineral coqueiros</t>
  </si>
  <si>
    <t>iFood: Netao</t>
  </si>
  <si>
    <t>iFood: The burguês Galleries</t>
  </si>
  <si>
    <t>iFood: Didio Pizzeria´s</t>
  </si>
  <si>
    <t>Enel Outubro 2023</t>
  </si>
  <si>
    <t>Bradesco Saudes</t>
  </si>
  <si>
    <t>Restituição do bradesco saude</t>
  </si>
  <si>
    <t>Fatura Amazon Visa</t>
  </si>
  <si>
    <t>Fatura MercadoPago Visa</t>
  </si>
  <si>
    <t>Fatura ItauUniClass Visa</t>
  </si>
  <si>
    <t>PIX: Taxa: ref à exaltação à M.'.M.'. NE132 Em 31/10/2023</t>
  </si>
  <si>
    <t>PIX da agua mineral</t>
  </si>
  <si>
    <t>PIX: Combosoa das Fogazaas de SCS</t>
  </si>
  <si>
    <t xml:space="preserve">No Hospital brasil </t>
  </si>
  <si>
    <t>SEGURO LIS ITAU 23110</t>
  </si>
  <si>
    <t>PIX: Consula Tomáz</t>
  </si>
  <si>
    <t>Água mineral dos coqueiros</t>
  </si>
  <si>
    <t>Fatura Enel - Novambro - 2023</t>
  </si>
  <si>
    <t xml:space="preserve">Perto da clinica de exames do Hospital brazil </t>
  </si>
  <si>
    <t xml:space="preserve">Bateria do telogio Nautica </t>
  </si>
  <si>
    <t>Baterias dos Swatches</t>
  </si>
  <si>
    <t>PIX: ref ao jantar ritualístico de 05/12 e ao Almoço do dia 09/12</t>
  </si>
  <si>
    <t>SEGURO LIS ITAU 23120</t>
  </si>
  <si>
    <t>Pix: João do carreto para tirar o sofá</t>
  </si>
  <si>
    <t>PIX: agua mineral</t>
  </si>
  <si>
    <t>Maçonaria - Contribuição Mensal - Dezembro/2023</t>
  </si>
  <si>
    <t xml:space="preserve">Rstante 13º claro </t>
  </si>
  <si>
    <t>GAME: Red dead Redemption</t>
  </si>
  <si>
    <t>Game: Sport Champions</t>
  </si>
  <si>
    <t>Game: Michael Jackson : The Experience</t>
  </si>
  <si>
    <t>2x PS Motion e OS navigation e PS Eye</t>
  </si>
  <si>
    <t>Fatura Enel - dezembro - 2023</t>
  </si>
  <si>
    <t>Carregador para as lampadas leds gamers</t>
  </si>
  <si>
    <t xml:space="preserve">o carrefour </t>
  </si>
  <si>
    <t>Game: Pix: Shadow of The Colossus</t>
  </si>
  <si>
    <t>Game: Pix: Devil May Cry 5</t>
  </si>
  <si>
    <t>fretes Pix:</t>
  </si>
  <si>
    <t>SEGURO LIS ITAU 2024010</t>
  </si>
  <si>
    <t xml:space="preserve">PIX: água mineral </t>
  </si>
  <si>
    <t>IPVA Echo (01/05)</t>
  </si>
  <si>
    <t>Maçonaria - Contribuição Mensal - Janeiro/2024</t>
  </si>
  <si>
    <t xml:space="preserve">PIX: Console PS2 Slim do bernô Retro </t>
  </si>
  <si>
    <t>02 passes de metro</t>
  </si>
  <si>
    <t>Fatura Enel - Janeiro - 2024</t>
  </si>
  <si>
    <t>Taxa do OS move batteries</t>
  </si>
  <si>
    <t>SEGURO LIS ITAU 24020</t>
  </si>
  <si>
    <t xml:space="preserve">PPRL 2023 </t>
  </si>
  <si>
    <t>PIX: Para o MercadoPAgo CC</t>
  </si>
  <si>
    <t>Bandeija de areia de coco de gato e coisas divrsas</t>
  </si>
  <si>
    <t>Cervejas para o Furlan</t>
  </si>
  <si>
    <t>Gasosa no Pejo</t>
  </si>
  <si>
    <t>Areia e saches</t>
  </si>
  <si>
    <t>PIX: Esio 40mg</t>
  </si>
  <si>
    <t xml:space="preserve">Ovos na estrada </t>
  </si>
  <si>
    <t>Pizzeria torre de Pizza]</t>
  </si>
  <si>
    <t>Nicolaus Max</t>
  </si>
  <si>
    <t>Gazzozza no pejo</t>
  </si>
  <si>
    <t>Esfhiraria piraju</t>
  </si>
  <si>
    <t>o Castellinho da Pamonha´s</t>
  </si>
  <si>
    <t>PIX: Do MercadoPagoCC</t>
  </si>
  <si>
    <t>IPVA Echo (02/05)</t>
  </si>
  <si>
    <t>REMUNERACAO/SALARIO CLARO S/A</t>
  </si>
  <si>
    <t>PIX: para o MercadoPaco CC</t>
  </si>
  <si>
    <t>PIX: Do MarcadoPago CC</t>
  </si>
  <si>
    <t>PIX: Do  MercadoPagoCC</t>
  </si>
  <si>
    <t>SEGURO LIS ITAU 24030</t>
  </si>
  <si>
    <t>IPVA Echo (03/05)</t>
  </si>
  <si>
    <t>Game: Prince Of Persia The Warrior Within</t>
  </si>
  <si>
    <t>Game: Mirrors Edge</t>
  </si>
  <si>
    <t>Game: Horizon Zero Dawn</t>
  </si>
  <si>
    <t>Acooper</t>
  </si>
  <si>
    <t xml:space="preserve">Fatura crediCard Master </t>
  </si>
  <si>
    <t>Fatura Nunabk Master</t>
  </si>
  <si>
    <t xml:space="preserve">RENDIMENTO NO PERIODO </t>
  </si>
  <si>
    <t>Jantar Ritualistico Abril/2024</t>
  </si>
  <si>
    <t>PIX: Para o MercadoPago_CC</t>
  </si>
  <si>
    <t>PIX: para o MercadoPago CC</t>
  </si>
  <si>
    <t>PIX: Ahuas coqueiros</t>
  </si>
  <si>
    <t>Medicações para a gartanta</t>
  </si>
  <si>
    <t>o Carrefour</t>
  </si>
  <si>
    <t>Maçonaria: Tres Ponto</t>
  </si>
  <si>
    <t>PIX: Água Mineral</t>
  </si>
  <si>
    <t>Maçonaria - Contribuição Mensal - Abril/2024</t>
  </si>
  <si>
    <t>IPVA Echo (04/05)</t>
  </si>
  <si>
    <t xml:space="preserve">PIX: para agua mineral </t>
  </si>
  <si>
    <t>Fatura Enel - Abril / 2024</t>
  </si>
  <si>
    <t>Gazzozza pra ir pra Piraju</t>
  </si>
  <si>
    <t>PIX: Sertralina</t>
  </si>
  <si>
    <t>Tarifa de comunicação digitals</t>
  </si>
  <si>
    <t xml:space="preserve">Tntas para as calças </t>
  </si>
  <si>
    <t>SEGURO LIS ITAU 24050</t>
  </si>
  <si>
    <t>PIX: pro Mauro Martins</t>
  </si>
  <si>
    <t>PIX: conserto geladeira</t>
  </si>
  <si>
    <t>IPVA Echo (05/05)</t>
  </si>
  <si>
    <t>Maçonaria: contribuição mensal Maio /2024</t>
  </si>
  <si>
    <t xml:space="preserve">No hospital brasil </t>
  </si>
  <si>
    <t xml:space="preserve">Renovação seguro Incendio </t>
  </si>
  <si>
    <t>Fatura Enel - Maio / 2024</t>
  </si>
  <si>
    <t>No lado do Hospital</t>
  </si>
  <si>
    <t xml:space="preserve">PIX: Agua mIneral </t>
  </si>
  <si>
    <t>Carrefour da Alegre</t>
  </si>
  <si>
    <t>Na clinica do Hospital</t>
  </si>
  <si>
    <t xml:space="preserve">pix: vinhos do Vantuir </t>
  </si>
  <si>
    <t>Juros Limite da Conta</t>
  </si>
  <si>
    <t>Seguro lis itau 24060</t>
  </si>
  <si>
    <t>Ref ao jantar do dia 06/07/2024</t>
  </si>
  <si>
    <t>Rifa da Mãe Kelly</t>
  </si>
  <si>
    <t>Maçonaria: contribuição mensal Junho /2024</t>
  </si>
  <si>
    <t xml:space="preserve">Pix: Agua mIneral </t>
  </si>
  <si>
    <t>PIX: Para os vinhos do Vantuir</t>
  </si>
  <si>
    <t>Fatura Enel - Junho  / 2024</t>
  </si>
  <si>
    <t xml:space="preserve">Controle Guitar Hero (01/02) </t>
  </si>
  <si>
    <t xml:space="preserve">Controle Guitar Hero (02/02) </t>
  </si>
  <si>
    <t>PIX: Lexapro 10mg</t>
  </si>
  <si>
    <t xml:space="preserve">A coop da industgrial </t>
  </si>
  <si>
    <t>Game: MeuGameUsado.com.br: DmC</t>
  </si>
  <si>
    <t>Game: MeuGameUsado.com.br: Resident Evil 5</t>
  </si>
  <si>
    <t>Fretes</t>
  </si>
  <si>
    <t>Game: MagaLu.com.br: Assassin's Creed IV Black Flag</t>
  </si>
  <si>
    <t xml:space="preserve">Frete </t>
  </si>
  <si>
    <t>PIX: Game: Resident Evil 2 REMAKE</t>
  </si>
  <si>
    <t>PIX: Game: Resident Evil 5 remaster</t>
  </si>
  <si>
    <t xml:space="preserve">PIX: Pulseira de AppleWatch </t>
  </si>
  <si>
    <t>Camiseta preta do Iron Madiden Metal CD</t>
  </si>
  <si>
    <t>Mercadolivre.com.br: MousePad 60X40</t>
  </si>
  <si>
    <t>frete</t>
  </si>
  <si>
    <t>Gazzozza no pejo GGM 5</t>
  </si>
  <si>
    <t xml:space="preserve">PIX: Ingrsso evento Galpão dos Games </t>
  </si>
  <si>
    <t>PIX: Game: Resident Evil 4</t>
  </si>
  <si>
    <t>PIX: Game: Days Gone</t>
  </si>
  <si>
    <t>PIX: Game: Nioh Collection</t>
  </si>
  <si>
    <t xml:space="preserve">PIX: Game: Mad Max </t>
  </si>
  <si>
    <t>PIX: Game: Ghost of Tsushima</t>
  </si>
  <si>
    <t>PIX: Sharp Shooter</t>
  </si>
  <si>
    <t>O Joaninha sonda</t>
  </si>
  <si>
    <t>rações e saches</t>
  </si>
  <si>
    <t>Seguro LIS itau 24070</t>
  </si>
  <si>
    <t>Pix: MercadoLivre.com.br: Desk Pad Gamer Extra Grande Feroz Wf 60x40 + Brinde Speed</t>
  </si>
  <si>
    <t>Frete : Desk Pad Gamer Extra Grande Feroz Wf 60x40 + Brinde Speed</t>
  </si>
  <si>
    <t>o restaurante da DUMÁS</t>
  </si>
  <si>
    <t>Pix: Consulado do Rock : Camista Iron Maiden Sem-Jutsu</t>
  </si>
  <si>
    <t>PIX gfrete camiseta</t>
  </si>
  <si>
    <t>PIX: Game: CyberPunk 2077</t>
  </si>
  <si>
    <t>PIX: Game: Guitar Hero III</t>
  </si>
  <si>
    <t>Lanche no Game CONs</t>
  </si>
  <si>
    <t>PIX: Camiseta Accident of Birth</t>
  </si>
  <si>
    <t>Marmitas do primus</t>
  </si>
  <si>
    <t>Perfume One Million</t>
  </si>
  <si>
    <t>PIX: Bateria nova do Pejô</t>
  </si>
  <si>
    <t>Gaozza no Pejô GGM5</t>
  </si>
  <si>
    <t>Pasteis da Barcelonas</t>
  </si>
  <si>
    <t>Maçonaria: contribuição mensal Julho /2024</t>
  </si>
  <si>
    <t xml:space="preserve">conserto do Fogão </t>
  </si>
  <si>
    <t xml:space="preserve">Anel de Vedação </t>
  </si>
  <si>
    <t>Pilhas diversas 4xAAA</t>
  </si>
  <si>
    <t>PIX: massa de calafetrar</t>
  </si>
  <si>
    <t>Ovos na estrada de avaré</t>
  </si>
  <si>
    <t>Fatura Enel - Julho  / 2024</t>
  </si>
  <si>
    <t xml:space="preserve">timtutas de roupas em piraju </t>
  </si>
  <si>
    <t xml:space="preserve">PIX: para o leandro ref à pia do banheiro </t>
  </si>
  <si>
    <t>Chave phillips na Archofel piraju</t>
  </si>
  <si>
    <t>Agosto/ 2024</t>
  </si>
  <si>
    <t>PÍX: Agua mineral</t>
  </si>
  <si>
    <t>Seguro LIS itau 24080</t>
  </si>
  <si>
    <t>Maçonaria: contribuição mensal Agosto /2024</t>
  </si>
  <si>
    <t>Licenciamento Echo 2024</t>
  </si>
  <si>
    <t>Multa da Echo em 01/09/2023 -  Venc. 19/03/2024</t>
  </si>
  <si>
    <t>setembro/ 2024</t>
  </si>
  <si>
    <t>SEGURO LIS ITAU 24090</t>
  </si>
  <si>
    <t>Maçonaria: contribuição mensal Setembro /2024</t>
  </si>
  <si>
    <t>PIX: Para o MercadoLIvre</t>
  </si>
  <si>
    <t>PIX: BTG_Pactual</t>
  </si>
  <si>
    <t>PIX: Do MercadoPago CC</t>
  </si>
  <si>
    <t>cartões de Crédito</t>
  </si>
  <si>
    <t>Seguro LIS itau 24010</t>
  </si>
  <si>
    <t>Maçonaria: contribuição mensal Outubro /2024</t>
  </si>
  <si>
    <t>PIX: Taxa importação RD032556205HK: Final Fantasy XII PlayStation 2 PS2 US Version Complete W/Manual Reg Card CIB</t>
  </si>
  <si>
    <t>pix: Agua mineral</t>
  </si>
  <si>
    <t>Hong-Re liberdade</t>
  </si>
  <si>
    <t>Na liberdade</t>
  </si>
  <si>
    <t>PIX: Taxa importação LX075019473CA:  Bloodrayne PS2</t>
  </si>
  <si>
    <t>PIX: do Santander</t>
  </si>
  <si>
    <t xml:space="preserve">PIX: Taxa importação CF160889136AU:  Primal PS2 (from Australia) </t>
  </si>
  <si>
    <t xml:space="preserve">Juros e correções no periodo </t>
  </si>
  <si>
    <t>eletroPaulo - Outubro / 2024</t>
  </si>
  <si>
    <t>PIX: medicamentos</t>
  </si>
  <si>
    <t>PIX: frete do medicamento</t>
  </si>
  <si>
    <t>Licenciamento Pejô 208 2024</t>
  </si>
  <si>
    <t>Maçonaria: Adesivos pro furlan</t>
  </si>
  <si>
    <t>PIX: Agua mineral da Ivonette</t>
  </si>
  <si>
    <t>PIX: Game: Prince of Persia: Sands of Time</t>
  </si>
  <si>
    <t>PIX: Frete: Game: Prince of Persia: Sands of Time</t>
  </si>
  <si>
    <t>novembro/ 2024</t>
  </si>
  <si>
    <t>PIX: Do santander</t>
  </si>
  <si>
    <t>Fatura CredCard Master</t>
  </si>
  <si>
    <t>Fatura Amazon Master</t>
  </si>
  <si>
    <t>Game: Pix: Warhammer 40k</t>
  </si>
  <si>
    <t>Game: Pix: Final Fantasy XII agora com latinha e dvd extra</t>
  </si>
  <si>
    <t>Game: Pix: Guitar Hero III reposicao</t>
  </si>
  <si>
    <t>Pagamento de multa da echo</t>
  </si>
  <si>
    <t>Seguro LIS Itau  24110</t>
  </si>
  <si>
    <t>Maçonaria: contribuição mensal Novembro/2024</t>
  </si>
  <si>
    <t>Bateria "Nova" do Omar Ferrari no WhatsApp</t>
  </si>
  <si>
    <t>Frete: Bateria "Nova" do Omar Ferrarri no WhatsApp</t>
  </si>
  <si>
    <t>REMUNERACAO/SALARIO</t>
  </si>
  <si>
    <t>Ovos na estrada</t>
  </si>
  <si>
    <t>Paes  diversos</t>
  </si>
  <si>
    <t>agua minerao</t>
  </si>
  <si>
    <t>Troca do vidro da área de serviços</t>
  </si>
  <si>
    <t xml:space="preserve">Pix para a caixinha de final de ano </t>
  </si>
  <si>
    <t>No centro d santo  andreas</t>
  </si>
  <si>
    <t>eletroPaulo - Novembro / 2024</t>
  </si>
  <si>
    <t xml:space="preserve">PIX: GAME: Crysis 3 </t>
  </si>
  <si>
    <t xml:space="preserve">PIX: GAME: Metro Last Light </t>
  </si>
  <si>
    <t xml:space="preserve">PIX: GAME: Guitar Hero II </t>
  </si>
  <si>
    <t>PIX: Memory Card Original 8MB</t>
  </si>
  <si>
    <t>Receptor de Guitar Hero V PS3</t>
  </si>
  <si>
    <t>Frete: Receptor de Guitar Hero V PS3</t>
  </si>
  <si>
    <t>PIX: Canal do dente 17 (01/02)</t>
  </si>
  <si>
    <t>Game: Dante´s Inferno PSP</t>
  </si>
  <si>
    <t xml:space="preserve">PIX: Agua minera </t>
  </si>
  <si>
    <t>dezembro/ 2024</t>
  </si>
  <si>
    <t>Estacionamento em Long Beach</t>
  </si>
  <si>
    <t xml:space="preserve">PIX: Maçonaria: Jantar de final deano </t>
  </si>
  <si>
    <t>Reserva Quinta do Olivardo - Chalé Alvarinho</t>
  </si>
  <si>
    <t>ioF no periodo</t>
  </si>
  <si>
    <t>Juros limite da conta</t>
  </si>
  <si>
    <t>Seguro LIS Itau  24120</t>
  </si>
  <si>
    <t xml:space="preserve">PIX: Game: Metal Gear V - The Phanton Pain </t>
  </si>
  <si>
    <t>PIX: Game: Metal Gear V - Ground Zero</t>
  </si>
  <si>
    <t xml:space="preserve">PIX: Game: Guitar Hero </t>
  </si>
  <si>
    <t>Na dentista</t>
  </si>
  <si>
    <t>Bateria G-Shock e Casio MDV 106</t>
  </si>
  <si>
    <t>PIX: Di Santander</t>
  </si>
  <si>
    <t>PIX: Templo de Umbanda Cacique Pena Branca</t>
  </si>
  <si>
    <t>Vaso sanitáriodo banheiro do corredor</t>
  </si>
  <si>
    <t>eletroPaulo - Dezxembro / 2024</t>
  </si>
  <si>
    <t>Pix: do mercadoPago CC</t>
  </si>
  <si>
    <t>Fatura da comGás II</t>
  </si>
  <si>
    <t>PIX: Podologa em Piraju</t>
  </si>
  <si>
    <t>Janeiro/ 2025</t>
  </si>
  <si>
    <t>Seguro LIS Itau  25010</t>
  </si>
  <si>
    <t xml:space="preserve">PIX: do XP </t>
  </si>
  <si>
    <t>PIX: para o mercado Pago CC</t>
  </si>
  <si>
    <t>PIX: do mercadoPago CC</t>
  </si>
  <si>
    <t>IPVA Echo 2025 (01/05)</t>
  </si>
  <si>
    <t>PIX: Shopee: 100 Sacos Polipropileno PARA MANGÁS E GIBIS C/ ABA AdesivadA 15x25+3cmx0,10mm!!</t>
  </si>
  <si>
    <t xml:space="preserve">PIX: FRETE </t>
  </si>
  <si>
    <t>Na dentistas</t>
  </si>
  <si>
    <t>PIX: água mineral</t>
  </si>
  <si>
    <t>PIX: Estorno da agua mineral</t>
  </si>
  <si>
    <t>PIX: Game: Glaukera Until Dawn</t>
  </si>
  <si>
    <t>Pix Frete Glaukera Until Dawn</t>
  </si>
  <si>
    <t>Seguro LIS Itau 25020</t>
  </si>
  <si>
    <t>PIX: Agua coqueiros</t>
  </si>
  <si>
    <t>PIx: Claudio Moreira - Receptor GH5 RedOctane</t>
  </si>
  <si>
    <t>PIX: Frete : Claudio Moreira - Receptor GH5 RedOctane</t>
  </si>
  <si>
    <t>/dev/null]</t>
  </si>
  <si>
    <t>Maçonaria: contribuição Mensal - fevereiro/2025</t>
  </si>
  <si>
    <t>PIX: O rei dos Assados e das Marmitas</t>
  </si>
  <si>
    <t>Fatura Claro celular - Fevereiro - 2025</t>
  </si>
  <si>
    <t>IPVA Echo 2025 (02/05)</t>
  </si>
  <si>
    <t>Multa de SCS em 22/10/24</t>
  </si>
  <si>
    <t>Condominio Dell Piano</t>
  </si>
  <si>
    <t>PIX: Alessandro Donizete Baessa Ref a Sinal</t>
  </si>
  <si>
    <t>Enel - Fevereiro/2025</t>
  </si>
  <si>
    <t>Game: PIX: FFXIII Lightning returns</t>
  </si>
  <si>
    <t>Game: PIX: Hitman Absolutin</t>
  </si>
  <si>
    <t xml:space="preserve">PIX: Para a XP </t>
  </si>
  <si>
    <t>pix: Agua Mineral</t>
  </si>
  <si>
    <t>Juros e limite da conta</t>
  </si>
  <si>
    <t>SEGURO LIS ITAU 25030</t>
  </si>
  <si>
    <t>PPR Claro 2024</t>
  </si>
  <si>
    <t>PIX: do MercadoPago</t>
  </si>
  <si>
    <t>PIX do NuBank</t>
  </si>
  <si>
    <t>Tarifa Avaliação Imobiliária</t>
  </si>
  <si>
    <t>SEGURO LIS ITAU 25040</t>
  </si>
  <si>
    <t xml:space="preserve">Pagto de ITBI ref. Contrado  (complemento) </t>
  </si>
  <si>
    <t>PIX: do XP Investimentos</t>
  </si>
  <si>
    <t>PIX: Podologa</t>
  </si>
  <si>
    <t>Os pasteis de barcelona</t>
  </si>
  <si>
    <t>pix The burgues galleries</t>
  </si>
  <si>
    <t>Maçonaria: contribuição Mensal - abril/2025</t>
  </si>
  <si>
    <t xml:space="preserve">A coop da industril </t>
  </si>
  <si>
    <t>Rendimento no periodo</t>
  </si>
  <si>
    <t>Marleinho de ouro e pinturas</t>
  </si>
  <si>
    <t>50x caixas papelão e 300mts fitas</t>
  </si>
  <si>
    <t>Fatura Claro celular - Abril - 2025</t>
  </si>
  <si>
    <t>Gazzozza na pejozerra GGM5</t>
  </si>
  <si>
    <t>Maçonaria: PedraBruta</t>
  </si>
  <si>
    <t xml:space="preserve">PIX: O primus B.A.R. </t>
  </si>
  <si>
    <t>248 Burgues santo andré</t>
  </si>
  <si>
    <t>Tiquinho sorvetes</t>
  </si>
  <si>
    <t>o oxxo</t>
  </si>
  <si>
    <t>Enel - Abril / 2025</t>
  </si>
  <si>
    <t>o Carry4 xPress</t>
  </si>
  <si>
    <t xml:space="preserve">6 OFICIAL DE REGISTRO DE IMÓVEIS DA COMARCA DA CAPITAL DE SÃO PAULO CPF/CNPJ: </t>
  </si>
  <si>
    <t>No mercadinho do ppredio</t>
  </si>
  <si>
    <t xml:space="preserve">PIX: pára a agua mineral </t>
  </si>
  <si>
    <t>Ortee de unhas</t>
  </si>
  <si>
    <t xml:space="preserve">Salgado no cedntro </t>
  </si>
  <si>
    <t xml:space="preserve">Parc. Financ. Ap 01 (001/NNN) </t>
  </si>
  <si>
    <t>PIX: rei dos assados das marmitas</t>
  </si>
  <si>
    <t>LIBER FINANC IMOBILIARIO</t>
  </si>
  <si>
    <t>The Burgues Galleries</t>
  </si>
  <si>
    <t>Gazzozza no pejozera GGM5</t>
  </si>
  <si>
    <t xml:space="preserve">Pasteis </t>
  </si>
  <si>
    <t xml:space="preserve">A coop </t>
  </si>
  <si>
    <t xml:space="preserve">Ref. A valor de financiamento </t>
  </si>
  <si>
    <t>PIX: O Rei dos assados das marmitas</t>
  </si>
  <si>
    <t xml:space="preserve">PIX: Inicição ao 4ª Grau da ELP Gonçalves Ledo </t>
  </si>
  <si>
    <t>Padoca do SacoMão</t>
  </si>
  <si>
    <t>PIX: Game: Final Fantasy X</t>
  </si>
  <si>
    <t>PIX: Game: Final Fantasy X-2</t>
  </si>
  <si>
    <t>O Pao de açucar do Yabacuara</t>
  </si>
  <si>
    <t>Coxinhas do Raggazzdo do Yabacuara</t>
  </si>
  <si>
    <t>PIX; Esomeprazol 40mg</t>
  </si>
  <si>
    <t>PIX: Ibuprofeno 600 MG 10 caps generico</t>
  </si>
  <si>
    <t>PIX: Frete</t>
  </si>
  <si>
    <t xml:space="preserve">Iboprufeno </t>
  </si>
  <si>
    <t>O Carry4 xPress</t>
  </si>
  <si>
    <t>Seguro LIS Itau 25050</t>
  </si>
  <si>
    <t>Condominio Marica 625 - Maio - 2025</t>
  </si>
  <si>
    <t>Rateio: Condominio Marica 625 - Maio - 2025 (21/24)</t>
  </si>
  <si>
    <t>Ref. Pro Labore SysMap</t>
  </si>
  <si>
    <t>PIX: para o NuBank</t>
  </si>
  <si>
    <t>O Minuto PdA</t>
  </si>
  <si>
    <t>Gazzozza no Pejozera GGM5</t>
  </si>
  <si>
    <t>PIX: Sinteco Gelado</t>
  </si>
  <si>
    <t xml:space="preserve">O raggazzo </t>
  </si>
  <si>
    <t>PIX: creditos de estacionamentos</t>
  </si>
  <si>
    <t>No mercadinho do peredio</t>
  </si>
  <si>
    <t>PIX: Ortese unha do pe</t>
  </si>
  <si>
    <t>O Habibinbs</t>
  </si>
  <si>
    <t>A paccocca santa monicas</t>
  </si>
  <si>
    <t>PIX; Frete dos eletrodomesticos</t>
  </si>
  <si>
    <t>Pix: Alenia 12/400mcg Refil Biosinteti 60 Cápsula</t>
  </si>
  <si>
    <t>Pix: Ibuprofeno 600mg Genérico Althaia 10 Cápsulas</t>
  </si>
  <si>
    <t>Pix: Frete Farmácia</t>
  </si>
  <si>
    <t>Maçonaria: contribuição Mensal - Maio/2025</t>
  </si>
  <si>
    <t xml:space="preserve">PIX: Game: BulletStorm </t>
  </si>
  <si>
    <t>PIX: Game: Gun Grave Gore - Day One Edition</t>
  </si>
  <si>
    <t>PIX: Frete de games</t>
  </si>
  <si>
    <t>PIX: para o Ronaldo me ajudar com o Colchão</t>
  </si>
  <si>
    <t>Rolo de 85mx1.30m de plastico bolas</t>
  </si>
  <si>
    <t>Canetas Marca-textos</t>
  </si>
  <si>
    <t>o Carry4</t>
  </si>
  <si>
    <t>Pasteis perto do Hatto</t>
  </si>
  <si>
    <t xml:space="preserve">Ração e areia decoco </t>
  </si>
  <si>
    <t>Almoçono sacomao</t>
  </si>
  <si>
    <t>saches do sacomã</t>
  </si>
  <si>
    <t>do itau</t>
  </si>
  <si>
    <t>Gatorade no oXxo</t>
  </si>
  <si>
    <t>Gatorade da padoca</t>
  </si>
  <si>
    <t>Ref. Midamça da Av.tiete sto andre pro sacomão</t>
  </si>
  <si>
    <t>The burguer Galleries</t>
  </si>
  <si>
    <t>IPTU Marques Maricá (04/10)</t>
  </si>
  <si>
    <t>Fatura Claro celular - Maio - 2025</t>
  </si>
  <si>
    <t>PIX: GAME: Genshi days of the blade</t>
  </si>
  <si>
    <t>PIX: GAME: FFX / X-2</t>
  </si>
  <si>
    <t>Frete Games</t>
  </si>
  <si>
    <t>PIX: Impressoes 3d do Pedro Sganzerla</t>
  </si>
  <si>
    <t>Enel - Maio / 2025</t>
  </si>
  <si>
    <t>PIX: flores</t>
  </si>
  <si>
    <t>Ref. À SysMap - SCP</t>
  </si>
  <si>
    <t xml:space="preserve">Reservas Ref FGTS, ferias e 13º ( ~32%) </t>
  </si>
  <si>
    <t>PIX: para o leandro ref pintura tiete 372 (1/3)</t>
  </si>
  <si>
    <t>PIX: Agua mineral da MGS</t>
  </si>
  <si>
    <t>PIX: para arrumar as Roldanas das portas</t>
  </si>
  <si>
    <t xml:space="preserve">Parc. Financ. Ap 01 (002/NNN) </t>
  </si>
  <si>
    <t>Tampas decanos para retirar a lava-louças</t>
  </si>
  <si>
    <t>Padaria a Rainha do Sacomãn</t>
  </si>
  <si>
    <t>DA REC FED 212.785.028-90</t>
  </si>
  <si>
    <t>PIX: Mudança PT II</t>
  </si>
  <si>
    <t>ComGás tietê, Junho - 2025</t>
  </si>
  <si>
    <t>Fatura Enel - Marques de Maricá</t>
  </si>
  <si>
    <t>No periodo</t>
  </si>
  <si>
    <t>iof no periodo</t>
  </si>
  <si>
    <t>PIX: para o leandro ref pintura tiete 372 (2/3)</t>
  </si>
  <si>
    <t>ArmaZém Externo Localbox Junho 2025</t>
  </si>
  <si>
    <t>SEGURO LIS ITAU 25060</t>
  </si>
  <si>
    <t>Condominio Marica 625 - Junho - 2025</t>
  </si>
  <si>
    <t>Rateio: Condominio Marica 625 - Julho - 2025 (22/24)</t>
  </si>
  <si>
    <t>Maçonaria: contribuição Mensal - Junho/2025</t>
  </si>
  <si>
    <t>envio dos pézinhso SCS 500.5 BK PARA rvs3d</t>
  </si>
  <si>
    <t>IPTU Marques Maricá (05/10)</t>
  </si>
  <si>
    <t>Fatura Claro celular - Junho - 2025</t>
  </si>
  <si>
    <t>ComGás Maricá</t>
  </si>
  <si>
    <t>Net TV (tietê)</t>
  </si>
  <si>
    <t>Net Virtua (tietê)</t>
  </si>
  <si>
    <t>Net Fone - Serviços eventuais (tietê)</t>
  </si>
  <si>
    <t>Net TV (Maricá)</t>
  </si>
  <si>
    <t>Net Virtua (Maricá)</t>
  </si>
  <si>
    <t>Net Fone - Serviços eventuais (Maricá)</t>
  </si>
  <si>
    <t>Vivo Fibra - Junho / 2025</t>
  </si>
  <si>
    <t>PIX: conserto da Katana</t>
  </si>
  <si>
    <t>PIX: Home Theater: impressao 3D  + modelagem dos suprtes (RVS3D)</t>
  </si>
  <si>
    <t xml:space="preserve">Zull ZONA Azul </t>
  </si>
  <si>
    <t>PIX: ref. ao envelopamento da cozinha</t>
  </si>
  <si>
    <t>Enel Tietê - Junho / 2025</t>
  </si>
  <si>
    <t>PIX: CASA CONQUISTA DE pIRAJU PARA AS Cortinas da sala</t>
  </si>
  <si>
    <t>PIX: MSG Agua mkneral</t>
  </si>
  <si>
    <t>PIX: para o leandro ref pintura tiete 372 (3/3)</t>
  </si>
  <si>
    <t>Aluguel BS House + Taxas (FINAL)</t>
  </si>
  <si>
    <t>Condominio Dell Piano (FINAL)</t>
  </si>
  <si>
    <t>SEMASA - Agua Potavel (FINAL)</t>
  </si>
  <si>
    <t>TX de Coleta de Esgoto Municipal (FINAL)</t>
  </si>
  <si>
    <t>IPTU Del Piano (FINAL)</t>
  </si>
  <si>
    <t>Taxa de Boletos (FINAL)</t>
  </si>
  <si>
    <t>Renovação seguro Incendio (FINAL)</t>
  </si>
  <si>
    <t xml:space="preserve">no periodo </t>
  </si>
  <si>
    <t>Parc. Financ. Ap 01 (003/NNN)</t>
  </si>
  <si>
    <t xml:space="preserve">IOF no periodo negativo </t>
  </si>
  <si>
    <t>Fatura Enel - Julho - Marques de Maricá</t>
  </si>
  <si>
    <t>ArmaZém Externo Localbox Julho 2025</t>
  </si>
  <si>
    <t>Condominio Marica 625 - Julho - 2025</t>
  </si>
  <si>
    <t>Rateio: Condominio Marica 625 - Julho - 2025 (23/24)</t>
  </si>
  <si>
    <t>SEGURO LIS ITAU 25070</t>
  </si>
  <si>
    <t>pix: Game: Glaukera: Catherine EUR</t>
  </si>
  <si>
    <t>IPTU Marques Maricá (06/10)</t>
  </si>
  <si>
    <t>Fatura Claro celular - Julho - 2025</t>
  </si>
  <si>
    <t>Maçonaria: contribuição Mensal - Julho/2025</t>
  </si>
  <si>
    <t>Vivo Fibra - Julho / 2025</t>
  </si>
  <si>
    <t>Varão de cortina para a área de serviço</t>
  </si>
  <si>
    <t>Fatura ComGás Marques de Maricá</t>
  </si>
  <si>
    <t>Parc. Financ. Ap 01 (004/NNN)</t>
  </si>
  <si>
    <t>PIX: água mineral MSG</t>
  </si>
  <si>
    <t>Agosto/ 2025</t>
  </si>
  <si>
    <t>Game: tomb Raider UnderWolrd</t>
  </si>
  <si>
    <t>Game: Mercenaries 2World of Flames</t>
  </si>
  <si>
    <t>Fatura Enel - Agosto - Marques de Maricá</t>
  </si>
  <si>
    <t>TAR PACOTE ITAU JUL/25</t>
  </si>
  <si>
    <t>ArmaZém Externo Localbox - Agosto 2025</t>
  </si>
  <si>
    <t>Juros e Limites da conta</t>
  </si>
  <si>
    <t xml:space="preserve">Lmpada defreio </t>
  </si>
  <si>
    <t>SEGURO LIS ITAU 25080</t>
  </si>
  <si>
    <t>Condominio Marica 625 - Agosto - 2025</t>
  </si>
  <si>
    <t>Rateio: Condominio Marica 625 - Agosto - 2025 (24/24)</t>
  </si>
  <si>
    <t>Ref. SysMap - Mentoria Maio/2025</t>
  </si>
  <si>
    <t>Maçonaria: contribuição Mensal - Agosto/2025</t>
  </si>
  <si>
    <t>IPTU Marques Maricá (07/10)</t>
  </si>
  <si>
    <t>Fatura Claro celular - Agosto - 2025</t>
  </si>
  <si>
    <t>Vivo Fibra - Agosto / 2025</t>
  </si>
  <si>
    <t>Ref. SysMap - Mentoria Junho/2025</t>
  </si>
  <si>
    <t>Parc. Financ. Ap 01 (005/NNN)</t>
  </si>
  <si>
    <t>Setembro/ 2025</t>
  </si>
  <si>
    <t>Maçonaria: 03 kits de chaves</t>
  </si>
  <si>
    <t>PIX: Game: Red Dead Revolver</t>
  </si>
  <si>
    <t>Fatura Enel - Setembro - Marques de Maricá</t>
  </si>
  <si>
    <t>TAR PACOTE ITAU SET/25</t>
  </si>
  <si>
    <t>ArmaZém Externo Localbox - Setembro 2025</t>
  </si>
  <si>
    <t>Condominio Marica 625 - Setembro - 2025</t>
  </si>
  <si>
    <t>PIX: MGS Agua muineral</t>
  </si>
  <si>
    <t>SEGURO LIS ITAU 25090</t>
  </si>
  <si>
    <t>IPTU Marques Maricá (08/10)</t>
  </si>
  <si>
    <t>Fatura Claro celular - Setembro - 2025</t>
  </si>
  <si>
    <t>Maçonaria: contribuição Mensal - Setembro/2025</t>
  </si>
  <si>
    <t>Game: Catherine Full Body</t>
  </si>
  <si>
    <t>Vivo Fibra - Setembro / 2025</t>
  </si>
  <si>
    <t>Pix: Frete: Castlevania Lament of Innocence PS2</t>
  </si>
  <si>
    <t>Ref. SysMap - Mentoria JuLHO/2025</t>
  </si>
  <si>
    <t>PIX Do nuBank</t>
  </si>
  <si>
    <t>Parc. Financ. Ap 01 (006/NNN)</t>
  </si>
  <si>
    <t>Outubro/ 2025</t>
  </si>
  <si>
    <t>Fatura Enel - Outubro - Marques de Maricá</t>
  </si>
  <si>
    <t xml:space="preserve">PIX: DO XP </t>
  </si>
  <si>
    <t>Ref. SysMap - Mentoria Agosto/2025</t>
  </si>
  <si>
    <t>ArmaZém Externo Localbox - Outubro 2025</t>
  </si>
  <si>
    <t>Condominio Marica 625 - Outubro - 2025</t>
  </si>
  <si>
    <t>TAR PACOTE ITAU Out/25</t>
  </si>
  <si>
    <t>SEGURO LIS ITAU 25010</t>
  </si>
  <si>
    <t>Pix: Game: WtachMen PS3</t>
  </si>
  <si>
    <t>Multa de Maio/2025</t>
  </si>
  <si>
    <t>IPTU Marques Maricá (09/10) ( 818500000011 494557012515 015470042743 791400399430 )</t>
  </si>
  <si>
    <t>Fatura Claro celular - Outubro - 2025</t>
  </si>
  <si>
    <t>Maçonaria: contribuição Mensal - Outubro/2025</t>
  </si>
  <si>
    <t>Troca lampada dianteira esquerda</t>
  </si>
  <si>
    <t>Fatura Vivo Fibra - Outubro - 2025</t>
  </si>
  <si>
    <t>PIX: óbulo ausencia NE132</t>
  </si>
  <si>
    <t>Licenciamento 2025 do Peugeto</t>
  </si>
  <si>
    <t xml:space="preserve">PIX: pro Fabio pedreiro dos consertos da Vizinha debaixo </t>
  </si>
  <si>
    <t>PIX: Jantar ritualistico de 25/10/2025</t>
  </si>
  <si>
    <t>Parc. Financ. Ap 01 (007/NNN)</t>
  </si>
  <si>
    <t>Fatura Enel - Novembro - Marques de Maricá</t>
  </si>
  <si>
    <t>ArmaZém Externo Localbox - Novembro 2025</t>
  </si>
  <si>
    <t>Condominio Marica 625 - Novembro - 2025</t>
  </si>
  <si>
    <t>TAR PACOTE ITAU Nov/25</t>
  </si>
  <si>
    <t>SEGURO LIS ITAU 25011</t>
  </si>
  <si>
    <t>IPTU Marques Maricá (10/10) ( 818200000016 494557012515 117470042746 791500399032 )</t>
  </si>
  <si>
    <t>Fatura Claro celular - Novembro  - 2025</t>
  </si>
  <si>
    <t>Maçonaria: contribuição Mensal - Novembro/2025</t>
  </si>
  <si>
    <t>Fatura Vivo Fibra - Novembro - 2025</t>
  </si>
  <si>
    <t>PIX: cortar cabelos</t>
  </si>
  <si>
    <t>PIX: Iniciação ao 9º grau ga ELP GL 9</t>
  </si>
  <si>
    <t>Parc. Financ. Ap 01 (008/NNN)</t>
  </si>
  <si>
    <t>Fatura Enel - Dezembro - Marques de Maricá</t>
  </si>
  <si>
    <t>ArmaZém Externo Localbox - Dezembro 2025</t>
  </si>
  <si>
    <t>Creditos para o Metreo</t>
  </si>
  <si>
    <t>SISPAG SYSMAP SOLUTIONS SOF</t>
  </si>
  <si>
    <t>Condominio Marica 625 - dezembro - 2025</t>
  </si>
  <si>
    <t>transferencia</t>
  </si>
  <si>
    <t>TAR PACOTE ITAU Dez/25</t>
  </si>
  <si>
    <t>SEGURO LIS ITAU 25012</t>
  </si>
  <si>
    <t>Fatura Claro celular - Dezembro - 2025</t>
  </si>
  <si>
    <t>Maçonaria: contribuição Mensal - Dezembro/2025</t>
  </si>
  <si>
    <t>Fatura Vivo Fibra - Dezembro - 2025</t>
  </si>
  <si>
    <t>Shopping em Ourinhos</t>
  </si>
  <si>
    <t>Parc. Financ. Ap 01 (009/NNN)</t>
  </si>
  <si>
    <t>PIX: cortar cabelos em piraju</t>
  </si>
  <si>
    <t>PIX: zona azul pirjus</t>
  </si>
  <si>
    <t>Fatura Enel - Janeiro - Marques de Maricá</t>
  </si>
  <si>
    <t>ArmaZém Externo Localbox - Janeiro 2026</t>
  </si>
  <si>
    <t>PIX: Nelson Loia  JR - tourist trophy ps2</t>
  </si>
  <si>
    <t>Condominio Marica 625 - Janeiro - 2026</t>
  </si>
  <si>
    <t>SEGURO LIS ITAU 26001</t>
  </si>
  <si>
    <t>TAR PACOTE ITAU Jan/26</t>
  </si>
  <si>
    <t>Fatura Claro celular - Janeiro - 2026</t>
  </si>
  <si>
    <t>Maçonaria: contribuição Mensal - Janeiro/2026</t>
  </si>
  <si>
    <t>Fatura Vivo Fibra - Janeiro / 2026</t>
  </si>
  <si>
    <t>Parc. Financ. Ap 01 (010/NNN)</t>
  </si>
  <si>
    <t>Fatura Enel - Fevereiro - Marques de Maricá</t>
  </si>
  <si>
    <t>Condominio Marica 625 - Fevereiro - 2026</t>
  </si>
  <si>
    <t>SEGURO LIS ITAU 26002</t>
  </si>
  <si>
    <t>TAR PACOTE ITAU Fev/26</t>
  </si>
  <si>
    <t>Fatura Claro celular - Fevereiro - 2026</t>
  </si>
  <si>
    <t>Maçonaria: contribuição Mensal - Fevereiro/2026</t>
  </si>
  <si>
    <t>Net TV (Maricá) - EM DEBITO AUTOMÁTICO</t>
  </si>
  <si>
    <t>Net Virtua (Maricá) - EM DEBITO AUTOMÁTICO</t>
  </si>
  <si>
    <t>Net Fone - Serviços eventuais (Maricá) - EM DEBITO AUTOMÁTICO</t>
  </si>
  <si>
    <t>IPTU Marques Maricá (01/10)</t>
  </si>
  <si>
    <t>Gonçalves Ledo nº 2 - Anuidade do Supremo conselho do grau 33</t>
  </si>
  <si>
    <t>Fatura final ViVo Fiber</t>
  </si>
  <si>
    <t>Net TV (Maricá) - PAGAMENTO DUPLICAO EXCEDENTE</t>
  </si>
  <si>
    <t>Net Virtua (Maricá) - PAGAMENTO DUPLICAO EXCEDENTE</t>
  </si>
  <si>
    <t>Net Fone - Serviços eventuais (Maricá) - PAGAMENTO DUPLICAO EXCEDENTE</t>
  </si>
  <si>
    <t>PIX: 04 Créditos TOPs</t>
  </si>
  <si>
    <t>Parc. Financ. Ap 01 (011/NNN)</t>
  </si>
  <si>
    <t>Fatura Enel - Março - Marques de Maricá</t>
  </si>
  <si>
    <t>PIX: 03 Créditos TOPs</t>
  </si>
  <si>
    <t>SEGURO LIS ITAU 26003</t>
  </si>
  <si>
    <t>TAR PACOTE ITAU Mar/26</t>
  </si>
  <si>
    <t>Condominio Marica 625 - Março - 2026</t>
  </si>
  <si>
    <t>PIX: 04 creditos TOP metros</t>
  </si>
  <si>
    <t>Cortar os cabelos das cabeça</t>
  </si>
  <si>
    <t>IPTU Marques Maricá (02/10)</t>
  </si>
  <si>
    <t>Maçonaria: contribuição Mensal - Março/2026</t>
  </si>
  <si>
    <t>Fatura Claro celular - Março - 2026 - EM DEBITO AUTOMÁTICO</t>
  </si>
  <si>
    <t>La perto da Silva Bueno</t>
  </si>
  <si>
    <t>Parc. Financ. Ap 01 (012/NNN)</t>
  </si>
  <si>
    <t>Ref. Mentoria SysMao Fev/2026</t>
  </si>
  <si>
    <t>Fatura ComGás Março 2026</t>
  </si>
  <si>
    <t>PIX: 06 creditos TOP metros</t>
  </si>
  <si>
    <t xml:space="preserve">Fatura NuBank Master - PAGAR PELA NUCONTA APP </t>
  </si>
  <si>
    <t>Fatura Enel - Abril  - Marques de Maricá</t>
  </si>
  <si>
    <t>Condominio Marica 625 - Abril - 2026</t>
  </si>
  <si>
    <t>SEGURO LIS ITAU 26004</t>
  </si>
  <si>
    <t>TAR PACOTE ITAU Abr/26</t>
  </si>
  <si>
    <t xml:space="preserve">ComGás - Abril / 2026 </t>
  </si>
  <si>
    <t>Maçonaria: contribuição Mensal - aBRIL/2026</t>
  </si>
  <si>
    <t>Fatura Claro celular - Abril - 2026 - EM DEBITO AUTOMÁTICO</t>
  </si>
  <si>
    <t>DESCONTO POR PAGAMENTOS À MAIS</t>
  </si>
  <si>
    <t>PIX: Ref ao  óbulo de ausencia</t>
  </si>
  <si>
    <t>IPTU Marques Maricá (03/10)</t>
  </si>
  <si>
    <t>Parc. Financ. Ap 01 (013/NNN)</t>
  </si>
  <si>
    <t>Corta os cabelos</t>
  </si>
  <si>
    <t>SEGURO LIS ITAU 26005</t>
  </si>
  <si>
    <t>TAR PACOTE ITAU Maio/26</t>
  </si>
  <si>
    <t>Condominio Marica 625 - Maio - 2026</t>
  </si>
  <si>
    <t>Maçonaria: contribuição Mensal - Maio/2026</t>
  </si>
  <si>
    <t>Fatura Claro celular - Maio - 2026 - EM DEBITO AUTOMÁTICO</t>
  </si>
  <si>
    <t xml:space="preserve">ComGás - Maio / 2026 </t>
  </si>
  <si>
    <t>Ref. Mentoria SysMap Mar/2026</t>
  </si>
  <si>
    <t>Parc. Financ. Ap 01 (014/NNN)</t>
  </si>
  <si>
    <t>Use essa linha para cheque não compensados</t>
  </si>
  <si>
    <t>Saldo Real em C/C</t>
  </si>
  <si>
    <t xml:space="preserve">D I F E R E N Ç A </t>
  </si>
  <si>
    <t>Limite Restante</t>
  </si>
  <si>
    <t xml:space="preserve">Legenda </t>
  </si>
  <si>
    <t>Senha Internet</t>
  </si>
  <si>
    <t>Cheques à Compensar</t>
  </si>
  <si>
    <t>Tx Juros A.M</t>
  </si>
  <si>
    <t>Tx Emprestimo</t>
  </si>
  <si>
    <t>Juros A Cobrar</t>
  </si>
  <si>
    <t>IOF à Cobrar</t>
  </si>
  <si>
    <t>CPMF à cobrar</t>
  </si>
  <si>
    <t>Total de debitos</t>
  </si>
  <si>
    <t>Jan/2023</t>
  </si>
  <si>
    <t>Fevereiro/2023</t>
  </si>
  <si>
    <t>Creditos PePago Conect Car Itau Tag</t>
  </si>
  <si>
    <t>Estono de pagamento errado</t>
  </si>
  <si>
    <t>Juros De Financiamento</t>
  </si>
  <si>
    <t>Multa Por Atraso</t>
  </si>
  <si>
    <t>Juros De Mora</t>
  </si>
  <si>
    <t>Encargos De Atraso</t>
  </si>
  <si>
    <t>iFood: Rabibes</t>
  </si>
  <si>
    <t>IOF de financiamento (0,38 % + 0,00820 % a.d.)</t>
  </si>
  <si>
    <t>Amazon.com: A Practical Guide to Qabalistic Symbolism Capa comum ; por Gareth Knight (Autor)</t>
  </si>
  <si>
    <t>IOF: Amazon.com: A Practical Guide to Qabalistic Symbolism Capa comum ; por Gareth Knight (Autor)</t>
  </si>
  <si>
    <t>Amazon.com.br: Linsoul Monitor de fone de ouvido intra-auricular HiFi com diafragma PET, 10 mm, com cabo OFC destacável para músicos e audiófilos (sem microfone, preto)</t>
  </si>
  <si>
    <t>Creditos PrePago Conect Car Itau Tag</t>
  </si>
  <si>
    <t>Anuidade diferenciada (01/12)</t>
  </si>
  <si>
    <t>Game: MeuGameUsado.com.br: Alone In the Dark</t>
  </si>
  <si>
    <t>Game: MeuGameUsado.com.br: Blades od Time</t>
  </si>
  <si>
    <t>Game: MeuGameUsado.com.br: Enslaved: Odyssey to the West</t>
  </si>
  <si>
    <t>Game: MeuGameUsado.com.br: Untold Legend: dark Kingdom</t>
  </si>
  <si>
    <t>Game: MeuGameUsado.com.br: Venetica</t>
  </si>
  <si>
    <t>Frete: Game: MeuGameUsado.com.br:</t>
  </si>
  <si>
    <t>TecSan: manutenção do PS2</t>
  </si>
  <si>
    <t>Amazon.com.br: Pano de fixação de microfibra de gerenciamento de abraçadeiras de cabo, alça de cabo ajustável com fecho de gancho e laço, preto. (15,24 cm 50 peças)</t>
  </si>
  <si>
    <t>Creditos connect Cars</t>
  </si>
  <si>
    <t>Recarga Automática</t>
  </si>
  <si>
    <t>Novembro/ 2024</t>
  </si>
  <si>
    <t>Fevereiro/ 2025</t>
  </si>
  <si>
    <t>O Bom Preço do Sacomãn</t>
  </si>
  <si>
    <t>rodinho de eva</t>
  </si>
  <si>
    <t>Ifood:</t>
  </si>
  <si>
    <t>Mercadinho araripe</t>
  </si>
  <si>
    <t>Rotseria Argentina</t>
  </si>
  <si>
    <t>PainiComic: Spawn Origins 13 e 14</t>
  </si>
  <si>
    <t>Frete: PainiComic: Spawn Origins 13 e 14</t>
  </si>
  <si>
    <t>iFood: HamBurgures</t>
  </si>
  <si>
    <t>ifood: Pizzas</t>
  </si>
  <si>
    <t>iCloud+ 50GB Mensal</t>
  </si>
  <si>
    <t>Esomeprasol</t>
  </si>
  <si>
    <t>Dorflex</t>
  </si>
  <si>
    <t>Almoço no ipiranga</t>
  </si>
  <si>
    <t>picocas em milhos</t>
  </si>
  <si>
    <t>Habibes do Yabacuara</t>
  </si>
  <si>
    <t>Game: Marvel Ultimate Allicance 2</t>
  </si>
  <si>
    <t>Game: Yhe Last Of US PT 1</t>
  </si>
  <si>
    <t>O meneiro da silva Buenoś</t>
  </si>
  <si>
    <t>o Hirota's do Ypyranga</t>
  </si>
  <si>
    <t>YouTube premium</t>
  </si>
  <si>
    <t>Assinatura Mensal char GPT Plus individual</t>
  </si>
  <si>
    <t>$ 20.00 USD</t>
  </si>
  <si>
    <t>IOF: 'Assinatura Mensal char GPT Plus individual</t>
  </si>
  <si>
    <t>o Bom Preço do Sacomãm</t>
  </si>
  <si>
    <t>Flroatil e diversos</t>
  </si>
  <si>
    <t>iFood Club Cristiane</t>
  </si>
  <si>
    <t>Maçonaria: Moraes pizzeria</t>
  </si>
  <si>
    <t>Shopee:</t>
  </si>
  <si>
    <t>Requinte sacomãn</t>
  </si>
  <si>
    <t>Mercadão do Ypiranga</t>
  </si>
  <si>
    <t>Café de manha na rua</t>
  </si>
  <si>
    <t>Pasteis no mercado do ypiranga</t>
  </si>
  <si>
    <t>ifood: Hamburgueria da estrada</t>
  </si>
  <si>
    <t>Uber pra ir pro templo de Umbanda</t>
  </si>
  <si>
    <t>No tempo de umbanda</t>
  </si>
  <si>
    <t>Bingos no tempo dew umbanda</t>
  </si>
  <si>
    <t>Jus Br para consular processos</t>
  </si>
  <si>
    <t>Sinvastatina</t>
  </si>
  <si>
    <t>Seguro residencial 2025/2026 (01/06)</t>
  </si>
  <si>
    <t>Almoço no Golden Swuare SBC</t>
  </si>
  <si>
    <t>mcSorvetes no golden</t>
  </si>
  <si>
    <t>Bateria Aqualand II e Windsurf</t>
  </si>
  <si>
    <t>Almoço na rua</t>
  </si>
  <si>
    <t>Pizzeria da Galaxya</t>
  </si>
  <si>
    <t>02 camisas sociais da C&amp;A</t>
  </si>
  <si>
    <t>O Madeiroś do Park Shopping SCS</t>
  </si>
  <si>
    <t>No casamento da Larissa</t>
  </si>
  <si>
    <t>Loanchonete dos Mirados</t>
  </si>
  <si>
    <t>Alenia 12/400 MG</t>
  </si>
  <si>
    <t>Mçonaria: Tres Pontos</t>
  </si>
  <si>
    <t>Maçonaria: Uber pra ir pra GLESP</t>
  </si>
  <si>
    <t>Maçonaria: Uber pra voltar pra casa</t>
  </si>
  <si>
    <t>IFOOD: DG BURGUES</t>
  </si>
  <si>
    <t>Seguro Peugeot 208 2025/2026 (01/06)</t>
  </si>
  <si>
    <t>A camposnesa d</t>
  </si>
  <si>
    <t>Losartana 50MG + Hidrocloritiaazida 25mg</t>
  </si>
  <si>
    <t>FArmácias diversas</t>
  </si>
  <si>
    <t>O Graaml maristela</t>
  </si>
  <si>
    <t>Esomeprazol, floratil e IMOSEC</t>
  </si>
  <si>
    <t>Frete Farmácia</t>
  </si>
  <si>
    <t>Raful da 25 de março</t>
  </si>
  <si>
    <t>coisas de cabelos</t>
  </si>
  <si>
    <t>Dinks do Habibes</t>
  </si>
  <si>
    <t>ifood: Santa past</t>
  </si>
  <si>
    <t>Gazzozza na pejogzera GGM5</t>
  </si>
  <si>
    <t>O Mercado Alen-Car</t>
  </si>
  <si>
    <t>ifood: pizza</t>
  </si>
  <si>
    <t>ifood santa pasta</t>
  </si>
  <si>
    <t>Panini.com.br: Spawn: Origens 15</t>
  </si>
  <si>
    <t>Frete Panini.com.br: Spawn: Origens 15</t>
  </si>
  <si>
    <t>Sacos de lixo</t>
  </si>
  <si>
    <t>Mercadinho Alen-car</t>
  </si>
  <si>
    <t>Almosso susshi</t>
  </si>
  <si>
    <t>Produtos de limpezas</t>
  </si>
  <si>
    <t>ifood: HamBurgueres</t>
  </si>
  <si>
    <t>ifood: ao mosso</t>
  </si>
  <si>
    <t>Seguro residencial 2025/2026 (02/06)</t>
  </si>
  <si>
    <t>o Habibes da anchienta</t>
  </si>
  <si>
    <t>Velas diversas</t>
  </si>
  <si>
    <t>Areia de coco e sache</t>
  </si>
  <si>
    <t>ifood: pizza hut</t>
  </si>
  <si>
    <t>Uber pra ir pra Silva Bueno</t>
  </si>
  <si>
    <t>O requinte da Silva Bueno</t>
  </si>
  <si>
    <t>A Star Biucks do Shopping 3 paulista</t>
  </si>
  <si>
    <t>Ração</t>
  </si>
  <si>
    <t>Mercadolivre.com.br: arranhador de gaots</t>
  </si>
  <si>
    <t>Café e paes de Queijos</t>
  </si>
  <si>
    <t>Estacionamento na rua</t>
  </si>
  <si>
    <t>iFood: HamBurgyes</t>
  </si>
  <si>
    <t>Goya do Ypiganga</t>
  </si>
  <si>
    <t>Magic Chicker do cambucci</t>
  </si>
  <si>
    <t>gazozza na Oejozera</t>
  </si>
  <si>
    <t>Seguro Peugeot 208 2025/2026 (02/06)</t>
  </si>
  <si>
    <t>ifood: almoço</t>
  </si>
  <si>
    <t>Supermercdo JoaNin</t>
  </si>
  <si>
    <t>Esomeprasol e Donoeridona</t>
  </si>
  <si>
    <t>o Joanin de SCS</t>
  </si>
  <si>
    <t>Maçonaria: Uber pra ir pra casa</t>
  </si>
  <si>
    <t>Itaú Avisa</t>
  </si>
  <si>
    <t>Shopee: bluzinhas</t>
  </si>
  <si>
    <t>Salgados diversos</t>
  </si>
  <si>
    <t>ifood: izza</t>
  </si>
  <si>
    <t>Panini.com.br: Spawn Origens 16</t>
  </si>
  <si>
    <t>Panini.com.br: Spawn Vol 9</t>
  </si>
  <si>
    <t>Ifood: HamBurgues</t>
  </si>
  <si>
    <t>ZULL + zona zul</t>
  </si>
  <si>
    <t>Lanchonete Miradoś</t>
  </si>
  <si>
    <t>Maçonaria: Tres Pontod</t>
  </si>
  <si>
    <t>Maçonaria: Pedra Brutsa</t>
  </si>
  <si>
    <t>Ifood: japoneis</t>
  </si>
  <si>
    <t>Uber pra voltar da Pejô</t>
  </si>
  <si>
    <t>Padaria da FioraVante</t>
  </si>
  <si>
    <t>ifood: sapore di pizza</t>
  </si>
  <si>
    <t>ifood; bolo da terde</t>
  </si>
  <si>
    <t>Alenia 12/400 ; Cloridadro da fexofenedina</t>
  </si>
  <si>
    <t>Cesto de roupas</t>
  </si>
  <si>
    <t>Pasteis no mercadao do Ypiranga</t>
  </si>
  <si>
    <t>Estacionamento na Souza Coutinho</t>
  </si>
  <si>
    <t>Velas de diversas</t>
  </si>
  <si>
    <t>Ração de comer</t>
  </si>
  <si>
    <t>Alen-Car</t>
  </si>
  <si>
    <t>Uber pra ir pra estação Sacomãn</t>
  </si>
  <si>
    <t>O America's da Paulista</t>
  </si>
  <si>
    <t>Robert Wang o tarot kabbalistiko</t>
  </si>
  <si>
    <t>Seguro residencial 2025/2026 (03/06)</t>
  </si>
  <si>
    <t>mager salgados</t>
  </si>
  <si>
    <t>o Açougue do Tenessess</t>
  </si>
  <si>
    <t>MG pastelarias</t>
  </si>
  <si>
    <t>Almoço na berrine</t>
  </si>
  <si>
    <t>MercadoLivre.com.br: Cabo de Carregador Tipo C Lightning Turbo 27w Essager 50cm Cor Preto</t>
  </si>
  <si>
    <t>MercadoLivre.com.br: Carregador Veicular Turbo 60w Usb Usb-c Cabo Display Led Rápido Portátil iPhone Samsung Android Icecoorel</t>
  </si>
  <si>
    <t>Frete ML</t>
  </si>
  <si>
    <t>o oXXo da coutinho</t>
  </si>
  <si>
    <t>Pães de ifood</t>
  </si>
  <si>
    <t>Cafés do GCShoy Yabacuara</t>
  </si>
  <si>
    <t>Game: Anarchy Reigns</t>
  </si>
  <si>
    <t>Game: Eat Lead</t>
  </si>
  <si>
    <t>Game: Hunted: The demon´s Forge</t>
  </si>
  <si>
    <t>Game: Damnation</t>
  </si>
  <si>
    <t>Lachonete arabe no Mercadao Ypiranga</t>
  </si>
  <si>
    <t>Café no Mercadão Ypiranga</t>
  </si>
  <si>
    <t>Ifood: HamBurgão</t>
  </si>
  <si>
    <t>Shopee.com;br: TESTADOR DE BATERIA PILHAS UNIVERSAL 1,5 A 9V AA AAA C D TESTE DE CARGA DIGITAL</t>
  </si>
  <si>
    <t>MOP esfregão</t>
  </si>
  <si>
    <t>EsoMeprasol 40mg</t>
  </si>
  <si>
    <t>Seguro Peugeot 208 2025/2026 (03/06)</t>
  </si>
  <si>
    <t>Connect Cars creditos</t>
  </si>
  <si>
    <t>Shampoo , BeBanThol Spray</t>
  </si>
  <si>
    <t>coisas de frmácias</t>
  </si>
  <si>
    <t>Sugas novas</t>
  </si>
  <si>
    <t>Saida de banho</t>
  </si>
  <si>
    <t>Sorvetes do tiquinho</t>
  </si>
  <si>
    <t>Nocolau MAX</t>
  </si>
  <si>
    <t>Torre de Pizza Pirajus</t>
  </si>
  <si>
    <t>Almoçp shopping ourinnos</t>
  </si>
  <si>
    <t>Pizzaria Frita Semião Botucatu</t>
  </si>
  <si>
    <t>Hidrocloritiazida 25mg , Losartana 50mg</t>
  </si>
  <si>
    <t>Game: Steam: Terminator 2d</t>
  </si>
  <si>
    <t>IOF Game: Steam: Terminator 2d</t>
  </si>
  <si>
    <t>Gazozza no pejozera GGM5</t>
  </si>
  <si>
    <t>o Castelinho da pamonha do 160</t>
  </si>
  <si>
    <t>Ifood: Billy Jhow</t>
  </si>
  <si>
    <t>Ubber naLapa</t>
  </si>
  <si>
    <t>Habibes da anchiete</t>
  </si>
  <si>
    <t>MercadoLivre.com.br: Spawn Origens 17</t>
  </si>
  <si>
    <t>Seguro residencial 2025/2026 (04/06)</t>
  </si>
  <si>
    <t>Areia, ração</t>
  </si>
  <si>
    <t>Credito top</t>
  </si>
  <si>
    <t>ACADEMIA COMPANY BRASIL</t>
  </si>
  <si>
    <t>Prafusos e bucas nº 6</t>
  </si>
  <si>
    <t>Tapete da Shopee</t>
  </si>
  <si>
    <t>MercadoLivre.com.br: Painel Led Embutir Quadrada Ou Redonda 6w</t>
  </si>
  <si>
    <t>o Hitorota´s Ypiranga´s</t>
  </si>
  <si>
    <t>Coxinha mercado Ypiranga</t>
  </si>
  <si>
    <t>Farmácia EsoMepraSol 40mg</t>
  </si>
  <si>
    <t>Seguro Peugeot 208 2025/2026 (04/06)</t>
  </si>
  <si>
    <t>Alomoços</t>
  </si>
  <si>
    <t>Espiha Vergueiro</t>
  </si>
  <si>
    <t>maçonaria: Terno na 5 a sec</t>
  </si>
  <si>
    <t>O Bem Vbarato Sacomãm</t>
  </si>
  <si>
    <t>Dr. Jones: Combo The Razor 6: Cabo + Kit Recargas (4 unidades)</t>
  </si>
  <si>
    <t>Frete dr Jones</t>
  </si>
  <si>
    <t>Panini.com.br: Spawn: Origens Vol. 18</t>
  </si>
  <si>
    <t>Panini.com.br: Spawn Vol. 10</t>
  </si>
  <si>
    <t>Panini.com.br: Rei Spawn Vol. 3</t>
  </si>
  <si>
    <t>Panini.com.br: Spawn: Origens Vol. 19</t>
  </si>
  <si>
    <t>Panini.com.br: Spawn Vol. 11</t>
  </si>
  <si>
    <t>LaPiattoDeCiccio</t>
  </si>
  <si>
    <t>Na Pejozera GGM5</t>
  </si>
  <si>
    <t>Dr. Consultass</t>
  </si>
  <si>
    <t>O Bem barato Sacomãm</t>
  </si>
  <si>
    <t>Maçonaria: uber: pra voltar da GLESP</t>
  </si>
  <si>
    <t>3x Sinvastatinas 20mg</t>
  </si>
  <si>
    <t>Pasteis no mercad~]ao</t>
  </si>
  <si>
    <t>vinhos diversos no merfcado</t>
  </si>
  <si>
    <t>café no mercadao do Ypiranga</t>
  </si>
  <si>
    <t>MercadoLivre.com.br: Luva Tatica Crossfit Musculação Bike Moto Reforçada 2 Velcro</t>
  </si>
  <si>
    <t>MercadoLivre.com.br: Cinta Monitor Cardíaco Polar Ff7 Ft4 Preto</t>
  </si>
  <si>
    <t>Hambugueria do Nico</t>
  </si>
  <si>
    <t>Seguro residencial 2025/2026 (05/06)</t>
  </si>
  <si>
    <t>Aliexpress.com.br: 2x Silicone para apple watch band + caso 40/41/44/45/49mm cinta para apple watch ultra 2 série 9 8 7 6 se pára-choques caso protetor de tela</t>
  </si>
  <si>
    <t>Impostos AliExpess</t>
  </si>
  <si>
    <t>O Bem barato do Sacomãm</t>
  </si>
  <si>
    <t>Areias de cocos</t>
  </si>
  <si>
    <t>Maçonaria: A Varanda Narazet</t>
  </si>
  <si>
    <t>Sudica: ração e sachets</t>
  </si>
  <si>
    <t>Seguro Peugeot 208 2025/2026 (05/06)</t>
  </si>
  <si>
    <t>Maçonaria: para ir pra estação</t>
  </si>
  <si>
    <t>Maçonaria: pra voltar da estação</t>
  </si>
  <si>
    <t>Nicolaus ferreiras em Piraju</t>
  </si>
  <si>
    <t>GAzzozza na pejozera GGM5</t>
  </si>
  <si>
    <t>O tiquinhipos de Pirayus</t>
  </si>
  <si>
    <t>O RodoServ Maristeçça</t>
  </si>
  <si>
    <t>O Castellinho da pamonmhas</t>
  </si>
  <si>
    <t>Maçonaria: para a estação Sacomãm</t>
  </si>
  <si>
    <t>Maçonaria: Para ir pra casa da estaçao Sacomãm</t>
  </si>
  <si>
    <t>Alenca</t>
  </si>
  <si>
    <t>Zona Azul Zull</t>
  </si>
  <si>
    <t>Pasteis no Mercadão Ypyranga</t>
  </si>
  <si>
    <t>Ubber</t>
  </si>
  <si>
    <t>KaskaTaBurgues</t>
  </si>
  <si>
    <t>O Bem barato do Sacomçãn</t>
  </si>
  <si>
    <t>Maçonaria: Uber pra Ir pra estação</t>
  </si>
  <si>
    <t>Alenia 12/400</t>
  </si>
  <si>
    <t>frete Alenia</t>
  </si>
  <si>
    <t>Maçonaria: Uber pra VOLTA da etação</t>
  </si>
  <si>
    <t>Trabalho: Flor de Iris|</t>
  </si>
  <si>
    <t>Areia de coco de gato e raçãoes</t>
  </si>
  <si>
    <t>Game: BloodRayne Betrayal: Fresh Bites</t>
  </si>
  <si>
    <t>iof Psn BloodRayne Betrayal: Fresh Bites</t>
  </si>
  <si>
    <t>IFOOD: KasKaa</t>
  </si>
  <si>
    <t>Seguro residencial 2025/2026 (06/06)</t>
  </si>
  <si>
    <t>Shopee.com.br: Capa Case Capinha De Vidro Premium Para iPhone 16 16 Pro e 16 Pro Max</t>
  </si>
  <si>
    <t>Shopee.com.br: Cabo De iPhone - Tipo C 1 Metro Carregador Rápido USB C e iPhone iOS Original</t>
  </si>
  <si>
    <t>Habibes da cabeça da anchieta</t>
  </si>
  <si>
    <t>ifood: parmeggianna´s</t>
  </si>
  <si>
    <t>O Bem barato doDacomãn</t>
  </si>
  <si>
    <t>A casa limpa Sto Andre - materiais de limpezaqs</t>
  </si>
  <si>
    <t>O KasKatas Burgues presencial</t>
  </si>
  <si>
    <t>Pelicula e Chips de celular</t>
  </si>
  <si>
    <t>coisasde macumbas</t>
  </si>
  <si>
    <t>Leroy Merlin: lampadas led tubolares closer</t>
  </si>
  <si>
    <t>Seguro Peugeot 208 2025/2026 (06/06)</t>
  </si>
  <si>
    <t>Almoçp</t>
  </si>
  <si>
    <t>Farmacias Hormonais</t>
  </si>
  <si>
    <t>Mercado livre</t>
  </si>
  <si>
    <t xml:space="preserve">cóquinha no mercadinho </t>
  </si>
  <si>
    <t>coisas de comers</t>
  </si>
  <si>
    <t>Combistivel na Pejozera GGM5</t>
  </si>
  <si>
    <t>Recarga automática conext Cars</t>
  </si>
  <si>
    <t>No mercadinho alencar</t>
  </si>
  <si>
    <t>Star Chickers</t>
  </si>
  <si>
    <t>Itau Avisa</t>
  </si>
  <si>
    <t>BanRI da liberdade</t>
  </si>
  <si>
    <t>O Bem Barato do Sacomãn</t>
  </si>
  <si>
    <t>o Point do Gordão do Ypiranga</t>
  </si>
  <si>
    <t>Alen-C.A.R.</t>
  </si>
  <si>
    <t>Farmácia: SYSTEN CONTI 8 ADESIV</t>
  </si>
  <si>
    <t>Esomeprasol 40mg</t>
  </si>
  <si>
    <t>iFood: Sapore di pizza</t>
  </si>
  <si>
    <t xml:space="preserve"> Maio / 2026</t>
  </si>
  <si>
    <t>Gazpzza na Pajozera GGM5</t>
  </si>
  <si>
    <t>ifood: Japoneis</t>
  </si>
  <si>
    <t>Empiraju</t>
  </si>
  <si>
    <t>Shopee.com.br: comerdores elevados para gatos</t>
  </si>
  <si>
    <t xml:space="preserve">Combustivel na Pejera GGM5 </t>
  </si>
  <si>
    <t>iFood: KasKaTa 1979</t>
  </si>
  <si>
    <t>Maçonaria: Uber pra ir pra estação Sacomãn</t>
  </si>
  <si>
    <t>iFood</t>
  </si>
  <si>
    <t xml:space="preserve"> Junho / 2026</t>
  </si>
  <si>
    <t xml:space="preserve"> Julho / 2026</t>
  </si>
  <si>
    <t xml:space="preserve">PIX: Do Itau </t>
  </si>
  <si>
    <t xml:space="preserve">Juros e Corração no Periodo </t>
  </si>
  <si>
    <t>PIX: Para o MercadoPago</t>
  </si>
  <si>
    <t>PIX: Para a conta Fantasma do B.B</t>
  </si>
  <si>
    <t xml:space="preserve">PIX: da CEF </t>
  </si>
  <si>
    <t>PIX: Do XP Invest</t>
  </si>
  <si>
    <t>PIX: DO NuBank</t>
  </si>
  <si>
    <t>PIX: Do IMercadoPago</t>
  </si>
  <si>
    <t>PIX: do NuBANK</t>
  </si>
  <si>
    <t>PIX: Da Caixa Poupança</t>
  </si>
  <si>
    <t>PIX: Para o XP CC</t>
  </si>
  <si>
    <t>HomeOffice: MercdoLIvre.com.br: Mouse Pad Gigante 90x40</t>
  </si>
  <si>
    <t>dinheiro perdido do Santander</t>
  </si>
  <si>
    <t xml:space="preserve">PIX: Dinheiro perdiro de algum lugar </t>
  </si>
  <si>
    <t>PIX: DO Itau ITI</t>
  </si>
  <si>
    <t>PIX: DO Itau</t>
  </si>
  <si>
    <t>Cabo Adaptador Av Componente Tv Samsung Led Lcd P1 P2 5 Rca</t>
  </si>
  <si>
    <t xml:space="preserve">Mercado Frete do Cabo </t>
  </si>
  <si>
    <t>Game: MercadoLivre.com.br: The Cursed Crusade</t>
  </si>
  <si>
    <t>AliExpress.com: Kit Cabos SCART</t>
  </si>
  <si>
    <t>Frete Kit Cabos SCART</t>
  </si>
  <si>
    <t>AliExpress.com: RetroScaler-BlueRetro adaptador de controlador de jogo sem fio, Nintendo Switch, PSX, PS1, PS2 para IPX, PS4, PS5, 9076</t>
  </si>
  <si>
    <t>Game: jp: Conan</t>
  </si>
  <si>
    <t>Game: jp: BioShock</t>
  </si>
  <si>
    <t xml:space="preserve">Frete Jogos JP </t>
  </si>
  <si>
    <t>Maçonaria - Contribuição Mensal - Julho/2023</t>
  </si>
  <si>
    <t>Game: MercadoShop.com.br: GlaukeraGames: Wet PS3</t>
  </si>
  <si>
    <t>Frete:Game: MercadoShop.com.br: GlaukeraGames: Wet PS3</t>
  </si>
  <si>
    <t>Maçonaria - Contribuição Mensal - Outubro/2023</t>
  </si>
  <si>
    <t>PIX: da conta do ML</t>
  </si>
  <si>
    <t>MercadoLivre.com.br: Cabo Carregador Tipo C Para Lightning Essager Turbo 27w 1 M</t>
  </si>
  <si>
    <t>Frete: Cabo Carregador Tipo C Para Lightning Essager Turbo 27w 1 M</t>
  </si>
  <si>
    <t>PIX: Para o ITI CC</t>
  </si>
  <si>
    <t>PIX: Do NuBank CC</t>
  </si>
  <si>
    <t>pix: Do ITI CC</t>
  </si>
  <si>
    <t>PIX: do XP CC</t>
  </si>
  <si>
    <t>MercadoLivre.com.br: Serras para micro refitica</t>
  </si>
  <si>
    <t>Frete: Serras micro retifica</t>
  </si>
  <si>
    <t>MercadoLivre.com.br: Controle Original Playstation 3 , Totalmente Original!!!!</t>
  </si>
  <si>
    <t>Frete: Controle Original Playstation 3 , Totalmente Original!!!!</t>
  </si>
  <si>
    <t>MercadoLivre.com.br: Carregador de BATERIADAS do PSP Slim 3k</t>
  </si>
  <si>
    <t xml:space="preserve">Rendimento no periodo </t>
  </si>
  <si>
    <t>PIX: para implantes de Hormonios</t>
  </si>
  <si>
    <t>GameTechZone: conserto + bateria nova</t>
  </si>
  <si>
    <t>PIX: do ItaU</t>
  </si>
  <si>
    <t xml:space="preserve">PIX: Para o Anderson </t>
  </si>
  <si>
    <t>Maçonaria - Contribuição Mensal - fevereiro/2024</t>
  </si>
  <si>
    <t>PIX: Para o Itau</t>
  </si>
  <si>
    <t>The Burgues MAPs</t>
  </si>
  <si>
    <t xml:space="preserve">o oXXO </t>
  </si>
  <si>
    <t>PIX: GorilaShield: 02 cordões de celulares</t>
  </si>
  <si>
    <t>PIX: Frete da gorilla Shield</t>
  </si>
  <si>
    <t>IPTU Valor cobrado menor Venc 20/01</t>
  </si>
  <si>
    <t>DonPeridona/Motilium 10mg</t>
  </si>
  <si>
    <t>Fatura Enel - Fevereiro - 2024</t>
  </si>
  <si>
    <t>MercadoLivre.com.br: Roteador Gigabit Ax5400 Tp-link Archer Ax73 Cor Preto</t>
  </si>
  <si>
    <t>PIX: agua coqueiros</t>
  </si>
  <si>
    <t>PIX: AliExpress.Com:Mini roteador Wi-Fi sem fio com antena interna, OPENVPN, repetidor Wi-PIX: Fi, USB, MT300N-v2, MTK7628N, 802.11n, 300Mbps, MT300N-v2</t>
  </si>
  <si>
    <t>PIX: Frete Mini Router AliXpress</t>
  </si>
  <si>
    <t>Trabalho: Café da Manhas</t>
  </si>
  <si>
    <t>Trabalho: Gallo´s</t>
  </si>
  <si>
    <t>Tomadas novas para rotreadores</t>
  </si>
  <si>
    <t>PIX: DrogariaSP Verbo Divino: Lexapro 10MG</t>
  </si>
  <si>
    <t>PIX: Drogasil SCS Barcelona: Lexapro 10MG</t>
  </si>
  <si>
    <t>Losartana 50Mg, Hidrocloritiazida 25mg, Sinvastatina 20mg</t>
  </si>
  <si>
    <t>pasta de dentes e sabonete intimus</t>
  </si>
  <si>
    <t xml:space="preserve">PIX: Material e mão de obra pro Leandro do predio Ref AS tomadas do roteador novo </t>
  </si>
  <si>
    <t>Grazziel Pizzeria</t>
  </si>
  <si>
    <t>PIX: Para o ItaU</t>
  </si>
  <si>
    <t>Game: Assassin's Creed III</t>
  </si>
  <si>
    <t>Game: Assassin's Creed IV</t>
  </si>
  <si>
    <t>Frete games ASScred</t>
  </si>
  <si>
    <t>Cetoprofeno 50mg</t>
  </si>
  <si>
    <t>MercadoLivre.com.br: Mini Pc, Windows 11, Intel Nuc Quadcore 3,40 Ghz,16g Ram 512 1 un. | Voltagem: 110V/220V</t>
  </si>
  <si>
    <t>GAME: StormGame: REPO The LAST of US</t>
  </si>
  <si>
    <t>GAME: StormGame: REPO Uncharted 2</t>
  </si>
  <si>
    <t>PIX: Bateria nova na EchoSports</t>
  </si>
  <si>
    <t>PIX: Gaua mineral</t>
  </si>
  <si>
    <t>Go Coffe do centro</t>
  </si>
  <si>
    <t>Pix: drogaRaia : Esio 40mg</t>
  </si>
  <si>
    <t>o Carry4xPress</t>
  </si>
  <si>
    <t>Ralçaoi, Areia e Saches</t>
  </si>
  <si>
    <t>MercadoLivre.com.br: 100 Sacos Pp Adesivos 15x25+3cmx0,10mm Para Blu- Ray E Dvds!</t>
  </si>
  <si>
    <t>Frete: 100 Sacos Pp Adesivos 15x25+3cmx0,10mm Para Blu- Ray E Dvds!</t>
  </si>
  <si>
    <t xml:space="preserve">Gazzoza na EchoSport </t>
  </si>
  <si>
    <t>Gazzoza no Pejô</t>
  </si>
  <si>
    <t>Taxa de umportação Mango Mini Router</t>
  </si>
  <si>
    <t>Maçonaria - Contribuição Mensal - Março/2024</t>
  </si>
  <si>
    <t xml:space="preserve">PIX: para o Itau </t>
  </si>
  <si>
    <t>The GO cofee</t>
  </si>
  <si>
    <t>A coop de Sto André</t>
  </si>
  <si>
    <t>PIX: do XP</t>
  </si>
  <si>
    <t>Enel - Março - 2024</t>
  </si>
  <si>
    <t>Game: Dead Space</t>
  </si>
  <si>
    <t>Frete Game: Dead Space</t>
  </si>
  <si>
    <t>PIX: Do Itau</t>
  </si>
  <si>
    <t xml:space="preserve">PIX: CashBack zoom </t>
  </si>
  <si>
    <t>MercadoLivre.com.br: Cabo Adaptador Sata Usb Para Hd E Ssd 2.5 Cor Preto</t>
  </si>
  <si>
    <t>Frete: Cabo Adaptador Sata Usb Para Hd E Ssd 2.5 Cor Preto</t>
  </si>
  <si>
    <t>Copia da CNH para recorrer multa</t>
  </si>
  <si>
    <t>PIX: DA XP</t>
  </si>
  <si>
    <t>PIX: do Nubank</t>
  </si>
  <si>
    <t>Game: Resident Evil 4</t>
  </si>
  <si>
    <t>Frete: RE4</t>
  </si>
  <si>
    <t>Juros e correção no periodo</t>
  </si>
  <si>
    <t xml:space="preserve">PIX: Estacionamento no centro </t>
  </si>
  <si>
    <t>PIX: Para o Santander</t>
  </si>
  <si>
    <t>CONSERTO e reparo do peneu do Pejô</t>
  </si>
  <si>
    <t>Game: StarkHawk</t>
  </si>
  <si>
    <t>Game:WatchDog Legions</t>
  </si>
  <si>
    <t>Game:Castlevania lord of Shadoes</t>
  </si>
  <si>
    <t xml:space="preserve">Game: Devil May Cry </t>
  </si>
  <si>
    <t>Game: Devil May Cry  2 JP</t>
  </si>
  <si>
    <t>Game: Devil May Cry 3 Dante´s Awakening</t>
  </si>
  <si>
    <t>Game: Guitar Hero 5</t>
  </si>
  <si>
    <t>Game: Syphn filterDark Mirror</t>
  </si>
  <si>
    <t>Game: Guitar Hero Warriors of Rock</t>
  </si>
  <si>
    <t>Game: Diablo III</t>
  </si>
  <si>
    <t>Game: Castlevania Lord of The Shadows</t>
  </si>
  <si>
    <t>Game: Castlevania Lord of The Shadows 2</t>
  </si>
  <si>
    <t>Game: Guitar Hero aEROsMITH</t>
  </si>
  <si>
    <t>Game: Bloodrayne 2</t>
  </si>
  <si>
    <t>Lanche 1</t>
  </si>
  <si>
    <t>Coquinha</t>
  </si>
  <si>
    <t>Miniatura de PS2</t>
  </si>
  <si>
    <t xml:space="preserve">Na act digital </t>
  </si>
  <si>
    <t xml:space="preserve">pix: Agua Mineral </t>
  </si>
  <si>
    <t>PIX: para a cistiane</t>
  </si>
  <si>
    <t>O Horti Fruite</t>
  </si>
  <si>
    <t>eletroPaulo - Setembro / 2024</t>
  </si>
  <si>
    <t>MercadoLivre.com.br: Cadeira De Escritório Presidente Thompson Healer Cor Preto</t>
  </si>
  <si>
    <t>PIX: Do Santander</t>
  </si>
  <si>
    <t>Galpão 248 Burgês</t>
  </si>
  <si>
    <t>PIX: do BTG Pactual</t>
  </si>
  <si>
    <t>PIX: Para p Itau</t>
  </si>
  <si>
    <t>PIX: do ITI CC</t>
  </si>
  <si>
    <t>PIX: para o leandro da pia da cozinha</t>
  </si>
  <si>
    <t xml:space="preserve">No oXXO </t>
  </si>
  <si>
    <t>pix: The burgues Galleries</t>
  </si>
  <si>
    <t>iFood: Pizzaria Artico SCS</t>
  </si>
  <si>
    <t>Maçonaria: contribuição mensal Janeiro/2025</t>
  </si>
  <si>
    <t>Fatura Claro celular - Janeiro - 2025</t>
  </si>
  <si>
    <t>PIX: para o itau</t>
  </si>
  <si>
    <t>PIX: Holanda consultoria - cnpj 56701281000164</t>
  </si>
  <si>
    <t xml:space="preserve">pix: Agua coqueiros Minerais </t>
  </si>
  <si>
    <t>o Minuto Pão de Açucar</t>
  </si>
  <si>
    <t>Habibes Jabaquara</t>
  </si>
  <si>
    <t xml:space="preserve">Dell Vale pêssego feira games d </t>
  </si>
  <si>
    <t>iFood: Artico pizzeria</t>
  </si>
  <si>
    <t>PIX: Kiwify -curriculos</t>
  </si>
  <si>
    <t>enel - Janeiro - 2025</t>
  </si>
  <si>
    <t>Estacionamento na dentist</t>
  </si>
  <si>
    <t>iFood: Brabus Burutus</t>
  </si>
  <si>
    <t>Shopee.com.br: Controle Compatível Samsung Tm1950 Bn63-18063a003 Tv Led 4k</t>
  </si>
  <si>
    <t>Frete: Controle Compatível Samsung Tm1950 Bn63-18063a003 Tv Led 4k</t>
  </si>
  <si>
    <t>Shopee.com.br: Receptor Retro 8BitDo Para Sony PS1/2/Win10/11/PC Sistema Bluetooth Suporte De Adaptador PS5/4 Switch Pro Xbox One Wii U Controlador</t>
  </si>
  <si>
    <t xml:space="preserve">TAXA DE importação </t>
  </si>
  <si>
    <t>MercadoLIvre.com.br: Grill Sanduicheira Cadence San400 Elétrica Chapa Misteira Tostex Tostequeira Hambúrguer Click 127v</t>
  </si>
  <si>
    <t xml:space="preserve">PIX: para a MIG do Controle remoto </t>
  </si>
  <si>
    <t>No mercadinho do prédio</t>
  </si>
  <si>
    <t>Café no Atrum Shoppings</t>
  </si>
  <si>
    <t>Game: Ronirvi: Games: inFamous</t>
  </si>
  <si>
    <t>Game: Ronirvi: Games: inFamous Second Son</t>
  </si>
  <si>
    <t>Game: Ronirvi: Final Fantasy XII</t>
  </si>
  <si>
    <t>Game: Ronirvi: Final Fantasy XII-2</t>
  </si>
  <si>
    <t>Game: Detroit Become Human</t>
  </si>
  <si>
    <t>Game: inFamous 2</t>
  </si>
  <si>
    <t>Game: BulletStorm</t>
  </si>
  <si>
    <t>Game: The Bureau Xcom Declassified</t>
  </si>
  <si>
    <t>Lojas Americanas</t>
  </si>
  <si>
    <t>O Minuto Pão de Açucar</t>
  </si>
  <si>
    <t>ifood Pizza Artico</t>
  </si>
  <si>
    <t>PIX: taXAS LW991384568FR</t>
  </si>
  <si>
    <t>PIX: O rei dos assados e das marmitas</t>
  </si>
  <si>
    <t>Cetoprofeno 100mg + Advile</t>
  </si>
  <si>
    <t>03x cuecas nas americanas</t>
  </si>
  <si>
    <t>Game: The Sabouterus</t>
  </si>
  <si>
    <t>Game: inFamous</t>
  </si>
  <si>
    <t>Frete inFamous + The Saboteurs</t>
  </si>
  <si>
    <t xml:space="preserve">iFood: Artico Pizzaria </t>
  </si>
  <si>
    <t>Acumiulado no periodo</t>
  </si>
  <si>
    <t>PIX: Para a XP CC</t>
  </si>
  <si>
    <t xml:space="preserve">Ref ao cancelamento seguro eco </t>
  </si>
  <si>
    <t>PIX: da XP CC</t>
  </si>
  <si>
    <t>PIX: Game: Need For Speed Hot Persuit Limited Ed.</t>
  </si>
  <si>
    <t>PIX: Game: The Evil Withn 2</t>
  </si>
  <si>
    <t>PIX: Game: Gran Turismo 5 XL Ed.</t>
  </si>
  <si>
    <t>PIX: Game: Burnout Paradize remaster</t>
  </si>
  <si>
    <t>PIX: Game: Hitman The  Triple HIT Pack</t>
  </si>
  <si>
    <t>Suportes 3D</t>
  </si>
  <si>
    <t>Conector de USB</t>
  </si>
  <si>
    <t>mERCADOliVRE.COM.BR: Correia Alça Guitarra Faixa Amarela Basso Sf-355 Pop Art</t>
  </si>
  <si>
    <t>PIX: 04 Creditos TOPS</t>
  </si>
  <si>
    <t>PIX: para o Itau</t>
  </si>
  <si>
    <t>Game: MercadoLivre.com.br: Ressonanse of Faith</t>
  </si>
  <si>
    <t>Game: MercadoLivre.com.br: Nier: Automata  Nier Game Of The Yorha Edition Square Enix Ps4 Físico</t>
  </si>
  <si>
    <t>Game: MercadoLivre.com.br: Hellblade Senua's Sacrifice Ps4 Físico Lacrado</t>
  </si>
  <si>
    <t>Game: MercadoLivre.com.br:Bound by Fire</t>
  </si>
  <si>
    <t>MercadoLivre.combr: Bandeja Cantinho Do Café Dolce Gusto Gaveta Porta 32 Capsula</t>
  </si>
  <si>
    <t>Coisas no Mercado Livre</t>
  </si>
  <si>
    <t>MercadoLivre.com.br: Mão Mecânica Com Garras Para Pegar E Desentupir Pias Ralos..</t>
  </si>
  <si>
    <t>Frete: MercadoLivre.com.br: Mão Mecânica Com Garras Para Pegar E Desentupir Pias Ralos..</t>
  </si>
  <si>
    <t>MercadoLivre.com.br: Presente para a cesta de final de ano</t>
  </si>
  <si>
    <t>MercadoLivre.com.br:Cola Adesivo 3m 75 Reposicionavel 300g</t>
  </si>
  <si>
    <t>Frete: Cola Adesivo 3m 75 Reposicionavel 300g</t>
  </si>
  <si>
    <t>MercadoLivre.com.br: Mochilas das Gabi Agatha</t>
  </si>
  <si>
    <t>MercadoLIvre.com.br: Zatthar</t>
  </si>
  <si>
    <t>MercadoLivre.com.br: Tahahinee</t>
  </si>
  <si>
    <t>MercadoLIvre.com.br:Maleta Caixa Organizadora 2 Bandejas Feminina Rosa Maquiagem</t>
  </si>
  <si>
    <t>Mercadolivre.com.br</t>
  </si>
  <si>
    <t>MercadoLivre.com.br: Hd Ssd Disco Sólido Interno Up Gamer Up500 480gb Preto.</t>
  </si>
  <si>
    <t xml:space="preserve">Compra no ML </t>
  </si>
  <si>
    <t>Saldo para ajustes</t>
  </si>
  <si>
    <t>Game: MercadoLivre.com.br: GoW Ghost Os Sparta</t>
  </si>
  <si>
    <t>Comprinha no Mercado Livre</t>
  </si>
  <si>
    <t>MercadoLivre.com.br:  Controle Remoto Samsung Bn59-01432b Preto Com Comando De Voz</t>
  </si>
  <si>
    <t>MercadoLivre.com.br: coisas de cabelos</t>
  </si>
  <si>
    <t>Roupas de camas do ML</t>
  </si>
  <si>
    <t>MercadoLivre.com.br: Refil Vela Filtro Compatível Lorenzetti Acqua Bella Vitale Cor Branco</t>
  </si>
  <si>
    <t>MercadoLivre.com.br:  Dell XPS L421X A18 Par De Alto Falante Para Dell Compatível Com 0f1n2k</t>
  </si>
  <si>
    <t>MercadoLivre.com.br: Fonte 12v + Fan 80mm + Conector Fêmea P4</t>
  </si>
  <si>
    <t>Julho/ 2025</t>
  </si>
  <si>
    <t>nOVEMBRO / 2025</t>
  </si>
  <si>
    <t>Janeiro  / 2026</t>
  </si>
  <si>
    <t>aBRIL / 2026</t>
  </si>
  <si>
    <t/>
  </si>
  <si>
    <t>teste</t>
  </si>
  <si>
    <t xml:space="preserve">Teste de DTS do Nubank IN </t>
  </si>
  <si>
    <t xml:space="preserve">Teste de DTS do Nubank OUT  </t>
  </si>
  <si>
    <t>COmicBook: Amazon.com.br: Batman Silêncio</t>
  </si>
  <si>
    <t>Mangá: Ataque Dos Titãs 30</t>
  </si>
  <si>
    <t>Enjoei.com: Case de óculos RayBan</t>
  </si>
  <si>
    <t>Envio jogo PS3 Heavenly Sword JU967736370BR</t>
  </si>
  <si>
    <t>Frete correio Jogo PS3</t>
  </si>
  <si>
    <t>Emprestimo NuBank par apagar em 03/02</t>
  </si>
  <si>
    <t>ComGaz de Janeiro/2021</t>
  </si>
  <si>
    <t>Jogos de PS3 no Mercado Livre</t>
  </si>
  <si>
    <t>Pagamento e Emprestimos</t>
  </si>
  <si>
    <t>Pix.Out: Para o Itau</t>
  </si>
  <si>
    <t>Amazon.com.br : Ataque dos Titãs 01</t>
  </si>
  <si>
    <t>Pix: para o Itau</t>
  </si>
  <si>
    <t>Emprestimo NuBank</t>
  </si>
  <si>
    <t>Pix: para o Rogerin da Compliance comprar fraldas</t>
  </si>
  <si>
    <t>Pix: Itau</t>
  </si>
  <si>
    <t>Parcela Financ NuBanc 2021 (01/12)</t>
  </si>
  <si>
    <t>Parcela Financ NuBanc 2021 (02/12)</t>
  </si>
  <si>
    <t>Pix: Do Itau</t>
  </si>
  <si>
    <t xml:space="preserve">Pix: Teste </t>
  </si>
  <si>
    <t>Parcela Financ NuBanc 2021 (03/12)</t>
  </si>
  <si>
    <t>IRPF 2021</t>
  </si>
  <si>
    <t>Quitação emprestimo NuBank</t>
  </si>
  <si>
    <t>PIX: da Xp Investimentos</t>
  </si>
  <si>
    <t xml:space="preserve">PIX: para o Hikari Odontologia </t>
  </si>
  <si>
    <t>A Padoca Santa Monica´s</t>
  </si>
  <si>
    <t>PIX para a XP invest</t>
  </si>
  <si>
    <t>PIX DA xp Invers</t>
  </si>
  <si>
    <t xml:space="preserve">Cóquinha do mercadinho do predio </t>
  </si>
  <si>
    <t>Para a rifa da Anna Botura</t>
  </si>
  <si>
    <t>PIX: Sul América Saude</t>
  </si>
  <si>
    <t>Gazzozza no Pejô GGM5 Chapoloin</t>
  </si>
  <si>
    <t xml:space="preserve">SulAmérica Saude </t>
  </si>
  <si>
    <t xml:space="preserve">Maçonaria: Leques brasil </t>
  </si>
  <si>
    <t>PIX: Primus BARs</t>
  </si>
  <si>
    <t>Maçonaria : Tres pontos</t>
  </si>
  <si>
    <t xml:space="preserve">Shoppee.com 2x CR1632 + 2X cr2025 </t>
  </si>
  <si>
    <t>Paccocca's bella Vitoria Régias</t>
  </si>
  <si>
    <t>Shopee: Pulseiras do FT7</t>
  </si>
  <si>
    <t>Diságua coqueiros</t>
  </si>
  <si>
    <t>Emprestimo do NuBank</t>
  </si>
  <si>
    <t>Lixas de unhas e prendedores</t>
  </si>
  <si>
    <t xml:space="preserve">Ref. Ao curso de  Tarot </t>
  </si>
  <si>
    <t>Pagamento Parcelas 24, 23, 22 de Empréstimos</t>
  </si>
  <si>
    <t>Gazzozza no Pejo GGM5</t>
  </si>
  <si>
    <t xml:space="preserve">Maçonaria: Café no </t>
  </si>
  <si>
    <t>Maçonaria: Lanche no PB</t>
  </si>
  <si>
    <t xml:space="preserve">PIX: do Itau para pagar o Financiamento </t>
  </si>
  <si>
    <t>Parc. Financiamento NuBank - 2022/2024 (01/24)</t>
  </si>
  <si>
    <t>As SulAmerica ref exames da cristiane</t>
  </si>
  <si>
    <t>PIX: para a cristiane</t>
  </si>
  <si>
    <t xml:space="preserve">iPhone 8 Plus (1ª parcela) </t>
  </si>
  <si>
    <t>Parc. Financiamento NuBank - 2022/2024 (21/24)</t>
  </si>
  <si>
    <t>PIX: Xp CC</t>
  </si>
  <si>
    <t>Vendas diversas no OLX</t>
  </si>
  <si>
    <t>PIX: Da XP inv</t>
  </si>
  <si>
    <t>Parc. Financiamento NuBank - 2022/2024 (20/24)</t>
  </si>
  <si>
    <t xml:space="preserve">Dilluminato: Luminária de Mesa Articulada - Alice Total Black(Branco Frio) </t>
  </si>
  <si>
    <t>MercadoLivre.com.br: HomeOffice: Suporte De Mesa Para Headset Fone De Ouvido Headphone Gamer</t>
  </si>
  <si>
    <t>Parc. Financiamento NuBank - 2022/2024 (02/24)</t>
  </si>
  <si>
    <t>Parc. Financiamento NuBank - 2022/2024 (17/24)</t>
  </si>
  <si>
    <t>Gazoza no pejô GGM5</t>
  </si>
  <si>
    <t>The Neighbor Pub</t>
  </si>
  <si>
    <t>PIX para a cristiane</t>
  </si>
  <si>
    <t xml:space="preserve">Para o ItaU </t>
  </si>
  <si>
    <t>Areias e agradinhos</t>
  </si>
  <si>
    <t>Churrasco é o Nome!</t>
  </si>
  <si>
    <t>ValVerde Gelateria</t>
  </si>
  <si>
    <t xml:space="preserve">Losartanda, Hidroclritiazida e Sinvastatina </t>
  </si>
  <si>
    <t>Lanche no Km 53</t>
  </si>
  <si>
    <t>Lanche nacmaponesa</t>
  </si>
  <si>
    <t xml:space="preserve">Pizza da torre de Piza em Puraju </t>
  </si>
  <si>
    <t xml:space="preserve">Lanche no Maristela pra ir pra Sp </t>
  </si>
  <si>
    <t>Plastico filme PVC em piraju</t>
  </si>
  <si>
    <t xml:space="preserve">Gazzozza no Pajo GGM5 em Piraju </t>
  </si>
  <si>
    <t>A quita de O Marques</t>
  </si>
  <si>
    <t xml:space="preserve">ifood: Don Fornui </t>
  </si>
  <si>
    <t xml:space="preserve">Coquinha do mercadinho do predio </t>
  </si>
  <si>
    <t>Paccocca´s Santa monicas</t>
  </si>
  <si>
    <t>restante FGTS DXC</t>
  </si>
  <si>
    <t xml:space="preserve">Cóquinha e macarrão no mercado do predio </t>
  </si>
  <si>
    <t xml:space="preserve">Café em pó no mercadinho do predio </t>
  </si>
  <si>
    <t>A paccocca´s Sanyta´ Nonicaps</t>
  </si>
  <si>
    <t>Paccocca´s Santa Monicas Paes</t>
  </si>
  <si>
    <t xml:space="preserve">iFood: Burgyês Gallery </t>
  </si>
  <si>
    <t>Tenis novos e Meias</t>
  </si>
  <si>
    <t xml:space="preserve">Café na Holandeza do Plaza </t>
  </si>
  <si>
    <t>A coop da Industrial</t>
  </si>
  <si>
    <t>iFood:</t>
  </si>
  <si>
    <t>Medicamentos para azias</t>
  </si>
  <si>
    <t>Maçonaria - Contribuição Mensal - Agosto/2022</t>
  </si>
  <si>
    <t>Transferencia pro itau</t>
  </si>
  <si>
    <t>iFood: Raggazzo</t>
  </si>
  <si>
    <t xml:space="preserve">Restaurante Cantin Arabe </t>
  </si>
  <si>
    <t>MagazineLuiza.com.br: Monitor Widescreen Full HD LG 22MK400H-B 21,5” + TN LED 1 HDMI Freesync</t>
  </si>
  <si>
    <t>MagazineLuiza.com.br: Paquímetro Universal 0-150mm MTX - 3163159</t>
  </si>
  <si>
    <t>PIX: Atendimento Psicologico Jane Alcantara em 12/08/2022</t>
  </si>
  <si>
    <t>iFood: O Coice HamBurGuês</t>
  </si>
  <si>
    <t>o OutBack do Shopping Mapping</t>
  </si>
  <si>
    <t>Kalunga: filtro de linha 8 portas</t>
  </si>
  <si>
    <t>kalugna: Fone de ouvido para reuniões</t>
  </si>
  <si>
    <t>Henring: roupas para trabalhar</t>
  </si>
  <si>
    <t>Henring: Roupas diversas</t>
  </si>
  <si>
    <t>Café do Ponto do Mapping</t>
  </si>
  <si>
    <t>PIX: Para o Itau Pagar o SemParar</t>
  </si>
  <si>
    <t>Trabalho: Restaurante Paulistano</t>
  </si>
  <si>
    <t>Trabalho: Café CaCau Show</t>
  </si>
  <si>
    <t>Trabalho: Booker Pittman</t>
  </si>
  <si>
    <t>Trabalho: Chopp Time</t>
  </si>
  <si>
    <t>Parc. Financiamento NuBank - 2022/2024 (03/24)</t>
  </si>
  <si>
    <t>PIX: Para o Vantuir ref aos salames</t>
  </si>
  <si>
    <t>Trabalho:Sinhorinha</t>
  </si>
  <si>
    <t xml:space="preserve">Trabalho: No Pejo GGM5 </t>
  </si>
  <si>
    <t>1ª Parcela Seguro Desemprego DXC Tecnologies</t>
  </si>
  <si>
    <t>Café na rede oxxo</t>
  </si>
  <si>
    <t>Aluguel BS House + Taxas (20/30)</t>
  </si>
  <si>
    <t>IPTU Del Piano8(18/30)</t>
  </si>
  <si>
    <t xml:space="preserve">Trabalho: Café </t>
  </si>
  <si>
    <t xml:space="preserve">Trabalho: </t>
  </si>
  <si>
    <t>Maçonaria: Pedra Brutra</t>
  </si>
  <si>
    <t xml:space="preserve">Auto presentes de anviersário </t>
  </si>
  <si>
    <t>Grazzie Naplie Jantar aniversário cristiane</t>
  </si>
  <si>
    <t xml:space="preserve">Coquinha nopredio </t>
  </si>
  <si>
    <t>A/D. Ração Exigent Royal Canim, Banho Seco e potinhos</t>
  </si>
  <si>
    <t>PIX: Atendimento Psicologico Jane Alcantara em 26/08/2022</t>
  </si>
  <si>
    <t>Consulta médica da Jade no Dr. Hato</t>
  </si>
  <si>
    <t>Pasteis de Barcelona em casa</t>
  </si>
  <si>
    <t xml:space="preserve">no oXXo </t>
  </si>
  <si>
    <t>Na coop da industrial</t>
  </si>
  <si>
    <t>Parte do tratamento da Jade</t>
  </si>
  <si>
    <t>Remedios da Jade</t>
  </si>
  <si>
    <t>IRPF 2022</t>
  </si>
  <si>
    <t>Fatura ComGas</t>
  </si>
  <si>
    <t>Trabalho: Café da tarde]</t>
  </si>
  <si>
    <t>Pacocas Dantas Monitcas</t>
  </si>
  <si>
    <t>Consulta Jade nefrologista + Soro</t>
  </si>
  <si>
    <t>iFood: The Burgues Gallerry</t>
  </si>
  <si>
    <t>Embaixador cafeteria</t>
  </si>
  <si>
    <t>Sodiê cafés</t>
  </si>
  <si>
    <t xml:space="preserve">AntiAlergicos e cremes diversos </t>
  </si>
  <si>
    <t>Trabalho: café de manha na padoca</t>
  </si>
  <si>
    <t xml:space="preserve">Trabalho: Café de manha </t>
  </si>
  <si>
    <t xml:space="preserve">Envio de documentos para a DXC </t>
  </si>
  <si>
    <t>Maçonaria: Estacionamento 3 Pontos</t>
  </si>
  <si>
    <t>Maçonaria: Pizzaria do Moraes</t>
  </si>
  <si>
    <t>Enel - Agosto - 2022</t>
  </si>
  <si>
    <t>Trabalho: Chopp Times</t>
  </si>
  <si>
    <t>Trabalho: Cafés cacau Show!</t>
  </si>
  <si>
    <t>Agua Minderal</t>
  </si>
  <si>
    <t>Entrada do conserto do PS4</t>
  </si>
  <si>
    <t>Trabalho: Paccocca´s Santa Monicas</t>
  </si>
  <si>
    <t>Linguiçasw artezanais com o Tio Vantu</t>
  </si>
  <si>
    <t>Soro para a jade</t>
  </si>
  <si>
    <t>Alcoois no Pejô GGM5</t>
  </si>
  <si>
    <t>A Holandesa</t>
  </si>
  <si>
    <t>Combustivel Ethanol no Pejô GGM5</t>
  </si>
  <si>
    <t>Cabos de Telefone para a MIG</t>
  </si>
  <si>
    <t>Rodoserv no KM 181</t>
  </si>
  <si>
    <t>Maçonaria - Contribuição Mensal - Setembro/2022</t>
  </si>
  <si>
    <t xml:space="preserve">Café no mercadinho do predio </t>
  </si>
  <si>
    <t>Trabalho: Sinhorinha</t>
  </si>
  <si>
    <t>Trabalho: chopp times</t>
  </si>
  <si>
    <t xml:space="preserve">Trabalho: O canto mineiro </t>
  </si>
  <si>
    <t>Trabalho: Café da cacau Shows</t>
  </si>
  <si>
    <t>Paccoccas santas monicas</t>
  </si>
  <si>
    <t>Paccocca´s Vitora Régias da Padre nOBREG</t>
  </si>
  <si>
    <t>Jade, consulta exames e soros</t>
  </si>
  <si>
    <t>ifood: Don Forny</t>
  </si>
  <si>
    <t>Parc. Financiamento NuBank - 2022/2024 (04/24)</t>
  </si>
  <si>
    <t>Dosiê no centro</t>
  </si>
  <si>
    <t>pasteis de Barcelonas</t>
  </si>
  <si>
    <t>2ª Parcela Seguro Desemprego DXC Tecnologies</t>
  </si>
  <si>
    <t xml:space="preserve">Trabalho: coffe de Manha </t>
  </si>
  <si>
    <t>Trabalho: Restaurante Gallo</t>
  </si>
  <si>
    <t>Seguro Tokio marine Peugeot 2022/2023</t>
  </si>
  <si>
    <t>Trabalho: Coffee de Manha chocolate da cácara</t>
  </si>
  <si>
    <t>Aluguel BS House + Taxas (21/30)</t>
  </si>
  <si>
    <t>IPTU Del Piano8(19/30)</t>
  </si>
  <si>
    <t>Trabalho: Terraço PauListas</t>
  </si>
  <si>
    <t>Trabalho: Talento´s</t>
  </si>
  <si>
    <t>Lexapro10mg , Symbicort 12/400, Strepcyls, Ky, Ola, etc</t>
  </si>
  <si>
    <t>Fatura enel - Setembro - 2022</t>
  </si>
  <si>
    <t>Bradesco Saude Consulta Psiquiatra Dr. Tomáz</t>
  </si>
  <si>
    <t xml:space="preserve">Trabalho: BOI BRAVO </t>
  </si>
  <si>
    <t xml:space="preserve">iFood: Don Forny </t>
  </si>
  <si>
    <t>Sulamerica Saude Consulta Psiquiatra Dr. Tomáz</t>
  </si>
  <si>
    <t xml:space="preserve">Agua Mineral da Agua coqueiros </t>
  </si>
  <si>
    <t>Almoço na padoca Santa monicas</t>
  </si>
  <si>
    <t>PIX: Conserto de troca de leitor de BD do PS4</t>
  </si>
  <si>
    <t>Taxa TecSam de Orçamento PS3</t>
  </si>
  <si>
    <t>Petiscos da Jades</t>
  </si>
  <si>
    <t>Café na Sodiê</t>
  </si>
  <si>
    <t xml:space="preserve">Cervejas artezanais no centro </t>
  </si>
  <si>
    <t xml:space="preserve">Lanches no paço municipal do centroi </t>
  </si>
  <si>
    <t>Lavagem da EchoSport GGm4</t>
  </si>
  <si>
    <t xml:space="preserve">iFood: Don Formy </t>
  </si>
  <si>
    <t xml:space="preserve">A cood da industrial </t>
  </si>
  <si>
    <t>Trabalho: Dedô de Môça</t>
  </si>
  <si>
    <t>Dos Ubers da cristiane</t>
  </si>
  <si>
    <t>Trabalho: Cafê</t>
  </si>
  <si>
    <t>Fatura Vivo Celular - Setembro - 2022</t>
  </si>
  <si>
    <t>Maçonaria: Trees Pontos</t>
  </si>
  <si>
    <t>Maçonaria: Pedra Brutoas</t>
  </si>
  <si>
    <t>Trabalho: café da manha</t>
  </si>
  <si>
    <t>Paccoccas Santas Monitcas</t>
  </si>
  <si>
    <t xml:space="preserve">Areia e ração </t>
  </si>
  <si>
    <t xml:space="preserve">A coop de Santo André Industrial </t>
  </si>
  <si>
    <t>Remedios de narizes</t>
  </si>
  <si>
    <t>chocoltes armargos</t>
  </si>
  <si>
    <t xml:space="preserve">iFood: The Burguers Galery </t>
  </si>
  <si>
    <t xml:space="preserve">Paccocca´s Vr da DPI </t>
  </si>
  <si>
    <t>A coop de SANADRESAS</t>
  </si>
  <si>
    <t>PIX: Itau</t>
  </si>
  <si>
    <t>Fatura ConGás</t>
  </si>
  <si>
    <t xml:space="preserve">Maçonaria: Pedra Bruta (I) </t>
  </si>
  <si>
    <t xml:space="preserve">Maçonaria: Pedra Bruta (II) </t>
  </si>
  <si>
    <t>Ref. Ao Janter Ritualistico 2022-10-25</t>
  </si>
  <si>
    <t>Conserto do Querido e amado Ps3</t>
  </si>
  <si>
    <t>iFood: Pizza Hit</t>
  </si>
  <si>
    <t>Pilhas e mesa de Notebook</t>
  </si>
  <si>
    <t>The Johnny rockets</t>
  </si>
  <si>
    <t>Mesa de Notebook</t>
  </si>
  <si>
    <t>Game: Heavenly Sword PS3</t>
  </si>
  <si>
    <t xml:space="preserve">A coop de S.A. Industrial </t>
  </si>
  <si>
    <t>Maçonaria - Contribuição Mensal - Outubro/2022</t>
  </si>
  <si>
    <t>Quintal del Carmen</t>
  </si>
  <si>
    <t xml:space="preserve">Fio dental e pastilha anti acido </t>
  </si>
  <si>
    <t>Pasteis Barcelona</t>
  </si>
  <si>
    <t>A coop de Scs</t>
  </si>
  <si>
    <t>Almoço Porto Fino Shopping Plaza</t>
  </si>
  <si>
    <t>Maçonaria: Terno Novo B</t>
  </si>
  <si>
    <t>PIX: para po Itau</t>
  </si>
  <si>
    <t>Fatura ViVo Celular - Outubro - 2022</t>
  </si>
  <si>
    <t>Parc. Financiamento NuBank - 2022/2024 (05/24)</t>
  </si>
  <si>
    <t>Trabalho: The Cooffee</t>
  </si>
  <si>
    <t>Busonid + Anti Acidos diversos</t>
  </si>
  <si>
    <t>Aluguel BS House + Taxas (22/30)</t>
  </si>
  <si>
    <t>Game: PIX: Gift Card de R$ 30,00 ShopB 100% Gamer</t>
  </si>
  <si>
    <t xml:space="preserve">Software: Game: Steam: Golden AXe </t>
  </si>
  <si>
    <t>Fatura enel - Outubro - 2022</t>
  </si>
  <si>
    <t xml:space="preserve">No mercdinho do predio </t>
  </si>
  <si>
    <t xml:space="preserve">Cola de tecido </t>
  </si>
  <si>
    <t xml:space="preserve">Mercadinho oXXo </t>
  </si>
  <si>
    <t>Areia de coco de Gato</t>
  </si>
  <si>
    <t>The roller &amp; dancing SCS</t>
  </si>
  <si>
    <t>The Habinbes do Goyas SCS</t>
  </si>
  <si>
    <t>Cruzeiro´s B.A.R.s no grand Plazza</t>
  </si>
  <si>
    <t>O Pao de Açucar no GranPlaza</t>
  </si>
  <si>
    <t>Revisão 4 Anos - 30k km</t>
  </si>
  <si>
    <t>Trabalho: Balas</t>
  </si>
  <si>
    <t>Lavagem do Peugeot GGM5</t>
  </si>
  <si>
    <t>Trabalho: Divino Sabor</t>
  </si>
  <si>
    <t>Água mineral disagua coQueiros</t>
  </si>
  <si>
    <t xml:space="preserve">Trabalho: GIO Restaurantes </t>
  </si>
  <si>
    <t>Mas uma vez a naquina de secar</t>
  </si>
  <si>
    <t>Sodiê Doces</t>
  </si>
  <si>
    <t xml:space="preserve">O Embaixador Lanches no calçadao do centro </t>
  </si>
  <si>
    <t>Coisas diversas para a casa</t>
  </si>
  <si>
    <t>A coop da Induistrial de AS</t>
  </si>
  <si>
    <t xml:space="preserve"> o Dia %% de SCS </t>
  </si>
  <si>
    <t>Symbicort 12/400 e Sinvastatina</t>
  </si>
  <si>
    <t>Troca do Coxinho direto do motor</t>
  </si>
  <si>
    <t>PIX: para o PRIMUS B.A.R.s</t>
  </si>
  <si>
    <t>Game: xPlaceGames.com.br : Golden Axe Beast Rider (repo)</t>
  </si>
  <si>
    <t>Paccocca´s Portugal´s</t>
  </si>
  <si>
    <t>Mercadolivre.com.br: Kit Reparo batreria DualShock 3 SixAxis</t>
  </si>
  <si>
    <t xml:space="preserve">Coquinha o mercadinho do predio </t>
  </si>
  <si>
    <t>The OutBack do Shopping Mapping</t>
  </si>
  <si>
    <t>Lexapro10mg + Pastilhas de Azia + dorflex</t>
  </si>
  <si>
    <t>Café No Shopping</t>
  </si>
  <si>
    <t>Maçonaria - Contribuição Mensal - Novembro/2022</t>
  </si>
  <si>
    <t>O Dia %% de SCS</t>
  </si>
  <si>
    <t xml:space="preserve">NO mercadinho do predio </t>
  </si>
  <si>
    <t>Trabalho: No Pejõ GGM5</t>
  </si>
  <si>
    <t>Parc. Financiamento NuBank - 2022/2024 (06/24)</t>
  </si>
  <si>
    <t>Losartana + Azias</t>
  </si>
  <si>
    <t>Oculos novos para todomundo</t>
  </si>
  <si>
    <t>StarBurques do Shopping São Caetano</t>
  </si>
  <si>
    <t>iFood: The Burguês Gallery</t>
  </si>
  <si>
    <t>Pix: Para o Itau</t>
  </si>
  <si>
    <t>Fatura enel - Novembro - 2022</t>
  </si>
  <si>
    <t>Pix: Para o ItaU</t>
  </si>
  <si>
    <t>BradescoSaude da Cristiane</t>
  </si>
  <si>
    <t>Parc. Financiamento NuBank - 2022/2024 (07/24)</t>
  </si>
  <si>
    <t>Aluguel BS House + Taxas (24/30)</t>
  </si>
  <si>
    <t xml:space="preserve">Trabalho: Top App </t>
  </si>
  <si>
    <t>Parc. Financiamento NuBank - 2022/2024 (08/24)</t>
  </si>
  <si>
    <t>Parc. Financiamento NuBank - 2022/2024 (09/24)</t>
  </si>
  <si>
    <t>Parc. Financiamento NuBank - 2022/2024 (10/24)</t>
  </si>
  <si>
    <t>Parc. Financiamento NuBank - 2022/2024 (11/24)</t>
  </si>
  <si>
    <t>Parc. Financiamento NuBank - 2022/2024 (12/24)</t>
  </si>
  <si>
    <t xml:space="preserve">PIX: do Itau IT </t>
  </si>
  <si>
    <t>Ref. Ao curso Introdutório Thoth 2023</t>
  </si>
  <si>
    <t>Parc. Financiamento NuBank - 2022/2024 (13/24)</t>
  </si>
  <si>
    <t>Ref. A Bradesco Saude zanuto cristiane</t>
  </si>
  <si>
    <t>PIX: Para o Itau Ref. Reembolso zanuto</t>
  </si>
  <si>
    <t>Parc. Financiamento NuBank - 2022/2024 (14/24)</t>
  </si>
  <si>
    <t>irpf 2023</t>
  </si>
  <si>
    <t>Parc. Financiamento NuBank - 2022/2024 (15/24)</t>
  </si>
  <si>
    <t>Trabalho: Passagem avulsa</t>
  </si>
  <si>
    <t>PIX: DO ItaU</t>
  </si>
  <si>
    <t xml:space="preserve">PIX: Do Xp Invest </t>
  </si>
  <si>
    <t>Para a cixinha NuBank</t>
  </si>
  <si>
    <t>Resgate da caixinha</t>
  </si>
  <si>
    <t>Para o dentista</t>
  </si>
  <si>
    <t>Para o Silveira</t>
  </si>
  <si>
    <t>Taxa Correios Ref a Remesa conforme da bateria OSTENT</t>
  </si>
  <si>
    <t>Para o Vantuir ref. à vinhos</t>
  </si>
  <si>
    <t>Maçonaria: Ref ao Jantar Ritualistico</t>
  </si>
  <si>
    <t>PIX: Par ao MercadoPago</t>
  </si>
  <si>
    <t>Pix: dôces do Tio Vantu</t>
  </si>
  <si>
    <t>Pelicula do iphone13 e do AppleWatch8</t>
  </si>
  <si>
    <t>PIX:do Itau ITI</t>
  </si>
  <si>
    <t>Maçonaria - Contribuição Mensal - Novembro/2023</t>
  </si>
  <si>
    <t>PIX: Para o Iti CC</t>
  </si>
  <si>
    <t>Bradesco Saude - Tomaz</t>
  </si>
  <si>
    <t>PIX: par ao ItaU</t>
  </si>
  <si>
    <t>PIX: da mig, amazon fire stick</t>
  </si>
  <si>
    <t>Juros e correções no periodo</t>
  </si>
  <si>
    <t>Game: Prince Of Persia: Two Thrones</t>
  </si>
  <si>
    <t>Frete: Prince Of Persia: Two Thrones</t>
  </si>
  <si>
    <t>pix: Para o MercadoOPago CC</t>
  </si>
  <si>
    <t>IRPF 2024</t>
  </si>
  <si>
    <t>PIX: do MercadoPago CC</t>
  </si>
  <si>
    <t>pix: PARA A XP CC</t>
  </si>
  <si>
    <t>PIX: da CEF - FGTS act digital</t>
  </si>
  <si>
    <t>Para a caixinha NuBank</t>
  </si>
  <si>
    <t>PIX: do SanTanDer</t>
  </si>
  <si>
    <t>PIX: da Mig ref. Ao controle remoto da TV</t>
  </si>
  <si>
    <t>PIX: para  o MercadoPago</t>
  </si>
  <si>
    <t>OLX: Guitarra Roclk Band 2</t>
  </si>
  <si>
    <t>PIX: para o MercadoPagho CC</t>
  </si>
  <si>
    <t>PIX: DO itau</t>
  </si>
  <si>
    <t>Parc. Financiamento NuBank - 2025/2026 (10/10)</t>
  </si>
  <si>
    <t>Parc. Financiamento NuBank - 2025/2026 (01/10)</t>
  </si>
  <si>
    <t>PIX: Tagima T 735 Plus Hand Made Brasil</t>
  </si>
  <si>
    <t>Parc. Financiamento NuBank - 2025/2026 (09/10)</t>
  </si>
  <si>
    <t>Parc. Financiamento NuBank - 2025/2026 (02/10)</t>
  </si>
  <si>
    <t>PIX: restante da mudança</t>
  </si>
  <si>
    <t>PIX: Faxineira da Tietê</t>
  </si>
  <si>
    <t>Café no Mercadão do ipiranga</t>
  </si>
  <si>
    <t>Multa do Pejo de 15/11/2024</t>
  </si>
  <si>
    <t>Guias de missangas</t>
  </si>
  <si>
    <t xml:space="preserve">PIX: do Itau </t>
  </si>
  <si>
    <t>Parc. Financiamento NuBank - 2025/2026 (03/10)</t>
  </si>
  <si>
    <t>No periodo de 22/05/2025 a 03/06/2025</t>
  </si>
  <si>
    <t>Ref. Seguro incendio Av. tietê</t>
  </si>
  <si>
    <t>PIX: catherine PS3</t>
  </si>
  <si>
    <t>PIX: àgua mineral</t>
  </si>
  <si>
    <t>PIX: para o Itau ITI</t>
  </si>
  <si>
    <t>Pix: DO itauITI</t>
  </si>
  <si>
    <t>PIX: creditos BOM metro 2 passagens</t>
  </si>
  <si>
    <t>Parc. Financiamento NuBank - 2025/2026 (04/10)</t>
  </si>
  <si>
    <t>Parc. Financiamento NuBank - 2025/2026 (05/10)</t>
  </si>
  <si>
    <t>PIX: ifood</t>
  </si>
  <si>
    <t>PIX: do XP Inv CC</t>
  </si>
  <si>
    <t>Parc. Financiamento NuBank - 2025/2026 (06/10)</t>
  </si>
  <si>
    <t>Parc. Financiamento NuBank - 2025/2026 (07/10)</t>
  </si>
  <si>
    <t>Parc. Financiamento NuBank - 2025/2026 (08/10)</t>
  </si>
  <si>
    <t>PIX: da CEF</t>
  </si>
  <si>
    <t>PIX: Da XP</t>
  </si>
  <si>
    <t>CDB no NuBank</t>
  </si>
  <si>
    <t>Titulo capitalização Aluguel SulCap 2019/2020</t>
  </si>
  <si>
    <t>resgate caixinhas</t>
  </si>
  <si>
    <t>Café na feira de games do YabaCuara</t>
  </si>
  <si>
    <t>PIX: 05 creditos TOPs</t>
  </si>
  <si>
    <t>Limite:</t>
  </si>
  <si>
    <t xml:space="preserve">Saldo Total + Lmite </t>
  </si>
  <si>
    <t>check</t>
  </si>
  <si>
    <t>Ajuste</t>
  </si>
  <si>
    <t>Trabalho: Griletto</t>
  </si>
  <si>
    <t>Trabalho: BK Atrium</t>
  </si>
  <si>
    <t>Revisa de Dicionário de simbolos</t>
  </si>
  <si>
    <t>Ataque dos Titãs Nº 15</t>
  </si>
  <si>
    <t>ZenSho restaurante</t>
  </si>
  <si>
    <t xml:space="preserve">O Tarô - Manual Prático de Ocultismo </t>
  </si>
  <si>
    <t xml:space="preserve">Aleister Crowley: a Biografia de um Mago </t>
  </si>
  <si>
    <t>O Cruzeiro´s B.A.R.</t>
  </si>
  <si>
    <t>Cafézes d choppimg</t>
  </si>
  <si>
    <t>Nagump´s</t>
  </si>
  <si>
    <t>Trabalho: Teh SubWay´s</t>
  </si>
  <si>
    <t>Trabalho: Patronni</t>
  </si>
  <si>
    <t>Lavação do Sebastião</t>
  </si>
  <si>
    <t>Trabalho: Ragazzo coxinhas</t>
  </si>
  <si>
    <t>Trabalho: The BKs</t>
  </si>
  <si>
    <t>Nahumos</t>
  </si>
  <si>
    <t>Parada Burgues</t>
  </si>
  <si>
    <t>Dor de cabeças e tylenol sinus</t>
  </si>
  <si>
    <t xml:space="preserve">Maio / 2016 </t>
  </si>
  <si>
    <t>Papel higienico e diversos</t>
  </si>
  <si>
    <t>Cabos de celular diversos</t>
  </si>
  <si>
    <t>Tarot: Robert Place da Cartomância 2016 (01/04)</t>
  </si>
  <si>
    <t>Injustiça: Deuses entre Nós - nº5</t>
  </si>
  <si>
    <t>Paccoca´s VR´s</t>
  </si>
  <si>
    <t>medicação de colesterols</t>
  </si>
  <si>
    <t>case para HD externo de 3,5"</t>
  </si>
  <si>
    <t>Cabala, Qliphoth E Magia Goética - Thomas Karlsson</t>
  </si>
  <si>
    <t>Dores de cabeça´s</t>
  </si>
  <si>
    <t>Nivaldir</t>
  </si>
  <si>
    <t>Massas E DI</t>
  </si>
  <si>
    <t>Cafese do Shoppings</t>
  </si>
  <si>
    <t>AntiAlérgico´s</t>
  </si>
  <si>
    <t>Regua de Fluxograma E-10 no MercadoLivre</t>
  </si>
  <si>
    <t>Estacionamento na Telefônica ViVo</t>
  </si>
  <si>
    <t>MercadoPago(01/05)</t>
  </si>
  <si>
    <t>gripes, sharopes e diversos</t>
  </si>
  <si>
    <t>Tinta de impressora colorida 662</t>
  </si>
  <si>
    <t>Restaurante América Shopping SCS</t>
  </si>
  <si>
    <t>PortoFino MassaS Shopping</t>
  </si>
  <si>
    <t>Extorno do Mercado Pago</t>
  </si>
  <si>
    <t>Cortar os cabelos da vabeça</t>
  </si>
  <si>
    <t>Raggazzo pra casa</t>
  </si>
  <si>
    <t>Remédio de Pressão e Budecort Acqua 65</t>
  </si>
  <si>
    <t>Tarot: William Blake Tarot</t>
  </si>
  <si>
    <t>Trabalho: Grilletto</t>
  </si>
  <si>
    <t>Tarot: Antica Sibilla Italianna + Ancient Itaian Tarot</t>
  </si>
  <si>
    <t>Tarot: Antica Sibilla Italianna + Art Nouveau Oracle</t>
  </si>
  <si>
    <t>The McDonaldo´s</t>
  </si>
  <si>
    <t>The Burguer 4 You</t>
  </si>
  <si>
    <t>Enóis diversos</t>
  </si>
  <si>
    <t>Sagumo´s</t>
  </si>
  <si>
    <t>Adega e empório ABS</t>
  </si>
  <si>
    <t>Coisas de lanches da paccocca´s</t>
  </si>
  <si>
    <t>Insensos diversos</t>
  </si>
  <si>
    <t xml:space="preserve">Junho / 2016 </t>
  </si>
  <si>
    <t>Chaveiro de Tetragramaton</t>
  </si>
  <si>
    <t>Camisas Novas (01/03)</t>
  </si>
  <si>
    <t>Restaurante Sukyia no centro</t>
  </si>
  <si>
    <t>Supermercado Sonda ABC</t>
  </si>
  <si>
    <t>Tarot: Robert Place da Cartomância 2016 (02/04)</t>
  </si>
  <si>
    <t>Marmita da cristiane</t>
  </si>
  <si>
    <t>Pimena lemmon Peper</t>
  </si>
  <si>
    <t xml:space="preserve">Bishoujo Ravena (01/03) </t>
  </si>
  <si>
    <t>A &amp; D e mato de gato</t>
  </si>
  <si>
    <t>Café de shopping</t>
  </si>
  <si>
    <t xml:space="preserve">A/D e Ração Renal Vet Life </t>
  </si>
  <si>
    <t>Remedio de colesterol</t>
  </si>
  <si>
    <t>Tarot: Decameron Tarot</t>
  </si>
  <si>
    <t>Tarot: Casanova Tarot</t>
  </si>
  <si>
    <t>rock'n'Roll Burguer</t>
  </si>
  <si>
    <t>Cabo de iPhone 5S</t>
  </si>
  <si>
    <t>Tarô dos Santos + Tarô ou a Máquina de ImaGiNar</t>
  </si>
  <si>
    <t>coisas de farmácias</t>
  </si>
  <si>
    <t>Camiseta do GoT</t>
  </si>
  <si>
    <t>Café do Nagumos</t>
  </si>
  <si>
    <t>Limpeza de cravos das peles</t>
  </si>
  <si>
    <t>Fazer as Unhas</t>
  </si>
  <si>
    <t>The burguer MAPs</t>
  </si>
  <si>
    <t>Eugenio B.A.R. Paulistas</t>
  </si>
  <si>
    <t>Tarot: Medieval Scapini</t>
  </si>
  <si>
    <t>O Essenciaal da golden Dawn</t>
  </si>
  <si>
    <t>cristais diversos</t>
  </si>
  <si>
    <t>Estatueta do Baphome</t>
  </si>
  <si>
    <t>The FRANs Cafés</t>
  </si>
  <si>
    <t>estacionamento na Paulistas</t>
  </si>
  <si>
    <t xml:space="preserve">óCulos Novos (01/03) </t>
  </si>
  <si>
    <t>LocaWeb: CristianeCarlin.com.br</t>
  </si>
  <si>
    <t xml:space="preserve">Symbicort 12/400 </t>
  </si>
  <si>
    <t>Remedio de Pressão eBudecorte Acqua</t>
  </si>
  <si>
    <t>O Cruzeiro B.A.R.</t>
  </si>
  <si>
    <t>O Grão Expressos</t>
  </si>
  <si>
    <t>Mais um cabo de iPhone</t>
  </si>
  <si>
    <t>Incensos diversos do Incensos Fênix</t>
  </si>
  <si>
    <t xml:space="preserve">Julho / 2017 </t>
  </si>
  <si>
    <t>Eno e OmePrazóis</t>
  </si>
  <si>
    <t>Biprofenid</t>
  </si>
  <si>
    <t>Cobertas e fraldas de gatos</t>
  </si>
  <si>
    <t>Farmácia de remedios de urina</t>
  </si>
  <si>
    <t>Coisas de comer na paccocca´s</t>
  </si>
  <si>
    <t>Remédio para Evitar dor de cabeça</t>
  </si>
  <si>
    <t>Exames de Sangue, Raxio X e Ultra son</t>
  </si>
  <si>
    <t>Camisas Novas (02/03)</t>
  </si>
  <si>
    <t>Tarot: Robert Place da Cartomância 2016 (03/04)</t>
  </si>
  <si>
    <t xml:space="preserve">Bishoujo Ravena (02/03) </t>
  </si>
  <si>
    <t>Tarot: The Wild Unknown Tarot</t>
  </si>
  <si>
    <t>$ 70,00 USD</t>
  </si>
  <si>
    <t>IOF compra Internecional</t>
  </si>
  <si>
    <t>$4,67 USD</t>
  </si>
  <si>
    <t xml:space="preserve">Tarô alquimico do Robert Place </t>
  </si>
  <si>
    <t>Mais remedios do Sebastião</t>
  </si>
  <si>
    <t>Nova Consulta e remedios</t>
  </si>
  <si>
    <t>Novo Ferro de passar roupas</t>
  </si>
  <si>
    <t>Remédio de colesterol</t>
  </si>
  <si>
    <t>Pamilhas para os pés</t>
  </si>
  <si>
    <t>CROCO B.A.R.</t>
  </si>
  <si>
    <t>Remedio de pressão evitar dor de cabeça</t>
  </si>
  <si>
    <t>Jantar na A Paccocca´s</t>
  </si>
  <si>
    <t xml:space="preserve">óCulos Novos (02/03) </t>
  </si>
  <si>
    <t xml:space="preserve">Agosto / 2016 </t>
  </si>
  <si>
    <t>MobileApp: Ios: iKeePass</t>
  </si>
  <si>
    <t>$ 0,99 USD</t>
  </si>
  <si>
    <t>Diff Variação cabial</t>
  </si>
  <si>
    <t>Camisas Novas (03/03)</t>
  </si>
  <si>
    <t>Tarot: Robert Place da Cartomância 2016 (04/04)</t>
  </si>
  <si>
    <t xml:space="preserve">Bishoujo Ravena (03/03) </t>
  </si>
  <si>
    <t>Tarot: O Taro dos santos do Robert com cartas</t>
  </si>
  <si>
    <t xml:space="preserve">IOF de "Apl Itunes Com Bill" </t>
  </si>
  <si>
    <t>Lingeries Novas (01/03)</t>
  </si>
  <si>
    <t xml:space="preserve">Pelicula de vidro de celuar </t>
  </si>
  <si>
    <t xml:space="preserve">óCulos Novos (03/03) </t>
  </si>
  <si>
    <t xml:space="preserve">Suporte de celular e Baralho 157 </t>
  </si>
  <si>
    <t>The Burguer 4You</t>
  </si>
  <si>
    <t>Ração em Lata A/D</t>
  </si>
  <si>
    <t>Mais exames do Sebastian</t>
  </si>
  <si>
    <t>AntiAlérgicos</t>
  </si>
  <si>
    <t>ultimo soro do Sebastian</t>
  </si>
  <si>
    <t>PetMemorial (Cremação Sebastian) (01/06)</t>
  </si>
  <si>
    <t>Pizza Hut shopping ABC</t>
  </si>
  <si>
    <t>Maybelline Ny Abc</t>
  </si>
  <si>
    <t>V8 Burgures</t>
  </si>
  <si>
    <t>Spoletto ABC Plaza</t>
  </si>
  <si>
    <t>MultiCosas Shopping</t>
  </si>
  <si>
    <t>Hortifruit Santo André</t>
  </si>
  <si>
    <t>The Reed Wood</t>
  </si>
  <si>
    <t>TARÔ E O AUTOCONHECIMENTO</t>
  </si>
  <si>
    <t>Lanche de Tarde</t>
  </si>
  <si>
    <t>Capo de iPod e Fones Powers</t>
  </si>
  <si>
    <t>The Burguer4u</t>
  </si>
  <si>
    <t>Café de manha na paccocca´s VRs</t>
  </si>
  <si>
    <t>Café paccocca Roxy´s em Santos</t>
  </si>
  <si>
    <t>Pasteis de Feira em Santos</t>
  </si>
  <si>
    <t>The Nagumo´s</t>
  </si>
  <si>
    <t>Understanding Aleister Crowleys Thoth Tarot - Lon Milo Duquette</t>
  </si>
  <si>
    <t>Tarot: O Tarô Celta - Pedro Anós</t>
  </si>
  <si>
    <t>Assinatura mensal Confratia 137</t>
  </si>
  <si>
    <t>Cabo de iPhone 5/6</t>
  </si>
  <si>
    <t>Suporte para A Tablet</t>
  </si>
  <si>
    <t>Shabbab´s</t>
  </si>
  <si>
    <t>Shampoos de cabelo</t>
  </si>
  <si>
    <t>Sushi Yassu Sao Paulo</t>
  </si>
  <si>
    <t>cosmeticos diversos</t>
  </si>
  <si>
    <t>Ataque dos Titãs Nº 17</t>
  </si>
  <si>
    <t>Bigfoot Burguer Santo André</t>
  </si>
  <si>
    <t>Omeprazóis e Enóis</t>
  </si>
  <si>
    <t>Tenius AllStar da cristiane</t>
  </si>
  <si>
    <t>Alcóol no Pejo GGM3</t>
  </si>
  <si>
    <t>Aulus bar e restaurante em campoinas</t>
  </si>
  <si>
    <t>Lingeries Novas (02/03)</t>
  </si>
  <si>
    <t>Alcoól no pejo GGM3</t>
  </si>
  <si>
    <t>Sandalias de alpargatas</t>
  </si>
  <si>
    <t>Bolsas de baralhos</t>
  </si>
  <si>
    <t>Faixa de cabelos</t>
  </si>
  <si>
    <t>Tarot: The tarot of the Spirit</t>
  </si>
  <si>
    <t>Pedra Mistica</t>
  </si>
  <si>
    <t>America Restaurante</t>
  </si>
  <si>
    <t>Estacionamento na paulista</t>
  </si>
  <si>
    <t>Super pizza PAN pelo iFood</t>
  </si>
  <si>
    <t>Tarot: Maleta para se guardar Os Baralhos</t>
  </si>
  <si>
    <t>Cabo Headset para Fone, 2 P2 Fêmea para 1 P2 Macho</t>
  </si>
  <si>
    <t>Jogo de Cartas PIGN do Del Debbio</t>
  </si>
  <si>
    <t>Anti Alérgicos</t>
  </si>
  <si>
    <t>Pró Pharmacos</t>
  </si>
  <si>
    <t>PetMemorial (Cremação Sebastian) (02/06)</t>
  </si>
  <si>
    <t>Super Pizza - PAM !!!</t>
  </si>
  <si>
    <t xml:space="preserve"> Outubro / 2016 </t>
  </si>
  <si>
    <t>Torneiras da cozinha (01/03)</t>
  </si>
  <si>
    <t>Cafés da Tarde</t>
  </si>
  <si>
    <t>Ataque dos Titãs Nº 18</t>
  </si>
  <si>
    <t>Cappeletto D´oro</t>
  </si>
  <si>
    <t>Lojas RENER</t>
  </si>
  <si>
    <t>Quebra cabeça de 2k peças da marvel</t>
  </si>
  <si>
    <t>Frmácias diversas</t>
  </si>
  <si>
    <t>Cafés do shoppings</t>
  </si>
  <si>
    <t xml:space="preserve">Casa das torneiras </t>
  </si>
  <si>
    <t>Tarot: Aleister Crowley Thoth Pocket Swiss Tarot Deck</t>
  </si>
  <si>
    <t>Viena Shop Abc</t>
  </si>
  <si>
    <t>Manutenção da EchoGGM4</t>
  </si>
  <si>
    <t>The Burguers 4 your</t>
  </si>
  <si>
    <t>Super pizza - PAM !!!</t>
  </si>
  <si>
    <t>Materiais de scrapibuquin</t>
  </si>
  <si>
    <t xml:space="preserve">Materiais de escritórios </t>
  </si>
  <si>
    <t>máquiagias diversas</t>
  </si>
  <si>
    <t>Pacocca´s</t>
  </si>
  <si>
    <t>Paes diversos</t>
  </si>
  <si>
    <t>IkeSaqui</t>
  </si>
  <si>
    <t>Iakesobra da feira</t>
  </si>
  <si>
    <t>O Boticário</t>
  </si>
  <si>
    <t>Capacete novo de Patinete</t>
  </si>
  <si>
    <t>Pézinho Antiderrapande do Baphomet</t>
  </si>
  <si>
    <t>The OutBack´s</t>
  </si>
  <si>
    <t>Cafés de manha na paccocca´s</t>
  </si>
  <si>
    <t>Estacionamento no Ibirapueras</t>
  </si>
  <si>
    <t>ill Cappelletto d'oro</t>
  </si>
  <si>
    <t>Tarot: Tarot Mucha (simbólika)</t>
  </si>
  <si>
    <t>Materiais de escritórios</t>
  </si>
  <si>
    <t>Sinvacort</t>
  </si>
  <si>
    <t>Omeprazol e Brasart</t>
  </si>
  <si>
    <t>Ralçao, Matinho e Agradinhos</t>
  </si>
  <si>
    <t>The All In Burguers</t>
  </si>
  <si>
    <t>Lingeries Novas (03/03)</t>
  </si>
  <si>
    <t>The Ultimate Guide to the Thoth Tarot (Fiebig, Johannes)</t>
  </si>
  <si>
    <t>Estacionamento no Ibierapueras</t>
  </si>
  <si>
    <t xml:space="preserve">Tarot: Amazon Alemão:  Aleister Crowley Thoth Tarot Standard: Weltweit einheitliche Neuausgabe der Crowley Tarot-Karten </t>
  </si>
  <si>
    <t>EUR 31,05</t>
  </si>
  <si>
    <t>Kit Patinete do Luizão (01/10)</t>
  </si>
  <si>
    <t>Almoço no Mr. Jacks do Metrópis</t>
  </si>
  <si>
    <t>IOF Transações Internacionais</t>
  </si>
  <si>
    <t>Desodorizantes diversos</t>
  </si>
  <si>
    <t>Imperador SuShi SBC</t>
  </si>
  <si>
    <t>PetMemorial (Cremação Sebastian) (03/06)</t>
  </si>
  <si>
    <t>Symbicort 12/400 + Budecorte Acqua 64mg</t>
  </si>
  <si>
    <t>Livros de A Amazon.com.br</t>
  </si>
  <si>
    <t xml:space="preserve"> Novembro / 2016 </t>
  </si>
  <si>
    <t>Torneiras da cozinha (02/03)</t>
  </si>
  <si>
    <t>The Johnny Rocketos BurGuers</t>
  </si>
  <si>
    <t>Tarot: The Wildwood Tarot</t>
  </si>
  <si>
    <t>£ 30,99 GBR</t>
  </si>
  <si>
    <t xml:space="preserve">Estacionameno Zona Azul </t>
  </si>
  <si>
    <t xml:space="preserve">The Burguers Four Your </t>
  </si>
  <si>
    <t>The Super Pizza PAN!</t>
  </si>
  <si>
    <t xml:space="preserve">Conserto do Pejô (01/03) </t>
  </si>
  <si>
    <t>Jogos Ludicos WAR e Porta Puzzle</t>
  </si>
  <si>
    <t>Buonna Via Pizzeria</t>
  </si>
  <si>
    <t xml:space="preserve">Portofino </t>
  </si>
  <si>
    <t>Espaço Kazu</t>
  </si>
  <si>
    <t>Dois baralhos americanos do Bicycle Cards</t>
  </si>
  <si>
    <t>Bolsas de Patins</t>
  </si>
  <si>
    <t>Harley Quinn de patins</t>
  </si>
  <si>
    <t>Vafes da tarde na liberdades</t>
  </si>
  <si>
    <t>The Fities</t>
  </si>
  <si>
    <t>Palmilhas de patins</t>
  </si>
  <si>
    <t>Zona azuil de SP</t>
  </si>
  <si>
    <t>Sukiya</t>
  </si>
  <si>
    <t xml:space="preserve">O Caminho do Tarot - Alejandro Jodorowsky </t>
  </si>
  <si>
    <t>Kit Patinete do Luizão (02/10)</t>
  </si>
  <si>
    <t>MobileApp: Ios: Pókemon Go!</t>
  </si>
  <si>
    <t>$ 9,98 USD</t>
  </si>
  <si>
    <t>Esfuirras do Simbad</t>
  </si>
  <si>
    <t xml:space="preserve">Acessórios da GoPro (01/03) </t>
  </si>
  <si>
    <t>Sapatilhas de NeoPrenes + Camisetas antisol</t>
  </si>
  <si>
    <t>Supermercado Sonda de São Bernardo</t>
  </si>
  <si>
    <t xml:space="preserve">Ração par a jade </t>
  </si>
  <si>
    <t>Spray Water Off - Cristalizador De Para Brisa E Vidros Wurth 100ml</t>
  </si>
  <si>
    <t>PetMemorial (Cremação Sebastian) (04/06)</t>
  </si>
  <si>
    <t xml:space="preserve"> Dezembro / 2016 </t>
  </si>
  <si>
    <t xml:space="preserve">Debito de Variação cambial </t>
  </si>
  <si>
    <t>Torneiras da cozinha (03/03)</t>
  </si>
  <si>
    <t>Pagamento de fatura</t>
  </si>
  <si>
    <t xml:space="preserve">Tenis novo + Mochila Viagem (01/03) </t>
  </si>
  <si>
    <t>Shabbab´s Santo André</t>
  </si>
  <si>
    <t>Colar para a Asha Skate Fresh</t>
  </si>
  <si>
    <t>Kalunga - Pasta documentos / Caderno Notas / Porta documentos</t>
  </si>
  <si>
    <t>Malas de viagem / Cadeiado e Travesseiros (01/03)</t>
  </si>
  <si>
    <t>Estacionamento na Imbirapuera</t>
  </si>
  <si>
    <t>The Roller Dances</t>
  </si>
  <si>
    <t>SuperPizza-PAM!</t>
  </si>
  <si>
    <t xml:space="preserve">Conserto do Pejô (02/03) </t>
  </si>
  <si>
    <t>Software: MobileApp: Ios: PokeBolas</t>
  </si>
  <si>
    <t>$ 1,98 USD</t>
  </si>
  <si>
    <t>Kit Patinete do Luizão (03/10)</t>
  </si>
  <si>
    <t>Galeria postal Artes venezuela</t>
  </si>
  <si>
    <t>VEF 9.600,00</t>
  </si>
  <si>
    <t>La casa de La arepas venezuela</t>
  </si>
  <si>
    <t>VEF 11.700,00</t>
  </si>
  <si>
    <t>iof La casa de La arepas venezuela</t>
  </si>
  <si>
    <t>Café aeroporto venezuela</t>
  </si>
  <si>
    <t>VEF 1.600,00</t>
  </si>
  <si>
    <t>IOF Café aeroporto venezuela</t>
  </si>
  <si>
    <t>Free Shopping Venezuela</t>
  </si>
  <si>
    <t>VEF 143.400,00</t>
  </si>
  <si>
    <t>IOF de "Phx Security System C"</t>
  </si>
  <si>
    <t>Uber de Guarulhos pra Santo André</t>
  </si>
  <si>
    <t>Supemercaro nagumo</t>
  </si>
  <si>
    <t>IOF Itunes</t>
  </si>
  <si>
    <t>Cinema: Roque One - Uma estória de Star Wars</t>
  </si>
  <si>
    <t>Batman Ano UM - Vol 2</t>
  </si>
  <si>
    <t>IOF Galeria Artes Venezuela</t>
  </si>
  <si>
    <t xml:space="preserve">Acessórios da GoPro (02/03) </t>
  </si>
  <si>
    <t>Tarot: Cursos do EADEPTUS</t>
  </si>
  <si>
    <t>PetMemorial (Cremação Sebastian) (05/06)</t>
  </si>
  <si>
    <t>Game: Tomb Raider: Definitive Edition (Jogo Completo)</t>
  </si>
  <si>
    <t>Game: Watch Dogs™ (Jogo Completo e Conteúdo Complementar)</t>
  </si>
  <si>
    <t>IOF da PSN</t>
  </si>
  <si>
    <t xml:space="preserve"> Janeiro / 2017 </t>
  </si>
  <si>
    <t>REPOSIÇÃO DE LENTES PROTETORAS HERO5 BLACK</t>
  </si>
  <si>
    <t>Credito Variação Cambial</t>
  </si>
  <si>
    <t>Pagamnento de Fatura</t>
  </si>
  <si>
    <t xml:space="preserve">Pizza em casa </t>
  </si>
  <si>
    <t>Tenis novo + Mochila Viagem (02/03)</t>
  </si>
  <si>
    <t>Malas de viagem / Cadeiado e Travesseiros (02/03)</t>
  </si>
  <si>
    <t xml:space="preserve">Conserto do Pejô (03/03) </t>
  </si>
  <si>
    <t>Ubiers</t>
  </si>
  <si>
    <t>Kit Patinete do Luizão (04/10)</t>
  </si>
  <si>
    <t>iFoof</t>
  </si>
  <si>
    <t>Tarot: THe modern Spellcaster's tarot</t>
  </si>
  <si>
    <t>$ 33,22 USD</t>
  </si>
  <si>
    <t>IOF: Tarot: THe modern Spellcaster's tarot</t>
  </si>
  <si>
    <t xml:space="preserve">Acessórios da GoPro (03/03) </t>
  </si>
  <si>
    <t>PetMemorial (Cremação Sebastian) (06/06)</t>
  </si>
  <si>
    <t xml:space="preserve">Spotify Cuririba - verificar estorno </t>
  </si>
  <si>
    <t xml:space="preserve">Fevereiro / 2017 </t>
  </si>
  <si>
    <t>Pagamemento de Fatura</t>
  </si>
  <si>
    <t>Kindle: Tarot - The Open Reading (English Edition)</t>
  </si>
  <si>
    <t>Tenis novo + Mochila Viagem (03/03)</t>
  </si>
  <si>
    <t>Malas de viagem / Cadeiado e Travesseiros (03/03)</t>
  </si>
  <si>
    <t>Let´s Burguers SCS</t>
  </si>
  <si>
    <t>McFly - Chaveiro da Harley Quinn</t>
  </si>
  <si>
    <t xml:space="preserve">Berlusconi Bar e Grill </t>
  </si>
  <si>
    <t>Areia e brinquedos de gatos</t>
  </si>
  <si>
    <t>Boteco ó Maria</t>
  </si>
  <si>
    <t>Sorvetes no Haibes</t>
  </si>
  <si>
    <t xml:space="preserve">Eno Tabx 2x </t>
  </si>
  <si>
    <t>A Cabala Mistica - Dion Fortune - Amazon</t>
  </si>
  <si>
    <t>Ataque dos Titãs Nº 20</t>
  </si>
  <si>
    <t>Calzones em casa</t>
  </si>
  <si>
    <t xml:space="preserve">iPhone 6S (01/06) </t>
  </si>
  <si>
    <t>MobileApp:Ios: PókeBolas</t>
  </si>
  <si>
    <t>IOF de Pókebolas</t>
  </si>
  <si>
    <t>Estudo de Magia Prática de Sigilo de Frater UD</t>
  </si>
  <si>
    <t>Penumbra Livros : Liber Null e Psiconauta - Peter J. Carroll</t>
  </si>
  <si>
    <t>Kit Patinete do Luizão (05/10)</t>
  </si>
  <si>
    <t>iFood da superpizza PAM!</t>
  </si>
  <si>
    <t xml:space="preserve"> Março / 2017 </t>
  </si>
  <si>
    <t xml:space="preserve">Lavagem mega Power </t>
  </si>
  <si>
    <t>Variação cambial a credito</t>
  </si>
  <si>
    <t>Suporte do GPS TomTom</t>
  </si>
  <si>
    <t>Budecort Acqua + dores de cabeça</t>
  </si>
  <si>
    <t>Johnny Rocktes Bueques</t>
  </si>
  <si>
    <t>Perfumes UDVs</t>
  </si>
  <si>
    <t>Protetor labiais</t>
  </si>
  <si>
    <t>The imperator´s SuShi´s</t>
  </si>
  <si>
    <t xml:space="preserve">Logan </t>
  </si>
  <si>
    <t xml:space="preserve">The Burguês Kinguios </t>
  </si>
  <si>
    <t>Dr. Hatto - Ração, areia e plantas</t>
  </si>
  <si>
    <t>Estacionamento na Imbirapueras</t>
  </si>
  <si>
    <t>Redwook Steakhouse Santo André</t>
  </si>
  <si>
    <t xml:space="preserve">Spawn Rebirth - Action Figure Color Tops Series by McFarlane </t>
  </si>
  <si>
    <t xml:space="preserve">Tarot: Barbara Walker Tarot in a Tin </t>
  </si>
  <si>
    <t xml:space="preserve">iPhone 6S (02/06) </t>
  </si>
  <si>
    <t>Cruzeiro´s B.A.R.</t>
  </si>
  <si>
    <t>Old Town PUB BAR</t>
  </si>
  <si>
    <t>Piola são bernardo</t>
  </si>
  <si>
    <t>Padaria Brasileira´s</t>
  </si>
  <si>
    <t>BuscoPanComPosTos</t>
  </si>
  <si>
    <t>PorfoTino Shopping PLAZa</t>
  </si>
  <si>
    <t>Tenis Bew Balance (01/03)</t>
  </si>
  <si>
    <t>Novos Óculos Escuros</t>
  </si>
  <si>
    <t>Frontline para pulgas de gatos</t>
  </si>
  <si>
    <t>Los Mariachis</t>
  </si>
  <si>
    <t>Lampadas e resistencias de chuveiros</t>
  </si>
  <si>
    <t>Meias, cuecas e toalhas na americanas</t>
  </si>
  <si>
    <t>Kit Patinete do Luizão (06/10)</t>
  </si>
  <si>
    <t>StarBuques do Shopping</t>
  </si>
  <si>
    <t>Anéis da Vivaras</t>
  </si>
  <si>
    <t>Shabbabb´s</t>
  </si>
  <si>
    <t>MobileApp:Ios: 550 Póke-cois</t>
  </si>
  <si>
    <t>$ 4,99 usd</t>
  </si>
  <si>
    <t xml:space="preserve">IOF PókeBolas </t>
  </si>
  <si>
    <t>Uber ida para o Cardio</t>
  </si>
  <si>
    <t>Uber volta do Cardio para o trabalho</t>
  </si>
  <si>
    <t>The Burguers MAPS</t>
  </si>
  <si>
    <t xml:space="preserve"> Abril / 2017 </t>
  </si>
  <si>
    <t>Cervejaria Madalena</t>
  </si>
  <si>
    <t>Xirata feira limpa</t>
  </si>
  <si>
    <t>Nostro biffe</t>
  </si>
  <si>
    <t>Cruzeiros B.A.R.</t>
  </si>
  <si>
    <t>Ferro de passar roupas de viagens</t>
  </si>
  <si>
    <t>Coisas de escritorios</t>
  </si>
  <si>
    <t>Remedios de pressãos</t>
  </si>
  <si>
    <t>Sabonete de banheiros</t>
  </si>
  <si>
    <t xml:space="preserve">Nagumo´s </t>
  </si>
  <si>
    <t>iFood brasil</t>
  </si>
  <si>
    <t>Remédios de Infeção V, xharope e enóis</t>
  </si>
  <si>
    <t xml:space="preserve">Remedios de Infecção V </t>
  </si>
  <si>
    <t>Ifood china in Box</t>
  </si>
  <si>
    <t xml:space="preserve">iPhone 6S (03/06) </t>
  </si>
  <si>
    <t>Tenis Bew Balance (02/03)</t>
  </si>
  <si>
    <t>Omeprazóis e Magnésia Bisurada</t>
  </si>
  <si>
    <t>Game: Full  Throttle Remaster</t>
  </si>
  <si>
    <t>Kit Patinete do Luizão (07/10)</t>
  </si>
  <si>
    <t>LocaWeb: luizcarlin.com.br: Registro de Dominio</t>
  </si>
  <si>
    <t>iFood Em Casa</t>
  </si>
  <si>
    <t xml:space="preserve"> Maio / 2016 </t>
  </si>
  <si>
    <t>Ubiers para ò Maria</t>
  </si>
  <si>
    <t>Ó Maria</t>
  </si>
  <si>
    <t>Ubiers para casa</t>
  </si>
  <si>
    <t xml:space="preserve">Tarot: The Sacred Rose Tarot </t>
  </si>
  <si>
    <t xml:space="preserve">$ 34,93 USD </t>
  </si>
  <si>
    <t xml:space="preserve">IOF do The Sacred Rose Tarot </t>
  </si>
  <si>
    <t xml:space="preserve"> 6,38%</t>
  </si>
  <si>
    <t xml:space="preserve">Aleister Crowley e o Deus Oculto - Keneth Grant </t>
  </si>
  <si>
    <t xml:space="preserve">Pizzeria 021 </t>
  </si>
  <si>
    <t>Magdalenas Cervejearias´s</t>
  </si>
  <si>
    <t>MobileApp: Ios: Liber T Tarot</t>
  </si>
  <si>
    <t>$ 3,99 USD</t>
  </si>
  <si>
    <t>Iof do Liber T Tarot APP</t>
  </si>
  <si>
    <t xml:space="preserve">iPhone 6S (04/06) </t>
  </si>
  <si>
    <t>Nagump-s</t>
  </si>
  <si>
    <t xml:space="preserve">the all in burgues </t>
  </si>
  <si>
    <t>Tenis Bew Balance (03/03)</t>
  </si>
  <si>
    <t>Farnácias diversas de enos</t>
  </si>
  <si>
    <t>Kit Patinete do Luizão (08/10)</t>
  </si>
  <si>
    <t>iFood Brasil Super Pizza PAM!</t>
  </si>
  <si>
    <t xml:space="preserve">Caixa de Som JBL Bluetooth </t>
  </si>
  <si>
    <t>Presentes da Gabriella</t>
  </si>
  <si>
    <t>Batatas fritas no centro</t>
  </si>
  <si>
    <t>Berlusconi</t>
  </si>
  <si>
    <t>Restaurante ee esphiraria Jardins</t>
  </si>
  <si>
    <t>Budecorte + Azia´s</t>
  </si>
  <si>
    <t>Ração + Areias de cocôs</t>
  </si>
  <si>
    <t>ifood Brasil</t>
  </si>
  <si>
    <t xml:space="preserve"> JUNHo / 2017</t>
  </si>
  <si>
    <t>Variação cambial a debito</t>
  </si>
  <si>
    <t>OmniCubo + HandSpinner</t>
  </si>
  <si>
    <t>Farmacias de gripes e nóis</t>
  </si>
  <si>
    <t>Super Pizza PAM/</t>
  </si>
  <si>
    <t>Fones de Ouvidos de Academias no ML</t>
  </si>
  <si>
    <t>Presente dos dias dos namorados</t>
  </si>
  <si>
    <t xml:space="preserve">Remedio de Vida de Home (01/02) </t>
  </si>
  <si>
    <t>Controle Remoto + cabo de Iphone</t>
  </si>
  <si>
    <t xml:space="preserve">Sinvastatina + remedio de pressão </t>
  </si>
  <si>
    <t xml:space="preserve">Bistrou Paris 6 </t>
  </si>
  <si>
    <t xml:space="preserve">Assinatura Manager (01/03) </t>
  </si>
  <si>
    <t xml:space="preserve">iPhone 6S (05/06) </t>
  </si>
  <si>
    <t xml:space="preserve">eBook: The Grimoire of The Forty Servants: The Complete Guide to the Magick and Divination System (English Edition) </t>
  </si>
  <si>
    <t>iFood: Pizza PAM!</t>
  </si>
  <si>
    <t>Kit Patinete do Luizão (09/10)</t>
  </si>
  <si>
    <t>iFood emcasa</t>
  </si>
  <si>
    <t xml:space="preserve"> Julho / 2017 </t>
  </si>
  <si>
    <t xml:space="preserve">Remedio de Vida de Home (02/02) </t>
  </si>
  <si>
    <t xml:space="preserve">Assinatura Manager (02/03) </t>
  </si>
  <si>
    <t xml:space="preserve">iPhone 6S (06/06) </t>
  </si>
  <si>
    <t xml:space="preserve">Tarot Psychology Book: Volume I + Vol III of the Jungian Tarot Trilogy </t>
  </si>
  <si>
    <t>iFood em casa</t>
  </si>
  <si>
    <t>Kapyrotagya: Sociendade Novo Aeon - Taxa Minerval</t>
  </si>
  <si>
    <t>Kit Patinete do Luizão (10/10)</t>
  </si>
  <si>
    <t xml:space="preserve">FRAN´s Cafes </t>
  </si>
  <si>
    <t>Xirata Feira Limpa</t>
  </si>
  <si>
    <t>Paccocca´s VR-2</t>
  </si>
  <si>
    <t>Nagumop´s</t>
  </si>
  <si>
    <t xml:space="preserve"> Agosto / 2016 </t>
  </si>
  <si>
    <t>Pagamento de Faturas</t>
  </si>
  <si>
    <t>Chococlates diversos</t>
  </si>
  <si>
    <t>The Burgues 4 you</t>
  </si>
  <si>
    <t>JBL Audio fone des ourvidros</t>
  </si>
  <si>
    <t xml:space="preserve">Rações de Gatos </t>
  </si>
  <si>
    <t>Super Pizza PAM!</t>
  </si>
  <si>
    <t>Portofino do Shoppings</t>
  </si>
  <si>
    <t>Canetas, furadores de papeis e presilhas na kalunga</t>
  </si>
  <si>
    <t>The BusGer de Santo Andres</t>
  </si>
  <si>
    <t>Kanetas da Kalunga</t>
  </si>
  <si>
    <t>Porta Cabos + Kanetas</t>
  </si>
  <si>
    <t>Daiso Brasil</t>
  </si>
  <si>
    <t>Apertador de exercicio de mãos</t>
  </si>
  <si>
    <t>Mundo Estranho Especial - Magia Negra</t>
  </si>
  <si>
    <t>Busger Santo André</t>
  </si>
  <si>
    <t>Berlusconni Massa</t>
  </si>
  <si>
    <t>remedios de gripes</t>
  </si>
  <si>
    <t>pizzas em casa do ifood</t>
  </si>
  <si>
    <t xml:space="preserve">Assinatura Manager (03/03) </t>
  </si>
  <si>
    <t>iFoods em casas</t>
  </si>
  <si>
    <t>McDonaldos para Viagems</t>
  </si>
  <si>
    <t xml:space="preserve">Puerto Cristal </t>
  </si>
  <si>
    <t>ARS 1364,00 $</t>
  </si>
  <si>
    <t>Ubers em ARG</t>
  </si>
  <si>
    <t>$ 5,69 USD</t>
  </si>
  <si>
    <t>Hard Rock Café Buenos Aires</t>
  </si>
  <si>
    <t>ARS 1320,00 $</t>
  </si>
  <si>
    <t>Caiseta do HardRock Café</t>
  </si>
  <si>
    <t>ARS 550,00 $</t>
  </si>
  <si>
    <t>ARS 81,36 $</t>
  </si>
  <si>
    <t>$ 3,52 USD</t>
  </si>
  <si>
    <t>Posadas De San Nicloas 1820</t>
  </si>
  <si>
    <t>ARS 850,00 $</t>
  </si>
  <si>
    <t>Star Bucks Galerias Pacificos</t>
  </si>
  <si>
    <t>ARS 122,00 $</t>
  </si>
  <si>
    <t>Duty Free Shop Dolares</t>
  </si>
  <si>
    <t>ARS 1224,96 $</t>
  </si>
  <si>
    <t>Canetas diversas</t>
  </si>
  <si>
    <t>Coxinhas do Cruzeiros B.A.R.</t>
  </si>
  <si>
    <t xml:space="preserve"> Setembro / 2017 </t>
  </si>
  <si>
    <t>Fatura Nubank master</t>
  </si>
  <si>
    <t>50 Cafés Nespressos</t>
  </si>
  <si>
    <t>Produtos diversos de belezas</t>
  </si>
  <si>
    <t>Desodorizantre DOVEs + shampoos</t>
  </si>
  <si>
    <t>Sodier dôces</t>
  </si>
  <si>
    <t>The Busgers</t>
  </si>
  <si>
    <t>Areias de cocos de gatos</t>
  </si>
  <si>
    <t>ForLife (01/04)</t>
  </si>
  <si>
    <t>Lapiseiras 2.0 da CIS</t>
  </si>
  <si>
    <t>Pizzas ma paccocca´s</t>
  </si>
  <si>
    <t>The burgues MAPS</t>
  </si>
  <si>
    <t>Lenços Umidecidos de beleza</t>
  </si>
  <si>
    <t>The Scrap Stores</t>
  </si>
  <si>
    <t>Remedios de pulgas</t>
  </si>
  <si>
    <t>Demaquilantes diversos</t>
  </si>
  <si>
    <t>Produtos de cabaleos</t>
  </si>
  <si>
    <t>Portofino Shopping Coco</t>
  </si>
  <si>
    <t>Cafés do Shoppings</t>
  </si>
  <si>
    <t>Kalunga canetas diversas</t>
  </si>
  <si>
    <t>Pelicula de vridros</t>
  </si>
  <si>
    <t xml:space="preserve">Coisas diversas na Saiso Brasil </t>
  </si>
  <si>
    <t>The NY Burghuees</t>
  </si>
  <si>
    <t>iFood Brazil</t>
  </si>
  <si>
    <t>O Livro de Baphomet – Julian Vayne e Nikki Wyrd</t>
  </si>
  <si>
    <t xml:space="preserve">Dulce Gusto Nescafé (01/10) </t>
  </si>
  <si>
    <t>Naguo´s</t>
  </si>
  <si>
    <t>Remedio de Vida de Home (02/02)</t>
  </si>
  <si>
    <t>Neoprazól, enóis e pomadas anti alergias</t>
  </si>
  <si>
    <t>Naguno-s</t>
  </si>
  <si>
    <t>Ther burguÊs 4 voce</t>
  </si>
  <si>
    <t>Tarot: Mystical Manga Tarot : Barbara Moore: Amazon.com</t>
  </si>
  <si>
    <t>$ 29,46 USD</t>
  </si>
  <si>
    <t>The Jungian Tarot and Its Archetypal Imagery: Volume II of the Jungian Tarot Trilogy</t>
  </si>
  <si>
    <t xml:space="preserve"> Outubro / 2017 </t>
  </si>
  <si>
    <t>Super Pizza, PAM!!!</t>
  </si>
  <si>
    <t>Variação Cambial à debito (?!)</t>
  </si>
  <si>
    <t>ForLife (02/04)</t>
  </si>
  <si>
    <t>Pizza em casa do Don Cappo ifood</t>
  </si>
  <si>
    <t xml:space="preserve">Dulce Gusto Nescafé (02/10) </t>
  </si>
  <si>
    <t xml:space="preserve">Novembro / 2017 </t>
  </si>
  <si>
    <t>ForLife (03/04)</t>
  </si>
  <si>
    <t xml:space="preserve">Dulce Gusto Nescafé (03/10) </t>
  </si>
  <si>
    <t xml:space="preserve"> Dezembro / 2017</t>
  </si>
  <si>
    <t>ForLife (04/04)</t>
  </si>
  <si>
    <t>Dulce Gusto Nescafé (04/10)</t>
  </si>
  <si>
    <t>Bakeey™ 3 in 1 Double Dip 360° Full Protection Hard PC Cover Case for iPhone 6 &amp; 6s 4.7 Inch</t>
  </si>
  <si>
    <t xml:space="preserve"> Janeiro / 2018</t>
  </si>
  <si>
    <t>Dulce Gusto Nescafé (05/10)</t>
  </si>
  <si>
    <t xml:space="preserve"> Fevereiro / 2018</t>
  </si>
  <si>
    <t>Dulce Gusto Nescafé (06/10)</t>
  </si>
  <si>
    <t xml:space="preserve"> Março / 2018</t>
  </si>
  <si>
    <t>Dulce Gusto Nescafé (07/10)</t>
  </si>
  <si>
    <t xml:space="preserve"> Abril / 2018 </t>
  </si>
  <si>
    <t>Dulce Gusto Nescafé (08/10)</t>
  </si>
  <si>
    <t xml:space="preserve"> Maio / 2018 </t>
  </si>
  <si>
    <t>Dulce Gusto Nescafé (09/10)</t>
  </si>
  <si>
    <t>Restaurante do Marcius em  Monnte Verde</t>
  </si>
  <si>
    <t xml:space="preserve"> Junho / 2018 </t>
  </si>
  <si>
    <t>Dulce Gusto Nescafé (10/10)</t>
  </si>
  <si>
    <t xml:space="preserve"> Julho / 2018 </t>
  </si>
  <si>
    <t>Julho / 2019</t>
  </si>
  <si>
    <t>Tarot: Simbolika: Millenium Thoth + Thelema</t>
  </si>
  <si>
    <t>Setembro / 2019</t>
  </si>
  <si>
    <t>pagamento de fatura</t>
  </si>
  <si>
    <t>Outubro / 2019</t>
  </si>
  <si>
    <t>Assinatura Mensal LInkedIn (01/12)</t>
  </si>
  <si>
    <t>$ 116,86 USD</t>
  </si>
  <si>
    <t>Novembro / 2019</t>
  </si>
  <si>
    <t>Uber pra ir pra pegar o TREMs</t>
  </si>
  <si>
    <t>Dezembro / 2019</t>
  </si>
  <si>
    <t>Assinatura anual Amazon Prime - 2019/2020</t>
  </si>
  <si>
    <t>Uber pra ir pra casa de madrugada</t>
  </si>
  <si>
    <t>Credito Cartão BOM via App Voud</t>
  </si>
  <si>
    <t>Uber pra IR trocar os fones no Imbira</t>
  </si>
  <si>
    <t>Uber pra Voltar pra NET</t>
  </si>
  <si>
    <t>Habibes em casa</t>
  </si>
  <si>
    <t>Janeiro / 2020</t>
  </si>
  <si>
    <t>Uber para ir ed Sto Amaro pro hospital</t>
  </si>
  <si>
    <t>Uber para ir pra casa</t>
  </si>
  <si>
    <t>Uber pra ir marcar po exame</t>
  </si>
  <si>
    <t>Uber pra ir pro trem</t>
  </si>
  <si>
    <t>docês do trabalho</t>
  </si>
  <si>
    <t>Queijos diversos</t>
  </si>
  <si>
    <t>100GB de espaço no Google Drive</t>
  </si>
  <si>
    <t>Uber pra ir cancelar a conta da caixa</t>
  </si>
  <si>
    <t>Uber pra voltar pro centro</t>
  </si>
  <si>
    <t xml:space="preserve">Sprite do Posto de combustiveis  </t>
  </si>
  <si>
    <t>Fevereiro / 2020</t>
  </si>
  <si>
    <t xml:space="preserve">Amazon.com.br: ebook: Paraiso Perdido </t>
  </si>
  <si>
    <t>Fonte do monitor que perdeu na mudança</t>
  </si>
  <si>
    <t xml:space="preserve">Taco Bell´s </t>
  </si>
  <si>
    <t>Mapa Astral de natal</t>
  </si>
  <si>
    <t>4 porta trecos para o quarto</t>
  </si>
  <si>
    <t>Symbicort 12/400, Artrovastatina, Aradois8</t>
  </si>
  <si>
    <t>Parafusos + bucas 5mm</t>
  </si>
  <si>
    <t xml:space="preserve">Nivel e martelo na Dayso </t>
  </si>
  <si>
    <t>The Johnny Rocket´s</t>
  </si>
  <si>
    <t>Março / 2020</t>
  </si>
  <si>
    <t>O Kharina do Mapping</t>
  </si>
  <si>
    <t xml:space="preserve">Coisas de cabelo </t>
  </si>
  <si>
    <t>Coisas de café de tarde na Pacocca VRs</t>
  </si>
  <si>
    <t>Pneu novo (01/04)</t>
  </si>
  <si>
    <t xml:space="preserve">eBook: Amazon: Kindle: JACK PARSONS E A QUEDA DE BABALON </t>
  </si>
  <si>
    <t>Abril / 2020</t>
  </si>
  <si>
    <t>Pneu novo (02/04)</t>
  </si>
  <si>
    <t>Maio / 2020</t>
  </si>
  <si>
    <t>Pneu novo (03/04)</t>
  </si>
  <si>
    <t xml:space="preserve">Rappi delivery </t>
  </si>
  <si>
    <t>Junho / 2020</t>
  </si>
  <si>
    <t>Pneu novo (04/04)</t>
  </si>
  <si>
    <t>Julho / 2020</t>
  </si>
  <si>
    <t>Nova Central Multimedia (01/03)</t>
  </si>
  <si>
    <t>ifood em casa</t>
  </si>
  <si>
    <t>Multa da zona azul de SCS</t>
  </si>
  <si>
    <t>Agosto / 2020</t>
  </si>
  <si>
    <t>Iphone 8P branco 128 GB (01/10)</t>
  </si>
  <si>
    <t>Nova Central Multimedia (02/03)</t>
  </si>
  <si>
    <t>Fraude do cartão</t>
  </si>
  <si>
    <t>IOF da fraude</t>
  </si>
  <si>
    <t>Estorno de IOF de fraude</t>
  </si>
  <si>
    <t>Credito estorno fraude</t>
  </si>
  <si>
    <t>Setembro / 2020</t>
  </si>
  <si>
    <t>Iphone 8P branco 128 GB (02/10)</t>
  </si>
  <si>
    <t>Nova Central Multimedia (03/03)</t>
  </si>
  <si>
    <t xml:space="preserve">Amazon Light Sail 1 ano </t>
  </si>
  <si>
    <t>$ 1,00 USD</t>
  </si>
  <si>
    <t xml:space="preserve">Renovação 12m Alura (01/12) </t>
  </si>
  <si>
    <t>Credito da fatura anterior</t>
  </si>
  <si>
    <t>Outubro / 2020</t>
  </si>
  <si>
    <t>Iphone 8P branco 128 GB (03/10)</t>
  </si>
  <si>
    <t xml:space="preserve">Amazon LIghtSail </t>
  </si>
  <si>
    <t>IOF da Amazon LIghtSail</t>
  </si>
  <si>
    <t>Renovação 12m Alura (02/12)</t>
  </si>
  <si>
    <t xml:space="preserve">Assinatura Anual do LInkedIn </t>
  </si>
  <si>
    <t>USD 85,48</t>
  </si>
  <si>
    <t>IOF do LinkedIn</t>
  </si>
  <si>
    <t>Uber pra voltar da pejô</t>
  </si>
  <si>
    <t>Uber pra ir pra Pejô</t>
  </si>
  <si>
    <t>BlueFit de SCS</t>
  </si>
  <si>
    <t>Novembro / 2020</t>
  </si>
  <si>
    <t>Iphone 8P branco 128 GB (04/10)</t>
  </si>
  <si>
    <t xml:space="preserve">Amazon Web Services CIH WIKI </t>
  </si>
  <si>
    <t>Renovação 12m Alura (03/12)</t>
  </si>
  <si>
    <t>Uber no hospital do servidor</t>
  </si>
  <si>
    <t>Creditos de Metro</t>
  </si>
  <si>
    <t>IOF Amazon Web Services</t>
  </si>
  <si>
    <t>Pau-de-Cavalo.com</t>
  </si>
  <si>
    <t>Dezembro / 2020</t>
  </si>
  <si>
    <t>Iphone 8P branco 128 GB (05/10)</t>
  </si>
  <si>
    <t>Renovação 12m Alura (04/12)</t>
  </si>
  <si>
    <t xml:space="preserve">Assinatura Anual Amazon Prime </t>
  </si>
  <si>
    <t xml:space="preserve">Uber pra ir da loja de Patins pro Estacionamento </t>
  </si>
  <si>
    <t>Iphone 8P branco 128 GB (06/10)</t>
  </si>
  <si>
    <t>Renovação 12m Alura (05/12)</t>
  </si>
  <si>
    <t>Iphone 8P branco 128 GB (07/10)</t>
  </si>
  <si>
    <t>Renovação 12m Alura (06/12)</t>
  </si>
  <si>
    <t>Auto Presente de Aniversario GA-2000-5ADR (01/06)</t>
  </si>
  <si>
    <t>Iphone 8P branco 128 GB (08/10)</t>
  </si>
  <si>
    <t>Renovação 12m Alura (07/12)</t>
  </si>
  <si>
    <t>Auto Presente de Aniversario GA-2000-5ADR (02/06)</t>
  </si>
  <si>
    <t xml:space="preserve">ssinatura Promocional Starz </t>
  </si>
  <si>
    <t>Iphone 8P branco 128 GB (09/10)</t>
  </si>
  <si>
    <t xml:space="preserve">Fraude Cartão NuBank </t>
  </si>
  <si>
    <t>Renovação 12m Alura (08/12)</t>
  </si>
  <si>
    <t>Auto Presente de Aniversario GA-2000-5ADR (03/06)</t>
  </si>
  <si>
    <t>Fatura XP Master</t>
  </si>
  <si>
    <t>Iphone 8P branco 128 GB (10/10)</t>
  </si>
  <si>
    <t>Renovação 12m Alura (09/12)</t>
  </si>
  <si>
    <t>Auto Presente de Aniversario GA-2000-5ADR (04/06)</t>
  </si>
  <si>
    <t>Das compras de fraudes</t>
  </si>
  <si>
    <t>Renovação 12m Alura (10/12)</t>
  </si>
  <si>
    <t>Auto Presente de Aniversario GA-2000-5ADR (05/06)</t>
  </si>
  <si>
    <t>Renovação 12m Alura (11/12)</t>
  </si>
  <si>
    <t>Auto Presente de Aniversario GA-2000-5ADR (06/06)</t>
  </si>
  <si>
    <t>Renovação 12m Alura (12/12)</t>
  </si>
  <si>
    <t xml:space="preserve">Assinatura Mensal Disney Plus </t>
  </si>
  <si>
    <t xml:space="preserve">Software: Liscensa do Windows 11 pro </t>
  </si>
  <si>
    <t>Uber pra Ir praq Grazie</t>
  </si>
  <si>
    <t>Uber pra Voltar da Grazie</t>
  </si>
  <si>
    <t>Maçonaria: Uber pra Ir pro Jantar</t>
  </si>
  <si>
    <t>Maçonaria: Uber pra VOLTAR do jantar</t>
  </si>
  <si>
    <t>Software: Assinatura Anual OFFICE 365</t>
  </si>
  <si>
    <t>Tratamento Jade (01/10)</t>
  </si>
  <si>
    <t>Uber pra Ir pra Henry Dunant 780</t>
  </si>
  <si>
    <t>Uber pra Ir pra Verbo divino 1356</t>
  </si>
  <si>
    <t>Tratamento Jade (02/10)</t>
  </si>
  <si>
    <t>Cafés da CaCau Show do Plaza</t>
  </si>
  <si>
    <t>Uber pra voltar da Peugeot</t>
  </si>
  <si>
    <t>Uber pra ir pra Peugeot pegar o GGM5</t>
  </si>
  <si>
    <t>madras.com.br: Tres livros de filosofia oculta do agrippa</t>
  </si>
  <si>
    <t>Tratamento Jade (03/10)</t>
  </si>
  <si>
    <t>Novcembro / 2022</t>
  </si>
  <si>
    <t>Òculos Novos (01/04)</t>
  </si>
  <si>
    <t>Uber pra IR pro Xópin</t>
  </si>
  <si>
    <t>Uber pra Voltar do Xópin</t>
  </si>
  <si>
    <t>Tratamento Jade (04/10)</t>
  </si>
  <si>
    <t>Òculos Novos (02/04)</t>
  </si>
  <si>
    <t>Veterinária Mascote Piraju (01/12)</t>
  </si>
  <si>
    <t>Tratamento Jade (05/10)</t>
  </si>
  <si>
    <t>Òculos Novos (03/04)</t>
  </si>
  <si>
    <t>Veterinária Mascote Piraju (02/12)</t>
  </si>
  <si>
    <t>Tratamento Jade (06/10)</t>
  </si>
  <si>
    <t>Trabalho: Credito TOPs</t>
  </si>
  <si>
    <t>Òculos Novos (04/04)</t>
  </si>
  <si>
    <t>Veterinária Mascote Piraju (03/12)</t>
  </si>
  <si>
    <t>Veterinária Mascote Piraju (04/12)</t>
  </si>
  <si>
    <t>Veterinária Mascote Piraju (05/12)</t>
  </si>
  <si>
    <t>Veterinária Mascote Piraju (06/12)</t>
  </si>
  <si>
    <t>Veterinária Mascote Piraju (07/12)</t>
  </si>
  <si>
    <t>Veterinária Mascote Piraju (08/12)</t>
  </si>
  <si>
    <t>Veterinária Mascote Piraju (09/12)</t>
  </si>
  <si>
    <t>Veterinária Mascote Piraju (10/12)</t>
  </si>
  <si>
    <t>Veterinária Mascote Piraju (11/12)</t>
  </si>
  <si>
    <t>Veterinária Mascote Piraju (12/12)</t>
  </si>
  <si>
    <t>Tratamento Jade (07/10)</t>
  </si>
  <si>
    <t>Tratamento Jade (08/10)</t>
  </si>
  <si>
    <t>Tratamento Jade (09/10)</t>
  </si>
  <si>
    <t>Tratamento Jade (10/10)</t>
  </si>
  <si>
    <t>Software: 3 assinatura BiAnualMcAffe</t>
  </si>
  <si>
    <t xml:space="preserve">MercadoLIvre.com.br: Webcam Full Hd Logitech Brio 500 - Grafite (01/05) </t>
  </si>
  <si>
    <t xml:space="preserve">MercadoLIvre.com.br: Microfone Hyperx Solocast Condensador Cardióide Preto - Grafite (01/05) </t>
  </si>
  <si>
    <t>Game: Ebay.com: GoW II 2007</t>
  </si>
  <si>
    <t>$ 31,99 USD</t>
  </si>
  <si>
    <t>IOF compra internacional GoW II 2007</t>
  </si>
  <si>
    <t>Trabalho: Credito TOPs CONTINGENCIA 2 PASSAGENS</t>
  </si>
  <si>
    <t>Game: Ebay.com: GoW  2005</t>
  </si>
  <si>
    <t>$ 42,35 usd</t>
  </si>
  <si>
    <t>IOF compra internacional GoW 2005</t>
  </si>
  <si>
    <t>Trabalho: Creditos metro contingencia</t>
  </si>
  <si>
    <t xml:space="preserve">MercadoLIvre.com.br: Webcam Full Hd Logitech Brio 500 - Grafite (02/05) </t>
  </si>
  <si>
    <t xml:space="preserve">MercadoLIvre.com.br: Microfone Hyperx Solocast Condensador Cardióide Preto - Grafite (02/05) </t>
  </si>
  <si>
    <t>Trabalho: Creditos Metro</t>
  </si>
  <si>
    <t xml:space="preserve">MercadoLIvre.com.br: Webcam Full Hd Logitech Brio 500 - Grafite (03/05) </t>
  </si>
  <si>
    <t xml:space="preserve">MercadoLIvre.com.br: Microfone Hyperx Solocast Condensador Cardióide Preto - Grafite (03/05) </t>
  </si>
  <si>
    <t>Catarse.Me: Kabbalah Hermetica 3.0 (01/06)</t>
  </si>
  <si>
    <t>Trabalho: 22 creditos TOP Metro</t>
  </si>
  <si>
    <t>Uber pra ir no Grazzie</t>
  </si>
  <si>
    <t>Uber pra Voltar do Grazzie</t>
  </si>
  <si>
    <t xml:space="preserve">MercadoLIvre.com.br: Webcam Full Hd Logitech Brio 500 - Grafite (04/05) </t>
  </si>
  <si>
    <t>MercadoLIvre.com.br: Microfone Hyperx Solocast Condensador Cardióide Preto - Grafite (04/05)</t>
  </si>
  <si>
    <t>02 Ingressos para a retroCon 2023</t>
  </si>
  <si>
    <t>Trabalho: Gallu´s</t>
  </si>
  <si>
    <t>HomeOffice: Trabalho: AliExpress: Mouse Jiggler Indetectável Mouse Mover Virtual Mouse Movimento Simulador com ON/OFF Switch para PC Computador Awakening Lock Screen</t>
  </si>
  <si>
    <t>Trabalho: Praça do divinu´s</t>
  </si>
  <si>
    <t xml:space="preserve">Trabalho: Churrascaria Boi Amarelo </t>
  </si>
  <si>
    <t>O P.R.I.M.U.S.</t>
  </si>
  <si>
    <t xml:space="preserve">Ração &amp; Saches </t>
  </si>
  <si>
    <t>NO mercadinho do predio para ir pra RetroCon</t>
  </si>
  <si>
    <t>Café de Manha na Deep Barr</t>
  </si>
  <si>
    <t>Uber pra ir pra retroRon</t>
  </si>
  <si>
    <t>RetroCon: Gguarda-volumes</t>
  </si>
  <si>
    <t>RetroCon: Chaveiros</t>
  </si>
  <si>
    <t>RetroCon: controle Original PS3 FAT</t>
  </si>
  <si>
    <t>RetroCon: PSP Slim 3000</t>
  </si>
  <si>
    <t>Game: RetroCon: Assissins Creed II</t>
  </si>
  <si>
    <t>RetroCon: Adesivos de OS com o Tiozão</t>
  </si>
  <si>
    <t>RetroCon: Almoço</t>
  </si>
  <si>
    <t xml:space="preserve">RetroCon: MousePads gigantes PLayStation +BDG (GoW) </t>
  </si>
  <si>
    <t>Uber pra volrar da retrocon pra Deep Barr</t>
  </si>
  <si>
    <t>Café da Tarde de Deep Bar</t>
  </si>
  <si>
    <t>Catarse.Me: Kabbalah Hermetica 3.0 (02/06)</t>
  </si>
  <si>
    <t>Trabalho: 22 creditos TOPs</t>
  </si>
  <si>
    <t>Amazon.com.br: Iphone 13 Branco (01/10)</t>
  </si>
  <si>
    <t xml:space="preserve">Trabalho: A La Carte Mineiro </t>
  </si>
  <si>
    <t>MercadoLIvre.com.br: Webcam Full Hd Logitech Brio 500 - Grafite (05/05)</t>
  </si>
  <si>
    <t>MercadoLIvre.com.br: Microfone Hyperx Solocast Condensador Cardióide Preto - Grafite (05/05)</t>
  </si>
  <si>
    <t>Amazon.com.br: Controle Dualshock 4 - PlayStation 4 - Preto (01/04)</t>
  </si>
  <si>
    <t>MercadoLivre.com.br: Ps Vita Slim Super Conservado E Com Garantia (01/06)</t>
  </si>
  <si>
    <t>Assinatura Mensal do Spotfy Familiar (5 Acessos)</t>
  </si>
  <si>
    <t>Catarse.Me: Kabbalah Hermetica 3.0 (03/06)</t>
  </si>
  <si>
    <t>Amazon.com.br: Cordão - Alça para case - Gshield</t>
  </si>
  <si>
    <t>Amazon.com.br: Maxprint Cartucho de Toner Compatível Brother TN-1060 No.TN-1060, Preto</t>
  </si>
  <si>
    <t>Amazon.com.br: Iphone 13 Branco (02/10)</t>
  </si>
  <si>
    <t>Amazon.com.br: Controle Dualshock 4 - PlayStation 4 - Preto (02/04)</t>
  </si>
  <si>
    <t>MercadoLivre.com.br: Ps Vita Slim Super Conservado E Com Garantia (02/06)</t>
  </si>
  <si>
    <t>Trabalho: Credito top unitário</t>
  </si>
  <si>
    <t>Amazon.com.br: Amazon FireStick (01/06)</t>
  </si>
  <si>
    <t>Amazon.com.br: OSTENT Bateria recarregável 1400mAh 3.6V Sony PSP (01/06)</t>
  </si>
  <si>
    <t>a PACCOCCA´S SANTA´S MONICA´S</t>
  </si>
  <si>
    <t>Trabalho: O Gallu´s</t>
  </si>
  <si>
    <t>Catarse.Me: Kabbalah Hermetica 3.0 (04/06)</t>
  </si>
  <si>
    <t>Amazon.com.br: Apple Watch Series 8 (GPS + Cellular ), Smartwatch com caixa meia-noite de alumínio – 45 mm (01/12)</t>
  </si>
  <si>
    <t>Amazon.com.br: Iphone 13 Branco (03/10)</t>
  </si>
  <si>
    <t xml:space="preserve">Batas fritas no paço municipal </t>
  </si>
  <si>
    <t>Amazon.com.br: Controle Dualshock 4 - PlayStation 4 - Preto (03/04)</t>
  </si>
  <si>
    <t>MercadoLivre.com.br: Ps Vita Slim Super Conservado E Com Garantia (03/06)</t>
  </si>
  <si>
    <t>Amazon.com.br: Amazon FireStick (02/06)</t>
  </si>
  <si>
    <t>Amazon.com.br: OSTENT Bateria recarregável 1400mAh 3.6V Sony PSP (02/06)</t>
  </si>
  <si>
    <t>Trabalho: 2 creditos TOPs</t>
  </si>
  <si>
    <t xml:space="preserve">iFood: Didios </t>
  </si>
  <si>
    <t>iFood: TheBurgues Galleries</t>
  </si>
  <si>
    <t xml:space="preserve">NO Hopital brasil </t>
  </si>
  <si>
    <t>Catarse.Me: Kabbalah Hermetica 3.0 (05/06)</t>
  </si>
  <si>
    <t>LeroyMerlin: Movel para a cozinha e diversos (01/06)</t>
  </si>
  <si>
    <t xml:space="preserve">UBER pra ir pro terminal </t>
  </si>
  <si>
    <t xml:space="preserve">UBER pra ir pro trabalho </t>
  </si>
  <si>
    <t>Falcon Ataque Da Águia Selvagem (01/03)</t>
  </si>
  <si>
    <t>iFood: Netão</t>
  </si>
  <si>
    <t xml:space="preserve">Uber pra ir pegar o carro na revisão </t>
  </si>
  <si>
    <t>Amazon.com.br: Apple Watch Series 8 (GPS + Cellular ), Smartwatch com caixa meia-noite de alumínio – 45 mm (02/12)</t>
  </si>
  <si>
    <t>Amazon.com.br: Iphone 13 Branco (04/10)</t>
  </si>
  <si>
    <t>Kit Tarot Alquímico - Livro, cartas e toalha oráculo - AlkhemyLab by Joel Aleixo  (01/06)</t>
  </si>
  <si>
    <t xml:space="preserve">iFood: DiDios </t>
  </si>
  <si>
    <t xml:space="preserve">Amazon.com.br: Controle Dualshock 4 - PlayStation 4 - Preto (04/04) </t>
  </si>
  <si>
    <t>MercadoLivre.com.br: Ps Vita Slim Super Conservado E Com Garantia (04/06)</t>
  </si>
  <si>
    <t>Amazon.com.br: Amazon FireStick (03/06)</t>
  </si>
  <si>
    <t>Amazon.com.br: OSTENT Bateria recarregável 1400mAh 3.6V Sony PSP (03/06)</t>
  </si>
  <si>
    <t>Catarse.Me: Kabbalah Hermetica 3.0 (06/06)</t>
  </si>
  <si>
    <t>LeroyMerlin: Movel para a cozinha e diversos (02/06)</t>
  </si>
  <si>
    <t>RB3519 004/71 59-15 Chumbo Verde Classic (01/03)</t>
  </si>
  <si>
    <t>Falcon Ataque Da Águia Selvagem (02/03)</t>
  </si>
  <si>
    <t>Sofá novo (01/12)</t>
  </si>
  <si>
    <t>Impermebialização do sofa novo (01/12)</t>
  </si>
  <si>
    <t>Amazon.com.br: Apple Watch Series 8 (GPS + Cellular ), Smartwatch com caixa meia-noite de alumínio – 45 mm (03/12)</t>
  </si>
  <si>
    <t>Amazon.com.br: Iphone 13 Branco (05/10)</t>
  </si>
  <si>
    <t>Kit Tarot Alquímico - Livro, cartas e toalha oráculo - AlkhemyLab by Joel Aleixo  (02/06)</t>
  </si>
  <si>
    <t>MercadoLivre.com.br: Ps Vita Slim Super Conservado E Com Garantia (05/06)</t>
  </si>
  <si>
    <t>Amazon.com.br: Amazon FireStick (04/06)</t>
  </si>
  <si>
    <t>Amazon.com.br: OSTENT Bateria recarregável 1400mAh 3.6V Sony PSP (04/06)</t>
  </si>
  <si>
    <t>LeroyMerlin: Movel para a cozinha e diversos (03/06)</t>
  </si>
  <si>
    <t>Falcon Ataque Da Águia Selvagem (03/03)</t>
  </si>
  <si>
    <t>Sofá novo (02/12)</t>
  </si>
  <si>
    <t>Impermebialização do sofa novo (02/12)</t>
  </si>
  <si>
    <t>Amazon.com.br: Apple Watch Series 8 (GPS + Cellular ), Smartwatch com caixa meia-noite de alumínio – 45 mm (04/12)</t>
  </si>
  <si>
    <t>Amazon.com.br: Iphone 13 Branco (06/10)</t>
  </si>
  <si>
    <t>Kit Tarot Alquímico - Livro, cartas e toalha oráculo - AlkhemyLab by Joel Aleixo  (03/06)</t>
  </si>
  <si>
    <t>MercadoLivre.com.br: Ps Vita Slim Super Conservado E Com Garantia (06/06)</t>
  </si>
  <si>
    <t>Amazon.com.br: Amazon FireStick (05/06)</t>
  </si>
  <si>
    <t>Amazon.com.br: OSTENT Bateria recarregável 1400mAh 3.6V Sony PSP (05/06)</t>
  </si>
  <si>
    <t>Fevereio / 2024</t>
  </si>
  <si>
    <t>LeroyMerlin: Movel para a cozinha e diversos (04/06)</t>
  </si>
  <si>
    <t>Sofá novo (03/12)</t>
  </si>
  <si>
    <t>Impermebialização do sofa novo (03/12)</t>
  </si>
  <si>
    <t>Amazon.com.br: Apple Watch Series 8 (GPS + Cellular ), Smartwatch com caixa meia-noite de alumínio – 45 mm (05/12)</t>
  </si>
  <si>
    <t>Amazon.com.br: Iphone 13 Branco (07/10)</t>
  </si>
  <si>
    <t>Kit Tarot Alquímico - Livro, cartas e toalha oráculo - AlkhemyLab by Joel Aleixo  (04/06)</t>
  </si>
  <si>
    <t>Amazon.com.br: Amazon FireStick (06/06)</t>
  </si>
  <si>
    <t>Amazon.com.br: OSTENT Bateria recarregável 1400mAh 3.6V Sony PSP (06/06)</t>
  </si>
  <si>
    <t>LeroyMerlin: Movel para a cozinha e diversos (05/06)</t>
  </si>
  <si>
    <t>Sofá novo (04/12)</t>
  </si>
  <si>
    <t>Impermebialização do sofa novo (04/12)</t>
  </si>
  <si>
    <t>Amazon.com.br: Apple Watch Series 8 (GPS + Cellular ), Smartwatch com caixa meia-noite de alumínio – 45 mm (06/12)</t>
  </si>
  <si>
    <t>Amazon.com.br: Iphone 13 Branco (08/10)</t>
  </si>
  <si>
    <t>Kit Tarot Alquímico - Livro, cartas e toalha oráculo - AlkhemyLab by Joel Aleixo  (05/06)</t>
  </si>
  <si>
    <t>Amazon.com.br: HD Externo Portátil Seagate Expansion 4TB STEA4000400 Preto (01/06)</t>
  </si>
  <si>
    <t>LeroyMerlin: Movel para a cozinha e diversos (06/06)</t>
  </si>
  <si>
    <t>4 camisetas Hering pretas (01/04)</t>
  </si>
  <si>
    <t>Sofá novo (05/12)</t>
  </si>
  <si>
    <t>Impermebialização do sofa novo (05/12)</t>
  </si>
  <si>
    <t>Amazon.com.br: Apple Watch Series 8 (GPS + Cellular ), Smartwatch com caixa meia-noite de alumínio – 45 mm (07/12)</t>
  </si>
  <si>
    <t>Amazon.com.br: Iphone 13 Branco (09/10)</t>
  </si>
  <si>
    <t>Kit Tarot Alquímico - Livro, cartas e toalha oráculo - AlkhemyLab by Joel Aleixo  (06/06)</t>
  </si>
  <si>
    <t xml:space="preserve">Gazoza no Pejo </t>
  </si>
  <si>
    <t>Amazon.com.br: HD Externo Portátil Seagate Expansion 4TB STEA4000400 Preto (02/06)</t>
  </si>
  <si>
    <t>4 camisetas Hering pretas (02/04)</t>
  </si>
  <si>
    <t>Sofá novo (06/12)</t>
  </si>
  <si>
    <t>Impermebialização do sofa novo (06/12)</t>
  </si>
  <si>
    <t>Amazon.com.br: Apple Watch Series 8 (GPS + Cellular ), Smartwatch com caixa meia-noite de alumínio – 45 mm (08/12)</t>
  </si>
  <si>
    <t>Amazon.com.br: Iphone 13 Branco (10/10)</t>
  </si>
  <si>
    <t>Amazon.com.br: HD Externo Portátil Seagate Expansion 4TB STEA4000400 Preto (03/06)</t>
  </si>
  <si>
    <t>Perfume Cristiane (01/04)</t>
  </si>
  <si>
    <t>4 camisetas Hering pretas (03/04)</t>
  </si>
  <si>
    <t>02 Calças Levis (01/03)</t>
  </si>
  <si>
    <t>Sofá novo (07/12)</t>
  </si>
  <si>
    <t>Impermebialização do sofa novo (07/12)</t>
  </si>
  <si>
    <t>Amazon.com.br: Apple Watch Series 8 (GPS + Cellular ), Smartwatch com caixa meia-noite de alumínio – 45 mm (09/12)</t>
  </si>
  <si>
    <t>Amazon.com.br: HD Externo Portátil Seagate Expansion 4TB STEA4000400 Preto (04/06)</t>
  </si>
  <si>
    <t>Perfume Cristiane (02/04)</t>
  </si>
  <si>
    <t>Avell Storm BS I7 RTX 4050 32GB + 1TB (01/12)</t>
  </si>
  <si>
    <t>4 camisetas Hering pretas (04/04)</t>
  </si>
  <si>
    <t>02 Calças Levis (02/03)</t>
  </si>
  <si>
    <t>Sofá novo (08/12)</t>
  </si>
  <si>
    <t>Impermebialização do sofa novo (08/12)</t>
  </si>
  <si>
    <t>Amazon.com.br: Apple Watch Series 8 (GPS + Cellular ), Smartwatch com caixa meia-noite de alumínio – 45 mm (10/12)</t>
  </si>
  <si>
    <t>Amazon.com.br: HD Externo Portátil Seagate Expansion 4TB STEA4000400 Preto (05/06)</t>
  </si>
  <si>
    <t>Perfume Cristiane (03/04)</t>
  </si>
  <si>
    <t>Conserto Ar condicionado (01/04)</t>
  </si>
  <si>
    <t>Avell Storm BS I7 RTX 4050 32GB + 1TB (02/12)</t>
  </si>
  <si>
    <t xml:space="preserve">Software: GVGMall: Windows 11 Pro OEM </t>
  </si>
  <si>
    <t xml:space="preserve">IOF: Software: GVGMall: Windows 11 Pro OEM </t>
  </si>
  <si>
    <t>Software: Game: Steam: HellGate London</t>
  </si>
  <si>
    <t>02 Calças Levis (03/03)</t>
  </si>
  <si>
    <t>Sofá novo (09/12)</t>
  </si>
  <si>
    <t>Impermebialização do sofa novo (09/12)</t>
  </si>
  <si>
    <t>Amazon.com.br: Apple Watch Series 8 (GPS + Cellular ), Smartwatch com caixa meia-noite de alumínio – 45 mm (11/12)</t>
  </si>
  <si>
    <t>Estrela.com.br: Falcon Safari na Africa (01/03)</t>
  </si>
  <si>
    <t xml:space="preserve">Remedios de Diversos (01/02) </t>
  </si>
  <si>
    <t>Amazon.com.br: HD Externo Portátil Seagate Expansion 4TB STEA4000400 Preto (06/06)</t>
  </si>
  <si>
    <t>Perfume Cristiane (04/04)</t>
  </si>
  <si>
    <t>Conserto Ar condicionado (02/04)</t>
  </si>
  <si>
    <t>Avell Storm BS I7 RTX 4050 32GB + 1TB (03/12)</t>
  </si>
  <si>
    <t>Sofá novo (10/12)</t>
  </si>
  <si>
    <t>Impermebialização do sofa novo (10/12)</t>
  </si>
  <si>
    <t>Amazon.com.br: Apple Watch Series 8 (GPS + Cellular ), Smartwatch com caixa meia-noite de alumínio – 45 mm (12/12)</t>
  </si>
  <si>
    <t>Estrela.com.br: Falcon Safari na Africa (02/03)</t>
  </si>
  <si>
    <t xml:space="preserve">Remedios de Diversos (02/02) </t>
  </si>
  <si>
    <t xml:space="preserve">Outubro / 2024 </t>
  </si>
  <si>
    <t>Conserto Ar condicionado (03/04)</t>
  </si>
  <si>
    <t>Avell Storm BS I7 RTX 4050 32GB + 1TB (04/12)</t>
  </si>
  <si>
    <t>Sofá novo (11/12)</t>
  </si>
  <si>
    <t>Impermebialização do sofa novo (11/12)</t>
  </si>
  <si>
    <t>Estrela.com.br: Falcon Safari na Africa (03/03)</t>
  </si>
  <si>
    <t>Conserto Ar condicionado (04/04)</t>
  </si>
  <si>
    <t>Avell Storm BS I7 RTX 4050 32GB + 1TB (05/12)</t>
  </si>
  <si>
    <t>Sofá novo (12/12)</t>
  </si>
  <si>
    <t>Impermebialização do sofa novo (12/12)</t>
  </si>
  <si>
    <t xml:space="preserve">Dezembro / 2024 </t>
  </si>
  <si>
    <t>Avell Storm BS I7 RTX 4050 32GB + 1TB (06/12)</t>
  </si>
  <si>
    <t>Avell Storm BS I7 RTX 4050 32GB + 1TB (07/12)</t>
  </si>
  <si>
    <t>Avell Storm BS I7 RTX 4050 32GB + 1TB (08/12)</t>
  </si>
  <si>
    <t>Avell Storm BS I7 RTX 4050 32GB + 1TB (09/12)</t>
  </si>
  <si>
    <t>Avell Storm BS I7 RTX 4050 32GB + 1TB (10/12)</t>
  </si>
  <si>
    <t>Avell Storm BS I7 RTX 4050 32GB + 1TB (11/12)</t>
  </si>
  <si>
    <t>Eletrodomesticos, cama e colchão novo (01/12)</t>
  </si>
  <si>
    <t>Tomadas na leroy Merlyn (01/06)</t>
  </si>
  <si>
    <t>Avell Storm BS I7 RTX 4050 32GB + 1TB (12/12)</t>
  </si>
  <si>
    <t>Eletrodomesticos, cama e colchão novo (02/12)</t>
  </si>
  <si>
    <t>Tomadas na leroy Merlyn (02/06)</t>
  </si>
  <si>
    <t>UsadãoMoveis: Mesa Delta com Pé Calha Código: 00628 (01/10)</t>
  </si>
  <si>
    <t>Eletrodomesticos, cama e colchão novo (03/12)</t>
  </si>
  <si>
    <t>Tomadas na leroy Merlyn (03/06)</t>
  </si>
  <si>
    <t>UsadãoMoveis: Mesa Delta com Pé Calha Código: 00628 (02/10)</t>
  </si>
  <si>
    <t>Eletrodomesticos, cama e colchão novo (04/12)</t>
  </si>
  <si>
    <t>Tomadas na leroy Merlyn (04/06)</t>
  </si>
  <si>
    <t>UsadãoMoveis: Mesa Delta com Pé Calha Código: 00628 (03/10)</t>
  </si>
  <si>
    <t>Eletrodomesticos, cama e colchão novo (05/12)</t>
  </si>
  <si>
    <t>Tomadas na leroy Merlyn (05/06)</t>
  </si>
  <si>
    <t>UsadãoMoveis: Mesa Delta com Pé Calha Código: 00628 (04/10)</t>
  </si>
  <si>
    <t>Porta Antiruido TermoAcustica (01/10)</t>
  </si>
  <si>
    <t>Eletrodomesticos, cama e colchão novo (06/12)</t>
  </si>
  <si>
    <t>Tomadas na leroy Merlyn (06/06)</t>
  </si>
  <si>
    <t>UsadãoMoveis: Mesa Delta com Pé Calha Código: 00628 (05/10)</t>
  </si>
  <si>
    <t>Novembro  / 2025</t>
  </si>
  <si>
    <t>Porta Antiruido TermoAcustica (02/10)</t>
  </si>
  <si>
    <t>Eletrodomesticos, cama e colchão novo (07/12)</t>
  </si>
  <si>
    <t>UsadãoMoveis: Mesa Delta com Pé Calha Código: 00628 (06/10)</t>
  </si>
  <si>
    <t>Dezembro  / 2025</t>
  </si>
  <si>
    <t>Porta Antiruido TermoAcustica (03/10)</t>
  </si>
  <si>
    <t>Revisão 50k (7A) Parcela (01/05)</t>
  </si>
  <si>
    <t>NetShoes.com.br: Mizuno Jet8 / Asics Gel Takumi (01/03)</t>
  </si>
  <si>
    <t>Eletrodomesticos, cama e colchão novo (08/12)</t>
  </si>
  <si>
    <t>UsadãoMoveis: Mesa Delta com Pé Calha Código: 00628 (07/10)</t>
  </si>
  <si>
    <t>Porta Antiruido TermoAcustica (04/10)</t>
  </si>
  <si>
    <t>Revisão 50k (7A) Parcela (02/05)</t>
  </si>
  <si>
    <t>NetShoes.com.br: Mizuno Jet8 / Asics Gel Takumi (02/03)</t>
  </si>
  <si>
    <t>Eletrodomesticos, cama e colchão novo (09/12)</t>
  </si>
  <si>
    <t>UsadãoMoveis: Mesa Delta com Pé Calha Código: 00628 (08/10)</t>
  </si>
  <si>
    <t>Fevereiro  / 2026</t>
  </si>
  <si>
    <t>Porta Antiruido TermoAcustica (05/10)</t>
  </si>
  <si>
    <t>Revisão 50k (7A) Parcela (03/05)</t>
  </si>
  <si>
    <t>NetShoes.com.br: Mizuno Jet8 / Asics Gel Takumi (03/03)</t>
  </si>
  <si>
    <t>Software: Mobile App: IOS:</t>
  </si>
  <si>
    <t>$ 0,99 usd</t>
  </si>
  <si>
    <t>IOF: Software: Mobile App: IOS:</t>
  </si>
  <si>
    <t>$ 3,00 USD</t>
  </si>
  <si>
    <t>Eletrodomesticos, cama e colchão novo (10/12)</t>
  </si>
  <si>
    <t>UsadãoMoveis: Mesa Delta com Pé Calha Código: 00628 (09/10)</t>
  </si>
  <si>
    <t>$ 29,99 USD</t>
  </si>
  <si>
    <t>Saldo para Ajuste (???)</t>
  </si>
  <si>
    <t>Porta Antiruido TermoAcustica (06/10)</t>
  </si>
  <si>
    <t>Revisão 50k (7A) Parcela (04/05)</t>
  </si>
  <si>
    <t xml:space="preserve">Amazon.com.br: Iphone 16 256 GB </t>
  </si>
  <si>
    <t>Eletrodomesticos, cama e colchão novo (11/12)</t>
  </si>
  <si>
    <t>UsadãoMoveis: Mesa Delta com Pé Calha Código: 00628 (10/10)</t>
  </si>
  <si>
    <t>Remoção de Berrugas (01/03)</t>
  </si>
  <si>
    <t>Porta Antiruido TermoAcustica (07/10)</t>
  </si>
  <si>
    <t>RELÓGIO LUMINOX ORIGINAL NAVY SEAL 44 MM CÓD.3051 (01/06)</t>
  </si>
  <si>
    <t>Revisão 50k (7A) Parcela (05/05)</t>
  </si>
  <si>
    <t>Eletrodomesticos, cama e colchão novo (12/12)</t>
  </si>
  <si>
    <t>Tampa de privadas, Adapatadores de tomadas , Pinhas 4x pilas AA alcalinahs</t>
  </si>
  <si>
    <t>Remoção de Berrugas (02/03)</t>
  </si>
  <si>
    <t>Porta Antiruido TermoAcustica (08/10)</t>
  </si>
  <si>
    <t>RELÓGIO LUMINOX ORIGINAL NAVY SEAL 44 MM CÓD.3051 (02/06)</t>
  </si>
  <si>
    <t>Remoção de Berrugas (03/03)</t>
  </si>
  <si>
    <t>Porta Antiruido TermoAcustica (09/10)</t>
  </si>
  <si>
    <t>RELÓGIO LUMINOX ORIGINAL NAVY SEAL 44 MM CÓD.3051 (03/06)</t>
  </si>
  <si>
    <t>Porta Antiruido TermoAcustica (10/10)</t>
  </si>
  <si>
    <t>RELÓGIO LUMINOX ORIGINAL NAVY SEAL 44 MM CÓD.3051 (04/06)</t>
  </si>
  <si>
    <t>Agosto / 2026</t>
  </si>
  <si>
    <t>RELÓGIO LUMINOX ORIGINAL NAVY SEAL 44 MM CÓD.3051 (05/06)</t>
  </si>
  <si>
    <t>RELÓGIO LUMINOX ORIGINAL NAVY SEAL 44 MM CÓD.3051 (06/06)</t>
  </si>
  <si>
    <t>Outubro /2026</t>
  </si>
  <si>
    <t>Dezembro / 2026</t>
  </si>
  <si>
    <t>Janeiro / 2027</t>
  </si>
  <si>
    <t>Fevereiro / 2027</t>
  </si>
  <si>
    <t xml:space="preserve"> Março / 2027</t>
  </si>
  <si>
    <t xml:space="preserve">Abil / 2027 </t>
  </si>
  <si>
    <t>Saldo devedor para ox Investimentos da XP</t>
  </si>
  <si>
    <t>Complicance Fiscal: Abertura de CNPJ</t>
  </si>
  <si>
    <t>HomeOffice: Complicance Fiscal: SSD 480GB</t>
  </si>
  <si>
    <t>HomeOffice: Complicance Fiscal: Cadeira Gamer</t>
  </si>
  <si>
    <t>HomeOffice: Complicance Fiscal: 20m de cabos de rede</t>
  </si>
  <si>
    <t>HomeOffice: Complicance Fiscal:Mini Smart Switch 5 portas</t>
  </si>
  <si>
    <t>HomeOffice: Complicance Fiscal:Headset Gamer HyperX</t>
  </si>
  <si>
    <t>Complicance Fiscal: Encerramento de CNPJ</t>
  </si>
  <si>
    <t xml:space="preserve"> Julho / 2021</t>
  </si>
  <si>
    <t>PIX: do Itau</t>
  </si>
  <si>
    <t xml:space="preserve">Investimentos LCA XP </t>
  </si>
  <si>
    <t>Resgates Investimentos</t>
  </si>
  <si>
    <t xml:space="preserve">TED: para o itau </t>
  </si>
  <si>
    <t xml:space="preserve">Resgate do ivestimento </t>
  </si>
  <si>
    <t>PIX para o NuBank</t>
  </si>
  <si>
    <t>Dentes novos</t>
  </si>
  <si>
    <t>Pix do NuBank</t>
  </si>
  <si>
    <t>pix do MercadoPago</t>
  </si>
  <si>
    <t xml:space="preserve">BK da DPII </t>
  </si>
  <si>
    <t>Areia de Coco e Agradinhos</t>
  </si>
  <si>
    <t>PIX: O Rei dos Assados das MarMiTax</t>
  </si>
  <si>
    <t xml:space="preserve">Maçonaria: Três Pontos </t>
  </si>
  <si>
    <t>FGTS DXC 2022</t>
  </si>
  <si>
    <t>Para conta de investimentos XP</t>
  </si>
  <si>
    <t>Restage de in vestimentos</t>
  </si>
  <si>
    <t xml:space="preserve">Resgatte InvestBack Cash </t>
  </si>
  <si>
    <t>PIX: Para o MercadoPago CC</t>
  </si>
  <si>
    <t>PIX: do XP Inverst</t>
  </si>
  <si>
    <t xml:space="preserve">PIX: Para o Mercado Pago </t>
  </si>
  <si>
    <t>PIX: da XP</t>
  </si>
  <si>
    <t xml:space="preserve">Resgate investimento </t>
  </si>
  <si>
    <t xml:space="preserve">pix: PARA Mais uma revisão da echo </t>
  </si>
  <si>
    <t xml:space="preserve">Agua mineral na retrocom </t>
  </si>
  <si>
    <t xml:space="preserve">12 Buchas 1.0 e fita dupla face </t>
  </si>
  <si>
    <t xml:space="preserve">20 Bucas 0.8 </t>
  </si>
  <si>
    <t>Saldo Residual da XP</t>
  </si>
  <si>
    <t xml:space="preserve">resgate dos pontos de cartão </t>
  </si>
  <si>
    <t>pix: Do NuBank</t>
  </si>
  <si>
    <t xml:space="preserve">Conserto FULL do A/C </t>
  </si>
  <si>
    <t>Resgate fundo IKEA</t>
  </si>
  <si>
    <t>PIX: Para o itau</t>
  </si>
  <si>
    <t xml:space="preserve">Da cristiane para O AP </t>
  </si>
  <si>
    <t>o periodo</t>
  </si>
  <si>
    <t>PIX: do ITAU</t>
  </si>
  <si>
    <t>PIX: Alessadro Baessa</t>
  </si>
  <si>
    <t>Resgate de fundo de investimento</t>
  </si>
  <si>
    <t>Maçonaria: contribuição Mensal - março/2025</t>
  </si>
  <si>
    <t>PIX: MercadoLivre.com.br: Cabo Carregador Tipo C Para Lightning Essager Turbo 27w 1 M</t>
  </si>
  <si>
    <t>PIX: MercadoLivre.com.br: Cabo Carregador Tipo C Para Lightning Essager Turbo 27w 3 M</t>
  </si>
  <si>
    <t>o minuto pão de açucars</t>
  </si>
  <si>
    <t>Documentos de trasferencia</t>
  </si>
  <si>
    <t>Produtos de cabelo</t>
  </si>
  <si>
    <t xml:space="preserve">estacionamento no cartorio </t>
  </si>
  <si>
    <t>O Carrefour XPRESS</t>
  </si>
  <si>
    <t>A coop d a industril</t>
  </si>
  <si>
    <t>Fatura Claro celular - Março - 2025</t>
  </si>
  <si>
    <t>PIX: Hikari Odontologia - Canal e protese</t>
  </si>
  <si>
    <t>05 CAPs para Joysticks</t>
  </si>
  <si>
    <t xml:space="preserve">Game: WatchDogs </t>
  </si>
  <si>
    <t>Bateria CR 2032V Panasonic</t>
  </si>
  <si>
    <t>O Sulyia do centrpo</t>
  </si>
  <si>
    <t>A casa dos Orixas no centro</t>
  </si>
  <si>
    <t>PIX: Game: inFamous</t>
  </si>
  <si>
    <t>PIX: Game: WatchDogs</t>
  </si>
  <si>
    <t>O Tiquinho dos centros</t>
  </si>
  <si>
    <t xml:space="preserve">Estacionamento do centro </t>
  </si>
  <si>
    <t>PIX: Shopee.com.br: Chave Mini Torx T8 Com Furo Ps3 Ps4 Controle Xbox 360 One</t>
  </si>
  <si>
    <t>PIX: Frete: Shopee.com.br: Chave Mini Torx T8 Com Furo Ps3 Ps4 Controle Xbox 360 One</t>
  </si>
  <si>
    <t>Raggazzo</t>
  </si>
  <si>
    <t xml:space="preserve">PIX: estacionamento </t>
  </si>
  <si>
    <t>Ovo de pascoa de moranguinho</t>
  </si>
  <si>
    <t>café da Kopenhagems</t>
  </si>
  <si>
    <t xml:space="preserve">Itens de macumba </t>
  </si>
  <si>
    <t>BK sorvetes</t>
  </si>
  <si>
    <t>PIX: 'The burgues galleries</t>
  </si>
  <si>
    <t>o Munuto pão e açucar</t>
  </si>
  <si>
    <t>PIX: Para o Mergado Pago</t>
  </si>
  <si>
    <t>PIX: Game: Glaukera: Ghost of Tsushima</t>
  </si>
  <si>
    <t>Frete Ghost Tsushima</t>
  </si>
  <si>
    <t>Enel - Março / 2025</t>
  </si>
  <si>
    <t>PIZ dagua mineral</t>
  </si>
  <si>
    <t>rações</t>
  </si>
  <si>
    <t>O Johnny Rockets do laza</t>
  </si>
  <si>
    <t>Sorvetes de BKs no Plaza</t>
  </si>
  <si>
    <t>Toalhas de Kdmias</t>
  </si>
  <si>
    <t>PIX:Esopramed / Donperidon / Sinvastatina / Hdroclo / Losartana</t>
  </si>
  <si>
    <t>PIX: Frete da farmacia</t>
  </si>
  <si>
    <t>Podologa no campestre</t>
  </si>
  <si>
    <t>Cortar os cabelos no bunker do centro</t>
  </si>
  <si>
    <t>Potes para vaselinas diversos</t>
  </si>
  <si>
    <t>PIX: Conserto do GH3 PS3 (Sugui)</t>
  </si>
  <si>
    <t>Tiquinhos sorvetes do centro</t>
  </si>
  <si>
    <t>Gazzozza na pejozera GGM5</t>
  </si>
  <si>
    <t>Os Pasteis Barcelonas</t>
  </si>
  <si>
    <t>PIX: GAME: Pereria RetroGames: Body Count</t>
  </si>
  <si>
    <t>PIX: GAME: Pereria RetroGames: Rock Band</t>
  </si>
  <si>
    <t>PIX: GAME: Pereria RetroGames: Rock Band 2</t>
  </si>
  <si>
    <t>PIX: PereiraRetroGames : controle Wii</t>
  </si>
  <si>
    <t>PIX: creditos TOPs</t>
  </si>
  <si>
    <t>|Flores diversas</t>
  </si>
  <si>
    <t>A paccocca santa nica</t>
  </si>
  <si>
    <t xml:space="preserve">O mercadinho do predio </t>
  </si>
  <si>
    <t>Holly Water SCS</t>
  </si>
  <si>
    <t>Previdencia Privada DXC</t>
  </si>
  <si>
    <t>Nova ventura perto da SysMao</t>
  </si>
  <si>
    <t>Novo PowerBank</t>
  </si>
  <si>
    <t xml:space="preserve">No mercadinho do pedio </t>
  </si>
  <si>
    <t>PIX: Caixa Embalagem Mochila Invictus</t>
  </si>
  <si>
    <t xml:space="preserve">Almoço em SCS no correio </t>
  </si>
  <si>
    <t xml:space="preserve">Estacionamento no correio </t>
  </si>
  <si>
    <t xml:space="preserve">Pagto de ITBI ref. Contrado </t>
  </si>
  <si>
    <t>As Foggazzas</t>
  </si>
  <si>
    <t>PIX: MercadoLivre.com.br: Monitor Gamer Portátil Arzopa A1 15.6 Fhd 1080p Ips 60hz Hdmi/usb</t>
  </si>
  <si>
    <t xml:space="preserve">O carry4 </t>
  </si>
  <si>
    <t>PIX: Para o Silvestre, ref à Tx cartorios</t>
  </si>
  <si>
    <t>PIX: PayPal verification</t>
  </si>
  <si>
    <t>PIX: Software: Renovação do McAntiVirus</t>
  </si>
  <si>
    <t>O Empério ras Essencias</t>
  </si>
  <si>
    <t>PIX: Bateria para Notebook Dell XPS 14-L421x</t>
  </si>
  <si>
    <t xml:space="preserve">No mercadinnho do predio </t>
  </si>
  <si>
    <t>O Madero´s do Park Shopping SCS</t>
  </si>
  <si>
    <t xml:space="preserve">Roupas na Riachuello </t>
  </si>
  <si>
    <t xml:space="preserve">Cinto na Riachuello </t>
  </si>
  <si>
    <t>Estacionamento no Park Shoppping SCS</t>
  </si>
  <si>
    <t>Trabalho: O mineiro TOPS</t>
  </si>
  <si>
    <t>Trabalho: Café Cacau Show</t>
  </si>
  <si>
    <t>PIX: Amazon.com.br: Pen Drive Cruzer Blade, SanDisk, 32GB, SDCZ60-032G-B35</t>
  </si>
  <si>
    <t>PIX: Frete: Amazon.com.br: Pen Drive Cruzer Blade, SanDisk, 32GB, SDCZ60-032G-B35</t>
  </si>
  <si>
    <t>Ração e areia</t>
  </si>
  <si>
    <t>Resgate dos fundos restantes</t>
  </si>
  <si>
    <t>Junho/ 2025</t>
  </si>
  <si>
    <t xml:space="preserve">Ref. Inestback cartão </t>
  </si>
  <si>
    <t>Pix: Game: O rei dos COIs</t>
  </si>
  <si>
    <t>Resgate dos investimentos</t>
  </si>
  <si>
    <t>PIX: PARA O itau</t>
  </si>
  <si>
    <t>Novembro/ 2025</t>
  </si>
  <si>
    <t>Dezembro/ 2025</t>
  </si>
  <si>
    <t>Cashback da XP</t>
  </si>
  <si>
    <t>PIX: Paara o NuBank</t>
  </si>
  <si>
    <t>PIX: para a CEF</t>
  </si>
  <si>
    <t>Saldo para ajuste</t>
  </si>
  <si>
    <t xml:space="preserve">O Mercadinho do predio </t>
  </si>
  <si>
    <t>HomeOffice: Amazon.com.br: Headset Gamer HyperX Cloud Stinger Core PS4/Xbox One/Nintendo Switc</t>
  </si>
  <si>
    <t>Amazon.com.br: Switch Gigabit De Mesa Com 5 Portas 10/100/1000 Ls105G Smb</t>
  </si>
  <si>
    <t>Software: MobileApp: Ios: Temple RUN</t>
  </si>
  <si>
    <t>ifood: Radiola Pizzeria</t>
  </si>
  <si>
    <t xml:space="preserve"> Maio / 2021</t>
  </si>
  <si>
    <t>Ataque dos Titãs Nº 33 - PreVenda Direta</t>
  </si>
  <si>
    <t>iFood:Radiolla</t>
  </si>
  <si>
    <t>EstanteVirtual: Clipper 5.2 Ramalho</t>
  </si>
  <si>
    <t>EstanteVirtual: Clipper 5.2 Rick Spence</t>
  </si>
  <si>
    <t>EstanteVirtual: Dominando o Clip 5.2 Ed Tiley</t>
  </si>
  <si>
    <t>iFood: KFC</t>
  </si>
  <si>
    <t>Assinatura 1 ano office 365</t>
  </si>
  <si>
    <t>MercadoLivre.com.br: Boné Raiders New Era camuflado</t>
  </si>
  <si>
    <t>MercadoLivre.com.br: Bebedouro de aguas</t>
  </si>
  <si>
    <t>iFood: Radiolla</t>
  </si>
  <si>
    <t>iFood: The Burgues Ballery</t>
  </si>
  <si>
    <t>Mercadolivre.com.br: HomeOffice: Mouse Logitech M575</t>
  </si>
  <si>
    <t>Mercadolivre.com.br: Mouse Vertical Sem Fio Recarregável Power Fit 1600dpi Vinik</t>
  </si>
  <si>
    <t>Aliexpress.com: Pulseira camuflada + ferramentas</t>
  </si>
  <si>
    <t xml:space="preserve"> Junho / 2021</t>
  </si>
  <si>
    <t>iFood Premium</t>
  </si>
  <si>
    <t>iFood: Radiola</t>
  </si>
  <si>
    <t xml:space="preserve">Uber pra ir pra opficina pegar a Echo </t>
  </si>
  <si>
    <t>Uber pra ir pro Psquiatra</t>
  </si>
  <si>
    <t>Uber pra Voltar do Psquiatra</t>
  </si>
  <si>
    <t>Pulseira Nato Nylon Militst Snow Alixpress</t>
  </si>
  <si>
    <t>Amazon.com.br: Iron Maiden: Senjutsu</t>
  </si>
  <si>
    <t>Uber pra ir a TecnoLoabs</t>
  </si>
  <si>
    <t>Catarse: Crowley Babalon 666</t>
  </si>
  <si>
    <t xml:space="preserve">protetor colchao OrtoBom </t>
  </si>
  <si>
    <t>Ataque dos Titãs Nº 34 - PreVenda Direta</t>
  </si>
  <si>
    <t xml:space="preserve">Creditos Zona Azul Estapar cidade São Paulo </t>
  </si>
  <si>
    <t>Amazon.com:  Retro Crowley Thoth Tarot Deck, 80-card deck including 3 Magus/Magician Cards, SmalL</t>
  </si>
  <si>
    <t>$ 52,52 USD</t>
  </si>
  <si>
    <t xml:space="preserve">Uber pra voltar da ver isao </t>
  </si>
  <si>
    <t>Uber pra ir pegar o Pegô</t>
  </si>
  <si>
    <t>IOF compra internacional: Amazon Retro Crowley</t>
  </si>
  <si>
    <t>Amazon.com.br: Rubiks Cubes + Mini Genius</t>
  </si>
  <si>
    <t>BlueFit de SCS - Anuidade</t>
  </si>
  <si>
    <t xml:space="preserve">Estacionamento fácil São Caetano </t>
  </si>
  <si>
    <t>Calcinha Tailandesa para a cristiane</t>
  </si>
  <si>
    <t>Maçonaria: Muro Com Símbolo Maçônico Parede Maconaria 2x</t>
  </si>
  <si>
    <t xml:space="preserve">Carregador e cabo de celular </t>
  </si>
  <si>
    <t xml:space="preserve">Creditos Zona Azul SP </t>
  </si>
  <si>
    <t>Para IR para o cardiologista</t>
  </si>
  <si>
    <t>Para VOLTAR do cardiologista</t>
  </si>
  <si>
    <t>Amazon.com.br: The Wild Unknown Pocket in a Thin</t>
  </si>
  <si>
    <t>Cabo SATA III para o KoDI XBMC</t>
  </si>
  <si>
    <t xml:space="preserve">estaciona facil são caetano </t>
  </si>
  <si>
    <t>Uber pra IR pra madalena</t>
  </si>
  <si>
    <t>Uber pra VOLTAR da Madalena</t>
  </si>
  <si>
    <t>O Mago - Francis Barret - Madras - Mercado Livre</t>
  </si>
  <si>
    <t xml:space="preserve">Catarese.Me: HKT ULTIMATE EDITION </t>
  </si>
  <si>
    <t xml:space="preserve">Go Coffee Santo André </t>
  </si>
  <si>
    <t xml:space="preserve">Vinho do mercadinho do predio </t>
  </si>
  <si>
    <t>Amazon.com.br: como lidar com pessoas dificeis</t>
  </si>
  <si>
    <t>Amazon.com.br: Cabo Adaptador P3 Fêmea para P2 Macho (Fone) e P2 Macho (Microfone)</t>
  </si>
  <si>
    <t>Amazon.com.br: Suporte de Mesa para Celular Ajustável Articulado Tablet Smartphone (Branco)</t>
  </si>
  <si>
    <t>Amazon.com.br: HyperX HXS-HSCC1, Case para Headset Spare Cloud, Preta</t>
  </si>
  <si>
    <t>Amazon.com.br: Suporte Frame GoPro 05</t>
  </si>
  <si>
    <t>Amazon.com.br: Frete do case da GoPro</t>
  </si>
  <si>
    <t>Top Gun Maverique</t>
  </si>
  <si>
    <t>Amazon.com.br: Carregamento rápido magnético sem fio 2020 compatível com iPhone  (com adaptador USB-C 20W)</t>
  </si>
  <si>
    <t>Amazon.com.br: Lidando Com Pessoas Difíceis - Mike Annesley</t>
  </si>
  <si>
    <t>Amazon.com.br: Cabo Type-C Para Lightning Baseus, CATLGD-01, High Density Braided PD 20W 1m Preto</t>
  </si>
  <si>
    <t>Amazon.com.br: Fretes</t>
  </si>
  <si>
    <t>Amazon.com.br: Rose Tarot Cartas Nigel Jackson</t>
  </si>
  <si>
    <t>MercadoLivre.com.br: Grill para cozinhas</t>
  </si>
  <si>
    <t>Amazon.com.br: Hush Tarot Oracle</t>
  </si>
  <si>
    <t>Amazon.com.br: Como lidar com pessoas dificeis</t>
  </si>
  <si>
    <t>Amazon.con.br: História do tarô: Um estudo completo sobre suas origens, iconografia e simbolismo</t>
  </si>
  <si>
    <t>Trabalho: Café da Manha</t>
  </si>
  <si>
    <t>Amazon.com.br: Mouse Logitech M280</t>
  </si>
  <si>
    <t>Amazon.com.br: Migrating To Microservice Databases</t>
  </si>
  <si>
    <t>Amazon.com.br: The Chicken Qabalah of Rabbi Lamed Ben Clifford: Dilettante's Guide to What You Do and Do Not Know to Become a Qabalist</t>
  </si>
  <si>
    <t>Amazon.com.br: Vivendo Thelema: Um Guia Prático para a Consecução no Sistema de Magick de Aleister Crowley</t>
  </si>
  <si>
    <t>Game: Devil May Cry 4 Special Edition (Jogo para download)</t>
  </si>
  <si>
    <t>Game: DmC Devil May Cry: Definitive Edition (Jogo)</t>
  </si>
  <si>
    <t>PS4: IOF</t>
  </si>
  <si>
    <t>Game: METAL GEAR SOLID V: THE DEFINITIVE EXPERIENCE</t>
  </si>
  <si>
    <t>MercadoLivre.com.br: Coleira Peitoral Cães Pequenos Filhotes Pinscher Shin Tzu</t>
  </si>
  <si>
    <t>Game: MercadoLivre.com.br: The Last Of US II</t>
  </si>
  <si>
    <t>Game:Alex Kidd in Miracle World DX</t>
  </si>
  <si>
    <t>Game: Anthem™ Edição Standard</t>
  </si>
  <si>
    <t>Game:DOOM Eternal Standard Edition</t>
  </si>
  <si>
    <t>Game:DOOM</t>
  </si>
  <si>
    <t>MercadoLivre.com.br: Capa Case Translucida Magsafe Para iPhone 13 / 13 Pro Max</t>
  </si>
  <si>
    <t>Estrela.com.br: Condor 2023 Reissued</t>
  </si>
  <si>
    <t>Assinatura Anual PSN+</t>
  </si>
  <si>
    <t>IOF PSN+</t>
  </si>
  <si>
    <t xml:space="preserve">Game: Mirror´s Edge Catalyst </t>
  </si>
  <si>
    <t xml:space="preserve">IOF: Mirror´s Edge Catalyst </t>
  </si>
  <si>
    <t>Amazon.com.br: Game: Dante's Inferno Divine Edition - PS3 - Seminovo</t>
  </si>
  <si>
    <t>Game: Resident Evil 4 2005 Remake for PS4</t>
  </si>
  <si>
    <t>IOF: 'Resident Evil 4 2005 Remake for PS4</t>
  </si>
  <si>
    <t>Game: The Evil Within 2</t>
  </si>
  <si>
    <t>IOF: The Evil Within 2</t>
  </si>
  <si>
    <t>Game: The Evil Within (Jogo Completo)</t>
  </si>
  <si>
    <t xml:space="preserve">Game: Succubus With Guns </t>
  </si>
  <si>
    <t>Game: Blood Waves</t>
  </si>
  <si>
    <t>IOF dos games</t>
  </si>
  <si>
    <t xml:space="preserve">MercadoLivre.Com.Br: HDD 500G GB Wd5000lpcx Blue </t>
  </si>
  <si>
    <t>Rappi: Farmácia e colirios</t>
  </si>
  <si>
    <t>Churrascos  do Blindado é o Nome</t>
  </si>
  <si>
    <t>O Porto Fino do Shopping Plaza</t>
  </si>
  <si>
    <t>Sorvetes do Shopping Plaza</t>
  </si>
  <si>
    <t>Estacionamento no Shopping Mapping</t>
  </si>
  <si>
    <t>Game: Agony PS4</t>
  </si>
  <si>
    <t>IOF Game: Agony PS4</t>
  </si>
  <si>
    <t>$ 27,00 usd</t>
  </si>
  <si>
    <t xml:space="preserve">Game: StomeGame: Heavy Rain </t>
  </si>
  <si>
    <t>MercadoLIvre.com.br: 10 Estojo Capa Caixa Box Dvd Preto Amaray Filme</t>
  </si>
  <si>
    <t>The America´s SCS</t>
  </si>
  <si>
    <t>Sê</t>
  </si>
  <si>
    <t>Game: MercadoLibre.com.br: Lollipop Chainsaw</t>
  </si>
  <si>
    <t>Game: MercadoLibre.com.br: Folklore</t>
  </si>
  <si>
    <t>Fretes dos Games</t>
  </si>
  <si>
    <t>MercadoLivre.com.br: para a cristiane dos dia do namorados atrasados</t>
  </si>
  <si>
    <t xml:space="preserve">Game: MercadoLibre.com.br: Viking Battle For Asgard </t>
  </si>
  <si>
    <t>Frete dos Games</t>
  </si>
  <si>
    <t>Papeis Sulfities para imprimir</t>
  </si>
  <si>
    <t>chocolates da Tardes</t>
  </si>
  <si>
    <t>Grazzie Nappolii</t>
  </si>
  <si>
    <t>MercadoLivre.com.br Adaptadores</t>
  </si>
  <si>
    <t>Adaptador De Memori Stick Para Psp / Cartão Sd No Psp</t>
  </si>
  <si>
    <t>Adaptador Sd2vita Usar Cartão Sd No Vita, Cartão Sd No Vita</t>
  </si>
  <si>
    <t>MercadoLivre.com.br Memories Cards</t>
  </si>
  <si>
    <t>Cartão de memória SanDisk SDSQUNB-064G-GN3MA Ultra 64GB</t>
  </si>
  <si>
    <t>Cartão Memória Micro Sd Sandisk 128gb Classe 10 Ultra</t>
  </si>
  <si>
    <t>MercadoLivre.com.br: Cartão De Memória Lexar Lsdmi128 633x Com Adaptador Sd 128gb</t>
  </si>
  <si>
    <t>Trabalho: Italianinho Risto</t>
  </si>
  <si>
    <t>Porto fino do Plaza</t>
  </si>
  <si>
    <t>Shababs no centro</t>
  </si>
  <si>
    <t>Livro do Neil Gaiman</t>
  </si>
  <si>
    <t>Ração, areia e Saches</t>
  </si>
  <si>
    <t>Paddoca santa monicas</t>
  </si>
  <si>
    <t>o OxxO</t>
  </si>
  <si>
    <t>Trabalho: O Italianinho´s</t>
  </si>
  <si>
    <t>Churrasco blindado é o nome</t>
  </si>
  <si>
    <t>Pezzeria Verediana</t>
  </si>
  <si>
    <t>gazzozza no Pejô GGM5</t>
  </si>
  <si>
    <t>Games: MercadoLivre.com.br: Bayonetta</t>
  </si>
  <si>
    <t>Frete: Games: MercadoLivre.com.br: Bayonetta</t>
  </si>
  <si>
    <t>Sí Señor do shoppinc SBCS</t>
  </si>
  <si>
    <t xml:space="preserve">tapadores de ralods </t>
  </si>
  <si>
    <t>estacionamento no shopping</t>
  </si>
  <si>
    <t>Ração ND, Shoru e Saches</t>
  </si>
  <si>
    <t>Trabalho: Service BOY</t>
  </si>
  <si>
    <t>Gazoza no pejo GGM 5</t>
  </si>
  <si>
    <t>Ovos da estradas</t>
  </si>
  <si>
    <t xml:space="preserve">LexaPro 10Mg (01/02) </t>
  </si>
  <si>
    <t>MercadoLivre.com.br: Cabo Reforçado Turbo 3m Micro-usb V8 Celular Ps4 Xbox Dados</t>
  </si>
  <si>
    <t>Frete: MercadoLivre.com.br: Cabo Reforçado Turbo 3m Micro-usb V8 Celular Ps4 Xbox Dados</t>
  </si>
  <si>
    <t>Lanche no Paço Municipal</t>
  </si>
  <si>
    <t xml:space="preserve">Bebidas no paço municipal </t>
  </si>
  <si>
    <t xml:space="preserve">churros no paço municipal </t>
  </si>
  <si>
    <t>MercadoLivre.com.br: Pulseira Bumper P/ Apple Watch 4 A Ultra 444549mm Película</t>
  </si>
  <si>
    <t>NO Hospital Brasil</t>
  </si>
  <si>
    <t>Grama de Gatos</t>
  </si>
  <si>
    <t xml:space="preserve">Estacionamento no clinicas </t>
  </si>
  <si>
    <t>Paes e coisas da VR´s Padoca´s</t>
  </si>
  <si>
    <t>Remedios para Refluxo + gripes + azias</t>
  </si>
  <si>
    <t>MercadoLivre.com.br: Adaptador Cartão Psp Micro Sd Camera E Psp</t>
  </si>
  <si>
    <t>Frete: MercadoLivre.com.br: Adaptador Cartão Psp Micro Sd Camera E Psp</t>
  </si>
  <si>
    <t>oXXo</t>
  </si>
  <si>
    <t>o PRIUMUS BARs</t>
  </si>
  <si>
    <t>o Sonda</t>
  </si>
  <si>
    <t>Maçonaria: Pedra Bruta (1)</t>
  </si>
  <si>
    <t>Maçonaria: Pedra Bruta (2)</t>
  </si>
  <si>
    <t>Imãs de gelareidas da liberdades</t>
  </si>
  <si>
    <t>Game: GoW Chains of Olimpus</t>
  </si>
  <si>
    <t>the B Burgues</t>
  </si>
  <si>
    <t xml:space="preserve">Cola de tecidos, Fecho de Bolsas, corda Cizal </t>
  </si>
  <si>
    <t xml:space="preserve">Agia mineral no centro </t>
  </si>
  <si>
    <t xml:space="preserve">Game: SOCOM 4 </t>
  </si>
  <si>
    <t>Cse proteção controle</t>
  </si>
  <si>
    <t xml:space="preserve">The Goo Coffe centro </t>
  </si>
  <si>
    <t>Areia de coco, saches</t>
  </si>
  <si>
    <t>Gazoza no pejo ggm5</t>
  </si>
  <si>
    <t>O Madero´s ParkShopping SC</t>
  </si>
  <si>
    <t>Café do ParkShopping SC</t>
  </si>
  <si>
    <t>Losartana, Hidrocloritisida e Sinvastatina</t>
  </si>
  <si>
    <t xml:space="preserve">Hospital brasil </t>
  </si>
  <si>
    <t>Pastelaria Barcelona II</t>
  </si>
  <si>
    <t>The OutBacks do Mapping</t>
  </si>
  <si>
    <t>Meias Maçonicas para o Furlan</t>
  </si>
  <si>
    <t>Hering do Mapping (01/06)</t>
  </si>
  <si>
    <t>LexaPro 10Mg (02/02)</t>
  </si>
  <si>
    <t xml:space="preserve">Assinatura de App de videos </t>
  </si>
  <si>
    <t>Henring do Mapping (02/06)</t>
  </si>
  <si>
    <t>Sinvastatina 20MG, 2x Losartana 50Mg, Busionid 32Mg, pastas de dentes</t>
  </si>
  <si>
    <t>A preçolancia coisas compradas pela Cristiane</t>
  </si>
  <si>
    <t>iFoood: Super Piziza pan</t>
  </si>
  <si>
    <t>AssaI Atacadista</t>
  </si>
  <si>
    <t>LexaPro 10Mg, EsoMeprasol Esiol, vitaminas (01/03)</t>
  </si>
  <si>
    <t>Vitaminas C++</t>
  </si>
  <si>
    <t>Plasticos diversos no Lojão da familia</t>
  </si>
  <si>
    <t>iFood: Gallery Burgues</t>
  </si>
  <si>
    <t>O Sonda´s da Rua Goyas</t>
  </si>
  <si>
    <t>O CarryFour da Rua Alegre´s</t>
  </si>
  <si>
    <t>Yamasterol com BaBoSas´s</t>
  </si>
  <si>
    <t>Grazzie Pizzeria AVPN</t>
  </si>
  <si>
    <t>Sapatos no centro</t>
  </si>
  <si>
    <t>Café no centro da sodiê</t>
  </si>
  <si>
    <t xml:space="preserve">Game: Heavy Rain + Beyond 2 soulls </t>
  </si>
  <si>
    <t>Game: The Last Guardian</t>
  </si>
  <si>
    <t>Coedão PCD TEA</t>
  </si>
  <si>
    <t>Game: Wolfenstein II</t>
  </si>
  <si>
    <t>The B BurguÊs</t>
  </si>
  <si>
    <t>Cortat os cabelos</t>
  </si>
  <si>
    <t xml:space="preserve">Luftal generico </t>
  </si>
  <si>
    <t xml:space="preserve">o mercadinho do predio </t>
  </si>
  <si>
    <t>Loja de jardinajem de SBC</t>
  </si>
  <si>
    <t xml:space="preserve">o Assai atacadistas </t>
  </si>
  <si>
    <t>okinawa HortFruty</t>
  </si>
  <si>
    <t>Caixa Box de 56ltros para banheiros</t>
  </si>
  <si>
    <t>Sodiê Praça ca moça</t>
  </si>
  <si>
    <t xml:space="preserve">Banri na liberdade </t>
  </si>
  <si>
    <t>Cafés na Sofiê</t>
  </si>
  <si>
    <t>Gazzozza no pjo GGM5</t>
  </si>
  <si>
    <t>O Carry4 Xpress</t>
  </si>
  <si>
    <t>Busonid e curativos</t>
  </si>
  <si>
    <t>iFood: The Burges Galleries</t>
  </si>
  <si>
    <t>Henring do Mapping (03/06)</t>
  </si>
  <si>
    <t>LexaPro 10Mg, EsoMeprasol Esiol, vitaminas (02/03)</t>
  </si>
  <si>
    <t>O Racncho 53</t>
  </si>
  <si>
    <t>Ovos de avare</t>
  </si>
  <si>
    <t>O Nicolau MAX</t>
  </si>
  <si>
    <t xml:space="preserve">Ração de gatos em Piraju </t>
  </si>
  <si>
    <t xml:space="preserve">o arabe em Piraju </t>
  </si>
  <si>
    <t xml:space="preserve">O Tiquinhos em piraju </t>
  </si>
  <si>
    <t xml:space="preserve">Coisas diversas para a cristiane </t>
  </si>
  <si>
    <t>Tomadas diversas em piraju</t>
  </si>
  <si>
    <t>Carvoes na Mob DAYS GAVIÕES</t>
  </si>
  <si>
    <t>Nicolau M.A.X. piraju</t>
  </si>
  <si>
    <t>A torre de pizza de piraju</t>
  </si>
  <si>
    <t>iFood : The Burgues Galleries</t>
  </si>
  <si>
    <t>iFood: HÁ-BUBES</t>
  </si>
  <si>
    <t>iFood: Pizzaria Olimpica</t>
  </si>
  <si>
    <t>Symbicort 12/400 ; Busonid 32mg</t>
  </si>
  <si>
    <t>iFood: Pizzeria Olimpias</t>
  </si>
  <si>
    <t>Henring do Mapping (04/06)</t>
  </si>
  <si>
    <t>IfOOD: pIEZZERIA OLIPICA</t>
  </si>
  <si>
    <t>Maçoaria: Pedra Bruta</t>
  </si>
  <si>
    <t>Henrinq do Mapping (05/06)</t>
  </si>
  <si>
    <t xml:space="preserve">Trabalho: Praça divino </t>
  </si>
  <si>
    <t>Simeticona, FeXoFeNediNa, BusoNid</t>
  </si>
  <si>
    <t>iFood: Dom patron i</t>
  </si>
  <si>
    <t xml:space="preserve">MobileApp: IOS: </t>
  </si>
  <si>
    <t xml:space="preserve">Esio40mg </t>
  </si>
  <si>
    <t>iFood: Pizza olimpica</t>
  </si>
  <si>
    <t>Farmácias Diversas</t>
  </si>
  <si>
    <t>Conserto do OS Move Navigation</t>
  </si>
  <si>
    <t xml:space="preserve">Go coffeee do centro </t>
  </si>
  <si>
    <t>IfOOD Habibes</t>
  </si>
  <si>
    <t>Busonid, Lçosartana, HidroCloritiaziada, Sinvastatina , xarope e cataflans</t>
  </si>
  <si>
    <t>iFood: Senhorita Burges</t>
  </si>
  <si>
    <t>Henring do Mapping (06/06)</t>
  </si>
  <si>
    <t>Jardin de nappollie</t>
  </si>
  <si>
    <t>Ifood: Habibes</t>
  </si>
  <si>
    <t>Trabalho: Terrassu´s</t>
  </si>
  <si>
    <t>Shopee.com.br: Switch Hdmi 5x1 3d Full Hd C/ Controle Remoto</t>
  </si>
  <si>
    <t>Shopee.com.br: 5x Cabo Hdmi 4k Fullhd 1080p 1Metros para Ps3 , Tv, Dvd,tvbox</t>
  </si>
  <si>
    <t>Trabalho: café</t>
  </si>
  <si>
    <t xml:space="preserve">coquinha no mercadinho do predio </t>
  </si>
  <si>
    <t xml:space="preserve">Trabalho: Ao Mosso </t>
  </si>
  <si>
    <t>iFood: Senhorinha</t>
  </si>
  <si>
    <t>Game: Stellar Blade PS5</t>
  </si>
  <si>
    <t>Pao de Acucar do shopping</t>
  </si>
  <si>
    <t>Ifood: Olinpica piezzeria</t>
  </si>
  <si>
    <t>Lexapro 10Mg , DonPeridona</t>
  </si>
  <si>
    <t>IFOOD: The Burges Galleries</t>
  </si>
  <si>
    <t>Trabalho:</t>
  </si>
  <si>
    <t>Café na estrada</t>
  </si>
  <si>
    <t>Kenko Suhins pirajus</t>
  </si>
  <si>
    <t xml:space="preserve">bebida no Konteiner em Pirajus </t>
  </si>
  <si>
    <t xml:space="preserve">A torre de Pizza em piraju </t>
  </si>
  <si>
    <t xml:space="preserve">Gazzozza no Pejô em piraju </t>
  </si>
  <si>
    <t>O Casteinha das Pamonhas</t>
  </si>
  <si>
    <t>ifood:Brutu´s</t>
  </si>
  <si>
    <t>Trabalho: Café de Manha</t>
  </si>
  <si>
    <t xml:space="preserve">Loratamed 10mg </t>
  </si>
  <si>
    <t>Frete dos medicamentos</t>
  </si>
  <si>
    <t>Tilenol Sinus + Algodôes</t>
  </si>
  <si>
    <t>Habibies</t>
  </si>
  <si>
    <t>ifood : didios</t>
  </si>
  <si>
    <t xml:space="preserve">no mercado dopredio </t>
  </si>
  <si>
    <t>Ração e Saches</t>
  </si>
  <si>
    <t>ifood: Senhorinha buyrgues</t>
  </si>
  <si>
    <t>Esio 40MG</t>
  </si>
  <si>
    <t xml:space="preserve">entrega esio </t>
  </si>
  <si>
    <t>iFood: brutus</t>
  </si>
  <si>
    <t>Lojão da familina no centro de Sto. André</t>
  </si>
  <si>
    <t xml:space="preserve">A coop industrial </t>
  </si>
  <si>
    <t>iFood: olimpica</t>
  </si>
  <si>
    <t>ifood: The burgues galeries</t>
  </si>
  <si>
    <t xml:space="preserve">Nomercadinho do predio </t>
  </si>
  <si>
    <t>Laxantes diversos</t>
  </si>
  <si>
    <t>iFood: Brabus Burgues</t>
  </si>
  <si>
    <t>Pão de Açucar xPress perto do P.R.I.M.U.S</t>
  </si>
  <si>
    <t>Sinvastatina e seringas</t>
  </si>
  <si>
    <t>Espetinhos do Ebano</t>
  </si>
  <si>
    <t>Gazoza no Pejozera</t>
  </si>
  <si>
    <t xml:space="preserve">iFood: Pizzaria Artico </t>
  </si>
  <si>
    <t>iFood: Brutus Burgues</t>
  </si>
  <si>
    <t>Café mno centro</t>
  </si>
  <si>
    <t>Tenis All Star</t>
  </si>
  <si>
    <t xml:space="preserve">O carry Foru do centro </t>
  </si>
  <si>
    <t>Ração, areias e pá de areias</t>
  </si>
  <si>
    <t>Perfume Boticário 214 gardenia</t>
  </si>
  <si>
    <t>Game: MercadoLIbre.com.br: Resident Evil 4 2023 Ps5 Br Midia Fisica</t>
  </si>
  <si>
    <t>Esomeprasol e HidroCloritiazida</t>
  </si>
  <si>
    <t>Maçonaria: Pedr Bruta</t>
  </si>
  <si>
    <t xml:space="preserve">Foggazzas </t>
  </si>
  <si>
    <t>Losartana, HidroCoritiazida</t>
  </si>
  <si>
    <t>Ifood: burguies galleries</t>
  </si>
  <si>
    <t>Game: MercadoLIbre.com.br:  Control Ultimate Edition Ps4 Midia Fisica</t>
  </si>
  <si>
    <t>iFood: Oarmefiana</t>
  </si>
  <si>
    <t>iFood: Brutos Burgues</t>
  </si>
  <si>
    <t>O minuto do O pão de açucar</t>
  </si>
  <si>
    <t>Cortar os Cabelos</t>
  </si>
  <si>
    <t>AliExpress.com.br: QRD Spark-N5 Controlador sem fio para PS4, PS4, PS3, PS2, IOS, Android, PC, Efeito Hall, Luzes LED de 9 cores, Efeito de vibração, Gamepad</t>
  </si>
  <si>
    <t>Gazzozza no Pejo GFGM5</t>
  </si>
  <si>
    <t xml:space="preserve">O Ebano da DPII </t>
  </si>
  <si>
    <t>Pastelariada barcelonas</t>
  </si>
  <si>
    <t>O OutBacks</t>
  </si>
  <si>
    <t>Maçonaria: Leques</t>
  </si>
  <si>
    <t>Sinvastatina 20mg</t>
  </si>
  <si>
    <t xml:space="preserve">ifood: Pizzaria artica </t>
  </si>
  <si>
    <t>Passagens</t>
  </si>
  <si>
    <t>ifood: Pizzaria Olimpica</t>
  </si>
  <si>
    <t>ifood: The Burgues Galleries</t>
  </si>
  <si>
    <t>iFood: Senhoria Burgues</t>
  </si>
  <si>
    <t>DomPeridona 10mg 2x 60 comp</t>
  </si>
  <si>
    <t xml:space="preserve">Busonida 32 mg </t>
  </si>
  <si>
    <t>Esomeprazol 40mg 28 comp</t>
  </si>
  <si>
    <t xml:space="preserve">diclofenaco sodio </t>
  </si>
  <si>
    <t>Frete entrega</t>
  </si>
  <si>
    <t>iFood: Burgues Galleries</t>
  </si>
  <si>
    <t>iFood: TBB GESTAO DE RESTAUR</t>
  </si>
  <si>
    <t>iFood: The Brutus Buirgus</t>
  </si>
  <si>
    <t xml:space="preserve">ortar os cabelos </t>
  </si>
  <si>
    <t>Sinvastatina e azias</t>
  </si>
  <si>
    <t xml:space="preserve">No mercadinho dopredio </t>
  </si>
  <si>
    <t>iFood: The Bruges Galleries</t>
  </si>
  <si>
    <t>A Holandeza</t>
  </si>
  <si>
    <t>Kit de ferramentas de precição em piraju</t>
  </si>
  <si>
    <t>No nicolau MAX</t>
  </si>
  <si>
    <t>2x Yamasterols</t>
  </si>
  <si>
    <t>2x Machadinhas</t>
  </si>
  <si>
    <t xml:space="preserve">Desmaquilante e Rimel </t>
  </si>
  <si>
    <t xml:space="preserve">fonte para a camera da MIG </t>
  </si>
  <si>
    <t>A coop de São caetano</t>
  </si>
  <si>
    <t>ifood: Brutus brabus</t>
  </si>
  <si>
    <t>Boutiquei do Xurraisxco</t>
  </si>
  <si>
    <t>2x DeadPool  Wolverine no SCS XD 3D LEG</t>
  </si>
  <si>
    <t>MercadoLivre.com.br:  Pilha Aa Elgin Recarregável 82175 Cilíndrica Kit De 4 Unidades 2700 Mah</t>
  </si>
  <si>
    <t>Novo MultiTest Brasfort</t>
  </si>
  <si>
    <t>Ar c ondicionado do Pejôzera GGM5</t>
  </si>
  <si>
    <t>No Carry4xPress</t>
  </si>
  <si>
    <t>No Shopping SCS</t>
  </si>
  <si>
    <t>Alcool IsoPropilico, pasta de limpeza e esponjas</t>
  </si>
  <si>
    <t>Sinvastatina 20mg, Tylesol Sunus,Adoçantes</t>
  </si>
  <si>
    <t>Materiais de limpeza diversos</t>
  </si>
  <si>
    <t xml:space="preserve">UBER pra ir pegar o Pejo </t>
  </si>
  <si>
    <t>Gazzozza na echoSport</t>
  </si>
  <si>
    <t xml:space="preserve">Uber pra ir pra retrocom </t>
  </si>
  <si>
    <t xml:space="preserve">Produtos de cabelo </t>
  </si>
  <si>
    <t>Game: Sekiro Shadows Die Twice</t>
  </si>
  <si>
    <t>cóquinha na retroCon</t>
  </si>
  <si>
    <t>Uber pra voltar da retrocom</t>
  </si>
  <si>
    <t>iFood: Doin Patroni</t>
  </si>
  <si>
    <t xml:space="preserve">Raççoes diversas </t>
  </si>
  <si>
    <t>Busonid + EsoMeprazol 40mg</t>
  </si>
  <si>
    <t xml:space="preserve">iFood: Super Pizza PAN </t>
  </si>
  <si>
    <t>Game: The Witcher III Compelte</t>
  </si>
  <si>
    <t xml:space="preserve">Game: A Ascensão do Ronin </t>
  </si>
  <si>
    <t>Game: Gran Turismo 4 collectos</t>
  </si>
  <si>
    <t xml:space="preserve">Lanche na Gamescom </t>
  </si>
  <si>
    <t xml:space="preserve">Cremes diversos </t>
  </si>
  <si>
    <t>Cestas Organizadoras</t>
  </si>
  <si>
    <t>Mais cestas Organizadoras</t>
  </si>
  <si>
    <t>Algoddõoes diversos</t>
  </si>
  <si>
    <t>UBER</t>
  </si>
  <si>
    <t xml:space="preserve">Ferramenas na Sayso </t>
  </si>
  <si>
    <t>O Pao de Açucar do Plaza</t>
  </si>
  <si>
    <t>Maçonaria: TrÊs Ponto</t>
  </si>
  <si>
    <t xml:space="preserve">Maçonaria: Pedra Bruta </t>
  </si>
  <si>
    <t>ifood: Olimpica</t>
  </si>
  <si>
    <t>Go Coffeee do centro</t>
  </si>
  <si>
    <t xml:space="preserve">Dayso Brasil </t>
  </si>
  <si>
    <t>Lojas MELL</t>
  </si>
  <si>
    <t>ifood: olimpica</t>
  </si>
  <si>
    <t>Produtos de limpeza diversos</t>
  </si>
  <si>
    <t>Caixinhas de som pra computador</t>
  </si>
  <si>
    <t>The Burges Galleries</t>
  </si>
  <si>
    <t>Gosto de Vinho de Santo André</t>
  </si>
  <si>
    <t>AliExpress.com.br: Orico disco rígido caddy 2.5 a 3.5 suporte sata 3.0 a usb 3.0 6gbps suport</t>
  </si>
  <si>
    <t>Imposto : Orico disco rígido caddy 2.5 a 3.5 suporte sata 3.0 a usb 3.0 6gbps suport</t>
  </si>
  <si>
    <t>frete :Orico disco rígido caddy 2.5 a 3.5 suporte sata 3.0 a usb 3.0 6gbps suport</t>
  </si>
  <si>
    <t>Churrasco Blindado é o nome</t>
  </si>
  <si>
    <t xml:space="preserve">Drogasil, sabonete e esparadrapo </t>
  </si>
  <si>
    <t>ifood: Brutus</t>
  </si>
  <si>
    <t>Foggazza´s</t>
  </si>
  <si>
    <t>ifood: Artico pizzas</t>
  </si>
  <si>
    <t>UBER pra pejo</t>
  </si>
  <si>
    <t>O Açouque da Marina</t>
  </si>
  <si>
    <t>o HortiFruti</t>
  </si>
  <si>
    <t xml:space="preserve">o Oxxo </t>
  </si>
  <si>
    <t xml:space="preserve">Gazzozza no pejo </t>
  </si>
  <si>
    <t>No satnander</t>
  </si>
  <si>
    <t>Estacionamento no Restaurante</t>
  </si>
  <si>
    <t>Gazzozza na Echo</t>
  </si>
  <si>
    <t>Carry4</t>
  </si>
  <si>
    <t>O Ppao de açucar</t>
  </si>
  <si>
    <t>Gazzozza no Pejo</t>
  </si>
  <si>
    <t xml:space="preserve">Trabalho: Uber pra ir pr CCR  (complemento) </t>
  </si>
  <si>
    <t xml:space="preserve">O Empório </t>
  </si>
  <si>
    <t>Game: GameTechZone: L.A. NOIRE</t>
  </si>
  <si>
    <t>GameTechZone: Guitarra PS3</t>
  </si>
  <si>
    <t>Semiticona + decadron</t>
  </si>
  <si>
    <t>Rhe Razos 6 laminas  Busonid</t>
  </si>
  <si>
    <t>Frete da farmáci</t>
  </si>
  <si>
    <t>/DEV/null</t>
  </si>
  <si>
    <t>The Burgês Galleries</t>
  </si>
  <si>
    <t>açougue</t>
  </si>
  <si>
    <t>ração eareia</t>
  </si>
  <si>
    <t>Ração de kittens</t>
  </si>
  <si>
    <t>Minuto Pão de acucar</t>
  </si>
  <si>
    <t>ifood: Pizza Hut</t>
  </si>
  <si>
    <t>The burges galleries</t>
  </si>
  <si>
    <t>Emporio das burratas</t>
  </si>
  <si>
    <t>EsoMeprasol 40MG</t>
  </si>
  <si>
    <t>frete Farmácia</t>
  </si>
  <si>
    <t>Furosemida 40mg</t>
  </si>
  <si>
    <t>A coop da indusrtial</t>
  </si>
  <si>
    <t xml:space="preserve">iFood: Japoneis </t>
  </si>
  <si>
    <t>iFood: Olimpica</t>
  </si>
  <si>
    <t>Shopee</t>
  </si>
  <si>
    <t>Sukyia do centro</t>
  </si>
  <si>
    <t>A Sodiê doces do centro</t>
  </si>
  <si>
    <t>The Burgues galeries</t>
  </si>
  <si>
    <t xml:space="preserve">Coisas diversas para a casa </t>
  </si>
  <si>
    <t xml:space="preserve">areias de coco de gatos e Agradinhos </t>
  </si>
  <si>
    <t>ifood: Pizza Hit</t>
  </si>
  <si>
    <t xml:space="preserve">No mercadimho do predio </t>
  </si>
  <si>
    <t>iFood: Bolos</t>
  </si>
  <si>
    <t>Uber Diverso</t>
  </si>
  <si>
    <t>Dogão na Feira Canal 3</t>
  </si>
  <si>
    <t>Game: Red Ninja End Of Honour (01/03)</t>
  </si>
  <si>
    <t>O Minuto Pão de Açucas</t>
  </si>
  <si>
    <t>Gazzozza na Pejozera GGM5</t>
  </si>
  <si>
    <t>iFood: Antonela Pizzeria</t>
  </si>
  <si>
    <t>Ração, areia e saches</t>
  </si>
  <si>
    <t>Pasteris da Barcelona</t>
  </si>
  <si>
    <t xml:space="preserve">Shopee: presente pra Mig </t>
  </si>
  <si>
    <t>The burgues galleries</t>
  </si>
  <si>
    <t>Farmácias diveras</t>
  </si>
  <si>
    <t>Clube iFGood</t>
  </si>
  <si>
    <t>Novalgina efervescente + Nimeaulida</t>
  </si>
  <si>
    <t>O minuto Pão de Açúcar</t>
  </si>
  <si>
    <t>IFood: Pizzeria Antonella</t>
  </si>
  <si>
    <t>Farmácia da coo</t>
  </si>
  <si>
    <t>A torre de pizza empiraju</t>
  </si>
  <si>
    <t>Açougue da Marina´s</t>
  </si>
  <si>
    <t>Gazzozza na Pejôzera GGM5</t>
  </si>
  <si>
    <t>ifood: Brutus Burges</t>
  </si>
  <si>
    <t>Areia de coco de gats</t>
  </si>
  <si>
    <t xml:space="preserve">Game: PSN: NiEr Automata </t>
  </si>
  <si>
    <t xml:space="preserve">Iof 'Game: PSN: NiEr Automata </t>
  </si>
  <si>
    <t xml:space="preserve">Império das essencias </t>
  </si>
  <si>
    <t xml:space="preserve">Produtos de limpeza em geral </t>
  </si>
  <si>
    <t>Telhanorte : Tomadas para luminárias</t>
  </si>
  <si>
    <t>MercadoLivre.com.br: Kit 2 Led Tubular T5 60cm 10w C/ Calha Completa 6000k</t>
  </si>
  <si>
    <t>Frete: Kit 2 Led Tubular T5 60cm 10w C/ Calha Completa 6000k</t>
  </si>
  <si>
    <t>iFood: Brutus Burgês</t>
  </si>
  <si>
    <t>O minuro pao de açucar</t>
  </si>
  <si>
    <t>Amoxilina, vitaminas e agua oxigenada</t>
  </si>
  <si>
    <t>UltraFarma.com.br: NAC N- ACETIL L-CISTEÍNA TIARAJU 60</t>
  </si>
  <si>
    <t>Frete : UltraFarma.com.br: NAC N- ACETIL L-CISTEÍNA TIARAJU 60</t>
  </si>
  <si>
    <t>Tylenol Sinus e doriflex</t>
  </si>
  <si>
    <t>Maçonaria: Pedra Brura</t>
  </si>
  <si>
    <t>iFood: Sushis</t>
  </si>
  <si>
    <t>iFood: pizzeria antonell a</t>
  </si>
  <si>
    <t>IfOOD: Jeronimo´s</t>
  </si>
  <si>
    <t>Revisão de 6 anos / 40k (01/06)</t>
  </si>
  <si>
    <t>Lavagem no Pejozera (01/03)</t>
  </si>
  <si>
    <t>Gazoza na Pejozera GGM5</t>
  </si>
  <si>
    <t>Café de manha na padocas</t>
  </si>
  <si>
    <t>Donna Guilhermina pra Grande</t>
  </si>
  <si>
    <t>O sorvetao em PG</t>
  </si>
  <si>
    <t>Umaki poke PPG</t>
  </si>
  <si>
    <t>O OXXo de PG</t>
  </si>
  <si>
    <t>Chapéu de palhas</t>
  </si>
  <si>
    <t>O oxxo da praia</t>
  </si>
  <si>
    <t>Hotel rota do Sol em PG</t>
  </si>
  <si>
    <t>The Burguer Gallery</t>
  </si>
  <si>
    <t>Game: Red Ninja End Of Honour (02/03)</t>
  </si>
  <si>
    <t>Maçonaria: Adesivos para o furlan</t>
  </si>
  <si>
    <t>Rações, Areias e saches</t>
  </si>
  <si>
    <t>DrogariaSãoPaulo: EsoMepaSol 40mg 28 caps + resfrenol</t>
  </si>
  <si>
    <t>Frete: DrogariaSãoPaulo: EsoMepaSol 40mg 28 caps + resfrenol</t>
  </si>
  <si>
    <t>O meercado joaninha de SCS</t>
  </si>
  <si>
    <t>iFood: Antonella Pizzeri</t>
  </si>
  <si>
    <t>iFood: Parmejianas</t>
  </si>
  <si>
    <t>produitos de limpza da benini comercial [</t>
  </si>
  <si>
    <t>o Minuto Pão de açucar</t>
  </si>
  <si>
    <t>Game: FINAL FANTASY® VII 2014</t>
  </si>
  <si>
    <t>IOF Game: FINAL FANTASY® VII 2014</t>
  </si>
  <si>
    <t>Gazozza na pejozera</t>
  </si>
  <si>
    <t>Nova Manutenção Echo (01/08)</t>
  </si>
  <si>
    <t>Maçonaria: Pedraa Bruta</t>
  </si>
  <si>
    <t>Uber pra i rpro bar do Djack</t>
  </si>
  <si>
    <t xml:space="preserve">Bar do Djack </t>
  </si>
  <si>
    <t>no Golden Plaza Sjpooing</t>
  </si>
  <si>
    <t>Assinatura clube iFood</t>
  </si>
  <si>
    <t>O Minuro pao de açucars</t>
  </si>
  <si>
    <t>The burgues Galleries</t>
  </si>
  <si>
    <t>2x Baterias CR 2032 PARA A balança</t>
  </si>
  <si>
    <t>Bateria CR 2025 para o polar H10</t>
  </si>
  <si>
    <t>Dr. Feet Grand Plaza</t>
  </si>
  <si>
    <t>AntiAlergico , esparadrapos e remedio de dor de cabeas</t>
  </si>
  <si>
    <t>Villa Patto em São Roquers</t>
  </si>
  <si>
    <t>Adega e restaurante 5ª do olivardo</t>
  </si>
  <si>
    <t>ifood: raggazzo</t>
  </si>
  <si>
    <t>iFood: Parmegianna´s</t>
  </si>
  <si>
    <t>Bosonid 32mg</t>
  </si>
  <si>
    <t>Ovos na estradas</t>
  </si>
  <si>
    <t>Biquinas na D'vian em Pitaju</t>
  </si>
  <si>
    <t>Tintas diversas</t>
  </si>
  <si>
    <t>Toquinhos sorvetes em Piraju</t>
  </si>
  <si>
    <t>MercadoLibre.com.br: 2xcolchoes infláveis</t>
  </si>
  <si>
    <t>MercadoLivre.com.Br: coisas de cabelos</t>
  </si>
  <si>
    <t>coisas diversas em Piraju</t>
  </si>
  <si>
    <t>Presente ppra Agatha e Gabby</t>
  </si>
  <si>
    <t>05 Camisetas da Mawee diversas</t>
  </si>
  <si>
    <t>Saches, areias e brinquedos</t>
  </si>
  <si>
    <t xml:space="preserve">sapatos  diversos </t>
  </si>
  <si>
    <t>Cremes para as frieras dos pés</t>
  </si>
  <si>
    <t>Pizzaria torre de Pizzaa em Piraju</t>
  </si>
  <si>
    <t>Chiquinho sorvetes em piraju</t>
  </si>
  <si>
    <t>2 x Entradas pro morro do Gavião</t>
  </si>
  <si>
    <t>Bebidas no morro do Gavião</t>
  </si>
  <si>
    <t>Fazenda São João Morro do Gavião</t>
  </si>
  <si>
    <t>A Cascata de àuas de Santa Barbabara</t>
  </si>
  <si>
    <t>Revisão de 6 anos / 40k (02/06)</t>
  </si>
  <si>
    <t>Lavagem no Pejozera (02/03)</t>
  </si>
  <si>
    <t>Supermercado Thais em Piraju</t>
  </si>
  <si>
    <t>HostiFryuti em Piraju</t>
  </si>
  <si>
    <t>Supermercado Nicolau ferreira em Piraju</t>
  </si>
  <si>
    <t>Mo day Gvião em Piraju</t>
  </si>
  <si>
    <t>Serra arco de ação e alicates</t>
  </si>
  <si>
    <t>Gamache Sorvete em Pitaju</t>
  </si>
  <si>
    <t>Janeiro /2025</t>
  </si>
  <si>
    <t>Agua mineral na ponte</t>
  </si>
  <si>
    <t>Bebidas diversas</t>
  </si>
  <si>
    <t>Caixa de Isopor, Papel toalha e coisas diversas</t>
  </si>
  <si>
    <t>A Esphiraria de piraju</t>
  </si>
  <si>
    <t>O castelinho da Pamonha´s</t>
  </si>
  <si>
    <t>Game: Red Ninja End Of Honour (03/03)</t>
  </si>
  <si>
    <t>BlueFit SCS</t>
  </si>
  <si>
    <t>IfOOD: Pizzas La casas</t>
  </si>
  <si>
    <t xml:space="preserve">Sorvetes do Tiquinho no centro </t>
  </si>
  <si>
    <t>Comprimidos de pulgas e ra~es</t>
  </si>
  <si>
    <t>LexaPro 10Mg, EsoMepraZol e Advil 600mg (01/02)</t>
  </si>
  <si>
    <t>Terras de plantas</t>
  </si>
  <si>
    <t xml:space="preserve">Cadeiado de 4 digitos </t>
  </si>
  <si>
    <t xml:space="preserve">A casa das essencias </t>
  </si>
  <si>
    <t>O Sukiya do centro</t>
  </si>
  <si>
    <t>Tiquinho´s Sorvete´s</t>
  </si>
  <si>
    <t>Nova Manutenção Echo (02/08)</t>
  </si>
  <si>
    <t>Clibe iFood</t>
  </si>
  <si>
    <t>Ubber diversos</t>
  </si>
  <si>
    <t>o Minuto Pao de Açucar</t>
  </si>
  <si>
    <t>Maçonaria: Moraes Pizzara</t>
  </si>
  <si>
    <t>Revisão de 6 anos / 40k (03/06)</t>
  </si>
  <si>
    <t>Lavagem no Pejozera (03/03)</t>
  </si>
  <si>
    <t>Na pdcoa</t>
  </si>
  <si>
    <t xml:space="preserve">Adoçante no mercadinho do predio </t>
  </si>
  <si>
    <t>O Minuto Pão de açucar</t>
  </si>
  <si>
    <t>iFood: Brabus Brutus</t>
  </si>
  <si>
    <t>Case + pelicula AppleWatch</t>
  </si>
  <si>
    <t>Velas e defumadores</t>
  </si>
  <si>
    <t>o Tiquinho´s Sorvete´s</t>
  </si>
  <si>
    <t>LexaPro 10Mg, EsoMepraZol e Advil 600mg (02/02)</t>
  </si>
  <si>
    <t xml:space="preserve">Pasteis no entro </t>
  </si>
  <si>
    <t>Tiquinhos sorvetes</t>
  </si>
  <si>
    <t>estacionamentono cntro</t>
  </si>
  <si>
    <t>NO mercadinho do predio</t>
  </si>
  <si>
    <t>O minuto paode açcar</t>
  </si>
  <si>
    <t>The burges Galleries</t>
  </si>
  <si>
    <t>Nova Manutenção Echo (03/08)</t>
  </si>
  <si>
    <t>Ração N/D e saches</t>
  </si>
  <si>
    <t xml:space="preserve">N mercadinho do predio </t>
  </si>
  <si>
    <t>A coop de SCS]</t>
  </si>
  <si>
    <t xml:space="preserve">iFood: Artico </t>
  </si>
  <si>
    <t>Mdero Burgues SCS</t>
  </si>
  <si>
    <t>BK Sorvetes</t>
  </si>
  <si>
    <t>Estacionamento no Park Shopping SCS</t>
  </si>
  <si>
    <t xml:space="preserve">O Açougue da marina </t>
  </si>
  <si>
    <t>Esomeprasol 40mg / Sinvastatina 20mg / Diclofenaco sodico 100mg  busonid 32mg</t>
  </si>
  <si>
    <t>ifood: Bolo da Tarde</t>
  </si>
  <si>
    <t>ifood: Brabus Brutus</t>
  </si>
  <si>
    <t xml:space="preserve">The burgues kings no atrium </t>
  </si>
  <si>
    <t>iFood: pizza artico</t>
  </si>
  <si>
    <t>Verificação da secadoura</t>
  </si>
  <si>
    <t xml:space="preserve">iFood: pizza artico </t>
  </si>
  <si>
    <t>Revisão de 6 anos / 40k (04/06)</t>
  </si>
  <si>
    <t>MercadoLivre.com.br: Controle Sony Dualsense Edge Ps5, Sem Fio, Preto E Branco (01/10)</t>
  </si>
  <si>
    <t>Amazon.com.br: JBL, Fone de Ouvido Sem Fio, Bluetooth, Tune Flex TWS - Preto (01/06)</t>
  </si>
  <si>
    <t>conserto do motor (01/10)</t>
  </si>
  <si>
    <t>Drogamed em Piraju</t>
  </si>
  <si>
    <t>Batatas Palhas em Piraju</t>
  </si>
  <si>
    <t>A esphirarias de piraju</t>
  </si>
  <si>
    <t>O supermercado Thais</t>
  </si>
  <si>
    <t>O Pira-Bar</t>
  </si>
  <si>
    <t>Sorvetes em Praju</t>
  </si>
  <si>
    <t>O Castelinho da pamonhha do 40km</t>
  </si>
  <si>
    <t>ifood; artico pizaria</t>
  </si>
  <si>
    <t>Nova Manutenção Echo (04/08)</t>
  </si>
  <si>
    <t>Lavagem da Pejozera GGM5</t>
  </si>
  <si>
    <t>Gazzoza na EchoSport GGM4</t>
  </si>
  <si>
    <t>iFood: Pizzaria olimpica</t>
  </si>
  <si>
    <t>iFood (?)</t>
  </si>
  <si>
    <t>iFood: Parmeggianas cristiane</t>
  </si>
  <si>
    <t>Invictus.com.br: Mochila Defender - Camuflado Warskin Black 55L (01/06)</t>
  </si>
  <si>
    <t>iFood: Brutus</t>
  </si>
  <si>
    <t>MercadoLivre.com.br: Controle Sony Dualsense Edge Ps5, Sem Fio, Preto E Branco (02/10)</t>
  </si>
  <si>
    <t>Amazon.com.br: JBL, Fone de Ouvido Sem Fio, Bluetooth, Tune Flex TWS - Preto (02/06)</t>
  </si>
  <si>
    <t>Revisão de 6 anos / 40k (05/06)</t>
  </si>
  <si>
    <t>Revisão do CV em ingles</t>
  </si>
  <si>
    <t>iFood: Pizza dominós</t>
  </si>
  <si>
    <t>Crair COVER LETTER EM INGLêS</t>
  </si>
  <si>
    <t>Invictus.com.br: Mochila Tática Citizen PRO - 12H - Preta 20L</t>
  </si>
  <si>
    <t>conserto do motor (02/10)</t>
  </si>
  <si>
    <t xml:space="preserve">Produtos de cabelos </t>
  </si>
  <si>
    <t>iFood: parmegianas</t>
  </si>
  <si>
    <t>iFood: Domin´s</t>
  </si>
  <si>
    <t>O minuto PdA</t>
  </si>
  <si>
    <t>Nova Manutenção Echo (05/08)</t>
  </si>
  <si>
    <t>iFood: Pizzaria Artico</t>
  </si>
  <si>
    <t>iFood: Senhorinha burges</t>
  </si>
  <si>
    <t xml:space="preserve">ifood: almoço do doningo </t>
  </si>
  <si>
    <t>Invictus.com.br: Mochila Defender - Camuflado Warskin Black 55L</t>
  </si>
  <si>
    <t>Shopee.com.br: Removedor de Switch e Teclas Keycaps de Teclado Mecânico 2 em 1</t>
  </si>
  <si>
    <t>Frete: 'Shopee.com.br: Removedor de Switch e Teclas Keycaps de Teclado Mecânico 2 em 1</t>
  </si>
  <si>
    <t>o minuto PdA</t>
  </si>
  <si>
    <t>No mercadinh do predio</t>
  </si>
  <si>
    <t>Invictus.com.br: Mochila Defender - Camuflado Warskin Black 55L (02/06)</t>
  </si>
  <si>
    <t>A Sodie doces</t>
  </si>
  <si>
    <t>Cortar cabelos no nunker do centr</t>
  </si>
  <si>
    <t>ifoo: brutus</t>
  </si>
  <si>
    <t>Ifood: Artico pizzaria</t>
  </si>
  <si>
    <t>Cóauqinha no mercadinho do predio</t>
  </si>
  <si>
    <t>MercadoLivre.com.br: Controle Sony Dualsense Edge Ps5, Sem Fio, Preto E Branco (03/10)</t>
  </si>
  <si>
    <t>Amazon.com.br: JBL, Fone de Ouvido Sem Fio, Bluetooth, Tune Flex TWS - Preto (03/06)</t>
  </si>
  <si>
    <t>Revisão de 6 anos / 40k (06/06)</t>
  </si>
  <si>
    <t>Trabalho: Almoço na padocas</t>
  </si>
  <si>
    <t>Clube Ifood Cristiane</t>
  </si>
  <si>
    <t>iFood: parmeggianna</t>
  </si>
  <si>
    <t>ifood: dominós</t>
  </si>
  <si>
    <t>conserto do motor (03/10)</t>
  </si>
  <si>
    <t>Nova Manutenção Echo (06/08)</t>
  </si>
  <si>
    <t>Shopee: Kit Mudança 10 Caixas Papelão Medida Grande</t>
  </si>
  <si>
    <t>Shopee: Kit Mudança 05 Caixas De Papelão 70x60x35 SemiNova</t>
  </si>
  <si>
    <t xml:space="preserve">iFood: La Ravenna Pizzeria </t>
  </si>
  <si>
    <t>No mercadinhinho do predio</t>
  </si>
  <si>
    <t>Roupas de camas (01/02)</t>
  </si>
  <si>
    <t>Casa limpa santo andré</t>
  </si>
  <si>
    <t>Padoca rainha do scacoman</t>
  </si>
  <si>
    <t>O Bom Preço Sacoman</t>
  </si>
  <si>
    <t>ifood: Supremuś Burgueps</t>
  </si>
  <si>
    <t>Casa Bonita</t>
  </si>
  <si>
    <t>Uber de flores</t>
  </si>
  <si>
    <t>Glor de lis</t>
  </si>
  <si>
    <t>ifood: bolos</t>
  </si>
  <si>
    <t>Sacos de lixos</t>
  </si>
  <si>
    <t>O primus B.A.R.s</t>
  </si>
  <si>
    <t>Munuto pao de acucar da vir</t>
  </si>
  <si>
    <t>Leroy &amp; Merlin (01/05)</t>
  </si>
  <si>
    <t>ifood: HamBurgês</t>
  </si>
  <si>
    <t>Mercado do atrium</t>
  </si>
  <si>
    <t>MercadoLivre.com.br: Capa Queimador Tripla Chama Fogao Fe4gp A21414402 Electrolux</t>
  </si>
  <si>
    <t>Frete: 'MercadoLivre.com.br: Capa Queimador Tripla Chama Fogao Fe4gp A21414402 Electrolux</t>
  </si>
  <si>
    <t>Areia e churu</t>
  </si>
  <si>
    <t>Invictus.com.br: Mochila Defender - Camuflado Warskin Black 55L (03/06)</t>
  </si>
  <si>
    <t>IFOOD</t>
  </si>
  <si>
    <t>Gazpzza na Pejozera GGM5</t>
  </si>
  <si>
    <t>O Prom Preço de Helioópis</t>
  </si>
  <si>
    <t>MercadoLivre.com.br: Controle Sony Dualsense Edge Ps5, Sem Fio, Preto E Branco (04/10)</t>
  </si>
  <si>
    <t>Amazon.com.br: JBL, Fone de Ouvido Sem Fio, Bluetooth, Tune Flex TWS - Preto (04/06)</t>
  </si>
  <si>
    <t>Shopee: agua pxgenada</t>
  </si>
  <si>
    <t>coisas para a casa</t>
  </si>
  <si>
    <t>Unhas diversas</t>
  </si>
  <si>
    <t>Café na leroy Merlym</t>
  </si>
  <si>
    <t>conserto do motor (04/10)</t>
  </si>
  <si>
    <t>Gazoza na pejozera GGM5</t>
  </si>
  <si>
    <t>Maçonaria: tres pontis</t>
  </si>
  <si>
    <t>flor de lis</t>
  </si>
  <si>
    <t>No mercadão do ipiranga</t>
  </si>
  <si>
    <t>COISAS na Shopee</t>
  </si>
  <si>
    <t>Shopee.com.br</t>
  </si>
  <si>
    <t>iFood: Parmegiannaś div3ersas</t>
  </si>
  <si>
    <t>Leroy Merlin</t>
  </si>
  <si>
    <t>Nova Manutenção Echo (07/08)</t>
  </si>
  <si>
    <t>Renovação ISenção de Rodizio (01/02)</t>
  </si>
  <si>
    <t>ifood: pizzza</t>
  </si>
  <si>
    <t>ifood: hamburgures</t>
  </si>
  <si>
    <t>Shopee: coisas pra casa</t>
  </si>
  <si>
    <t>Roupas de camas (02/02)</t>
  </si>
  <si>
    <t>O JOanin do Sacomãn</t>
  </si>
  <si>
    <t>Uber pra ir pro Shopping Santa cruz</t>
  </si>
  <si>
    <t>Pastel B'len Shopping</t>
  </si>
  <si>
    <t>MR. Mills</t>
  </si>
  <si>
    <t>ifood: Espetinhos</t>
  </si>
  <si>
    <t>ifood: HamBurgues</t>
  </si>
  <si>
    <t>ifood: pizzeria</t>
  </si>
  <si>
    <t>iFood: esphiharia anchetas</t>
  </si>
  <si>
    <t>Estacionamento na Pizzeria</t>
  </si>
  <si>
    <t>Rinosoro e coisas diversas</t>
  </si>
  <si>
    <t>O Joanin da anchieta</t>
  </si>
  <si>
    <t>ifood: Habibes</t>
  </si>
  <si>
    <t>ifood: pizzaria galaxya</t>
  </si>
  <si>
    <t>Leroy &amp; Merlin (02/05)</t>
  </si>
  <si>
    <t>Invictus.com.br: Mochila Defender - Camuflado Warskin Black 55L (04/06)</t>
  </si>
  <si>
    <t>Padoca Rainha do Sacomãn</t>
  </si>
  <si>
    <t xml:space="preserve">ifood: oizzas </t>
  </si>
  <si>
    <t>Panini.com.br: Spawn: Origens Vol. 12 / Vol. 11 / Vol. 10</t>
  </si>
  <si>
    <t>Cobasi.com.br: FeliWay</t>
  </si>
  <si>
    <t>Frete cobase</t>
  </si>
  <si>
    <t>ifood: aquisobra</t>
  </si>
  <si>
    <t>Lojas Mel Sacomãn</t>
  </si>
  <si>
    <t>MercadoLivre.com.br: Controle Sony Dualsense Edge Ps5, Sem Fio, Preto E Branco (05/10)</t>
  </si>
  <si>
    <t>Amazon.com.br: JBL, Fone de Ouvido Sem Fio, Bluetooth, Tune Flex TWS - Preto (05/06)</t>
  </si>
  <si>
    <t xml:space="preserve">Lanche no frango assado </t>
  </si>
  <si>
    <t>Lanche no Estação kAFE em ourinhos</t>
  </si>
  <si>
    <t xml:space="preserve">Lanche no posto do velorio </t>
  </si>
  <si>
    <t xml:space="preserve">ifood de japoneis </t>
  </si>
  <si>
    <t xml:space="preserve">O Maristella da castello </t>
  </si>
  <si>
    <t>O Castellinho da Pamonha do km40</t>
  </si>
  <si>
    <t>conserto do motor (05/10)</t>
  </si>
  <si>
    <t>Padaria Fioravante</t>
  </si>
  <si>
    <t>ifood: Parmegiannas</t>
  </si>
  <si>
    <t>Farmácia PagMenos</t>
  </si>
  <si>
    <t>capinha de celular</t>
  </si>
  <si>
    <t>O Bom Preço</t>
  </si>
  <si>
    <t>Fármácias</t>
  </si>
  <si>
    <t>o ban-RI da liberdade</t>
  </si>
  <si>
    <t xml:space="preserve">A Sodiêr do sacomãn </t>
  </si>
  <si>
    <t>Nova Manutenção Echo (08/08)</t>
  </si>
  <si>
    <t>Renovação ISenção de Rodizio (02/02)</t>
  </si>
  <si>
    <t>ufood: pizza brotos</t>
  </si>
  <si>
    <t>café de manha no ipiranga</t>
  </si>
  <si>
    <t>Varoes e ganchos</t>
  </si>
  <si>
    <t>Estacionamento no ipiranga</t>
  </si>
  <si>
    <t xml:space="preserve">Padoca a rainha do Sacomãn </t>
  </si>
  <si>
    <t>ifood: hamburguers</t>
  </si>
  <si>
    <t>O Bom preço do sacomãn</t>
  </si>
  <si>
    <t>chocolate na festa de Junina</t>
  </si>
  <si>
    <t>O Bom preço</t>
  </si>
  <si>
    <t>Shuru e Saches</t>
  </si>
  <si>
    <t>Habibs App</t>
  </si>
  <si>
    <t>Pasteis no mercadão do Ipiranga</t>
  </si>
  <si>
    <t>Coisas de plantas</t>
  </si>
  <si>
    <t>IfOOD: PIZZA</t>
  </si>
  <si>
    <t>Beach Paradise Praia Grande Beach</t>
  </si>
  <si>
    <t>Coisas na Shoppee</t>
  </si>
  <si>
    <t>Paccocca´s A Rainha do Sacomãn</t>
  </si>
  <si>
    <t>01 ingresso RetroCon 2025</t>
  </si>
  <si>
    <t>Leroy &amp; Merlin (03/05)</t>
  </si>
  <si>
    <t>MercadoLivre.com.br: HomeOffice:  Suporte De Laptop Notebook Stand Preto 14 Ate 17 Polegadas - Quantidade: 1 - Cor: Preto</t>
  </si>
  <si>
    <t>MercadoLivre.com.br: Suporte Para Fone Ouvido Headset De Mesa Ajustável</t>
  </si>
  <si>
    <t>MercadoLivre.com.br: Kit 4 Calço Aparador Trava Porta De Silicone Incolor Prático</t>
  </si>
  <si>
    <t>Ezomeprazol Magésio 40MG 28 caps</t>
  </si>
  <si>
    <t>Frete farmácia</t>
  </si>
  <si>
    <t>Game: Stellar Blade™: Pacote Tachyon (Extra)</t>
  </si>
  <si>
    <t>Game: Stellar Blade™ X GODDESS OF VICTORY: NIKKE (Extra)</t>
  </si>
  <si>
    <t>Game: Batman™: Arkham Knight Época da Infâmia: Novas Missões (Extra)</t>
  </si>
  <si>
    <t>IOF (3,5%) psn brasil</t>
  </si>
  <si>
    <t>iFood: HamBurgues</t>
  </si>
  <si>
    <t>Invictus.com.br: Mochila Defender - Camuflado Warskin Black 55L (05/06)</t>
  </si>
  <si>
    <t>Uber: pra ir de Sto Amaro pra retrocon</t>
  </si>
  <si>
    <t>café na retrocon</t>
  </si>
  <si>
    <t>Doceria do ipiranga</t>
  </si>
  <si>
    <t>Mercadinho Alencar</t>
  </si>
  <si>
    <t>Peixaria do Ipiranga</t>
  </si>
  <si>
    <t>50TÃO FOOD TRUCK NA RERTOcON</t>
  </si>
  <si>
    <t>Tchurrus na retrocon</t>
  </si>
  <si>
    <t>Uber pra ir do Sacomãn para casa</t>
  </si>
  <si>
    <t>Amazon.con.br: Teclado sem fio Logitech K400 Plus TV com Controle Easy Media e Touchpad Integrado, Conexão USB Unifying e Layout ABNT2</t>
  </si>
  <si>
    <t>A santa Pasta</t>
  </si>
  <si>
    <t xml:space="preserve">O Joani da Anchiete </t>
  </si>
  <si>
    <t>MercadoLivre.com.br: Controle Sony Dualsense Edge Ps5, Sem Fio, Preto E Branco (06/10)</t>
  </si>
  <si>
    <t>Amazon.com.br: JBL, Fone de Ouvido Sem Fio, Bluetooth, Tune Flex TWS - Preto (06/06)</t>
  </si>
  <si>
    <t>Shoppee.com.br: 2 Unidades Para JBL Live 650BTNC 660 E65BTNC Duet NC Capa De Fone De Ouvido Protetores Pretos</t>
  </si>
  <si>
    <t>AliExpress: Crazy Toys 30cm figura esquadrão suicida harley quinn alta qualidade pvc figura de ação modelo colecionável brinquedo presente para amigos</t>
  </si>
  <si>
    <t>AliExpress: Frete: Harley Quinn Crazy Toys</t>
  </si>
  <si>
    <t xml:space="preserve">AliExpress: Impostos </t>
  </si>
  <si>
    <t>iffod: HamBurgues</t>
  </si>
  <si>
    <t>O Bom preço do Sacomãn</t>
  </si>
  <si>
    <t>Avaliação veterinária na Luna para castrar</t>
  </si>
  <si>
    <t>Pasteis no Mercadão do Ipiranga</t>
  </si>
  <si>
    <t>coisas para  casa, almofadas, potes, cozinhas, etec</t>
  </si>
  <si>
    <t>Alenia 12/400 mg + Desodorante</t>
  </si>
  <si>
    <t>McSorvetes na rua</t>
  </si>
  <si>
    <t>Estacionamento no Ipiranga</t>
  </si>
  <si>
    <t>Ifood: LIgLIg</t>
  </si>
  <si>
    <t>conserto do motor (06/10)</t>
  </si>
  <si>
    <t>pasteiis na feira de games</t>
  </si>
  <si>
    <t>o Pao de açucar em SCS</t>
  </si>
  <si>
    <t>ifood: hamburgues</t>
  </si>
  <si>
    <t>Cirurgia de castração da Luna</t>
  </si>
  <si>
    <t>Roupa cirurgica da lina</t>
  </si>
  <si>
    <t>Medicação pós cirurgica para luna</t>
  </si>
  <si>
    <t>Saches diversos</t>
  </si>
  <si>
    <t>ifood: ragazzo heliópolis</t>
  </si>
  <si>
    <t>ifood almoços</t>
  </si>
  <si>
    <t>ifood club</t>
  </si>
  <si>
    <t>Los Picos - cozinha mexicana</t>
  </si>
  <si>
    <t xml:space="preserve">No mercado municipal do Ipiranga </t>
  </si>
  <si>
    <t>Maçonaria: Pra ir pra GLESP</t>
  </si>
  <si>
    <t>Maçonaria: pra voltar da GLESP</t>
  </si>
  <si>
    <t>Uber pra ir pro veterinário</t>
  </si>
  <si>
    <t>Anti inflamatório para a Luna</t>
  </si>
  <si>
    <t>Uber pra voltar do veterinário</t>
  </si>
  <si>
    <t xml:space="preserve">Shopee: garrafa </t>
  </si>
  <si>
    <t>ifood: bolo</t>
  </si>
  <si>
    <t>Martelinho d'oro n o Pejô GGM5 (01/04)</t>
  </si>
  <si>
    <t>o Bom Preço do Sacomãn</t>
  </si>
  <si>
    <t>Game: Jericho´s Stell Book</t>
  </si>
  <si>
    <t>Cabeleiros diversos</t>
  </si>
  <si>
    <t>iFood: Ham BurgÊs</t>
  </si>
  <si>
    <t>Uber pra ir pro ipiranga</t>
  </si>
  <si>
    <t xml:space="preserve">água de coco no ipiranga </t>
  </si>
  <si>
    <t>Lanches no pq ipiranga</t>
  </si>
  <si>
    <t xml:space="preserve">Rchurros </t>
  </si>
  <si>
    <t>Rações e areias de gatos</t>
  </si>
  <si>
    <t>Paccocca A Rainha do Sacomãn</t>
  </si>
  <si>
    <t>Mercadiho do Sacomãn</t>
  </si>
  <si>
    <t>ifood pizzas</t>
  </si>
  <si>
    <t>iFood: almoço pra 2</t>
  </si>
  <si>
    <t>Cloros para limpezas</t>
  </si>
  <si>
    <t>SuperPrumo.com.br: Destro - 3</t>
  </si>
  <si>
    <t>Frete destro 3</t>
  </si>
  <si>
    <t>Habubus da ancheitas</t>
  </si>
  <si>
    <t>Comix.com.br: Special Angela Spawn</t>
  </si>
  <si>
    <t>Frete Comix Angela</t>
  </si>
  <si>
    <t>Leroy &amp; Merlin (04/05)</t>
  </si>
  <si>
    <t>Guaglione pizzeria SCS</t>
  </si>
  <si>
    <t>EsoMeprasol, azia e busonid</t>
  </si>
  <si>
    <t>Primus Soluções</t>
  </si>
  <si>
    <t>Mini Garden Flores</t>
  </si>
  <si>
    <t>Los Picos</t>
  </si>
  <si>
    <t>Invictus.com.br: Mochila Defender - Camuflado Warskin Black 55L (06/06)</t>
  </si>
  <si>
    <t>MercadoLivre.com.br: Controle Sony Dualsense Edge Ps5, Sem Fio, Preto E Branco (07/10)</t>
  </si>
  <si>
    <t>Prednisona 20 MG</t>
  </si>
  <si>
    <t>O Bom preço do Sacomçan</t>
  </si>
  <si>
    <t>01 Ingresso Feria Canal 3 Set/2025</t>
  </si>
  <si>
    <t>Gazzozza no pejozerra GGM5</t>
  </si>
  <si>
    <t>Amoxilina e coisas para a gartanta</t>
  </si>
  <si>
    <t>Dorgasisil Online: Losartana 50mg + Hidrocloritiazida</t>
  </si>
  <si>
    <t>Frete drogazil</t>
  </si>
  <si>
    <t>O Madero do Mooca shopping</t>
  </si>
  <si>
    <t>Baterias 2 G-Shock 2 um diver</t>
  </si>
  <si>
    <t>baterias de relogios</t>
  </si>
  <si>
    <t>Sodiê da Ypiranga</t>
  </si>
  <si>
    <t>o Goya da Ipyranga</t>
  </si>
  <si>
    <t>Estacionamento na Yipiranga</t>
  </si>
  <si>
    <t>Lanche da mesfta do seu ze</t>
  </si>
  <si>
    <t xml:space="preserve">Refris da nsta do Seu Zé </t>
  </si>
  <si>
    <t>o Raggazzo da Goyas</t>
  </si>
  <si>
    <t>conserto do motor (07/10)</t>
  </si>
  <si>
    <t>ifood: Hambugures</t>
  </si>
  <si>
    <t>Aciclovir</t>
  </si>
  <si>
    <t>Pedicuries</t>
  </si>
  <si>
    <t>Martelinho d'oro n o Pejô GGM5 (02/04)</t>
  </si>
  <si>
    <t>Leroy &amp; Merlin (05/05)</t>
  </si>
  <si>
    <t>MercadoLivre.com.br: Controle Sony Dualsense Edge Ps5, Sem Fio, Preto E Branco (08/10)</t>
  </si>
  <si>
    <t>conserto do motor (08/10)</t>
  </si>
  <si>
    <t>Martelinho d'oro n o Pejô GGM5 (03/04)</t>
  </si>
  <si>
    <t>MercadoLivre.com.br: Controle Sony Dualsense Edge Ps5, Sem Fio, Preto E Branco (09/10)</t>
  </si>
  <si>
    <t>conserto do motor (09/10)</t>
  </si>
  <si>
    <t>Martelinho d'oro n o Pejô GGM5 (04/04)</t>
  </si>
  <si>
    <t>MercadoLivre.com.br: Controle Sony Dualsense Edge Ps5, Sem Fio, Preto E Branco (10/10)</t>
  </si>
  <si>
    <t>conserto do motor (10/10)</t>
  </si>
  <si>
    <t>Tipo Lançamento</t>
  </si>
  <si>
    <t>Lancado</t>
  </si>
  <si>
    <t>Devido</t>
  </si>
  <si>
    <t>Redução</t>
  </si>
  <si>
    <t>Janeiro / 1998</t>
  </si>
  <si>
    <t>Matricula 1999</t>
  </si>
  <si>
    <t xml:space="preserve">Cheque - Mesalidade (01/02) </t>
  </si>
  <si>
    <t>Janeiro / 1999</t>
  </si>
  <si>
    <t>Cheque - Mesalidade (02/02)</t>
  </si>
  <si>
    <t xml:space="preserve"> Março / 1999</t>
  </si>
  <si>
    <t>Máquina Fotográfica</t>
  </si>
  <si>
    <t>Cheque - Maquina (01/03)</t>
  </si>
  <si>
    <t>Abril / 1999</t>
  </si>
  <si>
    <t>Cheque - Máquina (02/03)</t>
  </si>
  <si>
    <t>Maio / 1999</t>
  </si>
  <si>
    <t>Cheque - Máquina (03/03)</t>
  </si>
  <si>
    <t>Junho / 1999</t>
  </si>
  <si>
    <t>Mochila</t>
  </si>
  <si>
    <t>Cheque – Mochila (01/03)</t>
  </si>
  <si>
    <t>Julho / 1999</t>
  </si>
  <si>
    <t>Tenis Adidas</t>
  </si>
  <si>
    <t>Cheque - Tenis (01-03)</t>
  </si>
  <si>
    <t>Cheque – Mochila (02/03)</t>
  </si>
  <si>
    <t>Cheque - Tenis (02-03)</t>
  </si>
  <si>
    <t>Cheque – Mochila (03/03)</t>
  </si>
  <si>
    <t>Setembro / 1999</t>
  </si>
  <si>
    <t>Cheque - Tenis (03-03)</t>
  </si>
  <si>
    <t>Novembro / 1999</t>
  </si>
  <si>
    <t>CD-Rom 48x</t>
  </si>
  <si>
    <t>Cheque - 010094 - CdRom (01/02)</t>
  </si>
  <si>
    <t>Dezembro / 1999</t>
  </si>
  <si>
    <t>matricula 2000</t>
  </si>
  <si>
    <t>cheque - 010098 - Matricula (01/02)</t>
  </si>
  <si>
    <t>Cheque - 010095 - CdRom (02/02)</t>
  </si>
  <si>
    <t>Janeiro / 2000</t>
  </si>
  <si>
    <t>Cheque - 010099 - Matricula (02/02)</t>
  </si>
  <si>
    <t>Outubro  / 2000</t>
  </si>
  <si>
    <t>terno</t>
  </si>
  <si>
    <t>Terno (01/03)</t>
  </si>
  <si>
    <t>Sapato Casamento</t>
  </si>
  <si>
    <t>Sapato (01/03)</t>
  </si>
  <si>
    <t>Novembro / 2000</t>
  </si>
  <si>
    <t>Roupas Trab. Global</t>
  </si>
  <si>
    <t>Roupas (01/03)</t>
  </si>
  <si>
    <t>Terno (02/03)</t>
  </si>
  <si>
    <t>Sapato (02/03)</t>
  </si>
  <si>
    <t>Celular Nokia</t>
  </si>
  <si>
    <t>Cheque - 010035 - Celular (01/06)</t>
  </si>
  <si>
    <t>Dezembro / 2000</t>
  </si>
  <si>
    <t>Calça Social</t>
  </si>
  <si>
    <t>Cheque - 010142 - Calça (01/03)</t>
  </si>
  <si>
    <t>matricula 2001</t>
  </si>
  <si>
    <t>Cheque - 010147 - Matricula (01/02)</t>
  </si>
  <si>
    <t>Roupas (02/03)</t>
  </si>
  <si>
    <t>Terno (03/03)</t>
  </si>
  <si>
    <t>Sapato (03/03)</t>
  </si>
  <si>
    <t>Cheque - 010036 - celular (02/06)</t>
  </si>
  <si>
    <t>Janeiro / 2001</t>
  </si>
  <si>
    <t>Cheque - 010143 - Calça (02/03)</t>
  </si>
  <si>
    <t>Roupas (03/03)</t>
  </si>
  <si>
    <t>Cheque - 010148 - Matricula (02/02)</t>
  </si>
  <si>
    <t>Cheque - 010037 - celular (03/06)</t>
  </si>
  <si>
    <t>Fevereiro  / 2001</t>
  </si>
  <si>
    <t>Cheque - 010144 - Calça (03/03)</t>
  </si>
  <si>
    <t>Cheque - 010038 - celular (04/06)</t>
  </si>
  <si>
    <t>Março / 2001</t>
  </si>
  <si>
    <t>Maleta Exec.</t>
  </si>
  <si>
    <t>Cheque - 441146 - Bolsa (01/03)</t>
  </si>
  <si>
    <t>Cheque - 010039 - celular (05/06)</t>
  </si>
  <si>
    <t>Abril / 2001</t>
  </si>
  <si>
    <t xml:space="preserve">Cheque - 441147 - Bolsa (02/03) </t>
  </si>
  <si>
    <t>Cheque - 010039 - celular (06/06)</t>
  </si>
  <si>
    <t>Blusa de Lã</t>
  </si>
  <si>
    <t>Parc. Blusa (01/03)</t>
  </si>
  <si>
    <t>Maio / 2001</t>
  </si>
  <si>
    <t>Cheque - 441148 - Bolsa (03/03)</t>
  </si>
  <si>
    <t>Parc. Blusa (02/03)</t>
  </si>
  <si>
    <t>Junho / 2001</t>
  </si>
  <si>
    <t>Celular Samsung</t>
  </si>
  <si>
    <t>Cheque - 441159 - Celular (01/02)</t>
  </si>
  <si>
    <t>Parc. Blusa (03/03)</t>
  </si>
  <si>
    <t>Julho / 2001</t>
  </si>
  <si>
    <t>Cheque - 441160 - Celular (02/02)</t>
  </si>
  <si>
    <t>Jaqueta + Blusa Lã</t>
  </si>
  <si>
    <t>Cheque - 441174 - Blusas (01/03)</t>
  </si>
  <si>
    <t>Agosto / 2001</t>
  </si>
  <si>
    <t>Celular Cris i</t>
  </si>
  <si>
    <t>Cheque - 681964 - Celular Cris (01/06)</t>
  </si>
  <si>
    <t>Cheque - 441175 - Blusas (02/03)</t>
  </si>
  <si>
    <t>Setembro / 2001</t>
  </si>
  <si>
    <t>Cheque - 441179 - Celular Cris (02/06)</t>
  </si>
  <si>
    <t>Cheque - 441176 - Blusas (03/03)</t>
  </si>
  <si>
    <t>Outubro / 2001</t>
  </si>
  <si>
    <t>Cheque - 441180 - Celular Cris (03/06)</t>
  </si>
  <si>
    <t>Novembro / 2001</t>
  </si>
  <si>
    <t>Cheque - 681961 - Celular Cris (04/06)</t>
  </si>
  <si>
    <t>Monitor</t>
  </si>
  <si>
    <t xml:space="preserve">Parc. Monitor (01/06) </t>
  </si>
  <si>
    <t>Dezembro / 2001</t>
  </si>
  <si>
    <t>Cheque - 681962 - Celular Cris (05/06)</t>
  </si>
  <si>
    <t>Parc. Monitor (02/06)</t>
  </si>
  <si>
    <t>Janeiro / 2002</t>
  </si>
  <si>
    <t>Celular Cris I</t>
  </si>
  <si>
    <t>Cheque - 681963 - Celular Cris (06/06)</t>
  </si>
  <si>
    <t>Parc. Monitor (03/06)</t>
  </si>
  <si>
    <t>Fevereiro / 2002</t>
  </si>
  <si>
    <t>Financ. HSBC</t>
  </si>
  <si>
    <t>Parc. Financiamento HSBC (01/18)</t>
  </si>
  <si>
    <t>Parc. Monitor (04/06)</t>
  </si>
  <si>
    <t>Março / 2002</t>
  </si>
  <si>
    <t>Parc. Financiamento HSBC (02/18)</t>
  </si>
  <si>
    <t>Sofá</t>
  </si>
  <si>
    <t>Cheque - 867261 - Sofa (01/08)</t>
  </si>
  <si>
    <t>Parc. Monitor (05/06)</t>
  </si>
  <si>
    <t>Mesa jantar</t>
  </si>
  <si>
    <t>Cheque - 149975 - Mesa (01/03)</t>
  </si>
  <si>
    <t>Abril / 2002</t>
  </si>
  <si>
    <t>Parc. Financiamento HSBC (03/18)</t>
  </si>
  <si>
    <t>Cheque - 867262 - Sofa (02/08)</t>
  </si>
  <si>
    <t>Parc. Monitor (06/06)</t>
  </si>
  <si>
    <t>Cheque - 149976 - Mesa (02/03)</t>
  </si>
  <si>
    <t>Revistas Info</t>
  </si>
  <si>
    <t>Parc. Assinatura Info (01/05)</t>
  </si>
  <si>
    <t>Maio / 2002</t>
  </si>
  <si>
    <t>Parc. Financiamento HSBC (04/18)</t>
  </si>
  <si>
    <t>Cheque - 867263 - Sofa (04/08)</t>
  </si>
  <si>
    <t>Cheque - 149977 - Mesa (03/03)</t>
  </si>
  <si>
    <t>Junho / 2002</t>
  </si>
  <si>
    <t>Geladeira</t>
  </si>
  <si>
    <t xml:space="preserve">Parc. Geladeira (01/10) </t>
  </si>
  <si>
    <t>Cheque - 867264 - Sofa (04/08)</t>
  </si>
  <si>
    <t>Parc. Financiamento HSBC (05/18)</t>
  </si>
  <si>
    <t>Hard Disk 40Gb</t>
  </si>
  <si>
    <t xml:space="preserve">Cheque - 202073 - Hd (01/03) </t>
  </si>
  <si>
    <t>Julho / 2002</t>
  </si>
  <si>
    <t xml:space="preserve">Parc. Geladeira (02/10) </t>
  </si>
  <si>
    <t>cafeteira</t>
  </si>
  <si>
    <t>Parc. Cafeteira (01/02)</t>
  </si>
  <si>
    <t>Parc. Financiamento HSBC (06/18)</t>
  </si>
  <si>
    <t>Parc. Assinatura Info (02/05)</t>
  </si>
  <si>
    <t>Cheque - 867265 - Sofa (05/08)</t>
  </si>
  <si>
    <t xml:space="preserve">Cheque - 202074 - HD (02/03) </t>
  </si>
  <si>
    <t>Agosto / 2002</t>
  </si>
  <si>
    <t xml:space="preserve">Parc. Geladeira (03/10) </t>
  </si>
  <si>
    <t>Parc. Cafeteira (02/02)</t>
  </si>
  <si>
    <t>Parc. Financiamento HSBC (07/18)</t>
  </si>
  <si>
    <t>Parc. Assinatura Info (03/05)</t>
  </si>
  <si>
    <t>Cheque - 867266 - Sofa (06/08)</t>
  </si>
  <si>
    <t xml:space="preserve">Cheque - 202075 - HD (03/03) </t>
  </si>
  <si>
    <t>CD/DVD</t>
  </si>
  <si>
    <t>DVDs+CDs(01/04)</t>
  </si>
  <si>
    <t>Setembro / 2002</t>
  </si>
  <si>
    <t>Parc. Geladeira (04/10)</t>
  </si>
  <si>
    <t>DVD Iron Maiden</t>
  </si>
  <si>
    <t>Parc. DVD Iron (01/03)</t>
  </si>
  <si>
    <t>Parc. Assinatura Info (04/05)</t>
  </si>
  <si>
    <t>Parc. Financiamento HSBC (08/18)</t>
  </si>
  <si>
    <t>Cheque - 867267 - Sofa (07/08)</t>
  </si>
  <si>
    <t>DVDs+CDs(02/04)</t>
  </si>
  <si>
    <t>Outubro / 2002</t>
  </si>
  <si>
    <t>Parc. Geladeira (05/10)</t>
  </si>
  <si>
    <t>Parc. DVD Iron (02/03)</t>
  </si>
  <si>
    <t>Parc. Financiamento HSBC (09/18)</t>
  </si>
  <si>
    <t>Parc. Assinatura Info (05/05)</t>
  </si>
  <si>
    <t>Cheque - 867268 - Sofa (08/08)</t>
  </si>
  <si>
    <t>DVDs+CDs(03/04)</t>
  </si>
  <si>
    <t>Novembro / 2002</t>
  </si>
  <si>
    <t>Parc. Geladeira (06/10)</t>
  </si>
  <si>
    <t>Parc. DVD Iron (03/03)</t>
  </si>
  <si>
    <t>Parc. Financiamento HSBC (10/18)</t>
  </si>
  <si>
    <t>DVDs+CDs(04/04)</t>
  </si>
  <si>
    <t>Dezembro / 2002</t>
  </si>
  <si>
    <t>Parc. Geladeira (07/10)</t>
  </si>
  <si>
    <t>Bermudas</t>
  </si>
  <si>
    <t>Cheque Eletronico - Bermudas (01/02)</t>
  </si>
  <si>
    <t>Oculos Escuro</t>
  </si>
  <si>
    <t>Cheque - 402353 - Oculos (01/02)</t>
  </si>
  <si>
    <t>Janeiro / 2003</t>
  </si>
  <si>
    <t>Parc. Geladeira (08/10)</t>
  </si>
  <si>
    <t>Cheque Eletronico - Bermudas (02/02)</t>
  </si>
  <si>
    <t>Cheque - 402354 - Oculos (02/02)</t>
  </si>
  <si>
    <t>Formatura Cris</t>
  </si>
  <si>
    <t>Cheque - 402376 - Formatura Cris (01/02)</t>
  </si>
  <si>
    <t>Fevereiro / 2003</t>
  </si>
  <si>
    <t>Parc. Geladeira (09/10)</t>
  </si>
  <si>
    <t>Armário Cozinha</t>
  </si>
  <si>
    <t>Cheque - 402367 - Amrário (01/03)</t>
  </si>
  <si>
    <t>DVD / Televisao</t>
  </si>
  <si>
    <t>Parc. DVD + Televisão (01/10)</t>
  </si>
  <si>
    <t>Cheque - 402377 - Formatura Cris (02/02)</t>
  </si>
  <si>
    <t>Março / 2003</t>
  </si>
  <si>
    <t>Parc. Geladeira (10/10)</t>
  </si>
  <si>
    <t>Cheque - 402368 - Amrário (02/03)</t>
  </si>
  <si>
    <t>Parc. DVD + Televisão (02/10)</t>
  </si>
  <si>
    <t>Abril / 2003</t>
  </si>
  <si>
    <t xml:space="preserve">Cheque - 402370 - Armário (03/03) </t>
  </si>
  <si>
    <t>Parc. DVD + Televisão (03/10)</t>
  </si>
  <si>
    <t>Maio / 2003</t>
  </si>
  <si>
    <t>Parc. DVD + Televisão (04/10)</t>
  </si>
  <si>
    <t>Camisas + Calça</t>
  </si>
  <si>
    <t>Cheque - 600038 - Ropa (01/03)</t>
  </si>
  <si>
    <t>Junho / 2003</t>
  </si>
  <si>
    <t>Liquidificador</t>
  </si>
  <si>
    <t>Parc. Liquidificador (02/03)</t>
  </si>
  <si>
    <t>Parc. DVD + Televisão (05/10)</t>
  </si>
  <si>
    <t>Cheque - 600038 - Ropa (02/03)</t>
  </si>
  <si>
    <t>Julho / 2003</t>
  </si>
  <si>
    <t>Parc. Liquidificador (03/03)</t>
  </si>
  <si>
    <t>Parc. DVD + Televisão (06/10)</t>
  </si>
  <si>
    <t>Cheque - 600038 - Ropa (03/03)</t>
  </si>
  <si>
    <t>Agosto / 2003</t>
  </si>
  <si>
    <t>Parc. DVD + Televisão (07/10)</t>
  </si>
  <si>
    <t>setembro / 2003</t>
  </si>
  <si>
    <t>Parc. DVD + Televisão (08/10)</t>
  </si>
  <si>
    <t>Outubro / 2003</t>
  </si>
  <si>
    <t>Parc. DVD + Televisão (09/10)</t>
  </si>
  <si>
    <t>Novembro / 2003</t>
  </si>
  <si>
    <t>CDs (01/03)</t>
  </si>
  <si>
    <t>Parc. DVD + Televisão (10/10)</t>
  </si>
  <si>
    <t>Dezembro / 2003</t>
  </si>
  <si>
    <t>CDs (02/03)</t>
  </si>
  <si>
    <t xml:space="preserve">Roupas </t>
  </si>
  <si>
    <t>Parc. Roupas (01/03)</t>
  </si>
  <si>
    <t>ALIANÇAS</t>
  </si>
  <si>
    <t>Saque Alianças (01/02)</t>
  </si>
  <si>
    <t>Saque Alianças (02/02)</t>
  </si>
  <si>
    <t>Janeiro / 2004</t>
  </si>
  <si>
    <t>CDs (03/03)</t>
  </si>
  <si>
    <t>Parc. Roupas (02/03)</t>
  </si>
  <si>
    <t>Fevereiro  / 2004</t>
  </si>
  <si>
    <t>Oculos I</t>
  </si>
  <si>
    <t>Parc. Oculos (01/03)</t>
  </si>
  <si>
    <t>Parc. Financiamento Moto (01/24)</t>
  </si>
  <si>
    <t>Março / 2004</t>
  </si>
  <si>
    <t>Conserto Som</t>
  </si>
  <si>
    <t>Parc. Conserto Som (01/03)</t>
  </si>
  <si>
    <t>Oculos i</t>
  </si>
  <si>
    <t>Parc. Oculos (02/03)</t>
  </si>
  <si>
    <t>Parc. Financiamento Moto (03/24)</t>
  </si>
  <si>
    <t>Abril / 2004</t>
  </si>
  <si>
    <t>Parc. Conserto Som (02/03)</t>
  </si>
  <si>
    <t>Parc. Oculos (03/03)</t>
  </si>
  <si>
    <t>Parc. Financiamento Moto (02/24)</t>
  </si>
  <si>
    <t>Maio / 2004</t>
  </si>
  <si>
    <t>Parc. Conserto Som (03/03)</t>
  </si>
  <si>
    <t>Parc. Financiamento Moto (04/24)</t>
  </si>
  <si>
    <t>Junho / 2004</t>
  </si>
  <si>
    <t>Parc. Financiamento Moto (05/24)</t>
  </si>
  <si>
    <t>Livro de VB</t>
  </si>
  <si>
    <t>Parc. Livro de VB (01/03)</t>
  </si>
  <si>
    <t>Julho / 2004</t>
  </si>
  <si>
    <t>Parc. Livro de VB (02/03)</t>
  </si>
  <si>
    <t>Agosto / 2004</t>
  </si>
  <si>
    <t>Guarda-Roupas</t>
  </si>
  <si>
    <t>Financ. Banco1.Net</t>
  </si>
  <si>
    <t>Parc. Financiamento banco1.net (01/24)</t>
  </si>
  <si>
    <t>Parc. Livro de VB (03/03)</t>
  </si>
  <si>
    <t>Oculos II</t>
  </si>
  <si>
    <t>Parc. Oculos ii (01/06)</t>
  </si>
  <si>
    <t>Setembro / 2004</t>
  </si>
  <si>
    <t>Parc. Financiamento banco1.net (02/24)</t>
  </si>
  <si>
    <t>Fogão</t>
  </si>
  <si>
    <t>Parc. Fogão (01/12)</t>
  </si>
  <si>
    <t>Parc. Oculos ii (02/06)</t>
  </si>
  <si>
    <t>Secador de cabelos</t>
  </si>
  <si>
    <t>Parc. Secador De cabelos (01/10)</t>
  </si>
  <si>
    <t>Mudança</t>
  </si>
  <si>
    <t>Parc. Mudança (01/03)</t>
  </si>
  <si>
    <t>Outurto / 2004</t>
  </si>
  <si>
    <t>Malas</t>
  </si>
  <si>
    <t>Parc. Malas(01/06)</t>
  </si>
  <si>
    <t>Parc. Financiamento banco1.net (03/24)</t>
  </si>
  <si>
    <t>Parc. Fogão (02/12)</t>
  </si>
  <si>
    <t>Parc. Oculos ii (03/06)</t>
  </si>
  <si>
    <t>Parc. Secador De cabelos (02/10)</t>
  </si>
  <si>
    <t>Parc. Mudança (02/03)</t>
  </si>
  <si>
    <t>Parc. Sabatos (01/03)</t>
  </si>
  <si>
    <t>Calça TNG</t>
  </si>
  <si>
    <t>Parc. Calça TNG (01/03)</t>
  </si>
  <si>
    <t>Novembro / 2004</t>
  </si>
  <si>
    <t>Parc. Malas(02/06)</t>
  </si>
  <si>
    <t>Parc. Financiamento Moto (10/24)</t>
  </si>
  <si>
    <t>Parc. Financiamento banco1.net (04/24)</t>
  </si>
  <si>
    <t>Seguro Aluguel</t>
  </si>
  <si>
    <t>Cheque - 000003 - Seguro Aluguel (02/04)</t>
  </si>
  <si>
    <t>Parc. Fogão (03/12)</t>
  </si>
  <si>
    <t>Parc. Oculos ii (04/06)</t>
  </si>
  <si>
    <t>Parc. Secador De cabelos (03/10)</t>
  </si>
  <si>
    <t>Parc. Mudança (03/03)</t>
  </si>
  <si>
    <t>Parc. Sabatos (02/03)</t>
  </si>
  <si>
    <t>Parc. Calça TNG (02/03)</t>
  </si>
  <si>
    <t>Cortinas</t>
  </si>
  <si>
    <t>Cheque - 300182 - Curtinas (01/02)</t>
  </si>
  <si>
    <t>Cabelereiro Cris</t>
  </si>
  <si>
    <t>Cheque - 300185 - Salao Cris (01/02)</t>
  </si>
  <si>
    <t>Dezembro / 2004</t>
  </si>
  <si>
    <t>Parc. Malas(03/06)</t>
  </si>
  <si>
    <t>Parc. Financiamento Moto (11/24)</t>
  </si>
  <si>
    <t>Parc. Financiamento banco1.net (05/24)</t>
  </si>
  <si>
    <t>Geladeira II/ Liqui II</t>
  </si>
  <si>
    <t>Cheque - 000014 - Geladeira (02/04)</t>
  </si>
  <si>
    <t>Cheque - 000004 - Seguro Aluguel (03/04)</t>
  </si>
  <si>
    <t xml:space="preserve">tattoo </t>
  </si>
  <si>
    <t>Cheque - 000020 - tattoo (02/02)</t>
  </si>
  <si>
    <t>Parc. Fogão (04/12)</t>
  </si>
  <si>
    <t>Parc. Oculos ii (05/06)</t>
  </si>
  <si>
    <t>Parc. Secador De cabelos (04/10)</t>
  </si>
  <si>
    <t>Parc. Sabatos (03/03)</t>
  </si>
  <si>
    <t>Parc. Calça TNG (03/03)</t>
  </si>
  <si>
    <t xml:space="preserve">Cheque - 300183 - Cortinas (02/02) </t>
  </si>
  <si>
    <t>Cheque - 300186 - Salão Cris (02/02)</t>
  </si>
  <si>
    <t>Janeiro / 2005</t>
  </si>
  <si>
    <t>Modem ADSL</t>
  </si>
  <si>
    <t>Parc. Modem ADSL (01/10)</t>
  </si>
  <si>
    <t>Pres. Casa. Cris</t>
  </si>
  <si>
    <t>Parc. Presente Casamento Cristiane (01/04)</t>
  </si>
  <si>
    <t>Parc. Passagem Araponga-Brasilia (01/03)</t>
  </si>
  <si>
    <t>Parc. Malas(04/06)</t>
  </si>
  <si>
    <t>Parc. Financiamento Moto (12/24)</t>
  </si>
  <si>
    <t>Parc. Financiamento banco1.net (06/24)</t>
  </si>
  <si>
    <t>Cheque - 000015 - Geladeira (03/04)</t>
  </si>
  <si>
    <t>Cheque - 000005 - Seguro Aluguel (04/04)</t>
  </si>
  <si>
    <t>Parc. Fogão (05/12)</t>
  </si>
  <si>
    <t>Parc. Oculos ii (06/06)</t>
  </si>
  <si>
    <t>Parc. Secador De cabelos (05/10)</t>
  </si>
  <si>
    <t>Parc. Modem ADSL (02/10)</t>
  </si>
  <si>
    <t>Parc. Presente Casamento Cristiane (02/04)</t>
  </si>
  <si>
    <t>Parc. Passagem Araponga-Brasilia (02/03)</t>
  </si>
  <si>
    <t>Web Cam</t>
  </si>
  <si>
    <t>Parc. Web Cam (01/03)</t>
  </si>
  <si>
    <t>Parc. Malas(05/06)</t>
  </si>
  <si>
    <t>Parc. Financiamento Moto (13/24)</t>
  </si>
  <si>
    <t>Parc. Financiamento banco1.net (07/24)</t>
  </si>
  <si>
    <t>Cheque - 000016 - Geladeira (04/04)</t>
  </si>
  <si>
    <t>Parc. Fogão (06/12)</t>
  </si>
  <si>
    <t>Parc. Secador De cabelos (06/10)</t>
  </si>
  <si>
    <t>Março / 2005</t>
  </si>
  <si>
    <t>Parc. Modem ADSL (03/10)</t>
  </si>
  <si>
    <t>Parc. Presente Casamento Cristiane (03/04)</t>
  </si>
  <si>
    <t>Parc. Passagem Araponga-Brasilia (03/03)</t>
  </si>
  <si>
    <t>Parc. Web Cam (02/03)</t>
  </si>
  <si>
    <t>Balcao Cozinha</t>
  </si>
  <si>
    <t>Parc. Balcão Cozinha (01/03)</t>
  </si>
  <si>
    <t>Celular Cris II</t>
  </si>
  <si>
    <t>Parc. Celular Cris (01/05)</t>
  </si>
  <si>
    <t xml:space="preserve">Capa de Chuva </t>
  </si>
  <si>
    <t>Parc. Capa Chuva (01/03)</t>
  </si>
  <si>
    <t>Oleo Moto</t>
  </si>
  <si>
    <t>Parc. Oleo Moto(01/03)</t>
  </si>
  <si>
    <t>Parc. Malas(06/06)</t>
  </si>
  <si>
    <t>Parc. Financiamento Moto (14/24)</t>
  </si>
  <si>
    <t>Parc. Financiamento banco1.net (08/24)</t>
  </si>
  <si>
    <t>Livro Cristiane</t>
  </si>
  <si>
    <t xml:space="preserve">Cheque - 000040 - Livro Cris (01/04) </t>
  </si>
  <si>
    <t>Pia do Banheiro</t>
  </si>
  <si>
    <t>Cheque - 000044 - Conserto Pia (01/02)</t>
  </si>
  <si>
    <t>Multifuncional HP 1315</t>
  </si>
  <si>
    <t>Parc. Scanner (01/06)</t>
  </si>
  <si>
    <t>Parc. Modem ADSL (04/10)</t>
  </si>
  <si>
    <t>Parc. Presente Casamento Cristiane (04/04)</t>
  </si>
  <si>
    <t>Parc. Web Cam (03/03)</t>
  </si>
  <si>
    <t>Parc. Balcão Cozinha (02/03)</t>
  </si>
  <si>
    <t>Parc. Celular Cris (02/05)</t>
  </si>
  <si>
    <t>Parc. Capa Chuva (02/03)</t>
  </si>
  <si>
    <t>Parc. Oleo Moto(02/03)</t>
  </si>
  <si>
    <t>Camera Digital GoTech</t>
  </si>
  <si>
    <t>Parc. Camera Digital (01/10)</t>
  </si>
  <si>
    <t>Parc. Financiamento Moto (15/24)</t>
  </si>
  <si>
    <t>Parc. Financiamento banco1.net (09/24)</t>
  </si>
  <si>
    <t>Parc. Fogão (07/12)</t>
  </si>
  <si>
    <t>Parc. Secador De cabelos (07/10)</t>
  </si>
  <si>
    <t xml:space="preserve">Cheque - 900000 - Livro Cris (02/04) </t>
  </si>
  <si>
    <t>Cheque - 000046 - Conserto Pia (02/02)</t>
  </si>
  <si>
    <t>Parc. Scanner (02/06)</t>
  </si>
  <si>
    <t>Parc. Modem ADSL (05/10)</t>
  </si>
  <si>
    <t>Parc. Balcão Cozinha (03/03)</t>
  </si>
  <si>
    <t>Parc. Celular Cris (03/05)</t>
  </si>
  <si>
    <t>Parc. Capa Chuva (03/03)</t>
  </si>
  <si>
    <t>Parc. Oleo Moto(03/03)</t>
  </si>
  <si>
    <t>Parc. Camera Digital (02/10)</t>
  </si>
  <si>
    <t>Parc. Financiamento Moto (16/24)</t>
  </si>
  <si>
    <t>Parc. Financiamento banco1.net (10/24)</t>
  </si>
  <si>
    <t>Parc. Fogão (08/12)</t>
  </si>
  <si>
    <t>Parc. Secador De cabelos (08/10)</t>
  </si>
  <si>
    <t xml:space="preserve">Cheque - 900001 - Livro Cris (03/04) </t>
  </si>
  <si>
    <t>Parc. Scanner (03/06)</t>
  </si>
  <si>
    <t>Parc. Modem ADSL (06/10)</t>
  </si>
  <si>
    <t>Parc. Celular Cris (04/05)</t>
  </si>
  <si>
    <t>Parc. Camera Digital (03/10)</t>
  </si>
  <si>
    <t>Celular LG G7100</t>
  </si>
  <si>
    <t>Parc. Celular LG (01/06)</t>
  </si>
  <si>
    <t>Passagem Cris 07/2005</t>
  </si>
  <si>
    <t>GOL TRAN SP AERE (01/02)</t>
  </si>
  <si>
    <t>Parc. Financiamento Moto (17/24)</t>
  </si>
  <si>
    <t>Parc. Financiamento banco1.net (11/24)</t>
  </si>
  <si>
    <t>Parc. Fogão (09/12)</t>
  </si>
  <si>
    <t>Parc. Secador De cabelos (09/10)</t>
  </si>
  <si>
    <t xml:space="preserve">Cheque - 300179 - Livro Cris (04/04) </t>
  </si>
  <si>
    <t>Parc. Scanner (04/06)</t>
  </si>
  <si>
    <t>Parc. Modem ADSL (07/10)</t>
  </si>
  <si>
    <t>Parc. Celular Cris (05/05)</t>
  </si>
  <si>
    <t>Parc. Camera Digital (04/10)</t>
  </si>
  <si>
    <t>Parc. Celular LG (02/06)</t>
  </si>
  <si>
    <t>GOL TRAN SP AERE (02/02)</t>
  </si>
  <si>
    <t>BOTA de Motoca</t>
  </si>
  <si>
    <t>Bota Motoca (01/02)</t>
  </si>
  <si>
    <t>Parc. Financiamento Moto (18/24)</t>
  </si>
  <si>
    <t>Parc. Financiamento banco1.net (12/24)</t>
  </si>
  <si>
    <t>Parc. Fogão (10/12)</t>
  </si>
  <si>
    <t>Parc. Secador De cabelos (10/10)</t>
  </si>
  <si>
    <t>Parc. Fogão (11/12)</t>
  </si>
  <si>
    <t>Parc. Scanner (05/06)</t>
  </si>
  <si>
    <t>Parc. Modem ADSL (08/10)</t>
  </si>
  <si>
    <t>Parc. Camera Digital (05/10)</t>
  </si>
  <si>
    <t>Parc. Celular LG (03/06)</t>
  </si>
  <si>
    <t>Bota Motoca (02/02)</t>
  </si>
  <si>
    <t>Celular Cris III</t>
  </si>
  <si>
    <t>Parc. Celular A800 (01/03)</t>
  </si>
  <si>
    <t>Alarme Moto</t>
  </si>
  <si>
    <t>Parc. Alarme Moto (01/03)</t>
  </si>
  <si>
    <t>Cris- Presente Meu</t>
  </si>
  <si>
    <t xml:space="preserve">Parc. Pura Mania (01/02) </t>
  </si>
  <si>
    <t>Parc. Financiamento Moto (19/24)</t>
  </si>
  <si>
    <t>Parc. Financiamento banco1.net (13/24)</t>
  </si>
  <si>
    <t>Parc. Scanner (06/06)</t>
  </si>
  <si>
    <t>Parc. Modem ADSL (09/10)</t>
  </si>
  <si>
    <t>Parc. Camera Digital (06/10)</t>
  </si>
  <si>
    <t>Parc. Celular LG (04/06)</t>
  </si>
  <si>
    <t>Parc. Celular A800 (02/03)</t>
  </si>
  <si>
    <t>Parc. Alarme Moto (02/03)</t>
  </si>
  <si>
    <t xml:space="preserve">Parc. Pura Mania (02/02) </t>
  </si>
  <si>
    <t>Sapato Cris II</t>
  </si>
  <si>
    <t>Parc. Sapato Cris (02/02)</t>
  </si>
  <si>
    <t>Parc. Financiamento Moto (20/24)</t>
  </si>
  <si>
    <t>Parc. Financiamento banco1.net (14/24)</t>
  </si>
  <si>
    <t>Parc. Fogão (12/12)</t>
  </si>
  <si>
    <t>Outubto / 2005</t>
  </si>
  <si>
    <t>Parc. Modem ADSL (10/10)</t>
  </si>
  <si>
    <t>Parc. Camera Digital (07/10)</t>
  </si>
  <si>
    <t>Parc. Celular LG (05/06)</t>
  </si>
  <si>
    <t>Parc. Celular A800 (03/03)</t>
  </si>
  <si>
    <t>Parc. Alarme Moto (03/03)</t>
  </si>
  <si>
    <t>Parc. Financiamento Moto (21/24)</t>
  </si>
  <si>
    <t>Parc. Financiamento banco1.net (15/24)</t>
  </si>
  <si>
    <t>Parc. Celular LG (06/06)</t>
  </si>
  <si>
    <t>Oculos III</t>
  </si>
  <si>
    <t>Parc .Oculos (01/02)</t>
  </si>
  <si>
    <t>Parc. Financiamento Moto (22/24)</t>
  </si>
  <si>
    <t>Parc. Financiamento banco1.net (16/24)</t>
  </si>
  <si>
    <t>Vôo 16ehcq</t>
  </si>
  <si>
    <t>Parc. Voo (BSB CGH) (01/03)</t>
  </si>
  <si>
    <t>Vôo q74mdx</t>
  </si>
  <si>
    <t xml:space="preserve">Parc. Voo (CGH BSB) (01/03) </t>
  </si>
  <si>
    <t>Parc. Voo (BSB CGH) (02/03)</t>
  </si>
  <si>
    <t xml:space="preserve">Parc. Voo (CGH BSB) (02/03) </t>
  </si>
  <si>
    <t>troca passagem 1</t>
  </si>
  <si>
    <t xml:space="preserve">Parc. Troca Passagem (CPQ BSB) (01/03) </t>
  </si>
  <si>
    <t>troca passagem 2</t>
  </si>
  <si>
    <t xml:space="preserve">Parc. Troca Passagem (CGH BSB) (01/03) </t>
  </si>
  <si>
    <t xml:space="preserve">Parc. Troca Passagem (CPQ BSB) (02/03) </t>
  </si>
  <si>
    <t xml:space="preserve">Parc. Troca Passagem (CGH BSB) (02/03) </t>
  </si>
  <si>
    <t>Parc. Camera Digital (09/10)</t>
  </si>
  <si>
    <t>Parc. Oculos (02/02)</t>
  </si>
  <si>
    <t>Parc. Financiamento Moto (23/24)</t>
  </si>
  <si>
    <t>Parc. Financiamento Moto (24/24)</t>
  </si>
  <si>
    <t>Parc. Financiamento banco1.net (17/24)</t>
  </si>
  <si>
    <t>Vôo V457LP</t>
  </si>
  <si>
    <t xml:space="preserve">Parc. Voo Luiz BSB - CHG (01/02) </t>
  </si>
  <si>
    <t>Vôo EJW4BV</t>
  </si>
  <si>
    <t>Parc. Voo (BSB CGH) (03/03)</t>
  </si>
  <si>
    <t xml:space="preserve">Parc. Voo (CGH BSB) (03/03) </t>
  </si>
  <si>
    <t xml:space="preserve">Parc. Troca Passagem (CPQ BSB) (03/03) </t>
  </si>
  <si>
    <t xml:space="preserve">Parc. Troca Passagem (CGH BSB) (03/03) </t>
  </si>
  <si>
    <t>Parc. Camera Digital (10/10)</t>
  </si>
  <si>
    <t>Parc. Financiamento banco1.net (18/24)</t>
  </si>
  <si>
    <t>Parc. Financiamento banco1.net (19/24)</t>
  </si>
  <si>
    <t>Parc. Financiamento banco1.net (20/24)</t>
  </si>
  <si>
    <t>Parc. Financiamento banco1.net (21/24)</t>
  </si>
  <si>
    <t>Parc. Financiamento banco1.net (22/24)</t>
  </si>
  <si>
    <t>Parc. Financiamento banco1.net (23/24)</t>
  </si>
  <si>
    <t>Parc. Financiamento banco1.net (24/24)</t>
  </si>
  <si>
    <t>Fevereiro / 2006</t>
  </si>
  <si>
    <t xml:space="preserve">Parc. Voo Luiz BSB - CHG (02/02) </t>
  </si>
  <si>
    <t>Mudança BSB SPO</t>
  </si>
  <si>
    <t>Parc. Mudança BSB SPO (01/04)</t>
  </si>
  <si>
    <t>Cortina Sala</t>
  </si>
  <si>
    <t>Abril / 2006</t>
  </si>
  <si>
    <t>Parc. Mudança BSB SPO (02/04)</t>
  </si>
  <si>
    <t>Home Theather</t>
  </si>
  <si>
    <t>Parc. Home Theater (01/06)</t>
  </si>
  <si>
    <t>CBx Twister 250</t>
  </si>
  <si>
    <t>Parc. Consórcio CBX Twister (01/25)</t>
  </si>
  <si>
    <t>Parc. Mudança BSB SPO (03/04)</t>
  </si>
  <si>
    <t>Bolsa cristiane</t>
  </si>
  <si>
    <t>parc. Bolsa Nova (01/02)</t>
  </si>
  <si>
    <t>Parc. Home Theater (02/06)</t>
  </si>
  <si>
    <t>Jaqueta Couro</t>
  </si>
  <si>
    <t>Parc. Jaqueta Couro (01/04)</t>
  </si>
  <si>
    <t>Parc. Consórcio CBX Twister (02/25)</t>
  </si>
  <si>
    <t>Junho / 2006</t>
  </si>
  <si>
    <t>Parc. Mudança BSB SPO (04/04)</t>
  </si>
  <si>
    <t>Bolsa Cristiane</t>
  </si>
  <si>
    <t>parc. Bolsa Nova (02/02)</t>
  </si>
  <si>
    <t>Parc. Home Theater (03/06)</t>
  </si>
  <si>
    <t>Parc. Jaqueta Couro (02/04)</t>
  </si>
  <si>
    <t>Parc. Consórcio CBX Twister (03/25)</t>
  </si>
  <si>
    <t>Parc. Home Theater (04/06)</t>
  </si>
  <si>
    <t>Parc. Jaqueta Couro (03/04)</t>
  </si>
  <si>
    <t>Parc. Consórcio CBX Twister (04/25)</t>
  </si>
  <si>
    <t>Parc. Home Theater (05/06)</t>
  </si>
  <si>
    <t>Parc. Jaqueta Couro (04/04)</t>
  </si>
  <si>
    <t>Parc. Consórcio CBX Twister (05/25)</t>
  </si>
  <si>
    <t>Parc. Consórcio CBX Twister (25/25)</t>
  </si>
  <si>
    <t>Parc. Consórcio CBX Twister (24/25)</t>
  </si>
  <si>
    <t>Parc. Consórcio CBX Twister (23/25)</t>
  </si>
  <si>
    <t>Parc. Consórcio CBX Twister (22/25)</t>
  </si>
  <si>
    <t>Parc. Consórcio CBX Twister (21/25)</t>
  </si>
  <si>
    <t>Parc. Consórcio CBX Twister (20/25)</t>
  </si>
  <si>
    <t>Parc. Consórcio CBX Twister (19/25)</t>
  </si>
  <si>
    <t>Parc. Consórcio CBX Twister (18/25)</t>
  </si>
  <si>
    <t>Parc. Consórcio CBX Twister (17/25)</t>
  </si>
  <si>
    <t>Parc. Consórcio CBX Twister (16/25)</t>
  </si>
  <si>
    <t>Parc. Consórcio CBX Twister (15/25)</t>
  </si>
  <si>
    <t>Parc. Consórcio CBX Twister (14/25)</t>
  </si>
  <si>
    <t>Parc. Consórcio CBX Twister (13/25)</t>
  </si>
  <si>
    <t>Parc. Home Theater (06/06)</t>
  </si>
  <si>
    <t>Parc. Consórcio CBX Twister (06/25)</t>
  </si>
  <si>
    <t>Parc. Playstation 2 (01/06)</t>
  </si>
  <si>
    <t>Parc. Consórcio CBX Twister (07/25)</t>
  </si>
  <si>
    <t>Seguro Twister 2006/2007</t>
  </si>
  <si>
    <t>Seguro Twister (01/04)</t>
  </si>
  <si>
    <t>Parc. Playstation 2 (02/06)</t>
  </si>
  <si>
    <t>Seguro Twister (02/04)</t>
  </si>
  <si>
    <t>Parc. Playstation 2 (03/06)</t>
  </si>
  <si>
    <t>Parc. Consórcio CBX Twister (09/25)</t>
  </si>
  <si>
    <t>Janeiro  / 2007</t>
  </si>
  <si>
    <t>Seguro Twister (03/04)</t>
  </si>
  <si>
    <t>Seguro Peugeot 2007</t>
  </si>
  <si>
    <t>Seguro Peugeot (01/04)</t>
  </si>
  <si>
    <t>Parc. Playstation 2 (04/06)</t>
  </si>
  <si>
    <t xml:space="preserve">Peugeot 206 </t>
  </si>
  <si>
    <t>Seguro Twister (04/04)</t>
  </si>
  <si>
    <t>Seguro Peugeot (02/04)</t>
  </si>
  <si>
    <t>Parc. Playstation 2 (05/06)</t>
  </si>
  <si>
    <t>Alarme + Som - 206</t>
  </si>
  <si>
    <t>Parc. Alarme + Som do 206 (01/03)</t>
  </si>
  <si>
    <t>Instalação S + A</t>
  </si>
  <si>
    <t>Parc. Instalação Som + Alarme (01/02)</t>
  </si>
  <si>
    <t>Camera digital Canon SD600</t>
  </si>
  <si>
    <t>Parc. Camera Digital Canon SD600 (01/12)</t>
  </si>
  <si>
    <t>Parc. Consórcio CBX Twister (12/25)</t>
  </si>
  <si>
    <t>Parc. Consórcio CBX Twister (11/25)</t>
  </si>
  <si>
    <t>Seguro Peugeot (03/04)</t>
  </si>
  <si>
    <t>Parc. Instalação Som + Alarme (02/02)</t>
  </si>
  <si>
    <t>Parc. Playstation 2 (06/06)</t>
  </si>
  <si>
    <t>Parc. Alarme + Som do 206 (02/03)</t>
  </si>
  <si>
    <t>Parc. Camera Digital Canon SD600 (02/12)</t>
  </si>
  <si>
    <t>Seguro Peugeot (04/04)</t>
  </si>
  <si>
    <t>Parc. Alarme + Som do 206 (03/03)</t>
  </si>
  <si>
    <t>Parc. Camera Digital Canon SD600 (03/12)</t>
  </si>
  <si>
    <t>DVD DVP5765K</t>
  </si>
  <si>
    <t>Parc. DVD (01/03)</t>
  </si>
  <si>
    <t>Moveis do Quarto</t>
  </si>
  <si>
    <t xml:space="preserve">Parc. Moveis Quarto (06/06) </t>
  </si>
  <si>
    <t>maio / 2007</t>
  </si>
  <si>
    <t>Parc. Camera Digital Canon SD600 (04/12)</t>
  </si>
  <si>
    <t>Parc. DVD (02/03)</t>
  </si>
  <si>
    <t xml:space="preserve">Parc. Moveis Quarto (01/06) </t>
  </si>
  <si>
    <t xml:space="preserve">Parc. Moveis Quarto (05/06) </t>
  </si>
  <si>
    <t>Parc. Peugeot 206 (11/12)</t>
  </si>
  <si>
    <t>Parc. Peugeot 206 (05/12)</t>
  </si>
  <si>
    <t>Junho / 2007</t>
  </si>
  <si>
    <t>Parc. Camera Digital Canon SD600 (05/12)</t>
  </si>
  <si>
    <t>Parc. DVD (03/03)</t>
  </si>
  <si>
    <t>Cell Sony Ericsson W710i</t>
  </si>
  <si>
    <t>Parc. Celular Sony Ericson W710i (01/10)</t>
  </si>
  <si>
    <t>TV LCD LG LC262R</t>
  </si>
  <si>
    <t>Parc. TV LCD (01/10)</t>
  </si>
  <si>
    <t xml:space="preserve">Parc. Moveis Quarto (02/06) </t>
  </si>
  <si>
    <t>Parc. Peugeot 206 (06/12)</t>
  </si>
  <si>
    <t>Parc. Camera Digital Canon SD600 (06/12)</t>
  </si>
  <si>
    <t>Parc. Celular Sony Ericson W710i (02/10)</t>
  </si>
  <si>
    <t>Parc. TV LCD (02/10)</t>
  </si>
  <si>
    <t xml:space="preserve">Parc. Moveis Quarto (03/06) </t>
  </si>
  <si>
    <t>Parc. Peugeot 206 (07/12)</t>
  </si>
  <si>
    <t>Parc. Camera Digital Canon SD600 (07/12)</t>
  </si>
  <si>
    <t>Parc. Celular Sony Ericson W710i (03/10)</t>
  </si>
  <si>
    <t>Parc. TV LCD (03/10)</t>
  </si>
  <si>
    <t xml:space="preserve">Parc. Moveis Quarto (04/06) </t>
  </si>
  <si>
    <t>Parc. Peugeot 206 (08/12)</t>
  </si>
  <si>
    <t>Setembro / 2007</t>
  </si>
  <si>
    <t>Parc. Camera Digital Canon SD600 (08/12)</t>
  </si>
  <si>
    <t>Parc. Celular Sony Ericson W710i (04/10)</t>
  </si>
  <si>
    <t>Parc. TV LCD (04/10)</t>
  </si>
  <si>
    <t>Parc. Camera Digital Canon SD600 (09/12)</t>
  </si>
  <si>
    <t>Parc. Celular Sony Ericson W710i (05/10)</t>
  </si>
  <si>
    <t>Parc. TV LCD (05/10)</t>
  </si>
  <si>
    <t>Revisão Peugeot</t>
  </si>
  <si>
    <t>Parc. Revisão Peugeot 206 (01/03)</t>
  </si>
  <si>
    <t>Parc. Camera Digital Canon SD600 (10/12)</t>
  </si>
  <si>
    <t>Parc. Celular Sony Ericson W710i (06/10)</t>
  </si>
  <si>
    <t>Parc. TV LCD (06/10)</t>
  </si>
  <si>
    <t>Parc. Revisão Peugeot 206 (02/03)</t>
  </si>
  <si>
    <t>Parc. Camera Digital Canon SD600 (11/12)</t>
  </si>
  <si>
    <t>Parc. Celular Sony Ericson W710i (07/10)</t>
  </si>
  <si>
    <t>Parc. TV LCD (07/10)</t>
  </si>
  <si>
    <t>Parc. Revisão Peugeot 206 (03/03)</t>
  </si>
  <si>
    <t>PSP Slim</t>
  </si>
  <si>
    <t>Parc. PSP Slim (MC) (01/03)</t>
  </si>
  <si>
    <t>Seguro Peugeot 2008</t>
  </si>
  <si>
    <t>Parc. Seguro 2008 Peugeout (01/04)</t>
  </si>
  <si>
    <t>Parc. Camera Digital Canon SD600 (12/12)</t>
  </si>
  <si>
    <t>Parc. Celular Sony Ericson W710i (08/10)</t>
  </si>
  <si>
    <t>Parc. TV LCD (08/10)</t>
  </si>
  <si>
    <t>Fevereiro / 2008</t>
  </si>
  <si>
    <t>Parc. PSP Slim (MC) (02/03)</t>
  </si>
  <si>
    <t>Parc. Seguro 2008 Peugeout (02/04)</t>
  </si>
  <si>
    <t>Parc. Celular Sony Ericson W710i (09/10)</t>
  </si>
  <si>
    <t>Parc. TV LCD (09/10)</t>
  </si>
  <si>
    <t>MArço / 2008</t>
  </si>
  <si>
    <t xml:space="preserve">PSP Slim </t>
  </si>
  <si>
    <t>Parc. PSP Slim (MC) (03/03)</t>
  </si>
  <si>
    <t>Parc. Seguro 2008 Peugeout (03/04)</t>
  </si>
  <si>
    <t>Parc. Celular Sony Ericson W710i (10/10)</t>
  </si>
  <si>
    <t>Parc. TV LCD (10/10)</t>
  </si>
  <si>
    <t>Parc. Seguro 2008 Peugeout (04/04)</t>
  </si>
  <si>
    <t>Mario / 2008</t>
  </si>
  <si>
    <t>clinica Gordo</t>
  </si>
  <si>
    <t>Cheque 010045 - Clinica de Gordo (01/02)</t>
  </si>
  <si>
    <t>Cheque 010046 - Clinica de Gordo (02/02)</t>
  </si>
  <si>
    <t>materia CCAA Cris</t>
  </si>
  <si>
    <t xml:space="preserve">Cheque - 010047 - CCAA CRIS (01/02) </t>
  </si>
  <si>
    <t>GPS Elgin N21</t>
  </si>
  <si>
    <t>Parcela GPS (01/10)</t>
  </si>
  <si>
    <t>Oculos IV</t>
  </si>
  <si>
    <t>Parcela Novos Oculos (01/02)</t>
  </si>
  <si>
    <t xml:space="preserve">Cheque - 010048 - CCAA CRIS (02/02) </t>
  </si>
  <si>
    <t>Parcela GPS (02/10)</t>
  </si>
  <si>
    <t>Moveis da Sala</t>
  </si>
  <si>
    <t>Parcela Novos Oculos (02/02)</t>
  </si>
  <si>
    <t>Redes de Proteção (01/02)</t>
  </si>
  <si>
    <t>Parcela GPS (03/10)</t>
  </si>
  <si>
    <t>Roupas diversas</t>
  </si>
  <si>
    <t>Diversas Roupas Novas (01/03)</t>
  </si>
  <si>
    <t>Espada decoração</t>
  </si>
  <si>
    <t>Espada Samurai pra decoração (01/02)</t>
  </si>
  <si>
    <t>Coisas pra Ap Novo</t>
  </si>
  <si>
    <t>diversas coisas de Ap Novo (01/03)</t>
  </si>
  <si>
    <t>Terno TNG</t>
  </si>
  <si>
    <t>Parc. Terno TNG (01/03)</t>
  </si>
  <si>
    <t>Celular Nokia N95</t>
  </si>
  <si>
    <t xml:space="preserve">Parcela Celular N95 (01/04) </t>
  </si>
  <si>
    <t>Redes de Protação</t>
  </si>
  <si>
    <t>Redes de Proteção (02/02)</t>
  </si>
  <si>
    <t>Parcela GPS (04/10)</t>
  </si>
  <si>
    <t>Diversas Roupas Novas (02/03)</t>
  </si>
  <si>
    <t>diversas coisas de Ap Novo (02/03)</t>
  </si>
  <si>
    <t>Parc. Terno TNG (02/03)</t>
  </si>
  <si>
    <t>Tapetes da Sala</t>
  </si>
  <si>
    <t>Parcelas Tapetes Sala (01/06)</t>
  </si>
  <si>
    <t xml:space="preserve">Parcela Celular N95 (02/04) </t>
  </si>
  <si>
    <t>Viagem Cristiane BSB</t>
  </si>
  <si>
    <t xml:space="preserve">GOL TRAN SP AERE01/02 </t>
  </si>
  <si>
    <t>Parcela GPS (05/10)</t>
  </si>
  <si>
    <t>Diversas Roupas Novas (03/03)</t>
  </si>
  <si>
    <t>diversas coisas de Ap Novo (03/03)</t>
  </si>
  <si>
    <t>Parc. Terno TNG (03/03)</t>
  </si>
  <si>
    <t>Parcelas Tapetes Sala (02/06)</t>
  </si>
  <si>
    <t xml:space="preserve">Parcela Celular N95 (03/04) </t>
  </si>
  <si>
    <t xml:space="preserve">GOL TRAN SP AERE02/02 </t>
  </si>
  <si>
    <t>Parcela GPS (06/10)</t>
  </si>
  <si>
    <t>Parcela GPS (10/10)</t>
  </si>
  <si>
    <t>Cheque - AA-000077 - Parcelas Moveis Novos (05/05)</t>
  </si>
  <si>
    <t>Parcelas Tapetes Sala (03/06)</t>
  </si>
  <si>
    <t xml:space="preserve">Parcela Celular N95 (04/04) </t>
  </si>
  <si>
    <t>Seguro Peugeot 2009</t>
  </si>
  <si>
    <t>Parc. Seguro Peugeout (01/04)</t>
  </si>
  <si>
    <t>Coisas TOK Stok</t>
  </si>
  <si>
    <t>Coisas pra casa (01/02)</t>
  </si>
  <si>
    <t>Notebook Cris</t>
  </si>
  <si>
    <t>Parc Notebook Cris (01/04)</t>
  </si>
  <si>
    <t>Parcela Bella Forma (01/05)</t>
  </si>
  <si>
    <t>Parcela GPS (07/10)</t>
  </si>
  <si>
    <t>Parcela GPS (09/10)</t>
  </si>
  <si>
    <t>Parcelas Tapetes Sala (04/06)</t>
  </si>
  <si>
    <t>Roupas Esportivas</t>
  </si>
  <si>
    <t>Parc. Roupas Esp. E Tenis (01/03)</t>
  </si>
  <si>
    <t>Parc. Seguro Peugeout (02/04)</t>
  </si>
  <si>
    <t>Boticário cristiane</t>
  </si>
  <si>
    <t>Perfumes no boticario (01/02)</t>
  </si>
  <si>
    <t>Parc Notebook Cris (02/04)</t>
  </si>
  <si>
    <t>Coisas pra casa (02/02)</t>
  </si>
  <si>
    <t>IPTU 2009</t>
  </si>
  <si>
    <t>Parcela (01/10)</t>
  </si>
  <si>
    <t>Parcela Bella Forma (02/05)</t>
  </si>
  <si>
    <t>Parcela GPS (08/10)</t>
  </si>
  <si>
    <t>Parcelas Tapetes Sala (05/06)</t>
  </si>
  <si>
    <t>Parc. Roupas Esp. E Tenis (02/03)</t>
  </si>
  <si>
    <t>Parc. Seguro Peugeout (03/04)</t>
  </si>
  <si>
    <t>Perfumes no boticario (02/02)</t>
  </si>
  <si>
    <t>Parc Notebook Cris (03/04)</t>
  </si>
  <si>
    <t>Cris Bijux</t>
  </si>
  <si>
    <t>Delujo (01/02)</t>
  </si>
  <si>
    <t>Cris Cosmeticos</t>
  </si>
  <si>
    <t>Perfumaria Ives (01/02)</t>
  </si>
  <si>
    <t>Parcela (02/10)</t>
  </si>
  <si>
    <t>Parcela Bella Forma (03/05)</t>
  </si>
  <si>
    <t>Parcelas Tapetes Sala (06/06)</t>
  </si>
  <si>
    <t>Parc. Roupas Esp. E Tenis (03/03)</t>
  </si>
  <si>
    <t>Parc. Seguro Peugeout (04/04)</t>
  </si>
  <si>
    <t>Parc Notebook Cris (04/04)</t>
  </si>
  <si>
    <t>Delujo (02/02)</t>
  </si>
  <si>
    <t>Perfumaria Ives (02/02)</t>
  </si>
  <si>
    <t>Parcela (03/10)</t>
  </si>
  <si>
    <t>Parcela Bella Forma (04/05)</t>
  </si>
  <si>
    <t>Cris roupas</t>
  </si>
  <si>
    <t>Lori (01/02)</t>
  </si>
  <si>
    <t>Parcela (04/10)</t>
  </si>
  <si>
    <t>Parcela Bella Forma (05/05)</t>
  </si>
  <si>
    <t>Cris Roupas</t>
  </si>
  <si>
    <t>VIV L EROA 01/02</t>
  </si>
  <si>
    <t>Parcela (05/10)</t>
  </si>
  <si>
    <t>VIV L EROA 02/02</t>
  </si>
  <si>
    <t>COR DE ROSA 01/02</t>
  </si>
  <si>
    <t>Parcela (06/10)</t>
  </si>
  <si>
    <t>Peugeot 207</t>
  </si>
  <si>
    <t>Parcela (01/24)</t>
  </si>
  <si>
    <t>Colchão Novo</t>
  </si>
  <si>
    <t xml:space="preserve">Parcela Novo Colchão (01/03) </t>
  </si>
  <si>
    <t>Notebook Dell Aspire 1545</t>
  </si>
  <si>
    <t>NoteBook Dell Aspire 1545 (01/06)</t>
  </si>
  <si>
    <t>Compl Seg 207 2009</t>
  </si>
  <si>
    <t>Parc. Complemetar Seguro 207 -2009 - (01/04)</t>
  </si>
  <si>
    <t>COR DE ROSA 02/02</t>
  </si>
  <si>
    <t>Parcela (07/10)</t>
  </si>
  <si>
    <t>Parcela (02/24)</t>
  </si>
  <si>
    <t xml:space="preserve">Parcela Novo Colchão (02/03) </t>
  </si>
  <si>
    <t>NoteBook Dell Aspire 1545 (02/06)</t>
  </si>
  <si>
    <t>Parc. Complemetar Seguro 207 -2009 - (02/04)</t>
  </si>
  <si>
    <t>Parcela (08/10)</t>
  </si>
  <si>
    <t>Parcela (03/24)</t>
  </si>
  <si>
    <t xml:space="preserve">Parcela Novo Colchão (03/03) </t>
  </si>
  <si>
    <t>Férias 2009</t>
  </si>
  <si>
    <t xml:space="preserve">Viagem Natal-PE - 2009 (01/06) </t>
  </si>
  <si>
    <t>Parc. Complemetar Seguro 207 -2009 - (03/04)</t>
  </si>
  <si>
    <t>NoteBook Dell Aspire 1545 (03/06)</t>
  </si>
  <si>
    <t>Parcela (09/10)</t>
  </si>
  <si>
    <t>Parcela (04/24)</t>
  </si>
  <si>
    <t>NoteBook Dell Aspire 1545 (04/06)</t>
  </si>
  <si>
    <t xml:space="preserve">Viagem Natal-PE - 2009 (02/06) </t>
  </si>
  <si>
    <t>Parc. Complemetar Seguro 207 -2009 - (04/04)</t>
  </si>
  <si>
    <t>Parcela (10/10)</t>
  </si>
  <si>
    <t>Parcela (05/24)</t>
  </si>
  <si>
    <t>NoteBook Dell Aspire 1545 (05/06)</t>
  </si>
  <si>
    <t xml:space="preserve">Viagem Natal-PE - 2009 (03/06) </t>
  </si>
  <si>
    <t>Parcela (06/24)</t>
  </si>
  <si>
    <t>NoteBook Dell Aspire 1545 (06/06)</t>
  </si>
  <si>
    <t xml:space="preserve">Viagem Natal-PE - 2009 (04/06) </t>
  </si>
  <si>
    <t>IPTU 2010</t>
  </si>
  <si>
    <t xml:space="preserve">Parcela (01/01) </t>
  </si>
  <si>
    <t>Roupas Cristiane</t>
  </si>
  <si>
    <t>Binomio Modas (01/02)</t>
  </si>
  <si>
    <t>Parcela (07/24)</t>
  </si>
  <si>
    <t xml:space="preserve">Viagem Natal-PE - 2009 (05/06) </t>
  </si>
  <si>
    <t>Binomio Modas (02/02)</t>
  </si>
  <si>
    <t>Parcela (08/24)</t>
  </si>
  <si>
    <t xml:space="preserve">Viagem Natal-PE - 2009 (06/06) </t>
  </si>
  <si>
    <t>Parcela (09/24)</t>
  </si>
  <si>
    <t>maio / 2010</t>
  </si>
  <si>
    <t>Parcela (10/24)</t>
  </si>
  <si>
    <t>IRPF 2010</t>
  </si>
  <si>
    <t>Parcela (01/07)</t>
  </si>
  <si>
    <t>Junho / 2010</t>
  </si>
  <si>
    <t>Nokia N97</t>
  </si>
  <si>
    <t>Parcela (01/06)</t>
  </si>
  <si>
    <t>Bota Pixole</t>
  </si>
  <si>
    <t>Pacela Bota Cristiane (01/02)</t>
  </si>
  <si>
    <t>Parcela (11/24)</t>
  </si>
  <si>
    <t>Parcela (02/07)</t>
  </si>
  <si>
    <t>Julho / 2010</t>
  </si>
  <si>
    <t>Parcela (02/06)</t>
  </si>
  <si>
    <t>Pacela Bota Cristiane (02/02)</t>
  </si>
  <si>
    <t>Parcela (12/24)</t>
  </si>
  <si>
    <t>Parcela (03/07)</t>
  </si>
  <si>
    <t>Agosto / 2010</t>
  </si>
  <si>
    <t>Parcela (03/06)</t>
  </si>
  <si>
    <t>Blusa Cristiane</t>
  </si>
  <si>
    <t>Jaqueta (01/02)</t>
  </si>
  <si>
    <t>Parcela (13/24)</t>
  </si>
  <si>
    <t>Parcela (04/07)</t>
  </si>
  <si>
    <t>Setembro / 2010</t>
  </si>
  <si>
    <t>Parcela (04/06)</t>
  </si>
  <si>
    <t>N5800</t>
  </si>
  <si>
    <t>Celular N5800 Cristiame (01/03)</t>
  </si>
  <si>
    <t>Jaqueta (02/02)</t>
  </si>
  <si>
    <t>Seg P207-1.6-XS 2010/2011</t>
  </si>
  <si>
    <t>Parcela (01/04)</t>
  </si>
  <si>
    <t>Parcela (05/07)</t>
  </si>
  <si>
    <t>IPVA 2010</t>
  </si>
  <si>
    <t>IPVA Parcela (02/03)</t>
  </si>
  <si>
    <t>IPVA Parcela (03/03)</t>
  </si>
  <si>
    <t>Seguro P207-1.6-XS (02/04)</t>
  </si>
  <si>
    <t>Seguro P207-1.6-XS (03/04)</t>
  </si>
  <si>
    <t>Seguro P207-1.6-XS (04/04)</t>
  </si>
  <si>
    <t>Parcela (05/06)</t>
  </si>
  <si>
    <t>Celular N5800 Cristiame (02/03)</t>
  </si>
  <si>
    <t>Acc. P207-1.6-XS</t>
  </si>
  <si>
    <t>Pioneer DEH5280SD + GPS TomTomOne Classic (01/06)</t>
  </si>
  <si>
    <t>Parcela (01/36)</t>
  </si>
  <si>
    <t>seguro Aluguel 2010</t>
  </si>
  <si>
    <t>Parcela (06/07)</t>
  </si>
  <si>
    <t>Novembro / 2010</t>
  </si>
  <si>
    <t>Parcela (06/06)</t>
  </si>
  <si>
    <t>Celular N5800 Cristiame (03/03)</t>
  </si>
  <si>
    <t>Pioneer DEH5280SD + GPS TomTomOne Classic (02/06)</t>
  </si>
  <si>
    <t>Jaques Janenes</t>
  </si>
  <si>
    <t>Parcela (01/02)</t>
  </si>
  <si>
    <t>Parcela (02/36)</t>
  </si>
  <si>
    <t>Parcela (02/04)</t>
  </si>
  <si>
    <t>Parcela (07/07)</t>
  </si>
  <si>
    <t>Dezembro / 2010</t>
  </si>
  <si>
    <t>Pioneer DEH5280SD + GPS TomTomOne Classic (03/06)</t>
  </si>
  <si>
    <t>Parcela (02/02)</t>
  </si>
  <si>
    <t>STR-DN1000</t>
  </si>
  <si>
    <t xml:space="preserve">parcela (01/04) </t>
  </si>
  <si>
    <t>Parcela (03/36)</t>
  </si>
  <si>
    <t>Parcela (03/04)</t>
  </si>
  <si>
    <t>Pioneer DEH5280SD + GPS TomTomOne Classic (04/06)</t>
  </si>
  <si>
    <t xml:space="preserve">parcela (02/04) </t>
  </si>
  <si>
    <t>Parcela (04/36)</t>
  </si>
  <si>
    <t>Parcela (04/04)</t>
  </si>
  <si>
    <t>Fevereiro / 2011</t>
  </si>
  <si>
    <t xml:space="preserve">parcela (03/04) </t>
  </si>
  <si>
    <t>Pioneer DEH5280SD + GPS TomTomOne Classic (05/06)</t>
  </si>
  <si>
    <t>Parcela (05/36)</t>
  </si>
  <si>
    <t>Março / 2011</t>
  </si>
  <si>
    <t xml:space="preserve">parcela (04/04) </t>
  </si>
  <si>
    <t>Pioneer DEH5280SD + GPS TomTomOne Classic (06/06)</t>
  </si>
  <si>
    <t>Parcela (06/36)</t>
  </si>
  <si>
    <t>IPTU 2011</t>
  </si>
  <si>
    <t>Abril / 2011</t>
  </si>
  <si>
    <t>Parcela (07/36)</t>
  </si>
  <si>
    <t>Parcela (36/36)</t>
  </si>
  <si>
    <t>Parcela (35/36)</t>
  </si>
  <si>
    <t>IRPF 2011</t>
  </si>
  <si>
    <t xml:space="preserve">Parcela (01/07) </t>
  </si>
  <si>
    <t>Maio / 2011</t>
  </si>
  <si>
    <t>Parcela (08/36)</t>
  </si>
  <si>
    <t>Parcela (34/36)</t>
  </si>
  <si>
    <t>Parcela (33/36)</t>
  </si>
  <si>
    <t xml:space="preserve">Parcela (02/07) </t>
  </si>
  <si>
    <t>Parcela (09/36)</t>
  </si>
  <si>
    <t>Férias 2011</t>
  </si>
  <si>
    <t xml:space="preserve">Jericoacoara (01/10) </t>
  </si>
  <si>
    <t>Parcela (32/36)</t>
  </si>
  <si>
    <t>Motorola Atrix</t>
  </si>
  <si>
    <t>Parcela (31/36)</t>
  </si>
  <si>
    <t>Reforma Sofás</t>
  </si>
  <si>
    <t>Parcela (01/03)</t>
  </si>
  <si>
    <t>Parcela (10/36)</t>
  </si>
  <si>
    <t xml:space="preserve">Jericoacoara (02/10) </t>
  </si>
  <si>
    <t>Parcela (30/36)</t>
  </si>
  <si>
    <t>Motorola Defy Cris</t>
  </si>
  <si>
    <t>Parcela (01/05)</t>
  </si>
  <si>
    <t>Oculos Cristiane</t>
  </si>
  <si>
    <t>Motorola Xoom</t>
  </si>
  <si>
    <t>Parcela (01/12)</t>
  </si>
  <si>
    <t xml:space="preserve">Trat Cabel Cris </t>
  </si>
  <si>
    <t>Parcela (02/03)</t>
  </si>
  <si>
    <t>Parcela (29/36)</t>
  </si>
  <si>
    <t>Parcela (11/36)</t>
  </si>
  <si>
    <t xml:space="preserve">Jericoacoara (03/10) </t>
  </si>
  <si>
    <t>Parcela (28/36)</t>
  </si>
  <si>
    <t>Parcela (02/05)</t>
  </si>
  <si>
    <t>Parcela (02/12)</t>
  </si>
  <si>
    <t>Parcela (03/03)</t>
  </si>
  <si>
    <t>Parcela (27/36)</t>
  </si>
  <si>
    <t>Jericoacoara (04/10)</t>
  </si>
  <si>
    <t>Parcela (03/05)</t>
  </si>
  <si>
    <t>Parcela (03/12)</t>
  </si>
  <si>
    <t>Parcela (12/36)</t>
  </si>
  <si>
    <t>Seg P207-1.6-XS 2011/2012</t>
  </si>
  <si>
    <t xml:space="preserve">Parcela (01/04) </t>
  </si>
  <si>
    <t>Outubro / 2011</t>
  </si>
  <si>
    <t>Parcela (13/36)</t>
  </si>
  <si>
    <t xml:space="preserve">Jericoacoara (05/10) </t>
  </si>
  <si>
    <t>Parcela (04/05)</t>
  </si>
  <si>
    <t>Parcela (04/12)</t>
  </si>
  <si>
    <t>Novembro / 2011</t>
  </si>
  <si>
    <t>Parcela (14/36)</t>
  </si>
  <si>
    <t xml:space="preserve">Jericoacoara (06/10) </t>
  </si>
  <si>
    <t>Parcela (05/12)</t>
  </si>
  <si>
    <t>Parcela (05/05)</t>
  </si>
  <si>
    <t xml:space="preserve">Parcela (02/04) </t>
  </si>
  <si>
    <t>Dezembro / 2011</t>
  </si>
  <si>
    <t>Parcela (15/36)</t>
  </si>
  <si>
    <t xml:space="preserve">Jericoacoara (07/10) </t>
  </si>
  <si>
    <t xml:space="preserve">Parcela (03/04) </t>
  </si>
  <si>
    <t>Parcela (06/12)</t>
  </si>
  <si>
    <t xml:space="preserve">Parcela (04/04) </t>
  </si>
  <si>
    <t>Parcela (26/36)</t>
  </si>
  <si>
    <t>Parcela (25/36)</t>
  </si>
  <si>
    <t>Janeiro / 2012</t>
  </si>
  <si>
    <t xml:space="preserve">Jericoacoara (08/10) </t>
  </si>
  <si>
    <t>Parcela (07/12)</t>
  </si>
  <si>
    <t>Parcela (16/36)</t>
  </si>
  <si>
    <t>Parcela (24/36)</t>
  </si>
  <si>
    <t>Parcela (23/36)</t>
  </si>
  <si>
    <t>Fevereiro / 2012</t>
  </si>
  <si>
    <t>Jericoacoara (09/10)</t>
  </si>
  <si>
    <t>Parcela (08/12)</t>
  </si>
  <si>
    <t>Parcela (17/36)</t>
  </si>
  <si>
    <t>Parcela (22/36)</t>
  </si>
  <si>
    <t>IPTU 2012</t>
  </si>
  <si>
    <t>Parcela (21/36)</t>
  </si>
  <si>
    <t>Parcela (20/36)</t>
  </si>
  <si>
    <t xml:space="preserve">Jericoacoara (10/10) </t>
  </si>
  <si>
    <t>Parcela (09/12)</t>
  </si>
  <si>
    <t>Parcela (18/36)</t>
  </si>
  <si>
    <t>Parcela (19/36)</t>
  </si>
  <si>
    <t>Parcela (10/12)</t>
  </si>
  <si>
    <t>Seguro Aluguel 2012</t>
  </si>
  <si>
    <t>IRPF 2012</t>
  </si>
  <si>
    <t>Parcela (01/08)</t>
  </si>
  <si>
    <t>Parcela (11/12)</t>
  </si>
  <si>
    <t>Parcela (02/08)</t>
  </si>
  <si>
    <t>Junho / 2012</t>
  </si>
  <si>
    <t>Parcela (12/12)</t>
  </si>
  <si>
    <t>Parcela (03/08)</t>
  </si>
  <si>
    <t xml:space="preserve"> Julho / 2012</t>
  </si>
  <si>
    <t>Bolsa Nova Cristiane</t>
  </si>
  <si>
    <t>Parcela (04/08)</t>
  </si>
  <si>
    <t xml:space="preserve"> Agosto / 2012</t>
  </si>
  <si>
    <t>Parcela (05/08)</t>
  </si>
  <si>
    <t xml:space="preserve"> Setembro / 2012</t>
  </si>
  <si>
    <t>Parcela (06/08)</t>
  </si>
  <si>
    <t xml:space="preserve"> Outubro / 2012</t>
  </si>
  <si>
    <t>Iphone 4S</t>
  </si>
  <si>
    <t>Parcela (07/08)</t>
  </si>
  <si>
    <t xml:space="preserve"> Novembro / 2012</t>
  </si>
  <si>
    <t>Revista Scrap</t>
  </si>
  <si>
    <t>Seg P207-1.6-XS 2012/2013</t>
  </si>
  <si>
    <t>Seguro Camera Cristiane</t>
  </si>
  <si>
    <t xml:space="preserve">Parcela (01/03) </t>
  </si>
  <si>
    <t>Parcela (08/08)</t>
  </si>
  <si>
    <t xml:space="preserve"> Dezembro / 2012</t>
  </si>
  <si>
    <t>Seguro Aluguel 2013</t>
  </si>
  <si>
    <t>Parcela (01/11)</t>
  </si>
  <si>
    <t xml:space="preserve">Parcela (02/11) </t>
  </si>
  <si>
    <t xml:space="preserve">Parcela (03/11) </t>
  </si>
  <si>
    <t>Ultrabook Dell XPS 14</t>
  </si>
  <si>
    <t xml:space="preserve">Parcela (01/10) </t>
  </si>
  <si>
    <t xml:space="preserve">Parcela (04/11) </t>
  </si>
  <si>
    <t>IPTU 2013</t>
  </si>
  <si>
    <t xml:space="preserve"> Março / 2013</t>
  </si>
  <si>
    <t xml:space="preserve">Parcela (02/10) </t>
  </si>
  <si>
    <t xml:space="preserve">Parcela (05/11) </t>
  </si>
  <si>
    <t xml:space="preserve"> Abril / 2013</t>
  </si>
  <si>
    <t xml:space="preserve">Parcela (03/10) </t>
  </si>
  <si>
    <t>Parcela (06/11)</t>
  </si>
  <si>
    <t>IRPF 2013</t>
  </si>
  <si>
    <t xml:space="preserve"> MAio / 2013</t>
  </si>
  <si>
    <t xml:space="preserve">Parcela (04/10) </t>
  </si>
  <si>
    <t>Parcela (07/11)</t>
  </si>
  <si>
    <t>Junho / 2013</t>
  </si>
  <si>
    <t xml:space="preserve">Parcela (05/10) </t>
  </si>
  <si>
    <t>Voo Natal 5LBYA5</t>
  </si>
  <si>
    <t xml:space="preserve">Parcela (01/06) </t>
  </si>
  <si>
    <t>Megadeth + Black Sabbath</t>
  </si>
  <si>
    <t>Parcela (08/11)</t>
  </si>
  <si>
    <t xml:space="preserve">Parcela (06/10) </t>
  </si>
  <si>
    <t xml:space="preserve">Parcela (02/06) </t>
  </si>
  <si>
    <t>Gordis 2013</t>
  </si>
  <si>
    <t>Parcela (09/11)</t>
  </si>
  <si>
    <t>Parcela (10/11)</t>
  </si>
  <si>
    <t>Roupas Hering</t>
  </si>
  <si>
    <t>Seguro Eco 2013-2014</t>
  </si>
  <si>
    <t>Parcela (11/11)</t>
  </si>
  <si>
    <t xml:space="preserve">Parcela (09/10) </t>
  </si>
  <si>
    <t xml:space="preserve">Ituran EcoSport </t>
  </si>
  <si>
    <t xml:space="preserve">Parcela (02/02) </t>
  </si>
  <si>
    <t>Seguro Peugeot 2013-2014</t>
  </si>
  <si>
    <t>Seguro Recidencial 2013-2014</t>
  </si>
  <si>
    <t>Seguro Aluguel 2013-2014</t>
  </si>
  <si>
    <t xml:space="preserve">Parcela (01/11) </t>
  </si>
  <si>
    <t>Novembro / 2013</t>
  </si>
  <si>
    <t>Play Arts Tomb raider 2013</t>
  </si>
  <si>
    <t xml:space="preserve">Parcela (01/12) </t>
  </si>
  <si>
    <t>Eagle Moss DC Heroes</t>
  </si>
  <si>
    <t>Dezembro / 2013</t>
  </si>
  <si>
    <t>Par de Pneus do Peugeot</t>
  </si>
  <si>
    <t>Pneus EchoSport</t>
  </si>
  <si>
    <t>IPVA Peugeot 207 2014</t>
  </si>
  <si>
    <t>IPTU 2014</t>
  </si>
  <si>
    <t xml:space="preserve">Parcela (02/03) </t>
  </si>
  <si>
    <t xml:space="preserve">Parcela (06/11) </t>
  </si>
  <si>
    <t xml:space="preserve">Parcela (07/11) </t>
  </si>
  <si>
    <t>Maio / 2014</t>
  </si>
  <si>
    <t xml:space="preserve">Parcela (08/11) </t>
  </si>
  <si>
    <t>Junho / 2014</t>
  </si>
  <si>
    <t>Assinatura Catho</t>
  </si>
  <si>
    <t xml:space="preserve">Parcela (09/11) </t>
  </si>
  <si>
    <t xml:space="preserve">Parcela (10/11) </t>
  </si>
  <si>
    <t>Eagle Moss DC Heroes II</t>
  </si>
  <si>
    <t>Seguro Echo 2014/1015</t>
  </si>
  <si>
    <t xml:space="preserve"> Outubro / 2014</t>
  </si>
  <si>
    <t>Roupas da Khelf</t>
  </si>
  <si>
    <t>Windows 8.1 Pro Upd 1</t>
  </si>
  <si>
    <t>Tarot Crowley + Renaissance</t>
  </si>
  <si>
    <t>Seguro Aluguel 2014-2015</t>
  </si>
  <si>
    <t xml:space="preserve"> Novembro / 2014</t>
  </si>
  <si>
    <t>HD externo SamSum M3 1TB</t>
  </si>
  <si>
    <t>Seguro Pejô 2014/2015</t>
  </si>
  <si>
    <t>Parcela (02/11)</t>
  </si>
  <si>
    <t xml:space="preserve"> Dezembro / 2014</t>
  </si>
  <si>
    <t>Shampoos Cristiane</t>
  </si>
  <si>
    <t xml:space="preserve">Galaxy Tab S  </t>
  </si>
  <si>
    <t>Parcela (03/11)</t>
  </si>
  <si>
    <t>Parcela (04/11)</t>
  </si>
  <si>
    <t>IPVA Peugeot 2015</t>
  </si>
  <si>
    <t>IPVA EchoSport 2015</t>
  </si>
  <si>
    <t>Parcela (05/11)</t>
  </si>
  <si>
    <t>IPTU 2015</t>
  </si>
  <si>
    <t>Tratamento BMG</t>
  </si>
  <si>
    <t>Tenis Misuno</t>
  </si>
  <si>
    <t>Calças Novas Cristiane</t>
  </si>
  <si>
    <t>Livros Occult Academy</t>
  </si>
  <si>
    <t>Iphone 5S</t>
  </si>
  <si>
    <t xml:space="preserve">Parcela (03/03) </t>
  </si>
  <si>
    <t>Revisão 43k Pejo</t>
  </si>
  <si>
    <t>Susp. Traz. Echo</t>
  </si>
  <si>
    <t xml:space="preserve"> Agosto / 2015</t>
  </si>
  <si>
    <t xml:space="preserve">Parcela (03/06) </t>
  </si>
  <si>
    <t>Passagem Vitória  Cristiane</t>
  </si>
  <si>
    <t>parcela (01/02)</t>
  </si>
  <si>
    <t>Maquina de Unhas Cristiane</t>
  </si>
  <si>
    <t xml:space="preserve">Parcela (04/06) </t>
  </si>
  <si>
    <t>Seguro Eco 2015/2016</t>
  </si>
  <si>
    <t>Maquina de Unha Cristiane</t>
  </si>
  <si>
    <t>parcela (02/02)</t>
  </si>
  <si>
    <t>Seguro Peugeot 2015/2016</t>
  </si>
  <si>
    <t xml:space="preserve">Roupas sociais </t>
  </si>
  <si>
    <t xml:space="preserve">Parcela (05/06) </t>
  </si>
  <si>
    <t>Impressora HP 4646</t>
  </si>
  <si>
    <t>MiniChamp Alox Red</t>
  </si>
  <si>
    <t xml:space="preserve">Parcela (06/06) </t>
  </si>
  <si>
    <t>Seguro Aluguel 2015-2016</t>
  </si>
  <si>
    <t>Conserto Aspitador</t>
  </si>
  <si>
    <t>Janeiro / 2016</t>
  </si>
  <si>
    <t>Fevereiro / 2016</t>
  </si>
  <si>
    <t>Timex IronMan</t>
  </si>
  <si>
    <t>Polar FT7M</t>
  </si>
  <si>
    <t>Estantes de Livros</t>
  </si>
  <si>
    <t>IPTU 2016</t>
  </si>
  <si>
    <t xml:space="preserve"> Março / 2016</t>
  </si>
  <si>
    <t>Revisão GGM3</t>
  </si>
  <si>
    <t>parcela (01/04)</t>
  </si>
  <si>
    <t>parcela (02/04)</t>
  </si>
  <si>
    <t>Cartomância 2016</t>
  </si>
  <si>
    <t>parcela (03/04)</t>
  </si>
  <si>
    <t>Enc. Kabbalh e Enc. Mitolo</t>
  </si>
  <si>
    <t>Robert Place tarots 2016</t>
  </si>
  <si>
    <t>Ravena Bishoujo</t>
  </si>
  <si>
    <t>óCulos Novos</t>
  </si>
  <si>
    <t>Seguro Eco 2016/2017</t>
  </si>
  <si>
    <t>Lingeries Cristiane</t>
  </si>
  <si>
    <t>iPhone 6S</t>
  </si>
  <si>
    <t>Cirurgia Sebastian</t>
  </si>
  <si>
    <t>PetMemorial (Cremação Sebastian)</t>
  </si>
  <si>
    <t>Seguro Peugeot 2016/2017</t>
  </si>
  <si>
    <t>Torneiras Cozinha</t>
  </si>
  <si>
    <t>Seguro Aluguel 2016-2017</t>
  </si>
  <si>
    <t>Wireless Router DIR-809</t>
  </si>
  <si>
    <t>Conserto Pejô</t>
  </si>
  <si>
    <t xml:space="preserve"> Janeiro / 2017</t>
  </si>
  <si>
    <t>Voo Venezuela 2016</t>
  </si>
  <si>
    <t>Roteador Cisco Liksys EA4500</t>
  </si>
  <si>
    <t>Acessórios GoPro Hero5 Black</t>
  </si>
  <si>
    <t>Tenis + Mochila</t>
  </si>
  <si>
    <t>Malas de Viagens</t>
  </si>
  <si>
    <t xml:space="preserve">seguro Viagen Luiz </t>
  </si>
  <si>
    <t>Seguro Viagem Cristiane</t>
  </si>
  <si>
    <t xml:space="preserve"> Fevereiro / 2017</t>
  </si>
  <si>
    <t>IPTU 2017</t>
  </si>
  <si>
    <t>parcela (01/10)</t>
  </si>
  <si>
    <t>Março / 2017</t>
  </si>
  <si>
    <t>iPhone 6S Cristiane</t>
  </si>
  <si>
    <t>parcela (02/10)</t>
  </si>
  <si>
    <t>Lifeman</t>
  </si>
  <si>
    <t>Abril / 2017</t>
  </si>
  <si>
    <t>Tenis New Balance 574</t>
  </si>
  <si>
    <t>parcela (03/10)</t>
  </si>
  <si>
    <t>IRPF 2017</t>
  </si>
  <si>
    <t xml:space="preserve">Parcela (01/08) </t>
  </si>
  <si>
    <t>Maio / 2017</t>
  </si>
  <si>
    <t>Silhouette Cameo 3</t>
  </si>
  <si>
    <t>parcela (04/10)</t>
  </si>
  <si>
    <t xml:space="preserve">Parcela (02/08) </t>
  </si>
  <si>
    <t xml:space="preserve">Junho / 2017 </t>
  </si>
  <si>
    <t>parcela (05/10)</t>
  </si>
  <si>
    <t xml:space="preserve">Parcela (03/08) </t>
  </si>
  <si>
    <t xml:space="preserve">Parcela (07/10) </t>
  </si>
  <si>
    <t xml:space="preserve">Tenis Cristiane </t>
  </si>
  <si>
    <t xml:space="preserve">Parcela (01/02) </t>
  </si>
  <si>
    <t xml:space="preserve">Remedio de testosterona </t>
  </si>
  <si>
    <t>Assinatura Maganer Empregos</t>
  </si>
  <si>
    <t>Viagem Buenos Aires 2017</t>
  </si>
  <si>
    <t>parcela (06/10)</t>
  </si>
  <si>
    <t xml:space="preserve">Agosto / 2017 </t>
  </si>
  <si>
    <t xml:space="preserve">Parcela (08/10) </t>
  </si>
  <si>
    <t>Seguro Eco 2017/2018</t>
  </si>
  <si>
    <t>Falcons dos 80</t>
  </si>
  <si>
    <t>parcela (07/10)</t>
  </si>
  <si>
    <t xml:space="preserve">Trat. Estet. Cristiane 2016 </t>
  </si>
  <si>
    <t>Remedio de testosterona</t>
  </si>
  <si>
    <t>parcela (08/10)</t>
  </si>
  <si>
    <t xml:space="preserve">Parcela (06/08) </t>
  </si>
  <si>
    <t xml:space="preserve">Parcela (04/07) </t>
  </si>
  <si>
    <t>Termogênico Kimera BIRL</t>
  </si>
  <si>
    <t xml:space="preserve">Cafeteira Dulce Gusto </t>
  </si>
  <si>
    <t>parcela (09/10)</t>
  </si>
  <si>
    <t xml:space="preserve">Parcela (07/08) </t>
  </si>
  <si>
    <t xml:space="preserve"> Novembro / 2017 </t>
  </si>
  <si>
    <t xml:space="preserve">Parcela (05/07) </t>
  </si>
  <si>
    <t>Seguro Peugeot 2017/2018</t>
  </si>
  <si>
    <t>Bones do The Raiders</t>
  </si>
  <si>
    <t>Bones para Patins cristiane</t>
  </si>
  <si>
    <t>Amortecedores + Freio Pejô</t>
  </si>
  <si>
    <t>Suspensão Pejô</t>
  </si>
  <si>
    <t>parcela (10/10)</t>
  </si>
  <si>
    <t>Seguro Aluguel 2017-2018</t>
  </si>
  <si>
    <t xml:space="preserve">Parcela (08/08) </t>
  </si>
  <si>
    <t xml:space="preserve"> Dezembro / 2017 </t>
  </si>
  <si>
    <t xml:space="preserve">Parcela (06/07) </t>
  </si>
  <si>
    <t>Mochila TRackField</t>
  </si>
  <si>
    <t xml:space="preserve">tatuagem Cristiane </t>
  </si>
  <si>
    <t xml:space="preserve"> Janeiro / 2018 </t>
  </si>
  <si>
    <t xml:space="preserve">Parcela (07/07) </t>
  </si>
  <si>
    <t>Falcon Salto Fantástico</t>
  </si>
  <si>
    <t xml:space="preserve">Citizen Aqualand II </t>
  </si>
  <si>
    <t>Seiko Prospex PADI SRPA21B1</t>
  </si>
  <si>
    <t>IPTU 2018</t>
  </si>
  <si>
    <t>Mergulhos em Paraty</t>
  </si>
  <si>
    <t>Seiko Prospex SRP497 Orange</t>
  </si>
  <si>
    <t xml:space="preserve"> Abril / 2018</t>
  </si>
  <si>
    <t>Cristiane: Computador De Mergulho Leonardo Nitrox Cressi Amarelo</t>
  </si>
  <si>
    <t>Luiz: Computador De Mergulho Giotto Nitrox Cressi Azul</t>
  </si>
  <si>
    <t>Suspensão Dianteira Echo</t>
  </si>
  <si>
    <t>Cremes Tratamento Cabelo Cristiane</t>
  </si>
  <si>
    <t xml:space="preserve"> Maio / 2018</t>
  </si>
  <si>
    <t xml:space="preserve">Conserto Painel Eco </t>
  </si>
  <si>
    <t xml:space="preserve"> Junho / 2018</t>
  </si>
  <si>
    <t xml:space="preserve">Botinas Bradock </t>
  </si>
  <si>
    <t>Asics Gel quantum 360 shift Carbon black</t>
  </si>
  <si>
    <t>iPhone 8Plus</t>
  </si>
  <si>
    <t xml:space="preserve"> Julho / 2018</t>
  </si>
  <si>
    <t xml:space="preserve"> Agosto / 2018</t>
  </si>
  <si>
    <t>Falcon Submarino + Jipe</t>
  </si>
  <si>
    <t>Bois Nos Ares 2018</t>
  </si>
  <si>
    <t>Passagens pro Paraná</t>
  </si>
  <si>
    <t xml:space="preserve"> Setembro / 2018</t>
  </si>
  <si>
    <t>Seguro Echo 2018/2019</t>
  </si>
  <si>
    <t>New Balance 574 Grey Pack</t>
  </si>
  <si>
    <t>Tarots Caldeirão Mistico</t>
  </si>
  <si>
    <t>Presentes de Brasilia</t>
  </si>
  <si>
    <t>Outubro / 2018</t>
  </si>
  <si>
    <t>Gramado 2018</t>
  </si>
  <si>
    <t>Novembro / 2018</t>
  </si>
  <si>
    <t>Seguro Pejô 207 2018/2019</t>
  </si>
  <si>
    <t>Seguro Pejô 208 2018/2018</t>
  </si>
  <si>
    <t>Tratamento P208</t>
  </si>
  <si>
    <t>Acessórios P208</t>
  </si>
  <si>
    <t>Seguro Aluguel 2018-2019</t>
  </si>
  <si>
    <t xml:space="preserve"> Dezembro / 2018</t>
  </si>
  <si>
    <t>Roupa Luigi Bertoni cristiane</t>
  </si>
  <si>
    <t>G-Shock DW-6900LU-8DR</t>
  </si>
  <si>
    <t>ScrapStore Cristiane</t>
  </si>
  <si>
    <t xml:space="preserve"> Janeiro / 2019</t>
  </si>
  <si>
    <t xml:space="preserve">C&amp;A Cristiane </t>
  </si>
  <si>
    <t>Fevereiro / 2019</t>
  </si>
  <si>
    <t>Remedios Manipulados Cristiane</t>
  </si>
  <si>
    <t xml:space="preserve">JBL Inspire 500 </t>
  </si>
  <si>
    <t>Impressora Laser Brother HL-1212W</t>
  </si>
  <si>
    <t>IPTU 2019</t>
  </si>
  <si>
    <t>Março / 2019</t>
  </si>
  <si>
    <t>Apple Watch S4 44mm</t>
  </si>
  <si>
    <t>Calças Levis</t>
  </si>
  <si>
    <t>Ilha da Beleza</t>
  </si>
  <si>
    <t>Abril / 2019</t>
  </si>
  <si>
    <t>Smart TV 4K Samsung LED 2018 UHD 55” UN55NU7400G</t>
  </si>
  <si>
    <t>Óculos de Graus novos</t>
  </si>
  <si>
    <t>Passagens para O Chile 2019</t>
  </si>
  <si>
    <t xml:space="preserve"> Maio / 2019 </t>
  </si>
  <si>
    <t xml:space="preserve"> Junho / 2019 </t>
  </si>
  <si>
    <t xml:space="preserve">Cinta Cardiaca Polar H10 </t>
  </si>
  <si>
    <t>Remedios Manipulados Cristiane II</t>
  </si>
  <si>
    <t>Terno Brookfield Maçonaria</t>
  </si>
  <si>
    <t>A Loja do Papel</t>
  </si>
  <si>
    <t>CVPraVc - Analise de CV</t>
  </si>
  <si>
    <t xml:space="preserve"> Julho / 2019 </t>
  </si>
  <si>
    <t>Amazon Kindle PW 2019</t>
  </si>
  <si>
    <t xml:space="preserve"> Agosto / 2019 </t>
  </si>
  <si>
    <t>A loja do papel</t>
  </si>
  <si>
    <t xml:space="preserve"> Setembro / 2019 </t>
  </si>
  <si>
    <t>Seguro Echo 2019/2020</t>
  </si>
  <si>
    <t>Roupas de Entrevistas 2019</t>
  </si>
  <si>
    <t>CVPraVc - Agora em Inglês</t>
  </si>
  <si>
    <t xml:space="preserve"> Outubro / 2019</t>
  </si>
  <si>
    <t>Loja Linda Menina</t>
  </si>
  <si>
    <t>Scarlet GI Joe Bishoujo Kotobukiya</t>
  </si>
  <si>
    <t>Cursos Alura 2019/2020</t>
  </si>
  <si>
    <t xml:space="preserve"> Novembro / 2019</t>
  </si>
  <si>
    <t>Seguro Pejô 2019/2020</t>
  </si>
  <si>
    <t>Alume Roupas Cristiane</t>
  </si>
  <si>
    <t>Seguro Aluguel 2019-2020</t>
  </si>
  <si>
    <t xml:space="preserve"> Dezembro / 2019</t>
  </si>
  <si>
    <t xml:space="preserve"> Janeiro  / 2020</t>
  </si>
  <si>
    <t>Diversos cursos udemy 2019/2020</t>
  </si>
  <si>
    <t xml:space="preserve">IPTU Del Piano 2020 </t>
  </si>
  <si>
    <t xml:space="preserve">Aluguel Del Piano 2020 </t>
  </si>
  <si>
    <t xml:space="preserve"> Fevereiro / 2020</t>
  </si>
  <si>
    <t xml:space="preserve">Parcela (02/12) </t>
  </si>
  <si>
    <t xml:space="preserve"> Março / 2020</t>
  </si>
  <si>
    <t xml:space="preserve">Academia Eizens Cristiane </t>
  </si>
  <si>
    <t>Encic. Tarot. Herm.MDD</t>
  </si>
  <si>
    <t xml:space="preserve">Parcela (03/12) </t>
  </si>
  <si>
    <t xml:space="preserve"> Abril / 2020</t>
  </si>
  <si>
    <t xml:space="preserve">1 Único Pneu 208 </t>
  </si>
  <si>
    <t xml:space="preserve">Parcela (04/12) </t>
  </si>
  <si>
    <t xml:space="preserve"> Maio / 2020</t>
  </si>
  <si>
    <t xml:space="preserve">Parcela (05/12) </t>
  </si>
  <si>
    <t xml:space="preserve"> Junho / 2020</t>
  </si>
  <si>
    <t>Notebook Vaio Cristiane</t>
  </si>
  <si>
    <t>Orange Mini Crush</t>
  </si>
  <si>
    <t>Kit Kabos+carregador Pedais</t>
  </si>
  <si>
    <t xml:space="preserve">Parcela (06/12) </t>
  </si>
  <si>
    <t xml:space="preserve"> Julho / 2020</t>
  </si>
  <si>
    <t xml:space="preserve">Parcela (07/12) </t>
  </si>
  <si>
    <t xml:space="preserve"> Agosto / 2020</t>
  </si>
  <si>
    <t>Multimidia EchoSport</t>
  </si>
  <si>
    <t xml:space="preserve">Parcela (08/12) </t>
  </si>
  <si>
    <t xml:space="preserve"> Setembro / 2020</t>
  </si>
  <si>
    <t>Notebook Asus VivoBook 15</t>
  </si>
  <si>
    <t>Seguro EcoSport 2020/2021</t>
  </si>
  <si>
    <t>AMZN: JBL BTNC 600</t>
  </si>
  <si>
    <t>AMZN: Comics Variados</t>
  </si>
  <si>
    <t>Iphone 8pBranco 128GB Cristiane</t>
  </si>
  <si>
    <t xml:space="preserve">Parcela (09/12) </t>
  </si>
  <si>
    <t xml:space="preserve"> Outubro / 2020</t>
  </si>
  <si>
    <t>Cursos Alura 2020/2021</t>
  </si>
  <si>
    <t xml:space="preserve">Parcela (10/12) </t>
  </si>
  <si>
    <t xml:space="preserve"> Novembro / 2020</t>
  </si>
  <si>
    <t>Seguro Peugeot 208 2020/2021</t>
  </si>
  <si>
    <t xml:space="preserve">Revisão Peugeot 208 2020 </t>
  </si>
  <si>
    <t xml:space="preserve">Parcela (11/12) </t>
  </si>
  <si>
    <t xml:space="preserve"> Dezembro / 2020</t>
  </si>
  <si>
    <t>Consultoria Thomas &amp; Case</t>
  </si>
  <si>
    <t xml:space="preserve"> Janeiro / 2021</t>
  </si>
  <si>
    <t>IPVA Peugeot 208</t>
  </si>
  <si>
    <t xml:space="preserve"> Fevereiro / 2021</t>
  </si>
  <si>
    <t xml:space="preserve"> Março / 2021</t>
  </si>
  <si>
    <t>Tenis Nike Air</t>
  </si>
  <si>
    <t>New Balance 1600</t>
  </si>
  <si>
    <t xml:space="preserve">G-Shock GA-2000-5ADR </t>
  </si>
  <si>
    <t xml:space="preserve"> Abril / 2021</t>
  </si>
  <si>
    <t>Exames Cristiane na Fleming</t>
  </si>
  <si>
    <t>Exames Cristiane no Dr. Consulta</t>
  </si>
  <si>
    <t>Material Seven Idiomas</t>
  </si>
  <si>
    <t>Implantes Hormonais Cristiane</t>
  </si>
  <si>
    <t>Cadeira Gamer PìtStop</t>
  </si>
  <si>
    <t>Sandisk Ssd Plus Sdssda-480g-g26 480gb</t>
  </si>
  <si>
    <t>Exames Cristiane na Fleming II</t>
  </si>
  <si>
    <t>Conserto echo 2021</t>
  </si>
  <si>
    <t>Curso Formação Cobol 2021</t>
  </si>
  <si>
    <t xml:space="preserve"> Agosto / 2021</t>
  </si>
  <si>
    <t xml:space="preserve"> Setembro / 2021</t>
  </si>
  <si>
    <t>colchão e Trevesseiros</t>
  </si>
  <si>
    <t>Seguro Peugeot 2021-2022</t>
  </si>
  <si>
    <t>Revisão Peugeot 2021</t>
  </si>
  <si>
    <t xml:space="preserve">G-Shock Mudmaster GWG-1000-1A3DR </t>
  </si>
  <si>
    <t>Cristane: GMA-S120MF-4ADR</t>
  </si>
  <si>
    <t>exames na Papaiz</t>
  </si>
  <si>
    <t xml:space="preserve">Consulta e exames do Shiro </t>
  </si>
  <si>
    <t>IPVA ECO 2022</t>
  </si>
  <si>
    <t>IPVA PEUGEOT 2022</t>
  </si>
  <si>
    <t>Conserto do Asrock Nettop ion 330t</t>
  </si>
  <si>
    <t>JBLLIVE660NCBLK</t>
  </si>
  <si>
    <t>Iphone 13 128 GB + Charger</t>
  </si>
  <si>
    <t>Tratamento Jade 2022</t>
  </si>
  <si>
    <t>Maçonaria: Terno 2022 2023</t>
  </si>
  <si>
    <t>Revisão Peugeot 2022</t>
  </si>
  <si>
    <t>òculos para todos 2022 2023</t>
  </si>
  <si>
    <t>PS4 SSD Crucial  CT1000BX500SSD1 1TB</t>
  </si>
  <si>
    <t>PlayStation®5 + God of War Ragnarök</t>
  </si>
  <si>
    <t>Implantes Hormonais cristiane</t>
  </si>
  <si>
    <t>IPVA Echo 2023</t>
  </si>
  <si>
    <t>PlayStation®5 + God of War Ragnarök CFI-1214A</t>
  </si>
  <si>
    <t>Jade (Mascote Piraju)</t>
  </si>
  <si>
    <t>MAio / 2023</t>
  </si>
  <si>
    <t xml:space="preserve">Renovação CNH PCD 2023 </t>
  </si>
  <si>
    <t>WebCam Logitec Brio 500</t>
  </si>
  <si>
    <t>Mic. HyperX SoloCast</t>
  </si>
  <si>
    <t>Catarse.Me Kabbalah Hermetica 3.0</t>
  </si>
  <si>
    <t>Seguro Echo 2023/2024</t>
  </si>
  <si>
    <t>Iphone 13 Cristiane</t>
  </si>
  <si>
    <t>DualSense 4 Playstation 4</t>
  </si>
  <si>
    <t>Seguro Pejô 2023/2024</t>
  </si>
  <si>
    <t>Amazon FireStick</t>
  </si>
  <si>
    <t>Bateria Ostent PSP 3K</t>
  </si>
  <si>
    <t xml:space="preserve">Apple Watch 8 45mm GPS+CELL </t>
  </si>
  <si>
    <t>LexaPro 10mg 60 caps</t>
  </si>
  <si>
    <t>Falcon Ataque Da Águia Selvagem</t>
  </si>
  <si>
    <t>Revisão 2023 do 208</t>
  </si>
  <si>
    <t>Moveis cozinha LeroyMerlin</t>
  </si>
  <si>
    <t>Kit Tarot Alquímico - Livro, cartas e toalha oráculo - AlkhemyLab by Joel Aleixo</t>
  </si>
  <si>
    <t xml:space="preserve">Hering do Mapping </t>
  </si>
  <si>
    <t>Sofá Novo 2023</t>
  </si>
  <si>
    <t>Impermeabilização Sofá Novo 2023</t>
  </si>
  <si>
    <t>Lexapro 10MG + Diversos</t>
  </si>
  <si>
    <t>IPVA Echo 2024</t>
  </si>
  <si>
    <t xml:space="preserve">Parcela (01/05) </t>
  </si>
  <si>
    <t>Revisão Echo 2024</t>
  </si>
  <si>
    <t>Seagate Expansion 4TB STEA4000400</t>
  </si>
  <si>
    <t xml:space="preserve">4 camisetas Henriq Pretas </t>
  </si>
  <si>
    <t xml:space="preserve">Parcela (05/05) </t>
  </si>
  <si>
    <t>òculos Novos 2024</t>
  </si>
  <si>
    <t>Perfume Orientica Royal Amber</t>
  </si>
  <si>
    <t>Calças Levis 2024</t>
  </si>
  <si>
    <t>Notebook Avell Storm BS I7</t>
  </si>
  <si>
    <t xml:space="preserve">Pintura Echo </t>
  </si>
  <si>
    <t>Seguro Echo 2024/2025</t>
  </si>
  <si>
    <t>Conserto Ar Peugeot 208</t>
  </si>
  <si>
    <t>Falcon Safari da Africa</t>
  </si>
  <si>
    <t>Remedios Cristiane</t>
  </si>
  <si>
    <t>Cremes Cristiane</t>
  </si>
  <si>
    <t>Lavagem de Tapetes</t>
  </si>
  <si>
    <t>Seguro Peugeot 2024/2025</t>
  </si>
  <si>
    <t>Kindle Paper White 12ª Ger + Capa</t>
  </si>
  <si>
    <t>Red Ninja End Of Honor PS2 Game</t>
  </si>
  <si>
    <t>Revisão de 6 anos / 40k - GGM5</t>
  </si>
  <si>
    <t>Tratamento pintura GGM5</t>
  </si>
  <si>
    <t>Novo Conserto Echo 2024</t>
  </si>
  <si>
    <t>IPVA Echo 2025</t>
  </si>
  <si>
    <t>Abril /2025</t>
  </si>
  <si>
    <t xml:space="preserve">Ada Wong Rifle: Resident Evil 4 </t>
  </si>
  <si>
    <t>Dualsense Edge PS5 B/W</t>
  </si>
  <si>
    <t>JBL Tune Flex TWS</t>
  </si>
  <si>
    <t>Retifica parcial motor Echo</t>
  </si>
  <si>
    <t xml:space="preserve">Guitar control PS3 </t>
  </si>
  <si>
    <t>IMochila Invictus Defender - Camuflado Warskin Black 55L</t>
  </si>
  <si>
    <t>Pint. Cond. Ed. Tatiana</t>
  </si>
  <si>
    <t>Parcela (21/24)</t>
  </si>
  <si>
    <t>IPTU Marques Marica 2025</t>
  </si>
  <si>
    <t>Ada Wong Rifle: Resident Evil 4</t>
  </si>
  <si>
    <t>Tenis Nike &amp; Asics</t>
  </si>
  <si>
    <t>Eletrodomesticos Marica</t>
  </si>
  <si>
    <t>Leroy &amp; Merlin - Tomadas Diversas</t>
  </si>
  <si>
    <t>Roupas de Cama Marica</t>
  </si>
  <si>
    <t>Parcela (22/24)</t>
  </si>
  <si>
    <t>Leroy &amp; Merlin - Tomadas &amp; eletricas</t>
  </si>
  <si>
    <t>Renovação Isenção Rodizio PCD</t>
  </si>
  <si>
    <t xml:space="preserve"> Mesa Delta com Pé Calha Código: 00628 </t>
  </si>
  <si>
    <t>Parcela (23/24)</t>
  </si>
  <si>
    <t>Puxadores cozinhas</t>
  </si>
  <si>
    <t>PArcela (01/02)</t>
  </si>
  <si>
    <t>Parcela (24/24)</t>
  </si>
  <si>
    <t>Setembro /2025</t>
  </si>
  <si>
    <t>PArcela (02/02)</t>
  </si>
  <si>
    <t>Martelinho d'Oro Pejo 2025</t>
  </si>
  <si>
    <t>Outubro /2025</t>
  </si>
  <si>
    <t>PS5 - Kingston NV3 2TB M.2 2280 NVMe SSD</t>
  </si>
  <si>
    <t>Insumos de Gatos</t>
  </si>
  <si>
    <t>Novembro /2025</t>
  </si>
  <si>
    <t>Castlevania Lament of Innocence PS2</t>
  </si>
  <si>
    <t>Porta TermoAcustica Ap 01</t>
  </si>
  <si>
    <t>Seguro Residencial 2025-2026</t>
  </si>
  <si>
    <t>Seguro Peugeot 2025/2026</t>
  </si>
  <si>
    <t>Janeiro /2026</t>
  </si>
  <si>
    <t>Revisão de 7 anos / 50k - GGM5 - P208</t>
  </si>
  <si>
    <t>Tenis NetShoes 2025</t>
  </si>
  <si>
    <t>Fevereiro /2025</t>
  </si>
  <si>
    <t>IPTU Marques Marica 2026</t>
  </si>
  <si>
    <t>Amazon.com.br: G-Shock GWM5610-1</t>
  </si>
  <si>
    <t>Remoçao de Berrugas</t>
  </si>
  <si>
    <t>RELÓGIO LUMINOX ORIGINAL NAVY SEAL 44 MM CÓD.3051</t>
  </si>
  <si>
    <t>L&amp;M - Ripado Sacada/Ferramentas</t>
  </si>
  <si>
    <t>Master System II Larissa</t>
  </si>
  <si>
    <t xml:space="preserve">Junho / 2026 </t>
  </si>
  <si>
    <t>Outubro / 2026</t>
  </si>
  <si>
    <t>Março / 2027</t>
  </si>
  <si>
    <t xml:space="preserve">Abril / 2027 </t>
  </si>
  <si>
    <t xml:space="preserve">maio / 2027 </t>
  </si>
  <si>
    <t>Total(Devido)</t>
  </si>
  <si>
    <t>Dif Mês Anterior</t>
  </si>
  <si>
    <t>Onde foi vendido</t>
  </si>
  <si>
    <t>Tipo Pagmento</t>
  </si>
  <si>
    <t>Quem Comprou</t>
  </si>
  <si>
    <t>Disco Vinil</t>
  </si>
  <si>
    <t>Benediction Subconsious Terror</t>
  </si>
  <si>
    <t xml:space="preserve">OLX </t>
  </si>
  <si>
    <t>Em Espécie Cash $$$</t>
  </si>
  <si>
    <t>rodrigo Exumer</t>
  </si>
  <si>
    <t>Jogo PS3</t>
  </si>
  <si>
    <t>Tomb Raider 2013 renew</t>
  </si>
  <si>
    <t>OLX</t>
  </si>
  <si>
    <t xml:space="preserve">Thiago </t>
  </si>
  <si>
    <t>Todos os restantes discos vinils</t>
  </si>
  <si>
    <t>Facebook Market</t>
  </si>
  <si>
    <t xml:space="preserve">TEF Itau </t>
  </si>
  <si>
    <t>Roberto Ribeiro</t>
  </si>
  <si>
    <t>Kit Palhetas Iron</t>
  </si>
  <si>
    <t>Rafael Atala</t>
  </si>
  <si>
    <t>Quadro</t>
  </si>
  <si>
    <t>Batman Arkham city</t>
  </si>
  <si>
    <t>Doação</t>
  </si>
  <si>
    <t>Rodinei Carol Affonso</t>
  </si>
  <si>
    <t xml:space="preserve">Arquivo X </t>
  </si>
  <si>
    <t>Alexandre Sylvestr da Silva</t>
  </si>
  <si>
    <t>Action Figure</t>
  </si>
  <si>
    <t xml:space="preserve">Estatua Batman Resina </t>
  </si>
  <si>
    <t xml:space="preserve">Jean </t>
  </si>
  <si>
    <t>Comic Book</t>
  </si>
  <si>
    <t>Batman: Selêncio</t>
  </si>
  <si>
    <t>TEF para o NuBank</t>
  </si>
  <si>
    <t>Marcus Petropolis RJ</t>
  </si>
  <si>
    <t>Deck de Magik</t>
  </si>
  <si>
    <t>Pierre Ayub</t>
  </si>
  <si>
    <t>Ataque dos Titãs 30</t>
  </si>
  <si>
    <t>Breno Anapolis Goias</t>
  </si>
  <si>
    <t xml:space="preserve">Dante´s Inferno </t>
  </si>
  <si>
    <t>Mercado Pago</t>
  </si>
  <si>
    <t>LUIS HENRIQUE P MACHADO</t>
  </si>
  <si>
    <t>Rodrigo Terra</t>
  </si>
  <si>
    <t>Heavenly Sword</t>
  </si>
  <si>
    <t xml:space="preserve">Ataque dos Titãs 01 </t>
  </si>
  <si>
    <t>Vanda Maria costa RJ</t>
  </si>
  <si>
    <t xml:space="preserve">HD Western Digital Blue 500 GB </t>
  </si>
  <si>
    <t>Venda direta</t>
  </si>
  <si>
    <t xml:space="preserve">Leandro visinho </t>
  </si>
  <si>
    <t xml:space="preserve">iPhone o Plus 1ª parcela </t>
  </si>
  <si>
    <t>Venda Direta</t>
  </si>
  <si>
    <t>PIX NuBank</t>
  </si>
  <si>
    <t xml:space="preserve">junior martarelli </t>
  </si>
  <si>
    <t xml:space="preserve">iPhone o Plus 2ª parcela </t>
  </si>
  <si>
    <t>OLX PAY -&gt; NuBank</t>
  </si>
  <si>
    <t xml:space="preserve">SSD 480 GB SANDISK </t>
  </si>
  <si>
    <t xml:space="preserve">Venbda direta </t>
  </si>
  <si>
    <t xml:space="preserve">PIX </t>
  </si>
  <si>
    <t xml:space="preserve">Genaro do Patins </t>
  </si>
  <si>
    <t>Veiculo</t>
  </si>
  <si>
    <t>Vaapty</t>
  </si>
  <si>
    <t xml:space="preserve">PIX da XP </t>
  </si>
  <si>
    <t>Guitarra Rock Band 2 PS3 (PlayStation 3)</t>
  </si>
  <si>
    <t>OLX Pay</t>
  </si>
  <si>
    <t>Luis Henrique Pereira Taira</t>
  </si>
  <si>
    <t>Tagima t 735 Plus HandMand</t>
  </si>
  <si>
    <t>OLX Pessoal</t>
  </si>
  <si>
    <t>Rodrigo</t>
  </si>
  <si>
    <t xml:space="preserve">Mesa branca </t>
  </si>
  <si>
    <t>Mesa computador branca trecno Mobili</t>
  </si>
  <si>
    <t>Facebook market</t>
  </si>
  <si>
    <t>PIX cristiane</t>
  </si>
  <si>
    <t>Aline mascarenhas</t>
  </si>
  <si>
    <t>Pagamento Fatura</t>
  </si>
  <si>
    <t xml:space="preserve"> Dezembro / 2004</t>
  </si>
  <si>
    <t>Pagameto Fatura</t>
  </si>
  <si>
    <t xml:space="preserve"> Fevereiro / 2005</t>
  </si>
  <si>
    <t>OBS: Compras Apos o dia 15 serão cobradas no vencimento da fatura posterior</t>
  </si>
  <si>
    <t>Anidade (01/03)</t>
  </si>
  <si>
    <t>Gasozza´s</t>
  </si>
  <si>
    <t>Gazozza´s</t>
  </si>
  <si>
    <t>Appucarana´s</t>
  </si>
  <si>
    <t>Accidentt Protection</t>
  </si>
  <si>
    <t>Multi Protecion</t>
  </si>
  <si>
    <t>TRON - O Legado´s</t>
  </si>
  <si>
    <t>Oleo + Fluido Radiador + limpa parabrisas</t>
  </si>
  <si>
    <t xml:space="preserve"> Fevereiro / 20111</t>
  </si>
  <si>
    <t>Anidade (02/03)</t>
  </si>
  <si>
    <t>Anuidade 03/03</t>
  </si>
  <si>
    <t>Pagamento fatura</t>
  </si>
  <si>
    <t>Hotel Praia Ciribai</t>
  </si>
  <si>
    <t>Reed Wood' s</t>
  </si>
  <si>
    <t>Cinemas Sucker Punch´s</t>
  </si>
  <si>
    <t>Cinemas Thor 3d</t>
  </si>
  <si>
    <t xml:space="preserve"> Junho / 2011</t>
  </si>
  <si>
    <t>Gasosa´s</t>
  </si>
  <si>
    <t>Mercados I - Pro silveira</t>
  </si>
  <si>
    <t>Mercados II - Pro Silveiras</t>
  </si>
  <si>
    <t>Hotel de coritibas</t>
  </si>
  <si>
    <t>Taco del Pancho oritibas</t>
  </si>
  <si>
    <t xml:space="preserve">Hotel de coritibas II </t>
  </si>
  <si>
    <t>Mercados III - Pro Silveiras</t>
  </si>
  <si>
    <t>Gazozas de voltas</t>
  </si>
  <si>
    <t>Pagamento faturas</t>
  </si>
  <si>
    <t>Cestas de doações</t>
  </si>
  <si>
    <t>Taxas do cartão</t>
  </si>
  <si>
    <t xml:space="preserve">Ajustes para Encerramento </t>
  </si>
  <si>
    <t xml:space="preserve">            </t>
  </si>
  <si>
    <t xml:space="preserve"> Setembro / 2002</t>
  </si>
  <si>
    <t>Credito Salario</t>
  </si>
  <si>
    <t>Fatura Telefonica – embratel</t>
  </si>
  <si>
    <t>Transf.  HSBC</t>
  </si>
  <si>
    <t>Rec Salario</t>
  </si>
  <si>
    <t>Transf. Banco Real</t>
  </si>
  <si>
    <t>Transf. HSBC</t>
  </si>
  <si>
    <t xml:space="preserve"> Outubro /2002</t>
  </si>
  <si>
    <t>Transf. Banco real</t>
  </si>
  <si>
    <t>Rec Salário</t>
  </si>
  <si>
    <t>envio Doc - HSBC</t>
  </si>
  <si>
    <t xml:space="preserve">Envio Doc - Real </t>
  </si>
  <si>
    <t>carrefour</t>
  </si>
  <si>
    <t>Transferencia HSBC</t>
  </si>
  <si>
    <t>Transg. HSBC</t>
  </si>
  <si>
    <t xml:space="preserve"> Dezembro / 2002</t>
  </si>
  <si>
    <t>CMPFI</t>
  </si>
  <si>
    <t>Transf Poupança HSBC</t>
  </si>
  <si>
    <t>Transf HSBC c/c</t>
  </si>
  <si>
    <t>Transf HSB c/c</t>
  </si>
  <si>
    <t>rede Shop - Americanas</t>
  </si>
  <si>
    <t>Rec salario</t>
  </si>
  <si>
    <t>Saque - Viagem</t>
  </si>
  <si>
    <t>DEBITO DE Juros</t>
  </si>
  <si>
    <t>Conta GVT - Helo</t>
  </si>
  <si>
    <t>Conta Cartão Helo</t>
  </si>
  <si>
    <t>Saque - Copel</t>
  </si>
  <si>
    <t>Transf HSBC</t>
  </si>
  <si>
    <t>Saque - Viageam</t>
  </si>
  <si>
    <t xml:space="preserve">Imposto S/ Operações de credito </t>
  </si>
  <si>
    <t>março / 2003</t>
  </si>
  <si>
    <t>Saque - Passagem</t>
  </si>
  <si>
    <t>Cheque - 600021 - Matricula POS</t>
  </si>
  <si>
    <t>Saque - Camelo</t>
  </si>
  <si>
    <t>Cheque eletronico - Mercado</t>
  </si>
  <si>
    <t>Cheque Eletronico - farmácia - Cabelo</t>
  </si>
  <si>
    <t xml:space="preserve">Cheque eletronico - Mercado </t>
  </si>
  <si>
    <t xml:space="preserve">Cheque Eletronico - farmácia </t>
  </si>
  <si>
    <t>Trans. Poup HSBC</t>
  </si>
  <si>
    <t>Saque  - Locadora + Cadimia</t>
  </si>
  <si>
    <t>Hometheater: Pagamento Carrefour (01/10)</t>
  </si>
  <si>
    <t>Saque - Locadora</t>
  </si>
  <si>
    <t>Saque - Tia que lava Ropa</t>
  </si>
  <si>
    <t>Saque - Sair</t>
  </si>
  <si>
    <t>Saque - Sercomtel + Copel + Delta</t>
  </si>
  <si>
    <t>Cheque Eletronico - Farmácia</t>
  </si>
  <si>
    <t>Cheque eletronico - Americanas</t>
  </si>
  <si>
    <t xml:space="preserve">Cheque -  600022 - Luvas </t>
  </si>
  <si>
    <t>Saque - Chaves + HSBC</t>
  </si>
  <si>
    <t>Cheque - 600023 - Janta</t>
  </si>
  <si>
    <t>cpmf</t>
  </si>
  <si>
    <t>Cheque - 600024 - Finasterida</t>
  </si>
  <si>
    <t>Cheque - 600025 - Farmáci D.S.</t>
  </si>
  <si>
    <t>Tarifa Emis.Cheq.Inf. ou Igual a R$20</t>
  </si>
  <si>
    <t xml:space="preserve">Pagamento - Condominio </t>
  </si>
  <si>
    <t>Credito salario</t>
  </si>
  <si>
    <t>Hometheater: Pagamento Carrefour (02/10)</t>
  </si>
  <si>
    <t>Saque - Cadimia + Tia que lava ropa</t>
  </si>
  <si>
    <t>Resgate Poupança</t>
  </si>
  <si>
    <t xml:space="preserve">Transf. Fabiano </t>
  </si>
  <si>
    <t>Cheque - 600026 - Koala</t>
  </si>
  <si>
    <t>Cheque - 600027 - Motel</t>
  </si>
  <si>
    <t>Cheque - 600028 - Aluguel</t>
  </si>
  <si>
    <t>Cheque - 600029 - Mercado</t>
  </si>
  <si>
    <t xml:space="preserve">Saque - Jantar Pizza </t>
  </si>
  <si>
    <t>Cheque - 600030- Locadora</t>
  </si>
  <si>
    <t xml:space="preserve">Cheque Eletronico  - Mercado </t>
  </si>
  <si>
    <t>Credito Salário</t>
  </si>
  <si>
    <t xml:space="preserve"> Maio / 2003</t>
  </si>
  <si>
    <t>Fatura Telefonica - Global Telecom</t>
  </si>
  <si>
    <t>IMPOSTO S/OPERACOES DE CREDITO</t>
  </si>
  <si>
    <t>DEBITO DE JUROS</t>
  </si>
  <si>
    <t>Cheque - 600031 - CD + DVD</t>
  </si>
  <si>
    <t xml:space="preserve">Cheque - 600032 - Liquidificador </t>
  </si>
  <si>
    <t>Saque - encerramento HSBC + Locadora</t>
  </si>
  <si>
    <t>Saque - Dorflex.</t>
  </si>
  <si>
    <t xml:space="preserve">Cheque eletronico - Farmácia </t>
  </si>
  <si>
    <t>Cheque - 600033 - Crédito Pre-pago</t>
  </si>
  <si>
    <t>Cheque - 600034 - DVD Engenheiros</t>
  </si>
  <si>
    <t>Cheque - 600035 - K.D.Mia</t>
  </si>
  <si>
    <t>Cheque Eletronico - Lanche Tarde</t>
  </si>
  <si>
    <t>Cheque - 600036 - Oculos Matrix</t>
  </si>
  <si>
    <t xml:space="preserve">Pos </t>
  </si>
  <si>
    <t>Hometheater: Pagamento Carrefour (03/10)</t>
  </si>
  <si>
    <t>Saque - Armussu</t>
  </si>
  <si>
    <t>Cheque eletronico - Diet Shake</t>
  </si>
  <si>
    <t>Saque - Tia que lava ropa + Cinema</t>
  </si>
  <si>
    <t>Cheque - 600037 - Aluguel</t>
  </si>
  <si>
    <t xml:space="preserve">Saque - Cinema </t>
  </si>
  <si>
    <t>Crédito Salário</t>
  </si>
  <si>
    <t>Cheque - 300041 - Mercado</t>
  </si>
  <si>
    <t xml:space="preserve"> Junho / 2003</t>
  </si>
  <si>
    <t>Saque - Correios</t>
  </si>
  <si>
    <t>Saque - Lanche</t>
  </si>
  <si>
    <t>Tarifa Saque Rede Interligada Bco 24H</t>
  </si>
  <si>
    <t>Carrefour - Liquidificador (02/03)</t>
  </si>
  <si>
    <t>Cheque - 300042 - Mercado</t>
  </si>
  <si>
    <t>POS</t>
  </si>
  <si>
    <t>Depósito - Computador do Borosky (01/05)</t>
  </si>
  <si>
    <t xml:space="preserve">Saque - Finasterida + Espelho </t>
  </si>
  <si>
    <t>Cheque - 300043 - Prateleira do Banheiro</t>
  </si>
  <si>
    <t>Cheque - 300044 - KDMia</t>
  </si>
  <si>
    <t>Saque - Hitman</t>
  </si>
  <si>
    <t>Cheque - 300046 - Passagens</t>
  </si>
  <si>
    <t>Restituição do IR</t>
  </si>
  <si>
    <t>Cheque - 300048 - Sofá</t>
  </si>
  <si>
    <t xml:space="preserve">Saque - Viagem </t>
  </si>
  <si>
    <t>Cheque - 300049 - Presente Silveira</t>
  </si>
  <si>
    <t>Hometheater: Pagamento Carrefour (04/10)</t>
  </si>
  <si>
    <t>Saque - Mais pra viagem</t>
  </si>
  <si>
    <t>Cheque - 300050 - Aluguel</t>
  </si>
  <si>
    <t>Saque - Tia que Lavaropa</t>
  </si>
  <si>
    <t>Cheque - 300051 - Mercado</t>
  </si>
  <si>
    <t>Cheque Eletronico - Diet Shake</t>
  </si>
  <si>
    <t>Cheque - 300052 - Farmárica</t>
  </si>
  <si>
    <t>Transf - Doc- Oculos</t>
  </si>
  <si>
    <t>Cheque - 300047 - Presente Cris 2</t>
  </si>
  <si>
    <t>Cheque - 300053 - exaustor da CPU</t>
  </si>
  <si>
    <t xml:space="preserve"> Julho / 2003</t>
  </si>
  <si>
    <t>Débito de Juros</t>
  </si>
  <si>
    <t>Transf - DOC - Luz Negra</t>
  </si>
  <si>
    <t>Tarifa Emis.Cheq.Inf. ou Igual a R$25</t>
  </si>
  <si>
    <t xml:space="preserve">Cheque - 300055 - Mercado </t>
  </si>
  <si>
    <t>Carrefour - Liquidificador (03/03)</t>
  </si>
  <si>
    <t>Cheque - 300056 - Locadora</t>
  </si>
  <si>
    <t>Depósito - Computador do Borosky (02/05)</t>
  </si>
  <si>
    <t xml:space="preserve">Cheque - 300057 - Mercado </t>
  </si>
  <si>
    <t xml:space="preserve">Saque - Locadora + Cris </t>
  </si>
  <si>
    <t>Hometheater: Pagamento Carrefour (05/10)</t>
  </si>
  <si>
    <t xml:space="preserve"> Dezembro / 2003</t>
  </si>
  <si>
    <t>Lançamentos perdidos de 18/07/2003  à 07/12</t>
  </si>
  <si>
    <t>Resgate De Poupanca-Ag.30 Horas</t>
  </si>
  <si>
    <t>Deb.Aut. Copel Ref.046203915</t>
  </si>
  <si>
    <t>Redeshop 07/12 14:36 78 Mercadorama</t>
  </si>
  <si>
    <t>Redeshop 05/12 22:43 Pizzaria Ravenna</t>
  </si>
  <si>
    <t>Saque Caixa Aut 10/12 18:50 Carrefour L</t>
  </si>
  <si>
    <t>Saque Caixa Aut 15/12 12:19 Ag. Londrin</t>
  </si>
  <si>
    <t>Resgate De Poupanca</t>
  </si>
  <si>
    <t>Chq Eletr 15/12 21:34 Drogamed Londrina</t>
  </si>
  <si>
    <t>Saque Banco 24H 16/12 19:42</t>
  </si>
  <si>
    <t>Saque Caixa Aut 18/12 19:09 Ag. Londrin</t>
  </si>
  <si>
    <t>Deposito - 13º Salário</t>
  </si>
  <si>
    <t>Saque Caixa Aut 19/12 12:22 Londrina</t>
  </si>
  <si>
    <t>Redeshop 20/12 20:22 Superm Viscardi</t>
  </si>
  <si>
    <t>Saque Caixa Aut 22/12 13:02 Ag. Londrin</t>
  </si>
  <si>
    <t>Saque Caixa Aut 23/12 20:01 Ag. Londrin</t>
  </si>
  <si>
    <t>Cheque - 300117 - Lavanderia</t>
  </si>
  <si>
    <t>Cheque - 300116 - Aluguel</t>
  </si>
  <si>
    <t>Tarifa Emis.Cheq.Inf. Ou Igual A R$25</t>
  </si>
  <si>
    <t>Saque Caixa Aut 24/12 17:06 Ag. Londrin</t>
  </si>
  <si>
    <t>Cheque - 300118 - Control Remoto do Portão</t>
  </si>
  <si>
    <t>Cheque - 300114 -</t>
  </si>
  <si>
    <t>Redeshop 27/12 10:12 Superm Viscardi</t>
  </si>
  <si>
    <t>Redeshop 27/12 18:58 Mrs Postel</t>
  </si>
  <si>
    <t>Saque Caixa Aut 28/12 16:13 Ag. Londrin</t>
  </si>
  <si>
    <t>Cheque - 300119 - Moto</t>
  </si>
  <si>
    <t>Saque Banco 24H 30/12 12:18</t>
  </si>
  <si>
    <t>Redeshop 29/12 20:27 Superm Viscardi</t>
  </si>
  <si>
    <t>Cheque - 300120 - Trava da Moto</t>
  </si>
  <si>
    <t>Saque Caixa Aut 31/12 16:44 Ag. Londrin</t>
  </si>
  <si>
    <t xml:space="preserve"> Janeiro / 2004</t>
  </si>
  <si>
    <t>Imposto S/Operacoes De Credito</t>
  </si>
  <si>
    <t>Debito De Juros</t>
  </si>
  <si>
    <t>Saque Caixa Aut 04/01 16:05 Ag. Souza N</t>
  </si>
  <si>
    <t>Saque Caixa Aut 03/01 10:03 Ag. Londrin</t>
  </si>
  <si>
    <t>Conectway</t>
  </si>
  <si>
    <t>MasterCard</t>
  </si>
  <si>
    <t>Formula Banco 1 Executiva</t>
  </si>
  <si>
    <t>Saque Banco 24H 02/01 20:46</t>
  </si>
  <si>
    <t>Redeshop 03/01 16:36 Superm Viscardi</t>
  </si>
  <si>
    <t>Saque Banco 24H 06/01 19:48</t>
  </si>
  <si>
    <t>Deposito - Salário</t>
  </si>
  <si>
    <t>Saque 24H Inter 07/01 21:32</t>
  </si>
  <si>
    <t>Saque Caixa Aut 08/01 12:02 Londrina</t>
  </si>
  <si>
    <t>Redeshop 08/01 20:03 Superm Viscardi</t>
  </si>
  <si>
    <t>Redeshop 10/01 22:39 Portal Da Pizza</t>
  </si>
  <si>
    <t>Saque Caixa Aut 10/01 10:12 Ag. Catedra</t>
  </si>
  <si>
    <t>Redeshop 14/01 20:27 Superm Viscardi</t>
  </si>
  <si>
    <t>Saque Caixa Aut 15/01 20:35 Ag. Londrin</t>
  </si>
  <si>
    <t>Cheque - 300122 - Excusão p/ o Iron</t>
  </si>
  <si>
    <t>Saque Caixa Aut 16/01 20:04 Carrefour L</t>
  </si>
  <si>
    <t>Saque Caixa Aut 19/01 12:05 Londrina</t>
  </si>
  <si>
    <t>Cheque - 300121 - Documento Moto</t>
  </si>
  <si>
    <t>Redeshop 18/01 15:12 Mrs Postel</t>
  </si>
  <si>
    <t>Redeshop 16/01 19:30 Jin Jin</t>
  </si>
  <si>
    <t>Saque Caixa Aut 18/01 15:03 Carrefour L</t>
  </si>
  <si>
    <t>Cheque - 300124 - Aluguel</t>
  </si>
  <si>
    <t>Redeshop 20/01 18:41 Superm Viscardi</t>
  </si>
  <si>
    <t>Tar.Abertura/Renovacao De Credito</t>
  </si>
  <si>
    <t>Cheque - 30125 -  Bombas</t>
  </si>
  <si>
    <t>Saque Caixa Aut 24/01 15:20 Carrefour L</t>
  </si>
  <si>
    <t>Saque Caixa Aut 26/01 12:24 Londrina</t>
  </si>
  <si>
    <t>Estorno De Saque Em Caixa Automatico</t>
  </si>
  <si>
    <t>Pgto Gvt Int.30Hs</t>
  </si>
  <si>
    <t>Cheque - 30128 - Mercado</t>
  </si>
  <si>
    <t>Cheque - 300127 - Capacete</t>
  </si>
  <si>
    <t>Deb.Aut. Vivo Pr Sc Ref.208004980</t>
  </si>
  <si>
    <t>Estorno Cpmf</t>
  </si>
  <si>
    <t xml:space="preserve"> Fevereiro / 2004</t>
  </si>
  <si>
    <t>Cheque - 300129 - Motel</t>
  </si>
  <si>
    <t>Estorno De Juros</t>
  </si>
  <si>
    <t>Saque Caixa Aut 01/02 17:43 Ag. Arapong</t>
  </si>
  <si>
    <t>Saque Caixa Aut 31/01 10:24 Ag. Londrin</t>
  </si>
  <si>
    <t>Deposito Recurso Cliente Ubb</t>
  </si>
  <si>
    <t>Saque Caixa Aut 03/02 12:12 Ag. Souza N</t>
  </si>
  <si>
    <t>Cheque - 300130 - Mercado</t>
  </si>
  <si>
    <t>Cheque - 300131 - Restaurante do mês</t>
  </si>
  <si>
    <t>Saque - Cortar cabelo + Diversos</t>
  </si>
  <si>
    <t>Cheque - 300132 - Mecado</t>
  </si>
  <si>
    <t>Conta Telefonica - GVT</t>
  </si>
  <si>
    <t>Moto (01/24)</t>
  </si>
  <si>
    <t>Cheque - 300133 - Mercado</t>
  </si>
  <si>
    <t>Cheque - 300134 - Sair</t>
  </si>
  <si>
    <t>Cheque - 300135 – McDonalds</t>
  </si>
  <si>
    <t>Saque - Pedágio</t>
  </si>
  <si>
    <t xml:space="preserve">Depósito - restituição da Vivo </t>
  </si>
  <si>
    <t>Saque - IPVA + Carteira motorista + Locadora</t>
  </si>
  <si>
    <t>saQUE</t>
  </si>
  <si>
    <t>Cheque - 300136 - Bombas</t>
  </si>
  <si>
    <t>Cheque - 300123 - Documento Moto</t>
  </si>
  <si>
    <t>Cheque - 300137 - Aluguel</t>
  </si>
  <si>
    <t>Saque  - Viajar</t>
  </si>
  <si>
    <t>Cheque - 300126 - Academia</t>
  </si>
  <si>
    <t>Saque - Diversos + revisão</t>
  </si>
  <si>
    <t>Cheque - 300138 - Mercado</t>
  </si>
  <si>
    <t xml:space="preserve"> março / 2003</t>
  </si>
  <si>
    <t>Cheque - 300139 - Farmácia</t>
  </si>
  <si>
    <t xml:space="preserve"> EST.TAR.ABERTURA/RENOVACAO DE CREDITO</t>
  </si>
  <si>
    <t>Cheque - 300140 - Farmácia</t>
  </si>
  <si>
    <t>Fatura Telefonica - Vivo</t>
  </si>
  <si>
    <t>Estorno de CPMF</t>
  </si>
  <si>
    <t>Deposito Salário</t>
  </si>
  <si>
    <t>Cheque - 300140 - Doce Café</t>
  </si>
  <si>
    <t>Saque - Faxineira + filmes</t>
  </si>
  <si>
    <t>Cheque – 300142 – Info &amp; Cia</t>
  </si>
  <si>
    <t>Saque – Ref. Ao sorvete do dia 27/02</t>
  </si>
  <si>
    <t>Moto (02/24)</t>
  </si>
  <si>
    <t>Estorno de Formula1 Executiva</t>
  </si>
  <si>
    <t xml:space="preserve">Cheque - 300143 - Mercado </t>
  </si>
  <si>
    <t>Cheque - 300144 - Pizza</t>
  </si>
  <si>
    <t>Cheque – 300145 -  Bombas</t>
  </si>
  <si>
    <t>Cheuque - 300146 - Pizza</t>
  </si>
  <si>
    <t>Cheque - 300147 - MataCachorro+Churas.</t>
  </si>
  <si>
    <t>Cheque - 300148 - Gasolina</t>
  </si>
  <si>
    <t>Saque - Viajem</t>
  </si>
  <si>
    <t>Cheque - 300149 - Aluguel</t>
  </si>
  <si>
    <t>Estorno Formula Banco1 Executiva</t>
  </si>
  <si>
    <t>Cheque - 300150 - Mercado</t>
  </si>
  <si>
    <t>Saque - Corta Cabelo</t>
  </si>
  <si>
    <t>Cheque eletronico - Almoço</t>
  </si>
  <si>
    <t xml:space="preserve"> Abril / 2004</t>
  </si>
  <si>
    <t>Cheque - 300151 - Mercado</t>
  </si>
  <si>
    <t>Cheque eletronico -mercado</t>
  </si>
  <si>
    <t>Tapa Buraco</t>
  </si>
  <si>
    <t>CHEQUE – 300152 – Mercado</t>
  </si>
  <si>
    <t>Saque – faxineira</t>
  </si>
  <si>
    <t>Fatura Telefonica - Embratel</t>
  </si>
  <si>
    <t xml:space="preserve">Depósito – Salário </t>
  </si>
  <si>
    <t>Cheque – 300153 – Restaurante Doce Café</t>
  </si>
  <si>
    <t>Inscrição concurso Prfef.</t>
  </si>
  <si>
    <t xml:space="preserve">Moto (03/24) </t>
  </si>
  <si>
    <t>Saque – Lavar Moto + loOCADORA+ Mercado</t>
  </si>
  <si>
    <t>Cheque - 300154 - Mercado</t>
  </si>
  <si>
    <t>saque - almoço</t>
  </si>
  <si>
    <t>Cheque - 300155 - Aluguel</t>
  </si>
  <si>
    <t>Cheque - 300156 - Pizza</t>
  </si>
  <si>
    <t>Cheque - 300157 - Almoço</t>
  </si>
  <si>
    <t>Cheque - 300158 -  Mercado</t>
  </si>
  <si>
    <t>Cheque eletronico - mercado</t>
  </si>
  <si>
    <t>Cheque - 300159 - Academia</t>
  </si>
  <si>
    <t>Cheque - 300160 - McDonalds</t>
  </si>
  <si>
    <t>Cheque - 300161 - Mr. Pastel Catuai</t>
  </si>
  <si>
    <t>Cheque - 300162 - Mc Donalds</t>
  </si>
  <si>
    <t>Imposto  S/Operaçao sem creditos</t>
  </si>
  <si>
    <t>Debito de Juros</t>
  </si>
  <si>
    <t>fatura MasterCard</t>
  </si>
  <si>
    <t>Cheque - 300163 - Rest.doCê café do mes 04/2004</t>
  </si>
  <si>
    <t>Saque - viagem</t>
  </si>
  <si>
    <t>Saque – Tia que lava Ropa.</t>
  </si>
  <si>
    <t>Saque – Condominio</t>
  </si>
  <si>
    <t>Moto (04/24)</t>
  </si>
  <si>
    <t>Cheque - 300164 - Mercado</t>
  </si>
  <si>
    <t>Cheque - 300165 - Aluguel</t>
  </si>
  <si>
    <t>Cheque - 300166 - Pizza</t>
  </si>
  <si>
    <t>Cheque - 300167 - Mercado</t>
  </si>
  <si>
    <t>Saque – Locadora</t>
  </si>
  <si>
    <t>Saque - Locadora - Mercado - Viagem</t>
  </si>
  <si>
    <t>Cheque - 300168 - Mascara pra andar de moto</t>
  </si>
  <si>
    <t>cheque - 300169 - Mercado</t>
  </si>
  <si>
    <t>Cheque - 300170 - Farmácia</t>
  </si>
  <si>
    <t>Saque – Fatura Telefonica - Sercomtel</t>
  </si>
  <si>
    <t>Deposito ???</t>
  </si>
  <si>
    <t>Rec salário</t>
  </si>
  <si>
    <t>Cheque - 300171 - Doce Café</t>
  </si>
  <si>
    <t>Moto (05/24)</t>
  </si>
  <si>
    <t>Fatura telefonica - Vivo</t>
  </si>
  <si>
    <t xml:space="preserve">Fatura Telefonica - GVT </t>
  </si>
  <si>
    <t>Fatura Mastercard</t>
  </si>
  <si>
    <t xml:space="preserve">Saque – Aluguel </t>
  </si>
  <si>
    <t>Liber. Cred C/C</t>
  </si>
  <si>
    <t>Deposito – Venda do Prince Of Persia 3d</t>
  </si>
  <si>
    <t>cheque - 300173 - retrovisor da moto</t>
  </si>
  <si>
    <t xml:space="preserve">Cheque - 300172 - Luvas de couro </t>
  </si>
  <si>
    <t>Deposito</t>
  </si>
  <si>
    <t>DEPOSITO</t>
  </si>
  <si>
    <t>Parc. Financiamento (01/24)</t>
  </si>
  <si>
    <t xml:space="preserve"> Setembro / 204</t>
  </si>
  <si>
    <t>Rendimento MultiConta</t>
  </si>
  <si>
    <t>Cheque - 300174 - Diploma da Unopar</t>
  </si>
  <si>
    <t>Deposito Mudança</t>
  </si>
  <si>
    <t>Parc. Financiamento (02/24)</t>
  </si>
  <si>
    <t>Cheque -300176 - Mudança(01/03)</t>
  </si>
  <si>
    <t>Saque pro taxi</t>
  </si>
  <si>
    <t>Impost Operação S credito</t>
  </si>
  <si>
    <t>Transf . Citibank</t>
  </si>
  <si>
    <t>Cheque - 300177 - Reserva para o Aluguel</t>
  </si>
  <si>
    <t>Parc. Financiamento (03/24)</t>
  </si>
  <si>
    <t>Cheque - 30181 - Certidão de casamento</t>
  </si>
  <si>
    <t>deposito</t>
  </si>
  <si>
    <t>Cheque - 30178 - Geladeira (01/04)</t>
  </si>
  <si>
    <t>Parc. Financiamento (04/24)</t>
  </si>
  <si>
    <t>Flores pra Cris</t>
  </si>
  <si>
    <t>Cheque - 300187 - farmácia</t>
  </si>
  <si>
    <t xml:space="preserve">Cheque - 300188 - cartório </t>
  </si>
  <si>
    <t>Cheque - 300184 - Vestido Cris</t>
  </si>
  <si>
    <t>Cheque - 300189 - 50</t>
  </si>
  <si>
    <t>CHEQUE - 300190 - ???</t>
  </si>
  <si>
    <t>Parc. Financiamento (05/24)</t>
  </si>
  <si>
    <t>Cheque - 300191 - ???</t>
  </si>
  <si>
    <t>Tarifa Emissão Cheque Inf. 35</t>
  </si>
  <si>
    <t>COPMFI</t>
  </si>
  <si>
    <t xml:space="preserve"> janeiro / 2005</t>
  </si>
  <si>
    <t>debito juros</t>
  </si>
  <si>
    <t xml:space="preserve">PACOTE PREFERENCIAL 01/05 </t>
  </si>
  <si>
    <t xml:space="preserve">deposito </t>
  </si>
  <si>
    <t>Parc. Financiamento (06/24)</t>
  </si>
  <si>
    <t>Cheque - 300192 - Salao pro casório</t>
  </si>
  <si>
    <t xml:space="preserve">COMISSAO MANUTENCAO DO CREDITO - CMC </t>
  </si>
  <si>
    <t xml:space="preserve">PACOTE PREFERENCIAL 02/05 </t>
  </si>
  <si>
    <t>Parc. Financiamento (07/24)</t>
  </si>
  <si>
    <t>Transf Citibank</t>
  </si>
  <si>
    <t xml:space="preserve"> março / 2005</t>
  </si>
  <si>
    <t>JUROS E COMISSAO CHEQUE ESPECIAL</t>
  </si>
  <si>
    <t xml:space="preserve">CPMF </t>
  </si>
  <si>
    <t>PACOTE PREFERENCIAL 03/05</t>
  </si>
  <si>
    <t>Deposito da Cris</t>
  </si>
  <si>
    <t>Parc. Financiamento (08/24)</t>
  </si>
  <si>
    <t xml:space="preserve">TARIFA-ZERO 00%DESC EXCLUSIVO1 ABR05 </t>
  </si>
  <si>
    <t>Pagamento Fatura MasterCard</t>
  </si>
  <si>
    <t>Parc. Financiamento (09/24)</t>
  </si>
  <si>
    <t>TARIFA SAQUE REDE INTERLIGADA BCO 24H</t>
  </si>
  <si>
    <t xml:space="preserve"> maio / 2005</t>
  </si>
  <si>
    <t xml:space="preserve">TARIFA-ZERO 00%DESC EXCLUSIVO1 MAI05 </t>
  </si>
  <si>
    <t>Depósito</t>
  </si>
  <si>
    <t>Moto (16/24)</t>
  </si>
  <si>
    <t>Parc. Financiamento (10/24)</t>
  </si>
  <si>
    <t>Gasolina na motooca</t>
  </si>
  <si>
    <t>Cheque Eletronico - Giraffas Shakes</t>
  </si>
  <si>
    <t xml:space="preserve"> Junho / 2005</t>
  </si>
  <si>
    <t xml:space="preserve">Encargos cheque especial </t>
  </si>
  <si>
    <t>Cheque - 300194 - Almoço nos Gauchue</t>
  </si>
  <si>
    <t xml:space="preserve">TARIFA-ZERO 00%DESC EXCLUSIVO1 jun05 </t>
  </si>
  <si>
    <t>Cheque - 300193 - Dicionário Cris</t>
  </si>
  <si>
    <t>Taxa Trabsf Banco ItaU</t>
  </si>
  <si>
    <t>Transf ItaU</t>
  </si>
  <si>
    <t>Parc. Financiamento (11/24)</t>
  </si>
  <si>
    <t>Cheque - 300179 - Livros Cris</t>
  </si>
  <si>
    <t>Cheque - 300195 - Pizza</t>
  </si>
  <si>
    <t xml:space="preserve"> Julho  / 2005</t>
  </si>
  <si>
    <t xml:space="preserve">ENCARGOS DE CHEQUE ESPECIAL </t>
  </si>
  <si>
    <t xml:space="preserve">TARIFA-ZERO 00%DESC EXCLUSIVO1 jul05 </t>
  </si>
  <si>
    <t>Cheque - 300196 - Gáz</t>
  </si>
  <si>
    <t xml:space="preserve">*TARIFA-ZERO 00%DESC CH.INFERIOR R$35 </t>
  </si>
  <si>
    <t>Parc. Financiamento (12/24)</t>
  </si>
  <si>
    <t>Transf Itau</t>
  </si>
  <si>
    <t>Cheque - 300197 - Pra viagem</t>
  </si>
  <si>
    <t>Cheque - 300198 - Cristiane</t>
  </si>
  <si>
    <t>Cheque - 300199 - Cabelereiro Cris</t>
  </si>
  <si>
    <t>Cheque - 300200 - Academia</t>
  </si>
  <si>
    <t>Imposto S/ Operacao de credito</t>
  </si>
  <si>
    <t xml:space="preserve">TARIFA-ZERO 00%DESC EXCLUSIVO1 Ago05 </t>
  </si>
  <si>
    <t>Moto (19/24)</t>
  </si>
  <si>
    <t>Parc. Financiamento (13/24)</t>
  </si>
  <si>
    <t>Presente da Paty</t>
  </si>
  <si>
    <t xml:space="preserve">TARIFA-ZERO 00%DESC EXCLUSIVO1 sET05 </t>
  </si>
  <si>
    <t>Moto (20/24)</t>
  </si>
  <si>
    <t>Parc. Financiamento (14/24)</t>
  </si>
  <si>
    <t>Pagamento Fatura TIM</t>
  </si>
  <si>
    <t xml:space="preserve">TARIFA-ZERO 00%DESC EXCLUSIVO1 Out05 </t>
  </si>
  <si>
    <t>Restituição do I/R</t>
  </si>
  <si>
    <t xml:space="preserve">TARIFA-ZERO 00%DESC CHEQUE EXPRESSO </t>
  </si>
  <si>
    <t>Cheque - 00001 - Bijux</t>
  </si>
  <si>
    <t>Cheque - 400003 - Sesc Cris</t>
  </si>
  <si>
    <t>Saque - Crsitiane e viagem</t>
  </si>
  <si>
    <t>Vacinas</t>
  </si>
  <si>
    <t xml:space="preserve">Lampada + òleo </t>
  </si>
  <si>
    <t>Amc Almoço</t>
  </si>
  <si>
    <t>Almoço com Jardinete</t>
  </si>
  <si>
    <t>Porta cartões</t>
  </si>
  <si>
    <t>Cheque - 400002 - Curso</t>
  </si>
  <si>
    <t>Imposto S Operacao credito</t>
  </si>
  <si>
    <t>Cheque - 400004 - Gaz</t>
  </si>
  <si>
    <t>Encargos Cheque Especial</t>
  </si>
  <si>
    <t>Materias de Arte</t>
  </si>
  <si>
    <t>TARIFA-ZERO 00%DESC PLANO3 NOV05</t>
  </si>
  <si>
    <t xml:space="preserve">TARIFA-ZERO 00%DESC CH.INFERIOR R$40 </t>
  </si>
  <si>
    <t>Imposto S Operação sem creditos</t>
  </si>
  <si>
    <t>Doc do ItaU</t>
  </si>
  <si>
    <t>Encargos ch especial</t>
  </si>
  <si>
    <t>Tarifa Zero DEz05</t>
  </si>
  <si>
    <t>Imposto S Operação de Credito</t>
  </si>
  <si>
    <t>encargos Ch Especial</t>
  </si>
  <si>
    <t>deposito de encerramento de conta</t>
  </si>
  <si>
    <t>Tarfifa Quitação Antecipada</t>
  </si>
  <si>
    <t xml:space="preserve">TARIFA-ZERO 00%DESC PLANO3 JAN06 </t>
  </si>
  <si>
    <t>Mais deposito, porra</t>
  </si>
  <si>
    <t xml:space="preserve">ENCARGOS/MORA PAGAMENTO TOTAL DIVIDA </t>
  </si>
  <si>
    <t>Encerramento de Conta</t>
  </si>
  <si>
    <t>C/C</t>
  </si>
  <si>
    <t>105.877-3</t>
  </si>
  <si>
    <t>SENHA</t>
  </si>
  <si>
    <t>COD ALFA</t>
  </si>
  <si>
    <t>HHD</t>
  </si>
  <si>
    <t>ASS ELETR</t>
  </si>
  <si>
    <t>Tx Juros</t>
  </si>
  <si>
    <t>Emprestimo</t>
  </si>
  <si>
    <t xml:space="preserve"> CPMF</t>
  </si>
  <si>
    <t>Limite C/C</t>
  </si>
  <si>
    <t>Saldos para ajustes</t>
  </si>
  <si>
    <t xml:space="preserve"> dezembro / 2003</t>
  </si>
  <si>
    <t>Pagamento Fatura Master Card</t>
  </si>
  <si>
    <t>Presente Cris</t>
  </si>
  <si>
    <t>Roupas (01/02)</t>
  </si>
  <si>
    <t>Ingresso show do Iron</t>
  </si>
  <si>
    <t>Oculos (01/03)</t>
  </si>
  <si>
    <t>Conserto do Som (01/03)</t>
  </si>
  <si>
    <t>CD - Blaze Sillicon Messiah</t>
  </si>
  <si>
    <t xml:space="preserve"> Março / 2004</t>
  </si>
  <si>
    <t>Oculos (02/03)</t>
  </si>
  <si>
    <t>Assinatura Kazaa Premium</t>
  </si>
  <si>
    <t>Conserto do som (02/03)</t>
  </si>
  <si>
    <t>Assinatura SexyClub</t>
  </si>
  <si>
    <t>òculos (03/03)</t>
  </si>
  <si>
    <t>Conserto do Som (03/03)</t>
  </si>
  <si>
    <t xml:space="preserve"> Maio / 2004</t>
  </si>
  <si>
    <t>Passagem pra piraju</t>
  </si>
  <si>
    <t>Livro de VB (01/03)</t>
  </si>
  <si>
    <t>Livro de VB (02/03)</t>
  </si>
  <si>
    <t>Americanas</t>
  </si>
  <si>
    <t>Revisão da Moto</t>
  </si>
  <si>
    <t>Pizzaria</t>
  </si>
  <si>
    <t>taxas do Mercado Livre</t>
  </si>
  <si>
    <t>Livro de VB (03/03)</t>
  </si>
  <si>
    <t>Oculos (01/06)</t>
  </si>
  <si>
    <t>Fogão (01/12)</t>
  </si>
  <si>
    <t>Secador De cabelos (01/10)</t>
  </si>
  <si>
    <t>Oculos (02/06)</t>
  </si>
  <si>
    <t>Lanche no mercado</t>
  </si>
  <si>
    <t>Remédio pra garganta</t>
  </si>
  <si>
    <t>Artigos de Limpeza + cumidas</t>
  </si>
  <si>
    <t>Anuidade  Titular (01/05)</t>
  </si>
  <si>
    <t>Janta</t>
  </si>
  <si>
    <t>Viagem</t>
  </si>
  <si>
    <t>Tarifa Saque</t>
  </si>
  <si>
    <t>Fogão (02/12)</t>
  </si>
  <si>
    <t>Secador De cabelos (02/10)</t>
  </si>
  <si>
    <t>Sapatos (01/03)</t>
  </si>
  <si>
    <t>Calça (01/03)</t>
  </si>
  <si>
    <t>Gastos no Hotel</t>
  </si>
  <si>
    <t>Oculos (03/06)</t>
  </si>
  <si>
    <t>Outubro / 2004</t>
  </si>
  <si>
    <t>Anuidade Titular (02/05)</t>
  </si>
  <si>
    <t>Encargo de Saque</t>
  </si>
  <si>
    <t>Fogão (03/12)</t>
  </si>
  <si>
    <t>Secador De cabelos (03/10)</t>
  </si>
  <si>
    <t>Sapatos (02/03)</t>
  </si>
  <si>
    <t>Calça (02/03)</t>
  </si>
  <si>
    <t>Balada no Swingers</t>
  </si>
  <si>
    <t>Balada no café cancun</t>
  </si>
  <si>
    <t>Coca no mercado</t>
  </si>
  <si>
    <t>Oculos (04/06)</t>
  </si>
  <si>
    <t>Sapatos (03/03)</t>
  </si>
  <si>
    <t>Calça(03/03)</t>
  </si>
  <si>
    <t>Oculos (05/06)</t>
  </si>
  <si>
    <t>Fogão (04/12)</t>
  </si>
  <si>
    <t>Secador De cabelos (04/10)</t>
  </si>
  <si>
    <t>Oculos (06/06)</t>
  </si>
  <si>
    <t>complemento despesas financeiras</t>
  </si>
  <si>
    <t>Fogão (05/12)</t>
  </si>
  <si>
    <t>Secador De cabelos (05/10)</t>
  </si>
  <si>
    <t>Estorno de Encargos</t>
  </si>
  <si>
    <t>Fogão (06/12)</t>
  </si>
  <si>
    <t>Secador De cabelos (06/10)</t>
  </si>
  <si>
    <t>Estorno compra Agenda. Fut</t>
  </si>
  <si>
    <t>Fogão (07/12)</t>
  </si>
  <si>
    <t>Secador De cabelos (07/10)</t>
  </si>
  <si>
    <t>Fogão (08/12)</t>
  </si>
  <si>
    <t>Secador De cabelos (08/10)</t>
  </si>
  <si>
    <t>Juros Errados</t>
  </si>
  <si>
    <t>Fogão (09/12)</t>
  </si>
  <si>
    <t>Secador De cabelos (09/10)</t>
  </si>
  <si>
    <t>Fogão (10/12)</t>
  </si>
  <si>
    <t>Secador De cabelos (10/10)</t>
  </si>
  <si>
    <t>Fogão (11/12)</t>
  </si>
  <si>
    <t>Fogão (12/12)</t>
  </si>
  <si>
    <t>Cheque</t>
  </si>
  <si>
    <t>Ábril - 1999</t>
  </si>
  <si>
    <t>Maio - 1999</t>
  </si>
  <si>
    <t>Saque - Xerox</t>
  </si>
  <si>
    <t>Saque - Toca Mano Bandido</t>
  </si>
  <si>
    <t>Junho - 1999</t>
  </si>
  <si>
    <t>Julho - 199</t>
  </si>
  <si>
    <t>Agosto / 1999</t>
  </si>
  <si>
    <t>Outubro / 1999</t>
  </si>
  <si>
    <t>Saque - Cabelo</t>
  </si>
  <si>
    <t>Fevereiro / 2000</t>
  </si>
  <si>
    <t>Cheque - Cadernos</t>
  </si>
  <si>
    <t>Saque - Passes</t>
  </si>
  <si>
    <t>Cheque - Livro B.D / L.F.A</t>
  </si>
  <si>
    <t>Saque - Embratel</t>
  </si>
  <si>
    <t>Março / 2000</t>
  </si>
  <si>
    <t>Abril / 2000</t>
  </si>
  <si>
    <t>Cheque - Impressora (01-03)</t>
  </si>
  <si>
    <t>Cheque - Real</t>
  </si>
  <si>
    <t>Telefone</t>
  </si>
  <si>
    <t>Passes</t>
  </si>
  <si>
    <t>Maio/2000</t>
  </si>
  <si>
    <t>Cheque - Impressora (02-03)</t>
  </si>
  <si>
    <t>Junho/2000</t>
  </si>
  <si>
    <t>Cheque - Impressora (03-03)</t>
  </si>
  <si>
    <t>Julho/2000</t>
  </si>
  <si>
    <t>PIX: Do itau</t>
  </si>
  <si>
    <t>PIX: Para o MercadoPagoCC</t>
  </si>
  <si>
    <t>Outubro/2002</t>
  </si>
  <si>
    <t>Ferro de Passa ropa</t>
  </si>
  <si>
    <t>Pagamento fatura Carrefour</t>
  </si>
  <si>
    <t>DVD Rammstein</t>
  </si>
  <si>
    <t>janieiro / 2003</t>
  </si>
  <si>
    <t>Tarifa Manutenção</t>
  </si>
  <si>
    <t>Pagamento</t>
  </si>
  <si>
    <t>DVD + Televisão (01/10)</t>
  </si>
  <si>
    <t>Pagamento (01/10)</t>
  </si>
  <si>
    <t>DVD + Televisão (02/10)</t>
  </si>
  <si>
    <t xml:space="preserve">Teclado </t>
  </si>
  <si>
    <t>Pagamento (02/10)</t>
  </si>
  <si>
    <t>DVD + Televisão (03/10)</t>
  </si>
  <si>
    <t>Compras</t>
  </si>
  <si>
    <t>Pagamento (03/10)</t>
  </si>
  <si>
    <t>DVD + Televisão (04/10)</t>
  </si>
  <si>
    <t>Liquidificador (02/03)</t>
  </si>
  <si>
    <t>Pagamento Liquidificador</t>
  </si>
  <si>
    <t>PAGAMENTO(04/10)</t>
  </si>
  <si>
    <t>DVD + Televisão (05/10)</t>
  </si>
  <si>
    <t>Liquidificador (03/03)</t>
  </si>
  <si>
    <t>PAGAMENTO(05/10)</t>
  </si>
  <si>
    <t>DVD + Televisão (06/10)</t>
  </si>
  <si>
    <t>DVD + Televisão (07/10)</t>
  </si>
  <si>
    <t>Pagamento (06/10)</t>
  </si>
  <si>
    <t>Setembro / 2003</t>
  </si>
  <si>
    <t>DVD + Televisão (08/10)</t>
  </si>
  <si>
    <t>Pagamento (07/10)</t>
  </si>
  <si>
    <t>DVD + Televisão (09/10)</t>
  </si>
  <si>
    <t>Pagamento (08/10)</t>
  </si>
  <si>
    <t>DVD + Televisão (10/10)</t>
  </si>
  <si>
    <t>Pagamento (09/10)</t>
  </si>
  <si>
    <t>Pagamento (10/10)</t>
  </si>
  <si>
    <t>Malas(01/06)</t>
  </si>
  <si>
    <t>Pagamento (01/06)</t>
  </si>
  <si>
    <t>Malas(02/06)</t>
  </si>
  <si>
    <t>Malas(03/06)</t>
  </si>
  <si>
    <t>Malas(04/06)</t>
  </si>
  <si>
    <t>Pagamento(02/06)</t>
  </si>
  <si>
    <t>Pagamento(03/06)</t>
  </si>
  <si>
    <t>Pagamento(04/06)</t>
  </si>
  <si>
    <t>Malas(05/06)</t>
  </si>
  <si>
    <t>Malas(06/06)</t>
  </si>
  <si>
    <t xml:space="preserve">Relogio consumista novo </t>
  </si>
  <si>
    <t>encargos</t>
  </si>
  <si>
    <t>Boxes do Arquivo X</t>
  </si>
  <si>
    <t xml:space="preserve">Restante da rescisão </t>
  </si>
  <si>
    <t>Par ao Santander</t>
  </si>
  <si>
    <t>Do Seguro Desemprego (1)</t>
  </si>
  <si>
    <t>Do Seguro Desemprego (2)</t>
  </si>
  <si>
    <t>Almoço no nicolaus ferreras</t>
  </si>
  <si>
    <t>Fatura Irau Master</t>
  </si>
  <si>
    <t>Condominios</t>
  </si>
  <si>
    <t>Seguro Desemprego (03/05)</t>
  </si>
  <si>
    <t>EcoSport (11/36)</t>
  </si>
  <si>
    <t xml:space="preserve"> Julho / 2014</t>
  </si>
  <si>
    <t>Seguro Desemprego (04/05)</t>
  </si>
  <si>
    <t>EcoSport (12/36)</t>
  </si>
  <si>
    <t>Seguro Desemprego (05/05)</t>
  </si>
  <si>
    <t>EcoSport (13/36)</t>
  </si>
  <si>
    <t>Para o santander</t>
  </si>
  <si>
    <t xml:space="preserve"> Abril  / 2015</t>
  </si>
  <si>
    <t>Resgate de Investimentos</t>
  </si>
  <si>
    <t>Pagamento Fatura Santander Visa</t>
  </si>
  <si>
    <t>Correção no Periodo</t>
  </si>
  <si>
    <t>Pagamento do Resto da Echo</t>
  </si>
  <si>
    <t>Santander Visa - Maio - 2015</t>
  </si>
  <si>
    <t xml:space="preserve"> MArço  / 2016</t>
  </si>
  <si>
    <t>Restante da resgate</t>
  </si>
  <si>
    <t>TIM Cristiabe</t>
  </si>
  <si>
    <t xml:space="preserve"> Abril  / 2016</t>
  </si>
  <si>
    <t xml:space="preserve">Aplicação do LCI </t>
  </si>
  <si>
    <t>Saldo de Poupanças</t>
  </si>
  <si>
    <t>Fatura ItauVisa - Setembro - 2017</t>
  </si>
  <si>
    <t>Fatura Visio - Setembro - 2017</t>
  </si>
  <si>
    <t>Fatura NuBank - Setembro - 2017</t>
  </si>
  <si>
    <t xml:space="preserve">Condominio - Setembro - 2017 </t>
  </si>
  <si>
    <t>Lifemen (06/10)</t>
  </si>
  <si>
    <t xml:space="preserve">TIMN do Luiz </t>
  </si>
  <si>
    <t>Aluguel: Seguro Fiança (11/11)</t>
  </si>
  <si>
    <t>DEV/NULL</t>
  </si>
  <si>
    <t>EltrroPaulos</t>
  </si>
  <si>
    <t>Lifemen (07/10)</t>
  </si>
  <si>
    <t>Fatura EletroPaulô</t>
  </si>
  <si>
    <t>Rfesgate de Fundo Lci</t>
  </si>
  <si>
    <t xml:space="preserve">Cancun 2017 - CVC </t>
  </si>
  <si>
    <t>Da poupancas</t>
  </si>
  <si>
    <t xml:space="preserve">LifeMen (08/10) </t>
  </si>
  <si>
    <t xml:space="preserve">Transferencia para Liber Al Vel Levis do Xenofonbico </t>
  </si>
  <si>
    <t>Resgate de LCI</t>
  </si>
  <si>
    <t>Mergulho: PPB</t>
  </si>
  <si>
    <t>Mergulho: Ilha Grande 24 e 25 de Março</t>
  </si>
  <si>
    <t>Aplicação poupanca</t>
  </si>
  <si>
    <t>Trabalho: Lanche da Tarde</t>
  </si>
  <si>
    <t>Remedio de Colesterols</t>
  </si>
  <si>
    <t>Restgate de poupança</t>
  </si>
  <si>
    <t>Resgate LCI</t>
  </si>
  <si>
    <t>para o Santander</t>
  </si>
  <si>
    <t>Taxa TED</t>
  </si>
  <si>
    <t>Venda da casa de Piraju (01/02)</t>
  </si>
  <si>
    <t>Revista Anestera III, Livro Oswald With e Tarot</t>
  </si>
  <si>
    <t>Para a poupança</t>
  </si>
  <si>
    <t>Debito de IOF</t>
  </si>
  <si>
    <t xml:space="preserve">Compra de Cambio Extrangeiro </t>
  </si>
  <si>
    <t xml:space="preserve">Citizen Wingman D120 </t>
  </si>
  <si>
    <t>Citizen J44045-57e</t>
  </si>
  <si>
    <t>Pro Novo Pejô GGM5</t>
  </si>
  <si>
    <t xml:space="preserve">Do LCI </t>
  </si>
  <si>
    <t>Resto residual da herança</t>
  </si>
  <si>
    <t>Saldo residual de Ajustes</t>
  </si>
  <si>
    <t>Parte da herança pra cristiane</t>
  </si>
  <si>
    <t>Tarifa Conta Max</t>
  </si>
  <si>
    <t>Para o Santanter</t>
  </si>
  <si>
    <t>Seguro viagens pra Chile</t>
  </si>
  <si>
    <t>tx tranbsf TED</t>
  </si>
  <si>
    <t>cesta de serviços</t>
  </si>
  <si>
    <t xml:space="preserve">Fatura TIM Luiz </t>
  </si>
  <si>
    <t>Saldo de ajustes</t>
  </si>
  <si>
    <t>credito LCI</t>
  </si>
  <si>
    <t>lci</t>
  </si>
  <si>
    <t>Setembro /2019</t>
  </si>
  <si>
    <t>Maçonaria: Na GLESP</t>
  </si>
  <si>
    <t>maçonaria: Jantar ritualistico</t>
  </si>
  <si>
    <t>DOC o IR</t>
  </si>
  <si>
    <t>Maçonaria: Caveirinhas</t>
  </si>
  <si>
    <t>Maçonaria: insensos</t>
  </si>
  <si>
    <t>Velas pra capirotagem</t>
  </si>
  <si>
    <t>Hidromel Phillip Mead Hail Odin</t>
  </si>
  <si>
    <t>Almoço na feira misticas</t>
  </si>
  <si>
    <t>sorvetesd gourmets</t>
  </si>
  <si>
    <t>Resgates FGTS</t>
  </si>
  <si>
    <t>Para a XPInvest</t>
  </si>
  <si>
    <t xml:space="preserve">TaxaTED </t>
  </si>
  <si>
    <t>Almoço no Miguelitto´s</t>
  </si>
  <si>
    <t>Trabalho: Telha Norte (Everis/NTT)</t>
  </si>
  <si>
    <t>maçonaria: Estacionamento tres pontos</t>
  </si>
  <si>
    <t>Maçonaria: lanche pre sessão</t>
  </si>
  <si>
    <t>Maçonaria: Agape copo d'agua</t>
  </si>
  <si>
    <t>star buques d shopping</t>
  </si>
  <si>
    <t>kharina comidas</t>
  </si>
  <si>
    <t>Estacionamento no medico buco maxi</t>
  </si>
  <si>
    <t>Café de manha na paccocca´s ao lado do hospitals</t>
  </si>
  <si>
    <t>coisas diversas na YkeSaKy</t>
  </si>
  <si>
    <t>Restaurante Sukya no centro</t>
  </si>
  <si>
    <t>Pagamento fatura nubank</t>
  </si>
  <si>
    <t>O Dia %</t>
  </si>
  <si>
    <t>restaurante na liberdade</t>
  </si>
  <si>
    <t xml:space="preserve">Fitas adesivas </t>
  </si>
  <si>
    <t>2 incensários novos</t>
  </si>
  <si>
    <t>Café da Tarde novafé da villa</t>
  </si>
  <si>
    <t>Maçonaria: Lavagem de terno maçonico</t>
  </si>
  <si>
    <t xml:space="preserve">Almoço no roque em ribes no atrium </t>
  </si>
  <si>
    <t>Café de tarde no Shopping atrium</t>
  </si>
  <si>
    <t>Rodoserver Lanches</t>
  </si>
  <si>
    <t>Torre de pizzas</t>
  </si>
  <si>
    <t xml:space="preserve">Rodoserv Lanches </t>
  </si>
  <si>
    <t>Café no posto 57</t>
  </si>
  <si>
    <t xml:space="preserve">Periodo </t>
  </si>
  <si>
    <t>Enel setembro 2019</t>
  </si>
  <si>
    <t xml:space="preserve">Licenciamento DPVAT </t>
  </si>
  <si>
    <t xml:space="preserve">Shampoo para os cabelos </t>
  </si>
  <si>
    <t>remedios de pressão/colesterol</t>
  </si>
  <si>
    <t>Outubro /2019</t>
  </si>
  <si>
    <t>Maçonaria: estacionamento 3 pontos</t>
  </si>
  <si>
    <t xml:space="preserve">Café nbo shoppinjg atrium </t>
  </si>
  <si>
    <t>Lavagem do Pejo GGM5</t>
  </si>
  <si>
    <t>Troca de bateria relogio Swatch</t>
  </si>
  <si>
    <t xml:space="preserve">Troca Bateria relogio Citizen Wingman D060 </t>
  </si>
  <si>
    <t>Calzones na praça da igreja</t>
  </si>
  <si>
    <t>Hamburgues na praça</t>
  </si>
  <si>
    <t>coxinhas n apraçoa</t>
  </si>
  <si>
    <t>Madalenas na praça</t>
  </si>
  <si>
    <t>Sobremesa na praças</t>
  </si>
  <si>
    <t xml:space="preserve">Taxa do Engenheiro para vistoria do AP </t>
  </si>
  <si>
    <t>Pastas de escritórios</t>
  </si>
  <si>
    <t>Debito de Cestas</t>
  </si>
  <si>
    <t>Revisão 1 ano 10k km</t>
  </si>
  <si>
    <t>Lavagem da revisãpo</t>
  </si>
  <si>
    <t xml:space="preserve">Nem lenbro o que </t>
  </si>
  <si>
    <t>Almoço no atrium</t>
  </si>
  <si>
    <t xml:space="preserve">Cafés no astrium </t>
  </si>
  <si>
    <t>Gazzozza no pejô</t>
  </si>
  <si>
    <t>Habines</t>
  </si>
  <si>
    <t>Summer Fast Trahs</t>
  </si>
  <si>
    <t>Canto Mineiro do plaza</t>
  </si>
  <si>
    <t>Cóquinha</t>
  </si>
  <si>
    <t>estacionamento na claro</t>
  </si>
  <si>
    <t>Credito FGTS</t>
  </si>
  <si>
    <t>The Brows Burgues</t>
  </si>
  <si>
    <t>Sôdiê Doces</t>
  </si>
  <si>
    <t>StarBuques</t>
  </si>
  <si>
    <t>Estacionamento no poupa tempos]</t>
  </si>
  <si>
    <t>The Burguer MAPS</t>
  </si>
  <si>
    <t>Cervejas madalenas para o furlan</t>
  </si>
  <si>
    <t>Remedios de pressão e de colesterol</t>
  </si>
  <si>
    <t>silica de coco de gatos</t>
  </si>
  <si>
    <t>naguymos</t>
  </si>
  <si>
    <t>Novembro /2019</t>
  </si>
  <si>
    <t>Gazzozzza no Pejo GGM5</t>
  </si>
  <si>
    <t>Lanche no KM53</t>
  </si>
  <si>
    <t>Lanche no Maristela rodo Servers</t>
  </si>
  <si>
    <t>Produtos diversos</t>
  </si>
  <si>
    <t>Santa Madre Mexican BAR</t>
  </si>
  <si>
    <t>Lanche no maristelas</t>
  </si>
  <si>
    <t>Café do KM57</t>
  </si>
  <si>
    <t>Debito de cestas de serviços</t>
  </si>
  <si>
    <t>Acumulado em Nov/2019</t>
  </si>
  <si>
    <t>Debito de cesta de serviços</t>
  </si>
  <si>
    <t>janeiro /2020</t>
  </si>
  <si>
    <t>Resgate do LCI</t>
  </si>
  <si>
    <t>Para a ação entre amigos</t>
  </si>
  <si>
    <t>De 20/01 à 27/01</t>
  </si>
  <si>
    <t>De 27/01 à 28/01</t>
  </si>
  <si>
    <t>De 28/01 à 29/01</t>
  </si>
  <si>
    <t xml:space="preserve">Para investir na XP </t>
  </si>
  <si>
    <t>Cancelamento de conta corrente</t>
  </si>
  <si>
    <t xml:space="preserve"> setembro / 2004</t>
  </si>
  <si>
    <t>Transf P/ Banco1.net</t>
  </si>
  <si>
    <t>Pagto Fatura Carrefour</t>
  </si>
  <si>
    <t>Cheque - 000001 - Diversos</t>
  </si>
  <si>
    <t>Cheque - 000002 - Seguro Aluguel (01/04)</t>
  </si>
  <si>
    <t>Cheque - 000006 - hotel</t>
  </si>
  <si>
    <t xml:space="preserve">Cheque - 000007 - Mudança (02/03) </t>
  </si>
  <si>
    <t>Cheque Eletronico  - janta</t>
  </si>
  <si>
    <t>Dipirona.</t>
  </si>
  <si>
    <t>Lavagem da motoca</t>
  </si>
  <si>
    <t>fatura CEB</t>
  </si>
  <si>
    <t>documento Moto + correios</t>
  </si>
  <si>
    <t>Cheque Eletronico - Puteito Apples</t>
  </si>
  <si>
    <t>Cheque EletRonico - Troca de Oleo na Moto 5151 KM</t>
  </si>
  <si>
    <t>Alimentação</t>
  </si>
  <si>
    <t>Cheque Eletronico - Almoco</t>
  </si>
  <si>
    <t>Restaurante Mexicano Los Passo</t>
  </si>
  <si>
    <t>Cheque - 000011 - Mochila</t>
  </si>
  <si>
    <t>Cheque - 000012 - camisetas rpa KDMIA</t>
  </si>
  <si>
    <t>Cheque - 000013 - Bujão de Gaz</t>
  </si>
  <si>
    <t>Transferencia pra poupanca</t>
  </si>
  <si>
    <t>Condomini ( full + metade de Oct)</t>
  </si>
  <si>
    <t>Cheque - 000014 - espelho</t>
  </si>
  <si>
    <t>Cheque eletronico - Barras nutri</t>
  </si>
  <si>
    <t>Cheque Eltronico - Giraffas</t>
  </si>
  <si>
    <t>Pagamentos</t>
  </si>
  <si>
    <t>Correio + despesas</t>
  </si>
  <si>
    <t>Lampadas + cumidas</t>
  </si>
  <si>
    <t>Cheque eletronico - Mc Donalds</t>
  </si>
  <si>
    <t>deposito de restutuições de Seguro pela BP</t>
  </si>
  <si>
    <t>Saque - presente de casamento do Tales</t>
  </si>
  <si>
    <t>Americ anas - roupas de banho e demais</t>
  </si>
  <si>
    <t>Saque - Dentista + farmácia</t>
  </si>
  <si>
    <t>Cheque - 000017 - Almoco do Tales</t>
  </si>
  <si>
    <t>Cheque - 000018 - Aluguel</t>
  </si>
  <si>
    <t>Cheque Eletronico - Bepantol + sabonete</t>
  </si>
  <si>
    <t>Saque - Cerva</t>
  </si>
  <si>
    <t xml:space="preserve">Cheque - 000019 - Tattoo (01/02) </t>
  </si>
  <si>
    <t>Creme Hidratente pra Tattoo</t>
  </si>
  <si>
    <t>cheque - 000009 - Cama</t>
  </si>
  <si>
    <t>Cheque - 000008 - Mudança(03/03)</t>
  </si>
  <si>
    <t>Cataflan + Vitamina C</t>
  </si>
  <si>
    <t>Cheque - 000021 - Lavanderia</t>
  </si>
  <si>
    <t>Cheque Eletronico - revisão moto</t>
  </si>
  <si>
    <t>Cheque - 000022 - Pizza</t>
  </si>
  <si>
    <t>Bolachas pra noite</t>
  </si>
  <si>
    <t>Deposiito de Rest. De Gastos - B.P</t>
  </si>
  <si>
    <t>Pagamento Fatura AmEx</t>
  </si>
  <si>
    <t>SAQUE</t>
  </si>
  <si>
    <t>Cheque - 000023 - Café Cancum</t>
  </si>
  <si>
    <t>Cheque - 000024 - Lampadas de Luz Negra</t>
  </si>
  <si>
    <t>Cheque - 000025 - Switch + Estabilizador</t>
  </si>
  <si>
    <t>Transf. Unibanco</t>
  </si>
  <si>
    <t>Saque -Telefone + zelador</t>
  </si>
  <si>
    <t>Cheque - 000026 - Mercado</t>
  </si>
  <si>
    <t>Cheque eletronico - Bepantol</t>
  </si>
  <si>
    <t>Cheque - 000027 - Lavanderia</t>
  </si>
  <si>
    <t>Cheque - 000029 - Pizza</t>
  </si>
  <si>
    <t>Cheque Eletronico - Locadora</t>
  </si>
  <si>
    <t>Saque - Piercing</t>
  </si>
  <si>
    <t>Restituições Bearing</t>
  </si>
  <si>
    <t>Cheuqe Eletronico - Locadora</t>
  </si>
  <si>
    <t>CMFI</t>
  </si>
  <si>
    <t>Saque pro Lanche</t>
  </si>
  <si>
    <t>Aluguel atrazado</t>
  </si>
  <si>
    <t>Cheque - 000030 - Lavanderia</t>
  </si>
  <si>
    <t>Fatura Telefonica - BrT fixa</t>
  </si>
  <si>
    <r>
      <t>CPMF 3</t>
    </r>
    <r>
      <rPr>
        <sz val="7.5"/>
        <color indexed="56"/>
        <rFont val="Courier New"/>
        <family val="3"/>
      </rPr>
      <t xml:space="preserve"> </t>
    </r>
  </si>
  <si>
    <r>
      <t>PAGTO SALARIO 89496</t>
    </r>
    <r>
      <rPr>
        <sz val="7.5"/>
        <color indexed="56"/>
        <rFont val="Courier New"/>
        <family val="3"/>
      </rPr>
      <t xml:space="preserve"> </t>
    </r>
  </si>
  <si>
    <r>
      <t>PAGTO SALARIO 89426</t>
    </r>
    <r>
      <rPr>
        <sz val="7.5"/>
        <color indexed="56"/>
        <rFont val="Courier New"/>
        <family val="3"/>
      </rPr>
      <t xml:space="preserve"> </t>
    </r>
  </si>
  <si>
    <t>Cheque - 000031 - Pauzinho da Cortina</t>
  </si>
  <si>
    <t>Cheque - 00003 - Farmácia</t>
  </si>
  <si>
    <t xml:space="preserve">Cheque Eletronico - Varal + Chaves </t>
  </si>
  <si>
    <t>Cheque Eletronico - Mc Donalds</t>
  </si>
  <si>
    <t>Saque - telefone</t>
  </si>
  <si>
    <t>Cheque - 000032 - Mercado</t>
  </si>
  <si>
    <t>Cheque eletronico - Locadora</t>
  </si>
  <si>
    <t>Cheque eletronico Pizza</t>
  </si>
  <si>
    <t>Cheque - 000034 - Academia</t>
  </si>
  <si>
    <t>Cheque 000035 - Roupas Cris</t>
  </si>
  <si>
    <t>Cherque Eletronico - Verduras</t>
  </si>
  <si>
    <t>Saque - Lanches</t>
  </si>
  <si>
    <t>rec Salário</t>
  </si>
  <si>
    <t>Alguel</t>
  </si>
  <si>
    <t>CPMF Amortizaçção</t>
  </si>
  <si>
    <t>Fatura MasterCard Unibanco</t>
  </si>
  <si>
    <t>Cheque - 000036 - Mercado</t>
  </si>
  <si>
    <t>Saque - Transportes</t>
  </si>
  <si>
    <t>Resgate Fundo Invest</t>
  </si>
  <si>
    <t>CPMF AMORTIZACAO 6495</t>
  </si>
  <si>
    <t>Saque - Lavagem Moto + Lache</t>
  </si>
  <si>
    <t>Cheque eletonico - Mercado</t>
  </si>
  <si>
    <t>Cheque - 000037 - bicicleta</t>
  </si>
  <si>
    <t xml:space="preserve">Cheque eletronico - Filtro AdSl </t>
  </si>
  <si>
    <t>Juros</t>
  </si>
  <si>
    <t>cpfi</t>
  </si>
  <si>
    <t>Amortização CPMF</t>
  </si>
  <si>
    <t>Saque - ???</t>
  </si>
  <si>
    <t>Fatura Citibank MasterCard</t>
  </si>
  <si>
    <t>Fatura Citibank Visa</t>
  </si>
  <si>
    <t>BASE TRF COMPE</t>
  </si>
  <si>
    <t>Trf Provos cpmf</t>
  </si>
  <si>
    <t>Cheque - 000038 - KDMia</t>
  </si>
  <si>
    <t>Estorno Pagamento Excedente Citibank Visa</t>
  </si>
  <si>
    <t>Condomimio</t>
  </si>
  <si>
    <t>Sair</t>
  </si>
  <si>
    <t>Cheque - 000039 - Mercado</t>
  </si>
  <si>
    <t>Cartão Carrefour (malas (05/06))</t>
  </si>
  <si>
    <t>Cartão Carrefour (malas (06/06))</t>
  </si>
  <si>
    <t>Saque -documentos</t>
  </si>
  <si>
    <t>Saque pra Crs</t>
  </si>
  <si>
    <t xml:space="preserve">Rec. Salário </t>
  </si>
  <si>
    <t>Fatura Unibanco Mastercard</t>
  </si>
  <si>
    <t>Cpmf Amortizacao</t>
  </si>
  <si>
    <t>Cheque Eletronico Mc Donalds</t>
  </si>
  <si>
    <t>Pro Lanche</t>
  </si>
  <si>
    <t>C heque eletronico - locadora</t>
  </si>
  <si>
    <t xml:space="preserve">Cheque Eletronico - Mercado </t>
  </si>
  <si>
    <t>cpmf Amortizacao</t>
  </si>
  <si>
    <t>IPVa, edson, etc</t>
  </si>
  <si>
    <t>Fatura GSM</t>
  </si>
  <si>
    <t>Vheque - 90003 - mercado</t>
  </si>
  <si>
    <t>Lanche do bobs</t>
  </si>
  <si>
    <t>CPMF AMORTIZACAO</t>
  </si>
  <si>
    <t>Saque Estacionamento</t>
  </si>
  <si>
    <t>Saque - Ingressos</t>
  </si>
  <si>
    <t>Restituicao Bearing Point</t>
  </si>
  <si>
    <t>Cheque Eletronico - Locadoraq</t>
  </si>
  <si>
    <t xml:space="preserve">Pra comer </t>
  </si>
  <si>
    <t>Cheque - 000041 - memória + Pilhas</t>
  </si>
  <si>
    <t>Cheque - 000042 - Torneira + tomada</t>
  </si>
  <si>
    <t>Cheque - 000043 - Aluguel</t>
  </si>
  <si>
    <t>cpmf amortizacao</t>
  </si>
  <si>
    <t>Cheque Eletronico - TecBan</t>
  </si>
  <si>
    <t>CPNFI</t>
  </si>
  <si>
    <t>TRF PROVIS COMPE.1</t>
  </si>
  <si>
    <t>Cheque Eletronco - Mercado</t>
  </si>
  <si>
    <t>Cheque eletronico - Mercado (coisas pra cozinha)</t>
  </si>
  <si>
    <t>Cheque Eletronicco - Mercado</t>
  </si>
  <si>
    <t>Trf Saque Compar</t>
  </si>
  <si>
    <t>Saque - tattoo</t>
  </si>
  <si>
    <t xml:space="preserve">TRF.PROVIS.COMPE 1  </t>
  </si>
  <si>
    <t xml:space="preserve">TRF SAQUE COMPAR 1  </t>
  </si>
  <si>
    <t>cheque - 000047 - Pire-pousada</t>
  </si>
  <si>
    <t>cheque - 000048 - Pire-insensário</t>
  </si>
  <si>
    <t>Cheque - 000049 - Pire-Almoço</t>
  </si>
  <si>
    <t>Saque - diversos</t>
  </si>
  <si>
    <t>Cheque - 000050 - Gáz</t>
  </si>
  <si>
    <t>Rec Recisão Bearing</t>
  </si>
  <si>
    <t>Cheque Eletronico - Verduraria</t>
  </si>
  <si>
    <t>Cheque Eletronico - Hardwares</t>
  </si>
  <si>
    <t>Cheque Eletronico - Papelaria</t>
  </si>
  <si>
    <t>Fatura Master card</t>
  </si>
  <si>
    <t>Cheque Eletronico - Sabão em Pó</t>
  </si>
  <si>
    <t>TRF. PROVIS. COMPE1</t>
  </si>
  <si>
    <t>Saque - CREA + telefone</t>
  </si>
  <si>
    <t>Saque - Presentes</t>
  </si>
  <si>
    <t>Cheque - 000051 - Cris</t>
  </si>
  <si>
    <t>Saque - Cris</t>
  </si>
  <si>
    <t>Cheque - 000052 - Chopperia</t>
  </si>
  <si>
    <t>Cheque Eletronico - copos</t>
  </si>
  <si>
    <t>Cheque Eletronico - òleo Moto</t>
  </si>
  <si>
    <t>Cheque Eletronico - El Passos</t>
  </si>
  <si>
    <t>Saque - Lava Moto</t>
  </si>
  <si>
    <t>Cheque - 000053 - Creparia</t>
  </si>
  <si>
    <t xml:space="preserve">Milk Shake </t>
  </si>
  <si>
    <t>Cheque eletronico - Bobs</t>
  </si>
  <si>
    <t>Cheque Eletronico - Mister Sheik</t>
  </si>
  <si>
    <t>Cheque Eletronico - Coisas Pra Cozinha</t>
  </si>
  <si>
    <t>Cheque - 000055 - Mercado</t>
  </si>
  <si>
    <t xml:space="preserve">TRF CITI AT WORK 1 </t>
  </si>
  <si>
    <t>Cheque - 000054 - Tintas da Cristiane</t>
  </si>
  <si>
    <t xml:space="preserve">Cheque - 000056 - Pizza </t>
  </si>
  <si>
    <t>Ajuste para encerramento de conta</t>
  </si>
  <si>
    <t>003</t>
  </si>
  <si>
    <t>Citicard</t>
  </si>
  <si>
    <t>5081 1608 0155 7722</t>
  </si>
  <si>
    <t>Pass Site</t>
  </si>
  <si>
    <t>0800-99-2484</t>
  </si>
  <si>
    <t>CitiPhone Pass</t>
  </si>
  <si>
    <t>dezembro / 2004</t>
  </si>
  <si>
    <t>Beirut</t>
  </si>
  <si>
    <t>Tenis Cristiane</t>
  </si>
  <si>
    <t>Seguro Perda Roubo</t>
  </si>
  <si>
    <t>Jantar Giraffas</t>
  </si>
  <si>
    <t>Parc. Celular (01/05)</t>
  </si>
  <si>
    <t>Estorno de pagamento indevido</t>
  </si>
  <si>
    <t>Pamonhas fresquinhas</t>
  </si>
  <si>
    <t>UK</t>
  </si>
  <si>
    <t>Sapato da Sandy</t>
  </si>
  <si>
    <t>Pastel no Conj Nacional</t>
  </si>
  <si>
    <t>Revelar fotos do Casório</t>
  </si>
  <si>
    <t>Analgésice Lacto Purga</t>
  </si>
  <si>
    <t>Tintas pro cabelos</t>
  </si>
  <si>
    <t>protecao contra robo</t>
  </si>
  <si>
    <t>Beirut´s</t>
  </si>
  <si>
    <t>Sorvete McDonalds</t>
  </si>
  <si>
    <t>Bolsa Cris</t>
  </si>
  <si>
    <t>BELLA JOIAS</t>
  </si>
  <si>
    <t>A FELINA</t>
  </si>
  <si>
    <t xml:space="preserve">Jantar Aniversário </t>
  </si>
  <si>
    <t>Parc. Celular (02/05)</t>
  </si>
  <si>
    <t>PAO DE ACUCAR LA 1296</t>
  </si>
  <si>
    <t>SHOPPING DOS COSMETICO</t>
  </si>
  <si>
    <t xml:space="preserve">Pagamento Fatura </t>
  </si>
  <si>
    <t>C&amp;A-BPB.740</t>
  </si>
  <si>
    <t>Balada com oJardinete</t>
  </si>
  <si>
    <t>Seguro Proteçao roubo</t>
  </si>
  <si>
    <t>Lanche no shopping</t>
  </si>
  <si>
    <t>Tinturas pra cabelos</t>
  </si>
  <si>
    <t>McDonaldas</t>
  </si>
  <si>
    <t xml:space="preserve">Supermercado </t>
  </si>
  <si>
    <t>Pire-Lembranças</t>
  </si>
  <si>
    <t>Pire- Blusa</t>
  </si>
  <si>
    <t>Creme + shampoos</t>
  </si>
  <si>
    <t>Verduraria</t>
  </si>
  <si>
    <t>Parc. Celular (03/05)</t>
  </si>
  <si>
    <t>Tintas pros cabelos</t>
  </si>
  <si>
    <t>Pamonhas Puras</t>
  </si>
  <si>
    <t>Gasosa na Motoca</t>
  </si>
  <si>
    <t>Proteção Perda/Roubo</t>
  </si>
  <si>
    <t>Almoço no Terraços Shopping</t>
  </si>
  <si>
    <t>Joaquim e Manuel</t>
  </si>
  <si>
    <t>Panelas + Taças sobremesas</t>
  </si>
  <si>
    <t>Bijuterias</t>
  </si>
  <si>
    <t>Utensilios de Cozinha</t>
  </si>
  <si>
    <t>Churras</t>
  </si>
  <si>
    <t>Cabo USB do Telefone</t>
  </si>
  <si>
    <t>Parc. Celular (04/05)</t>
  </si>
  <si>
    <t>PROTECAO PERDA E ROUBO</t>
  </si>
  <si>
    <t>Tinta pro cabelo</t>
  </si>
  <si>
    <t>Tomadas</t>
  </si>
  <si>
    <t>Banho + remédio + coleira</t>
  </si>
  <si>
    <t>Mac Lanche</t>
  </si>
  <si>
    <t>Mac Sorvete</t>
  </si>
  <si>
    <t>Banho no cato</t>
  </si>
  <si>
    <t>Parc. Celular (05/05)</t>
  </si>
  <si>
    <t>Coisas na Americanas do terrassu´s</t>
  </si>
  <si>
    <t>Creme no Boticario</t>
  </si>
  <si>
    <t>MacTrash</t>
  </si>
  <si>
    <t>Presente pro Silvera</t>
  </si>
  <si>
    <t>Presente cris 01</t>
  </si>
  <si>
    <t>Presente cris 02</t>
  </si>
  <si>
    <t>Bota de Motoca (01/02)</t>
  </si>
  <si>
    <t>Infra Vermelho USB</t>
  </si>
  <si>
    <t>Tarifa contra roubo e perda</t>
  </si>
  <si>
    <t>McDonald</t>
  </si>
  <si>
    <t>Pra peneumonia</t>
  </si>
  <si>
    <t xml:space="preserve">Banho </t>
  </si>
  <si>
    <t>coisas pra comer</t>
  </si>
  <si>
    <t>Doces</t>
  </si>
  <si>
    <t xml:space="preserve">Doces </t>
  </si>
  <si>
    <t>Pizzaria do Patio Brasil</t>
  </si>
  <si>
    <t>El Paso Texas</t>
  </si>
  <si>
    <t>Cola de madeira para a cama</t>
  </si>
  <si>
    <t>Alarme Moto (01/03)</t>
  </si>
  <si>
    <t>Bota de Motoca (02/02)</t>
  </si>
  <si>
    <t>Proteção contra roubo</t>
  </si>
  <si>
    <t>Presentes pra mim (01/02)</t>
  </si>
  <si>
    <t>McLance</t>
  </si>
  <si>
    <t xml:space="preserve">Peneu novo </t>
  </si>
  <si>
    <t>Ovo Matine do Giraffas</t>
  </si>
  <si>
    <t xml:space="preserve">Farmácia </t>
  </si>
  <si>
    <t>Cumidas</t>
  </si>
  <si>
    <t>Mercado da semana</t>
  </si>
  <si>
    <t>Mais mercado</t>
  </si>
  <si>
    <t>Pra sinisite</t>
  </si>
  <si>
    <t>Artigos para pintura de quadros</t>
  </si>
  <si>
    <t>Alarme Moto (02/03)</t>
  </si>
  <si>
    <t>MilkShake do Giraffas</t>
  </si>
  <si>
    <t>Presente pra MIM (02/02)</t>
  </si>
  <si>
    <t>RIVAL CALCADOS 01/02</t>
  </si>
  <si>
    <t>Tintas pro cabelo</t>
  </si>
  <si>
    <t>Coisas pra pintura</t>
  </si>
  <si>
    <t>Alarme Moto (03/03)</t>
  </si>
  <si>
    <t>Roupas e mais roupas</t>
  </si>
  <si>
    <t xml:space="preserve">Proteçao contra roubo </t>
  </si>
  <si>
    <t xml:space="preserve">Anuidade (01/03) </t>
  </si>
  <si>
    <t>Anuidade Adicional</t>
  </si>
  <si>
    <t>RIVAL CALCADOS 02/02</t>
  </si>
  <si>
    <t>Remédios da Cris e algo mais</t>
  </si>
  <si>
    <t>Xammppoouu</t>
  </si>
  <si>
    <t>CANCELAMENTO DO CARTÃO</t>
  </si>
  <si>
    <t>Credito Inscr. Titulo</t>
  </si>
  <si>
    <t>Credito Inscr. Adicional</t>
  </si>
  <si>
    <t>SALDO P/ Ajuste</t>
  </si>
  <si>
    <t>OBS: Compras Apos o dia 21 serão cobradas no vencimento da fatura posterior</t>
  </si>
  <si>
    <t>Novemrbo / 2004</t>
  </si>
  <si>
    <t>Modem ADSL (01/10)</t>
  </si>
  <si>
    <t>dezembro / 2005</t>
  </si>
  <si>
    <t>Perfumes presentes Cris (01/04)</t>
  </si>
  <si>
    <t>Passagem Araponga-Brasilia (01/03)</t>
  </si>
  <si>
    <t>Gasosa pro fabiano pra viajar</t>
  </si>
  <si>
    <t>Alcool pra viagem</t>
  </si>
  <si>
    <t>Churrascaria pro casorio</t>
  </si>
  <si>
    <t>Modem ADSL (02/10)</t>
  </si>
  <si>
    <t>Perfumes presentes Cris (02/04)</t>
  </si>
  <si>
    <t>Mensalidade UOL</t>
  </si>
  <si>
    <t>Oleo da Motoca</t>
  </si>
  <si>
    <t>Amoço Mc Donals</t>
  </si>
  <si>
    <t>Passagem Araponga-Brasilia (02/03)</t>
  </si>
  <si>
    <t>Luvas pra kDMIA</t>
  </si>
  <si>
    <t>Web Cam (01/03)</t>
  </si>
  <si>
    <t>Produtos para pintar cabelo</t>
  </si>
  <si>
    <t>Churrascaria</t>
  </si>
  <si>
    <t>Seguro Perda-Roubo</t>
  </si>
  <si>
    <t>Armário Cozinha (01/03)</t>
  </si>
  <si>
    <t>Modem ADSL (03/10)</t>
  </si>
  <si>
    <t>Almoço no Park Shopping</t>
  </si>
  <si>
    <t>Sorvetes no shopping</t>
  </si>
  <si>
    <t>Perfumes presentes Cris (03/04)</t>
  </si>
  <si>
    <t>Oleo + Capa chuva (01/03)</t>
  </si>
  <si>
    <t>Passagem Araponga-Brasilia (03/03)</t>
  </si>
  <si>
    <t>Web Cam (02/03)</t>
  </si>
  <si>
    <t>Armário Cozinha (02/03)</t>
  </si>
  <si>
    <t>CEDÊS Virge</t>
  </si>
  <si>
    <t>Modem ADSL (04/10)</t>
  </si>
  <si>
    <t>Perfumes presentes Cris (04/04)</t>
  </si>
  <si>
    <t>Oleo + Capa chuva (02/03)</t>
  </si>
  <si>
    <t>Foundoue</t>
  </si>
  <si>
    <t>CD  + DVD Eng. + Panela</t>
  </si>
  <si>
    <t>Panela</t>
  </si>
  <si>
    <t>Janta de creps</t>
  </si>
  <si>
    <t>Web Cam (03/03)</t>
  </si>
  <si>
    <t>Proteçao conmtra rtoubo/perda</t>
  </si>
  <si>
    <t>Armário Cozinha (03/03)</t>
  </si>
  <si>
    <t>Modem ADSL (05/10)</t>
  </si>
  <si>
    <t xml:space="preserve">Abril / 2005 </t>
  </si>
  <si>
    <t>Oleo + Capa chuva (03/03)</t>
  </si>
  <si>
    <t>Modem ADSL (06/10)</t>
  </si>
  <si>
    <t>Pagamentpo Fatura</t>
  </si>
  <si>
    <t>maio / 2005</t>
  </si>
  <si>
    <t>Modem ADSL (07/10)</t>
  </si>
  <si>
    <t>Celular Samsing A800 (01/03)</t>
  </si>
  <si>
    <t>Modem ADSL (08/10)</t>
  </si>
  <si>
    <t>Proteção perda Roubo</t>
  </si>
  <si>
    <t>Almoço na giraffa</t>
  </si>
  <si>
    <t>Celular Samsing A800 (02/03)</t>
  </si>
  <si>
    <t>Modem ADSL (09/10)</t>
  </si>
  <si>
    <t xml:space="preserve">CDs (2 Eng + 1 Bruce) </t>
  </si>
  <si>
    <t xml:space="preserve">Fone de Ouvido Power + Cedês </t>
  </si>
  <si>
    <t>Celular Samsing A800 (03/03)</t>
  </si>
  <si>
    <t>Gasolina  na motoca</t>
  </si>
  <si>
    <t>Jantar de aniversário da Cris</t>
  </si>
  <si>
    <t>Coleira + Erva do gato</t>
  </si>
  <si>
    <t>Oleo pra moto</t>
  </si>
  <si>
    <t>Microfone + CD RW + Porta CD</t>
  </si>
  <si>
    <t>Modem ADSL (10/10)</t>
  </si>
  <si>
    <t>Mangueira do Gaz</t>
  </si>
  <si>
    <t>Sorvete + Milsk shak do Bobs</t>
  </si>
  <si>
    <t>Proteçao Perda + Roubo</t>
  </si>
  <si>
    <t>Anuidade (01/03)</t>
  </si>
  <si>
    <t>McAlmoco</t>
  </si>
  <si>
    <t>Stadt Bier</t>
  </si>
  <si>
    <t xml:space="preserve">Revisão + óleo </t>
  </si>
  <si>
    <t>òculos (01/02)</t>
  </si>
  <si>
    <t xml:space="preserve">Ração + Banho </t>
  </si>
  <si>
    <t>CDs Engenheiros e AudioSlave</t>
  </si>
  <si>
    <t>Gasolina na motova</t>
  </si>
  <si>
    <t xml:space="preserve"> Ourtubro / 2005</t>
  </si>
  <si>
    <t>Nc Lanche</t>
  </si>
  <si>
    <t>Fammácia</t>
  </si>
  <si>
    <t>Ferro de passar roupas</t>
  </si>
  <si>
    <t>Credito Anuidade Tit</t>
  </si>
  <si>
    <t>Parc. Camera Digital (08/10)</t>
  </si>
  <si>
    <t>óculos (02/02)</t>
  </si>
  <si>
    <t>Pagamento fatura citicard Mastercard</t>
  </si>
  <si>
    <t xml:space="preserve">Ajuste para encerramento </t>
  </si>
  <si>
    <t>OBS: Compras Apos o dia 05 serão cobradas no vencimento da fatura posterior</t>
  </si>
  <si>
    <t>Janeiro/2018</t>
  </si>
  <si>
    <t>Saldo de Ajsute</t>
  </si>
  <si>
    <t>Entrada</t>
  </si>
  <si>
    <t>Saida</t>
  </si>
  <si>
    <t>iPhone 8 Plus (01/10)</t>
  </si>
  <si>
    <t>iPhone 8 Plus (02/10)</t>
  </si>
  <si>
    <t xml:space="preserve"> jULHO / 2018</t>
  </si>
  <si>
    <t>iPhone 8 Plus (03/10)</t>
  </si>
  <si>
    <t>Diferença não paga no mês anterior</t>
  </si>
  <si>
    <t>iPhone 8 Plus (04/10)</t>
  </si>
  <si>
    <t>iPhone 8 Plus (05/10)</t>
  </si>
  <si>
    <t xml:space="preserve"> Outubro / 2018</t>
  </si>
  <si>
    <t>Venon 3d legendads</t>
  </si>
  <si>
    <t>iPhone 8 Plus (06/10)</t>
  </si>
  <si>
    <t xml:space="preserve"> Novembro / 2018</t>
  </si>
  <si>
    <t>iPhone 8 Plus (07/10)</t>
  </si>
  <si>
    <t>iPhone 8 Plus (08/10)</t>
  </si>
  <si>
    <t>iPhone 8 Plus (09/10)</t>
  </si>
  <si>
    <t>Star Buques de SCS</t>
  </si>
  <si>
    <t xml:space="preserve"> Fevereiro / 2019</t>
  </si>
  <si>
    <t>Maçonaria: CERTIDÃO DOS DISTRIBUIDORES CÍVEIS E CRIMINAIS</t>
  </si>
  <si>
    <t>iPhone 8 Plus (10/10)</t>
  </si>
  <si>
    <t xml:space="preserve"> Março / 2019</t>
  </si>
  <si>
    <t xml:space="preserve"> Julho / 2019</t>
  </si>
  <si>
    <t xml:space="preserve"> Setembro / 2019</t>
  </si>
  <si>
    <t>Brasileira x-Press</t>
  </si>
  <si>
    <t xml:space="preserve">MobileApp: Ios:Lunar Phases </t>
  </si>
  <si>
    <t>MobileApp: Ios:Lunar Phases II</t>
  </si>
  <si>
    <t>Diversos Cursos no Udemy (01/03)</t>
  </si>
  <si>
    <t xml:space="preserve">Curso de Java da Udemy </t>
  </si>
  <si>
    <t>Diversos Cursos no Udemy (02/03)</t>
  </si>
  <si>
    <t>Ifood Brows</t>
  </si>
  <si>
    <t xml:space="preserve"> Janeiro / 2020</t>
  </si>
  <si>
    <t xml:space="preserve">iFood a primeira piza no Ap novo </t>
  </si>
  <si>
    <t>MercadoLivre: Orçamento de peças do Home theaher</t>
  </si>
  <si>
    <t>ifood pizza em casa</t>
  </si>
  <si>
    <t>iFood pizza em casa</t>
  </si>
  <si>
    <t>Academia (01/06)</t>
  </si>
  <si>
    <t>Diversos Cursos no Udemy (03/03)</t>
  </si>
  <si>
    <t xml:space="preserve">iFood Hamburgues da Senhorita </t>
  </si>
  <si>
    <t>Eniclopédia  de Tarot Hermetico MDD Catarese.me (01/03)</t>
  </si>
  <si>
    <t>Saldo de Ajustes - Parcelamentos</t>
  </si>
  <si>
    <t>Cervejas madalenas para o Furlans</t>
  </si>
  <si>
    <t xml:space="preserve">Vitória regia cosméticos </t>
  </si>
  <si>
    <t>Nicolau MAX</t>
  </si>
  <si>
    <t xml:space="preserve">A torre de Pizzas </t>
  </si>
  <si>
    <t>O Castelinho da pamonha´s</t>
  </si>
  <si>
    <t>iFood Ther Burguês 4 voce</t>
  </si>
  <si>
    <t>Academia (02/06)</t>
  </si>
  <si>
    <t>Academia Cristiane</t>
  </si>
  <si>
    <t xml:space="preserve">Coisas para a cozinha </t>
  </si>
  <si>
    <t xml:space="preserve">Faquinhas de cortar </t>
  </si>
  <si>
    <t>Eniclopédia  de Tarot Hermetico MDD Catarese.me (02/03)</t>
  </si>
  <si>
    <t>Eniclopédia  de Tarot Hermetico MDD Catarese.me</t>
  </si>
  <si>
    <t xml:space="preserve">ifood pizza </t>
  </si>
  <si>
    <t xml:space="preserve">Produtos diversls </t>
  </si>
  <si>
    <t>iFood the Burgues 4 você</t>
  </si>
  <si>
    <t>iFood rabibes</t>
  </si>
  <si>
    <t>Extra de SCS</t>
  </si>
  <si>
    <t>iFood raggazzo</t>
  </si>
  <si>
    <t xml:space="preserve">Symbicort 12/400 + Antialergico </t>
  </si>
  <si>
    <t>Software: MobileApp: Ios: Temple Run</t>
  </si>
  <si>
    <t>Academia (03/06)</t>
  </si>
  <si>
    <t>iFood pizza em cas</t>
  </si>
  <si>
    <t>iFood Parmeggiana em casa</t>
  </si>
  <si>
    <t>Eniclopédia  de Tarot Hermetico MDD Catarese.me (03/03)</t>
  </si>
  <si>
    <t>Software: MobileApp: iOs: Hero War Mobile</t>
  </si>
  <si>
    <t>MercadoLivre: Notebook Vaio Cristiane (01/10)</t>
  </si>
  <si>
    <t>MercadoLIvre: Orange Mini Crush (01/06)</t>
  </si>
  <si>
    <t>MercadoLivre: Kit Cabos Fonte Pedais (01/03)</t>
  </si>
  <si>
    <t>LocaWeb: luizcarlin.com.br</t>
  </si>
  <si>
    <t>iFood almoço em casa</t>
  </si>
  <si>
    <t>Academia (04/06)</t>
  </si>
  <si>
    <t>iFood: Burgues 4 Você</t>
  </si>
  <si>
    <t>MercadoLivre: Notebook Vaio Cristiane (02/10)</t>
  </si>
  <si>
    <t>MercadoLIvre: Orange Mini Crush (02/06)</t>
  </si>
  <si>
    <t>MercadoLivre: Kit Cabos Fonte Pedais (02/03)</t>
  </si>
  <si>
    <t>iFood Pizza Comparini</t>
  </si>
  <si>
    <t>Academia (05/06)</t>
  </si>
  <si>
    <t>iFood Parmegianna do Cruzeiro´s B.A.R.s.</t>
  </si>
  <si>
    <t>MercadoLivre: Notebook Vaio Cristiane (03/10)</t>
  </si>
  <si>
    <t>MercadoLIvre: Orange Mini Crush (03/06)</t>
  </si>
  <si>
    <t>MercadoLivre: Kit Cabos Fonte Pedais (03/03)</t>
  </si>
  <si>
    <t>ifood comida chineza</t>
  </si>
  <si>
    <t>Academia (06/06)</t>
  </si>
  <si>
    <t>MercadoLivre: Notebook Vaio Cristiane (04/10)</t>
  </si>
  <si>
    <t>MercadoLIvre: Orange Mini Crush (04/06)</t>
  </si>
  <si>
    <t xml:space="preserve">Notebook Asus VivoBook 15 (01/10) </t>
  </si>
  <si>
    <t>Automotivo: Seguro Eco 2020/2021 (01/06)</t>
  </si>
  <si>
    <t>Amazon.com.br: Fone JBL 600 BTNC (01/06)</t>
  </si>
  <si>
    <t>Amazon.com.br: WW e Goetia (01/06)</t>
  </si>
  <si>
    <t>iFood: Japones em casa</t>
  </si>
  <si>
    <t>Amazon.com.br: Ataque dos Titãs Nº 30</t>
  </si>
  <si>
    <t>iFood: Comparini pizzas</t>
  </si>
  <si>
    <t>MercadoLivre: Notebook Vaio Cristiane (05/10)</t>
  </si>
  <si>
    <t>MercadoLIvre: Orange Mini Crush (05/06)</t>
  </si>
  <si>
    <t xml:space="preserve">Notebook Asus VivoBook 15 (02/10) </t>
  </si>
  <si>
    <t xml:space="preserve">Automotivo: Seguro Eco 2020/2021 (02/06) </t>
  </si>
  <si>
    <t>Amazon.com.br: Fone JBL 600 BTNC (02/06)</t>
  </si>
  <si>
    <t>Amazon.com.br: WW e Goetia (02/06)</t>
  </si>
  <si>
    <t>Credito compra parcelada da Amazon</t>
  </si>
  <si>
    <t>iFood pizza camparini</t>
  </si>
  <si>
    <t>iFood Cruzeiro´s B.A.R.s</t>
  </si>
  <si>
    <t>iFood - Taco Bells</t>
  </si>
  <si>
    <t>MercadoLivre: Notebook Vaio Cristiane (06/10)</t>
  </si>
  <si>
    <t>MercadoLIvre: Orange Mini Crush (06/06)</t>
  </si>
  <si>
    <t xml:space="preserve">Notebook Asus VivoBook 15 (03/10) </t>
  </si>
  <si>
    <t>Amazon.com.br: Fone JBL 600 BTNC (03/06)</t>
  </si>
  <si>
    <t>Amazon.com.br: WW e Goetia (03/06)</t>
  </si>
  <si>
    <t>Automotivo: Seguro Peugeot 208 2020/2021 (01/06)</t>
  </si>
  <si>
    <t>iFood: Comparini</t>
  </si>
  <si>
    <t>iFood: Pizza em casa</t>
  </si>
  <si>
    <t>iFood: O Cruzeiro´s B.A.R.s</t>
  </si>
  <si>
    <t xml:space="preserve">Automotivo: Seguro Eco 2020/2021 (03/06) </t>
  </si>
  <si>
    <t>Software: MobileApp: iOs: Temple RUN</t>
  </si>
  <si>
    <t>Revisão do Pejô (01/06)</t>
  </si>
  <si>
    <t>iFood: Jeronimos</t>
  </si>
  <si>
    <t>iFood: pizza d'alameda</t>
  </si>
  <si>
    <t>MercadoLivre: Notebook Vaio Cristiane (07/10)</t>
  </si>
  <si>
    <t xml:space="preserve">Notebook Asus VivoBook 15 (04/10) </t>
  </si>
  <si>
    <t>Amazon.com.br: Fone JBL 600 BTNC (04/06)</t>
  </si>
  <si>
    <t>Amazon.com.br: WW e Goetia (04/06)</t>
  </si>
  <si>
    <t>Thomas &amp; Case R.H. (01/04)</t>
  </si>
  <si>
    <t>iFood: 302 Burgues</t>
  </si>
  <si>
    <t>iFood: Pizza d'lameda</t>
  </si>
  <si>
    <t>Game: Bayonetta / Tomb Raider the shadows</t>
  </si>
  <si>
    <t xml:space="preserve">Pagamento Fatura Cartão </t>
  </si>
  <si>
    <t>ifood: The Burgues 4 você</t>
  </si>
  <si>
    <t>Automotivo: Seguro Peugeot 208 2020/2021 (02/06)</t>
  </si>
  <si>
    <t xml:space="preserve">Automotivo: Seguro Eco 2020/2021 (04/06) </t>
  </si>
  <si>
    <t>Triade Burgues</t>
  </si>
  <si>
    <t>Remédios anti-inflamatórios</t>
  </si>
  <si>
    <t xml:space="preserve">Tenis All Stars Amarelos </t>
  </si>
  <si>
    <t>A Dayso</t>
  </si>
  <si>
    <t>Remedios Manipulados</t>
  </si>
  <si>
    <t>Revisão do Pejô (02/06)</t>
  </si>
  <si>
    <t>iFood: Smash Meat Burgues</t>
  </si>
  <si>
    <t>MercadoLivre: Notebook Vaio Cristiane (08/10)</t>
  </si>
  <si>
    <t>Game: Batman Arkham Asilium/City</t>
  </si>
  <si>
    <t>Amazon.com.br: HyperX Case para Headset Spare Cloud</t>
  </si>
  <si>
    <t>Amazon.com.br: O Rei Amarelo</t>
  </si>
  <si>
    <t xml:space="preserve">Notebook Asus VivoBook 15 (05/10) </t>
  </si>
  <si>
    <t>Amazon.com.br: Fone JBL 600 BTNC (05/06)</t>
  </si>
  <si>
    <t>Amazon.com.br: WW e Goetia (05/06)</t>
  </si>
  <si>
    <t>Thomas &amp; Case R.H. (02/04)</t>
  </si>
  <si>
    <t>muiti coisas de casas</t>
  </si>
  <si>
    <t>A coop de são caetano</t>
  </si>
  <si>
    <t>Passagens de piraju</t>
  </si>
  <si>
    <t>Uber pra ir pra Rodoviaria pra ir pra Piraju</t>
  </si>
  <si>
    <t>Credito de IOF</t>
  </si>
  <si>
    <t>iFood: Camparani</t>
  </si>
  <si>
    <t>Automotivo: Seguro Eco 2020/2021 (05/06)</t>
  </si>
  <si>
    <t>Automotivo: Seguro Peugeot 208 2020/2021 (03/06)</t>
  </si>
  <si>
    <t>iFood: pizza comparini</t>
  </si>
  <si>
    <t>iFood: Senhorita Burgues</t>
  </si>
  <si>
    <t>iFood: Pizza D'Alameda</t>
  </si>
  <si>
    <t>Revisão do Pejô (03/06)</t>
  </si>
  <si>
    <t>Tx. Envio SMS</t>
  </si>
  <si>
    <t>MercadoLivre: Notebook Vaio Cristiane (09/10)</t>
  </si>
  <si>
    <t xml:space="preserve">Notebook Asus VivoBook 15 (06/10) </t>
  </si>
  <si>
    <t>Envio Mensagens Automaticas</t>
  </si>
  <si>
    <t>Amazon.com.br: Fone JBL 600 BTNC (06/06)</t>
  </si>
  <si>
    <t>Amazon.com.br: WW e Goetia (06/06)</t>
  </si>
  <si>
    <t>Thomas &amp; Case R.H. (03/04)</t>
  </si>
  <si>
    <t>Automotivo: Seguro Eco 2020/2021 (06/06)</t>
  </si>
  <si>
    <t>Automotivo: Seguro Peugeot 208 2020/2021 (04/06)</t>
  </si>
  <si>
    <t>Game:The Last Of Us - 2013</t>
  </si>
  <si>
    <t>iFood: Geronimos</t>
  </si>
  <si>
    <t>ifood: chines de um real</t>
  </si>
  <si>
    <t>Revisão do Pejô (04/06)</t>
  </si>
  <si>
    <t>MercadoLivre: Notebook Vaio Cristiane (10/10)</t>
  </si>
  <si>
    <t xml:space="preserve">Notebook Asus VivoBook 15 (07/10) </t>
  </si>
  <si>
    <t>Thomas &amp; Case R.H. (04/04)</t>
  </si>
  <si>
    <t>ifood: Jeronimo´s</t>
  </si>
  <si>
    <t>Ventilador novo na MagaLu</t>
  </si>
  <si>
    <t>Tenis Nikey Éir (01/03)</t>
  </si>
  <si>
    <t>Tenis New Balance 1600 (01/03)</t>
  </si>
  <si>
    <t>Automotivo: Seguro Peugeot 208 2020/2021 (05/06)</t>
  </si>
  <si>
    <t>iFoof: Pizza Hut</t>
  </si>
  <si>
    <t>iFood: BurguerGallery</t>
  </si>
  <si>
    <t>ifood: Taco´s Bell´s</t>
  </si>
  <si>
    <t>Revisão do Pejô (05/06)</t>
  </si>
  <si>
    <t>Exames Medicos Fleming (01/03)</t>
  </si>
  <si>
    <t xml:space="preserve">Exames médicos Fleming </t>
  </si>
  <si>
    <t>TiendaMia.com: Casio Duro MDV 106</t>
  </si>
  <si>
    <t>$ 64,33 USD</t>
  </si>
  <si>
    <t xml:space="preserve">Notebook Asus VivoBook 15 (08/10) </t>
  </si>
  <si>
    <t xml:space="preserve">Exames médicos Dr. Consulta (01/02) </t>
  </si>
  <si>
    <t>iFood: Burguer Galery</t>
  </si>
  <si>
    <t>Tenis Nikey Éir (02/03)</t>
  </si>
  <si>
    <t>Destro HQ 2</t>
  </si>
  <si>
    <t xml:space="preserve">TennisBaar </t>
  </si>
  <si>
    <t>G.I. Joe Retro Collection Cobra F.A.N.G. Veículo e Figura Cobra Pilot - F0757 - Hasbro</t>
  </si>
  <si>
    <t>Tenis New Balance 1600 (02/03)</t>
  </si>
  <si>
    <t>Automotivo: Seguro Peugeot 208 2020/2021 (06/06)</t>
  </si>
  <si>
    <t>Material Seve Idiomas (01/04)</t>
  </si>
  <si>
    <t>iFood: Sabores D'Alameda</t>
  </si>
  <si>
    <t xml:space="preserve">Liber Aba + cadernos </t>
  </si>
  <si>
    <t>Implantes Hormonais (01/06)</t>
  </si>
  <si>
    <t xml:space="preserve">iFood: Didios Pizzas </t>
  </si>
  <si>
    <t>Grampeador da Amazon</t>
  </si>
  <si>
    <t>Coisas da Amazon</t>
  </si>
  <si>
    <t>Mais coisas da Amazon</t>
  </si>
  <si>
    <t>Revisão do Pejô (06/06)</t>
  </si>
  <si>
    <t>MobileApp: Ios: Video Show Maker</t>
  </si>
  <si>
    <t>Exames Medicos Fleming (02/03)</t>
  </si>
  <si>
    <t>Tar. Envio SMS Automática</t>
  </si>
  <si>
    <t xml:space="preserve">Notebook Asus VivoBook 15 (09/10) </t>
  </si>
  <si>
    <t xml:space="preserve">Exames médicos Dr. Consulta (02/02) </t>
  </si>
  <si>
    <t>iFood: Pizzeria Margerita</t>
  </si>
  <si>
    <t>HomeOffice: Sandisk Ssd Plus Sdssda-480g-g26 480gb (01/06)</t>
  </si>
  <si>
    <t>Tenis Nikey Éir (03/03)</t>
  </si>
  <si>
    <t>coisas no AliExpress</t>
  </si>
  <si>
    <t>iFood: Super Pizzza PAM!</t>
  </si>
  <si>
    <t>Pagamento de Fatura pelo NuBank</t>
  </si>
  <si>
    <t>Tenis New Balance 1600 (03/03)</t>
  </si>
  <si>
    <t>Cadeira Gamer PitStop (01/12)</t>
  </si>
  <si>
    <t>Material Seve Idiomas (02/04)</t>
  </si>
  <si>
    <t>Ataque dos Titãs Nº 32</t>
  </si>
  <si>
    <t xml:space="preserve">HomeOffice: Mercadolivre.com.br: Cabo CAT5 rede 20mt </t>
  </si>
  <si>
    <t>iFood: Burguer Falery</t>
  </si>
  <si>
    <t>Implantes Hormonais (02/06)</t>
  </si>
  <si>
    <t>Exames Medicos Fleming (03/03)</t>
  </si>
  <si>
    <t xml:space="preserve">Notebook Asus VivoBook 15 (10/10) </t>
  </si>
  <si>
    <t>HomeOffice: Sandisk Ssd Plus Sdssda-480g-g26 480gb (02/06)</t>
  </si>
  <si>
    <t>Estorno e diferenças de divisão</t>
  </si>
  <si>
    <t>Mais exames na Flemming(01/02)</t>
  </si>
  <si>
    <t>iFood: Patroni Parmegianas</t>
  </si>
  <si>
    <t>Fatura CredCard  Master</t>
  </si>
  <si>
    <t>Cadeira Gamer PitStop (02/12)</t>
  </si>
  <si>
    <t>Material Seve Idiomas (03/04)</t>
  </si>
  <si>
    <t>Implantes Hormonais (03/06)</t>
  </si>
  <si>
    <t>HomeOffice: Sandisk Ssd Plus Sdssda-480g-g26 480gb (03/06)</t>
  </si>
  <si>
    <t>Mais exames na Flemming(02/02)</t>
  </si>
  <si>
    <t>Uber pra ir pra medica</t>
  </si>
  <si>
    <t>Cadeira Gamer PitStop (03/12)</t>
  </si>
  <si>
    <t>Material Seve Idiomas (04/04)</t>
  </si>
  <si>
    <t>Conserto da Echo (01/06)</t>
  </si>
  <si>
    <t>Implantes Hormonais (04/06)</t>
  </si>
  <si>
    <t>Formação de Programadores COBOL (01/03)</t>
  </si>
  <si>
    <t>HomeOffice: Sandisk Ssd Plus Sdssda-480g-g26 480gb (04/06)</t>
  </si>
  <si>
    <t>Shopee: coisas de Scraps</t>
  </si>
  <si>
    <t>Cadeira Gamer PitStop (04/12)</t>
  </si>
  <si>
    <t xml:space="preserve">Diferença parcelamento conserto echo </t>
  </si>
  <si>
    <t>Conserto da Echo (02/06)</t>
  </si>
  <si>
    <t>Implantes Hormonais (05/06)</t>
  </si>
  <si>
    <t>Formação de Programadores COBOL (02/03)</t>
  </si>
  <si>
    <t>HomeOffice: Sandisk Ssd Plus Sdssda-480g-g26 480gb (05/06)</t>
  </si>
  <si>
    <t xml:space="preserve">Uber pra ir pro Aeroporto </t>
  </si>
  <si>
    <t>Cadeira Gamer PitStop (05/12)</t>
  </si>
  <si>
    <t xml:space="preserve">Uber pra voltar do aeroporto </t>
  </si>
  <si>
    <t>Conserto da Echo (03/06)</t>
  </si>
  <si>
    <t>Implantes Hormonais (06/06)</t>
  </si>
  <si>
    <t>Formação de Programadores COBOL (03/03)</t>
  </si>
  <si>
    <t>HomeOffice: Sandisk Ssd Plus Sdssda-480g-g26 480gb (06/06)</t>
  </si>
  <si>
    <t>Cadeira Gamer PitStop (06/12)</t>
  </si>
  <si>
    <t xml:space="preserve">Uber pra ir fazer tatuagem </t>
  </si>
  <si>
    <t xml:space="preserve">Uber pra voltar da tatuagem </t>
  </si>
  <si>
    <t>Colchão e travesseiros Novos (01/12)</t>
  </si>
  <si>
    <t>Conserto da Echo (04/06)</t>
  </si>
  <si>
    <t>Uber para voltar pra casa</t>
  </si>
  <si>
    <t>Seguro Peugeto 2021-2022 (01/06)</t>
  </si>
  <si>
    <t xml:space="preserve">Uber pra ir pra estação de trens </t>
  </si>
  <si>
    <t>Cadeira Gamer PitStop (07/12)</t>
  </si>
  <si>
    <t>Colchão e travesseiros Novos (02/12)</t>
  </si>
  <si>
    <t xml:space="preserve">Ortobons </t>
  </si>
  <si>
    <t>Conserto da Echo (05/06)</t>
  </si>
  <si>
    <t xml:space="preserve">Uber pra ir pro centro </t>
  </si>
  <si>
    <t>Revisão Peugeot 208 2021 (01/06)</t>
  </si>
  <si>
    <t>Credito Voud Trem (1)</t>
  </si>
  <si>
    <t>Credito Voud Trem (2)</t>
  </si>
  <si>
    <t>Uber pra ir comprar coisa da cristiane</t>
  </si>
  <si>
    <t>Uber pra ir pra padaria santa tereza</t>
  </si>
  <si>
    <t>Cadeira Gamer PitStop (08/12)</t>
  </si>
  <si>
    <t>Seguro Peugeto 2021-2022 (02/06)</t>
  </si>
  <si>
    <t>Colchão e travesseiros Novos (03/12)</t>
  </si>
  <si>
    <t>Conserto da Echo (06/06)</t>
  </si>
  <si>
    <t>Tar Envio MSG Auto</t>
  </si>
  <si>
    <t>Revisão Peugeot 208 2021 (02/06)</t>
  </si>
  <si>
    <t>G-Shock Mudmaster GWG-1000-1A3DR (01/12)</t>
  </si>
  <si>
    <t>Cadeira Gamer PitStop (09/12)</t>
  </si>
  <si>
    <t>Seguro Peugeto 2021-2022 (03/06)</t>
  </si>
  <si>
    <t>Cristane: GMA-S120MF-4ADR (01/06)</t>
  </si>
  <si>
    <t xml:space="preserve">Exames na Papaiz (01/02) </t>
  </si>
  <si>
    <t>Consulta e exames do Shiro (01/04)</t>
  </si>
  <si>
    <t>iFood: Super Pizza PAM!</t>
  </si>
  <si>
    <t>Colchão e travesseiros Novos (04/12)</t>
  </si>
  <si>
    <t>iFood diversos</t>
  </si>
  <si>
    <t>Revisão Peugeot 208 2021 (03/06)</t>
  </si>
  <si>
    <t>ENVIO MENS.AUTOMATICA</t>
  </si>
  <si>
    <t>G-Shock Mudmaster GWG-1000-1A3DR (02/12)</t>
  </si>
  <si>
    <t>Cadeira Gamer PitStop (10/12)</t>
  </si>
  <si>
    <t>Seguro Peugeto 2021-2022 (04/06)</t>
  </si>
  <si>
    <t>Cristane: GMA-S120MF-4ADR (02/06)</t>
  </si>
  <si>
    <t xml:space="preserve">Exames na Papaiz (02/02) </t>
  </si>
  <si>
    <t xml:space="preserve">G-Shock Store Brazil </t>
  </si>
  <si>
    <t>Consulta e exames do Shiro (02/04)</t>
  </si>
  <si>
    <t>Colchão e travesseiros Novos (05/12)</t>
  </si>
  <si>
    <t xml:space="preserve">Uber </t>
  </si>
  <si>
    <t>Revisão Peugeot 208 2021 (04/06)</t>
  </si>
  <si>
    <t>G-Shock Mudmaster GWG-1000-1A3DR (03/12)</t>
  </si>
  <si>
    <t>Cadeira Gamer PitStop (11/12)</t>
  </si>
  <si>
    <t>Seguro Peugeto 2021-2022 (05/06)</t>
  </si>
  <si>
    <t>Cristane: GMA-S120MF-4ADR (03/06)</t>
  </si>
  <si>
    <t>Consulta e exames do Shiro (03/04)</t>
  </si>
  <si>
    <t>Conserto do Asrock Nettop ion 330t (01/02)</t>
  </si>
  <si>
    <t>Colchão e travesseiros Novos (06/12)</t>
  </si>
  <si>
    <t>Revisão Peugeot 208 2021 (05/06)</t>
  </si>
  <si>
    <t>G-Shock Mudmaster GWG-1000-1A3DR (04/12)</t>
  </si>
  <si>
    <t>Cadeira Gamer PitStop (12/12)</t>
  </si>
  <si>
    <t>Seguro Peugeto 2021-2022 (06/06)</t>
  </si>
  <si>
    <t>Cristane: GMA-S120MF-4ADR (04/06)</t>
  </si>
  <si>
    <t>Consulta e exames do Shiro (04/04)</t>
  </si>
  <si>
    <t>Conserto do Asrock Nettop ion 330t (02/02)</t>
  </si>
  <si>
    <t>Colchão e travesseiros Novos (07/12)</t>
  </si>
  <si>
    <t>Revisão Peugeot 208 2021 (06/06)</t>
  </si>
  <si>
    <t>G-Shock Mudmaster GWG-1000-1A3DR (05/12)</t>
  </si>
  <si>
    <t>Cristane: GMA-S120MF-4ADR (05/06)</t>
  </si>
  <si>
    <t>Colchão e travesseiros Novos (08/12)</t>
  </si>
  <si>
    <t>MercadoLIvre: JBLLIVE660NCBLK (01/06)</t>
  </si>
  <si>
    <t>AliExpress: Organizador Relogios Viagem 3 Slots</t>
  </si>
  <si>
    <t>FSL Farma Probiótico Antidepressivo e AntiAnsiedade 10Bi ® (Ref. 7906202871901)</t>
  </si>
  <si>
    <t>G-Shock Mudmaster GWG-1000-1A3DR (06/12)</t>
  </si>
  <si>
    <t>Cristane: GMA-S120MF-4ADR (06/06)</t>
  </si>
  <si>
    <t xml:space="preserve">UBER </t>
  </si>
  <si>
    <t>Colchão e travesseiros Novos (09/12)</t>
  </si>
  <si>
    <t>MercadoLIvre: JBLLIVE660NCBLK (02/06)</t>
  </si>
  <si>
    <t>MercadoLIvre: JBLLIVE660NCBLK</t>
  </si>
  <si>
    <t>iFood: Japoneis chines</t>
  </si>
  <si>
    <t>G-Shock Mudmaster GWG-1000-1A3DR (07/12)</t>
  </si>
  <si>
    <t>Apple iPhone 13 128GB Meia-noite + carregador 20w (01/10)</t>
  </si>
  <si>
    <t>junho / 2022</t>
  </si>
  <si>
    <t>Colchão e travesseiros Novos (10/12)</t>
  </si>
  <si>
    <t>MercadoLIvre: JBLLIVE660NCBLK (03/06)</t>
  </si>
  <si>
    <t>iFood: SuShis</t>
  </si>
  <si>
    <t>G-Shock Mudmaster GWG-1000-1A3DR (08/12)</t>
  </si>
  <si>
    <t>Apple iPhone 13 128GB Meia-noite + carregador 20w (02/10)</t>
  </si>
  <si>
    <t>Magazine Luizas</t>
  </si>
  <si>
    <t xml:space="preserve">UBER pra levar o SSD pra alguem </t>
  </si>
  <si>
    <t>Colchão e travesseiros Novos (11/12)</t>
  </si>
  <si>
    <t>MercadoLIvre: JBLLIVE660NCBLK (04/06)</t>
  </si>
  <si>
    <t xml:space="preserve">UBER em Sp </t>
  </si>
  <si>
    <t>G-Shock Mudmaster GWG-1000-1A3DR (09/12)</t>
  </si>
  <si>
    <t>Apple iPhone 13 128GB Meia-noite + carregador 20w (03/10)</t>
  </si>
  <si>
    <t>Colchão e travesseiros Novos (12/12)</t>
  </si>
  <si>
    <t>MercadoLIvre: JBLLIVE660NCBLK (05/06)</t>
  </si>
  <si>
    <t>G-Shock Mudmaster GWG-1000-1A3DR (10/12)</t>
  </si>
  <si>
    <t>Apple iPhone 13 128GB Meia-noite + carregador 20w (04/10)</t>
  </si>
  <si>
    <t xml:space="preserve">iFood: </t>
  </si>
  <si>
    <t>iFood: don forny</t>
  </si>
  <si>
    <t>MercadoLIvre: JBLLIVE660NCBLK (06/06)</t>
  </si>
  <si>
    <t>G-Shock Mudmaster GWG-1000-1A3DR (11/12)</t>
  </si>
  <si>
    <t>Apple iPhone 13 128GB Meia-noite + carregador 20w (05/10)</t>
  </si>
  <si>
    <t>Maçonaria: Terno novo (01/06)</t>
  </si>
  <si>
    <t>IOF PSN STORE</t>
  </si>
  <si>
    <t>Game: BloodRayne: ReVamped</t>
  </si>
  <si>
    <t>Game: BloodRayne 2: ReVamped</t>
  </si>
  <si>
    <t>Game: UNCHARTED The Nathan Drake Collection</t>
  </si>
  <si>
    <t>Revisão 4Anos 30K Peugeot GGM5 (01/06)</t>
  </si>
  <si>
    <t>G-Shock Mudmaster GWG-1000-1A3DR (12/12)</t>
  </si>
  <si>
    <t>Apple iPhone 13 128GB Meia-noite + carregador 20w (06/10)</t>
  </si>
  <si>
    <t>iFood: Pizzas</t>
  </si>
  <si>
    <t>Maçonaria: Terno novo (02/06)</t>
  </si>
  <si>
    <t>Maçonaria: Terno novo</t>
  </si>
  <si>
    <t>Mercadolivre.com.br: Disco sólido interno Crucial CT1000BX500SSD1 1TB (01/06)</t>
  </si>
  <si>
    <t>Mercadolivre.com.br: Capinnha De Silicone Proteção P/ Controle Dualshock De Ps4</t>
  </si>
  <si>
    <t>Mercadolivre.com.br: Capinnha De Silicone Proteção P/ Controle Dualshock De Ps3</t>
  </si>
  <si>
    <t>AliXpress.com: 4 pces 40x20mm alumínio de alta fidelidade amp alto-falante isolamento suporte plataforma giratória dac pés almofada ouro prata preto</t>
  </si>
  <si>
    <t>Revisão 4Anos 30K Peugeot GGM5 (02/06)</t>
  </si>
  <si>
    <t>Apple iPhone 13 128GB Meia-noite + carregador 20w (07/10)</t>
  </si>
  <si>
    <t>Amazon.com.br: PlayStation®5 + God of War Ragnarök CFI-1214A (01/10)</t>
  </si>
  <si>
    <t>MercadoLIvre.com.br</t>
  </si>
  <si>
    <t>Implantes Hormonais (01/02)</t>
  </si>
  <si>
    <t>Maçonaria: Terno novo (03/06)</t>
  </si>
  <si>
    <t>AliExpress.com: Lampada 50cm de monitor para Playar Games</t>
  </si>
  <si>
    <t>Mercadolivre.com.br: Disco sólido interno Crucial CT1000BX500SSD1 1TB (02/06)</t>
  </si>
  <si>
    <t>Mercadolivre.com.br: Disco sólido interno Crucial CT1000BX500SSD1 1TB</t>
  </si>
  <si>
    <t>Revisão 4Anos 30K Peugeot GGM5 (03/06)</t>
  </si>
  <si>
    <t>Apple iPhone 13 128GB Meia-noite + carregador 20w (08/10)</t>
  </si>
  <si>
    <t xml:space="preserve">Pagamento de Fatura </t>
  </si>
  <si>
    <t>Amazon.com.br: PlayStation®5 + God of War Ragnarök CFI-1214A (02/10)</t>
  </si>
  <si>
    <t>Implantes Hormonais (02/02)</t>
  </si>
  <si>
    <t>Maçonaria: Terno novo (04/06)</t>
  </si>
  <si>
    <t>iFood: HB Burgues</t>
  </si>
  <si>
    <t>Trabalho: Dedô de Moçâ</t>
  </si>
  <si>
    <t>Mercadolivre.com.br: Disco sólido interno Crucial CT1000BX500SSD1 1TB (03/06)</t>
  </si>
  <si>
    <t>Revisão 4Anos 30K Peugeot GGM5 (04/06)</t>
  </si>
  <si>
    <t>Apple iPhone 13 128GB Meia-noite + carregador 20w (09/10)</t>
  </si>
  <si>
    <t>Amazon.com.br: PlayStation®5 + God of War Ragnarök CFI-1214A (03/10)</t>
  </si>
  <si>
    <t>Maçonaria: Terno novo (05/06)</t>
  </si>
  <si>
    <t>Mercadolivre.com.br: Disco sólido interno Crucial CT1000BX500SSD1 1TB (04/06)</t>
  </si>
  <si>
    <t>Revisão 4Anos 30K Peugeot GGM5 (05/06)</t>
  </si>
  <si>
    <t>Apple iPhone 13 128GB Meia-noite + carregador 20w (10/10)</t>
  </si>
  <si>
    <t>Amazon.com.br: PlayStation®5 + God of War Ragnarök CFI-1214A (04/10)</t>
  </si>
  <si>
    <t>iFood: Sushies</t>
  </si>
  <si>
    <t>Maçonaria: Terno novo (06/06)</t>
  </si>
  <si>
    <t>Mercadolivre.com.br: Disco sólido interno Crucial CT1000BX500SSD1 1TB (05/06)</t>
  </si>
  <si>
    <t>Revisão 4Anos 30K Peugeot GGM5 (06/06)</t>
  </si>
  <si>
    <t>Abril /  2023</t>
  </si>
  <si>
    <t>Amazon.com.br: PlayStation®5 + God of War Ragnarök CFI-1214A (05/10)</t>
  </si>
  <si>
    <t xml:space="preserve">Renovação CNH PCD 2023 (01/04) </t>
  </si>
  <si>
    <t>Mercadolivre.com.br: Disco sólido interno Crucial CT1000BX500SSD1 1TB (06/06)</t>
  </si>
  <si>
    <t>Maio /  2023</t>
  </si>
  <si>
    <t>Amazon.com.br: PlayStation®5 + God of War Ragnarök CFI-1214A (06/10)</t>
  </si>
  <si>
    <t xml:space="preserve">Renovação CNH PCD 2023 (02/04) </t>
  </si>
  <si>
    <t xml:space="preserve">A coop da Industruial </t>
  </si>
  <si>
    <t>Junho /  2023</t>
  </si>
  <si>
    <t>Amazon.com.br: PlayStation®5 + God of War Ragnarök CFI-1214A (07/10)</t>
  </si>
  <si>
    <t>Renovação CNH PCD 2023 (03/04)</t>
  </si>
  <si>
    <t xml:space="preserve">UBER Flashes </t>
  </si>
  <si>
    <t>Julho /  2023</t>
  </si>
  <si>
    <t>UBERs</t>
  </si>
  <si>
    <t>Amazon.com.br: PlayStation®5 + God of War Ragnarök CFI-1214A (08/10)</t>
  </si>
  <si>
    <t>Renovação CNH PCD 2023 (04/04)</t>
  </si>
  <si>
    <t xml:space="preserve">Uber pra Tatuagem </t>
  </si>
  <si>
    <t>Uber pra voltar da Tatuagem</t>
  </si>
  <si>
    <t>Seguro Echo 2023/2024 (01/06)</t>
  </si>
  <si>
    <t>Agosto /  2023</t>
  </si>
  <si>
    <t>Amazon.com.br: PlayStation®5 + God of War Ragnarök CFI-1214A (09/10)</t>
  </si>
  <si>
    <t>Setembro /  2023</t>
  </si>
  <si>
    <t>Seguro Pejô 2023/2024 (01/06)</t>
  </si>
  <si>
    <t>Amazon.com.br: PlayStation®5 + God of War Ragnarök CFI-1214A (10/10)</t>
  </si>
  <si>
    <t xml:space="preserve">Seguro Echo 2023/2024 (02/06) </t>
  </si>
  <si>
    <t xml:space="preserve">Uber pra ir pro patins </t>
  </si>
  <si>
    <t>Uber pra voltar pra voltar do patins</t>
  </si>
  <si>
    <t>Uber Moto Flex</t>
  </si>
  <si>
    <t>gazoza no pejo</t>
  </si>
  <si>
    <t>Ourubro /  2023</t>
  </si>
  <si>
    <t>Seguro Pejô 2023/2024 (02/06)</t>
  </si>
  <si>
    <t>iFood: Kasato SuShie</t>
  </si>
  <si>
    <t xml:space="preserve">Seguro Echo 2023/2024 (03/06) </t>
  </si>
  <si>
    <t>iFood:Didios</t>
  </si>
  <si>
    <t>Software: MobileApp: Ios: Watchs Faces</t>
  </si>
  <si>
    <t>Doces para o Halloween</t>
  </si>
  <si>
    <t>Ração, Saches e Areias</t>
  </si>
  <si>
    <t>Novembro /  2023</t>
  </si>
  <si>
    <t>Seguro Pejô 2023/2024 (03/06)</t>
  </si>
  <si>
    <t xml:space="preserve">Seguro Echo 2023/2024 (04/06) </t>
  </si>
  <si>
    <t>Revisão 2023 (01/06)</t>
  </si>
  <si>
    <t>iFood: Habibs</t>
  </si>
  <si>
    <t>Dezembro /  2023</t>
  </si>
  <si>
    <t>Seguro Pejô 2023/2024 (04/06)</t>
  </si>
  <si>
    <t xml:space="preserve">Seguro Echo 2023/2024 (05/06) </t>
  </si>
  <si>
    <t>Revisão 2023 (02/06)</t>
  </si>
  <si>
    <t>Janeiro /  2024</t>
  </si>
  <si>
    <t>Seguro Pejô 2023/2024 (05/06)</t>
  </si>
  <si>
    <t>Seguro Echo 2023/2024 (06/06)</t>
  </si>
  <si>
    <t>Revisão 2023 (03/06)</t>
  </si>
  <si>
    <t>Fevereiro /  2024</t>
  </si>
  <si>
    <t>Seguro Pejô 2023/2024 (06/06)</t>
  </si>
  <si>
    <t>Revisão 2023 (04/06)</t>
  </si>
  <si>
    <t>Março /  2024</t>
  </si>
  <si>
    <t>Revisão 2023 (05/06)</t>
  </si>
  <si>
    <t>Revisão Echo (01/10)</t>
  </si>
  <si>
    <t>Abril /  2024</t>
  </si>
  <si>
    <t>Revisão 2023 (06/06)</t>
  </si>
  <si>
    <t>Revisão Echo (02/10)</t>
  </si>
  <si>
    <t>Cafés Dulce Gusto´s</t>
  </si>
  <si>
    <t>Revisão Echo (03/10)</t>
  </si>
  <si>
    <t>Junho /  2024</t>
  </si>
  <si>
    <t>Revisão Echo (04/10)</t>
  </si>
  <si>
    <t>Julho /  2024</t>
  </si>
  <si>
    <t>ifood: Temakeria</t>
  </si>
  <si>
    <t>Revisão Echo (05/10)</t>
  </si>
  <si>
    <t xml:space="preserve">iFood: almoço </t>
  </si>
  <si>
    <t>Pintura Echo (01/06)</t>
  </si>
  <si>
    <t>Seguro Echo 2024/2025 (01/06)</t>
  </si>
  <si>
    <t>Agosto /  2024</t>
  </si>
  <si>
    <t>Ifood: já pôneis</t>
  </si>
  <si>
    <t>Revisão Echo (06/10)</t>
  </si>
  <si>
    <t>Pintura Echo (02/06)</t>
  </si>
  <si>
    <t>Gasoline Maua</t>
  </si>
  <si>
    <t>Cremes diversos (01/02)</t>
  </si>
  <si>
    <t>Lavagem de Tapetes (01/02)</t>
  </si>
  <si>
    <t>Setembro /  2024</t>
  </si>
  <si>
    <t>Seguro Echo 2024/2025 (02/06)</t>
  </si>
  <si>
    <t>Revisão Echo (07/10)</t>
  </si>
  <si>
    <t>Pintura Echo (03/06)</t>
  </si>
  <si>
    <t>Seguro Peugeot 2024-2025 (01/06)</t>
  </si>
  <si>
    <t>Cremes diversos (02/02)</t>
  </si>
  <si>
    <t>Lavagem de Tapetes (02/02)</t>
  </si>
  <si>
    <t>Seguro Echo 2024/2025 (03/06)</t>
  </si>
  <si>
    <t>Revisão Echo (08/10)</t>
  </si>
  <si>
    <t>Pintura Echo (04/06)</t>
  </si>
  <si>
    <t>Seguro Peugeot 2024-2025 (02/06)</t>
  </si>
  <si>
    <t>Estorno SeguroPejô</t>
  </si>
  <si>
    <t>Seguro Echo 2024/2025 (04/06)</t>
  </si>
  <si>
    <t>Revisão Echo (09/10)</t>
  </si>
  <si>
    <t>Pintura Echo (05/06)</t>
  </si>
  <si>
    <t>Seguro Peugeot 2024-2025 (03/06)</t>
  </si>
  <si>
    <t>Seguro Echo 2024/2025 (05/06)</t>
  </si>
  <si>
    <t>Revisão Echo (10/10)</t>
  </si>
  <si>
    <t>Pintura Echo (06/06)</t>
  </si>
  <si>
    <t>Seguro Peugeot 2024-2025 (04/06)</t>
  </si>
  <si>
    <t>Seguro Echo 2024/2025 (06/06)</t>
  </si>
  <si>
    <t>Seguro Peugeot 2024-2025 (05/06)</t>
  </si>
  <si>
    <t>Seguro Peugeot 2024-2025 (06/06)</t>
  </si>
  <si>
    <t xml:space="preserve">CANCELAMENTO DO CARTÃO </t>
  </si>
  <si>
    <t xml:space="preserve">Passages aréas </t>
  </si>
  <si>
    <t xml:space="preserve">Março / 2017 </t>
  </si>
  <si>
    <t xml:space="preserve">Abril / 2017 </t>
  </si>
  <si>
    <t xml:space="preserve"> Junho / 2017 </t>
  </si>
  <si>
    <t>Hote em Buenos Aires (01/07)</t>
  </si>
  <si>
    <t>Seguro Buenos Aires (01/07)</t>
  </si>
  <si>
    <t xml:space="preserve">Passagens Buenos Aires (01/07) </t>
  </si>
  <si>
    <t>Casantiga Pizzaria</t>
  </si>
  <si>
    <t xml:space="preserve">Tylenol Sinus </t>
  </si>
  <si>
    <t>A Garoupinha´s</t>
  </si>
  <si>
    <t>Espiha Shababs</t>
  </si>
  <si>
    <t>O Cruzeiro´s BAR</t>
  </si>
  <si>
    <t>c&amp;c Cuverios Novos</t>
  </si>
  <si>
    <t>Tarot: I Tarocchi di Aleister Crowley</t>
  </si>
  <si>
    <t>Penumbra Libros: Franz Bardon: Magia Pratica o caminho do Adepto</t>
  </si>
  <si>
    <t xml:space="preserve">Antibióticos e anti inflamatórios </t>
  </si>
  <si>
    <t>Mini torno morsa de 360º</t>
  </si>
  <si>
    <t>Portofino Shopping ABC</t>
  </si>
  <si>
    <t>Doces Bolos</t>
  </si>
  <si>
    <t>Roupas do Viv Leroa</t>
  </si>
  <si>
    <t xml:space="preserve">Brocas </t>
  </si>
  <si>
    <t>Pirografo para fazer varas</t>
  </si>
  <si>
    <t>Trabalho: Almoço no griuletto´s</t>
  </si>
  <si>
    <t>Trabalho: Lanche da tardes</t>
  </si>
  <si>
    <t>The Burgues 4 vpcê</t>
  </si>
  <si>
    <t xml:space="preserve">Falcons dos Anos 80 (01/03) </t>
  </si>
  <si>
    <t>Pagamento de Farura</t>
  </si>
  <si>
    <t>Tarot: Magic Manga Tarot</t>
  </si>
  <si>
    <t>Mini Baralho Ciganos</t>
  </si>
  <si>
    <t>2 Incensos Phoenix Salvia Branca</t>
  </si>
  <si>
    <t>Enos, Tylenol Synos e demais</t>
  </si>
  <si>
    <t>O Cruzeiro-s B.A.R.</t>
  </si>
  <si>
    <t>Nonno Passini no Atrium</t>
  </si>
  <si>
    <t>Hote em Buenos Aires (02/07)</t>
  </si>
  <si>
    <t>Seguro Buenos Aires (02/07)</t>
  </si>
  <si>
    <t xml:space="preserve">Passagens Buenos Aires (02/07) </t>
  </si>
  <si>
    <t>Shabbabbabs</t>
  </si>
  <si>
    <t>Xaropes de tosses e aziass</t>
  </si>
  <si>
    <t>Cervejas pra o aniv3ersário</t>
  </si>
  <si>
    <t xml:space="preserve">Nagumos para café de manha </t>
  </si>
  <si>
    <t>Trabalho: Cafés de Terde</t>
  </si>
  <si>
    <t>AntiAlergicos</t>
  </si>
  <si>
    <t>Nagumo´s I</t>
  </si>
  <si>
    <t>Nagumo´s II</t>
  </si>
  <si>
    <t>Pulseira do relogio Technos</t>
  </si>
  <si>
    <t>Grazzie Nappolli Pizzeria</t>
  </si>
  <si>
    <t>Spoletto´s</t>
  </si>
  <si>
    <t xml:space="preserve">Boteco ò Maria, ò </t>
  </si>
  <si>
    <t>Pomadas de Dores de costas e colirios</t>
  </si>
  <si>
    <t xml:space="preserve">Paccocca´s VR´s </t>
  </si>
  <si>
    <t>Remédios de Colesterol</t>
  </si>
  <si>
    <t>Barbeadores</t>
  </si>
  <si>
    <t>Kotobubiya Bihoujo Sniper Wolf</t>
  </si>
  <si>
    <t>Funko Pop Joker Arkham Asilum</t>
  </si>
  <si>
    <t>Rosacruz-Hermética da Casa de Bruxa´s</t>
  </si>
  <si>
    <t>Ervas de Banhos anti algo</t>
  </si>
  <si>
    <t>O21 Pizzaria carioca</t>
  </si>
  <si>
    <t xml:space="preserve">Falcons dos Anos 80 (02/03) </t>
  </si>
  <si>
    <t xml:space="preserve"> Agosto / 2017 </t>
  </si>
  <si>
    <t>Hote em Buenos Aires (03/07)</t>
  </si>
  <si>
    <t>Seguro Buenos Aires (03/07)</t>
  </si>
  <si>
    <t xml:space="preserve">Passagens Buenos Aires (03/07) </t>
  </si>
  <si>
    <t xml:space="preserve">Tarifa Over Limit </t>
  </si>
  <si>
    <t>Rosa Cruz Hermética pro Goya</t>
  </si>
  <si>
    <t>Trabalho: Almoço no Shopping</t>
  </si>
  <si>
    <t>Papel Craft + chocolates</t>
  </si>
  <si>
    <t xml:space="preserve">Trabalho: Lanche de Tarde com o Sergio </t>
  </si>
  <si>
    <t>Remedios de Chollesteroll</t>
  </si>
  <si>
    <t>Cremes importados diversos</t>
  </si>
  <si>
    <t>La barra café ristorante</t>
  </si>
  <si>
    <t>Trabalho: Grilleto´s</t>
  </si>
  <si>
    <t>Trabalho: Lanche de Terdes</t>
  </si>
  <si>
    <t xml:space="preserve">Falcons dos Anos 80 (03/03) </t>
  </si>
  <si>
    <t xml:space="preserve">Setembro / 2017 </t>
  </si>
  <si>
    <t>Hote em Buenos Aires (04/07)</t>
  </si>
  <si>
    <t>Seguro Buenos Aires (04/07)</t>
  </si>
  <si>
    <t xml:space="preserve">Passagens Buenos Aires (04/07) </t>
  </si>
  <si>
    <t>Iof transacoes exterior r$</t>
  </si>
  <si>
    <t>Hote em Buenos Aires (05/07)</t>
  </si>
  <si>
    <t>Seguro Buenos Aires (05/07)</t>
  </si>
  <si>
    <t xml:space="preserve">Passagens Buenos Aires (05/07) </t>
  </si>
  <si>
    <t>Hote em Buenos Aires (06/07)</t>
  </si>
  <si>
    <t>Seguro Buenos Aires (06/07)</t>
  </si>
  <si>
    <t xml:space="preserve">Passagens Buenos Aires (06/07) </t>
  </si>
  <si>
    <t>Hote em Buenos Aires (07/07)</t>
  </si>
  <si>
    <t>Seguro Buenos Aires (07/07)</t>
  </si>
  <si>
    <t xml:space="preserve">Passagens Buenos Aires (07/07) </t>
  </si>
  <si>
    <t>Passeios no Xel-há</t>
  </si>
  <si>
    <t>Boutique pandora berloque cancun</t>
  </si>
  <si>
    <t>03 perfuemes iportados no shoppings la Islas</t>
  </si>
  <si>
    <t>02 relóigios g-Shock Casios</t>
  </si>
  <si>
    <t>Presentes diversos so Chichen iTza</t>
  </si>
  <si>
    <t>IOF Geral no Exterior</t>
  </si>
  <si>
    <t xml:space="preserve">Ajuste a Credito </t>
  </si>
  <si>
    <t>MercadoLivre:Suporte Celular/goPro</t>
  </si>
  <si>
    <t xml:space="preserve">MercadoLivre: Computador De Mergulho Leonardo Nitrox Cressi Amarelo (01/12) </t>
  </si>
  <si>
    <t>MercadoLivre: Computador De Mergulho Giotto Nitrox Cressi Azul (01/12)</t>
  </si>
  <si>
    <t xml:space="preserve">MercadoLivre: Computador De Mergulho Leonardo Nitrox Cressi Amarelo (02/12) </t>
  </si>
  <si>
    <t>MercadoLivre: Computador De Mergulho Giotto Nitrox Cressi Azul (02/12)</t>
  </si>
  <si>
    <t xml:space="preserve"> Abril  / 2018</t>
  </si>
  <si>
    <t xml:space="preserve">MercadoLivre: Computador De Mergulho Leonardo Nitrox Cressi Amarelo (03/12) </t>
  </si>
  <si>
    <t>MercadoLivre: Computador De Mergulho Giotto Nitrox Cressi Azul (03/12)</t>
  </si>
  <si>
    <t xml:space="preserve">MercadoLivre: Computador De Mergulho Leonardo Nitrox Cressi Amarelo (04/12) </t>
  </si>
  <si>
    <t>MercadoLivre: Computador De Mergulho Giotto Nitrox Cressi Azul (04/12)</t>
  </si>
  <si>
    <t xml:space="preserve">MercadoLivre: Computador De Mergulho Leonardo Nitrox Cressi Amarelo (05/12) </t>
  </si>
  <si>
    <t>MercadoLivre: Computador De Mergulho Giotto Nitrox Cressi Azul (05/12)</t>
  </si>
  <si>
    <t xml:space="preserve">MercadoLivre: Computador De Mergulho Leonardo Nitrox Cressi Amarelo (06/12) </t>
  </si>
  <si>
    <t>MercadoLivre: Computador De Mergulho Giotto Nitrox Cressi Azul (06/12)</t>
  </si>
  <si>
    <t xml:space="preserve">MercadoLivre: Computador De Mergulho Leonardo Nitrox Cressi Amarelo (07/12) </t>
  </si>
  <si>
    <t>MercadoLivre: Computador De Mergulho Giotto Nitrox Cressi Azul (07/12)</t>
  </si>
  <si>
    <t>Setembro / 2018</t>
  </si>
  <si>
    <t xml:space="preserve">MercadoLivre: Computador De Mergulho Leonardo Nitrox Cressi Amarelo (08/12) </t>
  </si>
  <si>
    <t>MercadoLivre: Computador De Mergulho Giotto Nitrox Cressi Azul (08/12)</t>
  </si>
  <si>
    <t xml:space="preserve">MercadoLivre: Computador De Mergulho Leonardo Nitrox Cressi Amarelo (09/12) </t>
  </si>
  <si>
    <t>MercadoLivre: Computador De Mergulho Giotto Nitrox Cressi Azul (09/12)</t>
  </si>
  <si>
    <t xml:space="preserve">MercadoLivre: Computador De Mergulho Leonardo Nitrox Cressi Amarelo (10/12) </t>
  </si>
  <si>
    <t>MercadoLivre: Computador De Mergulho Giotto Nitrox Cressi Azul (10/12)</t>
  </si>
  <si>
    <t>Dezembro / 2018</t>
  </si>
  <si>
    <t xml:space="preserve">MercadoLivre: Computador De Mergulho Leonardo Nitrox Cressi Amarelo (11/12) </t>
  </si>
  <si>
    <t>MercadoLivre: Computador De Mergulho Giotto Nitrox Cressi Azul (11/12)</t>
  </si>
  <si>
    <t>Janeiro / 2019</t>
  </si>
  <si>
    <t xml:space="preserve">MercadoLivre: Computador De Mergulho Leonardo Nitrox Cressi Amarelo (12/12) </t>
  </si>
  <si>
    <t>MercadoLivre: Computador De Mergulho Giotto Nitrox Cressi Azul (12/12)</t>
  </si>
  <si>
    <t>Estorno de encargos de refinanciamento</t>
  </si>
  <si>
    <t>Apple EarPods Lightning</t>
  </si>
  <si>
    <t>Catarse Crowley</t>
  </si>
  <si>
    <t>Falcon misão Abrólios</t>
  </si>
  <si>
    <t>Udemy.com Fundamentos de Arquitetura de Microsserviços (Microservices)</t>
  </si>
  <si>
    <t>6 cursos diversos da Udemyu.com</t>
  </si>
  <si>
    <t>Catarse.ME: Destro HQ</t>
  </si>
  <si>
    <t>Piza em casa</t>
  </si>
  <si>
    <t xml:space="preserve">Saldos para ajustes de encerramento </t>
  </si>
  <si>
    <t xml:space="preserve">Deposito 13 Salario </t>
  </si>
  <si>
    <t>Saque Caixa Automático</t>
  </si>
  <si>
    <t>SALARIO-PROVENTOS</t>
  </si>
  <si>
    <t>Deposito Salario Proventos</t>
  </si>
  <si>
    <t>TRANSF OFFB/INTBANKING</t>
  </si>
  <si>
    <t>Pagamento Telefone - Intelig</t>
  </si>
  <si>
    <t>TRF Pacote Mês</t>
  </si>
  <si>
    <t>Cheque -  441141 - Janta</t>
  </si>
  <si>
    <t xml:space="preserve"> Fevereiro / 2001</t>
  </si>
  <si>
    <t>Cheque -  441142 - Janta</t>
  </si>
  <si>
    <t>Cheque - 441143 - Livro UML</t>
  </si>
  <si>
    <t>Saque Caixa Automático - Passe</t>
  </si>
  <si>
    <t>Cheque - 441144 - festa</t>
  </si>
  <si>
    <t>Cheque - 441145 - Bolo</t>
  </si>
  <si>
    <t>Cheque - 441149 - Passagens</t>
  </si>
  <si>
    <t>Cheque - 441150 - Credito celular</t>
  </si>
  <si>
    <t>Saque - Pagto computador</t>
  </si>
  <si>
    <t>Cheque - 441151- Rombo Real</t>
  </si>
  <si>
    <t>maio / 2001</t>
  </si>
  <si>
    <t>Cheque - 441152 - Jantar</t>
  </si>
  <si>
    <t>Cheque - 441153 - Nilson</t>
  </si>
  <si>
    <t xml:space="preserve">Cheque - 441154 - Passagem </t>
  </si>
  <si>
    <t xml:space="preserve">Cheque - 441155 - Mouse </t>
  </si>
  <si>
    <t>Cheque -  441157 - CrdtCel</t>
  </si>
  <si>
    <t>Cheque - 441158 - Janta</t>
  </si>
  <si>
    <t>Saque - Real</t>
  </si>
  <si>
    <t>Cheque - 441156 - mtx</t>
  </si>
  <si>
    <t>Cheque - 441161 - Jantar</t>
  </si>
  <si>
    <t xml:space="preserve">Cheque - 441163  - Passagens </t>
  </si>
  <si>
    <t>Cheque - 441164 - Pizza Pira</t>
  </si>
  <si>
    <t xml:space="preserve"> Julho / 2001</t>
  </si>
  <si>
    <t>Cheque - 441165 - CD</t>
  </si>
  <si>
    <t>Saque - real</t>
  </si>
  <si>
    <t>Cheque - 441166 - Mercado</t>
  </si>
  <si>
    <t>Cheque - 441167 - Conta Global</t>
  </si>
  <si>
    <t>Cheque - 441168 - Cerveja</t>
  </si>
  <si>
    <t xml:space="preserve">Rec Salario </t>
  </si>
  <si>
    <t>Cheque - 441169 - IdentCall</t>
  </si>
  <si>
    <t>Cheque - 441170 - Mercado</t>
  </si>
  <si>
    <t xml:space="preserve">Cheque - 441171 - Roupas </t>
  </si>
  <si>
    <t xml:space="preserve">Cheque - 441172 - Mercado </t>
  </si>
  <si>
    <t>Cheque - 441173 - Almoço</t>
  </si>
  <si>
    <t>Cheque - 441174 - Blusas (01-03)</t>
  </si>
  <si>
    <t>Cheque - 441177 - pagamento Unopar</t>
  </si>
  <si>
    <t>Agosto/2001</t>
  </si>
  <si>
    <t>Cheque - 441178 - Passagens</t>
  </si>
  <si>
    <t>Deposito - Cris</t>
  </si>
  <si>
    <t>Pensão</t>
  </si>
  <si>
    <t>Cheque - 681965 - kylix</t>
  </si>
  <si>
    <t>Cheque - 681966 -  Mercado</t>
  </si>
  <si>
    <t xml:space="preserve">Cheque - 681967 -Mac Donld´s </t>
  </si>
  <si>
    <t>Cheque - 441175 - Blusas (02-03)</t>
  </si>
  <si>
    <t>Cheque - 681968 - Presente Aniver Kisi</t>
  </si>
  <si>
    <t>Cheque - 661969 - simpósio Unopar</t>
  </si>
  <si>
    <t>ENCARGOS EMPREST C/C</t>
  </si>
  <si>
    <t>Cheque - 681790 - Unopar</t>
  </si>
  <si>
    <t>Cheque - 681971 - Janta</t>
  </si>
  <si>
    <t>Cheque - 681972 - 2º Chamada Compiladores</t>
  </si>
  <si>
    <t>Fatura Telefonica - Intelig</t>
  </si>
  <si>
    <t xml:space="preserve">Saque - Passes </t>
  </si>
  <si>
    <t>Cheque - 441176 - Blusas (03-03)</t>
  </si>
  <si>
    <t>Cheque - 681973 - Almoço</t>
  </si>
  <si>
    <t>Cheque - 681974 - McDonalds</t>
  </si>
  <si>
    <t>Cheque - 681975 - UDV -2</t>
  </si>
  <si>
    <t>Cheque - 681976 - UDV</t>
  </si>
  <si>
    <t xml:space="preserve">Cheque - 681977 - Americanas </t>
  </si>
  <si>
    <t>Cheque - 681978 - Unopar</t>
  </si>
  <si>
    <t>Cheque - 681979 - Mercado</t>
  </si>
  <si>
    <t>Saque - Chaves</t>
  </si>
  <si>
    <t>Cheque - 681980 - Mais Mercado</t>
  </si>
  <si>
    <t>Cheque - 681981 - Fotos</t>
  </si>
  <si>
    <t>Cheque - 681982 - estante CDs</t>
  </si>
  <si>
    <t>Cheque - 681983 - Moveis</t>
  </si>
  <si>
    <t xml:space="preserve">Cheque - 681984 - Fotos </t>
  </si>
  <si>
    <t>Cheque - 681985 - Cadeiras</t>
  </si>
  <si>
    <t>Cheque - 681986 - Mercado -Passa Roupa</t>
  </si>
  <si>
    <t xml:space="preserve">Cheque  - 681987 - Chuveiro </t>
  </si>
  <si>
    <t>Unopar</t>
  </si>
  <si>
    <t>Saque - Cortinas</t>
  </si>
  <si>
    <t>Cheque - 681988 - Isqueiro</t>
  </si>
  <si>
    <t>Cheque - 681989 - CDs Windows XP 2000..</t>
  </si>
  <si>
    <t>Cheque - 681990 - Cama Visita</t>
  </si>
  <si>
    <t>Cheque - 681991 - Criado Mudo</t>
  </si>
  <si>
    <t xml:space="preserve">Cheque - 681992 - Mercado </t>
  </si>
  <si>
    <t>TRF Ficha Cadastral</t>
  </si>
  <si>
    <t>Cheque - 681993 - Aluguel</t>
  </si>
  <si>
    <t>Cheque - 681994 -  Isqueiro</t>
  </si>
  <si>
    <t>Cheque - 681995 - Filmes</t>
  </si>
  <si>
    <t>Cheque - 681997 - 2º Chamada</t>
  </si>
  <si>
    <t>Cheque - 681998 - Yoshio</t>
  </si>
  <si>
    <t>Cheque - 681999 - Gasosa</t>
  </si>
  <si>
    <t>Cheque - 682000 - Pizza</t>
  </si>
  <si>
    <t>Cheque - 867241- McLixo</t>
  </si>
  <si>
    <t>Cheque - 867242 - Mercado</t>
  </si>
  <si>
    <t>Cheque - 867244 - Aluguel / Condominio</t>
  </si>
  <si>
    <t>Pagamento Unopar</t>
  </si>
  <si>
    <t xml:space="preserve">Cheque - 867245 - Matricula </t>
  </si>
  <si>
    <t xml:space="preserve">Saque - real </t>
  </si>
  <si>
    <t xml:space="preserve">Cheque - 867247 - Livros </t>
  </si>
  <si>
    <t>Cheque - 867248 -  Mercado</t>
  </si>
  <si>
    <t>Cheque - 867249 - Churras</t>
  </si>
  <si>
    <t>Cheque - 867250 - Farmácia</t>
  </si>
  <si>
    <t>Cheque - 867249 - McDonalds</t>
  </si>
  <si>
    <t>Cheque - 867252 - Taxas Imobiliaria</t>
  </si>
  <si>
    <t>Cheque - 867256 - mudança</t>
  </si>
  <si>
    <t>Cheque - 867253 - Aluguel</t>
  </si>
  <si>
    <t>encargos Emp c/c</t>
  </si>
  <si>
    <t>Cheque - 867259 - Condominio</t>
  </si>
  <si>
    <t xml:space="preserve">Cheque - 867246 - Matricula </t>
  </si>
  <si>
    <t xml:space="preserve">Tarifa Prest Serv. </t>
  </si>
  <si>
    <t>Lib Credito Especial</t>
  </si>
  <si>
    <t>Cheque - 867257 - Sergio</t>
  </si>
  <si>
    <t>Cheque - 867260 - Lavanderia</t>
  </si>
  <si>
    <t>Fatura Copel</t>
  </si>
  <si>
    <t xml:space="preserve"> Fevereiro / 2002</t>
  </si>
  <si>
    <t>Cheque - 867269 - McDonalds</t>
  </si>
  <si>
    <t>Cheque - 867270 -McDonalds</t>
  </si>
  <si>
    <t>Cheque - 867271 - Motel</t>
  </si>
  <si>
    <t>Cheque - 867272 - Gasolina</t>
  </si>
  <si>
    <t>Parcela Financiamento (01/18)</t>
  </si>
  <si>
    <t>Cheque - 867273 - Material de Aula de Desenho</t>
  </si>
  <si>
    <t>Cheque - 867275 - Lanches</t>
  </si>
  <si>
    <t>Cheque - 867276 - Pizza</t>
  </si>
  <si>
    <t>Cheque - 867577 - Alugel</t>
  </si>
  <si>
    <t>Cheque - 867578 - Pizza</t>
  </si>
  <si>
    <t>março / 2002</t>
  </si>
  <si>
    <t>Cheque - 149961 - CDs</t>
  </si>
  <si>
    <t>Deposito Ref Unopar</t>
  </si>
  <si>
    <t>Cheque - 149962 - locadora</t>
  </si>
  <si>
    <t>Cheque - 149963 - Locadora</t>
  </si>
  <si>
    <t>Cheque - 149964 - Camiseta</t>
  </si>
  <si>
    <t>Cheque - 149965 - Almoço</t>
  </si>
  <si>
    <t>Cheque - 149966 - Viagen</t>
  </si>
  <si>
    <t>Cheque - 149967 - Apuca</t>
  </si>
  <si>
    <t>Cheque - 149968 - Almoço</t>
  </si>
  <si>
    <t>Cheque - 149969 - Almoço</t>
  </si>
  <si>
    <t>Parcela Financiamento (02/18)</t>
  </si>
  <si>
    <t>Cheque - 149970 -Almoço</t>
  </si>
  <si>
    <t xml:space="preserve">Cheque - 149971 - locadora </t>
  </si>
  <si>
    <t>Cheque - 149972 - Almoço</t>
  </si>
  <si>
    <t>Cheque - 149973 - Cinto</t>
  </si>
  <si>
    <t>Recarga Celolar</t>
  </si>
  <si>
    <t xml:space="preserve">Saque - Lavar Roupa </t>
  </si>
  <si>
    <t>Cheque - 149974 - Almoço</t>
  </si>
  <si>
    <t>TRF Emissão Cartão</t>
  </si>
  <si>
    <t>Cheque - 149974 - Ch DEV Sust</t>
  </si>
  <si>
    <t>Taxa Devoluçào Cheque 149974</t>
  </si>
  <si>
    <t>Cheque - 149978 - Almoço -</t>
  </si>
  <si>
    <t>Cheque - 149979 - Caderno</t>
  </si>
  <si>
    <t>Cheque - 149980 - Lanche</t>
  </si>
  <si>
    <t>Cheque - 149981 - Almoço</t>
  </si>
  <si>
    <t>Cheque - 149982 - Aluguel</t>
  </si>
  <si>
    <t>Cheque - 149983 - Locadora</t>
  </si>
  <si>
    <t>Cheque - 149984 -Passage</t>
  </si>
  <si>
    <t>Cheque - 149985 - Armossu</t>
  </si>
  <si>
    <t>Cheque - 149986 - Armossu</t>
  </si>
  <si>
    <t>Dev Cheque 149982</t>
  </si>
  <si>
    <t>Saque - VIAGEM</t>
  </si>
  <si>
    <t xml:space="preserve">Cheque - 149983 - Locadora Bloqueado </t>
  </si>
  <si>
    <t>TRF Saque Banco 24H</t>
  </si>
  <si>
    <t>Cheque - 149987 - Unobar</t>
  </si>
  <si>
    <t>Cheque - 149988 - Locadora - 149983</t>
  </si>
  <si>
    <t>Cheque - 149889 - Pizza</t>
  </si>
  <si>
    <t>Cheque - 148990 - Aluguel</t>
  </si>
  <si>
    <t>Parcela Financiamento (03/18)</t>
  </si>
  <si>
    <t>Cheque - 148991 - Pizza</t>
  </si>
  <si>
    <t>Cheque - 148992 - Lavagem de ropas</t>
  </si>
  <si>
    <t>Cheque - 148993 - Almoço</t>
  </si>
  <si>
    <t>Cheque - 148994 - Aluguel</t>
  </si>
  <si>
    <t>Cheque - 148995 - Passagens</t>
  </si>
  <si>
    <t>Assinatura Info (01/05)</t>
  </si>
  <si>
    <t>Cheque - 148996 - Unopar</t>
  </si>
  <si>
    <t>Cheque - 148997 - Lanches Unobar</t>
  </si>
  <si>
    <t>IOF S/EMPREST C/C</t>
  </si>
  <si>
    <t>Cheque - 148998 - Motel</t>
  </si>
  <si>
    <t>Cheque - 148999 - McDonalds</t>
  </si>
  <si>
    <t>Cheque - 149000 - Sapato</t>
  </si>
  <si>
    <t>Parcela Financiamento (04/18)</t>
  </si>
  <si>
    <t>Cheque - 202062 -</t>
  </si>
  <si>
    <t>Cheque - 202063 - Agua</t>
  </si>
  <si>
    <t>Cheque - 202064 - Mercado</t>
  </si>
  <si>
    <t>Cheque - 202065 - McDonalds</t>
  </si>
  <si>
    <t xml:space="preserve">Cheque - 202066 - Aluguel </t>
  </si>
  <si>
    <t>Cheque - 202067 - Locadora</t>
  </si>
  <si>
    <t xml:space="preserve"> Junho / 2002</t>
  </si>
  <si>
    <t>Cheque - 202068 - UnoBar</t>
  </si>
  <si>
    <t>Cheque - 202069 - Jantar</t>
  </si>
  <si>
    <t>Cheque - 202070 - Coisas pra cozinha</t>
  </si>
  <si>
    <t xml:space="preserve">Cheque - 202071 - Mercado </t>
  </si>
  <si>
    <t>fatura Visa</t>
  </si>
  <si>
    <t>Parcela Financiamento (05/18)</t>
  </si>
  <si>
    <t>Cheque - 202072 - Locadora</t>
  </si>
  <si>
    <t>saque - Cabo do HD</t>
  </si>
  <si>
    <t>Cheque - 202077 -McDOnalds</t>
  </si>
  <si>
    <t>Cheque - 202078 - Mercado</t>
  </si>
  <si>
    <t xml:space="preserve">Cheque - 202079 - Aluguel </t>
  </si>
  <si>
    <t>Cheque - 202080 - Fotos</t>
  </si>
  <si>
    <t>Cheque - 202081 - Mercado</t>
  </si>
  <si>
    <t>Saque - Banco real</t>
  </si>
  <si>
    <t>Cheque - 202082 - Butecopar</t>
  </si>
  <si>
    <t xml:space="preserve">Cheque - 202083 - Americanas </t>
  </si>
  <si>
    <t>Saque - Tia que lava ropa</t>
  </si>
  <si>
    <t xml:space="preserve">Cheque - 202084 - Mercado </t>
  </si>
  <si>
    <t>Cheque - 202085 - 2 Chamada</t>
  </si>
  <si>
    <t>Parcela Financiamento (06/18)</t>
  </si>
  <si>
    <t>Deposito p/ Poupança</t>
  </si>
  <si>
    <t>Cheque - 202086 - Locadora</t>
  </si>
  <si>
    <t>Cheque - 202087 - Pizza</t>
  </si>
  <si>
    <t>Cheque - 202088 - Sair</t>
  </si>
  <si>
    <t xml:space="preserve">Cheque - 202089 - Aluguel </t>
  </si>
  <si>
    <t>Rec Salario - férias</t>
  </si>
  <si>
    <t>Cheque - 202090 - Passagens</t>
  </si>
  <si>
    <t>Cheque - 202091 - CD Strokes</t>
  </si>
  <si>
    <t>Cheque - 202092 - Americas - Cuberta</t>
  </si>
  <si>
    <t>Cheque - 202095 - Farmacia</t>
  </si>
  <si>
    <t>Cheque - 202096 - Mercado</t>
  </si>
  <si>
    <t>Cheque - 202097 - Movel Sala</t>
  </si>
  <si>
    <t>Cheque - 202098 - Locadora</t>
  </si>
  <si>
    <t>Cheque - 202099 - Drive COMBO</t>
  </si>
  <si>
    <t>Cheque - 202100 - Formatura</t>
  </si>
  <si>
    <t>Parcela Financiamento (07/18)</t>
  </si>
  <si>
    <t>Cheque - 310201 - Toalha de Mesa</t>
  </si>
  <si>
    <t>Trans. Formatura Lucimeire</t>
  </si>
  <si>
    <t>Cheque - 310201 - Pizza</t>
  </si>
  <si>
    <t>Cheque - 310202 - Locadora</t>
  </si>
  <si>
    <t>Cheque - 310203 - Tia Lava ropa</t>
  </si>
  <si>
    <t>Cheque - 310204 - Janta</t>
  </si>
  <si>
    <t xml:space="preserve">Cheque - 310206 - Kart </t>
  </si>
  <si>
    <t>Cheque - 310207 - Pizza</t>
  </si>
  <si>
    <t>Cheque - 310208 - Aluguel</t>
  </si>
  <si>
    <t>Cheque - 310209 - Mercado</t>
  </si>
  <si>
    <t>Cheque - 310210 - Unobar</t>
  </si>
  <si>
    <t>Cheque - 310211- All</t>
  </si>
  <si>
    <t>Cheque - 310212 - Mercado</t>
  </si>
  <si>
    <t>Transferencia Banco1.net</t>
  </si>
  <si>
    <t>Parcela Financiamento (08/18)</t>
  </si>
  <si>
    <t>Cheque - 310213 - McDonalds</t>
  </si>
  <si>
    <t>Cheque - 310214 - Mercado</t>
  </si>
  <si>
    <t>Cheque - 310215 - Aluguel</t>
  </si>
  <si>
    <t>Cheque - 310216 - Xerox</t>
  </si>
  <si>
    <t>Cheque - 310217 - Presente Cris</t>
  </si>
  <si>
    <t>Cheque - 310218 Mercado</t>
  </si>
  <si>
    <t>Cheque - 310219 - Presente Global</t>
  </si>
  <si>
    <t>Cheque - 310220 - Unobar</t>
  </si>
  <si>
    <t>Cheque - 310221 - Americanas</t>
  </si>
  <si>
    <t>Cheque - 310222 - Motel</t>
  </si>
  <si>
    <t>Parcela Financiamento (09/18)</t>
  </si>
  <si>
    <t>Cheque - 310223 - Lampadas</t>
  </si>
  <si>
    <t>Cheque - 310224 - Alugel</t>
  </si>
  <si>
    <t>Cheque - 310225 - Tiaquelavaropa</t>
  </si>
  <si>
    <t>Cheque - 310227 - Mercado</t>
  </si>
  <si>
    <t>Cheque - 310229 - Farmacia</t>
  </si>
  <si>
    <t xml:space="preserve">ENCARGOS EMPREST C/C </t>
  </si>
  <si>
    <t>Cheque - 310230 - Mercado</t>
  </si>
  <si>
    <t>Saque - Tatoo Cris</t>
  </si>
  <si>
    <t>Cheque - 310231 Pizza</t>
  </si>
  <si>
    <t>Cheque - 310232 - Cartucho Color p/ Printer</t>
  </si>
  <si>
    <t>Cheque Eletrônico - Mercado</t>
  </si>
  <si>
    <t>Cheque - 310233 - Convite Gilberto</t>
  </si>
  <si>
    <t>Transf ref. Ingresso Show engHaw</t>
  </si>
  <si>
    <t>Cheque - 310234 - Ropa</t>
  </si>
  <si>
    <t>Parcela Financiamento (10/18)</t>
  </si>
  <si>
    <t xml:space="preserve">transf - Livro Lotus </t>
  </si>
  <si>
    <t>Cheque - 310236 - Ropa</t>
  </si>
  <si>
    <t>Cheque - 310237 - Motel</t>
  </si>
  <si>
    <t>Cheque - 310238 - Aluguel</t>
  </si>
  <si>
    <t>Cheque - 310239 -  Oculos</t>
  </si>
  <si>
    <t>Saque - encadernação</t>
  </si>
  <si>
    <t>Cheque - 310240 - Unobar</t>
  </si>
  <si>
    <t>TRANSF OB/CNB/IB </t>
  </si>
  <si>
    <t>Pagamento financiamento TOTAL</t>
  </si>
  <si>
    <t>Saque - Encadernação</t>
  </si>
  <si>
    <t>Cheque Eletronico - Americanas -</t>
  </si>
  <si>
    <t>Saque - Medicamentos p/ Tatoo</t>
  </si>
  <si>
    <t>Cheque - 4023241 - Passagens</t>
  </si>
  <si>
    <t>Cheque - 4023242 - maiden + Shirt + dvd</t>
  </si>
  <si>
    <t>Cheque - 402343 - Encadernação</t>
  </si>
  <si>
    <t>Cheque - 402344 - Armoçu</t>
  </si>
  <si>
    <t>Cheque - 402345 - Presente (1)</t>
  </si>
  <si>
    <t>Cheque - 402346 - Presente - FaFi</t>
  </si>
  <si>
    <t>Transferencia Banco1.net - FaFi</t>
  </si>
  <si>
    <t>Cheque - 402347 - Formatura</t>
  </si>
  <si>
    <t>Saque - Folhas da Cris + outros</t>
  </si>
  <si>
    <t>Cheque - 402348 - UDV</t>
  </si>
  <si>
    <t>Cheque - 402349 - Presente Cris</t>
  </si>
  <si>
    <t>Cheque - 310235 - Ropa</t>
  </si>
  <si>
    <t>Cheque - 402350 - Motel</t>
  </si>
  <si>
    <t xml:space="preserve">Cheque - 402351 - Camisetas </t>
  </si>
  <si>
    <t xml:space="preserve">Cheque - 402352 - Computec </t>
  </si>
  <si>
    <t>Cheque - 402355 - Farmacia</t>
  </si>
  <si>
    <t>Cheque - 402356 - Pernambucana</t>
  </si>
  <si>
    <t>Cheque - 402357 - Fada</t>
  </si>
  <si>
    <t>Cheque - 402358 - Aluguel</t>
  </si>
  <si>
    <t>Cheque - 402359 - Mercado</t>
  </si>
  <si>
    <t xml:space="preserve">Cheque - 402360 - Mercado </t>
  </si>
  <si>
    <t>Saque - Almoço</t>
  </si>
  <si>
    <t>Cheque - 402361 - Locadora</t>
  </si>
  <si>
    <t>Cheque - 402362 - Almoço McDonalds</t>
  </si>
  <si>
    <t>Cheque - 402363 - Pizza</t>
  </si>
  <si>
    <t>Saque - cartório + Correio</t>
  </si>
  <si>
    <t xml:space="preserve">cheque - 402364 - farmárica </t>
  </si>
  <si>
    <t>Saque - Sedex</t>
  </si>
  <si>
    <t>Cheque - 402365 - Remedio Cris</t>
  </si>
  <si>
    <t>Cheque - 402366 - Tenis pra Rapel</t>
  </si>
  <si>
    <t>Cheque - 402371 - Presente Cris</t>
  </si>
  <si>
    <t>Cheque Eletronico - farmárcia</t>
  </si>
  <si>
    <t>Cheque - 402372 - Mudança</t>
  </si>
  <si>
    <t xml:space="preserve">Cheque - 402373 - Mercado </t>
  </si>
  <si>
    <t>Cheque - 402374 - Pizza</t>
  </si>
  <si>
    <t>Cheque - 402375 - Coisas Pra Casa</t>
  </si>
  <si>
    <t xml:space="preserve">Saque - Cris denovo </t>
  </si>
  <si>
    <t xml:space="preserve">Saque - Insulfim </t>
  </si>
  <si>
    <t>Cheque - 402378 - Tx mudança</t>
  </si>
  <si>
    <t xml:space="preserve">Cheque - 402379 - Farmácia </t>
  </si>
  <si>
    <t>Cheque - 402380 - Camisa</t>
  </si>
  <si>
    <t>Cheque - 527321 - Gasolina</t>
  </si>
  <si>
    <t>Cheque - 527322 - Motel</t>
  </si>
  <si>
    <t>Cheque - 523723 - Inscr. POS</t>
  </si>
  <si>
    <t>saque - Almoço</t>
  </si>
  <si>
    <t xml:space="preserve">Cheque - 523724 - Mercado </t>
  </si>
  <si>
    <t>Saque - Janta</t>
  </si>
  <si>
    <t>Deposito - Heloisa</t>
  </si>
  <si>
    <t>Deposito Imobiliaria</t>
  </si>
  <si>
    <t>cheque - 423726 - Filme</t>
  </si>
  <si>
    <t>Cheque - 423727 - Mercado</t>
  </si>
  <si>
    <t>Cheque - 523728 -Presente Cris</t>
  </si>
  <si>
    <t>Cheque - 527329 - Fotos</t>
  </si>
  <si>
    <t>JUROS uso Rec Indispon</t>
  </si>
  <si>
    <t>Cheque - 527330 - Gasolinas</t>
  </si>
  <si>
    <t>Cheque - 527331 - Motel</t>
  </si>
  <si>
    <t>Cheque - 527325 - Pos Cris</t>
  </si>
  <si>
    <t>Cheque -  527332 - Mercado</t>
  </si>
  <si>
    <t xml:space="preserve">Saque - Tia que lava ropa </t>
  </si>
  <si>
    <t>Tarifa Emis.Cheq.Inf. Ou Igual A R$20</t>
  </si>
  <si>
    <t>Cheque - 527333 - Cabos</t>
  </si>
  <si>
    <t xml:space="preserve">Cheque - 527334 - Alugel </t>
  </si>
  <si>
    <t>Saque - Cortar cabelo</t>
  </si>
  <si>
    <t>Saque - Vidro do Rack</t>
  </si>
  <si>
    <t>Cheque - 527335 - mercado</t>
  </si>
  <si>
    <t>Cheque - 527336 - Mercado</t>
  </si>
  <si>
    <t>Cheque - 527337 - Festa GT</t>
  </si>
  <si>
    <t>Cheque - 527338 - Gasolina</t>
  </si>
  <si>
    <t>Cheque - 527339 - Motel</t>
  </si>
  <si>
    <t>Cheque - 527340 - Cris</t>
  </si>
  <si>
    <t>Saque - Aluguel</t>
  </si>
  <si>
    <t>Cheque - 527341 - Pizza</t>
  </si>
  <si>
    <t xml:space="preserve">Deposito </t>
  </si>
  <si>
    <t>Transf OB/CNB/IB</t>
  </si>
  <si>
    <t>emissão DOC TB i - Banco1 - c/c 0110/430.119-5</t>
  </si>
  <si>
    <t xml:space="preserve">TARIFA TED/DOC/OP </t>
  </si>
  <si>
    <t>Saque - locadora</t>
  </si>
  <si>
    <t>Saque - Modem</t>
  </si>
  <si>
    <t>Saque - Cortar Cabelo</t>
  </si>
  <si>
    <t>Deposito - Encerramento conta</t>
  </si>
  <si>
    <t>trf manut cta corrente</t>
  </si>
  <si>
    <t xml:space="preserve">Monitor (01/06) </t>
  </si>
  <si>
    <t>Monitor (02/06)</t>
  </si>
  <si>
    <t>Monitor (03/06)</t>
  </si>
  <si>
    <t>caderno</t>
  </si>
  <si>
    <t>Monitor (04/06)</t>
  </si>
  <si>
    <t>Compassos</t>
  </si>
  <si>
    <t>Monitor (05/06)</t>
  </si>
  <si>
    <t>CDs</t>
  </si>
  <si>
    <t>Monitor (06/06)</t>
  </si>
  <si>
    <t>Livro SNMP</t>
  </si>
  <si>
    <t>Cd Kiss</t>
  </si>
  <si>
    <t>Junho/2002</t>
  </si>
  <si>
    <t xml:space="preserve">Geladeira (01/10) </t>
  </si>
  <si>
    <t>Carteira</t>
  </si>
  <si>
    <t>Assinatura Info (02/05)</t>
  </si>
  <si>
    <t>Julho/2002</t>
  </si>
  <si>
    <t xml:space="preserve">Geladeira (02/10) </t>
  </si>
  <si>
    <t>Assinatura Info (03/05)</t>
  </si>
  <si>
    <t>Agosto/2002</t>
  </si>
  <si>
    <t xml:space="preserve">Geladeira (03/10) </t>
  </si>
  <si>
    <t>Assinatura Info (04/05)</t>
  </si>
  <si>
    <t>DVD Iron (01/03)</t>
  </si>
  <si>
    <t>Geladeira (04/10)</t>
  </si>
  <si>
    <t>Assinatura Info (05/05)</t>
  </si>
  <si>
    <t>DVD Iron (02/03)</t>
  </si>
  <si>
    <t>Geladeira (05/10)</t>
  </si>
  <si>
    <t>CDs Virge</t>
  </si>
  <si>
    <t>DVD Iron (03/03)</t>
  </si>
  <si>
    <t>Geladeira (06/10)</t>
  </si>
  <si>
    <t>Geladeira (07/10)</t>
  </si>
  <si>
    <t>Geladeira (08/10)</t>
  </si>
  <si>
    <t>Geladeira (09/10)</t>
  </si>
  <si>
    <t>Geladeira (10/10)</t>
  </si>
  <si>
    <t>Anuidade</t>
  </si>
  <si>
    <t xml:space="preserve">Parc. Voo V457LP (01/02) </t>
  </si>
  <si>
    <t>Presente da Dna Aparecida</t>
  </si>
  <si>
    <t>Fotos 3X4 e tripe</t>
  </si>
  <si>
    <t>Coisas de papel e o lazer do gato</t>
  </si>
  <si>
    <t>Sanduiche-iche</t>
  </si>
  <si>
    <t>Pizzas n o terrassu´s</t>
  </si>
  <si>
    <t>Ração + Areia + a Pazinha</t>
  </si>
  <si>
    <t>Caixa de viagem</t>
  </si>
  <si>
    <t>Vacina</t>
  </si>
  <si>
    <t>papelaria</t>
  </si>
  <si>
    <t>Balada básica</t>
  </si>
  <si>
    <t>presente do Inimigo-declarado</t>
  </si>
  <si>
    <t xml:space="preserve">Guia GTA e banho </t>
  </si>
  <si>
    <t xml:space="preserve">Passagem aérea do mala </t>
  </si>
  <si>
    <t xml:space="preserve">Travesseiros </t>
  </si>
  <si>
    <t>Mercado da volks</t>
  </si>
  <si>
    <t xml:space="preserve">Parc. Voo V457LP (02/02) </t>
  </si>
  <si>
    <t xml:space="preserve"> janeiro / 2006</t>
  </si>
  <si>
    <t>Pagamento Fatura ItaU Visa</t>
  </si>
  <si>
    <t>Passagem pra Cris</t>
  </si>
  <si>
    <t>TRISTANIA - Submarino Ord.20512681</t>
  </si>
  <si>
    <t>Op. Cavalo Troia - Submarino Ord. 20512681</t>
  </si>
  <si>
    <t>Tintas de Cabelos</t>
  </si>
  <si>
    <t>Caixas plasticas de ferramentas</t>
  </si>
  <si>
    <t>Graminha do Gatto</t>
  </si>
  <si>
    <t>Puxadores do balcão da cozinha</t>
  </si>
  <si>
    <t xml:space="preserve">ANUID INIC PARC 02/06  </t>
  </si>
  <si>
    <t>Sappattos</t>
  </si>
  <si>
    <t>Roupas de KDMIA</t>
  </si>
  <si>
    <t>Tenis de KDMIA</t>
  </si>
  <si>
    <t>BOBs</t>
  </si>
  <si>
    <t>ItaUCard</t>
  </si>
  <si>
    <t>Espetão</t>
  </si>
  <si>
    <t>Jantar no rj</t>
  </si>
  <si>
    <t>Coisas da cris</t>
  </si>
  <si>
    <t xml:space="preserve">Onde, Onde está Wally </t>
  </si>
  <si>
    <t>parclado lançado Maior</t>
  </si>
  <si>
    <t>Hometheater: Parc. Home Theater (01/06)</t>
  </si>
  <si>
    <t>Revistas em geral na Bienal</t>
  </si>
  <si>
    <t>Livros do Benitez na Bienal</t>
  </si>
  <si>
    <t>Livros Ista Uá e Arte Guerra na Beinal</t>
  </si>
  <si>
    <t>Tintas de Cabelo</t>
  </si>
  <si>
    <t>Anuidade (03/06)</t>
  </si>
  <si>
    <t>Anuidade (04/06)</t>
  </si>
  <si>
    <t>Bolsa Nova (01/02)</t>
  </si>
  <si>
    <t>Mais coisas de Iscrapi Bukkin</t>
  </si>
  <si>
    <t>Hometheater: Parc. Home Theater (02/06)</t>
  </si>
  <si>
    <t>Roupas Intimas</t>
  </si>
  <si>
    <t>Jaquetona de Couro (01/04)</t>
  </si>
  <si>
    <t>Passagens de viagem pra pascua</t>
  </si>
  <si>
    <t>Anuidade (05/06)</t>
  </si>
  <si>
    <t>Bolsa Nova (02/02)</t>
  </si>
  <si>
    <t>Hometheater: Parc. Home Theater (03/06)</t>
  </si>
  <si>
    <t>Jaquetona de Couro (02/04)</t>
  </si>
  <si>
    <t>Colar da Cristiane</t>
  </si>
  <si>
    <t>Raçao do gattoo0</t>
  </si>
  <si>
    <t>Anuidade Parc. 06/06</t>
  </si>
  <si>
    <t>Box Istá Uá</t>
  </si>
  <si>
    <t>Hometheater: Parc. Home Theater (04/06)</t>
  </si>
  <si>
    <t>Restautantes</t>
  </si>
  <si>
    <t>No Boobs Agains</t>
  </si>
  <si>
    <t>Despesas de Hotel</t>
  </si>
  <si>
    <t>Jaquetona de Couro (03/04)</t>
  </si>
  <si>
    <t>Médico do Gattoo</t>
  </si>
  <si>
    <t>Mais, Mais mercado</t>
  </si>
  <si>
    <t>Exames médicos</t>
  </si>
  <si>
    <t>Coisas diversas + gardenal do gato</t>
  </si>
  <si>
    <t>Talufone talufixo novo</t>
  </si>
  <si>
    <t>Piercing novo no mamilo</t>
  </si>
  <si>
    <t>Hometheater: Parc. Home Theater (05/06)</t>
  </si>
  <si>
    <t>Remédio de gripe</t>
  </si>
  <si>
    <t>Coisas de cumê</t>
  </si>
  <si>
    <t xml:space="preserve"> Julho / 2006</t>
  </si>
  <si>
    <t>Revisão dos 18K + Antena Motoboy</t>
  </si>
  <si>
    <t>Jaquetona de Couro (04/04)</t>
  </si>
  <si>
    <t>Assninatura mensal do BNE</t>
  </si>
  <si>
    <t>Xaropes de Tpsses e rinossoros</t>
  </si>
  <si>
    <t>Assinatura MENSAL do manager</t>
  </si>
  <si>
    <t>Burgers Kinks</t>
  </si>
  <si>
    <t>Polimento das Alianças</t>
  </si>
  <si>
    <t>Ração do Gatto</t>
  </si>
  <si>
    <t>Fotos, Várias Fotos</t>
  </si>
  <si>
    <t>Mercadi, mais mais Mercadi</t>
  </si>
  <si>
    <t>Hometheater: Parc. Home Theater (06/06)</t>
  </si>
  <si>
    <t>Mercadi</t>
  </si>
  <si>
    <t xml:space="preserve"> Agosto /2006</t>
  </si>
  <si>
    <t>Coisas de iscrapi buquin</t>
  </si>
  <si>
    <t>Lampada dic´roica</t>
  </si>
  <si>
    <t>Barbeador + creme de barbiar</t>
  </si>
  <si>
    <t>Burgers kingis</t>
  </si>
  <si>
    <t>UndertTables do Bobs</t>
  </si>
  <si>
    <t>Carteira nova</t>
  </si>
  <si>
    <t>Sapato</t>
  </si>
  <si>
    <t>Almoço no Carrefour</t>
  </si>
  <si>
    <t>Coisas de IcrapiBuquin</t>
  </si>
  <si>
    <t>Pra dor de ombro e pescossos</t>
  </si>
  <si>
    <t>Almoçus</t>
  </si>
  <si>
    <t>Roupas</t>
  </si>
  <si>
    <t>mais roupas</t>
  </si>
  <si>
    <t>Muito mais roupas</t>
  </si>
  <si>
    <t>Jantar de aniversário de cristiane</t>
  </si>
  <si>
    <t>Almoço de churrascatia</t>
  </si>
  <si>
    <t>Tapete da sala</t>
  </si>
  <si>
    <t>Marcado Mais mercadi</t>
  </si>
  <si>
    <t>Cabos S-Video + Controle remoto</t>
  </si>
  <si>
    <t xml:space="preserve"> setembro / 2006</t>
  </si>
  <si>
    <t>pagamento Fatura</t>
  </si>
  <si>
    <t>Assinatura manager</t>
  </si>
  <si>
    <t>Piercing da Oreia</t>
  </si>
  <si>
    <t>DVD Manowar</t>
  </si>
  <si>
    <t>DVD dos Senhores Dos Aneis</t>
  </si>
  <si>
    <t xml:space="preserve">Monitor cardiacos </t>
  </si>
  <si>
    <t>Pagamento FaturaVisa</t>
  </si>
  <si>
    <t>Passagens pra Viajar</t>
  </si>
  <si>
    <t>Roupas da cristiane</t>
  </si>
  <si>
    <t xml:space="preserve">Bolsa nova </t>
  </si>
  <si>
    <t>Assinatura Manager Online</t>
  </si>
  <si>
    <t>Anuidade (01/06)</t>
  </si>
  <si>
    <t>Anuidade Adicional  (01/06)</t>
  </si>
  <si>
    <t>Tinturas de cabelo</t>
  </si>
  <si>
    <t>Comida do GATO</t>
  </si>
  <si>
    <t>Estante de Sudê e mesa de tálufoni</t>
  </si>
  <si>
    <t>Ropas Novas</t>
  </si>
  <si>
    <t>Bluisa couro</t>
  </si>
  <si>
    <t>Blisa de motoquero</t>
  </si>
  <si>
    <t>Óculos |Raney Deidison</t>
  </si>
  <si>
    <t>Elastico Moto + correias de veucro</t>
  </si>
  <si>
    <t>Kits de Limpeza de Notebook</t>
  </si>
  <si>
    <t>Mc Flurry´s</t>
  </si>
  <si>
    <t xml:space="preserve"> Novembro / 2006</t>
  </si>
  <si>
    <t>PagamentoFatura</t>
  </si>
  <si>
    <t>Anuidade 02/06</t>
  </si>
  <si>
    <t>Assinatura Adicional (02/06)</t>
  </si>
  <si>
    <t>Almoço no sópping</t>
  </si>
  <si>
    <t>Remédios pra evitar dor de cabeça</t>
  </si>
  <si>
    <t>Burgers Kings</t>
  </si>
  <si>
    <t>milk shale do bobos</t>
  </si>
  <si>
    <t>COIsas de comer diversas</t>
  </si>
  <si>
    <t>CREDITO/ANUIDADE TITUL</t>
  </si>
  <si>
    <t xml:space="preserve">CREDITO/ANUIDADE ADIC.  </t>
  </si>
  <si>
    <t>Pagamento da Fatura</t>
  </si>
  <si>
    <t>No bairro dos japa</t>
  </si>
  <si>
    <t>Assinatura Manager</t>
  </si>
  <si>
    <t>Coisas de diversidades</t>
  </si>
  <si>
    <t>remédio pra evitar dor de cabeça</t>
  </si>
  <si>
    <t>Mapas rodoviarios</t>
  </si>
  <si>
    <t>Instalação do Som + AlarMe (01/02)</t>
  </si>
  <si>
    <t>Coisas pra gravarse sudê</t>
  </si>
  <si>
    <t>Pizzaria no xópin</t>
  </si>
  <si>
    <t>Carrefour corrigir</t>
  </si>
  <si>
    <t>Ração + remédio de pulgas</t>
  </si>
  <si>
    <t>Passagens pra Viajar pra manué facão</t>
  </si>
  <si>
    <t>O Que será ???</t>
  </si>
  <si>
    <t>Remedio pra evirar dor de cabeça</t>
  </si>
  <si>
    <t>Al Parmegiana</t>
  </si>
  <si>
    <t>MC Flurry</t>
  </si>
  <si>
    <t>Jin-Jin do Xópin</t>
  </si>
  <si>
    <t>Pizzaria gostosa</t>
  </si>
  <si>
    <t>Coisas de docê de comer</t>
  </si>
  <si>
    <t>Fotos de Viagem</t>
  </si>
  <si>
    <t>Instalação do Som + AlarMe (02/02)</t>
  </si>
  <si>
    <t>Mercado -coisas pra semana intera</t>
  </si>
  <si>
    <t>Pagamento fatura Visa</t>
  </si>
  <si>
    <t xml:space="preserve">COIsas de comer diversas </t>
  </si>
  <si>
    <t>Almoços xópin</t>
  </si>
  <si>
    <t>Mc sorvetes</t>
  </si>
  <si>
    <t>Roupas de vestir</t>
  </si>
  <si>
    <t>Coisas de bronquitte</t>
  </si>
  <si>
    <t>revistas de fotoxópi e Iscrapi Buquin</t>
  </si>
  <si>
    <t>Mais mais mercardi</t>
  </si>
  <si>
    <t>Hotel da praia</t>
  </si>
  <si>
    <t>cabelo</t>
  </si>
  <si>
    <t>Calças e cintos</t>
  </si>
  <si>
    <t xml:space="preserve"> Maio / 2007</t>
  </si>
  <si>
    <t>Hometheater: Parc. TV LCD (01/10)</t>
  </si>
  <si>
    <t>Sapatos novos</t>
  </si>
  <si>
    <t>Cursso de Iscrapi Bukin</t>
  </si>
  <si>
    <t>Mc PATOS DONALDS</t>
  </si>
  <si>
    <t>Mais coisas de Iscrapi Bukin</t>
  </si>
  <si>
    <t>Hometheater: Parc. TV LCD (02/10)</t>
  </si>
  <si>
    <t>Coisas de maquiagia</t>
  </si>
  <si>
    <t xml:space="preserve"> Julho /2007</t>
  </si>
  <si>
    <t>Hometheater: Parc. TV LCD (03/10)</t>
  </si>
  <si>
    <t xml:space="preserve"> Agosto / 2007</t>
  </si>
  <si>
    <t>Hometheater: Parc. TV LCD (04/10)</t>
  </si>
  <si>
    <t>tintas de cabelo</t>
  </si>
  <si>
    <t xml:space="preserve">Minhas Camisetas </t>
  </si>
  <si>
    <t>Coisas diversas da cristiane</t>
  </si>
  <si>
    <t xml:space="preserve"> Setembro / 2007</t>
  </si>
  <si>
    <t>Acouque</t>
  </si>
  <si>
    <t>Hometheater: Parc. TV LCD (05/10)</t>
  </si>
  <si>
    <t>Loja do Papel</t>
  </si>
  <si>
    <t>Scrap Diary</t>
  </si>
  <si>
    <t xml:space="preserve"> Outubro / 2007</t>
  </si>
  <si>
    <t>Hometheater: Parc. TV LCD (06/10)</t>
  </si>
  <si>
    <t>Tenis mas meias</t>
  </si>
  <si>
    <t xml:space="preserve"> Novembro / 2007</t>
  </si>
  <si>
    <t>Nivaldir - coisas de escritório</t>
  </si>
  <si>
    <t xml:space="preserve">Correios - internacional </t>
  </si>
  <si>
    <t>Farmácias - gardenal e antibioticos</t>
  </si>
  <si>
    <t>Sapato novo</t>
  </si>
  <si>
    <t>Hometheater: Parc. TV LCD (07/10)</t>
  </si>
  <si>
    <t xml:space="preserve">Coisas de pintura dwe cabelos </t>
  </si>
  <si>
    <t>Pagamento fatura ITAU  Visa</t>
  </si>
  <si>
    <t>Hometheater: Parc. TV LCD (08/10)</t>
  </si>
  <si>
    <t>Assinatura de Revistas KeepSake</t>
  </si>
  <si>
    <t>Prefixo - roupas</t>
  </si>
  <si>
    <t>Afinador de guitarras</t>
  </si>
  <si>
    <t xml:space="preserve"> Janeiro / 2009</t>
  </si>
  <si>
    <t>Pagamento Fatura Real Visa</t>
  </si>
  <si>
    <t>Hometheater: Parc. TV LCD (09/10)</t>
  </si>
  <si>
    <t>Remédio potente de alergias</t>
  </si>
  <si>
    <t>material de curativos</t>
  </si>
  <si>
    <t>Coisas da cristiane</t>
  </si>
  <si>
    <t>Estono Dif. Dolar</t>
  </si>
  <si>
    <t xml:space="preserve">Passagens de viagem </t>
  </si>
  <si>
    <t>Hometheater: Parc. TV LCD (10/10)</t>
  </si>
  <si>
    <t>sapatos novos</t>
  </si>
  <si>
    <t>Cabelos e mais cabelos</t>
  </si>
  <si>
    <t>ó culos de sóis nóvos</t>
  </si>
  <si>
    <t>Mais roupas novas</t>
  </si>
  <si>
    <t>paNELAS DE fundoe</t>
  </si>
  <si>
    <t>O que será , meu deus</t>
  </si>
  <si>
    <t>Cabeleireiros</t>
  </si>
  <si>
    <t>Mais e mais barras de sereau</t>
  </si>
  <si>
    <t>pagamento fatura Itau Visa</t>
  </si>
  <si>
    <t>delujo ??</t>
  </si>
  <si>
    <t>Anel de prata</t>
  </si>
  <si>
    <t>Jack Jeanini (01/02)</t>
  </si>
  <si>
    <t>Delujo ????</t>
  </si>
  <si>
    <t>Botas e mais Botas</t>
  </si>
  <si>
    <t>Pagamento Fatura ItauVisa</t>
  </si>
  <si>
    <t>Jack Jeanini (02/02)</t>
  </si>
  <si>
    <t>Almoço com a Patricia</t>
  </si>
  <si>
    <t>No Carry4</t>
  </si>
  <si>
    <t>Camisoleta de dormir</t>
  </si>
  <si>
    <t>Biquini de nadar</t>
  </si>
  <si>
    <t>Coisas e mais coisas de Iscrap</t>
  </si>
  <si>
    <t>Mais um Sapato Novo</t>
  </si>
  <si>
    <t>Mais e Mais O Que ???</t>
  </si>
  <si>
    <t xml:space="preserve"> Setembro / 2008</t>
  </si>
  <si>
    <t>Abx Radio Tax</t>
  </si>
  <si>
    <t>Telefones sem fios e radios pro trabalhos</t>
  </si>
  <si>
    <t>Bejuterias</t>
  </si>
  <si>
    <t>Despezas de hospital</t>
  </si>
  <si>
    <t>Materiais de pintura de cabelo</t>
  </si>
  <si>
    <t>Pagamento Faturas</t>
  </si>
  <si>
    <t>Giro Confecções</t>
  </si>
  <si>
    <t>Extra Superdumercado</t>
  </si>
  <si>
    <t>BON RESTO E CAFÉ</t>
  </si>
  <si>
    <t>mais e mais Mercadis</t>
  </si>
  <si>
    <t>emissão segunda via cartão adicional</t>
  </si>
  <si>
    <t>O que será</t>
  </si>
  <si>
    <t>Pagamento Itau Vusa</t>
  </si>
  <si>
    <t>malas de Viagem</t>
  </si>
  <si>
    <t>Notebook da Cristiane (01/04)</t>
  </si>
  <si>
    <t>Novos Tenis da cristiane</t>
  </si>
  <si>
    <t>Cooperativa da vouquis</t>
  </si>
  <si>
    <t>materiais de iscrapi</t>
  </si>
  <si>
    <t>Roupas intimas em geral</t>
  </si>
  <si>
    <t>Passagens pro para-ná</t>
  </si>
  <si>
    <t>Clinica da mulher</t>
  </si>
  <si>
    <t>Farmacia de coisas diversas ???</t>
  </si>
  <si>
    <t>Sebo capricho em LDB</t>
  </si>
  <si>
    <t>Roupas da Bonny de LDB</t>
  </si>
  <si>
    <t>Coisas no Boticário (01/02)</t>
  </si>
  <si>
    <t>Coisas para casa (02/02)</t>
  </si>
  <si>
    <t>Notebook da Cristiane (02/04)</t>
  </si>
  <si>
    <t xml:space="preserve"> Fevereiro / 2009</t>
  </si>
  <si>
    <t>Livraria sara-iva - istarduste</t>
  </si>
  <si>
    <t>Mais tinturas de cabelos</t>
  </si>
  <si>
    <t>Mais e mais roupas novas</t>
  </si>
  <si>
    <t>beijuix</t>
  </si>
  <si>
    <t>Coisas no Boticário (02/02)</t>
  </si>
  <si>
    <t>Notebook da Cristiane (03/04)</t>
  </si>
  <si>
    <t>ingressos pro IRON MAIDEN</t>
  </si>
  <si>
    <t>Artigos de Praia</t>
  </si>
  <si>
    <t>Mais coisas de praia</t>
  </si>
  <si>
    <t>Mais coisas de scrapi buquin</t>
  </si>
  <si>
    <t>Correios pro Para-ná</t>
  </si>
  <si>
    <t xml:space="preserve">Delujo (01/02) </t>
  </si>
  <si>
    <t>NIDonto</t>
  </si>
  <si>
    <t>Lider Artes</t>
  </si>
  <si>
    <t>Droga Lider</t>
  </si>
  <si>
    <t>Bolsa do PS2 pro JonaThan Brothers</t>
  </si>
  <si>
    <t>Passsagens pra o Parana</t>
  </si>
  <si>
    <t>Jolly ???</t>
  </si>
  <si>
    <t>Notebook da Cristiane (04/04)</t>
  </si>
  <si>
    <t xml:space="preserve"> Abril / 2009</t>
  </si>
  <si>
    <t xml:space="preserve">Delujo (02/02) </t>
  </si>
  <si>
    <t>Farmacia pague menos (????)</t>
  </si>
  <si>
    <t>Delujo</t>
  </si>
  <si>
    <t xml:space="preserve">PERFUMARIA KOBAYASHI </t>
  </si>
  <si>
    <t>Tock Stok</t>
  </si>
  <si>
    <t xml:space="preserve"> Junho / 2009</t>
  </si>
  <si>
    <t xml:space="preserve">farmacias </t>
  </si>
  <si>
    <t>Scrap Memory</t>
  </si>
  <si>
    <t xml:space="preserve">Viv L Eroa (01/02) </t>
  </si>
  <si>
    <t>Lori (02/02)</t>
  </si>
  <si>
    <t xml:space="preserve">Viv L Eroa (02/02) </t>
  </si>
  <si>
    <t>Mochila de Notebuque</t>
  </si>
  <si>
    <t xml:space="preserve">FCIA PAGUE MENOS 250 (????) </t>
  </si>
  <si>
    <t>Scrap Co</t>
  </si>
  <si>
    <t>Cloro-Fila</t>
  </si>
  <si>
    <t>HOTEL PLAZA CAMBORIU</t>
  </si>
  <si>
    <t>VIACAO GARCIA 10</t>
  </si>
  <si>
    <t>ABC Radio Tax</t>
  </si>
  <si>
    <t xml:space="preserve"> Agosto /2009</t>
  </si>
  <si>
    <t>Sexy Brazil Lingerie</t>
  </si>
  <si>
    <t>Assinatura Catho Online</t>
  </si>
  <si>
    <t>RENOVAÇÃO REVISTA SCRAP INTER.</t>
  </si>
  <si>
    <t>IOF COMPRA INTERNACIONAL</t>
  </si>
  <si>
    <t>O Boticario rodoviaria</t>
  </si>
  <si>
    <t>Casa das calcinhas</t>
  </si>
  <si>
    <t>Viação Garcia IvaiPora</t>
  </si>
  <si>
    <t>DB Dif Cotação U$</t>
  </si>
  <si>
    <t>Coisas de iscrapi buquin I</t>
  </si>
  <si>
    <t>Coisas de iscrapi buquin II</t>
  </si>
  <si>
    <t>Sapatos e mais sapatos</t>
  </si>
  <si>
    <t>Pomadas diversas etc ...</t>
  </si>
  <si>
    <t>Produtos de belezas</t>
  </si>
  <si>
    <t>pink</t>
  </si>
  <si>
    <t>Jacques Janine Shoppin</t>
  </si>
  <si>
    <t>Lojas Americanas Shoppon</t>
  </si>
  <si>
    <t>Scrap &amp; CO</t>
  </si>
  <si>
    <t>eliana Maza ???</t>
  </si>
  <si>
    <t>Doural ???</t>
  </si>
  <si>
    <t>nagumo Sto André0</t>
  </si>
  <si>
    <t xml:space="preserve">B1 ??? </t>
  </si>
  <si>
    <t>A Esportiva</t>
  </si>
  <si>
    <t>Reebok Sto Andre</t>
  </si>
  <si>
    <t>Mercado e mais mercado</t>
  </si>
  <si>
    <t xml:space="preserve"> fevereiro / 2010</t>
  </si>
  <si>
    <t>Farmácia Pague menos</t>
  </si>
  <si>
    <t>Roupas Novas (1)</t>
  </si>
  <si>
    <t>Bolsas Novas (2)</t>
  </si>
  <si>
    <t>Scrapy Memory</t>
  </si>
  <si>
    <t>Agencia Correios Sto André0</t>
  </si>
  <si>
    <t>O Boticários</t>
  </si>
  <si>
    <t>Viação Garcia stao André</t>
  </si>
  <si>
    <t>tricolandia</t>
  </si>
  <si>
    <t>PixoLÉ (01/02)</t>
  </si>
  <si>
    <t>Loja Val Lar</t>
  </si>
  <si>
    <t>Yumi cosmétics</t>
  </si>
  <si>
    <t xml:space="preserve"> Junho / 2010 </t>
  </si>
  <si>
    <t>PixoLÉ (02/02)</t>
  </si>
  <si>
    <t>Saldo Restante</t>
  </si>
  <si>
    <t>Saldos de Ajustes</t>
  </si>
  <si>
    <t>Troca de Oleo na EchoSport</t>
  </si>
  <si>
    <t>Tx de Validação do PayPal</t>
  </si>
  <si>
    <t>Anuidade Diferenciada (01/08)</t>
  </si>
  <si>
    <t>Lampadas diversas para casa</t>
  </si>
  <si>
    <t>Coisas de lanche de Terde</t>
  </si>
  <si>
    <t>Tarot: Tecido NEGRO</t>
  </si>
  <si>
    <t>CDs e papeis diversos</t>
  </si>
  <si>
    <t>EUDORA Sei-la-o-que</t>
  </si>
  <si>
    <t>Ikesaki</t>
  </si>
  <si>
    <t>The Spoletto´s</t>
  </si>
  <si>
    <t>For Boys/Girls</t>
  </si>
  <si>
    <t>Lider Star Cabeieileiros</t>
  </si>
  <si>
    <t>Tarot: Isis Osiris Kabbalah Deck</t>
  </si>
  <si>
    <t>$ 40,00 USD</t>
  </si>
  <si>
    <t>Anuidade Diferenciada (02/08)</t>
  </si>
  <si>
    <t>$ 2,55 USD</t>
  </si>
  <si>
    <t>TARIFA 2A VIA CARTAO</t>
  </si>
  <si>
    <t>Tarot: Livro de Colorir + Pettit Lenormand</t>
  </si>
  <si>
    <t>Tarot: Meditações Sobre os 22 Arcanos Maiores do Tarô</t>
  </si>
  <si>
    <t>Tarot: Tarô Dicionário &amp; Conpêndio</t>
  </si>
  <si>
    <t>Essencias diversas</t>
  </si>
  <si>
    <t>KickAss 3 - A Bicuda no Cu definitiva</t>
  </si>
  <si>
    <t>IkeSakis</t>
  </si>
  <si>
    <t>Coxinha d'O Chefe</t>
  </si>
  <si>
    <t>Amendoins descascados</t>
  </si>
  <si>
    <t>Coxinha do Edson e da Emilia</t>
  </si>
  <si>
    <t>Supermercado O Dias</t>
  </si>
  <si>
    <t>O Cruzeiro BAR</t>
  </si>
  <si>
    <t>Panelas de cozinhas novas</t>
  </si>
  <si>
    <t>The Burguer Kinguios</t>
  </si>
  <si>
    <t>Apetrechos de cozinhas</t>
  </si>
  <si>
    <t>Pratos Novos</t>
  </si>
  <si>
    <t>Zello</t>
  </si>
  <si>
    <t>El Bitin</t>
  </si>
  <si>
    <t>Rouse Bijouterias</t>
  </si>
  <si>
    <t>Drinna</t>
  </si>
  <si>
    <t>Casa De Frutas</t>
  </si>
  <si>
    <t>Manicure e pé di cure</t>
  </si>
  <si>
    <t>Hortifriti</t>
  </si>
  <si>
    <t>Pagamento De Fatura</t>
  </si>
  <si>
    <t>o Dia %</t>
  </si>
  <si>
    <t>Camiseta Colorida do Baphomet</t>
  </si>
  <si>
    <t>Revisão 43k Pejo GGM3 (01/03)</t>
  </si>
  <si>
    <t>Suspensão Trazeira EchoSport GGM4 (01/03)</t>
  </si>
  <si>
    <t>Filtro de Ar e espelho retroviso EchoSport GGM4</t>
  </si>
  <si>
    <t xml:space="preserve">Farmácia Pague menos </t>
  </si>
  <si>
    <t>Supermercado O Dia%</t>
  </si>
  <si>
    <t>SanSei Cosméticos</t>
  </si>
  <si>
    <t>Tarot: Taro de Crowley Palavras-chave</t>
  </si>
  <si>
    <t>Roupas da renner</t>
  </si>
  <si>
    <t xml:space="preserve">Tarot: O Simbolismo Astrológico e O Tarô de Thoth - um Guia para Consultar o Oráculo de Aleister Crowley </t>
  </si>
  <si>
    <t xml:space="preserve">Anuidade Diferenciada (03/08) </t>
  </si>
  <si>
    <t>Casa Das Meninas Scrapbuquin</t>
  </si>
  <si>
    <t>IKESAQUIS</t>
  </si>
  <si>
    <t>Menina Moça Bijus</t>
  </si>
  <si>
    <t>Tarot: Golden dawn e New Visions Rider Waite</t>
  </si>
  <si>
    <t>O Dia + %</t>
  </si>
  <si>
    <t>Trabalho: Raggazzo´s</t>
  </si>
  <si>
    <t>Almoço em O Shopping</t>
  </si>
  <si>
    <t>Café de O Shopping</t>
  </si>
  <si>
    <t>Trabalho: Griletto Express</t>
  </si>
  <si>
    <t>Cariocas BAR</t>
  </si>
  <si>
    <t>GOL PASSAGENS aereas</t>
  </si>
  <si>
    <t>McDOnalds</t>
  </si>
  <si>
    <t>Tarot: Crowley Grande + St Pestesburgo</t>
  </si>
  <si>
    <t>Pedras Misticas Diversas</t>
  </si>
  <si>
    <t>Amazon: Dogma e Ritual de Alta Magia + A Golden Dawn</t>
  </si>
  <si>
    <t>O Dia +</t>
  </si>
  <si>
    <t>Panela automática de ArroZ</t>
  </si>
  <si>
    <t>Consulta medica + Raio X do Sebastiman</t>
  </si>
  <si>
    <t xml:space="preserve">Ração, Pasta Anti-Bolas de Pelo + Arranhador </t>
  </si>
  <si>
    <t>Seringas, gardenais e diversos</t>
  </si>
  <si>
    <t>Entredon de visitas</t>
  </si>
  <si>
    <t>Auto Posto GuiGui</t>
  </si>
  <si>
    <t>MegaArteganal</t>
  </si>
  <si>
    <t>Casa das Madeiras</t>
  </si>
  <si>
    <t>Bibrlot Boutiques</t>
  </si>
  <si>
    <t>Spoecaccione´s em casa</t>
  </si>
  <si>
    <t>Lojas renner</t>
  </si>
  <si>
    <t>DeMaquilantes e Vanair</t>
  </si>
  <si>
    <t>Estacionamento no Terminal Teite</t>
  </si>
  <si>
    <t>Revisão 43k Pejo GGM3 (02/03)</t>
  </si>
  <si>
    <t>Suspensão Trazeira EchoSport GGM4 (02/03)</t>
  </si>
  <si>
    <t>Creme d'O Boticário!</t>
  </si>
  <si>
    <t>America São caetano</t>
  </si>
  <si>
    <t>Antialergico e diversos</t>
  </si>
  <si>
    <t>Mais 1 Caderno e Almo-fadas de Car-imbos</t>
  </si>
  <si>
    <t>Almoço no shoppings - TEMAKERIA E CIA</t>
  </si>
  <si>
    <t>Sansei cosméticos</t>
  </si>
  <si>
    <t xml:space="preserve">Pccocca´s </t>
  </si>
  <si>
    <t>Roupas Novs</t>
  </si>
  <si>
    <t>Remedios de Gatos para gastrites</t>
  </si>
  <si>
    <t>Mochilas de notebuques</t>
  </si>
  <si>
    <t>Papel Cartão, transferidor e canetas</t>
  </si>
  <si>
    <t>Hervas Pharmacia´s</t>
  </si>
  <si>
    <t>Meias diversas</t>
  </si>
  <si>
    <t>Almoço no Mapping</t>
  </si>
  <si>
    <t>Passagens de Oninus (01/02)</t>
  </si>
  <si>
    <t>Habibes para comer em casa</t>
  </si>
  <si>
    <t>Restaurante Sukyia</t>
  </si>
  <si>
    <t>Valetão Pneus</t>
  </si>
  <si>
    <t>nagumo´s</t>
  </si>
  <si>
    <t>Diff Cotação Dollar</t>
  </si>
  <si>
    <t>Habibes diversos</t>
  </si>
  <si>
    <t>Anuidade Diferenciada (04/08)</t>
  </si>
  <si>
    <t>Super Grill do cocô</t>
  </si>
  <si>
    <t xml:space="preserve">Anuidade Diferenciada (04/08) </t>
  </si>
  <si>
    <t>Tarot: Camisetas, XIII e XV, VitrinePix</t>
  </si>
  <si>
    <t>memina Moça Bijus</t>
  </si>
  <si>
    <t xml:space="preserve">Tarot: Tarô Espelho da Alma Manual </t>
  </si>
  <si>
    <t>Presentes para o Silveira</t>
  </si>
  <si>
    <t>Presentes para a Gabriella</t>
  </si>
  <si>
    <t>Materiais de Scrap pra Kéren</t>
  </si>
  <si>
    <t>BatWoman Bishoujo</t>
  </si>
  <si>
    <t>Tarot: Manual do Tarot - Americanas</t>
  </si>
  <si>
    <t xml:space="preserve">Remedios de Azias </t>
  </si>
  <si>
    <t>Nahiumo´s</t>
  </si>
  <si>
    <t>Areia de Cocô de Gatos</t>
  </si>
  <si>
    <t>Presente de alguma coisa</t>
  </si>
  <si>
    <t>PINK sapatos</t>
  </si>
  <si>
    <t>Revisão 43k Pejo GGM3 (03/03)</t>
  </si>
  <si>
    <t>Suspensão Trazeira EchoSport GGM4 (03/03)</t>
  </si>
  <si>
    <t>Tarot e a Viagem do Heroi do Hajo Banzahf</t>
  </si>
  <si>
    <t>Chaplin restaurant</t>
  </si>
  <si>
    <t>Restaurante Camon</t>
  </si>
  <si>
    <t>Espaçõ Coro e Menter</t>
  </si>
  <si>
    <t>Antialergicos</t>
  </si>
  <si>
    <t>Passagens de Oninus (02/02)</t>
  </si>
  <si>
    <t>Viação Aguia branca</t>
  </si>
  <si>
    <t>Anuidade Diferenciada (05/08)</t>
  </si>
  <si>
    <t xml:space="preserve">Anuidade Diferenciada (05/08) </t>
  </si>
  <si>
    <t>Lojas Renner</t>
  </si>
  <si>
    <t>Remedios de Asmas</t>
  </si>
  <si>
    <t>O Pão De Açucar</t>
  </si>
  <si>
    <t>Vestidos para o Casamento da Ana célia´s</t>
  </si>
  <si>
    <t xml:space="preserve">o Dia % </t>
  </si>
  <si>
    <t>iCase presentes AnaCélia</t>
  </si>
  <si>
    <t>Tarô Espelho da Alma: Manual para o Tarô de Aleister Crowley</t>
  </si>
  <si>
    <t>The America´s</t>
  </si>
  <si>
    <t>Artigos de Vinhos</t>
  </si>
  <si>
    <t>Setembro / 2015</t>
  </si>
  <si>
    <t>Refi da Terde</t>
  </si>
  <si>
    <t>Tinta Cartucho de impressora C4280</t>
  </si>
  <si>
    <t>Ikesaqui</t>
  </si>
  <si>
    <t>Bijoux diversas</t>
  </si>
  <si>
    <t>Casa das Essencias</t>
  </si>
  <si>
    <t>Lentes de celular da cristiane</t>
  </si>
  <si>
    <t>La Cantina</t>
  </si>
  <si>
    <t>Tarot: Curso Proibido Tarot de Crowley - Mod V / Fr. Goya / Merkabah</t>
  </si>
  <si>
    <t>O Cruzeiros BAR</t>
  </si>
  <si>
    <t>Kalunga</t>
  </si>
  <si>
    <t>Escova e brinquedos</t>
  </si>
  <si>
    <t>Vinhos diversos</t>
  </si>
  <si>
    <t>Antialergicos e diversos</t>
  </si>
  <si>
    <t>Pantogar</t>
  </si>
  <si>
    <t>Roupas Novas (01/03)</t>
  </si>
  <si>
    <t xml:space="preserve">Sukiya centro </t>
  </si>
  <si>
    <t xml:space="preserve">Perfume Mark Jacob : Bang </t>
  </si>
  <si>
    <t>Tarot: Tarot de Marselha Camoin-Jodorowsky</t>
  </si>
  <si>
    <t>Restaurante Rancho 53</t>
  </si>
  <si>
    <t>Posto RodoServ: Gazzozza na EchoSport GGM4</t>
  </si>
  <si>
    <t>Lanches rodoServe</t>
  </si>
  <si>
    <t>Hotel JR Park Presidente Prudente</t>
  </si>
  <si>
    <t>Posto Mont Carlo: Gazzozza na EchoSport GGM4</t>
  </si>
  <si>
    <t>Posto PalomaGraal: Gazzozza na EchoSport GGM4</t>
  </si>
  <si>
    <t>Paloma Rest Lanches</t>
  </si>
  <si>
    <t>RodoServStar</t>
  </si>
  <si>
    <t>Quinta do Marques</t>
  </si>
  <si>
    <t>Itunues</t>
  </si>
  <si>
    <t>$ 1,0 USD</t>
  </si>
  <si>
    <t>Symbicort 12/400, Zetia, Eno eAlgo Mais</t>
  </si>
  <si>
    <t>Supermercado O Dia %</t>
  </si>
  <si>
    <t>Roller In Rio</t>
  </si>
  <si>
    <t>Gazzozzan na Echosport GGM4</t>
  </si>
  <si>
    <t>Tarot: dois lencos de leitura</t>
  </si>
  <si>
    <t xml:space="preserve">Pedras, incensos e oleos </t>
  </si>
  <si>
    <t>Dia Franquia</t>
  </si>
  <si>
    <t>HortFruti da Vila</t>
  </si>
  <si>
    <t>ANUIDADE DIFERENCI06/08</t>
  </si>
  <si>
    <t>IkeSaQui</t>
  </si>
  <si>
    <t>Franquia Dia %</t>
  </si>
  <si>
    <t>Passagens de LDA</t>
  </si>
  <si>
    <t>MOIP Ilha da Belle</t>
  </si>
  <si>
    <t>Roupas Novas (02/03)</t>
  </si>
  <si>
    <t>Fatto a Manno</t>
  </si>
  <si>
    <t>Heringue</t>
  </si>
  <si>
    <t>PR Londrina WTF</t>
  </si>
  <si>
    <t>Sandálias Novas</t>
  </si>
  <si>
    <t>ANUIDADE DIFERENCI 07/08</t>
  </si>
  <si>
    <t>DIA Franquia</t>
  </si>
  <si>
    <t>Perfumaria YULE</t>
  </si>
  <si>
    <t>Menina Moca Bijux</t>
  </si>
  <si>
    <t>MEILI YU ME</t>
  </si>
  <si>
    <t>fluido de Raidador</t>
  </si>
  <si>
    <t>Turquesa Esmaltaria</t>
  </si>
  <si>
    <t>Restaurante Mundo verde</t>
  </si>
  <si>
    <t>Confeitaria colombo</t>
  </si>
  <si>
    <t>SuperMercado ZonA Sull</t>
  </si>
  <si>
    <t>Naguno´s</t>
  </si>
  <si>
    <t>Roupas Novas (03/03)</t>
  </si>
  <si>
    <t>Nagunmo´s</t>
  </si>
  <si>
    <t>Gazzozza na EchoSport GGm4</t>
  </si>
  <si>
    <t xml:space="preserve">Conserto do Aspirador (01/03) </t>
  </si>
  <si>
    <t>ANUIDADE DIFERENCI08/08</t>
  </si>
  <si>
    <t>Farmácia de manipulação</t>
  </si>
  <si>
    <t>paccocca´s VR´s</t>
  </si>
  <si>
    <t>Quem Disse, berenice</t>
  </si>
  <si>
    <t xml:space="preserve">Creme Boticário Nano Serum </t>
  </si>
  <si>
    <t>Mohagany Sabonetes para Casa</t>
  </si>
  <si>
    <t xml:space="preserve">Lanche de tarde </t>
  </si>
  <si>
    <t>Coisas no mercado livre</t>
  </si>
  <si>
    <t>Materiais diversos na Daiso</t>
  </si>
  <si>
    <t>IkeSaquei</t>
  </si>
  <si>
    <t>Óleos Aromáticos Diversos</t>
  </si>
  <si>
    <t xml:space="preserve">Conserto do Aspirador (02/03) </t>
  </si>
  <si>
    <t>RAINBOW WINX</t>
  </si>
  <si>
    <t>Fazer as unhas das mãos e Pés</t>
  </si>
  <si>
    <t>Tarot: Magia com os Arcanos / Nivia / Merkabah</t>
  </si>
  <si>
    <t>Tarot: Crowley &amp; Waite</t>
  </si>
  <si>
    <t>Produtos diversos no Merkaba</t>
  </si>
  <si>
    <t>Pizza do Don Capponne</t>
  </si>
  <si>
    <t>MERCADOPAGO -&gt; Docepelicula.com.br</t>
  </si>
  <si>
    <t xml:space="preserve">Valverdes </t>
  </si>
  <si>
    <t>Scala Sem Costura</t>
  </si>
  <si>
    <t>Novas Taças do CamiCaDo</t>
  </si>
  <si>
    <t>Livro O Mágico - W. Somerset Maugham</t>
  </si>
  <si>
    <t>Camiseta do StarWar pra Cristiane</t>
  </si>
  <si>
    <t>The fifties</t>
  </si>
  <si>
    <t>Indiana Jones the complete BD colection</t>
  </si>
  <si>
    <t xml:space="preserve">Drogaria SP </t>
  </si>
  <si>
    <t>O Cruzeiro´s BAS</t>
  </si>
  <si>
    <t>Farmácia diversasas</t>
  </si>
  <si>
    <t>Pizza don Capone</t>
  </si>
  <si>
    <t>Relógio Timex Masculino Ironman Shock 30-Lap T5K195WKL/8N Preto</t>
  </si>
  <si>
    <t>Polar FT7 Masculino  (01/06)</t>
  </si>
  <si>
    <t>Yasmin + Neosalsinas</t>
  </si>
  <si>
    <t>Nahumpo´s</t>
  </si>
  <si>
    <t>Perfumes do Bosticário</t>
  </si>
  <si>
    <t>Loojas Renner</t>
  </si>
  <si>
    <t>A Varandas</t>
  </si>
  <si>
    <t>Ração especial e areia de coco</t>
  </si>
  <si>
    <t>Tenis novos</t>
  </si>
  <si>
    <t>Vanair</t>
  </si>
  <si>
    <t xml:space="preserve">Tarô Iniciático Da Golden Dawn </t>
  </si>
  <si>
    <t>Vestidos novos</t>
  </si>
  <si>
    <t xml:space="preserve">Conserto do Aspirador (03/03) </t>
  </si>
  <si>
    <t xml:space="preserve">Amazon: Aleister Crowley. E a Prática do Diário Mágico </t>
  </si>
  <si>
    <t>Estantes de Livros (01/03)</t>
  </si>
  <si>
    <t>produtos de Unhas</t>
  </si>
  <si>
    <t>Chababas</t>
  </si>
  <si>
    <t>Tarot: Universal Oswald Wirth</t>
  </si>
  <si>
    <t>Tarot: Initiatory Golden Dawn</t>
  </si>
  <si>
    <t>Injustiça: Deuses Entre Nós nº 04 / Esquadrão Suicida (Novos 52) nº 002 / Esquadrão Suicida (Novos 52) nº 003</t>
  </si>
  <si>
    <t>Tarot: Martins, Vera Tarô de Marselha - Volume 1</t>
  </si>
  <si>
    <t>Pizza em casa pelo iFood</t>
  </si>
  <si>
    <t>A Arte das Meninas</t>
  </si>
  <si>
    <t>Via Sex</t>
  </si>
  <si>
    <t>Tarot: Curso Nucleo 137</t>
  </si>
  <si>
    <t>Farmácia diversá</t>
  </si>
  <si>
    <t>Farmácia diversa</t>
  </si>
  <si>
    <t>Farmácia da Praya</t>
  </si>
  <si>
    <t xml:space="preserve"> Fevereireo / 2016</t>
  </si>
  <si>
    <t>Biquinis Novos</t>
  </si>
  <si>
    <t>Lingeries Novas</t>
  </si>
  <si>
    <t>Eficácia Farmácia</t>
  </si>
  <si>
    <t>restaurante mader</t>
  </si>
  <si>
    <t xml:space="preserve">Revisão Pejô GGM3 (01/04) </t>
  </si>
  <si>
    <t>Diferença de cartão</t>
  </si>
  <si>
    <t>Relógio Timex Masculino Ironman Shock 30-Lap T5K195WKL/8N Preto (02/03)</t>
  </si>
  <si>
    <t>Polar FT7 Masculino  (02/06)</t>
  </si>
  <si>
    <t>iFood V2</t>
  </si>
  <si>
    <t>descascador de batatas</t>
  </si>
  <si>
    <t xml:space="preserve">Holy Burgues SP </t>
  </si>
  <si>
    <t>BALLMANN</t>
  </si>
  <si>
    <t>Hortifruti da vila abc</t>
  </si>
  <si>
    <t>Aeno e lisa-dores</t>
  </si>
  <si>
    <t>M&amp;M na Americanas</t>
  </si>
  <si>
    <t>Budecorte Acqua 64 + Tylenol Sinus</t>
  </si>
  <si>
    <t>Vanayr</t>
  </si>
  <si>
    <t>Roupas na Maris</t>
  </si>
  <si>
    <t>Trabalho: Habibes</t>
  </si>
  <si>
    <t>Reserva em hotel no RJ</t>
  </si>
  <si>
    <t>Arte das Meninas</t>
  </si>
  <si>
    <t>Trabalho: The SubWay´s</t>
  </si>
  <si>
    <t>Coisas na Nivaldir NivalMix</t>
  </si>
  <si>
    <t>Passagem para ida par ao rio</t>
  </si>
  <si>
    <t xml:space="preserve">passagem de VOLTA para o Rio </t>
  </si>
  <si>
    <t>Trabalho: Lanche da terde</t>
  </si>
  <si>
    <t>Lojas Marisas</t>
  </si>
  <si>
    <t>Coxinha DU Chefe</t>
  </si>
  <si>
    <t>Casas da Toalhas</t>
  </si>
  <si>
    <t>Ataque dos Titãs Nº 14</t>
  </si>
  <si>
    <t>Patrulha do Destino</t>
  </si>
  <si>
    <t>SanSei cosméticos</t>
  </si>
  <si>
    <t>Trabalho: BK</t>
  </si>
  <si>
    <t>Pau de Selfie da cristiane</t>
  </si>
  <si>
    <t>Moveis Paraisos</t>
  </si>
  <si>
    <t>Taxi para o Hotel</t>
  </si>
  <si>
    <t>o Hotel</t>
  </si>
  <si>
    <t>Trabalho: Don Capone</t>
  </si>
  <si>
    <t>Trabalho: Café Tarde</t>
  </si>
  <si>
    <t>Trabalho: The BK´s</t>
  </si>
  <si>
    <t>TT Burguers</t>
  </si>
  <si>
    <t>Tarot: The Merlin Tarot</t>
  </si>
  <si>
    <t>DVD do queen</t>
  </si>
  <si>
    <t>coxinhas do chefe</t>
  </si>
  <si>
    <t>LA piscina de la muertos</t>
  </si>
  <si>
    <t>Farmacia de gripes</t>
  </si>
  <si>
    <t>Buonna Via Pizza</t>
  </si>
  <si>
    <t>Gazzozza na echoSport GGm4</t>
  </si>
  <si>
    <t>BANRI Comercials</t>
  </si>
  <si>
    <t>FRANS Kafés</t>
  </si>
  <si>
    <t xml:space="preserve">Revisão Pejô GGM3 (02/04) </t>
  </si>
  <si>
    <t>Capital Steak House´s</t>
  </si>
  <si>
    <t>Relógio Timex Masculino Ironman Shock 30-Lap T5K195WKL/8N Preto (03/03)</t>
  </si>
  <si>
    <t>Polar FT7 Masculino  (03/06)</t>
  </si>
  <si>
    <t xml:space="preserve">Delineador de óleos </t>
  </si>
  <si>
    <t>Areia de cocô de gato</t>
  </si>
  <si>
    <t>Totni confecçõs</t>
  </si>
  <si>
    <t>Academia de Março</t>
  </si>
  <si>
    <t xml:space="preserve">O DIA % </t>
  </si>
  <si>
    <t>iFood - Buona Via Pizza</t>
  </si>
  <si>
    <t>Paccocc´S vr´S</t>
  </si>
  <si>
    <t>Lindalara</t>
  </si>
  <si>
    <t>Etualla Cabeileireiros</t>
  </si>
  <si>
    <t>Café de manha na pacocca´s</t>
  </si>
  <si>
    <t>Enos e lenços de papeis umedecidos</t>
  </si>
  <si>
    <t>Rações, Plantas de comer e diversos</t>
  </si>
  <si>
    <t>FRITZ comidas alemanhas</t>
  </si>
  <si>
    <t>Anti Gazes de desodorizantes</t>
  </si>
  <si>
    <t>iFood Buonna Pizza</t>
  </si>
  <si>
    <t>Estantes de Livros (03/03)</t>
  </si>
  <si>
    <t>gazzozza na EchoSport GGM4</t>
  </si>
  <si>
    <t>Xirata feira limpas</t>
  </si>
  <si>
    <t>CHINA IN BOX</t>
  </si>
  <si>
    <t>Xamppooss diversos</t>
  </si>
  <si>
    <t>Los mariaches</t>
  </si>
  <si>
    <t>Trabalho: Pizza patronni</t>
  </si>
  <si>
    <t>Americana´s</t>
  </si>
  <si>
    <t>Paes e de queijos</t>
  </si>
  <si>
    <t>O Racho 53</t>
  </si>
  <si>
    <t>Rodoserv</t>
  </si>
  <si>
    <t>Farmácia em piraju</t>
  </si>
  <si>
    <t>Cocacolas diversas</t>
  </si>
  <si>
    <t>Pira-Bar Piraju</t>
  </si>
  <si>
    <t>Farmácias da cristiane</t>
  </si>
  <si>
    <t>Hamburqueira Pira-ju</t>
  </si>
  <si>
    <t>Mercado Dia fraquinia</t>
  </si>
  <si>
    <t xml:space="preserve">Revisão Pejô GGM3 (03/04) </t>
  </si>
  <si>
    <t>Polar FT7 Masculino  (04/06)</t>
  </si>
  <si>
    <t>Cadernos para estudos</t>
  </si>
  <si>
    <t>Egeo Chocolate´s</t>
  </si>
  <si>
    <t>Antialérgicos e desodorizantes</t>
  </si>
  <si>
    <t>Kalunga Shopping ABC</t>
  </si>
  <si>
    <t>Eno e listeriny</t>
  </si>
  <si>
    <t>Quinta d'O Marquês</t>
  </si>
  <si>
    <t xml:space="preserve">Academia de Abril </t>
  </si>
  <si>
    <t>Absorventes</t>
  </si>
  <si>
    <t>UberTaxy</t>
  </si>
  <si>
    <t>Estacionamento no Morumbi</t>
  </si>
  <si>
    <t>Enciclopédias de Kabbalah Hermetica e Mitologia (01/03)</t>
  </si>
  <si>
    <t>Remédios de estomagos</t>
  </si>
  <si>
    <t>Almoço no Metropolis Shoppings</t>
  </si>
  <si>
    <t>Rodas de Patins e Meias de Patins</t>
  </si>
  <si>
    <t>Leites e coisas no Nagumos</t>
  </si>
  <si>
    <t>Consulta e medicação do Sebastião</t>
  </si>
  <si>
    <t>Comida especial do Sebastiã</t>
  </si>
  <si>
    <t xml:space="preserve">coquinha, sal, quejos ralado  </t>
  </si>
  <si>
    <t>Kenzei Sushi</t>
  </si>
  <si>
    <t>Trabalho: Grilleto</t>
  </si>
  <si>
    <t>Trabalho: Raggazzo Coxinha´s</t>
  </si>
  <si>
    <t>LIsaDor, Pastes de dentes, rinoSoros</t>
  </si>
  <si>
    <t>the Ifood</t>
  </si>
  <si>
    <t>Vanaor 6/200</t>
  </si>
  <si>
    <t>Curso de baralho lenormand</t>
  </si>
  <si>
    <t>Tarot: Old English</t>
  </si>
  <si>
    <t>Almoço no MerKabah</t>
  </si>
  <si>
    <t xml:space="preserve">Revisão Pejô GGM3 (04/04) </t>
  </si>
  <si>
    <t>Polar FT7 Masculino  (05/06)</t>
  </si>
  <si>
    <t xml:space="preserve">Anuidade Diferenciada (01/08) </t>
  </si>
  <si>
    <t>Envio de itens</t>
  </si>
  <si>
    <t>Enciclopédias de Kabbalah Hermetica e Mitologia (02/03)</t>
  </si>
  <si>
    <t>Credito da Fatura Anterior</t>
  </si>
  <si>
    <t>Pulseira da vivara</t>
  </si>
  <si>
    <t>Blusas Novas</t>
  </si>
  <si>
    <t>Regua de Fluxograma E-4</t>
  </si>
  <si>
    <t>Sonda SBC</t>
  </si>
  <si>
    <t>Junho / 2016</t>
  </si>
  <si>
    <t>Ração e areia de cocô</t>
  </si>
  <si>
    <t>Polar FT7 Masculino  (06/06)</t>
  </si>
  <si>
    <t>the Health Place</t>
  </si>
  <si>
    <t>Enciclopédias de Kabbalah Hermetica e Mitologia (03/03)</t>
  </si>
  <si>
    <t>Duas peças na Renner</t>
  </si>
  <si>
    <t>iFood Pizzas</t>
  </si>
  <si>
    <t>Anuidade Diferenciada (03/08)</t>
  </si>
  <si>
    <t>Estorno de Anuidade Diferenciada</t>
  </si>
  <si>
    <t xml:space="preserve">Software: Ios: APL* ITUNES.COM/BILL </t>
  </si>
  <si>
    <t xml:space="preserve">IOF COMPRA INTERNACIONA </t>
  </si>
  <si>
    <t>$ 0,06 USD</t>
  </si>
  <si>
    <t>Automotivo: Seguro Echo (01/04)</t>
  </si>
  <si>
    <t>Tarot: CBD TAROT DE MARSEILLE - Yoav Ben-Dov</t>
  </si>
  <si>
    <t>$ 42,14 USD</t>
  </si>
  <si>
    <t>IOF: CBD TAROT DE MARSEILLE - Yoav Ben-Dov</t>
  </si>
  <si>
    <t>$ 2,69 USD</t>
  </si>
  <si>
    <t>Colheres de festas</t>
  </si>
  <si>
    <t>Tarot: The Complete Arthurian Tarot:</t>
  </si>
  <si>
    <t>$ 32,63 USD</t>
  </si>
  <si>
    <t>IOF: The Complete Arthurian Tarot:</t>
  </si>
  <si>
    <t>$ 2,08 USD</t>
  </si>
  <si>
    <t>Pingente de Patins In Line Olimpíadas Rio 2016- 9713</t>
  </si>
  <si>
    <t xml:space="preserve">iPhone 6S 64GB Space Gray (01/10) </t>
  </si>
  <si>
    <t xml:space="preserve">CR DIFERENCA COTACAO U$ </t>
  </si>
  <si>
    <t>Automotivo: Seguro Echo (02/04)</t>
  </si>
  <si>
    <t>PortoSeguro Cartões</t>
  </si>
  <si>
    <t>Tarot: The Pictorial Key to Tarot</t>
  </si>
  <si>
    <t>Examos de Sangue, Urina e UltraSOM</t>
  </si>
  <si>
    <t>Faxineiras para o dia 23/08</t>
  </si>
  <si>
    <t>Incensos Fênix</t>
  </si>
  <si>
    <t xml:space="preserve">Ração Urinária, Bandejas de coco, portal </t>
  </si>
  <si>
    <t>Conjunto de cama p0ara a s visitas</t>
  </si>
  <si>
    <t>Comida umida em Lata A&amp;D</t>
  </si>
  <si>
    <t>Roupa Cirutgica e Fraldas</t>
  </si>
  <si>
    <t>A Chocolândia</t>
  </si>
  <si>
    <t>Cirurgia e procedimentos (01/03)</t>
  </si>
  <si>
    <t>Aparatos de curativo</t>
  </si>
  <si>
    <t>Jantar de aniversário da C|ristiane</t>
  </si>
  <si>
    <t>Estacionamento de aniversário</t>
  </si>
  <si>
    <t>Nova roupa cirurguca</t>
  </si>
  <si>
    <t>A Varanda</t>
  </si>
  <si>
    <t xml:space="preserve"> Setembro / 2016 </t>
  </si>
  <si>
    <t xml:space="preserve">iPhone 6S 64GB Space Gray (02/10) </t>
  </si>
  <si>
    <t>Automotivo: Seguro Echo (03/04)</t>
  </si>
  <si>
    <t>Tarot: The Gilded Tarot [With 78-Card Tarot Deck] (Ciro Marchetti)</t>
  </si>
  <si>
    <t>Neuromancer + O Homem do Castelo Alto</t>
  </si>
  <si>
    <t xml:space="preserve">X-Men - Dias de Um Futuro Esquecido - Volume 1 </t>
  </si>
  <si>
    <t>Sinvascor 40mg + Brasart HCT 320/125</t>
  </si>
  <si>
    <t>Pacocca´s VR´s</t>
  </si>
  <si>
    <t>Automotivo: Seguro Peugeot Azul (01/04)</t>
  </si>
  <si>
    <t>Tatuagem do Sebastian</t>
  </si>
  <si>
    <t xml:space="preserve">PET LAND C MEDICO </t>
  </si>
  <si>
    <t>Cirurgia e procedimentos (02/03)</t>
  </si>
  <si>
    <t xml:space="preserve">iPhone 6S 64GB Space Gray (03/10) </t>
  </si>
  <si>
    <t>Automotivo: Seguro Echo (04/04)</t>
  </si>
  <si>
    <t>Automotivo: Seguro Peugeot Azul (02/04)</t>
  </si>
  <si>
    <t>Cirurgia e procedimentos (03/03)</t>
  </si>
  <si>
    <t>Passagem de ida para o Rio</t>
  </si>
  <si>
    <t>Passagem de Volta para o rio</t>
  </si>
  <si>
    <t>Novembro / 2016</t>
  </si>
  <si>
    <t xml:space="preserve">iPhone 6S 64GB Space Gray (04/10) </t>
  </si>
  <si>
    <t xml:space="preserve">Passagens áereas (01/10) </t>
  </si>
  <si>
    <t xml:space="preserve">Tarot: Golden Dawn Magical Tarot </t>
  </si>
  <si>
    <t>Automotivo: Seguro Peugeot Azul (03/04)</t>
  </si>
  <si>
    <t>Seguro: Viagem Luiz (01/03)</t>
  </si>
  <si>
    <t>Seguro: Viagem cristiane (01/03)</t>
  </si>
  <si>
    <t>iPhone 6S 64GB Space Gray (05/10)</t>
  </si>
  <si>
    <t xml:space="preserve">Passagens áereas (02/10) </t>
  </si>
  <si>
    <t>Avianca</t>
  </si>
  <si>
    <t>Automotivo: Seguro Peugeot Azul (04/04)</t>
  </si>
  <si>
    <t>Seguro Viagem Luiz (02/03)</t>
  </si>
  <si>
    <t>Seguro Viagem cristiane (02/03)</t>
  </si>
  <si>
    <t>iPhone 6S 64GB Space Gray (06/10)</t>
  </si>
  <si>
    <t xml:space="preserve">Passagens áereas (03/10) </t>
  </si>
  <si>
    <t>Seguro Viagem Luiz (03/03)</t>
  </si>
  <si>
    <t>Seguro Viagem cristiane (03/03)</t>
  </si>
  <si>
    <t>iPhone 6S 64GB Space Gray (07/10)</t>
  </si>
  <si>
    <t xml:space="preserve">Passagens áereas (04/10) </t>
  </si>
  <si>
    <t xml:space="preserve"> Março / 2017</t>
  </si>
  <si>
    <t>iPhone 6S 64GB Space Gray (08/10)</t>
  </si>
  <si>
    <t xml:space="preserve">Passagens áereas (05/10) </t>
  </si>
  <si>
    <t xml:space="preserve"> Abril / 2017</t>
  </si>
  <si>
    <t>iPhone 6S 64GB Space Gray (09/10)</t>
  </si>
  <si>
    <t xml:space="preserve">Passagens áereas (06/10) </t>
  </si>
  <si>
    <t xml:space="preserve">Maio / 2017 </t>
  </si>
  <si>
    <t>iPhone 6S 64GB Space Gray (10/10)</t>
  </si>
  <si>
    <t xml:space="preserve">Passagens áereas (07/10) </t>
  </si>
  <si>
    <t xml:space="preserve"> Junho / 2017</t>
  </si>
  <si>
    <t xml:space="preserve">Passagens áereas (08/10) </t>
  </si>
  <si>
    <t xml:space="preserve"> Julho / 2017</t>
  </si>
  <si>
    <t xml:space="preserve">Passagens áereas (09/10) </t>
  </si>
  <si>
    <t xml:space="preserve"> Agosto / 2017</t>
  </si>
  <si>
    <t xml:space="preserve">Passagens áereas (10/10) </t>
  </si>
  <si>
    <t xml:space="preserve"> Setembro / 2017</t>
  </si>
  <si>
    <t>Ultima faturas</t>
  </si>
  <si>
    <t>Ajustes para encerramento de faturas</t>
  </si>
  <si>
    <t>Parcela Playstation 2 (01/06)</t>
  </si>
  <si>
    <t>Parcela Playstation 2 (02/06)</t>
  </si>
  <si>
    <t>Parcela Playstation 2 (03/06)</t>
  </si>
  <si>
    <t>Parcela Playstation 2 (04/06)</t>
  </si>
  <si>
    <t>Parc. Alarme + Som (01/03)</t>
  </si>
  <si>
    <t>Parcela Playstation 2 (05/06)</t>
  </si>
  <si>
    <t>Parc. Maquina digital canon SD600 (01/12)</t>
  </si>
  <si>
    <t>Parc. Alarme + Som (02/03)</t>
  </si>
  <si>
    <t>Parcela Playstation 2 (06/06)</t>
  </si>
  <si>
    <t>Parc. Maquina digital canon SD600 (02/12)</t>
  </si>
  <si>
    <t>Parc. Alarme + Som (03/03)</t>
  </si>
  <si>
    <t xml:space="preserve"> Março /2007</t>
  </si>
  <si>
    <t>Parc. Maquina digital canon SD600 (03/12)</t>
  </si>
  <si>
    <t>Hometheater: DVD Player DVP5965K (01/03)</t>
  </si>
  <si>
    <t xml:space="preserve"> Abril /2007</t>
  </si>
  <si>
    <t>Parc. Maquina digital canon SD600 (04/12)</t>
  </si>
  <si>
    <t>Hometheater: DVD Player DVP5965K (02/03)</t>
  </si>
  <si>
    <t>Parc. Maquina digital canon SD600 (05/12)</t>
  </si>
  <si>
    <t>Hometheater: DVD Player DVP5965K (03/03)</t>
  </si>
  <si>
    <t>Parc. Maquina digital canon SD600 (06/12)</t>
  </si>
  <si>
    <t>Parc. Maquina digital canon SD600 (07/12)</t>
  </si>
  <si>
    <t>Fatura masterCard</t>
  </si>
  <si>
    <t>Parc. Maquina digital canon SD600 (08/12)</t>
  </si>
  <si>
    <t>Parc. Maquina digital canon SD600 (09/12)</t>
  </si>
  <si>
    <t>Parc. Maquina digital canon SD600 (10/12)</t>
  </si>
  <si>
    <t>Parc. Maquina digital canon SD600 (11/12)</t>
  </si>
  <si>
    <t>Box do Rocky Balboa</t>
  </si>
  <si>
    <t xml:space="preserve">Lanche do Mc Donaldos </t>
  </si>
  <si>
    <t>Pagamento fatura Itau Master</t>
  </si>
  <si>
    <t>Parc. Maquina digital canon SD600 (12/12)</t>
  </si>
  <si>
    <t>Pagamemento Fatura ItauMaster</t>
  </si>
  <si>
    <t xml:space="preserve">Artigos de OZZY </t>
  </si>
  <si>
    <t>Livros de Iscrapi Buquin</t>
  </si>
  <si>
    <t>Imposto compra Internacional</t>
  </si>
  <si>
    <t>Diferença cotação do Dollar</t>
  </si>
  <si>
    <t>Outubro/2008</t>
  </si>
  <si>
    <t>Materiais de escritórios diversos</t>
  </si>
  <si>
    <t>Mais mercadis</t>
  </si>
  <si>
    <t>Dezembro 2009</t>
  </si>
  <si>
    <t>Pagemento fatura</t>
  </si>
  <si>
    <t>Anuidade ?</t>
  </si>
  <si>
    <t>Anuidade Adicional ?</t>
  </si>
  <si>
    <t>Pagamento Parcial Forçado</t>
  </si>
  <si>
    <t>Pagamento ?</t>
  </si>
  <si>
    <t>Nagumo Santo André</t>
  </si>
  <si>
    <t xml:space="preserve"> Outubro / 2013</t>
  </si>
  <si>
    <t>Cremes do Boticarío</t>
  </si>
  <si>
    <t>Na Paccocca´s</t>
  </si>
  <si>
    <t>Symbicort 12/400, Eno TABs e KitKats</t>
  </si>
  <si>
    <t>PRELÚDIO PARA KICK-ASS 2: HIT-GIRL</t>
  </si>
  <si>
    <t>Death Note - Black Edition - Vol. IV</t>
  </si>
  <si>
    <t>Na pacccocca´s</t>
  </si>
  <si>
    <t>Acougue BOM beef</t>
  </si>
  <si>
    <t>extra express</t>
  </si>
  <si>
    <t>Mangá: Assinatua anual de Ataque dos Titãs</t>
  </si>
  <si>
    <t>Mais NaHuMO´s</t>
  </si>
  <si>
    <t>Miniatura Dc Batman Ed. Nº01 - Eaglemoss Brasil</t>
  </si>
  <si>
    <t>O Cruzeiros Bars</t>
  </si>
  <si>
    <t>Roupas diversos</t>
  </si>
  <si>
    <t>curativos</t>
  </si>
  <si>
    <t>Coisas de belezas</t>
  </si>
  <si>
    <t>Cremes do boticários</t>
  </si>
  <si>
    <t>Reino do Amanhã - Edição Definitiva</t>
  </si>
  <si>
    <t>Kick - Ass - Vol. 2</t>
  </si>
  <si>
    <t>Gazzozzas no pejô GGM3</t>
  </si>
  <si>
    <t>Presente para o filho da aminga da cristiane</t>
  </si>
  <si>
    <t>MorMgão´s</t>
  </si>
  <si>
    <t>Theora´s</t>
  </si>
  <si>
    <t>Loca Web site da Cristiane</t>
  </si>
  <si>
    <t>Heisenberg - Breaking Bad</t>
  </si>
  <si>
    <t>Emblema XLT Cromado</t>
  </si>
  <si>
    <t>Limpadores de Para-Brisas</t>
  </si>
  <si>
    <t>The NewYork Burguers</t>
  </si>
  <si>
    <t>Tampa valvula descarga</t>
  </si>
  <si>
    <t>Troca de Óleo + filtro de Óleo</t>
  </si>
  <si>
    <t>Lamen Kazu</t>
  </si>
  <si>
    <t>Frans Cafes</t>
  </si>
  <si>
    <t>Gazzozza Na echoSport GGM4</t>
  </si>
  <si>
    <t>Atualização Mapa TomTom</t>
  </si>
  <si>
    <t>52,47 EUR</t>
  </si>
  <si>
    <t>$ 4,61 usd</t>
  </si>
  <si>
    <t>Marvel Bishoujo Psylocke -X-Force Ninja Outfit- (Completed) 1/7 Bishoujo Statue</t>
  </si>
  <si>
    <t>11,180 yen</t>
  </si>
  <si>
    <t>Sun Tzu - A Arte da Guerra para gerentes</t>
  </si>
  <si>
    <t>O Hobbit - II</t>
  </si>
  <si>
    <t>La Cantina´s</t>
  </si>
  <si>
    <t>The GOT Comic Books para a cristiane</t>
  </si>
  <si>
    <t>Estacionamento na FNAC Paulistas</t>
  </si>
  <si>
    <t>Spawn GodSlayer Arkham Enlouquecid</t>
  </si>
  <si>
    <t>Camiseta de Heroes na Geek</t>
  </si>
  <si>
    <t>Harley Quinn na PlayArtsKay</t>
  </si>
  <si>
    <t>Doação Punch!FanSub</t>
  </si>
  <si>
    <t>Coisas para o cabelos</t>
  </si>
  <si>
    <t>Batman corporação vol4</t>
  </si>
  <si>
    <t>BanRins comerciais</t>
  </si>
  <si>
    <t>NaHUMO´s</t>
  </si>
  <si>
    <t>Saias Novas</t>
  </si>
  <si>
    <t>The NY BurGuers</t>
  </si>
  <si>
    <t>Remediosde evitar dores de cabeças</t>
  </si>
  <si>
    <t>Chilli Peppers na paulista</t>
  </si>
  <si>
    <t>chinelas Havaiana´s</t>
  </si>
  <si>
    <t>StarBucks</t>
  </si>
  <si>
    <t>estacionamento na fnac</t>
  </si>
  <si>
    <t>Magumos</t>
  </si>
  <si>
    <t>Game: Batman: Arkham Origin - Saraiva</t>
  </si>
  <si>
    <t>Game: Batman: Arkham Origins</t>
  </si>
  <si>
    <t>Kurguer Kings BK</t>
  </si>
  <si>
    <t>Bagumo</t>
  </si>
  <si>
    <t>Almoço na Paccoccas</t>
  </si>
  <si>
    <t>Pizzas no shopping</t>
  </si>
  <si>
    <t>Diff compra exterior</t>
  </si>
  <si>
    <t>Batman - Silêncio + Frete</t>
  </si>
  <si>
    <t xml:space="preserve">Death Note BLK Vol V e VI + Frete </t>
  </si>
  <si>
    <t>Frete da Comix</t>
  </si>
  <si>
    <t>Almoço no xópins</t>
  </si>
  <si>
    <t>dores de cabeças e sinusites</t>
  </si>
  <si>
    <t>the hOOters</t>
  </si>
  <si>
    <t>RodoServers</t>
  </si>
  <si>
    <t>Gazoza na echoSport GGM4</t>
  </si>
  <si>
    <t>Bebidas de viagens</t>
  </si>
  <si>
    <t xml:space="preserve">O Coringa </t>
  </si>
  <si>
    <t>Problemas: OBA</t>
  </si>
  <si>
    <t>O cruzeiro´s</t>
  </si>
  <si>
    <t>Presentes de criaças</t>
  </si>
  <si>
    <t>Starbuques</t>
  </si>
  <si>
    <t>Mousse de limpesa de peles</t>
  </si>
  <si>
    <t>Robocópi</t>
  </si>
  <si>
    <t>Jin Jin Wok no Shopping</t>
  </si>
  <si>
    <t>Bumper Case Iphone 3s</t>
  </si>
  <si>
    <t xml:space="preserve">Suprimentos para filmes </t>
  </si>
  <si>
    <t>The Rock Fellas</t>
  </si>
  <si>
    <t xml:space="preserve">Kotobukiya DC018 DC Comics Bishoujo Armored Wonderwoman (Completed) 1/7 </t>
  </si>
  <si>
    <t>¥ 8.900 JPY</t>
  </si>
  <si>
    <t>$ 6,8 USD</t>
  </si>
  <si>
    <t>CR DIFERENCA COTACAO U$</t>
  </si>
  <si>
    <t>Renovação dominio luizcarlin.com.br</t>
  </si>
  <si>
    <t>Assinatura JobSeekser Linked In</t>
  </si>
  <si>
    <t>$ 22,02 USD</t>
  </si>
  <si>
    <t>IOF JobSeeker Linked In</t>
  </si>
  <si>
    <t>$ 1,40 USD</t>
  </si>
  <si>
    <t>Almoço na liberdades</t>
  </si>
  <si>
    <t>Assinatura Trimestral da Catho (01/03)</t>
  </si>
  <si>
    <t>Certificação Lpi-1 (101 - 102) - Col. Linux Pro - 4 Ed. 2014</t>
  </si>
  <si>
    <t xml:space="preserve">Kotobukiya  Marvel Comics Bishoujo SpiderWoman (Completed) 1/7 </t>
  </si>
  <si>
    <t>IOF SpiderWoman</t>
  </si>
  <si>
    <t>$ 5,65 usd</t>
  </si>
  <si>
    <t>Ingresso.com.br X-Men - Days of a Future Past</t>
  </si>
  <si>
    <t>Capitao America - Soldado Invernal</t>
  </si>
  <si>
    <t>$ 21,92 USD</t>
  </si>
  <si>
    <t>IOF  Assinatura Linked In</t>
  </si>
  <si>
    <t>Game: Batman Arkham Origins: Cold, Cold Heart</t>
  </si>
  <si>
    <t>Assinatura Trimestral da Catho (02/03)</t>
  </si>
  <si>
    <t>DB DIFERENCA COTACAO U$</t>
  </si>
  <si>
    <t>Assinatura Trimestral da Catho (03/03)</t>
  </si>
  <si>
    <t xml:space="preserve">The Bourbon Stree club </t>
  </si>
  <si>
    <t>Diferença cotação de Dolares</t>
  </si>
  <si>
    <t>MobileApp: Android: iDisplay</t>
  </si>
  <si>
    <t>$ 4,99 USD</t>
  </si>
  <si>
    <t xml:space="preserve">IOF Compra Internacional </t>
  </si>
  <si>
    <t>$ 0,32 USD</t>
  </si>
  <si>
    <t xml:space="preserve"> Agosto / 2014</t>
  </si>
  <si>
    <t>MobileApp: Android: Luxor</t>
  </si>
  <si>
    <t>$ 2,99 USD</t>
  </si>
  <si>
    <t>$ 0,19 USD</t>
  </si>
  <si>
    <t>Guardiões da Galaxia</t>
  </si>
  <si>
    <t>Tarot: Tarot Crowley + Renaissance (01/03)</t>
  </si>
  <si>
    <t>Software: Windows 8.1 Pro Update 1 (01/03)</t>
  </si>
  <si>
    <t>HD externo SamSum M3 1TB (01/03)</t>
  </si>
  <si>
    <t>Pizzeria Santa Clara</t>
  </si>
  <si>
    <t>Tarot: Tarot Crowley + Renaissance (02/03)</t>
  </si>
  <si>
    <t>Fuji Instax Camera Mini 8 Branca</t>
  </si>
  <si>
    <t>Assinatura LinkedIn Premium</t>
  </si>
  <si>
    <t>$ 17,37 USD</t>
  </si>
  <si>
    <t>$ 1,11 USD</t>
  </si>
  <si>
    <t>Software: Windows 8.1 Pro Update 1 (02/03)</t>
  </si>
  <si>
    <t>Tx. Serasa Expirian MeProteja</t>
  </si>
  <si>
    <t>HD externo SamSum M3 1TB (02/03)</t>
  </si>
  <si>
    <t>FNAC Morumni HD Externo</t>
  </si>
  <si>
    <t>Dracula - A História nunca contada</t>
  </si>
  <si>
    <t>Roupas novas fa Fatto à Manno</t>
  </si>
  <si>
    <t>Tarot: Tarot Crowley + Renaissance (03/03)</t>
  </si>
  <si>
    <t xml:space="preserve"> Novembro/ 2014</t>
  </si>
  <si>
    <t>Tablet Galaxy Tab S + Acessorios (01/06)</t>
  </si>
  <si>
    <t>$ 16,01 US4</t>
  </si>
  <si>
    <t>$ 1,02 USD</t>
  </si>
  <si>
    <t>Tarot: O Templo Vivente I e II</t>
  </si>
  <si>
    <t>Software: Windows 8.1 Pro Update 1 (03/03)</t>
  </si>
  <si>
    <t>HD externo SamSum M3 1TB (03/03)</t>
  </si>
  <si>
    <t>Software: MobileApp: iOS: PassKeeeps</t>
  </si>
  <si>
    <t>$ 1,99 USD</t>
  </si>
  <si>
    <t>iof compra internacional</t>
  </si>
  <si>
    <t>$ 0,13 USD</t>
  </si>
  <si>
    <t>The Tudors + BTTF no Submarino</t>
  </si>
  <si>
    <t>Tarot: O tarô Intiuitivo + Lo Scrabero</t>
  </si>
  <si>
    <t>SamSung Santo André</t>
  </si>
  <si>
    <t>Tablet Galaxy Tab S + Acessorios (02/06)</t>
  </si>
  <si>
    <t>Hotel nevada em Campos do Jordão</t>
  </si>
  <si>
    <t>Kotobukiya MK161 Marvel Bishoujo Jubilee (Completed) 1/7 Bishoujo Statue</t>
  </si>
  <si>
    <t>¥ 9.600 JPY</t>
  </si>
  <si>
    <t>IOF COMPRA internacional</t>
  </si>
  <si>
    <t>$ 5,15 USD</t>
  </si>
  <si>
    <t>Tarot: hermetic Kaballah Tarot 2 + Posters</t>
  </si>
  <si>
    <t xml:space="preserve">EagleMoss DC Antimonitor </t>
  </si>
  <si>
    <t>Exodus: Deuses e homes</t>
  </si>
  <si>
    <t>Tablet Galaxy Tab S + Acessorios (03/06)</t>
  </si>
  <si>
    <t>Renovação da Assinatura Ataque dos titãs</t>
  </si>
  <si>
    <t>Tarot: fenestra tarot + Toalha Preta</t>
  </si>
  <si>
    <t>PARCELA DE ANUIDADE 2x</t>
  </si>
  <si>
    <t>Tablet Galaxy Tab S + Acessorios (04/06)</t>
  </si>
  <si>
    <t>Parcela Anuidade Cartão</t>
  </si>
  <si>
    <t>Tablet Galaxy Tab S + Acessorios (05/06)</t>
  </si>
  <si>
    <t>Tablet Galaxy Tab S + Acessorios (06/06)</t>
  </si>
  <si>
    <t xml:space="preserve"> maio / 2015</t>
  </si>
  <si>
    <t>Tomadas e coisas na C&amp;C Music Factory</t>
  </si>
  <si>
    <t>ifood: bolo de domingo de tarde</t>
  </si>
  <si>
    <t>Anuidade 01/12</t>
  </si>
  <si>
    <t>CANCELAMENTO DE CARTÃO FINAL 9484</t>
  </si>
  <si>
    <t xml:space="preserve">Ajustes para encerramento </t>
  </si>
  <si>
    <t>Maio/2022</t>
  </si>
  <si>
    <t xml:space="preserve"> Junho / 2022 </t>
  </si>
  <si>
    <t>MercadoLivre.com.br: Microfone de lapelas</t>
  </si>
  <si>
    <t xml:space="preserve"> Julho / 2022 </t>
  </si>
  <si>
    <t xml:space="preserve"> Outubro / 2022 </t>
  </si>
  <si>
    <t>Game: God of War III PS4 remaster (psn digital media)</t>
  </si>
  <si>
    <t>PS4: God Of War III</t>
  </si>
  <si>
    <t xml:space="preserve"> Novembro / 2022 </t>
  </si>
  <si>
    <t xml:space="preserve"> Dezembro / 2022 </t>
  </si>
  <si>
    <t>AliXpress.com: 4 pces 40x20mm alumínio de alta fidelidade amp alto-falante isolamento suporte plataforma giratória dac pés almofada ouro prata preto]</t>
  </si>
  <si>
    <t>Abril  2016</t>
  </si>
  <si>
    <t>CREDITO DE SALARIO EVERIS BRA 04232671000139</t>
  </si>
  <si>
    <t>TRANSFERENCIA PROGRAMADA PARA: 0642.60.011323-6</t>
  </si>
  <si>
    <t>Transferencia para o itau</t>
  </si>
  <si>
    <t>Rec Salarios - evesis NTT data</t>
  </si>
  <si>
    <t xml:space="preserve"> Maio  2016</t>
  </si>
  <si>
    <t>Pagamento PortoVisa</t>
  </si>
  <si>
    <t>Para a Cibele</t>
  </si>
  <si>
    <t>Internet Movel Claro 4G</t>
  </si>
  <si>
    <t>Pagamento Fatura PortoSeguro Master</t>
  </si>
  <si>
    <t>Para o ItaU</t>
  </si>
  <si>
    <t xml:space="preserve"> Junho  2016</t>
  </si>
  <si>
    <t>Fatura Nubank</t>
  </si>
  <si>
    <t>Da Cibele</t>
  </si>
  <si>
    <t xml:space="preserve">Condoninio </t>
  </si>
  <si>
    <t>Ataque dos Titãs Nº 16</t>
  </si>
  <si>
    <t>Isqueiro novo + chocolates novos</t>
  </si>
  <si>
    <t>Aluguel: Seguro Fiança (07/11)</t>
  </si>
  <si>
    <t>NA Cartoância 2016</t>
  </si>
  <si>
    <t>Kapyrotagya: Trimensalidade da A.M.O.R.C. GLP</t>
  </si>
  <si>
    <t>Alfarrores</t>
  </si>
  <si>
    <t xml:space="preserve">TIM Chips 4g </t>
  </si>
  <si>
    <t>Café no centro de Sto André</t>
  </si>
  <si>
    <t>Estacionamento na clinica Psicologa</t>
  </si>
  <si>
    <t>Trabalho: Pães de Méis da Terde</t>
  </si>
  <si>
    <t>Trabalho: Passa Tempos</t>
  </si>
  <si>
    <t>Grazzie Pizzerie</t>
  </si>
  <si>
    <t>Os Pastéis de Bertioga´s</t>
  </si>
  <si>
    <t>Adiantamento 13º</t>
  </si>
  <si>
    <t>Reembolso Psicologa</t>
  </si>
  <si>
    <t xml:space="preserve"> Julho / 2016 </t>
  </si>
  <si>
    <t>Juros no Periodo</t>
  </si>
  <si>
    <t>Café da manha na padaria portugals</t>
  </si>
  <si>
    <t xml:space="preserve">Fatura ItauVisa </t>
  </si>
  <si>
    <t>Fatura NuBank</t>
  </si>
  <si>
    <t>IOF Adicional no periodo</t>
  </si>
  <si>
    <t>REMUNERACAO CONTAMAX CDB DI</t>
  </si>
  <si>
    <t>clinica e tratamento do sebastião</t>
  </si>
  <si>
    <t>Parar a Cibele</t>
  </si>
  <si>
    <t>Cheque - 000001 - Psicólooga</t>
  </si>
  <si>
    <t>Aluguel: Seguro Fiança (09/11)</t>
  </si>
  <si>
    <t>Para a CEF</t>
  </si>
  <si>
    <t xml:space="preserve">c &amp; c </t>
  </si>
  <si>
    <t>Plastificação diversa</t>
  </si>
  <si>
    <t>Tarot: 6ª Confraria de Tarot / Faces da Lua</t>
  </si>
  <si>
    <t>Conserto dos Vidros Eletricos</t>
  </si>
  <si>
    <t>Ração de Gatos diversas</t>
  </si>
  <si>
    <t>Estillette e mause pedi</t>
  </si>
  <si>
    <t xml:space="preserve">HDD USB DOCK </t>
  </si>
  <si>
    <t>Extensão eletrica</t>
  </si>
  <si>
    <t xml:space="preserve">Multa da Echo de Fevereiro / 2016 </t>
  </si>
  <si>
    <t>IOF IMPOSTO OPERACOES FINANCEIRAS PERIODO: 01/07 A 31/07/16</t>
  </si>
  <si>
    <t>IOF ADICIONAL - AUTOMATICO PERIODO: 01/07 A 31/07/16</t>
  </si>
  <si>
    <t>Para a Apuncunturas</t>
  </si>
  <si>
    <t>Tarot: 1º Forum Internacional de Tarô na Unicamp</t>
  </si>
  <si>
    <t>Trabalho: Cafés de Shopping</t>
  </si>
  <si>
    <t>Eno TAB em potes</t>
  </si>
  <si>
    <t>Aluguel: Seguro Fiança (10/11)</t>
  </si>
  <si>
    <t>Café da manha na padocas</t>
  </si>
  <si>
    <t>Na Rota do Tarô</t>
  </si>
  <si>
    <t>Lavagem do pejô GGM3</t>
  </si>
  <si>
    <t>BetoPaper´s</t>
  </si>
  <si>
    <t>PAGAMENTO A FORNECEDORES CNPJ 001685053000156</t>
  </si>
  <si>
    <t>Saque do SanTander</t>
  </si>
  <si>
    <t>IOF IMPOSTO OPERACOES FINANCEIRAS PERIODO: 01/08 A 31/08/16</t>
  </si>
  <si>
    <t>IOF ADICIONAL - AUTOMATICO PERIODO: 01/08 A 31/08/16</t>
  </si>
  <si>
    <t>Para a cibele</t>
  </si>
  <si>
    <t>Novo conserto da Magic Cat</t>
  </si>
  <si>
    <t>Transferencia para a Simone</t>
  </si>
  <si>
    <t>Livro so Sebo para a cristiane</t>
  </si>
  <si>
    <t>Trabalho: Caféses do Shoppings</t>
  </si>
  <si>
    <t>Automotivo: Ituran da Echo de Setembro</t>
  </si>
  <si>
    <t>JUROS SALDO UTILIZ ATE LIMITE PERIODO: 30/08 A 29/09/16</t>
  </si>
  <si>
    <t>Fatura NuBank MasterCard</t>
  </si>
  <si>
    <t>IOF IMPOSTO OPERACOES FINANCEIRAS PERIODO: 01/09 A 30/09/16</t>
  </si>
  <si>
    <t>IOF ADICIONAL - AUTOMATICO PERIODO: 01/09 A 30/09/16</t>
  </si>
  <si>
    <t xml:space="preserve"> REMUNERACAO CONTAMAX CDB DI</t>
  </si>
  <si>
    <t>Coxinhas da Feira</t>
  </si>
  <si>
    <t>Aluguel: Seguro Fiança (00/00)</t>
  </si>
  <si>
    <t>Materiais para encapar caixas</t>
  </si>
  <si>
    <t xml:space="preserve">Dois livros de CartoMancia do eManuEl. </t>
  </si>
  <si>
    <t>Dogão do Trailler de frente ao parke</t>
  </si>
  <si>
    <t>JUROS SALDO UTILIZ ATE LIMITE PERIODO: 30/09 A 30/10</t>
  </si>
  <si>
    <t>Trabalho: Almoço no centro</t>
  </si>
  <si>
    <t xml:space="preserve">Novembro / 2016 </t>
  </si>
  <si>
    <t xml:space="preserve">Da CEF </t>
  </si>
  <si>
    <t>Papéis de crafiti de embrulhos</t>
  </si>
  <si>
    <t>IOF IMPOSTO OPERACOES FINANCEIRAS PERIODO: 01/10 A 31/10/16</t>
  </si>
  <si>
    <t>IOF ADICIONAL - AUTOMATICO PERIODO: 01/10 A 31/10/16</t>
  </si>
  <si>
    <t>Despacho de livros do MDD</t>
  </si>
  <si>
    <t>Aluguel: Seguro Fiança (01/10)</t>
  </si>
  <si>
    <t>Buchas de lavar garrafas</t>
  </si>
  <si>
    <t xml:space="preserve">Pagamento Taxa de RG novo </t>
  </si>
  <si>
    <t>Trabalho: Café do Shoppings</t>
  </si>
  <si>
    <t>Para a poupança de futuros</t>
  </si>
  <si>
    <t>Pá de cocô e Mato de comida</t>
  </si>
  <si>
    <t>Cortador de comprimidos</t>
  </si>
  <si>
    <t xml:space="preserve">Trabalho: Cafés da Tarde no Atrium </t>
  </si>
  <si>
    <t xml:space="preserve">Automotivo: Ituran Echo - Novembro </t>
  </si>
  <si>
    <t>Bateria nova no Pejô</t>
  </si>
  <si>
    <t>Symbicort 12/400, Budecorte e Ascepcia Gel</t>
  </si>
  <si>
    <t xml:space="preserve">Fatura Santander Master </t>
  </si>
  <si>
    <t>Itau Visa</t>
  </si>
  <si>
    <t>IOF IMPOSTO OPERACOES FINANCEIRAS PERIODO: 01/11 A 30/11/16</t>
  </si>
  <si>
    <t>IOF ADICIONAL - AUTOMATICO PERIODO: 01/11 A 30/11/16</t>
  </si>
  <si>
    <t>GoPro Hero5 Black + Cartão de memória 64GB + acessórios</t>
  </si>
  <si>
    <t>Bolsa de celular plastica - cabos e diversos</t>
  </si>
  <si>
    <t>Agua de cocô e lancha no imirapuera</t>
  </si>
  <si>
    <t>rec. Férias 2015/2016 NTT Everis</t>
  </si>
  <si>
    <t xml:space="preserve">Estacionamento mensal </t>
  </si>
  <si>
    <t>Pagamento do restante do hotel LosRoques</t>
  </si>
  <si>
    <t>Transferencia par ao itau</t>
  </si>
  <si>
    <t>DO Itau</t>
  </si>
  <si>
    <t xml:space="preserve">Coisas para arrumar o cabelo </t>
  </si>
  <si>
    <t>Ber-locks do IstarWars</t>
  </si>
  <si>
    <t>Roupas intimas</t>
  </si>
  <si>
    <t>café do Pnto</t>
  </si>
  <si>
    <t>Console PS4 500GB CUH-1115A</t>
  </si>
  <si>
    <t>Game: Batman Arkham Knight</t>
  </si>
  <si>
    <t>Supper Piza PAM</t>
  </si>
  <si>
    <t>Daiso - Sacos de viagens</t>
  </si>
  <si>
    <t>Camsetas manga comprida anti-sol</t>
  </si>
  <si>
    <t>Roupas de vagens</t>
  </si>
  <si>
    <t>Iptu (0/10)</t>
  </si>
  <si>
    <t>Aluguel: Seguro Fiança (02/10)</t>
  </si>
  <si>
    <t>$ 550,00 USD para voagens</t>
  </si>
  <si>
    <t>Agua na Imbirapueras</t>
  </si>
  <si>
    <t>protetores Solares Adcos</t>
  </si>
  <si>
    <t>Porta-Dólares para viagens</t>
  </si>
  <si>
    <t>Cartucho Impressora 662 preto</t>
  </si>
  <si>
    <t>Bonés de sóis</t>
  </si>
  <si>
    <t xml:space="preserve">Shampoo e desodorizantes </t>
  </si>
  <si>
    <t>Mais $ 200,00 USDs</t>
  </si>
  <si>
    <t>Medicamentos de viagem</t>
  </si>
  <si>
    <t xml:space="preserve">Livro de viagem </t>
  </si>
  <si>
    <t>Shorts de praia</t>
  </si>
  <si>
    <t>saque para viagem</t>
  </si>
  <si>
    <t>StarBuques da Guarulhos</t>
  </si>
  <si>
    <t>13º Salario 2016</t>
  </si>
  <si>
    <t xml:space="preserve">Eletropaulo </t>
  </si>
  <si>
    <t xml:space="preserve">Automotivo: Ituran Echo - </t>
  </si>
  <si>
    <t>Lanches no shopping</t>
  </si>
  <si>
    <t>Kit Star Wars no cinema</t>
  </si>
  <si>
    <t>Areia de coco, Sache, raçao e mato de come</t>
  </si>
  <si>
    <t>The NY Burguews</t>
  </si>
  <si>
    <t>REMUNERACAO CONTAMAX CDB D</t>
  </si>
  <si>
    <t>Cremes Faciais</t>
  </si>
  <si>
    <t>Estacionamento no Shopping</t>
  </si>
  <si>
    <t>PerfumariaIves</t>
  </si>
  <si>
    <t>HortiFruti da Villa</t>
  </si>
  <si>
    <t>Pau de Séufie da Cristiane</t>
  </si>
  <si>
    <t>Agua e chocolate no nagumo</t>
  </si>
  <si>
    <t>Janeiro / 20167</t>
  </si>
  <si>
    <t xml:space="preserve">Pilhas de eletronicos </t>
  </si>
  <si>
    <t>Loja O Artesão LTDA</t>
  </si>
  <si>
    <t>Revisão 017 Pejô GGM3</t>
  </si>
  <si>
    <t>Meias, barras de cereais e queijos na americanas</t>
  </si>
  <si>
    <t>Madalena Cervejaria</t>
  </si>
  <si>
    <t>Madelana Cervejaria</t>
  </si>
  <si>
    <t>The burguês Map</t>
  </si>
  <si>
    <t xml:space="preserve">Fatura Tim Luiz </t>
  </si>
  <si>
    <t>Aluguel: Seguro Fiança (03/10)</t>
  </si>
  <si>
    <t>Bastõs de colas quentes</t>
  </si>
  <si>
    <t xml:space="preserve">IPVA da Echo </t>
  </si>
  <si>
    <t>Bolsas da cristiane</t>
  </si>
  <si>
    <t xml:space="preserve">Automotivo: Cancelamento do ituran da Echo </t>
  </si>
  <si>
    <t>IPVA do Pejô</t>
  </si>
  <si>
    <t xml:space="preserve">TC Monitor AOC </t>
  </si>
  <si>
    <t>Suporte TV Monitor AOC</t>
  </si>
  <si>
    <t xml:space="preserve">Insulfilm da frente da Echo </t>
  </si>
  <si>
    <t>Benalete e cimelide</t>
  </si>
  <si>
    <t>Novo gato para a Jade</t>
  </si>
  <si>
    <t>Farmáciuas de  gripes</t>
  </si>
  <si>
    <t>DrogaLeste medicamentos garganta</t>
  </si>
  <si>
    <t>The Burguês MAPs</t>
  </si>
  <si>
    <t>ViVaRa´s</t>
  </si>
  <si>
    <t>Estacionamento na Fnaco Paulistas</t>
  </si>
  <si>
    <t>Estacionamento no Market Place</t>
  </si>
  <si>
    <t>Remedio de pressão colesterol, budecorte e xarope</t>
  </si>
  <si>
    <t xml:space="preserve">Automotivo: Ultimo Ituran da Echo </t>
  </si>
  <si>
    <t>EletroPaulo - Dezembro/2016</t>
  </si>
  <si>
    <t>Trabalho: The Burguer Kinguios</t>
  </si>
  <si>
    <t xml:space="preserve">Trabalho: Frutas da Tarde </t>
  </si>
  <si>
    <t>Café de manha na VR´s</t>
  </si>
  <si>
    <t>Trabalho: The Spoletto´s</t>
  </si>
  <si>
    <t>The Rabibe´s</t>
  </si>
  <si>
    <t>Cappelletto D'Oro</t>
  </si>
  <si>
    <t>Mordedor de gato, spray Snti Séptico e Ebnóis</t>
  </si>
  <si>
    <t xml:space="preserve">Fatura Nubank Master </t>
  </si>
  <si>
    <t xml:space="preserve">Tarot: Workshop do Tabuleiro com oMarcelo Bueno (1/2) </t>
  </si>
  <si>
    <t>Pizzeria 021</t>
  </si>
  <si>
    <t>Materiais de natação</t>
  </si>
  <si>
    <t>O Cantinho Venezuelano</t>
  </si>
  <si>
    <t>The Burguês 4-y</t>
  </si>
  <si>
    <t>confidence motel</t>
  </si>
  <si>
    <t>SuperPizza PAM!</t>
  </si>
  <si>
    <t xml:space="preserve">Condominio de fevereiro </t>
  </si>
  <si>
    <t>Fatura TIM Luiz -</t>
  </si>
  <si>
    <t>Revistas Illuminati e celtas</t>
  </si>
  <si>
    <t xml:space="preserve">Adiantamento Quinzenal </t>
  </si>
  <si>
    <t>Tarot: Workshop do Tabuleiro com oM arcelo Bueno (2/2)</t>
  </si>
  <si>
    <t>Ração de Gatos Bebês</t>
  </si>
  <si>
    <t>Vienna´s do Shopping´s</t>
  </si>
  <si>
    <t>Cortar cabelos da cabeça</t>
  </si>
  <si>
    <t>Coisas de lnche de comer em casa</t>
  </si>
  <si>
    <t>Restaurante Torá SBC</t>
  </si>
  <si>
    <t>Deposito poupança programada</t>
  </si>
  <si>
    <t>The Burguers factory</t>
  </si>
  <si>
    <t>Brasart 160 + sinvascort</t>
  </si>
  <si>
    <t xml:space="preserve">Gazzozza na EchoSport GGM4 </t>
  </si>
  <si>
    <t>Autoposto KM 53</t>
  </si>
  <si>
    <t>Rososderv k 188</t>
  </si>
  <si>
    <t>Gazzozza na EchoSport GGM4 Auto Posto limoeiro</t>
  </si>
  <si>
    <t>Chiquinho Sorvetes</t>
  </si>
  <si>
    <t>Ula Ula Sorvetes</t>
  </si>
  <si>
    <t>Batadas do Burguês Kingiuos</t>
  </si>
  <si>
    <t>RodoSnack Smeraldah</t>
  </si>
  <si>
    <t>Maristelas</t>
  </si>
  <si>
    <t>estacionamento na paulista</t>
  </si>
  <si>
    <t xml:space="preserve">Para o enfermeiro que cuida da dona conceição </t>
  </si>
  <si>
    <t>IOF IMPOSTO OPERACOES FINANCEIRAS PERIODO: 01/02 A 28/02/17</t>
  </si>
  <si>
    <t>IOF ADICIONAL - AUTOMATICO PERIODO: 01/02 A 28/02/17</t>
  </si>
  <si>
    <t xml:space="preserve">Fatura Telefonica - Tim Luiz </t>
  </si>
  <si>
    <t>Tarot: Sola Buca Tarot by Giordanno Berti</t>
  </si>
  <si>
    <t>Estacionamento no Shoppoing</t>
  </si>
  <si>
    <t>Seguro Fiança (04/10)</t>
  </si>
  <si>
    <t>Coxinha na feira</t>
  </si>
  <si>
    <t>Cafés de shopings</t>
  </si>
  <si>
    <t>Tx Interrupção registro crea-df</t>
  </si>
  <si>
    <t>Pastas de dentes dentais</t>
  </si>
  <si>
    <t>H.R. Giger 1964-1984</t>
  </si>
  <si>
    <t>TED DEVOLVIDA DIF TITULARIDADE CIP DIVERGENCIA NO CPF/CNPJ</t>
  </si>
  <si>
    <t>Café do shopping</t>
  </si>
  <si>
    <t>O Grão Expresso´s</t>
  </si>
  <si>
    <t>Saque para diversos no Shoippings</t>
  </si>
  <si>
    <t>The Beer Fest de Santo André</t>
  </si>
  <si>
    <t>EletroPaulos</t>
  </si>
  <si>
    <t>Trabalho: Café do Shopping</t>
  </si>
  <si>
    <t>Publicação do HGR Giger</t>
  </si>
  <si>
    <t>Consuilta na clinica LIfeMan</t>
  </si>
  <si>
    <t>Lifemen (01/10)</t>
  </si>
  <si>
    <t>Rifa do PS4</t>
  </si>
  <si>
    <t>JUROS SALDO UTILIZ ATE LIMITE PERIODO: 28/02 A 29/03/17</t>
  </si>
  <si>
    <t>IOF IMPOSTO OPERACOES FINANCEIRAS PERIODO: 01/03 A 31/03/17</t>
  </si>
  <si>
    <t>IOF ADICIONAL - AUTOMATICO PERIODO: 01/03 A 31/03/17</t>
  </si>
  <si>
    <t>Remuneração de conta CDB CDI</t>
  </si>
  <si>
    <t>Sobremesas de Grão Expresso´s</t>
  </si>
  <si>
    <t>Aluguel: Seguro Fiança (05/10)</t>
  </si>
  <si>
    <t>Cabo USB HD externo Mini</t>
  </si>
  <si>
    <t xml:space="preserve">Sobremesa de depois de o almoço </t>
  </si>
  <si>
    <t xml:space="preserve">Game: Rise of Tomb Rider + Uncharted 4 </t>
  </si>
  <si>
    <t>Torta de Cheese Cake</t>
  </si>
  <si>
    <t>Pasteis de Feira´s</t>
  </si>
  <si>
    <t>Encadernação de manual de baralhos</t>
  </si>
  <si>
    <t>No centro na clinica</t>
  </si>
  <si>
    <t>Anéis da Vivara</t>
  </si>
  <si>
    <t xml:space="preserve">IRPF 2017 (01/08) </t>
  </si>
  <si>
    <t>Ó Marias Feijoadas</t>
  </si>
  <si>
    <t>Restaurante America SCS</t>
  </si>
  <si>
    <t xml:space="preserve"> Maio / 2017</t>
  </si>
  <si>
    <t>Baterias para a balança de Pesos</t>
  </si>
  <si>
    <t>Baterias para o Monitor Cardiaco</t>
  </si>
  <si>
    <t>Juros Saldo utilizado até o Limite Periodo:  01/04/17 A 30/04/17</t>
  </si>
  <si>
    <t>IOF IMPOSTO OPERACOES FINANCEIRAS PERIODO: 01/04 A 30/04/17</t>
  </si>
  <si>
    <t>IOF ADICIONAL - AUTOMATICO PERIODO: 01/04 A 30/04/17</t>
  </si>
  <si>
    <t>Tratado dobre o Tarot de Thoth - Sergio Bronze</t>
  </si>
  <si>
    <t>revista Antestéria - Luiz ANtonio Carlin</t>
  </si>
  <si>
    <t xml:space="preserve">Trabalho: Café de Shopping + Agua </t>
  </si>
  <si>
    <t>NotaFiscal paulistana</t>
  </si>
  <si>
    <t>Lifemen (02/10)</t>
  </si>
  <si>
    <t xml:space="preserve">Remédios de pressão e colesteróis </t>
  </si>
  <si>
    <t>Trabalho: Café BAO do shopping</t>
  </si>
  <si>
    <t>Licenciamento DPVAT do Pejô</t>
  </si>
  <si>
    <t xml:space="preserve">Licenciamento DPVAT da Echo </t>
  </si>
  <si>
    <t>Cheque - 000002 - Medico Ortomolecular</t>
  </si>
  <si>
    <t xml:space="preserve">Trabalho: Cafés de Shoppings </t>
  </si>
  <si>
    <t>Kapyrotagya: VI Simpósionacional de Hermetismo</t>
  </si>
  <si>
    <t>Areia de coco e planta de comer</t>
  </si>
  <si>
    <t>Trabalho: Café de tarde</t>
  </si>
  <si>
    <t>Pasteis do treveo de bertiogas</t>
  </si>
  <si>
    <t>Estacionamento no ASO</t>
  </si>
  <si>
    <t>Trabalho: Café de Tardeesa</t>
  </si>
  <si>
    <t>JUROS SALDO UTILIZ ATE LIMITE PERIODO: 30/04 A 29/05/17</t>
  </si>
  <si>
    <t xml:space="preserve">IRPF 2017 (02/08) </t>
  </si>
  <si>
    <t xml:space="preserve">REMUNERACAO CONTAMAX CDB DI </t>
  </si>
  <si>
    <t>IOF ADICIONAL - AUTOMATICO PERIODO: 01/05 A 31/05/17</t>
  </si>
  <si>
    <t>IOF IMPOSTO OPERACOES FINANCEIRAS PERIODO: 01/05 A 31/05/17</t>
  </si>
  <si>
    <t>Ataque dos Titãs Nº 21</t>
  </si>
  <si>
    <t>Bingo da Motoka do Anderson</t>
  </si>
  <si>
    <t>Estacionamentos 2x</t>
  </si>
  <si>
    <t>Pãoes</t>
  </si>
  <si>
    <t>Condominio de Junho</t>
  </si>
  <si>
    <t>Lifemen (03/10)</t>
  </si>
  <si>
    <t>Estacionamento na FNAC</t>
  </si>
  <si>
    <t>Aluguel: Seguro Fiança (08/11)</t>
  </si>
  <si>
    <t>FelyWay + coisas diversas</t>
  </si>
  <si>
    <t>Tarot: New Century / Thoth Espanhol / King Solomon Oracle / frete</t>
  </si>
  <si>
    <t>Cortar os cabelos da cabeção #TapaNoVisu</t>
  </si>
  <si>
    <t>Remuneração conta MAX</t>
  </si>
  <si>
    <t xml:space="preserve">Revista Antestéria II </t>
  </si>
  <si>
    <t>Tarot: Brotherhood of light egyptian tarot</t>
  </si>
  <si>
    <t>Trabalho: Sobremesa de Torta de Cheese Cakes</t>
  </si>
  <si>
    <t xml:space="preserve">As baquetas do Mago </t>
  </si>
  <si>
    <t>Brocas Finas + lixas</t>
  </si>
  <si>
    <t xml:space="preserve">Spray Verniz fosco </t>
  </si>
  <si>
    <t>6 tiras de couro de 1,2m cada</t>
  </si>
  <si>
    <t xml:space="preserve">2 insensos </t>
  </si>
  <si>
    <t>8 pedas cristais</t>
  </si>
  <si>
    <t>Suporte soldador eletrico</t>
  </si>
  <si>
    <t>4 Papeis carbonos</t>
  </si>
  <si>
    <t>Pasteis do trevo de vertioga</t>
  </si>
  <si>
    <t xml:space="preserve">Entrada pro 1º de Maio </t>
  </si>
  <si>
    <t xml:space="preserve">Vinhão quente no 1º de maio </t>
  </si>
  <si>
    <t xml:space="preserve">Dogãos no 1º de maio </t>
  </si>
  <si>
    <t xml:space="preserve">Estacionamento no centro do 1º de maio </t>
  </si>
  <si>
    <t>Trabalho: Cafés de Shoppings</t>
  </si>
  <si>
    <t>Trabalho: Café da Manhã</t>
  </si>
  <si>
    <t>IRPF 2017 (03/08)</t>
  </si>
  <si>
    <t xml:space="preserve">Pães de Queijos </t>
  </si>
  <si>
    <t>JUROS SALDO UTILIZ ATE LIMITE PERIODO: 30/05 A 29/06/17</t>
  </si>
  <si>
    <t>Restaurante do shopping atriums</t>
  </si>
  <si>
    <t>Paccocca´s VR´os</t>
  </si>
  <si>
    <t>IOF IMPOSTO OPERACOES FINANCEIRAS PERIODO: 01/06 A 30/06/1</t>
  </si>
  <si>
    <t>IOF ADICIONAL - AUTOMATICO PERIODO: 01/06 A 30/06/17</t>
  </si>
  <si>
    <t>Lifemen (04/10)</t>
  </si>
  <si>
    <t>Condominio de Julho</t>
  </si>
  <si>
    <t>Cóquinhas para a ajantar</t>
  </si>
  <si>
    <t>Churros no parque</t>
  </si>
  <si>
    <t>Lavação do Carro GGM3</t>
  </si>
  <si>
    <t xml:space="preserve">Cobertor de gato para oSHiro </t>
  </si>
  <si>
    <t>Trabalho: Lanche de Terde</t>
  </si>
  <si>
    <t>Pasteis do trevo de bertioga´s</t>
  </si>
  <si>
    <t>IRPF 2017 (04/08)</t>
  </si>
  <si>
    <t>JUROS SALDO UTILIZ ATE LIMITE PERIODO: 30/06/17 à 29/07/17</t>
  </si>
  <si>
    <t>Fatura NuBank Mastercard</t>
  </si>
  <si>
    <t>Fatura Santander MasterCard</t>
  </si>
  <si>
    <t>IOF IMPOSTO OPERACOES FINANCEIRAS PERIODO: 01/07 A 31/07/17</t>
  </si>
  <si>
    <t>IOF ADICIONAL - AUTOMATICO PERIODO: 01/07 A 31/07/17</t>
  </si>
  <si>
    <t>Fone de Ouvido SHQ1405BL</t>
  </si>
  <si>
    <t>Lifemen (05/10)</t>
  </si>
  <si>
    <t>Estacionamento na Laser Oculars</t>
  </si>
  <si>
    <t>Bakery Itiriki</t>
  </si>
  <si>
    <t>Trabalho: Cafés de Manhas</t>
  </si>
  <si>
    <t>Correio dos presentes do Frater Goya</t>
  </si>
  <si>
    <t>Café de manha no StarBurques</t>
  </si>
  <si>
    <t>Pesos Argentinos</t>
  </si>
  <si>
    <t>Fatura atrasada da eletroPaulo</t>
  </si>
  <si>
    <t>Saque de ARS 1.000,00 Santander Río Bois Nos Ares</t>
  </si>
  <si>
    <t>IRPF 2017 (05/08)</t>
  </si>
  <si>
    <t>JUROS SALDO UTILIZ ATE LIMITE PERIODO: 30/07/2017 à  296/08/2017</t>
  </si>
  <si>
    <t xml:space="preserve"> Stemebro / 2017 </t>
  </si>
  <si>
    <t>Pagamento Fatura Santandert Master</t>
  </si>
  <si>
    <t>IOF IMPOSTO OPERACOES FINANCEIRAS PERIODO: 01/08 A 31/08/17</t>
  </si>
  <si>
    <t>IOF ADICIONAL - AUTOMATICO PERIODO: 01/08 A 31/08/17</t>
  </si>
  <si>
    <t>Tarot: Thoth Green Border do Leonardo Chioda</t>
  </si>
  <si>
    <t>Pasteis do trevo</t>
  </si>
  <si>
    <t>Coxinhas no parque</t>
  </si>
  <si>
    <t>Coxinhas de Feira no Chicão Espaço Verdes</t>
  </si>
  <si>
    <t>Estacionamento mensal do Atrim</t>
  </si>
  <si>
    <t xml:space="preserve">Estacionamento no Life de Men </t>
  </si>
  <si>
    <t xml:space="preserve">Multa Pejô Setembro </t>
  </si>
  <si>
    <t>Tarot: Tarot of Dreams</t>
  </si>
  <si>
    <t>Tarot: Borderless RiderWaite Smith</t>
  </si>
  <si>
    <t>Tarot: Ciro Marchetti: Tarot od Dreams</t>
  </si>
  <si>
    <t>Trabalho: Lanche de A Tarde</t>
  </si>
  <si>
    <t>Cortarr Cabelos</t>
  </si>
  <si>
    <t>Trabalho: Grilletto´s</t>
  </si>
  <si>
    <t>Trabalho: Lanche de A Tardes</t>
  </si>
  <si>
    <t>IRPF 2017 (06/08)</t>
  </si>
  <si>
    <t>Almanaque ilustrado de simbnolos</t>
  </si>
  <si>
    <t>IOF IMPOSTO OPERACOES FINANCEIRAS PERIODO: 01/09 A 30/09/17</t>
  </si>
  <si>
    <t>IOF ADICIONAL - AUTOMATICO PERIODO: 01/09 A 30/09/17</t>
  </si>
  <si>
    <t>Rinosoro para os narizez</t>
  </si>
  <si>
    <t>JUROS SALDO UTILIZ ATE LIMITE PERIODO: 30/08 A 29/09/17</t>
  </si>
  <si>
    <t>Os pasteis da Feira</t>
  </si>
  <si>
    <t>Trabalho: Sorvetes</t>
  </si>
  <si>
    <t>Cheque - 000003 - Chaveiros para destravar portas</t>
  </si>
  <si>
    <t xml:space="preserve">Programada Mensal </t>
  </si>
  <si>
    <t>Estacionamento na Vida de homem</t>
  </si>
  <si>
    <t>Ataque dos Titãs Nº 22</t>
  </si>
  <si>
    <t>IRPF 2017 (07/08)</t>
  </si>
  <si>
    <t xml:space="preserve">Juros no periodo </t>
  </si>
  <si>
    <t xml:space="preserve">Taxa renovação passaporte cristiane </t>
  </si>
  <si>
    <t>IOF IMPOSTO OPERACOES FINANCEIRAS PERIODO: 01/10 A 31/10/17</t>
  </si>
  <si>
    <t>IOF ADICIONAL - AUTOMATICO PERIODO: 01/10 31/10</t>
  </si>
  <si>
    <t xml:space="preserve">Mini BatAfleck Diecast </t>
  </si>
  <si>
    <t>estacionamento na liberade</t>
  </si>
  <si>
    <t>2 cabos de iPOhones</t>
  </si>
  <si>
    <t>Café de Shoppings</t>
  </si>
  <si>
    <t>Estacionamento no PEP SCS</t>
  </si>
  <si>
    <t>Aluguel: Seguro Fiança (01/11)</t>
  </si>
  <si>
    <t xml:space="preserve">Estacionamento no simposio </t>
  </si>
  <si>
    <t xml:space="preserve">Restaurante Rung he no VI Simposio de Bruxão </t>
  </si>
  <si>
    <t>Estacionamento no Simpósio de Bruxão</t>
  </si>
  <si>
    <t>Creme Hinode</t>
  </si>
  <si>
    <t>O  Sonda Supermercados</t>
  </si>
  <si>
    <t>Bella Vitorias</t>
  </si>
  <si>
    <t>Temakeria E Cia de O Shopping</t>
  </si>
  <si>
    <t xml:space="preserve">TRANSFERENCIA PROGRAMADA PARA: 0642.60.011323-6 </t>
  </si>
  <si>
    <t>Trabalho: Cafés de depois de O AlMoços</t>
  </si>
  <si>
    <t>Cafés de Shoppintd</t>
  </si>
  <si>
    <t>Papeis diversos da Nivaldir Mix</t>
  </si>
  <si>
    <t>Correios para apucarana</t>
  </si>
  <si>
    <t>Sinvascort e cours</t>
  </si>
  <si>
    <t>Omeprazóis Enois , doresflexes e ataduras</t>
  </si>
  <si>
    <t>Comprimidos Anti Pulgas</t>
  </si>
  <si>
    <t>Tapiocas do Shoppings</t>
  </si>
  <si>
    <t>Cafés de Star Buques</t>
  </si>
  <si>
    <t xml:space="preserve">Rancho 53 cafés </t>
  </si>
  <si>
    <t>Quinta do Marques 57</t>
  </si>
  <si>
    <t>IOF IMPOSTO OPERACOES FINANCEIRAS PERIODO: 01/11 A 30/11/17</t>
  </si>
  <si>
    <t>IOF ADICIONAL - AUTOMATICO PERIODO: 01/11 30/11</t>
  </si>
  <si>
    <t>Villa Natural restaurante verdes</t>
  </si>
  <si>
    <t>Temakeria e Cia</t>
  </si>
  <si>
    <t>Entradas para a Mystic Fair</t>
  </si>
  <si>
    <t>LifeMen (09/10)</t>
  </si>
  <si>
    <t xml:space="preserve">Credito Férias </t>
  </si>
  <si>
    <t>Panetones para Os Paranás</t>
  </si>
  <si>
    <t>Remedios de cagar da cristiane</t>
  </si>
  <si>
    <t>Carry4 do Atriums</t>
  </si>
  <si>
    <t>Lojas contem 1G</t>
  </si>
  <si>
    <t>Relógio Citizen Agualand II</t>
  </si>
  <si>
    <t>The Johnny Rockts Burgues</t>
  </si>
  <si>
    <t xml:space="preserve">Nagumo´s (1) </t>
  </si>
  <si>
    <t>Casa de queijos de Bufalas</t>
  </si>
  <si>
    <t>Areia, ração, bandeja de areia</t>
  </si>
  <si>
    <t xml:space="preserve">Nagumo´s (2) </t>
  </si>
  <si>
    <t>Nagumous</t>
  </si>
  <si>
    <t>Aluguel: Seguro Fiança (02/11)</t>
  </si>
  <si>
    <t xml:space="preserve">Compra de Dólares (600)  e Pesos mexicanos (10.000) </t>
  </si>
  <si>
    <t xml:space="preserve">Produtos das AdCos </t>
  </si>
  <si>
    <t>Malas de viagem (mais malas</t>
  </si>
  <si>
    <t xml:space="preserve">Roupas da Herinque </t>
  </si>
  <si>
    <t>Mini Action Batimas Arlequina dieCasts</t>
  </si>
  <si>
    <t>Presentes de aniversário da Gabriella</t>
  </si>
  <si>
    <t>Camiseta Riders Camuflada</t>
  </si>
  <si>
    <t>óleos e semi revisão na EchoSports</t>
  </si>
  <si>
    <t>A Lancheria petropolis</t>
  </si>
  <si>
    <t>2 Azuka Langley no catuai</t>
  </si>
  <si>
    <t>berloques da vivara</t>
  </si>
  <si>
    <t>Lingeries novasd</t>
  </si>
  <si>
    <t>Depilação com cera quentas</t>
  </si>
  <si>
    <t>Remedios de dores de costas</t>
  </si>
  <si>
    <t>Cafés no shoppings</t>
  </si>
  <si>
    <t>Mais presentes da Gabriella</t>
  </si>
  <si>
    <t>Roupas da Rener</t>
  </si>
  <si>
    <t>2 cintos da mOfficer</t>
  </si>
  <si>
    <t>Pomadas de queimaduras e buxas</t>
  </si>
  <si>
    <t>Restaurante posto lanchonete Palomas</t>
  </si>
  <si>
    <t>Rodoserve RodoStar</t>
  </si>
  <si>
    <t>A quinta do Marquez</t>
  </si>
  <si>
    <t>Anti-inflamatorios nisumelidi</t>
  </si>
  <si>
    <t xml:space="preserve">Carregador de Table + BAGS de Celular </t>
  </si>
  <si>
    <t>Sukiya Santo André centro</t>
  </si>
  <si>
    <t>Vidro Eco-drive Promaster C660 Sailhawk  JR4045-57E TZ10002T</t>
  </si>
  <si>
    <t>Saque para a Adriana</t>
  </si>
  <si>
    <t>Vinhos de presente da adriana</t>
  </si>
  <si>
    <t>Mais Daques</t>
  </si>
  <si>
    <t>Star Buques do Aeroporti</t>
  </si>
  <si>
    <t>Mais lances de aeroporto</t>
  </si>
  <si>
    <t>Bolsas de brasisis</t>
  </si>
  <si>
    <t>13º Salario restante</t>
  </si>
  <si>
    <t xml:space="preserve">Rock &amp; Ribs do Atrium </t>
  </si>
  <si>
    <t xml:space="preserve">Cafes no Atrium </t>
  </si>
  <si>
    <t>Mais Nagumo´s</t>
  </si>
  <si>
    <t>IOF IMPOSTO OPERACOES FINANCEIRAS PERIODO: 01/12 A 31/12/17</t>
  </si>
  <si>
    <t>IOF ADICIONAL - AUTOMATICO PERIODO: 01/12 A 31/12/17</t>
  </si>
  <si>
    <t>LifeMen (10/10)</t>
  </si>
  <si>
    <t>Kopenhagem cafés</t>
  </si>
  <si>
    <t>Curso mergulho básico 101 Scafo</t>
  </si>
  <si>
    <t>Bateria do relogio Seculos</t>
  </si>
  <si>
    <t>estacionamento  no centro</t>
  </si>
  <si>
    <t>Restaurante Temakeria &amp; Cia</t>
  </si>
  <si>
    <t>Sinvascort</t>
  </si>
  <si>
    <t>Pomadas para os Tenis Evitar Bolhas</t>
  </si>
  <si>
    <t>Aluguel: Seguro Fiança (03/11)</t>
  </si>
  <si>
    <t>Estacionamento no LifeMen</t>
  </si>
  <si>
    <t>The BusGuers</t>
  </si>
  <si>
    <t xml:space="preserve">IPVA da Echo - Ano 2018 </t>
  </si>
  <si>
    <t>Dive Gear do Luizão</t>
  </si>
  <si>
    <t>Dive Gear da Cristiane</t>
  </si>
  <si>
    <t>Frutas do nagumo</t>
  </si>
  <si>
    <t>Almoço Shopping Botucatu</t>
  </si>
  <si>
    <t>Livro de fotos de Piraju</t>
  </si>
  <si>
    <t xml:space="preserve">RodoStar </t>
  </si>
  <si>
    <t>A Quinta do Marques</t>
  </si>
  <si>
    <t>IPVA do Pejô - Ano 2018</t>
  </si>
  <si>
    <t>DOC para o Silveira</t>
  </si>
  <si>
    <t>Corter os cabelos</t>
  </si>
  <si>
    <t>The Johnny Rocktes Burguesw</t>
  </si>
  <si>
    <t>Esfiha Shabab´s</t>
  </si>
  <si>
    <t>Almoço na padaria brasileiras</t>
  </si>
  <si>
    <t>Alfarres do curso de mergulhos</t>
  </si>
  <si>
    <t>Trabalho: The Burgues Konguios</t>
  </si>
  <si>
    <t>Caés do Carry-4</t>
  </si>
  <si>
    <t xml:space="preserve">Fatura EletroPaulo </t>
  </si>
  <si>
    <t>Shampoo para mascaras e Enois</t>
  </si>
  <si>
    <t>Vaca Preta na estrada de mergulho</t>
  </si>
  <si>
    <t>Thay Paraty restaurates</t>
  </si>
  <si>
    <t>Sorvetes Finlandeses em Paraty</t>
  </si>
  <si>
    <t xml:space="preserve">Pousada villa do Sol em Paraty </t>
  </si>
  <si>
    <t>Restaurante em Ubatubas</t>
  </si>
  <si>
    <t>Trabalho: McSorvete</t>
  </si>
  <si>
    <t xml:space="preserve">Cadarços de Tenis </t>
  </si>
  <si>
    <t>Duas Anuidades do CREAdf</t>
  </si>
  <si>
    <t>Trabalho: Torta de Cheese Cake</t>
  </si>
  <si>
    <t>Nagumoãos</t>
  </si>
  <si>
    <t>Revelar 4 fotos na pancolor</t>
  </si>
  <si>
    <t xml:space="preserve">Cheque - AA-00004 - Estacionamento </t>
  </si>
  <si>
    <t>IOF IMPOSTO OPERACOES FINANCEIRAS PERIODO: 01/01 A 31/01/18</t>
  </si>
  <si>
    <t>IOF ADICIONAL - AUTOMATICO PERIODO: 01/01 A 31/01/18</t>
  </si>
  <si>
    <t>Embalagens de cozinhas</t>
  </si>
  <si>
    <t>remedios de barrigas</t>
  </si>
  <si>
    <t>Aluguel: Seguro Fiança (04/11)</t>
  </si>
  <si>
    <t>Pasteis de  bertioga</t>
  </si>
  <si>
    <t>Sorvetes gourmets</t>
  </si>
  <si>
    <t>Chaveiros de Kanivetes</t>
  </si>
  <si>
    <t>Cardarçoes de Sapatos</t>
  </si>
  <si>
    <t>Loja argonauta: The Karma Tarot</t>
  </si>
  <si>
    <t>Loja argonauta: The Cogliosto Tarot</t>
  </si>
  <si>
    <t>Tarot: Visconti Il Meneghello</t>
  </si>
  <si>
    <t>Trabalho: Cafés da tardes</t>
  </si>
  <si>
    <t xml:space="preserve">IOF IMPOSTO OPERACOES FINANCEIRAS PERIODO: 01/02 A 28/02/18  </t>
  </si>
  <si>
    <t>IOF ADICIONAL - AUTOMATICO PERIODO: 01/02 A 28/02/18</t>
  </si>
  <si>
    <t>JUROS SALDO UTILIZ ATE LIMITE PERIODO: 01/02 A 28/02/18</t>
  </si>
  <si>
    <t>Condomino de Março/2018</t>
  </si>
  <si>
    <t>Estacionamento la na L.E.</t>
  </si>
  <si>
    <t>Joias Esotéricas (I)</t>
  </si>
  <si>
    <t>Joias Esotéricas (II)</t>
  </si>
  <si>
    <t>Aluguel: Seguro Fiança (05/11)</t>
  </si>
  <si>
    <t>Ataque dos Titãs Nº 23</t>
  </si>
  <si>
    <t>Cordinha de Pendrive</t>
  </si>
  <si>
    <t>Cortarr cabelos</t>
  </si>
  <si>
    <t>Trabalho: Grão Expressos</t>
  </si>
  <si>
    <t xml:space="preserve">Trabalho: McSorvetes </t>
  </si>
  <si>
    <t>Capinhas de celular a prova dágua</t>
  </si>
  <si>
    <t>Estacionamento no centro Santo André</t>
  </si>
  <si>
    <t>Relogio G-Sock Casio vintage Rosa</t>
  </si>
  <si>
    <t>Saque em cash para viagem Ilha Grande</t>
  </si>
  <si>
    <t>Taxa para a nova habilitação de deficientes</t>
  </si>
  <si>
    <t>JUROS SALDO UTILIZ ATE LIMITE PERIODO: 01/03 A 31/03/18</t>
  </si>
  <si>
    <t>Tylenol, Desodorizantes, Vaselinas de tenis e diversos</t>
  </si>
  <si>
    <t xml:space="preserve">Condominio - Abril - 2018 </t>
  </si>
  <si>
    <t>TIM Luiz (I)</t>
  </si>
  <si>
    <t>TIM Luiz (II)</t>
  </si>
  <si>
    <t>Aluguel: Seguro Fiança (06/11)</t>
  </si>
  <si>
    <t>Sebo PacoBello : O despertar dos mágicos</t>
  </si>
  <si>
    <t>Sorvetes Naturais S/A</t>
  </si>
  <si>
    <t>Restituioção da Riffa do Anderson Ribas</t>
  </si>
  <si>
    <t>Cheque - AA-000005 - conserto TV TH-50PY85LB</t>
  </si>
  <si>
    <t>Rong He liberade</t>
  </si>
  <si>
    <t>IOF IMPOSTO OPERACOES FINANCEIRAS PERIODO: 01/04 A 30/04/18</t>
  </si>
  <si>
    <t>IOF ADICIONAL - AUTOMATICO PERIODO: 01/03 A 30/04/18</t>
  </si>
  <si>
    <t>JUROS SALDO UTILIZ ATE LIMITE PERIODO: 01/04 A 30/04/18</t>
  </si>
  <si>
    <t>Para tapar os Rombos</t>
  </si>
  <si>
    <t xml:space="preserve">04 cabos de redes </t>
  </si>
  <si>
    <t xml:space="preserve">Trabalho: Estacionamento no Atrium Shopping/TIM </t>
  </si>
  <si>
    <t>Estacionamento na dentistras</t>
  </si>
  <si>
    <t>cortat os cabelos</t>
  </si>
  <si>
    <t>ifood do habibes</t>
  </si>
  <si>
    <t>Bateria do Swatch da Cristane</t>
  </si>
  <si>
    <t>Reserva na pousada Monte Verdes</t>
  </si>
  <si>
    <t>Cafés e aguas de Monte Verdes</t>
  </si>
  <si>
    <t>Cafés de Monrte Veres</t>
  </si>
  <si>
    <t>Chocoloates montagnhes</t>
  </si>
  <si>
    <t>Há-biubes</t>
  </si>
  <si>
    <t>Capinhas e peliculas do iPhone 8P</t>
  </si>
  <si>
    <t>Pizza rute do Shopping Mapping</t>
  </si>
  <si>
    <t>TED para a dentistra Hikari Odontologia Integrada</t>
  </si>
  <si>
    <t>Pasteis de feira</t>
  </si>
  <si>
    <t>Barra da calça</t>
  </si>
  <si>
    <t>Estacionamenta dentistas</t>
  </si>
  <si>
    <t>Cheque - AA-000006- Dentistas</t>
  </si>
  <si>
    <t>Mapa Astral pelo Gelo do VortxCaosCast</t>
  </si>
  <si>
    <t>IOF IMPOSTO OPERACOES FINANCEIRAS PERIODO: 01/05 A 31/05/18</t>
  </si>
  <si>
    <t>IOF ADICIONAL - AUTOMATICO PERIODO: 01/05 A 31/05/18</t>
  </si>
  <si>
    <t>JUROS SALDO UTILIZ ATE LIMITE PERIODO: 01/05 A 31/05/18</t>
  </si>
  <si>
    <t>Fatura Telefonica TIM Lui z</t>
  </si>
  <si>
    <t>Tarot: Curso proibido Tarot Crowley - Metodo leitura G.D. / Frater Goya / Merkabah</t>
  </si>
  <si>
    <t>Baralho cigano Sibilla della zingara</t>
  </si>
  <si>
    <t>Grama de gato comer</t>
  </si>
  <si>
    <t>Saques Gerais</t>
  </si>
  <si>
    <t>Baterias de relogios para o monitor cardiaaco</t>
  </si>
  <si>
    <t xml:space="preserve">Reconhecer firmas o cartório </t>
  </si>
  <si>
    <t>Procuração pra vender a casa de piraju</t>
  </si>
  <si>
    <t>Autenticar copias no centro</t>
  </si>
  <si>
    <t>Estacionamento na Dentistas</t>
  </si>
  <si>
    <t xml:space="preserve">Trabalho: Pão de queijo + todinho </t>
  </si>
  <si>
    <t xml:space="preserve">Adiantamento 1ª parcela 13º salario </t>
  </si>
  <si>
    <t>Shampooos e desodorizantes</t>
  </si>
  <si>
    <t xml:space="preserve">Case Logic de HD para qurdar cabos </t>
  </si>
  <si>
    <t>O Cruzeiros B.A.R.</t>
  </si>
  <si>
    <t>Farmácia do Shoppings</t>
  </si>
  <si>
    <t>Lojas Ikesaquis</t>
  </si>
  <si>
    <t>Sorvetes Naturais AS</t>
  </si>
  <si>
    <t>Supermercado do nagumos</t>
  </si>
  <si>
    <t>IOF IMPOSTO OPERACOES FINANCEIRAS PERIODO: 01/06 A 30/06/18</t>
  </si>
  <si>
    <t>IOF ADICIONAL - AUTOMATICO PERIODO: 01/06 A 30/06/18</t>
  </si>
  <si>
    <t>JUROS SALDO UTILIZ ATE LIMITE PERIODO: 01/06 A 30/06/18</t>
  </si>
  <si>
    <t>DOC para pagamento do frete da estante</t>
  </si>
  <si>
    <t>Trabalho: Café nobel</t>
  </si>
  <si>
    <t>Conserto panela + secador</t>
  </si>
  <si>
    <t>Fatura Telefonica TIM LUIZ</t>
  </si>
  <si>
    <t>Frete dos livros Sagrados da Thelema</t>
  </si>
  <si>
    <t>Stella da Revelation</t>
  </si>
  <si>
    <t xml:space="preserve">DPVAT - Seguro Obrigatório </t>
  </si>
  <si>
    <t>Licenciamento + postagem de docummentos</t>
  </si>
  <si>
    <t>Autenticar documentos</t>
  </si>
  <si>
    <t>Adiantamento Quinzenal  - everis Ntt Datas</t>
  </si>
  <si>
    <t xml:space="preserve">Da Caixa Economica CEF </t>
  </si>
  <si>
    <t>Goyas cosmrsticos</t>
  </si>
  <si>
    <t>Transferencia TED para o Oscar TupperWare</t>
  </si>
  <si>
    <t xml:space="preserve">Tarot: Sibillus para o Emanuel </t>
  </si>
  <si>
    <t xml:space="preserve">Saque para o Emanuel </t>
  </si>
  <si>
    <t>Incensos doiversps</t>
  </si>
  <si>
    <t>O Miguelitto´s Restaurante´s</t>
  </si>
  <si>
    <t>Revistaria de mitologias</t>
  </si>
  <si>
    <t>Trabalho: Alfarres</t>
  </si>
  <si>
    <t>Roupas (7 camisas, 1 Blazer  1 Sapatenes) Fatto a Manno</t>
  </si>
  <si>
    <t>Symbicrote 12/400 + Busonid 64Mg</t>
  </si>
  <si>
    <t>Trabalho: Café da Tarde</t>
  </si>
  <si>
    <t>THE Rong HE</t>
  </si>
  <si>
    <t>Mochila de viagems</t>
  </si>
  <si>
    <t>Condominio - Agosto - 2018</t>
  </si>
  <si>
    <t>EletroPaulo - Julho - 2018</t>
  </si>
  <si>
    <t xml:space="preserve">Cortar os cabelos de A Cabeça (de cima) </t>
  </si>
  <si>
    <t>Dr. Feet Podologias</t>
  </si>
  <si>
    <t>Saque para a aadriana1</t>
  </si>
  <si>
    <t>Fatura EletroPaulos</t>
  </si>
  <si>
    <t>Serviços da Alano Isençoes</t>
  </si>
  <si>
    <t>Saques para Os Correios</t>
  </si>
  <si>
    <t>Pasteis de bertioga</t>
  </si>
  <si>
    <t>Grãos e castanhas diversas</t>
  </si>
  <si>
    <t>Multa Pejô 01/12/2017</t>
  </si>
  <si>
    <t>Seguro Obrigatório DPVAT</t>
  </si>
  <si>
    <t xml:space="preserve">Taxa Licenciamento </t>
  </si>
  <si>
    <t xml:space="preserve">Taxa de Postagem </t>
  </si>
  <si>
    <t>02 Multas de 22/04/2018</t>
  </si>
  <si>
    <t>IOF IMPOSTO OPERACOES FINANCEIRAS PERIODO: 01/08 A 31/08/18</t>
  </si>
  <si>
    <t>IOF ADICIONAL - AUTOMATICO PERIODO: 01/08 A 30/08/18</t>
  </si>
  <si>
    <t>JUROS SALDO UTILIZ ATE LIMITE PERIODO: 01/08 A 30/08/18</t>
  </si>
  <si>
    <t xml:space="preserve">Boleto de condominio </t>
  </si>
  <si>
    <t>Fatura Telefonica - TIM 01</t>
  </si>
  <si>
    <t>Fatura Telefonica - TIM 02</t>
  </si>
  <si>
    <t>Cirtar os cabelos</t>
  </si>
  <si>
    <t>irpf 2018</t>
  </si>
  <si>
    <t>IOF IMPOSTO OPERACOES FINANCEIRAS PERIODO: 01/09 A 31/09/18</t>
  </si>
  <si>
    <t>IOF ADICIONAL - AUTOMATICO PERIODO: 01/09 A 30/09/18</t>
  </si>
  <si>
    <t>JUROS SALDO UTILIZ ATE LIMITE PERIODO: 01/09 A 30/09/18</t>
  </si>
  <si>
    <t>Documentação do P208 Griff Auto Business</t>
  </si>
  <si>
    <t>Concominio - Outubro/2018</t>
  </si>
  <si>
    <t>Faturas TIM</t>
  </si>
  <si>
    <t>Saque - fundo de Viagem</t>
  </si>
  <si>
    <t>Saque para diverspos</t>
  </si>
  <si>
    <t>Psteis do trevo de bergiga</t>
  </si>
  <si>
    <t>Chaveiro novo do Pejô chapolin</t>
  </si>
  <si>
    <t>Nutricionista da clinica Sagita</t>
  </si>
  <si>
    <t>Estacionamento na nutricionista Sagita</t>
  </si>
  <si>
    <t>Procuração para vender o Pejô 207</t>
  </si>
  <si>
    <t>Correios para enviar a procuração</t>
  </si>
  <si>
    <t>Estacionamento no correio s</t>
  </si>
  <si>
    <t>The Rong He</t>
  </si>
  <si>
    <t>Cabos de telefones</t>
  </si>
  <si>
    <t>Estacionamento no medicvos</t>
  </si>
  <si>
    <t>Insulfilm da frente</t>
  </si>
  <si>
    <t>Cheque - AA-XXXXXX - Dentistas</t>
  </si>
  <si>
    <t>IOF ADICIONAL - AUTOMATICO PERIODO: 01/10 A 31/10/18</t>
  </si>
  <si>
    <t>JUROS SALDO UTILIZ ATE LIMITE PERIODO: 01/10 A 30/10/18</t>
  </si>
  <si>
    <t>Gramas de gatos para comer</t>
  </si>
  <si>
    <t>Na dentista/Nutricionistas</t>
  </si>
  <si>
    <t xml:space="preserve">Saque para água mineral </t>
  </si>
  <si>
    <t>Condominio - Novembro / 2018</t>
  </si>
  <si>
    <t>Venda do Pejô GGM3</t>
  </si>
  <si>
    <t xml:space="preserve">Fatura TIM Extra </t>
  </si>
  <si>
    <t>Rong He da liberdade</t>
  </si>
  <si>
    <t>Estacionamento na nutricionistas</t>
  </si>
  <si>
    <t>na dentistas</t>
  </si>
  <si>
    <t>Para os futuros</t>
  </si>
  <si>
    <t>O Mundo do Palmito</t>
  </si>
  <si>
    <t xml:space="preserve">Cheque - AA-XXXXXX - Conserto da porta do banheiro </t>
  </si>
  <si>
    <t xml:space="preserve">Taxa de Jantar da GLESP </t>
  </si>
  <si>
    <t>Brasarth HCT 160/12mg</t>
  </si>
  <si>
    <t xml:space="preserve">Nagumos </t>
  </si>
  <si>
    <t>Saques para diverss</t>
  </si>
  <si>
    <t>IOF IMPOSTO OPERACOES FINANCEIRAS PERIODO: 01/11 A 30/11/18</t>
  </si>
  <si>
    <t>IOF ADICIONAL - AUTOMATICO PERIODO: 01/11 A 30/11/18</t>
  </si>
  <si>
    <t>JUROS SALDO UTILIZ ATE LIMITE PERIODO: 01/11 A 30/11/18</t>
  </si>
  <si>
    <t>Fatura Claro errada</t>
  </si>
  <si>
    <t>Condominio - Dezembro - 2018</t>
  </si>
  <si>
    <t>Planos de dados extras</t>
  </si>
  <si>
    <t>Lavar os tapetes</t>
  </si>
  <si>
    <t>Saldo restante de 13º salário</t>
  </si>
  <si>
    <t>Baterias do monitor cardiaco</t>
  </si>
  <si>
    <t>Saque para a adriana</t>
  </si>
  <si>
    <t xml:space="preserve">Cheque - AA-000009 - Dentistas </t>
  </si>
  <si>
    <t>Sorvetes de Pirajus</t>
  </si>
  <si>
    <t>AES Enel EletroPaulo</t>
  </si>
  <si>
    <t>Transferencia para a daemon editora</t>
  </si>
  <si>
    <t>Cheque - AA-0000010 - Remedios da cristyiane</t>
  </si>
  <si>
    <t>Filme plasticos para a cozinhas</t>
  </si>
  <si>
    <t>Janeiro /2019</t>
  </si>
  <si>
    <t>IOF IMPOSTO OPERACOES FINANCEIRAS PERIODO: 01/12/19 a 31/12/19</t>
  </si>
  <si>
    <t>IOF ADICIONAL - AUTOMATICO PERIODO: 01/12/19 a 31/12/19</t>
  </si>
  <si>
    <t>JUROS SALDO UTILIZ ATE LIMITE PERIODO: 01/12/19 a 31/12/19</t>
  </si>
  <si>
    <t>Condominio - Janeiro - 2019</t>
  </si>
  <si>
    <t xml:space="preserve">IPVA da Echo em 2019 </t>
  </si>
  <si>
    <t>DPVAT + Licenciamento da Echo em 2019</t>
  </si>
  <si>
    <t>Estacionamento na medica</t>
  </si>
  <si>
    <t xml:space="preserve">Cheque - AA-000010 - D.I.U </t>
  </si>
  <si>
    <t>Ataque dos Titãs Nº 25</t>
  </si>
  <si>
    <t>Estacinamento no centro</t>
  </si>
  <si>
    <t>Enel EletroPaulo - Janeiro - 2019</t>
  </si>
  <si>
    <t>Pacote da nutricionista pra 4 meses</t>
  </si>
  <si>
    <t>estacionamento na nutricionistas</t>
  </si>
  <si>
    <t>Férias 2017-2018</t>
  </si>
  <si>
    <t>Mais Selos, Grandes Temas</t>
  </si>
  <si>
    <t>Troca de bateria do Aqualand II JP-1060</t>
  </si>
  <si>
    <t>Fevereiro /2019</t>
  </si>
  <si>
    <t>IOF IMPOSTO OPERACOES FINANCEIRAS PERIODO: 01/01/19 a 31/01/19</t>
  </si>
  <si>
    <t>IOF ADICIONAL - AUTOMATICO PERIODO: 01/01/19 a 31/01/19</t>
  </si>
  <si>
    <t>JUROS SALDO UTILIZ ATE LIMITE PERIODO: 01/01/19 a 31/01/19</t>
  </si>
  <si>
    <t>Remuneração CDI</t>
  </si>
  <si>
    <t>Mais saques</t>
  </si>
  <si>
    <t>Almoço na liberdade no Rong He</t>
  </si>
  <si>
    <t>Sorvetes na sorveteria</t>
  </si>
  <si>
    <t>Maçonaria: 12 fotos 3x4</t>
  </si>
  <si>
    <t>Cafeses no Copen haggens do cocô</t>
  </si>
  <si>
    <t>Coxinhas no parques</t>
  </si>
  <si>
    <t>Sorvetes na ruas</t>
  </si>
  <si>
    <t>NO Grazzie nappolies</t>
  </si>
  <si>
    <t>Março /2019</t>
  </si>
  <si>
    <t>Enel EletroPaulo - Fevereiro - 2019</t>
  </si>
  <si>
    <t>IOF IMPOSTO OPERACOES FINANCEIRAS PERIODO: 01/03 A 31/03/19</t>
  </si>
  <si>
    <t>IOF ADICIONAL - AUTOMATICO PERIODO: 01/02 A 28/02/19</t>
  </si>
  <si>
    <t>JUROS SALDO UTILIZ ATE LIMITE PERIODO: 01/02 A 28/02/19</t>
  </si>
  <si>
    <t>Roupas novas de blusinha de tópi</t>
  </si>
  <si>
    <t>Cabos HDMI para Piraju</t>
  </si>
  <si>
    <t>Lavagem do Pejô GGM5 em Pirajus</t>
  </si>
  <si>
    <t>Sorvetes de Piraju´s</t>
  </si>
  <si>
    <t xml:space="preserve">Condominio - Março </t>
  </si>
  <si>
    <t>Café da Bisa em Apucarana</t>
  </si>
  <si>
    <t>estacionamento no shopping de apucarana</t>
  </si>
  <si>
    <t>50% Bishoujo Starfire - tomara que dê certo</t>
  </si>
  <si>
    <t>Pasteis no centro de Apucarana</t>
  </si>
  <si>
    <t>sorvetes do UlaUla</t>
  </si>
  <si>
    <t>Sinvastatima 20mg</t>
  </si>
  <si>
    <t>Gatorades</t>
  </si>
  <si>
    <t>coisas de muljeres</t>
  </si>
  <si>
    <t>Na sagittas</t>
  </si>
  <si>
    <t>Pasteis do trevo de Bertioga</t>
  </si>
  <si>
    <t>Sorvetes deliciosos diversos</t>
  </si>
  <si>
    <t>Estacionamento no Christóvão da Gammas</t>
  </si>
  <si>
    <t>Enel EletroPaulo</t>
  </si>
  <si>
    <t>Abril /2019</t>
  </si>
  <si>
    <t>IOF ADICIONAL - AUTOMATICO PERIODO: 01/03 A 31/03/19</t>
  </si>
  <si>
    <t>JUROS SALDO UTILIZ ATE LIMITE PERIODO: 01/03 A 31/03/19</t>
  </si>
  <si>
    <t>Na clinica Saggittas</t>
  </si>
  <si>
    <t xml:space="preserve">Condominio de Abril </t>
  </si>
  <si>
    <t xml:space="preserve">TED da CEF </t>
  </si>
  <si>
    <t>Multa da echo do Paraná de 2017</t>
  </si>
  <si>
    <t>Rong-He liberdade</t>
  </si>
  <si>
    <t xml:space="preserve">Microfone de celular </t>
  </si>
  <si>
    <t>Ataque dos Titãs Nº 26</t>
  </si>
  <si>
    <t>Estacionamento na Sagittas</t>
  </si>
  <si>
    <t>Suportes para enfeites da Sala</t>
  </si>
  <si>
    <t xml:space="preserve">Fatura da Claro </t>
  </si>
  <si>
    <t xml:space="preserve">Passagens para o Chile (01/04) </t>
  </si>
  <si>
    <t>Mini CanDeLabros + 3x Isqueiros de incensos</t>
  </si>
  <si>
    <t>07x02 Mini Porta Pratos para Cartas</t>
  </si>
  <si>
    <t xml:space="preserve">Enel Aes Eletro Pauloo </t>
  </si>
  <si>
    <t>Compra de $750 USD à  R$ 4,221893 - Fundo de Viagem pro Chille</t>
  </si>
  <si>
    <t>Maio /2019</t>
  </si>
  <si>
    <t>IOF IMPOSTO OPERACOES FINANCEIRAS PERIODO: 01/04/19 à 30/03/19</t>
  </si>
  <si>
    <t>IOF ADICIONAL - AUTOMATICO PERIODO: 01/04/19 à  30/03/19</t>
  </si>
  <si>
    <t>JUROS SALDO UTILIZ ATE LIMITE PERIODO: 01/04 A 30/04/19</t>
  </si>
  <si>
    <t>Condominio - Maio / 2019</t>
  </si>
  <si>
    <t xml:space="preserve">Passagens para o Chile (02/04) + Custos do Chile 2019 </t>
  </si>
  <si>
    <t xml:space="preserve">Estacionamento no medico </t>
  </si>
  <si>
    <t>Saldo Residual + Frete da Bishoujo StarFire</t>
  </si>
  <si>
    <t>Maçonaria: Gravata preta pra Maçonaria</t>
  </si>
  <si>
    <t>Os sorvetes naturais</t>
  </si>
  <si>
    <t>Sandálidas para a iniciação maçonica</t>
  </si>
  <si>
    <t>Estacionamento na nutricionista</t>
  </si>
  <si>
    <t>Energia Eletrica da ENEL</t>
  </si>
  <si>
    <t>Junho /2019</t>
  </si>
  <si>
    <t>IOF IMPOSTO OPERACOES FINANCEIRAS PERIODO: 01/05/19 à 31/05/19</t>
  </si>
  <si>
    <t>IOF ADICIONAL - AUTOMATICO PERIODO: 01/05/19 à  31/05/19</t>
  </si>
  <si>
    <t>JUROS SALDO UTILIZ ATE LIMITE PERIODO: 01/05 A 31/05/19</t>
  </si>
  <si>
    <t>Pagamento Fatura Santander Master</t>
  </si>
  <si>
    <t xml:space="preserve">Taxa: Iniciação de Apr.'.Maç.'. NE132 GLESP </t>
  </si>
  <si>
    <t xml:space="preserve">Maçonaria:Revelar 03 + 03 fotos da Iniciação </t>
  </si>
  <si>
    <t>Maçonaria: Etsacionamento 3 pontos da rua Taghuá</t>
  </si>
  <si>
    <t xml:space="preserve">Condominio - Junho - 2019 </t>
  </si>
  <si>
    <t>Massa Chinesa Rong-hr</t>
  </si>
  <si>
    <t>Na liberdade no Hong He</t>
  </si>
  <si>
    <t xml:space="preserve">Passagens para o Chile (03/04) </t>
  </si>
  <si>
    <t>Maçonaria: Nos Tres Pontos</t>
  </si>
  <si>
    <t>Visita da máquina de lavar</t>
  </si>
  <si>
    <t>Mais dois castiças de velas</t>
  </si>
  <si>
    <t>Contribuição Mensal - Junho/2019</t>
  </si>
  <si>
    <t>Cheeque - Materiais de Scraps</t>
  </si>
  <si>
    <t>Maçonaria: Pagamento do aniversário da loja</t>
  </si>
  <si>
    <t>Adiantamento 13º Salários</t>
  </si>
  <si>
    <t xml:space="preserve">Fatura ENEl </t>
  </si>
  <si>
    <t>Doceria holandeza</t>
  </si>
  <si>
    <t>Julho /2019</t>
  </si>
  <si>
    <t>Nutricionista Nutrir Corphus</t>
  </si>
  <si>
    <t>Condominio - Julho - 2019</t>
  </si>
  <si>
    <t>Fattura TIM Luiz</t>
  </si>
  <si>
    <t>O Porto fino shopping plaza</t>
  </si>
  <si>
    <t>Da Cef</t>
  </si>
  <si>
    <t>Passagens para o Chile (04/04)</t>
  </si>
  <si>
    <t>Estacionamento na LUMENS diagnósticos</t>
  </si>
  <si>
    <t xml:space="preserve">Cheque - 000015 - Conserto Do ralo do banheiro </t>
  </si>
  <si>
    <t xml:space="preserve">Fatura Enel - Julho - 2019 </t>
  </si>
  <si>
    <t>Agosto /2019</t>
  </si>
  <si>
    <t>Pagamento de Fatura CredCard Visa</t>
  </si>
  <si>
    <t>IOF IMPOSTO OPERACOES FINANCEIRAS PERIODO: 01/07 A 31/07/19</t>
  </si>
  <si>
    <t>IOF ADICIONAL - AUTOMATICO PERIODO: 01/07 A 31/07/19</t>
  </si>
  <si>
    <t>JUROS SALDO UTILIZ ATE LIMITE PERIODO: 01/07 A 31/07/19</t>
  </si>
  <si>
    <t>Estacionamento na laureate</t>
  </si>
  <si>
    <t>correio devolta pra PQP EarPod Original</t>
  </si>
  <si>
    <t>Estacionamento na dentsta</t>
  </si>
  <si>
    <t>Contribuição Mensal - Agosto/2019</t>
  </si>
  <si>
    <t>Aulas de Scrap diversas</t>
  </si>
  <si>
    <t>Fatura NuBank Cristiane</t>
  </si>
  <si>
    <t>Estacionamento no cardiologistas</t>
  </si>
  <si>
    <t>Ataque dos Titãs Nº 27</t>
  </si>
  <si>
    <t>Segredos Oculdos da Maçonaria</t>
  </si>
  <si>
    <t>Na tomografia</t>
  </si>
  <si>
    <t>Pagamento Fatura NuBank Master</t>
  </si>
  <si>
    <t>Pagamento Fatura Digio Visa</t>
  </si>
  <si>
    <t>Pagamento Fatura Trigg Master</t>
  </si>
  <si>
    <t>IOF IMPOSTO OPERACOES FINANCEIRAS PERIODO: 01/08 A 31/08/19</t>
  </si>
  <si>
    <t>IOF ADICIONAL - AUTOMATICO PERIODO: 01/08 A 31/08/19</t>
  </si>
  <si>
    <t>JUROS SALDO UTILIZ ATE LIMITE PERIODO: 01/08 A 31/08/19</t>
  </si>
  <si>
    <t>Novo conserto do Aspirador rainbow</t>
  </si>
  <si>
    <t>Pagamento de condominio</t>
  </si>
  <si>
    <t>Contribuição Mensal - Setembro/2019</t>
  </si>
  <si>
    <t xml:space="preserve">Jantar ritualistico </t>
  </si>
  <si>
    <t>IOF IMPOSTO OPERACOES FINANCEIRAS PERIODO: 01/09 A 30/09/19</t>
  </si>
  <si>
    <t>IOF ADICIONAL - AUTOMATICO PERIODO: 01/09 A 30/09/19</t>
  </si>
  <si>
    <t>JUROS SALDO UTILIZ ATE LIMITE PERIODO: 01/09 A 30/09/19</t>
  </si>
  <si>
    <t>Contribuição Mensal - Outubro/2019</t>
  </si>
  <si>
    <t xml:space="preserve">Recisãão da everis do Brasil </t>
  </si>
  <si>
    <t>Sukyia arrozes</t>
  </si>
  <si>
    <t>Cabos e carregadores de tablets</t>
  </si>
  <si>
    <t>Areias Silicas de cocos de gatos</t>
  </si>
  <si>
    <t>Borracha da haste do capo e botão de alertas</t>
  </si>
  <si>
    <t>Maçonaria: Ágape Copo d'agua Pedra Bruta</t>
  </si>
  <si>
    <t>Restaurante arabe na 25ª avenida</t>
  </si>
  <si>
    <t>milque xeiques na Sta. Efigenia</t>
  </si>
  <si>
    <t>HD SSD 1TB ultra da Sandisk</t>
  </si>
  <si>
    <t>Coisas do iPhone</t>
  </si>
  <si>
    <t>suco de laranjas</t>
  </si>
  <si>
    <t>Troca de oleo e manuitençao geral</t>
  </si>
  <si>
    <t>Remuneração conta max</t>
  </si>
  <si>
    <t>The Taco´s Bell´s</t>
  </si>
  <si>
    <t>Café dop Bauducos</t>
  </si>
  <si>
    <t>Tran s Poupança</t>
  </si>
  <si>
    <t>Java: Como Programar 8ª Ed - Livraria Pacobello</t>
  </si>
  <si>
    <t>Livro Infanto juvenil da Pacobello</t>
  </si>
  <si>
    <t>Pasta Power de limpeza Power</t>
  </si>
  <si>
    <t>Paccocca´s VR´S</t>
  </si>
  <si>
    <t>Maçonaria: Pre Sessão</t>
  </si>
  <si>
    <t>Maçonaria: Agape Copo D'agua</t>
  </si>
  <si>
    <t>Supper Grill Shopping Plaza</t>
  </si>
  <si>
    <t xml:space="preserve">Livros de UML + i-Ching na extante virtusal </t>
  </si>
  <si>
    <t>Leitura de tarot pelo Jão Petronilho</t>
  </si>
  <si>
    <t xml:space="preserve">Fatura enel - </t>
  </si>
  <si>
    <t>IOF IMPOSTO OPERACOES FINANCEIRAS PERIODO: 01/10 A 31/10/19</t>
  </si>
  <si>
    <t>IOF ADICIONAL - AUTOMATICO PERIODO: 01/10 A 31/10/19</t>
  </si>
  <si>
    <t>JUROS SALDO UTILIZ ATE LIMITE PERIODO: 01/10 A 31/10/19</t>
  </si>
  <si>
    <t>Remuneração Conta Maxi</t>
  </si>
  <si>
    <t>2x Cases HFs 2.5" no mercador livrfes</t>
  </si>
  <si>
    <t>6x Fotos 3x4</t>
  </si>
  <si>
    <t>Maçonaria: Estacionamento Tres Pontos</t>
  </si>
  <si>
    <t>Maçonaria: Agape copo Dágua</t>
  </si>
  <si>
    <t xml:space="preserve">Condominio de Novenbro </t>
  </si>
  <si>
    <t>Kharina Shopping Mapping</t>
  </si>
  <si>
    <t>Roupas novas de ir trabalhar na Global HITSS</t>
  </si>
  <si>
    <t>Papel Sulfitie</t>
  </si>
  <si>
    <t>Folhas de EVAs</t>
  </si>
  <si>
    <t>Sukyia</t>
  </si>
  <si>
    <t xml:space="preserve">Sodiê Cafés </t>
  </si>
  <si>
    <t>Symbicort 12/400 e remédios de asmas</t>
  </si>
  <si>
    <t>Restaurante no papping</t>
  </si>
  <si>
    <t xml:space="preserve">Maçonaria: Balandrau </t>
  </si>
  <si>
    <t xml:space="preserve">Maçonaria: Insencos </t>
  </si>
  <si>
    <t>Rong-He na liberdade</t>
  </si>
  <si>
    <t>Estacinamento na liberdade</t>
  </si>
  <si>
    <t>Star Buckes da paiulista</t>
  </si>
  <si>
    <t>Cartão BOM</t>
  </si>
  <si>
    <t>Trabalho:Chocolate daChácara</t>
  </si>
  <si>
    <t xml:space="preserve">Trabalho: Almoço </t>
  </si>
  <si>
    <t>Trabalho: Franz Café</t>
  </si>
  <si>
    <t>Trabalho: Franz café</t>
  </si>
  <si>
    <t>Para combustiveis na Echo</t>
  </si>
  <si>
    <t>Trabalho:Spoletto</t>
  </si>
  <si>
    <t>Trabalho: Cheese Cake + coffe</t>
  </si>
  <si>
    <t>Paccocca VR´s</t>
  </si>
  <si>
    <t>Contribuição Mensal - Novembro/2019</t>
  </si>
  <si>
    <t xml:space="preserve">Raçao e brinquedos </t>
  </si>
  <si>
    <t>Transf Autom. Poupança</t>
  </si>
  <si>
    <t>Trabalho: Terreaços</t>
  </si>
  <si>
    <t>Trabalho: café da tarde</t>
  </si>
  <si>
    <t>The Black Beef burgues ibirapueras</t>
  </si>
  <si>
    <t>Amazfit Verge</t>
  </si>
  <si>
    <t>Kit Fones Ouvidos MI True Wireless Earbuds</t>
  </si>
  <si>
    <t>Trabalho: Prattus</t>
  </si>
  <si>
    <t>Aula de scrap</t>
  </si>
  <si>
    <t>Trabalho:Consagrado Mineiro</t>
  </si>
  <si>
    <t>Brow's Burgues</t>
  </si>
  <si>
    <t>Armarinhos diversos</t>
  </si>
  <si>
    <t>Jack´s Shopping Metropolis</t>
  </si>
  <si>
    <t>Gazozza no pejo GGM5</t>
  </si>
  <si>
    <t>Temedios de Gripes diversos</t>
  </si>
  <si>
    <t>Trabalho: Estacionamento</t>
  </si>
  <si>
    <t>McDonaldos em casa</t>
  </si>
  <si>
    <t>Nostro Bieff</t>
  </si>
  <si>
    <t>Loja Linda Meninda</t>
  </si>
  <si>
    <t>A loja do Scraps</t>
  </si>
  <si>
    <t>Sukya</t>
  </si>
  <si>
    <t>Passagens pro paraná</t>
  </si>
  <si>
    <t>Gazzozza na echoS´port GGM4</t>
  </si>
  <si>
    <t>Magumps</t>
  </si>
  <si>
    <t>O Tapete mágico</t>
  </si>
  <si>
    <t>Coisas de aniversário</t>
  </si>
  <si>
    <t xml:space="preserve">Penultimo condominio caro </t>
  </si>
  <si>
    <t>A loja do Papels</t>
  </si>
  <si>
    <t>Kharina Mappimg</t>
  </si>
  <si>
    <t xml:space="preserve">Almoço na rua </t>
  </si>
  <si>
    <t>Transferencia programada poupança</t>
  </si>
  <si>
    <t>Almoço Cazamiga</t>
  </si>
  <si>
    <t xml:space="preserve">Fatura NuBank </t>
  </si>
  <si>
    <t>Rede de proteção de gatos</t>
  </si>
  <si>
    <t>fitas para caixas de mudanças</t>
  </si>
  <si>
    <t>Kharina almoços</t>
  </si>
  <si>
    <t>fios dentais</t>
  </si>
  <si>
    <t>Lojas mel</t>
  </si>
  <si>
    <t>Areia silica dw coco de gato</t>
  </si>
  <si>
    <t>No hospital</t>
  </si>
  <si>
    <t>Para a Loyahnnah</t>
  </si>
  <si>
    <t>Resgate de Poupança</t>
  </si>
  <si>
    <t>Para o ITAU</t>
  </si>
  <si>
    <t>ref. Combustivel act</t>
  </si>
  <si>
    <t>PIX: Para O MercadoPago CC</t>
  </si>
  <si>
    <t>ref. Salario act Digital Set/2024</t>
  </si>
  <si>
    <t>ref. Adiantamento salario act Digital Out/2024</t>
  </si>
  <si>
    <t>ref. Salario act Digital out/2024</t>
  </si>
  <si>
    <t>PIX: Porta-cartão de memórias DE PS2</t>
  </si>
  <si>
    <t>PIX: Frete: Porta-cartão de memórias DE PS2</t>
  </si>
  <si>
    <t xml:space="preserve">PIX: Para o Itau </t>
  </si>
  <si>
    <t xml:space="preserve">Juros e correções noperiodo </t>
  </si>
  <si>
    <t>Fatura Claro celular - Dezembro - 2024</t>
  </si>
  <si>
    <t>Maçonaria: contribuição mensal DezembRo/2024</t>
  </si>
  <si>
    <t>PIX: Canal do dente 17 (02/02)</t>
  </si>
  <si>
    <t>Saldo Recisão Act digital</t>
  </si>
  <si>
    <t>PIX: para o nubank</t>
  </si>
  <si>
    <t>Use essa linha para cheques</t>
  </si>
  <si>
    <t>Trabalho: Alfarrores</t>
  </si>
  <si>
    <t>Cartão: SEGURO CARTAO PROTEG CREDIT</t>
  </si>
  <si>
    <t>Presentes para a sandra</t>
  </si>
  <si>
    <t>Cama nova do Sebastian</t>
  </si>
  <si>
    <t>Cachecól novo de frio</t>
  </si>
  <si>
    <t>Blaser novo, cor de creme, veludo</t>
  </si>
  <si>
    <t>Johnny Rocket Burguers</t>
  </si>
  <si>
    <t>Tarot: Kelmt Tarot</t>
  </si>
  <si>
    <t>Tarot: Oráculo cabalistico</t>
  </si>
  <si>
    <t>Tarot: O Tarô das Associações</t>
  </si>
  <si>
    <t>La cantina</t>
  </si>
  <si>
    <t>Etna : Artigos de cozinha e casa</t>
  </si>
  <si>
    <t>Cartão: EST. SEGURO CARTAO PROTEG CRED</t>
  </si>
  <si>
    <t>Magato Bijuoux</t>
  </si>
  <si>
    <t>Com. De Embalagem Rizzo</t>
  </si>
  <si>
    <t xml:space="preserve">O Boticário Nano Serun </t>
  </si>
  <si>
    <t>Drogaria São Paulo</t>
  </si>
  <si>
    <t>MErcadoLivre</t>
  </si>
  <si>
    <t xml:space="preserve">Limpezas Geral </t>
  </si>
  <si>
    <t>Symbicort 12/400 + Budecorte Acqua</t>
  </si>
  <si>
    <t>Colore Pedrarias</t>
  </si>
  <si>
    <t>Kit Lembranças</t>
  </si>
  <si>
    <t>cabos de celelar</t>
  </si>
  <si>
    <t>Almoço no Sukyia</t>
  </si>
  <si>
    <t>Agua do Carrefur</t>
  </si>
  <si>
    <t>Paccoccca´s VRs - Lanche de Terde</t>
  </si>
  <si>
    <t>Paccocca´s Capri - Lanche de Terde</t>
  </si>
  <si>
    <t>PayPal*0Code</t>
  </si>
  <si>
    <t>PayPal</t>
  </si>
  <si>
    <t xml:space="preserve">Cabo novo de Iphone </t>
  </si>
  <si>
    <t xml:space="preserve">Capa + Pelicula iPhone 6S novo </t>
  </si>
  <si>
    <t>Imperador Sushi</t>
  </si>
  <si>
    <t>M&amp;M na americanas</t>
  </si>
  <si>
    <t>MercadoLIvre</t>
  </si>
  <si>
    <t>Cuecas novas</t>
  </si>
  <si>
    <t>iFood China im box</t>
  </si>
  <si>
    <t>Chuveirinho + taxa de orçamento de conserto de ferro de passar</t>
  </si>
  <si>
    <t>Duas camisas sociais</t>
  </si>
  <si>
    <t>sapato novo</t>
  </si>
  <si>
    <t xml:space="preserve">Burguer 4 you </t>
  </si>
  <si>
    <t>O Esquedrão Suicida</t>
  </si>
  <si>
    <t>Suportes de ceulares da kalunga</t>
  </si>
  <si>
    <t>Remedio para o Colesterol</t>
  </si>
  <si>
    <t>Remedio de pressão alta</t>
  </si>
  <si>
    <t>Creme pós barbas 5x1 do Bosticário</t>
  </si>
  <si>
    <t>Coisas de comer para cinemas</t>
  </si>
  <si>
    <t>Vinhos de festas</t>
  </si>
  <si>
    <t>Lanches de padaria</t>
  </si>
  <si>
    <t>Cruzeiro´s B.A.R.s</t>
  </si>
  <si>
    <t>Perfume Joops</t>
  </si>
  <si>
    <t>perfume pra cristiane</t>
  </si>
  <si>
    <t>Tiaras de straz</t>
  </si>
  <si>
    <t>fitas adesivas</t>
  </si>
  <si>
    <t>red bulls</t>
  </si>
  <si>
    <t>fraldas felinas</t>
  </si>
  <si>
    <t>conserto de ferro de passar</t>
  </si>
  <si>
    <t>Eno</t>
  </si>
  <si>
    <t xml:space="preserve">Setembro / 2016 </t>
  </si>
  <si>
    <t>Camiseta da Harley Quinn</t>
  </si>
  <si>
    <t>Capa iPhone 6S</t>
  </si>
  <si>
    <t>Cabeileileiros</t>
  </si>
  <si>
    <t>Mercado de Carne Sto André</t>
  </si>
  <si>
    <t>Cappelett Dóro</t>
  </si>
  <si>
    <t>Lavoro Papeis</t>
  </si>
  <si>
    <t>Kalugna</t>
  </si>
  <si>
    <t>Fluido de Radiador da EchoSport</t>
  </si>
  <si>
    <t>Tapete Yoga Mat Confort Rose</t>
  </si>
  <si>
    <t>Sonda de São BerNarDo</t>
  </si>
  <si>
    <t xml:space="preserve">Outubro / 2016 </t>
  </si>
  <si>
    <t>Curso de Pompoarismo com a Carol</t>
  </si>
  <si>
    <t>Nostro Bieffe</t>
  </si>
  <si>
    <t>Imperator SuShi</t>
  </si>
  <si>
    <t>Silhouette America</t>
  </si>
  <si>
    <t>IOF despesas no exterior</t>
  </si>
  <si>
    <t>Gazolina na EchoSport GGM4</t>
  </si>
  <si>
    <t xml:space="preserve">RJF Calçados </t>
  </si>
  <si>
    <t>Drogasil diversas</t>
  </si>
  <si>
    <t>Roupas da Herings</t>
  </si>
  <si>
    <t>Roteador D-LINK DIR-809 (01/03)</t>
  </si>
  <si>
    <t>o Cruzeiros B.A.R.s</t>
  </si>
  <si>
    <t>Roupas da LindaLaras</t>
  </si>
  <si>
    <t xml:space="preserve">MR Jack São Bernardo </t>
  </si>
  <si>
    <t>Café de manha na padoca´s</t>
  </si>
  <si>
    <t>Cappelletto D'oros</t>
  </si>
  <si>
    <t>Cafés de Tarde da Padoca´s</t>
  </si>
  <si>
    <t>Cortar i resti dis cabelos</t>
  </si>
  <si>
    <t>Remédio de evitar dores de cabeça</t>
  </si>
  <si>
    <t>GAZZOZZA na EchoSPort GGM4</t>
  </si>
  <si>
    <t xml:space="preserve">Reserva no hotel RJ </t>
  </si>
  <si>
    <t>Bombba clitoriana de seringa</t>
  </si>
  <si>
    <t>Bella Victória</t>
  </si>
  <si>
    <t>Variação cabial à debito</t>
  </si>
  <si>
    <t>The TT Burguers RJ</t>
  </si>
  <si>
    <t>Ubier</t>
  </si>
  <si>
    <t>Pizzas no hotel</t>
  </si>
  <si>
    <t>Ives Perfumaria</t>
  </si>
  <si>
    <t>Casa de Carnes Swift</t>
  </si>
  <si>
    <t>O Imperator SuShi´s</t>
  </si>
  <si>
    <t>Roteador D-LINK DIR-809 (02/03)</t>
  </si>
  <si>
    <t>Remnédio de pressão e colesterol</t>
  </si>
  <si>
    <t>The WallMarts</t>
  </si>
  <si>
    <t>Roteador Cisco Linksys EAN4500 (01/03)</t>
  </si>
  <si>
    <t xml:space="preserve">Roupas de parias </t>
  </si>
  <si>
    <t>Almoço no Shabbab´s</t>
  </si>
  <si>
    <t xml:space="preserve"> Dezembro/2016</t>
  </si>
  <si>
    <t>ScrapStore - furadores e papeis</t>
  </si>
  <si>
    <t>Sansei cosmétics</t>
  </si>
  <si>
    <t>Tonini confecções</t>
  </si>
  <si>
    <t>The Flying Sishi</t>
  </si>
  <si>
    <t xml:space="preserve">Mundial calçados </t>
  </si>
  <si>
    <t>Ettualla Cabeileireiros</t>
  </si>
  <si>
    <t>Roteador D-LINK DIR-809 (03/03)</t>
  </si>
  <si>
    <t>Roteador Cisco Linksys EAN4500 (02/03)</t>
  </si>
  <si>
    <t xml:space="preserve">Janeiro / 2017 </t>
  </si>
  <si>
    <t>Hortifruti da Villa</t>
  </si>
  <si>
    <t>Mercadinho P Souza</t>
  </si>
  <si>
    <t>Pernambucanas</t>
  </si>
  <si>
    <t>Cortador de Unhas, Anti Pulgas e brinquedos</t>
  </si>
  <si>
    <t>Passadeira à vapor para roupas</t>
  </si>
  <si>
    <t>Tarot: Atlantis Tarot</t>
  </si>
  <si>
    <t>Tarot: The Aquarian Tarot</t>
  </si>
  <si>
    <t>Roteador Cisco Linksys EAN4500 (03/03)</t>
  </si>
  <si>
    <t>Copacabana Praia Hotel</t>
  </si>
  <si>
    <t>eClipes restaurantes</t>
  </si>
  <si>
    <t>Bali Blue</t>
  </si>
  <si>
    <t>Casa Lealtex copa</t>
  </si>
  <si>
    <t xml:space="preserve">Dorgaria São Paulo </t>
  </si>
  <si>
    <t xml:space="preserve"> Fevereiro / 2017 </t>
  </si>
  <si>
    <t xml:space="preserve">Almoço no curso do Tabuleiro </t>
  </si>
  <si>
    <t xml:space="preserve">Riachuello </t>
  </si>
  <si>
    <t xml:space="preserve">Mobile App: Ios: </t>
  </si>
  <si>
    <t>PAGSEGURO*CIBELELIMA</t>
  </si>
  <si>
    <t>Capinhas para celulares</t>
  </si>
  <si>
    <t>Mobile App: Ios: Pokébolas</t>
  </si>
  <si>
    <t>IOF DESPESA NO EXTERIOR</t>
  </si>
  <si>
    <t>Imperator SuShi´s</t>
  </si>
  <si>
    <t>Farmnácias diversas</t>
  </si>
  <si>
    <t>Anuidade 12/12</t>
  </si>
  <si>
    <t>Software: PAYPAL *GOG LTD - Full Throttle Remaster</t>
  </si>
  <si>
    <t>$ 7,19 USD</t>
  </si>
  <si>
    <t>2 Camisetas Rock Club</t>
  </si>
  <si>
    <t>Tenis New Balance Marrow 574</t>
  </si>
  <si>
    <t>Harley Quinn new 52 Bishoujo</t>
  </si>
  <si>
    <t>Super Pizza, PAM!</t>
  </si>
  <si>
    <t>Ração, areia e brinquedos de gatos</t>
  </si>
  <si>
    <t>Burgues 4 you</t>
  </si>
  <si>
    <t xml:space="preserve">Trabalho: Atrium </t>
  </si>
  <si>
    <t>Estorno de Anuidade</t>
  </si>
  <si>
    <t xml:space="preserve">Variação Cambial </t>
  </si>
  <si>
    <t>ProPharmacos Pharmácias</t>
  </si>
  <si>
    <t>ETUALLA Cabeileireiros</t>
  </si>
  <si>
    <t>AppleStore</t>
  </si>
  <si>
    <t>Xiratas feira limpa</t>
  </si>
  <si>
    <t>Nostro biffer</t>
  </si>
  <si>
    <t>MONTEIRO MATA PIZZARIA</t>
  </si>
  <si>
    <t xml:space="preserve">Silhouette Cameo 3 (01/06) </t>
  </si>
  <si>
    <t>Tarot: The Forty Servants Chaos Magick Tarot</t>
  </si>
  <si>
    <t>$ 46.77 USD</t>
  </si>
  <si>
    <t>iof DO The Forty Servants Chaos Magick Tarot</t>
  </si>
  <si>
    <t>Berlusconi Bar e massas</t>
  </si>
  <si>
    <t>Pao de açucars</t>
  </si>
  <si>
    <t>AntiuAlérgicos, Enois, Capinhas e ademais</t>
  </si>
  <si>
    <t>Roupas da Renner</t>
  </si>
  <si>
    <t xml:space="preserve"> Maio / 2017 </t>
  </si>
  <si>
    <t>Pão de açucares</t>
  </si>
  <si>
    <t>Xirata feira Limpa</t>
  </si>
  <si>
    <t>Jogo de cartas de Uno</t>
  </si>
  <si>
    <t>TÊNIS NEW BALANCE 574 VINHO E AZUL - FEMININO</t>
  </si>
  <si>
    <t xml:space="preserve">Silhouette Cameo 3 (02/06) </t>
  </si>
  <si>
    <t>Blusas das Zaara´s</t>
  </si>
  <si>
    <t>Tarot: Jean Noblet Tarot + Connoly Tarot</t>
  </si>
  <si>
    <t>Tenis novos  (01/02)</t>
  </si>
  <si>
    <t>MobileApp:IOS:Joguinho</t>
  </si>
  <si>
    <t xml:space="preserve">IOF DESPESA NO EXTERIOR </t>
  </si>
  <si>
    <t>Cirata Feira Limpa</t>
  </si>
  <si>
    <t>Declathon</t>
  </si>
  <si>
    <t>Variação cambial à credito</t>
  </si>
  <si>
    <t>ScrapSotre diversos</t>
  </si>
  <si>
    <t>Cabos carregadores de iPHones</t>
  </si>
  <si>
    <t xml:space="preserve">Silhouette Cameo 3 (03/06) </t>
  </si>
  <si>
    <t>Scrap Store</t>
  </si>
  <si>
    <t>Xirata Feira Limpas</t>
  </si>
  <si>
    <t xml:space="preserve">Silhouette Cameo 3 (04/06) </t>
  </si>
  <si>
    <t xml:space="preserve">Automotivo: Seguro EchoSport (01/04) </t>
  </si>
  <si>
    <t>L'occitane au bresil</t>
  </si>
  <si>
    <t>Areias de cocô de Gatos</t>
  </si>
  <si>
    <t>Quem disse, Berenisse ?</t>
  </si>
  <si>
    <t xml:space="preserve">Loccitane AU brasil </t>
  </si>
  <si>
    <t>let´s Burguers</t>
  </si>
  <si>
    <t>US Dinners</t>
  </si>
  <si>
    <t xml:space="preserve">Tarot: The Jungian Tarot Deck </t>
  </si>
  <si>
    <t>Vivara´s do Sites</t>
  </si>
  <si>
    <t>Trabalho: Café de Tardes</t>
  </si>
  <si>
    <t>Trabalho: Lanche d Manhã</t>
  </si>
  <si>
    <t>Drogarias São Paulos</t>
  </si>
  <si>
    <t>Trabalho: Nonno Pazzinni</t>
  </si>
  <si>
    <t>Tarot: XIII Tarot by Nekro</t>
  </si>
  <si>
    <t>Tarot: Cosmic Tarot - Ingles</t>
  </si>
  <si>
    <t xml:space="preserve">Conserto do retorvisor da EchoSport </t>
  </si>
  <si>
    <t>Tarot: The Jungian Tarot Deck (us Games - NOT)</t>
  </si>
  <si>
    <t>TÊNIS NEW BALANCE 373 - PRETO FLORAL - FEMININO</t>
  </si>
  <si>
    <t>TÊNIS NEW BALANCE 373 - VERDE MILITAR - MASCULINO</t>
  </si>
  <si>
    <t xml:space="preserve">The Ultimate Brush Lettering Guide: A Complete Step-By-Step Creative Workbook to Jump Start Modern Calligraphy Skills </t>
  </si>
  <si>
    <t xml:space="preserve">Tarot: Renascentista de Giovanni Vacchetta </t>
  </si>
  <si>
    <t>Daiso japans</t>
  </si>
  <si>
    <t xml:space="preserve">Tarot: Bonefire Tarot </t>
  </si>
  <si>
    <t xml:space="preserve">Tarot: The Druid Craft Tarot: Use the Magic of Wicca and Druidry to Guide Your Life [With 78 Card Deck of Tarot Cards] </t>
  </si>
  <si>
    <t>Bolsas e coisas da Zaaera</t>
  </si>
  <si>
    <t>Silhouette Cameo 3 (05/06)</t>
  </si>
  <si>
    <t xml:space="preserve">Automotivo: Seguro EchoSport (02/04) </t>
  </si>
  <si>
    <t>Tratamentos de Estéticas 2017 (01/05)</t>
  </si>
  <si>
    <t>Materiais de escritas e canetas diversas</t>
  </si>
  <si>
    <t>BanRi comercial</t>
  </si>
  <si>
    <t>Pro Goya - Dr. Strange Funko Pop</t>
  </si>
  <si>
    <t xml:space="preserve">LZT Retail commerce </t>
  </si>
  <si>
    <t xml:space="preserve">Trabalho: The Burgues Kinguios </t>
  </si>
  <si>
    <t>Adapatador de tomadas universal</t>
  </si>
  <si>
    <t>Cilli Beans da Cristiane</t>
  </si>
  <si>
    <t xml:space="preserve">FIRST DATA CONO </t>
  </si>
  <si>
    <t>$ 58,70 USD</t>
  </si>
  <si>
    <t>Tarifa Retirada no exterior</t>
  </si>
  <si>
    <t>Setembro /2017</t>
  </si>
  <si>
    <t xml:space="preserve">Superman: Entre a foice e o Martelo </t>
  </si>
  <si>
    <t>Pão de Açucares diverss</t>
  </si>
  <si>
    <t xml:space="preserve">Termogênico Kimera Birl (01/03) </t>
  </si>
  <si>
    <t>Silhouette Cameo 3 (06/06)</t>
  </si>
  <si>
    <t xml:space="preserve">Automotivo: Seguro EchoSport (03/04) </t>
  </si>
  <si>
    <t>Capinha de celular de Gatinhos</t>
  </si>
  <si>
    <t>Tratamentos de Estéticas 2017 (02/05)</t>
  </si>
  <si>
    <t>The Scrap Store´s</t>
  </si>
  <si>
    <t>Quitandas diversas</t>
  </si>
  <si>
    <t>Aplicativos de Silouette Vouadouras</t>
  </si>
  <si>
    <t>$ 13,87 USD</t>
  </si>
  <si>
    <t>IOF compra exterior da Silhouette</t>
  </si>
  <si>
    <t>Paes dos naguimo´s</t>
  </si>
  <si>
    <t xml:space="preserve">Tarot:Legend Kit: The Arthurian Tarot [With 78 Full-Color Cards] </t>
  </si>
  <si>
    <t>Tarot: Legacy of the Divine Tarot</t>
  </si>
  <si>
    <t xml:space="preserve">Bussola Magicka do ML </t>
  </si>
  <si>
    <t xml:space="preserve">Automotivo: Seguro Pejô (01/04) </t>
  </si>
  <si>
    <t>The Jhonny Rocket´s Burguers</t>
  </si>
  <si>
    <t xml:space="preserve">Artigos de Pintura e decoração </t>
  </si>
  <si>
    <t>Droga Raia´s</t>
  </si>
  <si>
    <t>Sushi Yassu</t>
  </si>
  <si>
    <t>Loja Haikai Presentes papelaria</t>
  </si>
  <si>
    <t>Lojas Ikesaqui</t>
  </si>
  <si>
    <t>Café SOL da liberade</t>
  </si>
  <si>
    <t>Varinha Magicka e Mini Baphomet</t>
  </si>
  <si>
    <t>O Dias %%</t>
  </si>
  <si>
    <t>Sinvacort + Corus</t>
  </si>
  <si>
    <t>Symbicort 12/400 + busonid</t>
  </si>
  <si>
    <t>Vermifugadores</t>
  </si>
  <si>
    <t>Spray anti-pulas e Comprimidos Anti Pulgas</t>
  </si>
  <si>
    <t>Novo Tenis New Ballance</t>
  </si>
  <si>
    <t xml:space="preserve">Trabalho: Grilleto </t>
  </si>
  <si>
    <t>All IN Burguers</t>
  </si>
  <si>
    <t xml:space="preserve">Coisas de SILHOUETTE VouaDouras AMERICA </t>
  </si>
  <si>
    <t>$ 3,72 USD</t>
  </si>
  <si>
    <t>IOF Compre Silhoouette</t>
  </si>
  <si>
    <t>Trabalho: Lanche da Terde</t>
  </si>
  <si>
    <t>Jardinetes</t>
  </si>
  <si>
    <t>PortoFino do Shoppings</t>
  </si>
  <si>
    <t>Canetas, Mouse</t>
  </si>
  <si>
    <t>Pilhas deversas</t>
  </si>
  <si>
    <t>Anti Alergicos diversos</t>
  </si>
  <si>
    <t>cafés de shoppings</t>
  </si>
  <si>
    <t>Bones diversos (01/03)</t>
  </si>
  <si>
    <t>Compra de coisas no Mercado Livre</t>
  </si>
  <si>
    <t>Kit 10 Fresas para a micro retificas mercado livre</t>
  </si>
  <si>
    <t>Coisas de mulhéries</t>
  </si>
  <si>
    <t>Variaçao cambial (?!?!?)</t>
  </si>
  <si>
    <t>O sushi do imperador</t>
  </si>
  <si>
    <t>Amortecedores + Freios do Pejô (01/06)</t>
  </si>
  <si>
    <t>Remedios de evitar dor de cabeças</t>
  </si>
  <si>
    <t>The burgues MAPs</t>
  </si>
  <si>
    <t>tinta de impressora colorida 662 XL HP 4646</t>
  </si>
  <si>
    <t xml:space="preserve">Cacau Shou(?) </t>
  </si>
  <si>
    <t>Presente de Jenga e uNo</t>
  </si>
  <si>
    <t>Remedios de caganeiras</t>
  </si>
  <si>
    <t>padoca´s</t>
  </si>
  <si>
    <t>Farmácia de caganeiras</t>
  </si>
  <si>
    <t>Freak Box auto presente de crianças atrasados</t>
  </si>
  <si>
    <t xml:space="preserve">Termogênico Kimera Birl (02/03) </t>
  </si>
  <si>
    <t xml:space="preserve">Automotivo: Seguro EchoSport (04/04) </t>
  </si>
  <si>
    <t>Restante Suspensão Pejô (01/04)</t>
  </si>
  <si>
    <t>Café de Manhas na Maria eduarda</t>
  </si>
  <si>
    <t>Boumbas diversas</t>
  </si>
  <si>
    <t>Coisas de cafés</t>
  </si>
  <si>
    <t>Sfiha Jardins</t>
  </si>
  <si>
    <t>Tratamentos de Estéticas 2017 (03/05)</t>
  </si>
  <si>
    <t>Variação de acerto</t>
  </si>
  <si>
    <t>Promethea - Volume 2 - Amazon.com.br</t>
  </si>
  <si>
    <t>Trabalho: Almoço no Atriums</t>
  </si>
  <si>
    <t>Nagumos 1</t>
  </si>
  <si>
    <t>Nagumo 2</t>
  </si>
  <si>
    <t>Automotivo: Seguro Pejô (02/04)</t>
  </si>
  <si>
    <t xml:space="preserve">The Americas </t>
  </si>
  <si>
    <t>Livro: MIndHUntrers</t>
  </si>
  <si>
    <t>Tarot: ShadowScapes Tarot</t>
  </si>
  <si>
    <t>AdCos cosmésticos</t>
  </si>
  <si>
    <t>Meias das Adidas</t>
  </si>
  <si>
    <t>Tarot: The Rosa Chã Tarot : Mercado Livre</t>
  </si>
  <si>
    <t>A Baqueta do Mago - PRONTA</t>
  </si>
  <si>
    <t>3 DVDs da Ah, que pena Seria</t>
  </si>
  <si>
    <t>Shoot Chocoloates</t>
  </si>
  <si>
    <t>Tapa no visu</t>
  </si>
  <si>
    <t>YasMin + Vannair</t>
  </si>
  <si>
    <t xml:space="preserve">Amazon.com.br: A Magia Sagrada de AbraMelin, o Mago. O Santo Anjo Guardião </t>
  </si>
  <si>
    <t xml:space="preserve">Amazon.com.br: Ascensão de Prometeu </t>
  </si>
  <si>
    <t xml:space="preserve">Amazon.com.br: Kalciferum </t>
  </si>
  <si>
    <t>Amazon.com.br: Wild Magic: The Wildwood Tarot Workbook</t>
  </si>
  <si>
    <t>Tarot: Amazon.com.br:  Magickal Spellcards: Craft - Cast - Activate - Empower</t>
  </si>
  <si>
    <t>Pelicula Vidro Privacidade iHone</t>
  </si>
  <si>
    <t>Synvascort de Cholestetrols</t>
  </si>
  <si>
    <t>Enóis</t>
  </si>
  <si>
    <t>Shampoos diversos</t>
  </si>
  <si>
    <t>Micro Teclado sem fio pro HT</t>
  </si>
  <si>
    <t>O Boticário lojas</t>
  </si>
  <si>
    <t xml:space="preserve">Mercadolivre.com.br: 2X Baterias GoPro 5 e 6 </t>
  </si>
  <si>
    <t xml:space="preserve">Mercadolivre.com.br: Carregador Bateria GoPro </t>
  </si>
  <si>
    <t xml:space="preserve">Mercadolivre.com.br: Power Bank External </t>
  </si>
  <si>
    <t>Variação Cambial à debito</t>
  </si>
  <si>
    <t xml:space="preserve">Suporte trazeiro Meu Dome </t>
  </si>
  <si>
    <t>Bones diversos (02/03)</t>
  </si>
  <si>
    <t xml:space="preserve">Amazon.com.br: Modern Magick: Twelve Lessons in the High Magickal Arts </t>
  </si>
  <si>
    <t>Canetas e coisas diversas da cristiane</t>
  </si>
  <si>
    <t>2 baralhos de dólares Bonitos</t>
  </si>
  <si>
    <t xml:space="preserve">Shampoos diversos </t>
  </si>
  <si>
    <t>Frans Cafez</t>
  </si>
  <si>
    <t>paccocca´s VRs</t>
  </si>
  <si>
    <t>Amortecedores + Freios do Pejô (02/06)</t>
  </si>
  <si>
    <t>Havaianas</t>
  </si>
  <si>
    <t>Havaianas de Viagens</t>
  </si>
  <si>
    <t>Doutorzinho de canforas de dores</t>
  </si>
  <si>
    <t>Tarot: Steampunk Tarot</t>
  </si>
  <si>
    <t>Óculos e acessórios de chilli beans</t>
  </si>
  <si>
    <t xml:space="preserve">Temakeria &amp; Cia </t>
  </si>
  <si>
    <t>Riachuelo</t>
  </si>
  <si>
    <t>óCulos de a tritons</t>
  </si>
  <si>
    <t xml:space="preserve">Biquinis na Declatholns </t>
  </si>
  <si>
    <t>O Sonda de SBC</t>
  </si>
  <si>
    <t xml:space="preserve">toalhas da Declathon </t>
  </si>
  <si>
    <t>Tarot: Cartase.me: HKT3</t>
  </si>
  <si>
    <t>Tarot: Saraiva.com.br: Dark Grimoire Tarot</t>
  </si>
  <si>
    <t xml:space="preserve">Tarot: Saraiva.com.br: Necronomicon Tarot </t>
  </si>
  <si>
    <t>Tarot: Saraiva.com.br: Santa Muerte Tarot Deck - Book Of The Dead</t>
  </si>
  <si>
    <t xml:space="preserve">Naghumos </t>
  </si>
  <si>
    <t>Pastas de documentos</t>
  </si>
  <si>
    <t>Paccocca´s V</t>
  </si>
  <si>
    <t>Anti gripais diversos</t>
  </si>
  <si>
    <t>Sobral Fotos</t>
  </si>
  <si>
    <t xml:space="preserve">Livros de fito ervas </t>
  </si>
  <si>
    <t>Tarot: The Enchanted Tarot: 25th Anniversary Edition : Amazon.com.br</t>
  </si>
  <si>
    <t>Termogênico Kimera Birl (03/03)</t>
  </si>
  <si>
    <t>4 x Baterias de controle remoto 2032</t>
  </si>
  <si>
    <t xml:space="preserve">Mochila TrackField (01/03) </t>
  </si>
  <si>
    <t>Restante Suspensão Pejô (02/04)</t>
  </si>
  <si>
    <t>Remedio de Cagar e de evitar dor de cabeças</t>
  </si>
  <si>
    <t>Tratamentos de Estéticas 2017 (04/05)</t>
  </si>
  <si>
    <t>Nagumo´os</t>
  </si>
  <si>
    <t>iFood  em casa</t>
  </si>
  <si>
    <t>Tatuagem cristiane (01/03)</t>
  </si>
  <si>
    <t>Tênis novo Track Field</t>
  </si>
  <si>
    <t>Automotivo: Seguro Pejô (03/04)</t>
  </si>
  <si>
    <t>Symbicort 12/400, Busonid, coristina D</t>
  </si>
  <si>
    <t>Thelema - o Livro Kaliman - Clube de Autores</t>
  </si>
  <si>
    <t>Os Armarinhos do Fernando´s</t>
  </si>
  <si>
    <t>Perfumaria Charmo</t>
  </si>
  <si>
    <t>Vienna shopping ABC</t>
  </si>
  <si>
    <t>As claviculas de Salomão Ed. Chaves</t>
  </si>
  <si>
    <t>Berloques da vivara´s</t>
  </si>
  <si>
    <t>Tenis Track Field de KDMIa</t>
  </si>
  <si>
    <t>Luvas Track Field de KDMia</t>
  </si>
  <si>
    <t>SILLHOUETTE Vouadoura</t>
  </si>
  <si>
    <t>$ 0.99 USD</t>
  </si>
  <si>
    <t>Penumbra Livros a Arte dos Indomados e bruxaria Apocaliptica</t>
  </si>
  <si>
    <t>Queijos de Buffalat´s</t>
  </si>
  <si>
    <t>Teclado sem fio + pilhas</t>
  </si>
  <si>
    <t>Produtos de escolas</t>
  </si>
  <si>
    <t>Livros de caligrafia</t>
  </si>
  <si>
    <t>Cafés de Shopping</t>
  </si>
  <si>
    <t>Milenio Ervas Naturai s(?!?)</t>
  </si>
  <si>
    <t xml:space="preserve">Falcon Salto Fantástico (01/03) </t>
  </si>
  <si>
    <t>$ 2,50 USD</t>
  </si>
  <si>
    <t>Dezembro / 2017</t>
  </si>
  <si>
    <t>IOF compre sillhouette</t>
  </si>
  <si>
    <t>Rizzo Embalagens</t>
  </si>
  <si>
    <t>EMBALLATI</t>
  </si>
  <si>
    <t>BENDITA BENEDITA</t>
  </si>
  <si>
    <t>Daizo Brazil do Shopping ABC</t>
  </si>
  <si>
    <t>Bones diversos (03/03)</t>
  </si>
  <si>
    <t>Amortecedores + Freios do Pejô (03/06)</t>
  </si>
  <si>
    <t>estacionamento na Mystic Fair</t>
  </si>
  <si>
    <t>Tarot: Sola Busca tarocchi Ferrara</t>
  </si>
  <si>
    <t>Joias da Karina Mourão</t>
  </si>
  <si>
    <t>Insensos diversos da Mystic Fair</t>
  </si>
  <si>
    <t>Tarot: Golden Oswald Wirth</t>
  </si>
  <si>
    <t>Tarot: Golden LeNormand</t>
  </si>
  <si>
    <t>Paccocca´s V´Rr.s</t>
  </si>
  <si>
    <t>FGS Modas</t>
  </si>
  <si>
    <t>2x Diário de Couro (FRETE GRÁTIS) n°2 - Papel Coisado - www.elo7.com.br</t>
  </si>
  <si>
    <t>Amazon.com.br: O Livro da Lei. Ed Chaves</t>
  </si>
  <si>
    <t>esparadrapos e Gazes</t>
  </si>
  <si>
    <t>Livros da Salomões e Adriano Monterio na Amazon</t>
  </si>
  <si>
    <t>Relogio Citizen Aqualand II (01/06)</t>
  </si>
  <si>
    <t xml:space="preserve">Calças e carteiras da Mofficer </t>
  </si>
  <si>
    <t xml:space="preserve">Mochila TrackField (02/03) </t>
  </si>
  <si>
    <t>Restante Suspensão Pejô (03/04)</t>
  </si>
  <si>
    <t xml:space="preserve">seiko prospex special edition padi SRPA21B1 (01/10) </t>
  </si>
  <si>
    <t>Tratamentos de Estéticas 2017 (05/05)</t>
  </si>
  <si>
    <t>Tatuagem cristiane (02/03)</t>
  </si>
  <si>
    <t>Creditos celular TelCell</t>
  </si>
  <si>
    <t>$ 200,00 MX</t>
  </si>
  <si>
    <t>IOF Despesa Exterior</t>
  </si>
  <si>
    <t>Automotivo: Seguro Pejô (04/04)</t>
  </si>
  <si>
    <t>Falcon Salto Fantástico (02/03)</t>
  </si>
  <si>
    <t xml:space="preserve">iFood em casa </t>
  </si>
  <si>
    <t>Pulseira do relógio Iron Man 1995</t>
  </si>
  <si>
    <t>Amortecedores + Freios do Pejô (04/06)</t>
  </si>
  <si>
    <t xml:space="preserve">Daison </t>
  </si>
  <si>
    <t>Grand Plaza Shopping?</t>
  </si>
  <si>
    <t>MobileApp:Ios: ????</t>
  </si>
  <si>
    <t>IOF iTunes</t>
  </si>
  <si>
    <t>Relogio Citizen Aqualand II (02/06)</t>
  </si>
  <si>
    <t>FSG Modas e Presentes</t>
  </si>
  <si>
    <t>Lojas IkeSaKi</t>
  </si>
  <si>
    <t>Caixa Estanque 45m para a GoPro5HeroB</t>
  </si>
  <si>
    <t>MonoPod para a GoPro</t>
  </si>
  <si>
    <t>iFoodBR</t>
  </si>
  <si>
    <t xml:space="preserve">Mochila TrackField (03/03) </t>
  </si>
  <si>
    <t>Restante Suspensão Pejô (04/04)</t>
  </si>
  <si>
    <t xml:space="preserve">seiko prospex special edition padi SRPA21B1 (02/10) </t>
  </si>
  <si>
    <t>VivaraOnline</t>
  </si>
  <si>
    <t xml:space="preserve">Casa da Arte </t>
  </si>
  <si>
    <t>Santo Daime (?)</t>
  </si>
  <si>
    <t>Tatuagem cristiane (03/03)</t>
  </si>
  <si>
    <t>Pro Pharcamos Pharmácias</t>
  </si>
  <si>
    <t xml:space="preserve">Hd Notebook Seagate 1tb Sata 6gb/s 128mb Cache 7mm </t>
  </si>
  <si>
    <t xml:space="preserve">Tarot: Saraiva.com.br: Tarô Biblico </t>
  </si>
  <si>
    <t>Tarot: Saraiva.com.br: Mythic Tarot Cards</t>
  </si>
  <si>
    <t>Tarot: Saraiva.com.br: Victorian Steam Punk Tarot</t>
  </si>
  <si>
    <t>Scafo Mergulhos: Paraty (01/03)</t>
  </si>
  <si>
    <t>Tarot: Simbólika: Tarocchino Mitelli</t>
  </si>
  <si>
    <t xml:space="preserve">Kanga de Skull na Dona Flo </t>
  </si>
  <si>
    <t>Uber para a Scafo</t>
  </si>
  <si>
    <t>Falcon Salto Fantástico (03/03)</t>
  </si>
  <si>
    <t>UBER da Scaffo para Casa</t>
  </si>
  <si>
    <t>MercadoLivre: Seiko Diver Superior Prospex Automatic Srp497 Laranja (01/06)</t>
  </si>
  <si>
    <t>Tranqueiras em Daiso so brasil</t>
  </si>
  <si>
    <t>Taco Bell do Coco</t>
  </si>
  <si>
    <t>Extra do Coco</t>
  </si>
  <si>
    <t xml:space="preserve">Variação Cambial a credito </t>
  </si>
  <si>
    <t xml:space="preserve">iFood no trabalho </t>
  </si>
  <si>
    <t>Quadro MapaMundi Raspadinha pro furlan</t>
  </si>
  <si>
    <t>Apoia.se MundoFreak/Magickando</t>
  </si>
  <si>
    <t>Apoio mensal Anticast.com.br no Cartase</t>
  </si>
  <si>
    <t>Nagumno´s</t>
  </si>
  <si>
    <t>Basart HCT 160/12 mg</t>
  </si>
  <si>
    <t>ifood Super Pizza PAM!</t>
  </si>
  <si>
    <t>Chocolates PAM!</t>
  </si>
  <si>
    <t>Areia de coco e novo bebedouro</t>
  </si>
  <si>
    <t>Cruzeiros B.A.R.s</t>
  </si>
  <si>
    <t>Dayso Brasil</t>
  </si>
  <si>
    <t>Amortecedores + Freios do Pejô (05/06)</t>
  </si>
  <si>
    <t>iFood habibes</t>
  </si>
  <si>
    <t>Cartase: OS livros sagrados de Thelema do DelDebbio</t>
  </si>
  <si>
    <t>Gazzozza no pejo GGM3</t>
  </si>
  <si>
    <t>óleo + Filtro de Ar + paletas de vidors</t>
  </si>
  <si>
    <t>Depyl Action</t>
  </si>
  <si>
    <t>ifood Burgues 4 you</t>
  </si>
  <si>
    <t>Relogio Citizen Aqualand II (03/06)</t>
  </si>
  <si>
    <t>Caixa de Madeira da total Luxo para guardar relogio</t>
  </si>
  <si>
    <t>Bebedouros e comedouroes de gatoes</t>
  </si>
  <si>
    <t xml:space="preserve">Cervejas da madalena </t>
  </si>
  <si>
    <t>Pingente de mergulhador do Scafo</t>
  </si>
  <si>
    <t>O frango assado do KM72</t>
  </si>
  <si>
    <t>05 peças das pernambucanas</t>
  </si>
  <si>
    <t xml:space="preserve">Sabonete liquido, desodorizante </t>
  </si>
  <si>
    <t>O nicolau Max</t>
  </si>
  <si>
    <t>Sapatos Novos</t>
  </si>
  <si>
    <t>Cadarços novos de sapatos velhos</t>
  </si>
  <si>
    <t>O Maristella´s</t>
  </si>
  <si>
    <t>A quinta do Marquês 57</t>
  </si>
  <si>
    <t>Temakeria &amp; CIA do Shpping</t>
  </si>
  <si>
    <t xml:space="preserve">Brincos da Morana </t>
  </si>
  <si>
    <t>coisas de café da Padoca</t>
  </si>
  <si>
    <t>Pizza do iFood</t>
  </si>
  <si>
    <t xml:space="preserve">seiko prospex special edition padi SRPA21B1 (03/10) </t>
  </si>
  <si>
    <t>Cloridrato de FexoFeneDina - Allexofedrin</t>
  </si>
  <si>
    <t>Software: MobileApp:IOS: Slow Shutter App</t>
  </si>
  <si>
    <t>ScrapStores</t>
  </si>
  <si>
    <t>Absroverntes</t>
  </si>
  <si>
    <t>O Berluscconni</t>
  </si>
  <si>
    <t>Sordiê Docês</t>
  </si>
  <si>
    <t>Garrafinhas de aguas de KDMIas</t>
  </si>
  <si>
    <t xml:space="preserve">Software: GamePC: Doom II </t>
  </si>
  <si>
    <t xml:space="preserve">MercadoLIvre.com.br: Tarot: Boemios Thot </t>
  </si>
  <si>
    <t xml:space="preserve">Drogaria São Paulo </t>
  </si>
  <si>
    <t>Cary4 do Shoppins</t>
  </si>
  <si>
    <t>Scafo Mergulhos: Paraty (02/03)</t>
  </si>
  <si>
    <t>Scafo Mergulhos</t>
  </si>
  <si>
    <t>meRCADO liVRE</t>
  </si>
  <si>
    <t>O Madero BurGuers</t>
  </si>
  <si>
    <t>Milque Cheique do Bobis</t>
  </si>
  <si>
    <t>McDonalds Sorvertes</t>
  </si>
  <si>
    <t>Bolsa da Nikkey de kdmias</t>
  </si>
  <si>
    <t>Coisas da silhoutette</t>
  </si>
  <si>
    <t>$ 8,91 USD</t>
  </si>
  <si>
    <t>IOF de coisas da Silhouette</t>
  </si>
  <si>
    <t>i|food Pizzas</t>
  </si>
  <si>
    <t>iFood de Habibes</t>
  </si>
  <si>
    <t>Gutto Com de roupas</t>
  </si>
  <si>
    <t>MercadoLivre: Seiko Diver Superior Prospex Automatic Srp497 Laranja (02/06)</t>
  </si>
  <si>
    <t>Log Binder Cordura (79136 - Produzido no Brasil)</t>
  </si>
  <si>
    <t>Suspensão Dianteira inteira (01/06)</t>
  </si>
  <si>
    <t>Declatlhon esportes</t>
  </si>
  <si>
    <t>Cozinhas do Fundos SBS</t>
  </si>
  <si>
    <t>Amortecedores + Freios do Pejô (06/06)</t>
  </si>
  <si>
    <t>Symbicort 12/400 + Brasart HCT 160/25MG</t>
  </si>
  <si>
    <t>Ração + Areia + brinquedos</t>
  </si>
  <si>
    <t>Paccoccca´s VRE´s</t>
  </si>
  <si>
    <t>MercadoLIvre: KIT ferramenta TORX</t>
  </si>
  <si>
    <t>Nagumomão</t>
  </si>
  <si>
    <t>Relogio Citizen Aqualand II (04/06)</t>
  </si>
  <si>
    <t>O Imperador Sishis</t>
  </si>
  <si>
    <t>www.divecomputertraining.com Giotto Cressi</t>
  </si>
  <si>
    <t>$ 6,99 USD</t>
  </si>
  <si>
    <t>IOF www.divecomputertraining.com Giotto Cressi</t>
  </si>
  <si>
    <t>Parzifall Editoras</t>
  </si>
  <si>
    <t>LimitedEdition: Bishoujo WASP</t>
  </si>
  <si>
    <t>LImitedEdition: McFarlaneToys SpawnComando</t>
  </si>
  <si>
    <t>LE Burguers</t>
  </si>
  <si>
    <t>FRANS cafés da FNACs</t>
  </si>
  <si>
    <t xml:space="preserve">Cremes de cabelos (01/03) </t>
  </si>
  <si>
    <t>GoPro HandGrip Glove</t>
  </si>
  <si>
    <t>Capinha power de celular + porta celular KDMIA</t>
  </si>
  <si>
    <t>Porta Celular KDMIA + Caixa som USB</t>
  </si>
  <si>
    <t>02 Mosquetões + Pulseira Paracords</t>
  </si>
  <si>
    <t xml:space="preserve">seiko prospex special edition padi SRPA21B1 (04/10) </t>
  </si>
  <si>
    <t>Mercado Pago ????</t>
  </si>
  <si>
    <t xml:space="preserve">Di Marino </t>
  </si>
  <si>
    <t>Ikesaqui santo andre</t>
  </si>
  <si>
    <t>Sodiê Docês</t>
  </si>
  <si>
    <t>Coisas na padaria brasileiras</t>
  </si>
  <si>
    <t>Mamões do Nagumóes</t>
  </si>
  <si>
    <t>Supper Grill Shopping PLAZA</t>
  </si>
  <si>
    <t>Repelentes de insetos, pinças, e diversos</t>
  </si>
  <si>
    <t>A esportivas</t>
  </si>
  <si>
    <t>O Madero´s SCS</t>
  </si>
  <si>
    <t>Relógio Casio G-Shock Vintages</t>
  </si>
  <si>
    <t>Carry-4 Shopping Mapping - Suprimentos Viagem</t>
  </si>
  <si>
    <t>UBERs para a Scaffo</t>
  </si>
  <si>
    <t>Lanchonete Arco-Irirs na estreada</t>
  </si>
  <si>
    <t>Livro de Atlantida</t>
  </si>
  <si>
    <t>Scafo Mergulhos: Paraty (03/03)</t>
  </si>
  <si>
    <t xml:space="preserve">RodoSnack Server Graal </t>
  </si>
  <si>
    <t>Trabalho: Grilettos</t>
  </si>
  <si>
    <t>Rinosoros e Énois</t>
  </si>
  <si>
    <t xml:space="preserve">Filtro Magenta GoPro Estanque </t>
  </si>
  <si>
    <t xml:space="preserve">IfOOD </t>
  </si>
  <si>
    <t>Carry-4 - Café e paes de Méis</t>
  </si>
  <si>
    <t>MercadoLivre: Seiko Diver Superior Prospex Automatic Srp497 Laranja (03/06)</t>
  </si>
  <si>
    <t>O Garoupinha´s</t>
  </si>
  <si>
    <t>Remedios de gripes, anti alergico e Symbicort 12/400</t>
  </si>
  <si>
    <t>Temakeria &amp; CIA Ltda</t>
  </si>
  <si>
    <t>Suspensão Dianteira inteira (02/06)</t>
  </si>
  <si>
    <t>iFood The Burgues 4 você</t>
  </si>
  <si>
    <t>Aleister Crowley (Português) Capa dura</t>
  </si>
  <si>
    <t>Si Senõr Shopping SCS</t>
  </si>
  <si>
    <t>Lojas Renners</t>
  </si>
  <si>
    <t>Brasart HCT 160/25MG</t>
  </si>
  <si>
    <t>HÁ-BIBES</t>
  </si>
  <si>
    <t>Relogio Citizen Aqualand II (05/06)</t>
  </si>
  <si>
    <t xml:space="preserve">Cremes de cabelos (02/03) </t>
  </si>
  <si>
    <t>Tarot: Amazon.com.br: Eight Coins' Tattoo Tarot</t>
  </si>
  <si>
    <t>Carteira Motorista Especial (01/03)</t>
  </si>
  <si>
    <t>Pizza em casa do ifood</t>
  </si>
  <si>
    <t xml:space="preserve">seiko prospex special edition padi SRPA21B1 (05/10) </t>
  </si>
  <si>
    <t>Tarot: Saraiva.com.br: The Mystical Tarot</t>
  </si>
  <si>
    <t>Lojas Riachualo´s</t>
  </si>
  <si>
    <t>Areias de cocô de gatos</t>
  </si>
  <si>
    <t>Pomadas diversas e Anti inflamatórios</t>
  </si>
  <si>
    <t>Nagumos - PARTE II</t>
  </si>
  <si>
    <t xml:space="preserve">Painel da Eco (01/02) </t>
  </si>
  <si>
    <t>Si Senõr Mexian Grill SCS</t>
  </si>
  <si>
    <t xml:space="preserve">sonda </t>
  </si>
  <si>
    <t>Cortar os cabelos da Cabeças</t>
  </si>
  <si>
    <t>Amazon.com.br: Protection &amp; Reversal Magick: A Witch's Defense Manual</t>
  </si>
  <si>
    <t>Roupas de KDMias novas</t>
  </si>
  <si>
    <t>Garrafinha de Kdmias</t>
  </si>
  <si>
    <t>Supper Grills</t>
  </si>
  <si>
    <t>Cinta para o monitor cardiaco do Merdaco livre</t>
  </si>
  <si>
    <t>Yamaguchi SuShi</t>
  </si>
  <si>
    <t xml:space="preserve">Parzival777 - O Chamado dos filhos do SOL </t>
  </si>
  <si>
    <t>Asics Gel quantum 360 shift Carbon black + meias (01/03)</t>
  </si>
  <si>
    <t>Canetas da Kalunga</t>
  </si>
  <si>
    <t>The Rancho 53 restaurantes</t>
  </si>
  <si>
    <t>A camponesa´s</t>
  </si>
  <si>
    <t>Auto Posto 2001 Piraju</t>
  </si>
  <si>
    <t>Xirata Feira Limpias</t>
  </si>
  <si>
    <t>Estojos de computadores de mergulhos</t>
  </si>
  <si>
    <t>Trabalho: Griletto´s</t>
  </si>
  <si>
    <t>Symbicort 12/400 + Busonide</t>
  </si>
  <si>
    <t>Trabalho:  Grilleto´s</t>
  </si>
  <si>
    <t>Trabalho: McDonaldo´s Mc Flurries</t>
  </si>
  <si>
    <t>Trabalho: Lanche de Tardfes</t>
  </si>
  <si>
    <t xml:space="preserve">Nagumno´s </t>
  </si>
  <si>
    <t>Trabalho: The burgues Reis</t>
  </si>
  <si>
    <t>Portofino Shoppoing Plaza</t>
  </si>
  <si>
    <t xml:space="preserve">Daiso do Brasil </t>
  </si>
  <si>
    <t>Centauros do brasil das bolsas</t>
  </si>
  <si>
    <t>Game: Prince of Persia Sands Of Times</t>
  </si>
  <si>
    <t>cervejas da Madaleas</t>
  </si>
  <si>
    <t>Lanches na madalena</t>
  </si>
  <si>
    <t>HABIBES</t>
  </si>
  <si>
    <t>O Madero´s BURGUES</t>
  </si>
  <si>
    <t>MercadoLivre: Seiko Diver Superior Prospex Automatic Srp497 Laranja (04/06)</t>
  </si>
  <si>
    <t>Shá-ba-bis</t>
  </si>
  <si>
    <t>Carregador externo e cabos de celulares</t>
  </si>
  <si>
    <t>Várias canetas diversas</t>
  </si>
  <si>
    <t>Baralho playing cards Bycicle Alchemycal Old English 1977</t>
  </si>
  <si>
    <t>Krokatta Pizzaria fritas</t>
  </si>
  <si>
    <t>Sorvetes de sorveteria naturtais</t>
  </si>
  <si>
    <t>Tarot: Simbolika.com.br: Alchemy 1977 England Tarot</t>
  </si>
  <si>
    <t>Tarot: Simbolika.com.br: Crystal Tarot</t>
  </si>
  <si>
    <t>Lavagem mega Power no Pejô GGM3</t>
  </si>
  <si>
    <t>Kit Lego Piratas</t>
  </si>
  <si>
    <t>Forlife (01/04)</t>
  </si>
  <si>
    <t>Suspensão Dianteira inteira (03/06)</t>
  </si>
  <si>
    <t>a LOJA DO Papel</t>
  </si>
  <si>
    <t>Relogio Casio retro vintage</t>
  </si>
  <si>
    <t>The Johnny rockters</t>
  </si>
  <si>
    <t>ifoood China in Box</t>
  </si>
  <si>
    <t>Jaquetas da Viv'leroa</t>
  </si>
  <si>
    <t>O Rancho do 43</t>
  </si>
  <si>
    <t>RodoServes</t>
  </si>
  <si>
    <t>Gazzozza na EchoSports</t>
  </si>
  <si>
    <t>Aguas minerias</t>
  </si>
  <si>
    <t>O Castelinho da A pamonhas</t>
  </si>
  <si>
    <t>Relogio Citizen Aqualand II (06/06)</t>
  </si>
  <si>
    <t>Brasart HCT + Desodorizantes + chocolates</t>
  </si>
  <si>
    <t xml:space="preserve">Cremes de cabelos (03/03) </t>
  </si>
  <si>
    <t>iFood The Burgues4vocÊs</t>
  </si>
  <si>
    <t xml:space="preserve">Farmacia </t>
  </si>
  <si>
    <t>dentista Tomografia dente nº 26 quebrado</t>
  </si>
  <si>
    <t xml:space="preserve">seiko prospex special edition padi SRPA21B1 (06/10) </t>
  </si>
  <si>
    <t>Gazzozza na EchoSport GGM5</t>
  </si>
  <si>
    <t xml:space="preserve">Painel da Eco (02/02) </t>
  </si>
  <si>
    <t>Limpador de para-brisas e lampadas</t>
  </si>
  <si>
    <t>Carregador Oliginal da SamSung para O Tabbletts</t>
  </si>
  <si>
    <t>Jantar monte Verdes</t>
  </si>
  <si>
    <t>Botas novas da kèstous</t>
  </si>
  <si>
    <t>Botas da Bradock (01/03)</t>
  </si>
  <si>
    <t>Guardar chuvas de carros</t>
  </si>
  <si>
    <t>Varios presentes</t>
  </si>
  <si>
    <t>Restaurante café Pinhãos</t>
  </si>
  <si>
    <t>presentes variados</t>
  </si>
  <si>
    <t>Meias de freios</t>
  </si>
  <si>
    <t>Blusas novas de lazoinhas</t>
  </si>
  <si>
    <t>Acendedor de lareiras e presentes</t>
  </si>
  <si>
    <t>Asics Gel quantum 360 shift Carbon black + meias (02/03)</t>
  </si>
  <si>
    <t>Symbicort 12/400 + Busonide + pastas + Listerins</t>
  </si>
  <si>
    <t>Nagumãos</t>
  </si>
  <si>
    <t xml:space="preserve">MercadoLIvre: Adaptador 2 Em 1 Baseus L32 Para Iphone, Ipad </t>
  </si>
  <si>
    <t>Areia, ração e brinquedos de gatos</t>
  </si>
  <si>
    <t>Tarot: Simbolika: Zillich Tarot - Em Lata</t>
  </si>
  <si>
    <t>Calças na Miroara do Plaza</t>
  </si>
  <si>
    <t>Aspirador de pós novos</t>
  </si>
  <si>
    <t>Anti inflamatório e antibiotico</t>
  </si>
  <si>
    <t>Gremes de Gel OD C</t>
  </si>
  <si>
    <t>Gino-Canesten</t>
  </si>
  <si>
    <t>iFood hamburgues</t>
  </si>
  <si>
    <t>Editora Arcanum</t>
  </si>
  <si>
    <t>Lisador DIP</t>
  </si>
  <si>
    <t>MercadoLivre: Seiko Diver Superior Prospex Automatic Srp497 Laranja (05/06)</t>
  </si>
  <si>
    <t>Levis do Grande Plazas</t>
  </si>
  <si>
    <t>ifood : Burguer MAPS</t>
  </si>
  <si>
    <t>nagumos</t>
  </si>
  <si>
    <t>Suspensão Dianteira inteira (04/06)</t>
  </si>
  <si>
    <t>Forlife (02/04)</t>
  </si>
  <si>
    <t>Fila Lacre de Nylon</t>
  </si>
  <si>
    <t xml:space="preserve">Fita corretiva </t>
  </si>
  <si>
    <t>Pastas em L e clipes de papéis</t>
  </si>
  <si>
    <t xml:space="preserve">Camiseta do MundoFreak </t>
  </si>
  <si>
    <t xml:space="preserve">Suporte Veicular par celilar </t>
  </si>
  <si>
    <t>iFoood Burgues Mapas</t>
  </si>
  <si>
    <t>Enos, dorflex e afuas</t>
  </si>
  <si>
    <t>O Madero´s Burgues´s</t>
  </si>
  <si>
    <t>Escovas de dentes, Symbicort 12/400, Busonides</t>
  </si>
  <si>
    <t>Yasmin para evitar dor de cabeças</t>
  </si>
  <si>
    <t>Presente dia dos Namorados (I) - GoldStein</t>
  </si>
  <si>
    <t>Presente dia dos Namorados (I) -O Boticários</t>
  </si>
  <si>
    <t>Pão de Açucar</t>
  </si>
  <si>
    <t xml:space="preserve">seiko prospex special edition padi SRPA21B1 (07/10) </t>
  </si>
  <si>
    <t>Nagumões</t>
  </si>
  <si>
    <t>Jaquetas da Riachuello´s</t>
  </si>
  <si>
    <t>Luftal Antigazez</t>
  </si>
  <si>
    <t>Lojas Daiso</t>
  </si>
  <si>
    <t>Controle remoto de fotos de iPHone</t>
  </si>
  <si>
    <t>Shampooos caros</t>
  </si>
  <si>
    <t>Carregador de bateria externas</t>
  </si>
  <si>
    <t>Calle 54 do Mappin</t>
  </si>
  <si>
    <t>Presente vivara para a larissa</t>
  </si>
  <si>
    <t>Sinvacort + Antialergico + chocolate</t>
  </si>
  <si>
    <t>Brasart HCT 160/12</t>
  </si>
  <si>
    <t>Coisas do mercado livre</t>
  </si>
  <si>
    <t>Botas da Bradock (02/03)</t>
  </si>
  <si>
    <t>Asics Gel quantum 360 shift Carbon black + meias (03/03)</t>
  </si>
  <si>
    <t>Tarot: Illumitati Tarot Box</t>
  </si>
  <si>
    <t xml:space="preserve">Cremes acidos de rostos </t>
  </si>
  <si>
    <t>Assinatura Mensal do Projeto Mayhem - Hermetismo - MDD</t>
  </si>
  <si>
    <t>Amazon.com.br JBL E25 BT - Fone de ouvido in-ear sem fio, Bluetooth, preto</t>
  </si>
  <si>
    <t>Pizza em casa do iFood</t>
  </si>
  <si>
    <t>GearBest: Adaptador de iphone energia fone</t>
  </si>
  <si>
    <t>$ 10,21 USD</t>
  </si>
  <si>
    <t>IOF compra exterior</t>
  </si>
  <si>
    <t>Antiinflamatorio de gargamntas</t>
  </si>
  <si>
    <t>Falcons (Jippe e o Scafandro) 01/03</t>
  </si>
  <si>
    <t>O Livro Completo das Correspondências Mágicas</t>
  </si>
  <si>
    <t>AGBooks: Livro do Emanuel de Sibilla dela Zingara</t>
  </si>
  <si>
    <t>ClubeDosAutores: Livro da Sibilla Dela Zingara</t>
  </si>
  <si>
    <t>Trabalho: Pizza Patronne</t>
  </si>
  <si>
    <t>MercadoLivre: Seiko Diver Superior Prospex Automatic Srp497 Laranja (06/06)</t>
  </si>
  <si>
    <t>Tenis new balance 446 vinhos</t>
  </si>
  <si>
    <t>iFood Burguers M.A.P.s</t>
  </si>
  <si>
    <t>The Outbacks do Shoppings ABC</t>
  </si>
  <si>
    <t>Suspensão Dianteira inteira (05/06)</t>
  </si>
  <si>
    <t>Forlife (03/04)</t>
  </si>
  <si>
    <t>Lojas SanSei Nissie</t>
  </si>
  <si>
    <t>Trabalho: Cafes O Grão Expressos</t>
  </si>
  <si>
    <t>Trabalho: Rock'n'Ribbs</t>
  </si>
  <si>
    <t>Nagumo0s</t>
  </si>
  <si>
    <t>Americanas barras de cereals</t>
  </si>
  <si>
    <t xml:space="preserve">Mundo do Palmito </t>
  </si>
  <si>
    <t>Remedios de dor de cabeça + evitar dor de cabeça</t>
  </si>
  <si>
    <t xml:space="preserve">Tarot: Nobel do Atrium: O Tarot Maçonico </t>
  </si>
  <si>
    <t>Carry4 Xpress</t>
  </si>
  <si>
    <t>The Maderos BURGUE´s</t>
  </si>
  <si>
    <t>Temakeria E Cia do Mapping</t>
  </si>
  <si>
    <t>The S.T.A.R. Buckes</t>
  </si>
  <si>
    <t>Cremes de rostos</t>
  </si>
  <si>
    <t>Blusa Jaqueta pra viajar para AR-BA</t>
  </si>
  <si>
    <t>Mercadolivr.com.br Fone de Ouvido JBL E25BL BK</t>
  </si>
  <si>
    <t>Demokrata Cervejarias</t>
  </si>
  <si>
    <t>NetShoes.com.br: Tenis New Balance 574 Cinza+verde</t>
  </si>
  <si>
    <t>Passagens Argentina (01/06)</t>
  </si>
  <si>
    <t>Seguro: Argentina (01/06)</t>
  </si>
  <si>
    <t>Estadia Argentina (01/06)</t>
  </si>
  <si>
    <t>iFood Burgues 4 vocês</t>
  </si>
  <si>
    <t>The Mokrata´s Brew Beers</t>
  </si>
  <si>
    <t xml:space="preserve">seiko prospex special edition padi SRPA21B1 (08/10) </t>
  </si>
  <si>
    <t xml:space="preserve">Sí Señor Tex Mex </t>
  </si>
  <si>
    <t>Cafés das StarBuques</t>
  </si>
  <si>
    <t>Tarot: SaraiVa SCS: Game of Thrones</t>
  </si>
  <si>
    <t>O Nagumo´s</t>
  </si>
  <si>
    <t>Tarot: Oraculo Sibbilus do Pettrus</t>
  </si>
  <si>
    <t xml:space="preserve">Areia de cocô </t>
  </si>
  <si>
    <t>O SONDA´s SBC</t>
  </si>
  <si>
    <t xml:space="preserve">Passagens pro Paraná (01/02) </t>
  </si>
  <si>
    <t>Ingresso pra festa da Scaffos</t>
  </si>
  <si>
    <t>Brasart HCT 160/12MG + desodorizante</t>
  </si>
  <si>
    <t xml:space="preserve">SinVaCort 40mg </t>
  </si>
  <si>
    <t>Botas da Bradock (03/03)</t>
  </si>
  <si>
    <t>Nagum´s</t>
  </si>
  <si>
    <t xml:space="preserve">Canaã Baby </t>
  </si>
  <si>
    <t xml:space="preserve">Lojas Renner do Catuai </t>
  </si>
  <si>
    <t>ifood london Burgues</t>
  </si>
  <si>
    <t>Blusa Jaqueta de moletão</t>
  </si>
  <si>
    <t>MercadoLivre.com.br Pulseira Aqualand JP-1060</t>
  </si>
  <si>
    <t>Habibe´s</t>
  </si>
  <si>
    <t>Vannair e coisas diversas</t>
  </si>
  <si>
    <t>Mais roupas</t>
  </si>
  <si>
    <t>iFood: Brows Burgues</t>
  </si>
  <si>
    <t>Kapyrotagya: Mensalidade A.M.O.R.C. (01/03)</t>
  </si>
  <si>
    <t>Adaga Ritualistica Anduril</t>
  </si>
  <si>
    <t xml:space="preserve">Bat-carteira </t>
  </si>
  <si>
    <t>Pizza Hutes do Mappins</t>
  </si>
  <si>
    <t>Automotivo: Seguro da Echo (01/04)</t>
  </si>
  <si>
    <t>Falcons (Jippe e o Scafandro) 02/03</t>
  </si>
  <si>
    <t>Amazon.com.br: Autodefesa Psíquica / A Mônada Hieroglífica / História da Magia</t>
  </si>
  <si>
    <t>The Burgues MAPAs</t>
  </si>
  <si>
    <t>Remedio para evitar doresd e cabeças</t>
  </si>
  <si>
    <t xml:space="preserve">Torak, o Inimigo do Falcon </t>
  </si>
  <si>
    <t>Camiseta do Falcon</t>
  </si>
  <si>
    <t xml:space="preserve">Frete da Estrela </t>
  </si>
  <si>
    <t>O Mundo do palmitos</t>
  </si>
  <si>
    <t>New Balance 574 Grey Pack (01/02)</t>
  </si>
  <si>
    <t>The Johnny Rocketes</t>
  </si>
  <si>
    <t>Roupas da Centauro´s</t>
  </si>
  <si>
    <t>Rações e algos a mais</t>
  </si>
  <si>
    <t>SmartWatch Resistenca A3</t>
  </si>
  <si>
    <t>$ 49,99 USD</t>
  </si>
  <si>
    <t>Tarot: Apokalypsis / Universal Goddess / Malegic Time / Athame Ipê Athama Amarante (01/03)</t>
  </si>
  <si>
    <t>Sí Señor Mexican Grill</t>
  </si>
  <si>
    <t>Zaahhra</t>
  </si>
  <si>
    <t>Yamagushi Sushiu</t>
  </si>
  <si>
    <t>Berloques da Vivaras</t>
  </si>
  <si>
    <t>Suspensão Dianteira inteira (06/06)</t>
  </si>
  <si>
    <t>Forlife (04/04)</t>
  </si>
  <si>
    <t>Cartucho 662 4646 + Baterias 9V</t>
  </si>
  <si>
    <t>PR Saude</t>
  </si>
  <si>
    <t>iFood Quali Pizzas</t>
  </si>
  <si>
    <t>Vestidos para Brasilia</t>
  </si>
  <si>
    <t>Kharina Burgues</t>
  </si>
  <si>
    <t>Nagumoés</t>
  </si>
  <si>
    <t xml:space="preserve">Presente para brasilia (01/02) </t>
  </si>
  <si>
    <t>FikBella Perfumarias</t>
  </si>
  <si>
    <t>Carlos T Junior Calçados</t>
  </si>
  <si>
    <t>Sais Enois</t>
  </si>
  <si>
    <t>iFood The Birgues 4 vocês</t>
  </si>
  <si>
    <t>eTicket ingresso para a BiAnal de O Livros</t>
  </si>
  <si>
    <t>LORd Perfumária brasillias</t>
  </si>
  <si>
    <t>Morana vestiarios</t>
  </si>
  <si>
    <t>iFoof London Burgues</t>
  </si>
  <si>
    <t>Passagens Argentina (02/06)</t>
  </si>
  <si>
    <t>Seguro: Argentina (02/06)</t>
  </si>
  <si>
    <t>Estadia Argentina (02/06)</t>
  </si>
  <si>
    <t>iFoods: Burgues 4 You</t>
  </si>
  <si>
    <t xml:space="preserve">seiko prospex special edition padi SRPA21B1 (09/10) </t>
  </si>
  <si>
    <t>Spoletto do shopping Mappings</t>
  </si>
  <si>
    <t>Carry4 Expresses</t>
  </si>
  <si>
    <t>Agua micelasrts</t>
  </si>
  <si>
    <t>iFood: Qually Pizzas</t>
  </si>
  <si>
    <t>Mariza´s</t>
  </si>
  <si>
    <t>Viv Leora´s</t>
  </si>
  <si>
    <t>Passagens pro Paraná (02/02)</t>
  </si>
  <si>
    <t>ifood Qually pizzerias</t>
  </si>
  <si>
    <t>gorros da argentinas</t>
  </si>
  <si>
    <t>Pega no meu pau de Séufi</t>
  </si>
  <si>
    <t>The Mokrata´s</t>
  </si>
  <si>
    <t>Berlusconi Santo andrés</t>
  </si>
  <si>
    <t>Areias de cocos de Gatos</t>
  </si>
  <si>
    <t>Farmacias diversas + Brasart HCT 160/12MG</t>
  </si>
  <si>
    <t>Paccocca´S VR´s</t>
  </si>
  <si>
    <t xml:space="preserve"> MILBRASIL COMERCIO DE</t>
  </si>
  <si>
    <t>Só Unhas</t>
  </si>
  <si>
    <t>06 cuecas na americanas</t>
  </si>
  <si>
    <t>óculos de sóis novos</t>
  </si>
  <si>
    <t>Symbicort 12/400 + barbrador _ busonic</t>
  </si>
  <si>
    <t>Remedio de evitar dor e cabeças</t>
  </si>
  <si>
    <t xml:space="preserve">Capa de telefoe </t>
  </si>
  <si>
    <t xml:space="preserve">Variação cambial </t>
  </si>
  <si>
    <t>Uber para o Guarulhos</t>
  </si>
  <si>
    <t>Café de manha no McDonaldos do Guarulhos</t>
  </si>
  <si>
    <t>StarBuques do Guarulhos</t>
  </si>
  <si>
    <t>Tango em Café Angelitto</t>
  </si>
  <si>
    <t>$ 126,30 USD</t>
  </si>
  <si>
    <t>Almoço no HardRock Café de BA</t>
  </si>
  <si>
    <t>Kapyrotagya: Mensalidade A.M.O.R.C. (02/03)</t>
  </si>
  <si>
    <t>Roupas do HardRock Café</t>
  </si>
  <si>
    <t>$ 38,96 USD</t>
  </si>
  <si>
    <t>Os Sorrento´s de B.A.s</t>
  </si>
  <si>
    <t>$ 56,84 USD</t>
  </si>
  <si>
    <t>UBERs para O Hotel</t>
  </si>
  <si>
    <t>$ 2,19 USD</t>
  </si>
  <si>
    <t>FORRENTO CITY</t>
  </si>
  <si>
    <t>$ 46,15 USD</t>
  </si>
  <si>
    <t xml:space="preserve">Uber para voltra pro hotel </t>
  </si>
  <si>
    <t>$ 3,39 USD</t>
  </si>
  <si>
    <t xml:space="preserve">Uber para IR para o Pto Cristal </t>
  </si>
  <si>
    <t>$ 5,03 USD</t>
  </si>
  <si>
    <t>Jantar de aniversário do Puerto Cristal</t>
  </si>
  <si>
    <t>$ 64,64 USD</t>
  </si>
  <si>
    <t xml:space="preserve">Uber para Voltar do Pto Cristal </t>
  </si>
  <si>
    <t>$ 3,14 USD</t>
  </si>
  <si>
    <t xml:space="preserve">Kraken BAR Oficial  (l Emrbuix) </t>
  </si>
  <si>
    <t>$ 25,86 USD</t>
  </si>
  <si>
    <t>Café Cachafaz</t>
  </si>
  <si>
    <t>$ 13,65 USD</t>
  </si>
  <si>
    <t>Swatch prateado da cristaine</t>
  </si>
  <si>
    <t>$ 212,58 USD</t>
  </si>
  <si>
    <t>Posada de 1820</t>
  </si>
  <si>
    <t>$ 34,32 USD</t>
  </si>
  <si>
    <t>Automotivo: Seguro da Echo (02/04)</t>
  </si>
  <si>
    <t>Falcons (Jippe e o Scafandro) 03/03</t>
  </si>
  <si>
    <t>Uber para Santo André</t>
  </si>
  <si>
    <t>New Balance 574 Grey Pack (02/02)</t>
  </si>
  <si>
    <t>Naguymo´s II</t>
  </si>
  <si>
    <t xml:space="preserve">ForLife Setembro/2018 (01/12) </t>
  </si>
  <si>
    <t>iFood em casas</t>
  </si>
  <si>
    <t>Tarot: Cartase: tarot Insensati</t>
  </si>
  <si>
    <t>Tarot: Apokalypsis / Universal Goddess / Malegic Time / Athame Ipê Athama Amarante (02/03)</t>
  </si>
  <si>
    <t>Software: MobileApp: IOS: Temple Run 2 Pirate Pack</t>
  </si>
  <si>
    <t xml:space="preserve">Presente da MIG </t>
  </si>
  <si>
    <t>Multicoisas: Fita adesiva</t>
  </si>
  <si>
    <t>O Mundo de O Palmito´s</t>
  </si>
  <si>
    <t>Presente para a arlete do boticários</t>
  </si>
  <si>
    <t>ifood the B4Y</t>
  </si>
  <si>
    <t xml:space="preserve">o KM 53 </t>
  </si>
  <si>
    <t>Lanche do Maristela</t>
  </si>
  <si>
    <t xml:space="preserve">Hotel Gramado (01/03) </t>
  </si>
  <si>
    <t>Tarifa Passagens Santander Esfera</t>
  </si>
  <si>
    <t xml:space="preserve">Passagens para Porto Alegre (01/03) </t>
  </si>
  <si>
    <t>Esmates de gels</t>
  </si>
  <si>
    <t>O Pira-B.A.R.s.</t>
  </si>
  <si>
    <t>Presente para brasilia (02/02)</t>
  </si>
  <si>
    <t>O boticario de Pirajus</t>
  </si>
  <si>
    <t>Maristela na estradas</t>
  </si>
  <si>
    <t>A quinta da boa vistas</t>
  </si>
  <si>
    <t>O Madero´s</t>
  </si>
  <si>
    <t xml:space="preserve">Extra de santo andrés </t>
  </si>
  <si>
    <t>Passagens Argentina (03/06)</t>
  </si>
  <si>
    <t>Seguro: Argentina (03/06)</t>
  </si>
  <si>
    <t>Estadia Argentina (03/06)</t>
  </si>
  <si>
    <t>iFood London Birgues</t>
  </si>
  <si>
    <t xml:space="preserve">Almoço no Rock&amp;Ribbs do Atriun </t>
  </si>
  <si>
    <t>Pendrive Sandisk Fit 32GB pro novo Pejô</t>
  </si>
  <si>
    <t xml:space="preserve">seiko prospex special edition padi SRPA21B1 (10/10) </t>
  </si>
  <si>
    <t>Remedios de evitar dores de cabeças</t>
  </si>
  <si>
    <t xml:space="preserve">Symbicort 12/400 + Busonide + rinomosoro </t>
  </si>
  <si>
    <t>Kalunga do shoppin g ABC mapping</t>
  </si>
  <si>
    <t>Treco de tirar agua do galão</t>
  </si>
  <si>
    <t>IOFs em compra no exterior</t>
  </si>
  <si>
    <t>Diferenças de cotaões cambiais</t>
  </si>
  <si>
    <t xml:space="preserve">Uber PARA  a GLESP </t>
  </si>
  <si>
    <t>Restaurante na GLESP</t>
  </si>
  <si>
    <t>Uber Para Casa</t>
  </si>
  <si>
    <t>Passagem para o Paraná</t>
  </si>
  <si>
    <t>Goya Perfumaria</t>
  </si>
  <si>
    <t>Drogarias são Pulao</t>
  </si>
  <si>
    <t>Sukyiia Santo André</t>
  </si>
  <si>
    <t>Bijoux Menina moça</t>
  </si>
  <si>
    <t>O Madero´s BURGUEs</t>
  </si>
  <si>
    <t>Os Livros Sagrados de Thelema / A Magia de Aleister Crowley / Mundo Enochiano de Aleister Crowley</t>
  </si>
  <si>
    <t>Tarot: tarot Atalla</t>
  </si>
  <si>
    <t>Tarot: Oracle of Visions / Giant Rider-waite tarot Dec</t>
  </si>
  <si>
    <t>Café nas Start Birques</t>
  </si>
  <si>
    <t>Kapyrotagya: Mensalidade A.M.O.R.C. (03/03)</t>
  </si>
  <si>
    <t>London Burguesa</t>
  </si>
  <si>
    <t>ALX comercio de vestuário</t>
  </si>
  <si>
    <t>Marcato Tecidos</t>
  </si>
  <si>
    <t>Brasart HCT 160/25 mg</t>
  </si>
  <si>
    <t>Sinvacort 20mg</t>
  </si>
  <si>
    <t>Automotivo: Seguro Pejô 207 (01/04)</t>
  </si>
  <si>
    <t>Passagens de Apucarana para Piraju</t>
  </si>
  <si>
    <t>Matsushi</t>
  </si>
  <si>
    <t>Automotivo: Seguro da Echo (03/04)</t>
  </si>
  <si>
    <t>Trabalho: Barras de cerais</t>
  </si>
  <si>
    <t>Trabalho: Lanche da Tardes</t>
  </si>
  <si>
    <t xml:space="preserve">RA-BIBES </t>
  </si>
  <si>
    <t>Cervejas artezanais pro Furlan</t>
  </si>
  <si>
    <t>Suporte de monitor de computador</t>
  </si>
  <si>
    <t>iFood London Burgues</t>
  </si>
  <si>
    <t>Farmácias BiFarma</t>
  </si>
  <si>
    <t>ForLife Setembro/2018 (02/12)</t>
  </si>
  <si>
    <t>Passagens de Avaré para Piraju</t>
  </si>
  <si>
    <t>iFoods em casa</t>
  </si>
  <si>
    <t>Tarot: Apokalypsis / Universal Goddess / Malegic Time / Athame Ipê Athama Amarante (03/03)</t>
  </si>
  <si>
    <t>ifood quali pizzas</t>
  </si>
  <si>
    <t xml:space="preserve">Variação cambial a credito </t>
  </si>
  <si>
    <t>pingentes badulaques</t>
  </si>
  <si>
    <t>café no boat festival</t>
  </si>
  <si>
    <t>Madero´s</t>
  </si>
  <si>
    <t>Qabalah, Qliphoth e Magia Goética – Thomas Karlsson</t>
  </si>
  <si>
    <t xml:space="preserve">iFood The BurguersFactory </t>
  </si>
  <si>
    <t xml:space="preserve">Automotivo: Seguro 208 (01/04) </t>
  </si>
  <si>
    <t>Ragazzo Atrium</t>
  </si>
  <si>
    <t>O Madero de SCS</t>
  </si>
  <si>
    <t>The Star Buqyes</t>
  </si>
  <si>
    <t xml:space="preserve">Hotel Gramado (02/03) </t>
  </si>
  <si>
    <t>Passagens para Porto Alegre (02/03)</t>
  </si>
  <si>
    <t>Tratamento Vidros, Pintura, Bancos (01/03)</t>
  </si>
  <si>
    <t xml:space="preserve">Acessórios do carro (01/03) </t>
  </si>
  <si>
    <t>Areia de cocô de gato, ração e brinquedos</t>
  </si>
  <si>
    <t>Dorflex e cafi lizasor</t>
  </si>
  <si>
    <t>Daiso do Brasil</t>
  </si>
  <si>
    <t xml:space="preserve">Kuturno </t>
  </si>
  <si>
    <t xml:space="preserve">ifood em casa </t>
  </si>
  <si>
    <t>Sukyias</t>
  </si>
  <si>
    <t>Passagens Argentina (04/06)</t>
  </si>
  <si>
    <t>Seguro: Argentina (04/06)</t>
  </si>
  <si>
    <t>Estadia Argentina (04/06)</t>
  </si>
  <si>
    <t>Despachar malas para voajar</t>
  </si>
  <si>
    <t>Lanche no aeroporto do Com-Gpnhas</t>
  </si>
  <si>
    <t>Lanche no Aeroporto de Porto-Alegres</t>
  </si>
  <si>
    <t>Almoço Gramado Rasen Bier</t>
  </si>
  <si>
    <t>Cafés em gramados</t>
  </si>
  <si>
    <t>Cantina di Capo</t>
  </si>
  <si>
    <t>Jaqueta de couro legitima de gramado</t>
  </si>
  <si>
    <t>Sobretudo rosa</t>
  </si>
  <si>
    <t>Almoço em gramado trattoria</t>
  </si>
  <si>
    <t>Café de lanche de tarde</t>
  </si>
  <si>
    <t>Anti Gases e Gelóis</t>
  </si>
  <si>
    <t>Blisinhas diversas</t>
  </si>
  <si>
    <t>cantina pastasciutta gramado</t>
  </si>
  <si>
    <t>Vafé em Novo Hamburgo</t>
  </si>
  <si>
    <t>Restaurante Galetto Itália gramado</t>
  </si>
  <si>
    <t>Lojas chocolates da Prawer</t>
  </si>
  <si>
    <t>Sapatos no territótios dos calçados</t>
  </si>
  <si>
    <t>Gazzozza na Duster de Viagem</t>
  </si>
  <si>
    <t>Chimarrão pro Gaucho da KDMia</t>
  </si>
  <si>
    <t>Restaurante Alemanha Encantada</t>
  </si>
  <si>
    <t xml:space="preserve">Hotel Lagheto Gramado </t>
  </si>
  <si>
    <t>Cafés no aeroporto de Porto Alegres</t>
  </si>
  <si>
    <t>Uber para santo andré</t>
  </si>
  <si>
    <t xml:space="preserve">MobileApp:Ios:Games </t>
  </si>
  <si>
    <t>Nagmo´s</t>
  </si>
  <si>
    <t>Ataque dos Titãs Nº 24</t>
  </si>
  <si>
    <t>Enciclopédia dos simbolos</t>
  </si>
  <si>
    <t>Pizza Rutes MAPPING</t>
  </si>
  <si>
    <t>Forro de tabua de passar ropas</t>
  </si>
  <si>
    <t>estacionamento no mapping</t>
  </si>
  <si>
    <t xml:space="preserve">Nagumo´s de manha </t>
  </si>
  <si>
    <t>Fita-lacre nylons</t>
  </si>
  <si>
    <t>Yamagushi SuShi</t>
  </si>
  <si>
    <t>Rock &amp; Ribbs do Atrium s</t>
  </si>
  <si>
    <t>Queijos de Bufalas</t>
  </si>
  <si>
    <t>Carrefours</t>
  </si>
  <si>
    <t>Cartase.Me: All Type Tarots</t>
  </si>
  <si>
    <t>Estacionamento no Shopping SCS</t>
  </si>
  <si>
    <t>O Mundo do Palmintos</t>
  </si>
  <si>
    <t>Xirata feira Limpas</t>
  </si>
  <si>
    <t>Santa Tereza Padaria</t>
  </si>
  <si>
    <t>mercadolivre</t>
  </si>
  <si>
    <t>iFood Burgues 4 você</t>
  </si>
  <si>
    <t>Automotivo: Seguro Pejô 207 (02/04)</t>
  </si>
  <si>
    <t>Cartase.Me: os 40 Servidores BRs</t>
  </si>
  <si>
    <t>Automotivo: Seguro da Echo (04/04)</t>
  </si>
  <si>
    <t>Almoço no Rock&amp;Ribbs</t>
  </si>
  <si>
    <t>Symbicort 12/400 + busonide</t>
  </si>
  <si>
    <t>Gazzozza no Pejô Chapolin GGM5</t>
  </si>
  <si>
    <t>Estacionamento no Coco</t>
  </si>
  <si>
    <t>Pizza em casa do iFoof</t>
  </si>
  <si>
    <t>Sinvastacor 20mg</t>
  </si>
  <si>
    <t>COR-SELECT 2,5mg</t>
  </si>
  <si>
    <t>Brasart HCT 160/12mg</t>
  </si>
  <si>
    <t>Perfumaria do Charmo</t>
  </si>
  <si>
    <t>ForLife Setembro/2018 (03/12)</t>
  </si>
  <si>
    <t>Tenis novo de KDMIA</t>
  </si>
  <si>
    <t>No plazas</t>
  </si>
  <si>
    <t>Mil Folhas - mendoas</t>
  </si>
  <si>
    <t>O Madero´s de Shoopping Mooka</t>
  </si>
  <si>
    <t>Roupas da Siberian</t>
  </si>
  <si>
    <t xml:space="preserve">Tarot: The Egyptian tarot Lo Scarabeo </t>
  </si>
  <si>
    <t xml:space="preserve">Roupa Luigi Bertoni (01/03) </t>
  </si>
  <si>
    <t>G-Shock DW-6900LU-8DR (01/03)</t>
  </si>
  <si>
    <t>Estacionamento do Shopping Mooca</t>
  </si>
  <si>
    <t>Automotivo: Seguro 208 (02/04)</t>
  </si>
  <si>
    <t>2 resistencias de chuveiros + 2 colas silicones + superboinders</t>
  </si>
  <si>
    <t>A loja de O Papel</t>
  </si>
  <si>
    <t xml:space="preserve">Hotel Gramado (03/03) </t>
  </si>
  <si>
    <t>Passagens para Porto Alegre (03/03)</t>
  </si>
  <si>
    <t>Si Señor de SCS</t>
  </si>
  <si>
    <t>Tratamento Vidros, Pintura, Bancos (02/03)</t>
  </si>
  <si>
    <t>Acessórios do carro (02/03)</t>
  </si>
  <si>
    <t>CORAZZA LAVA RAPIDO</t>
  </si>
  <si>
    <t>Queijos de bufalas</t>
  </si>
  <si>
    <t>ScrapStore (01/02)</t>
  </si>
  <si>
    <t>The Auti Baques</t>
  </si>
  <si>
    <t xml:space="preserve">Dayso do Brasil </t>
  </si>
  <si>
    <t>Software: MobileApp: Ios: Games</t>
  </si>
  <si>
    <t>Passagens Argentina (05/06)</t>
  </si>
  <si>
    <t>Seguro: Argentina (05/06)</t>
  </si>
  <si>
    <t>Estadia Argentina (05/06)</t>
  </si>
  <si>
    <t>Siberian do Shopping Mapping</t>
  </si>
  <si>
    <t>Luigi Bertoni SCS</t>
  </si>
  <si>
    <t xml:space="preserve">Uber para IR para a GLESP </t>
  </si>
  <si>
    <t xml:space="preserve">Uber para voltar da GLESP </t>
  </si>
  <si>
    <t>Remedios de gargantas</t>
  </si>
  <si>
    <t>Almoço na paulistas</t>
  </si>
  <si>
    <t>Cor-Select 2,5MG</t>
  </si>
  <si>
    <t>Lavagem de ternos</t>
  </si>
  <si>
    <t>Game: God Of War IV</t>
  </si>
  <si>
    <t>Game: Pacote expansão Batman Arkham Knight</t>
  </si>
  <si>
    <t>O SONDA de SBC</t>
  </si>
  <si>
    <t>Coisas de celular iPhone no Gorila Shield</t>
  </si>
  <si>
    <t>cabelos</t>
  </si>
  <si>
    <t>Remedios cirurgia dental</t>
  </si>
  <si>
    <t>Sukya do centro</t>
  </si>
  <si>
    <t>Dayso do brasiol</t>
  </si>
  <si>
    <t>Constance cabelos</t>
  </si>
  <si>
    <t>Automotivo: Seguro Pejô 207 (03/04)</t>
  </si>
  <si>
    <t>SanSei Cosmético</t>
  </si>
  <si>
    <t>Novo liquidificadores</t>
  </si>
  <si>
    <t>Cervejaria Madalena´s</t>
  </si>
  <si>
    <t>Mundo do Palmito</t>
  </si>
  <si>
    <t>Okay Sushi</t>
  </si>
  <si>
    <t xml:space="preserve">Doctor Unha </t>
  </si>
  <si>
    <t>Cremes pos barbas do boticarios</t>
  </si>
  <si>
    <t>cremes lifting do boticario</t>
  </si>
  <si>
    <t>Selos maçonicos brasileiros</t>
  </si>
  <si>
    <t>Cremes do mercado livre</t>
  </si>
  <si>
    <t>Restaurante do rancho 53</t>
  </si>
  <si>
    <t>ForLife Setembro/2018 (04/12)</t>
  </si>
  <si>
    <t>Remedios de dores e de cagar</t>
  </si>
  <si>
    <t>v</t>
  </si>
  <si>
    <t>Nicolau MAX de Pirajus</t>
  </si>
  <si>
    <t>Pagammento de Fatura</t>
  </si>
  <si>
    <t>Roupa Luigi Bertoni (02/03)</t>
  </si>
  <si>
    <t>G-Shock DW-6900LU-8DR (02/03)</t>
  </si>
  <si>
    <t>Na nutricionista da Saggitta</t>
  </si>
  <si>
    <t>NA-Gumo´s</t>
  </si>
  <si>
    <t>A Loja De O Papels</t>
  </si>
  <si>
    <t>Automotivo: Seguro 208 (03/04)</t>
  </si>
  <si>
    <t>Diferença do Gorila Shield</t>
  </si>
  <si>
    <t>Selos grandes temas do mercado livre</t>
  </si>
  <si>
    <t>Ferramenta de retirar pulseiras de relogios</t>
  </si>
  <si>
    <t>Perfumaria do Charmos</t>
  </si>
  <si>
    <t>Uber para ir para o jantar na nova esperança</t>
  </si>
  <si>
    <t>Tratamento Vidros, Pintura, Bancos (03/03)</t>
  </si>
  <si>
    <t>Acessórios do carro (03/03)</t>
  </si>
  <si>
    <t>ScrapStore (02/02)</t>
  </si>
  <si>
    <t xml:space="preserve">uber para voltar do jantar </t>
  </si>
  <si>
    <t>A loja de O papael</t>
  </si>
  <si>
    <t>Capa do celular iphone 8plus</t>
  </si>
  <si>
    <t>Almoço no mapping</t>
  </si>
  <si>
    <t>ifood em acasa</t>
  </si>
  <si>
    <t>Silhouette Aerica</t>
  </si>
  <si>
    <t>$ 3,96 USD</t>
  </si>
  <si>
    <t>IOF da Silhouette</t>
  </si>
  <si>
    <t>Software: HEIC Codecs</t>
  </si>
  <si>
    <t>Passagens Argentina (06/06)</t>
  </si>
  <si>
    <t>Seguro: Argentina (06/06)</t>
  </si>
  <si>
    <t>Estadia Argentina (06/06)</t>
  </si>
  <si>
    <t>C&amp;A Modas Lojas 340 (01/02)</t>
  </si>
  <si>
    <t>O Mundo do Palmito´s</t>
  </si>
  <si>
    <t>Antialergicos em geral</t>
  </si>
  <si>
    <t>E mais nagumo´s</t>
  </si>
  <si>
    <t>Penumbra Livros: O Olho no Triângulo - Israel Regardie</t>
  </si>
  <si>
    <t>Remedio de evitar dor de cabeças</t>
  </si>
  <si>
    <t>Joias da Morana</t>
  </si>
  <si>
    <t>Pink Calçados</t>
  </si>
  <si>
    <t>Pipoqueira e várias coisas</t>
  </si>
  <si>
    <t>Maquina de cortar cabelos</t>
  </si>
  <si>
    <t>Roupas da LindaLara</t>
  </si>
  <si>
    <t>Várias cervejas de presentes</t>
  </si>
  <si>
    <t>Jantar de 14 anos de casados</t>
  </si>
  <si>
    <t>Curativos de farmácias</t>
  </si>
  <si>
    <t>Loungerie shoppimg Mooca</t>
  </si>
  <si>
    <t>Presente de bomba de gas de bebidas</t>
  </si>
  <si>
    <t>IkeSaki Santo André</t>
  </si>
  <si>
    <t>Automotivo: Seguro Pejô 207 (04/04)</t>
  </si>
  <si>
    <t>Lojas PerNamBucanas</t>
  </si>
  <si>
    <t>A torre de pizza</t>
  </si>
  <si>
    <t>Nicolau MAXS</t>
  </si>
  <si>
    <t>Bifarmas</t>
  </si>
  <si>
    <t>Pizza de 50CM</t>
  </si>
  <si>
    <t xml:space="preserve">Vitória Cosméticos em Piraju </t>
  </si>
  <si>
    <t>Chinelas NOVAs</t>
  </si>
  <si>
    <t>OISHI Sushi BAR em Piraju</t>
  </si>
  <si>
    <t>Variação Cambial a credito</t>
  </si>
  <si>
    <t>Coisas Diversas da loja de 1,99 de Piraju</t>
  </si>
  <si>
    <t>ForLife Setembro/2018 (05/12)</t>
  </si>
  <si>
    <t xml:space="preserve"> janeiro /  2019</t>
  </si>
  <si>
    <t>Roupa Luigi Bertoni (03/03)</t>
  </si>
  <si>
    <t>G-Shock DW-6900LU-8DR (03/03)</t>
  </si>
  <si>
    <t>Remedio de pressão e coisas diversas</t>
  </si>
  <si>
    <t>Dr. Consulta do Shopping Mapping</t>
  </si>
  <si>
    <t>Automotivo: Seguro 208 (04/04)</t>
  </si>
  <si>
    <t>ifood the dominions</t>
  </si>
  <si>
    <t>Symbicort 12/400, Rinosoro, desodorizante e serigas</t>
  </si>
  <si>
    <t>Remedios Manipulados diversos (01/04)</t>
  </si>
  <si>
    <t>AcquaMomoa no Shopping de SCS</t>
  </si>
  <si>
    <t>Café do Star Bues no São caetano</t>
  </si>
  <si>
    <t>Probioticos para emagrecer</t>
  </si>
  <si>
    <t>Naguimo véio de guerra</t>
  </si>
  <si>
    <t>Agulhas de insulinas</t>
  </si>
  <si>
    <t xml:space="preserve">JBL Inspire 500 (01/03) </t>
  </si>
  <si>
    <t>O Mundo de O Palmito</t>
  </si>
  <si>
    <t>Doss 50.000 UI Vitamina D</t>
  </si>
  <si>
    <t>Graos diversos de cereais</t>
  </si>
  <si>
    <t>Xampoos de cabelos diversos</t>
  </si>
  <si>
    <t>Cafés no centro de A cidade</t>
  </si>
  <si>
    <t>C&amp;A Modas Lojas 340 (02/02)</t>
  </si>
  <si>
    <t>Neosaldinas diversas</t>
  </si>
  <si>
    <t>Yorgurtesa de KDMIAS</t>
  </si>
  <si>
    <t>Remedios de cólicas</t>
  </si>
  <si>
    <t>Nagumo0és</t>
  </si>
  <si>
    <t>Arei de cocô de gatos</t>
  </si>
  <si>
    <t>Impressora Brother HL-1212w (01/03)</t>
  </si>
  <si>
    <t>Café sorvete no Shopping</t>
  </si>
  <si>
    <t>Bolachas de Bigathus</t>
  </si>
  <si>
    <t>Glass - Vridro</t>
  </si>
  <si>
    <t>Apple Watch S4 (01/06)</t>
  </si>
  <si>
    <t xml:space="preserve">Jantar no SÃO Caetano </t>
  </si>
  <si>
    <t xml:space="preserve">Ilha da Beleza.com.br (01/02) </t>
  </si>
  <si>
    <t>ioFood</t>
  </si>
  <si>
    <t>MercadoLivre: Case Silicone (tpu) Relógio Applewatch 38, 40, 42 E 44</t>
  </si>
  <si>
    <t>MercadoLivre: Case Capa Silicone 360º Protetor Apple Watch S4 44MM</t>
  </si>
  <si>
    <t xml:space="preserve">Software: MobileApp: Ios: Alert Chime </t>
  </si>
  <si>
    <t>Roupas de Academias</t>
  </si>
  <si>
    <t>Calças Levis (01/03)</t>
  </si>
  <si>
    <t>Espuma de limpeza de vomito de Gatos + Brinquedo Cirtuido de Gatos</t>
  </si>
  <si>
    <t xml:space="preserve">Biquini Mar E Toa </t>
  </si>
  <si>
    <t>O Oraculo de Thoth - ComHarmonia.com/</t>
  </si>
  <si>
    <t xml:space="preserve">A Loja do Papel </t>
  </si>
  <si>
    <t>O mundo do Palmito</t>
  </si>
  <si>
    <t>ForLife Setembro/2018 (06/12)</t>
  </si>
  <si>
    <t xml:space="preserve"> Fevereiro /  2019</t>
  </si>
  <si>
    <t>IkeSaKi</t>
  </si>
  <si>
    <t>Mill Pholhas</t>
  </si>
  <si>
    <t>Brasart HCT / Cor Select / Redoxon /Omega3 Sumdown</t>
  </si>
  <si>
    <t>Silvia Maria de Oliveira</t>
  </si>
  <si>
    <t>Mil Phollhas - Castanhas e grãos</t>
  </si>
  <si>
    <t>Remedios Manipulados diversos (02/04)</t>
  </si>
  <si>
    <t>Probiatop, remedios de gripos</t>
  </si>
  <si>
    <t xml:space="preserve">JBL Inspire 500 (02/03) </t>
  </si>
  <si>
    <t>Fast Shops</t>
  </si>
  <si>
    <t>Colores</t>
  </si>
  <si>
    <t>Almoço no Japoneis</t>
  </si>
  <si>
    <t>Mais no Nagumo´s</t>
  </si>
  <si>
    <t>Impressora Brother HL-1212w (02/03)</t>
  </si>
  <si>
    <t>SuperMercados Sondas</t>
  </si>
  <si>
    <t>O Mercado-livres</t>
  </si>
  <si>
    <t>Remedios de Azias</t>
  </si>
  <si>
    <t>Heringue estore</t>
  </si>
  <si>
    <t xml:space="preserve">Miniso </t>
  </si>
  <si>
    <t>Sí Señor São caetanos</t>
  </si>
  <si>
    <t>Apple Watch S4 (02/06)</t>
  </si>
  <si>
    <t xml:space="preserve">TV Samsung LED 55´ UN55NU7400G Parcela (01/10) </t>
  </si>
  <si>
    <t>Adiantamento dos óculois novos</t>
  </si>
  <si>
    <t>iFood Pizza em casa</t>
  </si>
  <si>
    <t>Impório Bufalates</t>
  </si>
  <si>
    <t>Cabo otico para a TV nova</t>
  </si>
  <si>
    <t xml:space="preserve">Ilha da Beleza.com.br (02/02) </t>
  </si>
  <si>
    <t>Probiato + agua oxigernada + gazes</t>
  </si>
  <si>
    <t>Calças Levis (02/03)</t>
  </si>
  <si>
    <t xml:space="preserve">Loja do papel </t>
  </si>
  <si>
    <t>IOF de Silhouette da América</t>
  </si>
  <si>
    <t>óculos de Graus (01/04)</t>
  </si>
  <si>
    <t>Symbicort 12/400, Busonide, Anti Alergico e desodorizantes</t>
  </si>
  <si>
    <t>Cervejas de Madalenas de presentes para parentes</t>
  </si>
  <si>
    <t>Linda Lara Roupas</t>
  </si>
  <si>
    <t>Ração e areia de cocôs de Gatos</t>
  </si>
  <si>
    <t>The Grazzie Nappolie</t>
  </si>
  <si>
    <t>ForLife Setembro/2018 (07/12)</t>
  </si>
  <si>
    <t xml:space="preserve"> Março /  2019</t>
  </si>
  <si>
    <t>O Nicolau M.A.X.</t>
  </si>
  <si>
    <t>Vitória Regias</t>
  </si>
  <si>
    <t>Pizzaria torre de Pirras</t>
  </si>
  <si>
    <t>Perfumes d'O Boticário´s em piraju</t>
  </si>
  <si>
    <t>Renner do Catuai</t>
  </si>
  <si>
    <t>Vesrtidinhos de apucaranas</t>
  </si>
  <si>
    <t>Blusinha 02</t>
  </si>
  <si>
    <t>Remedios Manipulados diversos (03/04)</t>
  </si>
  <si>
    <t xml:space="preserve">JBL Inspire 500 (03/03) </t>
  </si>
  <si>
    <t>Absorventes diversos</t>
  </si>
  <si>
    <t>Casa ro rock S/A Apucarana´s</t>
  </si>
  <si>
    <t>Catarse.me : Enciclipédia Mitologida do MDD</t>
  </si>
  <si>
    <t>Gazzozza no PEJO GGM5</t>
  </si>
  <si>
    <t>Nicolau M.A.X.</t>
  </si>
  <si>
    <t>Probiatópi</t>
  </si>
  <si>
    <t>Cristais Swarosky</t>
  </si>
  <si>
    <t>Pelicula de celular</t>
  </si>
  <si>
    <t>Pelicula de celular + Pulseira de AppleWatch</t>
  </si>
  <si>
    <t xml:space="preserve">Aula de Scrapi </t>
  </si>
  <si>
    <t>2x Capitãs Marvéis</t>
  </si>
  <si>
    <t>Impressora Brother HL-1212w (03/03)</t>
  </si>
  <si>
    <t>GasLar - conserto de panela e tomadas</t>
  </si>
  <si>
    <t>Refris de cinemas</t>
  </si>
  <si>
    <t>Apple Watch S4 (03/06)</t>
  </si>
  <si>
    <t xml:space="preserve">TV Samsung LED 55´ UN55NU7400G Parcela (02/10) </t>
  </si>
  <si>
    <t>Brasart HCT 160/12,5MG + lacto purgas</t>
  </si>
  <si>
    <t>The Scrap Store</t>
  </si>
  <si>
    <t>Ifood pizzas em casa</t>
  </si>
  <si>
    <t>O Fonte do Leone</t>
  </si>
  <si>
    <t xml:space="preserve">Amoxilina e Antibióticos </t>
  </si>
  <si>
    <t xml:space="preserve">Symbicort 12/400 e coisas diversas </t>
  </si>
  <si>
    <t>Padoca  VR´s</t>
  </si>
  <si>
    <t>O Doctor Consulta´s</t>
  </si>
  <si>
    <t>Materiais da Kalunga</t>
  </si>
  <si>
    <t>Almoço no mapping shopping</t>
  </si>
  <si>
    <t>luvas de KDMIas</t>
  </si>
  <si>
    <t>Calças Levis (03/03)</t>
  </si>
  <si>
    <t>Sobral FOTOS</t>
  </si>
  <si>
    <t>Lanche proteico da Tarde</t>
  </si>
  <si>
    <t>Suporte para celular do GGM5</t>
  </si>
  <si>
    <t>Nagumoi´s</t>
  </si>
  <si>
    <t>iFood The burguers para voce</t>
  </si>
  <si>
    <t>Carry4 xPress</t>
  </si>
  <si>
    <t>Chimp industria e comercio de couro EIRELI</t>
  </si>
  <si>
    <t>Xarope forte pra tosses</t>
  </si>
  <si>
    <t>óculos de Graus (02/04)</t>
  </si>
  <si>
    <t>Kapyrotagya: Ajuste contribuiões A.M.O.R.C.</t>
  </si>
  <si>
    <t>Silhouette da America</t>
  </si>
  <si>
    <t>$ 4,50 usd</t>
  </si>
  <si>
    <t>Tarot: Inclinações da Alma / Giancarlo / Merkabah</t>
  </si>
  <si>
    <t>ForLife Setembro/2018 (08/12)</t>
  </si>
  <si>
    <t xml:space="preserve"> Abril /  2019</t>
  </si>
  <si>
    <t>Variação Cambial a Debito</t>
  </si>
  <si>
    <t>tintas de cabelos</t>
  </si>
  <si>
    <t>Mil folhas</t>
  </si>
  <si>
    <t>Perfumaria ABC</t>
  </si>
  <si>
    <t>Roupas de acadeias</t>
  </si>
  <si>
    <t>Material para plastificação</t>
  </si>
  <si>
    <t>Estojop porta Trecos</t>
  </si>
  <si>
    <t>iFood the burguer MAPs</t>
  </si>
  <si>
    <t xml:space="preserve">material de scrap </t>
  </si>
  <si>
    <t>conserto do radio da cozinha</t>
  </si>
  <si>
    <t>Remedios Manipulados diversos (04/04)</t>
  </si>
  <si>
    <t>Amazon.com.br: Ataque e defesa astral do Marcelo Motta</t>
  </si>
  <si>
    <t xml:space="preserve">Almoço no Atrium </t>
  </si>
  <si>
    <t xml:space="preserve">Mais remedios Manipulados (01/03) </t>
  </si>
  <si>
    <t xml:space="preserve">Almoiço no curso enochiano </t>
  </si>
  <si>
    <t xml:space="preserve">Kapyrotagya: Magia Enochiana Fr. Goya - Modulo I </t>
  </si>
  <si>
    <t>padocca´s</t>
  </si>
  <si>
    <t>ProPharmachos</t>
  </si>
  <si>
    <t>Tratamento renite + desodorante + Sinvastatinas</t>
  </si>
  <si>
    <t>A loja do Papel (01/02)</t>
  </si>
  <si>
    <t>BonsBons diversos para a galera</t>
  </si>
  <si>
    <t>Symbicort 12/400  remedios de gripes</t>
  </si>
  <si>
    <t xml:space="preserve">Pasteis do trevo de bertioga </t>
  </si>
  <si>
    <t>sorvete da tarde</t>
  </si>
  <si>
    <t>Lojas Colore LanTeiJouLas</t>
  </si>
  <si>
    <t>Lojas Marield D</t>
  </si>
  <si>
    <t>Tarot: Tarot Cabalisticio Naipes Heraclio Fournier</t>
  </si>
  <si>
    <t>Velas e incensos diversos</t>
  </si>
  <si>
    <t>Apple Watch S4 (04/06)</t>
  </si>
  <si>
    <t xml:space="preserve">TV Samsung LED 55´ UN55NU7400G Parcela (03/10) </t>
  </si>
  <si>
    <t>G M Embalagens ?</t>
  </si>
  <si>
    <t>Maquiagens do Agostin</t>
  </si>
  <si>
    <t>Brasart HCT 160/12,5MG</t>
  </si>
  <si>
    <t>Esparadra-pos, Busonide 32MG, João Tex</t>
  </si>
  <si>
    <t>Polar H10 Amazon (01/03)</t>
  </si>
  <si>
    <t>Polar H10 Amazon (02/03)</t>
  </si>
  <si>
    <t>Polar H10 Amazon (03/03)</t>
  </si>
  <si>
    <t xml:space="preserve">Unhas do Bvrasil </t>
  </si>
  <si>
    <t xml:space="preserve">Uber do Brasil </t>
  </si>
  <si>
    <t>Madero´s Park Shoppings</t>
  </si>
  <si>
    <t xml:space="preserve">Mais um óculos novo </t>
  </si>
  <si>
    <t>Ngumo´s</t>
  </si>
  <si>
    <t>Cafés de expressos do Carry4 Nespresso</t>
  </si>
  <si>
    <t>óculos de Graus (03/04)</t>
  </si>
  <si>
    <t>Montana Grill Mapping</t>
  </si>
  <si>
    <t>Star Buckes maping</t>
  </si>
  <si>
    <t>paprica burgurs aguas claras</t>
  </si>
  <si>
    <t>Seringas, agulas e gases</t>
  </si>
  <si>
    <t>KFB comercio varejista</t>
  </si>
  <si>
    <t>Catarse.Me: tarot Folclórico BR</t>
  </si>
  <si>
    <t>Uber pra casa</t>
  </si>
  <si>
    <t>Roupas da TNG</t>
  </si>
  <si>
    <t>Coisas na Dayso</t>
  </si>
  <si>
    <t>Taco BELLS´s</t>
  </si>
  <si>
    <t>Amazon do Brasil</t>
  </si>
  <si>
    <t>Variação cambial à debito</t>
  </si>
  <si>
    <t>ForLife Setembro/2018 (09/12)</t>
  </si>
  <si>
    <t xml:space="preserve"> Maio /  2019</t>
  </si>
  <si>
    <t>Uber para ir pra o Aeroporto Guarulhos</t>
  </si>
  <si>
    <t>restaurante Nuria no chile</t>
  </si>
  <si>
    <t>$ 32,67 USD</t>
  </si>
  <si>
    <t>Almoço na BULL Toro Brabo Chille</t>
  </si>
  <si>
    <t>$ 62,23 USD</t>
  </si>
  <si>
    <t>Uber ara Ir pra Jantar</t>
  </si>
  <si>
    <t>$ 8,77 USD</t>
  </si>
  <si>
    <t xml:space="preserve">Zocc Galeria Bella Vista </t>
  </si>
  <si>
    <t>$ 29,11 USD</t>
  </si>
  <si>
    <t xml:space="preserve">Uber para voltar pro Hotel </t>
  </si>
  <si>
    <t>$ 6,46 USD</t>
  </si>
  <si>
    <t>Hardrock Café Chille</t>
  </si>
  <si>
    <t>$ 50,09 USD</t>
  </si>
  <si>
    <t>Uber pra Voltar pro hotel</t>
  </si>
  <si>
    <t>$ 18,85 USD</t>
  </si>
  <si>
    <t>Vendetta Pizzas</t>
  </si>
  <si>
    <t>$ 42,48 USD</t>
  </si>
  <si>
    <t xml:space="preserve">Uber pra voltar proi Hotel </t>
  </si>
  <si>
    <t>$ 6,91 USD</t>
  </si>
  <si>
    <t>Saldo pra ajustes em USD</t>
  </si>
  <si>
    <t>Diferença fatura Anterior</t>
  </si>
  <si>
    <t xml:space="preserve">IOF Acumulada no periodo </t>
  </si>
  <si>
    <t>Uber pra voltar do aeroporto pra Santo André</t>
  </si>
  <si>
    <t>Gorjeta pro Uber</t>
  </si>
  <si>
    <t>Avengers: Ultimato - SCS</t>
  </si>
  <si>
    <t xml:space="preserve">Cinta Cardiaca Polar H10 (01/03) </t>
  </si>
  <si>
    <t>Kit Lanches cinemas</t>
  </si>
  <si>
    <t xml:space="preserve">Canetas diversas </t>
  </si>
  <si>
    <t>Cartolinas diversas</t>
  </si>
  <si>
    <t>AmoBerloques</t>
  </si>
  <si>
    <t xml:space="preserve">Trabalho: Café pós almoço </t>
  </si>
  <si>
    <t xml:space="preserve">CV Pra Você - Analise de CV (01/03) </t>
  </si>
  <si>
    <t>iFood comida em casa</t>
  </si>
  <si>
    <t xml:space="preserve">Mais remedios Manipulados (02/03) </t>
  </si>
  <si>
    <t>Remedios Manipulados II (01/04)</t>
  </si>
  <si>
    <t>Papéis Higienicos</t>
  </si>
  <si>
    <t>Detetive Pikachu no Mapping</t>
  </si>
  <si>
    <t xml:space="preserve">Tarô Clássico - tuart R. Kaplan - 1995/ ABC do Tarô - Colette H. Silvestre / Manual da Caça às Bruxas / Heinrick Kramer &amp; Jacobus Sprenger </t>
  </si>
  <si>
    <t xml:space="preserve">Cadernos de anotaços de estudos </t>
  </si>
  <si>
    <t>Batatas Fritas de Cinema</t>
  </si>
  <si>
    <t xml:space="preserve">Renosoro Jet 0,9ml </t>
  </si>
  <si>
    <t>Trabalho: Espoleto</t>
  </si>
  <si>
    <t>Trabalho: café de tarde Grão Expreesso</t>
  </si>
  <si>
    <t>Trabalho: Grão Exporesso</t>
  </si>
  <si>
    <t>O artezão (I)</t>
  </si>
  <si>
    <t>Trabalho: cafés da tarde</t>
  </si>
  <si>
    <t>Café do ponto no shopping Mapping</t>
  </si>
  <si>
    <t>Maçonaria: Terno da Brookfield para a Maçonaria (01/06)</t>
  </si>
  <si>
    <t>Almoço no Kharina no shopping</t>
  </si>
  <si>
    <t>Maçonaria: Meias pretas pra Maçonaria na Americanas</t>
  </si>
  <si>
    <t>coisas diversas na americanas</t>
  </si>
  <si>
    <t>O Valentina´s Pizzarias</t>
  </si>
  <si>
    <t>A loja do Papel (02/02)</t>
  </si>
  <si>
    <t xml:space="preserve">Colore </t>
  </si>
  <si>
    <t>Goya Cosmesticos</t>
  </si>
  <si>
    <t>Apple Watch S4 (05/06)</t>
  </si>
  <si>
    <t xml:space="preserve">TV Samsung LED 55´ UN55NU7400G Parcela (04/10) </t>
  </si>
  <si>
    <t>Shirata feira limpa</t>
  </si>
  <si>
    <t>Pães e Aveias no carry4</t>
  </si>
  <si>
    <t>Amazon.com.br:A chave ilustrada do Tarot</t>
  </si>
  <si>
    <t xml:space="preserve">Amazon.com.br: História da Bruxaria: Feiticeiras, hereges e pagãs </t>
  </si>
  <si>
    <t>Amazon.com.br: Suporte de livros para mesa</t>
  </si>
  <si>
    <t>iFood: TB4Y</t>
  </si>
  <si>
    <t xml:space="preserve">Carry4 xPress </t>
  </si>
  <si>
    <t>LocasWeb site da cristiane anual</t>
  </si>
  <si>
    <t>Café de manha da Sodiê</t>
  </si>
  <si>
    <t>Capa nova de celular</t>
  </si>
  <si>
    <t>coisas diversas pra youruber</t>
  </si>
  <si>
    <t>Mais remedios manipulados</t>
  </si>
  <si>
    <t>Cervejaria demokrata</t>
  </si>
  <si>
    <t>iFood espetinhos em casa</t>
  </si>
  <si>
    <t>Ração + areia + bandejas + petiscos</t>
  </si>
  <si>
    <t>iFood Habibes</t>
  </si>
  <si>
    <t>Brasarth HCT 160/12,5 + Sinvastatina 20mg + Symbicort 12/400</t>
  </si>
  <si>
    <t>Tinturas de cabelos</t>
  </si>
  <si>
    <t>Produtos de fazer a barbas</t>
  </si>
  <si>
    <t>óculos de Graus (04/04)</t>
  </si>
  <si>
    <t>Maçonaria: Uber pra Ir pra GLESP</t>
  </si>
  <si>
    <t xml:space="preserve">Maçonaria: Habibes perto da GLESP </t>
  </si>
  <si>
    <t xml:space="preserve">Uber pro furlan ir pra GLESP </t>
  </si>
  <si>
    <t xml:space="preserve">Uber pra cristine ir pra SP </t>
  </si>
  <si>
    <t>Uber pra ir pra Veridiana</t>
  </si>
  <si>
    <t xml:space="preserve">Veridiana Pizzeria </t>
  </si>
  <si>
    <t>Uber pra Voltar pra casa</t>
  </si>
  <si>
    <t>Materiais de Scrap  Na loja do Papel</t>
  </si>
  <si>
    <t>ForLife Setembro/2018 (10/12)</t>
  </si>
  <si>
    <t xml:space="preserve">Completar o Óleo da Echo </t>
  </si>
  <si>
    <t>Junho /  2019</t>
  </si>
  <si>
    <t xml:space="preserve">Variação cambial à credito </t>
  </si>
  <si>
    <t>Fechadura da porta interna da sacada</t>
  </si>
  <si>
    <t>Maçonaria: Adonai Copo d'agua pós sessão</t>
  </si>
  <si>
    <t>O Mundo do palmito</t>
  </si>
  <si>
    <t>Colores Lojas</t>
  </si>
  <si>
    <t xml:space="preserve">Pasta Porta paramentos do ML </t>
  </si>
  <si>
    <t xml:space="preserve">Kits Adesivos para carros e coisas. </t>
  </si>
  <si>
    <t>Kits de Broches, PINs, Adesivos</t>
  </si>
  <si>
    <t>Cinta Cardiaca Polar H10 (02/03)</t>
  </si>
  <si>
    <t>Estorno da Cinta</t>
  </si>
  <si>
    <t>Amazon Kindle PaperWhite (01/06)</t>
  </si>
  <si>
    <t xml:space="preserve">Trabalho: Café Expresso Vanilla </t>
  </si>
  <si>
    <t>Kalunga Shopping ABCC</t>
  </si>
  <si>
    <t>Supermercado dos dias</t>
  </si>
  <si>
    <t>Kapyrotagya: Magia Enochiana Fr. Goya - Modulo II / Merkabah</t>
  </si>
  <si>
    <t xml:space="preserve">CV Pra Você - Analise de CV (02/03) </t>
  </si>
  <si>
    <t>CV PRA VC</t>
  </si>
  <si>
    <t>iFood Bolo cm casa</t>
  </si>
  <si>
    <t>Maçonaria: Adesivos Maçonicos decalques para o Furlan</t>
  </si>
  <si>
    <t>Remedios Manipulados II (02/04)</t>
  </si>
  <si>
    <t>Tecidos diversos</t>
  </si>
  <si>
    <t>Ifood Pizza em casa</t>
  </si>
  <si>
    <t>Kharina no mapping</t>
  </si>
  <si>
    <t>Maçonaria: Terno da Brookfield para a Maçonaria (02/06)</t>
  </si>
  <si>
    <t>Trabalho: Rock &amp; Ribbs</t>
  </si>
  <si>
    <t xml:space="preserve">coisas do de 1 a 99 </t>
  </si>
  <si>
    <t xml:space="preserve">Trabalho: Café da Tarde no atruium </t>
  </si>
  <si>
    <t>Maçonaria: Terno da Brookfield para a Maçonaria</t>
  </si>
  <si>
    <t xml:space="preserve">MercadoLivre.com.br: Suspensório para camisas </t>
  </si>
  <si>
    <t>Gazozza no pej0 GGM5</t>
  </si>
  <si>
    <t>Symbicort 12/400 , rinosoro, dorflex</t>
  </si>
  <si>
    <t>Drogacentro de piraju</t>
  </si>
  <si>
    <t>Santa Madre Mexican Bar</t>
  </si>
  <si>
    <t>Vitoria Regias cosmétics</t>
  </si>
  <si>
    <t>Embalagens diversas</t>
  </si>
  <si>
    <t>Divugação  posts instagram</t>
  </si>
  <si>
    <t>Apple Watch S4 (06/06)</t>
  </si>
  <si>
    <t xml:space="preserve">TV Samsung LED 55´ UN55NU7400G Parcela (05/10) </t>
  </si>
  <si>
    <t>Gazzozza Poejô GGM5 em Piraju</t>
  </si>
  <si>
    <t>dentista Tomografia bucal densidade ossea d26</t>
  </si>
  <si>
    <t>Varios cafés Nespressos dulce Gustopelo site</t>
  </si>
  <si>
    <t>A loja do Papel</t>
  </si>
  <si>
    <t>Trabalho: Café de depois de O Almoço</t>
  </si>
  <si>
    <t>ForLife Setembro/2018 (11/12)</t>
  </si>
  <si>
    <t>Julho /  2019</t>
  </si>
  <si>
    <t>Brasart HCT 160/12,5 /Rinosoro JETs</t>
  </si>
  <si>
    <t>Nutricionista Nutrir Corphus (01/03)</t>
  </si>
  <si>
    <t xml:space="preserve">Frete da enciclopédia Mitologica DelDebbio (PayPal) </t>
  </si>
  <si>
    <t>Livros de Enochiano do Goya do CdA</t>
  </si>
  <si>
    <t xml:space="preserve">A loja do papel  (01/02) </t>
  </si>
  <si>
    <t>O Sushi</t>
  </si>
  <si>
    <t>Guarda-chuvas mini</t>
  </si>
  <si>
    <t>Cinta Cardiaca Polar H10 (03/03)</t>
  </si>
  <si>
    <t>Amazon Kindle PaperWhite</t>
  </si>
  <si>
    <t>Amazon Kindle PaperWhite (02/06)</t>
  </si>
  <si>
    <t xml:space="preserve">Symbicort 12/400, busonid, anti alergico e tylenol </t>
  </si>
  <si>
    <t>Sansei Similares</t>
  </si>
  <si>
    <t>CV Pra Você - Analise de CV (03/03)</t>
  </si>
  <si>
    <t>Bolos do iFood</t>
  </si>
  <si>
    <t>Uber diverso</t>
  </si>
  <si>
    <t>Feira de cervejas</t>
  </si>
  <si>
    <t>Remedios Manipulados II (03/04)</t>
  </si>
  <si>
    <t>Cacau Show presentes</t>
  </si>
  <si>
    <t>Uber pra ir pra Entrevistas</t>
  </si>
  <si>
    <t xml:space="preserve">Zesho Sushi sukyia </t>
  </si>
  <si>
    <t xml:space="preserve">Trabalho: Café Pós Almoço </t>
  </si>
  <si>
    <t>Silhouette america</t>
  </si>
  <si>
    <t>$ 1,78 USD</t>
  </si>
  <si>
    <t>IOF Silhouette america</t>
  </si>
  <si>
    <t>Maçonaria: Terno da Brookfield para a Maçonaria (03/06)</t>
  </si>
  <si>
    <t>Areia de coco de gatros</t>
  </si>
  <si>
    <t xml:space="preserve">TV Samsung LED 55´ UN55NU7400G Parcela (06/10) </t>
  </si>
  <si>
    <t>Magato´s Bijoux</t>
  </si>
  <si>
    <t>Cafés Nespresso</t>
  </si>
  <si>
    <t>Uber pra ir pra algum lugar</t>
  </si>
  <si>
    <t>Nagumo´s véio de guerra</t>
  </si>
  <si>
    <t>Automotivo: Seguro Echo 2019-2020 (01/06)</t>
  </si>
  <si>
    <t xml:space="preserve">Novos remedios de pressão </t>
  </si>
  <si>
    <t>Remedios de boca estourada</t>
  </si>
  <si>
    <t>Para a cirugira do dente</t>
  </si>
  <si>
    <t>The Johnny Rocket´ss</t>
  </si>
  <si>
    <t>Restaurante Garoupas</t>
  </si>
  <si>
    <t>Almoço no Plaza PortoFino Vinhos</t>
  </si>
  <si>
    <t>Maçonaria: Meia Hipster pra maçonaria</t>
  </si>
  <si>
    <t>Cafés de Tardes</t>
  </si>
  <si>
    <t>Cosméticos diversos</t>
  </si>
  <si>
    <t>Roupas de entrevistas (01/03)</t>
  </si>
  <si>
    <t xml:space="preserve">Daiso brasil </t>
  </si>
  <si>
    <t>Panelas novas</t>
  </si>
  <si>
    <t>Pizza RUTE</t>
  </si>
  <si>
    <t>Luftal Generico pra exames</t>
  </si>
  <si>
    <t>CV Pra VC - Em Ingles - Parcela (01/03)</t>
  </si>
  <si>
    <t>ForLife Setembro/2018 (12/12)</t>
  </si>
  <si>
    <t>Agosto / 2019</t>
  </si>
  <si>
    <t>Nutricionista Nutrir Corphus (02/03)</t>
  </si>
  <si>
    <t>Symbicort 12/400 12/4400</t>
  </si>
  <si>
    <t>Trabalho: Lanche de tarde</t>
  </si>
  <si>
    <t>Goya Cosmésticos</t>
  </si>
  <si>
    <t>Sodie doces</t>
  </si>
  <si>
    <t>A loja do papel  (02/02)</t>
  </si>
  <si>
    <t>ferramentas de Scrap</t>
  </si>
  <si>
    <t>ifood brwom em casa</t>
  </si>
  <si>
    <t>almoco na feira</t>
  </si>
  <si>
    <t xml:space="preserve">Sí Señor </t>
  </si>
  <si>
    <t>uber</t>
  </si>
  <si>
    <t>Hoocca</t>
  </si>
  <si>
    <t>frutas diversas</t>
  </si>
  <si>
    <t>Amazon Kindle PaperWhite (03/06)</t>
  </si>
  <si>
    <t>sodie doces</t>
  </si>
  <si>
    <t>armarinhos fernandos</t>
  </si>
  <si>
    <t>Colore aguias</t>
  </si>
  <si>
    <t>Tecidos Oliveira Lima</t>
  </si>
  <si>
    <t>2 x calçados diversos</t>
  </si>
  <si>
    <t>Demokrata beears</t>
  </si>
  <si>
    <t>A loja dopapel</t>
  </si>
  <si>
    <t>Remedios Manipulados II (04/04)</t>
  </si>
  <si>
    <t>iFood: Brows Burguês</t>
  </si>
  <si>
    <t>iFoood Pizza</t>
  </si>
  <si>
    <t>Tinta de imnpressora 662 preta XL</t>
  </si>
  <si>
    <t>Supermercado dia</t>
  </si>
  <si>
    <t>Maçonaria: Terno da Brookfield para a Maçonaria (04/06)</t>
  </si>
  <si>
    <t>Okay Sushis</t>
  </si>
  <si>
    <t>O mundo do palmitos</t>
  </si>
  <si>
    <t xml:space="preserve">TV Samsung LED 55´ UN55NU7400G Parcela (07/10) </t>
  </si>
  <si>
    <t>Loja Linda Menina (01/02)</t>
  </si>
  <si>
    <t>Potes diversos</t>
  </si>
  <si>
    <t>Dores Flexes e NeoSalDinas</t>
  </si>
  <si>
    <t>Kharina Mapping</t>
  </si>
  <si>
    <t>Magia Enochiana e Os Mundos Superiores - Além do Reino dos Anjos</t>
  </si>
  <si>
    <t>Berlusconni</t>
  </si>
  <si>
    <t>Sí Señor</t>
  </si>
  <si>
    <t>Presentes de aniversários da cristiane</t>
  </si>
  <si>
    <t>Saies énois</t>
  </si>
  <si>
    <t>Tarot: Amazon.com.br: Bianco Nero</t>
  </si>
  <si>
    <t>Amazon.com.br: O Livro Completo do Tarô: Um Guia Prático de Referências Cruzadas ...</t>
  </si>
  <si>
    <t xml:space="preserve">Ração especial </t>
  </si>
  <si>
    <t>Symbicort 12/400 + Bucorte 32 Generico</t>
  </si>
  <si>
    <t>OS Pães de Açucares</t>
  </si>
  <si>
    <t>Roupas de entrevistas (02/03)</t>
  </si>
  <si>
    <t>Dipirona DIP e nimesulida</t>
  </si>
  <si>
    <t>Tomografia dentistas</t>
  </si>
  <si>
    <t>Elasticos diversos</t>
  </si>
  <si>
    <t>Antobióticos de dentes</t>
  </si>
  <si>
    <t>Kharina shopping Mapping</t>
  </si>
  <si>
    <t>CV Pra VC - Em Ingles - Parcela (02/03)</t>
  </si>
  <si>
    <t>Nutricionista Nutrir Corphus (03/03)</t>
  </si>
  <si>
    <t xml:space="preserve">Brasileira Xpress hosp brasil </t>
  </si>
  <si>
    <t xml:space="preserve">Estacionamento do hosp brasil </t>
  </si>
  <si>
    <t>Café da tarde no Soppinng</t>
  </si>
  <si>
    <t xml:space="preserve">Calça de moletom pra hospital </t>
  </si>
  <si>
    <t>coisas de scrap em londrina</t>
  </si>
  <si>
    <t>Scarlet GI Joe Bishoujo Kotobukiya  (01/06)</t>
  </si>
  <si>
    <t>Alomoço da cristiane no hospital</t>
  </si>
  <si>
    <t>Cadernos diversos da Kalunga</t>
  </si>
  <si>
    <t>Automotivo: Seguro Echo 2019-2020 (02/06)</t>
  </si>
  <si>
    <t xml:space="preserve">Uber de O Brasil </t>
  </si>
  <si>
    <t>Mais Antibióticos para os dentes</t>
  </si>
  <si>
    <t>Amazon Kindle PaperWhite (04/06)</t>
  </si>
  <si>
    <t>Lampada nova pra sala</t>
  </si>
  <si>
    <t>Feitio das Unhas</t>
  </si>
  <si>
    <t>Santiago calçados</t>
  </si>
  <si>
    <t>Café da tarde casamiga</t>
  </si>
  <si>
    <t>Probiatóp e curativos</t>
  </si>
  <si>
    <t>Maçonaria: Terno da Brookfield para a Maçonaria (05/06)</t>
  </si>
  <si>
    <t>Uber para ir para o Hoispiutal</t>
  </si>
  <si>
    <t xml:space="preserve">TV Samsung LED 55´ UN55NU7400G Parcela (08/10) </t>
  </si>
  <si>
    <t>iFood: All In burgues</t>
  </si>
  <si>
    <t>Loja Linda Menina (02/02)</t>
  </si>
  <si>
    <t>Automotivo: Seguro do Pejô 2019-2020 (01/06)</t>
  </si>
  <si>
    <t>Maçonaria: Uber pra ir pro Jantar Ritualistico</t>
  </si>
  <si>
    <t xml:space="preserve">Maçonaria: Uber para Voltar do Jantar Ritualistico </t>
  </si>
  <si>
    <t>Alume (01/02)</t>
  </si>
  <si>
    <t>Cervejaria FRÏTZ</t>
  </si>
  <si>
    <t>Roupas de entrevistas (03/03)</t>
  </si>
  <si>
    <t>iFood Piza em casa</t>
  </si>
  <si>
    <t>CV Pra VC - Em Ingles - Parcela (03/03)</t>
  </si>
  <si>
    <t>Scarlet GI Joe Bishoujo Kotobukiya  (02/06)</t>
  </si>
  <si>
    <t>diferenças</t>
  </si>
  <si>
    <t>Automotivo: Seguro Echo 2019-2020 (03/06)</t>
  </si>
  <si>
    <t>Amazon Kindle PaperWhite (05/06)</t>
  </si>
  <si>
    <t>iFood Pizza em Casa</t>
  </si>
  <si>
    <t>Coisas de Silhouette</t>
  </si>
  <si>
    <t>Coisas de Scrap</t>
  </si>
  <si>
    <t>Drogaria Propharmacos</t>
  </si>
  <si>
    <t>Coisas no AliXPress</t>
  </si>
  <si>
    <t>Uber para ir assinar a recisao</t>
  </si>
  <si>
    <t>Maçonaria: Terno da Brookfield para a Maçonaria (06/06)</t>
  </si>
  <si>
    <t>iFood Qualy Pizzas</t>
  </si>
  <si>
    <t>Anuncio no facebook</t>
  </si>
  <si>
    <t>iFood comid EM CASA</t>
  </si>
  <si>
    <t xml:space="preserve">TV Samsung LED 55´ UN55NU7400G Parcela (09/10) </t>
  </si>
  <si>
    <t>Automotivo: Seguro do Pejô 2019-2020 (02/06)</t>
  </si>
  <si>
    <t>Alume (02/02)</t>
  </si>
  <si>
    <t>Scarlet GI Joe Bishoujo Kotobukiya  (03/06)</t>
  </si>
  <si>
    <t>Automotivo: Seguro Echo 2019-2020 (04/06)</t>
  </si>
  <si>
    <t>Amazon Kindle PaperWhite (06/06)</t>
  </si>
  <si>
    <t>Modelos de Silhouette</t>
  </si>
  <si>
    <t>$ 5,50 USD</t>
  </si>
  <si>
    <t>IOF da sihouette</t>
  </si>
  <si>
    <t xml:space="preserve">TV Samsung LED 55´ UN55NU7400G Parcela (10/10) </t>
  </si>
  <si>
    <t>Automotivo: Seguro do Pejô 2019-2020 (03/06)</t>
  </si>
  <si>
    <t>Uber diversos</t>
  </si>
  <si>
    <t>Variação Cambial a debito</t>
  </si>
  <si>
    <t>Scarlet GI Joe Bishoujo Kotobukiya  (04/06)</t>
  </si>
  <si>
    <t>Automotivo: Seguro Echo 2019-2020 (05/06)</t>
  </si>
  <si>
    <t>coisas no merado livres</t>
  </si>
  <si>
    <t>ifood chines em casa</t>
  </si>
  <si>
    <t>Udemy: NodeJS Curso Completo</t>
  </si>
  <si>
    <t>Automotivo: Seguro do Pejô 2019-2020 (04/06)</t>
  </si>
  <si>
    <t>Scarlet GI Joe Bishoujo Kotobukiya  (05/06)</t>
  </si>
  <si>
    <t>Automotivo: Seguro Echo 2019-2020 (06/06)</t>
  </si>
  <si>
    <t xml:space="preserve">Cancelamento do cartão na data </t>
  </si>
  <si>
    <t>Automotivo: Seguro do Pejô 2019-2020 (05/06)</t>
  </si>
  <si>
    <t>Scarlet GI Joe Bishoujo Kotobukiya  (06/06)</t>
  </si>
  <si>
    <t>Automotivo: Seguro do Pejô 2019-2020 (06/06)</t>
  </si>
  <si>
    <t xml:space="preserve">Saldo para ajustes pra encerramento </t>
  </si>
  <si>
    <t>Maio/2016</t>
  </si>
  <si>
    <t>Anuidade diferenciada</t>
  </si>
  <si>
    <t>Automotivo: Parcela Seguro GarGamóvel 2009 (01/04)</t>
  </si>
  <si>
    <t>Automotivo: Parcela Seguro GarGamóvel 2009 (02/04)</t>
  </si>
  <si>
    <t xml:space="preserve"> Feveiro / 2009</t>
  </si>
  <si>
    <t>Automotivo: Parcela Seguro GarGamóvel 2009 (03/04)</t>
  </si>
  <si>
    <t>Ingressos para o Show do Sabbath</t>
  </si>
  <si>
    <t>Automotivo: Parcela Seguro GarGamóvel 2009 (04/04)</t>
  </si>
  <si>
    <t>Automotivo: Complemento Seguro 207 (01/04)</t>
  </si>
  <si>
    <t>Automotivo: Complemento Seguro 207 (02/04)</t>
  </si>
  <si>
    <t>Setembro/2009</t>
  </si>
  <si>
    <t>Automotivo: Complemento Seguro 207 (03/04)</t>
  </si>
  <si>
    <t>Automotivo: Complemento Seguro 207 (04/04)</t>
  </si>
  <si>
    <t>Aluguel: Renovação seguro Aluguel</t>
  </si>
  <si>
    <t xml:space="preserve"> janeiro / 2010</t>
  </si>
  <si>
    <t>Mensalidade P.S.:</t>
  </si>
  <si>
    <t>Mensalidade Cartão Porto Seguro Visa</t>
  </si>
  <si>
    <t xml:space="preserve">Automotivo: Seguro 2012-2012 (01/04) </t>
  </si>
  <si>
    <t xml:space="preserve">Automotivo: Seguro 2012-2012 (02/04) </t>
  </si>
  <si>
    <t xml:space="preserve">Automotivo: Seguro 2012-2012 (03/04) </t>
  </si>
  <si>
    <t>Estacionamento Fnac Paulistas</t>
  </si>
  <si>
    <t>Automotivo: Seguro 2012-2012 (04/04)</t>
  </si>
  <si>
    <t>Fevereiro /2013</t>
  </si>
  <si>
    <t xml:space="preserve"> Julho / 2013</t>
  </si>
  <si>
    <t xml:space="preserve">Automotivo: Seguro EcoSport 2013-2014 (01/04) </t>
  </si>
  <si>
    <t xml:space="preserve"> Agosto / 2013</t>
  </si>
  <si>
    <t xml:space="preserve">Automotivo: Seguro EcoSport 2013-2014 (02/04) </t>
  </si>
  <si>
    <t xml:space="preserve"> Setembro / 2013</t>
  </si>
  <si>
    <t>Automotivo: Seguro Peugeot 2013-2014 (01/04)</t>
  </si>
  <si>
    <t xml:space="preserve">Aluguel: Seguro Residencial 2013-2014 (01/04) </t>
  </si>
  <si>
    <t xml:space="preserve">Automotivo: Seguro EcoSport 2013-2014 (03/04) </t>
  </si>
  <si>
    <t xml:space="preserve">Anuidade diferenciada (01/12) </t>
  </si>
  <si>
    <t>Pagamento Fatura PortoSeguro VISA</t>
  </si>
  <si>
    <t>Automotivo: Seguro Peugeot 2013-2014 (02/04)</t>
  </si>
  <si>
    <t xml:space="preserve">Aluguel: Seguro Residencial 2013-2014 (02/04) </t>
  </si>
  <si>
    <t xml:space="preserve">Automotivo: Seguro EcoSport 2013-2014 (04/04) </t>
  </si>
  <si>
    <t xml:space="preserve">Anuidade diferenciada (02/12) </t>
  </si>
  <si>
    <t>Automotivo: Seguro Peugeot 2013-2014 (03/04)</t>
  </si>
  <si>
    <t xml:space="preserve">Aluguel: Seguro Residencial 2013-2014 (03/04) </t>
  </si>
  <si>
    <t xml:space="preserve">Anuidade diferenciada (03/12) </t>
  </si>
  <si>
    <t>Automotivo: Seguro Peugeot 2013-2014 (04/04)</t>
  </si>
  <si>
    <t xml:space="preserve">Aluguel: Seguro Residencial 2013-2014 (04/04) </t>
  </si>
  <si>
    <t xml:space="preserve">Anuidade diferenciada (04/12) </t>
  </si>
  <si>
    <t xml:space="preserve"> Janeiro / 2013</t>
  </si>
  <si>
    <t>Anuidade Diferenciada (05/12)</t>
  </si>
  <si>
    <t>Fevereiro / 2014</t>
  </si>
  <si>
    <t>Anuidade Diferenciada (06/12)</t>
  </si>
  <si>
    <t>Março / 2014</t>
  </si>
  <si>
    <t>Anuidade Diferenciada (07/12)</t>
  </si>
  <si>
    <t>Abril/2014</t>
  </si>
  <si>
    <t>Anuidade Diferenciada (08/12)</t>
  </si>
  <si>
    <t>MAIO / 2014</t>
  </si>
  <si>
    <t>Anuidade Diferenciada (09/12)</t>
  </si>
  <si>
    <t xml:space="preserve">Anuidade Diferencada (10/12) </t>
  </si>
  <si>
    <t>Automotivo: Seguro Echo 2014/2014 (01/04)</t>
  </si>
  <si>
    <t xml:space="preserve">Anuidade Diferencada (11/12) </t>
  </si>
  <si>
    <t>Agosto/2014</t>
  </si>
  <si>
    <t>Automotivo: eguro Echo 2014/2014 (02/04)</t>
  </si>
  <si>
    <t>Anuidade Diferencada (12/12)</t>
  </si>
  <si>
    <t>Aluguel: Seguro residencial (01/04)</t>
  </si>
  <si>
    <t>Anuidade Diferencada (01/12)</t>
  </si>
  <si>
    <t>Automotivo: Seguro Echo 2014/2014 (03/04)</t>
  </si>
  <si>
    <t>Automotivo: Seguro Peugeot 2014/2015 (01/04)</t>
  </si>
  <si>
    <t>Automotivo: Seguro Echo 2014/2014 (04/04)</t>
  </si>
  <si>
    <t>Automotivo: Seguro Peugeot 2014/2015 (02/04)</t>
  </si>
  <si>
    <t>Anuidade Diferencada (02/12)</t>
  </si>
  <si>
    <t>Aluguel: Seguro residencial (02/04)</t>
  </si>
  <si>
    <t>Automotivo: Seguro Peugeot 2014/2015 (03/04)</t>
  </si>
  <si>
    <t>Anuidade Diferencada (03/12)</t>
  </si>
  <si>
    <t>Aluguel: Seguro residencial (03/04)</t>
  </si>
  <si>
    <t>Automotivo: eguro Peugeot 2014/2015 (04/04)</t>
  </si>
  <si>
    <t>Anuidade Diferencada (04/12)</t>
  </si>
  <si>
    <t>Aluguel: Seguro residencial (04/04)</t>
  </si>
  <si>
    <t>Anuidade Diferencada (05/12)</t>
  </si>
  <si>
    <t>Anuidade Diferencada (06/12)</t>
  </si>
  <si>
    <t>Anuidade Diferencada (07/12)</t>
  </si>
  <si>
    <t>Anuidade Diferencada (08/12)</t>
  </si>
  <si>
    <t>Panela de Ferro Fundoes</t>
  </si>
  <si>
    <t>entrada na BadenBaden</t>
  </si>
  <si>
    <t>Cervejas Gourmets da BadenBaden</t>
  </si>
  <si>
    <t>O Vizinho´s</t>
  </si>
  <si>
    <t>Caféz</t>
  </si>
  <si>
    <t>Café da tarde + chocolocate quentes</t>
  </si>
  <si>
    <t>Canivetes Suiço Novos - Minichamp Alox Red</t>
  </si>
  <si>
    <t>Luvas de frios</t>
  </si>
  <si>
    <t>Tarot: Caixas e Incensos</t>
  </si>
  <si>
    <t>O mercadinho do lado do Hotels</t>
  </si>
  <si>
    <t>Cachecois Brancos</t>
  </si>
  <si>
    <t>Fraulein Bierhaus</t>
  </si>
  <si>
    <t>Tratoria salvador</t>
  </si>
  <si>
    <t>Café de Terdes</t>
  </si>
  <si>
    <t>Marca-livros, Pilhas, Baralho e Chocolates</t>
  </si>
  <si>
    <t xml:space="preserve">Demaquilate facial </t>
  </si>
  <si>
    <t>Anuidade Diferencada (09/12)</t>
  </si>
  <si>
    <t>Exame A Cristiane</t>
  </si>
  <si>
    <t>Vacina de Gripes</t>
  </si>
  <si>
    <t>Lanche na Padaria Portugal</t>
  </si>
  <si>
    <t>Areias de cocôs de Garos</t>
  </si>
  <si>
    <t>Almoço na liberdade</t>
  </si>
  <si>
    <t>The SubWays</t>
  </si>
  <si>
    <t>Rações novas e novos potes</t>
  </si>
  <si>
    <t>Portofino do Shopping coco</t>
  </si>
  <si>
    <t>Coisas Diversas</t>
  </si>
  <si>
    <t>Quem disse berennice</t>
  </si>
  <si>
    <t>Estacionamento no coco</t>
  </si>
  <si>
    <t>Presente do dia dos namorados</t>
  </si>
  <si>
    <t>Sodie Doces</t>
  </si>
  <si>
    <t>ò Maira, Ó</t>
  </si>
  <si>
    <t>Canetas, apontadores</t>
  </si>
  <si>
    <t>Batman Corporação final</t>
  </si>
  <si>
    <t>DC Comics - Edição Especial - Solomon Grundy</t>
  </si>
  <si>
    <t>Remedios de Azias e Sinuzites</t>
  </si>
  <si>
    <t>Almoço no Shipping</t>
  </si>
  <si>
    <t>Esporcaccione´s</t>
  </si>
  <si>
    <t>Tarot: Curso Proibido Tarot de Crowley - Mod IV / Fr. Goya / Merkabah</t>
  </si>
  <si>
    <t>Tarot: Curso de Tarot do Veet Pramad</t>
  </si>
  <si>
    <t>Caixa para Cristiane</t>
  </si>
  <si>
    <t>Trabalho: RA-Bibes</t>
  </si>
  <si>
    <t>O Cruzeiro BARs</t>
  </si>
  <si>
    <t>Botias Novias</t>
  </si>
  <si>
    <t>YasMins</t>
  </si>
  <si>
    <t>Trabalho: SubWay´s</t>
  </si>
  <si>
    <t>Anuidade Diferenciada</t>
  </si>
  <si>
    <t xml:space="preserve">Maquinas de Fazer unhas (01/02) </t>
  </si>
  <si>
    <t>Anuidade Diferenciada (11/12)</t>
  </si>
  <si>
    <t xml:space="preserve">Tarot: El Grand tarot Esoterico/ Harmonious tarot / Tarot of the Mystic Spiral </t>
  </si>
  <si>
    <t xml:space="preserve">Automotivo: Seguro Eco 2015/2016 (01/04) </t>
  </si>
  <si>
    <t>Shabbabbs</t>
  </si>
  <si>
    <t>PayPal do Brasil</t>
  </si>
  <si>
    <t>Raggazzo´s</t>
  </si>
  <si>
    <t>Tarot: Marseille 1736 + Pentáculo + iChing</t>
  </si>
  <si>
    <t>Banri Internacional</t>
  </si>
  <si>
    <t>MvDonaldo´s</t>
  </si>
  <si>
    <t>Gazozza no pejo GGM3</t>
  </si>
  <si>
    <t>Symbicort 12/400 e remedios diversos de dores</t>
  </si>
  <si>
    <t>Temakerua E Cia do Mapping</t>
  </si>
  <si>
    <t>Mais um Caderno de Estudos</t>
  </si>
  <si>
    <t>Fones de Ouvidios e diversos</t>
  </si>
  <si>
    <t>Almoço no Shopping Mapping</t>
  </si>
  <si>
    <t>Presente da Isa-Belê</t>
  </si>
  <si>
    <t>Padoca Vitoria Regias</t>
  </si>
  <si>
    <t xml:space="preserve">Maquinas de Fazer unhas (02/02) </t>
  </si>
  <si>
    <t>ANUIDADE DIFERENCIADA 12/12</t>
  </si>
  <si>
    <t xml:space="preserve">Automotivo: Seguro Eco 2015/2016 (02/04) </t>
  </si>
  <si>
    <t>Tarot: Le Marseille em Espanhol</t>
  </si>
  <si>
    <t>Cristiane: Contem 1G</t>
  </si>
  <si>
    <t>Cristiane: O Boticário</t>
  </si>
  <si>
    <t>Cristiane: Vivara</t>
  </si>
  <si>
    <t>Cristiane: Vivara´s II</t>
  </si>
  <si>
    <t>Mouse Logitech</t>
  </si>
  <si>
    <t>Almoço n'O Cruzeiro´s</t>
  </si>
  <si>
    <t>Estacionamento no Shopping´s</t>
  </si>
  <si>
    <t>Trabalho: Grilleto Santo André</t>
  </si>
  <si>
    <t>Jonny Rocket Burguers</t>
  </si>
  <si>
    <t>Estacionamento no Cocô</t>
  </si>
  <si>
    <t>Tarot: Morgan Greer Rider Waite</t>
  </si>
  <si>
    <t>Iron Maiden The Book Of Souls</t>
  </si>
  <si>
    <t xml:space="preserve">Mitos e Tarôs a Viagem do Mago  + O Tarot Alquímico </t>
  </si>
  <si>
    <t>Trabalho: Raggazzo</t>
  </si>
  <si>
    <t>Tarot: Universal Savador Dali</t>
  </si>
  <si>
    <t xml:space="preserve">Mais remédios de Pressão </t>
  </si>
  <si>
    <t>Trabalho: Patroni Pizza</t>
  </si>
  <si>
    <t>Automotivo: Seguro Eco 2015/2016 (03/04)</t>
  </si>
  <si>
    <t>Rhe Burguer Kibguuis</t>
  </si>
  <si>
    <t>Americadas M&amp;M</t>
  </si>
  <si>
    <t>Almoço no Merkabah</t>
  </si>
  <si>
    <t>El Cappeletto D'Oro</t>
  </si>
  <si>
    <t>Tarot: Hanson Roberts</t>
  </si>
  <si>
    <t>Tarot: Deviant Moon Borderless</t>
  </si>
  <si>
    <t>Tarot: Golden Tarot</t>
  </si>
  <si>
    <t>Pdras Misticas pra cristiane</t>
  </si>
  <si>
    <t>m&amp;m DA Americanas</t>
  </si>
  <si>
    <t>SukyIa</t>
  </si>
  <si>
    <t>Tarot: O Livro De Thoth Etteilla</t>
  </si>
  <si>
    <t>Papus: Tarô dos boemios</t>
  </si>
  <si>
    <t>Filtro de Agua mineral + porta PH</t>
  </si>
  <si>
    <t>Bistô 558</t>
  </si>
  <si>
    <t>Remedios de dores diversas</t>
  </si>
  <si>
    <t xml:space="preserve">Impressora Nova HP 4646 (01/03) </t>
  </si>
  <si>
    <t>Amazon: Guia Completo do Tarô / Arcanos Menores. Caminho Real / Corpus Hermeticum</t>
  </si>
  <si>
    <t>Tarot: Presente: Celtic Lenormand</t>
  </si>
  <si>
    <t>Tarot: The Archeon Tarot</t>
  </si>
  <si>
    <t>Café na FNAC</t>
  </si>
  <si>
    <t>Almoço no shoppng</t>
  </si>
  <si>
    <t>Almoço nA paccocca´s</t>
  </si>
  <si>
    <t>Symbicort 12/400 e coisas diversas</t>
  </si>
  <si>
    <t>Restaurante Sukiya</t>
  </si>
  <si>
    <t>Tarot: Material para Caixas de Tarot</t>
  </si>
  <si>
    <t>Tri Burgues</t>
  </si>
  <si>
    <t>Tarot: The Labyrinth Tarot - Labirinto Tarô</t>
  </si>
  <si>
    <t>Tarot: Medieval Tarot - Tarô Medieval</t>
  </si>
  <si>
    <t>Tarot: Tarô Carbônico, A (Livro + Cartas)</t>
  </si>
  <si>
    <t>O Livro Completo Da Astrologia</t>
  </si>
  <si>
    <t>Tarot: Tarô Illuminati</t>
  </si>
  <si>
    <t>Trabalho: Subway Atrium</t>
  </si>
  <si>
    <t>Reposição Canivete Suiço Minichamp Alox Red (01/06)</t>
  </si>
  <si>
    <t>Trabalho: The BK</t>
  </si>
  <si>
    <t>Trabalho: Sorveres</t>
  </si>
  <si>
    <t>Almoço no Curso do Marcelo</t>
  </si>
  <si>
    <t xml:space="preserve">Automotivo: Seguro Eco 2015/2016 (04/04) </t>
  </si>
  <si>
    <t>Paccoccas VRs</t>
  </si>
  <si>
    <t>Trabalho: Espoletto no Cocô</t>
  </si>
  <si>
    <t>Areia e Rações</t>
  </si>
  <si>
    <t>Fichários diversos</t>
  </si>
  <si>
    <t>Tarot: Refil do rotulador</t>
  </si>
  <si>
    <t>Desodorisantes Corporais + lixa de unha</t>
  </si>
  <si>
    <t>O Tarô Cabalistico</t>
  </si>
  <si>
    <t>Manual de Alquimia</t>
  </si>
  <si>
    <t>Tarot: Kama Sutra</t>
  </si>
  <si>
    <t>Novembro / 2015</t>
  </si>
  <si>
    <t>Almoço na paccocca´s VR´s</t>
  </si>
  <si>
    <t>Mais nagumos</t>
  </si>
  <si>
    <t>Nova consulta médica</t>
  </si>
  <si>
    <t xml:space="preserve">Tarot: Mega Athame Power </t>
  </si>
  <si>
    <t>Tarot: Curso Proibido Tarot de Crowley - Mod VI / Fr. Goya / Merkabah</t>
  </si>
  <si>
    <t xml:space="preserve">Impressora Nova HP 4646 (02/03) </t>
  </si>
  <si>
    <t>Gazzozza no Pejo GGM3</t>
  </si>
  <si>
    <t>O Tarô Quantico no PagSeeguro</t>
  </si>
  <si>
    <t>Almoço no centro no Sukyiia</t>
  </si>
  <si>
    <t>Symbicort 12/400 + Shampoos</t>
  </si>
  <si>
    <t>Aradois, lisador, Antialergico e mais coisas</t>
  </si>
  <si>
    <t>Temakeria &amp; Cia Shopping Mapping</t>
  </si>
  <si>
    <t>Almoço no Cocô O Cruzeiro´s B.A.R.</t>
  </si>
  <si>
    <t xml:space="preserve">Trabalho: Janta no Atrium </t>
  </si>
  <si>
    <t>Facas  D'O Rei da Cutelaria</t>
  </si>
  <si>
    <t>Trabalho: The Burguers</t>
  </si>
  <si>
    <t>O Caibailion</t>
  </si>
  <si>
    <t>Livro de reiki</t>
  </si>
  <si>
    <t>As chaves teosóficas</t>
  </si>
  <si>
    <t>Tarot: The Golden Tarot - With Cards</t>
  </si>
  <si>
    <t>Imaginários - Vol. 5 - Contos de Fantasia, Ficção Científica e Terror</t>
  </si>
  <si>
    <t>Reposição Canivete Suiço Minichamp Alox Red (02/06)</t>
  </si>
  <si>
    <t>ó Maria, Ó</t>
  </si>
  <si>
    <t xml:space="preserve">Trabalho: Grilletto </t>
  </si>
  <si>
    <t>Trabalho:  Café no Attrium</t>
  </si>
  <si>
    <t xml:space="preserve">M&amp;M na Americanas </t>
  </si>
  <si>
    <t>Trabalho: Spolettos</t>
  </si>
  <si>
    <t xml:space="preserve">Griletto </t>
  </si>
  <si>
    <t>Nanhumo´s</t>
  </si>
  <si>
    <t>Lvro de Shell pro Cezar</t>
  </si>
  <si>
    <t>Tarot: HKT 1.5 do MDD</t>
  </si>
  <si>
    <t>Mais papeis diversos</t>
  </si>
  <si>
    <t>iFood China In Box</t>
  </si>
  <si>
    <t>Tarot: Thot Crowley PQ cristiane</t>
  </si>
  <si>
    <t>Tarot: Radiant Rider Waite</t>
  </si>
  <si>
    <t>Tarot: Oswald Wirth Classic</t>
  </si>
  <si>
    <t>The NY Burgures</t>
  </si>
  <si>
    <t>Promethea</t>
  </si>
  <si>
    <t>bebedouro novo e comidas</t>
  </si>
  <si>
    <t>Adaptador de Tomadas</t>
  </si>
  <si>
    <t>Almoço no Shopppjng</t>
  </si>
  <si>
    <t>Software: Office 2016</t>
  </si>
  <si>
    <t>Mais Soros e remédios do Sebastião</t>
  </si>
  <si>
    <t>Almoço N'O Cruzeiros</t>
  </si>
  <si>
    <t>O Andiamo´s</t>
  </si>
  <si>
    <t>3 vinhos diversos</t>
  </si>
  <si>
    <t>Exame de sangue do Sebastiã</t>
  </si>
  <si>
    <t xml:space="preserve">Impressora Nova HP 4646 (03/03) </t>
  </si>
  <si>
    <t>Ração royal Renal para o Sebastião</t>
  </si>
  <si>
    <t>M &amp; M na Americanas</t>
  </si>
  <si>
    <t>Tarot: Liber T - Tarot of Stars Eternal</t>
  </si>
  <si>
    <t>Tarot: Tarot of Reflections</t>
  </si>
  <si>
    <t>Tarot: Tarot Art Nouveau - Premium Edition</t>
  </si>
  <si>
    <t>Papeis na Kalunga</t>
  </si>
  <si>
    <t>Symbicort 12/400 + Omeprazol + diversos</t>
  </si>
  <si>
    <t>Chaveiro Trena de medir</t>
  </si>
  <si>
    <t>Duas</t>
  </si>
  <si>
    <t xml:space="preserve">Gazzozza no Pejô </t>
  </si>
  <si>
    <t>Luftal + Énois + AntiAlergicos</t>
  </si>
  <si>
    <t>Johnny Rocket Burgures do Cocô</t>
  </si>
  <si>
    <t>Tarot: Caixa para Baralhos e diversos</t>
  </si>
  <si>
    <t>Estacionamento no Shoppinh</t>
  </si>
  <si>
    <t>Trabalho: Ragazzo</t>
  </si>
  <si>
    <t>MobileApp: Android: Easy Recorder Pro</t>
  </si>
  <si>
    <t>Reposição Canivete Suiço Minichamp Alox Red (03/06)</t>
  </si>
  <si>
    <t>Tarot: Manara Erotic Tarot</t>
  </si>
  <si>
    <t>Caldeirao e coisas diversas da Casa de Bruxa</t>
  </si>
  <si>
    <t>Viena Shopping ABC</t>
  </si>
  <si>
    <t>Jantar do 11º ano de casamento</t>
  </si>
  <si>
    <t>Ingressos pro Istá Uá</t>
  </si>
  <si>
    <t>Lanche no Shopping</t>
  </si>
  <si>
    <t>StarBuques na Paulista</t>
  </si>
  <si>
    <t>Trabalho: The BG</t>
  </si>
  <si>
    <t>Baralho 100% Plástico Texas Hold'em Preto</t>
  </si>
  <si>
    <t>Tarot: Of The Old Path</t>
  </si>
  <si>
    <t>Tarot:  IJJ SWISS TAROT DECK</t>
  </si>
  <si>
    <t xml:space="preserve">compras de  final de ano </t>
  </si>
  <si>
    <t>Johnny Rockte Burgues</t>
  </si>
  <si>
    <t>Cobertor de Gato</t>
  </si>
  <si>
    <t>Tarot: Taro da Magia Sexual</t>
  </si>
  <si>
    <t>Vienna´s do Shoppng´s</t>
  </si>
  <si>
    <t>Café de manha na padoca</t>
  </si>
  <si>
    <t>Itens de fazer unhas</t>
  </si>
  <si>
    <t xml:space="preserve"> A REVOLUÇÃO LUCIFERIANA</t>
  </si>
  <si>
    <t>Gazzozza na echoSPort GGM4</t>
  </si>
  <si>
    <t>Almoço no centro Sukyia</t>
  </si>
  <si>
    <t>Pendrive Sandisk 16GB</t>
  </si>
  <si>
    <t>Eno e coisa pra cristiane</t>
  </si>
  <si>
    <t>Reposição Canivete Suiço Minichamp Alox Red (04/06)</t>
  </si>
  <si>
    <t>Coisads de almoço no Nahumo´s</t>
  </si>
  <si>
    <t>Pizzeria Casantiga</t>
  </si>
  <si>
    <t>Antena WiFi</t>
  </si>
  <si>
    <t>Valor não localizado de diferença</t>
  </si>
  <si>
    <t>Reposição Canivete Suiço Minichamp Alox Red (05/06)</t>
  </si>
  <si>
    <t>The NY Burges</t>
  </si>
  <si>
    <t>Trabalho: Ragazzo´s</t>
  </si>
  <si>
    <t>Tarot: Pixie´s Astounding Lenormand - Em Lata</t>
  </si>
  <si>
    <t>Tinta 662 preta da impressora</t>
  </si>
  <si>
    <t xml:space="preserve">Tarot: Cartomância 2016 (01/04) </t>
  </si>
  <si>
    <t>O Renascer da Magia</t>
  </si>
  <si>
    <t>Fluido de Radiador e limpoeza</t>
  </si>
  <si>
    <t>Symbicort 12/400, budecorte, mais coisas</t>
  </si>
  <si>
    <t>óvos de páscuas</t>
  </si>
  <si>
    <t>Bateria de relogio e M&amp;M</t>
  </si>
  <si>
    <t>Xirata´s Feira´s Limpa´s</t>
  </si>
  <si>
    <t>Tarot: Curso de Leonormands / Emanual / Merkabah</t>
  </si>
  <si>
    <t>Tarot: Toalha de veludos</t>
  </si>
  <si>
    <t>Hotel Beira-Rio de Pira-Ju</t>
  </si>
  <si>
    <t>Reposição Canivete Suiço Minichamp Alox Red (06/06)</t>
  </si>
  <si>
    <t>Conserto das rodinhas da Mochila</t>
  </si>
  <si>
    <t>Ethanol no pejô ggm3</t>
  </si>
  <si>
    <t>Hotel Beira Rio de Piraju</t>
  </si>
  <si>
    <t>RodoServ Pardinho´s</t>
  </si>
  <si>
    <t>A Quinta d'O Marquês</t>
  </si>
  <si>
    <t xml:space="preserve">óCulos novos (01/03) </t>
  </si>
  <si>
    <t>Kindle eBook: O Tarô de Thoth em poemas</t>
  </si>
  <si>
    <t xml:space="preserve">Batman V Superman </t>
  </si>
  <si>
    <t xml:space="preserve"> Abril / 2016 </t>
  </si>
  <si>
    <t xml:space="preserve">Tarot: Cartomância 2016 (02/04) </t>
  </si>
  <si>
    <t xml:space="preserve">Soro </t>
  </si>
  <si>
    <t>Kindle eBook: O Tarô de Thoth</t>
  </si>
  <si>
    <t>Kindle eBook: O Diário de Um Mágo</t>
  </si>
  <si>
    <t>Anuidade diferenciada (08/12)</t>
  </si>
  <si>
    <t xml:space="preserve">óCulos novos (02/03) </t>
  </si>
  <si>
    <t>Maio / 2016</t>
  </si>
  <si>
    <t xml:space="preserve">Tarot: Cartomância 2016 (03/04) </t>
  </si>
  <si>
    <t>Anuidade diferenciada (09/12)</t>
  </si>
  <si>
    <t xml:space="preserve">óCulos novos (03/03) </t>
  </si>
  <si>
    <t xml:space="preserve">Tarot: Cartomância 2016 (04/04) </t>
  </si>
  <si>
    <t>Tarot: Robert Place The Marziano Tarot The Oldest Known Taro</t>
  </si>
  <si>
    <t>$ 65,00 USD</t>
  </si>
  <si>
    <t xml:space="preserve">IOF adicional </t>
  </si>
  <si>
    <t>Anuidade diferenciada (10/12)</t>
  </si>
  <si>
    <t>Resgate pra viagem</t>
  </si>
  <si>
    <t>Resgate pupança</t>
  </si>
  <si>
    <t>Horas Extras e adicionais do mes 05/2006</t>
  </si>
  <si>
    <t>Reembolso Viagem</t>
  </si>
  <si>
    <t>Juros e correçoes acumuladas</t>
  </si>
  <si>
    <t>Horas Extras e adicionais do mes 06/2006</t>
  </si>
  <si>
    <t>Pra Cubrir C/C</t>
  </si>
  <si>
    <t>pra Morto</t>
  </si>
  <si>
    <t>Sobra de He + Adicionais ref 08/2006</t>
  </si>
  <si>
    <t>Pro Notebook</t>
  </si>
  <si>
    <t>Sobra de He + Adicionais ref 09/2006</t>
  </si>
  <si>
    <t>Pro Modeim</t>
  </si>
  <si>
    <t>Sobra de He + Adicionais ref 10/2006</t>
  </si>
  <si>
    <t>13º e restos</t>
  </si>
  <si>
    <t xml:space="preserve">PL e restos do Mês </t>
  </si>
  <si>
    <t xml:space="preserve">Pro Futuro </t>
  </si>
  <si>
    <t xml:space="preserve">Pro Apertamento </t>
  </si>
  <si>
    <t>Juros e correções acumulados</t>
  </si>
  <si>
    <t>Transferencia para C/C</t>
  </si>
  <si>
    <t>Saque da Poupanças</t>
  </si>
  <si>
    <t>Novo saque de Poupanças</t>
  </si>
  <si>
    <t>Mais um Saque de Poupanças</t>
  </si>
  <si>
    <t>Pra conta-correnta</t>
  </si>
  <si>
    <t>Saque de poupança</t>
  </si>
  <si>
    <t>Saque de PouPanÇa</t>
  </si>
  <si>
    <t>Venda da Twister</t>
  </si>
  <si>
    <t>pra Cubrir Conta Cristiane</t>
  </si>
  <si>
    <t>Pro presente cristiane</t>
  </si>
  <si>
    <t xml:space="preserve">Saldos para ajustes (O que foi isso ?) </t>
  </si>
  <si>
    <t>Pra Futuros Da Cristiane</t>
  </si>
  <si>
    <t>Para a contra da Cristiane</t>
  </si>
  <si>
    <t>Do material de Scrap</t>
  </si>
  <si>
    <t>Pro Futuros</t>
  </si>
  <si>
    <t>Pro Futuros da Cristiane</t>
  </si>
  <si>
    <t>Pra cobrir</t>
  </si>
  <si>
    <t>iPhone 4s da cristiane</t>
  </si>
  <si>
    <t>Juros Acumulados no perior</t>
  </si>
  <si>
    <t>Cartões de visitas</t>
  </si>
  <si>
    <t xml:space="preserve">Juros Acumulados no Periodo </t>
  </si>
  <si>
    <t>Furos de C/C ?</t>
  </si>
  <si>
    <t>Para o GGM4</t>
  </si>
  <si>
    <t>Para o futuro</t>
  </si>
  <si>
    <t>Revisão do GGM3</t>
  </si>
  <si>
    <t>Para o mês</t>
  </si>
  <si>
    <t>Pagar contas</t>
  </si>
  <si>
    <t>Resto do PGBL</t>
  </si>
  <si>
    <t>Alianças novas</t>
  </si>
  <si>
    <t xml:space="preserve">(1) Saldo Presumido = (Credito - Debito) </t>
  </si>
  <si>
    <t>(2) Saldo real = (1) + Juros/correção</t>
  </si>
  <si>
    <t xml:space="preserve">Valor de Rendimentos = (2) - (1) </t>
  </si>
  <si>
    <t>Saldo p/ Ajuste</t>
  </si>
  <si>
    <t>Tx.S/Mov b24h</t>
  </si>
  <si>
    <t>Cheque - Lanche Unopar</t>
  </si>
  <si>
    <t>Novembro de 1998</t>
  </si>
  <si>
    <t>Deposito - Osni</t>
  </si>
  <si>
    <t>Cheque - Passagem</t>
  </si>
  <si>
    <t>Cheque - Alcool</t>
  </si>
  <si>
    <t>Cheque - Camisa Osni</t>
  </si>
  <si>
    <t>Deposito - Irmão Dayane</t>
  </si>
  <si>
    <t>Saque - Dayane</t>
  </si>
  <si>
    <t>Cheque - CD Offspring</t>
  </si>
  <si>
    <t>Software: Cheque - Linux</t>
  </si>
  <si>
    <t>Dezembro / 1998</t>
  </si>
  <si>
    <t>Deposito - Mensalidade</t>
  </si>
  <si>
    <t>Deposito - Passes</t>
  </si>
  <si>
    <t>Cheque - CD Bon Jovi</t>
  </si>
  <si>
    <t>Cheque - camiseta</t>
  </si>
  <si>
    <t>Cheque - Camiseta</t>
  </si>
  <si>
    <t>Cheque - Bermuda</t>
  </si>
  <si>
    <t>Cheque - Cabelo</t>
  </si>
  <si>
    <t>Real Visa Tit 2/4</t>
  </si>
  <si>
    <t>Tar.Mens.Univ.</t>
  </si>
  <si>
    <t>Fevereiro/1999</t>
  </si>
  <si>
    <t>Cheque - Caderno</t>
  </si>
  <si>
    <t>Cheque - Gillete</t>
  </si>
  <si>
    <t>marco/1999</t>
  </si>
  <si>
    <t>Saque - Revista Linux</t>
  </si>
  <si>
    <t>Deposito - Parte do Acerto</t>
  </si>
  <si>
    <t>Cheque - Rapel cadeira</t>
  </si>
  <si>
    <t>Cheque - Disquete</t>
  </si>
  <si>
    <t>Ch. Eletronico - Carrefour</t>
  </si>
  <si>
    <t>Deposito - Catarina</t>
  </si>
  <si>
    <t>deposito - Curso</t>
  </si>
  <si>
    <t xml:space="preserve">Cheque - Fotos </t>
  </si>
  <si>
    <t>Cheque - Curso</t>
  </si>
  <si>
    <t>Real Visa Tit 3/4</t>
  </si>
  <si>
    <t>Cheque - rapel  saco p/ maqnesio</t>
  </si>
  <si>
    <t>Deposito - Leo Corda</t>
  </si>
  <si>
    <t>Deposito - Cobertua</t>
  </si>
  <si>
    <t>Cheque - rapel Corda</t>
  </si>
  <si>
    <t>Deposito - Salario Março/1999</t>
  </si>
  <si>
    <t>Cheque - Revelação Fotos</t>
  </si>
  <si>
    <t>Cheque - Pizza</t>
  </si>
  <si>
    <t>Cheque - famácia</t>
  </si>
  <si>
    <t>Deposito - Pagto Sergio</t>
  </si>
  <si>
    <t>Cheque - Chaveiro B.B.</t>
  </si>
  <si>
    <t>Cheque - Filme Foto</t>
  </si>
  <si>
    <t>Cheque - Mercado</t>
  </si>
  <si>
    <t>Deposito - Mae</t>
  </si>
  <si>
    <t>Cheque - Mosquetão Aço</t>
  </si>
  <si>
    <t xml:space="preserve">Saque - Corda </t>
  </si>
  <si>
    <t>Saque - Sair + Diversos</t>
  </si>
  <si>
    <t>Deposito - Salarios</t>
  </si>
  <si>
    <t>Cheque - Flores</t>
  </si>
  <si>
    <t>Cheque - Emprest</t>
  </si>
  <si>
    <t>Deposito - Rest Cheque emprest</t>
  </si>
  <si>
    <t>Deposito - Cheque  Fatima</t>
  </si>
  <si>
    <t>Saque - fatima</t>
  </si>
  <si>
    <t>Cheque - Mochila (01/03)</t>
  </si>
  <si>
    <t xml:space="preserve">Cheque - Rappel Freio </t>
  </si>
  <si>
    <t>Cheque - Jantar</t>
  </si>
  <si>
    <t>Cheque - Shampoo</t>
  </si>
  <si>
    <t>Cheque - Roupa (Calça Blusa)</t>
  </si>
  <si>
    <t>Real Visa Tit 4/4</t>
  </si>
  <si>
    <t>Cheque - Cd Bruce - Tatooed</t>
  </si>
  <si>
    <t>Deposito - Salario Junho/1999</t>
  </si>
  <si>
    <t>Cheque - 010081 - Pizza</t>
  </si>
  <si>
    <t>cheque - 010082 - Habilitaçao Telefone</t>
  </si>
  <si>
    <t>deposito - Acerto Digitep</t>
  </si>
  <si>
    <t>Cheque - 010083 - Instalacao Telefone</t>
  </si>
  <si>
    <t>Cheque - 010084 - Ap Telefone</t>
  </si>
  <si>
    <t>Cheque - 010085 - Cabelo</t>
  </si>
  <si>
    <t>Outubro  /  1999</t>
  </si>
  <si>
    <t>Deposito - Convites Talita</t>
  </si>
  <si>
    <t>Cheque - 010086  - Convites</t>
  </si>
  <si>
    <t>Cheque - 010087 - Alianças</t>
  </si>
  <si>
    <t>real Visa Tit 1/4</t>
  </si>
  <si>
    <t>Cheque - 010088 - Almoço</t>
  </si>
  <si>
    <t>Cheque - 010089 - Cinema</t>
  </si>
  <si>
    <t>Cheque - 010090 - Pizza</t>
  </si>
  <si>
    <t>Cheque - 010091 - Telefone</t>
  </si>
  <si>
    <t>Tax Extrato</t>
  </si>
  <si>
    <t>Cheque - 010092 - Pizza</t>
  </si>
  <si>
    <t>Novembro /1999</t>
  </si>
  <si>
    <t>Deposito - Salario</t>
  </si>
  <si>
    <t>Cheque - 010093 - Pizza</t>
  </si>
  <si>
    <t>Deposito - Chiara</t>
  </si>
  <si>
    <t>Saque - Chiara</t>
  </si>
  <si>
    <t>Cheque - 010096 - Telefone</t>
  </si>
  <si>
    <t>Cheque - 010097 - Lanche</t>
  </si>
  <si>
    <t>depostio - Chiara</t>
  </si>
  <si>
    <t>Deposito - Rematricula</t>
  </si>
  <si>
    <t>Cheque - 010100 - Telefone</t>
  </si>
  <si>
    <t>Deposito - Adiantamento</t>
  </si>
  <si>
    <t>Cheque - 010101 - Saia Chiara</t>
  </si>
  <si>
    <t>Cheque - 010102 - Alcool</t>
  </si>
  <si>
    <t>Saque - Dentista</t>
  </si>
  <si>
    <t>Cheque - 010103 - Castelinho</t>
  </si>
  <si>
    <t>Cheque - 010104 - Castelinho</t>
  </si>
  <si>
    <t>Cheque - 010105 - Mosquetão</t>
  </si>
  <si>
    <t>Deposito - salario</t>
  </si>
  <si>
    <t>Cheque - 010106 - Remedio Chiara</t>
  </si>
  <si>
    <t>Fevereiro/ 2000</t>
  </si>
  <si>
    <t>Cheque - 010107 - Piercing Chiara</t>
  </si>
  <si>
    <t>Cheque - 010108 - Pizza</t>
  </si>
  <si>
    <t>Cheque - 010109 - Livro Eng. Softwares</t>
  </si>
  <si>
    <t>Cheque - 010110 - Lanche Unopar</t>
  </si>
  <si>
    <t>Fatura Telefonica – Sercomtel</t>
  </si>
  <si>
    <t>Cheque - 010111 - Farmacia</t>
  </si>
  <si>
    <t>Cheque - 010112 - Passagens</t>
  </si>
  <si>
    <t>Cheque - 010113 - Americana</t>
  </si>
  <si>
    <t>Cheque - 010114 - Passagens</t>
  </si>
  <si>
    <t>Cheque - 010115 - Passagem</t>
  </si>
  <si>
    <t>real Visa Tit 3/4</t>
  </si>
  <si>
    <t>Maio / 2000</t>
  </si>
  <si>
    <t>Americana</t>
  </si>
  <si>
    <t>Cheque - jantar</t>
  </si>
  <si>
    <t>Cheque - 010121</t>
  </si>
  <si>
    <t>Julho / 2000</t>
  </si>
  <si>
    <t>real Visa Tit 4/4</t>
  </si>
  <si>
    <t>Cheque - 010122 – Atestado</t>
  </si>
  <si>
    <t>Cheque - 010123 - Cabo</t>
  </si>
  <si>
    <t>Cheque - 010124 - Pizza</t>
  </si>
  <si>
    <t>Agosto / 2000</t>
  </si>
  <si>
    <t>Cheque - 010125 - Americana</t>
  </si>
  <si>
    <t>Cheque - 010126 - Almoço</t>
  </si>
  <si>
    <t>Cheque - 010128 - Janta</t>
  </si>
  <si>
    <t>setembro / 2000</t>
  </si>
  <si>
    <t>Cheque - 010129 - Almoço</t>
  </si>
  <si>
    <t>Cheque - 010130 - S. Jorge</t>
  </si>
  <si>
    <t>Outubro / 2000</t>
  </si>
  <si>
    <t>Cheque - 010031</t>
  </si>
  <si>
    <t>Real Visa Tit 1/4</t>
  </si>
  <si>
    <t>Cheque - 010032 - Passagens</t>
  </si>
  <si>
    <t>Cheque - 010033 - Janta</t>
  </si>
  <si>
    <t>Cheque - 010034 - Almoço</t>
  </si>
  <si>
    <t xml:space="preserve"> Dezembro / 2000</t>
  </si>
  <si>
    <t>Cheque - 010141 - Cli</t>
  </si>
  <si>
    <t>Cheque - 010146 - Janta</t>
  </si>
  <si>
    <t>Cheque - 010149 - janta</t>
  </si>
  <si>
    <t>Cheque - 010151 - Passagens</t>
  </si>
  <si>
    <t>Cheque - 010153 - Presente Chiara</t>
  </si>
  <si>
    <t>Cheque - 010154 - Passagem</t>
  </si>
  <si>
    <t xml:space="preserve"> Janeiro / 2001</t>
  </si>
  <si>
    <t>Cheque - 010145 - Camisa</t>
  </si>
  <si>
    <t>Cheque - 010150 - Presente</t>
  </si>
  <si>
    <t>Cheque - 010155 - Pizza</t>
  </si>
  <si>
    <t>Cheque - 010156 - Capa do Celular</t>
  </si>
  <si>
    <t>Cheque - 010157 - sair</t>
  </si>
  <si>
    <t>Cheque - 010158 - Almoço</t>
  </si>
  <si>
    <t xml:space="preserve"> março / 2001</t>
  </si>
  <si>
    <t>Cheque - 010159 - Pizza</t>
  </si>
  <si>
    <t>Cheque - 010160 - Almoço</t>
  </si>
  <si>
    <t>Cheque - 010161 - Janta</t>
  </si>
  <si>
    <t xml:space="preserve">Cheque - 010163 - Janta </t>
  </si>
  <si>
    <t>Cheque - 010164 - Sapato</t>
  </si>
  <si>
    <t>Cheque - 010165 - Americanas</t>
  </si>
  <si>
    <t>Cheque - 010166 - Almoço</t>
  </si>
  <si>
    <t xml:space="preserve"> Agosto / 2001</t>
  </si>
  <si>
    <t>Cheque - 010167 - Filme</t>
  </si>
  <si>
    <t>Cheque - 010168 - Fotos</t>
  </si>
  <si>
    <t>Setembro/2001</t>
  </si>
  <si>
    <t>Outubro/2001</t>
  </si>
  <si>
    <t>Cheque - 010169 - Passagens</t>
  </si>
  <si>
    <t xml:space="preserve">Cheque - 010170 - Boliche </t>
  </si>
  <si>
    <t xml:space="preserve">Cheque - 010171 - Pizza </t>
  </si>
  <si>
    <t>Cheque - 010172 - Festa</t>
  </si>
  <si>
    <t>Real visa Fat Parc</t>
  </si>
  <si>
    <t>Abril/2002</t>
  </si>
  <si>
    <t>Cheque - 010173 - Locadora</t>
  </si>
  <si>
    <t>Setembro /2002</t>
  </si>
  <si>
    <t>Transf. Banco 1</t>
  </si>
  <si>
    <t>outubro / 2002</t>
  </si>
  <si>
    <t>Saque - Encerramento de conta</t>
  </si>
  <si>
    <t>Aluguel Mar/2007</t>
  </si>
  <si>
    <t>Condominio Mar/2007</t>
  </si>
  <si>
    <t>Pro Carlo</t>
  </si>
  <si>
    <t>Gasosa no GaGamóvel</t>
  </si>
  <si>
    <t>Pizzaria do Piraju</t>
  </si>
  <si>
    <t>Revistas de Gódi òfi  Uó e mais</t>
  </si>
  <si>
    <t>Mc Donaldos Sorverters</t>
  </si>
  <si>
    <t>coisas de comer e de privadas</t>
  </si>
  <si>
    <t>Colirio para os olhos e VASILINA pro sapato</t>
  </si>
  <si>
    <t>Gazoza na Motoca</t>
  </si>
  <si>
    <t>Burguers Kinks</t>
  </si>
  <si>
    <t>Ogro´S Maltines</t>
  </si>
  <si>
    <t>Controles remotos e pilhas recarregaveis</t>
  </si>
  <si>
    <t>Perfume novo</t>
  </si>
  <si>
    <t>Memória do Telemóvel + Adap Blue Tooth Antena</t>
  </si>
  <si>
    <t>MP3 Player + Pen Drive Novo da cris</t>
  </si>
  <si>
    <t>Fone de Ouvido BlueTooth</t>
  </si>
  <si>
    <t>Mais um Adaptador BlueTooh pro notebook</t>
  </si>
  <si>
    <t>Aparelho Telefonico de Call Center pro Karlo</t>
  </si>
  <si>
    <t>IRPF 2007 (01/03)</t>
  </si>
  <si>
    <t>Spray Retardante</t>
  </si>
  <si>
    <t xml:space="preserve">Maio / 2007 </t>
  </si>
  <si>
    <t xml:space="preserve">mercado </t>
  </si>
  <si>
    <t xml:space="preserve">Cheque - 100001 - KDMIA </t>
  </si>
  <si>
    <t xml:space="preserve">Fatura real Visa </t>
  </si>
  <si>
    <t>saque de conta corrente</t>
  </si>
  <si>
    <t xml:space="preserve">Marabras (01/06) </t>
  </si>
  <si>
    <t xml:space="preserve">Marabras (05/06) </t>
  </si>
  <si>
    <t xml:space="preserve">Coisas de escritórios </t>
  </si>
  <si>
    <t>Do karl Ref ao fone de Call Center</t>
  </si>
  <si>
    <t>Gazoza no GarGamóvel</t>
  </si>
  <si>
    <t>Hometheater: entrada da TV LCD</t>
  </si>
  <si>
    <t>Remédio pra alergia e dores de cabeça</t>
  </si>
  <si>
    <t xml:space="preserve">Cabos VGA - macho macho </t>
  </si>
  <si>
    <t xml:space="preserve">Roupas de cama </t>
  </si>
  <si>
    <t>Super bonders + Barra de cereal</t>
  </si>
  <si>
    <t>Dor Flex e anal-gésicos</t>
  </si>
  <si>
    <t>Almoço no Xópin</t>
  </si>
  <si>
    <t>Mc Fleury</t>
  </si>
  <si>
    <t>Roupas pra KDMia</t>
  </si>
  <si>
    <t>Baras de CEREAL</t>
  </si>
  <si>
    <t>Almoço do Carry 4</t>
  </si>
  <si>
    <t>Mc Flurrys</t>
  </si>
  <si>
    <t>Block Busters</t>
  </si>
  <si>
    <t>Juros Poupança</t>
  </si>
  <si>
    <t>Correção Poupança</t>
  </si>
  <si>
    <t>Aluguel 05/2007</t>
  </si>
  <si>
    <t>Condominio 05/2007</t>
  </si>
  <si>
    <t>Mc Yourkut</t>
  </si>
  <si>
    <t>Almoço no Spolletto´s do xópin</t>
  </si>
  <si>
    <t>Ogro maltinis do Giraffa´s</t>
  </si>
  <si>
    <t>Revisas de Dódi òfi Uó e da cristiane</t>
  </si>
  <si>
    <t>Gasosa No GarGaMóvel</t>
  </si>
  <si>
    <t>Revelear Fotos</t>
  </si>
  <si>
    <t>Capa do Ai Podi</t>
  </si>
  <si>
    <t>Habbibs do xópin</t>
  </si>
  <si>
    <t>Cabo Video-componente do Videogame</t>
  </si>
  <si>
    <t>Taxas do Visto do CREA</t>
  </si>
  <si>
    <t>Lanchinho de almoço</t>
  </si>
  <si>
    <t>Mc Flyurry de MMs</t>
  </si>
  <si>
    <t xml:space="preserve">Lanchinho da tarde </t>
  </si>
  <si>
    <t>Ogro´s Maltine´s</t>
  </si>
  <si>
    <t>Ração do Sebastian</t>
  </si>
  <si>
    <t>Mais Mc Trash</t>
  </si>
  <si>
    <t>Almoço no xópin com patroa</t>
  </si>
  <si>
    <t>Lanchinho tarde</t>
  </si>
  <si>
    <t>Revelar fotos no xópin</t>
  </si>
  <si>
    <t>Ogro´s maltines</t>
  </si>
  <si>
    <t>jantar Jim Jum</t>
  </si>
  <si>
    <t>Lanche do carry 4</t>
  </si>
  <si>
    <t>Remédios de Alegria e Senozite</t>
  </si>
  <si>
    <t>Transf pro ITAU</t>
  </si>
  <si>
    <t>Fatura real Visa</t>
  </si>
  <si>
    <t>Fatura Itau Master card</t>
  </si>
  <si>
    <t>eletroPaulÔ</t>
  </si>
  <si>
    <t xml:space="preserve">Marabras (02/06) </t>
  </si>
  <si>
    <t>Cortar Cavelos</t>
  </si>
  <si>
    <t>Serra copos</t>
  </si>
  <si>
    <t>ioc REAL master</t>
  </si>
  <si>
    <t>Despesas com manutençao</t>
  </si>
  <si>
    <t>gAzoza no GarMamóvel</t>
  </si>
  <si>
    <t>IRPF 2007 (02/03)</t>
  </si>
  <si>
    <t>Cheque - 100002 - KDMia</t>
  </si>
  <si>
    <t>Kibes e esfirras</t>
  </si>
  <si>
    <t>Conserto da TV de vintenove filco</t>
  </si>
  <si>
    <t>Noitada de bollicchee</t>
  </si>
  <si>
    <t>Final da noitada no habbibs</t>
  </si>
  <si>
    <t>Novo gravador de dévudê</t>
  </si>
  <si>
    <t>Mc trashes</t>
  </si>
  <si>
    <t>Churrascaria do Vivanos</t>
  </si>
  <si>
    <t>DVDs de Filmes divrsos</t>
  </si>
  <si>
    <t>Material de limpeza profunda de couros</t>
  </si>
  <si>
    <t>Sorvetes do giraffas</t>
  </si>
  <si>
    <t>Aluguel 06/2007</t>
  </si>
  <si>
    <t>Condominio 06/2007</t>
  </si>
  <si>
    <t>Mais medicamentos do pé</t>
  </si>
  <si>
    <t>Mais mais Mercadi</t>
  </si>
  <si>
    <t xml:space="preserve">Coisas para cura-tivos </t>
  </si>
  <si>
    <t>seriado roma</t>
  </si>
  <si>
    <t>Mais Farmácias</t>
  </si>
  <si>
    <t>Mais farmácias</t>
  </si>
  <si>
    <t xml:space="preserve">Mais, Mais coisas de curativos </t>
  </si>
  <si>
    <t>2ª Parc. PLR - MBO - Part. Lucros</t>
  </si>
  <si>
    <t>IRPF 2007 (03/03)</t>
  </si>
  <si>
    <t xml:space="preserve">Julho / 2007 </t>
  </si>
  <si>
    <t>correção Poupança</t>
  </si>
  <si>
    <t xml:space="preserve">Fatura Itau Visa </t>
  </si>
  <si>
    <t>fatura Real Visa</t>
  </si>
  <si>
    <t>Fatura Telefonica - telefonca</t>
  </si>
  <si>
    <t>Parc. Moveis Quarto (03/06)</t>
  </si>
  <si>
    <t>RoboFoot</t>
  </si>
  <si>
    <t>Aluguel 07/2007</t>
  </si>
  <si>
    <t>Condominio 07/2007</t>
  </si>
  <si>
    <t>Sistema Sem-Parar</t>
  </si>
  <si>
    <t>roupas e mais roupas</t>
  </si>
  <si>
    <t>Ração pro Gattou</t>
  </si>
  <si>
    <t xml:space="preserve">Toca de mano Bandido e meias e mais </t>
  </si>
  <si>
    <t>Ração do Gato</t>
  </si>
  <si>
    <t>correção poupança</t>
  </si>
  <si>
    <t xml:space="preserve">Fatura Itau Master </t>
  </si>
  <si>
    <t>Marabrais (04/06)</t>
  </si>
  <si>
    <t xml:space="preserve">Blockbuster </t>
  </si>
  <si>
    <t>bancqueta e coisa de cosinha</t>
  </si>
  <si>
    <t>Gaso no gargamóvel</t>
  </si>
  <si>
    <t>Novo Mouse</t>
  </si>
  <si>
    <t>Mais Farmácia</t>
  </si>
  <si>
    <t>Farmácia, mais farmácias</t>
  </si>
  <si>
    <t>Farmácia CREME DE CICATRIZAR</t>
  </si>
  <si>
    <t>Parc Peugeout 206 (08/12)</t>
  </si>
  <si>
    <t xml:space="preserve"> Padaria e coisas de comer</t>
  </si>
  <si>
    <t>Cheque - 0010008 - tattoo nova cris</t>
  </si>
  <si>
    <t xml:space="preserve">Padaria - coisas de aniersário </t>
  </si>
  <si>
    <t>Cheque - 010009 - Pizza</t>
  </si>
  <si>
    <t>Amoço da cris no xópin</t>
  </si>
  <si>
    <t>revelar fotos no xópin</t>
  </si>
  <si>
    <t>fatura itau Visa</t>
  </si>
  <si>
    <t>fatura real Visa</t>
  </si>
  <si>
    <t>Cheque - 010010 - GATSOS DO hospial</t>
  </si>
  <si>
    <t>Transf do itau</t>
  </si>
  <si>
    <t>Tar. Cheque Inferior</t>
  </si>
  <si>
    <t>mais exames</t>
  </si>
  <si>
    <t xml:space="preserve">Sistema Sem-parar </t>
  </si>
  <si>
    <t>Juros Real Master</t>
  </si>
  <si>
    <t>Cheque - 010012 - liG liG</t>
  </si>
  <si>
    <t>Farmácia gases</t>
  </si>
  <si>
    <t>Creditos |Celular</t>
  </si>
  <si>
    <t>Game: Rock Guitar For all Guitar Heroes</t>
  </si>
  <si>
    <t>eletroPaulô</t>
  </si>
  <si>
    <t>No Burguers Kinguios</t>
  </si>
  <si>
    <t>Mais Farmácias de remédios e nb4engalas</t>
  </si>
  <si>
    <t>Almouçou</t>
  </si>
  <si>
    <t>recebimento de férias</t>
  </si>
  <si>
    <t>pro Karlo</t>
  </si>
  <si>
    <t>Gazoza no GareGamóvel</t>
  </si>
  <si>
    <t>cheirinho pro GarGAmóvel</t>
  </si>
  <si>
    <t>Aumoussu</t>
  </si>
  <si>
    <t>No giraffas</t>
  </si>
  <si>
    <t>DVDs pra gravar coisas</t>
  </si>
  <si>
    <t>Calças pra trabalhar</t>
  </si>
  <si>
    <t>Tamanco da Cris</t>
  </si>
  <si>
    <t>Sapato, cinto e meias</t>
  </si>
  <si>
    <t>Ração do gato</t>
  </si>
  <si>
    <t>No Habbibis</t>
  </si>
  <si>
    <t>farmacias, mais e mais farmacias</t>
  </si>
  <si>
    <t>ver-dura-ria</t>
  </si>
  <si>
    <t>relógio novo</t>
  </si>
  <si>
    <t>Armossus</t>
  </si>
  <si>
    <t>lanche da terde</t>
  </si>
  <si>
    <t>farmácias mais farmacias</t>
  </si>
  <si>
    <t>locadora de Filmes</t>
  </si>
  <si>
    <t>Aluguel Nov 2007</t>
  </si>
  <si>
    <t>Condominio Nov 2007</t>
  </si>
  <si>
    <t>Armossus no xópin</t>
  </si>
  <si>
    <t>miuque xeique</t>
  </si>
  <si>
    <t>cheque - 010014 - pizzas</t>
  </si>
  <si>
    <t>no bóbis</t>
  </si>
  <si>
    <t>miuque xeique de bóbis</t>
  </si>
  <si>
    <t>Janta no xópin</t>
  </si>
  <si>
    <t xml:space="preserve">Perfume novo </t>
  </si>
  <si>
    <t>Limpeza do Ar-condicionado</t>
  </si>
  <si>
    <t xml:space="preserve">Balabceamento - Alinhamento e paletas </t>
  </si>
  <si>
    <t xml:space="preserve">Cheque - 010015 - salão </t>
  </si>
  <si>
    <t>banqueta da cris</t>
  </si>
  <si>
    <t>coisas do banheiro pra sabonetes</t>
  </si>
  <si>
    <t>No bóbis</t>
  </si>
  <si>
    <t>Complemento de locação</t>
  </si>
  <si>
    <t>mais e mais mercadi</t>
  </si>
  <si>
    <t>Miuque xeique</t>
  </si>
  <si>
    <t>Memory Stick Dual Pro 4 GB</t>
  </si>
  <si>
    <t>Mais Gases de curativo</t>
  </si>
  <si>
    <t>No JinJin comida Oriental</t>
  </si>
  <si>
    <t>N oBurguers Kinguios</t>
  </si>
  <si>
    <t>Estojo case pra PSPSlim</t>
  </si>
  <si>
    <t>Revista de Video games</t>
  </si>
  <si>
    <t xml:space="preserve">Janta na padaria </t>
  </si>
  <si>
    <t>Chalé de pão de queijos - almoço de panquecas</t>
  </si>
  <si>
    <t>Ver-dura-ria</t>
  </si>
  <si>
    <t>Saque pra estacionar</t>
  </si>
  <si>
    <t>Na Farmácia</t>
  </si>
  <si>
    <t>Ovos Maltines do bóbis</t>
  </si>
  <si>
    <t>Chaveiros pra Mig</t>
  </si>
  <si>
    <t>Anuidade CREA SP</t>
  </si>
  <si>
    <t>Na Padocas</t>
  </si>
  <si>
    <t>Correios pra MIG</t>
  </si>
  <si>
    <t>fatura Itau Master</t>
  </si>
  <si>
    <t>Saque da Cris</t>
  </si>
  <si>
    <t>IOC real Master</t>
  </si>
  <si>
    <t>eletrôPaulô</t>
  </si>
  <si>
    <t>Compras de coisas pra comer</t>
  </si>
  <si>
    <t>Mais compras</t>
  </si>
  <si>
    <t>Quitandaria do acouque</t>
  </si>
  <si>
    <t>No açougue</t>
  </si>
  <si>
    <t>Memory Card 64 MB</t>
  </si>
  <si>
    <t>Net ViVaX</t>
  </si>
  <si>
    <t>No carrefoure</t>
  </si>
  <si>
    <t>Na paddoocca´s</t>
  </si>
  <si>
    <t>Cheque - 010016 - Habibs</t>
  </si>
  <si>
    <t>Mercado -</t>
  </si>
  <si>
    <t>Taças de xampanha</t>
  </si>
  <si>
    <t>relógio de boy Da TNG</t>
  </si>
  <si>
    <t>Aluguel Dez-2007</t>
  </si>
  <si>
    <t>Condominio Dez2007</t>
  </si>
  <si>
    <t>Memory Stick 4GB</t>
  </si>
  <si>
    <t>11 VideoAulas de Guitarras do ML</t>
  </si>
  <si>
    <t>02 dvd VIDEO Aulas guitarras</t>
  </si>
  <si>
    <t>Habibis do xópin</t>
  </si>
  <si>
    <t>Paes de queijos</t>
  </si>
  <si>
    <t xml:space="preserve">Farmácias </t>
  </si>
  <si>
    <t>Na pitiçaria do amigo secretos</t>
  </si>
  <si>
    <t xml:space="preserve">Action Figures </t>
  </si>
  <si>
    <t xml:space="preserve">Açougue </t>
  </si>
  <si>
    <t>Ver Dura Ria</t>
  </si>
  <si>
    <t>Presente de bicho de pelucia</t>
  </si>
  <si>
    <t>Presente de Joias de Prateadas</t>
  </si>
  <si>
    <t>Presente de Ange Ou Dèmon</t>
  </si>
  <si>
    <t>Guitarra Tagima T735 Plus Handmade Brazil  , Amplificador Meteoro Atomic Drive, case, cabos e fones</t>
  </si>
  <si>
    <t>Matricula de aula de guitarras</t>
  </si>
  <si>
    <t>Mais na farmácia</t>
  </si>
  <si>
    <t>Lisador e fita espara-drapo</t>
  </si>
  <si>
    <t>Revista de Video Games</t>
  </si>
  <si>
    <t>paes e lanches na padocas</t>
  </si>
  <si>
    <t>CDs Virges e coisas de escritorio</t>
  </si>
  <si>
    <t>Roupas novas da Cris</t>
  </si>
  <si>
    <t>No Açougue</t>
  </si>
  <si>
    <t>Mais uma video aula de guitarra</t>
  </si>
  <si>
    <t xml:space="preserve">FATURA telefonica - Telefonica </t>
  </si>
  <si>
    <t>Transferencia pro ItaU</t>
  </si>
  <si>
    <t>Almoço do Jin Jin</t>
  </si>
  <si>
    <t>Cordas novas da Guitarras</t>
  </si>
  <si>
    <t>Automotivo: Parcela Seguro GarGamóvel (01/04)</t>
  </si>
  <si>
    <t>pra curativos e antibióticos</t>
  </si>
  <si>
    <t>DOC DEVOLVIDO</t>
  </si>
  <si>
    <t>Na paddocca´s</t>
  </si>
  <si>
    <t>Mais coisas de curativos</t>
  </si>
  <si>
    <t>no Mercado carry 4</t>
  </si>
  <si>
    <t>Juros poupança</t>
  </si>
  <si>
    <t>Coreção PouPança</t>
  </si>
  <si>
    <t>IPVA e DPVAT do peugeot</t>
  </si>
  <si>
    <t>Pizzas, pães e salgados da paddocca´s</t>
  </si>
  <si>
    <t>Assinatura Net ViVaX</t>
  </si>
  <si>
    <t>Revistas de Guitarras e roling istones</t>
  </si>
  <si>
    <t>Cheque - 010018 - Material de ingreis</t>
  </si>
  <si>
    <t>Mais remédios de deores</t>
  </si>
  <si>
    <t>IPVA e DPVAT da Twister</t>
  </si>
  <si>
    <t>Almoço na tias</t>
  </si>
  <si>
    <t>Correção</t>
  </si>
  <si>
    <t>Aluguel Jan2008</t>
  </si>
  <si>
    <t>Condominio Jan2008</t>
  </si>
  <si>
    <t>Almoço na tia</t>
  </si>
  <si>
    <t>Alomoço na pacoca</t>
  </si>
  <si>
    <t>Na Paccoccas</t>
  </si>
  <si>
    <t>Habibbibs</t>
  </si>
  <si>
    <t>Churrascaria´s de SCS</t>
  </si>
  <si>
    <t>Mais uma apostilha de Guittarras</t>
  </si>
  <si>
    <t>Armoços na Paccocca´s</t>
  </si>
  <si>
    <t>Armossu no xópin</t>
  </si>
  <si>
    <t>Miuque cheique do bóbis</t>
  </si>
  <si>
    <t>Cadernos</t>
  </si>
  <si>
    <t>Suporte de Guitarra</t>
  </si>
  <si>
    <t>No habBiBis</t>
  </si>
  <si>
    <t>Gazoza no GarGamóvel I</t>
  </si>
  <si>
    <t>Gazoza no GarGamóvel II</t>
  </si>
  <si>
    <t>No Burquer Kinquins</t>
  </si>
  <si>
    <t>Fotografias diversas</t>
  </si>
  <si>
    <t xml:space="preserve">Almoço no xópin </t>
  </si>
  <si>
    <t>Ogro Maltines do Bobis</t>
  </si>
  <si>
    <t>Guitarra de miniatura e porta-paleta de guitarras</t>
  </si>
  <si>
    <t xml:space="preserve">Juros poupança </t>
  </si>
  <si>
    <t>Anuidade CREA - SP</t>
  </si>
  <si>
    <t xml:space="preserve">Fatura Telefonica - Telefonica </t>
  </si>
  <si>
    <t>Automotivo: Parcela Seguro GarGamóvel (02/04)</t>
  </si>
  <si>
    <t>conserto de sapatos</t>
  </si>
  <si>
    <t>Coisas de curativos</t>
  </si>
  <si>
    <t>ração do gato</t>
  </si>
  <si>
    <t>Na Paccoca´s</t>
  </si>
  <si>
    <t>Transferencia pro presente do Denniss</t>
  </si>
  <si>
    <t xml:space="preserve">Cheque - 010019 - Advogado </t>
  </si>
  <si>
    <t>Camisas Novas</t>
  </si>
  <si>
    <t>CUeCaS Novas</t>
  </si>
  <si>
    <t>Cheque - 010020 - Franquia da Tw</t>
  </si>
  <si>
    <t xml:space="preserve">Fashion Motel </t>
  </si>
  <si>
    <t>Almoço no xópin com a cris$</t>
  </si>
  <si>
    <t>Net Vivax</t>
  </si>
  <si>
    <t>Mercadi MAIS E MAIS mercadi</t>
  </si>
  <si>
    <t>Almoço na tia´s</t>
  </si>
  <si>
    <t>Mais Farmacias</t>
  </si>
  <si>
    <t>Aluguel Fev 2008</t>
  </si>
  <si>
    <t>Condominio Fev 2008</t>
  </si>
  <si>
    <t>Almoço´s na Tia´S</t>
  </si>
  <si>
    <t xml:space="preserve">Na Paccocca´s </t>
  </si>
  <si>
    <t>C orreção Poupança</t>
  </si>
  <si>
    <t>Cheque - 010041 - No Habbibinis</t>
  </si>
  <si>
    <t>Almoço de domingo no xópin com a patroa</t>
  </si>
  <si>
    <t>Mais curativos na farmáricas</t>
  </si>
  <si>
    <t>Na paccoca´s</t>
  </si>
  <si>
    <t>Almoço´s na TIA´s</t>
  </si>
  <si>
    <t>Mc Almoços</t>
  </si>
  <si>
    <t>Au parmediana</t>
  </si>
  <si>
    <t>Mais roupas novas dessa veis camisetas</t>
  </si>
  <si>
    <t>Jantar de giraffas no xópin</t>
  </si>
  <si>
    <t>Gardenal do Gato</t>
  </si>
  <si>
    <t>Almço no xópin</t>
  </si>
  <si>
    <t>Secadouras de roupas</t>
  </si>
  <si>
    <t>Filtros de Linhas e adaptadores de tomadas</t>
  </si>
  <si>
    <t>Podologa pros pés</t>
  </si>
  <si>
    <t>Jantar no xópen</t>
  </si>
  <si>
    <t>Cabo VGA 3Metros</t>
  </si>
  <si>
    <t>Cabo Audio P2 2 metros</t>
  </si>
  <si>
    <t>Transferencia pro ITAU</t>
  </si>
  <si>
    <t>almoço na TIA´s</t>
  </si>
  <si>
    <t>Produtos herbalaife</t>
  </si>
  <si>
    <t>Almoço na TIA´s</t>
  </si>
  <si>
    <t>Aulas de Guitarrinhas e musiquinhas</t>
  </si>
  <si>
    <t>Pagamento Fatura real Visa</t>
  </si>
  <si>
    <t>Automotivo: Parcela Seguro GarGamóvel (03/04)</t>
  </si>
  <si>
    <t>Coisas de iscriotório</t>
  </si>
  <si>
    <t xml:space="preserve">DOC - gaveta externa HD </t>
  </si>
  <si>
    <t xml:space="preserve">DOC - spon - Cabos e Coolers </t>
  </si>
  <si>
    <t>DOC - MB ASUS M2N-MX + ATHLON64 X2 5000 + MEMORIA 2GB DDR2 800MHZ MARKVISION</t>
  </si>
  <si>
    <t>Garzoza No GarGarMóvel</t>
  </si>
  <si>
    <t xml:space="preserve">DOC - HD SATA2 SAMSUNG 500GB 16mb buffer </t>
  </si>
  <si>
    <t>DOC - Vga Xfx 8600gt 8600 Gt 256mb Dx10 Shader 4.0</t>
  </si>
  <si>
    <t xml:space="preserve">Na paccocca´s </t>
  </si>
  <si>
    <t>Serviço de cabelos</t>
  </si>
  <si>
    <t xml:space="preserve">Tinturas de Cabelo </t>
  </si>
  <si>
    <t>No Burgues Kinguios</t>
  </si>
  <si>
    <t xml:space="preserve">Almoço na TIA´s </t>
  </si>
  <si>
    <t>Net Vivax Março</t>
  </si>
  <si>
    <t>Mouse Logitch G5</t>
  </si>
  <si>
    <t>Isquero Zippo novo</t>
  </si>
  <si>
    <t>No Mc Patto´s</t>
  </si>
  <si>
    <t>coisas de curativos</t>
  </si>
  <si>
    <t xml:space="preserve">DOC Mouse Logitech G5 Laser 2000 Dpi </t>
  </si>
  <si>
    <t>Na Paccoca´s ?</t>
  </si>
  <si>
    <t>Saque de conta corrente</t>
  </si>
  <si>
    <t>Bonus aplicação</t>
  </si>
  <si>
    <t>Colchas de camas</t>
  </si>
  <si>
    <t>Aluguel Feb / 2008</t>
  </si>
  <si>
    <t>Condominio Fev / 2008</t>
  </si>
  <si>
    <t>Sistemq Sem Parar</t>
  </si>
  <si>
    <t>Almoço no bóbis</t>
  </si>
  <si>
    <t>café pra galera</t>
  </si>
  <si>
    <t xml:space="preserve">Bonus aplicação </t>
  </si>
  <si>
    <t xml:space="preserve">RobôFute Novo </t>
  </si>
  <si>
    <t>Na Podóloga pros pés</t>
  </si>
  <si>
    <t>Multi coisas cabos de audio, xerinho pro carro</t>
  </si>
  <si>
    <t>Almoço no sórtie</t>
  </si>
  <si>
    <t>Jantar de pizzas no HUT</t>
  </si>
  <si>
    <t>Coisa de viagem de gato</t>
  </si>
  <si>
    <t>Gazoza e aditivos</t>
  </si>
  <si>
    <t>Sapato novo da cristiane</t>
  </si>
  <si>
    <t>Blusa nova da cristiane</t>
  </si>
  <si>
    <t>Na balada do piraju</t>
  </si>
  <si>
    <t>Mais gazoza no gargamóvel</t>
  </si>
  <si>
    <t>Restituição do mouse power</t>
  </si>
  <si>
    <t>Almoço nma TIA´s</t>
  </si>
  <si>
    <t>ESFIHA SHABAB S</t>
  </si>
  <si>
    <t>Almoço no xópin ABC</t>
  </si>
  <si>
    <t>Bonus Aplicação conta corrente</t>
  </si>
  <si>
    <t>Shhahhbabbabs</t>
  </si>
  <si>
    <t>paes e de queijos</t>
  </si>
  <si>
    <t>Aulas de Guitarras</t>
  </si>
  <si>
    <t>No BKs</t>
  </si>
  <si>
    <t>Under Table no boobs</t>
  </si>
  <si>
    <t>Abril /2008</t>
  </si>
  <si>
    <t>EletrôPaulô</t>
  </si>
  <si>
    <t>Net ViVax</t>
  </si>
  <si>
    <t>Automotivo: Parcela Seguro GarGamóvel (04/04)</t>
  </si>
  <si>
    <t>Almoço´s na Tia´s</t>
  </si>
  <si>
    <t xml:space="preserve">Roupas novas </t>
  </si>
  <si>
    <t xml:space="preserve">Jantar na Paccocca´s </t>
  </si>
  <si>
    <t>Almoço do arabes</t>
  </si>
  <si>
    <t>Carnes no acouque</t>
  </si>
  <si>
    <t>Alomoço na TIA´s</t>
  </si>
  <si>
    <t>MAIS UM ZIPPO NOVO PORRA</t>
  </si>
  <si>
    <t>NO Burgues Kinguios</t>
  </si>
  <si>
    <t>Famácia de curativos do xópin</t>
  </si>
  <si>
    <t>Transferencia pra pagar iscrapi buquin</t>
  </si>
  <si>
    <t>mais um pende MEMORIA 2GB DDR2 800MHZ MARKVISION</t>
  </si>
  <si>
    <t>Disspador de calor para memória - AKASA</t>
  </si>
  <si>
    <t>Na paccocca´s á noite</t>
  </si>
  <si>
    <t>Trans Talita pro Presente Casamento GIL</t>
  </si>
  <si>
    <t xml:space="preserve">Na TIA´s </t>
  </si>
  <si>
    <t>Remédios diversos pra coisas diversas</t>
  </si>
  <si>
    <t>Pizzas tutes</t>
  </si>
  <si>
    <t>Aluguel Abril /2008</t>
  </si>
  <si>
    <t>Condominio Abril / 2008</t>
  </si>
  <si>
    <t>Almoço na Paccocca´s</t>
  </si>
  <si>
    <t>Cófe da manha no xópin</t>
  </si>
  <si>
    <t>Fluido de Zippo e conseto do meu Old Zippo</t>
  </si>
  <si>
    <t>Coisas de comer na padoca pra tarzer pra casa</t>
  </si>
  <si>
    <t>Undertables no xópins</t>
  </si>
  <si>
    <t>Nova impressora de imprimir</t>
  </si>
  <si>
    <t>Fusiveis pra o Estabililzador, tomadas e mause pedi</t>
  </si>
  <si>
    <t xml:space="preserve">Areia de Cocô </t>
  </si>
  <si>
    <t>Pizza em casa da pizzaria da padoca</t>
  </si>
  <si>
    <t>Sistema Sem Parar - pedágios</t>
  </si>
  <si>
    <t>Almoço de Burgues Kinguios</t>
  </si>
  <si>
    <t>Almoço de Giraffas</t>
  </si>
  <si>
    <t>celular Mais um celular novo da Cris</t>
  </si>
  <si>
    <t>Almoço no xábabis</t>
  </si>
  <si>
    <t>Na pacccocccass</t>
  </si>
  <si>
    <t>Almoço do karlo</t>
  </si>
  <si>
    <t>Folhas de pasta de iscrapi buquin</t>
  </si>
  <si>
    <t>papá de gatinho</t>
  </si>
  <si>
    <t>Lanchde de habbibbibs</t>
  </si>
  <si>
    <t>Pizzas diversas</t>
  </si>
  <si>
    <t>Almoço de japoneis no centro</t>
  </si>
  <si>
    <t>Mercadi - Mais e Mais Mercadi</t>
  </si>
  <si>
    <t>Lanchinho do rabibis</t>
  </si>
  <si>
    <t>Ipod Classic PRETO 160GB</t>
  </si>
  <si>
    <t>Riff Escola Musical de Abril</t>
  </si>
  <si>
    <t>Fatrura real Visa</t>
  </si>
  <si>
    <t>NET</t>
  </si>
  <si>
    <t>Transferencia pro Itau</t>
  </si>
  <si>
    <t>Jantar em casa de rebibis que fui buscar</t>
  </si>
  <si>
    <t>Mercadi mais e mais Mercadi</t>
  </si>
  <si>
    <t>Gazoza n Twister</t>
  </si>
  <si>
    <t>Docês de pacocas</t>
  </si>
  <si>
    <t>Lanches do bóbis</t>
  </si>
  <si>
    <t>Saque do reAL</t>
  </si>
  <si>
    <t>Carteira Nova Lé Póstoché da cris</t>
  </si>
  <si>
    <t xml:space="preserve">Mause pedi powe 2, limpador de monitos CDs DVDs </t>
  </si>
  <si>
    <t>Fones de ouvidos da Cris</t>
  </si>
  <si>
    <t>Acessórios pro iPod</t>
  </si>
  <si>
    <t>Venda da placa de video nVidia 440MX-Se pro denis</t>
  </si>
  <si>
    <t>Gardenais e curativos</t>
  </si>
  <si>
    <t>Pizza na pizaria de frente</t>
  </si>
  <si>
    <t>Bonus aplicação C/C</t>
  </si>
  <si>
    <t>Devlução de DOC dos iAcessório</t>
  </si>
  <si>
    <t>Aluguel Maio/2008</t>
  </si>
  <si>
    <t>Condominio Maio /2008</t>
  </si>
  <si>
    <t>Saque pra pagar o iAcessórios</t>
  </si>
  <si>
    <t>Lanche de Terde na paccocca´s</t>
  </si>
  <si>
    <t>Jantar de Mexicanos</t>
  </si>
  <si>
    <t>lanches na PACCOCCA´SS</t>
  </si>
  <si>
    <t>Ingressos pra ver o ÓMI DE FERRO</t>
  </si>
  <si>
    <t>lanches do bóbis</t>
  </si>
  <si>
    <t>sistema Sem Parar</t>
  </si>
  <si>
    <t>Lanche do Burgues Kingios</t>
  </si>
  <si>
    <t>Ovo Maltines do Bobis</t>
  </si>
  <si>
    <t>Mais ropas novas</t>
  </si>
  <si>
    <t>Pizzas e coisas de comer da paccocca´s</t>
  </si>
  <si>
    <t>Fatura COnGáz</t>
  </si>
  <si>
    <t xml:space="preserve">Mc Lanches </t>
  </si>
  <si>
    <t>DOC pra CRIS</t>
  </si>
  <si>
    <t xml:space="preserve">Cheque - 010043 - Restaurador do relógio </t>
  </si>
  <si>
    <t>Jantar de shabbabababbas</t>
  </si>
  <si>
    <t>Insumos de café da manha da padoca</t>
  </si>
  <si>
    <t>lanches no posto de estrada</t>
  </si>
  <si>
    <t>Saque pra Diversos</t>
  </si>
  <si>
    <t>Sapatos Novos Da Cris</t>
  </si>
  <si>
    <t xml:space="preserve">DOC devolvido </t>
  </si>
  <si>
    <t>Roupas na Pernambucanas</t>
  </si>
  <si>
    <t>Mais Gazoza no GarGaMóvel</t>
  </si>
  <si>
    <t xml:space="preserve">Café no posto </t>
  </si>
  <si>
    <t>Transferencia de materiais de iscrapi buquin</t>
  </si>
  <si>
    <t>Almoço no Cary4</t>
  </si>
  <si>
    <t>Cheque - 010044 - Farmacia</t>
  </si>
  <si>
    <t xml:space="preserve">Cheque - 010045 - cLINICa de Pança (01/02) </t>
  </si>
  <si>
    <t>KD-ADO + Sabonetera - CASA &amp; CIA</t>
  </si>
  <si>
    <t>Cheirinho do carro - CASA &amp; CIA</t>
  </si>
  <si>
    <t>Roupas de KDMIA - A ESPORTIVA</t>
  </si>
  <si>
    <t>Twalhas + Cuecas + XAMPU - AMERICANAS</t>
  </si>
  <si>
    <t>Fundizeira AMERICANAS</t>
  </si>
  <si>
    <t>Jantar no KAPPA XUXI</t>
  </si>
  <si>
    <t>JinJin</t>
  </si>
  <si>
    <t>Almoço no xópin mapim abc</t>
  </si>
  <si>
    <t>Mais um Saque</t>
  </si>
  <si>
    <t>Farmacias PRA Cris</t>
  </si>
  <si>
    <t xml:space="preserve">Riff Escola Musical de Maio </t>
  </si>
  <si>
    <t>Automotivo: Sistema CarSystem pra Motoca</t>
  </si>
  <si>
    <t>Automotivo: Cheque - 010042 - CarSystem.com</t>
  </si>
  <si>
    <t>Remédios de gordo</t>
  </si>
  <si>
    <t>Mercadi, Mercadi</t>
  </si>
  <si>
    <t>IOF-REALMASTER</t>
  </si>
  <si>
    <t>Mercadi, mais e mais mercadi</t>
  </si>
  <si>
    <t>GaZoZa no GarGaMóvel</t>
  </si>
  <si>
    <t>Saque pra curtir</t>
  </si>
  <si>
    <t xml:space="preserve">Na farmácias </t>
  </si>
  <si>
    <t>Pizzas e sorvetes de paccocca´s</t>
  </si>
  <si>
    <t>Presente pra Cristiane</t>
  </si>
  <si>
    <t>Farmácias pra cristiane</t>
  </si>
  <si>
    <t>Aluguel Junho/2008</t>
  </si>
  <si>
    <t>Condominio Junho/2008</t>
  </si>
  <si>
    <t xml:space="preserve">Assinatura Net </t>
  </si>
  <si>
    <t>Cofi da Manha em Paccocca´s</t>
  </si>
  <si>
    <t>Lietes e paes de paccocca´s</t>
  </si>
  <si>
    <t>Habbbibbins</t>
  </si>
  <si>
    <t>Sbão Homo</t>
  </si>
  <si>
    <t>Rotiss Massa clube</t>
  </si>
  <si>
    <t>Lanches de paccocca´s</t>
  </si>
  <si>
    <t>Almoço no Carry 4</t>
  </si>
  <si>
    <t xml:space="preserve">Paes na Paccocca´s (DELIVERY QUEIROZ) </t>
  </si>
  <si>
    <t>Roupas de dança de ventre</t>
  </si>
  <si>
    <t>Almoço no Vitaminia ABC</t>
  </si>
  <si>
    <t xml:space="preserve">Transferencia pra pagar material de iscrapi </t>
  </si>
  <si>
    <t>NO Xitara</t>
  </si>
  <si>
    <t>Mais açougues</t>
  </si>
  <si>
    <t xml:space="preserve">Leites e varras </t>
  </si>
  <si>
    <t>Gaz da Com Ga´z</t>
  </si>
  <si>
    <t xml:space="preserve">Coisas laites de comer </t>
  </si>
  <si>
    <t>Jantar de xópin</t>
  </si>
  <si>
    <t>Gazoza no GarGAMóvel</t>
  </si>
  <si>
    <t>Limpeza e troca do filtro de ar condicionado</t>
  </si>
  <si>
    <t>Adiantamento pra o relogio do furlan</t>
  </si>
  <si>
    <t>Hardware do GPS</t>
  </si>
  <si>
    <t>Riff Musical</t>
  </si>
  <si>
    <t xml:space="preserve">Software do GPS Roubado </t>
  </si>
  <si>
    <t>Remédios Manipulados</t>
  </si>
  <si>
    <t>Gardenal e xiringa</t>
  </si>
  <si>
    <t>Cheque - 010046 - Clinica de Gordo (02/02)</t>
  </si>
  <si>
    <t xml:space="preserve">Cheque - 010048 - Clinica Bella Forma (cris) </t>
  </si>
  <si>
    <t>Tranferencia pro ItaU</t>
  </si>
  <si>
    <t xml:space="preserve">Ração do gato </t>
  </si>
  <si>
    <t>Lanches de Paccocca´s</t>
  </si>
  <si>
    <t>Multi coisas de ferramentas em gerais</t>
  </si>
  <si>
    <t>Açougues de espetinho de frangos ou galinha</t>
  </si>
  <si>
    <t>Coisas de commer na paccocas pra levar pra casa</t>
  </si>
  <si>
    <t>ccaa Cristiane</t>
  </si>
  <si>
    <t xml:space="preserve">Mercadi e mais e mais mercadis </t>
  </si>
  <si>
    <t>Mais coisas na paccocca´s</t>
  </si>
  <si>
    <t>Cinemmas no xópin abc</t>
  </si>
  <si>
    <t>Almoços no xópin abc</t>
  </si>
  <si>
    <t>Café no compenhague do xópin abc</t>
  </si>
  <si>
    <t>Suquinhos e meias de por no pé</t>
  </si>
  <si>
    <t>Aluguel Julho/2008</t>
  </si>
  <si>
    <t>Condominio Julho/2008</t>
  </si>
  <si>
    <t>Fatura NetViVaX</t>
  </si>
  <si>
    <t xml:space="preserve">Mercadi, mais e mais </t>
  </si>
  <si>
    <t>Alomoço no xópin Metropis</t>
  </si>
  <si>
    <t>Almoço no Centro</t>
  </si>
  <si>
    <t>Memory Strick pro PSP de 1 GB</t>
  </si>
  <si>
    <t>No Açougue Nostro Beef</t>
  </si>
  <si>
    <t>No Xirata</t>
  </si>
  <si>
    <t xml:space="preserve">Chuveiro Novo e Espelho novo </t>
  </si>
  <si>
    <t>Almoço no Via Jullies</t>
  </si>
  <si>
    <t>Coisas de lanches de paccocca´s</t>
  </si>
  <si>
    <t>Almoços nos xópins</t>
  </si>
  <si>
    <t>Sucos nos xópins</t>
  </si>
  <si>
    <t>Beirutes das paccocca´s</t>
  </si>
  <si>
    <t>Almoço no vila julie</t>
  </si>
  <si>
    <t>Pedaleira Zoom G2.1u</t>
  </si>
  <si>
    <t>Insumos de Dieta do carry 4</t>
  </si>
  <si>
    <t>Bateria de Pandoras + manuais</t>
  </si>
  <si>
    <t>Riff Musical Julho</t>
  </si>
  <si>
    <t>Remédios maninupados de Gorduras</t>
  </si>
  <si>
    <t>cabo de guitarras</t>
  </si>
  <si>
    <t>Anél Atlantis do poder - FINALMENTE</t>
  </si>
  <si>
    <t>Cataflan genericos</t>
  </si>
  <si>
    <t>Coisas de comer do carrefour pra emagrecer</t>
  </si>
  <si>
    <t>Fatura Net ViVaX</t>
  </si>
  <si>
    <t>Automotivo: CarSystem pra Motoca Nervosa</t>
  </si>
  <si>
    <t xml:space="preserve">Polimento de alianças </t>
  </si>
  <si>
    <t>IOF real Master</t>
  </si>
  <si>
    <t>Cheque - 010052 - Clinica de Gordo - Revanche</t>
  </si>
  <si>
    <t>Conserto do peneu do GarGaMóvel</t>
  </si>
  <si>
    <t>Mais um Perfume chique</t>
  </si>
  <si>
    <t>Naite no Catedral</t>
  </si>
  <si>
    <t>Mercado, mais mercado</t>
  </si>
  <si>
    <t>fatura Telefonica - TIM</t>
  </si>
  <si>
    <t>Restituição Fundo de reserva do consórcio</t>
  </si>
  <si>
    <t>duas calças novas mais menores</t>
  </si>
  <si>
    <t>Café Da Manha na pacocca</t>
  </si>
  <si>
    <t>Barras de cereais</t>
  </si>
  <si>
    <t>DVD Dont Blame do Ezzy</t>
  </si>
  <si>
    <t>Podologoa do xópin</t>
  </si>
  <si>
    <t>Pitiça Rute</t>
  </si>
  <si>
    <t>DVD Coração Valente</t>
  </si>
  <si>
    <t>El Botin Mexican fude</t>
  </si>
  <si>
    <t>Mc Trashes</t>
  </si>
  <si>
    <t>Almoço no Shabbabs</t>
  </si>
  <si>
    <t>Ração do Gato loco</t>
  </si>
  <si>
    <t>NA Paccocca´s</t>
  </si>
  <si>
    <t>Suquinhos diversos</t>
  </si>
  <si>
    <t>Perfume da cris</t>
  </si>
  <si>
    <t>Jantar de paccocca´s</t>
  </si>
  <si>
    <t>Quatro Giga de memoria pro notebuque</t>
  </si>
  <si>
    <t>Feira da Frutas</t>
  </si>
  <si>
    <t>DOC C RESTITUICAO IR</t>
  </si>
  <si>
    <t>Sistema Sem parar</t>
  </si>
  <si>
    <t>Aluguel Agosto/2008</t>
  </si>
  <si>
    <t>Condominio Agosto/2008</t>
  </si>
  <si>
    <t>No Xitara</t>
  </si>
  <si>
    <t>ComFáz</t>
  </si>
  <si>
    <t>Almoço no xópin de Kappa XuXi</t>
  </si>
  <si>
    <t>Porta CDs 72 CDs e DVDs</t>
  </si>
  <si>
    <t>Metronomo Digital da Korg</t>
  </si>
  <si>
    <t>Cinema no xópin pra ver o batima</t>
  </si>
  <si>
    <t>Lanche NO XÓPIN</t>
  </si>
  <si>
    <t>Almoço na Paccoca´s</t>
  </si>
  <si>
    <t>fatura real Master</t>
  </si>
  <si>
    <t>Parcela GPS Novo (01/10)</t>
  </si>
  <si>
    <t>Automotivo: Sistema Car System</t>
  </si>
  <si>
    <t>Multa Por Excesso de Velocidade</t>
  </si>
  <si>
    <t>Mais e Mais Roupas Novas</t>
  </si>
  <si>
    <t>Celular vendido pro Cassio</t>
  </si>
  <si>
    <t>Xirata´s</t>
  </si>
  <si>
    <t>Aluguel Setembro</t>
  </si>
  <si>
    <t>Condominio Setembro</t>
  </si>
  <si>
    <t>òculos das cristiane</t>
  </si>
  <si>
    <t>Saque da cristiane</t>
  </si>
  <si>
    <t xml:space="preserve">Ração do Gatto </t>
  </si>
  <si>
    <t>Pilha do fender Mini Tone Master</t>
  </si>
  <si>
    <t>Sha bab abababs</t>
  </si>
  <si>
    <t>Protetores de Ipods da Cris</t>
  </si>
  <si>
    <t>iPod 80 GB da Cris</t>
  </si>
  <si>
    <t>No |Xiratas</t>
  </si>
  <si>
    <t>ESTACIONAMENTO NO hospital</t>
  </si>
  <si>
    <t xml:space="preserve">Saque com cartão </t>
  </si>
  <si>
    <t>Lanches no xópin</t>
  </si>
  <si>
    <t>Vacinas do gato loco</t>
  </si>
  <si>
    <t>ComGáz</t>
  </si>
  <si>
    <t>restauração do relogio do furlan</t>
  </si>
  <si>
    <t>Almoço do Pitiça rute</t>
  </si>
  <si>
    <t>Produtos de limpeza e anutenção de guitarras</t>
  </si>
  <si>
    <t>podologoa de xópin</t>
  </si>
  <si>
    <t>Almoço no xababbababas</t>
  </si>
  <si>
    <t>Parcela GPS Novo 02/10</t>
  </si>
  <si>
    <t>Lanche na paccocca´s</t>
  </si>
  <si>
    <t>flor da Cris</t>
  </si>
  <si>
    <t xml:space="preserve">Fatura Real Visa </t>
  </si>
  <si>
    <t>FaturA Telefonica - Telefonica</t>
  </si>
  <si>
    <t>Fatura itau Visa</t>
  </si>
  <si>
    <t>EletroPaulÔ</t>
  </si>
  <si>
    <t>Perfumaria Para-ISSO</t>
  </si>
  <si>
    <t>Varias action Figures</t>
  </si>
  <si>
    <t>Sistema Sem Parar Non-Stop</t>
  </si>
  <si>
    <t>Parcela GPS Novo 03/10</t>
  </si>
  <si>
    <t>Juros real master</t>
  </si>
  <si>
    <t>IOF Real Master</t>
  </si>
  <si>
    <t xml:space="preserve">Condominio do predio novo </t>
  </si>
  <si>
    <t>Camiseta pra ir ver o Judas Priest</t>
  </si>
  <si>
    <t>Aluguel Novembro 2008</t>
  </si>
  <si>
    <t>Novo Toca-discos usados</t>
  </si>
  <si>
    <t>Lanche de Terder</t>
  </si>
  <si>
    <t>Férias e Afins de Fárias</t>
  </si>
  <si>
    <t>Jantar de pitiças</t>
  </si>
  <si>
    <t>Camistesas pro Show do Judas</t>
  </si>
  <si>
    <t>Almoços do Shababs</t>
  </si>
  <si>
    <t>Arquinhos de Caveiras</t>
  </si>
  <si>
    <t xml:space="preserve">Sapatos Novos </t>
  </si>
  <si>
    <t>Saque Pra Balada</t>
  </si>
  <si>
    <t xml:space="preserve">Roupas Novas </t>
  </si>
  <si>
    <t>Sorvetes do Mc Donaldos</t>
  </si>
  <si>
    <t>Almoço na churras perto de casa</t>
  </si>
  <si>
    <t>Mc Pato</t>
  </si>
  <si>
    <t>Transferencia pro Karlo - Presente do Daniel Alvis</t>
  </si>
  <si>
    <t>Habibibs</t>
  </si>
  <si>
    <t>Coisas da Jade A-Gatha</t>
  </si>
  <si>
    <t>Almoço xababis</t>
  </si>
  <si>
    <t>Cheque - 010053 - enfeites de natais</t>
  </si>
  <si>
    <t>Agulias e xiringas</t>
  </si>
  <si>
    <t>Lanche no Bobus</t>
  </si>
  <si>
    <t>Cartucho de impressoras</t>
  </si>
  <si>
    <t xml:space="preserve">Multi testes </t>
  </si>
  <si>
    <t>DOCUMENTO LICENCIAMENTO TWISTER</t>
  </si>
  <si>
    <t>Cortes de cabelos</t>
  </si>
  <si>
    <t>Unhas da Cristiane</t>
  </si>
  <si>
    <t>LANCHE e Terde no centro</t>
  </si>
  <si>
    <t>Mercadis da Vouquis</t>
  </si>
  <si>
    <t>Almoço no xópin cagalera</t>
  </si>
  <si>
    <t>Almoço no xópin Praza cocÔ</t>
  </si>
  <si>
    <t>Mais e mais mercadis</t>
  </si>
  <si>
    <t xml:space="preserve">Pagamento Parcela GPS (04/10) </t>
  </si>
  <si>
    <t>Transferencia PRO itau</t>
  </si>
  <si>
    <t>PAGAMENTO Anuncio Twister no ML</t>
  </si>
  <si>
    <t>Juros realMaster</t>
  </si>
  <si>
    <t>Game:  Guitar Hero World Tour</t>
  </si>
  <si>
    <t>Action figure castelvania Sucumbus</t>
  </si>
  <si>
    <t>Lanhce na liberty</t>
  </si>
  <si>
    <t>Fatura Itau Vusa</t>
  </si>
  <si>
    <t>Fatura real master</t>
  </si>
  <si>
    <t>Fatura EletôPaulô</t>
  </si>
  <si>
    <t>C e A do Denniiss</t>
  </si>
  <si>
    <t>Cuadro de Curtissa</t>
  </si>
  <si>
    <t>IOF Real master</t>
  </si>
  <si>
    <t>Areia deCocôs de Gatos</t>
  </si>
  <si>
    <t>Do Denis</t>
  </si>
  <si>
    <t>Presentes pro Jard.Net</t>
  </si>
  <si>
    <t>Spawn série 3 Reborn Warrior Lilith spawn</t>
  </si>
  <si>
    <t>Photos de Denis</t>
  </si>
  <si>
    <t>Na Paccocca´s do centro</t>
  </si>
  <si>
    <t>Spawn</t>
  </si>
  <si>
    <t>banca 2000 - revistas Spawn 151 -160</t>
  </si>
  <si>
    <t>Pitiças nas paccocca´s</t>
  </si>
  <si>
    <t>Cheque - 010054 - Festa do Ap</t>
  </si>
  <si>
    <t>Aluguel Dez/2008</t>
  </si>
  <si>
    <t>exames Jade A-Gatha</t>
  </si>
  <si>
    <t>Pitiça rute</t>
  </si>
  <si>
    <t>Saque pra DIVERsos</t>
  </si>
  <si>
    <t>No motel chique</t>
  </si>
  <si>
    <t>No xababais</t>
  </si>
  <si>
    <t>Remédios dos gatos</t>
  </si>
  <si>
    <t>Presentes da cris</t>
  </si>
  <si>
    <t>Mais presentes da cris</t>
  </si>
  <si>
    <t>Lanche OGRO do Bóbis</t>
  </si>
  <si>
    <t>Mais um presente da cris</t>
  </si>
  <si>
    <t>Presente do Jonatan Brothers</t>
  </si>
  <si>
    <t>Jogos de PS2 Pro Jonathan Brothers</t>
  </si>
  <si>
    <t>Almoço no Bufet ViVaNo´s</t>
  </si>
  <si>
    <t>Almoço no Primus</t>
  </si>
  <si>
    <t>DOC bradesco - Spawn Serie 20 Domina</t>
  </si>
  <si>
    <t>Camera digital Canon 20x</t>
  </si>
  <si>
    <t>No Berlings</t>
  </si>
  <si>
    <t>Bateria Nova do GarGaMóvel</t>
  </si>
  <si>
    <t>Remédios pra dores dentais</t>
  </si>
  <si>
    <t>Micro Spawn SD Resina</t>
  </si>
  <si>
    <t>Da Patiricia do Presente do Jonatahm brothers</t>
  </si>
  <si>
    <t>jantar no Pitiça Rute</t>
  </si>
  <si>
    <t>lanche de Terdes</t>
  </si>
  <si>
    <t>Transferencia pro itaU</t>
  </si>
  <si>
    <t xml:space="preserve">Bateiteira de bolos </t>
  </si>
  <si>
    <t>Teclado da microsófiti</t>
  </si>
  <si>
    <t>Na Blóqui Buster</t>
  </si>
  <si>
    <t>eletropaulô</t>
  </si>
  <si>
    <t>Raçao de Jade A-Gatha</t>
  </si>
  <si>
    <t>No Shabbabbabababs</t>
  </si>
  <si>
    <t>No Xiratta´s</t>
  </si>
  <si>
    <t>almoço no xópin</t>
  </si>
  <si>
    <t>café do xópin</t>
  </si>
  <si>
    <t>Mouse pro notebuque da cris</t>
  </si>
  <si>
    <t>roupas da cris</t>
  </si>
  <si>
    <t>Almolço no Primu´s</t>
  </si>
  <si>
    <t>IPVA do GarGaMóvel</t>
  </si>
  <si>
    <t>DPVAT + LICENCIAMENTO + PSTAGEM</t>
  </si>
  <si>
    <t>Saque pra diverss</t>
  </si>
  <si>
    <t>Spawn The Immortal e Warrior Isis</t>
  </si>
  <si>
    <t>Ração da jade</t>
  </si>
  <si>
    <t>Raçoes e areias diveras</t>
  </si>
  <si>
    <t>Gazoza</t>
  </si>
  <si>
    <t>Tendal Grill SBC</t>
  </si>
  <si>
    <t>mais mercadi</t>
  </si>
  <si>
    <t>Presentedo Jonathan Brothers</t>
  </si>
  <si>
    <t>Almoço no Matro-pis</t>
  </si>
  <si>
    <t xml:space="preserve">Cófi da Terde no Metro-Pis </t>
  </si>
  <si>
    <t>FINALMENTE O CYBER SPAWN</t>
  </si>
  <si>
    <t>cófi de manha</t>
  </si>
  <si>
    <t>Na Paccocca´s de novos</t>
  </si>
  <si>
    <t>No Xiratas´s</t>
  </si>
  <si>
    <t>Gazoza no GarGaMovel</t>
  </si>
  <si>
    <t>Mv Sorvetes</t>
  </si>
  <si>
    <t>Na paccocas da Brasil</t>
  </si>
  <si>
    <t>Sauqe pra Diversos</t>
  </si>
  <si>
    <t>Revistas diversas</t>
  </si>
  <si>
    <t>Mais um óculos novos</t>
  </si>
  <si>
    <t>GPS (06/10)</t>
  </si>
  <si>
    <t>gps (10/10)</t>
  </si>
  <si>
    <t>No Vila Julie</t>
  </si>
  <si>
    <t xml:space="preserve">Cofí de Manha </t>
  </si>
  <si>
    <t>No villa julie</t>
  </si>
  <si>
    <t>Cheque - 0010055 - Aulas de Guitarras</t>
  </si>
  <si>
    <t>Cofi no xópis</t>
  </si>
  <si>
    <t>óculos nóvoes</t>
  </si>
  <si>
    <t>Areia de Cocos</t>
  </si>
  <si>
    <t>Fatura PortoSeg Visa</t>
  </si>
  <si>
    <t>Creditos celolar preprago cris</t>
  </si>
  <si>
    <t>Cheque - 0010056 - Aulas de Guitarras</t>
  </si>
  <si>
    <t>No ElBotin</t>
  </si>
  <si>
    <t>Jantar de pitiças em casas</t>
  </si>
  <si>
    <t>Mais Materiais de iscrapi buquin</t>
  </si>
  <si>
    <t>Varias revistas diversas</t>
  </si>
  <si>
    <t>NO Rabibis do xópin</t>
  </si>
  <si>
    <t>Cafés de xópin</t>
  </si>
  <si>
    <t>pilha recarregaveis e mais coisas</t>
  </si>
  <si>
    <t>Cafés nos centros</t>
  </si>
  <si>
    <t>Café no xópin cagarela</t>
  </si>
  <si>
    <t>Paes diversos no mercadis</t>
  </si>
  <si>
    <t>Aluguel Fev2009</t>
  </si>
  <si>
    <t>Raxidi do presente de Denniss</t>
  </si>
  <si>
    <t>lenche de Terde</t>
  </si>
  <si>
    <t>George Foreman Grill</t>
  </si>
  <si>
    <t>Pitiça Rutes</t>
  </si>
  <si>
    <t>Lenche de Pacocca´s</t>
  </si>
  <si>
    <t>Almoço (?) no xópin</t>
  </si>
  <si>
    <t>Agua docê cachaçaria</t>
  </si>
  <si>
    <t>Cheque - 410041 - Clinica Gordo (01/06)</t>
  </si>
  <si>
    <t>Cofi DE Manha NA PACCOCCA´S</t>
  </si>
  <si>
    <t>Açouque DA SEMANA</t>
  </si>
  <si>
    <t>paes de Açucares</t>
  </si>
  <si>
    <t>Na Vouquis</t>
  </si>
  <si>
    <t>Locadora de Filmes 100%</t>
  </si>
  <si>
    <t>Alocooocoocol e sorvetes</t>
  </si>
  <si>
    <t>Clinicas e veterinarios e remédios</t>
  </si>
  <si>
    <t>Sodas Causticas Diversas</t>
  </si>
  <si>
    <t>Cheque -   010057 - KDMIA Cris</t>
  </si>
  <si>
    <t>Mais gazoza no GarGaMóvel</t>
  </si>
  <si>
    <t>Almoço no Carry4</t>
  </si>
  <si>
    <t>Garafas e filmes de idiota melhor</t>
  </si>
  <si>
    <t xml:space="preserve">Real Parcelado (????) </t>
  </si>
  <si>
    <t xml:space="preserve">Almoço no são bernardo </t>
  </si>
  <si>
    <t>Almoços nu Julies</t>
  </si>
  <si>
    <t>Almoço no Jim Jim</t>
  </si>
  <si>
    <t>Mais saques diversos</t>
  </si>
  <si>
    <t>No Rabibis</t>
  </si>
  <si>
    <t>Mais E Mais Saques</t>
  </si>
  <si>
    <t>Cofé da copenhaguem</t>
  </si>
  <si>
    <t>GPS (07/10)</t>
  </si>
  <si>
    <t>GPS (09/10)</t>
  </si>
  <si>
    <t>Sais de frutas</t>
  </si>
  <si>
    <t>Gabides diversos</t>
  </si>
  <si>
    <t>Bolos e diversos de aniversários</t>
  </si>
  <si>
    <t>ALMOÇO NO tendal-s</t>
  </si>
  <si>
    <t>Mercados caros</t>
  </si>
  <si>
    <t xml:space="preserve">Fatura telefonica - telefonica Março </t>
  </si>
  <si>
    <t>Fatura Eletropaulô</t>
  </si>
  <si>
    <t>fatura Telefonica - Telefonica fevereiro</t>
  </si>
  <si>
    <t>Fatura PortoSeguro VisA</t>
  </si>
  <si>
    <t>Fatura ItauVisa - cristiane</t>
  </si>
  <si>
    <t>GPS (08/10)</t>
  </si>
  <si>
    <t>Condominio março / 2009</t>
  </si>
  <si>
    <t>Cabo 1 Mt + Slide Pyrex</t>
  </si>
  <si>
    <t xml:space="preserve">DVD heaven And Hell </t>
  </si>
  <si>
    <t>Cheque - 010021 - Cabelo crisiane</t>
  </si>
  <si>
    <t>Cheque - 010023 - Prova detran</t>
  </si>
  <si>
    <t>Gazoza no garGamóvel</t>
  </si>
  <si>
    <t>Mais UMMM</t>
  </si>
  <si>
    <t>Farmácias  - gargantas cris</t>
  </si>
  <si>
    <t>Reseva Hotel Rota Sol</t>
  </si>
  <si>
    <t>Butecos de Praias</t>
  </si>
  <si>
    <t>mais butecos de Praias</t>
  </si>
  <si>
    <t xml:space="preserve">Na praia </t>
  </si>
  <si>
    <t>Caladris de queimaduras solares</t>
  </si>
  <si>
    <t>Cheque - 010024 - taxas de carteiras moto-ristas</t>
  </si>
  <si>
    <t>Aluguel março/2009</t>
  </si>
  <si>
    <t>Be-Pan-Tóis</t>
  </si>
  <si>
    <t>Desentupidores de privadas</t>
  </si>
  <si>
    <t xml:space="preserve">Creditos telefone celular </t>
  </si>
  <si>
    <t>Cheque - 010022 - Exame medico detran</t>
  </si>
  <si>
    <t>Gatos - Rações areias e palacios</t>
  </si>
  <si>
    <t>coquinha Zeros da vouquis</t>
  </si>
  <si>
    <t>Muitos diversos pro show do Iron</t>
  </si>
  <si>
    <t>Açougues diversos</t>
  </si>
  <si>
    <t>Cheque - 410042 - Bella Forna (02/05)</t>
  </si>
  <si>
    <t>Tinturas diversas de cabelos</t>
  </si>
  <si>
    <t>Cheque - 010058 - KDMIA Cris</t>
  </si>
  <si>
    <t>demaquilantes</t>
  </si>
  <si>
    <t>Da Patricia pro Show do H&amp;H</t>
  </si>
  <si>
    <t>liquidação real parcelado 797043.5 - ch 410041</t>
  </si>
  <si>
    <t>Ingressos para Cinemas</t>
  </si>
  <si>
    <t xml:space="preserve">Jantar no xópin </t>
  </si>
  <si>
    <t>DVD do metallica</t>
  </si>
  <si>
    <t>Paletas da Fener</t>
  </si>
  <si>
    <t>Refri de depois de o filme</t>
  </si>
  <si>
    <t xml:space="preserve">No mercadis </t>
  </si>
  <si>
    <t>GazoZa</t>
  </si>
  <si>
    <t>Saque pra duversos</t>
  </si>
  <si>
    <t>Na Crepparia´s</t>
  </si>
  <si>
    <t>Carnes diversas</t>
  </si>
  <si>
    <t>Saque com o cartão</t>
  </si>
  <si>
    <t>Ver-duras</t>
  </si>
  <si>
    <t>Medicamentos diversos manipulados</t>
  </si>
  <si>
    <t>Café de Manha na lancho-nete</t>
  </si>
  <si>
    <t>Conversado de VHS-&gt;DVD</t>
  </si>
  <si>
    <t>Mercados Iversos</t>
  </si>
  <si>
    <t>liquidação real parcelado 797043.5 - ch 410042</t>
  </si>
  <si>
    <t>crea sp</t>
  </si>
  <si>
    <t>Fatua telefonica - Telefonica</t>
  </si>
  <si>
    <t>Pagamento fatura AVULSA RESTANTE real Visa</t>
  </si>
  <si>
    <t>Consulta Veterinária do Sebastian</t>
  </si>
  <si>
    <t>Cheque - 010029 - ccaa Cris</t>
  </si>
  <si>
    <t>Restituição do Nota fiscal Paulista</t>
  </si>
  <si>
    <t>Assinatura Rapidshare</t>
  </si>
  <si>
    <t>Lenche ne paccoca</t>
  </si>
  <si>
    <t>Revista Mens healths</t>
  </si>
  <si>
    <t>Cofi de Manhas na paccocca´s</t>
  </si>
  <si>
    <t>Habbibibibs</t>
  </si>
  <si>
    <t>Ração areia de coco e remedios de oreia</t>
  </si>
  <si>
    <t>Shabababababbsbs</t>
  </si>
  <si>
    <t>Farmacias pra cris</t>
  </si>
  <si>
    <t>lenche no centreos</t>
  </si>
  <si>
    <t>Alugel Abril/2009</t>
  </si>
  <si>
    <t>Cheque - 0410043 - Clinica Gordos (03/05)</t>
  </si>
  <si>
    <t>Cheque - 010030 - Fasshion brasil Cris</t>
  </si>
  <si>
    <t>Al-moço na paccocca´s</t>
  </si>
  <si>
    <t>SAQUE PRA Diversos</t>
  </si>
  <si>
    <t>Cheque - 010031 - Raio X xXx</t>
  </si>
  <si>
    <t>No Xirattas</t>
  </si>
  <si>
    <t>Cheque - 010059 - KDMIA Cris</t>
  </si>
  <si>
    <t>Almoço em xópin</t>
  </si>
  <si>
    <t>remédios de cabelos</t>
  </si>
  <si>
    <t>Livros Silmarillion / Duna Herege</t>
  </si>
  <si>
    <t>Almoços no centro</t>
  </si>
  <si>
    <t>Supermercados I</t>
  </si>
  <si>
    <t>Supermercados II</t>
  </si>
  <si>
    <t>Pra fzer gostosinhos</t>
  </si>
  <si>
    <t>Habibis I</t>
  </si>
  <si>
    <t>Habubis II</t>
  </si>
  <si>
    <t>Almoço de feriados</t>
  </si>
  <si>
    <t>Transfer Cyber Spawn</t>
  </si>
  <si>
    <t>Mais creditos Nota Fiscal paulista</t>
  </si>
  <si>
    <t>Almoço no centres</t>
  </si>
  <si>
    <t>Café no centres</t>
  </si>
  <si>
    <t>Almoço no Metropis</t>
  </si>
  <si>
    <t>Ragazzo SCS</t>
  </si>
  <si>
    <t>Aguas Minerias</t>
  </si>
  <si>
    <t xml:space="preserve">mais Um </t>
  </si>
  <si>
    <t>Meias da Cristiane</t>
  </si>
  <si>
    <t>Roupas de dormir da cristiane</t>
  </si>
  <si>
    <t>Almoço nas Liberdades</t>
  </si>
  <si>
    <t>Cheque - 010032 - Spawns Minis</t>
  </si>
  <si>
    <t xml:space="preserve">Cheque - 010032 - Coisas de Scapri </t>
  </si>
  <si>
    <t xml:space="preserve">Fatura Telefonica - telefonica </t>
  </si>
  <si>
    <t>Condominio Maio/2009</t>
  </si>
  <si>
    <t xml:space="preserve">Al-moço Paccocca´s v.R </t>
  </si>
  <si>
    <t>Ingressos de cinemas</t>
  </si>
  <si>
    <t>Pipocas e coquinhas de cinemas</t>
  </si>
  <si>
    <t xml:space="preserve">Cheque - 010028 - CCAA CRIS </t>
  </si>
  <si>
    <t>Depósito do cheque da garagem</t>
  </si>
  <si>
    <t>Gazoza no garGaMóvel</t>
  </si>
  <si>
    <t>Pitiça rute do xópin</t>
  </si>
  <si>
    <t>ração dos Gatos</t>
  </si>
  <si>
    <t>Pilhas do Monitor cardiacos</t>
  </si>
  <si>
    <t xml:space="preserve">Pilha de Mauses </t>
  </si>
  <si>
    <t>TRANSF - presente GIL</t>
  </si>
  <si>
    <t>TRANSF - Almoço com Karlo</t>
  </si>
  <si>
    <t>Cappelletto D´oro - coisas de comer</t>
  </si>
  <si>
    <t>Remédios deversos</t>
  </si>
  <si>
    <t>Aluguel Maio/2009</t>
  </si>
  <si>
    <t>Mais barato Mais barto Extra</t>
  </si>
  <si>
    <t>Varias Barrras de Cereais</t>
  </si>
  <si>
    <t>Cheque - 010060 - KDMIA Cris</t>
  </si>
  <si>
    <t>Cheque - 010026 - Bella Forna (04/05)</t>
  </si>
  <si>
    <t>Areias e raçoes de gatos</t>
  </si>
  <si>
    <t>FransKafés</t>
  </si>
  <si>
    <t>Peim Draive pra patricia</t>
  </si>
  <si>
    <t>Farmacias pra Cris</t>
  </si>
  <si>
    <t>Desodorizantes e Listerines</t>
  </si>
  <si>
    <t>GaZoza no GarGaMóvel</t>
  </si>
  <si>
    <t>Almoço no "Esfiha Shabab"</t>
  </si>
  <si>
    <t>Mais e Mais mercadis</t>
  </si>
  <si>
    <t>No ravibis</t>
  </si>
  <si>
    <t>Almoço de xópin</t>
  </si>
  <si>
    <t>Lenche Pós Baladas Padocs  PortuCales</t>
  </si>
  <si>
    <t>Almoço de domingo</t>
  </si>
  <si>
    <t>net vivax</t>
  </si>
  <si>
    <t>DVDs Virges da Nivaldir</t>
  </si>
  <si>
    <t>IOF real master</t>
  </si>
  <si>
    <t>Juros real Master</t>
  </si>
  <si>
    <t>HD 1 TB Seagate mega Fuckin Power</t>
  </si>
  <si>
    <t>Fita de papa Bolinhas para ropas</t>
  </si>
  <si>
    <t xml:space="preserve">Gabinete Power + Fonte Power </t>
  </si>
  <si>
    <t>Crepparias</t>
  </si>
  <si>
    <t>No Motel chique</t>
  </si>
  <si>
    <t xml:space="preserve">Maismercadis </t>
  </si>
  <si>
    <t>Cinemas no xópin</t>
  </si>
  <si>
    <t>aluguel junho 2009</t>
  </si>
  <si>
    <t>Na Creaparia´s</t>
  </si>
  <si>
    <t>SummerFast</t>
  </si>
  <si>
    <t>churrascarais de mauas</t>
  </si>
  <si>
    <t>Nidonto cristiane</t>
  </si>
  <si>
    <t>Cheque - 010025 - Bella Forna (05/05)</t>
  </si>
  <si>
    <t>Almoço no Kappas XuXis</t>
  </si>
  <si>
    <t>DVD do Engenheiros</t>
  </si>
  <si>
    <t>Extras</t>
  </si>
  <si>
    <t>Almoço pitiça rute</t>
  </si>
  <si>
    <t>partileras</t>
  </si>
  <si>
    <t>Jantar com cristiane de pitiça rute</t>
  </si>
  <si>
    <t>No Bóbis</t>
  </si>
  <si>
    <t>A.F.s Lotus Lilith Tomb Raider + fretes</t>
  </si>
  <si>
    <t>Spawn WOR + Pirate</t>
  </si>
  <si>
    <t>Palhetas de Guitarras</t>
  </si>
  <si>
    <t>paes e quejos da paccocca´s</t>
  </si>
  <si>
    <t>Presentes atrasados dos namoridos</t>
  </si>
  <si>
    <t>Transformes II - A Vingaça dos DerrroTados</t>
  </si>
  <si>
    <t>Cofi de Manha de paccocca´s</t>
  </si>
  <si>
    <t>Eletrô PaulÔ</t>
  </si>
  <si>
    <t>Al-mosso do Dani-El</t>
  </si>
  <si>
    <t>DOC BOX Do Big Bang Theory</t>
  </si>
  <si>
    <t>Fatura IBIs Master Card</t>
  </si>
  <si>
    <t>Pra Poupança do ItaU</t>
  </si>
  <si>
    <t>Iron Maiden Flight 666</t>
  </si>
  <si>
    <t>Saque do REEAL</t>
  </si>
  <si>
    <t>Mais Parteleras</t>
  </si>
  <si>
    <t>Remédios de gripes diversas</t>
  </si>
  <si>
    <t>Farmácias de Cristianes</t>
  </si>
  <si>
    <t>Aluguel Julho/2009</t>
  </si>
  <si>
    <t>Locadora de Filmes Diversos</t>
  </si>
  <si>
    <t>Pericia do GarGaMóvel</t>
  </si>
  <si>
    <t>Extra Ipiranguinha</t>
  </si>
  <si>
    <t xml:space="preserve">Pitiça Rute </t>
  </si>
  <si>
    <t>pitiça Rute</t>
  </si>
  <si>
    <t>Som do GarGaMovel 2.0</t>
  </si>
  <si>
    <t>Gazoza do GarGaMovel 2.0</t>
  </si>
  <si>
    <t>Reator de Lampada fluorescentes</t>
  </si>
  <si>
    <t>Soros fisiológicoss</t>
  </si>
  <si>
    <t>Pacocca´s Vitorias Regias</t>
  </si>
  <si>
    <t>NO Açougues</t>
  </si>
  <si>
    <t>No Xirata-s</t>
  </si>
  <si>
    <t>remedios de dores de barrigas</t>
  </si>
  <si>
    <t>Padoca´s</t>
  </si>
  <si>
    <t>Lenche de manhas</t>
  </si>
  <si>
    <t>Café de paccoca´s</t>
  </si>
  <si>
    <t>Multicoisa - cabos - travas e redes</t>
  </si>
  <si>
    <t>Condominio Agosto 2009</t>
  </si>
  <si>
    <t>Gardenal do Sebastian</t>
  </si>
  <si>
    <t>BANHOS DE gatos</t>
  </si>
  <si>
    <t>Do ItaU</t>
  </si>
  <si>
    <t>Cachaçarias</t>
  </si>
  <si>
    <t>Chave de fenda Power e BenJanMins</t>
  </si>
  <si>
    <t>Oculos Escuros Powers</t>
  </si>
  <si>
    <t>Net Virtua Proporcional</t>
  </si>
  <si>
    <t>Almoço no Giraffa´s</t>
  </si>
  <si>
    <t>pitiça rute</t>
  </si>
  <si>
    <t>Tudo Parmegiana</t>
  </si>
  <si>
    <t>Paddocca´s</t>
  </si>
  <si>
    <t>Roma I e II Temp</t>
  </si>
  <si>
    <t>Parcela 207 (01/24)</t>
  </si>
  <si>
    <t>Óculos Novos</t>
  </si>
  <si>
    <t>Almoço no xópin subduway</t>
  </si>
  <si>
    <t>Cabo Video componente pro GIL</t>
  </si>
  <si>
    <t>Adesivos Skins p NoteBooks Laptops Capa - FRETE GRÁTIS</t>
  </si>
  <si>
    <t>No ó Maira Ó</t>
  </si>
  <si>
    <t>The Doors e Dio Holy Live</t>
  </si>
  <si>
    <t>Carrefour´s</t>
  </si>
  <si>
    <t>extra´s</t>
  </si>
  <si>
    <t>Subdoways</t>
  </si>
  <si>
    <t>Mc Patos0</t>
  </si>
  <si>
    <t>Game: Tomb Raider: UnbderWorld + Golden Axe: Beast Rider</t>
  </si>
  <si>
    <t>Giraffa´S</t>
  </si>
  <si>
    <t>Bóbis</t>
  </si>
  <si>
    <t>Mais e mais Mercadis</t>
  </si>
  <si>
    <t>Mc Patos</t>
  </si>
  <si>
    <t>Shabababas</t>
  </si>
  <si>
    <t>Açougues diversps</t>
  </si>
  <si>
    <t>Coquinha na paccocca´s</t>
  </si>
  <si>
    <t>Bom Grilé Shopping maping</t>
  </si>
  <si>
    <t>Habibis Dirija-Atraves</t>
  </si>
  <si>
    <t>Mercado - Sorvetes e tacas</t>
  </si>
  <si>
    <t>Na Paccoca´s Vitória´s Regia´s</t>
  </si>
  <si>
    <t>Bolos Paes e etc... .. .</t>
  </si>
  <si>
    <t>paccocca´s</t>
  </si>
  <si>
    <t xml:space="preserve">Pitiça de paccocca´s </t>
  </si>
  <si>
    <t>De conta correntes</t>
  </si>
  <si>
    <t>Itau card Visa</t>
  </si>
  <si>
    <t>Aluguel setembro 2009</t>
  </si>
  <si>
    <t>Condominio setembro 2009</t>
  </si>
  <si>
    <t>Remedios de azias e pra evitar dores de cabeças</t>
  </si>
  <si>
    <t>Roteador wireless pro Karlo</t>
  </si>
  <si>
    <t>Predsim 20 MG</t>
  </si>
  <si>
    <t>Cartchos de tintas de impressoras</t>
  </si>
  <si>
    <t>Novo e mais Um PenDrive</t>
  </si>
  <si>
    <t>Revista Guitar Cover de Slides</t>
  </si>
  <si>
    <t>No Shababas</t>
  </si>
  <si>
    <t>No Xirata´s</t>
  </si>
  <si>
    <t>Nova Avaliação Fisica</t>
  </si>
  <si>
    <t>Lampadas e coisas de comer</t>
  </si>
  <si>
    <t>Case pra Strato Ps2</t>
  </si>
  <si>
    <t>Case pra Lespaul PS3</t>
  </si>
  <si>
    <t>net TV</t>
  </si>
  <si>
    <t>mais prateleiras</t>
  </si>
  <si>
    <t xml:space="preserve"> Combustivel no GarGaMóvel 2.0</t>
  </si>
  <si>
    <t>Na pacocca´s</t>
  </si>
  <si>
    <t>No noivado do Denis</t>
  </si>
  <si>
    <t>Tudo Parmegiana no Cocô</t>
  </si>
  <si>
    <t>Roupas, tenis e coisas de academias</t>
  </si>
  <si>
    <t>Blusas de academia</t>
  </si>
  <si>
    <t>Parcela 02/24</t>
  </si>
  <si>
    <t>Cremes diversos do Boticário</t>
  </si>
  <si>
    <t>DVD+r DL 2x</t>
  </si>
  <si>
    <t>desodorizantes corporais</t>
  </si>
  <si>
    <t>Almoço paccocca´s</t>
  </si>
  <si>
    <t>remédios de Pulgas</t>
  </si>
  <si>
    <t>Cofi de3 Xópin</t>
  </si>
  <si>
    <t>Mais UHM</t>
  </si>
  <si>
    <t>complemento condominio Setembro 2009</t>
  </si>
  <si>
    <t>Tudo á Parmegiana</t>
  </si>
  <si>
    <t>Fitas Duplas Faces Power</t>
  </si>
  <si>
    <t>RÁ-BIBIS</t>
  </si>
  <si>
    <t>Spoletto Shopping ABC</t>
  </si>
  <si>
    <t>Subways</t>
  </si>
  <si>
    <t>fotos da Cristiane</t>
  </si>
  <si>
    <t>Alcooolol no GarGaMovel</t>
  </si>
  <si>
    <t>Almoço no Parmegiana´s</t>
  </si>
  <si>
    <t>Cartaõ Submarinos</t>
  </si>
  <si>
    <t>Fartura Porto Seguro Visa</t>
  </si>
  <si>
    <t>Coisas de cafés de manha</t>
  </si>
  <si>
    <t>Alcool no gargamóvel</t>
  </si>
  <si>
    <t>No mercado de piraju</t>
  </si>
  <si>
    <t>Mais alcooll</t>
  </si>
  <si>
    <t>Carregador de Pilhas Power</t>
  </si>
  <si>
    <t>Toalhas, desodorizantes e pilhas</t>
  </si>
  <si>
    <t>Lampadas fluorescentes</t>
  </si>
  <si>
    <t>Mais alcool no gargamóvel</t>
  </si>
  <si>
    <t>Condominio Outubro 2009</t>
  </si>
  <si>
    <t>Automotivo: Cheque 10033 - Seguro Fiança</t>
  </si>
  <si>
    <t>Lenche de noite e coisas de comer paccocca´s</t>
  </si>
  <si>
    <t>Grampieitor</t>
  </si>
  <si>
    <t>camiseta do Guitar Hero</t>
  </si>
  <si>
    <t>Almoço no restaurate xique</t>
  </si>
  <si>
    <t>Mc Pato donalds</t>
  </si>
  <si>
    <t>revistas diversas</t>
  </si>
  <si>
    <t>Aluguel Outubro 2009</t>
  </si>
  <si>
    <t>Parcela 03/24</t>
  </si>
  <si>
    <t>Saques do REAL</t>
  </si>
  <si>
    <t>restituição Nota Fsical paulista</t>
  </si>
  <si>
    <t xml:space="preserve">Coisas de comer na paccocca´s </t>
  </si>
  <si>
    <t>subways</t>
  </si>
  <si>
    <t>Alcool no GarGaMóvel 2.0</t>
  </si>
  <si>
    <t xml:space="preserve">Camiseta de presente de GH </t>
  </si>
  <si>
    <t>100% vudeis</t>
  </si>
  <si>
    <t>Shabababs</t>
  </si>
  <si>
    <t>Opa Mais HUM</t>
  </si>
  <si>
    <t>Cheque - 010033 - RA - UL</t>
  </si>
  <si>
    <t>Cafés do xópin</t>
  </si>
  <si>
    <t>Shampoos Dimensions</t>
  </si>
  <si>
    <t>Pro Cassio</t>
  </si>
  <si>
    <t>subduways</t>
  </si>
  <si>
    <t>Gardenais diversos</t>
  </si>
  <si>
    <t>Coisas diversas na paccocca´s</t>
  </si>
  <si>
    <t>Multa do cartão sibdumarinos</t>
  </si>
  <si>
    <t>Al-mosso no Morgans</t>
  </si>
  <si>
    <t>RA-Bibis</t>
  </si>
  <si>
    <t>Mc Patos donaldis</t>
  </si>
  <si>
    <t>Café de manas na paccocas portucales</t>
  </si>
  <si>
    <t>Café de manas na paccocas</t>
  </si>
  <si>
    <t>Diversis BD</t>
  </si>
  <si>
    <t>RA-BIBIs</t>
  </si>
  <si>
    <t>Fatura Real  Visa</t>
  </si>
  <si>
    <t>fatura Porto seguro Visa</t>
  </si>
  <si>
    <t>Multa de excesso velocidade</t>
  </si>
  <si>
    <t xml:space="preserve">pra cristiane </t>
  </si>
  <si>
    <t xml:space="preserve">JUROS REALMASTER </t>
  </si>
  <si>
    <t xml:space="preserve">IOF-REALMASTER </t>
  </si>
  <si>
    <t>Condominios Novembro (01/02)</t>
  </si>
  <si>
    <t>Férias</t>
  </si>
  <si>
    <t>Condominios Novembro (02/02)</t>
  </si>
  <si>
    <t>Aluguel Novembro 2009</t>
  </si>
  <si>
    <t>Parcela 04/24</t>
  </si>
  <si>
    <t>fluido de isquero</t>
  </si>
  <si>
    <t xml:space="preserve">Led Zeppeling </t>
  </si>
  <si>
    <t>Rodijo de escondido´s</t>
  </si>
  <si>
    <t>Burguer</t>
  </si>
  <si>
    <t>Shake Milke Bob´s maltines pequenos</t>
  </si>
  <si>
    <t>Roupas para praia</t>
  </si>
  <si>
    <t>Bermudas e camistas</t>
  </si>
  <si>
    <t>Almoço de sábado no xópin</t>
  </si>
  <si>
    <t>Cafés e doces do xópin</t>
  </si>
  <si>
    <t>coisas de café da manha</t>
  </si>
  <si>
    <t>Alcool no GarGamóvel 2.0</t>
  </si>
  <si>
    <t>Almoço na libertades</t>
  </si>
  <si>
    <t>Memory Card SD 8GB</t>
  </si>
  <si>
    <t>Areia de cocoes</t>
  </si>
  <si>
    <t>Termoginic Ripped</t>
  </si>
  <si>
    <t>Bolsa novas</t>
  </si>
  <si>
    <t>Trigun Maximun e outros</t>
  </si>
  <si>
    <t>Novo Rodeador WiFi NetGear Wireless</t>
  </si>
  <si>
    <t>Malas novas de viagem</t>
  </si>
  <si>
    <t>Janter de Xópin</t>
  </si>
  <si>
    <t>Transf. Scrapi buquin</t>
  </si>
  <si>
    <t>Cadeados de viagens</t>
  </si>
  <si>
    <t>Cuecas</t>
  </si>
  <si>
    <t>decorações natais</t>
  </si>
  <si>
    <t>Casa de Carnes da VP</t>
  </si>
  <si>
    <t>SP Burgers</t>
  </si>
  <si>
    <t>Parque Ma-Noas</t>
  </si>
  <si>
    <t>Only Opizzas</t>
  </si>
  <si>
    <t>Artesanatos de Presentes I</t>
  </si>
  <si>
    <t>Artesanatos de Presentes II</t>
  </si>
  <si>
    <t>Artesanatos de Presentes III</t>
  </si>
  <si>
    <t>Artesanatos de Presentes IV</t>
  </si>
  <si>
    <t>Artesanatos de Presentes v</t>
  </si>
  <si>
    <t>Hotel Rifoles</t>
  </si>
  <si>
    <t>Alcool no gargamovel 2.0</t>
  </si>
  <si>
    <t>Óleo de gargamovel</t>
  </si>
  <si>
    <t>camisteas de ac/dc</t>
  </si>
  <si>
    <t>Presentes de Gatinhos</t>
  </si>
  <si>
    <t>Lenches I</t>
  </si>
  <si>
    <t>anti pulgas da kikas</t>
  </si>
  <si>
    <t>Alcool no GaGaMóvel</t>
  </si>
  <si>
    <t>HD P-ATA 160 Acer Aspire 3100</t>
  </si>
  <si>
    <t>Case Logic para HD</t>
  </si>
  <si>
    <t>almoço no centro</t>
  </si>
  <si>
    <t>revistas da cristiane</t>
  </si>
  <si>
    <t>Cinemas</t>
  </si>
  <si>
    <t>Condominmio Dezembro</t>
  </si>
  <si>
    <t>Cafeses de Xópins</t>
  </si>
  <si>
    <t>paccoccas</t>
  </si>
  <si>
    <t>Livros de JJJTOLKIEN</t>
  </si>
  <si>
    <r>
      <t>The Big Bang Theory 2</t>
    </r>
    <r>
      <rPr>
        <b/>
        <vertAlign val="superscript"/>
        <sz val="10"/>
        <color indexed="18"/>
        <rFont val="Courier New"/>
        <family val="3"/>
      </rPr>
      <t>nd</t>
    </r>
    <r>
      <rPr>
        <b/>
        <sz val="10"/>
        <color indexed="18"/>
        <rFont val="Courier New"/>
        <family val="3"/>
      </rPr>
      <t xml:space="preserve"> Season</t>
    </r>
  </si>
  <si>
    <t>Cheque – 010035 – passeios portiguar tour</t>
  </si>
  <si>
    <t>Mensalidade ????</t>
  </si>
  <si>
    <t>Pacccoa´s</t>
  </si>
  <si>
    <t>Propresente do Uilia</t>
  </si>
  <si>
    <t>Cafezes no ópin</t>
  </si>
  <si>
    <t>Sub-WAYs</t>
  </si>
  <si>
    <t>Aluguel Dezembro 2009</t>
  </si>
  <si>
    <t xml:space="preserve">Net TV </t>
  </si>
  <si>
    <t>net Fone</t>
  </si>
  <si>
    <t>Parcela 05/24</t>
  </si>
  <si>
    <t>Alcool no gargamóvel 2.0</t>
  </si>
  <si>
    <t>Game: Guitar Hero World On Tour PS3</t>
  </si>
  <si>
    <t>clinicas de gatos</t>
  </si>
  <si>
    <t>Game: Guitar Hero V</t>
  </si>
  <si>
    <t>Farmacias gerais</t>
  </si>
  <si>
    <t>Saque pra neusa</t>
  </si>
  <si>
    <t>Exames de cocoôs</t>
  </si>
  <si>
    <t>Almoço no Tendall´s0</t>
  </si>
  <si>
    <t>Burger Kinguios</t>
  </si>
  <si>
    <t>Remedios de Gripes diversas</t>
  </si>
  <si>
    <t>Coisas de Cafés de Manhas</t>
  </si>
  <si>
    <t>Subway do ABC</t>
  </si>
  <si>
    <t>Presente de Natal 1</t>
  </si>
  <si>
    <t>presente de Natal 2</t>
  </si>
  <si>
    <t>Miuqi cheique pra diminuir o calor</t>
  </si>
  <si>
    <t>presente de Natal 3</t>
  </si>
  <si>
    <t>Fashion</t>
  </si>
  <si>
    <t>Coisas de Café de Manhas de paccocca´s</t>
  </si>
  <si>
    <t>remédios de pulgas</t>
  </si>
  <si>
    <t>LANCHES RODOSERV</t>
  </si>
  <si>
    <t>Patios San Miguéis</t>
  </si>
  <si>
    <t>Almoço no royal xópin</t>
  </si>
  <si>
    <t>Lenche de estreda</t>
  </si>
  <si>
    <t>alcool no GaGaMóvel</t>
  </si>
  <si>
    <t>Coisas de Lenches</t>
  </si>
  <si>
    <t>Pro bolao da mega</t>
  </si>
  <si>
    <t>Remedio para evitar dores de cabeça</t>
  </si>
  <si>
    <t>Adaptador de Controles</t>
  </si>
  <si>
    <t>Ó Maria Ó</t>
  </si>
  <si>
    <t>JUROS POUPANCA</t>
  </si>
  <si>
    <t xml:space="preserve">CORRECAO POUPANCA </t>
  </si>
  <si>
    <t>Cofe de manha na paccocca's</t>
  </si>
  <si>
    <t>Livro ilustrado de róbitises</t>
  </si>
  <si>
    <t>Avatar 3d</t>
  </si>
  <si>
    <t>Pipocas cinemas</t>
  </si>
  <si>
    <t xml:space="preserve">Conta Telefone Celular </t>
  </si>
  <si>
    <t>Condominio Janeiro 2010</t>
  </si>
  <si>
    <t>Aluguel Janeiro 2010</t>
  </si>
  <si>
    <t>Parcela 06/24</t>
  </si>
  <si>
    <t>Pro Itau</t>
  </si>
  <si>
    <t>Cheque - 010038 - KDMIA Luiz</t>
  </si>
  <si>
    <t>Cheque - 010038 - KDMIA Cristiane</t>
  </si>
  <si>
    <t>DPVAT + LICENCIAMENTO + POSTAGEM</t>
  </si>
  <si>
    <t>Cabo de Guitarras pro Uilia</t>
  </si>
  <si>
    <t>Do cabo de guitarras do Uilia</t>
  </si>
  <si>
    <t>Calças e camizeras novas</t>
  </si>
  <si>
    <t>RÁ-bibis</t>
  </si>
  <si>
    <t>Trigun Maximun 09</t>
  </si>
  <si>
    <t>Merda de Mensalidade</t>
  </si>
  <si>
    <t>Cheque – 010039 – Roupas de Banhos</t>
  </si>
  <si>
    <t>Al-mosso no Shababas</t>
  </si>
  <si>
    <t>China-In-Box</t>
  </si>
  <si>
    <t>Si-Señor</t>
  </si>
  <si>
    <t>Bolas de gelar marmita´s</t>
  </si>
  <si>
    <t>Taxa Anual do RapidShare</t>
  </si>
  <si>
    <t>Arrumação de alianças</t>
  </si>
  <si>
    <t>CORRECAO POUPANCA</t>
  </si>
  <si>
    <t>Presentes da raquel</t>
  </si>
  <si>
    <t>vestido da cristiane</t>
  </si>
  <si>
    <t>Combustivel no GarGaMóvel</t>
  </si>
  <si>
    <t>presutos e queijos diversos</t>
  </si>
  <si>
    <t>lavagens de jaquetas</t>
  </si>
  <si>
    <t>Cartão de Memória SD 2GB PRO gps</t>
  </si>
  <si>
    <t xml:space="preserve">Pro Xurraixco do fim de ano </t>
  </si>
  <si>
    <t>Almoços no centros do Grand Pequin</t>
  </si>
  <si>
    <t>Camisetas de Metallica</t>
  </si>
  <si>
    <t>ração de gatos</t>
  </si>
  <si>
    <t>Almoços xiques</t>
  </si>
  <si>
    <t xml:space="preserve">Rabibis </t>
  </si>
  <si>
    <t>Devilman Lady + Alucard reverse Cross</t>
  </si>
  <si>
    <t>Summer fést</t>
  </si>
  <si>
    <t>Barbeador, desodorizantes e evitar dor cabeça</t>
  </si>
  <si>
    <t>Ernie Balls .10 + palhetas da hora</t>
  </si>
  <si>
    <t>Pra Diversps</t>
  </si>
  <si>
    <t>GaZoZa</t>
  </si>
  <si>
    <t xml:space="preserve">Brasil Telecom </t>
  </si>
  <si>
    <t>CREA-SP</t>
  </si>
  <si>
    <t>Do Gil pra Delorean´s</t>
  </si>
  <si>
    <t>Paccoa´s coffi´s</t>
  </si>
  <si>
    <t>Fundos para Shows</t>
  </si>
  <si>
    <t>Mercados diversos</t>
  </si>
  <si>
    <t>Motoboy-Feliz</t>
  </si>
  <si>
    <t>Condominio Fevereiro 2010</t>
  </si>
  <si>
    <t>Aluguel fevereiro 2010</t>
  </si>
  <si>
    <t>Iptu 2010</t>
  </si>
  <si>
    <t>Remédios de Azias</t>
  </si>
  <si>
    <t>Motoboy Feliz</t>
  </si>
  <si>
    <t>Coffi de Manhas na Paccocca´s</t>
  </si>
  <si>
    <t>Pizzazs Paccocca´s</t>
  </si>
  <si>
    <t>Do Bradesco Saudes</t>
  </si>
  <si>
    <t>Vaquinha do Denis</t>
  </si>
  <si>
    <t>Lavagem de Jaquetas</t>
  </si>
  <si>
    <t>Cheque - 010040 - Conserto do GarGaMóvel</t>
  </si>
  <si>
    <t>Parcela 07/24</t>
  </si>
  <si>
    <t>Mais Huma de novembro/2009</t>
  </si>
  <si>
    <t>Cofi de manhas nas paccoccaś</t>
  </si>
  <si>
    <t>Almoço na liberades</t>
  </si>
  <si>
    <t>Vash-Trigun + Yoko-Tegen Toppa Guren Lagan</t>
  </si>
  <si>
    <t>Mais e Mais Mercaods</t>
  </si>
  <si>
    <t>Cortar K-BELOS</t>
  </si>
  <si>
    <t>Gazoza no GaGAMóvel 2.0</t>
  </si>
  <si>
    <t>Peg Faça Gabides Ventiladores para-fusos</t>
  </si>
  <si>
    <t>Xirataś feiras limpas</t>
  </si>
  <si>
    <t>Suporte de A.F.s</t>
  </si>
  <si>
    <t>Estorno de valores</t>
  </si>
  <si>
    <t>Lenche de Paulistas</t>
  </si>
  <si>
    <t>Cheque - 010061 - Maquina CANON D50</t>
  </si>
  <si>
    <t>Coisas de Café de Manhas</t>
  </si>
  <si>
    <t>Para-fusos</t>
  </si>
  <si>
    <t>mais Um condo-minio</t>
  </si>
  <si>
    <t>Almoço no Morgãos</t>
  </si>
  <si>
    <t>Coffi de manhas na paccocca´s</t>
  </si>
  <si>
    <t>Licença Windows 7 Original dell computers</t>
  </si>
  <si>
    <t>Pizzas do dia 09/02</t>
  </si>
  <si>
    <t>Almoço de JimJIms</t>
  </si>
  <si>
    <t>Para-Fusos</t>
  </si>
  <si>
    <t>Filtro Polarizador Circular 72mm Cpl 72 Mm</t>
  </si>
  <si>
    <t>Filtro Polarizador Circular 58mm</t>
  </si>
  <si>
    <t>Cachaçarias Aguas Docês</t>
  </si>
  <si>
    <t>Areias de cocôs de Gatos</t>
  </si>
  <si>
    <t>Amedoces Barras de cereias e coisas de comer</t>
  </si>
  <si>
    <t>Cafêzes de Terdes</t>
  </si>
  <si>
    <t>Almoço no La Cantinna´s</t>
  </si>
  <si>
    <t>EletroPAulo</t>
  </si>
  <si>
    <t>Aluguel Março 2010</t>
  </si>
  <si>
    <t>Parcela 08/24</t>
  </si>
  <si>
    <t>Parte da Bataglia do Apocalipses</t>
  </si>
  <si>
    <t>Dores de Cabeças</t>
  </si>
  <si>
    <t>Prestação de Serviços ?</t>
  </si>
  <si>
    <t>Pra vaca da darlene</t>
  </si>
  <si>
    <t>Café de Manhas na paccocca´s</t>
  </si>
  <si>
    <t>Cursos de Fotografias</t>
  </si>
  <si>
    <t>Mercaedoes</t>
  </si>
  <si>
    <t>Tripé de Maquina Digital + cartão CF</t>
  </si>
  <si>
    <t>CATA-FLANS + DIPI-RONAS + coisas da cris</t>
  </si>
  <si>
    <t>Shabibis</t>
  </si>
  <si>
    <t>Paccocca´s Portucales</t>
  </si>
  <si>
    <t>Rodo-Servers</t>
  </si>
  <si>
    <t>Gasozzas no GarGaMovel</t>
  </si>
  <si>
    <t>Castelinhos das Panhonhas</t>
  </si>
  <si>
    <t>Jantar na Paccocca´s</t>
  </si>
  <si>
    <t>Cheque - 010064 - GDO</t>
  </si>
  <si>
    <t>Cofi de Manha na paccocca´s</t>
  </si>
  <si>
    <t>Remédios de Gordo´s</t>
  </si>
  <si>
    <t>TRIGUN: VASH THE STAMPEDE - MCFARLANE TOYS</t>
  </si>
  <si>
    <t>Farmácias diversas coisas</t>
  </si>
  <si>
    <t>Al-mossos no Morgãos</t>
  </si>
  <si>
    <t>Almoço mo Morgãos</t>
  </si>
  <si>
    <t>GaZoza no GarGaMóvel 2.0</t>
  </si>
  <si>
    <t>Pro Presente do Armando</t>
  </si>
  <si>
    <t>cabo HDMI + Pilhas C.R</t>
  </si>
  <si>
    <t>Barras de cereais deversos</t>
  </si>
  <si>
    <t>Almoço no centros</t>
  </si>
  <si>
    <t>FS Bihjous</t>
  </si>
  <si>
    <t>Mauá Tecidos</t>
  </si>
  <si>
    <t>Cafezes no centors</t>
  </si>
  <si>
    <t>Farmacias  fmininas</t>
  </si>
  <si>
    <t>Almoços no xópins</t>
  </si>
  <si>
    <t>Almoço no morgãos</t>
  </si>
  <si>
    <t>Lenches de Paccocca´s</t>
  </si>
  <si>
    <t>Cheque - 010062 - Cristiane</t>
  </si>
  <si>
    <t>Parcela 09/24</t>
  </si>
  <si>
    <t>IOF REAL MASTER</t>
  </si>
  <si>
    <t>Do guilherme</t>
  </si>
  <si>
    <t>Gardenais de Gatos</t>
  </si>
  <si>
    <t>McSorvertes</t>
  </si>
  <si>
    <t>Saques pra Diversos</t>
  </si>
  <si>
    <t>Papeis contactis</t>
  </si>
  <si>
    <t>Cabelos Barbas</t>
  </si>
  <si>
    <t>Pés e maes</t>
  </si>
  <si>
    <t>refris para almoço</t>
  </si>
  <si>
    <t>Condominios de predios</t>
  </si>
  <si>
    <t>Lenches de noites de paccocca´s</t>
  </si>
  <si>
    <t>Do Marco</t>
  </si>
  <si>
    <t>Almoços de xópins</t>
  </si>
  <si>
    <t>Trigun + Mundo Estranho</t>
  </si>
  <si>
    <t>Lenços de caveiras</t>
  </si>
  <si>
    <t>Camisetas de volta futuro e lenços de mamuscas</t>
  </si>
  <si>
    <t>DVD de do-CU-mentários de Anéis</t>
  </si>
  <si>
    <t>Almoços na liber-dades</t>
  </si>
  <si>
    <t>Rações e areias de cocos</t>
  </si>
  <si>
    <t>Cursos fotografias</t>
  </si>
  <si>
    <t>Symbicort 12/400 coisas diversas</t>
  </si>
  <si>
    <t>Jantares de crepes shapes bares</t>
  </si>
  <si>
    <t>Cheque - 10065 - Cabelos</t>
  </si>
  <si>
    <t>Game: Dante´s Infernos + Uncharted 2</t>
  </si>
  <si>
    <t>Almoços de Paulistas</t>
  </si>
  <si>
    <t>Fatura Mastercard??</t>
  </si>
  <si>
    <t>Mercadis e mais mercadis</t>
  </si>
  <si>
    <t>Pipoca´s de Filme´s</t>
  </si>
  <si>
    <t>Juros realMasters</t>
  </si>
  <si>
    <t>Revisão do GarGaMél</t>
  </si>
  <si>
    <t>PortoSeg Visa</t>
  </si>
  <si>
    <t>Real Master</t>
  </si>
  <si>
    <t>NAGUMO</t>
  </si>
  <si>
    <t>gazoza do GarGaMóvel0</t>
  </si>
  <si>
    <t>Coffi de manhas  de paccocca´s</t>
  </si>
  <si>
    <t>Treco pra polir a SG</t>
  </si>
  <si>
    <t>Jantares de pacccocca´s</t>
  </si>
  <si>
    <t>Almoço de xópins</t>
  </si>
  <si>
    <t>Revelação de fotolivors</t>
  </si>
  <si>
    <t>Jantares de paccocca´s</t>
  </si>
  <si>
    <t>CrediCardHell´s</t>
  </si>
  <si>
    <t>Bazar Sta Cata-Rinas</t>
  </si>
  <si>
    <t>Loollaa Palloooozzza</t>
  </si>
  <si>
    <t>Lenches de Noits</t>
  </si>
  <si>
    <t xml:space="preserve">Iron Man II </t>
  </si>
  <si>
    <t>Rá-Bibis</t>
  </si>
  <si>
    <t>Coisas de Paccocca´s</t>
  </si>
  <si>
    <t>Cafeses e bolachas</t>
  </si>
  <si>
    <t>Dos relógios</t>
  </si>
  <si>
    <t>Parcela 10/24</t>
  </si>
  <si>
    <t>Farmácias de diversos</t>
  </si>
  <si>
    <t>Mais um de fotoxópi _ GoW III</t>
  </si>
  <si>
    <t>DOC devolvido</t>
  </si>
  <si>
    <t xml:space="preserve">Nidonto </t>
  </si>
  <si>
    <t>Eixtra Ipiranguinha</t>
  </si>
  <si>
    <t>GOOORDO LLOOOOOOCO</t>
  </si>
  <si>
    <t xml:space="preserve">varias coisas </t>
  </si>
  <si>
    <t>Cafeses</t>
  </si>
  <si>
    <t>coisas de comer na paccocca´s</t>
  </si>
  <si>
    <t>gazoza no gargamóvel</t>
  </si>
  <si>
    <t>Saques de diversos</t>
  </si>
  <si>
    <t>Almoços nas liber-dades</t>
  </si>
  <si>
    <t>Ná-Gumos</t>
  </si>
  <si>
    <t>Cofi de manhas na paccoca</t>
  </si>
  <si>
    <t>Debitos SRF (01/07)</t>
  </si>
  <si>
    <t>Juros RealMasters</t>
  </si>
  <si>
    <t>Portoseguro Visa</t>
  </si>
  <si>
    <t>Symbicort 12/400s</t>
  </si>
  <si>
    <t>ra-bibis</t>
  </si>
  <si>
    <t>Alugue Junho / 2010</t>
  </si>
  <si>
    <t>Restaurantes de jimJim de xópin</t>
  </si>
  <si>
    <t>cafeeses de xópins</t>
  </si>
  <si>
    <t>Coisas de Cabelos</t>
  </si>
  <si>
    <t>Curso fotografia</t>
  </si>
  <si>
    <t>Ternos do TNG</t>
  </si>
  <si>
    <t>Barras de calças e limpa-roupas</t>
  </si>
  <si>
    <t>coisas do Multi-Coisas</t>
  </si>
  <si>
    <t>Blusas pra ir no casamentos</t>
  </si>
  <si>
    <t>Mais coisas de cabelos</t>
  </si>
  <si>
    <t xml:space="preserve">Cafeses no centreos </t>
  </si>
  <si>
    <t>meias calças de frios</t>
  </si>
  <si>
    <t>Lenhces de madrugadas</t>
  </si>
  <si>
    <t>pacccocca´s V.R.</t>
  </si>
  <si>
    <t>Parcela 11/24</t>
  </si>
  <si>
    <t>Sistemas Sem-Parar</t>
  </si>
  <si>
    <t>remedios diversos</t>
  </si>
  <si>
    <t>Rebatedores de beephotos</t>
  </si>
  <si>
    <t>Spoleto</t>
  </si>
  <si>
    <t>Cabo pro PSP pra TV LCD</t>
  </si>
  <si>
    <t>pro desenvolvimento do sites</t>
  </si>
  <si>
    <t>Pacccocca´s V.R.S</t>
  </si>
  <si>
    <t>Almoço no xópin0</t>
  </si>
  <si>
    <t>remedios de Gardenais</t>
  </si>
  <si>
    <t>Fabulosos Lanches</t>
  </si>
  <si>
    <t>Jantares de Paccocca´s</t>
  </si>
  <si>
    <t>Cofes de manhas de paccocas</t>
  </si>
  <si>
    <t>Fotos da cristiane</t>
  </si>
  <si>
    <t>Na-gumos</t>
  </si>
  <si>
    <t>NÁ-Gumos</t>
  </si>
  <si>
    <t>Ra-bibbis</t>
  </si>
  <si>
    <t>AES EletroPaulo</t>
  </si>
  <si>
    <t>Debitos SRF (02/07)</t>
  </si>
  <si>
    <t>Cordas SG .010</t>
  </si>
  <si>
    <t>Panelas Novas</t>
  </si>
  <si>
    <t>Pro Marco</t>
  </si>
  <si>
    <t>Multa de Excesso Velocidade Marcço</t>
  </si>
  <si>
    <t>Fatura Real Master</t>
  </si>
  <si>
    <t>WorkShopins</t>
  </si>
  <si>
    <t>Condominio Julho / 2010</t>
  </si>
  <si>
    <t>Doc dos cartões de visitas</t>
  </si>
  <si>
    <t>Pizzas da Paccocca´s</t>
  </si>
  <si>
    <t>Restaurantes nas estradas</t>
  </si>
  <si>
    <t>Perna-Bucanas</t>
  </si>
  <si>
    <t>Xampous diversos</t>
  </si>
  <si>
    <t>Mais GaZoZas</t>
  </si>
  <si>
    <t>Postos das Estradas</t>
  </si>
  <si>
    <t>Mais Um workShopins</t>
  </si>
  <si>
    <t>cortar K-Belos</t>
  </si>
  <si>
    <t>Docês pra Amigos Secretos</t>
  </si>
  <si>
    <t>Flight 666! Now in BluRay</t>
  </si>
  <si>
    <t>Cafeses de manhas em paccocca´s</t>
  </si>
  <si>
    <t>Farmácias de manipulações</t>
  </si>
  <si>
    <t>Cursos de fotografias</t>
  </si>
  <si>
    <t>Aluguel Julho 2010</t>
  </si>
  <si>
    <t>K-Fezes de xópin</t>
  </si>
  <si>
    <t>Parcela 12/24</t>
  </si>
  <si>
    <t>Cordas do Uilia</t>
  </si>
  <si>
    <t>Do Uilila</t>
  </si>
  <si>
    <t>Cervas de marcados</t>
  </si>
  <si>
    <t>Farmacias</t>
  </si>
  <si>
    <t>fatura da TIM</t>
  </si>
  <si>
    <t>NÀ-Gums</t>
  </si>
  <si>
    <t>deposito da garagia</t>
  </si>
  <si>
    <t>mercadis</t>
  </si>
  <si>
    <t>Almnolo no xópins</t>
  </si>
  <si>
    <t>XÁ-BABIS</t>
  </si>
  <si>
    <t>Debitos SRF (03/07)</t>
  </si>
  <si>
    <t>Fatura real Vusa</t>
  </si>
  <si>
    <t>IOF RealMaster</t>
  </si>
  <si>
    <t>pra diversos</t>
  </si>
  <si>
    <t>Potenciometros Gibsons</t>
  </si>
  <si>
    <t>Chaves seletoras SGs</t>
  </si>
  <si>
    <t>Porcas para-camas</t>
  </si>
  <si>
    <t>coisas de cófi de manhas</t>
  </si>
  <si>
    <t>Pomadas Hirudoid´s</t>
  </si>
  <si>
    <t>Demaquilante</t>
  </si>
  <si>
    <t>Multa de Junho/2010</t>
  </si>
  <si>
    <t>Corrreios para o seguro</t>
  </si>
  <si>
    <t>Almolço no xpin</t>
  </si>
  <si>
    <t>Pro silvera</t>
  </si>
  <si>
    <t>Pizzeria Espocattione</t>
  </si>
  <si>
    <t>Barbeadores diversos</t>
  </si>
  <si>
    <t>Coisas de pessoais</t>
  </si>
  <si>
    <t>Hometheater: Cabos diversos de TVs</t>
  </si>
  <si>
    <t>Farmácias deversas</t>
  </si>
  <si>
    <t>Parcela 13/24</t>
  </si>
  <si>
    <t>Almoço no Alfaides</t>
  </si>
  <si>
    <t>Fatura Celular</t>
  </si>
  <si>
    <t>Cafeses do Xóipin</t>
  </si>
  <si>
    <t>Saqaue do real</t>
  </si>
  <si>
    <t>Burgues</t>
  </si>
  <si>
    <t>Coisas de commer no alfaides</t>
  </si>
  <si>
    <t>coisa de beber na freeedom</t>
  </si>
  <si>
    <t xml:space="preserve">Almoços </t>
  </si>
  <si>
    <t>Cuase Tudo Parmegianas</t>
  </si>
  <si>
    <t>Alfa-ides</t>
  </si>
  <si>
    <t>Jantar de aniversário da cristiane</t>
  </si>
  <si>
    <t>BURGUESS</t>
  </si>
  <si>
    <t>Do Sem-Parar Pago à Mais</t>
  </si>
  <si>
    <t>Pagamento do Sites</t>
  </si>
  <si>
    <t>Debitos SRF (04/07)</t>
  </si>
  <si>
    <t>UOL Cristiane</t>
  </si>
  <si>
    <t>Tim Cristiane</t>
  </si>
  <si>
    <t>Alugue</t>
  </si>
  <si>
    <t>DOC para o marcio camilo</t>
  </si>
  <si>
    <t>Transferencia de Saldo</t>
  </si>
  <si>
    <t>Trans pra Pra cristiane</t>
  </si>
  <si>
    <t>FRANS Cafeses</t>
  </si>
  <si>
    <t>Ted pro GarGaMovel 3.0</t>
  </si>
  <si>
    <t>Hometheater: 03 Cabos Oticos TOSLINK 1,80 Mts</t>
  </si>
  <si>
    <t>Hometheater: Chaveador (Hub Switch) cabo ótico (3 óticos) - Via Dupla.</t>
  </si>
  <si>
    <t>Hometheater: Asrock_Nettop_Ion_330_Ht-Atom1._2gb_320_Dvdrw_PRETO_150209995</t>
  </si>
  <si>
    <t>pro Niver do Pastor</t>
  </si>
  <si>
    <t>rabibisa</t>
  </si>
  <si>
    <t>Yumio Cosmétics</t>
  </si>
  <si>
    <t>Remédios pra evitar doreas de cabeças</t>
  </si>
  <si>
    <t>Restauante Asia Santo André</t>
  </si>
  <si>
    <t>Nagumo Sto André</t>
  </si>
  <si>
    <t>Remedio de gatinhos</t>
  </si>
  <si>
    <t>Folias de sulfities e coisas</t>
  </si>
  <si>
    <t>Limpa-monitores</t>
  </si>
  <si>
    <t>Cheque - 010067 - Peliculas,Bancos, A.F</t>
  </si>
  <si>
    <t>gazosa no gargamovel</t>
  </si>
  <si>
    <t>Pra Cristiabe</t>
  </si>
  <si>
    <t>Rações e areias de cocoes</t>
  </si>
  <si>
    <t>Xaverios e Fuidos de Esqueros</t>
  </si>
  <si>
    <t>Cofises de Manhas na paccocca´s</t>
  </si>
  <si>
    <t>Cofis de manhas</t>
  </si>
  <si>
    <t>Xiratta´s</t>
  </si>
  <si>
    <t>NáGumos</t>
  </si>
  <si>
    <t>Loolllals</t>
  </si>
  <si>
    <t xml:space="preserve">O Marias Os </t>
  </si>
  <si>
    <t>Cheque - 0010068 - Dentista cristiane</t>
  </si>
  <si>
    <t>Pro Aniversário do Perfeição</t>
  </si>
  <si>
    <t>Automotivo: Seguro P207-1.6-XS (01/04)</t>
  </si>
  <si>
    <t>Cheque - 010070 - CABELEREIRA</t>
  </si>
  <si>
    <t>SubWay´s</t>
  </si>
  <si>
    <t>Summer´s Trashes</t>
  </si>
  <si>
    <t>Pilias de Maquinas fotografias</t>
  </si>
  <si>
    <t>Rec. Férias</t>
  </si>
  <si>
    <t>BANRI na freedoms</t>
  </si>
  <si>
    <t xml:space="preserve">Camisetas divertidas </t>
  </si>
  <si>
    <t>Symbicort 12/400s e diversos</t>
  </si>
  <si>
    <t>Paccoccca´s</t>
  </si>
  <si>
    <t>Vacinações</t>
  </si>
  <si>
    <t>Gazoza no GarGaMovel 3.0</t>
  </si>
  <si>
    <t>Livros de Dynna´s pro Jard.net</t>
  </si>
  <si>
    <t>CDS DVDs Colas</t>
  </si>
  <si>
    <t>óculuses escurios</t>
  </si>
  <si>
    <t>Spollettu´s</t>
  </si>
  <si>
    <t>Mercadi´s</t>
  </si>
  <si>
    <t>Debitos SRF (05/07)</t>
  </si>
  <si>
    <t>AES EletroPaulô</t>
  </si>
  <si>
    <t>Automotivo: Seguro P207-1.6-XS (02/04)</t>
  </si>
  <si>
    <t>Automotivo: Seguro P207-1.6-XS (03/04)</t>
  </si>
  <si>
    <t>Automotivo: Seguro P207-1.6-XS (04/04)</t>
  </si>
  <si>
    <t>Cuase tudo à Pargesiannas</t>
  </si>
  <si>
    <t>Sorvertes caros do xópin</t>
  </si>
  <si>
    <t>BANRI</t>
  </si>
  <si>
    <t>Novas Baterias recarregaveis</t>
  </si>
  <si>
    <t>03 Actions Figures</t>
  </si>
  <si>
    <t>Bijoux</t>
  </si>
  <si>
    <t>Automotivo: Ituran outubro</t>
  </si>
  <si>
    <t>e Mais e mais mercadis</t>
  </si>
  <si>
    <t>iof Real Masters</t>
  </si>
  <si>
    <t>Corte de cabelo Style</t>
  </si>
  <si>
    <t>Cachecóis</t>
  </si>
  <si>
    <t>Queen GorGo</t>
  </si>
  <si>
    <t>Bleach Matsumoto</t>
  </si>
  <si>
    <t>Coisas de cafeses de Terdes</t>
  </si>
  <si>
    <t>Ogro´s mautines</t>
  </si>
  <si>
    <t>Mastumoto - di biquini</t>
  </si>
  <si>
    <t>Almoço na paulista´s</t>
  </si>
  <si>
    <t>Casa da madeira - scrapi buquin</t>
  </si>
  <si>
    <t>AC StoAndré pros livros Sergios</t>
  </si>
  <si>
    <t>Yumis cosméticos</t>
  </si>
  <si>
    <t>Sobral Foto´s</t>
  </si>
  <si>
    <t>Pitiça em casa</t>
  </si>
  <si>
    <t xml:space="preserve">Frans Cafeses </t>
  </si>
  <si>
    <t>Alcoois noGarGaMovel</t>
  </si>
  <si>
    <t>Lenche Rodo-Servers</t>
  </si>
  <si>
    <t>Cheque - 010071 - Dentista´s</t>
  </si>
  <si>
    <t>Alcoois no GarGaMovel</t>
  </si>
  <si>
    <t>Livro de 1984</t>
  </si>
  <si>
    <t>Xá-babis</t>
  </si>
  <si>
    <t>X-Files Fox &amp; Dana</t>
  </si>
  <si>
    <t>SubDuWays</t>
  </si>
  <si>
    <t>Aluguel: Cheque - 010075 - Seguro Aluguel (01/04)</t>
  </si>
  <si>
    <t>Alcool no GarGaMovel 3.0</t>
  </si>
  <si>
    <t>Ome-prazóis e Limpezas das caras</t>
  </si>
  <si>
    <t>paccocca´s Novas Victorya´s</t>
  </si>
  <si>
    <t>Correções</t>
  </si>
  <si>
    <t>Caes de Aluuéis</t>
  </si>
  <si>
    <t>Bullit + Old Boy</t>
  </si>
  <si>
    <t>Rá-bibis</t>
  </si>
  <si>
    <t>Al-moços Morgãos</t>
  </si>
  <si>
    <t>Alcoois no GarGaMóvel 3.0</t>
  </si>
  <si>
    <t>Debitos SRF (06/07)</t>
  </si>
  <si>
    <t>Incore - Plugues</t>
  </si>
  <si>
    <t>Juka Lemão</t>
  </si>
  <si>
    <t>Californicação</t>
  </si>
  <si>
    <t xml:space="preserve">saques </t>
  </si>
  <si>
    <t>Mercadis´S</t>
  </si>
  <si>
    <t>Automotivo: Habilitação do Ituran</t>
  </si>
  <si>
    <t>Automotivo: Mensalidade Ituran</t>
  </si>
  <si>
    <t>Spolettu´s</t>
  </si>
  <si>
    <t>Burguers</t>
  </si>
  <si>
    <t>Poster do Ivan Tu Bilieve</t>
  </si>
  <si>
    <t>Symbicort 12/400 e mais coisas</t>
  </si>
  <si>
    <t>Agendas de scrapuis</t>
  </si>
  <si>
    <t>Mor-Gãos</t>
  </si>
  <si>
    <t>cofi De Manhas na paccocca´s</t>
  </si>
  <si>
    <t>Pitiças de paccocca´s</t>
  </si>
  <si>
    <t>Enquadramento do Poster do Ivan</t>
  </si>
  <si>
    <t>Lotus warrior Angels</t>
  </si>
  <si>
    <t>Açougues de arnes</t>
  </si>
  <si>
    <t>papeis Hienicus e leites</t>
  </si>
  <si>
    <t>Aluguel: Cheque - 010072 - seguro Aluguel (02/04)</t>
  </si>
  <si>
    <t>Pitiçaria da Vitória Regias</t>
  </si>
  <si>
    <t>roupas sociais de trabalhar</t>
  </si>
  <si>
    <t xml:space="preserve">Juros </t>
  </si>
  <si>
    <t>Coreções</t>
  </si>
  <si>
    <t>Pro Niver Uilia</t>
  </si>
  <si>
    <t>DROGAsil</t>
  </si>
  <si>
    <t>Spporccaccioene´s</t>
  </si>
  <si>
    <t>Cofi de manhas na portucales</t>
  </si>
  <si>
    <t>Alcoois no gargamovel 3.0</t>
  </si>
  <si>
    <t>Lances no rodo-servers</t>
  </si>
  <si>
    <t>Castelinhos de pamonhas-fresquinhas</t>
  </si>
  <si>
    <t>Debitos SRF (07/07)</t>
  </si>
  <si>
    <t>senSei Cosméticos</t>
  </si>
  <si>
    <t>Eletopaulo</t>
  </si>
  <si>
    <t>ração , corta-uhnas e ervas</t>
  </si>
  <si>
    <t>Cabelos + Barbas</t>
  </si>
  <si>
    <t>Farmacias de gripes</t>
  </si>
  <si>
    <t>ná-gumo´s</t>
  </si>
  <si>
    <t>Farmácias de grippes</t>
  </si>
  <si>
    <t>Almoço no Shoppuing</t>
  </si>
  <si>
    <t>tapetes Novos</t>
  </si>
  <si>
    <t xml:space="preserve">Lig Lig </t>
  </si>
  <si>
    <t>Areiasdecocos de gaotos</t>
  </si>
  <si>
    <t>Revelação defotias</t>
  </si>
  <si>
    <t>TapetesNovos</t>
  </si>
  <si>
    <t>Paes de mercadis</t>
  </si>
  <si>
    <t>Hometheater: Kits caixas Acoustic JBL SCS 500.5</t>
  </si>
  <si>
    <t xml:space="preserve">Mercadis </t>
  </si>
  <si>
    <t>de natal da cristiane</t>
  </si>
  <si>
    <t>Cofi de manhas na paccocca´s</t>
  </si>
  <si>
    <t>Fones Ouvidos Pau-ers</t>
  </si>
  <si>
    <t>Hometheater: Pedestais pretos HT</t>
  </si>
  <si>
    <t>Cappelletto D'oro</t>
  </si>
  <si>
    <t>Aluguel: Cheque - 010073 - seguro Aluguel (03/04)</t>
  </si>
  <si>
    <t>Almoço no xa babis</t>
  </si>
  <si>
    <t>Jantares de Aniversários de casamentos</t>
  </si>
  <si>
    <t>Farma delivery´s</t>
  </si>
  <si>
    <t>Castelinho da pamonha TRASH</t>
  </si>
  <si>
    <t>Kiberama's Londrina´s</t>
  </si>
  <si>
    <t>Presente´s Silveiras</t>
  </si>
  <si>
    <t>Correção Poupanca</t>
  </si>
  <si>
    <t>Tenis Novos</t>
  </si>
  <si>
    <t>Roupas Intimas novas</t>
  </si>
  <si>
    <t>Barbeadores, espumas etcs</t>
  </si>
  <si>
    <t>Minato´s</t>
  </si>
  <si>
    <t>Hotel Bourboun Londrina</t>
  </si>
  <si>
    <t>Do Notebook</t>
  </si>
  <si>
    <t>habibis</t>
  </si>
  <si>
    <t xml:space="preserve">AES Eletopaulo </t>
  </si>
  <si>
    <t>Almoço no xopins</t>
  </si>
  <si>
    <t>Mais um pem-draive</t>
  </si>
  <si>
    <t>Cheque - 0010077 - Conseto TV</t>
  </si>
  <si>
    <t xml:space="preserve">Automotivo: Ituran Rastreamento </t>
  </si>
  <si>
    <t>Da ViViAne do El Botan</t>
  </si>
  <si>
    <t xml:space="preserve">Cheque - 0010076 - Cristiane </t>
  </si>
  <si>
    <t>Cheque - 0010078 - Desentupir privadas´s</t>
  </si>
  <si>
    <t>remédios de cabelo´s</t>
  </si>
  <si>
    <t>Desodoranteses</t>
  </si>
  <si>
    <t>Baterias cardiacas</t>
  </si>
  <si>
    <t>Cirurgias e remedios dajades</t>
  </si>
  <si>
    <t xml:space="preserve">Roupas da cristiane </t>
  </si>
  <si>
    <t>Witchblade – Masane Amaha PowerUp + Mary Evangelion</t>
  </si>
  <si>
    <t xml:space="preserve">Restaurante banri </t>
  </si>
  <si>
    <t>MAIS, digo M A I S  mercadi´s</t>
  </si>
  <si>
    <t xml:space="preserve">Correções </t>
  </si>
  <si>
    <t>Fatura Amex janeiro 2011</t>
  </si>
  <si>
    <t>Creditos prepagos</t>
  </si>
  <si>
    <t>Cheque - 010079 - Nova Geladeira´s</t>
  </si>
  <si>
    <t>JinJin Analias Franco´s</t>
  </si>
  <si>
    <t>Häageendas sorvetes</t>
  </si>
  <si>
    <t>Revistas da cristiane</t>
  </si>
  <si>
    <t>100% Video</t>
  </si>
  <si>
    <t>IPVA 2011</t>
  </si>
  <si>
    <t>DPVAT + LICENCIAMENTO</t>
  </si>
  <si>
    <t>Farmacias de Alergias e estomgos</t>
  </si>
  <si>
    <t>de-novo</t>
  </si>
  <si>
    <t>Jim Jimns</t>
  </si>
  <si>
    <t>Aluguel: Cheque - 010074 - seguro Aluguel (04/04)</t>
  </si>
  <si>
    <t>Almolço no xópin</t>
  </si>
  <si>
    <t>Mais e mais</t>
  </si>
  <si>
    <t>Coisas de casas</t>
  </si>
  <si>
    <t>Sporcaccionne´s</t>
  </si>
  <si>
    <t>Almoço bem no centro</t>
  </si>
  <si>
    <t xml:space="preserve">Cabo HDMI </t>
  </si>
  <si>
    <t xml:space="preserve">Cortar Kblos </t>
  </si>
  <si>
    <t>Alcoóis</t>
  </si>
  <si>
    <t>Hometheater: Condicionador de Energia HT</t>
  </si>
  <si>
    <t xml:space="preserve">Taxis pra trabalho </t>
  </si>
  <si>
    <t>Cordas wilia</t>
  </si>
  <si>
    <t>REMUNERACAO CONTAMAX</t>
  </si>
  <si>
    <t xml:space="preserve">Cabo Audio </t>
  </si>
  <si>
    <t>Cheque - 010080 - Cristiane dentista</t>
  </si>
  <si>
    <t xml:space="preserve">Automotivo: Ituran rastreamento </t>
  </si>
  <si>
    <t>Villa Julies</t>
  </si>
  <si>
    <t>Espolettu´s</t>
  </si>
  <si>
    <t>pACCOCCA´s</t>
  </si>
  <si>
    <t>Pras fraldas de O Armando</t>
  </si>
  <si>
    <t>Subway´s</t>
  </si>
  <si>
    <t xml:space="preserve">Rações de gatos </t>
  </si>
  <si>
    <t>Gardenais</t>
  </si>
  <si>
    <t>Sabonetes especiais</t>
  </si>
  <si>
    <t>Quase-tudo a parmegiana</t>
  </si>
  <si>
    <t>Magnopirois</t>
  </si>
  <si>
    <t>Morgãoes</t>
  </si>
  <si>
    <t>Almoços no morgãos</t>
  </si>
  <si>
    <t>JimJim do Xópins</t>
  </si>
  <si>
    <t>Lenche de paccocca´s</t>
  </si>
  <si>
    <t xml:space="preserve">Cofi de manhas </t>
  </si>
  <si>
    <t>rabibis</t>
  </si>
  <si>
    <t>Paralamas dianteiro esquerdo</t>
  </si>
  <si>
    <t>CREASP</t>
  </si>
  <si>
    <t>farmacias pra as mais diversas coisas</t>
  </si>
  <si>
    <t>Restaurante da paria</t>
  </si>
  <si>
    <t>Mais resturante da praia</t>
  </si>
  <si>
    <t>remuneração Conta Max</t>
  </si>
  <si>
    <t>Condominio março 2011</t>
  </si>
  <si>
    <t>Paes e sopas</t>
  </si>
  <si>
    <t>Enóis e bar-bea-dores</t>
  </si>
  <si>
    <t>Almoço no Cappelletto´s Doro´s</t>
  </si>
  <si>
    <t>Mercado´s</t>
  </si>
  <si>
    <t>Ban-rins</t>
  </si>
  <si>
    <t>rações de gatos e areias de cocos</t>
  </si>
  <si>
    <t>Sorvetes e leites</t>
  </si>
  <si>
    <t>Juca Lemão</t>
  </si>
  <si>
    <t>Evangelion Rei Ayanami - Motor Riders (peitos de silicone) (170126067)</t>
  </si>
  <si>
    <t>Remuneração conta-max</t>
  </si>
  <si>
    <t>Moir-Gão´s</t>
  </si>
  <si>
    <t>Brocas madeira e gotas de silicone´s</t>
  </si>
  <si>
    <t>Coisas de mulheres</t>
  </si>
  <si>
    <t>Figura Gurren Lagann - Yoko Swimwear Anime Sexy Figure</t>
  </si>
  <si>
    <t>Bakuretsu Tenshi - Sei - Alterf</t>
  </si>
  <si>
    <t>Automotivo: Ituram Rastreamnento S/A</t>
  </si>
  <si>
    <t>AmEx Março 2011</t>
  </si>
  <si>
    <t>Leitor De Códigos De Barras Elgin Bs313, Lê Danfe + Garantia</t>
  </si>
  <si>
    <t>Na-gumo´s</t>
  </si>
  <si>
    <t>Rabinbins</t>
  </si>
  <si>
    <t>Alcoois do Carry4</t>
  </si>
  <si>
    <t xml:space="preserve">Cheque - 040061 - Martelinhos Ouros </t>
  </si>
  <si>
    <t>Gato de Alice de presentes</t>
  </si>
  <si>
    <t>Almoço no Xopin Morumbiba's</t>
  </si>
  <si>
    <t>Marvel Bishoujo Statue – Rogue</t>
  </si>
  <si>
    <t>Rateio Consertos condominio</t>
  </si>
  <si>
    <t>Cheque - 000001 - Cursos Frances</t>
  </si>
  <si>
    <t>Camiseta promocional do Show do Iron Maiden</t>
  </si>
  <si>
    <t>Pizzas em casa do Sporccaccione's</t>
  </si>
  <si>
    <t xml:space="preserve">Gazzozza's </t>
  </si>
  <si>
    <t>Saque  - fundo de shows</t>
  </si>
  <si>
    <t>morgãos</t>
  </si>
  <si>
    <t>Eistras</t>
  </si>
  <si>
    <t>Para o Silveira Ref. Ao Advogado.</t>
  </si>
  <si>
    <t>Pipocas de cinema´s</t>
  </si>
  <si>
    <t>Automotivo: Ituram Sistemas de Rastreamento</t>
  </si>
  <si>
    <t>Multa de 16/03 e 18/04</t>
  </si>
  <si>
    <t>Cappelletto D'oro´s</t>
  </si>
  <si>
    <t xml:space="preserve">Potes para casa </t>
  </si>
  <si>
    <t>Cafeses de O Centro</t>
  </si>
  <si>
    <t>Remedios de gordos 2X</t>
  </si>
  <si>
    <t xml:space="preserve">Symbicort 12/400´S </t>
  </si>
  <si>
    <t>DO Willian</t>
  </si>
  <si>
    <t xml:space="preserve">Bluray do dacula </t>
  </si>
  <si>
    <t xml:space="preserve">Cafeses de xópins </t>
  </si>
  <si>
    <t>Almoço no Xopinho cenro</t>
  </si>
  <si>
    <t>YUMY Cosméticos</t>
  </si>
  <si>
    <t>Remuneração Ocnta MAX</t>
  </si>
  <si>
    <t>Farmácias de dores de cabeças</t>
  </si>
  <si>
    <t>Almoços no Cxpings</t>
  </si>
  <si>
    <t>Cheque - 000005 - Curso Cristiane</t>
  </si>
  <si>
    <t>Cheque - 000006 - Curso Cristiane</t>
  </si>
  <si>
    <t>Remuneração Cta MAX</t>
  </si>
  <si>
    <t>Fatura Amex</t>
  </si>
  <si>
    <t>DO santader</t>
  </si>
  <si>
    <t>Saque do Sandander</t>
  </si>
  <si>
    <t xml:space="preserve">Almoço no xópins </t>
  </si>
  <si>
    <t>Suporte de notebooks</t>
  </si>
  <si>
    <t>Escada e tomadas de conexões</t>
  </si>
  <si>
    <t xml:space="preserve">Lenches de Paccocca's </t>
  </si>
  <si>
    <t>Spoleto do Mapping</t>
  </si>
  <si>
    <t>Cofis de Manhas</t>
  </si>
  <si>
    <t>IRPF 2011 (01/07)</t>
  </si>
  <si>
    <t>Carregador automotivo N97</t>
  </si>
  <si>
    <t>Artigos Talheres Orientais</t>
  </si>
  <si>
    <t>Cafeses de Terdia</t>
  </si>
  <si>
    <t>Condominio Maio 2011</t>
  </si>
  <si>
    <t>Aluguel Maio 2011</t>
  </si>
  <si>
    <t>CDs Virges</t>
  </si>
  <si>
    <t>Mercadis cafeses terdes</t>
  </si>
  <si>
    <t>Celular tim</t>
  </si>
  <si>
    <t>Automotivo: Ituran Sistemas de rastreamento</t>
  </si>
  <si>
    <t>remuneração conta MAX</t>
  </si>
  <si>
    <t>compen-haggen</t>
  </si>
  <si>
    <t>Credito celular</t>
  </si>
  <si>
    <t>Cafeses de manhas na paccocca´s</t>
  </si>
  <si>
    <t>Remedios de Gatos</t>
  </si>
  <si>
    <t>GiraMundo´s</t>
  </si>
  <si>
    <t>Cabos de celulares</t>
  </si>
  <si>
    <t>Fones da cristine</t>
  </si>
  <si>
    <t>Celular Nokia N97 (01/02)</t>
  </si>
  <si>
    <t>Cheque - 000003 - CURSO CRISTIANE</t>
  </si>
  <si>
    <t>Cheiros para a casas</t>
  </si>
  <si>
    <t>Almoço do Xópins</t>
  </si>
  <si>
    <t>Symbicort 12/400´s</t>
  </si>
  <si>
    <t>Coisas de cafeses</t>
  </si>
  <si>
    <t>Ração, areias e moradias</t>
  </si>
  <si>
    <t>Filmes diversos de liquicações</t>
  </si>
  <si>
    <t>Cafeses do Frans</t>
  </si>
  <si>
    <t>Mais Remedios de grippe´s</t>
  </si>
  <si>
    <t>Fender Mini</t>
  </si>
  <si>
    <t>cafeses de xópins</t>
  </si>
  <si>
    <t>Capas de celulares e afins</t>
  </si>
  <si>
    <t>IRPF 2011 (02/07)</t>
  </si>
  <si>
    <t>Celular Nokia N97 (02/02)</t>
  </si>
  <si>
    <t>Aluguel Junho/2011</t>
  </si>
  <si>
    <t>Condominio Junho/2011</t>
  </si>
  <si>
    <t>Omeprazóis</t>
  </si>
  <si>
    <t>Saque para correios</t>
  </si>
  <si>
    <t>Auto Posto Pegasuss's</t>
  </si>
  <si>
    <t>Lenches de estredas</t>
  </si>
  <si>
    <t>Visarjana's</t>
  </si>
  <si>
    <t>Anti-alergicos-diversos</t>
  </si>
  <si>
    <t>Auto Posto SãoPedro</t>
  </si>
  <si>
    <t>Auto posto maristela's</t>
  </si>
  <si>
    <t>Quinta do marques</t>
  </si>
  <si>
    <t xml:space="preserve">Kit PSP 2000 </t>
  </si>
  <si>
    <t>So Santander</t>
  </si>
  <si>
    <t>Cafeses de Xopin no Homer</t>
  </si>
  <si>
    <t>Almoço no Xópins</t>
  </si>
  <si>
    <t>pro dia 12/06</t>
  </si>
  <si>
    <t>Mais Mercado</t>
  </si>
  <si>
    <t>Remuneraçao conta-Max</t>
  </si>
  <si>
    <t>Omeprazóis, evitar dor de cabeça, absvrt</t>
  </si>
  <si>
    <t>Vendas do M.L</t>
  </si>
  <si>
    <t>Cheque - 000004 - CURSO CRISTIANE</t>
  </si>
  <si>
    <t>Spedini</t>
  </si>
  <si>
    <t>Aquecedor, Anti-Mofo, caixas</t>
  </si>
  <si>
    <t>Cheque - 000008 - Rabibis</t>
  </si>
  <si>
    <t>Cata-Flan´s e Berna-Leti´s</t>
  </si>
  <si>
    <t>Férias e adiantamento</t>
  </si>
  <si>
    <t xml:space="preserve">Cheque - 000009 - Sofas (01/03) </t>
  </si>
  <si>
    <t>Shapes Bars crepparria's</t>
  </si>
  <si>
    <t>Areias de coco + Produto Anti-straga-Sofás</t>
  </si>
  <si>
    <t>The Burger Maps</t>
  </si>
  <si>
    <t>Pincel de limpar camera</t>
  </si>
  <si>
    <t xml:space="preserve">Pejama´s </t>
  </si>
  <si>
    <t>Pejamaś</t>
  </si>
  <si>
    <t>Cartão Cf 8 GB</t>
  </si>
  <si>
    <t>Extensor Fones Ouvidos</t>
  </si>
  <si>
    <t>Sopas e geletteś</t>
  </si>
  <si>
    <t>As cronicas Gelo &amp; Fogo I e II</t>
  </si>
  <si>
    <t>Yogurtes aeroportos</t>
  </si>
  <si>
    <t>Janterares</t>
  </si>
  <si>
    <t>Almoços Aguiras passeios Bugues</t>
  </si>
  <si>
    <t>Restaurante Fateixas Lagoinha</t>
  </si>
  <si>
    <t>Hotel Vila Gallé</t>
  </si>
  <si>
    <t>Coisas de Praias</t>
  </si>
  <si>
    <t>O Sapão</t>
  </si>
  <si>
    <t>Tudo Feito A Brasa</t>
  </si>
  <si>
    <t>Cheque - 000010 - Sofas (02/03)</t>
  </si>
  <si>
    <t>Custos Estadias Pousada do Nortes</t>
  </si>
  <si>
    <t>Remumeração conta Max</t>
  </si>
  <si>
    <t>Custos estadias Carmel</t>
  </si>
  <si>
    <t>Cafeses de Aeroportos Fortalezas</t>
  </si>
  <si>
    <t>Mercadis- cafeses</t>
  </si>
  <si>
    <t>Vivo Plano 3g 4GB (01/02)</t>
  </si>
  <si>
    <t>Vivo Plano 3g 4GB (02/02)</t>
  </si>
  <si>
    <t>Condominio Julho 2011</t>
  </si>
  <si>
    <t>Aluguel Julho 2011</t>
  </si>
  <si>
    <t>Automotivo: Ituran Julho 2011</t>
  </si>
  <si>
    <t>HD Segate 2 TB</t>
  </si>
  <si>
    <t>Venda de controle remoto PS2 DVD</t>
  </si>
  <si>
    <t>IRPF 2011 (03/07)</t>
  </si>
  <si>
    <t>Complemento do Aluguel</t>
  </si>
  <si>
    <t>Fitas adesivas de correios</t>
  </si>
  <si>
    <t>Presente do Jard.Net + Envio CRPS2DVD</t>
  </si>
  <si>
    <t>Cheque – 000012 – Revisão do GarGaMóvel</t>
  </si>
  <si>
    <t>Symbicort 12/400´s + TyLeNols Synus</t>
  </si>
  <si>
    <t>Remedios de estomgos</t>
  </si>
  <si>
    <t>Lenches de centreos</t>
  </si>
  <si>
    <t>Remuneração conta Max</t>
  </si>
  <si>
    <t>Casantiga Pizzerias</t>
  </si>
  <si>
    <t>Conserto do cêdê Pleier</t>
  </si>
  <si>
    <t>Rabnibis</t>
  </si>
  <si>
    <t>Coisas de janteres japonieses</t>
  </si>
  <si>
    <t>Almoços da liberdades</t>
  </si>
  <si>
    <t>Cafeses das liberdades</t>
  </si>
  <si>
    <t>Saque s</t>
  </si>
  <si>
    <t>Cheque - 000007 - Cursos</t>
  </si>
  <si>
    <t>Curso de scrapis</t>
  </si>
  <si>
    <t>Pau no cu do luzão</t>
  </si>
  <si>
    <t>IRPF 2011 (04/07)</t>
  </si>
  <si>
    <t>Churrascaria D'Brescia</t>
  </si>
  <si>
    <t>Cheque - 000011 - Sofas (03/03)</t>
  </si>
  <si>
    <t>Hometheater: JBL SCS 500.5 Shelf Stand</t>
  </si>
  <si>
    <t>Coffi de manhas de paccocca´s</t>
  </si>
  <si>
    <t>Lenche de estradias</t>
  </si>
  <si>
    <t>Mais Gazzozza´s</t>
  </si>
  <si>
    <t>Café da manha na paccocca</t>
  </si>
  <si>
    <t>Incor - cabos diversos</t>
  </si>
  <si>
    <t>Aero Lenches</t>
  </si>
  <si>
    <t>Multa I</t>
  </si>
  <si>
    <t>Multa II</t>
  </si>
  <si>
    <t>Mc Lance</t>
  </si>
  <si>
    <t>Paccoccas Cofis Monrin</t>
  </si>
  <si>
    <t>Manicures</t>
  </si>
  <si>
    <t>Doces e companhia</t>
  </si>
  <si>
    <t>VeroVerdes</t>
  </si>
  <si>
    <t>Gazzozza´s + Aditivos</t>
  </si>
  <si>
    <t>Saque-ADO</t>
  </si>
  <si>
    <t>Azia´s</t>
  </si>
  <si>
    <t>IRPF 2011 (05/07)</t>
  </si>
  <si>
    <t>JUROS CONTRATUAIS SOBRE LIMITE PERIODO: 01/08 A 31/08/11</t>
  </si>
  <si>
    <t>IOF IMPOSTO OPERACOES FINANCEIRAS PERIODO: 01/08 A 31/08/11</t>
  </si>
  <si>
    <t>IOF ADICIONAL - AUTOMATICO PERIODO: 01/08 A 31/08/11</t>
  </si>
  <si>
    <t>Pacccocca´s Portucales</t>
  </si>
  <si>
    <t>Game: Batman Arkahan Asylum</t>
  </si>
  <si>
    <t>Ra-Bibis</t>
  </si>
  <si>
    <t>Pizzas na paccocca´s</t>
  </si>
  <si>
    <t>Cafeses na paccocca´s</t>
  </si>
  <si>
    <t>mORgÃOS</t>
  </si>
  <si>
    <t>Es Botin</t>
  </si>
  <si>
    <t>BanRIs</t>
  </si>
  <si>
    <t>Paccocca´s apizzas</t>
  </si>
  <si>
    <t>Credito no celular do silveira</t>
  </si>
  <si>
    <t>Perfumarias pra casa</t>
  </si>
  <si>
    <t>Automotivo: Seguro (01/04)</t>
  </si>
  <si>
    <t>Gasosas</t>
  </si>
  <si>
    <t>Revistas de scrapins</t>
  </si>
  <si>
    <t>Cafeses no centos</t>
  </si>
  <si>
    <t>Tintas de cabelo´s</t>
  </si>
  <si>
    <t>Pizzas do Sporcacione´s</t>
  </si>
  <si>
    <t>IRPF 2011 (06/07)</t>
  </si>
  <si>
    <t>Boteco Maria Ó</t>
  </si>
  <si>
    <t>Fatura Real Santander Visa</t>
  </si>
  <si>
    <t>Do Site do batata</t>
  </si>
  <si>
    <t>JUROS CONTRATUAIS SOBRE LIMITE PERIODO: 01/09 A 30/09/11</t>
  </si>
  <si>
    <t>IOF IMPOSTO OPERACOES FINANCEIRAS PERIODO: 01/09 A 30/09/11</t>
  </si>
  <si>
    <t>IOF ADICIONAL - AUTOMATICO PERIODO: 01/09 A 30/09/11</t>
  </si>
  <si>
    <t>Credito em conta</t>
  </si>
  <si>
    <t>Fatura Celular Cristiane</t>
  </si>
  <si>
    <t>Anti-arranmhar coisas e areis</t>
  </si>
  <si>
    <t>Pizzas Sporcaccione´s</t>
  </si>
  <si>
    <t xml:space="preserve">Casa de Carnes </t>
  </si>
  <si>
    <t>Extratos de tomates</t>
  </si>
  <si>
    <t>No0ta Fiscal Paulista</t>
  </si>
  <si>
    <t>Heringues</t>
  </si>
  <si>
    <t>Cloro-Fila´s</t>
  </si>
  <si>
    <t>Mundial Calçados</t>
  </si>
  <si>
    <t>Cafeses no centros</t>
  </si>
  <si>
    <t>Mais Mercadi´s</t>
  </si>
  <si>
    <t>Susy Beauty</t>
  </si>
  <si>
    <t>Fatura EmEx</t>
  </si>
  <si>
    <t>Evitar dores de cabeças</t>
  </si>
  <si>
    <t>Coisas de Scrapi</t>
  </si>
  <si>
    <t>Mortandelas</t>
  </si>
  <si>
    <t>Saque do Santanders</t>
  </si>
  <si>
    <t>Paes de açucares</t>
  </si>
  <si>
    <t>Shababa´s</t>
  </si>
  <si>
    <t>Amendoce Comercials</t>
  </si>
  <si>
    <t>Almoços na Paulistas</t>
  </si>
  <si>
    <t>Starbucks Cafeses</t>
  </si>
  <si>
    <t>Cheque - 000013 - Lentes de cameras</t>
  </si>
  <si>
    <t>areia e raçao de gattos</t>
  </si>
  <si>
    <t>Jantares na paccocca´s</t>
  </si>
  <si>
    <t>Panos para coisas diversas</t>
  </si>
  <si>
    <t>Mais Materiais de Scrapis</t>
  </si>
  <si>
    <t>Merecadi´s</t>
  </si>
  <si>
    <t>Mais 1 Tentativa</t>
  </si>
  <si>
    <t>Academia para cristiane</t>
  </si>
  <si>
    <t>Amendocês</t>
  </si>
  <si>
    <t xml:space="preserve">Almoço no centreos </t>
  </si>
  <si>
    <t>Gazzozza´S</t>
  </si>
  <si>
    <t>Omeprazois</t>
  </si>
  <si>
    <t xml:space="preserve">Gardenais e seringas </t>
  </si>
  <si>
    <t>Roupas de KDMias</t>
  </si>
  <si>
    <t>IRPF 2011 (07/07)</t>
  </si>
  <si>
    <t>Pizzas paccocca´s</t>
  </si>
  <si>
    <t>Automotivo: Seguro 2012 (02/04)</t>
  </si>
  <si>
    <t>Condominio - OUTUBRO 2011</t>
  </si>
  <si>
    <t>JUROS CONTRATUAIS SOBRE LIMITE PERIODO: 01/10 A 31/10/11</t>
  </si>
  <si>
    <t>IOF IMPOSTO OPERACOES FINANCEIRAS PERIODO: 01/10 A 31/10/11</t>
  </si>
  <si>
    <t>IOF ADICIONAL - AUTOMATICO PERIODO: 01/10 A 31/10/11</t>
  </si>
  <si>
    <t>Symbicort 12/400 cicatricure´s</t>
  </si>
  <si>
    <t>Frango´s Assado´s</t>
  </si>
  <si>
    <t xml:space="preserve">Game: Batman - Arkham City </t>
  </si>
  <si>
    <t>Mais e mais mercadi´s</t>
  </si>
  <si>
    <t>Deposito da Patricia do Salão</t>
  </si>
  <si>
    <t>Aluguel Novembro</t>
  </si>
  <si>
    <t>Quase-Tudo-Parmegiana´s</t>
  </si>
  <si>
    <t xml:space="preserve">Meias Novas </t>
  </si>
  <si>
    <t>Red Wood´s</t>
  </si>
  <si>
    <t xml:space="preserve">No GarGaMovel </t>
  </si>
  <si>
    <t>Nidonto Cristiane</t>
  </si>
  <si>
    <t>Mais mercadi´s</t>
  </si>
  <si>
    <t xml:space="preserve">Cheque - 000014 - Dentista Cristiane </t>
  </si>
  <si>
    <t>Mais mercaids</t>
  </si>
  <si>
    <t xml:space="preserve">balança de pesos </t>
  </si>
  <si>
    <t>Cabo Adaptador OS/2 - USB</t>
  </si>
  <si>
    <t xml:space="preserve">Asian Express </t>
  </si>
  <si>
    <t>Roupas exportivas</t>
  </si>
  <si>
    <t>Papeis Nivaldir</t>
  </si>
  <si>
    <t>Ban-RI</t>
  </si>
  <si>
    <t>Remédios de Unhas</t>
  </si>
  <si>
    <t>Cafeses de Terde Liberty</t>
  </si>
  <si>
    <t xml:space="preserve">Maius Mercadi´s </t>
  </si>
  <si>
    <t>KDMia Cristiane</t>
  </si>
  <si>
    <t>João Caitano´s</t>
  </si>
  <si>
    <t>Presentes da Patricia/Gabriella</t>
  </si>
  <si>
    <t>Pizzas em casa da paccocca´s</t>
  </si>
  <si>
    <t>Habibi´s</t>
  </si>
  <si>
    <t>cheque - 000015 - perfume Essencials meu</t>
  </si>
  <si>
    <t>cheque - 000015 - perfume Essencials Cristiane</t>
  </si>
  <si>
    <t>cheque - 000015 - Perfumes locoes patricia Gabriella</t>
  </si>
  <si>
    <t>Pizza´s no Batata´s</t>
  </si>
  <si>
    <t>Cofi de manha´s na paccocca´s</t>
  </si>
  <si>
    <t>Extas</t>
  </si>
  <si>
    <t>Automotivo: Seguro 2012 (03/04)</t>
  </si>
  <si>
    <t>Aluguel Dezembro/2011</t>
  </si>
  <si>
    <t>Aulas do frances</t>
  </si>
  <si>
    <t>JUROS CONTRATUAIS SOBRE LIMITE PERIODO: 01/11 A 30/11/11</t>
  </si>
  <si>
    <t>IOF IMPOSTO OPERACOES FINANCEIRAS PERIODO: 01/11 A 30/11/11</t>
  </si>
  <si>
    <t>IOF ADICIONAL - AUTOMATICO PERIODO: 01/11 A 30/11/11</t>
  </si>
  <si>
    <t>Jantares no Xópin Mapping ABC</t>
  </si>
  <si>
    <t>Coisas para noites mexicana´s</t>
  </si>
  <si>
    <t>Metal CD presente Gabriella</t>
  </si>
  <si>
    <t>Morgâos</t>
  </si>
  <si>
    <t xml:space="preserve">Mais mercadiu´s Eixtra </t>
  </si>
  <si>
    <t>Mouse COM FIO da Microsofr</t>
  </si>
  <si>
    <t>Areias de Cocoôs de Gattos</t>
  </si>
  <si>
    <t>Automotivo: Seguro 2012 (04/04)</t>
  </si>
  <si>
    <t>MorGão´s</t>
  </si>
  <si>
    <t>IRPF 2010 (00/07) + MULTA + Juros</t>
  </si>
  <si>
    <t>Pizzas em casa do Sporcaccione´s</t>
  </si>
  <si>
    <t>Cheque - 000016 - Coisas de Scrap Buquin</t>
  </si>
  <si>
    <t>Almoço na Paulista´s - American´s</t>
  </si>
  <si>
    <t>Cremes dentais</t>
  </si>
  <si>
    <t>Cofis de Manha´s na paccocca´s</t>
  </si>
  <si>
    <t>Almoço na liberdade's</t>
  </si>
  <si>
    <t>Gata-Mia</t>
  </si>
  <si>
    <t>Batmovel + BatChaveiro</t>
  </si>
  <si>
    <t>Presentes da Gabriella's</t>
  </si>
  <si>
    <t>Revelação de fotias</t>
  </si>
  <si>
    <t>Cheque - 000017 - Conertar cabelo</t>
  </si>
  <si>
    <t>Correio´s</t>
  </si>
  <si>
    <t>Guesto Pasta</t>
  </si>
  <si>
    <t>Velas de luzes</t>
  </si>
  <si>
    <t>Barras de cereais e coisas diversas</t>
  </si>
  <si>
    <t>Mais presentes patricia</t>
  </si>
  <si>
    <t>Bijus diversas</t>
  </si>
  <si>
    <t>Burguers Kingues</t>
  </si>
  <si>
    <t>Roupas de kdmias</t>
  </si>
  <si>
    <t>Asian ExPress</t>
  </si>
  <si>
    <t>Coisas de cabelo´s</t>
  </si>
  <si>
    <t>Carefourtos</t>
  </si>
  <si>
    <t>Credito celular 43-9968-3745</t>
  </si>
  <si>
    <t>Credito Celular 41-9603-4984</t>
  </si>
  <si>
    <t>chocolate pra galera</t>
  </si>
  <si>
    <t xml:space="preserve">Sandisk 8GB </t>
  </si>
  <si>
    <t>Cafezes do Homer´s</t>
  </si>
  <si>
    <t>Telefone celular novo so Silvera</t>
  </si>
  <si>
    <t>Roupas Novas de anos novos</t>
  </si>
  <si>
    <t>Sorvetes de ano novo</t>
  </si>
  <si>
    <t>Ome-Prazóis</t>
  </si>
  <si>
    <t>Condominio Janeiro 2012</t>
  </si>
  <si>
    <t>Aluguel Janeiro 2012</t>
  </si>
  <si>
    <t>IOF IMPOSTO OPERACOES FINANCEIRAS PERIODO: 01/12 A 31/12/11</t>
  </si>
  <si>
    <t>IOF ADICIONAL - AUTOMATICO PERIODO: 01/12 A 31/12/11</t>
  </si>
  <si>
    <t>Vitória Regiua´s</t>
  </si>
  <si>
    <t>conta corrente</t>
  </si>
  <si>
    <t>Raçoes e areias de cocôs</t>
  </si>
  <si>
    <t>Si señor Mexiacan Grill</t>
  </si>
  <si>
    <t>IPVA 2012</t>
  </si>
  <si>
    <t>Fatura tim CRISTIANE</t>
  </si>
  <si>
    <t>Cheque - 0000021  - Kdmias Luiz</t>
  </si>
  <si>
    <t>Cheque - 0000021  - Kdmias Cristiane</t>
  </si>
  <si>
    <t>Cadeira de escritórios</t>
  </si>
  <si>
    <t xml:space="preserve">Saque do SanTanDer </t>
  </si>
  <si>
    <t>Sporcacione pizzerias</t>
  </si>
  <si>
    <t>Palacio Tai Chi</t>
  </si>
  <si>
    <t>òculos de sóis novos</t>
  </si>
  <si>
    <t>DVDs de Batemas</t>
  </si>
  <si>
    <t>Perfume UDV Joop</t>
  </si>
  <si>
    <t>Pantogar + Advil + diversos</t>
  </si>
  <si>
    <t>Boteco Maria</t>
  </si>
  <si>
    <t>Remuneração Conta MAX</t>
  </si>
  <si>
    <t>Celular LG p6970</t>
  </si>
  <si>
    <t>Coisas de comeres na paccocca´s</t>
  </si>
  <si>
    <t>pra evitar dores de cabeças</t>
  </si>
  <si>
    <t xml:space="preserve">Cortar Caabelos </t>
  </si>
  <si>
    <t>Game: Uncharted 3</t>
  </si>
  <si>
    <t>Roupas de KDMIAs</t>
  </si>
  <si>
    <t>Mais outro òculos Novos</t>
  </si>
  <si>
    <t>Gatorade´s</t>
  </si>
  <si>
    <t>Burguer MAPs</t>
  </si>
  <si>
    <t xml:space="preserve">Cheque - 000022 - Livro Cristiane </t>
  </si>
  <si>
    <t>Rouse Bat-Molduras</t>
  </si>
  <si>
    <t>Cadeia de escritório da cristiane</t>
  </si>
  <si>
    <t>remedios de dores de cabeça</t>
  </si>
  <si>
    <t xml:space="preserve">Roupas Novas I </t>
  </si>
  <si>
    <t>Roupas Novas II</t>
  </si>
  <si>
    <t>Roupas Novas III</t>
  </si>
  <si>
    <t xml:space="preserve">Frandas </t>
  </si>
  <si>
    <t>Pomadas de dores musculares</t>
  </si>
  <si>
    <t xml:space="preserve">IPTU 2012 (01/10) </t>
  </si>
  <si>
    <t>Devil May Cry 4 + Golden Axe B.R.</t>
  </si>
  <si>
    <t>Cheque - 000023 - Juão Caitano</t>
  </si>
  <si>
    <t>Cheque - 000023 - Kdmia Juao Caitano</t>
  </si>
  <si>
    <t>Sorvertes de xópins</t>
  </si>
  <si>
    <t>Tintas de Impressoras</t>
  </si>
  <si>
    <t>Materiais escolares</t>
  </si>
  <si>
    <t>Vcoisas de cabelos</t>
  </si>
  <si>
    <t>China in House</t>
  </si>
  <si>
    <t>Açougues e coisas de comer</t>
  </si>
  <si>
    <t>Sorvetes e coisas diversas</t>
  </si>
  <si>
    <t>Nuestro Biff</t>
  </si>
  <si>
    <t>Saque do santandetr</t>
  </si>
  <si>
    <t>Celular TIM ??</t>
  </si>
  <si>
    <t>Pizza na Predras</t>
  </si>
  <si>
    <t>Estacionamento no The Burguer MAPs</t>
  </si>
  <si>
    <t>Remuneracao Conta MAX</t>
  </si>
  <si>
    <t>Almoço na figureira´s</t>
  </si>
  <si>
    <t>Correção dos juros</t>
  </si>
  <si>
    <t>Almoço no Xópings</t>
  </si>
  <si>
    <t>Cerveja do Homer</t>
  </si>
  <si>
    <t>Darth Vader + Eddie TFF + Bishoujo BatGirl</t>
  </si>
  <si>
    <t>Almoço no The Fifties</t>
  </si>
  <si>
    <t>Star Wars - Completo BD</t>
  </si>
  <si>
    <t>Eddie - Piece Of Mind</t>
  </si>
  <si>
    <t>Areias de cocos de gato´s</t>
  </si>
  <si>
    <t>Cafeses no Fans Cafeses</t>
  </si>
  <si>
    <t>BAN-ri Comercial</t>
  </si>
  <si>
    <t>Remédios de e para evitat dores de cabeças</t>
  </si>
  <si>
    <t>Cheque - 000024 - Moveis para os A.F.s</t>
  </si>
  <si>
    <t>Pizza na paccocca´s</t>
  </si>
  <si>
    <t>Almoço no Xópin Mápin</t>
  </si>
  <si>
    <t>Sorvete No Xópin Mápin</t>
  </si>
  <si>
    <t>Lasagnas de mercadis</t>
  </si>
  <si>
    <t>Almoço no xópins Praza</t>
  </si>
  <si>
    <t>Bermudas de KDMIas</t>
  </si>
  <si>
    <t>Red Wook Steak House</t>
  </si>
  <si>
    <t>Alugue Março / 2012</t>
  </si>
  <si>
    <t xml:space="preserve">IPTU 2012 (02/10) </t>
  </si>
  <si>
    <t xml:space="preserve">EletroPAulo </t>
  </si>
  <si>
    <t>Presente de A gaby</t>
  </si>
  <si>
    <t>Gaviscon e BusComPAn</t>
  </si>
  <si>
    <t>Almomo no xópin SCS</t>
  </si>
  <si>
    <t>cafeses do Istar Buques</t>
  </si>
  <si>
    <t>Asian Legend´s</t>
  </si>
  <si>
    <t>Esmautes de Unhas</t>
  </si>
  <si>
    <t>Mais mercadi's</t>
  </si>
  <si>
    <t>Credito pra d. ApCida</t>
  </si>
  <si>
    <t>Cheque - 000026 - Tratamento Gordo</t>
  </si>
  <si>
    <t xml:space="preserve">Sapatos e Cinto Novo </t>
  </si>
  <si>
    <t>Novo MiniNote/Net Book HP - Pavillion DM1-3260br</t>
  </si>
  <si>
    <t>Adaptadores de tomadas</t>
  </si>
  <si>
    <t>Presente de O Lucas de A Pattricia</t>
  </si>
  <si>
    <t>Cheque - 000028 - Juão Caitano</t>
  </si>
  <si>
    <t>Cheque - 000028 - Kdmia Juao Caitano</t>
  </si>
  <si>
    <t>Leite NAM e sorvetes</t>
  </si>
  <si>
    <t xml:space="preserve">Fatura da Dell pra troca do monitor </t>
  </si>
  <si>
    <t>Remuineração conta MAX</t>
  </si>
  <si>
    <t>Aulas de Francêis</t>
  </si>
  <si>
    <t>Spocrcaciones Pizzas em casa</t>
  </si>
  <si>
    <t xml:space="preserve">RedWood </t>
  </si>
  <si>
    <t>Reistencias de chuveiros</t>
  </si>
  <si>
    <t xml:space="preserve">Chuveiro Novo </t>
  </si>
  <si>
    <t>Phamacus</t>
  </si>
  <si>
    <t>NaGuMo´s</t>
  </si>
  <si>
    <t xml:space="preserve">Remédios de Gordos </t>
  </si>
  <si>
    <t>Rabibits</t>
  </si>
  <si>
    <t>Limopeza Faciais</t>
  </si>
  <si>
    <t>Coisas de cozinhas</t>
  </si>
  <si>
    <t>roupas novas?</t>
  </si>
  <si>
    <t xml:space="preserve">IPTU 2012 (03/10) </t>
  </si>
  <si>
    <t>Aluguel: Seguro Fiança (01/04)</t>
  </si>
  <si>
    <t xml:space="preserve">Fatura TIM - Antiga </t>
  </si>
  <si>
    <t>Fatura TIM - Nova</t>
  </si>
  <si>
    <t>Mercado naghumo</t>
  </si>
  <si>
    <t>Automotivo: Itura Sistema de Rastreameno</t>
  </si>
  <si>
    <t>extra Ipiranguinha</t>
  </si>
  <si>
    <t>Mais um novo Grill´s</t>
  </si>
  <si>
    <t>Insecto de plastico para gactos</t>
  </si>
  <si>
    <t>Mais Uma Mercadi´s</t>
  </si>
  <si>
    <t>SuperMercado Mais vezes</t>
  </si>
  <si>
    <t>Cheque - 000027 - Tratamento Gordo</t>
  </si>
  <si>
    <t>Cheque - 000029 - Dentista Cristiane´s</t>
  </si>
  <si>
    <t>Estacionamento no The Burguer MPAS</t>
  </si>
  <si>
    <t xml:space="preserve">Cheque - 000030 - CAQbelos </t>
  </si>
  <si>
    <t>Patogar + Yasmins</t>
  </si>
  <si>
    <t>Naguhomos</t>
  </si>
  <si>
    <t>Aulas de Franceis</t>
  </si>
  <si>
    <t>Mais MerCaDi´s</t>
  </si>
  <si>
    <t>OutBequi</t>
  </si>
  <si>
    <t>coisas de escritórios?</t>
  </si>
  <si>
    <t>Bebedouros novos</t>
  </si>
  <si>
    <t>Tesoura de pelos de narizes</t>
  </si>
  <si>
    <t>Pizzas em casa's</t>
  </si>
  <si>
    <t>Ban´ri´s</t>
  </si>
  <si>
    <t xml:space="preserve">IRPF 2012 (01/08) </t>
  </si>
  <si>
    <t>Açougue´s</t>
  </si>
  <si>
    <t xml:space="preserve">IPTU 2012 (04/10) </t>
  </si>
  <si>
    <t>Aluguel: Seguro Fiança (02/04)</t>
  </si>
  <si>
    <t>IOFs</t>
  </si>
  <si>
    <t>coisas de escritórios</t>
  </si>
  <si>
    <t>porta-fontes-de-notebuques</t>
  </si>
  <si>
    <t>Remédios DE dores de cabeças</t>
  </si>
  <si>
    <t>Estacionamentosa no The Burguer Maps</t>
  </si>
  <si>
    <t>Gardenais e Seringas</t>
  </si>
  <si>
    <t>saque do santander</t>
  </si>
  <si>
    <t>Maiks Burguer Kings</t>
  </si>
  <si>
    <t>Shá-babis</t>
  </si>
  <si>
    <t>Alinhamento + Baolnceamento e Consero de rodas</t>
  </si>
  <si>
    <t>Fluidos diversos à 17089</t>
  </si>
  <si>
    <t>Remédios de gripes</t>
  </si>
  <si>
    <t>Pizzas emcasa</t>
  </si>
  <si>
    <t>cafeses na estradas</t>
  </si>
  <si>
    <t xml:space="preserve">H2 Chopps londrina </t>
  </si>
  <si>
    <t>Changai Araponga</t>
  </si>
  <si>
    <t>Giraffa´s Apucarana´s</t>
  </si>
  <si>
    <t>Gazzozza´s appucartana´s</t>
  </si>
  <si>
    <t>RodoSnack</t>
  </si>
  <si>
    <t>Mais Mercaid´s</t>
  </si>
  <si>
    <t>REMUNERACAO CONTAMAX CDB</t>
  </si>
  <si>
    <t>Pro ItaU</t>
  </si>
  <si>
    <t>Sopões Maggies</t>
  </si>
  <si>
    <t>Pizzas na Vitória regias</t>
  </si>
  <si>
    <t>Asian Express</t>
  </si>
  <si>
    <t>Calças de moletons</t>
  </si>
  <si>
    <t>Malk ???</t>
  </si>
  <si>
    <t xml:space="preserve">gaZZOZZas </t>
  </si>
  <si>
    <t>Café da manha na paccocca´s</t>
  </si>
  <si>
    <t>Almoço em Campos de O Jeordeão</t>
  </si>
  <si>
    <t>Canivete Suiço + bainha + Carteira</t>
  </si>
  <si>
    <t>Cachecóis e toucas</t>
  </si>
  <si>
    <t>chocolates da Tarde</t>
  </si>
  <si>
    <t xml:space="preserve">Cintos Novos </t>
  </si>
  <si>
    <t>saque do SanTanDer</t>
  </si>
  <si>
    <t>Cachecóis Novos</t>
  </si>
  <si>
    <t>Almoços no Maniti´s em Campos Jordão</t>
  </si>
  <si>
    <t>Cafeses e chocolates quentes</t>
  </si>
  <si>
    <t>Areias de cocôs de gatos</t>
  </si>
  <si>
    <t>Cafeses no Start Buckes</t>
  </si>
  <si>
    <t>Pizzas em casa do Sporcacciones</t>
  </si>
  <si>
    <t xml:space="preserve">WitchBlade resina 30cm </t>
  </si>
  <si>
    <t>Cafes no Donuts Brasil</t>
  </si>
  <si>
    <t>Remedíos de azias/dores de cabeças e evitar</t>
  </si>
  <si>
    <t>Fraldas da Gaby´s</t>
  </si>
  <si>
    <t>Revelar fotos</t>
  </si>
  <si>
    <t>Máscara do Inanaldor</t>
  </si>
  <si>
    <t>Coquinhas e salgadinho´s</t>
  </si>
  <si>
    <t>anti-alergicos</t>
  </si>
  <si>
    <t xml:space="preserve">IRPF 2012 (02/08) </t>
  </si>
  <si>
    <t>EletrôPAulô</t>
  </si>
  <si>
    <t xml:space="preserve">IPTU 2012 (05/10) </t>
  </si>
  <si>
    <t>Aluguel: Seguro Fiança (03/04)</t>
  </si>
  <si>
    <t>Pizzas em casa do Spporcaccionne</t>
  </si>
  <si>
    <t xml:space="preserve">IOF do periodo </t>
  </si>
  <si>
    <t xml:space="preserve">IOF Adicional </t>
  </si>
  <si>
    <t>Harley Quinn</t>
  </si>
  <si>
    <t>Fantoches de dedos da Gaby´s</t>
  </si>
  <si>
    <t>Filtro Macro + Kits de limpeza de lentes</t>
  </si>
  <si>
    <t>Phone de ouvido Mega Blaster Power Phillips</t>
  </si>
  <si>
    <t>Pendrive Sandisck Cruizer FIT 8 GB</t>
  </si>
  <si>
    <t>Estacionamento na Paulistas</t>
  </si>
  <si>
    <t>Batman: Arkham Asylum Full Armored</t>
  </si>
  <si>
    <t>Pringles + MMs</t>
  </si>
  <si>
    <t>Camiseta do Batman (HUHUHU)</t>
  </si>
  <si>
    <t>Coquinhas de cinemas</t>
  </si>
  <si>
    <t>BanRi Comercial</t>
  </si>
  <si>
    <t>Set do Death note + Mouse Pads</t>
  </si>
  <si>
    <t>Cheque - 000031 - Ryuku do Death Note</t>
  </si>
  <si>
    <t xml:space="preserve">Remedios diversos </t>
  </si>
  <si>
    <t>Paes e diversos da Vitoria Regia</t>
  </si>
  <si>
    <t>coisas de cosinha e lamparina power</t>
  </si>
  <si>
    <t>lampada de lamprarina</t>
  </si>
  <si>
    <t>coias de paccoccas</t>
  </si>
  <si>
    <t>óMaria, Ó</t>
  </si>
  <si>
    <t>Extra Ipiranguinha´s</t>
  </si>
  <si>
    <t xml:space="preserve">Conta telefonica da TIM </t>
  </si>
  <si>
    <t>Kappa SuShis</t>
  </si>
  <si>
    <t>Cafaeses no Xópins</t>
  </si>
  <si>
    <t>Cafese de Terdes</t>
  </si>
  <si>
    <t>Café da manha na padoda</t>
  </si>
  <si>
    <t>Mais cafpé de manha</t>
  </si>
  <si>
    <t>Gazozza no GarGaMóvel 3.0</t>
  </si>
  <si>
    <t>Automotivo: Ituran Sistema de rastramento</t>
  </si>
  <si>
    <t>Cofe de manha na paccocca´s</t>
  </si>
  <si>
    <t xml:space="preserve">Sporcaccione´s </t>
  </si>
  <si>
    <t>Symbicort 12/400 + Ome-Praqzol</t>
  </si>
  <si>
    <t>Ração + areia de CocÔ</t>
  </si>
  <si>
    <t>MorGãoS</t>
  </si>
  <si>
    <t xml:space="preserve">Lanche da Tarde </t>
  </si>
  <si>
    <t>Software: Licenção do Office 2010 Pro</t>
  </si>
  <si>
    <t xml:space="preserve">Spoletto do Xópin Mapin </t>
  </si>
  <si>
    <t>Yamato XuXi's</t>
  </si>
  <si>
    <t>Cremes de Kblos</t>
  </si>
  <si>
    <t>Revisão de 20k do GGM3</t>
  </si>
  <si>
    <t xml:space="preserve">Café de manhas </t>
  </si>
  <si>
    <t>IRPF 2012 (03/08)</t>
  </si>
  <si>
    <t>òculos escuros novos da cristiane</t>
  </si>
  <si>
    <t>Game: Max Payne III</t>
  </si>
  <si>
    <t>Novo Cabo HDMI</t>
  </si>
  <si>
    <t>RayBans novos Meu</t>
  </si>
  <si>
    <t>Red Wood Stake House</t>
  </si>
  <si>
    <t>Gazozza no GarGaMovel 3</t>
  </si>
  <si>
    <t xml:space="preserve">IPTU 2012 (06/10) </t>
  </si>
  <si>
    <t>Aluguel: Seguro Fiança (04/04)</t>
  </si>
  <si>
    <t>PARA O iTAu</t>
  </si>
  <si>
    <t>desodorizantes e AdVirls</t>
  </si>
  <si>
    <t>Lousas e voisasd diversas</t>
  </si>
  <si>
    <t xml:space="preserve">Pipopcas de cinemas </t>
  </si>
  <si>
    <t>Remédios de cabelos</t>
  </si>
  <si>
    <t>Remedios de evitar dores de cabeça</t>
  </si>
  <si>
    <t>Amendocê comerciall</t>
  </si>
  <si>
    <t>Armarinhos Fernandos</t>
  </si>
  <si>
    <t xml:space="preserve">Cheque - 000032 - Kdmia Luiz </t>
  </si>
  <si>
    <t>Cheque - 000032 - Kdmia criastiane</t>
  </si>
  <si>
    <t>Amortecedores do Porta-Malças</t>
  </si>
  <si>
    <t>Pizzas em casa do Spporcacciones</t>
  </si>
  <si>
    <t>StarBuckes</t>
  </si>
  <si>
    <t>Coisas de pintar cabelos</t>
  </si>
  <si>
    <t>Produtos para corrigir a cor do cabelos</t>
  </si>
  <si>
    <t>No MorGãos</t>
  </si>
  <si>
    <t>Mercados e a mais mercados</t>
  </si>
  <si>
    <t>Lâminas de Bareador eletrico HQ56 - para HG6695</t>
  </si>
  <si>
    <t>I´m Batman</t>
  </si>
  <si>
    <t>Café donutes</t>
  </si>
  <si>
    <t>ban-Ris</t>
  </si>
  <si>
    <t xml:space="preserve">Utensilions de cuzinhas </t>
  </si>
  <si>
    <t>Pizzas Charles Chaplins</t>
  </si>
  <si>
    <t>Pantogar, pasta de dentes remedios de dores de cabeças</t>
  </si>
  <si>
    <t>Roupas de KDMIAS</t>
  </si>
  <si>
    <t>Cafeses de sópins</t>
  </si>
  <si>
    <t>Cafeses de a AtARDER</t>
  </si>
  <si>
    <t>Enconstos de costas de camas</t>
  </si>
  <si>
    <t>Spporccaccionnes</t>
  </si>
  <si>
    <t>Lampadas e reatore de lampadas</t>
  </si>
  <si>
    <t>Papeis de scrap</t>
  </si>
  <si>
    <t>Sin Señor Mexican Grill</t>
  </si>
  <si>
    <t>IRPF 2012 (04/08)</t>
  </si>
  <si>
    <t>Agosto /2012</t>
  </si>
  <si>
    <t>Pinks Sapatos</t>
  </si>
  <si>
    <t>Multi Coisas Pilhas e adesivos</t>
  </si>
  <si>
    <t>IOF ADICIONAL - AUTOMATICO PERIODO: 01/07 A 31/07/12</t>
  </si>
  <si>
    <t>IOF IMPOSTO OPERACOES FINANCEIRAS PERIODO: 01/07 A 31/07/12</t>
  </si>
  <si>
    <t>Vevey Comercio ?</t>
  </si>
  <si>
    <t>Gazzossas</t>
  </si>
  <si>
    <t>Coisas Artesanais?</t>
  </si>
  <si>
    <t>Areias de cocoo</t>
  </si>
  <si>
    <t xml:space="preserve">Cheque - 000033 - Kdmia Luiz </t>
  </si>
  <si>
    <t>Cheque - 000033 - Kdmia criastiane</t>
  </si>
  <si>
    <t>Papeis de Scrap</t>
  </si>
  <si>
    <t>talheres da Grabriella</t>
  </si>
  <si>
    <t>Lavagem de Cobertores</t>
  </si>
  <si>
    <t>Sporcacione</t>
  </si>
  <si>
    <t>Equipamentos de fotos</t>
  </si>
  <si>
    <t>anéis diversos</t>
  </si>
  <si>
    <t>Shuriken de ninjas</t>
  </si>
  <si>
    <t xml:space="preserve">Bolsas novas </t>
  </si>
  <si>
    <t>Estacionmento da Fnac</t>
  </si>
  <si>
    <t>Saque par ao iPhone 4s da cristiane</t>
  </si>
  <si>
    <t>COMIDAS Meexicans expressas</t>
  </si>
  <si>
    <t>cafeses na fnacs</t>
  </si>
  <si>
    <t>estacionamento na fnacs</t>
  </si>
  <si>
    <t xml:space="preserve">Lacto-purga´s </t>
  </si>
  <si>
    <t>Hortifrutiatria</t>
  </si>
  <si>
    <t>Cafes do KopenHaggen</t>
  </si>
  <si>
    <t>Peg Faça pregos anti mofos</t>
  </si>
  <si>
    <t>Extorno do AmEx</t>
  </si>
  <si>
    <t>Aparadores de Livros para Livros</t>
  </si>
  <si>
    <t>Afiar Alicates + esmaltes</t>
  </si>
  <si>
    <t>Cama BOX e demais coisas</t>
  </si>
  <si>
    <t>Cafes no centors</t>
  </si>
  <si>
    <t>Cama colchão e lençois</t>
  </si>
  <si>
    <t>Mais mercadis e coisas pra ve o Batima</t>
  </si>
  <si>
    <t>Cheque - 000035 - Martelinhop D'oro</t>
  </si>
  <si>
    <t>Cafes no Starbucks</t>
  </si>
  <si>
    <t>Batman - Vitoria Sombria</t>
  </si>
  <si>
    <t>Batman - A luva Negra</t>
  </si>
  <si>
    <t>Batman cavaeiro das trevas</t>
  </si>
  <si>
    <t>Laranja Mecanica</t>
  </si>
  <si>
    <t>Cheque - 000036- cabeleireiros</t>
  </si>
  <si>
    <t>Salgados de A Tarde</t>
  </si>
  <si>
    <t>Chaves Yallens</t>
  </si>
  <si>
    <t>Habibis em acas</t>
  </si>
  <si>
    <t>Gazzozza´s no GarGaMóvel</t>
  </si>
  <si>
    <t>Almoço no Shopping SCS - Amercian´s</t>
  </si>
  <si>
    <t>Roupas novas de a C&amp;A</t>
  </si>
  <si>
    <t>Diferença para o encardernardo de Os Vingadores</t>
  </si>
  <si>
    <t>Cafeses de Dentro de A Saraiva</t>
  </si>
  <si>
    <t>Roupas Novas de A herinque</t>
  </si>
  <si>
    <t>Cafes do banRis</t>
  </si>
  <si>
    <t>Lanches no mercadão de So</t>
  </si>
  <si>
    <t>Saque de conta</t>
  </si>
  <si>
    <t xml:space="preserve">Bijouix </t>
  </si>
  <si>
    <t xml:space="preserve">Ban Ris </t>
  </si>
  <si>
    <t>Tinturas de cabeçlos</t>
  </si>
  <si>
    <t xml:space="preserve">Paccocca´s ? </t>
  </si>
  <si>
    <t>Lavagemm dos dois gatos</t>
  </si>
  <si>
    <t>O  Bbitucário</t>
  </si>
  <si>
    <t>Symbicort 12/400s + Proterores Solares</t>
  </si>
  <si>
    <t>Remedio de dores de cabeça + paste de Dentes</t>
  </si>
  <si>
    <t>Pitiça rutes</t>
  </si>
  <si>
    <t>Saque para viagens</t>
  </si>
  <si>
    <t>CABELEILEIROS</t>
  </si>
  <si>
    <t>Livro dos Vorazes</t>
  </si>
  <si>
    <t>Livro pro sergio</t>
  </si>
  <si>
    <t>cafes no aeroportos</t>
  </si>
  <si>
    <t>Janteres dno sincato do shoppes</t>
  </si>
  <si>
    <t>Almoços na praias</t>
  </si>
  <si>
    <t>roupas intimas n'Americanas</t>
  </si>
  <si>
    <t>cafeses de A Terders</t>
  </si>
  <si>
    <t>The Planet Shopps</t>
  </si>
  <si>
    <t>na praia de grumari´s</t>
  </si>
  <si>
    <t>Browbies</t>
  </si>
  <si>
    <t>Cervas e batatas</t>
  </si>
  <si>
    <t xml:space="preserve">Joe &amp; Leo´s </t>
  </si>
  <si>
    <t>Kopen haggens</t>
  </si>
  <si>
    <t>Presentes e lembrancas</t>
  </si>
  <si>
    <t>BijouX</t>
  </si>
  <si>
    <t>Almolo no aerporteis de O Rio</t>
  </si>
  <si>
    <t>Cafeses de O AereoPortos</t>
  </si>
  <si>
    <t>Livro - "Existiu Uma Outra Humanidade"</t>
  </si>
  <si>
    <t>Spporccaccionne´s</t>
  </si>
  <si>
    <t>Broca para aço de 2mm</t>
  </si>
  <si>
    <t>Cafeses da Terder</t>
  </si>
  <si>
    <t>Presente para p nene de O Felippe</t>
  </si>
  <si>
    <t>Nidonto dentistas</t>
  </si>
  <si>
    <t>Shamppooss de cabelos</t>
  </si>
  <si>
    <t>Tapeçaria Brejão</t>
  </si>
  <si>
    <t>cafeses no centro</t>
  </si>
  <si>
    <t>Remuneração conra Max</t>
  </si>
  <si>
    <t>IRPF 2012 (05/08)</t>
  </si>
  <si>
    <t>Remedio de dores de cabeças</t>
  </si>
  <si>
    <t>The fifTies</t>
  </si>
  <si>
    <t>Capas de iPhones</t>
  </si>
  <si>
    <t>Estacionamento na Pauliatas</t>
  </si>
  <si>
    <t>Pizzas na paccocas</t>
  </si>
  <si>
    <t xml:space="preserve">IPTU 2012 (08/10) </t>
  </si>
  <si>
    <t>Fatura Itau Visa da cristiane</t>
  </si>
  <si>
    <t>Areia, cobertores e almofadas</t>
  </si>
  <si>
    <t>Pra Cristiane - DOC para o ItaU</t>
  </si>
  <si>
    <t xml:space="preserve">Cheque - 000034 - Kdmia Luiz </t>
  </si>
  <si>
    <t>Cheque - 000034 - Kdmia criastiane</t>
  </si>
  <si>
    <t>Gazzozzas no GGM3</t>
  </si>
  <si>
    <t>Padari Bella Paulista</t>
  </si>
  <si>
    <t>Estacionamento na Luis Coelho</t>
  </si>
  <si>
    <t>Restaurante America´s</t>
  </si>
  <si>
    <t>Capas de Iphones</t>
  </si>
  <si>
    <t>Estacionamento na Alameda Santios</t>
  </si>
  <si>
    <t>Tomadas e adaptadores de tomadas</t>
  </si>
  <si>
    <t xml:space="preserve">sorvetes </t>
  </si>
  <si>
    <t>Mercados e amis mercados</t>
  </si>
  <si>
    <t>Remuneracao conta MAX</t>
  </si>
  <si>
    <t>Roupas de Intenetias</t>
  </si>
  <si>
    <t>DOC Devolvido</t>
  </si>
  <si>
    <t>Pizzas em casa do Spporccaccionne´s</t>
  </si>
  <si>
    <t>Diclofenaco Sódico - Antiinflamatorio muscular</t>
  </si>
  <si>
    <t>Chip da claro</t>
  </si>
  <si>
    <t>Vidro eletrico do GGM3</t>
  </si>
  <si>
    <t>Refris para A Gabbys</t>
  </si>
  <si>
    <t xml:space="preserve">Gazzozzas </t>
  </si>
  <si>
    <t>Credito SMS claro</t>
  </si>
  <si>
    <t>Remedios de dore de tornozelos</t>
  </si>
  <si>
    <t>Pantogar´s</t>
  </si>
  <si>
    <t>Taxa de Orçamento do Atrix</t>
  </si>
  <si>
    <t>Al Parmegiannas</t>
  </si>
  <si>
    <t>Novo SOM com Iphone</t>
  </si>
  <si>
    <t>Cafeses do StarBucks</t>
  </si>
  <si>
    <t>Eletrodomestico: Garantia Extendida do Som Da Cozinha</t>
  </si>
  <si>
    <t>MorGrãos</t>
  </si>
  <si>
    <t>IRPF 2012 (06/08)</t>
  </si>
  <si>
    <t>Juros correção poupança</t>
  </si>
  <si>
    <t>IRPF 2012 (07/08)</t>
  </si>
  <si>
    <t>Tumbler do TDKR</t>
  </si>
  <si>
    <t>Juros correção Poupança</t>
  </si>
  <si>
    <t>IRPF 2012 (08/08)</t>
  </si>
  <si>
    <t>IOF IMPOSTO OPERACOES FINANCEIRAS PERIODO: 01/11 A 30/11/12</t>
  </si>
  <si>
    <t>IOF ADICIONAL - AUTOMATICO PERIODO: 01/11 A 30/11/12</t>
  </si>
  <si>
    <t>IOF  IMPOSTO OPERACOES FINANCEIRAS PERIODO: 01/12 A 31/12/12</t>
  </si>
  <si>
    <t>Mensalidade POS (01/20)</t>
  </si>
  <si>
    <t>OF IMPOSTO OPERACOES FINANCEIRAS PERIODO: 01/01 A 31/01/13</t>
  </si>
  <si>
    <t>IOF ADICIONAL - AUTOMATICO PERIODO: 01/01 A 31/01/13</t>
  </si>
  <si>
    <t>Para tapar furos</t>
  </si>
  <si>
    <t>The MorGão´s</t>
  </si>
  <si>
    <t>IOF IMPOSTO OPERACOES FINANCEIRAS PERIODO: 01/02 A 28/02/13</t>
  </si>
  <si>
    <t>JUROS SALDO UTILIZ ATE LIMITE PERIODO: 01/02 A 28/02/13</t>
  </si>
  <si>
    <t>Pastel de bertioga</t>
  </si>
  <si>
    <t>correios envio de HDs</t>
  </si>
  <si>
    <t>IOF IMPOSTO OPERACOES FINANCEIRAS PERIODO: 01/05 A 31/05/13</t>
  </si>
  <si>
    <t>IOF ADICIONAL - AUTOMATICO PERIODO: 01/05 A 31/05/13</t>
  </si>
  <si>
    <t>JUROS SALDO UTILIZ ATE LIMITE PERIODO: 01/05 A 31/05/13</t>
  </si>
  <si>
    <t>Para Rombos</t>
  </si>
  <si>
    <t>Agosto / 2013</t>
  </si>
  <si>
    <t>Asgard Pubes</t>
  </si>
  <si>
    <t>IOF IMPOSTO OPERACOES FINANCEIRAS PERIODO: 01/08 A 31/08/13</t>
  </si>
  <si>
    <t>IOF ADICIONAL - AUTOMATICO PERIODO: 01/08 A 31/08/13</t>
  </si>
  <si>
    <t>JUROS SALDO UTILIZ ATE LIMITE PERIODO: 01/08 A 31/08/13</t>
  </si>
  <si>
    <t>Santander VISA</t>
  </si>
  <si>
    <t>FSA - Outubro - 2013</t>
  </si>
  <si>
    <t>Condominio - Outubro - 2013</t>
  </si>
  <si>
    <t>IOF IMPOSTO OPERACOES FINANCEIRAS PERIODO: 01/10 A 31/10/13</t>
  </si>
  <si>
    <t>IOF ADICIONAL - AUTOMATICO PERIODO: 01/10 A 31/10/13</t>
  </si>
  <si>
    <t>JUROS SALDO UTILIZ ATE LIMITE PERIODO: 01/10 A 31/10/13</t>
  </si>
  <si>
    <t>HABibes</t>
  </si>
  <si>
    <t>Aluguel: seguro Fiança (02/11)</t>
  </si>
  <si>
    <t>Estacioanemtno na FSA</t>
  </si>
  <si>
    <t>estacionamento na fsa</t>
  </si>
  <si>
    <t>Lanche na fsa</t>
  </si>
  <si>
    <t>Fatura ItauCard</t>
  </si>
  <si>
    <t>IOF IMPOSTO OPERACOES FINANCEIRAS PERIODO: 01/11 A 30/11/13</t>
  </si>
  <si>
    <t>IOF ADICIONAL - AUTOMATICO PERIODO: 01/11 A 30/11/13</t>
  </si>
  <si>
    <t>JUROS SALDO UTILIZ ATE LIMITE PERIODO: 01/11 A 30/11/13</t>
  </si>
  <si>
    <t>Emprestimo para saldar dividas</t>
  </si>
  <si>
    <t>IOF IMPOSTO OPERACOES FINANCEIRAS PERIODO: 01/12 A 31/12/13</t>
  </si>
  <si>
    <t>IOF ADICIONAL - AUTOMATICO PERIODO: 01/12 A 31/12/13</t>
  </si>
  <si>
    <t>JUROS SALDO UTILIZ ATE LIMITE PERIODO: 01/12 A 31/12/13</t>
  </si>
  <si>
    <t xml:space="preserve">Parcela (01/50) </t>
  </si>
  <si>
    <t>So Itau para Buracos</t>
  </si>
  <si>
    <t>Pagamento total do Financiamento</t>
  </si>
  <si>
    <t>Cartão: Mensalidade Seguro (!?!?!?!)</t>
  </si>
  <si>
    <t xml:space="preserve"> MArço / 2014</t>
  </si>
  <si>
    <t>ESTORNO DE SEGURO</t>
  </si>
  <si>
    <t>IOF ADICIONAL - AUTOMATICO PERIODO: 01/03 A 31/03/14</t>
  </si>
  <si>
    <t>JUROS SALDO UTILIZ ATE LIMITE PERIODO: 01/03 A 31/03/14</t>
  </si>
  <si>
    <t>Casa das Meninas</t>
  </si>
  <si>
    <t>IOF ADICIONAL - AUTOMATICO PERIODO: 01/04 A 30/04/14</t>
  </si>
  <si>
    <t>JUROS SALDO UTILIZ ATE LIMITE PERIODO: 01/04 A 30/04/14</t>
  </si>
  <si>
    <t>Da CEF</t>
  </si>
  <si>
    <t>Remumeração CDB Max</t>
  </si>
  <si>
    <t>FSA - Junho - 2014</t>
  </si>
  <si>
    <t>Multa do pejô em Maio</t>
  </si>
  <si>
    <t>Fevereiro / 2015</t>
  </si>
  <si>
    <t>Pastel de Mercados</t>
  </si>
  <si>
    <t>Café da Terde</t>
  </si>
  <si>
    <t>Março / 2015</t>
  </si>
  <si>
    <t>IOF IMPOSTO OPERACOES FINANCEIRAS PERIODO: 01/02 A 28/02/15</t>
  </si>
  <si>
    <t>IOF ADICIONAL - AUTOMATICO PERIODO: 01/02 A 28/02/15</t>
  </si>
  <si>
    <t>JUROS SALDO UTILIZ ATE LIMITE PERIODO: 01/02 A 28/02/15</t>
  </si>
  <si>
    <t>Abril / 2015</t>
  </si>
  <si>
    <t>IOF IMPOSTO OPERACOES FINANCEIRAS PERIODO: 01/03 A 31/03/15</t>
  </si>
  <si>
    <t>JUROS SALDO UTILIZ ATE LIMITE PERIODO: 01/03 A 31/03/15</t>
  </si>
  <si>
    <t>Maio / 2015</t>
  </si>
  <si>
    <t>Juros no periodo</t>
  </si>
  <si>
    <t>Lanches de Terdes</t>
  </si>
  <si>
    <t>Disk real</t>
  </si>
  <si>
    <t>Andre rosseti</t>
  </si>
  <si>
    <t>9978-8087</t>
  </si>
  <si>
    <t>4438-4100</t>
  </si>
  <si>
    <t>rua correia dias 21</t>
  </si>
  <si>
    <t>4062964</t>
  </si>
  <si>
    <t>0800-7072399</t>
  </si>
  <si>
    <t xml:space="preserve">Passagens </t>
  </si>
  <si>
    <t>Seguro Ral Visa</t>
  </si>
  <si>
    <t>Cd - OffSpring Americana</t>
  </si>
  <si>
    <t>Cd - Alexandre</t>
  </si>
  <si>
    <t>Janeiro/1999</t>
  </si>
  <si>
    <t>Pagamento Fatura Avulsa</t>
  </si>
  <si>
    <t>Fevereiro /1999</t>
  </si>
  <si>
    <t>Restituição do seguro</t>
  </si>
  <si>
    <t>Marco/1999</t>
  </si>
  <si>
    <t>Abril /1999</t>
  </si>
  <si>
    <t>Cd - Blur</t>
  </si>
  <si>
    <t>Cd - Bruce Dickinson Balls to</t>
  </si>
  <si>
    <t>Meias - Americanas</t>
  </si>
  <si>
    <t>julho / 1999</t>
  </si>
  <si>
    <t>Fotos - Rappel Pedreira Piraju</t>
  </si>
  <si>
    <t>Farmácia Vale Verde - Perfume</t>
  </si>
  <si>
    <t>Computec</t>
  </si>
  <si>
    <t>Cd - Ed Hunter</t>
  </si>
  <si>
    <t>Camiseta</t>
  </si>
  <si>
    <t>CD-Viper</t>
  </si>
  <si>
    <t>Flores</t>
  </si>
  <si>
    <t>Plaza - Camisa</t>
  </si>
  <si>
    <t>Bolivar- Spray sapato</t>
  </si>
  <si>
    <t>CD - Angra Angels Cry</t>
  </si>
  <si>
    <t>CD - B. D. Accin. + Estante</t>
  </si>
  <si>
    <t>Perfume Cascaya - Chiara</t>
  </si>
  <si>
    <t>Presente Amigo Secreto</t>
  </si>
  <si>
    <t>CD - Megadeth Risk</t>
  </si>
  <si>
    <t>Marco / 2000</t>
  </si>
  <si>
    <t>Livro - Sistemas Digitais</t>
  </si>
  <si>
    <t xml:space="preserve">Livro - Sobre o Tempo </t>
  </si>
  <si>
    <t>Livro - Que é historia</t>
  </si>
  <si>
    <t>abril / 2000</t>
  </si>
  <si>
    <t xml:space="preserve">Livro Redes </t>
  </si>
  <si>
    <t>Livro Sistemas Operacionais</t>
  </si>
  <si>
    <t>CD - Psco Motel</t>
  </si>
  <si>
    <t xml:space="preserve">CD Gone Jackals </t>
  </si>
  <si>
    <t>Junho / 2000</t>
  </si>
  <si>
    <t xml:space="preserve">Presente Chiara </t>
  </si>
  <si>
    <t>Cd Iron - Brave New World</t>
  </si>
  <si>
    <t>CD- marisa Monte</t>
  </si>
  <si>
    <t xml:space="preserve">CD - Engenheiros </t>
  </si>
  <si>
    <t>CD - Pearl Jam</t>
  </si>
  <si>
    <t>CD Bruce Dickinson</t>
  </si>
  <si>
    <t>Agosto /2000</t>
  </si>
  <si>
    <t>Encargos Atrazados</t>
  </si>
  <si>
    <t>Setembro / 2000</t>
  </si>
  <si>
    <t xml:space="preserve">farmácia Vale Verde </t>
  </si>
  <si>
    <t>Cartucho - Computec</t>
  </si>
  <si>
    <t>Terço Bizantimo-30/09</t>
  </si>
  <si>
    <t>Livro Chiara</t>
  </si>
  <si>
    <t xml:space="preserve">mascote IG </t>
  </si>
  <si>
    <t>Passagens - 30/09</t>
  </si>
  <si>
    <t>Renov. Bonus Sup. VTG</t>
  </si>
  <si>
    <t>Passage ns</t>
  </si>
  <si>
    <t>Cd Iron - The Wicker Man</t>
  </si>
  <si>
    <t>CD - Offspring Conspiracy</t>
  </si>
  <si>
    <t>Mensalidade AOL Brasil</t>
  </si>
  <si>
    <t>Livro - IBM e Holocausto</t>
  </si>
  <si>
    <t>Cartucho Impressora</t>
  </si>
  <si>
    <t>março / 2001</t>
  </si>
  <si>
    <t>Americanas - Bolachinas</t>
  </si>
  <si>
    <t>Americanas - Cepacol</t>
  </si>
  <si>
    <t>Papel Sulfite-A4-500Fls</t>
  </si>
  <si>
    <t>Single Iron Ou of Silen..</t>
  </si>
  <si>
    <t xml:space="preserve">Flores Chiara </t>
  </si>
  <si>
    <t>Perfume Chiara - Rumba</t>
  </si>
  <si>
    <t>Cd do Iron</t>
  </si>
  <si>
    <t>Perfume PRA MIM !!!</t>
  </si>
  <si>
    <t>Assinatura da Info</t>
  </si>
  <si>
    <t>Blusa (01/03)</t>
  </si>
  <si>
    <t>Blusa (02/03)</t>
  </si>
  <si>
    <t>Capa p/ celular</t>
  </si>
  <si>
    <t>Cinto</t>
  </si>
  <si>
    <t>Blusa (03/03)</t>
  </si>
  <si>
    <t>Livro da Lais</t>
  </si>
  <si>
    <t xml:space="preserve">Calça </t>
  </si>
  <si>
    <t>Caixa de Som</t>
  </si>
  <si>
    <t>Presente Kisi</t>
  </si>
  <si>
    <t>CD Tributo Black Sabbath</t>
  </si>
  <si>
    <t>Linux - Coisas</t>
  </si>
  <si>
    <t xml:space="preserve"> Novembro / 2001</t>
  </si>
  <si>
    <t>CD Bruce</t>
  </si>
  <si>
    <t>Livro Hackers</t>
  </si>
  <si>
    <t>Pagamento parcial</t>
  </si>
  <si>
    <t xml:space="preserve"> dezembro / 2001</t>
  </si>
  <si>
    <t>Linux CDs Caneca Adesivo</t>
  </si>
  <si>
    <t>Camisa + Meias</t>
  </si>
  <si>
    <t>Juros e Multa</t>
  </si>
  <si>
    <t xml:space="preserve"> Abril / 2002</t>
  </si>
  <si>
    <t>Farmacia</t>
  </si>
  <si>
    <t>Juros/Multa</t>
  </si>
  <si>
    <t>Livro - Vampiros</t>
  </si>
  <si>
    <t>Pagamento Cartão</t>
  </si>
  <si>
    <t>Cafeteira (01/02)</t>
  </si>
  <si>
    <t>Cafeteira (02/02)</t>
  </si>
  <si>
    <t>Computec - Tnta impress + mouse</t>
  </si>
  <si>
    <t>Pagamento Parcial</t>
  </si>
  <si>
    <t>CD Dido</t>
  </si>
  <si>
    <t xml:space="preserve">Pagamento Fatura  </t>
  </si>
  <si>
    <t>novembro / 2002</t>
  </si>
  <si>
    <t>Portas USB</t>
  </si>
  <si>
    <t xml:space="preserve">Pagamento </t>
  </si>
  <si>
    <t>saldo para ajuste</t>
  </si>
  <si>
    <t>OBS: Compras Apos até o dia 30 serão cobradas no vencimento da fatura posterior</t>
  </si>
  <si>
    <t>Sappatos e cintos</t>
  </si>
  <si>
    <t>Calças novas</t>
  </si>
  <si>
    <t>Game: Jogos God Of War e final Fantasy XII</t>
  </si>
  <si>
    <t xml:space="preserve">5463PAYPAL--*EXPUSE </t>
  </si>
  <si>
    <t>DVD DE filme reposto por perda</t>
  </si>
  <si>
    <t>DS. Dor Cabeça e sinusite</t>
  </si>
  <si>
    <t>Mercadi, Mais Mais Mercadi</t>
  </si>
  <si>
    <t>Várias revistas de PS2</t>
  </si>
  <si>
    <t>CUSTO TRANS. US$(IOF)</t>
  </si>
  <si>
    <t>Mercadi. Mais mais mercadi</t>
  </si>
  <si>
    <t>Assinatura Vivax</t>
  </si>
  <si>
    <t>Pagamento FaTURA</t>
  </si>
  <si>
    <t>Cred. Camanha desbloqueio</t>
  </si>
  <si>
    <t>Estorno campamnha desbloq</t>
  </si>
  <si>
    <t xml:space="preserve"> Agosto / 2007 </t>
  </si>
  <si>
    <t>Revisão do GarGaMóvel (01/03)</t>
  </si>
  <si>
    <t>No bobos</t>
  </si>
  <si>
    <t>remédio de evitar dor de cabeça e gazes</t>
  </si>
  <si>
    <t>Revisão do GarGaMóvel (02/03)</t>
  </si>
  <si>
    <t>Assinatura ViVaX</t>
  </si>
  <si>
    <t>No Mc donaldos</t>
  </si>
  <si>
    <t>Farmaci, mais Farmáci</t>
  </si>
  <si>
    <t>Revisão do GarGaMóvel (03/03)</t>
  </si>
  <si>
    <t>Parc. PSP Slim (01/03)</t>
  </si>
  <si>
    <t>Livros da Cris e 300 de IsParTa</t>
  </si>
  <si>
    <t>Nightwish e do épica</t>
  </si>
  <si>
    <t xml:space="preserve">Pagamento Fatura Visa </t>
  </si>
  <si>
    <t>Taxi pra ir na Tomo</t>
  </si>
  <si>
    <t xml:space="preserve">Taxi pro Hospital </t>
  </si>
  <si>
    <t>Parc. PSP Slim (02/03)</t>
  </si>
  <si>
    <t xml:space="preserve"> janeiro / 2008</t>
  </si>
  <si>
    <t>No Bobs</t>
  </si>
  <si>
    <t>Parc. PSP Slim (03/03)</t>
  </si>
  <si>
    <t xml:space="preserve"> fevereiro / 2008</t>
  </si>
  <si>
    <t>Assinatura Revista Guitar Player</t>
  </si>
  <si>
    <t>DVDs de Iron Maiden e filmes</t>
  </si>
  <si>
    <t>Mercado muito mercadi</t>
  </si>
  <si>
    <t>Ingressos pro Show do Ozzy e Black Label</t>
  </si>
  <si>
    <t>flores pra Florzinha</t>
  </si>
  <si>
    <t>Monitor de pressão e cardiaco pro careca</t>
  </si>
  <si>
    <t>Super Mouse Novo Razer Death Adder</t>
  </si>
  <si>
    <t>CUSTO Transf IOF</t>
  </si>
  <si>
    <t>Zippo Do MAIDEN</t>
  </si>
  <si>
    <t>Ingressos pro Megadeth</t>
  </si>
  <si>
    <t xml:space="preserve"> maio / 2008</t>
  </si>
  <si>
    <t>Zippos e Ashtray do Black Label Society</t>
  </si>
  <si>
    <t>Zippo do megadeth</t>
  </si>
  <si>
    <t>Software: Programa de computador Dr. Tag</t>
  </si>
  <si>
    <t>Variação Cambial USD</t>
  </si>
  <si>
    <t>CUSTO TRANS. US$ - IOF</t>
  </si>
  <si>
    <t>CREDITO VARIACAO CAMBIAL</t>
  </si>
  <si>
    <t>Pizzaria Torre de Pizza de Piraju</t>
  </si>
  <si>
    <t xml:space="preserve">Academia ITALY -  maio/Junho </t>
  </si>
  <si>
    <t>Canmisetas do Megadeth e BLS</t>
  </si>
  <si>
    <t>Pagamento fatura real Visa</t>
  </si>
  <si>
    <t>Presente de Aniversário do Jardinete</t>
  </si>
  <si>
    <t>Academia ITALY - Junho/Julho</t>
  </si>
  <si>
    <t>Telefone sem Fios com BINA pro careca</t>
  </si>
  <si>
    <t xml:space="preserve">Carregadores de pilhas, fontes de força </t>
  </si>
  <si>
    <t>Filme Rock Star</t>
  </si>
  <si>
    <t>Mercado, mais e mais mercado</t>
  </si>
  <si>
    <t>Academia ITALY - Julho/Agosto</t>
  </si>
  <si>
    <t>Memory Stick de 8 GB</t>
  </si>
  <si>
    <t>MERCADO</t>
  </si>
  <si>
    <t>Pagamento fatura Real Visa</t>
  </si>
  <si>
    <t>Livros Liderando Mudança</t>
  </si>
  <si>
    <t>Mais um óculos novos (01/02)</t>
  </si>
  <si>
    <t>Fender Mini Tone Master</t>
  </si>
  <si>
    <t>Passagens Ida Volta Parana</t>
  </si>
  <si>
    <t>Remédio de Gordo</t>
  </si>
  <si>
    <t>Alomoço no galpão Nelori</t>
  </si>
  <si>
    <t>Remédios de Tornozelos e gazes</t>
  </si>
  <si>
    <t>Academia ITALY - Agosto/Setembro</t>
  </si>
  <si>
    <t>Taxas de Mercado Livre</t>
  </si>
  <si>
    <t>Mais um óculos novos (02/02)</t>
  </si>
  <si>
    <t>Diversas roupas Novas (01/03)</t>
  </si>
  <si>
    <t>Revisão</t>
  </si>
  <si>
    <t>Espada de decoração (01/02)</t>
  </si>
  <si>
    <t>Ed. Especial 12 anos Guitar Player</t>
  </si>
  <si>
    <t>Coisas do Boticário</t>
  </si>
  <si>
    <t>Coisas pra Casa nova (01/03)</t>
  </si>
  <si>
    <t>Terno novo (01/03)</t>
  </si>
  <si>
    <t>Almoço do casamento do Daniel</t>
  </si>
  <si>
    <t>Lampadas Usb pro Notibuque</t>
  </si>
  <si>
    <t>Filtros ADSL</t>
  </si>
  <si>
    <t>Sabbababs</t>
  </si>
  <si>
    <t>Mercado e mais Mercado</t>
  </si>
  <si>
    <t>Denovo Mercadis</t>
  </si>
  <si>
    <t>Ração do Gattos</t>
  </si>
  <si>
    <t>Gazozas No GarGaMóvel</t>
  </si>
  <si>
    <t>Lavagem de Gatos</t>
  </si>
  <si>
    <t>Burgues Guinkios</t>
  </si>
  <si>
    <t xml:space="preserve">Tapetes da Sala (01/06) </t>
  </si>
  <si>
    <t>Diversas roupas Novas (02/03)</t>
  </si>
  <si>
    <t>Ingressos ERRADOS pro Show do Judas Priest</t>
  </si>
  <si>
    <t>Espada de decoração (02/02)</t>
  </si>
  <si>
    <t>Ingressos CERTOS pro Show do Judas Priest</t>
  </si>
  <si>
    <t>Anuncio de venda de moto 1ª Mão</t>
  </si>
  <si>
    <t>Mais um anuncio pra vender a moto</t>
  </si>
  <si>
    <t>Coisas pra Casa nova (02/03)</t>
  </si>
  <si>
    <t>Terno novo (02/03)</t>
  </si>
  <si>
    <t>Maquiagias da cristiane</t>
  </si>
  <si>
    <t xml:space="preserve">Tapetes da Sala (02/06) </t>
  </si>
  <si>
    <t>Diversas roupas Novas (03/03)</t>
  </si>
  <si>
    <t>Credito Ticket Master</t>
  </si>
  <si>
    <t>Lampas e coisasde casas</t>
  </si>
  <si>
    <t>Camisetas de Iscrapi Buquin</t>
  </si>
  <si>
    <t>Gardenais e remédios</t>
  </si>
  <si>
    <t>Livro do Careca</t>
  </si>
  <si>
    <t>Hospital pro Sebastian</t>
  </si>
  <si>
    <t>Almoço no Capas Suxis</t>
  </si>
  <si>
    <t>Mais Revistas do is pau</t>
  </si>
  <si>
    <t>Tripé da maquina digital</t>
  </si>
  <si>
    <t>Presente da Cris (1)</t>
  </si>
  <si>
    <t>Presente da Cris (2)</t>
  </si>
  <si>
    <t>Presente da Cris (3) lingeries</t>
  </si>
  <si>
    <t>Coisas pra Casa nova (03/03)</t>
  </si>
  <si>
    <t>Terno novo (03/03)</t>
  </si>
  <si>
    <t>Camiseta do Guitar Players</t>
  </si>
  <si>
    <t>Renovação Assinatura Guitar Players</t>
  </si>
  <si>
    <t>No El Botin</t>
  </si>
  <si>
    <t xml:space="preserve">Tapetes da Sala (03/06) </t>
  </si>
  <si>
    <t>Edções do Ispau, toraigon e peada mortal</t>
  </si>
  <si>
    <t>Pagamento da KDMia Itally</t>
  </si>
  <si>
    <t xml:space="preserve">ò Maria </t>
  </si>
  <si>
    <t>Epiphone Sg G400 Warm Cherry with acess</t>
  </si>
  <si>
    <t xml:space="preserve">Tapetes da Sala (04/06) </t>
  </si>
  <si>
    <t>Tenis e Roupas KDMIAS (01/03)</t>
  </si>
  <si>
    <t>Coisas gordas no BoBis</t>
  </si>
  <si>
    <t>Pastas pra aulas de guitarras</t>
  </si>
  <si>
    <t>Café de manhas em paccocca´s</t>
  </si>
  <si>
    <t>Gazoza no GArGaMóvel</t>
  </si>
  <si>
    <t>Gardenais e afins em farmácias</t>
  </si>
  <si>
    <t>Lanche nos postos de estradas</t>
  </si>
  <si>
    <t>Padoca do Portugal</t>
  </si>
  <si>
    <t>Mais roupas de KDMIa</t>
  </si>
  <si>
    <t>Resistencias de chuveiros</t>
  </si>
  <si>
    <t xml:space="preserve">Tapetes da Sala (05/06) </t>
  </si>
  <si>
    <t>Tenis e Roupas KDMIAS (02/03)</t>
  </si>
  <si>
    <t xml:space="preserve">Coisas de Video-games pro Jonathan </t>
  </si>
  <si>
    <t>Novos Fones-de-Ouvidos</t>
  </si>
  <si>
    <t>Remedios do Dr. Porto</t>
  </si>
  <si>
    <t xml:space="preserve">Tapetes da Sala (06/06) </t>
  </si>
  <si>
    <t>Pagamento Fatura avulsa restante</t>
  </si>
  <si>
    <t>Tenis e Roupas KDMIAS (03/03)</t>
  </si>
  <si>
    <t>Almoço noxópin</t>
  </si>
  <si>
    <t>Lasagnas e coquinhas</t>
  </si>
  <si>
    <t>SubMaRino - o Hobbitis</t>
  </si>
  <si>
    <t>SubMaRiNo - VÁRIos DVDs Dunas</t>
  </si>
  <si>
    <t>Almoço de pitiça rute no xópin</t>
  </si>
  <si>
    <t>Outro Almoço no xópin</t>
  </si>
  <si>
    <t>China In Home</t>
  </si>
  <si>
    <t xml:space="preserve">Mercados e mais merados </t>
  </si>
  <si>
    <t xml:space="preserve">Açougues diversos </t>
  </si>
  <si>
    <t>GazoZa no GarGaMóvel</t>
  </si>
  <si>
    <t>Nem me lembro o QUE</t>
  </si>
  <si>
    <t>Almoço de Pitiça Rute</t>
  </si>
  <si>
    <t>Antibioticos/Antiinflamatórios dentais</t>
  </si>
  <si>
    <t>estante da Sala</t>
  </si>
  <si>
    <t>Almoço do chefe</t>
  </si>
  <si>
    <t xml:space="preserve">Almoço do Cassio </t>
  </si>
  <si>
    <t xml:space="preserve">Revistas diversas </t>
  </si>
  <si>
    <t>Mais Barato Extra</t>
  </si>
  <si>
    <t>Calça de kdmia</t>
  </si>
  <si>
    <t>Remedios de xXx</t>
  </si>
  <si>
    <t>Café de Xópin</t>
  </si>
  <si>
    <t>Academia Italy Figueiras</t>
  </si>
  <si>
    <t>Almoço no pitiça rute</t>
  </si>
  <si>
    <t>Higienes dentais</t>
  </si>
  <si>
    <t xml:space="preserve">Gardenais de gatos </t>
  </si>
  <si>
    <t>WitchBlade Amaha Masane Movement ver 1/8 PVC Figure GDH</t>
  </si>
  <si>
    <t>Spock do Jard.Net</t>
  </si>
  <si>
    <t>Canetas fitas e papeis de rascunhos e estiletes</t>
  </si>
  <si>
    <t>Mais Parteleras e brocas</t>
  </si>
  <si>
    <t>Ração e Antipulgas</t>
  </si>
  <si>
    <t>Açõugues</t>
  </si>
  <si>
    <t>Para-fusos, buxas e chaves phillips</t>
  </si>
  <si>
    <t>Mc Pato Donalds</t>
  </si>
  <si>
    <t>Almoco no xópin</t>
  </si>
  <si>
    <t>Correios Para brasilias</t>
  </si>
  <si>
    <t>Revoltech #003 Devil May Cry 3 Dante Action Figure</t>
  </si>
  <si>
    <t>Pagamento Fatura Cartão</t>
  </si>
  <si>
    <t>Sgababababs</t>
  </si>
  <si>
    <t>Hitman Agent 47</t>
  </si>
  <si>
    <t>Comics do Witchblade</t>
  </si>
  <si>
    <t>Cachaçaria Agua Docê</t>
  </si>
  <si>
    <t>La Catinna</t>
  </si>
  <si>
    <t>Mequi Donaudis</t>
  </si>
  <si>
    <t>mais remedios de dores de barrigas</t>
  </si>
  <si>
    <t>Meias Buinitinhas</t>
  </si>
  <si>
    <t>WitchBlade Soho Reina Cloneblade ver 1/8 PVC Figure GDH</t>
  </si>
  <si>
    <t>Colchão Novo (01/03)</t>
  </si>
  <si>
    <t>Jogos de camas e entredoes</t>
  </si>
  <si>
    <t xml:space="preserve"> Agosto / 2000</t>
  </si>
  <si>
    <t>Dell Inspiron 1545 (01/06)</t>
  </si>
  <si>
    <t>Assinatura Anual do megaUpload</t>
  </si>
  <si>
    <t>Controle remoto PS3</t>
  </si>
  <si>
    <t>Fotos e coisas diversas</t>
  </si>
  <si>
    <t>Colchão Novo (02/03)</t>
  </si>
  <si>
    <t xml:space="preserve">Tudo em Parmegiana </t>
  </si>
  <si>
    <t>Coisas de artezanatos</t>
  </si>
  <si>
    <t>bateria Notebook Acer</t>
  </si>
  <si>
    <t>Dell Inspiron 1545 (02/06)</t>
  </si>
  <si>
    <t>Game: Guitar Hero IV Aerosmith Bundle PS3</t>
  </si>
  <si>
    <t>Comic Gum Ikkitousen Figures Collection Kanu Unchou - 19,90 usd</t>
  </si>
  <si>
    <t>Ikki Tousen Kanu Unchou Gothic Black PVC Figure UART - 68,27 USD</t>
  </si>
  <si>
    <t>Combustivel no GarGaMóvel 2.0</t>
  </si>
  <si>
    <t xml:space="preserve">Lingeries </t>
  </si>
  <si>
    <t>raçãoes e Areias de Cocôs</t>
  </si>
  <si>
    <t>Colchão Novo (03/03)</t>
  </si>
  <si>
    <t>Mause da Maicrosófity de notebuque</t>
  </si>
  <si>
    <t>Novo Mause da cris</t>
  </si>
  <si>
    <t>Pagamento Fatura 421,67 EXCEDENTE</t>
  </si>
  <si>
    <t>Parc. Viagem PE (01/06)</t>
  </si>
  <si>
    <t>Dell Inspiron 1545 (03/06)</t>
  </si>
  <si>
    <t>Xenosaga KOS-MOS</t>
  </si>
  <si>
    <t>DVDs rainbow e Kamelots</t>
  </si>
  <si>
    <t>Acougues da Vila Pires</t>
  </si>
  <si>
    <t>Almoço no bón grillé</t>
  </si>
  <si>
    <t>Symbicort 12/400 e renites</t>
  </si>
  <si>
    <t>Burgues Kinguios</t>
  </si>
  <si>
    <t xml:space="preserve">Ghost in the Shell GitS SAC Solid State Society: Motoko Kusanagi </t>
  </si>
  <si>
    <t>$91.70 USD</t>
  </si>
  <si>
    <t>Software: Softwares de iPods: iLibs</t>
  </si>
  <si>
    <t>$19.99 USD</t>
  </si>
  <si>
    <t>Parc. Viagem PE (02/06)</t>
  </si>
  <si>
    <t>Dell Inspiron 1545 (04/06)</t>
  </si>
  <si>
    <t>Pizza Huts em casas</t>
  </si>
  <si>
    <t>Almoço no Bahiano's</t>
  </si>
  <si>
    <t>Ingressos pro Metallica</t>
  </si>
  <si>
    <t>Parc. Viagem PE (03/06)</t>
  </si>
  <si>
    <t>Dell Inspiron 1545 (05/06)</t>
  </si>
  <si>
    <t>Livros de ScrapiBuquin</t>
  </si>
  <si>
    <t>23,55 USD</t>
  </si>
  <si>
    <t>mais Pitiça Rute</t>
  </si>
  <si>
    <t>Cust Trans IOF</t>
  </si>
  <si>
    <t>5928PAYPAL--*EXPUSE</t>
  </si>
  <si>
    <t>Sega Ghost in The Shell Motoko Kusanagi PVC Figure</t>
  </si>
  <si>
    <t>US $43.99</t>
  </si>
  <si>
    <t>Parc. Viagem PE (04/06)</t>
  </si>
  <si>
    <t>Dell Inspiron 1545 (06/06)</t>
  </si>
  <si>
    <t>BACK TO THE FUTURE PART 2 DMC DELOREAN DIECAST CAR 1:18</t>
  </si>
  <si>
    <t>$44,99 USD</t>
  </si>
  <si>
    <t>AJ CRED ANUIDADE TITULAR</t>
  </si>
  <si>
    <t>Duas - A Bataglia do Apoca-lipse</t>
  </si>
  <si>
    <t>DVDs da Liga da Justiças</t>
  </si>
  <si>
    <t>Parc. Viagem PE (05/06)</t>
  </si>
  <si>
    <t>Coisas de livros pra cristiane</t>
  </si>
  <si>
    <t>46,23 USD</t>
  </si>
  <si>
    <t>PVC 1/6 EVANGELION EVA REI AYANAMI New Style Figure</t>
  </si>
  <si>
    <t>40.95 USD</t>
  </si>
  <si>
    <t>Wave 1/10 EVA Rei Evangelion Plug Suit Ver PVC Figure</t>
  </si>
  <si>
    <t>62,99 USD</t>
  </si>
  <si>
    <t>Estorno anuidade</t>
  </si>
  <si>
    <t>custo de Utilizado ext iof</t>
  </si>
  <si>
    <t>enceradeiras</t>
  </si>
  <si>
    <t xml:space="preserve">Assinatura Fotografe melhor + Girl </t>
  </si>
  <si>
    <t>Parc. Viagem PE (06/06)</t>
  </si>
  <si>
    <t>Bandai Evangelion portraits Ayanami Rei set A figure</t>
  </si>
  <si>
    <t>$16,98 USD</t>
  </si>
  <si>
    <t>Evangelion Sexy Asuka Langley Gashapon Figure 9711-6</t>
  </si>
  <si>
    <t>$9,8 USD</t>
  </si>
  <si>
    <t>Vampire Savior Darkstalkers Morrigan Figure - E</t>
  </si>
  <si>
    <t>$18,99 USD</t>
  </si>
  <si>
    <t>Bandai Neon EVA Evangelion Portraits 4 Figure Asuka</t>
  </si>
  <si>
    <t>$13,18 USD</t>
  </si>
  <si>
    <t>Evangelion EVA Asuka Trading Figure Gashapon</t>
  </si>
  <si>
    <t>$13,90 USD</t>
  </si>
  <si>
    <t>4 Capas fullHouse de n95</t>
  </si>
  <si>
    <t>$30,45 USD</t>
  </si>
  <si>
    <t>MEGADETH</t>
  </si>
  <si>
    <t>Game: God Of War Collection</t>
  </si>
  <si>
    <t>Livro de fotos</t>
  </si>
  <si>
    <t>Game: God Of War III</t>
  </si>
  <si>
    <t>A técnica fotográfica - Biblioteca Fotografe Melhor</t>
  </si>
  <si>
    <t xml:space="preserve">Trust: Photographs of Jim Marshall (Omnibus Press) [Hardcover] </t>
  </si>
  <si>
    <t>$35.14 USD</t>
  </si>
  <si>
    <t>Drop Dead Guitar Picks</t>
  </si>
  <si>
    <t>$16,10 USD</t>
  </si>
  <si>
    <t>10 Iron Maiden Limeted edition of 200 Guitar Picks</t>
  </si>
  <si>
    <t>EVA EVANGELION SP HGIF Gashapon REI AYANAMI Figure 01</t>
  </si>
  <si>
    <t>Manowar</t>
  </si>
  <si>
    <t>CUSTO  trans. IOF</t>
  </si>
  <si>
    <t>Bluray Lord Of The rings Amazon</t>
  </si>
  <si>
    <t>$71,97 USD</t>
  </si>
  <si>
    <t>2 Packs Guitar Chicks + Guitar keyring</t>
  </si>
  <si>
    <t>Livro de Guia de Iluminação</t>
  </si>
  <si>
    <t>Nokia N97 (01/06)</t>
  </si>
  <si>
    <t>Cervas de MegaDedi</t>
  </si>
  <si>
    <t>Alice 3d - 2 Inteiras 1 Meia</t>
  </si>
  <si>
    <t>Game: Bayonetta - A Atriz porno de 2009</t>
  </si>
  <si>
    <t>Moedor de pimentas automáticos do silvera</t>
  </si>
  <si>
    <t xml:space="preserve"> Maio / 2010</t>
  </si>
  <si>
    <t>TiltFX Motion Sensing Control for sony psp2000&amp;psp3000</t>
  </si>
  <si>
    <t>US $34.98</t>
  </si>
  <si>
    <t>Passagias Aérias  pra Rios Janeiros</t>
  </si>
  <si>
    <t>To-Madas de Saca-douras</t>
  </si>
  <si>
    <t>CUSTO DE UTILIZACAO EXT.-IO</t>
  </si>
  <si>
    <t>Roupas de festas de casamentos</t>
  </si>
  <si>
    <t>Almoços SBCs</t>
  </si>
  <si>
    <t>Nokia N97 (02/06)</t>
  </si>
  <si>
    <t>Cinemas de Furias de Titans</t>
  </si>
  <si>
    <t>Mentha Pimenta</t>
  </si>
  <si>
    <t>Presente do Karlo</t>
  </si>
  <si>
    <t>Griffon Ikki Tousen Ryomou Shimei China Dress Figure.</t>
  </si>
  <si>
    <t>US $80.99</t>
  </si>
  <si>
    <t>Camiseta do Jard.net</t>
  </si>
  <si>
    <t>Casas das Essencias</t>
  </si>
  <si>
    <t xml:space="preserve">Farmácias ? </t>
  </si>
  <si>
    <t>Mab s lanches l</t>
  </si>
  <si>
    <t>hard rock café</t>
  </si>
  <si>
    <t>ARAB Alagoa</t>
  </si>
  <si>
    <t>IKKI TOUSEN KANU UNCHOU WHITE CHINA DRESS FIGURE</t>
  </si>
  <si>
    <t>US $33.94</t>
  </si>
  <si>
    <t>PVC CREATORS LABO #015 EVA REI AYANAMI YAMATO Figure</t>
  </si>
  <si>
    <t>US $35.80</t>
  </si>
  <si>
    <t>Elite Cabelereiros</t>
  </si>
  <si>
    <t>O Boticario</t>
  </si>
  <si>
    <t>Mercaddos</t>
  </si>
  <si>
    <t>farmácias pra evitar dores cabeças</t>
  </si>
  <si>
    <t>Mais mercadis ?</t>
  </si>
  <si>
    <t>Pitiça rute em casas</t>
  </si>
  <si>
    <t>Wave 1/10 Evangelion EVA Asuka Langley Test Suit Figure</t>
  </si>
  <si>
    <t>$59,99 USD</t>
  </si>
  <si>
    <t>Bandai Evangelion portraits move version 4 figure Mari</t>
  </si>
  <si>
    <t>$19,99 USD</t>
  </si>
  <si>
    <t>Coisas de photoshop pro sites</t>
  </si>
  <si>
    <t>$42,00 USD</t>
  </si>
  <si>
    <t>Nokia N97 (03/06)</t>
  </si>
  <si>
    <t>Garoupa´s</t>
  </si>
  <si>
    <t>The 4400 - Complete Sereies</t>
  </si>
  <si>
    <t>Livro de fotogragias - bebens</t>
  </si>
  <si>
    <t>Camistas DE SE TRABALHAR</t>
  </si>
  <si>
    <t>ração arreia e mais coisas</t>
  </si>
  <si>
    <t>GaZoZa'z</t>
  </si>
  <si>
    <t>G2 VESTUARIOS (01/02)</t>
  </si>
  <si>
    <t>SHOPINCOR ???</t>
  </si>
  <si>
    <t>DROG SAO PAULO FL 0131</t>
  </si>
  <si>
    <t>Reed wood Sto Andrés</t>
  </si>
  <si>
    <t>AC Santo André</t>
  </si>
  <si>
    <t>LANC MAGRAO LTDA</t>
  </si>
  <si>
    <t>ARMARINHOS FERNANDO</t>
  </si>
  <si>
    <t>YUMI COSMESTICOS</t>
  </si>
  <si>
    <t>UOL MENSALIDADES</t>
  </si>
  <si>
    <t>Barras de cereaus</t>
  </si>
  <si>
    <t>CUSTO DE UTILIZACAO EXT.-IOF</t>
  </si>
  <si>
    <t>Game: devil May Cry 4</t>
  </si>
  <si>
    <t>Nokia N97 (04/06)</t>
  </si>
  <si>
    <t>Passagias</t>
  </si>
  <si>
    <t>ropas</t>
  </si>
  <si>
    <t>Blus Arquivos X</t>
  </si>
  <si>
    <t>Mercearia Tia Ana</t>
  </si>
  <si>
    <t>Iron Maiden - Fotografias</t>
  </si>
  <si>
    <t>mercados de praias</t>
  </si>
  <si>
    <t>mais Passagias</t>
  </si>
  <si>
    <t>Kbnobs da SG pelo Ebay</t>
  </si>
  <si>
    <t>$8,99 USD</t>
  </si>
  <si>
    <t>G2 VESTUARIOS (02/02)</t>
  </si>
  <si>
    <t>MegaUpLoad</t>
  </si>
  <si>
    <t>Vitrine do Artezanato</t>
  </si>
  <si>
    <t>CD Iron Maiden - The Final Frontier</t>
  </si>
  <si>
    <t>Nokia N97 (05/06)</t>
  </si>
  <si>
    <t>Mundial Sto Na</t>
  </si>
  <si>
    <t>Mona</t>
  </si>
  <si>
    <t>Marisa Lj 573</t>
  </si>
  <si>
    <t>Perfumaria 2k</t>
  </si>
  <si>
    <t>Bluray de Presentes</t>
  </si>
  <si>
    <t>Pitiças rutes em casa</t>
  </si>
  <si>
    <t>Pizzeria do Esporcaccionees</t>
  </si>
  <si>
    <t>Coisas de farmácias</t>
  </si>
  <si>
    <t>LocaWEV Site da Cristiane</t>
  </si>
  <si>
    <t>Nokia N97 (06/06)</t>
  </si>
  <si>
    <t>Boticario</t>
  </si>
  <si>
    <t xml:space="preserve"> Outubro / 2010</t>
  </si>
  <si>
    <t>SUSY BEAUTY-SOGO</t>
  </si>
  <si>
    <t>Scrapi sampa</t>
  </si>
  <si>
    <t>Yummys</t>
  </si>
  <si>
    <t>Pizzas rutes</t>
  </si>
  <si>
    <t>Jacques Janenes (01/02)</t>
  </si>
  <si>
    <t>Ná-Gumo´s</t>
  </si>
  <si>
    <t>Arte Ponto 1</t>
  </si>
  <si>
    <t>Hometheater: STR-DN1000 (01/04)</t>
  </si>
  <si>
    <t>Loca Web Site da Cristiane</t>
  </si>
  <si>
    <t>Scott Pilgrin + Kick Ass</t>
  </si>
  <si>
    <t>Jacques Janenes (02/02)</t>
  </si>
  <si>
    <t>Presente de casamento do denis</t>
  </si>
  <si>
    <t>Nágumo´s</t>
  </si>
  <si>
    <t>Hometheater: STR-DN1000 (02/04)</t>
  </si>
  <si>
    <t>SANSEI SIMILARES COMES</t>
  </si>
  <si>
    <t>Academia dezembros</t>
  </si>
  <si>
    <t>Pagamentop Fatura</t>
  </si>
  <si>
    <t xml:space="preserve">Roupas de casamento </t>
  </si>
  <si>
    <t>AMIGA MODAS</t>
  </si>
  <si>
    <t>Drogazsil</t>
  </si>
  <si>
    <t>Linda Luz Calçados</t>
  </si>
  <si>
    <t>1Temp BGS + repo FOTD</t>
  </si>
  <si>
    <t xml:space="preserve">Duna + Miyuky Chan </t>
  </si>
  <si>
    <t>Alice da cristiane</t>
  </si>
  <si>
    <t>Do Duna</t>
  </si>
  <si>
    <t>A Nova Bataglia do Apocalipse</t>
  </si>
  <si>
    <t>Europa Multimedia - revista da cristiane</t>
  </si>
  <si>
    <t>Ingressos pro Iron maiden</t>
  </si>
  <si>
    <t>A paulista</t>
  </si>
  <si>
    <t>Game: GOOGLE *MaximusCards</t>
  </si>
  <si>
    <t>24,95 USD</t>
  </si>
  <si>
    <t>Hometheater: STR-DN1000 (03/04)</t>
  </si>
  <si>
    <t>janeiros</t>
  </si>
  <si>
    <t>PAYPAL *ZUTTERINNOV - maquina da cristiane</t>
  </si>
  <si>
    <t>$60,68 USD</t>
  </si>
  <si>
    <t>CABELO ESTETICA E BELE</t>
  </si>
  <si>
    <t xml:space="preserve"> TOK E STOK SHOP ABC</t>
  </si>
  <si>
    <t xml:space="preserve"> Janeiro / 2011</t>
  </si>
  <si>
    <t>Pagamento cartão Visa</t>
  </si>
  <si>
    <t>PAYPAL *ZUTTERINNOV - FRETE maquina da cristiane</t>
  </si>
  <si>
    <t>$27.41 USD</t>
  </si>
  <si>
    <t>Livraria da Folha - Alice denovo</t>
  </si>
  <si>
    <t>Assinatura mensal do Hotfile</t>
  </si>
  <si>
    <t>$9,00 USD</t>
  </si>
  <si>
    <t>farmácias</t>
  </si>
  <si>
    <t>Livro do Ledi zepelling</t>
  </si>
  <si>
    <t xml:space="preserve">Death Note Misa 1/6 Scale Statue Figure Anime White NEW </t>
  </si>
  <si>
    <t>$77,67 USD</t>
  </si>
  <si>
    <t>NAGUMOS</t>
  </si>
  <si>
    <t>Maua tecidos</t>
  </si>
  <si>
    <t>Fim dos Tempos - Profecias Egípcias e Destinos Humanos</t>
  </si>
  <si>
    <t>Bensi ?</t>
  </si>
  <si>
    <t>Drogao ABC</t>
  </si>
  <si>
    <t>Custo IOF</t>
  </si>
  <si>
    <t xml:space="preserve">Alessander M S S </t>
  </si>
  <si>
    <t>DealExtreme - MiniTeclados</t>
  </si>
  <si>
    <t>$46,01 USD</t>
  </si>
  <si>
    <t>Hometheater: STR-DN1000 (04/04)</t>
  </si>
  <si>
    <t>Viação GarCias</t>
  </si>
  <si>
    <t>Express Northwest</t>
  </si>
  <si>
    <t>Fevereiro´s</t>
  </si>
  <si>
    <t>Extorno  PAYPAL *ZUTTERINNOV</t>
  </si>
  <si>
    <t>Diskvision EVE</t>
  </si>
  <si>
    <t>Custo Utilização Ext</t>
  </si>
  <si>
    <t>BSG + Akira´s</t>
  </si>
  <si>
    <t>Papel de Papel (???)</t>
  </si>
  <si>
    <t>Game: Heavy Rain _ Frete</t>
  </si>
  <si>
    <t>BD Akira + BSG 4Tmp Vol2 (Sumarino´s)</t>
  </si>
  <si>
    <t>Software: DVD Profiler</t>
  </si>
  <si>
    <t>$ 29,95 USD</t>
  </si>
  <si>
    <t>Blusinhas novas</t>
  </si>
  <si>
    <t>presente do lucas da patricas</t>
  </si>
  <si>
    <t>Crmes demaquilante´s</t>
  </si>
  <si>
    <t>Mais um livro de fotografias</t>
  </si>
  <si>
    <t xml:space="preserve">SCRAP &amp; CO </t>
  </si>
  <si>
    <t>Hometheater: Pedestais do HT</t>
  </si>
  <si>
    <t>Kotobukiya PP400 Sorceress Manaka (PVC Figure) 1/8</t>
  </si>
  <si>
    <t>¥9.240 JPY 114.2857 USD</t>
  </si>
  <si>
    <t>Remedio para evitar dores de cabeças</t>
  </si>
  <si>
    <t>Livraria PacoBello ???</t>
  </si>
  <si>
    <t>Perfumaria IVES</t>
  </si>
  <si>
    <t>Remedios de Gordos - MarcoFormulas</t>
  </si>
  <si>
    <t>Livros - Salmos Angelicais - ANNGELA MARCONDES JABOR</t>
  </si>
  <si>
    <t>Blu-ray Watchmen: O Filme- Duplo</t>
  </si>
  <si>
    <t>O Boticários´s</t>
  </si>
  <si>
    <t>Borrachas anti-derrapantes do controle</t>
  </si>
  <si>
    <t>£1,75 GBP</t>
  </si>
  <si>
    <t xml:space="preserve">Botas Novas </t>
  </si>
  <si>
    <t xml:space="preserve">Seringas remedios dores de cabça </t>
  </si>
  <si>
    <t>Deal Extreme 0412XU07</t>
  </si>
  <si>
    <t>$58,53 USD</t>
  </si>
  <si>
    <t xml:space="preserve">CloroFila </t>
  </si>
  <si>
    <t>Bolas Marisas</t>
  </si>
  <si>
    <t>Balloarts</t>
  </si>
  <si>
    <t>Marvel Bishoujo Statue Ms.Marvel</t>
  </si>
  <si>
    <t>¥10.670 JPY</t>
  </si>
  <si>
    <t>Expresso Nordeste</t>
  </si>
  <si>
    <t>Scott Pilgrin 3</t>
  </si>
  <si>
    <t>Gasossa´s no paraná</t>
  </si>
  <si>
    <t xml:space="preserve">Viagem Férias 2011 (01/10) </t>
  </si>
  <si>
    <t>Jacques Janenes</t>
  </si>
  <si>
    <t>SCRAP &amp; CO</t>
  </si>
  <si>
    <t>FileServer</t>
  </si>
  <si>
    <t>USD 9,90 $</t>
  </si>
  <si>
    <t>Motorola Atrix (01/06)</t>
  </si>
  <si>
    <t>Taxas do M.L</t>
  </si>
  <si>
    <t>Nitroplus 1/7 Super Soniko Bondage ver. Complete Figure</t>
  </si>
  <si>
    <t xml:space="preserve"> ¥11.070 JPY </t>
  </si>
  <si>
    <t>MobileApp: Symbian :</t>
  </si>
  <si>
    <t>MobileApp: Android:</t>
  </si>
  <si>
    <t xml:space="preserve">MobileApp: Android: </t>
  </si>
  <si>
    <t>BitShares</t>
  </si>
  <si>
    <t>Blusa do Akira + Kamiseta GiTS</t>
  </si>
  <si>
    <t>Presente de O JardiNet</t>
  </si>
  <si>
    <t>Gothic Rei + Asuka</t>
  </si>
  <si>
    <t>Celular Novo Cristiane (01/05)</t>
  </si>
  <si>
    <t>Comida Mineira do Coco</t>
  </si>
  <si>
    <t>La Cantinna´s</t>
  </si>
  <si>
    <t>And-Roids Action-Figures</t>
  </si>
  <si>
    <t>24,14 USD</t>
  </si>
  <si>
    <t>FArmacias</t>
  </si>
  <si>
    <t>Cabelo (01/02)</t>
  </si>
  <si>
    <t>Chili Pepper´s</t>
  </si>
  <si>
    <t xml:space="preserve">ANIME Sexy girl "Canal" 6" figure collection </t>
  </si>
  <si>
    <t>$26,50 USD</t>
  </si>
  <si>
    <t>Hering</t>
  </si>
  <si>
    <t xml:space="preserve">Viagem Férias 2011 (02/10) </t>
  </si>
  <si>
    <t>Parasol Petala 67mm</t>
  </si>
  <si>
    <t>Info expecial 88 - Android</t>
  </si>
  <si>
    <t>Pearson Education</t>
  </si>
  <si>
    <t>Oculos Novos (01/03)</t>
  </si>
  <si>
    <t>Motorola Atrix (02/06)</t>
  </si>
  <si>
    <t>Motorola Xoom (01/12)</t>
  </si>
  <si>
    <t>Motorola Xoom Oficial Case Folio</t>
  </si>
  <si>
    <t>MobileApp: Android: Google Reader HD</t>
  </si>
  <si>
    <t>$ 2,05 USD</t>
  </si>
  <si>
    <t>Capa de coro do Xoom</t>
  </si>
  <si>
    <t>Cabelos Sansei cosméticos S/A</t>
  </si>
  <si>
    <t>Celular Novo Cristiane (02/05)</t>
  </si>
  <si>
    <t>Cabelo (02/02)</t>
  </si>
  <si>
    <t xml:space="preserve">Viagem Férias 2011 (03/10) </t>
  </si>
  <si>
    <t>Nova Assinatura fileServer</t>
  </si>
  <si>
    <t>Oculos Novos (02/03)</t>
  </si>
  <si>
    <t>Motorola Atrix (03/06)</t>
  </si>
  <si>
    <t>Motorola Xoom (02/12)</t>
  </si>
  <si>
    <t>Camisetas de gatos</t>
  </si>
  <si>
    <t>remediuo paa evitar dor-de-cabeça</t>
  </si>
  <si>
    <t>Ghostbusters Bishoujo Lucy Complete Figure</t>
  </si>
  <si>
    <t>¥8.550 JPY</t>
  </si>
  <si>
    <t>Ração + Arreias</t>
  </si>
  <si>
    <t>Celular Novo Cristiane (03/05)</t>
  </si>
  <si>
    <t>Novo controle Remoto do XBMC</t>
  </si>
  <si>
    <t>Mensalidade do sites</t>
  </si>
  <si>
    <t>Almoço La Cantina´s</t>
  </si>
  <si>
    <t xml:space="preserve">Jantares de 10 anos </t>
  </si>
  <si>
    <t xml:space="preserve">Viagem Férias 2011 (04/10) </t>
  </si>
  <si>
    <t>HUB USB HTPC XBMC 7 ptas</t>
  </si>
  <si>
    <t>Pra galera do PartedMAgic.com</t>
  </si>
  <si>
    <t xml:space="preserve">$10,00 USD </t>
  </si>
  <si>
    <t>Contos Imaginários, fantásticos</t>
  </si>
  <si>
    <t>Oculos Novos (03/03)</t>
  </si>
  <si>
    <t>Motorola Atrix (04/06)</t>
  </si>
  <si>
    <t>Almofadas para a salas</t>
  </si>
  <si>
    <t>Motorola Xoom (03/12)</t>
  </si>
  <si>
    <t>Software: CKMEDIA*PAPER CRAFTS</t>
  </si>
  <si>
    <t>$ 43,97 USD</t>
  </si>
  <si>
    <t>IOF de compra no exterior</t>
  </si>
  <si>
    <t>Louças orientes para casa</t>
  </si>
  <si>
    <t>Ban RI</t>
  </si>
  <si>
    <t>flores de casas</t>
  </si>
  <si>
    <t>¥ 9.240 JPY</t>
  </si>
  <si>
    <t>¥ 9.040 JPY</t>
  </si>
  <si>
    <t>Produtos da festa de aniversário</t>
  </si>
  <si>
    <t>Celular Novo Cristiane (04/05)</t>
  </si>
  <si>
    <t>Almoços no Asia Express</t>
  </si>
  <si>
    <t>Desodorizantes Corporais</t>
  </si>
  <si>
    <t>Jantar de Aniversário da cristiane</t>
  </si>
  <si>
    <t>Lojas CasaMania</t>
  </si>
  <si>
    <t>Friff</t>
  </si>
  <si>
    <t>Almoços no centreos</t>
  </si>
  <si>
    <t xml:space="preserve"> Setembro / 2011</t>
  </si>
  <si>
    <t xml:space="preserve">Viagem Férias 2011 (05/10) </t>
  </si>
  <si>
    <t>Livros Goslpel pro Silveira</t>
  </si>
  <si>
    <t>Loca Web Site do batata</t>
  </si>
  <si>
    <t>Passagens Para-Ná</t>
  </si>
  <si>
    <t>Motorola Atrix (05/06)</t>
  </si>
  <si>
    <t>nahumo´s</t>
  </si>
  <si>
    <t>PORTICO</t>
  </si>
  <si>
    <t>LUNNE DECOR HOME</t>
  </si>
  <si>
    <t>Motorola Xoom (04/12)</t>
  </si>
  <si>
    <t>Coisas de Scrap Buquin</t>
  </si>
  <si>
    <t>Mercados diversos gerais</t>
  </si>
  <si>
    <t>Celular Novo Cristiane (05/05)</t>
  </si>
  <si>
    <t>Passagens aereas pra BSB</t>
  </si>
  <si>
    <t xml:space="preserve">Viagem Férias 2011 (06/10) </t>
  </si>
  <si>
    <t>Evitar Dores de cabeças</t>
  </si>
  <si>
    <t>Motorola Atrix (06/06)</t>
  </si>
  <si>
    <t>Motorola Xoom (05/12)</t>
  </si>
  <si>
    <t>Action Figures do Iron Maiden</t>
  </si>
  <si>
    <t>Remedios de e para evitar dores de cabeça</t>
  </si>
  <si>
    <t>Site da cristiane</t>
  </si>
  <si>
    <t>Cremes de cabelo´s</t>
  </si>
  <si>
    <t xml:space="preserve">Viagem Férias 2011 (07/10) </t>
  </si>
  <si>
    <t>Ama-ciantes</t>
  </si>
  <si>
    <t>Kotobukiya Catwoman Bishoujo</t>
  </si>
  <si>
    <t>Paypal Assinatura mensal do MegaUpload</t>
  </si>
  <si>
    <t>€9,99 EUR</t>
  </si>
  <si>
    <t>$23,76 USD</t>
  </si>
  <si>
    <t>MobileApp: Android: WiFi File Transfer</t>
  </si>
  <si>
    <t>€0,99 EUR</t>
  </si>
  <si>
    <t>Motorola Xoom (06/12)</t>
  </si>
  <si>
    <t>Software: paypal Salling Media Sync for Windows</t>
  </si>
  <si>
    <t>$14,99 USD</t>
  </si>
  <si>
    <t>Diário de PA</t>
  </si>
  <si>
    <t>J &amp; J COM BI ???</t>
  </si>
  <si>
    <t>Comercial R.A.</t>
  </si>
  <si>
    <t>Perfume Victorya Secrets Amber Romance</t>
  </si>
  <si>
    <t xml:space="preserve">LocaWeb: CristianeCarlin.com.br </t>
  </si>
  <si>
    <t>LocaWeb: MPLuthieria.com.br</t>
  </si>
  <si>
    <t>Livros didáticos de ingles</t>
  </si>
  <si>
    <t>mavala unhas</t>
  </si>
  <si>
    <t>PayPal Conta mensal do fileserver</t>
  </si>
  <si>
    <t>Batman - Ano Um + Cavaleiro Trevas + Piada Mortal</t>
  </si>
  <si>
    <t xml:space="preserve">Variaçao Cambial </t>
  </si>
  <si>
    <t>Viagem Férias 2011 (08/10)</t>
  </si>
  <si>
    <t>Amendocê comercials</t>
  </si>
  <si>
    <t>Renovação Assinatura Fotografias Revistadas</t>
  </si>
  <si>
    <t>Buguer MAPs</t>
  </si>
  <si>
    <t>Estacionamento no BURGUER MAPS</t>
  </si>
  <si>
    <t>Relógio esportivo da cristiane</t>
  </si>
  <si>
    <t>MobileApp: Android: Paper Cameras</t>
  </si>
  <si>
    <t>$ 0,10 USD</t>
  </si>
  <si>
    <t>MobileApp: Android: Field Runner</t>
  </si>
  <si>
    <t>MobileApp: Android: Beautiful Widgets</t>
  </si>
  <si>
    <t>MobileApp: Android: AirSync Double Twists</t>
  </si>
  <si>
    <t>MobileApp: Android: SoundHouse</t>
  </si>
  <si>
    <t>Guerra Civil</t>
  </si>
  <si>
    <t>Batman - 1989 - Bluray</t>
  </si>
  <si>
    <t>MobileApp: Android: Talking TOM Cat II</t>
  </si>
  <si>
    <t>Protocolo Blue Hand - Alienigenas</t>
  </si>
  <si>
    <t>Inside on Flight 666</t>
  </si>
  <si>
    <t xml:space="preserve">Paypal Weebly Inc, </t>
  </si>
  <si>
    <t>$48,11 USD</t>
  </si>
  <si>
    <t>Motorola Xoom (07/12)</t>
  </si>
  <si>
    <t>MobileApp: Android: Camera Zooom FX</t>
  </si>
  <si>
    <t>MobileApp: Android: Talking BEM The DOG</t>
  </si>
  <si>
    <t>O Boticario´s</t>
  </si>
  <si>
    <t>Cronicas Gelo&amp;Fogo 3 + batman  dia das Bruxas</t>
  </si>
  <si>
    <t>Marvel Bishoujo Mystique</t>
  </si>
  <si>
    <t>¥8.390 JPY</t>
  </si>
  <si>
    <t>Carrefurtos</t>
  </si>
  <si>
    <t>2x Joystick It Black from Deal Extreme</t>
  </si>
  <si>
    <t>$10,00 USD</t>
  </si>
  <si>
    <t>Cabo USB Host OTG</t>
  </si>
  <si>
    <t>$2,30 USD</t>
  </si>
  <si>
    <t>Viagem Férias 2011 (09/10)</t>
  </si>
  <si>
    <t>Pagamento Fartura</t>
  </si>
  <si>
    <t>BiBellout</t>
  </si>
  <si>
    <t>BatLivros da BatAmazon</t>
  </si>
  <si>
    <t>$124.00 usd</t>
  </si>
  <si>
    <t>BatPoster de Batman + CatWoman na BatAmazon</t>
  </si>
  <si>
    <t>$22.31 usd</t>
  </si>
  <si>
    <t>Novo carregador de celolar</t>
  </si>
  <si>
    <t>Assinatura de revistas de Scrapis</t>
  </si>
  <si>
    <t>Amazão livros da Cristiane</t>
  </si>
  <si>
    <t>$69.98 USD</t>
  </si>
  <si>
    <t>Motorola Xoom (08/12)</t>
  </si>
  <si>
    <t>WTF? = IOF</t>
  </si>
  <si>
    <t xml:space="preserve">Game: RockSmith </t>
  </si>
  <si>
    <t>Nova Lingerie</t>
  </si>
  <si>
    <t xml:space="preserve"> Fevereiro / 2012</t>
  </si>
  <si>
    <t>Viagem Férias 2011 (10/10)</t>
  </si>
  <si>
    <t>Variação Cambial ?</t>
  </si>
  <si>
    <t>Guerra de Os Tronos + Eu Sou A Legenda</t>
  </si>
  <si>
    <t xml:space="preserve">Bensi </t>
  </si>
  <si>
    <t>Batman &amp; Filhos</t>
  </si>
  <si>
    <t>Motorola Xoom (09/12)</t>
  </si>
  <si>
    <t>MobileApp: Android: Aplicativo no Android Market</t>
  </si>
  <si>
    <t>$ 0,98 USD</t>
  </si>
  <si>
    <t>Mais livros na Ama-xon</t>
  </si>
  <si>
    <t xml:space="preserve"> $99.23 USD</t>
  </si>
  <si>
    <t>Roteador Mega Power</t>
  </si>
  <si>
    <t>Nariko no e-Bay</t>
  </si>
  <si>
    <t>Coisas de Scrapy</t>
  </si>
  <si>
    <t>Batman Arkham City - Comic Book BR</t>
  </si>
  <si>
    <t>Corporação Batman Vol 01</t>
  </si>
  <si>
    <t>Motorola Xoom (10/12)</t>
  </si>
  <si>
    <t>IOF do cartão da cristiane</t>
  </si>
  <si>
    <t>Remédios para dores de cabeçãs</t>
  </si>
  <si>
    <t>Kotobukiya MK56 Marvel Bishoujo Statue ELEKTRA 1/7 Bishoujo Statue</t>
  </si>
  <si>
    <t>¥9,870 JPY</t>
  </si>
  <si>
    <t>Software: Fast Access Face recognition</t>
  </si>
  <si>
    <t>$29,99 USD</t>
  </si>
  <si>
    <t>Variação de Cabial para Credito</t>
  </si>
  <si>
    <t>Vevey Comercial ?!?!?!?!</t>
  </si>
  <si>
    <t>Frutas Fescas?</t>
  </si>
  <si>
    <t>Motorola Xoom (11/12)</t>
  </si>
  <si>
    <t>Adaptadores com microfones do Deal Extreame</t>
  </si>
  <si>
    <t>$9,40 USD</t>
  </si>
  <si>
    <t>Controle Xb360 p/ PC</t>
  </si>
  <si>
    <t>Farmácias ???</t>
  </si>
  <si>
    <t xml:space="preserve">Software: Licença de 2 anos AVAST pro Desktop </t>
  </si>
  <si>
    <t xml:space="preserve"> Maio / 2012</t>
  </si>
  <si>
    <t>Centro Esportivo ????</t>
  </si>
  <si>
    <t>Batman - Wacky Wobbler</t>
  </si>
  <si>
    <t>Avengadores</t>
  </si>
  <si>
    <t>Motorola Xoom (12/12)</t>
  </si>
  <si>
    <t>Fundoe em Campos de O Jordão</t>
  </si>
  <si>
    <t>Pousada Santha Serra Campos de O Jodeão</t>
  </si>
  <si>
    <t>Comix na Panini</t>
  </si>
  <si>
    <t>Neuromancer na Livraria Curitiba.</t>
  </si>
  <si>
    <t>Materiais de scrp buquin Scrap Goodie</t>
  </si>
  <si>
    <t>Materiais de scrp buquin Arte Facil</t>
  </si>
  <si>
    <t xml:space="preserve">Almoço no xópings </t>
  </si>
  <si>
    <t>Blusas novas</t>
  </si>
  <si>
    <t>Bolsas novas denovo? (01/03)</t>
  </si>
  <si>
    <t>Nagumnos</t>
  </si>
  <si>
    <t xml:space="preserve"> Junho / 2012</t>
  </si>
  <si>
    <t>V de Vingança</t>
  </si>
  <si>
    <t>Game: $10 USD de creditos na PSN</t>
  </si>
  <si>
    <t>$12,49 USD</t>
  </si>
  <si>
    <t>Registro de Dominio luizcarlin.com.br</t>
  </si>
  <si>
    <t>Deuses Americanos do Neil Gaiman</t>
  </si>
  <si>
    <t>Branca de Neve e O CaçaDor</t>
  </si>
  <si>
    <t xml:space="preserve">DC Bishoujo Kotobubya Poison Ive </t>
  </si>
  <si>
    <t>Scott Pilgrim</t>
  </si>
  <si>
    <t>Fretes da LTD-Edition</t>
  </si>
  <si>
    <t>Coisas de Scrap da InterNe</t>
  </si>
  <si>
    <t>$19,80 USD</t>
  </si>
  <si>
    <t>Software: Jogo Bejeweled 3 POP ca´p Games</t>
  </si>
  <si>
    <t>$19,95 usd</t>
  </si>
  <si>
    <t xml:space="preserve">IOF do Periodo </t>
  </si>
  <si>
    <t>Count Zero + Mona Lisa Overdriver na Ed. Aleph</t>
  </si>
  <si>
    <t>Figura Batman Bobble Head Computer Sitter Funko</t>
  </si>
  <si>
    <t>Mega Mouse HP emborrachado pra combinar com o Netebuque</t>
  </si>
  <si>
    <t>Bolsas novas denovo? (02/03)</t>
  </si>
  <si>
    <t>C&amp;A ?</t>
  </si>
  <si>
    <t>herings</t>
  </si>
  <si>
    <t>Kotobukya Bishoujo x-23</t>
  </si>
  <si>
    <t>MobileApp: Android:Safe Wallet</t>
  </si>
  <si>
    <t xml:space="preserve">Pagammento Fatura </t>
  </si>
  <si>
    <t>Materiais de ScrapBuquin</t>
  </si>
  <si>
    <t>Prometheus 3D</t>
  </si>
  <si>
    <t>MobileApp: Android: Double Twist covers</t>
  </si>
  <si>
    <t>Harley Quinn Arkham Asylium</t>
  </si>
  <si>
    <t>Software: Safe Wallet Windows</t>
  </si>
  <si>
    <t>$ 14,99 USD</t>
  </si>
  <si>
    <t>Bateria nova do Atrix</t>
  </si>
  <si>
    <t>Duliste eireli</t>
  </si>
  <si>
    <t>IOF no exterior</t>
  </si>
  <si>
    <t>Batman Arkham City: Catwoman - DC Direct / Batman The Dark Knight Rises - Wacky Wobbler</t>
  </si>
  <si>
    <t xml:space="preserve">Passagens da Avianca </t>
  </si>
  <si>
    <t xml:space="preserve">Cartão de memória de 32 GB pro celular </t>
  </si>
  <si>
    <t>Alisa Ilynichna Amiera</t>
  </si>
  <si>
    <t>Bolsas novas denovo? (03/03)</t>
  </si>
  <si>
    <t xml:space="preserve">Loca Web </t>
  </si>
  <si>
    <t>HD WESTERN DIGITAL HD EXTERNO PORTATIL MY PASSPORT 500GB USB 3.0</t>
  </si>
  <si>
    <t>Batman TDKR</t>
  </si>
  <si>
    <t>Mkais Mercadi´s</t>
  </si>
  <si>
    <t>Variação cambial</t>
  </si>
  <si>
    <t>Figura resina Batman Exclusica</t>
  </si>
  <si>
    <t>Camiseta de O Batman Vintage</t>
  </si>
  <si>
    <t>Batman, catWoman, Imaginario Vol 4</t>
  </si>
  <si>
    <t>He-Man 1Temp 2 Vol</t>
  </si>
  <si>
    <t>Ed. MAdras - 2º Planeta, O - Livro I das Crônicas da Terra</t>
  </si>
  <si>
    <t>Ed. MAdras - Caminho para o Céu, O;</t>
  </si>
  <si>
    <t>Ed. MAdras - Guerras dos Deuses e dos Homens, As - Livro III das crônicas da terra</t>
  </si>
  <si>
    <t>MobileApp: Android: AccueView</t>
  </si>
  <si>
    <t>MobileApp: IOS:</t>
  </si>
  <si>
    <t>$ 2,98 USD</t>
  </si>
  <si>
    <t>Iof</t>
  </si>
  <si>
    <t>The Avengers - BD - Exclusico</t>
  </si>
  <si>
    <t>O Senhor dos Aneis Extendido BD</t>
  </si>
  <si>
    <t>Loca Web site cristiane</t>
  </si>
  <si>
    <t>Batman cidade castigada</t>
  </si>
  <si>
    <t>Blade Runner BD</t>
  </si>
  <si>
    <t>MobileApp: IOS: Aplicativos da Apple Store</t>
  </si>
  <si>
    <t xml:space="preserve">Character Vocal Series 3: Luka Megurine Tony ver. </t>
  </si>
  <si>
    <t>BD do Ghost In The Shell</t>
  </si>
  <si>
    <t>MobileApp: Android: Pixel Fixer?</t>
  </si>
  <si>
    <t>Novos Tenises</t>
  </si>
  <si>
    <t>Coisas de IScrapiBuquin</t>
  </si>
  <si>
    <t>farmacias</t>
  </si>
  <si>
    <t>iPhone 4S (01/03)</t>
  </si>
  <si>
    <t>MobileApp: IOS:Safe Wallet</t>
  </si>
  <si>
    <t>Deal Estreme :  Coisas de Iphone</t>
  </si>
  <si>
    <t>Açouques</t>
  </si>
  <si>
    <t>Extras Ipiranguinhas</t>
  </si>
  <si>
    <t xml:space="preserve">Tonico Numero 2 do Boticário </t>
  </si>
  <si>
    <t>Comix Books na Comix.com.br</t>
  </si>
  <si>
    <t>DVD na Comix.com.br</t>
  </si>
  <si>
    <t>Coisas para Scrapi Buquin</t>
  </si>
  <si>
    <t>IOF exterior</t>
  </si>
  <si>
    <t>MobileApp: IOS: MobileRSS</t>
  </si>
  <si>
    <t>$ 2,99</t>
  </si>
  <si>
    <t>MobileApp: IOS: Pedometer</t>
  </si>
  <si>
    <t>$ 3,99</t>
  </si>
  <si>
    <t>Protetores Labiais no MercadoLIvre</t>
  </si>
  <si>
    <t>Placa De Vídeo Nvidia Geforce Gt430 1gb Ddr3 - 128 Bits</t>
  </si>
  <si>
    <t>coisas de scrapi</t>
  </si>
  <si>
    <t>MobileApp: IOS:WhatsApp Mess</t>
  </si>
  <si>
    <t>$ 0,99</t>
  </si>
  <si>
    <t xml:space="preserve">MobileApp: Android: Tasks (tarefas) </t>
  </si>
  <si>
    <t>$ 0,25 USD</t>
  </si>
  <si>
    <t>MobileApp: Android: runtastic PRO</t>
  </si>
  <si>
    <t xml:space="preserve">Crazy Turkey (01/04) </t>
  </si>
  <si>
    <t>MobileApp: Android: doubleTwist Alarm Clock</t>
  </si>
  <si>
    <t>MobileApp: Android: Msecure Password Manager</t>
  </si>
  <si>
    <t>MobileApp: Android: HD WidGets</t>
  </si>
  <si>
    <t>Passagens Avianca</t>
  </si>
  <si>
    <t>ConsultA no ra-UL</t>
  </si>
  <si>
    <t>Symbicort 12/400 e Gripes</t>
  </si>
  <si>
    <t>Moletom do Softy Kitty</t>
  </si>
  <si>
    <t>BDs do batima</t>
  </si>
  <si>
    <t>Batima filho do Demo</t>
  </si>
  <si>
    <t>The rock'n'roll burguer</t>
  </si>
  <si>
    <t>Harley Quinn, Poison Yve, Spawn Mandarin</t>
  </si>
  <si>
    <t>iPhone 4S (02/03)</t>
  </si>
  <si>
    <t>Sushi yassu</t>
  </si>
  <si>
    <t>Cafes de Terrdes na liberdades</t>
  </si>
  <si>
    <t>Figuras da Sillouette</t>
  </si>
  <si>
    <t>$ 10,41 USD</t>
  </si>
  <si>
    <t>Coisas de Scrap Buiqin</t>
  </si>
  <si>
    <t>estacionamento no Bexigas</t>
  </si>
  <si>
    <t>Ce que sabes</t>
  </si>
  <si>
    <t>Creme Facias</t>
  </si>
  <si>
    <t>Lapid de olhes</t>
  </si>
  <si>
    <t>Dx.com: Lenovo N5901 2.4GHz Portable Handheld Wireless Keyboard with Trackball Mouse (2 x AAA)-35909</t>
  </si>
  <si>
    <t>US$ 28.20</t>
  </si>
  <si>
    <t>Dx.com:  Portable 2.4GHz 802.11b/g/n 300Mbps Wireless WiFi Repeater (AC 100-240V)-107457</t>
  </si>
  <si>
    <t>US$ 27.40</t>
  </si>
  <si>
    <t>Dx.com: Charging Docking Station with 3.5MM Line Out for iPhone 4 / 4S - Black-48583</t>
  </si>
  <si>
    <t>US$ 3.29</t>
  </si>
  <si>
    <t>Dx.com: AC Adapter Charger + Car Charger + USB Cable for iPhone 4 / 4S - Black (US Plug)-142383</t>
  </si>
  <si>
    <t>US$ 4.00</t>
  </si>
  <si>
    <t>Dx.com: SubTotal</t>
  </si>
  <si>
    <t>Taxa de troca do PayPal</t>
  </si>
  <si>
    <t>+/- 7,73</t>
  </si>
  <si>
    <t>Fetiche House</t>
  </si>
  <si>
    <t>MobileApp: IOS: Bejeweled for iPhone</t>
  </si>
  <si>
    <t xml:space="preserve">Crazy Turkey (02/04) </t>
  </si>
  <si>
    <t>Pizzeria Giullias no shopping Grand Plaza ABC</t>
  </si>
  <si>
    <t>Eletrodomesticos: 3 anos de seguros da TV nova</t>
  </si>
  <si>
    <t>Hometheater: TV Plasma Panasonic 50" PA TC P50OUT50B TC P50UT50B</t>
  </si>
  <si>
    <t>Lateral Bump Iphone 4s na Multicoisas</t>
  </si>
  <si>
    <t>Coisas de casas diversas na Multicoisas</t>
  </si>
  <si>
    <t>Sushi Nahoe</t>
  </si>
  <si>
    <t>Software: Windows 8 Pro - HP Pavilion DM1</t>
  </si>
  <si>
    <t>Piter Paiva´s</t>
  </si>
  <si>
    <t>Pink roupas</t>
  </si>
  <si>
    <t>iPhone 4S (03/03)</t>
  </si>
  <si>
    <t>Almoço em O Morgãoes</t>
  </si>
  <si>
    <t>Viuva Negra Gray Costume Bishoujo - Kotobukiya</t>
  </si>
  <si>
    <t>IOF no exterior ???</t>
  </si>
  <si>
    <t>Bat-livro dos Bat-filmes do Bat-Nolan</t>
  </si>
  <si>
    <t>Adaptador Wi-Fi USB para Séries UT50, E5, X5 e C5</t>
  </si>
  <si>
    <t xml:space="preserve">Dr. Feet Escaldeiras? </t>
  </si>
  <si>
    <t>Renovação da revista de fotos</t>
  </si>
  <si>
    <t xml:space="preserve">Crazy Turkey (03/04) </t>
  </si>
  <si>
    <t>Paccoccas cafese de manhas</t>
  </si>
  <si>
    <t>Mais coisas de Scraps</t>
  </si>
  <si>
    <t>Protocolo BlueHand: Zumbies</t>
  </si>
  <si>
    <t xml:space="preserve"> Dezezembro / 2012</t>
  </si>
  <si>
    <t>Pagamento Fatura Santander real Visa</t>
  </si>
  <si>
    <t>Bensi?!?!</t>
  </si>
  <si>
    <t>Loja Bom Tempo?</t>
  </si>
  <si>
    <t>Hometheater: Bdplayer BDPS5903D</t>
  </si>
  <si>
    <t>Eletrodomesticos: Garantia estendua DBPLAYER</t>
  </si>
  <si>
    <t>NaHuMos</t>
  </si>
  <si>
    <t>G M Embalagens</t>
  </si>
  <si>
    <t>VeyVey ?</t>
  </si>
  <si>
    <t>Ed. Madras: Haviam Gigantes na terra?</t>
  </si>
  <si>
    <t>Punch! Fansub</t>
  </si>
  <si>
    <t>Camiseta: LInuxMall: No, I'll Not fix your computer RTFM</t>
  </si>
  <si>
    <t>Camiseta: Estamparia paulista: No, I'll Not fix your computer</t>
  </si>
  <si>
    <t>Crazy Turkey (04/04)</t>
  </si>
  <si>
    <t>O Hobbit 3d em SCS</t>
  </si>
  <si>
    <t>Coleção DVD Perry Hotter</t>
  </si>
  <si>
    <t>Monalisa?</t>
  </si>
  <si>
    <t>Remedio p/ evitar dor de cabeça</t>
  </si>
  <si>
    <t>Loca Web Site Cristiane</t>
  </si>
  <si>
    <t xml:space="preserve">Ultrabook Dell XPS 14" (01/10) </t>
  </si>
  <si>
    <t>Coisas na LInuxMall - credito da camiseta</t>
  </si>
  <si>
    <t>naHuMo´s</t>
  </si>
  <si>
    <t>Farmácia vanair</t>
  </si>
  <si>
    <t>Vinhos Pt - 01</t>
  </si>
  <si>
    <t>Almoço em São roques</t>
  </si>
  <si>
    <t>Vinhos Pt - 02</t>
  </si>
  <si>
    <t>Vinhos Pt - 03</t>
  </si>
  <si>
    <t>Almoço no Shopping de SCS</t>
  </si>
  <si>
    <t>BatMóvel de 1940</t>
  </si>
  <si>
    <t>Roupas de KDMIas</t>
  </si>
  <si>
    <t>SUPER SONICO TOKONATSU Suntanned Ver. (PVC Figure) 1/6</t>
  </si>
  <si>
    <t xml:space="preserve"> 12,080 yen</t>
  </si>
  <si>
    <t>Academia ForLIfe (01/04)</t>
  </si>
  <si>
    <t>Mesa de Notebook + hub + adesivos de silicone</t>
  </si>
  <si>
    <t>Xampous de cabelos</t>
  </si>
  <si>
    <t>Limpador de peles</t>
  </si>
  <si>
    <t>NaHumos</t>
  </si>
  <si>
    <t>Passagens de viagens</t>
  </si>
  <si>
    <t>Gasosas no GGM3</t>
  </si>
  <si>
    <t>remedio para evitar dor de cabeça</t>
  </si>
  <si>
    <t>Almoço em O Alffarre</t>
  </si>
  <si>
    <t>Coisas para lenches</t>
  </si>
  <si>
    <t>Paccocas</t>
  </si>
  <si>
    <t>Mecados</t>
  </si>
  <si>
    <t>No restaurante da Praia de caburius</t>
  </si>
  <si>
    <t>Farmácias de queimadura de sois</t>
  </si>
  <si>
    <t>Coisas de comer de mercado</t>
  </si>
  <si>
    <t>Software: Licenca do Win8 para o Dell XPS</t>
  </si>
  <si>
    <t>Expresso catarinese para CTBA</t>
  </si>
  <si>
    <t>MobileAPP: Ios: Luxor</t>
  </si>
  <si>
    <t>Asilo Arkham</t>
  </si>
  <si>
    <t xml:space="preserve">Ultrabook Dell XPS 14" (02/10) </t>
  </si>
  <si>
    <t>Modem 3g no ML</t>
  </si>
  <si>
    <t>Remnedios diversos</t>
  </si>
  <si>
    <t>Coisas de comer de manha do NaHuMo´s</t>
  </si>
  <si>
    <t>Download de ScrapBuquin</t>
  </si>
  <si>
    <t>$ 12,66 USD</t>
  </si>
  <si>
    <t>Academia ForLIfe (02/04)</t>
  </si>
  <si>
    <t>O Boticário´s</t>
  </si>
  <si>
    <t>The red Wood´s</t>
  </si>
  <si>
    <t>Roupas novas pro luiz</t>
  </si>
  <si>
    <t>Remédios de Queimaduras</t>
  </si>
  <si>
    <t>Marcço / 2013</t>
  </si>
  <si>
    <t>Software: Licença do Office 2013</t>
  </si>
  <si>
    <t>ProPhamacos</t>
  </si>
  <si>
    <t xml:space="preserve">Ultrabook Dell XPS 14" (03/10) </t>
  </si>
  <si>
    <t>Game: God Of War Ascension: Totalmente Em Português - PS3</t>
  </si>
  <si>
    <t>Nagunmos</t>
  </si>
  <si>
    <t>JULUAN ?!?!?</t>
  </si>
  <si>
    <t>Passagias ?!?!?!</t>
  </si>
  <si>
    <t>Academia ForLIfe (03/04)</t>
  </si>
  <si>
    <t>OM Jeans</t>
  </si>
  <si>
    <t>restaurantes da praia</t>
  </si>
  <si>
    <t>IOF DESPESAS EXTERIOR</t>
  </si>
  <si>
    <t>Estorno de compra do Modem</t>
  </si>
  <si>
    <t>Fritz Müller ?!?!?!?</t>
  </si>
  <si>
    <t>Fazzozzas</t>
  </si>
  <si>
    <t>Mais Gazzozzas</t>
  </si>
  <si>
    <t>Castelinhdo de A Pamonhas</t>
  </si>
  <si>
    <t>La Vienas do mappings</t>
  </si>
  <si>
    <t>jaqueta da TNG</t>
  </si>
  <si>
    <t>DVD Maiden England '88</t>
  </si>
  <si>
    <t>CD Duplo Maiden England '88</t>
  </si>
  <si>
    <t>IkeSaKI</t>
  </si>
  <si>
    <t>coisas de scrap interncionais</t>
  </si>
  <si>
    <t>$ 48,52 USD</t>
  </si>
  <si>
    <t>Hotel de campinas</t>
  </si>
  <si>
    <t>H2 Catuai</t>
  </si>
  <si>
    <t>Gravata da TNG</t>
  </si>
  <si>
    <t>Havaianas catuais</t>
  </si>
  <si>
    <t>Gazozz´S</t>
  </si>
  <si>
    <t>Mais Gazozza´s</t>
  </si>
  <si>
    <t>Almoço no xópings</t>
  </si>
  <si>
    <t>Cabeleileiros</t>
  </si>
  <si>
    <t xml:space="preserve">Ultrabook Dell XPS 14" (04/10) </t>
  </si>
  <si>
    <t>gazzozzas em apuca-ranas</t>
  </si>
  <si>
    <t>gazzozzas em estradas</t>
  </si>
  <si>
    <t>Roupas de Cama e Banhos</t>
  </si>
  <si>
    <t>Remédio para evitar dor de cabeça</t>
  </si>
  <si>
    <t>Grill Express</t>
  </si>
  <si>
    <t>Mais bat-Livros na Bat-Saraiva</t>
  </si>
  <si>
    <t>Cabalero das trevas Pt 002</t>
  </si>
  <si>
    <t>Xitara´s</t>
  </si>
  <si>
    <t>NaHumO´s</t>
  </si>
  <si>
    <t>Banries</t>
  </si>
  <si>
    <t>Livros de Iron Maidens</t>
  </si>
  <si>
    <t>Estacionamento na Fenacs</t>
  </si>
  <si>
    <t>A.F.s do Parque do Sul</t>
  </si>
  <si>
    <t>Mazza Ristoranti´s</t>
  </si>
  <si>
    <t>Academia ForLIfe (04/04)</t>
  </si>
  <si>
    <t>FNF eletronicos</t>
  </si>
  <si>
    <t>Jiang Laidi</t>
  </si>
  <si>
    <t>IOF do Exterior</t>
  </si>
  <si>
    <t>Gazozzas na estradas</t>
  </si>
  <si>
    <t>pizza da torre</t>
  </si>
  <si>
    <t>Lenches de estradas</t>
  </si>
  <si>
    <t>China In BOX</t>
  </si>
  <si>
    <t>Mercadis diversis</t>
  </si>
  <si>
    <t>gasolinas</t>
  </si>
  <si>
    <t>Nahumi´s</t>
  </si>
  <si>
    <t>Renovação do dominio do sites</t>
  </si>
  <si>
    <t>PIZZAS DA paccocca´s em casa</t>
  </si>
  <si>
    <t>Remédios de azias diversos</t>
  </si>
  <si>
    <t>Scrap &amp; Co</t>
  </si>
  <si>
    <t>The Burger MAPs</t>
  </si>
  <si>
    <t>Areia de cocôs</t>
  </si>
  <si>
    <t>Kotobukiya PP491 Takamura Yui Eishi Strengthening Equipment (PVC Figure) 1/7</t>
  </si>
  <si>
    <t>13,320 yen</t>
  </si>
  <si>
    <t>IOF REFERENTE A 29/04/13</t>
  </si>
  <si>
    <t>Homi de Ferro 3</t>
  </si>
  <si>
    <t>Before Watchmen - tudo</t>
  </si>
  <si>
    <t>Show do Megadeth + Black Sabbath  (01/03)</t>
  </si>
  <si>
    <t>Ultrabook Dell XPS 14" (05/10)</t>
  </si>
  <si>
    <t>Produto de limpeza de rostos</t>
  </si>
  <si>
    <t xml:space="preserve">Voo Para Natal (01/06) </t>
  </si>
  <si>
    <t>Almoço no xóppings</t>
  </si>
  <si>
    <t>Sporcacciones em casa</t>
  </si>
  <si>
    <t>Mais Nutricionistas</t>
  </si>
  <si>
    <t>Remédios de nuticionistas</t>
  </si>
  <si>
    <t>Anti-transpirantes de Os Pés</t>
  </si>
  <si>
    <t>Coisas diversas de farmácias</t>
  </si>
  <si>
    <t>Camisetas de iron maidens</t>
  </si>
  <si>
    <t>Estacionamento na augustas</t>
  </si>
  <si>
    <t>coisas da W.W. na L.E.</t>
  </si>
  <si>
    <t>BlueBich Biquines</t>
  </si>
  <si>
    <t>Burques quinquios</t>
  </si>
  <si>
    <t>Chapinhas novas</t>
  </si>
  <si>
    <t>IkeSaKy</t>
  </si>
  <si>
    <t>ShaBabs</t>
  </si>
  <si>
    <t>Renners</t>
  </si>
  <si>
    <t>Capital Steak Houe</t>
  </si>
  <si>
    <t>Lenche de Estradas - I</t>
  </si>
  <si>
    <t>Lenche de Estradas - II</t>
  </si>
  <si>
    <t>Cremes dersanis</t>
  </si>
  <si>
    <t>Toalhas pro dia da toalha</t>
  </si>
  <si>
    <t>Faldras de camas</t>
  </si>
  <si>
    <t>Nicolau Max</t>
  </si>
  <si>
    <t>Coisas de azias</t>
  </si>
  <si>
    <t>Marmita´x de piraju</t>
  </si>
  <si>
    <t>Lenche de estradeas</t>
  </si>
  <si>
    <t>Filtros estrelas 6 pontas 0,67mm</t>
  </si>
  <si>
    <t>StarBurques</t>
  </si>
  <si>
    <t>Para O Trabalhos</t>
  </si>
  <si>
    <t>CMDStore.com G.I. Joe 25th Anniversary Wave 2: Sharc &amp; Deep 6</t>
  </si>
  <si>
    <t>$ 47,90 USD</t>
  </si>
  <si>
    <t>Devolução do CMD Store</t>
  </si>
  <si>
    <t>Pra Pegar o Carro na Pejô!</t>
  </si>
  <si>
    <t xml:space="preserve">Kotobukiya PP498 Kriska Barchenowa Eishi Strengthening Equipment (PVC Figure) 1/7 </t>
  </si>
  <si>
    <t>¥11.280 JPY</t>
  </si>
  <si>
    <t>Capa de celular</t>
  </si>
  <si>
    <t xml:space="preserve"> Junho / 2013</t>
  </si>
  <si>
    <t xml:space="preserve">Casa Loanda </t>
  </si>
  <si>
    <t>Remédios diversos para diversos</t>
  </si>
  <si>
    <t>Mais coisas de Scrapes</t>
  </si>
  <si>
    <t>SenSei Cosméticos</t>
  </si>
  <si>
    <t>Show do Megadeth + Black Sabbath  (02/03)</t>
  </si>
  <si>
    <t>Ultrabook Dell XPS 14" (06/10)</t>
  </si>
  <si>
    <t xml:space="preserve">Voo Para Natal (02/06) </t>
  </si>
  <si>
    <t>Taxi pra Grulhos</t>
  </si>
  <si>
    <t>Lanche do Aeroporto de Guarulhos</t>
  </si>
  <si>
    <t>Taxis para o Rifolis</t>
  </si>
  <si>
    <t xml:space="preserve">MobileAPP: Ios:  INstaWeather </t>
  </si>
  <si>
    <t>MobileAPP: Ios: Bloqueador de chamadas</t>
  </si>
  <si>
    <t>Taxi de Guarulhos para Sto André</t>
  </si>
  <si>
    <t>NaHuMIs</t>
  </si>
  <si>
    <t>Passagens pra Brasilias</t>
  </si>
  <si>
    <t>25th Anniversary - Shark Tooth &amp; Deep Six</t>
  </si>
  <si>
    <t>$62.48 USD</t>
  </si>
  <si>
    <t>IOF REFERENTE A 24/06/13</t>
  </si>
  <si>
    <t>Max Factory 062777 figma Cryska Barchenowa (PVC Figure) Non figma]</t>
  </si>
  <si>
    <t>5,273 yen</t>
  </si>
  <si>
    <t>IOF REFERENTE A 28/06/13</t>
  </si>
  <si>
    <t>Pizzaria torre de pizzas</t>
  </si>
  <si>
    <t>Saca-rolhas da VictoryInox</t>
  </si>
  <si>
    <t>Show do Megadeth + Black Sabbath  (03/03)</t>
  </si>
  <si>
    <t>Ultrabook Dell XPS 14" (07/10)</t>
  </si>
  <si>
    <t>Liv cultura - X-MEN - A ERA DO APOCALIPSE, V.3</t>
  </si>
  <si>
    <t>LIv cultura - X-MEN - A ERA DO APOCALIPSE, V.4</t>
  </si>
  <si>
    <t>MobileAPP: Android: Yagtse - XBMC remote</t>
  </si>
  <si>
    <t xml:space="preserve">Voo Para Natal (03/06) </t>
  </si>
  <si>
    <t>Saraiva: X-MEN - A ERA DO APOCALIPSE + Death Note</t>
  </si>
  <si>
    <t>Mercadis NaHuMi´s</t>
  </si>
  <si>
    <t>MobileAPP: Ios: Bejeweled</t>
  </si>
  <si>
    <t>Salões de belezas</t>
  </si>
  <si>
    <t>IOF despesas exteriores</t>
  </si>
  <si>
    <t>Capa do Step de O Iron Maiden</t>
  </si>
  <si>
    <t>Gazzozza na EcoSport</t>
  </si>
  <si>
    <t xml:space="preserve">Cobertores diversos na Zello </t>
  </si>
  <si>
    <t>Controle remoto do portão para a EchoSports</t>
  </si>
  <si>
    <t>MobileAPP: Ios: WTF ???</t>
  </si>
  <si>
    <t>Gazzozza No Peugeot</t>
  </si>
  <si>
    <t>Carrefur</t>
  </si>
  <si>
    <t>MobileAPP: Android: Prince Of persia SaF</t>
  </si>
  <si>
    <t>Batman Corporação, VOL 3</t>
  </si>
  <si>
    <t>IOF REFERENTE A 26/07/13</t>
  </si>
  <si>
    <t>Alicate de pressão + Chaves combinadas + VedaRoscas</t>
  </si>
  <si>
    <t>Lampadas da cozinhas</t>
  </si>
  <si>
    <t>Farmácias diversaws</t>
  </si>
  <si>
    <t>Protetor de CarTers</t>
  </si>
  <si>
    <t>Chave Canivete Stylle</t>
  </si>
  <si>
    <t xml:space="preserve">Roupas de Hering brasilias (01/02) </t>
  </si>
  <si>
    <t>Ultrabook Dell XPS 14" (08/10)</t>
  </si>
  <si>
    <t xml:space="preserve">Voo Para Natal (04/06) </t>
  </si>
  <si>
    <t>Coisas de Iscrape Buquin</t>
  </si>
  <si>
    <t>iPhone 4 Do tomires</t>
  </si>
  <si>
    <t>Morumbi Shopping - Piola</t>
  </si>
  <si>
    <t>Thais de Gusmão</t>
  </si>
  <si>
    <t>Cloridato de ciprofloxaxina - Osteomelitie</t>
  </si>
  <si>
    <t>The Red Wood´s</t>
  </si>
  <si>
    <t>Symbicort 12/400 + curativos</t>
  </si>
  <si>
    <t>Extra do Ipiranguinha´s</t>
  </si>
  <si>
    <t>Justiça - Ed Defititiva - Saraiva.com</t>
  </si>
  <si>
    <t>Pacific RIM - Circulo de O Fogo</t>
  </si>
  <si>
    <t>Tintas de O Cabelo´s</t>
  </si>
  <si>
    <t>Coisas na Internet ?!?!?!</t>
  </si>
  <si>
    <t>Game: The Last Of US</t>
  </si>
  <si>
    <t>Pipocas de Cinameas</t>
  </si>
  <si>
    <t>Saloes de Belezas</t>
  </si>
  <si>
    <t>Riachuello´s</t>
  </si>
  <si>
    <t>presentes de o boticários</t>
  </si>
  <si>
    <t>Yasmins</t>
  </si>
  <si>
    <t>Presentes de Poison de díor</t>
  </si>
  <si>
    <t>New York BurGuers</t>
  </si>
  <si>
    <t>Loca Web Site da cristiane</t>
  </si>
  <si>
    <t>Shiratas</t>
  </si>
  <si>
    <t>Instalar Ituran (01/06)</t>
  </si>
  <si>
    <t>Taxis para ir pra tim</t>
  </si>
  <si>
    <t>Death Note - Black edition II</t>
  </si>
  <si>
    <t xml:space="preserve">Roupas de Hering brasilias (02/02) </t>
  </si>
  <si>
    <t>Variação cabial a credito</t>
  </si>
  <si>
    <t>Para as cortinas I</t>
  </si>
  <si>
    <t>Para As cortinas II</t>
  </si>
  <si>
    <t>Magnatus Bijoux</t>
  </si>
  <si>
    <t>CreCi Bijux</t>
  </si>
  <si>
    <t>Presente de Aniversário da Mig</t>
  </si>
  <si>
    <t>Perfume da mohagony</t>
  </si>
  <si>
    <t>CDs Virges pra echo</t>
  </si>
  <si>
    <t>Chaveiro igual do Pejô</t>
  </si>
  <si>
    <t>Gazzozza na EchoSports GGM4</t>
  </si>
  <si>
    <t>Ultrabook Dell XPS 14" (09/10)</t>
  </si>
  <si>
    <t xml:space="preserve">Voo Para Natal (05/06) </t>
  </si>
  <si>
    <t>Quinta de O Marques</t>
  </si>
  <si>
    <t>Taxis pra casa</t>
  </si>
  <si>
    <t>Gazzozza na Echo GGM4</t>
  </si>
  <si>
    <t>Interruptor de Luz de Ré</t>
  </si>
  <si>
    <t>BD do Mad Max + DVD de O Robocopy</t>
  </si>
  <si>
    <t>Game: Submarino.com.br: Tomb Raider 2013 PS3</t>
  </si>
  <si>
    <t>Livros de receitas</t>
  </si>
  <si>
    <t>Gazzozza nA ecosport GGM4</t>
  </si>
  <si>
    <t>Do Eva - Asuka  e Reu Gothic + Chibi Asuka, rei e Pen-Pen</t>
  </si>
  <si>
    <t>Camiseta dos Jogos De Os Tronos</t>
  </si>
  <si>
    <t xml:space="preserve">Duas Máscaras do Hannya </t>
  </si>
  <si>
    <t>Coisas de Curativos</t>
  </si>
  <si>
    <t>PagSeguro para o Punch-fansub</t>
  </si>
  <si>
    <t>Shampoo de gatos</t>
  </si>
  <si>
    <t>Symbicort 12/400, Ciprofloxacino e diversos</t>
  </si>
  <si>
    <t>Jantares Lights no shoppings</t>
  </si>
  <si>
    <t>BAnRis comercials coma sandras</t>
  </si>
  <si>
    <t>The Reed Woods</t>
  </si>
  <si>
    <t>Tem-Manya</t>
  </si>
  <si>
    <t>Hime-Ya</t>
  </si>
  <si>
    <t>Death Note B.E. Vol III + Livros de Intelig. Emocional</t>
  </si>
  <si>
    <t>HOMEM DE FERRO EXTREMIS - ED.1 (CAPA DURA)</t>
  </si>
  <si>
    <t>Várias coisas na Paninic que eu tinha me esquecido</t>
  </si>
  <si>
    <t>HaHuMO´s</t>
  </si>
  <si>
    <t>Instalar Ituran (02/06)</t>
  </si>
  <si>
    <t>Kotobukyia ArtFX Mulher Maravilhosa New 52</t>
  </si>
  <si>
    <t>Cintos Sociais de roupas</t>
  </si>
  <si>
    <t>hOOters</t>
  </si>
  <si>
    <t>MobileAPP: Ios: Tetris</t>
  </si>
  <si>
    <t>The New Yorker Burgues</t>
  </si>
  <si>
    <t>Pastas suspenas de documentos</t>
  </si>
  <si>
    <t>Asian expresses</t>
  </si>
  <si>
    <t>Xampooos</t>
  </si>
  <si>
    <t>Cervejaria Theodora</t>
  </si>
  <si>
    <t>Play Arts Tomb raider 2013 (01/12) PQP!!!</t>
  </si>
  <si>
    <t>Pagamento de faturas</t>
  </si>
  <si>
    <t>Casa de Carnes da Villa Pires</t>
  </si>
  <si>
    <t xml:space="preserve">Anti inflamatórios diversos e curativos e dores </t>
  </si>
  <si>
    <t>Camisetas de Bandas do sabbadho neghro</t>
  </si>
  <si>
    <t>Camisetas de Bandas da Cristiane</t>
  </si>
  <si>
    <t>Bolsas de Gelos</t>
  </si>
  <si>
    <t>gazzozza no peugeot</t>
  </si>
  <si>
    <t>chocolocate na estratda</t>
  </si>
  <si>
    <t>The New York BurGuers</t>
  </si>
  <si>
    <t>Ultrabook Dell XPS 14" (10/10)</t>
  </si>
  <si>
    <t>Voo Para Natal (06/06)</t>
  </si>
  <si>
    <t>Vanair e coisas diversas (01/03)</t>
  </si>
  <si>
    <t>naHuMO´s</t>
  </si>
  <si>
    <t>Eagle Moss DC Heroes (01/10)</t>
  </si>
  <si>
    <t>Lanche da magrugada na paccoccas</t>
  </si>
  <si>
    <t>Almoço na Theorora´s</t>
  </si>
  <si>
    <t>Mazza Massas</t>
  </si>
  <si>
    <t>DB FODA do Pacific RIM + AF</t>
  </si>
  <si>
    <t>$ 94,48 USD</t>
  </si>
  <si>
    <t>Lanches da paccocca´s</t>
  </si>
  <si>
    <t>Credito da Amazon</t>
  </si>
  <si>
    <t>$ 5,45 USD</t>
  </si>
  <si>
    <t>Pingentes de pulseiras</t>
  </si>
  <si>
    <t>Almoço no crizeiros</t>
  </si>
  <si>
    <t>nAhUmO´S</t>
  </si>
  <si>
    <t>Artigos de belezas e unhas</t>
  </si>
  <si>
    <t>Coisas de farmácias diversas</t>
  </si>
  <si>
    <t>Presente da gabyes</t>
  </si>
  <si>
    <t>O que será?</t>
  </si>
  <si>
    <t>O Que Será</t>
  </si>
  <si>
    <t>Viação Aguia Branca ?!?!?!</t>
  </si>
  <si>
    <t>Estorno Viação Aguia Branca ?!?!?!</t>
  </si>
  <si>
    <t>iPhone 4 roubo do cartão</t>
  </si>
  <si>
    <t>Estorno iPhone 4 roubo do cartão</t>
  </si>
  <si>
    <t>Instalar Ituran (03/06)</t>
  </si>
  <si>
    <t>Play Arts Tomb raider 2013 (02/12) PQP!!!</t>
  </si>
  <si>
    <t>O que será isso ?!?!?!?!</t>
  </si>
  <si>
    <t>Variação Cambial</t>
  </si>
  <si>
    <t>Almoço no congresso de fotias</t>
  </si>
  <si>
    <t>Livros de Photos</t>
  </si>
  <si>
    <t>Vanair e coisas diversas (02/03)</t>
  </si>
  <si>
    <t>Eagle Moss DC Heroes (02/10)</t>
  </si>
  <si>
    <t>O Que Será ?</t>
  </si>
  <si>
    <t>$ 5,94 USD</t>
  </si>
  <si>
    <t xml:space="preserve">Par de Pneus do Peugeot (01/03) </t>
  </si>
  <si>
    <t>Quitutes doces e salgados</t>
  </si>
  <si>
    <t>Rações de Gatos e coisas de Gatos</t>
  </si>
  <si>
    <t>O Que Será ?!?!?!</t>
  </si>
  <si>
    <t>Cesto de fotos de bebês</t>
  </si>
  <si>
    <t>IOF Despesas no Exterior</t>
  </si>
  <si>
    <t xml:space="preserve">Ataque dos Titãs Nº 01 - Shingeki no Kyoijin </t>
  </si>
  <si>
    <t>Instalar Ituran (04/06)</t>
  </si>
  <si>
    <t>Pneus Novos + serviços (01/04)</t>
  </si>
  <si>
    <t>cabelereiros</t>
  </si>
  <si>
    <t>Play Arts Tomb raider 2013 (03/12) PQP!!!</t>
  </si>
  <si>
    <t>Coisas de Scrapi Buquin</t>
  </si>
  <si>
    <t>Multa da Academia For Life</t>
  </si>
  <si>
    <t>Materiais de Sillouette</t>
  </si>
  <si>
    <t>$ 6,00 USD</t>
  </si>
  <si>
    <t>Bolsas plasticas na Klunga</t>
  </si>
  <si>
    <t>Sapatios Novios</t>
  </si>
  <si>
    <t>Remédio de Evitar dores de cabeças</t>
  </si>
  <si>
    <t>Vanair e coisas diversas (03/03)</t>
  </si>
  <si>
    <t>Almços em piraju</t>
  </si>
  <si>
    <t>Shiva CosMetics</t>
  </si>
  <si>
    <t>Eagle Moss DC Heroes (03/10)</t>
  </si>
  <si>
    <t xml:space="preserve">Par de Pneus do Peugeot (02/03) </t>
  </si>
  <si>
    <t>IOF Cartão cristiane</t>
  </si>
  <si>
    <t>Pao de Acucar</t>
  </si>
  <si>
    <t>Compras de nathais</t>
  </si>
  <si>
    <t>Instalar Ituran (05/06)</t>
  </si>
  <si>
    <t>Pneus Novos + serviços (02/04)</t>
  </si>
  <si>
    <t>Play Arts Tomb raider 2013 (04/12) PQP!!!</t>
  </si>
  <si>
    <t xml:space="preserve">Variação Cabial </t>
  </si>
  <si>
    <t>Restituição Amazon</t>
  </si>
  <si>
    <t>Pequi Presentes ?!?!</t>
  </si>
  <si>
    <t>Eagle Moss DC Heroes (04/10)</t>
  </si>
  <si>
    <t>Par de Pneus do Peugeot (03/03)</t>
  </si>
  <si>
    <t>empório Natu Vida</t>
  </si>
  <si>
    <t xml:space="preserve">Casa das Meninas </t>
  </si>
  <si>
    <t>GM Embalagens</t>
  </si>
  <si>
    <t>Galeto espacial</t>
  </si>
  <si>
    <t>GiraSoll</t>
  </si>
  <si>
    <t>Instalar Ituran (06/06)</t>
  </si>
  <si>
    <t>Pneus Novos + serviços (03/04)</t>
  </si>
  <si>
    <t>Play Arts Tomb raider 2013 (05/12) PQP!!!</t>
  </si>
  <si>
    <t>Atelie Sueli Ribeiro</t>
  </si>
  <si>
    <t xml:space="preserve">Rações e areias de gatos </t>
  </si>
  <si>
    <t>Eagle Moss DC Heroes (05/10)</t>
  </si>
  <si>
    <t>O que será que é !!?!?</t>
  </si>
  <si>
    <t>Paccocas VRs</t>
  </si>
  <si>
    <t>Gazzozza na echosports</t>
  </si>
  <si>
    <t xml:space="preserve">Manicures </t>
  </si>
  <si>
    <t>coisas para Scrap</t>
  </si>
  <si>
    <t>minella ind. Com. De Alimentos/</t>
  </si>
  <si>
    <t>Play Arts Tomb raider 2013 (06/12) PQP!!!</t>
  </si>
  <si>
    <t>Pneus Novos + serviços (04/04)</t>
  </si>
  <si>
    <t>Eagle Moss DC Heroes (06/10)</t>
  </si>
  <si>
    <t>Calças Novas</t>
  </si>
  <si>
    <t>Cremes de Cabelos</t>
  </si>
  <si>
    <t>Play Arts Tomb raider 2013 (07/12) PQP!!!</t>
  </si>
  <si>
    <t>Sapatos na pixole</t>
  </si>
  <si>
    <t>Apostilas de concursos</t>
  </si>
  <si>
    <t>Eagle Moss DC Heroes (07/10)</t>
  </si>
  <si>
    <t>Rosa´s Churrascaria´s</t>
  </si>
  <si>
    <t>Play Arts Tomb raider 2013 (08/12) PQP!!!</t>
  </si>
  <si>
    <t>SanSei CosMeTiCos</t>
  </si>
  <si>
    <t>Coisas de Comer</t>
  </si>
  <si>
    <t>Eagle Moss DC Heroes (08/10)</t>
  </si>
  <si>
    <t>Play Arts Tomb raider 2013 (09/12) PQP!!!</t>
  </si>
  <si>
    <t>Sansei cosmeticos</t>
  </si>
  <si>
    <t>Capinhas de celulares</t>
  </si>
  <si>
    <t>Gazzozza Na EchoSport GGm4</t>
  </si>
  <si>
    <t>Eagle Moss DC Heroes (09/10)</t>
  </si>
  <si>
    <t>Passagens para piraju</t>
  </si>
  <si>
    <t>Play Arts Tomb raider 2013 (10/12) PQP!!!</t>
  </si>
  <si>
    <t>Eagle Moss DC Heroes (10/10)</t>
  </si>
  <si>
    <t>Lojas de Scraps</t>
  </si>
  <si>
    <t>roupas de festas</t>
  </si>
  <si>
    <t xml:space="preserve">Bejus diversas </t>
  </si>
  <si>
    <t>coisas de Sillouetes</t>
  </si>
  <si>
    <t>$ 6,93 USD</t>
  </si>
  <si>
    <t>Passagens diversas</t>
  </si>
  <si>
    <t>Play Arts Tomb raider 2013 (11/12) PQP!!!</t>
  </si>
  <si>
    <t>Jamille Acessórios Apucarana</t>
  </si>
  <si>
    <t>Mais Passagens</t>
  </si>
  <si>
    <t>Play Arts Tomb raider 2013 (12/12) PQP!!!</t>
  </si>
  <si>
    <t>Tarot: Renaissance Tarot Book: A Guide to the Renaissance Tarot</t>
  </si>
  <si>
    <t>$ 25,80 USD</t>
  </si>
  <si>
    <t>Restaurante Sky Azia</t>
  </si>
  <si>
    <t>Roupas novas diversas (01/02)</t>
  </si>
  <si>
    <t xml:space="preserve">$ 5,94 USD </t>
  </si>
  <si>
    <t>Café de paccocca´s</t>
  </si>
  <si>
    <t>Guardas chuvas portateis</t>
  </si>
  <si>
    <t>Riachuelo´s</t>
  </si>
  <si>
    <t>$ 8,92 USD</t>
  </si>
  <si>
    <t>Roupas novas diversas (02/02)</t>
  </si>
  <si>
    <t>Das bellas Moda feminina</t>
  </si>
  <si>
    <t>IOF da Sillouente</t>
  </si>
  <si>
    <t>Raçoes de gatos diversas</t>
  </si>
  <si>
    <t xml:space="preserve">Gazzozza na EchoSport </t>
  </si>
  <si>
    <t>Variação Cabial à credito</t>
  </si>
  <si>
    <t>Marisa</t>
  </si>
  <si>
    <t>Belta Tecbologya ?!?!?!?!</t>
  </si>
  <si>
    <t>Shampoos diversos na sansei (01/03)</t>
  </si>
  <si>
    <t xml:space="preserve">Farmácias Diversas </t>
  </si>
  <si>
    <t>Remédio de caganeira</t>
  </si>
  <si>
    <t>Moca Bijus</t>
  </si>
  <si>
    <t>Mercado extra</t>
  </si>
  <si>
    <t>Mobile App: Ios: ???</t>
  </si>
  <si>
    <t>Bolsas diversas</t>
  </si>
  <si>
    <t>Shampoos diversos na sansei (02/03)</t>
  </si>
  <si>
    <t xml:space="preserve">Gazzozza na Echo </t>
  </si>
  <si>
    <t>O Hobbit 3</t>
  </si>
  <si>
    <t>Mercados Nagumo´s</t>
  </si>
  <si>
    <t>IOF despezas exterior</t>
  </si>
  <si>
    <t xml:space="preserve">Coisas de Silhouette </t>
  </si>
  <si>
    <t>Cabeleirereios</t>
  </si>
  <si>
    <t>Nagums</t>
  </si>
  <si>
    <t>Camicado ?!?!</t>
  </si>
  <si>
    <t>Janeiro / 2015</t>
  </si>
  <si>
    <t>Pagamebto Fatura</t>
  </si>
  <si>
    <t>Menina Moça Bijoux</t>
  </si>
  <si>
    <t>Coisas na Paccocca´s</t>
  </si>
  <si>
    <t>Farmácia, o que será?</t>
  </si>
  <si>
    <t>Comercio de roupas</t>
  </si>
  <si>
    <t>Shampoos diversos na sansei (03/03)</t>
  </si>
  <si>
    <t>Tarot: OS MISTERIOS DOS ARCANOS</t>
  </si>
  <si>
    <t>Tiara Bolsas</t>
  </si>
  <si>
    <t>Coisas Pós Sois</t>
  </si>
  <si>
    <t>Deu la Deu Vinhos</t>
  </si>
  <si>
    <t>Bali Blue (01/02)</t>
  </si>
  <si>
    <t>Botequin Informal</t>
  </si>
  <si>
    <t>Francisco Jose AL</t>
  </si>
  <si>
    <t>Tarot: Jung e o Tarot</t>
  </si>
  <si>
    <t>Doces e queijos no trabalho</t>
  </si>
  <si>
    <t>Lanche na PTA BMG</t>
  </si>
  <si>
    <t>Consulta no BMG</t>
  </si>
  <si>
    <t xml:space="preserve">Tramento BMG (01/12) </t>
  </si>
  <si>
    <t>Pizza do Sporcacciones</t>
  </si>
  <si>
    <t>B.A.R. Figueiras</t>
  </si>
  <si>
    <t>Padaria Nova Vitórioas</t>
  </si>
  <si>
    <t>Trabalho: Mcdonalds</t>
  </si>
  <si>
    <t>Farmácia Pro Pharmaco´s</t>
  </si>
  <si>
    <t xml:space="preserve">Trabalho: Santo Prato </t>
  </si>
  <si>
    <t>Creme do Boticário</t>
  </si>
  <si>
    <t>Taxi para entrevsta NTT</t>
  </si>
  <si>
    <t>Trabalho: Burguer Kings</t>
  </si>
  <si>
    <t>O Cruzeiro´s BARs</t>
  </si>
  <si>
    <t>Coisas na Riachuello</t>
  </si>
  <si>
    <t>Kazu na Liberdade</t>
  </si>
  <si>
    <t>Insencários diversos</t>
  </si>
  <si>
    <t>Gazzozza no Pegô GGM3</t>
  </si>
  <si>
    <t>Cafes de Nexpresso</t>
  </si>
  <si>
    <t xml:space="preserve">The NY Burguer </t>
  </si>
  <si>
    <t xml:space="preserve">Eno e Floratil </t>
  </si>
  <si>
    <t>Trabalho: Almoço no Fanguito II</t>
  </si>
  <si>
    <t>Gazozza n EchoSport GGM4</t>
  </si>
  <si>
    <t>Trabalho: McDonaldos</t>
  </si>
  <si>
    <t>Areia de Gaots</t>
  </si>
  <si>
    <t>Spaguetti Notte-A</t>
  </si>
  <si>
    <t>Banri Comercials</t>
  </si>
  <si>
    <t>Sporcacioones</t>
  </si>
  <si>
    <t>DrogaRaia Drogasil</t>
  </si>
  <si>
    <t>Pizzaria Sta Clara</t>
  </si>
  <si>
    <t>Café no Shopping Light São Paulo</t>
  </si>
  <si>
    <t>Caneca da Harley Quinn</t>
  </si>
  <si>
    <t>Super Grill Atrium</t>
  </si>
  <si>
    <t>McSortetes</t>
  </si>
  <si>
    <t>Vestido Novo</t>
  </si>
  <si>
    <t>Supermercado DIA´s</t>
  </si>
  <si>
    <t>Canetas de quadro branco + Ixqueros</t>
  </si>
  <si>
    <t>Bali Blue (02/02)</t>
  </si>
  <si>
    <t>Baterias de relógios diversos</t>
  </si>
  <si>
    <t>America São Caetano</t>
  </si>
  <si>
    <t>Tenis Novo (01/03)</t>
  </si>
  <si>
    <t>Teh Fifties</t>
  </si>
  <si>
    <t xml:space="preserve">Tramento BMG (02/12) </t>
  </si>
  <si>
    <t>Gazie Pizzeria</t>
  </si>
  <si>
    <t>Ibiza Shopping Ibirapuera</t>
  </si>
  <si>
    <t>Coisas de patins</t>
  </si>
  <si>
    <t>Symbicort 12/400 + Pomadas de feridas + dores de cabeça + eno</t>
  </si>
  <si>
    <t>Spoletto dpo Shoppings Mappings</t>
  </si>
  <si>
    <t>Lavagem do Pejô</t>
  </si>
  <si>
    <t>Trabalho: Coxinhas do ragazzo</t>
  </si>
  <si>
    <t>Trabalho: Lanche de Tarde</t>
  </si>
  <si>
    <t>McDonald´s</t>
  </si>
  <si>
    <t>Papeis na Nivaldir Nivalmax</t>
  </si>
  <si>
    <t>Almoçp na Victorya Regia´s</t>
  </si>
  <si>
    <t>Paccoccaq´s VRs</t>
  </si>
  <si>
    <t>Almoço na esquina do yagizi</t>
  </si>
  <si>
    <t>Trabalho: Alfarre lanche de noite</t>
  </si>
  <si>
    <t>Trabalho: The burguer Kinguios</t>
  </si>
  <si>
    <t>Jantar com a sandras</t>
  </si>
  <si>
    <t>Ikesakis</t>
  </si>
  <si>
    <t>Trabalho: Pizza Poatronis</t>
  </si>
  <si>
    <t>Calças novas (01/02)</t>
  </si>
  <si>
    <t>LigLIg em casa</t>
  </si>
  <si>
    <t>Gazzozza no Pajô GGM3</t>
  </si>
  <si>
    <t>anhumos</t>
  </si>
  <si>
    <t>Macaco + Chave de rodas</t>
  </si>
  <si>
    <t>Creme pós barbia</t>
  </si>
  <si>
    <t>Prednisona</t>
  </si>
  <si>
    <t>Anti Furto De Rodas + Estepe Externo - Ecosport *kit 5+1</t>
  </si>
  <si>
    <t>Injustiça: Deuses Entre nós 02</t>
  </si>
  <si>
    <t>bijoux da 25a avenida</t>
  </si>
  <si>
    <t>Tenis Novo (02/03)</t>
  </si>
  <si>
    <t>Drogaria Vila América</t>
  </si>
  <si>
    <t>The reed Wood</t>
  </si>
  <si>
    <t>Caféses do Shoppins</t>
  </si>
  <si>
    <t>Coisas de comer da Pacocca´s</t>
  </si>
  <si>
    <t>Injustiça: Deuses Entre nós 03 / Batman noel</t>
  </si>
  <si>
    <t>Tarot: A biblia do Tarot - Amazon.com.br</t>
  </si>
  <si>
    <t xml:space="preserve">Tramento BMG (03/12) </t>
  </si>
  <si>
    <t>Almoço na pacocca´s</t>
  </si>
  <si>
    <t>Insensos divesos e artigos de magias</t>
  </si>
  <si>
    <t>The fifthies</t>
  </si>
  <si>
    <t>Chinelas da WonderWoman</t>
  </si>
  <si>
    <t>Livros de Saraivas</t>
  </si>
  <si>
    <t>Roupas para Patins</t>
  </si>
  <si>
    <t>Tarot: The B.O.T.A. Tarot Deck</t>
  </si>
  <si>
    <t>$ 21,60 USD</t>
  </si>
  <si>
    <t>Cortar cabelos da Cabeça</t>
  </si>
  <si>
    <t>panificadora</t>
  </si>
  <si>
    <t>Tarot: Caixa para artigos diversos</t>
  </si>
  <si>
    <t>Gazzzozza no Pejô GGM3</t>
  </si>
  <si>
    <t>Enos e Omeprazois</t>
  </si>
  <si>
    <t>Supermercado O Dia´s</t>
  </si>
  <si>
    <t>Tarot: Astrologia do GOYA</t>
  </si>
  <si>
    <t>Tarot: Museu Hermético / Dicionário de Simbolos (01/03)</t>
  </si>
  <si>
    <t>EagleMoss Bane e Groodd</t>
  </si>
  <si>
    <t>Calças novas (02/02)</t>
  </si>
  <si>
    <t>etualla</t>
  </si>
  <si>
    <t>Supermercado o Dia %</t>
  </si>
  <si>
    <t>Tarot: Visconti Sforza + Radiant Rider Waite</t>
  </si>
  <si>
    <t>Tarot: Giled Lenormar PDF Companion</t>
  </si>
  <si>
    <t>$ 5,00 USD</t>
  </si>
  <si>
    <t>Ração e areia de Cocôs</t>
  </si>
  <si>
    <t xml:space="preserve">Bateria Laptop dell inspiron 1545 </t>
  </si>
  <si>
    <t>Almoço em o Sukyia no centro</t>
  </si>
  <si>
    <t>Calça leggin</t>
  </si>
  <si>
    <t>Lenços diversos</t>
  </si>
  <si>
    <t>Lampadas da echoSport</t>
  </si>
  <si>
    <t xml:space="preserve">Tarot: B.O.T.A Tarot Deck </t>
  </si>
  <si>
    <t>$ 27.10 USD</t>
  </si>
  <si>
    <t>Almoço no Raggazzo di Shoppings</t>
  </si>
  <si>
    <t>Quebra-Cabeças Marvéis</t>
  </si>
  <si>
    <t>Tenis Novo (03/03)</t>
  </si>
  <si>
    <t>Gaveiteiros Diversos</t>
  </si>
  <si>
    <t>Sais enóis de 48 !</t>
  </si>
  <si>
    <t>Tarot: of the Pirates + Royo Dark + Secret</t>
  </si>
  <si>
    <t>Tarot: French Cartomancy</t>
  </si>
  <si>
    <t xml:space="preserve">Tramento BMG (04/12) </t>
  </si>
  <si>
    <t>Roupas de patins</t>
  </si>
  <si>
    <t>Almpço n'O Cruzeiro´s</t>
  </si>
  <si>
    <t>Batheria de iPhone4s no MercadoLIvre</t>
  </si>
  <si>
    <t>Iphone 5S (01/06)</t>
  </si>
  <si>
    <t>Museu Hermético / Dicionário de Simbolos (02/03)</t>
  </si>
  <si>
    <t xml:space="preserve">Tramento BMG (05/12) </t>
  </si>
  <si>
    <t>Iphone 5S (02/06)</t>
  </si>
  <si>
    <t>Museu Hermético / Dicionário de Simbolos (03/03)</t>
  </si>
  <si>
    <t xml:space="preserve">Tramento BMG (06/12) </t>
  </si>
  <si>
    <t xml:space="preserve"> julho / 2015</t>
  </si>
  <si>
    <t>Iphone 5S (03/06)</t>
  </si>
  <si>
    <t xml:space="preserve">Tramento BMG (07/12) </t>
  </si>
  <si>
    <t>Iphone 5S (04/06)</t>
  </si>
  <si>
    <t xml:space="preserve">Tramento BMG (08/12) </t>
  </si>
  <si>
    <t>Iphone 5S (05/06)</t>
  </si>
  <si>
    <t>Tramento BMG (09/12)</t>
  </si>
  <si>
    <t>Outubro / 2015</t>
  </si>
  <si>
    <t>Iphone 5S (06/06)</t>
  </si>
  <si>
    <t>Tramento BMG (10/12)</t>
  </si>
  <si>
    <t>Tramento BMG (11/12)</t>
  </si>
  <si>
    <t>Tramento BMG (12/12)</t>
  </si>
  <si>
    <t xml:space="preserve"> Janeiro  / 2016</t>
  </si>
  <si>
    <t xml:space="preserve"> Fevereiro  / 2016</t>
  </si>
  <si>
    <t xml:space="preserve">Maço / 2016 </t>
  </si>
  <si>
    <t>Janeiro/2017</t>
  </si>
  <si>
    <t>Pulseiras AppleWatch</t>
  </si>
  <si>
    <t xml:space="preserve">Assinatura Anual Alura (01/12) </t>
  </si>
  <si>
    <t>Livro de Engenharia de Software - Roger S. Pressman</t>
  </si>
  <si>
    <t>Pagamennto de Fatura</t>
  </si>
  <si>
    <t xml:space="preserve">Assinatura Anual Alura (02/12) </t>
  </si>
  <si>
    <t>Anuidade 04/12</t>
  </si>
  <si>
    <t xml:space="preserve">Assinatura Anual Alura (03/12) </t>
  </si>
  <si>
    <t xml:space="preserve">Assinatura Anual Alura (04/12) </t>
  </si>
  <si>
    <t xml:space="preserve">Assinatura Anual Alura (05/12) </t>
  </si>
  <si>
    <t xml:space="preserve">Assinatura Anual Alura (06/12) </t>
  </si>
  <si>
    <t xml:space="preserve">Assinatura Anual Alura (07/12) </t>
  </si>
  <si>
    <t xml:space="preserve">Assinatura Anual Alura (08/12) </t>
  </si>
  <si>
    <t xml:space="preserve">Assinatura Anual Alura (09/12) </t>
  </si>
  <si>
    <t xml:space="preserve">Assinatura Anual Alura (10/12) </t>
  </si>
  <si>
    <t xml:space="preserve">Assinatura Anual Alura (11/12) </t>
  </si>
  <si>
    <t xml:space="preserve">Assinatura Anual Alura (12/12) </t>
  </si>
  <si>
    <t>Coisa do Boticário</t>
  </si>
  <si>
    <t xml:space="preserve">Parc. Voo (CGP BSB) (01/03) </t>
  </si>
  <si>
    <t>Plastico do banheiro</t>
  </si>
  <si>
    <t>CD Rw + exaustor</t>
  </si>
  <si>
    <t>Pamonhas Freesquianhas</t>
  </si>
  <si>
    <t>Pintura</t>
  </si>
  <si>
    <t>Troca Passagem (01/03)</t>
  </si>
  <si>
    <t xml:space="preserve">Ração + areia </t>
  </si>
  <si>
    <t xml:space="preserve">Shampoo </t>
  </si>
  <si>
    <t>Tarifa Excesso Limite</t>
  </si>
  <si>
    <t>Passagem GOL</t>
  </si>
  <si>
    <t>Toca do caraio</t>
  </si>
  <si>
    <t xml:space="preserve">Parc. Voo (CGP BSB) (02/03) </t>
  </si>
  <si>
    <t>Passagem da Cris (01/03)</t>
  </si>
  <si>
    <t>Troca Passagem (02/03)</t>
  </si>
  <si>
    <t>Pagamento fatura Unicard Visa</t>
  </si>
  <si>
    <t>Passagem da Cris (02/03)</t>
  </si>
  <si>
    <t>Troca Passagem (03/03)</t>
  </si>
  <si>
    <t>fevereiro / 2006</t>
  </si>
  <si>
    <t>Passagem da Cris (03/03)</t>
  </si>
  <si>
    <t>março / 2006</t>
  </si>
  <si>
    <t>Cartão nº</t>
  </si>
  <si>
    <t>4100.0105.4654.5013   D.V - 698</t>
  </si>
  <si>
    <t>Jun/2005</t>
  </si>
  <si>
    <t>Dia 02</t>
  </si>
  <si>
    <t>Data Limite</t>
  </si>
  <si>
    <t>5 dia Util antes do Vencimento</t>
  </si>
  <si>
    <t>Junho/ 2003</t>
  </si>
  <si>
    <t>Cheque  - 300045 - presente Cris</t>
  </si>
  <si>
    <t xml:space="preserve"> Agosto /2003</t>
  </si>
  <si>
    <t>Cheque - 300054 - Livro Kama Sutra</t>
  </si>
  <si>
    <t xml:space="preserve">Cheque - 3000172 - Luvas de couro </t>
  </si>
  <si>
    <t>Cheque - 300175 - Mudança</t>
  </si>
  <si>
    <t>Cheque - 300192 - Salão Cris</t>
  </si>
  <si>
    <t xml:space="preserve">Cheque - 000020 - Tattoo (02/02) </t>
  </si>
  <si>
    <t>Cheque - 441147- Bolsa (02/03)</t>
  </si>
  <si>
    <t>Cheque - 441148 - Bolsa(03/03)</t>
  </si>
  <si>
    <t>Julho/2001</t>
  </si>
  <si>
    <t>Cheque - 441160 - Celular (2)</t>
  </si>
  <si>
    <t xml:space="preserve">dezembro / 2001 </t>
  </si>
  <si>
    <t>janeiro / 2002</t>
  </si>
  <si>
    <t>Cheque - 867263 - Sofa (03/08)</t>
  </si>
  <si>
    <t>junho / 2002</t>
  </si>
  <si>
    <t>Cheque Eletronico - Bermudas</t>
  </si>
  <si>
    <t>Cheque - 423726  -Pos Cris</t>
  </si>
  <si>
    <t>Cheque - AA-000003 - Academia Abril/2006</t>
  </si>
  <si>
    <t>Cheque - AA-000031 - PRESENTE cristiane</t>
  </si>
  <si>
    <t xml:space="preserve"> Asgosto / 2006</t>
  </si>
  <si>
    <t>Cheque - AA-000035 - Exames Cristiane</t>
  </si>
  <si>
    <t xml:space="preserve">Cheque - AA-000051 - Festa HallowTim </t>
  </si>
  <si>
    <t xml:space="preserve">Cheque - AA-000043 - Academia Outubro </t>
  </si>
  <si>
    <t xml:space="preserve">Cheque - 000142 - Cademias </t>
  </si>
  <si>
    <t>Cheque - 000155 - Clin. Bella Forma (06/06)</t>
  </si>
  <si>
    <t>Cheque - 000160 - Academia For Life (02/08)</t>
  </si>
  <si>
    <t>Cheque - 000162 - Academia For Life (04/08)</t>
  </si>
  <si>
    <t>Cheque - 000163 - Academia For Life (05/08)</t>
  </si>
  <si>
    <t>Cheque - 000164 - Academia For Life (06/08)</t>
  </si>
  <si>
    <t>Cheque - 000165 - Academia For Life (07/08)</t>
  </si>
  <si>
    <t>Cheque - 000166 - Academia For Life (08/08)</t>
  </si>
  <si>
    <t>Cheque - SA-000181 - Pilates Cristiane</t>
  </si>
  <si>
    <t>Cheque - SA-000182 - Pilates Cristiane</t>
  </si>
  <si>
    <t>Cheque - AS-000192 - Pilates Cristiane</t>
  </si>
  <si>
    <t>Cheque - AA-000203 - Terapia Holisticas</t>
  </si>
  <si>
    <t>Cheque -rapel  saco p/ maqnesio</t>
  </si>
  <si>
    <t>Cheque – Mochila  (02/03)</t>
  </si>
  <si>
    <t>Cheque - Mochila(03/03)</t>
  </si>
  <si>
    <t>Cheque - 010142- Calça (01/03)</t>
  </si>
  <si>
    <t>Janeiro /2001</t>
  </si>
  <si>
    <t>Cheque - 010148 - Matricula ( 02/02)</t>
  </si>
  <si>
    <t>Fevereiro/2001</t>
  </si>
  <si>
    <t>Março/2001</t>
  </si>
  <si>
    <t>Abril/2001</t>
  </si>
  <si>
    <t>Cheque - 010040 - celular (06/06)</t>
  </si>
  <si>
    <t>Cheque - 100007 - Conserto da TV</t>
  </si>
  <si>
    <t>Cheque - 010042 - CarSystem.com</t>
  </si>
  <si>
    <t xml:space="preserve">Cheque - 010049 - Clinica Bella Forma (cris) </t>
  </si>
  <si>
    <t>Cheque - 410043 - Bella Forna (03/05)</t>
  </si>
  <si>
    <t>Cheque - 010072 - seguro Aluguel (02/04)</t>
  </si>
  <si>
    <t>Cheque - 010073 - seguro Aluguel (03/04)</t>
  </si>
  <si>
    <t>Cheque - 010074 - seguro Aluguel (04/04)</t>
  </si>
  <si>
    <t xml:space="preserve">Cheuqe - 000027 - Gordis </t>
  </si>
  <si>
    <t>Financi</t>
  </si>
  <si>
    <t>Saldo Restante :</t>
  </si>
  <si>
    <t>Financiamento Parecela (01/18)</t>
  </si>
  <si>
    <t>Financiamento Parecela (02/18)</t>
  </si>
  <si>
    <t>Financiamento Parecela (03/18)</t>
  </si>
  <si>
    <t>Financiamento Parecela (04/18)</t>
  </si>
  <si>
    <t>Financiamento Parecela (05/18)</t>
  </si>
  <si>
    <t>Financiamento Parecela (06/18)</t>
  </si>
  <si>
    <t>Financiamento Parecela (07/18)</t>
  </si>
  <si>
    <t>Financiamento Parecela (08/18)</t>
  </si>
  <si>
    <t>Financiamento Parecela (09/18)</t>
  </si>
  <si>
    <t>Financiamento Parecela (10/18)</t>
  </si>
  <si>
    <t>Financiamento Parecela (11/18)</t>
  </si>
  <si>
    <t>Financiamento Parecela (12/18)</t>
  </si>
  <si>
    <t>Financiamento Parecela (13/18)</t>
  </si>
  <si>
    <t>Financiamento Parecela (14/18)</t>
  </si>
  <si>
    <t>Financiamento Parecela (15/18)</t>
  </si>
  <si>
    <t>Financiamento Parecela (16/18)</t>
  </si>
  <si>
    <t>Financiamento Parecela (17/18)</t>
  </si>
  <si>
    <t>Financiamento Parecela (18/18)</t>
  </si>
  <si>
    <t>Parc. Financiamento Itau - 2019/2020 - Multa Aluguel  (01/24)</t>
  </si>
  <si>
    <t>Parc. Financiamento Itau - 2019/2020 - Multa Aluguel  (02/24)</t>
  </si>
  <si>
    <t>Parc. Financiamento Itau - 2019/2020 - Multa Aluguel  (03/24)</t>
  </si>
  <si>
    <t>Parc. Financiamento Itau - 2019/2020 - Multa Aluguel  (04/24)</t>
  </si>
  <si>
    <t>Parc. Financiamento Itau - 2019/2020 - Multa Aluguel  (05/24)</t>
  </si>
  <si>
    <t>Parc. Financiamento Itau - 2019/2020 - Multa Aluguel  (06/24)</t>
  </si>
  <si>
    <t>Parc. Financiamento Itau - 2019/2020 - Multa Aluguel  (07/24)</t>
  </si>
  <si>
    <t>Parc. Financiamento Itau - 2019/2020 - Multa Aluguel  (08/24)</t>
  </si>
  <si>
    <t>Parc. Financiamento Itau - 2019/2020 - Multa Aluguel  (09/24)</t>
  </si>
  <si>
    <t>Parc. Financiamento Itau - 2019/2020 - Multa Aluguel  (10/24)</t>
  </si>
  <si>
    <t>Parc. Financiamento Itau - 2019/2020 - Multa Aluguel  (11/24)</t>
  </si>
  <si>
    <t>Parc. Financiamento Itau - 2019/2020 - Multa Aluguel  (12/24)</t>
  </si>
  <si>
    <t>Parc. Financiamento Itau - 2019/2020 - Multa Aluguel  (13/24)</t>
  </si>
  <si>
    <t>Parc. Financiamento Itau - 2019/2020 - Multa Aluguel  (14/24)</t>
  </si>
  <si>
    <t>Parc. Financiamento Itau - 2019/2020 - Multa Aluguel  (15/24)</t>
  </si>
  <si>
    <t>Parc. Financiamento Itau - 2019/2020 - Multa Aluguel  (16/24)</t>
  </si>
  <si>
    <t>Parc. Financiamento Itau - 2019/2020 - Multa Aluguel  (17/24)</t>
  </si>
  <si>
    <t>Parc. Financiamento Itau - 2019/2020 - Multa Aluguel  (18/24)</t>
  </si>
  <si>
    <t>Parc. Financiamento Itau - 2019/2020 - Multa Aluguel  (19/24)</t>
  </si>
  <si>
    <t>Parc. Financiamento Itau - 2019/2020 - Multa Aluguel  (20/24)</t>
  </si>
  <si>
    <t>Parc. Financiamento Itau - 2019/2020 - Multa Aluguel  (21/24)</t>
  </si>
  <si>
    <t>Parc. Financiamento Itau - 2019/2020 - Multa Aluguel  (22/24)</t>
  </si>
  <si>
    <t>Parc. Financiamento Itau - 2019/2020 - Multa Aluguel  (23/24)</t>
  </si>
  <si>
    <t>Parc. Financiamento Itau - 2019/2020 - Multa Aluguel  (24/24)</t>
  </si>
  <si>
    <t>Saldo Contratado</t>
  </si>
  <si>
    <t xml:space="preserve">Valor Parcela </t>
  </si>
  <si>
    <t>Meses</t>
  </si>
  <si>
    <t>Tx Juros A.A.</t>
  </si>
  <si>
    <t>Tx Juros Total</t>
  </si>
  <si>
    <t>Valor REAL</t>
  </si>
  <si>
    <t>Valor de JUROS</t>
  </si>
  <si>
    <t>Media de Juros ao Mês</t>
  </si>
  <si>
    <t xml:space="preserve">Valor Pago Real (Com descontos) </t>
  </si>
  <si>
    <t>Valor Já pago</t>
  </si>
  <si>
    <t>Descontos Acumulados</t>
  </si>
  <si>
    <t>https://fazaconta.com/simulador-financiamento.htm</t>
  </si>
  <si>
    <t>rsilverio@santander.com.br</t>
  </si>
  <si>
    <t xml:space="preserve"> outubro / 2004</t>
  </si>
  <si>
    <t xml:space="preserve"> Mail / 2005</t>
  </si>
  <si>
    <t>Restante</t>
  </si>
  <si>
    <t>Parc. Financiamento NuBank - 2022/2024 (16/24)</t>
  </si>
  <si>
    <t>Parc. Financiamento NuBank - 2022/2024 (18/24)</t>
  </si>
  <si>
    <t>Parc. Financiamento NuBank - 2022/2024 (19/24)</t>
  </si>
  <si>
    <t>Parc. Financiamento NuBank - 2022/2024 (22/24)</t>
  </si>
  <si>
    <t>Parc. Financiamento NuBank - 2022/2024 (23/24)</t>
  </si>
  <si>
    <t>Parc. Financiamento NuBank - 2022/2024 (24/24)</t>
  </si>
  <si>
    <t xml:space="preserve">QTD de Parcelas JÁ PAGAS </t>
  </si>
  <si>
    <t>QTD de Parcelas RESTANTES</t>
  </si>
  <si>
    <t>Parc. Financiamento NuBank - 2025  (01/10)</t>
  </si>
  <si>
    <t>Parc. Financiamento NuBank - 2025  (02/10)</t>
  </si>
  <si>
    <t>Parc. Financiamento NuBank - 2025  (03/10)</t>
  </si>
  <si>
    <t>Parc. Financiamento NuBank - 2025  (04/10)</t>
  </si>
  <si>
    <t>Parc. Financiamento NuBank - 2025  (05/10)</t>
  </si>
  <si>
    <t>Parc. Financiamento NuBank - 2025  (06/10)</t>
  </si>
  <si>
    <t>Parc. Financiamento NuBank - 2025  (07/10)</t>
  </si>
  <si>
    <t>Parc. Financiamento NuBank - 2025  (08/10)</t>
  </si>
  <si>
    <t>Parc. Financiamento NuBank - 2025  (09/10)</t>
  </si>
  <si>
    <t>Parc. Financiamento NuBank - 2025  (10/10)</t>
  </si>
  <si>
    <t>Parc. Financiamento Santander  (01/50)</t>
  </si>
  <si>
    <t>Parc. Financiamento Santander  (02/50)</t>
  </si>
  <si>
    <t>Parc. Financiamento Santander  (03/50)</t>
  </si>
  <si>
    <t>Parc. Financiamento Santander  (04/50)</t>
  </si>
  <si>
    <t>Parc. Financiamento Santander  (05/50)</t>
  </si>
  <si>
    <t>Parc. Financiamento Santander  (06/50)</t>
  </si>
  <si>
    <t>Parc. Financiamento Santander  (07/50)</t>
  </si>
  <si>
    <t>Parc. Financiamento Santander  (08/50)</t>
  </si>
  <si>
    <t>Parc. Financiamento Santander  (09/50)</t>
  </si>
  <si>
    <t>Parc. Financiamento Santander  (10/50)</t>
  </si>
  <si>
    <t>Parc. Financiamento Santander  (11/50)</t>
  </si>
  <si>
    <t>Parc. Financiamento Santander  (12/50)</t>
  </si>
  <si>
    <t>Parc. Financiamento Santander  (13/50)</t>
  </si>
  <si>
    <t>Parc. Financiamento Santander  (14/50)</t>
  </si>
  <si>
    <t>Parc. Financiamento Santander  (15/50)</t>
  </si>
  <si>
    <t>Parc. Financiamento Santander  (16/50)</t>
  </si>
  <si>
    <t>Parc. Financiamento Santander  (17/50)</t>
  </si>
  <si>
    <t>Parc. Financiamento Santander  (18/50)</t>
  </si>
  <si>
    <t>Parc. Financiamento Santander  (19/50)</t>
  </si>
  <si>
    <t>Parc. Financiamento Santander  (20/50)</t>
  </si>
  <si>
    <t>Parc. Financiamento Santander  (21/50)</t>
  </si>
  <si>
    <t>Parc. Financiamento Santander  (22/50)</t>
  </si>
  <si>
    <t>Parc. Financiamento Santander  (23/50)</t>
  </si>
  <si>
    <t>Parc. Financiamento Santander  (24/50)</t>
  </si>
  <si>
    <t>Parc. Financiamento Santander  (25/50)</t>
  </si>
  <si>
    <t>Parc. Financiamento Santander  (26/50)</t>
  </si>
  <si>
    <t>Parc. Financiamento Santander  (27/50)</t>
  </si>
  <si>
    <t>Parc. Financiamento Santander  (28/50)</t>
  </si>
  <si>
    <t>Parc. Financiamento Santander  (29/50)</t>
  </si>
  <si>
    <t>Parc. Financiamento Santander  (30/50)</t>
  </si>
  <si>
    <t>Parc. Financiamento Santander  (31/50)</t>
  </si>
  <si>
    <t>Parc. Financiamento Santander  (32/50)</t>
  </si>
  <si>
    <t>Parc. Financiamento Santander  (33/50)</t>
  </si>
  <si>
    <t>Parc. Financiamento Santander  (34/50)</t>
  </si>
  <si>
    <t>Parc. Financiamento Santander  (35/50)</t>
  </si>
  <si>
    <t>Parc. Financiamento Santander  (36/50)</t>
  </si>
  <si>
    <t>Parc. Financiamento Santander  (37/50)</t>
  </si>
  <si>
    <t>Parc. Financiamento Santander  (38/50)</t>
  </si>
  <si>
    <t>Parc. Financiamento Santander  (39/50)</t>
  </si>
  <si>
    <t>Parc. Financiamento Santander  (40/50)</t>
  </si>
  <si>
    <t>Parc. Financiamento Santander  (41/50)</t>
  </si>
  <si>
    <t>Parc. Financiamento Santander  (42/50)</t>
  </si>
  <si>
    <t>Parc. Financiamento Santander  (43/50)</t>
  </si>
  <si>
    <t>Parc. Financiamento Santander  (44/50)</t>
  </si>
  <si>
    <t>Parc. Financiamento Santander  (45/50)</t>
  </si>
  <si>
    <t>Parc. Financiamento Santander  (46/50)</t>
  </si>
  <si>
    <t>Parc. Financiamento Santander  (47/50)</t>
  </si>
  <si>
    <t>Parc. Financiamento Santander  (48/50)</t>
  </si>
  <si>
    <t>Parc. Financiamento Santander  (49/50)</t>
  </si>
  <si>
    <t>Parc. Financiamento Santander  (50/50)</t>
  </si>
  <si>
    <t>Parc. Financiamento NuBank - 2021/2022 (01/12)</t>
  </si>
  <si>
    <t>Parc. Financiamento NuBank - 2021/2022 (02/12)</t>
  </si>
  <si>
    <t>Parc. Financiamento NuBank - 2021/2022 (03/12)</t>
  </si>
  <si>
    <t>Parc. Financiamento NuBank - 2021/2022 (04/12)</t>
  </si>
  <si>
    <t>Parc. Financiamento NuBank - 2021/2022 (05/12)</t>
  </si>
  <si>
    <t>Parc. Financiamento NuBank - 2021/2022 (06/12)</t>
  </si>
  <si>
    <t>Parc. Financiamento NuBank - 2021/2022 (07/12)</t>
  </si>
  <si>
    <t>Parc. Financiamento NuBank - 2021/2022 (08/12)</t>
  </si>
  <si>
    <t>Parc. Financiamento NuBank - 2021/2022 (09/12)</t>
  </si>
  <si>
    <t>Parc. Financiamento NuBank - 2021/2022 (10/12)</t>
  </si>
  <si>
    <t>Parc. Financiamento NuBank - 2021/2022 (11/12)</t>
  </si>
  <si>
    <t>Parc. Financiamento NuBank - 2021/2022 (12/12)</t>
  </si>
  <si>
    <t>I</t>
  </si>
  <si>
    <t>Mês Ref.</t>
  </si>
  <si>
    <t>13º</t>
  </si>
  <si>
    <t>: 81.760.878/0001-27</t>
  </si>
  <si>
    <t>Competencia</t>
  </si>
  <si>
    <t>IR</t>
  </si>
  <si>
    <t xml:space="preserve">Total </t>
  </si>
  <si>
    <t>: 57.743.296/0005-81</t>
  </si>
  <si>
    <t xml:space="preserve">Total de rendimentos </t>
  </si>
  <si>
    <t xml:space="preserve">Imposto total </t>
  </si>
  <si>
    <t>Mes/Ano</t>
  </si>
  <si>
    <t>Salário Base IR</t>
  </si>
  <si>
    <t>Valor Arrecadado</t>
  </si>
  <si>
    <t>INSS</t>
  </si>
  <si>
    <t>Desp. Odont</t>
  </si>
  <si>
    <t>Desp. Médicas</t>
  </si>
  <si>
    <t>Rescsões</t>
  </si>
  <si>
    <t>Ferias Propo</t>
  </si>
  <si>
    <t>13º Propor</t>
  </si>
  <si>
    <t>férias Prop</t>
  </si>
  <si>
    <t>1/3 férias prop</t>
  </si>
  <si>
    <t>Fontes Pagadoras</t>
  </si>
  <si>
    <t>Nome</t>
  </si>
  <si>
    <t>CNPJ</t>
  </si>
  <si>
    <t>Rendimentos (Inc. Férias)</t>
  </si>
  <si>
    <t>13º salários</t>
  </si>
  <si>
    <t>IRPF-RF</t>
  </si>
  <si>
    <t>Bearing Point S/A</t>
  </si>
  <si>
    <t>57.743.296/0005-81</t>
  </si>
  <si>
    <t xml:space="preserve">Unitech Tecnologia da Informação </t>
  </si>
  <si>
    <t>00.717.511/0003-90</t>
  </si>
  <si>
    <t>Tim Celular S/A</t>
  </si>
  <si>
    <t>04.206.050/0098-03</t>
  </si>
  <si>
    <t xml:space="preserve">Totais </t>
  </si>
  <si>
    <t>Proventos</t>
  </si>
  <si>
    <t>prev. Privada</t>
  </si>
  <si>
    <t>13º Salário(1ª Parc.)</t>
  </si>
  <si>
    <t>13º Salário(2ª Parc.)</t>
  </si>
  <si>
    <t xml:space="preserve">Rendimentos </t>
  </si>
  <si>
    <t>13º Salários</t>
  </si>
  <si>
    <t>Abono Pecuniário</t>
  </si>
  <si>
    <t>1/3 Abono Pecuniário</t>
  </si>
  <si>
    <t>PLR (1ª Parcela)</t>
  </si>
  <si>
    <t>PLR (2ª Parcela)</t>
  </si>
  <si>
    <t>Férias Mês Seguinte</t>
  </si>
  <si>
    <t>1/3 CF Férias Mês Seg</t>
  </si>
  <si>
    <t>Valor Liquido</t>
  </si>
  <si>
    <t xml:space="preserve">Adiantamento </t>
  </si>
  <si>
    <t>Seguro de Vida</t>
  </si>
  <si>
    <t>NTT DATA BRASIL CONSUL EM T.I. &amp; SOLUC LTDA</t>
  </si>
  <si>
    <t>07.143.875/0001-91</t>
  </si>
  <si>
    <t xml:space="preserve">Liquido </t>
  </si>
  <si>
    <t xml:space="preserve">Global Hitss do Brasil </t>
  </si>
  <si>
    <t>11.168.199/0002-69</t>
  </si>
  <si>
    <t>ENTERPRISE SERVICES BRASI</t>
  </si>
  <si>
    <t>02.833.315/0001-45</t>
  </si>
  <si>
    <t xml:space="preserve">CLARO SP - VERBO DIVINO </t>
  </si>
  <si>
    <t>40.432.544/0835-06</t>
  </si>
  <si>
    <t>ACT CONSULTORIA EM TECNOLOGIA LTDA -</t>
  </si>
  <si>
    <t xml:space="preserve"> 57.655.334/0001-10</t>
  </si>
  <si>
    <t>Mês/Ano</t>
  </si>
  <si>
    <t>Sercomtel</t>
  </si>
  <si>
    <t>GVT</t>
  </si>
  <si>
    <t>Embratel</t>
  </si>
  <si>
    <t xml:space="preserve">Intelig </t>
  </si>
  <si>
    <t>Totais</t>
  </si>
  <si>
    <t>Ref Parcelamento com a Embratel</t>
  </si>
  <si>
    <t>médias</t>
  </si>
  <si>
    <t>totais</t>
  </si>
  <si>
    <t>Brt Fixa</t>
  </si>
  <si>
    <t>BrT GSM</t>
  </si>
  <si>
    <t>tim</t>
  </si>
  <si>
    <t># parcela</t>
  </si>
  <si>
    <t xml:space="preserve">Vencimento </t>
  </si>
  <si>
    <t>Dt Pagameto</t>
  </si>
  <si>
    <t xml:space="preserve">Valor Pago </t>
  </si>
  <si>
    <t>% Desconto</t>
  </si>
  <si>
    <t>Pago ?</t>
  </si>
  <si>
    <t>Diff Acumulada</t>
  </si>
  <si>
    <t>Valor Médio Parcela</t>
  </si>
  <si>
    <t>Parcelas Faltantes</t>
  </si>
  <si>
    <t>Valor Restante</t>
  </si>
  <si>
    <t>DDD</t>
  </si>
  <si>
    <t>Name</t>
  </si>
  <si>
    <t>Mobile</t>
  </si>
  <si>
    <t>Office</t>
  </si>
  <si>
    <t>Home</t>
  </si>
  <si>
    <t>Fax</t>
  </si>
  <si>
    <t>Email</t>
  </si>
  <si>
    <t>Group</t>
  </si>
  <si>
    <t>Alex Oliveira</t>
  </si>
  <si>
    <t>8146-8535</t>
  </si>
  <si>
    <t>doalex@hotmail.com</t>
  </si>
  <si>
    <t>Aurélio Monteiro Avanzi</t>
  </si>
  <si>
    <t>9931-0859</t>
  </si>
  <si>
    <t>aavanzi@msn.com</t>
  </si>
  <si>
    <t>Carlos Colpaert</t>
  </si>
  <si>
    <t>8424-4227</t>
  </si>
  <si>
    <t>colpaert@dec.eb.mil.br</t>
  </si>
  <si>
    <t>Claudia Fuzihara</t>
  </si>
  <si>
    <t>8401-1741</t>
  </si>
  <si>
    <t>3415-8555</t>
  </si>
  <si>
    <t>claudiafuzihara@hotmail.com</t>
  </si>
  <si>
    <t>Crea DF</t>
  </si>
  <si>
    <t>3321-3001</t>
  </si>
  <si>
    <t>8173-8147</t>
  </si>
  <si>
    <t>4426-5147</t>
  </si>
  <si>
    <t>cristiane.silveira@gmail.com</t>
  </si>
  <si>
    <t>Denise Furukawa</t>
  </si>
  <si>
    <t>9915-1119</t>
  </si>
  <si>
    <t>5105-6155</t>
  </si>
  <si>
    <t>denise.furukawa@vivo.com.br</t>
  </si>
  <si>
    <t>Edson Ap. Cardador</t>
  </si>
  <si>
    <t>9995-6247</t>
  </si>
  <si>
    <t>3375-1551</t>
  </si>
  <si>
    <t>3337-1876</t>
  </si>
  <si>
    <t>edson.cardador@sercomtel.com.br</t>
  </si>
  <si>
    <t>Edson Nishi</t>
  </si>
  <si>
    <t>9996-6434</t>
  </si>
  <si>
    <t>edsonnishi@hotmail.com</t>
  </si>
  <si>
    <t>Emerson Cardador</t>
  </si>
  <si>
    <t>9993-5351</t>
  </si>
  <si>
    <t>emersoncardador@hotmail.com</t>
  </si>
  <si>
    <t>Fabiano Fiumari</t>
  </si>
  <si>
    <t>8622-3185</t>
  </si>
  <si>
    <t>fiumari@gmail.com</t>
  </si>
  <si>
    <t>Desuso</t>
  </si>
  <si>
    <t>Flavio Noe Santos Susto</t>
  </si>
  <si>
    <t>9991-6261</t>
  </si>
  <si>
    <t>flavionoe@hotmail.com</t>
  </si>
  <si>
    <t>Glenio</t>
  </si>
  <si>
    <t>9125-1299</t>
  </si>
  <si>
    <t>glenio77@hotmail.com</t>
  </si>
  <si>
    <t xml:space="preserve">Gralha Azul Mudanças </t>
  </si>
  <si>
    <t>3329-5353</t>
  </si>
  <si>
    <t>gralha@sercomtel.com.br</t>
  </si>
  <si>
    <t>Itaú</t>
  </si>
  <si>
    <t>4004-4828</t>
  </si>
  <si>
    <t>Joao Anderson Garcia (jonny)</t>
  </si>
  <si>
    <t>8196-9689</t>
  </si>
  <si>
    <t>garciajonny@hotmail.com</t>
  </si>
  <si>
    <t>Jocelito</t>
  </si>
  <si>
    <t>62-9617-8139</t>
  </si>
  <si>
    <t>jocelito_61@hotmail.com</t>
  </si>
  <si>
    <t>8163-9749</t>
  </si>
  <si>
    <t>3258-8747</t>
  </si>
  <si>
    <t>larissa_furlan@hotmail.com</t>
  </si>
  <si>
    <t>Leandro Tarzan</t>
  </si>
  <si>
    <t>8347-2260</t>
  </si>
  <si>
    <t xml:space="preserve">3150-6185 </t>
  </si>
  <si>
    <t>lbiazao@yahoo.com.br</t>
  </si>
  <si>
    <t>Lourdes Aparecida Carlin</t>
  </si>
  <si>
    <t>3351-3859</t>
  </si>
  <si>
    <t>gabelecarlin@ig.com.br</t>
  </si>
  <si>
    <t>Luci Souza</t>
  </si>
  <si>
    <t>5509-4977</t>
  </si>
  <si>
    <t>ce-Luci.Souza@bearingpoint.com</t>
  </si>
  <si>
    <t>Manoel Exactus</t>
  </si>
  <si>
    <t>9996-5992</t>
  </si>
  <si>
    <t>manoel@exactus.com.br</t>
  </si>
  <si>
    <t>Marcelo borini</t>
  </si>
  <si>
    <t>9965-6978</t>
  </si>
  <si>
    <t>marceloborini@hotmail.com</t>
  </si>
  <si>
    <t>Maria Ignês</t>
  </si>
  <si>
    <t>8144-5707</t>
  </si>
  <si>
    <t>3351-1820</t>
  </si>
  <si>
    <t>mignezcarlin@hotmail.com</t>
  </si>
  <si>
    <t>Mario Auguto Damiati</t>
  </si>
  <si>
    <t>9118-6518</t>
  </si>
  <si>
    <t>3502-4040</t>
  </si>
  <si>
    <t>mario_a_damiati@hotmail.com</t>
  </si>
  <si>
    <t>Meu Plano</t>
  </si>
  <si>
    <t>*222</t>
  </si>
  <si>
    <t>O GarGaMel</t>
  </si>
  <si>
    <t>8523-6129</t>
  </si>
  <si>
    <t>2113-6089</t>
  </si>
  <si>
    <t>luiz_carlin@hotmail.com</t>
  </si>
  <si>
    <t>Paolo Salvione</t>
  </si>
  <si>
    <t>8401-4087</t>
  </si>
  <si>
    <t>salvionip@hotmail.com</t>
  </si>
  <si>
    <t>Patricia da Silveira</t>
  </si>
  <si>
    <t>9914-8223</t>
  </si>
  <si>
    <t>3344-0364</t>
  </si>
  <si>
    <t>patriciasantosluz@hotmail.com</t>
  </si>
  <si>
    <t>Paula Queiroz Rangel</t>
  </si>
  <si>
    <t>9746-1365</t>
  </si>
  <si>
    <t>3324-4059</t>
  </si>
  <si>
    <t>21-3820-2214</t>
  </si>
  <si>
    <t>pqr_77@hotmail.com</t>
  </si>
  <si>
    <t>Petenussi,Patricia Magnani</t>
  </si>
  <si>
    <t>5509-4975</t>
  </si>
  <si>
    <t>patricia.petenussi@bearingpoint.com</t>
  </si>
  <si>
    <t>Regina</t>
  </si>
  <si>
    <t>3351-4454</t>
  </si>
  <si>
    <t>regina.carlin@itelefonica.com.br</t>
  </si>
  <si>
    <t>Sergio Barbosa Jardinete</t>
  </si>
  <si>
    <t>8401-8946</t>
  </si>
  <si>
    <t>3344-9852</t>
  </si>
  <si>
    <t>sjblda@hotmail.com</t>
  </si>
  <si>
    <t>Seu Lucas</t>
  </si>
  <si>
    <t>9998-1241</t>
  </si>
  <si>
    <t>3339-2945</t>
  </si>
  <si>
    <t>Silveira</t>
  </si>
  <si>
    <t>9108-1126</t>
  </si>
  <si>
    <t>3435-1122</t>
  </si>
  <si>
    <t>3435-2779</t>
  </si>
  <si>
    <t>silveira@pc.pr.gov.br</t>
  </si>
  <si>
    <t>Refieri - Gerente Unibanco</t>
  </si>
  <si>
    <t>3231-0233</t>
  </si>
  <si>
    <t>4004-2248</t>
  </si>
  <si>
    <t>*144</t>
  </si>
  <si>
    <t>Unibanco</t>
  </si>
  <si>
    <t>4002-0030</t>
  </si>
  <si>
    <t>Unicard</t>
  </si>
  <si>
    <t>4004-2030</t>
  </si>
  <si>
    <t>Willian Poneis</t>
  </si>
  <si>
    <t>9991-5423</t>
  </si>
  <si>
    <t>3322-5413</t>
  </si>
  <si>
    <t>rmsaudiocomp@hotmail.com</t>
  </si>
  <si>
    <t>Wilson dos Santos Junior</t>
  </si>
  <si>
    <t>9269-9636</t>
  </si>
  <si>
    <t>3487-9607</t>
  </si>
  <si>
    <t>3344-6496</t>
  </si>
  <si>
    <t>wil_san_jun@hotmail.com</t>
  </si>
  <si>
    <t>Yarru PetShop</t>
  </si>
  <si>
    <t>3344-4516</t>
  </si>
  <si>
    <t>Rafael Roriz</t>
  </si>
  <si>
    <t>8179-0029</t>
  </si>
  <si>
    <t>rafaelrorizmv@hotmail.com</t>
  </si>
  <si>
    <t>Tatiana (MVJ)</t>
  </si>
  <si>
    <t>9389-5602</t>
  </si>
  <si>
    <t>3525-7456</t>
  </si>
  <si>
    <t xml:space="preserve">tatiana.garcia@mjv.com.br </t>
  </si>
  <si>
    <t>Gilberto Miyahara</t>
  </si>
  <si>
    <t>9601-7747</t>
  </si>
  <si>
    <t>5015-2698</t>
  </si>
  <si>
    <t>gilbertomiyahara@gmail.com</t>
  </si>
  <si>
    <t xml:space="preserve">Voe Gol - Atendimento </t>
  </si>
  <si>
    <t>0800-7012131</t>
  </si>
  <si>
    <t>Voe Gol - Vendas</t>
  </si>
  <si>
    <t>0300-7892121</t>
  </si>
  <si>
    <t>Everton Moraes Ventrici</t>
  </si>
  <si>
    <t>8205-4278</t>
  </si>
  <si>
    <t>3661-2583</t>
  </si>
  <si>
    <t>ffejffejbr@yahoo.com.br</t>
  </si>
  <si>
    <t>Silvio Ferreira</t>
  </si>
  <si>
    <t>9202-0654</t>
  </si>
  <si>
    <t>silvioferreira70@hotmail.com</t>
  </si>
  <si>
    <t>Ivan</t>
  </si>
  <si>
    <t>8523-6128</t>
  </si>
  <si>
    <t>igarducci@timbrasil.com.br</t>
  </si>
  <si>
    <t xml:space="preserve">Érico Pinto </t>
  </si>
  <si>
    <t>8523-6058</t>
  </si>
  <si>
    <t>2113-6082</t>
  </si>
  <si>
    <t>erico.augusto@gmail.com</t>
  </si>
  <si>
    <t>Japauto Honda</t>
  </si>
  <si>
    <t>4992-6688</t>
  </si>
  <si>
    <t xml:space="preserve">Villa Bella Imob. </t>
  </si>
  <si>
    <t>4992-3211</t>
  </si>
  <si>
    <t>ABC Radio taxi</t>
  </si>
  <si>
    <t>4426-8000</t>
  </si>
  <si>
    <t xml:space="preserve">São Miguel Mudanças </t>
  </si>
  <si>
    <t>3331-2606</t>
  </si>
  <si>
    <t>Rodrigo Rotato</t>
  </si>
  <si>
    <t>8523-6195</t>
  </si>
  <si>
    <t>2113-6524</t>
  </si>
  <si>
    <t>rrotato@timbrasil.com.br</t>
  </si>
  <si>
    <t>Cassio Prado Leme</t>
  </si>
  <si>
    <t>8523-6197</t>
  </si>
  <si>
    <t>2113-6571</t>
  </si>
  <si>
    <t>cprado@timbrasil.com.br</t>
  </si>
  <si>
    <t xml:space="preserve">Mãe </t>
  </si>
  <si>
    <t>9787-5768</t>
  </si>
  <si>
    <t>3351-2237</t>
  </si>
  <si>
    <t>Roberta Carneiro</t>
  </si>
  <si>
    <t>8113-3689</t>
  </si>
  <si>
    <t>rcarneiro@timbrasil.com.br</t>
  </si>
  <si>
    <t>Getson Miranda</t>
  </si>
  <si>
    <t>8523-6136</t>
  </si>
  <si>
    <t>2113-6151</t>
  </si>
  <si>
    <t>gmiranda@timbrasil.com.br</t>
  </si>
  <si>
    <t>Debora Duarte</t>
  </si>
  <si>
    <t>8523-6055</t>
  </si>
  <si>
    <t>dduarte@timbrasil.com.br</t>
  </si>
  <si>
    <t>Diságua</t>
  </si>
  <si>
    <t>4991-3636</t>
  </si>
  <si>
    <t>Coyote</t>
  </si>
  <si>
    <t>8324-9912</t>
  </si>
  <si>
    <t>vbarros_spread@timbrasil.com.br</t>
  </si>
  <si>
    <t>Willian Ferreia</t>
  </si>
  <si>
    <t>8523-6194</t>
  </si>
  <si>
    <t>2113-6506</t>
  </si>
  <si>
    <t>wferreira@timbrasil.com.br</t>
  </si>
  <si>
    <t xml:space="preserve">rolim Imóveis - Condomínio </t>
  </si>
  <si>
    <t>4438-0344</t>
  </si>
  <si>
    <t>4990-3946</t>
  </si>
  <si>
    <t>rolim@embranet.com.br</t>
  </si>
  <si>
    <t>Igor Luz Gomes</t>
  </si>
  <si>
    <t>8113-5024</t>
  </si>
  <si>
    <t>ilgomes@timbrasil.com.br</t>
  </si>
  <si>
    <t>Paulinho Motos</t>
  </si>
  <si>
    <t>4437-2323</t>
  </si>
  <si>
    <t xml:space="preserve">Sergio Berton </t>
  </si>
  <si>
    <t>8523-6216</t>
  </si>
  <si>
    <t>2113-7609</t>
  </si>
  <si>
    <t>sberton@timbrasil.com.br</t>
  </si>
  <si>
    <t>4994-3178</t>
  </si>
  <si>
    <t xml:space="preserve">Perla </t>
  </si>
  <si>
    <t>8523-6215</t>
  </si>
  <si>
    <t>2113-6553</t>
  </si>
  <si>
    <t>pkaminskas@timbrasil.com.br</t>
  </si>
  <si>
    <t>Fernanda  Paiva</t>
  </si>
  <si>
    <t>8523-6227</t>
  </si>
  <si>
    <t>2113-6300</t>
  </si>
  <si>
    <t>fpferreira@timbrasil.com.br</t>
  </si>
  <si>
    <t>Valdson Monteiro</t>
  </si>
  <si>
    <t>8523-6158</t>
  </si>
  <si>
    <t>2113-6183</t>
  </si>
  <si>
    <t>vvale@timbrasil.com.br</t>
  </si>
  <si>
    <t>Miriam Mie</t>
  </si>
  <si>
    <t>8523-6193</t>
  </si>
  <si>
    <t>2113-6278</t>
  </si>
  <si>
    <t>mnakayama@timbrasil.com.br</t>
  </si>
  <si>
    <t>Operação CTM RJ SC</t>
  </si>
  <si>
    <t>8121-1199</t>
  </si>
  <si>
    <t>3983-5031</t>
  </si>
  <si>
    <t>Rafael  Ibrahin  Atala</t>
  </si>
  <si>
    <t>8167-1734</t>
  </si>
  <si>
    <t>ratala_atosorigin@timbrasil.com.br</t>
  </si>
  <si>
    <t xml:space="preserve">Hospital veterinário Modelo </t>
  </si>
  <si>
    <t>4451-2470</t>
  </si>
  <si>
    <t>Fábio FreitaX</t>
  </si>
  <si>
    <t>8523-6173</t>
  </si>
  <si>
    <t>2113-628</t>
  </si>
  <si>
    <t>ffpereira@timbrasil.com.br</t>
  </si>
  <si>
    <t>Marcello AraUjo de Marcos</t>
  </si>
  <si>
    <t>8523-6209</t>
  </si>
  <si>
    <t>mmarcos@timbrasil.com.br</t>
  </si>
  <si>
    <t xml:space="preserve">Keubson ramalho </t>
  </si>
  <si>
    <t>8304-3411</t>
  </si>
  <si>
    <t>kcastro_accenture@timbrasil.com.br</t>
  </si>
  <si>
    <t>Moacyr Coutinho Cerqueira Junior</t>
  </si>
  <si>
    <t>8523-6290</t>
  </si>
  <si>
    <t>2113-7672</t>
  </si>
  <si>
    <t>mccerqueira@timbrasil.com.br</t>
  </si>
  <si>
    <t>Matheus</t>
  </si>
  <si>
    <t>8523-6286</t>
  </si>
  <si>
    <t>2113-7677</t>
  </si>
  <si>
    <t>msiaraujo@timbrasil.com.br</t>
  </si>
  <si>
    <t>Erico Olavo Weissheimer</t>
  </si>
  <si>
    <t>8523-6170</t>
  </si>
  <si>
    <t>2113-6336</t>
  </si>
  <si>
    <t>eolavo@timbrasil.com.br</t>
  </si>
  <si>
    <t>É Mátiah</t>
  </si>
  <si>
    <t>8113-1672</t>
  </si>
  <si>
    <t>mholanda@timbrasil.com.br</t>
  </si>
  <si>
    <t>Micheli Carvalhais de Souza</t>
  </si>
  <si>
    <t>8113-3328</t>
  </si>
  <si>
    <t>mcsouza@timbrasil.com.br</t>
  </si>
  <si>
    <t>Denis de Moura Missalli</t>
  </si>
  <si>
    <t>8523-7130</t>
  </si>
  <si>
    <t>2113-7075</t>
  </si>
  <si>
    <t>dmissalli@timbrasil.com.br</t>
  </si>
  <si>
    <t>Douglas Ortiz</t>
  </si>
  <si>
    <t>8523-6143</t>
  </si>
  <si>
    <t>2113-6391</t>
  </si>
  <si>
    <t>dortiz@timbrasil.com.br</t>
  </si>
  <si>
    <t>Everson Santos Rocha</t>
  </si>
  <si>
    <t>8523-6067</t>
  </si>
  <si>
    <t>2113-7061</t>
  </si>
  <si>
    <t>esrocha@timbrasil.com.br</t>
  </si>
  <si>
    <t>Washington Luis Almeida</t>
  </si>
  <si>
    <t>8523-6242</t>
  </si>
  <si>
    <t>2113-7252</t>
  </si>
  <si>
    <t>walmeida@timbrasil.com.br</t>
  </si>
  <si>
    <t>Roberta Eliandra nascimentio</t>
  </si>
  <si>
    <t>8113-3257</t>
  </si>
  <si>
    <t>renascm@timbrasil.com.br</t>
  </si>
  <si>
    <t>Jachsonvile Silva</t>
  </si>
  <si>
    <t>8113-1570</t>
  </si>
  <si>
    <t>jacsilva@timbrasil.com.br</t>
  </si>
  <si>
    <t>Elisabeth Tardocki</t>
  </si>
  <si>
    <t>8523-6153</t>
  </si>
  <si>
    <t>2113-7693</t>
  </si>
  <si>
    <t>etardocki@timbrasil.com.br</t>
  </si>
  <si>
    <t>Imobiliária Lello</t>
  </si>
  <si>
    <t>4469-0566</t>
  </si>
  <si>
    <t>Jarbas Silva</t>
  </si>
  <si>
    <t>8113-1902</t>
  </si>
  <si>
    <t>jsilva_mjv@timbrasil.com.br</t>
  </si>
  <si>
    <t>Karlo Correa</t>
  </si>
  <si>
    <t>8523-6152</t>
  </si>
  <si>
    <t>2113-7226</t>
  </si>
  <si>
    <t>kcorrea@timbrasil.com.br</t>
  </si>
  <si>
    <t>Maria Jaurecy Leal Vieira</t>
  </si>
  <si>
    <t>8113-1695</t>
  </si>
  <si>
    <t>mjvieira@timbrasil.com.br</t>
  </si>
  <si>
    <t>Saulo Vargas de Araujo</t>
  </si>
  <si>
    <t>8523-6164</t>
  </si>
  <si>
    <t>svaraujo@tmbrasil.com.br</t>
  </si>
  <si>
    <t xml:space="preserve">André (ET) vinicius </t>
  </si>
  <si>
    <t>8523-7117</t>
  </si>
  <si>
    <t>2113-7673</t>
  </si>
  <si>
    <t>avmoraes@timbrasil.com.br</t>
  </si>
  <si>
    <t>Carlos Henrique Silva</t>
  </si>
  <si>
    <t>8523-6239</t>
  </si>
  <si>
    <t>chsilva@timbrasil.com.br</t>
  </si>
  <si>
    <t>Elizabeth Silva Medina da Costa</t>
  </si>
  <si>
    <t>8113-3261</t>
  </si>
  <si>
    <t>esmcosta@timbrasil.com.br</t>
  </si>
  <si>
    <t>Edson Santana da Luz</t>
  </si>
  <si>
    <t>8233-3359</t>
  </si>
  <si>
    <t>eluz_atosorigin@timbrasil.com.br</t>
  </si>
  <si>
    <t xml:space="preserve">Carlinhos funileiro </t>
  </si>
  <si>
    <t>4426-6117</t>
  </si>
  <si>
    <t>Condominio Villa Verde</t>
  </si>
  <si>
    <t>4425-5715</t>
  </si>
  <si>
    <t>Luiz - eletrica Hidraulica</t>
  </si>
  <si>
    <t>9942-8899</t>
  </si>
  <si>
    <t>4992-1068</t>
  </si>
  <si>
    <t xml:space="preserve">José Carlos Mudanças </t>
  </si>
  <si>
    <t>4992-9815</t>
  </si>
  <si>
    <t xml:space="preserve">Disque Real </t>
  </si>
  <si>
    <t>3553-4000</t>
  </si>
  <si>
    <t>Marcelo Barra</t>
  </si>
  <si>
    <t>8113-0942</t>
  </si>
  <si>
    <t>mbarra@timbrasil.com.br</t>
  </si>
  <si>
    <t>Carlos eduardo Cestari</t>
  </si>
  <si>
    <t>8523-6106</t>
  </si>
  <si>
    <t>2113-7012</t>
  </si>
  <si>
    <t>cecrodrigues@timbrasil.com.br</t>
  </si>
  <si>
    <t>harley Tomé</t>
  </si>
  <si>
    <t>8523-6077</t>
  </si>
  <si>
    <t>2113-6145</t>
  </si>
  <si>
    <t>htome@timbrasil.com.br</t>
  </si>
  <si>
    <t>Renata Barbosa Braynen</t>
  </si>
  <si>
    <t>8113-3619</t>
  </si>
  <si>
    <t>4009-4997</t>
  </si>
  <si>
    <t>rbraynen@timbrasil.com.br</t>
  </si>
  <si>
    <t>Lucas Rorato</t>
  </si>
  <si>
    <t>8156-3291</t>
  </si>
  <si>
    <t>lrorato@timrbrasil.com.br</t>
  </si>
  <si>
    <t>Jorge Fortes</t>
  </si>
  <si>
    <t>8113-0930</t>
  </si>
  <si>
    <t>jfortes@timbrasil.com.br</t>
  </si>
  <si>
    <t>Luiz Sergio Medeiros Vieira</t>
  </si>
  <si>
    <t>8290-1086</t>
  </si>
  <si>
    <t>lsvieira@timbrasil.com.br</t>
  </si>
  <si>
    <t>Bruno Henrique Alves Teixeira</t>
  </si>
  <si>
    <t>8523-6069</t>
  </si>
  <si>
    <t>2113-6218</t>
  </si>
  <si>
    <t>bteixeira@timbrasil.com.br</t>
  </si>
  <si>
    <t>Jorge Ladimir Dobal</t>
  </si>
  <si>
    <t>8113-3726</t>
  </si>
  <si>
    <t>jdobal@timbrasil.com.br</t>
  </si>
  <si>
    <t>Dr. Eduardo (TIM</t>
  </si>
  <si>
    <t>8523-4900</t>
  </si>
  <si>
    <t>Furlan</t>
  </si>
  <si>
    <t>8116-7022</t>
  </si>
  <si>
    <t>3351-3122</t>
  </si>
  <si>
    <t>Márcio (Seg. Trabalho)</t>
  </si>
  <si>
    <t>8523-6613</t>
  </si>
  <si>
    <t xml:space="preserve">Ana Paula Toledo </t>
  </si>
  <si>
    <t>8202-1317</t>
  </si>
  <si>
    <t>toledoana@bol.com.br</t>
  </si>
  <si>
    <t xml:space="preserve">Ana Lucia </t>
  </si>
  <si>
    <t>3222-6726</t>
  </si>
  <si>
    <t>ana.martinelli@itelefonica.com.br</t>
  </si>
  <si>
    <t>ID</t>
  </si>
  <si>
    <t>Grupo</t>
  </si>
  <si>
    <t>Família</t>
  </si>
  <si>
    <t>Atualizado</t>
  </si>
  <si>
    <t>Amigos</t>
  </si>
  <si>
    <t>Colegas</t>
  </si>
  <si>
    <t>Desatualizado</t>
  </si>
  <si>
    <t>VIP</t>
  </si>
  <si>
    <t xml:space="preserve">Em Uso </t>
  </si>
  <si>
    <t>Grupo 1</t>
  </si>
  <si>
    <t>Stand By</t>
  </si>
  <si>
    <t>Grupo 2</t>
  </si>
  <si>
    <t>Outros</t>
  </si>
  <si>
    <t>Sem Grupo</t>
  </si>
  <si>
    <t xml:space="preserve">ID </t>
  </si>
  <si>
    <t>Business</t>
  </si>
  <si>
    <t>Personal</t>
  </si>
  <si>
    <t>General</t>
  </si>
  <si>
    <t>VIPs</t>
  </si>
  <si>
    <t>Nº</t>
  </si>
  <si>
    <t>Data Conclusão</t>
  </si>
  <si>
    <t>Observações</t>
  </si>
  <si>
    <t>Tarefas realizadas para a conclusão</t>
  </si>
  <si>
    <t>Arrumar um Meio de levar o aparelho de som para o Conserto</t>
  </si>
  <si>
    <t>Assistência autorizada na Av. Celso Garcia Cid. Ir para casa levar o aparelho de Buzão para lá.</t>
  </si>
  <si>
    <t>Mandar o Aparelho de som para o conserto.</t>
  </si>
  <si>
    <t>Dependendo do Item 1</t>
  </si>
  <si>
    <t>eletronica Fuji (3322-0886)</t>
  </si>
  <si>
    <t>Procurar um Ap perto da Exactus com 2 quartos, no minimo</t>
  </si>
  <si>
    <t>Verificar com o Porteiro do edificio na Rua Brasil ( Residencial Brasil) se a) existe apartamentos vagos; b) Qual Imobiliária que cuida dos Aps. c) Qual o Tamanho; c) Aluguel; d) Condominio</t>
  </si>
  <si>
    <t>06/01/2004: Ver com o Lucas se existe algum ap No prédio, de 2 quartos, que esteja vago pra locação e seja da imobiliária Higienopolis
06/01/2004: O Ap 701 está vago e para a venda.. tentar CONSEGUIR loca-lo pela Himob Hig. O MAIS RÁPIDO POSSIVEL.</t>
  </si>
  <si>
    <t>Encontrar um Honda Biz com preço razoavel, que de para compra quase à vista</t>
  </si>
  <si>
    <t>Entrar em contato com os anunciantes do Jornal de Londrina, e ligar na Kalas Motos.</t>
  </si>
  <si>
    <t>Negócio será fechado com a Kallas Motos, conf item 20</t>
  </si>
  <si>
    <t>Procurar um Micro Ondas com um preço Bom, e de preferencia que de pra comprar no cartão de crédito.</t>
  </si>
  <si>
    <t>Verificar no Ponto Frio, onde a Geladeira foi comprada</t>
  </si>
  <si>
    <t>A vó da Cris deu Um</t>
  </si>
  <si>
    <t>Procurar um Fogão (4 bocas) com um preço Bom, e de preferencia que de pra comprar no cartão de crédito.</t>
  </si>
  <si>
    <t>Verificar no Ponto Frio, onde a Geladeira foi comprada
22/06/2004: Melhor preço nas Casas Bahia 10 x 28,90 No Master Card</t>
  </si>
  <si>
    <t>Sacar dinheiro para pagar a Faxineira</t>
  </si>
  <si>
    <t>Ir hoje(15/12/2003) ao Unibanco e sacar R$ 80</t>
  </si>
  <si>
    <t>Foi retirado R$ 10 à mais, para comprar Cds virgens, Ref ao item 22</t>
  </si>
  <si>
    <t>Transferir dinheiro da Poupança para ZERAR debitos da C/C, incluindo Aluguel, faxineira, despezas</t>
  </si>
  <si>
    <t>Utilizar o Internet Bankin p/ transferir R$ 800 da poupança p/ a C/C</t>
  </si>
  <si>
    <t>Transferencia de R$ 750</t>
  </si>
  <si>
    <t>Imprimir o comprovante de pagamento do condominio do Mes 11/2003</t>
  </si>
  <si>
    <t>Comprovante Impresso</t>
  </si>
  <si>
    <t>Pagar o Aluguel</t>
  </si>
  <si>
    <t>Ir ná imobiliária Higienopolis, com o comprovante de pagamento do Condominio em Mãos.</t>
  </si>
  <si>
    <t>Verificar Junto ao banco1.net qual a possibilidade de Aumentar o Limita do Cartão Master Card.</t>
  </si>
  <si>
    <t>Ligar para a central do Unibanco/Mastercard (0300-7883040) e verificar qual a situação do processo 98923099</t>
  </si>
  <si>
    <t>O limite subiu de R$ 525 para R$ 800</t>
  </si>
  <si>
    <t>Verificar com o R.H da Exactus se existe um meio de realizar o pagamento por meio de depósito Bancário</t>
  </si>
  <si>
    <t>O pagamento não será depositado no HSBC, no entanto o Cheque é de lá, o que pode agilizar nas contas</t>
  </si>
  <si>
    <t>Se o pagamento puder ser realizado por depósito Bancário no HSBC, reabrir a conta.</t>
  </si>
  <si>
    <t>O pagamentp não pode ser efetuado em dep. Bancário no HSBC, Mas sim no Itau.</t>
  </si>
  <si>
    <t xml:space="preserve">Resgatar a Carteira de Trabalho no R.H da exactus, com o Luciano. </t>
  </si>
  <si>
    <t>Levar a carteira de Trabalho na Vivo, Aos cuidados de Andréa Azevedo (ramal 8227)</t>
  </si>
  <si>
    <t>Pedi pra Cris levar.</t>
  </si>
  <si>
    <t>Procurar outra faxineira</t>
  </si>
  <si>
    <t>Verificar com o Lucas se ele conhece alguém que Lave+ Passe + Limpe a casa</t>
  </si>
  <si>
    <t>A dona Anesinha vai voltar.</t>
  </si>
  <si>
    <t>Comprar mega Mass</t>
  </si>
  <si>
    <t>Compre realizada à noite, custou 15,79</t>
  </si>
  <si>
    <t>Comprar Leite Desnatado</t>
  </si>
  <si>
    <t>Ir na Loja de Bombas da Paranaguá com a Para(?) e comprar Creatina e Whey Protein</t>
  </si>
  <si>
    <t>Tem uma na alagoas, entre a Joao Candido e Hugo Pernambuco, e uma no Catuai</t>
  </si>
  <si>
    <t>Foi comprado Maltodextrina e Creatinia , na loja da Alagoas.</t>
  </si>
  <si>
    <t>Ir na Kalas Motos e negociar preços de Motocas</t>
  </si>
  <si>
    <r>
      <t xml:space="preserve">----- Original Message ----- </t>
    </r>
    <r>
      <rPr>
        <b/>
        <sz val="12"/>
        <rFont val="Times New Roman"/>
        <family val="1"/>
      </rPr>
      <t>From:</t>
    </r>
    <r>
      <rPr>
        <sz val="12"/>
        <rFont val="Times New Roman"/>
        <family val="1"/>
      </rPr>
      <t xml:space="preserve"> </t>
    </r>
    <r>
      <rPr>
        <u/>
        <sz val="12"/>
        <color indexed="12"/>
        <rFont val="Times New Roman"/>
        <family val="1"/>
      </rPr>
      <t>Edson Cardador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To:</t>
    </r>
    <r>
      <rPr>
        <sz val="12"/>
        <rFont val="Times New Roman"/>
        <family val="1"/>
      </rPr>
      <t xml:space="preserve"> </t>
    </r>
    <r>
      <rPr>
        <u/>
        <sz val="12"/>
        <color indexed="12"/>
        <rFont val="Times New Roman"/>
        <family val="1"/>
      </rPr>
      <t>Luiz Antonio Carlin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Sent:</t>
    </r>
    <r>
      <rPr>
        <sz val="12"/>
        <rFont val="Times New Roman"/>
        <family val="1"/>
      </rPr>
      <t xml:space="preserve"> Tuesday, December 16, 2003 9:17 AM </t>
    </r>
    <r>
      <rPr>
        <b/>
        <sz val="12"/>
        <rFont val="Times New Roman"/>
        <family val="1"/>
      </rPr>
      <t>Subject:</t>
    </r>
    <r>
      <rPr>
        <sz val="12"/>
        <rFont val="Times New Roman"/>
        <family val="1"/>
      </rPr>
      <t xml:space="preserve"> Re: To aqui. 
</t>
    </r>
    <r>
      <rPr>
        <sz val="9"/>
        <color indexed="18"/>
        <rFont val="Arial"/>
        <family val="2"/>
      </rPr>
      <t>Fica perto da casa da Tati Ariji! Do you remember?</t>
    </r>
    <r>
      <rPr>
        <sz val="12"/>
        <rFont val="Times New Roman"/>
        <family val="1"/>
      </rPr>
      <t xml:space="preserve"> 
</t>
    </r>
    <r>
      <rPr>
        <sz val="9"/>
        <color indexed="18"/>
        <rFont val="Arial"/>
        <family val="2"/>
      </rPr>
      <t>KALLAS MOTO</t>
    </r>
    <r>
      <rPr>
        <sz val="12"/>
        <rFont val="Times New Roman"/>
        <family val="1"/>
      </rPr>
      <t xml:space="preserve"> 
</t>
    </r>
    <r>
      <rPr>
        <sz val="9"/>
        <color indexed="18"/>
        <rFont val="Arial"/>
        <family val="2"/>
      </rPr>
      <t>GERALDO FERNANDES, ARCB D, AV,1630 - (LESTE-OESTE)</t>
    </r>
    <r>
      <rPr>
        <sz val="12"/>
        <rFont val="Times New Roman"/>
        <family val="1"/>
      </rPr>
      <t xml:space="preserve"> 
</t>
    </r>
  </si>
  <si>
    <t>Entrada de R$ 2.500 + 24 x 115,00 – Biz ES
Entrada de R$ 2.500 + 24 x 88,00 – Biz simples
Ducumentação = R$ 170,00
Ipva + Seg Obrig. R$ 20
Seguro particular R$ 96 + 6 X 95</t>
  </si>
  <si>
    <t>Verificar na Assistencia da Goias se eles consertam o som</t>
  </si>
  <si>
    <t>Explicar o Problema, Verificar o preço e os prazos, e se fazem retirada do aparelho sem custos.</t>
  </si>
  <si>
    <t>Queriam que o aparelho de som fosse levado lá, para um Orçamento sem compromisso. Furada</t>
  </si>
  <si>
    <t>Comprar 4 CD-R para retirar as Mps do computador</t>
  </si>
  <si>
    <t>Os Cds foram comprados, sendo que serão gravados nesta noite, conf item 27</t>
  </si>
  <si>
    <t>Ir na Morto e resgatar o numero do telefone – 9117-2802</t>
  </si>
  <si>
    <t>Otimizador do ErWin 4.1.4</t>
  </si>
  <si>
    <t>Baixar o Otimizador</t>
  </si>
  <si>
    <t>http://www.crackz.ws/?i=59888</t>
  </si>
  <si>
    <t>Retirar os 4 Cds de Mps do computador, passando para o Cds</t>
  </si>
  <si>
    <t>4 CDs gravados.</t>
  </si>
  <si>
    <t xml:space="preserve">Verificar com o R.H da Exactus qual a situação das Férias Coletivas anunciada. </t>
  </si>
  <si>
    <t>Verificar com o Ado o que vai acontecer</t>
  </si>
  <si>
    <t xml:space="preserve">Foi verificado com o Edmilson, e o trabalho será normal. </t>
  </si>
  <si>
    <t>Mandar email altamente chinelante para a Vivo</t>
  </si>
  <si>
    <t>Email enviado</t>
  </si>
  <si>
    <t>Ligar para a Andréa Ricardo (Vivo ramal 8288) para ver o que será feito com as chamadas de 11/2003</t>
  </si>
  <si>
    <t>Consegui conversar com a Andressa no dia 18/12, e disse que a carmem estava analisando o Assunto, queme retornaria.</t>
  </si>
  <si>
    <t>----- Original Message ----- 
From: Faleconosco Pr Sc 
To: 'luiz.carlin@conectway.com.br' 
Sent: Tuesday, December 23, 2003 9:13 AM
Subject: RES: 
Prezado Senhor Luiz, 
Verificamos em nossos sistemas que já foi efetuado um ajuste em sua fatura no valor</t>
  </si>
  <si>
    <t>Pegar as Alianças no royal Plaza</t>
  </si>
  <si>
    <t>Acabar de Baixar o Pervasive SQL</t>
  </si>
  <si>
    <t>Localizar DOCUMENTAÇÃO ref. Ao pervasive SQL 8</t>
  </si>
  <si>
    <t>não se acha quase nada sobre o assunto</t>
  </si>
  <si>
    <t>A documentação necessária se encontra no CD de instalação do Banco</t>
  </si>
  <si>
    <t>Atualizar a Planilha de Banco</t>
  </si>
  <si>
    <t>Procurar Lista de Discussão de SQL Server</t>
  </si>
  <si>
    <t>Procurar Lista de Discussão de MySQL</t>
  </si>
  <si>
    <t>Verificar em mysql.com</t>
  </si>
  <si>
    <t>Procurar Lista de Discussão de Pervasive Sql</t>
  </si>
  <si>
    <t xml:space="preserve"> Instalar o erWin e  verficar se é possivel fazer engenharia Reversa da base</t>
  </si>
  <si>
    <t>óquei.. O ErWin faz a Engenharia reversa do Sql Server 2000, com exceção das Views.</t>
  </si>
  <si>
    <t>Configurar conta de Email da Exactus para testes em casa</t>
  </si>
  <si>
    <t>Rodar o Script Teste2.sql no Query Analizer, para criar o banco de testes</t>
  </si>
  <si>
    <t>Assim que o Banco de testes do item 38 for criado, realizar a engenharia Reversa, utilizando o ErWin</t>
  </si>
  <si>
    <t>Tentar instalar o Pervasive SQL 8 no rWindows XP</t>
  </si>
  <si>
    <t>é mas facil do que o SQL Server</t>
  </si>
  <si>
    <t>Backup do Amplus e Vipsis</t>
  </si>
  <si>
    <t>Levar o Endredon pra lavar na lavanderia 5 à Sec</t>
  </si>
  <si>
    <t>Ir no HSBC p/ ver quais as Vantagens (Tx administrativa, investimentos, Limite do cartão de crédito, Etc.)</t>
  </si>
  <si>
    <t>Pegar o Ededon na Lavanderia 5 à sec. Ligar lá para ver até que horas estão abertos no dia 23 e 24</t>
  </si>
  <si>
    <t>Fone 3339-5060
A lavandeira funcionará no dia 24/12 até as 14:00</t>
  </si>
  <si>
    <t>Procurar alguém disposto à dar aulas de BIZ</t>
  </si>
  <si>
    <t>O Aurélio vai estar disposto a prestar o favor. Por volta das 20:00</t>
  </si>
  <si>
    <t>Verificar na garagem do prédio o lugar onde pode guardar a motoca</t>
  </si>
  <si>
    <t>Conseguir um controle remoto da garagem com o Lucas</t>
  </si>
  <si>
    <t>O sindico irá emprestar um controle. Se o negócio for realizado, comprar um.</t>
  </si>
  <si>
    <t>foi comprado um.</t>
  </si>
  <si>
    <t>Verificar com alguém do Rh como fazer para utilizar o Estacionamento, para guardar a motoca.</t>
  </si>
  <si>
    <t>O estacionamento será liberado, mediante declinação dos vales transportes. Foi dada uma chave do estacionamento que deverá ser devolvida no dia 05/01/2004</t>
  </si>
  <si>
    <t>Ligar na Kallas e verificar com o Sr. Jairo como ficou o item do financiamento com o Banco</t>
  </si>
  <si>
    <t>Preciso ainda de uma cópia da Carteira de Trabalho.</t>
  </si>
  <si>
    <t>Tudo Ok. O Aurélio está com a CLT</t>
  </si>
  <si>
    <t>Pegar a carteira de trabalho com o Aurelio novamente</t>
  </si>
  <si>
    <t>Providenciar documentos para a motoca ( copel de carteira de trabalho)</t>
  </si>
  <si>
    <t>Resgatar R$ 2.600 da poupança pra pagar a moto</t>
  </si>
  <si>
    <t>Procurar uma parada de Moto-boy para amarrar coisas no bagageiro da perereca.</t>
  </si>
  <si>
    <t>Verificar em qual detram poderá ser feita da renovação da CNH</t>
  </si>
  <si>
    <t>A CNH deve primeiramente ser registrada no PR.</t>
  </si>
  <si>
    <t>Ligar no despachante Calado (3324-3134), para verificar a situação do documento da perereca.</t>
  </si>
  <si>
    <t xml:space="preserve">Pediraram para passar na Kallas Moto e solicitar a renovação da Orderm de serviço </t>
  </si>
  <si>
    <t>Procurar um Detran/Ciretram para 
a) Saber quais são os procedimentos necessários para Registrar a CNH no PR
b) Renovar a CNH.</t>
  </si>
  <si>
    <t>Verificar na KDMia St.a Cecila os valores de mensalidade, inscrição,  bombas, etc.</t>
  </si>
  <si>
    <t>ACADEMIA SANTA CECILIA CENTRO DE ATIVIDADES FISICAS E ARTES JOAO CANDIDO, PROF, R,766 - Fone 3337-2902</t>
  </si>
  <si>
    <t>Valor pago será R$ 70, ref Inscrição R$10 + 3 meses R$20,00</t>
  </si>
  <si>
    <t>Pagar a Academia R$ 28,50 = Bomba do mes passado</t>
  </si>
  <si>
    <t>Caso seja + $VANTAJOSO$ , Passar pra KDMIA Sta celida, do item 57
ACADEMIA DO LAGO
HUMAITA, R,635 -
3328-7627</t>
  </si>
  <si>
    <t>Esperando $RECEBER$, e os taloes de cheques chegarem</t>
  </si>
  <si>
    <t>Comprar lampadas BARATAS para a sala e para o Quarto</t>
  </si>
  <si>
    <t>Passar no auto-atendimento do Unibanco e verificar se há a possibilidade de pegar folhas de cheques avulsos</t>
  </si>
  <si>
    <t>não imprime cheque do banco1</t>
  </si>
  <si>
    <t>Passar no 1000 coisas para casa e ver se tem as Bolinhas de silicone, e os porta-chaves</t>
  </si>
  <si>
    <t>Comprar 2 CDs RW</t>
  </si>
  <si>
    <t>Foi comprado apenas 1 na Info e cia, no Terredo da Exactus, o CDRW grava em 12x,e custou R$ 4,6, da Clone</t>
  </si>
  <si>
    <t xml:space="preserve">Ligar na eletronica Fuji (3322-0886) e ver se abrem hj pra levar o Som </t>
  </si>
  <si>
    <t>Estava fechado , levar na proxima semana</t>
  </si>
  <si>
    <t>Passar na Morto e converter o Celular pra pre-pago.</t>
  </si>
  <si>
    <t>05/01/2004 : Pediram pra ligar no *48, que só dá ocupado. 
06/01/2004 : Ir novamente na Morto, e MOSTRAR que o *48 não funciona
06/01/2004 : Não pude fazer a migração pro Pre-pago, pois existe a taxa de Permanencia</t>
  </si>
  <si>
    <t>Tirar cópia da chave da porta da sala pra dona Anezina</t>
  </si>
  <si>
    <t>Passar na Phantom Video e devolver os DVDs locados no sábado dia 03/01</t>
  </si>
  <si>
    <t>Ligar na GVT, e verificar o plano de preços BASICO, sem + nada, verificar se o prédio é atendido por ela e solicitar uma linha</t>
  </si>
  <si>
    <r>
      <t xml:space="preserve">Solicitação encaminhada pela internet no dia 05/01, conf. Email , </t>
    </r>
    <r>
      <rPr>
        <sz val="12"/>
        <rFont val="Times New Roman"/>
        <family val="1"/>
      </rPr>
      <t xml:space="preserve">protocolo </t>
    </r>
    <r>
      <rPr>
        <b/>
        <sz val="12"/>
        <rFont val="Times New Roman"/>
        <family val="1"/>
      </rPr>
      <t>1-363DNV</t>
    </r>
  </si>
  <si>
    <t>Verificar no Restaurante Doce café o valor das Refeições, Ref. 12/2003</t>
  </si>
  <si>
    <t>Valor a pagar = R$ 64,75</t>
  </si>
  <si>
    <t>Desinstalar SQL Server 2000, Pervasive SQL, ErWin, IIS 5,</t>
  </si>
  <si>
    <t>Verificar com o Lucas PQ o condominio Ref. 12/2003  ainda não veio</t>
  </si>
  <si>
    <t>O condominio chegou HJ, dia 06/01</t>
  </si>
  <si>
    <t>Ligar na Kallas Moto (3321-3390) e solicitar p/ o Sr. Jairo que RENOVE a OS 037704, ref. À documentação da motoca, pois a mesma vencerá no dia 07/01</t>
  </si>
  <si>
    <t>Ref. Ao item 56</t>
  </si>
  <si>
    <t>Foi conversado com o Jairo, e ele disse para passar na Kallas no dia 07/01, no horario do almoço, que ele irá providenciar a renovação da OS</t>
  </si>
  <si>
    <t xml:space="preserve">Passar na Kallas Motos na hora do almoço, para renovação da OS 037704, ref. À documentação da motoca. </t>
  </si>
  <si>
    <t>Ref. Ao item 72</t>
  </si>
  <si>
    <t>Ligar para Izabele Rocha RH Vico (1274 mail:izabele.rocha@vivo.com.br) e verificar se Há a possibilidade de migrar p/ pre-pago.</t>
  </si>
  <si>
    <t>Pessoa errada! Não era ela.</t>
  </si>
  <si>
    <t>Ir na Imobiliária Higienópolis e verificar se existe como alugar um outro ap no mesmo prédio</t>
  </si>
  <si>
    <t>Passar no Unibanco e depositar o Salario Ref. 12/2003</t>
  </si>
  <si>
    <t>Sacar R$ 65, para pagar o restaurantes Doce Café, Ref ao item 68</t>
  </si>
  <si>
    <t>Xerocar o livro SQL Server 200 – Adm &amp; Desevn – Paginas 425 – 502 (76 paginas), para o Borosky parar de encher o saco</t>
  </si>
  <si>
    <t>Valor aproximado = R$ 7,80</t>
  </si>
  <si>
    <t>Valor total = R$ 4,70, noa de R$ 8,00</t>
  </si>
  <si>
    <t>Ir no Detran e renovar a CNH</t>
  </si>
  <si>
    <t>12ª CIRETRAN - Londrina
Rua Suindará, 334 - Vila Yara
Fone: (43) 3325-4145 - Fax: (43) 3326-7869</t>
  </si>
  <si>
    <t>Dependendo do Item 174</t>
  </si>
  <si>
    <t>imprimir o comprovante de pagamento do condominio do Mes 01/2003</t>
  </si>
  <si>
    <t>Pagar o Aluguel Ref. 12/2003</t>
  </si>
  <si>
    <t xml:space="preserve">Levar o comprovante de pagamento do condominmio </t>
  </si>
  <si>
    <t>Passar na Kallas Moto (3321-3390) e solicitar p/ o Sr. Roger que RENOVE a OS 038000, ref. À documentação da motoca, pois a mesma vencerá no dia18/01</t>
  </si>
  <si>
    <t>Não será necessário, pois os documentos da motoca ficaram pronto</t>
  </si>
  <si>
    <r>
      <t>Verificar com o Moacir Uliane se o esquema do show do</t>
    </r>
    <r>
      <rPr>
        <b/>
        <sz val="10"/>
        <color indexed="61"/>
        <rFont val="Arial"/>
        <family val="2"/>
      </rPr>
      <t xml:space="preserve"> </t>
    </r>
    <r>
      <rPr>
        <b/>
        <sz val="10"/>
        <color indexed="61"/>
        <rFont val="Iron Maiden"/>
        <charset val="1"/>
      </rPr>
      <t>Iron</t>
    </r>
    <r>
      <rPr>
        <b/>
        <sz val="10"/>
        <color indexed="61"/>
        <rFont val="Arial"/>
        <family val="2"/>
      </rPr>
      <t xml:space="preserve"> </t>
    </r>
    <r>
      <rPr>
        <sz val="10"/>
        <rFont val="Arial"/>
        <family val="2"/>
      </rPr>
      <t>dará certo</t>
    </r>
  </si>
  <si>
    <t>13/01/2003: Não deu gente o sulficientea pra ter uma excusão.
13/01/2003: Se a parada der certo, teremos que ir de Busão pra SP, no esquema Bate-volta
13/01/2003: O cara está na Vivo. Ramal 8251, celular 9122-2045
13/01/2003: Aguardar o outro esquema do c</t>
  </si>
  <si>
    <t>Gravar CD de MP3 do Iron Maiden, contemplanto todos os discos de Studio</t>
  </si>
  <si>
    <t>13/01/2003: O cara está na Vivo. Ramal 8251, celular 9122-2045</t>
  </si>
  <si>
    <t>Ligar para a Larissa e ver se tem como ela comprar 2 ingressos pro Show do Iron Maiden que dar-se-a no dia 17/01, no Pacaembú</t>
  </si>
  <si>
    <t>13/01/2003: Se a parada der certo, teremos que ir de Busão pra SP, no esquema Bate-volta
13/01/2003: Aguardar o outro esquema do colega dele. Provavelmente iremos de carro</t>
  </si>
  <si>
    <t>A Larissa está Disposta à comprar os Ingressos</t>
  </si>
  <si>
    <t>Localizar os telefones atualizados da Larissa Carlin Furlan nos emails do Outlook express.</t>
  </si>
  <si>
    <t>O Borosky irá pegar o Xerox do SQL Server HJ, entre 21:30 e 22:00, receber R$ 8,00</t>
  </si>
  <si>
    <t>pagou R$ 10,00 devo R$ 2,00</t>
  </si>
  <si>
    <t>Achar o telefone da garcia Tour.</t>
  </si>
  <si>
    <t>Ligar na Garcia Tour e ver quanto custa a passagem do trecho Londrina São Paulo</t>
  </si>
  <si>
    <t>Anexar na Planilha Personal Issues, uma lista de telefones.</t>
  </si>
  <si>
    <t>Comprar o Cimento p/ marmore, na loja de mateirais da esquina da Higienopolis com a Joaquim Lacerda, pare cornsertar a Pia do Banheiro</t>
  </si>
  <si>
    <t>Levantar no Site do whiplash.net, qual será p Track-list do Iron para o Show de Sábado, com as devidas letras</t>
  </si>
  <si>
    <r>
      <t>"Wildest Dreams"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"Can I Play With Madness"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"The Trooper"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"Dance Of Death"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"Rainmaker"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"Brave New World"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"Paschendale"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"Lord Of The Flies"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"No More Lies"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"Hallowed Be Thy Name"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"Wratchild"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"Fear Of The Dark"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"Iron Maiden"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"Journeyman" (acústica)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"The Number Of The Beast"</t>
    </r>
    <r>
      <rPr>
        <sz val="12"/>
        <rFont val="Times New Roman"/>
        <family val="1"/>
      </rPr>
      <t xml:space="preserve"> 
</t>
    </r>
    <r>
      <rPr>
        <sz val="10"/>
        <rFont val="Times New Roman"/>
        <family val="1"/>
      </rPr>
      <t>"Run To The Hills"</t>
    </r>
  </si>
  <si>
    <t xml:space="preserve">Ver com a Larissa , qual o Banco, a Agencia e a Conta/Corrente em que deverá ser feito o depósito para a compra dos Ingressos. </t>
  </si>
  <si>
    <t xml:space="preserve">Procurar a Receita do óculos </t>
  </si>
  <si>
    <t>Passar na casa do Oculos (Alagoas, entre Pernambuco e Hugo cabral) e verificar se tem como consertar os Oculos.</t>
  </si>
  <si>
    <t>Só uma lente fica R$ 40, mas provavelmete terá que trocar a armação</t>
  </si>
  <si>
    <t>Ligar na Farmácia de Manipulação Lavandele Fone (3322-4134) e encomendar 60 Capsulas de Finasterida</t>
  </si>
  <si>
    <t>Passar lá no sábado dia 17/01 para pegar, valor R$13,90</t>
  </si>
  <si>
    <t>Passar no despachante Calado, levar um cheque de R$ 100, ref. Aà entrada da documentação da Motoca</t>
  </si>
  <si>
    <t>Ligar para a larissa p/ cancelar a compra dos convites do Iron</t>
  </si>
  <si>
    <t>Pra variar não atendeu, foi deixado recado no celular, Às 12:53</t>
  </si>
  <si>
    <t>Ir na farmácia Lavandelle, pegar a receita de finasterida, Valor R$ 13,90</t>
  </si>
  <si>
    <t>Ligar novamente no Calado (3324-3134) E verificar se há a necessidade de uma nova renovação da OS do documento da motoca</t>
  </si>
  <si>
    <t>Passar na Kallas no sábado e falar com o Tal de Roger para fazer mais uma O.S.</t>
  </si>
  <si>
    <t>Imprimir outra mensagem pra colocar no interfine da entrada do prédio</t>
  </si>
  <si>
    <t>Atualizar a Planilha de Banco, com os gastos do dia 18/01, e inserir os dados da GVT</t>
  </si>
  <si>
    <t>Pregar o adesivo do Show do Iron na lateral da Motoca.</t>
  </si>
  <si>
    <t>Passar no despachante Calado, para pegar a documentação e a placa da Motoca, e deixar um cheque pré de R$ 80,00 para o dia 19/02</t>
  </si>
  <si>
    <t>Arranjar uma Pasta e um porta canetas ( ou algo semelhante) para deixar no trabalho</t>
  </si>
  <si>
    <t>Aproveitar que tem que ir no Unibanco, e passar na Americanas.</t>
  </si>
  <si>
    <t>Só foi arrumando uma pasta, sem porta canetas</t>
  </si>
  <si>
    <t>Copiar os 2 Cds do Max Payne 2 no compotador, e traze-los devolta pro Romualdo depois do almoço</t>
  </si>
  <si>
    <t>Verificar coma Analice se existe como me liberar uma versão DEMo do top, e uma apostila TBM, pro Karl fazer o Tcc</t>
  </si>
  <si>
    <t>A Analice disse que a UEL tem Convenio com a Exactus, e que eles possuem o material necessário.</t>
  </si>
  <si>
    <t>Ir no Despachante Calado e  pegar o recibo da Motoca.</t>
  </si>
  <si>
    <t>Acabar de baixar as letras das musicas de todos os discos do Iron Maiden</t>
  </si>
  <si>
    <t>Localizar e baixar as letras de todos os discos do Peal Jam, e grava-los como TXT.</t>
  </si>
  <si>
    <t>Localizar o Cadeado e a chave dele, que deve estar na caixa de tenis dentro do Guarda-Roupas</t>
  </si>
  <si>
    <t>Localizar e trazer para a exactus o Cedê do Forte-for-Java</t>
  </si>
  <si>
    <t>Trazer o Dicionário de Ingles para a exactus</t>
  </si>
  <si>
    <t>Trazer o Guia de Referencia de Java para Exactus</t>
  </si>
  <si>
    <t>Passar na locadora Phantom e devolver os DVDs locados no sábado, dia 24/01</t>
  </si>
  <si>
    <t>Levar o óculos para o conserto na Casa do òculos (alagoas, entre Pernambuco e Hugo Cabra)</t>
  </si>
  <si>
    <t>Passar no Unibanco e sacar R$ 10, para o Lucas,ref. Ao conserto do banheiro.</t>
  </si>
  <si>
    <t xml:space="preserve">Passar na Casa Do Oculos (Alagoas, entre Pernambuco e Hugo cabral) e pegar o Oculos consertado. </t>
  </si>
  <si>
    <t>Passar no posto ao lado da Exactus e verificar quanto Custa para lavar a Moto</t>
  </si>
  <si>
    <t>O Tiozinho Cobra R$ 10.</t>
  </si>
  <si>
    <t>Passar no Centro novamente e sacar dinheiro para lavar a moto</t>
  </si>
  <si>
    <t>Passar no Unibanco e sacar dinheiro para pagar a Dona Anesina</t>
  </si>
  <si>
    <t>Passar na Eletronica Fuji, e verificar se o som está pronto.</t>
  </si>
  <si>
    <t>Foi conversado via telefone, e disseram que ficará pronto no sábado, dia 07/02, valor Orçado R$ 298</t>
  </si>
  <si>
    <t>Ref. Ao Item 124</t>
  </si>
  <si>
    <t>Foi pego o Lietor Óptico antigo, solicitato a nota fiscal do leitor e a nota fiscal do serviço</t>
  </si>
  <si>
    <t>Ligar para o Isac na exactus(7140) e ver se o Servidor Novo está OK</t>
  </si>
  <si>
    <t>PutZ! Esqueci de Ligar!</t>
  </si>
  <si>
    <t xml:space="preserve">Reinstalar o Windows XP em casa, </t>
  </si>
  <si>
    <t>Para uma Instalação Padrão, seguir o Roteiro anexado.</t>
  </si>
  <si>
    <t>Recriar a lista de endereços do Outlook express.</t>
  </si>
  <si>
    <t>Arranjar 3 Cd-Rs para gravar : Windows Xp (1) e Max Payne 2 (2)</t>
  </si>
  <si>
    <t>Localizar o Link de Impressão do IPVA e mandar p/ a Exactus. Para imprimir o mesmo</t>
  </si>
  <si>
    <t>Localizar  o Mapa p/ chegar no Detran, e Enviar p/ a Exactus</t>
  </si>
  <si>
    <t>Gravar um CD com o Windows Xp do CD-RW e os 2 Cds do Max Payne 2</t>
  </si>
  <si>
    <t>Dependendo do Item 148</t>
  </si>
  <si>
    <t>Atualizar a Planilha de Banco, e mandar uma cópia para a exactus</t>
  </si>
  <si>
    <t>Baixar as letras das musicas de todos os discos do Iron Maiden</t>
  </si>
  <si>
    <t>Verificar se existe como baixar o Linux Mandrake.</t>
  </si>
  <si>
    <t>Iniciado o Download do Mandake.</t>
  </si>
  <si>
    <t>Formatar o HD2 com uma partição de 10GB FAT32, e o resto não alocado.</t>
  </si>
  <si>
    <t>Instalar o Linux (Fedora ou Mandrake) no HD 2</t>
  </si>
  <si>
    <t>Dependendo do Item 180</t>
  </si>
  <si>
    <t>O mandrake 10 ta uma merda - instalar o Fedora Linux Core 1</t>
  </si>
  <si>
    <t>Mandar as Fontes Personalizadas para a Exactus</t>
  </si>
  <si>
    <t>Verificar se a VIVO fez a restituição de R$ 156 na conta corrente, Ref ao Processo Nº (2526845) - débito em duplicidade de valores da conta</t>
  </si>
  <si>
    <t>Depositou 156,17</t>
  </si>
  <si>
    <t>Após gravar o CD do Windows Xp no CD-r, formatar o CD-RW-05 e o CD-RW-02</t>
  </si>
  <si>
    <t>Dependendo do Item132</t>
  </si>
  <si>
    <t>Gravar MP3 no CD-RW-05 e no CD-RW-02</t>
  </si>
  <si>
    <t>Dependendo do Item 140</t>
  </si>
  <si>
    <t>Foi gravado apenas no CD05</t>
  </si>
  <si>
    <t>Localizar um banco Itau proximo</t>
  </si>
  <si>
    <t xml:space="preserve">BANDEIRANTES, AV,500 - 
CAXIAS, DQ, AV,2237 - 
CAXIAS, DQ, AV,635 - 
BELEM, R,26 - 
PIAUI, R,967 - 
JUSCELINO KUBITSCHEK, AV,3131 - </t>
  </si>
  <si>
    <t>Pagar o IPVA da Moto(R$ 87,42), no banco Itau, localizado no Item 142</t>
  </si>
  <si>
    <t>Dependendo do Item 176</t>
  </si>
  <si>
    <t>Gravar o Exterminador do Futuro 2 - Ultimate edition em CD e apagar do HD</t>
  </si>
  <si>
    <t>Foi movido pra Unidade D:</t>
  </si>
  <si>
    <t>Verificar no Site do cartoesUnibanco, se já foi lançado as parcelas do conserto do Som.</t>
  </si>
  <si>
    <t>Verificar no Windows Update de casa se existe MAIS ALGUMA atualização do Windows Pendente</t>
  </si>
  <si>
    <t>Verificação de atualizações concluidas</t>
  </si>
  <si>
    <t>Reinicializar a “Restauração do Sistema” do windows de casa.</t>
  </si>
  <si>
    <t>Localizar o Patch de Atualização do Max Payne 2</t>
  </si>
  <si>
    <t>cd: 20031122_1236</t>
  </si>
  <si>
    <t xml:space="preserve">Gravar o Patch de atualização do Max Payne 2 no CD. </t>
  </si>
  <si>
    <t>Mandar o Cd do Windows Xp antigo pro espaço</t>
  </si>
  <si>
    <t>Dependendo do Item 132</t>
  </si>
  <si>
    <t>Procurar o CD do Ghost</t>
  </si>
  <si>
    <t>Consegui um Disquete do Ghost, verificar no entanbto, se o CD ainda existe.</t>
  </si>
  <si>
    <t>Fiz o favor de dar o CD do Ghost pro Borosky</t>
  </si>
  <si>
    <t>Imprimir o Boleto de pagamento do IPVA da mOto</t>
  </si>
  <si>
    <t>Comprar + 2 Cds R para gravar o Filme do Exterminador 2, conf item 144</t>
  </si>
  <si>
    <t>Dependendo do Item 173</t>
  </si>
  <si>
    <t>Concluir o Donwload do Linux Mandrake</t>
  </si>
  <si>
    <t>Concluido na madrugada</t>
  </si>
  <si>
    <t>Gravar as Imagens Iso dos 3 Cds do mandrake 10</t>
  </si>
  <si>
    <t>Depenendo do item 156 e 157</t>
  </si>
  <si>
    <t>Comprar + 3 Cds R para gravar o Linux Mandrake</t>
  </si>
  <si>
    <t>Verificar o md5sum das Imagens ISO do Linux Mandrake</t>
  </si>
  <si>
    <t>Checagem OK</t>
  </si>
  <si>
    <t>fazer a Planilha de controle de Downloads de Musicas.</t>
  </si>
  <si>
    <t>Organziar os Downloads de musicas JÀ concluidas</t>
  </si>
  <si>
    <t>Localizar as Musicas do DIO que deverão ser baixadas</t>
  </si>
  <si>
    <t>Localizar as musicas do Evanescence que DEVERÃO ser baixadas</t>
  </si>
  <si>
    <t>Localizar o restante das mUsicas do Blaze</t>
  </si>
  <si>
    <t>Corrigir o Diretório de Musicas do Blaze</t>
  </si>
  <si>
    <t>Localizar os Albuns do Black Sabbath que faltam</t>
  </si>
  <si>
    <t>Imprimir o Comprovante de pagamento do condominio do Mes 02/2004</t>
  </si>
  <si>
    <t>Pagar o Aluguel Ref. 01/2004</t>
  </si>
  <si>
    <t>Valor Pago R$ 238,88</t>
  </si>
  <si>
    <t>Verificar na Info e Cia se eles fazem a limpeza do Cabeçote de Impressão da Epson e $QUANTO$</t>
  </si>
  <si>
    <t>Não trabalham com assistencia nesse tipo de impressora</t>
  </si>
  <si>
    <t>Verificar na Assistence Informárica Av celso Garcia Cid, 2120 – fone 3321-3082) $QUANTO$ fica pra arrumar a impressora</t>
  </si>
  <si>
    <t>A limpeza fica R$ 50 + valor do Cartucho Original</t>
  </si>
  <si>
    <t>Trazer os Livros de banco de dados para o Wilson</t>
  </si>
  <si>
    <t>Trouxe apenas o Oracle 8i utilizando SQL*Plus e PL/SQL, o outro está com a cristiane</t>
  </si>
  <si>
    <t xml:space="preserve">Fazer a compra do mes </t>
  </si>
  <si>
    <t>Levar a Impressora para consertar na Assistence Informática</t>
  </si>
  <si>
    <t>Assistence Informática :
Av Celso Garcia Cid, 2021
Fone 3321-3082</t>
  </si>
  <si>
    <t>Ligar na Kallas Moto (3321-3390) e agendar a revisão dos 1.000 KM</t>
  </si>
  <si>
    <t>Verificar se a kilometragem está entre 950 e 1000</t>
  </si>
  <si>
    <t>É sol levar lá, ea pre-checagem é por ordem de chegada.</t>
  </si>
  <si>
    <t>Ir na Info &amp; Cia e comprar 05 Cds R.</t>
  </si>
  <si>
    <t>Pegar um comprovante de endereço  (copel ou GVT) para renovar a CNH</t>
  </si>
  <si>
    <t>Pendencia do 79</t>
  </si>
  <si>
    <t>Passar na delta Locadora e devolver os DVDs locados no sábadio, dia 14/02</t>
  </si>
  <si>
    <t>Valor a pagar = 10,5
Dependendo do Item 176</t>
  </si>
  <si>
    <t>Passar no Unibanco e sacar R$ 150, para a) Locadora Delta; b) IPVA; c) Taxas de renovação da CNH</t>
  </si>
  <si>
    <t>Passar no Banco Itau, localizado no item 142 e Pagar a taxa de registro da CNH e de renovação da mesMa (R$ 54,16)</t>
  </si>
  <si>
    <t>Voltar no Detran, e levar o GRP – PAGO -  das taxas de renovação e registro da CNH</t>
  </si>
  <si>
    <t>Disponibilizar PUBLICAMENTE as  MP3 do Blaze</t>
  </si>
  <si>
    <t>Pegar o CD do Linux Fedora com o Pedro novamente</t>
  </si>
  <si>
    <t>Leavr a Moto na KALLAS para a aRevisão dos 1000, e levar tbm o manual da mesma</t>
  </si>
  <si>
    <t>Gravar os 5 Cds de MP3 novamente</t>
  </si>
  <si>
    <t>Atualizar a Planilha do Banco, Aba de senhas.</t>
  </si>
  <si>
    <t>Localizar os nomes nos MP3 dos Ramones, que contemple toda a carreira dos caras e mandar pro KaZaa</t>
  </si>
  <si>
    <t>Tem muita coisa pra baixar ainda. Esperar aliaviar a fila.</t>
  </si>
  <si>
    <t>NO SITE mp3spy.ru tem quase tudo</t>
  </si>
  <si>
    <t>Mandar para o helio Bacharell o arquivo do rc.local do linux</t>
  </si>
  <si>
    <t>Passar na Kallas Moto (3321-3390) para retirar a Moto da revisão, após as 17:00</t>
  </si>
  <si>
    <t>Devolver os Filmes locados na Phantom, no sábado dia 28/02</t>
  </si>
  <si>
    <t>Levar o vale desconto e pagar somente R$ 7,50</t>
  </si>
  <si>
    <t>Localizar os Holerites da vivo, do ano de 2003</t>
  </si>
  <si>
    <t>Criar uma planilha, com os pagamentos da Vivo, sumarizados</t>
  </si>
  <si>
    <t>Baixar o programa do de declaração do imposto de renda 2004</t>
  </si>
  <si>
    <t>Transmitir a declaração do Imposto de Renda de 2003</t>
  </si>
  <si>
    <t>Aguardar o recebimento do extrato de rendimentos da Vivo, até o dia 22/03</t>
  </si>
  <si>
    <t>O extrato da vivo foi recebido no dia 12/03</t>
  </si>
  <si>
    <t>DEVOLver os Cds do Linux Fedora p/ o Pedro</t>
  </si>
  <si>
    <t>Passar na Farmácia dos genéricos e comprar um Cataflam + dipirona pra garganta.</t>
  </si>
  <si>
    <t>Localizar o site do TRE, pa ver como transferir o titulo de eleitor pro paraná</t>
  </si>
  <si>
    <t>Não ajudou muito</t>
  </si>
  <si>
    <t xml:space="preserve">Lozalizar um cartório eleitoral perto de casa </t>
  </si>
  <si>
    <t xml:space="preserve">Trazer a Idumentária do Iron Maiden (Camiseta, correntes, cinto de caveira) Sergio da Exactus ir na Festa </t>
  </si>
  <si>
    <t>Corrigir os lançamentos do IR, lançando tbm a moto e a grana da poupança</t>
  </si>
  <si>
    <t>Passar na Famrácia do lago e tomar uma injeção pra gripe</t>
  </si>
  <si>
    <t>Não tomei injeçao</t>
  </si>
  <si>
    <t>Passar no mercado e comprar o Nescau barato</t>
  </si>
  <si>
    <t>Verificar o valor total da conta no restaurente Doce cAFÉ</t>
  </si>
  <si>
    <t>Deu R$ 88.65</t>
  </si>
  <si>
    <t>Passar no Unibanco e depositar o Salario Ref. 02/2004</t>
  </si>
  <si>
    <t>Desbloquear o Talão de Cheques novo</t>
  </si>
  <si>
    <t>Trazer o cheque para o pagamento do restaurante</t>
  </si>
  <si>
    <t>Valor pago, conf item 200</t>
  </si>
  <si>
    <t>Passar na Info&amp; Cia e ver quanto é devido e pagar</t>
  </si>
  <si>
    <t>Valor pago = 31,50</t>
  </si>
  <si>
    <t>Passar no Unibanco e sacar R$ 20 para pagar a locadora e a agua mineral</t>
  </si>
  <si>
    <t>Devolver os DVDs locados no sábado, na delta-JK</t>
  </si>
  <si>
    <t>Comprar um galão de agua mineral no posto</t>
  </si>
  <si>
    <t>Passar no Unibanco e sacar R$ 90,para pagar a dona Anesina</t>
  </si>
  <si>
    <t>Passar no Unibanco e sacar R$ 15, Ref. Ao sorvete do dia 27/02</t>
  </si>
  <si>
    <t>Pagar para a Cleide (secretária do Ado) R$ 13,70, ref. Ao sorvete do dia 27/02</t>
  </si>
  <si>
    <t>Imprimir o comprovante de pagamento do condomínio do Mes 03/2004</t>
  </si>
  <si>
    <t>Imprimir os comprovantes de pagamento das parcelas (1 e 2) da moto</t>
  </si>
  <si>
    <t>Agendar os pagamentos das parcelas dos meses seguintes da moto</t>
  </si>
  <si>
    <t>Passar na Custom Mania e verificar se eles tem o Bagageiro tubular PRETO pra Titan, quanto custa, e quanto fica colocado.</t>
  </si>
  <si>
    <t>Valor do Suporte R$ 60</t>
  </si>
  <si>
    <t>Passar na Custom Mania e verificar se eles tem luvas pra motociclita e quanto $CUSTA$</t>
  </si>
  <si>
    <t>Valor da Lovas R$ 65</t>
  </si>
  <si>
    <t>Ir no TRE e transferir o titulo de eleitor para o Londrina</t>
  </si>
  <si>
    <r>
      <t>Condições:</t>
    </r>
    <r>
      <rPr>
        <sz val="10"/>
        <rFont val="Verdana;Arial"/>
      </rPr>
      <t xml:space="preserve"> 
Que tenha decorrido pelo menos 1 ano da inscrição ou da última transferência;
Residência mínima de 3 meses no novo endereço.
Se você mudou de endereço, vá ao Cartório Eleitoral que atende o bairro em que você mora, levando os seguintes documentos:
Cédula de identidade ou certidão de nascimento ou casamento ou carteira profissional;
Título de Eleitor;
Comprovante de votação ou justificação que possuir;
Comprovante de residência (Ex: conta de luz, telefone, água, correspondência em nome da pessoa, etc).</t>
    </r>
  </si>
  <si>
    <t>O novo titulo eleitoral saiu na hora.</t>
  </si>
  <si>
    <t>Gravar o Cd com os clips do Rammstein pro Halisson</t>
  </si>
  <si>
    <t>O cara tem que me dar um cedê virgem</t>
  </si>
  <si>
    <t>Passar em uma loja de Bombas e comprar Maltodextrina e Whey Protein</t>
  </si>
  <si>
    <t>Valor Total R$ 56,00</t>
  </si>
  <si>
    <t xml:space="preserve">Passar na Barrios Motos ( Leste -Oeste, em frente à Kallas) e verificar se tem o Bagageiro PRETO da Titan, quanto fica colocado e quanto tempo leva </t>
  </si>
  <si>
    <t>Valor colocado R$ 23, porém, só o cromado</t>
  </si>
  <si>
    <t>Acessar o Site cartoesunibanco.com.br , e verificqr o Limite  do novo cartão Visa</t>
  </si>
  <si>
    <t>Limite R$ 1.200, cartão desbloqueado</t>
  </si>
  <si>
    <t>Baixar o Zone Alarme Pro</t>
  </si>
  <si>
    <t>Baixar o Crack do Zone Alarm Pro</t>
  </si>
  <si>
    <t>Baixar a VM pra rodar o Full Throttle</t>
  </si>
  <si>
    <t>https://sourceforge.net/projects/scummvm/ http://sourceforge.net/forum/forum.php?forum_id=360272</t>
  </si>
  <si>
    <t>Pagar o Aluguel Ref. 02/2004</t>
  </si>
  <si>
    <t>Levar a lateral do Gabinete do computador, para o Johnsom pregar uns arrebites</t>
  </si>
  <si>
    <t>Dependendo Item 231</t>
  </si>
  <si>
    <t>Passar na Aranda Motos ( Duque, entre Espirito Santo e Goias) e ver quanto custa uma ropa de Chuva e um par de luvas das boa.</t>
  </si>
  <si>
    <t xml:space="preserve">Luva = r$ 27
Capa de Chuva Delta = R$ 40
</t>
  </si>
  <si>
    <t>Passar na loja de Plasticos na Quintino, perto do Shopping Quintino, e ver quanto custa uma roupa de Chuva.</t>
  </si>
  <si>
    <t>Ta mais caro e a qualidade é inferior</t>
  </si>
  <si>
    <t>Ligar no Garcia tour e ver quanto custa uma passagem pra Piraju</t>
  </si>
  <si>
    <t>Fone 043-3321-3232</t>
  </si>
  <si>
    <t>Devolver o Filme locado na Delta JK no sábado.</t>
  </si>
  <si>
    <t>Passar na Arcofel (???) na Duque e comprar 60 cm de corrente</t>
  </si>
  <si>
    <t>Comprar papel contact do mais vagaba, pra proteger a placa de acrilico da lateral do gabinetje</t>
  </si>
  <si>
    <t>Verificar no Restaurante Doce café o valor das Refeições, Ref. 03/2004</t>
  </si>
  <si>
    <t>Valor total R$ 113,60</t>
  </si>
  <si>
    <t>Pagar o restaurante Doce Café</t>
  </si>
  <si>
    <t>Dependendo do item 232</t>
  </si>
  <si>
    <t xml:space="preserve">Passar no Johnsom, pegar a lateral do gabinete </t>
  </si>
  <si>
    <t>O cara ainda não fez. Deixa Pra 5º dia 15/04</t>
  </si>
  <si>
    <t>O FDP quebrou e danificou o Acrilico e ainda cobrou R$ 10, que não será pago</t>
  </si>
  <si>
    <t>Passar no Unibanco e pagar os R$ 15 da inscrição  pro concurso da prefeitura.</t>
  </si>
  <si>
    <t>PASSAR no Unibanco e sacar R$ 20, para pagar os Filmes e lavar a moto</t>
  </si>
  <si>
    <t>Foi sacado R$ 30</t>
  </si>
  <si>
    <t>Devolver os dVDs locados no sábado, na Phantom</t>
  </si>
  <si>
    <t>Ir no mercado e comprar os ítens constantes jna lista</t>
  </si>
  <si>
    <t>A tia cobra R$ 10 pra lavar e encerar</t>
  </si>
  <si>
    <t>Deixar a Moto lavando no Posto ao lado da exactus</t>
  </si>
  <si>
    <t>Dependendo Item 241</t>
  </si>
  <si>
    <t>Ligar no *48 da Morto e passar o Celolar pra pre-pago, caso contrário CANCELA</t>
  </si>
  <si>
    <t xml:space="preserve">Foi alterado o plano de preços </t>
  </si>
  <si>
    <t>Atualizar o Curriculo com o contato do Fabiano</t>
  </si>
  <si>
    <t>Mandar o Curriculo para o cara da GVT (marcelo.isolani@gvt.net.br)</t>
  </si>
  <si>
    <t>Verificar no site da Sercomtel a parada do concurso.</t>
  </si>
  <si>
    <t>A isncrição vao até dia 15/04 e custa R$ 50</t>
  </si>
  <si>
    <t>Imprimir o comprovante de pagamento do condominio do Mes 04/2004</t>
  </si>
  <si>
    <t>Imprimir o comprovante de pagamento da parcela da Moto</t>
  </si>
  <si>
    <t>Pagar o aluguel Ref. 03/2004</t>
  </si>
  <si>
    <t>VALOR pAGO r$ 238,33</t>
  </si>
  <si>
    <t>Mandar o email para aSexy, solicitando o cancelamento da assinatura</t>
  </si>
  <si>
    <t>Suspensõ temporária até 01/09/2004, assinatura válida até 15/05</t>
  </si>
  <si>
    <t>Formatar os 4 CDs RW</t>
  </si>
  <si>
    <t>Gravar MP3 nos 4 CDs RW</t>
  </si>
  <si>
    <t>Baixar o Javabaixar e Instalar o Java</t>
  </si>
  <si>
    <t>Baixar e Instalar o Jcreator ou Equivalente</t>
  </si>
  <si>
    <t>Instalar o Sql Server</t>
  </si>
  <si>
    <t>Cadastrar o Débito das contas da Coenctway e MasterCard</t>
  </si>
  <si>
    <t>Atualizar a Planilha do Banco</t>
  </si>
  <si>
    <t>Baixar e Instalar o SP3 do Sql Server</t>
  </si>
  <si>
    <t>Baixar o Crack pro Jcreator Pro</t>
  </si>
  <si>
    <t>Dependendo do valor das passagens, passar no Garcia Tour e comprar 2 passagens de -&gt; e &lt;- pra Piraju, pro dia 8 e 9, respectivamente</t>
  </si>
  <si>
    <t>Dependendo do item 228</t>
  </si>
  <si>
    <t>Valor das passagens = 81,34</t>
  </si>
  <si>
    <t>Passar NO HSBC e sacar R$ 100,00 pro condominio + R$ 90 pra Faxineira</t>
  </si>
  <si>
    <t>Passar na Caixa Economica Federal, AG da Superquadra e pagar o condominio.</t>
  </si>
  <si>
    <t>Foi pago na loterica em frente à vivo</t>
  </si>
  <si>
    <t>Pagar o aluguel Ref. 04/2004</t>
  </si>
  <si>
    <t>Valor a ser pago R$ 237,89</t>
  </si>
  <si>
    <t>Ligar no *48 da Morto e alterar a data de vencimento para p dia 15</t>
  </si>
  <si>
    <t>Ligar na GVT (0800 052 2525) e alterar a data de vencimento para o dia 15</t>
  </si>
  <si>
    <t>13i7veg</t>
  </si>
  <si>
    <t>Ligar na Copel (0800-437196) e alterar o vencimento para o dia 15</t>
  </si>
  <si>
    <t>Ligar no Unibanco Mastercard e (3374-0101) e alterar o vencimento da fatura para o Dia 15</t>
  </si>
  <si>
    <t>Passar no Unibanco e sacar R$ 10, para comprar o par de luvas pro fio</t>
  </si>
  <si>
    <t>Pagar pro Mafferi R$ 7</t>
  </si>
  <si>
    <t>Ir no Camelodrmo e comprar um par de luvas pro frio</t>
  </si>
  <si>
    <t>Comprei a Luva do maffei, que custo R$ 7</t>
  </si>
  <si>
    <t>Localizar no site do Deitel(www.deitel.com) os exemplos do livro Java como programar 4 e baixar tudo</t>
  </si>
  <si>
    <t>Verificar no site do Submarino, as condições de pagamento do livro “Aprenda VB em 21 dias”</t>
  </si>
  <si>
    <t>Se as condições de pagamento do item 270 forem “atraentes”, comprar o livro.</t>
  </si>
  <si>
    <t>Verificar se o o novo disco do Blind Quardian está disponivel no mp3spy.ru</t>
  </si>
  <si>
    <t>Verificar se o Disco BonFire do AC-dc ESTÁ DISPONIVEL PRA download</t>
  </si>
  <si>
    <t>Acabar de baixar as musicas do Lacrimosa do mp3spy.ru</t>
  </si>
  <si>
    <t>Para com isso . Reze pra essa merda nunca chgar até vc</t>
  </si>
  <si>
    <t>Baixar o Live do Ac/DC e o ao-vido do Blind Guardian</t>
  </si>
  <si>
    <t>23/05/2004 - O Aovivo do Blind Guadian já foi
26/05/2004 - O Ao vivo do Ac/Dc já foi.</t>
  </si>
  <si>
    <t>Passar em algum Unibanco e sacar dinheiro R$ 15 para pagar a locação dos filmes pegos na mOntese no sábado (22/05</t>
  </si>
  <si>
    <t>Foi sacado R$ 20ão, porque não da pra sacar notas de 5</t>
  </si>
  <si>
    <t>Devolver os Filmes locado nosábado na Montese</t>
  </si>
  <si>
    <t>Comprar Cds Virges ( 5 p/ o Fedora + 3 p/ o Oracle )</t>
  </si>
  <si>
    <t>Foi comprado 10</t>
  </si>
  <si>
    <t>Gravar os Cds com o fedora Nvo</t>
  </si>
  <si>
    <t>Dependendo do Item 278</t>
  </si>
  <si>
    <t>Instalar o Linux Fedora Core 2</t>
  </si>
  <si>
    <t>Dependendo do Item 279</t>
  </si>
  <si>
    <t>Atualiza a planilha do Banco1</t>
  </si>
  <si>
    <t xml:space="preserve">Passar na Aranda mOTOS ( Duque, entre Espirito Santo e Goias) e comprar uma roupa de chuva </t>
  </si>
  <si>
    <t>Devolver o filme locado ontem na montese e pagar o total</t>
  </si>
  <si>
    <t>Dependendo do item 276</t>
  </si>
  <si>
    <t>Levar a moto na Kallas Moto, para a revisão dos 3.000 KM</t>
  </si>
  <si>
    <t>Trocar o òleo a cada 1000 KM ou 45 DIAS</t>
  </si>
  <si>
    <t>Ir na Lotérica de frente com a Vivo e pagar a Fatura da Sercomtrel, de R$ 15,96</t>
  </si>
  <si>
    <t>Dependendo do item 286</t>
  </si>
  <si>
    <t>Passar no Unibanco e sacar R$ 20, para pagar a sercomtel, rtef. Item 285</t>
  </si>
  <si>
    <t>Passar no Bradesco do calçadão e trocar o Cheque do Pagamento</t>
  </si>
  <si>
    <t>Passar no Itau, e pagar a conta da Conectway</t>
  </si>
  <si>
    <t>Passar no Unibanco e depositar o restante do Salário</t>
  </si>
  <si>
    <t>Ir para casa e acertar com a faxineira, dispensando-a de futuras visitas, e solicitando a chave.</t>
  </si>
  <si>
    <t>Ligar na Morto e ver o Status do chamado 3098282</t>
  </si>
  <si>
    <t>O Morto ressucitou</t>
  </si>
  <si>
    <t>Passar no Restaurante dOCÊ cAFÉ  e pagar os R$ 112,00 do mes passado</t>
  </si>
  <si>
    <t>Valor Pago R$ 112,88</t>
  </si>
  <si>
    <t>Pagar o Aluguel ref. Maio/2004</t>
  </si>
  <si>
    <t>Valor Pago : R$ 249,95</t>
  </si>
  <si>
    <t>Passar na sapataria da Para , para pegar a Jaqueta e pagar R$ 5</t>
  </si>
  <si>
    <t>Ir nas Casas Bahia do Shopping e fechar o negócio com o Fogão Dako Luna de 4 Bocas em 10 x 28,90 no Master Card.</t>
  </si>
  <si>
    <t>Foi compradro  um no valor de 504 dividido em 12x</t>
  </si>
  <si>
    <t>Passar NA uel para receber os R$ 120,00 do Eduardo, ref. À venda dos livros</t>
  </si>
  <si>
    <t>O cara pagou R$100, falta R$ 20</t>
  </si>
  <si>
    <t>Pagar R$ 15,00 na Info&amp;Cia, ref. Aos cedês virge</t>
  </si>
  <si>
    <t>LIGAR NAS Casas Bahia do Shopping e desmarcar a monagem do Guarda-roupas da Cris</t>
  </si>
  <si>
    <t>Para agendar nova montagem , ligue para 3339-0301 e falar com a Vanda, com no minimo 3 dias de antecedencia</t>
  </si>
  <si>
    <t>Passar no Brecho da Goias ( entre Duque de Caxias e Mato Grosso) e ver O Quanto custa a calça de couro(ou similar)</t>
  </si>
  <si>
    <t>Foi vista uma no mercadolivre.com.br
http://www.mercadolivre.com.br/jm/item?site=MLB&amp;id=20131852
por R$ 83,00, só falta saber quanto fica o frete e se é masculina</t>
  </si>
  <si>
    <t>A calça é feminina.</t>
  </si>
  <si>
    <t>Passar NA uel para receber os R$ 20,00 do Eduardo, ref. Ao restante venda dos livros</t>
  </si>
  <si>
    <t>Passar na Lotéria em frente à Morto para pagar a fatura da Sercomtel (R$ 48,19) , enquanto ainda HÁ dinheiro.</t>
  </si>
  <si>
    <t>Ligar no Banco1.net e CANCELAR o debito automático da fatura da GVT.</t>
  </si>
  <si>
    <t>Vai estar tendo saldo, devido à restituição do I.R.</t>
  </si>
  <si>
    <t>Passar na Loja de moveis da Duque, Entre JK e Cambará, e ver o preço da banqueta pequena</t>
  </si>
  <si>
    <t>A banqueta custou R$ 6,50</t>
  </si>
  <si>
    <t>Passar na Loja de incenso na Rio de Janeiro (entre o calçadão e sergipe) e ver se tem o Famoso Anel Atlante.</t>
  </si>
  <si>
    <t>Custa R$ 22,00, mas só tinha do tamanho 31</t>
  </si>
  <si>
    <t>A dona sugeriu que eu passasse no Royal, disse que existe umaloja lá que talvez tenha</t>
  </si>
  <si>
    <t>Pagar o Aluguel ref. Junho/2004</t>
  </si>
  <si>
    <t>Valor R$ 249,96</t>
  </si>
  <si>
    <t>Trocar o òleo da Moto</t>
  </si>
  <si>
    <t>Caso a kilometragem já tenha passado dos 4.000KM</t>
  </si>
  <si>
    <t>Kilometragem em 4.134KM</t>
  </si>
  <si>
    <t>Passar no "Centro de Referencia do Artezanato" e comprar um chaveiro de Algemas pra motoca</t>
  </si>
  <si>
    <t xml:space="preserve">Custou treis reau. </t>
  </si>
  <si>
    <t>Ligar no Banco1.net e solictar que DIMINUA o limita da Conta-corrente , para no MÁXIMO R$ 500</t>
  </si>
  <si>
    <t>Passar novamente no brecho da Goias, e ver se existe alguma calca de couro ( ou similar) que sirva e $QUANTO$ custa</t>
  </si>
  <si>
    <t>Não achei a calça</t>
  </si>
  <si>
    <t>Embalar o Livro SNMP para enviar para o Peão do M.L</t>
  </si>
  <si>
    <t>O livro deverá ser embalado com o Plastico de PVC, e aparado com, Isopor, e por ultimo colocado no envelope</t>
  </si>
  <si>
    <t>Só foi embalado com o plastico</t>
  </si>
  <si>
    <t>Conseguir um envelope para mandar o livro SNMP Essencial pro Peão do M.L</t>
  </si>
  <si>
    <t>O Peão desistiu de comprar o livro -= FUDEU</t>
  </si>
  <si>
    <t>Ir no Royal Plaza e ver se acha o Famoso Anel Atlante</t>
  </si>
  <si>
    <t>Foi comprado um no M.L, de Ouro 18K</t>
  </si>
  <si>
    <t>Passar no Unibanco da Souza naves e pagar a fatura do Master Card.</t>
  </si>
  <si>
    <t xml:space="preserve">Pagar R$ 35,00 do mouse na Info&amp;Cia </t>
  </si>
  <si>
    <t>Passar na locadora Montese na hora do almoço e devolver o Senhor dos Aneis</t>
  </si>
  <si>
    <t>Ligar no Banco1.net e verificar o que ocorreu com o débito da GVT</t>
  </si>
  <si>
    <t>A fatura NÃO estava no débito</t>
  </si>
  <si>
    <t>Se o debito da GVT não for efetuado, ligar para a Cristiane e pedir para Localizar a conta e Paga-la</t>
  </si>
  <si>
    <t>EU paguei na loterica em frente á morto</t>
  </si>
  <si>
    <t>Depositar R$ 27,00 no Bradesco,na conta do cara do M.L. para efetivar a compra do Anel Atlante do Poder</t>
  </si>
  <si>
    <t>Caso não ache denovo em Londrina, contacte o tiozinho do M.L</t>
  </si>
  <si>
    <t>Comprar insenso</t>
  </si>
  <si>
    <t>No camelô é mais barato</t>
  </si>
  <si>
    <t>Levar a moto pra lavar no Tiozinho do posto perto de casa</t>
  </si>
  <si>
    <t>O tiozinho cobra R$ 8 pra lava e encerá</t>
  </si>
  <si>
    <t>Procurar uma ótica que faça um óculos novo por um rpeço BARATO, COM lentes anti-reflexos</t>
  </si>
  <si>
    <t>O mais batato ficou 140</t>
  </si>
  <si>
    <t>Comprar um Cedê virge pra Cris gravas os clipes</t>
  </si>
  <si>
    <t>Gravar os Clipes pra Cris dar aulas</t>
  </si>
  <si>
    <t>Gravar os 4 CDs RW com MP3</t>
  </si>
  <si>
    <t>Passar na casa do oculos e pegar os oculos novos</t>
  </si>
  <si>
    <t>ir na rodoviaria e achar a) uma empresa que vá até Joinville ou Blumennau b) Horarios de ida e volta c) Valores</t>
  </si>
  <si>
    <t>dependendo da resposta do ultimo email enviado para a fabiana da Vipper</t>
  </si>
  <si>
    <t>Passar novamente na casa do Oculos e pegar o oculos</t>
  </si>
  <si>
    <t>Ligar na kallas e ver se tem e quanto custa  retrovisor esquerdo da Titan 2003/2004</t>
  </si>
  <si>
    <t>preço = R$ 24</t>
  </si>
  <si>
    <t>devolver os filmes locados na Montese</t>
  </si>
  <si>
    <t>Devbolver o DVD filhos de Duna na Phantom Video Locadora</t>
  </si>
  <si>
    <t>Procurar o Livro "Messia de Duna" de Frank herbert nos sebos de Londrina</t>
  </si>
  <si>
    <t>Esse é o Segundo da série, foi pago R$ 4</t>
  </si>
  <si>
    <t>Depositar R$ 20,00 no Unibanco, na conta Corrente pra não deixar Zerar</t>
  </si>
  <si>
    <t>devolver os Filmes 21 Gramas e Nemo na Montese</t>
  </si>
  <si>
    <t>devolver o filme Eclipse Mortal na Montese</t>
  </si>
  <si>
    <t>Ir nas Casas Bahia do Shopping e pagar a parcela (01/18) do guarda-roupa das Cristiane</t>
  </si>
  <si>
    <t>Valor da Parcela = R$ 43,00</t>
  </si>
  <si>
    <t>Pago no centro</t>
  </si>
  <si>
    <t>Ligar para o InfoJon Shopping (41-3018-6918) e ver os detalhes da vaga de Analista de sistemas em Londrina</t>
  </si>
  <si>
    <t>Passar na Lotéria em frente à Morto para pagar a fatura da Sercomtel (R$ 33,39) , enquanto ainda HÁ dinheiro.</t>
  </si>
  <si>
    <t>Pagar o Aluguel ref. 07/2004</t>
  </si>
  <si>
    <t>Valor Aproximado = R$ 249,97</t>
  </si>
  <si>
    <t>Passar no Unibancoi e pagar a fatura do Cartão de Credito</t>
  </si>
  <si>
    <t>Passar na Unopar e verificar quais são os procedimentos necessários para retirar o Diploma e o CREA</t>
  </si>
  <si>
    <t>Passar na Exactus e receber o Valor do Acerto.</t>
  </si>
  <si>
    <t>Passar no Bradesco do calçadão e trocar o Cheque do Pagamento, e pagar as contas</t>
  </si>
  <si>
    <t>Depositar no Unibanco o Valor de R$210, para pagamento de parcela do Financiamento + Diploma</t>
  </si>
  <si>
    <t>Pagar com Cheque do Unibanco</t>
  </si>
  <si>
    <t>Verificar nas Agencias de Mudanças, qual o valor do Frete pra Brasilia Somente Moto e Tudo</t>
  </si>
  <si>
    <t>Ganhadora - Gralha Azul</t>
  </si>
  <si>
    <t>Pregar no elevador, a placa de Vende-se</t>
  </si>
  <si>
    <t>Passar em lojas de Moveis usados na Duque e tentar vender o que puder.</t>
  </si>
  <si>
    <t>Passar na Imobiliaria Higienopolis para Pagar o Aluguel e estudar como fica a situação do Apartamento</t>
  </si>
  <si>
    <t>Ligar para a Patricia do RH da Bearing Point e verificar como anda o processo</t>
  </si>
  <si>
    <t>Embalar o Livro de VB e mandar para Piraju, Aos cuidados da Ana Célia</t>
  </si>
  <si>
    <t>Comprar uma MALA Grande com rodinhas de preferencia</t>
  </si>
  <si>
    <t xml:space="preserve">Comprar 3 Camisas sociais ML e uma calça Preta. </t>
  </si>
  <si>
    <t>Comprar um Par de Sapatos um cinto que combine</t>
  </si>
  <si>
    <t>Levar os Cedês e as luvras pro Edson.</t>
  </si>
  <si>
    <t>Verificar com o Lucas se existe a possibilidade de se utilizar os Almoxarifados do predio pra guardar as coaisas</t>
  </si>
  <si>
    <t xml:space="preserve">Verificar com o Edson se ele ainda possui a caixa do seu monitor de 17" </t>
  </si>
  <si>
    <t>Caso o item 356 não seja concluido com sucesso, verificar na Exactus se existe uma caixa VAZIA de monitor de 17"</t>
  </si>
  <si>
    <t>Comprar a aquela fita grossa para fechar caixas</t>
  </si>
  <si>
    <t>Passar na Assistence Informática e ver se eles ficam com a Impressora</t>
  </si>
  <si>
    <t>Nã0 tão a fim</t>
  </si>
  <si>
    <t>Passar na CDCom Av São Joao e ver se eles ficam com a Impressora</t>
  </si>
  <si>
    <t>Não tão A fim</t>
  </si>
  <si>
    <t>Passar no Mercado e verificar se existe Caixas de papelão vazias Muitas</t>
  </si>
  <si>
    <t>LIgar no CityBank de Brasilia  (61) 218-8022 e falar com a   Matilde Marrocos Ref. À abertura de Conta</t>
  </si>
  <si>
    <t>Ligar na LaborMed (Av. Maringa, 2655 - Fone: (43) 3374-4000) para agendar o Exame Admissional</t>
  </si>
  <si>
    <t xml:space="preserve">Providenciar os documentos necessários para a contratação da Bearing. </t>
  </si>
  <si>
    <t>DEPENDENDO DO XEROX DA CLT</t>
  </si>
  <si>
    <t>Ligar na Exactus e ver com o Luciano se a Carta de Recomendação está òquei, e se existe um Recibo de Quitação Sindical.</t>
  </si>
  <si>
    <t>Localizar o Histórico Escolar da Unopar</t>
  </si>
  <si>
    <t>Não tenho</t>
  </si>
  <si>
    <t>Tirar Fotos 3x4 com Paletó e Gravata que seja discreto e apresentavel</t>
  </si>
  <si>
    <t>Localizar a Certidão de Nascimento</t>
  </si>
  <si>
    <t xml:space="preserve">Ligar para o Paolo da Beraring na Brt em BSB e verificar como está o esquema das passagens e do Hotel. </t>
  </si>
  <si>
    <t xml:space="preserve">Ir na Unopar do Piza e providenciar o Histórico Escolar </t>
  </si>
  <si>
    <t>Tirar 3 Xerox da conta de Luz da copel</t>
  </si>
  <si>
    <t>Passar no Banco do Brasil e trocar o Cheque da Exactus</t>
  </si>
  <si>
    <t>colocar R$ 10,00 ÂO de credito no morto</t>
  </si>
  <si>
    <t>Comprar Pilhas recarregaveis p/ a Cris</t>
  </si>
  <si>
    <t>Ta caro pra k-raio</t>
  </si>
  <si>
    <t>Passar nas Caas Bahia do Shopping Catuai e ver se eles cancelaram o debito do Guarda-roupas</t>
  </si>
  <si>
    <t>Procurar um local para imprimir os documentos da Bearing enviados por email</t>
  </si>
  <si>
    <t>Ir na Gralha Azul novamente e acabar de fechar com eles as paradas do Transporte</t>
  </si>
  <si>
    <t>2 x 767 + 766</t>
  </si>
  <si>
    <t>Ir fazer o Exame médico as 15:00 nas Labormed na Maringá Valor R$ 15</t>
  </si>
  <si>
    <t>Ir no Citybank munido de RG, CPF + Comprovande de residencia e abrir a conta</t>
  </si>
  <si>
    <t>Ir na Gralha Azul novamente e levar um cheque predatado de 767 par a15/09</t>
  </si>
  <si>
    <t>Ligar para a Luci Souza da Bearing e verificar  os itens a) Crea que ainda não tem; B) Diploma que ainda não tem</t>
  </si>
  <si>
    <t>Comprar 2 daqueles envelopes grandes</t>
  </si>
  <si>
    <t>Devolver o DVD do Rei Leao III na Phantom</t>
  </si>
  <si>
    <t>Levar a Roupa na lavanderia</t>
  </si>
  <si>
    <t>Pegar a Roupa na Lavanderia</t>
  </si>
  <si>
    <t>Instruir o Lucas com as paradas da Mudança</t>
  </si>
  <si>
    <t>Comprar a Capa pra Motoca</t>
  </si>
  <si>
    <t>Levar a Motoca pra Lavar</t>
  </si>
  <si>
    <t>Ir com a Cris na Loja de Sapatos B! no centro</t>
  </si>
  <si>
    <t>Comprar um par de cadeados</t>
  </si>
  <si>
    <t>Passar no Royal Plaza e pegar as duas calças novas</t>
  </si>
  <si>
    <t>Ligar na GVT e cancelar o Telefone de Londrina</t>
  </si>
  <si>
    <t>Transferir R$ 600 do Citibank pro Unibanco</t>
  </si>
  <si>
    <t>foi transferido 700</t>
  </si>
  <si>
    <t>Providenciar a documentação proaluguel do ap</t>
  </si>
  <si>
    <t>Ligar na transportadora e passar o endereço do ap e agendar a viagem</t>
  </si>
  <si>
    <t>imprimir os comprovantes de pagamento do Fabiano pra mandar pra imobiliaria</t>
  </si>
  <si>
    <t>Comprar um Butijão de Gaz cheio</t>
  </si>
  <si>
    <t>Comprar uma valvula do butijão de gaz</t>
  </si>
  <si>
    <t>comprar um filtro de linha</t>
  </si>
  <si>
    <t>Cancelar o master Card do Banco1</t>
  </si>
  <si>
    <t>Comprar um alarme pra moto</t>
  </si>
  <si>
    <t>comprado na Ferinha do paragua por 220</t>
  </si>
  <si>
    <t>Habilitar o cartão de credito do Citibank</t>
  </si>
  <si>
    <t>Fazer o cadastro pra habilitar a linha telefonica no ap</t>
  </si>
  <si>
    <t>Pregar o armário na cozinha</t>
  </si>
  <si>
    <t>dependendo do item 417
Pedi pro zelador do predio</t>
  </si>
  <si>
    <t xml:space="preserve">Ligar no Banco1 e mudar o endereço </t>
  </si>
  <si>
    <t>comprar uma mochila BARATA pro notebook</t>
  </si>
  <si>
    <t>Comprar um cabo Cross</t>
  </si>
  <si>
    <t>|Foi pego um na BrT</t>
  </si>
  <si>
    <t>Comprar uma cadeira de secretára</t>
  </si>
  <si>
    <t>Pegar a moto no lava-rápido</t>
  </si>
  <si>
    <t>Dependento do item 416</t>
  </si>
  <si>
    <t>Procurar uma loja de moveis usados pra comprar uma cama de casal marfim</t>
  </si>
  <si>
    <t>comprado uma zerada no valor de 280</t>
  </si>
  <si>
    <t>Ligar na Transportadora Gralha azul e informar o incidente da cama</t>
  </si>
  <si>
    <t>Conversar com o Paolo e entregar o recibo do Seguro Fiança</t>
  </si>
  <si>
    <t>Mandei o mail para ele</t>
  </si>
  <si>
    <t xml:space="preserve">lannçar no T&amp;e os valores </t>
  </si>
  <si>
    <t>Verificar com o RH da Bearing pra mandar as despesas do Hotel.</t>
  </si>
  <si>
    <t>Mandei o mail para iara.borges</t>
  </si>
  <si>
    <t>Lancar no T&amp;E</t>
  </si>
  <si>
    <t>Mandar o Fax pra bearing com a ficha da KDMIA</t>
  </si>
  <si>
    <t>Sacar 10 pra pagar a lavagem da moto</t>
  </si>
  <si>
    <t>Arranjar uma furadeira e as buchas pra pregar o armário da cozinha</t>
  </si>
  <si>
    <t xml:space="preserve">Tirar uma cópia das chaves do Ap </t>
  </si>
  <si>
    <t>Passar no Unibanco e puxar um extrato de debitos da Motoca</t>
  </si>
  <si>
    <t>Passar num Unibanco e quitar os debitos da motoca</t>
  </si>
  <si>
    <t>Assinar a certidão do casamento e o recibo</t>
  </si>
  <si>
    <t>Comprar um envelope pra postar a certidão de casamento</t>
  </si>
  <si>
    <t>ir no correio e postar a certidao de casamento como registrada</t>
  </si>
  <si>
    <t>Sacar grana pra pagar 
a) O Liscenciamento da Motoca
b) o envio da certidado de casamento pelo correio</t>
  </si>
  <si>
    <t>Ver com o Jardinete onde ele comprou a parada q prega na parede pra pregar o espelho no quarto</t>
  </si>
  <si>
    <t>pregrar o espelho no quarto</t>
  </si>
  <si>
    <t>dependendo do item 439</t>
  </si>
  <si>
    <t xml:space="preserve">Lançar no T&amp;E as despesas com o Hotel </t>
  </si>
  <si>
    <t>Lancar no T&amp;E as despesas com o seguro-moradia</t>
  </si>
  <si>
    <t>20/28</t>
  </si>
  <si>
    <t>Passar no Pao de Acucar e comprar a parada pra pregar oEspelho</t>
  </si>
  <si>
    <t>25/10</t>
  </si>
  <si>
    <t>Ligar na sercomtel novamente e ver o q ocorreo com a fatura novamente</t>
  </si>
  <si>
    <t>3469636
3469662</t>
  </si>
  <si>
    <t>A fatura chegou no  dia 03/11</t>
  </si>
  <si>
    <t>Passar 200 pra poupança</t>
  </si>
  <si>
    <t>Pagar a parcela da Moto</t>
  </si>
  <si>
    <t>Pagar o concominio</t>
  </si>
  <si>
    <t>Depositar 385 no unibanco pra zerar a conta</t>
  </si>
  <si>
    <t>Dependendo de quando a Cris irá depositar o dinheiro da geladeira.</t>
  </si>
  <si>
    <t>Passar na Loja de molduras e ver quanto fica um espelho novo, utilizando a moldura q já existe</t>
  </si>
  <si>
    <t>O mais barato fica em 65</t>
  </si>
  <si>
    <t>Levar a Moto na Concessionaria da Honda no SIA junto dos documentos, para a revisão dos 6.000</t>
  </si>
  <si>
    <t xml:space="preserve">Passar na loja de molduras e levar o pessoal no AP pra pegar o Espelho </t>
  </si>
  <si>
    <t>Passar na Lavanderia Lav Lev e pegar a roupa que foi deixada pra lavar, e largar o resto q ta dando nojo...</t>
  </si>
  <si>
    <t>Passar no Citibank e sacar 55 reais rpaq pagar a sercomtel</t>
  </si>
  <si>
    <t>Pagar a Sercomtel em um Unibanco</t>
  </si>
  <si>
    <t>mandar a copia da certidão de nascimento que está em meu poder, para a Cristiane, para poder dar a entrada no processo do casório.</t>
  </si>
  <si>
    <t>Depositer 80 no Banco1.net</t>
  </si>
  <si>
    <t>Imprimir o comprovante de pagamento da energia eletrica</t>
  </si>
  <si>
    <t>Ir no Citi Bank e sustar o Cheque</t>
  </si>
  <si>
    <t>Imprimir o T&amp;E e anexar a nota fiscal do posto</t>
  </si>
  <si>
    <t>Levar a Bicicleta pra arrumar</t>
  </si>
  <si>
    <t>Comprar Rabos de Lagartixa pra prender fios</t>
  </si>
  <si>
    <t>Imprimir o Boleto do aluguel e pagar</t>
  </si>
  <si>
    <t xml:space="preserve">Transferir 120 pro Unibanco </t>
  </si>
  <si>
    <t>Foi transferido 200</t>
  </si>
  <si>
    <t>Levar a Moto pra lavar na BrT</t>
  </si>
  <si>
    <t>Retirar os 400 pilas do plano de investimento e passar pra c/c</t>
  </si>
  <si>
    <t>Pagar a luva da Cris a Academia</t>
  </si>
  <si>
    <t>Agendar com o Tales uma maneira de pegar o Presente</t>
  </si>
  <si>
    <t xml:space="preserve">Ligar no Unibanco (4002.0030) e descobrir o que o lançamento PACOTE PREFERENCIAL 01/05 </t>
  </si>
  <si>
    <t xml:space="preserve">Imprimir o Comprovante de pagamento da Moto </t>
  </si>
  <si>
    <t>Imprimir comprovante de pagameto do Alugeu</t>
  </si>
  <si>
    <t>Imprimir comprovante de pagamento do Master Card</t>
  </si>
  <si>
    <t>Imprimir comprovante de pagamento BfT fixa</t>
  </si>
  <si>
    <t>Imprimir comprovante de Pagamento CEB</t>
  </si>
  <si>
    <t xml:space="preserve">Levar a impressora para consertar na Flag Informática
EMPRESA 
FLAG COMERCIO E SERVIÇOS LTDA.  
ENDEREÇO 
SCRN QUADRA 502- BL B, 15 - SUBSOLO  
BAIRRO CIDADE UF CEP 
ASA NORTE  BRASILIA DF  70710-750 
TEL FAX URL  
(61) 328-0008  (61) 327-1124  http://www.flaginformatica.com.br 
</t>
  </si>
  <si>
    <t>Acabar de arrumar os comprovantes de pagamentos das contas</t>
  </si>
  <si>
    <t>Comprar superbonder pra arrumar a muchila</t>
  </si>
  <si>
    <t>Arrumar a mochila</t>
  </si>
  <si>
    <t>dependendo do item 463</t>
  </si>
  <si>
    <t>comprar uma tomada 4 pontos pra fazer uma extensão pra sala</t>
  </si>
  <si>
    <t>comprar um desodorizante corporal</t>
  </si>
  <si>
    <t>Comprar a Torneira do Banheiro</t>
  </si>
  <si>
    <t xml:space="preserve">comprar cimento branco </t>
  </si>
  <si>
    <t>Mandar fazer a pia do banheiro</t>
  </si>
  <si>
    <t>Levar a motoca pra revisão dos 9.000</t>
  </si>
  <si>
    <t>Amarrar os fios soltos da tvelizão</t>
  </si>
  <si>
    <t>devolter os filmes no 100% video e pagar</t>
  </si>
  <si>
    <t>Imprimir o comprovante de pagamento da CEB</t>
  </si>
  <si>
    <t>Pagar a fatura da BrT GSM</t>
  </si>
  <si>
    <t>Sacar 85 pra pagar o IPVA da moto</t>
  </si>
  <si>
    <t>Pagar o Ipva da moto(R$ 83,69 no banco Itau</t>
  </si>
  <si>
    <t>Dependendo do item 476</t>
  </si>
  <si>
    <t>Arrumar um envelope pra mandar a carta pro Lucas</t>
  </si>
  <si>
    <t>Ir no correio e postar a carta pro Lucas</t>
  </si>
  <si>
    <t>dependendo do item 478</t>
  </si>
  <si>
    <t>Cortar o Cabelo porque tá norgento</t>
  </si>
  <si>
    <t>Levar a Cris pra tirar a carteira de Identidadia nova</t>
  </si>
  <si>
    <t>Sacar 10 e depositar pro Edson</t>
  </si>
  <si>
    <t>Depositar 10 pro edson</t>
  </si>
  <si>
    <t>Acertar a planilha de cheques pre-datados</t>
  </si>
  <si>
    <t>acertar a planilha de parcelamentos</t>
  </si>
  <si>
    <t>Ir pegar a impressora, tentando vende-la pros caras</t>
  </si>
  <si>
    <t>Pagar a fatura do Master card (CB)</t>
  </si>
  <si>
    <t>Pagar a fatura do Visa (CB)</t>
  </si>
  <si>
    <t>Pagar a fatura do AmEx</t>
  </si>
  <si>
    <t>Pagar a fatura do Condominio Março/2005</t>
  </si>
  <si>
    <t>Pagar a Parcela da Moto</t>
  </si>
  <si>
    <t>Comprar folhas de sulfuitie</t>
  </si>
  <si>
    <t>Imprimir comprovante pagamento BrT Fixa</t>
  </si>
  <si>
    <t>Imprimir comprovante pagamento CEB</t>
  </si>
  <si>
    <t>Pagar a fatura do Master card Unibanco</t>
  </si>
  <si>
    <t>Trafsberir grana para a conta corrente do Unibanco</t>
  </si>
  <si>
    <t>Gerar Lista de Média de gastos agrupado por tipo de gastos</t>
  </si>
  <si>
    <t>Desbloquear a senha da internet do cartão do unibanco</t>
  </si>
  <si>
    <t>sacar 20 reais pra pagar a lavagem da motoca</t>
  </si>
  <si>
    <t>Pegar a moto no lava-rápido do Terraço Shopping</t>
  </si>
  <si>
    <t>pegar os 2 capacetes e a rede</t>
  </si>
  <si>
    <t>Ligar no CREA (61) 321-3001 e ver se a parada ficou pronta</t>
  </si>
  <si>
    <t>04955/2005</t>
  </si>
  <si>
    <t>Pagar a conta telefonica da BrT Fixa</t>
  </si>
  <si>
    <t>Verificar no site do AmercianExpress se ainda existe algo pra pagar</t>
  </si>
  <si>
    <t>Mandar pra Bearing de Sp a rescião assinada</t>
  </si>
  <si>
    <t>Pegar com o Paolo o resto da correspondencia</t>
  </si>
  <si>
    <t xml:space="preserve">Levar pro Paolo o Cracha da BrT </t>
  </si>
  <si>
    <t>Organizar as MP3 baixadas do man-o-war</t>
  </si>
  <si>
    <t>Criar uma DTS pra importar os dados da planilha do AmEx</t>
  </si>
  <si>
    <t>Ir na feira do Paragua pra trocar o Cabo do Celular</t>
  </si>
  <si>
    <t>Levar os 2 celulares Siemes na feira doPragua pra desbloquear</t>
  </si>
  <si>
    <t>AS paradas foram vendidas em 25/06/2005</t>
  </si>
  <si>
    <t>Pagar o condominio - COM DESCONTO</t>
  </si>
  <si>
    <t>Pagar a faura do Master Card (CB)</t>
  </si>
  <si>
    <t>Verificar a fatura do Master Card (uni) se já está disponivel</t>
  </si>
  <si>
    <t xml:space="preserve">Imprimir a fatura do Master Card (uni) </t>
  </si>
  <si>
    <t>Dependendo de 518</t>
  </si>
  <si>
    <t>dependendo de 519</t>
  </si>
  <si>
    <t>Ir na Coemi Imobiliária e pagar o Aluguel</t>
  </si>
  <si>
    <t>Impresso e pago</t>
  </si>
  <si>
    <t>Ligar no citibank e questionhar a taxa de 8 reais</t>
  </si>
  <si>
    <t>Ligar no Unibanco e falar com a simone à respeito da taxa</t>
  </si>
  <si>
    <t>Por causa da Tarifa ZERo, não é possiver mais ter descontos na tarifas</t>
  </si>
  <si>
    <t>Pagar a fatura no MasterCard Uninanco  Valor de 41,50</t>
  </si>
  <si>
    <t>Pagar a fatura da CEB</t>
  </si>
  <si>
    <t>Levar a moto para trocar o Pneu trazeiro</t>
  </si>
  <si>
    <t>MARCAR consulta com Pneumologistra pra ver se está tudo OK</t>
  </si>
  <si>
    <t>Ir no Pneumologita</t>
  </si>
  <si>
    <t>910 Sul Bloco A Sl 205 , horario 08:00</t>
  </si>
  <si>
    <t>Passar no ItaU e sacar 20 para pagar os filmes</t>
  </si>
  <si>
    <t>devolver os filmes na locadora 7 Arte</t>
  </si>
  <si>
    <t>Levar a moto na freedom motos para verificar o Pneu e trocar o óleo</t>
  </si>
  <si>
    <t>Levar o Sebastian pra vacinar</t>
  </si>
  <si>
    <t>Comprar uma casa de viagem pro Sebastian</t>
  </si>
  <si>
    <t xml:space="preserve">Comprar tintas pra pintar o AP </t>
  </si>
  <si>
    <t>Pegar os telefones do Valdo e passar pro rafael Roriz</t>
  </si>
  <si>
    <t>Marcar em um lugar FÁCIL o endereço e o telefone da Mudanças São Miguel</t>
  </si>
  <si>
    <t>Marcar em um lugar FÁCIL o endereço e o telefone da DePaula Imoveis</t>
  </si>
  <si>
    <t>Tirar a Foto 3X4 pros documentos admissionais</t>
  </si>
  <si>
    <t>Confirmar o endereço da Unitech de Sp, e o nome do contato em SP</t>
  </si>
  <si>
    <t>Marcar em um lugar FÁCIL o endereço e o telefone da Unitech de Sp</t>
  </si>
  <si>
    <t>Dependo do item 539</t>
  </si>
  <si>
    <t>Ligar  na TIM e pegar o codigo de barras das Faturas de Luiz e Cristiane</t>
  </si>
  <si>
    <t>ligar denovo no dia 28/11</t>
  </si>
  <si>
    <t>Ligar no Citibank e pegar o numero do código de barras das faturas Mastercard e visa</t>
  </si>
  <si>
    <t>Ligar no UniCard e pegar o numero do codigo de barras das faturas, ou pegar pelo site</t>
  </si>
  <si>
    <t>Agendar o pagamento das faturas Unicard, CitiCard, TIM , BrT, condominio</t>
  </si>
  <si>
    <t>Falta as da TIM</t>
  </si>
  <si>
    <t>Comprar cuecas pra ir viajar</t>
  </si>
  <si>
    <t>conversar como Wagner sobre a planilha de H.E</t>
  </si>
  <si>
    <t>Recarregar o cartucho da Impressora</t>
  </si>
  <si>
    <t>Engraxar e lustrar os calçados de couro</t>
  </si>
  <si>
    <t>marcar num lugar fácil as informações da BrT pra mudar a conta de lugar</t>
  </si>
  <si>
    <t>Ligar na BrT e pegar o numero do cópdigo de barras da fatura</t>
  </si>
  <si>
    <t>Comprar areia e ração pro gato</t>
  </si>
  <si>
    <t xml:space="preserve">Murar o endereço das correspondencias do Unibanco </t>
  </si>
  <si>
    <t>Mudar o endereço das correspondencias do Unicard</t>
  </si>
  <si>
    <t>Protocolo 8976979</t>
  </si>
  <si>
    <t>Mudar o endereço das correspondencias do citicard</t>
  </si>
  <si>
    <t>Mudar o endereço das correspondencias do Itau</t>
  </si>
  <si>
    <t>Tem ser na Agencia do ItaU com o comprovante de resendencia</t>
  </si>
  <si>
    <t>Mudar o endereço das correspondencias do Itaucard</t>
  </si>
  <si>
    <t>Mudar o endereço das correspondencias da Tim- LUIZ</t>
  </si>
  <si>
    <t xml:space="preserve"> Protocolo 117006981</t>
  </si>
  <si>
    <t>Mudar o endereço das correspondencias da TIM - Cris</t>
  </si>
  <si>
    <t>Ligar na brT e pedir pra cancelar TUDO, com mudança de endereço final</t>
  </si>
  <si>
    <t>Nome do Atendente: Flávio
Matricula: ex000010 
Nomero de Protocolo: df166151
Numero de Os: os/df11262303/2005020 
prazo de 48 horas pra ADSL e 3 dias UTEIS pra linha 
0800-641-1100</t>
  </si>
  <si>
    <t>Murar o endereço das correspondencias da Oracle Magazine</t>
  </si>
  <si>
    <t>Mudar o cadastro do carrefour</t>
  </si>
  <si>
    <t>Ligar na imobiliária e informar que o contrato está assinado e será entregue amanha, e peguntar QUANDO das chaves</t>
  </si>
  <si>
    <t>ligar na transportadora são miguel e confirmar a mudança pra amanha (20/12) e reclamar da merda de serviço</t>
  </si>
  <si>
    <t>fone 3331-2606</t>
  </si>
  <si>
    <t>Ligar pro Seu Lucas e ver a parada da moto</t>
  </si>
  <si>
    <t>Achar o endereço do Unibanco Agencia Marcni</t>
  </si>
  <si>
    <t>Agência 7007-6 ( MARCONI )
  R MARCONI 100
  Bairro: CENTRO
  Cidade: SAO PAULO-SP
  CEP: 01047-000
  Telefone: (11) 4004-2248</t>
  </si>
  <si>
    <t>Ligar no Unibanco e falar com a simone à respeito de quitação da conta , com TODOS os débitos para cancelamento da mesma</t>
  </si>
  <si>
    <t>Para cancelar a conta HOJE = R$ 694,03 + R$ 1752,97 +/- R$ 2500</t>
  </si>
  <si>
    <t>Ligar na BrT e tentar transferir a fatura pra Santo André</t>
  </si>
  <si>
    <t>Ligar na Imobioliária e pedir pro proprietário retirar as coisas dele do Ap</t>
  </si>
  <si>
    <t>Ligar na Impb. E pedir pra ir alguem verificar o Fugão</t>
  </si>
  <si>
    <t>Ligar na Imobiliária e pedir pra alguem verificar a eletricidade do quarto</t>
  </si>
  <si>
    <t>Ligar pro Seu Paulo (?) e pedir pra ele deixar uma nota de serviço de instalação da linha telefonica</t>
  </si>
  <si>
    <t>Fone 9265-7307</t>
  </si>
  <si>
    <t>Ir no RH e levar o novo numero da conta corrente</t>
  </si>
  <si>
    <t>Ir na agencia do ItaU e pagar as contas con vencimento em 02/01 e 04/01</t>
  </si>
  <si>
    <t>Atualizar os dados de contato, cursos realizados e Registro de emprego no CV (.DOC; .PDF e Web )</t>
  </si>
  <si>
    <t>ir na Block Buster e devolver os DVDs locados</t>
  </si>
  <si>
    <t xml:space="preserve">Transferir Grana (R$ ???) pro Unibanco pra abater a divida um pouco </t>
  </si>
  <si>
    <t>Solicitado encerramento da conta</t>
  </si>
  <si>
    <t>Preencher a planilha de Horas de Dezembro/2005 e descobrir pra quem deve ser entregue</t>
  </si>
  <si>
    <t>Comprar o Anti-pulga pro gato no pet-shops</t>
  </si>
  <si>
    <t>Ligar novamente no Unibanco e  ver quanto tem que depositar dessa vez pra encerrar a porra da conta em definitivo!</t>
  </si>
  <si>
    <t>Tem, q depositar R$ 40</t>
  </si>
  <si>
    <t xml:space="preserve">sacar R$ 4o do ItaU </t>
  </si>
  <si>
    <t>depositat os R$ 40 no Unibanco</t>
  </si>
  <si>
    <t>Parado</t>
  </si>
  <si>
    <t>À procura</t>
  </si>
  <si>
    <t>Concluído</t>
  </si>
  <si>
    <t>Aguardando data Marcada</t>
  </si>
  <si>
    <t>Fazer HOJE</t>
  </si>
  <si>
    <t>Providenciar nesta NOITE</t>
  </si>
  <si>
    <t>Sem data definida, porém realizar o QUANTO ANTES</t>
  </si>
  <si>
    <t>Realização cancelada</t>
  </si>
  <si>
    <t>Item</t>
  </si>
  <si>
    <t>Observação</t>
  </si>
  <si>
    <t>O Preco no Ponto-frio era mais alto, além do parcelamento ser acrescido de Juros</t>
  </si>
  <si>
    <t xml:space="preserve"> Boa Noite 
        Sou um Ex-colaborador da Vivo-PR/SC, e nesta noite, tive um susto quando acessei minha conta pela Internet.
        Notei que existiam algumas chamadas, de quando eu AINDA era colaborador desta conceituada empresa, e pela política </t>
  </si>
  <si>
    <r>
      <t>OI Cleide,</t>
    </r>
    <r>
      <rPr>
        <sz val="12"/>
        <rFont val="Arial"/>
        <family val="3"/>
      </rPr>
      <t xml:space="preserve"> 
</t>
    </r>
    <r>
      <rPr>
        <sz val="10"/>
        <rFont val="Arial"/>
        <family val="2"/>
      </rPr>
      <t>O Endereço atual é 
Rua Joaquim Lacerda, 60, Ap 202</t>
    </r>
    <r>
      <rPr>
        <sz val="12"/>
        <rFont val="Arial"/>
        <family val="2"/>
      </rPr>
      <t xml:space="preserve"> 
</t>
    </r>
    <r>
      <rPr>
        <sz val="10"/>
        <rFont val="Arial"/>
        <family val="2"/>
      </rPr>
      <t>Bela Vista</t>
    </r>
    <r>
      <rPr>
        <sz val="12"/>
        <rFont val="Arial"/>
        <family val="2"/>
      </rPr>
      <t xml:space="preserve"> 
</t>
    </r>
    <r>
      <rPr>
        <sz val="10"/>
        <rFont val="Arial"/>
        <family val="2"/>
      </rPr>
      <t>CEP 86015-260</t>
    </r>
    <r>
      <rPr>
        <sz val="12"/>
        <rFont val="Arial"/>
        <family val="2"/>
      </rPr>
      <t xml:space="preserve"> 
</t>
    </r>
    <r>
      <rPr>
        <sz val="10"/>
        <rFont val="Arial"/>
        <family val="2"/>
      </rPr>
      <t>Londrina - PR</t>
    </r>
    <r>
      <rPr>
        <sz val="12"/>
        <rFont val="Arial"/>
        <family val="2"/>
      </rPr>
      <t xml:space="preserve"> 
</t>
    </r>
    <r>
      <rPr>
        <sz val="10"/>
        <rFont val="Arial"/>
        <family val="2"/>
      </rPr>
      <t>Obrigado pela Atenção.</t>
    </r>
    <r>
      <rPr>
        <sz val="12"/>
        <rFont val="Arial"/>
        <family val="2"/>
      </rPr>
      <t xml:space="preserve"> 
</t>
    </r>
    <r>
      <rPr>
        <sz val="10"/>
        <rFont val="Tahoma"/>
        <family val="2"/>
      </rPr>
      <t>_______________________</t>
    </r>
    <r>
      <rPr>
        <sz val="10"/>
        <rFont val="Arial"/>
        <family val="2"/>
      </rPr>
      <t xml:space="preserve"> 
</t>
    </r>
    <r>
      <rPr>
        <sz val="10"/>
        <color indexed="12"/>
        <rFont val="Tahoma"/>
        <family val="2"/>
      </rPr>
      <t>Luiz Antonio Carlin</t>
    </r>
    <r>
      <rPr>
        <sz val="10"/>
        <rFont val="Arial"/>
        <family val="2"/>
      </rPr>
      <t xml:space="preserve"> 
</t>
    </r>
    <r>
      <rPr>
        <sz val="10"/>
        <color indexed="10"/>
        <rFont val="Tahoma"/>
        <family val="2"/>
      </rPr>
      <t>Exactus Software S/C Ltda.</t>
    </r>
    <r>
      <rPr>
        <sz val="10"/>
        <rFont val="Arial"/>
        <family val="2"/>
      </rPr>
      <t xml:space="preserve"> 
</t>
    </r>
    <r>
      <rPr>
        <sz val="10"/>
        <color indexed="10"/>
        <rFont val="Tahoma"/>
        <family val="2"/>
      </rPr>
      <t>Londrina - PR - Brazil</t>
    </r>
    <r>
      <rPr>
        <sz val="10"/>
        <rFont val="Arial"/>
        <family val="2"/>
      </rPr>
      <t xml:space="preserve"> 
</t>
    </r>
    <r>
      <rPr>
        <sz val="10"/>
        <color indexed="10"/>
        <rFont val="Tahoma"/>
        <family val="2"/>
      </rPr>
      <t xml:space="preserve">Email: </t>
    </r>
    <r>
      <rPr>
        <u/>
        <sz val="10"/>
        <color indexed="12"/>
        <rFont val="Tahoma"/>
        <family val="2"/>
      </rPr>
      <t>lcarlin@exactus.com.br</t>
    </r>
    <r>
      <rPr>
        <sz val="10"/>
        <rFont val="Arial"/>
        <family val="2"/>
      </rPr>
      <t xml:space="preserve"> 
</t>
    </r>
    <r>
      <rPr>
        <sz val="10"/>
        <color indexed="10"/>
        <rFont val="Tahoma"/>
        <family val="2"/>
      </rPr>
      <t>Fone</t>
    </r>
    <r>
      <rPr>
        <sz val="10"/>
        <color indexed="12"/>
        <rFont val="Tahoma"/>
        <family val="2"/>
      </rPr>
      <t>:</t>
    </r>
    <r>
      <rPr>
        <sz val="10"/>
        <rFont val="Tahoma"/>
        <family val="2"/>
      </rPr>
      <t xml:space="preserve"> </t>
    </r>
    <r>
      <rPr>
        <sz val="10"/>
        <color indexed="12"/>
        <rFont val="Tahoma"/>
        <family val="2"/>
      </rPr>
      <t>(43) 3372-7139</t>
    </r>
    <r>
      <rPr>
        <sz val="10"/>
        <rFont val="Arial"/>
        <family val="2"/>
      </rPr>
      <t xml:space="preserve"> 
</t>
    </r>
    <r>
      <rPr>
        <sz val="10"/>
        <color indexed="10"/>
        <rFont val="Tahoma"/>
        <family val="2"/>
      </rPr>
      <t>Cell</t>
    </r>
    <r>
      <rPr>
        <sz val="10"/>
        <color indexed="12"/>
        <rFont val="Tahoma"/>
        <family val="2"/>
      </rPr>
      <t xml:space="preserve"> : (43) 9106-9581</t>
    </r>
    <r>
      <rPr>
        <sz val="12"/>
        <rFont val="Arial"/>
        <family val="2"/>
      </rPr>
      <t xml:space="preserve"> 
</t>
    </r>
    <r>
      <rPr>
        <sz val="10"/>
        <rFont val="Arial"/>
        <family val="2"/>
      </rPr>
      <t>----- Original Message ----- 
From: "Cleide Carrara" &lt;</t>
    </r>
    <r>
      <rPr>
        <u/>
        <sz val="12"/>
        <color indexed="12"/>
        <rFont val="Arial"/>
        <family val="2"/>
      </rPr>
      <t>Cleide.Carrara@vivo.com.br</t>
    </r>
    <r>
      <rPr>
        <sz val="10"/>
        <rFont val="Arial"/>
        <family val="2"/>
      </rPr>
      <t>&gt;</t>
    </r>
    <r>
      <rPr>
        <sz val="12"/>
        <rFont val="Arial"/>
        <family val="2"/>
      </rPr>
      <t xml:space="preserve"> 
</t>
    </r>
    <r>
      <rPr>
        <sz val="10"/>
        <rFont val="Arial"/>
        <family val="2"/>
      </rPr>
      <t>To: "'Luiz Antonio Carlin'" &lt;</t>
    </r>
    <r>
      <rPr>
        <u/>
        <sz val="12"/>
        <color indexed="12"/>
        <rFont val="Arial"/>
        <family val="2"/>
      </rPr>
      <t>lcarlin@exactus.com.br</t>
    </r>
    <r>
      <rPr>
        <sz val="10"/>
        <rFont val="Arial"/>
        <family val="2"/>
      </rPr>
      <t>&gt;</t>
    </r>
    <r>
      <rPr>
        <sz val="12"/>
        <rFont val="Arial"/>
        <family val="2"/>
      </rPr>
      <t xml:space="preserve"> 
</t>
    </r>
    <r>
      <rPr>
        <sz val="10"/>
        <rFont val="Arial"/>
        <family val="2"/>
      </rPr>
      <t>Sent: Thursday, March 04, 2004 7:27 PM</t>
    </r>
    <r>
      <rPr>
        <sz val="12"/>
        <rFont val="Arial"/>
        <family val="2"/>
      </rPr>
      <t xml:space="preserve"> 
</t>
    </r>
    <r>
      <rPr>
        <sz val="10"/>
        <rFont val="Arial"/>
        <family val="2"/>
      </rPr>
      <t>Subject: RES: Comprovante p/ declaração do IR - 2004</t>
    </r>
    <r>
      <rPr>
        <sz val="12"/>
        <rFont val="Arial"/>
        <family val="2"/>
      </rPr>
      <t xml:space="preserve"> 
</t>
    </r>
    <r>
      <rPr>
        <sz val="10"/>
        <rFont val="Arial"/>
        <family val="2"/>
      </rPr>
      <t>Luiz, o Informe de Rendimentos vai ser enviado pelo correiro no endereço que
vc tenha no RH. Se hpuver alteração favor nos informar
Cleide
&gt; -----Mensagem original-----
&gt; De: "Luiz Antonio Carlin" &lt;</t>
    </r>
    <r>
      <rPr>
        <u/>
        <sz val="12"/>
        <color indexed="12"/>
        <rFont val="Arial"/>
        <family val="2"/>
      </rPr>
      <t>@CELULAR"lcarlin@exactus.com.br&gt;@CELULAR</t>
    </r>
    <r>
      <rPr>
        <sz val="10"/>
        <rFont val="Arial"/>
        <family val="2"/>
      </rPr>
      <t xml:space="preserve"> 
&gt; Enviada em: quinta-feira, 4 de março de 2004 10:56
&gt; Para: Cleide Carrara
&gt; Assunto: Comprovante p/ declaração do IR - 2004
&gt; 
&gt; 
&gt; Olá Cleide,
&gt; 
&gt; Tudo Bem 
&gt; 
&gt; Eu era funcionário do TI, sob a gerencia da Andréa Azevedo, e
&gt; participei do quadro de funcionários da Vivo até Novembro/2003. 
&gt; 
&gt; Como todo o ano, devemos declarar o Imposto de Renda, e a Vivo
&gt; smepre mandava pra nós o extrato simplificado para a declaração, ou a
&gt; gente pegava o extrato no Portal RH.
&gt; 
&gt; Gostaria de saber, se existe um meio de voce enviar um extrato
&gt; para mim, ref. ao periodo de 2003 em que fui funionário da Vivo.
&gt; 
&gt; Desde já, agradeço pela ajuda. 
&gt; 
&gt; Obrigado. 
&gt; 
&gt; _______________________
&gt; Luiz Antonio Carlin
&gt; Exactus Software S/C Ltda.
&gt; Londrina - PR - Brazil
&gt; Email: </t>
    </r>
    <r>
      <rPr>
        <u/>
        <sz val="12"/>
        <color indexed="12"/>
        <rFont val="Arial"/>
        <family val="2"/>
      </rPr>
      <t>lcarlin@exactus.com.br</t>
    </r>
    <r>
      <rPr>
        <sz val="10"/>
        <rFont val="Arial"/>
        <family val="2"/>
      </rPr>
      <t xml:space="preserve"> &lt;&lt; Arquivo: </t>
    </r>
    <r>
      <rPr>
        <u/>
        <sz val="12"/>
        <color indexed="12"/>
        <rFont val="Arial"/>
        <family val="2"/>
      </rPr>
      <t>mailto:lcarlin@exactus.com.br</t>
    </r>
    <r>
      <rPr>
        <sz val="10"/>
        <rFont val="Arial"/>
        <family val="2"/>
      </rPr>
      <t xml:space="preserve"> &gt;&gt;
&gt; 
&gt; Fone: (43) 3372-7139
&gt; Cell : (43) 9106-9581
</t>
    </r>
  </si>
  <si>
    <t>Semana</t>
  </si>
  <si>
    <t>Midia</t>
  </si>
  <si>
    <t>Tot_mes</t>
  </si>
  <si>
    <t xml:space="preserve"> Fevereiro / 2003</t>
  </si>
  <si>
    <t>pulp fiction</t>
  </si>
  <si>
    <t>DVD</t>
  </si>
  <si>
    <t>Montese</t>
  </si>
  <si>
    <t>Conan - o Barbaro</t>
  </si>
  <si>
    <t>Delta - HIG</t>
  </si>
  <si>
    <t>d-tox</t>
  </si>
  <si>
    <t>Anal no tempo do imperador</t>
  </si>
  <si>
    <t>Caligula</t>
  </si>
  <si>
    <t>Delta - JK</t>
  </si>
  <si>
    <t>Luxuria</t>
  </si>
  <si>
    <t>Skinheads</t>
  </si>
  <si>
    <t>k*19 Widow Maker</t>
  </si>
  <si>
    <t>Amnésia</t>
  </si>
  <si>
    <t>Laranja Mecania</t>
  </si>
  <si>
    <t>Dia de Treinamento</t>
  </si>
  <si>
    <t>Cattaca</t>
  </si>
  <si>
    <t>Papillon</t>
  </si>
  <si>
    <t>rock Star</t>
  </si>
  <si>
    <t>VANILLA Sky</t>
  </si>
  <si>
    <t>Missão Marte</t>
  </si>
  <si>
    <t>Jogos de espioes</t>
  </si>
  <si>
    <t>Em má companhia</t>
  </si>
  <si>
    <t>quase famosoes</t>
  </si>
  <si>
    <t>South Park</t>
  </si>
  <si>
    <t>As Brumas de Avalon</t>
  </si>
  <si>
    <t>Reconquista</t>
  </si>
  <si>
    <t>Vampiros - Jon Carpenter</t>
  </si>
  <si>
    <t>Jerry McGuire</t>
  </si>
  <si>
    <t>assassinos por natureza</t>
  </si>
  <si>
    <t>O Conde de Monte Cristo</t>
  </si>
  <si>
    <t>A Profecial Final</t>
  </si>
  <si>
    <t>O Mistério da Libelula</t>
  </si>
  <si>
    <t>Reino de Fogo</t>
  </si>
  <si>
    <t>O Homem sem sombra</t>
  </si>
  <si>
    <t>O Pacto dos Lobos</t>
  </si>
  <si>
    <t>Visões de um crime</t>
  </si>
  <si>
    <t>Traffic</t>
  </si>
  <si>
    <t>3000 Milhas p/ o Inferno</t>
  </si>
  <si>
    <t>Ressureição</t>
  </si>
  <si>
    <t>A Identidade Bourne</t>
  </si>
  <si>
    <t>Animatrix</t>
  </si>
  <si>
    <t>Scooby-Doo</t>
  </si>
  <si>
    <t>xXx - triplo X</t>
  </si>
  <si>
    <t>Legalmente Loira</t>
  </si>
  <si>
    <t>Cubo 2 - Hypercubo</t>
  </si>
  <si>
    <t xml:space="preserve">PERDA DE DADOS </t>
  </si>
  <si>
    <t>Apocalypse Now</t>
  </si>
  <si>
    <t>delta - JK</t>
  </si>
  <si>
    <t>Todo Mundo em panico 2</t>
  </si>
  <si>
    <t>Taxi Driver</t>
  </si>
  <si>
    <t>A Liga extraordinária</t>
  </si>
  <si>
    <t>VHS</t>
  </si>
  <si>
    <t>Phantom</t>
  </si>
  <si>
    <t>As Panteas 2</t>
  </si>
  <si>
    <t>O Homen do Ano</t>
  </si>
  <si>
    <t>Platoom</t>
  </si>
  <si>
    <t>A casa Amaldiçoada</t>
  </si>
  <si>
    <t>Cine Magestic</t>
  </si>
  <si>
    <t>Impostor</t>
  </si>
  <si>
    <t>Jack Ass - os Cara de pau</t>
  </si>
  <si>
    <t>Jack Ass - os Cara de pau Vol 2</t>
  </si>
  <si>
    <t>A Dança dos Vampiros</t>
  </si>
  <si>
    <t>Jason x Freddy</t>
  </si>
  <si>
    <t>Era uma vez no México</t>
  </si>
  <si>
    <t>S.W.A.T. Comando Especial</t>
  </si>
  <si>
    <t>Lágrimas do Sol</t>
  </si>
  <si>
    <t>+ Velozes + Furiosos</t>
  </si>
  <si>
    <t>O Escopião Rei</t>
  </si>
  <si>
    <t>Minority Report</t>
  </si>
  <si>
    <t>Piratas do Caribe</t>
  </si>
  <si>
    <t>Matrix Revolutions</t>
  </si>
  <si>
    <t>Senhor dos aneis - retorno do rei</t>
  </si>
  <si>
    <t>O exterminador do Futuro 3</t>
  </si>
  <si>
    <t>Uma saida de Mestre</t>
  </si>
  <si>
    <t>Filhos de Duna - o Império Harkkonen</t>
  </si>
  <si>
    <t>Nemo</t>
  </si>
  <si>
    <t>21 Gramas</t>
  </si>
  <si>
    <t>Eclipse Mortal</t>
  </si>
  <si>
    <t>Rei Leao III</t>
  </si>
  <si>
    <t>o Ultimo Samurai</t>
  </si>
  <si>
    <t>Van Helsink</t>
  </si>
  <si>
    <t>UnderWorld</t>
  </si>
  <si>
    <t>Spider Man 2</t>
  </si>
  <si>
    <t>Troia</t>
  </si>
  <si>
    <t>Dark Angels</t>
  </si>
  <si>
    <t>O dia depois de Amanhã</t>
  </si>
  <si>
    <t>Dracula II</t>
  </si>
  <si>
    <t>A batalha de Riddick</t>
  </si>
  <si>
    <t>Eu, Robô</t>
  </si>
  <si>
    <t>KillBill</t>
  </si>
  <si>
    <t>Tropas estelares II</t>
  </si>
  <si>
    <t>Filhos de Duna - o Império Atreides</t>
  </si>
  <si>
    <t>Alien V Predador</t>
  </si>
  <si>
    <t>Harry Potter e o Prizioneiro</t>
  </si>
  <si>
    <t>Sherek 2</t>
  </si>
  <si>
    <t xml:space="preserve">HellBoy </t>
  </si>
  <si>
    <t>Jack Ass 3</t>
  </si>
  <si>
    <t>Furia em 2 Rodas</t>
  </si>
  <si>
    <t>o Pagamento</t>
  </si>
  <si>
    <t>Michael Moore &amp; Fahrenheit 9/11</t>
  </si>
  <si>
    <t>Efeito Borboleta</t>
  </si>
  <si>
    <t>A Corrente do bem</t>
  </si>
  <si>
    <t>Um Amor pra recordar</t>
  </si>
  <si>
    <t>Atila  - o Uno</t>
  </si>
  <si>
    <t>O devorador de Pecados</t>
  </si>
  <si>
    <t>MTV - Morro dos Centos Uivantes</t>
  </si>
  <si>
    <t>Medo.com.br</t>
  </si>
  <si>
    <t>Nunca Mora Sozinho</t>
  </si>
  <si>
    <t>Roubando Vidas</t>
  </si>
  <si>
    <t>CatWoman</t>
  </si>
  <si>
    <t>Rei Arhur</t>
  </si>
  <si>
    <t xml:space="preserve"> 11:14</t>
  </si>
  <si>
    <t>UnderWorld -prn</t>
  </si>
  <si>
    <t>A Chama de um Homem</t>
  </si>
  <si>
    <t>Garfield</t>
  </si>
  <si>
    <t>Velozes e Mortais</t>
  </si>
  <si>
    <t>Colateral</t>
  </si>
  <si>
    <t>Por Um Triz</t>
  </si>
  <si>
    <t>Liquido X</t>
  </si>
  <si>
    <t>Cubo Zero</t>
  </si>
  <si>
    <t>Cio de Cigana</t>
  </si>
  <si>
    <t>Anaconda 2</t>
  </si>
  <si>
    <t>acid Dreams</t>
  </si>
  <si>
    <t>O Espanta Tubaroes</t>
  </si>
  <si>
    <t>Cleopatra</t>
  </si>
  <si>
    <t>VIDOCCO</t>
  </si>
  <si>
    <t>7 arte</t>
  </si>
  <si>
    <t>O Senhor dos Aneis - A sociedade..</t>
  </si>
  <si>
    <t>O Senhor dos Aneis - As 2 torres</t>
  </si>
  <si>
    <t>O Senhor dos Aneis - Retorno do</t>
  </si>
  <si>
    <t>Vanilla Sky</t>
  </si>
  <si>
    <t>Snatch</t>
  </si>
  <si>
    <t>Dream Catcher</t>
  </si>
  <si>
    <t>A vila</t>
  </si>
  <si>
    <t>O Terminal</t>
  </si>
  <si>
    <t>Nucleo - Viagemao centro da tera</t>
  </si>
  <si>
    <t>O Grito</t>
  </si>
  <si>
    <t>A Mansão Marsten</t>
  </si>
  <si>
    <t>Os Incríveis</t>
  </si>
  <si>
    <t>Crime de paixão</t>
  </si>
  <si>
    <t>Dragão Vermelho</t>
  </si>
  <si>
    <t>O Ultimo Samurai</t>
  </si>
  <si>
    <t>Blade Trinity</t>
  </si>
  <si>
    <t>Final Fantasy</t>
  </si>
  <si>
    <t>Elecktra</t>
  </si>
  <si>
    <t>Corridas Clandestinas</t>
  </si>
  <si>
    <t>Spartan</t>
  </si>
  <si>
    <t>O Enviado</t>
  </si>
  <si>
    <t>Por Um Fio</t>
  </si>
  <si>
    <t>Linha do Tempo</t>
  </si>
  <si>
    <t>Visões</t>
  </si>
  <si>
    <t>O Cavaleiro e o Dragão</t>
  </si>
  <si>
    <t xml:space="preserve"> JUlho / 2005</t>
  </si>
  <si>
    <t>Na compania do Medo</t>
  </si>
  <si>
    <t>Hulk</t>
  </si>
  <si>
    <t xml:space="preserve">Tesouro nacional </t>
  </si>
  <si>
    <t>Hero</t>
  </si>
  <si>
    <t>Dominação</t>
  </si>
  <si>
    <t>Premonição 2</t>
  </si>
  <si>
    <t xml:space="preserve">Inteligência Artificial </t>
  </si>
  <si>
    <t>O Vingador</t>
  </si>
  <si>
    <t xml:space="preserve">Kill Bill </t>
  </si>
  <si>
    <t>Kil Bill v2</t>
  </si>
  <si>
    <t xml:space="preserve">Alexandre, O Grande </t>
  </si>
  <si>
    <t>Jogos Mortais</t>
  </si>
  <si>
    <t>Vozes do Além</t>
  </si>
  <si>
    <t>Suspeito Zero</t>
  </si>
  <si>
    <t>Os Esquecidos</t>
  </si>
  <si>
    <t>Equilibrium</t>
  </si>
  <si>
    <t>Sob o dominio do Mal</t>
  </si>
  <si>
    <t>Lutero</t>
  </si>
  <si>
    <t>Frankenstein</t>
  </si>
  <si>
    <t>Closer</t>
  </si>
  <si>
    <t>Nem q a vaca Tussa</t>
  </si>
  <si>
    <t>O Lenhador</t>
  </si>
  <si>
    <t>Revelaçoes de Ginna</t>
  </si>
  <si>
    <t>2001: Uma odisseia</t>
  </si>
  <si>
    <t>2010 O ano em que faremos</t>
  </si>
  <si>
    <t>sHrek 3d</t>
  </si>
  <si>
    <t xml:space="preserve">O nome da Rosa </t>
  </si>
  <si>
    <t>Easy Rider - Sem destino</t>
  </si>
  <si>
    <t>xXx2 - Estado de Emergencia</t>
  </si>
  <si>
    <t>A Guerra dos Mundos</t>
  </si>
  <si>
    <t>Star War III - Sith revenge</t>
  </si>
  <si>
    <t>Cruzadas</t>
  </si>
  <si>
    <t>sr e Sra Smith</t>
  </si>
  <si>
    <t>Block Buster</t>
  </si>
  <si>
    <t>Quarteto fantástico</t>
  </si>
  <si>
    <t>Massacre da Serra eletrica (2003)</t>
  </si>
  <si>
    <t>Sin city</t>
  </si>
  <si>
    <t xml:space="preserve"> fevereiro / 2006</t>
  </si>
  <si>
    <t>A Ilha</t>
  </si>
  <si>
    <t>Andy &amp; Cia</t>
  </si>
  <si>
    <t>Cassahen</t>
  </si>
  <si>
    <t>Stealh</t>
  </si>
  <si>
    <t>Aquisição do Home Theather</t>
  </si>
  <si>
    <t>Batman Begins</t>
  </si>
  <si>
    <t>Be Cool</t>
  </si>
  <si>
    <t>Star War IV - A New Beggining</t>
  </si>
  <si>
    <t>Duna</t>
  </si>
  <si>
    <t>Star War V - Imperio Strike</t>
  </si>
  <si>
    <t>Star War VI - Retorno Jedi</t>
  </si>
  <si>
    <t xml:space="preserve"> março / 2006</t>
  </si>
  <si>
    <t>Capitão Sky e o mundo de amah</t>
  </si>
  <si>
    <t>Sahara</t>
  </si>
  <si>
    <t>Irmãos Grimms</t>
  </si>
  <si>
    <t>O Galinho Chicken Little</t>
  </si>
  <si>
    <t>A Interprete</t>
  </si>
  <si>
    <t>Dirty Dancing II</t>
  </si>
  <si>
    <t>King Kong</t>
  </si>
  <si>
    <t>Resident Evil</t>
  </si>
  <si>
    <t>Resident Evil 2</t>
  </si>
  <si>
    <t>Plano de Vôo</t>
  </si>
  <si>
    <t>Movie Store</t>
  </si>
  <si>
    <t>Cão de Briga</t>
  </si>
  <si>
    <t>As cronicas de Narnia</t>
  </si>
  <si>
    <t>Aeon Flux</t>
  </si>
  <si>
    <t>Jogos Mortais II</t>
  </si>
  <si>
    <t xml:space="preserve">Doom </t>
  </si>
  <si>
    <t>Assalto ao 13º Distrito</t>
  </si>
  <si>
    <t>A era do Gelo II</t>
  </si>
  <si>
    <t>13º Distyrito</t>
  </si>
  <si>
    <t>Chave Mestra</t>
  </si>
  <si>
    <t>Espiritos</t>
  </si>
  <si>
    <t>Legalmente Loira 2</t>
  </si>
  <si>
    <t>Scarface</t>
  </si>
  <si>
    <t>The wraith</t>
  </si>
  <si>
    <t>5 dias pra morrê</t>
  </si>
  <si>
    <t>Ultraviolet</t>
  </si>
  <si>
    <t>v DE vIngança</t>
  </si>
  <si>
    <t xml:space="preserve"> Ourubro / 2006</t>
  </si>
  <si>
    <t>UnderWorld - Evolution</t>
  </si>
  <si>
    <t>O Código davinci</t>
  </si>
  <si>
    <t>Superman returns</t>
  </si>
  <si>
    <t>o Albergue</t>
  </si>
  <si>
    <t>Missão Impossivel III</t>
  </si>
  <si>
    <t>Carga Explosiva II</t>
  </si>
  <si>
    <t>Poseidon</t>
  </si>
  <si>
    <t>Carros</t>
  </si>
  <si>
    <t>Garfield II</t>
  </si>
  <si>
    <t>+ Velozes + Furiosos - em tóquio</t>
  </si>
  <si>
    <t>Piratas do Caribe II</t>
  </si>
  <si>
    <t>Tudumundo em panico 3</t>
  </si>
  <si>
    <t>Tudumundo em panico 4</t>
  </si>
  <si>
    <t>Abismo do Medô</t>
  </si>
  <si>
    <t>Syryryca - a industria do pretóio</t>
  </si>
  <si>
    <t>A casa do lagô</t>
  </si>
  <si>
    <t>Tudo por dinheiro</t>
  </si>
  <si>
    <t>Miami Vice</t>
  </si>
  <si>
    <t>O sacrificio - The Wicker Man</t>
  </si>
  <si>
    <t>A dama da Agua</t>
  </si>
  <si>
    <t>X-Men 3</t>
  </si>
  <si>
    <t>Eragorn</t>
  </si>
  <si>
    <t xml:space="preserve">Click </t>
  </si>
  <si>
    <t>Uma Noite no museo</t>
  </si>
  <si>
    <t>Silent Hill</t>
  </si>
  <si>
    <t>Sinal Fantasy VII</t>
  </si>
  <si>
    <t>Roma - Disco 1</t>
  </si>
  <si>
    <t>Roma - Disco 2</t>
  </si>
  <si>
    <t>Roma - Disco 3</t>
  </si>
  <si>
    <t>Roma - Disco 4</t>
  </si>
  <si>
    <t>Roma - Disco 5</t>
  </si>
  <si>
    <t>Roma - Disco 6</t>
  </si>
  <si>
    <t>O Segredo</t>
  </si>
  <si>
    <t>Apocalyptico</t>
  </si>
  <si>
    <t>sHrek 3</t>
  </si>
  <si>
    <t>O Homem duplo</t>
  </si>
  <si>
    <t>Rattattoulei</t>
  </si>
  <si>
    <t>O retorno do todo poderos</t>
  </si>
  <si>
    <t>13 homes e mas outro segredo</t>
  </si>
  <si>
    <t>Fogo contra fogo</t>
  </si>
  <si>
    <t>Viagem ao centro de Terra</t>
  </si>
  <si>
    <t>Images de Além</t>
  </si>
  <si>
    <t>Clone Wars</t>
  </si>
  <si>
    <t>Sweeney Todd</t>
  </si>
  <si>
    <t>Trovão Tropical</t>
  </si>
  <si>
    <t>StarDust</t>
  </si>
  <si>
    <t>O Procurado</t>
  </si>
  <si>
    <t>As cronicas de Narnia o principe</t>
  </si>
  <si>
    <t>Stallone COBRA</t>
  </si>
  <si>
    <t>Protegida por um Anjo</t>
  </si>
  <si>
    <t>Numro 23</t>
  </si>
  <si>
    <t>Lenya a Guerreira</t>
  </si>
  <si>
    <t xml:space="preserve"> Julho / 2009 </t>
  </si>
  <si>
    <t>Epiritos 2</t>
  </si>
  <si>
    <t>O Passageiro do Futuro</t>
  </si>
  <si>
    <t>O Passageiro do Futuro 2</t>
  </si>
  <si>
    <t>HP E a Ordem do Fenix</t>
  </si>
  <si>
    <t>A caminho da guerra</t>
  </si>
  <si>
    <t>Os desbravadores</t>
  </si>
  <si>
    <t>Bolt o Super-cao</t>
  </si>
  <si>
    <t>Madagascar 2</t>
  </si>
  <si>
    <t>BD</t>
  </si>
  <si>
    <t xml:space="preserve">Azumi </t>
  </si>
  <si>
    <t>The Spirit</t>
  </si>
  <si>
    <t>Controle Absoluto</t>
  </si>
  <si>
    <t>Azumi 2</t>
  </si>
  <si>
    <t>Assassinos por natureza</t>
  </si>
  <si>
    <t>Video Art</t>
  </si>
  <si>
    <t xml:space="preserve">na natureza selvagem </t>
  </si>
  <si>
    <t>A Ultima Legião</t>
  </si>
  <si>
    <t>O Caso do Benjamnimbutton</t>
  </si>
  <si>
    <t>Rcik N Rolla a grande roubada</t>
  </si>
  <si>
    <t>Zohan agente bom de cortes</t>
  </si>
  <si>
    <t xml:space="preserve">Os Passageiros </t>
  </si>
  <si>
    <t>Australia</t>
  </si>
  <si>
    <t>Efeito Borboleta 3</t>
  </si>
  <si>
    <t>SANGUE &amp; CHOCOLATE</t>
  </si>
  <si>
    <t>PONTE PARA TERABITIA</t>
  </si>
  <si>
    <t>WATCHMEN</t>
  </si>
  <si>
    <t>AS DUAS FACES DA LEI</t>
  </si>
  <si>
    <t>bd</t>
  </si>
  <si>
    <t>HP e o eniga principe</t>
  </si>
  <si>
    <t>dvd</t>
  </si>
  <si>
    <t>Crepuscul</t>
  </si>
  <si>
    <t>S.Darko</t>
  </si>
  <si>
    <t>Video Oz</t>
  </si>
  <si>
    <t>Milleium 01</t>
  </si>
  <si>
    <t>Antichristo</t>
  </si>
  <si>
    <t>Milenium 02</t>
  </si>
  <si>
    <t>Milenium 03</t>
  </si>
  <si>
    <t>Milinium 01 Americanos</t>
  </si>
  <si>
    <t>Titulo</t>
  </si>
  <si>
    <t>Fim</t>
  </si>
  <si>
    <t>Proprio</t>
  </si>
  <si>
    <t>Harry Potter e o Prisioneiro Azakaban</t>
  </si>
  <si>
    <t>As linhas de Nazca</t>
  </si>
  <si>
    <t>A Chegada dos deuses</t>
  </si>
  <si>
    <t>O Kamma Sutra</t>
  </si>
  <si>
    <t xml:space="preserve">Sql server 2K Adm. E desenv. </t>
  </si>
  <si>
    <t>O Messia de Duna</t>
  </si>
  <si>
    <t>Aprenda Visual Basic 6 - 21 dias</t>
  </si>
  <si>
    <t>VerônicKa decide Morrer</t>
  </si>
  <si>
    <t>eram os Deuses Astronautas</t>
  </si>
  <si>
    <t>Admirável Mundo Novo</t>
  </si>
  <si>
    <t>O Codigo da vinci</t>
  </si>
  <si>
    <t>Anjos e demônios</t>
  </si>
  <si>
    <t>Pai Rico Pai Pobre</t>
  </si>
  <si>
    <t>Operacao Cavalo de Troia</t>
  </si>
  <si>
    <t>A estrada do Futuro</t>
  </si>
  <si>
    <t>Ibm e o Holocausto</t>
  </si>
  <si>
    <t>Filhos de Duna</t>
  </si>
  <si>
    <t>Operacao Cavalo de Troia 2</t>
  </si>
  <si>
    <t>Por os Homens fazem sexo e a mulher amor</t>
  </si>
  <si>
    <t>Disco</t>
  </si>
  <si>
    <t>Banda</t>
  </si>
  <si>
    <t>N.º de Discos</t>
  </si>
  <si>
    <t>Black Sabbath</t>
  </si>
  <si>
    <t xml:space="preserve">Rock In Rio </t>
  </si>
  <si>
    <t>Iron Maiden</t>
  </si>
  <si>
    <t>The Last Supper</t>
  </si>
  <si>
    <t>Huck It</t>
  </si>
  <si>
    <t>Offspring</t>
  </si>
  <si>
    <t xml:space="preserve">12 Wasted Years </t>
  </si>
  <si>
    <t>Live After death</t>
  </si>
  <si>
    <t>Live Aus Berlin</t>
  </si>
  <si>
    <t>Rammstein</t>
  </si>
  <si>
    <t>Filmes de Guerra. Cançoes de Amor</t>
  </si>
  <si>
    <t>Engenheiros do Hawaii</t>
  </si>
  <si>
    <t>10.000 Destinos - Ao vivo</t>
  </si>
  <si>
    <t>From Wishes to eternity</t>
  </si>
  <si>
    <t>Nightwish</t>
  </si>
  <si>
    <t>Acustico</t>
  </si>
  <si>
    <t>High Live</t>
  </si>
  <si>
    <t>Helloween</t>
  </si>
  <si>
    <t>Star war I - A Ameaça Fantasma</t>
  </si>
  <si>
    <t>filme</t>
  </si>
  <si>
    <t>Star war II - O Ataque dos Clones</t>
  </si>
  <si>
    <t>star War III - A vingança dos Sith</t>
  </si>
  <si>
    <t>Mosntros S/A</t>
  </si>
  <si>
    <t>Constantine</t>
  </si>
  <si>
    <t>Guerra dos Mundos</t>
  </si>
  <si>
    <t>Matrix</t>
  </si>
  <si>
    <t>Matrix Reloaded</t>
  </si>
  <si>
    <t>Matrix revolutions</t>
  </si>
  <si>
    <t>Star War IV - A New Hope</t>
  </si>
  <si>
    <t>Star War V - Impire strikes Back</t>
  </si>
  <si>
    <t>Star War VI - Return Of Jedi</t>
  </si>
  <si>
    <t>Duna 2000</t>
  </si>
  <si>
    <t>Superman - O Filme</t>
  </si>
  <si>
    <t xml:space="preserve">SuperMen II </t>
  </si>
  <si>
    <t>SuperMan III</t>
  </si>
  <si>
    <t>Ruas de Fogo</t>
  </si>
  <si>
    <t>SuperMan IV</t>
  </si>
  <si>
    <t>Deart On The Road</t>
  </si>
  <si>
    <t>Fire And Blood</t>
  </si>
  <si>
    <t>O senhor dos Aneis  Sociedade</t>
  </si>
  <si>
    <t>O senhor dos Aneis  2 Torres</t>
  </si>
  <si>
    <t>O senhor dos Aneis  Retorno rei</t>
  </si>
  <si>
    <t>O exterminador do Futuro II</t>
  </si>
  <si>
    <t>O clube da Luta</t>
  </si>
  <si>
    <t>Dracula de Bram Socker</t>
  </si>
  <si>
    <t>Exterminador Do Futuro 0 o Um</t>
  </si>
  <si>
    <t>Chuva Negra</t>
  </si>
  <si>
    <t>The Blues Brothes</t>
  </si>
  <si>
    <t>The Blues Brothres II</t>
  </si>
  <si>
    <t>Fibnal FansaSy VII</t>
  </si>
  <si>
    <t>End of era</t>
  </si>
  <si>
    <t>Epica</t>
  </si>
  <si>
    <t>We will take you with us</t>
  </si>
  <si>
    <t>Furia de titas</t>
  </si>
  <si>
    <t>Visions of the beasT</t>
  </si>
  <si>
    <t>Blade Runner</t>
  </si>
  <si>
    <t>Boozed, Broozed &amp; Broken-Boned</t>
  </si>
  <si>
    <t>Black Label Society</t>
  </si>
  <si>
    <t>Rock Star</t>
  </si>
  <si>
    <t xml:space="preserve">Filme </t>
  </si>
  <si>
    <t>Coração Valente</t>
  </si>
  <si>
    <t>Quanto + Idiotas (1 e 2)</t>
  </si>
  <si>
    <t xml:space="preserve">Plug-me in </t>
  </si>
  <si>
    <t>AC/DC</t>
  </si>
  <si>
    <t xml:space="preserve">Alive BBC </t>
  </si>
  <si>
    <t>Heaven &amp; Hell</t>
  </si>
  <si>
    <t>Stallone Cobra</t>
  </si>
  <si>
    <t>rocky 1 - 6</t>
  </si>
  <si>
    <t>Podeoso Chefão 1 - 3</t>
  </si>
  <si>
    <t>Duna 1984 - Extended</t>
  </si>
  <si>
    <t>Filhos de Duna - Arrakis</t>
  </si>
  <si>
    <t>Filhos de Duna - corrino</t>
  </si>
  <si>
    <t>Filhos de Duna - harkonem</t>
  </si>
  <si>
    <t>Ozzy - Live At Budokan</t>
  </si>
  <si>
    <t>Ozzy Osborne</t>
  </si>
  <si>
    <t>Don´t Blame-me</t>
  </si>
  <si>
    <t>The Big bang Theory</t>
  </si>
  <si>
    <t>Series</t>
  </si>
  <si>
    <t>flight 666</t>
  </si>
  <si>
    <t>Roma 1 Temp</t>
  </si>
  <si>
    <t>Roma 2 Temp</t>
  </si>
  <si>
    <t>Holy Live</t>
  </si>
  <si>
    <t>Dio</t>
  </si>
  <si>
    <t>The Doors</t>
  </si>
  <si>
    <t xml:space="preserve">Arquivo X - O Filme </t>
  </si>
  <si>
    <t>Arquivo X - I Van Tu bilieve</t>
  </si>
  <si>
    <t>Caes de Alugueis</t>
  </si>
  <si>
    <t>Old Boy</t>
  </si>
  <si>
    <t>Bullit</t>
  </si>
  <si>
    <t>Battle Star Galatica 1a Temp</t>
  </si>
  <si>
    <t>Battle Star Galatica 2a Temp</t>
  </si>
  <si>
    <t>Akira (DVD)</t>
  </si>
  <si>
    <t>Akira (BD)</t>
  </si>
  <si>
    <t>Balttle Star Galactica 4a Temp</t>
  </si>
  <si>
    <t>Dracula de Bram Stocker (BD)</t>
  </si>
  <si>
    <t>Bruce Dickinson - Anthology</t>
  </si>
  <si>
    <t>Numeros de Série</t>
  </si>
  <si>
    <t>Windows XP Professional PT-BR SP1</t>
  </si>
  <si>
    <t>J6T2H-YBT26-FWXGY-2HVXJ-TTBDY</t>
  </si>
  <si>
    <t>G87FH-FCKD8-2BWTV-BXMCX-Y99T9</t>
  </si>
  <si>
    <t>Windows XP Professional PT-BR SP2</t>
  </si>
  <si>
    <t>W4MQ2-HRMDV-R3PT3-VP22H-BCP3T</t>
  </si>
  <si>
    <t>C2PB4-KGF48-M4B4K-DKDKH-89VCD</t>
  </si>
  <si>
    <t>WZB69-3JG3K-B3FBK-QQT4R-MQF38</t>
  </si>
  <si>
    <t>Windows XP Professional ENG SP2</t>
  </si>
  <si>
    <t>TV24H-JTWVM-6XGRR-CH747-GYHHQ</t>
  </si>
  <si>
    <t>Windows XP Professional 64 AMD Eval</t>
  </si>
  <si>
    <t>M4676-2VW7F-6BCVH-9QPBF-QBRBM</t>
  </si>
  <si>
    <t>Windows XP Professional 64 Intel</t>
  </si>
  <si>
    <t>C4FPJ-HQCGP-QD3XC-2JF34-FT8Y6</t>
  </si>
  <si>
    <t>Windows XP Professional 64 AMD</t>
  </si>
  <si>
    <t>7FMM3-W4FMP-4WRXX-BKDRT-7HG48</t>
  </si>
  <si>
    <t>B2RBK-7KPT9-4JP6X-QQFWM-PJD6G</t>
  </si>
  <si>
    <t>CH6BH-G7PCX-KTM8K-WRKBD-HC7TW</t>
  </si>
  <si>
    <t>CKY24-Q8QRH-X3KMR-C6BCY-T847Y</t>
  </si>
  <si>
    <t>DM8R3-3VBXF-F7JRX-FJ7P4-YD3HM</t>
  </si>
  <si>
    <t>DW3CF-D7KYR-KMR6C-3X7FX-T8CVM</t>
  </si>
  <si>
    <t>FCKGW-RHQQ2-YXRKT-8TG6W-2B7Q8</t>
  </si>
  <si>
    <t>JKWJQ-P6CQJ-4CBK2-2H2BC-RC3YJ</t>
  </si>
  <si>
    <t>KV4PX-KB8GG-28T9T-TBBJ7-R4JHW</t>
  </si>
  <si>
    <t>QCF72-WQK79-F7W3K-V2M6J-3PMBJ</t>
  </si>
  <si>
    <t>QKVGM-T4H9H-W8YJH-BWDCY-CY7MJ</t>
  </si>
  <si>
    <t>R3MGD-3H6HQ-RDRCR-KJXTM-3C8JW</t>
  </si>
  <si>
    <t>RBDC9-VTRC8-D7972-J97JY-PRVMG</t>
  </si>
  <si>
    <t>TCP8W-T8PQJ-WWRRH-QH76C-99FBW</t>
  </si>
  <si>
    <t>VCFQD V9FX9 46WVH K3CD4 4J3JM</t>
  </si>
  <si>
    <t>d2bcq-8fyq4-vb4br-cdxcv-mh3yj</t>
  </si>
  <si>
    <t>XXXXX-XXXXX-XXXXX-XXXXX-XXXXX</t>
  </si>
  <si>
    <t>Office 2003 Professional</t>
  </si>
  <si>
    <t>GWH28-DGCMP-P6RC4-6J4MT-3HFDY</t>
  </si>
  <si>
    <t>WFDWY-XQXJF-RHRYG-BG7RQ-BBDHM</t>
  </si>
  <si>
    <t>Office XP Professional</t>
  </si>
  <si>
    <t>F6V3K-C6Q2D-W2RC4-237GY-WBHK3</t>
  </si>
  <si>
    <t>Visio 2003 Port.</t>
  </si>
  <si>
    <t>WFDWY-XQCJF-RHRYG-BG7RQ-BBDHM</t>
  </si>
  <si>
    <t>Windows 2000 Professional Port</t>
  </si>
  <si>
    <t>ddtpv-txmx7-bbgj9-wgy8k-b9ghm</t>
  </si>
  <si>
    <t>Windows 2000 Server Limited Rel.</t>
  </si>
  <si>
    <t>KRJQ8-RQ822-YRMXF-6TTXC-HD2VM</t>
  </si>
  <si>
    <t>Sql Server 2000</t>
  </si>
  <si>
    <t>PX649-9XDGC-73WPF-FDRWW-86YVJ</t>
  </si>
  <si>
    <t>Windows Vista Home Premium</t>
  </si>
  <si>
    <t>VYKT3-W83BM-3TTT8-TCTJK-TJ8HQ</t>
  </si>
  <si>
    <t>Doom3 - Resurrection of Evil + Doom 3 Key</t>
  </si>
  <si>
    <t>Installkey: PSBC-TASC-33WB-PH7L-C0</t>
  </si>
  <si>
    <t>doom3key: T7LB-BD27-TWLC-SDGD-F6</t>
  </si>
  <si>
    <t>cd Key L3JZ-P8S7-26WZ-FCYA-3A</t>
  </si>
  <si>
    <t>Crysis</t>
  </si>
  <si>
    <t>92UU-KCQZ-H42G-6M96-MYWK</t>
  </si>
  <si>
    <t>Xilisoft DVD Ripper Ultimate 5.0.32.0418 Serial</t>
  </si>
  <si>
    <t>7301-80C1-8802-12031B5E9-4341-2ED9-7263</t>
  </si>
  <si>
    <t>Xilisoft DVD Ripper Ultimate 5.0.32.0328 Serial</t>
  </si>
  <si>
    <t>Encoded</t>
  </si>
  <si>
    <t>A Real Dead One</t>
  </si>
  <si>
    <t>Fear Of The Dark</t>
  </si>
  <si>
    <t>Live After Death</t>
  </si>
  <si>
    <t>Seventh Son Of A Seventh Son</t>
  </si>
  <si>
    <t>A Real Live One</t>
  </si>
  <si>
    <t>Piece Of Mind</t>
  </si>
  <si>
    <t>No Prayer For The Diyng</t>
  </si>
  <si>
    <t>Running Free</t>
  </si>
  <si>
    <t>The X Factor</t>
  </si>
  <si>
    <t>Killers</t>
  </si>
  <si>
    <t>Somewhere In Time</t>
  </si>
  <si>
    <t>The Number Of The Beast</t>
  </si>
  <si>
    <t>PowerSlave</t>
  </si>
  <si>
    <t>Lord Of The Flies</t>
  </si>
  <si>
    <t>Greatest Hits</t>
  </si>
  <si>
    <t>AeroSmith</t>
  </si>
  <si>
    <t>Live At Brixton Academy</t>
  </si>
  <si>
    <t>Faith No More</t>
  </si>
  <si>
    <t>Street Of Fire</t>
  </si>
  <si>
    <t>Trilha Sonora</t>
  </si>
  <si>
    <t>Youthnasya</t>
  </si>
  <si>
    <t>MegaDeth</t>
  </si>
  <si>
    <t>CountDown to Extintion</t>
  </si>
  <si>
    <t>Balance</t>
  </si>
  <si>
    <t>Van Halen</t>
  </si>
  <si>
    <t>Live At Donnington 24th August</t>
  </si>
  <si>
    <t>Mortal Kombat</t>
  </si>
  <si>
    <t>The Eternal Flame</t>
  </si>
  <si>
    <t>SkunkWorks</t>
  </si>
  <si>
    <t>Bruce Dickinson</t>
  </si>
  <si>
    <t>Young Guns II</t>
  </si>
  <si>
    <t>Jon Bon Jovi</t>
  </si>
  <si>
    <t>MTV unplugged</t>
  </si>
  <si>
    <t>Kiss</t>
  </si>
  <si>
    <t>In The Shadows</t>
  </si>
  <si>
    <t>Mercyful Fate</t>
  </si>
  <si>
    <t>Still Not Black Enough</t>
  </si>
  <si>
    <t>WASP</t>
  </si>
  <si>
    <t>Lock Up The Wolves</t>
  </si>
  <si>
    <t>Greatest Kiss</t>
  </si>
  <si>
    <t>The Best Of The Beast</t>
  </si>
  <si>
    <t>Creatures Of The Night</t>
  </si>
  <si>
    <t>Cript Writtings</t>
  </si>
  <si>
    <t>Titas</t>
  </si>
  <si>
    <t>Lapada do Povo</t>
  </si>
  <si>
    <t>Raimundos</t>
  </si>
  <si>
    <t>Bass Usa III</t>
  </si>
  <si>
    <t>Audio car</t>
  </si>
  <si>
    <t>Bass Usa V</t>
  </si>
  <si>
    <t>Techno</t>
  </si>
  <si>
    <t>Virtual XI</t>
  </si>
  <si>
    <t>Can I Play With MadNess</t>
  </si>
  <si>
    <t>Legend I</t>
  </si>
  <si>
    <t>Bob Marley</t>
  </si>
  <si>
    <t>Smash</t>
  </si>
  <si>
    <t>OffSpring</t>
  </si>
  <si>
    <t>Ignition</t>
  </si>
  <si>
    <t>The Offspring</t>
  </si>
  <si>
    <t>Chermical Weeding</t>
  </si>
  <si>
    <t>Ixnay On the Hombre</t>
  </si>
  <si>
    <t>These Days</t>
  </si>
  <si>
    <t>Destination AnyWhere</t>
  </si>
  <si>
    <t>89 a Rádio Rock nº 7</t>
  </si>
  <si>
    <t>Blur</t>
  </si>
  <si>
    <t>Balls to Picasso</t>
  </si>
  <si>
    <t>Tattoed Millionaire</t>
  </si>
  <si>
    <t>Ed Hunter</t>
  </si>
  <si>
    <t>Theater of Fate</t>
  </si>
  <si>
    <t>Viper</t>
  </si>
  <si>
    <t>Angels Cry</t>
  </si>
  <si>
    <t>Angra</t>
  </si>
  <si>
    <t>Accindent Of Birth</t>
  </si>
  <si>
    <t>Risk</t>
  </si>
  <si>
    <t>State Of Mind</t>
  </si>
  <si>
    <t>Psycho Motel</t>
  </si>
  <si>
    <t>Bone to Pick</t>
  </si>
  <si>
    <t>Gone Jackals</t>
  </si>
  <si>
    <t xml:space="preserve">O Essencial de </t>
  </si>
  <si>
    <t>Engenheiros HWI</t>
  </si>
  <si>
    <t>Brave new World</t>
  </si>
  <si>
    <t>Scream for me Brazil</t>
  </si>
  <si>
    <t>10.000 Destinos</t>
  </si>
  <si>
    <t>The Wicker Man</t>
  </si>
  <si>
    <t>Conspiracy Of One</t>
  </si>
  <si>
    <t>Out Of Silient Planet</t>
  </si>
  <si>
    <t>Brave New Tour</t>
  </si>
  <si>
    <t>P</t>
  </si>
  <si>
    <t>Cançoes de Guerra, Filmes de Amor</t>
  </si>
  <si>
    <t>Varias variaveis</t>
  </si>
  <si>
    <t>Simples de Coração</t>
  </si>
  <si>
    <t>Live At Rock In Rio III</t>
  </si>
  <si>
    <t>Native in Black a Trinbute to  Black Sabbath</t>
  </si>
  <si>
    <t>Varios</t>
  </si>
  <si>
    <t>Vcs não sabem como é bom aki dentro</t>
  </si>
  <si>
    <t>Velhas Virgens</t>
  </si>
  <si>
    <t>The best of Bruce Dickinson</t>
  </si>
  <si>
    <t>!Tchau Radar</t>
  </si>
  <si>
    <t>World Needs a Hero</t>
  </si>
  <si>
    <t xml:space="preserve">Surfando Karmas </t>
  </si>
  <si>
    <t>widow's weed</t>
  </si>
  <si>
    <t>Tristania</t>
  </si>
  <si>
    <t>Beyond yhe Veil</t>
  </si>
  <si>
    <t>Silver Side Up - GENERICO</t>
  </si>
  <si>
    <t>NickelBack</t>
  </si>
  <si>
    <t>Pysco Circus</t>
  </si>
  <si>
    <t>Is This It</t>
  </si>
  <si>
    <t>The Strokes</t>
  </si>
  <si>
    <t>Sabbath Bloody Sabbath</t>
  </si>
  <si>
    <t>Rebirth</t>
  </si>
  <si>
    <t>Hunters and Prey</t>
  </si>
  <si>
    <t>No Angel</t>
  </si>
  <si>
    <t>Dido</t>
  </si>
  <si>
    <t>Lies / Live Like Suicide</t>
  </si>
  <si>
    <t>Guns´n´Roses</t>
  </si>
  <si>
    <t>Appetite for Destruction</t>
  </si>
  <si>
    <t>Use Your Illusion I</t>
  </si>
  <si>
    <t>Use Your Illusion II</t>
  </si>
  <si>
    <t>Rage Against the Machines</t>
  </si>
  <si>
    <t>Evil Empire</t>
  </si>
  <si>
    <t>Bounce</t>
  </si>
  <si>
    <t>World of Glass</t>
  </si>
  <si>
    <t>Dançañdo em Campo Minado</t>
  </si>
  <si>
    <t>Dance Of Death</t>
  </si>
  <si>
    <t>Fallen</t>
  </si>
  <si>
    <t>Evanescence</t>
  </si>
  <si>
    <t>Life for Rent</t>
  </si>
  <si>
    <t>Sillicon Messiah</t>
  </si>
  <si>
    <t>Blaze</t>
  </si>
  <si>
    <t xml:space="preserve">ONCE </t>
  </si>
  <si>
    <t>NightWish</t>
  </si>
  <si>
    <t>A Tyrany of Souls</t>
  </si>
  <si>
    <t>Gessinger, Liks Maltz</t>
  </si>
  <si>
    <t>Minuano</t>
  </si>
  <si>
    <t>Audioslave</t>
  </si>
  <si>
    <t>A Revolta dos Dandis</t>
  </si>
  <si>
    <t xml:space="preserve">Ouça o que eu digo! Não Ouça Ninguém </t>
  </si>
  <si>
    <t>O Papa é Pop</t>
  </si>
  <si>
    <t>Longe Demais das capitais</t>
  </si>
  <si>
    <t>Gates of metal Fried Chicken of death</t>
  </si>
  <si>
    <t>Massacration</t>
  </si>
  <si>
    <t>Ashes</t>
  </si>
  <si>
    <t>Spliter</t>
  </si>
  <si>
    <t>A matter of Life And Death</t>
  </si>
  <si>
    <t>The Tokio Tales</t>
  </si>
  <si>
    <t>Blind Guardian</t>
  </si>
  <si>
    <t>No More Tears</t>
  </si>
  <si>
    <t>Ozzy Osbourne</t>
  </si>
  <si>
    <t xml:space="preserve">Ballbracker </t>
  </si>
  <si>
    <t xml:space="preserve">The Final Frontier </t>
  </si>
  <si>
    <t>Maiden England '88</t>
  </si>
  <si>
    <t xml:space="preserve">The Book of Souls </t>
  </si>
  <si>
    <t>Senjutsu</t>
  </si>
  <si>
    <t>The Mandrake Project</t>
  </si>
  <si>
    <t>No.</t>
  </si>
  <si>
    <t>Disciplinas Ano Letivo de 2000</t>
  </si>
  <si>
    <t>1º Bim</t>
  </si>
  <si>
    <t>2º Bim</t>
  </si>
  <si>
    <t>3ºBim</t>
  </si>
  <si>
    <t>4ºbim</t>
  </si>
  <si>
    <t>Pontos</t>
  </si>
  <si>
    <t>Faltam</t>
  </si>
  <si>
    <t>Media</t>
  </si>
  <si>
    <t>Falta Ex.</t>
  </si>
  <si>
    <t>Exame</t>
  </si>
  <si>
    <t>M Final</t>
  </si>
  <si>
    <t>Arquitetura de compurtadores e redes</t>
  </si>
  <si>
    <t>Arquitetura e programação de microprocessadores</t>
  </si>
  <si>
    <t>Banco de dados</t>
  </si>
  <si>
    <t>Engenharia de Software</t>
  </si>
  <si>
    <t>Etica e Legislação</t>
  </si>
  <si>
    <t>Laboratorio de Microprocessadores</t>
  </si>
  <si>
    <t>Linguagens formais e automatos</t>
  </si>
  <si>
    <t>Principios de Eletricidade e Eletronica</t>
  </si>
  <si>
    <t>Probabilidade e Estatistica</t>
  </si>
  <si>
    <t>Sistemas Digitais</t>
  </si>
  <si>
    <t>Sistemas Operacionais</t>
  </si>
  <si>
    <t>Disciplinas -:- Ano Letivo de 2001</t>
  </si>
  <si>
    <t>Analise combinatoria e teoria de Grafos</t>
  </si>
  <si>
    <t>Arq. Redes Avançadas</t>
  </si>
  <si>
    <t>Compiladores</t>
  </si>
  <si>
    <t>Engenharia de Software II</t>
  </si>
  <si>
    <t>Formação de Gerentes e Empreedendores</t>
  </si>
  <si>
    <t>Inteligencia Artificial e redes Neurais</t>
  </si>
  <si>
    <t>Introduçao à computacao Grafica B</t>
  </si>
  <si>
    <t>Laboratório de Micro Processadores</t>
  </si>
  <si>
    <t>Linguagens formais e Automatos</t>
  </si>
  <si>
    <t>Matemática Computacional</t>
  </si>
  <si>
    <t>Projeto e Analise de Algoritmos</t>
  </si>
  <si>
    <t>Topicos Avancados de banco de dados</t>
  </si>
  <si>
    <t>Disciplinas -:- Ano Letivo de 2002</t>
  </si>
  <si>
    <t>Automação Industrial</t>
  </si>
  <si>
    <t>Ciencias do Ambiente</t>
  </si>
  <si>
    <t>Compiladores (DP)</t>
  </si>
  <si>
    <t>Controle de processos</t>
  </si>
  <si>
    <t>Desenho Assistido por computador</t>
  </si>
  <si>
    <t>Economia</t>
  </si>
  <si>
    <t>Eletricidade Aplicada</t>
  </si>
  <si>
    <t xml:space="preserve">Eletronica Aplicada à Automação industrial </t>
  </si>
  <si>
    <t>Estágio Supervisionaddo em E.C.</t>
  </si>
  <si>
    <t>Fenomenos de Transportes</t>
  </si>
  <si>
    <t>Fisica Geral Experimental</t>
  </si>
  <si>
    <t>Geometria Analitica e Algebra Vetorial</t>
  </si>
  <si>
    <t>Inteligencia Artificial e Redes Neurais(dp)</t>
  </si>
  <si>
    <t>Laboratório de Informatica Industrial</t>
  </si>
  <si>
    <t>Matemática aplicada à Automação Industrial</t>
  </si>
  <si>
    <t>materiais Eletricos</t>
  </si>
  <si>
    <t>Mecanica Geral</t>
  </si>
  <si>
    <t>Planejamento e gestão de redes de compuitadores</t>
  </si>
  <si>
    <t>Quimica Tecnologica</t>
  </si>
  <si>
    <t>Sistemas paralelos e distribuidos</t>
  </si>
  <si>
    <t>Trabalho de conclusão de curso</t>
  </si>
  <si>
    <t>Nome Da bagaça</t>
  </si>
  <si>
    <t>Plataforma</t>
  </si>
  <si>
    <t>Vendável?</t>
  </si>
  <si>
    <t>Uncharted - Drake´s fortune</t>
  </si>
  <si>
    <t>Tomb Raider UnderWorld</t>
  </si>
  <si>
    <t>VENDIDO</t>
  </si>
  <si>
    <t>Mirror´s Edge</t>
  </si>
  <si>
    <t>Golden Axe Beast Rider</t>
  </si>
  <si>
    <t>Guitar Hero world Tour</t>
  </si>
  <si>
    <t>Guitar Hero Aerosmith</t>
  </si>
  <si>
    <t>God Of War - The Collection</t>
  </si>
  <si>
    <t>God Of War III</t>
  </si>
  <si>
    <t>Uncharted 2 - Among Thives</t>
  </si>
  <si>
    <t>Dante´s Infernos</t>
  </si>
  <si>
    <t>Devil May cry 4</t>
  </si>
  <si>
    <t xml:space="preserve">Batman - Arkham Asylum </t>
  </si>
  <si>
    <t>Batman - Arkham City</t>
  </si>
  <si>
    <t xml:space="preserve">Uncharted 3 </t>
  </si>
  <si>
    <t>Max Payne 3</t>
  </si>
  <si>
    <t>Rock Smith</t>
  </si>
  <si>
    <t>Assassin Creed</t>
  </si>
  <si>
    <t xml:space="preserve">God Of War origins </t>
  </si>
  <si>
    <t>God Of War Ascension: Totalmente Em Português - PS3</t>
  </si>
  <si>
    <t>The Last of US</t>
  </si>
  <si>
    <t>Batman: Arkham Origin</t>
  </si>
  <si>
    <t>Tomb Raider Renew PS3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</si>
</sst>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&quot;R$ &quot;#,##0.00_);[Red]\(&quot;R$ &quot;#,##0.00\)"/>
    <numFmt numFmtId="166" formatCode="_(&quot;R$ &quot;* #,##0.00_);_(&quot;R$ &quot;* \(#,##0.00\);_(&quot;R$ &quot;* &quot;-&quot;??_);_(@_)"/>
    <numFmt numFmtId="167" formatCode="_(* #,##0.00_);_(* \(#,##0.00\);_(* &quot;-&quot;??_);_(@_)"/>
    <numFmt numFmtId="168" formatCode="ddd\ dd/mmm\ yyyy"/>
    <numFmt numFmtId="169" formatCode="[$R$-416]\ #,##0.00;[Red]\-[$R$-416]\ #,##0.00"/>
    <numFmt numFmtId="170" formatCode="_(&quot;R$&quot;* #,##0.00_);_(&quot;R$&quot;* \(#,##0.00\);_(&quot;R$&quot;* \-??_);_(@_)"/>
    <numFmt numFmtId="171" formatCode="_(&quot;R$ &quot;* #,##0.00_);_(&quot;R$ &quot;* \(#,##0.00\);_(&quot;R$ &quot;* \-??_);_(@_)"/>
    <numFmt numFmtId="172" formatCode="d&quot; de &quot;mmm&quot; de &quot;yy"/>
    <numFmt numFmtId="173" formatCode="mm/yy"/>
    <numFmt numFmtId="174" formatCode="dd/mmm/yyyy"/>
    <numFmt numFmtId="175" formatCode="_-&quot;R$ &quot;* #,##0.00_-;&quot;-R$ &quot;* #,##0.00_-;_-&quot;R$ &quot;* \-??_-;_-@_-"/>
    <numFmt numFmtId="176" formatCode="&quot;R$ &quot;#,##0.00"/>
    <numFmt numFmtId="177" formatCode="0.00000000000000"/>
    <numFmt numFmtId="178" formatCode="_(* #,##0.00_);_(* \(#,##0.00\);_(* \-??_);_(@_)"/>
    <numFmt numFmtId="179" formatCode="_-[$R$-416]\ * #,##0.00_-;\-[$R$-416]\ * #,##0.00_-;_-[$R$-416]\ * \-??_-;_-@_-"/>
    <numFmt numFmtId="180" formatCode="mmmm/yyyy"/>
    <numFmt numFmtId="181" formatCode="&quot;R$  &quot;#,##0.00;[Red]&quot;R$&quot;#,##0.00"/>
    <numFmt numFmtId="182" formatCode="&quot;R$&quot;#,##0.00;[Red]&quot;R$&quot;#,##0.00"/>
    <numFmt numFmtId="183" formatCode="d/mmm/yyyy"/>
    <numFmt numFmtId="184" formatCode="mmm/yyyy"/>
    <numFmt numFmtId="185" formatCode="dd/mm/yyyy;@"/>
    <numFmt numFmtId="186" formatCode="dddd"/>
    <numFmt numFmtId="187" formatCode="hh:mm\ AM/PM"/>
    <numFmt numFmtId="188" formatCode="mmm\ yy"/>
    <numFmt numFmtId="189" formatCode="\$#,##0.00"/>
    <numFmt numFmtId="190" formatCode="&quot;R$ &quot;#,##0.00_);[Red]&quot;(R$ &quot;#,##0.00\)"/>
    <numFmt numFmtId="191" formatCode="dd/mm/yy\ hh:mm"/>
    <numFmt numFmtId="192" formatCode="[$-416]dd\-mmm\-yyyy;@"/>
    <numFmt numFmtId="193" formatCode="&quot;R$&quot;\ #,##0.00"/>
  </numFmts>
  <fonts count="102"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Copperplate Gothic Bold"/>
      <family val="2"/>
      <charset val="1"/>
    </font>
    <font>
      <b/>
      <sz val="10"/>
      <color indexed="10"/>
      <name val="Copperplate Gothic Bold"/>
      <family val="2"/>
      <charset val="1"/>
    </font>
    <font>
      <b/>
      <sz val="10"/>
      <color indexed="12"/>
      <name val="Copperplate Gothic Bold"/>
      <family val="2"/>
      <charset val="1"/>
    </font>
    <font>
      <u/>
      <sz val="11"/>
      <color indexed="12"/>
      <name val="Calibri"/>
      <family val="2"/>
    </font>
    <font>
      <sz val="10"/>
      <name val="Courier New"/>
      <family val="3"/>
    </font>
    <font>
      <b/>
      <sz val="10"/>
      <name val="Courier New"/>
      <family val="3"/>
    </font>
    <font>
      <sz val="10"/>
      <color indexed="12"/>
      <name val="Courier New"/>
      <family val="3"/>
    </font>
    <font>
      <b/>
      <sz val="10"/>
      <color indexed="10"/>
      <name val="Courier New"/>
      <family val="3"/>
    </font>
    <font>
      <sz val="10"/>
      <color indexed="8"/>
      <name val="Courier New"/>
      <family val="3"/>
    </font>
    <font>
      <sz val="10"/>
      <name val="Arial"/>
      <family val="3"/>
    </font>
    <font>
      <b/>
      <sz val="10"/>
      <name val="Arial"/>
      <family val="2"/>
    </font>
    <font>
      <sz val="10"/>
      <color indexed="10"/>
      <name val="Courier New"/>
      <family val="3"/>
    </font>
    <font>
      <sz val="10"/>
      <color indexed="20"/>
      <name val="Courier New"/>
      <family val="3"/>
    </font>
    <font>
      <sz val="8"/>
      <color indexed="8"/>
      <name val="Courier New"/>
      <family val="3"/>
    </font>
    <font>
      <sz val="8"/>
      <color indexed="10"/>
      <name val="Courier New"/>
      <family val="3"/>
    </font>
    <font>
      <b/>
      <sz val="10"/>
      <color indexed="8"/>
      <name val="Courier New"/>
      <family val="3"/>
    </font>
    <font>
      <b/>
      <sz val="10"/>
      <color indexed="12"/>
      <name val="Courier New"/>
      <family val="3"/>
    </font>
    <font>
      <b/>
      <vertAlign val="superscript"/>
      <sz val="10"/>
      <color indexed="18"/>
      <name val="Courier New"/>
      <family val="3"/>
    </font>
    <font>
      <b/>
      <sz val="10"/>
      <color indexed="18"/>
      <name val="Courier New"/>
      <family val="3"/>
    </font>
    <font>
      <b/>
      <sz val="8"/>
      <color indexed="9"/>
      <name val="Tahoma"/>
      <family val="2"/>
    </font>
    <font>
      <sz val="10"/>
      <color indexed="48"/>
      <name val="Courier New"/>
      <family val="3"/>
    </font>
    <font>
      <sz val="10"/>
      <color indexed="53"/>
      <name val="Courier New"/>
      <family val="3"/>
    </font>
    <font>
      <b/>
      <sz val="10"/>
      <color indexed="53"/>
      <name val="Courier New"/>
      <family val="3"/>
    </font>
    <font>
      <sz val="10"/>
      <color indexed="30"/>
      <name val="Courier New"/>
      <family val="3"/>
    </font>
    <font>
      <b/>
      <sz val="10"/>
      <color indexed="49"/>
      <name val="Courier New"/>
      <family val="3"/>
    </font>
    <font>
      <b/>
      <sz val="10"/>
      <color indexed="25"/>
      <name val="Courier New"/>
      <family val="3"/>
    </font>
    <font>
      <sz val="10"/>
      <color indexed="57"/>
      <name val="Courier New"/>
      <family val="3"/>
    </font>
    <font>
      <b/>
      <sz val="10"/>
      <color indexed="48"/>
      <name val="Courier New"/>
      <family val="3"/>
    </font>
    <font>
      <b/>
      <sz val="8"/>
      <name val="Courier New"/>
      <family val="3"/>
    </font>
    <font>
      <sz val="11"/>
      <name val="Courier New"/>
      <family val="3"/>
    </font>
    <font>
      <sz val="11"/>
      <name val="Arial"/>
      <family val="2"/>
    </font>
    <font>
      <sz val="11"/>
      <name val="Arial"/>
      <family val="3"/>
    </font>
    <font>
      <sz val="8"/>
      <name val="Courier New"/>
      <family val="3"/>
    </font>
    <font>
      <b/>
      <sz val="10"/>
      <color indexed="20"/>
      <name val="Courier New"/>
      <family val="3"/>
    </font>
    <font>
      <b/>
      <sz val="10"/>
      <color indexed="12"/>
      <name val="Arial"/>
      <family val="2"/>
    </font>
    <font>
      <b/>
      <sz val="11"/>
      <color indexed="57"/>
      <name val="Arial"/>
      <family val="2"/>
    </font>
    <font>
      <sz val="8"/>
      <name val="Arial"/>
      <family val="2"/>
    </font>
    <font>
      <b/>
      <sz val="10"/>
      <color indexed="57"/>
      <name val="Arial"/>
      <family val="2"/>
    </font>
    <font>
      <b/>
      <sz val="10"/>
      <color indexed="14"/>
      <name val="Courier New"/>
      <family val="3"/>
    </font>
    <font>
      <u/>
      <sz val="10"/>
      <color indexed="12"/>
      <name val="Courier New"/>
      <family val="3"/>
    </font>
    <font>
      <u/>
      <sz val="10"/>
      <color indexed="8"/>
      <name val="Courier New"/>
      <family val="3"/>
    </font>
    <font>
      <sz val="10"/>
      <color indexed="25"/>
      <name val="Courier New"/>
      <family val="3"/>
    </font>
    <font>
      <sz val="7.5"/>
      <color indexed="56"/>
      <name val="Courier New"/>
      <family val="3"/>
    </font>
    <font>
      <strike/>
      <sz val="10"/>
      <color indexed="8"/>
      <name val="Courier New"/>
      <family val="3"/>
    </font>
    <font>
      <u/>
      <sz val="10"/>
      <color indexed="10"/>
      <name val="Courier New"/>
      <family val="3"/>
    </font>
    <font>
      <sz val="10"/>
      <color indexed="17"/>
      <name val="Courier New"/>
      <family val="3"/>
    </font>
    <font>
      <sz val="10"/>
      <name val="Tahoma"/>
      <family val="2"/>
      <charset val="1"/>
    </font>
    <font>
      <sz val="12"/>
      <name val="Times New Roman"/>
      <family val="1"/>
    </font>
    <font>
      <b/>
      <sz val="12"/>
      <name val="Times New Roman"/>
      <family val="1"/>
    </font>
    <font>
      <u/>
      <sz val="12"/>
      <color indexed="12"/>
      <name val="Times New Roman"/>
      <family val="1"/>
    </font>
    <font>
      <sz val="9"/>
      <color indexed="18"/>
      <name val="Arial"/>
      <family val="2"/>
    </font>
    <font>
      <u/>
      <sz val="10"/>
      <color indexed="12"/>
      <name val="Arial"/>
      <family val="2"/>
    </font>
    <font>
      <b/>
      <sz val="10"/>
      <color indexed="61"/>
      <name val="Arial"/>
      <family val="2"/>
    </font>
    <font>
      <b/>
      <sz val="10"/>
      <color indexed="61"/>
      <name val="Iron Maiden"/>
      <charset val="1"/>
    </font>
    <font>
      <sz val="10"/>
      <name val="Times New Roman"/>
      <family val="1"/>
    </font>
    <font>
      <sz val="10"/>
      <name val="Tahoma"/>
      <family val="2"/>
    </font>
    <font>
      <b/>
      <sz val="10"/>
      <color indexed="21"/>
      <name val="Verdana;Arial"/>
    </font>
    <font>
      <sz val="10"/>
      <name val="Verdana;Arial"/>
    </font>
    <font>
      <u/>
      <sz val="10"/>
      <color indexed="12"/>
      <name val="Tahoma"/>
      <family val="2"/>
      <charset val="1"/>
    </font>
    <font>
      <sz val="12"/>
      <name val="Arial"/>
      <family val="3"/>
    </font>
    <font>
      <sz val="12"/>
      <name val="Arial"/>
      <family val="2"/>
    </font>
    <font>
      <sz val="10"/>
      <color indexed="12"/>
      <name val="Tahoma"/>
      <family val="2"/>
    </font>
    <font>
      <sz val="10"/>
      <color indexed="10"/>
      <name val="Tahoma"/>
      <family val="2"/>
    </font>
    <font>
      <u/>
      <sz val="10"/>
      <color indexed="12"/>
      <name val="Tahoma"/>
      <family val="2"/>
    </font>
    <font>
      <u/>
      <sz val="12"/>
      <color indexed="12"/>
      <name val="Arial"/>
      <family val="2"/>
    </font>
    <font>
      <sz val="10"/>
      <color indexed="13"/>
      <name val="Courier New"/>
      <family val="3"/>
    </font>
    <font>
      <sz val="10"/>
      <name val="Arial"/>
      <family val="2"/>
    </font>
    <font>
      <sz val="9"/>
      <name val="Courier New"/>
      <family val="3"/>
    </font>
    <font>
      <strike/>
      <sz val="10"/>
      <name val="Arial"/>
      <family val="2"/>
    </font>
    <font>
      <sz val="9"/>
      <name val="Arial"/>
      <family val="2"/>
    </font>
    <font>
      <sz val="10"/>
      <name val="Courier New"/>
      <family val="3"/>
    </font>
    <font>
      <sz val="10"/>
      <name val="Arial"/>
      <family val="2"/>
    </font>
    <font>
      <sz val="10"/>
      <name val="Courier New"/>
      <family val="3"/>
    </font>
    <font>
      <sz val="10"/>
      <name val="Courier New"/>
      <family val="3"/>
    </font>
    <font>
      <sz val="10"/>
      <name val="Courier New"/>
      <family val="3"/>
    </font>
    <font>
      <sz val="10"/>
      <name val="Courier New"/>
      <family val="3"/>
    </font>
    <font>
      <sz val="10"/>
      <name val="Courier New"/>
      <family val="3"/>
    </font>
    <font>
      <b/>
      <sz val="11"/>
      <name val="Courier New"/>
      <family val="3"/>
    </font>
    <font>
      <sz val="10"/>
      <name val="barcode font"/>
    </font>
    <font>
      <sz val="11"/>
      <color indexed="8"/>
      <name val="Courier New"/>
      <family val="3"/>
    </font>
    <font>
      <sz val="11"/>
      <color indexed="12"/>
      <name val="Courier New"/>
      <family val="3"/>
    </font>
    <font>
      <sz val="11"/>
      <color indexed="10"/>
      <name val="Courier New"/>
      <family val="3"/>
    </font>
    <font>
      <u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FFFF00"/>
      <name val="Courier New"/>
      <family val="3"/>
    </font>
    <font>
      <sz val="10"/>
      <color rgb="FFFFFF00"/>
      <name val="Courier New"/>
      <family val="3"/>
    </font>
    <font>
      <b/>
      <sz val="10"/>
      <color rgb="FFFF0000"/>
      <name val="Courier New"/>
      <family val="3"/>
    </font>
    <font>
      <b/>
      <sz val="9"/>
      <color rgb="FFFF0000"/>
      <name val="Courier New"/>
      <family val="3"/>
    </font>
    <font>
      <b/>
      <sz val="9"/>
      <color rgb="FF3336BF"/>
      <name val="Courier New"/>
      <family val="3"/>
    </font>
    <font>
      <b/>
      <sz val="10"/>
      <color rgb="FF0070C0"/>
      <name val="Courier New"/>
      <family val="3"/>
    </font>
    <font>
      <b/>
      <sz val="10"/>
      <color rgb="FF0000FF"/>
      <name val="Courier New"/>
      <family val="3"/>
    </font>
    <font>
      <b/>
      <sz val="10"/>
      <color rgb="FF0307BD"/>
      <name val="Courier New"/>
      <family val="3"/>
    </font>
    <font>
      <sz val="10"/>
      <color rgb="FF002060"/>
      <name val="Courier New"/>
      <family val="3"/>
    </font>
    <font>
      <b/>
      <i/>
      <sz val="11"/>
      <color rgb="FFFF0000"/>
      <name val="Courier New"/>
      <family val="3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urier New"/>
      <family val="3"/>
    </font>
    <font>
      <b/>
      <i/>
      <sz val="10"/>
      <color theme="1"/>
      <name val="Courier New"/>
      <family val="3"/>
    </font>
    <font>
      <sz val="10"/>
      <color rgb="FF000000"/>
      <name val="Courier New"/>
      <charset val="1"/>
    </font>
  </fonts>
  <fills count="16">
    <fill>
      <patternFill patternType="none"/>
    </fill>
    <fill>
      <patternFill patternType="gray125"/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34"/>
      </patternFill>
    </fill>
    <fill>
      <patternFill patternType="solid">
        <fgColor indexed="22"/>
        <bgColor indexed="31"/>
      </patternFill>
    </fill>
    <fill>
      <patternFill patternType="solid">
        <fgColor indexed="63"/>
        <bgColor indexed="59"/>
      </patternFill>
    </fill>
    <fill>
      <patternFill patternType="solid">
        <fgColor indexed="48"/>
        <bgColor indexed="30"/>
      </patternFill>
    </fill>
    <fill>
      <patternFill patternType="solid">
        <fgColor indexed="12"/>
        <bgColor indexed="39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0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/>
      <diagonal/>
    </border>
    <border>
      <left style="thin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58"/>
      </left>
      <right/>
      <top style="thin">
        <color indexed="58"/>
      </top>
      <bottom/>
      <diagonal/>
    </border>
    <border>
      <left/>
      <right/>
      <top style="thin">
        <color indexed="58"/>
      </top>
      <bottom/>
      <diagonal/>
    </border>
    <border>
      <left style="thin">
        <color indexed="8"/>
      </left>
      <right style="thin">
        <color indexed="8"/>
      </right>
      <top style="thin">
        <color indexed="58"/>
      </top>
      <bottom/>
      <diagonal/>
    </border>
    <border>
      <left/>
      <right style="thin">
        <color indexed="58"/>
      </right>
      <top style="thin">
        <color indexed="58"/>
      </top>
      <bottom/>
      <diagonal/>
    </border>
    <border>
      <left style="thin">
        <color indexed="58"/>
      </left>
      <right/>
      <top/>
      <bottom/>
      <diagonal/>
    </border>
    <border>
      <left/>
      <right style="thin">
        <color indexed="58"/>
      </right>
      <top/>
      <bottom/>
      <diagonal/>
    </border>
    <border>
      <left style="thin">
        <color indexed="58"/>
      </left>
      <right/>
      <top/>
      <bottom style="thin">
        <color indexed="58"/>
      </bottom>
      <diagonal/>
    </border>
    <border>
      <left style="thin">
        <color indexed="8"/>
      </left>
      <right style="thin">
        <color indexed="8"/>
      </right>
      <top/>
      <bottom style="thin">
        <color indexed="58"/>
      </bottom>
      <diagonal/>
    </border>
    <border>
      <left/>
      <right style="thin">
        <color indexed="58"/>
      </right>
      <top/>
      <bottom style="thin">
        <color indexed="58"/>
      </bottom>
      <diagonal/>
    </border>
    <border>
      <left style="thin">
        <color indexed="59"/>
      </left>
      <right/>
      <top style="thin">
        <color indexed="59"/>
      </top>
      <bottom/>
      <diagonal/>
    </border>
    <border>
      <left/>
      <right/>
      <top style="thin">
        <color indexed="59"/>
      </top>
      <bottom/>
      <diagonal/>
    </border>
    <border>
      <left style="thin">
        <color indexed="8"/>
      </left>
      <right style="thin">
        <color indexed="8"/>
      </right>
      <top style="thin">
        <color indexed="59"/>
      </top>
      <bottom/>
      <diagonal/>
    </border>
    <border>
      <left style="thin">
        <color indexed="59"/>
      </left>
      <right/>
      <top/>
      <bottom/>
      <diagonal/>
    </border>
    <border>
      <left/>
      <right style="thin">
        <color indexed="59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59"/>
      </bottom>
      <diagonal/>
    </border>
    <border>
      <left style="thin">
        <color indexed="58"/>
      </left>
      <right style="thin">
        <color indexed="8"/>
      </right>
      <top style="thin">
        <color indexed="58"/>
      </top>
      <bottom/>
      <diagonal/>
    </border>
    <border>
      <left style="thin">
        <color indexed="8"/>
      </left>
      <right style="thin">
        <color indexed="58"/>
      </right>
      <top style="thin">
        <color indexed="58"/>
      </top>
      <bottom/>
      <diagonal/>
    </border>
    <border>
      <left style="thin">
        <color indexed="5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58"/>
      </right>
      <top/>
      <bottom/>
      <diagonal/>
    </border>
    <border>
      <left/>
      <right/>
      <top/>
      <bottom style="thin">
        <color indexed="58"/>
      </bottom>
      <diagonal/>
    </border>
    <border>
      <left style="thin">
        <color indexed="58"/>
      </left>
      <right style="thin">
        <color indexed="58"/>
      </right>
      <top/>
      <bottom/>
      <diagonal/>
    </border>
    <border>
      <left style="thin">
        <color indexed="58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8"/>
      </right>
      <top/>
      <bottom/>
      <diagonal/>
    </border>
    <border>
      <left style="thin">
        <color indexed="58"/>
      </left>
      <right style="thin">
        <color indexed="59"/>
      </right>
      <top/>
      <bottom/>
      <diagonal/>
    </border>
    <border>
      <left style="thin">
        <color indexed="8"/>
      </left>
      <right/>
      <top/>
      <bottom style="thin">
        <color indexed="58"/>
      </bottom>
      <diagonal/>
    </border>
    <border>
      <left style="thin">
        <color indexed="8"/>
      </left>
      <right style="thin">
        <color indexed="58"/>
      </right>
      <top/>
      <bottom style="thin">
        <color indexed="58"/>
      </bottom>
      <diagonal/>
    </border>
    <border>
      <left style="thin">
        <color indexed="58"/>
      </left>
      <right style="thin">
        <color indexed="8"/>
      </right>
      <top/>
      <bottom style="thin">
        <color indexed="58"/>
      </bottom>
      <diagonal/>
    </border>
    <border>
      <left style="thin">
        <color indexed="58"/>
      </left>
      <right style="thin">
        <color indexed="58"/>
      </right>
      <top style="thin">
        <color indexed="59"/>
      </top>
      <bottom/>
      <diagonal/>
    </border>
    <border>
      <left/>
      <right/>
      <top style="thin">
        <color indexed="58"/>
      </top>
      <bottom style="thin">
        <color indexed="58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8"/>
      </right>
      <top style="thin">
        <color indexed="58"/>
      </top>
      <bottom/>
      <diagonal/>
    </border>
    <border>
      <left style="thin">
        <color indexed="8"/>
      </left>
      <right/>
      <top style="thin">
        <color indexed="58"/>
      </top>
      <bottom/>
      <diagonal/>
    </border>
    <border>
      <left/>
      <right style="thin">
        <color indexed="8"/>
      </right>
      <top/>
      <bottom style="thin">
        <color indexed="58"/>
      </bottom>
      <diagonal/>
    </border>
    <border>
      <left style="thin">
        <color indexed="59"/>
      </left>
      <right style="thin">
        <color indexed="8"/>
      </right>
      <top style="thin">
        <color indexed="59"/>
      </top>
      <bottom/>
      <diagonal/>
    </border>
    <border>
      <left style="thin">
        <color indexed="8"/>
      </left>
      <right/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8"/>
      </right>
      <top/>
      <bottom/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8"/>
      </right>
      <top/>
      <bottom style="thin">
        <color indexed="59"/>
      </bottom>
      <diagonal/>
    </border>
    <border>
      <left/>
      <right style="thin">
        <color indexed="8"/>
      </right>
      <top/>
      <bottom style="thin">
        <color indexed="59"/>
      </bottom>
      <diagonal/>
    </border>
    <border>
      <left style="thin">
        <color indexed="8"/>
      </left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/>
      <right style="thin">
        <color indexed="8"/>
      </right>
      <top style="thin">
        <color indexed="59"/>
      </top>
      <bottom/>
      <diagonal/>
    </border>
    <border>
      <left style="thin">
        <color indexed="8"/>
      </left>
      <right style="thin">
        <color indexed="59"/>
      </right>
      <top/>
      <bottom/>
      <diagonal/>
    </border>
    <border>
      <left style="thin">
        <color indexed="59"/>
      </left>
      <right/>
      <top/>
      <bottom style="thin">
        <color indexed="59"/>
      </bottom>
      <diagonal/>
    </border>
    <border>
      <left style="thin">
        <color indexed="58"/>
      </left>
      <right style="thin">
        <color indexed="58"/>
      </right>
      <top/>
      <bottom style="thin">
        <color indexed="59"/>
      </bottom>
      <diagonal/>
    </border>
    <border>
      <left/>
      <right/>
      <top/>
      <bottom style="thin">
        <color indexed="59"/>
      </bottom>
      <diagonal/>
    </border>
    <border>
      <left style="thin">
        <color indexed="58"/>
      </left>
      <right style="thin">
        <color indexed="59"/>
      </right>
      <top/>
      <bottom style="thin">
        <color indexed="59"/>
      </bottom>
      <diagonal/>
    </border>
    <border>
      <left style="thin">
        <color indexed="8"/>
      </left>
      <right style="thin">
        <color indexed="59"/>
      </right>
      <top/>
      <bottom style="thin">
        <color indexed="59"/>
      </bottom>
      <diagonal/>
    </border>
    <border>
      <left style="thin">
        <color indexed="8"/>
      </left>
      <right style="thin">
        <color indexed="59"/>
      </right>
      <top style="thin">
        <color indexed="59"/>
      </top>
      <bottom/>
      <diagonal/>
    </border>
    <border>
      <left style="thin">
        <color indexed="8"/>
      </left>
      <right/>
      <top style="thin">
        <color indexed="5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5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 style="thin">
        <color indexed="5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5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58"/>
      </right>
      <top/>
      <bottom/>
      <diagonal/>
    </border>
    <border>
      <left style="thin">
        <color indexed="58"/>
      </left>
      <right style="thin">
        <color indexed="64"/>
      </right>
      <top/>
      <bottom/>
      <diagonal/>
    </border>
    <border>
      <left style="thin">
        <color indexed="5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5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59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5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58"/>
      </right>
      <top style="thin">
        <color indexed="64"/>
      </top>
      <bottom/>
      <diagonal/>
    </border>
    <border>
      <left style="thin">
        <color indexed="64"/>
      </left>
      <right style="thin">
        <color indexed="5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58"/>
      </left>
      <right style="thin">
        <color indexed="58"/>
      </right>
      <top style="thin">
        <color indexed="64"/>
      </top>
      <bottom/>
      <diagonal/>
    </border>
    <border>
      <left style="thin">
        <color indexed="58"/>
      </left>
      <right style="thin">
        <color indexed="5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58"/>
      </right>
      <top/>
      <bottom/>
      <diagonal/>
    </border>
    <border>
      <left style="thin">
        <color indexed="5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58"/>
      </right>
      <top style="thin">
        <color indexed="64"/>
      </top>
      <bottom/>
      <diagonal/>
    </border>
    <border>
      <left style="thin">
        <color indexed="58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58"/>
      </right>
      <top/>
      <bottom style="thin">
        <color indexed="64"/>
      </bottom>
      <diagonal/>
    </border>
    <border>
      <left style="thin">
        <color indexed="58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58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8"/>
      </left>
      <right style="thin">
        <color indexed="58"/>
      </right>
      <top/>
      <bottom style="medium">
        <color indexed="64"/>
      </bottom>
      <diagonal/>
    </border>
    <border>
      <left style="thin">
        <color indexed="5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59"/>
      </left>
      <right style="medium">
        <color indexed="64"/>
      </right>
      <top style="medium">
        <color indexed="64"/>
      </top>
      <bottom/>
      <diagonal/>
    </border>
    <border>
      <left style="thin">
        <color indexed="59"/>
      </left>
      <right style="medium">
        <color indexed="64"/>
      </right>
      <top/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59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58"/>
      </left>
      <right style="medium">
        <color indexed="58"/>
      </right>
      <top style="thin">
        <color indexed="64"/>
      </top>
      <bottom/>
      <diagonal/>
    </border>
    <border>
      <left style="thin">
        <color indexed="58"/>
      </left>
      <right style="medium">
        <color indexed="58"/>
      </right>
      <top/>
      <bottom style="thin">
        <color indexed="64"/>
      </bottom>
      <diagonal/>
    </border>
    <border>
      <left style="medium">
        <color indexed="64"/>
      </left>
      <right style="thin">
        <color indexed="58"/>
      </right>
      <top style="thin">
        <color indexed="58"/>
      </top>
      <bottom/>
      <diagonal/>
    </border>
    <border>
      <left style="thin">
        <color indexed="58"/>
      </left>
      <right style="medium">
        <color indexed="64"/>
      </right>
      <top style="thin">
        <color indexed="58"/>
      </top>
      <bottom/>
      <diagonal/>
    </border>
    <border>
      <left style="medium">
        <color indexed="64"/>
      </left>
      <right style="thin">
        <color indexed="58"/>
      </right>
      <top/>
      <bottom style="thin">
        <color indexed="58"/>
      </bottom>
      <diagonal/>
    </border>
    <border>
      <left style="thin">
        <color indexed="58"/>
      </left>
      <right style="medium">
        <color indexed="64"/>
      </right>
      <top/>
      <bottom style="thin">
        <color indexed="58"/>
      </bottom>
      <diagonal/>
    </border>
    <border>
      <left style="thin">
        <color indexed="58"/>
      </left>
      <right style="medium">
        <color indexed="64"/>
      </right>
      <top style="thin">
        <color indexed="59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58"/>
      </left>
      <right style="thin">
        <color indexed="58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5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58"/>
      </top>
      <bottom/>
      <diagonal/>
    </border>
    <border>
      <left style="medium">
        <color indexed="64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8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58"/>
      </right>
      <top style="medium">
        <color indexed="64"/>
      </top>
      <bottom style="medium">
        <color indexed="64"/>
      </bottom>
      <diagonal/>
    </border>
    <border>
      <left style="thin">
        <color indexed="5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58"/>
      </top>
      <bottom/>
      <diagonal/>
    </border>
    <border>
      <left style="medium">
        <color indexed="64"/>
      </left>
      <right/>
      <top/>
      <bottom style="thin">
        <color indexed="58"/>
      </bottom>
      <diagonal/>
    </border>
    <border>
      <left style="thin">
        <color indexed="8"/>
      </left>
      <right style="medium">
        <color indexed="64"/>
      </right>
      <top/>
      <bottom style="thin">
        <color indexed="58"/>
      </bottom>
      <diagonal/>
    </border>
    <border>
      <left style="medium">
        <color indexed="64"/>
      </left>
      <right/>
      <top/>
      <bottom style="thin">
        <color indexed="59"/>
      </bottom>
      <diagonal/>
    </border>
    <border>
      <left style="thin">
        <color indexed="8"/>
      </left>
      <right style="medium">
        <color indexed="64"/>
      </right>
      <top/>
      <bottom style="thin">
        <color indexed="5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58"/>
      </right>
      <top style="thin">
        <color indexed="64"/>
      </top>
      <bottom style="thin">
        <color indexed="58"/>
      </bottom>
      <diagonal/>
    </border>
    <border>
      <left style="thin">
        <color indexed="58"/>
      </left>
      <right style="thin">
        <color indexed="58"/>
      </right>
      <top style="thin">
        <color indexed="64"/>
      </top>
      <bottom style="thin">
        <color indexed="58"/>
      </bottom>
      <diagonal/>
    </border>
    <border>
      <left style="thin">
        <color indexed="58"/>
      </left>
      <right style="thin">
        <color indexed="64"/>
      </right>
      <top style="thin">
        <color indexed="64"/>
      </top>
      <bottom style="thin">
        <color indexed="58"/>
      </bottom>
      <diagonal/>
    </border>
    <border>
      <left style="thin">
        <color indexed="64"/>
      </left>
      <right style="thin">
        <color indexed="58"/>
      </right>
      <top style="thin">
        <color indexed="58"/>
      </top>
      <bottom style="thin">
        <color indexed="64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64"/>
      </bottom>
      <diagonal/>
    </border>
    <border>
      <left style="thin">
        <color indexed="58"/>
      </left>
      <right style="thin">
        <color indexed="64"/>
      </right>
      <top style="thin">
        <color indexed="58"/>
      </top>
      <bottom style="thin">
        <color indexed="64"/>
      </bottom>
      <diagonal/>
    </border>
    <border>
      <left style="thin">
        <color indexed="58"/>
      </left>
      <right style="medium">
        <color indexed="58"/>
      </right>
      <top/>
      <bottom/>
      <diagonal/>
    </border>
    <border>
      <left style="thin">
        <color indexed="58"/>
      </left>
      <right/>
      <top style="thin">
        <color indexed="58"/>
      </top>
      <bottom style="thin">
        <color indexed="64"/>
      </bottom>
      <diagonal/>
    </border>
    <border>
      <left style="thin">
        <color indexed="58"/>
      </left>
      <right/>
      <top style="thin">
        <color indexed="64"/>
      </top>
      <bottom style="thin">
        <color indexed="5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58"/>
      </left>
      <right/>
      <top/>
      <bottom style="medium">
        <color indexed="64"/>
      </bottom>
      <diagonal/>
    </border>
    <border>
      <left style="thin">
        <color indexed="58"/>
      </left>
      <right/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58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58"/>
      </top>
      <bottom/>
      <diagonal/>
    </border>
    <border>
      <left style="thin">
        <color indexed="64"/>
      </left>
      <right style="thin">
        <color indexed="64"/>
      </right>
      <top style="thin">
        <color indexed="5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59"/>
      </bottom>
      <diagonal/>
    </border>
    <border>
      <left style="thin">
        <color indexed="58"/>
      </left>
      <right style="thin">
        <color indexed="59"/>
      </right>
      <top/>
      <bottom style="thin">
        <color indexed="64"/>
      </bottom>
      <diagonal/>
    </border>
    <border>
      <left/>
      <right style="thin">
        <color indexed="58"/>
      </right>
      <top/>
      <bottom style="thin">
        <color indexed="64"/>
      </bottom>
      <diagonal/>
    </border>
    <border>
      <left style="thin">
        <color indexed="58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58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58"/>
      </right>
      <top style="thin">
        <color indexed="64"/>
      </top>
      <bottom/>
      <diagonal/>
    </border>
    <border>
      <left style="medium">
        <color rgb="FF000000"/>
      </left>
      <right style="thin">
        <color indexed="58"/>
      </right>
      <top/>
      <bottom style="thin">
        <color indexed="64"/>
      </bottom>
      <diagonal/>
    </border>
    <border>
      <left style="thick">
        <color rgb="FF000000"/>
      </left>
      <right style="thin">
        <color indexed="58"/>
      </right>
      <top/>
      <bottom/>
      <diagonal/>
    </border>
    <border>
      <left style="thick">
        <color rgb="FF000000"/>
      </left>
      <right style="thin">
        <color indexed="58"/>
      </right>
      <top style="thin">
        <color indexed="64"/>
      </top>
      <bottom/>
      <diagonal/>
    </border>
    <border>
      <left style="thick">
        <color rgb="FF000000"/>
      </left>
      <right style="thin">
        <color indexed="58"/>
      </right>
      <top/>
      <bottom style="thin">
        <color indexed="64"/>
      </bottom>
      <diagonal/>
    </border>
    <border>
      <left style="medium">
        <color indexed="58"/>
      </left>
      <right/>
      <top style="thin">
        <color indexed="64"/>
      </top>
      <bottom/>
      <diagonal/>
    </border>
    <border>
      <left style="medium">
        <color indexed="5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58"/>
      </left>
      <right style="thin">
        <color indexed="58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58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5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9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1" applyNumberFormat="0" applyFill="0" applyAlignment="0" applyProtection="0"/>
    <xf numFmtId="168" fontId="2" fillId="0" borderId="2" applyFill="0" applyProtection="0">
      <alignment horizontal="center"/>
    </xf>
    <xf numFmtId="0" fontId="5" fillId="0" borderId="0" applyNumberFormat="0" applyFill="0" applyBorder="0" applyAlignment="0" applyProtection="0"/>
    <xf numFmtId="171" fontId="68" fillId="0" borderId="0" applyFill="0" applyBorder="0" applyAlignment="0" applyProtection="0"/>
    <xf numFmtId="169" fontId="3" fillId="0" borderId="3" applyFill="0" applyAlignment="0" applyProtection="0"/>
    <xf numFmtId="169" fontId="4" fillId="0" borderId="1" applyFill="0" applyAlignment="0" applyProtection="0"/>
    <xf numFmtId="0" fontId="68" fillId="0" borderId="4" applyNumberFormat="0" applyFill="0" applyProtection="0">
      <alignment horizontal="center" vertical="center" wrapText="1"/>
    </xf>
  </cellStyleXfs>
  <cellXfs count="1963">
    <xf numFmtId="0" fontId="0" fillId="0" borderId="0" xfId="0"/>
    <xf numFmtId="14" fontId="0" fillId="0" borderId="0" xfId="0" applyNumberFormat="1"/>
    <xf numFmtId="0" fontId="5" fillId="0" borderId="0" xfId="3"/>
    <xf numFmtId="0" fontId="6" fillId="0" borderId="0" xfId="0" applyFont="1"/>
    <xf numFmtId="0" fontId="7" fillId="2" borderId="5" xfId="0" applyFont="1" applyFill="1" applyBorder="1"/>
    <xf numFmtId="169" fontId="7" fillId="2" borderId="5" xfId="0" applyNumberFormat="1" applyFont="1" applyFill="1" applyBorder="1"/>
    <xf numFmtId="3" fontId="7" fillId="3" borderId="6" xfId="0" applyNumberFormat="1" applyFont="1" applyFill="1" applyBorder="1" applyAlignment="1" applyProtection="1">
      <alignment horizontal="center"/>
      <protection locked="0"/>
    </xf>
    <xf numFmtId="14" fontId="7" fillId="3" borderId="7" xfId="0" applyNumberFormat="1" applyFont="1" applyFill="1" applyBorder="1" applyAlignment="1" applyProtection="1">
      <alignment horizontal="center"/>
      <protection locked="0"/>
    </xf>
    <xf numFmtId="3" fontId="7" fillId="3" borderId="7" xfId="0" applyNumberFormat="1" applyFont="1" applyFill="1" applyBorder="1" applyAlignment="1" applyProtection="1">
      <alignment horizontal="center"/>
      <protection locked="0"/>
    </xf>
    <xf numFmtId="169" fontId="7" fillId="3" borderId="7" xfId="0" applyNumberFormat="1" applyFont="1" applyFill="1" applyBorder="1" applyAlignment="1" applyProtection="1">
      <alignment horizontal="center"/>
      <protection locked="0"/>
    </xf>
    <xf numFmtId="2" fontId="8" fillId="0" borderId="7" xfId="0" applyNumberFormat="1" applyFont="1" applyBorder="1" applyAlignment="1">
      <alignment horizontal="center"/>
    </xf>
    <xf numFmtId="3" fontId="8" fillId="0" borderId="7" xfId="0" applyNumberFormat="1" applyFont="1" applyBorder="1" applyAlignment="1">
      <alignment horizontal="center"/>
    </xf>
    <xf numFmtId="170" fontId="8" fillId="0" borderId="6" xfId="0" applyNumberFormat="1" applyFont="1" applyBorder="1"/>
    <xf numFmtId="170" fontId="8" fillId="0" borderId="7" xfId="0" applyNumberFormat="1" applyFont="1" applyBorder="1"/>
    <xf numFmtId="14" fontId="7" fillId="3" borderId="8" xfId="0" applyNumberFormat="1" applyFont="1" applyFill="1" applyBorder="1" applyAlignment="1" applyProtection="1">
      <alignment horizontal="center"/>
      <protection locked="0"/>
    </xf>
    <xf numFmtId="3" fontId="7" fillId="3" borderId="8" xfId="0" applyNumberFormat="1" applyFont="1" applyFill="1" applyBorder="1" applyAlignment="1" applyProtection="1">
      <alignment horizontal="center"/>
      <protection locked="0"/>
    </xf>
    <xf numFmtId="169" fontId="7" fillId="3" borderId="8" xfId="0" applyNumberFormat="1" applyFont="1" applyFill="1" applyBorder="1" applyAlignment="1" applyProtection="1">
      <alignment horizontal="center"/>
      <protection locked="0"/>
    </xf>
    <xf numFmtId="0" fontId="6" fillId="0" borderId="7" xfId="0" applyFont="1" applyBorder="1"/>
    <xf numFmtId="14" fontId="7" fillId="3" borderId="8" xfId="0" applyNumberFormat="1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169" fontId="9" fillId="3" borderId="8" xfId="0" applyNumberFormat="1" applyFont="1" applyFill="1" applyBorder="1" applyAlignment="1">
      <alignment horizontal="center"/>
    </xf>
    <xf numFmtId="169" fontId="6" fillId="0" borderId="0" xfId="0" applyNumberFormat="1" applyFont="1"/>
    <xf numFmtId="2" fontId="6" fillId="0" borderId="0" xfId="0" applyNumberFormat="1" applyFont="1"/>
    <xf numFmtId="3" fontId="6" fillId="0" borderId="0" xfId="0" applyNumberFormat="1" applyFont="1"/>
    <xf numFmtId="0" fontId="10" fillId="0" borderId="1" xfId="0" applyFont="1" applyBorder="1"/>
    <xf numFmtId="0" fontId="6" fillId="0" borderId="1" xfId="0" applyFont="1" applyBorder="1"/>
    <xf numFmtId="0" fontId="11" fillId="0" borderId="0" xfId="0" applyFont="1"/>
    <xf numFmtId="0" fontId="12" fillId="2" borderId="7" xfId="0" applyFont="1" applyFill="1" applyBorder="1"/>
    <xf numFmtId="0" fontId="0" fillId="0" borderId="7" xfId="0" applyBorder="1"/>
    <xf numFmtId="170" fontId="8" fillId="0" borderId="8" xfId="0" applyNumberFormat="1" applyFont="1" applyBorder="1"/>
    <xf numFmtId="0" fontId="6" fillId="0" borderId="9" xfId="0" applyFont="1" applyBorder="1"/>
    <xf numFmtId="0" fontId="6" fillId="0" borderId="10" xfId="0" applyFont="1" applyBorder="1"/>
    <xf numFmtId="170" fontId="6" fillId="0" borderId="1" xfId="0" applyNumberFormat="1" applyFont="1" applyBorder="1" applyAlignment="1">
      <alignment horizontal="left"/>
    </xf>
    <xf numFmtId="170" fontId="8" fillId="0" borderId="11" xfId="0" applyNumberFormat="1" applyFont="1" applyBorder="1"/>
    <xf numFmtId="170" fontId="13" fillId="0" borderId="1" xfId="0" applyNumberFormat="1" applyFont="1" applyBorder="1"/>
    <xf numFmtId="170" fontId="14" fillId="4" borderId="1" xfId="0" applyNumberFormat="1" applyFont="1" applyFill="1" applyBorder="1"/>
    <xf numFmtId="170" fontId="6" fillId="0" borderId="0" xfId="0" applyNumberFormat="1" applyFont="1"/>
    <xf numFmtId="0" fontId="10" fillId="0" borderId="12" xfId="0" applyFont="1" applyBorder="1" applyAlignment="1">
      <alignment horizontal="center"/>
    </xf>
    <xf numFmtId="0" fontId="10" fillId="0" borderId="12" xfId="0" applyFont="1" applyBorder="1"/>
    <xf numFmtId="0" fontId="8" fillId="0" borderId="13" xfId="0" applyFont="1" applyBorder="1"/>
    <xf numFmtId="0" fontId="13" fillId="0" borderId="12" xfId="0" applyFont="1" applyBorder="1"/>
    <xf numFmtId="0" fontId="6" fillId="0" borderId="12" xfId="0" applyFont="1" applyBorder="1" applyAlignment="1" applyProtection="1">
      <alignment horizontal="justify"/>
      <protection locked="0"/>
    </xf>
    <xf numFmtId="0" fontId="10" fillId="0" borderId="13" xfId="0" applyFont="1" applyBorder="1" applyAlignment="1">
      <alignment horizontal="center"/>
    </xf>
    <xf numFmtId="0" fontId="10" fillId="0" borderId="14" xfId="0" applyFont="1" applyBorder="1"/>
    <xf numFmtId="170" fontId="13" fillId="0" borderId="12" xfId="0" applyNumberFormat="1" applyFont="1" applyBorder="1"/>
    <xf numFmtId="170" fontId="16" fillId="0" borderId="12" xfId="0" applyNumberFormat="1" applyFont="1" applyBorder="1"/>
    <xf numFmtId="0" fontId="10" fillId="0" borderId="2" xfId="0" applyFont="1" applyBorder="1" applyAlignment="1">
      <alignment horizontal="center"/>
    </xf>
    <xf numFmtId="173" fontId="10" fillId="0" borderId="0" xfId="0" applyNumberFormat="1" applyFont="1"/>
    <xf numFmtId="170" fontId="8" fillId="0" borderId="15" xfId="0" applyNumberFormat="1" applyFont="1" applyBorder="1"/>
    <xf numFmtId="170" fontId="13" fillId="0" borderId="3" xfId="0" applyNumberFormat="1" applyFont="1" applyBorder="1"/>
    <xf numFmtId="170" fontId="16" fillId="0" borderId="3" xfId="0" applyNumberFormat="1" applyFont="1" applyBorder="1"/>
    <xf numFmtId="170" fontId="8" fillId="0" borderId="0" xfId="0" applyNumberFormat="1" applyFont="1"/>
    <xf numFmtId="0" fontId="10" fillId="0" borderId="0" xfId="0" applyFont="1"/>
    <xf numFmtId="0" fontId="6" fillId="0" borderId="14" xfId="0" applyFont="1" applyBorder="1" applyAlignment="1" applyProtection="1">
      <alignment horizontal="center"/>
      <protection locked="0"/>
    </xf>
    <xf numFmtId="170" fontId="8" fillId="0" borderId="14" xfId="0" applyNumberFormat="1" applyFont="1" applyBorder="1"/>
    <xf numFmtId="0" fontId="6" fillId="0" borderId="0" xfId="0" applyFont="1" applyAlignment="1" applyProtection="1">
      <alignment horizontal="center"/>
      <protection locked="0"/>
    </xf>
    <xf numFmtId="173" fontId="10" fillId="0" borderId="17" xfId="0" applyNumberFormat="1" applyFont="1" applyBorder="1"/>
    <xf numFmtId="170" fontId="8" fillId="0" borderId="17" xfId="0" applyNumberFormat="1" applyFont="1" applyBorder="1"/>
    <xf numFmtId="170" fontId="13" fillId="0" borderId="18" xfId="0" applyNumberFormat="1" applyFont="1" applyBorder="1"/>
    <xf numFmtId="173" fontId="10" fillId="0" borderId="14" xfId="0" applyNumberFormat="1" applyFont="1" applyBorder="1"/>
    <xf numFmtId="170" fontId="8" fillId="0" borderId="1" xfId="0" applyNumberFormat="1" applyFont="1" applyBorder="1"/>
    <xf numFmtId="170" fontId="13" fillId="0" borderId="11" xfId="0" applyNumberFormat="1" applyFont="1" applyBorder="1"/>
    <xf numFmtId="170" fontId="6" fillId="0" borderId="1" xfId="0" applyNumberFormat="1" applyFont="1" applyBorder="1"/>
    <xf numFmtId="170" fontId="8" fillId="0" borderId="3" xfId="0" applyNumberFormat="1" applyFont="1" applyBorder="1"/>
    <xf numFmtId="170" fontId="10" fillId="0" borderId="0" xfId="0" applyNumberFormat="1" applyFont="1"/>
    <xf numFmtId="0" fontId="7" fillId="0" borderId="0" xfId="0" applyFont="1"/>
    <xf numFmtId="0" fontId="6" fillId="0" borderId="12" xfId="0" applyFont="1" applyBorder="1"/>
    <xf numFmtId="0" fontId="17" fillId="5" borderId="2" xfId="0" applyFont="1" applyFill="1" applyBorder="1" applyAlignment="1">
      <alignment horizontal="left"/>
    </xf>
    <xf numFmtId="0" fontId="17" fillId="5" borderId="12" xfId="0" applyFont="1" applyFill="1" applyBorder="1" applyAlignment="1">
      <alignment horizontal="left"/>
    </xf>
    <xf numFmtId="0" fontId="17" fillId="5" borderId="0" xfId="0" applyFont="1" applyFill="1"/>
    <xf numFmtId="0" fontId="18" fillId="5" borderId="3" xfId="0" applyFont="1" applyFill="1" applyBorder="1"/>
    <xf numFmtId="0" fontId="9" fillId="5" borderId="15" xfId="0" applyFont="1" applyFill="1" applyBorder="1"/>
    <xf numFmtId="170" fontId="7" fillId="5" borderId="12" xfId="0" applyNumberFormat="1" applyFont="1" applyFill="1" applyBorder="1"/>
    <xf numFmtId="0" fontId="10" fillId="0" borderId="14" xfId="0" applyFont="1" applyBorder="1" applyAlignment="1">
      <alignment horizontal="left"/>
    </xf>
    <xf numFmtId="170" fontId="8" fillId="0" borderId="13" xfId="0" applyNumberFormat="1" applyFont="1" applyBorder="1"/>
    <xf numFmtId="17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left"/>
    </xf>
    <xf numFmtId="170" fontId="8" fillId="0" borderId="2" xfId="0" applyNumberFormat="1" applyFont="1" applyBorder="1"/>
    <xf numFmtId="174" fontId="10" fillId="0" borderId="16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7" xfId="0" applyFont="1" applyBorder="1" applyAlignment="1">
      <alignment horizontal="left"/>
    </xf>
    <xf numFmtId="170" fontId="8" fillId="0" borderId="16" xfId="0" applyNumberFormat="1" applyFont="1" applyBorder="1"/>
    <xf numFmtId="174" fontId="10" fillId="0" borderId="13" xfId="0" applyNumberFormat="1" applyFont="1" applyBorder="1" applyAlignment="1">
      <alignment horizontal="center"/>
    </xf>
    <xf numFmtId="16" fontId="10" fillId="0" borderId="12" xfId="0" applyNumberFormat="1" applyFont="1" applyBorder="1" applyAlignment="1">
      <alignment horizontal="center"/>
    </xf>
    <xf numFmtId="170" fontId="8" fillId="0" borderId="18" xfId="0" applyNumberFormat="1" applyFont="1" applyBorder="1"/>
    <xf numFmtId="174" fontId="10" fillId="0" borderId="3" xfId="0" applyNumberFormat="1" applyFont="1" applyBorder="1" applyAlignment="1">
      <alignment horizontal="center"/>
    </xf>
    <xf numFmtId="174" fontId="18" fillId="0" borderId="3" xfId="0" applyNumberFormat="1" applyFont="1" applyBorder="1" applyAlignment="1">
      <alignment horizontal="center"/>
    </xf>
    <xf numFmtId="0" fontId="18" fillId="0" borderId="0" xfId="0" applyFont="1"/>
    <xf numFmtId="170" fontId="18" fillId="0" borderId="2" xfId="0" applyNumberFormat="1" applyFont="1" applyBorder="1"/>
    <xf numFmtId="170" fontId="18" fillId="0" borderId="3" xfId="0" applyNumberFormat="1" applyFont="1" applyBorder="1"/>
    <xf numFmtId="174" fontId="10" fillId="0" borderId="12" xfId="0" applyNumberFormat="1" applyFont="1" applyBorder="1" applyAlignment="1">
      <alignment horizontal="center"/>
    </xf>
    <xf numFmtId="0" fontId="6" fillId="0" borderId="14" xfId="0" applyFont="1" applyBorder="1"/>
    <xf numFmtId="170" fontId="8" fillId="0" borderId="12" xfId="0" applyNumberFormat="1" applyFont="1" applyBorder="1"/>
    <xf numFmtId="170" fontId="13" fillId="0" borderId="20" xfId="0" applyNumberFormat="1" applyFont="1" applyBorder="1"/>
    <xf numFmtId="174" fontId="10" fillId="0" borderId="18" xfId="0" applyNumberFormat="1" applyFont="1" applyBorder="1" applyAlignment="1">
      <alignment horizontal="center"/>
    </xf>
    <xf numFmtId="0" fontId="6" fillId="0" borderId="17" xfId="0" applyFont="1" applyBorder="1"/>
    <xf numFmtId="170" fontId="13" fillId="0" borderId="19" xfId="0" applyNumberFormat="1" applyFont="1" applyBorder="1"/>
    <xf numFmtId="170" fontId="13" fillId="0" borderId="15" xfId="0" applyNumberFormat="1" applyFont="1" applyBorder="1"/>
    <xf numFmtId="174" fontId="10" fillId="0" borderId="21" xfId="0" applyNumberFormat="1" applyFont="1" applyBorder="1" applyAlignment="1">
      <alignment horizontal="center"/>
    </xf>
    <xf numFmtId="0" fontId="6" fillId="0" borderId="22" xfId="0" applyFont="1" applyBorder="1"/>
    <xf numFmtId="170" fontId="8" fillId="0" borderId="23" xfId="0" applyNumberFormat="1" applyFont="1" applyBorder="1"/>
    <xf numFmtId="170" fontId="13" fillId="0" borderId="24" xfId="0" applyNumberFormat="1" applyFont="1" applyBorder="1"/>
    <xf numFmtId="174" fontId="10" fillId="0" borderId="25" xfId="0" applyNumberFormat="1" applyFont="1" applyBorder="1" applyAlignment="1">
      <alignment horizontal="center"/>
    </xf>
    <xf numFmtId="170" fontId="13" fillId="0" borderId="26" xfId="0" applyNumberFormat="1" applyFont="1" applyBorder="1"/>
    <xf numFmtId="174" fontId="10" fillId="0" borderId="27" xfId="0" applyNumberFormat="1" applyFont="1" applyBorder="1" applyAlignment="1">
      <alignment horizontal="center"/>
    </xf>
    <xf numFmtId="170" fontId="8" fillId="0" borderId="28" xfId="0" applyNumberFormat="1" applyFont="1" applyBorder="1"/>
    <xf numFmtId="170" fontId="13" fillId="0" borderId="29" xfId="0" applyNumberFormat="1" applyFont="1" applyBorder="1"/>
    <xf numFmtId="174" fontId="10" fillId="0" borderId="30" xfId="0" applyNumberFormat="1" applyFont="1" applyBorder="1" applyAlignment="1">
      <alignment horizontal="center"/>
    </xf>
    <xf numFmtId="0" fontId="6" fillId="0" borderId="31" xfId="0" applyFont="1" applyBorder="1"/>
    <xf numFmtId="170" fontId="8" fillId="0" borderId="32" xfId="0" applyNumberFormat="1" applyFont="1" applyBorder="1"/>
    <xf numFmtId="174" fontId="10" fillId="0" borderId="33" xfId="0" applyNumberFormat="1" applyFont="1" applyBorder="1" applyAlignment="1">
      <alignment horizontal="center"/>
    </xf>
    <xf numFmtId="170" fontId="13" fillId="0" borderId="34" xfId="0" applyNumberFormat="1" applyFont="1" applyBorder="1"/>
    <xf numFmtId="170" fontId="8" fillId="0" borderId="35" xfId="0" applyNumberFormat="1" applyFont="1" applyBorder="1"/>
    <xf numFmtId="176" fontId="6" fillId="0" borderId="0" xfId="0" applyNumberFormat="1" applyFont="1"/>
    <xf numFmtId="0" fontId="10" fillId="0" borderId="3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6" xfId="0" applyFont="1" applyBorder="1"/>
    <xf numFmtId="170" fontId="13" fillId="4" borderId="18" xfId="0" applyNumberFormat="1" applyFont="1" applyFill="1" applyBorder="1"/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70" fontId="6" fillId="0" borderId="15" xfId="0" applyNumberFormat="1" applyFont="1" applyBorder="1" applyProtection="1">
      <protection locked="0"/>
    </xf>
    <xf numFmtId="0" fontId="7" fillId="0" borderId="12" xfId="0" applyFont="1" applyBorder="1"/>
    <xf numFmtId="173" fontId="6" fillId="0" borderId="1" xfId="0" applyNumberFormat="1" applyFont="1" applyBorder="1"/>
    <xf numFmtId="174" fontId="10" fillId="0" borderId="14" xfId="0" applyNumberFormat="1" applyFont="1" applyBorder="1" applyAlignment="1">
      <alignment horizontal="center"/>
    </xf>
    <xf numFmtId="174" fontId="10" fillId="0" borderId="0" xfId="0" applyNumberFormat="1" applyFont="1" applyAlignment="1">
      <alignment horizontal="center"/>
    </xf>
    <xf numFmtId="0" fontId="6" fillId="0" borderId="3" xfId="0" applyFont="1" applyBorder="1"/>
    <xf numFmtId="170" fontId="18" fillId="0" borderId="0" xfId="0" applyNumberFormat="1" applyFont="1"/>
    <xf numFmtId="0" fontId="6" fillId="0" borderId="15" xfId="0" applyFont="1" applyBorder="1"/>
    <xf numFmtId="174" fontId="10" fillId="0" borderId="36" xfId="0" applyNumberFormat="1" applyFont="1" applyBorder="1" applyAlignment="1">
      <alignment horizontal="center"/>
    </xf>
    <xf numFmtId="174" fontId="10" fillId="0" borderId="38" xfId="0" applyNumberFormat="1" applyFont="1" applyBorder="1" applyAlignment="1">
      <alignment horizontal="center"/>
    </xf>
    <xf numFmtId="174" fontId="18" fillId="0" borderId="38" xfId="0" applyNumberFormat="1" applyFont="1" applyBorder="1" applyAlignment="1">
      <alignment horizontal="center"/>
    </xf>
    <xf numFmtId="170" fontId="18" fillId="0" borderId="22" xfId="0" applyNumberFormat="1" applyFont="1" applyBorder="1"/>
    <xf numFmtId="170" fontId="18" fillId="0" borderId="40" xfId="0" applyNumberFormat="1" applyFont="1" applyBorder="1"/>
    <xf numFmtId="0" fontId="6" fillId="0" borderId="3" xfId="0" applyFont="1" applyBorder="1" applyAlignment="1" applyProtection="1">
      <alignment horizontal="center"/>
      <protection locked="0"/>
    </xf>
    <xf numFmtId="170" fontId="13" fillId="0" borderId="0" xfId="0" applyNumberFormat="1" applyFont="1"/>
    <xf numFmtId="174" fontId="10" fillId="0" borderId="5" xfId="0" applyNumberFormat="1" applyFont="1" applyBorder="1" applyAlignment="1">
      <alignment horizontal="center"/>
    </xf>
    <xf numFmtId="170" fontId="13" fillId="0" borderId="5" xfId="0" applyNumberFormat="1" applyFont="1" applyBorder="1"/>
    <xf numFmtId="174" fontId="10" fillId="0" borderId="41" xfId="0" applyNumberFormat="1" applyFont="1" applyBorder="1" applyAlignment="1">
      <alignment horizontal="center"/>
    </xf>
    <xf numFmtId="0" fontId="6" fillId="0" borderId="41" xfId="0" applyFont="1" applyBorder="1"/>
    <xf numFmtId="170" fontId="13" fillId="0" borderId="41" xfId="0" applyNumberFormat="1" applyFont="1" applyBorder="1"/>
    <xf numFmtId="0" fontId="18" fillId="0" borderId="41" xfId="0" applyFont="1" applyBorder="1"/>
    <xf numFmtId="170" fontId="18" fillId="0" borderId="41" xfId="0" applyNumberFormat="1" applyFont="1" applyBorder="1"/>
    <xf numFmtId="0" fontId="9" fillId="0" borderId="41" xfId="0" applyFont="1" applyBorder="1"/>
    <xf numFmtId="170" fontId="9" fillId="0" borderId="0" xfId="0" applyNumberFormat="1" applyFont="1"/>
    <xf numFmtId="170" fontId="9" fillId="0" borderId="41" xfId="0" applyNumberFormat="1" applyFont="1" applyBorder="1"/>
    <xf numFmtId="170" fontId="9" fillId="4" borderId="41" xfId="0" applyNumberFormat="1" applyFont="1" applyFill="1" applyBorder="1"/>
    <xf numFmtId="0" fontId="10" fillId="0" borderId="15" xfId="0" applyFont="1" applyBorder="1"/>
    <xf numFmtId="0" fontId="18" fillId="0" borderId="5" xfId="0" applyFont="1" applyBorder="1"/>
    <xf numFmtId="0" fontId="18" fillId="0" borderId="8" xfId="0" applyFont="1" applyBorder="1"/>
    <xf numFmtId="174" fontId="10" fillId="0" borderId="43" xfId="0" applyNumberFormat="1" applyFont="1" applyBorder="1" applyAlignment="1">
      <alignment horizontal="center"/>
    </xf>
    <xf numFmtId="170" fontId="13" fillId="0" borderId="44" xfId="0" applyNumberFormat="1" applyFont="1" applyBorder="1"/>
    <xf numFmtId="174" fontId="18" fillId="0" borderId="41" xfId="0" applyNumberFormat="1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178" fontId="6" fillId="0" borderId="0" xfId="0" applyNumberFormat="1" applyFont="1"/>
    <xf numFmtId="170" fontId="13" fillId="0" borderId="25" xfId="0" applyNumberFormat="1" applyFont="1" applyBorder="1"/>
    <xf numFmtId="171" fontId="6" fillId="0" borderId="0" xfId="0" applyNumberFormat="1" applyFont="1"/>
    <xf numFmtId="171" fontId="6" fillId="0" borderId="0" xfId="4" applyFont="1"/>
    <xf numFmtId="16" fontId="6" fillId="0" borderId="0" xfId="0" applyNumberFormat="1" applyFont="1"/>
    <xf numFmtId="179" fontId="6" fillId="0" borderId="0" xfId="0" applyNumberFormat="1" applyFont="1"/>
    <xf numFmtId="174" fontId="18" fillId="0" borderId="43" xfId="0" applyNumberFormat="1" applyFont="1" applyBorder="1" applyAlignment="1">
      <alignment horizontal="center"/>
    </xf>
    <xf numFmtId="16" fontId="6" fillId="0" borderId="41" xfId="0" applyNumberFormat="1" applyFont="1" applyBorder="1"/>
    <xf numFmtId="0" fontId="8" fillId="4" borderId="3" xfId="0" applyFont="1" applyFill="1" applyBorder="1" applyAlignment="1">
      <alignment horizontal="center"/>
    </xf>
    <xf numFmtId="0" fontId="18" fillId="4" borderId="3" xfId="0" applyFont="1" applyFill="1" applyBorder="1"/>
    <xf numFmtId="0" fontId="10" fillId="0" borderId="8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45" xfId="0" applyFont="1" applyBorder="1"/>
    <xf numFmtId="170" fontId="8" fillId="4" borderId="28" xfId="0" applyNumberFormat="1" applyFont="1" applyFill="1" applyBorder="1"/>
    <xf numFmtId="170" fontId="13" fillId="4" borderId="46" xfId="0" applyNumberFormat="1" applyFont="1" applyFill="1" applyBorder="1"/>
    <xf numFmtId="0" fontId="6" fillId="0" borderId="18" xfId="0" applyFont="1" applyBorder="1" applyProtection="1">
      <protection locked="0"/>
    </xf>
    <xf numFmtId="170" fontId="14" fillId="4" borderId="15" xfId="0" applyNumberFormat="1" applyFont="1" applyFill="1" applyBorder="1"/>
    <xf numFmtId="0" fontId="6" fillId="0" borderId="0" xfId="0" applyFont="1" applyProtection="1">
      <protection locked="0"/>
    </xf>
    <xf numFmtId="170" fontId="14" fillId="4" borderId="7" xfId="0" applyNumberFormat="1" applyFont="1" applyFill="1" applyBorder="1"/>
    <xf numFmtId="170" fontId="10" fillId="0" borderId="7" xfId="0" applyNumberFormat="1" applyFont="1" applyBorder="1"/>
    <xf numFmtId="0" fontId="6" fillId="0" borderId="1" xfId="0" applyFont="1" applyBorder="1" applyAlignment="1">
      <alignment horizontal="left"/>
    </xf>
    <xf numFmtId="0" fontId="8" fillId="4" borderId="3" xfId="0" applyFont="1" applyFill="1" applyBorder="1"/>
    <xf numFmtId="10" fontId="6" fillId="0" borderId="1" xfId="0" applyNumberFormat="1" applyFont="1" applyBorder="1" applyAlignment="1">
      <alignment horizontal="left"/>
    </xf>
    <xf numFmtId="170" fontId="6" fillId="0" borderId="18" xfId="0" applyNumberFormat="1" applyFont="1" applyBorder="1"/>
    <xf numFmtId="170" fontId="9" fillId="0" borderId="18" xfId="0" applyNumberFormat="1" applyFont="1" applyBorder="1"/>
    <xf numFmtId="0" fontId="8" fillId="0" borderId="12" xfId="0" applyFont="1" applyBorder="1"/>
    <xf numFmtId="0" fontId="13" fillId="0" borderId="20" xfId="0" applyFont="1" applyBorder="1"/>
    <xf numFmtId="0" fontId="15" fillId="0" borderId="12" xfId="0" applyFont="1" applyBorder="1"/>
    <xf numFmtId="0" fontId="6" fillId="0" borderId="18" xfId="0" applyFont="1" applyBorder="1" applyAlignment="1" applyProtection="1">
      <alignment horizontal="center"/>
      <protection locked="0"/>
    </xf>
    <xf numFmtId="170" fontId="16" fillId="0" borderId="18" xfId="0" applyNumberFormat="1" applyFont="1" applyBorder="1"/>
    <xf numFmtId="0" fontId="10" fillId="0" borderId="9" xfId="0" applyFont="1" applyBorder="1"/>
    <xf numFmtId="170" fontId="8" fillId="4" borderId="18" xfId="0" applyNumberFormat="1" applyFont="1" applyFill="1" applyBorder="1"/>
    <xf numFmtId="170" fontId="13" fillId="4" borderId="1" xfId="0" applyNumberFormat="1" applyFont="1" applyFill="1" applyBorder="1"/>
    <xf numFmtId="170" fontId="9" fillId="0" borderId="1" xfId="0" applyNumberFormat="1" applyFont="1" applyBorder="1"/>
    <xf numFmtId="0" fontId="10" fillId="0" borderId="13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170" fontId="9" fillId="0" borderId="3" xfId="0" applyNumberFormat="1" applyFont="1" applyBorder="1"/>
    <xf numFmtId="174" fontId="10" fillId="0" borderId="20" xfId="0" applyNumberFormat="1" applyFont="1" applyBorder="1" applyAlignment="1">
      <alignment horizontal="center"/>
    </xf>
    <xf numFmtId="174" fontId="10" fillId="0" borderId="15" xfId="0" applyNumberFormat="1" applyFont="1" applyBorder="1" applyAlignment="1">
      <alignment horizontal="center"/>
    </xf>
    <xf numFmtId="174" fontId="10" fillId="0" borderId="19" xfId="0" applyNumberFormat="1" applyFont="1" applyBorder="1" applyAlignment="1">
      <alignment horizontal="center"/>
    </xf>
    <xf numFmtId="174" fontId="10" fillId="0" borderId="47" xfId="0" applyNumberFormat="1" applyFont="1" applyBorder="1" applyAlignment="1">
      <alignment horizontal="center"/>
    </xf>
    <xf numFmtId="0" fontId="6" fillId="0" borderId="28" xfId="0" applyFont="1" applyBorder="1"/>
    <xf numFmtId="170" fontId="8" fillId="0" borderId="5" xfId="0" applyNumberFormat="1" applyFont="1" applyBorder="1"/>
    <xf numFmtId="170" fontId="8" fillId="0" borderId="41" xfId="0" applyNumberFormat="1" applyFont="1" applyBorder="1"/>
    <xf numFmtId="174" fontId="10" fillId="0" borderId="8" xfId="0" applyNumberFormat="1" applyFont="1" applyBorder="1" applyAlignment="1">
      <alignment horizontal="center"/>
    </xf>
    <xf numFmtId="170" fontId="13" fillId="0" borderId="8" xfId="0" applyNumberFormat="1" applyFont="1" applyBorder="1"/>
    <xf numFmtId="0" fontId="6" fillId="0" borderId="9" xfId="0" applyFont="1" applyBorder="1" applyProtection="1">
      <protection locked="0"/>
    </xf>
    <xf numFmtId="0" fontId="18" fillId="4" borderId="3" xfId="0" applyFont="1" applyFill="1" applyBorder="1" applyAlignment="1">
      <alignment horizontal="center" vertical="center"/>
    </xf>
    <xf numFmtId="0" fontId="7" fillId="5" borderId="7" xfId="0" applyFont="1" applyFill="1" applyBorder="1"/>
    <xf numFmtId="0" fontId="7" fillId="5" borderId="49" xfId="0" applyFont="1" applyFill="1" applyBorder="1"/>
    <xf numFmtId="0" fontId="7" fillId="5" borderId="50" xfId="0" applyFont="1" applyFill="1" applyBorder="1"/>
    <xf numFmtId="180" fontId="22" fillId="0" borderId="8" xfId="0" applyNumberFormat="1" applyFont="1" applyBorder="1"/>
    <xf numFmtId="181" fontId="22" fillId="0" borderId="40" xfId="0" applyNumberFormat="1" applyFont="1" applyBorder="1"/>
    <xf numFmtId="181" fontId="22" fillId="0" borderId="8" xfId="0" applyNumberFormat="1" applyFont="1" applyBorder="1"/>
    <xf numFmtId="181" fontId="22" fillId="0" borderId="50" xfId="0" applyNumberFormat="1" applyFont="1" applyBorder="1"/>
    <xf numFmtId="180" fontId="22" fillId="0" borderId="7" xfId="0" applyNumberFormat="1" applyFont="1" applyBorder="1"/>
    <xf numFmtId="181" fontId="22" fillId="0" borderId="49" xfId="0" applyNumberFormat="1" applyFont="1" applyBorder="1"/>
    <xf numFmtId="181" fontId="22" fillId="0" borderId="7" xfId="0" applyNumberFormat="1" applyFont="1" applyBorder="1"/>
    <xf numFmtId="180" fontId="22" fillId="0" borderId="0" xfId="0" applyNumberFormat="1" applyFont="1"/>
    <xf numFmtId="181" fontId="22" fillId="0" borderId="0" xfId="0" applyNumberFormat="1" applyFont="1"/>
    <xf numFmtId="0" fontId="7" fillId="5" borderId="1" xfId="0" applyFont="1" applyFill="1" applyBorder="1"/>
    <xf numFmtId="0" fontId="23" fillId="0" borderId="1" xfId="0" applyFont="1" applyBorder="1"/>
    <xf numFmtId="181" fontId="23" fillId="0" borderId="1" xfId="0" applyNumberFormat="1" applyFont="1" applyBorder="1"/>
    <xf numFmtId="181" fontId="23" fillId="0" borderId="9" xfId="0" applyNumberFormat="1" applyFont="1" applyBorder="1"/>
    <xf numFmtId="0" fontId="24" fillId="0" borderId="1" xfId="0" applyFont="1" applyBorder="1"/>
    <xf numFmtId="181" fontId="24" fillId="0" borderId="1" xfId="0" applyNumberFormat="1" applyFont="1" applyBorder="1"/>
    <xf numFmtId="181" fontId="24" fillId="0" borderId="9" xfId="0" applyNumberFormat="1" applyFont="1" applyBorder="1"/>
    <xf numFmtId="182" fontId="6" fillId="0" borderId="0" xfId="0" applyNumberFormat="1" applyFont="1"/>
    <xf numFmtId="0" fontId="10" fillId="0" borderId="20" xfId="0" applyFont="1" applyBorder="1"/>
    <xf numFmtId="170" fontId="6" fillId="0" borderId="12" xfId="0" applyNumberFormat="1" applyFont="1" applyBorder="1"/>
    <xf numFmtId="170" fontId="6" fillId="0" borderId="3" xfId="0" applyNumberFormat="1" applyFont="1" applyBorder="1"/>
    <xf numFmtId="174" fontId="9" fillId="4" borderId="2" xfId="0" applyNumberFormat="1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15" xfId="0" applyFont="1" applyFill="1" applyBorder="1"/>
    <xf numFmtId="170" fontId="9" fillId="4" borderId="3" xfId="0" applyNumberFormat="1" applyFont="1" applyFill="1" applyBorder="1"/>
    <xf numFmtId="0" fontId="10" fillId="0" borderId="19" xfId="0" applyFont="1" applyBorder="1"/>
    <xf numFmtId="170" fontId="13" fillId="0" borderId="13" xfId="0" applyNumberFormat="1" applyFont="1" applyBorder="1"/>
    <xf numFmtId="170" fontId="13" fillId="0" borderId="2" xfId="0" applyNumberFormat="1" applyFont="1" applyBorder="1"/>
    <xf numFmtId="170" fontId="9" fillId="4" borderId="2" xfId="0" applyNumberFormat="1" applyFont="1" applyFill="1" applyBorder="1"/>
    <xf numFmtId="170" fontId="6" fillId="0" borderId="20" xfId="0" applyNumberFormat="1" applyFont="1" applyBorder="1"/>
    <xf numFmtId="0" fontId="18" fillId="0" borderId="3" xfId="0" applyFont="1" applyBorder="1" applyAlignment="1">
      <alignment horizontal="center"/>
    </xf>
    <xf numFmtId="0" fontId="18" fillId="0" borderId="15" xfId="0" applyFont="1" applyBorder="1"/>
    <xf numFmtId="0" fontId="10" fillId="0" borderId="5" xfId="0" applyFont="1" applyBorder="1" applyAlignment="1">
      <alignment horizontal="center"/>
    </xf>
    <xf numFmtId="0" fontId="10" fillId="0" borderId="51" xfId="0" applyFont="1" applyBorder="1"/>
    <xf numFmtId="170" fontId="13" fillId="0" borderId="52" xfId="0" applyNumberFormat="1" applyFont="1" applyBorder="1"/>
    <xf numFmtId="170" fontId="6" fillId="0" borderId="5" xfId="0" applyNumberFormat="1" applyFont="1" applyBorder="1"/>
    <xf numFmtId="0" fontId="10" fillId="0" borderId="41" xfId="0" applyFont="1" applyBorder="1" applyAlignment="1">
      <alignment horizontal="center"/>
    </xf>
    <xf numFmtId="170" fontId="6" fillId="0" borderId="41" xfId="0" applyNumberFormat="1" applyFont="1" applyBorder="1"/>
    <xf numFmtId="174" fontId="9" fillId="4" borderId="25" xfId="0" applyNumberFormat="1" applyFont="1" applyFill="1" applyBorder="1" applyAlignment="1">
      <alignment horizontal="center"/>
    </xf>
    <xf numFmtId="0" fontId="9" fillId="4" borderId="41" xfId="0" applyFont="1" applyFill="1" applyBorder="1" applyAlignment="1">
      <alignment horizontal="center"/>
    </xf>
    <xf numFmtId="0" fontId="10" fillId="0" borderId="53" xfId="0" applyFont="1" applyBorder="1"/>
    <xf numFmtId="170" fontId="13" fillId="0" borderId="45" xfId="0" applyNumberFormat="1" applyFont="1" applyBorder="1"/>
    <xf numFmtId="170" fontId="6" fillId="0" borderId="8" xfId="0" applyNumberFormat="1" applyFont="1" applyBorder="1"/>
    <xf numFmtId="0" fontId="10" fillId="0" borderId="23" xfId="0" applyFont="1" applyBorder="1" applyAlignment="1">
      <alignment horizontal="center"/>
    </xf>
    <xf numFmtId="170" fontId="13" fillId="0" borderId="23" xfId="0" applyNumberFormat="1" applyFont="1" applyBorder="1"/>
    <xf numFmtId="170" fontId="6" fillId="0" borderId="37" xfId="0" applyNumberFormat="1" applyFont="1" applyBorder="1"/>
    <xf numFmtId="170" fontId="6" fillId="0" borderId="39" xfId="0" applyNumberFormat="1" applyFont="1" applyBorder="1"/>
    <xf numFmtId="170" fontId="9" fillId="4" borderId="39" xfId="0" applyNumberFormat="1" applyFont="1" applyFill="1" applyBorder="1"/>
    <xf numFmtId="0" fontId="10" fillId="0" borderId="28" xfId="0" applyFont="1" applyBorder="1" applyAlignment="1">
      <alignment horizontal="center"/>
    </xf>
    <xf numFmtId="170" fontId="13" fillId="0" borderId="28" xfId="0" applyNumberFormat="1" applyFont="1" applyBorder="1"/>
    <xf numFmtId="170" fontId="6" fillId="0" borderId="46" xfId="0" applyNumberFormat="1" applyFont="1" applyBorder="1"/>
    <xf numFmtId="0" fontId="10" fillId="0" borderId="3" xfId="0" applyFont="1" applyBorder="1"/>
    <xf numFmtId="173" fontId="10" fillId="0" borderId="51" xfId="0" applyNumberFormat="1" applyFont="1" applyBorder="1"/>
    <xf numFmtId="170" fontId="18" fillId="0" borderId="39" xfId="0" applyNumberFormat="1" applyFont="1" applyBorder="1"/>
    <xf numFmtId="174" fontId="10" fillId="0" borderId="54" xfId="0" applyNumberFormat="1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170" fontId="13" fillId="0" borderId="55" xfId="0" applyNumberFormat="1" applyFont="1" applyBorder="1"/>
    <xf numFmtId="170" fontId="6" fillId="0" borderId="56" xfId="0" applyNumberFormat="1" applyFont="1" applyBorder="1"/>
    <xf numFmtId="174" fontId="10" fillId="0" borderId="57" xfId="0" applyNumberFormat="1" applyFont="1" applyBorder="1" applyAlignment="1">
      <alignment horizontal="center"/>
    </xf>
    <xf numFmtId="170" fontId="6" fillId="0" borderId="58" xfId="0" applyNumberFormat="1" applyFont="1" applyBorder="1"/>
    <xf numFmtId="174" fontId="9" fillId="4" borderId="33" xfId="0" applyNumberFormat="1" applyFont="1" applyFill="1" applyBorder="1" applyAlignment="1">
      <alignment horizontal="center"/>
    </xf>
    <xf numFmtId="170" fontId="9" fillId="4" borderId="58" xfId="0" applyNumberFormat="1" applyFont="1" applyFill="1" applyBorder="1"/>
    <xf numFmtId="174" fontId="10" fillId="0" borderId="59" xfId="0" applyNumberFormat="1" applyFont="1" applyBorder="1" applyAlignment="1">
      <alignment horizontal="center"/>
    </xf>
    <xf numFmtId="0" fontId="10" fillId="0" borderId="60" xfId="0" applyFont="1" applyBorder="1"/>
    <xf numFmtId="170" fontId="13" fillId="0" borderId="61" xfId="0" applyNumberFormat="1" applyFont="1" applyBorder="1"/>
    <xf numFmtId="170" fontId="6" fillId="0" borderId="62" xfId="0" applyNumberFormat="1" applyFont="1" applyBorder="1"/>
    <xf numFmtId="0" fontId="10" fillId="0" borderId="63" xfId="0" applyFont="1" applyBorder="1"/>
    <xf numFmtId="170" fontId="6" fillId="0" borderId="42" xfId="0" applyNumberFormat="1" applyFont="1" applyBorder="1"/>
    <xf numFmtId="170" fontId="6" fillId="0" borderId="44" xfId="0" applyNumberFormat="1" applyFont="1" applyBorder="1"/>
    <xf numFmtId="170" fontId="9" fillId="4" borderId="64" xfId="0" applyNumberFormat="1" applyFont="1" applyFill="1" applyBorder="1"/>
    <xf numFmtId="14" fontId="18" fillId="0" borderId="41" xfId="0" applyNumberFormat="1" applyFont="1" applyBorder="1" applyAlignment="1">
      <alignment horizontal="center"/>
    </xf>
    <xf numFmtId="0" fontId="18" fillId="0" borderId="41" xfId="0" applyFont="1" applyBorder="1" applyAlignment="1">
      <alignment horizontal="center"/>
    </xf>
    <xf numFmtId="14" fontId="9" fillId="0" borderId="41" xfId="0" applyNumberFormat="1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174" fontId="10" fillId="5" borderId="25" xfId="0" applyNumberFormat="1" applyFont="1" applyFill="1" applyBorder="1" applyAlignment="1">
      <alignment horizontal="center"/>
    </xf>
    <xf numFmtId="0" fontId="10" fillId="5" borderId="41" xfId="0" applyFont="1" applyFill="1" applyBorder="1" applyAlignment="1">
      <alignment horizontal="center"/>
    </xf>
    <xf numFmtId="0" fontId="10" fillId="5" borderId="0" xfId="0" applyFont="1" applyFill="1"/>
    <xf numFmtId="170" fontId="8" fillId="5" borderId="41" xfId="0" applyNumberFormat="1" applyFont="1" applyFill="1" applyBorder="1"/>
    <xf numFmtId="170" fontId="13" fillId="5" borderId="41" xfId="0" applyNumberFormat="1" applyFont="1" applyFill="1" applyBorder="1"/>
    <xf numFmtId="174" fontId="10" fillId="5" borderId="41" xfId="0" applyNumberFormat="1" applyFont="1" applyFill="1" applyBorder="1" applyAlignment="1">
      <alignment horizontal="center"/>
    </xf>
    <xf numFmtId="170" fontId="6" fillId="0" borderId="25" xfId="0" applyNumberFormat="1" applyFont="1" applyBorder="1"/>
    <xf numFmtId="183" fontId="18" fillId="0" borderId="41" xfId="0" applyNumberFormat="1" applyFont="1" applyBorder="1" applyAlignment="1">
      <alignment horizontal="center"/>
    </xf>
    <xf numFmtId="170" fontId="25" fillId="0" borderId="44" xfId="0" applyNumberFormat="1" applyFont="1" applyBorder="1"/>
    <xf numFmtId="173" fontId="10" fillId="0" borderId="63" xfId="0" applyNumberFormat="1" applyFont="1" applyBorder="1"/>
    <xf numFmtId="0" fontId="17" fillId="0" borderId="3" xfId="0" applyFont="1" applyBorder="1" applyAlignment="1">
      <alignment horizontal="center"/>
    </xf>
    <xf numFmtId="174" fontId="10" fillId="5" borderId="57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0" fillId="5" borderId="15" xfId="0" applyFont="1" applyFill="1" applyBorder="1"/>
    <xf numFmtId="170" fontId="8" fillId="5" borderId="3" xfId="0" applyNumberFormat="1" applyFont="1" applyFill="1" applyBorder="1"/>
    <xf numFmtId="170" fontId="13" fillId="5" borderId="2" xfId="0" applyNumberFormat="1" applyFont="1" applyFill="1" applyBorder="1"/>
    <xf numFmtId="170" fontId="6" fillId="5" borderId="58" xfId="0" applyNumberFormat="1" applyFont="1" applyFill="1" applyBorder="1"/>
    <xf numFmtId="0" fontId="10" fillId="5" borderId="3" xfId="0" applyFont="1" applyFill="1" applyBorder="1" applyAlignment="1">
      <alignment horizontal="center"/>
    </xf>
    <xf numFmtId="170" fontId="26" fillId="0" borderId="58" xfId="0" applyNumberFormat="1" applyFont="1" applyBorder="1"/>
    <xf numFmtId="170" fontId="7" fillId="0" borderId="58" xfId="0" applyNumberFormat="1" applyFont="1" applyBorder="1"/>
    <xf numFmtId="174" fontId="17" fillId="0" borderId="0" xfId="0" applyNumberFormat="1" applyFont="1" applyAlignment="1">
      <alignment horizontal="center"/>
    </xf>
    <xf numFmtId="174" fontId="10" fillId="5" borderId="15" xfId="0" applyNumberFormat="1" applyFont="1" applyFill="1" applyBorder="1" applyAlignment="1">
      <alignment horizontal="center"/>
    </xf>
    <xf numFmtId="173" fontId="10" fillId="0" borderId="15" xfId="0" applyNumberFormat="1" applyFont="1" applyBorder="1"/>
    <xf numFmtId="170" fontId="6" fillId="0" borderId="15" xfId="0" applyNumberFormat="1" applyFont="1" applyBorder="1"/>
    <xf numFmtId="170" fontId="27" fillId="4" borderId="9" xfId="0" applyNumberFormat="1" applyFont="1" applyFill="1" applyBorder="1"/>
    <xf numFmtId="182" fontId="6" fillId="0" borderId="1" xfId="0" applyNumberFormat="1" applyFont="1" applyBorder="1"/>
    <xf numFmtId="170" fontId="10" fillId="0" borderId="0" xfId="0" applyNumberFormat="1" applyFont="1" applyAlignment="1">
      <alignment horizontal="left"/>
    </xf>
    <xf numFmtId="184" fontId="10" fillId="0" borderId="0" xfId="0" applyNumberFormat="1" applyFont="1"/>
    <xf numFmtId="0" fontId="6" fillId="0" borderId="35" xfId="0" applyFont="1" applyBorder="1"/>
    <xf numFmtId="174" fontId="10" fillId="5" borderId="2" xfId="0" applyNumberFormat="1" applyFont="1" applyFill="1" applyBorder="1" applyAlignment="1">
      <alignment horizontal="center"/>
    </xf>
    <xf numFmtId="170" fontId="13" fillId="5" borderId="0" xfId="0" applyNumberFormat="1" applyFont="1" applyFill="1"/>
    <xf numFmtId="170" fontId="13" fillId="0" borderId="14" xfId="0" applyNumberFormat="1" applyFont="1" applyBorder="1"/>
    <xf numFmtId="174" fontId="22" fillId="0" borderId="2" xfId="0" applyNumberFormat="1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5" xfId="0" applyFont="1" applyBorder="1"/>
    <xf numFmtId="0" fontId="10" fillId="0" borderId="2" xfId="0" applyFont="1" applyBorder="1" applyAlignment="1">
      <alignment horizontal="left"/>
    </xf>
    <xf numFmtId="174" fontId="22" fillId="0" borderId="13" xfId="0" applyNumberFormat="1" applyFont="1" applyBorder="1" applyAlignment="1">
      <alignment horizontal="center"/>
    </xf>
    <xf numFmtId="174" fontId="6" fillId="0" borderId="2" xfId="0" applyNumberFormat="1" applyFont="1" applyBorder="1" applyAlignment="1">
      <alignment horizontal="center"/>
    </xf>
    <xf numFmtId="0" fontId="10" fillId="5" borderId="0" xfId="0" applyFont="1" applyFill="1" applyAlignment="1">
      <alignment horizontal="left"/>
    </xf>
    <xf numFmtId="0" fontId="10" fillId="0" borderId="3" xfId="0" applyFont="1" applyBorder="1" applyAlignment="1">
      <alignment horizontal="left"/>
    </xf>
    <xf numFmtId="174" fontId="10" fillId="5" borderId="16" xfId="0" applyNumberFormat="1" applyFont="1" applyFill="1" applyBorder="1" applyAlignment="1">
      <alignment horizontal="center"/>
    </xf>
    <xf numFmtId="0" fontId="10" fillId="5" borderId="18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left"/>
    </xf>
    <xf numFmtId="170" fontId="8" fillId="5" borderId="18" xfId="0" applyNumberFormat="1" applyFont="1" applyFill="1" applyBorder="1"/>
    <xf numFmtId="170" fontId="13" fillId="5" borderId="17" xfId="0" applyNumberFormat="1" applyFont="1" applyFill="1" applyBorder="1"/>
    <xf numFmtId="180" fontId="28" fillId="0" borderId="3" xfId="0" applyNumberFormat="1" applyFont="1" applyBorder="1" applyAlignment="1">
      <alignment horizontal="left"/>
    </xf>
    <xf numFmtId="170" fontId="13" fillId="5" borderId="15" xfId="0" applyNumberFormat="1" applyFont="1" applyFill="1" applyBorder="1"/>
    <xf numFmtId="174" fontId="29" fillId="0" borderId="2" xfId="0" applyNumberFormat="1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0" xfId="0" applyFont="1"/>
    <xf numFmtId="170" fontId="29" fillId="0" borderId="3" xfId="0" applyNumberFormat="1" applyFont="1" applyBorder="1"/>
    <xf numFmtId="170" fontId="29" fillId="0" borderId="0" xfId="0" applyNumberFormat="1" applyFont="1"/>
    <xf numFmtId="174" fontId="10" fillId="5" borderId="3" xfId="0" applyNumberFormat="1" applyFont="1" applyFill="1" applyBorder="1" applyAlignment="1">
      <alignment horizontal="center"/>
    </xf>
    <xf numFmtId="170" fontId="13" fillId="5" borderId="3" xfId="0" applyNumberFormat="1" applyFont="1" applyFill="1" applyBorder="1"/>
    <xf numFmtId="180" fontId="10" fillId="0" borderId="0" xfId="0" applyNumberFormat="1" applyFont="1" applyAlignment="1">
      <alignment horizontal="left"/>
    </xf>
    <xf numFmtId="169" fontId="8" fillId="0" borderId="3" xfId="0" applyNumberFormat="1" applyFont="1" applyBorder="1"/>
    <xf numFmtId="0" fontId="10" fillId="0" borderId="20" xfId="0" applyFont="1" applyBorder="1" applyAlignment="1">
      <alignment horizontal="center"/>
    </xf>
    <xf numFmtId="180" fontId="10" fillId="0" borderId="14" xfId="0" applyNumberFormat="1" applyFont="1" applyBorder="1" applyAlignment="1">
      <alignment horizontal="left"/>
    </xf>
    <xf numFmtId="169" fontId="8" fillId="0" borderId="12" xfId="0" applyNumberFormat="1" applyFont="1" applyBorder="1"/>
    <xf numFmtId="0" fontId="10" fillId="0" borderId="15" xfId="0" applyFont="1" applyBorder="1" applyAlignment="1">
      <alignment horizontal="center"/>
    </xf>
    <xf numFmtId="174" fontId="9" fillId="4" borderId="16" xfId="0" applyNumberFormat="1" applyFont="1" applyFill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0" fontId="9" fillId="4" borderId="19" xfId="0" applyFont="1" applyFill="1" applyBorder="1"/>
    <xf numFmtId="170" fontId="9" fillId="4" borderId="18" xfId="0" applyNumberFormat="1" applyFont="1" applyFill="1" applyBorder="1"/>
    <xf numFmtId="180" fontId="10" fillId="0" borderId="3" xfId="0" applyNumberFormat="1" applyFont="1" applyBorder="1" applyAlignment="1">
      <alignment horizontal="left"/>
    </xf>
    <xf numFmtId="180" fontId="10" fillId="0" borderId="12" xfId="0" applyNumberFormat="1" applyFont="1" applyBorder="1" applyAlignment="1">
      <alignment horizontal="left"/>
    </xf>
    <xf numFmtId="0" fontId="10" fillId="0" borderId="51" xfId="0" applyFont="1" applyBorder="1" applyAlignment="1">
      <alignment horizontal="center"/>
    </xf>
    <xf numFmtId="180" fontId="10" fillId="0" borderId="23" xfId="0" applyNumberFormat="1" applyFont="1" applyBorder="1" applyAlignment="1">
      <alignment horizontal="left"/>
    </xf>
    <xf numFmtId="169" fontId="8" fillId="0" borderId="23" xfId="0" applyNumberFormat="1" applyFont="1" applyBorder="1"/>
    <xf numFmtId="170" fontId="13" fillId="0" borderId="51" xfId="0" applyNumberFormat="1" applyFont="1" applyBorder="1"/>
    <xf numFmtId="180" fontId="10" fillId="0" borderId="51" xfId="0" applyNumberFormat="1" applyFont="1" applyBorder="1" applyAlignment="1">
      <alignment horizontal="left"/>
    </xf>
    <xf numFmtId="180" fontId="10" fillId="0" borderId="15" xfId="0" applyNumberFormat="1" applyFont="1" applyBorder="1" applyAlignment="1">
      <alignment horizontal="left"/>
    </xf>
    <xf numFmtId="180" fontId="18" fillId="0" borderId="3" xfId="0" applyNumberFormat="1" applyFont="1" applyBorder="1" applyAlignment="1">
      <alignment horizontal="left"/>
    </xf>
    <xf numFmtId="174" fontId="10" fillId="5" borderId="27" xfId="0" applyNumberFormat="1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53" xfId="0" applyFont="1" applyFill="1" applyBorder="1"/>
    <xf numFmtId="170" fontId="8" fillId="5" borderId="28" xfId="0" applyNumberFormat="1" applyFont="1" applyFill="1" applyBorder="1"/>
    <xf numFmtId="170" fontId="13" fillId="5" borderId="28" xfId="0" applyNumberFormat="1" applyFont="1" applyFill="1" applyBorder="1"/>
    <xf numFmtId="0" fontId="10" fillId="0" borderId="21" xfId="0" applyFont="1" applyBorder="1" applyAlignment="1">
      <alignment horizontal="center"/>
    </xf>
    <xf numFmtId="0" fontId="10" fillId="0" borderId="5" xfId="0" applyFont="1" applyBorder="1"/>
    <xf numFmtId="170" fontId="8" fillId="0" borderId="51" xfId="0" applyNumberFormat="1" applyFont="1" applyBorder="1"/>
    <xf numFmtId="0" fontId="10" fillId="0" borderId="25" xfId="0" applyFont="1" applyBorder="1" applyAlignment="1">
      <alignment horizontal="center"/>
    </xf>
    <xf numFmtId="0" fontId="10" fillId="0" borderId="41" xfId="0" applyFont="1" applyBorder="1"/>
    <xf numFmtId="0" fontId="10" fillId="5" borderId="25" xfId="0" applyFont="1" applyFill="1" applyBorder="1" applyAlignment="1">
      <alignment horizontal="center"/>
    </xf>
    <xf numFmtId="0" fontId="10" fillId="5" borderId="41" xfId="0" applyFont="1" applyFill="1" applyBorder="1"/>
    <xf numFmtId="170" fontId="8" fillId="5" borderId="15" xfId="0" applyNumberFormat="1" applyFont="1" applyFill="1" applyBorder="1"/>
    <xf numFmtId="0" fontId="9" fillId="4" borderId="25" xfId="0" applyFont="1" applyFill="1" applyBorder="1" applyAlignment="1">
      <alignment horizontal="center"/>
    </xf>
    <xf numFmtId="0" fontId="9" fillId="4" borderId="41" xfId="0" applyFont="1" applyFill="1" applyBorder="1"/>
    <xf numFmtId="170" fontId="9" fillId="4" borderId="15" xfId="0" applyNumberFormat="1" applyFont="1" applyFill="1" applyBorder="1"/>
    <xf numFmtId="0" fontId="10" fillId="5" borderId="8" xfId="0" applyFont="1" applyFill="1" applyBorder="1"/>
    <xf numFmtId="174" fontId="10" fillId="5" borderId="40" xfId="0" applyNumberFormat="1" applyFont="1" applyFill="1" applyBorder="1" applyAlignment="1">
      <alignment horizontal="center"/>
    </xf>
    <xf numFmtId="0" fontId="10" fillId="5" borderId="27" xfId="0" applyFont="1" applyFill="1" applyBorder="1" applyAlignment="1">
      <alignment horizontal="center"/>
    </xf>
    <xf numFmtId="170" fontId="8" fillId="5" borderId="53" xfId="0" applyNumberFormat="1" applyFont="1" applyFill="1" applyBorder="1"/>
    <xf numFmtId="170" fontId="6" fillId="0" borderId="26" xfId="0" applyNumberFormat="1" applyFont="1" applyBorder="1"/>
    <xf numFmtId="170" fontId="13" fillId="5" borderId="39" xfId="0" applyNumberFormat="1" applyFont="1" applyFill="1" applyBorder="1"/>
    <xf numFmtId="174" fontId="9" fillId="4" borderId="41" xfId="0" applyNumberFormat="1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170" fontId="9" fillId="4" borderId="0" xfId="0" applyNumberFormat="1" applyFont="1" applyFill="1"/>
    <xf numFmtId="170" fontId="9" fillId="4" borderId="26" xfId="0" applyNumberFormat="1" applyFont="1" applyFill="1" applyBorder="1"/>
    <xf numFmtId="0" fontId="10" fillId="0" borderId="22" xfId="0" applyFont="1" applyBorder="1"/>
    <xf numFmtId="170" fontId="13" fillId="0" borderId="22" xfId="0" applyNumberFormat="1" applyFont="1" applyBorder="1"/>
    <xf numFmtId="174" fontId="9" fillId="4" borderId="2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4" borderId="40" xfId="0" applyFont="1" applyFill="1" applyBorder="1"/>
    <xf numFmtId="170" fontId="9" fillId="4" borderId="8" xfId="0" applyNumberFormat="1" applyFont="1" applyFill="1" applyBorder="1"/>
    <xf numFmtId="170" fontId="9" fillId="4" borderId="40" xfId="0" applyNumberFormat="1" applyFont="1" applyFill="1" applyBorder="1"/>
    <xf numFmtId="170" fontId="8" fillId="5" borderId="5" xfId="0" applyNumberFormat="1" applyFont="1" applyFill="1" applyBorder="1"/>
    <xf numFmtId="0" fontId="10" fillId="0" borderId="22" xfId="0" applyFont="1" applyBorder="1" applyAlignment="1">
      <alignment horizontal="center"/>
    </xf>
    <xf numFmtId="0" fontId="10" fillId="0" borderId="21" xfId="0" applyFont="1" applyBorder="1"/>
    <xf numFmtId="170" fontId="6" fillId="0" borderId="24" xfId="0" applyNumberFormat="1" applyFont="1" applyBorder="1"/>
    <xf numFmtId="0" fontId="10" fillId="0" borderId="25" xfId="0" applyFont="1" applyBorder="1"/>
    <xf numFmtId="0" fontId="9" fillId="4" borderId="0" xfId="0" applyFont="1" applyFill="1"/>
    <xf numFmtId="0" fontId="10" fillId="5" borderId="40" xfId="0" applyFont="1" applyFill="1" applyBorder="1"/>
    <xf numFmtId="170" fontId="8" fillId="5" borderId="8" xfId="0" applyNumberFormat="1" applyFont="1" applyFill="1" applyBorder="1"/>
    <xf numFmtId="170" fontId="13" fillId="5" borderId="8" xfId="0" applyNumberFormat="1" applyFont="1" applyFill="1" applyBorder="1"/>
    <xf numFmtId="170" fontId="6" fillId="0" borderId="29" xfId="0" applyNumberFormat="1" applyFont="1" applyBorder="1"/>
    <xf numFmtId="0" fontId="10" fillId="0" borderId="27" xfId="0" applyFont="1" applyBorder="1"/>
    <xf numFmtId="170" fontId="9" fillId="4" borderId="29" xfId="0" applyNumberFormat="1" applyFont="1" applyFill="1" applyBorder="1"/>
    <xf numFmtId="0" fontId="10" fillId="0" borderId="48" xfId="0" applyFont="1" applyBorder="1" applyAlignment="1">
      <alignment horizontal="center"/>
    </xf>
    <xf numFmtId="174" fontId="10" fillId="5" borderId="33" xfId="0" applyNumberFormat="1" applyFont="1" applyFill="1" applyBorder="1" applyAlignment="1">
      <alignment horizontal="center"/>
    </xf>
    <xf numFmtId="174" fontId="10" fillId="5" borderId="44" xfId="0" applyNumberFormat="1" applyFont="1" applyFill="1" applyBorder="1" applyAlignment="1">
      <alignment horizontal="center"/>
    </xf>
    <xf numFmtId="170" fontId="9" fillId="4" borderId="34" xfId="0" applyNumberFormat="1" applyFont="1" applyFill="1" applyBorder="1"/>
    <xf numFmtId="174" fontId="10" fillId="5" borderId="65" xfId="0" applyNumberFormat="1" applyFont="1" applyFill="1" applyBorder="1" applyAlignment="1">
      <alignment horizontal="center"/>
    </xf>
    <xf numFmtId="0" fontId="10" fillId="5" borderId="66" xfId="0" applyFont="1" applyFill="1" applyBorder="1" applyAlignment="1">
      <alignment horizontal="center"/>
    </xf>
    <xf numFmtId="0" fontId="10" fillId="5" borderId="67" xfId="0" applyFont="1" applyFill="1" applyBorder="1"/>
    <xf numFmtId="170" fontId="8" fillId="5" borderId="66" xfId="0" applyNumberFormat="1" applyFont="1" applyFill="1" applyBorder="1"/>
    <xf numFmtId="170" fontId="13" fillId="5" borderId="66" xfId="0" applyNumberFormat="1" applyFont="1" applyFill="1" applyBorder="1"/>
    <xf numFmtId="174" fontId="10" fillId="5" borderId="68" xfId="0" applyNumberFormat="1" applyFont="1" applyFill="1" applyBorder="1" applyAlignment="1">
      <alignment horizontal="center"/>
    </xf>
    <xf numFmtId="174" fontId="9" fillId="4" borderId="65" xfId="0" applyNumberFormat="1" applyFont="1" applyFill="1" applyBorder="1" applyAlignment="1">
      <alignment horizontal="center"/>
    </xf>
    <xf numFmtId="170" fontId="13" fillId="0" borderId="17" xfId="0" applyNumberFormat="1" applyFont="1" applyBorder="1"/>
    <xf numFmtId="180" fontId="10" fillId="0" borderId="17" xfId="0" applyNumberFormat="1" applyFont="1" applyBorder="1" applyAlignment="1">
      <alignment horizontal="left"/>
    </xf>
    <xf numFmtId="169" fontId="8" fillId="0" borderId="18" xfId="0" applyNumberFormat="1" applyFont="1" applyBorder="1"/>
    <xf numFmtId="180" fontId="10" fillId="0" borderId="40" xfId="0" applyNumberFormat="1" applyFont="1" applyBorder="1" applyAlignment="1">
      <alignment horizontal="left"/>
    </xf>
    <xf numFmtId="169" fontId="8" fillId="0" borderId="28" xfId="0" applyNumberFormat="1" applyFont="1" applyBorder="1"/>
    <xf numFmtId="170" fontId="13" fillId="0" borderId="40" xfId="0" applyNumberFormat="1" applyFont="1" applyBorder="1"/>
    <xf numFmtId="0" fontId="9" fillId="4" borderId="28" xfId="0" applyFont="1" applyFill="1" applyBorder="1" applyAlignment="1">
      <alignment horizontal="center"/>
    </xf>
    <xf numFmtId="0" fontId="9" fillId="4" borderId="53" xfId="0" applyFont="1" applyFill="1" applyBorder="1"/>
    <xf numFmtId="170" fontId="9" fillId="4" borderId="28" xfId="0" applyNumberFormat="1" applyFont="1" applyFill="1" applyBorder="1"/>
    <xf numFmtId="170" fontId="9" fillId="4" borderId="46" xfId="0" applyNumberFormat="1" applyFont="1" applyFill="1" applyBorder="1"/>
    <xf numFmtId="0" fontId="9" fillId="4" borderId="23" xfId="0" applyFont="1" applyFill="1" applyBorder="1" applyAlignment="1">
      <alignment horizontal="center"/>
    </xf>
    <xf numFmtId="0" fontId="9" fillId="4" borderId="51" xfId="0" applyFont="1" applyFill="1" applyBorder="1"/>
    <xf numFmtId="170" fontId="9" fillId="4" borderId="23" xfId="0" applyNumberFormat="1" applyFont="1" applyFill="1" applyBorder="1"/>
    <xf numFmtId="170" fontId="9" fillId="4" borderId="45" xfId="0" applyNumberFormat="1" applyFont="1" applyFill="1" applyBorder="1"/>
    <xf numFmtId="170" fontId="13" fillId="0" borderId="31" xfId="0" applyNumberFormat="1" applyFont="1" applyBorder="1"/>
    <xf numFmtId="0" fontId="9" fillId="4" borderId="35" xfId="0" applyFont="1" applyFill="1" applyBorder="1" applyAlignment="1">
      <alignment horizontal="center"/>
    </xf>
    <xf numFmtId="0" fontId="9" fillId="4" borderId="60" xfId="0" applyFont="1" applyFill="1" applyBorder="1"/>
    <xf numFmtId="170" fontId="9" fillId="4" borderId="35" xfId="0" applyNumberFormat="1" applyFont="1" applyFill="1" applyBorder="1"/>
    <xf numFmtId="170" fontId="9" fillId="4" borderId="69" xfId="0" applyNumberFormat="1" applyFont="1" applyFill="1" applyBorder="1"/>
    <xf numFmtId="170" fontId="8" fillId="4" borderId="1" xfId="0" applyNumberFormat="1" applyFont="1" applyFill="1" applyBorder="1"/>
    <xf numFmtId="180" fontId="10" fillId="0" borderId="2" xfId="0" applyNumberFormat="1" applyFont="1" applyBorder="1" applyAlignment="1">
      <alignment horizontal="left"/>
    </xf>
    <xf numFmtId="0" fontId="6" fillId="0" borderId="0" xfId="0" applyFont="1" applyAlignment="1" applyProtection="1">
      <alignment horizontal="justify"/>
      <protection locked="0"/>
    </xf>
    <xf numFmtId="185" fontId="10" fillId="0" borderId="16" xfId="0" applyNumberFormat="1" applyFont="1" applyBorder="1" applyAlignment="1">
      <alignment horizontal="center"/>
    </xf>
    <xf numFmtId="185" fontId="10" fillId="0" borderId="2" xfId="0" applyNumberFormat="1" applyFont="1" applyBorder="1" applyAlignment="1">
      <alignment horizontal="center"/>
    </xf>
    <xf numFmtId="0" fontId="10" fillId="0" borderId="15" xfId="0" applyFont="1" applyBorder="1" applyAlignment="1">
      <alignment horizontal="left"/>
    </xf>
    <xf numFmtId="169" fontId="8" fillId="0" borderId="15" xfId="0" applyNumberFormat="1" applyFont="1" applyBorder="1"/>
    <xf numFmtId="0" fontId="10" fillId="0" borderId="19" xfId="0" applyFont="1" applyBorder="1" applyAlignment="1">
      <alignment horizontal="left"/>
    </xf>
    <xf numFmtId="169" fontId="8" fillId="0" borderId="2" xfId="0" applyNumberFormat="1" applyFont="1" applyBorder="1"/>
    <xf numFmtId="170" fontId="10" fillId="0" borderId="3" xfId="0" applyNumberFormat="1" applyFont="1" applyBorder="1" applyAlignment="1">
      <alignment horizontal="center"/>
    </xf>
    <xf numFmtId="185" fontId="10" fillId="0" borderId="25" xfId="0" applyNumberFormat="1" applyFont="1" applyBorder="1" applyAlignment="1">
      <alignment horizontal="center"/>
    </xf>
    <xf numFmtId="14" fontId="28" fillId="0" borderId="3" xfId="0" applyNumberFormat="1" applyFont="1" applyBorder="1" applyAlignment="1">
      <alignment horizontal="center"/>
    </xf>
    <xf numFmtId="180" fontId="10" fillId="0" borderId="18" xfId="0" applyNumberFormat="1" applyFont="1" applyBorder="1" applyAlignment="1">
      <alignment horizontal="left"/>
    </xf>
    <xf numFmtId="0" fontId="10" fillId="0" borderId="45" xfId="0" applyFont="1" applyBorder="1" applyAlignment="1">
      <alignment horizontal="center"/>
    </xf>
    <xf numFmtId="185" fontId="10" fillId="0" borderId="41" xfId="0" applyNumberFormat="1" applyFont="1" applyBorder="1" applyAlignment="1">
      <alignment horizontal="center"/>
    </xf>
    <xf numFmtId="185" fontId="10" fillId="0" borderId="8" xfId="0" applyNumberFormat="1" applyFont="1" applyBorder="1" applyAlignment="1">
      <alignment horizontal="center"/>
    </xf>
    <xf numFmtId="180" fontId="10" fillId="0" borderId="25" xfId="0" applyNumberFormat="1" applyFont="1" applyBorder="1" applyAlignment="1">
      <alignment horizontal="left"/>
    </xf>
    <xf numFmtId="0" fontId="10" fillId="0" borderId="39" xfId="0" applyFont="1" applyBorder="1" applyAlignment="1">
      <alignment horizontal="center"/>
    </xf>
    <xf numFmtId="0" fontId="6" fillId="0" borderId="47" xfId="0" applyFont="1" applyBorder="1"/>
    <xf numFmtId="180" fontId="10" fillId="0" borderId="41" xfId="0" applyNumberFormat="1" applyFont="1" applyBorder="1" applyAlignment="1">
      <alignment horizontal="left"/>
    </xf>
    <xf numFmtId="185" fontId="10" fillId="0" borderId="0" xfId="0" applyNumberFormat="1" applyFont="1" applyAlignment="1">
      <alignment horizontal="center"/>
    </xf>
    <xf numFmtId="0" fontId="6" fillId="0" borderId="15" xfId="0" applyFont="1" applyBorder="1" applyAlignment="1" applyProtection="1">
      <alignment horizontal="center"/>
      <protection locked="0"/>
    </xf>
    <xf numFmtId="0" fontId="10" fillId="0" borderId="27" xfId="0" applyFont="1" applyBorder="1" applyAlignment="1">
      <alignment horizontal="center"/>
    </xf>
    <xf numFmtId="180" fontId="10" fillId="0" borderId="8" xfId="0" applyNumberFormat="1" applyFont="1" applyBorder="1" applyAlignment="1">
      <alignment horizontal="left"/>
    </xf>
    <xf numFmtId="0" fontId="6" fillId="0" borderId="53" xfId="0" applyFont="1" applyBorder="1" applyAlignment="1" applyProtection="1">
      <alignment horizontal="center"/>
      <protection locked="0"/>
    </xf>
    <xf numFmtId="169" fontId="8" fillId="0" borderId="41" xfId="0" applyNumberFormat="1" applyFont="1" applyBorder="1"/>
    <xf numFmtId="0" fontId="6" fillId="0" borderId="41" xfId="0" applyFont="1" applyBorder="1" applyAlignment="1" applyProtection="1">
      <alignment horizontal="center"/>
      <protection locked="0"/>
    </xf>
    <xf numFmtId="185" fontId="10" fillId="0" borderId="43" xfId="0" applyNumberFormat="1" applyFont="1" applyBorder="1" applyAlignment="1">
      <alignment horizontal="center"/>
    </xf>
    <xf numFmtId="185" fontId="10" fillId="0" borderId="26" xfId="0" applyNumberFormat="1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7" xfId="0" applyFont="1" applyBorder="1"/>
    <xf numFmtId="170" fontId="8" fillId="4" borderId="19" xfId="0" applyNumberFormat="1" applyFont="1" applyFill="1" applyBorder="1"/>
    <xf numFmtId="0" fontId="6" fillId="0" borderId="18" xfId="0" applyFont="1" applyBorder="1"/>
    <xf numFmtId="170" fontId="0" fillId="0" borderId="0" xfId="0" applyNumberFormat="1"/>
    <xf numFmtId="180" fontId="0" fillId="0" borderId="33" xfId="0" applyNumberFormat="1" applyBorder="1"/>
    <xf numFmtId="0" fontId="10" fillId="0" borderId="13" xfId="0" applyFont="1" applyBorder="1"/>
    <xf numFmtId="0" fontId="6" fillId="0" borderId="17" xfId="0" applyFont="1" applyBorder="1" applyAlignment="1" applyProtection="1">
      <alignment horizontal="center"/>
      <protection locked="0"/>
    </xf>
    <xf numFmtId="0" fontId="10" fillId="0" borderId="14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0" fillId="5" borderId="1" xfId="0" applyFont="1" applyFill="1" applyBorder="1"/>
    <xf numFmtId="0" fontId="31" fillId="0" borderId="1" xfId="0" applyFont="1" applyBorder="1"/>
    <xf numFmtId="0" fontId="31" fillId="0" borderId="1" xfId="0" applyFont="1" applyBorder="1" applyAlignment="1">
      <alignment wrapText="1"/>
    </xf>
    <xf numFmtId="0" fontId="32" fillId="0" borderId="1" xfId="0" applyFont="1" applyBorder="1"/>
    <xf numFmtId="0" fontId="33" fillId="0" borderId="1" xfId="0" applyFont="1" applyBorder="1"/>
    <xf numFmtId="0" fontId="0" fillId="6" borderId="0" xfId="0" applyFill="1"/>
    <xf numFmtId="0" fontId="12" fillId="5" borderId="1" xfId="0" applyFont="1" applyFill="1" applyBorder="1"/>
    <xf numFmtId="0" fontId="0" fillId="0" borderId="1" xfId="0" applyBorder="1"/>
    <xf numFmtId="170" fontId="10" fillId="0" borderId="3" xfId="0" applyNumberFormat="1" applyFont="1" applyBorder="1" applyAlignment="1">
      <alignment horizontal="left"/>
    </xf>
    <xf numFmtId="174" fontId="10" fillId="0" borderId="1" xfId="0" applyNumberFormat="1" applyFont="1" applyBorder="1" applyAlignment="1">
      <alignment horizontal="center"/>
    </xf>
    <xf numFmtId="0" fontId="10" fillId="0" borderId="10" xfId="0" applyFont="1" applyBorder="1"/>
    <xf numFmtId="0" fontId="10" fillId="0" borderId="17" xfId="0" applyFont="1" applyBorder="1"/>
    <xf numFmtId="0" fontId="10" fillId="0" borderId="40" xfId="0" applyFont="1" applyBorder="1"/>
    <xf numFmtId="170" fontId="8" fillId="4" borderId="49" xfId="0" applyNumberFormat="1" applyFont="1" applyFill="1" applyBorder="1"/>
    <xf numFmtId="170" fontId="13" fillId="4" borderId="7" xfId="0" applyNumberFormat="1" applyFont="1" applyFill="1" applyBorder="1"/>
    <xf numFmtId="0" fontId="10" fillId="0" borderId="8" xfId="0" applyFont="1" applyBorder="1"/>
    <xf numFmtId="170" fontId="6" fillId="0" borderId="40" xfId="0" applyNumberFormat="1" applyFont="1" applyBorder="1"/>
    <xf numFmtId="170" fontId="9" fillId="0" borderId="8" xfId="0" applyNumberFormat="1" applyFont="1" applyBorder="1"/>
    <xf numFmtId="170" fontId="6" fillId="0" borderId="49" xfId="0" applyNumberFormat="1" applyFont="1" applyBorder="1"/>
    <xf numFmtId="170" fontId="18" fillId="0" borderId="7" xfId="0" applyNumberFormat="1" applyFont="1" applyBorder="1"/>
    <xf numFmtId="170" fontId="9" fillId="0" borderId="7" xfId="0" applyNumberFormat="1" applyFont="1" applyBorder="1"/>
    <xf numFmtId="0" fontId="6" fillId="0" borderId="11" xfId="0" applyFont="1" applyBorder="1"/>
    <xf numFmtId="184" fontId="6" fillId="0" borderId="12" xfId="0" applyNumberFormat="1" applyFont="1" applyBorder="1"/>
    <xf numFmtId="170" fontId="9" fillId="0" borderId="12" xfId="0" applyNumberFormat="1" applyFont="1" applyBorder="1"/>
    <xf numFmtId="170" fontId="9" fillId="0" borderId="13" xfId="0" applyNumberFormat="1" applyFont="1" applyBorder="1"/>
    <xf numFmtId="0" fontId="10" fillId="5" borderId="1" xfId="0" applyFont="1" applyFill="1" applyBorder="1"/>
    <xf numFmtId="0" fontId="10" fillId="5" borderId="10" xfId="0" applyFont="1" applyFill="1" applyBorder="1"/>
    <xf numFmtId="186" fontId="10" fillId="0" borderId="12" xfId="0" applyNumberFormat="1" applyFont="1" applyBorder="1" applyAlignment="1">
      <alignment horizontal="center"/>
    </xf>
    <xf numFmtId="186" fontId="10" fillId="0" borderId="3" xfId="0" applyNumberFormat="1" applyFont="1" applyBorder="1" applyAlignment="1">
      <alignment horizontal="center"/>
    </xf>
    <xf numFmtId="0" fontId="10" fillId="0" borderId="18" xfId="0" applyFont="1" applyBorder="1"/>
    <xf numFmtId="186" fontId="10" fillId="0" borderId="18" xfId="0" applyNumberFormat="1" applyFont="1" applyBorder="1" applyAlignment="1">
      <alignment horizontal="center"/>
    </xf>
    <xf numFmtId="174" fontId="10" fillId="7" borderId="2" xfId="0" applyNumberFormat="1" applyFont="1" applyFill="1" applyBorder="1" applyAlignment="1">
      <alignment horizontal="center"/>
    </xf>
    <xf numFmtId="186" fontId="10" fillId="7" borderId="3" xfId="0" applyNumberFormat="1" applyFont="1" applyFill="1" applyBorder="1" applyAlignment="1">
      <alignment horizontal="center"/>
    </xf>
    <xf numFmtId="0" fontId="18" fillId="4" borderId="0" xfId="0" applyFont="1" applyFill="1"/>
    <xf numFmtId="0" fontId="10" fillId="7" borderId="3" xfId="0" applyFont="1" applyFill="1" applyBorder="1"/>
    <xf numFmtId="170" fontId="13" fillId="7" borderId="0" xfId="0" applyNumberFormat="1" applyFont="1" applyFill="1"/>
    <xf numFmtId="20" fontId="10" fillId="0" borderId="0" xfId="0" applyNumberFormat="1" applyFont="1"/>
    <xf numFmtId="187" fontId="10" fillId="0" borderId="3" xfId="0" applyNumberFormat="1" applyFont="1" applyBorder="1"/>
    <xf numFmtId="186" fontId="10" fillId="0" borderId="20" xfId="0" applyNumberFormat="1" applyFont="1" applyBorder="1" applyAlignment="1">
      <alignment horizontal="center"/>
    </xf>
    <xf numFmtId="186" fontId="10" fillId="0" borderId="15" xfId="0" applyNumberFormat="1" applyFont="1" applyBorder="1" applyAlignment="1">
      <alignment horizontal="center"/>
    </xf>
    <xf numFmtId="186" fontId="10" fillId="0" borderId="19" xfId="0" applyNumberFormat="1" applyFont="1" applyBorder="1" applyAlignment="1">
      <alignment horizontal="center"/>
    </xf>
    <xf numFmtId="174" fontId="17" fillId="0" borderId="12" xfId="0" applyNumberFormat="1" applyFont="1" applyBorder="1" applyAlignment="1">
      <alignment horizontal="center"/>
    </xf>
    <xf numFmtId="186" fontId="17" fillId="0" borderId="20" xfId="0" applyNumberFormat="1" applyFont="1" applyBorder="1" applyAlignment="1">
      <alignment horizontal="center"/>
    </xf>
    <xf numFmtId="174" fontId="10" fillId="8" borderId="3" xfId="0" applyNumberFormat="1" applyFont="1" applyFill="1" applyBorder="1" applyAlignment="1">
      <alignment horizontal="center"/>
    </xf>
    <xf numFmtId="186" fontId="10" fillId="8" borderId="15" xfId="0" applyNumberFormat="1" applyFont="1" applyFill="1" applyBorder="1" applyAlignment="1">
      <alignment horizontal="center"/>
    </xf>
    <xf numFmtId="0" fontId="10" fillId="8" borderId="3" xfId="0" applyFont="1" applyFill="1" applyBorder="1"/>
    <xf numFmtId="170" fontId="13" fillId="8" borderId="0" xfId="0" applyNumberFormat="1" applyFont="1" applyFill="1"/>
    <xf numFmtId="186" fontId="10" fillId="0" borderId="11" xfId="0" applyNumberFormat="1" applyFont="1" applyBorder="1" applyAlignment="1">
      <alignment horizontal="center"/>
    </xf>
    <xf numFmtId="170" fontId="13" fillId="0" borderId="10" xfId="0" applyNumberFormat="1" applyFont="1" applyBorder="1"/>
    <xf numFmtId="186" fontId="10" fillId="0" borderId="51" xfId="0" applyNumberFormat="1" applyFont="1" applyBorder="1" applyAlignment="1">
      <alignment horizontal="center"/>
    </xf>
    <xf numFmtId="0" fontId="10" fillId="0" borderId="23" xfId="0" applyFont="1" applyBorder="1"/>
    <xf numFmtId="0" fontId="10" fillId="0" borderId="37" xfId="0" applyFont="1" applyBorder="1"/>
    <xf numFmtId="0" fontId="10" fillId="0" borderId="39" xfId="0" applyFont="1" applyBorder="1"/>
    <xf numFmtId="186" fontId="10" fillId="0" borderId="53" xfId="0" applyNumberFormat="1" applyFont="1" applyBorder="1" applyAlignment="1">
      <alignment horizontal="center"/>
    </xf>
    <xf numFmtId="0" fontId="10" fillId="0" borderId="28" xfId="0" applyFont="1" applyBorder="1"/>
    <xf numFmtId="0" fontId="10" fillId="0" borderId="46" xfId="0" applyFont="1" applyBorder="1"/>
    <xf numFmtId="174" fontId="17" fillId="0" borderId="18" xfId="0" applyNumberFormat="1" applyFont="1" applyBorder="1" applyAlignment="1">
      <alignment horizontal="center"/>
    </xf>
    <xf numFmtId="174" fontId="17" fillId="0" borderId="17" xfId="0" applyNumberFormat="1" applyFont="1" applyBorder="1" applyAlignment="1">
      <alignment horizontal="center"/>
    </xf>
    <xf numFmtId="176" fontId="6" fillId="0" borderId="1" xfId="0" applyNumberFormat="1" applyFont="1" applyBorder="1"/>
    <xf numFmtId="173" fontId="6" fillId="0" borderId="18" xfId="0" applyNumberFormat="1" applyFont="1" applyBorder="1"/>
    <xf numFmtId="176" fontId="6" fillId="0" borderId="18" xfId="0" applyNumberFormat="1" applyFont="1" applyBorder="1"/>
    <xf numFmtId="173" fontId="6" fillId="0" borderId="12" xfId="0" applyNumberFormat="1" applyFont="1" applyBorder="1"/>
    <xf numFmtId="176" fontId="6" fillId="0" borderId="12" xfId="0" applyNumberFormat="1" applyFont="1" applyBorder="1"/>
    <xf numFmtId="0" fontId="12" fillId="2" borderId="1" xfId="0" applyFont="1" applyFill="1" applyBorder="1"/>
    <xf numFmtId="0" fontId="34" fillId="0" borderId="0" xfId="0" applyFont="1"/>
    <xf numFmtId="0" fontId="15" fillId="0" borderId="1" xfId="0" applyFont="1" applyBorder="1"/>
    <xf numFmtId="0" fontId="34" fillId="0" borderId="1" xfId="0" applyFont="1" applyBorder="1"/>
    <xf numFmtId="0" fontId="30" fillId="0" borderId="1" xfId="0" applyFont="1" applyBorder="1" applyAlignment="1">
      <alignment horizontal="center"/>
    </xf>
    <xf numFmtId="0" fontId="34" fillId="0" borderId="1" xfId="0" applyFont="1" applyBorder="1" applyAlignment="1" applyProtection="1">
      <alignment horizontal="center"/>
      <protection locked="0"/>
    </xf>
    <xf numFmtId="0" fontId="34" fillId="0" borderId="1" xfId="0" applyFont="1" applyBorder="1" applyAlignment="1" applyProtection="1">
      <alignment horizontal="fill"/>
      <protection locked="0"/>
    </xf>
    <xf numFmtId="0" fontId="7" fillId="0" borderId="0" xfId="0" applyFont="1" applyAlignment="1">
      <alignment horizontal="center"/>
    </xf>
    <xf numFmtId="0" fontId="13" fillId="0" borderId="19" xfId="0" applyFont="1" applyBorder="1"/>
    <xf numFmtId="170" fontId="13" fillId="4" borderId="11" xfId="0" applyNumberFormat="1" applyFont="1" applyFill="1" applyBorder="1"/>
    <xf numFmtId="170" fontId="35" fillId="4" borderId="11" xfId="0" applyNumberFormat="1" applyFont="1" applyFill="1" applyBorder="1"/>
    <xf numFmtId="0" fontId="7" fillId="5" borderId="18" xfId="0" applyFont="1" applyFill="1" applyBorder="1"/>
    <xf numFmtId="0" fontId="12" fillId="0" borderId="0" xfId="0" applyFont="1"/>
    <xf numFmtId="0" fontId="12" fillId="0" borderId="1" xfId="0" applyFont="1" applyBorder="1"/>
    <xf numFmtId="0" fontId="12" fillId="0" borderId="9" xfId="0" applyFont="1" applyBorder="1"/>
    <xf numFmtId="0" fontId="1" fillId="0" borderId="11" xfId="0" applyFont="1" applyBorder="1"/>
    <xf numFmtId="0" fontId="36" fillId="0" borderId="1" xfId="0" applyFont="1" applyBorder="1"/>
    <xf numFmtId="0" fontId="1" fillId="0" borderId="1" xfId="0" applyFont="1" applyBorder="1"/>
    <xf numFmtId="0" fontId="37" fillId="0" borderId="1" xfId="0" applyFont="1" applyBorder="1"/>
    <xf numFmtId="0" fontId="12" fillId="0" borderId="18" xfId="0" applyFont="1" applyBorder="1"/>
    <xf numFmtId="0" fontId="12" fillId="0" borderId="16" xfId="0" applyFont="1" applyBorder="1"/>
    <xf numFmtId="0" fontId="1" fillId="0" borderId="19" xfId="0" applyFont="1" applyBorder="1"/>
    <xf numFmtId="0" fontId="36" fillId="0" borderId="18" xfId="0" applyFont="1" applyBorder="1"/>
    <xf numFmtId="0" fontId="1" fillId="0" borderId="18" xfId="0" applyFont="1" applyBorder="1"/>
    <xf numFmtId="0" fontId="37" fillId="0" borderId="18" xfId="0" applyFont="1" applyBorder="1"/>
    <xf numFmtId="0" fontId="32" fillId="0" borderId="0" xfId="0" applyFont="1"/>
    <xf numFmtId="0" fontId="38" fillId="0" borderId="0" xfId="0" applyFont="1"/>
    <xf numFmtId="0" fontId="39" fillId="0" borderId="1" xfId="0" applyFont="1" applyBorder="1"/>
    <xf numFmtId="0" fontId="12" fillId="0" borderId="12" xfId="0" applyFont="1" applyBorder="1"/>
    <xf numFmtId="0" fontId="1" fillId="0" borderId="20" xfId="0" applyFont="1" applyBorder="1"/>
    <xf numFmtId="0" fontId="36" fillId="0" borderId="12" xfId="0" applyFont="1" applyBorder="1"/>
    <xf numFmtId="0" fontId="1" fillId="0" borderId="12" xfId="0" applyFont="1" applyBorder="1"/>
    <xf numFmtId="0" fontId="37" fillId="0" borderId="12" xfId="0" applyFont="1" applyBorder="1"/>
    <xf numFmtId="0" fontId="6" fillId="0" borderId="12" xfId="0" applyFont="1" applyBorder="1" applyAlignment="1">
      <alignment horizontal="center"/>
    </xf>
    <xf numFmtId="0" fontId="6" fillId="0" borderId="3" xfId="0" applyFont="1" applyBorder="1" applyAlignment="1" applyProtection="1">
      <alignment horizontal="justify"/>
      <protection locked="0"/>
    </xf>
    <xf numFmtId="0" fontId="6" fillId="0" borderId="3" xfId="0" applyFont="1" applyBorder="1" applyAlignment="1">
      <alignment horizontal="center"/>
    </xf>
    <xf numFmtId="0" fontId="6" fillId="0" borderId="18" xfId="0" applyFont="1" applyBorder="1" applyAlignment="1" applyProtection="1">
      <alignment horizontal="left"/>
      <protection locked="0"/>
    </xf>
    <xf numFmtId="0" fontId="6" fillId="0" borderId="18" xfId="0" applyFont="1" applyBorder="1" applyAlignment="1">
      <alignment horizontal="center"/>
    </xf>
    <xf numFmtId="188" fontId="10" fillId="0" borderId="14" xfId="0" applyNumberFormat="1" applyFont="1" applyBorder="1"/>
    <xf numFmtId="0" fontId="6" fillId="0" borderId="3" xfId="0" applyFont="1" applyBorder="1" applyProtection="1">
      <protection locked="0"/>
    </xf>
    <xf numFmtId="0" fontId="6" fillId="0" borderId="18" xfId="0" applyFont="1" applyBorder="1" applyAlignment="1" applyProtection="1">
      <alignment horizontal="justify"/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justify"/>
    </xf>
    <xf numFmtId="0" fontId="6" fillId="0" borderId="3" xfId="0" applyFont="1" applyBorder="1" applyAlignment="1" applyProtection="1">
      <alignment horizontal="fill"/>
      <protection locked="0"/>
    </xf>
    <xf numFmtId="0" fontId="6" fillId="0" borderId="3" xfId="0" applyFont="1" applyBorder="1" applyAlignment="1">
      <alignment horizontal="right"/>
    </xf>
    <xf numFmtId="0" fontId="10" fillId="0" borderId="11" xfId="0" applyFont="1" applyBorder="1"/>
    <xf numFmtId="170" fontId="40" fillId="4" borderId="1" xfId="0" applyNumberFormat="1" applyFont="1" applyFill="1" applyBorder="1"/>
    <xf numFmtId="0" fontId="8" fillId="0" borderId="3" xfId="0" applyFont="1" applyBorder="1"/>
    <xf numFmtId="0" fontId="13" fillId="0" borderId="15" xfId="0" applyFont="1" applyBorder="1"/>
    <xf numFmtId="0" fontId="6" fillId="0" borderId="0" xfId="0" applyFont="1" applyAlignment="1">
      <alignment horizontal="left" vertical="top" wrapText="1"/>
    </xf>
    <xf numFmtId="0" fontId="6" fillId="0" borderId="3" xfId="0" applyFont="1" applyBorder="1" applyAlignment="1" applyProtection="1">
      <alignment horizontal="right"/>
      <protection locked="0"/>
    </xf>
    <xf numFmtId="0" fontId="6" fillId="0" borderId="0" xfId="0" applyFont="1" applyAlignment="1">
      <alignment wrapText="1"/>
    </xf>
    <xf numFmtId="170" fontId="41" fillId="0" borderId="3" xfId="0" applyNumberFormat="1" applyFont="1" applyBorder="1"/>
    <xf numFmtId="0" fontId="6" fillId="0" borderId="15" xfId="0" applyFont="1" applyBorder="1" applyProtection="1">
      <protection locked="0"/>
    </xf>
    <xf numFmtId="170" fontId="35" fillId="4" borderId="1" xfId="0" applyNumberFormat="1" applyFont="1" applyFill="1" applyBorder="1"/>
    <xf numFmtId="169" fontId="8" fillId="0" borderId="0" xfId="0" applyNumberFormat="1" applyFont="1"/>
    <xf numFmtId="182" fontId="13" fillId="0" borderId="17" xfId="0" applyNumberFormat="1" applyFont="1" applyBorder="1"/>
    <xf numFmtId="16" fontId="10" fillId="0" borderId="13" xfId="0" applyNumberFormat="1" applyFont="1" applyBorder="1" applyAlignment="1">
      <alignment horizontal="center"/>
    </xf>
    <xf numFmtId="170" fontId="6" fillId="0" borderId="3" xfId="0" applyNumberFormat="1" applyFont="1" applyBorder="1" applyAlignment="1" applyProtection="1">
      <alignment horizontal="center"/>
      <protection locked="0"/>
    </xf>
    <xf numFmtId="170" fontId="6" fillId="0" borderId="18" xfId="0" applyNumberFormat="1" applyFont="1" applyBorder="1" applyAlignment="1" applyProtection="1">
      <alignment horizontal="justify"/>
      <protection locked="0"/>
    </xf>
    <xf numFmtId="170" fontId="13" fillId="0" borderId="16" xfId="0" applyNumberFormat="1" applyFont="1" applyBorder="1"/>
    <xf numFmtId="0" fontId="13" fillId="0" borderId="0" xfId="0" applyFont="1"/>
    <xf numFmtId="170" fontId="13" fillId="4" borderId="9" xfId="0" applyNumberFormat="1" applyFont="1" applyFill="1" applyBorder="1"/>
    <xf numFmtId="0" fontId="6" fillId="0" borderId="14" xfId="0" applyFont="1" applyBorder="1" applyAlignment="1" applyProtection="1">
      <alignment horizontal="right"/>
      <protection locked="0"/>
    </xf>
    <xf numFmtId="0" fontId="42" fillId="0" borderId="12" xfId="0" applyFont="1" applyBorder="1" applyAlignment="1">
      <alignment horizontal="center"/>
    </xf>
    <xf numFmtId="0" fontId="6" fillId="0" borderId="0" xfId="0" applyFont="1" applyAlignment="1" applyProtection="1">
      <alignment horizontal="right"/>
      <protection locked="0"/>
    </xf>
    <xf numFmtId="170" fontId="8" fillId="0" borderId="10" xfId="0" applyNumberFormat="1" applyFont="1" applyBorder="1"/>
    <xf numFmtId="170" fontId="16" fillId="0" borderId="1" xfId="0" applyNumberFormat="1" applyFont="1" applyBorder="1"/>
    <xf numFmtId="0" fontId="42" fillId="0" borderId="3" xfId="0" applyFont="1" applyBorder="1" applyAlignment="1">
      <alignment horizontal="center"/>
    </xf>
    <xf numFmtId="0" fontId="6" fillId="0" borderId="17" xfId="0" applyFont="1" applyBorder="1" applyAlignment="1" applyProtection="1">
      <alignment horizontal="right"/>
      <protection locked="0"/>
    </xf>
    <xf numFmtId="170" fontId="10" fillId="0" borderId="18" xfId="0" applyNumberFormat="1" applyFont="1" applyBorder="1"/>
    <xf numFmtId="0" fontId="41" fillId="0" borderId="12" xfId="0" applyFont="1" applyBorder="1"/>
    <xf numFmtId="170" fontId="6" fillId="0" borderId="17" xfId="0" applyNumberFormat="1" applyFont="1" applyBorder="1"/>
    <xf numFmtId="173" fontId="6" fillId="0" borderId="0" xfId="0" applyNumberFormat="1" applyFont="1"/>
    <xf numFmtId="173" fontId="6" fillId="0" borderId="14" xfId="0" applyNumberFormat="1" applyFont="1" applyBorder="1"/>
    <xf numFmtId="173" fontId="6" fillId="0" borderId="17" xfId="0" applyNumberFormat="1" applyFont="1" applyBorder="1"/>
    <xf numFmtId="11" fontId="6" fillId="0" borderId="0" xfId="0" applyNumberFormat="1" applyFont="1"/>
    <xf numFmtId="0" fontId="8" fillId="0" borderId="0" xfId="0" applyFont="1"/>
    <xf numFmtId="0" fontId="6" fillId="0" borderId="1" xfId="0" applyFont="1" applyBorder="1" applyAlignment="1">
      <alignment horizontal="right"/>
    </xf>
    <xf numFmtId="10" fontId="6" fillId="0" borderId="1" xfId="0" applyNumberFormat="1" applyFont="1" applyBorder="1"/>
    <xf numFmtId="170" fontId="13" fillId="4" borderId="16" xfId="0" applyNumberFormat="1" applyFont="1" applyFill="1" applyBorder="1"/>
    <xf numFmtId="170" fontId="43" fillId="4" borderId="9" xfId="0" applyNumberFormat="1" applyFont="1" applyFill="1" applyBorder="1"/>
    <xf numFmtId="174" fontId="9" fillId="0" borderId="2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5" xfId="0" applyFont="1" applyBorder="1"/>
    <xf numFmtId="170" fontId="27" fillId="4" borderId="16" xfId="0" applyNumberFormat="1" applyFont="1" applyFill="1" applyBorder="1"/>
    <xf numFmtId="0" fontId="6" fillId="0" borderId="13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2" xfId="0" applyFont="1" applyBorder="1"/>
    <xf numFmtId="0" fontId="6" fillId="0" borderId="16" xfId="0" applyFont="1" applyBorder="1" applyAlignment="1" applyProtection="1">
      <alignment horizontal="center"/>
      <protection locked="0"/>
    </xf>
    <xf numFmtId="170" fontId="16" fillId="0" borderId="20" xfId="0" applyNumberFormat="1" applyFont="1" applyBorder="1"/>
    <xf numFmtId="170" fontId="16" fillId="0" borderId="15" xfId="0" applyNumberFormat="1" applyFont="1" applyBorder="1"/>
    <xf numFmtId="170" fontId="16" fillId="0" borderId="19" xfId="0" applyNumberFormat="1" applyFont="1" applyBorder="1"/>
    <xf numFmtId="0" fontId="15" fillId="0" borderId="20" xfId="0" applyFont="1" applyBorder="1"/>
    <xf numFmtId="0" fontId="10" fillId="0" borderId="18" xfId="0" applyFont="1" applyBorder="1" applyAlignment="1">
      <alignment horizontal="left"/>
    </xf>
    <xf numFmtId="173" fontId="10" fillId="0" borderId="3" xfId="0" applyNumberFormat="1" applyFont="1" applyBorder="1"/>
    <xf numFmtId="0" fontId="42" fillId="0" borderId="15" xfId="0" applyFont="1" applyBorder="1" applyAlignment="1">
      <alignment horizontal="center"/>
    </xf>
    <xf numFmtId="170" fontId="13" fillId="4" borderId="19" xfId="0" applyNumberFormat="1" applyFont="1" applyFill="1" applyBorder="1"/>
    <xf numFmtId="170" fontId="6" fillId="5" borderId="3" xfId="0" applyNumberFormat="1" applyFont="1" applyFill="1" applyBorder="1"/>
    <xf numFmtId="174" fontId="10" fillId="0" borderId="17" xfId="0" applyNumberFormat="1" applyFont="1" applyBorder="1" applyAlignment="1">
      <alignment horizontal="center"/>
    </xf>
    <xf numFmtId="174" fontId="10" fillId="5" borderId="0" xfId="0" applyNumberFormat="1" applyFont="1" applyFill="1" applyAlignment="1">
      <alignment horizontal="center"/>
    </xf>
    <xf numFmtId="0" fontId="10" fillId="5" borderId="3" xfId="0" applyFont="1" applyFill="1" applyBorder="1"/>
    <xf numFmtId="170" fontId="8" fillId="5" borderId="0" xfId="0" applyNumberFormat="1" applyFont="1" applyFill="1"/>
    <xf numFmtId="0" fontId="6" fillId="5" borderId="3" xfId="0" applyFont="1" applyFill="1" applyBorder="1"/>
    <xf numFmtId="169" fontId="8" fillId="0" borderId="17" xfId="0" applyNumberFormat="1" applyFont="1" applyBorder="1"/>
    <xf numFmtId="180" fontId="10" fillId="5" borderId="3" xfId="0" applyNumberFormat="1" applyFont="1" applyFill="1" applyBorder="1" applyAlignment="1">
      <alignment horizontal="left"/>
    </xf>
    <xf numFmtId="169" fontId="8" fillId="5" borderId="0" xfId="0" applyNumberFormat="1" applyFont="1" applyFill="1"/>
    <xf numFmtId="169" fontId="8" fillId="0" borderId="14" xfId="0" applyNumberFormat="1" applyFont="1" applyBorder="1"/>
    <xf numFmtId="180" fontId="45" fillId="0" borderId="0" xfId="0" applyNumberFormat="1" applyFont="1" applyAlignment="1">
      <alignment horizontal="left"/>
    </xf>
    <xf numFmtId="180" fontId="10" fillId="0" borderId="16" xfId="0" applyNumberFormat="1" applyFont="1" applyBorder="1" applyAlignment="1">
      <alignment horizontal="left"/>
    </xf>
    <xf numFmtId="0" fontId="6" fillId="0" borderId="18" xfId="0" applyFont="1" applyBorder="1" applyAlignment="1" applyProtection="1">
      <alignment horizontal="fill"/>
      <protection locked="0"/>
    </xf>
    <xf numFmtId="0" fontId="6" fillId="0" borderId="12" xfId="0" applyFont="1" applyBorder="1" applyProtection="1">
      <protection locked="0"/>
    </xf>
    <xf numFmtId="174" fontId="10" fillId="0" borderId="9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70" fontId="6" fillId="0" borderId="3" xfId="0" applyNumberFormat="1" applyFont="1" applyBorder="1" applyAlignment="1" applyProtection="1">
      <alignment horizontal="justify"/>
      <protection locked="0"/>
    </xf>
    <xf numFmtId="170" fontId="6" fillId="0" borderId="3" xfId="0" applyNumberFormat="1" applyFont="1" applyBorder="1" applyProtection="1">
      <protection locked="0"/>
    </xf>
    <xf numFmtId="170" fontId="6" fillId="0" borderId="16" xfId="0" applyNumberFormat="1" applyFont="1" applyBorder="1" applyAlignment="1" applyProtection="1">
      <alignment horizontal="center"/>
      <protection locked="0"/>
    </xf>
    <xf numFmtId="170" fontId="6" fillId="0" borderId="2" xfId="0" applyNumberFormat="1" applyFont="1" applyBorder="1" applyAlignment="1" applyProtection="1">
      <alignment horizontal="center"/>
      <protection locked="0"/>
    </xf>
    <xf numFmtId="170" fontId="6" fillId="0" borderId="18" xfId="0" applyNumberFormat="1" applyFont="1" applyBorder="1" applyAlignment="1" applyProtection="1">
      <alignment horizontal="center"/>
      <protection locked="0"/>
    </xf>
    <xf numFmtId="170" fontId="6" fillId="0" borderId="3" xfId="0" applyNumberFormat="1" applyFont="1" applyBorder="1" applyAlignment="1" applyProtection="1">
      <alignment horizontal="left"/>
      <protection locked="0"/>
    </xf>
    <xf numFmtId="170" fontId="6" fillId="0" borderId="2" xfId="0" applyNumberFormat="1" applyFont="1" applyBorder="1" applyAlignment="1" applyProtection="1">
      <alignment horizontal="justify"/>
      <protection locked="0"/>
    </xf>
    <xf numFmtId="170" fontId="6" fillId="0" borderId="3" xfId="0" applyNumberFormat="1" applyFont="1" applyBorder="1" applyAlignment="1" applyProtection="1">
      <alignment horizontal="right"/>
      <protection locked="0"/>
    </xf>
    <xf numFmtId="170" fontId="6" fillId="0" borderId="3" xfId="0" applyNumberFormat="1" applyFont="1" applyBorder="1" applyAlignment="1" applyProtection="1">
      <alignment horizontal="fill"/>
      <protection locked="0"/>
    </xf>
    <xf numFmtId="170" fontId="46" fillId="0" borderId="2" xfId="0" applyNumberFormat="1" applyFont="1" applyBorder="1"/>
    <xf numFmtId="2" fontId="8" fillId="0" borderId="3" xfId="0" applyNumberFormat="1" applyFont="1" applyBorder="1"/>
    <xf numFmtId="0" fontId="6" fillId="0" borderId="17" xfId="0" applyFont="1" applyBorder="1" applyAlignment="1" applyProtection="1">
      <alignment horizontal="fill"/>
      <protection locked="0"/>
    </xf>
    <xf numFmtId="0" fontId="6" fillId="0" borderId="17" xfId="0" applyFont="1" applyBorder="1" applyAlignment="1" applyProtection="1">
      <alignment horizontal="justify"/>
      <protection locked="0"/>
    </xf>
    <xf numFmtId="173" fontId="10" fillId="0" borderId="12" xfId="0" applyNumberFormat="1" applyFont="1" applyBorder="1"/>
    <xf numFmtId="170" fontId="13" fillId="0" borderId="32" xfId="0" applyNumberFormat="1" applyFont="1" applyBorder="1"/>
    <xf numFmtId="170" fontId="6" fillId="0" borderId="70" xfId="0" applyNumberFormat="1" applyFont="1" applyBorder="1"/>
    <xf numFmtId="0" fontId="10" fillId="0" borderId="71" xfId="0" applyFont="1" applyBorder="1"/>
    <xf numFmtId="170" fontId="8" fillId="4" borderId="72" xfId="0" applyNumberFormat="1" applyFont="1" applyFill="1" applyBorder="1"/>
    <xf numFmtId="170" fontId="13" fillId="4" borderId="72" xfId="0" applyNumberFormat="1" applyFont="1" applyFill="1" applyBorder="1"/>
    <xf numFmtId="0" fontId="10" fillId="0" borderId="73" xfId="0" applyFont="1" applyBorder="1"/>
    <xf numFmtId="170" fontId="6" fillId="0" borderId="28" xfId="0" applyNumberFormat="1" applyFont="1" applyBorder="1"/>
    <xf numFmtId="170" fontId="27" fillId="4" borderId="74" xfId="0" applyNumberFormat="1" applyFont="1" applyFill="1" applyBorder="1"/>
    <xf numFmtId="184" fontId="0" fillId="0" borderId="0" xfId="0" applyNumberFormat="1"/>
    <xf numFmtId="2" fontId="0" fillId="0" borderId="0" xfId="0" applyNumberFormat="1"/>
    <xf numFmtId="180" fontId="0" fillId="0" borderId="0" xfId="0" applyNumberFormat="1"/>
    <xf numFmtId="189" fontId="0" fillId="0" borderId="0" xfId="0" applyNumberFormat="1"/>
    <xf numFmtId="180" fontId="22" fillId="0" borderId="1" xfId="0" applyNumberFormat="1" applyFont="1" applyBorder="1"/>
    <xf numFmtId="181" fontId="22" fillId="0" borderId="1" xfId="0" applyNumberFormat="1" applyFont="1" applyBorder="1"/>
    <xf numFmtId="180" fontId="22" fillId="0" borderId="12" xfId="0" applyNumberFormat="1" applyFont="1" applyBorder="1"/>
    <xf numFmtId="181" fontId="22" fillId="0" borderId="12" xfId="0" applyNumberFormat="1" applyFont="1" applyBorder="1"/>
    <xf numFmtId="180" fontId="47" fillId="0" borderId="18" xfId="0" applyNumberFormat="1" applyFont="1" applyBorder="1"/>
    <xf numFmtId="181" fontId="47" fillId="0" borderId="18" xfId="0" applyNumberFormat="1" applyFont="1" applyBorder="1"/>
    <xf numFmtId="181" fontId="6" fillId="0" borderId="0" xfId="0" applyNumberFormat="1" applyFont="1"/>
    <xf numFmtId="180" fontId="47" fillId="0" borderId="1" xfId="0" applyNumberFormat="1" applyFont="1" applyBorder="1"/>
    <xf numFmtId="181" fontId="47" fillId="0" borderId="1" xfId="0" applyNumberFormat="1" applyFont="1" applyBorder="1"/>
    <xf numFmtId="180" fontId="47" fillId="0" borderId="12" xfId="0" applyNumberFormat="1" applyFont="1" applyBorder="1"/>
    <xf numFmtId="181" fontId="47" fillId="0" borderId="12" xfId="0" applyNumberFormat="1" applyFont="1" applyBorder="1"/>
    <xf numFmtId="180" fontId="23" fillId="0" borderId="1" xfId="0" applyNumberFormat="1" applyFont="1" applyBorder="1"/>
    <xf numFmtId="0" fontId="22" fillId="0" borderId="1" xfId="0" applyFont="1" applyBorder="1"/>
    <xf numFmtId="181" fontId="22" fillId="0" borderId="9" xfId="0" applyNumberFormat="1" applyFont="1" applyBorder="1"/>
    <xf numFmtId="0" fontId="47" fillId="0" borderId="1" xfId="0" applyFont="1" applyBorder="1"/>
    <xf numFmtId="181" fontId="47" fillId="0" borderId="9" xfId="0" applyNumberFormat="1" applyFont="1" applyBorder="1"/>
    <xf numFmtId="0" fontId="7" fillId="5" borderId="11" xfId="0" applyFont="1" applyFill="1" applyBorder="1"/>
    <xf numFmtId="180" fontId="22" fillId="0" borderId="16" xfId="0" applyNumberFormat="1" applyFont="1" applyBorder="1"/>
    <xf numFmtId="181" fontId="22" fillId="0" borderId="11" xfId="0" applyNumberFormat="1" applyFont="1" applyBorder="1"/>
    <xf numFmtId="180" fontId="22" fillId="0" borderId="9" xfId="0" applyNumberFormat="1" applyFont="1" applyBorder="1"/>
    <xf numFmtId="181" fontId="22" fillId="0" borderId="29" xfId="0" applyNumberFormat="1" applyFont="1" applyBorder="1"/>
    <xf numFmtId="0" fontId="0" fillId="0" borderId="75" xfId="0" applyBorder="1" applyAlignment="1">
      <alignment horizontal="center" vertical="center"/>
    </xf>
    <xf numFmtId="168" fontId="48" fillId="0" borderId="1" xfId="0" applyNumberFormat="1" applyFont="1" applyBorder="1" applyAlignment="1">
      <alignment horizontal="center" vertical="center" wrapText="1"/>
    </xf>
    <xf numFmtId="0" fontId="0" fillId="0" borderId="76" xfId="0" applyBorder="1" applyAlignment="1">
      <alignment horizontal="center"/>
    </xf>
    <xf numFmtId="0" fontId="0" fillId="0" borderId="76" xfId="0" applyBorder="1"/>
    <xf numFmtId="0" fontId="0" fillId="0" borderId="77" xfId="0" applyBorder="1"/>
    <xf numFmtId="0" fontId="48" fillId="0" borderId="1" xfId="7" applyFont="1" applyBorder="1" applyProtection="1">
      <alignment horizontal="center" vertical="center" wrapText="1"/>
      <protection locked="0"/>
    </xf>
    <xf numFmtId="168" fontId="48" fillId="0" borderId="1" xfId="7" applyNumberFormat="1" applyFont="1" applyBorder="1" applyProtection="1">
      <alignment horizontal="center" vertical="center" wrapText="1"/>
      <protection locked="0"/>
    </xf>
    <xf numFmtId="0" fontId="48" fillId="0" borderId="78" xfId="7" applyFont="1" applyBorder="1" applyProtection="1">
      <alignment horizontal="center" vertical="center" wrapText="1"/>
      <protection locked="0"/>
    </xf>
    <xf numFmtId="0" fontId="48" fillId="0" borderId="1" xfId="0" applyFont="1" applyBorder="1" applyAlignment="1" applyProtection="1">
      <alignment horizontal="center" vertical="center" wrapText="1"/>
      <protection locked="0"/>
    </xf>
    <xf numFmtId="168" fontId="48" fillId="0" borderId="1" xfId="0" applyNumberFormat="1" applyFont="1" applyBorder="1" applyAlignment="1" applyProtection="1">
      <alignment horizontal="center" vertical="center" wrapText="1"/>
      <protection locked="0"/>
    </xf>
    <xf numFmtId="0" fontId="48" fillId="0" borderId="79" xfId="7" applyFont="1" applyBorder="1" applyProtection="1">
      <alignment horizontal="center" vertical="center" wrapText="1"/>
      <protection locked="0"/>
    </xf>
    <xf numFmtId="0" fontId="0" fillId="0" borderId="1" xfId="7" applyFont="1" applyBorder="1" applyProtection="1">
      <alignment horizontal="center" vertical="center" wrapText="1"/>
      <protection locked="0"/>
    </xf>
    <xf numFmtId="0" fontId="49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53" fillId="0" borderId="1" xfId="0" applyFont="1" applyBorder="1" applyAlignment="1" applyProtection="1">
      <alignment horizontal="center" vertical="center" wrapText="1"/>
      <protection locked="0"/>
    </xf>
    <xf numFmtId="0" fontId="48" fillId="0" borderId="1" xfId="0" applyFont="1" applyBorder="1" applyAlignment="1">
      <alignment horizontal="center" vertical="center" wrapText="1"/>
    </xf>
    <xf numFmtId="0" fontId="48" fillId="0" borderId="1" xfId="7" applyFont="1" applyBorder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7" applyFont="1" applyBorder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190" fontId="48" fillId="0" borderId="1" xfId="0" applyNumberFormat="1" applyFont="1" applyBorder="1" applyAlignment="1">
      <alignment horizontal="center" vertical="center" wrapText="1"/>
    </xf>
    <xf numFmtId="16" fontId="4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7" fillId="5" borderId="9" xfId="0" applyFont="1" applyFill="1" applyBorder="1"/>
    <xf numFmtId="184" fontId="6" fillId="0" borderId="18" xfId="0" applyNumberFormat="1" applyFont="1" applyBorder="1"/>
    <xf numFmtId="0" fontId="6" fillId="0" borderId="16" xfId="0" applyFont="1" applyBorder="1"/>
    <xf numFmtId="184" fontId="6" fillId="0" borderId="1" xfId="0" applyNumberFormat="1" applyFont="1" applyBorder="1"/>
    <xf numFmtId="184" fontId="67" fillId="2" borderId="1" xfId="0" applyNumberFormat="1" applyFont="1" applyFill="1" applyBorder="1"/>
    <xf numFmtId="184" fontId="67" fillId="2" borderId="12" xfId="0" applyNumberFormat="1" applyFont="1" applyFill="1" applyBorder="1"/>
    <xf numFmtId="0" fontId="67" fillId="2" borderId="0" xfId="0" applyFont="1" applyFill="1"/>
    <xf numFmtId="170" fontId="7" fillId="5" borderId="1" xfId="0" applyNumberFormat="1" applyFont="1" applyFill="1" applyBorder="1"/>
    <xf numFmtId="169" fontId="6" fillId="0" borderId="1" xfId="0" applyNumberFormat="1" applyFont="1" applyBorder="1"/>
    <xf numFmtId="14" fontId="7" fillId="3" borderId="1" xfId="0" applyNumberFormat="1" applyFont="1" applyFill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169" fontId="7" fillId="3" borderId="1" xfId="0" applyNumberFormat="1" applyFont="1" applyFill="1" applyBorder="1" applyAlignment="1" applyProtection="1">
      <alignment horizontal="center"/>
      <protection locked="0"/>
    </xf>
    <xf numFmtId="2" fontId="8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191" fontId="6" fillId="0" borderId="0" xfId="0" applyNumberFormat="1" applyFont="1"/>
    <xf numFmtId="14" fontId="7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69" fontId="9" fillId="3" borderId="1" xfId="0" applyNumberFormat="1" applyFont="1" applyFill="1" applyBorder="1" applyAlignment="1">
      <alignment horizontal="center"/>
    </xf>
    <xf numFmtId="0" fontId="7" fillId="2" borderId="0" xfId="0" applyFont="1" applyFill="1"/>
    <xf numFmtId="0" fontId="7" fillId="2" borderId="1" xfId="0" applyFont="1" applyFill="1" applyBorder="1"/>
    <xf numFmtId="169" fontId="7" fillId="2" borderId="1" xfId="0" applyNumberFormat="1" applyFont="1" applyFill="1" applyBorder="1"/>
    <xf numFmtId="3" fontId="7" fillId="3" borderId="27" xfId="0" applyNumberFormat="1" applyFont="1" applyFill="1" applyBorder="1" applyAlignment="1" applyProtection="1">
      <alignment horizontal="center"/>
      <protection locked="0"/>
    </xf>
    <xf numFmtId="14" fontId="7" fillId="3" borderId="5" xfId="0" applyNumberFormat="1" applyFont="1" applyFill="1" applyBorder="1" applyAlignment="1" applyProtection="1">
      <alignment horizontal="center"/>
      <protection locked="0"/>
    </xf>
    <xf numFmtId="3" fontId="7" fillId="3" borderId="5" xfId="0" applyNumberFormat="1" applyFont="1" applyFill="1" applyBorder="1" applyAlignment="1" applyProtection="1">
      <alignment horizontal="center"/>
      <protection locked="0"/>
    </xf>
    <xf numFmtId="169" fontId="7" fillId="3" borderId="5" xfId="0" applyNumberFormat="1" applyFont="1" applyFill="1" applyBorder="1" applyAlignment="1" applyProtection="1">
      <alignment horizontal="center"/>
      <protection locked="0"/>
    </xf>
    <xf numFmtId="170" fontId="8" fillId="0" borderId="80" xfId="0" applyNumberFormat="1" applyFont="1" applyBorder="1"/>
    <xf numFmtId="174" fontId="10" fillId="0" borderId="82" xfId="0" applyNumberFormat="1" applyFont="1" applyBorder="1" applyAlignment="1">
      <alignment horizontal="center"/>
    </xf>
    <xf numFmtId="170" fontId="13" fillId="0" borderId="83" xfId="0" applyNumberFormat="1" applyFont="1" applyBorder="1"/>
    <xf numFmtId="170" fontId="13" fillId="0" borderId="84" xfId="0" applyNumberFormat="1" applyFont="1" applyBorder="1"/>
    <xf numFmtId="174" fontId="10" fillId="0" borderId="85" xfId="0" applyNumberFormat="1" applyFont="1" applyBorder="1" applyAlignment="1">
      <alignment horizontal="center"/>
    </xf>
    <xf numFmtId="0" fontId="10" fillId="0" borderId="86" xfId="0" applyFont="1" applyBorder="1" applyAlignment="1">
      <alignment horizontal="center"/>
    </xf>
    <xf numFmtId="0" fontId="10" fillId="0" borderId="87" xfId="0" applyFont="1" applyBorder="1"/>
    <xf numFmtId="170" fontId="8" fillId="0" borderId="86" xfId="0" applyNumberFormat="1" applyFont="1" applyBorder="1"/>
    <xf numFmtId="170" fontId="13" fillId="0" borderId="88" xfId="0" applyNumberFormat="1" applyFont="1" applyBorder="1"/>
    <xf numFmtId="170" fontId="6" fillId="0" borderId="89" xfId="0" applyNumberFormat="1" applyFont="1" applyBorder="1"/>
    <xf numFmtId="174" fontId="10" fillId="0" borderId="90" xfId="0" applyNumberFormat="1" applyFont="1" applyBorder="1" applyAlignment="1">
      <alignment horizontal="center"/>
    </xf>
    <xf numFmtId="170" fontId="6" fillId="0" borderId="91" xfId="0" applyNumberFormat="1" applyFont="1" applyBorder="1"/>
    <xf numFmtId="174" fontId="9" fillId="4" borderId="92" xfId="0" applyNumberFormat="1" applyFont="1" applyFill="1" applyBorder="1" applyAlignment="1">
      <alignment horizontal="center"/>
    </xf>
    <xf numFmtId="170" fontId="9" fillId="4" borderId="93" xfId="0" applyNumberFormat="1" applyFont="1" applyFill="1" applyBorder="1"/>
    <xf numFmtId="174" fontId="10" fillId="0" borderId="94" xfId="0" applyNumberFormat="1" applyFont="1" applyBorder="1" applyAlignment="1">
      <alignment horizontal="center"/>
    </xf>
    <xf numFmtId="0" fontId="10" fillId="0" borderId="95" xfId="0" applyFont="1" applyBorder="1" applyAlignment="1">
      <alignment horizontal="center"/>
    </xf>
    <xf numFmtId="0" fontId="10" fillId="0" borderId="96" xfId="0" applyFont="1" applyBorder="1"/>
    <xf numFmtId="170" fontId="8" fillId="0" borderId="95" xfId="0" applyNumberFormat="1" applyFont="1" applyBorder="1"/>
    <xf numFmtId="170" fontId="13" fillId="0" borderId="97" xfId="0" applyNumberFormat="1" applyFont="1" applyBorder="1"/>
    <xf numFmtId="170" fontId="6" fillId="0" borderId="98" xfId="0" applyNumberFormat="1" applyFont="1" applyBorder="1"/>
    <xf numFmtId="174" fontId="10" fillId="0" borderId="99" xfId="0" applyNumberFormat="1" applyFont="1" applyBorder="1" applyAlignment="1">
      <alignment horizontal="center"/>
    </xf>
    <xf numFmtId="170" fontId="13" fillId="0" borderId="100" xfId="0" applyNumberFormat="1" applyFont="1" applyBorder="1"/>
    <xf numFmtId="174" fontId="10" fillId="0" borderId="92" xfId="0" applyNumberFormat="1" applyFont="1" applyBorder="1" applyAlignment="1">
      <alignment horizontal="center"/>
    </xf>
    <xf numFmtId="174" fontId="10" fillId="0" borderId="101" xfId="0" applyNumberFormat="1" applyFont="1" applyBorder="1" applyAlignment="1">
      <alignment horizontal="center"/>
    </xf>
    <xf numFmtId="0" fontId="6" fillId="0" borderId="0" xfId="0" quotePrefix="1" applyFont="1"/>
    <xf numFmtId="0" fontId="86" fillId="9" borderId="1" xfId="0" applyFont="1" applyFill="1" applyBorder="1"/>
    <xf numFmtId="174" fontId="18" fillId="0" borderId="82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7" fontId="6" fillId="0" borderId="0" xfId="0" applyNumberFormat="1" applyFont="1"/>
    <xf numFmtId="180" fontId="10" fillId="0" borderId="0" xfId="0" quotePrefix="1" applyNumberFormat="1" applyFont="1" applyAlignment="1">
      <alignment horizontal="left"/>
    </xf>
    <xf numFmtId="185" fontId="10" fillId="0" borderId="92" xfId="0" applyNumberFormat="1" applyFont="1" applyBorder="1" applyAlignment="1">
      <alignment horizontal="center"/>
    </xf>
    <xf numFmtId="170" fontId="13" fillId="0" borderId="93" xfId="0" applyNumberFormat="1" applyFont="1" applyBorder="1"/>
    <xf numFmtId="0" fontId="0" fillId="0" borderId="7" xfId="0" quotePrefix="1" applyBorder="1"/>
    <xf numFmtId="166" fontId="6" fillId="0" borderId="0" xfId="0" applyNumberFormat="1" applyFont="1"/>
    <xf numFmtId="170" fontId="6" fillId="0" borderId="33" xfId="0" applyNumberFormat="1" applyFont="1" applyBorder="1"/>
    <xf numFmtId="165" fontId="0" fillId="0" borderId="0" xfId="0" applyNumberFormat="1"/>
    <xf numFmtId="0" fontId="10" fillId="0" borderId="87" xfId="0" applyFont="1" applyBorder="1" applyAlignment="1">
      <alignment horizontal="center"/>
    </xf>
    <xf numFmtId="170" fontId="13" fillId="0" borderId="80" xfId="0" applyNumberFormat="1" applyFont="1" applyBorder="1"/>
    <xf numFmtId="185" fontId="10" fillId="0" borderId="82" xfId="0" applyNumberFormat="1" applyFont="1" applyBorder="1" applyAlignment="1">
      <alignment horizontal="center"/>
    </xf>
    <xf numFmtId="185" fontId="10" fillId="0" borderId="104" xfId="0" applyNumberFormat="1" applyFont="1" applyBorder="1" applyAlignment="1">
      <alignment horizontal="center"/>
    </xf>
    <xf numFmtId="0" fontId="10" fillId="0" borderId="96" xfId="0" applyFont="1" applyBorder="1" applyAlignment="1">
      <alignment horizontal="center"/>
    </xf>
    <xf numFmtId="180" fontId="10" fillId="0" borderId="105" xfId="0" applyNumberFormat="1" applyFont="1" applyBorder="1" applyAlignment="1">
      <alignment horizontal="left"/>
    </xf>
    <xf numFmtId="0" fontId="6" fillId="0" borderId="95" xfId="0" applyFont="1" applyBorder="1" applyAlignment="1" applyProtection="1">
      <alignment horizontal="center"/>
      <protection locked="0"/>
    </xf>
    <xf numFmtId="170" fontId="13" fillId="0" borderId="105" xfId="0" applyNumberFormat="1" applyFont="1" applyBorder="1"/>
    <xf numFmtId="0" fontId="10" fillId="0" borderId="97" xfId="0" applyFont="1" applyBorder="1" applyAlignment="1">
      <alignment horizontal="center"/>
    </xf>
    <xf numFmtId="185" fontId="87" fillId="10" borderId="82" xfId="0" applyNumberFormat="1" applyFont="1" applyFill="1" applyBorder="1" applyAlignment="1">
      <alignment horizontal="center"/>
    </xf>
    <xf numFmtId="0" fontId="87" fillId="10" borderId="15" xfId="0" applyFont="1" applyFill="1" applyBorder="1" applyAlignment="1">
      <alignment horizontal="center"/>
    </xf>
    <xf numFmtId="180" fontId="87" fillId="10" borderId="0" xfId="0" applyNumberFormat="1" applyFont="1" applyFill="1" applyAlignment="1">
      <alignment horizontal="left"/>
    </xf>
    <xf numFmtId="170" fontId="88" fillId="10" borderId="3" xfId="0" applyNumberFormat="1" applyFont="1" applyFill="1" applyBorder="1"/>
    <xf numFmtId="170" fontId="88" fillId="10" borderId="0" xfId="0" applyNumberFormat="1" applyFont="1" applyFill="1"/>
    <xf numFmtId="0" fontId="88" fillId="10" borderId="2" xfId="0" applyFont="1" applyFill="1" applyBorder="1" applyAlignment="1">
      <alignment horizontal="center"/>
    </xf>
    <xf numFmtId="170" fontId="88" fillId="10" borderId="83" xfId="0" applyNumberFormat="1" applyFont="1" applyFill="1" applyBorder="1"/>
    <xf numFmtId="174" fontId="10" fillId="5" borderId="90" xfId="0" applyNumberFormat="1" applyFont="1" applyFill="1" applyBorder="1" applyAlignment="1">
      <alignment horizontal="center"/>
    </xf>
    <xf numFmtId="170" fontId="6" fillId="5" borderId="91" xfId="0" applyNumberFormat="1" applyFont="1" applyFill="1" applyBorder="1"/>
    <xf numFmtId="173" fontId="10" fillId="0" borderId="87" xfId="0" applyNumberFormat="1" applyFont="1" applyBorder="1"/>
    <xf numFmtId="0" fontId="10" fillId="0" borderId="87" xfId="0" quotePrefix="1" applyFont="1" applyBorder="1"/>
    <xf numFmtId="8" fontId="0" fillId="0" borderId="0" xfId="0" applyNumberFormat="1"/>
    <xf numFmtId="43" fontId="6" fillId="0" borderId="0" xfId="0" applyNumberFormat="1" applyFont="1"/>
    <xf numFmtId="185" fontId="87" fillId="10" borderId="26" xfId="0" applyNumberFormat="1" applyFont="1" applyFill="1" applyBorder="1" applyAlignment="1">
      <alignment horizontal="center"/>
    </xf>
    <xf numFmtId="174" fontId="18" fillId="0" borderId="103" xfId="0" applyNumberFormat="1" applyFont="1" applyBorder="1" applyAlignment="1">
      <alignment horizontal="center"/>
    </xf>
    <xf numFmtId="174" fontId="18" fillId="0" borderId="106" xfId="0" applyNumberFormat="1" applyFont="1" applyBorder="1" applyAlignment="1">
      <alignment horizontal="center"/>
    </xf>
    <xf numFmtId="0" fontId="18" fillId="0" borderId="106" xfId="0" applyFont="1" applyBorder="1"/>
    <xf numFmtId="170" fontId="18" fillId="0" borderId="80" xfId="0" applyNumberFormat="1" applyFont="1" applyBorder="1"/>
    <xf numFmtId="174" fontId="18" fillId="0" borderId="104" xfId="0" applyNumberFormat="1" applyFont="1" applyBorder="1" applyAlignment="1">
      <alignment horizontal="center"/>
    </xf>
    <xf numFmtId="174" fontId="18" fillId="0" borderId="107" xfId="0" applyNumberFormat="1" applyFont="1" applyBorder="1" applyAlignment="1">
      <alignment horizontal="center"/>
    </xf>
    <xf numFmtId="0" fontId="18" fillId="0" borderId="107" xfId="0" applyFont="1" applyBorder="1"/>
    <xf numFmtId="170" fontId="18" fillId="0" borderId="105" xfId="0" applyNumberFormat="1" applyFont="1" applyBorder="1"/>
    <xf numFmtId="170" fontId="18" fillId="0" borderId="81" xfId="0" applyNumberFormat="1" applyFont="1" applyBorder="1"/>
    <xf numFmtId="170" fontId="18" fillId="0" borderId="84" xfId="0" applyNumberFormat="1" applyFont="1" applyBorder="1"/>
    <xf numFmtId="174" fontId="18" fillId="0" borderId="0" xfId="0" applyNumberFormat="1" applyFont="1" applyAlignment="1">
      <alignment horizontal="center"/>
    </xf>
    <xf numFmtId="174" fontId="18" fillId="0" borderId="80" xfId="0" applyNumberFormat="1" applyFont="1" applyBorder="1" applyAlignment="1">
      <alignment horizontal="center"/>
    </xf>
    <xf numFmtId="174" fontId="18" fillId="0" borderId="105" xfId="0" applyNumberFormat="1" applyFont="1" applyBorder="1" applyAlignment="1">
      <alignment horizontal="center"/>
    </xf>
    <xf numFmtId="174" fontId="18" fillId="0" borderId="22" xfId="0" applyNumberFormat="1" applyFont="1" applyBorder="1" applyAlignment="1">
      <alignment horizontal="center"/>
    </xf>
    <xf numFmtId="174" fontId="18" fillId="0" borderId="40" xfId="0" applyNumberFormat="1" applyFont="1" applyBorder="1" applyAlignment="1">
      <alignment horizontal="center"/>
    </xf>
    <xf numFmtId="170" fontId="18" fillId="0" borderId="83" xfId="0" applyNumberFormat="1" applyFont="1" applyBorder="1"/>
    <xf numFmtId="0" fontId="18" fillId="0" borderId="106" xfId="0" applyFont="1" applyBorder="1" applyAlignment="1">
      <alignment horizontal="center"/>
    </xf>
    <xf numFmtId="0" fontId="18" fillId="0" borderId="107" xfId="0" applyFont="1" applyBorder="1" applyAlignment="1">
      <alignment horizontal="center"/>
    </xf>
    <xf numFmtId="174" fontId="10" fillId="0" borderId="108" xfId="0" applyNumberFormat="1" applyFont="1" applyBorder="1" applyAlignment="1">
      <alignment horizontal="center"/>
    </xf>
    <xf numFmtId="174" fontId="18" fillId="0" borderId="108" xfId="0" applyNumberFormat="1" applyFont="1" applyBorder="1" applyAlignment="1">
      <alignment horizontal="center"/>
    </xf>
    <xf numFmtId="0" fontId="6" fillId="0" borderId="108" xfId="0" applyFont="1" applyBorder="1"/>
    <xf numFmtId="0" fontId="18" fillId="0" borderId="108" xfId="0" applyFont="1" applyBorder="1"/>
    <xf numFmtId="170" fontId="8" fillId="0" borderId="108" xfId="0" applyNumberFormat="1" applyFont="1" applyBorder="1"/>
    <xf numFmtId="170" fontId="18" fillId="0" borderId="108" xfId="0" applyNumberFormat="1" applyFont="1" applyBorder="1"/>
    <xf numFmtId="174" fontId="18" fillId="0" borderId="109" xfId="0" applyNumberFormat="1" applyFont="1" applyBorder="1" applyAlignment="1">
      <alignment horizontal="center"/>
    </xf>
    <xf numFmtId="0" fontId="18" fillId="0" borderId="109" xfId="0" applyFont="1" applyBorder="1"/>
    <xf numFmtId="170" fontId="18" fillId="0" borderId="109" xfId="0" applyNumberFormat="1" applyFont="1" applyBorder="1"/>
    <xf numFmtId="174" fontId="18" fillId="0" borderId="110" xfId="0" applyNumberFormat="1" applyFont="1" applyBorder="1" applyAlignment="1">
      <alignment horizontal="center"/>
    </xf>
    <xf numFmtId="0" fontId="18" fillId="0" borderId="110" xfId="0" applyFont="1" applyBorder="1"/>
    <xf numFmtId="170" fontId="18" fillId="0" borderId="110" xfId="0" applyNumberFormat="1" applyFont="1" applyBorder="1"/>
    <xf numFmtId="0" fontId="10" fillId="0" borderId="111" xfId="0" applyFont="1" applyBorder="1"/>
    <xf numFmtId="0" fontId="6" fillId="0" borderId="111" xfId="0" applyFont="1" applyBorder="1"/>
    <xf numFmtId="14" fontId="6" fillId="0" borderId="111" xfId="0" applyNumberFormat="1" applyFont="1" applyBorder="1"/>
    <xf numFmtId="0" fontId="6" fillId="0" borderId="111" xfId="0" applyFont="1" applyBorder="1" applyAlignment="1">
      <alignment horizontal="center"/>
    </xf>
    <xf numFmtId="0" fontId="11" fillId="0" borderId="111" xfId="0" applyFont="1" applyBorder="1"/>
    <xf numFmtId="172" fontId="6" fillId="0" borderId="111" xfId="0" applyNumberFormat="1" applyFont="1" applyBorder="1"/>
    <xf numFmtId="172" fontId="10" fillId="0" borderId="111" xfId="0" applyNumberFormat="1" applyFont="1" applyBorder="1"/>
    <xf numFmtId="0" fontId="6" fillId="0" borderId="111" xfId="0" applyFont="1" applyBorder="1" applyAlignment="1">
      <alignment wrapText="1"/>
    </xf>
    <xf numFmtId="16" fontId="6" fillId="0" borderId="111" xfId="0" applyNumberFormat="1" applyFont="1" applyBorder="1" applyAlignment="1">
      <alignment horizontal="center"/>
    </xf>
    <xf numFmtId="0" fontId="0" fillId="0" borderId="111" xfId="0" applyBorder="1"/>
    <xf numFmtId="0" fontId="5" fillId="0" borderId="111" xfId="3" applyBorder="1"/>
    <xf numFmtId="174" fontId="10" fillId="0" borderId="112" xfId="0" applyNumberFormat="1" applyFont="1" applyBorder="1" applyAlignment="1">
      <alignment horizontal="center"/>
    </xf>
    <xf numFmtId="170" fontId="13" fillId="0" borderId="113" xfId="0" applyNumberFormat="1" applyFont="1" applyBorder="1"/>
    <xf numFmtId="170" fontId="8" fillId="0" borderId="105" xfId="0" applyNumberFormat="1" applyFont="1" applyBorder="1"/>
    <xf numFmtId="174" fontId="18" fillId="0" borderId="114" xfId="0" applyNumberFormat="1" applyFont="1" applyBorder="1" applyAlignment="1">
      <alignment horizontal="center"/>
    </xf>
    <xf numFmtId="171" fontId="18" fillId="0" borderId="115" xfId="4" applyFont="1" applyBorder="1" applyAlignment="1">
      <alignment horizontal="center"/>
    </xf>
    <xf numFmtId="174" fontId="18" fillId="0" borderId="112" xfId="0" applyNumberFormat="1" applyFont="1" applyBorder="1" applyAlignment="1">
      <alignment horizontal="center"/>
    </xf>
    <xf numFmtId="171" fontId="18" fillId="0" borderId="113" xfId="4" applyFont="1" applyBorder="1" applyAlignment="1">
      <alignment horizontal="center"/>
    </xf>
    <xf numFmtId="174" fontId="18" fillId="0" borderId="116" xfId="0" applyNumberFormat="1" applyFont="1" applyBorder="1" applyAlignment="1">
      <alignment horizontal="center"/>
    </xf>
    <xf numFmtId="171" fontId="18" fillId="0" borderId="117" xfId="4" applyFont="1" applyBorder="1" applyAlignment="1">
      <alignment horizontal="center"/>
    </xf>
    <xf numFmtId="174" fontId="10" fillId="0" borderId="118" xfId="0" applyNumberFormat="1" applyFont="1" applyBorder="1" applyAlignment="1">
      <alignment horizontal="center"/>
    </xf>
    <xf numFmtId="170" fontId="13" fillId="0" borderId="119" xfId="0" applyNumberFormat="1" applyFont="1" applyBorder="1"/>
    <xf numFmtId="174" fontId="18" fillId="0" borderId="120" xfId="0" applyNumberFormat="1" applyFont="1" applyBorder="1" applyAlignment="1">
      <alignment horizontal="center"/>
    </xf>
    <xf numFmtId="171" fontId="18" fillId="0" borderId="121" xfId="4" applyFont="1" applyBorder="1" applyAlignment="1">
      <alignment horizontal="center"/>
    </xf>
    <xf numFmtId="174" fontId="18" fillId="0" borderId="118" xfId="0" applyNumberFormat="1" applyFont="1" applyBorder="1" applyAlignment="1">
      <alignment horizontal="center"/>
    </xf>
    <xf numFmtId="171" fontId="18" fillId="0" borderId="119" xfId="4" applyFont="1" applyBorder="1" applyAlignment="1">
      <alignment horizontal="center"/>
    </xf>
    <xf numFmtId="174" fontId="18" fillId="0" borderId="122" xfId="0" applyNumberFormat="1" applyFont="1" applyBorder="1" applyAlignment="1">
      <alignment horizontal="center"/>
    </xf>
    <xf numFmtId="171" fontId="18" fillId="0" borderId="123" xfId="4" applyFont="1" applyBorder="1" applyAlignment="1">
      <alignment horizontal="center"/>
    </xf>
    <xf numFmtId="174" fontId="10" fillId="0" borderId="124" xfId="0" applyNumberFormat="1" applyFont="1" applyBorder="1" applyAlignment="1">
      <alignment horizontal="center"/>
    </xf>
    <xf numFmtId="170" fontId="13" fillId="0" borderId="125" xfId="0" applyNumberFormat="1" applyFont="1" applyBorder="1"/>
    <xf numFmtId="174" fontId="10" fillId="0" borderId="126" xfId="0" applyNumberFormat="1" applyFont="1" applyBorder="1" applyAlignment="1">
      <alignment horizontal="center"/>
    </xf>
    <xf numFmtId="174" fontId="10" fillId="0" borderId="127" xfId="0" applyNumberFormat="1" applyFont="1" applyBorder="1" applyAlignment="1">
      <alignment horizontal="center"/>
    </xf>
    <xf numFmtId="0" fontId="6" fillId="0" borderId="128" xfId="0" applyFont="1" applyBorder="1"/>
    <xf numFmtId="170" fontId="8" fillId="0" borderId="127" xfId="0" applyNumberFormat="1" applyFont="1" applyBorder="1"/>
    <xf numFmtId="170" fontId="13" fillId="0" borderId="129" xfId="0" applyNumberFormat="1" applyFont="1" applyBorder="1"/>
    <xf numFmtId="0" fontId="6" fillId="0" borderId="130" xfId="0" applyFont="1" applyBorder="1"/>
    <xf numFmtId="174" fontId="18" fillId="4" borderId="124" xfId="0" applyNumberFormat="1" applyFont="1" applyFill="1" applyBorder="1"/>
    <xf numFmtId="170" fontId="13" fillId="9" borderId="119" xfId="0" applyNumberFormat="1" applyFont="1" applyFill="1" applyBorder="1"/>
    <xf numFmtId="170" fontId="18" fillId="0" borderId="106" xfId="0" applyNumberFormat="1" applyFont="1" applyBorder="1"/>
    <xf numFmtId="170" fontId="18" fillId="0" borderId="107" xfId="0" applyNumberFormat="1" applyFont="1" applyBorder="1"/>
    <xf numFmtId="0" fontId="6" fillId="0" borderId="108" xfId="0" quotePrefix="1" applyFont="1" applyBorder="1"/>
    <xf numFmtId="44" fontId="6" fillId="0" borderId="0" xfId="0" applyNumberFormat="1" applyFont="1"/>
    <xf numFmtId="0" fontId="10" fillId="0" borderId="15" xfId="0" quotePrefix="1" applyFont="1" applyBorder="1"/>
    <xf numFmtId="174" fontId="18" fillId="11" borderId="41" xfId="0" applyNumberFormat="1" applyFont="1" applyFill="1" applyBorder="1" applyAlignment="1">
      <alignment horizontal="center"/>
    </xf>
    <xf numFmtId="0" fontId="18" fillId="11" borderId="41" xfId="0" applyFont="1" applyFill="1" applyBorder="1" applyAlignment="1">
      <alignment horizontal="center"/>
    </xf>
    <xf numFmtId="0" fontId="18" fillId="11" borderId="41" xfId="0" applyFont="1" applyFill="1" applyBorder="1"/>
    <xf numFmtId="170" fontId="8" fillId="11" borderId="0" xfId="0" applyNumberFormat="1" applyFont="1" applyFill="1"/>
    <xf numFmtId="170" fontId="18" fillId="11" borderId="41" xfId="0" applyNumberFormat="1" applyFont="1" applyFill="1" applyBorder="1"/>
    <xf numFmtId="174" fontId="10" fillId="0" borderId="131" xfId="0" applyNumberFormat="1" applyFont="1" applyBorder="1" applyAlignment="1">
      <alignment horizontal="center"/>
    </xf>
    <xf numFmtId="174" fontId="10" fillId="0" borderId="132" xfId="0" applyNumberFormat="1" applyFont="1" applyBorder="1" applyAlignment="1">
      <alignment horizontal="center"/>
    </xf>
    <xf numFmtId="174" fontId="10" fillId="0" borderId="128" xfId="0" applyNumberFormat="1" applyFont="1" applyBorder="1" applyAlignment="1">
      <alignment horizontal="center"/>
    </xf>
    <xf numFmtId="0" fontId="6" fillId="0" borderId="127" xfId="0" applyFont="1" applyBorder="1"/>
    <xf numFmtId="170" fontId="8" fillId="0" borderId="128" xfId="0" applyNumberFormat="1" applyFont="1" applyBorder="1"/>
    <xf numFmtId="180" fontId="0" fillId="0" borderId="99" xfId="0" applyNumberFormat="1" applyBorder="1"/>
    <xf numFmtId="180" fontId="0" fillId="0" borderId="92" xfId="0" applyNumberFormat="1" applyBorder="1"/>
    <xf numFmtId="170" fontId="13" fillId="0" borderId="133" xfId="0" applyNumberFormat="1" applyFont="1" applyBorder="1"/>
    <xf numFmtId="180" fontId="0" fillId="0" borderId="101" xfId="0" applyNumberFormat="1" applyBorder="1"/>
    <xf numFmtId="174" fontId="10" fillId="0" borderId="134" xfId="0" applyNumberFormat="1" applyFont="1" applyBorder="1" applyAlignment="1">
      <alignment horizontal="center"/>
    </xf>
    <xf numFmtId="0" fontId="10" fillId="0" borderId="135" xfId="0" applyFont="1" applyBorder="1" applyAlignment="1">
      <alignment horizontal="center"/>
    </xf>
    <xf numFmtId="0" fontId="10" fillId="0" borderId="136" xfId="0" applyFont="1" applyBorder="1"/>
    <xf numFmtId="170" fontId="8" fillId="0" borderId="135" xfId="0" applyNumberFormat="1" applyFont="1" applyBorder="1"/>
    <xf numFmtId="170" fontId="13" fillId="0" borderId="135" xfId="0" applyNumberFormat="1" applyFont="1" applyBorder="1"/>
    <xf numFmtId="170" fontId="6" fillId="0" borderId="137" xfId="0" applyNumberFormat="1" applyFont="1" applyBorder="1"/>
    <xf numFmtId="170" fontId="6" fillId="0" borderId="125" xfId="0" applyNumberFormat="1" applyFont="1" applyBorder="1"/>
    <xf numFmtId="174" fontId="10" fillId="0" borderId="138" xfId="0" applyNumberFormat="1" applyFont="1" applyBorder="1" applyAlignment="1">
      <alignment horizontal="center"/>
    </xf>
    <xf numFmtId="0" fontId="10" fillId="0" borderId="130" xfId="0" applyFont="1" applyBorder="1" applyAlignment="1">
      <alignment horizontal="center"/>
    </xf>
    <xf numFmtId="0" fontId="10" fillId="0" borderId="139" xfId="0" applyFont="1" applyBorder="1"/>
    <xf numFmtId="170" fontId="8" fillId="0" borderId="130" xfId="0" applyNumberFormat="1" applyFont="1" applyBorder="1"/>
    <xf numFmtId="170" fontId="13" fillId="0" borderId="130" xfId="0" applyNumberFormat="1" applyFont="1" applyBorder="1"/>
    <xf numFmtId="170" fontId="6" fillId="0" borderId="140" xfId="0" applyNumberFormat="1" applyFont="1" applyBorder="1"/>
    <xf numFmtId="0" fontId="10" fillId="0" borderId="136" xfId="0" quotePrefix="1" applyFont="1" applyBorder="1"/>
    <xf numFmtId="174" fontId="10" fillId="11" borderId="90" xfId="0" applyNumberFormat="1" applyFont="1" applyFill="1" applyBorder="1" applyAlignment="1">
      <alignment horizontal="center"/>
    </xf>
    <xf numFmtId="0" fontId="10" fillId="11" borderId="3" xfId="0" applyFont="1" applyFill="1" applyBorder="1" applyAlignment="1">
      <alignment horizontal="center"/>
    </xf>
    <xf numFmtId="0" fontId="10" fillId="11" borderId="15" xfId="0" applyFont="1" applyFill="1" applyBorder="1"/>
    <xf numFmtId="170" fontId="8" fillId="11" borderId="3" xfId="0" applyNumberFormat="1" applyFont="1" applyFill="1" applyBorder="1"/>
    <xf numFmtId="170" fontId="13" fillId="11" borderId="2" xfId="0" applyNumberFormat="1" applyFont="1" applyFill="1" applyBorder="1"/>
    <xf numFmtId="170" fontId="6" fillId="11" borderId="91" xfId="0" applyNumberFormat="1" applyFont="1" applyFill="1" applyBorder="1"/>
    <xf numFmtId="170" fontId="6" fillId="0" borderId="91" xfId="0" quotePrefix="1" applyNumberFormat="1" applyFont="1" applyBorder="1"/>
    <xf numFmtId="169" fontId="8" fillId="0" borderId="95" xfId="0" applyNumberFormat="1" applyFont="1" applyBorder="1"/>
    <xf numFmtId="0" fontId="18" fillId="0" borderId="80" xfId="0" applyFont="1" applyBorder="1"/>
    <xf numFmtId="0" fontId="18" fillId="0" borderId="105" xfId="0" applyFont="1" applyBorder="1"/>
    <xf numFmtId="170" fontId="8" fillId="0" borderId="109" xfId="0" applyNumberFormat="1" applyFont="1" applyBorder="1"/>
    <xf numFmtId="170" fontId="8" fillId="0" borderId="110" xfId="0" applyNumberFormat="1" applyFont="1" applyBorder="1"/>
    <xf numFmtId="174" fontId="18" fillId="0" borderId="141" xfId="0" applyNumberFormat="1" applyFont="1" applyBorder="1" applyAlignment="1">
      <alignment horizontal="center"/>
    </xf>
    <xf numFmtId="171" fontId="18" fillId="0" borderId="142" xfId="4" applyFont="1" applyBorder="1" applyAlignment="1">
      <alignment horizontal="center"/>
    </xf>
    <xf numFmtId="174" fontId="18" fillId="0" borderId="143" xfId="0" applyNumberFormat="1" applyFont="1" applyBorder="1" applyAlignment="1">
      <alignment horizontal="center"/>
    </xf>
    <xf numFmtId="171" fontId="18" fillId="0" borderId="144" xfId="4" applyFont="1" applyBorder="1" applyAlignment="1">
      <alignment horizontal="center"/>
    </xf>
    <xf numFmtId="174" fontId="18" fillId="0" borderId="99" xfId="0" applyNumberFormat="1" applyFont="1" applyBorder="1" applyAlignment="1">
      <alignment horizontal="center"/>
    </xf>
    <xf numFmtId="174" fontId="18" fillId="0" borderId="101" xfId="0" applyNumberFormat="1" applyFont="1" applyBorder="1" applyAlignment="1">
      <alignment horizontal="center"/>
    </xf>
    <xf numFmtId="170" fontId="13" fillId="0" borderId="145" xfId="0" applyNumberFormat="1" applyFont="1" applyBorder="1"/>
    <xf numFmtId="170" fontId="6" fillId="0" borderId="146" xfId="0" applyNumberFormat="1" applyFont="1" applyBorder="1"/>
    <xf numFmtId="170" fontId="6" fillId="0" borderId="147" xfId="0" applyNumberFormat="1" applyFont="1" applyBorder="1"/>
    <xf numFmtId="170" fontId="13" fillId="0" borderId="148" xfId="0" applyNumberFormat="1" applyFont="1" applyBorder="1"/>
    <xf numFmtId="170" fontId="6" fillId="0" borderId="149" xfId="0" applyNumberFormat="1" applyFont="1" applyBorder="1"/>
    <xf numFmtId="174" fontId="18" fillId="0" borderId="131" xfId="0" applyNumberFormat="1" applyFont="1" applyBorder="1" applyAlignment="1">
      <alignment horizontal="center"/>
    </xf>
    <xf numFmtId="171" fontId="18" fillId="0" borderId="150" xfId="4" applyFont="1" applyBorder="1" applyAlignment="1">
      <alignment horizontal="center"/>
    </xf>
    <xf numFmtId="174" fontId="10" fillId="11" borderId="124" xfId="0" applyNumberFormat="1" applyFont="1" applyFill="1" applyBorder="1" applyAlignment="1">
      <alignment horizontal="center"/>
    </xf>
    <xf numFmtId="170" fontId="6" fillId="11" borderId="147" xfId="0" applyNumberFormat="1" applyFont="1" applyFill="1" applyBorder="1"/>
    <xf numFmtId="174" fontId="9" fillId="4" borderId="131" xfId="0" applyNumberFormat="1" applyFont="1" applyFill="1" applyBorder="1" applyAlignment="1">
      <alignment horizontal="center"/>
    </xf>
    <xf numFmtId="170" fontId="9" fillId="4" borderId="125" xfId="0" applyNumberFormat="1" applyFont="1" applyFill="1" applyBorder="1"/>
    <xf numFmtId="170" fontId="18" fillId="0" borderId="151" xfId="0" applyNumberFormat="1" applyFont="1" applyBorder="1"/>
    <xf numFmtId="170" fontId="18" fillId="0" borderId="152" xfId="0" applyNumberFormat="1" applyFont="1" applyBorder="1"/>
    <xf numFmtId="180" fontId="10" fillId="0" borderId="105" xfId="0" quotePrefix="1" applyNumberFormat="1" applyFont="1" applyBorder="1" applyAlignment="1">
      <alignment horizontal="left"/>
    </xf>
    <xf numFmtId="185" fontId="87" fillId="10" borderId="104" xfId="0" applyNumberFormat="1" applyFont="1" applyFill="1" applyBorder="1" applyAlignment="1">
      <alignment horizontal="center"/>
    </xf>
    <xf numFmtId="0" fontId="87" fillId="10" borderId="96" xfId="0" applyFont="1" applyFill="1" applyBorder="1" applyAlignment="1">
      <alignment horizontal="center"/>
    </xf>
    <xf numFmtId="180" fontId="87" fillId="10" borderId="105" xfId="0" applyNumberFormat="1" applyFont="1" applyFill="1" applyBorder="1" applyAlignment="1">
      <alignment horizontal="left"/>
    </xf>
    <xf numFmtId="170" fontId="88" fillId="10" borderId="95" xfId="0" applyNumberFormat="1" applyFont="1" applyFill="1" applyBorder="1"/>
    <xf numFmtId="170" fontId="88" fillId="10" borderId="105" xfId="0" applyNumberFormat="1" applyFont="1" applyFill="1" applyBorder="1"/>
    <xf numFmtId="0" fontId="88" fillId="10" borderId="97" xfId="0" applyFont="1" applyFill="1" applyBorder="1" applyAlignment="1">
      <alignment horizontal="center"/>
    </xf>
    <xf numFmtId="170" fontId="88" fillId="10" borderId="84" xfId="0" applyNumberFormat="1" applyFont="1" applyFill="1" applyBorder="1"/>
    <xf numFmtId="0" fontId="6" fillId="12" borderId="0" xfId="0" applyFont="1" applyFill="1" applyAlignment="1">
      <alignment horizontal="center"/>
    </xf>
    <xf numFmtId="170" fontId="13" fillId="0" borderId="111" xfId="0" applyNumberFormat="1" applyFont="1" applyBorder="1"/>
    <xf numFmtId="170" fontId="8" fillId="0" borderId="111" xfId="0" applyNumberFormat="1" applyFont="1" applyBorder="1"/>
    <xf numFmtId="170" fontId="18" fillId="0" borderId="111" xfId="0" applyNumberFormat="1" applyFont="1" applyBorder="1"/>
    <xf numFmtId="3" fontId="13" fillId="0" borderId="111" xfId="0" applyNumberFormat="1" applyFont="1" applyBorder="1" applyAlignment="1">
      <alignment horizontal="center"/>
    </xf>
    <xf numFmtId="10" fontId="18" fillId="0" borderId="111" xfId="0" applyNumberFormat="1" applyFont="1" applyBorder="1"/>
    <xf numFmtId="170" fontId="13" fillId="0" borderId="150" xfId="0" applyNumberFormat="1" applyFont="1" applyBorder="1"/>
    <xf numFmtId="170" fontId="18" fillId="0" borderId="119" xfId="0" applyNumberFormat="1" applyFont="1" applyBorder="1"/>
    <xf numFmtId="170" fontId="9" fillId="0" borderId="119" xfId="0" applyNumberFormat="1" applyFont="1" applyBorder="1"/>
    <xf numFmtId="174" fontId="18" fillId="0" borderId="153" xfId="0" applyNumberFormat="1" applyFont="1" applyBorder="1" applyAlignment="1">
      <alignment horizontal="center"/>
    </xf>
    <xf numFmtId="170" fontId="18" fillId="0" borderId="154" xfId="0" applyNumberFormat="1" applyFont="1" applyBorder="1"/>
    <xf numFmtId="174" fontId="18" fillId="0" borderId="155" xfId="0" applyNumberFormat="1" applyFont="1" applyBorder="1" applyAlignment="1">
      <alignment horizontal="center"/>
    </xf>
    <xf numFmtId="170" fontId="18" fillId="0" borderId="156" xfId="0" applyNumberFormat="1" applyFont="1" applyBorder="1"/>
    <xf numFmtId="170" fontId="18" fillId="0" borderId="121" xfId="0" applyNumberFormat="1" applyFont="1" applyBorder="1"/>
    <xf numFmtId="170" fontId="18" fillId="0" borderId="123" xfId="0" applyNumberFormat="1" applyFont="1" applyBorder="1"/>
    <xf numFmtId="174" fontId="18" fillId="0" borderId="85" xfId="0" applyNumberFormat="1" applyFont="1" applyBorder="1" applyAlignment="1">
      <alignment horizontal="center"/>
    </xf>
    <xf numFmtId="0" fontId="18" fillId="0" borderId="86" xfId="0" applyFont="1" applyBorder="1"/>
    <xf numFmtId="174" fontId="18" fillId="0" borderId="94" xfId="0" applyNumberFormat="1" applyFont="1" applyBorder="1" applyAlignment="1">
      <alignment horizontal="center"/>
    </xf>
    <xf numFmtId="0" fontId="18" fillId="0" borderId="95" xfId="0" applyFont="1" applyBorder="1"/>
    <xf numFmtId="170" fontId="18" fillId="0" borderId="158" xfId="0" applyNumberFormat="1" applyFont="1" applyBorder="1"/>
    <xf numFmtId="170" fontId="18" fillId="0" borderId="159" xfId="0" applyNumberFormat="1" applyFont="1" applyBorder="1"/>
    <xf numFmtId="174" fontId="10" fillId="9" borderId="160" xfId="0" applyNumberFormat="1" applyFont="1" applyFill="1" applyBorder="1" applyAlignment="1">
      <alignment horizontal="center"/>
    </xf>
    <xf numFmtId="174" fontId="10" fillId="9" borderId="161" xfId="0" applyNumberFormat="1" applyFont="1" applyFill="1" applyBorder="1" applyAlignment="1">
      <alignment horizontal="center"/>
    </xf>
    <xf numFmtId="0" fontId="89" fillId="9" borderId="162" xfId="0" quotePrefix="1" applyFont="1" applyFill="1" applyBorder="1"/>
    <xf numFmtId="170" fontId="8" fillId="9" borderId="161" xfId="0" applyNumberFormat="1" applyFont="1" applyFill="1" applyBorder="1"/>
    <xf numFmtId="170" fontId="13" fillId="9" borderId="163" xfId="0" applyNumberFormat="1" applyFont="1" applyFill="1" applyBorder="1"/>
    <xf numFmtId="174" fontId="10" fillId="0" borderId="164" xfId="0" applyNumberFormat="1" applyFont="1" applyBorder="1" applyAlignment="1">
      <alignment horizontal="center"/>
    </xf>
    <xf numFmtId="174" fontId="10" fillId="0" borderId="167" xfId="0" applyNumberFormat="1" applyFont="1" applyBorder="1" applyAlignment="1">
      <alignment horizontal="center"/>
    </xf>
    <xf numFmtId="0" fontId="89" fillId="9" borderId="12" xfId="0" quotePrefix="1" applyFont="1" applyFill="1" applyBorder="1"/>
    <xf numFmtId="0" fontId="89" fillId="9" borderId="12" xfId="0" applyFont="1" applyFill="1" applyBorder="1"/>
    <xf numFmtId="174" fontId="10" fillId="9" borderId="168" xfId="0" applyNumberFormat="1" applyFont="1" applyFill="1" applyBorder="1" applyAlignment="1">
      <alignment horizontal="center"/>
    </xf>
    <xf numFmtId="174" fontId="10" fillId="9" borderId="162" xfId="0" applyNumberFormat="1" applyFont="1" applyFill="1" applyBorder="1" applyAlignment="1">
      <alignment horizontal="center"/>
    </xf>
    <xf numFmtId="0" fontId="89" fillId="9" borderId="161" xfId="0" quotePrefix="1" applyFont="1" applyFill="1" applyBorder="1"/>
    <xf numFmtId="170" fontId="8" fillId="9" borderId="162" xfId="0" applyNumberFormat="1" applyFont="1" applyFill="1" applyBorder="1"/>
    <xf numFmtId="0" fontId="89" fillId="9" borderId="169" xfId="0" quotePrefix="1" applyFont="1" applyFill="1" applyBorder="1"/>
    <xf numFmtId="174" fontId="10" fillId="9" borderId="170" xfId="0" applyNumberFormat="1" applyFont="1" applyFill="1" applyBorder="1" applyAlignment="1">
      <alignment horizontal="center"/>
    </xf>
    <xf numFmtId="174" fontId="10" fillId="9" borderId="169" xfId="0" applyNumberFormat="1" applyFont="1" applyFill="1" applyBorder="1" applyAlignment="1">
      <alignment horizontal="center"/>
    </xf>
    <xf numFmtId="170" fontId="8" fillId="9" borderId="169" xfId="0" applyNumberFormat="1" applyFont="1" applyFill="1" applyBorder="1"/>
    <xf numFmtId="170" fontId="13" fillId="9" borderId="171" xfId="0" applyNumberFormat="1" applyFont="1" applyFill="1" applyBorder="1"/>
    <xf numFmtId="17" fontId="89" fillId="9" borderId="12" xfId="0" quotePrefix="1" applyNumberFormat="1" applyFont="1" applyFill="1" applyBorder="1"/>
    <xf numFmtId="0" fontId="10" fillId="9" borderId="162" xfId="0" applyFont="1" applyFill="1" applyBorder="1" applyAlignment="1">
      <alignment horizontal="center"/>
    </xf>
    <xf numFmtId="0" fontId="89" fillId="9" borderId="135" xfId="0" applyFont="1" applyFill="1" applyBorder="1"/>
    <xf numFmtId="174" fontId="10" fillId="9" borderId="172" xfId="0" applyNumberFormat="1" applyFont="1" applyFill="1" applyBorder="1" applyAlignment="1">
      <alignment horizontal="center"/>
    </xf>
    <xf numFmtId="174" fontId="10" fillId="9" borderId="173" xfId="0" applyNumberFormat="1" applyFont="1" applyFill="1" applyBorder="1" applyAlignment="1">
      <alignment horizontal="center"/>
    </xf>
    <xf numFmtId="0" fontId="89" fillId="9" borderId="172" xfId="0" quotePrefix="1" applyFont="1" applyFill="1" applyBorder="1"/>
    <xf numFmtId="170" fontId="8" fillId="9" borderId="173" xfId="0" applyNumberFormat="1" applyFont="1" applyFill="1" applyBorder="1"/>
    <xf numFmtId="170" fontId="13" fillId="9" borderId="172" xfId="0" applyNumberFormat="1" applyFont="1" applyFill="1" applyBorder="1"/>
    <xf numFmtId="174" fontId="10" fillId="9" borderId="174" xfId="0" applyNumberFormat="1" applyFont="1" applyFill="1" applyBorder="1" applyAlignment="1">
      <alignment horizontal="center"/>
    </xf>
    <xf numFmtId="170" fontId="13" fillId="9" borderId="175" xfId="0" applyNumberFormat="1" applyFont="1" applyFill="1" applyBorder="1"/>
    <xf numFmtId="174" fontId="10" fillId="9" borderId="176" xfId="0" applyNumberFormat="1" applyFont="1" applyFill="1" applyBorder="1" applyAlignment="1">
      <alignment horizontal="center"/>
    </xf>
    <xf numFmtId="170" fontId="8" fillId="9" borderId="172" xfId="0" applyNumberFormat="1" applyFont="1" applyFill="1" applyBorder="1"/>
    <xf numFmtId="0" fontId="89" fillId="9" borderId="172" xfId="0" applyFont="1" applyFill="1" applyBorder="1"/>
    <xf numFmtId="174" fontId="10" fillId="9" borderId="177" xfId="0" applyNumberFormat="1" applyFont="1" applyFill="1" applyBorder="1" applyAlignment="1">
      <alignment horizontal="center"/>
    </xf>
    <xf numFmtId="170" fontId="13" fillId="9" borderId="178" xfId="0" applyNumberFormat="1" applyFont="1" applyFill="1" applyBorder="1"/>
    <xf numFmtId="0" fontId="89" fillId="9" borderId="135" xfId="0" quotePrefix="1" applyFont="1" applyFill="1" applyBorder="1"/>
    <xf numFmtId="170" fontId="6" fillId="0" borderId="147" xfId="0" quotePrefix="1" applyNumberFormat="1" applyFont="1" applyBorder="1"/>
    <xf numFmtId="180" fontId="0" fillId="0" borderId="99" xfId="0" quotePrefix="1" applyNumberFormat="1" applyBorder="1"/>
    <xf numFmtId="170" fontId="13" fillId="0" borderId="180" xfId="0" applyNumberFormat="1" applyFont="1" applyBorder="1"/>
    <xf numFmtId="174" fontId="10" fillId="0" borderId="181" xfId="0" applyNumberFormat="1" applyFont="1" applyBorder="1" applyAlignment="1">
      <alignment horizontal="center"/>
    </xf>
    <xf numFmtId="170" fontId="6" fillId="0" borderId="182" xfId="0" applyNumberFormat="1" applyFont="1" applyBorder="1"/>
    <xf numFmtId="170" fontId="6" fillId="0" borderId="165" xfId="0" applyNumberFormat="1" applyFont="1" applyBorder="1"/>
    <xf numFmtId="174" fontId="10" fillId="0" borderId="183" xfId="0" applyNumberFormat="1" applyFont="1" applyBorder="1" applyAlignment="1">
      <alignment horizontal="center"/>
    </xf>
    <xf numFmtId="170" fontId="6" fillId="0" borderId="166" xfId="0" applyNumberFormat="1" applyFont="1" applyBorder="1"/>
    <xf numFmtId="174" fontId="10" fillId="0" borderId="184" xfId="0" applyNumberFormat="1" applyFont="1" applyBorder="1" applyAlignment="1">
      <alignment horizontal="center"/>
    </xf>
    <xf numFmtId="170" fontId="6" fillId="0" borderId="185" xfId="0" applyNumberFormat="1" applyFont="1" applyBorder="1"/>
    <xf numFmtId="174" fontId="9" fillId="4" borderId="184" xfId="0" applyNumberFormat="1" applyFont="1" applyFill="1" applyBorder="1" applyAlignment="1">
      <alignment horizontal="center"/>
    </xf>
    <xf numFmtId="170" fontId="9" fillId="4" borderId="185" xfId="0" applyNumberFormat="1" applyFont="1" applyFill="1" applyBorder="1"/>
    <xf numFmtId="174" fontId="9" fillId="4" borderId="183" xfId="0" applyNumberFormat="1" applyFont="1" applyFill="1" applyBorder="1" applyAlignment="1">
      <alignment horizontal="center"/>
    </xf>
    <xf numFmtId="170" fontId="9" fillId="4" borderId="166" xfId="0" applyNumberFormat="1" applyFont="1" applyFill="1" applyBorder="1"/>
    <xf numFmtId="170" fontId="6" fillId="0" borderId="154" xfId="0" applyNumberFormat="1" applyFont="1" applyBorder="1"/>
    <xf numFmtId="170" fontId="6" fillId="0" borderId="119" xfId="0" applyNumberFormat="1" applyFont="1" applyBorder="1"/>
    <xf numFmtId="170" fontId="9" fillId="4" borderId="156" xfId="0" applyNumberFormat="1" applyFont="1" applyFill="1" applyBorder="1"/>
    <xf numFmtId="170" fontId="6" fillId="0" borderId="156" xfId="0" applyNumberFormat="1" applyFont="1" applyBorder="1"/>
    <xf numFmtId="170" fontId="6" fillId="0" borderId="157" xfId="0" applyNumberFormat="1" applyFont="1" applyBorder="1"/>
    <xf numFmtId="174" fontId="9" fillId="4" borderId="186" xfId="0" applyNumberFormat="1" applyFont="1" applyFill="1" applyBorder="1" applyAlignment="1">
      <alignment horizontal="center"/>
    </xf>
    <xf numFmtId="170" fontId="9" fillId="4" borderId="187" xfId="0" applyNumberFormat="1" applyFont="1" applyFill="1" applyBorder="1"/>
    <xf numFmtId="174" fontId="10" fillId="0" borderId="141" xfId="0" applyNumberFormat="1" applyFont="1" applyBorder="1" applyAlignment="1">
      <alignment horizontal="center"/>
    </xf>
    <xf numFmtId="170" fontId="6" fillId="0" borderId="121" xfId="0" applyNumberFormat="1" applyFont="1" applyBorder="1"/>
    <xf numFmtId="174" fontId="10" fillId="5" borderId="131" xfId="0" applyNumberFormat="1" applyFont="1" applyFill="1" applyBorder="1" applyAlignment="1">
      <alignment horizontal="center"/>
    </xf>
    <xf numFmtId="174" fontId="10" fillId="5" borderId="119" xfId="0" applyNumberFormat="1" applyFont="1" applyFill="1" applyBorder="1" applyAlignment="1">
      <alignment horizontal="center"/>
    </xf>
    <xf numFmtId="0" fontId="10" fillId="0" borderId="181" xfId="0" applyFont="1" applyBorder="1" applyAlignment="1">
      <alignment horizontal="center"/>
    </xf>
    <xf numFmtId="170" fontId="6" fillId="0" borderId="150" xfId="0" applyNumberFormat="1" applyFont="1" applyBorder="1"/>
    <xf numFmtId="0" fontId="10" fillId="0" borderId="132" xfId="0" applyFont="1" applyBorder="1" applyAlignment="1">
      <alignment horizontal="center"/>
    </xf>
    <xf numFmtId="0" fontId="10" fillId="0" borderId="188" xfId="0" applyFont="1" applyBorder="1"/>
    <xf numFmtId="170" fontId="6" fillId="0" borderId="130" xfId="0" applyNumberFormat="1" applyFont="1" applyBorder="1"/>
    <xf numFmtId="170" fontId="27" fillId="4" borderId="189" xfId="0" applyNumberFormat="1" applyFont="1" applyFill="1" applyBorder="1"/>
    <xf numFmtId="174" fontId="10" fillId="0" borderId="160" xfId="0" applyNumberFormat="1" applyFont="1" applyBorder="1" applyAlignment="1">
      <alignment horizontal="center"/>
    </xf>
    <xf numFmtId="170" fontId="13" fillId="0" borderId="162" xfId="0" applyNumberFormat="1" applyFont="1" applyBorder="1"/>
    <xf numFmtId="170" fontId="6" fillId="0" borderId="163" xfId="0" applyNumberFormat="1" applyFont="1" applyBorder="1"/>
    <xf numFmtId="170" fontId="13" fillId="0" borderId="127" xfId="0" applyNumberFormat="1" applyFont="1" applyBorder="1"/>
    <xf numFmtId="170" fontId="6" fillId="0" borderId="129" xfId="0" applyNumberFormat="1" applyFont="1" applyBorder="1"/>
    <xf numFmtId="17" fontId="10" fillId="0" borderId="15" xfId="0" applyNumberFormat="1" applyFont="1" applyBorder="1"/>
    <xf numFmtId="17" fontId="10" fillId="0" borderId="15" xfId="0" quotePrefix="1" applyNumberFormat="1" applyFont="1" applyBorder="1"/>
    <xf numFmtId="0" fontId="6" fillId="0" borderId="190" xfId="0" applyFont="1" applyBorder="1"/>
    <xf numFmtId="0" fontId="6" fillId="0" borderId="191" xfId="0" applyFont="1" applyBorder="1"/>
    <xf numFmtId="0" fontId="10" fillId="0" borderId="192" xfId="0" applyFont="1" applyBorder="1"/>
    <xf numFmtId="170" fontId="13" fillId="0" borderId="190" xfId="0" applyNumberFormat="1" applyFont="1" applyBorder="1"/>
    <xf numFmtId="170" fontId="13" fillId="0" borderId="191" xfId="0" applyNumberFormat="1" applyFont="1" applyBorder="1"/>
    <xf numFmtId="170" fontId="13" fillId="0" borderId="192" xfId="0" applyNumberFormat="1" applyFont="1" applyBorder="1"/>
    <xf numFmtId="10" fontId="13" fillId="0" borderId="191" xfId="0" applyNumberFormat="1" applyFont="1" applyBorder="1"/>
    <xf numFmtId="0" fontId="85" fillId="13" borderId="193" xfId="0" applyFont="1" applyFill="1" applyBorder="1"/>
    <xf numFmtId="0" fontId="85" fillId="13" borderId="194" xfId="0" applyFont="1" applyFill="1" applyBorder="1"/>
    <xf numFmtId="0" fontId="0" fillId="0" borderId="195" xfId="0" applyBorder="1"/>
    <xf numFmtId="0" fontId="0" fillId="0" borderId="196" xfId="0" applyBorder="1"/>
    <xf numFmtId="0" fontId="0" fillId="0" borderId="197" xfId="0" applyBorder="1"/>
    <xf numFmtId="0" fontId="0" fillId="0" borderId="198" xfId="0" applyBorder="1"/>
    <xf numFmtId="0" fontId="6" fillId="0" borderId="1" xfId="0" quotePrefix="1" applyFont="1" applyBorder="1" applyAlignment="1">
      <alignment horizontal="left"/>
    </xf>
    <xf numFmtId="0" fontId="10" fillId="0" borderId="127" xfId="0" applyFont="1" applyBorder="1"/>
    <xf numFmtId="170" fontId="13" fillId="4" borderId="127" xfId="0" applyNumberFormat="1" applyFont="1" applyFill="1" applyBorder="1"/>
    <xf numFmtId="0" fontId="10" fillId="0" borderId="111" xfId="0" applyFont="1" applyBorder="1" applyAlignment="1">
      <alignment horizontal="center"/>
    </xf>
    <xf numFmtId="0" fontId="13" fillId="0" borderId="111" xfId="0" applyFont="1" applyBorder="1"/>
    <xf numFmtId="174" fontId="10" fillId="0" borderId="111" xfId="0" applyNumberFormat="1" applyFont="1" applyBorder="1" applyAlignment="1">
      <alignment horizontal="center"/>
    </xf>
    <xf numFmtId="0" fontId="69" fillId="0" borderId="199" xfId="0" applyFont="1" applyBorder="1"/>
    <xf numFmtId="0" fontId="69" fillId="0" borderId="174" xfId="0" applyFont="1" applyBorder="1"/>
    <xf numFmtId="171" fontId="69" fillId="0" borderId="111" xfId="4" applyFont="1" applyBorder="1"/>
    <xf numFmtId="171" fontId="90" fillId="0" borderId="143" xfId="4" applyFont="1" applyBorder="1"/>
    <xf numFmtId="171" fontId="91" fillId="0" borderId="200" xfId="4" applyFont="1" applyBorder="1"/>
    <xf numFmtId="10" fontId="91" fillId="0" borderId="200" xfId="4" applyNumberFormat="1" applyFont="1" applyBorder="1"/>
    <xf numFmtId="174" fontId="18" fillId="0" borderId="92" xfId="0" applyNumberFormat="1" applyFont="1" applyBorder="1" applyAlignment="1">
      <alignment horizontal="center"/>
    </xf>
    <xf numFmtId="0" fontId="18" fillId="0" borderId="109" xfId="0" applyFont="1" applyBorder="1" applyAlignment="1">
      <alignment horizontal="center"/>
    </xf>
    <xf numFmtId="0" fontId="18" fillId="0" borderId="108" xfId="0" applyFont="1" applyBorder="1" applyAlignment="1">
      <alignment horizontal="center"/>
    </xf>
    <xf numFmtId="0" fontId="18" fillId="0" borderId="110" xfId="0" applyFont="1" applyBorder="1" applyAlignment="1">
      <alignment horizontal="center"/>
    </xf>
    <xf numFmtId="170" fontId="18" fillId="0" borderId="115" xfId="0" applyNumberFormat="1" applyFont="1" applyBorder="1"/>
    <xf numFmtId="170" fontId="18" fillId="0" borderId="113" xfId="0" applyNumberFormat="1" applyFont="1" applyBorder="1"/>
    <xf numFmtId="170" fontId="18" fillId="0" borderId="117" xfId="0" applyNumberFormat="1" applyFont="1" applyBorder="1"/>
    <xf numFmtId="0" fontId="70" fillId="0" borderId="196" xfId="0" applyFont="1" applyBorder="1"/>
    <xf numFmtId="0" fontId="6" fillId="0" borderId="162" xfId="0" applyFont="1" applyBorder="1"/>
    <xf numFmtId="0" fontId="10" fillId="0" borderId="160" xfId="0" applyFont="1" applyBorder="1" applyAlignment="1">
      <alignment horizontal="center"/>
    </xf>
    <xf numFmtId="0" fontId="10" fillId="0" borderId="162" xfId="0" applyFont="1" applyBorder="1" applyAlignment="1">
      <alignment horizontal="center"/>
    </xf>
    <xf numFmtId="0" fontId="10" fillId="0" borderId="205" xfId="0" applyFont="1" applyBorder="1"/>
    <xf numFmtId="170" fontId="8" fillId="4" borderId="206" xfId="0" applyNumberFormat="1" applyFont="1" applyFill="1" applyBorder="1"/>
    <xf numFmtId="170" fontId="13" fillId="4" borderId="206" xfId="0" applyNumberFormat="1" applyFont="1" applyFill="1" applyBorder="1"/>
    <xf numFmtId="170" fontId="6" fillId="0" borderId="179" xfId="0" applyNumberFormat="1" applyFont="1" applyBorder="1"/>
    <xf numFmtId="0" fontId="10" fillId="0" borderId="127" xfId="0" applyFont="1" applyBorder="1" applyAlignment="1">
      <alignment horizontal="center"/>
    </xf>
    <xf numFmtId="185" fontId="10" fillId="0" borderId="101" xfId="0" applyNumberFormat="1" applyFont="1" applyBorder="1" applyAlignment="1">
      <alignment horizontal="center"/>
    </xf>
    <xf numFmtId="0" fontId="10" fillId="0" borderId="105" xfId="0" applyFont="1" applyBorder="1" applyAlignment="1">
      <alignment horizontal="left"/>
    </xf>
    <xf numFmtId="170" fontId="13" fillId="0" borderId="95" xfId="0" applyNumberFormat="1" applyFont="1" applyBorder="1"/>
    <xf numFmtId="170" fontId="13" fillId="0" borderId="207" xfId="0" applyNumberFormat="1" applyFont="1" applyBorder="1"/>
    <xf numFmtId="180" fontId="10" fillId="0" borderId="95" xfId="0" applyNumberFormat="1" applyFont="1" applyBorder="1" applyAlignment="1">
      <alignment horizontal="left"/>
    </xf>
    <xf numFmtId="0" fontId="6" fillId="0" borderId="86" xfId="0" applyFont="1" applyBorder="1"/>
    <xf numFmtId="0" fontId="6" fillId="0" borderId="80" xfId="0" applyFont="1" applyBorder="1" applyAlignment="1" applyProtection="1">
      <alignment horizontal="center"/>
      <protection locked="0"/>
    </xf>
    <xf numFmtId="170" fontId="13" fillId="0" borderId="86" xfId="0" applyNumberFormat="1" applyFont="1" applyBorder="1"/>
    <xf numFmtId="170" fontId="16" fillId="0" borderId="102" xfId="0" applyNumberFormat="1" applyFont="1" applyBorder="1"/>
    <xf numFmtId="0" fontId="6" fillId="0" borderId="95" xfId="0" applyFont="1" applyBorder="1"/>
    <xf numFmtId="170" fontId="8" fillId="0" borderId="97" xfId="0" applyNumberFormat="1" applyFont="1" applyBorder="1"/>
    <xf numFmtId="170" fontId="16" fillId="0" borderId="207" xfId="0" applyNumberFormat="1" applyFont="1" applyBorder="1"/>
    <xf numFmtId="17" fontId="10" fillId="0" borderId="136" xfId="0" quotePrefix="1" applyNumberFormat="1" applyFont="1" applyBorder="1"/>
    <xf numFmtId="17" fontId="89" fillId="9" borderId="162" xfId="0" quotePrefix="1" applyNumberFormat="1" applyFont="1" applyFill="1" applyBorder="1"/>
    <xf numFmtId="170" fontId="7" fillId="10" borderId="0" xfId="0" applyNumberFormat="1" applyFont="1" applyFill="1" applyAlignment="1">
      <alignment horizontal="center" vertical="center"/>
    </xf>
    <xf numFmtId="170" fontId="7" fillId="10" borderId="0" xfId="0" applyNumberFormat="1" applyFont="1" applyFill="1" applyAlignment="1">
      <alignment horizontal="center"/>
    </xf>
    <xf numFmtId="0" fontId="85" fillId="13" borderId="208" xfId="0" applyFont="1" applyFill="1" applyBorder="1"/>
    <xf numFmtId="0" fontId="0" fillId="0" borderId="204" xfId="0" applyBorder="1"/>
    <xf numFmtId="0" fontId="0" fillId="0" borderId="209" xfId="0" applyBorder="1"/>
    <xf numFmtId="3" fontId="0" fillId="0" borderId="210" xfId="0" quotePrefix="1" applyNumberFormat="1" applyBorder="1"/>
    <xf numFmtId="0" fontId="0" fillId="0" borderId="210" xfId="0" quotePrefix="1" applyBorder="1"/>
    <xf numFmtId="173" fontId="0" fillId="0" borderId="210" xfId="0" applyNumberFormat="1" applyBorder="1"/>
    <xf numFmtId="173" fontId="0" fillId="0" borderId="210" xfId="0" quotePrefix="1" applyNumberFormat="1" applyBorder="1"/>
    <xf numFmtId="0" fontId="0" fillId="0" borderId="210" xfId="0" applyBorder="1"/>
    <xf numFmtId="170" fontId="8" fillId="0" borderId="210" xfId="0" applyNumberFormat="1" applyFont="1" applyBorder="1"/>
    <xf numFmtId="0" fontId="0" fillId="0" borderId="211" xfId="0" applyBorder="1"/>
    <xf numFmtId="0" fontId="0" fillId="0" borderId="212" xfId="0" applyBorder="1"/>
    <xf numFmtId="0" fontId="0" fillId="0" borderId="213" xfId="0" quotePrefix="1" applyBorder="1"/>
    <xf numFmtId="0" fontId="0" fillId="0" borderId="213" xfId="0" applyBorder="1"/>
    <xf numFmtId="173" fontId="0" fillId="0" borderId="213" xfId="0" applyNumberFormat="1" applyBorder="1"/>
    <xf numFmtId="170" fontId="8" fillId="0" borderId="213" xfId="0" applyNumberFormat="1" applyFont="1" applyBorder="1"/>
    <xf numFmtId="0" fontId="0" fillId="0" borderId="214" xfId="0" applyBorder="1"/>
    <xf numFmtId="44" fontId="0" fillId="0" borderId="0" xfId="0" applyNumberFormat="1"/>
    <xf numFmtId="174" fontId="9" fillId="4" borderId="132" xfId="0" applyNumberFormat="1" applyFont="1" applyFill="1" applyBorder="1" applyAlignment="1">
      <alignment horizontal="center"/>
    </xf>
    <xf numFmtId="0" fontId="9" fillId="4" borderId="130" xfId="0" applyFont="1" applyFill="1" applyBorder="1" applyAlignment="1">
      <alignment horizontal="center"/>
    </xf>
    <xf numFmtId="0" fontId="9" fillId="4" borderId="139" xfId="0" applyFont="1" applyFill="1" applyBorder="1"/>
    <xf numFmtId="170" fontId="9" fillId="4" borderId="130" xfId="0" applyNumberFormat="1" applyFont="1" applyFill="1" applyBorder="1"/>
    <xf numFmtId="170" fontId="9" fillId="4" borderId="140" xfId="0" applyNumberFormat="1" applyFont="1" applyFill="1" applyBorder="1"/>
    <xf numFmtId="171" fontId="18" fillId="0" borderId="99" xfId="4" applyFont="1" applyBorder="1" applyAlignment="1">
      <alignment horizontal="center"/>
    </xf>
    <xf numFmtId="171" fontId="18" fillId="0" borderId="101" xfId="4" applyFont="1" applyBorder="1" applyAlignment="1">
      <alignment horizontal="center"/>
    </xf>
    <xf numFmtId="0" fontId="10" fillId="0" borderId="139" xfId="0" quotePrefix="1" applyFont="1" applyBorder="1"/>
    <xf numFmtId="0" fontId="10" fillId="0" borderId="106" xfId="0" applyFont="1" applyBorder="1" applyAlignment="1">
      <alignment horizontal="center"/>
    </xf>
    <xf numFmtId="170" fontId="6" fillId="0" borderId="81" xfId="0" applyNumberFormat="1" applyFont="1" applyBorder="1"/>
    <xf numFmtId="170" fontId="6" fillId="0" borderId="83" xfId="0" applyNumberFormat="1" applyFont="1" applyBorder="1"/>
    <xf numFmtId="0" fontId="10" fillId="0" borderId="107" xfId="0" applyFont="1" applyBorder="1" applyAlignment="1">
      <alignment horizontal="center"/>
    </xf>
    <xf numFmtId="170" fontId="6" fillId="0" borderId="84" xfId="0" applyNumberFormat="1" applyFont="1" applyBorder="1"/>
    <xf numFmtId="174" fontId="9" fillId="4" borderId="101" xfId="0" applyNumberFormat="1" applyFont="1" applyFill="1" applyBorder="1" applyAlignment="1">
      <alignment horizontal="center"/>
    </xf>
    <xf numFmtId="0" fontId="9" fillId="4" borderId="107" xfId="0" applyFont="1" applyFill="1" applyBorder="1" applyAlignment="1">
      <alignment horizontal="center"/>
    </xf>
    <xf numFmtId="0" fontId="9" fillId="4" borderId="105" xfId="0" applyFont="1" applyFill="1" applyBorder="1"/>
    <xf numFmtId="170" fontId="9" fillId="4" borderId="107" xfId="0" applyNumberFormat="1" applyFont="1" applyFill="1" applyBorder="1"/>
    <xf numFmtId="170" fontId="9" fillId="4" borderId="180" xfId="0" applyNumberFormat="1" applyFont="1" applyFill="1" applyBorder="1"/>
    <xf numFmtId="174" fontId="10" fillId="5" borderId="92" xfId="0" applyNumberFormat="1" applyFont="1" applyFill="1" applyBorder="1" applyAlignment="1">
      <alignment horizontal="center"/>
    </xf>
    <xf numFmtId="174" fontId="10" fillId="5" borderId="83" xfId="0" applyNumberFormat="1" applyFont="1" applyFill="1" applyBorder="1" applyAlignment="1">
      <alignment horizontal="center"/>
    </xf>
    <xf numFmtId="174" fontId="9" fillId="4" borderId="99" xfId="0" applyNumberFormat="1" applyFont="1" applyFill="1" applyBorder="1" applyAlignment="1">
      <alignment horizontal="center"/>
    </xf>
    <xf numFmtId="0" fontId="9" fillId="4" borderId="106" xfId="0" applyFont="1" applyFill="1" applyBorder="1" applyAlignment="1">
      <alignment horizontal="center"/>
    </xf>
    <xf numFmtId="0" fontId="9" fillId="4" borderId="80" xfId="0" applyFont="1" applyFill="1" applyBorder="1"/>
    <xf numFmtId="170" fontId="9" fillId="4" borderId="106" xfId="0" applyNumberFormat="1" applyFont="1" applyFill="1" applyBorder="1"/>
    <xf numFmtId="170" fontId="9" fillId="4" borderId="100" xfId="0" applyNumberFormat="1" applyFont="1" applyFill="1" applyBorder="1"/>
    <xf numFmtId="170" fontId="9" fillId="4" borderId="133" xfId="0" applyNumberFormat="1" applyFont="1" applyFill="1" applyBorder="1"/>
    <xf numFmtId="171" fontId="18" fillId="0" borderId="109" xfId="4" applyFont="1" applyBorder="1" applyAlignment="1">
      <alignment horizontal="center"/>
    </xf>
    <xf numFmtId="170" fontId="6" fillId="0" borderId="109" xfId="0" applyNumberFormat="1" applyFont="1" applyBorder="1"/>
    <xf numFmtId="171" fontId="18" fillId="0" borderId="110" xfId="4" applyFont="1" applyBorder="1" applyAlignment="1">
      <alignment horizontal="center"/>
    </xf>
    <xf numFmtId="170" fontId="6" fillId="0" borderId="110" xfId="0" applyNumberFormat="1" applyFont="1" applyBorder="1"/>
    <xf numFmtId="0" fontId="6" fillId="0" borderId="162" xfId="0" quotePrefix="1" applyFont="1" applyBorder="1"/>
    <xf numFmtId="0" fontId="6" fillId="0" borderId="3" xfId="0" quotePrefix="1" applyFont="1" applyBorder="1" applyAlignment="1" applyProtection="1">
      <alignment horizontal="center"/>
      <protection locked="0"/>
    </xf>
    <xf numFmtId="170" fontId="6" fillId="0" borderId="115" xfId="0" applyNumberFormat="1" applyFont="1" applyBorder="1"/>
    <xf numFmtId="170" fontId="6" fillId="0" borderId="117" xfId="0" applyNumberFormat="1" applyFont="1" applyBorder="1"/>
    <xf numFmtId="171" fontId="18" fillId="0" borderId="108" xfId="4" applyFont="1" applyBorder="1" applyAlignment="1">
      <alignment horizontal="center"/>
    </xf>
    <xf numFmtId="170" fontId="6" fillId="0" borderId="113" xfId="0" applyNumberFormat="1" applyFont="1" applyBorder="1"/>
    <xf numFmtId="174" fontId="10" fillId="5" borderId="215" xfId="0" applyNumberFormat="1" applyFont="1" applyFill="1" applyBorder="1" applyAlignment="1">
      <alignment horizontal="center"/>
    </xf>
    <xf numFmtId="4" fontId="10" fillId="5" borderId="83" xfId="0" applyNumberFormat="1" applyFont="1" applyFill="1" applyBorder="1" applyAlignment="1">
      <alignment horizontal="center"/>
    </xf>
    <xf numFmtId="174" fontId="10" fillId="5" borderId="92" xfId="0" quotePrefix="1" applyNumberFormat="1" applyFont="1" applyFill="1" applyBorder="1" applyAlignment="1">
      <alignment horizontal="center"/>
    </xf>
    <xf numFmtId="0" fontId="7" fillId="12" borderId="0" xfId="0" applyFont="1" applyFill="1" applyAlignment="1">
      <alignment horizontal="center"/>
    </xf>
    <xf numFmtId="174" fontId="18" fillId="14" borderId="103" xfId="0" applyNumberFormat="1" applyFont="1" applyFill="1" applyBorder="1" applyAlignment="1">
      <alignment horizontal="center"/>
    </xf>
    <xf numFmtId="0" fontId="18" fillId="14" borderId="106" xfId="0" applyFont="1" applyFill="1" applyBorder="1" applyAlignment="1">
      <alignment horizontal="center"/>
    </xf>
    <xf numFmtId="0" fontId="18" fillId="14" borderId="106" xfId="0" applyFont="1" applyFill="1" applyBorder="1"/>
    <xf numFmtId="170" fontId="8" fillId="14" borderId="80" xfId="0" applyNumberFormat="1" applyFont="1" applyFill="1" applyBorder="1"/>
    <xf numFmtId="171" fontId="18" fillId="14" borderId="109" xfId="4" applyFont="1" applyFill="1" applyBorder="1" applyAlignment="1">
      <alignment horizontal="center"/>
    </xf>
    <xf numFmtId="170" fontId="6" fillId="14" borderId="109" xfId="0" applyNumberFormat="1" applyFont="1" applyFill="1" applyBorder="1"/>
    <xf numFmtId="174" fontId="18" fillId="14" borderId="104" xfId="0" applyNumberFormat="1" applyFont="1" applyFill="1" applyBorder="1" applyAlignment="1">
      <alignment horizontal="center"/>
    </xf>
    <xf numFmtId="0" fontId="18" fillId="14" borderId="107" xfId="0" applyFont="1" applyFill="1" applyBorder="1" applyAlignment="1">
      <alignment horizontal="center"/>
    </xf>
    <xf numFmtId="0" fontId="18" fillId="14" borderId="107" xfId="0" applyFont="1" applyFill="1" applyBorder="1"/>
    <xf numFmtId="170" fontId="8" fillId="14" borderId="105" xfId="0" applyNumberFormat="1" applyFont="1" applyFill="1" applyBorder="1"/>
    <xf numFmtId="171" fontId="18" fillId="14" borderId="110" xfId="4" applyFont="1" applyFill="1" applyBorder="1" applyAlignment="1">
      <alignment horizontal="center"/>
    </xf>
    <xf numFmtId="170" fontId="6" fillId="14" borderId="110" xfId="0" applyNumberFormat="1" applyFont="1" applyFill="1" applyBorder="1"/>
    <xf numFmtId="174" fontId="92" fillId="5" borderId="99" xfId="0" quotePrefix="1" applyNumberFormat="1" applyFont="1" applyFill="1" applyBorder="1" applyAlignment="1">
      <alignment horizontal="center"/>
    </xf>
    <xf numFmtId="0" fontId="92" fillId="5" borderId="106" xfId="0" applyFont="1" applyFill="1" applyBorder="1" applyAlignment="1">
      <alignment horizontal="center"/>
    </xf>
    <xf numFmtId="0" fontId="92" fillId="5" borderId="80" xfId="0" applyFont="1" applyFill="1" applyBorder="1"/>
    <xf numFmtId="170" fontId="92" fillId="5" borderId="106" xfId="0" applyNumberFormat="1" applyFont="1" applyFill="1" applyBorder="1"/>
    <xf numFmtId="4" fontId="92" fillId="5" borderId="81" xfId="0" applyNumberFormat="1" applyFont="1" applyFill="1" applyBorder="1" applyAlignment="1">
      <alignment horizontal="center"/>
    </xf>
    <xf numFmtId="174" fontId="92" fillId="5" borderId="101" xfId="0" quotePrefix="1" applyNumberFormat="1" applyFont="1" applyFill="1" applyBorder="1" applyAlignment="1">
      <alignment horizontal="center"/>
    </xf>
    <xf numFmtId="0" fontId="92" fillId="5" borderId="107" xfId="0" applyFont="1" applyFill="1" applyBorder="1" applyAlignment="1">
      <alignment horizontal="center"/>
    </xf>
    <xf numFmtId="0" fontId="92" fillId="5" borderId="105" xfId="0" applyFont="1" applyFill="1" applyBorder="1"/>
    <xf numFmtId="170" fontId="92" fillId="5" borderId="107" xfId="0" applyNumberFormat="1" applyFont="1" applyFill="1" applyBorder="1"/>
    <xf numFmtId="170" fontId="92" fillId="5" borderId="84" xfId="0" applyNumberFormat="1" applyFont="1" applyFill="1" applyBorder="1"/>
    <xf numFmtId="169" fontId="7" fillId="3" borderId="8" xfId="0" quotePrefix="1" applyNumberFormat="1" applyFont="1" applyFill="1" applyBorder="1" applyAlignment="1" applyProtection="1">
      <alignment horizontal="center"/>
      <protection locked="0"/>
    </xf>
    <xf numFmtId="170" fontId="13" fillId="0" borderId="3" xfId="0" quotePrefix="1" applyNumberFormat="1" applyFont="1" applyBorder="1"/>
    <xf numFmtId="170" fontId="13" fillId="0" borderId="2" xfId="0" quotePrefix="1" applyNumberFormat="1" applyFont="1" applyBorder="1"/>
    <xf numFmtId="3" fontId="7" fillId="3" borderId="8" xfId="0" applyNumberFormat="1" applyFont="1" applyFill="1" applyBorder="1" applyAlignment="1" applyProtection="1">
      <alignment horizontal="center" wrapText="1"/>
      <protection locked="0"/>
    </xf>
    <xf numFmtId="0" fontId="10" fillId="0" borderId="96" xfId="0" quotePrefix="1" applyFont="1" applyBorder="1"/>
    <xf numFmtId="0" fontId="0" fillId="0" borderId="24" xfId="0" applyBorder="1"/>
    <xf numFmtId="0" fontId="10" fillId="0" borderId="105" xfId="0" applyFont="1" applyBorder="1"/>
    <xf numFmtId="17" fontId="10" fillId="0" borderId="87" xfId="0" quotePrefix="1" applyNumberFormat="1" applyFont="1" applyBorder="1"/>
    <xf numFmtId="185" fontId="10" fillId="0" borderId="82" xfId="0" quotePrefix="1" applyNumberFormat="1" applyFont="1" applyBorder="1" applyAlignment="1">
      <alignment horizontal="center"/>
    </xf>
    <xf numFmtId="0" fontId="71" fillId="0" borderId="0" xfId="0" applyFont="1"/>
    <xf numFmtId="0" fontId="71" fillId="0" borderId="0" xfId="0" quotePrefix="1" applyFont="1"/>
    <xf numFmtId="4" fontId="71" fillId="0" borderId="0" xfId="0" applyNumberFormat="1" applyFont="1"/>
    <xf numFmtId="43" fontId="71" fillId="0" borderId="0" xfId="0" applyNumberFormat="1" applyFont="1"/>
    <xf numFmtId="4" fontId="8" fillId="0" borderId="7" xfId="0" applyNumberFormat="1" applyFont="1" applyBorder="1" applyAlignment="1">
      <alignment horizontal="center"/>
    </xf>
    <xf numFmtId="0" fontId="9" fillId="5" borderId="0" xfId="0" applyFont="1" applyFill="1"/>
    <xf numFmtId="170" fontId="9" fillId="4" borderId="25" xfId="0" applyNumberFormat="1" applyFont="1" applyFill="1" applyBorder="1"/>
    <xf numFmtId="170" fontId="6" fillId="0" borderId="86" xfId="0" applyNumberFormat="1" applyFont="1" applyBorder="1"/>
    <xf numFmtId="170" fontId="6" fillId="0" borderId="95" xfId="0" applyNumberFormat="1" applyFont="1" applyBorder="1"/>
    <xf numFmtId="170" fontId="6" fillId="0" borderId="93" xfId="0" applyNumberFormat="1" applyFont="1" applyBorder="1"/>
    <xf numFmtId="170" fontId="6" fillId="0" borderId="207" xfId="0" applyNumberFormat="1" applyFont="1" applyBorder="1"/>
    <xf numFmtId="170" fontId="8" fillId="0" borderId="216" xfId="0" applyNumberFormat="1" applyFont="1" applyBorder="1"/>
    <xf numFmtId="170" fontId="8" fillId="0" borderId="217" xfId="0" applyNumberFormat="1" applyFont="1" applyBorder="1"/>
    <xf numFmtId="170" fontId="8" fillId="0" borderId="25" xfId="0" applyNumberFormat="1" applyFont="1" applyBorder="1"/>
    <xf numFmtId="170" fontId="6" fillId="11" borderId="83" xfId="0" applyNumberFormat="1" applyFont="1" applyFill="1" applyBorder="1"/>
    <xf numFmtId="193" fontId="8" fillId="4" borderId="3" xfId="0" applyNumberFormat="1" applyFont="1" applyFill="1" applyBorder="1"/>
    <xf numFmtId="193" fontId="13" fillId="4" borderId="3" xfId="0" applyNumberFormat="1" applyFont="1" applyFill="1" applyBorder="1"/>
    <xf numFmtId="171" fontId="71" fillId="0" borderId="0" xfId="0" applyNumberFormat="1" applyFont="1"/>
    <xf numFmtId="3" fontId="71" fillId="0" borderId="0" xfId="0" applyNumberFormat="1" applyFont="1"/>
    <xf numFmtId="0" fontId="10" fillId="0" borderId="0" xfId="0" quotePrefix="1" applyFont="1"/>
    <xf numFmtId="0" fontId="93" fillId="0" borderId="41" xfId="0" applyFont="1" applyBorder="1" applyAlignment="1">
      <alignment horizontal="center"/>
    </xf>
    <xf numFmtId="0" fontId="93" fillId="0" borderId="15" xfId="0" quotePrefix="1" applyFont="1" applyBorder="1"/>
    <xf numFmtId="170" fontId="93" fillId="0" borderId="3" xfId="0" applyNumberFormat="1" applyFont="1" applyBorder="1"/>
    <xf numFmtId="170" fontId="93" fillId="0" borderId="2" xfId="0" applyNumberFormat="1" applyFont="1" applyBorder="1"/>
    <xf numFmtId="0" fontId="93" fillId="0" borderId="106" xfId="0" applyFont="1" applyBorder="1" applyAlignment="1">
      <alignment horizontal="center"/>
    </xf>
    <xf numFmtId="0" fontId="93" fillId="0" borderId="87" xfId="0" quotePrefix="1" applyFont="1" applyBorder="1"/>
    <xf numFmtId="170" fontId="93" fillId="0" borderId="86" xfId="0" applyNumberFormat="1" applyFont="1" applyBorder="1"/>
    <xf numFmtId="170" fontId="93" fillId="0" borderId="88" xfId="0" applyNumberFormat="1" applyFont="1" applyBorder="1"/>
    <xf numFmtId="0" fontId="93" fillId="0" borderId="107" xfId="0" applyFont="1" applyBorder="1" applyAlignment="1">
      <alignment horizontal="center"/>
    </xf>
    <xf numFmtId="0" fontId="93" fillId="0" borderId="96" xfId="0" quotePrefix="1" applyFont="1" applyBorder="1"/>
    <xf numFmtId="170" fontId="93" fillId="0" borderId="95" xfId="0" applyNumberFormat="1" applyFont="1" applyBorder="1"/>
    <xf numFmtId="170" fontId="93" fillId="0" borderId="97" xfId="0" applyNumberFormat="1" applyFont="1" applyBorder="1"/>
    <xf numFmtId="0" fontId="72" fillId="0" borderId="0" xfId="0" applyFont="1"/>
    <xf numFmtId="182" fontId="72" fillId="0" borderId="0" xfId="0" applyNumberFormat="1" applyFont="1"/>
    <xf numFmtId="0" fontId="94" fillId="0" borderId="106" xfId="0" applyFont="1" applyBorder="1" applyAlignment="1">
      <alignment horizontal="center"/>
    </xf>
    <xf numFmtId="0" fontId="94" fillId="0" borderId="87" xfId="0" quotePrefix="1" applyFont="1" applyBorder="1"/>
    <xf numFmtId="170" fontId="94" fillId="0" borderId="86" xfId="0" applyNumberFormat="1" applyFont="1" applyBorder="1"/>
    <xf numFmtId="170" fontId="94" fillId="0" borderId="88" xfId="0" applyNumberFormat="1" applyFont="1" applyBorder="1"/>
    <xf numFmtId="0" fontId="94" fillId="0" borderId="107" xfId="0" applyFont="1" applyBorder="1" applyAlignment="1">
      <alignment horizontal="center"/>
    </xf>
    <xf numFmtId="0" fontId="94" fillId="0" borderId="96" xfId="0" quotePrefix="1" applyFont="1" applyBorder="1"/>
    <xf numFmtId="170" fontId="94" fillId="0" borderId="95" xfId="0" applyNumberFormat="1" applyFont="1" applyBorder="1"/>
    <xf numFmtId="170" fontId="94" fillId="0" borderId="97" xfId="0" applyNumberFormat="1" applyFont="1" applyBorder="1"/>
    <xf numFmtId="174" fontId="94" fillId="0" borderId="141" xfId="0" applyNumberFormat="1" applyFont="1" applyBorder="1" applyAlignment="1">
      <alignment horizontal="center"/>
    </xf>
    <xf numFmtId="170" fontId="94" fillId="0" borderId="121" xfId="0" applyNumberFormat="1" applyFont="1" applyBorder="1"/>
    <xf numFmtId="174" fontId="94" fillId="0" borderId="143" xfId="0" applyNumberFormat="1" applyFont="1" applyBorder="1" applyAlignment="1">
      <alignment horizontal="center"/>
    </xf>
    <xf numFmtId="170" fontId="94" fillId="0" borderId="123" xfId="0" applyNumberFormat="1" applyFont="1" applyBorder="1"/>
    <xf numFmtId="0" fontId="10" fillId="0" borderId="161" xfId="0" applyFont="1" applyBorder="1" applyAlignment="1">
      <alignment horizontal="center"/>
    </xf>
    <xf numFmtId="170" fontId="9" fillId="4" borderId="150" xfId="0" applyNumberFormat="1" applyFont="1" applyFill="1" applyBorder="1"/>
    <xf numFmtId="0" fontId="10" fillId="0" borderId="128" xfId="0" applyFont="1" applyBorder="1" applyAlignment="1">
      <alignment horizontal="center"/>
    </xf>
    <xf numFmtId="174" fontId="93" fillId="0" borderId="141" xfId="0" applyNumberFormat="1" applyFont="1" applyBorder="1" applyAlignment="1">
      <alignment horizontal="center"/>
    </xf>
    <xf numFmtId="170" fontId="93" fillId="0" borderId="121" xfId="0" applyNumberFormat="1" applyFont="1" applyBorder="1"/>
    <xf numFmtId="174" fontId="93" fillId="0" borderId="131" xfId="0" applyNumberFormat="1" applyFont="1" applyBorder="1" applyAlignment="1">
      <alignment horizontal="center"/>
    </xf>
    <xf numFmtId="170" fontId="93" fillId="0" borderId="119" xfId="0" applyNumberFormat="1" applyFont="1" applyBorder="1"/>
    <xf numFmtId="174" fontId="93" fillId="0" borderId="143" xfId="0" applyNumberFormat="1" applyFont="1" applyBorder="1" applyAlignment="1">
      <alignment horizontal="center"/>
    </xf>
    <xf numFmtId="170" fontId="93" fillId="0" borderId="123" xfId="0" applyNumberFormat="1" applyFont="1" applyBorder="1"/>
    <xf numFmtId="0" fontId="9" fillId="4" borderId="128" xfId="0" applyFont="1" applyFill="1" applyBorder="1" applyAlignment="1">
      <alignment horizontal="center"/>
    </xf>
    <xf numFmtId="0" fontId="9" fillId="4" borderId="127" xfId="0" applyFont="1" applyFill="1" applyBorder="1"/>
    <xf numFmtId="170" fontId="9" fillId="4" borderId="128" xfId="0" applyNumberFormat="1" applyFont="1" applyFill="1" applyBorder="1"/>
    <xf numFmtId="170" fontId="9" fillId="4" borderId="218" xfId="0" applyNumberFormat="1" applyFont="1" applyFill="1" applyBorder="1"/>
    <xf numFmtId="0" fontId="73" fillId="0" borderId="0" xfId="0" applyFont="1"/>
    <xf numFmtId="0" fontId="74" fillId="0" borderId="0" xfId="0" applyFont="1"/>
    <xf numFmtId="182" fontId="74" fillId="0" borderId="0" xfId="0" applyNumberFormat="1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174" fontId="94" fillId="0" borderId="99" xfId="0" applyNumberFormat="1" applyFont="1" applyBorder="1" applyAlignment="1">
      <alignment horizontal="center"/>
    </xf>
    <xf numFmtId="174" fontId="94" fillId="0" borderId="106" xfId="0" applyNumberFormat="1" applyFont="1" applyBorder="1" applyAlignment="1">
      <alignment horizontal="center"/>
    </xf>
    <xf numFmtId="0" fontId="94" fillId="0" borderId="80" xfId="0" quotePrefix="1" applyFont="1" applyBorder="1"/>
    <xf numFmtId="170" fontId="94" fillId="0" borderId="106" xfId="0" applyNumberFormat="1" applyFont="1" applyBorder="1"/>
    <xf numFmtId="174" fontId="94" fillId="0" borderId="101" xfId="0" applyNumberFormat="1" applyFont="1" applyBorder="1" applyAlignment="1">
      <alignment horizontal="center"/>
    </xf>
    <xf numFmtId="174" fontId="94" fillId="0" borderId="107" xfId="0" applyNumberFormat="1" applyFont="1" applyBorder="1" applyAlignment="1">
      <alignment horizontal="center"/>
    </xf>
    <xf numFmtId="0" fontId="94" fillId="0" borderId="105" xfId="0" quotePrefix="1" applyFont="1" applyBorder="1"/>
    <xf numFmtId="170" fontId="94" fillId="0" borderId="107" xfId="0" applyNumberFormat="1" applyFont="1" applyBorder="1"/>
    <xf numFmtId="0" fontId="78" fillId="0" borderId="0" xfId="0" applyFont="1"/>
    <xf numFmtId="182" fontId="78" fillId="0" borderId="0" xfId="0" applyNumberFormat="1" applyFont="1"/>
    <xf numFmtId="0" fontId="94" fillId="0" borderId="41" xfId="0" applyFont="1" applyBorder="1" applyAlignment="1">
      <alignment horizontal="center"/>
    </xf>
    <xf numFmtId="0" fontId="94" fillId="0" borderId="15" xfId="0" quotePrefix="1" applyFont="1" applyBorder="1"/>
    <xf numFmtId="170" fontId="94" fillId="0" borderId="3" xfId="0" applyNumberFormat="1" applyFont="1" applyBorder="1"/>
    <xf numFmtId="170" fontId="94" fillId="0" borderId="2" xfId="0" applyNumberFormat="1" applyFont="1" applyBorder="1"/>
    <xf numFmtId="170" fontId="94" fillId="0" borderId="119" xfId="0" applyNumberFormat="1" applyFont="1" applyBorder="1"/>
    <xf numFmtId="174" fontId="94" fillId="0" borderId="92" xfId="0" applyNumberFormat="1" applyFont="1" applyBorder="1" applyAlignment="1">
      <alignment horizontal="center"/>
    </xf>
    <xf numFmtId="170" fontId="94" fillId="0" borderId="222" xfId="0" applyNumberFormat="1" applyFont="1" applyBorder="1"/>
    <xf numFmtId="170" fontId="94" fillId="0" borderId="223" xfId="0" applyNumberFormat="1" applyFont="1" applyBorder="1"/>
    <xf numFmtId="170" fontId="94" fillId="0" borderId="142" xfId="0" applyNumberFormat="1" applyFont="1" applyBorder="1"/>
    <xf numFmtId="170" fontId="94" fillId="0" borderId="144" xfId="0" applyNumberFormat="1" applyFont="1" applyBorder="1"/>
    <xf numFmtId="170" fontId="94" fillId="0" borderId="158" xfId="0" applyNumberFormat="1" applyFont="1" applyBorder="1"/>
    <xf numFmtId="170" fontId="94" fillId="0" borderId="159" xfId="0" applyNumberFormat="1" applyFont="1" applyBorder="1"/>
    <xf numFmtId="170" fontId="6" fillId="11" borderId="125" xfId="0" applyNumberFormat="1" applyFont="1" applyFill="1" applyBorder="1"/>
    <xf numFmtId="174" fontId="10" fillId="5" borderId="131" xfId="0" quotePrefix="1" applyNumberFormat="1" applyFont="1" applyFill="1" applyBorder="1" applyAlignment="1">
      <alignment horizontal="center"/>
    </xf>
    <xf numFmtId="174" fontId="95" fillId="5" borderId="160" xfId="0" quotePrefix="1" applyNumberFormat="1" applyFont="1" applyFill="1" applyBorder="1" applyAlignment="1">
      <alignment horizontal="center"/>
    </xf>
    <xf numFmtId="0" fontId="95" fillId="5" borderId="161" xfId="0" applyFont="1" applyFill="1" applyBorder="1" applyAlignment="1">
      <alignment horizontal="center"/>
    </xf>
    <xf numFmtId="0" fontId="95" fillId="5" borderId="162" xfId="0" applyFont="1" applyFill="1" applyBorder="1"/>
    <xf numFmtId="170" fontId="95" fillId="5" borderId="161" xfId="0" applyNumberFormat="1" applyFont="1" applyFill="1" applyBorder="1"/>
    <xf numFmtId="170" fontId="95" fillId="5" borderId="224" xfId="0" applyNumberFormat="1" applyFont="1" applyFill="1" applyBorder="1"/>
    <xf numFmtId="170" fontId="95" fillId="11" borderId="137" xfId="0" applyNumberFormat="1" applyFont="1" applyFill="1" applyBorder="1"/>
    <xf numFmtId="174" fontId="95" fillId="5" borderId="132" xfId="0" quotePrefix="1" applyNumberFormat="1" applyFont="1" applyFill="1" applyBorder="1" applyAlignment="1">
      <alignment horizontal="center"/>
    </xf>
    <xf numFmtId="0" fontId="95" fillId="5" borderId="128" xfId="0" applyFont="1" applyFill="1" applyBorder="1" applyAlignment="1">
      <alignment horizontal="center"/>
    </xf>
    <xf numFmtId="0" fontId="95" fillId="5" borderId="127" xfId="0" applyFont="1" applyFill="1" applyBorder="1"/>
    <xf numFmtId="170" fontId="95" fillId="5" borderId="128" xfId="0" applyNumberFormat="1" applyFont="1" applyFill="1" applyBorder="1"/>
    <xf numFmtId="170" fontId="95" fillId="5" borderId="220" xfId="0" applyNumberFormat="1" applyFont="1" applyFill="1" applyBorder="1"/>
    <xf numFmtId="170" fontId="95" fillId="11" borderId="140" xfId="0" applyNumberFormat="1" applyFont="1" applyFill="1" applyBorder="1"/>
    <xf numFmtId="0" fontId="0" fillId="0" borderId="29" xfId="0" applyBorder="1"/>
    <xf numFmtId="3" fontId="0" fillId="0" borderId="8" xfId="0" quotePrefix="1" applyNumberFormat="1" applyBorder="1"/>
    <xf numFmtId="0" fontId="0" fillId="0" borderId="8" xfId="0" quotePrefix="1" applyBorder="1"/>
    <xf numFmtId="173" fontId="0" fillId="0" borderId="8" xfId="0" quotePrefix="1" applyNumberFormat="1" applyBorder="1"/>
    <xf numFmtId="170" fontId="8" fillId="0" borderId="27" xfId="0" applyNumberFormat="1" applyFont="1" applyBorder="1"/>
    <xf numFmtId="170" fontId="94" fillId="0" borderId="202" xfId="0" applyNumberFormat="1" applyFont="1" applyBorder="1"/>
    <xf numFmtId="170" fontId="94" fillId="0" borderId="201" xfId="0" applyNumberFormat="1" applyFont="1" applyBorder="1"/>
    <xf numFmtId="174" fontId="94" fillId="0" borderId="131" xfId="0" applyNumberFormat="1" applyFont="1" applyBorder="1" applyAlignment="1">
      <alignment horizontal="center"/>
    </xf>
    <xf numFmtId="170" fontId="13" fillId="5" borderId="25" xfId="0" applyNumberFormat="1" applyFont="1" applyFill="1" applyBorder="1"/>
    <xf numFmtId="170" fontId="6" fillId="0" borderId="125" xfId="0" applyNumberFormat="1" applyFont="1" applyBorder="1" applyAlignment="1">
      <alignment wrapText="1"/>
    </xf>
    <xf numFmtId="174" fontId="92" fillId="0" borderId="41" xfId="0" applyNumberFormat="1" applyFont="1" applyBorder="1" applyAlignment="1">
      <alignment horizontal="center"/>
    </xf>
    <xf numFmtId="170" fontId="92" fillId="0" borderId="41" xfId="0" applyNumberFormat="1" applyFont="1" applyBorder="1"/>
    <xf numFmtId="170" fontId="92" fillId="0" borderId="119" xfId="0" applyNumberFormat="1" applyFont="1" applyBorder="1"/>
    <xf numFmtId="174" fontId="92" fillId="0" borderId="106" xfId="0" applyNumberFormat="1" applyFont="1" applyBorder="1" applyAlignment="1">
      <alignment horizontal="center"/>
    </xf>
    <xf numFmtId="0" fontId="92" fillId="0" borderId="80" xfId="0" quotePrefix="1" applyFont="1" applyBorder="1"/>
    <xf numFmtId="170" fontId="92" fillId="0" borderId="106" xfId="0" applyNumberFormat="1" applyFont="1" applyBorder="1"/>
    <xf numFmtId="170" fontId="92" fillId="0" borderId="121" xfId="0" applyNumberFormat="1" applyFont="1" applyBorder="1"/>
    <xf numFmtId="174" fontId="92" fillId="0" borderId="107" xfId="0" applyNumberFormat="1" applyFont="1" applyBorder="1" applyAlignment="1">
      <alignment horizontal="center"/>
    </xf>
    <xf numFmtId="0" fontId="92" fillId="0" borderId="105" xfId="0" quotePrefix="1" applyFont="1" applyBorder="1"/>
    <xf numFmtId="170" fontId="92" fillId="0" borderId="107" xfId="0" applyNumberFormat="1" applyFont="1" applyBorder="1"/>
    <xf numFmtId="170" fontId="92" fillId="0" borderId="123" xfId="0" applyNumberFormat="1" applyFont="1" applyBorder="1"/>
    <xf numFmtId="14" fontId="7" fillId="3" borderId="7" xfId="0" quotePrefix="1" applyNumberFormat="1" applyFont="1" applyFill="1" applyBorder="1" applyAlignment="1" applyProtection="1">
      <alignment horizontal="center"/>
      <protection locked="0"/>
    </xf>
    <xf numFmtId="174" fontId="10" fillId="0" borderId="143" xfId="0" applyNumberFormat="1" applyFont="1" applyBorder="1" applyAlignment="1">
      <alignment horizontal="center"/>
    </xf>
    <xf numFmtId="170" fontId="6" fillId="0" borderId="159" xfId="0" applyNumberFormat="1" applyFont="1" applyBorder="1"/>
    <xf numFmtId="164" fontId="6" fillId="0" borderId="0" xfId="0" applyNumberFormat="1" applyFont="1"/>
    <xf numFmtId="170" fontId="13" fillId="5" borderId="25" xfId="0" quotePrefix="1" applyNumberFormat="1" applyFont="1" applyFill="1" applyBorder="1"/>
    <xf numFmtId="0" fontId="79" fillId="12" borderId="0" xfId="0" applyFont="1" applyFill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10" fillId="0" borderId="15" xfId="0" applyFont="1" applyBorder="1" applyAlignment="1">
      <alignment horizontal="center" wrapText="1"/>
    </xf>
    <xf numFmtId="173" fontId="10" fillId="0" borderId="0" xfId="0" applyNumberFormat="1" applyFont="1" applyAlignment="1">
      <alignment horizontal="left"/>
    </xf>
    <xf numFmtId="170" fontId="88" fillId="10" borderId="3" xfId="0" applyNumberFormat="1" applyFont="1" applyFill="1" applyBorder="1" applyAlignment="1">
      <alignment horizontal="center"/>
    </xf>
    <xf numFmtId="0" fontId="80" fillId="0" borderId="0" xfId="0" applyFont="1"/>
    <xf numFmtId="0" fontId="0" fillId="0" borderId="0" xfId="0" applyAlignment="1">
      <alignment horizontal="center" vertical="center"/>
    </xf>
    <xf numFmtId="173" fontId="0" fillId="0" borderId="213" xfId="0" quotePrefix="1" applyNumberFormat="1" applyBorder="1"/>
    <xf numFmtId="174" fontId="10" fillId="0" borderId="41" xfId="0" quotePrefix="1" applyNumberFormat="1" applyFont="1" applyBorder="1" applyAlignment="1">
      <alignment horizontal="center"/>
    </xf>
    <xf numFmtId="174" fontId="18" fillId="0" borderId="110" xfId="0" quotePrefix="1" applyNumberFormat="1" applyFont="1" applyBorder="1" applyAlignment="1">
      <alignment horizontal="center"/>
    </xf>
    <xf numFmtId="0" fontId="10" fillId="0" borderId="86" xfId="0" applyFont="1" applyBorder="1"/>
    <xf numFmtId="0" fontId="10" fillId="0" borderId="95" xfId="0" applyFont="1" applyBorder="1" applyAlignment="1">
      <alignment horizontal="left"/>
    </xf>
    <xf numFmtId="0" fontId="6" fillId="0" borderId="105" xfId="0" applyFont="1" applyBorder="1" applyAlignment="1" applyProtection="1">
      <alignment horizontal="right"/>
      <protection locked="0"/>
    </xf>
    <xf numFmtId="0" fontId="6" fillId="0" borderId="105" xfId="0" applyFont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right"/>
      <protection locked="0"/>
    </xf>
    <xf numFmtId="164" fontId="0" fillId="0" borderId="0" xfId="0" applyNumberFormat="1"/>
    <xf numFmtId="1" fontId="13" fillId="0" borderId="191" xfId="0" applyNumberFormat="1" applyFont="1" applyBorder="1"/>
    <xf numFmtId="170" fontId="13" fillId="0" borderId="191" xfId="0" applyNumberFormat="1" applyFont="1" applyBorder="1" applyAlignment="1">
      <alignment horizontal="right"/>
    </xf>
    <xf numFmtId="170" fontId="13" fillId="0" borderId="192" xfId="0" applyNumberFormat="1" applyFont="1" applyBorder="1" applyAlignment="1">
      <alignment horizontal="right"/>
    </xf>
    <xf numFmtId="170" fontId="13" fillId="0" borderId="190" xfId="0" applyNumberFormat="1" applyFont="1" applyBorder="1" applyAlignment="1">
      <alignment horizontal="right"/>
    </xf>
    <xf numFmtId="170" fontId="13" fillId="9" borderId="25" xfId="0" applyNumberFormat="1" applyFont="1" applyFill="1" applyBorder="1"/>
    <xf numFmtId="170" fontId="13" fillId="9" borderId="108" xfId="0" applyNumberFormat="1" applyFont="1" applyFill="1" applyBorder="1"/>
    <xf numFmtId="171" fontId="0" fillId="0" borderId="0" xfId="0" applyNumberFormat="1"/>
    <xf numFmtId="9" fontId="0" fillId="0" borderId="0" xfId="0" applyNumberFormat="1"/>
    <xf numFmtId="43" fontId="0" fillId="0" borderId="0" xfId="0" applyNumberFormat="1"/>
    <xf numFmtId="170" fontId="6" fillId="0" borderId="93" xfId="0" quotePrefix="1" applyNumberFormat="1" applyFont="1" applyBorder="1"/>
    <xf numFmtId="17" fontId="89" fillId="9" borderId="169" xfId="0" quotePrefix="1" applyNumberFormat="1" applyFont="1" applyFill="1" applyBorder="1"/>
    <xf numFmtId="170" fontId="13" fillId="9" borderId="113" xfId="0" applyNumberFormat="1" applyFont="1" applyFill="1" applyBorder="1"/>
    <xf numFmtId="170" fontId="6" fillId="0" borderId="125" xfId="0" quotePrefix="1" applyNumberFormat="1" applyFont="1" applyBorder="1"/>
    <xf numFmtId="0" fontId="81" fillId="0" borderId="41" xfId="0" applyFont="1" applyBorder="1" applyAlignment="1">
      <alignment horizontal="center"/>
    </xf>
    <xf numFmtId="0" fontId="81" fillId="0" borderId="15" xfId="0" quotePrefix="1" applyFont="1" applyBorder="1"/>
    <xf numFmtId="170" fontId="82" fillId="0" borderId="3" xfId="0" applyNumberFormat="1" applyFont="1" applyBorder="1"/>
    <xf numFmtId="170" fontId="83" fillId="0" borderId="2" xfId="0" applyNumberFormat="1" applyFont="1" applyBorder="1"/>
    <xf numFmtId="170" fontId="31" fillId="0" borderId="125" xfId="0" applyNumberFormat="1" applyFont="1" applyBorder="1"/>
    <xf numFmtId="0" fontId="31" fillId="0" borderId="0" xfId="0" applyFont="1"/>
    <xf numFmtId="170" fontId="13" fillId="0" borderId="202" xfId="0" applyNumberFormat="1" applyFont="1" applyBorder="1"/>
    <xf numFmtId="170" fontId="94" fillId="0" borderId="201" xfId="0" applyNumberFormat="1" applyFont="1" applyBorder="1" applyAlignment="1">
      <alignment wrapText="1"/>
    </xf>
    <xf numFmtId="0" fontId="10" fillId="0" borderId="15" xfId="0" quotePrefix="1" applyFont="1" applyBorder="1" applyAlignment="1">
      <alignment horizontal="center"/>
    </xf>
    <xf numFmtId="170" fontId="13" fillId="0" borderId="230" xfId="0" applyNumberFormat="1" applyFont="1" applyBorder="1"/>
    <xf numFmtId="185" fontId="87" fillId="10" borderId="103" xfId="0" applyNumberFormat="1" applyFont="1" applyFill="1" applyBorder="1" applyAlignment="1">
      <alignment horizontal="center"/>
    </xf>
    <xf numFmtId="0" fontId="87" fillId="10" borderId="87" xfId="0" applyFont="1" applyFill="1" applyBorder="1" applyAlignment="1">
      <alignment horizontal="center"/>
    </xf>
    <xf numFmtId="180" fontId="87" fillId="10" borderId="80" xfId="0" applyNumberFormat="1" applyFont="1" applyFill="1" applyBorder="1" applyAlignment="1">
      <alignment horizontal="left"/>
    </xf>
    <xf numFmtId="170" fontId="88" fillId="10" borderId="86" xfId="0" applyNumberFormat="1" applyFont="1" applyFill="1" applyBorder="1"/>
    <xf numFmtId="170" fontId="88" fillId="10" borderId="80" xfId="0" applyNumberFormat="1" applyFont="1" applyFill="1" applyBorder="1"/>
    <xf numFmtId="0" fontId="88" fillId="10" borderId="88" xfId="0" applyFont="1" applyFill="1" applyBorder="1" applyAlignment="1">
      <alignment horizontal="center"/>
    </xf>
    <xf numFmtId="170" fontId="88" fillId="10" borderId="81" xfId="0" applyNumberFormat="1" applyFont="1" applyFill="1" applyBorder="1"/>
    <xf numFmtId="0" fontId="0" fillId="0" borderId="0" xfId="0" quotePrefix="1"/>
    <xf numFmtId="0" fontId="69" fillId="0" borderId="193" xfId="0" applyFont="1" applyBorder="1"/>
    <xf numFmtId="0" fontId="69" fillId="0" borderId="208" xfId="0" applyFont="1" applyBorder="1"/>
    <xf numFmtId="176" fontId="69" fillId="0" borderId="208" xfId="0" applyNumberFormat="1" applyFont="1" applyBorder="1"/>
    <xf numFmtId="0" fontId="69" fillId="0" borderId="194" xfId="0" applyFont="1" applyBorder="1"/>
    <xf numFmtId="171" fontId="69" fillId="0" borderId="195" xfId="4" applyFont="1" applyBorder="1"/>
    <xf numFmtId="171" fontId="68" fillId="0" borderId="111" xfId="4" quotePrefix="1" applyBorder="1"/>
    <xf numFmtId="171" fontId="69" fillId="0" borderId="196" xfId="4" applyFont="1" applyBorder="1"/>
    <xf numFmtId="171" fontId="69" fillId="0" borderId="111" xfId="4" applyFont="1" applyBorder="1" applyAlignment="1">
      <alignment wrapText="1"/>
    </xf>
    <xf numFmtId="0" fontId="23" fillId="0" borderId="1" xfId="0" quotePrefix="1" applyFont="1" applyBorder="1"/>
    <xf numFmtId="0" fontId="18" fillId="0" borderId="107" xfId="0" applyFont="1" applyBorder="1" applyAlignment="1">
      <alignment wrapText="1"/>
    </xf>
    <xf numFmtId="0" fontId="7" fillId="12" borderId="0" xfId="0" applyFont="1" applyFill="1" applyAlignment="1">
      <alignment horizontal="center" vertical="center"/>
    </xf>
    <xf numFmtId="14" fontId="6" fillId="0" borderId="111" xfId="0" applyNumberFormat="1" applyFont="1" applyBorder="1" applyAlignment="1">
      <alignment horizontal="center" vertical="center"/>
    </xf>
    <xf numFmtId="171" fontId="69" fillId="0" borderId="114" xfId="4" applyFont="1" applyBorder="1"/>
    <xf numFmtId="171" fontId="69" fillId="0" borderId="109" xfId="4" applyFont="1" applyBorder="1"/>
    <xf numFmtId="171" fontId="69" fillId="0" borderId="115" xfId="4" applyFont="1" applyBorder="1"/>
    <xf numFmtId="186" fontId="10" fillId="0" borderId="109" xfId="0" applyNumberFormat="1" applyFont="1" applyBorder="1" applyAlignment="1">
      <alignment horizontal="center"/>
    </xf>
    <xf numFmtId="186" fontId="10" fillId="0" borderId="108" xfId="0" applyNumberFormat="1" applyFont="1" applyBorder="1" applyAlignment="1">
      <alignment horizontal="center"/>
    </xf>
    <xf numFmtId="186" fontId="10" fillId="0" borderId="110" xfId="0" applyNumberFormat="1" applyFont="1" applyBorder="1" applyAlignment="1">
      <alignment horizontal="center"/>
    </xf>
    <xf numFmtId="185" fontId="10" fillId="0" borderId="231" xfId="0" applyNumberFormat="1" applyFont="1" applyBorder="1" applyAlignment="1">
      <alignment horizontal="center"/>
    </xf>
    <xf numFmtId="170" fontId="13" fillId="0" borderId="232" xfId="0" applyNumberFormat="1" applyFont="1" applyBorder="1"/>
    <xf numFmtId="0" fontId="6" fillId="0" borderId="193" xfId="0" applyFont="1" applyBorder="1"/>
    <xf numFmtId="0" fontId="6" fillId="0" borderId="195" xfId="0" quotePrefix="1" applyFont="1" applyBorder="1"/>
    <xf numFmtId="17" fontId="6" fillId="0" borderId="195" xfId="0" quotePrefix="1" applyNumberFormat="1" applyFont="1" applyBorder="1"/>
    <xf numFmtId="171" fontId="6" fillId="0" borderId="196" xfId="4" applyFont="1" applyBorder="1"/>
    <xf numFmtId="0" fontId="6" fillId="0" borderId="197" xfId="0" applyFont="1" applyBorder="1"/>
    <xf numFmtId="171" fontId="6" fillId="0" borderId="198" xfId="4" applyFont="1" applyBorder="1"/>
    <xf numFmtId="0" fontId="6" fillId="0" borderId="116" xfId="0" quotePrefix="1" applyFont="1" applyBorder="1"/>
    <xf numFmtId="0" fontId="6" fillId="0" borderId="117" xfId="0" applyFont="1" applyBorder="1"/>
    <xf numFmtId="0" fontId="6" fillId="0" borderId="233" xfId="0" applyFont="1" applyBorder="1"/>
    <xf numFmtId="0" fontId="6" fillId="0" borderId="234" xfId="0" applyFont="1" applyBorder="1"/>
    <xf numFmtId="171" fontId="6" fillId="0" borderId="194" xfId="4" applyFont="1" applyBorder="1"/>
    <xf numFmtId="171" fontId="0" fillId="0" borderId="235" xfId="4" applyFont="1" applyBorder="1"/>
    <xf numFmtId="0" fontId="6" fillId="0" borderId="237" xfId="0" applyFont="1" applyBorder="1"/>
    <xf numFmtId="0" fontId="6" fillId="0" borderId="238" xfId="0" applyFont="1" applyBorder="1"/>
    <xf numFmtId="0" fontId="6" fillId="0" borderId="114" xfId="0" quotePrefix="1" applyFont="1" applyBorder="1"/>
    <xf numFmtId="171" fontId="6" fillId="0" borderId="99" xfId="4" applyFont="1" applyBorder="1"/>
    <xf numFmtId="171" fontId="96" fillId="0" borderId="236" xfId="4" applyFont="1" applyBorder="1"/>
    <xf numFmtId="170" fontId="6" fillId="0" borderId="102" xfId="0" applyNumberFormat="1" applyFont="1" applyBorder="1"/>
    <xf numFmtId="0" fontId="18" fillId="0" borderId="106" xfId="0" quotePrefix="1" applyFont="1" applyBorder="1"/>
    <xf numFmtId="14" fontId="6" fillId="0" borderId="0" xfId="0" applyNumberFormat="1" applyFont="1" applyAlignment="1">
      <alignment horizontal="center" vertical="center"/>
    </xf>
    <xf numFmtId="10" fontId="18" fillId="0" borderId="0" xfId="0" applyNumberFormat="1" applyFont="1"/>
    <xf numFmtId="0" fontId="6" fillId="0" borderId="0" xfId="0" applyFont="1" applyAlignment="1">
      <alignment horizontal="center"/>
    </xf>
    <xf numFmtId="0" fontId="10" fillId="0" borderId="110" xfId="0" applyFont="1" applyBorder="1"/>
    <xf numFmtId="170" fontId="13" fillId="0" borderId="110" xfId="0" applyNumberFormat="1" applyFont="1" applyBorder="1"/>
    <xf numFmtId="170" fontId="13" fillId="0" borderId="196" xfId="0" applyNumberFormat="1" applyFont="1" applyBorder="1"/>
    <xf numFmtId="0" fontId="10" fillId="0" borderId="204" xfId="0" applyFont="1" applyBorder="1"/>
    <xf numFmtId="170" fontId="13" fillId="0" borderId="204" xfId="0" applyNumberFormat="1" applyFont="1" applyBorder="1"/>
    <xf numFmtId="10" fontId="18" fillId="0" borderId="204" xfId="0" applyNumberFormat="1" applyFont="1" applyBorder="1"/>
    <xf numFmtId="170" fontId="18" fillId="0" borderId="204" xfId="0" applyNumberFormat="1" applyFont="1" applyBorder="1"/>
    <xf numFmtId="0" fontId="6" fillId="0" borderId="204" xfId="0" applyFont="1" applyBorder="1" applyAlignment="1">
      <alignment horizontal="center"/>
    </xf>
    <xf numFmtId="170" fontId="13" fillId="0" borderId="198" xfId="0" applyNumberFormat="1" applyFont="1" applyBorder="1"/>
    <xf numFmtId="10" fontId="18" fillId="0" borderId="110" xfId="0" applyNumberFormat="1" applyFont="1" applyBorder="1"/>
    <xf numFmtId="0" fontId="6" fillId="0" borderId="110" xfId="0" applyFont="1" applyBorder="1" applyAlignment="1">
      <alignment horizontal="center"/>
    </xf>
    <xf numFmtId="170" fontId="13" fillId="0" borderId="117" xfId="0" applyNumberFormat="1" applyFont="1" applyBorder="1"/>
    <xf numFmtId="0" fontId="10" fillId="0" borderId="239" xfId="0" applyFont="1" applyBorder="1"/>
    <xf numFmtId="0" fontId="13" fillId="0" borderId="239" xfId="0" applyFont="1" applyBorder="1"/>
    <xf numFmtId="0" fontId="6" fillId="0" borderId="239" xfId="0" applyFont="1" applyBorder="1"/>
    <xf numFmtId="0" fontId="10" fillId="0" borderId="240" xfId="0" applyFont="1" applyBorder="1" applyAlignment="1">
      <alignment horizontal="center"/>
    </xf>
    <xf numFmtId="14" fontId="6" fillId="0" borderId="180" xfId="0" applyNumberFormat="1" applyFont="1" applyBorder="1" applyAlignment="1">
      <alignment horizontal="center" vertical="center"/>
    </xf>
    <xf numFmtId="14" fontId="6" fillId="0" borderId="241" xfId="0" applyNumberFormat="1" applyFont="1" applyBorder="1" applyAlignment="1">
      <alignment horizontal="center" vertical="center"/>
    </xf>
    <xf numFmtId="14" fontId="6" fillId="0" borderId="242" xfId="0" applyNumberFormat="1" applyFont="1" applyBorder="1" applyAlignment="1">
      <alignment horizontal="center" vertical="center"/>
    </xf>
    <xf numFmtId="0" fontId="6" fillId="0" borderId="243" xfId="0" applyFont="1" applyBorder="1"/>
    <xf numFmtId="0" fontId="6" fillId="0" borderId="200" xfId="0" applyFont="1" applyBorder="1"/>
    <xf numFmtId="0" fontId="6" fillId="0" borderId="203" xfId="0" applyFont="1" applyBorder="1"/>
    <xf numFmtId="170" fontId="8" fillId="0" borderId="240" xfId="0" applyNumberFormat="1" applyFont="1" applyBorder="1"/>
    <xf numFmtId="170" fontId="8" fillId="0" borderId="180" xfId="0" applyNumberFormat="1" applyFont="1" applyBorder="1"/>
    <xf numFmtId="170" fontId="8" fillId="0" borderId="241" xfId="0" applyNumberFormat="1" applyFont="1" applyBorder="1"/>
    <xf numFmtId="170" fontId="8" fillId="0" borderId="242" xfId="0" applyNumberFormat="1" applyFont="1" applyBorder="1"/>
    <xf numFmtId="14" fontId="6" fillId="0" borderId="117" xfId="0" applyNumberFormat="1" applyFont="1" applyBorder="1" applyAlignment="1">
      <alignment horizontal="center" vertical="center"/>
    </xf>
    <xf numFmtId="14" fontId="6" fillId="0" borderId="196" xfId="0" applyNumberFormat="1" applyFont="1" applyBorder="1" applyAlignment="1">
      <alignment horizontal="center" vertical="center"/>
    </xf>
    <xf numFmtId="14" fontId="6" fillId="0" borderId="198" xfId="0" applyNumberFormat="1" applyFont="1" applyBorder="1" applyAlignment="1">
      <alignment horizontal="center" vertical="center"/>
    </xf>
    <xf numFmtId="170" fontId="13" fillId="4" borderId="179" xfId="0" applyNumberFormat="1" applyFont="1" applyFill="1" applyBorder="1"/>
    <xf numFmtId="170" fontId="13" fillId="0" borderId="244" xfId="0" applyNumberFormat="1" applyFont="1" applyBorder="1" applyAlignment="1">
      <alignment horizontal="right"/>
    </xf>
    <xf numFmtId="1" fontId="13" fillId="0" borderId="244" xfId="0" applyNumberFormat="1" applyFont="1" applyBorder="1"/>
    <xf numFmtId="10" fontId="13" fillId="0" borderId="244" xfId="0" applyNumberFormat="1" applyFont="1" applyBorder="1"/>
    <xf numFmtId="170" fontId="13" fillId="0" borderId="245" xfId="0" applyNumberFormat="1" applyFont="1" applyBorder="1" applyAlignment="1">
      <alignment horizontal="right"/>
    </xf>
    <xf numFmtId="0" fontId="10" fillId="0" borderId="190" xfId="0" applyFont="1" applyBorder="1"/>
    <xf numFmtId="0" fontId="10" fillId="0" borderId="203" xfId="0" applyFont="1" applyBorder="1"/>
    <xf numFmtId="170" fontId="6" fillId="0" borderId="144" xfId="0" applyNumberFormat="1" applyFont="1" applyBorder="1"/>
    <xf numFmtId="170" fontId="6" fillId="0" borderId="218" xfId="0" applyNumberFormat="1" applyFont="1" applyBorder="1"/>
    <xf numFmtId="170" fontId="13" fillId="0" borderId="159" xfId="0" applyNumberFormat="1" applyFont="1" applyBorder="1"/>
    <xf numFmtId="170" fontId="13" fillId="0" borderId="140" xfId="0" applyNumberFormat="1" applyFont="1" applyBorder="1"/>
    <xf numFmtId="192" fontId="69" fillId="0" borderId="246" xfId="0" quotePrefix="1" applyNumberFormat="1" applyFont="1" applyBorder="1"/>
    <xf numFmtId="192" fontId="69" fillId="0" borderId="143" xfId="0" quotePrefix="1" applyNumberFormat="1" applyFont="1" applyBorder="1"/>
    <xf numFmtId="192" fontId="69" fillId="0" borderId="141" xfId="0" quotePrefix="1" applyNumberFormat="1" applyFont="1" applyBorder="1"/>
    <xf numFmtId="0" fontId="18" fillId="0" borderId="41" xfId="0" quotePrefix="1" applyFont="1" applyBorder="1"/>
    <xf numFmtId="17" fontId="6" fillId="0" borderId="114" xfId="0" quotePrefix="1" applyNumberFormat="1" applyFont="1" applyBorder="1"/>
    <xf numFmtId="0" fontId="84" fillId="0" borderId="0" xfId="0" applyFont="1"/>
    <xf numFmtId="0" fontId="42" fillId="0" borderId="14" xfId="0" applyFont="1" applyBorder="1"/>
    <xf numFmtId="170" fontId="13" fillId="0" borderId="115" xfId="0" applyNumberFormat="1" applyFont="1" applyBorder="1"/>
    <xf numFmtId="0" fontId="18" fillId="0" borderId="107" xfId="0" quotePrefix="1" applyFont="1" applyBorder="1"/>
    <xf numFmtId="0" fontId="10" fillId="0" borderId="20" xfId="0" quotePrefix="1" applyFont="1" applyBorder="1"/>
    <xf numFmtId="184" fontId="10" fillId="0" borderId="0" xfId="0" quotePrefix="1" applyNumberFormat="1" applyFont="1"/>
    <xf numFmtId="173" fontId="10" fillId="0" borderId="14" xfId="0" quotePrefix="1" applyNumberFormat="1" applyFont="1" applyBorder="1"/>
    <xf numFmtId="173" fontId="10" fillId="0" borderId="0" xfId="0" quotePrefix="1" applyNumberFormat="1" applyFont="1"/>
    <xf numFmtId="0" fontId="10" fillId="0" borderId="14" xfId="0" quotePrefix="1" applyFont="1" applyBorder="1"/>
    <xf numFmtId="170" fontId="6" fillId="0" borderId="158" xfId="0" applyNumberFormat="1" applyFont="1" applyBorder="1"/>
    <xf numFmtId="170" fontId="6" fillId="0" borderId="34" xfId="0" applyNumberFormat="1" applyFont="1" applyBorder="1"/>
    <xf numFmtId="170" fontId="89" fillId="0" borderId="159" xfId="0" applyNumberFormat="1" applyFont="1" applyBorder="1"/>
    <xf numFmtId="193" fontId="6" fillId="0" borderId="238" xfId="0" applyNumberFormat="1" applyFont="1" applyBorder="1"/>
    <xf numFmtId="170" fontId="94" fillId="0" borderId="191" xfId="0" applyNumberFormat="1" applyFont="1" applyBorder="1"/>
    <xf numFmtId="0" fontId="98" fillId="15" borderId="195" xfId="0" applyFont="1" applyFill="1" applyBorder="1"/>
    <xf numFmtId="0" fontId="99" fillId="15" borderId="195" xfId="0" applyFont="1" applyFill="1" applyBorder="1"/>
    <xf numFmtId="0" fontId="99" fillId="15" borderId="196" xfId="0" applyFont="1" applyFill="1" applyBorder="1"/>
    <xf numFmtId="0" fontId="99" fillId="15" borderId="197" xfId="0" applyFont="1" applyFill="1" applyBorder="1"/>
    <xf numFmtId="0" fontId="99" fillId="15" borderId="198" xfId="0" applyFont="1" applyFill="1" applyBorder="1"/>
    <xf numFmtId="0" fontId="86" fillId="9" borderId="111" xfId="0" applyFont="1" applyFill="1" applyBorder="1" applyAlignment="1">
      <alignment horizontal="center"/>
    </xf>
    <xf numFmtId="171" fontId="68" fillId="0" borderId="111" xfId="4" applyBorder="1"/>
    <xf numFmtId="8" fontId="0" fillId="0" borderId="111" xfId="0" applyNumberFormat="1" applyBorder="1"/>
    <xf numFmtId="0" fontId="0" fillId="0" borderId="208" xfId="0" applyBorder="1"/>
    <xf numFmtId="0" fontId="0" fillId="0" borderId="194" xfId="0" applyBorder="1"/>
    <xf numFmtId="0" fontId="97" fillId="9" borderId="170" xfId="0" applyFont="1" applyFill="1" applyBorder="1"/>
    <xf numFmtId="0" fontId="97" fillId="9" borderId="171" xfId="0" applyFont="1" applyFill="1" applyBorder="1"/>
    <xf numFmtId="0" fontId="98" fillId="15" borderId="193" xfId="0" applyFont="1" applyFill="1" applyBorder="1"/>
    <xf numFmtId="0" fontId="98" fillId="15" borderId="194" xfId="0" applyFont="1" applyFill="1" applyBorder="1" applyAlignment="1">
      <alignment horizontal="center" vertical="center"/>
    </xf>
    <xf numFmtId="0" fontId="98" fillId="15" borderId="196" xfId="0" applyFont="1" applyFill="1" applyBorder="1" applyAlignment="1">
      <alignment horizontal="center" vertical="center"/>
    </xf>
    <xf numFmtId="0" fontId="98" fillId="15" borderId="111" xfId="0" applyFont="1" applyFill="1" applyBorder="1" applyAlignment="1">
      <alignment horizontal="center" vertical="center"/>
    </xf>
    <xf numFmtId="14" fontId="98" fillId="15" borderId="111" xfId="0" applyNumberFormat="1" applyFont="1" applyFill="1" applyBorder="1" applyAlignment="1">
      <alignment horizontal="center" vertical="center"/>
    </xf>
    <xf numFmtId="0" fontId="98" fillId="15" borderId="208" xfId="0" applyFont="1" applyFill="1" applyBorder="1" applyAlignment="1">
      <alignment horizontal="center" vertical="center"/>
    </xf>
    <xf numFmtId="14" fontId="98" fillId="15" borderId="208" xfId="0" applyNumberFormat="1" applyFont="1" applyFill="1" applyBorder="1" applyAlignment="1">
      <alignment horizontal="center" vertical="center"/>
    </xf>
    <xf numFmtId="0" fontId="99" fillId="15" borderId="193" xfId="0" applyFont="1" applyFill="1" applyBorder="1"/>
    <xf numFmtId="0" fontId="99" fillId="15" borderId="194" xfId="0" applyFont="1" applyFill="1" applyBorder="1"/>
    <xf numFmtId="170" fontId="13" fillId="0" borderId="108" xfId="0" applyNumberFormat="1" applyFont="1" applyBorder="1"/>
    <xf numFmtId="0" fontId="98" fillId="15" borderId="116" xfId="0" applyFont="1" applyFill="1" applyBorder="1"/>
    <xf numFmtId="0" fontId="98" fillId="15" borderId="110" xfId="0" applyFont="1" applyFill="1" applyBorder="1" applyAlignment="1">
      <alignment horizontal="center" vertical="center"/>
    </xf>
    <xf numFmtId="14" fontId="98" fillId="15" borderId="110" xfId="0" applyNumberFormat="1" applyFont="1" applyFill="1" applyBorder="1" applyAlignment="1">
      <alignment horizontal="center" vertical="center"/>
    </xf>
    <xf numFmtId="185" fontId="89" fillId="9" borderId="26" xfId="0" applyNumberFormat="1" applyFont="1" applyFill="1" applyBorder="1" applyAlignment="1">
      <alignment horizontal="center"/>
    </xf>
    <xf numFmtId="0" fontId="89" fillId="9" borderId="15" xfId="0" applyFont="1" applyFill="1" applyBorder="1" applyAlignment="1">
      <alignment horizontal="center"/>
    </xf>
    <xf numFmtId="180" fontId="89" fillId="9" borderId="0" xfId="0" quotePrefix="1" applyNumberFormat="1" applyFont="1" applyFill="1" applyAlignment="1">
      <alignment horizontal="left"/>
    </xf>
    <xf numFmtId="0" fontId="89" fillId="9" borderId="3" xfId="0" applyFont="1" applyFill="1" applyBorder="1" applyAlignment="1" applyProtection="1">
      <alignment horizontal="center"/>
      <protection locked="0"/>
    </xf>
    <xf numFmtId="170" fontId="89" fillId="9" borderId="15" xfId="0" applyNumberFormat="1" applyFont="1" applyFill="1" applyBorder="1"/>
    <xf numFmtId="0" fontId="89" fillId="9" borderId="2" xfId="0" applyFont="1" applyFill="1" applyBorder="1" applyAlignment="1">
      <alignment horizontal="center"/>
    </xf>
    <xf numFmtId="170" fontId="89" fillId="9" borderId="25" xfId="0" applyNumberFormat="1" applyFont="1" applyFill="1" applyBorder="1"/>
    <xf numFmtId="185" fontId="89" fillId="9" borderId="103" xfId="0" applyNumberFormat="1" applyFont="1" applyFill="1" applyBorder="1" applyAlignment="1">
      <alignment horizontal="center"/>
    </xf>
    <xf numFmtId="0" fontId="89" fillId="9" borderId="87" xfId="0" applyFont="1" applyFill="1" applyBorder="1" applyAlignment="1">
      <alignment horizontal="center"/>
    </xf>
    <xf numFmtId="180" fontId="89" fillId="9" borderId="80" xfId="0" quotePrefix="1" applyNumberFormat="1" applyFont="1" applyFill="1" applyBorder="1" applyAlignment="1">
      <alignment horizontal="left"/>
    </xf>
    <xf numFmtId="0" fontId="89" fillId="9" borderId="86" xfId="0" applyFont="1" applyFill="1" applyBorder="1" applyAlignment="1" applyProtection="1">
      <alignment horizontal="center"/>
      <protection locked="0"/>
    </xf>
    <xf numFmtId="170" fontId="89" fillId="9" borderId="87" xfId="0" applyNumberFormat="1" applyFont="1" applyFill="1" applyBorder="1"/>
    <xf numFmtId="0" fontId="89" fillId="9" borderId="88" xfId="0" applyFont="1" applyFill="1" applyBorder="1" applyAlignment="1">
      <alignment horizontal="center"/>
    </xf>
    <xf numFmtId="170" fontId="89" fillId="9" borderId="81" xfId="0" applyNumberFormat="1" applyFont="1" applyFill="1" applyBorder="1"/>
    <xf numFmtId="0" fontId="6" fillId="0" borderId="96" xfId="0" applyFont="1" applyBorder="1"/>
    <xf numFmtId="170" fontId="13" fillId="0" borderId="96" xfId="0" applyNumberFormat="1" applyFont="1" applyBorder="1"/>
    <xf numFmtId="0" fontId="10" fillId="0" borderId="96" xfId="0" applyFont="1" applyBorder="1" applyAlignment="1">
      <alignment horizontal="left"/>
    </xf>
    <xf numFmtId="180" fontId="10" fillId="0" borderId="96" xfId="0" applyNumberFormat="1" applyFont="1" applyBorder="1" applyAlignment="1">
      <alignment horizontal="left"/>
    </xf>
    <xf numFmtId="185" fontId="10" fillId="0" borderId="90" xfId="0" applyNumberFormat="1" applyFont="1" applyBorder="1" applyAlignment="1">
      <alignment horizontal="center"/>
    </xf>
    <xf numFmtId="185" fontId="10" fillId="0" borderId="94" xfId="0" applyNumberFormat="1" applyFont="1" applyBorder="1" applyAlignment="1">
      <alignment horizontal="center"/>
    </xf>
    <xf numFmtId="0" fontId="10" fillId="0" borderId="105" xfId="0" applyFont="1" applyBorder="1" applyAlignment="1">
      <alignment horizontal="center"/>
    </xf>
    <xf numFmtId="0" fontId="6" fillId="0" borderId="247" xfId="0" applyFont="1" applyBorder="1"/>
    <xf numFmtId="0" fontId="10" fillId="0" borderId="248" xfId="0" applyFont="1" applyBorder="1" applyAlignment="1">
      <alignment horizontal="center"/>
    </xf>
    <xf numFmtId="180" fontId="87" fillId="10" borderId="0" xfId="0" quotePrefix="1" applyNumberFormat="1" applyFont="1" applyFill="1" applyAlignment="1">
      <alignment horizontal="left"/>
    </xf>
    <xf numFmtId="0" fontId="89" fillId="9" borderId="80" xfId="0" applyFont="1" applyFill="1" applyBorder="1" applyAlignment="1">
      <alignment horizontal="center"/>
    </xf>
    <xf numFmtId="0" fontId="89" fillId="9" borderId="80" xfId="0" applyFont="1" applyFill="1" applyBorder="1" applyAlignment="1" applyProtection="1">
      <alignment horizontal="center"/>
      <protection locked="0"/>
    </xf>
    <xf numFmtId="185" fontId="89" fillId="9" borderId="109" xfId="0" applyNumberFormat="1" applyFont="1" applyFill="1" applyBorder="1" applyAlignment="1">
      <alignment horizontal="center"/>
    </xf>
    <xf numFmtId="185" fontId="10" fillId="0" borderId="108" xfId="0" applyNumberFormat="1" applyFont="1" applyBorder="1" applyAlignment="1">
      <alignment horizontal="center"/>
    </xf>
    <xf numFmtId="185" fontId="10" fillId="0" borderId="110" xfId="0" applyNumberFormat="1" applyFont="1" applyBorder="1" applyAlignment="1">
      <alignment horizontal="center"/>
    </xf>
    <xf numFmtId="180" fontId="89" fillId="9" borderId="109" xfId="0" quotePrefix="1" applyNumberFormat="1" applyFont="1" applyFill="1" applyBorder="1" applyAlignment="1">
      <alignment horizontal="left"/>
    </xf>
    <xf numFmtId="180" fontId="10" fillId="0" borderId="108" xfId="0" applyNumberFormat="1" applyFont="1" applyBorder="1" applyAlignment="1">
      <alignment horizontal="left"/>
    </xf>
    <xf numFmtId="180" fontId="10" fillId="0" borderId="108" xfId="0" quotePrefix="1" applyNumberFormat="1" applyFont="1" applyBorder="1" applyAlignment="1">
      <alignment horizontal="left"/>
    </xf>
    <xf numFmtId="180" fontId="10" fillId="0" borderId="110" xfId="0" applyNumberFormat="1" applyFont="1" applyBorder="1" applyAlignment="1">
      <alignment horizontal="left"/>
    </xf>
    <xf numFmtId="170" fontId="89" fillId="9" borderId="109" xfId="0" applyNumberFormat="1" applyFont="1" applyFill="1" applyBorder="1"/>
    <xf numFmtId="170" fontId="89" fillId="0" borderId="201" xfId="0" applyNumberFormat="1" applyFont="1" applyBorder="1"/>
    <xf numFmtId="185" fontId="89" fillId="9" borderId="168" xfId="0" applyNumberFormat="1" applyFont="1" applyFill="1" applyBorder="1" applyAlignment="1">
      <alignment horizontal="center"/>
    </xf>
    <xf numFmtId="0" fontId="89" fillId="9" borderId="136" xfId="0" applyFont="1" applyFill="1" applyBorder="1" applyAlignment="1">
      <alignment horizontal="center"/>
    </xf>
    <xf numFmtId="180" fontId="89" fillId="9" borderId="162" xfId="0" quotePrefix="1" applyNumberFormat="1" applyFont="1" applyFill="1" applyBorder="1" applyAlignment="1">
      <alignment horizontal="left"/>
    </xf>
    <xf numFmtId="0" fontId="89" fillId="9" borderId="135" xfId="0" applyFont="1" applyFill="1" applyBorder="1" applyAlignment="1" applyProtection="1">
      <alignment horizontal="center"/>
      <protection locked="0"/>
    </xf>
    <xf numFmtId="170" fontId="89" fillId="9" borderId="136" xfId="0" applyNumberFormat="1" applyFont="1" applyFill="1" applyBorder="1"/>
    <xf numFmtId="0" fontId="89" fillId="9" borderId="145" xfId="0" applyFont="1" applyFill="1" applyBorder="1" applyAlignment="1">
      <alignment horizontal="center"/>
    </xf>
    <xf numFmtId="170" fontId="89" fillId="9" borderId="163" xfId="0" applyNumberFormat="1" applyFont="1" applyFill="1" applyBorder="1"/>
    <xf numFmtId="185" fontId="10" fillId="0" borderId="118" xfId="0" applyNumberFormat="1" applyFont="1" applyBorder="1" applyAlignment="1">
      <alignment horizontal="center"/>
    </xf>
    <xf numFmtId="185" fontId="87" fillId="10" borderId="118" xfId="0" applyNumberFormat="1" applyFont="1" applyFill="1" applyBorder="1" applyAlignment="1">
      <alignment horizontal="center"/>
    </xf>
    <xf numFmtId="170" fontId="88" fillId="10" borderId="119" xfId="0" applyNumberFormat="1" applyFont="1" applyFill="1" applyBorder="1"/>
    <xf numFmtId="185" fontId="10" fillId="0" borderId="126" xfId="0" applyNumberFormat="1" applyFont="1" applyBorder="1" applyAlignment="1">
      <alignment horizontal="center"/>
    </xf>
    <xf numFmtId="0" fontId="10" fillId="0" borderId="139" xfId="0" applyFont="1" applyBorder="1" applyAlignment="1">
      <alignment horizontal="center"/>
    </xf>
    <xf numFmtId="0" fontId="6" fillId="0" borderId="130" xfId="0" applyFont="1" applyBorder="1" applyAlignment="1" applyProtection="1">
      <alignment horizontal="center"/>
      <protection locked="0"/>
    </xf>
    <xf numFmtId="0" fontId="10" fillId="0" borderId="148" xfId="0" applyFont="1" applyBorder="1" applyAlignment="1">
      <alignment horizontal="center"/>
    </xf>
    <xf numFmtId="185" fontId="89" fillId="9" borderId="118" xfId="0" applyNumberFormat="1" applyFont="1" applyFill="1" applyBorder="1" applyAlignment="1">
      <alignment horizontal="center"/>
    </xf>
    <xf numFmtId="170" fontId="89" fillId="9" borderId="119" xfId="0" applyNumberFormat="1" applyFont="1" applyFill="1" applyBorder="1"/>
    <xf numFmtId="180" fontId="10" fillId="0" borderId="127" xfId="0" quotePrefix="1" applyNumberFormat="1" applyFont="1" applyBorder="1" applyAlignment="1">
      <alignment horizontal="left"/>
    </xf>
    <xf numFmtId="185" fontId="87" fillId="10" borderId="126" xfId="0" applyNumberFormat="1" applyFont="1" applyFill="1" applyBorder="1" applyAlignment="1">
      <alignment horizontal="center"/>
    </xf>
    <xf numFmtId="0" fontId="87" fillId="10" borderId="139" xfId="0" applyFont="1" applyFill="1" applyBorder="1" applyAlignment="1">
      <alignment horizontal="center"/>
    </xf>
    <xf numFmtId="180" fontId="87" fillId="10" borderId="127" xfId="0" applyNumberFormat="1" applyFont="1" applyFill="1" applyBorder="1" applyAlignment="1">
      <alignment horizontal="left"/>
    </xf>
    <xf numFmtId="170" fontId="88" fillId="10" borderId="130" xfId="0" applyNumberFormat="1" applyFont="1" applyFill="1" applyBorder="1"/>
    <xf numFmtId="170" fontId="88" fillId="10" borderId="127" xfId="0" applyNumberFormat="1" applyFont="1" applyFill="1" applyBorder="1"/>
    <xf numFmtId="0" fontId="88" fillId="10" borderId="148" xfId="0" applyFont="1" applyFill="1" applyBorder="1" applyAlignment="1">
      <alignment horizontal="center"/>
    </xf>
    <xf numFmtId="170" fontId="88" fillId="10" borderId="129" xfId="0" applyNumberFormat="1" applyFont="1" applyFill="1" applyBorder="1"/>
    <xf numFmtId="0" fontId="17" fillId="5" borderId="160" xfId="0" applyFont="1" applyFill="1" applyBorder="1" applyAlignment="1">
      <alignment horizontal="left"/>
    </xf>
    <xf numFmtId="0" fontId="17" fillId="5" borderId="135" xfId="0" applyFont="1" applyFill="1" applyBorder="1" applyAlignment="1">
      <alignment horizontal="left"/>
    </xf>
    <xf numFmtId="0" fontId="17" fillId="5" borderId="162" xfId="0" applyFont="1" applyFill="1" applyBorder="1"/>
    <xf numFmtId="0" fontId="18" fillId="5" borderId="135" xfId="0" applyFont="1" applyFill="1" applyBorder="1"/>
    <xf numFmtId="170" fontId="7" fillId="10" borderId="180" xfId="0" applyNumberFormat="1" applyFont="1" applyFill="1" applyBorder="1" applyAlignment="1">
      <alignment horizontal="center" vertical="center"/>
    </xf>
    <xf numFmtId="170" fontId="89" fillId="0" borderId="144" xfId="0" applyNumberFormat="1" applyFont="1" applyBorder="1"/>
    <xf numFmtId="170" fontId="7" fillId="5" borderId="179" xfId="0" applyNumberFormat="1" applyFont="1" applyFill="1" applyBorder="1"/>
    <xf numFmtId="0" fontId="6" fillId="0" borderId="150" xfId="0" applyFont="1" applyBorder="1"/>
    <xf numFmtId="0" fontId="6" fillId="0" borderId="218" xfId="0" applyFont="1" applyBorder="1"/>
    <xf numFmtId="0" fontId="9" fillId="5" borderId="249" xfId="0" applyFont="1" applyFill="1" applyBorder="1"/>
    <xf numFmtId="170" fontId="7" fillId="5" borderId="249" xfId="0" applyNumberFormat="1" applyFont="1" applyFill="1" applyBorder="1"/>
    <xf numFmtId="0" fontId="98" fillId="15" borderId="114" xfId="0" applyFont="1" applyFill="1" applyBorder="1"/>
    <xf numFmtId="0" fontId="98" fillId="15" borderId="109" xfId="0" applyFont="1" applyFill="1" applyBorder="1" applyAlignment="1">
      <alignment horizontal="center" vertical="center"/>
    </xf>
    <xf numFmtId="14" fontId="98" fillId="15" borderId="109" xfId="0" applyNumberFormat="1" applyFont="1" applyFill="1" applyBorder="1" applyAlignment="1">
      <alignment horizontal="center" vertical="center"/>
    </xf>
    <xf numFmtId="0" fontId="98" fillId="15" borderId="115" xfId="0" applyFont="1" applyFill="1" applyBorder="1" applyAlignment="1">
      <alignment horizontal="center" vertical="center"/>
    </xf>
    <xf numFmtId="171" fontId="69" fillId="0" borderId="80" xfId="4" applyFont="1" applyBorder="1"/>
    <xf numFmtId="0" fontId="100" fillId="11" borderId="174" xfId="0" applyFont="1" applyFill="1" applyBorder="1" applyAlignment="1">
      <alignment horizontal="left"/>
    </xf>
    <xf numFmtId="0" fontId="100" fillId="11" borderId="172" xfId="0" applyFont="1" applyFill="1" applyBorder="1" applyAlignment="1">
      <alignment horizontal="left"/>
    </xf>
    <xf numFmtId="0" fontId="100" fillId="11" borderId="173" xfId="0" applyFont="1" applyFill="1" applyBorder="1"/>
    <xf numFmtId="0" fontId="100" fillId="11" borderId="172" xfId="0" applyFont="1" applyFill="1" applyBorder="1"/>
    <xf numFmtId="180" fontId="100" fillId="11" borderId="250" xfId="0" applyNumberFormat="1" applyFont="1" applyFill="1" applyBorder="1" applyAlignment="1">
      <alignment horizontal="left"/>
    </xf>
    <xf numFmtId="0" fontId="100" fillId="11" borderId="172" xfId="0" applyFont="1" applyFill="1" applyBorder="1" applyAlignment="1" applyProtection="1">
      <alignment horizontal="justify"/>
      <protection locked="0"/>
    </xf>
    <xf numFmtId="0" fontId="100" fillId="11" borderId="249" xfId="0" applyFont="1" applyFill="1" applyBorder="1"/>
    <xf numFmtId="170" fontId="7" fillId="5" borderId="20" xfId="0" applyNumberFormat="1" applyFont="1" applyFill="1" applyBorder="1"/>
    <xf numFmtId="0" fontId="9" fillId="5" borderId="136" xfId="0" applyFont="1" applyFill="1" applyBorder="1"/>
    <xf numFmtId="170" fontId="7" fillId="5" borderId="137" xfId="0" applyNumberFormat="1" applyFont="1" applyFill="1" applyBorder="1"/>
    <xf numFmtId="0" fontId="68" fillId="0" borderId="193" xfId="0" applyFont="1" applyBorder="1"/>
    <xf numFmtId="0" fontId="68" fillId="0" borderId="208" xfId="0" applyFont="1" applyBorder="1"/>
    <xf numFmtId="0" fontId="68" fillId="0" borderId="195" xfId="0" applyFont="1" applyBorder="1"/>
    <xf numFmtId="0" fontId="68" fillId="0" borderId="111" xfId="0" applyFont="1" applyBorder="1"/>
    <xf numFmtId="14" fontId="68" fillId="0" borderId="111" xfId="0" applyNumberFormat="1" applyFont="1" applyBorder="1"/>
    <xf numFmtId="0" fontId="68" fillId="0" borderId="196" xfId="0" applyFont="1" applyBorder="1"/>
    <xf numFmtId="0" fontId="68" fillId="0" borderId="0" xfId="0" applyFont="1"/>
    <xf numFmtId="0" fontId="68" fillId="0" borderId="111" xfId="0" applyFont="1" applyBorder="1" applyAlignment="1">
      <alignment wrapText="1"/>
    </xf>
    <xf numFmtId="14" fontId="68" fillId="0" borderId="0" xfId="0" applyNumberFormat="1" applyFont="1"/>
    <xf numFmtId="0" fontId="68" fillId="0" borderId="197" xfId="0" applyFont="1" applyBorder="1"/>
    <xf numFmtId="0" fontId="68" fillId="0" borderId="204" xfId="0" applyFont="1" applyBorder="1"/>
    <xf numFmtId="0" fontId="68" fillId="0" borderId="198" xfId="0" applyFont="1" applyBorder="1"/>
    <xf numFmtId="174" fontId="17" fillId="0" borderId="13" xfId="0" applyNumberFormat="1" applyFont="1" applyBorder="1" applyAlignment="1">
      <alignment horizontal="center"/>
    </xf>
    <xf numFmtId="170" fontId="13" fillId="0" borderId="109" xfId="0" applyNumberFormat="1" applyFont="1" applyBorder="1"/>
    <xf numFmtId="170" fontId="13" fillId="0" borderId="225" xfId="0" applyNumberFormat="1" applyFont="1" applyBorder="1"/>
    <xf numFmtId="173" fontId="10" fillId="0" borderId="14" xfId="0" applyNumberFormat="1" applyFont="1" applyBorder="1" applyAlignment="1">
      <alignment horizontal="left"/>
    </xf>
    <xf numFmtId="170" fontId="13" fillId="0" borderId="226" xfId="0" applyNumberFormat="1" applyFont="1" applyBorder="1"/>
    <xf numFmtId="173" fontId="10" fillId="0" borderId="17" xfId="0" applyNumberFormat="1" applyFont="1" applyBorder="1" applyAlignment="1">
      <alignment horizontal="left"/>
    </xf>
    <xf numFmtId="16" fontId="10" fillId="0" borderId="3" xfId="0" applyNumberFormat="1" applyFont="1" applyBorder="1" applyAlignment="1">
      <alignment horizontal="center"/>
    </xf>
    <xf numFmtId="16" fontId="10" fillId="0" borderId="18" xfId="0" applyNumberFormat="1" applyFont="1" applyBorder="1" applyAlignment="1">
      <alignment horizontal="center"/>
    </xf>
    <xf numFmtId="174" fontId="18" fillId="0" borderId="2" xfId="0" applyNumberFormat="1" applyFont="1" applyBorder="1" applyAlignment="1">
      <alignment horizontal="center"/>
    </xf>
    <xf numFmtId="174" fontId="10" fillId="0" borderId="23" xfId="0" applyNumberFormat="1" applyFont="1" applyBorder="1" applyAlignment="1">
      <alignment horizontal="center"/>
    </xf>
    <xf numFmtId="170" fontId="8" fillId="0" borderId="52" xfId="0" applyNumberFormat="1" applyFont="1" applyBorder="1"/>
    <xf numFmtId="170" fontId="13" fillId="0" borderId="227" xfId="0" applyNumberFormat="1" applyFont="1" applyBorder="1"/>
    <xf numFmtId="173" fontId="6" fillId="0" borderId="22" xfId="0" applyNumberFormat="1" applyFont="1" applyBorder="1"/>
    <xf numFmtId="174" fontId="10" fillId="0" borderId="32" xfId="0" applyNumberFormat="1" applyFont="1" applyBorder="1" applyAlignment="1">
      <alignment horizontal="center"/>
    </xf>
    <xf numFmtId="170" fontId="8" fillId="0" borderId="55" xfId="0" applyNumberFormat="1" applyFont="1" applyBorder="1"/>
    <xf numFmtId="170" fontId="13" fillId="0" borderId="228" xfId="0" applyNumberFormat="1" applyFont="1" applyBorder="1"/>
    <xf numFmtId="175" fontId="6" fillId="0" borderId="0" xfId="0" applyNumberFormat="1" applyFont="1"/>
    <xf numFmtId="174" fontId="10" fillId="0" borderId="65" xfId="0" applyNumberFormat="1" applyFont="1" applyBorder="1" applyAlignment="1">
      <alignment horizontal="center"/>
    </xf>
    <xf numFmtId="174" fontId="10" fillId="0" borderId="35" xfId="0" applyNumberFormat="1" applyFont="1" applyBorder="1" applyAlignment="1">
      <alignment horizontal="center"/>
    </xf>
    <xf numFmtId="0" fontId="6" fillId="0" borderId="67" xfId="0" applyFont="1" applyBorder="1"/>
    <xf numFmtId="170" fontId="8" fillId="0" borderId="61" xfId="0" applyNumberFormat="1" applyFont="1" applyBorder="1"/>
    <xf numFmtId="170" fontId="13" fillId="0" borderId="229" xfId="0" applyNumberFormat="1" applyFont="1" applyBorder="1"/>
    <xf numFmtId="174" fontId="10" fillId="0" borderId="86" xfId="0" applyNumberFormat="1" applyFont="1" applyBorder="1" applyAlignment="1">
      <alignment horizontal="center"/>
    </xf>
    <xf numFmtId="0" fontId="6" fillId="0" borderId="80" xfId="0" quotePrefix="1" applyFont="1" applyBorder="1"/>
    <xf numFmtId="170" fontId="8" fillId="0" borderId="88" xfId="0" applyNumberFormat="1" applyFont="1" applyBorder="1"/>
    <xf numFmtId="174" fontId="10" fillId="0" borderId="95" xfId="0" applyNumberFormat="1" applyFont="1" applyBorder="1" applyAlignment="1">
      <alignment horizontal="center"/>
    </xf>
    <xf numFmtId="0" fontId="6" fillId="0" borderId="105" xfId="0" applyFont="1" applyBorder="1"/>
    <xf numFmtId="170" fontId="8" fillId="0" borderId="92" xfId="0" applyNumberFormat="1" applyFont="1" applyBorder="1"/>
    <xf numFmtId="173" fontId="10" fillId="0" borderId="105" xfId="0" applyNumberFormat="1" applyFont="1" applyBorder="1" applyAlignment="1">
      <alignment horizontal="left"/>
    </xf>
    <xf numFmtId="170" fontId="8" fillId="4" borderId="16" xfId="0" applyNumberFormat="1" applyFont="1" applyFill="1" applyBorder="1"/>
    <xf numFmtId="176" fontId="14" fillId="4" borderId="18" xfId="0" applyNumberFormat="1" applyFont="1" applyFill="1" applyBorder="1"/>
    <xf numFmtId="177" fontId="6" fillId="0" borderId="0" xfId="0" applyNumberFormat="1" applyFont="1"/>
    <xf numFmtId="170" fontId="6" fillId="0" borderId="202" xfId="0" applyNumberFormat="1" applyFont="1" applyBorder="1"/>
    <xf numFmtId="170" fontId="6" fillId="0" borderId="142" xfId="0" applyNumberFormat="1" applyFont="1" applyBorder="1"/>
    <xf numFmtId="170" fontId="13" fillId="9" borderId="169" xfId="0" applyNumberFormat="1" applyFont="1" applyFill="1" applyBorder="1"/>
    <xf numFmtId="44" fontId="6" fillId="0" borderId="163" xfId="0" applyNumberFormat="1" applyFont="1" applyBorder="1"/>
    <xf numFmtId="4" fontId="6" fillId="0" borderId="0" xfId="0" applyNumberFormat="1" applyFont="1"/>
    <xf numFmtId="0" fontId="10" fillId="0" borderId="41" xfId="0" quotePrefix="1" applyFont="1" applyBorder="1" applyAlignment="1">
      <alignment horizontal="center"/>
    </xf>
    <xf numFmtId="174" fontId="18" fillId="0" borderId="132" xfId="0" applyNumberFormat="1" applyFont="1" applyBorder="1" applyAlignment="1">
      <alignment horizontal="center"/>
    </xf>
    <xf numFmtId="174" fontId="18" fillId="0" borderId="219" xfId="0" applyNumberFormat="1" applyFont="1" applyBorder="1" applyAlignment="1">
      <alignment horizontal="center"/>
    </xf>
    <xf numFmtId="0" fontId="18" fillId="0" borderId="127" xfId="0" applyFont="1" applyBorder="1"/>
    <xf numFmtId="170" fontId="8" fillId="0" borderId="219" xfId="0" applyNumberFormat="1" applyFont="1" applyBorder="1"/>
    <xf numFmtId="171" fontId="18" fillId="0" borderId="219" xfId="4" applyFont="1" applyBorder="1" applyAlignment="1">
      <alignment horizontal="center"/>
    </xf>
    <xf numFmtId="0" fontId="10" fillId="0" borderId="15" xfId="0" quotePrefix="1" applyFont="1" applyBorder="1" applyAlignment="1">
      <alignment wrapText="1"/>
    </xf>
    <xf numFmtId="174" fontId="10" fillId="0" borderId="168" xfId="0" applyNumberFormat="1" applyFont="1" applyBorder="1" applyAlignment="1">
      <alignment horizontal="center"/>
    </xf>
    <xf numFmtId="170" fontId="6" fillId="0" borderId="119" xfId="0" quotePrefix="1" applyNumberFormat="1" applyFont="1" applyBorder="1"/>
    <xf numFmtId="0" fontId="10" fillId="0" borderId="131" xfId="0" applyFont="1" applyBorder="1" applyAlignment="1">
      <alignment horizontal="center"/>
    </xf>
    <xf numFmtId="174" fontId="18" fillId="0" borderId="115" xfId="0" applyNumberFormat="1" applyFont="1" applyBorder="1" applyAlignment="1">
      <alignment horizontal="center"/>
    </xf>
    <xf numFmtId="174" fontId="18" fillId="0" borderId="113" xfId="0" applyNumberFormat="1" applyFont="1" applyBorder="1" applyAlignment="1">
      <alignment horizontal="center"/>
    </xf>
    <xf numFmtId="170" fontId="8" fillId="4" borderId="3" xfId="0" applyNumberFormat="1" applyFont="1" applyFill="1" applyBorder="1"/>
    <xf numFmtId="170" fontId="13" fillId="4" borderId="3" xfId="0" applyNumberFormat="1" applyFont="1" applyFill="1" applyBorder="1"/>
    <xf numFmtId="4" fontId="10" fillId="5" borderId="125" xfId="0" applyNumberFormat="1" applyFont="1" applyFill="1" applyBorder="1" applyAlignment="1">
      <alignment horizontal="center"/>
    </xf>
    <xf numFmtId="174" fontId="10" fillId="5" borderId="132" xfId="0" quotePrefix="1" applyNumberFormat="1" applyFont="1" applyFill="1" applyBorder="1" applyAlignment="1">
      <alignment horizontal="center"/>
    </xf>
    <xf numFmtId="0" fontId="10" fillId="5" borderId="128" xfId="0" applyFont="1" applyFill="1" applyBorder="1" applyAlignment="1">
      <alignment horizontal="center"/>
    </xf>
    <xf numFmtId="0" fontId="10" fillId="5" borderId="127" xfId="0" applyFont="1" applyFill="1" applyBorder="1"/>
    <xf numFmtId="170" fontId="8" fillId="5" borderId="128" xfId="0" applyNumberFormat="1" applyFont="1" applyFill="1" applyBorder="1"/>
    <xf numFmtId="170" fontId="13" fillId="5" borderId="220" xfId="0" applyNumberFormat="1" applyFont="1" applyFill="1" applyBorder="1"/>
    <xf numFmtId="4" fontId="10" fillId="5" borderId="140" xfId="0" applyNumberFormat="1" applyFont="1" applyFill="1" applyBorder="1" applyAlignment="1">
      <alignment horizontal="center"/>
    </xf>
    <xf numFmtId="174" fontId="10" fillId="5" borderId="141" xfId="0" quotePrefix="1" applyNumberFormat="1" applyFont="1" applyFill="1" applyBorder="1" applyAlignment="1">
      <alignment horizontal="center"/>
    </xf>
    <xf numFmtId="0" fontId="10" fillId="5" borderId="106" xfId="0" applyFont="1" applyFill="1" applyBorder="1" applyAlignment="1">
      <alignment horizontal="center"/>
    </xf>
    <xf numFmtId="0" fontId="10" fillId="5" borderId="80" xfId="0" applyFont="1" applyFill="1" applyBorder="1"/>
    <xf numFmtId="170" fontId="8" fillId="5" borderId="106" xfId="0" applyNumberFormat="1" applyFont="1" applyFill="1" applyBorder="1"/>
    <xf numFmtId="170" fontId="13" fillId="5" borderId="221" xfId="0" applyNumberFormat="1" applyFont="1" applyFill="1" applyBorder="1"/>
    <xf numFmtId="170" fontId="6" fillId="11" borderId="158" xfId="0" applyNumberFormat="1" applyFont="1" applyFill="1" applyBorder="1"/>
    <xf numFmtId="16" fontId="10" fillId="5" borderId="41" xfId="0" applyNumberFormat="1" applyFont="1" applyFill="1" applyBorder="1" applyAlignment="1">
      <alignment horizontal="center"/>
    </xf>
    <xf numFmtId="170" fontId="9" fillId="0" borderId="15" xfId="0" applyNumberFormat="1" applyFont="1" applyBorder="1"/>
    <xf numFmtId="174" fontId="10" fillId="0" borderId="131" xfId="0" quotePrefix="1" applyNumberFormat="1" applyFont="1" applyBorder="1" applyAlignment="1">
      <alignment horizontal="center"/>
    </xf>
    <xf numFmtId="170" fontId="8" fillId="4" borderId="111" xfId="0" applyNumberFormat="1" applyFont="1" applyFill="1" applyBorder="1"/>
    <xf numFmtId="170" fontId="89" fillId="0" borderId="125" xfId="0" applyNumberFormat="1" applyFont="1" applyBorder="1"/>
    <xf numFmtId="180" fontId="0" fillId="0" borderId="251" xfId="0" quotePrefix="1" applyNumberFormat="1" applyBorder="1"/>
    <xf numFmtId="170" fontId="13" fillId="0" borderId="252" xfId="0" applyNumberFormat="1" applyFont="1" applyBorder="1"/>
    <xf numFmtId="170" fontId="13" fillId="0" borderId="253" xfId="0" applyNumberFormat="1" applyFont="1" applyBorder="1"/>
    <xf numFmtId="180" fontId="0" fillId="0" borderId="254" xfId="0" applyNumberFormat="1" applyBorder="1"/>
    <xf numFmtId="170" fontId="13" fillId="0" borderId="255" xfId="0" applyNumberFormat="1" applyFont="1" applyBorder="1"/>
    <xf numFmtId="0" fontId="6" fillId="0" borderId="179" xfId="0" applyFont="1" applyBorder="1"/>
    <xf numFmtId="170" fontId="6" fillId="0" borderId="191" xfId="0" applyNumberFormat="1" applyFont="1" applyBorder="1"/>
    <xf numFmtId="170" fontId="13" fillId="9" borderId="224" xfId="0" applyNumberFormat="1" applyFont="1" applyFill="1" applyBorder="1"/>
    <xf numFmtId="171" fontId="18" fillId="0" borderId="80" xfId="4" applyFont="1" applyBorder="1" applyAlignment="1">
      <alignment horizontal="center"/>
    </xf>
    <xf numFmtId="171" fontId="18" fillId="0" borderId="105" xfId="4" applyFont="1" applyBorder="1" applyAlignment="1">
      <alignment horizontal="center"/>
    </xf>
    <xf numFmtId="170" fontId="7" fillId="5" borderId="190" xfId="0" applyNumberFormat="1" applyFont="1" applyFill="1" applyBorder="1"/>
    <xf numFmtId="170" fontId="13" fillId="0" borderId="191" xfId="0" applyNumberFormat="1" applyFont="1" applyBorder="1" applyAlignment="1">
      <alignment wrapText="1"/>
    </xf>
    <xf numFmtId="170" fontId="7" fillId="10" borderId="191" xfId="0" applyNumberFormat="1" applyFont="1" applyFill="1" applyBorder="1" applyAlignment="1">
      <alignment horizontal="center" vertical="center"/>
    </xf>
    <xf numFmtId="170" fontId="92" fillId="0" borderId="202" xfId="0" applyNumberFormat="1" applyFont="1" applyBorder="1"/>
    <xf numFmtId="170" fontId="6" fillId="0" borderId="201" xfId="0" applyNumberFormat="1" applyFont="1" applyBorder="1"/>
    <xf numFmtId="170" fontId="13" fillId="0" borderId="201" xfId="0" applyNumberFormat="1" applyFont="1" applyBorder="1"/>
    <xf numFmtId="174" fontId="18" fillId="0" borderId="202" xfId="0" applyNumberFormat="1" applyFont="1" applyBorder="1" applyAlignment="1">
      <alignment horizontal="center"/>
    </xf>
    <xf numFmtId="174" fontId="18" fillId="0" borderId="191" xfId="0" applyNumberFormat="1" applyFont="1" applyBorder="1" applyAlignment="1">
      <alignment horizontal="center"/>
    </xf>
    <xf numFmtId="171" fontId="18" fillId="0" borderId="201" xfId="4" applyFont="1" applyBorder="1" applyAlignment="1">
      <alignment horizontal="center"/>
    </xf>
    <xf numFmtId="192" fontId="69" fillId="0" borderId="80" xfId="0" quotePrefix="1" applyNumberFormat="1" applyFont="1" applyBorder="1"/>
    <xf numFmtId="0" fontId="69" fillId="0" borderId="256" xfId="0" applyFont="1" applyBorder="1"/>
    <xf numFmtId="192" fontId="69" fillId="0" borderId="257" xfId="0" quotePrefix="1" applyNumberFormat="1" applyFont="1" applyBorder="1"/>
    <xf numFmtId="192" fontId="69" fillId="0" borderId="258" xfId="0" quotePrefix="1" applyNumberFormat="1" applyFont="1" applyBorder="1"/>
    <xf numFmtId="192" fontId="69" fillId="0" borderId="259" xfId="0" quotePrefix="1" applyNumberFormat="1" applyFont="1" applyBorder="1"/>
    <xf numFmtId="0" fontId="69" fillId="0" borderId="162" xfId="0" applyFont="1" applyBorder="1"/>
    <xf numFmtId="192" fontId="69" fillId="0" borderId="260" xfId="0" quotePrefix="1" applyNumberFormat="1" applyFont="1" applyBorder="1"/>
    <xf numFmtId="192" fontId="69" fillId="0" borderId="105" xfId="0" quotePrefix="1" applyNumberFormat="1" applyFont="1" applyBorder="1"/>
    <xf numFmtId="171" fontId="69" fillId="0" borderId="100" xfId="4" applyFont="1" applyBorder="1"/>
    <xf numFmtId="192" fontId="69" fillId="0" borderId="261" xfId="0" quotePrefix="1" applyNumberFormat="1" applyFont="1" applyBorder="1"/>
    <xf numFmtId="171" fontId="69" fillId="0" borderId="261" xfId="4" applyFont="1" applyBorder="1"/>
    <xf numFmtId="14" fontId="10" fillId="0" borderId="16" xfId="0" applyNumberFormat="1" applyFont="1" applyBorder="1" applyAlignment="1">
      <alignment horizontal="center"/>
    </xf>
    <xf numFmtId="174" fontId="18" fillId="0" borderId="262" xfId="0" applyNumberFormat="1" applyFont="1" applyBorder="1" applyAlignment="1">
      <alignment horizontal="center"/>
    </xf>
    <xf numFmtId="174" fontId="18" fillId="0" borderId="263" xfId="0" applyNumberFormat="1" applyFont="1" applyBorder="1" applyAlignment="1">
      <alignment horizontal="center"/>
    </xf>
    <xf numFmtId="174" fontId="18" fillId="0" borderId="264" xfId="0" applyNumberFormat="1" applyFont="1" applyBorder="1" applyAlignment="1">
      <alignment horizontal="center"/>
    </xf>
    <xf numFmtId="174" fontId="18" fillId="0" borderId="265" xfId="0" applyNumberFormat="1" applyFont="1" applyBorder="1" applyAlignment="1">
      <alignment horizontal="center"/>
    </xf>
    <xf numFmtId="174" fontId="18" fillId="0" borderId="266" xfId="0" applyNumberFormat="1" applyFont="1" applyBorder="1" applyAlignment="1">
      <alignment horizontal="center"/>
    </xf>
    <xf numFmtId="0" fontId="7" fillId="12" borderId="150" xfId="0" applyFont="1" applyFill="1" applyBorder="1" applyAlignment="1">
      <alignment horizontal="center"/>
    </xf>
    <xf numFmtId="170" fontId="7" fillId="10" borderId="150" xfId="0" applyNumberFormat="1" applyFont="1" applyFill="1" applyBorder="1" applyAlignment="1">
      <alignment horizontal="center" vertical="center"/>
    </xf>
    <xf numFmtId="170" fontId="7" fillId="10" borderId="218" xfId="0" applyNumberFormat="1" applyFont="1" applyFill="1" applyBorder="1" applyAlignment="1">
      <alignment horizontal="center" vertical="center"/>
    </xf>
    <xf numFmtId="0" fontId="9" fillId="5" borderId="162" xfId="0" applyFont="1" applyFill="1" applyBorder="1"/>
    <xf numFmtId="170" fontId="9" fillId="4" borderId="191" xfId="0" applyNumberFormat="1" applyFont="1" applyFill="1" applyBorder="1"/>
    <xf numFmtId="170" fontId="6" fillId="0" borderId="192" xfId="0" applyNumberFormat="1" applyFont="1" applyBorder="1"/>
    <xf numFmtId="0" fontId="10" fillId="0" borderId="181" xfId="0" applyFont="1" applyBorder="1" applyAlignment="1">
      <alignment horizontal="left"/>
    </xf>
    <xf numFmtId="174" fontId="92" fillId="0" borderId="141" xfId="0" applyNumberFormat="1" applyFont="1" applyBorder="1" applyAlignment="1">
      <alignment horizontal="center"/>
    </xf>
    <xf numFmtId="174" fontId="92" fillId="0" borderId="131" xfId="0" applyNumberFormat="1" applyFont="1" applyBorder="1" applyAlignment="1">
      <alignment horizontal="center"/>
    </xf>
    <xf numFmtId="0" fontId="92" fillId="0" borderId="0" xfId="0" quotePrefix="1" applyFont="1"/>
    <xf numFmtId="174" fontId="92" fillId="0" borderId="143" xfId="0" applyNumberFormat="1" applyFont="1" applyBorder="1" applyAlignment="1">
      <alignment horizontal="center"/>
    </xf>
    <xf numFmtId="170" fontId="94" fillId="0" borderId="0" xfId="0" applyNumberFormat="1" applyFont="1"/>
    <xf numFmtId="170" fontId="7" fillId="5" borderId="145" xfId="0" applyNumberFormat="1" applyFont="1" applyFill="1" applyBorder="1"/>
    <xf numFmtId="170" fontId="6" fillId="0" borderId="80" xfId="0" applyNumberFormat="1" applyFont="1" applyBorder="1"/>
    <xf numFmtId="170" fontId="6" fillId="0" borderId="105" xfId="0" applyNumberFormat="1" applyFont="1" applyBorder="1"/>
    <xf numFmtId="170" fontId="94" fillId="0" borderId="141" xfId="0" applyNumberFormat="1" applyFont="1" applyBorder="1"/>
    <xf numFmtId="170" fontId="13" fillId="0" borderId="131" xfId="0" applyNumberFormat="1" applyFont="1" applyBorder="1"/>
    <xf numFmtId="170" fontId="94" fillId="0" borderId="143" xfId="0" applyNumberFormat="1" applyFont="1" applyBorder="1"/>
    <xf numFmtId="170" fontId="94" fillId="0" borderId="267" xfId="0" applyNumberFormat="1" applyFont="1" applyBorder="1"/>
    <xf numFmtId="170" fontId="94" fillId="0" borderId="268" xfId="0" applyNumberFormat="1" applyFont="1" applyBorder="1"/>
    <xf numFmtId="170" fontId="94" fillId="0" borderId="80" xfId="0" applyNumberFormat="1" applyFont="1" applyBorder="1"/>
    <xf numFmtId="170" fontId="94" fillId="0" borderId="105" xfId="0" applyNumberFormat="1" applyFont="1" applyBorder="1"/>
    <xf numFmtId="170" fontId="92" fillId="0" borderId="80" xfId="0" applyNumberFormat="1" applyFont="1" applyBorder="1"/>
    <xf numFmtId="170" fontId="92" fillId="0" borderId="0" xfId="0" applyNumberFormat="1" applyFont="1"/>
    <xf numFmtId="170" fontId="92" fillId="0" borderId="105" xfId="0" applyNumberFormat="1" applyFont="1" applyBorder="1"/>
    <xf numFmtId="0" fontId="6" fillId="0" borderId="192" xfId="0" applyFont="1" applyBorder="1"/>
    <xf numFmtId="170" fontId="94" fillId="0" borderId="162" xfId="0" applyNumberFormat="1" applyFont="1" applyBorder="1"/>
    <xf numFmtId="170" fontId="7" fillId="10" borderId="192" xfId="0" applyNumberFormat="1" applyFont="1" applyFill="1" applyBorder="1" applyAlignment="1">
      <alignment horizontal="center" vertical="center"/>
    </xf>
    <xf numFmtId="174" fontId="10" fillId="9" borderId="269" xfId="0" applyNumberFormat="1" applyFont="1" applyFill="1" applyBorder="1" applyAlignment="1">
      <alignment horizontal="center"/>
    </xf>
    <xf numFmtId="174" fontId="10" fillId="9" borderId="270" xfId="0" applyNumberFormat="1" applyFont="1" applyFill="1" applyBorder="1" applyAlignment="1">
      <alignment horizontal="center"/>
    </xf>
    <xf numFmtId="17" fontId="89" fillId="9" borderId="271" xfId="0" quotePrefix="1" applyNumberFormat="1" applyFont="1" applyFill="1" applyBorder="1"/>
    <xf numFmtId="170" fontId="8" fillId="9" borderId="270" xfId="0" applyNumberFormat="1" applyFont="1" applyFill="1" applyBorder="1"/>
    <xf numFmtId="170" fontId="13" fillId="9" borderId="272" xfId="0" applyNumberFormat="1" applyFont="1" applyFill="1" applyBorder="1"/>
    <xf numFmtId="16" fontId="10" fillId="0" borderId="41" xfId="0" applyNumberFormat="1" applyFont="1" applyBorder="1" applyAlignment="1">
      <alignment horizontal="center"/>
    </xf>
    <xf numFmtId="0" fontId="99" fillId="15" borderId="273" xfId="0" applyFont="1" applyFill="1" applyBorder="1"/>
    <xf numFmtId="0" fontId="99" fillId="15" borderId="274" xfId="0" applyFont="1" applyFill="1" applyBorder="1"/>
    <xf numFmtId="0" fontId="89" fillId="9" borderId="193" xfId="0" applyFont="1" applyFill="1" applyBorder="1"/>
    <xf numFmtId="0" fontId="89" fillId="9" borderId="194" xfId="0" applyFont="1" applyFill="1" applyBorder="1"/>
    <xf numFmtId="16" fontId="98" fillId="15" borderId="109" xfId="0" applyNumberFormat="1" applyFont="1" applyFill="1" applyBorder="1" applyAlignment="1">
      <alignment horizontal="center" vertical="center"/>
    </xf>
    <xf numFmtId="0" fontId="0" fillId="0" borderId="212" xfId="0" quotePrefix="1" applyBorder="1"/>
    <xf numFmtId="0" fontId="0" fillId="0" borderId="209" xfId="0" quotePrefix="1" applyBorder="1"/>
    <xf numFmtId="3" fontId="0" fillId="0" borderId="213" xfId="0" quotePrefix="1" applyNumberFormat="1" applyBorder="1"/>
    <xf numFmtId="0" fontId="0" fillId="0" borderId="8" xfId="0" applyBorder="1"/>
    <xf numFmtId="173" fontId="0" fillId="0" borderId="8" xfId="0" applyNumberFormat="1" applyBorder="1"/>
    <xf numFmtId="173" fontId="0" fillId="0" borderId="7" xfId="0" quotePrefix="1" applyNumberFormat="1" applyBorder="1"/>
    <xf numFmtId="170" fontId="6" fillId="0" borderId="127" xfId="0" applyNumberFormat="1" applyFont="1" applyBorder="1"/>
    <xf numFmtId="0" fontId="9" fillId="5" borderId="190" xfId="0" applyFont="1" applyFill="1" applyBorder="1"/>
    <xf numFmtId="171" fontId="18" fillId="0" borderId="202" xfId="4" applyFont="1" applyBorder="1" applyAlignment="1">
      <alignment horizontal="center"/>
    </xf>
    <xf numFmtId="171" fontId="18" fillId="0" borderId="191" xfId="4" applyFont="1" applyBorder="1" applyAlignment="1">
      <alignment horizontal="center"/>
    </xf>
    <xf numFmtId="170" fontId="8" fillId="0" borderId="202" xfId="0" applyNumberFormat="1" applyFont="1" applyBorder="1"/>
    <xf numFmtId="170" fontId="8" fillId="0" borderId="191" xfId="0" applyNumberFormat="1" applyFont="1" applyBorder="1"/>
    <xf numFmtId="170" fontId="8" fillId="0" borderId="201" xfId="0" applyNumberFormat="1" applyFont="1" applyBorder="1"/>
    <xf numFmtId="170" fontId="8" fillId="0" borderId="192" xfId="0" applyNumberFormat="1" applyFont="1" applyBorder="1"/>
    <xf numFmtId="0" fontId="17" fillId="5" borderId="190" xfId="0" applyFont="1" applyFill="1" applyBorder="1"/>
    <xf numFmtId="0" fontId="10" fillId="0" borderId="191" xfId="0" quotePrefix="1" applyFont="1" applyBorder="1"/>
    <xf numFmtId="0" fontId="9" fillId="4" borderId="191" xfId="0" applyFont="1" applyFill="1" applyBorder="1"/>
    <xf numFmtId="0" fontId="18" fillId="0" borderId="202" xfId="0" applyFont="1" applyBorder="1"/>
    <xf numFmtId="0" fontId="18" fillId="0" borderId="201" xfId="0" applyFont="1" applyBorder="1"/>
    <xf numFmtId="0" fontId="18" fillId="0" borderId="202" xfId="0" quotePrefix="1" applyFont="1" applyBorder="1"/>
    <xf numFmtId="0" fontId="18" fillId="0" borderId="191" xfId="0" quotePrefix="1" applyFont="1" applyBorder="1"/>
    <xf numFmtId="0" fontId="18" fillId="0" borderId="201" xfId="0" quotePrefix="1" applyFont="1" applyBorder="1"/>
    <xf numFmtId="0" fontId="17" fillId="5" borderId="190" xfId="0" applyFont="1" applyFill="1" applyBorder="1" applyAlignment="1">
      <alignment horizontal="left"/>
    </xf>
    <xf numFmtId="0" fontId="10" fillId="0" borderId="191" xfId="0" applyFont="1" applyBorder="1" applyAlignment="1">
      <alignment horizontal="center"/>
    </xf>
    <xf numFmtId="0" fontId="9" fillId="4" borderId="191" xfId="0" applyFont="1" applyFill="1" applyBorder="1" applyAlignment="1">
      <alignment horizontal="center"/>
    </xf>
    <xf numFmtId="174" fontId="18" fillId="0" borderId="201" xfId="0" applyNumberFormat="1" applyFont="1" applyBorder="1" applyAlignment="1">
      <alignment horizontal="center"/>
    </xf>
    <xf numFmtId="0" fontId="18" fillId="0" borderId="202" xfId="0" applyFont="1" applyBorder="1" applyAlignment="1">
      <alignment horizontal="center"/>
    </xf>
    <xf numFmtId="0" fontId="18" fillId="0" borderId="191" xfId="0" applyFont="1" applyBorder="1" applyAlignment="1">
      <alignment horizontal="center"/>
    </xf>
    <xf numFmtId="0" fontId="18" fillId="0" borderId="201" xfId="0" applyFont="1" applyBorder="1" applyAlignment="1">
      <alignment horizontal="center"/>
    </xf>
    <xf numFmtId="174" fontId="10" fillId="0" borderId="191" xfId="0" applyNumberFormat="1" applyFont="1" applyBorder="1" applyAlignment="1">
      <alignment horizontal="center"/>
    </xf>
    <xf numFmtId="0" fontId="10" fillId="0" borderId="192" xfId="0" applyFont="1" applyBorder="1" applyAlignment="1">
      <alignment horizontal="center"/>
    </xf>
    <xf numFmtId="174" fontId="9" fillId="4" borderId="191" xfId="0" applyNumberFormat="1" applyFont="1" applyFill="1" applyBorder="1" applyAlignment="1">
      <alignment horizontal="center"/>
    </xf>
    <xf numFmtId="174" fontId="10" fillId="0" borderId="192" xfId="0" applyNumberFormat="1" applyFont="1" applyBorder="1" applyAlignment="1">
      <alignment horizontal="center"/>
    </xf>
    <xf numFmtId="0" fontId="17" fillId="5" borderId="199" xfId="0" applyFont="1" applyFill="1" applyBorder="1" applyAlignment="1">
      <alignment horizontal="left"/>
    </xf>
    <xf numFmtId="0" fontId="17" fillId="5" borderId="199" xfId="0" applyFont="1" applyFill="1" applyBorder="1"/>
    <xf numFmtId="0" fontId="18" fillId="5" borderId="199" xfId="0" applyFont="1" applyFill="1" applyBorder="1"/>
    <xf numFmtId="0" fontId="9" fillId="5" borderId="199" xfId="0" applyFont="1" applyFill="1" applyBorder="1"/>
    <xf numFmtId="170" fontId="7" fillId="5" borderId="199" xfId="0" applyNumberFormat="1" applyFont="1" applyFill="1" applyBorder="1"/>
    <xf numFmtId="170" fontId="14" fillId="4" borderId="18" xfId="0" applyNumberFormat="1" applyFont="1" applyFill="1" applyBorder="1"/>
    <xf numFmtId="0" fontId="10" fillId="0" borderId="199" xfId="0" applyFont="1" applyBorder="1"/>
    <xf numFmtId="170" fontId="13" fillId="4" borderId="199" xfId="0" applyNumberFormat="1" applyFont="1" applyFill="1" applyBorder="1"/>
    <xf numFmtId="170" fontId="27" fillId="4" borderId="199" xfId="0" applyNumberFormat="1" applyFont="1" applyFill="1" applyBorder="1"/>
    <xf numFmtId="170" fontId="13" fillId="0" borderId="218" xfId="0" applyNumberFormat="1" applyFont="1" applyBorder="1"/>
    <xf numFmtId="0" fontId="10" fillId="0" borderId="191" xfId="0" quotePrefix="1" applyFont="1" applyBorder="1" applyAlignment="1">
      <alignment wrapText="1"/>
    </xf>
    <xf numFmtId="0" fontId="18" fillId="0" borderId="191" xfId="0" applyFont="1" applyBorder="1"/>
    <xf numFmtId="0" fontId="6" fillId="0" borderId="191" xfId="0" quotePrefix="1" applyFont="1" applyBorder="1"/>
    <xf numFmtId="0" fontId="10" fillId="0" borderId="192" xfId="0" quotePrefix="1" applyFont="1" applyBorder="1"/>
    <xf numFmtId="0" fontId="17" fillId="5" borderId="136" xfId="0" applyFont="1" applyFill="1" applyBorder="1" applyAlignment="1">
      <alignment horizontal="left"/>
    </xf>
    <xf numFmtId="0" fontId="10" fillId="0" borderId="26" xfId="0" applyFont="1" applyBorder="1" applyAlignment="1">
      <alignment horizontal="center"/>
    </xf>
    <xf numFmtId="0" fontId="10" fillId="0" borderId="275" xfId="0" applyFont="1" applyBorder="1" applyAlignment="1">
      <alignment horizontal="center"/>
    </xf>
    <xf numFmtId="0" fontId="10" fillId="0" borderId="231" xfId="0" applyFont="1" applyBorder="1" applyAlignment="1">
      <alignment horizontal="center"/>
    </xf>
    <xf numFmtId="0" fontId="18" fillId="5" borderId="136" xfId="0" applyFont="1" applyFill="1" applyBorder="1"/>
    <xf numFmtId="170" fontId="8" fillId="0" borderId="139" xfId="0" applyNumberFormat="1" applyFont="1" applyBorder="1"/>
    <xf numFmtId="170" fontId="8" fillId="0" borderId="96" xfId="0" applyNumberFormat="1" applyFont="1" applyBorder="1"/>
    <xf numFmtId="170" fontId="6" fillId="0" borderId="96" xfId="0" applyNumberFormat="1" applyFont="1" applyBorder="1"/>
    <xf numFmtId="170" fontId="13" fillId="4" borderId="192" xfId="0" applyNumberFormat="1" applyFont="1" applyFill="1" applyBorder="1"/>
    <xf numFmtId="174" fontId="18" fillId="0" borderId="142" xfId="0" applyNumberFormat="1" applyFont="1" applyBorder="1" applyAlignment="1">
      <alignment horizontal="center"/>
    </xf>
    <xf numFmtId="174" fontId="18" fillId="0" borderId="150" xfId="0" applyNumberFormat="1" applyFont="1" applyBorder="1" applyAlignment="1">
      <alignment horizontal="center"/>
    </xf>
    <xf numFmtId="170" fontId="13" fillId="0" borderId="142" xfId="0" applyNumberFormat="1" applyFont="1" applyBorder="1"/>
    <xf numFmtId="170" fontId="13" fillId="0" borderId="144" xfId="0" applyNumberFormat="1" applyFont="1" applyBorder="1"/>
    <xf numFmtId="170" fontId="6" fillId="0" borderId="278" xfId="0" applyNumberFormat="1" applyFont="1" applyBorder="1"/>
    <xf numFmtId="170" fontId="89" fillId="0" borderId="279" xfId="0" applyNumberFormat="1" applyFont="1" applyBorder="1"/>
    <xf numFmtId="170" fontId="6" fillId="11" borderId="150" xfId="0" applyNumberFormat="1" applyFont="1" applyFill="1" applyBorder="1"/>
    <xf numFmtId="170" fontId="13" fillId="0" borderId="179" xfId="0" applyNumberFormat="1" applyFont="1" applyBorder="1"/>
    <xf numFmtId="171" fontId="18" fillId="0" borderId="278" xfId="4" applyFont="1" applyBorder="1" applyAlignment="1">
      <alignment horizontal="center"/>
    </xf>
    <xf numFmtId="171" fontId="18" fillId="0" borderId="279" xfId="4" applyFont="1" applyBorder="1" applyAlignment="1">
      <alignment horizontal="center"/>
    </xf>
    <xf numFmtId="170" fontId="13" fillId="11" borderId="150" xfId="0" applyNumberFormat="1" applyFont="1" applyFill="1" applyBorder="1"/>
    <xf numFmtId="170" fontId="13" fillId="4" borderId="218" xfId="0" applyNumberFormat="1" applyFont="1" applyFill="1" applyBorder="1"/>
    <xf numFmtId="170" fontId="27" fillId="4" borderId="17" xfId="0" applyNumberFormat="1" applyFont="1" applyFill="1" applyBorder="1"/>
    <xf numFmtId="170" fontId="8" fillId="0" borderId="190" xfId="0" applyNumberFormat="1" applyFont="1" applyBorder="1"/>
    <xf numFmtId="170" fontId="8" fillId="0" borderId="276" xfId="0" applyNumberFormat="1" applyFont="1" applyBorder="1"/>
    <xf numFmtId="170" fontId="8" fillId="0" borderId="277" xfId="0" applyNumberFormat="1" applyFont="1" applyBorder="1"/>
    <xf numFmtId="170" fontId="8" fillId="11" borderId="191" xfId="0" applyNumberFormat="1" applyFont="1" applyFill="1" applyBorder="1"/>
    <xf numFmtId="170" fontId="8" fillId="4" borderId="280" xfId="0" applyNumberFormat="1" applyFont="1" applyFill="1" applyBorder="1"/>
    <xf numFmtId="0" fontId="10" fillId="0" borderId="190" xfId="0" quotePrefix="1" applyFont="1" applyBorder="1"/>
    <xf numFmtId="0" fontId="18" fillId="0" borderId="201" xfId="0" applyFont="1" applyBorder="1" applyAlignment="1">
      <alignment wrapText="1"/>
    </xf>
    <xf numFmtId="17" fontId="10" fillId="0" borderId="190" xfId="0" quotePrefix="1" applyNumberFormat="1" applyFont="1" applyBorder="1"/>
    <xf numFmtId="17" fontId="10" fillId="0" borderId="191" xfId="0" quotePrefix="1" applyNumberFormat="1" applyFont="1" applyBorder="1"/>
    <xf numFmtId="0" fontId="18" fillId="0" borderId="276" xfId="0" quotePrefix="1" applyFont="1" applyBorder="1"/>
    <xf numFmtId="0" fontId="18" fillId="0" borderId="277" xfId="0" quotePrefix="1" applyFont="1" applyBorder="1"/>
    <xf numFmtId="0" fontId="10" fillId="0" borderId="281" xfId="0" quotePrefix="1" applyFont="1" applyBorder="1"/>
    <xf numFmtId="0" fontId="10" fillId="11" borderId="191" xfId="0" quotePrefix="1" applyFont="1" applyFill="1" applyBorder="1"/>
    <xf numFmtId="0" fontId="10" fillId="0" borderId="280" xfId="0" applyFont="1" applyBorder="1"/>
    <xf numFmtId="0" fontId="10" fillId="0" borderId="282" xfId="0" applyFont="1" applyBorder="1"/>
    <xf numFmtId="0" fontId="10" fillId="0" borderId="190" xfId="0" applyFont="1" applyBorder="1" applyAlignment="1">
      <alignment horizontal="center"/>
    </xf>
    <xf numFmtId="0" fontId="10" fillId="0" borderId="191" xfId="0" quotePrefix="1" applyFont="1" applyBorder="1" applyAlignment="1">
      <alignment horizontal="center"/>
    </xf>
    <xf numFmtId="0" fontId="18" fillId="0" borderId="276" xfId="0" applyFont="1" applyBorder="1" applyAlignment="1">
      <alignment horizontal="center"/>
    </xf>
    <xf numFmtId="0" fontId="18" fillId="0" borderId="277" xfId="0" applyFont="1" applyBorder="1" applyAlignment="1">
      <alignment horizontal="center"/>
    </xf>
    <xf numFmtId="0" fontId="10" fillId="11" borderId="191" xfId="0" applyFont="1" applyFill="1" applyBorder="1" applyAlignment="1">
      <alignment horizontal="center"/>
    </xf>
    <xf numFmtId="174" fontId="10" fillId="0" borderId="190" xfId="0" applyNumberFormat="1" applyFont="1" applyBorder="1" applyAlignment="1">
      <alignment horizontal="center"/>
    </xf>
    <xf numFmtId="174" fontId="18" fillId="0" borderId="276" xfId="0" applyNumberFormat="1" applyFont="1" applyBorder="1" applyAlignment="1">
      <alignment horizontal="center"/>
    </xf>
    <xf numFmtId="174" fontId="18" fillId="0" borderId="277" xfId="0" applyNumberFormat="1" applyFont="1" applyBorder="1" applyAlignment="1">
      <alignment horizontal="center"/>
    </xf>
    <xf numFmtId="174" fontId="18" fillId="0" borderId="276" xfId="0" quotePrefix="1" applyNumberFormat="1" applyFont="1" applyBorder="1" applyAlignment="1">
      <alignment horizontal="center"/>
    </xf>
    <xf numFmtId="174" fontId="10" fillId="11" borderId="191" xfId="0" applyNumberFormat="1" applyFont="1" applyFill="1" applyBorder="1" applyAlignment="1">
      <alignment horizontal="center"/>
    </xf>
    <xf numFmtId="174" fontId="10" fillId="9" borderId="131" xfId="0" applyNumberFormat="1" applyFont="1" applyFill="1" applyBorder="1" applyAlignment="1">
      <alignment horizontal="center"/>
    </xf>
    <xf numFmtId="17" fontId="89" fillId="9" borderId="0" xfId="0" quotePrefix="1" applyNumberFormat="1" applyFont="1" applyFill="1"/>
    <xf numFmtId="170" fontId="13" fillId="9" borderId="190" xfId="0" applyNumberFormat="1" applyFont="1" applyFill="1" applyBorder="1"/>
    <xf numFmtId="170" fontId="8" fillId="4" borderId="174" xfId="0" applyNumberFormat="1" applyFont="1" applyFill="1" applyBorder="1"/>
    <xf numFmtId="170" fontId="8" fillId="9" borderId="190" xfId="0" applyNumberFormat="1" applyFont="1" applyFill="1" applyBorder="1"/>
    <xf numFmtId="170" fontId="8" fillId="9" borderId="191" xfId="0" applyNumberFormat="1" applyFont="1" applyFill="1" applyBorder="1"/>
    <xf numFmtId="0" fontId="17" fillId="5" borderId="174" xfId="0" applyFont="1" applyFill="1" applyBorder="1" applyAlignment="1">
      <alignment horizontal="left"/>
    </xf>
    <xf numFmtId="0" fontId="17" fillId="5" borderId="249" xfId="0" applyFont="1" applyFill="1" applyBorder="1"/>
    <xf numFmtId="0" fontId="10" fillId="0" borderId="150" xfId="0" quotePrefix="1" applyFont="1" applyBorder="1"/>
    <xf numFmtId="0" fontId="9" fillId="4" borderId="150" xfId="0" applyFont="1" applyFill="1" applyBorder="1"/>
    <xf numFmtId="0" fontId="10" fillId="0" borderId="127" xfId="0" quotePrefix="1" applyFont="1" applyBorder="1"/>
    <xf numFmtId="0" fontId="17" fillId="0" borderId="0" xfId="0" quotePrefix="1" applyFont="1"/>
    <xf numFmtId="0" fontId="18" fillId="0" borderId="80" xfId="0" quotePrefix="1" applyFont="1" applyBorder="1"/>
    <xf numFmtId="0" fontId="18" fillId="0" borderId="0" xfId="0" quotePrefix="1" applyFont="1"/>
    <xf numFmtId="0" fontId="18" fillId="0" borderId="105" xfId="0" quotePrefix="1" applyFont="1" applyBorder="1"/>
    <xf numFmtId="174" fontId="10" fillId="9" borderId="190" xfId="0" applyNumberFormat="1" applyFont="1" applyFill="1" applyBorder="1" applyAlignment="1">
      <alignment horizontal="center"/>
    </xf>
    <xf numFmtId="174" fontId="10" fillId="9" borderId="191" xfId="0" applyNumberFormat="1" applyFont="1" applyFill="1" applyBorder="1" applyAlignment="1">
      <alignment horizontal="center"/>
    </xf>
    <xf numFmtId="0" fontId="18" fillId="0" borderId="106" xfId="0" quotePrefix="1" applyFont="1" applyBorder="1" applyAlignment="1">
      <alignment wrapText="1"/>
    </xf>
    <xf numFmtId="0" fontId="18" fillId="0" borderId="107" xfId="0" quotePrefix="1" applyFont="1" applyBorder="1" applyAlignment="1">
      <alignment wrapText="1"/>
    </xf>
    <xf numFmtId="170" fontId="13" fillId="0" borderId="280" xfId="0" applyNumberFormat="1" applyFont="1" applyBorder="1"/>
    <xf numFmtId="170" fontId="9" fillId="0" borderId="202" xfId="0" applyNumberFormat="1" applyFont="1" applyBorder="1"/>
    <xf numFmtId="170" fontId="9" fillId="0" borderId="201" xfId="0" applyNumberFormat="1" applyFont="1" applyBorder="1"/>
    <xf numFmtId="170" fontId="18" fillId="0" borderId="191" xfId="0" applyNumberFormat="1" applyFont="1" applyBorder="1"/>
    <xf numFmtId="170" fontId="9" fillId="0" borderId="191" xfId="0" applyNumberFormat="1" applyFont="1" applyBorder="1"/>
    <xf numFmtId="170" fontId="18" fillId="0" borderId="202" xfId="0" applyNumberFormat="1" applyFont="1" applyBorder="1"/>
    <xf numFmtId="170" fontId="18" fillId="0" borderId="201" xfId="0" applyNumberFormat="1" applyFont="1" applyBorder="1"/>
    <xf numFmtId="170" fontId="13" fillId="0" borderId="283" xfId="0" applyNumberFormat="1" applyFont="1" applyBorder="1"/>
    <xf numFmtId="44" fontId="18" fillId="0" borderId="202" xfId="4" applyNumberFormat="1" applyFont="1" applyBorder="1" applyAlignment="1">
      <alignment horizontal="center"/>
    </xf>
    <xf numFmtId="170" fontId="13" fillId="0" borderId="191" xfId="0" quotePrefix="1" applyNumberFormat="1" applyFont="1" applyBorder="1"/>
    <xf numFmtId="170" fontId="13" fillId="9" borderId="191" xfId="0" applyNumberFormat="1" applyFont="1" applyFill="1" applyBorder="1"/>
    <xf numFmtId="0" fontId="18" fillId="5" borderId="190" xfId="0" applyFont="1" applyFill="1" applyBorder="1"/>
    <xf numFmtId="170" fontId="8" fillId="0" borderId="280" xfId="0" applyNumberFormat="1" applyFont="1" applyBorder="1"/>
    <xf numFmtId="0" fontId="6" fillId="0" borderId="191" xfId="0" applyFont="1" applyBorder="1" applyAlignment="1" applyProtection="1">
      <alignment horizontal="center"/>
      <protection locked="0"/>
    </xf>
    <xf numFmtId="170" fontId="8" fillId="0" borderId="283" xfId="0" applyNumberFormat="1" applyFont="1" applyBorder="1"/>
    <xf numFmtId="0" fontId="18" fillId="4" borderId="191" xfId="0" applyFont="1" applyFill="1" applyBorder="1"/>
    <xf numFmtId="17" fontId="89" fillId="9" borderId="190" xfId="0" quotePrefix="1" applyNumberFormat="1" applyFont="1" applyFill="1" applyBorder="1"/>
    <xf numFmtId="0" fontId="6" fillId="0" borderId="280" xfId="0" applyFont="1" applyBorder="1"/>
    <xf numFmtId="16" fontId="6" fillId="0" borderId="191" xfId="0" applyNumberFormat="1" applyFont="1" applyBorder="1"/>
    <xf numFmtId="0" fontId="6" fillId="0" borderId="283" xfId="0" applyFont="1" applyBorder="1"/>
    <xf numFmtId="0" fontId="6" fillId="0" borderId="191" xfId="0" applyFont="1" applyBorder="1" applyAlignment="1">
      <alignment wrapText="1"/>
    </xf>
    <xf numFmtId="0" fontId="6" fillId="0" borderId="191" xfId="0" applyFont="1" applyBorder="1" applyAlignment="1">
      <alignment vertical="center"/>
    </xf>
    <xf numFmtId="0" fontId="17" fillId="5" borderId="14" xfId="0" applyFont="1" applyFill="1" applyBorder="1" applyAlignment="1">
      <alignment horizontal="left"/>
    </xf>
    <xf numFmtId="174" fontId="10" fillId="0" borderId="31" xfId="0" applyNumberFormat="1" applyFont="1" applyBorder="1" applyAlignment="1">
      <alignment horizontal="center"/>
    </xf>
    <xf numFmtId="0" fontId="18" fillId="0" borderId="80" xfId="0" applyFont="1" applyBorder="1" applyAlignment="1">
      <alignment horizontal="center"/>
    </xf>
    <xf numFmtId="0" fontId="18" fillId="0" borderId="105" xfId="0" applyFont="1" applyBorder="1" applyAlignment="1">
      <alignment horizontal="center"/>
    </xf>
    <xf numFmtId="0" fontId="18" fillId="0" borderId="0" xfId="0" applyFont="1" applyAlignment="1">
      <alignment horizontal="center"/>
    </xf>
    <xf numFmtId="14" fontId="8" fillId="4" borderId="0" xfId="0" applyNumberFormat="1" applyFont="1" applyFill="1" applyAlignment="1">
      <alignment horizontal="center"/>
    </xf>
    <xf numFmtId="174" fontId="10" fillId="0" borderId="280" xfId="0" applyNumberFormat="1" applyFont="1" applyBorder="1" applyAlignment="1">
      <alignment horizontal="center"/>
    </xf>
    <xf numFmtId="174" fontId="10" fillId="0" borderId="283" xfId="0" applyNumberFormat="1" applyFont="1" applyBorder="1" applyAlignment="1">
      <alignment horizontal="center"/>
    </xf>
    <xf numFmtId="174" fontId="18" fillId="0" borderId="191" xfId="0" quotePrefix="1" applyNumberFormat="1" applyFont="1" applyBorder="1" applyAlignment="1">
      <alignment horizontal="center"/>
    </xf>
    <xf numFmtId="174" fontId="18" fillId="4" borderId="191" xfId="0" applyNumberFormat="1" applyFont="1" applyFill="1" applyBorder="1"/>
    <xf numFmtId="174" fontId="18" fillId="0" borderId="168" xfId="0" applyNumberFormat="1" applyFont="1" applyBorder="1" applyAlignment="1">
      <alignment horizontal="center"/>
    </xf>
    <xf numFmtId="0" fontId="18" fillId="0" borderId="161" xfId="0" applyFont="1" applyBorder="1" applyAlignment="1">
      <alignment horizontal="center"/>
    </xf>
    <xf numFmtId="0" fontId="18" fillId="0" borderId="161" xfId="0" quotePrefix="1" applyFont="1" applyBorder="1"/>
    <xf numFmtId="170" fontId="8" fillId="0" borderId="162" xfId="0" applyNumberFormat="1" applyFont="1" applyBorder="1"/>
    <xf numFmtId="171" fontId="18" fillId="0" borderId="169" xfId="4" applyFont="1" applyBorder="1" applyAlignment="1">
      <alignment horizontal="center"/>
    </xf>
    <xf numFmtId="0" fontId="6" fillId="0" borderId="195" xfId="0" applyFont="1" applyBorder="1"/>
    <xf numFmtId="174" fontId="10" fillId="0" borderId="204" xfId="0" applyNumberFormat="1" applyFont="1" applyBorder="1" applyAlignment="1">
      <alignment horizontal="center"/>
    </xf>
    <xf numFmtId="14" fontId="6" fillId="0" borderId="204" xfId="0" applyNumberFormat="1" applyFont="1" applyBorder="1" applyAlignment="1">
      <alignment horizontal="center" vertical="center"/>
    </xf>
    <xf numFmtId="0" fontId="6" fillId="0" borderId="116" xfId="0" applyFont="1" applyBorder="1"/>
    <xf numFmtId="174" fontId="10" fillId="0" borderId="110" xfId="0" applyNumberFormat="1" applyFont="1" applyBorder="1" applyAlignment="1">
      <alignment horizontal="center"/>
    </xf>
    <xf numFmtId="14" fontId="6" fillId="0" borderId="110" xfId="0" applyNumberFormat="1" applyFont="1" applyBorder="1" applyAlignment="1">
      <alignment horizontal="center" vertical="center"/>
    </xf>
    <xf numFmtId="0" fontId="10" fillId="0" borderId="239" xfId="0" applyFont="1" applyBorder="1" applyAlignment="1">
      <alignment horizontal="center"/>
    </xf>
    <xf numFmtId="10" fontId="18" fillId="0" borderId="116" xfId="0" applyNumberFormat="1" applyFont="1" applyBorder="1"/>
    <xf numFmtId="10" fontId="18" fillId="0" borderId="195" xfId="0" applyNumberFormat="1" applyFont="1" applyBorder="1"/>
    <xf numFmtId="10" fontId="18" fillId="0" borderId="197" xfId="0" applyNumberFormat="1" applyFont="1" applyBorder="1"/>
    <xf numFmtId="170" fontId="8" fillId="0" borderId="234" xfId="0" applyNumberFormat="1" applyFont="1" applyBorder="1"/>
    <xf numFmtId="170" fontId="8" fillId="0" borderId="117" xfId="0" applyNumberFormat="1" applyFont="1" applyBorder="1"/>
    <xf numFmtId="170" fontId="8" fillId="0" borderId="196" xfId="0" applyNumberFormat="1" applyFont="1" applyBorder="1"/>
    <xf numFmtId="170" fontId="8" fillId="0" borderId="198" xfId="0" applyNumberFormat="1" applyFont="1" applyBorder="1"/>
    <xf numFmtId="174" fontId="10" fillId="0" borderId="109" xfId="0" applyNumberFormat="1" applyFont="1" applyBorder="1" applyAlignment="1">
      <alignment horizontal="center"/>
    </xf>
    <xf numFmtId="0" fontId="10" fillId="0" borderId="109" xfId="0" applyFont="1" applyBorder="1"/>
    <xf numFmtId="14" fontId="6" fillId="0" borderId="109" xfId="0" applyNumberFormat="1" applyFont="1" applyBorder="1" applyAlignment="1">
      <alignment horizontal="center" vertical="center"/>
    </xf>
    <xf numFmtId="170" fontId="8" fillId="0" borderId="115" xfId="0" applyNumberFormat="1" applyFont="1" applyBorder="1"/>
    <xf numFmtId="10" fontId="18" fillId="0" borderId="114" xfId="0" applyNumberFormat="1" applyFont="1" applyBorder="1"/>
    <xf numFmtId="0" fontId="0" fillId="0" borderId="173" xfId="0" applyBorder="1"/>
    <xf numFmtId="0" fontId="6" fillId="9" borderId="179" xfId="0" applyFont="1" applyFill="1" applyBorder="1"/>
    <xf numFmtId="0" fontId="6" fillId="9" borderId="150" xfId="0" applyFont="1" applyFill="1" applyBorder="1"/>
    <xf numFmtId="174" fontId="10" fillId="0" borderId="191" xfId="0" quotePrefix="1" applyNumberFormat="1" applyFont="1" applyBorder="1" applyAlignment="1">
      <alignment horizontal="center"/>
    </xf>
    <xf numFmtId="0" fontId="99" fillId="0" borderId="41" xfId="0" quotePrefix="1" applyFont="1" applyBorder="1"/>
    <xf numFmtId="1" fontId="13" fillId="4" borderId="199" xfId="0" applyNumberFormat="1" applyFont="1" applyFill="1" applyBorder="1"/>
    <xf numFmtId="174" fontId="10" fillId="0" borderId="285" xfId="0" applyNumberFormat="1" applyFont="1" applyBorder="1" applyAlignment="1">
      <alignment horizontal="center"/>
    </xf>
    <xf numFmtId="174" fontId="9" fillId="4" borderId="285" xfId="0" applyNumberFormat="1" applyFont="1" applyFill="1" applyBorder="1" applyAlignment="1">
      <alignment horizontal="center"/>
    </xf>
    <xf numFmtId="174" fontId="10" fillId="0" borderId="284" xfId="0" applyNumberFormat="1" applyFont="1" applyBorder="1" applyAlignment="1">
      <alignment horizontal="center"/>
    </xf>
    <xf numFmtId="0" fontId="10" fillId="0" borderId="288" xfId="0" applyFont="1" applyBorder="1"/>
    <xf numFmtId="170" fontId="8" fillId="4" borderId="287" xfId="0" applyNumberFormat="1" applyFont="1" applyFill="1" applyBorder="1"/>
    <xf numFmtId="170" fontId="6" fillId="0" borderId="289" xfId="0" applyNumberFormat="1" applyFont="1" applyBorder="1"/>
    <xf numFmtId="170" fontId="6" fillId="0" borderId="290" xfId="0" applyNumberFormat="1" applyFont="1" applyBorder="1"/>
    <xf numFmtId="170" fontId="27" fillId="4" borderId="287" xfId="0" applyNumberFormat="1" applyFont="1" applyFill="1" applyBorder="1"/>
    <xf numFmtId="0" fontId="10" fillId="0" borderId="284" xfId="0" applyFont="1" applyBorder="1" applyAlignment="1">
      <alignment horizontal="center"/>
    </xf>
    <xf numFmtId="0" fontId="10" fillId="0" borderId="291" xfId="0" applyFont="1" applyBorder="1" applyAlignment="1">
      <alignment horizontal="center"/>
    </xf>
    <xf numFmtId="0" fontId="10" fillId="0" borderId="286" xfId="0" applyFont="1" applyBorder="1" applyAlignment="1">
      <alignment horizontal="center"/>
    </xf>
    <xf numFmtId="0" fontId="10" fillId="0" borderId="292" xfId="0" applyFont="1" applyBorder="1" applyAlignment="1">
      <alignment horizontal="center"/>
    </xf>
    <xf numFmtId="0" fontId="10" fillId="0" borderId="285" xfId="0" applyFont="1" applyBorder="1" applyAlignment="1">
      <alignment horizontal="center"/>
    </xf>
    <xf numFmtId="0" fontId="9" fillId="4" borderId="285" xfId="0" applyFont="1" applyFill="1" applyBorder="1" applyAlignment="1">
      <alignment horizontal="center"/>
    </xf>
    <xf numFmtId="170" fontId="9" fillId="4" borderId="293" xfId="0" applyNumberFormat="1" applyFont="1" applyFill="1" applyBorder="1"/>
    <xf numFmtId="0" fontId="10" fillId="0" borderId="285" xfId="0" quotePrefix="1" applyFont="1" applyBorder="1"/>
    <xf numFmtId="0" fontId="9" fillId="4" borderId="285" xfId="0" applyFont="1" applyFill="1" applyBorder="1"/>
    <xf numFmtId="0" fontId="10" fillId="0" borderId="284" xfId="0" quotePrefix="1" applyFont="1" applyBorder="1"/>
    <xf numFmtId="170" fontId="13" fillId="0" borderId="293" xfId="0" applyNumberFormat="1" applyFont="1" applyBorder="1"/>
    <xf numFmtId="170" fontId="13" fillId="0" borderId="289" xfId="0" applyNumberFormat="1" applyFont="1" applyBorder="1"/>
    <xf numFmtId="170" fontId="8" fillId="0" borderId="285" xfId="0" applyNumberFormat="1" applyFont="1" applyBorder="1"/>
    <xf numFmtId="170" fontId="9" fillId="4" borderId="285" xfId="0" applyNumberFormat="1" applyFont="1" applyFill="1" applyBorder="1"/>
    <xf numFmtId="170" fontId="8" fillId="0" borderId="284" xfId="0" applyNumberFormat="1" applyFont="1" applyBorder="1"/>
    <xf numFmtId="170" fontId="8" fillId="0" borderId="286" xfId="0" applyNumberFormat="1" applyFont="1" applyBorder="1"/>
    <xf numFmtId="170" fontId="6" fillId="0" borderId="294" xfId="0" applyNumberFormat="1" applyFont="1" applyBorder="1"/>
    <xf numFmtId="170" fontId="9" fillId="4" borderId="294" xfId="0" applyNumberFormat="1" applyFont="1" applyFill="1" applyBorder="1"/>
    <xf numFmtId="170" fontId="6" fillId="0" borderId="291" xfId="0" applyNumberFormat="1" applyFont="1" applyBorder="1"/>
    <xf numFmtId="0" fontId="17" fillId="5" borderId="287" xfId="0" applyFont="1" applyFill="1" applyBorder="1" applyAlignment="1">
      <alignment horizontal="left"/>
    </xf>
    <xf numFmtId="0" fontId="17" fillId="5" borderId="287" xfId="0" applyFont="1" applyFill="1" applyBorder="1"/>
    <xf numFmtId="0" fontId="18" fillId="5" borderId="287" xfId="0" applyFont="1" applyFill="1" applyBorder="1"/>
    <xf numFmtId="170" fontId="7" fillId="5" borderId="288" xfId="0" applyNumberFormat="1" applyFont="1" applyFill="1" applyBorder="1"/>
    <xf numFmtId="0" fontId="9" fillId="5" borderId="287" xfId="0" applyFont="1" applyFill="1" applyBorder="1"/>
    <xf numFmtId="174" fontId="10" fillId="0" borderId="288" xfId="0" applyNumberFormat="1" applyFont="1" applyBorder="1" applyAlignment="1">
      <alignment horizontal="center"/>
    </xf>
    <xf numFmtId="170" fontId="13" fillId="0" borderId="288" xfId="0" applyNumberFormat="1" applyFont="1" applyBorder="1"/>
    <xf numFmtId="170" fontId="13" fillId="4" borderId="285" xfId="0" applyNumberFormat="1" applyFont="1" applyFill="1" applyBorder="1"/>
    <xf numFmtId="0" fontId="10" fillId="0" borderId="295" xfId="0" applyFont="1" applyBorder="1" applyAlignment="1">
      <alignment horizontal="center"/>
    </xf>
    <xf numFmtId="0" fontId="10" fillId="0" borderId="296" xfId="0" applyFont="1" applyBorder="1"/>
    <xf numFmtId="0" fontId="13" fillId="0" borderId="296" xfId="0" applyFont="1" applyBorder="1"/>
    <xf numFmtId="0" fontId="6" fillId="0" borderId="296" xfId="0" applyFont="1" applyBorder="1"/>
    <xf numFmtId="170" fontId="8" fillId="0" borderId="296" xfId="0" applyNumberFormat="1" applyFont="1" applyBorder="1"/>
    <xf numFmtId="0" fontId="6" fillId="0" borderId="297" xfId="0" applyFont="1" applyBorder="1"/>
    <xf numFmtId="174" fontId="10" fillId="0" borderId="298" xfId="0" applyNumberFormat="1" applyFont="1" applyBorder="1" applyAlignment="1">
      <alignment horizontal="center"/>
    </xf>
    <xf numFmtId="170" fontId="13" fillId="0" borderId="299" xfId="0" applyNumberFormat="1" applyFont="1" applyBorder="1"/>
    <xf numFmtId="0" fontId="18" fillId="0" borderId="276" xfId="0" quotePrefix="1" applyFont="1" applyBorder="1" applyAlignment="1">
      <alignment horizontal="center"/>
    </xf>
    <xf numFmtId="170" fontId="9" fillId="4" borderId="192" xfId="0" applyNumberFormat="1" applyFont="1" applyFill="1" applyBorder="1"/>
    <xf numFmtId="170" fontId="6" fillId="0" borderId="190" xfId="0" applyNumberFormat="1" applyFont="1" applyBorder="1"/>
    <xf numFmtId="170" fontId="9" fillId="4" borderId="127" xfId="0" applyNumberFormat="1" applyFont="1" applyFill="1" applyBorder="1"/>
    <xf numFmtId="0" fontId="9" fillId="4" borderId="192" xfId="0" applyFont="1" applyFill="1" applyBorder="1"/>
    <xf numFmtId="0" fontId="9" fillId="4" borderId="192" xfId="0" applyFont="1" applyFill="1" applyBorder="1" applyAlignment="1">
      <alignment horizontal="center"/>
    </xf>
    <xf numFmtId="174" fontId="9" fillId="4" borderId="192" xfId="0" applyNumberFormat="1" applyFont="1" applyFill="1" applyBorder="1" applyAlignment="1">
      <alignment horizontal="center"/>
    </xf>
    <xf numFmtId="171" fontId="69" fillId="0" borderId="115" xfId="4" quotePrefix="1" applyFont="1" applyBorder="1"/>
    <xf numFmtId="16" fontId="98" fillId="15" borderId="111" xfId="0" applyNumberFormat="1" applyFont="1" applyFill="1" applyBorder="1" applyAlignment="1">
      <alignment horizontal="center" vertical="center"/>
    </xf>
    <xf numFmtId="0" fontId="101" fillId="0" borderId="0" xfId="0" quotePrefix="1" applyFont="1"/>
    <xf numFmtId="180" fontId="0" fillId="0" borderId="92" xfId="0" quotePrefix="1" applyNumberFormat="1" applyBorder="1"/>
    <xf numFmtId="0" fontId="18" fillId="0" borderId="191" xfId="0" applyFont="1" applyBorder="1" applyAlignment="1">
      <alignment wrapText="1"/>
    </xf>
    <xf numFmtId="0" fontId="18" fillId="0" borderId="201" xfId="0" quotePrefix="1" applyFont="1" applyBorder="1" applyAlignment="1">
      <alignment wrapText="1"/>
    </xf>
    <xf numFmtId="171" fontId="69" fillId="0" borderId="99" xfId="4" applyFont="1" applyBorder="1"/>
    <xf numFmtId="174" fontId="17" fillId="10" borderId="131" xfId="0" applyNumberFormat="1" applyFont="1" applyFill="1" applyBorder="1" applyAlignment="1">
      <alignment horizontal="center"/>
    </xf>
    <xf numFmtId="0" fontId="17" fillId="10" borderId="41" xfId="0" applyFont="1" applyFill="1" applyBorder="1" applyAlignment="1">
      <alignment horizontal="center"/>
    </xf>
    <xf numFmtId="0" fontId="17" fillId="10" borderId="15" xfId="0" quotePrefix="1" applyFont="1" applyFill="1" applyBorder="1"/>
    <xf numFmtId="170" fontId="18" fillId="10" borderId="3" xfId="0" applyNumberFormat="1" applyFont="1" applyFill="1" applyBorder="1"/>
    <xf numFmtId="170" fontId="9" fillId="10" borderId="2" xfId="0" applyNumberFormat="1" applyFont="1" applyFill="1" applyBorder="1"/>
    <xf numFmtId="170" fontId="7" fillId="10" borderId="125" xfId="0" applyNumberFormat="1" applyFont="1" applyFill="1" applyBorder="1"/>
  </cellXfs>
  <cellStyles count="8">
    <cellStyle name="CombMediaMenor" xfId="1" xr:uid="{00000000-0005-0000-0000-000000000000}"/>
    <cellStyle name="Data" xfId="2" xr:uid="{00000000-0005-0000-0000-000001000000}"/>
    <cellStyle name="Hiperlink" xfId="3" builtinId="8"/>
    <cellStyle name="Moeda" xfId="4" builtinId="4"/>
    <cellStyle name="MoedaSaida" xfId="5" xr:uid="{00000000-0005-0000-0000-000004000000}"/>
    <cellStyle name="Normal" xfId="0" builtinId="0"/>
    <cellStyle name="Resultado 1" xfId="6" xr:uid="{00000000-0005-0000-0000-000006000000}"/>
    <cellStyle name="Tudo Centralizado, com Bordas" xfId="7" xr:uid="{00000000-0005-0000-0000-000007000000}"/>
  </cellStyles>
  <dxfs count="495"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theme="3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 patternType="solid">
          <bgColor rgb="FFFFFF00"/>
        </patternFill>
      </fill>
    </dxf>
    <dxf>
      <font>
        <b/>
        <i/>
        <color rgb="FF0070C0"/>
      </font>
      <fill>
        <patternFill>
          <bgColor theme="3" tint="0.79998168889431442"/>
        </patternFill>
      </fill>
    </dxf>
    <dxf>
      <font>
        <b/>
        <i/>
      </font>
      <fill>
        <patternFill>
          <bgColor rgb="FFFFFF0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rgb="FFFFFF00"/>
        <name val="Cambria"/>
        <scheme val="none"/>
      </font>
      <fill>
        <patternFill>
          <bgColor rgb="FF00B050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b/>
        <i val="0"/>
        <condense val="0"/>
        <extend val="0"/>
        <u val="none"/>
        <color indexed="12"/>
      </font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theme="0" tint="-0.14996795556505021"/>
        </patternFill>
      </fill>
    </dxf>
    <dxf>
      <fill>
        <patternFill>
          <bgColor theme="3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3" tint="0.59996337778862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802060"/>
      <rgbColor rgb="00E6E6E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33"/>
      <rgbColor rgb="00666699"/>
      <rgbColor rgb="00969696"/>
      <rgbColor rgb="00003366"/>
      <rgbColor rgb="00488436"/>
      <rgbColor rgb="001A1A1A"/>
      <rgbColor rgb="003C3C3C"/>
      <rgbColor rgb="00993300"/>
      <rgbColor rgb="00FF3366"/>
      <rgbColor rgb="00333399"/>
      <rgbColor rgb="00333333"/>
    </indexed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30</xdr:row>
      <xdr:rowOff>0</xdr:rowOff>
    </xdr:from>
    <xdr:to>
      <xdr:col>3</xdr:col>
      <xdr:colOff>9525</xdr:colOff>
      <xdr:row>30</xdr:row>
      <xdr:rowOff>200025</xdr:rowOff>
    </xdr:to>
    <xdr:pic>
      <xdr:nvPicPr>
        <xdr:cNvPr id="274616" name="Graphics 1">
          <a:extLst>
            <a:ext uri="{FF2B5EF4-FFF2-40B4-BE49-F238E27FC236}">
              <a16:creationId xmlns:a16="http://schemas.microsoft.com/office/drawing/2014/main" id="{4164C9BC-FCCC-AC3C-09B3-C31361391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5143500"/>
          <a:ext cx="95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9525</xdr:colOff>
      <xdr:row>36</xdr:row>
      <xdr:rowOff>190500</xdr:rowOff>
    </xdr:to>
    <xdr:pic>
      <xdr:nvPicPr>
        <xdr:cNvPr id="274617" name="Graphics 2">
          <a:extLst>
            <a:ext uri="{FF2B5EF4-FFF2-40B4-BE49-F238E27FC236}">
              <a16:creationId xmlns:a16="http://schemas.microsoft.com/office/drawing/2014/main" id="{A4F428E6-DFB8-DE93-8F05-11581A2E6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6172200"/>
          <a:ext cx="95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myworld.ebay.com/toymania168/" TargetMode="External"/><Relationship Id="rId13" Type="http://schemas.openxmlformats.org/officeDocument/2006/relationships/hyperlink" Target="http://www.1999.co.jp/eng/" TargetMode="External"/><Relationship Id="rId3" Type="http://schemas.openxmlformats.org/officeDocument/2006/relationships/hyperlink" Target="http://www.deadzebra.com/" TargetMode="External"/><Relationship Id="rId7" Type="http://schemas.openxmlformats.org/officeDocument/2006/relationships/hyperlink" Target="http://www.amiami.com/" TargetMode="External"/><Relationship Id="rId12" Type="http://schemas.openxmlformats.org/officeDocument/2006/relationships/hyperlink" Target="http://www.allcenter.com.br/" TargetMode="External"/><Relationship Id="rId2" Type="http://schemas.openxmlformats.org/officeDocument/2006/relationships/hyperlink" Target="http://www.amiami.com/" TargetMode="External"/><Relationship Id="rId16" Type="http://schemas.openxmlformats.org/officeDocument/2006/relationships/hyperlink" Target="http://www.1999.co.jp/eng/" TargetMode="External"/><Relationship Id="rId1" Type="http://schemas.openxmlformats.org/officeDocument/2006/relationships/hyperlink" Target="http://www.1999.co.jp/eng/" TargetMode="External"/><Relationship Id="rId6" Type="http://schemas.openxmlformats.org/officeDocument/2006/relationships/hyperlink" Target="http://www.1999.co.jp/eng/" TargetMode="External"/><Relationship Id="rId11" Type="http://schemas.openxmlformats.org/officeDocument/2006/relationships/hyperlink" Target="http://www.allcenter.com.br/" TargetMode="External"/><Relationship Id="rId5" Type="http://schemas.openxmlformats.org/officeDocument/2006/relationships/hyperlink" Target="http://www.1999.co.jp/eng/" TargetMode="External"/><Relationship Id="rId15" Type="http://schemas.openxmlformats.org/officeDocument/2006/relationships/hyperlink" Target="http://www.limitededition.com.br/" TargetMode="External"/><Relationship Id="rId10" Type="http://schemas.openxmlformats.org/officeDocument/2006/relationships/hyperlink" Target="http://www.1999.co.jp/eng/" TargetMode="External"/><Relationship Id="rId4" Type="http://schemas.openxmlformats.org/officeDocument/2006/relationships/hyperlink" Target="http://myworld.ebay.com/ekinyangyiwei" TargetMode="External"/><Relationship Id="rId9" Type="http://schemas.openxmlformats.org/officeDocument/2006/relationships/hyperlink" Target="http://www.1999.co.jp/eng/" TargetMode="External"/><Relationship Id="rId14" Type="http://schemas.openxmlformats.org/officeDocument/2006/relationships/hyperlink" Target="http://www.mercadolivre.com.br/brasil/ml/org_prod.p_main?it_s=MLB&amp;it_n=239082157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luiz.carlin@gmail.com" TargetMode="External"/><Relationship Id="rId1" Type="http://schemas.openxmlformats.org/officeDocument/2006/relationships/hyperlink" Target="mailto:luiz.carlin@g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hyperlink" Target="mailto:rsilverio@santander.com.br" TargetMode="External"/><Relationship Id="rId1" Type="http://schemas.openxmlformats.org/officeDocument/2006/relationships/hyperlink" Target="https://fazaconta.com/simulador-financiamento.htm" TargetMode="Externa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hyperlink" Target="https://fazaconta.com/simulador-financiamento.htm" TargetMode="Externa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fazaconta.com/simulador-financiamento.htm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hyperlink" Target="https://fazaconta.com/simulador-financiamento.htm" TargetMode="Externa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hyperlink" Target="mailto:marcelo.isolani@gvt.net.br" TargetMode="External"/><Relationship Id="rId2" Type="http://schemas.openxmlformats.org/officeDocument/2006/relationships/hyperlink" Target="https://sourceforge.net/projects/scummvm/http:/sourceforge.net/forum/forum.php?forum_id=360272" TargetMode="External"/><Relationship Id="rId1" Type="http://schemas.openxmlformats.org/officeDocument/2006/relationships/hyperlink" Target="http://www.crackz.ws/?i=59888" TargetMode="External"/><Relationship Id="rId4" Type="http://schemas.openxmlformats.org/officeDocument/2006/relationships/hyperlink" Target="http://www.deitel.com/" TargetMode="Externa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4195-205D-4052-ADCD-A128EF21C80F}">
  <sheetPr codeName="Planilha1"/>
  <dimension ref="A1:G25"/>
  <sheetViews>
    <sheetView zoomScaleNormal="100" workbookViewId="0">
      <selection activeCell="C12" sqref="C12"/>
    </sheetView>
  </sheetViews>
  <sheetFormatPr defaultColWidth="9" defaultRowHeight="13.5"/>
  <cols>
    <col min="1" max="1" width="13.7109375" style="3" bestFit="1" customWidth="1"/>
    <col min="2" max="2" width="21.42578125" style="3" customWidth="1"/>
    <col min="3" max="3" width="48.42578125" style="3" customWidth="1"/>
    <col min="4" max="4" width="16" style="3" customWidth="1"/>
    <col min="5" max="5" width="17" style="221" customWidth="1"/>
    <col min="6" max="6" width="16" style="3" bestFit="1" customWidth="1"/>
    <col min="7" max="7" width="9" style="3" bestFit="1" customWidth="1"/>
    <col min="8" max="16384" width="9" style="3"/>
  </cols>
  <sheetData>
    <row r="1" spans="1:7">
      <c r="A1" s="1927" t="s">
        <v>0</v>
      </c>
      <c r="B1" s="1927" t="s">
        <v>1</v>
      </c>
      <c r="C1" s="1928" t="s">
        <v>2</v>
      </c>
      <c r="D1" s="1929" t="s">
        <v>3</v>
      </c>
      <c r="E1" s="1931" t="s">
        <v>4</v>
      </c>
      <c r="F1" s="1930" t="s">
        <v>5</v>
      </c>
      <c r="G1" s="1566" t="s">
        <v>6</v>
      </c>
    </row>
    <row r="2" spans="1:7">
      <c r="A2" s="1900"/>
      <c r="B2" s="1912"/>
      <c r="C2" s="1915" t="s">
        <v>7</v>
      </c>
      <c r="D2" s="1920"/>
      <c r="E2" s="1918"/>
      <c r="F2" s="1924"/>
    </row>
    <row r="3" spans="1:7">
      <c r="A3" s="1900">
        <v>43800</v>
      </c>
      <c r="B3" s="1912" t="str">
        <f>TiposLancamentos!B77</f>
        <v>Esporádico</v>
      </c>
      <c r="C3" s="1915" t="s">
        <v>8</v>
      </c>
      <c r="D3" s="1920">
        <v>0.01</v>
      </c>
      <c r="E3" s="1918"/>
      <c r="F3" s="1924"/>
      <c r="G3" s="1152" t="s">
        <v>9</v>
      </c>
    </row>
    <row r="4" spans="1:7">
      <c r="A4" s="1900">
        <v>43800</v>
      </c>
      <c r="B4" s="1912" t="str">
        <f>TiposLancamentos!B78</f>
        <v>Diferenças</v>
      </c>
      <c r="C4" s="1915" t="s">
        <v>8</v>
      </c>
      <c r="D4" s="1920"/>
      <c r="E4" s="1918">
        <v>0.01</v>
      </c>
      <c r="F4" s="1924"/>
      <c r="G4" s="1152" t="s">
        <v>9</v>
      </c>
    </row>
    <row r="5" spans="1:7">
      <c r="A5" s="1901"/>
      <c r="B5" s="1913"/>
      <c r="C5" s="1916" t="s">
        <v>10</v>
      </c>
      <c r="D5" s="1921"/>
      <c r="E5" s="1914"/>
      <c r="F5" s="1925"/>
      <c r="G5" s="1094" t="s">
        <v>11</v>
      </c>
    </row>
    <row r="6" spans="1:7">
      <c r="A6" s="1900"/>
      <c r="B6" s="1912"/>
      <c r="C6" s="1915"/>
      <c r="D6" s="1920"/>
      <c r="E6" s="1918"/>
      <c r="F6" s="1924"/>
    </row>
    <row r="7" spans="1:7">
      <c r="A7" s="1900"/>
      <c r="B7" s="1912"/>
      <c r="C7" s="1915"/>
      <c r="D7" s="1920"/>
      <c r="E7" s="1918"/>
      <c r="F7" s="1924"/>
    </row>
    <row r="8" spans="1:7">
      <c r="A8" s="1900"/>
      <c r="B8" s="1912"/>
      <c r="C8" s="1915"/>
      <c r="D8" s="1920"/>
      <c r="E8" s="1918"/>
      <c r="F8" s="1924"/>
    </row>
    <row r="9" spans="1:7">
      <c r="A9" s="1900"/>
      <c r="B9" s="1912"/>
      <c r="C9" s="1915"/>
      <c r="D9" s="1920"/>
      <c r="E9" s="1918"/>
      <c r="F9" s="1924"/>
    </row>
    <row r="10" spans="1:7">
      <c r="A10" s="1900"/>
      <c r="B10" s="1912"/>
      <c r="C10" s="1915"/>
      <c r="D10" s="1920"/>
      <c r="E10" s="1918"/>
      <c r="F10" s="1924"/>
    </row>
    <row r="11" spans="1:7">
      <c r="A11" s="1900"/>
      <c r="B11" s="1912"/>
      <c r="C11" s="1915"/>
      <c r="D11" s="1920"/>
      <c r="E11" s="1918"/>
      <c r="F11" s="1924"/>
    </row>
    <row r="12" spans="1:7">
      <c r="A12" s="1900"/>
      <c r="B12" s="1912"/>
      <c r="C12" s="1915"/>
      <c r="D12" s="1920"/>
      <c r="E12" s="1918"/>
      <c r="F12" s="1924"/>
    </row>
    <row r="13" spans="1:7">
      <c r="A13" s="1902"/>
      <c r="B13" s="1908"/>
      <c r="C13" s="1917"/>
      <c r="D13" s="1922"/>
      <c r="E13" s="1919"/>
      <c r="F13" s="1926"/>
    </row>
    <row r="14" spans="1:7">
      <c r="A14" s="1900"/>
      <c r="B14" s="1912"/>
      <c r="C14" s="1915"/>
      <c r="D14" s="1920"/>
      <c r="E14" s="1918"/>
      <c r="F14" s="1924"/>
    </row>
    <row r="15" spans="1:7">
      <c r="A15" s="1900"/>
      <c r="B15" s="1912"/>
      <c r="C15" s="1915"/>
      <c r="D15" s="1920"/>
      <c r="E15" s="1918"/>
      <c r="F15" s="1924"/>
    </row>
    <row r="16" spans="1:7">
      <c r="A16" s="1900"/>
      <c r="B16" s="1912"/>
      <c r="C16" s="1915"/>
      <c r="D16" s="1920"/>
      <c r="E16" s="1918"/>
      <c r="F16" s="1924"/>
    </row>
    <row r="17" spans="1:7">
      <c r="A17" s="1900"/>
      <c r="B17" s="1912"/>
      <c r="C17" s="1915"/>
      <c r="D17" s="1920"/>
      <c r="E17" s="1918"/>
      <c r="F17" s="1924"/>
    </row>
    <row r="18" spans="1:7">
      <c r="A18" s="1900"/>
      <c r="B18" s="1912"/>
      <c r="C18" s="1915"/>
      <c r="D18" s="1920"/>
      <c r="E18" s="1918"/>
      <c r="F18" s="1924"/>
    </row>
    <row r="19" spans="1:7">
      <c r="A19" s="1900"/>
      <c r="B19" s="1910"/>
      <c r="C19" s="1915"/>
      <c r="D19" s="1923"/>
      <c r="E19" s="1918"/>
      <c r="F19" s="1924"/>
    </row>
    <row r="20" spans="1:7">
      <c r="A20" s="1932"/>
      <c r="B20" s="116"/>
      <c r="C20" s="1903"/>
      <c r="D20" s="51"/>
      <c r="E20" s="1933"/>
      <c r="F20" s="1926"/>
      <c r="G20" s="1094" t="s">
        <v>11</v>
      </c>
    </row>
    <row r="21" spans="1:7">
      <c r="A21" s="1912"/>
      <c r="B21" s="1909"/>
      <c r="C21" s="52" t="s">
        <v>12</v>
      </c>
      <c r="D21" s="1904">
        <f>SUM(D2:D20)</f>
        <v>0.01</v>
      </c>
      <c r="E21" s="1934">
        <f>SUM(E2:E20)</f>
        <v>0.01</v>
      </c>
      <c r="F21" s="1905"/>
    </row>
    <row r="22" spans="1:7">
      <c r="A22" s="1910"/>
      <c r="B22" s="1911"/>
      <c r="C22" s="1903" t="s">
        <v>13</v>
      </c>
      <c r="D22" s="601"/>
      <c r="E22" s="1907">
        <f>D21-E21</f>
        <v>0</v>
      </c>
      <c r="F22" s="1906"/>
    </row>
    <row r="23" spans="1:7">
      <c r="A23" s="65"/>
      <c r="B23" s="65"/>
    </row>
    <row r="24" spans="1:7">
      <c r="C24" s="23"/>
      <c r="D24" s="25" t="s">
        <v>14</v>
      </c>
      <c r="E24" s="303" t="s">
        <v>15</v>
      </c>
      <c r="F24" s="25" t="s">
        <v>16</v>
      </c>
    </row>
    <row r="25" spans="1:7">
      <c r="B25" s="77" t="s">
        <v>17</v>
      </c>
      <c r="C25" s="36"/>
      <c r="D25" s="60"/>
      <c r="E25" s="34">
        <f>E22</f>
        <v>0</v>
      </c>
      <c r="F25" s="62">
        <f>D25+E25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D59"/>
  <sheetViews>
    <sheetView workbookViewId="0">
      <selection activeCell="A35" sqref="A35"/>
    </sheetView>
  </sheetViews>
  <sheetFormatPr defaultRowHeight="12.75"/>
  <cols>
    <col min="1" max="1" width="18.5703125" bestFit="1" customWidth="1"/>
    <col min="2" max="2" width="10.5703125" bestFit="1" customWidth="1"/>
    <col min="3" max="3" width="12.7109375" bestFit="1" customWidth="1"/>
    <col min="4" max="4" width="11.7109375" bestFit="1" customWidth="1"/>
  </cols>
  <sheetData>
    <row r="1" spans="1:4">
      <c r="A1" t="s">
        <v>18</v>
      </c>
      <c r="B1" t="s">
        <v>19</v>
      </c>
      <c r="C1" t="s">
        <v>20</v>
      </c>
      <c r="D1" t="s">
        <v>21</v>
      </c>
    </row>
    <row r="2" spans="1:4">
      <c r="A2" t="s">
        <v>22</v>
      </c>
      <c r="B2" t="s">
        <v>9</v>
      </c>
    </row>
    <row r="3" spans="1:4">
      <c r="A3" t="s">
        <v>23</v>
      </c>
      <c r="B3" t="s">
        <v>9</v>
      </c>
    </row>
    <row r="4" spans="1:4">
      <c r="A4" t="s">
        <v>24</v>
      </c>
      <c r="B4" t="s">
        <v>9</v>
      </c>
    </row>
    <row r="5" spans="1:4">
      <c r="A5" t="s">
        <v>25</v>
      </c>
      <c r="B5" t="s">
        <v>9</v>
      </c>
      <c r="C5" t="s">
        <v>9</v>
      </c>
      <c r="D5" t="s">
        <v>9</v>
      </c>
    </row>
    <row r="6" spans="1:4">
      <c r="A6" t="s">
        <v>26</v>
      </c>
      <c r="B6" t="s">
        <v>9</v>
      </c>
      <c r="C6" t="s">
        <v>9</v>
      </c>
      <c r="D6" t="s">
        <v>9</v>
      </c>
    </row>
    <row r="7" spans="1:4">
      <c r="A7" t="s">
        <v>27</v>
      </c>
      <c r="B7" t="s">
        <v>9</v>
      </c>
      <c r="C7" t="s">
        <v>9</v>
      </c>
      <c r="D7" t="s">
        <v>9</v>
      </c>
    </row>
    <row r="8" spans="1:4">
      <c r="A8" t="s">
        <v>28</v>
      </c>
      <c r="B8" t="s">
        <v>9</v>
      </c>
      <c r="C8" t="s">
        <v>9</v>
      </c>
      <c r="D8" t="s">
        <v>9</v>
      </c>
    </row>
    <row r="9" spans="1:4">
      <c r="A9" t="s">
        <v>29</v>
      </c>
      <c r="B9" t="s">
        <v>9</v>
      </c>
      <c r="C9" t="s">
        <v>9</v>
      </c>
      <c r="D9" t="s">
        <v>9</v>
      </c>
    </row>
    <row r="10" spans="1:4">
      <c r="A10" t="s">
        <v>30</v>
      </c>
      <c r="B10" t="s">
        <v>9</v>
      </c>
      <c r="C10" t="s">
        <v>9</v>
      </c>
      <c r="D10" t="s">
        <v>9</v>
      </c>
    </row>
    <row r="11" spans="1:4">
      <c r="A11" t="s">
        <v>31</v>
      </c>
      <c r="B11" t="s">
        <v>9</v>
      </c>
      <c r="C11" t="s">
        <v>9</v>
      </c>
      <c r="D11" t="s">
        <v>9</v>
      </c>
    </row>
    <row r="12" spans="1:4">
      <c r="A12" t="s">
        <v>32</v>
      </c>
      <c r="B12" t="s">
        <v>9</v>
      </c>
      <c r="C12" t="s">
        <v>9</v>
      </c>
      <c r="D12" t="s">
        <v>9</v>
      </c>
    </row>
    <row r="13" spans="1:4">
      <c r="A13" t="s">
        <v>33</v>
      </c>
      <c r="B13" t="s">
        <v>9</v>
      </c>
      <c r="C13" t="s">
        <v>9</v>
      </c>
      <c r="D13" t="s">
        <v>9</v>
      </c>
    </row>
    <row r="14" spans="1:4">
      <c r="A14" t="s">
        <v>34</v>
      </c>
      <c r="B14" t="s">
        <v>9</v>
      </c>
      <c r="C14" t="s">
        <v>9</v>
      </c>
      <c r="D14" t="s">
        <v>9</v>
      </c>
    </row>
    <row r="15" spans="1:4">
      <c r="A15" t="s">
        <v>35</v>
      </c>
      <c r="B15" t="s">
        <v>9</v>
      </c>
      <c r="C15" t="s">
        <v>9</v>
      </c>
      <c r="D15" t="s">
        <v>9</v>
      </c>
    </row>
    <row r="16" spans="1:4">
      <c r="A16" t="s">
        <v>36</v>
      </c>
      <c r="B16" t="s">
        <v>9</v>
      </c>
      <c r="C16" t="s">
        <v>9</v>
      </c>
      <c r="D16" t="s">
        <v>9</v>
      </c>
    </row>
    <row r="17" spans="1:4">
      <c r="A17" t="s">
        <v>37</v>
      </c>
      <c r="B17" t="s">
        <v>9</v>
      </c>
      <c r="C17" t="s">
        <v>9</v>
      </c>
      <c r="D17" t="s">
        <v>9</v>
      </c>
    </row>
    <row r="18" spans="1:4">
      <c r="A18" t="s">
        <v>38</v>
      </c>
      <c r="B18" t="s">
        <v>9</v>
      </c>
      <c r="C18" t="s">
        <v>9</v>
      </c>
      <c r="D18" t="s">
        <v>9</v>
      </c>
    </row>
    <row r="19" spans="1:4">
      <c r="A19" t="s">
        <v>39</v>
      </c>
      <c r="B19" t="s">
        <v>9</v>
      </c>
      <c r="C19" t="s">
        <v>9</v>
      </c>
      <c r="D19" t="s">
        <v>9</v>
      </c>
    </row>
    <row r="20" spans="1:4">
      <c r="A20" t="s">
        <v>40</v>
      </c>
      <c r="B20" t="s">
        <v>9</v>
      </c>
      <c r="C20" t="s">
        <v>9</v>
      </c>
      <c r="D20" t="s">
        <v>9</v>
      </c>
    </row>
    <row r="21" spans="1:4">
      <c r="A21" t="s">
        <v>41</v>
      </c>
      <c r="B21" t="s">
        <v>9</v>
      </c>
    </row>
    <row r="22" spans="1:4">
      <c r="A22" t="s">
        <v>42</v>
      </c>
      <c r="B22" t="s">
        <v>9</v>
      </c>
      <c r="C22" t="s">
        <v>9</v>
      </c>
      <c r="D22" t="s">
        <v>9</v>
      </c>
    </row>
    <row r="23" spans="1:4">
      <c r="A23" t="s">
        <v>43</v>
      </c>
      <c r="B23" t="s">
        <v>9</v>
      </c>
      <c r="C23" t="s">
        <v>9</v>
      </c>
      <c r="D23" t="s">
        <v>9</v>
      </c>
    </row>
    <row r="24" spans="1:4">
      <c r="A24" t="s">
        <v>44</v>
      </c>
      <c r="B24" t="s">
        <v>9</v>
      </c>
    </row>
    <row r="25" spans="1:4">
      <c r="A25" t="s">
        <v>45</v>
      </c>
      <c r="B25" t="s">
        <v>9</v>
      </c>
    </row>
    <row r="26" spans="1:4">
      <c r="A26" t="s">
        <v>46</v>
      </c>
      <c r="B26" t="s">
        <v>9</v>
      </c>
    </row>
    <row r="27" spans="1:4">
      <c r="A27" t="s">
        <v>47</v>
      </c>
      <c r="B27" t="s">
        <v>9</v>
      </c>
    </row>
    <row r="28" spans="1:4">
      <c r="A28" t="s">
        <v>48</v>
      </c>
      <c r="B28" t="s">
        <v>9</v>
      </c>
    </row>
    <row r="29" spans="1:4">
      <c r="A29" t="s">
        <v>49</v>
      </c>
      <c r="B29" t="s">
        <v>9</v>
      </c>
      <c r="C29" t="s">
        <v>9</v>
      </c>
      <c r="D29" t="s">
        <v>9</v>
      </c>
    </row>
    <row r="30" spans="1:4">
      <c r="A30" t="s">
        <v>50</v>
      </c>
      <c r="B30" t="s">
        <v>9</v>
      </c>
      <c r="C30" t="s">
        <v>9</v>
      </c>
      <c r="D30" t="s">
        <v>9</v>
      </c>
    </row>
    <row r="31" spans="1:4">
      <c r="A31" t="s">
        <v>51</v>
      </c>
      <c r="B31" t="s">
        <v>9</v>
      </c>
      <c r="C31" t="s">
        <v>9</v>
      </c>
      <c r="D31" t="s">
        <v>9</v>
      </c>
    </row>
    <row r="32" spans="1:4">
      <c r="A32" t="s">
        <v>52</v>
      </c>
      <c r="B32" t="s">
        <v>9</v>
      </c>
      <c r="C32" t="s">
        <v>9</v>
      </c>
      <c r="D32" t="s">
        <v>9</v>
      </c>
    </row>
    <row r="33" spans="1:4">
      <c r="A33" t="s">
        <v>53</v>
      </c>
      <c r="B33" t="s">
        <v>9</v>
      </c>
      <c r="C33" t="s">
        <v>9</v>
      </c>
      <c r="D33" t="s">
        <v>9</v>
      </c>
    </row>
    <row r="34" spans="1:4">
      <c r="A34" t="s">
        <v>54</v>
      </c>
      <c r="B34" t="s">
        <v>9</v>
      </c>
      <c r="C34" t="s">
        <v>9</v>
      </c>
      <c r="D34" t="s">
        <v>9</v>
      </c>
    </row>
    <row r="35" spans="1:4">
      <c r="A35" t="s">
        <v>55</v>
      </c>
      <c r="B35" t="s">
        <v>9</v>
      </c>
      <c r="C35" t="s">
        <v>9</v>
      </c>
      <c r="D35" t="s">
        <v>9</v>
      </c>
    </row>
    <row r="36" spans="1:4">
      <c r="A36" t="s">
        <v>56</v>
      </c>
      <c r="B36" t="s">
        <v>9</v>
      </c>
      <c r="C36" t="s">
        <v>9</v>
      </c>
      <c r="D36" t="s">
        <v>9</v>
      </c>
    </row>
    <row r="37" spans="1:4">
      <c r="A37" t="s">
        <v>57</v>
      </c>
      <c r="B37" t="s">
        <v>9</v>
      </c>
      <c r="C37" t="s">
        <v>9</v>
      </c>
      <c r="D37" t="s">
        <v>9</v>
      </c>
    </row>
    <row r="38" spans="1:4">
      <c r="A38" t="s">
        <v>58</v>
      </c>
      <c r="B38" t="s">
        <v>9</v>
      </c>
      <c r="C38" t="s">
        <v>9</v>
      </c>
      <c r="D38" t="s">
        <v>9</v>
      </c>
    </row>
    <row r="39" spans="1:4">
      <c r="A39" t="s">
        <v>59</v>
      </c>
      <c r="B39" t="s">
        <v>9</v>
      </c>
      <c r="C39" t="s">
        <v>9</v>
      </c>
      <c r="D39" t="s">
        <v>9</v>
      </c>
    </row>
    <row r="40" spans="1:4">
      <c r="A40" t="s">
        <v>60</v>
      </c>
      <c r="B40" t="s">
        <v>9</v>
      </c>
      <c r="C40" t="s">
        <v>9</v>
      </c>
      <c r="D40" t="s">
        <v>9</v>
      </c>
    </row>
    <row r="41" spans="1:4" s="1445" customFormat="1">
      <c r="A41" t="s">
        <v>61</v>
      </c>
      <c r="B41" t="s">
        <v>9</v>
      </c>
      <c r="C41" t="s">
        <v>9</v>
      </c>
      <c r="D41" t="s">
        <v>9</v>
      </c>
    </row>
    <row r="42" spans="1:4">
      <c r="A42" t="s">
        <v>62</v>
      </c>
      <c r="B42" t="s">
        <v>9</v>
      </c>
      <c r="C42" t="s">
        <v>9</v>
      </c>
      <c r="D42" t="s">
        <v>9</v>
      </c>
    </row>
    <row r="43" spans="1:4">
      <c r="A43" t="s">
        <v>63</v>
      </c>
      <c r="B43" t="s">
        <v>9</v>
      </c>
      <c r="C43" t="s">
        <v>9</v>
      </c>
      <c r="D43" t="s">
        <v>9</v>
      </c>
    </row>
    <row r="44" spans="1:4">
      <c r="A44" t="s">
        <v>64</v>
      </c>
      <c r="B44" t="s">
        <v>9</v>
      </c>
      <c r="C44" t="s">
        <v>9</v>
      </c>
      <c r="D44" t="s">
        <v>9</v>
      </c>
    </row>
    <row r="45" spans="1:4">
      <c r="A45" t="s">
        <v>65</v>
      </c>
      <c r="B45" t="s">
        <v>9</v>
      </c>
      <c r="D45" s="1445"/>
    </row>
    <row r="46" spans="1:4">
      <c r="A46" t="s">
        <v>66</v>
      </c>
      <c r="B46" t="s">
        <v>9</v>
      </c>
      <c r="C46" t="s">
        <v>9</v>
      </c>
      <c r="D46" t="s">
        <v>9</v>
      </c>
    </row>
    <row r="47" spans="1:4">
      <c r="A47" t="s">
        <v>67</v>
      </c>
      <c r="B47" t="s">
        <v>9</v>
      </c>
      <c r="C47" t="s">
        <v>9</v>
      </c>
      <c r="D47" t="s">
        <v>9</v>
      </c>
    </row>
    <row r="48" spans="1:4">
      <c r="A48" t="s">
        <v>68</v>
      </c>
      <c r="B48" t="s">
        <v>9</v>
      </c>
      <c r="C48" t="s">
        <v>9</v>
      </c>
      <c r="D48" t="s">
        <v>9</v>
      </c>
    </row>
    <row r="49" spans="1:4">
      <c r="A49" t="s">
        <v>69</v>
      </c>
      <c r="B49" t="s">
        <v>9</v>
      </c>
      <c r="C49" t="s">
        <v>9</v>
      </c>
      <c r="D49" t="s">
        <v>9</v>
      </c>
    </row>
    <row r="50" spans="1:4">
      <c r="A50" t="s">
        <v>70</v>
      </c>
      <c r="B50" t="s">
        <v>9</v>
      </c>
      <c r="C50" t="s">
        <v>9</v>
      </c>
      <c r="D50" t="s">
        <v>9</v>
      </c>
    </row>
    <row r="51" spans="1:4">
      <c r="A51" t="s">
        <v>71</v>
      </c>
      <c r="B51" t="s">
        <v>9</v>
      </c>
      <c r="C51" s="1445"/>
      <c r="D51" s="1445"/>
    </row>
    <row r="52" spans="1:4">
      <c r="A52" t="s">
        <v>72</v>
      </c>
      <c r="B52" t="s">
        <v>9</v>
      </c>
      <c r="C52" t="s">
        <v>9</v>
      </c>
      <c r="D52" t="s">
        <v>9</v>
      </c>
    </row>
    <row r="53" spans="1:4">
      <c r="A53" t="s">
        <v>73</v>
      </c>
      <c r="B53" t="s">
        <v>9</v>
      </c>
      <c r="C53" t="s">
        <v>9</v>
      </c>
      <c r="D53" t="s">
        <v>9</v>
      </c>
    </row>
    <row r="54" spans="1:4">
      <c r="A54" t="s">
        <v>74</v>
      </c>
      <c r="B54" t="s">
        <v>9</v>
      </c>
    </row>
    <row r="55" spans="1:4">
      <c r="A55" t="s">
        <v>75</v>
      </c>
      <c r="B55" t="s">
        <v>9</v>
      </c>
    </row>
    <row r="56" spans="1:4">
      <c r="A56" t="s">
        <v>76</v>
      </c>
      <c r="B56" t="s">
        <v>9</v>
      </c>
    </row>
    <row r="57" spans="1:4">
      <c r="A57" t="s">
        <v>77</v>
      </c>
      <c r="B57" t="s">
        <v>9</v>
      </c>
    </row>
    <row r="58" spans="1:4">
      <c r="A58" t="s">
        <v>74</v>
      </c>
      <c r="B58" t="s">
        <v>9</v>
      </c>
    </row>
    <row r="59" spans="1:4">
      <c r="A59" t="s">
        <v>78</v>
      </c>
      <c r="B59" t="s">
        <v>9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785F-9641-4D70-9567-36E46176B8B5}">
  <sheetPr codeName="Planilha3"/>
  <dimension ref="A1:C3"/>
  <sheetViews>
    <sheetView workbookViewId="0">
      <selection activeCell="B3" sqref="B3"/>
    </sheetView>
  </sheetViews>
  <sheetFormatPr defaultRowHeight="12.75"/>
  <cols>
    <col min="1" max="1" width="14.28515625" bestFit="1" customWidth="1"/>
    <col min="2" max="2" width="8.140625" bestFit="1" customWidth="1"/>
    <col min="3" max="3" width="19.7109375" bestFit="1" customWidth="1"/>
  </cols>
  <sheetData>
    <row r="1" spans="1:3">
      <c r="A1" t="s">
        <v>79</v>
      </c>
      <c r="B1" t="s">
        <v>80</v>
      </c>
      <c r="C1" t="s">
        <v>81</v>
      </c>
    </row>
    <row r="2" spans="1:3">
      <c r="A2" t="s">
        <v>82</v>
      </c>
      <c r="B2" t="s">
        <v>83</v>
      </c>
      <c r="C2" t="s">
        <v>84</v>
      </c>
    </row>
    <row r="3" spans="1:3">
      <c r="A3" t="s">
        <v>85</v>
      </c>
      <c r="B3" t="s">
        <v>86</v>
      </c>
      <c r="C3" t="s">
        <v>87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C9B6-7421-40B3-A85C-883909F7AF42}">
  <sheetPr codeName="Planilha4"/>
  <dimension ref="A1:A13"/>
  <sheetViews>
    <sheetView workbookViewId="0">
      <selection activeCell="A2" sqref="A2"/>
    </sheetView>
  </sheetViews>
  <sheetFormatPr defaultRowHeight="12.75"/>
  <cols>
    <col min="1" max="1" width="19" bestFit="1" customWidth="1"/>
  </cols>
  <sheetData>
    <row r="1" spans="1:1">
      <c r="A1" t="s">
        <v>88</v>
      </c>
    </row>
    <row r="2" spans="1:1">
      <c r="A2" t="s">
        <v>89</v>
      </c>
    </row>
    <row r="3" spans="1:1">
      <c r="A3" t="str">
        <f>TiposLancamentos!B2</f>
        <v>Telefonia</v>
      </c>
    </row>
    <row r="4" spans="1:1">
      <c r="A4" t="str">
        <f>TiposLancamentos!B3</f>
        <v>Internet</v>
      </c>
    </row>
    <row r="5" spans="1:1">
      <c r="A5" t="str">
        <f>TiposLancamentos!B8</f>
        <v>Aluguel</v>
      </c>
    </row>
    <row r="6" spans="1:1">
      <c r="A6" t="str">
        <f>TiposLancamentos!B9</f>
        <v>Condominio</v>
      </c>
    </row>
    <row r="7" spans="1:1">
      <c r="A7" t="str">
        <f>TiposLancamentos!B12</f>
        <v>IPTU</v>
      </c>
    </row>
    <row r="8" spans="1:1">
      <c r="A8" t="str">
        <f>TiposLancamentos!B6</f>
        <v>Energia Eletrica</v>
      </c>
    </row>
    <row r="9" spans="1:1">
      <c r="A9" t="str">
        <f>TiposLancamentos!B11</f>
        <v>Coleta Municipal Lixo</v>
      </c>
    </row>
    <row r="10" spans="1:1">
      <c r="A10" t="str">
        <f>TiposLancamentos!B10</f>
        <v>Distr. Água Municipal</v>
      </c>
    </row>
    <row r="11" spans="1:1">
      <c r="A11" t="str">
        <f>TiposLancamentos!B35</f>
        <v>Tv à Cabo</v>
      </c>
    </row>
    <row r="12" spans="1:1">
      <c r="A12" t="str">
        <f>TiposLancamentos!B14</f>
        <v>Gás de cozinha</v>
      </c>
    </row>
    <row r="13" spans="1:1">
      <c r="A13" t="str">
        <f>TiposLancamentos!B13</f>
        <v>Moradia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DE80-BF3A-4158-8652-5E77A0BEC4D4}">
  <sheetPr codeName="Planilha5"/>
  <dimension ref="A1:A18"/>
  <sheetViews>
    <sheetView workbookViewId="0">
      <selection activeCell="A16" sqref="A16"/>
    </sheetView>
  </sheetViews>
  <sheetFormatPr defaultRowHeight="12.75"/>
  <cols>
    <col min="1" max="1" width="19" bestFit="1" customWidth="1"/>
  </cols>
  <sheetData>
    <row r="1" spans="1:1">
      <c r="A1" t="s">
        <v>88</v>
      </c>
    </row>
    <row r="2" spans="1:1">
      <c r="A2" t="s">
        <v>89</v>
      </c>
    </row>
    <row r="3" spans="1:1">
      <c r="A3" t="str">
        <f>TiposLancamentos!B25</f>
        <v>CD_DVD_BD</v>
      </c>
    </row>
    <row r="4" spans="1:1">
      <c r="A4" t="str">
        <f>TiposLancamentos!B26</f>
        <v>LIVROS</v>
      </c>
    </row>
    <row r="5" spans="1:1">
      <c r="A5" t="str">
        <f>TiposLancamentos!B27</f>
        <v>Jornais e revistas</v>
      </c>
    </row>
    <row r="6" spans="1:1">
      <c r="A6" t="str">
        <f>TiposLancamentos!B28</f>
        <v>ComicBook</v>
      </c>
    </row>
    <row r="7" spans="1:1">
      <c r="A7" t="str">
        <f>TiposLancamentos!B29</f>
        <v>Mangá</v>
      </c>
    </row>
    <row r="8" spans="1:1">
      <c r="A8" t="str">
        <f>TiposLancamentos!B30</f>
        <v>Cinema</v>
      </c>
    </row>
    <row r="9" spans="1:1">
      <c r="A9" t="str">
        <f>TiposLancamentos!B90</f>
        <v>Locadora</v>
      </c>
    </row>
    <row r="10" spans="1:1">
      <c r="A10" t="str">
        <f>TiposLancamentos!B45</f>
        <v>Online Services</v>
      </c>
    </row>
    <row r="11" spans="1:1">
      <c r="A11" t="str">
        <f>TiposLancamentos!B36</f>
        <v>Playstation 2</v>
      </c>
    </row>
    <row r="12" spans="1:1">
      <c r="A12" t="str">
        <f>TiposLancamentos!B37</f>
        <v>Playstation 3</v>
      </c>
    </row>
    <row r="13" spans="1:1">
      <c r="A13" t="str">
        <f>TiposLancamentos!B38</f>
        <v>Playstation 4</v>
      </c>
    </row>
    <row r="14" spans="1:1">
      <c r="A14" t="str">
        <f>TiposLancamentos!B39</f>
        <v>Playstation 5</v>
      </c>
    </row>
    <row r="15" spans="1:1">
      <c r="A15" t="str">
        <f>TiposLancamentos!B42</f>
        <v>PSP FAT 1K</v>
      </c>
    </row>
    <row r="16" spans="1:1">
      <c r="A16" t="str">
        <f>TiposLancamentos!B91</f>
        <v>PSP Slim 2000</v>
      </c>
    </row>
    <row r="17" spans="1:1">
      <c r="A17" t="str">
        <f>TiposLancamentos!B40</f>
        <v>PS Vita Slim 2k</v>
      </c>
    </row>
    <row r="18" spans="1:1">
      <c r="A18" t="str">
        <f>TiposLancamentos!B41</f>
        <v>PSP Slim 3k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305F-EDE4-40C6-A00A-62C7B17472D4}">
  <sheetPr codeName="Planilha6" filterMode="1">
    <pageSetUpPr fitToPage="1"/>
  </sheetPr>
  <dimension ref="A1:E193"/>
  <sheetViews>
    <sheetView zoomScaleNormal="100" workbookViewId="0">
      <pane xSplit="5" ySplit="1" topLeftCell="F105" activePane="bottomRight" state="frozen"/>
      <selection pane="bottomRight" activeCell="F1" sqref="F1"/>
      <selection pane="bottomLeft" activeCell="A2" sqref="A2"/>
      <selection pane="topRight" activeCell="F1" sqref="F1"/>
    </sheetView>
  </sheetViews>
  <sheetFormatPr defaultRowHeight="12.75"/>
  <cols>
    <col min="1" max="1" width="51.42578125" bestFit="1" customWidth="1"/>
    <col min="2" max="2" width="19.5703125" bestFit="1" customWidth="1"/>
    <col min="3" max="3" width="12.5703125" bestFit="1" customWidth="1"/>
    <col min="4" max="4" width="14.85546875" bestFit="1" customWidth="1"/>
    <col min="5" max="5" width="38.5703125" bestFit="1" customWidth="1"/>
  </cols>
  <sheetData>
    <row r="1" spans="1:5" ht="18.75">
      <c r="A1" s="1469" t="s">
        <v>90</v>
      </c>
      <c r="B1" s="1470" t="s">
        <v>91</v>
      </c>
      <c r="C1" s="1470" t="s">
        <v>92</v>
      </c>
      <c r="D1" s="1470" t="s">
        <v>93</v>
      </c>
      <c r="E1" s="1470" t="s">
        <v>94</v>
      </c>
    </row>
    <row r="2" spans="1:5" ht="18.75">
      <c r="A2" s="1471" t="s">
        <v>95</v>
      </c>
      <c r="B2" s="1476" t="s">
        <v>96</v>
      </c>
      <c r="C2" s="1476"/>
      <c r="D2" s="1477"/>
      <c r="E2" s="1472"/>
    </row>
    <row r="3" spans="1:5" ht="18.75">
      <c r="A3" s="1481" t="s">
        <v>97</v>
      </c>
      <c r="B3" s="1482" t="s">
        <v>96</v>
      </c>
      <c r="C3" s="1482"/>
      <c r="D3" s="1483"/>
      <c r="E3" s="1472"/>
    </row>
    <row r="4" spans="1:5" ht="18.75" hidden="1">
      <c r="A4" s="1459" t="s">
        <v>98</v>
      </c>
      <c r="B4" s="1474" t="s">
        <v>99</v>
      </c>
      <c r="C4" s="1474" t="s">
        <v>9</v>
      </c>
      <c r="D4" s="1475">
        <v>45563</v>
      </c>
      <c r="E4" s="1473" t="s">
        <v>100</v>
      </c>
    </row>
    <row r="5" spans="1:5" ht="18.75" hidden="1">
      <c r="A5" s="1459" t="s">
        <v>101</v>
      </c>
      <c r="B5" s="1474" t="s">
        <v>99</v>
      </c>
      <c r="C5" s="1474" t="s">
        <v>9</v>
      </c>
      <c r="D5" s="1475">
        <v>45549</v>
      </c>
      <c r="E5" s="1473" t="s">
        <v>102</v>
      </c>
    </row>
    <row r="6" spans="1:5" ht="18.75" hidden="1">
      <c r="A6" s="1459" t="s">
        <v>103</v>
      </c>
      <c r="B6" s="1474" t="s">
        <v>99</v>
      </c>
      <c r="C6" s="1474" t="s">
        <v>9</v>
      </c>
      <c r="D6" s="1475">
        <v>45917</v>
      </c>
      <c r="E6" s="1473" t="s">
        <v>104</v>
      </c>
    </row>
    <row r="7" spans="1:5" ht="18.75" hidden="1">
      <c r="A7" s="1459" t="s">
        <v>105</v>
      </c>
      <c r="B7" s="1474" t="s">
        <v>99</v>
      </c>
      <c r="C7" s="1474" t="s">
        <v>9</v>
      </c>
      <c r="D7" s="1475">
        <v>45549</v>
      </c>
      <c r="E7" s="1473" t="s">
        <v>102</v>
      </c>
    </row>
    <row r="8" spans="1:5" ht="18.75" hidden="1">
      <c r="A8" s="1459" t="s">
        <v>106</v>
      </c>
      <c r="B8" s="1474" t="s">
        <v>99</v>
      </c>
      <c r="C8" s="1474" t="s">
        <v>9</v>
      </c>
      <c r="D8" s="1475">
        <v>45549</v>
      </c>
      <c r="E8" s="1473" t="s">
        <v>102</v>
      </c>
    </row>
    <row r="9" spans="1:5" ht="18.75" hidden="1">
      <c r="A9" s="1459" t="s">
        <v>107</v>
      </c>
      <c r="B9" s="1474" t="s">
        <v>99</v>
      </c>
      <c r="C9" s="1474" t="s">
        <v>9</v>
      </c>
      <c r="D9" s="1475">
        <v>45549</v>
      </c>
      <c r="E9" s="1473" t="s">
        <v>102</v>
      </c>
    </row>
    <row r="10" spans="1:5" ht="18.75" hidden="1">
      <c r="A10" s="1459" t="s">
        <v>108</v>
      </c>
      <c r="B10" s="1474" t="s">
        <v>99</v>
      </c>
      <c r="C10" s="1474" t="s">
        <v>9</v>
      </c>
      <c r="D10" s="1475">
        <v>45780</v>
      </c>
      <c r="E10" s="1473" t="s">
        <v>109</v>
      </c>
    </row>
    <row r="11" spans="1:5" ht="18.75" hidden="1">
      <c r="A11" s="1459" t="s">
        <v>110</v>
      </c>
      <c r="B11" s="1474" t="s">
        <v>99</v>
      </c>
      <c r="C11" s="1474" t="s">
        <v>9</v>
      </c>
      <c r="D11" s="1475">
        <v>45780</v>
      </c>
      <c r="E11" s="1473" t="s">
        <v>111</v>
      </c>
    </row>
    <row r="12" spans="1:5" ht="18.75" hidden="1">
      <c r="A12" s="1459" t="s">
        <v>112</v>
      </c>
      <c r="B12" s="1474" t="s">
        <v>99</v>
      </c>
      <c r="C12" s="1474" t="s">
        <v>9</v>
      </c>
      <c r="D12" s="1475">
        <v>45554</v>
      </c>
      <c r="E12" s="1473" t="s">
        <v>100</v>
      </c>
    </row>
    <row r="13" spans="1:5" ht="18.75" hidden="1">
      <c r="A13" s="1459" t="s">
        <v>113</v>
      </c>
      <c r="B13" s="1474" t="s">
        <v>99</v>
      </c>
      <c r="C13" s="1474" t="s">
        <v>9</v>
      </c>
      <c r="D13" s="1475">
        <v>45598</v>
      </c>
      <c r="E13" s="1473" t="s">
        <v>114</v>
      </c>
    </row>
    <row r="14" spans="1:5" ht="18.75" hidden="1">
      <c r="A14" s="1459" t="s">
        <v>115</v>
      </c>
      <c r="B14" s="1474" t="s">
        <v>99</v>
      </c>
      <c r="C14" s="1474" t="s">
        <v>9</v>
      </c>
      <c r="D14" s="1475">
        <v>45061</v>
      </c>
      <c r="E14" s="1473" t="s">
        <v>100</v>
      </c>
    </row>
    <row r="15" spans="1:5" ht="18.75" hidden="1">
      <c r="A15" s="1459" t="s">
        <v>116</v>
      </c>
      <c r="B15" s="1474" t="s">
        <v>99</v>
      </c>
      <c r="C15" s="1474" t="s">
        <v>9</v>
      </c>
      <c r="D15" s="1475">
        <v>45058</v>
      </c>
      <c r="E15" s="1473" t="s">
        <v>100</v>
      </c>
    </row>
    <row r="16" spans="1:5" ht="18.75" hidden="1">
      <c r="A16" s="1459" t="s">
        <v>117</v>
      </c>
      <c r="B16" s="1474" t="s">
        <v>99</v>
      </c>
      <c r="C16" s="1474" t="s">
        <v>9</v>
      </c>
      <c r="D16" s="1475">
        <v>45514</v>
      </c>
      <c r="E16" s="1473" t="s">
        <v>118</v>
      </c>
    </row>
    <row r="17" spans="1:5" ht="18.75" hidden="1">
      <c r="A17" s="1459" t="s">
        <v>119</v>
      </c>
      <c r="B17" s="1474" t="s">
        <v>99</v>
      </c>
      <c r="C17" s="1474" t="s">
        <v>120</v>
      </c>
      <c r="D17" s="1475">
        <v>45633</v>
      </c>
      <c r="E17" s="1473" t="s">
        <v>121</v>
      </c>
    </row>
    <row r="18" spans="1:5" ht="18.75" hidden="1">
      <c r="A18" s="1459" t="s">
        <v>122</v>
      </c>
      <c r="B18" s="1474" t="s">
        <v>99</v>
      </c>
      <c r="C18" s="1474" t="s">
        <v>9</v>
      </c>
      <c r="D18" s="1475">
        <v>45549</v>
      </c>
      <c r="E18" s="1473" t="s">
        <v>102</v>
      </c>
    </row>
    <row r="19" spans="1:5" ht="18.75" hidden="1">
      <c r="A19" s="1459" t="s">
        <v>123</v>
      </c>
      <c r="B19" s="1474" t="s">
        <v>99</v>
      </c>
      <c r="C19" s="1555" t="s">
        <v>9</v>
      </c>
      <c r="D19" s="1556">
        <v>45619</v>
      </c>
      <c r="E19" s="1473" t="s">
        <v>124</v>
      </c>
    </row>
    <row r="20" spans="1:5" ht="18.75" hidden="1">
      <c r="A20" s="1459" t="s">
        <v>125</v>
      </c>
      <c r="B20" s="1474" t="s">
        <v>99</v>
      </c>
      <c r="C20" s="1555" t="s">
        <v>9</v>
      </c>
      <c r="D20" s="1556">
        <v>45486</v>
      </c>
      <c r="E20" s="1473" t="s">
        <v>126</v>
      </c>
    </row>
    <row r="21" spans="1:5" ht="18.75" hidden="1">
      <c r="A21" s="1459" t="s">
        <v>125</v>
      </c>
      <c r="B21" s="1474" t="s">
        <v>99</v>
      </c>
      <c r="C21" s="1555" t="s">
        <v>9</v>
      </c>
      <c r="D21" s="1556">
        <v>45598</v>
      </c>
      <c r="E21" s="1473" t="s">
        <v>127</v>
      </c>
    </row>
    <row r="22" spans="1:5" ht="18.75" hidden="1">
      <c r="A22" s="1459" t="s">
        <v>128</v>
      </c>
      <c r="B22" s="1474" t="s">
        <v>99</v>
      </c>
      <c r="C22" s="1474" t="s">
        <v>9</v>
      </c>
      <c r="D22" s="1475">
        <v>45745</v>
      </c>
      <c r="E22" s="1473" t="s">
        <v>129</v>
      </c>
    </row>
    <row r="23" spans="1:5" ht="18.75" hidden="1">
      <c r="A23" s="1459" t="s">
        <v>130</v>
      </c>
      <c r="B23" s="1474" t="s">
        <v>99</v>
      </c>
      <c r="C23" s="1474" t="s">
        <v>9</v>
      </c>
      <c r="D23" s="1475">
        <v>45745</v>
      </c>
      <c r="E23" s="1473" t="s">
        <v>129</v>
      </c>
    </row>
    <row r="24" spans="1:5" ht="18.75" hidden="1">
      <c r="A24" s="1459" t="s">
        <v>131</v>
      </c>
      <c r="B24" s="1474" t="s">
        <v>99</v>
      </c>
      <c r="C24" s="1474" t="s">
        <v>9</v>
      </c>
      <c r="D24" s="1475">
        <v>45745</v>
      </c>
      <c r="E24" s="1473" t="s">
        <v>129</v>
      </c>
    </row>
    <row r="25" spans="1:5" ht="18.75" hidden="1">
      <c r="A25" s="1459" t="s">
        <v>132</v>
      </c>
      <c r="B25" s="1474" t="s">
        <v>99</v>
      </c>
      <c r="C25" s="1474" t="s">
        <v>9</v>
      </c>
      <c r="D25" s="1475">
        <v>45563</v>
      </c>
      <c r="E25" s="1473" t="s">
        <v>100</v>
      </c>
    </row>
    <row r="26" spans="1:5" ht="18.75" hidden="1">
      <c r="A26" s="1459" t="s">
        <v>133</v>
      </c>
      <c r="B26" s="1474" t="s">
        <v>99</v>
      </c>
      <c r="C26" s="1474" t="s">
        <v>9</v>
      </c>
      <c r="D26" s="1475">
        <v>45595</v>
      </c>
      <c r="E26" s="1473" t="s">
        <v>134</v>
      </c>
    </row>
    <row r="27" spans="1:5" ht="18.75" hidden="1">
      <c r="A27" s="1459" t="s">
        <v>135</v>
      </c>
      <c r="B27" s="1474" t="s">
        <v>99</v>
      </c>
      <c r="C27" s="1474" t="s">
        <v>9</v>
      </c>
      <c r="D27" s="1475">
        <v>45532</v>
      </c>
      <c r="E27" s="1473" t="s">
        <v>136</v>
      </c>
    </row>
    <row r="28" spans="1:5" ht="18.75" hidden="1">
      <c r="A28" s="1459" t="s">
        <v>137</v>
      </c>
      <c r="B28" s="1474" t="s">
        <v>99</v>
      </c>
      <c r="C28" s="1474" t="s">
        <v>9</v>
      </c>
      <c r="D28" s="1475">
        <v>45381</v>
      </c>
      <c r="E28" s="1473" t="s">
        <v>138</v>
      </c>
    </row>
    <row r="29" spans="1:5" ht="18.75" hidden="1">
      <c r="A29" s="1459" t="s">
        <v>139</v>
      </c>
      <c r="B29" s="1474" t="s">
        <v>99</v>
      </c>
      <c r="C29" s="1474" t="s">
        <v>9</v>
      </c>
      <c r="D29" s="1475">
        <v>45902</v>
      </c>
      <c r="E29" s="1473" t="s">
        <v>140</v>
      </c>
    </row>
    <row r="30" spans="1:5" ht="18.75" hidden="1">
      <c r="A30" s="1459" t="s">
        <v>141</v>
      </c>
      <c r="B30" s="1474" t="s">
        <v>99</v>
      </c>
      <c r="C30" s="1474" t="s">
        <v>9</v>
      </c>
      <c r="D30" s="1475">
        <v>45598</v>
      </c>
      <c r="E30" s="1473" t="s">
        <v>127</v>
      </c>
    </row>
    <row r="31" spans="1:5" ht="18.75" hidden="1">
      <c r="A31" s="1459" t="s">
        <v>142</v>
      </c>
      <c r="B31" s="1474" t="s">
        <v>99</v>
      </c>
      <c r="C31" s="1474" t="s">
        <v>9</v>
      </c>
      <c r="D31" s="1475">
        <v>45480</v>
      </c>
      <c r="E31" s="1473" t="s">
        <v>143</v>
      </c>
    </row>
    <row r="32" spans="1:5" ht="18.75" hidden="1">
      <c r="A32" s="1459" t="s">
        <v>144</v>
      </c>
      <c r="B32" s="1474" t="s">
        <v>99</v>
      </c>
      <c r="C32" s="1474" t="s">
        <v>9</v>
      </c>
      <c r="D32" s="1475">
        <v>45534</v>
      </c>
      <c r="E32" s="1473" t="s">
        <v>145</v>
      </c>
    </row>
    <row r="33" spans="1:5" ht="18.75">
      <c r="A33" s="1459" t="s">
        <v>146</v>
      </c>
      <c r="B33" s="1474" t="s">
        <v>99</v>
      </c>
      <c r="C33" s="1474"/>
      <c r="D33" s="1475"/>
      <c r="E33" s="1473"/>
    </row>
    <row r="34" spans="1:5" ht="18.75" hidden="1">
      <c r="A34" s="1459" t="s">
        <v>147</v>
      </c>
      <c r="B34" s="1474" t="s">
        <v>99</v>
      </c>
      <c r="C34" s="1474" t="s">
        <v>9</v>
      </c>
      <c r="D34" s="1475">
        <v>45549</v>
      </c>
      <c r="E34" s="1473" t="s">
        <v>102</v>
      </c>
    </row>
    <row r="35" spans="1:5" ht="18.75" hidden="1">
      <c r="A35" s="1459" t="s">
        <v>148</v>
      </c>
      <c r="B35" s="1474" t="s">
        <v>99</v>
      </c>
      <c r="C35" s="1951" t="s">
        <v>9</v>
      </c>
      <c r="D35" s="1475">
        <v>46058</v>
      </c>
      <c r="E35" s="1473" t="s">
        <v>149</v>
      </c>
    </row>
    <row r="36" spans="1:5" ht="18.75" hidden="1">
      <c r="A36" s="1459" t="s">
        <v>150</v>
      </c>
      <c r="B36" s="1474" t="s">
        <v>151</v>
      </c>
      <c r="C36" s="1474" t="s">
        <v>9</v>
      </c>
      <c r="D36" s="1475">
        <v>45078</v>
      </c>
      <c r="E36" s="1473" t="s">
        <v>152</v>
      </c>
    </row>
    <row r="37" spans="1:5" ht="18.75" hidden="1">
      <c r="A37" s="1459" t="s">
        <v>153</v>
      </c>
      <c r="B37" s="1474" t="s">
        <v>151</v>
      </c>
      <c r="C37" s="1474" t="s">
        <v>9</v>
      </c>
      <c r="D37" s="1475">
        <v>45068</v>
      </c>
      <c r="E37" s="1473" t="s">
        <v>154</v>
      </c>
    </row>
    <row r="38" spans="1:5" ht="18.75" hidden="1">
      <c r="A38" s="1459" t="s">
        <v>155</v>
      </c>
      <c r="B38" s="1474" t="s">
        <v>151</v>
      </c>
      <c r="C38" s="1474" t="s">
        <v>9</v>
      </c>
      <c r="D38" s="1475">
        <v>46004</v>
      </c>
      <c r="E38" s="1473" t="s">
        <v>156</v>
      </c>
    </row>
    <row r="39" spans="1:5" ht="18.75" hidden="1">
      <c r="A39" s="1459" t="s">
        <v>157</v>
      </c>
      <c r="B39" s="1474" t="s">
        <v>151</v>
      </c>
      <c r="C39" s="1474" t="s">
        <v>120</v>
      </c>
      <c r="D39" s="1475">
        <v>45137</v>
      </c>
      <c r="E39" s="1473" t="s">
        <v>158</v>
      </c>
    </row>
    <row r="40" spans="1:5" ht="18.75" hidden="1">
      <c r="A40" s="1459" t="s">
        <v>159</v>
      </c>
      <c r="B40" s="1474" t="s">
        <v>151</v>
      </c>
      <c r="C40" s="1474" t="s">
        <v>9</v>
      </c>
      <c r="D40" s="1475">
        <v>45353</v>
      </c>
      <c r="E40" s="1473" t="s">
        <v>160</v>
      </c>
    </row>
    <row r="41" spans="1:5" ht="18.75" hidden="1">
      <c r="A41" s="1459" t="s">
        <v>161</v>
      </c>
      <c r="B41" s="1474" t="s">
        <v>151</v>
      </c>
      <c r="C41" s="1474" t="s">
        <v>9</v>
      </c>
      <c r="D41" s="1475">
        <v>45353</v>
      </c>
      <c r="E41" s="1473" t="s">
        <v>160</v>
      </c>
    </row>
    <row r="42" spans="1:5" ht="18.75" hidden="1">
      <c r="A42" s="1459" t="s">
        <v>162</v>
      </c>
      <c r="B42" s="1474" t="s">
        <v>151</v>
      </c>
      <c r="C42" s="1474" t="s">
        <v>9</v>
      </c>
      <c r="D42" s="1475">
        <v>45078</v>
      </c>
      <c r="E42" s="1473" t="s">
        <v>163</v>
      </c>
    </row>
    <row r="43" spans="1:5" ht="18.75" hidden="1">
      <c r="A43" s="1459" t="s">
        <v>164</v>
      </c>
      <c r="B43" s="1474" t="s">
        <v>151</v>
      </c>
      <c r="C43" s="1474" t="s">
        <v>9</v>
      </c>
      <c r="D43" s="1475">
        <v>45182</v>
      </c>
      <c r="E43" s="1473" t="s">
        <v>163</v>
      </c>
    </row>
    <row r="44" spans="1:5" ht="18.75">
      <c r="A44" s="1459" t="s">
        <v>165</v>
      </c>
      <c r="B44" s="1474" t="s">
        <v>151</v>
      </c>
      <c r="C44" s="1474"/>
      <c r="D44" s="1475"/>
      <c r="E44" s="1473"/>
    </row>
    <row r="45" spans="1:5" ht="18.75" hidden="1">
      <c r="A45" s="1459" t="s">
        <v>166</v>
      </c>
      <c r="B45" s="1474" t="s">
        <v>151</v>
      </c>
      <c r="C45" s="1474" t="s">
        <v>9</v>
      </c>
      <c r="D45" s="1475">
        <v>45059</v>
      </c>
      <c r="E45" s="1473" t="s">
        <v>167</v>
      </c>
    </row>
    <row r="46" spans="1:5" ht="18.75" hidden="1">
      <c r="A46" s="1459" t="s">
        <v>168</v>
      </c>
      <c r="B46" s="1474" t="s">
        <v>151</v>
      </c>
      <c r="C46" s="1474" t="s">
        <v>9</v>
      </c>
      <c r="D46" s="1475">
        <v>45111</v>
      </c>
      <c r="E46" s="1473" t="s">
        <v>169</v>
      </c>
    </row>
    <row r="47" spans="1:5" ht="18.75" hidden="1">
      <c r="A47" s="1459" t="s">
        <v>170</v>
      </c>
      <c r="B47" s="1474" t="s">
        <v>151</v>
      </c>
      <c r="C47" s="1474" t="s">
        <v>9</v>
      </c>
      <c r="D47" s="1475">
        <v>45059</v>
      </c>
      <c r="E47" s="1473" t="s">
        <v>167</v>
      </c>
    </row>
    <row r="48" spans="1:5" ht="18.75" hidden="1">
      <c r="A48" s="1459" t="s">
        <v>171</v>
      </c>
      <c r="B48" s="1474" t="s">
        <v>151</v>
      </c>
      <c r="C48" s="1474" t="s">
        <v>9</v>
      </c>
      <c r="D48" s="1475">
        <v>45068</v>
      </c>
      <c r="E48" s="1473" t="s">
        <v>154</v>
      </c>
    </row>
    <row r="49" spans="1:5" ht="18.75" hidden="1">
      <c r="A49" s="1459" t="s">
        <v>172</v>
      </c>
      <c r="B49" s="1474" t="s">
        <v>151</v>
      </c>
      <c r="C49" s="1474" t="s">
        <v>9</v>
      </c>
      <c r="D49" s="1475">
        <v>45742</v>
      </c>
      <c r="E49" s="1473" t="s">
        <v>173</v>
      </c>
    </row>
    <row r="50" spans="1:5" ht="18.75" hidden="1">
      <c r="A50" s="1459" t="s">
        <v>174</v>
      </c>
      <c r="B50" s="1474" t="s">
        <v>151</v>
      </c>
      <c r="C50" s="1474" t="s">
        <v>9</v>
      </c>
      <c r="D50" s="1475">
        <v>45203</v>
      </c>
      <c r="E50" s="1473" t="s">
        <v>163</v>
      </c>
    </row>
    <row r="51" spans="1:5" ht="18.75" hidden="1">
      <c r="A51" s="1554" t="s">
        <v>175</v>
      </c>
      <c r="B51" s="1555" t="s">
        <v>151</v>
      </c>
      <c r="C51" s="1555" t="s">
        <v>9</v>
      </c>
      <c r="D51" s="1556">
        <v>45073</v>
      </c>
      <c r="E51" s="1557" t="s">
        <v>167</v>
      </c>
    </row>
    <row r="52" spans="1:5" ht="18.75" hidden="1">
      <c r="A52" s="1554" t="s">
        <v>176</v>
      </c>
      <c r="B52" s="1555" t="s">
        <v>151</v>
      </c>
      <c r="C52" s="1555" t="s">
        <v>9</v>
      </c>
      <c r="D52" s="1556">
        <v>45682</v>
      </c>
      <c r="E52" s="1557" t="s">
        <v>177</v>
      </c>
    </row>
    <row r="53" spans="1:5" ht="18.75" hidden="1">
      <c r="A53" s="1554" t="s">
        <v>178</v>
      </c>
      <c r="B53" s="1555" t="s">
        <v>151</v>
      </c>
      <c r="C53" s="1555" t="s">
        <v>9</v>
      </c>
      <c r="D53" s="1556">
        <v>45789</v>
      </c>
      <c r="E53" s="1557" t="s">
        <v>179</v>
      </c>
    </row>
    <row r="54" spans="1:5" ht="18.75">
      <c r="A54" s="1554" t="s">
        <v>180</v>
      </c>
      <c r="B54" s="1555" t="s">
        <v>151</v>
      </c>
      <c r="C54" s="1555"/>
      <c r="D54" s="1556"/>
      <c r="E54" s="1557"/>
    </row>
    <row r="55" spans="1:5" ht="18.75" hidden="1">
      <c r="A55" s="1554" t="s">
        <v>181</v>
      </c>
      <c r="B55" s="1555" t="s">
        <v>151</v>
      </c>
      <c r="C55" s="1555" t="s">
        <v>9</v>
      </c>
      <c r="D55" s="1556">
        <v>45549</v>
      </c>
      <c r="E55" s="1557" t="s">
        <v>102</v>
      </c>
    </row>
    <row r="56" spans="1:5" ht="18.75" hidden="1">
      <c r="A56" s="1554" t="s">
        <v>182</v>
      </c>
      <c r="B56" s="1555" t="s">
        <v>151</v>
      </c>
      <c r="C56" s="1555" t="s">
        <v>9</v>
      </c>
      <c r="D56" s="1475">
        <v>45549</v>
      </c>
      <c r="E56" s="1473" t="s">
        <v>102</v>
      </c>
    </row>
    <row r="57" spans="1:5" ht="18.75" hidden="1">
      <c r="A57" s="1554" t="s">
        <v>183</v>
      </c>
      <c r="B57" s="1555" t="s">
        <v>151</v>
      </c>
      <c r="C57" s="1555" t="s">
        <v>9</v>
      </c>
      <c r="D57" s="1556">
        <v>45852</v>
      </c>
      <c r="E57" s="1557" t="s">
        <v>184</v>
      </c>
    </row>
    <row r="58" spans="1:5" ht="18.75" hidden="1">
      <c r="A58" s="1554" t="s">
        <v>185</v>
      </c>
      <c r="B58" s="1555" t="s">
        <v>151</v>
      </c>
      <c r="C58" s="1555" t="s">
        <v>9</v>
      </c>
      <c r="D58" s="1556">
        <v>45885</v>
      </c>
      <c r="E58" s="1557" t="s">
        <v>186</v>
      </c>
    </row>
    <row r="59" spans="1:5" ht="18.75" hidden="1">
      <c r="A59" s="1554" t="s">
        <v>187</v>
      </c>
      <c r="B59" s="1555" t="s">
        <v>151</v>
      </c>
      <c r="C59" s="1555" t="s">
        <v>9</v>
      </c>
      <c r="D59" s="1556">
        <v>45116</v>
      </c>
      <c r="E59" s="1557" t="s">
        <v>188</v>
      </c>
    </row>
    <row r="60" spans="1:5" ht="18.75" hidden="1">
      <c r="A60" s="1554" t="s">
        <v>189</v>
      </c>
      <c r="B60" s="1555" t="s">
        <v>151</v>
      </c>
      <c r="C60" s="1555" t="s">
        <v>9</v>
      </c>
      <c r="D60" s="1556">
        <v>45619</v>
      </c>
      <c r="E60" s="1557" t="s">
        <v>190</v>
      </c>
    </row>
    <row r="61" spans="1:5" ht="18.75" hidden="1">
      <c r="A61" s="1554" t="s">
        <v>191</v>
      </c>
      <c r="B61" s="1555" t="s">
        <v>151</v>
      </c>
      <c r="C61" s="1555" t="s">
        <v>9</v>
      </c>
      <c r="D61" s="1556">
        <v>46004</v>
      </c>
      <c r="E61" s="1557" t="s">
        <v>156</v>
      </c>
    </row>
    <row r="62" spans="1:5" ht="18.75" hidden="1">
      <c r="A62" s="1554" t="s">
        <v>192</v>
      </c>
      <c r="B62" s="1555" t="s">
        <v>151</v>
      </c>
      <c r="C62" s="1555" t="s">
        <v>9</v>
      </c>
      <c r="D62" s="1475">
        <v>45059</v>
      </c>
      <c r="E62" s="1473" t="s">
        <v>167</v>
      </c>
    </row>
    <row r="63" spans="1:5" ht="18.75" hidden="1">
      <c r="A63" s="1554" t="s">
        <v>193</v>
      </c>
      <c r="B63" s="1555" t="s">
        <v>151</v>
      </c>
      <c r="C63" s="1555" t="s">
        <v>9</v>
      </c>
      <c r="D63" s="1556">
        <v>45059</v>
      </c>
      <c r="E63" s="1557" t="s">
        <v>167</v>
      </c>
    </row>
    <row r="64" spans="1:5" ht="18.75" hidden="1">
      <c r="A64" s="1554" t="s">
        <v>194</v>
      </c>
      <c r="B64" s="1555" t="s">
        <v>151</v>
      </c>
      <c r="C64" s="1724" t="s">
        <v>120</v>
      </c>
      <c r="D64" s="1475">
        <v>45372</v>
      </c>
      <c r="E64" s="1473" t="s">
        <v>195</v>
      </c>
    </row>
    <row r="65" spans="1:5" ht="18.75">
      <c r="A65" s="1554" t="s">
        <v>196</v>
      </c>
      <c r="B65" s="1555" t="s">
        <v>151</v>
      </c>
      <c r="C65" s="1555"/>
      <c r="D65" s="1556"/>
      <c r="E65" s="1557"/>
    </row>
    <row r="66" spans="1:5" ht="18.75">
      <c r="A66" s="1554" t="s">
        <v>197</v>
      </c>
      <c r="B66" s="1555" t="s">
        <v>151</v>
      </c>
      <c r="C66" s="1555"/>
      <c r="D66" s="1556"/>
      <c r="E66" s="1557"/>
    </row>
    <row r="67" spans="1:5" ht="18.75">
      <c r="A67" s="1554" t="s">
        <v>198</v>
      </c>
      <c r="B67" s="1555" t="s">
        <v>151</v>
      </c>
      <c r="C67" s="1555"/>
      <c r="D67" s="1556"/>
      <c r="E67" s="1557"/>
    </row>
    <row r="68" spans="1:5" ht="18.75">
      <c r="A68" s="1554" t="s">
        <v>199</v>
      </c>
      <c r="B68" s="1555" t="s">
        <v>200</v>
      </c>
      <c r="C68" s="1555"/>
      <c r="D68" s="1556"/>
      <c r="E68" s="1557"/>
    </row>
    <row r="69" spans="1:5" ht="18.75" hidden="1">
      <c r="A69" s="1554" t="s">
        <v>201</v>
      </c>
      <c r="B69" s="1555" t="s">
        <v>151</v>
      </c>
      <c r="C69" s="1555" t="s">
        <v>9</v>
      </c>
      <c r="D69" s="1556">
        <v>45549</v>
      </c>
      <c r="E69" s="1557" t="s">
        <v>102</v>
      </c>
    </row>
    <row r="70" spans="1:5" ht="18.75" hidden="1">
      <c r="A70" s="1554" t="s">
        <v>202</v>
      </c>
      <c r="B70" s="1555" t="s">
        <v>151</v>
      </c>
      <c r="C70" s="1555" t="s">
        <v>9</v>
      </c>
      <c r="D70" s="1556">
        <v>45475</v>
      </c>
      <c r="E70" s="1557" t="s">
        <v>154</v>
      </c>
    </row>
    <row r="71" spans="1:5" ht="18.75" hidden="1">
      <c r="A71" s="1554" t="s">
        <v>203</v>
      </c>
      <c r="B71" s="1555" t="s">
        <v>151</v>
      </c>
      <c r="C71" s="1555" t="s">
        <v>9</v>
      </c>
      <c r="D71" s="1556">
        <v>46004</v>
      </c>
      <c r="E71" s="1557" t="s">
        <v>156</v>
      </c>
    </row>
    <row r="72" spans="1:5" ht="18.75">
      <c r="A72" s="1554" t="s">
        <v>204</v>
      </c>
      <c r="B72" s="1555" t="s">
        <v>151</v>
      </c>
      <c r="C72" s="1555"/>
      <c r="D72" s="1556"/>
      <c r="E72" s="1557"/>
    </row>
    <row r="73" spans="1:5" ht="18.75" hidden="1">
      <c r="A73" s="1554" t="s">
        <v>205</v>
      </c>
      <c r="B73" s="1555" t="s">
        <v>151</v>
      </c>
      <c r="C73" s="1555" t="s">
        <v>9</v>
      </c>
      <c r="D73" s="1556">
        <v>45068</v>
      </c>
      <c r="E73" s="1557" t="s">
        <v>154</v>
      </c>
    </row>
    <row r="74" spans="1:5" ht="18.75" hidden="1">
      <c r="A74" s="1554" t="s">
        <v>206</v>
      </c>
      <c r="B74" s="1555" t="s">
        <v>151</v>
      </c>
      <c r="C74" s="1555" t="s">
        <v>120</v>
      </c>
      <c r="D74" s="1556">
        <v>45796</v>
      </c>
      <c r="E74" s="1557" t="s">
        <v>207</v>
      </c>
    </row>
    <row r="75" spans="1:5" ht="18.75" hidden="1">
      <c r="A75" s="1554" t="s">
        <v>208</v>
      </c>
      <c r="B75" s="1555" t="s">
        <v>151</v>
      </c>
      <c r="C75" s="1555" t="s">
        <v>9</v>
      </c>
      <c r="D75" s="1556">
        <v>45682</v>
      </c>
      <c r="E75" s="1557" t="s">
        <v>209</v>
      </c>
    </row>
    <row r="76" spans="1:5" ht="18.75" hidden="1">
      <c r="A76" s="1554" t="s">
        <v>210</v>
      </c>
      <c r="B76" s="1555" t="s">
        <v>151</v>
      </c>
      <c r="C76" s="1555" t="s">
        <v>9</v>
      </c>
      <c r="D76" s="1556">
        <v>45682</v>
      </c>
      <c r="E76" s="1557" t="s">
        <v>209</v>
      </c>
    </row>
    <row r="77" spans="1:5" ht="18.75" hidden="1">
      <c r="A77" s="1554" t="s">
        <v>211</v>
      </c>
      <c r="B77" s="1555" t="s">
        <v>151</v>
      </c>
      <c r="C77" s="1555" t="s">
        <v>9</v>
      </c>
      <c r="D77" s="1556">
        <v>45100</v>
      </c>
      <c r="E77" s="1557" t="s">
        <v>212</v>
      </c>
    </row>
    <row r="78" spans="1:5" ht="18.75" hidden="1">
      <c r="A78" s="1554" t="s">
        <v>213</v>
      </c>
      <c r="B78" s="1555" t="s">
        <v>151</v>
      </c>
      <c r="C78" s="1555" t="s">
        <v>120</v>
      </c>
      <c r="D78" s="1556">
        <v>45796</v>
      </c>
      <c r="E78" s="1557" t="s">
        <v>207</v>
      </c>
    </row>
    <row r="79" spans="1:5" ht="18.75">
      <c r="A79" s="1554" t="s">
        <v>214</v>
      </c>
      <c r="B79" s="1555" t="s">
        <v>151</v>
      </c>
      <c r="C79" s="1555"/>
      <c r="D79" s="1556"/>
      <c r="E79" s="1557"/>
    </row>
    <row r="80" spans="1:5" ht="18.75" hidden="1">
      <c r="A80" s="1554" t="s">
        <v>215</v>
      </c>
      <c r="B80" s="1555" t="s">
        <v>151</v>
      </c>
      <c r="C80" s="1555" t="s">
        <v>9</v>
      </c>
      <c r="D80" s="1556">
        <v>45745</v>
      </c>
      <c r="E80" s="1557" t="s">
        <v>216</v>
      </c>
    </row>
    <row r="81" spans="1:5" ht="18.75" hidden="1">
      <c r="A81" s="1554" t="s">
        <v>217</v>
      </c>
      <c r="B81" s="1555" t="s">
        <v>151</v>
      </c>
      <c r="C81" s="1555" t="s">
        <v>9</v>
      </c>
      <c r="D81" s="1556">
        <v>45549</v>
      </c>
      <c r="E81" s="1557" t="s">
        <v>102</v>
      </c>
    </row>
    <row r="82" spans="1:5" ht="18.75" hidden="1">
      <c r="A82" s="1554" t="s">
        <v>218</v>
      </c>
      <c r="B82" s="1555" t="s">
        <v>151</v>
      </c>
      <c r="C82" s="1555" t="s">
        <v>9</v>
      </c>
      <c r="D82" s="1556">
        <v>45549</v>
      </c>
      <c r="E82" s="1557" t="s">
        <v>102</v>
      </c>
    </row>
    <row r="83" spans="1:5" ht="18.75" hidden="1">
      <c r="A83" s="1554" t="s">
        <v>219</v>
      </c>
      <c r="B83" s="1555" t="s">
        <v>151</v>
      </c>
      <c r="C83" s="1555" t="s">
        <v>9</v>
      </c>
      <c r="D83" s="1556">
        <v>45073</v>
      </c>
      <c r="E83" s="1557" t="s">
        <v>220</v>
      </c>
    </row>
    <row r="84" spans="1:5" ht="18.75" hidden="1">
      <c r="A84" s="1554" t="s">
        <v>221</v>
      </c>
      <c r="B84" s="1555" t="s">
        <v>151</v>
      </c>
      <c r="C84" s="1555" t="s">
        <v>9</v>
      </c>
      <c r="D84" s="1556">
        <v>45711</v>
      </c>
      <c r="E84" s="1557" t="s">
        <v>222</v>
      </c>
    </row>
    <row r="85" spans="1:5" ht="18.75" hidden="1">
      <c r="A85" s="1554" t="s">
        <v>223</v>
      </c>
      <c r="B85" s="1555" t="s">
        <v>151</v>
      </c>
      <c r="C85" s="1555" t="s">
        <v>9</v>
      </c>
      <c r="D85" s="1556">
        <v>46004</v>
      </c>
      <c r="E85" s="1557" t="s">
        <v>156</v>
      </c>
    </row>
    <row r="86" spans="1:5" ht="18.75">
      <c r="A86" s="1554" t="s">
        <v>224</v>
      </c>
      <c r="B86" s="1555" t="s">
        <v>151</v>
      </c>
      <c r="C86" s="1555"/>
      <c r="D86" s="1556"/>
      <c r="E86" s="1557"/>
    </row>
    <row r="87" spans="1:5" ht="18.75" hidden="1">
      <c r="A87" s="1554" t="s">
        <v>225</v>
      </c>
      <c r="B87" s="1555" t="s">
        <v>151</v>
      </c>
      <c r="C87" s="1555" t="s">
        <v>9</v>
      </c>
      <c r="D87" s="1556">
        <v>45059</v>
      </c>
      <c r="E87" s="1557" t="s">
        <v>167</v>
      </c>
    </row>
    <row r="88" spans="1:5" ht="18.75" hidden="1">
      <c r="A88" s="1554" t="s">
        <v>226</v>
      </c>
      <c r="B88" s="1555" t="s">
        <v>151</v>
      </c>
      <c r="C88" s="1555" t="s">
        <v>9</v>
      </c>
      <c r="D88" s="1556">
        <v>45682</v>
      </c>
      <c r="E88" s="1557" t="s">
        <v>209</v>
      </c>
    </row>
    <row r="89" spans="1:5" ht="18.75" hidden="1">
      <c r="A89" s="1554" t="s">
        <v>227</v>
      </c>
      <c r="B89" s="1555" t="s">
        <v>151</v>
      </c>
      <c r="C89" s="1555" t="s">
        <v>9</v>
      </c>
      <c r="D89" s="1556">
        <v>45734</v>
      </c>
      <c r="E89" s="1557" t="s">
        <v>228</v>
      </c>
    </row>
    <row r="90" spans="1:5" ht="18.75" hidden="1">
      <c r="A90" s="1554" t="s">
        <v>229</v>
      </c>
      <c r="B90" s="1555" t="s">
        <v>151</v>
      </c>
      <c r="C90" s="1555" t="s">
        <v>9</v>
      </c>
      <c r="D90" s="1556">
        <v>45682</v>
      </c>
      <c r="E90" s="1557" t="s">
        <v>209</v>
      </c>
    </row>
    <row r="91" spans="1:5" ht="18.75" hidden="1">
      <c r="A91" s="1554" t="s">
        <v>230</v>
      </c>
      <c r="B91" s="1555" t="s">
        <v>151</v>
      </c>
      <c r="C91" s="1555" t="s">
        <v>9</v>
      </c>
      <c r="D91" s="1556">
        <v>45682</v>
      </c>
      <c r="E91" s="1557" t="s">
        <v>231</v>
      </c>
    </row>
    <row r="92" spans="1:5" ht="18.75" hidden="1">
      <c r="A92" s="1554" t="s">
        <v>232</v>
      </c>
      <c r="B92" s="1555" t="s">
        <v>151</v>
      </c>
      <c r="C92" s="1555" t="s">
        <v>9</v>
      </c>
      <c r="D92" s="1556">
        <v>45570</v>
      </c>
      <c r="E92" s="1557" t="s">
        <v>138</v>
      </c>
    </row>
    <row r="93" spans="1:5" ht="18.75" hidden="1">
      <c r="A93" s="1554" t="s">
        <v>233</v>
      </c>
      <c r="B93" s="1555" t="s">
        <v>151</v>
      </c>
      <c r="C93" s="1724" t="s">
        <v>9</v>
      </c>
      <c r="D93" s="1556">
        <v>45710</v>
      </c>
      <c r="E93" s="1557" t="s">
        <v>234</v>
      </c>
    </row>
    <row r="94" spans="1:5" ht="18.75" hidden="1">
      <c r="A94" s="1554" t="s">
        <v>235</v>
      </c>
      <c r="B94" s="1555" t="s">
        <v>151</v>
      </c>
      <c r="C94" s="1555" t="s">
        <v>9</v>
      </c>
      <c r="D94" s="1556">
        <v>45100</v>
      </c>
      <c r="E94" s="1557" t="s">
        <v>212</v>
      </c>
    </row>
    <row r="95" spans="1:5" ht="18.75" hidden="1">
      <c r="A95" s="1554" t="s">
        <v>236</v>
      </c>
      <c r="B95" s="1555" t="s">
        <v>151</v>
      </c>
      <c r="C95" s="1555" t="s">
        <v>9</v>
      </c>
      <c r="D95" s="1556">
        <v>45927</v>
      </c>
      <c r="E95" s="1557" t="s">
        <v>109</v>
      </c>
    </row>
    <row r="96" spans="1:5" ht="18.75" hidden="1">
      <c r="A96" s="1554" t="s">
        <v>237</v>
      </c>
      <c r="B96" s="1555" t="s">
        <v>151</v>
      </c>
      <c r="C96" s="1555" t="s">
        <v>9</v>
      </c>
      <c r="D96" s="1556">
        <v>45872</v>
      </c>
      <c r="E96" s="1557" t="s">
        <v>238</v>
      </c>
    </row>
    <row r="97" spans="1:5" ht="18.75" hidden="1">
      <c r="A97" s="1554" t="s">
        <v>239</v>
      </c>
      <c r="B97" s="1555" t="s">
        <v>151</v>
      </c>
      <c r="C97" s="1555" t="s">
        <v>9</v>
      </c>
      <c r="D97" s="1556">
        <v>45059</v>
      </c>
      <c r="E97" s="1557" t="s">
        <v>167</v>
      </c>
    </row>
    <row r="98" spans="1:5" ht="18.75" hidden="1">
      <c r="A98" s="1554" t="s">
        <v>240</v>
      </c>
      <c r="B98" s="1555" t="s">
        <v>151</v>
      </c>
      <c r="C98" s="1555" t="s">
        <v>120</v>
      </c>
      <c r="D98" s="1556">
        <v>45633</v>
      </c>
      <c r="E98" s="1557" t="s">
        <v>121</v>
      </c>
    </row>
    <row r="99" spans="1:5" ht="18.75" hidden="1">
      <c r="A99" s="1554" t="s">
        <v>241</v>
      </c>
      <c r="B99" s="1555" t="s">
        <v>151</v>
      </c>
      <c r="C99" s="1555" t="s">
        <v>120</v>
      </c>
      <c r="D99" s="1556">
        <v>45633</v>
      </c>
      <c r="E99" s="1557" t="s">
        <v>121</v>
      </c>
    </row>
    <row r="100" spans="1:5" ht="18.75" hidden="1">
      <c r="A100" s="1554" t="s">
        <v>242</v>
      </c>
      <c r="B100" s="1555" t="s">
        <v>151</v>
      </c>
      <c r="C100" s="1555" t="s">
        <v>9</v>
      </c>
      <c r="D100" s="1556">
        <v>45619</v>
      </c>
      <c r="E100" s="1557" t="s">
        <v>190</v>
      </c>
    </row>
    <row r="101" spans="1:5" ht="18.75" hidden="1">
      <c r="A101" s="1554" t="s">
        <v>243</v>
      </c>
      <c r="B101" s="1555" t="s">
        <v>151</v>
      </c>
      <c r="C101" s="1555" t="s">
        <v>9</v>
      </c>
      <c r="D101" s="1556">
        <v>45381</v>
      </c>
      <c r="E101" s="1557" t="s">
        <v>138</v>
      </c>
    </row>
    <row r="102" spans="1:5" ht="18.75">
      <c r="A102" s="1554" t="s">
        <v>244</v>
      </c>
      <c r="B102" s="1555" t="s">
        <v>151</v>
      </c>
      <c r="C102" s="1555"/>
      <c r="D102" s="1556"/>
      <c r="E102" s="1557"/>
    </row>
    <row r="103" spans="1:5" ht="18.75">
      <c r="A103" s="1554" t="s">
        <v>245</v>
      </c>
      <c r="B103" s="1555" t="s">
        <v>151</v>
      </c>
      <c r="C103" s="1555"/>
      <c r="D103" s="1556"/>
      <c r="E103" s="1557"/>
    </row>
    <row r="104" spans="1:5" ht="18.75" hidden="1">
      <c r="A104" s="1554" t="s">
        <v>246</v>
      </c>
      <c r="B104" s="1555" t="s">
        <v>151</v>
      </c>
      <c r="C104" s="1555" t="s">
        <v>9</v>
      </c>
      <c r="D104" s="1556">
        <v>45745</v>
      </c>
      <c r="E104" s="1557" t="s">
        <v>247</v>
      </c>
    </row>
    <row r="105" spans="1:5" ht="18.75">
      <c r="A105" s="1554" t="s">
        <v>248</v>
      </c>
      <c r="B105" s="1555" t="s">
        <v>151</v>
      </c>
      <c r="C105" s="1555"/>
      <c r="D105" s="1556"/>
      <c r="E105" s="1557"/>
    </row>
    <row r="106" spans="1:5" ht="18.75" hidden="1">
      <c r="A106" s="1554" t="s">
        <v>249</v>
      </c>
      <c r="B106" s="1555" t="s">
        <v>151</v>
      </c>
      <c r="C106" s="1555" t="s">
        <v>9</v>
      </c>
      <c r="D106" s="1556">
        <v>45140</v>
      </c>
      <c r="E106" s="1557" t="s">
        <v>188</v>
      </c>
    </row>
    <row r="107" spans="1:5" ht="18.75">
      <c r="A107" s="1554" t="s">
        <v>250</v>
      </c>
      <c r="B107" s="1555" t="s">
        <v>151</v>
      </c>
      <c r="C107" s="1555"/>
      <c r="D107" s="1556"/>
      <c r="E107" s="1557"/>
    </row>
    <row r="108" spans="1:5" ht="18.75" hidden="1">
      <c r="A108" s="1554" t="s">
        <v>251</v>
      </c>
      <c r="B108" s="1555" t="s">
        <v>151</v>
      </c>
      <c r="C108" s="1555" t="s">
        <v>9</v>
      </c>
      <c r="D108" s="1556">
        <v>45480</v>
      </c>
      <c r="E108" s="1557" t="s">
        <v>143</v>
      </c>
    </row>
    <row r="109" spans="1:5" ht="18.75" hidden="1">
      <c r="A109" s="1554" t="s">
        <v>252</v>
      </c>
      <c r="B109" s="1555" t="s">
        <v>151</v>
      </c>
      <c r="C109" s="1555" t="s">
        <v>9</v>
      </c>
      <c r="D109" s="1556">
        <v>45111</v>
      </c>
      <c r="E109" s="1557" t="s">
        <v>169</v>
      </c>
    </row>
    <row r="110" spans="1:5" ht="18.75" hidden="1">
      <c r="A110" s="1554" t="s">
        <v>253</v>
      </c>
      <c r="B110" s="1555" t="s">
        <v>151</v>
      </c>
      <c r="C110" s="1555" t="s">
        <v>9</v>
      </c>
      <c r="D110" s="1556">
        <v>45140</v>
      </c>
      <c r="E110" s="1557" t="s">
        <v>188</v>
      </c>
    </row>
    <row r="111" spans="1:5" ht="18.75" hidden="1">
      <c r="A111" s="1554" t="s">
        <v>254</v>
      </c>
      <c r="B111" s="1555" t="s">
        <v>151</v>
      </c>
      <c r="C111" s="1555" t="s">
        <v>9</v>
      </c>
      <c r="D111" s="1556">
        <v>45280</v>
      </c>
      <c r="E111" s="1557" t="s">
        <v>255</v>
      </c>
    </row>
    <row r="112" spans="1:5" ht="18.75" hidden="1">
      <c r="A112" s="1554" t="s">
        <v>256</v>
      </c>
      <c r="B112" s="1474" t="s">
        <v>151</v>
      </c>
      <c r="C112" s="1555" t="s">
        <v>9</v>
      </c>
      <c r="D112" s="1556">
        <v>45059</v>
      </c>
      <c r="E112" s="1473" t="s">
        <v>167</v>
      </c>
    </row>
    <row r="113" spans="1:5" ht="18.75" hidden="1">
      <c r="A113" s="1554" t="s">
        <v>257</v>
      </c>
      <c r="B113" s="1555" t="s">
        <v>151</v>
      </c>
      <c r="C113" s="1555" t="s">
        <v>120</v>
      </c>
      <c r="D113" s="1556">
        <v>45475</v>
      </c>
      <c r="E113" s="1557" t="s">
        <v>154</v>
      </c>
    </row>
    <row r="114" spans="1:5" ht="18.75" hidden="1">
      <c r="A114" s="1554" t="s">
        <v>258</v>
      </c>
      <c r="B114" s="1555" t="s">
        <v>151</v>
      </c>
      <c r="C114" s="1555" t="s">
        <v>120</v>
      </c>
      <c r="D114" s="1556">
        <v>45203</v>
      </c>
      <c r="E114" s="1557" t="s">
        <v>163</v>
      </c>
    </row>
    <row r="115" spans="1:5" ht="18.75" hidden="1">
      <c r="A115" s="1554" t="s">
        <v>259</v>
      </c>
      <c r="B115" s="1555" t="s">
        <v>151</v>
      </c>
      <c r="C115" s="1555" t="s">
        <v>9</v>
      </c>
      <c r="D115" s="1556">
        <v>45742</v>
      </c>
      <c r="E115" s="1557" t="s">
        <v>260</v>
      </c>
    </row>
    <row r="116" spans="1:5" ht="18.75" hidden="1">
      <c r="A116" s="1554" t="s">
        <v>261</v>
      </c>
      <c r="B116" s="1555" t="s">
        <v>151</v>
      </c>
      <c r="C116" s="1555" t="s">
        <v>9</v>
      </c>
      <c r="D116" s="1556">
        <v>45742</v>
      </c>
      <c r="E116" s="1557" t="s">
        <v>260</v>
      </c>
    </row>
    <row r="117" spans="1:5" ht="18.75" hidden="1">
      <c r="A117" s="1554" t="s">
        <v>262</v>
      </c>
      <c r="B117" s="1555" t="s">
        <v>151</v>
      </c>
      <c r="C117" s="1555" t="s">
        <v>9</v>
      </c>
      <c r="D117" s="1556">
        <v>45073</v>
      </c>
      <c r="E117" s="1557" t="s">
        <v>167</v>
      </c>
    </row>
    <row r="118" spans="1:5" ht="18.75">
      <c r="A118" s="1554" t="s">
        <v>263</v>
      </c>
      <c r="B118" s="1555" t="s">
        <v>151</v>
      </c>
      <c r="C118" s="1555"/>
      <c r="D118" s="1556"/>
      <c r="E118" s="1557"/>
    </row>
    <row r="119" spans="1:5" ht="18.75" hidden="1">
      <c r="A119" s="1554" t="s">
        <v>264</v>
      </c>
      <c r="B119" s="1555" t="s">
        <v>151</v>
      </c>
      <c r="C119" s="1555" t="s">
        <v>9</v>
      </c>
      <c r="D119" s="1556">
        <v>45241</v>
      </c>
      <c r="E119" s="1557" t="s">
        <v>220</v>
      </c>
    </row>
    <row r="120" spans="1:5" ht="18.75" hidden="1">
      <c r="A120" s="1554" t="s">
        <v>265</v>
      </c>
      <c r="B120" s="1555" t="s">
        <v>151</v>
      </c>
      <c r="C120" s="1555" t="s">
        <v>9</v>
      </c>
      <c r="D120" s="1556">
        <v>46109</v>
      </c>
      <c r="E120" s="1473" t="s">
        <v>266</v>
      </c>
    </row>
    <row r="121" spans="1:5" ht="18.75" hidden="1">
      <c r="A121" s="1554" t="s">
        <v>267</v>
      </c>
      <c r="B121" s="1555" t="s">
        <v>151</v>
      </c>
      <c r="C121" s="1555" t="s">
        <v>9</v>
      </c>
      <c r="D121" s="1556">
        <v>45549</v>
      </c>
      <c r="E121" s="1557" t="s">
        <v>102</v>
      </c>
    </row>
    <row r="122" spans="1:5" ht="18.75" hidden="1">
      <c r="A122" s="1554" t="s">
        <v>268</v>
      </c>
      <c r="B122" s="1555" t="s">
        <v>151</v>
      </c>
      <c r="C122" s="1555" t="s">
        <v>9</v>
      </c>
      <c r="D122" s="1556">
        <v>45682</v>
      </c>
      <c r="E122" s="1557" t="s">
        <v>234</v>
      </c>
    </row>
    <row r="123" spans="1:5" ht="18.75" hidden="1">
      <c r="A123" s="1554" t="s">
        <v>269</v>
      </c>
      <c r="B123" s="1555" t="s">
        <v>151</v>
      </c>
      <c r="C123" s="1555" t="s">
        <v>9</v>
      </c>
      <c r="D123" s="1556">
        <v>45108</v>
      </c>
      <c r="E123" s="1557" t="s">
        <v>163</v>
      </c>
    </row>
    <row r="124" spans="1:5" ht="18.75" hidden="1">
      <c r="A124" s="1554" t="s">
        <v>270</v>
      </c>
      <c r="B124" s="1555" t="s">
        <v>151</v>
      </c>
      <c r="C124" s="1555" t="s">
        <v>9</v>
      </c>
      <c r="D124" s="1556">
        <v>45711</v>
      </c>
      <c r="E124" s="1557" t="s">
        <v>222</v>
      </c>
    </row>
    <row r="125" spans="1:5" ht="18.75" hidden="1">
      <c r="A125" s="1554" t="s">
        <v>271</v>
      </c>
      <c r="B125" s="1555" t="s">
        <v>151</v>
      </c>
      <c r="C125" s="1555" t="s">
        <v>9</v>
      </c>
      <c r="D125" s="1556">
        <v>45358</v>
      </c>
      <c r="E125" s="1557" t="s">
        <v>220</v>
      </c>
    </row>
    <row r="126" spans="1:5" ht="18.75" hidden="1">
      <c r="A126" s="1554" t="s">
        <v>272</v>
      </c>
      <c r="B126" s="1555" t="s">
        <v>151</v>
      </c>
      <c r="C126" s="1555" t="s">
        <v>9</v>
      </c>
      <c r="D126" s="1556">
        <v>45694</v>
      </c>
      <c r="E126" s="1557" t="s">
        <v>273</v>
      </c>
    </row>
    <row r="127" spans="1:5" ht="18.75" hidden="1">
      <c r="A127" s="1554" t="s">
        <v>274</v>
      </c>
      <c r="B127" s="1555" t="s">
        <v>151</v>
      </c>
      <c r="C127" s="1555" t="s">
        <v>9</v>
      </c>
      <c r="D127" s="1556">
        <v>45166</v>
      </c>
      <c r="E127" s="1557" t="s">
        <v>152</v>
      </c>
    </row>
    <row r="128" spans="1:5" ht="18.75" hidden="1">
      <c r="A128" s="1554" t="s">
        <v>275</v>
      </c>
      <c r="B128" s="1555" t="s">
        <v>151</v>
      </c>
      <c r="C128" s="1555" t="s">
        <v>9</v>
      </c>
      <c r="D128" s="1556">
        <v>45111</v>
      </c>
      <c r="E128" s="1557" t="s">
        <v>169</v>
      </c>
    </row>
    <row r="129" spans="1:5" ht="18.75" hidden="1">
      <c r="A129" s="1554" t="s">
        <v>276</v>
      </c>
      <c r="B129" s="1555" t="s">
        <v>151</v>
      </c>
      <c r="C129" s="1555" t="s">
        <v>9</v>
      </c>
      <c r="D129" s="1556">
        <v>45358</v>
      </c>
      <c r="E129" s="1557" t="s">
        <v>220</v>
      </c>
    </row>
    <row r="130" spans="1:5" ht="18.75" hidden="1">
      <c r="A130" s="1554" t="s">
        <v>277</v>
      </c>
      <c r="B130" s="1555" t="s">
        <v>151</v>
      </c>
      <c r="C130" s="1555" t="s">
        <v>9</v>
      </c>
      <c r="D130" s="1556">
        <v>45068</v>
      </c>
      <c r="E130" s="1557" t="s">
        <v>154</v>
      </c>
    </row>
    <row r="131" spans="1:5" ht="18.75" hidden="1">
      <c r="A131" s="1554" t="s">
        <v>278</v>
      </c>
      <c r="B131" s="1555" t="s">
        <v>151</v>
      </c>
      <c r="C131" s="1555" t="s">
        <v>9</v>
      </c>
      <c r="D131" s="1556">
        <v>45068</v>
      </c>
      <c r="E131" s="1557" t="s">
        <v>154</v>
      </c>
    </row>
    <row r="132" spans="1:5" ht="18.75" hidden="1">
      <c r="A132" s="1554" t="s">
        <v>279</v>
      </c>
      <c r="B132" s="1555" t="s">
        <v>151</v>
      </c>
      <c r="C132" s="1555" t="s">
        <v>9</v>
      </c>
      <c r="D132" s="1556">
        <v>45106</v>
      </c>
      <c r="E132" s="1557" t="s">
        <v>163</v>
      </c>
    </row>
    <row r="133" spans="1:5" ht="18.75" hidden="1">
      <c r="A133" s="1554" t="s">
        <v>280</v>
      </c>
      <c r="B133" s="1555" t="s">
        <v>151</v>
      </c>
      <c r="C133" s="1555" t="s">
        <v>9</v>
      </c>
      <c r="D133" s="1556">
        <v>45598</v>
      </c>
      <c r="E133" s="1557" t="s">
        <v>281</v>
      </c>
    </row>
    <row r="134" spans="1:5" ht="18.75" hidden="1">
      <c r="A134" s="1554" t="s">
        <v>282</v>
      </c>
      <c r="B134" s="1555" t="s">
        <v>151</v>
      </c>
      <c r="C134" s="1555" t="s">
        <v>9</v>
      </c>
      <c r="D134" s="1556">
        <v>45734</v>
      </c>
      <c r="E134" s="1557" t="s">
        <v>228</v>
      </c>
    </row>
    <row r="135" spans="1:5" ht="18.75" hidden="1">
      <c r="A135" s="1554" t="s">
        <v>283</v>
      </c>
      <c r="B135" s="1555" t="s">
        <v>151</v>
      </c>
      <c r="C135" s="1555" t="s">
        <v>9</v>
      </c>
      <c r="D135" s="1556">
        <v>45940</v>
      </c>
      <c r="E135" s="1557" t="s">
        <v>284</v>
      </c>
    </row>
    <row r="136" spans="1:5" ht="18.75" hidden="1">
      <c r="A136" s="1554" t="s">
        <v>285</v>
      </c>
      <c r="B136" s="1555" t="s">
        <v>151</v>
      </c>
      <c r="C136" s="1555" t="s">
        <v>9</v>
      </c>
      <c r="D136" s="1556">
        <v>45127</v>
      </c>
      <c r="E136" s="1557" t="s">
        <v>179</v>
      </c>
    </row>
    <row r="137" spans="1:5" ht="18.75" hidden="1">
      <c r="A137" s="1554" t="s">
        <v>286</v>
      </c>
      <c r="B137" s="1555" t="s">
        <v>151</v>
      </c>
      <c r="C137" s="1555" t="s">
        <v>9</v>
      </c>
      <c r="D137" s="1556">
        <v>45075</v>
      </c>
      <c r="E137" s="1557" t="s">
        <v>287</v>
      </c>
    </row>
    <row r="138" spans="1:5" ht="18.75">
      <c r="A138" s="1554" t="s">
        <v>288</v>
      </c>
      <c r="B138" s="1555" t="s">
        <v>289</v>
      </c>
      <c r="C138" s="1555"/>
      <c r="D138" s="1556"/>
      <c r="E138" s="1557"/>
    </row>
    <row r="139" spans="1:5" ht="18.75" hidden="1">
      <c r="A139" s="1554" t="s">
        <v>161</v>
      </c>
      <c r="B139" s="1555" t="s">
        <v>289</v>
      </c>
      <c r="C139" s="1555" t="s">
        <v>120</v>
      </c>
      <c r="D139" s="1556">
        <v>45475</v>
      </c>
      <c r="E139" s="1557" t="s">
        <v>290</v>
      </c>
    </row>
    <row r="140" spans="1:5" ht="18.75" hidden="1">
      <c r="A140" s="1554" t="s">
        <v>291</v>
      </c>
      <c r="B140" s="1555" t="s">
        <v>289</v>
      </c>
      <c r="C140" s="1555" t="s">
        <v>9</v>
      </c>
      <c r="D140" s="1556">
        <v>45745</v>
      </c>
      <c r="E140" s="1557" t="s">
        <v>216</v>
      </c>
    </row>
    <row r="141" spans="1:5" ht="18.75" hidden="1">
      <c r="A141" s="1554" t="s">
        <v>292</v>
      </c>
      <c r="B141" s="1555" t="s">
        <v>289</v>
      </c>
      <c r="C141" s="1555" t="s">
        <v>120</v>
      </c>
      <c r="D141" s="1556">
        <v>45915</v>
      </c>
      <c r="E141" s="1557" t="s">
        <v>140</v>
      </c>
    </row>
    <row r="142" spans="1:5" ht="18.75" hidden="1">
      <c r="A142" s="1554" t="s">
        <v>293</v>
      </c>
      <c r="B142" s="1555" t="s">
        <v>289</v>
      </c>
      <c r="C142" s="1555" t="s">
        <v>120</v>
      </c>
      <c r="D142" s="1556">
        <v>45458</v>
      </c>
      <c r="E142" s="1557" t="s">
        <v>294</v>
      </c>
    </row>
    <row r="143" spans="1:5" ht="18.75" hidden="1">
      <c r="A143" s="1554" t="s">
        <v>295</v>
      </c>
      <c r="B143" s="1555" t="s">
        <v>289</v>
      </c>
      <c r="C143" s="1555" t="s">
        <v>9</v>
      </c>
      <c r="D143" s="1556">
        <v>45486</v>
      </c>
      <c r="E143" s="1557" t="s">
        <v>126</v>
      </c>
    </row>
    <row r="144" spans="1:5" ht="18.75" hidden="1">
      <c r="A144" s="1554" t="s">
        <v>296</v>
      </c>
      <c r="B144" s="1555" t="s">
        <v>289</v>
      </c>
      <c r="C144" s="1555" t="s">
        <v>9</v>
      </c>
      <c r="D144" s="1556">
        <v>45480</v>
      </c>
      <c r="E144" s="1557" t="s">
        <v>143</v>
      </c>
    </row>
    <row r="145" spans="1:5" ht="18.75" hidden="1">
      <c r="A145" s="1554" t="s">
        <v>297</v>
      </c>
      <c r="B145" s="1555" t="s">
        <v>289</v>
      </c>
      <c r="C145" s="1555" t="s">
        <v>9</v>
      </c>
      <c r="D145" s="1556">
        <v>45682</v>
      </c>
      <c r="E145" s="1557" t="s">
        <v>177</v>
      </c>
    </row>
    <row r="146" spans="1:5" ht="18.75" hidden="1">
      <c r="A146" s="1554" t="s">
        <v>298</v>
      </c>
      <c r="B146" s="1555" t="s">
        <v>289</v>
      </c>
      <c r="C146" s="1724" t="s">
        <v>120</v>
      </c>
      <c r="D146" s="1556">
        <v>45913</v>
      </c>
      <c r="E146" s="1557" t="s">
        <v>299</v>
      </c>
    </row>
    <row r="147" spans="1:5" ht="18.75" hidden="1">
      <c r="A147" s="1554" t="s">
        <v>300</v>
      </c>
      <c r="B147" s="1555" t="s">
        <v>289</v>
      </c>
      <c r="C147" s="1555" t="s">
        <v>9</v>
      </c>
      <c r="D147" s="1556">
        <v>45589</v>
      </c>
      <c r="E147" s="1557" t="s">
        <v>301</v>
      </c>
    </row>
    <row r="148" spans="1:5" ht="18.75" hidden="1">
      <c r="A148" s="1554" t="s">
        <v>302</v>
      </c>
      <c r="B148" s="1555" t="s">
        <v>289</v>
      </c>
      <c r="C148" s="1555" t="s">
        <v>9</v>
      </c>
      <c r="D148" s="1556">
        <v>45480</v>
      </c>
      <c r="E148" s="1557" t="s">
        <v>143</v>
      </c>
    </row>
    <row r="149" spans="1:5" ht="18.75" hidden="1">
      <c r="A149" s="1554" t="s">
        <v>303</v>
      </c>
      <c r="B149" s="1555" t="s">
        <v>289</v>
      </c>
      <c r="C149" s="1555" t="s">
        <v>9</v>
      </c>
      <c r="D149" s="1556">
        <v>45143</v>
      </c>
      <c r="E149" s="1557" t="s">
        <v>163</v>
      </c>
    </row>
    <row r="150" spans="1:5" ht="18.75" hidden="1">
      <c r="A150" s="1554" t="s">
        <v>304</v>
      </c>
      <c r="B150" s="1555" t="s">
        <v>289</v>
      </c>
      <c r="C150" s="1555" t="s">
        <v>9</v>
      </c>
      <c r="D150" s="1556">
        <v>45789</v>
      </c>
      <c r="E150" s="1557" t="s">
        <v>179</v>
      </c>
    </row>
    <row r="151" spans="1:5" ht="18.75" hidden="1">
      <c r="A151" s="1554" t="s">
        <v>305</v>
      </c>
      <c r="B151" s="1555" t="s">
        <v>289</v>
      </c>
      <c r="C151" s="1555" t="s">
        <v>9</v>
      </c>
      <c r="D151" s="1556">
        <v>45287</v>
      </c>
      <c r="E151" s="1557" t="s">
        <v>306</v>
      </c>
    </row>
    <row r="152" spans="1:5" ht="18.75" hidden="1">
      <c r="A152" s="1554" t="s">
        <v>307</v>
      </c>
      <c r="B152" s="1555" t="s">
        <v>289</v>
      </c>
      <c r="C152" s="1555" t="s">
        <v>9</v>
      </c>
      <c r="D152" s="1556">
        <v>45203</v>
      </c>
      <c r="E152" s="1557" t="s">
        <v>163</v>
      </c>
    </row>
    <row r="153" spans="1:5" ht="18.75" hidden="1">
      <c r="A153" s="1554" t="s">
        <v>308</v>
      </c>
      <c r="B153" s="1555" t="s">
        <v>289</v>
      </c>
      <c r="C153" s="1555" t="s">
        <v>9</v>
      </c>
      <c r="D153" s="1556">
        <v>45381</v>
      </c>
      <c r="E153" s="1557" t="s">
        <v>138</v>
      </c>
    </row>
    <row r="154" spans="1:5" ht="18.75">
      <c r="A154" s="1554" t="s">
        <v>309</v>
      </c>
      <c r="B154" s="1555" t="s">
        <v>289</v>
      </c>
      <c r="C154" s="1555"/>
      <c r="D154" s="1556"/>
      <c r="E154" s="1557"/>
    </row>
    <row r="155" spans="1:5" ht="18.75" hidden="1">
      <c r="A155" s="1554" t="s">
        <v>310</v>
      </c>
      <c r="B155" s="1555" t="s">
        <v>289</v>
      </c>
      <c r="C155" s="1555" t="s">
        <v>9</v>
      </c>
      <c r="D155" s="1556">
        <v>45480</v>
      </c>
      <c r="E155" s="1557" t="s">
        <v>143</v>
      </c>
    </row>
    <row r="156" spans="1:5" ht="18.75">
      <c r="A156" s="1554" t="s">
        <v>311</v>
      </c>
      <c r="B156" s="1555" t="s">
        <v>289</v>
      </c>
      <c r="C156" s="1555"/>
      <c r="D156" s="1556"/>
      <c r="E156" s="1557"/>
    </row>
    <row r="157" spans="1:5" ht="18.75">
      <c r="A157" s="1554" t="s">
        <v>312</v>
      </c>
      <c r="B157" s="1555" t="s">
        <v>289</v>
      </c>
      <c r="C157" s="1555"/>
      <c r="D157" s="1556"/>
      <c r="E157" s="1557"/>
    </row>
    <row r="158" spans="1:5" ht="18.75">
      <c r="A158" s="1554" t="s">
        <v>313</v>
      </c>
      <c r="B158" s="1555" t="s">
        <v>289</v>
      </c>
      <c r="C158" s="1555"/>
      <c r="D158" s="1556"/>
      <c r="E158" s="1557"/>
    </row>
    <row r="159" spans="1:5" ht="18.75" hidden="1">
      <c r="A159" s="1554" t="s">
        <v>314</v>
      </c>
      <c r="B159" s="1555" t="s">
        <v>289</v>
      </c>
      <c r="C159" s="1555" t="s">
        <v>9</v>
      </c>
      <c r="D159" s="1556">
        <v>45203</v>
      </c>
      <c r="E159" s="1557" t="s">
        <v>163</v>
      </c>
    </row>
    <row r="160" spans="1:5" ht="18.75">
      <c r="A160" s="1554" t="s">
        <v>315</v>
      </c>
      <c r="B160" s="1555" t="s">
        <v>289</v>
      </c>
      <c r="C160" s="1555"/>
      <c r="D160" s="1556"/>
      <c r="E160" s="1557"/>
    </row>
    <row r="161" spans="1:5" ht="18.75" hidden="1">
      <c r="A161" s="1554" t="s">
        <v>316</v>
      </c>
      <c r="B161" s="1555" t="s">
        <v>289</v>
      </c>
      <c r="C161" s="1555" t="s">
        <v>9</v>
      </c>
      <c r="D161" s="1556">
        <v>45437</v>
      </c>
      <c r="E161" s="1557" t="s">
        <v>317</v>
      </c>
    </row>
    <row r="162" spans="1:5" ht="18.75" hidden="1">
      <c r="A162" s="1554" t="s">
        <v>318</v>
      </c>
      <c r="B162" s="1555" t="s">
        <v>289</v>
      </c>
      <c r="C162" s="1555" t="s">
        <v>9</v>
      </c>
      <c r="D162" s="1556">
        <v>45479</v>
      </c>
      <c r="E162" s="1557" t="s">
        <v>319</v>
      </c>
    </row>
    <row r="163" spans="1:5" ht="18.75" hidden="1">
      <c r="A163" s="1554" t="s">
        <v>320</v>
      </c>
      <c r="B163" s="1555" t="s">
        <v>289</v>
      </c>
      <c r="C163" s="1555" t="s">
        <v>9</v>
      </c>
      <c r="D163" s="1556">
        <v>45479</v>
      </c>
      <c r="E163" s="1557" t="s">
        <v>319</v>
      </c>
    </row>
    <row r="164" spans="1:5" ht="18.75" hidden="1">
      <c r="A164" s="1554" t="s">
        <v>321</v>
      </c>
      <c r="B164" s="1555" t="s">
        <v>289</v>
      </c>
      <c r="C164" s="1555" t="s">
        <v>9</v>
      </c>
      <c r="D164" s="1556">
        <v>45507</v>
      </c>
      <c r="E164" s="1557" t="s">
        <v>322</v>
      </c>
    </row>
    <row r="165" spans="1:5" ht="18.75" hidden="1">
      <c r="A165" s="1554" t="s">
        <v>323</v>
      </c>
      <c r="B165" s="1555" t="s">
        <v>289</v>
      </c>
      <c r="C165" s="1555" t="s">
        <v>9</v>
      </c>
      <c r="D165" s="1556">
        <v>45293</v>
      </c>
      <c r="E165" s="1557" t="s">
        <v>324</v>
      </c>
    </row>
    <row r="166" spans="1:5" ht="18.75">
      <c r="A166" s="1554" t="s">
        <v>325</v>
      </c>
      <c r="B166" s="1555" t="s">
        <v>289</v>
      </c>
      <c r="C166" s="1555"/>
      <c r="D166" s="1556"/>
      <c r="E166" s="1557"/>
    </row>
    <row r="167" spans="1:5" ht="18.75" hidden="1">
      <c r="A167" s="1554" t="s">
        <v>326</v>
      </c>
      <c r="B167" s="1555" t="s">
        <v>289</v>
      </c>
      <c r="C167" s="1555" t="s">
        <v>9</v>
      </c>
      <c r="D167" s="1556">
        <v>45745</v>
      </c>
      <c r="E167" s="1557" t="s">
        <v>247</v>
      </c>
    </row>
    <row r="168" spans="1:5" ht="18.75" hidden="1">
      <c r="A168" s="1554" t="s">
        <v>327</v>
      </c>
      <c r="B168" s="1555" t="s">
        <v>289</v>
      </c>
      <c r="C168" s="1555" t="s">
        <v>9</v>
      </c>
      <c r="D168" s="1556">
        <v>45700</v>
      </c>
      <c r="E168" s="1557" t="s">
        <v>207</v>
      </c>
    </row>
    <row r="169" spans="1:5" ht="18.75" hidden="1">
      <c r="A169" s="1554" t="s">
        <v>282</v>
      </c>
      <c r="B169" s="1555" t="s">
        <v>289</v>
      </c>
      <c r="C169" s="1555" t="s">
        <v>120</v>
      </c>
      <c r="D169" s="1556">
        <v>45724</v>
      </c>
      <c r="E169" s="1557" t="s">
        <v>319</v>
      </c>
    </row>
    <row r="170" spans="1:5" ht="18.75" hidden="1">
      <c r="A170" s="1554" t="s">
        <v>328</v>
      </c>
      <c r="B170" s="1555" t="s">
        <v>289</v>
      </c>
      <c r="C170" s="1555" t="s">
        <v>9</v>
      </c>
      <c r="D170" s="1556">
        <v>45717</v>
      </c>
      <c r="E170" s="1557" t="s">
        <v>329</v>
      </c>
    </row>
    <row r="171" spans="1:5" ht="18.75" hidden="1">
      <c r="A171" s="1554" t="s">
        <v>330</v>
      </c>
      <c r="B171" s="1555" t="s">
        <v>289</v>
      </c>
      <c r="C171" s="1555" t="s">
        <v>9</v>
      </c>
      <c r="D171" s="1556">
        <v>45549</v>
      </c>
      <c r="E171" s="1557" t="s">
        <v>102</v>
      </c>
    </row>
    <row r="172" spans="1:5" ht="18.75" hidden="1">
      <c r="A172" s="1554" t="s">
        <v>331</v>
      </c>
      <c r="B172" s="1555" t="s">
        <v>332</v>
      </c>
      <c r="C172" s="1555" t="s">
        <v>9</v>
      </c>
      <c r="D172" s="1556">
        <v>45514</v>
      </c>
      <c r="E172" s="1557" t="s">
        <v>118</v>
      </c>
    </row>
    <row r="173" spans="1:5" ht="18.75">
      <c r="A173" s="1554" t="s">
        <v>333</v>
      </c>
      <c r="B173" s="1555" t="s">
        <v>289</v>
      </c>
      <c r="C173" s="1555"/>
      <c r="D173" s="1556"/>
      <c r="E173" s="1557"/>
    </row>
    <row r="174" spans="1:5" ht="18.75">
      <c r="A174" s="1554" t="s">
        <v>334</v>
      </c>
      <c r="B174" s="1555" t="s">
        <v>332</v>
      </c>
      <c r="C174" s="1555"/>
      <c r="D174" s="1556"/>
      <c r="E174" s="1557"/>
    </row>
    <row r="175" spans="1:5" ht="18.75">
      <c r="A175" s="1554" t="s">
        <v>335</v>
      </c>
      <c r="B175" s="1555" t="s">
        <v>332</v>
      </c>
      <c r="C175" s="1555"/>
      <c r="D175" s="1556"/>
      <c r="E175" s="1557"/>
    </row>
    <row r="176" spans="1:5" ht="18.75">
      <c r="A176" s="1554" t="s">
        <v>336</v>
      </c>
      <c r="B176" s="1555" t="s">
        <v>332</v>
      </c>
      <c r="C176" s="1555"/>
      <c r="D176" s="1556"/>
      <c r="E176" s="1557"/>
    </row>
    <row r="177" spans="1:5" ht="18.75">
      <c r="A177" s="1554" t="s">
        <v>337</v>
      </c>
      <c r="B177" s="1555" t="s">
        <v>332</v>
      </c>
      <c r="C177" s="1555"/>
      <c r="D177" s="1556"/>
      <c r="E177" s="1557"/>
    </row>
    <row r="178" spans="1:5" ht="18.75" hidden="1">
      <c r="A178" s="1554" t="s">
        <v>302</v>
      </c>
      <c r="B178" s="1555" t="s">
        <v>332</v>
      </c>
      <c r="C178" s="1555" t="s">
        <v>9</v>
      </c>
      <c r="D178" s="1556">
        <v>45736</v>
      </c>
      <c r="E178" s="1557" t="s">
        <v>338</v>
      </c>
    </row>
    <row r="179" spans="1:5" ht="18.75" hidden="1">
      <c r="A179" s="1554" t="s">
        <v>339</v>
      </c>
      <c r="B179" s="1555" t="s">
        <v>332</v>
      </c>
      <c r="C179" s="1555" t="s">
        <v>9</v>
      </c>
      <c r="D179" s="1556">
        <v>45480</v>
      </c>
      <c r="E179" s="1557" t="s">
        <v>143</v>
      </c>
    </row>
    <row r="180" spans="1:5" ht="18.75" hidden="1">
      <c r="A180" s="1554" t="s">
        <v>340</v>
      </c>
      <c r="B180" s="1555" t="s">
        <v>332</v>
      </c>
      <c r="C180" s="1555" t="s">
        <v>9</v>
      </c>
      <c r="D180" s="1556">
        <v>45453</v>
      </c>
      <c r="E180" s="1557" t="s">
        <v>294</v>
      </c>
    </row>
    <row r="181" spans="1:5" ht="18.75">
      <c r="A181" s="1554" t="s">
        <v>341</v>
      </c>
      <c r="B181" s="1555" t="s">
        <v>332</v>
      </c>
      <c r="C181" s="1555"/>
      <c r="D181" s="1556"/>
      <c r="E181" s="1557"/>
    </row>
    <row r="182" spans="1:5" ht="18.75">
      <c r="A182" s="1554" t="s">
        <v>342</v>
      </c>
      <c r="B182" s="1555" t="s">
        <v>332</v>
      </c>
      <c r="C182" s="1555"/>
      <c r="D182" s="1556"/>
      <c r="E182" s="1557"/>
    </row>
    <row r="183" spans="1:5" ht="18.75" hidden="1">
      <c r="A183" s="1554" t="s">
        <v>343</v>
      </c>
      <c r="B183" s="1555" t="s">
        <v>332</v>
      </c>
      <c r="C183" s="1555" t="s">
        <v>120</v>
      </c>
      <c r="D183" s="1556">
        <v>45927</v>
      </c>
      <c r="E183" s="1557" t="s">
        <v>344</v>
      </c>
    </row>
    <row r="184" spans="1:5" ht="18.75" hidden="1">
      <c r="A184" s="1554" t="s">
        <v>345</v>
      </c>
      <c r="B184" s="1555" t="s">
        <v>332</v>
      </c>
      <c r="C184" s="1555" t="s">
        <v>9</v>
      </c>
      <c r="D184" s="1556">
        <v>45514</v>
      </c>
      <c r="E184" s="1557" t="s">
        <v>118</v>
      </c>
    </row>
    <row r="185" spans="1:5" ht="18.75">
      <c r="A185" s="1554" t="s">
        <v>346</v>
      </c>
      <c r="B185" s="1555" t="s">
        <v>332</v>
      </c>
      <c r="C185" s="1555"/>
      <c r="D185" s="1556"/>
      <c r="E185" s="1557"/>
    </row>
    <row r="186" spans="1:5" ht="18.75">
      <c r="A186" s="1554" t="s">
        <v>347</v>
      </c>
      <c r="B186" s="1555" t="s">
        <v>332</v>
      </c>
      <c r="C186" s="1555"/>
      <c r="D186" s="1556"/>
      <c r="E186" s="1557"/>
    </row>
    <row r="187" spans="1:5" ht="18.75" hidden="1">
      <c r="A187" s="1554" t="s">
        <v>348</v>
      </c>
      <c r="B187" s="1555" t="s">
        <v>349</v>
      </c>
      <c r="C187" s="1555" t="s">
        <v>9</v>
      </c>
      <c r="D187" s="1556">
        <v>45633</v>
      </c>
      <c r="E187" s="1557" t="s">
        <v>350</v>
      </c>
    </row>
    <row r="188" spans="1:5" ht="18.75" hidden="1">
      <c r="A188" s="1554" t="s">
        <v>351</v>
      </c>
      <c r="B188" s="1555" t="s">
        <v>349</v>
      </c>
      <c r="C188" s="1555" t="s">
        <v>9</v>
      </c>
      <c r="D188" s="1556">
        <v>45628</v>
      </c>
      <c r="E188" s="1557" t="s">
        <v>352</v>
      </c>
    </row>
    <row r="189" spans="1:5" ht="18.75">
      <c r="A189" s="1554" t="s">
        <v>353</v>
      </c>
      <c r="B189" s="1555" t="s">
        <v>332</v>
      </c>
      <c r="C189" s="1555"/>
      <c r="D189" s="1556"/>
      <c r="E189" s="1557"/>
    </row>
    <row r="190" spans="1:5" ht="18.75">
      <c r="A190" s="1554" t="s">
        <v>288</v>
      </c>
      <c r="B190" s="1555" t="s">
        <v>354</v>
      </c>
      <c r="C190" s="1555"/>
      <c r="D190" s="1556"/>
      <c r="E190" s="1557"/>
    </row>
    <row r="191" spans="1:5" ht="18.75">
      <c r="A191" s="1554" t="s">
        <v>355</v>
      </c>
      <c r="B191" s="1555" t="s">
        <v>354</v>
      </c>
      <c r="C191" s="1555"/>
      <c r="D191" s="1556"/>
      <c r="E191" s="1557"/>
    </row>
    <row r="192" spans="1:5" ht="18.75">
      <c r="A192" s="1554"/>
      <c r="B192" s="1555"/>
      <c r="C192" s="1555"/>
      <c r="D192" s="1556"/>
      <c r="E192" s="1557"/>
    </row>
    <row r="193" spans="1:5" ht="18.75">
      <c r="A193" s="1554"/>
      <c r="B193" s="1555"/>
      <c r="C193" s="1555"/>
      <c r="D193" s="1556"/>
      <c r="E193" s="1557"/>
    </row>
  </sheetData>
  <autoFilter ref="A1:E191" xr:uid="{5CF7305F-EDE4-40C6-A00A-62C7B17472D4}">
    <filterColumn colId="2">
      <filters blank="1"/>
    </filterColumn>
    <sortState xmlns:xlrd2="http://schemas.microsoft.com/office/spreadsheetml/2017/richdata2" ref="A2:E191">
      <sortCondition ref="B2:B191"/>
      <sortCondition ref="A2:A191"/>
    </sortState>
  </autoFilter>
  <sortState xmlns:xlrd2="http://schemas.microsoft.com/office/spreadsheetml/2017/richdata2" ref="A2:E190">
    <sortCondition ref="B2:B190"/>
    <sortCondition ref="A2:A190"/>
  </sortState>
  <phoneticPr fontId="38" type="noConversion"/>
  <conditionalFormatting sqref="A2:E193">
    <cfRule type="expression" dxfId="494" priority="1">
      <formula>MOD(ROW(),2)&lt;&gt;0</formula>
    </cfRule>
    <cfRule type="expression" dxfId="493" priority="2">
      <formula>MOD(ROW(),2)=0</formula>
    </cfRule>
  </conditionalFormatting>
  <pageMargins left="0.511811024" right="0.511811024" top="0.78740157499999996" bottom="0.78740157499999996" header="0.31496062000000002" footer="0.31496062000000002"/>
  <pageSetup paperSize="9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M200"/>
  <sheetViews>
    <sheetView zoomScaleNormal="100" workbookViewId="0">
      <pane xSplit="10" ySplit="1" topLeftCell="K194" activePane="bottomRight" state="frozen"/>
      <selection pane="bottomRight" activeCell="K1" sqref="K1"/>
      <selection pane="bottomLeft" activeCell="A2" sqref="A2"/>
      <selection pane="topRight" activeCell="K1" sqref="K1"/>
    </sheetView>
  </sheetViews>
  <sheetFormatPr defaultColWidth="9.140625" defaultRowHeight="12.75"/>
  <cols>
    <col min="1" max="1" width="4.28515625" style="1243" bestFit="1" customWidth="1"/>
    <col min="2" max="2" width="38.5703125" style="1243" customWidth="1"/>
    <col min="3" max="3" width="18.28515625" style="1243" customWidth="1"/>
    <col min="4" max="4" width="33.140625" style="1243" customWidth="1"/>
    <col min="5" max="5" width="8.5703125" style="1243" bestFit="1" customWidth="1"/>
    <col min="6" max="6" width="8.42578125" style="1243" bestFit="1" customWidth="1"/>
    <col min="7" max="7" width="10.140625" style="1243" bestFit="1" customWidth="1"/>
    <col min="8" max="8" width="10.5703125" style="1243" bestFit="1" customWidth="1"/>
    <col min="9" max="9" width="31.5703125" style="1243" customWidth="1"/>
    <col min="10" max="10" width="16.5703125" style="1243" customWidth="1"/>
    <col min="11" max="11" width="15.42578125" style="1243" customWidth="1"/>
    <col min="12" max="12" width="10.140625" style="1243" customWidth="1"/>
    <col min="13" max="16384" width="9.140625" style="1243"/>
  </cols>
  <sheetData>
    <row r="1" spans="1:12">
      <c r="A1" s="1569" t="s">
        <v>356</v>
      </c>
      <c r="B1" s="1467" t="s">
        <v>357</v>
      </c>
      <c r="C1" s="1570" t="s">
        <v>358</v>
      </c>
      <c r="D1" s="1570" t="s">
        <v>359</v>
      </c>
      <c r="E1" s="1570" t="s">
        <v>360</v>
      </c>
      <c r="F1" s="1570" t="s">
        <v>361</v>
      </c>
      <c r="G1" s="1467" t="s">
        <v>362</v>
      </c>
      <c r="H1" s="1570" t="s">
        <v>363</v>
      </c>
      <c r="I1" s="1467" t="s">
        <v>364</v>
      </c>
      <c r="J1" s="1467" t="s">
        <v>365</v>
      </c>
      <c r="K1" s="1468" t="s">
        <v>366</v>
      </c>
      <c r="L1"/>
    </row>
    <row r="2" spans="1:12">
      <c r="A2" s="1571">
        <v>1</v>
      </c>
      <c r="B2" s="1572" t="s">
        <v>367</v>
      </c>
      <c r="C2" s="1572" t="s">
        <v>368</v>
      </c>
      <c r="D2" s="1572" t="s">
        <v>369</v>
      </c>
      <c r="E2" s="1572" t="s">
        <v>370</v>
      </c>
      <c r="F2" s="1572" t="s">
        <v>370</v>
      </c>
      <c r="G2" s="1573">
        <v>41836</v>
      </c>
      <c r="H2" s="1465">
        <v>44.9</v>
      </c>
      <c r="I2" s="1572" t="s">
        <v>371</v>
      </c>
      <c r="J2" s="1572" t="s">
        <v>372</v>
      </c>
      <c r="K2" s="1574" t="str">
        <f t="shared" ref="K2:K33" si="0">CONCATENATE(TEXT(A2,"0000"),(TEXT(G2,"aaaammdd")))</f>
        <v>000120140716</v>
      </c>
      <c r="L2" s="1575"/>
    </row>
    <row r="3" spans="1:12">
      <c r="A3" s="1571">
        <v>2</v>
      </c>
      <c r="B3" s="1572" t="s">
        <v>373</v>
      </c>
      <c r="C3" s="1572" t="s">
        <v>374</v>
      </c>
      <c r="D3" s="1572" t="s">
        <v>375</v>
      </c>
      <c r="E3" s="1572" t="s">
        <v>370</v>
      </c>
      <c r="F3" s="1572" t="s">
        <v>376</v>
      </c>
      <c r="G3" s="1573">
        <v>41836</v>
      </c>
      <c r="H3" s="1465">
        <v>44.9</v>
      </c>
      <c r="I3" s="1572" t="s">
        <v>371</v>
      </c>
      <c r="J3" s="1572" t="s">
        <v>372</v>
      </c>
      <c r="K3" s="1574" t="str">
        <f t="shared" si="0"/>
        <v>000220140716</v>
      </c>
      <c r="L3" s="1575"/>
    </row>
    <row r="4" spans="1:12">
      <c r="A4" s="1571">
        <v>3</v>
      </c>
      <c r="B4" s="1572" t="s">
        <v>377</v>
      </c>
      <c r="C4" s="1572" t="s">
        <v>378</v>
      </c>
      <c r="D4" s="1572" t="s">
        <v>379</v>
      </c>
      <c r="E4" s="1572" t="s">
        <v>370</v>
      </c>
      <c r="F4" s="1572" t="s">
        <v>370</v>
      </c>
      <c r="G4" s="1573">
        <v>41878</v>
      </c>
      <c r="H4" s="1465">
        <v>74</v>
      </c>
      <c r="I4" s="1572" t="s">
        <v>380</v>
      </c>
      <c r="J4" s="1572" t="s">
        <v>372</v>
      </c>
      <c r="K4" s="1574" t="str">
        <f t="shared" si="0"/>
        <v>000320140827</v>
      </c>
      <c r="L4" s="1575"/>
    </row>
    <row r="5" spans="1:12">
      <c r="A5" s="1571">
        <v>4</v>
      </c>
      <c r="B5" s="1572" t="s">
        <v>381</v>
      </c>
      <c r="C5" s="1572" t="s">
        <v>378</v>
      </c>
      <c r="D5" s="1572" t="s">
        <v>382</v>
      </c>
      <c r="E5" s="1572" t="s">
        <v>370</v>
      </c>
      <c r="F5" s="1572" t="s">
        <v>370</v>
      </c>
      <c r="G5" s="1573">
        <v>41878</v>
      </c>
      <c r="H5" s="1465">
        <v>74</v>
      </c>
      <c r="I5" s="1572" t="s">
        <v>380</v>
      </c>
      <c r="J5" s="1572" t="s">
        <v>372</v>
      </c>
      <c r="K5" s="1574" t="str">
        <f t="shared" si="0"/>
        <v>000420140827</v>
      </c>
      <c r="L5" s="1575"/>
    </row>
    <row r="6" spans="1:12">
      <c r="A6" s="1571">
        <v>5</v>
      </c>
      <c r="B6" s="1572" t="s">
        <v>383</v>
      </c>
      <c r="C6" s="1572" t="s">
        <v>384</v>
      </c>
      <c r="D6" s="1572" t="s">
        <v>385</v>
      </c>
      <c r="E6" s="1572" t="s">
        <v>370</v>
      </c>
      <c r="F6" s="1572" t="s">
        <v>376</v>
      </c>
      <c r="G6" s="1573">
        <v>41880</v>
      </c>
      <c r="H6" s="1465">
        <v>72.900000000000006</v>
      </c>
      <c r="I6" s="1572" t="s">
        <v>386</v>
      </c>
      <c r="J6" s="1572" t="s">
        <v>372</v>
      </c>
      <c r="K6" s="1574" t="str">
        <f t="shared" si="0"/>
        <v>000520140829</v>
      </c>
      <c r="L6" s="1575"/>
    </row>
    <row r="7" spans="1:12">
      <c r="A7" s="1571">
        <v>6</v>
      </c>
      <c r="B7" s="1572" t="s">
        <v>387</v>
      </c>
      <c r="C7" s="1572" t="s">
        <v>388</v>
      </c>
      <c r="D7" s="1572" t="s">
        <v>389</v>
      </c>
      <c r="E7" s="1572" t="s">
        <v>370</v>
      </c>
      <c r="F7" s="1572" t="s">
        <v>376</v>
      </c>
      <c r="G7" s="1573">
        <v>41900</v>
      </c>
      <c r="H7" s="1465">
        <v>69</v>
      </c>
      <c r="I7" s="1572" t="s">
        <v>390</v>
      </c>
      <c r="J7" s="1572" t="s">
        <v>372</v>
      </c>
      <c r="K7" s="1574" t="str">
        <f t="shared" si="0"/>
        <v>000620140918</v>
      </c>
      <c r="L7" s="1575"/>
    </row>
    <row r="8" spans="1:12">
      <c r="A8" s="1571">
        <v>7</v>
      </c>
      <c r="B8" s="1572" t="s">
        <v>391</v>
      </c>
      <c r="C8" s="1572" t="s">
        <v>374</v>
      </c>
      <c r="D8" s="1572" t="s">
        <v>392</v>
      </c>
      <c r="E8" s="1572" t="s">
        <v>370</v>
      </c>
      <c r="F8" s="1572" t="s">
        <v>376</v>
      </c>
      <c r="G8" s="1573">
        <v>41974</v>
      </c>
      <c r="H8" s="1465">
        <v>59.92</v>
      </c>
      <c r="I8" s="1572" t="s">
        <v>380</v>
      </c>
      <c r="J8" s="1572" t="s">
        <v>372</v>
      </c>
      <c r="K8" s="1574" t="str">
        <f t="shared" si="0"/>
        <v>000720141201</v>
      </c>
      <c r="L8" s="1575"/>
    </row>
    <row r="9" spans="1:12">
      <c r="A9" s="1571">
        <v>8</v>
      </c>
      <c r="B9" s="1572" t="s">
        <v>393</v>
      </c>
      <c r="C9" s="1572" t="s">
        <v>393</v>
      </c>
      <c r="D9" s="1572" t="s">
        <v>394</v>
      </c>
      <c r="E9" s="1572" t="s">
        <v>370</v>
      </c>
      <c r="F9" s="1572" t="s">
        <v>370</v>
      </c>
      <c r="G9" s="1573">
        <v>41974</v>
      </c>
      <c r="H9" s="1465">
        <v>71.25</v>
      </c>
      <c r="I9" s="1572" t="s">
        <v>380</v>
      </c>
      <c r="J9" s="1572" t="s">
        <v>372</v>
      </c>
      <c r="K9" s="1574" t="str">
        <f t="shared" si="0"/>
        <v>000820141201</v>
      </c>
      <c r="L9" s="1575"/>
    </row>
    <row r="10" spans="1:12">
      <c r="A10" s="1571">
        <v>9</v>
      </c>
      <c r="B10" s="1572" t="s">
        <v>395</v>
      </c>
      <c r="C10" s="1572" t="s">
        <v>378</v>
      </c>
      <c r="D10" s="1572" t="s">
        <v>396</v>
      </c>
      <c r="E10" s="1572" t="s">
        <v>370</v>
      </c>
      <c r="F10" s="1572" t="s">
        <v>370</v>
      </c>
      <c r="G10" s="1573">
        <v>41984</v>
      </c>
      <c r="H10" s="1465">
        <v>72</v>
      </c>
      <c r="I10" s="1572" t="s">
        <v>397</v>
      </c>
      <c r="J10" s="1572" t="s">
        <v>372</v>
      </c>
      <c r="K10" s="1574" t="str">
        <f t="shared" si="0"/>
        <v>000920141211</v>
      </c>
      <c r="L10" s="1575"/>
    </row>
    <row r="11" spans="1:12">
      <c r="A11" s="1571">
        <v>10</v>
      </c>
      <c r="B11" s="1572" t="s">
        <v>398</v>
      </c>
      <c r="C11" s="1572" t="s">
        <v>399</v>
      </c>
      <c r="D11" s="845" t="s">
        <v>400</v>
      </c>
      <c r="E11" s="1572" t="s">
        <v>376</v>
      </c>
      <c r="F11" s="1572" t="s">
        <v>376</v>
      </c>
      <c r="G11" s="1573">
        <v>41996</v>
      </c>
      <c r="H11" s="1465">
        <v>103.7</v>
      </c>
      <c r="I11" s="1572" t="s">
        <v>399</v>
      </c>
      <c r="J11" s="1572" t="s">
        <v>372</v>
      </c>
      <c r="K11" s="1574" t="str">
        <f t="shared" si="0"/>
        <v>001020141223</v>
      </c>
      <c r="L11" s="1575"/>
    </row>
    <row r="12" spans="1:12">
      <c r="A12" s="1571">
        <v>11</v>
      </c>
      <c r="B12" s="1572" t="s">
        <v>401</v>
      </c>
      <c r="C12" s="1572" t="s">
        <v>378</v>
      </c>
      <c r="D12" s="1572" t="s">
        <v>402</v>
      </c>
      <c r="E12" s="1572" t="s">
        <v>370</v>
      </c>
      <c r="F12" s="1572" t="s">
        <v>370</v>
      </c>
      <c r="G12" s="1573">
        <v>42020</v>
      </c>
      <c r="H12" s="1465">
        <v>69</v>
      </c>
      <c r="I12" s="1572" t="s">
        <v>380</v>
      </c>
      <c r="J12" s="1572" t="s">
        <v>372</v>
      </c>
      <c r="K12" s="1574" t="str">
        <f t="shared" si="0"/>
        <v>001120150116</v>
      </c>
      <c r="L12" s="1575"/>
    </row>
    <row r="13" spans="1:12">
      <c r="A13" s="1571">
        <v>12</v>
      </c>
      <c r="B13" s="1572" t="s">
        <v>403</v>
      </c>
      <c r="C13" s="1572" t="s">
        <v>404</v>
      </c>
      <c r="D13" s="845" t="s">
        <v>405</v>
      </c>
      <c r="E13" s="1572" t="s">
        <v>376</v>
      </c>
      <c r="F13" s="1572" t="s">
        <v>376</v>
      </c>
      <c r="G13" s="1573">
        <v>42059</v>
      </c>
      <c r="H13" s="1465">
        <v>100</v>
      </c>
      <c r="I13" s="1572" t="s">
        <v>406</v>
      </c>
      <c r="J13" s="1572" t="s">
        <v>372</v>
      </c>
      <c r="K13" s="1574" t="str">
        <f t="shared" si="0"/>
        <v>001220150224</v>
      </c>
      <c r="L13" s="1575"/>
    </row>
    <row r="14" spans="1:12">
      <c r="A14" s="1571">
        <v>13</v>
      </c>
      <c r="B14" s="1572" t="s">
        <v>407</v>
      </c>
      <c r="C14" s="1572" t="s">
        <v>408</v>
      </c>
      <c r="D14" s="1572"/>
      <c r="E14" s="1572" t="s">
        <v>376</v>
      </c>
      <c r="F14" s="1572" t="s">
        <v>376</v>
      </c>
      <c r="G14" s="1573">
        <v>42102</v>
      </c>
      <c r="H14" s="1465">
        <v>69.930000000000007</v>
      </c>
      <c r="I14" s="1572" t="s">
        <v>406</v>
      </c>
      <c r="J14" s="1572" t="s">
        <v>372</v>
      </c>
      <c r="K14" s="1574" t="str">
        <f t="shared" si="0"/>
        <v>001320150408</v>
      </c>
      <c r="L14" s="1575"/>
    </row>
    <row r="15" spans="1:12">
      <c r="A15" s="1571">
        <v>14</v>
      </c>
      <c r="B15" s="1572" t="s">
        <v>409</v>
      </c>
      <c r="C15" s="1572" t="s">
        <v>378</v>
      </c>
      <c r="D15" s="1572" t="s">
        <v>410</v>
      </c>
      <c r="E15" s="1572" t="s">
        <v>370</v>
      </c>
      <c r="F15" s="1572" t="s">
        <v>370</v>
      </c>
      <c r="G15" s="1573">
        <v>42113</v>
      </c>
      <c r="H15" s="1465">
        <v>200</v>
      </c>
      <c r="I15" s="1572" t="s">
        <v>411</v>
      </c>
      <c r="J15" s="1572" t="s">
        <v>372</v>
      </c>
      <c r="K15" s="1574" t="str">
        <f t="shared" si="0"/>
        <v>001420150419</v>
      </c>
      <c r="L15" s="1575"/>
    </row>
    <row r="16" spans="1:12">
      <c r="A16" s="1571">
        <v>15</v>
      </c>
      <c r="B16" s="1572" t="s">
        <v>412</v>
      </c>
      <c r="C16" s="1572" t="s">
        <v>378</v>
      </c>
      <c r="D16" s="1572" t="s">
        <v>396</v>
      </c>
      <c r="E16" s="1572" t="s">
        <v>370</v>
      </c>
      <c r="F16" s="1572" t="s">
        <v>370</v>
      </c>
      <c r="G16" s="1573">
        <v>42113</v>
      </c>
      <c r="H16" s="1465">
        <v>80</v>
      </c>
      <c r="I16" s="1572" t="s">
        <v>411</v>
      </c>
      <c r="J16" s="1572" t="s">
        <v>372</v>
      </c>
      <c r="K16" s="1574" t="str">
        <f t="shared" si="0"/>
        <v>001520150419</v>
      </c>
      <c r="L16" s="1575"/>
    </row>
    <row r="17" spans="1:11">
      <c r="A17" s="1571">
        <v>16</v>
      </c>
      <c r="B17" s="1572" t="s">
        <v>413</v>
      </c>
      <c r="C17" s="1572" t="s">
        <v>408</v>
      </c>
      <c r="D17" s="1572"/>
      <c r="E17" s="1572" t="s">
        <v>376</v>
      </c>
      <c r="F17" s="1572" t="s">
        <v>376</v>
      </c>
      <c r="G17" s="1573">
        <v>42119</v>
      </c>
      <c r="H17" s="1465">
        <v>88.34</v>
      </c>
      <c r="I17" s="1572" t="s">
        <v>406</v>
      </c>
      <c r="J17" s="1572" t="s">
        <v>372</v>
      </c>
      <c r="K17" s="1574" t="str">
        <f t="shared" si="0"/>
        <v>001620150425</v>
      </c>
    </row>
    <row r="18" spans="1:11">
      <c r="A18" s="1571">
        <v>17</v>
      </c>
      <c r="B18" s="1572" t="s">
        <v>414</v>
      </c>
      <c r="C18" s="1572" t="s">
        <v>393</v>
      </c>
      <c r="D18" s="1576" t="s">
        <v>415</v>
      </c>
      <c r="E18" s="1572" t="s">
        <v>370</v>
      </c>
      <c r="F18" s="1572" t="s">
        <v>370</v>
      </c>
      <c r="G18" s="1573">
        <v>42122</v>
      </c>
      <c r="H18" s="1465">
        <v>63.81</v>
      </c>
      <c r="I18" s="1572" t="s">
        <v>416</v>
      </c>
      <c r="J18" s="1572" t="s">
        <v>372</v>
      </c>
      <c r="K18" s="1574" t="str">
        <f t="shared" si="0"/>
        <v>001720150428</v>
      </c>
    </row>
    <row r="19" spans="1:11">
      <c r="A19" s="1571">
        <v>18</v>
      </c>
      <c r="B19" s="1572" t="s">
        <v>417</v>
      </c>
      <c r="C19" s="1572" t="s">
        <v>393</v>
      </c>
      <c r="D19" s="1572" t="s">
        <v>418</v>
      </c>
      <c r="E19" s="1572" t="s">
        <v>370</v>
      </c>
      <c r="F19" s="1572" t="s">
        <v>370</v>
      </c>
      <c r="G19" s="1573">
        <v>42122</v>
      </c>
      <c r="H19" s="1465">
        <v>63.81</v>
      </c>
      <c r="I19" s="1572" t="s">
        <v>416</v>
      </c>
      <c r="J19" s="1572" t="s">
        <v>372</v>
      </c>
      <c r="K19" s="1574" t="str">
        <f t="shared" si="0"/>
        <v>001820150428</v>
      </c>
    </row>
    <row r="20" spans="1:11">
      <c r="A20" s="1571">
        <v>19</v>
      </c>
      <c r="B20" s="1572" t="s">
        <v>419</v>
      </c>
      <c r="C20" s="1572" t="s">
        <v>393</v>
      </c>
      <c r="D20" s="1572" t="s">
        <v>420</v>
      </c>
      <c r="E20" s="1572" t="s">
        <v>370</v>
      </c>
      <c r="F20" s="1572" t="s">
        <v>370</v>
      </c>
      <c r="G20" s="1573">
        <v>42122</v>
      </c>
      <c r="H20" s="1465">
        <v>63.81</v>
      </c>
      <c r="I20" s="1572" t="s">
        <v>416</v>
      </c>
      <c r="J20" s="1572" t="s">
        <v>372</v>
      </c>
      <c r="K20" s="1574" t="str">
        <f t="shared" si="0"/>
        <v>001920150428</v>
      </c>
    </row>
    <row r="21" spans="1:11">
      <c r="A21" s="1571">
        <v>20</v>
      </c>
      <c r="B21" s="1572" t="s">
        <v>421</v>
      </c>
      <c r="C21" s="1572" t="s">
        <v>393</v>
      </c>
      <c r="D21" s="1572" t="s">
        <v>422</v>
      </c>
      <c r="E21" s="1572" t="s">
        <v>370</v>
      </c>
      <c r="F21" s="1572" t="s">
        <v>370</v>
      </c>
      <c r="G21" s="1573">
        <v>42133</v>
      </c>
      <c r="H21" s="1465">
        <v>0</v>
      </c>
      <c r="I21" s="1572" t="s">
        <v>423</v>
      </c>
      <c r="J21" s="1572" t="s">
        <v>372</v>
      </c>
      <c r="K21" s="1574" t="str">
        <f t="shared" si="0"/>
        <v>002020150509</v>
      </c>
    </row>
    <row r="22" spans="1:11">
      <c r="A22" s="1571">
        <v>21</v>
      </c>
      <c r="B22" s="1572" t="s">
        <v>424</v>
      </c>
      <c r="C22" s="1572" t="s">
        <v>378</v>
      </c>
      <c r="D22" s="1572" t="s">
        <v>425</v>
      </c>
      <c r="E22" s="1572" t="s">
        <v>370</v>
      </c>
      <c r="F22" s="1572" t="s">
        <v>370</v>
      </c>
      <c r="G22" s="1573">
        <v>42176</v>
      </c>
      <c r="H22" s="1465">
        <v>100</v>
      </c>
      <c r="I22" s="1572" t="s">
        <v>380</v>
      </c>
      <c r="J22" s="1572" t="s">
        <v>372</v>
      </c>
      <c r="K22" s="1574" t="str">
        <f t="shared" si="0"/>
        <v>002120150621</v>
      </c>
    </row>
    <row r="23" spans="1:11">
      <c r="A23" s="1571">
        <v>22</v>
      </c>
      <c r="B23" s="1572" t="s">
        <v>426</v>
      </c>
      <c r="C23" s="1572" t="s">
        <v>393</v>
      </c>
      <c r="D23" s="1572" t="s">
        <v>427</v>
      </c>
      <c r="E23" s="1572" t="s">
        <v>370</v>
      </c>
      <c r="F23" s="1572" t="s">
        <v>370</v>
      </c>
      <c r="G23" s="1573">
        <v>42176</v>
      </c>
      <c r="H23" s="1465">
        <v>82</v>
      </c>
      <c r="I23" s="1572" t="s">
        <v>380</v>
      </c>
      <c r="J23" s="1572" t="s">
        <v>372</v>
      </c>
      <c r="K23" s="1574" t="str">
        <f t="shared" si="0"/>
        <v>002220150621</v>
      </c>
    </row>
    <row r="24" spans="1:11">
      <c r="A24" s="1571">
        <v>23</v>
      </c>
      <c r="B24" s="1572" t="s">
        <v>428</v>
      </c>
      <c r="C24" s="1572" t="s">
        <v>378</v>
      </c>
      <c r="D24" s="1572" t="s">
        <v>379</v>
      </c>
      <c r="E24" s="1572" t="s">
        <v>370</v>
      </c>
      <c r="F24" s="1572" t="s">
        <v>370</v>
      </c>
      <c r="G24" s="1573">
        <v>42183</v>
      </c>
      <c r="H24" s="1465">
        <v>150</v>
      </c>
      <c r="I24" s="1572" t="s">
        <v>411</v>
      </c>
      <c r="J24" s="1572" t="s">
        <v>372</v>
      </c>
      <c r="K24" s="1574" t="str">
        <f t="shared" si="0"/>
        <v>002320150628</v>
      </c>
    </row>
    <row r="25" spans="1:11">
      <c r="A25" s="1571">
        <v>24</v>
      </c>
      <c r="B25" s="1572" t="s">
        <v>429</v>
      </c>
      <c r="C25" s="1572" t="s">
        <v>378</v>
      </c>
      <c r="D25" s="1572" t="s">
        <v>430</v>
      </c>
      <c r="E25" s="1572" t="s">
        <v>370</v>
      </c>
      <c r="F25" s="1572" t="s">
        <v>370</v>
      </c>
      <c r="G25" s="1573">
        <v>42183</v>
      </c>
      <c r="H25" s="1465">
        <v>100</v>
      </c>
      <c r="I25" s="1572" t="s">
        <v>411</v>
      </c>
      <c r="J25" s="1572" t="s">
        <v>372</v>
      </c>
      <c r="K25" s="1574" t="str">
        <f t="shared" si="0"/>
        <v>002420150628</v>
      </c>
    </row>
    <row r="26" spans="1:11">
      <c r="A26" s="1571">
        <v>25</v>
      </c>
      <c r="B26" s="1572" t="s">
        <v>431</v>
      </c>
      <c r="C26" s="1572" t="s">
        <v>432</v>
      </c>
      <c r="D26" s="1572" t="s">
        <v>433</v>
      </c>
      <c r="E26" s="1572" t="s">
        <v>376</v>
      </c>
      <c r="F26" s="1572" t="s">
        <v>376</v>
      </c>
      <c r="G26" s="1573">
        <v>42145</v>
      </c>
      <c r="H26" s="1465">
        <v>127.2</v>
      </c>
      <c r="I26" s="1572" t="s">
        <v>406</v>
      </c>
      <c r="J26" s="1572" t="s">
        <v>372</v>
      </c>
      <c r="K26" s="1574" t="str">
        <f t="shared" si="0"/>
        <v>002520150521</v>
      </c>
    </row>
    <row r="27" spans="1:11">
      <c r="A27" s="1571">
        <v>26</v>
      </c>
      <c r="B27" s="1572" t="s">
        <v>434</v>
      </c>
      <c r="C27" s="1572" t="s">
        <v>393</v>
      </c>
      <c r="D27" s="1572" t="s">
        <v>435</v>
      </c>
      <c r="E27" s="1572" t="s">
        <v>370</v>
      </c>
      <c r="F27" s="1572" t="s">
        <v>370</v>
      </c>
      <c r="G27" s="1573">
        <v>42212</v>
      </c>
      <c r="H27" s="1465">
        <v>98</v>
      </c>
      <c r="I27" s="1572" t="s">
        <v>380</v>
      </c>
      <c r="J27" s="1572" t="s">
        <v>372</v>
      </c>
      <c r="K27" s="1574" t="str">
        <f t="shared" si="0"/>
        <v>002620150727</v>
      </c>
    </row>
    <row r="28" spans="1:11">
      <c r="A28" s="1571">
        <v>27</v>
      </c>
      <c r="B28" s="1572" t="s">
        <v>436</v>
      </c>
      <c r="C28" s="1572" t="s">
        <v>393</v>
      </c>
      <c r="D28" s="1572" t="s">
        <v>437</v>
      </c>
      <c r="E28" s="1572" t="s">
        <v>370</v>
      </c>
      <c r="F28" s="1572" t="s">
        <v>370</v>
      </c>
      <c r="G28" s="1573">
        <v>42212</v>
      </c>
      <c r="H28" s="1465">
        <v>79</v>
      </c>
      <c r="I28" s="1572" t="s">
        <v>380</v>
      </c>
      <c r="J28" s="1572" t="s">
        <v>372</v>
      </c>
      <c r="K28" s="1574" t="str">
        <f t="shared" si="0"/>
        <v>002720150727</v>
      </c>
    </row>
    <row r="29" spans="1:11">
      <c r="A29" s="1571">
        <v>28</v>
      </c>
      <c r="B29" s="1572" t="s">
        <v>438</v>
      </c>
      <c r="C29" s="1572" t="s">
        <v>439</v>
      </c>
      <c r="D29" s="1572"/>
      <c r="E29" s="1572" t="s">
        <v>370</v>
      </c>
      <c r="F29" s="1572" t="s">
        <v>370</v>
      </c>
      <c r="G29" s="1573">
        <v>42212</v>
      </c>
      <c r="H29" s="1465">
        <v>77.400000000000006</v>
      </c>
      <c r="I29" s="1572" t="s">
        <v>380</v>
      </c>
      <c r="J29" s="1572" t="s">
        <v>372</v>
      </c>
      <c r="K29" s="1574" t="str">
        <f t="shared" si="0"/>
        <v>002820150727</v>
      </c>
    </row>
    <row r="30" spans="1:11">
      <c r="A30" s="1571">
        <v>29</v>
      </c>
      <c r="B30" s="1572" t="s">
        <v>440</v>
      </c>
      <c r="C30" s="1572" t="s">
        <v>378</v>
      </c>
      <c r="D30" s="1572" t="s">
        <v>441</v>
      </c>
      <c r="E30" s="1572" t="s">
        <v>370</v>
      </c>
      <c r="F30" s="1572" t="s">
        <v>370</v>
      </c>
      <c r="G30" s="1573">
        <v>42218</v>
      </c>
      <c r="H30" s="1465">
        <v>145</v>
      </c>
      <c r="I30" s="1572" t="s">
        <v>411</v>
      </c>
      <c r="J30" s="1572" t="s">
        <v>372</v>
      </c>
      <c r="K30" s="1574" t="str">
        <f t="shared" si="0"/>
        <v>002920150802</v>
      </c>
    </row>
    <row r="31" spans="1:11">
      <c r="A31" s="1571">
        <v>30</v>
      </c>
      <c r="B31" s="1572" t="s">
        <v>442</v>
      </c>
      <c r="C31" s="1572" t="s">
        <v>443</v>
      </c>
      <c r="D31" s="1572" t="s">
        <v>444</v>
      </c>
      <c r="E31" s="1572" t="s">
        <v>370</v>
      </c>
      <c r="F31" s="1572" t="s">
        <v>370</v>
      </c>
      <c r="G31" s="1573">
        <v>42218</v>
      </c>
      <c r="H31" s="1465">
        <v>130</v>
      </c>
      <c r="I31" s="1572" t="s">
        <v>411</v>
      </c>
      <c r="J31" s="1572" t="s">
        <v>445</v>
      </c>
      <c r="K31" s="1574" t="str">
        <f t="shared" si="0"/>
        <v>003020150802</v>
      </c>
    </row>
    <row r="32" spans="1:11">
      <c r="A32" s="1571">
        <v>31</v>
      </c>
      <c r="B32" s="1572" t="s">
        <v>446</v>
      </c>
      <c r="C32" s="1572" t="s">
        <v>447</v>
      </c>
      <c r="D32" s="1572" t="s">
        <v>447</v>
      </c>
      <c r="E32" s="1572" t="s">
        <v>376</v>
      </c>
      <c r="F32" s="1572" t="s">
        <v>376</v>
      </c>
      <c r="G32" s="1573">
        <v>42225</v>
      </c>
      <c r="H32" s="1465">
        <v>200</v>
      </c>
      <c r="I32" s="1572" t="s">
        <v>411</v>
      </c>
      <c r="J32" s="1572" t="s">
        <v>372</v>
      </c>
      <c r="K32" s="1574" t="str">
        <f t="shared" si="0"/>
        <v>003120150809</v>
      </c>
    </row>
    <row r="33" spans="1:11">
      <c r="A33" s="1571">
        <v>32</v>
      </c>
      <c r="B33" s="1572" t="s">
        <v>448</v>
      </c>
      <c r="C33" s="1572" t="s">
        <v>439</v>
      </c>
      <c r="D33" s="1572"/>
      <c r="E33" s="1572" t="s">
        <v>370</v>
      </c>
      <c r="F33" s="1572" t="s">
        <v>370</v>
      </c>
      <c r="G33" s="1573">
        <v>42240</v>
      </c>
      <c r="H33" s="1465">
        <v>93</v>
      </c>
      <c r="I33" s="1572" t="s">
        <v>380</v>
      </c>
      <c r="J33" s="1572" t="s">
        <v>372</v>
      </c>
      <c r="K33" s="1574" t="str">
        <f t="shared" si="0"/>
        <v>003220150824</v>
      </c>
    </row>
    <row r="34" spans="1:11">
      <c r="A34" s="1571">
        <v>33</v>
      </c>
      <c r="B34" s="1572" t="s">
        <v>449</v>
      </c>
      <c r="C34" s="1572" t="s">
        <v>378</v>
      </c>
      <c r="D34" s="1572" t="s">
        <v>450</v>
      </c>
      <c r="E34" s="1572" t="s">
        <v>370</v>
      </c>
      <c r="F34" s="1572" t="s">
        <v>370</v>
      </c>
      <c r="G34" s="1573">
        <v>42248</v>
      </c>
      <c r="H34" s="1465">
        <v>89</v>
      </c>
      <c r="I34" s="1572" t="s">
        <v>411</v>
      </c>
      <c r="J34" s="1572" t="s">
        <v>372</v>
      </c>
      <c r="K34" s="1574" t="str">
        <f t="shared" ref="K34:K65" si="1">CONCATENATE(TEXT(A34,"0000"),(TEXT(G34,"aaaammdd")))</f>
        <v>003320150901</v>
      </c>
    </row>
    <row r="35" spans="1:11">
      <c r="A35" s="1571">
        <v>34</v>
      </c>
      <c r="B35" s="1572" t="s">
        <v>451</v>
      </c>
      <c r="C35" s="1572" t="s">
        <v>378</v>
      </c>
      <c r="D35" s="1572" t="s">
        <v>452</v>
      </c>
      <c r="E35" s="1572" t="s">
        <v>370</v>
      </c>
      <c r="F35" s="1572" t="s">
        <v>370</v>
      </c>
      <c r="G35" s="1573">
        <v>42248</v>
      </c>
      <c r="H35" s="1465">
        <v>89</v>
      </c>
      <c r="I35" s="1572" t="s">
        <v>411</v>
      </c>
      <c r="J35" s="1572" t="s">
        <v>372</v>
      </c>
      <c r="K35" s="1574" t="str">
        <f t="shared" si="1"/>
        <v>003420150901</v>
      </c>
    </row>
    <row r="36" spans="1:11">
      <c r="A36" s="1571">
        <v>35</v>
      </c>
      <c r="B36" s="1572" t="s">
        <v>453</v>
      </c>
      <c r="C36" s="1572" t="s">
        <v>454</v>
      </c>
      <c r="D36" s="1572" t="s">
        <v>455</v>
      </c>
      <c r="E36" s="1572" t="s">
        <v>370</v>
      </c>
      <c r="F36" s="1572" t="s">
        <v>370</v>
      </c>
      <c r="G36" s="1573">
        <v>42256</v>
      </c>
      <c r="H36" s="1465">
        <v>174.9</v>
      </c>
      <c r="I36" s="1572" t="s">
        <v>456</v>
      </c>
      <c r="J36" s="1572" t="s">
        <v>372</v>
      </c>
      <c r="K36" s="1574" t="str">
        <f>CONCATENATE(TEXT(A36,"0000"),(TEXT(G36,"aaaammdd")))</f>
        <v>003520150909</v>
      </c>
    </row>
    <row r="37" spans="1:11">
      <c r="A37" s="1571">
        <v>36</v>
      </c>
      <c r="B37" s="1572" t="s">
        <v>457</v>
      </c>
      <c r="C37" s="1572" t="s">
        <v>378</v>
      </c>
      <c r="D37" s="1572" t="s">
        <v>458</v>
      </c>
      <c r="E37" s="1572" t="s">
        <v>370</v>
      </c>
      <c r="F37" s="1572" t="s">
        <v>370</v>
      </c>
      <c r="G37" s="1573">
        <v>42265</v>
      </c>
      <c r="H37" s="1465">
        <v>79</v>
      </c>
      <c r="I37" s="1572" t="s">
        <v>459</v>
      </c>
      <c r="J37" s="1572" t="s">
        <v>372</v>
      </c>
      <c r="K37" s="1574" t="str">
        <f t="shared" si="1"/>
        <v>003620150918</v>
      </c>
    </row>
    <row r="38" spans="1:11">
      <c r="A38" s="1571">
        <v>37</v>
      </c>
      <c r="B38" s="1572" t="s">
        <v>460</v>
      </c>
      <c r="C38" s="1572" t="s">
        <v>404</v>
      </c>
      <c r="D38" s="1572" t="s">
        <v>461</v>
      </c>
      <c r="E38" s="1572" t="s">
        <v>376</v>
      </c>
      <c r="F38" s="1572" t="s">
        <v>376</v>
      </c>
      <c r="G38" s="1573">
        <v>42266</v>
      </c>
      <c r="H38" s="1465">
        <v>40</v>
      </c>
      <c r="I38" s="1572" t="s">
        <v>462</v>
      </c>
      <c r="J38" s="1572" t="s">
        <v>372</v>
      </c>
      <c r="K38" s="1574" t="str">
        <f t="shared" si="1"/>
        <v>003720150919</v>
      </c>
    </row>
    <row r="39" spans="1:11">
      <c r="A39" s="1571">
        <v>38</v>
      </c>
      <c r="B39" s="1572" t="s">
        <v>367</v>
      </c>
      <c r="C39" s="1572" t="s">
        <v>463</v>
      </c>
      <c r="D39" s="1572"/>
      <c r="E39" s="1572" t="s">
        <v>376</v>
      </c>
      <c r="F39" s="1572" t="s">
        <v>376</v>
      </c>
      <c r="G39" s="1573">
        <v>42266</v>
      </c>
      <c r="H39" s="1465">
        <v>15</v>
      </c>
      <c r="I39" s="1572" t="s">
        <v>462</v>
      </c>
      <c r="J39" s="1572" t="s">
        <v>372</v>
      </c>
      <c r="K39" s="1574" t="str">
        <f t="shared" si="1"/>
        <v>003820150919</v>
      </c>
    </row>
    <row r="40" spans="1:11">
      <c r="A40" s="1571">
        <v>39</v>
      </c>
      <c r="B40" s="1572" t="s">
        <v>464</v>
      </c>
      <c r="C40" s="1572" t="s">
        <v>465</v>
      </c>
      <c r="D40" s="1572" t="s">
        <v>466</v>
      </c>
      <c r="E40" s="1572" t="s">
        <v>370</v>
      </c>
      <c r="F40" s="1572" t="s">
        <v>376</v>
      </c>
      <c r="G40" s="1573">
        <v>42270</v>
      </c>
      <c r="H40" s="1465">
        <v>95</v>
      </c>
      <c r="I40" s="1572" t="s">
        <v>462</v>
      </c>
      <c r="J40" s="1572" t="s">
        <v>372</v>
      </c>
      <c r="K40" s="1574" t="str">
        <f t="shared" si="1"/>
        <v>003920150923</v>
      </c>
    </row>
    <row r="41" spans="1:11">
      <c r="A41" s="1571">
        <v>40</v>
      </c>
      <c r="B41" s="1572" t="s">
        <v>467</v>
      </c>
      <c r="C41" s="1572" t="s">
        <v>378</v>
      </c>
      <c r="D41" s="1572" t="s">
        <v>468</v>
      </c>
      <c r="E41" s="1572" t="s">
        <v>370</v>
      </c>
      <c r="F41" s="1572" t="s">
        <v>370</v>
      </c>
      <c r="G41" s="1573">
        <v>42274</v>
      </c>
      <c r="H41" s="1465">
        <v>110</v>
      </c>
      <c r="I41" s="1572" t="s">
        <v>411</v>
      </c>
      <c r="J41" s="1572" t="s">
        <v>372</v>
      </c>
      <c r="K41" s="1574" t="str">
        <f t="shared" si="1"/>
        <v>004020150927</v>
      </c>
    </row>
    <row r="42" spans="1:11">
      <c r="A42" s="1571">
        <v>41</v>
      </c>
      <c r="B42" s="1572" t="s">
        <v>469</v>
      </c>
      <c r="C42" s="1572" t="s">
        <v>378</v>
      </c>
      <c r="D42" s="1572" t="s">
        <v>470</v>
      </c>
      <c r="E42" s="1572" t="s">
        <v>370</v>
      </c>
      <c r="F42" s="1572" t="s">
        <v>370</v>
      </c>
      <c r="G42" s="1573">
        <v>42274</v>
      </c>
      <c r="H42" s="1465">
        <v>110</v>
      </c>
      <c r="I42" s="1572" t="s">
        <v>411</v>
      </c>
      <c r="J42" s="1572" t="s">
        <v>372</v>
      </c>
      <c r="K42" s="1574" t="str">
        <f t="shared" si="1"/>
        <v>004120150927</v>
      </c>
    </row>
    <row r="43" spans="1:11">
      <c r="A43" s="1571">
        <v>42</v>
      </c>
      <c r="B43" s="1572" t="s">
        <v>471</v>
      </c>
      <c r="C43" s="1572" t="s">
        <v>378</v>
      </c>
      <c r="D43" s="1572" t="s">
        <v>472</v>
      </c>
      <c r="E43" s="1572" t="s">
        <v>370</v>
      </c>
      <c r="F43" s="1572" t="s">
        <v>376</v>
      </c>
      <c r="G43" s="1573">
        <v>42274</v>
      </c>
      <c r="H43" s="1465">
        <v>135</v>
      </c>
      <c r="I43" s="1572" t="s">
        <v>411</v>
      </c>
      <c r="J43" s="1572" t="s">
        <v>372</v>
      </c>
      <c r="K43" s="1574" t="str">
        <f t="shared" si="1"/>
        <v>004220150927</v>
      </c>
    </row>
    <row r="44" spans="1:11">
      <c r="A44" s="1571">
        <v>43</v>
      </c>
      <c r="B44" s="1572" t="s">
        <v>473</v>
      </c>
      <c r="C44" s="1572" t="s">
        <v>384</v>
      </c>
      <c r="D44" s="1572" t="s">
        <v>474</v>
      </c>
      <c r="E44" s="1572" t="s">
        <v>370</v>
      </c>
      <c r="F44" s="1572" t="s">
        <v>376</v>
      </c>
      <c r="G44" s="1573">
        <v>42280</v>
      </c>
      <c r="H44" s="1465">
        <v>40</v>
      </c>
      <c r="I44" s="1572" t="s">
        <v>462</v>
      </c>
      <c r="J44" s="1572" t="s">
        <v>372</v>
      </c>
      <c r="K44" s="1574" t="str">
        <f t="shared" si="1"/>
        <v>004320151003</v>
      </c>
    </row>
    <row r="45" spans="1:11">
      <c r="A45" s="1571">
        <v>44</v>
      </c>
      <c r="B45" s="1572" t="s">
        <v>475</v>
      </c>
      <c r="C45" s="1572" t="s">
        <v>378</v>
      </c>
      <c r="D45" s="1572" t="s">
        <v>476</v>
      </c>
      <c r="E45" s="1572" t="s">
        <v>370</v>
      </c>
      <c r="F45" s="1572" t="s">
        <v>370</v>
      </c>
      <c r="G45" s="1573">
        <v>42287</v>
      </c>
      <c r="H45" s="1465">
        <v>110</v>
      </c>
      <c r="I45" s="1572" t="s">
        <v>459</v>
      </c>
      <c r="J45" s="1572" t="s">
        <v>372</v>
      </c>
      <c r="K45" s="1574" t="str">
        <f t="shared" si="1"/>
        <v>004420151010</v>
      </c>
    </row>
    <row r="46" spans="1:11">
      <c r="A46" s="1571">
        <v>45</v>
      </c>
      <c r="B46" s="1572" t="s">
        <v>477</v>
      </c>
      <c r="C46" s="1572" t="s">
        <v>384</v>
      </c>
      <c r="D46" s="845" t="s">
        <v>478</v>
      </c>
      <c r="E46" s="1572" t="s">
        <v>370</v>
      </c>
      <c r="F46" s="1572" t="s">
        <v>376</v>
      </c>
      <c r="G46" s="1573">
        <v>42297</v>
      </c>
      <c r="H46" s="1465">
        <v>29.91</v>
      </c>
      <c r="I46" s="1572" t="s">
        <v>479</v>
      </c>
      <c r="J46" s="1572" t="s">
        <v>372</v>
      </c>
      <c r="K46" s="1574" t="str">
        <f t="shared" si="1"/>
        <v>004520151020</v>
      </c>
    </row>
    <row r="47" spans="1:11">
      <c r="A47" s="1571">
        <v>46</v>
      </c>
      <c r="B47" s="1572" t="s">
        <v>480</v>
      </c>
      <c r="C47" s="1572" t="s">
        <v>481</v>
      </c>
      <c r="D47" s="1572" t="s">
        <v>482</v>
      </c>
      <c r="E47" s="1572" t="s">
        <v>370</v>
      </c>
      <c r="F47" s="1572" t="s">
        <v>376</v>
      </c>
      <c r="G47" s="1573">
        <v>42297</v>
      </c>
      <c r="H47" s="1465">
        <v>40.799999999999997</v>
      </c>
      <c r="I47" s="1572" t="s">
        <v>380</v>
      </c>
      <c r="J47" s="1572" t="s">
        <v>483</v>
      </c>
      <c r="K47" s="1574" t="str">
        <f t="shared" si="1"/>
        <v>004620151020</v>
      </c>
    </row>
    <row r="48" spans="1:11">
      <c r="A48" s="1571">
        <v>47</v>
      </c>
      <c r="B48" s="1572" t="s">
        <v>484</v>
      </c>
      <c r="C48" s="1572" t="s">
        <v>439</v>
      </c>
      <c r="D48" s="1572" t="s">
        <v>418</v>
      </c>
      <c r="E48" s="1572" t="s">
        <v>370</v>
      </c>
      <c r="F48" s="1572" t="s">
        <v>370</v>
      </c>
      <c r="G48" s="1573">
        <v>42297</v>
      </c>
      <c r="H48" s="1465">
        <v>98</v>
      </c>
      <c r="I48" s="1572" t="s">
        <v>380</v>
      </c>
      <c r="J48" s="1572" t="s">
        <v>372</v>
      </c>
      <c r="K48" s="1574" t="str">
        <f t="shared" si="1"/>
        <v>004720151020</v>
      </c>
    </row>
    <row r="49" spans="1:11">
      <c r="A49" s="1571">
        <v>48</v>
      </c>
      <c r="B49" s="1572" t="s">
        <v>485</v>
      </c>
      <c r="C49" s="1572" t="s">
        <v>393</v>
      </c>
      <c r="D49" s="1572" t="s">
        <v>486</v>
      </c>
      <c r="E49" s="1572" t="s">
        <v>370</v>
      </c>
      <c r="F49" s="1572" t="s">
        <v>370</v>
      </c>
      <c r="G49" s="1573">
        <v>42297</v>
      </c>
      <c r="H49" s="1465">
        <v>98</v>
      </c>
      <c r="I49" s="1572" t="s">
        <v>380</v>
      </c>
      <c r="J49" s="1572" t="s">
        <v>372</v>
      </c>
      <c r="K49" s="1574" t="str">
        <f t="shared" si="1"/>
        <v>004820151020</v>
      </c>
    </row>
    <row r="50" spans="1:11">
      <c r="A50" s="1571">
        <v>49</v>
      </c>
      <c r="B50" s="1572" t="s">
        <v>487</v>
      </c>
      <c r="C50" s="1572" t="s">
        <v>384</v>
      </c>
      <c r="D50" s="1572" t="s">
        <v>488</v>
      </c>
      <c r="E50" s="1572" t="s">
        <v>370</v>
      </c>
      <c r="F50" s="1572" t="s">
        <v>376</v>
      </c>
      <c r="G50" s="1573">
        <v>42308</v>
      </c>
      <c r="H50" s="1465">
        <v>30</v>
      </c>
      <c r="I50" s="1572" t="s">
        <v>462</v>
      </c>
      <c r="J50" s="1572" t="s">
        <v>372</v>
      </c>
      <c r="K50" s="1574" t="str">
        <f t="shared" si="1"/>
        <v>004920151031</v>
      </c>
    </row>
    <row r="51" spans="1:11">
      <c r="A51" s="1571">
        <v>50</v>
      </c>
      <c r="B51" s="1572" t="s">
        <v>489</v>
      </c>
      <c r="C51" s="1572" t="s">
        <v>393</v>
      </c>
      <c r="D51" s="1572" t="s">
        <v>490</v>
      </c>
      <c r="E51" s="1572" t="s">
        <v>370</v>
      </c>
      <c r="F51" s="1572" t="s">
        <v>376</v>
      </c>
      <c r="G51" s="1573">
        <v>42318</v>
      </c>
      <c r="H51" s="1465">
        <v>0</v>
      </c>
      <c r="I51" s="1572" t="s">
        <v>423</v>
      </c>
      <c r="J51" s="1572" t="s">
        <v>372</v>
      </c>
      <c r="K51" s="1574" t="str">
        <f t="shared" si="1"/>
        <v>005020151110</v>
      </c>
    </row>
    <row r="52" spans="1:11">
      <c r="A52" s="1571">
        <v>51</v>
      </c>
      <c r="B52" s="1572" t="s">
        <v>471</v>
      </c>
      <c r="C52" s="1572" t="s">
        <v>491</v>
      </c>
      <c r="D52" s="1572" t="s">
        <v>492</v>
      </c>
      <c r="E52" s="1572" t="s">
        <v>370</v>
      </c>
      <c r="F52" s="1572" t="s">
        <v>376</v>
      </c>
      <c r="G52" s="1573">
        <v>42329</v>
      </c>
      <c r="H52" s="1465">
        <v>33.19</v>
      </c>
      <c r="I52" s="1572" t="s">
        <v>493</v>
      </c>
      <c r="J52" s="1572" t="s">
        <v>372</v>
      </c>
      <c r="K52" s="1574" t="str">
        <f t="shared" si="1"/>
        <v>005120151121</v>
      </c>
    </row>
    <row r="53" spans="1:11">
      <c r="A53" s="1571">
        <v>52</v>
      </c>
      <c r="B53" s="1572" t="s">
        <v>494</v>
      </c>
      <c r="C53" s="1572" t="s">
        <v>378</v>
      </c>
      <c r="D53" s="1572" t="s">
        <v>495</v>
      </c>
      <c r="E53" s="1572" t="s">
        <v>370</v>
      </c>
      <c r="F53" s="1572" t="s">
        <v>370</v>
      </c>
      <c r="G53" s="1573">
        <v>42337</v>
      </c>
      <c r="H53" s="1465">
        <v>204</v>
      </c>
      <c r="I53" s="1572" t="s">
        <v>380</v>
      </c>
      <c r="J53" s="1572" t="s">
        <v>372</v>
      </c>
      <c r="K53" s="1574" t="str">
        <f t="shared" si="1"/>
        <v>005220151129</v>
      </c>
    </row>
    <row r="54" spans="1:11">
      <c r="A54" s="1571">
        <v>53</v>
      </c>
      <c r="B54" s="1572" t="s">
        <v>496</v>
      </c>
      <c r="C54" s="1572" t="s">
        <v>393</v>
      </c>
      <c r="D54" s="1572" t="s">
        <v>497</v>
      </c>
      <c r="E54" s="1572" t="s">
        <v>370</v>
      </c>
      <c r="F54" s="1572" t="s">
        <v>370</v>
      </c>
      <c r="G54" s="1573">
        <v>42352</v>
      </c>
      <c r="H54" s="1465">
        <v>79</v>
      </c>
      <c r="I54" s="1572" t="s">
        <v>380</v>
      </c>
      <c r="J54" s="1572" t="s">
        <v>372</v>
      </c>
      <c r="K54" s="1574" t="str">
        <f t="shared" si="1"/>
        <v>005320151214</v>
      </c>
    </row>
    <row r="55" spans="1:11">
      <c r="A55" s="1571">
        <v>54</v>
      </c>
      <c r="B55" s="1572" t="s">
        <v>498</v>
      </c>
      <c r="C55" s="1572" t="s">
        <v>378</v>
      </c>
      <c r="D55" s="1572" t="s">
        <v>396</v>
      </c>
      <c r="E55" s="1572" t="s">
        <v>370</v>
      </c>
      <c r="F55" s="1572" t="s">
        <v>370</v>
      </c>
      <c r="G55" s="1573">
        <v>42334</v>
      </c>
      <c r="H55" s="1465">
        <v>115</v>
      </c>
      <c r="I55" s="1572" t="s">
        <v>380</v>
      </c>
      <c r="J55" s="1572" t="s">
        <v>372</v>
      </c>
      <c r="K55" s="1574" t="str">
        <f t="shared" si="1"/>
        <v>005420151126</v>
      </c>
    </row>
    <row r="56" spans="1:11">
      <c r="A56" s="1571">
        <v>55</v>
      </c>
      <c r="B56" s="1572" t="s">
        <v>499</v>
      </c>
      <c r="C56" s="1572" t="s">
        <v>393</v>
      </c>
      <c r="D56" s="1572" t="s">
        <v>500</v>
      </c>
      <c r="E56" s="1572" t="s">
        <v>370</v>
      </c>
      <c r="F56" s="1572" t="s">
        <v>370</v>
      </c>
      <c r="G56" s="1573">
        <v>42352</v>
      </c>
      <c r="H56" s="1465">
        <v>79</v>
      </c>
      <c r="I56" s="1572" t="s">
        <v>380</v>
      </c>
      <c r="J56" s="1572" t="s">
        <v>372</v>
      </c>
      <c r="K56" s="1574" t="str">
        <f t="shared" si="1"/>
        <v>005520151214</v>
      </c>
    </row>
    <row r="57" spans="1:11">
      <c r="A57" s="1048">
        <v>56</v>
      </c>
      <c r="B57" s="1572" t="s">
        <v>501</v>
      </c>
      <c r="C57" s="1572" t="s">
        <v>393</v>
      </c>
      <c r="D57" s="1572" t="s">
        <v>502</v>
      </c>
      <c r="E57" s="1572" t="s">
        <v>370</v>
      </c>
      <c r="F57" s="1572" t="s">
        <v>376</v>
      </c>
      <c r="G57" s="1573">
        <v>42352</v>
      </c>
      <c r="H57" s="1465">
        <v>115</v>
      </c>
      <c r="I57" s="1572" t="s">
        <v>459</v>
      </c>
      <c r="J57" s="1572" t="s">
        <v>372</v>
      </c>
      <c r="K57" s="1574" t="str">
        <f t="shared" si="1"/>
        <v>005620151214</v>
      </c>
    </row>
    <row r="58" spans="1:11">
      <c r="A58" s="1571">
        <v>57</v>
      </c>
      <c r="B58" s="1572" t="s">
        <v>503</v>
      </c>
      <c r="C58" s="1572" t="s">
        <v>393</v>
      </c>
      <c r="D58" s="1572" t="s">
        <v>504</v>
      </c>
      <c r="E58" s="1572" t="s">
        <v>370</v>
      </c>
      <c r="F58" s="1572" t="s">
        <v>370</v>
      </c>
      <c r="G58" s="1573">
        <v>42359</v>
      </c>
      <c r="H58" s="1465">
        <v>105</v>
      </c>
      <c r="I58" s="1572" t="s">
        <v>459</v>
      </c>
      <c r="J58" s="1572" t="s">
        <v>372</v>
      </c>
      <c r="K58" s="1574" t="str">
        <f t="shared" si="1"/>
        <v>005720151221</v>
      </c>
    </row>
    <row r="59" spans="1:11">
      <c r="A59" s="1571">
        <v>58</v>
      </c>
      <c r="B59" s="1572" t="s">
        <v>505</v>
      </c>
      <c r="C59" s="1572" t="s">
        <v>506</v>
      </c>
      <c r="D59" s="1572" t="s">
        <v>507</v>
      </c>
      <c r="E59" s="1572" t="s">
        <v>370</v>
      </c>
      <c r="F59" s="1572" t="s">
        <v>376</v>
      </c>
      <c r="G59" s="1573">
        <v>42364</v>
      </c>
      <c r="H59" s="1465">
        <v>0</v>
      </c>
      <c r="I59" s="1572" t="s">
        <v>423</v>
      </c>
      <c r="J59" s="1572" t="s">
        <v>483</v>
      </c>
      <c r="K59" s="1574" t="str">
        <f t="shared" si="1"/>
        <v>005820151226</v>
      </c>
    </row>
    <row r="60" spans="1:11">
      <c r="A60" s="1571">
        <v>59</v>
      </c>
      <c r="B60" s="1572" t="s">
        <v>508</v>
      </c>
      <c r="C60" s="1572" t="s">
        <v>399</v>
      </c>
      <c r="D60" s="845" t="s">
        <v>400</v>
      </c>
      <c r="E60" s="1572" t="s">
        <v>376</v>
      </c>
      <c r="F60" s="1572" t="s">
        <v>376</v>
      </c>
      <c r="G60" s="1573">
        <v>42335</v>
      </c>
      <c r="H60" s="1465">
        <v>164.8</v>
      </c>
      <c r="I60" s="1572" t="s">
        <v>399</v>
      </c>
      <c r="J60" s="1572" t="s">
        <v>372</v>
      </c>
      <c r="K60" s="1574" t="str">
        <f t="shared" si="1"/>
        <v>005920151127</v>
      </c>
    </row>
    <row r="61" spans="1:11">
      <c r="A61" s="1571">
        <v>60</v>
      </c>
      <c r="B61" s="1572" t="s">
        <v>509</v>
      </c>
      <c r="C61" s="1572" t="s">
        <v>393</v>
      </c>
      <c r="D61" s="1572" t="s">
        <v>510</v>
      </c>
      <c r="E61" s="1572" t="s">
        <v>370</v>
      </c>
      <c r="F61" s="1572" t="s">
        <v>370</v>
      </c>
      <c r="G61" s="1573">
        <v>42373</v>
      </c>
      <c r="H61" s="1465">
        <v>105</v>
      </c>
      <c r="I61" s="1572" t="s">
        <v>511</v>
      </c>
      <c r="J61" s="1572" t="s">
        <v>372</v>
      </c>
      <c r="K61" s="1574" t="str">
        <f t="shared" si="1"/>
        <v>006020160104</v>
      </c>
    </row>
    <row r="62" spans="1:11">
      <c r="A62" s="1571">
        <v>61</v>
      </c>
      <c r="B62" s="1572" t="s">
        <v>512</v>
      </c>
      <c r="C62" s="1572" t="s">
        <v>443</v>
      </c>
      <c r="D62" s="1572" t="s">
        <v>513</v>
      </c>
      <c r="E62" s="1572" t="s">
        <v>370</v>
      </c>
      <c r="F62" s="1572" t="s">
        <v>370</v>
      </c>
      <c r="G62" s="1573">
        <v>42368</v>
      </c>
      <c r="H62" s="1465">
        <v>88.15</v>
      </c>
      <c r="I62" s="1572" t="s">
        <v>514</v>
      </c>
      <c r="J62" s="1572" t="s">
        <v>372</v>
      </c>
      <c r="K62" s="1574" t="str">
        <f t="shared" si="1"/>
        <v>006120151230</v>
      </c>
    </row>
    <row r="63" spans="1:11">
      <c r="A63" s="1571">
        <v>62</v>
      </c>
      <c r="B63" s="1572" t="s">
        <v>515</v>
      </c>
      <c r="C63" s="1572" t="s">
        <v>443</v>
      </c>
      <c r="D63" s="1572" t="s">
        <v>516</v>
      </c>
      <c r="E63" s="1572" t="s">
        <v>370</v>
      </c>
      <c r="F63" s="1572" t="s">
        <v>370</v>
      </c>
      <c r="G63" s="1573">
        <v>42368</v>
      </c>
      <c r="H63" s="1465">
        <v>83.15</v>
      </c>
      <c r="I63" s="1572" t="s">
        <v>514</v>
      </c>
      <c r="J63" s="1572" t="s">
        <v>372</v>
      </c>
      <c r="K63" s="1574" t="str">
        <f t="shared" si="1"/>
        <v>006220151230</v>
      </c>
    </row>
    <row r="64" spans="1:11">
      <c r="A64" s="1571">
        <v>63</v>
      </c>
      <c r="B64" s="1572" t="s">
        <v>517</v>
      </c>
      <c r="C64" s="1572" t="s">
        <v>393</v>
      </c>
      <c r="D64" s="1572" t="s">
        <v>518</v>
      </c>
      <c r="E64" s="1572" t="s">
        <v>370</v>
      </c>
      <c r="F64" s="1572" t="s">
        <v>370</v>
      </c>
      <c r="G64" s="1573">
        <v>42389</v>
      </c>
      <c r="H64" s="1465">
        <v>105</v>
      </c>
      <c r="I64" s="1572" t="s">
        <v>380</v>
      </c>
      <c r="J64" s="1572" t="s">
        <v>372</v>
      </c>
      <c r="K64" s="1574" t="str">
        <f t="shared" si="1"/>
        <v>006320160120</v>
      </c>
    </row>
    <row r="65" spans="1:11">
      <c r="A65" s="1571">
        <v>64</v>
      </c>
      <c r="B65" s="1572" t="s">
        <v>519</v>
      </c>
      <c r="C65" s="1572" t="s">
        <v>393</v>
      </c>
      <c r="D65" s="1572" t="s">
        <v>520</v>
      </c>
      <c r="E65" s="1572" t="s">
        <v>370</v>
      </c>
      <c r="F65" s="1572" t="s">
        <v>370</v>
      </c>
      <c r="G65" s="1573">
        <v>42389</v>
      </c>
      <c r="H65" s="1465">
        <v>105</v>
      </c>
      <c r="I65" s="1572" t="s">
        <v>380</v>
      </c>
      <c r="J65" s="1572" t="s">
        <v>372</v>
      </c>
      <c r="K65" s="1574" t="str">
        <f t="shared" si="1"/>
        <v>006420160120</v>
      </c>
    </row>
    <row r="66" spans="1:11">
      <c r="A66" s="1571">
        <v>65</v>
      </c>
      <c r="B66" s="1572" t="s">
        <v>521</v>
      </c>
      <c r="C66" s="1572" t="s">
        <v>384</v>
      </c>
      <c r="D66" s="1572" t="s">
        <v>522</v>
      </c>
      <c r="E66" s="1572" t="s">
        <v>370</v>
      </c>
      <c r="F66" s="1572" t="s">
        <v>376</v>
      </c>
      <c r="G66" s="1573">
        <v>42389</v>
      </c>
      <c r="H66" s="1465">
        <v>40.83</v>
      </c>
      <c r="I66" s="1572" t="s">
        <v>479</v>
      </c>
      <c r="J66" s="1572" t="s">
        <v>483</v>
      </c>
      <c r="K66" s="1574" t="str">
        <f t="shared" ref="K66:K97" si="2">CONCATENATE(TEXT(A66,"0000"),(TEXT(G66,"aaaammdd")))</f>
        <v>006520160120</v>
      </c>
    </row>
    <row r="67" spans="1:11">
      <c r="A67" s="1571">
        <v>66</v>
      </c>
      <c r="B67" s="1572" t="s">
        <v>523</v>
      </c>
      <c r="C67" s="1572" t="s">
        <v>393</v>
      </c>
      <c r="D67" s="1572"/>
      <c r="E67" s="1572" t="s">
        <v>370</v>
      </c>
      <c r="F67" s="1572" t="s">
        <v>370</v>
      </c>
      <c r="G67" s="1573">
        <v>42428</v>
      </c>
      <c r="H67" s="1465">
        <v>150</v>
      </c>
      <c r="I67" s="1572" t="s">
        <v>524</v>
      </c>
      <c r="J67" s="1572" t="s">
        <v>372</v>
      </c>
      <c r="K67" s="1574" t="str">
        <f t="shared" si="2"/>
        <v>006620160228</v>
      </c>
    </row>
    <row r="68" spans="1:11">
      <c r="A68" s="1571">
        <v>67</v>
      </c>
      <c r="B68" s="1572" t="s">
        <v>525</v>
      </c>
      <c r="C68" s="1572" t="s">
        <v>443</v>
      </c>
      <c r="D68" s="1572" t="s">
        <v>379</v>
      </c>
      <c r="E68" s="1572" t="s">
        <v>370</v>
      </c>
      <c r="F68" s="1572" t="s">
        <v>370</v>
      </c>
      <c r="G68" s="1573">
        <v>42428</v>
      </c>
      <c r="H68" s="1465">
        <v>150</v>
      </c>
      <c r="I68" s="1572" t="s">
        <v>524</v>
      </c>
      <c r="J68" s="1572" t="s">
        <v>372</v>
      </c>
      <c r="K68" s="1574" t="str">
        <f t="shared" si="2"/>
        <v>006720160228</v>
      </c>
    </row>
    <row r="69" spans="1:11">
      <c r="A69" s="1571">
        <v>68</v>
      </c>
      <c r="B69" s="1572" t="s">
        <v>526</v>
      </c>
      <c r="C69" s="1572" t="s">
        <v>527</v>
      </c>
      <c r="D69" s="1572" t="s">
        <v>528</v>
      </c>
      <c r="E69" s="1572" t="s">
        <v>370</v>
      </c>
      <c r="F69" s="1572" t="s">
        <v>376</v>
      </c>
      <c r="G69" s="1573">
        <v>42426</v>
      </c>
      <c r="H69" s="1465">
        <v>110</v>
      </c>
      <c r="I69" s="1572" t="s">
        <v>462</v>
      </c>
      <c r="J69" s="1572" t="s">
        <v>372</v>
      </c>
      <c r="K69" s="1574" t="str">
        <f t="shared" si="2"/>
        <v>006820160226</v>
      </c>
    </row>
    <row r="70" spans="1:11">
      <c r="A70" s="1571">
        <v>69</v>
      </c>
      <c r="B70" s="1572" t="s">
        <v>529</v>
      </c>
      <c r="C70" s="1572" t="s">
        <v>378</v>
      </c>
      <c r="D70" s="1572" t="s">
        <v>396</v>
      </c>
      <c r="E70" s="1572" t="s">
        <v>376</v>
      </c>
      <c r="F70" s="1572" t="s">
        <v>376</v>
      </c>
      <c r="G70" s="1573">
        <v>42429</v>
      </c>
      <c r="H70" s="1465">
        <v>179</v>
      </c>
      <c r="I70" s="1572" t="s">
        <v>530</v>
      </c>
      <c r="J70" s="1572" t="s">
        <v>372</v>
      </c>
      <c r="K70" s="1574" t="str">
        <f t="shared" si="2"/>
        <v>006920160229</v>
      </c>
    </row>
    <row r="71" spans="1:11">
      <c r="A71" s="1571">
        <v>70</v>
      </c>
      <c r="B71" s="1572" t="s">
        <v>531</v>
      </c>
      <c r="C71" s="1572" t="s">
        <v>378</v>
      </c>
      <c r="D71" s="1572" t="s">
        <v>532</v>
      </c>
      <c r="E71" s="1572" t="s">
        <v>370</v>
      </c>
      <c r="F71" s="1572" t="s">
        <v>376</v>
      </c>
      <c r="G71" s="1573">
        <v>42436</v>
      </c>
      <c r="H71" s="1465">
        <v>145.80000000000001</v>
      </c>
      <c r="I71" s="1572" t="s">
        <v>380</v>
      </c>
      <c r="J71" s="1572" t="s">
        <v>372</v>
      </c>
      <c r="K71" s="1574" t="str">
        <f t="shared" si="2"/>
        <v>007020160307</v>
      </c>
    </row>
    <row r="72" spans="1:11">
      <c r="A72" s="1571">
        <v>71</v>
      </c>
      <c r="B72" s="1572" t="s">
        <v>533</v>
      </c>
      <c r="C72" s="1572" t="s">
        <v>534</v>
      </c>
      <c r="D72" s="1572" t="s">
        <v>535</v>
      </c>
      <c r="E72" s="1572" t="s">
        <v>370</v>
      </c>
      <c r="F72" s="1572" t="s">
        <v>370</v>
      </c>
      <c r="G72" s="1573">
        <v>42448</v>
      </c>
      <c r="H72" s="1465">
        <v>0</v>
      </c>
      <c r="I72" s="1572" t="s">
        <v>536</v>
      </c>
      <c r="J72" s="1572" t="s">
        <v>537</v>
      </c>
      <c r="K72" s="1574" t="str">
        <f t="shared" si="2"/>
        <v>007120160319</v>
      </c>
    </row>
    <row r="73" spans="1:11">
      <c r="A73" s="1571">
        <v>72</v>
      </c>
      <c r="B73" s="1572" t="s">
        <v>538</v>
      </c>
      <c r="C73" s="1572" t="s">
        <v>378</v>
      </c>
      <c r="D73" s="1572" t="s">
        <v>539</v>
      </c>
      <c r="E73" s="1572" t="s">
        <v>370</v>
      </c>
      <c r="F73" s="1572" t="s">
        <v>370</v>
      </c>
      <c r="G73" s="1573">
        <v>42464</v>
      </c>
      <c r="H73" s="1465">
        <v>155</v>
      </c>
      <c r="I73" s="1572" t="s">
        <v>380</v>
      </c>
      <c r="J73" s="1572" t="s">
        <v>372</v>
      </c>
      <c r="K73" s="1574" t="str">
        <f t="shared" si="2"/>
        <v>007220160404</v>
      </c>
    </row>
    <row r="74" spans="1:11">
      <c r="A74" s="1571">
        <v>73</v>
      </c>
      <c r="B74" s="1572" t="s">
        <v>540</v>
      </c>
      <c r="C74" s="1572" t="s">
        <v>378</v>
      </c>
      <c r="D74" s="1572" t="s">
        <v>541</v>
      </c>
      <c r="E74" s="1572" t="s">
        <v>370</v>
      </c>
      <c r="F74" s="1572" t="s">
        <v>370</v>
      </c>
      <c r="G74" s="1573">
        <v>42490</v>
      </c>
      <c r="H74" s="1465">
        <v>70</v>
      </c>
      <c r="I74" s="1572" t="s">
        <v>536</v>
      </c>
      <c r="J74" s="1572" t="s">
        <v>372</v>
      </c>
      <c r="K74" s="1574" t="str">
        <f t="shared" si="2"/>
        <v>007320160430</v>
      </c>
    </row>
    <row r="75" spans="1:11">
      <c r="A75" s="1571">
        <v>74</v>
      </c>
      <c r="B75" s="1572" t="s">
        <v>542</v>
      </c>
      <c r="C75" s="1572" t="s">
        <v>543</v>
      </c>
      <c r="D75" s="1576" t="s">
        <v>544</v>
      </c>
      <c r="E75" s="1572" t="s">
        <v>370</v>
      </c>
      <c r="F75" s="1572" t="s">
        <v>370</v>
      </c>
      <c r="G75" s="1573">
        <v>42495</v>
      </c>
      <c r="H75" s="1465">
        <v>230</v>
      </c>
      <c r="I75" s="1572" t="s">
        <v>462</v>
      </c>
      <c r="J75" s="1572" t="s">
        <v>372</v>
      </c>
      <c r="K75" s="1574" t="str">
        <f t="shared" si="2"/>
        <v>007420160505</v>
      </c>
    </row>
    <row r="76" spans="1:11">
      <c r="A76" s="1571">
        <v>75</v>
      </c>
      <c r="B76" s="1572" t="s">
        <v>545</v>
      </c>
      <c r="C76" s="1572" t="s">
        <v>393</v>
      </c>
      <c r="D76" s="1576" t="s">
        <v>546</v>
      </c>
      <c r="E76" s="1572" t="s">
        <v>376</v>
      </c>
      <c r="F76" s="1572" t="s">
        <v>376</v>
      </c>
      <c r="G76" s="1573">
        <v>42515</v>
      </c>
      <c r="H76" s="1465">
        <v>64</v>
      </c>
      <c r="I76" s="1572" t="s">
        <v>380</v>
      </c>
      <c r="J76" s="1572" t="s">
        <v>547</v>
      </c>
      <c r="K76" s="1574" t="str">
        <f t="shared" si="2"/>
        <v>007520160525</v>
      </c>
    </row>
    <row r="77" spans="1:11">
      <c r="A77" s="1571">
        <v>76</v>
      </c>
      <c r="B77" s="1572" t="s">
        <v>548</v>
      </c>
      <c r="C77" s="1572" t="s">
        <v>393</v>
      </c>
      <c r="D77" s="1576" t="s">
        <v>549</v>
      </c>
      <c r="E77" s="1572" t="s">
        <v>370</v>
      </c>
      <c r="F77" s="1572" t="s">
        <v>370</v>
      </c>
      <c r="G77" s="1573">
        <v>42515</v>
      </c>
      <c r="H77" s="1465">
        <v>100</v>
      </c>
      <c r="I77" s="1572" t="s">
        <v>380</v>
      </c>
      <c r="J77" s="1572" t="s">
        <v>372</v>
      </c>
      <c r="K77" s="1574" t="str">
        <f t="shared" si="2"/>
        <v>007620160525</v>
      </c>
    </row>
    <row r="78" spans="1:11" ht="13.15" customHeight="1">
      <c r="A78" s="1571">
        <v>77</v>
      </c>
      <c r="B78" s="1572" t="s">
        <v>550</v>
      </c>
      <c r="C78" s="1572" t="s">
        <v>393</v>
      </c>
      <c r="D78" s="1576" t="s">
        <v>551</v>
      </c>
      <c r="E78" s="1572" t="s">
        <v>370</v>
      </c>
      <c r="F78" s="1572" t="s">
        <v>376</v>
      </c>
      <c r="G78" s="1573">
        <v>42532</v>
      </c>
      <c r="H78" s="1465">
        <v>99</v>
      </c>
      <c r="I78" s="1572" t="s">
        <v>552</v>
      </c>
      <c r="J78" s="1572" t="s">
        <v>372</v>
      </c>
      <c r="K78" s="1574" t="str">
        <f t="shared" si="2"/>
        <v>007720160611</v>
      </c>
    </row>
    <row r="79" spans="1:11" ht="12.75" customHeight="1">
      <c r="A79" s="1571">
        <v>78</v>
      </c>
      <c r="B79" s="1572" t="s">
        <v>553</v>
      </c>
      <c r="C79" s="1572" t="s">
        <v>393</v>
      </c>
      <c r="D79" s="1576" t="s">
        <v>554</v>
      </c>
      <c r="E79" s="1572" t="s">
        <v>370</v>
      </c>
      <c r="F79" s="1572" t="s">
        <v>376</v>
      </c>
      <c r="G79" s="1573">
        <v>42532</v>
      </c>
      <c r="H79" s="1465">
        <v>99</v>
      </c>
      <c r="I79" s="1572" t="s">
        <v>552</v>
      </c>
      <c r="J79" s="1572" t="s">
        <v>372</v>
      </c>
      <c r="K79" s="1574" t="str">
        <f t="shared" si="2"/>
        <v>007820160611</v>
      </c>
    </row>
    <row r="80" spans="1:11">
      <c r="A80" s="1571">
        <v>79</v>
      </c>
      <c r="B80" s="1572" t="s">
        <v>555</v>
      </c>
      <c r="C80" s="1572" t="s">
        <v>556</v>
      </c>
      <c r="D80" s="1572" t="s">
        <v>557</v>
      </c>
      <c r="E80" s="1572" t="s">
        <v>370</v>
      </c>
      <c r="F80" s="1572" t="s">
        <v>376</v>
      </c>
      <c r="G80" s="1573">
        <v>42532</v>
      </c>
      <c r="H80" s="1465">
        <v>124.59</v>
      </c>
      <c r="I80" s="1572" t="s">
        <v>558</v>
      </c>
      <c r="J80" s="1572" t="s">
        <v>372</v>
      </c>
      <c r="K80" s="1574" t="str">
        <f t="shared" si="2"/>
        <v>007920160611</v>
      </c>
    </row>
    <row r="81" spans="1:11">
      <c r="A81" s="1571">
        <v>80</v>
      </c>
      <c r="B81" s="1572" t="s">
        <v>559</v>
      </c>
      <c r="C81" s="1572" t="s">
        <v>556</v>
      </c>
      <c r="D81" s="1572" t="s">
        <v>560</v>
      </c>
      <c r="E81" s="1572" t="s">
        <v>376</v>
      </c>
      <c r="F81" s="1572" t="s">
        <v>370</v>
      </c>
      <c r="G81" s="1573">
        <v>42532</v>
      </c>
      <c r="H81" s="1465">
        <v>124.59</v>
      </c>
      <c r="I81" s="1572" t="s">
        <v>558</v>
      </c>
      <c r="J81" s="1572" t="s">
        <v>372</v>
      </c>
      <c r="K81" s="1574" t="str">
        <f t="shared" si="2"/>
        <v>008020160611</v>
      </c>
    </row>
    <row r="82" spans="1:11">
      <c r="A82" s="1571">
        <v>81</v>
      </c>
      <c r="B82" s="1572" t="s">
        <v>561</v>
      </c>
      <c r="C82" s="1572" t="s">
        <v>556</v>
      </c>
      <c r="D82" s="1572" t="s">
        <v>560</v>
      </c>
      <c r="E82" s="1572" t="s">
        <v>376</v>
      </c>
      <c r="F82" s="1572" t="s">
        <v>376</v>
      </c>
      <c r="G82" s="1573">
        <v>42532</v>
      </c>
      <c r="H82" s="1465">
        <v>124.59</v>
      </c>
      <c r="I82" s="1572" t="s">
        <v>558</v>
      </c>
      <c r="J82" s="1572" t="s">
        <v>537</v>
      </c>
      <c r="K82" s="1574" t="str">
        <f t="shared" si="2"/>
        <v>008120160611</v>
      </c>
    </row>
    <row r="83" spans="1:11">
      <c r="A83" s="1571">
        <v>82</v>
      </c>
      <c r="B83" s="1572" t="s">
        <v>562</v>
      </c>
      <c r="C83" s="1572" t="s">
        <v>556</v>
      </c>
      <c r="D83" s="1572" t="s">
        <v>560</v>
      </c>
      <c r="E83" s="1572" t="s">
        <v>370</v>
      </c>
      <c r="F83" s="1572" t="s">
        <v>376</v>
      </c>
      <c r="G83" s="1573">
        <v>42532</v>
      </c>
      <c r="H83" s="1465">
        <v>124.59</v>
      </c>
      <c r="I83" s="1572" t="s">
        <v>558</v>
      </c>
      <c r="J83" s="1572" t="s">
        <v>537</v>
      </c>
      <c r="K83" s="1574" t="str">
        <f t="shared" si="2"/>
        <v>008220160611</v>
      </c>
    </row>
    <row r="84" spans="1:11">
      <c r="A84" s="1571">
        <v>83</v>
      </c>
      <c r="B84" s="1572" t="s">
        <v>563</v>
      </c>
      <c r="C84" s="1572" t="s">
        <v>378</v>
      </c>
      <c r="D84" s="1572" t="s">
        <v>564</v>
      </c>
      <c r="E84" s="1572" t="s">
        <v>370</v>
      </c>
      <c r="F84" s="1572" t="s">
        <v>376</v>
      </c>
      <c r="G84" s="1573">
        <v>42540</v>
      </c>
      <c r="H84" s="1465">
        <v>127.5</v>
      </c>
      <c r="I84" s="1572" t="s">
        <v>411</v>
      </c>
      <c r="J84" s="1572" t="s">
        <v>372</v>
      </c>
      <c r="K84" s="1574" t="str">
        <f t="shared" si="2"/>
        <v>008320160619</v>
      </c>
    </row>
    <row r="85" spans="1:11">
      <c r="A85" s="1571">
        <v>84</v>
      </c>
      <c r="B85" s="1572" t="s">
        <v>565</v>
      </c>
      <c r="C85" s="1572" t="s">
        <v>393</v>
      </c>
      <c r="D85" s="1572" t="s">
        <v>566</v>
      </c>
      <c r="E85" s="1572" t="s">
        <v>370</v>
      </c>
      <c r="F85" s="1572" t="s">
        <v>376</v>
      </c>
      <c r="G85" s="1573">
        <v>42574</v>
      </c>
      <c r="H85" s="1465">
        <v>150</v>
      </c>
      <c r="I85" s="1572" t="s">
        <v>567</v>
      </c>
      <c r="J85" s="1572" t="s">
        <v>372</v>
      </c>
      <c r="K85" s="1574" t="str">
        <f t="shared" si="2"/>
        <v>008420160723</v>
      </c>
    </row>
    <row r="86" spans="1:11">
      <c r="A86" s="1571">
        <v>85</v>
      </c>
      <c r="B86" s="1572" t="s">
        <v>568</v>
      </c>
      <c r="C86" s="1572" t="s">
        <v>569</v>
      </c>
      <c r="D86" s="1572" t="s">
        <v>570</v>
      </c>
      <c r="E86" s="1572" t="s">
        <v>370</v>
      </c>
      <c r="F86" s="1572" t="s">
        <v>376</v>
      </c>
      <c r="G86" s="1573">
        <v>42574</v>
      </c>
      <c r="H86" s="1465">
        <v>62</v>
      </c>
      <c r="I86" s="1572" t="s">
        <v>571</v>
      </c>
      <c r="J86" s="1572" t="s">
        <v>372</v>
      </c>
      <c r="K86" s="1574" t="str">
        <f t="shared" si="2"/>
        <v>008520160723</v>
      </c>
    </row>
    <row r="87" spans="1:11">
      <c r="A87" s="1571">
        <v>86</v>
      </c>
      <c r="B87" s="1572" t="s">
        <v>572</v>
      </c>
      <c r="C87" s="1572" t="s">
        <v>569</v>
      </c>
      <c r="D87" s="1572" t="s">
        <v>573</v>
      </c>
      <c r="E87" s="1572" t="s">
        <v>370</v>
      </c>
      <c r="F87" s="1572" t="s">
        <v>376</v>
      </c>
      <c r="G87" s="1573">
        <v>42574</v>
      </c>
      <c r="H87" s="1465">
        <v>45</v>
      </c>
      <c r="I87" s="1572" t="s">
        <v>571</v>
      </c>
      <c r="J87" s="1572" t="s">
        <v>574</v>
      </c>
      <c r="K87" s="1574" t="str">
        <f t="shared" si="2"/>
        <v>008620160723</v>
      </c>
    </row>
    <row r="88" spans="1:11">
      <c r="A88" s="1571">
        <v>87</v>
      </c>
      <c r="B88" s="1572" t="s">
        <v>575</v>
      </c>
      <c r="C88" s="1572" t="s">
        <v>576</v>
      </c>
      <c r="D88" s="1572" t="s">
        <v>577</v>
      </c>
      <c r="E88" s="1572" t="s">
        <v>370</v>
      </c>
      <c r="F88" s="1572" t="s">
        <v>376</v>
      </c>
      <c r="G88" s="1573">
        <v>42557</v>
      </c>
      <c r="H88" s="1465">
        <v>252.51</v>
      </c>
      <c r="I88" s="1572" t="s">
        <v>578</v>
      </c>
      <c r="J88" s="1572" t="s">
        <v>372</v>
      </c>
      <c r="K88" s="1574" t="str">
        <f t="shared" si="2"/>
        <v>008720160706</v>
      </c>
    </row>
    <row r="89" spans="1:11">
      <c r="A89" s="1571">
        <v>88</v>
      </c>
      <c r="B89" s="1572" t="s">
        <v>579</v>
      </c>
      <c r="C89" s="1572" t="s">
        <v>580</v>
      </c>
      <c r="D89" s="1572" t="s">
        <v>581</v>
      </c>
      <c r="E89" s="1572" t="s">
        <v>370</v>
      </c>
      <c r="F89" s="1572" t="s">
        <v>376</v>
      </c>
      <c r="G89" s="1573">
        <v>42589</v>
      </c>
      <c r="H89" s="1465">
        <v>34.799999999999997</v>
      </c>
      <c r="I89" s="1572" t="s">
        <v>582</v>
      </c>
      <c r="J89" s="1572" t="s">
        <v>372</v>
      </c>
      <c r="K89" s="1574" t="str">
        <f t="shared" si="2"/>
        <v>008820160807</v>
      </c>
    </row>
    <row r="90" spans="1:11">
      <c r="A90" s="1571">
        <v>89</v>
      </c>
      <c r="B90" s="1572" t="s">
        <v>583</v>
      </c>
      <c r="C90" s="1572" t="s">
        <v>584</v>
      </c>
      <c r="D90" s="1572" t="s">
        <v>585</v>
      </c>
      <c r="E90" s="1572" t="s">
        <v>370</v>
      </c>
      <c r="F90" s="1572" t="s">
        <v>376</v>
      </c>
      <c r="G90" s="1573">
        <v>42577</v>
      </c>
      <c r="H90" s="1465">
        <v>108.1</v>
      </c>
      <c r="I90" s="1572" t="s">
        <v>586</v>
      </c>
      <c r="J90" s="1572" t="s">
        <v>372</v>
      </c>
      <c r="K90" s="1574" t="str">
        <f t="shared" si="2"/>
        <v>008920160726</v>
      </c>
    </row>
    <row r="91" spans="1:11">
      <c r="A91" s="1571">
        <v>90</v>
      </c>
      <c r="B91" s="1572" t="s">
        <v>587</v>
      </c>
      <c r="C91" s="1572" t="s">
        <v>588</v>
      </c>
      <c r="D91" s="1572" t="s">
        <v>588</v>
      </c>
      <c r="E91" s="1572" t="s">
        <v>370</v>
      </c>
      <c r="F91" s="1572" t="s">
        <v>370</v>
      </c>
      <c r="G91" s="1573">
        <v>42576</v>
      </c>
      <c r="H91" s="1465">
        <v>139.47999999999999</v>
      </c>
      <c r="I91" s="1572" t="s">
        <v>589</v>
      </c>
      <c r="J91" s="1572" t="s">
        <v>372</v>
      </c>
      <c r="K91" s="1574" t="str">
        <f t="shared" si="2"/>
        <v>009020160725</v>
      </c>
    </row>
    <row r="92" spans="1:11">
      <c r="A92" s="1571">
        <v>91</v>
      </c>
      <c r="B92" s="1572" t="s">
        <v>590</v>
      </c>
      <c r="C92" s="1572" t="s">
        <v>393</v>
      </c>
      <c r="D92" s="1572" t="s">
        <v>591</v>
      </c>
      <c r="E92" s="1572" t="s">
        <v>370</v>
      </c>
      <c r="F92" s="1572" t="s">
        <v>376</v>
      </c>
      <c r="G92" s="1573">
        <v>42587</v>
      </c>
      <c r="H92" s="1465">
        <v>116.94</v>
      </c>
      <c r="I92" s="1572" t="s">
        <v>592</v>
      </c>
      <c r="J92" s="1572" t="s">
        <v>372</v>
      </c>
      <c r="K92" s="1574" t="str">
        <f t="shared" si="2"/>
        <v>009120160805</v>
      </c>
    </row>
    <row r="93" spans="1:11">
      <c r="A93" s="1571">
        <v>92</v>
      </c>
      <c r="B93" s="1572" t="s">
        <v>593</v>
      </c>
      <c r="C93" s="1572" t="s">
        <v>556</v>
      </c>
      <c r="D93" s="1572" t="s">
        <v>560</v>
      </c>
      <c r="E93" s="1572" t="s">
        <v>370</v>
      </c>
      <c r="F93" s="1572" t="s">
        <v>376</v>
      </c>
      <c r="G93" s="1573">
        <v>42907</v>
      </c>
      <c r="H93" s="1465">
        <v>231.37</v>
      </c>
      <c r="I93" s="1572" t="s">
        <v>594</v>
      </c>
      <c r="J93" s="1464" t="s">
        <v>595</v>
      </c>
      <c r="K93" s="1574" t="str">
        <f t="shared" si="2"/>
        <v>009220170621</v>
      </c>
    </row>
    <row r="94" spans="1:11">
      <c r="A94" s="1571">
        <v>93</v>
      </c>
      <c r="B94" s="1572" t="s">
        <v>596</v>
      </c>
      <c r="C94" s="1572" t="s">
        <v>597</v>
      </c>
      <c r="D94" s="1572" t="s">
        <v>598</v>
      </c>
      <c r="E94" s="1572" t="s">
        <v>370</v>
      </c>
      <c r="F94" s="1572" t="s">
        <v>376</v>
      </c>
      <c r="G94" s="1573">
        <v>42621</v>
      </c>
      <c r="H94" s="1465">
        <v>30</v>
      </c>
      <c r="I94" s="1572" t="s">
        <v>462</v>
      </c>
      <c r="J94" s="1464" t="s">
        <v>595</v>
      </c>
      <c r="K94" s="1574" t="str">
        <f t="shared" si="2"/>
        <v>009320160908</v>
      </c>
    </row>
    <row r="95" spans="1:11">
      <c r="A95" s="1571">
        <v>94</v>
      </c>
      <c r="B95" s="1572" t="s">
        <v>599</v>
      </c>
      <c r="C95" s="1572" t="s">
        <v>600</v>
      </c>
      <c r="D95" s="1572" t="s">
        <v>570</v>
      </c>
      <c r="E95" s="1572" t="s">
        <v>370</v>
      </c>
      <c r="F95" s="1572" t="s">
        <v>376</v>
      </c>
      <c r="G95" s="1573">
        <v>42632</v>
      </c>
      <c r="H95" s="1465">
        <v>88.02</v>
      </c>
      <c r="I95" s="1572" t="s">
        <v>479</v>
      </c>
      <c r="J95" s="1572" t="s">
        <v>372</v>
      </c>
      <c r="K95" s="1574" t="str">
        <f t="shared" si="2"/>
        <v>009420160919</v>
      </c>
    </row>
    <row r="96" spans="1:11">
      <c r="A96" s="1571">
        <v>95</v>
      </c>
      <c r="B96" s="1572" t="s">
        <v>601</v>
      </c>
      <c r="C96" s="1572" t="s">
        <v>378</v>
      </c>
      <c r="D96" s="1572" t="s">
        <v>602</v>
      </c>
      <c r="E96" s="1572" t="s">
        <v>370</v>
      </c>
      <c r="F96" s="1572" t="s">
        <v>376</v>
      </c>
      <c r="G96" s="1573">
        <v>42638</v>
      </c>
      <c r="H96" s="1465">
        <v>130</v>
      </c>
      <c r="I96" s="1572" t="s">
        <v>411</v>
      </c>
      <c r="J96" s="1572" t="s">
        <v>372</v>
      </c>
      <c r="K96" s="1574" t="str">
        <f t="shared" si="2"/>
        <v>009520160925</v>
      </c>
    </row>
    <row r="97" spans="1:11">
      <c r="A97" s="1571">
        <v>96</v>
      </c>
      <c r="B97" s="1572" t="s">
        <v>603</v>
      </c>
      <c r="C97" s="1572" t="s">
        <v>378</v>
      </c>
      <c r="D97" s="1572" t="s">
        <v>379</v>
      </c>
      <c r="E97" s="1572" t="s">
        <v>370</v>
      </c>
      <c r="F97" s="1572" t="s">
        <v>376</v>
      </c>
      <c r="G97" s="1573">
        <v>42649</v>
      </c>
      <c r="H97" s="1465">
        <v>125</v>
      </c>
      <c r="I97" s="1572" t="s">
        <v>352</v>
      </c>
      <c r="J97" s="1572" t="s">
        <v>372</v>
      </c>
      <c r="K97" s="1574" t="str">
        <f t="shared" si="2"/>
        <v>009620161006</v>
      </c>
    </row>
    <row r="98" spans="1:11">
      <c r="A98" s="1571">
        <v>97</v>
      </c>
      <c r="B98" s="1572" t="s">
        <v>604</v>
      </c>
      <c r="C98" s="1572" t="s">
        <v>393</v>
      </c>
      <c r="D98" s="1572" t="s">
        <v>605</v>
      </c>
      <c r="E98" s="1572" t="s">
        <v>370</v>
      </c>
      <c r="F98" s="1572" t="s">
        <v>376</v>
      </c>
      <c r="G98" s="1573">
        <v>42660</v>
      </c>
      <c r="H98" s="1465">
        <v>151.5</v>
      </c>
      <c r="I98" s="1572" t="s">
        <v>380</v>
      </c>
      <c r="J98" s="1572" t="s">
        <v>372</v>
      </c>
      <c r="K98" s="1574" t="str">
        <f t="shared" ref="K98:K129" si="3">CONCATENATE(TEXT(A98,"0000"),(TEXT(G98,"aaaammdd")))</f>
        <v>009720161017</v>
      </c>
    </row>
    <row r="99" spans="1:11" ht="12.6" customHeight="1">
      <c r="A99" s="1571">
        <v>98</v>
      </c>
      <c r="B99" s="1572" t="s">
        <v>606</v>
      </c>
      <c r="C99" s="1572" t="s">
        <v>600</v>
      </c>
      <c r="D99" s="1572" t="s">
        <v>607</v>
      </c>
      <c r="E99" s="1572" t="s">
        <v>370</v>
      </c>
      <c r="F99" s="1572" t="s">
        <v>376</v>
      </c>
      <c r="G99" s="1573">
        <v>42695</v>
      </c>
      <c r="H99" s="1465">
        <v>204.1</v>
      </c>
      <c r="I99" s="1572" t="s">
        <v>352</v>
      </c>
      <c r="J99" s="1572" t="s">
        <v>372</v>
      </c>
      <c r="K99" s="1574" t="str">
        <f t="shared" si="3"/>
        <v>009820161121</v>
      </c>
    </row>
    <row r="100" spans="1:11">
      <c r="A100" s="1571">
        <v>99</v>
      </c>
      <c r="B100" s="1572" t="s">
        <v>608</v>
      </c>
      <c r="C100" s="1572" t="s">
        <v>443</v>
      </c>
      <c r="D100" s="1572" t="s">
        <v>379</v>
      </c>
      <c r="E100" s="1572" t="s">
        <v>370</v>
      </c>
      <c r="F100" s="1572" t="s">
        <v>376</v>
      </c>
      <c r="G100" s="1573">
        <v>42668</v>
      </c>
      <c r="H100" s="1465">
        <v>117.03</v>
      </c>
      <c r="I100" s="1572" t="s">
        <v>609</v>
      </c>
      <c r="J100" s="1572" t="s">
        <v>372</v>
      </c>
      <c r="K100" s="1574" t="str">
        <f t="shared" si="3"/>
        <v>009920161025</v>
      </c>
    </row>
    <row r="101" spans="1:11">
      <c r="A101" s="1571">
        <v>100</v>
      </c>
      <c r="B101" s="1572" t="s">
        <v>610</v>
      </c>
      <c r="C101" s="1572" t="s">
        <v>611</v>
      </c>
      <c r="D101" s="1572" t="s">
        <v>612</v>
      </c>
      <c r="E101" s="1572" t="s">
        <v>370</v>
      </c>
      <c r="F101" s="1572" t="s">
        <v>376</v>
      </c>
      <c r="G101" s="1573">
        <v>42678</v>
      </c>
      <c r="H101" s="1465">
        <v>137.77000000000001</v>
      </c>
      <c r="I101" s="1572" t="s">
        <v>586</v>
      </c>
      <c r="J101" s="1572" t="s">
        <v>372</v>
      </c>
      <c r="K101" s="1574" t="str">
        <f t="shared" si="3"/>
        <v>010020161104</v>
      </c>
    </row>
    <row r="102" spans="1:11">
      <c r="A102" s="1571">
        <v>101</v>
      </c>
      <c r="B102" s="1572" t="s">
        <v>613</v>
      </c>
      <c r="C102" s="1572" t="s">
        <v>393</v>
      </c>
      <c r="D102" s="1572" t="s">
        <v>614</v>
      </c>
      <c r="E102" s="1572" t="s">
        <v>370</v>
      </c>
      <c r="F102" s="1572" t="s">
        <v>376</v>
      </c>
      <c r="G102" s="1573">
        <v>42758</v>
      </c>
      <c r="H102" s="1465">
        <v>124.94</v>
      </c>
      <c r="I102" s="1572" t="s">
        <v>380</v>
      </c>
      <c r="J102" s="1572" t="s">
        <v>372</v>
      </c>
      <c r="K102" s="1574" t="str">
        <f t="shared" si="3"/>
        <v>010120170123</v>
      </c>
    </row>
    <row r="103" spans="1:11">
      <c r="A103" s="1571">
        <v>102</v>
      </c>
      <c r="B103" s="1572" t="s">
        <v>615</v>
      </c>
      <c r="C103" s="1572" t="s">
        <v>378</v>
      </c>
      <c r="D103" s="1572" t="s">
        <v>616</v>
      </c>
      <c r="E103" s="1572" t="s">
        <v>370</v>
      </c>
      <c r="F103" s="1572" t="s">
        <v>370</v>
      </c>
      <c r="G103" s="1573">
        <v>42758</v>
      </c>
      <c r="H103" s="1465">
        <v>160.94</v>
      </c>
      <c r="I103" s="1572" t="s">
        <v>380</v>
      </c>
      <c r="J103" s="1572" t="s">
        <v>372</v>
      </c>
      <c r="K103" s="1574" t="str">
        <f t="shared" si="3"/>
        <v>010220170123</v>
      </c>
    </row>
    <row r="104" spans="1:11">
      <c r="A104" s="1571">
        <v>103</v>
      </c>
      <c r="B104" s="1572" t="s">
        <v>617</v>
      </c>
      <c r="C104" s="1572" t="s">
        <v>600</v>
      </c>
      <c r="D104" s="1572" t="s">
        <v>618</v>
      </c>
      <c r="E104" s="1572" t="s">
        <v>370</v>
      </c>
      <c r="F104" s="1572" t="s">
        <v>376</v>
      </c>
      <c r="G104" s="1573">
        <v>42762</v>
      </c>
      <c r="H104" s="1465">
        <v>116.1</v>
      </c>
      <c r="I104" s="1572" t="s">
        <v>586</v>
      </c>
      <c r="J104" s="1572" t="s">
        <v>372</v>
      </c>
      <c r="K104" s="1574" t="str">
        <f t="shared" si="3"/>
        <v>010320170127</v>
      </c>
    </row>
    <row r="105" spans="1:11">
      <c r="A105" s="1571">
        <v>104</v>
      </c>
      <c r="B105" s="1572" t="s">
        <v>619</v>
      </c>
      <c r="C105" s="1572" t="s">
        <v>620</v>
      </c>
      <c r="D105" s="1572" t="s">
        <v>621</v>
      </c>
      <c r="E105" s="1572" t="s">
        <v>370</v>
      </c>
      <c r="F105" s="1572" t="s">
        <v>376</v>
      </c>
      <c r="G105" s="1573">
        <v>42802</v>
      </c>
      <c r="H105" s="1465">
        <v>320</v>
      </c>
      <c r="I105" s="1572" t="s">
        <v>622</v>
      </c>
      <c r="J105" s="1572" t="s">
        <v>372</v>
      </c>
      <c r="K105" s="1574" t="str">
        <f t="shared" si="3"/>
        <v>010420170308</v>
      </c>
    </row>
    <row r="106" spans="1:11">
      <c r="A106" s="1571">
        <v>105</v>
      </c>
      <c r="B106" s="1572" t="s">
        <v>623</v>
      </c>
      <c r="C106" s="1572" t="s">
        <v>378</v>
      </c>
      <c r="D106" s="1572" t="s">
        <v>624</v>
      </c>
      <c r="E106" s="1572" t="s">
        <v>370</v>
      </c>
      <c r="F106" s="1572" t="s">
        <v>370</v>
      </c>
      <c r="G106" s="1573">
        <v>42810</v>
      </c>
      <c r="H106" s="1465">
        <v>61.02</v>
      </c>
      <c r="I106" s="1572" t="s">
        <v>479</v>
      </c>
      <c r="J106" s="1572" t="s">
        <v>372</v>
      </c>
      <c r="K106" s="1574" t="str">
        <f t="shared" si="3"/>
        <v>010520170316</v>
      </c>
    </row>
    <row r="107" spans="1:11">
      <c r="A107" s="1571">
        <v>106</v>
      </c>
      <c r="B107" s="1572" t="s">
        <v>625</v>
      </c>
      <c r="C107" s="1572" t="s">
        <v>626</v>
      </c>
      <c r="D107" s="845" t="s">
        <v>627</v>
      </c>
      <c r="E107" s="1572" t="s">
        <v>370</v>
      </c>
      <c r="F107" s="1572" t="s">
        <v>370</v>
      </c>
      <c r="G107" s="1573">
        <v>42845</v>
      </c>
      <c r="H107" s="1465">
        <v>162.97999999999999</v>
      </c>
      <c r="I107" s="1572" t="s">
        <v>626</v>
      </c>
      <c r="J107" s="1572" t="s">
        <v>628</v>
      </c>
      <c r="K107" s="1574" t="str">
        <f t="shared" si="3"/>
        <v>010620170420</v>
      </c>
    </row>
    <row r="108" spans="1:11">
      <c r="A108" s="1571">
        <v>107</v>
      </c>
      <c r="B108" s="1572" t="s">
        <v>629</v>
      </c>
      <c r="C108" s="1572" t="s">
        <v>378</v>
      </c>
      <c r="D108" s="1572" t="s">
        <v>630</v>
      </c>
      <c r="E108" s="1572" t="s">
        <v>370</v>
      </c>
      <c r="F108" s="1572" t="s">
        <v>376</v>
      </c>
      <c r="G108" s="1573">
        <v>42866</v>
      </c>
      <c r="H108" s="1465">
        <v>115.88</v>
      </c>
      <c r="I108" s="1572" t="s">
        <v>586</v>
      </c>
      <c r="J108" s="1572" t="s">
        <v>372</v>
      </c>
      <c r="K108" s="1574" t="str">
        <f t="shared" si="3"/>
        <v>010720170511</v>
      </c>
    </row>
    <row r="109" spans="1:11">
      <c r="A109" s="1571">
        <v>108</v>
      </c>
      <c r="B109" s="1572" t="s">
        <v>631</v>
      </c>
      <c r="C109" s="1572" t="s">
        <v>632</v>
      </c>
      <c r="D109" s="1572" t="s">
        <v>633</v>
      </c>
      <c r="E109" s="1572" t="s">
        <v>370</v>
      </c>
      <c r="F109" s="1572" t="s">
        <v>376</v>
      </c>
      <c r="G109" s="1573">
        <v>42878</v>
      </c>
      <c r="H109" s="1465">
        <v>160</v>
      </c>
      <c r="I109" s="1572" t="s">
        <v>380</v>
      </c>
      <c r="J109" s="1572" t="s">
        <v>372</v>
      </c>
      <c r="K109" s="1574" t="str">
        <f t="shared" si="3"/>
        <v>010820170523</v>
      </c>
    </row>
    <row r="110" spans="1:11">
      <c r="A110" s="1571">
        <v>109</v>
      </c>
      <c r="B110" s="1572" t="s">
        <v>634</v>
      </c>
      <c r="C110" s="1572" t="s">
        <v>378</v>
      </c>
      <c r="D110" s="1572" t="s">
        <v>635</v>
      </c>
      <c r="E110" s="1572" t="s">
        <v>370</v>
      </c>
      <c r="F110" s="1572" t="s">
        <v>376</v>
      </c>
      <c r="G110" s="1573">
        <v>42878</v>
      </c>
      <c r="H110" s="1465">
        <v>160</v>
      </c>
      <c r="I110" s="1572" t="s">
        <v>380</v>
      </c>
      <c r="J110" s="1572" t="s">
        <v>372</v>
      </c>
      <c r="K110" s="1574" t="str">
        <f t="shared" si="3"/>
        <v>010920170523</v>
      </c>
    </row>
    <row r="111" spans="1:11">
      <c r="A111" s="1571">
        <v>110</v>
      </c>
      <c r="B111" s="1572" t="s">
        <v>636</v>
      </c>
      <c r="C111" s="1572" t="s">
        <v>378</v>
      </c>
      <c r="D111" s="1572" t="s">
        <v>637</v>
      </c>
      <c r="E111" s="1572" t="s">
        <v>370</v>
      </c>
      <c r="F111" s="1572" t="s">
        <v>376</v>
      </c>
      <c r="G111" s="1573">
        <v>42907</v>
      </c>
      <c r="H111" s="1465">
        <v>90</v>
      </c>
      <c r="I111" s="1572" t="s">
        <v>530</v>
      </c>
      <c r="J111" s="1572" t="s">
        <v>372</v>
      </c>
      <c r="K111" s="1574" t="str">
        <f t="shared" si="3"/>
        <v>011020170621</v>
      </c>
    </row>
    <row r="112" spans="1:11">
      <c r="A112" s="1571">
        <v>111</v>
      </c>
      <c r="B112" s="1572" t="s">
        <v>638</v>
      </c>
      <c r="C112" s="1572" t="s">
        <v>443</v>
      </c>
      <c r="D112" s="1572" t="s">
        <v>379</v>
      </c>
      <c r="E112" s="1572" t="s">
        <v>370</v>
      </c>
      <c r="F112" s="1572" t="s">
        <v>370</v>
      </c>
      <c r="G112" s="1573">
        <v>42907</v>
      </c>
      <c r="H112" s="1465">
        <v>90</v>
      </c>
      <c r="I112" s="1572" t="s">
        <v>530</v>
      </c>
      <c r="J112" s="1572" t="s">
        <v>372</v>
      </c>
      <c r="K112" s="1574" t="str">
        <f t="shared" si="3"/>
        <v>011120170621</v>
      </c>
    </row>
    <row r="113" spans="1:11">
      <c r="A113" s="1571">
        <v>112</v>
      </c>
      <c r="B113" s="1572" t="s">
        <v>639</v>
      </c>
      <c r="C113" s="1572" t="s">
        <v>378</v>
      </c>
      <c r="D113" s="1572" t="s">
        <v>640</v>
      </c>
      <c r="E113" s="1572" t="s">
        <v>370</v>
      </c>
      <c r="F113" s="1572" t="s">
        <v>370</v>
      </c>
      <c r="G113" s="1573">
        <v>42907</v>
      </c>
      <c r="H113" s="1465">
        <v>90</v>
      </c>
      <c r="I113" s="1572" t="s">
        <v>530</v>
      </c>
      <c r="J113" s="1572" t="s">
        <v>641</v>
      </c>
      <c r="K113" s="1574" t="str">
        <f t="shared" si="3"/>
        <v>011220170621</v>
      </c>
    </row>
    <row r="114" spans="1:11">
      <c r="A114" s="1571">
        <v>113</v>
      </c>
      <c r="B114" s="845" t="s">
        <v>642</v>
      </c>
      <c r="C114" s="1572" t="s">
        <v>378</v>
      </c>
      <c r="D114" s="1572" t="s">
        <v>643</v>
      </c>
      <c r="E114" s="1572" t="s">
        <v>370</v>
      </c>
      <c r="F114" s="1572" t="s">
        <v>370</v>
      </c>
      <c r="G114" s="1573">
        <v>42907</v>
      </c>
      <c r="H114" s="1465">
        <v>90</v>
      </c>
      <c r="I114" s="1572" t="s">
        <v>530</v>
      </c>
      <c r="J114" s="1572" t="s">
        <v>372</v>
      </c>
      <c r="K114" s="1574" t="str">
        <f t="shared" si="3"/>
        <v>011320170621</v>
      </c>
    </row>
    <row r="115" spans="1:11">
      <c r="A115" s="1571">
        <v>114</v>
      </c>
      <c r="B115" s="1572" t="s">
        <v>644</v>
      </c>
      <c r="C115" s="1572" t="s">
        <v>393</v>
      </c>
      <c r="D115" s="1572" t="s">
        <v>379</v>
      </c>
      <c r="E115" s="1572" t="s">
        <v>376</v>
      </c>
      <c r="F115" s="1572" t="s">
        <v>376</v>
      </c>
      <c r="G115" s="1573">
        <v>42908</v>
      </c>
      <c r="H115" s="1465">
        <v>134.9</v>
      </c>
      <c r="I115" s="1572" t="s">
        <v>645</v>
      </c>
      <c r="J115" s="1572" t="s">
        <v>372</v>
      </c>
      <c r="K115" s="1574" t="str">
        <f t="shared" si="3"/>
        <v>011420170622</v>
      </c>
    </row>
    <row r="116" spans="1:11">
      <c r="A116" s="1571">
        <v>115</v>
      </c>
      <c r="B116" s="1572" t="s">
        <v>646</v>
      </c>
      <c r="C116" s="1572" t="s">
        <v>443</v>
      </c>
      <c r="D116" s="1572" t="s">
        <v>647</v>
      </c>
      <c r="E116" s="1572" t="s">
        <v>370</v>
      </c>
      <c r="F116" s="1572" t="s">
        <v>376</v>
      </c>
      <c r="G116" s="1573">
        <v>42920</v>
      </c>
      <c r="H116" s="1465">
        <v>105</v>
      </c>
      <c r="I116" s="1572" t="s">
        <v>459</v>
      </c>
      <c r="J116" s="1572" t="s">
        <v>372</v>
      </c>
      <c r="K116" s="1574" t="str">
        <f t="shared" si="3"/>
        <v>011520170704</v>
      </c>
    </row>
    <row r="117" spans="1:11">
      <c r="A117" s="1571">
        <v>116</v>
      </c>
      <c r="B117" s="1572" t="s">
        <v>648</v>
      </c>
      <c r="C117" s="1572" t="s">
        <v>649</v>
      </c>
      <c r="D117" s="1572" t="s">
        <v>650</v>
      </c>
      <c r="E117" s="1572" t="s">
        <v>376</v>
      </c>
      <c r="F117" s="1572" t="s">
        <v>376</v>
      </c>
      <c r="G117" s="1573">
        <v>42940</v>
      </c>
      <c r="H117" s="1465">
        <v>194.26</v>
      </c>
      <c r="I117" s="1572" t="s">
        <v>479</v>
      </c>
      <c r="J117" s="1572" t="s">
        <v>372</v>
      </c>
      <c r="K117" s="1574" t="str">
        <f t="shared" si="3"/>
        <v>011620170724</v>
      </c>
    </row>
    <row r="118" spans="1:11">
      <c r="A118" s="1571">
        <v>117</v>
      </c>
      <c r="B118" s="1572" t="s">
        <v>651</v>
      </c>
      <c r="C118" s="1572" t="s">
        <v>443</v>
      </c>
      <c r="D118" s="1572" t="s">
        <v>652</v>
      </c>
      <c r="E118" s="1572" t="s">
        <v>370</v>
      </c>
      <c r="F118" s="1572" t="s">
        <v>376</v>
      </c>
      <c r="G118" s="1573">
        <v>42946</v>
      </c>
      <c r="H118" s="1465">
        <v>186.6</v>
      </c>
      <c r="I118" s="1572" t="s">
        <v>380</v>
      </c>
      <c r="J118" s="1572" t="s">
        <v>372</v>
      </c>
      <c r="K118" s="1574" t="str">
        <f t="shared" si="3"/>
        <v>011720170730</v>
      </c>
    </row>
    <row r="119" spans="1:11">
      <c r="A119" s="1571">
        <v>118</v>
      </c>
      <c r="B119" s="1572" t="s">
        <v>653</v>
      </c>
      <c r="C119" s="1572" t="s">
        <v>439</v>
      </c>
      <c r="D119" s="1572" t="s">
        <v>654</v>
      </c>
      <c r="E119" s="1572" t="s">
        <v>370</v>
      </c>
      <c r="F119" s="1572" t="s">
        <v>376</v>
      </c>
      <c r="G119" s="1573">
        <v>42946</v>
      </c>
      <c r="H119" s="1465">
        <v>140.6</v>
      </c>
      <c r="I119" s="1572" t="s">
        <v>380</v>
      </c>
      <c r="J119" s="1572" t="s">
        <v>372</v>
      </c>
      <c r="K119" s="1574" t="str">
        <f t="shared" si="3"/>
        <v>011820170730</v>
      </c>
    </row>
    <row r="120" spans="1:11">
      <c r="A120" s="1571">
        <v>119</v>
      </c>
      <c r="B120" s="1572" t="s">
        <v>655</v>
      </c>
      <c r="C120" s="1572" t="s">
        <v>649</v>
      </c>
      <c r="D120" s="1572" t="s">
        <v>650</v>
      </c>
      <c r="E120" s="1572" t="s">
        <v>376</v>
      </c>
      <c r="F120" s="1572" t="s">
        <v>376</v>
      </c>
      <c r="G120" s="1573">
        <v>42949</v>
      </c>
      <c r="H120" s="1465">
        <v>83.5</v>
      </c>
      <c r="I120" s="1572" t="s">
        <v>479</v>
      </c>
      <c r="J120" s="1572" t="s">
        <v>372</v>
      </c>
      <c r="K120" s="1574" t="str">
        <f t="shared" si="3"/>
        <v>011920170802</v>
      </c>
    </row>
    <row r="121" spans="1:11">
      <c r="A121" s="1571">
        <v>120</v>
      </c>
      <c r="B121" s="1572" t="s">
        <v>656</v>
      </c>
      <c r="C121" s="1572" t="s">
        <v>374</v>
      </c>
      <c r="D121" s="1572" t="s">
        <v>657</v>
      </c>
      <c r="E121" s="1572" t="s">
        <v>370</v>
      </c>
      <c r="F121" s="1572" t="s">
        <v>376</v>
      </c>
      <c r="G121" s="1573">
        <v>42958</v>
      </c>
      <c r="H121" s="1465">
        <v>50.9</v>
      </c>
      <c r="I121" s="1572" t="s">
        <v>479</v>
      </c>
      <c r="J121" s="1572" t="s">
        <v>372</v>
      </c>
      <c r="K121" s="1574" t="str">
        <f t="shared" si="3"/>
        <v>012020170811</v>
      </c>
    </row>
    <row r="122" spans="1:11">
      <c r="A122" s="1571">
        <v>121</v>
      </c>
      <c r="B122" s="1572" t="s">
        <v>658</v>
      </c>
      <c r="C122" s="1572" t="s">
        <v>659</v>
      </c>
      <c r="D122" s="1572" t="s">
        <v>660</v>
      </c>
      <c r="E122" s="1572" t="s">
        <v>370</v>
      </c>
      <c r="F122" s="1572" t="s">
        <v>376</v>
      </c>
      <c r="G122" s="1573">
        <v>42958</v>
      </c>
      <c r="H122" s="1465">
        <v>110.9</v>
      </c>
      <c r="I122" s="1572" t="s">
        <v>479</v>
      </c>
      <c r="J122" s="1572" t="s">
        <v>372</v>
      </c>
      <c r="K122" s="1574" t="str">
        <f t="shared" si="3"/>
        <v>012120170811</v>
      </c>
    </row>
    <row r="123" spans="1:11">
      <c r="A123" s="1571">
        <v>122</v>
      </c>
      <c r="B123" s="1572" t="s">
        <v>661</v>
      </c>
      <c r="C123" s="1572" t="s">
        <v>662</v>
      </c>
      <c r="D123" s="1572" t="s">
        <v>663</v>
      </c>
      <c r="E123" s="1572" t="s">
        <v>370</v>
      </c>
      <c r="F123" s="1572" t="s">
        <v>376</v>
      </c>
      <c r="G123" s="1573">
        <v>42958</v>
      </c>
      <c r="H123" s="1465">
        <v>66.010000000000005</v>
      </c>
      <c r="I123" s="1572" t="s">
        <v>479</v>
      </c>
      <c r="J123" s="1572" t="s">
        <v>372</v>
      </c>
      <c r="K123" s="1574" t="str">
        <f t="shared" si="3"/>
        <v>012220170811</v>
      </c>
    </row>
    <row r="124" spans="1:11">
      <c r="A124" s="1571">
        <v>123</v>
      </c>
      <c r="B124" s="1572" t="s">
        <v>664</v>
      </c>
      <c r="C124" s="1572"/>
      <c r="D124" s="1572" t="s">
        <v>665</v>
      </c>
      <c r="E124" s="1572" t="s">
        <v>370</v>
      </c>
      <c r="F124" s="1572" t="s">
        <v>376</v>
      </c>
      <c r="G124" s="1573">
        <v>42974</v>
      </c>
      <c r="H124" s="1465">
        <v>90</v>
      </c>
      <c r="I124" s="1572" t="s">
        <v>666</v>
      </c>
      <c r="J124" s="1572" t="s">
        <v>372</v>
      </c>
      <c r="K124" s="1574" t="str">
        <f t="shared" si="3"/>
        <v>012320170827</v>
      </c>
    </row>
    <row r="125" spans="1:11">
      <c r="A125" s="1571">
        <v>124</v>
      </c>
      <c r="B125" s="1572" t="s">
        <v>667</v>
      </c>
      <c r="C125" s="1572" t="s">
        <v>378</v>
      </c>
      <c r="D125" s="1572" t="s">
        <v>379</v>
      </c>
      <c r="E125" s="1572" t="s">
        <v>370</v>
      </c>
      <c r="F125" s="1572" t="s">
        <v>370</v>
      </c>
      <c r="G125" s="1573">
        <v>42980</v>
      </c>
      <c r="H125" s="1465">
        <v>520</v>
      </c>
      <c r="I125" s="1572" t="s">
        <v>668</v>
      </c>
      <c r="J125" s="1572" t="s">
        <v>372</v>
      </c>
      <c r="K125" s="1574" t="str">
        <f t="shared" si="3"/>
        <v>012420170902</v>
      </c>
    </row>
    <row r="126" spans="1:11">
      <c r="A126" s="1571">
        <v>125</v>
      </c>
      <c r="B126" s="1572" t="s">
        <v>669</v>
      </c>
      <c r="C126" s="845" t="s">
        <v>670</v>
      </c>
      <c r="D126" s="1572" t="s">
        <v>671</v>
      </c>
      <c r="E126" s="1572" t="s">
        <v>370</v>
      </c>
      <c r="F126" s="1572" t="s">
        <v>376</v>
      </c>
      <c r="G126" s="1573">
        <v>42999</v>
      </c>
      <c r="H126" s="1465">
        <v>139</v>
      </c>
      <c r="I126" s="1572" t="s">
        <v>479</v>
      </c>
      <c r="J126" s="1572" t="s">
        <v>372</v>
      </c>
      <c r="K126" s="1574" t="str">
        <f t="shared" si="3"/>
        <v>012520170921</v>
      </c>
    </row>
    <row r="127" spans="1:11">
      <c r="A127" s="1571">
        <v>126</v>
      </c>
      <c r="B127" s="1572" t="s">
        <v>672</v>
      </c>
      <c r="C127" s="1572" t="s">
        <v>670</v>
      </c>
      <c r="D127" s="1572" t="s">
        <v>673</v>
      </c>
      <c r="E127" s="1572" t="s">
        <v>370</v>
      </c>
      <c r="F127" s="1572" t="s">
        <v>376</v>
      </c>
      <c r="G127" s="1573">
        <v>42999</v>
      </c>
      <c r="H127" s="1465">
        <v>112.23</v>
      </c>
      <c r="I127" s="1572" t="s">
        <v>479</v>
      </c>
      <c r="J127" s="1572" t="s">
        <v>372</v>
      </c>
      <c r="K127" s="1574" t="str">
        <f t="shared" si="3"/>
        <v>012620170921</v>
      </c>
    </row>
    <row r="128" spans="1:11">
      <c r="A128" s="1571">
        <v>127</v>
      </c>
      <c r="B128" s="1572" t="s">
        <v>674</v>
      </c>
      <c r="C128" s="1572" t="s">
        <v>378</v>
      </c>
      <c r="D128" s="1572" t="s">
        <v>675</v>
      </c>
      <c r="E128" s="1572" t="s">
        <v>370</v>
      </c>
      <c r="F128" s="1572" t="s">
        <v>376</v>
      </c>
      <c r="G128" s="1573">
        <v>43001</v>
      </c>
      <c r="H128" s="1465">
        <v>145</v>
      </c>
      <c r="I128" s="1572" t="s">
        <v>676</v>
      </c>
      <c r="J128" s="1572" t="s">
        <v>372</v>
      </c>
      <c r="K128" s="1574" t="str">
        <f t="shared" si="3"/>
        <v>012720170923</v>
      </c>
    </row>
    <row r="129" spans="1:12">
      <c r="A129" s="1571">
        <v>128</v>
      </c>
      <c r="B129" s="1572" t="s">
        <v>677</v>
      </c>
      <c r="C129" s="1572" t="s">
        <v>378</v>
      </c>
      <c r="D129" s="1572" t="s">
        <v>396</v>
      </c>
      <c r="E129" s="1572" t="s">
        <v>370</v>
      </c>
      <c r="F129" s="1572" t="s">
        <v>376</v>
      </c>
      <c r="G129" s="1573">
        <v>43001</v>
      </c>
      <c r="H129" s="1465">
        <v>110</v>
      </c>
      <c r="I129" s="1572" t="s">
        <v>676</v>
      </c>
      <c r="J129" s="1572" t="s">
        <v>372</v>
      </c>
      <c r="K129" s="1574" t="str">
        <f t="shared" si="3"/>
        <v>012820170923</v>
      </c>
      <c r="L129" s="1575"/>
    </row>
    <row r="130" spans="1:12">
      <c r="A130" s="1571">
        <v>129</v>
      </c>
      <c r="B130" s="1572" t="s">
        <v>678</v>
      </c>
      <c r="C130" s="1572" t="s">
        <v>670</v>
      </c>
      <c r="D130" s="1572" t="s">
        <v>679</v>
      </c>
      <c r="E130" s="1572" t="s">
        <v>370</v>
      </c>
      <c r="F130" s="1572" t="s">
        <v>376</v>
      </c>
      <c r="G130" s="1573">
        <v>43006</v>
      </c>
      <c r="H130" s="1465">
        <v>102</v>
      </c>
      <c r="I130" s="1572" t="s">
        <v>586</v>
      </c>
      <c r="J130" s="1572" t="s">
        <v>372</v>
      </c>
      <c r="K130" s="1574" t="str">
        <f t="shared" ref="K130:K161" si="4">CONCATENATE(TEXT(A130,"0000"),(TEXT(G130,"aaaammdd")))</f>
        <v>012920170928</v>
      </c>
      <c r="L130" s="1575"/>
    </row>
    <row r="131" spans="1:12">
      <c r="A131" s="1571">
        <v>130</v>
      </c>
      <c r="B131" s="845" t="s">
        <v>680</v>
      </c>
      <c r="C131" s="1572" t="s">
        <v>670</v>
      </c>
      <c r="D131" s="845" t="s">
        <v>681</v>
      </c>
      <c r="E131" s="845" t="s">
        <v>370</v>
      </c>
      <c r="F131" s="845" t="s">
        <v>376</v>
      </c>
      <c r="G131" s="1573">
        <v>43030</v>
      </c>
      <c r="H131" s="1465">
        <v>108.9</v>
      </c>
      <c r="I131" s="1572" t="s">
        <v>371</v>
      </c>
      <c r="J131" s="1572" t="s">
        <v>372</v>
      </c>
      <c r="K131" s="1574" t="str">
        <f t="shared" si="4"/>
        <v>013020171022</v>
      </c>
      <c r="L131" s="1575"/>
    </row>
    <row r="132" spans="1:12">
      <c r="A132" s="1571">
        <v>131</v>
      </c>
      <c r="B132" s="845" t="s">
        <v>682</v>
      </c>
      <c r="C132" s="845" t="s">
        <v>683</v>
      </c>
      <c r="D132" s="845" t="s">
        <v>404</v>
      </c>
      <c r="E132" s="845" t="s">
        <v>370</v>
      </c>
      <c r="F132" s="845" t="s">
        <v>376</v>
      </c>
      <c r="G132" s="1573">
        <v>43032</v>
      </c>
      <c r="H132" s="1465">
        <v>37.799999999999997</v>
      </c>
      <c r="I132" s="845" t="s">
        <v>352</v>
      </c>
      <c r="J132" s="845" t="s">
        <v>483</v>
      </c>
      <c r="K132" s="1574" t="str">
        <f t="shared" si="4"/>
        <v>013120171024</v>
      </c>
      <c r="L132" s="1575"/>
    </row>
    <row r="133" spans="1:12">
      <c r="A133" s="1571">
        <v>132</v>
      </c>
      <c r="B133" s="845" t="s">
        <v>684</v>
      </c>
      <c r="C133" s="845" t="s">
        <v>600</v>
      </c>
      <c r="D133" s="845" t="s">
        <v>685</v>
      </c>
      <c r="E133" s="845" t="s">
        <v>370</v>
      </c>
      <c r="F133" s="845" t="s">
        <v>376</v>
      </c>
      <c r="G133" s="1573">
        <v>43035</v>
      </c>
      <c r="H133" s="1465">
        <v>62.55</v>
      </c>
      <c r="I133" s="1572" t="s">
        <v>479</v>
      </c>
      <c r="J133" s="845" t="s">
        <v>686</v>
      </c>
      <c r="K133" s="1574" t="str">
        <f t="shared" si="4"/>
        <v>013220171027</v>
      </c>
      <c r="L133" s="1575"/>
    </row>
    <row r="134" spans="1:12">
      <c r="A134" s="1571">
        <v>133</v>
      </c>
      <c r="B134" s="845" t="s">
        <v>687</v>
      </c>
      <c r="C134" s="845" t="s">
        <v>600</v>
      </c>
      <c r="D134" s="845" t="s">
        <v>688</v>
      </c>
      <c r="E134" s="845" t="s">
        <v>370</v>
      </c>
      <c r="F134" s="845" t="s">
        <v>376</v>
      </c>
      <c r="G134" s="1573">
        <v>43043</v>
      </c>
      <c r="H134" s="1465">
        <v>137.1</v>
      </c>
      <c r="I134" s="845" t="s">
        <v>689</v>
      </c>
      <c r="J134" s="1572" t="s">
        <v>372</v>
      </c>
      <c r="K134" s="1574" t="str">
        <f t="shared" si="4"/>
        <v>013320171104</v>
      </c>
      <c r="L134" s="1575"/>
    </row>
    <row r="135" spans="1:12">
      <c r="A135" s="1571">
        <v>134</v>
      </c>
      <c r="B135" s="845" t="s">
        <v>690</v>
      </c>
      <c r="C135" s="845" t="s">
        <v>404</v>
      </c>
      <c r="D135" s="845" t="s">
        <v>691</v>
      </c>
      <c r="E135" s="845" t="s">
        <v>376</v>
      </c>
      <c r="F135" s="845" t="s">
        <v>376</v>
      </c>
      <c r="G135" s="1573">
        <v>43046</v>
      </c>
      <c r="H135" s="1465">
        <v>85</v>
      </c>
      <c r="I135" s="845" t="s">
        <v>692</v>
      </c>
      <c r="J135" s="845" t="s">
        <v>483</v>
      </c>
      <c r="K135" s="1574" t="str">
        <f t="shared" si="4"/>
        <v>013420171107</v>
      </c>
      <c r="L135" s="1575"/>
    </row>
    <row r="136" spans="1:12">
      <c r="A136" s="1571">
        <v>135</v>
      </c>
      <c r="B136" s="845" t="s">
        <v>693</v>
      </c>
      <c r="C136" s="845" t="s">
        <v>694</v>
      </c>
      <c r="D136" s="845" t="s">
        <v>695</v>
      </c>
      <c r="E136" s="845" t="s">
        <v>370</v>
      </c>
      <c r="F136" s="845" t="s">
        <v>376</v>
      </c>
      <c r="G136" s="1573">
        <v>43053</v>
      </c>
      <c r="H136" s="1465">
        <v>81.319999999999993</v>
      </c>
      <c r="I136" s="1572" t="s">
        <v>479</v>
      </c>
      <c r="J136" s="845" t="s">
        <v>372</v>
      </c>
      <c r="K136" s="1574" t="str">
        <f t="shared" si="4"/>
        <v>013520171114</v>
      </c>
      <c r="L136" s="1575"/>
    </row>
    <row r="137" spans="1:12">
      <c r="A137" s="1571">
        <v>136</v>
      </c>
      <c r="B137" s="845" t="s">
        <v>696</v>
      </c>
      <c r="C137" s="845" t="s">
        <v>393</v>
      </c>
      <c r="D137" s="845" t="s">
        <v>697</v>
      </c>
      <c r="E137" s="845" t="s">
        <v>370</v>
      </c>
      <c r="F137" s="845" t="s">
        <v>376</v>
      </c>
      <c r="G137" s="1573">
        <v>43062</v>
      </c>
      <c r="H137" s="1465">
        <v>104.4</v>
      </c>
      <c r="I137" s="845" t="s">
        <v>698</v>
      </c>
      <c r="J137" s="845" t="s">
        <v>372</v>
      </c>
      <c r="K137" s="1574" t="str">
        <f t="shared" si="4"/>
        <v>013620171123</v>
      </c>
      <c r="L137" s="1575"/>
    </row>
    <row r="138" spans="1:12">
      <c r="A138" s="1571">
        <v>137</v>
      </c>
      <c r="B138" s="845" t="s">
        <v>699</v>
      </c>
      <c r="C138" s="845" t="s">
        <v>393</v>
      </c>
      <c r="D138" s="845" t="s">
        <v>700</v>
      </c>
      <c r="E138" s="845" t="s">
        <v>370</v>
      </c>
      <c r="F138" s="845" t="s">
        <v>376</v>
      </c>
      <c r="G138" s="1573">
        <v>43072</v>
      </c>
      <c r="H138" s="1465">
        <v>160</v>
      </c>
      <c r="I138" s="845" t="s">
        <v>701</v>
      </c>
      <c r="J138" s="845" t="s">
        <v>372</v>
      </c>
      <c r="K138" s="1574" t="str">
        <f t="shared" si="4"/>
        <v>013720171203</v>
      </c>
      <c r="L138" s="1575"/>
    </row>
    <row r="139" spans="1:12">
      <c r="A139" s="1571">
        <v>138</v>
      </c>
      <c r="B139" s="845" t="s">
        <v>702</v>
      </c>
      <c r="C139" s="845" t="s">
        <v>393</v>
      </c>
      <c r="D139" s="845" t="s">
        <v>495</v>
      </c>
      <c r="E139" s="845" t="s">
        <v>370</v>
      </c>
      <c r="F139" s="845" t="s">
        <v>376</v>
      </c>
      <c r="G139" s="1573">
        <v>43072</v>
      </c>
      <c r="H139" s="1465">
        <v>112</v>
      </c>
      <c r="I139" s="845" t="s">
        <v>701</v>
      </c>
      <c r="J139" s="845" t="s">
        <v>483</v>
      </c>
      <c r="K139" s="1574" t="str">
        <f t="shared" si="4"/>
        <v>013820171203</v>
      </c>
      <c r="L139" s="1575"/>
    </row>
    <row r="140" spans="1:12">
      <c r="A140" s="1571">
        <v>139</v>
      </c>
      <c r="B140" s="845" t="s">
        <v>703</v>
      </c>
      <c r="C140" s="845" t="s">
        <v>600</v>
      </c>
      <c r="D140" s="845" t="s">
        <v>704</v>
      </c>
      <c r="E140" s="845" t="s">
        <v>370</v>
      </c>
      <c r="F140" s="845" t="s">
        <v>376</v>
      </c>
      <c r="G140" s="1573">
        <v>43099</v>
      </c>
      <c r="H140" s="1465">
        <v>112.32</v>
      </c>
      <c r="I140" s="845" t="s">
        <v>698</v>
      </c>
      <c r="J140" s="845" t="s">
        <v>372</v>
      </c>
      <c r="K140" s="1574" t="str">
        <f t="shared" si="4"/>
        <v>013920171230</v>
      </c>
      <c r="L140" s="1575"/>
    </row>
    <row r="141" spans="1:12">
      <c r="A141" s="1571">
        <v>140</v>
      </c>
      <c r="B141" s="845" t="s">
        <v>705</v>
      </c>
      <c r="C141" s="845" t="s">
        <v>393</v>
      </c>
      <c r="D141" s="845" t="s">
        <v>706</v>
      </c>
      <c r="E141" s="845" t="s">
        <v>370</v>
      </c>
      <c r="F141" s="845" t="s">
        <v>376</v>
      </c>
      <c r="G141" s="1573">
        <v>43099</v>
      </c>
      <c r="H141" s="1465">
        <v>103.14</v>
      </c>
      <c r="I141" s="845" t="s">
        <v>698</v>
      </c>
      <c r="J141" s="845" t="s">
        <v>372</v>
      </c>
      <c r="K141" s="1574" t="str">
        <f t="shared" si="4"/>
        <v>014020171230</v>
      </c>
      <c r="L141" s="1575"/>
    </row>
    <row r="142" spans="1:12">
      <c r="A142" s="1571">
        <v>141</v>
      </c>
      <c r="B142" s="845" t="s">
        <v>707</v>
      </c>
      <c r="C142" s="845" t="s">
        <v>399</v>
      </c>
      <c r="D142" s="845" t="s">
        <v>400</v>
      </c>
      <c r="E142" s="845" t="s">
        <v>376</v>
      </c>
      <c r="F142" s="845" t="s">
        <v>376</v>
      </c>
      <c r="G142" s="1573">
        <v>43105</v>
      </c>
      <c r="H142" s="1465">
        <v>90</v>
      </c>
      <c r="I142" s="845" t="s">
        <v>708</v>
      </c>
      <c r="J142" s="845" t="s">
        <v>372</v>
      </c>
      <c r="K142" s="1574" t="str">
        <f t="shared" si="4"/>
        <v>014120180105</v>
      </c>
      <c r="L142" s="1316"/>
    </row>
    <row r="143" spans="1:12">
      <c r="A143" s="1571">
        <v>142</v>
      </c>
      <c r="B143" s="845" t="s">
        <v>709</v>
      </c>
      <c r="C143" s="845" t="s">
        <v>378</v>
      </c>
      <c r="D143" s="845" t="s">
        <v>710</v>
      </c>
      <c r="E143" s="845" t="s">
        <v>370</v>
      </c>
      <c r="F143" s="845" t="s">
        <v>376</v>
      </c>
      <c r="G143" s="1573">
        <v>43152</v>
      </c>
      <c r="H143" s="1465">
        <v>89</v>
      </c>
      <c r="I143" s="845" t="s">
        <v>711</v>
      </c>
      <c r="J143" s="845" t="s">
        <v>372</v>
      </c>
      <c r="K143" s="1574" t="str">
        <f t="shared" si="4"/>
        <v>014220180221</v>
      </c>
      <c r="L143" s="1575"/>
    </row>
    <row r="144" spans="1:12">
      <c r="A144" s="1571">
        <v>143</v>
      </c>
      <c r="B144" s="845" t="s">
        <v>712</v>
      </c>
      <c r="C144" s="845" t="s">
        <v>378</v>
      </c>
      <c r="D144" s="845" t="s">
        <v>713</v>
      </c>
      <c r="E144" s="845" t="s">
        <v>370</v>
      </c>
      <c r="F144" s="845" t="s">
        <v>376</v>
      </c>
      <c r="G144" s="1573">
        <v>43152</v>
      </c>
      <c r="H144" s="1465">
        <v>99</v>
      </c>
      <c r="I144" s="845" t="s">
        <v>711</v>
      </c>
      <c r="J144" s="845" t="s">
        <v>372</v>
      </c>
      <c r="K144" s="1574" t="str">
        <f t="shared" si="4"/>
        <v>014320180221</v>
      </c>
      <c r="L144" s="1575"/>
    </row>
    <row r="145" spans="1:11">
      <c r="A145" s="1571">
        <v>144</v>
      </c>
      <c r="B145" s="845" t="s">
        <v>714</v>
      </c>
      <c r="C145" s="845" t="s">
        <v>715</v>
      </c>
      <c r="D145" s="845" t="s">
        <v>716</v>
      </c>
      <c r="E145" s="845" t="s">
        <v>370</v>
      </c>
      <c r="F145" s="845" t="s">
        <v>376</v>
      </c>
      <c r="G145" s="1573">
        <v>43159</v>
      </c>
      <c r="H145" s="1465">
        <v>80</v>
      </c>
      <c r="I145" s="845" t="s">
        <v>352</v>
      </c>
      <c r="J145" s="845" t="s">
        <v>372</v>
      </c>
      <c r="K145" s="1574" t="str">
        <f t="shared" si="4"/>
        <v>014420180228</v>
      </c>
    </row>
    <row r="146" spans="1:11">
      <c r="A146" s="1571">
        <v>145</v>
      </c>
      <c r="B146" s="845" t="s">
        <v>717</v>
      </c>
      <c r="C146" s="845" t="s">
        <v>718</v>
      </c>
      <c r="D146" s="845" t="s">
        <v>385</v>
      </c>
      <c r="E146" s="845" t="s">
        <v>370</v>
      </c>
      <c r="F146" s="845" t="s">
        <v>376</v>
      </c>
      <c r="G146" s="1573">
        <v>43161</v>
      </c>
      <c r="H146" s="1465">
        <v>47.3</v>
      </c>
      <c r="I146" s="845" t="s">
        <v>698</v>
      </c>
      <c r="J146" s="845" t="s">
        <v>372</v>
      </c>
      <c r="K146" s="1574" t="str">
        <f t="shared" si="4"/>
        <v>014520180302</v>
      </c>
    </row>
    <row r="147" spans="1:11">
      <c r="A147" s="1571">
        <v>146</v>
      </c>
      <c r="B147" s="845" t="s">
        <v>719</v>
      </c>
      <c r="C147" s="845" t="s">
        <v>491</v>
      </c>
      <c r="D147" s="845" t="s">
        <v>720</v>
      </c>
      <c r="E147" s="845" t="s">
        <v>370</v>
      </c>
      <c r="F147" s="845" t="s">
        <v>376</v>
      </c>
      <c r="G147" s="1573">
        <v>43161</v>
      </c>
      <c r="H147" s="1465">
        <v>52.8</v>
      </c>
      <c r="I147" s="845" t="s">
        <v>698</v>
      </c>
      <c r="J147" s="845" t="s">
        <v>372</v>
      </c>
      <c r="K147" s="1574" t="str">
        <f t="shared" si="4"/>
        <v>014620180302</v>
      </c>
    </row>
    <row r="148" spans="1:11">
      <c r="A148" s="1571">
        <v>147</v>
      </c>
      <c r="B148" s="845" t="s">
        <v>721</v>
      </c>
      <c r="C148" s="845" t="s">
        <v>722</v>
      </c>
      <c r="D148" s="845" t="s">
        <v>723</v>
      </c>
      <c r="E148" s="845" t="s">
        <v>370</v>
      </c>
      <c r="F148" s="845" t="s">
        <v>376</v>
      </c>
      <c r="G148" s="1573">
        <v>43161</v>
      </c>
      <c r="H148" s="1465">
        <v>55</v>
      </c>
      <c r="I148" s="845" t="s">
        <v>698</v>
      </c>
      <c r="J148" s="845" t="s">
        <v>372</v>
      </c>
      <c r="K148" s="1574" t="str">
        <f t="shared" si="4"/>
        <v>014720180302</v>
      </c>
    </row>
    <row r="149" spans="1:11">
      <c r="A149" s="1571">
        <v>148</v>
      </c>
      <c r="B149" s="845" t="s">
        <v>724</v>
      </c>
      <c r="C149" s="845" t="s">
        <v>725</v>
      </c>
      <c r="D149" s="845" t="s">
        <v>725</v>
      </c>
      <c r="E149" s="845" t="s">
        <v>370</v>
      </c>
      <c r="F149" s="845" t="s">
        <v>376</v>
      </c>
      <c r="G149" s="1573">
        <v>43168</v>
      </c>
      <c r="H149" s="1465">
        <v>250</v>
      </c>
      <c r="I149" s="845" t="s">
        <v>726</v>
      </c>
      <c r="J149" s="845" t="s">
        <v>372</v>
      </c>
      <c r="K149" s="1574" t="str">
        <f t="shared" si="4"/>
        <v>014820180309</v>
      </c>
    </row>
    <row r="150" spans="1:11">
      <c r="A150" s="1571">
        <v>149</v>
      </c>
      <c r="B150" s="845" t="s">
        <v>727</v>
      </c>
      <c r="C150" s="845" t="s">
        <v>378</v>
      </c>
      <c r="D150" s="845" t="s">
        <v>728</v>
      </c>
      <c r="E150" s="845" t="s">
        <v>370</v>
      </c>
      <c r="F150" s="845" t="s">
        <v>376</v>
      </c>
      <c r="G150" s="1573">
        <v>43204</v>
      </c>
      <c r="H150" s="1465">
        <v>92.24</v>
      </c>
      <c r="I150" s="845" t="s">
        <v>301</v>
      </c>
      <c r="J150" s="845" t="s">
        <v>372</v>
      </c>
      <c r="K150" s="1574" t="str">
        <f t="shared" si="4"/>
        <v>014920180414</v>
      </c>
    </row>
    <row r="151" spans="1:11">
      <c r="A151" s="1571">
        <v>150</v>
      </c>
      <c r="B151" s="845" t="s">
        <v>729</v>
      </c>
      <c r="C151" s="845" t="s">
        <v>393</v>
      </c>
      <c r="D151" s="845" t="s">
        <v>730</v>
      </c>
      <c r="E151" s="845" t="s">
        <v>370</v>
      </c>
      <c r="F151" s="845" t="s">
        <v>376</v>
      </c>
      <c r="G151" s="1573">
        <v>43208</v>
      </c>
      <c r="H151" s="1465">
        <v>101.7</v>
      </c>
      <c r="I151" s="845" t="s">
        <v>698</v>
      </c>
      <c r="J151" s="845" t="s">
        <v>372</v>
      </c>
      <c r="K151" s="1574" t="str">
        <f t="shared" si="4"/>
        <v>015020180418</v>
      </c>
    </row>
    <row r="152" spans="1:11">
      <c r="A152" s="1571">
        <v>151</v>
      </c>
      <c r="B152" s="845" t="s">
        <v>731</v>
      </c>
      <c r="C152" s="845" t="s">
        <v>439</v>
      </c>
      <c r="D152" s="845" t="s">
        <v>732</v>
      </c>
      <c r="E152" s="845" t="s">
        <v>370</v>
      </c>
      <c r="F152" s="845" t="s">
        <v>376</v>
      </c>
      <c r="G152" s="1573">
        <v>43223</v>
      </c>
      <c r="H152" s="1465">
        <f>126.72+4.74</f>
        <v>131.46</v>
      </c>
      <c r="I152" s="845" t="s">
        <v>380</v>
      </c>
      <c r="J152" s="845" t="s">
        <v>372</v>
      </c>
      <c r="K152" s="1574" t="str">
        <f t="shared" si="4"/>
        <v>015120180503</v>
      </c>
    </row>
    <row r="153" spans="1:11">
      <c r="A153" s="1571">
        <v>152</v>
      </c>
      <c r="B153" s="845" t="s">
        <v>733</v>
      </c>
      <c r="C153" s="845" t="s">
        <v>393</v>
      </c>
      <c r="D153" s="845" t="s">
        <v>734</v>
      </c>
      <c r="E153" s="845" t="s">
        <v>370</v>
      </c>
      <c r="F153" s="845" t="s">
        <v>376</v>
      </c>
      <c r="G153" s="1573">
        <v>43223</v>
      </c>
      <c r="H153" s="1465">
        <f>111.02+4.74</f>
        <v>115.75999999999999</v>
      </c>
      <c r="I153" s="845" t="s">
        <v>380</v>
      </c>
      <c r="J153" s="845" t="s">
        <v>372</v>
      </c>
      <c r="K153" s="1574" t="str">
        <f t="shared" si="4"/>
        <v>015220180503</v>
      </c>
    </row>
    <row r="154" spans="1:11">
      <c r="A154" s="1571">
        <v>153</v>
      </c>
      <c r="B154" s="845" t="s">
        <v>735</v>
      </c>
      <c r="C154" s="845" t="s">
        <v>378</v>
      </c>
      <c r="D154" s="845" t="s">
        <v>736</v>
      </c>
      <c r="E154" s="845" t="s">
        <v>370</v>
      </c>
      <c r="F154" s="845" t="s">
        <v>376</v>
      </c>
      <c r="G154" s="1573">
        <v>43245</v>
      </c>
      <c r="H154" s="1465">
        <v>145.9</v>
      </c>
      <c r="I154" s="845" t="s">
        <v>380</v>
      </c>
      <c r="J154" s="845" t="s">
        <v>372</v>
      </c>
      <c r="K154" s="1574" t="str">
        <f t="shared" si="4"/>
        <v>015320180525</v>
      </c>
    </row>
    <row r="155" spans="1:11">
      <c r="A155" s="1571">
        <v>154</v>
      </c>
      <c r="B155" s="845" t="s">
        <v>737</v>
      </c>
      <c r="C155" s="845" t="s">
        <v>393</v>
      </c>
      <c r="D155" s="845"/>
      <c r="E155" s="845" t="s">
        <v>370</v>
      </c>
      <c r="F155" s="845" t="s">
        <v>376</v>
      </c>
      <c r="G155" s="1573">
        <v>43260</v>
      </c>
      <c r="H155" s="1465">
        <v>110</v>
      </c>
      <c r="I155" s="845" t="s">
        <v>536</v>
      </c>
      <c r="J155" s="845" t="s">
        <v>738</v>
      </c>
      <c r="K155" s="1574" t="str">
        <f t="shared" si="4"/>
        <v>015420180609</v>
      </c>
    </row>
    <row r="156" spans="1:11">
      <c r="A156" s="1571">
        <v>155</v>
      </c>
      <c r="B156" s="845" t="s">
        <v>739</v>
      </c>
      <c r="C156" s="845" t="s">
        <v>393</v>
      </c>
      <c r="D156" s="845" t="s">
        <v>740</v>
      </c>
      <c r="E156" s="845" t="s">
        <v>370</v>
      </c>
      <c r="F156" s="845" t="s">
        <v>376</v>
      </c>
      <c r="G156" s="1573">
        <v>43272</v>
      </c>
      <c r="H156" s="1465">
        <v>136.16999999999999</v>
      </c>
      <c r="I156" s="845" t="s">
        <v>689</v>
      </c>
      <c r="J156" s="845" t="s">
        <v>372</v>
      </c>
      <c r="K156" s="1574" t="str">
        <f t="shared" si="4"/>
        <v>015520180621</v>
      </c>
    </row>
    <row r="157" spans="1:11">
      <c r="A157" s="1571">
        <v>156</v>
      </c>
      <c r="B157" s="845" t="s">
        <v>741</v>
      </c>
      <c r="C157" s="845" t="s">
        <v>569</v>
      </c>
      <c r="D157" s="845" t="s">
        <v>742</v>
      </c>
      <c r="E157" s="845" t="s">
        <v>370</v>
      </c>
      <c r="F157" s="845" t="s">
        <v>376</v>
      </c>
      <c r="G157" s="1573">
        <v>43284</v>
      </c>
      <c r="H157" s="1465">
        <v>37.97</v>
      </c>
      <c r="I157" s="845" t="s">
        <v>743</v>
      </c>
      <c r="J157" s="845" t="s">
        <v>372</v>
      </c>
      <c r="K157" s="1574" t="str">
        <f t="shared" si="4"/>
        <v>015620180703</v>
      </c>
    </row>
    <row r="158" spans="1:11">
      <c r="A158" s="1571">
        <v>157</v>
      </c>
      <c r="B158" s="845" t="s">
        <v>744</v>
      </c>
      <c r="C158" s="845" t="s">
        <v>569</v>
      </c>
      <c r="D158" s="845" t="s">
        <v>745</v>
      </c>
      <c r="E158" s="845" t="s">
        <v>370</v>
      </c>
      <c r="F158" s="845" t="s">
        <v>376</v>
      </c>
      <c r="G158" s="1573">
        <v>43284</v>
      </c>
      <c r="H158" s="1465">
        <v>37.97</v>
      </c>
      <c r="I158" s="845" t="s">
        <v>743</v>
      </c>
      <c r="J158" s="845" t="s">
        <v>372</v>
      </c>
      <c r="K158" s="1574" t="str">
        <f t="shared" si="4"/>
        <v>015720180703</v>
      </c>
    </row>
    <row r="159" spans="1:11">
      <c r="A159" s="1571">
        <v>158</v>
      </c>
      <c r="B159" s="845" t="s">
        <v>746</v>
      </c>
      <c r="C159" s="845" t="s">
        <v>384</v>
      </c>
      <c r="D159" s="845" t="s">
        <v>747</v>
      </c>
      <c r="E159" s="845" t="s">
        <v>370</v>
      </c>
      <c r="F159" s="845" t="s">
        <v>376</v>
      </c>
      <c r="G159" s="1573">
        <v>43286</v>
      </c>
      <c r="H159" s="1465">
        <v>129.9</v>
      </c>
      <c r="I159" s="845" t="s">
        <v>748</v>
      </c>
      <c r="J159" s="845" t="s">
        <v>372</v>
      </c>
      <c r="K159" s="1574" t="str">
        <f t="shared" si="4"/>
        <v>015820180705</v>
      </c>
    </row>
    <row r="160" spans="1:11">
      <c r="A160" s="1571">
        <v>159</v>
      </c>
      <c r="B160" s="845" t="s">
        <v>749</v>
      </c>
      <c r="C160" s="845" t="s">
        <v>750</v>
      </c>
      <c r="D160" s="845" t="s">
        <v>751</v>
      </c>
      <c r="E160" s="845" t="s">
        <v>370</v>
      </c>
      <c r="F160" s="845" t="s">
        <v>376</v>
      </c>
      <c r="G160" s="1573">
        <v>43296</v>
      </c>
      <c r="H160" s="1465">
        <v>137.27000000000001</v>
      </c>
      <c r="I160" s="845" t="s">
        <v>689</v>
      </c>
      <c r="J160" s="845" t="s">
        <v>372</v>
      </c>
      <c r="K160" s="1574" t="str">
        <f t="shared" si="4"/>
        <v>015920180715</v>
      </c>
    </row>
    <row r="161" spans="1:13">
      <c r="A161" s="1571">
        <v>160</v>
      </c>
      <c r="B161" s="845" t="s">
        <v>752</v>
      </c>
      <c r="C161" s="845"/>
      <c r="D161" s="845" t="s">
        <v>753</v>
      </c>
      <c r="E161" s="845" t="s">
        <v>370</v>
      </c>
      <c r="F161" s="845" t="s">
        <v>376</v>
      </c>
      <c r="G161" s="1573">
        <v>43297</v>
      </c>
      <c r="H161" s="1465">
        <v>62</v>
      </c>
      <c r="I161" s="1572" t="s">
        <v>459</v>
      </c>
      <c r="J161" s="845" t="s">
        <v>738</v>
      </c>
      <c r="K161" s="1574" t="str">
        <f t="shared" si="4"/>
        <v>016020180716</v>
      </c>
      <c r="L161" s="1575"/>
      <c r="M161" s="1575"/>
    </row>
    <row r="162" spans="1:13">
      <c r="A162" s="1571">
        <v>161</v>
      </c>
      <c r="B162" s="845" t="s">
        <v>754</v>
      </c>
      <c r="C162" s="845" t="s">
        <v>755</v>
      </c>
      <c r="D162" s="845" t="s">
        <v>756</v>
      </c>
      <c r="E162" s="845" t="s">
        <v>370</v>
      </c>
      <c r="F162" s="845" t="s">
        <v>376</v>
      </c>
      <c r="G162" s="1573">
        <v>43302</v>
      </c>
      <c r="H162" s="1465">
        <v>90</v>
      </c>
      <c r="I162" s="845" t="s">
        <v>757</v>
      </c>
      <c r="J162" s="845" t="s">
        <v>372</v>
      </c>
      <c r="K162" s="1574" t="str">
        <f t="shared" ref="K162:K194" si="5">CONCATENATE(TEXT(A162,"0000"),(TEXT(G162,"aaaammdd")))</f>
        <v>016120180721</v>
      </c>
      <c r="L162" s="1575"/>
      <c r="M162" s="1575"/>
    </row>
    <row r="163" spans="1:13">
      <c r="A163" s="1571">
        <v>162</v>
      </c>
      <c r="B163" s="845" t="s">
        <v>758</v>
      </c>
      <c r="C163" s="845" t="s">
        <v>393</v>
      </c>
      <c r="D163" s="845" t="s">
        <v>759</v>
      </c>
      <c r="E163" s="845" t="s">
        <v>370</v>
      </c>
      <c r="F163" s="845" t="s">
        <v>376</v>
      </c>
      <c r="G163" s="1573">
        <v>43318</v>
      </c>
      <c r="H163" s="1465">
        <v>132</v>
      </c>
      <c r="I163" s="845" t="s">
        <v>760</v>
      </c>
      <c r="J163" s="845" t="s">
        <v>372</v>
      </c>
      <c r="K163" s="1574" t="str">
        <f t="shared" si="5"/>
        <v>016220180806</v>
      </c>
      <c r="L163" s="1575"/>
      <c r="M163" s="1575"/>
    </row>
    <row r="164" spans="1:13">
      <c r="A164" s="1571">
        <v>163</v>
      </c>
      <c r="B164" s="845" t="s">
        <v>761</v>
      </c>
      <c r="C164" s="845" t="s">
        <v>393</v>
      </c>
      <c r="D164" s="845" t="s">
        <v>762</v>
      </c>
      <c r="E164" s="845" t="s">
        <v>370</v>
      </c>
      <c r="F164" s="845" t="s">
        <v>376</v>
      </c>
      <c r="G164" s="1573">
        <v>43318</v>
      </c>
      <c r="H164" s="1465">
        <v>122</v>
      </c>
      <c r="I164" s="845" t="s">
        <v>760</v>
      </c>
      <c r="J164" s="845" t="s">
        <v>372</v>
      </c>
      <c r="K164" s="1574" t="str">
        <f t="shared" si="5"/>
        <v>016320180806</v>
      </c>
      <c r="L164" s="1575"/>
      <c r="M164" s="1575"/>
    </row>
    <row r="165" spans="1:13">
      <c r="A165" s="1571">
        <v>164</v>
      </c>
      <c r="B165" s="845" t="s">
        <v>763</v>
      </c>
      <c r="C165" s="845" t="s">
        <v>439</v>
      </c>
      <c r="D165" s="845" t="s">
        <v>764</v>
      </c>
      <c r="E165" s="845" t="s">
        <v>370</v>
      </c>
      <c r="F165" s="845" t="s">
        <v>376</v>
      </c>
      <c r="G165" s="1573">
        <v>43318</v>
      </c>
      <c r="H165" s="1465">
        <v>134</v>
      </c>
      <c r="I165" s="845" t="s">
        <v>760</v>
      </c>
      <c r="J165" s="845" t="s">
        <v>372</v>
      </c>
      <c r="K165" s="1574" t="str">
        <f t="shared" si="5"/>
        <v>016420180806</v>
      </c>
      <c r="L165" s="1575"/>
      <c r="M165" s="1575"/>
    </row>
    <row r="166" spans="1:13">
      <c r="A166" s="1571">
        <v>165</v>
      </c>
      <c r="B166" s="845" t="s">
        <v>765</v>
      </c>
      <c r="C166" s="845" t="s">
        <v>404</v>
      </c>
      <c r="D166" s="845" t="s">
        <v>404</v>
      </c>
      <c r="E166" s="845" t="s">
        <v>370</v>
      </c>
      <c r="F166" s="845" t="s">
        <v>376</v>
      </c>
      <c r="G166" s="1573">
        <v>43333</v>
      </c>
      <c r="H166" s="1465">
        <v>46.8</v>
      </c>
      <c r="I166" s="845" t="s">
        <v>766</v>
      </c>
      <c r="J166" s="845" t="s">
        <v>372</v>
      </c>
      <c r="K166" s="1574" t="str">
        <f t="shared" si="5"/>
        <v>016520180821</v>
      </c>
      <c r="L166" s="1575"/>
      <c r="M166" s="1575"/>
    </row>
    <row r="167" spans="1:13">
      <c r="A167" s="1571">
        <v>166</v>
      </c>
      <c r="B167" s="845" t="s">
        <v>767</v>
      </c>
      <c r="C167" s="845" t="s">
        <v>404</v>
      </c>
      <c r="D167" s="845" t="s">
        <v>404</v>
      </c>
      <c r="E167" s="845" t="s">
        <v>370</v>
      </c>
      <c r="F167" s="845" t="s">
        <v>376</v>
      </c>
      <c r="G167" s="1573">
        <v>43333</v>
      </c>
      <c r="H167" s="1465">
        <v>46.8</v>
      </c>
      <c r="I167" s="845" t="s">
        <v>766</v>
      </c>
      <c r="J167" s="845" t="s">
        <v>372</v>
      </c>
      <c r="K167" s="1574" t="str">
        <f t="shared" si="5"/>
        <v>016620180821</v>
      </c>
      <c r="L167" s="1575"/>
      <c r="M167" s="1575"/>
    </row>
    <row r="168" spans="1:13">
      <c r="A168" s="1571">
        <v>167</v>
      </c>
      <c r="B168" s="845" t="s">
        <v>768</v>
      </c>
      <c r="C168" s="845" t="s">
        <v>769</v>
      </c>
      <c r="D168" s="1572" t="s">
        <v>396</v>
      </c>
      <c r="E168" s="845" t="s">
        <v>370</v>
      </c>
      <c r="F168" s="845" t="s">
        <v>376</v>
      </c>
      <c r="G168" s="1573">
        <v>43335</v>
      </c>
      <c r="H168" s="1465">
        <v>46.8</v>
      </c>
      <c r="I168" s="845" t="s">
        <v>770</v>
      </c>
      <c r="J168" s="845" t="s">
        <v>372</v>
      </c>
      <c r="K168" s="1574" t="str">
        <f t="shared" si="5"/>
        <v>016720180823</v>
      </c>
      <c r="L168" s="1575"/>
      <c r="M168" s="1575"/>
    </row>
    <row r="169" spans="1:13">
      <c r="A169" s="1571">
        <v>168</v>
      </c>
      <c r="B169" s="845" t="s">
        <v>771</v>
      </c>
      <c r="C169" s="845" t="s">
        <v>769</v>
      </c>
      <c r="D169" s="845" t="s">
        <v>404</v>
      </c>
      <c r="E169" s="845" t="s">
        <v>370</v>
      </c>
      <c r="F169" s="845" t="s">
        <v>376</v>
      </c>
      <c r="G169" s="1573">
        <v>43335</v>
      </c>
      <c r="H169" s="1465">
        <v>46.8</v>
      </c>
      <c r="I169" s="845" t="s">
        <v>770</v>
      </c>
      <c r="J169" s="845" t="s">
        <v>372</v>
      </c>
      <c r="K169" s="1574" t="str">
        <f t="shared" si="5"/>
        <v>016820180823</v>
      </c>
      <c r="L169" s="1575"/>
      <c r="M169" s="1575"/>
    </row>
    <row r="170" spans="1:13">
      <c r="A170" s="1571">
        <v>169</v>
      </c>
      <c r="B170" s="845" t="s">
        <v>772</v>
      </c>
      <c r="C170" s="845" t="s">
        <v>404</v>
      </c>
      <c r="D170" s="845" t="s">
        <v>773</v>
      </c>
      <c r="E170" s="845" t="s">
        <v>370</v>
      </c>
      <c r="F170" s="845" t="s">
        <v>376</v>
      </c>
      <c r="G170" s="1573">
        <v>43365</v>
      </c>
      <c r="H170" s="1465">
        <v>80</v>
      </c>
      <c r="I170" s="845" t="s">
        <v>774</v>
      </c>
      <c r="J170" s="845" t="s">
        <v>372</v>
      </c>
      <c r="K170" s="1574" t="str">
        <f t="shared" si="5"/>
        <v>016920180922</v>
      </c>
      <c r="L170" s="1575"/>
      <c r="M170" s="1575"/>
    </row>
    <row r="171" spans="1:13">
      <c r="A171" s="1571">
        <v>170</v>
      </c>
      <c r="B171" s="845" t="s">
        <v>775</v>
      </c>
      <c r="C171" s="845" t="s">
        <v>378</v>
      </c>
      <c r="D171" s="845" t="s">
        <v>776</v>
      </c>
      <c r="E171" s="845" t="s">
        <v>370</v>
      </c>
      <c r="F171" s="845" t="s">
        <v>376</v>
      </c>
      <c r="G171" s="1573">
        <v>43365</v>
      </c>
      <c r="H171" s="1465">
        <f>310/2</f>
        <v>155</v>
      </c>
      <c r="I171" s="1572" t="s">
        <v>676</v>
      </c>
      <c r="J171" s="845" t="s">
        <v>777</v>
      </c>
      <c r="K171" s="1574" t="str">
        <f t="shared" si="5"/>
        <v>017020180922</v>
      </c>
      <c r="L171" s="1575"/>
      <c r="M171" s="1575"/>
    </row>
    <row r="172" spans="1:13">
      <c r="A172" s="1571">
        <v>171</v>
      </c>
      <c r="B172" s="845" t="s">
        <v>778</v>
      </c>
      <c r="C172" s="845" t="s">
        <v>378</v>
      </c>
      <c r="D172" s="1572" t="s">
        <v>396</v>
      </c>
      <c r="E172" s="845" t="s">
        <v>370</v>
      </c>
      <c r="F172" s="845" t="s">
        <v>376</v>
      </c>
      <c r="G172" s="1573">
        <v>43365</v>
      </c>
      <c r="H172" s="1465">
        <v>155</v>
      </c>
      <c r="I172" s="1572" t="s">
        <v>676</v>
      </c>
      <c r="J172" s="845" t="s">
        <v>372</v>
      </c>
      <c r="K172" s="1574" t="str">
        <f t="shared" si="5"/>
        <v>017120180922</v>
      </c>
      <c r="L172" s="1575"/>
      <c r="M172" s="1575"/>
    </row>
    <row r="173" spans="1:13">
      <c r="A173" s="1571">
        <v>172</v>
      </c>
      <c r="B173" s="845" t="s">
        <v>779</v>
      </c>
      <c r="C173" s="845" t="s">
        <v>393</v>
      </c>
      <c r="D173" s="845" t="s">
        <v>780</v>
      </c>
      <c r="E173" s="845" t="s">
        <v>370</v>
      </c>
      <c r="F173" s="845" t="s">
        <v>376</v>
      </c>
      <c r="G173" s="1573">
        <v>43407</v>
      </c>
      <c r="H173" s="1465">
        <v>154.75</v>
      </c>
      <c r="I173" s="845" t="s">
        <v>781</v>
      </c>
      <c r="J173" s="845" t="s">
        <v>372</v>
      </c>
      <c r="K173" s="1574" t="str">
        <f t="shared" si="5"/>
        <v>017220181103</v>
      </c>
      <c r="L173" s="1575"/>
      <c r="M173" s="1575"/>
    </row>
    <row r="174" spans="1:13">
      <c r="A174" s="1571">
        <v>173</v>
      </c>
      <c r="B174" s="845" t="s">
        <v>782</v>
      </c>
      <c r="C174" s="845" t="s">
        <v>404</v>
      </c>
      <c r="D174" s="845" t="s">
        <v>783</v>
      </c>
      <c r="E174" s="845" t="s">
        <v>376</v>
      </c>
      <c r="F174" s="845" t="s">
        <v>376</v>
      </c>
      <c r="G174" s="1573">
        <v>43493</v>
      </c>
      <c r="H174" s="1465">
        <v>90</v>
      </c>
      <c r="I174" s="845" t="s">
        <v>708</v>
      </c>
      <c r="J174" s="845" t="s">
        <v>372</v>
      </c>
      <c r="K174" s="1574" t="str">
        <f t="shared" si="5"/>
        <v>017320190128</v>
      </c>
      <c r="L174" s="1575"/>
      <c r="M174" s="1575"/>
    </row>
    <row r="175" spans="1:13">
      <c r="A175" s="1571">
        <v>174</v>
      </c>
      <c r="B175" s="845" t="s">
        <v>784</v>
      </c>
      <c r="C175" s="845" t="s">
        <v>404</v>
      </c>
      <c r="D175" s="845" t="s">
        <v>400</v>
      </c>
      <c r="E175" s="845" t="s">
        <v>376</v>
      </c>
      <c r="F175" s="845" t="s">
        <v>376</v>
      </c>
      <c r="G175" s="1573">
        <v>43496</v>
      </c>
      <c r="H175" s="1465">
        <v>58.34</v>
      </c>
      <c r="I175" s="845" t="s">
        <v>708</v>
      </c>
      <c r="J175" s="845" t="s">
        <v>372</v>
      </c>
      <c r="K175" s="1574" t="str">
        <f t="shared" si="5"/>
        <v>017420190131</v>
      </c>
      <c r="L175" s="1575"/>
      <c r="M175" s="1575"/>
    </row>
    <row r="176" spans="1:13">
      <c r="A176" s="1571">
        <v>175</v>
      </c>
      <c r="B176" s="845" t="s">
        <v>785</v>
      </c>
      <c r="C176" s="845" t="s">
        <v>404</v>
      </c>
      <c r="D176" s="845" t="s">
        <v>786</v>
      </c>
      <c r="E176" s="845" t="s">
        <v>376</v>
      </c>
      <c r="F176" s="845" t="s">
        <v>376</v>
      </c>
      <c r="G176" s="1573">
        <v>43496</v>
      </c>
      <c r="H176" s="1465">
        <v>58.33</v>
      </c>
      <c r="I176" s="845" t="s">
        <v>708</v>
      </c>
      <c r="J176" s="845" t="s">
        <v>547</v>
      </c>
      <c r="K176" s="1574" t="str">
        <f t="shared" si="5"/>
        <v>017520190131</v>
      </c>
      <c r="L176" s="1577"/>
      <c r="M176"/>
    </row>
    <row r="177" spans="1:12">
      <c r="A177" s="1571">
        <v>176</v>
      </c>
      <c r="B177" s="845" t="s">
        <v>787</v>
      </c>
      <c r="C177" s="845" t="s">
        <v>404</v>
      </c>
      <c r="D177" s="845" t="s">
        <v>788</v>
      </c>
      <c r="E177" s="845" t="s">
        <v>376</v>
      </c>
      <c r="F177" s="845" t="s">
        <v>376</v>
      </c>
      <c r="G177" s="1573">
        <v>43496</v>
      </c>
      <c r="H177" s="1465">
        <v>58.33</v>
      </c>
      <c r="I177" s="845" t="s">
        <v>708</v>
      </c>
      <c r="J177" s="845" t="s">
        <v>789</v>
      </c>
      <c r="K177" s="1574" t="str">
        <f t="shared" si="5"/>
        <v>017620190131</v>
      </c>
      <c r="L177" s="1575"/>
    </row>
    <row r="178" spans="1:12">
      <c r="A178" s="1571">
        <v>177</v>
      </c>
      <c r="B178" s="845" t="s">
        <v>790</v>
      </c>
      <c r="C178" s="845" t="s">
        <v>791</v>
      </c>
      <c r="D178" s="845" t="s">
        <v>627</v>
      </c>
      <c r="E178" s="845" t="s">
        <v>370</v>
      </c>
      <c r="F178" s="845" t="s">
        <v>376</v>
      </c>
      <c r="G178" s="1573">
        <v>43544</v>
      </c>
      <c r="H178" s="1465">
        <v>204</v>
      </c>
      <c r="I178" s="845" t="s">
        <v>708</v>
      </c>
      <c r="J178" s="845" t="s">
        <v>792</v>
      </c>
      <c r="K178" s="1574" t="str">
        <f t="shared" si="5"/>
        <v>017720190320</v>
      </c>
      <c r="L178" s="1575"/>
    </row>
    <row r="179" spans="1:12">
      <c r="A179" s="1571">
        <v>178</v>
      </c>
      <c r="B179" s="845" t="s">
        <v>793</v>
      </c>
      <c r="C179" s="845" t="s">
        <v>439</v>
      </c>
      <c r="D179" s="845" t="s">
        <v>794</v>
      </c>
      <c r="E179" s="845" t="s">
        <v>370</v>
      </c>
      <c r="F179" s="845" t="s">
        <v>376</v>
      </c>
      <c r="G179" s="1573">
        <v>43575</v>
      </c>
      <c r="H179" s="1465">
        <v>30</v>
      </c>
      <c r="I179" s="845" t="s">
        <v>795</v>
      </c>
      <c r="J179" s="845" t="s">
        <v>372</v>
      </c>
      <c r="K179" s="1574" t="str">
        <f t="shared" si="5"/>
        <v>017820190420</v>
      </c>
      <c r="L179" s="1575"/>
    </row>
    <row r="180" spans="1:12">
      <c r="A180" s="1571">
        <v>179</v>
      </c>
      <c r="B180" s="845" t="s">
        <v>796</v>
      </c>
      <c r="C180" s="845" t="s">
        <v>393</v>
      </c>
      <c r="D180" s="845" t="s">
        <v>797</v>
      </c>
      <c r="E180" s="845" t="s">
        <v>370</v>
      </c>
      <c r="F180" s="845" t="s">
        <v>376</v>
      </c>
      <c r="G180" s="1573">
        <v>43676</v>
      </c>
      <c r="H180" s="1465">
        <v>166.95</v>
      </c>
      <c r="I180" s="845" t="s">
        <v>380</v>
      </c>
      <c r="J180" s="845" t="s">
        <v>372</v>
      </c>
      <c r="K180" s="1574" t="str">
        <f t="shared" si="5"/>
        <v>017920190730</v>
      </c>
      <c r="L180" s="1575"/>
    </row>
    <row r="181" spans="1:12">
      <c r="A181" s="1571">
        <v>180</v>
      </c>
      <c r="B181" s="845" t="s">
        <v>798</v>
      </c>
      <c r="C181" s="845" t="s">
        <v>393</v>
      </c>
      <c r="D181" s="845" t="s">
        <v>797</v>
      </c>
      <c r="E181" s="845" t="s">
        <v>370</v>
      </c>
      <c r="F181" s="845" t="s">
        <v>376</v>
      </c>
      <c r="G181" s="1573">
        <v>43676</v>
      </c>
      <c r="H181" s="1465">
        <v>145.80000000000001</v>
      </c>
      <c r="I181" s="845" t="s">
        <v>380</v>
      </c>
      <c r="J181" s="845" t="s">
        <v>372</v>
      </c>
      <c r="K181" s="1574" t="str">
        <f t="shared" si="5"/>
        <v>018020190730</v>
      </c>
      <c r="L181" s="1577"/>
    </row>
    <row r="182" spans="1:12">
      <c r="A182" s="1571">
        <v>181</v>
      </c>
      <c r="B182" s="845" t="s">
        <v>799</v>
      </c>
      <c r="C182" s="845" t="s">
        <v>399</v>
      </c>
      <c r="D182" s="845" t="s">
        <v>400</v>
      </c>
      <c r="E182" s="845" t="s">
        <v>376</v>
      </c>
      <c r="F182" s="845" t="s">
        <v>376</v>
      </c>
      <c r="G182" s="1573">
        <v>43682</v>
      </c>
      <c r="H182" s="1465">
        <v>135</v>
      </c>
      <c r="I182" s="845" t="s">
        <v>399</v>
      </c>
      <c r="J182" s="845" t="s">
        <v>372</v>
      </c>
      <c r="K182" s="1049" t="str">
        <f t="shared" si="5"/>
        <v>018120190805</v>
      </c>
      <c r="L182" s="1575"/>
    </row>
    <row r="183" spans="1:12">
      <c r="A183" s="1571">
        <v>182</v>
      </c>
      <c r="B183" s="845" t="s">
        <v>800</v>
      </c>
      <c r="C183" s="845" t="s">
        <v>378</v>
      </c>
      <c r="D183" s="845" t="s">
        <v>801</v>
      </c>
      <c r="E183" s="845" t="s">
        <v>370</v>
      </c>
      <c r="F183" s="845" t="s">
        <v>376</v>
      </c>
      <c r="G183" s="1573">
        <v>43705</v>
      </c>
      <c r="H183" s="1465">
        <v>77.61</v>
      </c>
      <c r="I183" s="845" t="s">
        <v>301</v>
      </c>
      <c r="J183" s="845" t="s">
        <v>372</v>
      </c>
      <c r="K183" s="1049" t="str">
        <f t="shared" si="5"/>
        <v>018220190828</v>
      </c>
      <c r="L183" s="1575"/>
    </row>
    <row r="184" spans="1:12">
      <c r="A184" s="1571">
        <v>183</v>
      </c>
      <c r="B184" s="845" t="s">
        <v>802</v>
      </c>
      <c r="C184" s="845"/>
      <c r="D184" s="845" t="s">
        <v>803</v>
      </c>
      <c r="E184" s="845" t="s">
        <v>370</v>
      </c>
      <c r="F184" s="845" t="s">
        <v>370</v>
      </c>
      <c r="G184" s="1573">
        <v>43826</v>
      </c>
      <c r="H184" s="1465">
        <v>70</v>
      </c>
      <c r="I184" s="845" t="s">
        <v>708</v>
      </c>
      <c r="J184" s="845" t="s">
        <v>483</v>
      </c>
      <c r="K184" s="1049" t="str">
        <f t="shared" si="5"/>
        <v>018320191227</v>
      </c>
      <c r="L184" s="1575"/>
    </row>
    <row r="185" spans="1:12">
      <c r="A185" s="1571">
        <v>184</v>
      </c>
      <c r="B185" s="845" t="s">
        <v>804</v>
      </c>
      <c r="C185" s="845" t="s">
        <v>393</v>
      </c>
      <c r="D185" s="845" t="s">
        <v>805</v>
      </c>
      <c r="E185" s="845" t="s">
        <v>370</v>
      </c>
      <c r="F185" s="845" t="s">
        <v>376</v>
      </c>
      <c r="G185" s="1573">
        <v>44032</v>
      </c>
      <c r="H185" s="1465">
        <v>167.65</v>
      </c>
      <c r="I185" s="845" t="s">
        <v>380</v>
      </c>
      <c r="J185" s="845" t="s">
        <v>372</v>
      </c>
      <c r="K185" s="1049" t="str">
        <f t="shared" si="5"/>
        <v>018420200720</v>
      </c>
      <c r="L185" s="1575"/>
    </row>
    <row r="186" spans="1:12">
      <c r="A186" s="1571">
        <v>185</v>
      </c>
      <c r="B186" s="845" t="s">
        <v>806</v>
      </c>
      <c r="C186" s="845" t="s">
        <v>399</v>
      </c>
      <c r="D186" s="845" t="s">
        <v>400</v>
      </c>
      <c r="E186" s="845" t="s">
        <v>376</v>
      </c>
      <c r="F186" s="845" t="s">
        <v>376</v>
      </c>
      <c r="G186" s="1573">
        <v>44147</v>
      </c>
      <c r="H186" s="1466">
        <v>84</v>
      </c>
      <c r="I186" s="845" t="s">
        <v>708</v>
      </c>
      <c r="J186" s="845" t="s">
        <v>372</v>
      </c>
      <c r="K186" s="1049" t="str">
        <f t="shared" si="5"/>
        <v>018520201112</v>
      </c>
      <c r="L186" s="1575"/>
    </row>
    <row r="187" spans="1:12">
      <c r="A187" s="1571">
        <v>186</v>
      </c>
      <c r="B187" s="845" t="s">
        <v>807</v>
      </c>
      <c r="C187" s="845" t="s">
        <v>399</v>
      </c>
      <c r="D187" s="845" t="s">
        <v>400</v>
      </c>
      <c r="E187" s="845" t="s">
        <v>376</v>
      </c>
      <c r="F187" s="845" t="s">
        <v>376</v>
      </c>
      <c r="G187" s="1573">
        <v>44147</v>
      </c>
      <c r="H187" s="1466">
        <v>84</v>
      </c>
      <c r="I187" s="845" t="s">
        <v>708</v>
      </c>
      <c r="J187" s="845" t="s">
        <v>372</v>
      </c>
      <c r="K187" s="1049" t="str">
        <f t="shared" si="5"/>
        <v>018620201112</v>
      </c>
      <c r="L187" s="1575"/>
    </row>
    <row r="188" spans="1:12">
      <c r="A188" s="1571">
        <v>187</v>
      </c>
      <c r="B188" s="845" t="s">
        <v>808</v>
      </c>
      <c r="C188" s="845" t="s">
        <v>399</v>
      </c>
      <c r="D188" s="845" t="s">
        <v>400</v>
      </c>
      <c r="E188" s="845" t="s">
        <v>376</v>
      </c>
      <c r="F188" s="845" t="s">
        <v>376</v>
      </c>
      <c r="G188" s="1573">
        <v>44147</v>
      </c>
      <c r="H188" s="1466">
        <v>84</v>
      </c>
      <c r="I188" s="845" t="s">
        <v>708</v>
      </c>
      <c r="J188" s="845" t="s">
        <v>372</v>
      </c>
      <c r="K188" s="1049" t="str">
        <f t="shared" si="5"/>
        <v>018720201112</v>
      </c>
      <c r="L188" s="1575"/>
    </row>
    <row r="189" spans="1:12">
      <c r="A189" s="1571">
        <v>188</v>
      </c>
      <c r="B189" s="845" t="s">
        <v>809</v>
      </c>
      <c r="C189" s="845" t="s">
        <v>810</v>
      </c>
      <c r="D189" s="1572" t="s">
        <v>379</v>
      </c>
      <c r="E189" s="845" t="s">
        <v>376</v>
      </c>
      <c r="F189" s="1572" t="s">
        <v>376</v>
      </c>
      <c r="G189" s="1573">
        <v>44503</v>
      </c>
      <c r="H189" s="1465">
        <v>300.57</v>
      </c>
      <c r="I189" s="845" t="s">
        <v>301</v>
      </c>
      <c r="J189" s="1572" t="s">
        <v>372</v>
      </c>
      <c r="K189" s="1574" t="str">
        <f t="shared" si="5"/>
        <v>018820211103</v>
      </c>
      <c r="L189" s="1575"/>
    </row>
    <row r="190" spans="1:12">
      <c r="A190" s="1571">
        <v>189</v>
      </c>
      <c r="B190" s="845" t="s">
        <v>811</v>
      </c>
      <c r="C190" s="1572" t="s">
        <v>576</v>
      </c>
      <c r="D190" s="1572" t="s">
        <v>577</v>
      </c>
      <c r="E190" s="1572" t="s">
        <v>370</v>
      </c>
      <c r="F190" s="1572" t="s">
        <v>376</v>
      </c>
      <c r="G190" s="1573">
        <v>44561</v>
      </c>
      <c r="H190" s="1466">
        <v>98.65</v>
      </c>
      <c r="I190" s="845" t="s">
        <v>301</v>
      </c>
      <c r="J190" s="845" t="s">
        <v>372</v>
      </c>
      <c r="K190" s="1049" t="str">
        <f t="shared" si="5"/>
        <v>018920211231</v>
      </c>
      <c r="L190" s="1575"/>
    </row>
    <row r="191" spans="1:12">
      <c r="A191" s="1571">
        <v>190</v>
      </c>
      <c r="B191" s="845" t="s">
        <v>812</v>
      </c>
      <c r="C191" s="845" t="s">
        <v>399</v>
      </c>
      <c r="D191" s="845" t="s">
        <v>400</v>
      </c>
      <c r="E191" s="845" t="s">
        <v>376</v>
      </c>
      <c r="F191" s="845" t="s">
        <v>376</v>
      </c>
      <c r="G191" s="1573">
        <v>44715</v>
      </c>
      <c r="H191" s="1466">
        <v>225</v>
      </c>
      <c r="I191" s="845" t="s">
        <v>708</v>
      </c>
      <c r="J191" s="845" t="s">
        <v>372</v>
      </c>
      <c r="K191" s="1049" t="str">
        <f t="shared" si="5"/>
        <v>019020220603</v>
      </c>
      <c r="L191" s="1575"/>
    </row>
    <row r="192" spans="1:12">
      <c r="A192" s="1571">
        <v>191</v>
      </c>
      <c r="B192" s="845" t="s">
        <v>813</v>
      </c>
      <c r="C192" s="845" t="s">
        <v>814</v>
      </c>
      <c r="D192" s="845" t="s">
        <v>815</v>
      </c>
      <c r="E192" s="845" t="s">
        <v>370</v>
      </c>
      <c r="F192" s="845" t="s">
        <v>376</v>
      </c>
      <c r="G192" s="1573">
        <v>44741</v>
      </c>
      <c r="H192" s="1466">
        <v>116.38</v>
      </c>
      <c r="I192" s="845" t="s">
        <v>301</v>
      </c>
      <c r="J192" s="845" t="s">
        <v>372</v>
      </c>
      <c r="K192" s="1049" t="str">
        <f t="shared" si="5"/>
        <v>019120220629</v>
      </c>
      <c r="L192" s="1575"/>
    </row>
    <row r="193" spans="1:11">
      <c r="A193" s="1571">
        <v>192</v>
      </c>
      <c r="B193" s="845" t="s">
        <v>816</v>
      </c>
      <c r="C193" s="845" t="s">
        <v>817</v>
      </c>
      <c r="D193" s="845" t="s">
        <v>818</v>
      </c>
      <c r="E193" s="845" t="s">
        <v>376</v>
      </c>
      <c r="F193" s="845" t="s">
        <v>376</v>
      </c>
      <c r="G193" s="1573">
        <v>44782</v>
      </c>
      <c r="H193" s="1466">
        <v>94.93</v>
      </c>
      <c r="I193" s="845" t="s">
        <v>301</v>
      </c>
      <c r="J193" s="845" t="s">
        <v>372</v>
      </c>
      <c r="K193" s="1049" t="str">
        <f t="shared" si="5"/>
        <v>019220220809</v>
      </c>
    </row>
    <row r="194" spans="1:11">
      <c r="A194" s="1571">
        <v>193</v>
      </c>
      <c r="B194" s="845" t="s">
        <v>819</v>
      </c>
      <c r="C194" s="845" t="s">
        <v>820</v>
      </c>
      <c r="D194" s="845" t="s">
        <v>821</v>
      </c>
      <c r="E194" s="845" t="s">
        <v>370</v>
      </c>
      <c r="F194" s="845" t="s">
        <v>376</v>
      </c>
      <c r="G194" s="1573">
        <v>45247</v>
      </c>
      <c r="H194" s="1572">
        <v>301.5</v>
      </c>
      <c r="I194" s="845" t="s">
        <v>822</v>
      </c>
      <c r="J194" s="845" t="s">
        <v>483</v>
      </c>
      <c r="K194" s="1574" t="str">
        <f t="shared" si="5"/>
        <v>019320231117</v>
      </c>
    </row>
    <row r="195" spans="1:11">
      <c r="A195" s="1571"/>
      <c r="B195" s="1572"/>
      <c r="C195" s="1572"/>
      <c r="D195" s="1572"/>
      <c r="E195" s="1572"/>
      <c r="F195" s="1572"/>
      <c r="G195" s="1572"/>
      <c r="H195" s="1572"/>
      <c r="I195" s="1572"/>
      <c r="J195" s="1572"/>
      <c r="K195" s="1574"/>
    </row>
    <row r="196" spans="1:11">
      <c r="A196" s="1571"/>
      <c r="B196" s="1572"/>
      <c r="C196" s="1572"/>
      <c r="D196" s="1572"/>
      <c r="E196" s="1572"/>
      <c r="F196" s="1572"/>
      <c r="G196" s="1572"/>
      <c r="H196" s="1572"/>
      <c r="I196" s="1572"/>
      <c r="J196" s="1572"/>
      <c r="K196" s="1574"/>
    </row>
    <row r="197" spans="1:11">
      <c r="A197" s="1571"/>
      <c r="B197" s="1572"/>
      <c r="C197" s="1572"/>
      <c r="D197" s="1572"/>
      <c r="E197" s="1572"/>
      <c r="F197" s="1572"/>
      <c r="G197" s="1572"/>
      <c r="H197" s="1572"/>
      <c r="I197" s="1572"/>
      <c r="J197" s="1572"/>
      <c r="K197" s="1574"/>
    </row>
    <row r="198" spans="1:11">
      <c r="A198" s="1571"/>
      <c r="B198" s="1572"/>
      <c r="C198" s="1572"/>
      <c r="D198" s="1572"/>
      <c r="E198" s="1572"/>
      <c r="F198" s="1572"/>
      <c r="G198" s="1572"/>
      <c r="H198" s="1572"/>
      <c r="I198" s="1572"/>
      <c r="J198" s="1572"/>
      <c r="K198" s="1574"/>
    </row>
    <row r="199" spans="1:11">
      <c r="A199" s="1571"/>
      <c r="B199" s="1572"/>
      <c r="C199" s="1572"/>
      <c r="D199" s="1572"/>
      <c r="E199" s="1572"/>
      <c r="F199" s="1572"/>
      <c r="G199" s="1572"/>
      <c r="H199" s="1572"/>
      <c r="I199" s="1572"/>
      <c r="J199" s="1572"/>
      <c r="K199" s="1574"/>
    </row>
    <row r="200" spans="1:11" ht="13.5" thickBot="1">
      <c r="A200" s="1578"/>
      <c r="B200" s="1579"/>
      <c r="C200" s="1579"/>
      <c r="D200" s="1579"/>
      <c r="E200" s="1579"/>
      <c r="F200" s="1579"/>
      <c r="G200" s="1579"/>
      <c r="H200" s="1579"/>
      <c r="I200" s="1579"/>
      <c r="J200" s="1579"/>
      <c r="K200" s="1580"/>
    </row>
  </sheetData>
  <autoFilter ref="A1:K193" xr:uid="{00000000-0001-0000-0100-000000000000}">
    <sortState xmlns:xlrd2="http://schemas.microsoft.com/office/spreadsheetml/2017/richdata2" ref="A2:K193">
      <sortCondition ref="A1:A193"/>
    </sortState>
  </autoFilter>
  <conditionalFormatting sqref="A2:K200">
    <cfRule type="expression" dxfId="492" priority="1">
      <formula>MOD(ROW(),2)&lt;&gt;0</formula>
    </cfRule>
    <cfRule type="expression" dxfId="491" priority="2">
      <formula>MOD(ROW(),2)=0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A1:B201"/>
  <sheetViews>
    <sheetView topLeftCell="A86" workbookViewId="0">
      <selection activeCell="B194" sqref="B194"/>
    </sheetView>
  </sheetViews>
  <sheetFormatPr defaultRowHeight="12.75"/>
  <cols>
    <col min="2" max="2" width="13.5703125" bestFit="1" customWidth="1"/>
  </cols>
  <sheetData>
    <row r="1" spans="1:2">
      <c r="A1" t="s">
        <v>823</v>
      </c>
      <c r="B1" t="str">
        <f>Tarot_Decks!K1</f>
        <v>Chave Primária</v>
      </c>
    </row>
    <row r="2" spans="1:2">
      <c r="A2" s="1317">
        <f>Tarot_Decks!A2</f>
        <v>1</v>
      </c>
      <c r="B2" t="str">
        <f>Tarot_Decks!K2</f>
        <v>000120140716</v>
      </c>
    </row>
    <row r="3" spans="1:2">
      <c r="A3" s="1317">
        <f>Tarot_Decks!A3</f>
        <v>2</v>
      </c>
      <c r="B3" t="str">
        <f>Tarot_Decks!K3</f>
        <v>000220140716</v>
      </c>
    </row>
    <row r="4" spans="1:2">
      <c r="A4" s="1317">
        <f>Tarot_Decks!A4</f>
        <v>3</v>
      </c>
      <c r="B4" t="str">
        <f>Tarot_Decks!K4</f>
        <v>000320140827</v>
      </c>
    </row>
    <row r="5" spans="1:2">
      <c r="A5" s="1317">
        <f>Tarot_Decks!A5</f>
        <v>4</v>
      </c>
      <c r="B5" t="str">
        <f>Tarot_Decks!K5</f>
        <v>000420140827</v>
      </c>
    </row>
    <row r="6" spans="1:2">
      <c r="A6" s="1317">
        <f>Tarot_Decks!A6</f>
        <v>5</v>
      </c>
      <c r="B6" t="str">
        <f>Tarot_Decks!K6</f>
        <v>000520140829</v>
      </c>
    </row>
    <row r="7" spans="1:2">
      <c r="A7" s="1317">
        <f>Tarot_Decks!A7</f>
        <v>6</v>
      </c>
      <c r="B7" t="str">
        <f>Tarot_Decks!K7</f>
        <v>000620140918</v>
      </c>
    </row>
    <row r="8" spans="1:2">
      <c r="A8" s="1317">
        <f>Tarot_Decks!A8</f>
        <v>7</v>
      </c>
      <c r="B8" t="str">
        <f>Tarot_Decks!K8</f>
        <v>000720141201</v>
      </c>
    </row>
    <row r="9" spans="1:2">
      <c r="A9" s="1317">
        <f>Tarot_Decks!A9</f>
        <v>8</v>
      </c>
      <c r="B9" t="str">
        <f>Tarot_Decks!K9</f>
        <v>000820141201</v>
      </c>
    </row>
    <row r="10" spans="1:2">
      <c r="A10" s="1317">
        <f>Tarot_Decks!A10</f>
        <v>9</v>
      </c>
      <c r="B10" t="str">
        <f>Tarot_Decks!K10</f>
        <v>000920141211</v>
      </c>
    </row>
    <row r="11" spans="1:2">
      <c r="A11" s="1317">
        <f>Tarot_Decks!A11</f>
        <v>10</v>
      </c>
      <c r="B11" t="str">
        <f>Tarot_Decks!K11</f>
        <v>001020141223</v>
      </c>
    </row>
    <row r="12" spans="1:2">
      <c r="A12" s="1317">
        <f>Tarot_Decks!A12</f>
        <v>11</v>
      </c>
      <c r="B12" t="str">
        <f>Tarot_Decks!K12</f>
        <v>001120150116</v>
      </c>
    </row>
    <row r="13" spans="1:2">
      <c r="A13" s="1317">
        <f>Tarot_Decks!A13</f>
        <v>12</v>
      </c>
      <c r="B13" t="str">
        <f>Tarot_Decks!K13</f>
        <v>001220150224</v>
      </c>
    </row>
    <row r="14" spans="1:2">
      <c r="A14" s="1317">
        <f>Tarot_Decks!A14</f>
        <v>13</v>
      </c>
      <c r="B14" t="str">
        <f>Tarot_Decks!K14</f>
        <v>001320150408</v>
      </c>
    </row>
    <row r="15" spans="1:2">
      <c r="A15" s="1317">
        <f>Tarot_Decks!A15</f>
        <v>14</v>
      </c>
      <c r="B15" t="str">
        <f>Tarot_Decks!K15</f>
        <v>001420150419</v>
      </c>
    </row>
    <row r="16" spans="1:2">
      <c r="A16" s="1317">
        <f>Tarot_Decks!A16</f>
        <v>15</v>
      </c>
      <c r="B16" t="str">
        <f>Tarot_Decks!K16</f>
        <v>001520150419</v>
      </c>
    </row>
    <row r="17" spans="1:2">
      <c r="A17" s="1317">
        <f>Tarot_Decks!A17</f>
        <v>16</v>
      </c>
      <c r="B17" t="str">
        <f>Tarot_Decks!K17</f>
        <v>001620150425</v>
      </c>
    </row>
    <row r="18" spans="1:2">
      <c r="A18" s="1317">
        <f>Tarot_Decks!A18</f>
        <v>17</v>
      </c>
      <c r="B18" t="str">
        <f>Tarot_Decks!K18</f>
        <v>001720150428</v>
      </c>
    </row>
    <row r="19" spans="1:2">
      <c r="A19" s="1317">
        <f>Tarot_Decks!A19</f>
        <v>18</v>
      </c>
      <c r="B19" t="str">
        <f>Tarot_Decks!K19</f>
        <v>001820150428</v>
      </c>
    </row>
    <row r="20" spans="1:2">
      <c r="A20" s="1317">
        <f>Tarot_Decks!A20</f>
        <v>19</v>
      </c>
      <c r="B20" t="str">
        <f>Tarot_Decks!K20</f>
        <v>001920150428</v>
      </c>
    </row>
    <row r="21" spans="1:2">
      <c r="A21" s="1317">
        <f>Tarot_Decks!A21</f>
        <v>20</v>
      </c>
      <c r="B21" t="str">
        <f>Tarot_Decks!K21</f>
        <v>002020150509</v>
      </c>
    </row>
    <row r="22" spans="1:2">
      <c r="A22" s="1317">
        <f>Tarot_Decks!A22</f>
        <v>21</v>
      </c>
      <c r="B22" t="str">
        <f>Tarot_Decks!K22</f>
        <v>002120150621</v>
      </c>
    </row>
    <row r="23" spans="1:2">
      <c r="A23" s="1317">
        <f>Tarot_Decks!A23</f>
        <v>22</v>
      </c>
      <c r="B23" t="str">
        <f>Tarot_Decks!K23</f>
        <v>002220150621</v>
      </c>
    </row>
    <row r="24" spans="1:2">
      <c r="A24" s="1317">
        <f>Tarot_Decks!A24</f>
        <v>23</v>
      </c>
      <c r="B24" t="str">
        <f>Tarot_Decks!K24</f>
        <v>002320150628</v>
      </c>
    </row>
    <row r="25" spans="1:2">
      <c r="A25" s="1317">
        <f>Tarot_Decks!A25</f>
        <v>24</v>
      </c>
      <c r="B25" t="str">
        <f>Tarot_Decks!K25</f>
        <v>002420150628</v>
      </c>
    </row>
    <row r="26" spans="1:2">
      <c r="A26" s="1317">
        <f>Tarot_Decks!A26</f>
        <v>25</v>
      </c>
      <c r="B26" t="str">
        <f>Tarot_Decks!K26</f>
        <v>002520150521</v>
      </c>
    </row>
    <row r="27" spans="1:2">
      <c r="A27" s="1317">
        <f>Tarot_Decks!A27</f>
        <v>26</v>
      </c>
      <c r="B27" t="str">
        <f>Tarot_Decks!K27</f>
        <v>002620150727</v>
      </c>
    </row>
    <row r="28" spans="1:2">
      <c r="A28" s="1317">
        <f>Tarot_Decks!A28</f>
        <v>27</v>
      </c>
      <c r="B28" t="str">
        <f>Tarot_Decks!K28</f>
        <v>002720150727</v>
      </c>
    </row>
    <row r="29" spans="1:2">
      <c r="A29" s="1317">
        <f>Tarot_Decks!A29</f>
        <v>28</v>
      </c>
      <c r="B29" t="str">
        <f>Tarot_Decks!K29</f>
        <v>002820150727</v>
      </c>
    </row>
    <row r="30" spans="1:2">
      <c r="A30" s="1317">
        <f>Tarot_Decks!A30</f>
        <v>29</v>
      </c>
      <c r="B30" t="str">
        <f>Tarot_Decks!K30</f>
        <v>002920150802</v>
      </c>
    </row>
    <row r="31" spans="1:2">
      <c r="A31" s="1317">
        <f>Tarot_Decks!A31</f>
        <v>30</v>
      </c>
      <c r="B31" t="str">
        <f>Tarot_Decks!K31</f>
        <v>003020150802</v>
      </c>
    </row>
    <row r="32" spans="1:2">
      <c r="A32" s="1317">
        <f>Tarot_Decks!A32</f>
        <v>31</v>
      </c>
      <c r="B32" t="str">
        <f>Tarot_Decks!K32</f>
        <v>003120150809</v>
      </c>
    </row>
    <row r="33" spans="1:2">
      <c r="A33" s="1317">
        <f>Tarot_Decks!A33</f>
        <v>32</v>
      </c>
      <c r="B33" t="str">
        <f>Tarot_Decks!K33</f>
        <v>003220150824</v>
      </c>
    </row>
    <row r="34" spans="1:2">
      <c r="A34" s="1317">
        <f>Tarot_Decks!A34</f>
        <v>33</v>
      </c>
      <c r="B34" t="str">
        <f>Tarot_Decks!K34</f>
        <v>003320150901</v>
      </c>
    </row>
    <row r="35" spans="1:2">
      <c r="A35" s="1317">
        <f>Tarot_Decks!A35</f>
        <v>34</v>
      </c>
      <c r="B35" t="str">
        <f>Tarot_Decks!K35</f>
        <v>003420150901</v>
      </c>
    </row>
    <row r="36" spans="1:2">
      <c r="A36" s="1317">
        <f>Tarot_Decks!A36</f>
        <v>35</v>
      </c>
      <c r="B36" t="str">
        <f>Tarot_Decks!K36</f>
        <v>003520150909</v>
      </c>
    </row>
    <row r="37" spans="1:2">
      <c r="A37" s="1317">
        <f>Tarot_Decks!A37</f>
        <v>36</v>
      </c>
      <c r="B37" t="str">
        <f>Tarot_Decks!K37</f>
        <v>003620150918</v>
      </c>
    </row>
    <row r="38" spans="1:2">
      <c r="A38" s="1317">
        <f>Tarot_Decks!A38</f>
        <v>37</v>
      </c>
      <c r="B38" t="str">
        <f>Tarot_Decks!K38</f>
        <v>003720150919</v>
      </c>
    </row>
    <row r="39" spans="1:2">
      <c r="A39" s="1317">
        <f>Tarot_Decks!A39</f>
        <v>38</v>
      </c>
      <c r="B39" t="str">
        <f>Tarot_Decks!K39</f>
        <v>003820150919</v>
      </c>
    </row>
    <row r="40" spans="1:2">
      <c r="A40" s="1317">
        <f>Tarot_Decks!A40</f>
        <v>39</v>
      </c>
      <c r="B40" t="str">
        <f>Tarot_Decks!K40</f>
        <v>003920150923</v>
      </c>
    </row>
    <row r="41" spans="1:2">
      <c r="A41" s="1317">
        <f>Tarot_Decks!A41</f>
        <v>40</v>
      </c>
      <c r="B41" t="str">
        <f>Tarot_Decks!K41</f>
        <v>004020150927</v>
      </c>
    </row>
    <row r="42" spans="1:2">
      <c r="A42" s="1317">
        <f>Tarot_Decks!A42</f>
        <v>41</v>
      </c>
      <c r="B42" t="str">
        <f>Tarot_Decks!K42</f>
        <v>004120150927</v>
      </c>
    </row>
    <row r="43" spans="1:2">
      <c r="A43" s="1317">
        <f>Tarot_Decks!A43</f>
        <v>42</v>
      </c>
      <c r="B43" t="str">
        <f>Tarot_Decks!K43</f>
        <v>004220150927</v>
      </c>
    </row>
    <row r="44" spans="1:2">
      <c r="A44" s="1317">
        <f>Tarot_Decks!A44</f>
        <v>43</v>
      </c>
      <c r="B44" t="str">
        <f>Tarot_Decks!K44</f>
        <v>004320151003</v>
      </c>
    </row>
    <row r="45" spans="1:2">
      <c r="A45" s="1317">
        <f>Tarot_Decks!A45</f>
        <v>44</v>
      </c>
      <c r="B45" t="str">
        <f>Tarot_Decks!K45</f>
        <v>004420151010</v>
      </c>
    </row>
    <row r="46" spans="1:2">
      <c r="A46" s="1317">
        <f>Tarot_Decks!A46</f>
        <v>45</v>
      </c>
      <c r="B46" t="str">
        <f>Tarot_Decks!K46</f>
        <v>004520151020</v>
      </c>
    </row>
    <row r="47" spans="1:2">
      <c r="A47" s="1317">
        <f>Tarot_Decks!A47</f>
        <v>46</v>
      </c>
      <c r="B47" t="str">
        <f>Tarot_Decks!K47</f>
        <v>004620151020</v>
      </c>
    </row>
    <row r="48" spans="1:2">
      <c r="A48" s="1317">
        <f>Tarot_Decks!A48</f>
        <v>47</v>
      </c>
      <c r="B48" t="str">
        <f>Tarot_Decks!K48</f>
        <v>004720151020</v>
      </c>
    </row>
    <row r="49" spans="1:2">
      <c r="A49" s="1317">
        <f>Tarot_Decks!A49</f>
        <v>48</v>
      </c>
      <c r="B49" t="str">
        <f>Tarot_Decks!K49</f>
        <v>004820151020</v>
      </c>
    </row>
    <row r="50" spans="1:2">
      <c r="A50" s="1317">
        <f>Tarot_Decks!A50</f>
        <v>49</v>
      </c>
      <c r="B50" t="str">
        <f>Tarot_Decks!K50</f>
        <v>004920151031</v>
      </c>
    </row>
    <row r="51" spans="1:2">
      <c r="A51" s="1317">
        <f>Tarot_Decks!A51</f>
        <v>50</v>
      </c>
      <c r="B51" t="str">
        <f>Tarot_Decks!K51</f>
        <v>005020151110</v>
      </c>
    </row>
    <row r="52" spans="1:2">
      <c r="A52" s="1317">
        <f>Tarot_Decks!A52</f>
        <v>51</v>
      </c>
      <c r="B52" t="str">
        <f>Tarot_Decks!K52</f>
        <v>005120151121</v>
      </c>
    </row>
    <row r="53" spans="1:2">
      <c r="A53" s="1317">
        <f>Tarot_Decks!A53</f>
        <v>52</v>
      </c>
      <c r="B53" t="str">
        <f>Tarot_Decks!K53</f>
        <v>005220151129</v>
      </c>
    </row>
    <row r="54" spans="1:2">
      <c r="A54" s="1317">
        <f>Tarot_Decks!A54</f>
        <v>53</v>
      </c>
      <c r="B54" t="str">
        <f>Tarot_Decks!K54</f>
        <v>005320151214</v>
      </c>
    </row>
    <row r="55" spans="1:2">
      <c r="A55" s="1317">
        <f>Tarot_Decks!A55</f>
        <v>54</v>
      </c>
      <c r="B55" t="str">
        <f>Tarot_Decks!K55</f>
        <v>005420151126</v>
      </c>
    </row>
    <row r="56" spans="1:2">
      <c r="A56" s="1317">
        <f>Tarot_Decks!A56</f>
        <v>55</v>
      </c>
      <c r="B56" t="str">
        <f>Tarot_Decks!K56</f>
        <v>005520151214</v>
      </c>
    </row>
    <row r="57" spans="1:2">
      <c r="A57" s="1317">
        <f>Tarot_Decks!A57</f>
        <v>56</v>
      </c>
      <c r="B57" t="str">
        <f>Tarot_Decks!K57</f>
        <v>005620151214</v>
      </c>
    </row>
    <row r="58" spans="1:2">
      <c r="A58" s="1317">
        <f>Tarot_Decks!A58</f>
        <v>57</v>
      </c>
      <c r="B58" t="str">
        <f>Tarot_Decks!K58</f>
        <v>005720151221</v>
      </c>
    </row>
    <row r="59" spans="1:2">
      <c r="A59" s="1317">
        <f>Tarot_Decks!A59</f>
        <v>58</v>
      </c>
      <c r="B59" t="str">
        <f>Tarot_Decks!K59</f>
        <v>005820151226</v>
      </c>
    </row>
    <row r="60" spans="1:2">
      <c r="A60" s="1317">
        <f>Tarot_Decks!A60</f>
        <v>59</v>
      </c>
      <c r="B60" t="str">
        <f>Tarot_Decks!K60</f>
        <v>005920151127</v>
      </c>
    </row>
    <row r="61" spans="1:2">
      <c r="A61" s="1317">
        <f>Tarot_Decks!A61</f>
        <v>60</v>
      </c>
      <c r="B61" t="str">
        <f>Tarot_Decks!K61</f>
        <v>006020160104</v>
      </c>
    </row>
    <row r="62" spans="1:2">
      <c r="A62" s="1317">
        <f>Tarot_Decks!A62</f>
        <v>61</v>
      </c>
      <c r="B62" t="str">
        <f>Tarot_Decks!K62</f>
        <v>006120151230</v>
      </c>
    </row>
    <row r="63" spans="1:2">
      <c r="A63" s="1317">
        <f>Tarot_Decks!A63</f>
        <v>62</v>
      </c>
      <c r="B63" t="str">
        <f>Tarot_Decks!K63</f>
        <v>006220151230</v>
      </c>
    </row>
    <row r="64" spans="1:2">
      <c r="A64" s="1317">
        <f>Tarot_Decks!A64</f>
        <v>63</v>
      </c>
      <c r="B64" t="str">
        <f>Tarot_Decks!K64</f>
        <v>006320160120</v>
      </c>
    </row>
    <row r="65" spans="1:2">
      <c r="A65" s="1317">
        <f>Tarot_Decks!A65</f>
        <v>64</v>
      </c>
      <c r="B65" t="str">
        <f>Tarot_Decks!K65</f>
        <v>006420160120</v>
      </c>
    </row>
    <row r="66" spans="1:2">
      <c r="A66" s="1317">
        <f>Tarot_Decks!A66</f>
        <v>65</v>
      </c>
      <c r="B66" t="str">
        <f>Tarot_Decks!K66</f>
        <v>006520160120</v>
      </c>
    </row>
    <row r="67" spans="1:2">
      <c r="A67" s="1317">
        <f>Tarot_Decks!A67</f>
        <v>66</v>
      </c>
      <c r="B67" t="str">
        <f>Tarot_Decks!K67</f>
        <v>006620160228</v>
      </c>
    </row>
    <row r="68" spans="1:2">
      <c r="A68" s="1317">
        <f>Tarot_Decks!A68</f>
        <v>67</v>
      </c>
      <c r="B68" t="str">
        <f>Tarot_Decks!K68</f>
        <v>006720160228</v>
      </c>
    </row>
    <row r="69" spans="1:2">
      <c r="A69" s="1317">
        <f>Tarot_Decks!A69</f>
        <v>68</v>
      </c>
      <c r="B69" t="str">
        <f>Tarot_Decks!K69</f>
        <v>006820160226</v>
      </c>
    </row>
    <row r="70" spans="1:2">
      <c r="A70" s="1317">
        <f>Tarot_Decks!A70</f>
        <v>69</v>
      </c>
      <c r="B70" t="str">
        <f>Tarot_Decks!K70</f>
        <v>006920160229</v>
      </c>
    </row>
    <row r="71" spans="1:2">
      <c r="A71" s="1317">
        <f>Tarot_Decks!A71</f>
        <v>70</v>
      </c>
      <c r="B71" t="str">
        <f>Tarot_Decks!K71</f>
        <v>007020160307</v>
      </c>
    </row>
    <row r="72" spans="1:2">
      <c r="A72" s="1317">
        <f>Tarot_Decks!A72</f>
        <v>71</v>
      </c>
      <c r="B72" t="str">
        <f>Tarot_Decks!K72</f>
        <v>007120160319</v>
      </c>
    </row>
    <row r="73" spans="1:2">
      <c r="A73" s="1317">
        <f>Tarot_Decks!A73</f>
        <v>72</v>
      </c>
      <c r="B73" t="str">
        <f>Tarot_Decks!K73</f>
        <v>007220160404</v>
      </c>
    </row>
    <row r="74" spans="1:2">
      <c r="A74" s="1317">
        <f>Tarot_Decks!A74</f>
        <v>73</v>
      </c>
      <c r="B74" t="str">
        <f>Tarot_Decks!K74</f>
        <v>007320160430</v>
      </c>
    </row>
    <row r="75" spans="1:2">
      <c r="A75" s="1317">
        <f>Tarot_Decks!A75</f>
        <v>74</v>
      </c>
      <c r="B75" t="str">
        <f>Tarot_Decks!K75</f>
        <v>007420160505</v>
      </c>
    </row>
    <row r="76" spans="1:2">
      <c r="A76" s="1317">
        <f>Tarot_Decks!A76</f>
        <v>75</v>
      </c>
      <c r="B76" t="str">
        <f>Tarot_Decks!K76</f>
        <v>007520160525</v>
      </c>
    </row>
    <row r="77" spans="1:2">
      <c r="A77" s="1317">
        <f>Tarot_Decks!A77</f>
        <v>76</v>
      </c>
      <c r="B77" t="str">
        <f>Tarot_Decks!K77</f>
        <v>007620160525</v>
      </c>
    </row>
    <row r="78" spans="1:2">
      <c r="A78" s="1317">
        <f>Tarot_Decks!A78</f>
        <v>77</v>
      </c>
      <c r="B78" t="str">
        <f>Tarot_Decks!K78</f>
        <v>007720160611</v>
      </c>
    </row>
    <row r="79" spans="1:2">
      <c r="A79" s="1317">
        <f>Tarot_Decks!A79</f>
        <v>78</v>
      </c>
      <c r="B79" t="str">
        <f>Tarot_Decks!K79</f>
        <v>007820160611</v>
      </c>
    </row>
    <row r="80" spans="1:2">
      <c r="A80" s="1317">
        <f>Tarot_Decks!A80</f>
        <v>79</v>
      </c>
      <c r="B80" t="str">
        <f>Tarot_Decks!K80</f>
        <v>007920160611</v>
      </c>
    </row>
    <row r="81" spans="1:2">
      <c r="A81" s="1317">
        <f>Tarot_Decks!A81</f>
        <v>80</v>
      </c>
      <c r="B81" t="str">
        <f>Tarot_Decks!K81</f>
        <v>008020160611</v>
      </c>
    </row>
    <row r="82" spans="1:2">
      <c r="A82" s="1317">
        <f>Tarot_Decks!A82</f>
        <v>81</v>
      </c>
      <c r="B82" t="str">
        <f>Tarot_Decks!K82</f>
        <v>008120160611</v>
      </c>
    </row>
    <row r="83" spans="1:2">
      <c r="A83" s="1317">
        <f>Tarot_Decks!A83</f>
        <v>82</v>
      </c>
      <c r="B83" t="str">
        <f>Tarot_Decks!K83</f>
        <v>008220160611</v>
      </c>
    </row>
    <row r="84" spans="1:2">
      <c r="A84" s="1317">
        <f>Tarot_Decks!A84</f>
        <v>83</v>
      </c>
      <c r="B84" t="str">
        <f>Tarot_Decks!K84</f>
        <v>008320160619</v>
      </c>
    </row>
    <row r="85" spans="1:2">
      <c r="A85" s="1317">
        <f>Tarot_Decks!A85</f>
        <v>84</v>
      </c>
      <c r="B85" t="str">
        <f>Tarot_Decks!K85</f>
        <v>008420160723</v>
      </c>
    </row>
    <row r="86" spans="1:2">
      <c r="A86" s="1317">
        <f>Tarot_Decks!A86</f>
        <v>85</v>
      </c>
      <c r="B86" t="str">
        <f>Tarot_Decks!K86</f>
        <v>008520160723</v>
      </c>
    </row>
    <row r="87" spans="1:2">
      <c r="A87" s="1317">
        <f>Tarot_Decks!A87</f>
        <v>86</v>
      </c>
      <c r="B87" t="str">
        <f>Tarot_Decks!K87</f>
        <v>008620160723</v>
      </c>
    </row>
    <row r="88" spans="1:2">
      <c r="A88" s="1317">
        <f>Tarot_Decks!A88</f>
        <v>87</v>
      </c>
      <c r="B88" t="str">
        <f>Tarot_Decks!K88</f>
        <v>008720160706</v>
      </c>
    </row>
    <row r="89" spans="1:2">
      <c r="A89" s="1317">
        <f>Tarot_Decks!A89</f>
        <v>88</v>
      </c>
      <c r="B89" t="str">
        <f>Tarot_Decks!K89</f>
        <v>008820160807</v>
      </c>
    </row>
    <row r="90" spans="1:2">
      <c r="A90" s="1317">
        <f>Tarot_Decks!A90</f>
        <v>89</v>
      </c>
      <c r="B90" t="str">
        <f>Tarot_Decks!K90</f>
        <v>008920160726</v>
      </c>
    </row>
    <row r="91" spans="1:2">
      <c r="A91" s="1317">
        <f>Tarot_Decks!A91</f>
        <v>90</v>
      </c>
      <c r="B91" t="str">
        <f>Tarot_Decks!K91</f>
        <v>009020160725</v>
      </c>
    </row>
    <row r="92" spans="1:2">
      <c r="A92" s="1317">
        <f>Tarot_Decks!A92</f>
        <v>91</v>
      </c>
      <c r="B92" t="str">
        <f>Tarot_Decks!K92</f>
        <v>009120160805</v>
      </c>
    </row>
    <row r="93" spans="1:2">
      <c r="A93" s="1317">
        <f>Tarot_Decks!A93</f>
        <v>92</v>
      </c>
      <c r="B93" t="str">
        <f>Tarot_Decks!K93</f>
        <v>009220170621</v>
      </c>
    </row>
    <row r="94" spans="1:2">
      <c r="A94" s="1317">
        <f>Tarot_Decks!A94</f>
        <v>93</v>
      </c>
      <c r="B94" t="str">
        <f>Tarot_Decks!K94</f>
        <v>009320160908</v>
      </c>
    </row>
    <row r="95" spans="1:2">
      <c r="A95" s="1317">
        <f>Tarot_Decks!A95</f>
        <v>94</v>
      </c>
      <c r="B95" t="str">
        <f>Tarot_Decks!K95</f>
        <v>009420160919</v>
      </c>
    </row>
    <row r="96" spans="1:2">
      <c r="A96" s="1317">
        <f>Tarot_Decks!A96</f>
        <v>95</v>
      </c>
      <c r="B96" t="str">
        <f>Tarot_Decks!K96</f>
        <v>009520160925</v>
      </c>
    </row>
    <row r="97" spans="1:2">
      <c r="A97" s="1317">
        <f>Tarot_Decks!A97</f>
        <v>96</v>
      </c>
      <c r="B97" t="str">
        <f>Tarot_Decks!K97</f>
        <v>009620161006</v>
      </c>
    </row>
    <row r="98" spans="1:2">
      <c r="A98" s="1317">
        <f>Tarot_Decks!A98</f>
        <v>97</v>
      </c>
      <c r="B98" t="str">
        <f>Tarot_Decks!K98</f>
        <v>009720161017</v>
      </c>
    </row>
    <row r="99" spans="1:2">
      <c r="A99" s="1317">
        <f>Tarot_Decks!A99</f>
        <v>98</v>
      </c>
      <c r="B99" t="str">
        <f>Tarot_Decks!K99</f>
        <v>009820161121</v>
      </c>
    </row>
    <row r="100" spans="1:2">
      <c r="A100" s="1317">
        <f>Tarot_Decks!A100</f>
        <v>99</v>
      </c>
      <c r="B100" t="str">
        <f>Tarot_Decks!K100</f>
        <v>009920161025</v>
      </c>
    </row>
    <row r="101" spans="1:2">
      <c r="A101" s="1317">
        <f>Tarot_Decks!A101</f>
        <v>100</v>
      </c>
      <c r="B101" t="str">
        <f>Tarot_Decks!K101</f>
        <v>010020161104</v>
      </c>
    </row>
    <row r="102" spans="1:2">
      <c r="A102" s="1317">
        <f>Tarot_Decks!A102</f>
        <v>101</v>
      </c>
      <c r="B102" t="str">
        <f>Tarot_Decks!K102</f>
        <v>010120170123</v>
      </c>
    </row>
    <row r="103" spans="1:2">
      <c r="A103" s="1317">
        <f>Tarot_Decks!A103</f>
        <v>102</v>
      </c>
      <c r="B103" t="str">
        <f>Tarot_Decks!K103</f>
        <v>010220170123</v>
      </c>
    </row>
    <row r="104" spans="1:2">
      <c r="A104" s="1317">
        <f>Tarot_Decks!A104</f>
        <v>103</v>
      </c>
      <c r="B104" t="str">
        <f>Tarot_Decks!K104</f>
        <v>010320170127</v>
      </c>
    </row>
    <row r="105" spans="1:2">
      <c r="A105" s="1317">
        <f>Tarot_Decks!A105</f>
        <v>104</v>
      </c>
      <c r="B105" t="str">
        <f>Tarot_Decks!K105</f>
        <v>010420170308</v>
      </c>
    </row>
    <row r="106" spans="1:2">
      <c r="A106" s="1317">
        <f>Tarot_Decks!A106</f>
        <v>105</v>
      </c>
      <c r="B106" t="str">
        <f>Tarot_Decks!K106</f>
        <v>010520170316</v>
      </c>
    </row>
    <row r="107" spans="1:2">
      <c r="A107" s="1317">
        <f>Tarot_Decks!A107</f>
        <v>106</v>
      </c>
      <c r="B107" t="str">
        <f>Tarot_Decks!K107</f>
        <v>010620170420</v>
      </c>
    </row>
    <row r="108" spans="1:2">
      <c r="A108" s="1317">
        <f>Tarot_Decks!A108</f>
        <v>107</v>
      </c>
      <c r="B108" t="str">
        <f>Tarot_Decks!K108</f>
        <v>010720170511</v>
      </c>
    </row>
    <row r="109" spans="1:2">
      <c r="A109" s="1317">
        <f>Tarot_Decks!A109</f>
        <v>108</v>
      </c>
      <c r="B109" t="str">
        <f>Tarot_Decks!K109</f>
        <v>010820170523</v>
      </c>
    </row>
    <row r="110" spans="1:2">
      <c r="A110" s="1317">
        <f>Tarot_Decks!A110</f>
        <v>109</v>
      </c>
      <c r="B110" t="str">
        <f>Tarot_Decks!K110</f>
        <v>010920170523</v>
      </c>
    </row>
    <row r="111" spans="1:2">
      <c r="A111" s="1317">
        <f>Tarot_Decks!A111</f>
        <v>110</v>
      </c>
      <c r="B111" t="str">
        <f>Tarot_Decks!K111</f>
        <v>011020170621</v>
      </c>
    </row>
    <row r="112" spans="1:2">
      <c r="A112" s="1317">
        <f>Tarot_Decks!A112</f>
        <v>111</v>
      </c>
      <c r="B112" t="str">
        <f>Tarot_Decks!K112</f>
        <v>011120170621</v>
      </c>
    </row>
    <row r="113" spans="1:2">
      <c r="A113" s="1317">
        <f>Tarot_Decks!A113</f>
        <v>112</v>
      </c>
      <c r="B113" t="str">
        <f>Tarot_Decks!K113</f>
        <v>011220170621</v>
      </c>
    </row>
    <row r="114" spans="1:2">
      <c r="A114" s="1317">
        <f>Tarot_Decks!A114</f>
        <v>113</v>
      </c>
      <c r="B114" t="str">
        <f>Tarot_Decks!K114</f>
        <v>011320170621</v>
      </c>
    </row>
    <row r="115" spans="1:2">
      <c r="A115" s="1317">
        <f>Tarot_Decks!A115</f>
        <v>114</v>
      </c>
      <c r="B115" t="str">
        <f>Tarot_Decks!K115</f>
        <v>011420170622</v>
      </c>
    </row>
    <row r="116" spans="1:2">
      <c r="A116" s="1317">
        <f>Tarot_Decks!A116</f>
        <v>115</v>
      </c>
      <c r="B116" t="str">
        <f>Tarot_Decks!K116</f>
        <v>011520170704</v>
      </c>
    </row>
    <row r="117" spans="1:2">
      <c r="A117" s="1317">
        <f>Tarot_Decks!A117</f>
        <v>116</v>
      </c>
      <c r="B117" t="str">
        <f>Tarot_Decks!K117</f>
        <v>011620170724</v>
      </c>
    </row>
    <row r="118" spans="1:2">
      <c r="A118" s="1317">
        <f>Tarot_Decks!A118</f>
        <v>117</v>
      </c>
      <c r="B118" t="str">
        <f>Tarot_Decks!K118</f>
        <v>011720170730</v>
      </c>
    </row>
    <row r="119" spans="1:2">
      <c r="A119" s="1317">
        <f>Tarot_Decks!A119</f>
        <v>118</v>
      </c>
      <c r="B119" t="str">
        <f>Tarot_Decks!K119</f>
        <v>011820170730</v>
      </c>
    </row>
    <row r="120" spans="1:2">
      <c r="A120" s="1317">
        <f>Tarot_Decks!A120</f>
        <v>119</v>
      </c>
      <c r="B120" t="str">
        <f>Tarot_Decks!K120</f>
        <v>011920170802</v>
      </c>
    </row>
    <row r="121" spans="1:2">
      <c r="A121" s="1317">
        <f>Tarot_Decks!A121</f>
        <v>120</v>
      </c>
      <c r="B121" t="str">
        <f>Tarot_Decks!K121</f>
        <v>012020170811</v>
      </c>
    </row>
    <row r="122" spans="1:2">
      <c r="A122" s="1317">
        <f>Tarot_Decks!A122</f>
        <v>121</v>
      </c>
      <c r="B122" t="str">
        <f>Tarot_Decks!K122</f>
        <v>012120170811</v>
      </c>
    </row>
    <row r="123" spans="1:2">
      <c r="A123" s="1317">
        <f>Tarot_Decks!A123</f>
        <v>122</v>
      </c>
      <c r="B123" t="str">
        <f>Tarot_Decks!K123</f>
        <v>012220170811</v>
      </c>
    </row>
    <row r="124" spans="1:2">
      <c r="A124" s="1317">
        <f>Tarot_Decks!A124</f>
        <v>123</v>
      </c>
      <c r="B124" t="str">
        <f>Tarot_Decks!K124</f>
        <v>012320170827</v>
      </c>
    </row>
    <row r="125" spans="1:2">
      <c r="A125" s="1317">
        <f>Tarot_Decks!A125</f>
        <v>124</v>
      </c>
      <c r="B125" t="str">
        <f>Tarot_Decks!K125</f>
        <v>012420170902</v>
      </c>
    </row>
    <row r="126" spans="1:2">
      <c r="A126" s="1317">
        <f>Tarot_Decks!A126</f>
        <v>125</v>
      </c>
      <c r="B126" t="str">
        <f>Tarot_Decks!K126</f>
        <v>012520170921</v>
      </c>
    </row>
    <row r="127" spans="1:2">
      <c r="A127" s="1317">
        <f>Tarot_Decks!A127</f>
        <v>126</v>
      </c>
      <c r="B127" t="str">
        <f>Tarot_Decks!K127</f>
        <v>012620170921</v>
      </c>
    </row>
    <row r="128" spans="1:2">
      <c r="A128" s="1317">
        <f>Tarot_Decks!A128</f>
        <v>127</v>
      </c>
      <c r="B128" t="str">
        <f>Tarot_Decks!K128</f>
        <v>012720170923</v>
      </c>
    </row>
    <row r="129" spans="1:2">
      <c r="A129" s="1317">
        <f>Tarot_Decks!A129</f>
        <v>128</v>
      </c>
      <c r="B129" t="str">
        <f>Tarot_Decks!K129</f>
        <v>012820170923</v>
      </c>
    </row>
    <row r="130" spans="1:2">
      <c r="A130" s="1317">
        <f>Tarot_Decks!A130</f>
        <v>129</v>
      </c>
      <c r="B130" t="str">
        <f>Tarot_Decks!K130</f>
        <v>012920170928</v>
      </c>
    </row>
    <row r="131" spans="1:2">
      <c r="A131" s="1317">
        <f>Tarot_Decks!A131</f>
        <v>130</v>
      </c>
      <c r="B131" t="str">
        <f>Tarot_Decks!K131</f>
        <v>013020171022</v>
      </c>
    </row>
    <row r="132" spans="1:2">
      <c r="A132" s="1317">
        <f>Tarot_Decks!A132</f>
        <v>131</v>
      </c>
      <c r="B132" t="str">
        <f>Tarot_Decks!K132</f>
        <v>013120171024</v>
      </c>
    </row>
    <row r="133" spans="1:2">
      <c r="A133" s="1317">
        <f>Tarot_Decks!A133</f>
        <v>132</v>
      </c>
      <c r="B133" t="str">
        <f>Tarot_Decks!K133</f>
        <v>013220171027</v>
      </c>
    </row>
    <row r="134" spans="1:2">
      <c r="A134" s="1317">
        <f>Tarot_Decks!A134</f>
        <v>133</v>
      </c>
      <c r="B134" t="str">
        <f>Tarot_Decks!K134</f>
        <v>013320171104</v>
      </c>
    </row>
    <row r="135" spans="1:2">
      <c r="A135" s="1317">
        <f>Tarot_Decks!A135</f>
        <v>134</v>
      </c>
      <c r="B135" t="str">
        <f>Tarot_Decks!K135</f>
        <v>013420171107</v>
      </c>
    </row>
    <row r="136" spans="1:2">
      <c r="A136" s="1317">
        <f>Tarot_Decks!A136</f>
        <v>135</v>
      </c>
      <c r="B136" t="str">
        <f>Tarot_Decks!K136</f>
        <v>013520171114</v>
      </c>
    </row>
    <row r="137" spans="1:2">
      <c r="A137" s="1317">
        <f>Tarot_Decks!A137</f>
        <v>136</v>
      </c>
      <c r="B137" t="str">
        <f>Tarot_Decks!K137</f>
        <v>013620171123</v>
      </c>
    </row>
    <row r="138" spans="1:2">
      <c r="A138" s="1317">
        <f>Tarot_Decks!A138</f>
        <v>137</v>
      </c>
      <c r="B138" t="str">
        <f>Tarot_Decks!K138</f>
        <v>013720171203</v>
      </c>
    </row>
    <row r="139" spans="1:2">
      <c r="A139" s="1317">
        <f>Tarot_Decks!A139</f>
        <v>138</v>
      </c>
      <c r="B139" t="str">
        <f>Tarot_Decks!K139</f>
        <v>013820171203</v>
      </c>
    </row>
    <row r="140" spans="1:2">
      <c r="A140" s="1317">
        <f>Tarot_Decks!A140</f>
        <v>139</v>
      </c>
      <c r="B140" t="str">
        <f>Tarot_Decks!K140</f>
        <v>013920171230</v>
      </c>
    </row>
    <row r="141" spans="1:2">
      <c r="A141" s="1317">
        <f>Tarot_Decks!A141</f>
        <v>140</v>
      </c>
      <c r="B141" t="str">
        <f>Tarot_Decks!K141</f>
        <v>014020171230</v>
      </c>
    </row>
    <row r="142" spans="1:2">
      <c r="A142" s="1317">
        <f>Tarot_Decks!A142</f>
        <v>141</v>
      </c>
      <c r="B142" t="str">
        <f>Tarot_Decks!K142</f>
        <v>014120180105</v>
      </c>
    </row>
    <row r="143" spans="1:2">
      <c r="A143" s="1317">
        <f>Tarot_Decks!A143</f>
        <v>142</v>
      </c>
      <c r="B143" t="str">
        <f>Tarot_Decks!K143</f>
        <v>014220180221</v>
      </c>
    </row>
    <row r="144" spans="1:2">
      <c r="A144" s="1317">
        <f>Tarot_Decks!A144</f>
        <v>143</v>
      </c>
      <c r="B144" t="str">
        <f>Tarot_Decks!K144</f>
        <v>014320180221</v>
      </c>
    </row>
    <row r="145" spans="1:2">
      <c r="A145" s="1317">
        <f>Tarot_Decks!A145</f>
        <v>144</v>
      </c>
      <c r="B145" t="str">
        <f>Tarot_Decks!K145</f>
        <v>014420180228</v>
      </c>
    </row>
    <row r="146" spans="1:2">
      <c r="A146" s="1317">
        <f>Tarot_Decks!A146</f>
        <v>145</v>
      </c>
      <c r="B146" t="str">
        <f>Tarot_Decks!K146</f>
        <v>014520180302</v>
      </c>
    </row>
    <row r="147" spans="1:2">
      <c r="A147" s="1317">
        <f>Tarot_Decks!A147</f>
        <v>146</v>
      </c>
      <c r="B147" t="str">
        <f>Tarot_Decks!K147</f>
        <v>014620180302</v>
      </c>
    </row>
    <row r="148" spans="1:2">
      <c r="A148" s="1317">
        <f>Tarot_Decks!A148</f>
        <v>147</v>
      </c>
      <c r="B148" t="str">
        <f>Tarot_Decks!K148</f>
        <v>014720180302</v>
      </c>
    </row>
    <row r="149" spans="1:2">
      <c r="A149" s="1317">
        <f>Tarot_Decks!A149</f>
        <v>148</v>
      </c>
      <c r="B149" t="str">
        <f>Tarot_Decks!K149</f>
        <v>014820180309</v>
      </c>
    </row>
    <row r="150" spans="1:2">
      <c r="A150" s="1317">
        <f>Tarot_Decks!A150</f>
        <v>149</v>
      </c>
      <c r="B150" t="str">
        <f>Tarot_Decks!K150</f>
        <v>014920180414</v>
      </c>
    </row>
    <row r="151" spans="1:2">
      <c r="A151" s="1317">
        <f>Tarot_Decks!A151</f>
        <v>150</v>
      </c>
      <c r="B151" t="str">
        <f>Tarot_Decks!K151</f>
        <v>015020180418</v>
      </c>
    </row>
    <row r="152" spans="1:2">
      <c r="A152" s="1317">
        <f>Tarot_Decks!A152</f>
        <v>151</v>
      </c>
      <c r="B152" t="str">
        <f>Tarot_Decks!K152</f>
        <v>015120180503</v>
      </c>
    </row>
    <row r="153" spans="1:2">
      <c r="A153" s="1317">
        <f>Tarot_Decks!A153</f>
        <v>152</v>
      </c>
      <c r="B153" t="str">
        <f>Tarot_Decks!K153</f>
        <v>015220180503</v>
      </c>
    </row>
    <row r="154" spans="1:2">
      <c r="A154" s="1317">
        <f>Tarot_Decks!A154</f>
        <v>153</v>
      </c>
      <c r="B154" t="str">
        <f>Tarot_Decks!K154</f>
        <v>015320180525</v>
      </c>
    </row>
    <row r="155" spans="1:2">
      <c r="A155" s="1317">
        <f>Tarot_Decks!A155</f>
        <v>154</v>
      </c>
      <c r="B155" t="str">
        <f>Tarot_Decks!K155</f>
        <v>015420180609</v>
      </c>
    </row>
    <row r="156" spans="1:2">
      <c r="A156" s="1317">
        <f>Tarot_Decks!A156</f>
        <v>155</v>
      </c>
      <c r="B156" t="str">
        <f>Tarot_Decks!K156</f>
        <v>015520180621</v>
      </c>
    </row>
    <row r="157" spans="1:2">
      <c r="A157" s="1317">
        <f>Tarot_Decks!A157</f>
        <v>156</v>
      </c>
      <c r="B157" t="str">
        <f>Tarot_Decks!K157</f>
        <v>015620180703</v>
      </c>
    </row>
    <row r="158" spans="1:2">
      <c r="A158" s="1317">
        <f>Tarot_Decks!A158</f>
        <v>157</v>
      </c>
      <c r="B158" t="str">
        <f>Tarot_Decks!K158</f>
        <v>015720180703</v>
      </c>
    </row>
    <row r="159" spans="1:2">
      <c r="A159" s="1317">
        <f>Tarot_Decks!A159</f>
        <v>158</v>
      </c>
      <c r="B159" t="str">
        <f>Tarot_Decks!K159</f>
        <v>015820180705</v>
      </c>
    </row>
    <row r="160" spans="1:2">
      <c r="A160" s="1317">
        <f>Tarot_Decks!A160</f>
        <v>159</v>
      </c>
      <c r="B160" t="str">
        <f>Tarot_Decks!K160</f>
        <v>015920180715</v>
      </c>
    </row>
    <row r="161" spans="1:2">
      <c r="A161" s="1317">
        <f>Tarot_Decks!A161</f>
        <v>160</v>
      </c>
      <c r="B161" t="str">
        <f>Tarot_Decks!K161</f>
        <v>016020180716</v>
      </c>
    </row>
    <row r="162" spans="1:2">
      <c r="A162" s="1317">
        <f>Tarot_Decks!A162</f>
        <v>161</v>
      </c>
      <c r="B162" t="str">
        <f>Tarot_Decks!K162</f>
        <v>016120180721</v>
      </c>
    </row>
    <row r="163" spans="1:2">
      <c r="A163" s="1317">
        <f>Tarot_Decks!A163</f>
        <v>162</v>
      </c>
      <c r="B163" t="str">
        <f>Tarot_Decks!K163</f>
        <v>016220180806</v>
      </c>
    </row>
    <row r="164" spans="1:2">
      <c r="A164" s="1317">
        <f>Tarot_Decks!A164</f>
        <v>163</v>
      </c>
      <c r="B164" t="str">
        <f>Tarot_Decks!K164</f>
        <v>016320180806</v>
      </c>
    </row>
    <row r="165" spans="1:2">
      <c r="A165" s="1317">
        <f>Tarot_Decks!A165</f>
        <v>164</v>
      </c>
      <c r="B165" t="str">
        <f>Tarot_Decks!K165</f>
        <v>016420180806</v>
      </c>
    </row>
    <row r="166" spans="1:2">
      <c r="A166" s="1317">
        <f>Tarot_Decks!A166</f>
        <v>165</v>
      </c>
      <c r="B166" t="str">
        <f>Tarot_Decks!K166</f>
        <v>016520180821</v>
      </c>
    </row>
    <row r="167" spans="1:2">
      <c r="A167" s="1317">
        <f>Tarot_Decks!A167</f>
        <v>166</v>
      </c>
      <c r="B167" t="str">
        <f>Tarot_Decks!K167</f>
        <v>016620180821</v>
      </c>
    </row>
    <row r="168" spans="1:2">
      <c r="A168" s="1317">
        <f>Tarot_Decks!A168</f>
        <v>167</v>
      </c>
      <c r="B168" t="str">
        <f>Tarot_Decks!K168</f>
        <v>016720180823</v>
      </c>
    </row>
    <row r="169" spans="1:2">
      <c r="A169" s="1317">
        <f>Tarot_Decks!A169</f>
        <v>168</v>
      </c>
      <c r="B169" t="str">
        <f>Tarot_Decks!K169</f>
        <v>016820180823</v>
      </c>
    </row>
    <row r="170" spans="1:2">
      <c r="A170" s="1317">
        <f>Tarot_Decks!A170</f>
        <v>169</v>
      </c>
      <c r="B170" t="str">
        <f>Tarot_Decks!K170</f>
        <v>016920180922</v>
      </c>
    </row>
    <row r="171" spans="1:2">
      <c r="A171" s="1317">
        <f>Tarot_Decks!A171</f>
        <v>170</v>
      </c>
      <c r="B171" t="str">
        <f>Tarot_Decks!K171</f>
        <v>017020180922</v>
      </c>
    </row>
    <row r="172" spans="1:2">
      <c r="A172" s="1317">
        <f>Tarot_Decks!A172</f>
        <v>171</v>
      </c>
      <c r="B172" t="str">
        <f>Tarot_Decks!K172</f>
        <v>017120180922</v>
      </c>
    </row>
    <row r="173" spans="1:2">
      <c r="A173" s="1317">
        <f>Tarot_Decks!A173</f>
        <v>172</v>
      </c>
      <c r="B173" t="str">
        <f>Tarot_Decks!K173</f>
        <v>017220181103</v>
      </c>
    </row>
    <row r="174" spans="1:2">
      <c r="A174" s="1317">
        <f>Tarot_Decks!A174</f>
        <v>173</v>
      </c>
      <c r="B174" t="str">
        <f>Tarot_Decks!K174</f>
        <v>017320190128</v>
      </c>
    </row>
    <row r="175" spans="1:2">
      <c r="A175" s="1317">
        <f>Tarot_Decks!A175</f>
        <v>174</v>
      </c>
      <c r="B175" t="str">
        <f>Tarot_Decks!K175</f>
        <v>017420190131</v>
      </c>
    </row>
    <row r="176" spans="1:2">
      <c r="A176" s="1317">
        <f>Tarot_Decks!A176</f>
        <v>175</v>
      </c>
      <c r="B176" t="str">
        <f>Tarot_Decks!K176</f>
        <v>017520190131</v>
      </c>
    </row>
    <row r="177" spans="1:2">
      <c r="A177" s="1317">
        <f>Tarot_Decks!A177</f>
        <v>176</v>
      </c>
      <c r="B177" t="str">
        <f>Tarot_Decks!K177</f>
        <v>017620190131</v>
      </c>
    </row>
    <row r="178" spans="1:2">
      <c r="A178" s="1317">
        <f>Tarot_Decks!A178</f>
        <v>177</v>
      </c>
      <c r="B178" t="str">
        <f>Tarot_Decks!K178</f>
        <v>017720190320</v>
      </c>
    </row>
    <row r="179" spans="1:2">
      <c r="A179" s="1317">
        <f>Tarot_Decks!A179</f>
        <v>178</v>
      </c>
      <c r="B179" t="str">
        <f>Tarot_Decks!K179</f>
        <v>017820190420</v>
      </c>
    </row>
    <row r="180" spans="1:2">
      <c r="A180" s="1317">
        <f>Tarot_Decks!A180</f>
        <v>179</v>
      </c>
      <c r="B180" t="str">
        <f>Tarot_Decks!K180</f>
        <v>017920190730</v>
      </c>
    </row>
    <row r="181" spans="1:2">
      <c r="A181" s="1317">
        <f>Tarot_Decks!A181</f>
        <v>180</v>
      </c>
      <c r="B181" t="str">
        <f>Tarot_Decks!K181</f>
        <v>018020190730</v>
      </c>
    </row>
    <row r="182" spans="1:2">
      <c r="A182" s="1317">
        <f>Tarot_Decks!A182</f>
        <v>181</v>
      </c>
      <c r="B182" t="str">
        <f>Tarot_Decks!K182</f>
        <v>018120190805</v>
      </c>
    </row>
    <row r="183" spans="1:2">
      <c r="A183" s="1317">
        <f>Tarot_Decks!A183</f>
        <v>182</v>
      </c>
      <c r="B183" t="str">
        <f>Tarot_Decks!K183</f>
        <v>018220190828</v>
      </c>
    </row>
    <row r="184" spans="1:2">
      <c r="A184" s="1317">
        <f>Tarot_Decks!A184</f>
        <v>183</v>
      </c>
      <c r="B184" t="str">
        <f>Tarot_Decks!K184</f>
        <v>018320191227</v>
      </c>
    </row>
    <row r="185" spans="1:2">
      <c r="A185" s="1317">
        <f>Tarot_Decks!A185</f>
        <v>184</v>
      </c>
      <c r="B185" t="str">
        <f>Tarot_Decks!K185</f>
        <v>018420200720</v>
      </c>
    </row>
    <row r="186" spans="1:2">
      <c r="A186" s="1317">
        <f>Tarot_Decks!A186</f>
        <v>185</v>
      </c>
      <c r="B186" t="str">
        <f>Tarot_Decks!K186</f>
        <v>018520201112</v>
      </c>
    </row>
    <row r="187" spans="1:2">
      <c r="A187" s="1317">
        <f>Tarot_Decks!A187</f>
        <v>186</v>
      </c>
      <c r="B187" t="str">
        <f>Tarot_Decks!K187</f>
        <v>018620201112</v>
      </c>
    </row>
    <row r="188" spans="1:2">
      <c r="A188" s="1317">
        <f>Tarot_Decks!A188</f>
        <v>187</v>
      </c>
      <c r="B188" t="str">
        <f>Tarot_Decks!K188</f>
        <v>018720201112</v>
      </c>
    </row>
    <row r="189" spans="1:2">
      <c r="A189" s="1317">
        <f>Tarot_Decks!A189</f>
        <v>188</v>
      </c>
      <c r="B189" t="str">
        <f>Tarot_Decks!K189</f>
        <v>018820211103</v>
      </c>
    </row>
    <row r="190" spans="1:2">
      <c r="A190" s="1317">
        <f>Tarot_Decks!A190</f>
        <v>189</v>
      </c>
      <c r="B190" t="str">
        <f>Tarot_Decks!K190</f>
        <v>018920211231</v>
      </c>
    </row>
    <row r="191" spans="1:2">
      <c r="A191" s="1317">
        <f>Tarot_Decks!A191</f>
        <v>190</v>
      </c>
      <c r="B191" t="str">
        <f>Tarot_Decks!K191</f>
        <v>019020220603</v>
      </c>
    </row>
    <row r="192" spans="1:2">
      <c r="A192" s="1317">
        <f>Tarot_Decks!A192</f>
        <v>191</v>
      </c>
      <c r="B192" t="str">
        <f>Tarot_Decks!K192</f>
        <v>019120220629</v>
      </c>
    </row>
    <row r="193" spans="1:2">
      <c r="A193" s="1317">
        <f>Tarot_Decks!A193</f>
        <v>192</v>
      </c>
      <c r="B193" t="str">
        <f>Tarot_Decks!K193</f>
        <v>019220220809</v>
      </c>
    </row>
    <row r="194" spans="1:2">
      <c r="A194" s="1317">
        <f>Tarot_Decks!A194</f>
        <v>193</v>
      </c>
      <c r="B194" t="str">
        <f>Tarot_Decks!K194</f>
        <v>019320231117</v>
      </c>
    </row>
    <row r="195" spans="1:2">
      <c r="A195" s="1317"/>
    </row>
    <row r="196" spans="1:2">
      <c r="A196" s="1317"/>
    </row>
    <row r="197" spans="1:2">
      <c r="A197" s="1317"/>
    </row>
    <row r="198" spans="1:2">
      <c r="A198" s="1317"/>
    </row>
    <row r="199" spans="1:2">
      <c r="A199" s="1317"/>
    </row>
    <row r="200" spans="1:2">
      <c r="A200" s="1317"/>
    </row>
    <row r="201" spans="1:2">
      <c r="A201" s="1317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 filterMode="1"/>
  <dimension ref="A1:F19"/>
  <sheetViews>
    <sheetView workbookViewId="0">
      <selection activeCell="F27" sqref="F27"/>
    </sheetView>
  </sheetViews>
  <sheetFormatPr defaultRowHeight="12.75"/>
  <cols>
    <col min="1" max="1" width="60.85546875" customWidth="1"/>
    <col min="2" max="2" width="10.140625" customWidth="1"/>
    <col min="3" max="3" width="29.85546875" customWidth="1"/>
    <col min="4" max="4" width="11" customWidth="1"/>
    <col min="5" max="5" width="9.85546875" customWidth="1"/>
    <col min="6" max="6" width="35" customWidth="1"/>
  </cols>
  <sheetData>
    <row r="1" spans="1:6">
      <c r="A1" t="s">
        <v>824</v>
      </c>
      <c r="B1" t="s">
        <v>825</v>
      </c>
      <c r="C1" t="s">
        <v>826</v>
      </c>
      <c r="D1" t="s">
        <v>827</v>
      </c>
      <c r="E1" t="s">
        <v>828</v>
      </c>
      <c r="F1" t="s">
        <v>829</v>
      </c>
    </row>
    <row r="2" spans="1:6" ht="15" hidden="1">
      <c r="A2" t="s">
        <v>830</v>
      </c>
      <c r="B2" s="1">
        <v>40587</v>
      </c>
      <c r="C2" s="2" t="s">
        <v>831</v>
      </c>
      <c r="D2" t="s">
        <v>832</v>
      </c>
      <c r="E2" t="s">
        <v>833</v>
      </c>
      <c r="F2" t="s">
        <v>834</v>
      </c>
    </row>
    <row r="3" spans="1:6" ht="15" hidden="1">
      <c r="A3" t="s">
        <v>835</v>
      </c>
      <c r="B3" s="1">
        <v>40605</v>
      </c>
      <c r="C3" s="2" t="s">
        <v>836</v>
      </c>
      <c r="D3" t="s">
        <v>837</v>
      </c>
      <c r="E3" t="s">
        <v>833</v>
      </c>
      <c r="F3" t="s">
        <v>838</v>
      </c>
    </row>
    <row r="4" spans="1:6" ht="15" hidden="1">
      <c r="A4" t="s">
        <v>839</v>
      </c>
      <c r="B4" s="1">
        <v>40629</v>
      </c>
      <c r="C4" s="2" t="s">
        <v>840</v>
      </c>
      <c r="D4" t="s">
        <v>841</v>
      </c>
      <c r="E4" t="s">
        <v>833</v>
      </c>
    </row>
    <row r="5" spans="1:6" ht="15" hidden="1">
      <c r="A5" t="s">
        <v>842</v>
      </c>
      <c r="B5" s="1">
        <v>40694</v>
      </c>
      <c r="C5" s="2" t="s">
        <v>843</v>
      </c>
      <c r="D5" t="s">
        <v>844</v>
      </c>
      <c r="E5" t="s">
        <v>833</v>
      </c>
    </row>
    <row r="6" spans="1:6" ht="15" hidden="1">
      <c r="A6" t="s">
        <v>845</v>
      </c>
      <c r="B6" s="1">
        <v>40738</v>
      </c>
      <c r="C6" s="2" t="s">
        <v>831</v>
      </c>
      <c r="D6" t="s">
        <v>846</v>
      </c>
      <c r="E6" t="s">
        <v>833</v>
      </c>
      <c r="F6" t="s">
        <v>847</v>
      </c>
    </row>
    <row r="7" spans="1:6" ht="15" hidden="1">
      <c r="A7" t="s">
        <v>848</v>
      </c>
      <c r="B7" s="1">
        <v>40738</v>
      </c>
      <c r="C7" s="2" t="s">
        <v>831</v>
      </c>
      <c r="D7" t="s">
        <v>846</v>
      </c>
      <c r="E7" t="s">
        <v>833</v>
      </c>
      <c r="F7" t="s">
        <v>849</v>
      </c>
    </row>
    <row r="8" spans="1:6" ht="15" hidden="1">
      <c r="A8" t="s">
        <v>850</v>
      </c>
      <c r="B8" s="1">
        <v>40774</v>
      </c>
      <c r="C8" s="2" t="s">
        <v>836</v>
      </c>
      <c r="D8" t="s">
        <v>851</v>
      </c>
      <c r="E8" t="s">
        <v>852</v>
      </c>
      <c r="F8" t="s">
        <v>853</v>
      </c>
    </row>
    <row r="9" spans="1:6" hidden="1">
      <c r="A9" t="s">
        <v>854</v>
      </c>
      <c r="B9" s="1">
        <v>40777</v>
      </c>
      <c r="C9" t="s">
        <v>831</v>
      </c>
      <c r="D9" t="s">
        <v>855</v>
      </c>
      <c r="E9" t="s">
        <v>833</v>
      </c>
      <c r="F9" t="s">
        <v>834</v>
      </c>
    </row>
    <row r="10" spans="1:6" ht="15" hidden="1">
      <c r="A10" t="s">
        <v>856</v>
      </c>
      <c r="B10" s="1">
        <v>40973</v>
      </c>
      <c r="C10" s="2" t="s">
        <v>857</v>
      </c>
      <c r="D10" t="s">
        <v>858</v>
      </c>
      <c r="E10" t="s">
        <v>833</v>
      </c>
      <c r="F10" t="s">
        <v>859</v>
      </c>
    </row>
    <row r="11" spans="1:6" ht="15">
      <c r="A11" t="s">
        <v>860</v>
      </c>
      <c r="B11" s="1">
        <v>40978</v>
      </c>
      <c r="C11" s="2" t="s">
        <v>831</v>
      </c>
      <c r="D11" t="s">
        <v>861</v>
      </c>
      <c r="E11" t="s">
        <v>852</v>
      </c>
      <c r="F11" t="s">
        <v>862</v>
      </c>
    </row>
    <row r="12" spans="1:6" ht="15">
      <c r="A12" t="s">
        <v>863</v>
      </c>
      <c r="B12" s="1">
        <v>40978</v>
      </c>
      <c r="C12" s="2" t="s">
        <v>831</v>
      </c>
      <c r="D12" t="s">
        <v>864</v>
      </c>
      <c r="E12" t="s">
        <v>852</v>
      </c>
      <c r="F12" t="s">
        <v>865</v>
      </c>
    </row>
    <row r="13" spans="1:6" ht="15" hidden="1">
      <c r="A13" t="s">
        <v>866</v>
      </c>
      <c r="B13" s="1">
        <v>41023</v>
      </c>
      <c r="C13" s="2" t="s">
        <v>867</v>
      </c>
      <c r="D13" s="782">
        <v>208.12</v>
      </c>
      <c r="E13" t="s">
        <v>833</v>
      </c>
      <c r="F13" t="s">
        <v>868</v>
      </c>
    </row>
    <row r="14" spans="1:6" ht="15" hidden="1">
      <c r="A14" t="s">
        <v>869</v>
      </c>
      <c r="B14" s="1">
        <v>41031</v>
      </c>
      <c r="C14" s="2" t="s">
        <v>867</v>
      </c>
      <c r="D14" s="782">
        <v>76.959999999999994</v>
      </c>
      <c r="E14" t="s">
        <v>833</v>
      </c>
      <c r="F14" t="s">
        <v>870</v>
      </c>
    </row>
    <row r="15" spans="1:6" ht="15" hidden="1">
      <c r="A15" t="s">
        <v>871</v>
      </c>
      <c r="B15" s="1" t="s">
        <v>872</v>
      </c>
      <c r="C15" s="2" t="s">
        <v>831</v>
      </c>
      <c r="D15" t="s">
        <v>873</v>
      </c>
      <c r="E15" t="s">
        <v>833</v>
      </c>
      <c r="F15" t="s">
        <v>865</v>
      </c>
    </row>
    <row r="16" spans="1:6" ht="15" hidden="1">
      <c r="A16" t="s">
        <v>874</v>
      </c>
      <c r="B16" s="1">
        <v>41053</v>
      </c>
      <c r="C16" s="2" t="s">
        <v>875</v>
      </c>
      <c r="D16" s="803">
        <v>175</v>
      </c>
      <c r="E16" t="s">
        <v>833</v>
      </c>
    </row>
    <row r="17" spans="1:5" ht="15" hidden="1">
      <c r="A17" t="s">
        <v>876</v>
      </c>
      <c r="B17" s="1">
        <v>41065</v>
      </c>
      <c r="C17" s="2" t="s">
        <v>877</v>
      </c>
      <c r="D17" s="803">
        <v>109</v>
      </c>
      <c r="E17" t="s">
        <v>833</v>
      </c>
    </row>
    <row r="18" spans="1:5" hidden="1">
      <c r="A18" t="s">
        <v>878</v>
      </c>
      <c r="B18" s="1">
        <v>41065</v>
      </c>
      <c r="C18" t="s">
        <v>877</v>
      </c>
      <c r="D18" s="803">
        <v>219</v>
      </c>
      <c r="E18" t="s">
        <v>833</v>
      </c>
    </row>
    <row r="19" spans="1:5" ht="15">
      <c r="A19" t="s">
        <v>879</v>
      </c>
      <c r="B19" s="1">
        <v>41390</v>
      </c>
      <c r="C19" s="2" t="s">
        <v>831</v>
      </c>
      <c r="D19" t="s">
        <v>880</v>
      </c>
      <c r="E19" t="s">
        <v>833</v>
      </c>
    </row>
  </sheetData>
  <sheetProtection selectLockedCells="1" selectUnlockedCells="1"/>
  <autoFilter ref="A1:F18" xr:uid="{00000000-0009-0000-0000-000003000000}">
    <filterColumn colId="4">
      <filters>
        <filter val="Esuece..."/>
        <filter val="Preorder"/>
      </filters>
    </filterColumn>
  </autoFilter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10" r:id="rId8" xr:uid="{00000000-0004-0000-0300-000007000000}"/>
    <hyperlink ref="C11" r:id="rId9" xr:uid="{00000000-0004-0000-0300-000008000000}"/>
    <hyperlink ref="C12" r:id="rId10" xr:uid="{00000000-0004-0000-0300-000009000000}"/>
    <hyperlink ref="C13" r:id="rId11" xr:uid="{00000000-0004-0000-0300-00000A000000}"/>
    <hyperlink ref="C14" r:id="rId12" xr:uid="{00000000-0004-0000-0300-00000B000000}"/>
    <hyperlink ref="C15" r:id="rId13" xr:uid="{00000000-0004-0000-0300-00000C000000}"/>
    <hyperlink ref="C16" r:id="rId14" xr:uid="{00000000-0004-0000-0300-00000D000000}"/>
    <hyperlink ref="C17" r:id="rId15" xr:uid="{00000000-0004-0000-0300-00000E000000}"/>
    <hyperlink ref="C19" r:id="rId16" xr:uid="{00000000-0004-0000-0300-00000F000000}"/>
  </hyperlinks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A1:I23"/>
  <sheetViews>
    <sheetView workbookViewId="0">
      <selection activeCell="E27" sqref="E27"/>
    </sheetView>
  </sheetViews>
  <sheetFormatPr defaultRowHeight="12.75"/>
  <cols>
    <col min="3" max="3" width="46.5703125" bestFit="1" customWidth="1"/>
    <col min="4" max="4" width="6.42578125" bestFit="1" customWidth="1"/>
    <col min="8" max="8" width="43.7109375" bestFit="1" customWidth="1"/>
    <col min="9" max="9" width="6.42578125" bestFit="1" customWidth="1"/>
  </cols>
  <sheetData>
    <row r="1" spans="1:9" ht="15">
      <c r="A1" s="1046" t="s">
        <v>881</v>
      </c>
      <c r="B1" s="1096" t="s">
        <v>882</v>
      </c>
      <c r="C1" s="1096" t="s">
        <v>883</v>
      </c>
      <c r="D1" s="1047" t="s">
        <v>884</v>
      </c>
      <c r="F1" s="1046" t="s">
        <v>881</v>
      </c>
      <c r="G1" s="1096" t="s">
        <v>882</v>
      </c>
      <c r="H1" s="1096" t="s">
        <v>885</v>
      </c>
      <c r="I1" s="1047" t="s">
        <v>884</v>
      </c>
    </row>
    <row r="2" spans="1:9">
      <c r="A2" s="1048">
        <v>1</v>
      </c>
      <c r="B2" s="845">
        <v>2014</v>
      </c>
      <c r="C2" s="845" t="s">
        <v>886</v>
      </c>
      <c r="D2" s="1049" t="s">
        <v>887</v>
      </c>
      <c r="F2" s="1048">
        <v>1</v>
      </c>
      <c r="G2" s="845">
        <v>2014</v>
      </c>
      <c r="H2" s="845" t="s">
        <v>888</v>
      </c>
      <c r="I2" s="1071"/>
    </row>
    <row r="3" spans="1:9">
      <c r="A3" s="1048">
        <v>2</v>
      </c>
      <c r="B3" s="845">
        <v>2014</v>
      </c>
      <c r="C3" s="845" t="s">
        <v>889</v>
      </c>
      <c r="D3" s="1049" t="s">
        <v>887</v>
      </c>
      <c r="F3" s="1048">
        <v>2</v>
      </c>
      <c r="G3" s="845">
        <v>2014</v>
      </c>
      <c r="H3" s="845" t="s">
        <v>890</v>
      </c>
      <c r="I3" s="1071"/>
    </row>
    <row r="4" spans="1:9">
      <c r="A4" s="1048">
        <v>3</v>
      </c>
      <c r="B4" s="845">
        <v>2014</v>
      </c>
      <c r="C4" s="845" t="s">
        <v>891</v>
      </c>
      <c r="D4" s="1049" t="s">
        <v>887</v>
      </c>
      <c r="F4" s="1048">
        <v>3</v>
      </c>
      <c r="G4" s="845">
        <v>2015</v>
      </c>
      <c r="H4" s="845" t="s">
        <v>892</v>
      </c>
      <c r="I4" s="1071"/>
    </row>
    <row r="5" spans="1:9">
      <c r="A5" s="1048">
        <v>4</v>
      </c>
      <c r="B5" s="845">
        <v>2014</v>
      </c>
      <c r="C5" s="845" t="s">
        <v>893</v>
      </c>
      <c r="D5" s="1049"/>
      <c r="F5" s="1048">
        <v>4</v>
      </c>
      <c r="G5" s="845">
        <v>2015</v>
      </c>
      <c r="H5" s="845" t="s">
        <v>894</v>
      </c>
      <c r="I5" s="1049"/>
    </row>
    <row r="6" spans="1:9">
      <c r="A6" s="1048">
        <v>5</v>
      </c>
      <c r="B6" s="845">
        <v>2014</v>
      </c>
      <c r="C6" s="845" t="s">
        <v>895</v>
      </c>
      <c r="D6" s="1049"/>
      <c r="F6" s="1048">
        <v>5</v>
      </c>
      <c r="G6" s="845">
        <v>2015</v>
      </c>
      <c r="H6" s="845" t="s">
        <v>896</v>
      </c>
      <c r="I6" s="1049"/>
    </row>
    <row r="7" spans="1:9">
      <c r="A7" s="1048">
        <v>6</v>
      </c>
      <c r="B7" s="845">
        <v>2014</v>
      </c>
      <c r="C7" s="845" t="s">
        <v>897</v>
      </c>
      <c r="D7" s="1049" t="s">
        <v>887</v>
      </c>
      <c r="F7" s="1048">
        <v>6</v>
      </c>
      <c r="G7" s="845">
        <v>2015</v>
      </c>
      <c r="H7" s="845" t="s">
        <v>898</v>
      </c>
      <c r="I7" s="1071"/>
    </row>
    <row r="8" spans="1:9">
      <c r="A8" s="1048">
        <v>7</v>
      </c>
      <c r="B8" s="845">
        <v>2014</v>
      </c>
      <c r="C8" s="845" t="s">
        <v>899</v>
      </c>
      <c r="D8" s="1049" t="s">
        <v>887</v>
      </c>
      <c r="F8" s="1048">
        <v>7</v>
      </c>
      <c r="G8" s="845">
        <v>2015</v>
      </c>
      <c r="H8" s="845" t="s">
        <v>900</v>
      </c>
      <c r="I8" s="1071"/>
    </row>
    <row r="9" spans="1:9">
      <c r="A9" s="1048">
        <v>8</v>
      </c>
      <c r="B9" s="845">
        <v>2014</v>
      </c>
      <c r="C9" s="845" t="s">
        <v>901</v>
      </c>
      <c r="D9" s="1049" t="s">
        <v>887</v>
      </c>
      <c r="F9" s="1048">
        <v>8</v>
      </c>
      <c r="G9" s="845">
        <v>2015</v>
      </c>
      <c r="H9" s="845" t="s">
        <v>902</v>
      </c>
      <c r="I9" s="1049"/>
    </row>
    <row r="10" spans="1:9">
      <c r="A10" s="1048">
        <v>9</v>
      </c>
      <c r="B10" s="845">
        <v>2014</v>
      </c>
      <c r="C10" s="845" t="s">
        <v>903</v>
      </c>
      <c r="D10" s="1049"/>
      <c r="F10" s="1048">
        <v>9</v>
      </c>
      <c r="G10" s="845">
        <v>2015</v>
      </c>
      <c r="H10" s="845" t="s">
        <v>904</v>
      </c>
      <c r="I10" s="1049"/>
    </row>
    <row r="11" spans="1:9">
      <c r="A11" s="1048">
        <v>10</v>
      </c>
      <c r="B11" s="845">
        <v>2014</v>
      </c>
      <c r="C11" s="845" t="s">
        <v>905</v>
      </c>
      <c r="D11" s="1049"/>
      <c r="F11" s="1048">
        <v>10</v>
      </c>
      <c r="G11" s="845"/>
      <c r="H11" s="845"/>
      <c r="I11" s="1049"/>
    </row>
    <row r="12" spans="1:9">
      <c r="A12" s="1048">
        <v>1</v>
      </c>
      <c r="B12" s="845">
        <v>2015</v>
      </c>
      <c r="C12" s="845"/>
      <c r="D12" s="1049"/>
      <c r="F12" s="1048">
        <v>11</v>
      </c>
      <c r="G12" s="845"/>
      <c r="H12" s="845"/>
      <c r="I12" s="1049"/>
    </row>
    <row r="13" spans="1:9">
      <c r="A13" s="1048">
        <v>2</v>
      </c>
      <c r="B13" s="845">
        <v>2015</v>
      </c>
      <c r="C13" s="845"/>
      <c r="D13" s="1049"/>
      <c r="F13" s="1048">
        <v>12</v>
      </c>
      <c r="G13" s="845"/>
      <c r="H13" s="845"/>
      <c r="I13" s="1049"/>
    </row>
    <row r="14" spans="1:9">
      <c r="A14" s="1048">
        <v>3</v>
      </c>
      <c r="B14" s="845">
        <v>2015</v>
      </c>
      <c r="C14" s="845"/>
      <c r="D14" s="1049"/>
      <c r="F14" s="1048">
        <v>13</v>
      </c>
      <c r="G14" s="845"/>
      <c r="H14" s="845"/>
      <c r="I14" s="1049"/>
    </row>
    <row r="15" spans="1:9">
      <c r="A15" s="1048">
        <v>4</v>
      </c>
      <c r="B15" s="845">
        <v>2015</v>
      </c>
      <c r="C15" s="845"/>
      <c r="D15" s="1049"/>
      <c r="F15" s="1048">
        <v>14</v>
      </c>
      <c r="G15" s="845"/>
      <c r="H15" s="845"/>
      <c r="I15" s="1049"/>
    </row>
    <row r="16" spans="1:9">
      <c r="A16" s="1048">
        <v>5</v>
      </c>
      <c r="B16" s="845">
        <v>2015</v>
      </c>
      <c r="C16" s="845"/>
      <c r="D16" s="1049"/>
      <c r="F16" s="1048">
        <v>15</v>
      </c>
      <c r="G16" s="845"/>
      <c r="H16" s="845"/>
      <c r="I16" s="1049"/>
    </row>
    <row r="17" spans="1:9">
      <c r="A17" s="1048">
        <v>6</v>
      </c>
      <c r="B17" s="845">
        <v>2015</v>
      </c>
      <c r="C17" s="845"/>
      <c r="D17" s="1049"/>
      <c r="F17" s="1048">
        <v>16</v>
      </c>
      <c r="G17" s="845"/>
      <c r="H17" s="845"/>
      <c r="I17" s="1049"/>
    </row>
    <row r="18" spans="1:9">
      <c r="A18" s="1048">
        <v>7</v>
      </c>
      <c r="B18" s="845">
        <v>2015</v>
      </c>
      <c r="C18" s="845"/>
      <c r="D18" s="1049"/>
      <c r="F18" s="1048">
        <v>17</v>
      </c>
      <c r="G18" s="845"/>
      <c r="H18" s="845"/>
      <c r="I18" s="1049"/>
    </row>
    <row r="19" spans="1:9">
      <c r="A19" s="1048">
        <v>8</v>
      </c>
      <c r="B19" s="845">
        <v>2015</v>
      </c>
      <c r="C19" s="845"/>
      <c r="D19" s="1049"/>
      <c r="F19" s="1048">
        <v>18</v>
      </c>
      <c r="G19" s="845"/>
      <c r="H19" s="845"/>
      <c r="I19" s="1049"/>
    </row>
    <row r="20" spans="1:9">
      <c r="A20" s="1048">
        <v>9</v>
      </c>
      <c r="B20" s="845">
        <v>2015</v>
      </c>
      <c r="C20" s="845"/>
      <c r="D20" s="1049"/>
      <c r="F20" s="1048">
        <v>19</v>
      </c>
      <c r="G20" s="845"/>
      <c r="H20" s="845"/>
      <c r="I20" s="1049"/>
    </row>
    <row r="21" spans="1:9">
      <c r="A21" s="1048">
        <v>10</v>
      </c>
      <c r="B21" s="845">
        <v>2015</v>
      </c>
      <c r="C21" s="845"/>
      <c r="D21" s="1049"/>
      <c r="F21" s="1048">
        <v>20</v>
      </c>
      <c r="G21" s="845"/>
      <c r="H21" s="845"/>
      <c r="I21" s="1049"/>
    </row>
    <row r="22" spans="1:9">
      <c r="A22" s="1048"/>
      <c r="B22" s="845"/>
      <c r="C22" s="845"/>
      <c r="D22" s="1049"/>
      <c r="F22" s="1048"/>
      <c r="G22" s="845"/>
      <c r="H22" s="845"/>
      <c r="I22" s="1049"/>
    </row>
    <row r="23" spans="1:9" ht="13.5" thickBot="1">
      <c r="A23" s="1050"/>
      <c r="B23" s="1097"/>
      <c r="C23" s="1097"/>
      <c r="D23" s="1051"/>
      <c r="F23" s="1050"/>
      <c r="G23" s="1097"/>
      <c r="H23" s="1097"/>
      <c r="I23" s="105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6"/>
  <dimension ref="A1:N268"/>
  <sheetViews>
    <sheetView workbookViewId="0">
      <pane xSplit="14" ySplit="1" topLeftCell="O224" activePane="bottomRight" state="frozen"/>
      <selection pane="bottomRight" activeCell="G230" sqref="G230"/>
      <selection pane="bottomLeft" activeCell="A2" sqref="A2"/>
      <selection pane="topRight" activeCell="O1" sqref="O1"/>
    </sheetView>
  </sheetViews>
  <sheetFormatPr defaultColWidth="11.7109375" defaultRowHeight="13.5"/>
  <cols>
    <col min="1" max="1" width="4.42578125" style="3" customWidth="1"/>
    <col min="2" max="2" width="12.42578125" style="3" customWidth="1"/>
    <col min="3" max="3" width="14.85546875" style="3" customWidth="1"/>
    <col min="4" max="7" width="13.7109375" style="3" customWidth="1"/>
    <col min="8" max="8" width="12.42578125" style="3" customWidth="1"/>
    <col min="9" max="9" width="11.28515625" style="3" customWidth="1"/>
    <col min="10" max="10" width="10.140625" style="3" customWidth="1"/>
    <col min="11" max="11" width="11.28515625" style="3" customWidth="1"/>
    <col min="12" max="12" width="9.85546875" style="3" customWidth="1"/>
    <col min="13" max="13" width="13.28515625" style="3" customWidth="1"/>
    <col min="14" max="14" width="11.28515625" style="3" bestFit="1" customWidth="1"/>
    <col min="15" max="15" width="11.7109375" style="3"/>
    <col min="16" max="16" width="15.5703125" style="3" customWidth="1"/>
    <col min="17" max="16384" width="11.7109375" style="3"/>
  </cols>
  <sheetData>
    <row r="1" spans="1:14">
      <c r="A1" s="4" t="s">
        <v>906</v>
      </c>
      <c r="B1" s="4" t="s">
        <v>0</v>
      </c>
      <c r="C1" s="4" t="s">
        <v>907</v>
      </c>
      <c r="D1" s="4" t="s">
        <v>908</v>
      </c>
      <c r="E1" s="4" t="s">
        <v>909</v>
      </c>
      <c r="F1" s="4" t="s">
        <v>365</v>
      </c>
      <c r="G1" s="4" t="s">
        <v>910</v>
      </c>
      <c r="H1" s="4" t="s">
        <v>911</v>
      </c>
      <c r="I1" s="4" t="s">
        <v>912</v>
      </c>
      <c r="J1" s="4" t="s">
        <v>913</v>
      </c>
      <c r="K1" s="4" t="s">
        <v>914</v>
      </c>
      <c r="L1" s="4" t="s">
        <v>915</v>
      </c>
      <c r="M1" s="5" t="s">
        <v>916</v>
      </c>
      <c r="N1" s="4" t="s">
        <v>917</v>
      </c>
    </row>
    <row r="2" spans="1:14">
      <c r="A2" s="6">
        <v>1</v>
      </c>
      <c r="B2" s="7">
        <v>43381</v>
      </c>
      <c r="C2" s="8">
        <v>2</v>
      </c>
      <c r="D2" s="16">
        <v>4.7889999999999997</v>
      </c>
      <c r="E2" s="9">
        <v>150</v>
      </c>
      <c r="F2" s="9" t="s">
        <v>918</v>
      </c>
      <c r="G2" s="10">
        <f>IF(E2&lt;&gt;"",E2/D2,"")</f>
        <v>31.321779077051577</v>
      </c>
      <c r="H2" s="11"/>
      <c r="I2" s="10"/>
      <c r="J2" s="10"/>
      <c r="K2" s="10"/>
      <c r="L2" s="10"/>
      <c r="M2" s="12"/>
      <c r="N2" s="13"/>
    </row>
    <row r="3" spans="1:14">
      <c r="A3" s="6">
        <v>2</v>
      </c>
      <c r="B3" s="1306">
        <v>43400</v>
      </c>
      <c r="C3" s="8">
        <v>194</v>
      </c>
      <c r="D3" s="9">
        <v>4.899</v>
      </c>
      <c r="E3" s="9">
        <v>150</v>
      </c>
      <c r="F3" s="9" t="s">
        <v>918</v>
      </c>
      <c r="G3" s="10">
        <f>IF(E3&lt;&gt;"",E3/D3,"")</f>
        <v>30.61849357011635</v>
      </c>
      <c r="H3" s="11">
        <f>IF(C3="","",C3-C2)</f>
        <v>192</v>
      </c>
      <c r="I3" s="10">
        <f>IF(B3="","",B3-B2)</f>
        <v>19</v>
      </c>
      <c r="J3" s="10">
        <f>IF(H3="","",H3/G2)</f>
        <v>6.1299200000000003</v>
      </c>
      <c r="K3" s="10">
        <f>IF(H3&lt;&gt;"",IF(I3&gt;0,H3/I3,H3),"" )</f>
        <v>10.105263157894736</v>
      </c>
      <c r="L3" s="10">
        <f>IF(I3="","",IF(I3=0,G3,G2/I3))</f>
        <v>1.6485146882658726</v>
      </c>
      <c r="M3" s="12">
        <f>IF(I3="","",IF(I3=0,E2,E2/I3))</f>
        <v>7.8947368421052628</v>
      </c>
      <c r="N3" s="13">
        <f>IF(H3="","",E2/H3)</f>
        <v>0.78125</v>
      </c>
    </row>
    <row r="4" spans="1:14">
      <c r="A4" s="6">
        <v>3</v>
      </c>
      <c r="B4" s="7">
        <v>43414</v>
      </c>
      <c r="C4" s="8">
        <v>419</v>
      </c>
      <c r="D4" s="9">
        <v>4.4989999999999997</v>
      </c>
      <c r="E4" s="9">
        <v>235.66</v>
      </c>
      <c r="F4" s="9" t="s">
        <v>918</v>
      </c>
      <c r="G4" s="10">
        <f t="shared" ref="G4:G18" si="0">IF(E4&lt;&gt;"",E4/D4,"")</f>
        <v>52.380529006445883</v>
      </c>
      <c r="H4" s="11">
        <f t="shared" ref="H4:H17" si="1">IF(C4="","",C4-C3)</f>
        <v>225</v>
      </c>
      <c r="I4" s="10">
        <f t="shared" ref="I4:I17" si="2">IF(B4="","",B4-B3)</f>
        <v>14</v>
      </c>
      <c r="J4" s="10">
        <f t="shared" ref="J4:J17" si="3">IF(H4="","",H4/G3)</f>
        <v>7.3485000000000005</v>
      </c>
      <c r="K4" s="10">
        <f t="shared" ref="K4:K17" si="4">IF(H4&lt;&gt;"",IF(I4&gt;0,H4/I4,H4),"" )</f>
        <v>16.071428571428573</v>
      </c>
      <c r="L4" s="10">
        <f t="shared" ref="L4:L17" si="5">IF(I4="","",IF(I4=0,G4,G3/I4))</f>
        <v>2.1870352550083108</v>
      </c>
      <c r="M4" s="12">
        <f t="shared" ref="M4:M17" si="6">IF(I4="","",IF(I4=0,E3,E3/I4))</f>
        <v>10.714285714285714</v>
      </c>
      <c r="N4" s="13">
        <f t="shared" ref="N4:N17" si="7">IF(H4="","",E3/H4)</f>
        <v>0.66666666666666663</v>
      </c>
    </row>
    <row r="5" spans="1:14">
      <c r="A5" s="6">
        <v>4</v>
      </c>
      <c r="B5" s="7">
        <v>43434</v>
      </c>
      <c r="C5" s="8">
        <v>641</v>
      </c>
      <c r="D5" s="9">
        <v>4.5990000000000002</v>
      </c>
      <c r="E5" s="9">
        <v>144.36000000000001</v>
      </c>
      <c r="F5" s="9" t="s">
        <v>918</v>
      </c>
      <c r="G5" s="10">
        <f t="shared" si="0"/>
        <v>31.389432485322899</v>
      </c>
      <c r="H5" s="11">
        <f t="shared" si="1"/>
        <v>222</v>
      </c>
      <c r="I5" s="10">
        <f t="shared" si="2"/>
        <v>20</v>
      </c>
      <c r="J5" s="10">
        <f t="shared" si="3"/>
        <v>4.2382160740049217</v>
      </c>
      <c r="K5" s="10">
        <f t="shared" si="4"/>
        <v>11.1</v>
      </c>
      <c r="L5" s="10">
        <f t="shared" si="5"/>
        <v>2.619026450322294</v>
      </c>
      <c r="M5" s="12">
        <f t="shared" si="6"/>
        <v>11.782999999999999</v>
      </c>
      <c r="N5" s="13">
        <f t="shared" si="7"/>
        <v>1.0615315315315315</v>
      </c>
    </row>
    <row r="6" spans="1:14">
      <c r="A6" s="6">
        <v>5</v>
      </c>
      <c r="B6" s="7">
        <v>43436</v>
      </c>
      <c r="C6" s="8">
        <v>1045</v>
      </c>
      <c r="D6" s="9">
        <v>4.3979999999999997</v>
      </c>
      <c r="E6" s="9">
        <v>122.07</v>
      </c>
      <c r="F6" s="9" t="s">
        <v>918</v>
      </c>
      <c r="G6" s="10">
        <f t="shared" si="0"/>
        <v>27.75579809004093</v>
      </c>
      <c r="H6" s="11">
        <f t="shared" si="1"/>
        <v>404</v>
      </c>
      <c r="I6" s="10">
        <f t="shared" si="2"/>
        <v>2</v>
      </c>
      <c r="J6" s="10">
        <f t="shared" si="3"/>
        <v>12.870573566084786</v>
      </c>
      <c r="K6" s="10">
        <f t="shared" si="4"/>
        <v>202</v>
      </c>
      <c r="L6" s="10">
        <f t="shared" si="5"/>
        <v>15.69471624266145</v>
      </c>
      <c r="M6" s="12">
        <f t="shared" si="6"/>
        <v>72.180000000000007</v>
      </c>
      <c r="N6" s="13">
        <f t="shared" si="7"/>
        <v>0.35732673267326737</v>
      </c>
    </row>
    <row r="7" spans="1:14">
      <c r="A7" s="6">
        <v>6</v>
      </c>
      <c r="B7" s="7">
        <v>43449</v>
      </c>
      <c r="C7" s="8">
        <v>1582</v>
      </c>
      <c r="D7" s="9">
        <v>4.399</v>
      </c>
      <c r="E7" s="9">
        <v>35</v>
      </c>
      <c r="F7" s="9" t="s">
        <v>918</v>
      </c>
      <c r="G7" s="10">
        <f t="shared" si="0"/>
        <v>7.9563537167538074</v>
      </c>
      <c r="H7" s="11">
        <f t="shared" si="1"/>
        <v>537</v>
      </c>
      <c r="I7" s="10">
        <f t="shared" si="2"/>
        <v>13</v>
      </c>
      <c r="J7" s="10">
        <f t="shared" si="3"/>
        <v>19.347308921110837</v>
      </c>
      <c r="K7" s="10">
        <f t="shared" si="4"/>
        <v>41.307692307692307</v>
      </c>
      <c r="L7" s="10">
        <f t="shared" si="5"/>
        <v>2.1350613915416101</v>
      </c>
      <c r="M7" s="12">
        <f t="shared" si="6"/>
        <v>9.3899999999999988</v>
      </c>
      <c r="N7" s="13">
        <f t="shared" si="7"/>
        <v>0.22731843575418992</v>
      </c>
    </row>
    <row r="8" spans="1:14">
      <c r="A8" s="6">
        <v>7</v>
      </c>
      <c r="B8" s="7">
        <v>43454</v>
      </c>
      <c r="C8" s="8">
        <v>1647</v>
      </c>
      <c r="D8" s="9">
        <v>4.399</v>
      </c>
      <c r="E8" s="9">
        <v>227.82</v>
      </c>
      <c r="F8" s="9" t="s">
        <v>918</v>
      </c>
      <c r="G8" s="10">
        <f t="shared" si="0"/>
        <v>51.78904296431007</v>
      </c>
      <c r="H8" s="11">
        <f t="shared" si="1"/>
        <v>65</v>
      </c>
      <c r="I8" s="10">
        <f t="shared" si="2"/>
        <v>5</v>
      </c>
      <c r="J8" s="10">
        <f t="shared" si="3"/>
        <v>8.1695714285714285</v>
      </c>
      <c r="K8" s="10">
        <f t="shared" si="4"/>
        <v>13</v>
      </c>
      <c r="L8" s="10">
        <f t="shared" si="5"/>
        <v>1.5912707433507616</v>
      </c>
      <c r="M8" s="12">
        <f t="shared" si="6"/>
        <v>7</v>
      </c>
      <c r="N8" s="13">
        <f t="shared" si="7"/>
        <v>0.53846153846153844</v>
      </c>
    </row>
    <row r="9" spans="1:14">
      <c r="A9" s="6">
        <v>8</v>
      </c>
      <c r="B9" s="7">
        <v>43467</v>
      </c>
      <c r="C9" s="8">
        <v>2148</v>
      </c>
      <c r="D9" s="9">
        <v>4.298</v>
      </c>
      <c r="E9" s="9">
        <v>188.19</v>
      </c>
      <c r="F9" s="9" t="s">
        <v>918</v>
      </c>
      <c r="G9" s="10">
        <f t="shared" si="0"/>
        <v>43.785481619357839</v>
      </c>
      <c r="H9" s="11">
        <f t="shared" si="1"/>
        <v>501</v>
      </c>
      <c r="I9" s="10">
        <f t="shared" si="2"/>
        <v>13</v>
      </c>
      <c r="J9" s="10">
        <f t="shared" si="3"/>
        <v>9.6738609428496183</v>
      </c>
      <c r="K9" s="10">
        <f t="shared" si="4"/>
        <v>38.53846153846154</v>
      </c>
      <c r="L9" s="10">
        <f t="shared" si="5"/>
        <v>3.9837725357161591</v>
      </c>
      <c r="M9" s="12">
        <f t="shared" si="6"/>
        <v>17.524615384615384</v>
      </c>
      <c r="N9" s="13">
        <f t="shared" si="7"/>
        <v>0.4547305389221557</v>
      </c>
    </row>
    <row r="10" spans="1:14">
      <c r="A10" s="6">
        <v>9</v>
      </c>
      <c r="B10" s="7">
        <v>43479</v>
      </c>
      <c r="C10" s="8">
        <v>2673</v>
      </c>
      <c r="D10" s="9">
        <v>4.2869999999999999</v>
      </c>
      <c r="E10" s="9">
        <v>110</v>
      </c>
      <c r="F10" s="9" t="s">
        <v>918</v>
      </c>
      <c r="G10" s="10">
        <f t="shared" si="0"/>
        <v>25.658968975973874</v>
      </c>
      <c r="H10" s="11">
        <f t="shared" si="1"/>
        <v>525</v>
      </c>
      <c r="I10" s="10">
        <f t="shared" si="2"/>
        <v>12</v>
      </c>
      <c r="J10" s="10">
        <f t="shared" si="3"/>
        <v>11.990275785110793</v>
      </c>
      <c r="K10" s="10">
        <f t="shared" si="4"/>
        <v>43.75</v>
      </c>
      <c r="L10" s="10">
        <f t="shared" si="5"/>
        <v>3.6487901349464864</v>
      </c>
      <c r="M10" s="12">
        <f t="shared" si="6"/>
        <v>15.682499999999999</v>
      </c>
      <c r="N10" s="13">
        <f t="shared" si="7"/>
        <v>0.35845714285714286</v>
      </c>
    </row>
    <row r="11" spans="1:14">
      <c r="A11" s="6">
        <v>10</v>
      </c>
      <c r="B11" s="7">
        <v>43493</v>
      </c>
      <c r="C11" s="8">
        <v>2855</v>
      </c>
      <c r="D11" s="9">
        <v>4.2990000000000004</v>
      </c>
      <c r="E11" s="9">
        <v>50</v>
      </c>
      <c r="F11" s="9" t="s">
        <v>918</v>
      </c>
      <c r="G11" s="10">
        <f t="shared" si="0"/>
        <v>11.63061177017911</v>
      </c>
      <c r="H11" s="11">
        <f t="shared" si="1"/>
        <v>182</v>
      </c>
      <c r="I11" s="10">
        <f t="shared" si="2"/>
        <v>14</v>
      </c>
      <c r="J11" s="10">
        <f t="shared" si="3"/>
        <v>7.0930363636363634</v>
      </c>
      <c r="K11" s="10">
        <f t="shared" si="4"/>
        <v>13</v>
      </c>
      <c r="L11" s="10">
        <f t="shared" si="5"/>
        <v>1.8327834982838482</v>
      </c>
      <c r="M11" s="12">
        <f t="shared" si="6"/>
        <v>7.8571428571428568</v>
      </c>
      <c r="N11" s="13">
        <f t="shared" si="7"/>
        <v>0.60439560439560436</v>
      </c>
    </row>
    <row r="12" spans="1:14">
      <c r="A12" s="6">
        <v>11</v>
      </c>
      <c r="B12" s="7">
        <v>43498</v>
      </c>
      <c r="C12" s="8">
        <v>2938</v>
      </c>
      <c r="D12" s="9">
        <v>4.2990000000000004</v>
      </c>
      <c r="E12" s="9">
        <v>226</v>
      </c>
      <c r="F12" s="9" t="s">
        <v>918</v>
      </c>
      <c r="G12" s="10">
        <f t="shared" si="0"/>
        <v>52.570365201209576</v>
      </c>
      <c r="H12" s="11">
        <f t="shared" si="1"/>
        <v>83</v>
      </c>
      <c r="I12" s="10">
        <f t="shared" si="2"/>
        <v>5</v>
      </c>
      <c r="J12" s="10">
        <f t="shared" si="3"/>
        <v>7.1363400000000006</v>
      </c>
      <c r="K12" s="10">
        <f t="shared" si="4"/>
        <v>16.600000000000001</v>
      </c>
      <c r="L12" s="10">
        <f t="shared" si="5"/>
        <v>2.3261223540358218</v>
      </c>
      <c r="M12" s="12">
        <f t="shared" si="6"/>
        <v>10</v>
      </c>
      <c r="N12" s="13">
        <f t="shared" si="7"/>
        <v>0.60240963855421692</v>
      </c>
    </row>
    <row r="13" spans="1:14">
      <c r="A13" s="6">
        <v>12</v>
      </c>
      <c r="B13" s="7">
        <v>43525</v>
      </c>
      <c r="C13" s="8">
        <v>3273</v>
      </c>
      <c r="D13" s="9">
        <v>3.9990000000000001</v>
      </c>
      <c r="E13" s="9">
        <v>211.73</v>
      </c>
      <c r="F13" s="9" t="s">
        <v>918</v>
      </c>
      <c r="G13" s="10">
        <f t="shared" si="0"/>
        <v>52.945736434108525</v>
      </c>
      <c r="H13" s="11">
        <f t="shared" si="1"/>
        <v>335</v>
      </c>
      <c r="I13" s="10">
        <f t="shared" si="2"/>
        <v>27</v>
      </c>
      <c r="J13" s="10">
        <f t="shared" si="3"/>
        <v>6.3724115044247798</v>
      </c>
      <c r="K13" s="10">
        <f t="shared" si="4"/>
        <v>12.407407407407407</v>
      </c>
      <c r="L13" s="10">
        <f t="shared" si="5"/>
        <v>1.9470505630077621</v>
      </c>
      <c r="M13" s="12">
        <f t="shared" si="6"/>
        <v>8.3703703703703702</v>
      </c>
      <c r="N13" s="13">
        <f t="shared" si="7"/>
        <v>0.67462686567164176</v>
      </c>
    </row>
    <row r="14" spans="1:14">
      <c r="A14" s="6">
        <v>13</v>
      </c>
      <c r="B14" s="7">
        <v>43530</v>
      </c>
      <c r="C14" s="8">
        <v>3697</v>
      </c>
      <c r="D14" s="9">
        <v>4.1989999999999998</v>
      </c>
      <c r="E14" s="9">
        <v>80</v>
      </c>
      <c r="F14" s="9" t="s">
        <v>918</v>
      </c>
      <c r="G14" s="10">
        <f t="shared" si="0"/>
        <v>19.052155275065491</v>
      </c>
      <c r="H14" s="11">
        <f t="shared" si="1"/>
        <v>424</v>
      </c>
      <c r="I14" s="10">
        <f t="shared" si="2"/>
        <v>5</v>
      </c>
      <c r="J14" s="10">
        <f t="shared" si="3"/>
        <v>8.0081991215226935</v>
      </c>
      <c r="K14" s="10">
        <f t="shared" si="4"/>
        <v>84.8</v>
      </c>
      <c r="L14" s="10">
        <f t="shared" si="5"/>
        <v>10.589147286821705</v>
      </c>
      <c r="M14" s="12">
        <f t="shared" si="6"/>
        <v>42.345999999999997</v>
      </c>
      <c r="N14" s="13">
        <f t="shared" si="7"/>
        <v>0.49936320754716979</v>
      </c>
    </row>
    <row r="15" spans="1:14">
      <c r="A15" s="6">
        <v>14</v>
      </c>
      <c r="B15" s="7">
        <v>43535</v>
      </c>
      <c r="C15" s="8">
        <v>4082</v>
      </c>
      <c r="D15" s="9">
        <v>4.1900000000000004</v>
      </c>
      <c r="E15" s="9">
        <v>195</v>
      </c>
      <c r="F15" s="9" t="s">
        <v>918</v>
      </c>
      <c r="G15" s="10">
        <f t="shared" si="0"/>
        <v>46.539379474940333</v>
      </c>
      <c r="H15" s="11">
        <f t="shared" si="1"/>
        <v>385</v>
      </c>
      <c r="I15" s="10">
        <f t="shared" si="2"/>
        <v>5</v>
      </c>
      <c r="J15" s="10">
        <f t="shared" si="3"/>
        <v>20.207687500000002</v>
      </c>
      <c r="K15" s="10">
        <f t="shared" si="4"/>
        <v>77</v>
      </c>
      <c r="L15" s="10">
        <f t="shared" si="5"/>
        <v>3.8104310550130984</v>
      </c>
      <c r="M15" s="12">
        <f t="shared" si="6"/>
        <v>16</v>
      </c>
      <c r="N15" s="13">
        <f t="shared" si="7"/>
        <v>0.20779220779220781</v>
      </c>
    </row>
    <row r="16" spans="1:14">
      <c r="A16" s="6">
        <v>15</v>
      </c>
      <c r="B16" s="7">
        <v>43536</v>
      </c>
      <c r="C16" s="8">
        <v>4386</v>
      </c>
      <c r="D16" s="9">
        <v>4.1980000000000004</v>
      </c>
      <c r="E16" s="9">
        <v>97.02</v>
      </c>
      <c r="F16" s="9" t="s">
        <v>918</v>
      </c>
      <c r="G16" s="10">
        <f t="shared" si="0"/>
        <v>23.111005240590753</v>
      </c>
      <c r="H16" s="11">
        <f t="shared" si="1"/>
        <v>304</v>
      </c>
      <c r="I16" s="10">
        <f t="shared" si="2"/>
        <v>1</v>
      </c>
      <c r="J16" s="10">
        <f t="shared" si="3"/>
        <v>6.5321025641025647</v>
      </c>
      <c r="K16" s="10">
        <f t="shared" si="4"/>
        <v>304</v>
      </c>
      <c r="L16" s="10">
        <f t="shared" si="5"/>
        <v>46.539379474940333</v>
      </c>
      <c r="M16" s="12">
        <f t="shared" si="6"/>
        <v>195</v>
      </c>
      <c r="N16" s="13">
        <f t="shared" si="7"/>
        <v>0.64144736842105265</v>
      </c>
    </row>
    <row r="17" spans="1:14">
      <c r="A17" s="6">
        <v>16</v>
      </c>
      <c r="B17" s="7">
        <v>43551</v>
      </c>
      <c r="C17" s="8">
        <v>4953</v>
      </c>
      <c r="D17" s="9">
        <v>3.9990000000000001</v>
      </c>
      <c r="E17" s="9">
        <v>50</v>
      </c>
      <c r="F17" s="9" t="s">
        <v>918</v>
      </c>
      <c r="G17" s="10">
        <f t="shared" si="0"/>
        <v>12.503125781445361</v>
      </c>
      <c r="H17" s="11">
        <f t="shared" si="1"/>
        <v>567</v>
      </c>
      <c r="I17" s="10">
        <f t="shared" si="2"/>
        <v>15</v>
      </c>
      <c r="J17" s="10">
        <f t="shared" si="3"/>
        <v>24.53376623376624</v>
      </c>
      <c r="K17" s="10">
        <f t="shared" si="4"/>
        <v>37.799999999999997</v>
      </c>
      <c r="L17" s="10">
        <f t="shared" si="5"/>
        <v>1.5407336827060503</v>
      </c>
      <c r="M17" s="12">
        <f t="shared" si="6"/>
        <v>6.468</v>
      </c>
      <c r="N17" s="13">
        <f t="shared" si="7"/>
        <v>0.1711111111111111</v>
      </c>
    </row>
    <row r="18" spans="1:14">
      <c r="A18" s="6">
        <v>17</v>
      </c>
      <c r="B18" s="7">
        <v>43556</v>
      </c>
      <c r="C18" s="8">
        <v>5033</v>
      </c>
      <c r="D18" s="9">
        <v>4.2990000000000004</v>
      </c>
      <c r="E18" s="9">
        <v>120</v>
      </c>
      <c r="F18" s="9" t="s">
        <v>918</v>
      </c>
      <c r="G18" s="10">
        <f t="shared" si="0"/>
        <v>27.913468248429865</v>
      </c>
      <c r="H18" s="11">
        <f>IF(C18="","",C18-C17)</f>
        <v>80</v>
      </c>
      <c r="I18" s="10">
        <f>IF(B18="","",B18-B17)</f>
        <v>5</v>
      </c>
      <c r="J18" s="10">
        <f>IF(H18="","",H18/G17)</f>
        <v>6.3984000000000005</v>
      </c>
      <c r="K18" s="10">
        <f>IF(H18&lt;&gt;"",IF(I18&gt;0,H18/I18,H18),"" )</f>
        <v>16</v>
      </c>
      <c r="L18" s="10">
        <f>IF(I18="","",IF(I18=0,G18,G17/I18))</f>
        <v>2.5006251562890722</v>
      </c>
      <c r="M18" s="12">
        <f>IF(I18="","",IF(I18=0,E17,E17/I18))</f>
        <v>10</v>
      </c>
      <c r="N18" s="13">
        <f>IF(H18="","",E17/H18)</f>
        <v>0.625</v>
      </c>
    </row>
    <row r="19" spans="1:14">
      <c r="A19" s="6">
        <v>18</v>
      </c>
      <c r="B19" s="7">
        <v>43572</v>
      </c>
      <c r="C19" s="8">
        <v>5239</v>
      </c>
      <c r="D19" s="9">
        <v>4.4989999999999997</v>
      </c>
      <c r="E19" s="9">
        <v>60</v>
      </c>
      <c r="F19" s="9" t="s">
        <v>918</v>
      </c>
      <c r="G19" s="10">
        <f t="shared" ref="G19:G61" si="8">IF(E19&lt;&gt;"",E19/D19,"")</f>
        <v>13.336296954878863</v>
      </c>
      <c r="H19" s="11">
        <f t="shared" ref="H19:H36" si="9">IF(C19="","",C19-C18)</f>
        <v>206</v>
      </c>
      <c r="I19" s="10">
        <f t="shared" ref="I19:I36" si="10">IF(B19="","",B19-B18)</f>
        <v>16</v>
      </c>
      <c r="J19" s="10">
        <f t="shared" ref="J19:J36" si="11">IF(H19="","",H19/G18)</f>
        <v>7.3799500000000009</v>
      </c>
      <c r="K19" s="10">
        <f t="shared" ref="K19:K36" si="12">IF(H19&lt;&gt;"",IF(I19&gt;0,H19/I19,H19),"" )</f>
        <v>12.875</v>
      </c>
      <c r="L19" s="10">
        <f t="shared" ref="L19:L36" si="13">IF(I19="","",IF(I19=0,G19,G18/I19))</f>
        <v>1.7445917655268666</v>
      </c>
      <c r="M19" s="12">
        <f t="shared" ref="M19:M36" si="14">IF(I19="","",IF(I19=0,E18,E18/I19))</f>
        <v>7.5</v>
      </c>
      <c r="N19" s="13">
        <f t="shared" ref="N19:N36" si="15">IF(H19="","",E18/H19)</f>
        <v>0.58252427184466016</v>
      </c>
    </row>
    <row r="20" spans="1:14">
      <c r="A20" s="6">
        <v>19</v>
      </c>
      <c r="B20" s="7">
        <v>43584</v>
      </c>
      <c r="C20" s="8">
        <v>5327</v>
      </c>
      <c r="D20" s="9">
        <v>4.4989999999999997</v>
      </c>
      <c r="E20" s="9">
        <v>50</v>
      </c>
      <c r="F20" s="9" t="s">
        <v>918</v>
      </c>
      <c r="G20" s="10">
        <f t="shared" si="8"/>
        <v>11.113580795732386</v>
      </c>
      <c r="H20" s="11">
        <f t="shared" si="9"/>
        <v>88</v>
      </c>
      <c r="I20" s="10">
        <f t="shared" si="10"/>
        <v>12</v>
      </c>
      <c r="J20" s="10">
        <f t="shared" si="11"/>
        <v>6.5985333333333331</v>
      </c>
      <c r="K20" s="10">
        <f t="shared" si="12"/>
        <v>7.333333333333333</v>
      </c>
      <c r="L20" s="10">
        <f t="shared" si="13"/>
        <v>1.1113580795732385</v>
      </c>
      <c r="M20" s="12">
        <f t="shared" si="14"/>
        <v>5</v>
      </c>
      <c r="N20" s="13">
        <f t="shared" si="15"/>
        <v>0.68181818181818177</v>
      </c>
    </row>
    <row r="21" spans="1:14">
      <c r="A21" s="6">
        <v>20</v>
      </c>
      <c r="B21" s="7">
        <v>43591</v>
      </c>
      <c r="C21" s="8">
        <v>5409</v>
      </c>
      <c r="D21" s="9">
        <v>4.1999000000000004</v>
      </c>
      <c r="E21" s="9">
        <v>150</v>
      </c>
      <c r="F21" s="9" t="s">
        <v>918</v>
      </c>
      <c r="G21" s="10">
        <f t="shared" si="8"/>
        <v>35.715136074668443</v>
      </c>
      <c r="H21" s="11">
        <f t="shared" si="9"/>
        <v>82</v>
      </c>
      <c r="I21" s="10">
        <f t="shared" si="10"/>
        <v>7</v>
      </c>
      <c r="J21" s="10">
        <f t="shared" si="11"/>
        <v>7.3783599999999998</v>
      </c>
      <c r="K21" s="10">
        <f t="shared" si="12"/>
        <v>11.714285714285714</v>
      </c>
      <c r="L21" s="10">
        <f t="shared" si="13"/>
        <v>1.5876543993903407</v>
      </c>
      <c r="M21" s="12">
        <f t="shared" si="14"/>
        <v>7.1428571428571432</v>
      </c>
      <c r="N21" s="13">
        <f t="shared" si="15"/>
        <v>0.6097560975609756</v>
      </c>
    </row>
    <row r="22" spans="1:14">
      <c r="A22" s="6">
        <v>21</v>
      </c>
      <c r="B22" s="7">
        <v>43612</v>
      </c>
      <c r="C22" s="8">
        <v>5624</v>
      </c>
      <c r="D22" s="9">
        <v>4.4989999999999997</v>
      </c>
      <c r="E22" s="9">
        <v>150</v>
      </c>
      <c r="F22" s="9" t="s">
        <v>918</v>
      </c>
      <c r="G22" s="10">
        <f t="shared" si="8"/>
        <v>33.34074238719716</v>
      </c>
      <c r="H22" s="11">
        <f t="shared" si="9"/>
        <v>215</v>
      </c>
      <c r="I22" s="10">
        <f t="shared" si="10"/>
        <v>21</v>
      </c>
      <c r="J22" s="10">
        <f t="shared" si="11"/>
        <v>6.0198566666666666</v>
      </c>
      <c r="K22" s="10">
        <f t="shared" si="12"/>
        <v>10.238095238095237</v>
      </c>
      <c r="L22" s="10">
        <f t="shared" si="13"/>
        <v>1.700720765460402</v>
      </c>
      <c r="M22" s="12">
        <f t="shared" si="14"/>
        <v>7.1428571428571432</v>
      </c>
      <c r="N22" s="13">
        <f t="shared" si="15"/>
        <v>0.69767441860465118</v>
      </c>
    </row>
    <row r="23" spans="1:14">
      <c r="A23" s="6">
        <v>22</v>
      </c>
      <c r="B23" s="7">
        <v>43626</v>
      </c>
      <c r="C23" s="8">
        <v>5874</v>
      </c>
      <c r="D23" s="9">
        <v>4.399</v>
      </c>
      <c r="E23" s="9">
        <v>80</v>
      </c>
      <c r="F23" s="9" t="s">
        <v>918</v>
      </c>
      <c r="G23" s="10">
        <f t="shared" si="8"/>
        <v>18.185951352580133</v>
      </c>
      <c r="H23" s="11">
        <f t="shared" si="9"/>
        <v>250</v>
      </c>
      <c r="I23" s="10">
        <f t="shared" si="10"/>
        <v>14</v>
      </c>
      <c r="J23" s="10">
        <f t="shared" si="11"/>
        <v>7.4983333333333322</v>
      </c>
      <c r="K23" s="10">
        <f t="shared" si="12"/>
        <v>17.857142857142858</v>
      </c>
      <c r="L23" s="10">
        <f t="shared" si="13"/>
        <v>2.3814815990855114</v>
      </c>
      <c r="M23" s="12">
        <f t="shared" si="14"/>
        <v>10.714285714285714</v>
      </c>
      <c r="N23" s="13">
        <f t="shared" si="15"/>
        <v>0.6</v>
      </c>
    </row>
    <row r="24" spans="1:14">
      <c r="A24" s="6">
        <v>23</v>
      </c>
      <c r="B24" s="7">
        <v>43634</v>
      </c>
      <c r="C24" s="8">
        <v>6031</v>
      </c>
      <c r="D24" s="9">
        <v>4.0990000000000002</v>
      </c>
      <c r="E24" s="9">
        <v>85</v>
      </c>
      <c r="F24" s="9" t="s">
        <v>918</v>
      </c>
      <c r="G24" s="10">
        <f t="shared" si="8"/>
        <v>20.736765064649912</v>
      </c>
      <c r="H24" s="11">
        <f t="shared" si="9"/>
        <v>157</v>
      </c>
      <c r="I24" s="10">
        <f t="shared" si="10"/>
        <v>8</v>
      </c>
      <c r="J24" s="10">
        <f t="shared" si="11"/>
        <v>8.6330374999999986</v>
      </c>
      <c r="K24" s="10">
        <f t="shared" si="12"/>
        <v>19.625</v>
      </c>
      <c r="L24" s="10">
        <f t="shared" si="13"/>
        <v>2.2732439190725167</v>
      </c>
      <c r="M24" s="12">
        <f t="shared" si="14"/>
        <v>10</v>
      </c>
      <c r="N24" s="13">
        <f t="shared" si="15"/>
        <v>0.50955414012738853</v>
      </c>
    </row>
    <row r="25" spans="1:14">
      <c r="A25" s="6">
        <v>24</v>
      </c>
      <c r="B25" s="7">
        <v>43635</v>
      </c>
      <c r="C25" s="8">
        <v>6077</v>
      </c>
      <c r="D25" s="9">
        <v>4.2990000000000004</v>
      </c>
      <c r="E25" s="9">
        <v>138.08000000000001</v>
      </c>
      <c r="F25" s="9" t="s">
        <v>918</v>
      </c>
      <c r="G25" s="10">
        <f t="shared" si="8"/>
        <v>32.119097464526632</v>
      </c>
      <c r="H25" s="11">
        <f t="shared" si="9"/>
        <v>46</v>
      </c>
      <c r="I25" s="10">
        <f t="shared" si="10"/>
        <v>1</v>
      </c>
      <c r="J25" s="10">
        <f t="shared" si="11"/>
        <v>2.2182823529411766</v>
      </c>
      <c r="K25" s="10">
        <f t="shared" si="12"/>
        <v>46</v>
      </c>
      <c r="L25" s="10">
        <f t="shared" si="13"/>
        <v>20.736765064649912</v>
      </c>
      <c r="M25" s="12">
        <f t="shared" si="14"/>
        <v>85</v>
      </c>
      <c r="N25" s="13">
        <f t="shared" si="15"/>
        <v>1.8478260869565217</v>
      </c>
    </row>
    <row r="26" spans="1:14">
      <c r="A26" s="6">
        <v>25</v>
      </c>
      <c r="B26" s="7">
        <v>43639</v>
      </c>
      <c r="C26" s="8">
        <v>6480</v>
      </c>
      <c r="D26" s="9">
        <v>4.3479999999999999</v>
      </c>
      <c r="E26" s="9">
        <v>130.08000000000001</v>
      </c>
      <c r="F26" s="9" t="s">
        <v>918</v>
      </c>
      <c r="G26" s="10">
        <f t="shared" si="8"/>
        <v>29.917203311867528</v>
      </c>
      <c r="H26" s="11">
        <f t="shared" si="9"/>
        <v>403</v>
      </c>
      <c r="I26" s="10">
        <f t="shared" si="10"/>
        <v>4</v>
      </c>
      <c r="J26" s="10">
        <f t="shared" si="11"/>
        <v>12.54705243337196</v>
      </c>
      <c r="K26" s="10">
        <f t="shared" si="12"/>
        <v>100.75</v>
      </c>
      <c r="L26" s="10">
        <f t="shared" si="13"/>
        <v>8.0297743661316581</v>
      </c>
      <c r="M26" s="12">
        <f t="shared" si="14"/>
        <v>34.520000000000003</v>
      </c>
      <c r="N26" s="13">
        <f t="shared" si="15"/>
        <v>0.34263027295285364</v>
      </c>
    </row>
    <row r="27" spans="1:14">
      <c r="A27" s="6">
        <v>26</v>
      </c>
      <c r="B27" s="7">
        <v>43659</v>
      </c>
      <c r="C27" s="8">
        <v>7036</v>
      </c>
      <c r="D27" s="9">
        <v>4.1989999999999998</v>
      </c>
      <c r="E27" s="9">
        <v>150</v>
      </c>
      <c r="F27" s="9" t="s">
        <v>918</v>
      </c>
      <c r="G27" s="10">
        <f t="shared" si="8"/>
        <v>35.722791140747802</v>
      </c>
      <c r="H27" s="11">
        <f t="shared" si="9"/>
        <v>556</v>
      </c>
      <c r="I27" s="10">
        <f t="shared" si="10"/>
        <v>20</v>
      </c>
      <c r="J27" s="10">
        <f t="shared" si="11"/>
        <v>18.58462484624846</v>
      </c>
      <c r="K27" s="10">
        <f t="shared" si="12"/>
        <v>27.8</v>
      </c>
      <c r="L27" s="10">
        <f t="shared" si="13"/>
        <v>1.4958601655933763</v>
      </c>
      <c r="M27" s="12">
        <f t="shared" si="14"/>
        <v>6.5040000000000004</v>
      </c>
      <c r="N27" s="13">
        <f t="shared" si="15"/>
        <v>0.23395683453237412</v>
      </c>
    </row>
    <row r="28" spans="1:14">
      <c r="A28" s="6">
        <v>27</v>
      </c>
      <c r="B28" s="7">
        <v>43675</v>
      </c>
      <c r="C28" s="8">
        <v>7326</v>
      </c>
      <c r="D28" s="9">
        <v>2.4990000000000001</v>
      </c>
      <c r="E28" s="9">
        <v>46</v>
      </c>
      <c r="F28" s="9" t="s">
        <v>919</v>
      </c>
      <c r="G28" s="10">
        <f t="shared" si="8"/>
        <v>18.407362945178072</v>
      </c>
      <c r="H28" s="11">
        <f t="shared" si="9"/>
        <v>290</v>
      </c>
      <c r="I28" s="10">
        <f t="shared" si="10"/>
        <v>16</v>
      </c>
      <c r="J28" s="10">
        <f t="shared" si="11"/>
        <v>8.1180666666666657</v>
      </c>
      <c r="K28" s="10">
        <f t="shared" si="12"/>
        <v>18.125</v>
      </c>
      <c r="L28" s="10">
        <f t="shared" si="13"/>
        <v>2.2326744462967376</v>
      </c>
      <c r="M28" s="12">
        <f t="shared" si="14"/>
        <v>9.375</v>
      </c>
      <c r="N28" s="13">
        <f t="shared" si="15"/>
        <v>0.51724137931034486</v>
      </c>
    </row>
    <row r="29" spans="1:14">
      <c r="A29" s="6">
        <v>28</v>
      </c>
      <c r="B29" s="7">
        <v>43680</v>
      </c>
      <c r="C29" s="8">
        <v>7440</v>
      </c>
      <c r="D29" s="9">
        <v>3.9990000000000001</v>
      </c>
      <c r="E29" s="9">
        <v>150</v>
      </c>
      <c r="F29" s="9" t="s">
        <v>918</v>
      </c>
      <c r="G29" s="10">
        <f t="shared" si="8"/>
        <v>37.50937734433608</v>
      </c>
      <c r="H29" s="11">
        <f t="shared" si="9"/>
        <v>114</v>
      </c>
      <c r="I29" s="10">
        <f t="shared" si="10"/>
        <v>5</v>
      </c>
      <c r="J29" s="10">
        <f t="shared" si="11"/>
        <v>6.193173913043478</v>
      </c>
      <c r="K29" s="10">
        <f t="shared" si="12"/>
        <v>22.8</v>
      </c>
      <c r="L29" s="10">
        <f t="shared" si="13"/>
        <v>3.6814725890356144</v>
      </c>
      <c r="M29" s="12">
        <f t="shared" si="14"/>
        <v>9.1999999999999993</v>
      </c>
      <c r="N29" s="13">
        <f t="shared" si="15"/>
        <v>0.40350877192982454</v>
      </c>
    </row>
    <row r="30" spans="1:14">
      <c r="A30" s="6">
        <v>29</v>
      </c>
      <c r="B30" s="7">
        <v>43704</v>
      </c>
      <c r="C30" s="8">
        <v>7654</v>
      </c>
      <c r="D30" s="9">
        <v>4.2939999999999996</v>
      </c>
      <c r="E30" s="9">
        <v>60</v>
      </c>
      <c r="F30" s="9" t="s">
        <v>918</v>
      </c>
      <c r="G30" s="10">
        <f t="shared" si="8"/>
        <v>13.972985561248255</v>
      </c>
      <c r="H30" s="11">
        <f t="shared" si="9"/>
        <v>214</v>
      </c>
      <c r="I30" s="10">
        <f t="shared" si="10"/>
        <v>24</v>
      </c>
      <c r="J30" s="10">
        <f t="shared" si="11"/>
        <v>5.7052400000000008</v>
      </c>
      <c r="K30" s="10">
        <f t="shared" si="12"/>
        <v>8.9166666666666661</v>
      </c>
      <c r="L30" s="10">
        <f t="shared" si="13"/>
        <v>1.5628907226806701</v>
      </c>
      <c r="M30" s="12">
        <f t="shared" si="14"/>
        <v>6.25</v>
      </c>
      <c r="N30" s="13">
        <f t="shared" si="15"/>
        <v>0.7009345794392523</v>
      </c>
    </row>
    <row r="31" spans="1:14">
      <c r="A31" s="6">
        <v>30</v>
      </c>
      <c r="B31" s="7">
        <v>43707</v>
      </c>
      <c r="C31" s="8">
        <v>7789</v>
      </c>
      <c r="D31" s="9">
        <v>4.2990000000000004</v>
      </c>
      <c r="E31" s="9">
        <v>150</v>
      </c>
      <c r="F31" s="9" t="s">
        <v>918</v>
      </c>
      <c r="G31" s="10">
        <f t="shared" si="8"/>
        <v>34.891835310537331</v>
      </c>
      <c r="H31" s="11">
        <f t="shared" si="9"/>
        <v>135</v>
      </c>
      <c r="I31" s="10">
        <f t="shared" si="10"/>
        <v>3</v>
      </c>
      <c r="J31" s="10">
        <f t="shared" si="11"/>
        <v>9.6614999999999984</v>
      </c>
      <c r="K31" s="10">
        <f t="shared" si="12"/>
        <v>45</v>
      </c>
      <c r="L31" s="10">
        <f t="shared" si="13"/>
        <v>4.6576618537494179</v>
      </c>
      <c r="M31" s="12">
        <f t="shared" si="14"/>
        <v>20</v>
      </c>
      <c r="N31" s="13">
        <f t="shared" si="15"/>
        <v>0.44444444444444442</v>
      </c>
    </row>
    <row r="32" spans="1:14">
      <c r="A32" s="6">
        <v>31</v>
      </c>
      <c r="B32" s="7">
        <v>43730</v>
      </c>
      <c r="C32" s="8">
        <v>8081</v>
      </c>
      <c r="D32" s="9">
        <v>4.1989999999999998</v>
      </c>
      <c r="E32" s="9">
        <v>50</v>
      </c>
      <c r="F32" s="9" t="s">
        <v>918</v>
      </c>
      <c r="G32" s="10">
        <f t="shared" si="8"/>
        <v>11.907597046915933</v>
      </c>
      <c r="H32" s="11">
        <f t="shared" si="9"/>
        <v>292</v>
      </c>
      <c r="I32" s="10">
        <f t="shared" si="10"/>
        <v>23</v>
      </c>
      <c r="J32" s="10">
        <f t="shared" si="11"/>
        <v>8.3687200000000015</v>
      </c>
      <c r="K32" s="10">
        <f t="shared" si="12"/>
        <v>12.695652173913043</v>
      </c>
      <c r="L32" s="10">
        <f t="shared" si="13"/>
        <v>1.5170363178494493</v>
      </c>
      <c r="M32" s="12">
        <f t="shared" si="14"/>
        <v>6.5217391304347823</v>
      </c>
      <c r="N32" s="13">
        <f t="shared" si="15"/>
        <v>0.51369863013698636</v>
      </c>
    </row>
    <row r="33" spans="1:14">
      <c r="A33" s="6">
        <v>32</v>
      </c>
      <c r="B33" s="7">
        <v>43734</v>
      </c>
      <c r="C33" s="8">
        <v>8155</v>
      </c>
      <c r="D33" s="9">
        <v>3.9990000000000001</v>
      </c>
      <c r="E33" s="9">
        <v>150</v>
      </c>
      <c r="F33" s="9" t="s">
        <v>918</v>
      </c>
      <c r="G33" s="10">
        <f t="shared" si="8"/>
        <v>37.50937734433608</v>
      </c>
      <c r="H33" s="11">
        <f t="shared" si="9"/>
        <v>74</v>
      </c>
      <c r="I33" s="10">
        <f t="shared" si="10"/>
        <v>4</v>
      </c>
      <c r="J33" s="10">
        <f t="shared" si="11"/>
        <v>6.2145199999999994</v>
      </c>
      <c r="K33" s="10">
        <f t="shared" si="12"/>
        <v>18.5</v>
      </c>
      <c r="L33" s="10">
        <f t="shared" si="13"/>
        <v>2.9768992617289833</v>
      </c>
      <c r="M33" s="12">
        <f t="shared" si="14"/>
        <v>12.5</v>
      </c>
      <c r="N33" s="13">
        <f t="shared" si="15"/>
        <v>0.67567567567567566</v>
      </c>
    </row>
    <row r="34" spans="1:14">
      <c r="A34" s="6">
        <v>33</v>
      </c>
      <c r="B34" s="7">
        <v>43736</v>
      </c>
      <c r="C34" s="8">
        <v>8540</v>
      </c>
      <c r="D34" s="9">
        <v>4.298</v>
      </c>
      <c r="E34" s="9">
        <v>100</v>
      </c>
      <c r="F34" s="9" t="s">
        <v>918</v>
      </c>
      <c r="G34" s="10">
        <f t="shared" si="8"/>
        <v>23.266635644485806</v>
      </c>
      <c r="H34" s="11">
        <f t="shared" si="9"/>
        <v>385</v>
      </c>
      <c r="I34" s="10">
        <f t="shared" si="10"/>
        <v>2</v>
      </c>
      <c r="J34" s="10">
        <f t="shared" si="11"/>
        <v>10.264100000000001</v>
      </c>
      <c r="K34" s="10">
        <f t="shared" si="12"/>
        <v>192.5</v>
      </c>
      <c r="L34" s="10">
        <f t="shared" si="13"/>
        <v>18.75468867216804</v>
      </c>
      <c r="M34" s="12">
        <f t="shared" si="14"/>
        <v>75</v>
      </c>
      <c r="N34" s="13">
        <f t="shared" si="15"/>
        <v>0.38961038961038963</v>
      </c>
    </row>
    <row r="35" spans="1:14">
      <c r="A35" s="6">
        <v>34</v>
      </c>
      <c r="B35" s="7">
        <v>43739</v>
      </c>
      <c r="C35" s="8">
        <v>8909</v>
      </c>
      <c r="D35" s="9">
        <v>3.9990000000000001</v>
      </c>
      <c r="E35" s="9">
        <v>100</v>
      </c>
      <c r="F35" s="9" t="s">
        <v>918</v>
      </c>
      <c r="G35" s="10">
        <f t="shared" si="8"/>
        <v>25.006251562890721</v>
      </c>
      <c r="H35" s="11">
        <f t="shared" si="9"/>
        <v>369</v>
      </c>
      <c r="I35" s="10">
        <f t="shared" si="10"/>
        <v>3</v>
      </c>
      <c r="J35" s="10">
        <f t="shared" si="11"/>
        <v>15.859620000000001</v>
      </c>
      <c r="K35" s="10">
        <f t="shared" si="12"/>
        <v>123</v>
      </c>
      <c r="L35" s="10">
        <f t="shared" si="13"/>
        <v>7.7555452148286017</v>
      </c>
      <c r="M35" s="12">
        <f t="shared" si="14"/>
        <v>33.333333333333336</v>
      </c>
      <c r="N35" s="13">
        <f t="shared" si="15"/>
        <v>0.27100271002710025</v>
      </c>
    </row>
    <row r="36" spans="1:14">
      <c r="A36" s="6">
        <v>35</v>
      </c>
      <c r="B36" s="7">
        <v>43752</v>
      </c>
      <c r="C36" s="8">
        <v>9187</v>
      </c>
      <c r="D36" s="9">
        <v>4.0990000000000002</v>
      </c>
      <c r="E36" s="9">
        <v>105</v>
      </c>
      <c r="F36" s="9" t="s">
        <v>918</v>
      </c>
      <c r="G36" s="10">
        <f t="shared" si="8"/>
        <v>25.616003903391071</v>
      </c>
      <c r="H36" s="11">
        <f t="shared" si="9"/>
        <v>278</v>
      </c>
      <c r="I36" s="10">
        <f t="shared" si="10"/>
        <v>13</v>
      </c>
      <c r="J36" s="10">
        <f t="shared" si="11"/>
        <v>11.117220000000001</v>
      </c>
      <c r="K36" s="10">
        <f t="shared" si="12"/>
        <v>21.384615384615383</v>
      </c>
      <c r="L36" s="10">
        <f t="shared" si="13"/>
        <v>1.9235578125300554</v>
      </c>
      <c r="M36" s="12">
        <f t="shared" si="14"/>
        <v>7.6923076923076925</v>
      </c>
      <c r="N36" s="13">
        <f t="shared" si="15"/>
        <v>0.35971223021582732</v>
      </c>
    </row>
    <row r="37" spans="1:14">
      <c r="A37" s="6">
        <v>36</v>
      </c>
      <c r="B37" s="7">
        <v>43762</v>
      </c>
      <c r="C37" s="8">
        <v>9370</v>
      </c>
      <c r="D37" s="9">
        <v>4.0990000000000002</v>
      </c>
      <c r="E37" s="9">
        <v>100</v>
      </c>
      <c r="F37" s="9" t="s">
        <v>918</v>
      </c>
      <c r="G37" s="10">
        <f t="shared" si="8"/>
        <v>24.396194193705782</v>
      </c>
      <c r="H37" s="11">
        <f t="shared" ref="H37:H47" si="16">IF(C37="","",C37-C36)</f>
        <v>183</v>
      </c>
      <c r="I37" s="10">
        <f t="shared" ref="I37:I47" si="17">IF(B37="","",B37-B36)</f>
        <v>10</v>
      </c>
      <c r="J37" s="10">
        <f t="shared" ref="J37:J47" si="18">IF(H37="","",H37/G36)</f>
        <v>7.1439714285714286</v>
      </c>
      <c r="K37" s="10">
        <f t="shared" ref="K37:K47" si="19">IF(H37&lt;&gt;"",IF(I37&gt;0,H37/I37,H37),"" )</f>
        <v>18.3</v>
      </c>
      <c r="L37" s="10">
        <f t="shared" ref="L37:L47" si="20">IF(I37="","",IF(I37=0,G37,G36/I37))</f>
        <v>2.5616003903391071</v>
      </c>
      <c r="M37" s="12">
        <f t="shared" ref="M37:M47" si="21">IF(I37="","",IF(I37=0,E36,E36/I37))</f>
        <v>10.5</v>
      </c>
      <c r="N37" s="13">
        <f t="shared" ref="N37:N47" si="22">IF(H37="","",E36/H37)</f>
        <v>0.57377049180327866</v>
      </c>
    </row>
    <row r="38" spans="1:14">
      <c r="A38" s="6">
        <v>37</v>
      </c>
      <c r="B38" s="7">
        <v>43770</v>
      </c>
      <c r="C38" s="8">
        <v>9597</v>
      </c>
      <c r="D38" s="9">
        <v>4.0990000000000002</v>
      </c>
      <c r="E38" s="9">
        <v>204.95</v>
      </c>
      <c r="F38" s="9" t="s">
        <v>918</v>
      </c>
      <c r="G38" s="10">
        <f t="shared" si="8"/>
        <v>49.999999999999993</v>
      </c>
      <c r="H38" s="11">
        <f t="shared" si="16"/>
        <v>227</v>
      </c>
      <c r="I38" s="10">
        <f t="shared" si="17"/>
        <v>8</v>
      </c>
      <c r="J38" s="10">
        <f t="shared" si="18"/>
        <v>9.3047299999999993</v>
      </c>
      <c r="K38" s="10">
        <f t="shared" si="19"/>
        <v>28.375</v>
      </c>
      <c r="L38" s="10">
        <f t="shared" si="20"/>
        <v>3.0495242742132227</v>
      </c>
      <c r="M38" s="12">
        <f t="shared" si="21"/>
        <v>12.5</v>
      </c>
      <c r="N38" s="13">
        <f t="shared" si="22"/>
        <v>0.44052863436123346</v>
      </c>
    </row>
    <row r="39" spans="1:14">
      <c r="A39" s="6">
        <v>38</v>
      </c>
      <c r="B39" s="7">
        <v>43773</v>
      </c>
      <c r="C39" s="8">
        <v>9997</v>
      </c>
      <c r="D39" s="9">
        <v>4.298</v>
      </c>
      <c r="E39" s="9">
        <v>112.04</v>
      </c>
      <c r="F39" s="9" t="s">
        <v>918</v>
      </c>
      <c r="G39" s="10">
        <f t="shared" si="8"/>
        <v>26.0679385760819</v>
      </c>
      <c r="H39" s="11">
        <f t="shared" si="16"/>
        <v>400</v>
      </c>
      <c r="I39" s="10">
        <f t="shared" si="17"/>
        <v>3</v>
      </c>
      <c r="J39" s="10">
        <f t="shared" si="18"/>
        <v>8.0000000000000018</v>
      </c>
      <c r="K39" s="10">
        <f t="shared" si="19"/>
        <v>133.33333333333334</v>
      </c>
      <c r="L39" s="10">
        <f t="shared" si="20"/>
        <v>16.666666666666664</v>
      </c>
      <c r="M39" s="12">
        <f t="shared" si="21"/>
        <v>68.316666666666663</v>
      </c>
      <c r="N39" s="13">
        <f t="shared" si="22"/>
        <v>0.51237500000000002</v>
      </c>
    </row>
    <row r="40" spans="1:14">
      <c r="A40" s="6">
        <v>39</v>
      </c>
      <c r="B40" s="7">
        <v>43793</v>
      </c>
      <c r="C40" s="8">
        <v>10589</v>
      </c>
      <c r="D40" s="9">
        <v>4.399</v>
      </c>
      <c r="E40" s="9">
        <v>50</v>
      </c>
      <c r="F40" s="9" t="s">
        <v>918</v>
      </c>
      <c r="G40" s="10">
        <f t="shared" si="8"/>
        <v>11.366219595362582</v>
      </c>
      <c r="H40" s="11">
        <f t="shared" si="16"/>
        <v>592</v>
      </c>
      <c r="I40" s="10">
        <f t="shared" si="17"/>
        <v>20</v>
      </c>
      <c r="J40" s="10">
        <f t="shared" si="18"/>
        <v>22.709889325240983</v>
      </c>
      <c r="K40" s="10">
        <f t="shared" si="19"/>
        <v>29.6</v>
      </c>
      <c r="L40" s="10">
        <f t="shared" si="20"/>
        <v>1.303396928804095</v>
      </c>
      <c r="M40" s="12">
        <f t="shared" si="21"/>
        <v>5.6020000000000003</v>
      </c>
      <c r="N40" s="13">
        <f t="shared" si="22"/>
        <v>0.18925675675675677</v>
      </c>
    </row>
    <row r="41" spans="1:14">
      <c r="A41" s="6">
        <v>40</v>
      </c>
      <c r="B41" s="7">
        <v>43799</v>
      </c>
      <c r="C41" s="8">
        <v>10667</v>
      </c>
      <c r="D41" s="9">
        <v>4.399</v>
      </c>
      <c r="E41" s="9">
        <v>100</v>
      </c>
      <c r="F41" s="9" t="s">
        <v>918</v>
      </c>
      <c r="G41" s="10">
        <f t="shared" si="8"/>
        <v>22.732439190725163</v>
      </c>
      <c r="H41" s="11">
        <f t="shared" si="16"/>
        <v>78</v>
      </c>
      <c r="I41" s="10">
        <f t="shared" si="17"/>
        <v>6</v>
      </c>
      <c r="J41" s="10">
        <f t="shared" si="18"/>
        <v>6.8624400000000003</v>
      </c>
      <c r="K41" s="10">
        <f t="shared" si="19"/>
        <v>13</v>
      </c>
      <c r="L41" s="10">
        <f t="shared" si="20"/>
        <v>1.8943699325604302</v>
      </c>
      <c r="M41" s="12">
        <f t="shared" si="21"/>
        <v>8.3333333333333339</v>
      </c>
      <c r="N41" s="13">
        <f t="shared" si="22"/>
        <v>0.64102564102564108</v>
      </c>
    </row>
    <row r="42" spans="1:14">
      <c r="A42" s="6">
        <v>41</v>
      </c>
      <c r="B42" s="7">
        <v>43820</v>
      </c>
      <c r="C42" s="8">
        <v>10814</v>
      </c>
      <c r="D42" s="9">
        <v>4.99</v>
      </c>
      <c r="E42" s="9">
        <v>222.15</v>
      </c>
      <c r="F42" s="9" t="s">
        <v>918</v>
      </c>
      <c r="G42" s="10">
        <f t="shared" si="8"/>
        <v>44.519038076152306</v>
      </c>
      <c r="H42" s="11">
        <f t="shared" si="16"/>
        <v>147</v>
      </c>
      <c r="I42" s="10">
        <f t="shared" si="17"/>
        <v>21</v>
      </c>
      <c r="J42" s="10">
        <f t="shared" si="18"/>
        <v>6.4665300000000006</v>
      </c>
      <c r="K42" s="10">
        <f t="shared" si="19"/>
        <v>7</v>
      </c>
      <c r="L42" s="10">
        <f t="shared" si="20"/>
        <v>1.0824971043202458</v>
      </c>
      <c r="M42" s="12">
        <f t="shared" si="21"/>
        <v>4.7619047619047619</v>
      </c>
      <c r="N42" s="13">
        <f t="shared" si="22"/>
        <v>0.68027210884353739</v>
      </c>
    </row>
    <row r="43" spans="1:14">
      <c r="A43" s="6">
        <v>42</v>
      </c>
      <c r="B43" s="7">
        <v>43854</v>
      </c>
      <c r="C43" s="8">
        <v>11187</v>
      </c>
      <c r="D43" s="9">
        <v>4.2990000000000004</v>
      </c>
      <c r="E43" s="9">
        <v>100</v>
      </c>
      <c r="F43" s="9" t="s">
        <v>918</v>
      </c>
      <c r="G43" s="10">
        <f t="shared" si="8"/>
        <v>23.26122354035822</v>
      </c>
      <c r="H43" s="11">
        <f t="shared" si="16"/>
        <v>373</v>
      </c>
      <c r="I43" s="10">
        <f t="shared" si="17"/>
        <v>34</v>
      </c>
      <c r="J43" s="10">
        <f t="shared" si="18"/>
        <v>8.3784379923475125</v>
      </c>
      <c r="K43" s="10">
        <f t="shared" si="19"/>
        <v>10.970588235294118</v>
      </c>
      <c r="L43" s="10">
        <f t="shared" si="20"/>
        <v>1.3093834728280089</v>
      </c>
      <c r="M43" s="12">
        <f t="shared" si="21"/>
        <v>6.533823529411765</v>
      </c>
      <c r="N43" s="13">
        <f t="shared" si="22"/>
        <v>0.59557640750670238</v>
      </c>
    </row>
    <row r="44" spans="1:14">
      <c r="A44" s="6">
        <v>43</v>
      </c>
      <c r="B44" s="7">
        <v>43873</v>
      </c>
      <c r="C44" s="8">
        <v>11359</v>
      </c>
      <c r="D44" s="9">
        <v>4.399</v>
      </c>
      <c r="E44" s="9">
        <v>100</v>
      </c>
      <c r="F44" s="9" t="s">
        <v>918</v>
      </c>
      <c r="G44" s="10">
        <f t="shared" si="8"/>
        <v>22.732439190725163</v>
      </c>
      <c r="H44" s="11">
        <f t="shared" si="16"/>
        <v>172</v>
      </c>
      <c r="I44" s="10">
        <f t="shared" si="17"/>
        <v>19</v>
      </c>
      <c r="J44" s="10">
        <f t="shared" si="18"/>
        <v>7.3942800000000011</v>
      </c>
      <c r="K44" s="10">
        <f t="shared" si="19"/>
        <v>9.0526315789473681</v>
      </c>
      <c r="L44" s="10">
        <f t="shared" si="20"/>
        <v>1.2242749231767485</v>
      </c>
      <c r="M44" s="12">
        <f t="shared" si="21"/>
        <v>5.2631578947368425</v>
      </c>
      <c r="N44" s="13">
        <f t="shared" si="22"/>
        <v>0.58139534883720934</v>
      </c>
    </row>
    <row r="45" spans="1:14">
      <c r="A45" s="6">
        <v>44</v>
      </c>
      <c r="B45" s="7">
        <v>43883</v>
      </c>
      <c r="C45" s="8">
        <v>11514</v>
      </c>
      <c r="D45" s="9">
        <v>4.399</v>
      </c>
      <c r="E45" s="9">
        <v>140</v>
      </c>
      <c r="F45" s="9" t="s">
        <v>918</v>
      </c>
      <c r="G45" s="10">
        <f t="shared" si="8"/>
        <v>31.82541486701523</v>
      </c>
      <c r="H45" s="11">
        <f t="shared" si="16"/>
        <v>155</v>
      </c>
      <c r="I45" s="10">
        <f t="shared" si="17"/>
        <v>10</v>
      </c>
      <c r="J45" s="10">
        <f t="shared" si="18"/>
        <v>6.8184500000000003</v>
      </c>
      <c r="K45" s="10">
        <f t="shared" si="19"/>
        <v>15.5</v>
      </c>
      <c r="L45" s="10">
        <f t="shared" si="20"/>
        <v>2.2732439190725162</v>
      </c>
      <c r="M45" s="12">
        <f t="shared" si="21"/>
        <v>10</v>
      </c>
      <c r="N45" s="13">
        <f t="shared" si="22"/>
        <v>0.64516129032258063</v>
      </c>
    </row>
    <row r="46" spans="1:14">
      <c r="A46" s="6">
        <v>45</v>
      </c>
      <c r="B46" s="7">
        <v>43885</v>
      </c>
      <c r="C46" s="8">
        <v>11865</v>
      </c>
      <c r="D46" s="9">
        <v>4.3979999999999997</v>
      </c>
      <c r="E46" s="9">
        <v>181.31</v>
      </c>
      <c r="F46" s="9" t="s">
        <v>918</v>
      </c>
      <c r="G46" s="10">
        <f t="shared" si="8"/>
        <v>41.225557071396089</v>
      </c>
      <c r="H46" s="11">
        <f t="shared" si="16"/>
        <v>351</v>
      </c>
      <c r="I46" s="10">
        <f t="shared" si="17"/>
        <v>2</v>
      </c>
      <c r="J46" s="10">
        <f t="shared" si="18"/>
        <v>11.028921428571429</v>
      </c>
      <c r="K46" s="10">
        <f t="shared" si="19"/>
        <v>175.5</v>
      </c>
      <c r="L46" s="10">
        <f t="shared" si="20"/>
        <v>15.912707433507615</v>
      </c>
      <c r="M46" s="12">
        <f t="shared" si="21"/>
        <v>70</v>
      </c>
      <c r="N46" s="13">
        <f t="shared" si="22"/>
        <v>0.39886039886039887</v>
      </c>
    </row>
    <row r="47" spans="1:14">
      <c r="A47" s="6">
        <v>46</v>
      </c>
      <c r="B47" s="7">
        <v>43900</v>
      </c>
      <c r="C47" s="8">
        <v>12420</v>
      </c>
      <c r="D47" s="9">
        <v>4.399</v>
      </c>
      <c r="E47" s="9">
        <v>120</v>
      </c>
      <c r="F47" s="9" t="s">
        <v>918</v>
      </c>
      <c r="G47" s="10">
        <f t="shared" si="8"/>
        <v>27.278927028870196</v>
      </c>
      <c r="H47" s="11">
        <f t="shared" si="16"/>
        <v>555</v>
      </c>
      <c r="I47" s="10">
        <f t="shared" si="17"/>
        <v>15</v>
      </c>
      <c r="J47" s="10">
        <f t="shared" si="18"/>
        <v>13.462522751089294</v>
      </c>
      <c r="K47" s="10">
        <f t="shared" si="19"/>
        <v>37</v>
      </c>
      <c r="L47" s="10">
        <f t="shared" si="20"/>
        <v>2.7483704714264059</v>
      </c>
      <c r="M47" s="12">
        <f t="shared" si="21"/>
        <v>12.087333333333333</v>
      </c>
      <c r="N47" s="13">
        <f t="shared" si="22"/>
        <v>0.3266846846846847</v>
      </c>
    </row>
    <row r="48" spans="1:14">
      <c r="A48" s="6">
        <v>47</v>
      </c>
      <c r="B48" s="14">
        <v>43945</v>
      </c>
      <c r="C48" s="15">
        <v>12597</v>
      </c>
      <c r="D48" s="16">
        <v>3.9990000000000001</v>
      </c>
      <c r="E48" s="16">
        <v>120</v>
      </c>
      <c r="F48" s="9" t="s">
        <v>918</v>
      </c>
      <c r="G48" s="10">
        <f t="shared" si="8"/>
        <v>30.007501875468865</v>
      </c>
      <c r="H48" s="11">
        <f t="shared" ref="H48:H61" si="23">IF(C48="","",C48-C47)</f>
        <v>177</v>
      </c>
      <c r="I48" s="10">
        <f t="shared" ref="I48:I61" si="24">IF(B48="","",B48-B47)</f>
        <v>45</v>
      </c>
      <c r="J48" s="10">
        <f t="shared" ref="J48:J61" si="25">IF(H48="","",H48/G47)</f>
        <v>6.4885250000000001</v>
      </c>
      <c r="K48" s="10">
        <f t="shared" ref="K48:K61" si="26">IF(H48&lt;&gt;"",IF(I48&gt;0,H48/I48,H48),"" )</f>
        <v>3.9333333333333331</v>
      </c>
      <c r="L48" s="10">
        <f t="shared" ref="L48:L61" si="27">IF(I48="","",IF(I48=0,G48,G47/I48))</f>
        <v>0.60619837841933766</v>
      </c>
      <c r="M48" s="12">
        <f t="shared" ref="M48:M61" si="28">IF(I48="","",IF(I48=0,E47,E47/I48))</f>
        <v>2.6666666666666665</v>
      </c>
      <c r="N48" s="13">
        <f t="shared" ref="N48:N61" si="29">IF(H48="","",E47/H48)</f>
        <v>0.67796610169491522</v>
      </c>
    </row>
    <row r="49" spans="1:14">
      <c r="A49" s="6">
        <v>48</v>
      </c>
      <c r="B49" s="14">
        <v>44001</v>
      </c>
      <c r="C49" s="15">
        <v>12822</v>
      </c>
      <c r="D49" s="16">
        <v>3.899</v>
      </c>
      <c r="E49" s="16">
        <v>100</v>
      </c>
      <c r="F49" s="9" t="s">
        <v>918</v>
      </c>
      <c r="G49" s="10">
        <f t="shared" si="8"/>
        <v>25.647601949217748</v>
      </c>
      <c r="H49" s="11">
        <f t="shared" si="23"/>
        <v>225</v>
      </c>
      <c r="I49" s="10">
        <f t="shared" si="24"/>
        <v>56</v>
      </c>
      <c r="J49" s="10">
        <f t="shared" si="25"/>
        <v>7.4981250000000008</v>
      </c>
      <c r="K49" s="10">
        <f t="shared" si="26"/>
        <v>4.0178571428571432</v>
      </c>
      <c r="L49" s="10">
        <f t="shared" si="27"/>
        <v>0.53584824777622975</v>
      </c>
      <c r="M49" s="12">
        <f t="shared" si="28"/>
        <v>2.1428571428571428</v>
      </c>
      <c r="N49" s="13">
        <f t="shared" si="29"/>
        <v>0.53333333333333333</v>
      </c>
    </row>
    <row r="50" spans="1:14">
      <c r="A50" s="6">
        <v>49</v>
      </c>
      <c r="B50" s="14">
        <v>44040</v>
      </c>
      <c r="C50" s="15">
        <v>13016</v>
      </c>
      <c r="D50" s="16">
        <v>4.0990000000000002</v>
      </c>
      <c r="E50" s="16">
        <v>70</v>
      </c>
      <c r="F50" s="9" t="s">
        <v>918</v>
      </c>
      <c r="G50" s="10">
        <f t="shared" si="8"/>
        <v>17.077335935594046</v>
      </c>
      <c r="H50" s="11">
        <f t="shared" si="23"/>
        <v>194</v>
      </c>
      <c r="I50" s="10">
        <f t="shared" si="24"/>
        <v>39</v>
      </c>
      <c r="J50" s="10">
        <f t="shared" si="25"/>
        <v>7.5640600000000004</v>
      </c>
      <c r="K50" s="10">
        <f t="shared" si="26"/>
        <v>4.9743589743589745</v>
      </c>
      <c r="L50" s="10">
        <f t="shared" si="27"/>
        <v>0.65763081921071154</v>
      </c>
      <c r="M50" s="12">
        <f t="shared" si="28"/>
        <v>2.5641025641025643</v>
      </c>
      <c r="N50" s="13">
        <f t="shared" si="29"/>
        <v>0.51546391752577314</v>
      </c>
    </row>
    <row r="51" spans="1:14">
      <c r="A51" s="6">
        <v>50</v>
      </c>
      <c r="B51" s="14">
        <v>44061</v>
      </c>
      <c r="C51" s="15">
        <v>13130</v>
      </c>
      <c r="D51" s="16">
        <v>4.1989999999999998</v>
      </c>
      <c r="E51" s="16">
        <v>100</v>
      </c>
      <c r="F51" s="9" t="s">
        <v>918</v>
      </c>
      <c r="G51" s="10">
        <f t="shared" si="8"/>
        <v>23.815194093831867</v>
      </c>
      <c r="H51" s="11">
        <f t="shared" si="23"/>
        <v>114</v>
      </c>
      <c r="I51" s="10">
        <f t="shared" si="24"/>
        <v>21</v>
      </c>
      <c r="J51" s="10">
        <f t="shared" si="25"/>
        <v>6.6755142857142857</v>
      </c>
      <c r="K51" s="10">
        <f t="shared" si="26"/>
        <v>5.4285714285714288</v>
      </c>
      <c r="L51" s="10">
        <f t="shared" si="27"/>
        <v>0.81320647312352601</v>
      </c>
      <c r="M51" s="12">
        <f t="shared" si="28"/>
        <v>3.3333333333333335</v>
      </c>
      <c r="N51" s="13">
        <f t="shared" si="29"/>
        <v>0.61403508771929827</v>
      </c>
    </row>
    <row r="52" spans="1:14">
      <c r="A52" s="6">
        <v>51</v>
      </c>
      <c r="B52" s="14">
        <v>44092</v>
      </c>
      <c r="C52" s="15">
        <v>13288</v>
      </c>
      <c r="D52" s="16">
        <v>4.4489999999999998</v>
      </c>
      <c r="E52" s="16">
        <v>150</v>
      </c>
      <c r="F52" s="9" t="s">
        <v>918</v>
      </c>
      <c r="G52" s="10">
        <f t="shared" si="8"/>
        <v>33.715441672285905</v>
      </c>
      <c r="H52" s="11">
        <f t="shared" si="23"/>
        <v>158</v>
      </c>
      <c r="I52" s="10">
        <f t="shared" si="24"/>
        <v>31</v>
      </c>
      <c r="J52" s="10">
        <f t="shared" si="25"/>
        <v>6.6344199999999995</v>
      </c>
      <c r="K52" s="10">
        <f t="shared" si="26"/>
        <v>5.096774193548387</v>
      </c>
      <c r="L52" s="10">
        <f t="shared" si="27"/>
        <v>0.76823206754296347</v>
      </c>
      <c r="M52" s="12">
        <f t="shared" si="28"/>
        <v>3.225806451612903</v>
      </c>
      <c r="N52" s="13">
        <f t="shared" si="29"/>
        <v>0.63291139240506333</v>
      </c>
    </row>
    <row r="53" spans="1:14">
      <c r="A53" s="6">
        <v>52</v>
      </c>
      <c r="B53" s="14">
        <v>44094</v>
      </c>
      <c r="C53" s="15">
        <v>13640</v>
      </c>
      <c r="D53" s="16">
        <v>4.0990000000000002</v>
      </c>
      <c r="E53" s="16">
        <v>150</v>
      </c>
      <c r="F53" s="9" t="s">
        <v>918</v>
      </c>
      <c r="G53" s="10">
        <f t="shared" si="8"/>
        <v>36.594291290558672</v>
      </c>
      <c r="H53" s="11">
        <f t="shared" si="23"/>
        <v>352</v>
      </c>
      <c r="I53" s="10">
        <f t="shared" si="24"/>
        <v>2</v>
      </c>
      <c r="J53" s="10">
        <f t="shared" si="25"/>
        <v>10.44032</v>
      </c>
      <c r="K53" s="10">
        <f t="shared" si="26"/>
        <v>176</v>
      </c>
      <c r="L53" s="10">
        <f t="shared" si="27"/>
        <v>16.857720836142953</v>
      </c>
      <c r="M53" s="12">
        <f t="shared" si="28"/>
        <v>75</v>
      </c>
      <c r="N53" s="13">
        <f t="shared" si="29"/>
        <v>0.42613636363636365</v>
      </c>
    </row>
    <row r="54" spans="1:14">
      <c r="A54" s="6">
        <v>53</v>
      </c>
      <c r="B54" s="14">
        <v>44112</v>
      </c>
      <c r="C54" s="15">
        <v>14146</v>
      </c>
      <c r="D54" s="16">
        <v>4.0990000000000002</v>
      </c>
      <c r="E54" s="16">
        <v>200.03</v>
      </c>
      <c r="F54" s="9" t="s">
        <v>918</v>
      </c>
      <c r="G54" s="10">
        <f t="shared" si="8"/>
        <v>48.799707245669673</v>
      </c>
      <c r="H54" s="11">
        <f t="shared" si="23"/>
        <v>506</v>
      </c>
      <c r="I54" s="10">
        <f t="shared" si="24"/>
        <v>18</v>
      </c>
      <c r="J54" s="10">
        <f t="shared" si="25"/>
        <v>13.827293333333333</v>
      </c>
      <c r="K54" s="10">
        <f t="shared" si="26"/>
        <v>28.111111111111111</v>
      </c>
      <c r="L54" s="10">
        <f t="shared" si="27"/>
        <v>2.0330161828088151</v>
      </c>
      <c r="M54" s="12">
        <f t="shared" si="28"/>
        <v>8.3333333333333339</v>
      </c>
      <c r="N54" s="13">
        <f t="shared" si="29"/>
        <v>0.29644268774703558</v>
      </c>
    </row>
    <row r="55" spans="1:14">
      <c r="A55" s="6">
        <v>54</v>
      </c>
      <c r="B55" s="14">
        <v>44116</v>
      </c>
      <c r="C55" s="15">
        <v>14505</v>
      </c>
      <c r="D55" s="16">
        <v>4.298</v>
      </c>
      <c r="E55" s="16">
        <v>102.62</v>
      </c>
      <c r="F55" s="9" t="s">
        <v>918</v>
      </c>
      <c r="G55" s="10">
        <f t="shared" si="8"/>
        <v>23.876221498371336</v>
      </c>
      <c r="H55" s="11">
        <f t="shared" si="23"/>
        <v>359</v>
      </c>
      <c r="I55" s="10">
        <f t="shared" si="24"/>
        <v>4</v>
      </c>
      <c r="J55" s="10">
        <f t="shared" si="25"/>
        <v>7.356601509773534</v>
      </c>
      <c r="K55" s="10">
        <f t="shared" si="26"/>
        <v>89.75</v>
      </c>
      <c r="L55" s="10">
        <f t="shared" si="27"/>
        <v>12.199926811417418</v>
      </c>
      <c r="M55" s="12">
        <f t="shared" si="28"/>
        <v>50.0075</v>
      </c>
      <c r="N55" s="13">
        <f t="shared" si="29"/>
        <v>0.55718662952646236</v>
      </c>
    </row>
    <row r="56" spans="1:14">
      <c r="A56" s="6">
        <v>55</v>
      </c>
      <c r="B56" s="14">
        <v>44130</v>
      </c>
      <c r="C56" s="15">
        <v>15062</v>
      </c>
      <c r="D56" s="16">
        <v>4.0990000000000002</v>
      </c>
      <c r="E56" s="16">
        <v>100</v>
      </c>
      <c r="F56" s="9" t="s">
        <v>918</v>
      </c>
      <c r="G56" s="10">
        <f t="shared" si="8"/>
        <v>24.396194193705782</v>
      </c>
      <c r="H56" s="11">
        <f t="shared" si="23"/>
        <v>557</v>
      </c>
      <c r="I56" s="10">
        <f t="shared" si="24"/>
        <v>14</v>
      </c>
      <c r="J56" s="10">
        <f t="shared" si="25"/>
        <v>23.328649386084582</v>
      </c>
      <c r="K56" s="10">
        <f t="shared" si="26"/>
        <v>39.785714285714285</v>
      </c>
      <c r="L56" s="10">
        <f t="shared" si="27"/>
        <v>1.7054443927408098</v>
      </c>
      <c r="M56" s="12">
        <f t="shared" si="28"/>
        <v>7.33</v>
      </c>
      <c r="N56" s="13">
        <f t="shared" si="29"/>
        <v>0.18423698384201079</v>
      </c>
    </row>
    <row r="57" spans="1:14">
      <c r="A57" s="6">
        <v>56</v>
      </c>
      <c r="B57" s="14">
        <v>44142</v>
      </c>
      <c r="C57" s="15">
        <v>15284</v>
      </c>
      <c r="D57" s="16">
        <v>4.149</v>
      </c>
      <c r="E57" s="16">
        <v>70</v>
      </c>
      <c r="F57" s="9" t="s">
        <v>918</v>
      </c>
      <c r="G57" s="10">
        <f t="shared" si="8"/>
        <v>16.871535309713185</v>
      </c>
      <c r="H57" s="11">
        <f t="shared" si="23"/>
        <v>222</v>
      </c>
      <c r="I57" s="10">
        <f t="shared" si="24"/>
        <v>12</v>
      </c>
      <c r="J57" s="10">
        <f t="shared" si="25"/>
        <v>9.0997800000000009</v>
      </c>
      <c r="K57" s="10">
        <f t="shared" si="26"/>
        <v>18.5</v>
      </c>
      <c r="L57" s="10">
        <f t="shared" si="27"/>
        <v>2.0330161828088151</v>
      </c>
      <c r="M57" s="12">
        <f t="shared" si="28"/>
        <v>8.3333333333333339</v>
      </c>
      <c r="N57" s="13">
        <f t="shared" si="29"/>
        <v>0.45045045045045046</v>
      </c>
    </row>
    <row r="58" spans="1:14">
      <c r="A58" s="6">
        <v>57</v>
      </c>
      <c r="B58" s="14">
        <v>44150</v>
      </c>
      <c r="C58" s="15">
        <v>15430</v>
      </c>
      <c r="D58" s="16">
        <v>4.1989999999999998</v>
      </c>
      <c r="E58" s="16">
        <v>70</v>
      </c>
      <c r="F58" s="9" t="s">
        <v>918</v>
      </c>
      <c r="G58" s="10">
        <f t="shared" si="8"/>
        <v>16.670635865682307</v>
      </c>
      <c r="H58" s="11">
        <f t="shared" si="23"/>
        <v>146</v>
      </c>
      <c r="I58" s="10">
        <f t="shared" si="24"/>
        <v>8</v>
      </c>
      <c r="J58" s="10">
        <f t="shared" si="25"/>
        <v>8.6536285714285714</v>
      </c>
      <c r="K58" s="10">
        <f t="shared" si="26"/>
        <v>18.25</v>
      </c>
      <c r="L58" s="10">
        <f t="shared" si="27"/>
        <v>2.1089419137141481</v>
      </c>
      <c r="M58" s="12">
        <f t="shared" si="28"/>
        <v>8.75</v>
      </c>
      <c r="N58" s="13">
        <f t="shared" si="29"/>
        <v>0.47945205479452052</v>
      </c>
    </row>
    <row r="59" spans="1:14">
      <c r="A59" s="6">
        <v>58</v>
      </c>
      <c r="B59" s="14">
        <v>44159</v>
      </c>
      <c r="C59" s="15">
        <v>15493</v>
      </c>
      <c r="D59" s="16">
        <v>4.0990000000000002</v>
      </c>
      <c r="E59" s="16">
        <v>190</v>
      </c>
      <c r="F59" s="9" t="s">
        <v>918</v>
      </c>
      <c r="G59" s="10">
        <f t="shared" si="8"/>
        <v>46.352768968040984</v>
      </c>
      <c r="H59" s="11">
        <f t="shared" si="23"/>
        <v>63</v>
      </c>
      <c r="I59" s="10">
        <f t="shared" si="24"/>
        <v>9</v>
      </c>
      <c r="J59" s="10">
        <f t="shared" si="25"/>
        <v>3.7790999999999997</v>
      </c>
      <c r="K59" s="10">
        <f t="shared" si="26"/>
        <v>7</v>
      </c>
      <c r="L59" s="10">
        <f t="shared" si="27"/>
        <v>1.8522928739647009</v>
      </c>
      <c r="M59" s="12">
        <f t="shared" si="28"/>
        <v>7.7777777777777777</v>
      </c>
      <c r="N59" s="13">
        <f t="shared" si="29"/>
        <v>1.1111111111111112</v>
      </c>
    </row>
    <row r="60" spans="1:14">
      <c r="A60" s="6">
        <v>59</v>
      </c>
      <c r="B60" s="14">
        <v>44165</v>
      </c>
      <c r="C60" s="15">
        <v>15894</v>
      </c>
      <c r="D60" s="16">
        <v>4.298</v>
      </c>
      <c r="E60" s="16">
        <v>130.54</v>
      </c>
      <c r="F60" s="9" t="s">
        <v>918</v>
      </c>
      <c r="G60" s="10">
        <f t="shared" si="8"/>
        <v>30.372266170311772</v>
      </c>
      <c r="H60" s="11">
        <f t="shared" si="23"/>
        <v>401</v>
      </c>
      <c r="I60" s="10">
        <f t="shared" si="24"/>
        <v>6</v>
      </c>
      <c r="J60" s="10">
        <f t="shared" si="25"/>
        <v>8.6510473684210538</v>
      </c>
      <c r="K60" s="10">
        <f t="shared" si="26"/>
        <v>66.833333333333329</v>
      </c>
      <c r="L60" s="10">
        <f t="shared" si="27"/>
        <v>7.725461494673497</v>
      </c>
      <c r="M60" s="12">
        <f t="shared" si="28"/>
        <v>31.666666666666668</v>
      </c>
      <c r="N60" s="13">
        <f t="shared" si="29"/>
        <v>0.47381546134663344</v>
      </c>
    </row>
    <row r="61" spans="1:14">
      <c r="A61" s="6">
        <v>60</v>
      </c>
      <c r="B61" s="14">
        <v>44188</v>
      </c>
      <c r="C61" s="15">
        <v>16425</v>
      </c>
      <c r="D61" s="16">
        <v>4.1989999999999998</v>
      </c>
      <c r="E61" s="16">
        <v>207.44</v>
      </c>
      <c r="F61" s="9" t="s">
        <v>918</v>
      </c>
      <c r="G61" s="10">
        <f t="shared" si="8"/>
        <v>49.402238628244824</v>
      </c>
      <c r="H61" s="11">
        <f t="shared" si="23"/>
        <v>531</v>
      </c>
      <c r="I61" s="10">
        <f t="shared" si="24"/>
        <v>23</v>
      </c>
      <c r="J61" s="10">
        <f t="shared" si="25"/>
        <v>17.483055002298148</v>
      </c>
      <c r="K61" s="10">
        <f t="shared" si="26"/>
        <v>23.086956521739129</v>
      </c>
      <c r="L61" s="10">
        <f t="shared" si="27"/>
        <v>1.3205333117526856</v>
      </c>
      <c r="M61" s="12">
        <f t="shared" si="28"/>
        <v>5.6756521739130434</v>
      </c>
      <c r="N61" s="13">
        <f t="shared" si="29"/>
        <v>0.24583804143126176</v>
      </c>
    </row>
    <row r="62" spans="1:14">
      <c r="A62" s="6">
        <v>61</v>
      </c>
      <c r="B62" s="14">
        <v>44202</v>
      </c>
      <c r="C62" s="15">
        <v>16830</v>
      </c>
      <c r="D62" s="16">
        <v>4.3979999999999997</v>
      </c>
      <c r="E62" s="16">
        <v>138.19999999999999</v>
      </c>
      <c r="F62" s="9" t="s">
        <v>918</v>
      </c>
      <c r="G62" s="10">
        <f t="shared" ref="G62:G79" si="30">IF(E62&lt;&gt;"",E62/D62,"")</f>
        <v>31.423374261027739</v>
      </c>
      <c r="H62" s="11">
        <f t="shared" ref="H62:H79" si="31">IF(C62="","",C62-C61)</f>
        <v>405</v>
      </c>
      <c r="I62" s="10">
        <f t="shared" ref="I62:I79" si="32">IF(B62="","",B62-B61)</f>
        <v>14</v>
      </c>
      <c r="J62" s="10">
        <f t="shared" ref="J62:J79" si="33">IF(H62="","",H62/G61)</f>
        <v>8.1980090628615496</v>
      </c>
      <c r="K62" s="10">
        <f t="shared" ref="K62:K79" si="34">IF(H62&lt;&gt;"",IF(I62&gt;0,H62/I62,H62),"" )</f>
        <v>28.928571428571427</v>
      </c>
      <c r="L62" s="10">
        <f t="shared" ref="L62:L79" si="35">IF(I62="","",IF(I62=0,G62,G61/I62))</f>
        <v>3.5287313305889159</v>
      </c>
      <c r="M62" s="12">
        <f t="shared" ref="M62:M79" si="36">IF(I62="","",IF(I62=0,E61,E61/I62))</f>
        <v>14.817142857142857</v>
      </c>
      <c r="N62" s="13">
        <f t="shared" ref="N62:N79" si="37">IF(H62="","",E61/H62)</f>
        <v>0.5121975308641975</v>
      </c>
    </row>
    <row r="63" spans="1:14">
      <c r="A63" s="6">
        <v>62</v>
      </c>
      <c r="B63" s="14">
        <v>44240</v>
      </c>
      <c r="C63" s="15">
        <v>17387</v>
      </c>
      <c r="D63" s="16">
        <v>4.6989999999999998</v>
      </c>
      <c r="E63" s="16">
        <v>50</v>
      </c>
      <c r="F63" s="9" t="s">
        <v>918</v>
      </c>
      <c r="G63" s="10">
        <f t="shared" si="30"/>
        <v>10.640561821664184</v>
      </c>
      <c r="H63" s="11">
        <f t="shared" si="31"/>
        <v>557</v>
      </c>
      <c r="I63" s="10">
        <f t="shared" si="32"/>
        <v>38</v>
      </c>
      <c r="J63" s="10">
        <f t="shared" si="33"/>
        <v>17.725658465991316</v>
      </c>
      <c r="K63" s="10">
        <f t="shared" si="34"/>
        <v>14.657894736842104</v>
      </c>
      <c r="L63" s="10">
        <f t="shared" si="35"/>
        <v>0.82693090160599314</v>
      </c>
      <c r="M63" s="12">
        <f t="shared" si="36"/>
        <v>3.6368421052631574</v>
      </c>
      <c r="N63" s="13">
        <f t="shared" si="37"/>
        <v>0.24811490125673247</v>
      </c>
    </row>
    <row r="64" spans="1:14">
      <c r="A64" s="6">
        <v>63</v>
      </c>
      <c r="B64" s="14">
        <v>44251</v>
      </c>
      <c r="C64" s="15">
        <v>17464</v>
      </c>
      <c r="D64" s="16">
        <v>4.99</v>
      </c>
      <c r="E64" s="16">
        <v>50</v>
      </c>
      <c r="F64" s="9" t="s">
        <v>918</v>
      </c>
      <c r="G64" s="10">
        <f t="shared" si="30"/>
        <v>10.020040080160321</v>
      </c>
      <c r="H64" s="11">
        <f t="shared" si="31"/>
        <v>77</v>
      </c>
      <c r="I64" s="10">
        <f t="shared" si="32"/>
        <v>11</v>
      </c>
      <c r="J64" s="10">
        <f t="shared" si="33"/>
        <v>7.2364600000000001</v>
      </c>
      <c r="K64" s="10">
        <f t="shared" si="34"/>
        <v>7</v>
      </c>
      <c r="L64" s="10">
        <f t="shared" si="35"/>
        <v>0.96732380196947121</v>
      </c>
      <c r="M64" s="12">
        <f t="shared" si="36"/>
        <v>4.5454545454545459</v>
      </c>
      <c r="N64" s="13">
        <f t="shared" si="37"/>
        <v>0.64935064935064934</v>
      </c>
    </row>
    <row r="65" spans="1:14">
      <c r="A65" s="6">
        <v>64</v>
      </c>
      <c r="B65" s="14">
        <v>44269</v>
      </c>
      <c r="C65" s="15">
        <v>17523</v>
      </c>
      <c r="D65" s="16">
        <v>5.399</v>
      </c>
      <c r="E65" s="16">
        <v>70</v>
      </c>
      <c r="F65" s="9" t="s">
        <v>918</v>
      </c>
      <c r="G65" s="10">
        <f t="shared" si="30"/>
        <v>12.965363956288201</v>
      </c>
      <c r="H65" s="11">
        <f t="shared" si="31"/>
        <v>59</v>
      </c>
      <c r="I65" s="10">
        <f t="shared" si="32"/>
        <v>18</v>
      </c>
      <c r="J65" s="10">
        <f t="shared" si="33"/>
        <v>5.8881999999999994</v>
      </c>
      <c r="K65" s="10">
        <f t="shared" si="34"/>
        <v>3.2777777777777777</v>
      </c>
      <c r="L65" s="10">
        <f t="shared" si="35"/>
        <v>0.55666889334224001</v>
      </c>
      <c r="M65" s="12">
        <f t="shared" si="36"/>
        <v>2.7777777777777777</v>
      </c>
      <c r="N65" s="13">
        <f t="shared" si="37"/>
        <v>0.84745762711864403</v>
      </c>
    </row>
    <row r="66" spans="1:14">
      <c r="A66" s="6">
        <v>65</v>
      </c>
      <c r="B66" s="14">
        <v>44310</v>
      </c>
      <c r="C66" s="15">
        <v>17613</v>
      </c>
      <c r="D66" s="16">
        <v>5.399</v>
      </c>
      <c r="E66" s="16">
        <v>100</v>
      </c>
      <c r="F66" s="9" t="s">
        <v>918</v>
      </c>
      <c r="G66" s="10">
        <f t="shared" si="30"/>
        <v>18.521948508983144</v>
      </c>
      <c r="H66" s="11">
        <f t="shared" si="31"/>
        <v>90</v>
      </c>
      <c r="I66" s="10">
        <f t="shared" si="32"/>
        <v>41</v>
      </c>
      <c r="J66" s="10">
        <f t="shared" si="33"/>
        <v>6.9415714285714287</v>
      </c>
      <c r="K66" s="10">
        <f t="shared" si="34"/>
        <v>2.1951219512195124</v>
      </c>
      <c r="L66" s="10">
        <f t="shared" si="35"/>
        <v>0.31622838917776097</v>
      </c>
      <c r="M66" s="12">
        <f t="shared" si="36"/>
        <v>1.7073170731707317</v>
      </c>
      <c r="N66" s="13">
        <f t="shared" si="37"/>
        <v>0.77777777777777779</v>
      </c>
    </row>
    <row r="67" spans="1:14">
      <c r="A67" s="6">
        <v>66</v>
      </c>
      <c r="B67" s="14">
        <v>44338</v>
      </c>
      <c r="C67" s="15">
        <v>17748</v>
      </c>
      <c r="D67" s="16">
        <v>5.4989999999999997</v>
      </c>
      <c r="E67" s="16">
        <v>150</v>
      </c>
      <c r="F67" s="9" t="s">
        <v>918</v>
      </c>
      <c r="G67" s="10">
        <f t="shared" si="30"/>
        <v>27.27768685215494</v>
      </c>
      <c r="H67" s="11">
        <f t="shared" si="31"/>
        <v>135</v>
      </c>
      <c r="I67" s="10">
        <f t="shared" si="32"/>
        <v>28</v>
      </c>
      <c r="J67" s="10">
        <f t="shared" si="33"/>
        <v>7.2886500000000005</v>
      </c>
      <c r="K67" s="10">
        <f t="shared" si="34"/>
        <v>4.8214285714285712</v>
      </c>
      <c r="L67" s="10">
        <f t="shared" si="35"/>
        <v>0.66149816103511228</v>
      </c>
      <c r="M67" s="12">
        <f t="shared" si="36"/>
        <v>3.5714285714285716</v>
      </c>
      <c r="N67" s="13">
        <f t="shared" si="37"/>
        <v>0.7407407407407407</v>
      </c>
    </row>
    <row r="68" spans="1:14">
      <c r="A68" s="6">
        <v>67</v>
      </c>
      <c r="B68" s="14">
        <v>44353</v>
      </c>
      <c r="C68" s="15">
        <v>17971</v>
      </c>
      <c r="D68" s="16">
        <v>5.4989999999999997</v>
      </c>
      <c r="E68" s="16">
        <v>100</v>
      </c>
      <c r="F68" s="9" t="s">
        <v>918</v>
      </c>
      <c r="G68" s="10">
        <f t="shared" si="30"/>
        <v>18.185124568103294</v>
      </c>
      <c r="H68" s="11">
        <f t="shared" si="31"/>
        <v>223</v>
      </c>
      <c r="I68" s="10">
        <f t="shared" si="32"/>
        <v>15</v>
      </c>
      <c r="J68" s="10">
        <f t="shared" si="33"/>
        <v>8.1751799999999992</v>
      </c>
      <c r="K68" s="10">
        <f t="shared" si="34"/>
        <v>14.866666666666667</v>
      </c>
      <c r="L68" s="10">
        <f t="shared" si="35"/>
        <v>1.8185124568103292</v>
      </c>
      <c r="M68" s="12">
        <f t="shared" si="36"/>
        <v>10</v>
      </c>
      <c r="N68" s="13">
        <f t="shared" si="37"/>
        <v>0.67264573991031396</v>
      </c>
    </row>
    <row r="69" spans="1:14">
      <c r="A69" s="6">
        <v>68</v>
      </c>
      <c r="B69" s="14">
        <v>44387</v>
      </c>
      <c r="C69" s="15">
        <v>18103</v>
      </c>
      <c r="D69" s="16">
        <v>5.5990000000000002</v>
      </c>
      <c r="E69" s="16">
        <v>150</v>
      </c>
      <c r="F69" s="9" t="s">
        <v>918</v>
      </c>
      <c r="G69" s="10">
        <f t="shared" si="30"/>
        <v>26.790498303268439</v>
      </c>
      <c r="H69" s="11">
        <f t="shared" si="31"/>
        <v>132</v>
      </c>
      <c r="I69" s="10">
        <f t="shared" si="32"/>
        <v>34</v>
      </c>
      <c r="J69" s="10">
        <f t="shared" si="33"/>
        <v>7.2586799999999991</v>
      </c>
      <c r="K69" s="10">
        <f t="shared" si="34"/>
        <v>3.8823529411764706</v>
      </c>
      <c r="L69" s="10">
        <f t="shared" si="35"/>
        <v>0.5348566049442145</v>
      </c>
      <c r="M69" s="12">
        <f t="shared" si="36"/>
        <v>2.9411764705882355</v>
      </c>
      <c r="N69" s="13">
        <f t="shared" si="37"/>
        <v>0.75757575757575757</v>
      </c>
    </row>
    <row r="70" spans="1:14">
      <c r="A70" s="6">
        <v>69</v>
      </c>
      <c r="B70" s="14">
        <v>44430</v>
      </c>
      <c r="C70" s="15">
        <v>18325</v>
      </c>
      <c r="D70" s="16">
        <v>5.7990000000000004</v>
      </c>
      <c r="E70" s="16">
        <v>100</v>
      </c>
      <c r="F70" s="9" t="s">
        <v>918</v>
      </c>
      <c r="G70" s="10">
        <f t="shared" si="30"/>
        <v>17.244352474564579</v>
      </c>
      <c r="H70" s="11">
        <f t="shared" si="31"/>
        <v>222</v>
      </c>
      <c r="I70" s="10">
        <f t="shared" si="32"/>
        <v>43</v>
      </c>
      <c r="J70" s="10">
        <f t="shared" si="33"/>
        <v>8.2865200000000012</v>
      </c>
      <c r="K70" s="10">
        <f t="shared" si="34"/>
        <v>5.1627906976744189</v>
      </c>
      <c r="L70" s="10">
        <f t="shared" si="35"/>
        <v>0.62303484426205669</v>
      </c>
      <c r="M70" s="12">
        <f t="shared" si="36"/>
        <v>3.4883720930232558</v>
      </c>
      <c r="N70" s="13">
        <f t="shared" si="37"/>
        <v>0.67567567567567566</v>
      </c>
    </row>
    <row r="71" spans="1:14">
      <c r="A71" s="6">
        <v>70</v>
      </c>
      <c r="B71" s="14">
        <v>44437</v>
      </c>
      <c r="C71" s="15">
        <v>18432</v>
      </c>
      <c r="D71" s="16">
        <v>5.99</v>
      </c>
      <c r="E71" s="16">
        <v>100</v>
      </c>
      <c r="F71" s="9" t="s">
        <v>918</v>
      </c>
      <c r="G71" s="10">
        <f t="shared" si="30"/>
        <v>16.694490818030051</v>
      </c>
      <c r="H71" s="11">
        <f t="shared" si="31"/>
        <v>107</v>
      </c>
      <c r="I71" s="10">
        <f t="shared" si="32"/>
        <v>7</v>
      </c>
      <c r="J71" s="10">
        <f t="shared" si="33"/>
        <v>6.2049300000000001</v>
      </c>
      <c r="K71" s="10">
        <f t="shared" si="34"/>
        <v>15.285714285714286</v>
      </c>
      <c r="L71" s="10">
        <f t="shared" si="35"/>
        <v>2.4634789249377969</v>
      </c>
      <c r="M71" s="12">
        <f t="shared" si="36"/>
        <v>14.285714285714286</v>
      </c>
      <c r="N71" s="13">
        <f t="shared" si="37"/>
        <v>0.93457943925233644</v>
      </c>
    </row>
    <row r="72" spans="1:14">
      <c r="A72" s="6">
        <v>71</v>
      </c>
      <c r="B72" s="14">
        <v>44449</v>
      </c>
      <c r="C72" s="15">
        <v>18590</v>
      </c>
      <c r="D72" s="16">
        <v>5.6989999999999998</v>
      </c>
      <c r="E72" s="16">
        <v>150</v>
      </c>
      <c r="F72" s="9" t="s">
        <v>918</v>
      </c>
      <c r="G72" s="10">
        <f t="shared" si="30"/>
        <v>26.320407088962977</v>
      </c>
      <c r="H72" s="11">
        <f t="shared" si="31"/>
        <v>158</v>
      </c>
      <c r="I72" s="10">
        <f t="shared" si="32"/>
        <v>12</v>
      </c>
      <c r="J72" s="10">
        <f t="shared" si="33"/>
        <v>9.4641999999999999</v>
      </c>
      <c r="K72" s="10">
        <f t="shared" si="34"/>
        <v>13.166666666666666</v>
      </c>
      <c r="L72" s="10">
        <f t="shared" si="35"/>
        <v>1.3912075681691709</v>
      </c>
      <c r="M72" s="12">
        <f t="shared" si="36"/>
        <v>8.3333333333333339</v>
      </c>
      <c r="N72" s="13">
        <f t="shared" si="37"/>
        <v>0.63291139240506333</v>
      </c>
    </row>
    <row r="73" spans="1:14">
      <c r="A73" s="6">
        <v>72</v>
      </c>
      <c r="B73" s="14">
        <v>44474</v>
      </c>
      <c r="C73" s="15">
        <v>18821</v>
      </c>
      <c r="D73" s="16">
        <v>5.899</v>
      </c>
      <c r="E73" s="16">
        <v>150</v>
      </c>
      <c r="F73" s="9" t="s">
        <v>918</v>
      </c>
      <c r="G73" s="10">
        <f t="shared" si="30"/>
        <v>25.428038650618749</v>
      </c>
      <c r="H73" s="11">
        <f t="shared" si="31"/>
        <v>231</v>
      </c>
      <c r="I73" s="10">
        <f t="shared" si="32"/>
        <v>25</v>
      </c>
      <c r="J73" s="10">
        <f t="shared" si="33"/>
        <v>8.7764600000000002</v>
      </c>
      <c r="K73" s="10">
        <f t="shared" si="34"/>
        <v>9.24</v>
      </c>
      <c r="L73" s="10">
        <f t="shared" si="35"/>
        <v>1.0528162835585191</v>
      </c>
      <c r="M73" s="12">
        <f t="shared" si="36"/>
        <v>6</v>
      </c>
      <c r="N73" s="13">
        <f t="shared" si="37"/>
        <v>0.64935064935064934</v>
      </c>
    </row>
    <row r="74" spans="1:14">
      <c r="A74" s="6">
        <v>73</v>
      </c>
      <c r="B74" s="14">
        <v>44488</v>
      </c>
      <c r="C74" s="15">
        <v>18988</v>
      </c>
      <c r="D74" s="16">
        <v>5.99</v>
      </c>
      <c r="E74" s="16">
        <v>100</v>
      </c>
      <c r="F74" s="9" t="s">
        <v>918</v>
      </c>
      <c r="G74" s="10">
        <f t="shared" si="30"/>
        <v>16.694490818030051</v>
      </c>
      <c r="H74" s="11">
        <f t="shared" si="31"/>
        <v>167</v>
      </c>
      <c r="I74" s="10">
        <f t="shared" si="32"/>
        <v>14</v>
      </c>
      <c r="J74" s="10">
        <f t="shared" si="33"/>
        <v>6.5675533333333336</v>
      </c>
      <c r="K74" s="10">
        <f t="shared" si="34"/>
        <v>11.928571428571429</v>
      </c>
      <c r="L74" s="10">
        <f t="shared" si="35"/>
        <v>1.8162884750441963</v>
      </c>
      <c r="M74" s="12">
        <f t="shared" si="36"/>
        <v>10.714285714285714</v>
      </c>
      <c r="N74" s="13">
        <f t="shared" si="37"/>
        <v>0.89820359281437123</v>
      </c>
    </row>
    <row r="75" spans="1:14">
      <c r="A75" s="6">
        <v>74</v>
      </c>
      <c r="B75" s="14">
        <v>44500</v>
      </c>
      <c r="C75" s="15">
        <v>19148</v>
      </c>
      <c r="D75" s="16">
        <v>6.2990000000000004</v>
      </c>
      <c r="E75" s="16">
        <v>100</v>
      </c>
      <c r="F75" s="9" t="s">
        <v>918</v>
      </c>
      <c r="G75" s="10">
        <f t="shared" si="30"/>
        <v>15.875535799333226</v>
      </c>
      <c r="H75" s="11">
        <f t="shared" si="31"/>
        <v>160</v>
      </c>
      <c r="I75" s="10">
        <f t="shared" si="32"/>
        <v>12</v>
      </c>
      <c r="J75" s="10">
        <f t="shared" si="33"/>
        <v>9.5839999999999996</v>
      </c>
      <c r="K75" s="10">
        <f t="shared" si="34"/>
        <v>13.333333333333334</v>
      </c>
      <c r="L75" s="10">
        <f t="shared" si="35"/>
        <v>1.3912075681691709</v>
      </c>
      <c r="M75" s="12">
        <f t="shared" si="36"/>
        <v>8.3333333333333339</v>
      </c>
      <c r="N75" s="13">
        <f t="shared" si="37"/>
        <v>0.625</v>
      </c>
    </row>
    <row r="76" spans="1:14">
      <c r="A76" s="6">
        <v>75</v>
      </c>
      <c r="B76" s="14">
        <v>44512</v>
      </c>
      <c r="C76" s="15">
        <v>19271</v>
      </c>
      <c r="D76" s="16">
        <v>6.399</v>
      </c>
      <c r="E76" s="16">
        <v>341.77</v>
      </c>
      <c r="F76" s="9" t="s">
        <v>918</v>
      </c>
      <c r="G76" s="10">
        <f t="shared" si="30"/>
        <v>53.40990779809345</v>
      </c>
      <c r="H76" s="11">
        <f t="shared" si="31"/>
        <v>123</v>
      </c>
      <c r="I76" s="10">
        <f t="shared" si="32"/>
        <v>12</v>
      </c>
      <c r="J76" s="10">
        <f t="shared" si="33"/>
        <v>7.7477700000000009</v>
      </c>
      <c r="K76" s="10">
        <f t="shared" si="34"/>
        <v>10.25</v>
      </c>
      <c r="L76" s="10">
        <f t="shared" si="35"/>
        <v>1.3229613166111023</v>
      </c>
      <c r="M76" s="12">
        <f t="shared" si="36"/>
        <v>8.3333333333333339</v>
      </c>
      <c r="N76" s="13">
        <f t="shared" si="37"/>
        <v>0.81300813008130079</v>
      </c>
    </row>
    <row r="77" spans="1:14">
      <c r="A77" s="6">
        <v>76</v>
      </c>
      <c r="B77" s="14">
        <v>44515</v>
      </c>
      <c r="C77" s="15">
        <v>19623</v>
      </c>
      <c r="D77" s="16">
        <v>6.4989999999999997</v>
      </c>
      <c r="E77" s="16">
        <v>136.80000000000001</v>
      </c>
      <c r="F77" s="9" t="s">
        <v>918</v>
      </c>
      <c r="G77" s="10">
        <f t="shared" si="30"/>
        <v>21.049392214186799</v>
      </c>
      <c r="H77" s="11">
        <f t="shared" si="31"/>
        <v>352</v>
      </c>
      <c r="I77" s="10">
        <f t="shared" si="32"/>
        <v>3</v>
      </c>
      <c r="J77" s="10">
        <f t="shared" si="33"/>
        <v>6.590537495976827</v>
      </c>
      <c r="K77" s="10">
        <f t="shared" si="34"/>
        <v>117.33333333333333</v>
      </c>
      <c r="L77" s="10">
        <f t="shared" si="35"/>
        <v>17.803302599364482</v>
      </c>
      <c r="M77" s="12">
        <f t="shared" si="36"/>
        <v>113.92333333333333</v>
      </c>
      <c r="N77" s="13">
        <f t="shared" si="37"/>
        <v>0.9709374999999999</v>
      </c>
    </row>
    <row r="78" spans="1:14">
      <c r="A78" s="6">
        <v>77</v>
      </c>
      <c r="B78" s="14">
        <v>44541</v>
      </c>
      <c r="C78" s="15">
        <v>20201</v>
      </c>
      <c r="D78" s="16">
        <v>5.1989999999999998</v>
      </c>
      <c r="E78" s="16">
        <v>278.2</v>
      </c>
      <c r="F78" s="9" t="s">
        <v>919</v>
      </c>
      <c r="G78" s="10">
        <f t="shared" si="30"/>
        <v>53.510290440469319</v>
      </c>
      <c r="H78" s="11">
        <f t="shared" si="31"/>
        <v>578</v>
      </c>
      <c r="I78" s="10">
        <f t="shared" si="32"/>
        <v>26</v>
      </c>
      <c r="J78" s="10">
        <f t="shared" si="33"/>
        <v>27.459225146198829</v>
      </c>
      <c r="K78" s="10">
        <f t="shared" si="34"/>
        <v>22.23076923076923</v>
      </c>
      <c r="L78" s="10">
        <f t="shared" si="35"/>
        <v>0.80959200823795385</v>
      </c>
      <c r="M78" s="12">
        <f t="shared" si="36"/>
        <v>5.2615384615384624</v>
      </c>
      <c r="N78" s="13">
        <f t="shared" si="37"/>
        <v>0.23667820069204154</v>
      </c>
    </row>
    <row r="79" spans="1:14">
      <c r="A79" s="6">
        <v>78</v>
      </c>
      <c r="B79" s="14">
        <v>44548</v>
      </c>
      <c r="C79" s="15">
        <v>20826</v>
      </c>
      <c r="D79" s="16">
        <v>6.399</v>
      </c>
      <c r="E79" s="16">
        <v>70</v>
      </c>
      <c r="F79" s="9" t="s">
        <v>918</v>
      </c>
      <c r="G79" s="10">
        <f t="shared" si="30"/>
        <v>10.939209251445538</v>
      </c>
      <c r="H79" s="11">
        <f t="shared" si="31"/>
        <v>625</v>
      </c>
      <c r="I79" s="10">
        <f t="shared" si="32"/>
        <v>7</v>
      </c>
      <c r="J79" s="10">
        <f t="shared" si="33"/>
        <v>11.679996405463696</v>
      </c>
      <c r="K79" s="10">
        <f t="shared" si="34"/>
        <v>89.285714285714292</v>
      </c>
      <c r="L79" s="10">
        <f t="shared" si="35"/>
        <v>7.6443272057813312</v>
      </c>
      <c r="M79" s="12">
        <f t="shared" si="36"/>
        <v>39.74285714285714</v>
      </c>
      <c r="N79" s="13">
        <f t="shared" si="37"/>
        <v>0.44511999999999996</v>
      </c>
    </row>
    <row r="80" spans="1:14">
      <c r="A80" s="6">
        <v>79</v>
      </c>
      <c r="B80" s="14">
        <v>44556</v>
      </c>
      <c r="C80" s="15">
        <v>20871</v>
      </c>
      <c r="D80" s="16">
        <v>4.7990000000000004</v>
      </c>
      <c r="E80" s="16">
        <v>224.93</v>
      </c>
      <c r="F80" s="9" t="s">
        <v>919</v>
      </c>
      <c r="G80" s="10">
        <f t="shared" ref="G80:G103" si="38">IF(E80&lt;&gt;"",E80/D80,"")</f>
        <v>46.870181287768283</v>
      </c>
      <c r="H80" s="11">
        <f t="shared" ref="H80:H103" si="39">IF(C80="","",C80-C79)</f>
        <v>45</v>
      </c>
      <c r="I80" s="10">
        <f t="shared" ref="I80:I103" si="40">IF(B80="","",B80-B79)</f>
        <v>8</v>
      </c>
      <c r="J80" s="10">
        <f t="shared" ref="J80:J103" si="41">IF(H80="","",H80/G79)</f>
        <v>4.1136428571428576</v>
      </c>
      <c r="K80" s="10">
        <f t="shared" ref="K80:K103" si="42">IF(H80&lt;&gt;"",IF(I80&gt;0,H80/I80,H80),"" )</f>
        <v>5.625</v>
      </c>
      <c r="L80" s="10">
        <f t="shared" ref="L80:L103" si="43">IF(I80="","",IF(I80=0,G80,G79/I80))</f>
        <v>1.3674011564306923</v>
      </c>
      <c r="M80" s="12">
        <f t="shared" ref="M80:M103" si="44">IF(I80="","",IF(I80=0,E79,E79/I80))</f>
        <v>8.75</v>
      </c>
      <c r="N80" s="13">
        <f t="shared" ref="N80:N103" si="45">IF(H80="","",E79/H80)</f>
        <v>1.5555555555555556</v>
      </c>
    </row>
    <row r="81" spans="1:14">
      <c r="A81" s="6">
        <v>80</v>
      </c>
      <c r="B81" s="14">
        <v>44563</v>
      </c>
      <c r="C81" s="15">
        <v>21283</v>
      </c>
      <c r="D81" s="16">
        <v>6.3789999999999996</v>
      </c>
      <c r="E81" s="16">
        <v>299.49</v>
      </c>
      <c r="F81" s="9" t="s">
        <v>918</v>
      </c>
      <c r="G81" s="10">
        <f t="shared" si="38"/>
        <v>46.949365104248322</v>
      </c>
      <c r="H81" s="11">
        <f t="shared" si="39"/>
        <v>412</v>
      </c>
      <c r="I81" s="10">
        <f t="shared" si="40"/>
        <v>7</v>
      </c>
      <c r="J81" s="10">
        <f t="shared" si="41"/>
        <v>8.7902369626105905</v>
      </c>
      <c r="K81" s="10">
        <f t="shared" si="42"/>
        <v>58.857142857142854</v>
      </c>
      <c r="L81" s="10">
        <f t="shared" si="43"/>
        <v>6.6957401839668975</v>
      </c>
      <c r="M81" s="12">
        <f t="shared" si="44"/>
        <v>32.132857142857141</v>
      </c>
      <c r="N81" s="13">
        <f t="shared" si="45"/>
        <v>0.5459466019417476</v>
      </c>
    </row>
    <row r="82" spans="1:14">
      <c r="A82" s="6">
        <v>81</v>
      </c>
      <c r="B82" s="14">
        <v>44604</v>
      </c>
      <c r="C82" s="15">
        <v>21800</v>
      </c>
      <c r="D82" s="16">
        <v>6.0990000000000002</v>
      </c>
      <c r="E82" s="16">
        <v>100</v>
      </c>
      <c r="F82" s="9" t="s">
        <v>918</v>
      </c>
      <c r="G82" s="10">
        <f t="shared" si="38"/>
        <v>16.396130513198884</v>
      </c>
      <c r="H82" s="11">
        <f t="shared" si="39"/>
        <v>517</v>
      </c>
      <c r="I82" s="10">
        <f t="shared" si="40"/>
        <v>41</v>
      </c>
      <c r="J82" s="10">
        <f t="shared" si="41"/>
        <v>11.011863501285516</v>
      </c>
      <c r="K82" s="10">
        <f t="shared" si="42"/>
        <v>12.609756097560975</v>
      </c>
      <c r="L82" s="10">
        <f t="shared" si="43"/>
        <v>1.1451064659572761</v>
      </c>
      <c r="M82" s="12">
        <f t="shared" si="44"/>
        <v>7.3046341463414635</v>
      </c>
      <c r="N82" s="13">
        <f t="shared" si="45"/>
        <v>0.57928433268858803</v>
      </c>
    </row>
    <row r="83" spans="1:14">
      <c r="A83" s="6">
        <v>82</v>
      </c>
      <c r="B83" s="14">
        <v>44617</v>
      </c>
      <c r="C83" s="15">
        <v>21829</v>
      </c>
      <c r="D83" s="16">
        <v>6.1989999999999998</v>
      </c>
      <c r="E83" s="16">
        <v>243</v>
      </c>
      <c r="F83" s="9" t="s">
        <v>918</v>
      </c>
      <c r="G83" s="10">
        <f t="shared" si="38"/>
        <v>39.199870946926922</v>
      </c>
      <c r="H83" s="11">
        <f t="shared" si="39"/>
        <v>29</v>
      </c>
      <c r="I83" s="10">
        <f t="shared" si="40"/>
        <v>13</v>
      </c>
      <c r="J83" s="10">
        <f t="shared" si="41"/>
        <v>1.7687100000000002</v>
      </c>
      <c r="K83" s="10">
        <f t="shared" si="42"/>
        <v>2.2307692307692308</v>
      </c>
      <c r="L83" s="10">
        <f t="shared" si="43"/>
        <v>1.2612408087076064</v>
      </c>
      <c r="M83" s="12">
        <f t="shared" si="44"/>
        <v>7.6923076923076925</v>
      </c>
      <c r="N83" s="13">
        <f t="shared" si="45"/>
        <v>3.4482758620689653</v>
      </c>
    </row>
    <row r="84" spans="1:14">
      <c r="A84" s="6">
        <v>83</v>
      </c>
      <c r="B84" s="14">
        <v>44621</v>
      </c>
      <c r="C84" s="15">
        <v>22190</v>
      </c>
      <c r="D84" s="16">
        <v>6.2990000000000004</v>
      </c>
      <c r="E84" s="16">
        <v>163.08000000000001</v>
      </c>
      <c r="F84" s="9" t="s">
        <v>918</v>
      </c>
      <c r="G84" s="10">
        <f t="shared" si="38"/>
        <v>25.889823781552629</v>
      </c>
      <c r="H84" s="11">
        <f t="shared" si="39"/>
        <v>361</v>
      </c>
      <c r="I84" s="10">
        <f t="shared" si="40"/>
        <v>4</v>
      </c>
      <c r="J84" s="10">
        <f t="shared" si="41"/>
        <v>9.2092139917695484</v>
      </c>
      <c r="K84" s="10">
        <f t="shared" si="42"/>
        <v>90.25</v>
      </c>
      <c r="L84" s="10">
        <f t="shared" si="43"/>
        <v>9.7999677367317304</v>
      </c>
      <c r="M84" s="12">
        <f t="shared" si="44"/>
        <v>60.75</v>
      </c>
      <c r="N84" s="13">
        <f t="shared" si="45"/>
        <v>0.67313019390581719</v>
      </c>
    </row>
    <row r="85" spans="1:14">
      <c r="A85" s="6">
        <v>84</v>
      </c>
      <c r="B85" s="14">
        <v>44646</v>
      </c>
      <c r="C85" s="15">
        <v>22760</v>
      </c>
      <c r="D85" s="16">
        <v>6.9989999999999997</v>
      </c>
      <c r="E85" s="16">
        <v>100</v>
      </c>
      <c r="F85" s="9" t="s">
        <v>918</v>
      </c>
      <c r="G85" s="10">
        <f t="shared" si="38"/>
        <v>14.287755393627661</v>
      </c>
      <c r="H85" s="11">
        <f t="shared" si="39"/>
        <v>570</v>
      </c>
      <c r="I85" s="10">
        <f t="shared" si="40"/>
        <v>25</v>
      </c>
      <c r="J85" s="10">
        <f t="shared" si="41"/>
        <v>22.016372332597498</v>
      </c>
      <c r="K85" s="10">
        <f t="shared" si="42"/>
        <v>22.8</v>
      </c>
      <c r="L85" s="10">
        <f t="shared" si="43"/>
        <v>1.0355929512621052</v>
      </c>
      <c r="M85" s="12">
        <f t="shared" si="44"/>
        <v>6.5232000000000001</v>
      </c>
      <c r="N85" s="13">
        <f t="shared" si="45"/>
        <v>0.28610526315789475</v>
      </c>
    </row>
    <row r="86" spans="1:14">
      <c r="A86" s="6">
        <v>85</v>
      </c>
      <c r="B86" s="14">
        <v>44656</v>
      </c>
      <c r="C86" s="15">
        <v>22874</v>
      </c>
      <c r="D86" s="16">
        <v>6.2990000000000004</v>
      </c>
      <c r="E86" s="16">
        <v>170</v>
      </c>
      <c r="F86" s="9" t="s">
        <v>918</v>
      </c>
      <c r="G86" s="10">
        <f t="shared" si="38"/>
        <v>26.988410858866484</v>
      </c>
      <c r="H86" s="11">
        <f t="shared" si="39"/>
        <v>114</v>
      </c>
      <c r="I86" s="10">
        <f t="shared" si="40"/>
        <v>10</v>
      </c>
      <c r="J86" s="10">
        <f t="shared" si="41"/>
        <v>7.9788600000000001</v>
      </c>
      <c r="K86" s="10">
        <f t="shared" si="42"/>
        <v>11.4</v>
      </c>
      <c r="L86" s="10">
        <f t="shared" si="43"/>
        <v>1.4287755393627661</v>
      </c>
      <c r="M86" s="12">
        <f t="shared" si="44"/>
        <v>10</v>
      </c>
      <c r="N86" s="13">
        <f t="shared" si="45"/>
        <v>0.8771929824561403</v>
      </c>
    </row>
    <row r="87" spans="1:14">
      <c r="A87" s="6">
        <v>86</v>
      </c>
      <c r="B87" s="14">
        <v>44684</v>
      </c>
      <c r="C87" s="15">
        <v>23055</v>
      </c>
      <c r="D87" s="16">
        <v>6.99</v>
      </c>
      <c r="E87" s="16">
        <v>100</v>
      </c>
      <c r="F87" s="9" t="s">
        <v>918</v>
      </c>
      <c r="G87" s="10">
        <f t="shared" si="38"/>
        <v>14.306151645207439</v>
      </c>
      <c r="H87" s="11">
        <f t="shared" si="39"/>
        <v>181</v>
      </c>
      <c r="I87" s="10">
        <f t="shared" si="40"/>
        <v>28</v>
      </c>
      <c r="J87" s="10">
        <f t="shared" si="41"/>
        <v>6.7065823529411777</v>
      </c>
      <c r="K87" s="10">
        <f t="shared" si="42"/>
        <v>6.4642857142857144</v>
      </c>
      <c r="L87" s="10">
        <f t="shared" si="43"/>
        <v>0.96387181638808872</v>
      </c>
      <c r="M87" s="12">
        <f t="shared" si="44"/>
        <v>6.0714285714285712</v>
      </c>
      <c r="N87" s="13">
        <f t="shared" si="45"/>
        <v>0.93922651933701662</v>
      </c>
    </row>
    <row r="88" spans="1:14">
      <c r="A88" s="6">
        <v>87</v>
      </c>
      <c r="B88" s="14">
        <v>44698</v>
      </c>
      <c r="C88" s="15">
        <v>23174</v>
      </c>
      <c r="D88" s="16">
        <v>7.19</v>
      </c>
      <c r="E88" s="16">
        <v>100</v>
      </c>
      <c r="F88" s="9" t="s">
        <v>918</v>
      </c>
      <c r="G88" s="10">
        <f t="shared" si="38"/>
        <v>13.908205841446453</v>
      </c>
      <c r="H88" s="11">
        <f t="shared" si="39"/>
        <v>119</v>
      </c>
      <c r="I88" s="10">
        <f t="shared" si="40"/>
        <v>14</v>
      </c>
      <c r="J88" s="10">
        <f t="shared" si="41"/>
        <v>8.3180999999999994</v>
      </c>
      <c r="K88" s="10">
        <f t="shared" si="42"/>
        <v>8.5</v>
      </c>
      <c r="L88" s="10">
        <f t="shared" si="43"/>
        <v>1.0218679746576742</v>
      </c>
      <c r="M88" s="12">
        <f t="shared" si="44"/>
        <v>7.1428571428571432</v>
      </c>
      <c r="N88" s="13">
        <f t="shared" si="45"/>
        <v>0.84033613445378152</v>
      </c>
    </row>
    <row r="89" spans="1:14">
      <c r="A89" s="6">
        <v>88</v>
      </c>
      <c r="B89" s="14">
        <v>44716</v>
      </c>
      <c r="C89" s="15">
        <v>23294</v>
      </c>
      <c r="D89" s="16">
        <v>6.59</v>
      </c>
      <c r="E89" s="16">
        <v>100</v>
      </c>
      <c r="F89" s="9" t="s">
        <v>918</v>
      </c>
      <c r="G89" s="10">
        <f t="shared" si="38"/>
        <v>15.174506828528074</v>
      </c>
      <c r="H89" s="11">
        <f t="shared" si="39"/>
        <v>120</v>
      </c>
      <c r="I89" s="10">
        <f t="shared" si="40"/>
        <v>18</v>
      </c>
      <c r="J89" s="10">
        <f t="shared" si="41"/>
        <v>8.6280000000000001</v>
      </c>
      <c r="K89" s="10">
        <f t="shared" si="42"/>
        <v>6.666666666666667</v>
      </c>
      <c r="L89" s="10">
        <f t="shared" si="43"/>
        <v>0.77267810230258072</v>
      </c>
      <c r="M89" s="12">
        <f t="shared" si="44"/>
        <v>5.5555555555555554</v>
      </c>
      <c r="N89" s="13">
        <f t="shared" si="45"/>
        <v>0.83333333333333337</v>
      </c>
    </row>
    <row r="90" spans="1:14">
      <c r="A90" s="6">
        <v>89</v>
      </c>
      <c r="B90" s="14">
        <v>44726</v>
      </c>
      <c r="C90" s="15">
        <v>23391</v>
      </c>
      <c r="D90" s="16">
        <v>6.39</v>
      </c>
      <c r="E90" s="16">
        <v>60</v>
      </c>
      <c r="F90" s="9" t="s">
        <v>918</v>
      </c>
      <c r="G90" s="10">
        <f t="shared" si="38"/>
        <v>9.3896713615023479</v>
      </c>
      <c r="H90" s="11">
        <f t="shared" si="39"/>
        <v>97</v>
      </c>
      <c r="I90" s="10">
        <f t="shared" si="40"/>
        <v>10</v>
      </c>
      <c r="J90" s="10">
        <f t="shared" si="41"/>
        <v>6.3922999999999996</v>
      </c>
      <c r="K90" s="10">
        <f t="shared" si="42"/>
        <v>9.6999999999999993</v>
      </c>
      <c r="L90" s="10">
        <f t="shared" si="43"/>
        <v>1.5174506828528074</v>
      </c>
      <c r="M90" s="12">
        <f t="shared" si="44"/>
        <v>10</v>
      </c>
      <c r="N90" s="13">
        <f t="shared" si="45"/>
        <v>1.0309278350515463</v>
      </c>
    </row>
    <row r="91" spans="1:14">
      <c r="A91" s="6">
        <v>90</v>
      </c>
      <c r="B91" s="14">
        <v>44733</v>
      </c>
      <c r="C91" s="15">
        <v>23454</v>
      </c>
      <c r="D91" s="16">
        <v>6.49</v>
      </c>
      <c r="E91" s="16">
        <v>100</v>
      </c>
      <c r="F91" s="9" t="s">
        <v>918</v>
      </c>
      <c r="G91" s="10">
        <f t="shared" si="38"/>
        <v>15.408320493066256</v>
      </c>
      <c r="H91" s="11">
        <f t="shared" si="39"/>
        <v>63</v>
      </c>
      <c r="I91" s="10">
        <f t="shared" si="40"/>
        <v>7</v>
      </c>
      <c r="J91" s="10">
        <f t="shared" si="41"/>
        <v>6.7094999999999994</v>
      </c>
      <c r="K91" s="10">
        <f t="shared" si="42"/>
        <v>9</v>
      </c>
      <c r="L91" s="10">
        <f t="shared" si="43"/>
        <v>1.3413816230717639</v>
      </c>
      <c r="M91" s="12">
        <f t="shared" si="44"/>
        <v>8.5714285714285712</v>
      </c>
      <c r="N91" s="13">
        <f t="shared" si="45"/>
        <v>0.95238095238095233</v>
      </c>
    </row>
    <row r="92" spans="1:14">
      <c r="A92" s="6">
        <v>91</v>
      </c>
      <c r="B92" s="14">
        <v>44748</v>
      </c>
      <c r="C92" s="15">
        <v>23598</v>
      </c>
      <c r="D92" s="16">
        <v>6.39</v>
      </c>
      <c r="E92" s="16">
        <v>50</v>
      </c>
      <c r="F92" s="9" t="s">
        <v>918</v>
      </c>
      <c r="G92" s="10">
        <f t="shared" si="38"/>
        <v>7.8247261345852896</v>
      </c>
      <c r="H92" s="11">
        <f t="shared" si="39"/>
        <v>144</v>
      </c>
      <c r="I92" s="10">
        <f t="shared" si="40"/>
        <v>15</v>
      </c>
      <c r="J92" s="10">
        <f t="shared" si="41"/>
        <v>9.3455999999999992</v>
      </c>
      <c r="K92" s="10">
        <f t="shared" si="42"/>
        <v>9.6</v>
      </c>
      <c r="L92" s="10">
        <f t="shared" si="43"/>
        <v>1.0272213662044172</v>
      </c>
      <c r="M92" s="12">
        <f t="shared" si="44"/>
        <v>6.666666666666667</v>
      </c>
      <c r="N92" s="13">
        <f t="shared" si="45"/>
        <v>0.69444444444444442</v>
      </c>
    </row>
    <row r="93" spans="1:14">
      <c r="A93" s="6">
        <v>92</v>
      </c>
      <c r="B93" s="14">
        <v>44752</v>
      </c>
      <c r="C93" s="15">
        <v>23624</v>
      </c>
      <c r="D93" s="16">
        <v>5.89</v>
      </c>
      <c r="E93" s="16">
        <v>150</v>
      </c>
      <c r="F93" s="9" t="s">
        <v>918</v>
      </c>
      <c r="G93" s="10">
        <f t="shared" si="38"/>
        <v>25.466893039049236</v>
      </c>
      <c r="H93" s="11">
        <f t="shared" si="39"/>
        <v>26</v>
      </c>
      <c r="I93" s="10">
        <f t="shared" si="40"/>
        <v>4</v>
      </c>
      <c r="J93" s="10">
        <f t="shared" si="41"/>
        <v>3.3228</v>
      </c>
      <c r="K93" s="10">
        <f t="shared" si="42"/>
        <v>6.5</v>
      </c>
      <c r="L93" s="10">
        <f t="shared" si="43"/>
        <v>1.9561815336463224</v>
      </c>
      <c r="M93" s="12">
        <f t="shared" si="44"/>
        <v>12.5</v>
      </c>
      <c r="N93" s="13">
        <f t="shared" si="45"/>
        <v>1.9230769230769231</v>
      </c>
    </row>
    <row r="94" spans="1:14">
      <c r="A94" s="6">
        <v>93</v>
      </c>
      <c r="B94" s="14">
        <v>44764</v>
      </c>
      <c r="C94" s="15">
        <v>23855</v>
      </c>
      <c r="D94" s="16">
        <v>5.29</v>
      </c>
      <c r="E94" s="16">
        <v>150</v>
      </c>
      <c r="F94" s="9" t="s">
        <v>918</v>
      </c>
      <c r="G94" s="10">
        <f t="shared" si="38"/>
        <v>28.355387523629489</v>
      </c>
      <c r="H94" s="11">
        <f t="shared" si="39"/>
        <v>231</v>
      </c>
      <c r="I94" s="10">
        <f t="shared" si="40"/>
        <v>12</v>
      </c>
      <c r="J94" s="10">
        <f t="shared" si="41"/>
        <v>9.0706000000000007</v>
      </c>
      <c r="K94" s="10">
        <f t="shared" si="42"/>
        <v>19.25</v>
      </c>
      <c r="L94" s="10">
        <f t="shared" si="43"/>
        <v>2.1222410865874362</v>
      </c>
      <c r="M94" s="12">
        <f t="shared" si="44"/>
        <v>12.5</v>
      </c>
      <c r="N94" s="13">
        <f t="shared" si="45"/>
        <v>0.64935064935064934</v>
      </c>
    </row>
    <row r="95" spans="1:14">
      <c r="A95" s="6">
        <v>94</v>
      </c>
      <c r="B95" s="14">
        <v>44767</v>
      </c>
      <c r="C95" s="15">
        <v>23916</v>
      </c>
      <c r="D95" s="16">
        <v>5.29</v>
      </c>
      <c r="E95" s="16">
        <v>200.07</v>
      </c>
      <c r="F95" s="9" t="s">
        <v>918</v>
      </c>
      <c r="G95" s="10">
        <f t="shared" si="38"/>
        <v>37.820415879017013</v>
      </c>
      <c r="H95" s="11">
        <f t="shared" si="39"/>
        <v>61</v>
      </c>
      <c r="I95" s="10">
        <f t="shared" si="40"/>
        <v>3</v>
      </c>
      <c r="J95" s="10">
        <f t="shared" si="41"/>
        <v>2.1512666666666669</v>
      </c>
      <c r="K95" s="10">
        <f t="shared" si="42"/>
        <v>20.333333333333332</v>
      </c>
      <c r="L95" s="10">
        <f t="shared" si="43"/>
        <v>9.4517958412098295</v>
      </c>
      <c r="M95" s="12">
        <f t="shared" si="44"/>
        <v>50</v>
      </c>
      <c r="N95" s="13">
        <f t="shared" si="45"/>
        <v>2.459016393442623</v>
      </c>
    </row>
    <row r="96" spans="1:14">
      <c r="A96" s="6">
        <v>95</v>
      </c>
      <c r="B96" s="14">
        <v>44769</v>
      </c>
      <c r="C96" s="15">
        <v>24274</v>
      </c>
      <c r="D96" s="16">
        <v>5.59</v>
      </c>
      <c r="E96" s="16">
        <v>153.88</v>
      </c>
      <c r="F96" s="9" t="s">
        <v>918</v>
      </c>
      <c r="G96" s="10">
        <f t="shared" si="38"/>
        <v>27.527728085867622</v>
      </c>
      <c r="H96" s="11">
        <f t="shared" si="39"/>
        <v>358</v>
      </c>
      <c r="I96" s="10">
        <f t="shared" si="40"/>
        <v>2</v>
      </c>
      <c r="J96" s="10">
        <f t="shared" si="41"/>
        <v>9.4657869745589043</v>
      </c>
      <c r="K96" s="10">
        <f t="shared" si="42"/>
        <v>179</v>
      </c>
      <c r="L96" s="10">
        <f t="shared" si="43"/>
        <v>18.910207939508506</v>
      </c>
      <c r="M96" s="12">
        <f t="shared" si="44"/>
        <v>100.035</v>
      </c>
      <c r="N96" s="13">
        <f t="shared" si="45"/>
        <v>0.55885474860335194</v>
      </c>
    </row>
    <row r="97" spans="1:14">
      <c r="A97" s="6">
        <v>96</v>
      </c>
      <c r="B97" s="14">
        <v>44770</v>
      </c>
      <c r="C97" s="15">
        <v>24611</v>
      </c>
      <c r="D97" s="16">
        <v>5.67</v>
      </c>
      <c r="E97" s="16">
        <v>145.94999999999999</v>
      </c>
      <c r="F97" s="9" t="s">
        <v>918</v>
      </c>
      <c r="G97" s="10">
        <f t="shared" si="38"/>
        <v>25.74074074074074</v>
      </c>
      <c r="H97" s="11">
        <f t="shared" si="39"/>
        <v>337</v>
      </c>
      <c r="I97" s="10">
        <f t="shared" si="40"/>
        <v>1</v>
      </c>
      <c r="J97" s="10">
        <f t="shared" si="41"/>
        <v>12.242201715622562</v>
      </c>
      <c r="K97" s="10">
        <f t="shared" si="42"/>
        <v>337</v>
      </c>
      <c r="L97" s="10">
        <f t="shared" si="43"/>
        <v>27.527728085867622</v>
      </c>
      <c r="M97" s="12">
        <f t="shared" si="44"/>
        <v>153.88</v>
      </c>
      <c r="N97" s="13">
        <f t="shared" si="45"/>
        <v>0.45661721068249256</v>
      </c>
    </row>
    <row r="98" spans="1:14">
      <c r="A98" s="6">
        <v>97</v>
      </c>
      <c r="B98" s="14">
        <v>44773</v>
      </c>
      <c r="C98" s="15">
        <v>24953</v>
      </c>
      <c r="D98" s="16">
        <v>5.49</v>
      </c>
      <c r="E98" s="16">
        <v>135.71</v>
      </c>
      <c r="F98" s="9" t="s">
        <v>918</v>
      </c>
      <c r="G98" s="10">
        <f t="shared" si="38"/>
        <v>24.719489981785063</v>
      </c>
      <c r="H98" s="11">
        <f t="shared" si="39"/>
        <v>342</v>
      </c>
      <c r="I98" s="10">
        <f t="shared" si="40"/>
        <v>3</v>
      </c>
      <c r="J98" s="10">
        <f t="shared" si="41"/>
        <v>13.286330935251799</v>
      </c>
      <c r="K98" s="10">
        <f t="shared" si="42"/>
        <v>114</v>
      </c>
      <c r="L98" s="10">
        <f t="shared" si="43"/>
        <v>8.5802469135802468</v>
      </c>
      <c r="M98" s="12">
        <f t="shared" si="44"/>
        <v>48.65</v>
      </c>
      <c r="N98" s="13">
        <f t="shared" si="45"/>
        <v>0.42675438596491228</v>
      </c>
    </row>
    <row r="99" spans="1:14">
      <c r="A99" s="6">
        <v>98</v>
      </c>
      <c r="B99" s="14">
        <v>44790</v>
      </c>
      <c r="C99" s="15">
        <v>25510</v>
      </c>
      <c r="D99" s="16">
        <v>5.74</v>
      </c>
      <c r="E99" s="16">
        <v>50</v>
      </c>
      <c r="F99" s="9" t="s">
        <v>918</v>
      </c>
      <c r="G99" s="10">
        <f t="shared" si="38"/>
        <v>8.7108013937282234</v>
      </c>
      <c r="H99" s="11">
        <f t="shared" si="39"/>
        <v>557</v>
      </c>
      <c r="I99" s="10">
        <f t="shared" si="40"/>
        <v>17</v>
      </c>
      <c r="J99" s="10">
        <f t="shared" si="41"/>
        <v>22.532827352442709</v>
      </c>
      <c r="K99" s="10">
        <f t="shared" si="42"/>
        <v>32.764705882352942</v>
      </c>
      <c r="L99" s="10">
        <f t="shared" si="43"/>
        <v>1.4540876459873566</v>
      </c>
      <c r="M99" s="12">
        <f t="shared" si="44"/>
        <v>7.9829411764705887</v>
      </c>
      <c r="N99" s="13">
        <f t="shared" si="45"/>
        <v>0.24364452423698385</v>
      </c>
    </row>
    <row r="100" spans="1:14">
      <c r="A100" s="6">
        <v>99</v>
      </c>
      <c r="B100" s="14">
        <v>44793</v>
      </c>
      <c r="C100" s="15">
        <v>25593</v>
      </c>
      <c r="D100" s="16">
        <v>4.79</v>
      </c>
      <c r="E100" s="16">
        <v>286.22000000000003</v>
      </c>
      <c r="F100" s="9" t="s">
        <v>918</v>
      </c>
      <c r="G100" s="10">
        <f t="shared" si="38"/>
        <v>59.753653444676416</v>
      </c>
      <c r="H100" s="11">
        <f t="shared" si="39"/>
        <v>83</v>
      </c>
      <c r="I100" s="10">
        <f t="shared" si="40"/>
        <v>3</v>
      </c>
      <c r="J100" s="10">
        <f t="shared" si="41"/>
        <v>9.5283999999999995</v>
      </c>
      <c r="K100" s="10">
        <f t="shared" si="42"/>
        <v>27.666666666666668</v>
      </c>
      <c r="L100" s="10">
        <f t="shared" si="43"/>
        <v>2.9036004645760745</v>
      </c>
      <c r="M100" s="12">
        <f t="shared" si="44"/>
        <v>16.666666666666668</v>
      </c>
      <c r="N100" s="13">
        <f t="shared" si="45"/>
        <v>0.60240963855421692</v>
      </c>
    </row>
    <row r="101" spans="1:14">
      <c r="A101" s="6">
        <v>100</v>
      </c>
      <c r="B101" s="14">
        <v>44804</v>
      </c>
      <c r="C101" s="15">
        <v>25940</v>
      </c>
      <c r="D101" s="16">
        <v>4.75</v>
      </c>
      <c r="E101" s="16">
        <v>120</v>
      </c>
      <c r="F101" s="9" t="s">
        <v>918</v>
      </c>
      <c r="G101" s="10">
        <f t="shared" si="38"/>
        <v>25.263157894736842</v>
      </c>
      <c r="H101" s="11">
        <f t="shared" si="39"/>
        <v>347</v>
      </c>
      <c r="I101" s="10">
        <f t="shared" si="40"/>
        <v>11</v>
      </c>
      <c r="J101" s="10">
        <f t="shared" si="41"/>
        <v>5.8071762979526236</v>
      </c>
      <c r="K101" s="10">
        <f t="shared" si="42"/>
        <v>31.545454545454547</v>
      </c>
      <c r="L101" s="10">
        <f t="shared" si="43"/>
        <v>5.4321503131524018</v>
      </c>
      <c r="M101" s="12">
        <f t="shared" si="44"/>
        <v>26.020000000000003</v>
      </c>
      <c r="N101" s="13">
        <f t="shared" si="45"/>
        <v>0.82484149855907785</v>
      </c>
    </row>
    <row r="102" spans="1:14">
      <c r="A102" s="6">
        <v>101</v>
      </c>
      <c r="B102" s="14">
        <v>44810</v>
      </c>
      <c r="C102" s="15">
        <v>26146</v>
      </c>
      <c r="D102" s="16">
        <v>4.59</v>
      </c>
      <c r="E102" s="16">
        <v>120</v>
      </c>
      <c r="F102" s="9" t="s">
        <v>918</v>
      </c>
      <c r="G102" s="10">
        <f t="shared" si="38"/>
        <v>26.143790849673202</v>
      </c>
      <c r="H102" s="11">
        <f t="shared" si="39"/>
        <v>206</v>
      </c>
      <c r="I102" s="10">
        <f t="shared" si="40"/>
        <v>6</v>
      </c>
      <c r="J102" s="10">
        <f t="shared" si="41"/>
        <v>8.1541666666666668</v>
      </c>
      <c r="K102" s="10">
        <f t="shared" si="42"/>
        <v>34.333333333333336</v>
      </c>
      <c r="L102" s="10">
        <f t="shared" si="43"/>
        <v>4.2105263157894735</v>
      </c>
      <c r="M102" s="12">
        <f t="shared" si="44"/>
        <v>20</v>
      </c>
      <c r="N102" s="13">
        <f t="shared" si="45"/>
        <v>0.58252427184466016</v>
      </c>
    </row>
    <row r="103" spans="1:14">
      <c r="A103" s="6">
        <v>102</v>
      </c>
      <c r="B103" s="14">
        <v>44813</v>
      </c>
      <c r="C103" s="15">
        <v>26241</v>
      </c>
      <c r="D103" s="16">
        <v>3.47</v>
      </c>
      <c r="E103" s="16">
        <v>127.94</v>
      </c>
      <c r="F103" s="9" t="s">
        <v>919</v>
      </c>
      <c r="G103" s="10">
        <f t="shared" si="38"/>
        <v>36.870317002881841</v>
      </c>
      <c r="H103" s="11">
        <f t="shared" si="39"/>
        <v>95</v>
      </c>
      <c r="I103" s="10">
        <f t="shared" si="40"/>
        <v>3</v>
      </c>
      <c r="J103" s="10">
        <f t="shared" si="41"/>
        <v>3.63375</v>
      </c>
      <c r="K103" s="10">
        <f t="shared" si="42"/>
        <v>31.666666666666668</v>
      </c>
      <c r="L103" s="10">
        <f t="shared" si="43"/>
        <v>8.7145969498910674</v>
      </c>
      <c r="M103" s="12">
        <f t="shared" si="44"/>
        <v>40</v>
      </c>
      <c r="N103" s="13">
        <f t="shared" si="45"/>
        <v>1.263157894736842</v>
      </c>
    </row>
    <row r="104" spans="1:14">
      <c r="A104" s="6">
        <v>103</v>
      </c>
      <c r="B104" s="14">
        <v>44815</v>
      </c>
      <c r="C104" s="15">
        <v>26595</v>
      </c>
      <c r="D104" s="16">
        <v>3.49</v>
      </c>
      <c r="E104" s="16">
        <v>113.97</v>
      </c>
      <c r="F104" s="9" t="s">
        <v>919</v>
      </c>
      <c r="G104" s="10">
        <f t="shared" ref="G104:G115" si="46">IF(E104&lt;&gt;"",E104/D104,"")</f>
        <v>32.656160458452717</v>
      </c>
      <c r="H104" s="11">
        <f t="shared" ref="H104:H115" si="47">IF(C104="","",C104-C103)</f>
        <v>354</v>
      </c>
      <c r="I104" s="10">
        <f t="shared" ref="I104:I115" si="48">IF(B104="","",B104-B103)</f>
        <v>2</v>
      </c>
      <c r="J104" s="10">
        <f t="shared" ref="J104:J115" si="49">IF(H104="","",H104/G103)</f>
        <v>9.6012193215569805</v>
      </c>
      <c r="K104" s="10">
        <f t="shared" ref="K104:K115" si="50">IF(H104&lt;&gt;"",IF(I104&gt;0,H104/I104,H104),"" )</f>
        <v>177</v>
      </c>
      <c r="L104" s="10">
        <f t="shared" ref="L104:L115" si="51">IF(I104="","",IF(I104=0,G104,G103/I104))</f>
        <v>18.43515850144092</v>
      </c>
      <c r="M104" s="12">
        <f t="shared" ref="M104:M115" si="52">IF(I104="","",IF(I104=0,E103,E103/I104))</f>
        <v>63.97</v>
      </c>
      <c r="N104" s="13">
        <f t="shared" ref="N104:N115" si="53">IF(H104="","",E103/H104)</f>
        <v>0.36141242937853107</v>
      </c>
    </row>
    <row r="105" spans="1:14">
      <c r="A105" s="6">
        <v>104</v>
      </c>
      <c r="B105" s="14">
        <v>44818</v>
      </c>
      <c r="C105" s="15">
        <v>27052</v>
      </c>
      <c r="D105" s="16">
        <v>4.6900000000000004</v>
      </c>
      <c r="E105" s="16">
        <v>150</v>
      </c>
      <c r="F105" s="9" t="s">
        <v>918</v>
      </c>
      <c r="G105" s="10">
        <f t="shared" si="46"/>
        <v>31.982942430703623</v>
      </c>
      <c r="H105" s="11">
        <f t="shared" si="47"/>
        <v>457</v>
      </c>
      <c r="I105" s="10">
        <f t="shared" si="48"/>
        <v>3</v>
      </c>
      <c r="J105" s="10">
        <f t="shared" si="49"/>
        <v>13.994296744757394</v>
      </c>
      <c r="K105" s="10">
        <f t="shared" si="50"/>
        <v>152.33333333333334</v>
      </c>
      <c r="L105" s="10">
        <f t="shared" si="51"/>
        <v>10.885386819484239</v>
      </c>
      <c r="M105" s="12">
        <f t="shared" si="52"/>
        <v>37.99</v>
      </c>
      <c r="N105" s="13">
        <f t="shared" si="53"/>
        <v>0.24938730853391686</v>
      </c>
    </row>
    <row r="106" spans="1:14">
      <c r="A106" s="6">
        <v>105</v>
      </c>
      <c r="B106" s="14">
        <v>44826</v>
      </c>
      <c r="C106" s="15">
        <v>27284</v>
      </c>
      <c r="D106" s="16">
        <v>4.6900000000000004</v>
      </c>
      <c r="E106" s="16">
        <v>120</v>
      </c>
      <c r="F106" s="9" t="s">
        <v>918</v>
      </c>
      <c r="G106" s="10">
        <f t="shared" si="46"/>
        <v>25.586353944562898</v>
      </c>
      <c r="H106" s="11">
        <f t="shared" si="47"/>
        <v>232</v>
      </c>
      <c r="I106" s="10">
        <f t="shared" si="48"/>
        <v>8</v>
      </c>
      <c r="J106" s="10">
        <f t="shared" si="49"/>
        <v>7.2538666666666671</v>
      </c>
      <c r="K106" s="10">
        <f t="shared" si="50"/>
        <v>29</v>
      </c>
      <c r="L106" s="10">
        <f t="shared" si="51"/>
        <v>3.9978678038379529</v>
      </c>
      <c r="M106" s="12">
        <f t="shared" si="52"/>
        <v>18.75</v>
      </c>
      <c r="N106" s="13">
        <f t="shared" si="53"/>
        <v>0.64655172413793105</v>
      </c>
    </row>
    <row r="107" spans="1:14">
      <c r="A107" s="6">
        <v>106</v>
      </c>
      <c r="B107" s="14">
        <v>44833</v>
      </c>
      <c r="C107" s="15">
        <v>27451</v>
      </c>
      <c r="D107" s="16">
        <v>4.6900000000000004</v>
      </c>
      <c r="E107" s="16">
        <v>120</v>
      </c>
      <c r="F107" s="9" t="s">
        <v>918</v>
      </c>
      <c r="G107" s="10">
        <f t="shared" si="46"/>
        <v>25.586353944562898</v>
      </c>
      <c r="H107" s="11">
        <f t="shared" si="47"/>
        <v>167</v>
      </c>
      <c r="I107" s="10">
        <f t="shared" si="48"/>
        <v>7</v>
      </c>
      <c r="J107" s="10">
        <f t="shared" si="49"/>
        <v>6.5269166666666667</v>
      </c>
      <c r="K107" s="10">
        <f t="shared" si="50"/>
        <v>23.857142857142858</v>
      </c>
      <c r="L107" s="10">
        <f t="shared" si="51"/>
        <v>3.6551934206518424</v>
      </c>
      <c r="M107" s="12">
        <f t="shared" si="52"/>
        <v>17.142857142857142</v>
      </c>
      <c r="N107" s="13">
        <f t="shared" si="53"/>
        <v>0.71856287425149701</v>
      </c>
    </row>
    <row r="108" spans="1:14">
      <c r="A108" s="6">
        <v>107</v>
      </c>
      <c r="B108" s="14">
        <v>44839</v>
      </c>
      <c r="C108" s="15">
        <v>27678</v>
      </c>
      <c r="D108" s="16">
        <v>4.3899999999999997</v>
      </c>
      <c r="E108" s="16">
        <v>120</v>
      </c>
      <c r="F108" s="9" t="s">
        <v>918</v>
      </c>
      <c r="G108" s="10">
        <f t="shared" si="46"/>
        <v>27.33485193621868</v>
      </c>
      <c r="H108" s="11">
        <f t="shared" si="47"/>
        <v>227</v>
      </c>
      <c r="I108" s="10">
        <f t="shared" si="48"/>
        <v>6</v>
      </c>
      <c r="J108" s="10">
        <f t="shared" si="49"/>
        <v>8.8719166666666673</v>
      </c>
      <c r="K108" s="10">
        <f t="shared" si="50"/>
        <v>37.833333333333336</v>
      </c>
      <c r="L108" s="10">
        <f t="shared" si="51"/>
        <v>4.2643923240938166</v>
      </c>
      <c r="M108" s="12">
        <f t="shared" si="52"/>
        <v>20</v>
      </c>
      <c r="N108" s="13">
        <f t="shared" si="53"/>
        <v>0.52863436123348018</v>
      </c>
    </row>
    <row r="109" spans="1:14">
      <c r="A109" s="6">
        <v>108</v>
      </c>
      <c r="B109" s="14">
        <v>44847</v>
      </c>
      <c r="C109" s="15">
        <v>27852</v>
      </c>
      <c r="D109" s="16">
        <v>4.3899999999999997</v>
      </c>
      <c r="E109" s="16">
        <v>120</v>
      </c>
      <c r="F109" s="9" t="s">
        <v>918</v>
      </c>
      <c r="G109" s="10">
        <f t="shared" si="46"/>
        <v>27.33485193621868</v>
      </c>
      <c r="H109" s="11">
        <f t="shared" si="47"/>
        <v>174</v>
      </c>
      <c r="I109" s="10">
        <f t="shared" si="48"/>
        <v>8</v>
      </c>
      <c r="J109" s="10">
        <f t="shared" si="49"/>
        <v>6.3654999999999999</v>
      </c>
      <c r="K109" s="10">
        <f t="shared" si="50"/>
        <v>21.75</v>
      </c>
      <c r="L109" s="10">
        <f t="shared" si="51"/>
        <v>3.416856492027335</v>
      </c>
      <c r="M109" s="12">
        <f t="shared" si="52"/>
        <v>15</v>
      </c>
      <c r="N109" s="13">
        <f t="shared" si="53"/>
        <v>0.68965517241379315</v>
      </c>
    </row>
    <row r="110" spans="1:14">
      <c r="A110" s="6">
        <v>109</v>
      </c>
      <c r="B110" s="14">
        <v>44853</v>
      </c>
      <c r="C110" s="15">
        <v>28073</v>
      </c>
      <c r="D110" s="16">
        <v>4.49</v>
      </c>
      <c r="E110" s="16">
        <v>150</v>
      </c>
      <c r="F110" s="9" t="s">
        <v>918</v>
      </c>
      <c r="G110" s="10">
        <f t="shared" si="46"/>
        <v>33.407572383073493</v>
      </c>
      <c r="H110" s="11">
        <f t="shared" si="47"/>
        <v>221</v>
      </c>
      <c r="I110" s="10">
        <f t="shared" si="48"/>
        <v>6</v>
      </c>
      <c r="J110" s="10">
        <f t="shared" si="49"/>
        <v>8.0849166666666665</v>
      </c>
      <c r="K110" s="10">
        <f t="shared" si="50"/>
        <v>36.833333333333336</v>
      </c>
      <c r="L110" s="10">
        <f t="shared" si="51"/>
        <v>4.5558086560364464</v>
      </c>
      <c r="M110" s="12">
        <f t="shared" si="52"/>
        <v>20</v>
      </c>
      <c r="N110" s="13">
        <f t="shared" si="53"/>
        <v>0.54298642533936647</v>
      </c>
    </row>
    <row r="111" spans="1:14">
      <c r="A111" s="6">
        <v>110</v>
      </c>
      <c r="B111" s="14">
        <v>44860</v>
      </c>
      <c r="C111" s="15">
        <v>28269</v>
      </c>
      <c r="D111" s="16">
        <v>5.09</v>
      </c>
      <c r="E111" s="16">
        <v>120</v>
      </c>
      <c r="F111" s="9" t="s">
        <v>918</v>
      </c>
      <c r="G111" s="10">
        <f t="shared" si="46"/>
        <v>23.575638506876228</v>
      </c>
      <c r="H111" s="11">
        <f t="shared" si="47"/>
        <v>196</v>
      </c>
      <c r="I111" s="10">
        <f t="shared" si="48"/>
        <v>7</v>
      </c>
      <c r="J111" s="10">
        <f t="shared" si="49"/>
        <v>5.8669333333333338</v>
      </c>
      <c r="K111" s="10">
        <f t="shared" si="50"/>
        <v>28</v>
      </c>
      <c r="L111" s="10">
        <f t="shared" si="51"/>
        <v>4.7725103404390703</v>
      </c>
      <c r="M111" s="12">
        <f t="shared" si="52"/>
        <v>21.428571428571427</v>
      </c>
      <c r="N111" s="13">
        <f t="shared" si="53"/>
        <v>0.76530612244897955</v>
      </c>
    </row>
    <row r="112" spans="1:14">
      <c r="A112" s="6">
        <v>111</v>
      </c>
      <c r="B112" s="14">
        <v>44864</v>
      </c>
      <c r="C112" s="15">
        <v>28429</v>
      </c>
      <c r="D112" s="16">
        <v>4.49</v>
      </c>
      <c r="E112" s="16">
        <v>150</v>
      </c>
      <c r="F112" s="9" t="s">
        <v>918</v>
      </c>
      <c r="G112" s="10">
        <f t="shared" si="46"/>
        <v>33.407572383073493</v>
      </c>
      <c r="H112" s="11">
        <f t="shared" si="47"/>
        <v>160</v>
      </c>
      <c r="I112" s="10">
        <f t="shared" si="48"/>
        <v>4</v>
      </c>
      <c r="J112" s="10">
        <f t="shared" si="49"/>
        <v>6.7866666666666671</v>
      </c>
      <c r="K112" s="10">
        <f t="shared" si="50"/>
        <v>40</v>
      </c>
      <c r="L112" s="10">
        <f t="shared" si="51"/>
        <v>5.8939096267190569</v>
      </c>
      <c r="M112" s="12">
        <f t="shared" si="52"/>
        <v>30</v>
      </c>
      <c r="N112" s="13">
        <f t="shared" si="53"/>
        <v>0.75</v>
      </c>
    </row>
    <row r="113" spans="1:14">
      <c r="A113" s="6">
        <v>112</v>
      </c>
      <c r="B113" s="14">
        <v>44872</v>
      </c>
      <c r="C113" s="15">
        <v>28630</v>
      </c>
      <c r="D113" s="16">
        <v>4.59</v>
      </c>
      <c r="E113" s="16">
        <v>150</v>
      </c>
      <c r="F113" s="9" t="s">
        <v>918</v>
      </c>
      <c r="G113" s="10">
        <f t="shared" si="46"/>
        <v>32.679738562091501</v>
      </c>
      <c r="H113" s="11">
        <f t="shared" si="47"/>
        <v>201</v>
      </c>
      <c r="I113" s="10">
        <f t="shared" si="48"/>
        <v>8</v>
      </c>
      <c r="J113" s="10">
        <f t="shared" si="49"/>
        <v>6.0166000000000004</v>
      </c>
      <c r="K113" s="10">
        <f t="shared" si="50"/>
        <v>25.125</v>
      </c>
      <c r="L113" s="10">
        <f t="shared" si="51"/>
        <v>4.1759465478841866</v>
      </c>
      <c r="M113" s="12">
        <f t="shared" si="52"/>
        <v>18.75</v>
      </c>
      <c r="N113" s="13">
        <f t="shared" si="53"/>
        <v>0.74626865671641796</v>
      </c>
    </row>
    <row r="114" spans="1:14">
      <c r="A114" s="6">
        <v>113</v>
      </c>
      <c r="B114" s="14">
        <v>44881</v>
      </c>
      <c r="C114" s="15">
        <v>28843</v>
      </c>
      <c r="D114" s="16">
        <v>4.5599999999999996</v>
      </c>
      <c r="E114" s="16">
        <v>150</v>
      </c>
      <c r="F114" s="9" t="s">
        <v>918</v>
      </c>
      <c r="G114" s="10">
        <f t="shared" si="46"/>
        <v>32.894736842105267</v>
      </c>
      <c r="H114" s="11">
        <f t="shared" si="47"/>
        <v>213</v>
      </c>
      <c r="I114" s="10">
        <f t="shared" si="48"/>
        <v>9</v>
      </c>
      <c r="J114" s="10">
        <f t="shared" si="49"/>
        <v>6.5178000000000003</v>
      </c>
      <c r="K114" s="10">
        <f t="shared" si="50"/>
        <v>23.666666666666668</v>
      </c>
      <c r="L114" s="10">
        <f t="shared" si="51"/>
        <v>3.6310820624546114</v>
      </c>
      <c r="M114" s="12">
        <f t="shared" si="52"/>
        <v>16.666666666666668</v>
      </c>
      <c r="N114" s="13">
        <f t="shared" si="53"/>
        <v>0.70422535211267601</v>
      </c>
    </row>
    <row r="115" spans="1:14">
      <c r="A115" s="6">
        <v>114</v>
      </c>
      <c r="B115" s="14">
        <v>44887</v>
      </c>
      <c r="C115" s="15">
        <v>29044</v>
      </c>
      <c r="D115" s="16">
        <v>5.39</v>
      </c>
      <c r="E115" s="16">
        <v>100</v>
      </c>
      <c r="F115" s="9" t="s">
        <v>918</v>
      </c>
      <c r="G115" s="10">
        <f t="shared" si="46"/>
        <v>18.55287569573284</v>
      </c>
      <c r="H115" s="11">
        <f t="shared" si="47"/>
        <v>201</v>
      </c>
      <c r="I115" s="10">
        <f t="shared" si="48"/>
        <v>6</v>
      </c>
      <c r="J115" s="10">
        <f t="shared" si="49"/>
        <v>6.1103999999999994</v>
      </c>
      <c r="K115" s="10">
        <f t="shared" si="50"/>
        <v>33.5</v>
      </c>
      <c r="L115" s="10">
        <f t="shared" si="51"/>
        <v>5.4824561403508776</v>
      </c>
      <c r="M115" s="12">
        <f t="shared" si="52"/>
        <v>25</v>
      </c>
      <c r="N115" s="13">
        <f t="shared" si="53"/>
        <v>0.74626865671641796</v>
      </c>
    </row>
    <row r="116" spans="1:14">
      <c r="A116" s="6">
        <v>115</v>
      </c>
      <c r="B116" s="14">
        <v>44894</v>
      </c>
      <c r="C116" s="15">
        <v>29138</v>
      </c>
      <c r="D116" s="16">
        <v>4.49</v>
      </c>
      <c r="E116" s="16">
        <v>150</v>
      </c>
      <c r="F116" s="9" t="s">
        <v>918</v>
      </c>
      <c r="G116" s="10">
        <f t="shared" ref="G116:G161" si="54">IF(E116&lt;&gt;"",E116/D116,"")</f>
        <v>33.407572383073493</v>
      </c>
      <c r="H116" s="11">
        <f t="shared" ref="H116:H137" si="55">IF(C116="","",C116-C115)</f>
        <v>94</v>
      </c>
      <c r="I116" s="10">
        <f t="shared" ref="I116:I137" si="56">IF(B116="","",B116-B115)</f>
        <v>7</v>
      </c>
      <c r="J116" s="10">
        <f t="shared" ref="J116:J137" si="57">IF(H116="","",H116/G115)</f>
        <v>5.0665999999999993</v>
      </c>
      <c r="K116" s="10">
        <f t="shared" ref="K116:K137" si="58">IF(H116&lt;&gt;"",IF(I116&gt;0,H116/I116,H116),"" )</f>
        <v>13.428571428571429</v>
      </c>
      <c r="L116" s="10">
        <f t="shared" ref="L116:L137" si="59">IF(I116="","",IF(I116=0,G116,G115/I116))</f>
        <v>2.6504108136761202</v>
      </c>
      <c r="M116" s="12">
        <f t="shared" ref="M116:M137" si="60">IF(I116="","",IF(I116=0,E115,E115/I116))</f>
        <v>14.285714285714286</v>
      </c>
      <c r="N116" s="13">
        <f t="shared" ref="N116:N137" si="61">IF(H116="","",E115/H116)</f>
        <v>1.0638297872340425</v>
      </c>
    </row>
    <row r="117" spans="1:14">
      <c r="A117" s="6">
        <v>116</v>
      </c>
      <c r="B117" s="14">
        <v>44903</v>
      </c>
      <c r="C117" s="15">
        <v>29398</v>
      </c>
      <c r="D117" s="16">
        <v>4.49</v>
      </c>
      <c r="E117" s="16">
        <v>150</v>
      </c>
      <c r="F117" s="9" t="s">
        <v>918</v>
      </c>
      <c r="G117" s="10">
        <f t="shared" si="54"/>
        <v>33.407572383073493</v>
      </c>
      <c r="H117" s="11">
        <f t="shared" si="55"/>
        <v>260</v>
      </c>
      <c r="I117" s="10">
        <f t="shared" si="56"/>
        <v>9</v>
      </c>
      <c r="J117" s="10">
        <f t="shared" si="57"/>
        <v>7.7826666666666675</v>
      </c>
      <c r="K117" s="10">
        <f t="shared" si="58"/>
        <v>28.888888888888889</v>
      </c>
      <c r="L117" s="10">
        <f t="shared" si="59"/>
        <v>3.7119524870081659</v>
      </c>
      <c r="M117" s="12">
        <f t="shared" si="60"/>
        <v>16.666666666666668</v>
      </c>
      <c r="N117" s="13">
        <f t="shared" si="61"/>
        <v>0.57692307692307687</v>
      </c>
    </row>
    <row r="118" spans="1:14">
      <c r="A118" s="6">
        <v>117</v>
      </c>
      <c r="B118" s="14">
        <v>44910</v>
      </c>
      <c r="C118" s="15">
        <v>29596</v>
      </c>
      <c r="D118" s="16">
        <v>4.3899999999999997</v>
      </c>
      <c r="E118" s="16">
        <v>100</v>
      </c>
      <c r="F118" s="9" t="s">
        <v>918</v>
      </c>
      <c r="G118" s="10">
        <f t="shared" si="54"/>
        <v>22.779043280182233</v>
      </c>
      <c r="H118" s="11">
        <f t="shared" si="55"/>
        <v>198</v>
      </c>
      <c r="I118" s="10">
        <f t="shared" si="56"/>
        <v>7</v>
      </c>
      <c r="J118" s="10">
        <f t="shared" si="57"/>
        <v>5.926800000000001</v>
      </c>
      <c r="K118" s="10">
        <f t="shared" si="58"/>
        <v>28.285714285714285</v>
      </c>
      <c r="L118" s="10">
        <f t="shared" si="59"/>
        <v>4.7725103404390703</v>
      </c>
      <c r="M118" s="12">
        <f t="shared" si="60"/>
        <v>21.428571428571427</v>
      </c>
      <c r="N118" s="13">
        <f t="shared" si="61"/>
        <v>0.75757575757575757</v>
      </c>
    </row>
    <row r="119" spans="1:14">
      <c r="A119" s="6">
        <v>118</v>
      </c>
      <c r="B119" s="14">
        <v>44917</v>
      </c>
      <c r="C119" s="15">
        <v>29664</v>
      </c>
      <c r="D119" s="16">
        <v>4.49</v>
      </c>
      <c r="E119" s="16">
        <v>203.09</v>
      </c>
      <c r="F119" s="9" t="s">
        <v>918</v>
      </c>
      <c r="G119" s="10">
        <f t="shared" si="54"/>
        <v>45.231625835189305</v>
      </c>
      <c r="H119" s="11">
        <f t="shared" si="55"/>
        <v>68</v>
      </c>
      <c r="I119" s="10">
        <f t="shared" si="56"/>
        <v>7</v>
      </c>
      <c r="J119" s="10">
        <f t="shared" si="57"/>
        <v>2.9851999999999999</v>
      </c>
      <c r="K119" s="10">
        <f t="shared" si="58"/>
        <v>9.7142857142857135</v>
      </c>
      <c r="L119" s="10">
        <f t="shared" si="59"/>
        <v>3.2541490400260331</v>
      </c>
      <c r="M119" s="12">
        <f t="shared" si="60"/>
        <v>14.285714285714286</v>
      </c>
      <c r="N119" s="13">
        <f t="shared" si="61"/>
        <v>1.4705882352941178</v>
      </c>
    </row>
    <row r="120" spans="1:14">
      <c r="A120" s="6">
        <v>119</v>
      </c>
      <c r="B120" s="14">
        <v>44926</v>
      </c>
      <c r="C120" s="15">
        <v>30038</v>
      </c>
      <c r="D120" s="16">
        <v>4.8899999999999997</v>
      </c>
      <c r="E120" s="16">
        <v>148.61000000000001</v>
      </c>
      <c r="F120" s="9" t="s">
        <v>918</v>
      </c>
      <c r="G120" s="10">
        <f t="shared" si="54"/>
        <v>30.39059304703477</v>
      </c>
      <c r="H120" s="11">
        <f t="shared" si="55"/>
        <v>374</v>
      </c>
      <c r="I120" s="10">
        <f t="shared" si="56"/>
        <v>9</v>
      </c>
      <c r="J120" s="10">
        <f t="shared" si="57"/>
        <v>8.2685508887685266</v>
      </c>
      <c r="K120" s="10">
        <f t="shared" si="58"/>
        <v>41.555555555555557</v>
      </c>
      <c r="L120" s="10">
        <f t="shared" si="59"/>
        <v>5.0257362039099229</v>
      </c>
      <c r="M120" s="12">
        <f t="shared" si="60"/>
        <v>22.565555555555555</v>
      </c>
      <c r="N120" s="13">
        <f t="shared" si="61"/>
        <v>0.54302139037433161</v>
      </c>
    </row>
    <row r="121" spans="1:14">
      <c r="A121" s="6">
        <v>120</v>
      </c>
      <c r="B121" s="14">
        <v>44957</v>
      </c>
      <c r="C121" s="15">
        <v>30558</v>
      </c>
      <c r="D121" s="16">
        <v>4.49</v>
      </c>
      <c r="E121" s="16">
        <v>50</v>
      </c>
      <c r="F121" s="9" t="s">
        <v>918</v>
      </c>
      <c r="G121" s="10">
        <f t="shared" si="54"/>
        <v>11.135857461024498</v>
      </c>
      <c r="H121" s="11">
        <f t="shared" si="55"/>
        <v>520</v>
      </c>
      <c r="I121" s="10">
        <f t="shared" si="56"/>
        <v>31</v>
      </c>
      <c r="J121" s="10">
        <f t="shared" si="57"/>
        <v>17.110557835946434</v>
      </c>
      <c r="K121" s="10">
        <f t="shared" si="58"/>
        <v>16.774193548387096</v>
      </c>
      <c r="L121" s="10">
        <f t="shared" si="59"/>
        <v>0.98034171119466995</v>
      </c>
      <c r="M121" s="12">
        <f t="shared" si="60"/>
        <v>4.7938709677419356</v>
      </c>
      <c r="N121" s="13">
        <f t="shared" si="61"/>
        <v>0.28578846153846155</v>
      </c>
    </row>
    <row r="122" spans="1:14">
      <c r="A122" s="6">
        <v>121</v>
      </c>
      <c r="B122" s="14">
        <v>44972</v>
      </c>
      <c r="C122" s="15">
        <v>30618</v>
      </c>
      <c r="D122" s="16">
        <v>4.49</v>
      </c>
      <c r="E122" s="16">
        <v>50</v>
      </c>
      <c r="F122" s="9" t="s">
        <v>918</v>
      </c>
      <c r="G122" s="10">
        <f t="shared" si="54"/>
        <v>11.135857461024498</v>
      </c>
      <c r="H122" s="11">
        <f t="shared" si="55"/>
        <v>60</v>
      </c>
      <c r="I122" s="10">
        <f t="shared" si="56"/>
        <v>15</v>
      </c>
      <c r="J122" s="10">
        <f t="shared" si="57"/>
        <v>5.3879999999999999</v>
      </c>
      <c r="K122" s="10">
        <f t="shared" si="58"/>
        <v>4</v>
      </c>
      <c r="L122" s="10">
        <f t="shared" si="59"/>
        <v>0.74239049740163321</v>
      </c>
      <c r="M122" s="12">
        <f t="shared" si="60"/>
        <v>3.3333333333333335</v>
      </c>
      <c r="N122" s="13">
        <f t="shared" si="61"/>
        <v>0.83333333333333337</v>
      </c>
    </row>
    <row r="123" spans="1:14">
      <c r="A123" s="6">
        <v>122</v>
      </c>
      <c r="B123" s="14">
        <v>44980</v>
      </c>
      <c r="C123" s="15">
        <v>30676</v>
      </c>
      <c r="D123" s="16">
        <v>4.49</v>
      </c>
      <c r="E123" s="16">
        <v>50</v>
      </c>
      <c r="F123" s="9" t="s">
        <v>918</v>
      </c>
      <c r="G123" s="10">
        <f t="shared" si="54"/>
        <v>11.135857461024498</v>
      </c>
      <c r="H123" s="11">
        <f t="shared" si="55"/>
        <v>58</v>
      </c>
      <c r="I123" s="10">
        <f t="shared" si="56"/>
        <v>8</v>
      </c>
      <c r="J123" s="10">
        <f t="shared" si="57"/>
        <v>5.2084000000000001</v>
      </c>
      <c r="K123" s="10">
        <f t="shared" si="58"/>
        <v>7.25</v>
      </c>
      <c r="L123" s="10">
        <f t="shared" si="59"/>
        <v>1.3919821826280623</v>
      </c>
      <c r="M123" s="12">
        <f t="shared" si="60"/>
        <v>6.25</v>
      </c>
      <c r="N123" s="13">
        <f t="shared" si="61"/>
        <v>0.86206896551724133</v>
      </c>
    </row>
    <row r="124" spans="1:14">
      <c r="A124" s="6">
        <v>123</v>
      </c>
      <c r="B124" s="14">
        <v>44992</v>
      </c>
      <c r="C124" s="15">
        <v>30750</v>
      </c>
      <c r="D124" s="16">
        <v>4.8899999999999997</v>
      </c>
      <c r="E124" s="16">
        <v>150</v>
      </c>
      <c r="F124" s="9" t="s">
        <v>918</v>
      </c>
      <c r="G124" s="10">
        <f t="shared" si="54"/>
        <v>30.674846625766872</v>
      </c>
      <c r="H124" s="11">
        <f t="shared" si="55"/>
        <v>74</v>
      </c>
      <c r="I124" s="10">
        <f t="shared" si="56"/>
        <v>12</v>
      </c>
      <c r="J124" s="10">
        <f t="shared" si="57"/>
        <v>6.6452</v>
      </c>
      <c r="K124" s="10">
        <f t="shared" si="58"/>
        <v>6.166666666666667</v>
      </c>
      <c r="L124" s="10">
        <f t="shared" si="59"/>
        <v>0.92798812175204148</v>
      </c>
      <c r="M124" s="12">
        <f t="shared" si="60"/>
        <v>4.166666666666667</v>
      </c>
      <c r="N124" s="13">
        <f t="shared" si="61"/>
        <v>0.67567567567567566</v>
      </c>
    </row>
    <row r="125" spans="1:14">
      <c r="A125" s="6">
        <v>124</v>
      </c>
      <c r="B125" s="14">
        <v>45020</v>
      </c>
      <c r="C125" s="15">
        <v>30952</v>
      </c>
      <c r="D125" s="16">
        <v>4.8899999999999997</v>
      </c>
      <c r="E125" s="16">
        <v>100</v>
      </c>
      <c r="F125" s="9" t="s">
        <v>918</v>
      </c>
      <c r="G125" s="10">
        <f t="shared" si="54"/>
        <v>20.449897750511248</v>
      </c>
      <c r="H125" s="11">
        <f t="shared" si="55"/>
        <v>202</v>
      </c>
      <c r="I125" s="10">
        <f t="shared" si="56"/>
        <v>28</v>
      </c>
      <c r="J125" s="10">
        <f t="shared" si="57"/>
        <v>6.5851999999999995</v>
      </c>
      <c r="K125" s="10">
        <f t="shared" si="58"/>
        <v>7.2142857142857144</v>
      </c>
      <c r="L125" s="10">
        <f t="shared" si="59"/>
        <v>1.0955302366345312</v>
      </c>
      <c r="M125" s="12">
        <f t="shared" si="60"/>
        <v>5.3571428571428568</v>
      </c>
      <c r="N125" s="13">
        <f t="shared" si="61"/>
        <v>0.74257425742574257</v>
      </c>
    </row>
    <row r="126" spans="1:14">
      <c r="A126" s="6">
        <v>125</v>
      </c>
      <c r="B126" s="14">
        <v>45041</v>
      </c>
      <c r="C126" s="15">
        <v>31112</v>
      </c>
      <c r="D126" s="16">
        <v>4.8899999999999997</v>
      </c>
      <c r="E126" s="16">
        <v>100</v>
      </c>
      <c r="F126" s="9" t="s">
        <v>918</v>
      </c>
      <c r="G126" s="10">
        <f t="shared" si="54"/>
        <v>20.449897750511248</v>
      </c>
      <c r="H126" s="11">
        <f t="shared" si="55"/>
        <v>160</v>
      </c>
      <c r="I126" s="10">
        <f t="shared" si="56"/>
        <v>21</v>
      </c>
      <c r="J126" s="10">
        <f t="shared" si="57"/>
        <v>7.8239999999999998</v>
      </c>
      <c r="K126" s="10">
        <f t="shared" si="58"/>
        <v>7.6190476190476186</v>
      </c>
      <c r="L126" s="10">
        <f t="shared" si="59"/>
        <v>0.97380465478624989</v>
      </c>
      <c r="M126" s="12">
        <f t="shared" si="60"/>
        <v>4.7619047619047619</v>
      </c>
      <c r="N126" s="13">
        <f t="shared" si="61"/>
        <v>0.625</v>
      </c>
    </row>
    <row r="127" spans="1:14">
      <c r="A127" s="6">
        <v>126</v>
      </c>
      <c r="B127" s="14">
        <v>45044</v>
      </c>
      <c r="C127" s="15">
        <v>31147</v>
      </c>
      <c r="D127" s="16">
        <v>4.8899999999999997</v>
      </c>
      <c r="E127" s="16">
        <v>206.54</v>
      </c>
      <c r="F127" s="9" t="s">
        <v>918</v>
      </c>
      <c r="G127" s="10">
        <f t="shared" si="54"/>
        <v>42.237218813905933</v>
      </c>
      <c r="H127" s="11">
        <f t="shared" si="55"/>
        <v>35</v>
      </c>
      <c r="I127" s="10">
        <f t="shared" si="56"/>
        <v>3</v>
      </c>
      <c r="J127" s="10">
        <f t="shared" si="57"/>
        <v>1.7115</v>
      </c>
      <c r="K127" s="10">
        <f t="shared" si="58"/>
        <v>11.666666666666666</v>
      </c>
      <c r="L127" s="10">
        <f t="shared" si="59"/>
        <v>6.8166325835037496</v>
      </c>
      <c r="M127" s="12">
        <f t="shared" si="60"/>
        <v>33.333333333333336</v>
      </c>
      <c r="N127" s="13">
        <f t="shared" si="61"/>
        <v>2.8571428571428572</v>
      </c>
    </row>
    <row r="128" spans="1:14">
      <c r="A128" s="6">
        <v>127</v>
      </c>
      <c r="B128" s="14">
        <v>45047</v>
      </c>
      <c r="C128" s="15">
        <v>31514</v>
      </c>
      <c r="D128" s="16">
        <v>5.39</v>
      </c>
      <c r="E128" s="16">
        <v>158.44999999999999</v>
      </c>
      <c r="F128" s="9" t="s">
        <v>918</v>
      </c>
      <c r="G128" s="10">
        <f t="shared" si="54"/>
        <v>29.397031539888683</v>
      </c>
      <c r="H128" s="11">
        <f t="shared" si="55"/>
        <v>367</v>
      </c>
      <c r="I128" s="10">
        <f t="shared" si="56"/>
        <v>3</v>
      </c>
      <c r="J128" s="10">
        <f t="shared" si="57"/>
        <v>8.6890190762079982</v>
      </c>
      <c r="K128" s="10">
        <f t="shared" si="58"/>
        <v>122.33333333333333</v>
      </c>
      <c r="L128" s="10">
        <f t="shared" si="59"/>
        <v>14.079072937968645</v>
      </c>
      <c r="M128" s="12">
        <f t="shared" si="60"/>
        <v>68.846666666666664</v>
      </c>
      <c r="N128" s="13">
        <f t="shared" si="61"/>
        <v>0.56277929155313344</v>
      </c>
    </row>
    <row r="129" spans="1:14">
      <c r="A129" s="6">
        <v>128</v>
      </c>
      <c r="B129" s="14">
        <v>45073</v>
      </c>
      <c r="C129" s="15">
        <v>32062</v>
      </c>
      <c r="D129" s="16">
        <v>5.26</v>
      </c>
      <c r="E129" s="16">
        <v>50</v>
      </c>
      <c r="F129" s="9" t="s">
        <v>918</v>
      </c>
      <c r="G129" s="10">
        <f t="shared" si="54"/>
        <v>9.5057034220532319</v>
      </c>
      <c r="H129" s="11">
        <f t="shared" si="55"/>
        <v>548</v>
      </c>
      <c r="I129" s="10">
        <f t="shared" si="56"/>
        <v>26</v>
      </c>
      <c r="J129" s="10">
        <f t="shared" si="57"/>
        <v>18.64133796150205</v>
      </c>
      <c r="K129" s="10">
        <f t="shared" si="58"/>
        <v>21.076923076923077</v>
      </c>
      <c r="L129" s="10">
        <f t="shared" si="59"/>
        <v>1.1306550592264879</v>
      </c>
      <c r="M129" s="12">
        <f t="shared" si="60"/>
        <v>6.0942307692307685</v>
      </c>
      <c r="N129" s="13">
        <f t="shared" si="61"/>
        <v>0.28914233576642334</v>
      </c>
    </row>
    <row r="130" spans="1:14">
      <c r="A130" s="6">
        <v>129</v>
      </c>
      <c r="B130" s="14">
        <v>45090</v>
      </c>
      <c r="C130" s="15">
        <v>32130</v>
      </c>
      <c r="D130" s="16">
        <v>4.8899999999999997</v>
      </c>
      <c r="E130" s="16">
        <v>100</v>
      </c>
      <c r="F130" s="9" t="s">
        <v>918</v>
      </c>
      <c r="G130" s="10">
        <f t="shared" si="54"/>
        <v>20.449897750511248</v>
      </c>
      <c r="H130" s="11">
        <f t="shared" si="55"/>
        <v>68</v>
      </c>
      <c r="I130" s="10">
        <f t="shared" si="56"/>
        <v>17</v>
      </c>
      <c r="J130" s="10">
        <f t="shared" si="57"/>
        <v>7.1536</v>
      </c>
      <c r="K130" s="10">
        <f t="shared" si="58"/>
        <v>4</v>
      </c>
      <c r="L130" s="10">
        <f t="shared" si="59"/>
        <v>0.55915902482666069</v>
      </c>
      <c r="M130" s="12">
        <f t="shared" si="60"/>
        <v>2.9411764705882355</v>
      </c>
      <c r="N130" s="13">
        <f t="shared" si="61"/>
        <v>0.73529411764705888</v>
      </c>
    </row>
    <row r="131" spans="1:14">
      <c r="A131" s="6">
        <v>130</v>
      </c>
      <c r="B131" s="14">
        <v>45128</v>
      </c>
      <c r="C131" s="15">
        <v>32293</v>
      </c>
      <c r="D131" s="16">
        <v>5.29</v>
      </c>
      <c r="E131" s="16">
        <v>100</v>
      </c>
      <c r="F131" s="9" t="s">
        <v>918</v>
      </c>
      <c r="G131" s="10">
        <f t="shared" si="54"/>
        <v>18.903591682419659</v>
      </c>
      <c r="H131" s="11">
        <f t="shared" si="55"/>
        <v>163</v>
      </c>
      <c r="I131" s="10">
        <f t="shared" si="56"/>
        <v>38</v>
      </c>
      <c r="J131" s="10">
        <f t="shared" si="57"/>
        <v>7.9706999999999999</v>
      </c>
      <c r="K131" s="10">
        <f t="shared" si="58"/>
        <v>4.2894736842105265</v>
      </c>
      <c r="L131" s="10">
        <f t="shared" si="59"/>
        <v>0.53815520396082228</v>
      </c>
      <c r="M131" s="12">
        <f t="shared" si="60"/>
        <v>2.6315789473684212</v>
      </c>
      <c r="N131" s="13">
        <f t="shared" si="61"/>
        <v>0.61349693251533743</v>
      </c>
    </row>
    <row r="132" spans="1:14">
      <c r="A132" s="6">
        <v>131</v>
      </c>
      <c r="B132" s="14">
        <v>45153</v>
      </c>
      <c r="C132" s="15">
        <v>32417</v>
      </c>
      <c r="D132" s="16">
        <v>4.79</v>
      </c>
      <c r="E132" s="16">
        <v>100</v>
      </c>
      <c r="F132" s="9" t="s">
        <v>918</v>
      </c>
      <c r="G132" s="10">
        <f t="shared" si="54"/>
        <v>20.876826722338205</v>
      </c>
      <c r="H132" s="11">
        <f t="shared" si="55"/>
        <v>124</v>
      </c>
      <c r="I132" s="10">
        <f t="shared" si="56"/>
        <v>25</v>
      </c>
      <c r="J132" s="10">
        <f t="shared" si="57"/>
        <v>6.5596000000000005</v>
      </c>
      <c r="K132" s="10">
        <f t="shared" si="58"/>
        <v>4.96</v>
      </c>
      <c r="L132" s="10">
        <f t="shared" si="59"/>
        <v>0.75614366729678639</v>
      </c>
      <c r="M132" s="12">
        <f t="shared" si="60"/>
        <v>4</v>
      </c>
      <c r="N132" s="13">
        <f t="shared" si="61"/>
        <v>0.80645161290322576</v>
      </c>
    </row>
    <row r="133" spans="1:14">
      <c r="A133" s="6">
        <v>132</v>
      </c>
      <c r="B133" s="14">
        <v>45174</v>
      </c>
      <c r="C133" s="15">
        <v>32591</v>
      </c>
      <c r="D133" s="16">
        <v>4.99</v>
      </c>
      <c r="E133" s="16">
        <v>50</v>
      </c>
      <c r="F133" s="9" t="s">
        <v>918</v>
      </c>
      <c r="G133" s="10">
        <f t="shared" si="54"/>
        <v>10.020040080160321</v>
      </c>
      <c r="H133" s="11">
        <f t="shared" si="55"/>
        <v>174</v>
      </c>
      <c r="I133" s="10">
        <f t="shared" si="56"/>
        <v>21</v>
      </c>
      <c r="J133" s="10">
        <f t="shared" si="57"/>
        <v>8.3346</v>
      </c>
      <c r="K133" s="10">
        <f t="shared" si="58"/>
        <v>8.2857142857142865</v>
      </c>
      <c r="L133" s="10">
        <f t="shared" si="59"/>
        <v>0.99413460582562885</v>
      </c>
      <c r="M133" s="12">
        <f t="shared" si="60"/>
        <v>4.7619047619047619</v>
      </c>
      <c r="N133" s="13">
        <f t="shared" si="61"/>
        <v>0.57471264367816088</v>
      </c>
    </row>
    <row r="134" spans="1:14">
      <c r="A134" s="6">
        <v>133</v>
      </c>
      <c r="B134" s="14">
        <v>45182</v>
      </c>
      <c r="C134" s="15">
        <v>32668</v>
      </c>
      <c r="D134" s="16">
        <v>4.99</v>
      </c>
      <c r="E134" s="16">
        <v>100</v>
      </c>
      <c r="F134" s="9" t="s">
        <v>918</v>
      </c>
      <c r="G134" s="10">
        <f t="shared" si="54"/>
        <v>20.040080160320642</v>
      </c>
      <c r="H134" s="11">
        <f t="shared" si="55"/>
        <v>77</v>
      </c>
      <c r="I134" s="10">
        <f t="shared" si="56"/>
        <v>8</v>
      </c>
      <c r="J134" s="10">
        <f t="shared" si="57"/>
        <v>7.6845999999999997</v>
      </c>
      <c r="K134" s="10">
        <f t="shared" si="58"/>
        <v>9.625</v>
      </c>
      <c r="L134" s="10">
        <f t="shared" si="59"/>
        <v>1.2525050100200401</v>
      </c>
      <c r="M134" s="12">
        <f t="shared" si="60"/>
        <v>6.25</v>
      </c>
      <c r="N134" s="13">
        <f t="shared" si="61"/>
        <v>0.64935064935064934</v>
      </c>
    </row>
    <row r="135" spans="1:14">
      <c r="A135" s="6">
        <v>134</v>
      </c>
      <c r="B135" s="14">
        <v>45209</v>
      </c>
      <c r="C135" s="15">
        <v>32895</v>
      </c>
      <c r="D135" s="16">
        <v>4.99</v>
      </c>
      <c r="E135" s="16">
        <v>100</v>
      </c>
      <c r="F135" s="9" t="s">
        <v>918</v>
      </c>
      <c r="G135" s="10">
        <f t="shared" si="54"/>
        <v>20.040080160320642</v>
      </c>
      <c r="H135" s="11">
        <f t="shared" si="55"/>
        <v>227</v>
      </c>
      <c r="I135" s="10">
        <f t="shared" si="56"/>
        <v>27</v>
      </c>
      <c r="J135" s="10">
        <f t="shared" si="57"/>
        <v>11.327299999999999</v>
      </c>
      <c r="K135" s="10">
        <f t="shared" si="58"/>
        <v>8.4074074074074066</v>
      </c>
      <c r="L135" s="10">
        <f t="shared" si="59"/>
        <v>0.74222519112298668</v>
      </c>
      <c r="M135" s="12">
        <f t="shared" si="60"/>
        <v>3.7037037037037037</v>
      </c>
      <c r="N135" s="13">
        <f t="shared" si="61"/>
        <v>0.44052863436123346</v>
      </c>
    </row>
    <row r="136" spans="1:14">
      <c r="A136" s="6">
        <v>135</v>
      </c>
      <c r="B136" s="14">
        <v>45211</v>
      </c>
      <c r="C136" s="15">
        <v>33050</v>
      </c>
      <c r="D136" s="16">
        <v>6.19</v>
      </c>
      <c r="E136" s="16">
        <v>150</v>
      </c>
      <c r="F136" s="9" t="s">
        <v>918</v>
      </c>
      <c r="G136" s="10">
        <f t="shared" si="54"/>
        <v>24.232633279483036</v>
      </c>
      <c r="H136" s="11">
        <f t="shared" si="55"/>
        <v>155</v>
      </c>
      <c r="I136" s="10">
        <f t="shared" si="56"/>
        <v>2</v>
      </c>
      <c r="J136" s="10">
        <f t="shared" si="57"/>
        <v>7.7344999999999997</v>
      </c>
      <c r="K136" s="10">
        <f t="shared" si="58"/>
        <v>77.5</v>
      </c>
      <c r="L136" s="10">
        <f t="shared" si="59"/>
        <v>10.020040080160321</v>
      </c>
      <c r="M136" s="12">
        <f t="shared" si="60"/>
        <v>50</v>
      </c>
      <c r="N136" s="13">
        <f t="shared" si="61"/>
        <v>0.64516129032258063</v>
      </c>
    </row>
    <row r="137" spans="1:14">
      <c r="A137" s="6">
        <v>136</v>
      </c>
      <c r="B137" s="14">
        <v>45214</v>
      </c>
      <c r="C137" s="15">
        <v>33191</v>
      </c>
      <c r="D137" s="16">
        <v>5.69</v>
      </c>
      <c r="E137" s="16">
        <v>150</v>
      </c>
      <c r="F137" s="9" t="s">
        <v>918</v>
      </c>
      <c r="G137" s="10">
        <f t="shared" si="54"/>
        <v>26.362038664323372</v>
      </c>
      <c r="H137" s="11">
        <f t="shared" si="55"/>
        <v>141</v>
      </c>
      <c r="I137" s="10">
        <f t="shared" si="56"/>
        <v>3</v>
      </c>
      <c r="J137" s="10">
        <f t="shared" si="57"/>
        <v>5.8186</v>
      </c>
      <c r="K137" s="10">
        <f t="shared" si="58"/>
        <v>47</v>
      </c>
      <c r="L137" s="10">
        <f t="shared" si="59"/>
        <v>8.0775444264943452</v>
      </c>
      <c r="M137" s="12">
        <f t="shared" si="60"/>
        <v>50</v>
      </c>
      <c r="N137" s="13">
        <f t="shared" si="61"/>
        <v>1.0638297872340425</v>
      </c>
    </row>
    <row r="138" spans="1:14">
      <c r="A138" s="6">
        <v>137</v>
      </c>
      <c r="B138" s="14">
        <v>45230</v>
      </c>
      <c r="C138" s="15">
        <v>33647</v>
      </c>
      <c r="D138" s="16">
        <v>4.99</v>
      </c>
      <c r="E138" s="16">
        <v>100</v>
      </c>
      <c r="F138" s="9" t="s">
        <v>918</v>
      </c>
      <c r="G138" s="10">
        <f t="shared" si="54"/>
        <v>20.040080160320642</v>
      </c>
      <c r="H138" s="11">
        <f t="shared" ref="H138:H161" si="62">IF(C138="","",C138-C137)</f>
        <v>456</v>
      </c>
      <c r="I138" s="10">
        <f t="shared" ref="I138:I161" si="63">IF(B138="","",B138-B137)</f>
        <v>16</v>
      </c>
      <c r="J138" s="10">
        <f t="shared" ref="J138:J161" si="64">IF(H138="","",H138/G137)</f>
        <v>17.297600000000003</v>
      </c>
      <c r="K138" s="10">
        <f t="shared" ref="K138:K161" si="65">IF(H138&lt;&gt;"",IF(I138&gt;0,H138/I138,H138),"" )</f>
        <v>28.5</v>
      </c>
      <c r="L138" s="10">
        <f t="shared" ref="L138:L161" si="66">IF(I138="","",IF(I138=0,G138,G137/I138))</f>
        <v>1.6476274165202107</v>
      </c>
      <c r="M138" s="12">
        <f t="shared" ref="M138:M161" si="67">IF(I138="","",IF(I138=0,E137,E137/I138))</f>
        <v>9.375</v>
      </c>
      <c r="N138" s="13">
        <f t="shared" ref="N138:N161" si="68">IF(H138="","",E137/H138)</f>
        <v>0.32894736842105265</v>
      </c>
    </row>
    <row r="139" spans="1:14">
      <c r="A139" s="6">
        <v>138</v>
      </c>
      <c r="B139" s="14">
        <v>45244</v>
      </c>
      <c r="C139" s="15">
        <v>33809</v>
      </c>
      <c r="D139" s="16">
        <v>4.8899999999999997</v>
      </c>
      <c r="E139" s="16">
        <v>100</v>
      </c>
      <c r="F139" s="9" t="s">
        <v>918</v>
      </c>
      <c r="G139" s="10">
        <f t="shared" si="54"/>
        <v>20.449897750511248</v>
      </c>
      <c r="H139" s="11">
        <f t="shared" si="62"/>
        <v>162</v>
      </c>
      <c r="I139" s="10">
        <f t="shared" si="63"/>
        <v>14</v>
      </c>
      <c r="J139" s="10">
        <f t="shared" si="64"/>
        <v>8.0838000000000001</v>
      </c>
      <c r="K139" s="10">
        <f t="shared" si="65"/>
        <v>11.571428571428571</v>
      </c>
      <c r="L139" s="10">
        <f t="shared" si="66"/>
        <v>1.4314342971657601</v>
      </c>
      <c r="M139" s="12">
        <f t="shared" si="67"/>
        <v>7.1428571428571432</v>
      </c>
      <c r="N139" s="13">
        <f t="shared" si="68"/>
        <v>0.61728395061728392</v>
      </c>
    </row>
    <row r="140" spans="1:14">
      <c r="A140" s="6">
        <v>139</v>
      </c>
      <c r="B140" s="14">
        <v>45255</v>
      </c>
      <c r="C140" s="15">
        <v>33943</v>
      </c>
      <c r="D140" s="16">
        <v>5.2990000000000004</v>
      </c>
      <c r="E140" s="16">
        <v>150</v>
      </c>
      <c r="F140" s="9" t="s">
        <v>918</v>
      </c>
      <c r="G140" s="10">
        <f t="shared" si="54"/>
        <v>28.307227778826192</v>
      </c>
      <c r="H140" s="11">
        <f t="shared" si="62"/>
        <v>134</v>
      </c>
      <c r="I140" s="10">
        <f t="shared" si="63"/>
        <v>11</v>
      </c>
      <c r="J140" s="10">
        <f t="shared" si="64"/>
        <v>6.5526</v>
      </c>
      <c r="K140" s="10">
        <f t="shared" si="65"/>
        <v>12.181818181818182</v>
      </c>
      <c r="L140" s="10">
        <f t="shared" si="66"/>
        <v>1.8590816136828408</v>
      </c>
      <c r="M140" s="12">
        <f t="shared" si="67"/>
        <v>9.0909090909090917</v>
      </c>
      <c r="N140" s="13">
        <f t="shared" si="68"/>
        <v>0.74626865671641796</v>
      </c>
    </row>
    <row r="141" spans="1:14">
      <c r="A141" s="6">
        <v>140</v>
      </c>
      <c r="B141" s="14">
        <v>45269</v>
      </c>
      <c r="C141" s="15">
        <v>34159</v>
      </c>
      <c r="D141" s="16">
        <v>5.59</v>
      </c>
      <c r="E141" s="16">
        <v>50</v>
      </c>
      <c r="F141" s="9" t="s">
        <v>918</v>
      </c>
      <c r="G141" s="10">
        <f t="shared" si="54"/>
        <v>8.9445438282647594</v>
      </c>
      <c r="H141" s="11">
        <f t="shared" si="62"/>
        <v>216</v>
      </c>
      <c r="I141" s="10">
        <f t="shared" si="63"/>
        <v>14</v>
      </c>
      <c r="J141" s="10">
        <f t="shared" si="64"/>
        <v>7.63056</v>
      </c>
      <c r="K141" s="10">
        <f t="shared" si="65"/>
        <v>15.428571428571429</v>
      </c>
      <c r="L141" s="10">
        <f t="shared" si="66"/>
        <v>2.0219448413447281</v>
      </c>
      <c r="M141" s="12">
        <f t="shared" si="67"/>
        <v>10.714285714285714</v>
      </c>
      <c r="N141" s="13">
        <f t="shared" si="68"/>
        <v>0.69444444444444442</v>
      </c>
    </row>
    <row r="142" spans="1:14">
      <c r="A142" s="6">
        <v>141</v>
      </c>
      <c r="B142" s="14">
        <v>45275</v>
      </c>
      <c r="C142" s="15">
        <v>34227</v>
      </c>
      <c r="D142" s="16">
        <v>4.8899999999999997</v>
      </c>
      <c r="E142" s="16">
        <v>280.2</v>
      </c>
      <c r="F142" s="9" t="s">
        <v>918</v>
      </c>
      <c r="G142" s="10">
        <f t="shared" si="54"/>
        <v>57.30061349693252</v>
      </c>
      <c r="H142" s="11">
        <f t="shared" si="62"/>
        <v>68</v>
      </c>
      <c r="I142" s="10">
        <f t="shared" si="63"/>
        <v>6</v>
      </c>
      <c r="J142" s="10">
        <f t="shared" si="64"/>
        <v>7.6023999999999994</v>
      </c>
      <c r="K142" s="10">
        <f t="shared" si="65"/>
        <v>11.333333333333334</v>
      </c>
      <c r="L142" s="10">
        <f t="shared" si="66"/>
        <v>1.4907573047107932</v>
      </c>
      <c r="M142" s="12">
        <f t="shared" si="67"/>
        <v>8.3333333333333339</v>
      </c>
      <c r="N142" s="13">
        <f t="shared" si="68"/>
        <v>0.73529411764705888</v>
      </c>
    </row>
    <row r="143" spans="1:14">
      <c r="A143" s="6">
        <v>142</v>
      </c>
      <c r="B143" s="14">
        <v>45277</v>
      </c>
      <c r="C143" s="15">
        <v>34581</v>
      </c>
      <c r="D143" s="16">
        <v>5.64</v>
      </c>
      <c r="E143" s="16">
        <v>151.31</v>
      </c>
      <c r="F143" s="9" t="s">
        <v>918</v>
      </c>
      <c r="G143" s="10">
        <f t="shared" si="54"/>
        <v>26.828014184397166</v>
      </c>
      <c r="H143" s="11">
        <f t="shared" si="62"/>
        <v>354</v>
      </c>
      <c r="I143" s="10">
        <f t="shared" si="63"/>
        <v>2</v>
      </c>
      <c r="J143" s="10">
        <f t="shared" si="64"/>
        <v>6.1779443254817981</v>
      </c>
      <c r="K143" s="10">
        <f t="shared" si="65"/>
        <v>177</v>
      </c>
      <c r="L143" s="10">
        <f t="shared" si="66"/>
        <v>28.65030674846626</v>
      </c>
      <c r="M143" s="12">
        <f t="shared" si="67"/>
        <v>140.1</v>
      </c>
      <c r="N143" s="13">
        <f t="shared" si="68"/>
        <v>0.79152542372881352</v>
      </c>
    </row>
    <row r="144" spans="1:14">
      <c r="A144" s="6">
        <v>143</v>
      </c>
      <c r="B144" s="14">
        <v>45305</v>
      </c>
      <c r="C144" s="15">
        <v>35126</v>
      </c>
      <c r="D144" s="16">
        <v>4.95</v>
      </c>
      <c r="E144" s="16">
        <v>50</v>
      </c>
      <c r="F144" s="9" t="s">
        <v>918</v>
      </c>
      <c r="G144" s="10">
        <f t="shared" si="54"/>
        <v>10.1010101010101</v>
      </c>
      <c r="H144" s="11">
        <f t="shared" si="62"/>
        <v>545</v>
      </c>
      <c r="I144" s="10">
        <f t="shared" si="63"/>
        <v>28</v>
      </c>
      <c r="J144" s="10">
        <f t="shared" si="64"/>
        <v>20.314585949375452</v>
      </c>
      <c r="K144" s="10">
        <f t="shared" si="65"/>
        <v>19.464285714285715</v>
      </c>
      <c r="L144" s="10">
        <f t="shared" si="66"/>
        <v>0.9581433637284702</v>
      </c>
      <c r="M144" s="12">
        <f t="shared" si="67"/>
        <v>5.4039285714285716</v>
      </c>
      <c r="N144" s="13">
        <f t="shared" si="68"/>
        <v>0.27763302752293578</v>
      </c>
    </row>
    <row r="145" spans="1:14">
      <c r="A145" s="6">
        <v>144</v>
      </c>
      <c r="B145" s="14">
        <v>45313</v>
      </c>
      <c r="C145" s="15">
        <v>35164</v>
      </c>
      <c r="D145" s="16">
        <v>4.99</v>
      </c>
      <c r="E145" s="16">
        <v>60</v>
      </c>
      <c r="F145" s="9" t="s">
        <v>918</v>
      </c>
      <c r="G145" s="10">
        <f t="shared" si="54"/>
        <v>12.024048096192384</v>
      </c>
      <c r="H145" s="11">
        <f t="shared" si="62"/>
        <v>38</v>
      </c>
      <c r="I145" s="10">
        <f t="shared" si="63"/>
        <v>8</v>
      </c>
      <c r="J145" s="10">
        <f t="shared" si="64"/>
        <v>3.7620000000000005</v>
      </c>
      <c r="K145" s="10">
        <f t="shared" si="65"/>
        <v>4.75</v>
      </c>
      <c r="L145" s="10">
        <f t="shared" si="66"/>
        <v>1.2626262626262625</v>
      </c>
      <c r="M145" s="12">
        <f t="shared" si="67"/>
        <v>6.25</v>
      </c>
      <c r="N145" s="13">
        <f t="shared" si="68"/>
        <v>1.3157894736842106</v>
      </c>
    </row>
    <row r="146" spans="1:14">
      <c r="A146" s="6">
        <v>145</v>
      </c>
      <c r="B146" s="14">
        <v>45315</v>
      </c>
      <c r="C146" s="15">
        <v>35196</v>
      </c>
      <c r="D146" s="16">
        <v>4.99</v>
      </c>
      <c r="E146" s="16">
        <v>234.11</v>
      </c>
      <c r="F146" s="9" t="s">
        <v>918</v>
      </c>
      <c r="G146" s="10">
        <f t="shared" si="54"/>
        <v>46.915831663326657</v>
      </c>
      <c r="H146" s="11">
        <f t="shared" si="62"/>
        <v>32</v>
      </c>
      <c r="I146" s="10">
        <f t="shared" si="63"/>
        <v>2</v>
      </c>
      <c r="J146" s="10">
        <f t="shared" si="64"/>
        <v>2.6613333333333333</v>
      </c>
      <c r="K146" s="10">
        <f t="shared" si="65"/>
        <v>16</v>
      </c>
      <c r="L146" s="10">
        <f t="shared" si="66"/>
        <v>6.0120240480961922</v>
      </c>
      <c r="M146" s="12">
        <f t="shared" si="67"/>
        <v>30</v>
      </c>
      <c r="N146" s="13">
        <f t="shared" si="68"/>
        <v>1.875</v>
      </c>
    </row>
    <row r="147" spans="1:14">
      <c r="A147" s="6">
        <v>146</v>
      </c>
      <c r="B147" s="14">
        <v>45319</v>
      </c>
      <c r="C147" s="15">
        <v>35586</v>
      </c>
      <c r="D147" s="16">
        <v>4.6399999999999997</v>
      </c>
      <c r="E147" s="16">
        <v>191.37</v>
      </c>
      <c r="F147" s="9" t="s">
        <v>918</v>
      </c>
      <c r="G147" s="10">
        <f t="shared" si="54"/>
        <v>41.243534482758626</v>
      </c>
      <c r="H147" s="11">
        <f t="shared" si="62"/>
        <v>390</v>
      </c>
      <c r="I147" s="10">
        <f t="shared" si="63"/>
        <v>4</v>
      </c>
      <c r="J147" s="10">
        <f t="shared" si="64"/>
        <v>8.3127589594634994</v>
      </c>
      <c r="K147" s="10">
        <f t="shared" si="65"/>
        <v>97.5</v>
      </c>
      <c r="L147" s="10">
        <f t="shared" si="66"/>
        <v>11.728957915831664</v>
      </c>
      <c r="M147" s="12">
        <f t="shared" si="67"/>
        <v>58.527500000000003</v>
      </c>
      <c r="N147" s="13">
        <f t="shared" si="68"/>
        <v>0.60028205128205137</v>
      </c>
    </row>
    <row r="148" spans="1:14">
      <c r="A148" s="6">
        <v>147</v>
      </c>
      <c r="B148" s="14">
        <v>45332</v>
      </c>
      <c r="C148" s="15">
        <v>36033</v>
      </c>
      <c r="D148" s="16">
        <v>5.15</v>
      </c>
      <c r="E148" s="16">
        <v>238.85</v>
      </c>
      <c r="F148" s="9" t="s">
        <v>918</v>
      </c>
      <c r="G148" s="10">
        <f t="shared" si="54"/>
        <v>46.378640776699022</v>
      </c>
      <c r="H148" s="11">
        <f t="shared" si="62"/>
        <v>447</v>
      </c>
      <c r="I148" s="10">
        <f t="shared" si="63"/>
        <v>13</v>
      </c>
      <c r="J148" s="10">
        <f t="shared" si="64"/>
        <v>10.838062392224485</v>
      </c>
      <c r="K148" s="10">
        <f t="shared" si="65"/>
        <v>34.384615384615387</v>
      </c>
      <c r="L148" s="10">
        <f t="shared" si="66"/>
        <v>3.1725795755968176</v>
      </c>
      <c r="M148" s="12">
        <f t="shared" si="67"/>
        <v>14.720769230769232</v>
      </c>
      <c r="N148" s="13">
        <f t="shared" si="68"/>
        <v>0.4281208053691275</v>
      </c>
    </row>
    <row r="149" spans="1:14">
      <c r="A149" s="6">
        <v>148</v>
      </c>
      <c r="B149" s="14">
        <v>45335</v>
      </c>
      <c r="C149" s="15">
        <v>36384</v>
      </c>
      <c r="D149" s="16">
        <v>5.79</v>
      </c>
      <c r="E149" s="16">
        <v>149.46</v>
      </c>
      <c r="F149" s="9" t="s">
        <v>918</v>
      </c>
      <c r="G149" s="10">
        <f t="shared" si="54"/>
        <v>25.813471502590676</v>
      </c>
      <c r="H149" s="11">
        <f t="shared" si="62"/>
        <v>351</v>
      </c>
      <c r="I149" s="10">
        <f t="shared" si="63"/>
        <v>3</v>
      </c>
      <c r="J149" s="10">
        <f t="shared" si="64"/>
        <v>7.5681389993719916</v>
      </c>
      <c r="K149" s="10">
        <f t="shared" si="65"/>
        <v>117</v>
      </c>
      <c r="L149" s="10">
        <f t="shared" si="66"/>
        <v>15.459546925566341</v>
      </c>
      <c r="M149" s="12">
        <f t="shared" si="67"/>
        <v>79.61666666666666</v>
      </c>
      <c r="N149" s="13">
        <f t="shared" si="68"/>
        <v>0.68048433048433044</v>
      </c>
    </row>
    <row r="150" spans="1:14">
      <c r="A150" s="6">
        <v>149</v>
      </c>
      <c r="B150" s="14">
        <v>45353</v>
      </c>
      <c r="C150" s="15">
        <v>36913</v>
      </c>
      <c r="D150" s="16">
        <v>5.09</v>
      </c>
      <c r="E150" s="16">
        <v>50</v>
      </c>
      <c r="F150" s="9" t="s">
        <v>918</v>
      </c>
      <c r="G150" s="10">
        <f t="shared" si="54"/>
        <v>9.8231827111984291</v>
      </c>
      <c r="H150" s="11">
        <f t="shared" si="62"/>
        <v>529</v>
      </c>
      <c r="I150" s="10">
        <f t="shared" si="63"/>
        <v>18</v>
      </c>
      <c r="J150" s="10">
        <f t="shared" si="64"/>
        <v>20.493175431553592</v>
      </c>
      <c r="K150" s="10">
        <f t="shared" si="65"/>
        <v>29.388888888888889</v>
      </c>
      <c r="L150" s="10">
        <f t="shared" si="66"/>
        <v>1.4340817501439265</v>
      </c>
      <c r="M150" s="12">
        <f t="shared" si="67"/>
        <v>8.3033333333333346</v>
      </c>
      <c r="N150" s="13">
        <f t="shared" si="68"/>
        <v>0.28253308128544424</v>
      </c>
    </row>
    <row r="151" spans="1:14">
      <c r="A151" s="6">
        <v>150</v>
      </c>
      <c r="B151" s="14">
        <v>45357</v>
      </c>
      <c r="C151" s="15">
        <v>36988</v>
      </c>
      <c r="D151" s="16">
        <v>5.09</v>
      </c>
      <c r="E151" s="16">
        <v>60</v>
      </c>
      <c r="F151" s="9" t="s">
        <v>918</v>
      </c>
      <c r="G151" s="10">
        <f t="shared" si="54"/>
        <v>11.787819253438114</v>
      </c>
      <c r="H151" s="11">
        <f t="shared" si="62"/>
        <v>75</v>
      </c>
      <c r="I151" s="10">
        <f t="shared" si="63"/>
        <v>4</v>
      </c>
      <c r="J151" s="10">
        <f t="shared" si="64"/>
        <v>7.6349999999999998</v>
      </c>
      <c r="K151" s="10">
        <f t="shared" si="65"/>
        <v>18.75</v>
      </c>
      <c r="L151" s="10">
        <f t="shared" si="66"/>
        <v>2.4557956777996073</v>
      </c>
      <c r="M151" s="12">
        <f t="shared" si="67"/>
        <v>12.5</v>
      </c>
      <c r="N151" s="13">
        <f t="shared" si="68"/>
        <v>0.66666666666666663</v>
      </c>
    </row>
    <row r="152" spans="1:14">
      <c r="A152" s="6">
        <v>151</v>
      </c>
      <c r="B152" s="14">
        <v>45363</v>
      </c>
      <c r="C152" s="15">
        <v>37062</v>
      </c>
      <c r="D152" s="16">
        <v>5.09</v>
      </c>
      <c r="E152" s="16">
        <v>100</v>
      </c>
      <c r="F152" s="9" t="s">
        <v>918</v>
      </c>
      <c r="G152" s="10">
        <f t="shared" si="54"/>
        <v>19.646365422396858</v>
      </c>
      <c r="H152" s="11">
        <f t="shared" si="62"/>
        <v>74</v>
      </c>
      <c r="I152" s="10">
        <f t="shared" si="63"/>
        <v>6</v>
      </c>
      <c r="J152" s="10">
        <f t="shared" si="64"/>
        <v>6.2776666666666667</v>
      </c>
      <c r="K152" s="10">
        <f t="shared" si="65"/>
        <v>12.333333333333334</v>
      </c>
      <c r="L152" s="10">
        <f t="shared" si="66"/>
        <v>1.9646365422396856</v>
      </c>
      <c r="M152" s="12">
        <f t="shared" si="67"/>
        <v>10</v>
      </c>
      <c r="N152" s="13">
        <f t="shared" si="68"/>
        <v>0.81081081081081086</v>
      </c>
    </row>
    <row r="153" spans="1:14">
      <c r="A153" s="6">
        <v>152</v>
      </c>
      <c r="B153" s="14">
        <v>45373</v>
      </c>
      <c r="C153" s="15">
        <v>37184</v>
      </c>
      <c r="D153" s="16">
        <v>6.19</v>
      </c>
      <c r="E153" s="16">
        <v>100</v>
      </c>
      <c r="F153" s="9" t="s">
        <v>918</v>
      </c>
      <c r="G153" s="10">
        <f t="shared" si="54"/>
        <v>16.15508885298869</v>
      </c>
      <c r="H153" s="11">
        <f t="shared" si="62"/>
        <v>122</v>
      </c>
      <c r="I153" s="10">
        <f t="shared" si="63"/>
        <v>10</v>
      </c>
      <c r="J153" s="10">
        <f t="shared" si="64"/>
        <v>6.2097999999999995</v>
      </c>
      <c r="K153" s="10">
        <f t="shared" si="65"/>
        <v>12.2</v>
      </c>
      <c r="L153" s="10">
        <f t="shared" si="66"/>
        <v>1.9646365422396859</v>
      </c>
      <c r="M153" s="12">
        <f t="shared" si="67"/>
        <v>10</v>
      </c>
      <c r="N153" s="13">
        <f t="shared" si="68"/>
        <v>0.81967213114754101</v>
      </c>
    </row>
    <row r="154" spans="1:14">
      <c r="A154" s="6">
        <v>153</v>
      </c>
      <c r="B154" s="14">
        <v>45398</v>
      </c>
      <c r="C154" s="15">
        <v>37331</v>
      </c>
      <c r="D154" s="16">
        <v>5.19</v>
      </c>
      <c r="E154" s="16">
        <v>100</v>
      </c>
      <c r="F154" s="9" t="s">
        <v>918</v>
      </c>
      <c r="G154" s="10">
        <f t="shared" si="54"/>
        <v>19.267822736030826</v>
      </c>
      <c r="H154" s="11">
        <f t="shared" si="62"/>
        <v>147</v>
      </c>
      <c r="I154" s="10">
        <f t="shared" si="63"/>
        <v>25</v>
      </c>
      <c r="J154" s="10">
        <f t="shared" si="64"/>
        <v>9.0993000000000013</v>
      </c>
      <c r="K154" s="10">
        <f t="shared" si="65"/>
        <v>5.88</v>
      </c>
      <c r="L154" s="10">
        <f t="shared" si="66"/>
        <v>0.64620355411954766</v>
      </c>
      <c r="M154" s="12">
        <f t="shared" si="67"/>
        <v>4</v>
      </c>
      <c r="N154" s="13">
        <f t="shared" si="68"/>
        <v>0.68027210884353739</v>
      </c>
    </row>
    <row r="155" spans="1:14">
      <c r="A155" s="6">
        <v>154</v>
      </c>
      <c r="B155" s="14">
        <v>45406</v>
      </c>
      <c r="C155" s="15">
        <v>37458</v>
      </c>
      <c r="D155" s="16">
        <v>5.19</v>
      </c>
      <c r="E155" s="16">
        <v>60</v>
      </c>
      <c r="F155" s="9" t="s">
        <v>918</v>
      </c>
      <c r="G155" s="10">
        <f t="shared" si="54"/>
        <v>11.560693641618496</v>
      </c>
      <c r="H155" s="11">
        <f t="shared" si="62"/>
        <v>127</v>
      </c>
      <c r="I155" s="10">
        <f t="shared" si="63"/>
        <v>8</v>
      </c>
      <c r="J155" s="10">
        <f t="shared" si="64"/>
        <v>6.5913000000000004</v>
      </c>
      <c r="K155" s="10">
        <f t="shared" si="65"/>
        <v>15.875</v>
      </c>
      <c r="L155" s="10">
        <f t="shared" si="66"/>
        <v>2.4084778420038533</v>
      </c>
      <c r="M155" s="12">
        <f t="shared" si="67"/>
        <v>12.5</v>
      </c>
      <c r="N155" s="13">
        <f t="shared" si="68"/>
        <v>0.78740157480314965</v>
      </c>
    </row>
    <row r="156" spans="1:14">
      <c r="A156" s="6">
        <v>155</v>
      </c>
      <c r="B156" s="14">
        <v>45412</v>
      </c>
      <c r="C156" s="15">
        <v>37513</v>
      </c>
      <c r="D156" s="16">
        <v>5.19</v>
      </c>
      <c r="E156" s="16">
        <v>276.7</v>
      </c>
      <c r="F156" s="9" t="s">
        <v>918</v>
      </c>
      <c r="G156" s="10">
        <f t="shared" si="54"/>
        <v>53.314065510597295</v>
      </c>
      <c r="H156" s="11">
        <f t="shared" si="62"/>
        <v>55</v>
      </c>
      <c r="I156" s="10">
        <f t="shared" si="63"/>
        <v>6</v>
      </c>
      <c r="J156" s="10">
        <f t="shared" si="64"/>
        <v>4.7575000000000003</v>
      </c>
      <c r="K156" s="10">
        <f t="shared" si="65"/>
        <v>9.1666666666666661</v>
      </c>
      <c r="L156" s="10">
        <f t="shared" si="66"/>
        <v>1.9267822736030826</v>
      </c>
      <c r="M156" s="12">
        <f t="shared" si="67"/>
        <v>10</v>
      </c>
      <c r="N156" s="13">
        <f t="shared" si="68"/>
        <v>1.0909090909090908</v>
      </c>
    </row>
    <row r="157" spans="1:14">
      <c r="A157" s="6">
        <v>156</v>
      </c>
      <c r="B157" s="14">
        <v>45417</v>
      </c>
      <c r="C157" s="15">
        <v>37913</v>
      </c>
      <c r="D157" s="16">
        <v>5.89</v>
      </c>
      <c r="E157" s="16">
        <v>201.01</v>
      </c>
      <c r="F157" s="9" t="s">
        <v>918</v>
      </c>
      <c r="G157" s="10">
        <f t="shared" si="54"/>
        <v>34.127334465195247</v>
      </c>
      <c r="H157" s="11">
        <f t="shared" si="62"/>
        <v>400</v>
      </c>
      <c r="I157" s="10">
        <f t="shared" si="63"/>
        <v>5</v>
      </c>
      <c r="J157" s="10">
        <f t="shared" si="64"/>
        <v>7.5027105168052053</v>
      </c>
      <c r="K157" s="10">
        <f t="shared" si="65"/>
        <v>80</v>
      </c>
      <c r="L157" s="10">
        <f t="shared" si="66"/>
        <v>10.662813102119459</v>
      </c>
      <c r="M157" s="12">
        <f t="shared" si="67"/>
        <v>55.339999999999996</v>
      </c>
      <c r="N157" s="13">
        <f t="shared" si="68"/>
        <v>0.69174999999999998</v>
      </c>
    </row>
    <row r="158" spans="1:14">
      <c r="A158" s="6">
        <v>157</v>
      </c>
      <c r="B158" s="14">
        <v>45427</v>
      </c>
      <c r="C158" s="15">
        <v>38403</v>
      </c>
      <c r="D158" s="16">
        <v>5.19</v>
      </c>
      <c r="E158" s="16">
        <v>60</v>
      </c>
      <c r="F158" s="9" t="s">
        <v>918</v>
      </c>
      <c r="G158" s="10">
        <f t="shared" si="54"/>
        <v>11.560693641618496</v>
      </c>
      <c r="H158" s="11">
        <f t="shared" si="62"/>
        <v>490</v>
      </c>
      <c r="I158" s="10">
        <f t="shared" si="63"/>
        <v>10</v>
      </c>
      <c r="J158" s="10">
        <f t="shared" si="64"/>
        <v>14.357992139694542</v>
      </c>
      <c r="K158" s="10">
        <f t="shared" si="65"/>
        <v>49</v>
      </c>
      <c r="L158" s="10">
        <f t="shared" si="66"/>
        <v>3.4127334465195247</v>
      </c>
      <c r="M158" s="12">
        <f t="shared" si="67"/>
        <v>20.100999999999999</v>
      </c>
      <c r="N158" s="13">
        <f t="shared" si="68"/>
        <v>0.41022448979591836</v>
      </c>
    </row>
    <row r="159" spans="1:14">
      <c r="A159" s="6">
        <v>158</v>
      </c>
      <c r="B159" s="14">
        <v>45447</v>
      </c>
      <c r="C159" s="15">
        <v>38503</v>
      </c>
      <c r="D159" s="16">
        <v>5.15</v>
      </c>
      <c r="E159" s="16">
        <v>100</v>
      </c>
      <c r="F159" s="9" t="s">
        <v>918</v>
      </c>
      <c r="G159" s="10">
        <f t="shared" si="54"/>
        <v>19.417475728155338</v>
      </c>
      <c r="H159" s="11">
        <f t="shared" si="62"/>
        <v>100</v>
      </c>
      <c r="I159" s="10">
        <f t="shared" si="63"/>
        <v>20</v>
      </c>
      <c r="J159" s="10">
        <f t="shared" si="64"/>
        <v>8.65</v>
      </c>
      <c r="K159" s="10">
        <f t="shared" si="65"/>
        <v>5</v>
      </c>
      <c r="L159" s="10">
        <f t="shared" si="66"/>
        <v>0.57803468208092479</v>
      </c>
      <c r="M159" s="12">
        <f t="shared" si="67"/>
        <v>3</v>
      </c>
      <c r="N159" s="13">
        <f t="shared" si="68"/>
        <v>0.6</v>
      </c>
    </row>
    <row r="160" spans="1:14">
      <c r="A160" s="6">
        <v>159</v>
      </c>
      <c r="B160" s="14">
        <v>45461</v>
      </c>
      <c r="C160" s="15">
        <v>38652</v>
      </c>
      <c r="D160" s="16">
        <v>5.09</v>
      </c>
      <c r="E160" s="16">
        <v>100</v>
      </c>
      <c r="F160" s="9" t="s">
        <v>918</v>
      </c>
      <c r="G160" s="10">
        <f t="shared" si="54"/>
        <v>19.646365422396858</v>
      </c>
      <c r="H160" s="11">
        <f t="shared" si="62"/>
        <v>149</v>
      </c>
      <c r="I160" s="10">
        <f t="shared" si="63"/>
        <v>14</v>
      </c>
      <c r="J160" s="10">
        <f t="shared" si="64"/>
        <v>7.6735000000000007</v>
      </c>
      <c r="K160" s="10">
        <f t="shared" si="65"/>
        <v>10.642857142857142</v>
      </c>
      <c r="L160" s="10">
        <f t="shared" si="66"/>
        <v>1.3869625520110955</v>
      </c>
      <c r="M160" s="12">
        <f t="shared" si="67"/>
        <v>7.1428571428571432</v>
      </c>
      <c r="N160" s="13">
        <f t="shared" si="68"/>
        <v>0.67114093959731547</v>
      </c>
    </row>
    <row r="161" spans="1:14">
      <c r="A161" s="6">
        <v>160</v>
      </c>
      <c r="B161" s="14">
        <v>45480</v>
      </c>
      <c r="C161" s="15">
        <v>38787</v>
      </c>
      <c r="D161" s="16">
        <v>5.29</v>
      </c>
      <c r="E161" s="16">
        <v>50</v>
      </c>
      <c r="F161" s="9" t="s">
        <v>918</v>
      </c>
      <c r="G161" s="10">
        <f t="shared" si="54"/>
        <v>9.4517958412098295</v>
      </c>
      <c r="H161" s="11">
        <f t="shared" si="62"/>
        <v>135</v>
      </c>
      <c r="I161" s="10">
        <f t="shared" si="63"/>
        <v>19</v>
      </c>
      <c r="J161" s="10">
        <f t="shared" si="64"/>
        <v>6.8714999999999993</v>
      </c>
      <c r="K161" s="10">
        <f t="shared" si="65"/>
        <v>7.1052631578947372</v>
      </c>
      <c r="L161" s="10">
        <f t="shared" si="66"/>
        <v>1.0340192327577293</v>
      </c>
      <c r="M161" s="12">
        <f t="shared" si="67"/>
        <v>5.2631578947368425</v>
      </c>
      <c r="N161" s="13">
        <f t="shared" si="68"/>
        <v>0.7407407407407407</v>
      </c>
    </row>
    <row r="162" spans="1:14">
      <c r="A162" s="6">
        <v>161</v>
      </c>
      <c r="B162" s="14">
        <v>45489</v>
      </c>
      <c r="C162" s="15">
        <v>38856</v>
      </c>
      <c r="D162" s="16">
        <v>5.29</v>
      </c>
      <c r="E162" s="16">
        <v>100</v>
      </c>
      <c r="F162" s="9" t="s">
        <v>918</v>
      </c>
      <c r="G162" s="10">
        <f t="shared" ref="G162:G194" si="69">IF(E162&lt;&gt;"",E162/D162,"")</f>
        <v>18.903591682419659</v>
      </c>
      <c r="H162" s="11">
        <f t="shared" ref="H162:H178" si="70">IF(C162="","",C162-C161)</f>
        <v>69</v>
      </c>
      <c r="I162" s="10">
        <f t="shared" ref="I162:I178" si="71">IF(B162="","",B162-B161)</f>
        <v>9</v>
      </c>
      <c r="J162" s="10">
        <f t="shared" ref="J162:J178" si="72">IF(H162="","",H162/G161)</f>
        <v>7.3002000000000002</v>
      </c>
      <c r="K162" s="10">
        <f t="shared" ref="K162:K178" si="73">IF(H162&lt;&gt;"",IF(I162&gt;0,H162/I162,H162),"" )</f>
        <v>7.666666666666667</v>
      </c>
      <c r="L162" s="10">
        <f t="shared" ref="L162:L178" si="74">IF(I162="","",IF(I162=0,G162,G161/I162))</f>
        <v>1.0501995379122033</v>
      </c>
      <c r="M162" s="12">
        <f t="shared" ref="M162:M178" si="75">IF(I162="","",IF(I162=0,E161,E161/I162))</f>
        <v>5.5555555555555554</v>
      </c>
      <c r="N162" s="13">
        <f t="shared" ref="N162:N178" si="76">IF(H162="","",E161/H162)</f>
        <v>0.72463768115942029</v>
      </c>
    </row>
    <row r="163" spans="1:14">
      <c r="A163" s="6">
        <v>162</v>
      </c>
      <c r="B163" s="14">
        <v>45493</v>
      </c>
      <c r="C163" s="15">
        <v>38944</v>
      </c>
      <c r="D163" s="16">
        <v>5.29</v>
      </c>
      <c r="E163" s="16">
        <v>277.74</v>
      </c>
      <c r="F163" s="9" t="s">
        <v>918</v>
      </c>
      <c r="G163" s="10">
        <f t="shared" si="69"/>
        <v>52.502835538752365</v>
      </c>
      <c r="H163" s="11">
        <f t="shared" si="70"/>
        <v>88</v>
      </c>
      <c r="I163" s="10">
        <f t="shared" si="71"/>
        <v>4</v>
      </c>
      <c r="J163" s="10">
        <f t="shared" si="72"/>
        <v>4.6551999999999998</v>
      </c>
      <c r="K163" s="10">
        <f t="shared" si="73"/>
        <v>22</v>
      </c>
      <c r="L163" s="10">
        <f t="shared" si="74"/>
        <v>4.7258979206049148</v>
      </c>
      <c r="M163" s="12">
        <f t="shared" si="75"/>
        <v>25</v>
      </c>
      <c r="N163" s="13">
        <f t="shared" si="76"/>
        <v>1.1363636363636365</v>
      </c>
    </row>
    <row r="164" spans="1:14">
      <c r="A164" s="6">
        <v>163</v>
      </c>
      <c r="B164" s="14">
        <v>45497</v>
      </c>
      <c r="C164" s="15">
        <v>39315</v>
      </c>
      <c r="D164" s="16">
        <v>6.09</v>
      </c>
      <c r="E164" s="16">
        <v>209.01</v>
      </c>
      <c r="F164" s="9" t="s">
        <v>918</v>
      </c>
      <c r="G164" s="10">
        <f t="shared" si="69"/>
        <v>34.320197044334975</v>
      </c>
      <c r="H164" s="11">
        <f t="shared" si="70"/>
        <v>371</v>
      </c>
      <c r="I164" s="10">
        <f t="shared" si="71"/>
        <v>4</v>
      </c>
      <c r="J164" s="10">
        <f t="shared" si="72"/>
        <v>7.0662850147620073</v>
      </c>
      <c r="K164" s="10">
        <f t="shared" si="73"/>
        <v>92.75</v>
      </c>
      <c r="L164" s="10">
        <f t="shared" si="74"/>
        <v>13.125708884688091</v>
      </c>
      <c r="M164" s="12">
        <f t="shared" si="75"/>
        <v>69.435000000000002</v>
      </c>
      <c r="N164" s="13">
        <f t="shared" si="76"/>
        <v>0.74862533692722377</v>
      </c>
    </row>
    <row r="165" spans="1:14">
      <c r="A165" s="6">
        <v>164</v>
      </c>
      <c r="B165" s="14">
        <v>45517</v>
      </c>
      <c r="C165" s="15">
        <v>39859</v>
      </c>
      <c r="D165" s="16">
        <v>5.79</v>
      </c>
      <c r="E165" s="16">
        <v>100</v>
      </c>
      <c r="F165" s="9" t="s">
        <v>918</v>
      </c>
      <c r="G165" s="10">
        <f t="shared" si="69"/>
        <v>17.271157167530223</v>
      </c>
      <c r="H165" s="11">
        <f t="shared" si="70"/>
        <v>544</v>
      </c>
      <c r="I165" s="10">
        <f t="shared" si="71"/>
        <v>20</v>
      </c>
      <c r="J165" s="10">
        <f t="shared" si="72"/>
        <v>15.850724845701162</v>
      </c>
      <c r="K165" s="10">
        <f t="shared" si="73"/>
        <v>27.2</v>
      </c>
      <c r="L165" s="10">
        <f t="shared" si="74"/>
        <v>1.7160098522167488</v>
      </c>
      <c r="M165" s="12">
        <f t="shared" si="75"/>
        <v>10.4505</v>
      </c>
      <c r="N165" s="13">
        <f t="shared" si="76"/>
        <v>0.38420955882352942</v>
      </c>
    </row>
    <row r="166" spans="1:14">
      <c r="A166" s="6">
        <v>165</v>
      </c>
      <c r="B166" s="14">
        <v>45531</v>
      </c>
      <c r="C166" s="15">
        <v>39954</v>
      </c>
      <c r="D166" s="16">
        <v>5.54</v>
      </c>
      <c r="E166" s="16">
        <v>50</v>
      </c>
      <c r="F166" s="9" t="s">
        <v>918</v>
      </c>
      <c r="G166" s="10">
        <f t="shared" si="69"/>
        <v>9.025270758122744</v>
      </c>
      <c r="H166" s="11">
        <f t="shared" si="70"/>
        <v>95</v>
      </c>
      <c r="I166" s="10">
        <f t="shared" si="71"/>
        <v>14</v>
      </c>
      <c r="J166" s="10">
        <f t="shared" si="72"/>
        <v>5.5005000000000006</v>
      </c>
      <c r="K166" s="10">
        <f t="shared" si="73"/>
        <v>6.7857142857142856</v>
      </c>
      <c r="L166" s="10">
        <f t="shared" si="74"/>
        <v>1.233654083395016</v>
      </c>
      <c r="M166" s="12">
        <f t="shared" si="75"/>
        <v>7.1428571428571432</v>
      </c>
      <c r="N166" s="13">
        <f t="shared" si="76"/>
        <v>1.0526315789473684</v>
      </c>
    </row>
    <row r="167" spans="1:14">
      <c r="A167" s="6">
        <v>166</v>
      </c>
      <c r="B167" s="14">
        <v>45545</v>
      </c>
      <c r="C167" s="15">
        <v>40020</v>
      </c>
      <c r="D167" s="16">
        <v>5.99</v>
      </c>
      <c r="E167" s="16">
        <v>100</v>
      </c>
      <c r="F167" s="9" t="s">
        <v>918</v>
      </c>
      <c r="G167" s="10">
        <f t="shared" si="69"/>
        <v>16.694490818030051</v>
      </c>
      <c r="H167" s="11">
        <f t="shared" si="70"/>
        <v>66</v>
      </c>
      <c r="I167" s="10">
        <f t="shared" si="71"/>
        <v>14</v>
      </c>
      <c r="J167" s="10">
        <f t="shared" si="72"/>
        <v>7.3127999999999993</v>
      </c>
      <c r="K167" s="10">
        <f t="shared" si="73"/>
        <v>4.7142857142857144</v>
      </c>
      <c r="L167" s="10">
        <f t="shared" si="74"/>
        <v>0.64466219700876748</v>
      </c>
      <c r="M167" s="12">
        <f t="shared" si="75"/>
        <v>3.5714285714285716</v>
      </c>
      <c r="N167" s="13">
        <f t="shared" si="76"/>
        <v>0.75757575757575757</v>
      </c>
    </row>
    <row r="168" spans="1:14">
      <c r="A168" s="6">
        <v>167</v>
      </c>
      <c r="B168" s="14">
        <v>45551</v>
      </c>
      <c r="C168" s="15">
        <v>40158</v>
      </c>
      <c r="D168" s="16">
        <v>5.59</v>
      </c>
      <c r="E168" s="16">
        <v>100</v>
      </c>
      <c r="F168" s="9" t="s">
        <v>918</v>
      </c>
      <c r="G168" s="10">
        <f t="shared" si="69"/>
        <v>17.889087656529519</v>
      </c>
      <c r="H168" s="11">
        <f t="shared" si="70"/>
        <v>138</v>
      </c>
      <c r="I168" s="10">
        <f t="shared" si="71"/>
        <v>6</v>
      </c>
      <c r="J168" s="10">
        <f t="shared" si="72"/>
        <v>8.2661999999999995</v>
      </c>
      <c r="K168" s="10">
        <f t="shared" si="73"/>
        <v>23</v>
      </c>
      <c r="L168" s="10">
        <f t="shared" si="74"/>
        <v>2.7824151363383418</v>
      </c>
      <c r="M168" s="12">
        <f t="shared" si="75"/>
        <v>16.666666666666668</v>
      </c>
      <c r="N168" s="13">
        <f t="shared" si="76"/>
        <v>0.72463768115942029</v>
      </c>
    </row>
    <row r="169" spans="1:14">
      <c r="A169" s="6">
        <v>168</v>
      </c>
      <c r="B169" s="14">
        <v>45573</v>
      </c>
      <c r="C169" s="15">
        <v>40317</v>
      </c>
      <c r="D169" s="16">
        <v>5.49</v>
      </c>
      <c r="E169" s="16">
        <v>109.6</v>
      </c>
      <c r="F169" s="9" t="s">
        <v>918</v>
      </c>
      <c r="G169" s="10">
        <f t="shared" si="69"/>
        <v>19.963570127504553</v>
      </c>
      <c r="H169" s="11">
        <f t="shared" si="70"/>
        <v>159</v>
      </c>
      <c r="I169" s="10">
        <f t="shared" si="71"/>
        <v>22</v>
      </c>
      <c r="J169" s="10">
        <f t="shared" si="72"/>
        <v>8.8880999999999997</v>
      </c>
      <c r="K169" s="10">
        <f t="shared" si="73"/>
        <v>7.2272727272727275</v>
      </c>
      <c r="L169" s="10">
        <f t="shared" si="74"/>
        <v>0.81314034802406898</v>
      </c>
      <c r="M169" s="12">
        <f t="shared" si="75"/>
        <v>4.5454545454545459</v>
      </c>
      <c r="N169" s="13">
        <f t="shared" si="76"/>
        <v>0.62893081761006286</v>
      </c>
    </row>
    <row r="170" spans="1:14">
      <c r="A170" s="6">
        <v>169</v>
      </c>
      <c r="B170" s="14">
        <v>45580</v>
      </c>
      <c r="C170" s="15">
        <v>40430</v>
      </c>
      <c r="D170" s="16">
        <v>5.49</v>
      </c>
      <c r="E170" s="16">
        <v>150</v>
      </c>
      <c r="F170" s="9" t="s">
        <v>918</v>
      </c>
      <c r="G170" s="10">
        <f t="shared" si="69"/>
        <v>27.3224043715847</v>
      </c>
      <c r="H170" s="11">
        <f t="shared" si="70"/>
        <v>113</v>
      </c>
      <c r="I170" s="10">
        <f t="shared" si="71"/>
        <v>7</v>
      </c>
      <c r="J170" s="10">
        <f t="shared" si="72"/>
        <v>5.6603102189781023</v>
      </c>
      <c r="K170" s="10">
        <f t="shared" si="73"/>
        <v>16.142857142857142</v>
      </c>
      <c r="L170" s="10">
        <f t="shared" si="74"/>
        <v>2.8519385896435074</v>
      </c>
      <c r="M170" s="12">
        <f t="shared" si="75"/>
        <v>15.657142857142857</v>
      </c>
      <c r="N170" s="13">
        <f t="shared" si="76"/>
        <v>0.96991150442477869</v>
      </c>
    </row>
    <row r="171" spans="1:14">
      <c r="A171" s="6">
        <v>170</v>
      </c>
      <c r="B171" s="14">
        <v>45602</v>
      </c>
      <c r="C171" s="15">
        <v>40645</v>
      </c>
      <c r="D171" s="16">
        <v>6.09</v>
      </c>
      <c r="E171" s="16">
        <v>100</v>
      </c>
      <c r="F171" s="9" t="s">
        <v>918</v>
      </c>
      <c r="G171" s="10">
        <f t="shared" si="69"/>
        <v>16.420361247947454</v>
      </c>
      <c r="H171" s="11">
        <f t="shared" si="70"/>
        <v>215</v>
      </c>
      <c r="I171" s="10">
        <f t="shared" si="71"/>
        <v>22</v>
      </c>
      <c r="J171" s="10">
        <f t="shared" si="72"/>
        <v>7.8689999999999998</v>
      </c>
      <c r="K171" s="10">
        <f t="shared" si="73"/>
        <v>9.7727272727272734</v>
      </c>
      <c r="L171" s="10">
        <f t="shared" si="74"/>
        <v>1.2419274714356681</v>
      </c>
      <c r="M171" s="12">
        <f t="shared" si="75"/>
        <v>6.8181818181818183</v>
      </c>
      <c r="N171" s="13">
        <f t="shared" si="76"/>
        <v>0.69767441860465118</v>
      </c>
    </row>
    <row r="172" spans="1:14">
      <c r="A172" s="6">
        <v>171</v>
      </c>
      <c r="B172" s="14">
        <v>45615</v>
      </c>
      <c r="C172" s="15">
        <v>40760</v>
      </c>
      <c r="D172" s="16">
        <v>5.49</v>
      </c>
      <c r="E172" s="16">
        <v>100</v>
      </c>
      <c r="F172" s="9" t="s">
        <v>918</v>
      </c>
      <c r="G172" s="10">
        <f t="shared" si="69"/>
        <v>18.214936247723131</v>
      </c>
      <c r="H172" s="11">
        <f t="shared" si="70"/>
        <v>115</v>
      </c>
      <c r="I172" s="10">
        <f t="shared" si="71"/>
        <v>13</v>
      </c>
      <c r="J172" s="10">
        <f t="shared" si="72"/>
        <v>7.0034999999999998</v>
      </c>
      <c r="K172" s="10">
        <f t="shared" si="73"/>
        <v>8.8461538461538467</v>
      </c>
      <c r="L172" s="10">
        <f t="shared" si="74"/>
        <v>1.2631047113805733</v>
      </c>
      <c r="M172" s="12">
        <f t="shared" si="75"/>
        <v>7.6923076923076925</v>
      </c>
      <c r="N172" s="13">
        <f t="shared" si="76"/>
        <v>0.86956521739130432</v>
      </c>
    </row>
    <row r="173" spans="1:14">
      <c r="A173" s="6">
        <v>172</v>
      </c>
      <c r="B173" s="14">
        <v>45625</v>
      </c>
      <c r="C173" s="15">
        <v>40885</v>
      </c>
      <c r="D173" s="16">
        <v>5.49</v>
      </c>
      <c r="E173" s="16">
        <v>200</v>
      </c>
      <c r="F173" s="9" t="s">
        <v>918</v>
      </c>
      <c r="G173" s="10">
        <f t="shared" si="69"/>
        <v>36.429872495446261</v>
      </c>
      <c r="H173" s="11">
        <f t="shared" si="70"/>
        <v>125</v>
      </c>
      <c r="I173" s="10">
        <f t="shared" si="71"/>
        <v>10</v>
      </c>
      <c r="J173" s="10">
        <f t="shared" si="72"/>
        <v>6.8625000000000007</v>
      </c>
      <c r="K173" s="10">
        <f t="shared" si="73"/>
        <v>12.5</v>
      </c>
      <c r="L173" s="10">
        <f t="shared" si="74"/>
        <v>1.821493624772313</v>
      </c>
      <c r="M173" s="12">
        <f t="shared" si="75"/>
        <v>10</v>
      </c>
      <c r="N173" s="13">
        <f t="shared" si="76"/>
        <v>0.8</v>
      </c>
    </row>
    <row r="174" spans="1:14">
      <c r="A174" s="6">
        <v>173</v>
      </c>
      <c r="B174" s="14">
        <v>45636</v>
      </c>
      <c r="C174" s="15">
        <v>41171</v>
      </c>
      <c r="D174" s="16">
        <v>6.19</v>
      </c>
      <c r="E174" s="16">
        <v>50</v>
      </c>
      <c r="F174" s="9" t="s">
        <v>918</v>
      </c>
      <c r="G174" s="10">
        <f t="shared" si="69"/>
        <v>8.0775444264943452</v>
      </c>
      <c r="H174" s="11">
        <f t="shared" si="70"/>
        <v>286</v>
      </c>
      <c r="I174" s="10">
        <f t="shared" si="71"/>
        <v>11</v>
      </c>
      <c r="J174" s="10">
        <f t="shared" si="72"/>
        <v>7.8507000000000007</v>
      </c>
      <c r="K174" s="10">
        <f t="shared" si="73"/>
        <v>26</v>
      </c>
      <c r="L174" s="10">
        <f t="shared" si="74"/>
        <v>3.3118065904951148</v>
      </c>
      <c r="M174" s="12">
        <f t="shared" si="75"/>
        <v>18.181818181818183</v>
      </c>
      <c r="N174" s="13">
        <f t="shared" si="76"/>
        <v>0.69930069930069927</v>
      </c>
    </row>
    <row r="175" spans="1:14">
      <c r="A175" s="6">
        <v>174</v>
      </c>
      <c r="B175" s="14">
        <v>45646</v>
      </c>
      <c r="C175" s="15">
        <v>41235</v>
      </c>
      <c r="D175" s="16">
        <v>5.54</v>
      </c>
      <c r="E175" s="16">
        <v>150</v>
      </c>
      <c r="F175" s="9" t="s">
        <v>918</v>
      </c>
      <c r="G175" s="10">
        <f t="shared" si="69"/>
        <v>27.075812274368232</v>
      </c>
      <c r="H175" s="11">
        <f t="shared" si="70"/>
        <v>64</v>
      </c>
      <c r="I175" s="10">
        <f t="shared" si="71"/>
        <v>10</v>
      </c>
      <c r="J175" s="10">
        <f t="shared" si="72"/>
        <v>7.9232000000000005</v>
      </c>
      <c r="K175" s="10">
        <f t="shared" si="73"/>
        <v>6.4</v>
      </c>
      <c r="L175" s="10">
        <f t="shared" si="74"/>
        <v>0.80775444264943452</v>
      </c>
      <c r="M175" s="12">
        <f t="shared" si="75"/>
        <v>5</v>
      </c>
      <c r="N175" s="13">
        <f t="shared" si="76"/>
        <v>0.78125</v>
      </c>
    </row>
    <row r="176" spans="1:14">
      <c r="A176" s="6">
        <v>175</v>
      </c>
      <c r="B176" s="14">
        <v>45649</v>
      </c>
      <c r="C176" s="15">
        <v>41457</v>
      </c>
      <c r="D176" s="16">
        <v>5.94</v>
      </c>
      <c r="E176" s="16">
        <v>327.95</v>
      </c>
      <c r="F176" s="9" t="s">
        <v>918</v>
      </c>
      <c r="G176" s="10">
        <f t="shared" si="69"/>
        <v>55.210437710437702</v>
      </c>
      <c r="H176" s="11">
        <f t="shared" si="70"/>
        <v>222</v>
      </c>
      <c r="I176" s="10">
        <f t="shared" si="71"/>
        <v>3</v>
      </c>
      <c r="J176" s="10">
        <f t="shared" si="72"/>
        <v>8.1991999999999994</v>
      </c>
      <c r="K176" s="10">
        <f t="shared" si="73"/>
        <v>74</v>
      </c>
      <c r="L176" s="10">
        <f t="shared" si="74"/>
        <v>9.025270758122744</v>
      </c>
      <c r="M176" s="12">
        <f t="shared" si="75"/>
        <v>50</v>
      </c>
      <c r="N176" s="13">
        <f t="shared" si="76"/>
        <v>0.67567567567567566</v>
      </c>
    </row>
    <row r="177" spans="1:14">
      <c r="A177" s="6">
        <v>176</v>
      </c>
      <c r="B177" s="14">
        <v>45659</v>
      </c>
      <c r="C177" s="15">
        <v>41888</v>
      </c>
      <c r="D177" s="16">
        <v>6.09</v>
      </c>
      <c r="E177" s="16">
        <v>220.59</v>
      </c>
      <c r="F177" s="9" t="s">
        <v>918</v>
      </c>
      <c r="G177" s="10">
        <f t="shared" si="69"/>
        <v>36.221674876847295</v>
      </c>
      <c r="H177" s="11">
        <f t="shared" si="70"/>
        <v>431</v>
      </c>
      <c r="I177" s="10">
        <f t="shared" si="71"/>
        <v>10</v>
      </c>
      <c r="J177" s="10">
        <f t="shared" si="72"/>
        <v>7.8064948925141042</v>
      </c>
      <c r="K177" s="10">
        <f t="shared" si="73"/>
        <v>43.1</v>
      </c>
      <c r="L177" s="10">
        <f t="shared" si="74"/>
        <v>5.5210437710437699</v>
      </c>
      <c r="M177" s="12">
        <f t="shared" si="75"/>
        <v>32.795000000000002</v>
      </c>
      <c r="N177" s="13">
        <f t="shared" si="76"/>
        <v>0.76090487238979121</v>
      </c>
    </row>
    <row r="178" spans="1:14">
      <c r="A178" s="6">
        <v>177</v>
      </c>
      <c r="B178" s="14">
        <v>45692</v>
      </c>
      <c r="C178" s="15">
        <v>42464</v>
      </c>
      <c r="D178" s="16">
        <v>5.69</v>
      </c>
      <c r="E178" s="16">
        <v>100</v>
      </c>
      <c r="F178" s="9" t="s">
        <v>918</v>
      </c>
      <c r="G178" s="10">
        <f t="shared" si="69"/>
        <v>17.574692442882249</v>
      </c>
      <c r="H178" s="11">
        <f t="shared" si="70"/>
        <v>576</v>
      </c>
      <c r="I178" s="10">
        <f t="shared" si="71"/>
        <v>33</v>
      </c>
      <c r="J178" s="10">
        <f t="shared" si="72"/>
        <v>15.902080783353732</v>
      </c>
      <c r="K178" s="10">
        <f t="shared" si="73"/>
        <v>17.454545454545453</v>
      </c>
      <c r="L178" s="10">
        <f t="shared" si="74"/>
        <v>1.0976265114196151</v>
      </c>
      <c r="M178" s="12">
        <f t="shared" si="75"/>
        <v>6.6845454545454546</v>
      </c>
      <c r="N178" s="13">
        <f t="shared" si="76"/>
        <v>0.38296875000000002</v>
      </c>
    </row>
    <row r="179" spans="1:14">
      <c r="A179" s="6">
        <v>178</v>
      </c>
      <c r="B179" s="14">
        <v>45706</v>
      </c>
      <c r="C179" s="15">
        <v>42582</v>
      </c>
      <c r="D179" s="16">
        <v>6.29</v>
      </c>
      <c r="E179" s="16">
        <v>150</v>
      </c>
      <c r="F179" s="9" t="s">
        <v>918</v>
      </c>
      <c r="G179" s="10">
        <f t="shared" si="69"/>
        <v>23.847376788553259</v>
      </c>
      <c r="H179" s="11">
        <f t="shared" ref="H179:H189" si="77">IF(C179="","",C179-C178)</f>
        <v>118</v>
      </c>
      <c r="I179" s="10">
        <f t="shared" ref="I179:I189" si="78">IF(B179="","",B179-B178)</f>
        <v>14</v>
      </c>
      <c r="J179" s="10">
        <f t="shared" ref="J179:J189" si="79">IF(H179="","",H179/G178)</f>
        <v>6.7141999999999999</v>
      </c>
      <c r="K179" s="10">
        <f t="shared" ref="K179:K189" si="80">IF(H179&lt;&gt;"",IF(I179&gt;0,H179/I179,H179),"" )</f>
        <v>8.4285714285714288</v>
      </c>
      <c r="L179" s="10">
        <f t="shared" ref="L179:L189" si="81">IF(I179="","",IF(I179=0,G179,G178/I179))</f>
        <v>1.2553351744915893</v>
      </c>
      <c r="M179" s="12">
        <f t="shared" ref="M179:M189" si="82">IF(I179="","",IF(I179=0,E178,E178/I179))</f>
        <v>7.1428571428571432</v>
      </c>
      <c r="N179" s="13">
        <f t="shared" ref="N179:N189" si="83">IF(H179="","",E178/H179)</f>
        <v>0.84745762711864403</v>
      </c>
    </row>
    <row r="180" spans="1:14">
      <c r="A180" s="6">
        <v>179</v>
      </c>
      <c r="B180" s="14">
        <v>45713</v>
      </c>
      <c r="C180" s="15">
        <v>42771</v>
      </c>
      <c r="D180" s="16">
        <v>5.89</v>
      </c>
      <c r="E180" s="16">
        <v>100</v>
      </c>
      <c r="F180" s="9" t="s">
        <v>918</v>
      </c>
      <c r="G180" s="10">
        <f t="shared" si="69"/>
        <v>16.977928692699493</v>
      </c>
      <c r="H180" s="11">
        <f t="shared" si="77"/>
        <v>189</v>
      </c>
      <c r="I180" s="10">
        <f t="shared" si="78"/>
        <v>7</v>
      </c>
      <c r="J180" s="10">
        <f t="shared" si="79"/>
        <v>7.9253999999999998</v>
      </c>
      <c r="K180" s="10">
        <f t="shared" si="80"/>
        <v>27</v>
      </c>
      <c r="L180" s="10">
        <f t="shared" si="81"/>
        <v>3.4067681126504654</v>
      </c>
      <c r="M180" s="12">
        <f t="shared" si="82"/>
        <v>21.428571428571427</v>
      </c>
      <c r="N180" s="13">
        <f t="shared" si="83"/>
        <v>0.79365079365079361</v>
      </c>
    </row>
    <row r="181" spans="1:14">
      <c r="A181" s="6">
        <v>180</v>
      </c>
      <c r="B181" s="14">
        <v>45714</v>
      </c>
      <c r="C181" s="15">
        <v>42855</v>
      </c>
      <c r="D181" s="16">
        <v>6.09</v>
      </c>
      <c r="E181" s="16">
        <v>100</v>
      </c>
      <c r="F181" s="9" t="s">
        <v>918</v>
      </c>
      <c r="G181" s="10">
        <f t="shared" si="69"/>
        <v>16.420361247947454</v>
      </c>
      <c r="H181" s="11">
        <f t="shared" si="77"/>
        <v>84</v>
      </c>
      <c r="I181" s="10">
        <f t="shared" si="78"/>
        <v>1</v>
      </c>
      <c r="J181" s="10">
        <f t="shared" si="79"/>
        <v>4.9475999999999996</v>
      </c>
      <c r="K181" s="10">
        <f t="shared" si="80"/>
        <v>84</v>
      </c>
      <c r="L181" s="10">
        <f t="shared" si="81"/>
        <v>16.977928692699493</v>
      </c>
      <c r="M181" s="12">
        <f t="shared" si="82"/>
        <v>100</v>
      </c>
      <c r="N181" s="13">
        <f t="shared" si="83"/>
        <v>1.1904761904761905</v>
      </c>
    </row>
    <row r="182" spans="1:14">
      <c r="A182" s="6">
        <v>181</v>
      </c>
      <c r="B182" s="14">
        <v>45719</v>
      </c>
      <c r="C182" s="15">
        <v>42955</v>
      </c>
      <c r="D182" s="16">
        <v>5.89</v>
      </c>
      <c r="E182" s="16">
        <v>100</v>
      </c>
      <c r="F182" s="9" t="s">
        <v>918</v>
      </c>
      <c r="G182" s="10">
        <f t="shared" si="69"/>
        <v>16.977928692699493</v>
      </c>
      <c r="H182" s="11">
        <f t="shared" si="77"/>
        <v>100</v>
      </c>
      <c r="I182" s="10">
        <f t="shared" si="78"/>
        <v>5</v>
      </c>
      <c r="J182" s="10">
        <f t="shared" si="79"/>
        <v>6.09</v>
      </c>
      <c r="K182" s="10">
        <f t="shared" si="80"/>
        <v>20</v>
      </c>
      <c r="L182" s="10">
        <f t="shared" si="81"/>
        <v>3.284072249589491</v>
      </c>
      <c r="M182" s="12">
        <f t="shared" si="82"/>
        <v>20</v>
      </c>
      <c r="N182" s="13">
        <f t="shared" si="83"/>
        <v>1</v>
      </c>
    </row>
    <row r="183" spans="1:14">
      <c r="A183" s="6">
        <v>182</v>
      </c>
      <c r="B183" s="14">
        <v>45724</v>
      </c>
      <c r="C183" s="15">
        <v>43332</v>
      </c>
      <c r="D183" s="16">
        <v>6.39</v>
      </c>
      <c r="E183" s="16">
        <v>200</v>
      </c>
      <c r="F183" s="9" t="s">
        <v>918</v>
      </c>
      <c r="G183" s="10">
        <f t="shared" si="69"/>
        <v>31.298904538341159</v>
      </c>
      <c r="H183" s="11">
        <f t="shared" si="77"/>
        <v>377</v>
      </c>
      <c r="I183" s="10">
        <f t="shared" si="78"/>
        <v>5</v>
      </c>
      <c r="J183" s="10">
        <f t="shared" si="79"/>
        <v>22.205299999999998</v>
      </c>
      <c r="K183" s="10">
        <f t="shared" si="80"/>
        <v>75.400000000000006</v>
      </c>
      <c r="L183" s="10">
        <f t="shared" si="81"/>
        <v>3.3955857385398986</v>
      </c>
      <c r="M183" s="12">
        <f t="shared" si="82"/>
        <v>20</v>
      </c>
      <c r="N183" s="13">
        <f t="shared" si="83"/>
        <v>0.26525198938992045</v>
      </c>
    </row>
    <row r="184" spans="1:14">
      <c r="A184" s="6">
        <v>183</v>
      </c>
      <c r="B184" s="14">
        <v>45734</v>
      </c>
      <c r="C184" s="15">
        <v>43756</v>
      </c>
      <c r="D184" s="16">
        <v>5.89</v>
      </c>
      <c r="E184" s="16">
        <v>120</v>
      </c>
      <c r="F184" s="9" t="s">
        <v>918</v>
      </c>
      <c r="G184" s="10">
        <f t="shared" si="69"/>
        <v>20.373514431239389</v>
      </c>
      <c r="H184" s="11">
        <f t="shared" si="77"/>
        <v>424</v>
      </c>
      <c r="I184" s="10">
        <f t="shared" si="78"/>
        <v>10</v>
      </c>
      <c r="J184" s="10">
        <f t="shared" si="79"/>
        <v>13.546799999999999</v>
      </c>
      <c r="K184" s="10">
        <f t="shared" si="80"/>
        <v>42.4</v>
      </c>
      <c r="L184" s="10">
        <f t="shared" si="81"/>
        <v>3.1298904538341157</v>
      </c>
      <c r="M184" s="12">
        <f t="shared" si="82"/>
        <v>20</v>
      </c>
      <c r="N184" s="13">
        <f t="shared" si="83"/>
        <v>0.47169811320754718</v>
      </c>
    </row>
    <row r="185" spans="1:14">
      <c r="A185" s="6">
        <v>184</v>
      </c>
      <c r="B185" s="14">
        <v>45741</v>
      </c>
      <c r="C185" s="15">
        <v>43903</v>
      </c>
      <c r="D185" s="16">
        <v>5.89</v>
      </c>
      <c r="E185" s="16">
        <v>100</v>
      </c>
      <c r="F185" s="9" t="s">
        <v>918</v>
      </c>
      <c r="G185" s="10">
        <f t="shared" si="69"/>
        <v>16.977928692699493</v>
      </c>
      <c r="H185" s="11">
        <f t="shared" si="77"/>
        <v>147</v>
      </c>
      <c r="I185" s="10">
        <f t="shared" si="78"/>
        <v>7</v>
      </c>
      <c r="J185" s="10">
        <f t="shared" si="79"/>
        <v>7.2152500000000002</v>
      </c>
      <c r="K185" s="10">
        <f t="shared" si="80"/>
        <v>21</v>
      </c>
      <c r="L185" s="10">
        <f t="shared" si="81"/>
        <v>2.910502061605627</v>
      </c>
      <c r="M185" s="12">
        <f t="shared" si="82"/>
        <v>17.142857142857142</v>
      </c>
      <c r="N185" s="13">
        <f t="shared" si="83"/>
        <v>0.81632653061224492</v>
      </c>
    </row>
    <row r="186" spans="1:14">
      <c r="A186" s="6">
        <v>185</v>
      </c>
      <c r="B186" s="14">
        <v>45750</v>
      </c>
      <c r="C186" s="15">
        <v>44019</v>
      </c>
      <c r="D186" s="16">
        <v>5.99</v>
      </c>
      <c r="E186" s="16">
        <v>100</v>
      </c>
      <c r="F186" s="9" t="s">
        <v>918</v>
      </c>
      <c r="G186" s="10">
        <f t="shared" si="69"/>
        <v>16.694490818030051</v>
      </c>
      <c r="H186" s="11">
        <f t="shared" si="77"/>
        <v>116</v>
      </c>
      <c r="I186" s="10">
        <f t="shared" si="78"/>
        <v>9</v>
      </c>
      <c r="J186" s="10">
        <f t="shared" si="79"/>
        <v>6.8323999999999989</v>
      </c>
      <c r="K186" s="10">
        <f t="shared" si="80"/>
        <v>12.888888888888889</v>
      </c>
      <c r="L186" s="10">
        <f t="shared" si="81"/>
        <v>1.8864365214110548</v>
      </c>
      <c r="M186" s="12">
        <f t="shared" si="82"/>
        <v>11.111111111111111</v>
      </c>
      <c r="N186" s="13">
        <f t="shared" si="83"/>
        <v>0.86206896551724133</v>
      </c>
    </row>
    <row r="187" spans="1:14">
      <c r="A187" s="6">
        <v>186</v>
      </c>
      <c r="B187" s="14">
        <v>45762</v>
      </c>
      <c r="C187" s="15">
        <v>44101</v>
      </c>
      <c r="D187" s="16">
        <v>5.79</v>
      </c>
      <c r="E187" s="16">
        <v>100</v>
      </c>
      <c r="F187" s="9" t="s">
        <v>918</v>
      </c>
      <c r="G187" s="10">
        <f t="shared" si="69"/>
        <v>17.271157167530223</v>
      </c>
      <c r="H187" s="11">
        <f t="shared" si="77"/>
        <v>82</v>
      </c>
      <c r="I187" s="10">
        <f t="shared" si="78"/>
        <v>12</v>
      </c>
      <c r="J187" s="10">
        <f t="shared" si="79"/>
        <v>4.9117999999999995</v>
      </c>
      <c r="K187" s="10">
        <f t="shared" si="80"/>
        <v>6.833333333333333</v>
      </c>
      <c r="L187" s="10">
        <f t="shared" si="81"/>
        <v>1.3912075681691709</v>
      </c>
      <c r="M187" s="12">
        <f t="shared" si="82"/>
        <v>8.3333333333333339</v>
      </c>
      <c r="N187" s="13">
        <f t="shared" si="83"/>
        <v>1.2195121951219512</v>
      </c>
    </row>
    <row r="188" spans="1:14">
      <c r="A188" s="6">
        <v>187</v>
      </c>
      <c r="B188" s="14">
        <v>45774</v>
      </c>
      <c r="C188" s="15">
        <v>44205</v>
      </c>
      <c r="D188" s="16">
        <v>5.79</v>
      </c>
      <c r="E188" s="16">
        <v>50</v>
      </c>
      <c r="F188" s="9" t="s">
        <v>918</v>
      </c>
      <c r="G188" s="10">
        <f t="shared" si="69"/>
        <v>8.6355785837651116</v>
      </c>
      <c r="H188" s="11">
        <f t="shared" si="77"/>
        <v>104</v>
      </c>
      <c r="I188" s="10">
        <f t="shared" si="78"/>
        <v>12</v>
      </c>
      <c r="J188" s="10">
        <f t="shared" si="79"/>
        <v>6.0216000000000003</v>
      </c>
      <c r="K188" s="10">
        <f t="shared" si="80"/>
        <v>8.6666666666666661</v>
      </c>
      <c r="L188" s="10">
        <f t="shared" si="81"/>
        <v>1.4392630972941853</v>
      </c>
      <c r="M188" s="12">
        <f t="shared" si="82"/>
        <v>8.3333333333333339</v>
      </c>
      <c r="N188" s="13">
        <f t="shared" si="83"/>
        <v>0.96153846153846156</v>
      </c>
    </row>
    <row r="189" spans="1:14">
      <c r="A189" s="6">
        <v>188</v>
      </c>
      <c r="B189" s="14">
        <v>45778</v>
      </c>
      <c r="C189" s="15">
        <v>44250</v>
      </c>
      <c r="D189" s="16">
        <v>5.79</v>
      </c>
      <c r="E189" s="16">
        <v>100</v>
      </c>
      <c r="F189" s="9" t="s">
        <v>918</v>
      </c>
      <c r="G189" s="10">
        <f t="shared" si="69"/>
        <v>17.271157167530223</v>
      </c>
      <c r="H189" s="11">
        <f t="shared" si="77"/>
        <v>45</v>
      </c>
      <c r="I189" s="10">
        <f t="shared" si="78"/>
        <v>4</v>
      </c>
      <c r="J189" s="10">
        <f t="shared" si="79"/>
        <v>5.2110000000000003</v>
      </c>
      <c r="K189" s="10">
        <f t="shared" si="80"/>
        <v>11.25</v>
      </c>
      <c r="L189" s="10">
        <f t="shared" si="81"/>
        <v>2.1588946459412779</v>
      </c>
      <c r="M189" s="12">
        <f t="shared" si="82"/>
        <v>12.5</v>
      </c>
      <c r="N189" s="13">
        <f t="shared" si="83"/>
        <v>1.1111111111111112</v>
      </c>
    </row>
    <row r="190" spans="1:14">
      <c r="A190" s="6">
        <v>189</v>
      </c>
      <c r="B190" s="14">
        <v>45786</v>
      </c>
      <c r="C190" s="15">
        <v>44397</v>
      </c>
      <c r="D190" s="16">
        <v>5.79</v>
      </c>
      <c r="E190" s="16">
        <v>100</v>
      </c>
      <c r="F190" s="9" t="s">
        <v>918</v>
      </c>
      <c r="G190" s="10">
        <f t="shared" si="69"/>
        <v>17.271157167530223</v>
      </c>
      <c r="H190" s="11">
        <f>IF(C190="","",C190-C189)</f>
        <v>147</v>
      </c>
      <c r="I190" s="10">
        <f>IF(B190="","",B190-B189)</f>
        <v>8</v>
      </c>
      <c r="J190" s="10">
        <f>IF(H190="","",H190/G189)</f>
        <v>8.5113000000000003</v>
      </c>
      <c r="K190" s="10">
        <f>IF(H190&lt;&gt;"",IF(I190&gt;0,H190/I190,H190),"" )</f>
        <v>18.375</v>
      </c>
      <c r="L190" s="10">
        <f>IF(I190="","",IF(I190=0,G190,G189/I190))</f>
        <v>2.1588946459412779</v>
      </c>
      <c r="M190" s="12">
        <f>IF(I190="","",IF(I190=0,E189,E189/I190))</f>
        <v>12.5</v>
      </c>
      <c r="N190" s="13">
        <f>IF(H190="","",E189/H190)</f>
        <v>0.68027210884353739</v>
      </c>
    </row>
    <row r="191" spans="1:14">
      <c r="A191" s="6">
        <v>190</v>
      </c>
      <c r="B191" s="14">
        <v>45792</v>
      </c>
      <c r="C191" s="15">
        <v>44501</v>
      </c>
      <c r="D191" s="16">
        <v>5.79</v>
      </c>
      <c r="E191" s="16">
        <v>100</v>
      </c>
      <c r="F191" s="9" t="s">
        <v>918</v>
      </c>
      <c r="G191" s="10">
        <f t="shared" si="69"/>
        <v>17.271157167530223</v>
      </c>
      <c r="H191" s="11">
        <f>IF(C191="","",C191-C190)</f>
        <v>104</v>
      </c>
      <c r="I191" s="10">
        <f>IF(B191="","",B191-B190)</f>
        <v>6</v>
      </c>
      <c r="J191" s="10">
        <f>IF(H191="","",H191/G190)</f>
        <v>6.0216000000000003</v>
      </c>
      <c r="K191" s="10">
        <f>IF(H191&lt;&gt;"",IF(I191&gt;0,H191/I191,H191),"" )</f>
        <v>17.333333333333332</v>
      </c>
      <c r="L191" s="10">
        <f>IF(I191="","",IF(I191=0,G191,G190/I191))</f>
        <v>2.8785261945883707</v>
      </c>
      <c r="M191" s="12">
        <f>IF(I191="","",IF(I191=0,E190,E190/I191))</f>
        <v>16.666666666666668</v>
      </c>
      <c r="N191" s="13">
        <f>IF(H191="","",E190/H191)</f>
        <v>0.96153846153846156</v>
      </c>
    </row>
    <row r="192" spans="1:14">
      <c r="A192" s="6">
        <v>191</v>
      </c>
      <c r="B192" s="14">
        <v>45798</v>
      </c>
      <c r="C192" s="15">
        <v>44594</v>
      </c>
      <c r="D192" s="16">
        <v>5.79</v>
      </c>
      <c r="E192" s="16">
        <v>120</v>
      </c>
      <c r="F192" s="9" t="s">
        <v>918</v>
      </c>
      <c r="G192" s="10">
        <f t="shared" si="69"/>
        <v>20.725388601036268</v>
      </c>
      <c r="H192" s="11">
        <f>IF(C192="","",C192-C191)</f>
        <v>93</v>
      </c>
      <c r="I192" s="10">
        <f>IF(B192="","",B192-B191)</f>
        <v>6</v>
      </c>
      <c r="J192" s="10">
        <f>IF(H192="","",H192/G191)</f>
        <v>5.3847000000000005</v>
      </c>
      <c r="K192" s="10">
        <f>IF(H192&lt;&gt;"",IF(I192&gt;0,H192/I192,H192),"" )</f>
        <v>15.5</v>
      </c>
      <c r="L192" s="10">
        <f>IF(I192="","",IF(I192=0,G192,G191/I192))</f>
        <v>2.8785261945883707</v>
      </c>
      <c r="M192" s="12">
        <f>IF(I192="","",IF(I192=0,E191,E191/I192))</f>
        <v>16.666666666666668</v>
      </c>
      <c r="N192" s="13">
        <f>IF(H192="","",E191/H192)</f>
        <v>1.075268817204301</v>
      </c>
    </row>
    <row r="193" spans="1:14">
      <c r="A193" s="6">
        <v>192</v>
      </c>
      <c r="B193" s="14">
        <v>45805</v>
      </c>
      <c r="C193" s="15">
        <v>44760</v>
      </c>
      <c r="D193" s="16">
        <v>6.19</v>
      </c>
      <c r="E193" s="16">
        <v>100</v>
      </c>
      <c r="F193" s="9" t="s">
        <v>918</v>
      </c>
      <c r="G193" s="10">
        <f t="shared" si="69"/>
        <v>16.15508885298869</v>
      </c>
      <c r="H193" s="11">
        <f>IF(C193="","",C193-C192)</f>
        <v>166</v>
      </c>
      <c r="I193" s="10">
        <f>IF(B193="","",B193-B192)</f>
        <v>7</v>
      </c>
      <c r="J193" s="10">
        <f>IF(H193="","",H193/G192)</f>
        <v>8.009500000000001</v>
      </c>
      <c r="K193" s="10">
        <f>IF(H193&lt;&gt;"",IF(I193&gt;0,H193/I193,H193),"" )</f>
        <v>23.714285714285715</v>
      </c>
      <c r="L193" s="10">
        <f>IF(I193="","",IF(I193=0,G193,G192/I193))</f>
        <v>2.9607698001480385</v>
      </c>
      <c r="M193" s="12">
        <f>IF(I193="","",IF(I193=0,E192,E192/I193))</f>
        <v>17.142857142857142</v>
      </c>
      <c r="N193" s="13">
        <f>IF(H193="","",E192/H193)</f>
        <v>0.72289156626506024</v>
      </c>
    </row>
    <row r="194" spans="1:14">
      <c r="A194" s="6">
        <v>193</v>
      </c>
      <c r="B194" s="14">
        <v>45811</v>
      </c>
      <c r="C194" s="15">
        <v>44861</v>
      </c>
      <c r="D194" s="16">
        <v>6.39</v>
      </c>
      <c r="E194" s="16">
        <v>100</v>
      </c>
      <c r="F194" s="9" t="s">
        <v>918</v>
      </c>
      <c r="G194" s="10">
        <f t="shared" si="69"/>
        <v>15.649452269170579</v>
      </c>
      <c r="H194" s="11">
        <f>IF(C194="","",C194-C193)</f>
        <v>101</v>
      </c>
      <c r="I194" s="10">
        <f>IF(B194="","",B194-B193)</f>
        <v>6</v>
      </c>
      <c r="J194" s="10">
        <f>IF(H194="","",H194/G193)</f>
        <v>6.2519</v>
      </c>
      <c r="K194" s="10">
        <f>IF(H194&lt;&gt;"",IF(I194&gt;0,H194/I194,H194),"" )</f>
        <v>16.833333333333332</v>
      </c>
      <c r="L194" s="10">
        <f>IF(I194="","",IF(I194=0,G194,G193/I194))</f>
        <v>2.6925148088314486</v>
      </c>
      <c r="M194" s="12">
        <f>IF(I194="","",IF(I194=0,E193,E193/I194))</f>
        <v>16.666666666666668</v>
      </c>
      <c r="N194" s="13">
        <f>IF(H194="","",E193/H194)</f>
        <v>0.99009900990099009</v>
      </c>
    </row>
    <row r="195" spans="1:14">
      <c r="A195" s="6">
        <v>194</v>
      </c>
      <c r="B195" s="14">
        <v>45819</v>
      </c>
      <c r="C195" s="15">
        <v>44988</v>
      </c>
      <c r="D195" s="16">
        <v>5.57</v>
      </c>
      <c r="E195" s="16">
        <v>100</v>
      </c>
      <c r="F195" s="9" t="s">
        <v>918</v>
      </c>
      <c r="G195" s="10">
        <f t="shared" ref="G195:G200" si="84">IF(E195&lt;&gt;"",E195/D195,"")</f>
        <v>17.953321364452425</v>
      </c>
      <c r="H195" s="11">
        <f t="shared" ref="H195:H200" si="85">IF(C195="","",C195-C194)</f>
        <v>127</v>
      </c>
      <c r="I195" s="10">
        <f t="shared" ref="I195:I200" si="86">IF(B195="","",B195-B194)</f>
        <v>8</v>
      </c>
      <c r="J195" s="10">
        <f t="shared" ref="J195:J200" si="87">IF(H195="","",H195/G194)</f>
        <v>8.1152999999999995</v>
      </c>
      <c r="K195" s="10">
        <f t="shared" ref="K195:K200" si="88">IF(H195&lt;&gt;"",IF(I195&gt;0,H195/I195,H195),"" )</f>
        <v>15.875</v>
      </c>
      <c r="L195" s="10">
        <f t="shared" ref="L195:L200" si="89">IF(I195="","",IF(I195=0,G195,G194/I195))</f>
        <v>1.9561815336463224</v>
      </c>
      <c r="M195" s="12">
        <f t="shared" ref="M195:M200" si="90">IF(I195="","",IF(I195=0,E194,E194/I195))</f>
        <v>12.5</v>
      </c>
      <c r="N195" s="13">
        <f t="shared" ref="N195:N200" si="91">IF(H195="","",E194/H195)</f>
        <v>0.78740157480314965</v>
      </c>
    </row>
    <row r="196" spans="1:14">
      <c r="A196" s="6">
        <v>195</v>
      </c>
      <c r="B196" s="14">
        <v>45829</v>
      </c>
      <c r="C196" s="15">
        <v>45122</v>
      </c>
      <c r="D196" s="16">
        <v>6.29</v>
      </c>
      <c r="E196" s="16">
        <v>100</v>
      </c>
      <c r="F196" s="9" t="s">
        <v>918</v>
      </c>
      <c r="G196" s="10">
        <f t="shared" si="84"/>
        <v>15.898251192368839</v>
      </c>
      <c r="H196" s="11">
        <f t="shared" si="85"/>
        <v>134</v>
      </c>
      <c r="I196" s="10">
        <f t="shared" si="86"/>
        <v>10</v>
      </c>
      <c r="J196" s="10">
        <f t="shared" si="87"/>
        <v>7.4638</v>
      </c>
      <c r="K196" s="10">
        <f t="shared" si="88"/>
        <v>13.4</v>
      </c>
      <c r="L196" s="10">
        <f t="shared" si="89"/>
        <v>1.7953321364452424</v>
      </c>
      <c r="M196" s="12">
        <f t="shared" si="90"/>
        <v>10</v>
      </c>
      <c r="N196" s="13">
        <f t="shared" si="91"/>
        <v>0.74626865671641796</v>
      </c>
    </row>
    <row r="197" spans="1:14">
      <c r="A197" s="6">
        <v>196</v>
      </c>
      <c r="B197" s="14">
        <v>45833</v>
      </c>
      <c r="C197" s="15">
        <v>45209</v>
      </c>
      <c r="D197" s="16">
        <v>5.99</v>
      </c>
      <c r="E197" s="16">
        <v>100</v>
      </c>
      <c r="F197" s="9" t="s">
        <v>918</v>
      </c>
      <c r="G197" s="10">
        <f t="shared" si="84"/>
        <v>16.694490818030051</v>
      </c>
      <c r="H197" s="11">
        <f t="shared" si="85"/>
        <v>87</v>
      </c>
      <c r="I197" s="10">
        <f t="shared" si="86"/>
        <v>4</v>
      </c>
      <c r="J197" s="10">
        <f t="shared" si="87"/>
        <v>5.4722999999999997</v>
      </c>
      <c r="K197" s="10">
        <f t="shared" si="88"/>
        <v>21.75</v>
      </c>
      <c r="L197" s="10">
        <f t="shared" si="89"/>
        <v>3.9745627980922098</v>
      </c>
      <c r="M197" s="12">
        <f t="shared" si="90"/>
        <v>25</v>
      </c>
      <c r="N197" s="13">
        <f t="shared" si="91"/>
        <v>1.1494252873563218</v>
      </c>
    </row>
    <row r="198" spans="1:14">
      <c r="A198" s="6">
        <v>197</v>
      </c>
      <c r="B198" s="14">
        <v>45839</v>
      </c>
      <c r="C198" s="15">
        <v>45267</v>
      </c>
      <c r="D198" s="16">
        <v>5.67</v>
      </c>
      <c r="E198" s="16">
        <v>247.84</v>
      </c>
      <c r="F198" s="9" t="s">
        <v>918</v>
      </c>
      <c r="G198" s="10">
        <f t="shared" si="84"/>
        <v>43.710758377425044</v>
      </c>
      <c r="H198" s="11">
        <f t="shared" si="85"/>
        <v>58</v>
      </c>
      <c r="I198" s="10">
        <f t="shared" si="86"/>
        <v>6</v>
      </c>
      <c r="J198" s="10">
        <f t="shared" si="87"/>
        <v>3.4741999999999997</v>
      </c>
      <c r="K198" s="10">
        <f t="shared" si="88"/>
        <v>9.6666666666666661</v>
      </c>
      <c r="L198" s="10">
        <f t="shared" si="89"/>
        <v>2.7824151363383418</v>
      </c>
      <c r="M198" s="12">
        <f t="shared" si="90"/>
        <v>16.666666666666668</v>
      </c>
      <c r="N198" s="13">
        <f t="shared" si="91"/>
        <v>1.7241379310344827</v>
      </c>
    </row>
    <row r="199" spans="1:14">
      <c r="A199" s="6">
        <v>198</v>
      </c>
      <c r="B199" s="14">
        <v>45839</v>
      </c>
      <c r="C199" s="15">
        <v>45825</v>
      </c>
      <c r="D199" s="16">
        <v>5.69</v>
      </c>
      <c r="E199" s="16">
        <v>241.88</v>
      </c>
      <c r="F199" s="9" t="s">
        <v>918</v>
      </c>
      <c r="G199" s="10">
        <f t="shared" si="84"/>
        <v>42.50966608084358</v>
      </c>
      <c r="H199" s="11">
        <f t="shared" si="85"/>
        <v>558</v>
      </c>
      <c r="I199" s="10">
        <f t="shared" si="86"/>
        <v>0</v>
      </c>
      <c r="J199" s="10">
        <f t="shared" si="87"/>
        <v>12.76573595868302</v>
      </c>
      <c r="K199" s="10">
        <f t="shared" si="88"/>
        <v>558</v>
      </c>
      <c r="L199" s="10">
        <f t="shared" si="89"/>
        <v>42.50966608084358</v>
      </c>
      <c r="M199" s="12">
        <f t="shared" si="90"/>
        <v>247.84</v>
      </c>
      <c r="N199" s="13">
        <f t="shared" si="91"/>
        <v>0.44415770609319</v>
      </c>
    </row>
    <row r="200" spans="1:14">
      <c r="A200" s="6">
        <v>199</v>
      </c>
      <c r="B200" s="14">
        <v>45846</v>
      </c>
      <c r="C200" s="15">
        <v>46485</v>
      </c>
      <c r="D200" s="16">
        <v>6.69</v>
      </c>
      <c r="E200" s="16">
        <v>100</v>
      </c>
      <c r="F200" s="9" t="s">
        <v>918</v>
      </c>
      <c r="G200" s="10">
        <f t="shared" si="84"/>
        <v>14.947683109118087</v>
      </c>
      <c r="H200" s="11">
        <f t="shared" si="85"/>
        <v>660</v>
      </c>
      <c r="I200" s="10">
        <f t="shared" si="86"/>
        <v>7</v>
      </c>
      <c r="J200" s="10">
        <f t="shared" si="87"/>
        <v>15.525880601951382</v>
      </c>
      <c r="K200" s="10">
        <f t="shared" si="88"/>
        <v>94.285714285714292</v>
      </c>
      <c r="L200" s="10">
        <f t="shared" si="89"/>
        <v>6.072809440120511</v>
      </c>
      <c r="M200" s="12">
        <f t="shared" si="90"/>
        <v>34.554285714285712</v>
      </c>
      <c r="N200" s="13">
        <f t="shared" si="91"/>
        <v>0.36648484848484847</v>
      </c>
    </row>
    <row r="201" spans="1:14">
      <c r="A201" s="6">
        <v>200</v>
      </c>
      <c r="B201" s="14">
        <v>45858</v>
      </c>
      <c r="C201" s="15">
        <v>46621</v>
      </c>
      <c r="D201" s="16">
        <v>5.67</v>
      </c>
      <c r="E201" s="16">
        <v>100</v>
      </c>
      <c r="F201" s="9" t="s">
        <v>918</v>
      </c>
      <c r="G201" s="10">
        <f t="shared" ref="G201:G217" si="92">IF(E201&lt;&gt;"",E201/D201,"")</f>
        <v>17.636684303350972</v>
      </c>
      <c r="H201" s="11">
        <f t="shared" ref="H201:H217" si="93">IF(C201="","",C201-C200)</f>
        <v>136</v>
      </c>
      <c r="I201" s="10">
        <f t="shared" ref="I201:I217" si="94">IF(B201="","",B201-B200)</f>
        <v>12</v>
      </c>
      <c r="J201" s="10">
        <f t="shared" ref="J201:J217" si="95">IF(H201="","",H201/G200)</f>
        <v>9.0983999999999998</v>
      </c>
      <c r="K201" s="10">
        <f t="shared" ref="K201:K217" si="96">IF(H201&lt;&gt;"",IF(I201&gt;0,H201/I201,H201),"" )</f>
        <v>11.333333333333334</v>
      </c>
      <c r="L201" s="10">
        <f t="shared" ref="L201:L217" si="97">IF(I201="","",IF(I201=0,G201,G200/I201))</f>
        <v>1.2456402590931739</v>
      </c>
      <c r="M201" s="12">
        <f t="shared" ref="M201:M217" si="98">IF(I201="","",IF(I201=0,E200,E200/I201))</f>
        <v>8.3333333333333339</v>
      </c>
      <c r="N201" s="13">
        <f t="shared" ref="N201:N217" si="99">IF(H201="","",E200/H201)</f>
        <v>0.73529411764705888</v>
      </c>
    </row>
    <row r="202" spans="1:14">
      <c r="A202" s="6">
        <v>201</v>
      </c>
      <c r="B202" s="14">
        <v>45864</v>
      </c>
      <c r="C202" s="15">
        <v>46836</v>
      </c>
      <c r="D202" s="16">
        <v>6.19</v>
      </c>
      <c r="E202" s="16">
        <v>100</v>
      </c>
      <c r="F202" s="9" t="s">
        <v>918</v>
      </c>
      <c r="G202" s="10">
        <f t="shared" si="92"/>
        <v>16.15508885298869</v>
      </c>
      <c r="H202" s="11">
        <f t="shared" si="93"/>
        <v>215</v>
      </c>
      <c r="I202" s="10">
        <f t="shared" si="94"/>
        <v>6</v>
      </c>
      <c r="J202" s="10">
        <f t="shared" si="95"/>
        <v>12.190499999999998</v>
      </c>
      <c r="K202" s="10">
        <f t="shared" si="96"/>
        <v>35.833333333333336</v>
      </c>
      <c r="L202" s="10">
        <f t="shared" si="97"/>
        <v>2.9394473838918285</v>
      </c>
      <c r="M202" s="12">
        <f t="shared" si="98"/>
        <v>16.666666666666668</v>
      </c>
      <c r="N202" s="13">
        <f t="shared" si="99"/>
        <v>0.46511627906976744</v>
      </c>
    </row>
    <row r="203" spans="1:14">
      <c r="A203" s="6">
        <v>202</v>
      </c>
      <c r="B203" s="14">
        <v>45890</v>
      </c>
      <c r="C203" s="15">
        <v>47010</v>
      </c>
      <c r="D203" s="16">
        <v>5.79</v>
      </c>
      <c r="E203" s="16">
        <v>100</v>
      </c>
      <c r="F203" s="9" t="s">
        <v>918</v>
      </c>
      <c r="G203" s="10">
        <f t="shared" si="92"/>
        <v>17.271157167530223</v>
      </c>
      <c r="H203" s="11">
        <f t="shared" si="93"/>
        <v>174</v>
      </c>
      <c r="I203" s="10">
        <f t="shared" si="94"/>
        <v>26</v>
      </c>
      <c r="J203" s="10">
        <f t="shared" si="95"/>
        <v>10.7706</v>
      </c>
      <c r="K203" s="10">
        <f t="shared" si="96"/>
        <v>6.6923076923076925</v>
      </c>
      <c r="L203" s="10">
        <f t="shared" si="97"/>
        <v>0.62134957126879575</v>
      </c>
      <c r="M203" s="12">
        <f t="shared" si="98"/>
        <v>3.8461538461538463</v>
      </c>
      <c r="N203" s="13">
        <f t="shared" si="99"/>
        <v>0.57471264367816088</v>
      </c>
    </row>
    <row r="204" spans="1:14">
      <c r="A204" s="6">
        <v>203</v>
      </c>
      <c r="B204" s="14">
        <v>45898</v>
      </c>
      <c r="C204" s="15">
        <v>47131</v>
      </c>
      <c r="D204" s="16">
        <v>5.64</v>
      </c>
      <c r="E204" s="16">
        <v>100</v>
      </c>
      <c r="F204" s="9" t="s">
        <v>918</v>
      </c>
      <c r="G204" s="10">
        <f t="shared" si="92"/>
        <v>17.730496453900709</v>
      </c>
      <c r="H204" s="11">
        <f t="shared" si="93"/>
        <v>121</v>
      </c>
      <c r="I204" s="10">
        <f t="shared" si="94"/>
        <v>8</v>
      </c>
      <c r="J204" s="10">
        <f t="shared" si="95"/>
        <v>7.0059000000000005</v>
      </c>
      <c r="K204" s="10">
        <f t="shared" si="96"/>
        <v>15.125</v>
      </c>
      <c r="L204" s="10">
        <f t="shared" si="97"/>
        <v>2.1588946459412779</v>
      </c>
      <c r="M204" s="12">
        <f t="shared" si="98"/>
        <v>12.5</v>
      </c>
      <c r="N204" s="13">
        <f t="shared" si="99"/>
        <v>0.82644628099173556</v>
      </c>
    </row>
    <row r="205" spans="1:14">
      <c r="A205" s="6">
        <v>204</v>
      </c>
      <c r="B205" s="14">
        <v>45906</v>
      </c>
      <c r="C205" s="15">
        <v>47268</v>
      </c>
      <c r="D205" s="16">
        <v>5.19</v>
      </c>
      <c r="E205" s="16">
        <v>100</v>
      </c>
      <c r="F205" s="9" t="s">
        <v>918</v>
      </c>
      <c r="G205" s="10">
        <f t="shared" si="92"/>
        <v>19.267822736030826</v>
      </c>
      <c r="H205" s="11">
        <f t="shared" si="93"/>
        <v>137</v>
      </c>
      <c r="I205" s="10">
        <f t="shared" si="94"/>
        <v>8</v>
      </c>
      <c r="J205" s="10">
        <f t="shared" si="95"/>
        <v>7.7267999999999999</v>
      </c>
      <c r="K205" s="10">
        <f t="shared" si="96"/>
        <v>17.125</v>
      </c>
      <c r="L205" s="10">
        <f t="shared" si="97"/>
        <v>2.2163120567375887</v>
      </c>
      <c r="M205" s="12">
        <f t="shared" si="98"/>
        <v>12.5</v>
      </c>
      <c r="N205" s="13">
        <f t="shared" si="99"/>
        <v>0.72992700729927007</v>
      </c>
    </row>
    <row r="206" spans="1:14">
      <c r="A206" s="6">
        <v>205</v>
      </c>
      <c r="B206" s="14">
        <v>45918</v>
      </c>
      <c r="C206" s="15">
        <v>47373</v>
      </c>
      <c r="D206" s="16">
        <v>5.79</v>
      </c>
      <c r="E206" s="16">
        <v>150</v>
      </c>
      <c r="F206" s="9" t="s">
        <v>918</v>
      </c>
      <c r="G206" s="10">
        <f t="shared" si="92"/>
        <v>25.906735751295336</v>
      </c>
      <c r="H206" s="11">
        <f t="shared" si="93"/>
        <v>105</v>
      </c>
      <c r="I206" s="10">
        <f t="shared" si="94"/>
        <v>12</v>
      </c>
      <c r="J206" s="10">
        <f t="shared" si="95"/>
        <v>5.4495000000000005</v>
      </c>
      <c r="K206" s="10">
        <f t="shared" si="96"/>
        <v>8.75</v>
      </c>
      <c r="L206" s="10">
        <f t="shared" si="97"/>
        <v>1.6056518946692355</v>
      </c>
      <c r="M206" s="12">
        <f t="shared" si="98"/>
        <v>8.3333333333333339</v>
      </c>
      <c r="N206" s="13">
        <f t="shared" si="99"/>
        <v>0.95238095238095233</v>
      </c>
    </row>
    <row r="207" spans="1:14">
      <c r="A207" s="6">
        <v>206</v>
      </c>
      <c r="B207" s="14">
        <v>45934</v>
      </c>
      <c r="C207" s="15">
        <v>47539</v>
      </c>
      <c r="D207" s="16">
        <v>5.54</v>
      </c>
      <c r="E207" s="16">
        <v>150</v>
      </c>
      <c r="F207" s="9" t="s">
        <v>918</v>
      </c>
      <c r="G207" s="10">
        <f t="shared" si="92"/>
        <v>27.075812274368232</v>
      </c>
      <c r="H207" s="11">
        <f t="shared" si="93"/>
        <v>166</v>
      </c>
      <c r="I207" s="10">
        <f t="shared" si="94"/>
        <v>16</v>
      </c>
      <c r="J207" s="10">
        <f t="shared" si="95"/>
        <v>6.4076000000000004</v>
      </c>
      <c r="K207" s="10">
        <f t="shared" si="96"/>
        <v>10.375</v>
      </c>
      <c r="L207" s="10">
        <f t="shared" si="97"/>
        <v>1.6191709844559585</v>
      </c>
      <c r="M207" s="12">
        <f t="shared" si="98"/>
        <v>9.375</v>
      </c>
      <c r="N207" s="13">
        <f t="shared" si="99"/>
        <v>0.90361445783132532</v>
      </c>
    </row>
    <row r="208" spans="1:14">
      <c r="A208" s="6">
        <v>207</v>
      </c>
      <c r="B208" s="14">
        <v>45946</v>
      </c>
      <c r="C208" s="15">
        <v>47710</v>
      </c>
      <c r="D208" s="16">
        <v>5.99</v>
      </c>
      <c r="E208" s="16">
        <v>100</v>
      </c>
      <c r="F208" s="9" t="s">
        <v>918</v>
      </c>
      <c r="G208" s="10">
        <f t="shared" si="92"/>
        <v>16.694490818030051</v>
      </c>
      <c r="H208" s="11">
        <f t="shared" si="93"/>
        <v>171</v>
      </c>
      <c r="I208" s="10">
        <f t="shared" si="94"/>
        <v>12</v>
      </c>
      <c r="J208" s="10">
        <f t="shared" si="95"/>
        <v>6.3155999999999999</v>
      </c>
      <c r="K208" s="10">
        <f t="shared" si="96"/>
        <v>14.25</v>
      </c>
      <c r="L208" s="10">
        <f t="shared" si="97"/>
        <v>2.256317689530686</v>
      </c>
      <c r="M208" s="12">
        <f t="shared" si="98"/>
        <v>12.5</v>
      </c>
      <c r="N208" s="13">
        <f t="shared" si="99"/>
        <v>0.8771929824561403</v>
      </c>
    </row>
    <row r="209" spans="1:14">
      <c r="A209" s="6">
        <v>208</v>
      </c>
      <c r="B209" s="14">
        <v>45948</v>
      </c>
      <c r="C209" s="15">
        <v>47853</v>
      </c>
      <c r="D209" s="16">
        <v>6.19</v>
      </c>
      <c r="E209" s="16">
        <v>150</v>
      </c>
      <c r="F209" s="9" t="s">
        <v>918</v>
      </c>
      <c r="G209" s="10">
        <f t="shared" si="92"/>
        <v>24.232633279483036</v>
      </c>
      <c r="H209" s="11">
        <f t="shared" si="93"/>
        <v>143</v>
      </c>
      <c r="I209" s="10">
        <f t="shared" si="94"/>
        <v>2</v>
      </c>
      <c r="J209" s="10">
        <f t="shared" si="95"/>
        <v>8.5656999999999996</v>
      </c>
      <c r="K209" s="10">
        <f t="shared" si="96"/>
        <v>71.5</v>
      </c>
      <c r="L209" s="10">
        <f t="shared" si="97"/>
        <v>8.3472454090150254</v>
      </c>
      <c r="M209" s="12">
        <f t="shared" si="98"/>
        <v>50</v>
      </c>
      <c r="N209" s="13">
        <f t="shared" si="99"/>
        <v>0.69930069930069927</v>
      </c>
    </row>
    <row r="210" spans="1:14">
      <c r="A210" s="6">
        <v>209</v>
      </c>
      <c r="B210" s="14">
        <v>45949</v>
      </c>
      <c r="C210" s="15">
        <v>48077</v>
      </c>
      <c r="D210" s="16">
        <v>6.29</v>
      </c>
      <c r="E210" s="16">
        <v>150</v>
      </c>
      <c r="F210" s="9" t="s">
        <v>918</v>
      </c>
      <c r="G210" s="10">
        <f t="shared" si="92"/>
        <v>23.847376788553259</v>
      </c>
      <c r="H210" s="11">
        <f t="shared" si="93"/>
        <v>224</v>
      </c>
      <c r="I210" s="10">
        <f t="shared" si="94"/>
        <v>1</v>
      </c>
      <c r="J210" s="10">
        <f t="shared" si="95"/>
        <v>9.2437333333333331</v>
      </c>
      <c r="K210" s="10">
        <f t="shared" si="96"/>
        <v>224</v>
      </c>
      <c r="L210" s="10">
        <f t="shared" si="97"/>
        <v>24.232633279483036</v>
      </c>
      <c r="M210" s="12">
        <f t="shared" si="98"/>
        <v>150</v>
      </c>
      <c r="N210" s="13">
        <f t="shared" si="99"/>
        <v>0.6696428571428571</v>
      </c>
    </row>
    <row r="211" spans="1:14">
      <c r="A211" s="6">
        <v>210</v>
      </c>
      <c r="B211" s="14">
        <v>45957</v>
      </c>
      <c r="C211" s="15">
        <f>48493-120</f>
        <v>48373</v>
      </c>
      <c r="D211" s="16">
        <v>5.99</v>
      </c>
      <c r="E211" s="16">
        <v>150</v>
      </c>
      <c r="F211" s="9" t="s">
        <v>918</v>
      </c>
      <c r="G211" s="10">
        <f t="shared" si="92"/>
        <v>25.041736227045075</v>
      </c>
      <c r="H211" s="11">
        <f t="shared" si="93"/>
        <v>296</v>
      </c>
      <c r="I211" s="10">
        <f t="shared" si="94"/>
        <v>8</v>
      </c>
      <c r="J211" s="10">
        <f t="shared" si="95"/>
        <v>12.412266666666667</v>
      </c>
      <c r="K211" s="10">
        <f t="shared" si="96"/>
        <v>37</v>
      </c>
      <c r="L211" s="10">
        <f t="shared" si="97"/>
        <v>2.9809220985691574</v>
      </c>
      <c r="M211" s="12">
        <f t="shared" si="98"/>
        <v>18.75</v>
      </c>
      <c r="N211" s="13">
        <f t="shared" si="99"/>
        <v>0.5067567567567568</v>
      </c>
    </row>
    <row r="212" spans="1:14">
      <c r="A212" s="6">
        <v>211</v>
      </c>
      <c r="B212" s="14">
        <v>45978</v>
      </c>
      <c r="C212" s="15">
        <v>48645</v>
      </c>
      <c r="D212" s="16">
        <v>5.79</v>
      </c>
      <c r="E212" s="16">
        <v>120</v>
      </c>
      <c r="F212" s="9" t="s">
        <v>918</v>
      </c>
      <c r="G212" s="10">
        <f t="shared" si="92"/>
        <v>20.725388601036268</v>
      </c>
      <c r="H212" s="11">
        <f t="shared" si="93"/>
        <v>272</v>
      </c>
      <c r="I212" s="10">
        <f t="shared" si="94"/>
        <v>21</v>
      </c>
      <c r="J212" s="10">
        <f t="shared" si="95"/>
        <v>10.861866666666668</v>
      </c>
      <c r="K212" s="10">
        <f t="shared" si="96"/>
        <v>12.952380952380953</v>
      </c>
      <c r="L212" s="10">
        <f t="shared" si="97"/>
        <v>1.1924636298592892</v>
      </c>
      <c r="M212" s="12">
        <f t="shared" si="98"/>
        <v>7.1428571428571432</v>
      </c>
      <c r="N212" s="13">
        <f t="shared" si="99"/>
        <v>0.55147058823529416</v>
      </c>
    </row>
    <row r="213" spans="1:14">
      <c r="A213" s="6">
        <v>212</v>
      </c>
      <c r="B213" s="14">
        <v>45987</v>
      </c>
      <c r="C213" s="15">
        <v>48754</v>
      </c>
      <c r="D213" s="16">
        <v>5.79</v>
      </c>
      <c r="E213" s="16">
        <v>100</v>
      </c>
      <c r="F213" s="9" t="s">
        <v>918</v>
      </c>
      <c r="G213" s="10">
        <f t="shared" si="92"/>
        <v>17.271157167530223</v>
      </c>
      <c r="H213" s="11">
        <f t="shared" si="93"/>
        <v>109</v>
      </c>
      <c r="I213" s="10">
        <f t="shared" si="94"/>
        <v>9</v>
      </c>
      <c r="J213" s="10">
        <f t="shared" si="95"/>
        <v>5.2592500000000006</v>
      </c>
      <c r="K213" s="10">
        <f t="shared" si="96"/>
        <v>12.111111111111111</v>
      </c>
      <c r="L213" s="10">
        <f t="shared" si="97"/>
        <v>2.3028209556706964</v>
      </c>
      <c r="M213" s="12">
        <f t="shared" si="98"/>
        <v>13.333333333333334</v>
      </c>
      <c r="N213" s="13">
        <f t="shared" si="99"/>
        <v>1.1009174311926606</v>
      </c>
    </row>
    <row r="214" spans="1:14">
      <c r="A214" s="6">
        <v>213</v>
      </c>
      <c r="B214" s="14">
        <v>46003</v>
      </c>
      <c r="C214" s="15">
        <v>48892</v>
      </c>
      <c r="D214" s="16">
        <v>6.29</v>
      </c>
      <c r="E214" s="16">
        <v>100</v>
      </c>
      <c r="F214" s="9" t="s">
        <v>918</v>
      </c>
      <c r="G214" s="10">
        <f t="shared" si="92"/>
        <v>15.898251192368839</v>
      </c>
      <c r="H214" s="11">
        <f t="shared" si="93"/>
        <v>138</v>
      </c>
      <c r="I214" s="10">
        <f t="shared" si="94"/>
        <v>16</v>
      </c>
      <c r="J214" s="10">
        <f t="shared" si="95"/>
        <v>7.9902000000000006</v>
      </c>
      <c r="K214" s="10">
        <f t="shared" si="96"/>
        <v>8.625</v>
      </c>
      <c r="L214" s="10">
        <f t="shared" si="97"/>
        <v>1.0794473229706389</v>
      </c>
      <c r="M214" s="12">
        <f t="shared" si="98"/>
        <v>6.25</v>
      </c>
      <c r="N214" s="13">
        <f t="shared" si="99"/>
        <v>0.72463768115942029</v>
      </c>
    </row>
    <row r="215" spans="1:14">
      <c r="A215" s="6">
        <v>214</v>
      </c>
      <c r="B215" s="14">
        <v>46007</v>
      </c>
      <c r="C215" s="15">
        <v>49000</v>
      </c>
      <c r="D215" s="16">
        <v>5.99</v>
      </c>
      <c r="E215" s="16">
        <v>100</v>
      </c>
      <c r="F215" s="9" t="s">
        <v>918</v>
      </c>
      <c r="G215" s="10">
        <f t="shared" si="92"/>
        <v>16.694490818030051</v>
      </c>
      <c r="H215" s="11">
        <f t="shared" si="93"/>
        <v>108</v>
      </c>
      <c r="I215" s="10">
        <f t="shared" si="94"/>
        <v>4</v>
      </c>
      <c r="J215" s="10">
        <f t="shared" si="95"/>
        <v>6.7931999999999997</v>
      </c>
      <c r="K215" s="10">
        <f t="shared" si="96"/>
        <v>27</v>
      </c>
      <c r="L215" s="10">
        <f t="shared" si="97"/>
        <v>3.9745627980922098</v>
      </c>
      <c r="M215" s="12">
        <f t="shared" si="98"/>
        <v>25</v>
      </c>
      <c r="N215" s="13">
        <f t="shared" si="99"/>
        <v>0.92592592592592593</v>
      </c>
    </row>
    <row r="216" spans="1:14">
      <c r="A216" s="6">
        <v>215</v>
      </c>
      <c r="B216" s="14">
        <v>46011</v>
      </c>
      <c r="C216" s="15">
        <v>49025</v>
      </c>
      <c r="D216" s="16">
        <v>5.99</v>
      </c>
      <c r="E216" s="16">
        <v>200</v>
      </c>
      <c r="F216" s="9" t="s">
        <v>918</v>
      </c>
      <c r="G216" s="10">
        <f t="shared" si="92"/>
        <v>33.388981636060102</v>
      </c>
      <c r="H216" s="11">
        <f t="shared" si="93"/>
        <v>25</v>
      </c>
      <c r="I216" s="10">
        <f t="shared" si="94"/>
        <v>4</v>
      </c>
      <c r="J216" s="10">
        <f t="shared" si="95"/>
        <v>1.4974999999999998</v>
      </c>
      <c r="K216" s="10">
        <f t="shared" si="96"/>
        <v>6.25</v>
      </c>
      <c r="L216" s="10">
        <f t="shared" si="97"/>
        <v>4.1736227045075127</v>
      </c>
      <c r="M216" s="12">
        <f t="shared" si="98"/>
        <v>25</v>
      </c>
      <c r="N216" s="13">
        <f t="shared" si="99"/>
        <v>4</v>
      </c>
    </row>
    <row r="217" spans="1:14">
      <c r="A217" s="6">
        <v>216</v>
      </c>
      <c r="B217" s="14">
        <v>46024</v>
      </c>
      <c r="C217" s="15">
        <v>49423</v>
      </c>
      <c r="D217" s="16">
        <v>6.29</v>
      </c>
      <c r="E217" s="16">
        <v>200</v>
      </c>
      <c r="F217" s="9" t="s">
        <v>918</v>
      </c>
      <c r="G217" s="10">
        <f t="shared" si="92"/>
        <v>31.796502384737678</v>
      </c>
      <c r="H217" s="11">
        <f t="shared" si="93"/>
        <v>398</v>
      </c>
      <c r="I217" s="10">
        <f t="shared" si="94"/>
        <v>13</v>
      </c>
      <c r="J217" s="10">
        <f t="shared" si="95"/>
        <v>11.9201</v>
      </c>
      <c r="K217" s="10">
        <f t="shared" si="96"/>
        <v>30.615384615384617</v>
      </c>
      <c r="L217" s="10">
        <f t="shared" si="97"/>
        <v>2.568383202773854</v>
      </c>
      <c r="M217" s="12">
        <f t="shared" si="98"/>
        <v>15.384615384615385</v>
      </c>
      <c r="N217" s="13">
        <f t="shared" si="99"/>
        <v>0.50251256281407031</v>
      </c>
    </row>
    <row r="218" spans="1:14">
      <c r="A218" s="6">
        <v>217</v>
      </c>
      <c r="B218" s="14">
        <v>46055</v>
      </c>
      <c r="C218" s="15">
        <v>49914</v>
      </c>
      <c r="D218" s="16">
        <v>6.09</v>
      </c>
      <c r="E218" s="16">
        <v>150</v>
      </c>
      <c r="F218" s="9" t="s">
        <v>918</v>
      </c>
      <c r="G218" s="10">
        <f t="shared" ref="G218:G223" si="100">IF(E218&lt;&gt;"",E218/D218,"")</f>
        <v>24.630541871921181</v>
      </c>
      <c r="H218" s="11">
        <f t="shared" ref="H218:H223" si="101">IF(C218="","",C218-C217)</f>
        <v>491</v>
      </c>
      <c r="I218" s="10">
        <f t="shared" ref="I218:I223" si="102">IF(B218="","",B218-B217)</f>
        <v>31</v>
      </c>
      <c r="J218" s="10">
        <f t="shared" ref="J218:J223" si="103">IF(H218="","",H218/G217)</f>
        <v>15.44195</v>
      </c>
      <c r="K218" s="10">
        <f t="shared" ref="K218:K223" si="104">IF(H218&lt;&gt;"",IF(I218&gt;0,H218/I218,H218),"" )</f>
        <v>15.838709677419354</v>
      </c>
      <c r="L218" s="10">
        <f t="shared" ref="L218:L223" si="105">IF(I218="","",IF(I218=0,G218,G217/I218))</f>
        <v>1.0256936253141187</v>
      </c>
      <c r="M218" s="12">
        <f t="shared" ref="M218:M223" si="106">IF(I218="","",IF(I218=0,E217,E217/I218))</f>
        <v>6.4516129032258061</v>
      </c>
      <c r="N218" s="13">
        <f t="shared" ref="N218:N223" si="107">IF(H218="","",E217/H218)</f>
        <v>0.40733197556008149</v>
      </c>
    </row>
    <row r="219" spans="1:14">
      <c r="A219" s="6">
        <v>218</v>
      </c>
      <c r="B219" s="14">
        <v>46068</v>
      </c>
      <c r="C219" s="15">
        <v>50043</v>
      </c>
      <c r="D219" s="16">
        <v>5.89</v>
      </c>
      <c r="E219" s="16">
        <v>150</v>
      </c>
      <c r="F219" s="9" t="s">
        <v>918</v>
      </c>
      <c r="G219" s="10">
        <f t="shared" si="100"/>
        <v>25.466893039049236</v>
      </c>
      <c r="H219" s="11">
        <f t="shared" si="101"/>
        <v>129</v>
      </c>
      <c r="I219" s="10">
        <f t="shared" si="102"/>
        <v>13</v>
      </c>
      <c r="J219" s="10">
        <f t="shared" si="103"/>
        <v>5.2374000000000001</v>
      </c>
      <c r="K219" s="10">
        <f t="shared" si="104"/>
        <v>9.9230769230769234</v>
      </c>
      <c r="L219" s="10">
        <f t="shared" si="105"/>
        <v>1.89465706707086</v>
      </c>
      <c r="M219" s="12">
        <f t="shared" si="106"/>
        <v>11.538461538461538</v>
      </c>
      <c r="N219" s="13">
        <f t="shared" si="107"/>
        <v>1.1627906976744187</v>
      </c>
    </row>
    <row r="220" spans="1:14">
      <c r="A220" s="6">
        <v>219</v>
      </c>
      <c r="B220" s="14">
        <v>46074</v>
      </c>
      <c r="C220" s="15">
        <v>50175</v>
      </c>
      <c r="D220" s="16">
        <v>6.09</v>
      </c>
      <c r="E220" s="16">
        <v>150</v>
      </c>
      <c r="F220" s="9" t="s">
        <v>918</v>
      </c>
      <c r="G220" s="10">
        <f t="shared" si="100"/>
        <v>24.630541871921181</v>
      </c>
      <c r="H220" s="11">
        <f t="shared" si="101"/>
        <v>132</v>
      </c>
      <c r="I220" s="10">
        <f t="shared" si="102"/>
        <v>6</v>
      </c>
      <c r="J220" s="10">
        <f t="shared" si="103"/>
        <v>5.1832000000000003</v>
      </c>
      <c r="K220" s="10">
        <f t="shared" si="104"/>
        <v>22</v>
      </c>
      <c r="L220" s="10">
        <f t="shared" si="105"/>
        <v>4.2444821731748723</v>
      </c>
      <c r="M220" s="12">
        <f t="shared" si="106"/>
        <v>25</v>
      </c>
      <c r="N220" s="13">
        <f t="shared" si="107"/>
        <v>1.1363636363636365</v>
      </c>
    </row>
    <row r="221" spans="1:14">
      <c r="A221" s="6">
        <v>220</v>
      </c>
      <c r="B221" s="14">
        <v>46075</v>
      </c>
      <c r="C221" s="15">
        <v>50439</v>
      </c>
      <c r="D221" s="16">
        <v>6.39</v>
      </c>
      <c r="E221" s="16">
        <v>150</v>
      </c>
      <c r="F221" s="9" t="s">
        <v>918</v>
      </c>
      <c r="G221" s="10">
        <f t="shared" si="100"/>
        <v>23.474178403755868</v>
      </c>
      <c r="H221" s="11">
        <f t="shared" si="101"/>
        <v>264</v>
      </c>
      <c r="I221" s="10">
        <f t="shared" si="102"/>
        <v>1</v>
      </c>
      <c r="J221" s="10">
        <f t="shared" si="103"/>
        <v>10.718400000000001</v>
      </c>
      <c r="K221" s="10">
        <f t="shared" si="104"/>
        <v>264</v>
      </c>
      <c r="L221" s="10">
        <f t="shared" si="105"/>
        <v>24.630541871921181</v>
      </c>
      <c r="M221" s="12">
        <f t="shared" si="106"/>
        <v>150</v>
      </c>
      <c r="N221" s="13">
        <f t="shared" si="107"/>
        <v>0.56818181818181823</v>
      </c>
    </row>
    <row r="222" spans="1:14">
      <c r="A222" s="6">
        <v>221</v>
      </c>
      <c r="B222" s="14">
        <v>46093</v>
      </c>
      <c r="C222" s="15">
        <v>50876</v>
      </c>
      <c r="D222" s="16">
        <v>6.89</v>
      </c>
      <c r="E222" s="16">
        <v>150</v>
      </c>
      <c r="F222" s="9" t="s">
        <v>918</v>
      </c>
      <c r="G222" s="10">
        <f t="shared" si="100"/>
        <v>21.770682148040638</v>
      </c>
      <c r="H222" s="11">
        <f t="shared" si="101"/>
        <v>437</v>
      </c>
      <c r="I222" s="10">
        <f t="shared" si="102"/>
        <v>18</v>
      </c>
      <c r="J222" s="10">
        <f t="shared" si="103"/>
        <v>18.616199999999999</v>
      </c>
      <c r="K222" s="10">
        <f t="shared" si="104"/>
        <v>24.277777777777779</v>
      </c>
      <c r="L222" s="10">
        <f t="shared" si="105"/>
        <v>1.3041210224308815</v>
      </c>
      <c r="M222" s="12">
        <f t="shared" si="106"/>
        <v>8.3333333333333339</v>
      </c>
      <c r="N222" s="13">
        <f t="shared" si="107"/>
        <v>0.34324942791762014</v>
      </c>
    </row>
    <row r="223" spans="1:14">
      <c r="A223" s="6">
        <v>222</v>
      </c>
      <c r="B223" s="14">
        <v>46098</v>
      </c>
      <c r="C223" s="15">
        <v>50997</v>
      </c>
      <c r="D223" s="16">
        <v>6.39</v>
      </c>
      <c r="E223" s="16">
        <v>150</v>
      </c>
      <c r="F223" s="9" t="s">
        <v>918</v>
      </c>
      <c r="G223" s="10">
        <f t="shared" si="100"/>
        <v>23.474178403755868</v>
      </c>
      <c r="H223" s="11">
        <f t="shared" si="101"/>
        <v>121</v>
      </c>
      <c r="I223" s="10">
        <f t="shared" si="102"/>
        <v>5</v>
      </c>
      <c r="J223" s="10">
        <f t="shared" si="103"/>
        <v>5.5579333333333336</v>
      </c>
      <c r="K223" s="10">
        <f t="shared" si="104"/>
        <v>24.2</v>
      </c>
      <c r="L223" s="10">
        <f t="shared" si="105"/>
        <v>4.3541364296081273</v>
      </c>
      <c r="M223" s="12">
        <f t="shared" si="106"/>
        <v>30</v>
      </c>
      <c r="N223" s="13">
        <f t="shared" si="107"/>
        <v>1.2396694214876034</v>
      </c>
    </row>
    <row r="224" spans="1:14">
      <c r="A224" s="6">
        <v>223</v>
      </c>
      <c r="B224" s="14">
        <v>46114</v>
      </c>
      <c r="C224" s="15">
        <v>51147</v>
      </c>
      <c r="D224" s="16">
        <v>7.4</v>
      </c>
      <c r="E224" s="16">
        <v>100</v>
      </c>
      <c r="F224" s="9" t="s">
        <v>918</v>
      </c>
      <c r="G224" s="10">
        <f t="shared" ref="G224:G257" si="108">IF(E224&lt;&gt;"",E224/D224,"")</f>
        <v>13.513513513513512</v>
      </c>
      <c r="H224" s="11">
        <f t="shared" ref="H224:H257" si="109">IF(C224="","",C224-C223)</f>
        <v>150</v>
      </c>
      <c r="I224" s="10">
        <f t="shared" ref="I224:I257" si="110">IF(B224="","",B224-B223)</f>
        <v>16</v>
      </c>
      <c r="J224" s="10">
        <f t="shared" ref="J224:J257" si="111">IF(H224="","",H224/G223)</f>
        <v>6.3900000000000006</v>
      </c>
      <c r="K224" s="10">
        <f t="shared" ref="K224:K257" si="112">IF(H224&lt;&gt;"",IF(I224&gt;0,H224/I224,H224),"" )</f>
        <v>9.375</v>
      </c>
      <c r="L224" s="10">
        <f t="shared" ref="L224:L257" si="113">IF(I224="","",IF(I224=0,G224,G223/I224))</f>
        <v>1.4671361502347418</v>
      </c>
      <c r="M224" s="12">
        <f t="shared" ref="M224:M257" si="114">IF(I224="","",IF(I224=0,E223,E223/I224))</f>
        <v>9.375</v>
      </c>
      <c r="N224" s="13">
        <f t="shared" ref="N224:N257" si="115">IF(H224="","",E223/H224)</f>
        <v>1</v>
      </c>
    </row>
    <row r="225" spans="1:14">
      <c r="A225" s="6">
        <v>224</v>
      </c>
      <c r="B225" s="14">
        <v>46119</v>
      </c>
      <c r="C225" s="15">
        <v>51230</v>
      </c>
      <c r="D225" s="16">
        <v>6.58</v>
      </c>
      <c r="E225" s="16">
        <v>150</v>
      </c>
      <c r="F225" s="9" t="s">
        <v>918</v>
      </c>
      <c r="G225" s="10">
        <f t="shared" si="108"/>
        <v>22.796352583586625</v>
      </c>
      <c r="H225" s="11">
        <f t="shared" si="109"/>
        <v>83</v>
      </c>
      <c r="I225" s="10">
        <f t="shared" si="110"/>
        <v>5</v>
      </c>
      <c r="J225" s="10">
        <f t="shared" si="111"/>
        <v>6.1420000000000003</v>
      </c>
      <c r="K225" s="10">
        <f t="shared" si="112"/>
        <v>16.600000000000001</v>
      </c>
      <c r="L225" s="10">
        <f t="shared" si="113"/>
        <v>2.7027027027027026</v>
      </c>
      <c r="M225" s="12">
        <f t="shared" si="114"/>
        <v>20</v>
      </c>
      <c r="N225" s="13">
        <f t="shared" si="115"/>
        <v>1.2048192771084338</v>
      </c>
    </row>
    <row r="226" spans="1:14">
      <c r="A226" s="6">
        <v>225</v>
      </c>
      <c r="B226" s="14">
        <v>46128</v>
      </c>
      <c r="C226" s="15">
        <v>51388</v>
      </c>
      <c r="D226" s="16">
        <v>6.49</v>
      </c>
      <c r="E226" s="16">
        <v>150</v>
      </c>
      <c r="F226" s="9" t="s">
        <v>918</v>
      </c>
      <c r="G226" s="10">
        <f t="shared" si="108"/>
        <v>23.112480739599384</v>
      </c>
      <c r="H226" s="11">
        <f t="shared" si="109"/>
        <v>158</v>
      </c>
      <c r="I226" s="10">
        <f t="shared" si="110"/>
        <v>9</v>
      </c>
      <c r="J226" s="10">
        <f t="shared" si="111"/>
        <v>6.9309333333333338</v>
      </c>
      <c r="K226" s="10">
        <f t="shared" si="112"/>
        <v>17.555555555555557</v>
      </c>
      <c r="L226" s="10">
        <f t="shared" si="113"/>
        <v>2.5329280648429582</v>
      </c>
      <c r="M226" s="12">
        <f t="shared" si="114"/>
        <v>16.666666666666668</v>
      </c>
      <c r="N226" s="13">
        <f t="shared" si="115"/>
        <v>0.94936708860759489</v>
      </c>
    </row>
    <row r="227" spans="1:14">
      <c r="A227" s="6">
        <v>226</v>
      </c>
      <c r="B227" s="14">
        <v>46140</v>
      </c>
      <c r="C227" s="15">
        <v>51570</v>
      </c>
      <c r="D227" s="16">
        <v>6.49</v>
      </c>
      <c r="E227" s="16">
        <v>100</v>
      </c>
      <c r="F227" s="9" t="s">
        <v>918</v>
      </c>
      <c r="G227" s="10">
        <f t="shared" si="108"/>
        <v>15.408320493066256</v>
      </c>
      <c r="H227" s="11">
        <f t="shared" si="109"/>
        <v>182</v>
      </c>
      <c r="I227" s="10">
        <f t="shared" si="110"/>
        <v>12</v>
      </c>
      <c r="J227" s="10">
        <f t="shared" si="111"/>
        <v>7.8745333333333329</v>
      </c>
      <c r="K227" s="10">
        <f t="shared" si="112"/>
        <v>15.166666666666666</v>
      </c>
      <c r="L227" s="10">
        <f t="shared" si="113"/>
        <v>1.926040061633282</v>
      </c>
      <c r="M227" s="12">
        <f t="shared" si="114"/>
        <v>12.5</v>
      </c>
      <c r="N227" s="13">
        <f t="shared" si="115"/>
        <v>0.82417582417582413</v>
      </c>
    </row>
    <row r="228" spans="1:14">
      <c r="A228" s="6">
        <v>227</v>
      </c>
      <c r="B228" s="14">
        <v>46143</v>
      </c>
      <c r="C228" s="15">
        <v>51633</v>
      </c>
      <c r="D228" s="16">
        <v>6.49</v>
      </c>
      <c r="E228" s="16">
        <v>200</v>
      </c>
      <c r="F228" s="9" t="s">
        <v>918</v>
      </c>
      <c r="G228" s="10">
        <f t="shared" si="108"/>
        <v>30.816640986132512</v>
      </c>
      <c r="H228" s="11">
        <f t="shared" si="109"/>
        <v>63</v>
      </c>
      <c r="I228" s="10">
        <f t="shared" si="110"/>
        <v>3</v>
      </c>
      <c r="J228" s="10">
        <f t="shared" si="111"/>
        <v>4.0887000000000002</v>
      </c>
      <c r="K228" s="10">
        <f t="shared" si="112"/>
        <v>21</v>
      </c>
      <c r="L228" s="10">
        <f t="shared" si="113"/>
        <v>5.1361068310220857</v>
      </c>
      <c r="M228" s="12">
        <f t="shared" si="114"/>
        <v>33.333333333333336</v>
      </c>
      <c r="N228" s="13">
        <f t="shared" si="115"/>
        <v>1.5873015873015872</v>
      </c>
    </row>
    <row r="229" spans="1:14">
      <c r="A229" s="6">
        <v>228</v>
      </c>
      <c r="B229" s="14">
        <v>46145</v>
      </c>
      <c r="C229" s="15">
        <v>51967</v>
      </c>
      <c r="D229" s="16">
        <v>6.79</v>
      </c>
      <c r="E229" s="16">
        <v>200</v>
      </c>
      <c r="F229" s="9" t="s">
        <v>918</v>
      </c>
      <c r="G229" s="10">
        <f t="shared" si="108"/>
        <v>29.455081001472752</v>
      </c>
      <c r="H229" s="11">
        <f t="shared" si="109"/>
        <v>334</v>
      </c>
      <c r="I229" s="10">
        <f t="shared" si="110"/>
        <v>2</v>
      </c>
      <c r="J229" s="10">
        <f t="shared" si="111"/>
        <v>10.8383</v>
      </c>
      <c r="K229" s="10">
        <f t="shared" si="112"/>
        <v>167</v>
      </c>
      <c r="L229" s="10">
        <f t="shared" si="113"/>
        <v>15.408320493066256</v>
      </c>
      <c r="M229" s="12">
        <f t="shared" si="114"/>
        <v>100</v>
      </c>
      <c r="N229" s="13">
        <f t="shared" si="115"/>
        <v>0.59880239520958078</v>
      </c>
    </row>
    <row r="230" spans="1:14">
      <c r="A230" s="6">
        <v>229</v>
      </c>
      <c r="B230" s="14">
        <v>46155</v>
      </c>
      <c r="C230" s="15">
        <v>52441</v>
      </c>
      <c r="D230" s="16">
        <v>6.19</v>
      </c>
      <c r="E230" s="16">
        <v>100</v>
      </c>
      <c r="F230" s="9" t="s">
        <v>918</v>
      </c>
      <c r="G230" s="10">
        <f t="shared" si="108"/>
        <v>16.15508885298869</v>
      </c>
      <c r="H230" s="11">
        <f t="shared" si="109"/>
        <v>474</v>
      </c>
      <c r="I230" s="10">
        <f t="shared" si="110"/>
        <v>10</v>
      </c>
      <c r="J230" s="10">
        <f t="shared" si="111"/>
        <v>16.092300000000002</v>
      </c>
      <c r="K230" s="10">
        <f t="shared" si="112"/>
        <v>47.4</v>
      </c>
      <c r="L230" s="10">
        <f t="shared" si="113"/>
        <v>2.9455081001472752</v>
      </c>
      <c r="M230" s="12">
        <f t="shared" si="114"/>
        <v>20</v>
      </c>
      <c r="N230" s="13">
        <f t="shared" si="115"/>
        <v>0.4219409282700422</v>
      </c>
    </row>
    <row r="231" spans="1:14">
      <c r="A231" s="6">
        <v>230</v>
      </c>
      <c r="B231" s="14"/>
      <c r="C231" s="15"/>
      <c r="D231" s="16"/>
      <c r="E231" s="16"/>
      <c r="F231" s="9"/>
      <c r="G231" s="10" t="str">
        <f t="shared" si="108"/>
        <v/>
      </c>
      <c r="H231" s="11" t="str">
        <f t="shared" si="109"/>
        <v/>
      </c>
      <c r="I231" s="10" t="str">
        <f t="shared" si="110"/>
        <v/>
      </c>
      <c r="J231" s="10" t="str">
        <f t="shared" si="111"/>
        <v/>
      </c>
      <c r="K231" s="10" t="str">
        <f t="shared" si="112"/>
        <v/>
      </c>
      <c r="L231" s="10" t="str">
        <f t="shared" si="113"/>
        <v/>
      </c>
      <c r="M231" s="12" t="str">
        <f t="shared" si="114"/>
        <v/>
      </c>
      <c r="N231" s="13" t="str">
        <f t="shared" si="115"/>
        <v/>
      </c>
    </row>
    <row r="232" spans="1:14">
      <c r="A232" s="6">
        <v>231</v>
      </c>
      <c r="B232" s="14"/>
      <c r="C232" s="15"/>
      <c r="D232" s="16"/>
      <c r="E232" s="16"/>
      <c r="F232" s="9"/>
      <c r="G232" s="10" t="str">
        <f t="shared" si="108"/>
        <v/>
      </c>
      <c r="H232" s="11" t="str">
        <f t="shared" si="109"/>
        <v/>
      </c>
      <c r="I232" s="10" t="str">
        <f t="shared" si="110"/>
        <v/>
      </c>
      <c r="J232" s="10" t="str">
        <f t="shared" si="111"/>
        <v/>
      </c>
      <c r="K232" s="10" t="str">
        <f t="shared" si="112"/>
        <v/>
      </c>
      <c r="L232" s="10" t="str">
        <f t="shared" si="113"/>
        <v/>
      </c>
      <c r="M232" s="12" t="str">
        <f t="shared" si="114"/>
        <v/>
      </c>
      <c r="N232" s="13" t="str">
        <f t="shared" si="115"/>
        <v/>
      </c>
    </row>
    <row r="233" spans="1:14">
      <c r="A233" s="6">
        <v>232</v>
      </c>
      <c r="B233" s="14"/>
      <c r="C233" s="15"/>
      <c r="D233" s="16"/>
      <c r="E233" s="16"/>
      <c r="F233" s="9"/>
      <c r="G233" s="10" t="str">
        <f t="shared" si="108"/>
        <v/>
      </c>
      <c r="H233" s="11" t="str">
        <f t="shared" si="109"/>
        <v/>
      </c>
      <c r="I233" s="10" t="str">
        <f t="shared" si="110"/>
        <v/>
      </c>
      <c r="J233" s="10" t="str">
        <f t="shared" si="111"/>
        <v/>
      </c>
      <c r="K233" s="10" t="str">
        <f t="shared" si="112"/>
        <v/>
      </c>
      <c r="L233" s="10" t="str">
        <f t="shared" si="113"/>
        <v/>
      </c>
      <c r="M233" s="12" t="str">
        <f t="shared" si="114"/>
        <v/>
      </c>
      <c r="N233" s="13" t="str">
        <f t="shared" si="115"/>
        <v/>
      </c>
    </row>
    <row r="234" spans="1:14">
      <c r="A234" s="6">
        <v>233</v>
      </c>
      <c r="B234" s="14"/>
      <c r="C234" s="15"/>
      <c r="D234" s="16"/>
      <c r="E234" s="16"/>
      <c r="F234" s="9"/>
      <c r="G234" s="10" t="str">
        <f t="shared" si="108"/>
        <v/>
      </c>
      <c r="H234" s="11" t="str">
        <f t="shared" si="109"/>
        <v/>
      </c>
      <c r="I234" s="10" t="str">
        <f t="shared" si="110"/>
        <v/>
      </c>
      <c r="J234" s="10" t="str">
        <f t="shared" si="111"/>
        <v/>
      </c>
      <c r="K234" s="10" t="str">
        <f t="shared" si="112"/>
        <v/>
      </c>
      <c r="L234" s="10" t="str">
        <f t="shared" si="113"/>
        <v/>
      </c>
      <c r="M234" s="12" t="str">
        <f t="shared" si="114"/>
        <v/>
      </c>
      <c r="N234" s="13" t="str">
        <f t="shared" si="115"/>
        <v/>
      </c>
    </row>
    <row r="235" spans="1:14">
      <c r="A235" s="6">
        <v>234</v>
      </c>
      <c r="B235" s="14"/>
      <c r="C235" s="15"/>
      <c r="D235" s="16"/>
      <c r="E235" s="16"/>
      <c r="F235" s="9"/>
      <c r="G235" s="10" t="str">
        <f t="shared" si="108"/>
        <v/>
      </c>
      <c r="H235" s="11" t="str">
        <f t="shared" si="109"/>
        <v/>
      </c>
      <c r="I235" s="10" t="str">
        <f t="shared" si="110"/>
        <v/>
      </c>
      <c r="J235" s="10" t="str">
        <f t="shared" si="111"/>
        <v/>
      </c>
      <c r="K235" s="10" t="str">
        <f t="shared" si="112"/>
        <v/>
      </c>
      <c r="L235" s="10" t="str">
        <f t="shared" si="113"/>
        <v/>
      </c>
      <c r="M235" s="12" t="str">
        <f t="shared" si="114"/>
        <v/>
      </c>
      <c r="N235" s="13" t="str">
        <f t="shared" si="115"/>
        <v/>
      </c>
    </row>
    <row r="236" spans="1:14">
      <c r="A236" s="6">
        <v>235</v>
      </c>
      <c r="B236" s="14"/>
      <c r="C236" s="15"/>
      <c r="D236" s="16"/>
      <c r="E236" s="16"/>
      <c r="F236" s="9"/>
      <c r="G236" s="10" t="str">
        <f t="shared" si="108"/>
        <v/>
      </c>
      <c r="H236" s="11" t="str">
        <f t="shared" si="109"/>
        <v/>
      </c>
      <c r="I236" s="10" t="str">
        <f t="shared" si="110"/>
        <v/>
      </c>
      <c r="J236" s="10" t="str">
        <f t="shared" si="111"/>
        <v/>
      </c>
      <c r="K236" s="10" t="str">
        <f t="shared" si="112"/>
        <v/>
      </c>
      <c r="L236" s="10" t="str">
        <f t="shared" si="113"/>
        <v/>
      </c>
      <c r="M236" s="12" t="str">
        <f t="shared" si="114"/>
        <v/>
      </c>
      <c r="N236" s="13" t="str">
        <f t="shared" si="115"/>
        <v/>
      </c>
    </row>
    <row r="237" spans="1:14">
      <c r="A237" s="6">
        <v>236</v>
      </c>
      <c r="B237" s="14"/>
      <c r="C237" s="15"/>
      <c r="D237" s="16"/>
      <c r="E237" s="16"/>
      <c r="F237" s="9"/>
      <c r="G237" s="10" t="str">
        <f t="shared" si="108"/>
        <v/>
      </c>
      <c r="H237" s="11" t="str">
        <f t="shared" si="109"/>
        <v/>
      </c>
      <c r="I237" s="10" t="str">
        <f t="shared" si="110"/>
        <v/>
      </c>
      <c r="J237" s="10" t="str">
        <f t="shared" si="111"/>
        <v/>
      </c>
      <c r="K237" s="10" t="str">
        <f t="shared" si="112"/>
        <v/>
      </c>
      <c r="L237" s="10" t="str">
        <f t="shared" si="113"/>
        <v/>
      </c>
      <c r="M237" s="12" t="str">
        <f t="shared" si="114"/>
        <v/>
      </c>
      <c r="N237" s="13" t="str">
        <f t="shared" si="115"/>
        <v/>
      </c>
    </row>
    <row r="238" spans="1:14">
      <c r="A238" s="6">
        <v>237</v>
      </c>
      <c r="B238" s="14"/>
      <c r="C238" s="15"/>
      <c r="D238" s="16"/>
      <c r="E238" s="16"/>
      <c r="F238" s="9"/>
      <c r="G238" s="10" t="str">
        <f t="shared" si="108"/>
        <v/>
      </c>
      <c r="H238" s="11" t="str">
        <f t="shared" si="109"/>
        <v/>
      </c>
      <c r="I238" s="10" t="str">
        <f t="shared" si="110"/>
        <v/>
      </c>
      <c r="J238" s="10" t="str">
        <f t="shared" si="111"/>
        <v/>
      </c>
      <c r="K238" s="10" t="str">
        <f t="shared" si="112"/>
        <v/>
      </c>
      <c r="L238" s="10" t="str">
        <f t="shared" si="113"/>
        <v/>
      </c>
      <c r="M238" s="12" t="str">
        <f t="shared" si="114"/>
        <v/>
      </c>
      <c r="N238" s="13" t="str">
        <f t="shared" si="115"/>
        <v/>
      </c>
    </row>
    <row r="239" spans="1:14">
      <c r="A239" s="6">
        <v>238</v>
      </c>
      <c r="B239" s="14"/>
      <c r="C239" s="15"/>
      <c r="D239" s="16"/>
      <c r="E239" s="16"/>
      <c r="F239" s="9"/>
      <c r="G239" s="10" t="str">
        <f t="shared" si="108"/>
        <v/>
      </c>
      <c r="H239" s="11" t="str">
        <f t="shared" si="109"/>
        <v/>
      </c>
      <c r="I239" s="10" t="str">
        <f t="shared" si="110"/>
        <v/>
      </c>
      <c r="J239" s="10" t="str">
        <f t="shared" si="111"/>
        <v/>
      </c>
      <c r="K239" s="10" t="str">
        <f t="shared" si="112"/>
        <v/>
      </c>
      <c r="L239" s="10" t="str">
        <f t="shared" si="113"/>
        <v/>
      </c>
      <c r="M239" s="12" t="str">
        <f t="shared" si="114"/>
        <v/>
      </c>
      <c r="N239" s="13" t="str">
        <f t="shared" si="115"/>
        <v/>
      </c>
    </row>
    <row r="240" spans="1:14">
      <c r="A240" s="6">
        <v>239</v>
      </c>
      <c r="B240" s="14"/>
      <c r="C240" s="15"/>
      <c r="D240" s="16"/>
      <c r="E240" s="16"/>
      <c r="F240" s="9"/>
      <c r="G240" s="10" t="str">
        <f t="shared" si="108"/>
        <v/>
      </c>
      <c r="H240" s="11" t="str">
        <f t="shared" si="109"/>
        <v/>
      </c>
      <c r="I240" s="10" t="str">
        <f t="shared" si="110"/>
        <v/>
      </c>
      <c r="J240" s="10" t="str">
        <f t="shared" si="111"/>
        <v/>
      </c>
      <c r="K240" s="10" t="str">
        <f t="shared" si="112"/>
        <v/>
      </c>
      <c r="L240" s="10" t="str">
        <f t="shared" si="113"/>
        <v/>
      </c>
      <c r="M240" s="12" t="str">
        <f t="shared" si="114"/>
        <v/>
      </c>
      <c r="N240" s="13" t="str">
        <f t="shared" si="115"/>
        <v/>
      </c>
    </row>
    <row r="241" spans="1:14">
      <c r="A241" s="6">
        <v>240</v>
      </c>
      <c r="B241" s="14"/>
      <c r="C241" s="15"/>
      <c r="D241" s="16"/>
      <c r="E241" s="16"/>
      <c r="F241" s="9"/>
      <c r="G241" s="10" t="str">
        <f t="shared" si="108"/>
        <v/>
      </c>
      <c r="H241" s="11" t="str">
        <f t="shared" si="109"/>
        <v/>
      </c>
      <c r="I241" s="10" t="str">
        <f t="shared" si="110"/>
        <v/>
      </c>
      <c r="J241" s="10" t="str">
        <f t="shared" si="111"/>
        <v/>
      </c>
      <c r="K241" s="10" t="str">
        <f t="shared" si="112"/>
        <v/>
      </c>
      <c r="L241" s="10" t="str">
        <f t="shared" si="113"/>
        <v/>
      </c>
      <c r="M241" s="12" t="str">
        <f t="shared" si="114"/>
        <v/>
      </c>
      <c r="N241" s="13" t="str">
        <f t="shared" si="115"/>
        <v/>
      </c>
    </row>
    <row r="242" spans="1:14">
      <c r="A242" s="6">
        <v>241</v>
      </c>
      <c r="B242" s="14"/>
      <c r="C242" s="15"/>
      <c r="D242" s="16"/>
      <c r="E242" s="16"/>
      <c r="F242" s="9"/>
      <c r="G242" s="10" t="str">
        <f t="shared" si="108"/>
        <v/>
      </c>
      <c r="H242" s="11" t="str">
        <f t="shared" si="109"/>
        <v/>
      </c>
      <c r="I242" s="10" t="str">
        <f t="shared" si="110"/>
        <v/>
      </c>
      <c r="J242" s="10" t="str">
        <f t="shared" si="111"/>
        <v/>
      </c>
      <c r="K242" s="10" t="str">
        <f t="shared" si="112"/>
        <v/>
      </c>
      <c r="L242" s="10" t="str">
        <f t="shared" si="113"/>
        <v/>
      </c>
      <c r="M242" s="12" t="str">
        <f t="shared" si="114"/>
        <v/>
      </c>
      <c r="N242" s="13" t="str">
        <f t="shared" si="115"/>
        <v/>
      </c>
    </row>
    <row r="243" spans="1:14">
      <c r="A243" s="6">
        <v>242</v>
      </c>
      <c r="B243" s="14"/>
      <c r="C243" s="15"/>
      <c r="D243" s="16"/>
      <c r="E243" s="16"/>
      <c r="F243" s="9"/>
      <c r="G243" s="10" t="str">
        <f t="shared" si="108"/>
        <v/>
      </c>
      <c r="H243" s="11" t="str">
        <f t="shared" si="109"/>
        <v/>
      </c>
      <c r="I243" s="10" t="str">
        <f t="shared" si="110"/>
        <v/>
      </c>
      <c r="J243" s="10" t="str">
        <f t="shared" si="111"/>
        <v/>
      </c>
      <c r="K243" s="10" t="str">
        <f t="shared" si="112"/>
        <v/>
      </c>
      <c r="L243" s="10" t="str">
        <f t="shared" si="113"/>
        <v/>
      </c>
      <c r="M243" s="12" t="str">
        <f t="shared" si="114"/>
        <v/>
      </c>
      <c r="N243" s="13" t="str">
        <f t="shared" si="115"/>
        <v/>
      </c>
    </row>
    <row r="244" spans="1:14">
      <c r="A244" s="6">
        <v>243</v>
      </c>
      <c r="B244" s="14"/>
      <c r="C244" s="15"/>
      <c r="D244" s="16"/>
      <c r="E244" s="16"/>
      <c r="F244" s="9"/>
      <c r="G244" s="10" t="str">
        <f t="shared" si="108"/>
        <v/>
      </c>
      <c r="H244" s="11" t="str">
        <f t="shared" si="109"/>
        <v/>
      </c>
      <c r="I244" s="10" t="str">
        <f t="shared" si="110"/>
        <v/>
      </c>
      <c r="J244" s="10" t="str">
        <f t="shared" si="111"/>
        <v/>
      </c>
      <c r="K244" s="10" t="str">
        <f t="shared" si="112"/>
        <v/>
      </c>
      <c r="L244" s="10" t="str">
        <f t="shared" si="113"/>
        <v/>
      </c>
      <c r="M244" s="12" t="str">
        <f t="shared" si="114"/>
        <v/>
      </c>
      <c r="N244" s="13" t="str">
        <f t="shared" si="115"/>
        <v/>
      </c>
    </row>
    <row r="245" spans="1:14">
      <c r="A245" s="6">
        <v>244</v>
      </c>
      <c r="B245" s="14"/>
      <c r="C245" s="15"/>
      <c r="D245" s="16"/>
      <c r="E245" s="16"/>
      <c r="F245" s="9"/>
      <c r="G245" s="10" t="str">
        <f t="shared" si="108"/>
        <v/>
      </c>
      <c r="H245" s="11" t="str">
        <f t="shared" si="109"/>
        <v/>
      </c>
      <c r="I245" s="10" t="str">
        <f t="shared" si="110"/>
        <v/>
      </c>
      <c r="J245" s="10" t="str">
        <f t="shared" si="111"/>
        <v/>
      </c>
      <c r="K245" s="10" t="str">
        <f t="shared" si="112"/>
        <v/>
      </c>
      <c r="L245" s="10" t="str">
        <f t="shared" si="113"/>
        <v/>
      </c>
      <c r="M245" s="12" t="str">
        <f t="shared" si="114"/>
        <v/>
      </c>
      <c r="N245" s="13" t="str">
        <f t="shared" si="115"/>
        <v/>
      </c>
    </row>
    <row r="246" spans="1:14">
      <c r="A246" s="6">
        <v>245</v>
      </c>
      <c r="B246" s="14"/>
      <c r="C246" s="15"/>
      <c r="D246" s="16"/>
      <c r="E246" s="16"/>
      <c r="F246" s="9"/>
      <c r="G246" s="10" t="str">
        <f t="shared" si="108"/>
        <v/>
      </c>
      <c r="H246" s="11" t="str">
        <f t="shared" si="109"/>
        <v/>
      </c>
      <c r="I246" s="10" t="str">
        <f t="shared" si="110"/>
        <v/>
      </c>
      <c r="J246" s="10" t="str">
        <f t="shared" si="111"/>
        <v/>
      </c>
      <c r="K246" s="10" t="str">
        <f t="shared" si="112"/>
        <v/>
      </c>
      <c r="L246" s="10" t="str">
        <f t="shared" si="113"/>
        <v/>
      </c>
      <c r="M246" s="12" t="str">
        <f t="shared" si="114"/>
        <v/>
      </c>
      <c r="N246" s="13" t="str">
        <f t="shared" si="115"/>
        <v/>
      </c>
    </row>
    <row r="247" spans="1:14">
      <c r="A247" s="6">
        <v>246</v>
      </c>
      <c r="B247" s="14"/>
      <c r="C247" s="15"/>
      <c r="D247" s="16"/>
      <c r="E247" s="16"/>
      <c r="F247" s="9"/>
      <c r="G247" s="10" t="str">
        <f t="shared" si="108"/>
        <v/>
      </c>
      <c r="H247" s="11" t="str">
        <f t="shared" si="109"/>
        <v/>
      </c>
      <c r="I247" s="10" t="str">
        <f t="shared" si="110"/>
        <v/>
      </c>
      <c r="J247" s="10" t="str">
        <f t="shared" si="111"/>
        <v/>
      </c>
      <c r="K247" s="10" t="str">
        <f t="shared" si="112"/>
        <v/>
      </c>
      <c r="L247" s="10" t="str">
        <f t="shared" si="113"/>
        <v/>
      </c>
      <c r="M247" s="12" t="str">
        <f t="shared" si="114"/>
        <v/>
      </c>
      <c r="N247" s="13" t="str">
        <f t="shared" si="115"/>
        <v/>
      </c>
    </row>
    <row r="248" spans="1:14">
      <c r="A248" s="6">
        <v>247</v>
      </c>
      <c r="B248" s="14"/>
      <c r="C248" s="15"/>
      <c r="D248" s="16"/>
      <c r="E248" s="16"/>
      <c r="F248" s="9"/>
      <c r="G248" s="10" t="str">
        <f t="shared" si="108"/>
        <v/>
      </c>
      <c r="H248" s="11" t="str">
        <f t="shared" si="109"/>
        <v/>
      </c>
      <c r="I248" s="10" t="str">
        <f t="shared" si="110"/>
        <v/>
      </c>
      <c r="J248" s="10" t="str">
        <f t="shared" si="111"/>
        <v/>
      </c>
      <c r="K248" s="10" t="str">
        <f t="shared" si="112"/>
        <v/>
      </c>
      <c r="L248" s="10" t="str">
        <f t="shared" si="113"/>
        <v/>
      </c>
      <c r="M248" s="12" t="str">
        <f t="shared" si="114"/>
        <v/>
      </c>
      <c r="N248" s="13" t="str">
        <f t="shared" si="115"/>
        <v/>
      </c>
    </row>
    <row r="249" spans="1:14">
      <c r="A249" s="6">
        <v>248</v>
      </c>
      <c r="B249" s="14"/>
      <c r="C249" s="15"/>
      <c r="D249" s="16"/>
      <c r="E249" s="16"/>
      <c r="F249" s="9"/>
      <c r="G249" s="10" t="str">
        <f t="shared" si="108"/>
        <v/>
      </c>
      <c r="H249" s="11" t="str">
        <f t="shared" si="109"/>
        <v/>
      </c>
      <c r="I249" s="10" t="str">
        <f t="shared" si="110"/>
        <v/>
      </c>
      <c r="J249" s="10" t="str">
        <f t="shared" si="111"/>
        <v/>
      </c>
      <c r="K249" s="10" t="str">
        <f t="shared" si="112"/>
        <v/>
      </c>
      <c r="L249" s="10" t="str">
        <f t="shared" si="113"/>
        <v/>
      </c>
      <c r="M249" s="12" t="str">
        <f t="shared" si="114"/>
        <v/>
      </c>
      <c r="N249" s="13" t="str">
        <f t="shared" si="115"/>
        <v/>
      </c>
    </row>
    <row r="250" spans="1:14">
      <c r="A250" s="6">
        <v>249</v>
      </c>
      <c r="B250" s="14"/>
      <c r="C250" s="15"/>
      <c r="D250" s="16"/>
      <c r="E250" s="16"/>
      <c r="F250" s="9"/>
      <c r="G250" s="10" t="str">
        <f t="shared" si="108"/>
        <v/>
      </c>
      <c r="H250" s="11" t="str">
        <f t="shared" si="109"/>
        <v/>
      </c>
      <c r="I250" s="10" t="str">
        <f t="shared" si="110"/>
        <v/>
      </c>
      <c r="J250" s="10" t="str">
        <f t="shared" si="111"/>
        <v/>
      </c>
      <c r="K250" s="10" t="str">
        <f t="shared" si="112"/>
        <v/>
      </c>
      <c r="L250" s="10" t="str">
        <f t="shared" si="113"/>
        <v/>
      </c>
      <c r="M250" s="12" t="str">
        <f t="shared" si="114"/>
        <v/>
      </c>
      <c r="N250" s="13" t="str">
        <f t="shared" si="115"/>
        <v/>
      </c>
    </row>
    <row r="251" spans="1:14">
      <c r="A251" s="6">
        <v>250</v>
      </c>
      <c r="B251" s="14"/>
      <c r="C251" s="15"/>
      <c r="D251" s="16"/>
      <c r="E251" s="16"/>
      <c r="F251" s="9"/>
      <c r="G251" s="10" t="str">
        <f t="shared" si="108"/>
        <v/>
      </c>
      <c r="H251" s="11" t="str">
        <f t="shared" si="109"/>
        <v/>
      </c>
      <c r="I251" s="10" t="str">
        <f t="shared" si="110"/>
        <v/>
      </c>
      <c r="J251" s="10" t="str">
        <f t="shared" si="111"/>
        <v/>
      </c>
      <c r="K251" s="10" t="str">
        <f t="shared" si="112"/>
        <v/>
      </c>
      <c r="L251" s="10" t="str">
        <f t="shared" si="113"/>
        <v/>
      </c>
      <c r="M251" s="12" t="str">
        <f t="shared" si="114"/>
        <v/>
      </c>
      <c r="N251" s="13" t="str">
        <f t="shared" si="115"/>
        <v/>
      </c>
    </row>
    <row r="252" spans="1:14">
      <c r="A252" s="6">
        <v>251</v>
      </c>
      <c r="B252" s="14"/>
      <c r="C252" s="15"/>
      <c r="D252" s="16"/>
      <c r="E252" s="16"/>
      <c r="F252" s="9"/>
      <c r="G252" s="10" t="str">
        <f t="shared" si="108"/>
        <v/>
      </c>
      <c r="H252" s="11" t="str">
        <f t="shared" si="109"/>
        <v/>
      </c>
      <c r="I252" s="10" t="str">
        <f t="shared" si="110"/>
        <v/>
      </c>
      <c r="J252" s="10" t="str">
        <f t="shared" si="111"/>
        <v/>
      </c>
      <c r="K252" s="10" t="str">
        <f t="shared" si="112"/>
        <v/>
      </c>
      <c r="L252" s="10" t="str">
        <f t="shared" si="113"/>
        <v/>
      </c>
      <c r="M252" s="12" t="str">
        <f t="shared" si="114"/>
        <v/>
      </c>
      <c r="N252" s="13" t="str">
        <f t="shared" si="115"/>
        <v/>
      </c>
    </row>
    <row r="253" spans="1:14">
      <c r="A253" s="6">
        <v>252</v>
      </c>
      <c r="B253" s="14"/>
      <c r="C253" s="15"/>
      <c r="D253" s="16"/>
      <c r="E253" s="16"/>
      <c r="F253" s="9"/>
      <c r="G253" s="10" t="str">
        <f t="shared" si="108"/>
        <v/>
      </c>
      <c r="H253" s="11" t="str">
        <f t="shared" si="109"/>
        <v/>
      </c>
      <c r="I253" s="10" t="str">
        <f t="shared" si="110"/>
        <v/>
      </c>
      <c r="J253" s="10" t="str">
        <f t="shared" si="111"/>
        <v/>
      </c>
      <c r="K253" s="10" t="str">
        <f t="shared" si="112"/>
        <v/>
      </c>
      <c r="L253" s="10" t="str">
        <f t="shared" si="113"/>
        <v/>
      </c>
      <c r="M253" s="12" t="str">
        <f t="shared" si="114"/>
        <v/>
      </c>
      <c r="N253" s="13" t="str">
        <f t="shared" si="115"/>
        <v/>
      </c>
    </row>
    <row r="254" spans="1:14">
      <c r="A254" s="6">
        <v>253</v>
      </c>
      <c r="B254" s="14"/>
      <c r="C254" s="15"/>
      <c r="D254" s="16"/>
      <c r="E254" s="16"/>
      <c r="F254" s="9"/>
      <c r="G254" s="10" t="str">
        <f t="shared" si="108"/>
        <v/>
      </c>
      <c r="H254" s="11" t="str">
        <f t="shared" si="109"/>
        <v/>
      </c>
      <c r="I254" s="10" t="str">
        <f t="shared" si="110"/>
        <v/>
      </c>
      <c r="J254" s="10" t="str">
        <f t="shared" si="111"/>
        <v/>
      </c>
      <c r="K254" s="10" t="str">
        <f t="shared" si="112"/>
        <v/>
      </c>
      <c r="L254" s="10" t="str">
        <f t="shared" si="113"/>
        <v/>
      </c>
      <c r="M254" s="12" t="str">
        <f t="shared" si="114"/>
        <v/>
      </c>
      <c r="N254" s="13" t="str">
        <f t="shared" si="115"/>
        <v/>
      </c>
    </row>
    <row r="255" spans="1:14">
      <c r="A255" s="6">
        <v>254</v>
      </c>
      <c r="B255" s="14"/>
      <c r="C255" s="15"/>
      <c r="D255" s="16"/>
      <c r="E255" s="16"/>
      <c r="F255" s="9"/>
      <c r="G255" s="10" t="str">
        <f t="shared" si="108"/>
        <v/>
      </c>
      <c r="H255" s="11" t="str">
        <f t="shared" si="109"/>
        <v/>
      </c>
      <c r="I255" s="10" t="str">
        <f t="shared" si="110"/>
        <v/>
      </c>
      <c r="J255" s="10" t="str">
        <f t="shared" si="111"/>
        <v/>
      </c>
      <c r="K255" s="10" t="str">
        <f t="shared" si="112"/>
        <v/>
      </c>
      <c r="L255" s="10" t="str">
        <f t="shared" si="113"/>
        <v/>
      </c>
      <c r="M255" s="12" t="str">
        <f t="shared" si="114"/>
        <v/>
      </c>
      <c r="N255" s="13" t="str">
        <f t="shared" si="115"/>
        <v/>
      </c>
    </row>
    <row r="256" spans="1:14">
      <c r="A256" s="6">
        <v>255</v>
      </c>
      <c r="B256" s="14"/>
      <c r="C256" s="15"/>
      <c r="D256" s="16"/>
      <c r="E256" s="16"/>
      <c r="F256" s="9"/>
      <c r="G256" s="10" t="str">
        <f t="shared" si="108"/>
        <v/>
      </c>
      <c r="H256" s="11" t="str">
        <f t="shared" si="109"/>
        <v/>
      </c>
      <c r="I256" s="10" t="str">
        <f t="shared" si="110"/>
        <v/>
      </c>
      <c r="J256" s="10" t="str">
        <f t="shared" si="111"/>
        <v/>
      </c>
      <c r="K256" s="10" t="str">
        <f t="shared" si="112"/>
        <v/>
      </c>
      <c r="L256" s="10" t="str">
        <f t="shared" si="113"/>
        <v/>
      </c>
      <c r="M256" s="12" t="str">
        <f t="shared" si="114"/>
        <v/>
      </c>
      <c r="N256" s="13" t="str">
        <f t="shared" si="115"/>
        <v/>
      </c>
    </row>
    <row r="257" spans="1:14">
      <c r="A257" s="6">
        <v>256</v>
      </c>
      <c r="B257" s="14"/>
      <c r="C257" s="15"/>
      <c r="D257" s="16"/>
      <c r="E257" s="16"/>
      <c r="F257" s="9"/>
      <c r="G257" s="10" t="str">
        <f t="shared" si="108"/>
        <v/>
      </c>
      <c r="H257" s="11" t="str">
        <f t="shared" si="109"/>
        <v/>
      </c>
      <c r="I257" s="10" t="str">
        <f t="shared" si="110"/>
        <v/>
      </c>
      <c r="J257" s="10" t="str">
        <f t="shared" si="111"/>
        <v/>
      </c>
      <c r="K257" s="10" t="str">
        <f t="shared" si="112"/>
        <v/>
      </c>
      <c r="L257" s="10" t="str">
        <f t="shared" si="113"/>
        <v/>
      </c>
      <c r="M257" s="12" t="str">
        <f t="shared" si="114"/>
        <v/>
      </c>
      <c r="N257" s="13" t="str">
        <f t="shared" si="115"/>
        <v/>
      </c>
    </row>
    <row r="258" spans="1:14">
      <c r="A258" s="6"/>
      <c r="B258" s="14"/>
      <c r="C258" s="15"/>
      <c r="D258" s="16"/>
      <c r="E258" s="16"/>
      <c r="F258" s="9"/>
      <c r="G258" s="10" t="str">
        <f t="shared" ref="G258" si="116">IF(E258&lt;&gt;"",E258/D258,"")</f>
        <v/>
      </c>
      <c r="H258" s="11" t="str">
        <f>IF(C258="","",C258-C244)</f>
        <v/>
      </c>
      <c r="I258" s="10" t="str">
        <f>IF(B258="","",B258-B244)</f>
        <v/>
      </c>
      <c r="J258" s="10" t="str">
        <f>IF(H258="","",H258/G244)</f>
        <v/>
      </c>
      <c r="K258" s="10" t="str">
        <f t="shared" ref="K258" si="117">IF(H258&lt;&gt;"",IF(I258&gt;0,H258/I258,H258),"" )</f>
        <v/>
      </c>
      <c r="L258" s="10" t="str">
        <f>IF(I258="","",IF(I258=0,G258,G244/I258))</f>
        <v/>
      </c>
      <c r="M258" s="12" t="str">
        <f>IF(I258="","",IF(I258=0,E244,E244/I258))</f>
        <v/>
      </c>
      <c r="N258" s="13" t="str">
        <f>IF(H258="","",E244/H258)</f>
        <v/>
      </c>
    </row>
    <row r="259" spans="1:14">
      <c r="A259" s="6"/>
      <c r="B259" s="18"/>
      <c r="C259" s="19" t="s">
        <v>920</v>
      </c>
      <c r="D259" s="20">
        <f>AVERAGE(D2:D61)</f>
        <v>4.2522816666666658</v>
      </c>
      <c r="E259" s="20">
        <f>AVERAGE(E2:E61)</f>
        <v>124.80149999999999</v>
      </c>
      <c r="F259" s="20"/>
      <c r="G259" s="10">
        <f>IF(E259&lt;&gt;"",E259/D259,"")</f>
        <v>29.349302276542517</v>
      </c>
      <c r="H259" s="11">
        <f>SUM(H2:H47)</f>
        <v>12418</v>
      </c>
      <c r="I259" s="10">
        <f t="shared" ref="I259:N259" si="118">AVERAGE(I2:I47)</f>
        <v>11.533333333333333</v>
      </c>
      <c r="J259" s="10">
        <f t="shared" si="118"/>
        <v>9.59956742170246</v>
      </c>
      <c r="K259" s="10">
        <f t="shared" si="118"/>
        <v>47.382813277744695</v>
      </c>
      <c r="L259" s="10">
        <f t="shared" si="118"/>
        <v>5.3498749565594901</v>
      </c>
      <c r="M259" s="10">
        <f t="shared" si="118"/>
        <v>22.566783352088496</v>
      </c>
      <c r="N259" s="10">
        <f t="shared" si="118"/>
        <v>0.54307476596775484</v>
      </c>
    </row>
    <row r="260" spans="1:14">
      <c r="E260" s="22">
        <f>SUM(E2:E258)</f>
        <v>29511.609999999997</v>
      </c>
      <c r="F260" s="21"/>
      <c r="G260" s="22">
        <f>SUM(G2:G258)</f>
        <v>5757.5162627564114</v>
      </c>
      <c r="H260" s="23"/>
      <c r="I260" s="22">
        <f>SUM(I5:I258)</f>
        <v>2741</v>
      </c>
    </row>
    <row r="262" spans="1:14">
      <c r="C262" s="3" t="s">
        <v>921</v>
      </c>
    </row>
    <row r="263" spans="1:14">
      <c r="C263" s="3" t="s">
        <v>919</v>
      </c>
    </row>
    <row r="264" spans="1:14">
      <c r="C264" s="3" t="s">
        <v>918</v>
      </c>
    </row>
    <row r="265" spans="1:14">
      <c r="C265" s="3" t="s">
        <v>922</v>
      </c>
    </row>
    <row r="268" spans="1:14">
      <c r="F268" s="23"/>
    </row>
  </sheetData>
  <conditionalFormatting sqref="M2:N258">
    <cfRule type="cellIs" dxfId="490" priority="3" stopIfTrue="1" operator="lessThan">
      <formula>0</formula>
    </cfRule>
  </conditionalFormatting>
  <dataValidations count="1">
    <dataValidation type="list" allowBlank="1" showErrorMessage="1" sqref="F2:F258" xr:uid="{00000000-0002-0000-0600-000000000000}">
      <formula1>$C$263:$C$265</formula1>
    </dataValidation>
  </dataValidation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7" filterMode="1"/>
  <dimension ref="A1:G161"/>
  <sheetViews>
    <sheetView workbookViewId="0">
      <pane xSplit="7" ySplit="1" topLeftCell="H89" activePane="bottomRight" state="frozen"/>
      <selection pane="bottomRight" activeCell="H1" sqref="H1"/>
      <selection pane="bottomLeft" activeCell="A2" sqref="A2"/>
      <selection pane="topRight" activeCell="H1" sqref="H1"/>
    </sheetView>
  </sheetViews>
  <sheetFormatPr defaultColWidth="11.42578125" defaultRowHeight="13.5"/>
  <cols>
    <col min="1" max="1" width="35" style="3" customWidth="1"/>
    <col min="2" max="2" width="33.28515625" style="3" customWidth="1"/>
    <col min="3" max="3" width="12.5703125" style="3" customWidth="1"/>
    <col min="4" max="4" width="18.42578125" style="3" customWidth="1"/>
    <col min="5" max="5" width="18.85546875" style="3" customWidth="1"/>
    <col min="6" max="6" width="7.42578125" style="3" customWidth="1"/>
    <col min="7" max="16384" width="11.42578125" style="3"/>
  </cols>
  <sheetData>
    <row r="1" spans="1:7">
      <c r="A1" s="836" t="s">
        <v>923</v>
      </c>
      <c r="B1" s="837" t="s">
        <v>924</v>
      </c>
      <c r="C1" s="836" t="s">
        <v>925</v>
      </c>
      <c r="D1" s="837" t="s">
        <v>365</v>
      </c>
      <c r="E1" s="836" t="s">
        <v>926</v>
      </c>
      <c r="F1" s="836" t="s">
        <v>927</v>
      </c>
      <c r="G1" s="837" t="s">
        <v>928</v>
      </c>
    </row>
    <row r="2" spans="1:7" s="26" customFormat="1" hidden="1">
      <c r="A2" s="837" t="s">
        <v>929</v>
      </c>
      <c r="B2" s="837" t="s">
        <v>930</v>
      </c>
      <c r="C2" s="837" t="s">
        <v>931</v>
      </c>
      <c r="D2" s="837" t="s">
        <v>932</v>
      </c>
      <c r="E2" s="838">
        <v>37249</v>
      </c>
      <c r="F2" s="839" t="s">
        <v>933</v>
      </c>
      <c r="G2" s="840"/>
    </row>
    <row r="3" spans="1:7" hidden="1">
      <c r="A3" s="837" t="s">
        <v>934</v>
      </c>
      <c r="B3" s="837" t="s">
        <v>935</v>
      </c>
      <c r="C3" s="837" t="s">
        <v>936</v>
      </c>
      <c r="D3" s="837" t="s">
        <v>937</v>
      </c>
      <c r="E3" s="838"/>
      <c r="F3" s="839" t="s">
        <v>938</v>
      </c>
      <c r="G3" s="837"/>
    </row>
    <row r="4" spans="1:7" hidden="1">
      <c r="A4" s="837" t="s">
        <v>939</v>
      </c>
      <c r="B4" s="837" t="s">
        <v>940</v>
      </c>
      <c r="C4" s="837" t="s">
        <v>931</v>
      </c>
      <c r="D4" s="837" t="s">
        <v>941</v>
      </c>
      <c r="E4" s="838">
        <v>39559</v>
      </c>
      <c r="F4" s="839" t="s">
        <v>938</v>
      </c>
      <c r="G4" s="837"/>
    </row>
    <row r="5" spans="1:7" hidden="1">
      <c r="A5" s="837" t="s">
        <v>942</v>
      </c>
      <c r="B5" s="837">
        <v>274549748</v>
      </c>
      <c r="C5" s="837" t="s">
        <v>931</v>
      </c>
      <c r="D5" s="837" t="s">
        <v>943</v>
      </c>
      <c r="E5" s="838">
        <v>38913</v>
      </c>
      <c r="F5" s="839" t="s">
        <v>933</v>
      </c>
      <c r="G5" s="837"/>
    </row>
    <row r="6" spans="1:7" s="26" customFormat="1">
      <c r="A6" s="836" t="s">
        <v>944</v>
      </c>
      <c r="B6" s="837" t="s">
        <v>945</v>
      </c>
      <c r="C6" s="836" t="s">
        <v>946</v>
      </c>
      <c r="D6" s="837" t="s">
        <v>947</v>
      </c>
      <c r="E6" s="838"/>
      <c r="F6" s="839" t="s">
        <v>933</v>
      </c>
      <c r="G6" s="840"/>
    </row>
    <row r="7" spans="1:7" hidden="1">
      <c r="A7" s="837" t="s">
        <v>948</v>
      </c>
      <c r="B7" s="837" t="s">
        <v>949</v>
      </c>
      <c r="C7" s="837" t="s">
        <v>931</v>
      </c>
      <c r="D7" s="837" t="s">
        <v>941</v>
      </c>
      <c r="E7" s="838">
        <v>38854</v>
      </c>
      <c r="F7" s="839" t="s">
        <v>938</v>
      </c>
      <c r="G7" s="837"/>
    </row>
    <row r="8" spans="1:7" hidden="1">
      <c r="A8" s="837" t="s">
        <v>950</v>
      </c>
      <c r="B8" s="837" t="s">
        <v>951</v>
      </c>
      <c r="C8" s="837">
        <v>6478</v>
      </c>
      <c r="D8" s="837" t="s">
        <v>952</v>
      </c>
      <c r="E8" s="838">
        <v>38715</v>
      </c>
      <c r="F8" s="839" t="s">
        <v>933</v>
      </c>
      <c r="G8" s="837"/>
    </row>
    <row r="9" spans="1:7" s="26" customFormat="1" hidden="1">
      <c r="A9" s="837" t="s">
        <v>953</v>
      </c>
      <c r="B9" s="837" t="s">
        <v>954</v>
      </c>
      <c r="C9" s="841" t="s">
        <v>931</v>
      </c>
      <c r="D9" s="837" t="s">
        <v>952</v>
      </c>
      <c r="E9" s="838">
        <v>37249</v>
      </c>
      <c r="F9" s="839" t="s">
        <v>933</v>
      </c>
      <c r="G9" s="840"/>
    </row>
    <row r="10" spans="1:7" hidden="1">
      <c r="A10" s="837" t="s">
        <v>955</v>
      </c>
      <c r="B10" s="837" t="s">
        <v>956</v>
      </c>
      <c r="C10" s="837" t="s">
        <v>957</v>
      </c>
      <c r="D10" s="837" t="s">
        <v>952</v>
      </c>
      <c r="E10" s="838">
        <v>38715</v>
      </c>
      <c r="F10" s="839" t="s">
        <v>938</v>
      </c>
      <c r="G10" s="837"/>
    </row>
    <row r="11" spans="1:7" hidden="1">
      <c r="A11" s="837" t="s">
        <v>958</v>
      </c>
      <c r="B11" s="837" t="s">
        <v>959</v>
      </c>
      <c r="C11" s="837" t="s">
        <v>931</v>
      </c>
      <c r="D11" s="837" t="s">
        <v>960</v>
      </c>
      <c r="E11" s="838">
        <v>37497</v>
      </c>
      <c r="F11" s="839" t="s">
        <v>961</v>
      </c>
      <c r="G11" s="837"/>
    </row>
    <row r="12" spans="1:7" s="26" customFormat="1">
      <c r="A12" s="836" t="s">
        <v>962</v>
      </c>
      <c r="B12" s="837" t="s">
        <v>963</v>
      </c>
      <c r="C12" s="842" t="s">
        <v>931</v>
      </c>
      <c r="D12" s="837" t="s">
        <v>947</v>
      </c>
      <c r="E12" s="838">
        <v>37249</v>
      </c>
      <c r="F12" s="839" t="s">
        <v>933</v>
      </c>
      <c r="G12" s="840"/>
    </row>
    <row r="13" spans="1:7" hidden="1">
      <c r="A13" s="837" t="s">
        <v>964</v>
      </c>
      <c r="B13" s="837" t="s">
        <v>949</v>
      </c>
      <c r="C13" s="837" t="s">
        <v>931</v>
      </c>
      <c r="D13" s="837" t="s">
        <v>932</v>
      </c>
      <c r="E13" s="838">
        <v>38715</v>
      </c>
      <c r="F13" s="839" t="s">
        <v>938</v>
      </c>
      <c r="G13" s="837"/>
    </row>
    <row r="14" spans="1:7" hidden="1">
      <c r="A14" s="837" t="s">
        <v>965</v>
      </c>
      <c r="B14" s="837" t="s">
        <v>949</v>
      </c>
      <c r="C14" s="837" t="s">
        <v>931</v>
      </c>
      <c r="D14" s="837" t="s">
        <v>966</v>
      </c>
      <c r="E14" s="838">
        <v>38715</v>
      </c>
      <c r="F14" s="839" t="s">
        <v>938</v>
      </c>
      <c r="G14" s="837"/>
    </row>
    <row r="15" spans="1:7" s="26" customFormat="1" hidden="1">
      <c r="A15" s="837" t="s">
        <v>967</v>
      </c>
      <c r="B15" s="837" t="s">
        <v>968</v>
      </c>
      <c r="C15" s="837" t="s">
        <v>969</v>
      </c>
      <c r="D15" s="837" t="s">
        <v>970</v>
      </c>
      <c r="E15" s="838"/>
      <c r="F15" s="839" t="s">
        <v>933</v>
      </c>
      <c r="G15" s="840"/>
    </row>
    <row r="16" spans="1:7" hidden="1">
      <c r="A16" s="837" t="s">
        <v>971</v>
      </c>
      <c r="B16" s="837" t="s">
        <v>940</v>
      </c>
      <c r="C16" s="837" t="s">
        <v>931</v>
      </c>
      <c r="D16" s="837" t="s">
        <v>943</v>
      </c>
      <c r="E16" s="838">
        <v>38715</v>
      </c>
      <c r="F16" s="839" t="s">
        <v>938</v>
      </c>
      <c r="G16" s="837"/>
    </row>
    <row r="17" spans="1:7" s="26" customFormat="1" hidden="1">
      <c r="A17" s="837" t="s">
        <v>972</v>
      </c>
      <c r="B17" s="837" t="s">
        <v>945</v>
      </c>
      <c r="C17" s="837" t="s">
        <v>931</v>
      </c>
      <c r="D17" s="837" t="s">
        <v>932</v>
      </c>
      <c r="E17" s="838">
        <v>37258</v>
      </c>
      <c r="F17" s="839" t="s">
        <v>933</v>
      </c>
      <c r="G17" s="840"/>
    </row>
    <row r="18" spans="1:7" s="26" customFormat="1" hidden="1">
      <c r="A18" s="837" t="s">
        <v>973</v>
      </c>
      <c r="B18" s="837" t="s">
        <v>940</v>
      </c>
      <c r="C18" s="837" t="s">
        <v>974</v>
      </c>
      <c r="D18" s="837" t="s">
        <v>952</v>
      </c>
      <c r="E18" s="838">
        <v>38562</v>
      </c>
      <c r="F18" s="839" t="s">
        <v>933</v>
      </c>
      <c r="G18" s="840"/>
    </row>
    <row r="19" spans="1:7" s="26" customFormat="1" hidden="1">
      <c r="A19" s="837" t="s">
        <v>975</v>
      </c>
      <c r="B19" s="837" t="s">
        <v>949</v>
      </c>
      <c r="C19" s="837" t="s">
        <v>931</v>
      </c>
      <c r="D19" s="837" t="s">
        <v>976</v>
      </c>
      <c r="E19" s="838">
        <v>37249</v>
      </c>
      <c r="F19" s="839" t="s">
        <v>933</v>
      </c>
      <c r="G19" s="840"/>
    </row>
    <row r="20" spans="1:7" s="26" customFormat="1" hidden="1">
      <c r="A20" s="837" t="s">
        <v>975</v>
      </c>
      <c r="B20" s="837" t="s">
        <v>977</v>
      </c>
      <c r="C20" s="841" t="s">
        <v>931</v>
      </c>
      <c r="D20" s="837" t="s">
        <v>976</v>
      </c>
      <c r="E20" s="838">
        <v>37249</v>
      </c>
      <c r="F20" s="839" t="s">
        <v>933</v>
      </c>
      <c r="G20" s="840"/>
    </row>
    <row r="21" spans="1:7" s="26" customFormat="1" hidden="1">
      <c r="A21" s="837" t="s">
        <v>975</v>
      </c>
      <c r="B21" s="837" t="s">
        <v>978</v>
      </c>
      <c r="C21" s="837" t="s">
        <v>931</v>
      </c>
      <c r="D21" s="837" t="s">
        <v>976</v>
      </c>
      <c r="E21" s="838">
        <v>37249</v>
      </c>
      <c r="F21" s="839" t="s">
        <v>933</v>
      </c>
      <c r="G21" s="840"/>
    </row>
    <row r="22" spans="1:7" s="26" customFormat="1" hidden="1">
      <c r="A22" s="836" t="s">
        <v>979</v>
      </c>
      <c r="B22" s="837" t="s">
        <v>980</v>
      </c>
      <c r="C22" s="836" t="s">
        <v>981</v>
      </c>
      <c r="D22" s="837" t="s">
        <v>937</v>
      </c>
      <c r="E22" s="838"/>
      <c r="F22" s="839" t="s">
        <v>933</v>
      </c>
      <c r="G22" s="840"/>
    </row>
    <row r="23" spans="1:7" hidden="1">
      <c r="A23" s="837" t="s">
        <v>982</v>
      </c>
      <c r="B23" s="837">
        <v>153198</v>
      </c>
      <c r="C23" s="837" t="s">
        <v>983</v>
      </c>
      <c r="D23" s="837" t="s">
        <v>984</v>
      </c>
      <c r="E23" s="838">
        <v>38715</v>
      </c>
      <c r="F23" s="839" t="s">
        <v>938</v>
      </c>
      <c r="G23" s="837"/>
    </row>
    <row r="24" spans="1:7" s="26" customFormat="1" hidden="1">
      <c r="A24" s="837" t="s">
        <v>985</v>
      </c>
      <c r="B24" s="837" t="s">
        <v>986</v>
      </c>
      <c r="C24" s="841" t="s">
        <v>931</v>
      </c>
      <c r="D24" s="837" t="s">
        <v>984</v>
      </c>
      <c r="E24" s="838">
        <v>37249</v>
      </c>
      <c r="F24" s="839" t="s">
        <v>933</v>
      </c>
      <c r="G24" s="840"/>
    </row>
    <row r="25" spans="1:7" s="26" customFormat="1" hidden="1">
      <c r="A25" s="837" t="s">
        <v>987</v>
      </c>
      <c r="B25" s="837" t="s">
        <v>945</v>
      </c>
      <c r="C25" s="837" t="s">
        <v>931</v>
      </c>
      <c r="D25" s="837" t="s">
        <v>932</v>
      </c>
      <c r="E25" s="838">
        <v>37249</v>
      </c>
      <c r="F25" s="839" t="s">
        <v>933</v>
      </c>
      <c r="G25" s="840"/>
    </row>
    <row r="26" spans="1:7" s="26" customFormat="1" hidden="1">
      <c r="A26" s="837" t="s">
        <v>988</v>
      </c>
      <c r="B26" s="837" t="s">
        <v>989</v>
      </c>
      <c r="C26" s="837" t="s">
        <v>931</v>
      </c>
      <c r="D26" s="837" t="s">
        <v>941</v>
      </c>
      <c r="E26" s="838">
        <v>37249</v>
      </c>
      <c r="F26" s="839" t="s">
        <v>933</v>
      </c>
      <c r="G26" s="840"/>
    </row>
    <row r="27" spans="1:7" s="26" customFormat="1" hidden="1">
      <c r="A27" s="837" t="s">
        <v>990</v>
      </c>
      <c r="B27" s="837" t="s">
        <v>991</v>
      </c>
      <c r="C27" s="837" t="s">
        <v>931</v>
      </c>
      <c r="D27" s="837" t="s">
        <v>932</v>
      </c>
      <c r="E27" s="838">
        <v>38660</v>
      </c>
      <c r="F27" s="839" t="s">
        <v>933</v>
      </c>
      <c r="G27" s="840"/>
    </row>
    <row r="28" spans="1:7" s="26" customFormat="1" hidden="1">
      <c r="A28" s="837" t="s">
        <v>992</v>
      </c>
      <c r="B28" s="837" t="s">
        <v>993</v>
      </c>
      <c r="C28" s="837" t="s">
        <v>931</v>
      </c>
      <c r="D28" s="837" t="s">
        <v>976</v>
      </c>
      <c r="E28" s="838">
        <v>37249</v>
      </c>
      <c r="F28" s="839" t="s">
        <v>933</v>
      </c>
      <c r="G28" s="840"/>
    </row>
    <row r="29" spans="1:7" s="26" customFormat="1" hidden="1">
      <c r="A29" s="837" t="s">
        <v>994</v>
      </c>
      <c r="B29" s="837" t="s">
        <v>949</v>
      </c>
      <c r="C29" s="837" t="s">
        <v>931</v>
      </c>
      <c r="D29" s="837" t="s">
        <v>932</v>
      </c>
      <c r="E29" s="838">
        <v>37251</v>
      </c>
      <c r="F29" s="839" t="s">
        <v>933</v>
      </c>
      <c r="G29" s="840"/>
    </row>
    <row r="30" spans="1:7">
      <c r="A30" s="837" t="s">
        <v>995</v>
      </c>
      <c r="B30" s="837" t="s">
        <v>996</v>
      </c>
      <c r="C30" s="837" t="s">
        <v>997</v>
      </c>
      <c r="D30" s="837" t="s">
        <v>947</v>
      </c>
      <c r="E30" s="838">
        <v>38562</v>
      </c>
      <c r="F30" s="839" t="s">
        <v>938</v>
      </c>
      <c r="G30" s="837" t="s">
        <v>938</v>
      </c>
    </row>
    <row r="31" spans="1:7" s="26" customFormat="1" hidden="1">
      <c r="A31" s="837" t="s">
        <v>998</v>
      </c>
      <c r="B31" s="837" t="s">
        <v>989</v>
      </c>
      <c r="C31" s="837" t="s">
        <v>931</v>
      </c>
      <c r="D31" s="837" t="s">
        <v>999</v>
      </c>
      <c r="E31" s="838">
        <v>37249</v>
      </c>
      <c r="F31" s="839" t="s">
        <v>933</v>
      </c>
      <c r="G31" s="840"/>
    </row>
    <row r="32" spans="1:7" s="26" customFormat="1" hidden="1">
      <c r="A32" s="837" t="s">
        <v>998</v>
      </c>
      <c r="B32" s="837" t="s">
        <v>1000</v>
      </c>
      <c r="C32" s="837" t="s">
        <v>931</v>
      </c>
      <c r="D32" s="837" t="s">
        <v>999</v>
      </c>
      <c r="E32" s="838">
        <v>37249</v>
      </c>
      <c r="F32" s="839" t="s">
        <v>933</v>
      </c>
      <c r="G32" s="840"/>
    </row>
    <row r="33" spans="1:7" hidden="1">
      <c r="A33" s="836" t="s">
        <v>1001</v>
      </c>
      <c r="B33" s="837" t="s">
        <v>963</v>
      </c>
      <c r="C33" s="836" t="s">
        <v>931</v>
      </c>
      <c r="D33" s="837" t="s">
        <v>1002</v>
      </c>
      <c r="E33" s="838">
        <v>37249</v>
      </c>
      <c r="F33" s="839" t="s">
        <v>933</v>
      </c>
      <c r="G33" s="837"/>
    </row>
    <row r="34" spans="1:7" hidden="1">
      <c r="A34" s="837" t="s">
        <v>1001</v>
      </c>
      <c r="B34" s="837" t="s">
        <v>1003</v>
      </c>
      <c r="C34" s="837" t="s">
        <v>997</v>
      </c>
      <c r="D34" s="837" t="s">
        <v>1002</v>
      </c>
      <c r="E34" s="838">
        <v>38715</v>
      </c>
      <c r="F34" s="839" t="s">
        <v>938</v>
      </c>
      <c r="G34" s="837"/>
    </row>
    <row r="35" spans="1:7" hidden="1">
      <c r="A35" s="837" t="s">
        <v>1004</v>
      </c>
      <c r="B35" s="837" t="s">
        <v>940</v>
      </c>
      <c r="C35" s="841" t="s">
        <v>931</v>
      </c>
      <c r="D35" s="837" t="s">
        <v>1005</v>
      </c>
      <c r="E35" s="838">
        <v>37249</v>
      </c>
      <c r="F35" s="839" t="s">
        <v>961</v>
      </c>
      <c r="G35" s="837" t="s">
        <v>938</v>
      </c>
    </row>
    <row r="36" spans="1:7" s="26" customFormat="1" hidden="1">
      <c r="A36" s="837" t="s">
        <v>1004</v>
      </c>
      <c r="B36" s="837" t="s">
        <v>949</v>
      </c>
      <c r="C36" s="837" t="s">
        <v>931</v>
      </c>
      <c r="D36" s="837" t="s">
        <v>1005</v>
      </c>
      <c r="E36" s="838">
        <v>37249</v>
      </c>
      <c r="F36" s="839" t="s">
        <v>933</v>
      </c>
      <c r="G36" s="840"/>
    </row>
    <row r="37" spans="1:7" s="26" customFormat="1" hidden="1">
      <c r="A37" s="837" t="s">
        <v>1006</v>
      </c>
      <c r="B37" s="837" t="s">
        <v>1007</v>
      </c>
      <c r="C37" s="837" t="s">
        <v>1008</v>
      </c>
      <c r="D37" s="837" t="s">
        <v>1009</v>
      </c>
      <c r="E37" s="838"/>
      <c r="F37" s="839" t="s">
        <v>933</v>
      </c>
      <c r="G37" s="840"/>
    </row>
    <row r="38" spans="1:7" s="26" customFormat="1" hidden="1">
      <c r="A38" s="837" t="s">
        <v>1010</v>
      </c>
      <c r="B38" s="837" t="s">
        <v>1011</v>
      </c>
      <c r="C38" s="837" t="s">
        <v>1012</v>
      </c>
      <c r="D38" s="837" t="s">
        <v>952</v>
      </c>
      <c r="E38" s="838">
        <v>37418</v>
      </c>
      <c r="F38" s="839" t="s">
        <v>933</v>
      </c>
      <c r="G38" s="840"/>
    </row>
    <row r="39" spans="1:7" s="26" customFormat="1" hidden="1">
      <c r="A39" s="837" t="s">
        <v>1013</v>
      </c>
      <c r="B39" s="837" t="s">
        <v>1011</v>
      </c>
      <c r="C39" s="837" t="s">
        <v>969</v>
      </c>
      <c r="D39" s="837" t="s">
        <v>952</v>
      </c>
      <c r="E39" s="838"/>
      <c r="F39" s="839" t="s">
        <v>933</v>
      </c>
      <c r="G39" s="840"/>
    </row>
    <row r="40" spans="1:7" hidden="1">
      <c r="A40" s="837" t="s">
        <v>1014</v>
      </c>
      <c r="B40" s="837" t="s">
        <v>1015</v>
      </c>
      <c r="C40" s="837" t="s">
        <v>931</v>
      </c>
      <c r="D40" s="837" t="s">
        <v>941</v>
      </c>
      <c r="E40" s="838">
        <v>38715</v>
      </c>
      <c r="F40" s="839" t="s">
        <v>938</v>
      </c>
      <c r="G40" s="837"/>
    </row>
    <row r="41" spans="1:7" hidden="1">
      <c r="A41" s="836" t="s">
        <v>1016</v>
      </c>
      <c r="B41" s="837" t="s">
        <v>1017</v>
      </c>
      <c r="C41" s="842" t="s">
        <v>997</v>
      </c>
      <c r="D41" s="837" t="s">
        <v>937</v>
      </c>
      <c r="E41" s="838">
        <v>37251</v>
      </c>
      <c r="F41" s="839" t="s">
        <v>938</v>
      </c>
      <c r="G41" s="837"/>
    </row>
    <row r="42" spans="1:7" hidden="1">
      <c r="A42" s="836" t="s">
        <v>1016</v>
      </c>
      <c r="B42" s="837" t="s">
        <v>1018</v>
      </c>
      <c r="C42" s="842" t="s">
        <v>931</v>
      </c>
      <c r="D42" s="837" t="s">
        <v>937</v>
      </c>
      <c r="E42" s="838">
        <v>37251</v>
      </c>
      <c r="F42" s="839" t="s">
        <v>938</v>
      </c>
      <c r="G42" s="837"/>
    </row>
    <row r="43" spans="1:7" hidden="1">
      <c r="A43" s="836" t="s">
        <v>1016</v>
      </c>
      <c r="B43" s="837" t="s">
        <v>1019</v>
      </c>
      <c r="C43" s="842" t="s">
        <v>931</v>
      </c>
      <c r="D43" s="837" t="s">
        <v>937</v>
      </c>
      <c r="E43" s="838">
        <v>37251</v>
      </c>
      <c r="F43" s="839" t="s">
        <v>938</v>
      </c>
      <c r="G43" s="837"/>
    </row>
    <row r="44" spans="1:7" ht="12.75" hidden="1" customHeight="1">
      <c r="A44" s="836" t="s">
        <v>1016</v>
      </c>
      <c r="B44" s="837" t="s">
        <v>1020</v>
      </c>
      <c r="C44" s="842" t="s">
        <v>931</v>
      </c>
      <c r="D44" s="837" t="s">
        <v>937</v>
      </c>
      <c r="E44" s="838">
        <v>37251</v>
      </c>
      <c r="F44" s="839" t="s">
        <v>938</v>
      </c>
      <c r="G44" s="837"/>
    </row>
    <row r="45" spans="1:7" ht="12.75" customHeight="1">
      <c r="A45" s="837" t="s">
        <v>1021</v>
      </c>
      <c r="B45" s="837" t="s">
        <v>949</v>
      </c>
      <c r="C45" s="841" t="s">
        <v>931</v>
      </c>
      <c r="D45" s="837" t="s">
        <v>947</v>
      </c>
      <c r="E45" s="838">
        <v>37251</v>
      </c>
      <c r="F45" s="839" t="s">
        <v>938</v>
      </c>
      <c r="G45" s="837" t="s">
        <v>938</v>
      </c>
    </row>
    <row r="46" spans="1:7" s="26" customFormat="1">
      <c r="A46" s="837" t="s">
        <v>1022</v>
      </c>
      <c r="B46" s="837" t="s">
        <v>940</v>
      </c>
      <c r="C46" s="841" t="s">
        <v>931</v>
      </c>
      <c r="D46" s="837" t="s">
        <v>947</v>
      </c>
      <c r="E46" s="838">
        <v>37249</v>
      </c>
      <c r="F46" s="839" t="s">
        <v>933</v>
      </c>
      <c r="G46" s="840"/>
    </row>
    <row r="47" spans="1:7" s="26" customFormat="1">
      <c r="A47" s="837" t="s">
        <v>1022</v>
      </c>
      <c r="B47" s="837" t="s">
        <v>949</v>
      </c>
      <c r="C47" s="841" t="s">
        <v>931</v>
      </c>
      <c r="D47" s="837" t="s">
        <v>947</v>
      </c>
      <c r="E47" s="838">
        <v>37249</v>
      </c>
      <c r="F47" s="839" t="s">
        <v>933</v>
      </c>
      <c r="G47" s="840"/>
    </row>
    <row r="48" spans="1:7">
      <c r="A48" s="837" t="s">
        <v>1023</v>
      </c>
      <c r="B48" s="837" t="s">
        <v>949</v>
      </c>
      <c r="C48" s="837" t="s">
        <v>931</v>
      </c>
      <c r="D48" s="837" t="s">
        <v>947</v>
      </c>
      <c r="E48" s="838">
        <v>37251</v>
      </c>
      <c r="F48" s="839" t="s">
        <v>938</v>
      </c>
      <c r="G48" s="837" t="s">
        <v>938</v>
      </c>
    </row>
    <row r="49" spans="1:7" s="26" customFormat="1" hidden="1">
      <c r="A49" s="837" t="s">
        <v>1024</v>
      </c>
      <c r="B49" s="837"/>
      <c r="C49" s="837"/>
      <c r="D49" s="837"/>
      <c r="E49" s="838"/>
      <c r="F49" s="839" t="s">
        <v>933</v>
      </c>
      <c r="G49" s="840"/>
    </row>
    <row r="50" spans="1:7" s="26" customFormat="1">
      <c r="A50" s="836" t="s">
        <v>1025</v>
      </c>
      <c r="B50" s="837" t="s">
        <v>945</v>
      </c>
      <c r="C50" s="836" t="s">
        <v>931</v>
      </c>
      <c r="D50" s="837" t="s">
        <v>947</v>
      </c>
      <c r="E50" s="838">
        <v>37251</v>
      </c>
      <c r="F50" s="839" t="s">
        <v>933</v>
      </c>
      <c r="G50" s="840"/>
    </row>
    <row r="51" spans="1:7" s="26" customFormat="1" hidden="1">
      <c r="A51" s="837" t="s">
        <v>1026</v>
      </c>
      <c r="B51" s="837" t="s">
        <v>945</v>
      </c>
      <c r="C51" s="837" t="s">
        <v>931</v>
      </c>
      <c r="D51" s="837" t="s">
        <v>932</v>
      </c>
      <c r="E51" s="838">
        <v>37251</v>
      </c>
      <c r="F51" s="839" t="s">
        <v>933</v>
      </c>
      <c r="G51" s="840"/>
    </row>
    <row r="52" spans="1:7" s="26" customFormat="1">
      <c r="A52" s="836" t="s">
        <v>1027</v>
      </c>
      <c r="B52" s="837" t="s">
        <v>978</v>
      </c>
      <c r="C52" s="836" t="s">
        <v>931</v>
      </c>
      <c r="D52" s="837" t="s">
        <v>947</v>
      </c>
      <c r="E52" s="838">
        <v>37251</v>
      </c>
      <c r="F52" s="839" t="s">
        <v>933</v>
      </c>
      <c r="G52" s="840"/>
    </row>
    <row r="53" spans="1:7" s="26" customFormat="1" hidden="1">
      <c r="A53" s="837" t="s">
        <v>1028</v>
      </c>
      <c r="B53" s="837" t="s">
        <v>1029</v>
      </c>
      <c r="C53" s="837" t="s">
        <v>931</v>
      </c>
      <c r="D53" s="837" t="s">
        <v>932</v>
      </c>
      <c r="E53" s="838">
        <v>37251</v>
      </c>
      <c r="F53" s="839" t="s">
        <v>933</v>
      </c>
      <c r="G53" s="840"/>
    </row>
    <row r="54" spans="1:7" s="26" customFormat="1">
      <c r="A54" s="836" t="s">
        <v>1030</v>
      </c>
      <c r="B54" s="837" t="s">
        <v>945</v>
      </c>
      <c r="C54" s="836" t="s">
        <v>931</v>
      </c>
      <c r="D54" s="837" t="s">
        <v>947</v>
      </c>
      <c r="E54" s="838">
        <v>37242</v>
      </c>
      <c r="F54" s="839" t="s">
        <v>933</v>
      </c>
      <c r="G54" s="840"/>
    </row>
    <row r="55" spans="1:7" hidden="1">
      <c r="A55" s="837" t="s">
        <v>1031</v>
      </c>
      <c r="B55" s="837" t="s">
        <v>1032</v>
      </c>
      <c r="C55" s="837" t="s">
        <v>931</v>
      </c>
      <c r="D55" s="837" t="s">
        <v>941</v>
      </c>
      <c r="E55" s="838">
        <v>39559</v>
      </c>
      <c r="F55" s="839" t="s">
        <v>938</v>
      </c>
      <c r="G55" s="837"/>
    </row>
    <row r="56" spans="1:7" s="26" customFormat="1" hidden="1">
      <c r="A56" s="837" t="s">
        <v>1033</v>
      </c>
      <c r="B56" s="837" t="s">
        <v>1034</v>
      </c>
      <c r="C56" s="837" t="s">
        <v>931</v>
      </c>
      <c r="D56" s="837" t="s">
        <v>932</v>
      </c>
      <c r="E56" s="838">
        <v>37251</v>
      </c>
      <c r="F56" s="839" t="s">
        <v>933</v>
      </c>
      <c r="G56" s="840"/>
    </row>
    <row r="57" spans="1:7" hidden="1">
      <c r="A57" s="837" t="s">
        <v>1035</v>
      </c>
      <c r="B57" s="837" t="s">
        <v>1032</v>
      </c>
      <c r="C57" s="837" t="s">
        <v>931</v>
      </c>
      <c r="D57" s="837" t="s">
        <v>941</v>
      </c>
      <c r="E57" s="838">
        <v>38715</v>
      </c>
      <c r="F57" s="839" t="s">
        <v>938</v>
      </c>
      <c r="G57" s="837"/>
    </row>
    <row r="58" spans="1:7" s="26" customFormat="1">
      <c r="A58" s="837" t="s">
        <v>1036</v>
      </c>
      <c r="B58" s="837" t="s">
        <v>949</v>
      </c>
      <c r="C58" s="837" t="s">
        <v>931</v>
      </c>
      <c r="D58" s="837" t="s">
        <v>947</v>
      </c>
      <c r="E58" s="838">
        <v>37251</v>
      </c>
      <c r="F58" s="839" t="s">
        <v>933</v>
      </c>
      <c r="G58" s="840"/>
    </row>
    <row r="59" spans="1:7" s="26" customFormat="1">
      <c r="A59" s="837" t="s">
        <v>1036</v>
      </c>
      <c r="B59" s="837" t="s">
        <v>978</v>
      </c>
      <c r="C59" s="837" t="s">
        <v>931</v>
      </c>
      <c r="D59" s="837" t="s">
        <v>947</v>
      </c>
      <c r="E59" s="838">
        <v>37251</v>
      </c>
      <c r="F59" s="839" t="s">
        <v>933</v>
      </c>
      <c r="G59" s="840"/>
    </row>
    <row r="60" spans="1:7" s="26" customFormat="1" hidden="1">
      <c r="A60" s="837" t="s">
        <v>1037</v>
      </c>
      <c r="B60" s="837" t="s">
        <v>935</v>
      </c>
      <c r="C60" s="837" t="s">
        <v>1038</v>
      </c>
      <c r="D60" s="837" t="s">
        <v>1039</v>
      </c>
      <c r="E60" s="838"/>
      <c r="F60" s="839" t="s">
        <v>933</v>
      </c>
      <c r="G60" s="840"/>
    </row>
    <row r="61" spans="1:7" s="26" customFormat="1" hidden="1">
      <c r="A61" s="837" t="s">
        <v>1040</v>
      </c>
      <c r="B61" s="837" t="s">
        <v>949</v>
      </c>
      <c r="C61" s="837" t="s">
        <v>931</v>
      </c>
      <c r="D61" s="837" t="s">
        <v>1041</v>
      </c>
      <c r="E61" s="838">
        <v>37251</v>
      </c>
      <c r="F61" s="839" t="s">
        <v>933</v>
      </c>
      <c r="G61" s="840"/>
    </row>
    <row r="62" spans="1:7" hidden="1">
      <c r="A62" s="837" t="s">
        <v>1042</v>
      </c>
      <c r="B62" s="837" t="s">
        <v>1032</v>
      </c>
      <c r="C62" s="837" t="s">
        <v>931</v>
      </c>
      <c r="D62" s="837" t="s">
        <v>932</v>
      </c>
      <c r="E62" s="838">
        <v>39559</v>
      </c>
      <c r="F62" s="839" t="s">
        <v>938</v>
      </c>
      <c r="G62" s="837"/>
    </row>
    <row r="63" spans="1:7" s="26" customFormat="1" hidden="1">
      <c r="A63" s="837" t="s">
        <v>1043</v>
      </c>
      <c r="B63" s="837" t="s">
        <v>1044</v>
      </c>
      <c r="C63" s="837" t="s">
        <v>1038</v>
      </c>
      <c r="D63" s="837" t="s">
        <v>937</v>
      </c>
      <c r="E63" s="838"/>
      <c r="F63" s="839" t="s">
        <v>933</v>
      </c>
      <c r="G63" s="840"/>
    </row>
    <row r="64" spans="1:7" s="26" customFormat="1" hidden="1">
      <c r="A64" s="837" t="s">
        <v>1045</v>
      </c>
      <c r="B64" s="837" t="s">
        <v>945</v>
      </c>
      <c r="C64" s="837" t="s">
        <v>931</v>
      </c>
      <c r="D64" s="837" t="s">
        <v>932</v>
      </c>
      <c r="E64" s="838">
        <v>37251</v>
      </c>
      <c r="F64" s="839" t="s">
        <v>933</v>
      </c>
      <c r="G64" s="840"/>
    </row>
    <row r="65" spans="1:7" hidden="1">
      <c r="A65" s="837" t="s">
        <v>1046</v>
      </c>
      <c r="B65" s="837" t="s">
        <v>949</v>
      </c>
      <c r="C65" s="837" t="s">
        <v>931</v>
      </c>
      <c r="D65" s="837" t="s">
        <v>932</v>
      </c>
      <c r="E65" s="838">
        <v>38715</v>
      </c>
      <c r="F65" s="839" t="s">
        <v>938</v>
      </c>
      <c r="G65" s="837"/>
    </row>
    <row r="66" spans="1:7" hidden="1">
      <c r="A66" s="837" t="s">
        <v>1047</v>
      </c>
      <c r="B66" s="837" t="s">
        <v>996</v>
      </c>
      <c r="C66" s="837" t="s">
        <v>997</v>
      </c>
      <c r="D66" s="837" t="s">
        <v>1048</v>
      </c>
      <c r="E66" s="838">
        <v>38715</v>
      </c>
      <c r="F66" s="839" t="s">
        <v>938</v>
      </c>
      <c r="G66" s="837"/>
    </row>
    <row r="67" spans="1:7" s="26" customFormat="1" hidden="1">
      <c r="A67" s="837" t="s">
        <v>1047</v>
      </c>
      <c r="B67" s="837" t="s">
        <v>1049</v>
      </c>
      <c r="C67" s="837" t="s">
        <v>974</v>
      </c>
      <c r="D67" s="837" t="s">
        <v>1048</v>
      </c>
      <c r="E67" s="838">
        <v>38562</v>
      </c>
      <c r="F67" s="839" t="s">
        <v>961</v>
      </c>
      <c r="G67" s="840"/>
    </row>
    <row r="68" spans="1:7" s="26" customFormat="1">
      <c r="A68" s="836" t="s">
        <v>1050</v>
      </c>
      <c r="B68" s="837" t="s">
        <v>1051</v>
      </c>
      <c r="C68" s="836" t="s">
        <v>1052</v>
      </c>
      <c r="D68" s="837" t="s">
        <v>947</v>
      </c>
      <c r="E68" s="838"/>
      <c r="F68" s="839" t="s">
        <v>933</v>
      </c>
      <c r="G68" s="840"/>
    </row>
    <row r="69" spans="1:7" s="26" customFormat="1" hidden="1">
      <c r="A69" s="836" t="s">
        <v>1053</v>
      </c>
      <c r="B69" s="837" t="s">
        <v>945</v>
      </c>
      <c r="C69" s="842" t="s">
        <v>931</v>
      </c>
      <c r="D69" s="837" t="s">
        <v>932</v>
      </c>
      <c r="E69" s="838">
        <v>37251</v>
      </c>
      <c r="F69" s="839" t="s">
        <v>933</v>
      </c>
      <c r="G69" s="840"/>
    </row>
    <row r="70" spans="1:7" s="26" customFormat="1" hidden="1">
      <c r="A70" s="837" t="s">
        <v>1054</v>
      </c>
      <c r="B70" s="837" t="s">
        <v>954</v>
      </c>
      <c r="C70" s="837" t="s">
        <v>1055</v>
      </c>
      <c r="D70" s="837" t="s">
        <v>1009</v>
      </c>
      <c r="E70" s="838"/>
      <c r="F70" s="839" t="s">
        <v>933</v>
      </c>
      <c r="G70" s="840"/>
    </row>
    <row r="71" spans="1:7" hidden="1">
      <c r="A71" s="837" t="s">
        <v>1056</v>
      </c>
      <c r="B71" s="837" t="s">
        <v>940</v>
      </c>
      <c r="C71" s="837" t="s">
        <v>931</v>
      </c>
      <c r="D71" s="837" t="s">
        <v>932</v>
      </c>
      <c r="E71" s="838">
        <v>38715</v>
      </c>
      <c r="F71" s="839" t="s">
        <v>938</v>
      </c>
      <c r="G71" s="837"/>
    </row>
    <row r="72" spans="1:7" s="26" customFormat="1" hidden="1">
      <c r="A72" s="837" t="s">
        <v>1057</v>
      </c>
      <c r="B72" s="837" t="s">
        <v>1058</v>
      </c>
      <c r="C72" s="837" t="s">
        <v>931</v>
      </c>
      <c r="D72" s="837" t="s">
        <v>932</v>
      </c>
      <c r="E72" s="838">
        <v>37251</v>
      </c>
      <c r="F72" s="839" t="s">
        <v>933</v>
      </c>
      <c r="G72" s="840"/>
    </row>
    <row r="73" spans="1:7" hidden="1">
      <c r="A73" s="837" t="s">
        <v>1059</v>
      </c>
      <c r="B73" s="837" t="s">
        <v>1032</v>
      </c>
      <c r="C73" s="837" t="s">
        <v>931</v>
      </c>
      <c r="D73" s="837" t="s">
        <v>941</v>
      </c>
      <c r="E73" s="838">
        <v>39559</v>
      </c>
      <c r="F73" s="839" t="s">
        <v>938</v>
      </c>
      <c r="G73" s="837"/>
    </row>
    <row r="74" spans="1:7" s="26" customFormat="1" hidden="1">
      <c r="A74" s="837" t="s">
        <v>1060</v>
      </c>
      <c r="B74" s="837" t="s">
        <v>1061</v>
      </c>
      <c r="C74" s="837" t="s">
        <v>1062</v>
      </c>
      <c r="D74" s="837" t="s">
        <v>932</v>
      </c>
      <c r="E74" s="838"/>
      <c r="F74" s="839" t="s">
        <v>933</v>
      </c>
      <c r="G74" s="840"/>
    </row>
    <row r="75" spans="1:7" s="26" customFormat="1" hidden="1">
      <c r="A75" s="837" t="s">
        <v>1063</v>
      </c>
      <c r="B75" s="837" t="s">
        <v>989</v>
      </c>
      <c r="C75" s="837" t="s">
        <v>1064</v>
      </c>
      <c r="D75" s="837" t="s">
        <v>932</v>
      </c>
      <c r="E75" s="838">
        <v>37283</v>
      </c>
      <c r="F75" s="839" t="s">
        <v>933</v>
      </c>
      <c r="G75" s="840"/>
    </row>
    <row r="76" spans="1:7" hidden="1">
      <c r="A76" s="837" t="s">
        <v>1065</v>
      </c>
      <c r="B76" s="837" t="s">
        <v>949</v>
      </c>
      <c r="C76" s="837" t="s">
        <v>931</v>
      </c>
      <c r="D76" s="837" t="s">
        <v>932</v>
      </c>
      <c r="E76" s="838">
        <v>38715</v>
      </c>
      <c r="F76" s="839" t="s">
        <v>938</v>
      </c>
      <c r="G76" s="837"/>
    </row>
    <row r="77" spans="1:7" hidden="1">
      <c r="A77" s="837" t="s">
        <v>1066</v>
      </c>
      <c r="B77" s="837" t="s">
        <v>1032</v>
      </c>
      <c r="C77" s="837" t="s">
        <v>931</v>
      </c>
      <c r="D77" s="837" t="s">
        <v>941</v>
      </c>
      <c r="E77" s="838">
        <v>39559</v>
      </c>
      <c r="F77" s="839" t="s">
        <v>938</v>
      </c>
      <c r="G77" s="837"/>
    </row>
    <row r="78" spans="1:7" hidden="1">
      <c r="A78" s="836" t="s">
        <v>1067</v>
      </c>
      <c r="B78" s="837" t="s">
        <v>940</v>
      </c>
      <c r="C78" s="836" t="s">
        <v>931</v>
      </c>
      <c r="D78" s="837" t="s">
        <v>932</v>
      </c>
      <c r="E78" s="838">
        <v>38715</v>
      </c>
      <c r="F78" s="839" t="s">
        <v>938</v>
      </c>
      <c r="G78" s="837"/>
    </row>
    <row r="79" spans="1:7" s="26" customFormat="1">
      <c r="A79" s="837" t="s">
        <v>1068</v>
      </c>
      <c r="B79" s="837" t="s">
        <v>1069</v>
      </c>
      <c r="C79" s="837" t="s">
        <v>1038</v>
      </c>
      <c r="D79" s="837" t="s">
        <v>947</v>
      </c>
      <c r="E79" s="838"/>
      <c r="F79" s="839" t="s">
        <v>933</v>
      </c>
      <c r="G79" s="840"/>
    </row>
    <row r="80" spans="1:7" hidden="1">
      <c r="A80" s="837" t="s">
        <v>1070</v>
      </c>
      <c r="B80" s="837" t="s">
        <v>1071</v>
      </c>
      <c r="C80" s="837" t="s">
        <v>931</v>
      </c>
      <c r="D80" s="837" t="s">
        <v>932</v>
      </c>
      <c r="E80" s="838">
        <v>38915</v>
      </c>
      <c r="F80" s="839" t="s">
        <v>933</v>
      </c>
      <c r="G80" s="837"/>
    </row>
    <row r="81" spans="1:7" s="26" customFormat="1" hidden="1">
      <c r="A81" s="836" t="s">
        <v>1072</v>
      </c>
      <c r="B81" s="837" t="s">
        <v>991</v>
      </c>
      <c r="C81" s="837" t="s">
        <v>931</v>
      </c>
      <c r="D81" s="837" t="s">
        <v>943</v>
      </c>
      <c r="E81" s="838">
        <v>38566</v>
      </c>
      <c r="F81" s="839" t="s">
        <v>933</v>
      </c>
      <c r="G81" s="840"/>
    </row>
    <row r="82" spans="1:7" s="26" customFormat="1" hidden="1">
      <c r="A82" s="837" t="s">
        <v>1073</v>
      </c>
      <c r="B82" s="837">
        <v>135914</v>
      </c>
      <c r="C82" s="837" t="s">
        <v>931</v>
      </c>
      <c r="D82" s="837" t="s">
        <v>984</v>
      </c>
      <c r="E82" s="838">
        <v>37251</v>
      </c>
      <c r="F82" s="839" t="s">
        <v>933</v>
      </c>
      <c r="G82" s="840"/>
    </row>
    <row r="83" spans="1:7" hidden="1">
      <c r="A83" s="837" t="s">
        <v>1074</v>
      </c>
      <c r="B83" s="837" t="s">
        <v>1032</v>
      </c>
      <c r="C83" s="837" t="s">
        <v>931</v>
      </c>
      <c r="D83" s="837" t="s">
        <v>1075</v>
      </c>
      <c r="E83" s="838">
        <v>39559</v>
      </c>
      <c r="F83" s="839" t="s">
        <v>938</v>
      </c>
      <c r="G83" s="837"/>
    </row>
    <row r="84" spans="1:7" hidden="1">
      <c r="A84" s="837" t="s">
        <v>1076</v>
      </c>
      <c r="B84" s="837" t="s">
        <v>1077</v>
      </c>
      <c r="C84" s="837" t="s">
        <v>1078</v>
      </c>
      <c r="D84" s="837" t="s">
        <v>932</v>
      </c>
      <c r="E84" s="838">
        <v>38712</v>
      </c>
      <c r="F84" s="839" t="s">
        <v>933</v>
      </c>
      <c r="G84" s="837"/>
    </row>
    <row r="85" spans="1:7" s="26" customFormat="1" hidden="1">
      <c r="A85" s="837" t="s">
        <v>1073</v>
      </c>
      <c r="B85" s="837">
        <v>2418803</v>
      </c>
      <c r="C85" s="837" t="s">
        <v>931</v>
      </c>
      <c r="D85" s="837" t="s">
        <v>1079</v>
      </c>
      <c r="E85" s="838">
        <v>37251</v>
      </c>
      <c r="F85" s="839" t="s">
        <v>933</v>
      </c>
      <c r="G85" s="840"/>
    </row>
    <row r="86" spans="1:7" s="26" customFormat="1" hidden="1">
      <c r="A86" s="837" t="s">
        <v>1073</v>
      </c>
      <c r="B86" s="837">
        <v>2419307</v>
      </c>
      <c r="C86" s="837" t="s">
        <v>931</v>
      </c>
      <c r="D86" s="837" t="s">
        <v>984</v>
      </c>
      <c r="E86" s="838">
        <v>37251</v>
      </c>
      <c r="F86" s="839" t="s">
        <v>933</v>
      </c>
      <c r="G86" s="840"/>
    </row>
    <row r="87" spans="1:7" s="26" customFormat="1">
      <c r="A87" s="837" t="s">
        <v>1080</v>
      </c>
      <c r="B87" s="837" t="s">
        <v>996</v>
      </c>
      <c r="C87" s="837" t="s">
        <v>1081</v>
      </c>
      <c r="D87" s="837" t="s">
        <v>947</v>
      </c>
      <c r="E87" s="838"/>
      <c r="F87" s="839" t="s">
        <v>933</v>
      </c>
      <c r="G87" s="840"/>
    </row>
    <row r="88" spans="1:7" s="26" customFormat="1" hidden="1">
      <c r="A88" s="837" t="s">
        <v>1076</v>
      </c>
      <c r="B88" s="837" t="s">
        <v>996</v>
      </c>
      <c r="C88" s="837" t="s">
        <v>1082</v>
      </c>
      <c r="D88" s="837" t="s">
        <v>932</v>
      </c>
      <c r="E88" s="838"/>
      <c r="F88" s="839" t="s">
        <v>933</v>
      </c>
      <c r="G88" s="840"/>
    </row>
    <row r="89" spans="1:7" s="26" customFormat="1">
      <c r="A89" s="837" t="s">
        <v>1083</v>
      </c>
      <c r="B89" s="837" t="s">
        <v>945</v>
      </c>
      <c r="C89" s="837" t="s">
        <v>931</v>
      </c>
      <c r="D89" s="837" t="s">
        <v>947</v>
      </c>
      <c r="E89" s="838">
        <v>37251</v>
      </c>
      <c r="F89" s="839" t="s">
        <v>933</v>
      </c>
      <c r="G89" s="840"/>
    </row>
    <row r="90" spans="1:7" s="26" customFormat="1">
      <c r="A90" s="837" t="s">
        <v>1084</v>
      </c>
      <c r="B90" s="837" t="s">
        <v>1085</v>
      </c>
      <c r="C90" s="841" t="s">
        <v>931</v>
      </c>
      <c r="D90" s="837" t="s">
        <v>947</v>
      </c>
      <c r="E90" s="838">
        <v>37251</v>
      </c>
      <c r="F90" s="839" t="s">
        <v>933</v>
      </c>
      <c r="G90" s="840"/>
    </row>
    <row r="91" spans="1:7" s="26" customFormat="1">
      <c r="A91" s="836" t="s">
        <v>1086</v>
      </c>
      <c r="B91" s="837" t="s">
        <v>986</v>
      </c>
      <c r="C91" s="837" t="s">
        <v>931</v>
      </c>
      <c r="D91" s="837" t="s">
        <v>947</v>
      </c>
      <c r="E91" s="838">
        <v>37251</v>
      </c>
      <c r="F91" s="839" t="s">
        <v>933</v>
      </c>
      <c r="G91" s="840"/>
    </row>
    <row r="92" spans="1:7" hidden="1">
      <c r="A92" s="837" t="s">
        <v>1087</v>
      </c>
      <c r="B92" s="837" t="s">
        <v>1003</v>
      </c>
      <c r="C92" s="837" t="s">
        <v>931</v>
      </c>
      <c r="D92" s="837" t="s">
        <v>1002</v>
      </c>
      <c r="E92" s="838">
        <v>38715</v>
      </c>
      <c r="F92" s="839" t="s">
        <v>938</v>
      </c>
      <c r="G92" s="837"/>
    </row>
    <row r="93" spans="1:7" s="26" customFormat="1">
      <c r="A93" s="837" t="s">
        <v>1088</v>
      </c>
      <c r="B93" s="837" t="s">
        <v>949</v>
      </c>
      <c r="C93" s="837" t="s">
        <v>931</v>
      </c>
      <c r="D93" s="837" t="s">
        <v>947</v>
      </c>
      <c r="E93" s="838">
        <v>37251</v>
      </c>
      <c r="F93" s="839" t="s">
        <v>933</v>
      </c>
      <c r="G93" s="840"/>
    </row>
    <row r="94" spans="1:7" hidden="1">
      <c r="A94" s="837" t="s">
        <v>1089</v>
      </c>
      <c r="B94" s="837"/>
      <c r="C94" s="837" t="s">
        <v>931</v>
      </c>
      <c r="D94" s="837" t="s">
        <v>943</v>
      </c>
      <c r="E94" s="838">
        <v>38715</v>
      </c>
      <c r="F94" s="839" t="s">
        <v>933</v>
      </c>
      <c r="G94" s="837"/>
    </row>
    <row r="95" spans="1:7" s="26" customFormat="1" hidden="1">
      <c r="A95" s="837" t="s">
        <v>1090</v>
      </c>
      <c r="B95" s="837" t="s">
        <v>1091</v>
      </c>
      <c r="C95" s="837">
        <v>654296</v>
      </c>
      <c r="D95" s="837" t="s">
        <v>932</v>
      </c>
      <c r="E95" s="838">
        <v>38573</v>
      </c>
      <c r="F95" s="839" t="s">
        <v>933</v>
      </c>
      <c r="G95" s="840"/>
    </row>
    <row r="96" spans="1:7" s="26" customFormat="1" hidden="1">
      <c r="A96" s="837" t="s">
        <v>1090</v>
      </c>
      <c r="B96" s="837" t="s">
        <v>1092</v>
      </c>
      <c r="C96" s="837">
        <v>914352</v>
      </c>
      <c r="D96" s="837" t="s">
        <v>932</v>
      </c>
      <c r="E96" s="838">
        <v>38573</v>
      </c>
      <c r="F96" s="839" t="s">
        <v>933</v>
      </c>
      <c r="G96" s="840"/>
    </row>
    <row r="97" spans="1:7" hidden="1">
      <c r="A97" s="837" t="s">
        <v>1093</v>
      </c>
      <c r="B97" s="837" t="s">
        <v>940</v>
      </c>
      <c r="C97" s="837" t="s">
        <v>931</v>
      </c>
      <c r="D97" s="837" t="s">
        <v>1094</v>
      </c>
      <c r="E97" s="838">
        <v>38715</v>
      </c>
      <c r="F97" s="839" t="s">
        <v>938</v>
      </c>
      <c r="G97" s="837"/>
    </row>
    <row r="98" spans="1:7" hidden="1">
      <c r="A98" s="837" t="s">
        <v>1095</v>
      </c>
      <c r="B98" s="837" t="s">
        <v>940</v>
      </c>
      <c r="C98" s="837" t="s">
        <v>931</v>
      </c>
      <c r="D98" s="837" t="s">
        <v>937</v>
      </c>
      <c r="E98" s="838">
        <v>38588</v>
      </c>
      <c r="F98" s="839" t="s">
        <v>938</v>
      </c>
      <c r="G98" s="837"/>
    </row>
    <row r="99" spans="1:7" ht="15" hidden="1" customHeight="1">
      <c r="A99" s="837" t="s">
        <v>1096</v>
      </c>
      <c r="B99" s="837" t="s">
        <v>1097</v>
      </c>
      <c r="C99" s="843" t="s">
        <v>1098</v>
      </c>
      <c r="D99" s="837" t="s">
        <v>932</v>
      </c>
      <c r="E99" s="838">
        <v>38715</v>
      </c>
      <c r="F99" s="844" t="s">
        <v>1099</v>
      </c>
      <c r="G99" s="837"/>
    </row>
    <row r="100" spans="1:7" hidden="1">
      <c r="A100" s="837" t="s">
        <v>1100</v>
      </c>
      <c r="B100" s="837" t="s">
        <v>940</v>
      </c>
      <c r="C100" s="837" t="s">
        <v>974</v>
      </c>
      <c r="D100" s="837" t="s">
        <v>1048</v>
      </c>
      <c r="E100" s="838">
        <v>38596</v>
      </c>
      <c r="F100" s="839" t="s">
        <v>933</v>
      </c>
      <c r="G100" s="837"/>
    </row>
    <row r="101" spans="1:7" hidden="1">
      <c r="A101" s="837" t="s">
        <v>1101</v>
      </c>
      <c r="B101" s="837" t="s">
        <v>1102</v>
      </c>
      <c r="C101" s="837" t="s">
        <v>931</v>
      </c>
      <c r="D101" s="837" t="s">
        <v>1048</v>
      </c>
      <c r="E101" s="838">
        <v>38596</v>
      </c>
      <c r="F101" s="839" t="s">
        <v>938</v>
      </c>
      <c r="G101" s="837"/>
    </row>
    <row r="102" spans="1:7" hidden="1">
      <c r="A102" s="837" t="s">
        <v>1103</v>
      </c>
      <c r="B102" s="837" t="s">
        <v>1071</v>
      </c>
      <c r="C102" s="837" t="s">
        <v>931</v>
      </c>
      <c r="D102" s="837" t="s">
        <v>1048</v>
      </c>
      <c r="E102" s="838">
        <v>38915</v>
      </c>
      <c r="F102" s="839" t="s">
        <v>933</v>
      </c>
      <c r="G102" s="837"/>
    </row>
    <row r="103" spans="1:7" hidden="1">
      <c r="A103" s="837" t="s">
        <v>1104</v>
      </c>
      <c r="B103" s="837" t="s">
        <v>940</v>
      </c>
      <c r="C103" s="837" t="s">
        <v>931</v>
      </c>
      <c r="D103" s="837" t="s">
        <v>943</v>
      </c>
      <c r="E103" s="838">
        <v>38715</v>
      </c>
      <c r="F103" s="839" t="s">
        <v>938</v>
      </c>
      <c r="G103" s="837"/>
    </row>
    <row r="104" spans="1:7" hidden="1">
      <c r="A104" s="837" t="s">
        <v>1105</v>
      </c>
      <c r="B104" s="837" t="s">
        <v>1032</v>
      </c>
      <c r="C104" s="837" t="s">
        <v>931</v>
      </c>
      <c r="D104" s="837" t="s">
        <v>1106</v>
      </c>
      <c r="E104" s="838">
        <v>39559</v>
      </c>
      <c r="F104" s="839" t="s">
        <v>938</v>
      </c>
      <c r="G104" s="837"/>
    </row>
    <row r="105" spans="1:7" ht="15" hidden="1">
      <c r="A105" s="837" t="s">
        <v>1107</v>
      </c>
      <c r="B105" s="846" t="s">
        <v>1032</v>
      </c>
      <c r="C105" s="837" t="s">
        <v>997</v>
      </c>
      <c r="D105" s="837" t="s">
        <v>960</v>
      </c>
      <c r="E105" s="838">
        <v>38660</v>
      </c>
      <c r="F105" s="839" t="s">
        <v>938</v>
      </c>
      <c r="G105" s="837" t="s">
        <v>1099</v>
      </c>
    </row>
    <row r="106" spans="1:7" hidden="1">
      <c r="A106" s="837" t="s">
        <v>1108</v>
      </c>
      <c r="B106" s="837" t="s">
        <v>940</v>
      </c>
      <c r="C106" s="837" t="s">
        <v>931</v>
      </c>
      <c r="D106" s="837" t="s">
        <v>1109</v>
      </c>
      <c r="E106" s="838">
        <v>38715</v>
      </c>
      <c r="F106" s="839" t="s">
        <v>1099</v>
      </c>
      <c r="G106" s="837"/>
    </row>
    <row r="107" spans="1:7" hidden="1">
      <c r="A107" s="837" t="s">
        <v>1110</v>
      </c>
      <c r="B107" s="837" t="s">
        <v>949</v>
      </c>
      <c r="C107" s="837" t="s">
        <v>931</v>
      </c>
      <c r="D107" s="837" t="s">
        <v>932</v>
      </c>
      <c r="E107" s="838">
        <v>38715</v>
      </c>
      <c r="F107" s="839" t="s">
        <v>938</v>
      </c>
      <c r="G107" s="837"/>
    </row>
    <row r="108" spans="1:7" hidden="1">
      <c r="A108" s="837" t="s">
        <v>1111</v>
      </c>
      <c r="B108" s="837" t="s">
        <v>1112</v>
      </c>
      <c r="C108" s="837" t="s">
        <v>931</v>
      </c>
      <c r="D108" s="837" t="s">
        <v>984</v>
      </c>
      <c r="E108" s="838">
        <v>38715</v>
      </c>
      <c r="F108" s="839" t="s">
        <v>1099</v>
      </c>
      <c r="G108" s="837"/>
    </row>
    <row r="109" spans="1:7" hidden="1">
      <c r="A109" s="837" t="s">
        <v>1113</v>
      </c>
      <c r="B109" s="837" t="s">
        <v>940</v>
      </c>
      <c r="C109" s="837" t="s">
        <v>931</v>
      </c>
      <c r="D109" s="837" t="s">
        <v>1114</v>
      </c>
      <c r="E109" s="838">
        <v>38667</v>
      </c>
      <c r="F109" s="839" t="s">
        <v>1099</v>
      </c>
      <c r="G109" s="837"/>
    </row>
    <row r="110" spans="1:7" hidden="1">
      <c r="A110" s="837" t="s">
        <v>1115</v>
      </c>
      <c r="B110" s="837" t="s">
        <v>1116</v>
      </c>
      <c r="C110" s="837" t="s">
        <v>931</v>
      </c>
      <c r="D110" s="837" t="s">
        <v>1106</v>
      </c>
      <c r="E110" s="838">
        <v>38721</v>
      </c>
      <c r="F110" s="839" t="s">
        <v>1099</v>
      </c>
      <c r="G110" s="837"/>
    </row>
    <row r="111" spans="1:7" hidden="1">
      <c r="A111" s="837" t="s">
        <v>1117</v>
      </c>
      <c r="B111" s="837">
        <v>12717912500</v>
      </c>
      <c r="C111" s="837" t="s">
        <v>931</v>
      </c>
      <c r="D111" s="837" t="s">
        <v>932</v>
      </c>
      <c r="E111" s="838">
        <v>38721</v>
      </c>
      <c r="F111" s="839" t="s">
        <v>938</v>
      </c>
      <c r="G111" s="837"/>
    </row>
    <row r="112" spans="1:7" hidden="1">
      <c r="A112" s="837" t="s">
        <v>1118</v>
      </c>
      <c r="B112" s="837" t="s">
        <v>968</v>
      </c>
      <c r="C112" s="837" t="s">
        <v>931</v>
      </c>
      <c r="D112" s="837" t="s">
        <v>1075</v>
      </c>
      <c r="E112" s="838">
        <v>38722</v>
      </c>
      <c r="F112" s="839" t="s">
        <v>1099</v>
      </c>
      <c r="G112" s="837"/>
    </row>
    <row r="113" spans="1:7" hidden="1">
      <c r="A113" s="837" t="s">
        <v>1119</v>
      </c>
      <c r="B113" s="837" t="s">
        <v>1032</v>
      </c>
      <c r="C113" s="837" t="s">
        <v>931</v>
      </c>
      <c r="D113" s="837" t="s">
        <v>932</v>
      </c>
      <c r="E113" s="838">
        <v>39559</v>
      </c>
      <c r="F113" s="839" t="s">
        <v>938</v>
      </c>
      <c r="G113" s="837"/>
    </row>
    <row r="114" spans="1:7" hidden="1">
      <c r="A114" s="837" t="s">
        <v>1120</v>
      </c>
      <c r="B114" s="837" t="s">
        <v>1121</v>
      </c>
      <c r="C114" s="837" t="s">
        <v>931</v>
      </c>
      <c r="D114" s="837" t="s">
        <v>932</v>
      </c>
      <c r="E114" s="838">
        <v>38736</v>
      </c>
      <c r="F114" s="839" t="s">
        <v>938</v>
      </c>
      <c r="G114" s="837"/>
    </row>
    <row r="115" spans="1:7" hidden="1">
      <c r="A115" s="837" t="s">
        <v>1122</v>
      </c>
      <c r="B115" s="837">
        <v>21278502890</v>
      </c>
      <c r="C115" s="837" t="s">
        <v>931</v>
      </c>
      <c r="D115" s="837" t="s">
        <v>1123</v>
      </c>
      <c r="E115" s="838">
        <v>38742</v>
      </c>
      <c r="F115" s="839" t="s">
        <v>1099</v>
      </c>
      <c r="G115" s="837"/>
    </row>
    <row r="116" spans="1:7" hidden="1">
      <c r="A116" s="837" t="s">
        <v>1124</v>
      </c>
      <c r="B116" s="837" t="s">
        <v>1125</v>
      </c>
      <c r="C116" s="837" t="s">
        <v>931</v>
      </c>
      <c r="D116" s="837" t="s">
        <v>1126</v>
      </c>
      <c r="E116" s="838">
        <v>38747</v>
      </c>
      <c r="F116" s="839" t="s">
        <v>938</v>
      </c>
      <c r="G116" s="837"/>
    </row>
    <row r="117" spans="1:7" hidden="1">
      <c r="A117" s="837" t="s">
        <v>1127</v>
      </c>
      <c r="B117" s="837" t="s">
        <v>1125</v>
      </c>
      <c r="C117" s="837" t="s">
        <v>931</v>
      </c>
      <c r="D117" s="837" t="s">
        <v>1075</v>
      </c>
      <c r="E117" s="838">
        <v>38779</v>
      </c>
      <c r="F117" s="839" t="s">
        <v>938</v>
      </c>
      <c r="G117" s="837"/>
    </row>
    <row r="118" spans="1:7" hidden="1">
      <c r="A118" s="837" t="s">
        <v>1128</v>
      </c>
      <c r="B118" s="837" t="s">
        <v>1125</v>
      </c>
      <c r="C118" s="837" t="s">
        <v>931</v>
      </c>
      <c r="D118" s="837" t="s">
        <v>966</v>
      </c>
      <c r="E118" s="838">
        <v>38782</v>
      </c>
      <c r="F118" s="839" t="s">
        <v>938</v>
      </c>
      <c r="G118" s="837"/>
    </row>
    <row r="119" spans="1:7" hidden="1">
      <c r="A119" s="837" t="s">
        <v>1129</v>
      </c>
      <c r="B119" s="837" t="s">
        <v>1032</v>
      </c>
      <c r="C119" s="837" t="s">
        <v>931</v>
      </c>
      <c r="D119" s="837" t="s">
        <v>943</v>
      </c>
      <c r="E119" s="838">
        <v>39559</v>
      </c>
      <c r="F119" s="839" t="s">
        <v>938</v>
      </c>
      <c r="G119" s="837"/>
    </row>
    <row r="120" spans="1:7" hidden="1">
      <c r="A120" s="837" t="s">
        <v>1130</v>
      </c>
      <c r="B120" s="837" t="s">
        <v>968</v>
      </c>
      <c r="C120" s="837" t="s">
        <v>931</v>
      </c>
      <c r="D120" s="837" t="s">
        <v>1131</v>
      </c>
      <c r="E120" s="838">
        <v>38826</v>
      </c>
      <c r="F120" s="839" t="s">
        <v>933</v>
      </c>
      <c r="G120" s="837"/>
    </row>
    <row r="121" spans="1:7" hidden="1">
      <c r="A121" s="837" t="s">
        <v>1132</v>
      </c>
      <c r="B121" s="837" t="s">
        <v>940</v>
      </c>
      <c r="C121" s="837" t="s">
        <v>931</v>
      </c>
      <c r="D121" s="837" t="s">
        <v>1131</v>
      </c>
      <c r="E121" s="838">
        <v>38839</v>
      </c>
      <c r="F121" s="839" t="s">
        <v>938</v>
      </c>
      <c r="G121" s="837"/>
    </row>
    <row r="122" spans="1:7" hidden="1">
      <c r="A122" s="837" t="s">
        <v>1133</v>
      </c>
      <c r="B122" s="837" t="s">
        <v>968</v>
      </c>
      <c r="C122" s="837" t="s">
        <v>931</v>
      </c>
      <c r="D122" s="837" t="s">
        <v>1131</v>
      </c>
      <c r="E122" s="838">
        <v>38840</v>
      </c>
      <c r="F122" s="839" t="s">
        <v>933</v>
      </c>
      <c r="G122" s="837"/>
    </row>
    <row r="123" spans="1:7" hidden="1">
      <c r="A123" s="837" t="s">
        <v>1134</v>
      </c>
      <c r="B123" s="837" t="s">
        <v>1032</v>
      </c>
      <c r="C123" s="837" t="s">
        <v>931</v>
      </c>
      <c r="D123" s="837" t="s">
        <v>941</v>
      </c>
      <c r="E123" s="838">
        <v>39559</v>
      </c>
      <c r="F123" s="839" t="s">
        <v>938</v>
      </c>
      <c r="G123" s="837"/>
    </row>
    <row r="124" spans="1:7" hidden="1">
      <c r="A124" s="837" t="s">
        <v>1135</v>
      </c>
      <c r="B124" s="837" t="s">
        <v>940</v>
      </c>
      <c r="C124" s="837" t="s">
        <v>931</v>
      </c>
      <c r="D124" s="837" t="s">
        <v>941</v>
      </c>
      <c r="E124" s="838">
        <v>39559</v>
      </c>
      <c r="F124" s="839" t="s">
        <v>938</v>
      </c>
      <c r="G124" s="837"/>
    </row>
    <row r="125" spans="1:7" hidden="1">
      <c r="A125" s="837" t="s">
        <v>1136</v>
      </c>
      <c r="B125" s="837" t="s">
        <v>968</v>
      </c>
      <c r="C125" s="837" t="s">
        <v>931</v>
      </c>
      <c r="D125" s="837" t="s">
        <v>932</v>
      </c>
      <c r="E125" s="838">
        <v>39034</v>
      </c>
      <c r="F125" s="839" t="s">
        <v>938</v>
      </c>
      <c r="G125" s="837"/>
    </row>
    <row r="126" spans="1:7" hidden="1">
      <c r="A126" s="837" t="s">
        <v>1137</v>
      </c>
      <c r="B126" s="837" t="s">
        <v>1125</v>
      </c>
      <c r="C126" s="837" t="s">
        <v>931</v>
      </c>
      <c r="D126" s="837" t="s">
        <v>941</v>
      </c>
      <c r="E126" s="838">
        <v>39092</v>
      </c>
      <c r="F126" s="839" t="s">
        <v>1099</v>
      </c>
      <c r="G126" s="837"/>
    </row>
    <row r="127" spans="1:7" hidden="1">
      <c r="A127" s="837" t="s">
        <v>1138</v>
      </c>
      <c r="B127" s="837" t="s">
        <v>1032</v>
      </c>
      <c r="C127" s="837" t="s">
        <v>931</v>
      </c>
      <c r="D127" s="837" t="s">
        <v>941</v>
      </c>
      <c r="E127" s="838">
        <v>39559</v>
      </c>
      <c r="F127" s="839" t="s">
        <v>938</v>
      </c>
      <c r="G127" s="837"/>
    </row>
    <row r="128" spans="1:7" hidden="1">
      <c r="A128" s="837" t="s">
        <v>1139</v>
      </c>
      <c r="B128" s="837" t="s">
        <v>996</v>
      </c>
      <c r="C128" s="837" t="s">
        <v>997</v>
      </c>
      <c r="D128" s="837" t="s">
        <v>1140</v>
      </c>
      <c r="E128" s="838">
        <v>39092</v>
      </c>
      <c r="F128" s="839" t="s">
        <v>938</v>
      </c>
      <c r="G128" s="837"/>
    </row>
    <row r="129" spans="1:7" hidden="1">
      <c r="A129" s="837" t="s">
        <v>1141</v>
      </c>
      <c r="B129" s="837" t="s">
        <v>996</v>
      </c>
      <c r="C129" s="837" t="s">
        <v>997</v>
      </c>
      <c r="D129" s="837" t="s">
        <v>1142</v>
      </c>
      <c r="E129" s="838">
        <v>39092</v>
      </c>
      <c r="F129" s="839" t="s">
        <v>938</v>
      </c>
      <c r="G129" s="837"/>
    </row>
    <row r="130" spans="1:7" hidden="1">
      <c r="A130" s="837" t="s">
        <v>1143</v>
      </c>
      <c r="B130" s="837" t="s">
        <v>1071</v>
      </c>
      <c r="C130" s="837" t="s">
        <v>1078</v>
      </c>
      <c r="D130" s="837" t="s">
        <v>1142</v>
      </c>
      <c r="E130" s="838">
        <v>39092</v>
      </c>
      <c r="F130" s="839" t="s">
        <v>933</v>
      </c>
      <c r="G130" s="837"/>
    </row>
    <row r="131" spans="1:7" hidden="1">
      <c r="A131" s="837" t="s">
        <v>1144</v>
      </c>
      <c r="B131" s="837" t="s">
        <v>1145</v>
      </c>
      <c r="C131" s="837" t="s">
        <v>931</v>
      </c>
      <c r="D131" s="837" t="s">
        <v>1146</v>
      </c>
      <c r="E131" s="838">
        <v>39093</v>
      </c>
      <c r="F131" s="839" t="s">
        <v>938</v>
      </c>
      <c r="G131" s="837"/>
    </row>
    <row r="132" spans="1:7" hidden="1">
      <c r="A132" s="837" t="s">
        <v>1147</v>
      </c>
      <c r="B132" s="837" t="s">
        <v>1125</v>
      </c>
      <c r="C132" s="837" t="s">
        <v>931</v>
      </c>
      <c r="D132" s="837" t="s">
        <v>1146</v>
      </c>
      <c r="E132" s="838">
        <v>39092</v>
      </c>
      <c r="F132" s="839" t="s">
        <v>1099</v>
      </c>
      <c r="G132" s="837"/>
    </row>
    <row r="133" spans="1:7" hidden="1">
      <c r="A133" s="837" t="s">
        <v>1148</v>
      </c>
      <c r="B133" s="837" t="s">
        <v>1145</v>
      </c>
      <c r="C133" s="837" t="s">
        <v>931</v>
      </c>
      <c r="D133" s="837" t="s">
        <v>1146</v>
      </c>
      <c r="E133" s="838">
        <v>39092</v>
      </c>
      <c r="F133" s="839" t="s">
        <v>1099</v>
      </c>
      <c r="G133" s="837"/>
    </row>
    <row r="134" spans="1:7" hidden="1">
      <c r="A134" s="837" t="s">
        <v>1149</v>
      </c>
      <c r="B134" s="837" t="s">
        <v>968</v>
      </c>
      <c r="C134" s="837" t="s">
        <v>931</v>
      </c>
      <c r="D134" s="837" t="s">
        <v>1146</v>
      </c>
      <c r="E134" s="838">
        <v>39092</v>
      </c>
      <c r="F134" s="839" t="s">
        <v>938</v>
      </c>
      <c r="G134" s="837"/>
    </row>
    <row r="135" spans="1:7" hidden="1">
      <c r="A135" s="837" t="s">
        <v>1150</v>
      </c>
      <c r="B135" s="837" t="s">
        <v>940</v>
      </c>
      <c r="C135" s="837" t="s">
        <v>931</v>
      </c>
      <c r="D135" s="837" t="s">
        <v>1131</v>
      </c>
      <c r="E135" s="838">
        <v>39135</v>
      </c>
      <c r="F135" s="839" t="s">
        <v>938</v>
      </c>
      <c r="G135" s="837"/>
    </row>
    <row r="136" spans="1:7" hidden="1">
      <c r="A136" s="837" t="s">
        <v>1151</v>
      </c>
      <c r="B136" s="837" t="s">
        <v>1125</v>
      </c>
      <c r="C136" s="837" t="s">
        <v>931</v>
      </c>
      <c r="D136" s="837" t="s">
        <v>941</v>
      </c>
      <c r="E136" s="838">
        <v>39198</v>
      </c>
      <c r="F136" s="839" t="s">
        <v>938</v>
      </c>
      <c r="G136" s="837"/>
    </row>
    <row r="137" spans="1:7" hidden="1">
      <c r="A137" s="837" t="s">
        <v>1152</v>
      </c>
      <c r="B137" s="837" t="s">
        <v>1145</v>
      </c>
      <c r="C137" s="837" t="s">
        <v>1153</v>
      </c>
      <c r="D137" s="837" t="s">
        <v>932</v>
      </c>
      <c r="E137" s="838">
        <v>39213</v>
      </c>
      <c r="F137" s="839" t="s">
        <v>1099</v>
      </c>
      <c r="G137" s="837"/>
    </row>
    <row r="138" spans="1:7" hidden="1">
      <c r="A138" s="837" t="s">
        <v>1154</v>
      </c>
      <c r="B138" s="837" t="s">
        <v>968</v>
      </c>
      <c r="C138" s="837" t="s">
        <v>931</v>
      </c>
      <c r="D138" s="837" t="s">
        <v>1131</v>
      </c>
      <c r="E138" s="838">
        <v>39242</v>
      </c>
      <c r="F138" s="839" t="s">
        <v>938</v>
      </c>
      <c r="G138" s="837"/>
    </row>
    <row r="139" spans="1:7" hidden="1">
      <c r="A139" s="837" t="s">
        <v>1155</v>
      </c>
      <c r="B139" s="837" t="s">
        <v>968</v>
      </c>
      <c r="C139" s="837" t="s">
        <v>931</v>
      </c>
      <c r="D139" s="837" t="s">
        <v>1131</v>
      </c>
      <c r="E139" s="838">
        <v>39244</v>
      </c>
      <c r="F139" s="839" t="s">
        <v>938</v>
      </c>
      <c r="G139" s="837"/>
    </row>
    <row r="140" spans="1:7" hidden="1">
      <c r="A140" s="837" t="s">
        <v>1156</v>
      </c>
      <c r="B140" s="837" t="s">
        <v>968</v>
      </c>
      <c r="C140" s="837" t="s">
        <v>931</v>
      </c>
      <c r="D140" s="837"/>
      <c r="E140" s="838">
        <v>39559</v>
      </c>
      <c r="F140" s="839" t="s">
        <v>938</v>
      </c>
      <c r="G140" s="837"/>
    </row>
    <row r="141" spans="1:7" hidden="1">
      <c r="A141" s="837" t="s">
        <v>1157</v>
      </c>
      <c r="B141" s="837" t="s">
        <v>1158</v>
      </c>
      <c r="C141" s="837" t="s">
        <v>931</v>
      </c>
      <c r="D141" s="837" t="s">
        <v>941</v>
      </c>
      <c r="E141" s="838">
        <v>39559</v>
      </c>
      <c r="F141" s="839" t="s">
        <v>938</v>
      </c>
      <c r="G141" s="837"/>
    </row>
    <row r="142" spans="1:7" hidden="1">
      <c r="A142" s="837" t="s">
        <v>1159</v>
      </c>
      <c r="B142" s="837" t="s">
        <v>968</v>
      </c>
      <c r="C142" s="837" t="s">
        <v>931</v>
      </c>
      <c r="D142" s="837" t="s">
        <v>941</v>
      </c>
      <c r="E142" s="838">
        <v>39559</v>
      </c>
      <c r="F142" s="839" t="s">
        <v>938</v>
      </c>
      <c r="G142" s="837"/>
    </row>
    <row r="143" spans="1:7" hidden="1">
      <c r="A143" s="837" t="s">
        <v>1025</v>
      </c>
      <c r="B143" s="837"/>
      <c r="C143" s="837" t="s">
        <v>931</v>
      </c>
      <c r="D143" s="837" t="s">
        <v>941</v>
      </c>
      <c r="E143" s="838">
        <v>39559</v>
      </c>
      <c r="F143" s="839" t="s">
        <v>938</v>
      </c>
      <c r="G143" s="837"/>
    </row>
    <row r="144" spans="1:7" hidden="1">
      <c r="A144" s="837" t="s">
        <v>1160</v>
      </c>
      <c r="B144" s="837" t="s">
        <v>1161</v>
      </c>
      <c r="C144" s="837" t="s">
        <v>931</v>
      </c>
      <c r="D144" s="837" t="s">
        <v>1162</v>
      </c>
      <c r="E144" s="838">
        <v>39559</v>
      </c>
      <c r="F144" s="839" t="s">
        <v>938</v>
      </c>
      <c r="G144" s="837"/>
    </row>
    <row r="145" spans="1:7" hidden="1">
      <c r="A145" s="837" t="s">
        <v>1163</v>
      </c>
      <c r="B145" s="837" t="s">
        <v>968</v>
      </c>
      <c r="C145" s="837" t="s">
        <v>931</v>
      </c>
      <c r="D145" s="837" t="s">
        <v>941</v>
      </c>
      <c r="E145" s="838">
        <v>39650</v>
      </c>
      <c r="F145" s="839" t="s">
        <v>938</v>
      </c>
      <c r="G145" s="837"/>
    </row>
    <row r="146" spans="1:7" hidden="1">
      <c r="A146" s="837" t="s">
        <v>1164</v>
      </c>
      <c r="B146" s="837" t="s">
        <v>968</v>
      </c>
      <c r="C146" s="837" t="s">
        <v>931</v>
      </c>
      <c r="D146" s="837" t="s">
        <v>1131</v>
      </c>
      <c r="E146" s="838">
        <v>39650</v>
      </c>
      <c r="F146" s="839" t="s">
        <v>938</v>
      </c>
      <c r="G146" s="837"/>
    </row>
    <row r="147" spans="1:7" hidden="1">
      <c r="A147" s="837" t="s">
        <v>1165</v>
      </c>
      <c r="B147" s="837" t="s">
        <v>968</v>
      </c>
      <c r="C147" s="837" t="s">
        <v>931</v>
      </c>
      <c r="D147" s="837" t="s">
        <v>1131</v>
      </c>
      <c r="E147" s="838">
        <v>39650</v>
      </c>
      <c r="F147" s="839" t="s">
        <v>938</v>
      </c>
      <c r="G147" s="837"/>
    </row>
    <row r="148" spans="1:7" hidden="1">
      <c r="A148" s="837" t="s">
        <v>1166</v>
      </c>
      <c r="B148" s="837" t="s">
        <v>968</v>
      </c>
      <c r="C148" s="837" t="s">
        <v>931</v>
      </c>
      <c r="D148" s="837" t="s">
        <v>1131</v>
      </c>
      <c r="E148" s="838">
        <v>39650</v>
      </c>
      <c r="F148" s="839" t="s">
        <v>938</v>
      </c>
      <c r="G148" s="837"/>
    </row>
    <row r="149" spans="1:7" hidden="1">
      <c r="A149" s="837" t="s">
        <v>1167</v>
      </c>
      <c r="B149" s="837" t="s">
        <v>1125</v>
      </c>
      <c r="C149" s="837" t="s">
        <v>931</v>
      </c>
      <c r="D149" s="837" t="s">
        <v>932</v>
      </c>
      <c r="E149" s="838">
        <v>39651</v>
      </c>
      <c r="F149" s="839" t="s">
        <v>938</v>
      </c>
      <c r="G149" s="837"/>
    </row>
    <row r="150" spans="1:7" hidden="1">
      <c r="A150" s="837" t="s">
        <v>1168</v>
      </c>
      <c r="B150" s="837" t="s">
        <v>968</v>
      </c>
      <c r="C150" s="837" t="s">
        <v>931</v>
      </c>
      <c r="D150" s="837" t="s">
        <v>1169</v>
      </c>
      <c r="E150" s="838">
        <v>40032</v>
      </c>
      <c r="F150" s="839" t="s">
        <v>938</v>
      </c>
      <c r="G150" s="837"/>
    </row>
    <row r="151" spans="1:7" hidden="1">
      <c r="A151" s="837" t="s">
        <v>1170</v>
      </c>
      <c r="B151" s="837" t="s">
        <v>1171</v>
      </c>
      <c r="C151" s="845" t="s">
        <v>1172</v>
      </c>
      <c r="D151" s="837" t="s">
        <v>1173</v>
      </c>
      <c r="E151" s="838">
        <v>40032</v>
      </c>
      <c r="F151" s="839" t="s">
        <v>938</v>
      </c>
      <c r="G151" s="837"/>
    </row>
    <row r="152" spans="1:7" hidden="1">
      <c r="A152" s="837" t="s">
        <v>1174</v>
      </c>
      <c r="B152" s="837" t="s">
        <v>1175</v>
      </c>
      <c r="C152" s="837" t="s">
        <v>1176</v>
      </c>
      <c r="D152" s="837" t="s">
        <v>1173</v>
      </c>
      <c r="E152" s="838">
        <v>40032</v>
      </c>
      <c r="F152" s="839" t="s">
        <v>1099</v>
      </c>
      <c r="G152" s="837"/>
    </row>
    <row r="153" spans="1:7" hidden="1">
      <c r="A153" s="837" t="s">
        <v>1177</v>
      </c>
      <c r="B153" s="837" t="s">
        <v>940</v>
      </c>
      <c r="C153" s="845" t="s">
        <v>931</v>
      </c>
      <c r="D153" s="837" t="s">
        <v>960</v>
      </c>
      <c r="E153" s="838">
        <v>40032</v>
      </c>
      <c r="F153" s="839" t="s">
        <v>1099</v>
      </c>
      <c r="G153" s="837" t="s">
        <v>1099</v>
      </c>
    </row>
    <row r="154" spans="1:7" hidden="1">
      <c r="A154" s="837" t="s">
        <v>1178</v>
      </c>
      <c r="B154" s="837" t="s">
        <v>968</v>
      </c>
      <c r="C154" s="837" t="s">
        <v>931</v>
      </c>
      <c r="D154" s="837" t="s">
        <v>1169</v>
      </c>
      <c r="E154" s="838">
        <v>40033</v>
      </c>
      <c r="F154" s="839" t="s">
        <v>1099</v>
      </c>
      <c r="G154" s="837"/>
    </row>
    <row r="155" spans="1:7" hidden="1">
      <c r="A155" s="837" t="s">
        <v>1179</v>
      </c>
      <c r="B155" s="837" t="s">
        <v>1180</v>
      </c>
      <c r="C155" s="837" t="s">
        <v>931</v>
      </c>
      <c r="D155" s="837" t="s">
        <v>46</v>
      </c>
      <c r="E155" s="838">
        <v>40042</v>
      </c>
      <c r="F155" s="839" t="s">
        <v>938</v>
      </c>
      <c r="G155" s="837"/>
    </row>
    <row r="156" spans="1:7" hidden="1">
      <c r="A156" s="837" t="s">
        <v>1181</v>
      </c>
      <c r="B156" s="837" t="s">
        <v>968</v>
      </c>
      <c r="C156" s="837" t="s">
        <v>931</v>
      </c>
      <c r="D156" s="837" t="s">
        <v>46</v>
      </c>
      <c r="E156" s="838">
        <v>40042</v>
      </c>
      <c r="F156" s="839" t="s">
        <v>938</v>
      </c>
      <c r="G156" s="837"/>
    </row>
    <row r="157" spans="1:7" hidden="1">
      <c r="A157" s="837" t="s">
        <v>1182</v>
      </c>
      <c r="B157" s="837" t="s">
        <v>940</v>
      </c>
      <c r="C157" s="837" t="s">
        <v>931</v>
      </c>
      <c r="D157" s="837" t="s">
        <v>1005</v>
      </c>
      <c r="E157" s="838">
        <v>40045</v>
      </c>
      <c r="F157" s="839" t="s">
        <v>933</v>
      </c>
      <c r="G157" s="837"/>
    </row>
    <row r="158" spans="1:7" hidden="1">
      <c r="A158" s="837" t="s">
        <v>1183</v>
      </c>
      <c r="B158" s="837" t="s">
        <v>968</v>
      </c>
      <c r="C158" s="837" t="s">
        <v>931</v>
      </c>
      <c r="D158" s="837" t="s">
        <v>1005</v>
      </c>
      <c r="E158" s="838">
        <v>40045</v>
      </c>
      <c r="F158" s="839" t="s">
        <v>933</v>
      </c>
      <c r="G158" s="837"/>
    </row>
    <row r="159" spans="1:7" hidden="1">
      <c r="A159" s="837" t="s">
        <v>1184</v>
      </c>
      <c r="B159" s="837" t="s">
        <v>940</v>
      </c>
      <c r="C159" s="837" t="s">
        <v>931</v>
      </c>
      <c r="D159" s="837" t="s">
        <v>1005</v>
      </c>
      <c r="E159" s="838">
        <v>40045</v>
      </c>
      <c r="F159" s="839" t="s">
        <v>938</v>
      </c>
      <c r="G159" s="837" t="s">
        <v>938</v>
      </c>
    </row>
    <row r="160" spans="1:7" ht="15" hidden="1">
      <c r="A160" s="837" t="s">
        <v>1185</v>
      </c>
      <c r="B160" s="846" t="s">
        <v>1032</v>
      </c>
      <c r="C160" s="837" t="s">
        <v>931</v>
      </c>
      <c r="D160" s="837" t="s">
        <v>941</v>
      </c>
      <c r="E160" s="838">
        <v>40045</v>
      </c>
      <c r="F160" s="839" t="s">
        <v>938</v>
      </c>
      <c r="G160" s="837" t="s">
        <v>938</v>
      </c>
    </row>
    <row r="161" spans="1:7" hidden="1">
      <c r="A161" s="837" t="s">
        <v>1186</v>
      </c>
      <c r="B161" s="837" t="s">
        <v>968</v>
      </c>
      <c r="C161" s="837" t="s">
        <v>1187</v>
      </c>
      <c r="D161" s="837" t="s">
        <v>1005</v>
      </c>
      <c r="E161" s="838">
        <v>40924</v>
      </c>
      <c r="F161" s="839" t="s">
        <v>938</v>
      </c>
      <c r="G161" s="837" t="s">
        <v>938</v>
      </c>
    </row>
  </sheetData>
  <sheetProtection selectLockedCells="1" selectUnlockedCells="1"/>
  <autoFilter ref="A1:F161" xr:uid="{00000000-0001-0000-0700-000000000000}">
    <filterColumn colId="3">
      <filters>
        <filter val="e-mail"/>
      </filters>
    </filterColumn>
  </autoFilter>
  <hyperlinks>
    <hyperlink ref="B160" r:id="rId1" xr:uid="{00000000-0004-0000-0700-000000000000}"/>
    <hyperlink ref="B105" r:id="rId2" xr:uid="{00000000-0004-0000-0700-000001000000}"/>
  </hyperlinks>
  <printOptions gridLines="1"/>
  <pageMargins left="0.78749999999999998" right="0.78749999999999998" top="0.78749999999999998" bottom="0.78749999999999998" header="0.51180555555555551" footer="0.51180555555555551"/>
  <pageSetup paperSize="9" firstPageNumber="0" orientation="landscape" horizontalDpi="300" verticalDpi="300"/>
  <headerFooter alignWithMargins="0">
    <oddHeader>&amp;C&amp;A</oddHeader>
    <oddFooter>&amp;CSeite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/>
  <dimension ref="A1:D41"/>
  <sheetViews>
    <sheetView topLeftCell="A3" workbookViewId="0">
      <selection activeCell="B26" sqref="B26"/>
    </sheetView>
  </sheetViews>
  <sheetFormatPr defaultRowHeight="12.75"/>
  <cols>
    <col min="1" max="1" width="14.7109375" customWidth="1"/>
    <col min="2" max="2" width="28.7109375" customWidth="1"/>
    <col min="3" max="3" width="10.140625" customWidth="1"/>
    <col min="4" max="4" width="13.140625" customWidth="1"/>
  </cols>
  <sheetData>
    <row r="1" spans="1:4">
      <c r="A1" t="s">
        <v>365</v>
      </c>
      <c r="B1" t="s">
        <v>1188</v>
      </c>
      <c r="C1" t="s">
        <v>1189</v>
      </c>
      <c r="D1" t="s">
        <v>1190</v>
      </c>
    </row>
    <row r="2" spans="1:4">
      <c r="A2" t="s">
        <v>1191</v>
      </c>
      <c r="B2" t="s">
        <v>1192</v>
      </c>
      <c r="C2" s="1">
        <v>33367</v>
      </c>
      <c r="D2" s="1">
        <v>42692</v>
      </c>
    </row>
    <row r="3" spans="1:4">
      <c r="A3" t="s">
        <v>1193</v>
      </c>
      <c r="B3" t="s">
        <v>1194</v>
      </c>
      <c r="C3" s="1">
        <v>34569</v>
      </c>
    </row>
    <row r="4" spans="1:4">
      <c r="A4" t="s">
        <v>1195</v>
      </c>
      <c r="B4" s="1357" t="s">
        <v>1196</v>
      </c>
      <c r="C4" s="1">
        <v>36293</v>
      </c>
    </row>
    <row r="5" spans="1:4">
      <c r="A5" t="s">
        <v>1197</v>
      </c>
      <c r="B5" s="1357" t="s">
        <v>1198</v>
      </c>
      <c r="C5" s="1">
        <v>38035</v>
      </c>
      <c r="D5" s="1">
        <v>39860</v>
      </c>
    </row>
    <row r="6" spans="1:4">
      <c r="A6" t="s">
        <v>1199</v>
      </c>
      <c r="B6" t="s">
        <v>1200</v>
      </c>
      <c r="C6" s="1">
        <v>34928</v>
      </c>
    </row>
    <row r="7" spans="1:4">
      <c r="A7" t="s">
        <v>1201</v>
      </c>
      <c r="B7" t="s">
        <v>1202</v>
      </c>
      <c r="C7" s="1">
        <v>38062</v>
      </c>
      <c r="D7" t="s">
        <v>1203</v>
      </c>
    </row>
    <row r="8" spans="1:4">
      <c r="A8" t="s">
        <v>1204</v>
      </c>
      <c r="B8" t="s">
        <v>1205</v>
      </c>
      <c r="C8" s="1">
        <v>35452</v>
      </c>
    </row>
    <row r="9" spans="1:4">
      <c r="A9" t="s">
        <v>1206</v>
      </c>
      <c r="B9" t="s">
        <v>1207</v>
      </c>
      <c r="C9" s="1">
        <v>38531</v>
      </c>
    </row>
    <row r="10" spans="1:4">
      <c r="A10" t="s">
        <v>1208</v>
      </c>
      <c r="B10" t="s">
        <v>1209</v>
      </c>
      <c r="C10" s="1">
        <v>42690</v>
      </c>
      <c r="D10" s="1">
        <v>46342</v>
      </c>
    </row>
    <row r="12" spans="1:4">
      <c r="A12" t="s">
        <v>1210</v>
      </c>
      <c r="B12" t="s">
        <v>1211</v>
      </c>
      <c r="C12" s="1">
        <v>34661</v>
      </c>
    </row>
    <row r="13" spans="1:4">
      <c r="A13" t="s">
        <v>1210</v>
      </c>
      <c r="B13" t="s">
        <v>1212</v>
      </c>
      <c r="C13" s="1">
        <v>38429</v>
      </c>
    </row>
    <row r="14" spans="1:4">
      <c r="A14" t="s">
        <v>1213</v>
      </c>
      <c r="B14" t="s">
        <v>1214</v>
      </c>
    </row>
    <row r="15" spans="1:4">
      <c r="A15" t="s">
        <v>1201</v>
      </c>
      <c r="B15" t="s">
        <v>1215</v>
      </c>
    </row>
    <row r="16" spans="1:4">
      <c r="A16" t="s">
        <v>1216</v>
      </c>
      <c r="B16" t="s">
        <v>1217</v>
      </c>
    </row>
    <row r="19" spans="1:2">
      <c r="A19" t="s">
        <v>1218</v>
      </c>
    </row>
    <row r="20" spans="1:2">
      <c r="A20" t="s">
        <v>1219</v>
      </c>
      <c r="B20" t="s">
        <v>1220</v>
      </c>
    </row>
    <row r="21" spans="1:2">
      <c r="A21" t="s">
        <v>1221</v>
      </c>
      <c r="B21" t="s">
        <v>1222</v>
      </c>
    </row>
    <row r="22" spans="1:2">
      <c r="A22" t="s">
        <v>1223</v>
      </c>
      <c r="B22" t="s">
        <v>1224</v>
      </c>
    </row>
    <row r="23" spans="1:2">
      <c r="A23" t="s">
        <v>1225</v>
      </c>
      <c r="B23" t="s">
        <v>1226</v>
      </c>
    </row>
    <row r="25" spans="1:2">
      <c r="A25" t="s">
        <v>1227</v>
      </c>
    </row>
    <row r="26" spans="1:2">
      <c r="A26" t="s">
        <v>1193</v>
      </c>
      <c r="B26" t="s">
        <v>1228</v>
      </c>
    </row>
    <row r="27" spans="1:2">
      <c r="A27" t="s">
        <v>1229</v>
      </c>
      <c r="B27" t="s">
        <v>1230</v>
      </c>
    </row>
    <row r="29" spans="1:2">
      <c r="B29" t="s">
        <v>1231</v>
      </c>
    </row>
    <row r="31" spans="1:2">
      <c r="A31" t="s">
        <v>1232</v>
      </c>
    </row>
    <row r="32" spans="1:2">
      <c r="A32" t="s">
        <v>1219</v>
      </c>
      <c r="B32">
        <v>894942670</v>
      </c>
    </row>
    <row r="33" spans="1:2">
      <c r="A33" t="s">
        <v>1221</v>
      </c>
      <c r="B33" t="s">
        <v>1233</v>
      </c>
    </row>
    <row r="34" spans="1:2">
      <c r="A34" t="s">
        <v>1223</v>
      </c>
    </row>
    <row r="35" spans="1:2">
      <c r="A35" t="s">
        <v>1225</v>
      </c>
      <c r="B35" t="s">
        <v>1234</v>
      </c>
    </row>
    <row r="37" spans="1:2">
      <c r="A37" t="s">
        <v>1235</v>
      </c>
    </row>
    <row r="38" spans="1:2">
      <c r="A38" t="s">
        <v>1219</v>
      </c>
      <c r="B38">
        <v>863321879</v>
      </c>
    </row>
    <row r="39" spans="1:2">
      <c r="A39" t="s">
        <v>1221</v>
      </c>
      <c r="B39" t="s">
        <v>1236</v>
      </c>
    </row>
    <row r="40" spans="1:2">
      <c r="A40" t="s">
        <v>1223</v>
      </c>
    </row>
    <row r="41" spans="1:2">
      <c r="A41" t="s">
        <v>1225</v>
      </c>
      <c r="B41" t="s">
        <v>1237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28"/>
  <dimension ref="A1:S175"/>
  <sheetViews>
    <sheetView zoomScaleNormal="100" workbookViewId="0">
      <pane xSplit="19" ySplit="1" topLeftCell="T141" activePane="bottomRight" state="frozen"/>
      <selection pane="bottomRight" activeCell="F145" sqref="F145"/>
      <selection pane="bottomLeft" activeCell="A2" sqref="A2"/>
      <selection pane="topRight" activeCell="O1" sqref="O1"/>
    </sheetView>
  </sheetViews>
  <sheetFormatPr defaultColWidth="22.85546875" defaultRowHeight="12"/>
  <cols>
    <col min="1" max="1" width="12.140625" style="1184" bestFit="1" customWidth="1"/>
    <col min="2" max="2" width="15.5703125" style="1184" hidden="1" customWidth="1"/>
    <col min="3" max="3" width="15.5703125" style="1184" bestFit="1" customWidth="1"/>
    <col min="4" max="4" width="15.140625" style="1184" hidden="1" customWidth="1"/>
    <col min="5" max="5" width="14.140625" style="1184" hidden="1" customWidth="1"/>
    <col min="6" max="6" width="15.5703125" style="1184" bestFit="1" customWidth="1"/>
    <col min="7" max="8" width="15.140625" style="1184" hidden="1" customWidth="1"/>
    <col min="9" max="11" width="14.140625" style="1184" hidden="1" customWidth="1"/>
    <col min="12" max="12" width="11" style="1184" hidden="1" customWidth="1"/>
    <col min="13" max="13" width="17.28515625" style="1184" bestFit="1" customWidth="1"/>
    <col min="14" max="14" width="18.28515625" style="1184" bestFit="1" customWidth="1"/>
    <col min="15" max="15" width="20.28515625" style="1184" bestFit="1" customWidth="1"/>
    <col min="16" max="16" width="17.28515625" style="1184" bestFit="1" customWidth="1"/>
    <col min="17" max="17" width="17.28515625" style="1184" customWidth="1"/>
    <col min="18" max="18" width="17.140625" style="1184" bestFit="1" customWidth="1"/>
    <col min="19" max="19" width="6.7109375" style="1184" bestFit="1" customWidth="1"/>
    <col min="20" max="16384" width="22.85546875" style="1184"/>
  </cols>
  <sheetData>
    <row r="1" spans="1:19">
      <c r="A1" s="1059" t="s">
        <v>0</v>
      </c>
      <c r="B1" s="1670" t="s">
        <v>1238</v>
      </c>
      <c r="C1" s="1674" t="s">
        <v>1239</v>
      </c>
      <c r="D1" s="1358" t="s">
        <v>1240</v>
      </c>
      <c r="E1" s="1359" t="s">
        <v>1241</v>
      </c>
      <c r="F1" s="1361" t="s">
        <v>1242</v>
      </c>
      <c r="G1" s="1359" t="s">
        <v>1243</v>
      </c>
      <c r="H1" s="1359" t="s">
        <v>1244</v>
      </c>
      <c r="I1" s="1360" t="s">
        <v>1245</v>
      </c>
      <c r="J1" s="1359" t="s">
        <v>1246</v>
      </c>
      <c r="K1" s="1359" t="s">
        <v>1247</v>
      </c>
      <c r="L1" s="1359" t="s">
        <v>1248</v>
      </c>
      <c r="M1" s="1059" t="s">
        <v>1249</v>
      </c>
      <c r="N1" s="1058" t="s">
        <v>1250</v>
      </c>
      <c r="O1" s="1058" t="s">
        <v>1251</v>
      </c>
      <c r="P1" s="1058" t="s">
        <v>1252</v>
      </c>
      <c r="Q1" s="1058" t="s">
        <v>1253</v>
      </c>
      <c r="R1" s="1058" t="s">
        <v>1254</v>
      </c>
      <c r="S1" s="1058" t="s">
        <v>1255</v>
      </c>
    </row>
    <row r="2" spans="1:19" ht="13.5">
      <c r="A2" s="1440">
        <v>41187</v>
      </c>
      <c r="B2" s="1671"/>
      <c r="C2" s="1675"/>
      <c r="D2" s="1362"/>
      <c r="E2" s="1363"/>
      <c r="F2" s="1364">
        <v>6302.66</v>
      </c>
      <c r="G2" s="1060">
        <v>0</v>
      </c>
      <c r="H2" s="1060">
        <v>77117.460000000006</v>
      </c>
      <c r="I2" s="1060">
        <v>2920.83</v>
      </c>
      <c r="J2" s="1060">
        <v>2922.37</v>
      </c>
      <c r="K2" s="1060">
        <v>1310.51</v>
      </c>
      <c r="L2" s="1060">
        <v>48.12</v>
      </c>
      <c r="M2" s="1061">
        <f t="shared" ref="M2:M24" si="0">SUM(H2:L2)</f>
        <v>84319.29</v>
      </c>
      <c r="N2" s="1062"/>
      <c r="O2" s="1062"/>
      <c r="P2" s="1062"/>
      <c r="Q2" s="1062"/>
      <c r="R2" s="1062"/>
      <c r="S2" s="1062"/>
    </row>
    <row r="3" spans="1:19" ht="13.5">
      <c r="A3" s="1441">
        <v>41220</v>
      </c>
      <c r="B3" s="1672"/>
      <c r="C3" s="1676"/>
      <c r="D3" s="1362"/>
      <c r="E3" s="1363"/>
      <c r="F3" s="1364">
        <v>6302.66</v>
      </c>
      <c r="G3" s="1060">
        <v>0</v>
      </c>
      <c r="H3" s="1060">
        <v>78098.13</v>
      </c>
      <c r="I3" s="1060">
        <v>2928.03</v>
      </c>
      <c r="J3" s="1060">
        <v>2929.57</v>
      </c>
      <c r="K3" s="1060">
        <v>1313.74</v>
      </c>
      <c r="L3" s="1060">
        <v>48.23</v>
      </c>
      <c r="M3" s="1061">
        <f t="shared" si="0"/>
        <v>85317.700000000012</v>
      </c>
      <c r="N3" s="1062">
        <f>IF(M3&lt;&gt;0,M3-M2,"")</f>
        <v>998.41000000001804</v>
      </c>
      <c r="O3" s="1063">
        <f>IF(N3&lt;&gt;"",(N3/M3),"")</f>
        <v>1.170226107829932E-2</v>
      </c>
      <c r="P3" s="1062"/>
      <c r="Q3" s="1062"/>
      <c r="R3" s="1062"/>
      <c r="S3" s="1062"/>
    </row>
    <row r="4" spans="1:19" ht="13.5">
      <c r="A4" s="1440">
        <v>41253</v>
      </c>
      <c r="B4" s="1671"/>
      <c r="C4" s="1675"/>
      <c r="D4" s="1362"/>
      <c r="E4" s="1363"/>
      <c r="F4" s="1364">
        <v>6333.78</v>
      </c>
      <c r="G4" s="1060">
        <v>0</v>
      </c>
      <c r="H4" s="1060">
        <v>78984.759999999995</v>
      </c>
      <c r="I4" s="1060">
        <v>2942.48</v>
      </c>
      <c r="J4" s="1060">
        <v>2944.03</v>
      </c>
      <c r="K4" s="1060">
        <v>1320.21</v>
      </c>
      <c r="L4" s="1060">
        <v>48.45</v>
      </c>
      <c r="M4" s="1061">
        <f t="shared" si="0"/>
        <v>86239.93</v>
      </c>
      <c r="N4" s="1062">
        <f t="shared" ref="N4:N20" si="1">IF(M4&lt;&gt;0,M4-M3,"")</f>
        <v>922.22999999998137</v>
      </c>
      <c r="O4" s="1063">
        <f t="shared" ref="O4:O18" si="2">IF(N4&lt;&gt;"",(N4/M4),"")</f>
        <v>1.0693770275555436E-2</v>
      </c>
      <c r="P4" s="1062">
        <f t="shared" ref="P4:P35" si="3">IF(N3&lt;&gt;"",M3+N3,"")</f>
        <v>86316.11000000003</v>
      </c>
      <c r="Q4" s="1062"/>
      <c r="R4" s="1062">
        <f t="shared" ref="R4:R35" si="4">IF(M4&gt;0,M4-P4,"")</f>
        <v>-76.180000000036671</v>
      </c>
      <c r="S4" s="1062" t="str">
        <f t="shared" ref="S4:S35" si="5">IF(M4&gt;=P4,"SIM","Não")</f>
        <v>Não</v>
      </c>
    </row>
    <row r="5" spans="1:19" ht="13.5">
      <c r="A5" s="1440">
        <v>41284</v>
      </c>
      <c r="B5" s="1671"/>
      <c r="C5" s="1675"/>
      <c r="D5" s="1362"/>
      <c r="E5" s="1363"/>
      <c r="F5" s="1364">
        <v>6349.39</v>
      </c>
      <c r="G5" s="1060">
        <v>0</v>
      </c>
      <c r="H5" s="1060">
        <v>79679.929999999993</v>
      </c>
      <c r="I5" s="1060">
        <v>2949.73</v>
      </c>
      <c r="J5" s="1060">
        <v>2951.28</v>
      </c>
      <c r="K5" s="1060">
        <v>1323.46</v>
      </c>
      <c r="L5" s="1060">
        <v>48.56</v>
      </c>
      <c r="M5" s="1061">
        <f t="shared" si="0"/>
        <v>86952.959999999992</v>
      </c>
      <c r="N5" s="1062">
        <f t="shared" si="1"/>
        <v>713.02999999999884</v>
      </c>
      <c r="O5" s="1063">
        <f t="shared" si="2"/>
        <v>8.2001808794088075E-3</v>
      </c>
      <c r="P5" s="1062">
        <f t="shared" si="3"/>
        <v>87162.159999999974</v>
      </c>
      <c r="Q5" s="1062"/>
      <c r="R5" s="1062">
        <f t="shared" si="4"/>
        <v>-209.19999999998254</v>
      </c>
      <c r="S5" s="1062" t="str">
        <f t="shared" si="5"/>
        <v>Não</v>
      </c>
    </row>
    <row r="6" spans="1:19" ht="13.5">
      <c r="A6" s="1440">
        <v>41315</v>
      </c>
      <c r="B6" s="1671"/>
      <c r="C6" s="1675"/>
      <c r="D6" s="1362"/>
      <c r="E6" s="1363"/>
      <c r="F6" s="1364">
        <v>6365.04</v>
      </c>
      <c r="G6" s="1060">
        <v>0</v>
      </c>
      <c r="H6" s="1060">
        <v>80647.67</v>
      </c>
      <c r="I6" s="1060">
        <v>2957</v>
      </c>
      <c r="J6" s="1060">
        <v>2958.55</v>
      </c>
      <c r="K6" s="1060">
        <v>1326.72</v>
      </c>
      <c r="L6" s="1060">
        <v>48.67</v>
      </c>
      <c r="M6" s="1061">
        <f t="shared" si="0"/>
        <v>87938.61</v>
      </c>
      <c r="N6" s="1062">
        <f t="shared" si="1"/>
        <v>985.65000000000873</v>
      </c>
      <c r="O6" s="1063">
        <f t="shared" si="2"/>
        <v>1.1208387305644343E-2</v>
      </c>
      <c r="P6" s="1062">
        <f t="shared" si="3"/>
        <v>87665.989999999991</v>
      </c>
      <c r="Q6" s="1062"/>
      <c r="R6" s="1062">
        <f t="shared" si="4"/>
        <v>272.6200000000099</v>
      </c>
      <c r="S6" s="1062" t="str">
        <f t="shared" si="5"/>
        <v>SIM</v>
      </c>
    </row>
    <row r="7" spans="1:19" ht="13.5">
      <c r="A7" s="1440">
        <v>41343</v>
      </c>
      <c r="B7" s="1671"/>
      <c r="C7" s="1675"/>
      <c r="D7" s="1362"/>
      <c r="E7" s="1363"/>
      <c r="F7" s="1364">
        <v>6380.73</v>
      </c>
      <c r="G7" s="1060">
        <v>0</v>
      </c>
      <c r="H7" s="1060">
        <v>81869.119999999995</v>
      </c>
      <c r="I7" s="1060">
        <v>2964.29</v>
      </c>
      <c r="J7" s="1060">
        <v>2965.84</v>
      </c>
      <c r="K7" s="1060">
        <v>1329.99</v>
      </c>
      <c r="L7" s="1060">
        <v>48.79</v>
      </c>
      <c r="M7" s="1061">
        <f t="shared" si="0"/>
        <v>89178.029999999984</v>
      </c>
      <c r="N7" s="1062">
        <f t="shared" si="1"/>
        <v>1239.4199999999837</v>
      </c>
      <c r="O7" s="1063">
        <f t="shared" si="2"/>
        <v>1.3898266198524276E-2</v>
      </c>
      <c r="P7" s="1062">
        <f t="shared" si="3"/>
        <v>88924.260000000009</v>
      </c>
      <c r="Q7" s="1062"/>
      <c r="R7" s="1062">
        <f t="shared" si="4"/>
        <v>253.76999999997497</v>
      </c>
      <c r="S7" s="1062" t="str">
        <f t="shared" si="5"/>
        <v>SIM</v>
      </c>
    </row>
    <row r="8" spans="1:19" ht="13.5">
      <c r="A8" s="1440">
        <v>41374</v>
      </c>
      <c r="B8" s="1671"/>
      <c r="C8" s="1675"/>
      <c r="D8" s="1362"/>
      <c r="E8" s="1363"/>
      <c r="F8" s="1364">
        <v>6396.46</v>
      </c>
      <c r="G8" s="1060">
        <v>0</v>
      </c>
      <c r="H8" s="1060">
        <v>83411.850000000006</v>
      </c>
      <c r="I8" s="1060">
        <v>2971.59</v>
      </c>
      <c r="J8" s="1060">
        <v>2973.15</v>
      </c>
      <c r="K8" s="1060">
        <v>1333.29</v>
      </c>
      <c r="L8" s="1060">
        <v>48.91</v>
      </c>
      <c r="M8" s="1061">
        <f t="shared" si="0"/>
        <v>90738.79</v>
      </c>
      <c r="N8" s="1062">
        <f t="shared" si="1"/>
        <v>1560.7600000000093</v>
      </c>
      <c r="O8" s="1063">
        <f t="shared" si="2"/>
        <v>1.7200582022308314E-2</v>
      </c>
      <c r="P8" s="1062">
        <f t="shared" si="3"/>
        <v>90417.449999999968</v>
      </c>
      <c r="Q8" s="1062"/>
      <c r="R8" s="1062">
        <f t="shared" si="4"/>
        <v>321.34000000002561</v>
      </c>
      <c r="S8" s="1062" t="str">
        <f t="shared" si="5"/>
        <v>SIM</v>
      </c>
    </row>
    <row r="9" spans="1:19" ht="13.5">
      <c r="A9" s="1440">
        <v>41404</v>
      </c>
      <c r="B9" s="1671"/>
      <c r="C9" s="1675"/>
      <c r="D9" s="1362"/>
      <c r="E9" s="1363"/>
      <c r="F9" s="1364">
        <v>6412.23</v>
      </c>
      <c r="G9" s="1060">
        <v>0</v>
      </c>
      <c r="H9" s="1060">
        <v>85712.45</v>
      </c>
      <c r="I9" s="1060">
        <v>2978.91</v>
      </c>
      <c r="J9" s="1060">
        <v>2980.48</v>
      </c>
      <c r="K9" s="1060">
        <v>1336.54</v>
      </c>
      <c r="L9" s="1060">
        <v>49.03</v>
      </c>
      <c r="M9" s="1061">
        <f t="shared" si="0"/>
        <v>93057.409999999989</v>
      </c>
      <c r="N9" s="1062">
        <f t="shared" si="1"/>
        <v>2318.6199999999953</v>
      </c>
      <c r="O9" s="1063">
        <f t="shared" si="2"/>
        <v>2.49160168975259E-2</v>
      </c>
      <c r="P9" s="1062">
        <f t="shared" si="3"/>
        <v>92299.55</v>
      </c>
      <c r="Q9" s="1062"/>
      <c r="R9" s="1062">
        <f t="shared" si="4"/>
        <v>757.85999999998603</v>
      </c>
      <c r="S9" s="1062" t="str">
        <f t="shared" si="5"/>
        <v>SIM</v>
      </c>
    </row>
    <row r="10" spans="1:19" ht="13.5">
      <c r="A10" s="1440">
        <v>41435</v>
      </c>
      <c r="B10" s="1671"/>
      <c r="C10" s="1675"/>
      <c r="D10" s="1362"/>
      <c r="E10" s="1363"/>
      <c r="F10" s="1364">
        <v>6428.04</v>
      </c>
      <c r="G10" s="1060">
        <v>0</v>
      </c>
      <c r="H10" s="1060">
        <v>87537.78</v>
      </c>
      <c r="I10" s="1060">
        <v>2986.25</v>
      </c>
      <c r="J10" s="1060">
        <v>2987.82</v>
      </c>
      <c r="K10" s="1060">
        <v>1339.83</v>
      </c>
      <c r="L10" s="1060">
        <v>49.15</v>
      </c>
      <c r="M10" s="1061">
        <f t="shared" si="0"/>
        <v>94900.83</v>
      </c>
      <c r="N10" s="1062">
        <f t="shared" si="1"/>
        <v>1843.4200000000128</v>
      </c>
      <c r="O10" s="1063">
        <f t="shared" si="2"/>
        <v>1.9424698393048962E-2</v>
      </c>
      <c r="P10" s="1062">
        <f t="shared" si="3"/>
        <v>95376.029999999984</v>
      </c>
      <c r="Q10" s="1062"/>
      <c r="R10" s="1062">
        <f t="shared" si="4"/>
        <v>-475.19999999998254</v>
      </c>
      <c r="S10" s="1062" t="str">
        <f t="shared" si="5"/>
        <v>Não</v>
      </c>
    </row>
    <row r="11" spans="1:19" ht="13.5">
      <c r="A11" s="1440">
        <v>41465</v>
      </c>
      <c r="B11" s="1671"/>
      <c r="C11" s="1675"/>
      <c r="D11" s="1362"/>
      <c r="E11" s="1363"/>
      <c r="F11" s="1364">
        <v>6443.89</v>
      </c>
      <c r="G11" s="1060">
        <v>0</v>
      </c>
      <c r="H11" s="1060">
        <v>88780.28</v>
      </c>
      <c r="I11" s="1060">
        <v>2993.61</v>
      </c>
      <c r="J11" s="1060">
        <v>2995.18</v>
      </c>
      <c r="K11" s="1060">
        <v>1343.13</v>
      </c>
      <c r="L11" s="1060">
        <v>49.27</v>
      </c>
      <c r="M11" s="1061">
        <f t="shared" si="0"/>
        <v>96161.47</v>
      </c>
      <c r="N11" s="1062">
        <f t="shared" si="1"/>
        <v>1260.6399999999994</v>
      </c>
      <c r="O11" s="1063">
        <f t="shared" si="2"/>
        <v>1.310961656472181E-2</v>
      </c>
      <c r="P11" s="1062">
        <f t="shared" si="3"/>
        <v>96744.250000000015</v>
      </c>
      <c r="Q11" s="1062"/>
      <c r="R11" s="1062">
        <f t="shared" si="4"/>
        <v>-582.78000000001339</v>
      </c>
      <c r="S11" s="1062" t="str">
        <f t="shared" si="5"/>
        <v>Não</v>
      </c>
    </row>
    <row r="12" spans="1:19" ht="13.5">
      <c r="A12" s="1440">
        <v>41496</v>
      </c>
      <c r="B12" s="1671"/>
      <c r="C12" s="1675"/>
      <c r="D12" s="1362"/>
      <c r="E12" s="1363"/>
      <c r="F12" s="1364">
        <v>6461.12</v>
      </c>
      <c r="G12" s="1060">
        <v>0</v>
      </c>
      <c r="H12" s="1060">
        <v>91474.27</v>
      </c>
      <c r="I12" s="1060">
        <v>3001.61</v>
      </c>
      <c r="J12" s="1060">
        <v>3003.19</v>
      </c>
      <c r="K12" s="1060">
        <v>1346.72</v>
      </c>
      <c r="L12" s="1060">
        <v>49.4</v>
      </c>
      <c r="M12" s="1061">
        <f t="shared" si="0"/>
        <v>98875.19</v>
      </c>
      <c r="N12" s="1062">
        <f t="shared" si="1"/>
        <v>2713.7200000000012</v>
      </c>
      <c r="O12" s="1063">
        <f t="shared" si="2"/>
        <v>2.7445914389646189E-2</v>
      </c>
      <c r="P12" s="1062">
        <f t="shared" si="3"/>
        <v>97422.11</v>
      </c>
      <c r="Q12" s="1062"/>
      <c r="R12" s="1062">
        <f t="shared" si="4"/>
        <v>1453.0800000000017</v>
      </c>
      <c r="S12" s="1062" t="str">
        <f t="shared" si="5"/>
        <v>SIM</v>
      </c>
    </row>
    <row r="13" spans="1:19" ht="13.5">
      <c r="A13" s="1440">
        <v>41527</v>
      </c>
      <c r="B13" s="1671"/>
      <c r="C13" s="1675"/>
      <c r="D13" s="1362"/>
      <c r="E13" s="1363"/>
      <c r="F13" s="1364">
        <v>6477.05</v>
      </c>
      <c r="G13" s="1060">
        <v>0</v>
      </c>
      <c r="H13" s="1060">
        <v>92213.73</v>
      </c>
      <c r="I13" s="1060">
        <v>3009.01</v>
      </c>
      <c r="J13" s="1060">
        <v>3010.59</v>
      </c>
      <c r="K13" s="1060">
        <v>1350.04</v>
      </c>
      <c r="L13" s="1060">
        <v>49.52</v>
      </c>
      <c r="M13" s="1061">
        <f t="shared" si="0"/>
        <v>99632.889999999985</v>
      </c>
      <c r="N13" s="1062">
        <f t="shared" si="1"/>
        <v>757.69999999998254</v>
      </c>
      <c r="O13" s="1063">
        <f t="shared" si="2"/>
        <v>7.6049184159967921E-3</v>
      </c>
      <c r="P13" s="1062">
        <f t="shared" si="3"/>
        <v>101588.91</v>
      </c>
      <c r="Q13" s="1062"/>
      <c r="R13" s="1062">
        <f t="shared" si="4"/>
        <v>-1956.0200000000186</v>
      </c>
      <c r="S13" s="1062" t="str">
        <f t="shared" si="5"/>
        <v>Não</v>
      </c>
    </row>
    <row r="14" spans="1:19" ht="13.5">
      <c r="A14" s="1440">
        <v>41557</v>
      </c>
      <c r="B14" s="1671"/>
      <c r="C14" s="1675"/>
      <c r="D14" s="1362"/>
      <c r="E14" s="1363"/>
      <c r="F14" s="1364">
        <v>6477.05</v>
      </c>
      <c r="G14" s="1060">
        <v>0</v>
      </c>
      <c r="H14" s="1060">
        <v>92213.73</v>
      </c>
      <c r="I14" s="1060">
        <v>3009.01</v>
      </c>
      <c r="J14" s="1060">
        <v>3010.59</v>
      </c>
      <c r="K14" s="1060">
        <v>1350.04</v>
      </c>
      <c r="L14" s="1060">
        <v>49.52</v>
      </c>
      <c r="M14" s="1061">
        <f t="shared" si="0"/>
        <v>99632.889999999985</v>
      </c>
      <c r="N14" s="1062">
        <f t="shared" si="1"/>
        <v>0</v>
      </c>
      <c r="O14" s="1063">
        <f t="shared" si="2"/>
        <v>0</v>
      </c>
      <c r="P14" s="1062">
        <f t="shared" si="3"/>
        <v>100390.58999999997</v>
      </c>
      <c r="Q14" s="1062"/>
      <c r="R14" s="1062">
        <f t="shared" si="4"/>
        <v>-757.69999999998254</v>
      </c>
      <c r="S14" s="1062" t="str">
        <f t="shared" si="5"/>
        <v>Não</v>
      </c>
    </row>
    <row r="15" spans="1:19" ht="13.5">
      <c r="A15" s="1440">
        <v>41588</v>
      </c>
      <c r="B15" s="1671"/>
      <c r="C15" s="1675"/>
      <c r="D15" s="1362"/>
      <c r="E15" s="1363"/>
      <c r="F15" s="1364">
        <v>6515.53</v>
      </c>
      <c r="G15" s="1060">
        <v>0</v>
      </c>
      <c r="H15" s="1060">
        <v>94301.2</v>
      </c>
      <c r="I15" s="1060">
        <v>3026.88</v>
      </c>
      <c r="J15" s="1060">
        <v>3028.47</v>
      </c>
      <c r="K15" s="1060">
        <v>1358.05</v>
      </c>
      <c r="L15" s="1060">
        <v>49.8</v>
      </c>
      <c r="M15" s="1061">
        <f t="shared" si="0"/>
        <v>101764.40000000001</v>
      </c>
      <c r="N15" s="1062">
        <f t="shared" si="1"/>
        <v>2131.5100000000239</v>
      </c>
      <c r="O15" s="1063">
        <f t="shared" si="2"/>
        <v>2.0945536946122844E-2</v>
      </c>
      <c r="P15" s="1062">
        <f t="shared" si="3"/>
        <v>99632.889999999985</v>
      </c>
      <c r="Q15" s="1062"/>
      <c r="R15" s="1062">
        <f t="shared" si="4"/>
        <v>2131.5100000000239</v>
      </c>
      <c r="S15" s="1062" t="str">
        <f t="shared" si="5"/>
        <v>SIM</v>
      </c>
    </row>
    <row r="16" spans="1:19" ht="13.5">
      <c r="A16" s="1440">
        <v>41618</v>
      </c>
      <c r="B16" s="1671"/>
      <c r="C16" s="1675"/>
      <c r="D16" s="1362"/>
      <c r="E16" s="1363"/>
      <c r="F16" s="1364">
        <v>6532.94</v>
      </c>
      <c r="G16" s="1060">
        <v>0</v>
      </c>
      <c r="H16" s="1060">
        <v>95057.1</v>
      </c>
      <c r="I16" s="1060">
        <v>3034.97</v>
      </c>
      <c r="J16" s="1060">
        <v>3036.56</v>
      </c>
      <c r="K16" s="1060">
        <v>1361.68</v>
      </c>
      <c r="L16" s="1060">
        <v>49.93</v>
      </c>
      <c r="M16" s="1061">
        <f t="shared" si="0"/>
        <v>102540.23999999999</v>
      </c>
      <c r="N16" s="1062">
        <f t="shared" si="1"/>
        <v>775.83999999998196</v>
      </c>
      <c r="O16" s="1063">
        <f t="shared" si="2"/>
        <v>7.5662003521737619E-3</v>
      </c>
      <c r="P16" s="1062">
        <f t="shared" si="3"/>
        <v>103895.91000000003</v>
      </c>
      <c r="Q16" s="1062"/>
      <c r="R16" s="1062">
        <f t="shared" si="4"/>
        <v>-1355.6700000000419</v>
      </c>
      <c r="S16" s="1062" t="str">
        <f t="shared" si="5"/>
        <v>Não</v>
      </c>
    </row>
    <row r="17" spans="1:19" ht="13.5">
      <c r="A17" s="1442">
        <v>41649</v>
      </c>
      <c r="B17" s="1673"/>
      <c r="C17" s="1669"/>
      <c r="D17" s="1362"/>
      <c r="E17" s="1363"/>
      <c r="F17" s="1364">
        <v>6552.28</v>
      </c>
      <c r="G17" s="1060">
        <v>0</v>
      </c>
      <c r="H17" s="1060">
        <v>95842.54</v>
      </c>
      <c r="I17" s="1060">
        <v>3043.95</v>
      </c>
      <c r="J17" s="1060">
        <v>3045.55</v>
      </c>
      <c r="K17" s="1060">
        <v>1365.71</v>
      </c>
      <c r="L17" s="1060">
        <v>50.07</v>
      </c>
      <c r="M17" s="1061">
        <f t="shared" si="0"/>
        <v>103347.82</v>
      </c>
      <c r="N17" s="1062">
        <f t="shared" si="1"/>
        <v>807.5800000000163</v>
      </c>
      <c r="O17" s="1063">
        <f t="shared" si="2"/>
        <v>7.8141948228807948E-3</v>
      </c>
      <c r="P17" s="1062">
        <f t="shared" si="3"/>
        <v>103316.07999999997</v>
      </c>
      <c r="Q17" s="1062"/>
      <c r="R17" s="1062">
        <f t="shared" si="4"/>
        <v>31.740000000034343</v>
      </c>
      <c r="S17" s="1062" t="str">
        <f t="shared" si="5"/>
        <v>SIM</v>
      </c>
    </row>
    <row r="18" spans="1:19" ht="13.5">
      <c r="A18" s="1442">
        <v>41680</v>
      </c>
      <c r="B18" s="1673"/>
      <c r="C18" s="1669"/>
      <c r="D18" s="1362"/>
      <c r="E18" s="1363"/>
      <c r="F18" s="1364">
        <v>6575.83</v>
      </c>
      <c r="G18" s="1060">
        <v>0</v>
      </c>
      <c r="H18" s="1060">
        <v>97870.37</v>
      </c>
      <c r="I18" s="1060">
        <v>3054.89</v>
      </c>
      <c r="J18" s="1060">
        <v>3056.49</v>
      </c>
      <c r="K18" s="1060">
        <v>1370.61</v>
      </c>
      <c r="L18" s="1060">
        <v>50.25</v>
      </c>
      <c r="M18" s="1061">
        <f t="shared" si="0"/>
        <v>105402.61</v>
      </c>
      <c r="N18" s="1062">
        <f t="shared" si="1"/>
        <v>2054.7899999999936</v>
      </c>
      <c r="O18" s="1063">
        <f t="shared" si="2"/>
        <v>1.9494678547333825E-2</v>
      </c>
      <c r="P18" s="1062">
        <f t="shared" si="3"/>
        <v>104155.40000000002</v>
      </c>
      <c r="Q18" s="1062"/>
      <c r="R18" s="1062">
        <f t="shared" si="4"/>
        <v>1247.2099999999773</v>
      </c>
      <c r="S18" s="1062" t="str">
        <f t="shared" si="5"/>
        <v>SIM</v>
      </c>
    </row>
    <row r="19" spans="1:19" ht="13.5">
      <c r="A19" s="1442">
        <v>41830</v>
      </c>
      <c r="B19" s="1673"/>
      <c r="C19" s="1669"/>
      <c r="D19" s="1362"/>
      <c r="E19" s="1363"/>
      <c r="F19" s="1364">
        <v>6672.8</v>
      </c>
      <c r="G19" s="1060">
        <v>0</v>
      </c>
      <c r="H19" s="1060">
        <v>0</v>
      </c>
      <c r="I19" s="1060">
        <v>3099.93</v>
      </c>
      <c r="J19" s="1060">
        <v>3101.55</v>
      </c>
      <c r="K19" s="1060">
        <v>1390.8</v>
      </c>
      <c r="L19" s="1060">
        <v>50.96</v>
      </c>
      <c r="M19" s="1061">
        <f t="shared" si="0"/>
        <v>7643.24</v>
      </c>
      <c r="N19" s="1062">
        <f t="shared" si="1"/>
        <v>-97759.37</v>
      </c>
      <c r="O19" s="1063">
        <f t="shared" ref="O19:O25" si="6">IF(N19&lt;&gt;"",(N19/M19),"")</f>
        <v>-12.790304896876194</v>
      </c>
      <c r="P19" s="1062">
        <f t="shared" si="3"/>
        <v>107457.4</v>
      </c>
      <c r="Q19" s="1062"/>
      <c r="R19" s="1062">
        <f t="shared" si="4"/>
        <v>-99814.159999999989</v>
      </c>
      <c r="S19" s="1062" t="str">
        <f t="shared" si="5"/>
        <v>Não</v>
      </c>
    </row>
    <row r="20" spans="1:19" ht="13.5">
      <c r="A20" s="1442">
        <v>41861</v>
      </c>
      <c r="B20" s="1673"/>
      <c r="C20" s="1669"/>
      <c r="D20" s="1362"/>
      <c r="E20" s="1363"/>
      <c r="F20" s="1364">
        <v>6696.3</v>
      </c>
      <c r="G20" s="1060">
        <v>0</v>
      </c>
      <c r="H20" s="1060">
        <v>0</v>
      </c>
      <c r="I20" s="1060">
        <v>3110.84</v>
      </c>
      <c r="J20" s="1060">
        <v>3112.47</v>
      </c>
      <c r="K20" s="1060">
        <v>1395.69</v>
      </c>
      <c r="L20" s="1060">
        <v>51.13</v>
      </c>
      <c r="M20" s="1061">
        <f t="shared" si="0"/>
        <v>7670.13</v>
      </c>
      <c r="N20" s="1062">
        <f t="shared" si="1"/>
        <v>26.890000000000327</v>
      </c>
      <c r="O20" s="1063">
        <f t="shared" si="6"/>
        <v>3.5058075938739406E-3</v>
      </c>
      <c r="P20" s="1062">
        <f t="shared" si="3"/>
        <v>-90116.12999999999</v>
      </c>
      <c r="Q20" s="1062"/>
      <c r="R20" s="1062">
        <f t="shared" si="4"/>
        <v>97786.26</v>
      </c>
      <c r="S20" s="1062" t="str">
        <f t="shared" si="5"/>
        <v>SIM</v>
      </c>
    </row>
    <row r="21" spans="1:19" ht="13.5">
      <c r="A21" s="1440">
        <v>41922</v>
      </c>
      <c r="B21" s="1671"/>
      <c r="C21" s="1675"/>
      <c r="D21" s="1362"/>
      <c r="E21" s="1363"/>
      <c r="F21" s="1364">
        <v>6739.29</v>
      </c>
      <c r="G21" s="1060">
        <v>0</v>
      </c>
      <c r="H21" s="1060">
        <v>0</v>
      </c>
      <c r="I21" s="1060">
        <v>3130.8</v>
      </c>
      <c r="J21" s="1060">
        <v>3132.45</v>
      </c>
      <c r="K21" s="1060">
        <v>1404.64</v>
      </c>
      <c r="L21" s="1060">
        <v>51.45</v>
      </c>
      <c r="M21" s="1061">
        <f t="shared" si="0"/>
        <v>7719.34</v>
      </c>
      <c r="N21" s="1062">
        <f t="shared" ref="N21:N30" si="7">IF(M21&lt;&gt;0,M21-M20,"")</f>
        <v>49.210000000000036</v>
      </c>
      <c r="O21" s="1063">
        <f t="shared" si="6"/>
        <v>6.3748973357825971E-3</v>
      </c>
      <c r="P21" s="1062">
        <f t="shared" si="3"/>
        <v>7697.02</v>
      </c>
      <c r="Q21" s="1062"/>
      <c r="R21" s="1062">
        <f t="shared" si="4"/>
        <v>22.319999999999709</v>
      </c>
      <c r="S21" s="1062" t="str">
        <f t="shared" si="5"/>
        <v>SIM</v>
      </c>
    </row>
    <row r="22" spans="1:19" ht="13.5">
      <c r="A22" s="1440">
        <v>41983</v>
      </c>
      <c r="B22" s="1671"/>
      <c r="C22" s="1675"/>
      <c r="D22" s="1362"/>
      <c r="E22" s="1363"/>
      <c r="F22" s="1364">
        <v>6782.86</v>
      </c>
      <c r="G22" s="1060">
        <v>0</v>
      </c>
      <c r="H22" s="1060">
        <v>0</v>
      </c>
      <c r="I22" s="1060">
        <v>3151.03</v>
      </c>
      <c r="J22" s="1060">
        <v>3152.7</v>
      </c>
      <c r="K22" s="1060">
        <v>1413.71</v>
      </c>
      <c r="L22" s="1060">
        <v>51.78</v>
      </c>
      <c r="M22" s="1061">
        <f t="shared" si="0"/>
        <v>7769.2199999999993</v>
      </c>
      <c r="N22" s="1062">
        <f t="shared" si="7"/>
        <v>49.8799999999992</v>
      </c>
      <c r="O22" s="1063">
        <f t="shared" si="6"/>
        <v>6.4202069190985971E-3</v>
      </c>
      <c r="P22" s="1062">
        <f t="shared" si="3"/>
        <v>7768.55</v>
      </c>
      <c r="Q22" s="1062"/>
      <c r="R22" s="1062">
        <f t="shared" si="4"/>
        <v>0.66999999999916326</v>
      </c>
      <c r="S22" s="1062" t="str">
        <f t="shared" si="5"/>
        <v>SIM</v>
      </c>
    </row>
    <row r="23" spans="1:19" ht="13.5">
      <c r="A23" s="1440">
        <v>42045</v>
      </c>
      <c r="B23" s="1671"/>
      <c r="C23" s="1675"/>
      <c r="D23" s="1362"/>
      <c r="E23" s="1363"/>
      <c r="F23" s="1364">
        <v>6829.51</v>
      </c>
      <c r="G23" s="1060">
        <v>0</v>
      </c>
      <c r="H23" s="1060">
        <v>1231.0999999999999</v>
      </c>
      <c r="I23" s="1060">
        <v>3172.7</v>
      </c>
      <c r="J23" s="1060">
        <v>3174.38</v>
      </c>
      <c r="K23" s="1060">
        <v>1423.42</v>
      </c>
      <c r="L23" s="1060">
        <v>52.13</v>
      </c>
      <c r="M23" s="1061">
        <f t="shared" si="0"/>
        <v>9053.7299999999977</v>
      </c>
      <c r="N23" s="1062">
        <f t="shared" si="7"/>
        <v>1284.5099999999984</v>
      </c>
      <c r="O23" s="1063">
        <f t="shared" si="6"/>
        <v>0.14187633163348132</v>
      </c>
      <c r="P23" s="1062">
        <f t="shared" si="3"/>
        <v>7819.0999999999985</v>
      </c>
      <c r="Q23" s="1062"/>
      <c r="R23" s="1062">
        <f t="shared" si="4"/>
        <v>1234.6299999999992</v>
      </c>
      <c r="S23" s="1062" t="str">
        <f t="shared" si="5"/>
        <v>SIM</v>
      </c>
    </row>
    <row r="24" spans="1:19" ht="13.5">
      <c r="A24" s="1440">
        <v>42073</v>
      </c>
      <c r="B24" s="1671"/>
      <c r="C24" s="1675"/>
      <c r="D24" s="1362"/>
      <c r="E24" s="1363"/>
      <c r="F24" s="1364">
        <v>6847.49</v>
      </c>
      <c r="G24" s="1060">
        <v>0</v>
      </c>
      <c r="H24" s="1060">
        <v>1234.3399999999999</v>
      </c>
      <c r="I24" s="1060">
        <v>3181.05</v>
      </c>
      <c r="J24" s="1060">
        <v>3182.74</v>
      </c>
      <c r="K24" s="1060">
        <v>1427.16</v>
      </c>
      <c r="L24" s="1060">
        <v>52.26</v>
      </c>
      <c r="M24" s="1061">
        <f t="shared" si="0"/>
        <v>9077.5500000000011</v>
      </c>
      <c r="N24" s="1062">
        <f t="shared" si="7"/>
        <v>23.820000000003347</v>
      </c>
      <c r="O24" s="1063">
        <f t="shared" si="6"/>
        <v>2.6240560503663812E-3</v>
      </c>
      <c r="P24" s="1062">
        <f t="shared" si="3"/>
        <v>10338.239999999996</v>
      </c>
      <c r="Q24" s="1062"/>
      <c r="R24" s="1062">
        <f t="shared" si="4"/>
        <v>-1260.6899999999951</v>
      </c>
      <c r="S24" s="1062" t="str">
        <f t="shared" si="5"/>
        <v>Não</v>
      </c>
    </row>
    <row r="25" spans="1:19" ht="13.5">
      <c r="A25" s="1440">
        <v>42104</v>
      </c>
      <c r="B25" s="1671"/>
      <c r="C25" s="1675"/>
      <c r="D25" s="1362"/>
      <c r="E25" s="1363"/>
      <c r="F25" s="1364">
        <v>6873.27</v>
      </c>
      <c r="G25" s="1060">
        <v>626.39</v>
      </c>
      <c r="H25" s="1060">
        <v>1238.98</v>
      </c>
      <c r="I25" s="1060">
        <v>3193.02</v>
      </c>
      <c r="J25" s="1060">
        <v>3194.72</v>
      </c>
      <c r="K25" s="1060">
        <v>1432.53</v>
      </c>
      <c r="L25" s="1060">
        <v>52.45</v>
      </c>
      <c r="M25" s="1061">
        <f t="shared" ref="M25:M56" si="8">SUM(G25:L25)</f>
        <v>9738.09</v>
      </c>
      <c r="N25" s="1062">
        <f t="shared" si="7"/>
        <v>660.53999999999905</v>
      </c>
      <c r="O25" s="1063">
        <f t="shared" si="6"/>
        <v>6.783054993330305E-2</v>
      </c>
      <c r="P25" s="1062">
        <f t="shared" si="3"/>
        <v>9101.3700000000044</v>
      </c>
      <c r="Q25" s="1062"/>
      <c r="R25" s="1062">
        <f t="shared" si="4"/>
        <v>636.71999999999571</v>
      </c>
      <c r="S25" s="1062" t="str">
        <f t="shared" si="5"/>
        <v>SIM</v>
      </c>
    </row>
    <row r="26" spans="1:19" ht="13.5">
      <c r="A26" s="1440">
        <v>42134</v>
      </c>
      <c r="B26" s="1671"/>
      <c r="C26" s="1675"/>
      <c r="D26" s="1362"/>
      <c r="E26" s="1363"/>
      <c r="F26" s="1364">
        <v>6897.61</v>
      </c>
      <c r="G26" s="1060">
        <v>1276.6099999999999</v>
      </c>
      <c r="H26" s="1060">
        <v>1243.3599999999999</v>
      </c>
      <c r="I26" s="1060">
        <v>3204.32</v>
      </c>
      <c r="J26" s="1060">
        <v>3206.03</v>
      </c>
      <c r="K26" s="1060">
        <v>1437.6</v>
      </c>
      <c r="L26" s="1060">
        <v>52.63</v>
      </c>
      <c r="M26" s="1061">
        <f t="shared" si="8"/>
        <v>10420.549999999999</v>
      </c>
      <c r="N26" s="1062">
        <f t="shared" si="7"/>
        <v>682.45999999999913</v>
      </c>
      <c r="O26" s="1063">
        <f t="shared" ref="O26:O33" si="9">IF(N26&lt;&gt;"",(N26/M26),"")</f>
        <v>6.5491744677584118E-2</v>
      </c>
      <c r="P26" s="1062">
        <f t="shared" si="3"/>
        <v>10398.629999999999</v>
      </c>
      <c r="Q26" s="1062"/>
      <c r="R26" s="1062">
        <f t="shared" si="4"/>
        <v>21.920000000000073</v>
      </c>
      <c r="S26" s="1062" t="str">
        <f t="shared" si="5"/>
        <v>SIM</v>
      </c>
    </row>
    <row r="27" spans="1:19" ht="13.5">
      <c r="A27" s="1440">
        <v>42165</v>
      </c>
      <c r="B27" s="1671"/>
      <c r="C27" s="1675"/>
      <c r="D27" s="1362"/>
      <c r="E27" s="1363"/>
      <c r="F27" s="1364">
        <v>6922.59</v>
      </c>
      <c r="G27" s="1060">
        <v>2482.0500000000002</v>
      </c>
      <c r="H27" s="1060">
        <v>1247.8599999999999</v>
      </c>
      <c r="I27" s="1060">
        <v>3215.92</v>
      </c>
      <c r="J27" s="1060">
        <v>3217.64</v>
      </c>
      <c r="K27" s="1060">
        <v>1442.8</v>
      </c>
      <c r="L27" s="1060">
        <v>52.82</v>
      </c>
      <c r="M27" s="1061">
        <f t="shared" si="8"/>
        <v>11659.089999999998</v>
      </c>
      <c r="N27" s="1062">
        <f t="shared" si="7"/>
        <v>1238.5399999999991</v>
      </c>
      <c r="O27" s="1063">
        <f t="shared" si="9"/>
        <v>0.10622955993992664</v>
      </c>
      <c r="P27" s="1062">
        <f t="shared" si="3"/>
        <v>11103.009999999998</v>
      </c>
      <c r="Q27" s="1062"/>
      <c r="R27" s="1062">
        <f t="shared" si="4"/>
        <v>556.07999999999993</v>
      </c>
      <c r="S27" s="1062" t="str">
        <f t="shared" si="5"/>
        <v>SIM</v>
      </c>
    </row>
    <row r="28" spans="1:19" ht="13.5">
      <c r="A28" s="1440">
        <v>42195</v>
      </c>
      <c r="B28" s="1671"/>
      <c r="C28" s="1675"/>
      <c r="D28" s="1362"/>
      <c r="E28" s="1363"/>
      <c r="F28" s="1364">
        <v>6952.23</v>
      </c>
      <c r="G28" s="1060">
        <v>3433.72</v>
      </c>
      <c r="H28" s="1060">
        <v>1253.2</v>
      </c>
      <c r="I28" s="1060">
        <v>3229.69</v>
      </c>
      <c r="J28" s="1060">
        <v>3231.42</v>
      </c>
      <c r="K28" s="1060">
        <v>1448.97</v>
      </c>
      <c r="L28" s="1060">
        <v>53.04</v>
      </c>
      <c r="M28" s="1061">
        <f t="shared" si="8"/>
        <v>12650.04</v>
      </c>
      <c r="N28" s="1062">
        <f>IF(M28&lt;&gt;0,M28-M27,"")</f>
        <v>990.95000000000255</v>
      </c>
      <c r="O28" s="1063">
        <f t="shared" si="9"/>
        <v>7.8335720677563267E-2</v>
      </c>
      <c r="P28" s="1062">
        <f t="shared" si="3"/>
        <v>12897.629999999997</v>
      </c>
      <c r="Q28" s="1062"/>
      <c r="R28" s="1062">
        <f t="shared" si="4"/>
        <v>-247.58999999999651</v>
      </c>
      <c r="S28" s="1062" t="str">
        <f t="shared" si="5"/>
        <v>Não</v>
      </c>
    </row>
    <row r="29" spans="1:19" ht="13.5">
      <c r="A29" s="1440">
        <v>42226</v>
      </c>
      <c r="B29" s="1671"/>
      <c r="C29" s="1675"/>
      <c r="D29" s="1362"/>
      <c r="E29" s="1363"/>
      <c r="F29" s="1364">
        <v>6985.43</v>
      </c>
      <c r="G29" s="1060">
        <v>5202.7299999999996</v>
      </c>
      <c r="H29" s="1060">
        <v>1259.18</v>
      </c>
      <c r="I29" s="1060">
        <v>3245.11</v>
      </c>
      <c r="J29" s="1060">
        <v>3246.85</v>
      </c>
      <c r="K29" s="1060">
        <v>1455.89</v>
      </c>
      <c r="L29" s="1060">
        <v>53.29</v>
      </c>
      <c r="M29" s="1061">
        <f t="shared" si="8"/>
        <v>14463.050000000001</v>
      </c>
      <c r="N29" s="1062">
        <f t="shared" si="7"/>
        <v>1813.0100000000002</v>
      </c>
      <c r="O29" s="1063">
        <f t="shared" si="9"/>
        <v>0.12535461054203645</v>
      </c>
      <c r="P29" s="1062">
        <f t="shared" si="3"/>
        <v>13640.990000000003</v>
      </c>
      <c r="Q29" s="1062"/>
      <c r="R29" s="1062">
        <f t="shared" si="4"/>
        <v>822.05999999999767</v>
      </c>
      <c r="S29" s="1062" t="str">
        <f t="shared" si="5"/>
        <v>SIM</v>
      </c>
    </row>
    <row r="30" spans="1:19" ht="13.5">
      <c r="A30" s="1440">
        <v>42257</v>
      </c>
      <c r="B30" s="1671"/>
      <c r="C30" s="1675"/>
      <c r="D30" s="1362"/>
      <c r="E30" s="1363"/>
      <c r="F30" s="1364">
        <v>7015.72</v>
      </c>
      <c r="G30" s="1060">
        <v>6452.04</v>
      </c>
      <c r="H30" s="1060">
        <v>1264.6400000000001</v>
      </c>
      <c r="I30" s="1060">
        <v>3259.18</v>
      </c>
      <c r="J30" s="1060">
        <v>3260.93</v>
      </c>
      <c r="K30" s="1060">
        <v>1462.2</v>
      </c>
      <c r="L30" s="1060">
        <v>53.52</v>
      </c>
      <c r="M30" s="1061">
        <f t="shared" si="8"/>
        <v>15752.510000000002</v>
      </c>
      <c r="N30" s="1062">
        <f t="shared" si="7"/>
        <v>1289.4600000000009</v>
      </c>
      <c r="O30" s="1063">
        <f t="shared" si="9"/>
        <v>8.1857430974492371E-2</v>
      </c>
      <c r="P30" s="1062">
        <f t="shared" si="3"/>
        <v>16276.060000000001</v>
      </c>
      <c r="Q30" s="1062"/>
      <c r="R30" s="1062">
        <f t="shared" si="4"/>
        <v>-523.54999999999927</v>
      </c>
      <c r="S30" s="1062" t="str">
        <f t="shared" si="5"/>
        <v>Não</v>
      </c>
    </row>
    <row r="31" spans="1:19" ht="13.5">
      <c r="A31" s="1440">
        <v>42287</v>
      </c>
      <c r="B31" s="1671"/>
      <c r="C31" s="1675"/>
      <c r="D31" s="1362"/>
      <c r="E31" s="1363"/>
      <c r="F31" s="1364">
        <v>7046.51</v>
      </c>
      <c r="G31" s="1060">
        <v>7653.62</v>
      </c>
      <c r="H31" s="1060">
        <v>1270.19</v>
      </c>
      <c r="I31" s="1060">
        <v>3273.48</v>
      </c>
      <c r="J31" s="1060">
        <v>3275.24</v>
      </c>
      <c r="K31" s="1060">
        <v>1468.61</v>
      </c>
      <c r="L31" s="1060">
        <v>53.75</v>
      </c>
      <c r="M31" s="1061">
        <f t="shared" si="8"/>
        <v>16994.89</v>
      </c>
      <c r="N31" s="1062">
        <f>IF(M31&lt;&gt;0,M31-M30,"")</f>
        <v>1242.3799999999974</v>
      </c>
      <c r="O31" s="1063">
        <f t="shared" si="9"/>
        <v>7.3103150417566543E-2</v>
      </c>
      <c r="P31" s="1062">
        <f t="shared" si="3"/>
        <v>17041.97</v>
      </c>
      <c r="Q31" s="1062"/>
      <c r="R31" s="1062">
        <f t="shared" si="4"/>
        <v>-47.080000000001746</v>
      </c>
      <c r="S31" s="1062" t="str">
        <f t="shared" si="5"/>
        <v>Não</v>
      </c>
    </row>
    <row r="32" spans="1:19" ht="13.5">
      <c r="A32" s="1440">
        <v>42318</v>
      </c>
      <c r="B32" s="1671"/>
      <c r="C32" s="1675"/>
      <c r="D32" s="1362"/>
      <c r="E32" s="1363"/>
      <c r="F32" s="1364">
        <v>7076.52</v>
      </c>
      <c r="G32" s="1060">
        <v>8830.1299999999992</v>
      </c>
      <c r="H32" s="1060">
        <v>1275.5999999999999</v>
      </c>
      <c r="I32" s="1060">
        <v>3287.42</v>
      </c>
      <c r="J32" s="1060">
        <v>3289.19</v>
      </c>
      <c r="K32" s="1060">
        <v>1474.86</v>
      </c>
      <c r="L32" s="1060">
        <v>53.97</v>
      </c>
      <c r="M32" s="1061">
        <f t="shared" si="8"/>
        <v>18211.170000000002</v>
      </c>
      <c r="N32" s="1062">
        <f>IF(M32&lt;&gt;0,M32-M31,"")</f>
        <v>1216.2800000000025</v>
      </c>
      <c r="O32" s="1063">
        <f t="shared" si="9"/>
        <v>6.6787581467857488E-2</v>
      </c>
      <c r="P32" s="1062">
        <f t="shared" si="3"/>
        <v>18237.269999999997</v>
      </c>
      <c r="Q32" s="1062"/>
      <c r="R32" s="1062">
        <f t="shared" si="4"/>
        <v>-26.099999999994907</v>
      </c>
      <c r="S32" s="1062" t="str">
        <f t="shared" si="5"/>
        <v>Não</v>
      </c>
    </row>
    <row r="33" spans="1:19" ht="13.5">
      <c r="A33" s="1440">
        <v>42348</v>
      </c>
      <c r="B33" s="1671"/>
      <c r="C33" s="1675"/>
      <c r="D33" s="1362"/>
      <c r="E33" s="1363"/>
      <c r="F33" s="1364">
        <v>7103.17</v>
      </c>
      <c r="G33" s="1060">
        <v>10094.799999999999</v>
      </c>
      <c r="H33" s="1060">
        <v>1280.4000000000001</v>
      </c>
      <c r="I33" s="1060">
        <v>3299.8</v>
      </c>
      <c r="J33" s="1060">
        <v>3301.57</v>
      </c>
      <c r="K33" s="1060">
        <v>1480.41</v>
      </c>
      <c r="L33" s="1060">
        <v>54.17</v>
      </c>
      <c r="M33" s="1061">
        <f t="shared" si="8"/>
        <v>19511.149999999998</v>
      </c>
      <c r="N33" s="1062">
        <f>IF(M33&lt;&gt;0,M33-M32,"")</f>
        <v>1299.9799999999959</v>
      </c>
      <c r="O33" s="1063">
        <f t="shared" si="9"/>
        <v>6.6627543737811254E-2</v>
      </c>
      <c r="P33" s="1062">
        <f t="shared" si="3"/>
        <v>19427.450000000004</v>
      </c>
      <c r="Q33" s="1062"/>
      <c r="R33" s="1062">
        <f t="shared" si="4"/>
        <v>83.699999999993452</v>
      </c>
      <c r="S33" s="1062" t="str">
        <f t="shared" si="5"/>
        <v>SIM</v>
      </c>
    </row>
    <row r="34" spans="1:19" ht="13.5">
      <c r="A34" s="1442">
        <v>42379</v>
      </c>
      <c r="B34" s="1673"/>
      <c r="C34" s="1669"/>
      <c r="D34" s="1362"/>
      <c r="E34" s="1363"/>
      <c r="F34" s="1364">
        <v>7136.7</v>
      </c>
      <c r="G34" s="1060">
        <v>11922.27</v>
      </c>
      <c r="H34" s="1060">
        <v>1286.44</v>
      </c>
      <c r="I34" s="1060">
        <v>3315.37</v>
      </c>
      <c r="J34" s="1060">
        <v>3317.15</v>
      </c>
      <c r="K34" s="1060">
        <v>1487.39</v>
      </c>
      <c r="L34" s="1060">
        <v>54.42</v>
      </c>
      <c r="M34" s="1061">
        <f t="shared" si="8"/>
        <v>21383.040000000001</v>
      </c>
      <c r="N34" s="1062">
        <f>IF(M34&lt;&gt;0,M34-M33,"")</f>
        <v>1871.8900000000031</v>
      </c>
      <c r="O34" s="1063">
        <f>IF(N34&lt;&gt;"",(N34/M34),"")</f>
        <v>8.7540873514710862E-2</v>
      </c>
      <c r="P34" s="1062">
        <f t="shared" si="3"/>
        <v>20811.129999999994</v>
      </c>
      <c r="Q34" s="1062"/>
      <c r="R34" s="1062">
        <f t="shared" si="4"/>
        <v>571.91000000000713</v>
      </c>
      <c r="S34" s="1062" t="str">
        <f t="shared" si="5"/>
        <v>SIM</v>
      </c>
    </row>
    <row r="35" spans="1:19" ht="13.5">
      <c r="A35" s="1440">
        <v>42410</v>
      </c>
      <c r="B35" s="1671"/>
      <c r="C35" s="1675"/>
      <c r="D35" s="1362"/>
      <c r="E35" s="1363"/>
      <c r="F35" s="1364">
        <v>7163.74</v>
      </c>
      <c r="G35" s="1060">
        <v>12864.11</v>
      </c>
      <c r="H35" s="1060">
        <v>1291.31</v>
      </c>
      <c r="I35" s="1060">
        <v>3327.93</v>
      </c>
      <c r="J35" s="1060">
        <v>3329.71</v>
      </c>
      <c r="K35" s="1060">
        <v>1493.02</v>
      </c>
      <c r="L35" s="1060">
        <v>54.62</v>
      </c>
      <c r="M35" s="1061">
        <f t="shared" si="8"/>
        <v>22360.699999999997</v>
      </c>
      <c r="N35" s="1062">
        <f t="shared" ref="N35:N49" si="10">IF(M35&lt;&gt;0,M35-M34,"")</f>
        <v>977.65999999999622</v>
      </c>
      <c r="O35" s="1063">
        <f t="shared" ref="O35:O45" si="11">IF(N35&lt;&gt;"",(N35/M35),"")</f>
        <v>4.3722244831333384E-2</v>
      </c>
      <c r="P35" s="1062">
        <f t="shared" si="3"/>
        <v>23254.930000000004</v>
      </c>
      <c r="Q35" s="1062"/>
      <c r="R35" s="1062">
        <f t="shared" si="4"/>
        <v>-894.23000000000684</v>
      </c>
      <c r="S35" s="1062" t="str">
        <f t="shared" si="5"/>
        <v>Não</v>
      </c>
    </row>
    <row r="36" spans="1:19" ht="13.5">
      <c r="A36" s="1440">
        <v>42439</v>
      </c>
      <c r="B36" s="1671"/>
      <c r="C36" s="1675"/>
      <c r="D36" s="1362"/>
      <c r="E36" s="1363"/>
      <c r="F36" s="1364">
        <v>7188.27</v>
      </c>
      <c r="G36" s="1060">
        <v>13665.53</v>
      </c>
      <c r="H36" s="1060">
        <v>1295.73</v>
      </c>
      <c r="I36" s="1060">
        <v>3339.32</v>
      </c>
      <c r="J36" s="1060">
        <v>3341.11</v>
      </c>
      <c r="K36" s="1060">
        <v>1498.13</v>
      </c>
      <c r="L36" s="1060">
        <v>54.8</v>
      </c>
      <c r="M36" s="1061">
        <f t="shared" si="8"/>
        <v>23194.620000000003</v>
      </c>
      <c r="N36" s="1062">
        <f t="shared" si="10"/>
        <v>833.92000000000553</v>
      </c>
      <c r="O36" s="1063">
        <f t="shared" si="11"/>
        <v>3.5953165001194477E-2</v>
      </c>
      <c r="P36" s="1062">
        <f t="shared" ref="P36:P67" si="12">IF(N35&lt;&gt;"",M35+N35,"")</f>
        <v>23338.359999999993</v>
      </c>
      <c r="Q36" s="1062"/>
      <c r="R36" s="1062">
        <f t="shared" ref="R36:R67" si="13">IF(M36&gt;0,M36-P36,"")</f>
        <v>-143.73999999999069</v>
      </c>
      <c r="S36" s="1062" t="str">
        <f t="shared" ref="S36:S67" si="14">IF(M36&gt;=P36,"SIM","Não")</f>
        <v>Não</v>
      </c>
    </row>
    <row r="37" spans="1:19" ht="13.5">
      <c r="A37" s="1440">
        <v>42470</v>
      </c>
      <c r="B37" s="1671"/>
      <c r="C37" s="1675"/>
      <c r="D37" s="1362"/>
      <c r="E37" s="1363"/>
      <c r="F37" s="1364">
        <v>7221.61</v>
      </c>
      <c r="G37" s="1060">
        <v>15489.21</v>
      </c>
      <c r="H37" s="1060">
        <v>1301.74</v>
      </c>
      <c r="I37" s="1060">
        <v>3354.81</v>
      </c>
      <c r="J37" s="1060">
        <v>3356.6</v>
      </c>
      <c r="K37" s="1060">
        <v>1505.07</v>
      </c>
      <c r="L37" s="1060">
        <v>55.05</v>
      </c>
      <c r="M37" s="1061">
        <f t="shared" si="8"/>
        <v>25062.48</v>
      </c>
      <c r="N37" s="1062">
        <f t="shared" si="10"/>
        <v>1867.8599999999969</v>
      </c>
      <c r="O37" s="1063">
        <f t="shared" si="11"/>
        <v>7.4528139274325486E-2</v>
      </c>
      <c r="P37" s="1062">
        <f t="shared" si="12"/>
        <v>24028.540000000008</v>
      </c>
      <c r="Q37" s="1062"/>
      <c r="R37" s="1062">
        <f t="shared" si="13"/>
        <v>1033.9399999999914</v>
      </c>
      <c r="S37" s="1062" t="str">
        <f t="shared" si="14"/>
        <v>SIM</v>
      </c>
    </row>
    <row r="38" spans="1:19" ht="13.5">
      <c r="A38" s="1440">
        <v>42500</v>
      </c>
      <c r="B38" s="1671"/>
      <c r="C38" s="1675"/>
      <c r="D38" s="1362"/>
      <c r="E38" s="1363"/>
      <c r="F38" s="1364">
        <v>7277.86</v>
      </c>
      <c r="G38" s="1060">
        <v>15547.65</v>
      </c>
      <c r="H38" s="1060">
        <v>1306.6500000000001</v>
      </c>
      <c r="I38" s="1060">
        <v>3380.93</v>
      </c>
      <c r="J38" s="1060">
        <v>3382.74</v>
      </c>
      <c r="K38" s="1060">
        <v>1516.78</v>
      </c>
      <c r="L38" s="1060">
        <v>55.47</v>
      </c>
      <c r="M38" s="1061">
        <f t="shared" si="8"/>
        <v>25190.22</v>
      </c>
      <c r="N38" s="1062">
        <f t="shared" si="10"/>
        <v>127.7400000000016</v>
      </c>
      <c r="O38" s="1063">
        <f t="shared" si="11"/>
        <v>5.0710156560761117E-3</v>
      </c>
      <c r="P38" s="1062">
        <f t="shared" si="12"/>
        <v>26930.339999999997</v>
      </c>
      <c r="Q38" s="1062"/>
      <c r="R38" s="1062">
        <f t="shared" si="13"/>
        <v>-1740.1199999999953</v>
      </c>
      <c r="S38" s="1062" t="str">
        <f t="shared" si="14"/>
        <v>Não</v>
      </c>
    </row>
    <row r="39" spans="1:19" ht="13.5">
      <c r="A39" s="1440">
        <v>42531</v>
      </c>
      <c r="B39" s="1671"/>
      <c r="C39" s="1675"/>
      <c r="D39" s="1362"/>
      <c r="E39" s="1363"/>
      <c r="F39" s="1364">
        <v>7277.86</v>
      </c>
      <c r="G39" s="1060">
        <v>18058.77</v>
      </c>
      <c r="H39" s="1060">
        <v>1311.88</v>
      </c>
      <c r="I39" s="1060">
        <v>3380.93</v>
      </c>
      <c r="J39" s="1060">
        <v>3382.74</v>
      </c>
      <c r="K39" s="1060">
        <v>1516.78</v>
      </c>
      <c r="L39" s="1060">
        <v>55.47</v>
      </c>
      <c r="M39" s="1061">
        <f t="shared" si="8"/>
        <v>27706.57</v>
      </c>
      <c r="N39" s="1062">
        <f>IF(M39&lt;&gt;0,M39-M38,"")</f>
        <v>2516.3499999999985</v>
      </c>
      <c r="O39" s="1063">
        <f t="shared" si="11"/>
        <v>9.0821418890898384E-2</v>
      </c>
      <c r="P39" s="1062">
        <f t="shared" si="12"/>
        <v>25317.960000000003</v>
      </c>
      <c r="Q39" s="1062"/>
      <c r="R39" s="1062">
        <f t="shared" si="13"/>
        <v>2388.6099999999969</v>
      </c>
      <c r="S39" s="1062" t="str">
        <f t="shared" si="14"/>
        <v>SIM</v>
      </c>
    </row>
    <row r="40" spans="1:19" ht="13.5">
      <c r="A40" s="1440">
        <v>42561</v>
      </c>
      <c r="B40" s="1671"/>
      <c r="C40" s="1675"/>
      <c r="D40" s="1362"/>
      <c r="E40" s="1363"/>
      <c r="F40" s="1364">
        <v>7310.71</v>
      </c>
      <c r="G40" s="1060">
        <v>19475.63</v>
      </c>
      <c r="H40" s="1060">
        <v>1317.8</v>
      </c>
      <c r="I40" s="1060">
        <v>3396.19</v>
      </c>
      <c r="J40" s="1060">
        <v>3398</v>
      </c>
      <c r="K40" s="1060">
        <v>1523.62</v>
      </c>
      <c r="L40" s="1060">
        <v>55.72</v>
      </c>
      <c r="M40" s="1061">
        <f t="shared" si="8"/>
        <v>29166.959999999999</v>
      </c>
      <c r="N40" s="1062">
        <f t="shared" si="10"/>
        <v>1460.3899999999994</v>
      </c>
      <c r="O40" s="1063">
        <f t="shared" si="11"/>
        <v>5.007001072446355E-2</v>
      </c>
      <c r="P40" s="1062">
        <f t="shared" si="12"/>
        <v>30222.92</v>
      </c>
      <c r="Q40" s="1062"/>
      <c r="R40" s="1062">
        <f t="shared" si="13"/>
        <v>-1055.9599999999991</v>
      </c>
      <c r="S40" s="1062" t="str">
        <f t="shared" si="14"/>
        <v>Não</v>
      </c>
    </row>
    <row r="41" spans="1:19" ht="13.5">
      <c r="A41" s="1440">
        <v>42592</v>
      </c>
      <c r="B41" s="1671"/>
      <c r="C41" s="1675"/>
      <c r="D41" s="1362"/>
      <c r="E41" s="1363"/>
      <c r="F41" s="1364">
        <v>7340.61</v>
      </c>
      <c r="G41" s="1060">
        <v>20855.509999999998</v>
      </c>
      <c r="H41" s="1060">
        <v>1323.19</v>
      </c>
      <c r="I41" s="1060">
        <v>3410.08</v>
      </c>
      <c r="J41" s="1060">
        <v>3411.9</v>
      </c>
      <c r="K41" s="1060">
        <v>1529.85</v>
      </c>
      <c r="L41" s="1060">
        <v>55.94</v>
      </c>
      <c r="M41" s="1061">
        <f t="shared" si="8"/>
        <v>30586.469999999998</v>
      </c>
      <c r="N41" s="1062">
        <f t="shared" si="10"/>
        <v>1419.5099999999984</v>
      </c>
      <c r="O41" s="1063">
        <f t="shared" si="11"/>
        <v>4.640973606957581E-2</v>
      </c>
      <c r="P41" s="1062">
        <f t="shared" si="12"/>
        <v>30627.35</v>
      </c>
      <c r="Q41" s="1062"/>
      <c r="R41" s="1062">
        <f t="shared" si="13"/>
        <v>-40.880000000001019</v>
      </c>
      <c r="S41" s="1062" t="str">
        <f t="shared" si="14"/>
        <v>Não</v>
      </c>
    </row>
    <row r="42" spans="1:19" ht="13.5">
      <c r="A42" s="1440">
        <v>42623</v>
      </c>
      <c r="B42" s="1671"/>
      <c r="C42" s="1675"/>
      <c r="D42" s="1362"/>
      <c r="E42" s="1363"/>
      <c r="F42" s="1364">
        <v>7377.43</v>
      </c>
      <c r="G42" s="1060">
        <v>21994</v>
      </c>
      <c r="H42" s="1060">
        <v>1329.82</v>
      </c>
      <c r="I42" s="1060">
        <v>3427.18</v>
      </c>
      <c r="J42" s="1060">
        <v>3429.01</v>
      </c>
      <c r="K42" s="1060">
        <v>1537.52</v>
      </c>
      <c r="L42" s="1060">
        <v>56.22</v>
      </c>
      <c r="M42" s="1061">
        <f t="shared" si="8"/>
        <v>31773.750000000004</v>
      </c>
      <c r="N42" s="1062">
        <f t="shared" si="10"/>
        <v>1187.2800000000061</v>
      </c>
      <c r="O42" s="1063">
        <f t="shared" si="11"/>
        <v>3.7366694205122342E-2</v>
      </c>
      <c r="P42" s="1062">
        <f t="shared" si="12"/>
        <v>32005.979999999996</v>
      </c>
      <c r="Q42" s="1062"/>
      <c r="R42" s="1062">
        <f t="shared" si="13"/>
        <v>-232.22999999999229</v>
      </c>
      <c r="S42" s="1062" t="str">
        <f t="shared" si="14"/>
        <v>Não</v>
      </c>
    </row>
    <row r="43" spans="1:19" ht="13.5">
      <c r="A43" s="1442">
        <v>42653</v>
      </c>
      <c r="B43" s="1673"/>
      <c r="C43" s="1669"/>
      <c r="D43" s="1362"/>
      <c r="E43" s="1363"/>
      <c r="F43" s="1364">
        <v>7407.27</v>
      </c>
      <c r="G43" s="1060">
        <v>23075.21</v>
      </c>
      <c r="H43" s="1060">
        <v>1335.19</v>
      </c>
      <c r="I43" s="1060">
        <v>3441.04</v>
      </c>
      <c r="J43" s="1060">
        <v>3442.88</v>
      </c>
      <c r="K43" s="1060">
        <v>1543.73</v>
      </c>
      <c r="L43" s="1060">
        <v>56.44</v>
      </c>
      <c r="M43" s="1061">
        <f t="shared" si="8"/>
        <v>32894.490000000005</v>
      </c>
      <c r="N43" s="1062">
        <f t="shared" si="10"/>
        <v>1120.7400000000016</v>
      </c>
      <c r="O43" s="1063">
        <f t="shared" si="11"/>
        <v>3.407075166692055E-2</v>
      </c>
      <c r="P43" s="1062">
        <f t="shared" si="12"/>
        <v>32961.030000000013</v>
      </c>
      <c r="Q43" s="1062"/>
      <c r="R43" s="1062">
        <f t="shared" si="13"/>
        <v>-66.540000000008149</v>
      </c>
      <c r="S43" s="1062" t="str">
        <f t="shared" si="14"/>
        <v>Não</v>
      </c>
    </row>
    <row r="44" spans="1:19" ht="13.5">
      <c r="A44" s="1440">
        <v>42684</v>
      </c>
      <c r="B44" s="1671"/>
      <c r="C44" s="1675"/>
      <c r="D44" s="1362"/>
      <c r="E44" s="1363"/>
      <c r="F44" s="1364">
        <v>7437.42</v>
      </c>
      <c r="G44" s="1060">
        <v>24847.51</v>
      </c>
      <c r="H44" s="1060">
        <v>1340.62</v>
      </c>
      <c r="I44" s="1060">
        <v>3455.04</v>
      </c>
      <c r="J44" s="1060">
        <v>3456.89</v>
      </c>
      <c r="K44" s="1060">
        <v>1550.01</v>
      </c>
      <c r="L44" s="1060">
        <v>56.66</v>
      </c>
      <c r="M44" s="1061">
        <f t="shared" si="8"/>
        <v>34706.730000000003</v>
      </c>
      <c r="N44" s="1062">
        <f t="shared" si="10"/>
        <v>1812.239999999998</v>
      </c>
      <c r="O44" s="1063">
        <f t="shared" si="11"/>
        <v>5.2215809440993084E-2</v>
      </c>
      <c r="P44" s="1062">
        <f t="shared" si="12"/>
        <v>34015.23000000001</v>
      </c>
      <c r="Q44" s="1062"/>
      <c r="R44" s="1062">
        <f t="shared" si="13"/>
        <v>691.49999999999272</v>
      </c>
      <c r="S44" s="1062" t="str">
        <f t="shared" si="14"/>
        <v>SIM</v>
      </c>
    </row>
    <row r="45" spans="1:19" ht="13.5">
      <c r="A45" s="1440">
        <v>42714</v>
      </c>
      <c r="B45" s="1671"/>
      <c r="C45" s="1675"/>
      <c r="D45" s="1362"/>
      <c r="E45" s="1363"/>
      <c r="F45" s="1364">
        <v>7466.4</v>
      </c>
      <c r="G45" s="1060">
        <v>26530.400000000001</v>
      </c>
      <c r="H45" s="1060">
        <v>1345.84</v>
      </c>
      <c r="I45" s="1060">
        <v>3468.5</v>
      </c>
      <c r="J45" s="1060">
        <v>3470.36</v>
      </c>
      <c r="K45" s="1060">
        <v>1556.05</v>
      </c>
      <c r="L45" s="1060">
        <v>56.88</v>
      </c>
      <c r="M45" s="1061">
        <f t="shared" si="8"/>
        <v>36428.03</v>
      </c>
      <c r="N45" s="1062">
        <f t="shared" si="10"/>
        <v>1721.2999999999956</v>
      </c>
      <c r="O45" s="1063">
        <f t="shared" si="11"/>
        <v>4.7252074844563258E-2</v>
      </c>
      <c r="P45" s="1062">
        <f t="shared" si="12"/>
        <v>36518.97</v>
      </c>
      <c r="Q45" s="1062"/>
      <c r="R45" s="1062">
        <f t="shared" si="13"/>
        <v>-90.940000000002328</v>
      </c>
      <c r="S45" s="1062" t="str">
        <f t="shared" si="14"/>
        <v>Não</v>
      </c>
    </row>
    <row r="46" spans="1:19" ht="13.5">
      <c r="A46" s="1440">
        <v>42745</v>
      </c>
      <c r="B46" s="1671"/>
      <c r="C46" s="1675"/>
      <c r="D46" s="1362"/>
      <c r="E46" s="1363"/>
      <c r="F46" s="1364">
        <v>7498.64</v>
      </c>
      <c r="G46" s="1060">
        <v>29320.33</v>
      </c>
      <c r="H46" s="1060">
        <v>1351.65</v>
      </c>
      <c r="I46" s="1060">
        <v>3483.48</v>
      </c>
      <c r="J46" s="1060">
        <v>3485.34</v>
      </c>
      <c r="K46" s="1060">
        <v>1562.77</v>
      </c>
      <c r="L46" s="1060">
        <v>57.12</v>
      </c>
      <c r="M46" s="1061">
        <f t="shared" si="8"/>
        <v>39260.69</v>
      </c>
      <c r="N46" s="1062">
        <f>IF(M46&lt;&gt;0,M46-M45,"")</f>
        <v>2832.6600000000035</v>
      </c>
      <c r="O46" s="1063">
        <f t="shared" ref="O46:O57" si="15">IF(N46&lt;&gt;"",(N46/M46),"")</f>
        <v>7.215003098519164E-2</v>
      </c>
      <c r="P46" s="1062">
        <f t="shared" si="12"/>
        <v>38149.329999999994</v>
      </c>
      <c r="Q46" s="1062"/>
      <c r="R46" s="1062">
        <f t="shared" si="13"/>
        <v>1111.3600000000079</v>
      </c>
      <c r="S46" s="1062" t="str">
        <f t="shared" si="14"/>
        <v>SIM</v>
      </c>
    </row>
    <row r="47" spans="1:19" ht="13.5">
      <c r="A47" s="1440">
        <v>42776</v>
      </c>
      <c r="B47" s="1671"/>
      <c r="C47" s="1675"/>
      <c r="D47" s="1362"/>
      <c r="E47" s="1363"/>
      <c r="F47" s="1364">
        <v>7529.9</v>
      </c>
      <c r="G47" s="1060">
        <v>30591.84</v>
      </c>
      <c r="H47" s="1060">
        <v>1357.28</v>
      </c>
      <c r="I47" s="1060">
        <v>3498</v>
      </c>
      <c r="J47" s="1060">
        <v>3499.87</v>
      </c>
      <c r="K47" s="1060">
        <v>1569.28</v>
      </c>
      <c r="L47" s="1060">
        <v>57.35</v>
      </c>
      <c r="M47" s="1061">
        <f t="shared" si="8"/>
        <v>40573.619999999995</v>
      </c>
      <c r="N47" s="1062">
        <f t="shared" si="10"/>
        <v>1312.929999999993</v>
      </c>
      <c r="O47" s="1063">
        <f t="shared" si="15"/>
        <v>3.2359202851507785E-2</v>
      </c>
      <c r="P47" s="1062">
        <f t="shared" si="12"/>
        <v>42093.350000000006</v>
      </c>
      <c r="Q47" s="1062"/>
      <c r="R47" s="1062">
        <f t="shared" si="13"/>
        <v>-1519.7300000000105</v>
      </c>
      <c r="S47" s="1062" t="str">
        <f t="shared" si="14"/>
        <v>Não</v>
      </c>
    </row>
    <row r="48" spans="1:19" ht="13.5">
      <c r="A48" s="1440">
        <v>42804</v>
      </c>
      <c r="B48" s="1671"/>
      <c r="C48" s="1675"/>
      <c r="D48" s="1362"/>
      <c r="E48" s="1363"/>
      <c r="F48" s="1364">
        <v>7550.78</v>
      </c>
      <c r="G48" s="1060">
        <v>31745.17</v>
      </c>
      <c r="H48" s="1060">
        <v>0</v>
      </c>
      <c r="I48" s="1060">
        <v>0</v>
      </c>
      <c r="J48" s="1060">
        <v>0</v>
      </c>
      <c r="K48" s="1060">
        <v>0</v>
      </c>
      <c r="L48" s="1060">
        <v>0</v>
      </c>
      <c r="M48" s="1061">
        <f t="shared" si="8"/>
        <v>31745.17</v>
      </c>
      <c r="N48" s="1062">
        <f t="shared" si="10"/>
        <v>-8828.4499999999971</v>
      </c>
      <c r="O48" s="1063">
        <f t="shared" si="15"/>
        <v>-0.27810372412559131</v>
      </c>
      <c r="P48" s="1062">
        <f t="shared" si="12"/>
        <v>41886.549999999988</v>
      </c>
      <c r="Q48" s="1062"/>
      <c r="R48" s="1062">
        <f t="shared" si="13"/>
        <v>-10141.37999999999</v>
      </c>
      <c r="S48" s="1062" t="str">
        <f t="shared" si="14"/>
        <v>Não</v>
      </c>
    </row>
    <row r="49" spans="1:19" ht="13.5">
      <c r="A49" s="1440">
        <v>42835</v>
      </c>
      <c r="B49" s="1671"/>
      <c r="C49" s="1675"/>
      <c r="D49" s="1362"/>
      <c r="E49" s="1363"/>
      <c r="F49" s="1364">
        <v>7580.86</v>
      </c>
      <c r="G49" s="1060">
        <v>33195.980000000003</v>
      </c>
      <c r="H49" s="1060">
        <v>0</v>
      </c>
      <c r="I49" s="1060">
        <v>0</v>
      </c>
      <c r="J49" s="1060">
        <v>0</v>
      </c>
      <c r="K49" s="1060">
        <v>0</v>
      </c>
      <c r="L49" s="1060">
        <v>0</v>
      </c>
      <c r="M49" s="1061">
        <f t="shared" si="8"/>
        <v>33195.980000000003</v>
      </c>
      <c r="N49" s="1062">
        <f t="shared" si="10"/>
        <v>1450.8100000000049</v>
      </c>
      <c r="O49" s="1063">
        <f t="shared" si="15"/>
        <v>4.3704388302439175E-2</v>
      </c>
      <c r="P49" s="1062">
        <f t="shared" si="12"/>
        <v>22916.720000000001</v>
      </c>
      <c r="Q49" s="1062"/>
      <c r="R49" s="1062">
        <f t="shared" si="13"/>
        <v>10279.260000000002</v>
      </c>
      <c r="S49" s="1062" t="str">
        <f t="shared" si="14"/>
        <v>SIM</v>
      </c>
    </row>
    <row r="50" spans="1:19" ht="13.5">
      <c r="A50" s="1440">
        <v>42865</v>
      </c>
      <c r="B50" s="1671"/>
      <c r="C50" s="1675"/>
      <c r="D50" s="1362"/>
      <c r="E50" s="1363"/>
      <c r="F50" s="1364">
        <v>7599.55</v>
      </c>
      <c r="G50" s="1060">
        <v>35013.269999999997</v>
      </c>
      <c r="H50" s="1060">
        <v>0</v>
      </c>
      <c r="I50" s="1060">
        <v>0</v>
      </c>
      <c r="J50" s="1060">
        <v>0</v>
      </c>
      <c r="K50" s="1060">
        <v>0</v>
      </c>
      <c r="L50" s="1060">
        <v>0</v>
      </c>
      <c r="M50" s="1061">
        <f t="shared" si="8"/>
        <v>35013.269999999997</v>
      </c>
      <c r="N50" s="1062">
        <f t="shared" ref="N50:N57" si="16">IF(M50&lt;&gt;0,M50-M49,"")</f>
        <v>1817.2899999999936</v>
      </c>
      <c r="O50" s="1063">
        <f t="shared" si="15"/>
        <v>5.1902892817494446E-2</v>
      </c>
      <c r="P50" s="1062">
        <f t="shared" si="12"/>
        <v>34646.790000000008</v>
      </c>
      <c r="Q50" s="1062"/>
      <c r="R50" s="1062">
        <f t="shared" si="13"/>
        <v>366.47999999998865</v>
      </c>
      <c r="S50" s="1062" t="str">
        <f t="shared" si="14"/>
        <v>SIM</v>
      </c>
    </row>
    <row r="51" spans="1:19" ht="13.5">
      <c r="A51" s="1440">
        <v>42896</v>
      </c>
      <c r="B51" s="1671"/>
      <c r="C51" s="1675"/>
      <c r="D51" s="1362"/>
      <c r="E51" s="1363"/>
      <c r="F51" s="1364">
        <v>7624.11</v>
      </c>
      <c r="G51" s="1060">
        <v>37011.18</v>
      </c>
      <c r="H51" s="1060">
        <v>0</v>
      </c>
      <c r="I51" s="1060">
        <v>0</v>
      </c>
      <c r="J51" s="1060">
        <v>0</v>
      </c>
      <c r="K51" s="1060">
        <v>0</v>
      </c>
      <c r="L51" s="1060">
        <v>0</v>
      </c>
      <c r="M51" s="1061">
        <f t="shared" si="8"/>
        <v>37011.18</v>
      </c>
      <c r="N51" s="1062">
        <f t="shared" si="16"/>
        <v>1997.9100000000035</v>
      </c>
      <c r="O51" s="1063">
        <f t="shared" si="15"/>
        <v>5.3981256474395126E-2</v>
      </c>
      <c r="P51" s="1062">
        <f t="shared" si="12"/>
        <v>36830.55999999999</v>
      </c>
      <c r="Q51" s="1062"/>
      <c r="R51" s="1062">
        <f t="shared" si="13"/>
        <v>180.6200000000099</v>
      </c>
      <c r="S51" s="1062" t="str">
        <f t="shared" si="14"/>
        <v>SIM</v>
      </c>
    </row>
    <row r="52" spans="1:19" ht="13.5">
      <c r="A52" s="1440">
        <v>42926</v>
      </c>
      <c r="B52" s="1671"/>
      <c r="C52" s="1675"/>
      <c r="D52" s="1362"/>
      <c r="E52" s="1363"/>
      <c r="F52" s="1364">
        <v>7647</v>
      </c>
      <c r="G52" s="1060">
        <v>38260.120000000003</v>
      </c>
      <c r="H52" s="1060">
        <v>0</v>
      </c>
      <c r="I52" s="1060">
        <v>0</v>
      </c>
      <c r="J52" s="1060">
        <v>0</v>
      </c>
      <c r="K52" s="1060">
        <v>0</v>
      </c>
      <c r="L52" s="1060">
        <v>0</v>
      </c>
      <c r="M52" s="1061">
        <f t="shared" si="8"/>
        <v>38260.120000000003</v>
      </c>
      <c r="N52" s="1062">
        <f t="shared" si="16"/>
        <v>1248.9400000000023</v>
      </c>
      <c r="O52" s="1063">
        <f t="shared" si="15"/>
        <v>3.2643389513676443E-2</v>
      </c>
      <c r="P52" s="1062">
        <f t="shared" si="12"/>
        <v>39009.090000000004</v>
      </c>
      <c r="Q52" s="1062"/>
      <c r="R52" s="1062">
        <f t="shared" si="13"/>
        <v>-748.97000000000116</v>
      </c>
      <c r="S52" s="1062" t="str">
        <f t="shared" si="14"/>
        <v>Não</v>
      </c>
    </row>
    <row r="53" spans="1:19" ht="13.5">
      <c r="A53" s="1440">
        <v>42957</v>
      </c>
      <c r="B53" s="1671"/>
      <c r="C53" s="1675"/>
      <c r="D53" s="1362"/>
      <c r="E53" s="1363"/>
      <c r="F53" s="1364">
        <v>7815.3</v>
      </c>
      <c r="G53" s="1060">
        <v>40104.879999999997</v>
      </c>
      <c r="H53" s="1060">
        <v>26.08</v>
      </c>
      <c r="I53" s="1060">
        <v>67.209999999999994</v>
      </c>
      <c r="J53" s="1060">
        <v>67.25</v>
      </c>
      <c r="K53" s="1060">
        <v>30.15</v>
      </c>
      <c r="L53" s="1060">
        <v>1.1000000000000001</v>
      </c>
      <c r="M53" s="1061">
        <f t="shared" si="8"/>
        <v>40296.67</v>
      </c>
      <c r="N53" s="1062">
        <f t="shared" si="16"/>
        <v>2036.5499999999956</v>
      </c>
      <c r="O53" s="1063">
        <f t="shared" si="15"/>
        <v>5.0538915498476569E-2</v>
      </c>
      <c r="P53" s="1062">
        <f t="shared" si="12"/>
        <v>39509.060000000005</v>
      </c>
      <c r="Q53" s="1062"/>
      <c r="R53" s="1062">
        <f t="shared" si="13"/>
        <v>787.60999999999331</v>
      </c>
      <c r="S53" s="1062" t="str">
        <f t="shared" si="14"/>
        <v>SIM</v>
      </c>
    </row>
    <row r="54" spans="1:19" ht="13.5" customHeight="1">
      <c r="A54" s="1440">
        <v>42988</v>
      </c>
      <c r="B54" s="1671"/>
      <c r="C54" s="1675"/>
      <c r="D54" s="1362"/>
      <c r="E54" s="1363"/>
      <c r="F54" s="1364">
        <v>7838.55</v>
      </c>
      <c r="G54" s="1060">
        <v>41863.589999999997</v>
      </c>
      <c r="H54" s="1060">
        <v>26.15</v>
      </c>
      <c r="I54" s="1060">
        <v>67.41</v>
      </c>
      <c r="J54" s="1060">
        <v>67.45</v>
      </c>
      <c r="K54" s="1060">
        <v>30.23</v>
      </c>
      <c r="L54" s="1060">
        <v>1.1000000000000001</v>
      </c>
      <c r="M54" s="1061">
        <f t="shared" si="8"/>
        <v>42055.93</v>
      </c>
      <c r="N54" s="1062">
        <f t="shared" si="16"/>
        <v>1759.260000000002</v>
      </c>
      <c r="O54" s="1063">
        <f t="shared" si="15"/>
        <v>4.1831437326436537E-2</v>
      </c>
      <c r="P54" s="1062">
        <f t="shared" si="12"/>
        <v>42333.219999999994</v>
      </c>
      <c r="Q54" s="1062"/>
      <c r="R54" s="1062">
        <f t="shared" si="13"/>
        <v>-277.2899999999936</v>
      </c>
      <c r="S54" s="1062" t="str">
        <f t="shared" si="14"/>
        <v>Não</v>
      </c>
    </row>
    <row r="55" spans="1:19" ht="13.5" customHeight="1">
      <c r="A55" s="1440">
        <v>43018</v>
      </c>
      <c r="B55" s="1671"/>
      <c r="C55" s="1675"/>
      <c r="D55" s="1362"/>
      <c r="E55" s="1363"/>
      <c r="F55" s="1364">
        <v>7857.87</v>
      </c>
      <c r="G55" s="1060">
        <v>44284.15</v>
      </c>
      <c r="H55" s="1060">
        <v>26.21</v>
      </c>
      <c r="I55" s="1060">
        <v>67.569999999999993</v>
      </c>
      <c r="J55" s="1060">
        <v>67.61</v>
      </c>
      <c r="K55" s="1060">
        <v>30.3</v>
      </c>
      <c r="L55" s="1060">
        <v>1.1000000000000001</v>
      </c>
      <c r="M55" s="1061">
        <f t="shared" si="8"/>
        <v>44476.94</v>
      </c>
      <c r="N55" s="1062">
        <f t="shared" si="16"/>
        <v>2421.010000000002</v>
      </c>
      <c r="O55" s="1063">
        <f t="shared" si="15"/>
        <v>5.4432926365887625E-2</v>
      </c>
      <c r="P55" s="1062">
        <f t="shared" si="12"/>
        <v>43815.19</v>
      </c>
      <c r="Q55" s="1062"/>
      <c r="R55" s="1062">
        <f t="shared" si="13"/>
        <v>661.75</v>
      </c>
      <c r="S55" s="1062" t="str">
        <f t="shared" si="14"/>
        <v>SIM</v>
      </c>
    </row>
    <row r="56" spans="1:19" ht="13.5" customHeight="1">
      <c r="A56" s="1440">
        <v>43049</v>
      </c>
      <c r="B56" s="1671"/>
      <c r="C56" s="1675"/>
      <c r="D56" s="1362"/>
      <c r="E56" s="1363"/>
      <c r="F56" s="1364">
        <v>7877.24</v>
      </c>
      <c r="G56" s="1060">
        <v>46037.46</v>
      </c>
      <c r="H56" s="1060">
        <v>26.27</v>
      </c>
      <c r="I56" s="1060">
        <v>67.73</v>
      </c>
      <c r="J56" s="1060">
        <v>67.77</v>
      </c>
      <c r="K56" s="1060">
        <v>30.37</v>
      </c>
      <c r="L56" s="1060">
        <v>1.1000000000000001</v>
      </c>
      <c r="M56" s="1061">
        <f t="shared" si="8"/>
        <v>46230.7</v>
      </c>
      <c r="N56" s="1062">
        <f t="shared" si="16"/>
        <v>1753.7599999999948</v>
      </c>
      <c r="O56" s="1063">
        <f t="shared" si="15"/>
        <v>3.7934965293625118E-2</v>
      </c>
      <c r="P56" s="1062">
        <f t="shared" si="12"/>
        <v>46897.950000000004</v>
      </c>
      <c r="Q56" s="1062"/>
      <c r="R56" s="1062">
        <f t="shared" si="13"/>
        <v>-667.25000000000728</v>
      </c>
      <c r="S56" s="1062" t="str">
        <f t="shared" si="14"/>
        <v>Não</v>
      </c>
    </row>
    <row r="57" spans="1:19" ht="13.5" customHeight="1">
      <c r="A57" s="1440">
        <v>43079</v>
      </c>
      <c r="B57" s="1671"/>
      <c r="C57" s="1675"/>
      <c r="D57" s="1362"/>
      <c r="E57" s="1363"/>
      <c r="F57" s="1364">
        <v>7896.66</v>
      </c>
      <c r="G57" s="1060">
        <v>47849.83</v>
      </c>
      <c r="H57" s="1060">
        <v>26.33</v>
      </c>
      <c r="I57" s="1060">
        <v>67.89</v>
      </c>
      <c r="J57" s="1060">
        <v>67.930000000000007</v>
      </c>
      <c r="K57" s="1060">
        <v>30.44</v>
      </c>
      <c r="L57" s="1060">
        <v>1.1000000000000001</v>
      </c>
      <c r="M57" s="1061">
        <f t="shared" ref="M57:M80" si="17">SUM(G57:L57)</f>
        <v>48043.520000000004</v>
      </c>
      <c r="N57" s="1062">
        <f t="shared" si="16"/>
        <v>1812.820000000007</v>
      </c>
      <c r="O57" s="1063">
        <f t="shared" si="15"/>
        <v>3.7732872195875879E-2</v>
      </c>
      <c r="P57" s="1062">
        <f t="shared" si="12"/>
        <v>47984.459999999992</v>
      </c>
      <c r="Q57" s="1062"/>
      <c r="R57" s="1062">
        <f t="shared" si="13"/>
        <v>59.060000000012224</v>
      </c>
      <c r="S57" s="1062" t="str">
        <f t="shared" si="14"/>
        <v>SIM</v>
      </c>
    </row>
    <row r="58" spans="1:19" ht="13.5" customHeight="1">
      <c r="A58" s="1440">
        <v>43110</v>
      </c>
      <c r="B58" s="1671"/>
      <c r="C58" s="1675"/>
      <c r="D58" s="1362"/>
      <c r="E58" s="1363"/>
      <c r="F58" s="1364">
        <v>7916.13</v>
      </c>
      <c r="G58" s="1060">
        <v>51091.31</v>
      </c>
      <c r="H58" s="1060">
        <v>26.39</v>
      </c>
      <c r="I58" s="1060">
        <v>68.09</v>
      </c>
      <c r="J58" s="1060">
        <v>68.09</v>
      </c>
      <c r="K58" s="1060">
        <v>30.51</v>
      </c>
      <c r="L58" s="1060">
        <v>1.1000000000000001</v>
      </c>
      <c r="M58" s="1061">
        <f t="shared" si="17"/>
        <v>51285.489999999991</v>
      </c>
      <c r="N58" s="1062">
        <f>IF(M58&lt;&gt;0,M58-M57,"")</f>
        <v>3241.9699999999866</v>
      </c>
      <c r="O58" s="1063">
        <f t="shared" ref="O58:O69" si="18">IF(N58&lt;&gt;"",(N58/M58),"")</f>
        <v>6.3214176173416445E-2</v>
      </c>
      <c r="P58" s="1062">
        <f t="shared" si="12"/>
        <v>49856.340000000011</v>
      </c>
      <c r="Q58" s="1062"/>
      <c r="R58" s="1062">
        <f t="shared" si="13"/>
        <v>1429.1499999999796</v>
      </c>
      <c r="S58" s="1062" t="str">
        <f t="shared" si="14"/>
        <v>SIM</v>
      </c>
    </row>
    <row r="59" spans="1:19" ht="13.5" customHeight="1">
      <c r="A59" s="1440">
        <v>43141</v>
      </c>
      <c r="B59" s="1671"/>
      <c r="C59" s="1675"/>
      <c r="D59" s="1362"/>
      <c r="E59" s="1363"/>
      <c r="F59" s="1364">
        <v>7935.65</v>
      </c>
      <c r="G59" s="1060">
        <v>52402.87</v>
      </c>
      <c r="H59" s="1060">
        <v>26.45</v>
      </c>
      <c r="I59" s="1060">
        <v>68.209999999999994</v>
      </c>
      <c r="J59" s="1060">
        <v>68.25</v>
      </c>
      <c r="K59" s="1060">
        <v>30.58</v>
      </c>
      <c r="L59" s="1060">
        <v>1.1000000000000001</v>
      </c>
      <c r="M59" s="1061">
        <f t="shared" si="17"/>
        <v>52597.46</v>
      </c>
      <c r="N59" s="1062">
        <f t="shared" ref="N59:N69" si="19">IF(M59&lt;&gt;0,M59-M58,"")</f>
        <v>1311.9700000000084</v>
      </c>
      <c r="O59" s="1063">
        <f t="shared" si="18"/>
        <v>2.4943599938096032E-2</v>
      </c>
      <c r="P59" s="1062">
        <f t="shared" si="12"/>
        <v>54527.459999999977</v>
      </c>
      <c r="Q59" s="1062"/>
      <c r="R59" s="1062">
        <f t="shared" si="13"/>
        <v>-1929.9999999999782</v>
      </c>
      <c r="S59" s="1062" t="str">
        <f t="shared" si="14"/>
        <v>Não</v>
      </c>
    </row>
    <row r="60" spans="1:19" ht="13.5" customHeight="1">
      <c r="A60" s="1440">
        <v>43169</v>
      </c>
      <c r="B60" s="1671"/>
      <c r="C60" s="1675"/>
      <c r="D60" s="1362"/>
      <c r="E60" s="1363"/>
      <c r="F60" s="1364">
        <v>7955.21</v>
      </c>
      <c r="G60" s="1060">
        <v>53634.99</v>
      </c>
      <c r="H60" s="1060">
        <v>26.51</v>
      </c>
      <c r="I60" s="1060">
        <v>68.37</v>
      </c>
      <c r="J60" s="1060">
        <v>68.41</v>
      </c>
      <c r="K60" s="1060">
        <v>30.65</v>
      </c>
      <c r="L60" s="1060">
        <v>1.1000000000000001</v>
      </c>
      <c r="M60" s="1061">
        <f t="shared" si="17"/>
        <v>53830.030000000006</v>
      </c>
      <c r="N60" s="1062">
        <f t="shared" si="19"/>
        <v>1232.570000000007</v>
      </c>
      <c r="O60" s="1063">
        <f t="shared" si="18"/>
        <v>2.2897442189796419E-2</v>
      </c>
      <c r="P60" s="1062">
        <f t="shared" si="12"/>
        <v>53909.430000000008</v>
      </c>
      <c r="Q60" s="1062"/>
      <c r="R60" s="1062">
        <f t="shared" si="13"/>
        <v>-79.400000000001455</v>
      </c>
      <c r="S60" s="1062" t="str">
        <f t="shared" si="14"/>
        <v>Não</v>
      </c>
    </row>
    <row r="61" spans="1:19" ht="13.5" customHeight="1">
      <c r="A61" s="1440">
        <v>43200</v>
      </c>
      <c r="B61" s="1671"/>
      <c r="C61" s="1675"/>
      <c r="D61" s="1362"/>
      <c r="E61" s="1363"/>
      <c r="F61" s="1364">
        <v>7974.82</v>
      </c>
      <c r="G61" s="1060">
        <v>54525.78</v>
      </c>
      <c r="H61" s="1060">
        <v>26.57</v>
      </c>
      <c r="I61" s="1060">
        <v>68.53</v>
      </c>
      <c r="J61" s="1060">
        <v>68.569999999999993</v>
      </c>
      <c r="K61" s="1060">
        <v>30.72</v>
      </c>
      <c r="L61" s="1060">
        <v>1.1000000000000001</v>
      </c>
      <c r="M61" s="1061">
        <f t="shared" si="17"/>
        <v>54721.27</v>
      </c>
      <c r="N61" s="1062">
        <f t="shared" si="19"/>
        <v>891.23999999999069</v>
      </c>
      <c r="O61" s="1063">
        <f t="shared" si="18"/>
        <v>1.6286902697981803E-2</v>
      </c>
      <c r="P61" s="1062">
        <f t="shared" si="12"/>
        <v>55062.600000000013</v>
      </c>
      <c r="Q61" s="1062"/>
      <c r="R61" s="1062">
        <f t="shared" si="13"/>
        <v>-341.3300000000163</v>
      </c>
      <c r="S61" s="1062" t="str">
        <f t="shared" si="14"/>
        <v>Não</v>
      </c>
    </row>
    <row r="62" spans="1:19" ht="13.5" customHeight="1">
      <c r="A62" s="1440">
        <v>43230</v>
      </c>
      <c r="B62" s="1671"/>
      <c r="C62" s="1675"/>
      <c r="D62" s="1362"/>
      <c r="E62" s="1363"/>
      <c r="F62" s="1364">
        <v>8014.19</v>
      </c>
      <c r="G62" s="1060">
        <v>56338.64</v>
      </c>
      <c r="H62" s="1060">
        <v>26.63</v>
      </c>
      <c r="I62" s="1060">
        <v>0</v>
      </c>
      <c r="J62" s="1060">
        <v>0</v>
      </c>
      <c r="K62" s="1060">
        <v>0</v>
      </c>
      <c r="L62" s="1060">
        <v>0</v>
      </c>
      <c r="M62" s="1061">
        <f t="shared" si="17"/>
        <v>56365.27</v>
      </c>
      <c r="N62" s="1062">
        <f t="shared" si="19"/>
        <v>1644</v>
      </c>
      <c r="O62" s="1063">
        <f t="shared" si="18"/>
        <v>2.9166896565917276E-2</v>
      </c>
      <c r="P62" s="1062">
        <f t="shared" si="12"/>
        <v>55612.509999999987</v>
      </c>
      <c r="Q62" s="1062"/>
      <c r="R62" s="1062">
        <f t="shared" si="13"/>
        <v>752.76000000000931</v>
      </c>
      <c r="S62" s="1062" t="str">
        <f t="shared" si="14"/>
        <v>SIM</v>
      </c>
    </row>
    <row r="63" spans="1:19" ht="13.5" customHeight="1">
      <c r="A63" s="1440">
        <v>43261</v>
      </c>
      <c r="B63" s="1671"/>
      <c r="C63" s="1675"/>
      <c r="D63" s="1362"/>
      <c r="E63" s="1363"/>
      <c r="F63" s="1364">
        <v>8014.19</v>
      </c>
      <c r="G63" s="1060">
        <v>58188.35</v>
      </c>
      <c r="H63" s="1060">
        <v>26.69</v>
      </c>
      <c r="I63" s="1060">
        <v>68.849999999999994</v>
      </c>
      <c r="J63" s="1060">
        <v>68.89</v>
      </c>
      <c r="K63" s="1060">
        <v>30.86</v>
      </c>
      <c r="L63" s="1060">
        <v>1.1000000000000001</v>
      </c>
      <c r="M63" s="1061">
        <f t="shared" si="17"/>
        <v>58384.74</v>
      </c>
      <c r="N63" s="1062">
        <f t="shared" si="19"/>
        <v>2019.4700000000012</v>
      </c>
      <c r="O63" s="1063">
        <f t="shared" si="18"/>
        <v>3.4589003907527914E-2</v>
      </c>
      <c r="P63" s="1062">
        <f t="shared" si="12"/>
        <v>58009.27</v>
      </c>
      <c r="Q63" s="1062"/>
      <c r="R63" s="1062">
        <f t="shared" si="13"/>
        <v>375.47000000000116</v>
      </c>
      <c r="S63" s="1062" t="str">
        <f t="shared" si="14"/>
        <v>SIM</v>
      </c>
    </row>
    <row r="64" spans="1:19" ht="13.5" customHeight="1">
      <c r="A64" s="1440">
        <v>43291</v>
      </c>
      <c r="B64" s="1671"/>
      <c r="C64" s="1675"/>
      <c r="D64" s="1362"/>
      <c r="E64" s="1363"/>
      <c r="F64" s="1364">
        <v>8033.95</v>
      </c>
      <c r="G64" s="1060">
        <v>60086.32</v>
      </c>
      <c r="H64" s="1060">
        <v>26.75</v>
      </c>
      <c r="I64" s="1060">
        <v>69.010000000000005</v>
      </c>
      <c r="J64" s="1060">
        <v>69.05</v>
      </c>
      <c r="K64" s="1060">
        <v>30.93</v>
      </c>
      <c r="L64" s="1060">
        <v>1.1000000000000001</v>
      </c>
      <c r="M64" s="1061">
        <f t="shared" si="17"/>
        <v>60283.16</v>
      </c>
      <c r="N64" s="1062">
        <f t="shared" si="19"/>
        <v>1898.4200000000055</v>
      </c>
      <c r="O64" s="1063">
        <f t="shared" si="18"/>
        <v>3.1491713440370502E-2</v>
      </c>
      <c r="P64" s="1062">
        <f t="shared" si="12"/>
        <v>60404.21</v>
      </c>
      <c r="Q64" s="1062"/>
      <c r="R64" s="1062">
        <f t="shared" si="13"/>
        <v>-121.04999999999563</v>
      </c>
      <c r="S64" s="1062" t="str">
        <f t="shared" si="14"/>
        <v>Não</v>
      </c>
    </row>
    <row r="65" spans="1:19" ht="13.5" customHeight="1">
      <c r="A65" s="1440">
        <v>43322</v>
      </c>
      <c r="B65" s="1671"/>
      <c r="C65" s="1675"/>
      <c r="D65" s="1362"/>
      <c r="E65" s="1363"/>
      <c r="F65" s="1364">
        <v>8053.76</v>
      </c>
      <c r="G65" s="1060">
        <v>62632.98</v>
      </c>
      <c r="H65" s="1060">
        <v>26.81</v>
      </c>
      <c r="I65" s="1060">
        <v>69.180000000000007</v>
      </c>
      <c r="J65" s="1060">
        <v>69.22</v>
      </c>
      <c r="K65" s="1060">
        <v>31</v>
      </c>
      <c r="L65" s="1060">
        <v>1.1000000000000001</v>
      </c>
      <c r="M65" s="1061">
        <f t="shared" si="17"/>
        <v>62830.29</v>
      </c>
      <c r="N65" s="1062">
        <f t="shared" si="19"/>
        <v>2547.1299999999974</v>
      </c>
      <c r="O65" s="1063">
        <f t="shared" si="18"/>
        <v>4.0539841531847094E-2</v>
      </c>
      <c r="P65" s="1062">
        <f t="shared" si="12"/>
        <v>62181.580000000009</v>
      </c>
      <c r="Q65" s="1062"/>
      <c r="R65" s="1062">
        <f t="shared" si="13"/>
        <v>648.70999999999185</v>
      </c>
      <c r="S65" s="1062" t="str">
        <f t="shared" si="14"/>
        <v>SIM</v>
      </c>
    </row>
    <row r="66" spans="1:19" ht="13.5" customHeight="1">
      <c r="A66" s="1440">
        <v>43353</v>
      </c>
      <c r="B66" s="1671"/>
      <c r="C66" s="1675"/>
      <c r="D66" s="1362"/>
      <c r="E66" s="1363"/>
      <c r="F66" s="1364">
        <v>8209.9599999999991</v>
      </c>
      <c r="G66" s="1060">
        <v>64543.360000000001</v>
      </c>
      <c r="H66" s="1060">
        <v>27.32</v>
      </c>
      <c r="I66" s="1060">
        <v>70.510000000000005</v>
      </c>
      <c r="J66" s="1060">
        <v>70.56</v>
      </c>
      <c r="K66" s="1060">
        <v>31.59</v>
      </c>
      <c r="L66" s="1060">
        <v>1.1100000000000001</v>
      </c>
      <c r="M66" s="1061">
        <f t="shared" si="17"/>
        <v>64744.45</v>
      </c>
      <c r="N66" s="1062">
        <f t="shared" si="19"/>
        <v>1914.1599999999962</v>
      </c>
      <c r="O66" s="1063">
        <f t="shared" si="18"/>
        <v>2.9564850732379321E-2</v>
      </c>
      <c r="P66" s="1062">
        <f t="shared" si="12"/>
        <v>65377.42</v>
      </c>
      <c r="Q66" s="1062"/>
      <c r="R66" s="1062">
        <f t="shared" si="13"/>
        <v>-632.97000000000116</v>
      </c>
      <c r="S66" s="1062" t="str">
        <f t="shared" si="14"/>
        <v>Não</v>
      </c>
    </row>
    <row r="67" spans="1:19" ht="13.5" customHeight="1">
      <c r="A67" s="1440">
        <v>43383</v>
      </c>
      <c r="B67" s="1671"/>
      <c r="C67" s="1675"/>
      <c r="D67" s="1362"/>
      <c r="E67" s="1363"/>
      <c r="F67" s="1364">
        <v>8230.2000000000007</v>
      </c>
      <c r="G67" s="1060">
        <v>66376.42</v>
      </c>
      <c r="H67" s="1060">
        <v>27.38</v>
      </c>
      <c r="I67" s="1060">
        <v>70.680000000000007</v>
      </c>
      <c r="J67" s="1060">
        <v>70.73</v>
      </c>
      <c r="K67" s="1060">
        <v>31.66</v>
      </c>
      <c r="L67" s="1060">
        <v>1.1100000000000001</v>
      </c>
      <c r="M67" s="1061">
        <f t="shared" si="17"/>
        <v>66577.98</v>
      </c>
      <c r="N67" s="1062">
        <f t="shared" si="19"/>
        <v>1833.5299999999988</v>
      </c>
      <c r="O67" s="1063">
        <f t="shared" si="18"/>
        <v>2.753958591113757E-2</v>
      </c>
      <c r="P67" s="1062">
        <f t="shared" si="12"/>
        <v>66658.609999999986</v>
      </c>
      <c r="Q67" s="1062"/>
      <c r="R67" s="1062">
        <f t="shared" si="13"/>
        <v>-80.629999999990105</v>
      </c>
      <c r="S67" s="1062" t="str">
        <f t="shared" si="14"/>
        <v>Não</v>
      </c>
    </row>
    <row r="68" spans="1:19" ht="13.5" customHeight="1">
      <c r="A68" s="1440">
        <v>43414</v>
      </c>
      <c r="B68" s="1671"/>
      <c r="C68" s="1675"/>
      <c r="D68" s="1362"/>
      <c r="E68" s="1363"/>
      <c r="F68" s="1364">
        <v>8250.49</v>
      </c>
      <c r="G68" s="1060">
        <v>67565.009999999995</v>
      </c>
      <c r="H68" s="1365">
        <v>27.44</v>
      </c>
      <c r="I68" s="1060">
        <v>70.849999999999994</v>
      </c>
      <c r="J68" s="1060">
        <v>70.900000000000006</v>
      </c>
      <c r="K68" s="1060">
        <v>31.73</v>
      </c>
      <c r="L68" s="1060">
        <v>1.1100000000000001</v>
      </c>
      <c r="M68" s="1061">
        <f t="shared" si="17"/>
        <v>67767.039999999994</v>
      </c>
      <c r="N68" s="1062">
        <f t="shared" si="19"/>
        <v>1189.0599999999977</v>
      </c>
      <c r="O68" s="1063">
        <f t="shared" si="18"/>
        <v>1.7546287988969237E-2</v>
      </c>
      <c r="P68" s="1062">
        <f t="shared" ref="P68:P81" si="20">IF(N67&lt;&gt;"",M67+N67,"")</f>
        <v>68411.509999999995</v>
      </c>
      <c r="Q68" s="1062"/>
      <c r="R68" s="1062">
        <f t="shared" ref="R68:R81" si="21">IF(M68&gt;0,M68-P68,"")</f>
        <v>-644.47000000000116</v>
      </c>
      <c r="S68" s="1062" t="str">
        <f t="shared" ref="S68:S86" si="22">IF(M68&gt;=P68,"SIM","Não")</f>
        <v>Não</v>
      </c>
    </row>
    <row r="69" spans="1:19" ht="13.5" customHeight="1">
      <c r="A69" s="1440">
        <v>43444</v>
      </c>
      <c r="B69" s="1671"/>
      <c r="C69" s="1675"/>
      <c r="D69" s="1362"/>
      <c r="E69" s="1363"/>
      <c r="F69" s="1364">
        <v>8270.83</v>
      </c>
      <c r="G69" s="1060">
        <v>68518.399999999994</v>
      </c>
      <c r="H69" s="1060">
        <v>27.5</v>
      </c>
      <c r="I69" s="1060">
        <v>71.02</v>
      </c>
      <c r="J69" s="1060">
        <v>71.069999999999993</v>
      </c>
      <c r="K69" s="1060">
        <v>31.8</v>
      </c>
      <c r="L69" s="1060">
        <v>1.1100000000000001</v>
      </c>
      <c r="M69" s="1061">
        <f t="shared" si="17"/>
        <v>68720.900000000009</v>
      </c>
      <c r="N69" s="1062">
        <f t="shared" si="19"/>
        <v>953.86000000001513</v>
      </c>
      <c r="O69" s="1063">
        <f t="shared" si="18"/>
        <v>1.3880202383845599E-2</v>
      </c>
      <c r="P69" s="1062">
        <f t="shared" si="20"/>
        <v>68956.099999999991</v>
      </c>
      <c r="Q69" s="1062"/>
      <c r="R69" s="1062">
        <f t="shared" si="21"/>
        <v>-235.19999999998254</v>
      </c>
      <c r="S69" s="1062" t="str">
        <f t="shared" si="22"/>
        <v>Não</v>
      </c>
    </row>
    <row r="70" spans="1:19" ht="13.5" customHeight="1">
      <c r="A70" s="1440">
        <v>43475</v>
      </c>
      <c r="B70" s="1671"/>
      <c r="C70" s="1675"/>
      <c r="D70" s="1362"/>
      <c r="E70" s="1363"/>
      <c r="F70" s="1364">
        <v>8291.2199999999993</v>
      </c>
      <c r="G70" s="1060">
        <v>70357.279999999999</v>
      </c>
      <c r="H70" s="1060">
        <v>27.56</v>
      </c>
      <c r="I70" s="1060">
        <v>71.19</v>
      </c>
      <c r="J70" s="1060">
        <v>71.239999999999995</v>
      </c>
      <c r="K70" s="1060">
        <v>31.87</v>
      </c>
      <c r="L70" s="1060">
        <v>1.1100000000000001</v>
      </c>
      <c r="M70" s="1061">
        <f t="shared" si="17"/>
        <v>70560.25</v>
      </c>
      <c r="N70" s="1062">
        <f t="shared" ref="N70:N77" si="23">IF(M70&lt;&gt;0,M70-M69,"")</f>
        <v>1839.3499999999913</v>
      </c>
      <c r="O70" s="1063">
        <f t="shared" ref="O70:O78" si="24">IF(N70&lt;&gt;"",(N70/M70),"")</f>
        <v>2.6067793127150077E-2</v>
      </c>
      <c r="P70" s="1062">
        <f t="shared" si="20"/>
        <v>69674.760000000024</v>
      </c>
      <c r="Q70" s="1062"/>
      <c r="R70" s="1062">
        <f t="shared" si="21"/>
        <v>885.48999999997613</v>
      </c>
      <c r="S70" s="1062" t="str">
        <f t="shared" si="22"/>
        <v>SIM</v>
      </c>
    </row>
    <row r="71" spans="1:19" ht="13.5" customHeight="1">
      <c r="A71" s="1440">
        <v>43506</v>
      </c>
      <c r="B71" s="1671"/>
      <c r="C71" s="1675"/>
      <c r="D71" s="1362"/>
      <c r="E71" s="1363"/>
      <c r="F71" s="1364">
        <v>8311.66</v>
      </c>
      <c r="G71" s="1060">
        <v>71345.91</v>
      </c>
      <c r="H71" s="1060">
        <v>27.62</v>
      </c>
      <c r="I71" s="1060">
        <v>71.36</v>
      </c>
      <c r="J71" s="1060">
        <v>71.41</v>
      </c>
      <c r="K71" s="1060">
        <v>31.94</v>
      </c>
      <c r="L71" s="1060">
        <v>1.1100000000000001</v>
      </c>
      <c r="M71" s="1061">
        <f t="shared" si="17"/>
        <v>71549.350000000006</v>
      </c>
      <c r="N71" s="1062">
        <f t="shared" si="23"/>
        <v>989.10000000000582</v>
      </c>
      <c r="O71" s="1063">
        <f t="shared" si="24"/>
        <v>1.3824024956201639E-2</v>
      </c>
      <c r="P71" s="1062">
        <f t="shared" si="20"/>
        <v>72399.599999999991</v>
      </c>
      <c r="Q71" s="1062"/>
      <c r="R71" s="1062">
        <f t="shared" si="21"/>
        <v>-850.24999999998545</v>
      </c>
      <c r="S71" s="1062" t="str">
        <f t="shared" si="22"/>
        <v>Não</v>
      </c>
    </row>
    <row r="72" spans="1:19" ht="13.5" customHeight="1">
      <c r="A72" s="1440">
        <v>43534</v>
      </c>
      <c r="B72" s="1671"/>
      <c r="C72" s="1675"/>
      <c r="D72" s="1362"/>
      <c r="E72" s="1363"/>
      <c r="F72" s="1364">
        <v>8332.15</v>
      </c>
      <c r="G72" s="1060">
        <v>74059.41</v>
      </c>
      <c r="H72" s="1060">
        <v>27.68</v>
      </c>
      <c r="I72" s="1060">
        <v>71.53</v>
      </c>
      <c r="J72" s="1060">
        <v>71.58</v>
      </c>
      <c r="K72" s="1060">
        <v>32.01</v>
      </c>
      <c r="L72" s="1060">
        <v>1.1100000000000001</v>
      </c>
      <c r="M72" s="1061">
        <f t="shared" si="17"/>
        <v>74263.319999999992</v>
      </c>
      <c r="N72" s="1062">
        <f t="shared" si="23"/>
        <v>2713.9699999999866</v>
      </c>
      <c r="O72" s="1063">
        <f t="shared" si="24"/>
        <v>3.6545228519274213E-2</v>
      </c>
      <c r="P72" s="1062">
        <f t="shared" si="20"/>
        <v>72538.450000000012</v>
      </c>
      <c r="Q72" s="1062"/>
      <c r="R72" s="1062">
        <f t="shared" si="21"/>
        <v>1724.8699999999808</v>
      </c>
      <c r="S72" s="1062" t="str">
        <f t="shared" si="22"/>
        <v>SIM</v>
      </c>
    </row>
    <row r="73" spans="1:19" ht="13.5" customHeight="1">
      <c r="A73" s="1440">
        <v>43565</v>
      </c>
      <c r="B73" s="1671"/>
      <c r="C73" s="1675"/>
      <c r="D73" s="1362"/>
      <c r="E73" s="1363"/>
      <c r="F73" s="1364">
        <v>8352.69</v>
      </c>
      <c r="G73" s="1060">
        <v>74990.47</v>
      </c>
      <c r="H73" s="1060">
        <v>27.74</v>
      </c>
      <c r="I73" s="1060">
        <v>71.7</v>
      </c>
      <c r="J73" s="1060">
        <v>71.75</v>
      </c>
      <c r="K73" s="1060">
        <v>32.08</v>
      </c>
      <c r="L73" s="1060">
        <v>1.1100000000000001</v>
      </c>
      <c r="M73" s="1061">
        <f t="shared" si="17"/>
        <v>75194.850000000006</v>
      </c>
      <c r="N73" s="1062">
        <f t="shared" si="23"/>
        <v>931.53000000001339</v>
      </c>
      <c r="O73" s="1063">
        <f t="shared" si="24"/>
        <v>1.2388215416348504E-2</v>
      </c>
      <c r="P73" s="1062">
        <f t="shared" si="20"/>
        <v>76977.289999999979</v>
      </c>
      <c r="Q73" s="1062"/>
      <c r="R73" s="1062">
        <f t="shared" si="21"/>
        <v>-1782.4399999999732</v>
      </c>
      <c r="S73" s="1062" t="str">
        <f t="shared" si="22"/>
        <v>Não</v>
      </c>
    </row>
    <row r="74" spans="1:19" ht="13.5" customHeight="1">
      <c r="A74" s="1440">
        <v>43595</v>
      </c>
      <c r="B74" s="1671"/>
      <c r="C74" s="1675"/>
      <c r="D74" s="1362"/>
      <c r="E74" s="1363"/>
      <c r="F74" s="1364">
        <v>8373.2800000000007</v>
      </c>
      <c r="G74" s="1060">
        <v>76083.179999999993</v>
      </c>
      <c r="H74" s="1060">
        <v>27.8</v>
      </c>
      <c r="I74" s="1060">
        <v>71.87</v>
      </c>
      <c r="J74" s="1060">
        <v>71.92</v>
      </c>
      <c r="K74" s="1060">
        <v>32.15</v>
      </c>
      <c r="L74" s="1060">
        <v>1.1100000000000001</v>
      </c>
      <c r="M74" s="1061">
        <f t="shared" si="17"/>
        <v>76288.029999999984</v>
      </c>
      <c r="N74" s="1062">
        <f t="shared" si="23"/>
        <v>1093.1799999999785</v>
      </c>
      <c r="O74" s="1063">
        <f t="shared" si="24"/>
        <v>1.4329639918608184E-2</v>
      </c>
      <c r="P74" s="1062">
        <f t="shared" si="20"/>
        <v>76126.380000000019</v>
      </c>
      <c r="Q74" s="1062"/>
      <c r="R74" s="1062">
        <f t="shared" si="21"/>
        <v>161.64999999996508</v>
      </c>
      <c r="S74" s="1062" t="str">
        <f t="shared" si="22"/>
        <v>SIM</v>
      </c>
    </row>
    <row r="75" spans="1:19" ht="13.15" customHeight="1">
      <c r="A75" s="1440">
        <v>43626</v>
      </c>
      <c r="B75" s="1671"/>
      <c r="C75" s="1675"/>
      <c r="D75" s="1362"/>
      <c r="E75" s="1363"/>
      <c r="F75" s="1364">
        <v>8393.92</v>
      </c>
      <c r="G75" s="1060">
        <v>77066.33</v>
      </c>
      <c r="H75" s="1060">
        <v>27.86</v>
      </c>
      <c r="I75" s="1060">
        <v>72.040000000000006</v>
      </c>
      <c r="J75" s="1060">
        <v>72.09</v>
      </c>
      <c r="K75" s="1060">
        <v>32.22</v>
      </c>
      <c r="L75" s="1060">
        <v>1.1100000000000001</v>
      </c>
      <c r="M75" s="1061">
        <f t="shared" si="17"/>
        <v>77271.649999999994</v>
      </c>
      <c r="N75" s="1062">
        <f t="shared" si="23"/>
        <v>983.6200000000099</v>
      </c>
      <c r="O75" s="1063">
        <f t="shared" si="24"/>
        <v>1.2729377462497695E-2</v>
      </c>
      <c r="P75" s="1062">
        <f t="shared" si="20"/>
        <v>77381.209999999963</v>
      </c>
      <c r="Q75" s="1062"/>
      <c r="R75" s="1062">
        <f t="shared" si="21"/>
        <v>-109.55999999996857</v>
      </c>
      <c r="S75" s="1062" t="str">
        <f t="shared" si="22"/>
        <v>Não</v>
      </c>
    </row>
    <row r="76" spans="1:19" ht="13.5" customHeight="1">
      <c r="A76" s="1440">
        <v>43656</v>
      </c>
      <c r="B76" s="1671"/>
      <c r="C76" s="1675"/>
      <c r="D76" s="1362"/>
      <c r="E76" s="1363"/>
      <c r="F76" s="1364">
        <v>8414.61</v>
      </c>
      <c r="G76" s="1060">
        <v>78677.960000000006</v>
      </c>
      <c r="H76" s="1060">
        <v>27.92</v>
      </c>
      <c r="I76" s="1060">
        <v>72.209999999999994</v>
      </c>
      <c r="J76" s="1060">
        <v>72.260000000000005</v>
      </c>
      <c r="K76" s="1060">
        <v>32.29</v>
      </c>
      <c r="L76" s="1060">
        <v>1.1100000000000001</v>
      </c>
      <c r="M76" s="1061">
        <f t="shared" si="17"/>
        <v>78883.75</v>
      </c>
      <c r="N76" s="1062">
        <f t="shared" si="23"/>
        <v>1612.1000000000058</v>
      </c>
      <c r="O76" s="1063">
        <f t="shared" si="24"/>
        <v>2.0436401667010072E-2</v>
      </c>
      <c r="P76" s="1062">
        <f t="shared" si="20"/>
        <v>78255.27</v>
      </c>
      <c r="Q76" s="1062"/>
      <c r="R76" s="1062">
        <f t="shared" si="21"/>
        <v>628.47999999999593</v>
      </c>
      <c r="S76" s="1062" t="str">
        <f t="shared" si="22"/>
        <v>SIM</v>
      </c>
    </row>
    <row r="77" spans="1:19" ht="13.5" customHeight="1">
      <c r="A77" s="1440">
        <v>43687</v>
      </c>
      <c r="B77" s="1671"/>
      <c r="C77" s="1675"/>
      <c r="D77" s="1362"/>
      <c r="E77" s="1363"/>
      <c r="F77" s="1364">
        <v>8435.36</v>
      </c>
      <c r="G77" s="1060">
        <v>79667.5</v>
      </c>
      <c r="H77" s="1060">
        <v>27.98</v>
      </c>
      <c r="I77" s="1060">
        <v>72.38</v>
      </c>
      <c r="J77" s="1060">
        <v>72.430000000000007</v>
      </c>
      <c r="K77" s="1060">
        <v>32.36</v>
      </c>
      <c r="L77" s="1060">
        <v>1.1100000000000001</v>
      </c>
      <c r="M77" s="1061">
        <f t="shared" si="17"/>
        <v>79873.759999999995</v>
      </c>
      <c r="N77" s="1062">
        <f t="shared" si="23"/>
        <v>990.00999999999476</v>
      </c>
      <c r="O77" s="1063">
        <f t="shared" si="24"/>
        <v>1.2394683811053778E-2</v>
      </c>
      <c r="P77" s="1062">
        <f t="shared" si="20"/>
        <v>80495.850000000006</v>
      </c>
      <c r="Q77" s="1062"/>
      <c r="R77" s="1062">
        <f t="shared" si="21"/>
        <v>-622.09000000001106</v>
      </c>
      <c r="S77" s="1062" t="str">
        <f t="shared" si="22"/>
        <v>Não</v>
      </c>
    </row>
    <row r="78" spans="1:19" ht="13.5" customHeight="1">
      <c r="A78" s="1440">
        <v>43718</v>
      </c>
      <c r="B78" s="1671"/>
      <c r="C78" s="1675"/>
      <c r="D78" s="1362"/>
      <c r="E78" s="1363"/>
      <c r="F78" s="1364">
        <v>8212.23</v>
      </c>
      <c r="G78" s="1060">
        <v>81485.33</v>
      </c>
      <c r="H78" s="1060">
        <v>0</v>
      </c>
      <c r="I78" s="1060">
        <v>0</v>
      </c>
      <c r="J78" s="1060">
        <v>0</v>
      </c>
      <c r="K78" s="1060">
        <v>0</v>
      </c>
      <c r="L78" s="1060">
        <v>0</v>
      </c>
      <c r="M78" s="1061">
        <f t="shared" si="17"/>
        <v>81485.33</v>
      </c>
      <c r="N78" s="1062">
        <f t="shared" ref="N78:N87" si="25">IF(M78&lt;&gt;0,M78-M77,"")</f>
        <v>1611.570000000007</v>
      </c>
      <c r="O78" s="1063">
        <f t="shared" si="24"/>
        <v>1.9777424967169024E-2</v>
      </c>
      <c r="P78" s="1062">
        <f t="shared" si="20"/>
        <v>80863.76999999999</v>
      </c>
      <c r="Q78" s="1062"/>
      <c r="R78" s="1062">
        <f t="shared" si="21"/>
        <v>621.56000000001222</v>
      </c>
      <c r="S78" s="1062" t="str">
        <f t="shared" si="22"/>
        <v>SIM</v>
      </c>
    </row>
    <row r="79" spans="1:19" ht="13.5" customHeight="1">
      <c r="A79" s="1440">
        <v>43748</v>
      </c>
      <c r="B79" s="1671"/>
      <c r="C79" s="1675"/>
      <c r="D79" s="1362"/>
      <c r="E79" s="1363"/>
      <c r="F79" s="1364">
        <v>8232.48</v>
      </c>
      <c r="G79" s="1060">
        <v>0</v>
      </c>
      <c r="H79" s="1060">
        <v>0</v>
      </c>
      <c r="I79" s="1060">
        <v>0</v>
      </c>
      <c r="J79" s="1060">
        <v>0</v>
      </c>
      <c r="K79" s="1060">
        <v>0</v>
      </c>
      <c r="L79" s="1060">
        <v>0</v>
      </c>
      <c r="M79" s="1061">
        <f t="shared" si="17"/>
        <v>0</v>
      </c>
      <c r="N79" s="1062" t="str">
        <f t="shared" si="25"/>
        <v/>
      </c>
      <c r="O79" s="1063" t="str">
        <f t="shared" ref="O79:O87" si="26">IF(N79&lt;&gt;"",(N79/M79),"")</f>
        <v/>
      </c>
      <c r="P79" s="1062">
        <f t="shared" si="20"/>
        <v>83096.900000000009</v>
      </c>
      <c r="Q79" s="1062"/>
      <c r="R79" s="1062" t="str">
        <f t="shared" si="21"/>
        <v/>
      </c>
      <c r="S79" s="1062" t="str">
        <f t="shared" si="22"/>
        <v>Não</v>
      </c>
    </row>
    <row r="80" spans="1:19" ht="13.15" customHeight="1">
      <c r="A80" s="1440">
        <v>43779</v>
      </c>
      <c r="B80" s="1671"/>
      <c r="C80" s="1675"/>
      <c r="D80" s="1362"/>
      <c r="E80" s="1363"/>
      <c r="F80" s="1364">
        <v>8252.7800000000007</v>
      </c>
      <c r="G80" s="1060">
        <v>0</v>
      </c>
      <c r="H80" s="1060">
        <v>0</v>
      </c>
      <c r="I80" s="1060">
        <v>0</v>
      </c>
      <c r="J80" s="1060">
        <v>0</v>
      </c>
      <c r="K80" s="1060">
        <v>0</v>
      </c>
      <c r="L80" s="1060">
        <v>0</v>
      </c>
      <c r="M80" s="1061">
        <f t="shared" si="17"/>
        <v>0</v>
      </c>
      <c r="N80" s="1062" t="str">
        <f t="shared" si="25"/>
        <v/>
      </c>
      <c r="O80" s="1063" t="str">
        <f t="shared" si="26"/>
        <v/>
      </c>
      <c r="P80" s="1062" t="str">
        <f t="shared" si="20"/>
        <v/>
      </c>
      <c r="Q80" s="1062"/>
      <c r="R80" s="1062" t="str">
        <f t="shared" si="21"/>
        <v/>
      </c>
      <c r="S80" s="1062" t="str">
        <f t="shared" si="22"/>
        <v>Não</v>
      </c>
    </row>
    <row r="81" spans="1:19" ht="13.5" customHeight="1">
      <c r="A81" s="1440">
        <v>43809</v>
      </c>
      <c r="B81" s="1671"/>
      <c r="C81" s="1675"/>
      <c r="D81" s="1362"/>
      <c r="E81" s="1060">
        <v>540.01</v>
      </c>
      <c r="F81" s="1364">
        <v>8252.7800000000007</v>
      </c>
      <c r="G81" s="1060">
        <v>0</v>
      </c>
      <c r="H81" s="1060">
        <v>0</v>
      </c>
      <c r="I81" s="1060">
        <v>0</v>
      </c>
      <c r="J81" s="1060">
        <v>0</v>
      </c>
      <c r="K81" s="1060">
        <v>0</v>
      </c>
      <c r="L81" s="1060">
        <v>0</v>
      </c>
      <c r="M81" s="1061">
        <f t="shared" ref="M81:M86" si="27">SUM(E81:L81)</f>
        <v>8792.7900000000009</v>
      </c>
      <c r="N81" s="1062">
        <f t="shared" si="25"/>
        <v>8792.7900000000009</v>
      </c>
      <c r="O81" s="1063">
        <f t="shared" si="26"/>
        <v>1</v>
      </c>
      <c r="P81" s="1062" t="str">
        <f t="shared" si="20"/>
        <v/>
      </c>
      <c r="Q81" s="1062"/>
      <c r="R81" s="1062" t="e">
        <f t="shared" si="21"/>
        <v>#VALUE!</v>
      </c>
      <c r="S81" s="1062" t="str">
        <f t="shared" si="22"/>
        <v>Não</v>
      </c>
    </row>
    <row r="82" spans="1:19" ht="13.5" customHeight="1">
      <c r="A82" s="1440">
        <v>43840</v>
      </c>
      <c r="B82" s="1671"/>
      <c r="C82" s="1675"/>
      <c r="D82" s="1362"/>
      <c r="E82" s="1060">
        <v>1321.35</v>
      </c>
      <c r="F82" s="1364">
        <v>8293.5300000000007</v>
      </c>
      <c r="G82" s="1060">
        <v>0</v>
      </c>
      <c r="H82" s="1060">
        <v>0</v>
      </c>
      <c r="I82" s="1060">
        <v>0</v>
      </c>
      <c r="J82" s="1060">
        <v>0</v>
      </c>
      <c r="K82" s="1060">
        <v>0</v>
      </c>
      <c r="L82" s="1060">
        <v>0</v>
      </c>
      <c r="M82" s="1061">
        <f t="shared" si="27"/>
        <v>9614.880000000001</v>
      </c>
      <c r="N82" s="1062">
        <f t="shared" si="25"/>
        <v>822.09000000000015</v>
      </c>
      <c r="O82" s="1063">
        <f t="shared" si="26"/>
        <v>8.5501847136937759E-2</v>
      </c>
      <c r="P82" s="1062">
        <f t="shared" ref="P82:P89" si="28">IF(N81&lt;&gt;"",AVERAGE(N79:N81),"")</f>
        <v>8792.7900000000009</v>
      </c>
      <c r="Q82" s="1062">
        <f t="shared" ref="Q82:Q89" si="29">M81+P82</f>
        <v>17585.580000000002</v>
      </c>
      <c r="R82" s="1062">
        <f t="shared" ref="R82:R89" si="30">IF(M82&gt;0,M82-Q82,"")</f>
        <v>-7970.7000000000007</v>
      </c>
      <c r="S82" s="1062" t="str">
        <f t="shared" si="22"/>
        <v>SIM</v>
      </c>
    </row>
    <row r="83" spans="1:19" ht="13.5" customHeight="1">
      <c r="A83" s="1440">
        <v>43871</v>
      </c>
      <c r="B83" s="1671"/>
      <c r="C83" s="1675"/>
      <c r="D83" s="1362"/>
      <c r="E83" s="1060">
        <v>2044.61</v>
      </c>
      <c r="F83" s="1364">
        <v>8313.98</v>
      </c>
      <c r="G83" s="1060">
        <v>0</v>
      </c>
      <c r="H83" s="1060">
        <v>0</v>
      </c>
      <c r="I83" s="1060">
        <v>0</v>
      </c>
      <c r="J83" s="1060">
        <v>0</v>
      </c>
      <c r="K83" s="1060">
        <v>0</v>
      </c>
      <c r="L83" s="1060">
        <v>0</v>
      </c>
      <c r="M83" s="1061">
        <f t="shared" si="27"/>
        <v>10358.59</v>
      </c>
      <c r="N83" s="1062">
        <f t="shared" si="25"/>
        <v>743.70999999999913</v>
      </c>
      <c r="O83" s="1063">
        <f t="shared" si="26"/>
        <v>7.1796451061389543E-2</v>
      </c>
      <c r="P83" s="1062">
        <f t="shared" si="28"/>
        <v>4807.4400000000005</v>
      </c>
      <c r="Q83" s="1062">
        <f t="shared" si="29"/>
        <v>14422.320000000002</v>
      </c>
      <c r="R83" s="1062">
        <f t="shared" si="30"/>
        <v>-4063.7300000000014</v>
      </c>
      <c r="S83" s="1062" t="str">
        <f t="shared" si="22"/>
        <v>SIM</v>
      </c>
    </row>
    <row r="84" spans="1:19" ht="13.5" customHeight="1">
      <c r="A84" s="1440">
        <v>43900</v>
      </c>
      <c r="B84" s="1671"/>
      <c r="C84" s="1675"/>
      <c r="D84" s="1362"/>
      <c r="E84" s="1060">
        <v>2769.66</v>
      </c>
      <c r="F84" s="1364">
        <v>8334.48</v>
      </c>
      <c r="G84" s="1060">
        <v>0</v>
      </c>
      <c r="H84" s="1060">
        <v>0</v>
      </c>
      <c r="I84" s="1060">
        <v>0</v>
      </c>
      <c r="J84" s="1060">
        <v>0</v>
      </c>
      <c r="K84" s="1060">
        <v>0</v>
      </c>
      <c r="L84" s="1060">
        <v>0</v>
      </c>
      <c r="M84" s="1061">
        <f t="shared" si="27"/>
        <v>11104.14</v>
      </c>
      <c r="N84" s="1062">
        <f t="shared" si="25"/>
        <v>745.54999999999927</v>
      </c>
      <c r="O84" s="1063">
        <f t="shared" si="26"/>
        <v>6.7141624655308679E-2</v>
      </c>
      <c r="P84" s="1062">
        <f t="shared" si="28"/>
        <v>3452.8633333333332</v>
      </c>
      <c r="Q84" s="1062">
        <f t="shared" si="29"/>
        <v>13811.453333333333</v>
      </c>
      <c r="R84" s="1062">
        <f t="shared" si="30"/>
        <v>-2707.3133333333335</v>
      </c>
      <c r="S84" s="1062" t="str">
        <f t="shared" si="22"/>
        <v>SIM</v>
      </c>
    </row>
    <row r="85" spans="1:19" ht="13.5" customHeight="1">
      <c r="A85" s="1440">
        <v>43931</v>
      </c>
      <c r="B85" s="1671"/>
      <c r="C85" s="1675"/>
      <c r="D85" s="1362"/>
      <c r="E85" s="1060">
        <v>0</v>
      </c>
      <c r="F85" s="1364">
        <v>8355.0300000000007</v>
      </c>
      <c r="G85" s="1060">
        <v>0</v>
      </c>
      <c r="H85" s="1060">
        <v>0</v>
      </c>
      <c r="I85" s="1060">
        <v>0</v>
      </c>
      <c r="J85" s="1060">
        <v>0</v>
      </c>
      <c r="K85" s="1060">
        <v>0</v>
      </c>
      <c r="L85" s="1060">
        <v>0</v>
      </c>
      <c r="M85" s="1061">
        <f t="shared" si="27"/>
        <v>8355.0300000000007</v>
      </c>
      <c r="N85" s="1062">
        <f t="shared" si="25"/>
        <v>-2749.1099999999988</v>
      </c>
      <c r="O85" s="1063">
        <f t="shared" si="26"/>
        <v>-0.3290365205151865</v>
      </c>
      <c r="P85" s="1062">
        <f t="shared" si="28"/>
        <v>770.44999999999948</v>
      </c>
      <c r="Q85" s="1062">
        <f t="shared" si="29"/>
        <v>11874.589999999998</v>
      </c>
      <c r="R85" s="1062">
        <f t="shared" si="30"/>
        <v>-3519.5599999999977</v>
      </c>
      <c r="S85" s="1062" t="str">
        <f t="shared" si="22"/>
        <v>SIM</v>
      </c>
    </row>
    <row r="86" spans="1:19" ht="13.5" customHeight="1">
      <c r="A86" s="1440">
        <v>44326</v>
      </c>
      <c r="B86" s="1671"/>
      <c r="C86" s="1675"/>
      <c r="D86" s="1362"/>
      <c r="E86" s="1060">
        <v>10.14</v>
      </c>
      <c r="F86" s="1364">
        <v>8782.83</v>
      </c>
      <c r="G86" s="1060">
        <v>0</v>
      </c>
      <c r="H86" s="1060">
        <v>0</v>
      </c>
      <c r="I86" s="1060">
        <v>0</v>
      </c>
      <c r="J86" s="1060">
        <v>0</v>
      </c>
      <c r="K86" s="1060">
        <v>0</v>
      </c>
      <c r="L86" s="1060">
        <v>0</v>
      </c>
      <c r="M86" s="1061">
        <f t="shared" si="27"/>
        <v>8792.9699999999993</v>
      </c>
      <c r="N86" s="1062">
        <f t="shared" si="25"/>
        <v>437.93999999999869</v>
      </c>
      <c r="O86" s="1063">
        <f t="shared" si="26"/>
        <v>4.9805697051166865E-2</v>
      </c>
      <c r="P86" s="1062">
        <f t="shared" si="28"/>
        <v>-419.9500000000001</v>
      </c>
      <c r="Q86" s="1062">
        <f t="shared" si="29"/>
        <v>7935.0800000000008</v>
      </c>
      <c r="R86" s="1062">
        <f t="shared" si="30"/>
        <v>857.88999999999851</v>
      </c>
      <c r="S86" s="1062" t="str">
        <f t="shared" si="22"/>
        <v>SIM</v>
      </c>
    </row>
    <row r="87" spans="1:19" ht="13.5" customHeight="1">
      <c r="A87" s="1440">
        <v>44357</v>
      </c>
      <c r="B87" s="1671"/>
      <c r="C87" s="1675"/>
      <c r="D87" s="1362">
        <v>660.81</v>
      </c>
      <c r="E87" s="1060">
        <v>10.16</v>
      </c>
      <c r="F87" s="1364">
        <v>8804.48</v>
      </c>
      <c r="G87" s="1060">
        <v>0</v>
      </c>
      <c r="H87" s="1060">
        <v>0</v>
      </c>
      <c r="I87" s="1060">
        <v>0</v>
      </c>
      <c r="J87" s="1060">
        <v>0</v>
      </c>
      <c r="K87" s="1060">
        <v>0</v>
      </c>
      <c r="L87" s="1060">
        <v>0</v>
      </c>
      <c r="M87" s="1061">
        <f>SUM(D87:L87)</f>
        <v>9475.4499999999989</v>
      </c>
      <c r="N87" s="1062">
        <f t="shared" si="25"/>
        <v>682.47999999999956</v>
      </c>
      <c r="O87" s="1063">
        <f t="shared" si="26"/>
        <v>7.2026130685086162E-2</v>
      </c>
      <c r="P87" s="1062">
        <f t="shared" si="28"/>
        <v>-521.87333333333356</v>
      </c>
      <c r="Q87" s="1062">
        <f t="shared" si="29"/>
        <v>8271.0966666666664</v>
      </c>
      <c r="R87" s="1062">
        <f t="shared" si="30"/>
        <v>1204.3533333333326</v>
      </c>
      <c r="S87" s="1062" t="str">
        <f>IF(M87&gt;=Q87,"SIM","Não")</f>
        <v>SIM</v>
      </c>
    </row>
    <row r="88" spans="1:19" ht="13.5" customHeight="1">
      <c r="A88" s="1440">
        <v>44387</v>
      </c>
      <c r="B88" s="1671"/>
      <c r="C88" s="1675"/>
      <c r="D88" s="1362">
        <v>1921.1</v>
      </c>
      <c r="E88" s="1060">
        <v>10.18</v>
      </c>
      <c r="F88" s="1364">
        <v>8826.19</v>
      </c>
      <c r="G88" s="1060">
        <v>0</v>
      </c>
      <c r="H88" s="1060">
        <v>0</v>
      </c>
      <c r="I88" s="1060">
        <v>0</v>
      </c>
      <c r="J88" s="1060">
        <v>0</v>
      </c>
      <c r="K88" s="1060">
        <v>0</v>
      </c>
      <c r="L88" s="1060">
        <v>0</v>
      </c>
      <c r="M88" s="1061">
        <f>SUM(D88:L88)</f>
        <v>10757.470000000001</v>
      </c>
      <c r="N88" s="1062">
        <f>IF(M88&lt;&gt;0,M88-M87,"")</f>
        <v>1282.0200000000023</v>
      </c>
      <c r="O88" s="1063">
        <f>IF(N88&lt;&gt;"",(N88/M88),"")</f>
        <v>0.11917486174723259</v>
      </c>
      <c r="P88" s="1062">
        <f t="shared" si="28"/>
        <v>-542.89666666666687</v>
      </c>
      <c r="Q88" s="1062">
        <f t="shared" si="29"/>
        <v>8932.5533333333315</v>
      </c>
      <c r="R88" s="1062">
        <f t="shared" si="30"/>
        <v>1824.9166666666697</v>
      </c>
      <c r="S88" s="1062" t="str">
        <f>IF(M88&gt;=Q88,"SIM","Não")</f>
        <v>SIM</v>
      </c>
    </row>
    <row r="89" spans="1:19" ht="13.5" customHeight="1">
      <c r="A89" s="1440">
        <v>44418</v>
      </c>
      <c r="B89" s="1671"/>
      <c r="C89" s="1675"/>
      <c r="D89" s="1362">
        <v>2869.84</v>
      </c>
      <c r="E89" s="1060">
        <v>10.199999999999999</v>
      </c>
      <c r="F89" s="1364">
        <v>8847.9500000000007</v>
      </c>
      <c r="G89" s="1060">
        <v>0</v>
      </c>
      <c r="H89" s="1060">
        <v>0</v>
      </c>
      <c r="I89" s="1060">
        <v>0</v>
      </c>
      <c r="J89" s="1060">
        <v>0</v>
      </c>
      <c r="K89" s="1060">
        <v>0</v>
      </c>
      <c r="L89" s="1060">
        <v>0</v>
      </c>
      <c r="M89" s="1061">
        <f>SUM(D89:L89)</f>
        <v>11727.990000000002</v>
      </c>
      <c r="N89" s="1062">
        <f>IF(M89&lt;&gt;0,M89-M88,"")</f>
        <v>970.52000000000044</v>
      </c>
      <c r="O89" s="1063">
        <f>IF(N89&lt;&gt;"",(N89/M89),"")</f>
        <v>8.2752458008576085E-2</v>
      </c>
      <c r="P89" s="1062">
        <f t="shared" si="28"/>
        <v>800.8133333333335</v>
      </c>
      <c r="Q89" s="1062">
        <f t="shared" si="29"/>
        <v>11558.283333333335</v>
      </c>
      <c r="R89" s="1062">
        <f t="shared" si="30"/>
        <v>169.70666666666693</v>
      </c>
      <c r="S89" s="1062" t="str">
        <f>IF(M89&gt;=Q89,"SIM","Não")</f>
        <v>SIM</v>
      </c>
    </row>
    <row r="90" spans="1:19" ht="13.5" customHeight="1">
      <c r="A90" s="1440">
        <v>44449</v>
      </c>
      <c r="B90" s="1671"/>
      <c r="C90" s="1675"/>
      <c r="D90" s="1362">
        <v>3820.92</v>
      </c>
      <c r="E90" s="1060">
        <v>10.4</v>
      </c>
      <c r="F90" s="1364">
        <v>9031.82</v>
      </c>
      <c r="G90" s="1060">
        <v>0</v>
      </c>
      <c r="H90" s="1060">
        <v>0</v>
      </c>
      <c r="I90" s="1060">
        <v>0</v>
      </c>
      <c r="J90" s="1060">
        <v>0</v>
      </c>
      <c r="K90" s="1060">
        <v>0</v>
      </c>
      <c r="L90" s="1060">
        <v>0</v>
      </c>
      <c r="M90" s="1061">
        <f t="shared" ref="M90:M95" si="31">SUM(D90:L90)</f>
        <v>12863.14</v>
      </c>
      <c r="N90" s="1062">
        <f t="shared" ref="N90:N95" si="32">IF(M90&lt;&gt;0,M90-M89,"")</f>
        <v>1135.1499999999978</v>
      </c>
      <c r="O90" s="1063">
        <f t="shared" ref="O90:O95" si="33">IF(N90&lt;&gt;"",(N90/M90),"")</f>
        <v>8.8248281523795741E-2</v>
      </c>
      <c r="P90" s="1062">
        <f>IF(N89&lt;&gt;"",AVERAGE(N87:N89),"")</f>
        <v>978.34000000000071</v>
      </c>
      <c r="Q90" s="1062">
        <f>M89+P90</f>
        <v>12706.330000000002</v>
      </c>
      <c r="R90" s="1062">
        <f>IF(M90&gt;0,M90-Q90,"")</f>
        <v>156.80999999999767</v>
      </c>
      <c r="S90" s="1062" t="str">
        <f>IF(M90&gt;=Q90,"SIM","Não")</f>
        <v>SIM</v>
      </c>
    </row>
    <row r="91" spans="1:19" ht="13.5" customHeight="1">
      <c r="A91" s="1440">
        <v>44479</v>
      </c>
      <c r="B91" s="1671"/>
      <c r="C91" s="1675"/>
      <c r="D91" s="1362">
        <v>4774.3500000000004</v>
      </c>
      <c r="E91" s="1060">
        <v>10.42</v>
      </c>
      <c r="F91" s="1364">
        <v>9054.09</v>
      </c>
      <c r="G91" s="1060">
        <v>0</v>
      </c>
      <c r="H91" s="1060">
        <v>0</v>
      </c>
      <c r="I91" s="1060">
        <v>0</v>
      </c>
      <c r="J91" s="1060">
        <v>0</v>
      </c>
      <c r="K91" s="1060">
        <v>0</v>
      </c>
      <c r="L91" s="1060">
        <v>0</v>
      </c>
      <c r="M91" s="1061">
        <f t="shared" si="31"/>
        <v>13838.86</v>
      </c>
      <c r="N91" s="1062">
        <f t="shared" si="32"/>
        <v>975.72000000000116</v>
      </c>
      <c r="O91" s="1063">
        <f t="shared" si="33"/>
        <v>7.0505807559293254E-2</v>
      </c>
      <c r="P91" s="1062">
        <f t="shared" ref="P91:P106" si="34">IF(N90&lt;&gt;"",AVERAGE(N88:N90),"")</f>
        <v>1129.2300000000002</v>
      </c>
      <c r="Q91" s="1062">
        <f>IF(P91&gt;0,M90+P91,"")</f>
        <v>13992.369999999999</v>
      </c>
      <c r="R91" s="1062">
        <f t="shared" ref="R91:R106" si="35">IF(M91&gt;0,M91-Q91,"")</f>
        <v>-153.5099999999984</v>
      </c>
      <c r="S91" s="1062" t="str">
        <f>IF(M91&gt;=Q91,"SIM","Não")</f>
        <v>Não</v>
      </c>
    </row>
    <row r="92" spans="1:19" ht="13.5" customHeight="1">
      <c r="A92" s="1440">
        <v>44510</v>
      </c>
      <c r="B92" s="1671"/>
      <c r="C92" s="1675"/>
      <c r="D92" s="1362">
        <v>5730.13</v>
      </c>
      <c r="E92" s="1060">
        <v>10.44</v>
      </c>
      <c r="F92" s="1364">
        <v>9076.41</v>
      </c>
      <c r="G92" s="1060">
        <v>0</v>
      </c>
      <c r="H92" s="1060">
        <v>0</v>
      </c>
      <c r="I92" s="1060">
        <v>0</v>
      </c>
      <c r="J92" s="1060">
        <v>0</v>
      </c>
      <c r="K92" s="1060">
        <v>0</v>
      </c>
      <c r="L92" s="1060">
        <v>0</v>
      </c>
      <c r="M92" s="1061">
        <f t="shared" si="31"/>
        <v>14816.98</v>
      </c>
      <c r="N92" s="1062">
        <f t="shared" si="32"/>
        <v>978.11999999999898</v>
      </c>
      <c r="O92" s="1063">
        <f t="shared" si="33"/>
        <v>6.6013452133970557E-2</v>
      </c>
      <c r="P92" s="1062">
        <f t="shared" si="34"/>
        <v>1027.1299999999999</v>
      </c>
      <c r="Q92" s="1062">
        <f>IF(M91&gt;0,M91+P92,"")</f>
        <v>14865.99</v>
      </c>
      <c r="R92" s="1062">
        <f t="shared" si="35"/>
        <v>-49.010000000000218</v>
      </c>
      <c r="S92" s="1062" t="str">
        <f t="shared" ref="S92:S106" si="36">IF(M92&gt;=Q92,"SIM","Não")</f>
        <v>Não</v>
      </c>
    </row>
    <row r="93" spans="1:19" ht="13.5" customHeight="1">
      <c r="A93" s="1440">
        <v>44540</v>
      </c>
      <c r="B93" s="1671"/>
      <c r="C93" s="1675"/>
      <c r="D93" s="1362">
        <v>6688.27</v>
      </c>
      <c r="E93" s="1060">
        <v>10.46</v>
      </c>
      <c r="F93" s="1364">
        <v>9098.7900000000009</v>
      </c>
      <c r="G93" s="1060"/>
      <c r="H93" s="1060"/>
      <c r="I93" s="1060"/>
      <c r="J93" s="1060"/>
      <c r="K93" s="1060"/>
      <c r="L93" s="1060"/>
      <c r="M93" s="1061">
        <f t="shared" si="31"/>
        <v>15797.52</v>
      </c>
      <c r="N93" s="1062">
        <f t="shared" si="32"/>
        <v>980.54000000000087</v>
      </c>
      <c r="O93" s="1063">
        <f t="shared" si="33"/>
        <v>6.2069236183907403E-2</v>
      </c>
      <c r="P93" s="1062">
        <f t="shared" si="34"/>
        <v>1029.6633333333327</v>
      </c>
      <c r="Q93" s="1062">
        <f t="shared" ref="Q93:Q106" si="37">IF(M92&gt;0,M92+P93,"")</f>
        <v>15846.643333333332</v>
      </c>
      <c r="R93" s="1062">
        <f t="shared" si="35"/>
        <v>-49.123333333331175</v>
      </c>
      <c r="S93" s="1062" t="str">
        <f t="shared" si="36"/>
        <v>Não</v>
      </c>
    </row>
    <row r="94" spans="1:19" ht="13.5" customHeight="1">
      <c r="A94" s="1440">
        <v>44571</v>
      </c>
      <c r="B94" s="1671"/>
      <c r="C94" s="1675"/>
      <c r="D94" s="1362">
        <v>7966.7</v>
      </c>
      <c r="E94" s="1060">
        <v>10.49</v>
      </c>
      <c r="F94" s="1364">
        <v>9125.67</v>
      </c>
      <c r="G94" s="1060"/>
      <c r="H94" s="1060"/>
      <c r="I94" s="1060"/>
      <c r="J94" s="1060"/>
      <c r="K94" s="1060"/>
      <c r="L94" s="1060"/>
      <c r="M94" s="1061">
        <f t="shared" si="31"/>
        <v>17102.86</v>
      </c>
      <c r="N94" s="1062">
        <f t="shared" si="32"/>
        <v>1305.3400000000001</v>
      </c>
      <c r="O94" s="1063">
        <f t="shared" si="33"/>
        <v>7.6322907396774581E-2</v>
      </c>
      <c r="P94" s="1062">
        <f t="shared" si="34"/>
        <v>978.12666666666701</v>
      </c>
      <c r="Q94" s="1062">
        <f t="shared" si="37"/>
        <v>16775.646666666667</v>
      </c>
      <c r="R94" s="1062">
        <f t="shared" si="35"/>
        <v>327.21333333333314</v>
      </c>
      <c r="S94" s="1062" t="str">
        <f t="shared" si="36"/>
        <v>SIM</v>
      </c>
    </row>
    <row r="95" spans="1:19" ht="13.5" customHeight="1">
      <c r="A95" s="1440">
        <v>44602</v>
      </c>
      <c r="B95" s="1673"/>
      <c r="C95" s="1669"/>
      <c r="D95" s="1370">
        <v>8999.18</v>
      </c>
      <c r="E95" s="1371">
        <v>10.52</v>
      </c>
      <c r="F95" s="1372">
        <v>9153.7000000000007</v>
      </c>
      <c r="G95" s="1371"/>
      <c r="H95" s="1371"/>
      <c r="I95" s="1371"/>
      <c r="J95" s="1371"/>
      <c r="K95" s="1371"/>
      <c r="L95" s="1371"/>
      <c r="M95" s="1061">
        <f t="shared" si="31"/>
        <v>18163.400000000001</v>
      </c>
      <c r="N95" s="1062">
        <f t="shared" si="32"/>
        <v>1060.5400000000009</v>
      </c>
      <c r="O95" s="1063">
        <f t="shared" si="33"/>
        <v>5.8388847902925707E-2</v>
      </c>
      <c r="P95" s="1062">
        <f t="shared" si="34"/>
        <v>1088</v>
      </c>
      <c r="Q95" s="1062">
        <f t="shared" si="37"/>
        <v>18190.86</v>
      </c>
      <c r="R95" s="1062">
        <f t="shared" si="35"/>
        <v>-27.459999999999127</v>
      </c>
      <c r="S95" s="1062" t="str">
        <f t="shared" si="36"/>
        <v>Não</v>
      </c>
    </row>
    <row r="96" spans="1:19" ht="13.5" customHeight="1">
      <c r="A96" s="1440">
        <v>44630</v>
      </c>
      <c r="B96" s="1673"/>
      <c r="C96" s="1669"/>
      <c r="D96" s="1370">
        <v>10029.379999999999</v>
      </c>
      <c r="E96" s="1371">
        <v>10.54</v>
      </c>
      <c r="F96" s="1372">
        <v>9176.27</v>
      </c>
      <c r="G96" s="1371"/>
      <c r="H96" s="1371"/>
      <c r="I96" s="1371"/>
      <c r="J96" s="1371"/>
      <c r="K96" s="1371"/>
      <c r="L96" s="1371"/>
      <c r="M96" s="1061">
        <f t="shared" ref="M96:M101" si="38">SUM(D96:L96)</f>
        <v>19216.190000000002</v>
      </c>
      <c r="N96" s="1062">
        <f t="shared" ref="N96:N106" si="39">IF(M96&lt;&gt;0,M96-M95,"")</f>
        <v>1052.7900000000009</v>
      </c>
      <c r="O96" s="1063">
        <f t="shared" ref="O96:O106" si="40">IF(N96&lt;&gt;"",(N96/M96),"")</f>
        <v>5.478661482843377E-2</v>
      </c>
      <c r="P96" s="1062">
        <f>IF(N95&lt;&gt;"",AVERAGE(N93:N95),"")</f>
        <v>1115.473333333334</v>
      </c>
      <c r="Q96" s="1062">
        <f t="shared" si="37"/>
        <v>19278.873333333337</v>
      </c>
      <c r="R96" s="1062">
        <f t="shared" si="35"/>
        <v>-62.683333333334303</v>
      </c>
      <c r="S96" s="1062" t="str">
        <f t="shared" si="36"/>
        <v>Não</v>
      </c>
    </row>
    <row r="97" spans="1:19" ht="13.5" customHeight="1">
      <c r="A97" s="1440">
        <v>44661</v>
      </c>
      <c r="B97" s="1673"/>
      <c r="C97" s="1669"/>
      <c r="D97" s="1370">
        <v>11071.88</v>
      </c>
      <c r="E97" s="1371">
        <v>10.57</v>
      </c>
      <c r="F97" s="1372">
        <v>9207.82</v>
      </c>
      <c r="G97" s="1371"/>
      <c r="H97" s="1371"/>
      <c r="I97" s="1371"/>
      <c r="J97" s="1371"/>
      <c r="K97" s="1371"/>
      <c r="L97" s="1371"/>
      <c r="M97" s="1061">
        <f t="shared" si="38"/>
        <v>20290.269999999997</v>
      </c>
      <c r="N97" s="1062">
        <f t="shared" si="39"/>
        <v>1074.0799999999945</v>
      </c>
      <c r="O97" s="1063">
        <f t="shared" si="40"/>
        <v>5.2935717464577585E-2</v>
      </c>
      <c r="P97" s="1062">
        <f t="shared" si="34"/>
        <v>1139.5566666666673</v>
      </c>
      <c r="Q97" s="1062">
        <f t="shared" si="37"/>
        <v>20355.74666666667</v>
      </c>
      <c r="R97" s="1062">
        <f t="shared" si="35"/>
        <v>-65.476666666672827</v>
      </c>
      <c r="S97" s="1062" t="str">
        <f t="shared" si="36"/>
        <v>Não</v>
      </c>
    </row>
    <row r="98" spans="1:19" ht="13.5" customHeight="1">
      <c r="A98" s="1440">
        <v>44691</v>
      </c>
      <c r="B98" s="1673"/>
      <c r="C98" s="1669"/>
      <c r="D98" s="1370">
        <v>12113.34</v>
      </c>
      <c r="E98" s="1371">
        <v>10.6</v>
      </c>
      <c r="F98" s="1372">
        <v>9235.64</v>
      </c>
      <c r="G98" s="1371"/>
      <c r="H98" s="1371"/>
      <c r="I98" s="1371"/>
      <c r="J98" s="1371"/>
      <c r="K98" s="1371"/>
      <c r="L98" s="1371"/>
      <c r="M98" s="1061">
        <f t="shared" si="38"/>
        <v>21359.58</v>
      </c>
      <c r="N98" s="1062">
        <f t="shared" si="39"/>
        <v>1069.3100000000049</v>
      </c>
      <c r="O98" s="1063">
        <f t="shared" si="40"/>
        <v>5.0062313959357105E-2</v>
      </c>
      <c r="P98" s="1062">
        <f t="shared" si="34"/>
        <v>1062.4699999999987</v>
      </c>
      <c r="Q98" s="1062">
        <f t="shared" si="37"/>
        <v>21352.739999999994</v>
      </c>
      <c r="R98" s="1062">
        <f t="shared" si="35"/>
        <v>6.8400000000074215</v>
      </c>
      <c r="S98" s="1062" t="str">
        <f t="shared" si="36"/>
        <v>SIM</v>
      </c>
    </row>
    <row r="99" spans="1:19" ht="13.5" customHeight="1">
      <c r="A99" s="1440">
        <v>44722</v>
      </c>
      <c r="B99" s="1673"/>
      <c r="C99" s="1669"/>
      <c r="D99" s="1370">
        <v>13171.41</v>
      </c>
      <c r="E99" s="1371">
        <v>10.64</v>
      </c>
      <c r="F99" s="1372">
        <v>9273.81</v>
      </c>
      <c r="G99" s="1371"/>
      <c r="H99" s="1371"/>
      <c r="I99" s="1371"/>
      <c r="J99" s="1371"/>
      <c r="K99" s="1371"/>
      <c r="L99" s="1371"/>
      <c r="M99" s="1061">
        <f t="shared" si="38"/>
        <v>22455.86</v>
      </c>
      <c r="N99" s="1062">
        <f t="shared" si="39"/>
        <v>1096.2799999999988</v>
      </c>
      <c r="O99" s="1063">
        <f t="shared" si="40"/>
        <v>4.88193282288008E-2</v>
      </c>
      <c r="P99" s="1062">
        <f t="shared" si="34"/>
        <v>1065.3933333333334</v>
      </c>
      <c r="Q99" s="1062">
        <f t="shared" si="37"/>
        <v>22424.973333333335</v>
      </c>
      <c r="R99" s="1062">
        <f t="shared" si="35"/>
        <v>30.886666666665406</v>
      </c>
      <c r="S99" s="1062" t="str">
        <f t="shared" si="36"/>
        <v>SIM</v>
      </c>
    </row>
    <row r="100" spans="1:19" ht="13.5" customHeight="1">
      <c r="A100" s="1440">
        <v>44752</v>
      </c>
      <c r="B100" s="1673"/>
      <c r="C100" s="1669"/>
      <c r="D100" s="1370">
        <v>14735.48</v>
      </c>
      <c r="E100" s="1371">
        <v>10.68</v>
      </c>
      <c r="F100" s="1372">
        <v>9310.4599999999991</v>
      </c>
      <c r="G100" s="1371"/>
      <c r="H100" s="1371"/>
      <c r="I100" s="1371"/>
      <c r="J100" s="1371"/>
      <c r="K100" s="1371"/>
      <c r="L100" s="1371"/>
      <c r="M100" s="1061">
        <f t="shared" si="38"/>
        <v>24056.62</v>
      </c>
      <c r="N100" s="1062">
        <f t="shared" si="39"/>
        <v>1600.7599999999984</v>
      </c>
      <c r="O100" s="1063">
        <f t="shared" si="40"/>
        <v>6.654135119563756E-2</v>
      </c>
      <c r="P100" s="1062">
        <f t="shared" si="34"/>
        <v>1079.8899999999994</v>
      </c>
      <c r="Q100" s="1062">
        <f t="shared" si="37"/>
        <v>23535.75</v>
      </c>
      <c r="R100" s="1062">
        <f t="shared" si="35"/>
        <v>520.86999999999898</v>
      </c>
      <c r="S100" s="1062" t="str">
        <f t="shared" si="36"/>
        <v>SIM</v>
      </c>
    </row>
    <row r="101" spans="1:19" ht="13.5" customHeight="1">
      <c r="A101" s="1440">
        <v>44783</v>
      </c>
      <c r="B101" s="1673"/>
      <c r="C101" s="1669"/>
      <c r="D101" s="1370">
        <v>0</v>
      </c>
      <c r="E101" s="1371">
        <v>11</v>
      </c>
      <c r="F101" s="1372">
        <v>9599.76</v>
      </c>
      <c r="G101" s="1371"/>
      <c r="H101" s="1371"/>
      <c r="I101" s="1371"/>
      <c r="J101" s="1371"/>
      <c r="K101" s="1371"/>
      <c r="L101" s="1371"/>
      <c r="M101" s="1061">
        <f t="shared" si="38"/>
        <v>9610.76</v>
      </c>
      <c r="N101" s="1062">
        <f t="shared" si="39"/>
        <v>-14445.859999999999</v>
      </c>
      <c r="O101" s="1063">
        <f t="shared" si="40"/>
        <v>-1.5030923673049787</v>
      </c>
      <c r="P101" s="1062">
        <f t="shared" si="34"/>
        <v>1255.4500000000007</v>
      </c>
      <c r="Q101" s="1062">
        <f t="shared" si="37"/>
        <v>25312.07</v>
      </c>
      <c r="R101" s="1062">
        <f t="shared" si="35"/>
        <v>-15701.31</v>
      </c>
      <c r="S101" s="1062" t="str">
        <f t="shared" si="36"/>
        <v>Não</v>
      </c>
    </row>
    <row r="102" spans="1:19" ht="13.5" customHeight="1">
      <c r="A102" s="1440">
        <v>44814</v>
      </c>
      <c r="B102" s="1673"/>
      <c r="C102" s="1677">
        <v>426.67</v>
      </c>
      <c r="D102" s="1370"/>
      <c r="E102" s="1371">
        <v>11.05</v>
      </c>
      <c r="F102" s="1372">
        <v>9646.61</v>
      </c>
      <c r="G102" s="1371"/>
      <c r="H102" s="1371"/>
      <c r="I102" s="1371"/>
      <c r="J102" s="1371"/>
      <c r="K102" s="1371"/>
      <c r="L102" s="1371"/>
      <c r="M102" s="1061">
        <f>SUM(C102:L102)</f>
        <v>10084.33</v>
      </c>
      <c r="N102" s="1062">
        <f t="shared" si="39"/>
        <v>473.56999999999971</v>
      </c>
      <c r="O102" s="1063">
        <f t="shared" si="40"/>
        <v>4.6960978071919478E-2</v>
      </c>
      <c r="P102" s="1062">
        <f t="shared" si="34"/>
        <v>-3916.273333333334</v>
      </c>
      <c r="Q102" s="1062">
        <f t="shared" si="37"/>
        <v>5694.4866666666658</v>
      </c>
      <c r="R102" s="1062">
        <f t="shared" si="35"/>
        <v>4389.8433333333342</v>
      </c>
      <c r="S102" s="1062" t="str">
        <f t="shared" si="36"/>
        <v>SIM</v>
      </c>
    </row>
    <row r="103" spans="1:19" ht="13.5" customHeight="1">
      <c r="A103" s="1440">
        <v>44844</v>
      </c>
      <c r="B103" s="1673"/>
      <c r="C103" s="1677">
        <v>1228.5</v>
      </c>
      <c r="D103" s="1370"/>
      <c r="E103" s="1371">
        <v>11.09</v>
      </c>
      <c r="F103" s="1372">
        <v>9687.84</v>
      </c>
      <c r="G103" s="1371"/>
      <c r="H103" s="1371"/>
      <c r="I103" s="1371"/>
      <c r="J103" s="1371"/>
      <c r="K103" s="1371"/>
      <c r="L103" s="1371"/>
      <c r="M103" s="1061">
        <f t="shared" ref="M103:M116" si="41">SUM(C103:L103)</f>
        <v>10927.43</v>
      </c>
      <c r="N103" s="1062">
        <f t="shared" si="39"/>
        <v>843.10000000000036</v>
      </c>
      <c r="O103" s="1063">
        <f t="shared" si="40"/>
        <v>7.7154463583843619E-2</v>
      </c>
      <c r="P103" s="1062">
        <f>IF(N102&lt;&gt;"",AVERAGE(N100:N102),"")</f>
        <v>-4123.8433333333332</v>
      </c>
      <c r="Q103" s="1062">
        <f t="shared" si="37"/>
        <v>5960.4866666666667</v>
      </c>
      <c r="R103" s="1062">
        <f t="shared" si="35"/>
        <v>4966.9433333333336</v>
      </c>
      <c r="S103" s="1062" t="str">
        <f t="shared" si="36"/>
        <v>SIM</v>
      </c>
    </row>
    <row r="104" spans="1:19" ht="13.5" customHeight="1">
      <c r="A104" s="1440">
        <v>44875</v>
      </c>
      <c r="B104" s="1673"/>
      <c r="C104" s="1677">
        <v>2129.37</v>
      </c>
      <c r="D104" s="1370"/>
      <c r="E104" s="1371">
        <v>11.13</v>
      </c>
      <c r="F104" s="1372">
        <v>9726.23</v>
      </c>
      <c r="G104" s="1371"/>
      <c r="H104" s="1371"/>
      <c r="I104" s="1371"/>
      <c r="J104" s="1371"/>
      <c r="K104" s="1371"/>
      <c r="L104" s="1371"/>
      <c r="M104" s="1061">
        <f t="shared" si="41"/>
        <v>11866.73</v>
      </c>
      <c r="N104" s="1062">
        <f t="shared" si="39"/>
        <v>939.29999999999927</v>
      </c>
      <c r="O104" s="1063">
        <f t="shared" si="40"/>
        <v>7.9154071930514922E-2</v>
      </c>
      <c r="P104" s="1062">
        <f t="shared" si="34"/>
        <v>-4376.3966666666665</v>
      </c>
      <c r="Q104" s="1062">
        <f t="shared" si="37"/>
        <v>6551.0333333333338</v>
      </c>
      <c r="R104" s="1062">
        <f t="shared" si="35"/>
        <v>5315.6966666666658</v>
      </c>
      <c r="S104" s="1062" t="str">
        <f t="shared" si="36"/>
        <v>SIM</v>
      </c>
    </row>
    <row r="105" spans="1:19" ht="13.5" customHeight="1">
      <c r="A105" s="1440">
        <v>44905</v>
      </c>
      <c r="B105" s="1673"/>
      <c r="C105" s="1677">
        <v>3162.5</v>
      </c>
      <c r="D105" s="1370"/>
      <c r="E105" s="1371">
        <v>11.17</v>
      </c>
      <c r="F105" s="1372">
        <v>9764.9</v>
      </c>
      <c r="G105" s="1371"/>
      <c r="H105" s="1371"/>
      <c r="I105" s="1371"/>
      <c r="J105" s="1371"/>
      <c r="K105" s="1371"/>
      <c r="L105" s="1371"/>
      <c r="M105" s="1061">
        <f t="shared" si="41"/>
        <v>12938.57</v>
      </c>
      <c r="N105" s="1062">
        <f t="shared" si="39"/>
        <v>1071.8400000000001</v>
      </c>
      <c r="O105" s="1063">
        <f t="shared" si="40"/>
        <v>8.2840684867029363E-2</v>
      </c>
      <c r="P105" s="1062">
        <f t="shared" si="34"/>
        <v>751.98999999999978</v>
      </c>
      <c r="Q105" s="1062">
        <f t="shared" si="37"/>
        <v>12618.72</v>
      </c>
      <c r="R105" s="1062">
        <f t="shared" si="35"/>
        <v>319.85000000000036</v>
      </c>
      <c r="S105" s="1062" t="str">
        <f t="shared" si="36"/>
        <v>SIM</v>
      </c>
    </row>
    <row r="106" spans="1:19" ht="13.5" customHeight="1">
      <c r="A106" s="1440">
        <v>44936</v>
      </c>
      <c r="B106" s="1673"/>
      <c r="C106" s="1677">
        <v>4201.53</v>
      </c>
      <c r="D106" s="1370"/>
      <c r="E106" s="1371">
        <v>11.22</v>
      </c>
      <c r="F106" s="1372">
        <v>9809.26</v>
      </c>
      <c r="G106" s="1371"/>
      <c r="H106" s="1371"/>
      <c r="I106" s="1371"/>
      <c r="J106" s="1371"/>
      <c r="K106" s="1371"/>
      <c r="L106" s="1371"/>
      <c r="M106" s="1061">
        <f t="shared" si="41"/>
        <v>14022.01</v>
      </c>
      <c r="N106" s="1062">
        <f t="shared" si="39"/>
        <v>1083.4400000000005</v>
      </c>
      <c r="O106" s="1063">
        <f t="shared" si="40"/>
        <v>7.7267096514693726E-2</v>
      </c>
      <c r="P106" s="1062">
        <f t="shared" si="34"/>
        <v>951.4133333333333</v>
      </c>
      <c r="Q106" s="1062">
        <f t="shared" si="37"/>
        <v>13889.983333333334</v>
      </c>
      <c r="R106" s="1062">
        <f t="shared" si="35"/>
        <v>132.02666666666664</v>
      </c>
      <c r="S106" s="1062" t="str">
        <f t="shared" si="36"/>
        <v>SIM</v>
      </c>
    </row>
    <row r="107" spans="1:19" ht="13.5" customHeight="1">
      <c r="A107" s="1440">
        <v>44967</v>
      </c>
      <c r="B107" s="1673"/>
      <c r="C107" s="1677">
        <v>5068.66</v>
      </c>
      <c r="D107" s="1370"/>
      <c r="E107" s="1371">
        <v>11.27</v>
      </c>
      <c r="F107" s="1372">
        <v>9853.91</v>
      </c>
      <c r="G107" s="1371"/>
      <c r="H107" s="1371"/>
      <c r="I107" s="1371"/>
      <c r="J107" s="1371"/>
      <c r="K107" s="1371"/>
      <c r="L107" s="1371"/>
      <c r="M107" s="1061">
        <f t="shared" si="41"/>
        <v>14933.84</v>
      </c>
      <c r="N107" s="1062">
        <f t="shared" ref="N107:N116" si="42">IF(M107&lt;&gt;0,M107-M106,"")</f>
        <v>911.82999999999993</v>
      </c>
      <c r="O107" s="1063">
        <f t="shared" ref="O107:O116" si="43">IF(N107&lt;&gt;"",(N107/M107),"")</f>
        <v>6.1057973033057801E-2</v>
      </c>
      <c r="P107" s="1062">
        <f t="shared" ref="P107:P116" si="44">IF(N106&lt;&gt;"",AVERAGE(N104:N106),"")</f>
        <v>1031.5266666666666</v>
      </c>
      <c r="Q107" s="1062">
        <f t="shared" ref="Q107:Q116" si="45">IF(M106&gt;0,M106+P107,"")</f>
        <v>15053.536666666667</v>
      </c>
      <c r="R107" s="1062">
        <f t="shared" ref="R107:R116" si="46">IF(M107&gt;0,M107-Q107,"")</f>
        <v>-119.69666666666672</v>
      </c>
      <c r="S107" s="1062" t="str">
        <f t="shared" ref="S107:S116" si="47">IF(M107&gt;=Q107,"SIM","Não")</f>
        <v>Não</v>
      </c>
    </row>
    <row r="108" spans="1:19" ht="13.5" customHeight="1">
      <c r="A108" s="1440">
        <v>44995</v>
      </c>
      <c r="B108" s="1673"/>
      <c r="C108" s="1677">
        <v>5933.38</v>
      </c>
      <c r="D108" s="1370"/>
      <c r="E108" s="1371">
        <v>11.3</v>
      </c>
      <c r="F108" s="1372">
        <v>9886.4</v>
      </c>
      <c r="G108" s="1371"/>
      <c r="H108" s="1371"/>
      <c r="I108" s="1371"/>
      <c r="J108" s="1371"/>
      <c r="K108" s="1371"/>
      <c r="L108" s="1371"/>
      <c r="M108" s="1061">
        <f t="shared" si="41"/>
        <v>15831.08</v>
      </c>
      <c r="N108" s="1062">
        <f t="shared" si="42"/>
        <v>897.23999999999978</v>
      </c>
      <c r="O108" s="1063">
        <f t="shared" si="43"/>
        <v>5.6675855342781405E-2</v>
      </c>
      <c r="P108" s="1062">
        <f t="shared" si="44"/>
        <v>1022.3700000000002</v>
      </c>
      <c r="Q108" s="1062">
        <f t="shared" si="45"/>
        <v>15956.210000000001</v>
      </c>
      <c r="R108" s="1062">
        <f t="shared" si="46"/>
        <v>-125.13000000000102</v>
      </c>
      <c r="S108" s="1062" t="str">
        <f t="shared" si="47"/>
        <v>Não</v>
      </c>
    </row>
    <row r="109" spans="1:19" ht="13.5" customHeight="1">
      <c r="A109" s="1440">
        <v>45026</v>
      </c>
      <c r="B109" s="1673"/>
      <c r="C109" s="1677">
        <v>6810.24</v>
      </c>
      <c r="D109" s="1370"/>
      <c r="E109" s="1371">
        <v>11.35</v>
      </c>
      <c r="F109" s="1372">
        <v>9934.48</v>
      </c>
      <c r="G109" s="1371"/>
      <c r="H109" s="1371"/>
      <c r="I109" s="1371"/>
      <c r="J109" s="1371"/>
      <c r="K109" s="1371"/>
      <c r="L109" s="1371"/>
      <c r="M109" s="1061">
        <f t="shared" si="41"/>
        <v>16756.07</v>
      </c>
      <c r="N109" s="1062">
        <f t="shared" si="42"/>
        <v>924.98999999999978</v>
      </c>
      <c r="O109" s="1063">
        <f t="shared" si="43"/>
        <v>5.5203278573078281E-2</v>
      </c>
      <c r="P109" s="1062">
        <f>IF(N108&lt;&gt;"",AVERAGE(N106:N108),"")</f>
        <v>964.17000000000007</v>
      </c>
      <c r="Q109" s="1062">
        <f t="shared" si="45"/>
        <v>16795.25</v>
      </c>
      <c r="R109" s="1062">
        <f t="shared" si="46"/>
        <v>-39.180000000000291</v>
      </c>
      <c r="S109" s="1062" t="str">
        <f t="shared" si="47"/>
        <v>Não</v>
      </c>
    </row>
    <row r="110" spans="1:19" ht="13.5" customHeight="1">
      <c r="A110" s="1440">
        <v>45056</v>
      </c>
      <c r="B110" s="1673"/>
      <c r="C110" s="1677">
        <v>7680.64</v>
      </c>
      <c r="D110" s="1370"/>
      <c r="E110" s="1371">
        <v>11.38</v>
      </c>
      <c r="F110" s="1372">
        <v>9967.15</v>
      </c>
      <c r="G110" s="1371"/>
      <c r="H110" s="1371"/>
      <c r="I110" s="1371"/>
      <c r="J110" s="1371"/>
      <c r="K110" s="1371"/>
      <c r="L110" s="1371"/>
      <c r="M110" s="1061">
        <f t="shared" si="41"/>
        <v>17659.169999999998</v>
      </c>
      <c r="N110" s="1062">
        <f t="shared" si="42"/>
        <v>903.09999999999854</v>
      </c>
      <c r="O110" s="1063">
        <f t="shared" si="43"/>
        <v>5.1140568894234475E-2</v>
      </c>
      <c r="P110" s="1062">
        <f t="shared" si="44"/>
        <v>911.35333333333313</v>
      </c>
      <c r="Q110" s="1062">
        <f t="shared" si="45"/>
        <v>17667.423333333332</v>
      </c>
      <c r="R110" s="1062">
        <f t="shared" si="46"/>
        <v>-8.2533333333340124</v>
      </c>
      <c r="S110" s="1062" t="str">
        <f t="shared" si="47"/>
        <v>Não</v>
      </c>
    </row>
    <row r="111" spans="1:19" ht="13.5" customHeight="1">
      <c r="A111" s="1440">
        <v>45087</v>
      </c>
      <c r="B111" s="1673"/>
      <c r="C111" s="1677">
        <v>8564.11</v>
      </c>
      <c r="D111" s="1370"/>
      <c r="E111" s="1371">
        <v>11.43</v>
      </c>
      <c r="F111" s="1372">
        <v>10016.17</v>
      </c>
      <c r="G111" s="1371"/>
      <c r="H111" s="1371"/>
      <c r="I111" s="1371"/>
      <c r="J111" s="1371"/>
      <c r="K111" s="1371"/>
      <c r="L111" s="1371"/>
      <c r="M111" s="1061">
        <f t="shared" si="41"/>
        <v>18591.71</v>
      </c>
      <c r="N111" s="1062">
        <f t="shared" si="42"/>
        <v>932.54000000000087</v>
      </c>
      <c r="O111" s="1063">
        <f t="shared" si="43"/>
        <v>5.0158914914227949E-2</v>
      </c>
      <c r="P111" s="1062">
        <f t="shared" si="44"/>
        <v>908.4433333333327</v>
      </c>
      <c r="Q111" s="1062">
        <f t="shared" si="45"/>
        <v>18567.613333333331</v>
      </c>
      <c r="R111" s="1062">
        <f t="shared" si="46"/>
        <v>24.09666666666817</v>
      </c>
      <c r="S111" s="1062" t="str">
        <f t="shared" si="47"/>
        <v>SIM</v>
      </c>
    </row>
    <row r="112" spans="1:19" ht="13.5" customHeight="1">
      <c r="A112" s="1440">
        <v>45117</v>
      </c>
      <c r="B112" s="1673"/>
      <c r="C112" s="1677">
        <v>9448.68</v>
      </c>
      <c r="D112" s="1370"/>
      <c r="E112" s="1371">
        <v>11.47</v>
      </c>
      <c r="F112" s="1372">
        <v>10055.91</v>
      </c>
      <c r="G112" s="1371"/>
      <c r="H112" s="1371"/>
      <c r="I112" s="1371"/>
      <c r="J112" s="1371"/>
      <c r="K112" s="1371"/>
      <c r="L112" s="1371"/>
      <c r="M112" s="1061">
        <f t="shared" si="41"/>
        <v>19516.059999999998</v>
      </c>
      <c r="N112" s="1062">
        <f t="shared" si="42"/>
        <v>924.34999999999854</v>
      </c>
      <c r="O112" s="1063">
        <f t="shared" si="43"/>
        <v>4.736355596365243E-2</v>
      </c>
      <c r="P112" s="1062">
        <f t="shared" si="44"/>
        <v>920.2099999999997</v>
      </c>
      <c r="Q112" s="1062">
        <f t="shared" si="45"/>
        <v>19511.919999999998</v>
      </c>
      <c r="R112" s="1062">
        <f t="shared" si="46"/>
        <v>4.1399999999994179</v>
      </c>
      <c r="S112" s="1062" t="str">
        <f t="shared" si="47"/>
        <v>SIM</v>
      </c>
    </row>
    <row r="113" spans="1:19" ht="13.5" customHeight="1">
      <c r="A113" s="1440">
        <v>45148</v>
      </c>
      <c r="B113" s="1673"/>
      <c r="C113" s="1677">
        <v>10413.120000000001</v>
      </c>
      <c r="D113" s="1370"/>
      <c r="E113" s="1371">
        <v>11.78</v>
      </c>
      <c r="F113" s="1372">
        <v>10337.98</v>
      </c>
      <c r="G113" s="1371"/>
      <c r="H113" s="1371"/>
      <c r="I113" s="1371"/>
      <c r="J113" s="1371"/>
      <c r="K113" s="1371"/>
      <c r="L113" s="1371"/>
      <c r="M113" s="1061">
        <f t="shared" si="41"/>
        <v>20762.88</v>
      </c>
      <c r="N113" s="1062">
        <f t="shared" si="42"/>
        <v>1246.8200000000033</v>
      </c>
      <c r="O113" s="1063">
        <f t="shared" si="43"/>
        <v>6.0050436162998738E-2</v>
      </c>
      <c r="P113" s="1062">
        <f>IF(N112&lt;&gt;"",AVERAGE(N110:N112),"")</f>
        <v>919.99666666666599</v>
      </c>
      <c r="Q113" s="1062">
        <f t="shared" si="45"/>
        <v>20436.056666666664</v>
      </c>
      <c r="R113" s="1062">
        <f t="shared" si="46"/>
        <v>326.82333333333736</v>
      </c>
      <c r="S113" s="1062" t="str">
        <f t="shared" si="47"/>
        <v>SIM</v>
      </c>
    </row>
    <row r="114" spans="1:19" ht="13.5" customHeight="1">
      <c r="A114" s="1440">
        <v>45179</v>
      </c>
      <c r="B114" s="1673"/>
      <c r="C114" s="1677">
        <v>11309.35</v>
      </c>
      <c r="D114" s="1370"/>
      <c r="E114" s="1371">
        <v>0</v>
      </c>
      <c r="F114" s="1372">
        <v>10385.85</v>
      </c>
      <c r="G114" s="1371"/>
      <c r="H114" s="1371"/>
      <c r="I114" s="1371"/>
      <c r="J114" s="1371"/>
      <c r="K114" s="1371"/>
      <c r="L114" s="1371"/>
      <c r="M114" s="1061">
        <f t="shared" si="41"/>
        <v>21695.200000000001</v>
      </c>
      <c r="N114" s="1062">
        <f t="shared" si="42"/>
        <v>932.31999999999971</v>
      </c>
      <c r="O114" s="1063">
        <f t="shared" si="43"/>
        <v>4.2973560972012229E-2</v>
      </c>
      <c r="P114" s="1062">
        <f t="shared" si="44"/>
        <v>1034.5700000000008</v>
      </c>
      <c r="Q114" s="1062">
        <f>IF(M113&gt;0,M113+P114,"")</f>
        <v>21797.45</v>
      </c>
      <c r="R114" s="1062">
        <f t="shared" si="46"/>
        <v>-102.25</v>
      </c>
      <c r="S114" s="1062" t="str">
        <f t="shared" si="47"/>
        <v>Não</v>
      </c>
    </row>
    <row r="115" spans="1:19" ht="13.5" customHeight="1">
      <c r="A115" s="1440">
        <v>45209</v>
      </c>
      <c r="B115" s="1673"/>
      <c r="C115" s="1677">
        <v>12198.06</v>
      </c>
      <c r="D115" s="1370"/>
      <c r="E115" s="1371"/>
      <c r="F115" s="1372">
        <v>10423.219999999999</v>
      </c>
      <c r="G115" s="1371"/>
      <c r="H115" s="1371"/>
      <c r="I115" s="1371"/>
      <c r="J115" s="1371"/>
      <c r="K115" s="1371"/>
      <c r="L115" s="1371"/>
      <c r="M115" s="1061">
        <f t="shared" si="41"/>
        <v>22621.279999999999</v>
      </c>
      <c r="N115" s="1062">
        <f t="shared" si="42"/>
        <v>926.07999999999811</v>
      </c>
      <c r="O115" s="1063">
        <f t="shared" si="43"/>
        <v>4.0938443801588509E-2</v>
      </c>
      <c r="P115" s="1062">
        <f t="shared" si="44"/>
        <v>1034.4966666666671</v>
      </c>
      <c r="Q115" s="1062">
        <f t="shared" si="45"/>
        <v>22729.696666666667</v>
      </c>
      <c r="R115" s="1062">
        <f t="shared" si="46"/>
        <v>-108.41666666666788</v>
      </c>
      <c r="S115" s="1062" t="str">
        <f t="shared" si="47"/>
        <v>Não</v>
      </c>
    </row>
    <row r="116" spans="1:19" ht="13.5" customHeight="1">
      <c r="A116" s="1440">
        <v>45240</v>
      </c>
      <c r="B116" s="1673"/>
      <c r="C116" s="1677">
        <v>13089.05</v>
      </c>
      <c r="D116" s="1370"/>
      <c r="E116" s="1371"/>
      <c r="F116" s="1372">
        <v>10459.950000000001</v>
      </c>
      <c r="G116" s="1371"/>
      <c r="H116" s="1371"/>
      <c r="I116" s="1371"/>
      <c r="J116" s="1371"/>
      <c r="K116" s="1371"/>
      <c r="L116" s="1371"/>
      <c r="M116" s="1061">
        <f t="shared" si="41"/>
        <v>23549</v>
      </c>
      <c r="N116" s="1062">
        <f t="shared" si="42"/>
        <v>927.72000000000116</v>
      </c>
      <c r="O116" s="1063">
        <f t="shared" si="43"/>
        <v>3.9395303409911299E-2</v>
      </c>
      <c r="P116" s="1062">
        <f t="shared" si="44"/>
        <v>1035.0733333333337</v>
      </c>
      <c r="Q116" s="1062">
        <f t="shared" si="45"/>
        <v>23656.353333333333</v>
      </c>
      <c r="R116" s="1062">
        <f t="shared" si="46"/>
        <v>-107.35333333333256</v>
      </c>
      <c r="S116" s="1062" t="str">
        <f t="shared" si="47"/>
        <v>Não</v>
      </c>
    </row>
    <row r="117" spans="1:19" ht="13.5" customHeight="1">
      <c r="A117" s="1440">
        <v>45270</v>
      </c>
      <c r="B117" s="1673"/>
      <c r="C117" s="1558">
        <v>14403.5</v>
      </c>
      <c r="D117" s="1370"/>
      <c r="E117" s="1371"/>
      <c r="F117" s="1372">
        <v>10493.87</v>
      </c>
      <c r="G117" s="1371"/>
      <c r="H117" s="1371"/>
      <c r="I117" s="1371"/>
      <c r="J117" s="1371"/>
      <c r="K117" s="1371"/>
      <c r="L117" s="1371"/>
      <c r="M117" s="1061">
        <f t="shared" ref="M117:M125" si="48">SUM(C117:L117)</f>
        <v>24897.370000000003</v>
      </c>
      <c r="N117" s="1062">
        <f t="shared" ref="N117:N128" si="49">IF(M117&lt;&gt;0,M117-M116,"")</f>
        <v>1348.3700000000026</v>
      </c>
      <c r="O117" s="1063">
        <f t="shared" ref="O117:O128" si="50">IF(N117&lt;&gt;"",(N117/M117),"")</f>
        <v>5.4157125832969603E-2</v>
      </c>
      <c r="P117" s="1062">
        <f>IF(N116&lt;&gt;"",AVERAGE(N114:N116),"")</f>
        <v>928.70666666666637</v>
      </c>
      <c r="Q117" s="1062">
        <f t="shared" ref="Q117:Q128" si="51">IF(M116&gt;0,M116+P117,"")</f>
        <v>24477.706666666665</v>
      </c>
      <c r="R117" s="1062">
        <f t="shared" ref="R117:R128" si="52">IF(M117&gt;0,M117-Q117,"")</f>
        <v>419.6633333333375</v>
      </c>
      <c r="S117" s="1062" t="str">
        <f t="shared" ref="S117:S128" si="53">IF(M117&gt;=Q117,"SIM","Não")</f>
        <v>SIM</v>
      </c>
    </row>
    <row r="118" spans="1:19" ht="13.5" customHeight="1">
      <c r="A118" s="1440">
        <v>45301</v>
      </c>
      <c r="B118" s="1673"/>
      <c r="C118" s="1558">
        <v>15720.98</v>
      </c>
      <c r="D118" s="1370"/>
      <c r="E118" s="1371"/>
      <c r="F118" s="1372">
        <v>10526.99</v>
      </c>
      <c r="G118" s="1371"/>
      <c r="H118" s="1371"/>
      <c r="I118" s="1371"/>
      <c r="J118" s="1371"/>
      <c r="K118" s="1371"/>
      <c r="L118" s="1371"/>
      <c r="M118" s="1061">
        <f t="shared" si="48"/>
        <v>26247.97</v>
      </c>
      <c r="N118" s="1062">
        <f t="shared" si="49"/>
        <v>1350.5999999999985</v>
      </c>
      <c r="O118" s="1063">
        <f t="shared" si="50"/>
        <v>5.1455407789630911E-2</v>
      </c>
      <c r="P118" s="1062">
        <f t="shared" ref="P118:P128" si="54">IF(N117&lt;&gt;"",AVERAGE(N115:N117),"")</f>
        <v>1067.3900000000006</v>
      </c>
      <c r="Q118" s="1062">
        <f t="shared" si="51"/>
        <v>25964.760000000002</v>
      </c>
      <c r="R118" s="1062">
        <f t="shared" si="52"/>
        <v>283.20999999999913</v>
      </c>
      <c r="S118" s="1062" t="str">
        <f t="shared" si="53"/>
        <v>SIM</v>
      </c>
    </row>
    <row r="119" spans="1:19" ht="13.5" customHeight="1">
      <c r="A119" s="1440">
        <v>45332</v>
      </c>
      <c r="B119" s="1673"/>
      <c r="C119" s="1558">
        <v>16647.48</v>
      </c>
      <c r="D119" s="1370"/>
      <c r="E119" s="1371"/>
      <c r="F119" s="1372">
        <v>10562.18</v>
      </c>
      <c r="G119" s="1371"/>
      <c r="H119" s="1371"/>
      <c r="I119" s="1371"/>
      <c r="J119" s="1371"/>
      <c r="K119" s="1371"/>
      <c r="L119" s="1371"/>
      <c r="M119" s="1061">
        <f t="shared" si="48"/>
        <v>27209.66</v>
      </c>
      <c r="N119" s="1062">
        <f t="shared" si="49"/>
        <v>961.68999999999869</v>
      </c>
      <c r="O119" s="1063">
        <f t="shared" si="50"/>
        <v>3.5343697789682001E-2</v>
      </c>
      <c r="P119" s="1062">
        <f t="shared" si="54"/>
        <v>1208.8966666666674</v>
      </c>
      <c r="Q119" s="1062">
        <f t="shared" si="51"/>
        <v>27456.866666666669</v>
      </c>
      <c r="R119" s="1062">
        <f t="shared" si="52"/>
        <v>-247.20666666666875</v>
      </c>
      <c r="S119" s="1062" t="str">
        <f t="shared" si="53"/>
        <v>Não</v>
      </c>
    </row>
    <row r="120" spans="1:19" ht="13.5" customHeight="1">
      <c r="A120" s="1440">
        <v>45361</v>
      </c>
      <c r="B120" s="1673"/>
      <c r="C120" s="1558">
        <v>17563.79</v>
      </c>
      <c r="D120" s="1370"/>
      <c r="E120" s="1371"/>
      <c r="F120" s="1372">
        <v>10589.06</v>
      </c>
      <c r="G120" s="1371"/>
      <c r="H120" s="1371"/>
      <c r="I120" s="1371"/>
      <c r="J120" s="1371"/>
      <c r="K120" s="1371"/>
      <c r="L120" s="1371"/>
      <c r="M120" s="1061">
        <f t="shared" si="48"/>
        <v>28152.85</v>
      </c>
      <c r="N120" s="1062">
        <f t="shared" si="49"/>
        <v>943.18999999999869</v>
      </c>
      <c r="O120" s="1063">
        <f t="shared" si="50"/>
        <v>3.3502469554592122E-2</v>
      </c>
      <c r="P120" s="1062">
        <f t="shared" si="54"/>
        <v>1220.22</v>
      </c>
      <c r="Q120" s="1062">
        <f t="shared" si="51"/>
        <v>28429.88</v>
      </c>
      <c r="R120" s="1062">
        <f t="shared" si="52"/>
        <v>-277.03000000000247</v>
      </c>
      <c r="S120" s="1062" t="str">
        <f t="shared" si="53"/>
        <v>Não</v>
      </c>
    </row>
    <row r="121" spans="1:19" ht="13.5" customHeight="1">
      <c r="A121" s="1440">
        <v>45404</v>
      </c>
      <c r="B121" s="1678"/>
      <c r="C121" s="1679">
        <v>18504.900000000001</v>
      </c>
      <c r="D121" s="1370"/>
      <c r="E121" s="1371"/>
      <c r="F121" s="1372">
        <v>10629.55</v>
      </c>
      <c r="G121" s="1371"/>
      <c r="H121" s="1371"/>
      <c r="I121" s="1371"/>
      <c r="J121" s="1371"/>
      <c r="K121" s="1371"/>
      <c r="L121" s="1371"/>
      <c r="M121" s="1061">
        <f t="shared" si="48"/>
        <v>29134.45</v>
      </c>
      <c r="N121" s="1062">
        <f t="shared" si="49"/>
        <v>981.60000000000218</v>
      </c>
      <c r="O121" s="1063">
        <f t="shared" si="50"/>
        <v>3.3692072443447608E-2</v>
      </c>
      <c r="P121" s="1062">
        <f t="shared" si="54"/>
        <v>1085.1599999999987</v>
      </c>
      <c r="Q121" s="1062">
        <f t="shared" si="51"/>
        <v>29238.01</v>
      </c>
      <c r="R121" s="1062">
        <f t="shared" si="52"/>
        <v>-103.55999999999767</v>
      </c>
      <c r="S121" s="1062" t="str">
        <f t="shared" si="53"/>
        <v>Não</v>
      </c>
    </row>
    <row r="122" spans="1:19" ht="13.5" customHeight="1">
      <c r="A122" s="1440">
        <v>45434</v>
      </c>
      <c r="B122" s="1678"/>
      <c r="C122" s="1679">
        <v>19443.439999999999</v>
      </c>
      <c r="D122" s="1370"/>
      <c r="E122" s="1371"/>
      <c r="F122" s="1372">
        <v>10666.65</v>
      </c>
      <c r="G122" s="1371"/>
      <c r="H122" s="1371"/>
      <c r="I122" s="1371"/>
      <c r="J122" s="1371"/>
      <c r="K122" s="1371"/>
      <c r="L122" s="1371"/>
      <c r="M122" s="1061">
        <f t="shared" si="48"/>
        <v>30110.089999999997</v>
      </c>
      <c r="N122" s="1062">
        <f t="shared" si="49"/>
        <v>975.63999999999578</v>
      </c>
      <c r="O122" s="1063">
        <f t="shared" si="50"/>
        <v>3.2402427226222039E-2</v>
      </c>
      <c r="P122" s="1062">
        <f t="shared" si="54"/>
        <v>962.15999999999985</v>
      </c>
      <c r="Q122" s="1062">
        <f t="shared" si="51"/>
        <v>30096.61</v>
      </c>
      <c r="R122" s="1062">
        <f t="shared" si="52"/>
        <v>13.479999999995925</v>
      </c>
      <c r="S122" s="1062" t="str">
        <f t="shared" si="53"/>
        <v>SIM</v>
      </c>
    </row>
    <row r="123" spans="1:19" ht="13.5" customHeight="1">
      <c r="A123" s="1440">
        <v>45465</v>
      </c>
      <c r="B123" s="1678"/>
      <c r="C123" s="1679">
        <v>20382.28</v>
      </c>
      <c r="D123" s="1370"/>
      <c r="E123" s="1371"/>
      <c r="F123" s="1372">
        <v>10702.25</v>
      </c>
      <c r="G123" s="1371"/>
      <c r="H123" s="1371"/>
      <c r="I123" s="1371"/>
      <c r="J123" s="1371"/>
      <c r="K123" s="1371"/>
      <c r="L123" s="1371"/>
      <c r="M123" s="1061">
        <f t="shared" si="48"/>
        <v>31084.53</v>
      </c>
      <c r="N123" s="1062">
        <f t="shared" si="49"/>
        <v>974.44000000000233</v>
      </c>
      <c r="O123" s="1063">
        <f t="shared" si="50"/>
        <v>3.1348069280764494E-2</v>
      </c>
      <c r="P123" s="1062">
        <f t="shared" si="54"/>
        <v>966.80999999999892</v>
      </c>
      <c r="Q123" s="1062">
        <f t="shared" si="51"/>
        <v>31076.899999999994</v>
      </c>
      <c r="R123" s="1062">
        <f t="shared" si="52"/>
        <v>7.6300000000046566</v>
      </c>
      <c r="S123" s="1062" t="str">
        <f t="shared" si="53"/>
        <v>SIM</v>
      </c>
    </row>
    <row r="124" spans="1:19" ht="13.5" customHeight="1">
      <c r="A124" s="1440">
        <v>45495</v>
      </c>
      <c r="B124" s="1679"/>
      <c r="C124" s="1679">
        <v>21313.94</v>
      </c>
      <c r="D124" s="1370"/>
      <c r="E124" s="1371"/>
      <c r="F124" s="1372">
        <v>10732.55</v>
      </c>
      <c r="G124" s="1371"/>
      <c r="H124" s="1371"/>
      <c r="I124" s="1371"/>
      <c r="J124" s="1371"/>
      <c r="K124" s="1371"/>
      <c r="L124" s="1371"/>
      <c r="M124" s="1061">
        <f t="shared" si="48"/>
        <v>32046.489999999998</v>
      </c>
      <c r="N124" s="1062">
        <f t="shared" si="49"/>
        <v>961.95999999999913</v>
      </c>
      <c r="O124" s="1063">
        <f t="shared" si="50"/>
        <v>3.0017639997391266E-2</v>
      </c>
      <c r="P124" s="1062">
        <f t="shared" si="54"/>
        <v>977.2266666666668</v>
      </c>
      <c r="Q124" s="1062">
        <f t="shared" si="51"/>
        <v>32061.756666666664</v>
      </c>
      <c r="R124" s="1062">
        <f t="shared" si="52"/>
        <v>-15.266666666666424</v>
      </c>
      <c r="S124" s="1062" t="str">
        <f t="shared" si="53"/>
        <v>Não</v>
      </c>
    </row>
    <row r="125" spans="1:19" ht="13.5" customHeight="1">
      <c r="A125" s="1440">
        <v>45526</v>
      </c>
      <c r="B125" s="1679"/>
      <c r="C125" s="1679">
        <v>22907.58</v>
      </c>
      <c r="D125" s="1370"/>
      <c r="E125" s="1371"/>
      <c r="F125" s="1372">
        <v>11050.49</v>
      </c>
      <c r="G125" s="1371"/>
      <c r="H125" s="1371"/>
      <c r="I125" s="1371"/>
      <c r="J125" s="1371"/>
      <c r="K125" s="1371"/>
      <c r="L125" s="1371"/>
      <c r="M125" s="1061">
        <f t="shared" si="48"/>
        <v>33958.07</v>
      </c>
      <c r="N125" s="1062">
        <f t="shared" si="49"/>
        <v>1911.5800000000017</v>
      </c>
      <c r="O125" s="1063">
        <f t="shared" si="50"/>
        <v>5.6292362905194605E-2</v>
      </c>
      <c r="P125" s="1062">
        <f t="shared" si="54"/>
        <v>970.67999999999904</v>
      </c>
      <c r="Q125" s="1062">
        <f t="shared" si="51"/>
        <v>33017.17</v>
      </c>
      <c r="R125" s="1062">
        <f t="shared" si="52"/>
        <v>940.90000000000146</v>
      </c>
      <c r="S125" s="1062" t="str">
        <f t="shared" si="53"/>
        <v>SIM</v>
      </c>
    </row>
    <row r="126" spans="1:19" ht="13.5" customHeight="1">
      <c r="A126" s="1440">
        <v>45557</v>
      </c>
      <c r="B126" s="1679">
        <v>0</v>
      </c>
      <c r="C126" s="1679">
        <v>23883.39</v>
      </c>
      <c r="D126" s="1370"/>
      <c r="E126" s="1371"/>
      <c r="F126" s="1372">
        <v>11085.57</v>
      </c>
      <c r="G126" s="1371"/>
      <c r="H126" s="1371"/>
      <c r="I126" s="1371"/>
      <c r="J126" s="1371"/>
      <c r="K126" s="1371"/>
      <c r="L126" s="1371"/>
      <c r="M126" s="1061">
        <f>SUM(B126:L126)</f>
        <v>34968.959999999999</v>
      </c>
      <c r="N126" s="1062">
        <f t="shared" si="49"/>
        <v>1010.8899999999994</v>
      </c>
      <c r="O126" s="1063">
        <f t="shared" si="50"/>
        <v>2.8908208880103939E-2</v>
      </c>
      <c r="P126" s="1062">
        <f t="shared" si="54"/>
        <v>1282.660000000001</v>
      </c>
      <c r="Q126" s="1062">
        <f t="shared" si="51"/>
        <v>35240.730000000003</v>
      </c>
      <c r="R126" s="1062">
        <f t="shared" si="52"/>
        <v>-271.77000000000407</v>
      </c>
      <c r="S126" s="1062" t="str">
        <f t="shared" si="53"/>
        <v>Não</v>
      </c>
    </row>
    <row r="127" spans="1:19" ht="13.5" customHeight="1">
      <c r="A127" s="1440">
        <v>45587</v>
      </c>
      <c r="B127" s="1679">
        <v>520</v>
      </c>
      <c r="C127" s="1679">
        <v>24978.03</v>
      </c>
      <c r="D127" s="1370"/>
      <c r="E127" s="1371"/>
      <c r="F127" s="1372">
        <v>11120.4</v>
      </c>
      <c r="G127" s="1371"/>
      <c r="H127" s="1371"/>
      <c r="I127" s="1371"/>
      <c r="J127" s="1371"/>
      <c r="K127" s="1371"/>
      <c r="L127" s="1371"/>
      <c r="M127" s="1061">
        <f>SUM(B127:L127)</f>
        <v>36618.43</v>
      </c>
      <c r="N127" s="1062">
        <f t="shared" si="49"/>
        <v>1649.4700000000012</v>
      </c>
      <c r="O127" s="1063">
        <f t="shared" si="50"/>
        <v>4.5044803941621775E-2</v>
      </c>
      <c r="P127" s="1062">
        <f t="shared" si="54"/>
        <v>1294.8100000000002</v>
      </c>
      <c r="Q127" s="1062">
        <f t="shared" si="51"/>
        <v>36263.769999999997</v>
      </c>
      <c r="R127" s="1062">
        <f t="shared" si="52"/>
        <v>354.66000000000349</v>
      </c>
      <c r="S127" s="1062" t="str">
        <f t="shared" si="53"/>
        <v>SIM</v>
      </c>
    </row>
    <row r="128" spans="1:19" ht="13.5" customHeight="1">
      <c r="A128" s="1440">
        <v>45618</v>
      </c>
      <c r="B128" s="1679">
        <v>1561.79</v>
      </c>
      <c r="C128" s="1679">
        <v>25064.07</v>
      </c>
      <c r="D128" s="1370"/>
      <c r="E128" s="1371"/>
      <c r="F128" s="1372">
        <v>11158.7</v>
      </c>
      <c r="G128" s="1371"/>
      <c r="H128" s="1371"/>
      <c r="I128" s="1371"/>
      <c r="J128" s="1371"/>
      <c r="K128" s="1371"/>
      <c r="L128" s="1371"/>
      <c r="M128" s="1061">
        <f>SUM(B128:L128)</f>
        <v>37784.559999999998</v>
      </c>
      <c r="N128" s="1062">
        <f t="shared" si="49"/>
        <v>1166.1299999999974</v>
      </c>
      <c r="O128" s="1063">
        <f t="shared" si="50"/>
        <v>3.0862606313266514E-2</v>
      </c>
      <c r="P128" s="1062">
        <f t="shared" si="54"/>
        <v>1523.9800000000007</v>
      </c>
      <c r="Q128" s="1062">
        <f t="shared" si="51"/>
        <v>38142.410000000003</v>
      </c>
      <c r="R128" s="1062">
        <f t="shared" si="52"/>
        <v>-357.85000000000582</v>
      </c>
      <c r="S128" s="1062" t="str">
        <f t="shared" si="53"/>
        <v>Não</v>
      </c>
    </row>
    <row r="129" spans="1:19" ht="13.5" customHeight="1">
      <c r="A129" s="1440">
        <v>45648</v>
      </c>
      <c r="B129" s="1679">
        <v>693.33</v>
      </c>
      <c r="C129" s="1679">
        <v>25142.16</v>
      </c>
      <c r="D129" s="1370"/>
      <c r="E129" s="1371"/>
      <c r="F129" s="1372">
        <v>11193.47</v>
      </c>
      <c r="G129" s="1371"/>
      <c r="H129" s="1371"/>
      <c r="I129" s="1371"/>
      <c r="J129" s="1371"/>
      <c r="K129" s="1371"/>
      <c r="L129" s="1371"/>
      <c r="M129" s="1061">
        <f t="shared" ref="M129:M137" si="55">SUM(B129:L129)</f>
        <v>37028.959999999999</v>
      </c>
      <c r="N129" s="1062">
        <f t="shared" ref="N129:N137" si="56">IF(M129&lt;&gt;0,M129-M128,"")</f>
        <v>-755.59999999999854</v>
      </c>
      <c r="O129" s="1063">
        <f t="shared" ref="O129:O137" si="57">IF(N129&lt;&gt;"",(N129/M129),"")</f>
        <v>-2.0405650064165955E-2</v>
      </c>
      <c r="P129" s="1062">
        <f t="shared" ref="P129:P137" si="58">IF(N128&lt;&gt;"",AVERAGE(N126:N128),"")</f>
        <v>1275.496666666666</v>
      </c>
      <c r="Q129" s="1062">
        <f t="shared" ref="Q129:Q137" si="59">IF(M128&gt;0,M128+P129,"")</f>
        <v>39060.056666666664</v>
      </c>
      <c r="R129" s="1062">
        <f t="shared" ref="R129:R137" si="60">IF(M129&gt;0,M129-Q129,"")</f>
        <v>-2031.0966666666645</v>
      </c>
      <c r="S129" s="1062" t="str">
        <f t="shared" ref="S129:S137" si="61">IF(M129&gt;=Q129,"SIM","Não")</f>
        <v>Não</v>
      </c>
    </row>
    <row r="130" spans="1:19" ht="13.5" customHeight="1">
      <c r="A130" s="1440">
        <v>45679</v>
      </c>
      <c r="B130" s="1679">
        <v>0</v>
      </c>
      <c r="C130" s="1679">
        <v>25224.87</v>
      </c>
      <c r="D130" s="1370"/>
      <c r="E130" s="1371"/>
      <c r="F130" s="1372">
        <v>11230.29</v>
      </c>
      <c r="G130" s="1371"/>
      <c r="H130" s="1371"/>
      <c r="I130" s="1371"/>
      <c r="J130" s="1371"/>
      <c r="K130" s="1371"/>
      <c r="L130" s="1371"/>
      <c r="M130" s="1061">
        <f t="shared" si="55"/>
        <v>36455.160000000003</v>
      </c>
      <c r="N130" s="1062">
        <f t="shared" si="56"/>
        <v>-573.79999999999563</v>
      </c>
      <c r="O130" s="1063">
        <f t="shared" si="57"/>
        <v>-1.5739884285242353E-2</v>
      </c>
      <c r="P130" s="1062">
        <f t="shared" si="58"/>
        <v>686.66666666666663</v>
      </c>
      <c r="Q130" s="1062">
        <f t="shared" si="59"/>
        <v>37715.626666666663</v>
      </c>
      <c r="R130" s="1062">
        <f t="shared" si="60"/>
        <v>-1260.4666666666599</v>
      </c>
      <c r="S130" s="1062" t="str">
        <f t="shared" si="61"/>
        <v>Não</v>
      </c>
    </row>
    <row r="131" spans="1:19" ht="13.5" customHeight="1">
      <c r="A131" s="1440">
        <v>45710</v>
      </c>
      <c r="B131" s="1679"/>
      <c r="C131" s="1679">
        <v>25329.8</v>
      </c>
      <c r="D131" s="1370"/>
      <c r="E131" s="1371"/>
      <c r="F131" s="1372">
        <v>11277</v>
      </c>
      <c r="G131" s="1371"/>
      <c r="H131" s="1371"/>
      <c r="I131" s="1371"/>
      <c r="J131" s="1371"/>
      <c r="K131" s="1371"/>
      <c r="L131" s="1371"/>
      <c r="M131" s="1061">
        <f t="shared" si="55"/>
        <v>36606.800000000003</v>
      </c>
      <c r="N131" s="1062">
        <f t="shared" si="56"/>
        <v>151.63999999999942</v>
      </c>
      <c r="O131" s="1063">
        <f t="shared" si="57"/>
        <v>4.1423997727198063E-3</v>
      </c>
      <c r="P131" s="1062">
        <f t="shared" si="58"/>
        <v>-54.423333333332266</v>
      </c>
      <c r="Q131" s="1062">
        <f t="shared" si="59"/>
        <v>36400.736666666671</v>
      </c>
      <c r="R131" s="1062">
        <f t="shared" si="60"/>
        <v>206.06333333333168</v>
      </c>
      <c r="S131" s="1062" t="str">
        <f t="shared" si="61"/>
        <v>SIM</v>
      </c>
    </row>
    <row r="132" spans="1:19" ht="13.5" customHeight="1">
      <c r="A132" s="1440">
        <v>45738</v>
      </c>
      <c r="B132" s="1679"/>
      <c r="C132" s="1679">
        <v>283.70999999999998</v>
      </c>
      <c r="D132" s="1370"/>
      <c r="E132" s="1371"/>
      <c r="F132" s="1372">
        <v>89.48</v>
      </c>
      <c r="G132" s="1371"/>
      <c r="H132" s="1371"/>
      <c r="I132" s="1371"/>
      <c r="J132" s="1371"/>
      <c r="K132" s="1371"/>
      <c r="L132" s="1371"/>
      <c r="M132" s="1061">
        <f t="shared" si="55"/>
        <v>373.19</v>
      </c>
      <c r="N132" s="1062">
        <f t="shared" si="56"/>
        <v>-36233.61</v>
      </c>
      <c r="O132" s="1063">
        <f t="shared" si="57"/>
        <v>-97.091588734960752</v>
      </c>
      <c r="P132" s="1062">
        <f t="shared" si="58"/>
        <v>-392.58666666666494</v>
      </c>
      <c r="Q132" s="1062">
        <f t="shared" si="59"/>
        <v>36214.21333333334</v>
      </c>
      <c r="R132" s="1062">
        <f t="shared" si="60"/>
        <v>-35841.023333333338</v>
      </c>
      <c r="S132" s="1062" t="str">
        <f t="shared" si="61"/>
        <v>Não</v>
      </c>
    </row>
    <row r="133" spans="1:19" ht="13.5" customHeight="1">
      <c r="A133" s="1440">
        <v>45769</v>
      </c>
      <c r="B133" s="1679"/>
      <c r="C133" s="1679">
        <v>284.72000000000003</v>
      </c>
      <c r="D133" s="1370"/>
      <c r="E133" s="1371"/>
      <c r="F133" s="1372">
        <v>89.79</v>
      </c>
      <c r="G133" s="1371"/>
      <c r="H133" s="1371"/>
      <c r="I133" s="1371"/>
      <c r="J133" s="1371"/>
      <c r="K133" s="1371"/>
      <c r="L133" s="1371"/>
      <c r="M133" s="1061">
        <f t="shared" si="55"/>
        <v>374.51000000000005</v>
      </c>
      <c r="N133" s="1062">
        <f t="shared" si="56"/>
        <v>1.32000000000005</v>
      </c>
      <c r="O133" s="1063">
        <f t="shared" si="57"/>
        <v>3.5246054844998796E-3</v>
      </c>
      <c r="P133" s="1062">
        <f t="shared" si="58"/>
        <v>-12218.589999999998</v>
      </c>
      <c r="Q133" s="1062">
        <f t="shared" si="59"/>
        <v>-11845.399999999998</v>
      </c>
      <c r="R133" s="1062">
        <f t="shared" si="60"/>
        <v>12219.909999999998</v>
      </c>
      <c r="S133" s="1062" t="str">
        <f t="shared" si="61"/>
        <v>SIM</v>
      </c>
    </row>
    <row r="134" spans="1:19" ht="13.5" customHeight="1">
      <c r="A134" s="1440">
        <v>45799</v>
      </c>
      <c r="B134" s="1679"/>
      <c r="C134" s="1679">
        <v>285.89999999999998</v>
      </c>
      <c r="D134" s="1370"/>
      <c r="E134" s="1371"/>
      <c r="F134" s="1372">
        <v>90.16</v>
      </c>
      <c r="G134" s="1371"/>
      <c r="H134" s="1371"/>
      <c r="I134" s="1371"/>
      <c r="J134" s="1371"/>
      <c r="K134" s="1371"/>
      <c r="L134" s="1371"/>
      <c r="M134" s="1061">
        <f t="shared" si="55"/>
        <v>376.05999999999995</v>
      </c>
      <c r="N134" s="1062">
        <f t="shared" si="56"/>
        <v>1.5499999999998977</v>
      </c>
      <c r="O134" s="1063">
        <f t="shared" si="57"/>
        <v>4.1216827102055469E-3</v>
      </c>
      <c r="P134" s="1062">
        <f t="shared" si="58"/>
        <v>-12026.883333333333</v>
      </c>
      <c r="Q134" s="1062">
        <f t="shared" si="59"/>
        <v>-11652.373333333333</v>
      </c>
      <c r="R134" s="1062">
        <f t="shared" si="60"/>
        <v>12028.433333333332</v>
      </c>
      <c r="S134" s="1062" t="str">
        <f t="shared" si="61"/>
        <v>SIM</v>
      </c>
    </row>
    <row r="135" spans="1:19" ht="13.5" customHeight="1">
      <c r="A135" s="1440">
        <v>45830</v>
      </c>
      <c r="B135" s="1679"/>
      <c r="C135" s="1679">
        <v>287.08999999999997</v>
      </c>
      <c r="D135" s="1370"/>
      <c r="E135" s="1371"/>
      <c r="F135" s="1372">
        <v>90.53</v>
      </c>
      <c r="G135" s="1371"/>
      <c r="H135" s="1371"/>
      <c r="I135" s="1371"/>
      <c r="J135" s="1371"/>
      <c r="K135" s="1371"/>
      <c r="L135" s="1371"/>
      <c r="M135" s="1061">
        <f t="shared" si="55"/>
        <v>377.62</v>
      </c>
      <c r="N135" s="1062">
        <f t="shared" si="56"/>
        <v>1.5600000000000591</v>
      </c>
      <c r="O135" s="1063">
        <f t="shared" si="57"/>
        <v>4.1311371219746283E-3</v>
      </c>
      <c r="P135" s="1062">
        <f t="shared" si="58"/>
        <v>-12076.913333333332</v>
      </c>
      <c r="Q135" s="1062">
        <f t="shared" si="59"/>
        <v>-11700.853333333333</v>
      </c>
      <c r="R135" s="1062">
        <f t="shared" si="60"/>
        <v>12078.473333333333</v>
      </c>
      <c r="S135" s="1062" t="str">
        <f t="shared" si="61"/>
        <v>SIM</v>
      </c>
    </row>
    <row r="136" spans="1:19" ht="13.5" customHeight="1">
      <c r="A136" s="1440">
        <v>45860</v>
      </c>
      <c r="B136" s="1679"/>
      <c r="C136" s="1679">
        <v>288.27999999999997</v>
      </c>
      <c r="D136" s="1370"/>
      <c r="E136" s="1371"/>
      <c r="F136" s="1372">
        <v>90.9</v>
      </c>
      <c r="G136" s="1371"/>
      <c r="H136" s="1371"/>
      <c r="I136" s="1371"/>
      <c r="J136" s="1371"/>
      <c r="K136" s="1371"/>
      <c r="L136" s="1371"/>
      <c r="M136" s="1061">
        <f t="shared" si="55"/>
        <v>379.17999999999995</v>
      </c>
      <c r="N136" s="1062">
        <f t="shared" si="56"/>
        <v>1.5599999999999454</v>
      </c>
      <c r="O136" s="1063">
        <f t="shared" si="57"/>
        <v>4.1141410411940126E-3</v>
      </c>
      <c r="P136" s="1062">
        <f t="shared" si="58"/>
        <v>1.476666666666669</v>
      </c>
      <c r="Q136" s="1062">
        <f t="shared" si="59"/>
        <v>379.09666666666669</v>
      </c>
      <c r="R136" s="1062">
        <f t="shared" si="60"/>
        <v>8.3333333333257542E-2</v>
      </c>
      <c r="S136" s="1062" t="str">
        <f t="shared" si="61"/>
        <v>SIM</v>
      </c>
    </row>
    <row r="137" spans="1:19" ht="13.5" customHeight="1">
      <c r="A137" s="1440">
        <v>45891</v>
      </c>
      <c r="B137" s="1679"/>
      <c r="C137" s="1679">
        <v>805.3</v>
      </c>
      <c r="D137" s="1370"/>
      <c r="E137" s="1371"/>
      <c r="F137" s="1372">
        <v>320.92</v>
      </c>
      <c r="G137" s="1371"/>
      <c r="H137" s="1371"/>
      <c r="I137" s="1371"/>
      <c r="J137" s="1371"/>
      <c r="K137" s="1371"/>
      <c r="L137" s="1371"/>
      <c r="M137" s="1061">
        <f t="shared" si="55"/>
        <v>1126.22</v>
      </c>
      <c r="N137" s="1062">
        <f t="shared" si="56"/>
        <v>747.04000000000008</v>
      </c>
      <c r="O137" s="1063">
        <f t="shared" si="57"/>
        <v>0.66331622595940409</v>
      </c>
      <c r="P137" s="1062">
        <f t="shared" si="58"/>
        <v>1.556666666666634</v>
      </c>
      <c r="Q137" s="1062">
        <f t="shared" si="59"/>
        <v>380.73666666666657</v>
      </c>
      <c r="R137" s="1062">
        <f t="shared" si="60"/>
        <v>745.48333333333346</v>
      </c>
      <c r="S137" s="1062" t="str">
        <f t="shared" si="61"/>
        <v>SIM</v>
      </c>
    </row>
    <row r="138" spans="1:19" ht="13.5" customHeight="1">
      <c r="A138" s="1440">
        <v>45922</v>
      </c>
      <c r="B138" s="1679"/>
      <c r="C138" s="1679">
        <v>808.67</v>
      </c>
      <c r="D138" s="1370"/>
      <c r="E138" s="1371"/>
      <c r="F138" s="1372">
        <v>322.26</v>
      </c>
      <c r="G138" s="1371"/>
      <c r="H138" s="1371"/>
      <c r="I138" s="1371"/>
      <c r="J138" s="1371"/>
      <c r="K138" s="1371"/>
      <c r="L138" s="1371"/>
      <c r="M138" s="1061">
        <f t="shared" ref="M138:M167" si="62">SUM(B138:L138)</f>
        <v>1130.9299999999998</v>
      </c>
      <c r="N138" s="1062">
        <f t="shared" ref="N138:N144" si="63">IF(M138&lt;&gt;0,M138-M137,"")</f>
        <v>4.709999999999809</v>
      </c>
      <c r="O138" s="1063">
        <f t="shared" ref="O138:O167" si="64">IF(N138&lt;&gt;"",(N138/M138),"")</f>
        <v>4.1647139964452349E-3</v>
      </c>
      <c r="P138" s="1062">
        <f t="shared" ref="P138:P144" si="65">IF(N137&lt;&gt;"",AVERAGE(N135:N137),"")</f>
        <v>250.05333333333337</v>
      </c>
      <c r="Q138" s="1062">
        <f t="shared" ref="Q138:Q144" si="66">IF(M137&gt;0,M137+P138,"")</f>
        <v>1376.2733333333333</v>
      </c>
      <c r="R138" s="1062">
        <f t="shared" ref="R138:R167" si="67">IF(M138&gt;0,M138-Q138,"")</f>
        <v>-245.34333333333348</v>
      </c>
      <c r="S138" s="1062" t="str">
        <f t="shared" ref="S138:S167" si="68">IF(M138&gt;=Q138,"SIM","Não")</f>
        <v>Não</v>
      </c>
    </row>
    <row r="139" spans="1:19" ht="13.5" customHeight="1">
      <c r="A139" s="1440">
        <v>45952</v>
      </c>
      <c r="B139" s="1679"/>
      <c r="C139" s="1679">
        <v>812.07</v>
      </c>
      <c r="D139" s="1370"/>
      <c r="E139" s="1371"/>
      <c r="F139" s="1372">
        <v>323.61</v>
      </c>
      <c r="G139" s="1371"/>
      <c r="H139" s="1371"/>
      <c r="I139" s="1371"/>
      <c r="J139" s="1371"/>
      <c r="K139" s="1371"/>
      <c r="L139" s="1371"/>
      <c r="M139" s="1061">
        <f t="shared" si="62"/>
        <v>1135.68</v>
      </c>
      <c r="N139" s="1062">
        <f t="shared" si="63"/>
        <v>4.7500000000002274</v>
      </c>
      <c r="O139" s="1063">
        <f t="shared" si="64"/>
        <v>4.1825162017471709E-3</v>
      </c>
      <c r="P139" s="1062">
        <f t="shared" si="65"/>
        <v>251.10333333333327</v>
      </c>
      <c r="Q139" s="1062">
        <f t="shared" si="66"/>
        <v>1382.0333333333331</v>
      </c>
      <c r="R139" s="1062">
        <f t="shared" si="67"/>
        <v>-246.35333333333301</v>
      </c>
      <c r="S139" s="1062" t="str">
        <f t="shared" si="68"/>
        <v>Não</v>
      </c>
    </row>
    <row r="140" spans="1:19" ht="13.5" customHeight="1">
      <c r="A140" s="1440">
        <v>45983</v>
      </c>
      <c r="B140" s="1679"/>
      <c r="C140" s="1679">
        <v>815.5</v>
      </c>
      <c r="D140" s="1370"/>
      <c r="E140" s="1371"/>
      <c r="F140" s="1950">
        <v>324.97000000000003</v>
      </c>
      <c r="G140" s="1371"/>
      <c r="H140" s="1371"/>
      <c r="I140" s="1371"/>
      <c r="J140" s="1371"/>
      <c r="K140" s="1371"/>
      <c r="L140" s="1371"/>
      <c r="M140" s="1061">
        <f t="shared" si="62"/>
        <v>1140.47</v>
      </c>
      <c r="N140" s="1062">
        <f t="shared" si="63"/>
        <v>4.7899999999999636</v>
      </c>
      <c r="O140" s="1063">
        <f t="shared" si="64"/>
        <v>4.2000227976184941E-3</v>
      </c>
      <c r="P140" s="1062">
        <f t="shared" si="65"/>
        <v>252.16666666666671</v>
      </c>
      <c r="Q140" s="1062">
        <f t="shared" si="66"/>
        <v>1387.8466666666668</v>
      </c>
      <c r="R140" s="1062">
        <f t="shared" si="67"/>
        <v>-247.37666666666678</v>
      </c>
      <c r="S140" s="1062" t="str">
        <f t="shared" si="68"/>
        <v>Não</v>
      </c>
    </row>
    <row r="141" spans="1:19" ht="13.5" customHeight="1">
      <c r="A141" s="1440">
        <v>46013</v>
      </c>
      <c r="B141" s="1679"/>
      <c r="C141" s="1679">
        <v>818.84</v>
      </c>
      <c r="D141" s="1370"/>
      <c r="E141" s="1371"/>
      <c r="F141" s="1372">
        <v>326.3</v>
      </c>
      <c r="G141" s="1371"/>
      <c r="H141" s="1371"/>
      <c r="I141" s="1371"/>
      <c r="J141" s="1371"/>
      <c r="K141" s="1371"/>
      <c r="L141" s="1371"/>
      <c r="M141" s="1061">
        <f t="shared" si="62"/>
        <v>1145.1400000000001</v>
      </c>
      <c r="N141" s="1062">
        <f t="shared" si="63"/>
        <v>4.6700000000000728</v>
      </c>
      <c r="O141" s="1063">
        <f t="shared" si="64"/>
        <v>4.0781039872854604E-3</v>
      </c>
      <c r="P141" s="1062">
        <f t="shared" si="65"/>
        <v>4.75</v>
      </c>
      <c r="Q141" s="1062">
        <f t="shared" si="66"/>
        <v>1145.22</v>
      </c>
      <c r="R141" s="1062">
        <f t="shared" si="67"/>
        <v>-7.999999999992724E-2</v>
      </c>
      <c r="S141" s="1062" t="str">
        <f t="shared" si="68"/>
        <v>Não</v>
      </c>
    </row>
    <row r="142" spans="1:19" ht="13.5" customHeight="1">
      <c r="A142" s="1440">
        <v>46044</v>
      </c>
      <c r="B142" s="1679"/>
      <c r="C142" s="1679">
        <v>654.97</v>
      </c>
      <c r="D142" s="1370"/>
      <c r="E142" s="1371"/>
      <c r="F142" s="1372">
        <v>0</v>
      </c>
      <c r="G142" s="1371"/>
      <c r="H142" s="1371"/>
      <c r="I142" s="1371"/>
      <c r="J142" s="1371"/>
      <c r="K142" s="1371"/>
      <c r="L142" s="1371"/>
      <c r="M142" s="1061">
        <f t="shared" si="62"/>
        <v>654.97</v>
      </c>
      <c r="N142" s="1062">
        <f t="shared" si="63"/>
        <v>-490.17000000000007</v>
      </c>
      <c r="O142" s="1063">
        <f t="shared" si="64"/>
        <v>-0.74838542223307947</v>
      </c>
      <c r="P142" s="1062">
        <f t="shared" si="65"/>
        <v>4.7366666666667543</v>
      </c>
      <c r="Q142" s="1062">
        <f t="shared" si="66"/>
        <v>1149.8766666666668</v>
      </c>
      <c r="R142" s="1062">
        <f t="shared" si="67"/>
        <v>-494.90666666666675</v>
      </c>
      <c r="S142" s="1062" t="str">
        <f t="shared" si="68"/>
        <v>Não</v>
      </c>
    </row>
    <row r="143" spans="1:19" ht="13.5" customHeight="1">
      <c r="A143" s="1440">
        <v>46075</v>
      </c>
      <c r="B143" s="1679"/>
      <c r="C143" s="1679">
        <v>657.71</v>
      </c>
      <c r="D143" s="1370"/>
      <c r="E143" s="1371"/>
      <c r="F143" s="1372">
        <v>0</v>
      </c>
      <c r="G143" s="1371"/>
      <c r="H143" s="1371"/>
      <c r="I143" s="1371"/>
      <c r="J143" s="1371"/>
      <c r="K143" s="1371"/>
      <c r="L143" s="1371"/>
      <c r="M143" s="1061">
        <f t="shared" si="62"/>
        <v>657.71</v>
      </c>
      <c r="N143" s="1062">
        <f t="shared" si="63"/>
        <v>2.7400000000000091</v>
      </c>
      <c r="O143" s="1063">
        <f t="shared" si="64"/>
        <v>4.1659698043210666E-3</v>
      </c>
      <c r="P143" s="1062">
        <f t="shared" si="65"/>
        <v>-160.23666666666668</v>
      </c>
      <c r="Q143" s="1062">
        <f t="shared" si="66"/>
        <v>494.73333333333335</v>
      </c>
      <c r="R143" s="1062">
        <f t="shared" si="67"/>
        <v>162.97666666666669</v>
      </c>
      <c r="S143" s="1062" t="str">
        <f t="shared" si="68"/>
        <v>SIM</v>
      </c>
    </row>
    <row r="144" spans="1:19" ht="13.5" customHeight="1">
      <c r="A144" s="1440">
        <v>46103</v>
      </c>
      <c r="B144" s="1679"/>
      <c r="C144" s="1679">
        <v>660.12</v>
      </c>
      <c r="D144" s="1370"/>
      <c r="E144" s="1371"/>
      <c r="F144" s="1372">
        <v>0</v>
      </c>
      <c r="G144" s="1371"/>
      <c r="H144" s="1371"/>
      <c r="I144" s="1371"/>
      <c r="J144" s="1371"/>
      <c r="K144" s="1371"/>
      <c r="L144" s="1371"/>
      <c r="M144" s="1061">
        <f t="shared" si="62"/>
        <v>660.12</v>
      </c>
      <c r="N144" s="1062">
        <f t="shared" si="63"/>
        <v>2.4099999999999682</v>
      </c>
      <c r="O144" s="1063">
        <f t="shared" si="64"/>
        <v>3.6508513603586744E-3</v>
      </c>
      <c r="P144" s="1062">
        <f t="shared" si="65"/>
        <v>-160.91999999999999</v>
      </c>
      <c r="Q144" s="1062">
        <f t="shared" si="66"/>
        <v>496.79000000000008</v>
      </c>
      <c r="R144" s="1062">
        <f t="shared" si="67"/>
        <v>163.32999999999993</v>
      </c>
      <c r="S144" s="1062" t="str">
        <f t="shared" si="68"/>
        <v>SIM</v>
      </c>
    </row>
    <row r="145" spans="1:19" ht="13.5" customHeight="1">
      <c r="A145" s="1440">
        <v>46134</v>
      </c>
      <c r="B145" s="1679"/>
      <c r="C145" s="1679">
        <v>662.89</v>
      </c>
      <c r="D145" s="1370"/>
      <c r="E145" s="1371"/>
      <c r="F145" s="1956">
        <v>0</v>
      </c>
      <c r="G145" s="1677"/>
      <c r="H145" s="1371"/>
      <c r="I145" s="1371"/>
      <c r="J145" s="1371"/>
      <c r="K145" s="1371"/>
      <c r="L145" s="1371"/>
      <c r="M145" s="1061">
        <f t="shared" si="62"/>
        <v>662.89</v>
      </c>
      <c r="N145" s="1062">
        <f t="shared" ref="N145:N165" si="69">IF(M145&lt;&gt;0,M145-M144,"")</f>
        <v>2.7699999999999818</v>
      </c>
      <c r="O145" s="1063">
        <f t="shared" ref="O145:O165" si="70">IF(N145&lt;&gt;"",(N145/M145),"")</f>
        <v>4.1786721778877068E-3</v>
      </c>
      <c r="P145" s="1062">
        <f t="shared" ref="P145:P165" si="71">IF(N144&lt;&gt;"",AVERAGE(N142:N144),"")</f>
        <v>-161.67333333333337</v>
      </c>
      <c r="Q145" s="1062">
        <f t="shared" ref="Q145:Q165" si="72">IF(M144&gt;0,M144+P145,"")</f>
        <v>498.4466666666666</v>
      </c>
      <c r="R145" s="1062">
        <f t="shared" ref="R145:R165" si="73">IF(M145&gt;0,M145-Q145,"")</f>
        <v>164.44333333333338</v>
      </c>
      <c r="S145" s="1062" t="str">
        <f t="shared" si="68"/>
        <v>SIM</v>
      </c>
    </row>
    <row r="146" spans="1:19" ht="13.5" customHeight="1">
      <c r="A146" s="1440">
        <v>46164</v>
      </c>
      <c r="B146" s="1679"/>
      <c r="C146" s="1679"/>
      <c r="D146" s="1370"/>
      <c r="E146" s="1371"/>
      <c r="F146" s="1956"/>
      <c r="G146" s="1677"/>
      <c r="H146" s="1371"/>
      <c r="I146" s="1371"/>
      <c r="J146" s="1371"/>
      <c r="K146" s="1371"/>
      <c r="L146" s="1371"/>
      <c r="M146" s="1061"/>
      <c r="N146" s="1062" t="str">
        <f t="shared" si="69"/>
        <v/>
      </c>
      <c r="O146" s="1063" t="str">
        <f t="shared" si="70"/>
        <v/>
      </c>
      <c r="P146" s="1062">
        <f t="shared" si="71"/>
        <v>2.6399999999999864</v>
      </c>
      <c r="Q146" s="1062">
        <f t="shared" si="72"/>
        <v>665.53</v>
      </c>
      <c r="R146" s="1062" t="str">
        <f t="shared" si="73"/>
        <v/>
      </c>
      <c r="S146" s="1062"/>
    </row>
    <row r="147" spans="1:19" ht="13.5" customHeight="1">
      <c r="A147" s="1440">
        <v>46195</v>
      </c>
      <c r="B147" s="1679"/>
      <c r="C147" s="1679"/>
      <c r="D147" s="1370"/>
      <c r="E147" s="1371"/>
      <c r="F147" s="1956"/>
      <c r="G147" s="1677"/>
      <c r="H147" s="1371"/>
      <c r="I147" s="1371"/>
      <c r="J147" s="1371"/>
      <c r="K147" s="1371"/>
      <c r="L147" s="1371"/>
      <c r="M147" s="1061"/>
      <c r="N147" s="1062" t="str">
        <f t="shared" si="69"/>
        <v/>
      </c>
      <c r="O147" s="1063" t="str">
        <f t="shared" si="70"/>
        <v/>
      </c>
      <c r="P147" s="1062" t="str">
        <f t="shared" si="71"/>
        <v/>
      </c>
      <c r="Q147" s="1062" t="str">
        <f t="shared" si="72"/>
        <v/>
      </c>
      <c r="R147" s="1062" t="str">
        <f t="shared" si="73"/>
        <v/>
      </c>
      <c r="S147" s="1062"/>
    </row>
    <row r="148" spans="1:19" ht="13.5" customHeight="1">
      <c r="A148" s="1440">
        <v>46225</v>
      </c>
      <c r="B148" s="1679"/>
      <c r="C148" s="1679"/>
      <c r="D148" s="1370"/>
      <c r="E148" s="1371"/>
      <c r="F148" s="1956"/>
      <c r="G148" s="1677"/>
      <c r="H148" s="1371"/>
      <c r="I148" s="1371"/>
      <c r="J148" s="1371"/>
      <c r="K148" s="1371"/>
      <c r="L148" s="1371"/>
      <c r="M148" s="1061"/>
      <c r="N148" s="1062" t="str">
        <f t="shared" si="69"/>
        <v/>
      </c>
      <c r="O148" s="1063" t="str">
        <f t="shared" si="70"/>
        <v/>
      </c>
      <c r="P148" s="1062" t="str">
        <f t="shared" si="71"/>
        <v/>
      </c>
      <c r="Q148" s="1062" t="str">
        <f t="shared" si="72"/>
        <v/>
      </c>
      <c r="R148" s="1062" t="str">
        <f t="shared" si="73"/>
        <v/>
      </c>
      <c r="S148" s="1062"/>
    </row>
    <row r="149" spans="1:19" ht="13.5" customHeight="1">
      <c r="A149" s="1440">
        <v>46256</v>
      </c>
      <c r="B149" s="1679"/>
      <c r="C149" s="1679"/>
      <c r="D149" s="1370"/>
      <c r="E149" s="1371"/>
      <c r="F149" s="1956"/>
      <c r="G149" s="1677"/>
      <c r="H149" s="1371"/>
      <c r="I149" s="1371"/>
      <c r="J149" s="1371"/>
      <c r="K149" s="1371"/>
      <c r="L149" s="1371"/>
      <c r="M149" s="1061"/>
      <c r="N149" s="1062" t="str">
        <f t="shared" si="69"/>
        <v/>
      </c>
      <c r="O149" s="1063" t="str">
        <f t="shared" si="70"/>
        <v/>
      </c>
      <c r="P149" s="1062" t="str">
        <f t="shared" si="71"/>
        <v/>
      </c>
      <c r="Q149" s="1062" t="str">
        <f t="shared" si="72"/>
        <v/>
      </c>
      <c r="R149" s="1062" t="str">
        <f t="shared" si="73"/>
        <v/>
      </c>
      <c r="S149" s="1062"/>
    </row>
    <row r="150" spans="1:19" ht="13.5" customHeight="1">
      <c r="A150" s="1440">
        <v>46287</v>
      </c>
      <c r="B150" s="1679"/>
      <c r="C150" s="1679"/>
      <c r="D150" s="1370"/>
      <c r="E150" s="1371"/>
      <c r="F150" s="1956"/>
      <c r="G150" s="1677"/>
      <c r="H150" s="1371"/>
      <c r="I150" s="1371"/>
      <c r="J150" s="1371"/>
      <c r="K150" s="1371"/>
      <c r="L150" s="1371"/>
      <c r="M150" s="1061"/>
      <c r="N150" s="1062" t="str">
        <f t="shared" si="69"/>
        <v/>
      </c>
      <c r="O150" s="1063" t="str">
        <f t="shared" si="70"/>
        <v/>
      </c>
      <c r="P150" s="1062" t="str">
        <f t="shared" si="71"/>
        <v/>
      </c>
      <c r="Q150" s="1062" t="str">
        <f t="shared" si="72"/>
        <v/>
      </c>
      <c r="R150" s="1062" t="str">
        <f t="shared" si="73"/>
        <v/>
      </c>
      <c r="S150" s="1062"/>
    </row>
    <row r="151" spans="1:19" ht="13.5" customHeight="1">
      <c r="A151" s="1440">
        <v>46317</v>
      </c>
      <c r="B151" s="1679"/>
      <c r="C151" s="1679"/>
      <c r="D151" s="1370"/>
      <c r="E151" s="1371"/>
      <c r="F151" s="1956"/>
      <c r="G151" s="1677"/>
      <c r="H151" s="1371"/>
      <c r="I151" s="1371"/>
      <c r="J151" s="1371"/>
      <c r="K151" s="1371"/>
      <c r="L151" s="1371"/>
      <c r="M151" s="1061"/>
      <c r="N151" s="1062" t="str">
        <f t="shared" si="69"/>
        <v/>
      </c>
      <c r="O151" s="1063" t="str">
        <f t="shared" si="70"/>
        <v/>
      </c>
      <c r="P151" s="1062" t="str">
        <f t="shared" si="71"/>
        <v/>
      </c>
      <c r="Q151" s="1062" t="str">
        <f t="shared" si="72"/>
        <v/>
      </c>
      <c r="R151" s="1062" t="str">
        <f t="shared" si="73"/>
        <v/>
      </c>
      <c r="S151" s="1062"/>
    </row>
    <row r="152" spans="1:19" ht="13.5" customHeight="1">
      <c r="A152" s="1440">
        <v>46348</v>
      </c>
      <c r="B152" s="1679"/>
      <c r="C152" s="1679"/>
      <c r="D152" s="1370"/>
      <c r="E152" s="1371"/>
      <c r="F152" s="1956"/>
      <c r="G152" s="1677"/>
      <c r="H152" s="1371"/>
      <c r="I152" s="1371"/>
      <c r="J152" s="1371"/>
      <c r="K152" s="1371"/>
      <c r="L152" s="1371"/>
      <c r="M152" s="1061"/>
      <c r="N152" s="1062" t="str">
        <f t="shared" si="69"/>
        <v/>
      </c>
      <c r="O152" s="1063" t="str">
        <f t="shared" si="70"/>
        <v/>
      </c>
      <c r="P152" s="1062" t="str">
        <f t="shared" si="71"/>
        <v/>
      </c>
      <c r="Q152" s="1062" t="str">
        <f t="shared" si="72"/>
        <v/>
      </c>
      <c r="R152" s="1062" t="str">
        <f t="shared" si="73"/>
        <v/>
      </c>
      <c r="S152" s="1062"/>
    </row>
    <row r="153" spans="1:19" ht="13.5" customHeight="1">
      <c r="A153" s="1440">
        <v>46378</v>
      </c>
      <c r="B153" s="1679"/>
      <c r="C153" s="1679"/>
      <c r="D153" s="1370"/>
      <c r="E153" s="1371"/>
      <c r="F153" s="1956"/>
      <c r="G153" s="1677"/>
      <c r="H153" s="1371"/>
      <c r="I153" s="1371"/>
      <c r="J153" s="1371"/>
      <c r="K153" s="1371"/>
      <c r="L153" s="1371"/>
      <c r="M153" s="1061"/>
      <c r="N153" s="1062" t="str">
        <f t="shared" si="69"/>
        <v/>
      </c>
      <c r="O153" s="1063" t="str">
        <f t="shared" si="70"/>
        <v/>
      </c>
      <c r="P153" s="1062" t="str">
        <f t="shared" si="71"/>
        <v/>
      </c>
      <c r="Q153" s="1062" t="str">
        <f t="shared" si="72"/>
        <v/>
      </c>
      <c r="R153" s="1062" t="str">
        <f t="shared" si="73"/>
        <v/>
      </c>
      <c r="S153" s="1062"/>
    </row>
    <row r="154" spans="1:19" ht="13.5" customHeight="1">
      <c r="A154" s="1440">
        <v>46409</v>
      </c>
      <c r="B154" s="1679"/>
      <c r="C154" s="1679"/>
      <c r="D154" s="1370"/>
      <c r="E154" s="1371"/>
      <c r="F154" s="1956"/>
      <c r="G154" s="1677"/>
      <c r="H154" s="1371"/>
      <c r="I154" s="1371"/>
      <c r="J154" s="1371"/>
      <c r="K154" s="1371"/>
      <c r="L154" s="1371"/>
      <c r="M154" s="1061"/>
      <c r="N154" s="1062" t="str">
        <f t="shared" si="69"/>
        <v/>
      </c>
      <c r="O154" s="1063" t="str">
        <f t="shared" si="70"/>
        <v/>
      </c>
      <c r="P154" s="1062" t="str">
        <f t="shared" si="71"/>
        <v/>
      </c>
      <c r="Q154" s="1062" t="str">
        <f t="shared" si="72"/>
        <v/>
      </c>
      <c r="R154" s="1062" t="str">
        <f t="shared" si="73"/>
        <v/>
      </c>
      <c r="S154" s="1062"/>
    </row>
    <row r="155" spans="1:19" ht="13.5" customHeight="1">
      <c r="A155" s="1440">
        <v>46440</v>
      </c>
      <c r="B155" s="1679"/>
      <c r="C155" s="1679"/>
      <c r="D155" s="1370"/>
      <c r="E155" s="1371"/>
      <c r="F155" s="1956"/>
      <c r="G155" s="1677"/>
      <c r="H155" s="1371"/>
      <c r="I155" s="1371"/>
      <c r="J155" s="1371"/>
      <c r="K155" s="1371"/>
      <c r="L155" s="1371"/>
      <c r="M155" s="1061"/>
      <c r="N155" s="1062" t="str">
        <f t="shared" si="69"/>
        <v/>
      </c>
      <c r="O155" s="1063" t="str">
        <f t="shared" si="70"/>
        <v/>
      </c>
      <c r="P155" s="1062" t="str">
        <f t="shared" si="71"/>
        <v/>
      </c>
      <c r="Q155" s="1062" t="str">
        <f t="shared" si="72"/>
        <v/>
      </c>
      <c r="R155" s="1062" t="str">
        <f t="shared" si="73"/>
        <v/>
      </c>
      <c r="S155" s="1062"/>
    </row>
    <row r="156" spans="1:19" ht="13.5" customHeight="1">
      <c r="A156" s="1440">
        <v>46468</v>
      </c>
      <c r="B156" s="1679"/>
      <c r="C156" s="1679"/>
      <c r="D156" s="1370"/>
      <c r="E156" s="1371"/>
      <c r="F156" s="1956"/>
      <c r="G156" s="1677"/>
      <c r="H156" s="1371"/>
      <c r="I156" s="1371"/>
      <c r="J156" s="1371"/>
      <c r="K156" s="1371"/>
      <c r="L156" s="1371"/>
      <c r="M156" s="1061"/>
      <c r="N156" s="1062" t="str">
        <f t="shared" si="69"/>
        <v/>
      </c>
      <c r="O156" s="1063" t="str">
        <f t="shared" si="70"/>
        <v/>
      </c>
      <c r="P156" s="1062" t="str">
        <f t="shared" si="71"/>
        <v/>
      </c>
      <c r="Q156" s="1062" t="str">
        <f t="shared" si="72"/>
        <v/>
      </c>
      <c r="R156" s="1062" t="str">
        <f t="shared" si="73"/>
        <v/>
      </c>
      <c r="S156" s="1062"/>
    </row>
    <row r="157" spans="1:19" ht="13.5" customHeight="1">
      <c r="A157" s="1440">
        <v>46499</v>
      </c>
      <c r="B157" s="1679"/>
      <c r="C157" s="1679"/>
      <c r="D157" s="1370"/>
      <c r="E157" s="1371"/>
      <c r="F157" s="1956"/>
      <c r="G157" s="1677"/>
      <c r="H157" s="1371"/>
      <c r="I157" s="1371"/>
      <c r="J157" s="1371"/>
      <c r="K157" s="1371"/>
      <c r="L157" s="1371"/>
      <c r="M157" s="1061"/>
      <c r="N157" s="1062" t="str">
        <f t="shared" si="69"/>
        <v/>
      </c>
      <c r="O157" s="1063" t="str">
        <f t="shared" si="70"/>
        <v/>
      </c>
      <c r="P157" s="1062" t="str">
        <f t="shared" si="71"/>
        <v/>
      </c>
      <c r="Q157" s="1062" t="str">
        <f t="shared" si="72"/>
        <v/>
      </c>
      <c r="R157" s="1062" t="str">
        <f t="shared" si="73"/>
        <v/>
      </c>
      <c r="S157" s="1062"/>
    </row>
    <row r="158" spans="1:19" ht="13.5" customHeight="1">
      <c r="A158" s="1440">
        <v>46529</v>
      </c>
      <c r="B158" s="1679"/>
      <c r="C158" s="1679"/>
      <c r="D158" s="1370"/>
      <c r="E158" s="1371"/>
      <c r="F158" s="1956"/>
      <c r="G158" s="1677"/>
      <c r="H158" s="1371"/>
      <c r="I158" s="1371"/>
      <c r="J158" s="1371"/>
      <c r="K158" s="1371"/>
      <c r="L158" s="1371"/>
      <c r="M158" s="1061"/>
      <c r="N158" s="1062" t="str">
        <f t="shared" si="69"/>
        <v/>
      </c>
      <c r="O158" s="1063" t="str">
        <f t="shared" si="70"/>
        <v/>
      </c>
      <c r="P158" s="1062" t="str">
        <f t="shared" si="71"/>
        <v/>
      </c>
      <c r="Q158" s="1062" t="str">
        <f t="shared" si="72"/>
        <v/>
      </c>
      <c r="R158" s="1062" t="str">
        <f t="shared" si="73"/>
        <v/>
      </c>
      <c r="S158" s="1062"/>
    </row>
    <row r="159" spans="1:19" ht="13.5" customHeight="1">
      <c r="A159" s="1440">
        <v>46560</v>
      </c>
      <c r="B159" s="1679"/>
      <c r="C159" s="1679"/>
      <c r="D159" s="1370"/>
      <c r="E159" s="1371"/>
      <c r="F159" s="1956"/>
      <c r="G159" s="1677"/>
      <c r="H159" s="1371"/>
      <c r="I159" s="1371"/>
      <c r="J159" s="1371"/>
      <c r="K159" s="1371"/>
      <c r="L159" s="1371"/>
      <c r="M159" s="1061"/>
      <c r="N159" s="1062" t="str">
        <f t="shared" si="69"/>
        <v/>
      </c>
      <c r="O159" s="1063" t="str">
        <f t="shared" si="70"/>
        <v/>
      </c>
      <c r="P159" s="1062" t="str">
        <f t="shared" si="71"/>
        <v/>
      </c>
      <c r="Q159" s="1062" t="str">
        <f t="shared" si="72"/>
        <v/>
      </c>
      <c r="R159" s="1062" t="str">
        <f t="shared" si="73"/>
        <v/>
      </c>
      <c r="S159" s="1062"/>
    </row>
    <row r="160" spans="1:19" ht="13.5" customHeight="1">
      <c r="A160" s="1440">
        <v>46590</v>
      </c>
      <c r="B160" s="1679"/>
      <c r="C160" s="1679"/>
      <c r="D160" s="1370"/>
      <c r="E160" s="1371"/>
      <c r="F160" s="1956"/>
      <c r="G160" s="1677"/>
      <c r="H160" s="1371"/>
      <c r="I160" s="1371"/>
      <c r="J160" s="1371"/>
      <c r="K160" s="1371"/>
      <c r="L160" s="1371"/>
      <c r="M160" s="1061"/>
      <c r="N160" s="1062" t="str">
        <f t="shared" si="69"/>
        <v/>
      </c>
      <c r="O160" s="1063" t="str">
        <f t="shared" si="70"/>
        <v/>
      </c>
      <c r="P160" s="1062" t="str">
        <f t="shared" si="71"/>
        <v/>
      </c>
      <c r="Q160" s="1062" t="str">
        <f t="shared" si="72"/>
        <v/>
      </c>
      <c r="R160" s="1062" t="str">
        <f t="shared" si="73"/>
        <v/>
      </c>
      <c r="S160" s="1062"/>
    </row>
    <row r="161" spans="1:19" ht="13.5" customHeight="1">
      <c r="A161" s="1440">
        <v>46621</v>
      </c>
      <c r="B161" s="1679"/>
      <c r="C161" s="1679"/>
      <c r="D161" s="1370"/>
      <c r="E161" s="1371"/>
      <c r="F161" s="1956"/>
      <c r="G161" s="1677"/>
      <c r="H161" s="1371"/>
      <c r="I161" s="1371"/>
      <c r="J161" s="1371"/>
      <c r="K161" s="1371"/>
      <c r="L161" s="1371"/>
      <c r="M161" s="1061"/>
      <c r="N161" s="1062" t="str">
        <f t="shared" si="69"/>
        <v/>
      </c>
      <c r="O161" s="1063" t="str">
        <f t="shared" si="70"/>
        <v/>
      </c>
      <c r="P161" s="1062" t="str">
        <f t="shared" si="71"/>
        <v/>
      </c>
      <c r="Q161" s="1062" t="str">
        <f t="shared" si="72"/>
        <v/>
      </c>
      <c r="R161" s="1062" t="str">
        <f t="shared" si="73"/>
        <v/>
      </c>
      <c r="S161" s="1062"/>
    </row>
    <row r="162" spans="1:19" ht="13.5" customHeight="1">
      <c r="A162" s="1440">
        <v>46652</v>
      </c>
      <c r="B162" s="1679"/>
      <c r="C162" s="1679"/>
      <c r="D162" s="1370"/>
      <c r="E162" s="1371"/>
      <c r="F162" s="1956"/>
      <c r="G162" s="1677"/>
      <c r="H162" s="1371"/>
      <c r="I162" s="1371"/>
      <c r="J162" s="1371"/>
      <c r="K162" s="1371"/>
      <c r="L162" s="1371"/>
      <c r="M162" s="1061"/>
      <c r="N162" s="1062" t="str">
        <f t="shared" si="69"/>
        <v/>
      </c>
      <c r="O162" s="1063" t="str">
        <f t="shared" si="70"/>
        <v/>
      </c>
      <c r="P162" s="1062" t="str">
        <f t="shared" si="71"/>
        <v/>
      </c>
      <c r="Q162" s="1062" t="str">
        <f t="shared" si="72"/>
        <v/>
      </c>
      <c r="R162" s="1062" t="str">
        <f t="shared" si="73"/>
        <v/>
      </c>
      <c r="S162" s="1062"/>
    </row>
    <row r="163" spans="1:19" ht="13.5" customHeight="1">
      <c r="A163" s="1440">
        <v>46682</v>
      </c>
      <c r="B163" s="1679"/>
      <c r="C163" s="1679"/>
      <c r="D163" s="1370"/>
      <c r="E163" s="1371"/>
      <c r="F163" s="1956"/>
      <c r="G163" s="1677"/>
      <c r="H163" s="1371"/>
      <c r="I163" s="1371"/>
      <c r="J163" s="1371"/>
      <c r="K163" s="1371"/>
      <c r="L163" s="1371"/>
      <c r="M163" s="1061"/>
      <c r="N163" s="1062" t="str">
        <f t="shared" si="69"/>
        <v/>
      </c>
      <c r="O163" s="1063" t="str">
        <f t="shared" si="70"/>
        <v/>
      </c>
      <c r="P163" s="1062" t="str">
        <f t="shared" si="71"/>
        <v/>
      </c>
      <c r="Q163" s="1062" t="str">
        <f t="shared" si="72"/>
        <v/>
      </c>
      <c r="R163" s="1062" t="str">
        <f t="shared" si="73"/>
        <v/>
      </c>
      <c r="S163" s="1062"/>
    </row>
    <row r="164" spans="1:19" ht="13.5" customHeight="1">
      <c r="A164" s="1440">
        <v>46713</v>
      </c>
      <c r="B164" s="1679"/>
      <c r="C164" s="1679"/>
      <c r="D164" s="1370"/>
      <c r="E164" s="1371"/>
      <c r="F164" s="1956"/>
      <c r="G164" s="1677"/>
      <c r="H164" s="1371"/>
      <c r="I164" s="1371"/>
      <c r="J164" s="1371"/>
      <c r="K164" s="1371"/>
      <c r="L164" s="1371"/>
      <c r="M164" s="1061"/>
      <c r="N164" s="1062" t="str">
        <f t="shared" si="69"/>
        <v/>
      </c>
      <c r="O164" s="1063" t="str">
        <f t="shared" si="70"/>
        <v/>
      </c>
      <c r="P164" s="1062" t="str">
        <f t="shared" si="71"/>
        <v/>
      </c>
      <c r="Q164" s="1062" t="str">
        <f t="shared" si="72"/>
        <v/>
      </c>
      <c r="R164" s="1062" t="str">
        <f t="shared" si="73"/>
        <v/>
      </c>
      <c r="S164" s="1062"/>
    </row>
    <row r="165" spans="1:19" ht="13.5" customHeight="1">
      <c r="A165" s="1440">
        <v>46743</v>
      </c>
      <c r="B165" s="1679"/>
      <c r="C165" s="1679"/>
      <c r="D165" s="1370"/>
      <c r="E165" s="1371"/>
      <c r="F165" s="1956"/>
      <c r="G165" s="1677"/>
      <c r="H165" s="1371"/>
      <c r="I165" s="1371"/>
      <c r="J165" s="1371"/>
      <c r="K165" s="1371"/>
      <c r="L165" s="1371"/>
      <c r="M165" s="1061"/>
      <c r="N165" s="1062" t="str">
        <f t="shared" si="69"/>
        <v/>
      </c>
      <c r="O165" s="1063" t="str">
        <f t="shared" si="70"/>
        <v/>
      </c>
      <c r="P165" s="1062" t="str">
        <f t="shared" si="71"/>
        <v/>
      </c>
      <c r="Q165" s="1062" t="str">
        <f t="shared" si="72"/>
        <v/>
      </c>
      <c r="R165" s="1062" t="str">
        <f t="shared" si="73"/>
        <v/>
      </c>
      <c r="S165" s="1062"/>
    </row>
    <row r="166" spans="1:19" ht="13.5" customHeight="1">
      <c r="A166" s="1440"/>
      <c r="B166" s="1679"/>
      <c r="C166" s="1679"/>
      <c r="D166" s="1370"/>
      <c r="E166" s="1371"/>
      <c r="F166" s="1956"/>
      <c r="G166" s="1677"/>
      <c r="H166" s="1371"/>
      <c r="I166" s="1371"/>
      <c r="J166" s="1371"/>
      <c r="K166" s="1371"/>
      <c r="L166" s="1371"/>
      <c r="M166" s="1061"/>
      <c r="N166" s="1062"/>
      <c r="O166" s="1063"/>
      <c r="P166" s="1062"/>
      <c r="Q166" s="1062"/>
      <c r="R166" s="1062"/>
      <c r="S166" s="1062"/>
    </row>
    <row r="167" spans="1:19" ht="12.75">
      <c r="A167" s="1440"/>
      <c r="B167" s="1679"/>
      <c r="C167" s="1679"/>
      <c r="D167" s="1370"/>
      <c r="E167" s="1371"/>
      <c r="F167" s="1060"/>
      <c r="G167" s="1677"/>
      <c r="H167" s="1371"/>
      <c r="I167" s="1371"/>
      <c r="J167" s="1371"/>
      <c r="K167" s="1371"/>
      <c r="L167" s="1371"/>
      <c r="M167" s="1061">
        <f t="shared" si="62"/>
        <v>0</v>
      </c>
      <c r="N167" s="1062" t="str">
        <f>IF(M167&lt;&gt;0,M167-M144,"")</f>
        <v/>
      </c>
      <c r="O167" s="1063" t="str">
        <f t="shared" si="64"/>
        <v/>
      </c>
      <c r="P167" s="1062">
        <f>IF(N144&lt;&gt;"",AVERAGE(N142:N144),"")</f>
        <v>-161.67333333333337</v>
      </c>
      <c r="Q167" s="1062">
        <f>IF(M144&gt;0,M144+P167,"")</f>
        <v>498.4466666666666</v>
      </c>
      <c r="R167" s="1062" t="str">
        <f t="shared" si="67"/>
        <v/>
      </c>
      <c r="S167" s="1062" t="str">
        <f t="shared" si="68"/>
        <v>Não</v>
      </c>
    </row>
    <row r="169" spans="1:19">
      <c r="A169" s="1185" t="s">
        <v>1256</v>
      </c>
      <c r="B169" s="1185"/>
      <c r="D169" s="1185"/>
    </row>
    <row r="170" spans="1:19" ht="15">
      <c r="A170" s="1184" t="s">
        <v>931</v>
      </c>
      <c r="D170" s="2"/>
      <c r="K170" s="1202"/>
      <c r="M170" s="1186"/>
    </row>
    <row r="171" spans="1:19">
      <c r="A171" s="1184" t="s">
        <v>1257</v>
      </c>
      <c r="J171" s="1201"/>
      <c r="K171" s="1201"/>
      <c r="M171" s="1187"/>
      <c r="N171" s="1187"/>
      <c r="O171" s="1187"/>
    </row>
    <row r="172" spans="1:19">
      <c r="J172" s="1201"/>
      <c r="K172" s="1187"/>
      <c r="M172" s="1187"/>
      <c r="O172" s="1187"/>
    </row>
    <row r="173" spans="1:19">
      <c r="J173" s="1187"/>
      <c r="M173" s="1187"/>
      <c r="O173" s="1187"/>
    </row>
    <row r="174" spans="1:19">
      <c r="M174" s="1187"/>
    </row>
    <row r="175" spans="1:19">
      <c r="M175" s="1187"/>
      <c r="N175" s="1187"/>
    </row>
  </sheetData>
  <sheetProtection selectLockedCells="1" selectUnlockedCells="1"/>
  <conditionalFormatting sqref="S4:S167">
    <cfRule type="cellIs" dxfId="489" priority="1" stopIfTrue="1" operator="equal">
      <formula>"Não"</formula>
    </cfRule>
    <cfRule type="cellIs" dxfId="488" priority="2" stopIfTrue="1" operator="equal">
      <formula>"SIM"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ignoredErrors>
    <ignoredError sqref="M2:M4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1"/>
  <dimension ref="A1:D28"/>
  <sheetViews>
    <sheetView workbookViewId="0">
      <pane xSplit="4" ySplit="1" topLeftCell="E6" activePane="bottomRight" state="frozen"/>
      <selection pane="bottomRight" activeCell="E1" sqref="E1"/>
      <selection pane="bottomLeft" activeCell="A2" sqref="A2"/>
      <selection pane="topRight" activeCell="E1" sqref="E1"/>
    </sheetView>
  </sheetViews>
  <sheetFormatPr defaultColWidth="9.140625" defaultRowHeight="13.5"/>
  <cols>
    <col min="1" max="1" width="23.140625" style="3" bestFit="1" customWidth="1"/>
    <col min="2" max="3" width="19.5703125" style="3" customWidth="1"/>
    <col min="4" max="4" width="17.28515625" style="3" bestFit="1" customWidth="1"/>
    <col min="5" max="16384" width="9.140625" style="3"/>
  </cols>
  <sheetData>
    <row r="1" spans="1:4">
      <c r="A1" s="30"/>
      <c r="B1" s="25" t="s">
        <v>1258</v>
      </c>
      <c r="C1" s="31" t="s">
        <v>4</v>
      </c>
      <c r="D1" s="25" t="s">
        <v>1259</v>
      </c>
    </row>
    <row r="2" spans="1:4">
      <c r="A2" s="32" t="s">
        <v>39</v>
      </c>
      <c r="B2" s="33">
        <f>Real!D580</f>
        <v>10158.790000000001</v>
      </c>
      <c r="C2" s="34">
        <f>Real!E580</f>
        <v>10158.790000000006</v>
      </c>
      <c r="D2" s="35">
        <f t="shared" ref="D2:D19" si="0">B2-C2</f>
        <v>0</v>
      </c>
    </row>
    <row r="3" spans="1:4">
      <c r="A3" s="32" t="s">
        <v>1260</v>
      </c>
      <c r="B3" s="33">
        <f>RealVisa!D275</f>
        <v>4514.32</v>
      </c>
      <c r="C3" s="34">
        <f>RealVisa!E275</f>
        <v>4514.3200000000052</v>
      </c>
      <c r="D3" s="35">
        <f t="shared" si="0"/>
        <v>0</v>
      </c>
    </row>
    <row r="4" spans="1:4">
      <c r="A4" s="32" t="s">
        <v>59</v>
      </c>
      <c r="B4" s="33">
        <f>HSBC!D942</f>
        <v>38891.329999999994</v>
      </c>
      <c r="C4" s="34">
        <f>HSBC!E942</f>
        <v>38891.330000000024</v>
      </c>
      <c r="D4" s="35">
        <f t="shared" si="0"/>
        <v>0</v>
      </c>
    </row>
    <row r="5" spans="1:4">
      <c r="A5" s="32" t="s">
        <v>1261</v>
      </c>
      <c r="B5" s="33">
        <f>HSBCVisa!D91</f>
        <v>1845.9400000000003</v>
      </c>
      <c r="C5" s="34">
        <f>HSBCVisa!E91</f>
        <v>1845.94</v>
      </c>
      <c r="D5" s="35">
        <f t="shared" si="0"/>
        <v>0</v>
      </c>
    </row>
    <row r="6" spans="1:4">
      <c r="A6" s="32" t="s">
        <v>1262</v>
      </c>
      <c r="B6" s="33">
        <f>Carefour!D69</f>
        <v>2257.3700000000017</v>
      </c>
      <c r="C6" s="34">
        <f>Carefour!E69</f>
        <v>2257.3700000000013</v>
      </c>
      <c r="D6" s="35">
        <f t="shared" si="0"/>
        <v>0</v>
      </c>
    </row>
    <row r="7" spans="1:4">
      <c r="A7" s="32" t="s">
        <v>51</v>
      </c>
      <c r="B7" s="33">
        <f>Banco1!D795</f>
        <v>44247.269999999982</v>
      </c>
      <c r="C7" s="34">
        <f>Banco1!E795</f>
        <v>44247.269999999968</v>
      </c>
      <c r="D7" s="35">
        <f t="shared" si="0"/>
        <v>0</v>
      </c>
    </row>
    <row r="8" spans="1:4">
      <c r="A8" s="32" t="s">
        <v>1263</v>
      </c>
      <c r="B8" s="33">
        <f>Banco1MasterCard!D158</f>
        <v>2829.5899999999997</v>
      </c>
      <c r="C8" s="34">
        <f>Banco1MasterCard!E158</f>
        <v>2829.5900000000011</v>
      </c>
      <c r="D8" s="35">
        <f t="shared" si="0"/>
        <v>0</v>
      </c>
    </row>
    <row r="9" spans="1:4">
      <c r="A9" s="32" t="s">
        <v>1264</v>
      </c>
      <c r="B9" s="33">
        <f>UnibancoVisa!D63</f>
        <v>1905.75</v>
      </c>
      <c r="C9" s="34">
        <f>UnibancoVisa!E63</f>
        <v>1905.7499999999998</v>
      </c>
      <c r="D9" s="35">
        <f t="shared" si="0"/>
        <v>0</v>
      </c>
    </row>
    <row r="10" spans="1:4">
      <c r="A10" s="32" t="s">
        <v>1265</v>
      </c>
      <c r="B10" s="33">
        <f>CitiBank!D474</f>
        <v>28945.210000000003</v>
      </c>
      <c r="C10" s="34">
        <f>CitiBank!E474</f>
        <v>28945.209999999985</v>
      </c>
      <c r="D10" s="35">
        <f t="shared" si="0"/>
        <v>0</v>
      </c>
    </row>
    <row r="11" spans="1:4">
      <c r="A11" s="32" t="s">
        <v>1266</v>
      </c>
      <c r="B11" s="33">
        <f>CitibankVisa!D207</f>
        <v>7455.7200000000012</v>
      </c>
      <c r="C11" s="34">
        <f>CitibankVisa!E207</f>
        <v>7455.72</v>
      </c>
      <c r="D11" s="35">
        <f t="shared" si="0"/>
        <v>0</v>
      </c>
    </row>
    <row r="12" spans="1:4">
      <c r="A12" s="32" t="s">
        <v>1267</v>
      </c>
      <c r="B12" s="33">
        <f>CitiBankMastercard!D178</f>
        <v>5310.1799999999985</v>
      </c>
      <c r="C12" s="34">
        <f>CitiBankMastercard!E178</f>
        <v>5310.1799999999994</v>
      </c>
      <c r="D12" s="35">
        <f t="shared" si="0"/>
        <v>0</v>
      </c>
    </row>
    <row r="13" spans="1:4">
      <c r="A13" s="32" t="s">
        <v>49</v>
      </c>
      <c r="B13" s="33">
        <f>Amex!D32</f>
        <v>442.7</v>
      </c>
      <c r="C13" s="34">
        <f>Amex!E32</f>
        <v>442.7</v>
      </c>
      <c r="D13" s="35">
        <f t="shared" si="0"/>
        <v>0</v>
      </c>
    </row>
    <row r="14" spans="1:4">
      <c r="A14" s="32" t="s">
        <v>1268</v>
      </c>
      <c r="B14" s="33">
        <f>ItauMasterCard!D470</f>
        <v>24384.9</v>
      </c>
      <c r="C14" s="34">
        <f>ItauMasterCard!E470</f>
        <v>24384.90000000002</v>
      </c>
      <c r="D14" s="35">
        <f t="shared" si="0"/>
        <v>0</v>
      </c>
    </row>
    <row r="15" spans="1:4">
      <c r="A15" s="32" t="s">
        <v>29</v>
      </c>
      <c r="B15" s="33">
        <f>ItaU!D9367</f>
        <v>1872690.9600000039</v>
      </c>
      <c r="C15" s="34">
        <f>ItaU!E9367</f>
        <v>1892501.9109999998</v>
      </c>
      <c r="D15" s="35">
        <f t="shared" si="0"/>
        <v>-19810.950999995926</v>
      </c>
    </row>
    <row r="16" spans="1:4">
      <c r="A16" s="32" t="s">
        <v>1269</v>
      </c>
      <c r="B16" s="33">
        <f>PoupanCaItau!D196</f>
        <v>139745.40999999997</v>
      </c>
      <c r="C16" s="34">
        <f>PoupanCaItau!E196</f>
        <v>139745.41</v>
      </c>
      <c r="D16" s="35">
        <f t="shared" si="0"/>
        <v>0</v>
      </c>
    </row>
    <row r="17" spans="1:4">
      <c r="A17" s="32" t="s">
        <v>1270</v>
      </c>
      <c r="B17" s="33">
        <f>Real_2007!D4605</f>
        <v>673087.74000000057</v>
      </c>
      <c r="C17" s="34">
        <f>Real_2007!E4605</f>
        <v>673087.74000000174</v>
      </c>
      <c r="D17" s="35">
        <f t="shared" si="0"/>
        <v>-1.1641532182693481E-9</v>
      </c>
    </row>
    <row r="18" spans="1:4">
      <c r="A18" s="32" t="s">
        <v>1271</v>
      </c>
      <c r="B18" s="33">
        <f>RealVisa_2007!D2255</f>
        <v>190723.43</v>
      </c>
      <c r="C18" s="34">
        <f>RealVisa_2007!E2255</f>
        <v>190729.1398156576</v>
      </c>
      <c r="D18" s="35">
        <f t="shared" si="0"/>
        <v>-5.7098156576103065</v>
      </c>
    </row>
    <row r="19" spans="1:4">
      <c r="A19" s="32" t="s">
        <v>1272</v>
      </c>
      <c r="B19" s="33">
        <f>PortoSeguroVisa!D643</f>
        <v>49038.59</v>
      </c>
      <c r="C19" s="34">
        <f>PortoSeguroVisa!E643</f>
        <v>49038.586666666699</v>
      </c>
      <c r="D19" s="35">
        <f t="shared" si="0"/>
        <v>3.3333332976326346E-3</v>
      </c>
    </row>
    <row r="20" spans="1:4">
      <c r="A20" s="32" t="s">
        <v>54</v>
      </c>
      <c r="B20" s="33">
        <f>CEF!D285</f>
        <v>424467.48</v>
      </c>
      <c r="C20" s="34">
        <f>CEF!E285</f>
        <v>424467.4800000001</v>
      </c>
      <c r="D20" s="35">
        <f t="shared" ref="D20:D25" si="1">B20-C20</f>
        <v>0</v>
      </c>
    </row>
    <row r="21" spans="1:4">
      <c r="A21" s="32" t="s">
        <v>1273</v>
      </c>
      <c r="B21" s="33">
        <f>NUBank_Master!D1702</f>
        <v>134463.31000000003</v>
      </c>
      <c r="C21" s="34">
        <f>NUBank_Master!E1702</f>
        <v>139626.74099999989</v>
      </c>
      <c r="D21" s="35">
        <f t="shared" si="1"/>
        <v>-5163.4309999998659</v>
      </c>
    </row>
    <row r="22" spans="1:4">
      <c r="A22" s="32" t="s">
        <v>1274</v>
      </c>
      <c r="B22" s="33">
        <f>Santander_Master!D2431</f>
        <v>238340.20399999985</v>
      </c>
      <c r="C22" s="34">
        <f>Santander_Master!E2431</f>
        <v>238340.19919799943</v>
      </c>
      <c r="D22" s="35">
        <f t="shared" si="1"/>
        <v>4.8020004178397357E-3</v>
      </c>
    </row>
    <row r="23" spans="1:4">
      <c r="A23" s="32" t="s">
        <v>32</v>
      </c>
      <c r="B23" s="33">
        <f>Santander!D2191</f>
        <v>746283.03900000092</v>
      </c>
      <c r="C23" s="34">
        <f>Santander!E2191</f>
        <v>746283.03500000143</v>
      </c>
      <c r="D23" s="35">
        <f t="shared" si="1"/>
        <v>3.9999994914978743E-3</v>
      </c>
    </row>
    <row r="24" spans="1:4">
      <c r="A24" s="32" t="s">
        <v>1275</v>
      </c>
      <c r="B24" s="33">
        <f>ItauVisa!D1422</f>
        <v>109180.68000000002</v>
      </c>
      <c r="C24" s="34">
        <f>ItauVisa!E1422</f>
        <v>109180.6813333332</v>
      </c>
      <c r="D24" s="35">
        <f t="shared" si="1"/>
        <v>-1.3333331735339016E-3</v>
      </c>
    </row>
    <row r="25" spans="1:4">
      <c r="A25" s="32" t="s">
        <v>25</v>
      </c>
      <c r="B25" s="33">
        <f>Despesas!D4129</f>
        <v>77078.540000000052</v>
      </c>
      <c r="C25" s="34">
        <f>Despesas!E4129</f>
        <v>77078.540000000095</v>
      </c>
      <c r="D25" s="35">
        <f t="shared" si="1"/>
        <v>0</v>
      </c>
    </row>
    <row r="26" spans="1:4">
      <c r="A26" s="32"/>
      <c r="B26" s="33"/>
      <c r="C26" s="34"/>
      <c r="D26" s="35"/>
    </row>
    <row r="27" spans="1:4">
      <c r="A27" s="32"/>
      <c r="B27" s="33"/>
      <c r="C27" s="34"/>
      <c r="D27" s="35"/>
    </row>
    <row r="28" spans="1:4">
      <c r="B28" s="36">
        <f>SUM(B2:B27)</f>
        <v>4828288.4530000053</v>
      </c>
      <c r="C28" s="36">
        <f>SUM(C2:C27)</f>
        <v>4853268.5340136597</v>
      </c>
      <c r="D28" s="36">
        <f>B28-C28</f>
        <v>-24980.081013654359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35F3-27CF-4628-A959-7EE5102EB4DA}">
  <sheetPr codeName="Planilha31">
    <tabColor rgb="FF00B050"/>
  </sheetPr>
  <dimension ref="B2"/>
  <sheetViews>
    <sheetView workbookViewId="0">
      <selection activeCell="H23" sqref="H23"/>
    </sheetView>
  </sheetViews>
  <sheetFormatPr defaultRowHeight="12.75"/>
  <cols>
    <col min="2" max="2" width="18.5703125" bestFit="1" customWidth="1"/>
  </cols>
  <sheetData>
    <row r="2" spans="2:2" ht="15">
      <c r="B2" s="2" t="s">
        <v>1276</v>
      </c>
    </row>
  </sheetData>
  <phoneticPr fontId="38" type="noConversion"/>
  <hyperlinks>
    <hyperlink ref="B2" location="Amazon_Master!A1" display="Amazon_Master!A1" xr:uid="{8BBE1498-24BC-4DD8-9F6C-7D12303F31A0}"/>
  </hyperlink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I40"/>
  <sheetViews>
    <sheetView workbookViewId="0">
      <selection activeCell="A11" sqref="A11"/>
    </sheetView>
  </sheetViews>
  <sheetFormatPr defaultRowHeight="12.75"/>
  <cols>
    <col min="1" max="1" width="15" bestFit="1" customWidth="1"/>
    <col min="2" max="2" width="15" customWidth="1"/>
    <col min="3" max="3" width="9.28515625" customWidth="1"/>
    <col min="4" max="4" width="20.5703125" bestFit="1" customWidth="1"/>
    <col min="5" max="5" width="15.28515625" customWidth="1"/>
    <col min="6" max="6" width="13.85546875" customWidth="1"/>
    <col min="7" max="7" width="19.85546875" customWidth="1"/>
    <col min="8" max="8" width="9.85546875" customWidth="1"/>
    <col min="9" max="9" width="24.42578125" bestFit="1" customWidth="1"/>
  </cols>
  <sheetData>
    <row r="1" spans="1:9">
      <c r="A1" s="27" t="s">
        <v>1277</v>
      </c>
      <c r="B1" s="27" t="s">
        <v>1278</v>
      </c>
      <c r="C1" s="27" t="s">
        <v>1279</v>
      </c>
      <c r="D1" s="27" t="s">
        <v>1280</v>
      </c>
      <c r="E1" s="27" t="s">
        <v>1281</v>
      </c>
      <c r="F1" s="27" t="s">
        <v>1282</v>
      </c>
      <c r="G1" s="27" t="s">
        <v>1283</v>
      </c>
      <c r="H1" s="27" t="s">
        <v>829</v>
      </c>
      <c r="I1" s="27" t="s">
        <v>1284</v>
      </c>
    </row>
    <row r="2" spans="1:9">
      <c r="A2" s="28" t="s">
        <v>1285</v>
      </c>
      <c r="B2" s="779" t="s">
        <v>1286</v>
      </c>
      <c r="C2" s="779" t="s">
        <v>1287</v>
      </c>
      <c r="D2" s="779" t="s">
        <v>1288</v>
      </c>
      <c r="E2" s="28" t="s">
        <v>1289</v>
      </c>
      <c r="F2" s="779" t="s">
        <v>1290</v>
      </c>
      <c r="G2" s="779" t="s">
        <v>1291</v>
      </c>
      <c r="H2" s="779" t="s">
        <v>1292</v>
      </c>
      <c r="I2" s="28" t="s">
        <v>1049</v>
      </c>
    </row>
    <row r="3" spans="1:9">
      <c r="A3" s="28"/>
      <c r="B3" s="779" t="s">
        <v>1286</v>
      </c>
      <c r="C3" s="779" t="s">
        <v>1287</v>
      </c>
      <c r="D3" s="779" t="s">
        <v>1293</v>
      </c>
      <c r="E3" s="28" t="s">
        <v>1289</v>
      </c>
      <c r="F3" s="779" t="s">
        <v>1290</v>
      </c>
      <c r="G3" s="779" t="s">
        <v>1291</v>
      </c>
      <c r="H3" s="779" t="s">
        <v>1292</v>
      </c>
      <c r="I3" s="28" t="s">
        <v>1049</v>
      </c>
    </row>
    <row r="4" spans="1:9">
      <c r="A4" s="28" t="s">
        <v>1294</v>
      </c>
      <c r="B4" s="779" t="s">
        <v>1295</v>
      </c>
      <c r="C4" s="779" t="s">
        <v>1296</v>
      </c>
      <c r="D4" s="779" t="s">
        <v>1297</v>
      </c>
      <c r="E4" s="779" t="s">
        <v>1298</v>
      </c>
      <c r="F4" s="779" t="s">
        <v>1299</v>
      </c>
      <c r="G4" s="779" t="s">
        <v>1300</v>
      </c>
      <c r="H4" s="779"/>
      <c r="I4" s="28" t="s">
        <v>1301</v>
      </c>
    </row>
    <row r="5" spans="1:9" ht="13.5" customHeight="1">
      <c r="A5" s="28" t="s">
        <v>1302</v>
      </c>
      <c r="B5" s="779" t="s">
        <v>1303</v>
      </c>
      <c r="C5" s="779" t="s">
        <v>1304</v>
      </c>
      <c r="D5" s="779" t="s">
        <v>1305</v>
      </c>
      <c r="E5" s="28"/>
      <c r="F5" s="779" t="s">
        <v>1306</v>
      </c>
      <c r="G5" s="779" t="s">
        <v>1307</v>
      </c>
      <c r="H5" s="28"/>
      <c r="I5" s="28" t="s">
        <v>1308</v>
      </c>
    </row>
    <row r="6" spans="1:9" ht="13.5" customHeight="1">
      <c r="A6" s="28" t="s">
        <v>1309</v>
      </c>
      <c r="B6" s="779" t="s">
        <v>1303</v>
      </c>
      <c r="C6" s="779" t="s">
        <v>1304</v>
      </c>
      <c r="D6" s="779" t="s">
        <v>1310</v>
      </c>
      <c r="E6" s="779"/>
      <c r="F6" s="779" t="s">
        <v>1311</v>
      </c>
      <c r="G6" s="779" t="s">
        <v>1312</v>
      </c>
      <c r="H6" s="28"/>
      <c r="I6" s="28" t="s">
        <v>1313</v>
      </c>
    </row>
    <row r="7" spans="1:9" ht="13.5" customHeight="1">
      <c r="A7" s="28" t="s">
        <v>1314</v>
      </c>
      <c r="B7" s="779" t="s">
        <v>1315</v>
      </c>
      <c r="C7" s="779" t="s">
        <v>1296</v>
      </c>
      <c r="D7" s="779" t="s">
        <v>1316</v>
      </c>
      <c r="E7" s="28"/>
      <c r="F7" s="779"/>
      <c r="G7" s="779"/>
      <c r="H7" s="28"/>
      <c r="I7" s="28" t="s">
        <v>1032</v>
      </c>
    </row>
    <row r="8" spans="1:9" ht="13.5" customHeight="1">
      <c r="A8" s="28" t="s">
        <v>1317</v>
      </c>
      <c r="B8" s="779" t="s">
        <v>1318</v>
      </c>
      <c r="C8" s="779" t="s">
        <v>1296</v>
      </c>
      <c r="D8" s="779" t="s">
        <v>1319</v>
      </c>
      <c r="E8" s="28"/>
      <c r="F8" s="779"/>
      <c r="G8" s="779"/>
      <c r="H8" s="28"/>
      <c r="I8" t="s">
        <v>1320</v>
      </c>
    </row>
    <row r="9" spans="1:9" ht="13.5" customHeight="1">
      <c r="A9" s="28" t="s">
        <v>1321</v>
      </c>
      <c r="B9" s="779" t="s">
        <v>1303</v>
      </c>
      <c r="C9" s="779" t="s">
        <v>1322</v>
      </c>
      <c r="D9" s="779" t="s">
        <v>1323</v>
      </c>
      <c r="E9" s="28" t="s">
        <v>1193</v>
      </c>
      <c r="F9" s="779" t="s">
        <v>1312</v>
      </c>
      <c r="G9" s="779"/>
      <c r="H9" s="28"/>
      <c r="I9" s="28" t="s">
        <v>1324</v>
      </c>
    </row>
    <row r="10" spans="1:9" ht="13.5" customHeight="1">
      <c r="A10" s="28" t="s">
        <v>1321</v>
      </c>
      <c r="B10" s="779" t="s">
        <v>1303</v>
      </c>
      <c r="C10" s="779" t="s">
        <v>1325</v>
      </c>
      <c r="D10" s="779" t="s">
        <v>1326</v>
      </c>
      <c r="E10" s="28"/>
      <c r="F10" s="779"/>
      <c r="G10" s="779" t="s">
        <v>1327</v>
      </c>
      <c r="H10" s="28"/>
      <c r="I10" s="28"/>
    </row>
    <row r="11" spans="1:9" ht="13.5" customHeight="1">
      <c r="A11" s="28" t="s">
        <v>32</v>
      </c>
      <c r="B11" s="779" t="s">
        <v>1328</v>
      </c>
      <c r="C11" s="779" t="s">
        <v>1329</v>
      </c>
      <c r="D11" s="779" t="s">
        <v>1330</v>
      </c>
      <c r="E11" s="28"/>
      <c r="F11" s="779" t="s">
        <v>1331</v>
      </c>
      <c r="G11" s="779" t="s">
        <v>1332</v>
      </c>
      <c r="H11" s="28"/>
      <c r="I11" s="28" t="s">
        <v>1333</v>
      </c>
    </row>
    <row r="12" spans="1:9" ht="13.5" customHeight="1">
      <c r="A12" s="28" t="s">
        <v>1334</v>
      </c>
      <c r="B12" s="779" t="s">
        <v>1335</v>
      </c>
      <c r="C12" s="779" t="s">
        <v>1336</v>
      </c>
      <c r="D12" s="779" t="s">
        <v>1337</v>
      </c>
      <c r="E12" s="28"/>
      <c r="F12" s="779"/>
      <c r="G12" s="779" t="s">
        <v>1312</v>
      </c>
      <c r="H12" s="28"/>
      <c r="I12" t="s">
        <v>1338</v>
      </c>
    </row>
    <row r="13" spans="1:9" ht="13.5" customHeight="1">
      <c r="A13" s="28"/>
      <c r="B13" s="779"/>
      <c r="C13" s="779"/>
      <c r="D13" s="779"/>
      <c r="E13" s="28"/>
      <c r="F13" s="779"/>
      <c r="G13" s="779"/>
      <c r="H13" s="28"/>
      <c r="I13" s="28"/>
    </row>
    <row r="14" spans="1:9" ht="13.5" customHeight="1">
      <c r="A14" s="28"/>
      <c r="B14" s="779"/>
      <c r="C14" s="779"/>
      <c r="D14" s="779"/>
      <c r="E14" s="28"/>
      <c r="F14" s="779"/>
      <c r="G14" s="779"/>
      <c r="H14" s="28"/>
      <c r="I14" s="28"/>
    </row>
    <row r="15" spans="1:9" ht="13.5" customHeight="1">
      <c r="A15" s="28"/>
      <c r="B15" s="779"/>
      <c r="C15" s="779"/>
      <c r="D15" s="779"/>
      <c r="E15" s="28"/>
      <c r="F15" s="779"/>
      <c r="G15" s="779"/>
      <c r="H15" s="28"/>
      <c r="I15" s="28"/>
    </row>
    <row r="16" spans="1:9" ht="13.5" customHeight="1">
      <c r="A16" s="28"/>
      <c r="B16" s="779"/>
      <c r="C16" s="779"/>
      <c r="D16" s="779"/>
      <c r="E16" s="28"/>
      <c r="F16" s="779"/>
      <c r="G16" s="779"/>
      <c r="H16" s="28"/>
      <c r="I16" s="28"/>
    </row>
    <row r="17" spans="1:9" ht="13.5" customHeight="1">
      <c r="A17" s="28" t="s">
        <v>1339</v>
      </c>
      <c r="B17" s="779" t="s">
        <v>1286</v>
      </c>
      <c r="C17" s="779" t="s">
        <v>1340</v>
      </c>
      <c r="D17" s="779" t="s">
        <v>1341</v>
      </c>
      <c r="E17" s="28" t="s">
        <v>1289</v>
      </c>
      <c r="F17" s="779" t="s">
        <v>1008</v>
      </c>
      <c r="G17" s="779" t="s">
        <v>1291</v>
      </c>
      <c r="H17" s="779" t="s">
        <v>1342</v>
      </c>
      <c r="I17" s="28"/>
    </row>
    <row r="18" spans="1:9" ht="13.5" customHeight="1">
      <c r="A18" s="28" t="s">
        <v>1343</v>
      </c>
      <c r="B18" s="779" t="s">
        <v>1328</v>
      </c>
      <c r="C18" s="779" t="s">
        <v>1344</v>
      </c>
      <c r="D18" s="779" t="s">
        <v>1345</v>
      </c>
      <c r="E18" s="28"/>
      <c r="F18" s="779"/>
      <c r="G18" s="779"/>
      <c r="H18" s="28"/>
      <c r="I18" s="28"/>
    </row>
    <row r="19" spans="1:9" ht="13.5" customHeight="1">
      <c r="A19" s="28" t="s">
        <v>32</v>
      </c>
      <c r="B19" s="779" t="s">
        <v>1328</v>
      </c>
      <c r="C19" s="779" t="s">
        <v>1346</v>
      </c>
      <c r="D19" s="779" t="s">
        <v>1347</v>
      </c>
      <c r="E19" s="28"/>
      <c r="F19" s="779" t="s">
        <v>1348</v>
      </c>
      <c r="G19" s="779" t="s">
        <v>1332</v>
      </c>
      <c r="H19" s="28"/>
      <c r="I19" s="28"/>
    </row>
    <row r="20" spans="1:9">
      <c r="A20" s="28" t="s">
        <v>1349</v>
      </c>
      <c r="B20" s="779" t="s">
        <v>1350</v>
      </c>
      <c r="C20" s="779" t="s">
        <v>1351</v>
      </c>
      <c r="D20" s="779" t="s">
        <v>1352</v>
      </c>
      <c r="E20" s="28"/>
      <c r="F20" s="779"/>
      <c r="G20" s="779"/>
      <c r="H20" s="28"/>
      <c r="I20" s="28"/>
    </row>
    <row r="21" spans="1:9">
      <c r="A21" s="28" t="s">
        <v>1353</v>
      </c>
      <c r="B21" s="779" t="s">
        <v>1303</v>
      </c>
      <c r="C21" s="779" t="s">
        <v>1354</v>
      </c>
      <c r="D21" s="28" t="s">
        <v>1355</v>
      </c>
      <c r="E21" s="28"/>
      <c r="F21" s="779" t="s">
        <v>1356</v>
      </c>
      <c r="G21" s="779" t="s">
        <v>1357</v>
      </c>
      <c r="H21" s="28"/>
      <c r="I21" s="28"/>
    </row>
    <row r="22" spans="1:9">
      <c r="A22" s="28" t="s">
        <v>32</v>
      </c>
      <c r="B22" s="779" t="s">
        <v>1328</v>
      </c>
      <c r="C22" s="779" t="s">
        <v>1346</v>
      </c>
      <c r="D22" s="779" t="s">
        <v>1358</v>
      </c>
      <c r="E22" s="28" t="s">
        <v>968</v>
      </c>
      <c r="F22" s="28">
        <v>9230</v>
      </c>
      <c r="G22" s="28" t="s">
        <v>1359</v>
      </c>
      <c r="H22" s="28" t="s">
        <v>1360</v>
      </c>
      <c r="I22" s="28"/>
    </row>
    <row r="23" spans="1:9">
      <c r="A23" s="28" t="s">
        <v>32</v>
      </c>
      <c r="B23" s="779" t="s">
        <v>1328</v>
      </c>
      <c r="C23" s="779" t="s">
        <v>1344</v>
      </c>
      <c r="D23" s="779" t="s">
        <v>1361</v>
      </c>
      <c r="E23" s="28"/>
      <c r="F23" s="779" t="s">
        <v>1362</v>
      </c>
      <c r="G23" s="779" t="s">
        <v>1332</v>
      </c>
      <c r="H23" s="28"/>
      <c r="I23" s="28"/>
    </row>
    <row r="24" spans="1:9">
      <c r="A24" s="28" t="s">
        <v>1363</v>
      </c>
      <c r="B24" s="779" t="s">
        <v>1303</v>
      </c>
      <c r="C24" s="779" t="s">
        <v>1304</v>
      </c>
      <c r="D24" s="28" t="s">
        <v>1364</v>
      </c>
      <c r="E24" s="28"/>
      <c r="F24" s="779" t="s">
        <v>1365</v>
      </c>
      <c r="G24" s="779" t="s">
        <v>1312</v>
      </c>
      <c r="H24" s="28"/>
      <c r="I24" s="28"/>
    </row>
    <row r="25" spans="1:9">
      <c r="A25" s="28" t="s">
        <v>1270</v>
      </c>
      <c r="B25" s="28"/>
      <c r="C25" s="28" t="s">
        <v>1366</v>
      </c>
      <c r="D25" s="28" t="s">
        <v>1367</v>
      </c>
      <c r="E25" s="28" t="s">
        <v>1368</v>
      </c>
      <c r="F25" s="28" t="s">
        <v>1369</v>
      </c>
      <c r="G25" t="s">
        <v>931</v>
      </c>
      <c r="H25" s="28" t="s">
        <v>1360</v>
      </c>
      <c r="I25" s="28"/>
    </row>
    <row r="26" spans="1:9">
      <c r="A26" s="28" t="s">
        <v>1370</v>
      </c>
      <c r="B26" s="28"/>
      <c r="C26" s="28" t="s">
        <v>1371</v>
      </c>
      <c r="D26" s="28" t="s">
        <v>1372</v>
      </c>
      <c r="E26" s="28"/>
      <c r="F26" s="28"/>
      <c r="G26" s="28"/>
      <c r="H26" s="28"/>
      <c r="I26" s="28"/>
    </row>
    <row r="27" spans="1:9">
      <c r="A27" s="28" t="s">
        <v>1370</v>
      </c>
      <c r="B27" s="28"/>
      <c r="C27" s="28" t="s">
        <v>1373</v>
      </c>
      <c r="D27" s="28" t="s">
        <v>1374</v>
      </c>
      <c r="E27" s="28"/>
      <c r="F27" s="28">
        <v>6478</v>
      </c>
      <c r="G27" s="28" t="s">
        <v>931</v>
      </c>
      <c r="H27" s="28"/>
      <c r="I27" s="28"/>
    </row>
    <row r="28" spans="1:9">
      <c r="A28" s="28" t="s">
        <v>1375</v>
      </c>
      <c r="B28" s="28"/>
      <c r="C28" s="28" t="s">
        <v>1376</v>
      </c>
      <c r="D28" s="28" t="s">
        <v>1377</v>
      </c>
      <c r="E28" s="28"/>
      <c r="F28" s="28">
        <v>2645</v>
      </c>
      <c r="G28" s="28" t="s">
        <v>1378</v>
      </c>
      <c r="H28" s="28"/>
      <c r="I28" s="28"/>
    </row>
    <row r="29" spans="1:9">
      <c r="A29" s="28" t="s">
        <v>59</v>
      </c>
      <c r="B29" s="28"/>
      <c r="C29" s="28" t="s">
        <v>1379</v>
      </c>
      <c r="D29" s="28" t="s">
        <v>1380</v>
      </c>
      <c r="E29" s="28"/>
      <c r="F29" s="28"/>
      <c r="G29" s="28"/>
      <c r="H29" s="28"/>
      <c r="I29" s="28"/>
    </row>
    <row r="30" spans="1:9">
      <c r="A30" s="28" t="s">
        <v>1381</v>
      </c>
      <c r="B30" s="28"/>
      <c r="C30" s="779" t="s">
        <v>1382</v>
      </c>
      <c r="D30" s="28" t="s">
        <v>1383</v>
      </c>
      <c r="E30" s="28"/>
      <c r="F30" s="28"/>
      <c r="G30" s="28"/>
      <c r="H30" s="28"/>
      <c r="I30" s="28"/>
    </row>
    <row r="31" spans="1:9">
      <c r="A31" s="28" t="s">
        <v>39</v>
      </c>
      <c r="B31" s="28"/>
      <c r="C31" s="28"/>
      <c r="D31" s="28"/>
      <c r="E31" s="28"/>
      <c r="F31" s="28"/>
      <c r="G31" s="28"/>
      <c r="H31" s="28"/>
      <c r="I31" s="28"/>
    </row>
    <row r="32" spans="1:9">
      <c r="A32" s="28" t="s">
        <v>27</v>
      </c>
      <c r="B32" s="28"/>
      <c r="C32" s="28"/>
      <c r="D32" s="28"/>
      <c r="E32" s="28"/>
      <c r="F32" s="28"/>
      <c r="G32" s="28"/>
      <c r="H32" s="28"/>
      <c r="I32" s="28"/>
    </row>
    <row r="33" spans="1:9">
      <c r="A33" s="28" t="s">
        <v>1384</v>
      </c>
      <c r="B33" s="779"/>
      <c r="C33" s="779" t="s">
        <v>1385</v>
      </c>
      <c r="D33" s="779" t="s">
        <v>1386</v>
      </c>
      <c r="E33" s="28"/>
      <c r="F33" s="779"/>
      <c r="G33" s="779"/>
      <c r="H33" s="28"/>
      <c r="I33" s="28" t="s">
        <v>1387</v>
      </c>
    </row>
    <row r="34" spans="1:9">
      <c r="A34" s="28" t="s">
        <v>1388</v>
      </c>
      <c r="B34" s="779" t="s">
        <v>1389</v>
      </c>
      <c r="C34" s="779" t="s">
        <v>1296</v>
      </c>
      <c r="D34" s="779" t="s">
        <v>1390</v>
      </c>
      <c r="E34" s="28" t="s">
        <v>1391</v>
      </c>
      <c r="F34" s="779" t="s">
        <v>1392</v>
      </c>
      <c r="G34" s="779" t="s">
        <v>1393</v>
      </c>
      <c r="H34" s="28"/>
      <c r="I34" s="28"/>
    </row>
    <row r="35" spans="1:9">
      <c r="A35" s="28"/>
      <c r="B35" s="779"/>
      <c r="C35" s="779"/>
      <c r="D35" s="779"/>
      <c r="E35" s="28"/>
      <c r="F35" s="779"/>
      <c r="G35" s="779"/>
      <c r="H35" s="28"/>
      <c r="I35" s="28"/>
    </row>
    <row r="36" spans="1:9">
      <c r="A36" s="28"/>
      <c r="B36" s="779"/>
      <c r="C36" s="779"/>
      <c r="D36" s="779"/>
      <c r="E36" s="28"/>
      <c r="F36" s="779"/>
      <c r="G36" s="779"/>
      <c r="H36" s="28"/>
      <c r="I36" s="28"/>
    </row>
    <row r="37" spans="1:9">
      <c r="A37" s="28"/>
      <c r="B37" s="779"/>
      <c r="C37" s="779"/>
      <c r="D37" s="779"/>
      <c r="E37" s="28"/>
      <c r="F37" s="779"/>
      <c r="G37" s="779"/>
      <c r="H37" s="28"/>
      <c r="I37" s="28"/>
    </row>
    <row r="38" spans="1:9">
      <c r="A38" s="28"/>
      <c r="B38" s="779"/>
      <c r="C38" s="779"/>
      <c r="D38" s="779"/>
      <c r="E38" s="28"/>
      <c r="F38" s="779"/>
      <c r="G38" s="779"/>
      <c r="H38" s="28"/>
      <c r="I38" s="28"/>
    </row>
    <row r="39" spans="1:9">
      <c r="A39" s="28"/>
      <c r="B39" s="779"/>
      <c r="C39" s="779"/>
      <c r="D39" s="779"/>
      <c r="E39" s="28"/>
      <c r="F39" s="779"/>
      <c r="G39" s="779"/>
      <c r="H39" s="28"/>
      <c r="I39" s="28"/>
    </row>
    <row r="40" spans="1:9">
      <c r="E40" s="1333"/>
      <c r="F40" s="1334"/>
      <c r="G40" s="1335"/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D34A-AD72-45DA-98B7-D700B3A65C58}">
  <dimension ref="A1:L44"/>
  <sheetViews>
    <sheetView workbookViewId="0">
      <pane xSplit="11" ySplit="1" topLeftCell="L9" activePane="bottomRight" state="frozen"/>
      <selection pane="bottomRight" activeCell="H14" sqref="H14"/>
      <selection pane="bottomLeft"/>
      <selection pane="topRight"/>
    </sheetView>
  </sheetViews>
  <sheetFormatPr defaultColWidth="9.140625" defaultRowHeight="13.5"/>
  <cols>
    <col min="1" max="1" width="3.28515625" style="3" bestFit="1" customWidth="1"/>
    <col min="2" max="2" width="13.7109375" style="3" bestFit="1" customWidth="1"/>
    <col min="3" max="3" width="33.140625" style="3" bestFit="1" customWidth="1"/>
    <col min="4" max="4" width="16" style="3" bestFit="1" customWidth="1"/>
    <col min="5" max="5" width="16" style="3" customWidth="1"/>
    <col min="6" max="6" width="14.85546875" bestFit="1" customWidth="1"/>
    <col min="7" max="7" width="16" bestFit="1" customWidth="1"/>
    <col min="8" max="8" width="9" bestFit="1" customWidth="1"/>
    <col min="9" max="9" width="12.42578125" bestFit="1" customWidth="1"/>
    <col min="10" max="10" width="5.5703125" bestFit="1" customWidth="1"/>
    <col min="11" max="11" width="14.85546875" bestFit="1" customWidth="1"/>
    <col min="12" max="16384" width="9.140625" style="3"/>
  </cols>
  <sheetData>
    <row r="1" spans="1:11">
      <c r="A1" s="1386" t="s">
        <v>356</v>
      </c>
      <c r="B1" s="1881" t="s">
        <v>0</v>
      </c>
      <c r="C1" s="1412" t="s">
        <v>1394</v>
      </c>
      <c r="D1" s="1413" t="s">
        <v>363</v>
      </c>
      <c r="E1" s="1413" t="s">
        <v>1395</v>
      </c>
      <c r="F1" s="1414" t="s">
        <v>1396</v>
      </c>
      <c r="G1" s="1885" t="s">
        <v>1397</v>
      </c>
      <c r="H1" s="1386" t="s">
        <v>1398</v>
      </c>
      <c r="I1" s="1414" t="s">
        <v>1399</v>
      </c>
      <c r="J1" s="1414" t="s">
        <v>1400</v>
      </c>
      <c r="K1" s="1387"/>
    </row>
    <row r="2" spans="1:11">
      <c r="A2" s="1878">
        <v>1</v>
      </c>
      <c r="B2" s="1879">
        <v>45775</v>
      </c>
      <c r="C2" s="836" t="str">
        <f t="shared" ref="C2:C25" si="0">"Parcela (" &amp;TEXT(A2,"000") &amp; "/" &amp; $D$30 &amp;")"</f>
        <v>Parcela (001/385)</v>
      </c>
      <c r="D2" s="1401">
        <v>3808.76</v>
      </c>
      <c r="E2" s="1401"/>
      <c r="F2" s="1880">
        <v>45775</v>
      </c>
      <c r="G2" s="1886">
        <v>3808.76</v>
      </c>
      <c r="H2" s="1882">
        <f t="shared" ref="H2:H25" si="1">IF(G2&lt;&gt;"",G2/D2,"")</f>
        <v>1</v>
      </c>
      <c r="I2" s="835">
        <f t="shared" ref="I2:I25" si="2">IF(G2&lt;&gt;"",D2-G2,"")</f>
        <v>0</v>
      </c>
      <c r="J2" s="1410" t="str">
        <f>IF(G2&gt;0,"X","")</f>
        <v>X</v>
      </c>
      <c r="K2" s="1411">
        <f t="shared" ref="K2:K25" si="3">IF(J2="X",0,D2)</f>
        <v>0</v>
      </c>
    </row>
    <row r="3" spans="1:11">
      <c r="A3" s="1875">
        <v>2</v>
      </c>
      <c r="B3" s="1057">
        <v>45805</v>
      </c>
      <c r="C3" s="836" t="str">
        <f t="shared" si="0"/>
        <v>Parcela (002/385)</v>
      </c>
      <c r="D3" s="947">
        <v>3626.77</v>
      </c>
      <c r="E3" s="947">
        <f>IF(D3&lt;&gt;"",D2-D3,"")</f>
        <v>181.99000000000024</v>
      </c>
      <c r="F3" s="1369">
        <v>45805</v>
      </c>
      <c r="G3" s="1887">
        <v>3626.77</v>
      </c>
      <c r="H3" s="1883">
        <f t="shared" si="1"/>
        <v>1</v>
      </c>
      <c r="I3" s="949">
        <f t="shared" si="2"/>
        <v>0</v>
      </c>
      <c r="J3" s="1410" t="str">
        <f t="shared" ref="J3:J27" si="4">IF(G3&gt;0,"X","")</f>
        <v>X</v>
      </c>
      <c r="K3" s="1402">
        <f t="shared" si="3"/>
        <v>0</v>
      </c>
    </row>
    <row r="4" spans="1:11">
      <c r="A4" s="1875">
        <v>3</v>
      </c>
      <c r="B4" s="1057">
        <v>45836</v>
      </c>
      <c r="C4" s="836" t="str">
        <f t="shared" si="0"/>
        <v>Parcela (003/385)</v>
      </c>
      <c r="D4" s="947">
        <v>3625.6</v>
      </c>
      <c r="E4" s="947">
        <f t="shared" ref="E4:E25" si="5">IF(D4&lt;&gt;"",D3-D4,"")</f>
        <v>1.1700000000000728</v>
      </c>
      <c r="F4" s="1369">
        <v>45838</v>
      </c>
      <c r="G4" s="1887">
        <v>3625.6</v>
      </c>
      <c r="H4" s="1883">
        <f t="shared" si="1"/>
        <v>1</v>
      </c>
      <c r="I4" s="949">
        <f t="shared" si="2"/>
        <v>0</v>
      </c>
      <c r="J4" s="1410" t="str">
        <f t="shared" si="4"/>
        <v>X</v>
      </c>
      <c r="K4" s="1402">
        <f t="shared" si="3"/>
        <v>0</v>
      </c>
    </row>
    <row r="5" spans="1:11">
      <c r="A5" s="1875">
        <v>4</v>
      </c>
      <c r="B5" s="1879">
        <v>45866</v>
      </c>
      <c r="C5" s="836" t="str">
        <f>"Parcela (" &amp;TEXT(A5,"000") &amp; "/" &amp; $D$30 &amp;")"</f>
        <v>Parcela (004/385)</v>
      </c>
      <c r="D5" s="947">
        <v>3618.12</v>
      </c>
      <c r="E5" s="947">
        <f t="shared" si="5"/>
        <v>7.4800000000000182</v>
      </c>
      <c r="F5" s="1369">
        <v>45866</v>
      </c>
      <c r="G5" s="1887">
        <v>3624.26</v>
      </c>
      <c r="H5" s="1883">
        <f t="shared" si="1"/>
        <v>1.0016970139188308</v>
      </c>
      <c r="I5" s="949">
        <f t="shared" si="2"/>
        <v>-6.1400000000003274</v>
      </c>
      <c r="J5" s="1410" t="str">
        <f t="shared" si="4"/>
        <v>X</v>
      </c>
      <c r="K5" s="1402">
        <f t="shared" si="3"/>
        <v>0</v>
      </c>
    </row>
    <row r="6" spans="1:11">
      <c r="A6" s="1875">
        <v>5</v>
      </c>
      <c r="B6" s="1057">
        <v>45897</v>
      </c>
      <c r="C6" s="836" t="str">
        <f t="shared" si="0"/>
        <v>Parcela (005/385)</v>
      </c>
      <c r="D6" s="947">
        <v>3615.59</v>
      </c>
      <c r="E6" s="947">
        <f t="shared" si="5"/>
        <v>2.5299999999997453</v>
      </c>
      <c r="F6" s="1369">
        <v>45897</v>
      </c>
      <c r="G6" s="1887">
        <v>3628.1</v>
      </c>
      <c r="H6" s="1883">
        <f t="shared" si="1"/>
        <v>1.0034600162075897</v>
      </c>
      <c r="I6" s="949">
        <f t="shared" si="2"/>
        <v>-12.509999999999764</v>
      </c>
      <c r="J6" s="1410" t="str">
        <f t="shared" si="4"/>
        <v>X</v>
      </c>
      <c r="K6" s="1402">
        <f t="shared" si="3"/>
        <v>0</v>
      </c>
    </row>
    <row r="7" spans="1:11">
      <c r="A7" s="1875">
        <v>6</v>
      </c>
      <c r="B7" s="1057">
        <v>45928</v>
      </c>
      <c r="C7" s="836" t="str">
        <f t="shared" si="0"/>
        <v>Parcela (006/385)</v>
      </c>
      <c r="D7" s="947">
        <v>3608.1</v>
      </c>
      <c r="E7" s="947">
        <f t="shared" si="5"/>
        <v>7.4900000000002365</v>
      </c>
      <c r="F7" s="1369">
        <v>45929</v>
      </c>
      <c r="G7" s="1887">
        <v>3626.89</v>
      </c>
      <c r="H7" s="1883">
        <f t="shared" si="1"/>
        <v>1.0052077270585627</v>
      </c>
      <c r="I7" s="949">
        <f t="shared" si="2"/>
        <v>-18.789999999999964</v>
      </c>
      <c r="J7" s="1410" t="str">
        <f t="shared" si="4"/>
        <v>X</v>
      </c>
      <c r="K7" s="1402">
        <f t="shared" si="3"/>
        <v>0</v>
      </c>
    </row>
    <row r="8" spans="1:11">
      <c r="A8" s="1875">
        <v>7</v>
      </c>
      <c r="B8" s="1879">
        <v>45958</v>
      </c>
      <c r="C8" s="836" t="str">
        <f t="shared" si="0"/>
        <v>Parcela (007/385)</v>
      </c>
      <c r="D8" s="947">
        <v>3600.6</v>
      </c>
      <c r="E8" s="947">
        <f t="shared" si="5"/>
        <v>7.5</v>
      </c>
      <c r="F8" s="1369">
        <v>45958</v>
      </c>
      <c r="G8" s="1887">
        <v>3625.58</v>
      </c>
      <c r="H8" s="1883">
        <f t="shared" si="1"/>
        <v>1.0069377326001223</v>
      </c>
      <c r="I8" s="949">
        <f t="shared" si="2"/>
        <v>-24.980000000000018</v>
      </c>
      <c r="J8" s="1410" t="str">
        <f t="shared" si="4"/>
        <v>X</v>
      </c>
      <c r="K8" s="1402">
        <f t="shared" si="3"/>
        <v>0</v>
      </c>
    </row>
    <row r="9" spans="1:11">
      <c r="A9" s="1875">
        <v>8</v>
      </c>
      <c r="B9" s="1057">
        <v>45989</v>
      </c>
      <c r="C9" s="836" t="str">
        <f t="shared" si="0"/>
        <v>Parcela (008/385)</v>
      </c>
      <c r="D9" s="947">
        <v>3593.11</v>
      </c>
      <c r="E9" s="947">
        <f t="shared" si="5"/>
        <v>7.4899999999997817</v>
      </c>
      <c r="F9" s="1369">
        <v>46019</v>
      </c>
      <c r="G9" s="1887">
        <v>3624.33</v>
      </c>
      <c r="H9" s="1883">
        <f t="shared" si="1"/>
        <v>1.0086888517189843</v>
      </c>
      <c r="I9" s="949">
        <f t="shared" si="2"/>
        <v>-31.2199999999998</v>
      </c>
      <c r="J9" s="1410" t="str">
        <f t="shared" si="4"/>
        <v>X</v>
      </c>
      <c r="K9" s="1402">
        <f t="shared" si="3"/>
        <v>0</v>
      </c>
    </row>
    <row r="10" spans="1:11">
      <c r="A10" s="1875">
        <v>9</v>
      </c>
      <c r="B10" s="1057">
        <v>46019</v>
      </c>
      <c r="C10" s="836" t="str">
        <f t="shared" si="0"/>
        <v>Parcela (009/385)</v>
      </c>
      <c r="D10" s="947">
        <v>3585.62</v>
      </c>
      <c r="E10" s="947">
        <f t="shared" si="5"/>
        <v>7.4900000000002365</v>
      </c>
      <c r="F10" s="1369">
        <v>46020</v>
      </c>
      <c r="G10" s="1887">
        <v>3622.93</v>
      </c>
      <c r="H10" s="1883">
        <f t="shared" si="1"/>
        <v>1.0104054528923867</v>
      </c>
      <c r="I10" s="949">
        <f t="shared" si="2"/>
        <v>-37.309999999999945</v>
      </c>
      <c r="J10" s="1410" t="str">
        <f t="shared" si="4"/>
        <v>X</v>
      </c>
      <c r="K10" s="1402">
        <f t="shared" si="3"/>
        <v>0</v>
      </c>
    </row>
    <row r="11" spans="1:11">
      <c r="A11" s="1875">
        <v>10</v>
      </c>
      <c r="B11" s="1879">
        <v>46050</v>
      </c>
      <c r="C11" s="836" t="str">
        <f t="shared" si="0"/>
        <v>Parcela (010/385)</v>
      </c>
      <c r="D11" s="947">
        <v>3578.12</v>
      </c>
      <c r="E11" s="947">
        <f t="shared" si="5"/>
        <v>7.5</v>
      </c>
      <c r="F11" s="1369">
        <v>46050</v>
      </c>
      <c r="G11" s="1887">
        <v>3621.58</v>
      </c>
      <c r="H11" s="1883">
        <f t="shared" si="1"/>
        <v>1.0121460431735101</v>
      </c>
      <c r="I11" s="949">
        <f t="shared" si="2"/>
        <v>-43.460000000000036</v>
      </c>
      <c r="J11" s="1410" t="str">
        <f t="shared" si="4"/>
        <v>X</v>
      </c>
      <c r="K11" s="1402">
        <f t="shared" si="3"/>
        <v>0</v>
      </c>
    </row>
    <row r="12" spans="1:11">
      <c r="A12" s="1875">
        <v>11</v>
      </c>
      <c r="B12" s="1057">
        <v>46081</v>
      </c>
      <c r="C12" s="836" t="str">
        <f t="shared" si="0"/>
        <v>Parcela (011/385)</v>
      </c>
      <c r="D12" s="947">
        <v>3582.06</v>
      </c>
      <c r="E12" s="947">
        <f t="shared" si="5"/>
        <v>-3.9400000000000546</v>
      </c>
      <c r="F12" s="1369">
        <v>46083</v>
      </c>
      <c r="G12" s="1887">
        <v>3631.8</v>
      </c>
      <c r="H12" s="1883">
        <f t="shared" si="1"/>
        <v>1.0138858645583826</v>
      </c>
      <c r="I12" s="949">
        <f t="shared" si="2"/>
        <v>-49.740000000000236</v>
      </c>
      <c r="J12" s="1410" t="str">
        <f t="shared" si="4"/>
        <v>X</v>
      </c>
      <c r="K12" s="1402">
        <f t="shared" si="3"/>
        <v>0</v>
      </c>
    </row>
    <row r="13" spans="1:11">
      <c r="A13" s="1875">
        <v>12</v>
      </c>
      <c r="B13" s="1057">
        <v>46109</v>
      </c>
      <c r="C13" s="836" t="str">
        <f t="shared" si="0"/>
        <v>Parcela (012/385)</v>
      </c>
      <c r="D13" s="947">
        <v>3574.53</v>
      </c>
      <c r="E13" s="947">
        <f t="shared" si="5"/>
        <v>7.5299999999997453</v>
      </c>
      <c r="F13" s="1369">
        <v>46111</v>
      </c>
      <c r="G13" s="1887">
        <v>3630.3</v>
      </c>
      <c r="H13" s="1883">
        <f t="shared" si="1"/>
        <v>1.0156020511787565</v>
      </c>
      <c r="I13" s="949">
        <f t="shared" si="2"/>
        <v>-55.769999999999982</v>
      </c>
      <c r="J13" s="1410" t="str">
        <f t="shared" si="4"/>
        <v>X</v>
      </c>
      <c r="K13" s="1402">
        <f t="shared" si="3"/>
        <v>0</v>
      </c>
    </row>
    <row r="14" spans="1:11">
      <c r="A14" s="1878">
        <v>13</v>
      </c>
      <c r="B14" s="1879">
        <v>46140</v>
      </c>
      <c r="C14" s="836" t="str">
        <f t="shared" si="0"/>
        <v>Parcela (013/385)</v>
      </c>
      <c r="D14" s="947">
        <v>3567.01</v>
      </c>
      <c r="E14" s="947">
        <f t="shared" si="5"/>
        <v>7.5199999999999818</v>
      </c>
      <c r="F14" s="1891">
        <v>46140</v>
      </c>
      <c r="G14" s="1892">
        <v>3627.66</v>
      </c>
      <c r="H14" s="1883">
        <f t="shared" si="1"/>
        <v>1.0170030361563325</v>
      </c>
      <c r="I14" s="949">
        <f t="shared" si="2"/>
        <v>-60.649999999999636</v>
      </c>
      <c r="J14" s="1410" t="str">
        <f t="shared" si="4"/>
        <v>X</v>
      </c>
      <c r="K14" s="1402">
        <f t="shared" si="3"/>
        <v>0</v>
      </c>
    </row>
    <row r="15" spans="1:11">
      <c r="A15" s="1875">
        <v>14</v>
      </c>
      <c r="B15" s="1057">
        <v>46170</v>
      </c>
      <c r="C15" s="836" t="str">
        <f t="shared" si="0"/>
        <v>Parcela (014/385)</v>
      </c>
      <c r="D15" s="947">
        <v>3559.49</v>
      </c>
      <c r="E15" s="947">
        <f t="shared" si="5"/>
        <v>7.5200000000004366</v>
      </c>
      <c r="F15" s="1891"/>
      <c r="G15" s="1892"/>
      <c r="H15" s="1883" t="str">
        <f t="shared" si="1"/>
        <v/>
      </c>
      <c r="I15" s="949" t="str">
        <f t="shared" si="2"/>
        <v/>
      </c>
      <c r="J15" s="1410" t="str">
        <f t="shared" si="4"/>
        <v/>
      </c>
      <c r="K15" s="1402">
        <f t="shared" si="3"/>
        <v>3559.49</v>
      </c>
    </row>
    <row r="16" spans="1:11">
      <c r="A16" s="1875">
        <v>15</v>
      </c>
      <c r="B16" s="1057">
        <v>46201</v>
      </c>
      <c r="C16" s="836" t="str">
        <f t="shared" si="0"/>
        <v>Parcela (015/385)</v>
      </c>
      <c r="D16" s="947">
        <v>3551.96</v>
      </c>
      <c r="E16" s="947">
        <f t="shared" si="5"/>
        <v>7.5299999999997453</v>
      </c>
      <c r="F16" s="1891"/>
      <c r="G16" s="1892"/>
      <c r="H16" s="1883" t="str">
        <f t="shared" si="1"/>
        <v/>
      </c>
      <c r="I16" s="949" t="str">
        <f t="shared" si="2"/>
        <v/>
      </c>
      <c r="J16" s="1410" t="str">
        <f t="shared" si="4"/>
        <v/>
      </c>
      <c r="K16" s="1402">
        <f t="shared" si="3"/>
        <v>3551.96</v>
      </c>
    </row>
    <row r="17" spans="1:12">
      <c r="A17" s="1875">
        <v>16</v>
      </c>
      <c r="B17" s="1879">
        <v>46231</v>
      </c>
      <c r="C17" s="836" t="str">
        <f t="shared" si="0"/>
        <v>Parcela (016/385)</v>
      </c>
      <c r="D17" s="947">
        <v>3544.44</v>
      </c>
      <c r="E17" s="947">
        <f t="shared" si="5"/>
        <v>7.5199999999999818</v>
      </c>
      <c r="F17" s="1891"/>
      <c r="G17" s="1892"/>
      <c r="H17" s="1883" t="str">
        <f t="shared" si="1"/>
        <v/>
      </c>
      <c r="I17" s="949" t="str">
        <f t="shared" si="2"/>
        <v/>
      </c>
      <c r="J17" s="1410" t="str">
        <f t="shared" si="4"/>
        <v/>
      </c>
      <c r="K17" s="1402">
        <f t="shared" si="3"/>
        <v>3544.44</v>
      </c>
    </row>
    <row r="18" spans="1:12">
      <c r="A18" s="1875">
        <v>17</v>
      </c>
      <c r="B18" s="1057">
        <v>46262</v>
      </c>
      <c r="C18" s="836" t="str">
        <f t="shared" si="0"/>
        <v>Parcela (017/385)</v>
      </c>
      <c r="D18" s="947">
        <v>3540.25</v>
      </c>
      <c r="E18" s="947">
        <f t="shared" si="5"/>
        <v>4.1900000000000546</v>
      </c>
      <c r="F18" s="1891"/>
      <c r="G18" s="1892"/>
      <c r="H18" s="1883" t="str">
        <f t="shared" si="1"/>
        <v/>
      </c>
      <c r="I18" s="949" t="str">
        <f t="shared" si="2"/>
        <v/>
      </c>
      <c r="J18" s="1410" t="str">
        <f t="shared" si="4"/>
        <v/>
      </c>
      <c r="K18" s="1402">
        <f t="shared" si="3"/>
        <v>3540.25</v>
      </c>
    </row>
    <row r="19" spans="1:12">
      <c r="A19" s="1875">
        <v>18</v>
      </c>
      <c r="B19" s="1057">
        <v>46293</v>
      </c>
      <c r="C19" s="836" t="str">
        <f t="shared" si="0"/>
        <v>Parcela (018/385)</v>
      </c>
      <c r="D19" s="947">
        <v>3532.72</v>
      </c>
      <c r="E19" s="947">
        <f t="shared" si="5"/>
        <v>7.5300000000002001</v>
      </c>
      <c r="F19" s="1891"/>
      <c r="G19" s="1892"/>
      <c r="H19" s="1883" t="str">
        <f t="shared" si="1"/>
        <v/>
      </c>
      <c r="I19" s="949" t="str">
        <f t="shared" si="2"/>
        <v/>
      </c>
      <c r="J19" s="1410" t="str">
        <f t="shared" si="4"/>
        <v/>
      </c>
      <c r="K19" s="1402">
        <f t="shared" si="3"/>
        <v>3532.72</v>
      </c>
    </row>
    <row r="20" spans="1:12">
      <c r="A20" s="1875">
        <v>19</v>
      </c>
      <c r="B20" s="1879">
        <v>46323</v>
      </c>
      <c r="C20" s="836" t="str">
        <f t="shared" si="0"/>
        <v>Parcela (019/385)</v>
      </c>
      <c r="D20" s="947">
        <v>3525.18</v>
      </c>
      <c r="E20" s="947">
        <f t="shared" si="5"/>
        <v>7.5399999999999636</v>
      </c>
      <c r="F20" s="1891"/>
      <c r="G20" s="1892"/>
      <c r="H20" s="1883" t="str">
        <f t="shared" si="1"/>
        <v/>
      </c>
      <c r="I20" s="949" t="str">
        <f t="shared" si="2"/>
        <v/>
      </c>
      <c r="J20" s="1410" t="str">
        <f t="shared" si="4"/>
        <v/>
      </c>
      <c r="K20" s="1402">
        <f t="shared" si="3"/>
        <v>3525.18</v>
      </c>
    </row>
    <row r="21" spans="1:12">
      <c r="A21" s="1875">
        <v>20</v>
      </c>
      <c r="B21" s="1057">
        <v>46354</v>
      </c>
      <c r="C21" s="836" t="str">
        <f t="shared" si="0"/>
        <v>Parcela (020/385)</v>
      </c>
      <c r="D21" s="947">
        <v>3517.66</v>
      </c>
      <c r="E21" s="947">
        <f t="shared" si="5"/>
        <v>7.5199999999999818</v>
      </c>
      <c r="F21" s="1891"/>
      <c r="G21" s="1892"/>
      <c r="H21" s="1883" t="str">
        <f t="shared" si="1"/>
        <v/>
      </c>
      <c r="I21" s="949" t="str">
        <f t="shared" si="2"/>
        <v/>
      </c>
      <c r="J21" s="1410" t="str">
        <f t="shared" si="4"/>
        <v/>
      </c>
      <c r="K21" s="1402">
        <f t="shared" si="3"/>
        <v>3517.66</v>
      </c>
    </row>
    <row r="22" spans="1:12">
      <c r="A22" s="1875">
        <v>21</v>
      </c>
      <c r="B22" s="1057">
        <v>46384</v>
      </c>
      <c r="C22" s="836" t="str">
        <f t="shared" si="0"/>
        <v>Parcela (021/385)</v>
      </c>
      <c r="D22" s="947">
        <v>3510.12</v>
      </c>
      <c r="E22" s="947">
        <f t="shared" si="5"/>
        <v>7.5399999999999636</v>
      </c>
      <c r="F22" s="1891"/>
      <c r="G22" s="1892"/>
      <c r="H22" s="1883" t="str">
        <f t="shared" si="1"/>
        <v/>
      </c>
      <c r="I22" s="949" t="str">
        <f t="shared" si="2"/>
        <v/>
      </c>
      <c r="J22" s="1410" t="str">
        <f t="shared" si="4"/>
        <v/>
      </c>
      <c r="K22" s="1402">
        <f t="shared" si="3"/>
        <v>3510.12</v>
      </c>
    </row>
    <row r="23" spans="1:12">
      <c r="A23" s="1875">
        <v>22</v>
      </c>
      <c r="B23" s="1879">
        <v>46415</v>
      </c>
      <c r="C23" s="836" t="str">
        <f t="shared" si="0"/>
        <v>Parcela (022/385)</v>
      </c>
      <c r="D23" s="947">
        <v>3502.59</v>
      </c>
      <c r="E23" s="947">
        <f t="shared" si="5"/>
        <v>7.5299999999997453</v>
      </c>
      <c r="F23" s="1891"/>
      <c r="G23" s="1892"/>
      <c r="H23" s="1883" t="str">
        <f t="shared" si="1"/>
        <v/>
      </c>
      <c r="I23" s="949" t="str">
        <f t="shared" si="2"/>
        <v/>
      </c>
      <c r="J23" s="1410" t="str">
        <f t="shared" si="4"/>
        <v/>
      </c>
      <c r="K23" s="1402">
        <f t="shared" si="3"/>
        <v>3502.59</v>
      </c>
    </row>
    <row r="24" spans="1:12">
      <c r="A24" s="1875">
        <v>23</v>
      </c>
      <c r="B24" s="1057">
        <v>46446</v>
      </c>
      <c r="C24" s="836" t="str">
        <f t="shared" si="0"/>
        <v>Parcela (023/385)</v>
      </c>
      <c r="D24" s="947">
        <v>3506.74</v>
      </c>
      <c r="E24" s="947">
        <f t="shared" si="5"/>
        <v>-4.1499999999996362</v>
      </c>
      <c r="F24" s="1891"/>
      <c r="G24" s="1892"/>
      <c r="H24" s="1883" t="str">
        <f t="shared" si="1"/>
        <v/>
      </c>
      <c r="I24" s="949" t="str">
        <f t="shared" si="2"/>
        <v/>
      </c>
      <c r="J24" s="1410" t="str">
        <f t="shared" si="4"/>
        <v/>
      </c>
      <c r="K24" s="1402">
        <f t="shared" si="3"/>
        <v>3506.74</v>
      </c>
    </row>
    <row r="25" spans="1:12">
      <c r="A25" s="1875">
        <v>24</v>
      </c>
      <c r="B25" s="1057">
        <v>46474</v>
      </c>
      <c r="C25" s="836" t="str">
        <f t="shared" si="0"/>
        <v>Parcela (024/385)</v>
      </c>
      <c r="D25" s="947">
        <v>3499.17</v>
      </c>
      <c r="E25" s="947">
        <f t="shared" si="5"/>
        <v>7.569999999999709</v>
      </c>
      <c r="F25" s="1891"/>
      <c r="G25" s="1892"/>
      <c r="H25" s="1883" t="str">
        <f t="shared" si="1"/>
        <v/>
      </c>
      <c r="I25" s="949" t="str">
        <f t="shared" si="2"/>
        <v/>
      </c>
      <c r="J25" s="1410" t="str">
        <f t="shared" si="4"/>
        <v/>
      </c>
      <c r="K25" s="1402">
        <f t="shared" si="3"/>
        <v>3499.17</v>
      </c>
    </row>
    <row r="26" spans="1:12">
      <c r="A26" s="1878"/>
      <c r="B26" s="1889"/>
      <c r="C26" s="1890"/>
      <c r="D26" s="1582"/>
      <c r="E26" s="1582"/>
      <c r="F26" s="1891"/>
      <c r="G26" s="1892"/>
      <c r="H26" s="1893"/>
      <c r="I26" s="832"/>
      <c r="J26" s="1410" t="str">
        <f t="shared" si="4"/>
        <v/>
      </c>
      <c r="K26" s="1447"/>
    </row>
    <row r="27" spans="1:12">
      <c r="A27" s="1875"/>
      <c r="B27" s="1889"/>
      <c r="C27" s="1890"/>
      <c r="D27" s="1582"/>
      <c r="E27" s="1582"/>
      <c r="F27" s="1891"/>
      <c r="G27" s="1892"/>
      <c r="H27" s="1893"/>
      <c r="I27" s="832"/>
      <c r="J27" s="1410" t="str">
        <f t="shared" si="4"/>
        <v/>
      </c>
      <c r="K27" s="1447"/>
    </row>
    <row r="28" spans="1:12">
      <c r="A28" s="1382"/>
      <c r="B28" s="1876"/>
      <c r="C28" s="1403"/>
      <c r="D28" s="1404"/>
      <c r="E28" s="1404"/>
      <c r="F28" s="1877"/>
      <c r="G28" s="1888"/>
      <c r="H28" s="1884"/>
      <c r="I28" s="1406"/>
      <c r="J28" s="1407"/>
      <c r="K28" s="1408"/>
    </row>
    <row r="29" spans="1:12">
      <c r="C29" s="1764" t="s">
        <v>12</v>
      </c>
      <c r="D29" s="1765">
        <f>SUM(D2:D28)</f>
        <v>85774.31</v>
      </c>
      <c r="E29" s="1765">
        <f>SUM(E2:E28)</f>
        <v>309.59000000000015</v>
      </c>
      <c r="F29" s="1894"/>
      <c r="G29" s="1765">
        <f>SUM(G2:G28)</f>
        <v>47324.560000000012</v>
      </c>
    </row>
    <row r="30" spans="1:12" customFormat="1">
      <c r="A30" s="3"/>
      <c r="B30" s="3"/>
      <c r="C30" s="1764" t="s">
        <v>1401</v>
      </c>
      <c r="D30" s="1899">
        <v>385</v>
      </c>
      <c r="E30" s="3"/>
      <c r="G30" s="1326"/>
      <c r="L30" s="3"/>
    </row>
    <row r="31" spans="1:12" customFormat="1">
      <c r="A31" s="3"/>
      <c r="B31" s="3"/>
      <c r="C31" s="3"/>
      <c r="D31" s="3"/>
      <c r="E31" s="3"/>
      <c r="G31" s="1326"/>
      <c r="L31" s="3"/>
    </row>
    <row r="32" spans="1:12" customFormat="1">
      <c r="A32" s="3"/>
      <c r="B32" s="3"/>
      <c r="C32" s="3"/>
      <c r="D32" s="3"/>
      <c r="E32" s="3"/>
      <c r="F32" s="1112"/>
      <c r="G32" s="1326"/>
      <c r="L32" s="3"/>
    </row>
    <row r="33" spans="1:12" customFormat="1">
      <c r="A33" s="3"/>
      <c r="B33" s="3"/>
      <c r="C33" s="3"/>
      <c r="D33" s="3"/>
      <c r="E33" s="3"/>
      <c r="F33" s="1112"/>
      <c r="L33" s="3"/>
    </row>
    <row r="34" spans="1:12" customFormat="1">
      <c r="A34" s="3"/>
      <c r="B34" s="3"/>
      <c r="C34" s="3"/>
      <c r="D34" s="877"/>
      <c r="E34" s="877"/>
      <c r="F34" s="1112"/>
      <c r="L34" s="3"/>
    </row>
    <row r="35" spans="1:12" customFormat="1">
      <c r="A35" s="3"/>
      <c r="B35" s="3"/>
      <c r="C35" s="3"/>
      <c r="D35" s="3"/>
      <c r="E35" s="3"/>
      <c r="F35" s="1326"/>
      <c r="L35" s="3"/>
    </row>
    <row r="36" spans="1:12" customFormat="1">
      <c r="A36" s="3"/>
      <c r="B36" s="3"/>
      <c r="C36" s="3"/>
      <c r="D36" s="3"/>
      <c r="E36" s="3"/>
      <c r="L36" s="3"/>
    </row>
    <row r="37" spans="1:12" customFormat="1">
      <c r="A37" s="3"/>
      <c r="B37" s="3"/>
      <c r="C37" s="3"/>
      <c r="D37" s="877"/>
      <c r="E37" s="877"/>
      <c r="L37" s="3"/>
    </row>
    <row r="38" spans="1:12" customFormat="1">
      <c r="A38" s="3"/>
      <c r="B38" s="3"/>
      <c r="C38" s="3"/>
      <c r="D38" s="3"/>
      <c r="E38" s="3"/>
      <c r="L38" s="3"/>
    </row>
    <row r="39" spans="1:12" customFormat="1">
      <c r="A39" s="3"/>
      <c r="B39" s="3"/>
      <c r="C39" s="3"/>
      <c r="D39" s="3"/>
      <c r="E39" s="3"/>
      <c r="L39" s="3"/>
    </row>
    <row r="40" spans="1:12" customFormat="1">
      <c r="A40" s="3"/>
      <c r="B40" s="3"/>
      <c r="C40" s="3"/>
      <c r="D40" s="3"/>
      <c r="E40" s="3"/>
      <c r="L40" s="3"/>
    </row>
    <row r="41" spans="1:12" customFormat="1">
      <c r="A41" s="3"/>
      <c r="B41" s="3"/>
      <c r="C41" s="3"/>
      <c r="D41" s="3"/>
      <c r="E41" s="3"/>
      <c r="L41" s="3"/>
    </row>
    <row r="42" spans="1:12" customFormat="1">
      <c r="A42" s="3"/>
      <c r="B42" s="3"/>
      <c r="C42" s="3"/>
      <c r="D42" s="3"/>
      <c r="E42" s="3"/>
      <c r="L42" s="3"/>
    </row>
    <row r="43" spans="1:12" customFormat="1">
      <c r="A43" s="3"/>
      <c r="B43" s="3"/>
      <c r="C43" s="3"/>
      <c r="D43" s="3"/>
      <c r="E43" s="3"/>
      <c r="L43" s="3"/>
    </row>
    <row r="44" spans="1:12" customFormat="1">
      <c r="A44" s="3"/>
      <c r="B44" s="3"/>
      <c r="C44" s="3"/>
      <c r="D44" s="3"/>
      <c r="E44" s="3"/>
      <c r="L44" s="3"/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9" filterMode="1"/>
  <dimension ref="A1:K57"/>
  <sheetViews>
    <sheetView zoomScaleNormal="100" workbookViewId="0">
      <pane xSplit="11" ySplit="1" topLeftCell="L2" activePane="bottomRight" state="frozen"/>
      <selection pane="bottomRight" activeCell="A2" sqref="A2"/>
      <selection pane="bottomLeft" activeCell="A2" sqref="A2"/>
      <selection pane="topRight" activeCell="L1" sqref="L1"/>
    </sheetView>
  </sheetViews>
  <sheetFormatPr defaultRowHeight="12.75"/>
  <cols>
    <col min="1" max="1" width="28.7109375" bestFit="1" customWidth="1"/>
    <col min="2" max="2" width="22.140625" customWidth="1"/>
    <col min="4" max="5" width="10.140625" customWidth="1"/>
    <col min="6" max="6" width="11.85546875" customWidth="1"/>
    <col min="8" max="9" width="17.28515625" bestFit="1" customWidth="1"/>
    <col min="10" max="10" width="16" customWidth="1"/>
    <col min="11" max="11" width="12.7109375" bestFit="1" customWidth="1"/>
  </cols>
  <sheetData>
    <row r="1" spans="1:11">
      <c r="A1" s="27" t="s">
        <v>365</v>
      </c>
      <c r="B1" s="27" t="s">
        <v>1188</v>
      </c>
      <c r="C1" s="27" t="s">
        <v>1402</v>
      </c>
      <c r="D1" s="27" t="s">
        <v>1190</v>
      </c>
      <c r="E1" s="27" t="s">
        <v>71</v>
      </c>
      <c r="F1" s="27" t="s">
        <v>1403</v>
      </c>
      <c r="G1" s="27" t="s">
        <v>1404</v>
      </c>
      <c r="H1" s="27" t="s">
        <v>14</v>
      </c>
      <c r="I1" s="27" t="s">
        <v>1405</v>
      </c>
      <c r="J1" s="27" t="s">
        <v>16</v>
      </c>
      <c r="K1" s="27" t="s">
        <v>884</v>
      </c>
    </row>
    <row r="2" spans="1:11" ht="13.5">
      <c r="A2" s="1725" t="s">
        <v>1406</v>
      </c>
      <c r="B2" s="1727" t="s">
        <v>1407</v>
      </c>
      <c r="C2" s="1107" t="s">
        <v>1408</v>
      </c>
      <c r="D2" s="1318" t="s">
        <v>1409</v>
      </c>
      <c r="E2" s="1318" t="s">
        <v>1410</v>
      </c>
      <c r="F2" s="1107" t="s">
        <v>1411</v>
      </c>
      <c r="G2" s="1107"/>
      <c r="H2" s="1110">
        <v>8800</v>
      </c>
      <c r="I2" s="1195">
        <f>Amazon_Master!E1024</f>
        <v>56517.843000000168</v>
      </c>
      <c r="J2" s="1195">
        <f>H2+I2</f>
        <v>65317.843000000168</v>
      </c>
      <c r="K2" s="1111" t="s">
        <v>927</v>
      </c>
    </row>
    <row r="3" spans="1:11" ht="13.5" hidden="1">
      <c r="A3" s="1725" t="s">
        <v>1406</v>
      </c>
      <c r="B3" s="1727" t="s">
        <v>1412</v>
      </c>
      <c r="C3" s="1107" t="s">
        <v>1413</v>
      </c>
      <c r="D3" s="1318" t="s">
        <v>1409</v>
      </c>
      <c r="E3" s="1318" t="s">
        <v>1410</v>
      </c>
      <c r="F3" s="1107" t="s">
        <v>1411</v>
      </c>
      <c r="G3" s="1107"/>
      <c r="H3" s="1110">
        <v>8800</v>
      </c>
      <c r="I3" s="1195">
        <f>Amazon_Master!E1025</f>
        <v>-5302.7030000001687</v>
      </c>
      <c r="J3" s="1195">
        <f>H3+I3</f>
        <v>3497.2969999998313</v>
      </c>
      <c r="K3" s="1111" t="s">
        <v>1414</v>
      </c>
    </row>
    <row r="4" spans="1:11" ht="13.5" hidden="1">
      <c r="A4" s="1106" t="s">
        <v>1415</v>
      </c>
      <c r="B4" s="1727" t="s">
        <v>1416</v>
      </c>
      <c r="C4" s="1107">
        <v>4899</v>
      </c>
      <c r="D4" s="1109">
        <v>41548</v>
      </c>
      <c r="E4" s="1318" t="s">
        <v>1417</v>
      </c>
      <c r="F4" s="1107" t="s">
        <v>1418</v>
      </c>
      <c r="G4" s="1108"/>
      <c r="H4" s="1110" t="s">
        <v>404</v>
      </c>
      <c r="I4" s="1195"/>
      <c r="J4" s="1195"/>
      <c r="K4" s="1111" t="s">
        <v>1414</v>
      </c>
    </row>
    <row r="5" spans="1:11" ht="13.5" hidden="1">
      <c r="A5" s="1106" t="s">
        <v>26</v>
      </c>
      <c r="B5" s="1107" t="s">
        <v>1419</v>
      </c>
      <c r="C5" s="1108"/>
      <c r="D5" s="1109">
        <v>38504</v>
      </c>
      <c r="E5" s="1108"/>
      <c r="F5" s="1108"/>
      <c r="G5" s="1108"/>
      <c r="H5" s="1110">
        <v>1600</v>
      </c>
      <c r="I5" s="1195"/>
      <c r="J5" s="1195"/>
      <c r="K5" s="1111" t="s">
        <v>1414</v>
      </c>
    </row>
    <row r="6" spans="1:11" ht="13.5" hidden="1">
      <c r="A6" s="1106" t="s">
        <v>56</v>
      </c>
      <c r="B6" s="1727" t="s">
        <v>1420</v>
      </c>
      <c r="C6" s="1107"/>
      <c r="D6" s="1109">
        <v>39356</v>
      </c>
      <c r="E6" s="1318"/>
      <c r="F6" s="1107"/>
      <c r="G6" s="1108"/>
      <c r="H6" s="1110">
        <v>2600</v>
      </c>
      <c r="I6" s="1195"/>
      <c r="J6" s="1195"/>
      <c r="K6" s="1111" t="s">
        <v>1414</v>
      </c>
    </row>
    <row r="7" spans="1:11" ht="13.5" hidden="1">
      <c r="A7" s="1098" t="s">
        <v>57</v>
      </c>
      <c r="B7" s="1100" t="s">
        <v>1421</v>
      </c>
      <c r="C7" s="1103"/>
      <c r="D7" s="1101">
        <v>39356</v>
      </c>
      <c r="E7" s="1103"/>
      <c r="F7" s="1103"/>
      <c r="G7" s="1103"/>
      <c r="H7" s="1104">
        <v>3200</v>
      </c>
      <c r="I7" s="1196"/>
      <c r="J7" s="1196"/>
      <c r="K7" s="1105" t="s">
        <v>1414</v>
      </c>
    </row>
    <row r="8" spans="1:11" ht="13.5" hidden="1">
      <c r="A8" s="1106" t="s">
        <v>1422</v>
      </c>
      <c r="B8" s="1727" t="s">
        <v>1423</v>
      </c>
      <c r="C8" s="1107" t="s">
        <v>1424</v>
      </c>
      <c r="D8" s="1109">
        <v>43070</v>
      </c>
      <c r="E8" s="1318" t="s">
        <v>1425</v>
      </c>
      <c r="F8" s="1107"/>
      <c r="G8" s="1108"/>
      <c r="H8" s="1110"/>
      <c r="I8" s="1195"/>
      <c r="J8" s="1195"/>
      <c r="K8" s="1111" t="s">
        <v>1414</v>
      </c>
    </row>
    <row r="9" spans="1:11" ht="13.5" hidden="1">
      <c r="A9" s="1106" t="s">
        <v>1426</v>
      </c>
      <c r="B9" s="1107" t="s">
        <v>1427</v>
      </c>
      <c r="C9" s="1107" t="s">
        <v>1428</v>
      </c>
      <c r="D9" s="1109">
        <v>43070</v>
      </c>
      <c r="E9" s="1107" t="s">
        <v>1429</v>
      </c>
      <c r="F9" s="1107"/>
      <c r="G9" s="1108"/>
      <c r="H9" s="1110"/>
      <c r="I9" s="1195"/>
      <c r="J9" s="1195"/>
      <c r="K9" s="1111" t="s">
        <v>1414</v>
      </c>
    </row>
    <row r="10" spans="1:11" ht="13.5" hidden="1">
      <c r="A10" s="1098" t="s">
        <v>1430</v>
      </c>
      <c r="B10" s="1099" t="s">
        <v>1431</v>
      </c>
      <c r="C10" s="1100" t="s">
        <v>1432</v>
      </c>
      <c r="D10" s="1101" t="s">
        <v>1433</v>
      </c>
      <c r="E10" s="1102" t="s">
        <v>1434</v>
      </c>
      <c r="F10" s="1100" t="s">
        <v>1411</v>
      </c>
      <c r="G10" s="1100" t="s">
        <v>1435</v>
      </c>
      <c r="H10" s="1104">
        <v>18800</v>
      </c>
      <c r="I10" s="1196">
        <f>CrediCard_Master!E1010</f>
        <v>1829.4466666665394</v>
      </c>
      <c r="J10" s="1196">
        <f>H10+I10</f>
        <v>20629.446666666539</v>
      </c>
      <c r="K10" s="1105" t="s">
        <v>1414</v>
      </c>
    </row>
    <row r="11" spans="1:11" ht="13.5" hidden="1">
      <c r="A11" s="1106" t="s">
        <v>1436</v>
      </c>
      <c r="B11" s="1727" t="s">
        <v>1437</v>
      </c>
      <c r="C11" s="1107" t="s">
        <v>1438</v>
      </c>
      <c r="D11" s="1318" t="s">
        <v>1439</v>
      </c>
      <c r="E11" s="1318"/>
      <c r="F11" s="1107"/>
      <c r="G11" s="1107" t="s">
        <v>1435</v>
      </c>
      <c r="H11" s="1110"/>
      <c r="I11" s="1195"/>
      <c r="J11" s="1195"/>
      <c r="K11" s="1105" t="s">
        <v>1414</v>
      </c>
    </row>
    <row r="12" spans="1:11" ht="13.5" hidden="1">
      <c r="A12" s="1098" t="s">
        <v>1440</v>
      </c>
      <c r="B12" s="1099" t="s">
        <v>1441</v>
      </c>
      <c r="C12" s="1100" t="s">
        <v>1442</v>
      </c>
      <c r="D12" s="1102" t="s">
        <v>1443</v>
      </c>
      <c r="E12" s="1102" t="s">
        <v>1444</v>
      </c>
      <c r="F12" s="1100" t="s">
        <v>1411</v>
      </c>
      <c r="G12" s="1100" t="s">
        <v>1445</v>
      </c>
      <c r="H12" s="1104">
        <v>9100</v>
      </c>
      <c r="I12" s="1196">
        <f>DigioVisa!E260</f>
        <v>-3.6666666710516438E-3</v>
      </c>
      <c r="J12" s="1196">
        <f>H12+I12</f>
        <v>9099.9963333333289</v>
      </c>
      <c r="K12" s="1105" t="s">
        <v>1414</v>
      </c>
    </row>
    <row r="13" spans="1:11" ht="13.5" hidden="1">
      <c r="A13" s="1106" t="s">
        <v>1446</v>
      </c>
      <c r="B13" s="1727" t="s">
        <v>1447</v>
      </c>
      <c r="C13" s="1107"/>
      <c r="D13" s="1109">
        <v>38292</v>
      </c>
      <c r="E13" s="1318"/>
      <c r="F13" s="1107"/>
      <c r="G13" s="1108"/>
      <c r="H13" s="1110">
        <v>700</v>
      </c>
      <c r="I13" s="1195"/>
      <c r="J13" s="1195"/>
      <c r="K13" s="1111" t="s">
        <v>1414</v>
      </c>
    </row>
    <row r="14" spans="1:11" ht="13.5" hidden="1">
      <c r="A14" s="1098" t="s">
        <v>1448</v>
      </c>
      <c r="B14" s="1100" t="s">
        <v>1449</v>
      </c>
      <c r="C14" s="1103">
        <v>334</v>
      </c>
      <c r="D14" s="1101">
        <v>41852</v>
      </c>
      <c r="E14" s="1103">
        <v>9230</v>
      </c>
      <c r="F14" s="1103" t="s">
        <v>1450</v>
      </c>
      <c r="G14" s="1103" t="s">
        <v>1451</v>
      </c>
      <c r="H14" s="1104">
        <v>3400</v>
      </c>
      <c r="I14" s="1196"/>
      <c r="J14" s="1196"/>
      <c r="K14" s="1105" t="s">
        <v>1414</v>
      </c>
    </row>
    <row r="15" spans="1:11" ht="13.5" hidden="1">
      <c r="A15" s="1106" t="s">
        <v>1452</v>
      </c>
      <c r="B15" s="1727" t="s">
        <v>1453</v>
      </c>
      <c r="C15" s="1107">
        <v>371</v>
      </c>
      <c r="D15" s="1109">
        <v>41852</v>
      </c>
      <c r="E15" s="1318">
        <v>8013</v>
      </c>
      <c r="F15" s="1107" t="s">
        <v>1450</v>
      </c>
      <c r="G15" s="1108" t="s">
        <v>1451</v>
      </c>
      <c r="H15" s="1110">
        <v>3400</v>
      </c>
      <c r="I15" s="1195"/>
      <c r="J15" s="1195"/>
      <c r="K15" s="1105" t="s">
        <v>1414</v>
      </c>
    </row>
    <row r="16" spans="1:11" ht="13.5" hidden="1">
      <c r="A16" s="1098" t="s">
        <v>1454</v>
      </c>
      <c r="B16" s="1099" t="s">
        <v>1455</v>
      </c>
      <c r="C16" s="1100" t="s">
        <v>1456</v>
      </c>
      <c r="D16" s="1102" t="s">
        <v>1457</v>
      </c>
      <c r="E16" s="1102" t="s">
        <v>1311</v>
      </c>
      <c r="F16" s="1100" t="s">
        <v>1411</v>
      </c>
      <c r="G16" s="1100" t="s">
        <v>1458</v>
      </c>
      <c r="H16" s="1104">
        <v>4000</v>
      </c>
      <c r="I16" s="1196">
        <f>ItauMasterCard!E471</f>
        <v>0</v>
      </c>
      <c r="J16" s="1196">
        <f>ItauMasterCard!F472</f>
        <v>4000</v>
      </c>
      <c r="K16" s="1105" t="s">
        <v>1414</v>
      </c>
    </row>
    <row r="17" spans="1:11" ht="13.5" hidden="1">
      <c r="A17" s="1106" t="s">
        <v>1459</v>
      </c>
      <c r="B17" s="1727" t="s">
        <v>1460</v>
      </c>
      <c r="C17" s="1107" t="s">
        <v>1461</v>
      </c>
      <c r="D17" s="1109">
        <v>43009</v>
      </c>
      <c r="E17" s="1318" t="s">
        <v>1356</v>
      </c>
      <c r="F17" s="1107" t="s">
        <v>1411</v>
      </c>
      <c r="G17" s="1108">
        <v>41599</v>
      </c>
      <c r="H17" s="1110">
        <v>16500</v>
      </c>
      <c r="I17" s="1195"/>
      <c r="J17" s="1195"/>
      <c r="K17" s="1105" t="s">
        <v>1414</v>
      </c>
    </row>
    <row r="18" spans="1:11" ht="13.5" hidden="1">
      <c r="A18" s="1098" t="s">
        <v>1462</v>
      </c>
      <c r="B18" s="1100" t="s">
        <v>1463</v>
      </c>
      <c r="C18" s="1103">
        <v>666</v>
      </c>
      <c r="D18" s="1101">
        <v>42339</v>
      </c>
      <c r="E18" s="1103">
        <v>9230</v>
      </c>
      <c r="F18" s="1103" t="s">
        <v>1464</v>
      </c>
      <c r="G18" s="1103" t="s">
        <v>1465</v>
      </c>
      <c r="H18" s="1104">
        <v>850</v>
      </c>
      <c r="I18" s="1196"/>
      <c r="J18" s="1196"/>
      <c r="K18" s="1105" t="s">
        <v>1414</v>
      </c>
    </row>
    <row r="19" spans="1:11" ht="13.5" hidden="1">
      <c r="A19" s="1106" t="s">
        <v>1466</v>
      </c>
      <c r="B19" s="1727" t="s">
        <v>1467</v>
      </c>
      <c r="C19" s="1107">
        <v>821</v>
      </c>
      <c r="D19" s="1109">
        <v>42339</v>
      </c>
      <c r="E19" s="1318">
        <v>8013</v>
      </c>
      <c r="F19" s="1107" t="s">
        <v>1464</v>
      </c>
      <c r="G19" s="1108" t="s">
        <v>1465</v>
      </c>
      <c r="H19" s="1110">
        <v>9500</v>
      </c>
      <c r="I19" s="1195"/>
      <c r="J19" s="1195"/>
      <c r="K19" s="1105" t="s">
        <v>1414</v>
      </c>
    </row>
    <row r="20" spans="1:11" ht="13.5" hidden="1">
      <c r="A20" s="1098" t="s">
        <v>1468</v>
      </c>
      <c r="B20" s="1100" t="s">
        <v>1469</v>
      </c>
      <c r="C20" s="1100" t="s">
        <v>1470</v>
      </c>
      <c r="D20" s="1101">
        <v>45047</v>
      </c>
      <c r="E20" s="1100" t="s">
        <v>1471</v>
      </c>
      <c r="F20" s="1100" t="s">
        <v>1411</v>
      </c>
      <c r="G20" s="1103" t="s">
        <v>1458</v>
      </c>
      <c r="H20" s="1104">
        <v>14800</v>
      </c>
      <c r="I20" s="1196"/>
      <c r="J20" s="1196"/>
      <c r="K20" s="1105" t="s">
        <v>1414</v>
      </c>
    </row>
    <row r="21" spans="1:11" ht="13.5" hidden="1">
      <c r="A21" s="1106" t="s">
        <v>1468</v>
      </c>
      <c r="B21" s="1107" t="s">
        <v>1472</v>
      </c>
      <c r="C21" s="1107" t="s">
        <v>1473</v>
      </c>
      <c r="D21" s="1109">
        <v>45047</v>
      </c>
      <c r="E21" s="1107" t="s">
        <v>1471</v>
      </c>
      <c r="F21" s="1107" t="s">
        <v>1411</v>
      </c>
      <c r="G21" s="1108" t="s">
        <v>1458</v>
      </c>
      <c r="H21" s="1110">
        <v>8500</v>
      </c>
      <c r="I21" s="1195"/>
      <c r="J21" s="1195"/>
      <c r="K21" s="1105" t="s">
        <v>1414</v>
      </c>
    </row>
    <row r="22" spans="1:11" ht="13.5" hidden="1">
      <c r="A22" s="1098" t="s">
        <v>1474</v>
      </c>
      <c r="B22" s="1100" t="s">
        <v>1475</v>
      </c>
      <c r="C22" s="1100" t="s">
        <v>1476</v>
      </c>
      <c r="D22" s="1101">
        <v>45047</v>
      </c>
      <c r="E22" s="1100" t="s">
        <v>1477</v>
      </c>
      <c r="F22" s="1100" t="s">
        <v>1411</v>
      </c>
      <c r="G22" s="1103" t="s">
        <v>1458</v>
      </c>
      <c r="H22" s="1104">
        <v>14800</v>
      </c>
      <c r="I22" s="1196">
        <f>ItauVisa!E1423</f>
        <v>-1.3333331735339016E-3</v>
      </c>
      <c r="J22" s="1196">
        <f>H22+I22</f>
        <v>14799.998666666826</v>
      </c>
      <c r="K22" s="1105" t="s">
        <v>1414</v>
      </c>
    </row>
    <row r="23" spans="1:11" ht="13.5">
      <c r="A23" s="1106" t="s">
        <v>1478</v>
      </c>
      <c r="B23" s="1727" t="s">
        <v>1479</v>
      </c>
      <c r="C23" s="1107" t="s">
        <v>1480</v>
      </c>
      <c r="D23" s="1318" t="s">
        <v>1481</v>
      </c>
      <c r="E23" s="1318" t="s">
        <v>1482</v>
      </c>
      <c r="F23" s="1107" t="s">
        <v>1411</v>
      </c>
      <c r="G23" s="1107" t="s">
        <v>1465</v>
      </c>
      <c r="H23" s="1110">
        <v>21400</v>
      </c>
      <c r="I23" s="1195">
        <f>ItauUniclassVisa!E801</f>
        <v>-2194.5450000000928</v>
      </c>
      <c r="J23" s="1195">
        <f>H23+I23</f>
        <v>19205.454999999907</v>
      </c>
      <c r="K23" s="1105" t="s">
        <v>927</v>
      </c>
    </row>
    <row r="24" spans="1:11" ht="13.5">
      <c r="A24" s="1098" t="s">
        <v>1483</v>
      </c>
      <c r="B24" s="1099" t="s">
        <v>1484</v>
      </c>
      <c r="C24" s="1100" t="s">
        <v>1485</v>
      </c>
      <c r="D24" s="1102" t="s">
        <v>1481</v>
      </c>
      <c r="E24" s="1102"/>
      <c r="F24" s="1100" t="s">
        <v>1411</v>
      </c>
      <c r="G24" s="1100" t="s">
        <v>1465</v>
      </c>
      <c r="H24" s="1104"/>
      <c r="I24" s="1196"/>
      <c r="J24" s="1196"/>
      <c r="K24" s="1105" t="s">
        <v>927</v>
      </c>
    </row>
    <row r="25" spans="1:11" ht="13.5" hidden="1">
      <c r="A25" s="1106" t="s">
        <v>1486</v>
      </c>
      <c r="B25" s="1727" t="s">
        <v>1487</v>
      </c>
      <c r="C25" s="1107" t="s">
        <v>1488</v>
      </c>
      <c r="D25" s="1318" t="s">
        <v>1489</v>
      </c>
      <c r="E25" s="1318" t="s">
        <v>1490</v>
      </c>
      <c r="F25" s="1107" t="s">
        <v>1411</v>
      </c>
      <c r="G25" s="1107" t="s">
        <v>1491</v>
      </c>
      <c r="H25" s="1110">
        <v>0</v>
      </c>
      <c r="I25" s="1195"/>
      <c r="J25" s="1195"/>
      <c r="K25" s="1105" t="s">
        <v>1414</v>
      </c>
    </row>
    <row r="26" spans="1:11" ht="13.5">
      <c r="A26" s="1106" t="s">
        <v>1492</v>
      </c>
      <c r="B26" s="1727" t="s">
        <v>1493</v>
      </c>
      <c r="C26" s="1107" t="s">
        <v>1494</v>
      </c>
      <c r="D26" s="1318" t="s">
        <v>1495</v>
      </c>
      <c r="E26" s="1318"/>
      <c r="F26" s="1107"/>
      <c r="G26" s="1107"/>
      <c r="H26" s="1110"/>
      <c r="I26" s="1195"/>
      <c r="J26" s="1195"/>
      <c r="K26" s="1105" t="s">
        <v>927</v>
      </c>
    </row>
    <row r="27" spans="1:11" ht="13.5">
      <c r="A27" s="1098" t="s">
        <v>1496</v>
      </c>
      <c r="B27" s="1727" t="s">
        <v>1497</v>
      </c>
      <c r="C27" s="1100" t="s">
        <v>1498</v>
      </c>
      <c r="D27" s="1102" t="s">
        <v>1499</v>
      </c>
      <c r="E27" s="1102"/>
      <c r="F27" s="1100" t="s">
        <v>1500</v>
      </c>
      <c r="G27" s="1100" t="s">
        <v>1411</v>
      </c>
      <c r="H27" s="1104">
        <v>25000</v>
      </c>
      <c r="I27" s="1197">
        <f>MercadoPago_Visa!E184</f>
        <v>0</v>
      </c>
      <c r="J27" s="1197">
        <f>H27+I27</f>
        <v>25000</v>
      </c>
      <c r="K27" s="1105" t="s">
        <v>927</v>
      </c>
    </row>
    <row r="28" spans="1:11" ht="13.5" hidden="1">
      <c r="A28" s="1098" t="s">
        <v>1501</v>
      </c>
      <c r="B28" s="1727" t="s">
        <v>1502</v>
      </c>
      <c r="C28" s="1100" t="s">
        <v>1503</v>
      </c>
      <c r="D28" s="1100" t="s">
        <v>1504</v>
      </c>
      <c r="E28" s="1100" t="s">
        <v>1008</v>
      </c>
      <c r="F28" s="1100" t="s">
        <v>1411</v>
      </c>
      <c r="G28" s="1100" t="s">
        <v>1445</v>
      </c>
      <c r="H28" s="1104">
        <v>9300</v>
      </c>
      <c r="I28" s="1196"/>
      <c r="J28" s="1196"/>
      <c r="K28" s="1105" t="s">
        <v>1414</v>
      </c>
    </row>
    <row r="29" spans="1:11" ht="13.5" hidden="1">
      <c r="A29" s="1106" t="s">
        <v>1505</v>
      </c>
      <c r="B29" s="1727" t="s">
        <v>1506</v>
      </c>
      <c r="C29" s="1107" t="s">
        <v>1507</v>
      </c>
      <c r="D29" s="1318" t="s">
        <v>1439</v>
      </c>
      <c r="E29" s="1318"/>
      <c r="F29" s="1107"/>
      <c r="G29" s="1107" t="s">
        <v>1445</v>
      </c>
      <c r="H29" s="1110"/>
      <c r="I29" s="1195"/>
      <c r="J29" s="1195"/>
      <c r="K29" s="1111" t="s">
        <v>1414</v>
      </c>
    </row>
    <row r="30" spans="1:11" ht="13.5" hidden="1">
      <c r="A30" s="1106" t="s">
        <v>1508</v>
      </c>
      <c r="B30" s="1727" t="s">
        <v>1509</v>
      </c>
      <c r="C30" s="1100" t="s">
        <v>1510</v>
      </c>
      <c r="D30" s="1101">
        <v>43525</v>
      </c>
      <c r="E30" s="1100" t="s">
        <v>1008</v>
      </c>
      <c r="F30" s="1100" t="s">
        <v>1411</v>
      </c>
      <c r="G30" s="1100" t="s">
        <v>1445</v>
      </c>
      <c r="H30" s="1104">
        <v>0</v>
      </c>
      <c r="I30" s="1197">
        <v>0</v>
      </c>
      <c r="J30" s="1197">
        <f>H30+I30</f>
        <v>0</v>
      </c>
      <c r="K30" s="1111" t="s">
        <v>1414</v>
      </c>
    </row>
    <row r="31" spans="1:11" ht="13.5" hidden="1">
      <c r="A31" s="1106" t="s">
        <v>1511</v>
      </c>
      <c r="B31" s="1727" t="s">
        <v>1512</v>
      </c>
      <c r="C31" s="1107" t="s">
        <v>1513</v>
      </c>
      <c r="D31" s="1318" t="s">
        <v>1514</v>
      </c>
      <c r="E31" s="1318" t="s">
        <v>1008</v>
      </c>
      <c r="F31" s="1107" t="s">
        <v>1411</v>
      </c>
      <c r="G31" s="1107" t="s">
        <v>1445</v>
      </c>
      <c r="H31" s="1110">
        <v>12900</v>
      </c>
      <c r="I31" s="1195">
        <f>NUBank_Master!E1703</f>
        <v>-5163.4309999998659</v>
      </c>
      <c r="J31" s="1195">
        <f>H31+I31</f>
        <v>7736.5690000001341</v>
      </c>
      <c r="K31" s="1111" t="s">
        <v>1414</v>
      </c>
    </row>
    <row r="32" spans="1:11" ht="13.5">
      <c r="A32" s="1098" t="s">
        <v>1515</v>
      </c>
      <c r="B32" s="1727" t="s">
        <v>1516</v>
      </c>
      <c r="C32" s="1107" t="s">
        <v>1517</v>
      </c>
      <c r="D32" s="1318" t="s">
        <v>1518</v>
      </c>
      <c r="E32" s="1318" t="s">
        <v>1008</v>
      </c>
      <c r="F32" s="1107" t="s">
        <v>1411</v>
      </c>
      <c r="G32" s="1107" t="s">
        <v>1445</v>
      </c>
      <c r="H32" s="1104">
        <v>17900</v>
      </c>
      <c r="I32" s="1196">
        <f>NUBank_Master!E1703</f>
        <v>-5163.4309999998659</v>
      </c>
      <c r="J32" s="1196">
        <f>H32+I32</f>
        <v>12736.569000000134</v>
      </c>
      <c r="K32" s="1111" t="s">
        <v>927</v>
      </c>
    </row>
    <row r="33" spans="1:11" ht="13.5">
      <c r="A33" s="1180" t="s">
        <v>1519</v>
      </c>
      <c r="B33" s="1727"/>
      <c r="C33" s="1100"/>
      <c r="D33" s="1102"/>
      <c r="E33" s="1102"/>
      <c r="F33" s="1100"/>
      <c r="G33" s="1100"/>
      <c r="H33" s="1110"/>
      <c r="I33" s="1195"/>
      <c r="J33" s="1195"/>
      <c r="K33" s="1111" t="s">
        <v>927</v>
      </c>
    </row>
    <row r="34" spans="1:11" ht="13.5" hidden="1">
      <c r="A34" s="1106" t="s">
        <v>1520</v>
      </c>
      <c r="B34" s="1727" t="s">
        <v>1521</v>
      </c>
      <c r="C34" s="1107" t="s">
        <v>1522</v>
      </c>
      <c r="D34" s="1109">
        <v>44256</v>
      </c>
      <c r="E34" s="1107" t="s">
        <v>1523</v>
      </c>
      <c r="F34" s="1107" t="s">
        <v>1411</v>
      </c>
      <c r="G34" s="1108" t="s">
        <v>1458</v>
      </c>
      <c r="H34" s="1104">
        <v>1450</v>
      </c>
      <c r="I34" s="1196"/>
      <c r="J34" s="1196"/>
      <c r="K34" s="1105" t="s">
        <v>1414</v>
      </c>
    </row>
    <row r="35" spans="1:11" ht="13.5" hidden="1">
      <c r="A35" s="1098" t="s">
        <v>1524</v>
      </c>
      <c r="B35" s="1727" t="s">
        <v>1525</v>
      </c>
      <c r="C35" s="1100" t="s">
        <v>1526</v>
      </c>
      <c r="D35" s="1101">
        <v>44075</v>
      </c>
      <c r="E35" s="1100" t="s">
        <v>1527</v>
      </c>
      <c r="F35" s="1100" t="s">
        <v>1528</v>
      </c>
      <c r="G35" s="1100" t="s">
        <v>1529</v>
      </c>
      <c r="H35" s="1110">
        <v>6500</v>
      </c>
      <c r="I35" s="1195"/>
      <c r="J35" s="1195"/>
      <c r="K35" s="1105" t="s">
        <v>1414</v>
      </c>
    </row>
    <row r="36" spans="1:11" ht="13.5" hidden="1">
      <c r="A36" s="1098" t="s">
        <v>1530</v>
      </c>
      <c r="B36" s="1727" t="s">
        <v>1531</v>
      </c>
      <c r="C36" s="1100" t="s">
        <v>1532</v>
      </c>
      <c r="D36" s="1101">
        <v>44075</v>
      </c>
      <c r="E36" s="1100" t="s">
        <v>1533</v>
      </c>
      <c r="F36" s="1100" t="s">
        <v>1528</v>
      </c>
      <c r="G36" s="1100" t="s">
        <v>1529</v>
      </c>
      <c r="H36" s="1104">
        <v>6500</v>
      </c>
      <c r="I36" s="1196"/>
      <c r="J36" s="1196"/>
      <c r="K36" s="1105" t="s">
        <v>1414</v>
      </c>
    </row>
    <row r="37" spans="1:11" ht="13.5" hidden="1">
      <c r="A37" s="1098" t="s">
        <v>1534</v>
      </c>
      <c r="B37" s="1727" t="s">
        <v>1535</v>
      </c>
      <c r="C37" s="1100">
        <v>617</v>
      </c>
      <c r="D37" s="1101">
        <v>40878</v>
      </c>
      <c r="E37" s="1102">
        <v>3450</v>
      </c>
      <c r="F37" s="1100" t="s">
        <v>1528</v>
      </c>
      <c r="G37" s="1103" t="s">
        <v>1536</v>
      </c>
      <c r="H37" s="1110">
        <v>2500</v>
      </c>
      <c r="I37" s="1195"/>
      <c r="J37" s="1195"/>
      <c r="K37" s="1105" t="s">
        <v>1414</v>
      </c>
    </row>
    <row r="38" spans="1:11" ht="13.5" hidden="1">
      <c r="A38" s="1098" t="s">
        <v>1537</v>
      </c>
      <c r="B38" s="1727" t="s">
        <v>1538</v>
      </c>
      <c r="C38" s="1103" t="s">
        <v>1539</v>
      </c>
      <c r="D38" s="1101">
        <v>42979</v>
      </c>
      <c r="E38" s="1100" t="s">
        <v>1540</v>
      </c>
      <c r="F38" s="1103" t="s">
        <v>1528</v>
      </c>
      <c r="G38" s="1103" t="s">
        <v>1529</v>
      </c>
      <c r="H38" s="1104">
        <v>11000</v>
      </c>
      <c r="I38" s="1196"/>
      <c r="J38" s="1196"/>
      <c r="K38" s="1105" t="s">
        <v>1414</v>
      </c>
    </row>
    <row r="39" spans="1:11" ht="13.5" hidden="1">
      <c r="A39" s="1098" t="s">
        <v>1541</v>
      </c>
      <c r="B39" s="1727" t="s">
        <v>1542</v>
      </c>
      <c r="C39" s="1103" t="s">
        <v>1543</v>
      </c>
      <c r="D39" s="1101">
        <v>42979</v>
      </c>
      <c r="E39" s="1103" t="s">
        <v>1544</v>
      </c>
      <c r="F39" s="1103" t="s">
        <v>1528</v>
      </c>
      <c r="G39" s="1103" t="s">
        <v>1529</v>
      </c>
      <c r="H39" s="1110">
        <v>11000</v>
      </c>
      <c r="I39" s="1195"/>
      <c r="J39" s="1195"/>
      <c r="K39" s="1105" t="s">
        <v>1414</v>
      </c>
    </row>
    <row r="40" spans="1:11" ht="13.5" hidden="1">
      <c r="A40" s="1098" t="s">
        <v>1545</v>
      </c>
      <c r="B40" s="1727" t="s">
        <v>1546</v>
      </c>
      <c r="C40" s="1103">
        <v>351</v>
      </c>
      <c r="D40" s="1101">
        <v>41944</v>
      </c>
      <c r="E40" s="1103"/>
      <c r="F40" s="1103"/>
      <c r="G40" s="1103"/>
      <c r="H40" s="1104"/>
      <c r="I40" s="1196"/>
      <c r="J40" s="1196"/>
      <c r="K40" s="1105" t="s">
        <v>1414</v>
      </c>
    </row>
    <row r="41" spans="1:11" ht="13.5" hidden="1">
      <c r="A41" s="1098" t="s">
        <v>1547</v>
      </c>
      <c r="B41" s="1727" t="s">
        <v>1548</v>
      </c>
      <c r="C41" s="1100">
        <v>959</v>
      </c>
      <c r="D41" s="1101">
        <v>41944</v>
      </c>
      <c r="E41" s="1102"/>
      <c r="F41" s="1100"/>
      <c r="G41" s="1103"/>
      <c r="H41" s="1110"/>
      <c r="I41" s="1195"/>
      <c r="J41" s="1195"/>
      <c r="K41" s="1105" t="s">
        <v>1414</v>
      </c>
    </row>
    <row r="42" spans="1:11" ht="13.5" hidden="1">
      <c r="A42" s="1285" t="s">
        <v>1549</v>
      </c>
      <c r="B42" s="1727" t="s">
        <v>1550</v>
      </c>
      <c r="C42" s="1728">
        <v>401</v>
      </c>
      <c r="D42" s="1729">
        <v>40940</v>
      </c>
      <c r="E42" s="1728" t="s">
        <v>1369</v>
      </c>
      <c r="F42" s="1728" t="s">
        <v>1411</v>
      </c>
      <c r="G42" s="1103" t="s">
        <v>1458</v>
      </c>
      <c r="H42" s="1104">
        <v>17000</v>
      </c>
      <c r="I42" s="1196"/>
      <c r="J42" s="1196"/>
      <c r="K42" s="1105" t="s">
        <v>1414</v>
      </c>
    </row>
    <row r="43" spans="1:11" ht="13.5" hidden="1">
      <c r="A43" s="1285" t="s">
        <v>1551</v>
      </c>
      <c r="B43" s="1727" t="s">
        <v>1552</v>
      </c>
      <c r="C43" s="1287" t="s">
        <v>1553</v>
      </c>
      <c r="D43" s="1729">
        <v>42248</v>
      </c>
      <c r="E43" s="1287" t="s">
        <v>1471</v>
      </c>
      <c r="F43" s="1728" t="s">
        <v>1411</v>
      </c>
      <c r="G43" s="1103" t="s">
        <v>1458</v>
      </c>
      <c r="H43" s="1110">
        <v>17000</v>
      </c>
      <c r="I43" s="1195"/>
      <c r="J43" s="1195"/>
      <c r="K43" s="1105" t="s">
        <v>1414</v>
      </c>
    </row>
    <row r="44" spans="1:11" ht="13.5" hidden="1">
      <c r="A44" s="1285" t="s">
        <v>40</v>
      </c>
      <c r="B44" s="1727" t="s">
        <v>1554</v>
      </c>
      <c r="C44" s="1728"/>
      <c r="D44" s="1729">
        <v>37803</v>
      </c>
      <c r="E44" s="1728"/>
      <c r="F44" s="1728"/>
      <c r="G44" s="1728"/>
      <c r="H44" s="1104">
        <v>375</v>
      </c>
      <c r="I44" s="1196"/>
      <c r="J44" s="1196"/>
      <c r="K44" s="1105" t="s">
        <v>1414</v>
      </c>
    </row>
    <row r="45" spans="1:11" ht="13.5" hidden="1">
      <c r="A45" s="1285" t="s">
        <v>1555</v>
      </c>
      <c r="B45" s="1727" t="s">
        <v>1556</v>
      </c>
      <c r="C45" s="1287" t="s">
        <v>1557</v>
      </c>
      <c r="D45" s="1288" t="s">
        <v>1558</v>
      </c>
      <c r="E45" s="1288" t="s">
        <v>1559</v>
      </c>
      <c r="F45" s="1287" t="s">
        <v>1411</v>
      </c>
      <c r="G45" s="1287" t="s">
        <v>1458</v>
      </c>
      <c r="H45" s="1110">
        <f>H44</f>
        <v>375</v>
      </c>
      <c r="I45" s="1195"/>
      <c r="J45" s="1195"/>
      <c r="K45" s="1105" t="s">
        <v>1414</v>
      </c>
    </row>
    <row r="46" spans="1:11" ht="13.5" hidden="1">
      <c r="A46" s="1285" t="s">
        <v>1560</v>
      </c>
      <c r="B46" s="1727" t="s">
        <v>1561</v>
      </c>
      <c r="C46" s="1287" t="s">
        <v>1562</v>
      </c>
      <c r="D46" s="1288" t="s">
        <v>1514</v>
      </c>
      <c r="E46" s="1287" t="s">
        <v>1348</v>
      </c>
      <c r="F46" s="1287" t="s">
        <v>1411</v>
      </c>
      <c r="G46" s="1287" t="s">
        <v>1458</v>
      </c>
      <c r="H46" s="1104">
        <v>16500</v>
      </c>
      <c r="I46" s="1196">
        <f>Santander_Master!E2432</f>
        <v>4.8020004178397357E-3</v>
      </c>
      <c r="J46" s="1196">
        <f>H46+I46</f>
        <v>16500.004802000418</v>
      </c>
      <c r="K46" s="1105" t="s">
        <v>1414</v>
      </c>
    </row>
    <row r="47" spans="1:11" ht="13.5" hidden="1">
      <c r="A47" s="1285" t="s">
        <v>1563</v>
      </c>
      <c r="B47" s="1727" t="s">
        <v>1564</v>
      </c>
      <c r="C47" s="1287">
        <v>693</v>
      </c>
      <c r="D47" s="1729">
        <v>42583</v>
      </c>
      <c r="E47" s="1288" t="s">
        <v>1008</v>
      </c>
      <c r="F47" s="1287" t="s">
        <v>1411</v>
      </c>
      <c r="G47" s="1103" t="s">
        <v>1491</v>
      </c>
      <c r="H47" s="1110">
        <v>22000</v>
      </c>
      <c r="I47" s="1195"/>
      <c r="J47" s="1195"/>
      <c r="K47" s="1105" t="s">
        <v>1414</v>
      </c>
    </row>
    <row r="48" spans="1:11" ht="13.5" hidden="1">
      <c r="A48" s="1285" t="s">
        <v>1565</v>
      </c>
      <c r="B48" s="1727" t="s">
        <v>1566</v>
      </c>
      <c r="C48" s="1287" t="s">
        <v>1567</v>
      </c>
      <c r="D48" s="1729">
        <v>43009</v>
      </c>
      <c r="E48" s="1288" t="s">
        <v>1008</v>
      </c>
      <c r="F48" s="1287" t="s">
        <v>1411</v>
      </c>
      <c r="G48" s="1103" t="s">
        <v>1491</v>
      </c>
      <c r="H48" s="1104">
        <v>24500</v>
      </c>
      <c r="I48" s="1196"/>
      <c r="J48" s="1196"/>
      <c r="K48" s="1105" t="s">
        <v>1414</v>
      </c>
    </row>
    <row r="49" spans="1:11" ht="13.5" hidden="1">
      <c r="A49" s="1285" t="s">
        <v>1568</v>
      </c>
      <c r="B49" s="1727" t="s">
        <v>1569</v>
      </c>
      <c r="C49" s="1728"/>
      <c r="D49" s="1729">
        <v>41730</v>
      </c>
      <c r="E49" s="1728">
        <v>341177</v>
      </c>
      <c r="F49" s="1728" t="s">
        <v>1445</v>
      </c>
      <c r="G49" s="1728" t="s">
        <v>1570</v>
      </c>
      <c r="H49" s="1110">
        <v>3000</v>
      </c>
      <c r="I49" s="1195"/>
      <c r="J49" s="1195"/>
      <c r="K49" s="1105" t="s">
        <v>1414</v>
      </c>
    </row>
    <row r="50" spans="1:11" ht="13.5" hidden="1">
      <c r="A50" s="1285" t="s">
        <v>1571</v>
      </c>
      <c r="B50" s="1727" t="s">
        <v>1572</v>
      </c>
      <c r="C50" s="1287" t="s">
        <v>1573</v>
      </c>
      <c r="D50" s="1288" t="s">
        <v>1574</v>
      </c>
      <c r="E50" s="1288" t="s">
        <v>1008</v>
      </c>
      <c r="F50" s="1287" t="s">
        <v>1411</v>
      </c>
      <c r="G50" s="1287" t="s">
        <v>1445</v>
      </c>
      <c r="H50" s="1104">
        <v>6300</v>
      </c>
      <c r="I50" s="1196">
        <f>Trigg_Visa!E56</f>
        <v>0</v>
      </c>
      <c r="J50" s="1196">
        <f>H50+I50</f>
        <v>6300</v>
      </c>
      <c r="K50" s="1105" t="s">
        <v>1414</v>
      </c>
    </row>
    <row r="51" spans="1:11" ht="13.5" hidden="1">
      <c r="A51" s="1285" t="s">
        <v>1575</v>
      </c>
      <c r="B51" s="1727" t="s">
        <v>1576</v>
      </c>
      <c r="C51" s="1287">
        <v>698</v>
      </c>
      <c r="D51" s="1729">
        <v>38504</v>
      </c>
      <c r="E51" s="1288"/>
      <c r="F51" s="1287" t="s">
        <v>1450</v>
      </c>
      <c r="G51" s="1728"/>
      <c r="H51" s="1110">
        <v>2000</v>
      </c>
      <c r="I51" s="1195"/>
      <c r="J51" s="1195"/>
      <c r="K51" s="1105" t="s">
        <v>1414</v>
      </c>
    </row>
    <row r="52" spans="1:11" ht="13.5">
      <c r="A52" s="1726" t="s">
        <v>1577</v>
      </c>
      <c r="B52" s="1727" t="s">
        <v>1578</v>
      </c>
      <c r="C52" s="1107" t="s">
        <v>1579</v>
      </c>
      <c r="D52" s="1318" t="s">
        <v>1580</v>
      </c>
      <c r="E52" s="1102" t="s">
        <v>1008</v>
      </c>
      <c r="F52" s="1100"/>
      <c r="G52" s="1100"/>
      <c r="H52" s="1104"/>
      <c r="I52" s="1196"/>
      <c r="J52" s="1196"/>
      <c r="K52" s="1105" t="s">
        <v>927</v>
      </c>
    </row>
    <row r="53" spans="1:11" ht="13.5">
      <c r="A53" s="28" t="s">
        <v>1581</v>
      </c>
      <c r="B53" s="1727" t="s">
        <v>1582</v>
      </c>
      <c r="C53" s="1100" t="s">
        <v>1583</v>
      </c>
      <c r="D53" s="1102" t="s">
        <v>1518</v>
      </c>
      <c r="E53" s="1730" t="s">
        <v>1008</v>
      </c>
      <c r="F53" s="779" t="s">
        <v>1411</v>
      </c>
      <c r="G53" s="779" t="s">
        <v>1584</v>
      </c>
      <c r="H53" s="1110">
        <v>0</v>
      </c>
      <c r="I53" s="1195">
        <f>XP_Inv_Visa!E1487</f>
        <v>271.93200000017532</v>
      </c>
      <c r="J53" s="1195">
        <v>0</v>
      </c>
      <c r="K53" s="1105" t="s">
        <v>927</v>
      </c>
    </row>
    <row r="54" spans="1:11" ht="13.5">
      <c r="A54" s="1285" t="s">
        <v>1585</v>
      </c>
      <c r="B54" s="1286" t="s">
        <v>1586</v>
      </c>
      <c r="C54" s="1287"/>
      <c r="D54" s="1288" t="s">
        <v>1587</v>
      </c>
      <c r="E54" s="1288"/>
      <c r="F54" s="1287"/>
      <c r="G54" s="1100"/>
      <c r="H54" s="29"/>
      <c r="I54" s="1289"/>
      <c r="J54" s="1289"/>
      <c r="K54" s="1105"/>
    </row>
    <row r="55" spans="1:11" ht="13.5">
      <c r="A55" s="1285"/>
      <c r="B55" s="1286"/>
      <c r="C55" s="1287"/>
      <c r="D55" s="1288"/>
      <c r="E55" s="1288"/>
      <c r="F55" s="1287"/>
      <c r="G55" s="1100"/>
      <c r="H55" s="29"/>
      <c r="I55" s="1289"/>
      <c r="J55" s="1289"/>
      <c r="K55" s="1105"/>
    </row>
    <row r="56" spans="1:11" ht="13.5">
      <c r="A56" s="1285"/>
      <c r="B56" s="1286"/>
      <c r="C56" s="1287"/>
      <c r="D56" s="1288"/>
      <c r="E56" s="1288"/>
      <c r="F56" s="1287"/>
      <c r="G56" s="1100"/>
      <c r="H56" s="29"/>
      <c r="I56" s="1289"/>
      <c r="J56" s="1289"/>
      <c r="K56" s="1105"/>
    </row>
    <row r="57" spans="1:11" ht="13.5">
      <c r="H57" s="1110">
        <f>H37+H38+H45+H49+H50</f>
        <v>23175</v>
      </c>
      <c r="I57" s="1195">
        <f>I34+I37+I39+I36+I41</f>
        <v>0</v>
      </c>
      <c r="J57" s="1195">
        <f>J39+J37+J34</f>
        <v>0</v>
      </c>
      <c r="K57" s="1105"/>
    </row>
  </sheetData>
  <sheetProtection selectLockedCells="1" selectUnlockedCells="1"/>
  <autoFilter ref="A1:K57" xr:uid="{00000000-0009-0000-0000-000009000000}">
    <filterColumn colId="10">
      <filters blank="1">
        <filter val="Ativo"/>
      </filters>
    </filterColumn>
  </autoFilter>
  <sortState xmlns:xlrd2="http://schemas.microsoft.com/office/spreadsheetml/2017/richdata2" ref="A3:K53">
    <sortCondition ref="A3:A53"/>
  </sortState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15"/>
  <dimension ref="A1:K84"/>
  <sheetViews>
    <sheetView workbookViewId="0">
      <pane xSplit="11" ySplit="1" topLeftCell="L62" activePane="bottomRight" state="frozen"/>
      <selection pane="bottomRight" activeCell="A64" sqref="A64:XFD64"/>
      <selection pane="bottomLeft" activeCell="A2" sqref="A2"/>
      <selection pane="topRight" activeCell="G1" sqref="G1"/>
    </sheetView>
  </sheetViews>
  <sheetFormatPr defaultRowHeight="12.75"/>
  <cols>
    <col min="1" max="1" width="21.28515625" bestFit="1" customWidth="1"/>
    <col min="2" max="2" width="17.42578125" customWidth="1"/>
    <col min="3" max="3" width="16.28515625" bestFit="1" customWidth="1"/>
    <col min="4" max="4" width="16" bestFit="1" customWidth="1"/>
    <col min="5" max="5" width="16.5703125" bestFit="1" customWidth="1"/>
    <col min="6" max="6" width="17.42578125" bestFit="1" customWidth="1"/>
    <col min="7" max="7" width="15.42578125" hidden="1" customWidth="1"/>
    <col min="8" max="9" width="16.85546875" hidden="1" customWidth="1"/>
    <col min="10" max="10" width="20.140625" bestFit="1" customWidth="1"/>
    <col min="11" max="11" width="18.42578125" bestFit="1" customWidth="1"/>
  </cols>
  <sheetData>
    <row r="1" spans="1:11" ht="14.25" thickBot="1">
      <c r="A1" s="1386" t="s">
        <v>1588</v>
      </c>
      <c r="B1" s="1389" t="s">
        <v>1589</v>
      </c>
      <c r="C1" s="1389" t="s">
        <v>1590</v>
      </c>
      <c r="D1" s="1389" t="s">
        <v>1273</v>
      </c>
      <c r="E1" s="1389" t="s">
        <v>1591</v>
      </c>
      <c r="F1" s="1389" t="s">
        <v>1592</v>
      </c>
      <c r="G1" s="1389" t="s">
        <v>1593</v>
      </c>
      <c r="H1" s="1389" t="s">
        <v>1594</v>
      </c>
      <c r="I1" s="1389" t="s">
        <v>1595</v>
      </c>
      <c r="J1" s="1389" t="s">
        <v>1249</v>
      </c>
      <c r="K1" s="1387" t="s">
        <v>1596</v>
      </c>
    </row>
    <row r="2" spans="1:11" ht="15.75">
      <c r="A2" s="1384" t="s">
        <v>1597</v>
      </c>
      <c r="B2" s="1393"/>
      <c r="C2" s="1393">
        <v>0</v>
      </c>
      <c r="D2" s="1393">
        <v>0</v>
      </c>
      <c r="E2" s="1393">
        <v>0</v>
      </c>
      <c r="F2" s="1393">
        <v>0</v>
      </c>
      <c r="G2" s="1393">
        <v>0</v>
      </c>
      <c r="H2" s="1393">
        <v>0</v>
      </c>
      <c r="I2" s="1393">
        <v>0</v>
      </c>
      <c r="J2" s="1394">
        <v>5442.75</v>
      </c>
      <c r="K2" s="1385"/>
    </row>
    <row r="3" spans="1:11" ht="15.75">
      <c r="A3" s="1380" t="s">
        <v>1598</v>
      </c>
      <c r="B3" s="1393"/>
      <c r="C3" s="1393">
        <v>0</v>
      </c>
      <c r="D3" s="1393"/>
      <c r="E3" s="1393">
        <v>0</v>
      </c>
      <c r="F3" s="1393">
        <v>0</v>
      </c>
      <c r="G3" s="1393"/>
      <c r="H3" s="1393">
        <v>0</v>
      </c>
      <c r="I3" s="1393">
        <v>0</v>
      </c>
      <c r="J3" s="1394">
        <v>3971.47</v>
      </c>
      <c r="K3" s="1381">
        <f>J3-J2</f>
        <v>-1471.2800000000002</v>
      </c>
    </row>
    <row r="4" spans="1:11" ht="15.75">
      <c r="A4" s="1379" t="s">
        <v>1599</v>
      </c>
      <c r="B4" s="1393"/>
      <c r="C4" s="1393">
        <v>0</v>
      </c>
      <c r="D4" s="1393">
        <f>NUBank_Master!F957</f>
        <v>714.49</v>
      </c>
      <c r="E4" s="1393">
        <f>XP_Inv_Visa!F34</f>
        <v>1055.6100000000001</v>
      </c>
      <c r="F4" s="1393">
        <v>0</v>
      </c>
      <c r="G4" s="1393">
        <v>0</v>
      </c>
      <c r="H4" s="1393">
        <f>CrediCard_Master!F424</f>
        <v>1876.1699999999998</v>
      </c>
      <c r="I4" s="1393">
        <v>0</v>
      </c>
      <c r="J4" s="1394">
        <f t="shared" ref="J4:J35" si="0">SUM(B4:I4)</f>
        <v>3646.27</v>
      </c>
      <c r="K4" s="1381">
        <f>J4-J3</f>
        <v>-325.19999999999982</v>
      </c>
    </row>
    <row r="5" spans="1:11" ht="15.75">
      <c r="A5" s="1379" t="s">
        <v>1600</v>
      </c>
      <c r="B5" s="1393"/>
      <c r="C5" s="1393">
        <v>0</v>
      </c>
      <c r="D5" s="1393">
        <f>NUBank_Master!F963</f>
        <v>261.11</v>
      </c>
      <c r="E5" s="1393">
        <f>XP_Inv_Visa!F42</f>
        <v>907.5</v>
      </c>
      <c r="F5" s="1393">
        <v>0</v>
      </c>
      <c r="G5" s="1393">
        <v>0</v>
      </c>
      <c r="H5" s="1393">
        <f>CrediCard_Master!F436</f>
        <v>1659.0099999999998</v>
      </c>
      <c r="I5" s="1393">
        <v>0</v>
      </c>
      <c r="J5" s="1394">
        <f t="shared" si="0"/>
        <v>2827.62</v>
      </c>
      <c r="K5" s="1381">
        <f t="shared" ref="K5:K25" si="1">J5-J4</f>
        <v>-818.65000000000009</v>
      </c>
    </row>
    <row r="6" spans="1:11" ht="15.75">
      <c r="A6" s="1379" t="s">
        <v>1601</v>
      </c>
      <c r="B6" s="1393"/>
      <c r="C6" s="1393">
        <v>0</v>
      </c>
      <c r="D6" s="1393">
        <f>NUBank_Master!F970</f>
        <v>261.11</v>
      </c>
      <c r="E6" s="1393">
        <f>XP_Inv_Visa!F46</f>
        <v>48.6</v>
      </c>
      <c r="F6" s="1393">
        <v>0</v>
      </c>
      <c r="G6" s="1393">
        <v>0</v>
      </c>
      <c r="H6" s="1393">
        <f>CrediCard_Master!F447</f>
        <v>1416.97</v>
      </c>
      <c r="I6" s="1393">
        <v>0</v>
      </c>
      <c r="J6" s="1394">
        <f t="shared" si="0"/>
        <v>1726.68</v>
      </c>
      <c r="K6" s="1381">
        <f t="shared" si="1"/>
        <v>-1100.9399999999998</v>
      </c>
    </row>
    <row r="7" spans="1:11" ht="15.75">
      <c r="A7" s="1379" t="s">
        <v>1602</v>
      </c>
      <c r="B7" s="1393"/>
      <c r="C7" s="1393">
        <v>0</v>
      </c>
      <c r="D7" s="1393">
        <f>NUBank_Master!F976</f>
        <v>126.85</v>
      </c>
      <c r="E7" s="1393">
        <f>XP_Inv_Visa!F53</f>
        <v>99.9</v>
      </c>
      <c r="F7" s="1393">
        <v>0</v>
      </c>
      <c r="G7" s="1393">
        <v>0</v>
      </c>
      <c r="H7" s="1393">
        <f>CrediCard_Master!F459</f>
        <v>1409.69</v>
      </c>
      <c r="I7" s="1393">
        <v>0</v>
      </c>
      <c r="J7" s="1394">
        <f t="shared" si="0"/>
        <v>1636.44</v>
      </c>
      <c r="K7" s="1381">
        <f t="shared" si="1"/>
        <v>-90.240000000000009</v>
      </c>
    </row>
    <row r="8" spans="1:11" ht="15.75">
      <c r="A8" s="1379" t="s">
        <v>1603</v>
      </c>
      <c r="B8" s="1393"/>
      <c r="C8" s="1393">
        <v>0</v>
      </c>
      <c r="D8" s="1393">
        <f>NUBank_Master!F981</f>
        <v>48.849999999999994</v>
      </c>
      <c r="E8" s="1393">
        <f>XP_Inv_Visa!F61</f>
        <v>403.87</v>
      </c>
      <c r="F8" s="1393">
        <v>0</v>
      </c>
      <c r="G8" s="1393">
        <v>0</v>
      </c>
      <c r="H8" s="1393">
        <f>CrediCard_Master!F471</f>
        <v>1125.6600000000001</v>
      </c>
      <c r="I8" s="1393">
        <v>0</v>
      </c>
      <c r="J8" s="1394">
        <f t="shared" si="0"/>
        <v>1578.38</v>
      </c>
      <c r="K8" s="1381">
        <f t="shared" si="1"/>
        <v>-58.059999999999945</v>
      </c>
    </row>
    <row r="9" spans="1:11" ht="15.75">
      <c r="A9" s="1379" t="s">
        <v>1604</v>
      </c>
      <c r="B9" s="1393"/>
      <c r="C9" s="1393">
        <v>0</v>
      </c>
      <c r="D9" s="1393">
        <f>NUBank_Master!F986</f>
        <v>48.849999999999994</v>
      </c>
      <c r="E9" s="1393">
        <f>XP_Inv_Visa!F74</f>
        <v>644.41</v>
      </c>
      <c r="F9" s="1393">
        <v>0</v>
      </c>
      <c r="G9" s="1393">
        <v>0</v>
      </c>
      <c r="H9" s="1393">
        <f>CrediCard_Master!F486</f>
        <v>1524.9799999999998</v>
      </c>
      <c r="I9" s="1393">
        <v>0</v>
      </c>
      <c r="J9" s="1394">
        <f t="shared" si="0"/>
        <v>2218.2399999999998</v>
      </c>
      <c r="K9" s="1381">
        <f t="shared" si="1"/>
        <v>639.85999999999967</v>
      </c>
    </row>
    <row r="10" spans="1:11" ht="15.75">
      <c r="A10" s="1379" t="s">
        <v>1605</v>
      </c>
      <c r="B10" s="1393"/>
      <c r="C10" s="1393">
        <v>0</v>
      </c>
      <c r="D10" s="1393">
        <f>NUBank_Master!F992</f>
        <v>48.849999999999994</v>
      </c>
      <c r="E10" s="1393">
        <f>XP_Inv_Visa!F80</f>
        <v>302.71000000000004</v>
      </c>
      <c r="F10" s="1393">
        <v>0</v>
      </c>
      <c r="G10" s="1393">
        <v>0</v>
      </c>
      <c r="H10" s="1393">
        <f>CrediCard_Master!F499</f>
        <v>1624.49</v>
      </c>
      <c r="I10" s="1393">
        <v>0</v>
      </c>
      <c r="J10" s="1394">
        <f t="shared" si="0"/>
        <v>1976.0500000000002</v>
      </c>
      <c r="K10" s="1381">
        <f t="shared" si="1"/>
        <v>-242.1899999999996</v>
      </c>
    </row>
    <row r="11" spans="1:11" ht="15.75">
      <c r="A11" s="1379" t="s">
        <v>1606</v>
      </c>
      <c r="B11" s="1393"/>
      <c r="C11" s="1393">
        <v>0</v>
      </c>
      <c r="D11" s="1393">
        <f>NUBank_Master!F998</f>
        <v>76.75</v>
      </c>
      <c r="E11" s="1393">
        <f>XP_Inv_Visa!F90</f>
        <v>440.6</v>
      </c>
      <c r="F11" s="1393">
        <v>0</v>
      </c>
      <c r="G11" s="1393">
        <v>0</v>
      </c>
      <c r="H11" s="1393">
        <f>CrediCard_Master!F514</f>
        <v>1966.78</v>
      </c>
      <c r="I11" s="1393">
        <v>0</v>
      </c>
      <c r="J11" s="1394">
        <f t="shared" si="0"/>
        <v>2484.13</v>
      </c>
      <c r="K11" s="1381">
        <f t="shared" si="1"/>
        <v>508.07999999999993</v>
      </c>
    </row>
    <row r="12" spans="1:11" ht="15.75">
      <c r="A12" s="1379" t="s">
        <v>1607</v>
      </c>
      <c r="B12" s="1393"/>
      <c r="C12" s="1393">
        <v>0</v>
      </c>
      <c r="D12" s="1393">
        <f>NUBank_Master!F1005</f>
        <v>76.75</v>
      </c>
      <c r="E12" s="1393">
        <f>XP_Inv_Visa!F96</f>
        <v>271.93</v>
      </c>
      <c r="F12" s="1393">
        <v>0</v>
      </c>
      <c r="G12" s="1393">
        <v>0</v>
      </c>
      <c r="H12" s="1393">
        <f>CrediCard_Master!F530</f>
        <v>1861.32</v>
      </c>
      <c r="I12" s="1393">
        <v>0</v>
      </c>
      <c r="J12" s="1394">
        <f t="shared" si="0"/>
        <v>2210</v>
      </c>
      <c r="K12" s="1381">
        <f t="shared" si="1"/>
        <v>-274.13000000000011</v>
      </c>
    </row>
    <row r="13" spans="1:11" ht="15.75">
      <c r="A13" s="1379" t="s">
        <v>1608</v>
      </c>
      <c r="B13" s="1393"/>
      <c r="C13" s="1393">
        <v>0</v>
      </c>
      <c r="D13" s="1393">
        <f>NUBank_Master!F1012</f>
        <v>196.73000000000002</v>
      </c>
      <c r="E13" s="1393">
        <f>XP_Inv_Visa!F102</f>
        <v>129.88</v>
      </c>
      <c r="F13" s="1393">
        <v>0</v>
      </c>
      <c r="G13" s="1393">
        <v>0</v>
      </c>
      <c r="H13" s="1393">
        <f>CrediCard_Master!F543</f>
        <v>1810.3999999999999</v>
      </c>
      <c r="I13" s="1393">
        <v>0</v>
      </c>
      <c r="J13" s="1394">
        <f t="shared" si="0"/>
        <v>2137.0099999999998</v>
      </c>
      <c r="K13" s="1381">
        <f t="shared" si="1"/>
        <v>-72.990000000000236</v>
      </c>
    </row>
    <row r="14" spans="1:11" ht="15.75">
      <c r="A14" s="1379" t="s">
        <v>1609</v>
      </c>
      <c r="B14" s="1393"/>
      <c r="C14" s="1393">
        <v>0</v>
      </c>
      <c r="D14" s="1393">
        <f>NUBank_Master!F1020</f>
        <v>99.42</v>
      </c>
      <c r="E14" s="1393">
        <f>XP_Inv_Visa!F108</f>
        <v>136.01999999999998</v>
      </c>
      <c r="F14" s="1393">
        <v>0</v>
      </c>
      <c r="G14" s="1393">
        <v>0</v>
      </c>
      <c r="H14" s="1393">
        <f>CrediCard_Master!F559</f>
        <v>1933.48</v>
      </c>
      <c r="I14" s="1393">
        <v>0</v>
      </c>
      <c r="J14" s="1394">
        <f t="shared" si="0"/>
        <v>2168.92</v>
      </c>
      <c r="K14" s="1381">
        <f t="shared" si="1"/>
        <v>31.910000000000309</v>
      </c>
    </row>
    <row r="15" spans="1:11" ht="15.75">
      <c r="A15" s="1379" t="s">
        <v>1610</v>
      </c>
      <c r="B15" s="1393"/>
      <c r="C15" s="1393">
        <v>0</v>
      </c>
      <c r="D15" s="1393">
        <f>NUBank_Master!F1028</f>
        <v>76.75</v>
      </c>
      <c r="E15" s="1393">
        <f>XP_Inv_Visa!F114</f>
        <v>497.60999999999996</v>
      </c>
      <c r="F15" s="1393">
        <v>0</v>
      </c>
      <c r="G15" s="1393">
        <v>0</v>
      </c>
      <c r="H15" s="1393">
        <f>CrediCard_Master!F573</f>
        <v>1017.45</v>
      </c>
      <c r="I15" s="1393">
        <v>0</v>
      </c>
      <c r="J15" s="1394">
        <f t="shared" si="0"/>
        <v>1591.81</v>
      </c>
      <c r="K15" s="1381">
        <f t="shared" si="1"/>
        <v>-577.11000000000013</v>
      </c>
    </row>
    <row r="16" spans="1:11" ht="15.75">
      <c r="A16" s="1380" t="s">
        <v>1611</v>
      </c>
      <c r="B16" s="1393"/>
      <c r="C16" s="1393">
        <v>0</v>
      </c>
      <c r="D16" s="1393">
        <f>NUBank_Master!F1034</f>
        <v>152.68</v>
      </c>
      <c r="E16" s="1393">
        <f>XP_Inv_Visa!F126</f>
        <v>275.23</v>
      </c>
      <c r="F16" s="1393">
        <v>0</v>
      </c>
      <c r="G16" s="1393">
        <v>0</v>
      </c>
      <c r="H16" s="1393">
        <f>CrediCard_Master!F590</f>
        <v>1348</v>
      </c>
      <c r="I16" s="1393">
        <v>0</v>
      </c>
      <c r="J16" s="1394">
        <f t="shared" si="0"/>
        <v>1775.91</v>
      </c>
      <c r="K16" s="1381">
        <f t="shared" si="1"/>
        <v>184.10000000000014</v>
      </c>
    </row>
    <row r="17" spans="1:11" ht="15.75">
      <c r="A17" s="1380" t="s">
        <v>1612</v>
      </c>
      <c r="B17" s="1393"/>
      <c r="C17" s="1393">
        <v>0</v>
      </c>
      <c r="D17" s="1393">
        <f>NUBank_Master!F1040</f>
        <v>76.75</v>
      </c>
      <c r="E17" s="1393">
        <f>XP_Inv_Visa!F136</f>
        <v>376.8</v>
      </c>
      <c r="F17" s="1393">
        <f>MercadoPago_Visa!F7</f>
        <v>0.01</v>
      </c>
      <c r="G17" s="1393">
        <f>MagaLu_Visa_Plat!F11</f>
        <v>90.8</v>
      </c>
      <c r="H17" s="1393">
        <f>CrediCard_Master!F605</f>
        <v>1679.86</v>
      </c>
      <c r="I17" s="1393">
        <v>0</v>
      </c>
      <c r="J17" s="1394">
        <f t="shared" si="0"/>
        <v>2224.2199999999998</v>
      </c>
      <c r="K17" s="1381">
        <f t="shared" si="1"/>
        <v>448.30999999999972</v>
      </c>
    </row>
    <row r="18" spans="1:11" ht="15.75">
      <c r="A18" s="1379" t="s">
        <v>1613</v>
      </c>
      <c r="B18" s="1393"/>
      <c r="C18" s="1393">
        <v>0</v>
      </c>
      <c r="D18" s="1393">
        <f>NUBank_Master!F1047</f>
        <v>391.05</v>
      </c>
      <c r="E18" s="1393">
        <f>XP_Inv_Visa!F145</f>
        <v>646.04</v>
      </c>
      <c r="F18" s="1393">
        <f>MercadoPago_Visa!F18</f>
        <v>400.98999999999995</v>
      </c>
      <c r="G18" s="1393">
        <v>0</v>
      </c>
      <c r="H18" s="1393">
        <f>CrediCard_Master!F616</f>
        <v>1505.7400000000002</v>
      </c>
      <c r="I18" s="1393">
        <v>0</v>
      </c>
      <c r="J18" s="1394">
        <f t="shared" si="0"/>
        <v>2943.82</v>
      </c>
      <c r="K18" s="1381">
        <f t="shared" si="1"/>
        <v>719.60000000000036</v>
      </c>
    </row>
    <row r="19" spans="1:11" ht="15.75">
      <c r="A19" s="1392" t="s">
        <v>1614</v>
      </c>
      <c r="B19" s="1393"/>
      <c r="C19" s="1393">
        <v>0</v>
      </c>
      <c r="D19" s="1393">
        <f>NUBank_Master!F1054</f>
        <v>76.75</v>
      </c>
      <c r="E19" s="1393">
        <f>XP_Inv_Visa!F150</f>
        <v>114.88</v>
      </c>
      <c r="F19" s="1393">
        <v>0</v>
      </c>
      <c r="G19" s="1393">
        <v>0</v>
      </c>
      <c r="H19" s="1393">
        <f>CrediCard_Master!F627</f>
        <v>1455.1200000000001</v>
      </c>
      <c r="I19" s="1393">
        <v>0</v>
      </c>
      <c r="J19" s="1394">
        <f t="shared" si="0"/>
        <v>1646.75</v>
      </c>
      <c r="K19" s="1381">
        <f t="shared" si="1"/>
        <v>-1297.0700000000002</v>
      </c>
    </row>
    <row r="20" spans="1:11" ht="15.75">
      <c r="A20" s="1392" t="s">
        <v>1615</v>
      </c>
      <c r="B20" s="1393"/>
      <c r="C20" s="1393">
        <v>0</v>
      </c>
      <c r="D20" s="1393">
        <f>NUBank_Master!F1063</f>
        <v>197.85</v>
      </c>
      <c r="E20" s="1393">
        <f>XP_Inv_Visa!F155</f>
        <v>114.88</v>
      </c>
      <c r="F20" s="1393">
        <v>0</v>
      </c>
      <c r="G20" s="1393">
        <v>0</v>
      </c>
      <c r="H20" s="1393">
        <f>CrediCard_Master!F640</f>
        <v>1361.9700000000003</v>
      </c>
      <c r="I20" s="1393">
        <v>0</v>
      </c>
      <c r="J20" s="1394">
        <f t="shared" si="0"/>
        <v>1674.7000000000003</v>
      </c>
      <c r="K20" s="1381">
        <f t="shared" si="1"/>
        <v>27.950000000000273</v>
      </c>
    </row>
    <row r="21" spans="1:11" ht="15.75">
      <c r="A21" s="1392" t="s">
        <v>1616</v>
      </c>
      <c r="B21" s="1393"/>
      <c r="C21" s="1393">
        <v>0</v>
      </c>
      <c r="D21" s="1393">
        <f>NUBank_Master!F1076</f>
        <v>262.57</v>
      </c>
      <c r="E21" s="1393">
        <f>XP_Inv_Visa!F162</f>
        <v>114.88</v>
      </c>
      <c r="F21" s="1393">
        <v>0</v>
      </c>
      <c r="G21" s="1393">
        <f>MagaLu_Visa_Plat!F21</f>
        <v>0</v>
      </c>
      <c r="H21" s="1393">
        <f>CrediCard_Master!F657</f>
        <v>1586.5900000000004</v>
      </c>
      <c r="I21" s="1393">
        <v>0</v>
      </c>
      <c r="J21" s="1394">
        <f t="shared" si="0"/>
        <v>1964.0400000000004</v>
      </c>
      <c r="K21" s="1381">
        <f t="shared" si="1"/>
        <v>289.34000000000015</v>
      </c>
    </row>
    <row r="22" spans="1:11" ht="13.9" customHeight="1">
      <c r="A22" s="1392" t="s">
        <v>1617</v>
      </c>
      <c r="B22" s="1393"/>
      <c r="C22" s="1393">
        <v>0</v>
      </c>
      <c r="D22" s="1393">
        <f>NUBank_Master!F1086</f>
        <v>703.21999999999991</v>
      </c>
      <c r="E22" s="1393">
        <f>XP_Inv_Visa!F175</f>
        <v>289.90999999999997</v>
      </c>
      <c r="F22" s="1393">
        <v>0</v>
      </c>
      <c r="G22" s="1393">
        <f>MagaLu_Visa_Plat!F25</f>
        <v>41.14</v>
      </c>
      <c r="H22" s="1393">
        <f>CrediCard_Master!F673</f>
        <v>1899.9400000000003</v>
      </c>
      <c r="I22" s="1393">
        <v>0</v>
      </c>
      <c r="J22" s="1394">
        <f t="shared" si="0"/>
        <v>2934.21</v>
      </c>
      <c r="K22" s="1381">
        <f t="shared" si="1"/>
        <v>970.16999999999962</v>
      </c>
    </row>
    <row r="23" spans="1:11" ht="15.75">
      <c r="A23" s="1392" t="s">
        <v>1618</v>
      </c>
      <c r="B23" s="1393"/>
      <c r="C23" s="1393">
        <v>0</v>
      </c>
      <c r="D23" s="1393">
        <f>NUBank_Master!F1095</f>
        <v>401.97</v>
      </c>
      <c r="E23" s="1393">
        <f>XP_Inv_Visa!F195</f>
        <v>436.65000000000003</v>
      </c>
      <c r="F23" s="1393">
        <v>0</v>
      </c>
      <c r="G23" s="1393">
        <f>MagaLu_Visa_Plat!F31</f>
        <v>56.46</v>
      </c>
      <c r="H23" s="1393">
        <f>CrediCard_Master!F691</f>
        <v>2703.5499999999993</v>
      </c>
      <c r="I23" s="1393">
        <v>0</v>
      </c>
      <c r="J23" s="1394">
        <f t="shared" si="0"/>
        <v>3598.6299999999992</v>
      </c>
      <c r="K23" s="1381">
        <f t="shared" si="1"/>
        <v>664.41999999999916</v>
      </c>
    </row>
    <row r="24" spans="1:11" ht="15.75">
      <c r="A24" s="1392" t="s">
        <v>1619</v>
      </c>
      <c r="B24" s="1393"/>
      <c r="C24" s="1393">
        <v>0</v>
      </c>
      <c r="D24" s="1393">
        <f>NUBank_Master!F1104</f>
        <v>650.2299999999999</v>
      </c>
      <c r="E24" s="1393">
        <f>XP_Inv_Visa!F206</f>
        <v>829.63</v>
      </c>
      <c r="F24" s="1393">
        <v>0</v>
      </c>
      <c r="G24" s="1393">
        <f>MagaLu_Visa_Plat!F42</f>
        <v>0</v>
      </c>
      <c r="H24" s="1393">
        <f>CrediCard_Master!F706</f>
        <v>2336.4299999999998</v>
      </c>
      <c r="I24" s="1393">
        <v>0</v>
      </c>
      <c r="J24" s="1394">
        <f t="shared" si="0"/>
        <v>3816.29</v>
      </c>
      <c r="K24" s="1381">
        <f t="shared" si="1"/>
        <v>217.66000000000076</v>
      </c>
    </row>
    <row r="25" spans="1:11" ht="15.75">
      <c r="A25" s="1392" t="s">
        <v>1620</v>
      </c>
      <c r="B25" s="1393"/>
      <c r="C25" s="1393">
        <f>ItauUniclassVisa!F14</f>
        <v>128.80000000000001</v>
      </c>
      <c r="D25" s="1393">
        <f>NUBank_Master!F1125</f>
        <v>3582.8999999999992</v>
      </c>
      <c r="E25" s="1393">
        <f>XP_Inv_Visa!F211</f>
        <v>201.32999999999998</v>
      </c>
      <c r="F25" s="1393">
        <v>0</v>
      </c>
      <c r="G25" s="1393">
        <v>0</v>
      </c>
      <c r="H25" s="1393">
        <f>CrediCard_Master!F717</f>
        <v>1927.42</v>
      </c>
      <c r="I25" s="1393">
        <v>0</v>
      </c>
      <c r="J25" s="1394">
        <f t="shared" si="0"/>
        <v>5840.4499999999989</v>
      </c>
      <c r="K25" s="1381">
        <f t="shared" si="1"/>
        <v>2024.1599999999989</v>
      </c>
    </row>
    <row r="26" spans="1:11" ht="15.75">
      <c r="A26" s="1392" t="s">
        <v>1621</v>
      </c>
      <c r="B26" s="1393"/>
      <c r="C26" s="1393">
        <f>ItauUniclassVisa!F27</f>
        <v>129.45000000000002</v>
      </c>
      <c r="D26" s="1393">
        <f>NUBank_Master!F1131</f>
        <v>136.85</v>
      </c>
      <c r="E26" s="1393">
        <f>XP_Inv_Visa!F230</f>
        <v>100.27000000000001</v>
      </c>
      <c r="F26" s="1393">
        <v>0</v>
      </c>
      <c r="G26" s="1393">
        <v>0</v>
      </c>
      <c r="H26" s="1393">
        <f>CrediCard_Master!F729</f>
        <v>1914.6499999999999</v>
      </c>
      <c r="I26" s="1393">
        <v>0</v>
      </c>
      <c r="J26" s="1394">
        <f t="shared" si="0"/>
        <v>2281.2199999999998</v>
      </c>
      <c r="K26" s="1381">
        <f t="shared" ref="K26:K36" si="2">J26-J25</f>
        <v>-3559.2299999999991</v>
      </c>
    </row>
    <row r="27" spans="1:11" ht="15.75">
      <c r="A27" s="1392" t="s">
        <v>1622</v>
      </c>
      <c r="B27" s="1393"/>
      <c r="C27" s="1393">
        <f>ItauUniclassVisa!F36</f>
        <v>563.70999999999992</v>
      </c>
      <c r="D27" s="1393">
        <f>NUBank_Master!F1140</f>
        <v>236.75</v>
      </c>
      <c r="E27" s="1393">
        <f>XP_Inv_Visa!F239</f>
        <v>614.36999999999989</v>
      </c>
      <c r="F27" s="1393">
        <v>0</v>
      </c>
      <c r="G27" s="1393">
        <v>0</v>
      </c>
      <c r="H27" s="1393">
        <f>CrediCard_Master!F738</f>
        <v>1280.0999999999999</v>
      </c>
      <c r="I27" s="1393">
        <v>0</v>
      </c>
      <c r="J27" s="1394">
        <f t="shared" si="0"/>
        <v>2694.93</v>
      </c>
      <c r="K27" s="1381">
        <f t="shared" si="2"/>
        <v>413.71000000000004</v>
      </c>
    </row>
    <row r="28" spans="1:11" ht="15.75">
      <c r="A28" s="1392" t="s">
        <v>1623</v>
      </c>
      <c r="B28" s="1393"/>
      <c r="C28" s="1393">
        <f>ItauUniclassVisa!F52</f>
        <v>1279.8399999999999</v>
      </c>
      <c r="D28" s="1393">
        <f>NUBank_Master!F1161</f>
        <v>535.92999999999984</v>
      </c>
      <c r="E28" s="1393">
        <f>XP_Inv_Visa!F249</f>
        <v>417.03000000000003</v>
      </c>
      <c r="F28" s="1393">
        <v>0</v>
      </c>
      <c r="G28" s="1393">
        <v>0</v>
      </c>
      <c r="H28" s="1393">
        <f>CrediCard_Master!F751</f>
        <v>979.47</v>
      </c>
      <c r="I28" s="1393">
        <v>0</v>
      </c>
      <c r="J28" s="1394">
        <f t="shared" si="0"/>
        <v>3212.2699999999995</v>
      </c>
      <c r="K28" s="1381">
        <f t="shared" si="2"/>
        <v>517.33999999999969</v>
      </c>
    </row>
    <row r="29" spans="1:11" ht="15.75">
      <c r="A29" s="1392" t="s">
        <v>1624</v>
      </c>
      <c r="B29" s="1393"/>
      <c r="C29" s="1393">
        <f>ItauUniclassVisa!F56</f>
        <v>0</v>
      </c>
      <c r="D29" s="1393">
        <f>NUBank_Master!F1169</f>
        <v>378.40999999999997</v>
      </c>
      <c r="E29" s="1393">
        <f>XP_Inv_Visa!F263</f>
        <v>368.26</v>
      </c>
      <c r="F29" s="1393"/>
      <c r="G29" s="1393"/>
      <c r="H29" s="1393">
        <f>CrediCard_Master!F760</f>
        <v>1112.06</v>
      </c>
      <c r="I29" s="1393">
        <v>0</v>
      </c>
      <c r="J29" s="1394">
        <f t="shared" si="0"/>
        <v>1858.73</v>
      </c>
      <c r="K29" s="1381">
        <f t="shared" si="2"/>
        <v>-1353.5399999999995</v>
      </c>
    </row>
    <row r="30" spans="1:11" ht="15.75">
      <c r="A30" s="1392" t="s">
        <v>1625</v>
      </c>
      <c r="B30" s="1393"/>
      <c r="C30" s="1393">
        <f>ItauUniclassVisa!F60</f>
        <v>32.5</v>
      </c>
      <c r="D30" s="1393">
        <f>NUBank_Master!F1210</f>
        <v>780.25</v>
      </c>
      <c r="E30" s="1393">
        <f>XP_Inv_Visa!F280</f>
        <v>722.05</v>
      </c>
      <c r="F30" s="1393"/>
      <c r="G30" s="1393"/>
      <c r="H30" s="1393">
        <f>CrediCard_Master!F773</f>
        <v>910.18</v>
      </c>
      <c r="I30" s="1393">
        <v>0</v>
      </c>
      <c r="J30" s="1394">
        <f t="shared" si="0"/>
        <v>2444.98</v>
      </c>
      <c r="K30" s="1381">
        <f t="shared" si="2"/>
        <v>586.25</v>
      </c>
    </row>
    <row r="31" spans="1:11" ht="15.75">
      <c r="A31" s="1392" t="s">
        <v>1626</v>
      </c>
      <c r="B31" s="1393"/>
      <c r="C31" s="1393"/>
      <c r="D31" s="1393">
        <f>NUBank_Master!F1224</f>
        <v>2897.961666666667</v>
      </c>
      <c r="E31" s="1393">
        <f>XP_Inv_Visa!F299</f>
        <v>568.78</v>
      </c>
      <c r="F31" s="1393"/>
      <c r="G31" s="1393"/>
      <c r="H31" s="1393">
        <f>CrediCard_Master!F792</f>
        <v>1001.2899999999997</v>
      </c>
      <c r="I31" s="1393">
        <v>0</v>
      </c>
      <c r="J31" s="1394">
        <f t="shared" si="0"/>
        <v>4468.0316666666668</v>
      </c>
      <c r="K31" s="1381">
        <f t="shared" si="2"/>
        <v>2023.0516666666667</v>
      </c>
    </row>
    <row r="32" spans="1:11" ht="15.75">
      <c r="A32" s="1392" t="s">
        <v>1627</v>
      </c>
      <c r="B32" s="1393"/>
      <c r="C32" s="1393"/>
      <c r="D32" s="1393">
        <f>NUBank_Master!F1246</f>
        <v>1326.8516666666667</v>
      </c>
      <c r="E32" s="1393">
        <f>XP_Inv_Visa!F316</f>
        <v>1667.76</v>
      </c>
      <c r="F32" s="1393"/>
      <c r="G32" s="1393"/>
      <c r="H32" s="1393">
        <f>CrediCard_Master!F810</f>
        <v>1243.1100000000001</v>
      </c>
      <c r="I32" s="1393">
        <v>0</v>
      </c>
      <c r="J32" s="1394">
        <f t="shared" si="0"/>
        <v>4237.7216666666664</v>
      </c>
      <c r="K32" s="1381">
        <f t="shared" si="2"/>
        <v>-230.3100000000004</v>
      </c>
    </row>
    <row r="33" spans="1:11" ht="15.75">
      <c r="A33" s="1444" t="s">
        <v>1628</v>
      </c>
      <c r="B33" s="1393">
        <f>Amazon_Master!F17</f>
        <v>230.85000000000002</v>
      </c>
      <c r="C33" s="1393">
        <f>ItauUniclassVisa!F68</f>
        <v>150</v>
      </c>
      <c r="D33" s="1393">
        <f>NUBank_Master!F1268</f>
        <v>1590.0516666666667</v>
      </c>
      <c r="E33" s="1393">
        <f>XP_Inv_Visa!F351</f>
        <v>1000.75</v>
      </c>
      <c r="F33" s="1393">
        <f>MercadoPago_Visa!F18</f>
        <v>400.98999999999995</v>
      </c>
      <c r="G33" s="1393"/>
      <c r="H33" s="1393">
        <f>CrediCard_Master!F827</f>
        <v>1341.4700000000005</v>
      </c>
      <c r="I33" s="1393">
        <v>0</v>
      </c>
      <c r="J33" s="1394">
        <f t="shared" si="0"/>
        <v>4714.1116666666667</v>
      </c>
      <c r="K33" s="1381">
        <f t="shared" si="2"/>
        <v>476.39000000000033</v>
      </c>
    </row>
    <row r="34" spans="1:11" ht="15.75">
      <c r="A34" s="1444" t="s">
        <v>1629</v>
      </c>
      <c r="B34" s="1393">
        <f>Amazon_Master!F53</f>
        <v>0</v>
      </c>
      <c r="C34" s="1393">
        <f>ItauUniclassVisa!F73</f>
        <v>50</v>
      </c>
      <c r="D34" s="1393">
        <f>NUBank_Master!F1290</f>
        <v>2215.1816666666668</v>
      </c>
      <c r="E34" s="1393">
        <f>XP_Inv_Visa!F385</f>
        <v>3688.665</v>
      </c>
      <c r="F34" s="1393">
        <f>MercadoPago_Visa!F23</f>
        <v>92</v>
      </c>
      <c r="G34" s="1393"/>
      <c r="H34" s="1393">
        <f>CrediCard_Master!F840</f>
        <v>1761.5200000000002</v>
      </c>
      <c r="I34" s="1393">
        <v>0</v>
      </c>
      <c r="J34" s="1394">
        <f t="shared" si="0"/>
        <v>7807.3666666666668</v>
      </c>
      <c r="K34" s="1381">
        <f t="shared" si="2"/>
        <v>3093.2550000000001</v>
      </c>
    </row>
    <row r="35" spans="1:11" ht="15.75">
      <c r="A35" s="1444" t="s">
        <v>1630</v>
      </c>
      <c r="B35" s="1393">
        <f>Amazon_Master!F97</f>
        <v>3849.130000000001</v>
      </c>
      <c r="C35" s="1393">
        <f>ItauUniclassVisa!F80</f>
        <v>150</v>
      </c>
      <c r="D35" s="1393">
        <f>NUBank_Master!F1308</f>
        <v>1796.6483333333338</v>
      </c>
      <c r="E35" s="1393">
        <f>XP_Inv_Visa!F425</f>
        <v>2477.2699999999995</v>
      </c>
      <c r="F35" s="1393">
        <f>MercadoPago_Visa!F34</f>
        <v>260.77</v>
      </c>
      <c r="G35" s="1393"/>
      <c r="H35" s="1393">
        <f>CrediCard_Master!F854</f>
        <v>1249.1400000000001</v>
      </c>
      <c r="I35" s="1393">
        <v>0</v>
      </c>
      <c r="J35" s="1394">
        <f t="shared" si="0"/>
        <v>9782.9583333333339</v>
      </c>
      <c r="K35" s="1381">
        <f t="shared" si="2"/>
        <v>1975.5916666666672</v>
      </c>
    </row>
    <row r="36" spans="1:11" ht="15.75">
      <c r="A36" s="1444" t="s">
        <v>1631</v>
      </c>
      <c r="B36" s="1393">
        <f>Amazon_Master!F130</f>
        <v>557.43999999999994</v>
      </c>
      <c r="C36" s="1393">
        <f>ItauUniclassVisa!F87</f>
        <v>50</v>
      </c>
      <c r="D36" s="1393">
        <f>NUBank_Master!F1323</f>
        <v>1654.3833333333332</v>
      </c>
      <c r="E36" s="1393">
        <f>XP_Inv_Visa!F457</f>
        <v>3006.8700000000003</v>
      </c>
      <c r="F36" s="1393">
        <f>MercadoPago_Visa!F39</f>
        <v>178.2</v>
      </c>
      <c r="G36" s="1393"/>
      <c r="H36" s="1393">
        <f>CrediCard_Master!F863</f>
        <v>1213.8599999999999</v>
      </c>
      <c r="I36" s="1393">
        <v>0</v>
      </c>
      <c r="J36" s="1394">
        <f t="shared" ref="J36:J67" si="3">SUM(B36:I36)</f>
        <v>6660.7533333333331</v>
      </c>
      <c r="K36" s="1381">
        <f t="shared" si="2"/>
        <v>-3122.2050000000008</v>
      </c>
    </row>
    <row r="37" spans="1:11" ht="15.75">
      <c r="A37" s="1444" t="s">
        <v>1632</v>
      </c>
      <c r="B37" s="1393">
        <f>Amazon_Master!F141</f>
        <v>1565.3400000000004</v>
      </c>
      <c r="C37" s="1393">
        <f>ItauUniclassVisa!F94</f>
        <v>300</v>
      </c>
      <c r="D37" s="1393">
        <f>NUBank_Master!F1336</f>
        <v>1511.05</v>
      </c>
      <c r="E37" s="1393">
        <f>XP_Inv_Visa!F466</f>
        <v>2393.08</v>
      </c>
      <c r="F37" s="1393">
        <f>MercadoPago_Visa!F45</f>
        <v>90.050000000000011</v>
      </c>
      <c r="G37" s="1393"/>
      <c r="H37" s="1393">
        <f>CrediCard_Master!F872</f>
        <v>961.31</v>
      </c>
      <c r="I37" s="1393">
        <v>0</v>
      </c>
      <c r="J37" s="1394">
        <f t="shared" si="3"/>
        <v>6820.83</v>
      </c>
      <c r="K37" s="1381">
        <f t="shared" ref="K37:K46" si="4">J37-J36</f>
        <v>160.07666666666682</v>
      </c>
    </row>
    <row r="38" spans="1:11" ht="15.75">
      <c r="A38" s="1444" t="s">
        <v>1633</v>
      </c>
      <c r="B38" s="1393">
        <f>Amazon_Master!F167</f>
        <v>413.69999999999993</v>
      </c>
      <c r="C38" s="1393">
        <f>ItauUniclassVisa!F98</f>
        <v>0</v>
      </c>
      <c r="D38" s="1393">
        <f>NUBank_Master!F1347</f>
        <v>1418.4983333333332</v>
      </c>
      <c r="E38" s="1393">
        <f>XP_Inv_Visa!F483</f>
        <v>522.52</v>
      </c>
      <c r="F38" s="1393">
        <f>MercadoPago_Visa!F49</f>
        <v>0</v>
      </c>
      <c r="G38" s="1393"/>
      <c r="H38" s="1393">
        <f>CrediCard_Master!F879</f>
        <v>1327.6000000000001</v>
      </c>
      <c r="I38" s="1393">
        <v>0</v>
      </c>
      <c r="J38" s="1394">
        <f t="shared" si="3"/>
        <v>3682.3183333333336</v>
      </c>
      <c r="K38" s="1381">
        <f t="shared" si="4"/>
        <v>-3138.5116666666663</v>
      </c>
    </row>
    <row r="39" spans="1:11" ht="15.75">
      <c r="A39" s="1444" t="s">
        <v>1634</v>
      </c>
      <c r="B39" s="1393">
        <f>Amazon_Master!F185</f>
        <v>1084.21</v>
      </c>
      <c r="C39" s="1393">
        <f>ItauUniclassVisa!F103</f>
        <v>50</v>
      </c>
      <c r="D39" s="1393">
        <f>NUBank_Master!F1362</f>
        <v>1586.6133333333337</v>
      </c>
      <c r="E39" s="1393">
        <f>XP_Inv_Visa!F524</f>
        <v>2322.5800000000004</v>
      </c>
      <c r="F39" s="1393">
        <f>MercadoPago_Visa!F55</f>
        <v>57.040000000000006</v>
      </c>
      <c r="G39" s="1393"/>
      <c r="H39" s="1393">
        <f>CrediCard_Master!F887</f>
        <v>1327.6000000000001</v>
      </c>
      <c r="I39" s="1393">
        <v>0</v>
      </c>
      <c r="J39" s="1394">
        <f t="shared" si="3"/>
        <v>6428.043333333334</v>
      </c>
      <c r="K39" s="1381">
        <f t="shared" si="4"/>
        <v>2745.7250000000004</v>
      </c>
    </row>
    <row r="40" spans="1:11" ht="15.75">
      <c r="A40" s="1444" t="s">
        <v>1635</v>
      </c>
      <c r="B40" s="1393">
        <f>Amazon_Master!F199</f>
        <v>1059.8499999999999</v>
      </c>
      <c r="C40" s="1393">
        <f>ItauUniclassVisa!F110</f>
        <v>150</v>
      </c>
      <c r="D40" s="1393">
        <f>NUBank_Master!F1373</f>
        <v>1258.9433333333334</v>
      </c>
      <c r="E40" s="1393">
        <f>XP_Inv_Visa!F563</f>
        <v>4226.9799999999996</v>
      </c>
      <c r="F40" s="1393">
        <f>MercadoPago_Visa!F60</f>
        <v>144.9</v>
      </c>
      <c r="G40" s="1393"/>
      <c r="H40" s="1393">
        <f>CrediCard_Master!F887</f>
        <v>1327.6000000000001</v>
      </c>
      <c r="I40" s="1393">
        <v>0</v>
      </c>
      <c r="J40" s="1394">
        <f t="shared" si="3"/>
        <v>8168.2733333333326</v>
      </c>
      <c r="K40" s="1381">
        <f t="shared" si="4"/>
        <v>1740.2299999999987</v>
      </c>
    </row>
    <row r="41" spans="1:11" ht="15.75">
      <c r="A41" s="1444" t="s">
        <v>1636</v>
      </c>
      <c r="B41" s="1393">
        <f>Amazon_Master!F217</f>
        <v>1324.8533333333332</v>
      </c>
      <c r="C41" s="1393">
        <f>ItauUniclassVisa!F116</f>
        <v>0</v>
      </c>
      <c r="D41" s="1393">
        <f>NUBank_Master!F1383</f>
        <v>1214.8033333333335</v>
      </c>
      <c r="E41" s="1393">
        <f>XP_Inv_Visa!F601</f>
        <v>2919.1499999999996</v>
      </c>
      <c r="F41" s="1393">
        <f>MercadoPago_Visa!F65</f>
        <v>0</v>
      </c>
      <c r="G41" s="1393"/>
      <c r="H41" s="1393">
        <f>CrediCard_Master!F896</f>
        <v>1153.5500000000002</v>
      </c>
      <c r="I41" s="1393">
        <v>0</v>
      </c>
      <c r="J41" s="1394">
        <f t="shared" si="3"/>
        <v>6612.3566666666666</v>
      </c>
      <c r="K41" s="1381">
        <f t="shared" si="4"/>
        <v>-1555.9166666666661</v>
      </c>
    </row>
    <row r="42" spans="1:11" ht="15.75">
      <c r="A42" s="1444" t="s">
        <v>1637</v>
      </c>
      <c r="B42" s="1393">
        <f>Amazon_Master!F230</f>
        <v>866.22333333333336</v>
      </c>
      <c r="C42" s="1393">
        <f>ItauUniclassVisa!F122</f>
        <v>100</v>
      </c>
      <c r="D42" s="1393">
        <f>NUBank_Master!F1396</f>
        <v>1818.9383333333335</v>
      </c>
      <c r="E42" s="1393">
        <f>XP_Inv_Visa!F646</f>
        <v>2701.9999999999995</v>
      </c>
      <c r="F42" s="1393">
        <f>MercadoPago_Visa!F69</f>
        <v>0</v>
      </c>
      <c r="G42" s="1393"/>
      <c r="H42" s="1393">
        <f>CrediCard_Master!F907</f>
        <v>957.0100000000001</v>
      </c>
      <c r="I42" s="1393">
        <v>0</v>
      </c>
      <c r="J42" s="1394">
        <f t="shared" si="3"/>
        <v>6444.1716666666671</v>
      </c>
      <c r="K42" s="1381">
        <f t="shared" si="4"/>
        <v>-168.18499999999949</v>
      </c>
    </row>
    <row r="43" spans="1:11" ht="15.75">
      <c r="A43" s="1444" t="s">
        <v>1638</v>
      </c>
      <c r="B43" s="1393">
        <f>Amazon_Master!F272</f>
        <v>1310.5633333333337</v>
      </c>
      <c r="C43" s="1393">
        <f>ItauUniclassVisa!F122</f>
        <v>100</v>
      </c>
      <c r="D43" s="1393">
        <f>NUBank_Master!F1412</f>
        <v>2677.4483333333333</v>
      </c>
      <c r="E43" s="1393">
        <f>XP_Inv_Visa!F704</f>
        <v>5277.5300000000007</v>
      </c>
      <c r="F43" s="1393">
        <v>0</v>
      </c>
      <c r="G43" s="1393"/>
      <c r="H43" s="1393">
        <f>CrediCard_Master!F930</f>
        <v>1452.0100000000002</v>
      </c>
      <c r="I43" s="1393">
        <v>0</v>
      </c>
      <c r="J43" s="1394">
        <f t="shared" si="3"/>
        <v>10817.551666666668</v>
      </c>
      <c r="K43" s="1381">
        <f t="shared" si="4"/>
        <v>4373.380000000001</v>
      </c>
    </row>
    <row r="44" spans="1:11" ht="15.75">
      <c r="A44" s="1444" t="s">
        <v>1639</v>
      </c>
      <c r="B44" s="1393">
        <f>Amazon_Master!F319</f>
        <v>2712.6433333333348</v>
      </c>
      <c r="C44" s="1393">
        <f>ItauUniclassVisa!F131</f>
        <v>50</v>
      </c>
      <c r="D44" s="1393">
        <f>NUBank_Master!F1423</f>
        <v>2146.0816666666665</v>
      </c>
      <c r="E44" s="1393">
        <f>XP_Inv_Visa!F736</f>
        <v>3471.4100000000008</v>
      </c>
      <c r="F44" s="1393">
        <f>MercadoPago_Visa!F77</f>
        <v>354.12</v>
      </c>
      <c r="G44" s="1393"/>
      <c r="H44" s="1393">
        <f>CrediCard_Master!F945</f>
        <v>2436.1999999999998</v>
      </c>
      <c r="I44" s="1393">
        <v>0</v>
      </c>
      <c r="J44" s="1394">
        <f t="shared" si="3"/>
        <v>11170.455000000002</v>
      </c>
      <c r="K44" s="1381">
        <f t="shared" si="4"/>
        <v>352.90333333333365</v>
      </c>
    </row>
    <row r="45" spans="1:11" ht="15.75">
      <c r="A45" s="1444" t="s">
        <v>1640</v>
      </c>
      <c r="B45" s="1393">
        <f>Amazon_Master!F371</f>
        <v>2098.1233333333339</v>
      </c>
      <c r="C45" s="1393">
        <f>ItauUniclassVisa!F135</f>
        <v>0</v>
      </c>
      <c r="D45" s="1393">
        <f>NUBank_Master!F1432</f>
        <v>1420.8516666666667</v>
      </c>
      <c r="E45" s="1393">
        <f>XP_Inv_Visa!F789</f>
        <v>3338.51</v>
      </c>
      <c r="F45" s="1393">
        <f>MercadoPago_Visa!F81</f>
        <v>0</v>
      </c>
      <c r="G45" s="1393"/>
      <c r="H45" s="1393">
        <f>CrediCard_Master!F958</f>
        <v>2441.4699999999998</v>
      </c>
      <c r="I45" s="1393">
        <v>0</v>
      </c>
      <c r="J45" s="1394">
        <f t="shared" si="3"/>
        <v>9298.9549999999999</v>
      </c>
      <c r="K45" s="1381">
        <f t="shared" si="4"/>
        <v>-1871.5000000000018</v>
      </c>
    </row>
    <row r="46" spans="1:11" ht="15.75">
      <c r="A46" s="1444" t="s">
        <v>1641</v>
      </c>
      <c r="B46" s="1393">
        <f>Amazon_Master!F421</f>
        <v>2562.0700000000006</v>
      </c>
      <c r="C46" s="1393">
        <f>ItauUniclassVisa!F139</f>
        <v>0</v>
      </c>
      <c r="D46" s="1393">
        <f>NUBank_Master!F1440</f>
        <v>1277.5216666666668</v>
      </c>
      <c r="E46" s="1393">
        <f>XP_Inv_Visa!F857</f>
        <v>3449.0900000000006</v>
      </c>
      <c r="F46" s="1393">
        <f>MercadoPago_Visa!F89</f>
        <v>144</v>
      </c>
      <c r="G46" s="1393"/>
      <c r="H46" s="1393">
        <f>CrediCard_Master!F967</f>
        <v>1948.53</v>
      </c>
      <c r="I46" s="1393">
        <v>0</v>
      </c>
      <c r="J46" s="1394">
        <f t="shared" si="3"/>
        <v>9381.211666666668</v>
      </c>
      <c r="K46" s="1381">
        <f t="shared" si="4"/>
        <v>82.256666666668025</v>
      </c>
    </row>
    <row r="47" spans="1:11" ht="15.75">
      <c r="A47" s="1444" t="s">
        <v>1642</v>
      </c>
      <c r="B47" s="1393">
        <f>Amazon_Master!F458</f>
        <v>1636.81</v>
      </c>
      <c r="C47" s="1393">
        <f>ItauUniclassVisa!F146</f>
        <v>100</v>
      </c>
      <c r="D47" s="1393">
        <f>NUBank_Master!F1445</f>
        <v>604.12833333333333</v>
      </c>
      <c r="E47" s="1393">
        <f>XP_Inv_Visa!F933</f>
        <v>6540.4999999999991</v>
      </c>
      <c r="F47" s="1393">
        <f>MercadoPago_Visa!F95</f>
        <v>134.30000000000001</v>
      </c>
      <c r="G47" s="1393"/>
      <c r="H47" s="1393">
        <f>CrediCard_Master!F976</f>
        <v>1919.55</v>
      </c>
      <c r="I47" s="1393">
        <v>0</v>
      </c>
      <c r="J47" s="1394">
        <f t="shared" si="3"/>
        <v>10935.28833333333</v>
      </c>
      <c r="K47" s="1381">
        <f t="shared" ref="K47:K53" si="5">J47-J46</f>
        <v>1554.0766666666623</v>
      </c>
    </row>
    <row r="48" spans="1:11" ht="15.75">
      <c r="A48" s="1444" t="s">
        <v>1643</v>
      </c>
      <c r="B48" s="1393">
        <f>Amazon_Master!F472</f>
        <v>2400.1600000000008</v>
      </c>
      <c r="C48" s="1393">
        <f>ItauUniclassVisa!F152</f>
        <v>100</v>
      </c>
      <c r="D48" s="1393">
        <f>NUBank_Master!F1450</f>
        <v>604.12833333333333</v>
      </c>
      <c r="E48" s="1393">
        <f>XP_Inv_Visa!F967</f>
        <v>6784.6249999999973</v>
      </c>
      <c r="F48" s="1393">
        <f>MercadoPago_Visa!F103</f>
        <v>27.900000000000006</v>
      </c>
      <c r="G48" s="1393"/>
      <c r="H48" s="1393">
        <f>CrediCard_Master!F983</f>
        <v>588.03</v>
      </c>
      <c r="I48" s="1393">
        <v>0</v>
      </c>
      <c r="J48" s="1394">
        <f t="shared" si="3"/>
        <v>10504.843333333331</v>
      </c>
      <c r="K48" s="1381">
        <f t="shared" si="5"/>
        <v>-430.44499999999971</v>
      </c>
    </row>
    <row r="49" spans="1:11" ht="15.75">
      <c r="A49" s="1444" t="s">
        <v>1644</v>
      </c>
      <c r="B49" s="1393">
        <f>Amazon_Master!F513</f>
        <v>707.77999999999986</v>
      </c>
      <c r="C49" s="1393">
        <f>ItauUniclassVisa!F156</f>
        <v>50</v>
      </c>
      <c r="D49" s="1393">
        <f>NUBank_Master!F1455</f>
        <v>604.12833333333333</v>
      </c>
      <c r="E49" s="1393">
        <f>XP_Inv_Visa!F1024</f>
        <v>3689.2399999999993</v>
      </c>
      <c r="F49" s="1393">
        <f>MercadoPago_Visa!F108</f>
        <v>83.69</v>
      </c>
      <c r="G49" s="1393"/>
      <c r="H49" s="1393">
        <f>CrediCard_Master!F989</f>
        <v>312.24</v>
      </c>
      <c r="I49" s="1393">
        <v>0</v>
      </c>
      <c r="J49" s="1394">
        <f t="shared" si="3"/>
        <v>5447.078333333332</v>
      </c>
      <c r="K49" s="1381">
        <f t="shared" si="5"/>
        <v>-5057.7649999999985</v>
      </c>
    </row>
    <row r="50" spans="1:11" ht="15.75">
      <c r="A50" s="1444" t="s">
        <v>1645</v>
      </c>
      <c r="B50" s="1393">
        <f>Amazon_Master!F549</f>
        <v>3090.5600000000004</v>
      </c>
      <c r="C50" s="1393">
        <f>ItauUniclassVisa!F164</f>
        <v>200</v>
      </c>
      <c r="D50" s="1393">
        <f>NUBank_Master!F1460</f>
        <v>604.12833333333333</v>
      </c>
      <c r="E50" s="1393">
        <f>XP_Inv_Visa!F1057</f>
        <v>2877.31</v>
      </c>
      <c r="F50" s="1393">
        <f>MercadoPago_Visa!F113</f>
        <v>27.9</v>
      </c>
      <c r="G50" s="1393"/>
      <c r="H50" s="1393">
        <f>CrediCard_Master!F993</f>
        <v>0</v>
      </c>
      <c r="I50" s="1393">
        <v>0</v>
      </c>
      <c r="J50" s="1394">
        <f t="shared" si="3"/>
        <v>6799.8983333333326</v>
      </c>
      <c r="K50" s="1381">
        <f t="shared" si="5"/>
        <v>1352.8200000000006</v>
      </c>
    </row>
    <row r="51" spans="1:11" ht="15.75">
      <c r="A51" s="1444" t="s">
        <v>1646</v>
      </c>
      <c r="B51" s="1393">
        <f>Amazon_Master!F570</f>
        <v>875.4799999999999</v>
      </c>
      <c r="C51" s="1393">
        <f>ItauUniclassVisa!F168</f>
        <v>0</v>
      </c>
      <c r="D51" s="1393">
        <f>NUBank_Master!F1465</f>
        <v>604.12833333333333</v>
      </c>
      <c r="E51" s="1393">
        <f>XP_Inv_Visa!F1099</f>
        <v>2599.58</v>
      </c>
      <c r="F51" s="1393">
        <f>MercadoPago_Visa!F118</f>
        <v>27.9</v>
      </c>
      <c r="G51" s="1393"/>
      <c r="H51" s="1393"/>
      <c r="I51" s="1393">
        <v>0</v>
      </c>
      <c r="J51" s="1394">
        <f t="shared" si="3"/>
        <v>4107.0883333333331</v>
      </c>
      <c r="K51" s="1381">
        <f t="shared" si="5"/>
        <v>-2692.8099999999995</v>
      </c>
    </row>
    <row r="52" spans="1:11" ht="15.75">
      <c r="A52" s="1444" t="s">
        <v>1647</v>
      </c>
      <c r="B52" s="1393">
        <f>Amazon_Master!F616</f>
        <v>1412.96</v>
      </c>
      <c r="C52" s="1393">
        <f>ItauUniclassVisa!F173</f>
        <v>0</v>
      </c>
      <c r="D52" s="1393">
        <f>NUBank_Master!F1472</f>
        <v>1608.63</v>
      </c>
      <c r="E52" s="1393">
        <f>XP_Inv_Visa!F1157</f>
        <v>3755.14</v>
      </c>
      <c r="F52" s="1393">
        <f>MercadoPago_Visa!F124</f>
        <v>200.9</v>
      </c>
      <c r="G52" s="1393"/>
      <c r="H52" s="1393"/>
      <c r="I52" s="1393">
        <v>0</v>
      </c>
      <c r="J52" s="1394">
        <f t="shared" si="3"/>
        <v>6977.6299999999992</v>
      </c>
      <c r="K52" s="1381">
        <f t="shared" si="5"/>
        <v>2870.5416666666661</v>
      </c>
    </row>
    <row r="53" spans="1:11" ht="15.75">
      <c r="A53" s="1444" t="s">
        <v>1648</v>
      </c>
      <c r="B53" s="1393">
        <f>Amazon_Master!F646</f>
        <v>2481.0100000000002</v>
      </c>
      <c r="C53" s="1393">
        <f>ItauUniclassVisa!F178</f>
        <v>50</v>
      </c>
      <c r="D53" s="1393">
        <f>NUBank_Master!F1480</f>
        <v>1796.55</v>
      </c>
      <c r="E53" s="1393">
        <f>XP_Inv_Visa!F1231</f>
        <v>6117.83</v>
      </c>
      <c r="F53" s="1393">
        <f>MercadoPago_Visa!F133</f>
        <v>182.32</v>
      </c>
      <c r="G53" s="1393"/>
      <c r="H53" s="1393"/>
      <c r="I53" s="1393">
        <v>0</v>
      </c>
      <c r="J53" s="1394">
        <f t="shared" si="3"/>
        <v>10627.71</v>
      </c>
      <c r="K53" s="1381">
        <f t="shared" si="5"/>
        <v>3650.08</v>
      </c>
    </row>
    <row r="54" spans="1:11" ht="15.75">
      <c r="A54" s="1444" t="s">
        <v>1649</v>
      </c>
      <c r="B54" s="1393">
        <f>Amazon_Master!F651</f>
        <v>1677.6900000000005</v>
      </c>
      <c r="C54" s="1393">
        <f>ItauUniclassVisa!F188</f>
        <v>300</v>
      </c>
      <c r="D54" s="1393">
        <f>NUBank_Master!F1487</f>
        <v>1192.4299999999998</v>
      </c>
      <c r="E54" s="1393">
        <f>XP_Inv_Visa!F1323</f>
        <v>5981.3620000000001</v>
      </c>
      <c r="F54" s="1393">
        <f>MercadoPago_Visa!F138</f>
        <v>67.8</v>
      </c>
      <c r="G54" s="1393"/>
      <c r="H54" s="1393"/>
      <c r="I54" s="1393">
        <v>0</v>
      </c>
      <c r="J54" s="1394">
        <f t="shared" si="3"/>
        <v>9219.2819999999992</v>
      </c>
      <c r="K54" s="1381">
        <f t="shared" ref="K54:K67" si="6">J54-J53</f>
        <v>-1408.4279999999999</v>
      </c>
    </row>
    <row r="55" spans="1:11" ht="15.75">
      <c r="A55" s="1444" t="s">
        <v>1650</v>
      </c>
      <c r="B55" s="1393">
        <f>Amazon_Master!F659</f>
        <v>431.39</v>
      </c>
      <c r="C55" s="1393">
        <f>ItauUniclassVisa!F192</f>
        <v>0</v>
      </c>
      <c r="D55" s="1393">
        <f>NUBank_Master!F1494</f>
        <v>1192.4299999999998</v>
      </c>
      <c r="E55" s="1393">
        <f>XP_Inv_Visa!F1435</f>
        <v>7189.7219999999979</v>
      </c>
      <c r="F55" s="1393">
        <f>MercadoPago_Visa!F142</f>
        <v>0</v>
      </c>
      <c r="G55" s="1393"/>
      <c r="H55" s="1393"/>
      <c r="I55" s="1393">
        <v>0</v>
      </c>
      <c r="J55" s="1394">
        <f t="shared" si="3"/>
        <v>8813.5419999999976</v>
      </c>
      <c r="K55" s="1381">
        <f t="shared" si="6"/>
        <v>-405.7400000000016</v>
      </c>
    </row>
    <row r="56" spans="1:11" ht="15.75">
      <c r="A56" s="1444" t="s">
        <v>1651</v>
      </c>
      <c r="B56" s="1393">
        <f>Amazon_Master!F701</f>
        <v>2532.3999999999996</v>
      </c>
      <c r="C56" s="1393">
        <f>ItauUniclassVisa!F243</f>
        <v>1226.7699999999998</v>
      </c>
      <c r="D56" s="1393">
        <f>NUBank_Master!F1501</f>
        <v>1192.4299999999998</v>
      </c>
      <c r="E56" s="1393">
        <f>XP_Inv_Visa!F1447</f>
        <v>4423.942</v>
      </c>
      <c r="F56" s="1393">
        <f>MercadoPago_Visa!F146</f>
        <v>0</v>
      </c>
      <c r="G56" s="1393"/>
      <c r="H56" s="1393"/>
      <c r="I56" s="1393">
        <v>0</v>
      </c>
      <c r="J56" s="1394">
        <f t="shared" si="3"/>
        <v>9375.5419999999976</v>
      </c>
      <c r="K56" s="1381">
        <f t="shared" si="6"/>
        <v>562</v>
      </c>
    </row>
    <row r="57" spans="1:11" ht="15.75">
      <c r="A57" s="1444" t="s">
        <v>1652</v>
      </c>
      <c r="B57" s="1393">
        <f>Amazon_Master!F721</f>
        <v>994.86999999999989</v>
      </c>
      <c r="C57" s="1393">
        <f>ItauUniclassVisa!F325</f>
        <v>6116.8899999999985</v>
      </c>
      <c r="D57" s="1393">
        <f>NUBank_Master!F1509</f>
        <v>1630.4299999999998</v>
      </c>
      <c r="E57" s="1393">
        <f>XP_Inv_Visa!F1453</f>
        <v>667.96199999999999</v>
      </c>
      <c r="F57" s="1393">
        <f>MercadoPago_Visa!F150</f>
        <v>0</v>
      </c>
      <c r="G57" s="1393"/>
      <c r="H57" s="1393"/>
      <c r="I57" s="1393">
        <v>0</v>
      </c>
      <c r="J57" s="1394">
        <f t="shared" si="3"/>
        <v>9410.1519999999982</v>
      </c>
      <c r="K57" s="1381">
        <f t="shared" si="6"/>
        <v>34.610000000000582</v>
      </c>
    </row>
    <row r="58" spans="1:11" ht="15.75">
      <c r="A58" s="1444" t="s">
        <v>1653</v>
      </c>
      <c r="B58" s="1393">
        <f>Amazon_Master!F743</f>
        <v>1201.2433333333333</v>
      </c>
      <c r="C58" s="1393">
        <f>ItauUniclassVisa!F405</f>
        <v>4769.7816666666649</v>
      </c>
      <c r="D58" s="1393">
        <f>NUBank_Master!F1517</f>
        <v>1414.9099999999999</v>
      </c>
      <c r="E58" s="1393">
        <f>XP_Inv_Visa!F1459</f>
        <v>559.4</v>
      </c>
      <c r="F58" s="1393">
        <f>MercadoPago_Visa!F154</f>
        <v>0</v>
      </c>
      <c r="G58" s="1393"/>
      <c r="H58" s="1393"/>
      <c r="I58" s="1393">
        <v>0</v>
      </c>
      <c r="J58" s="1394">
        <f t="shared" si="3"/>
        <v>7945.3349999999973</v>
      </c>
      <c r="K58" s="1381">
        <f t="shared" si="6"/>
        <v>-1464.8170000000009</v>
      </c>
    </row>
    <row r="59" spans="1:11" ht="15.75">
      <c r="A59" s="1444" t="s">
        <v>1654</v>
      </c>
      <c r="B59" s="1393">
        <f>Amazon_Master!F769</f>
        <v>1564.323333333333</v>
      </c>
      <c r="C59" s="1393">
        <f>ItauUniclassVisa!F495</f>
        <v>5248.7316666666629</v>
      </c>
      <c r="D59" s="1393">
        <f>NUBank_Master!F1526</f>
        <v>1930.67</v>
      </c>
      <c r="E59" s="1393">
        <f>XP_Inv_Visa!F1464</f>
        <v>246.9</v>
      </c>
      <c r="F59" s="1393">
        <f>MercadoPago_Visa!F158</f>
        <v>0</v>
      </c>
      <c r="G59" s="1393"/>
      <c r="H59" s="1393"/>
      <c r="I59" s="1393">
        <v>0</v>
      </c>
      <c r="J59" s="1394">
        <f t="shared" si="3"/>
        <v>8990.6249999999945</v>
      </c>
      <c r="K59" s="1381">
        <f t="shared" si="6"/>
        <v>1045.2899999999972</v>
      </c>
    </row>
    <row r="60" spans="1:11" ht="15.75">
      <c r="A60" s="1444" t="s">
        <v>1655</v>
      </c>
      <c r="B60" s="1393">
        <f>Amazon_Master!F790</f>
        <v>1521.74</v>
      </c>
      <c r="C60" s="1393">
        <f>ItauUniclassVisa!F572</f>
        <v>4311.9316666666682</v>
      </c>
      <c r="D60" s="1393">
        <f>NUBank_Master!F1536</f>
        <v>1930.6633333333334</v>
      </c>
      <c r="E60" s="1393">
        <f>XP_Inv_Visa!F1468</f>
        <v>0</v>
      </c>
      <c r="F60" s="1393">
        <v>0</v>
      </c>
      <c r="G60" s="1393"/>
      <c r="H60" s="1393"/>
      <c r="I60" s="1393">
        <v>0</v>
      </c>
      <c r="J60" s="1394">
        <f t="shared" si="3"/>
        <v>7764.3350000000009</v>
      </c>
      <c r="K60" s="1381">
        <f t="shared" si="6"/>
        <v>-1226.2899999999936</v>
      </c>
    </row>
    <row r="61" spans="1:11" ht="15.75">
      <c r="A61" s="1444" t="s">
        <v>1656</v>
      </c>
      <c r="B61" s="1393">
        <f>Amazon_Master!F816</f>
        <v>1248.4399999999998</v>
      </c>
      <c r="C61" s="1393">
        <f>ItauUniclassVisa!F653</f>
        <v>4449.71</v>
      </c>
      <c r="D61" s="1393">
        <f>NUBank_Master!F1553</f>
        <v>2121.7599999999998</v>
      </c>
      <c r="E61" s="1393">
        <v>0</v>
      </c>
      <c r="F61" s="1393">
        <f>MercadoPago_Visa!F166</f>
        <v>0</v>
      </c>
      <c r="G61" s="1393"/>
      <c r="H61" s="1393"/>
      <c r="I61" s="1393">
        <v>0</v>
      </c>
      <c r="J61" s="1394">
        <f t="shared" si="3"/>
        <v>7819.91</v>
      </c>
      <c r="K61" s="1381">
        <f t="shared" si="6"/>
        <v>55.574999999998909</v>
      </c>
    </row>
    <row r="62" spans="1:11" ht="15.75">
      <c r="A62" s="1444" t="s">
        <v>1657</v>
      </c>
      <c r="B62" s="1393">
        <f>Amazon_Master!F869</f>
        <v>2123.4599999999996</v>
      </c>
      <c r="C62" s="1393">
        <f>ItauUniclassVisa!F725</f>
        <v>4161.7</v>
      </c>
      <c r="D62" s="1393">
        <f>NUBank_Master!F1564</f>
        <v>7213.91</v>
      </c>
      <c r="E62" s="1393">
        <v>0</v>
      </c>
      <c r="F62" s="1393">
        <f>MercadoPago_Visa!F170</f>
        <v>0</v>
      </c>
      <c r="G62" s="1393"/>
      <c r="H62" s="1393"/>
      <c r="I62" s="1393"/>
      <c r="J62" s="1394">
        <f t="shared" si="3"/>
        <v>13499.07</v>
      </c>
      <c r="K62" s="1381">
        <f t="shared" si="6"/>
        <v>5679.16</v>
      </c>
    </row>
    <row r="63" spans="1:11" ht="15.75">
      <c r="A63" s="1444" t="s">
        <v>1658</v>
      </c>
      <c r="B63" s="1393">
        <f>Amazon_Master!F951</f>
        <v>5481.5599999999968</v>
      </c>
      <c r="C63" s="1393">
        <f>ItauUniclassVisa!F749</f>
        <v>719.34</v>
      </c>
      <c r="D63" s="1393">
        <f>NUBank_Master!F1574</f>
        <v>2531.61</v>
      </c>
      <c r="E63" s="1393">
        <v>0</v>
      </c>
      <c r="F63" s="1393">
        <v>0</v>
      </c>
      <c r="G63" s="1393"/>
      <c r="H63" s="1393"/>
      <c r="I63" s="1393"/>
      <c r="J63" s="1394">
        <f t="shared" si="3"/>
        <v>8732.5099999999966</v>
      </c>
      <c r="K63" s="1381">
        <f t="shared" si="6"/>
        <v>-4766.5600000000031</v>
      </c>
    </row>
    <row r="64" spans="1:11" ht="15.75">
      <c r="A64" s="1444" t="s">
        <v>1659</v>
      </c>
      <c r="B64" s="1393">
        <f>Amazon_Master!F1009</f>
        <v>4703.8099999999986</v>
      </c>
      <c r="C64" s="1393">
        <f>ItauUniclassVisa!F779</f>
        <v>2194.54</v>
      </c>
      <c r="D64" s="1393">
        <f>NUBank_Master!F1589</f>
        <v>1180.6599999999999</v>
      </c>
      <c r="E64" s="1393"/>
      <c r="F64" s="1393"/>
      <c r="G64" s="1393"/>
      <c r="H64" s="1393"/>
      <c r="I64" s="1393"/>
      <c r="J64" s="1394">
        <f t="shared" si="3"/>
        <v>8079.0099999999984</v>
      </c>
      <c r="K64" s="1381">
        <f t="shared" si="6"/>
        <v>-653.49999999999818</v>
      </c>
    </row>
    <row r="65" spans="1:11" ht="15.75">
      <c r="A65" s="1444" t="s">
        <v>1660</v>
      </c>
      <c r="B65" s="1393">
        <f>Amazon_Master!F1018</f>
        <v>685.79966666666667</v>
      </c>
      <c r="C65" s="1393">
        <f>ItauUniclassVisa!F788</f>
        <v>0</v>
      </c>
      <c r="D65" s="1393">
        <f>NUBank_Master!F1600</f>
        <v>1180.6666666666665</v>
      </c>
      <c r="E65" s="1393"/>
      <c r="F65" s="1393"/>
      <c r="G65" s="1393"/>
      <c r="H65" s="1393"/>
      <c r="I65" s="1393"/>
      <c r="J65" s="1394">
        <f t="shared" si="3"/>
        <v>1866.4663333333333</v>
      </c>
      <c r="K65" s="1381">
        <f t="shared" si="6"/>
        <v>-6212.5436666666646</v>
      </c>
    </row>
    <row r="66" spans="1:11" ht="15.75">
      <c r="A66" s="1444" t="s">
        <v>1661</v>
      </c>
      <c r="B66" s="1393"/>
      <c r="C66" s="1393"/>
      <c r="D66" s="1393">
        <f>NUBank_Master!F1611</f>
        <v>1011.6666666666666</v>
      </c>
      <c r="E66" s="1393"/>
      <c r="F66" s="1393"/>
      <c r="G66" s="1393"/>
      <c r="H66" s="1393"/>
      <c r="I66" s="1393"/>
      <c r="J66" s="1394">
        <f t="shared" si="3"/>
        <v>1011.6666666666666</v>
      </c>
      <c r="K66" s="1381">
        <f t="shared" si="6"/>
        <v>-854.79966666666667</v>
      </c>
    </row>
    <row r="67" spans="1:11" ht="15.75">
      <c r="A67" s="1444" t="s">
        <v>1662</v>
      </c>
      <c r="B67" s="1393"/>
      <c r="C67" s="1393"/>
      <c r="D67" s="1393">
        <f>NUBank_Master!F1621</f>
        <v>573.66666666666663</v>
      </c>
      <c r="E67" s="1393"/>
      <c r="F67" s="1393"/>
      <c r="G67" s="1393"/>
      <c r="H67" s="1393"/>
      <c r="I67" s="1393"/>
      <c r="J67" s="1394">
        <f t="shared" si="3"/>
        <v>573.66666666666663</v>
      </c>
      <c r="K67" s="1381">
        <f t="shared" si="6"/>
        <v>-438</v>
      </c>
    </row>
    <row r="68" spans="1:11" ht="15.75">
      <c r="A68" s="1444" t="s">
        <v>1663</v>
      </c>
      <c r="B68" s="1393"/>
      <c r="C68" s="1393"/>
      <c r="D68" s="1393">
        <f>NUBank_Master!F1631</f>
        <v>573.66666666666663</v>
      </c>
      <c r="E68" s="1393"/>
      <c r="F68" s="1393"/>
      <c r="G68" s="1393"/>
      <c r="H68" s="1393"/>
      <c r="I68" s="1393"/>
      <c r="J68" s="1394"/>
      <c r="K68" s="1381"/>
    </row>
    <row r="69" spans="1:11" ht="15.75">
      <c r="A69" s="1444" t="s">
        <v>1664</v>
      </c>
      <c r="B69" s="1393"/>
      <c r="C69" s="1393"/>
      <c r="D69" s="1393">
        <f>NUBank_Master!F1641</f>
        <v>0</v>
      </c>
      <c r="E69" s="1393"/>
      <c r="F69" s="1393"/>
      <c r="G69" s="1393"/>
      <c r="H69" s="1393"/>
      <c r="I69" s="1393"/>
      <c r="J69" s="1394"/>
      <c r="K69" s="1381"/>
    </row>
    <row r="70" spans="1:11" ht="15.75">
      <c r="A70" s="1444" t="s">
        <v>1665</v>
      </c>
      <c r="B70" s="1393"/>
      <c r="C70" s="1393"/>
      <c r="D70" s="1393">
        <f>NUBank_Master!F1650</f>
        <v>0</v>
      </c>
      <c r="E70" s="1393"/>
      <c r="F70" s="1393"/>
      <c r="G70" s="1393"/>
      <c r="H70" s="1393"/>
      <c r="I70" s="1393"/>
      <c r="J70" s="1394"/>
      <c r="K70" s="1381"/>
    </row>
    <row r="71" spans="1:11" ht="15.75">
      <c r="A71" s="1444"/>
      <c r="B71" s="1393"/>
      <c r="C71" s="1393"/>
      <c r="D71" s="1393"/>
      <c r="E71" s="1393"/>
      <c r="F71" s="1393"/>
      <c r="G71" s="1393"/>
      <c r="H71" s="1393"/>
      <c r="I71" s="1393"/>
      <c r="J71" s="1394"/>
      <c r="K71" s="1381"/>
    </row>
    <row r="72" spans="1:11" ht="15.75">
      <c r="A72" s="1444"/>
      <c r="B72" s="1393"/>
      <c r="C72" s="1393"/>
      <c r="D72" s="1393"/>
      <c r="E72" s="1393"/>
      <c r="F72" s="1393"/>
      <c r="G72" s="1393"/>
      <c r="H72" s="1393"/>
      <c r="I72" s="1393"/>
      <c r="J72" s="1394"/>
      <c r="K72" s="1381"/>
    </row>
    <row r="73" spans="1:11" ht="15.75">
      <c r="A73" s="1444"/>
      <c r="B73" s="1393"/>
      <c r="C73" s="1393"/>
      <c r="D73" s="1393"/>
      <c r="E73" s="1393"/>
      <c r="F73" s="1393"/>
      <c r="G73" s="1393"/>
      <c r="H73" s="1393"/>
      <c r="I73" s="1393"/>
      <c r="J73" s="1394"/>
      <c r="K73" s="1381"/>
    </row>
    <row r="74" spans="1:11" ht="15.75">
      <c r="A74" s="1444"/>
      <c r="B74" s="1393"/>
      <c r="C74" s="1393"/>
      <c r="D74" s="1393"/>
      <c r="E74" s="1393"/>
      <c r="F74" s="1393"/>
      <c r="G74" s="1393"/>
      <c r="H74" s="1393"/>
      <c r="I74" s="1393"/>
      <c r="J74" s="1394"/>
      <c r="K74" s="1381"/>
    </row>
    <row r="75" spans="1:11" ht="15.75">
      <c r="A75" s="1444"/>
      <c r="B75" s="1393"/>
      <c r="C75" s="1393"/>
      <c r="D75" s="1393"/>
      <c r="E75" s="1393"/>
      <c r="F75" s="1393"/>
      <c r="G75" s="1393"/>
      <c r="H75" s="1393"/>
      <c r="I75" s="1393"/>
      <c r="J75" s="1394"/>
      <c r="K75" s="1381"/>
    </row>
    <row r="76" spans="1:11" ht="15.75">
      <c r="A76" s="1444"/>
      <c r="B76" s="1393"/>
      <c r="C76" s="1393"/>
      <c r="D76" s="1393"/>
      <c r="E76" s="1393"/>
      <c r="F76" s="1393"/>
      <c r="G76" s="1393"/>
      <c r="H76" s="1393"/>
      <c r="I76" s="1393"/>
      <c r="J76" s="1394"/>
      <c r="K76" s="1381"/>
    </row>
    <row r="77" spans="1:11" ht="15.75">
      <c r="A77" s="1444"/>
      <c r="B77" s="1393"/>
      <c r="C77" s="1393"/>
      <c r="D77" s="1393"/>
      <c r="E77" s="1393"/>
      <c r="F77" s="1393"/>
      <c r="G77" s="1393"/>
      <c r="H77" s="1393"/>
      <c r="I77" s="1393"/>
      <c r="J77" s="1394"/>
      <c r="K77" s="1381"/>
    </row>
    <row r="78" spans="1:11" ht="15.75">
      <c r="A78" s="1444"/>
      <c r="B78" s="1393"/>
      <c r="C78" s="1393"/>
      <c r="D78" s="1393"/>
      <c r="E78" s="1393"/>
      <c r="F78" s="1393"/>
      <c r="G78" s="1393"/>
      <c r="H78" s="1393"/>
      <c r="I78" s="1393"/>
      <c r="J78" s="1394"/>
      <c r="K78" s="1381"/>
    </row>
    <row r="79" spans="1:11" ht="15.75">
      <c r="A79" s="1444"/>
      <c r="B79" s="1393"/>
      <c r="C79" s="1393"/>
      <c r="D79" s="1393"/>
      <c r="E79" s="1393"/>
      <c r="F79" s="1393"/>
      <c r="G79" s="1393"/>
      <c r="H79" s="1393"/>
      <c r="I79" s="1393"/>
      <c r="J79" s="1394"/>
      <c r="K79" s="1381"/>
    </row>
    <row r="80" spans="1:11" ht="15.75">
      <c r="A80" s="1444"/>
      <c r="B80" s="1393"/>
      <c r="C80" s="1393"/>
      <c r="D80" s="1393"/>
      <c r="E80" s="1393"/>
      <c r="F80" s="1393"/>
      <c r="G80" s="1393"/>
      <c r="H80" s="1393"/>
      <c r="I80" s="1393"/>
      <c r="J80" s="1394"/>
      <c r="K80" s="1381"/>
    </row>
    <row r="81" spans="1:11" ht="16.5" thickBot="1">
      <c r="A81" s="1444"/>
      <c r="B81" s="1393"/>
      <c r="C81" s="1393"/>
      <c r="D81" s="1393"/>
      <c r="E81" s="1393"/>
      <c r="F81" s="1393"/>
      <c r="G81" s="1393"/>
      <c r="H81" s="1393"/>
      <c r="I81" s="1393"/>
      <c r="J81" s="1394"/>
      <c r="K81" s="1381"/>
    </row>
    <row r="82" spans="1:11" ht="13.5">
      <c r="A82" s="1378" t="s">
        <v>1666</v>
      </c>
      <c r="B82" s="1390"/>
      <c r="C82" s="1390"/>
      <c r="D82" s="1390"/>
      <c r="E82" s="1390"/>
      <c r="F82" s="1390"/>
      <c r="G82" s="1390"/>
      <c r="H82" s="1390"/>
      <c r="I82" s="1390">
        <v>0</v>
      </c>
      <c r="J82" s="1390"/>
      <c r="K82" s="1388">
        <f>SUMIF(K3:K37,"&lt;0")</f>
        <v>-14593.145</v>
      </c>
    </row>
    <row r="83" spans="1:11" ht="14.25" thickBot="1">
      <c r="A83" s="1382" t="s">
        <v>1667</v>
      </c>
      <c r="B83" s="1391"/>
      <c r="C83" s="1391"/>
      <c r="D83" s="1391"/>
      <c r="E83" s="1391"/>
      <c r="F83" s="1391"/>
      <c r="G83" s="1391"/>
      <c r="H83" s="1391"/>
      <c r="I83" s="1391">
        <v>0</v>
      </c>
      <c r="J83" s="1391"/>
      <c r="K83" s="1383">
        <f>SUMIF(K2:K37,"&gt;0")</f>
        <v>15971.225000000002</v>
      </c>
    </row>
    <row r="84" spans="1:11" ht="14.25" thickBot="1">
      <c r="A84" s="1382" t="s">
        <v>1668</v>
      </c>
      <c r="B84" s="1457">
        <v>400</v>
      </c>
      <c r="C84" s="1457">
        <v>150</v>
      </c>
      <c r="D84" s="1457">
        <v>500</v>
      </c>
      <c r="E84" s="1457">
        <v>450</v>
      </c>
      <c r="F84" s="1457">
        <v>400</v>
      </c>
      <c r="G84" s="1457">
        <v>0</v>
      </c>
      <c r="H84" s="1457">
        <v>800</v>
      </c>
      <c r="I84" s="1457">
        <v>0</v>
      </c>
      <c r="J84" s="1457">
        <f>H84+D84+E84+G84+F84+C84+B84</f>
        <v>2700</v>
      </c>
      <c r="K84" s="1383"/>
    </row>
  </sheetData>
  <phoneticPr fontId="38" type="noConversion"/>
  <conditionalFormatting sqref="D2:D81 F2:F81">
    <cfRule type="cellIs" dxfId="487" priority="1017" operator="greaterThan">
      <formula>$D$84</formula>
    </cfRule>
  </conditionalFormatting>
  <conditionalFormatting sqref="E2:F81 B2:C81">
    <cfRule type="cellIs" dxfId="486" priority="1257" operator="greaterThan">
      <formula>$E$84</formula>
    </cfRule>
  </conditionalFormatting>
  <conditionalFormatting sqref="E2:F81 C2:C81">
    <cfRule type="cellIs" dxfId="485" priority="1258" operator="greaterThan">
      <formula>$C$84</formula>
    </cfRule>
  </conditionalFormatting>
  <conditionalFormatting sqref="E2:F81 H2:I81">
    <cfRule type="cellIs" dxfId="484" priority="1015" operator="greaterThan">
      <formula>$H$84</formula>
    </cfRule>
  </conditionalFormatting>
  <conditionalFormatting sqref="F2:F81 B2:C81">
    <cfRule type="cellIs" dxfId="483" priority="1025" operator="greaterThan">
      <formula>$F$84</formula>
    </cfRule>
  </conditionalFormatting>
  <conditionalFormatting sqref="G2:G81">
    <cfRule type="cellIs" dxfId="482" priority="1023" operator="greaterThan">
      <formula>$G$84</formula>
    </cfRule>
  </conditionalFormatting>
  <conditionalFormatting sqref="J2:J81">
    <cfRule type="cellIs" dxfId="481" priority="1027" operator="greaterThan">
      <formula>$J$84</formula>
    </cfRule>
  </conditionalFormatting>
  <conditionalFormatting sqref="K3:K81">
    <cfRule type="cellIs" dxfId="480" priority="12" stopIfTrue="1" operator="lessThan">
      <formula>0</formula>
    </cfRule>
    <cfRule type="cellIs" dxfId="479" priority="13" stopIfTrue="1" operator="greaterThanOrEqual">
      <formula>0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13"/>
  <dimension ref="A1:B106"/>
  <sheetViews>
    <sheetView workbookViewId="0">
      <pane xSplit="2" ySplit="1" topLeftCell="C2" activePane="bottomRight" state="frozen"/>
      <selection pane="bottomRight" activeCell="C2" sqref="C2"/>
      <selection pane="bottomLeft" activeCell="A925" sqref="A925:XFD926"/>
      <selection pane="topRight" activeCell="A925" sqref="A925:XFD926"/>
    </sheetView>
  </sheetViews>
  <sheetFormatPr defaultColWidth="9" defaultRowHeight="13.5"/>
  <cols>
    <col min="1" max="1" width="7.7109375" style="65" bestFit="1" customWidth="1"/>
    <col min="2" max="2" width="32.7109375" style="65" bestFit="1" customWidth="1"/>
    <col min="3" max="16384" width="9" style="65"/>
  </cols>
  <sheetData>
    <row r="1" spans="1:2">
      <c r="A1" s="1722" t="s">
        <v>1669</v>
      </c>
      <c r="B1" s="1723" t="s">
        <v>883</v>
      </c>
    </row>
    <row r="2" spans="1:2">
      <c r="A2" s="1460" t="s">
        <v>1670</v>
      </c>
      <c r="B2" s="1461" t="s">
        <v>1671</v>
      </c>
    </row>
    <row r="3" spans="1:2">
      <c r="A3" s="1460" t="s">
        <v>1672</v>
      </c>
      <c r="B3" s="1461" t="s">
        <v>582</v>
      </c>
    </row>
    <row r="4" spans="1:2">
      <c r="A4" s="1460" t="s">
        <v>1673</v>
      </c>
      <c r="B4" s="1461" t="s">
        <v>1674</v>
      </c>
    </row>
    <row r="5" spans="1:2">
      <c r="A5" s="1460" t="s">
        <v>1675</v>
      </c>
      <c r="B5" s="1461" t="s">
        <v>1676</v>
      </c>
    </row>
    <row r="6" spans="1:2">
      <c r="A6" s="1460" t="s">
        <v>1677</v>
      </c>
      <c r="B6" s="1461" t="s">
        <v>1678</v>
      </c>
    </row>
    <row r="7" spans="1:2">
      <c r="A7" s="1460" t="s">
        <v>1679</v>
      </c>
      <c r="B7" s="1461" t="s">
        <v>1680</v>
      </c>
    </row>
    <row r="8" spans="1:2">
      <c r="A8" s="1460" t="s">
        <v>1681</v>
      </c>
      <c r="B8" s="1461" t="s">
        <v>1682</v>
      </c>
    </row>
    <row r="9" spans="1:2">
      <c r="A9" s="1460" t="s">
        <v>1683</v>
      </c>
      <c r="B9" s="1461" t="s">
        <v>1684</v>
      </c>
    </row>
    <row r="10" spans="1:2">
      <c r="A10" s="1460" t="s">
        <v>1685</v>
      </c>
      <c r="B10" s="1461" t="s">
        <v>1686</v>
      </c>
    </row>
    <row r="11" spans="1:2">
      <c r="A11" s="1460" t="s">
        <v>1687</v>
      </c>
      <c r="B11" s="1461" t="s">
        <v>1688</v>
      </c>
    </row>
    <row r="12" spans="1:2">
      <c r="A12" s="1460" t="s">
        <v>1689</v>
      </c>
      <c r="B12" s="1461" t="s">
        <v>1690</v>
      </c>
    </row>
    <row r="13" spans="1:2">
      <c r="A13" s="1460" t="s">
        <v>1691</v>
      </c>
      <c r="B13" s="1461" t="s">
        <v>1692</v>
      </c>
    </row>
    <row r="14" spans="1:2">
      <c r="A14" s="1460" t="s">
        <v>1693</v>
      </c>
      <c r="B14" s="1461" t="s">
        <v>1694</v>
      </c>
    </row>
    <row r="15" spans="1:2">
      <c r="A15" s="1460" t="s">
        <v>1695</v>
      </c>
      <c r="B15" s="1461" t="s">
        <v>1696</v>
      </c>
    </row>
    <row r="16" spans="1:2">
      <c r="A16" s="1460" t="s">
        <v>1697</v>
      </c>
      <c r="B16" s="1461" t="s">
        <v>1698</v>
      </c>
    </row>
    <row r="17" spans="1:2">
      <c r="A17" s="1460" t="s">
        <v>1699</v>
      </c>
      <c r="B17" s="1461" t="s">
        <v>1700</v>
      </c>
    </row>
    <row r="18" spans="1:2">
      <c r="A18" s="1460" t="s">
        <v>1701</v>
      </c>
      <c r="B18" s="1461" t="s">
        <v>1702</v>
      </c>
    </row>
    <row r="19" spans="1:2">
      <c r="A19" s="1460" t="s">
        <v>1703</v>
      </c>
      <c r="B19" s="1461" t="s">
        <v>1704</v>
      </c>
    </row>
    <row r="20" spans="1:2">
      <c r="A20" s="1460" t="s">
        <v>1705</v>
      </c>
      <c r="B20" s="1461" t="s">
        <v>1706</v>
      </c>
    </row>
    <row r="21" spans="1:2">
      <c r="A21" s="1460" t="s">
        <v>1707</v>
      </c>
      <c r="B21" s="1461" t="s">
        <v>1708</v>
      </c>
    </row>
    <row r="22" spans="1:2">
      <c r="A22" s="1460" t="s">
        <v>1709</v>
      </c>
      <c r="B22" s="1461" t="s">
        <v>1710</v>
      </c>
    </row>
    <row r="23" spans="1:2">
      <c r="A23" s="1460" t="s">
        <v>1711</v>
      </c>
      <c r="B23" s="1461" t="s">
        <v>1712</v>
      </c>
    </row>
    <row r="24" spans="1:2">
      <c r="A24" s="1460" t="s">
        <v>1713</v>
      </c>
      <c r="B24" s="1461" t="s">
        <v>1714</v>
      </c>
    </row>
    <row r="25" spans="1:2">
      <c r="A25" s="1460" t="s">
        <v>1715</v>
      </c>
      <c r="B25" s="1461" t="s">
        <v>1716</v>
      </c>
    </row>
    <row r="26" spans="1:2">
      <c r="A26" s="1460" t="s">
        <v>1717</v>
      </c>
      <c r="B26" s="1461" t="s">
        <v>1718</v>
      </c>
    </row>
    <row r="27" spans="1:2">
      <c r="A27" s="1460" t="s">
        <v>1719</v>
      </c>
      <c r="B27" s="1461" t="s">
        <v>1720</v>
      </c>
    </row>
    <row r="28" spans="1:2">
      <c r="A28" s="1460" t="s">
        <v>1721</v>
      </c>
      <c r="B28" s="1461" t="s">
        <v>1722</v>
      </c>
    </row>
    <row r="29" spans="1:2">
      <c r="A29" s="1460" t="s">
        <v>1723</v>
      </c>
      <c r="B29" s="1461" t="s">
        <v>1724</v>
      </c>
    </row>
    <row r="30" spans="1:2">
      <c r="A30" s="1460" t="s">
        <v>1725</v>
      </c>
      <c r="B30" s="1461" t="s">
        <v>1726</v>
      </c>
    </row>
    <row r="31" spans="1:2">
      <c r="A31" s="1460" t="s">
        <v>1727</v>
      </c>
      <c r="B31" s="1461" t="s">
        <v>1728</v>
      </c>
    </row>
    <row r="32" spans="1:2">
      <c r="A32" s="1460" t="s">
        <v>1729</v>
      </c>
      <c r="B32" s="1461" t="s">
        <v>1730</v>
      </c>
    </row>
    <row r="33" spans="1:2">
      <c r="A33" s="1460" t="s">
        <v>1731</v>
      </c>
      <c r="B33" s="1461" t="s">
        <v>1732</v>
      </c>
    </row>
    <row r="34" spans="1:2">
      <c r="A34" s="1460" t="s">
        <v>1733</v>
      </c>
      <c r="B34" s="1461" t="s">
        <v>1734</v>
      </c>
    </row>
    <row r="35" spans="1:2">
      <c r="A35" s="1460" t="s">
        <v>1735</v>
      </c>
      <c r="B35" s="1461" t="s">
        <v>1736</v>
      </c>
    </row>
    <row r="36" spans="1:2">
      <c r="A36" s="1460" t="s">
        <v>1737</v>
      </c>
      <c r="B36" s="1461" t="s">
        <v>1738</v>
      </c>
    </row>
    <row r="37" spans="1:2">
      <c r="A37" s="1460" t="s">
        <v>1739</v>
      </c>
      <c r="B37" s="1461" t="s">
        <v>1740</v>
      </c>
    </row>
    <row r="38" spans="1:2">
      <c r="A38" s="1460" t="s">
        <v>1741</v>
      </c>
      <c r="B38" s="1461" t="s">
        <v>1742</v>
      </c>
    </row>
    <row r="39" spans="1:2">
      <c r="A39" s="1460" t="s">
        <v>1743</v>
      </c>
      <c r="B39" s="1461" t="s">
        <v>1744</v>
      </c>
    </row>
    <row r="40" spans="1:2">
      <c r="A40" s="1460" t="s">
        <v>1745</v>
      </c>
      <c r="B40" s="1461" t="s">
        <v>1746</v>
      </c>
    </row>
    <row r="41" spans="1:2">
      <c r="A41" s="1460" t="s">
        <v>1747</v>
      </c>
      <c r="B41" s="1461" t="s">
        <v>1748</v>
      </c>
    </row>
    <row r="42" spans="1:2">
      <c r="A42" s="1460" t="s">
        <v>1749</v>
      </c>
      <c r="B42" s="1461" t="s">
        <v>1750</v>
      </c>
    </row>
    <row r="43" spans="1:2">
      <c r="A43" s="1460" t="s">
        <v>1751</v>
      </c>
      <c r="B43" s="1461" t="s">
        <v>1752</v>
      </c>
    </row>
    <row r="44" spans="1:2">
      <c r="A44" s="1460" t="s">
        <v>1753</v>
      </c>
      <c r="B44" s="1461" t="s">
        <v>1754</v>
      </c>
    </row>
    <row r="45" spans="1:2">
      <c r="A45" s="1460" t="s">
        <v>1755</v>
      </c>
      <c r="B45" s="1461" t="s">
        <v>932</v>
      </c>
    </row>
    <row r="46" spans="1:2">
      <c r="A46" s="1460" t="s">
        <v>1756</v>
      </c>
      <c r="B46" s="1461" t="s">
        <v>1757</v>
      </c>
    </row>
    <row r="47" spans="1:2" ht="14.25" thickBot="1">
      <c r="A47" s="1720"/>
      <c r="B47" s="1721"/>
    </row>
    <row r="48" spans="1:2">
      <c r="A48" s="1478" t="s">
        <v>1758</v>
      </c>
      <c r="B48" s="1479" t="s">
        <v>1759</v>
      </c>
    </row>
    <row r="49" spans="1:2">
      <c r="A49" s="1460" t="s">
        <v>1760</v>
      </c>
      <c r="B49" s="1461" t="s">
        <v>1761</v>
      </c>
    </row>
    <row r="50" spans="1:2">
      <c r="A50" s="1460" t="s">
        <v>1762</v>
      </c>
      <c r="B50" s="1461" t="s">
        <v>1763</v>
      </c>
    </row>
    <row r="51" spans="1:2">
      <c r="A51" s="1460" t="s">
        <v>1764</v>
      </c>
      <c r="B51" s="1461" t="s">
        <v>1765</v>
      </c>
    </row>
    <row r="52" spans="1:2">
      <c r="A52" s="1460" t="s">
        <v>1766</v>
      </c>
      <c r="B52" s="1461" t="s">
        <v>1767</v>
      </c>
    </row>
    <row r="53" spans="1:2">
      <c r="A53" s="1460" t="s">
        <v>1768</v>
      </c>
      <c r="B53" s="1461" t="s">
        <v>1769</v>
      </c>
    </row>
    <row r="54" spans="1:2">
      <c r="A54" s="1460" t="s">
        <v>1770</v>
      </c>
      <c r="B54" s="1461" t="s">
        <v>1771</v>
      </c>
    </row>
    <row r="55" spans="1:2">
      <c r="A55" s="1460" t="s">
        <v>1772</v>
      </c>
      <c r="B55" s="1461" t="s">
        <v>1773</v>
      </c>
    </row>
    <row r="56" spans="1:2">
      <c r="A56" s="1460" t="s">
        <v>1774</v>
      </c>
      <c r="B56" s="1461" t="s">
        <v>1775</v>
      </c>
    </row>
    <row r="57" spans="1:2">
      <c r="A57" s="1460" t="s">
        <v>1776</v>
      </c>
      <c r="B57" s="1461" t="s">
        <v>1777</v>
      </c>
    </row>
    <row r="58" spans="1:2">
      <c r="A58" s="1460" t="s">
        <v>1778</v>
      </c>
      <c r="B58" s="1461" t="s">
        <v>1779</v>
      </c>
    </row>
    <row r="59" spans="1:2">
      <c r="A59" s="1460" t="s">
        <v>1780</v>
      </c>
      <c r="B59" s="1461" t="s">
        <v>1781</v>
      </c>
    </row>
    <row r="60" spans="1:2">
      <c r="A60" s="1460" t="s">
        <v>1782</v>
      </c>
      <c r="B60" s="1461" t="s">
        <v>1783</v>
      </c>
    </row>
    <row r="61" spans="1:2">
      <c r="A61" s="1460" t="s">
        <v>1784</v>
      </c>
      <c r="B61" s="1461" t="s">
        <v>1785</v>
      </c>
    </row>
    <row r="62" spans="1:2">
      <c r="A62" s="1460" t="s">
        <v>1786</v>
      </c>
      <c r="B62" s="1461" t="s">
        <v>1787</v>
      </c>
    </row>
    <row r="63" spans="1:2">
      <c r="A63" s="1460" t="s">
        <v>1788</v>
      </c>
      <c r="B63" s="1461" t="s">
        <v>65</v>
      </c>
    </row>
    <row r="64" spans="1:2">
      <c r="A64" s="1460" t="s">
        <v>1789</v>
      </c>
      <c r="B64" s="1461" t="s">
        <v>1790</v>
      </c>
    </row>
    <row r="65" spans="1:2">
      <c r="A65" s="1460" t="s">
        <v>1791</v>
      </c>
      <c r="B65" s="1461" t="s">
        <v>1792</v>
      </c>
    </row>
    <row r="66" spans="1:2">
      <c r="A66" s="1460" t="s">
        <v>1793</v>
      </c>
      <c r="B66" s="1461" t="s">
        <v>1794</v>
      </c>
    </row>
    <row r="67" spans="1:2">
      <c r="A67" s="1460" t="s">
        <v>1795</v>
      </c>
      <c r="B67" s="1461" t="s">
        <v>1796</v>
      </c>
    </row>
    <row r="68" spans="1:2">
      <c r="A68" s="1460" t="s">
        <v>1797</v>
      </c>
      <c r="B68" s="1461" t="s">
        <v>1798</v>
      </c>
    </row>
    <row r="69" spans="1:2">
      <c r="A69" s="1460" t="s">
        <v>1799</v>
      </c>
      <c r="B69" s="1461" t="s">
        <v>1800</v>
      </c>
    </row>
    <row r="70" spans="1:2">
      <c r="A70" s="1460" t="s">
        <v>1801</v>
      </c>
      <c r="B70" s="1461" t="s">
        <v>1802</v>
      </c>
    </row>
    <row r="71" spans="1:2">
      <c r="A71" s="1460" t="s">
        <v>1803</v>
      </c>
      <c r="B71" s="1461" t="s">
        <v>1804</v>
      </c>
    </row>
    <row r="72" spans="1:2">
      <c r="A72" s="1460" t="s">
        <v>1805</v>
      </c>
      <c r="B72" s="1461" t="s">
        <v>1806</v>
      </c>
    </row>
    <row r="73" spans="1:2">
      <c r="A73" s="1460" t="s">
        <v>1807</v>
      </c>
      <c r="B73" s="1461" t="s">
        <v>1808</v>
      </c>
    </row>
    <row r="74" spans="1:2">
      <c r="A74" s="1460" t="s">
        <v>1809</v>
      </c>
      <c r="B74" s="1461" t="s">
        <v>1810</v>
      </c>
    </row>
    <row r="75" spans="1:2">
      <c r="A75" s="1460" t="s">
        <v>1811</v>
      </c>
      <c r="B75" s="1461" t="s">
        <v>1812</v>
      </c>
    </row>
    <row r="76" spans="1:2">
      <c r="A76" s="1460" t="s">
        <v>1813</v>
      </c>
      <c r="B76" s="1461" t="s">
        <v>1814</v>
      </c>
    </row>
    <row r="77" spans="1:2">
      <c r="A77" s="1460" t="s">
        <v>1815</v>
      </c>
      <c r="B77" s="1461" t="s">
        <v>1816</v>
      </c>
    </row>
    <row r="78" spans="1:2">
      <c r="A78" s="1460" t="s">
        <v>1817</v>
      </c>
      <c r="B78" s="1461" t="s">
        <v>1818</v>
      </c>
    </row>
    <row r="79" spans="1:2">
      <c r="A79" s="1460" t="s">
        <v>1819</v>
      </c>
      <c r="B79" s="1461" t="s">
        <v>1820</v>
      </c>
    </row>
    <row r="80" spans="1:2">
      <c r="A80" s="1460" t="s">
        <v>1821</v>
      </c>
      <c r="B80" s="1461" t="s">
        <v>1822</v>
      </c>
    </row>
    <row r="81" spans="1:2">
      <c r="A81" s="1460" t="s">
        <v>1823</v>
      </c>
      <c r="B81" s="1461" t="s">
        <v>1824</v>
      </c>
    </row>
    <row r="82" spans="1:2">
      <c r="A82" s="1460" t="s">
        <v>1825</v>
      </c>
      <c r="B82" s="1461" t="s">
        <v>1218</v>
      </c>
    </row>
    <row r="83" spans="1:2">
      <c r="A83" s="1460" t="s">
        <v>1826</v>
      </c>
      <c r="B83" s="1461" t="s">
        <v>1827</v>
      </c>
    </row>
    <row r="84" spans="1:2">
      <c r="A84" s="1460" t="s">
        <v>1828</v>
      </c>
      <c r="B84" s="1461" t="s">
        <v>1829</v>
      </c>
    </row>
    <row r="85" spans="1:2">
      <c r="A85" s="1460" t="s">
        <v>1830</v>
      </c>
      <c r="B85" s="1461" t="s">
        <v>1831</v>
      </c>
    </row>
    <row r="86" spans="1:2">
      <c r="A86" s="1460" t="s">
        <v>1832</v>
      </c>
      <c r="B86" s="1461" t="s">
        <v>1833</v>
      </c>
    </row>
    <row r="87" spans="1:2">
      <c r="A87" s="1460" t="s">
        <v>1834</v>
      </c>
      <c r="B87" s="1461" t="s">
        <v>1835</v>
      </c>
    </row>
    <row r="88" spans="1:2">
      <c r="A88" s="1460" t="s">
        <v>1836</v>
      </c>
      <c r="B88" s="1461" t="s">
        <v>1837</v>
      </c>
    </row>
    <row r="89" spans="1:2">
      <c r="A89" s="1460" t="s">
        <v>1838</v>
      </c>
      <c r="B89" s="1461" t="s">
        <v>1839</v>
      </c>
    </row>
    <row r="90" spans="1:2">
      <c r="A90" s="1460" t="s">
        <v>1840</v>
      </c>
      <c r="B90" s="1461" t="s">
        <v>1841</v>
      </c>
    </row>
    <row r="91" spans="1:2">
      <c r="A91" s="1460" t="s">
        <v>1840</v>
      </c>
      <c r="B91" s="1461" t="s">
        <v>1842</v>
      </c>
    </row>
    <row r="92" spans="1:2" ht="12" customHeight="1" thickBot="1">
      <c r="A92" s="1462"/>
      <c r="B92" s="1463"/>
    </row>
    <row r="93" spans="1:2">
      <c r="A93" s="1478" t="s">
        <v>1843</v>
      </c>
      <c r="B93" s="1479" t="s">
        <v>1844</v>
      </c>
    </row>
    <row r="94" spans="1:2" ht="14.25" thickBot="1">
      <c r="A94" s="1462"/>
      <c r="B94" s="1463"/>
    </row>
    <row r="95" spans="1:2">
      <c r="A95" s="1478" t="s">
        <v>1845</v>
      </c>
      <c r="B95" s="1479" t="s">
        <v>1846</v>
      </c>
    </row>
    <row r="96" spans="1:2">
      <c r="A96" s="1460" t="s">
        <v>1847</v>
      </c>
      <c r="B96" s="1461" t="s">
        <v>1848</v>
      </c>
    </row>
    <row r="97" spans="1:2">
      <c r="A97" s="1460" t="s">
        <v>1849</v>
      </c>
      <c r="B97" s="1461" t="s">
        <v>1850</v>
      </c>
    </row>
    <row r="98" spans="1:2">
      <c r="A98" s="1460" t="s">
        <v>1851</v>
      </c>
      <c r="B98" s="1461" t="s">
        <v>1852</v>
      </c>
    </row>
    <row r="99" spans="1:2">
      <c r="A99" s="1460" t="s">
        <v>1853</v>
      </c>
      <c r="B99" s="1461" t="s">
        <v>1854</v>
      </c>
    </row>
    <row r="100" spans="1:2">
      <c r="A100" s="1460" t="s">
        <v>1855</v>
      </c>
      <c r="B100" s="1461" t="s">
        <v>1856</v>
      </c>
    </row>
    <row r="101" spans="1:2">
      <c r="A101" s="1460" t="s">
        <v>1857</v>
      </c>
      <c r="B101" s="1461" t="s">
        <v>1858</v>
      </c>
    </row>
    <row r="102" spans="1:2">
      <c r="A102" s="1460" t="s">
        <v>1859</v>
      </c>
      <c r="B102" s="1461" t="s">
        <v>1860</v>
      </c>
    </row>
    <row r="103" spans="1:2">
      <c r="A103" s="1460" t="s">
        <v>1861</v>
      </c>
      <c r="B103" s="1461" t="s">
        <v>1862</v>
      </c>
    </row>
    <row r="104" spans="1:2" ht="14.25" thickBot="1">
      <c r="A104" s="1462"/>
      <c r="B104" s="1463"/>
    </row>
    <row r="105" spans="1:2">
      <c r="A105" s="1478" t="s">
        <v>1863</v>
      </c>
      <c r="B105" s="1479" t="s">
        <v>1864</v>
      </c>
    </row>
    <row r="106" spans="1:2" ht="14.25" thickBot="1">
      <c r="A106" s="1462"/>
      <c r="B106" s="1463"/>
    </row>
  </sheetData>
  <sheetProtection selectLockedCells="1" selectUnlockedCells="1"/>
  <phoneticPr fontId="38" type="noConversion"/>
  <conditionalFormatting sqref="A2:B106">
    <cfRule type="expression" dxfId="478" priority="1">
      <formula>MOD(ROW(),2)=0</formula>
    </cfRule>
    <cfRule type="expression" dxfId="477" priority="2">
      <formula>MOD(ROW(),2) &lt;&gt; 0</formula>
    </cfRule>
  </conditionalFormatting>
  <pageMargins left="0.78749999999999998" right="0.78749999999999998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A5D7-4E2C-417F-99A8-981F7720DAC9}">
  <sheetPr codeName="Planilha16"/>
  <dimension ref="A1:G1028"/>
  <sheetViews>
    <sheetView tabSelected="1" workbookViewId="0">
      <pane xSplit="7" ySplit="1" topLeftCell="H991" activePane="bottomRight" state="frozen"/>
      <selection pane="bottomRight" activeCell="C998" sqref="C998"/>
      <selection pane="bottomLeft" activeCell="A2" sqref="A2"/>
      <selection pane="topRight" activeCell="H1" sqref="H1"/>
    </sheetView>
  </sheetViews>
  <sheetFormatPr defaultColWidth="9" defaultRowHeight="13.5"/>
  <cols>
    <col min="1" max="1" width="13.7109375" style="3" bestFit="1" customWidth="1"/>
    <col min="2" max="2" width="17.7109375" style="3" customWidth="1"/>
    <col min="3" max="3" width="48.42578125" style="3" customWidth="1"/>
    <col min="4" max="4" width="16" style="3" customWidth="1"/>
    <col min="5" max="5" width="17" style="221" customWidth="1"/>
    <col min="6" max="6" width="16" style="3" bestFit="1" customWidth="1"/>
    <col min="7" max="7" width="8.42578125" style="3" customWidth="1"/>
    <col min="8" max="16384" width="9" style="3"/>
  </cols>
  <sheetData>
    <row r="1" spans="1:7" ht="14.25" thickBot="1">
      <c r="A1" s="1543" t="s">
        <v>0</v>
      </c>
      <c r="B1" s="1544" t="s">
        <v>1</v>
      </c>
      <c r="C1" s="1545" t="s">
        <v>2</v>
      </c>
      <c r="D1" s="1546" t="s">
        <v>3</v>
      </c>
      <c r="E1" s="1567" t="s">
        <v>4</v>
      </c>
      <c r="F1" s="1568" t="s">
        <v>5</v>
      </c>
      <c r="G1" s="1566" t="s">
        <v>6</v>
      </c>
    </row>
    <row r="2" spans="1:7">
      <c r="A2" s="1032"/>
      <c r="B2" s="1230"/>
      <c r="C2" s="906" t="s">
        <v>1865</v>
      </c>
      <c r="D2" s="896"/>
      <c r="E2" s="925"/>
      <c r="F2" s="898"/>
    </row>
    <row r="3" spans="1:7">
      <c r="A3" s="884">
        <v>45199</v>
      </c>
      <c r="B3" s="240" t="str">
        <f>TiposLancamentos!B78</f>
        <v>Diferenças</v>
      </c>
      <c r="C3" s="878" t="s">
        <v>1866</v>
      </c>
      <c r="D3" s="63">
        <v>0.01</v>
      </c>
      <c r="E3" s="231"/>
      <c r="F3" s="899"/>
      <c r="G3" s="1368" t="s">
        <v>9</v>
      </c>
    </row>
    <row r="4" spans="1:7">
      <c r="A4" s="884">
        <v>45199</v>
      </c>
      <c r="B4" s="240" t="str">
        <f>TiposLancamentos!B78</f>
        <v>Diferenças</v>
      </c>
      <c r="C4" s="878" t="s">
        <v>1867</v>
      </c>
      <c r="D4" s="63"/>
      <c r="E4" s="231">
        <v>0.01</v>
      </c>
      <c r="F4" s="899"/>
      <c r="G4" s="1368" t="s">
        <v>9</v>
      </c>
    </row>
    <row r="5" spans="1:7">
      <c r="A5" s="884"/>
      <c r="B5" s="240"/>
      <c r="C5" s="878" t="s">
        <v>1868</v>
      </c>
      <c r="D5" s="63"/>
      <c r="E5" s="231"/>
      <c r="F5" s="899"/>
    </row>
    <row r="6" spans="1:7">
      <c r="A6" s="934"/>
      <c r="B6" s="243"/>
      <c r="C6" s="389" t="s">
        <v>10</v>
      </c>
      <c r="D6" s="146"/>
      <c r="E6" s="1190"/>
      <c r="F6" s="935"/>
      <c r="G6" s="1094" t="s">
        <v>11</v>
      </c>
    </row>
    <row r="7" spans="1:7" ht="14.25" thickBot="1">
      <c r="A7" s="884"/>
      <c r="B7" s="240"/>
      <c r="C7" s="878" t="s">
        <v>1868</v>
      </c>
      <c r="D7" s="63"/>
      <c r="E7" s="231"/>
      <c r="F7" s="899"/>
    </row>
    <row r="8" spans="1:7">
      <c r="A8" s="1032"/>
      <c r="B8" s="1230"/>
      <c r="C8" s="1092" t="s">
        <v>1627</v>
      </c>
      <c r="D8" s="896"/>
      <c r="E8" s="925"/>
      <c r="F8" s="898">
        <f>SUM(E2:E6)</f>
        <v>0.01</v>
      </c>
    </row>
    <row r="9" spans="1:7">
      <c r="A9" s="858">
        <v>45207</v>
      </c>
      <c r="B9" s="822" t="str">
        <f>TiposLancamentos!B13</f>
        <v>Moradia</v>
      </c>
      <c r="C9" s="1396" t="s">
        <v>1869</v>
      </c>
      <c r="D9" s="747"/>
      <c r="E9" s="1139">
        <v>16.89</v>
      </c>
      <c r="F9" s="1454">
        <f>F8-F2</f>
        <v>0.01</v>
      </c>
      <c r="G9" s="1368" t="s">
        <v>9</v>
      </c>
    </row>
    <row r="10" spans="1:7">
      <c r="A10" s="862">
        <v>45207</v>
      </c>
      <c r="B10" s="823" t="str">
        <f>TiposLancamentos!B60</f>
        <v>Correio</v>
      </c>
      <c r="C10" s="1448" t="s">
        <v>1870</v>
      </c>
      <c r="D10" s="849"/>
      <c r="E10" s="1141">
        <v>23.47</v>
      </c>
      <c r="F10" s="1456">
        <v>40.36</v>
      </c>
      <c r="G10" s="1368" t="s">
        <v>9</v>
      </c>
    </row>
    <row r="11" spans="1:7">
      <c r="A11" s="884">
        <v>45207</v>
      </c>
      <c r="B11" s="240" t="str">
        <f>TiposLancamentos!B57</f>
        <v>Informática</v>
      </c>
      <c r="C11" s="1038" t="s">
        <v>1871</v>
      </c>
      <c r="D11" s="63"/>
      <c r="E11" s="231">
        <v>39.9</v>
      </c>
      <c r="F11" s="899"/>
      <c r="G11" s="1368" t="s">
        <v>9</v>
      </c>
    </row>
    <row r="12" spans="1:7">
      <c r="A12" s="884">
        <v>45207</v>
      </c>
      <c r="B12" s="240" t="str">
        <f>TiposLancamentos!B13</f>
        <v>Moradia</v>
      </c>
      <c r="C12" s="1038" t="s">
        <v>1872</v>
      </c>
      <c r="D12" s="63"/>
      <c r="E12" s="231">
        <v>59.8</v>
      </c>
      <c r="F12" s="899"/>
      <c r="G12" s="1368" t="s">
        <v>9</v>
      </c>
    </row>
    <row r="13" spans="1:7">
      <c r="A13" s="884">
        <v>45207</v>
      </c>
      <c r="B13" s="240" t="str">
        <f>TiposLancamentos!B13</f>
        <v>Moradia</v>
      </c>
      <c r="C13" s="878" t="s">
        <v>1873</v>
      </c>
      <c r="D13" s="63"/>
      <c r="E13" s="231">
        <v>90.79</v>
      </c>
      <c r="F13" s="899"/>
      <c r="G13" s="1368" t="s">
        <v>9</v>
      </c>
    </row>
    <row r="14" spans="1:7">
      <c r="A14" s="884">
        <v>45220</v>
      </c>
      <c r="B14" s="240"/>
      <c r="C14" s="878" t="s">
        <v>1868</v>
      </c>
      <c r="D14" s="63">
        <v>0</v>
      </c>
      <c r="E14" s="231">
        <v>0</v>
      </c>
      <c r="F14" s="899"/>
    </row>
    <row r="15" spans="1:7">
      <c r="A15" s="934"/>
      <c r="B15" s="243"/>
      <c r="C15" s="389" t="s">
        <v>10</v>
      </c>
      <c r="D15" s="146"/>
      <c r="E15" s="1190"/>
      <c r="F15" s="935"/>
      <c r="G15" s="1094" t="s">
        <v>11</v>
      </c>
    </row>
    <row r="16" spans="1:7" ht="14.25" thickBot="1">
      <c r="A16" s="884"/>
      <c r="B16" s="240"/>
      <c r="C16" s="878" t="s">
        <v>1868</v>
      </c>
      <c r="D16" s="63"/>
      <c r="E16" s="231"/>
      <c r="F16" s="899"/>
    </row>
    <row r="17" spans="1:7">
      <c r="A17" s="1032"/>
      <c r="B17" s="1230"/>
      <c r="C17" s="1092" t="s">
        <v>1616</v>
      </c>
      <c r="D17" s="896"/>
      <c r="E17" s="925"/>
      <c r="F17" s="898">
        <f>SUM(E6:E15)</f>
        <v>230.85000000000002</v>
      </c>
    </row>
    <row r="18" spans="1:7">
      <c r="A18" s="884">
        <v>45231</v>
      </c>
      <c r="B18" s="240" t="str">
        <f>TiposLancamentos!B15</f>
        <v>Cartões de Crédito</v>
      </c>
      <c r="C18" s="878" t="s">
        <v>1874</v>
      </c>
      <c r="D18" s="63">
        <v>230.85</v>
      </c>
      <c r="E18" s="231"/>
      <c r="F18" s="899"/>
      <c r="G18" s="1368" t="s">
        <v>9</v>
      </c>
    </row>
    <row r="19" spans="1:7">
      <c r="A19" s="884">
        <v>45236</v>
      </c>
      <c r="B19" s="240" t="str">
        <f>TiposLancamentos!B13</f>
        <v>Moradia</v>
      </c>
      <c r="C19" s="878" t="s">
        <v>1875</v>
      </c>
      <c r="D19" s="63"/>
      <c r="E19" s="231">
        <v>0</v>
      </c>
      <c r="F19" s="899"/>
      <c r="G19" s="1368" t="s">
        <v>9</v>
      </c>
    </row>
    <row r="20" spans="1:7">
      <c r="A20" s="934"/>
      <c r="B20" s="243"/>
      <c r="C20" s="389" t="s">
        <v>10</v>
      </c>
      <c r="D20" s="146"/>
      <c r="E20" s="1190"/>
      <c r="F20" s="935"/>
      <c r="G20" s="1094" t="s">
        <v>11</v>
      </c>
    </row>
    <row r="21" spans="1:7">
      <c r="A21" s="884">
        <v>45253</v>
      </c>
      <c r="B21" s="240" t="str">
        <f>TiposLancamentos!B45</f>
        <v>Online Services</v>
      </c>
      <c r="C21" s="878" t="s">
        <v>1876</v>
      </c>
      <c r="D21" s="63"/>
      <c r="E21" s="231">
        <v>4.9000000000000004</v>
      </c>
      <c r="F21" s="899"/>
      <c r="G21" s="1368" t="s">
        <v>9</v>
      </c>
    </row>
    <row r="22" spans="1:7">
      <c r="A22" s="884">
        <v>45253</v>
      </c>
      <c r="B22" s="240" t="str">
        <f>TiposLancamentos!B39</f>
        <v>Playstation 5</v>
      </c>
      <c r="C22" s="878" t="s">
        <v>1877</v>
      </c>
      <c r="D22" s="63"/>
      <c r="E22" s="231">
        <v>314.91000000000003</v>
      </c>
      <c r="F22" s="899"/>
      <c r="G22" s="1368" t="s">
        <v>9</v>
      </c>
    </row>
    <row r="23" spans="1:7">
      <c r="A23" s="884">
        <v>45253</v>
      </c>
      <c r="B23" s="240" t="str">
        <f>TiposLancamentos!B5</f>
        <v>Supermercado</v>
      </c>
      <c r="C23" s="878" t="s">
        <v>1878</v>
      </c>
      <c r="D23" s="63"/>
      <c r="E23" s="231">
        <v>49.42</v>
      </c>
      <c r="F23" s="899"/>
      <c r="G23" s="1368" t="s">
        <v>9</v>
      </c>
    </row>
    <row r="24" spans="1:7">
      <c r="A24" s="884">
        <v>45255</v>
      </c>
      <c r="B24" s="240" t="str">
        <f>TiposLancamentos!B5</f>
        <v>Supermercado</v>
      </c>
      <c r="C24" s="878" t="s">
        <v>1879</v>
      </c>
      <c r="D24" s="63"/>
      <c r="E24" s="231">
        <v>16.68</v>
      </c>
      <c r="F24" s="899"/>
      <c r="G24" s="1368" t="s">
        <v>9</v>
      </c>
    </row>
    <row r="25" spans="1:7">
      <c r="A25" s="884">
        <v>45255</v>
      </c>
      <c r="B25" s="240" t="str">
        <f>TiposLancamentos!B22</f>
        <v>Combustivel</v>
      </c>
      <c r="C25" s="878" t="s">
        <v>1880</v>
      </c>
      <c r="D25" s="63"/>
      <c r="E25" s="231">
        <v>150</v>
      </c>
      <c r="F25" s="899"/>
      <c r="G25" s="1368" t="s">
        <v>9</v>
      </c>
    </row>
    <row r="26" spans="1:7">
      <c r="A26" s="884">
        <v>45255</v>
      </c>
      <c r="B26" s="240" t="str">
        <f>TiposLancamentos!B56</f>
        <v>Farmácia</v>
      </c>
      <c r="C26" s="878" t="s">
        <v>1881</v>
      </c>
      <c r="D26" s="63"/>
      <c r="E26" s="231">
        <v>172.27</v>
      </c>
      <c r="F26" s="899"/>
      <c r="G26" s="1368" t="s">
        <v>9</v>
      </c>
    </row>
    <row r="27" spans="1:7">
      <c r="A27" s="884">
        <v>45255</v>
      </c>
      <c r="B27" s="240" t="str">
        <f>TiposLancamentos!B19</f>
        <v>Restaurantes</v>
      </c>
      <c r="C27" s="878" t="s">
        <v>1882</v>
      </c>
      <c r="D27" s="63"/>
      <c r="E27" s="231">
        <v>89.8</v>
      </c>
      <c r="F27" s="899"/>
      <c r="G27" s="1368" t="s">
        <v>9</v>
      </c>
    </row>
    <row r="28" spans="1:7">
      <c r="A28" s="884">
        <v>45255</v>
      </c>
      <c r="B28" s="240" t="str">
        <f>TiposLancamentos!B57</f>
        <v>Informática</v>
      </c>
      <c r="C28" s="878" t="s">
        <v>1883</v>
      </c>
      <c r="D28" s="63"/>
      <c r="E28" s="231">
        <v>26.9</v>
      </c>
      <c r="F28" s="899"/>
      <c r="G28" s="1368" t="s">
        <v>9</v>
      </c>
    </row>
    <row r="29" spans="1:7">
      <c r="A29" s="884">
        <v>45255</v>
      </c>
      <c r="B29" s="240" t="str">
        <f>B24</f>
        <v>Supermercado</v>
      </c>
      <c r="C29" s="878" t="s">
        <v>1879</v>
      </c>
      <c r="D29" s="63"/>
      <c r="E29" s="231">
        <v>43.97</v>
      </c>
      <c r="F29" s="899"/>
      <c r="G29" s="1368" t="s">
        <v>9</v>
      </c>
    </row>
    <row r="30" spans="1:7">
      <c r="A30" s="884">
        <v>45255</v>
      </c>
      <c r="B30" s="240" t="str">
        <f>TiposLancamentos!B5</f>
        <v>Supermercado</v>
      </c>
      <c r="C30" s="878" t="s">
        <v>1884</v>
      </c>
      <c r="D30" s="63"/>
      <c r="E30" s="231">
        <v>17.78</v>
      </c>
      <c r="F30" s="899"/>
      <c r="G30" s="1368" t="s">
        <v>9</v>
      </c>
    </row>
    <row r="31" spans="1:7">
      <c r="A31" s="884">
        <v>45256</v>
      </c>
      <c r="B31" s="240" t="str">
        <f>TiposLancamentos!B19</f>
        <v>Restaurantes</v>
      </c>
      <c r="C31" s="878" t="s">
        <v>1885</v>
      </c>
      <c r="D31" s="63"/>
      <c r="E31" s="231">
        <v>19.97</v>
      </c>
      <c r="F31" s="899"/>
      <c r="G31" s="1368" t="s">
        <v>9</v>
      </c>
    </row>
    <row r="32" spans="1:7">
      <c r="A32" s="884">
        <v>45256</v>
      </c>
      <c r="B32" s="240" t="str">
        <f>TiposLancamentos!B19</f>
        <v>Restaurantes</v>
      </c>
      <c r="C32" s="878" t="s">
        <v>1886</v>
      </c>
      <c r="D32" s="63"/>
      <c r="E32" s="231">
        <v>139.04</v>
      </c>
      <c r="F32" s="899"/>
      <c r="G32" s="1368" t="s">
        <v>9</v>
      </c>
    </row>
    <row r="33" spans="1:7">
      <c r="A33" s="884">
        <v>45256</v>
      </c>
      <c r="B33" s="240" t="str">
        <f>TiposLancamentos!B56</f>
        <v>Farmácia</v>
      </c>
      <c r="C33" s="878" t="s">
        <v>1887</v>
      </c>
      <c r="D33" s="63"/>
      <c r="E33" s="231">
        <v>35.69</v>
      </c>
      <c r="F33" s="899"/>
      <c r="G33" s="1368" t="s">
        <v>9</v>
      </c>
    </row>
    <row r="34" spans="1:7">
      <c r="A34" s="884">
        <v>45256</v>
      </c>
      <c r="B34" s="240" t="str">
        <f>TiposLancamentos!B19</f>
        <v>Restaurantes</v>
      </c>
      <c r="C34" s="878" t="s">
        <v>1888</v>
      </c>
      <c r="D34" s="63"/>
      <c r="E34" s="231">
        <v>90.9</v>
      </c>
      <c r="F34" s="899"/>
      <c r="G34" s="1368" t="s">
        <v>9</v>
      </c>
    </row>
    <row r="35" spans="1:7">
      <c r="A35" s="884">
        <v>45256</v>
      </c>
      <c r="B35" s="240" t="str">
        <f>TiposLancamentos!B5</f>
        <v>Supermercado</v>
      </c>
      <c r="C35" s="878" t="s">
        <v>1884</v>
      </c>
      <c r="D35" s="63"/>
      <c r="E35" s="231">
        <v>12.26</v>
      </c>
      <c r="F35" s="899"/>
      <c r="G35" s="1368" t="s">
        <v>9</v>
      </c>
    </row>
    <row r="36" spans="1:7">
      <c r="A36" s="884">
        <v>45257</v>
      </c>
      <c r="B36" s="240" t="str">
        <f>TiposLancamentos!B19</f>
        <v>Restaurantes</v>
      </c>
      <c r="C36" s="878" t="s">
        <v>1889</v>
      </c>
      <c r="D36" s="63"/>
      <c r="E36" s="231">
        <v>10</v>
      </c>
      <c r="F36" s="899"/>
      <c r="G36" s="1368" t="s">
        <v>9</v>
      </c>
    </row>
    <row r="37" spans="1:7">
      <c r="A37" s="884">
        <v>45257</v>
      </c>
      <c r="B37" s="240" t="str">
        <f>TiposLancamentos!B19</f>
        <v>Restaurantes</v>
      </c>
      <c r="C37" s="878" t="s">
        <v>1890</v>
      </c>
      <c r="D37" s="63"/>
      <c r="E37" s="231">
        <v>41.21</v>
      </c>
      <c r="F37" s="899"/>
      <c r="G37" s="1368" t="s">
        <v>9</v>
      </c>
    </row>
    <row r="38" spans="1:7">
      <c r="A38" s="884">
        <v>45257</v>
      </c>
      <c r="B38" s="240" t="str">
        <f>TiposLancamentos!B19</f>
        <v>Restaurantes</v>
      </c>
      <c r="C38" s="878" t="s">
        <v>1891</v>
      </c>
      <c r="D38" s="63"/>
      <c r="E38" s="231">
        <v>11</v>
      </c>
      <c r="F38" s="899"/>
      <c r="G38" s="1368" t="s">
        <v>9</v>
      </c>
    </row>
    <row r="39" spans="1:7">
      <c r="A39" s="884">
        <v>45257</v>
      </c>
      <c r="B39" s="240" t="str">
        <f>TiposLancamentos!B19</f>
        <v>Restaurantes</v>
      </c>
      <c r="C39" s="878" t="s">
        <v>1891</v>
      </c>
      <c r="D39" s="63"/>
      <c r="E39" s="231">
        <v>14.9</v>
      </c>
      <c r="F39" s="899"/>
      <c r="G39" s="1368" t="s">
        <v>9</v>
      </c>
    </row>
    <row r="40" spans="1:7">
      <c r="A40" s="884">
        <v>45257</v>
      </c>
      <c r="B40" s="240" t="str">
        <f>TiposLancamentos!B65</f>
        <v>Taxi</v>
      </c>
      <c r="C40" s="878" t="s">
        <v>1892</v>
      </c>
      <c r="D40" s="63"/>
      <c r="E40" s="231">
        <v>27.51</v>
      </c>
      <c r="F40" s="899"/>
      <c r="G40" s="1368" t="s">
        <v>9</v>
      </c>
    </row>
    <row r="41" spans="1:7">
      <c r="A41" s="884">
        <v>45257</v>
      </c>
      <c r="B41" s="240" t="str">
        <f>TiposLancamentos!B5</f>
        <v>Supermercado</v>
      </c>
      <c r="C41" s="878" t="s">
        <v>1893</v>
      </c>
      <c r="D41" s="63"/>
      <c r="E41" s="231">
        <v>37.299999999999997</v>
      </c>
      <c r="F41" s="899"/>
      <c r="G41" s="1368" t="s">
        <v>9</v>
      </c>
    </row>
    <row r="42" spans="1:7">
      <c r="A42" s="884">
        <v>45258</v>
      </c>
      <c r="B42" s="240" t="str">
        <f>TiposLancamentos!B45</f>
        <v>Online Services</v>
      </c>
      <c r="C42" s="878" t="s">
        <v>1894</v>
      </c>
      <c r="D42" s="63"/>
      <c r="E42" s="231">
        <v>39.9</v>
      </c>
      <c r="F42" s="899"/>
      <c r="G42" s="1368" t="s">
        <v>9</v>
      </c>
    </row>
    <row r="43" spans="1:7">
      <c r="A43" s="884">
        <v>45258</v>
      </c>
      <c r="B43" s="240" t="str">
        <f>TiposLancamentos!B45</f>
        <v>Online Services</v>
      </c>
      <c r="C43" s="878" t="s">
        <v>1895</v>
      </c>
      <c r="D43" s="63"/>
      <c r="E43" s="231">
        <v>34.9</v>
      </c>
      <c r="F43" s="899"/>
      <c r="G43" s="1368" t="s">
        <v>9</v>
      </c>
    </row>
    <row r="44" spans="1:7">
      <c r="A44" s="884">
        <v>45258</v>
      </c>
      <c r="B44" s="240" t="str">
        <f>TiposLancamentos!B19</f>
        <v>Restaurantes</v>
      </c>
      <c r="C44" s="878" t="s">
        <v>1896</v>
      </c>
      <c r="D44" s="63"/>
      <c r="E44" s="231">
        <v>40</v>
      </c>
      <c r="F44" s="899"/>
      <c r="G44" s="1368" t="s">
        <v>9</v>
      </c>
    </row>
    <row r="45" spans="1:7">
      <c r="A45" s="884">
        <v>45258</v>
      </c>
      <c r="B45" s="240" t="str">
        <f>TiposLancamentos!B19</f>
        <v>Restaurantes</v>
      </c>
      <c r="C45" s="878" t="s">
        <v>1884</v>
      </c>
      <c r="D45" s="63"/>
      <c r="E45" s="231">
        <v>7.99</v>
      </c>
      <c r="F45" s="899"/>
      <c r="G45" s="1368" t="s">
        <v>9</v>
      </c>
    </row>
    <row r="46" spans="1:7">
      <c r="A46" s="884">
        <v>45258</v>
      </c>
      <c r="B46" s="240" t="str">
        <f>TiposLancamentos!B17</f>
        <v>GATO</v>
      </c>
      <c r="C46" s="878" t="s">
        <v>1897</v>
      </c>
      <c r="D46" s="63"/>
      <c r="E46" s="231">
        <v>71.599999999999994</v>
      </c>
      <c r="F46" s="899"/>
      <c r="G46" s="1368" t="s">
        <v>9</v>
      </c>
    </row>
    <row r="47" spans="1:7">
      <c r="A47" s="884">
        <v>45258</v>
      </c>
      <c r="B47" s="240" t="str">
        <f>TiposLancamentos!B24</f>
        <v>Estacionamentos</v>
      </c>
      <c r="C47" s="878" t="s">
        <v>1898</v>
      </c>
      <c r="D47" s="63"/>
      <c r="E47" s="231">
        <v>18</v>
      </c>
      <c r="F47" s="899"/>
      <c r="G47" s="1368" t="s">
        <v>9</v>
      </c>
    </row>
    <row r="48" spans="1:7">
      <c r="A48" s="884">
        <v>45258</v>
      </c>
      <c r="B48" s="240" t="str">
        <f>TiposLancamentos!B19</f>
        <v>Restaurantes</v>
      </c>
      <c r="C48" s="878" t="s">
        <v>1899</v>
      </c>
      <c r="D48" s="63"/>
      <c r="E48" s="231">
        <v>25.9</v>
      </c>
      <c r="F48" s="899"/>
      <c r="G48" s="1368" t="s">
        <v>9</v>
      </c>
    </row>
    <row r="49" spans="1:7">
      <c r="A49" s="884">
        <v>45258</v>
      </c>
      <c r="B49" s="240" t="str">
        <f>TiposLancamentos!B5</f>
        <v>Supermercado</v>
      </c>
      <c r="C49" s="878" t="s">
        <v>1900</v>
      </c>
      <c r="D49" s="63"/>
      <c r="E49" s="231">
        <v>8.99</v>
      </c>
      <c r="F49" s="899"/>
      <c r="G49" s="1368" t="s">
        <v>9</v>
      </c>
    </row>
    <row r="50" spans="1:7">
      <c r="A50" s="884">
        <v>45260</v>
      </c>
      <c r="B50" s="240" t="str">
        <f>TiposLancamentos!B45</f>
        <v>Online Services</v>
      </c>
      <c r="C50" s="878" t="s">
        <v>1901</v>
      </c>
      <c r="D50" s="63"/>
      <c r="E50" s="231">
        <v>17.45</v>
      </c>
      <c r="F50" s="899"/>
      <c r="G50" s="1368" t="s">
        <v>9</v>
      </c>
    </row>
    <row r="51" spans="1:7">
      <c r="A51" s="858">
        <v>45260</v>
      </c>
      <c r="B51" s="822" t="str">
        <f>TiposLancamentos!B60</f>
        <v>Correio</v>
      </c>
      <c r="C51" s="1396" t="s">
        <v>1902</v>
      </c>
      <c r="D51" s="747"/>
      <c r="E51" s="1139">
        <f>F52-E52</f>
        <v>29.130000000000003</v>
      </c>
      <c r="F51" s="1454"/>
      <c r="G51" s="1368" t="s">
        <v>9</v>
      </c>
    </row>
    <row r="52" spans="1:7" ht="14.25" thickBot="1">
      <c r="A52" s="862">
        <v>45260</v>
      </c>
      <c r="B52" s="823" t="str">
        <f>TiposLancamentos!B13</f>
        <v>Moradia</v>
      </c>
      <c r="C52" s="1448" t="s">
        <v>1902</v>
      </c>
      <c r="D52" s="849"/>
      <c r="E52" s="1141">
        <v>55.24</v>
      </c>
      <c r="F52" s="1456">
        <v>84.37</v>
      </c>
      <c r="G52" s="1368" t="s">
        <v>9</v>
      </c>
    </row>
    <row r="53" spans="1:7">
      <c r="A53" s="1032"/>
      <c r="B53" s="1230"/>
      <c r="C53" s="1092" t="s">
        <v>1629</v>
      </c>
      <c r="D53" s="896"/>
      <c r="E53" s="925"/>
      <c r="F53" s="898">
        <f>SUM(E15:E20)</f>
        <v>0</v>
      </c>
    </row>
    <row r="54" spans="1:7">
      <c r="A54" s="884">
        <v>45261</v>
      </c>
      <c r="B54" s="240" t="str">
        <f>TiposLancamentos!B15</f>
        <v>Cartões de Crédito</v>
      </c>
      <c r="C54" s="878" t="s">
        <v>1874</v>
      </c>
      <c r="D54" s="63">
        <v>0</v>
      </c>
      <c r="E54" s="231"/>
      <c r="F54" s="899">
        <f>F53-F17</f>
        <v>-230.85000000000002</v>
      </c>
    </row>
    <row r="55" spans="1:7">
      <c r="A55" s="884">
        <v>45261</v>
      </c>
      <c r="B55" s="240" t="str">
        <f>TiposLancamentos!B71</f>
        <v>Itens Pessoais</v>
      </c>
      <c r="C55" s="878" t="s">
        <v>1903</v>
      </c>
      <c r="D55" s="63"/>
      <c r="E55" s="231">
        <v>35</v>
      </c>
      <c r="F55" s="899"/>
      <c r="G55" s="1368" t="s">
        <v>9</v>
      </c>
    </row>
    <row r="56" spans="1:7">
      <c r="A56" s="884">
        <v>45262</v>
      </c>
      <c r="B56" s="240" t="str">
        <f>TiposLancamentos!B19</f>
        <v>Restaurantes</v>
      </c>
      <c r="C56" s="878" t="s">
        <v>1904</v>
      </c>
      <c r="D56" s="63"/>
      <c r="E56" s="231">
        <v>61</v>
      </c>
      <c r="F56" s="899"/>
      <c r="G56" s="1368" t="s">
        <v>9</v>
      </c>
    </row>
    <row r="57" spans="1:7">
      <c r="A57" s="884">
        <v>45262</v>
      </c>
      <c r="B57" s="240" t="str">
        <f>TiposLancamentos!B17</f>
        <v>GATO</v>
      </c>
      <c r="C57" s="878" t="s">
        <v>1905</v>
      </c>
      <c r="D57" s="63"/>
      <c r="E57" s="231">
        <v>187.96</v>
      </c>
      <c r="F57" s="899"/>
      <c r="G57" s="1368" t="s">
        <v>9</v>
      </c>
    </row>
    <row r="58" spans="1:7">
      <c r="A58" s="884">
        <v>45263</v>
      </c>
      <c r="B58" s="240" t="str">
        <f>TiposLancamentos!B5</f>
        <v>Supermercado</v>
      </c>
      <c r="C58" s="878" t="s">
        <v>1906</v>
      </c>
      <c r="D58" s="63"/>
      <c r="E58" s="231">
        <v>332.78</v>
      </c>
      <c r="F58" s="899"/>
      <c r="G58" s="1368" t="s">
        <v>9</v>
      </c>
    </row>
    <row r="59" spans="1:7">
      <c r="A59" s="884">
        <v>45263</v>
      </c>
      <c r="B59" s="240" t="str">
        <f>TiposLancamentos!B19</f>
        <v>Restaurantes</v>
      </c>
      <c r="C59" s="878" t="s">
        <v>1907</v>
      </c>
      <c r="D59" s="63"/>
      <c r="E59" s="231">
        <v>95.4</v>
      </c>
      <c r="F59" s="899"/>
      <c r="G59" s="1368" t="s">
        <v>9</v>
      </c>
    </row>
    <row r="60" spans="1:7">
      <c r="A60" s="884">
        <v>45264</v>
      </c>
      <c r="B60" s="240" t="str">
        <f>TiposLancamentos!B54</f>
        <v>Metro</v>
      </c>
      <c r="C60" s="878" t="s">
        <v>1908</v>
      </c>
      <c r="D60" s="63"/>
      <c r="E60" s="231">
        <v>96.8</v>
      </c>
      <c r="F60" s="899"/>
      <c r="G60" s="1368" t="s">
        <v>9</v>
      </c>
    </row>
    <row r="61" spans="1:7">
      <c r="A61" s="884"/>
      <c r="B61" s="240"/>
      <c r="C61" s="878" t="s">
        <v>1868</v>
      </c>
      <c r="D61" s="63"/>
      <c r="E61" s="231"/>
      <c r="F61" s="899"/>
    </row>
    <row r="62" spans="1:7">
      <c r="A62" s="858">
        <v>45265</v>
      </c>
      <c r="B62" s="822" t="str">
        <f>TiposLancamentos!B37</f>
        <v>Playstation 3</v>
      </c>
      <c r="C62" s="1396" t="s">
        <v>1909</v>
      </c>
      <c r="D62" s="747"/>
      <c r="E62" s="1139">
        <v>60.89</v>
      </c>
      <c r="F62" s="1454"/>
      <c r="G62" s="1368" t="s">
        <v>9</v>
      </c>
    </row>
    <row r="63" spans="1:7">
      <c r="A63" s="862">
        <v>45265</v>
      </c>
      <c r="B63" s="823" t="str">
        <f>TiposLancamentos!B60</f>
        <v>Correio</v>
      </c>
      <c r="C63" s="1448" t="s">
        <v>1910</v>
      </c>
      <c r="D63" s="849"/>
      <c r="E63" s="1141">
        <f>F63-E62</f>
        <v>31.769999999999996</v>
      </c>
      <c r="F63" s="1456">
        <v>92.66</v>
      </c>
      <c r="G63" s="1368" t="s">
        <v>9</v>
      </c>
    </row>
    <row r="64" spans="1:7">
      <c r="A64" s="884"/>
      <c r="B64" s="240"/>
      <c r="C64" s="878" t="s">
        <v>1868</v>
      </c>
      <c r="D64" s="63"/>
      <c r="E64" s="231"/>
      <c r="F64" s="899"/>
    </row>
    <row r="65" spans="1:7">
      <c r="A65" s="858">
        <v>45266</v>
      </c>
      <c r="B65" s="822" t="str">
        <f>TiposLancamentos!B16</f>
        <v>Cristiane</v>
      </c>
      <c r="C65" s="1396" t="s">
        <v>1911</v>
      </c>
      <c r="D65" s="747"/>
      <c r="E65" s="1139">
        <v>44.59</v>
      </c>
      <c r="F65" s="1454"/>
      <c r="G65" s="1368" t="s">
        <v>9</v>
      </c>
    </row>
    <row r="66" spans="1:7">
      <c r="A66" s="860">
        <v>45266</v>
      </c>
      <c r="B66" s="275" t="str">
        <f>TiposLancamentos!B56</f>
        <v>Farmácia</v>
      </c>
      <c r="C66" s="1443" t="s">
        <v>1912</v>
      </c>
      <c r="D66" s="51"/>
      <c r="E66" s="1147">
        <v>24.79</v>
      </c>
      <c r="F66" s="899"/>
      <c r="G66" s="1368" t="s">
        <v>9</v>
      </c>
    </row>
    <row r="67" spans="1:7">
      <c r="A67" s="862">
        <v>45266</v>
      </c>
      <c r="B67" s="823" t="str">
        <f>TiposLancamentos!B18</f>
        <v>Alimentacao</v>
      </c>
      <c r="C67" s="1448" t="s">
        <v>1913</v>
      </c>
      <c r="D67" s="849"/>
      <c r="E67" s="1141">
        <v>9.43</v>
      </c>
      <c r="F67" s="1456">
        <f>SUM(E65:E67)</f>
        <v>78.81</v>
      </c>
      <c r="G67" s="1368" t="s">
        <v>9</v>
      </c>
    </row>
    <row r="68" spans="1:7">
      <c r="A68" s="884"/>
      <c r="B68" s="240"/>
      <c r="C68" s="878" t="s">
        <v>1868</v>
      </c>
      <c r="D68" s="63"/>
      <c r="E68" s="231"/>
      <c r="F68" s="899"/>
    </row>
    <row r="69" spans="1:7">
      <c r="A69" s="884">
        <v>45268</v>
      </c>
      <c r="B69" s="240" t="str">
        <f>TiposLancamentos!B24</f>
        <v>Estacionamentos</v>
      </c>
      <c r="C69" s="878" t="s">
        <v>1914</v>
      </c>
      <c r="D69" s="63"/>
      <c r="E69" s="231">
        <v>18</v>
      </c>
      <c r="F69" s="899"/>
      <c r="G69" s="1368" t="s">
        <v>9</v>
      </c>
    </row>
    <row r="70" spans="1:7">
      <c r="A70" s="884">
        <v>45268</v>
      </c>
      <c r="B70" s="240" t="str">
        <f>TiposLancamentos!B19</f>
        <v>Restaurantes</v>
      </c>
      <c r="C70" s="878" t="s">
        <v>1915</v>
      </c>
      <c r="D70" s="63"/>
      <c r="E70" s="231">
        <v>90.4</v>
      </c>
      <c r="F70" s="899"/>
      <c r="G70" s="1368" t="s">
        <v>9</v>
      </c>
    </row>
    <row r="71" spans="1:7">
      <c r="A71" s="884">
        <v>45269</v>
      </c>
      <c r="B71" s="240" t="str">
        <f>TiposLancamentos!B72</f>
        <v>Presentes</v>
      </c>
      <c r="C71" s="878" t="s">
        <v>1916</v>
      </c>
      <c r="D71" s="63"/>
      <c r="E71" s="231">
        <v>143.93</v>
      </c>
      <c r="F71" s="899"/>
      <c r="G71" s="1368" t="s">
        <v>9</v>
      </c>
    </row>
    <row r="72" spans="1:7">
      <c r="A72" s="884">
        <v>45269</v>
      </c>
      <c r="B72" s="240" t="str">
        <f>TiposLancamentos!B19</f>
        <v>Restaurantes</v>
      </c>
      <c r="C72" s="878" t="s">
        <v>1917</v>
      </c>
      <c r="D72" s="63"/>
      <c r="E72" s="231">
        <v>35.5</v>
      </c>
      <c r="F72" s="899"/>
      <c r="G72" s="1368" t="s">
        <v>9</v>
      </c>
    </row>
    <row r="73" spans="1:7">
      <c r="A73" s="884">
        <v>45269</v>
      </c>
      <c r="B73" s="240" t="str">
        <f>TiposLancamentos!B22</f>
        <v>Combustivel</v>
      </c>
      <c r="C73" s="878" t="s">
        <v>1918</v>
      </c>
      <c r="D73" s="63"/>
      <c r="E73" s="231">
        <v>50</v>
      </c>
      <c r="F73" s="899"/>
      <c r="G73" s="1368" t="s">
        <v>9</v>
      </c>
    </row>
    <row r="74" spans="1:7">
      <c r="A74" s="884">
        <v>45270</v>
      </c>
      <c r="B74" s="240" t="str">
        <f>TiposLancamentos!B45</f>
        <v>Online Services</v>
      </c>
      <c r="C74" s="878" t="s">
        <v>1919</v>
      </c>
      <c r="D74" s="63"/>
      <c r="E74" s="231">
        <v>119</v>
      </c>
      <c r="F74" s="899"/>
      <c r="G74" s="1368" t="s">
        <v>9</v>
      </c>
    </row>
    <row r="75" spans="1:7">
      <c r="A75" s="884">
        <v>45270</v>
      </c>
      <c r="B75" s="240" t="str">
        <f>TiposLancamentos!B19</f>
        <v>Restaurantes</v>
      </c>
      <c r="C75" s="878" t="s">
        <v>1920</v>
      </c>
      <c r="D75" s="63"/>
      <c r="E75" s="231">
        <v>120.6</v>
      </c>
      <c r="F75" s="899"/>
      <c r="G75" s="1368" t="s">
        <v>9</v>
      </c>
    </row>
    <row r="76" spans="1:7">
      <c r="A76" s="884">
        <v>45270</v>
      </c>
      <c r="B76" s="240" t="str">
        <f>TiposLancamentos!B24</f>
        <v>Estacionamentos</v>
      </c>
      <c r="C76" s="878" t="s">
        <v>1921</v>
      </c>
      <c r="D76" s="63"/>
      <c r="E76" s="231">
        <v>20</v>
      </c>
      <c r="F76" s="899"/>
      <c r="G76" s="1368" t="s">
        <v>9</v>
      </c>
    </row>
    <row r="77" spans="1:7">
      <c r="A77" s="884">
        <v>45270</v>
      </c>
      <c r="B77" s="240" t="str">
        <f>TiposLancamentos!B19</f>
        <v>Restaurantes</v>
      </c>
      <c r="C77" s="878" t="s">
        <v>1922</v>
      </c>
      <c r="D77" s="63"/>
      <c r="E77" s="231">
        <v>94.9</v>
      </c>
      <c r="F77" s="899"/>
      <c r="G77" s="1368" t="s">
        <v>9</v>
      </c>
    </row>
    <row r="78" spans="1:7">
      <c r="A78" s="884">
        <v>45272</v>
      </c>
      <c r="B78" s="240" t="str">
        <f>TiposLancamentos!B19</f>
        <v>Restaurantes</v>
      </c>
      <c r="C78" s="878" t="s">
        <v>1923</v>
      </c>
      <c r="D78" s="63"/>
      <c r="E78" s="231">
        <v>95.4</v>
      </c>
      <c r="F78" s="899"/>
      <c r="G78" s="1368" t="s">
        <v>9</v>
      </c>
    </row>
    <row r="79" spans="1:7">
      <c r="A79" s="858">
        <v>45273</v>
      </c>
      <c r="B79" s="822" t="str">
        <f>TiposLancamentos!B60</f>
        <v>Correio</v>
      </c>
      <c r="C79" s="1396" t="s">
        <v>1924</v>
      </c>
      <c r="D79" s="747"/>
      <c r="E79" s="1139">
        <f>F80-E80</f>
        <v>34.76</v>
      </c>
      <c r="F79" s="1454"/>
      <c r="G79" s="1368" t="s">
        <v>9</v>
      </c>
    </row>
    <row r="80" spans="1:7">
      <c r="A80" s="862">
        <v>45273</v>
      </c>
      <c r="B80" s="823" t="str">
        <f>TiposLancamentos!B13</f>
        <v>Moradia</v>
      </c>
      <c r="C80" s="1448" t="s">
        <v>1924</v>
      </c>
      <c r="D80" s="849"/>
      <c r="E80" s="1141">
        <v>55.24</v>
      </c>
      <c r="F80" s="1456">
        <v>90</v>
      </c>
      <c r="G80" s="1368" t="s">
        <v>9</v>
      </c>
    </row>
    <row r="81" spans="1:7">
      <c r="A81" s="884"/>
      <c r="B81" s="240"/>
      <c r="C81" s="878" t="s">
        <v>1868</v>
      </c>
      <c r="D81" s="63"/>
      <c r="E81" s="231"/>
      <c r="F81" s="899"/>
    </row>
    <row r="82" spans="1:7">
      <c r="A82" s="858">
        <v>45273</v>
      </c>
      <c r="B82" s="822" t="str">
        <f>TiposLancamentos!B60</f>
        <v>Correio</v>
      </c>
      <c r="C82" s="1396" t="s">
        <v>1902</v>
      </c>
      <c r="D82" s="747"/>
      <c r="E82" s="1139">
        <f>F83-E83</f>
        <v>34.76</v>
      </c>
      <c r="F82" s="1454"/>
      <c r="G82" s="1368" t="s">
        <v>9</v>
      </c>
    </row>
    <row r="83" spans="1:7">
      <c r="A83" s="862">
        <v>45273</v>
      </c>
      <c r="B83" s="823" t="str">
        <f>TiposLancamentos!B13</f>
        <v>Moradia</v>
      </c>
      <c r="C83" s="1448" t="s">
        <v>1902</v>
      </c>
      <c r="D83" s="849"/>
      <c r="E83" s="1141">
        <v>55.24</v>
      </c>
      <c r="F83" s="1456">
        <v>90</v>
      </c>
      <c r="G83" s="1368" t="s">
        <v>9</v>
      </c>
    </row>
    <row r="84" spans="1:7">
      <c r="A84" s="884">
        <v>45275</v>
      </c>
      <c r="B84" s="240" t="str">
        <f>TiposLancamentos!B102</f>
        <v>ESTORNO</v>
      </c>
      <c r="C84" s="878" t="s">
        <v>1902</v>
      </c>
      <c r="D84" s="63">
        <v>90</v>
      </c>
      <c r="E84" s="231"/>
      <c r="F84" s="899"/>
    </row>
    <row r="85" spans="1:7">
      <c r="A85" s="884">
        <v>45275</v>
      </c>
      <c r="B85" s="240" t="str">
        <f>TiposLancamentos!B17</f>
        <v>GATO</v>
      </c>
      <c r="C85" s="878" t="s">
        <v>1925</v>
      </c>
      <c r="D85" s="63"/>
      <c r="E85" s="231">
        <v>32.979999999999997</v>
      </c>
      <c r="F85" s="899"/>
      <c r="G85" s="1368" t="s">
        <v>9</v>
      </c>
    </row>
    <row r="86" spans="1:7">
      <c r="A86" s="884">
        <v>45275</v>
      </c>
      <c r="B86" s="240" t="str">
        <f>TiposLancamentos!B19</f>
        <v>Restaurantes</v>
      </c>
      <c r="C86" s="878" t="s">
        <v>1923</v>
      </c>
      <c r="D86" s="63"/>
      <c r="E86" s="231">
        <v>90.4</v>
      </c>
      <c r="F86" s="899"/>
      <c r="G86" s="1368" t="s">
        <v>9</v>
      </c>
    </row>
    <row r="87" spans="1:7">
      <c r="A87" s="884">
        <v>45276</v>
      </c>
      <c r="B87" s="240" t="str">
        <f>TiposLancamentos!B19</f>
        <v>Restaurantes</v>
      </c>
      <c r="C87" s="878" t="s">
        <v>1926</v>
      </c>
      <c r="D87" s="63"/>
      <c r="E87" s="231">
        <v>41.6</v>
      </c>
      <c r="F87" s="899"/>
      <c r="G87" s="1368" t="s">
        <v>9</v>
      </c>
    </row>
    <row r="88" spans="1:7">
      <c r="A88" s="884">
        <v>45276</v>
      </c>
      <c r="B88" s="240" t="str">
        <f>TiposLancamentos!B19</f>
        <v>Restaurantes</v>
      </c>
      <c r="C88" s="878" t="s">
        <v>1927</v>
      </c>
      <c r="D88" s="63"/>
      <c r="E88" s="231">
        <v>48.9</v>
      </c>
      <c r="F88" s="899"/>
      <c r="G88" s="1368" t="s">
        <v>9</v>
      </c>
    </row>
    <row r="89" spans="1:7">
      <c r="A89" s="884">
        <v>45276</v>
      </c>
      <c r="B89" s="240" t="str">
        <f>TiposLancamentos!B19</f>
        <v>Restaurantes</v>
      </c>
      <c r="C89" s="878" t="s">
        <v>1928</v>
      </c>
      <c r="D89" s="63"/>
      <c r="E89" s="231">
        <v>30</v>
      </c>
      <c r="F89" s="899"/>
      <c r="G89" s="1368" t="s">
        <v>9</v>
      </c>
    </row>
    <row r="90" spans="1:7">
      <c r="A90" s="884">
        <v>45277</v>
      </c>
      <c r="B90" s="240" t="str">
        <f>TiposLancamentos!B19</f>
        <v>Restaurantes</v>
      </c>
      <c r="C90" s="878" t="s">
        <v>1929</v>
      </c>
      <c r="D90" s="63"/>
      <c r="E90" s="231">
        <v>38.200000000000003</v>
      </c>
      <c r="F90" s="899"/>
      <c r="G90" s="1368" t="s">
        <v>9</v>
      </c>
    </row>
    <row r="91" spans="1:7">
      <c r="A91" s="884">
        <v>45277</v>
      </c>
      <c r="B91" s="240" t="str">
        <f>TiposLancamentos!B19</f>
        <v>Restaurantes</v>
      </c>
      <c r="C91" s="878" t="s">
        <v>1930</v>
      </c>
      <c r="D91" s="63"/>
      <c r="E91" s="231">
        <v>33.4</v>
      </c>
      <c r="F91" s="899"/>
      <c r="G91" s="1368" t="s">
        <v>9</v>
      </c>
    </row>
    <row r="92" spans="1:7">
      <c r="A92" s="934"/>
      <c r="B92" s="243"/>
      <c r="C92" s="389" t="s">
        <v>10</v>
      </c>
      <c r="D92" s="146"/>
      <c r="E92" s="1190"/>
      <c r="F92" s="935"/>
      <c r="G92" s="1094" t="s">
        <v>11</v>
      </c>
    </row>
    <row r="93" spans="1:7">
      <c r="A93" s="884">
        <v>45283</v>
      </c>
      <c r="B93" s="240" t="str">
        <f>TiposLancamentos!B45</f>
        <v>Online Services</v>
      </c>
      <c r="C93" s="878" t="s">
        <v>1876</v>
      </c>
      <c r="D93" s="63"/>
      <c r="E93" s="231">
        <v>4.9000000000000004</v>
      </c>
      <c r="F93" s="899"/>
      <c r="G93" s="1368" t="s">
        <v>9</v>
      </c>
    </row>
    <row r="94" spans="1:7">
      <c r="A94" s="884">
        <v>45288</v>
      </c>
      <c r="B94" s="240" t="str">
        <f>TiposLancamentos!B45</f>
        <v>Online Services</v>
      </c>
      <c r="C94" s="878" t="s">
        <v>1894</v>
      </c>
      <c r="D94" s="63"/>
      <c r="E94" s="231">
        <v>39.9</v>
      </c>
      <c r="F94" s="899"/>
      <c r="G94" s="1368" t="s">
        <v>9</v>
      </c>
    </row>
    <row r="95" spans="1:7">
      <c r="A95" s="884">
        <v>45288</v>
      </c>
      <c r="B95" s="240" t="str">
        <f>TiposLancamentos!B45</f>
        <v>Online Services</v>
      </c>
      <c r="C95" s="878" t="s">
        <v>1895</v>
      </c>
      <c r="D95" s="63"/>
      <c r="E95" s="231">
        <v>34.9</v>
      </c>
      <c r="F95" s="899"/>
      <c r="G95" s="1368" t="s">
        <v>9</v>
      </c>
    </row>
    <row r="96" spans="1:7" ht="14.25" thickBot="1">
      <c r="A96" s="884">
        <v>45290</v>
      </c>
      <c r="B96" s="240" t="str">
        <f>TiposLancamentos!B45</f>
        <v>Online Services</v>
      </c>
      <c r="C96" s="878" t="s">
        <v>1901</v>
      </c>
      <c r="D96" s="63"/>
      <c r="E96" s="231">
        <v>17.45</v>
      </c>
      <c r="F96" s="899"/>
      <c r="G96" s="1368" t="s">
        <v>9</v>
      </c>
    </row>
    <row r="97" spans="1:7">
      <c r="A97" s="1032"/>
      <c r="B97" s="1230"/>
      <c r="C97" s="1092" t="s">
        <v>1630</v>
      </c>
      <c r="D97" s="896"/>
      <c r="E97" s="925"/>
      <c r="F97" s="898">
        <f>SUM(E20:E92)-D84</f>
        <v>3849.130000000001</v>
      </c>
    </row>
    <row r="98" spans="1:7">
      <c r="A98" s="884">
        <v>45292</v>
      </c>
      <c r="B98" s="240" t="str">
        <f>TiposLancamentos!B15</f>
        <v>Cartões de Crédito</v>
      </c>
      <c r="C98" s="878" t="s">
        <v>1874</v>
      </c>
      <c r="D98" s="63">
        <v>3849.13</v>
      </c>
      <c r="E98" s="231"/>
      <c r="F98" s="899">
        <f>F97-F53</f>
        <v>3849.130000000001</v>
      </c>
      <c r="G98" s="1368" t="s">
        <v>9</v>
      </c>
    </row>
    <row r="99" spans="1:7">
      <c r="A99" s="884">
        <v>45297</v>
      </c>
      <c r="B99" s="240" t="str">
        <f>TiposLancamentos!B19</f>
        <v>Restaurantes</v>
      </c>
      <c r="C99" s="878" t="s">
        <v>1931</v>
      </c>
      <c r="D99" s="63"/>
      <c r="E99" s="231">
        <v>54</v>
      </c>
      <c r="F99" s="899"/>
      <c r="G99" s="1368" t="s">
        <v>9</v>
      </c>
    </row>
    <row r="100" spans="1:7">
      <c r="A100" s="884">
        <v>45300</v>
      </c>
      <c r="B100" s="240" t="str">
        <f>TiposLancamentos!B19</f>
        <v>Restaurantes</v>
      </c>
      <c r="C100" s="878" t="s">
        <v>1932</v>
      </c>
      <c r="D100" s="63"/>
      <c r="E100" s="231">
        <v>69.790000000000006</v>
      </c>
      <c r="F100" s="899"/>
      <c r="G100" s="1368" t="s">
        <v>9</v>
      </c>
    </row>
    <row r="101" spans="1:7">
      <c r="A101" s="884">
        <v>45300</v>
      </c>
      <c r="B101" s="240" t="str">
        <f>TiposLancamentos!B19</f>
        <v>Restaurantes</v>
      </c>
      <c r="C101" s="878" t="s">
        <v>1933</v>
      </c>
      <c r="D101" s="63"/>
      <c r="E101" s="231">
        <v>93</v>
      </c>
      <c r="F101" s="899"/>
      <c r="G101" s="1368" t="s">
        <v>9</v>
      </c>
    </row>
    <row r="102" spans="1:7">
      <c r="A102" s="884">
        <v>45301</v>
      </c>
      <c r="B102" s="240" t="str">
        <f>TiposLancamentos!B19</f>
        <v>Restaurantes</v>
      </c>
      <c r="C102" s="878" t="s">
        <v>1934</v>
      </c>
      <c r="D102" s="63"/>
      <c r="E102" s="231">
        <v>99.6</v>
      </c>
      <c r="F102" s="899"/>
      <c r="G102" s="1368" t="s">
        <v>9</v>
      </c>
    </row>
    <row r="103" spans="1:7">
      <c r="A103" s="884">
        <v>45302</v>
      </c>
      <c r="B103" s="240" t="str">
        <f>TiposLancamentos!B54</f>
        <v>Metro</v>
      </c>
      <c r="C103" s="878" t="s">
        <v>1908</v>
      </c>
      <c r="D103" s="63"/>
      <c r="E103" s="231">
        <v>44</v>
      </c>
      <c r="F103" s="899"/>
      <c r="G103" s="1368" t="s">
        <v>9</v>
      </c>
    </row>
    <row r="104" spans="1:7">
      <c r="A104" s="884">
        <v>45304</v>
      </c>
      <c r="B104" s="240" t="str">
        <f>TiposLancamentos!B19</f>
        <v>Restaurantes</v>
      </c>
      <c r="C104" s="878" t="s">
        <v>1935</v>
      </c>
      <c r="D104" s="63"/>
      <c r="E104" s="231">
        <v>99.9</v>
      </c>
      <c r="F104" s="899"/>
      <c r="G104" s="1368" t="s">
        <v>9</v>
      </c>
    </row>
    <row r="105" spans="1:7">
      <c r="A105" s="934"/>
      <c r="B105" s="243"/>
      <c r="C105" s="389" t="s">
        <v>10</v>
      </c>
      <c r="D105" s="146"/>
      <c r="E105" s="1190"/>
      <c r="F105" s="935"/>
      <c r="G105" s="1094" t="s">
        <v>11</v>
      </c>
    </row>
    <row r="106" spans="1:7">
      <c r="A106" s="884">
        <v>45312</v>
      </c>
      <c r="B106" s="240" t="str">
        <f>TiposLancamentos!B19</f>
        <v>Restaurantes</v>
      </c>
      <c r="C106" s="878" t="s">
        <v>1936</v>
      </c>
      <c r="D106" s="63"/>
      <c r="E106" s="231">
        <v>214.5</v>
      </c>
      <c r="F106" s="899"/>
      <c r="G106" s="1368" t="s">
        <v>9</v>
      </c>
    </row>
    <row r="107" spans="1:7">
      <c r="A107" s="884">
        <v>45312</v>
      </c>
      <c r="B107" s="240" t="str">
        <f>TiposLancamentos!B19</f>
        <v>Restaurantes</v>
      </c>
      <c r="C107" s="878" t="s">
        <v>1937</v>
      </c>
      <c r="D107" s="63"/>
      <c r="E107" s="231">
        <v>47.5</v>
      </c>
      <c r="F107" s="899"/>
      <c r="G107" s="1368" t="s">
        <v>9</v>
      </c>
    </row>
    <row r="108" spans="1:7">
      <c r="A108" s="858">
        <v>45313</v>
      </c>
      <c r="B108" s="822" t="str">
        <f>TiposLancamentos!B41</f>
        <v>PSP Slim 3k</v>
      </c>
      <c r="C108" s="1396" t="s">
        <v>1938</v>
      </c>
      <c r="D108" s="747"/>
      <c r="E108" s="1139">
        <f>F109-E109</f>
        <v>66.45</v>
      </c>
      <c r="F108" s="1454"/>
      <c r="G108" s="1368" t="s">
        <v>9</v>
      </c>
    </row>
    <row r="109" spans="1:7">
      <c r="A109" s="862">
        <v>45313</v>
      </c>
      <c r="B109" s="823" t="str">
        <f>TiposLancamentos!B60</f>
        <v>Correio</v>
      </c>
      <c r="C109" s="1448" t="s">
        <v>1939</v>
      </c>
      <c r="D109" s="849"/>
      <c r="E109" s="1141">
        <v>12.72</v>
      </c>
      <c r="F109" s="1456">
        <v>79.17</v>
      </c>
      <c r="G109" s="1368" t="s">
        <v>9</v>
      </c>
    </row>
    <row r="110" spans="1:7">
      <c r="A110" s="884">
        <v>45313</v>
      </c>
      <c r="B110" s="240" t="str">
        <f>TiposLancamentos!B56</f>
        <v>Farmácia</v>
      </c>
      <c r="C110" s="878" t="s">
        <v>1940</v>
      </c>
      <c r="D110" s="63"/>
      <c r="E110" s="231">
        <v>208.24</v>
      </c>
      <c r="F110" s="899"/>
      <c r="G110" s="1368" t="s">
        <v>9</v>
      </c>
    </row>
    <row r="111" spans="1:7">
      <c r="A111" s="884">
        <v>45313</v>
      </c>
      <c r="B111" s="240" t="str">
        <f>TiposLancamentos!B65</f>
        <v>Taxi</v>
      </c>
      <c r="C111" s="878" t="s">
        <v>1941</v>
      </c>
      <c r="D111" s="63"/>
      <c r="E111" s="231">
        <v>17.25</v>
      </c>
      <c r="F111" s="899"/>
      <c r="G111" s="1368" t="s">
        <v>9</v>
      </c>
    </row>
    <row r="112" spans="1:7">
      <c r="A112" s="884">
        <v>45313</v>
      </c>
      <c r="B112" s="240" t="str">
        <f>TiposLancamentos!B5</f>
        <v>Supermercado</v>
      </c>
      <c r="C112" s="878" t="s">
        <v>1942</v>
      </c>
      <c r="D112" s="63"/>
      <c r="E112" s="231">
        <v>39.99</v>
      </c>
      <c r="F112" s="899"/>
      <c r="G112" s="1368" t="s">
        <v>9</v>
      </c>
    </row>
    <row r="113" spans="1:7">
      <c r="A113" s="884">
        <v>45314</v>
      </c>
      <c r="B113" s="240" t="str">
        <f>TiposLancamentos!B5</f>
        <v>Supermercado</v>
      </c>
      <c r="C113" s="878" t="s">
        <v>1943</v>
      </c>
      <c r="D113" s="63"/>
      <c r="E113" s="231">
        <v>231.56</v>
      </c>
      <c r="F113" s="899"/>
      <c r="G113" s="1368" t="s">
        <v>9</v>
      </c>
    </row>
    <row r="114" spans="1:7">
      <c r="A114" s="884">
        <v>45314</v>
      </c>
      <c r="B114" s="240" t="str">
        <f>TiposLancamentos!B45</f>
        <v>Online Services</v>
      </c>
      <c r="C114" s="878" t="s">
        <v>1876</v>
      </c>
      <c r="D114" s="63"/>
      <c r="E114" s="231">
        <v>4.9000000000000004</v>
      </c>
      <c r="F114" s="899"/>
      <c r="G114" s="1368" t="s">
        <v>9</v>
      </c>
    </row>
    <row r="115" spans="1:7">
      <c r="A115" s="858">
        <v>45314</v>
      </c>
      <c r="B115" s="822" t="str">
        <f>TiposLancamentos!B36</f>
        <v>Playstation 2</v>
      </c>
      <c r="C115" s="1396" t="s">
        <v>1944</v>
      </c>
      <c r="D115" s="747"/>
      <c r="E115" s="1139">
        <v>39.9</v>
      </c>
      <c r="F115" s="1454"/>
      <c r="G115" s="1368" t="s">
        <v>9</v>
      </c>
    </row>
    <row r="116" spans="1:7">
      <c r="A116" s="862">
        <v>45314</v>
      </c>
      <c r="B116" s="823" t="s">
        <v>1783</v>
      </c>
      <c r="C116" s="1448" t="s">
        <v>1945</v>
      </c>
      <c r="D116" s="849"/>
      <c r="E116" s="1141">
        <v>14</v>
      </c>
      <c r="F116" s="1456">
        <f>SUM(E115:E116)</f>
        <v>53.9</v>
      </c>
      <c r="G116" s="1368" t="s">
        <v>9</v>
      </c>
    </row>
    <row r="117" spans="1:7">
      <c r="A117" s="884">
        <v>45315</v>
      </c>
      <c r="B117" s="240" t="str">
        <f>TiposLancamentos!B54</f>
        <v>Metro</v>
      </c>
      <c r="C117" s="878" t="s">
        <v>1908</v>
      </c>
      <c r="D117" s="63"/>
      <c r="E117" s="231">
        <v>36</v>
      </c>
      <c r="F117" s="899"/>
      <c r="G117" s="1368" t="s">
        <v>9</v>
      </c>
    </row>
    <row r="118" spans="1:7">
      <c r="A118" s="858">
        <v>45315</v>
      </c>
      <c r="B118" s="822" t="str">
        <f>TiposLancamentos!B36</f>
        <v>Playstation 2</v>
      </c>
      <c r="C118" s="1396" t="s">
        <v>1946</v>
      </c>
      <c r="D118" s="747"/>
      <c r="E118" s="1139">
        <v>31</v>
      </c>
      <c r="F118" s="1454"/>
      <c r="G118" s="1368" t="s">
        <v>9</v>
      </c>
    </row>
    <row r="119" spans="1:7">
      <c r="A119" s="862">
        <v>45315</v>
      </c>
      <c r="B119" s="823" t="str">
        <f>TiposLancamentos!B60</f>
        <v>Correio</v>
      </c>
      <c r="C119" s="1448" t="s">
        <v>1946</v>
      </c>
      <c r="D119" s="849"/>
      <c r="E119" s="1141">
        <v>12.81</v>
      </c>
      <c r="F119" s="1456">
        <f>SUM(E118:E119)</f>
        <v>43.81</v>
      </c>
      <c r="G119" s="1368" t="s">
        <v>9</v>
      </c>
    </row>
    <row r="120" spans="1:7">
      <c r="A120" s="884"/>
      <c r="B120" s="240"/>
      <c r="C120" s="878" t="s">
        <v>1947</v>
      </c>
      <c r="D120" s="63"/>
      <c r="E120" s="231"/>
      <c r="F120" s="899"/>
    </row>
    <row r="121" spans="1:7">
      <c r="A121" s="858">
        <v>45315</v>
      </c>
      <c r="B121" s="822" t="str">
        <f>TiposLancamentos!B36</f>
        <v>Playstation 2</v>
      </c>
      <c r="C121" s="1396" t="s">
        <v>1948</v>
      </c>
      <c r="D121" s="747"/>
      <c r="E121" s="1139">
        <v>29.9</v>
      </c>
      <c r="F121" s="1454"/>
      <c r="G121" s="1368" t="s">
        <v>9</v>
      </c>
    </row>
    <row r="122" spans="1:7">
      <c r="A122" s="862">
        <v>45315</v>
      </c>
      <c r="B122" s="823" t="str">
        <f>TiposLancamentos!B60</f>
        <v>Correio</v>
      </c>
      <c r="C122" s="1448" t="s">
        <v>1948</v>
      </c>
      <c r="D122" s="849"/>
      <c r="E122" s="1141">
        <v>10.98</v>
      </c>
      <c r="F122" s="1456">
        <f>SUM(E121:E122)</f>
        <v>40.879999999999995</v>
      </c>
      <c r="G122" s="1368" t="s">
        <v>9</v>
      </c>
    </row>
    <row r="123" spans="1:7">
      <c r="A123" s="884">
        <v>45317</v>
      </c>
      <c r="B123" s="240" t="str">
        <f>TiposLancamentos!B75</f>
        <v>Shows</v>
      </c>
      <c r="C123" s="878" t="s">
        <v>1949</v>
      </c>
      <c r="D123" s="63"/>
      <c r="E123" s="231">
        <v>184.41</v>
      </c>
      <c r="F123" s="899">
        <f>E123/2</f>
        <v>92.204999999999998</v>
      </c>
      <c r="G123" s="1368" t="s">
        <v>9</v>
      </c>
    </row>
    <row r="124" spans="1:7">
      <c r="A124" s="884">
        <v>45319</v>
      </c>
      <c r="B124" s="240" t="str">
        <f>TiposLancamentos!B45</f>
        <v>Online Services</v>
      </c>
      <c r="C124" s="878" t="s">
        <v>1894</v>
      </c>
      <c r="D124" s="63"/>
      <c r="E124" s="231">
        <v>39.9</v>
      </c>
      <c r="F124" s="899"/>
      <c r="G124" s="1368" t="s">
        <v>9</v>
      </c>
    </row>
    <row r="125" spans="1:7">
      <c r="A125" s="884">
        <v>45319</v>
      </c>
      <c r="B125" s="240" t="str">
        <f>TiposLancamentos!B45</f>
        <v>Online Services</v>
      </c>
      <c r="C125" s="878" t="s">
        <v>1895</v>
      </c>
      <c r="D125" s="63"/>
      <c r="E125" s="231">
        <v>34.9</v>
      </c>
      <c r="F125" s="899"/>
      <c r="G125" s="1368" t="s">
        <v>9</v>
      </c>
    </row>
    <row r="126" spans="1:7">
      <c r="A126" s="884">
        <v>45321</v>
      </c>
      <c r="B126" s="240" t="str">
        <f>TiposLancamentos!B45</f>
        <v>Online Services</v>
      </c>
      <c r="C126" s="878" t="s">
        <v>1901</v>
      </c>
      <c r="D126" s="63"/>
      <c r="E126" s="231">
        <v>17.45</v>
      </c>
      <c r="F126" s="899"/>
      <c r="G126" s="1368" t="s">
        <v>9</v>
      </c>
    </row>
    <row r="127" spans="1:7">
      <c r="A127" s="884">
        <v>45321</v>
      </c>
      <c r="B127" s="240" t="str">
        <f>TiposLancamentos!B67</f>
        <v>Lavanderia</v>
      </c>
      <c r="C127" s="878" t="s">
        <v>1950</v>
      </c>
      <c r="D127" s="63"/>
      <c r="E127" s="231">
        <v>120</v>
      </c>
      <c r="F127" s="899"/>
      <c r="G127" s="1368" t="s">
        <v>9</v>
      </c>
    </row>
    <row r="128" spans="1:7">
      <c r="A128" s="884">
        <v>45321</v>
      </c>
      <c r="B128" s="240" t="str">
        <f>TiposLancamentos!B71</f>
        <v>Itens Pessoais</v>
      </c>
      <c r="C128" s="878" t="s">
        <v>1951</v>
      </c>
      <c r="D128" s="63"/>
      <c r="E128" s="231">
        <v>35</v>
      </c>
      <c r="F128" s="899"/>
      <c r="G128" s="1368" t="s">
        <v>9</v>
      </c>
    </row>
    <row r="129" spans="1:7" ht="14.25" thickBot="1">
      <c r="A129" s="884">
        <v>45322</v>
      </c>
      <c r="B129" s="240" t="str">
        <f>TiposLancamentos!B65</f>
        <v>Taxi</v>
      </c>
      <c r="C129" s="878" t="s">
        <v>1952</v>
      </c>
      <c r="D129" s="63"/>
      <c r="E129" s="231">
        <v>13.18</v>
      </c>
      <c r="F129" s="899"/>
      <c r="G129" s="1368" t="s">
        <v>9</v>
      </c>
    </row>
    <row r="130" spans="1:7">
      <c r="A130" s="1032"/>
      <c r="B130" s="1230"/>
      <c r="C130" s="1092" t="s">
        <v>1631</v>
      </c>
      <c r="D130" s="896"/>
      <c r="E130" s="925"/>
      <c r="F130" s="898">
        <f>SUM(E92:E104)</f>
        <v>557.43999999999994</v>
      </c>
    </row>
    <row r="131" spans="1:7">
      <c r="A131" s="884">
        <v>45323</v>
      </c>
      <c r="B131" s="240" t="str">
        <f>TiposLancamentos!B15</f>
        <v>Cartões de Crédito</v>
      </c>
      <c r="C131" s="878" t="s">
        <v>1874</v>
      </c>
      <c r="D131" s="63">
        <v>557.44000000000005</v>
      </c>
      <c r="E131" s="231"/>
      <c r="F131" s="899">
        <f>F130-F97</f>
        <v>-3291.690000000001</v>
      </c>
      <c r="G131" s="1368" t="s">
        <v>9</v>
      </c>
    </row>
    <row r="132" spans="1:7">
      <c r="A132" s="884">
        <v>45323</v>
      </c>
      <c r="B132" s="240" t="str">
        <f>TiposLancamentos!B54</f>
        <v>Metro</v>
      </c>
      <c r="C132" s="878" t="s">
        <v>1908</v>
      </c>
      <c r="D132" s="63"/>
      <c r="E132" s="231">
        <v>95</v>
      </c>
      <c r="F132" s="899"/>
      <c r="G132" s="1368" t="s">
        <v>9</v>
      </c>
    </row>
    <row r="133" spans="1:7">
      <c r="A133" s="884">
        <v>45329</v>
      </c>
      <c r="B133" s="240" t="str">
        <f>TiposLancamentos!B57</f>
        <v>Informática</v>
      </c>
      <c r="C133" s="878" t="s">
        <v>1953</v>
      </c>
      <c r="D133" s="63"/>
      <c r="E133" s="231">
        <v>3.9</v>
      </c>
      <c r="F133" s="899"/>
      <c r="G133" s="1368" t="s">
        <v>9</v>
      </c>
    </row>
    <row r="134" spans="1:7">
      <c r="A134" s="884">
        <v>45329</v>
      </c>
      <c r="B134" s="240" t="str">
        <f>TiposLancamentos!B16</f>
        <v>Cristiane</v>
      </c>
      <c r="C134" s="878" t="s">
        <v>1953</v>
      </c>
      <c r="D134" s="63"/>
      <c r="E134" s="231">
        <v>3.9</v>
      </c>
      <c r="F134" s="899"/>
      <c r="G134" s="1368" t="s">
        <v>9</v>
      </c>
    </row>
    <row r="135" spans="1:7">
      <c r="A135" s="934"/>
      <c r="B135" s="243"/>
      <c r="C135" s="389" t="s">
        <v>10</v>
      </c>
      <c r="D135" s="146"/>
      <c r="E135" s="1190"/>
      <c r="F135" s="935"/>
      <c r="G135" s="1094" t="s">
        <v>11</v>
      </c>
    </row>
    <row r="136" spans="1:7">
      <c r="A136" s="884">
        <v>45345</v>
      </c>
      <c r="B136" s="240" t="str">
        <f>TiposLancamentos!B45</f>
        <v>Online Services</v>
      </c>
      <c r="C136" s="878" t="s">
        <v>1876</v>
      </c>
      <c r="D136" s="63"/>
      <c r="E136" s="231">
        <v>4.9000000000000004</v>
      </c>
      <c r="F136" s="899"/>
      <c r="G136" s="1368" t="s">
        <v>9</v>
      </c>
    </row>
    <row r="137" spans="1:7">
      <c r="A137" s="884">
        <v>45350</v>
      </c>
      <c r="B137" s="240" t="str">
        <f>TiposLancamentos!B45</f>
        <v>Online Services</v>
      </c>
      <c r="C137" s="878" t="s">
        <v>1894</v>
      </c>
      <c r="D137" s="63"/>
      <c r="E137" s="231">
        <v>39.9</v>
      </c>
      <c r="F137" s="899"/>
      <c r="G137" s="1368" t="s">
        <v>9</v>
      </c>
    </row>
    <row r="138" spans="1:7">
      <c r="A138" s="884">
        <v>45350</v>
      </c>
      <c r="B138" s="240" t="str">
        <f>TiposLancamentos!B45</f>
        <v>Online Services</v>
      </c>
      <c r="C138" s="878" t="s">
        <v>1895</v>
      </c>
      <c r="D138" s="63"/>
      <c r="E138" s="231">
        <v>34.9</v>
      </c>
      <c r="F138" s="899"/>
      <c r="G138" s="1368" t="s">
        <v>9</v>
      </c>
    </row>
    <row r="139" spans="1:7">
      <c r="A139" s="884">
        <v>45351</v>
      </c>
      <c r="B139" s="240" t="str">
        <f>TiposLancamentos!B45</f>
        <v>Online Services</v>
      </c>
      <c r="C139" s="878" t="s">
        <v>1901</v>
      </c>
      <c r="D139" s="63"/>
      <c r="E139" s="231">
        <v>17.45</v>
      </c>
      <c r="F139" s="899"/>
      <c r="G139" s="1368" t="s">
        <v>9</v>
      </c>
    </row>
    <row r="140" spans="1:7" ht="14.25" thickBot="1">
      <c r="A140" s="884">
        <v>45351</v>
      </c>
      <c r="B140" s="240" t="str">
        <f>B132</f>
        <v>Metro</v>
      </c>
      <c r="C140" s="878" t="s">
        <v>1954</v>
      </c>
      <c r="D140" s="63"/>
      <c r="E140" s="231">
        <v>5</v>
      </c>
      <c r="F140" s="899"/>
      <c r="G140" s="1368" t="s">
        <v>9</v>
      </c>
    </row>
    <row r="141" spans="1:7">
      <c r="A141" s="1032"/>
      <c r="B141" s="1230"/>
      <c r="C141" s="1092" t="s">
        <v>1955</v>
      </c>
      <c r="D141" s="896"/>
      <c r="E141" s="925"/>
      <c r="F141" s="898">
        <f>SUM(E105:E135)</f>
        <v>1565.3400000000004</v>
      </c>
    </row>
    <row r="142" spans="1:7">
      <c r="A142" s="884">
        <v>45352</v>
      </c>
      <c r="B142" s="240" t="str">
        <f>TiposLancamentos!B15</f>
        <v>Cartões de Crédito</v>
      </c>
      <c r="C142" s="878" t="s">
        <v>1874</v>
      </c>
      <c r="D142" s="63">
        <v>1565.34</v>
      </c>
      <c r="E142" s="231"/>
      <c r="F142" s="899">
        <f>F141-F130</f>
        <v>1007.9000000000004</v>
      </c>
      <c r="G142" s="1368" t="s">
        <v>9</v>
      </c>
    </row>
    <row r="143" spans="1:7">
      <c r="A143" s="884">
        <v>45352</v>
      </c>
      <c r="B143" s="240" t="str">
        <f>TiposLancamentos!B25</f>
        <v>CD_DVD_BD</v>
      </c>
      <c r="C143" s="878" t="s">
        <v>1956</v>
      </c>
      <c r="D143" s="63"/>
      <c r="E143" s="231">
        <v>23.13</v>
      </c>
      <c r="F143" s="899"/>
      <c r="G143" s="1368" t="s">
        <v>9</v>
      </c>
    </row>
    <row r="144" spans="1:7">
      <c r="A144" s="884">
        <v>45354</v>
      </c>
      <c r="B144" s="240" t="str">
        <f>TiposLancamentos!B54</f>
        <v>Metro</v>
      </c>
      <c r="C144" s="878" t="s">
        <v>1957</v>
      </c>
      <c r="D144" s="63"/>
      <c r="E144" s="231">
        <v>100</v>
      </c>
      <c r="F144" s="899"/>
      <c r="G144" s="1368" t="s">
        <v>9</v>
      </c>
    </row>
    <row r="145" spans="1:7">
      <c r="A145" s="884">
        <v>45366</v>
      </c>
      <c r="B145" s="240" t="str">
        <f>TiposLancamentos!B16</f>
        <v>Cristiane</v>
      </c>
      <c r="C145" s="878" t="s">
        <v>1958</v>
      </c>
      <c r="D145" s="63"/>
      <c r="E145" s="231">
        <v>143.52000000000001</v>
      </c>
      <c r="F145" s="899"/>
      <c r="G145" s="1368" t="s">
        <v>9</v>
      </c>
    </row>
    <row r="146" spans="1:7">
      <c r="A146" s="884">
        <v>45367</v>
      </c>
      <c r="B146" s="240" t="str">
        <f>TiposLancamentos!B16</f>
        <v>Cristiane</v>
      </c>
      <c r="C146" s="878" t="s">
        <v>1959</v>
      </c>
      <c r="D146" s="63"/>
      <c r="E146" s="231">
        <v>44.9</v>
      </c>
      <c r="F146" s="899"/>
      <c r="G146" s="1368" t="s">
        <v>9</v>
      </c>
    </row>
    <row r="147" spans="1:7">
      <c r="A147" s="934"/>
      <c r="B147" s="243"/>
      <c r="C147" s="389" t="s">
        <v>10</v>
      </c>
      <c r="D147" s="146"/>
      <c r="E147" s="1190"/>
      <c r="F147" s="935"/>
      <c r="G147" s="1094" t="s">
        <v>11</v>
      </c>
    </row>
    <row r="148" spans="1:7">
      <c r="A148" s="884">
        <v>45369</v>
      </c>
      <c r="B148" s="240" t="str">
        <f>TiposLancamentos!B57</f>
        <v>Informática</v>
      </c>
      <c r="C148" s="878" t="s">
        <v>1960</v>
      </c>
      <c r="D148" s="63"/>
      <c r="E148" s="231">
        <v>22.51</v>
      </c>
      <c r="F148" s="899"/>
      <c r="G148" s="1368" t="s">
        <v>9</v>
      </c>
    </row>
    <row r="149" spans="1:7">
      <c r="A149" s="858">
        <v>45371</v>
      </c>
      <c r="B149" s="822" t="str">
        <f>TiposLancamentos!B57</f>
        <v>Informática</v>
      </c>
      <c r="C149" s="1396" t="s">
        <v>1961</v>
      </c>
      <c r="D149" s="747"/>
      <c r="E149" s="1139">
        <f>F150-E150</f>
        <v>62.989999999999995</v>
      </c>
      <c r="F149" s="1454"/>
      <c r="G149" s="1368" t="s">
        <v>9</v>
      </c>
    </row>
    <row r="150" spans="1:7">
      <c r="A150" s="862">
        <v>45371</v>
      </c>
      <c r="B150" s="823" t="str">
        <f>TiposLancamentos!B60</f>
        <v>Correio</v>
      </c>
      <c r="C150" s="1448" t="s">
        <v>1961</v>
      </c>
      <c r="D150" s="849"/>
      <c r="E150" s="1141">
        <v>13.5</v>
      </c>
      <c r="F150" s="1456">
        <v>76.489999999999995</v>
      </c>
      <c r="G150" s="1368" t="s">
        <v>9</v>
      </c>
    </row>
    <row r="151" spans="1:7">
      <c r="A151" s="884">
        <v>45374</v>
      </c>
      <c r="B151" s="240" t="str">
        <f>TiposLancamentos!B45</f>
        <v>Online Services</v>
      </c>
      <c r="C151" s="878" t="s">
        <v>1876</v>
      </c>
      <c r="D151" s="63"/>
      <c r="E151" s="231">
        <v>4.9000000000000004</v>
      </c>
      <c r="F151" s="899"/>
      <c r="G151" s="1368" t="s">
        <v>9</v>
      </c>
    </row>
    <row r="152" spans="1:7">
      <c r="A152" s="884">
        <v>45376</v>
      </c>
      <c r="B152" s="240" t="str">
        <f>TiposLancamentos!B19</f>
        <v>Restaurantes</v>
      </c>
      <c r="C152" s="878" t="s">
        <v>1962</v>
      </c>
      <c r="D152" s="63"/>
      <c r="E152" s="231">
        <v>32</v>
      </c>
      <c r="F152" s="899"/>
      <c r="G152" s="1368" t="s">
        <v>9</v>
      </c>
    </row>
    <row r="153" spans="1:7">
      <c r="A153" s="884">
        <v>45376</v>
      </c>
      <c r="B153" s="240" t="str">
        <f>TiposLancamentos!B19</f>
        <v>Restaurantes</v>
      </c>
      <c r="C153" s="878" t="s">
        <v>1963</v>
      </c>
      <c r="D153" s="63"/>
      <c r="E153" s="231">
        <v>8.6999999999999993</v>
      </c>
      <c r="F153" s="899"/>
      <c r="G153" s="1368" t="s">
        <v>9</v>
      </c>
    </row>
    <row r="154" spans="1:7">
      <c r="A154" s="884">
        <v>45377</v>
      </c>
      <c r="B154" s="240" t="str">
        <f>TiposLancamentos!B71</f>
        <v>Itens Pessoais</v>
      </c>
      <c r="C154" s="878" t="s">
        <v>1964</v>
      </c>
      <c r="D154" s="63"/>
      <c r="E154" s="231">
        <v>50</v>
      </c>
      <c r="F154" s="899"/>
      <c r="G154" s="1368" t="s">
        <v>9</v>
      </c>
    </row>
    <row r="155" spans="1:7">
      <c r="A155" s="884">
        <v>45377</v>
      </c>
      <c r="B155" s="240" t="str">
        <f>TiposLancamentos!B19</f>
        <v>Restaurantes</v>
      </c>
      <c r="C155" s="878" t="s">
        <v>1965</v>
      </c>
      <c r="D155" s="63"/>
      <c r="E155" s="231">
        <v>61.08</v>
      </c>
      <c r="F155" s="899"/>
      <c r="G155" s="1368" t="s">
        <v>9</v>
      </c>
    </row>
    <row r="156" spans="1:7">
      <c r="A156" s="858">
        <v>45377</v>
      </c>
      <c r="B156" s="822" t="str">
        <f>TiposLancamentos!B57</f>
        <v>Informática</v>
      </c>
      <c r="C156" s="1396" t="s">
        <v>1966</v>
      </c>
      <c r="D156" s="747"/>
      <c r="E156" s="1139">
        <v>42</v>
      </c>
      <c r="F156" s="1454"/>
      <c r="G156" s="1368" t="s">
        <v>9</v>
      </c>
    </row>
    <row r="157" spans="1:7">
      <c r="A157" s="862">
        <v>45377</v>
      </c>
      <c r="B157" s="823" t="str">
        <f>TiposLancamentos!B60</f>
        <v>Correio</v>
      </c>
      <c r="C157" s="1448" t="s">
        <v>1966</v>
      </c>
      <c r="D157" s="849"/>
      <c r="E157" s="1141">
        <v>14.55</v>
      </c>
      <c r="F157" s="1456">
        <f>SUM(E156:E157)</f>
        <v>56.55</v>
      </c>
      <c r="G157" s="1368" t="s">
        <v>9</v>
      </c>
    </row>
    <row r="158" spans="1:7">
      <c r="A158" s="884">
        <v>45377</v>
      </c>
      <c r="B158" s="240" t="str">
        <f>TiposLancamentos!B19</f>
        <v>Restaurantes</v>
      </c>
      <c r="C158" s="878" t="s">
        <v>1967</v>
      </c>
      <c r="D158" s="63"/>
      <c r="E158" s="231">
        <v>31.9</v>
      </c>
      <c r="F158" s="899"/>
      <c r="G158" s="1368" t="s">
        <v>9</v>
      </c>
    </row>
    <row r="159" spans="1:7">
      <c r="A159" s="884">
        <v>45378</v>
      </c>
      <c r="B159" s="240" t="str">
        <f>TiposLancamentos!B54</f>
        <v>Metro</v>
      </c>
      <c r="C159" s="878" t="s">
        <v>1957</v>
      </c>
      <c r="D159" s="63"/>
      <c r="E159" s="231">
        <v>100</v>
      </c>
      <c r="F159" s="899"/>
      <c r="G159" s="1368" t="s">
        <v>9</v>
      </c>
    </row>
    <row r="160" spans="1:7">
      <c r="A160" s="884">
        <v>45378</v>
      </c>
      <c r="B160" s="240" t="str">
        <f>TiposLancamentos!B19</f>
        <v>Restaurantes</v>
      </c>
      <c r="C160" s="878" t="s">
        <v>1968</v>
      </c>
      <c r="D160" s="63"/>
      <c r="E160" s="231">
        <v>10.5</v>
      </c>
      <c r="F160" s="899"/>
      <c r="G160" s="1368" t="s">
        <v>9</v>
      </c>
    </row>
    <row r="161" spans="1:7">
      <c r="A161" s="884">
        <v>45378</v>
      </c>
      <c r="B161" s="240" t="str">
        <f>TiposLancamentos!B19</f>
        <v>Restaurantes</v>
      </c>
      <c r="C161" s="878" t="s">
        <v>1969</v>
      </c>
      <c r="D161" s="63"/>
      <c r="E161" s="231">
        <v>54.93</v>
      </c>
      <c r="F161" s="899"/>
      <c r="G161" s="1368" t="s">
        <v>9</v>
      </c>
    </row>
    <row r="162" spans="1:7">
      <c r="A162" s="884">
        <v>45379</v>
      </c>
      <c r="B162" s="240" t="str">
        <f>TiposLancamentos!B45</f>
        <v>Online Services</v>
      </c>
      <c r="C162" s="878" t="s">
        <v>1894</v>
      </c>
      <c r="D162" s="63"/>
      <c r="E162" s="231">
        <v>39.9</v>
      </c>
      <c r="F162" s="899"/>
      <c r="G162" s="1368" t="s">
        <v>9</v>
      </c>
    </row>
    <row r="163" spans="1:7">
      <c r="A163" s="884">
        <v>45379</v>
      </c>
      <c r="B163" s="240" t="str">
        <f>TiposLancamentos!B45</f>
        <v>Online Services</v>
      </c>
      <c r="C163" s="878" t="s">
        <v>1895</v>
      </c>
      <c r="D163" s="63"/>
      <c r="E163" s="231">
        <v>34.9</v>
      </c>
      <c r="F163" s="899"/>
      <c r="G163" s="1368" t="s">
        <v>9</v>
      </c>
    </row>
    <row r="164" spans="1:7">
      <c r="A164" s="884">
        <v>45381</v>
      </c>
      <c r="B164" s="240" t="str">
        <f>TiposLancamentos!B54</f>
        <v>Metro</v>
      </c>
      <c r="C164" s="878" t="s">
        <v>1970</v>
      </c>
      <c r="D164" s="63"/>
      <c r="E164" s="231">
        <v>20</v>
      </c>
      <c r="F164" s="899"/>
      <c r="G164" s="1368" t="s">
        <v>9</v>
      </c>
    </row>
    <row r="165" spans="1:7">
      <c r="A165" s="884">
        <v>45381</v>
      </c>
      <c r="B165" s="240" t="str">
        <f>TiposLancamentos!B45</f>
        <v>Online Services</v>
      </c>
      <c r="C165" s="878" t="s">
        <v>1901</v>
      </c>
      <c r="D165" s="63"/>
      <c r="E165" s="231">
        <v>17.45</v>
      </c>
      <c r="F165" s="899"/>
      <c r="G165" s="1368" t="s">
        <v>9</v>
      </c>
    </row>
    <row r="166" spans="1:7" ht="14.25" thickBot="1">
      <c r="A166" s="884">
        <v>45382</v>
      </c>
      <c r="B166" s="240" t="str">
        <f>TiposLancamentos!B13</f>
        <v>Moradia</v>
      </c>
      <c r="C166" s="878" t="s">
        <v>1971</v>
      </c>
      <c r="D166" s="63"/>
      <c r="E166" s="231">
        <v>35.67</v>
      </c>
      <c r="F166" s="899"/>
      <c r="G166" s="1368" t="s">
        <v>9</v>
      </c>
    </row>
    <row r="167" spans="1:7">
      <c r="A167" s="1032"/>
      <c r="B167" s="1230"/>
      <c r="C167" s="1092" t="s">
        <v>1633</v>
      </c>
      <c r="D167" s="896"/>
      <c r="E167" s="925"/>
      <c r="F167" s="898">
        <f>SUM(E135:E147)</f>
        <v>413.69999999999993</v>
      </c>
    </row>
    <row r="168" spans="1:7">
      <c r="A168" s="884">
        <v>45383</v>
      </c>
      <c r="B168" s="240" t="str">
        <f>TiposLancamentos!B15</f>
        <v>Cartões de Crédito</v>
      </c>
      <c r="C168" s="878" t="s">
        <v>1874</v>
      </c>
      <c r="D168" s="63">
        <v>413.7</v>
      </c>
      <c r="E168" s="231"/>
      <c r="F168" s="899">
        <f>F141-F167</f>
        <v>1151.6400000000003</v>
      </c>
      <c r="G168" s="1368" t="s">
        <v>9</v>
      </c>
    </row>
    <row r="169" spans="1:7">
      <c r="A169" s="884">
        <v>45383</v>
      </c>
      <c r="B169" s="240" t="str">
        <f>TiposLancamentos!B57</f>
        <v>Informática</v>
      </c>
      <c r="C169" s="878" t="s">
        <v>1972</v>
      </c>
      <c r="D169" s="63"/>
      <c r="E169" s="231">
        <v>145</v>
      </c>
      <c r="F169" s="899"/>
      <c r="G169" s="1368" t="s">
        <v>9</v>
      </c>
    </row>
    <row r="170" spans="1:7">
      <c r="A170" s="884">
        <v>45389</v>
      </c>
      <c r="B170" s="240" t="str">
        <f>TiposLancamentos!B5</f>
        <v>Supermercado</v>
      </c>
      <c r="C170" s="878" t="s">
        <v>1973</v>
      </c>
      <c r="D170" s="63"/>
      <c r="E170" s="231">
        <v>86.65</v>
      </c>
      <c r="F170" s="899"/>
      <c r="G170" s="1368" t="s">
        <v>9</v>
      </c>
    </row>
    <row r="171" spans="1:7">
      <c r="A171" s="884">
        <v>45395</v>
      </c>
      <c r="B171" s="240" t="str">
        <f>TiposLancamentos!B19</f>
        <v>Restaurantes</v>
      </c>
      <c r="C171" s="878" t="s">
        <v>1974</v>
      </c>
      <c r="D171" s="63"/>
      <c r="E171" s="231">
        <v>94.97</v>
      </c>
      <c r="F171" s="899"/>
      <c r="G171" s="1368" t="s">
        <v>9</v>
      </c>
    </row>
    <row r="172" spans="1:7">
      <c r="A172" s="884">
        <v>45395</v>
      </c>
      <c r="B172" s="240" t="str">
        <f>TiposLancamentos!B5</f>
        <v>Supermercado</v>
      </c>
      <c r="C172" s="878" t="s">
        <v>1975</v>
      </c>
      <c r="D172" s="63"/>
      <c r="E172" s="231">
        <v>42.56</v>
      </c>
      <c r="F172" s="899"/>
      <c r="G172" s="1368" t="s">
        <v>9</v>
      </c>
    </row>
    <row r="173" spans="1:7">
      <c r="A173" s="884">
        <v>45396</v>
      </c>
      <c r="B173" s="240" t="str">
        <f>TiposLancamentos!B37</f>
        <v>Playstation 3</v>
      </c>
      <c r="C173" s="878" t="s">
        <v>1976</v>
      </c>
      <c r="D173" s="63"/>
      <c r="E173" s="231">
        <v>57.55</v>
      </c>
      <c r="F173" s="899"/>
      <c r="G173" s="1368" t="s">
        <v>9</v>
      </c>
    </row>
    <row r="174" spans="1:7">
      <c r="A174" s="934"/>
      <c r="B174" s="243"/>
      <c r="C174" s="389" t="s">
        <v>10</v>
      </c>
      <c r="D174" s="146"/>
      <c r="E174" s="1190"/>
      <c r="F174" s="935"/>
      <c r="G174" s="1094" t="s">
        <v>11</v>
      </c>
    </row>
    <row r="175" spans="1:7">
      <c r="A175" s="884">
        <v>45399</v>
      </c>
      <c r="B175" s="240" t="str">
        <f>TiposLancamentos!B54</f>
        <v>Metro</v>
      </c>
      <c r="C175" s="878" t="s">
        <v>1977</v>
      </c>
      <c r="D175" s="63"/>
      <c r="E175" s="231">
        <v>100</v>
      </c>
      <c r="F175" s="899"/>
      <c r="G175" s="1368" t="s">
        <v>9</v>
      </c>
    </row>
    <row r="176" spans="1:7">
      <c r="A176" s="884">
        <v>45402</v>
      </c>
      <c r="B176" s="240" t="str">
        <f>TiposLancamentos!B19</f>
        <v>Restaurantes</v>
      </c>
      <c r="C176" s="878" t="s">
        <v>1978</v>
      </c>
      <c r="D176" s="63"/>
      <c r="E176" s="231">
        <v>97.45</v>
      </c>
      <c r="F176" s="899"/>
      <c r="G176" s="1368" t="s">
        <v>9</v>
      </c>
    </row>
    <row r="177" spans="1:7">
      <c r="A177" s="884">
        <v>45403</v>
      </c>
      <c r="B177" s="240" t="str">
        <f>TiposLancamentos!B19</f>
        <v>Restaurantes</v>
      </c>
      <c r="C177" s="878" t="s">
        <v>1979</v>
      </c>
      <c r="D177" s="63"/>
      <c r="E177" s="231">
        <v>152.35</v>
      </c>
      <c r="F177" s="899"/>
      <c r="G177" s="1368" t="s">
        <v>9</v>
      </c>
    </row>
    <row r="178" spans="1:7">
      <c r="A178" s="884">
        <v>45403</v>
      </c>
      <c r="B178" s="240" t="str">
        <f>TiposLancamentos!B19</f>
        <v>Restaurantes</v>
      </c>
      <c r="C178" s="878" t="s">
        <v>1980</v>
      </c>
      <c r="D178" s="63"/>
      <c r="E178" s="231">
        <v>46.8</v>
      </c>
      <c r="F178" s="899"/>
      <c r="G178" s="1368" t="s">
        <v>9</v>
      </c>
    </row>
    <row r="179" spans="1:7">
      <c r="A179" s="884">
        <v>45403</v>
      </c>
      <c r="B179" s="240" t="str">
        <f>TiposLancamentos!B71</f>
        <v>Itens Pessoais</v>
      </c>
      <c r="C179" s="878" t="s">
        <v>1981</v>
      </c>
      <c r="D179" s="63"/>
      <c r="E179" s="231">
        <v>362.68</v>
      </c>
      <c r="F179" s="899">
        <v>2175.98</v>
      </c>
      <c r="G179" s="1368" t="s">
        <v>9</v>
      </c>
    </row>
    <row r="180" spans="1:7">
      <c r="A180" s="884">
        <v>45404</v>
      </c>
      <c r="B180" s="240" t="str">
        <f>TiposLancamentos!B5</f>
        <v>Supermercado</v>
      </c>
      <c r="C180" s="878" t="s">
        <v>1982</v>
      </c>
      <c r="D180" s="63"/>
      <c r="E180" s="231">
        <v>103.42</v>
      </c>
      <c r="F180" s="899"/>
      <c r="G180" s="1368" t="s">
        <v>9</v>
      </c>
    </row>
    <row r="181" spans="1:7">
      <c r="A181" s="884">
        <v>45405</v>
      </c>
      <c r="B181" s="240" t="str">
        <f>TiposLancamentos!B45</f>
        <v>Online Services</v>
      </c>
      <c r="C181" s="878" t="s">
        <v>1876</v>
      </c>
      <c r="D181" s="63"/>
      <c r="E181" s="231">
        <v>4.9000000000000004</v>
      </c>
      <c r="F181" s="899"/>
      <c r="G181" s="1368" t="s">
        <v>9</v>
      </c>
    </row>
    <row r="182" spans="1:7">
      <c r="A182" s="884">
        <v>45410</v>
      </c>
      <c r="B182" s="240" t="str">
        <f>TiposLancamentos!B45</f>
        <v>Online Services</v>
      </c>
      <c r="C182" s="878" t="s">
        <v>1894</v>
      </c>
      <c r="D182" s="63"/>
      <c r="E182" s="231">
        <v>39.9</v>
      </c>
      <c r="F182" s="899"/>
      <c r="G182" s="1368" t="s">
        <v>9</v>
      </c>
    </row>
    <row r="183" spans="1:7">
      <c r="A183" s="884">
        <v>45410</v>
      </c>
      <c r="B183" s="240" t="str">
        <f>TiposLancamentos!B45</f>
        <v>Online Services</v>
      </c>
      <c r="C183" s="878" t="s">
        <v>1895</v>
      </c>
      <c r="D183" s="63"/>
      <c r="E183" s="231">
        <v>34.9</v>
      </c>
      <c r="F183" s="899"/>
      <c r="G183" s="1368" t="s">
        <v>9</v>
      </c>
    </row>
    <row r="184" spans="1:7" ht="14.25" thickBot="1">
      <c r="A184" s="884">
        <v>45412</v>
      </c>
      <c r="B184" s="240" t="str">
        <f>TiposLancamentos!B45</f>
        <v>Online Services</v>
      </c>
      <c r="C184" s="878" t="s">
        <v>1901</v>
      </c>
      <c r="D184" s="63"/>
      <c r="E184" s="231">
        <v>17.45</v>
      </c>
      <c r="F184" s="899"/>
      <c r="G184" s="1368" t="s">
        <v>9</v>
      </c>
    </row>
    <row r="185" spans="1:7">
      <c r="A185" s="1032"/>
      <c r="B185" s="1230"/>
      <c r="C185" s="1092" t="s">
        <v>1634</v>
      </c>
      <c r="D185" s="896"/>
      <c r="E185" s="925"/>
      <c r="F185" s="898">
        <f>SUM(E147:E174)</f>
        <v>1084.21</v>
      </c>
      <c r="G185" s="1368" t="s">
        <v>9</v>
      </c>
    </row>
    <row r="186" spans="1:7">
      <c r="A186" s="884">
        <v>45414</v>
      </c>
      <c r="B186" s="240" t="str">
        <f>TiposLancamentos!B15</f>
        <v>Cartões de Crédito</v>
      </c>
      <c r="C186" s="878" t="s">
        <v>1874</v>
      </c>
      <c r="D186" s="63">
        <v>1084.21</v>
      </c>
      <c r="E186" s="231"/>
      <c r="F186" s="899">
        <f>F167-F185</f>
        <v>-670.5100000000001</v>
      </c>
      <c r="G186" s="1368" t="s">
        <v>9</v>
      </c>
    </row>
    <row r="187" spans="1:7">
      <c r="A187" s="884">
        <v>45427</v>
      </c>
      <c r="B187" s="240" t="str">
        <f>TiposLancamentos!B54</f>
        <v>Metro</v>
      </c>
      <c r="C187" s="878" t="s">
        <v>1977</v>
      </c>
      <c r="D187" s="63"/>
      <c r="E187" s="231">
        <v>100</v>
      </c>
      <c r="F187" s="899"/>
      <c r="G187" s="1368" t="s">
        <v>9</v>
      </c>
    </row>
    <row r="188" spans="1:7">
      <c r="A188" s="934"/>
      <c r="B188" s="243"/>
      <c r="C188" s="389" t="s">
        <v>10</v>
      </c>
      <c r="D188" s="146"/>
      <c r="E188" s="1190"/>
      <c r="F188" s="935"/>
      <c r="G188" s="1094" t="s">
        <v>11</v>
      </c>
    </row>
    <row r="189" spans="1:7">
      <c r="A189" s="884">
        <v>45433</v>
      </c>
      <c r="B189" s="240" t="str">
        <f>TiposLancamentos!B71</f>
        <v>Itens Pessoais</v>
      </c>
      <c r="C189" s="878" t="s">
        <v>1983</v>
      </c>
      <c r="D189" s="63"/>
      <c r="E189" s="231">
        <f>F189/6</f>
        <v>362.66333333333336</v>
      </c>
      <c r="F189" s="899">
        <v>2175.98</v>
      </c>
      <c r="G189" s="1094" t="s">
        <v>11</v>
      </c>
    </row>
    <row r="190" spans="1:7">
      <c r="A190" s="884">
        <v>45434</v>
      </c>
      <c r="B190" s="240" t="str">
        <f>TiposLancamentos!B65</f>
        <v>Taxi</v>
      </c>
      <c r="C190" s="878" t="s">
        <v>1984</v>
      </c>
      <c r="D190" s="63"/>
      <c r="E190" s="231">
        <v>19.95</v>
      </c>
      <c r="F190" s="899"/>
      <c r="G190" s="1368" t="s">
        <v>9</v>
      </c>
    </row>
    <row r="191" spans="1:7">
      <c r="A191" s="884">
        <v>45435</v>
      </c>
      <c r="B191" s="240" t="str">
        <f>TiposLancamentos!B45</f>
        <v>Online Services</v>
      </c>
      <c r="C191" s="878" t="s">
        <v>1876</v>
      </c>
      <c r="D191" s="63"/>
      <c r="E191" s="231">
        <v>4.9000000000000004</v>
      </c>
      <c r="F191" s="899"/>
      <c r="G191" s="1368" t="s">
        <v>9</v>
      </c>
    </row>
    <row r="192" spans="1:7">
      <c r="A192" s="884">
        <v>45435</v>
      </c>
      <c r="B192" s="240" t="str">
        <f>TiposLancamentos!B19</f>
        <v>Restaurantes</v>
      </c>
      <c r="C192" s="878" t="s">
        <v>1985</v>
      </c>
      <c r="D192" s="63"/>
      <c r="E192" s="231">
        <v>105</v>
      </c>
      <c r="F192" s="899"/>
      <c r="G192" s="1368" t="s">
        <v>9</v>
      </c>
    </row>
    <row r="193" spans="1:7">
      <c r="A193" s="884">
        <v>45437</v>
      </c>
      <c r="B193" s="240" t="str">
        <f>TiposLancamentos!B38</f>
        <v>Playstation 4</v>
      </c>
      <c r="C193" s="878" t="s">
        <v>1986</v>
      </c>
      <c r="D193" s="63"/>
      <c r="E193" s="231">
        <v>110</v>
      </c>
      <c r="F193" s="899"/>
      <c r="G193" s="1368" t="s">
        <v>9</v>
      </c>
    </row>
    <row r="194" spans="1:7">
      <c r="A194" s="884">
        <v>45438</v>
      </c>
      <c r="B194" s="240" t="str">
        <f>TiposLancamentos!B19</f>
        <v>Restaurantes</v>
      </c>
      <c r="C194" s="878" t="s">
        <v>1987</v>
      </c>
      <c r="D194" s="63"/>
      <c r="E194" s="231">
        <v>67.819999999999993</v>
      </c>
      <c r="F194" s="899"/>
      <c r="G194" s="1368" t="s">
        <v>9</v>
      </c>
    </row>
    <row r="195" spans="1:7">
      <c r="A195" s="884">
        <v>45440</v>
      </c>
      <c r="B195" s="240" t="str">
        <f>TiposLancamentos!B45</f>
        <v>Online Services</v>
      </c>
      <c r="C195" s="878" t="s">
        <v>1894</v>
      </c>
      <c r="D195" s="63"/>
      <c r="E195" s="231">
        <v>39.9</v>
      </c>
      <c r="F195" s="899"/>
      <c r="G195" s="1368" t="s">
        <v>9</v>
      </c>
    </row>
    <row r="196" spans="1:7">
      <c r="A196" s="884">
        <v>45440</v>
      </c>
      <c r="B196" s="240" t="str">
        <f>TiposLancamentos!B45</f>
        <v>Online Services</v>
      </c>
      <c r="C196" s="878" t="s">
        <v>1895</v>
      </c>
      <c r="D196" s="63"/>
      <c r="E196" s="231">
        <v>34.9</v>
      </c>
      <c r="F196" s="899"/>
      <c r="G196" s="1368" t="s">
        <v>9</v>
      </c>
    </row>
    <row r="197" spans="1:7">
      <c r="A197" s="884">
        <v>45441</v>
      </c>
      <c r="B197" s="240" t="str">
        <f>TiposLancamentos!B45</f>
        <v>Online Services</v>
      </c>
      <c r="C197" s="878" t="s">
        <v>1901</v>
      </c>
      <c r="D197" s="63"/>
      <c r="E197" s="231">
        <v>17.45</v>
      </c>
      <c r="F197" s="899"/>
      <c r="G197" s="1368" t="s">
        <v>9</v>
      </c>
    </row>
    <row r="198" spans="1:7" ht="14.25" thickBot="1">
      <c r="A198" s="884">
        <v>45441</v>
      </c>
      <c r="B198" s="240" t="str">
        <f>TiposLancamentos!B19</f>
        <v>Restaurantes</v>
      </c>
      <c r="C198" s="878" t="s">
        <v>1988</v>
      </c>
      <c r="D198" s="63"/>
      <c r="E198" s="231">
        <v>95.8</v>
      </c>
      <c r="F198" s="899"/>
      <c r="G198" s="1368" t="s">
        <v>9</v>
      </c>
    </row>
    <row r="199" spans="1:7">
      <c r="A199" s="1032"/>
      <c r="B199" s="1230"/>
      <c r="C199" s="1092" t="s">
        <v>1635</v>
      </c>
      <c r="D199" s="896"/>
      <c r="E199" s="925"/>
      <c r="F199" s="898">
        <f>SUM(E174:E188)</f>
        <v>1059.8499999999999</v>
      </c>
    </row>
    <row r="200" spans="1:7">
      <c r="A200" s="884">
        <v>45444</v>
      </c>
      <c r="B200" s="240" t="str">
        <f>TiposLancamentos!B19</f>
        <v>Restaurantes</v>
      </c>
      <c r="C200" s="1038" t="s">
        <v>1989</v>
      </c>
      <c r="D200" s="63"/>
      <c r="E200" s="231">
        <v>105</v>
      </c>
      <c r="F200" s="899">
        <f>F199-F185</f>
        <v>-24.360000000000127</v>
      </c>
      <c r="G200" s="1368" t="s">
        <v>9</v>
      </c>
    </row>
    <row r="201" spans="1:7">
      <c r="A201" s="884">
        <v>45445</v>
      </c>
      <c r="B201" s="240" t="str">
        <f>TiposLancamentos!B15</f>
        <v>Cartões de Crédito</v>
      </c>
      <c r="C201" s="878" t="s">
        <v>1874</v>
      </c>
      <c r="D201" s="63">
        <v>1059.8499999999999</v>
      </c>
      <c r="E201" s="231"/>
      <c r="F201" s="899"/>
      <c r="G201" s="1368" t="s">
        <v>9</v>
      </c>
    </row>
    <row r="202" spans="1:7">
      <c r="A202" s="884">
        <v>45448</v>
      </c>
      <c r="B202" s="240" t="str">
        <f>TiposLancamentos!B13</f>
        <v>Moradia</v>
      </c>
      <c r="C202" s="878" t="s">
        <v>1990</v>
      </c>
      <c r="D202" s="63"/>
      <c r="E202" s="231">
        <v>206.99</v>
      </c>
      <c r="F202" s="899"/>
      <c r="G202" s="1368" t="s">
        <v>9</v>
      </c>
    </row>
    <row r="203" spans="1:7">
      <c r="A203" s="884">
        <v>45449</v>
      </c>
      <c r="B203" s="240" t="str">
        <f>TiposLancamentos!B57</f>
        <v>Informática</v>
      </c>
      <c r="C203" s="878" t="s">
        <v>1991</v>
      </c>
      <c r="D203" s="63"/>
      <c r="E203" s="231">
        <v>41.05</v>
      </c>
      <c r="F203" s="899"/>
      <c r="G203" s="1368" t="s">
        <v>9</v>
      </c>
    </row>
    <row r="204" spans="1:7">
      <c r="A204" s="884">
        <v>45455</v>
      </c>
      <c r="B204" s="240" t="str">
        <f>TiposLancamentos!B54</f>
        <v>Metro</v>
      </c>
      <c r="C204" s="878" t="s">
        <v>1977</v>
      </c>
      <c r="D204" s="63"/>
      <c r="E204" s="231">
        <v>100</v>
      </c>
      <c r="F204" s="899"/>
      <c r="G204" s="1368" t="s">
        <v>9</v>
      </c>
    </row>
    <row r="205" spans="1:7">
      <c r="A205" s="884">
        <v>45459</v>
      </c>
      <c r="B205" s="240" t="str">
        <f>TiposLancamentos!B81</f>
        <v>Ferramentas gerais</v>
      </c>
      <c r="C205" s="878" t="s">
        <v>1992</v>
      </c>
      <c r="D205" s="63"/>
      <c r="E205" s="231">
        <v>13.43</v>
      </c>
      <c r="F205" s="899"/>
      <c r="G205" s="1368" t="s">
        <v>9</v>
      </c>
    </row>
    <row r="206" spans="1:7">
      <c r="A206" s="934"/>
      <c r="B206" s="243"/>
      <c r="C206" s="389" t="s">
        <v>10</v>
      </c>
      <c r="D206" s="146"/>
      <c r="E206" s="1190"/>
      <c r="F206" s="935"/>
      <c r="G206" s="1094" t="s">
        <v>11</v>
      </c>
    </row>
    <row r="207" spans="1:7">
      <c r="A207" s="884">
        <v>45462</v>
      </c>
      <c r="B207" s="240" t="str">
        <f>TiposLancamentos!B5</f>
        <v>Supermercado</v>
      </c>
      <c r="C207" s="878" t="s">
        <v>1993</v>
      </c>
      <c r="D207" s="63"/>
      <c r="E207" s="231">
        <v>116.73</v>
      </c>
      <c r="F207" s="899"/>
      <c r="G207" s="1368" t="s">
        <v>9</v>
      </c>
    </row>
    <row r="208" spans="1:7">
      <c r="A208" s="884">
        <v>45463</v>
      </c>
      <c r="B208" s="240" t="str">
        <f>TiposLancamentos!B19</f>
        <v>Restaurantes</v>
      </c>
      <c r="C208" s="878" t="s">
        <v>1994</v>
      </c>
      <c r="D208" s="63"/>
      <c r="E208" s="231">
        <v>105</v>
      </c>
      <c r="F208" s="899"/>
      <c r="G208" s="1368" t="s">
        <v>9</v>
      </c>
    </row>
    <row r="209" spans="1:7">
      <c r="A209" s="884">
        <v>45464</v>
      </c>
      <c r="B209" s="240" t="str">
        <f>TiposLancamentos!B71</f>
        <v>Itens Pessoais</v>
      </c>
      <c r="C209" s="878" t="s">
        <v>1995</v>
      </c>
      <c r="D209" s="63"/>
      <c r="E209" s="231">
        <f>F209/6</f>
        <v>362.66333333333336</v>
      </c>
      <c r="F209" s="899">
        <v>2175.98</v>
      </c>
      <c r="G209" s="1094" t="s">
        <v>11</v>
      </c>
    </row>
    <row r="210" spans="1:7">
      <c r="A210" s="884">
        <v>45466</v>
      </c>
      <c r="B210" s="240" t="str">
        <f>TiposLancamentos!B45</f>
        <v>Online Services</v>
      </c>
      <c r="C210" s="878" t="s">
        <v>1876</v>
      </c>
      <c r="D210" s="63"/>
      <c r="E210" s="231">
        <v>4.9000000000000004</v>
      </c>
      <c r="F210" s="899"/>
      <c r="G210" s="1368" t="s">
        <v>9</v>
      </c>
    </row>
    <row r="211" spans="1:7">
      <c r="A211" s="884">
        <v>45466</v>
      </c>
      <c r="B211" s="240" t="str">
        <f>TiposLancamentos!B19</f>
        <v>Restaurantes</v>
      </c>
      <c r="C211" s="878" t="s">
        <v>1996</v>
      </c>
      <c r="D211" s="63"/>
      <c r="E211" s="231">
        <v>88.69</v>
      </c>
      <c r="F211" s="899"/>
      <c r="G211" s="1368" t="s">
        <v>9</v>
      </c>
    </row>
    <row r="212" spans="1:7">
      <c r="A212" s="858">
        <v>45468</v>
      </c>
      <c r="B212" s="822" t="str">
        <f>TiposLancamentos!B41</f>
        <v>PSP Slim 3k</v>
      </c>
      <c r="C212" s="1396" t="s">
        <v>1997</v>
      </c>
      <c r="D212" s="747"/>
      <c r="E212" s="1139">
        <v>16.989999999999998</v>
      </c>
      <c r="F212" s="1454"/>
      <c r="G212" s="1368" t="s">
        <v>9</v>
      </c>
    </row>
    <row r="213" spans="1:7">
      <c r="A213" s="862">
        <v>45468</v>
      </c>
      <c r="B213" s="823" t="str">
        <f>TiposLancamentos!B60</f>
        <v>Correio</v>
      </c>
      <c r="C213" s="1448" t="s">
        <v>1998</v>
      </c>
      <c r="D213" s="849"/>
      <c r="E213" s="1141">
        <v>14</v>
      </c>
      <c r="F213" s="1456">
        <f>SUM(E212:E213)</f>
        <v>30.99</v>
      </c>
      <c r="G213" s="1368" t="s">
        <v>9</v>
      </c>
    </row>
    <row r="214" spans="1:7">
      <c r="A214" s="884">
        <v>45471</v>
      </c>
      <c r="B214" s="240" t="str">
        <f>TiposLancamentos!B45</f>
        <v>Online Services</v>
      </c>
      <c r="C214" s="878" t="s">
        <v>1894</v>
      </c>
      <c r="D214" s="63"/>
      <c r="E214" s="231">
        <v>44.9</v>
      </c>
      <c r="F214" s="899"/>
      <c r="G214" s="1368" t="s">
        <v>9</v>
      </c>
    </row>
    <row r="215" spans="1:7">
      <c r="A215" s="884">
        <v>45471</v>
      </c>
      <c r="B215" s="240" t="str">
        <f>TiposLancamentos!B45</f>
        <v>Online Services</v>
      </c>
      <c r="C215" s="878" t="s">
        <v>1895</v>
      </c>
      <c r="D215" s="63"/>
      <c r="E215" s="231">
        <v>34.9</v>
      </c>
      <c r="F215" s="899"/>
      <c r="G215" s="1368" t="s">
        <v>9</v>
      </c>
    </row>
    <row r="216" spans="1:7" ht="14.25" thickBot="1">
      <c r="A216" s="884">
        <v>45472</v>
      </c>
      <c r="B216" s="240" t="str">
        <f>TiposLancamentos!B45</f>
        <v>Online Services</v>
      </c>
      <c r="C216" s="878" t="s">
        <v>1901</v>
      </c>
      <c r="D216" s="63"/>
      <c r="E216" s="231">
        <v>17.45</v>
      </c>
      <c r="F216" s="899"/>
      <c r="G216" s="1368" t="s">
        <v>9</v>
      </c>
    </row>
    <row r="217" spans="1:7">
      <c r="A217" s="1032"/>
      <c r="B217" s="1230"/>
      <c r="C217" s="1092" t="s">
        <v>1636</v>
      </c>
      <c r="D217" s="896"/>
      <c r="E217" s="925"/>
      <c r="F217" s="898">
        <f>SUM(E188:E206)</f>
        <v>1324.8533333333332</v>
      </c>
      <c r="G217" s="1368" t="s">
        <v>9</v>
      </c>
    </row>
    <row r="218" spans="1:7">
      <c r="A218" s="884">
        <v>45474</v>
      </c>
      <c r="B218" s="240" t="str">
        <f>TiposLancamentos!B15</f>
        <v>Cartões de Crédito</v>
      </c>
      <c r="C218" s="878" t="s">
        <v>1874</v>
      </c>
      <c r="D218" s="63">
        <v>1324.85</v>
      </c>
      <c r="E218" s="231"/>
      <c r="F218" s="899">
        <f>F217-F199</f>
        <v>265.00333333333333</v>
      </c>
      <c r="G218" s="1368" t="s">
        <v>9</v>
      </c>
    </row>
    <row r="219" spans="1:7">
      <c r="A219" s="884">
        <v>45477</v>
      </c>
      <c r="B219" s="240" t="str">
        <f>TiposLancamentos!B54</f>
        <v>Metro</v>
      </c>
      <c r="C219" s="878" t="s">
        <v>1999</v>
      </c>
      <c r="D219" s="63"/>
      <c r="E219" s="231">
        <v>10</v>
      </c>
      <c r="F219" s="899"/>
      <c r="G219" s="1368" t="s">
        <v>9</v>
      </c>
    </row>
    <row r="220" spans="1:7">
      <c r="A220" s="884">
        <v>45480</v>
      </c>
      <c r="B220" s="240" t="str">
        <f>TiposLancamentos!B54</f>
        <v>Metro</v>
      </c>
      <c r="C220" s="878" t="s">
        <v>2000</v>
      </c>
      <c r="D220" s="63"/>
      <c r="E220" s="231">
        <v>50</v>
      </c>
      <c r="F220" s="899"/>
      <c r="G220" s="1368" t="s">
        <v>9</v>
      </c>
    </row>
    <row r="221" spans="1:7">
      <c r="A221" s="934"/>
      <c r="B221" s="243"/>
      <c r="C221" s="389" t="s">
        <v>10</v>
      </c>
      <c r="D221" s="146"/>
      <c r="E221" s="1190"/>
      <c r="F221" s="935"/>
      <c r="G221" s="1094" t="s">
        <v>11</v>
      </c>
    </row>
    <row r="222" spans="1:7">
      <c r="A222" s="884">
        <v>45493</v>
      </c>
      <c r="B222" s="240" t="str">
        <f>TiposLancamentos!B22</f>
        <v>Combustivel</v>
      </c>
      <c r="C222" s="878" t="s">
        <v>2001</v>
      </c>
      <c r="D222" s="63"/>
      <c r="E222" s="231">
        <v>277.74</v>
      </c>
      <c r="F222" s="899"/>
      <c r="G222" s="1368" t="s">
        <v>9</v>
      </c>
    </row>
    <row r="223" spans="1:7">
      <c r="A223" s="884">
        <v>45494</v>
      </c>
      <c r="B223" s="240" t="str">
        <f>TiposLancamentos!B77</f>
        <v>Esporádico</v>
      </c>
      <c r="C223" s="878" t="s">
        <v>2002</v>
      </c>
      <c r="D223" s="63"/>
      <c r="E223" s="231">
        <v>259</v>
      </c>
      <c r="F223" s="899"/>
      <c r="G223" s="1368" t="s">
        <v>9</v>
      </c>
    </row>
    <row r="224" spans="1:7">
      <c r="A224" s="884">
        <v>45494</v>
      </c>
      <c r="B224" s="240" t="str">
        <f>TiposLancamentos!B71</f>
        <v>Itens Pessoais</v>
      </c>
      <c r="C224" s="878" t="s">
        <v>2003</v>
      </c>
      <c r="D224" s="63"/>
      <c r="E224" s="1177">
        <f>F224/6</f>
        <v>362.66333333333336</v>
      </c>
      <c r="F224" s="899">
        <v>2175.98</v>
      </c>
      <c r="G224" s="1094" t="s">
        <v>11</v>
      </c>
    </row>
    <row r="225" spans="1:7">
      <c r="A225" s="884">
        <v>45496</v>
      </c>
      <c r="B225" s="240" t="str">
        <f>TiposLancamentos!B45</f>
        <v>Online Services</v>
      </c>
      <c r="C225" s="878" t="s">
        <v>1876</v>
      </c>
      <c r="D225" s="63"/>
      <c r="E225" s="231">
        <v>4.9000000000000004</v>
      </c>
      <c r="F225" s="899"/>
      <c r="G225" s="1368" t="s">
        <v>9</v>
      </c>
    </row>
    <row r="226" spans="1:7">
      <c r="A226" s="884">
        <v>45497</v>
      </c>
      <c r="B226" s="240" t="str">
        <f>TiposLancamentos!B22</f>
        <v>Combustivel</v>
      </c>
      <c r="C226" s="878" t="s">
        <v>2001</v>
      </c>
      <c r="D226" s="63"/>
      <c r="E226" s="231">
        <v>209.01</v>
      </c>
      <c r="F226" s="899"/>
      <c r="G226" s="1368" t="s">
        <v>9</v>
      </c>
    </row>
    <row r="227" spans="1:7">
      <c r="A227" s="884">
        <v>45501</v>
      </c>
      <c r="B227" s="240" t="str">
        <f>TiposLancamentos!B45</f>
        <v>Online Services</v>
      </c>
      <c r="C227" s="878" t="s">
        <v>1894</v>
      </c>
      <c r="D227" s="63"/>
      <c r="E227" s="231">
        <v>44.9</v>
      </c>
      <c r="F227" s="899"/>
      <c r="G227" s="1368" t="s">
        <v>9</v>
      </c>
    </row>
    <row r="228" spans="1:7">
      <c r="A228" s="884">
        <v>45501</v>
      </c>
      <c r="B228" s="240" t="str">
        <f>TiposLancamentos!B45</f>
        <v>Online Services</v>
      </c>
      <c r="C228" s="878" t="s">
        <v>1895</v>
      </c>
      <c r="D228" s="63"/>
      <c r="E228" s="231">
        <v>34.9</v>
      </c>
      <c r="F228" s="899"/>
      <c r="G228" s="1368" t="s">
        <v>9</v>
      </c>
    </row>
    <row r="229" spans="1:7" ht="14.25" thickBot="1">
      <c r="A229" s="884">
        <v>45502</v>
      </c>
      <c r="B229" s="240" t="str">
        <f>TiposLancamentos!B45</f>
        <v>Online Services</v>
      </c>
      <c r="C229" s="878" t="s">
        <v>1901</v>
      </c>
      <c r="D229" s="63"/>
      <c r="E229" s="231">
        <v>17.45</v>
      </c>
      <c r="F229" s="899"/>
      <c r="G229" s="1368" t="s">
        <v>9</v>
      </c>
    </row>
    <row r="230" spans="1:7">
      <c r="A230" s="1032"/>
      <c r="B230" s="1230"/>
      <c r="C230" s="1092" t="s">
        <v>1637</v>
      </c>
      <c r="D230" s="896"/>
      <c r="E230" s="925"/>
      <c r="F230" s="898">
        <f>SUM(E206:E221)</f>
        <v>866.22333333333336</v>
      </c>
    </row>
    <row r="231" spans="1:7">
      <c r="A231" s="884">
        <v>45505</v>
      </c>
      <c r="B231" s="240" t="str">
        <f>TiposLancamentos!B15</f>
        <v>Cartões de Crédito</v>
      </c>
      <c r="C231" s="878" t="s">
        <v>1874</v>
      </c>
      <c r="D231" s="63">
        <v>866.22</v>
      </c>
      <c r="E231" s="231"/>
      <c r="F231" s="899">
        <f>F230-F217</f>
        <v>-458.62999999999988</v>
      </c>
      <c r="G231" s="1368" t="s">
        <v>9</v>
      </c>
    </row>
    <row r="232" spans="1:7">
      <c r="A232" s="884">
        <v>45508</v>
      </c>
      <c r="B232" s="240" t="str">
        <f>B219</f>
        <v>Metro</v>
      </c>
      <c r="C232" s="878" t="s">
        <v>2004</v>
      </c>
      <c r="D232" s="63"/>
      <c r="E232" s="231">
        <v>100</v>
      </c>
      <c r="F232" s="899"/>
      <c r="G232" s="1368" t="s">
        <v>9</v>
      </c>
    </row>
    <row r="233" spans="1:7">
      <c r="A233" s="934"/>
      <c r="B233" s="243"/>
      <c r="C233" s="389" t="s">
        <v>10</v>
      </c>
      <c r="D233" s="146"/>
      <c r="E233" s="1190"/>
      <c r="F233" s="935"/>
    </row>
    <row r="234" spans="1:7">
      <c r="A234" s="884">
        <v>45522</v>
      </c>
      <c r="B234" s="240" t="str">
        <f>TiposLancamentos!B5</f>
        <v>Supermercado</v>
      </c>
      <c r="C234" s="878" t="s">
        <v>2005</v>
      </c>
      <c r="D234" s="63"/>
      <c r="E234" s="231">
        <v>29.81</v>
      </c>
      <c r="F234" s="899"/>
      <c r="G234" s="1368" t="s">
        <v>9</v>
      </c>
    </row>
    <row r="235" spans="1:7">
      <c r="A235" s="884">
        <v>45522</v>
      </c>
      <c r="B235" s="240" t="str">
        <f>TiposLancamentos!B5</f>
        <v>Supermercado</v>
      </c>
      <c r="C235" s="878" t="s">
        <v>2006</v>
      </c>
      <c r="D235" s="63"/>
      <c r="E235" s="231">
        <v>96.1</v>
      </c>
      <c r="F235" s="899"/>
      <c r="G235" s="1368" t="s">
        <v>9</v>
      </c>
    </row>
    <row r="236" spans="1:7">
      <c r="A236" s="884">
        <v>45522</v>
      </c>
      <c r="B236" s="240" t="str">
        <f>TiposLancamentos!B5</f>
        <v>Supermercado</v>
      </c>
      <c r="C236" s="878" t="s">
        <v>1884</v>
      </c>
      <c r="D236" s="63"/>
      <c r="E236" s="231">
        <v>44.26</v>
      </c>
      <c r="F236" s="899"/>
      <c r="G236" s="1368" t="s">
        <v>9</v>
      </c>
    </row>
    <row r="237" spans="1:7">
      <c r="A237" s="884">
        <v>45522</v>
      </c>
      <c r="B237" s="240" t="str">
        <f>TiposLancamentos!B45</f>
        <v>Online Services</v>
      </c>
      <c r="C237" s="878" t="s">
        <v>2007</v>
      </c>
      <c r="D237" s="63"/>
      <c r="E237" s="231">
        <v>321.3</v>
      </c>
      <c r="F237" s="899"/>
      <c r="G237" s="1368" t="s">
        <v>9</v>
      </c>
    </row>
    <row r="238" spans="1:7">
      <c r="A238" s="884">
        <v>45523</v>
      </c>
      <c r="B238" s="240" t="str">
        <f>TiposLancamentos!B19</f>
        <v>Restaurantes</v>
      </c>
      <c r="C238" s="878" t="s">
        <v>2008</v>
      </c>
      <c r="D238" s="63"/>
      <c r="E238" s="231">
        <v>47.81</v>
      </c>
      <c r="F238" s="899"/>
      <c r="G238" s="1368" t="s">
        <v>9</v>
      </c>
    </row>
    <row r="239" spans="1:7">
      <c r="A239" s="884">
        <v>45523</v>
      </c>
      <c r="B239" s="240" t="str">
        <f>TiposLancamentos!B19</f>
        <v>Restaurantes</v>
      </c>
      <c r="C239" s="878" t="s">
        <v>1963</v>
      </c>
      <c r="D239" s="63"/>
      <c r="E239" s="231">
        <v>7.49</v>
      </c>
      <c r="F239" s="899"/>
      <c r="G239" s="1368" t="s">
        <v>9</v>
      </c>
    </row>
    <row r="240" spans="1:7">
      <c r="A240" s="884">
        <v>45524</v>
      </c>
      <c r="B240" s="240" t="str">
        <f>TiposLancamentos!B19</f>
        <v>Restaurantes</v>
      </c>
      <c r="C240" s="878" t="s">
        <v>2009</v>
      </c>
      <c r="D240" s="63"/>
      <c r="E240" s="231">
        <v>53.34</v>
      </c>
      <c r="F240" s="899"/>
      <c r="G240" s="1368" t="s">
        <v>9</v>
      </c>
    </row>
    <row r="241" spans="1:7">
      <c r="A241" s="884">
        <v>45525</v>
      </c>
      <c r="B241" s="240" t="str">
        <f>TiposLancamentos!B19</f>
        <v>Restaurantes</v>
      </c>
      <c r="C241" s="878" t="s">
        <v>1962</v>
      </c>
      <c r="D241" s="63"/>
      <c r="E241" s="231">
        <v>23.9</v>
      </c>
      <c r="F241" s="899"/>
      <c r="G241" s="1368" t="s">
        <v>9</v>
      </c>
    </row>
    <row r="242" spans="1:7">
      <c r="A242" s="884">
        <v>45525</v>
      </c>
      <c r="B242" s="240" t="str">
        <f>TiposLancamentos!B19</f>
        <v>Restaurantes</v>
      </c>
      <c r="C242" s="878" t="s">
        <v>1963</v>
      </c>
      <c r="D242" s="63"/>
      <c r="E242" s="231">
        <v>7.5</v>
      </c>
      <c r="F242" s="899"/>
      <c r="G242" s="1368" t="s">
        <v>9</v>
      </c>
    </row>
    <row r="243" spans="1:7">
      <c r="A243" s="884">
        <v>45525</v>
      </c>
      <c r="B243" s="240" t="str">
        <f>TiposLancamentos!B71</f>
        <v>Itens Pessoais</v>
      </c>
      <c r="C243" s="878" t="s">
        <v>2010</v>
      </c>
      <c r="D243" s="63"/>
      <c r="E243" s="231">
        <f>F243/6</f>
        <v>362.66333333333336</v>
      </c>
      <c r="F243" s="899">
        <v>2175.98</v>
      </c>
      <c r="G243" s="1368" t="s">
        <v>9</v>
      </c>
    </row>
    <row r="244" spans="1:7">
      <c r="A244" s="884">
        <v>45525</v>
      </c>
      <c r="B244" s="240" t="str">
        <f>TiposLancamentos!B5</f>
        <v>Supermercado</v>
      </c>
      <c r="C244" s="878" t="s">
        <v>2011</v>
      </c>
      <c r="D244" s="63"/>
      <c r="E244" s="231">
        <v>22.48</v>
      </c>
      <c r="F244" s="899"/>
      <c r="G244" s="1368" t="s">
        <v>9</v>
      </c>
    </row>
    <row r="245" spans="1:7">
      <c r="A245" s="884">
        <v>45526</v>
      </c>
      <c r="B245" s="240" t="str">
        <f>TiposLancamentos!B19</f>
        <v>Restaurantes</v>
      </c>
      <c r="C245" s="878" t="s">
        <v>1963</v>
      </c>
      <c r="D245" s="63"/>
      <c r="E245" s="231">
        <v>12.9</v>
      </c>
      <c r="F245" s="899"/>
      <c r="G245" s="1368" t="s">
        <v>9</v>
      </c>
    </row>
    <row r="246" spans="1:7">
      <c r="A246" s="884">
        <v>45526</v>
      </c>
      <c r="B246" s="240" t="str">
        <f>TiposLancamentos!B19</f>
        <v>Restaurantes</v>
      </c>
      <c r="C246" s="878" t="s">
        <v>1962</v>
      </c>
      <c r="D246" s="63"/>
      <c r="E246" s="231">
        <v>31.9</v>
      </c>
      <c r="F246" s="899"/>
      <c r="G246" s="1368" t="s">
        <v>9</v>
      </c>
    </row>
    <row r="247" spans="1:7">
      <c r="A247" s="884">
        <v>45526</v>
      </c>
      <c r="B247" s="240" t="str">
        <f>TiposLancamentos!B19</f>
        <v>Restaurantes</v>
      </c>
      <c r="C247" s="878" t="s">
        <v>1963</v>
      </c>
      <c r="D247" s="63"/>
      <c r="E247" s="231">
        <v>7.5</v>
      </c>
      <c r="F247" s="899"/>
      <c r="G247" s="1368" t="s">
        <v>9</v>
      </c>
    </row>
    <row r="248" spans="1:7">
      <c r="A248" s="884">
        <v>45526</v>
      </c>
      <c r="B248" s="240" t="str">
        <f>TiposLancamentos!B54</f>
        <v>Metro</v>
      </c>
      <c r="C248" s="878" t="s">
        <v>2012</v>
      </c>
      <c r="D248" s="63"/>
      <c r="E248" s="231">
        <v>5</v>
      </c>
      <c r="F248" s="899"/>
      <c r="G248" s="1368" t="s">
        <v>9</v>
      </c>
    </row>
    <row r="249" spans="1:7">
      <c r="A249" s="884">
        <v>45527</v>
      </c>
      <c r="B249" s="240" t="str">
        <f>TiposLancamentos!B45</f>
        <v>Online Services</v>
      </c>
      <c r="C249" s="878" t="s">
        <v>1876</v>
      </c>
      <c r="D249" s="63"/>
      <c r="E249" s="231">
        <v>4.9000000000000004</v>
      </c>
      <c r="F249" s="899"/>
      <c r="G249" s="1368" t="s">
        <v>9</v>
      </c>
    </row>
    <row r="250" spans="1:7">
      <c r="A250" s="884">
        <v>45527</v>
      </c>
      <c r="B250" s="240" t="str">
        <f>TiposLancamentos!B5</f>
        <v>Supermercado</v>
      </c>
      <c r="C250" s="878" t="s">
        <v>1884</v>
      </c>
      <c r="D250" s="63"/>
      <c r="E250" s="231">
        <v>13.9</v>
      </c>
      <c r="F250" s="899"/>
      <c r="G250" s="1368" t="s">
        <v>9</v>
      </c>
    </row>
    <row r="251" spans="1:7">
      <c r="A251" s="884">
        <v>45527</v>
      </c>
      <c r="B251" s="240" t="str">
        <f>TiposLancamentos!B5</f>
        <v>Supermercado</v>
      </c>
      <c r="C251" s="878" t="s">
        <v>1884</v>
      </c>
      <c r="D251" s="63"/>
      <c r="E251" s="231">
        <v>12.89</v>
      </c>
      <c r="F251" s="899"/>
      <c r="G251" s="1368" t="s">
        <v>9</v>
      </c>
    </row>
    <row r="252" spans="1:7">
      <c r="A252" s="884">
        <v>45528</v>
      </c>
      <c r="B252" s="240" t="str">
        <f>TiposLancamentos!B19</f>
        <v>Restaurantes</v>
      </c>
      <c r="C252" s="878" t="s">
        <v>2013</v>
      </c>
      <c r="D252" s="63"/>
      <c r="E252" s="231">
        <v>50.1</v>
      </c>
      <c r="F252" s="899"/>
      <c r="G252" s="1368" t="s">
        <v>9</v>
      </c>
    </row>
    <row r="253" spans="1:7">
      <c r="A253" s="884">
        <v>45528</v>
      </c>
      <c r="B253" s="240" t="str">
        <f>TiposLancamentos!B24</f>
        <v>Estacionamentos</v>
      </c>
      <c r="C253" s="878" t="s">
        <v>2014</v>
      </c>
      <c r="D253" s="63"/>
      <c r="E253" s="231">
        <v>20</v>
      </c>
      <c r="F253" s="899"/>
      <c r="G253" s="1368" t="s">
        <v>9</v>
      </c>
    </row>
    <row r="254" spans="1:7">
      <c r="A254" s="884">
        <v>45528</v>
      </c>
      <c r="B254" s="240" t="str">
        <f>TiposLancamentos!B57</f>
        <v>Informática</v>
      </c>
      <c r="C254" s="878" t="s">
        <v>2015</v>
      </c>
      <c r="D254" s="63"/>
      <c r="E254" s="231">
        <v>6.66</v>
      </c>
      <c r="F254" s="899"/>
      <c r="G254" s="1368" t="s">
        <v>9</v>
      </c>
    </row>
    <row r="255" spans="1:7">
      <c r="A255" s="884">
        <v>45530</v>
      </c>
      <c r="B255" s="240" t="str">
        <f>TiposLancamentos!B54</f>
        <v>Metro</v>
      </c>
      <c r="C255" s="878" t="s">
        <v>2016</v>
      </c>
      <c r="D255" s="63"/>
      <c r="E255" s="231">
        <v>100</v>
      </c>
      <c r="F255" s="899"/>
      <c r="G255" s="1368" t="s">
        <v>9</v>
      </c>
    </row>
    <row r="256" spans="1:7">
      <c r="A256" s="884">
        <v>45530</v>
      </c>
      <c r="B256" s="240" t="str">
        <f>TiposLancamentos!B19</f>
        <v>Restaurantes</v>
      </c>
      <c r="C256" s="878" t="s">
        <v>2017</v>
      </c>
      <c r="D256" s="63"/>
      <c r="E256" s="231">
        <v>31.9</v>
      </c>
      <c r="F256" s="899"/>
      <c r="G256" s="1368" t="s">
        <v>9</v>
      </c>
    </row>
    <row r="257" spans="1:7">
      <c r="A257" s="884">
        <v>45530</v>
      </c>
      <c r="B257" s="240" t="str">
        <f>TiposLancamentos!B18</f>
        <v>Alimentacao</v>
      </c>
      <c r="C257" s="878" t="s">
        <v>1913</v>
      </c>
      <c r="D257" s="63"/>
      <c r="E257" s="231">
        <v>9.9</v>
      </c>
      <c r="F257" s="899"/>
      <c r="G257" s="1368" t="s">
        <v>9</v>
      </c>
    </row>
    <row r="258" spans="1:7">
      <c r="A258" s="884">
        <v>45530</v>
      </c>
      <c r="B258" s="240" t="str">
        <f>TiposLancamentos!B19</f>
        <v>Restaurantes</v>
      </c>
      <c r="C258" s="878" t="s">
        <v>1963</v>
      </c>
      <c r="D258" s="63"/>
      <c r="E258" s="231">
        <v>15</v>
      </c>
      <c r="F258" s="899"/>
      <c r="G258" s="1368" t="s">
        <v>9</v>
      </c>
    </row>
    <row r="259" spans="1:7">
      <c r="A259" s="884">
        <v>45531</v>
      </c>
      <c r="B259" s="240" t="str">
        <f>TiposLancamentos!B19</f>
        <v>Restaurantes</v>
      </c>
      <c r="C259" s="878" t="s">
        <v>2018</v>
      </c>
      <c r="D259" s="63"/>
      <c r="E259" s="231">
        <v>58.58</v>
      </c>
      <c r="F259" s="899"/>
      <c r="G259" s="1368" t="s">
        <v>9</v>
      </c>
    </row>
    <row r="260" spans="1:7">
      <c r="A260" s="884">
        <v>45531</v>
      </c>
      <c r="B260" s="240" t="str">
        <f>TiposLancamentos!B19</f>
        <v>Restaurantes</v>
      </c>
      <c r="C260" s="878" t="s">
        <v>2019</v>
      </c>
      <c r="D260" s="63"/>
      <c r="E260" s="231">
        <v>22.49</v>
      </c>
      <c r="F260" s="899"/>
      <c r="G260" s="1368" t="s">
        <v>9</v>
      </c>
    </row>
    <row r="261" spans="1:7">
      <c r="A261" s="884">
        <v>45531</v>
      </c>
      <c r="B261" s="240" t="str">
        <f>TiposLancamentos!B19</f>
        <v>Restaurantes</v>
      </c>
      <c r="C261" s="878" t="s">
        <v>2020</v>
      </c>
      <c r="D261" s="63"/>
      <c r="E261" s="231">
        <v>30.8</v>
      </c>
      <c r="F261" s="899"/>
      <c r="G261" s="1368" t="s">
        <v>9</v>
      </c>
    </row>
    <row r="262" spans="1:7">
      <c r="A262" s="884">
        <v>45532</v>
      </c>
      <c r="B262" s="240" t="str">
        <f>TiposLancamentos!B45</f>
        <v>Online Services</v>
      </c>
      <c r="C262" s="878" t="s">
        <v>1894</v>
      </c>
      <c r="D262" s="63"/>
      <c r="E262" s="231">
        <v>44.9</v>
      </c>
      <c r="F262" s="899"/>
      <c r="G262" s="1368" t="s">
        <v>9</v>
      </c>
    </row>
    <row r="263" spans="1:7">
      <c r="A263" s="884">
        <v>45532</v>
      </c>
      <c r="B263" s="240" t="str">
        <f>TiposLancamentos!B45</f>
        <v>Online Services</v>
      </c>
      <c r="C263" s="878" t="s">
        <v>1895</v>
      </c>
      <c r="D263" s="63"/>
      <c r="E263" s="231">
        <v>34.9</v>
      </c>
      <c r="F263" s="899"/>
      <c r="G263" s="1368" t="s">
        <v>9</v>
      </c>
    </row>
    <row r="264" spans="1:7">
      <c r="A264" s="884">
        <v>45532</v>
      </c>
      <c r="B264" s="240" t="str">
        <f>TiposLancamentos!B19</f>
        <v>Restaurantes</v>
      </c>
      <c r="C264" s="878" t="s">
        <v>2021</v>
      </c>
      <c r="D264" s="63"/>
      <c r="E264" s="231">
        <v>74.7</v>
      </c>
      <c r="F264" s="899"/>
      <c r="G264" s="1368" t="s">
        <v>9</v>
      </c>
    </row>
    <row r="265" spans="1:7">
      <c r="A265" s="884">
        <v>45532</v>
      </c>
      <c r="B265" s="240" t="str">
        <f>TiposLancamentos!B19</f>
        <v>Restaurantes</v>
      </c>
      <c r="C265" s="878" t="s">
        <v>1963</v>
      </c>
      <c r="D265" s="63"/>
      <c r="E265" s="231">
        <v>7.5</v>
      </c>
      <c r="F265" s="899"/>
      <c r="G265" s="1368" t="s">
        <v>9</v>
      </c>
    </row>
    <row r="266" spans="1:7">
      <c r="A266" s="884">
        <v>45533</v>
      </c>
      <c r="B266" s="240" t="str">
        <f>TiposLancamentos!B5</f>
        <v>Supermercado</v>
      </c>
      <c r="C266" s="878" t="s">
        <v>2022</v>
      </c>
      <c r="D266" s="63"/>
      <c r="E266" s="231">
        <v>9.99</v>
      </c>
      <c r="F266" s="899"/>
      <c r="G266" s="1368" t="s">
        <v>9</v>
      </c>
    </row>
    <row r="267" spans="1:7">
      <c r="A267" s="884">
        <v>45533</v>
      </c>
      <c r="B267" s="240" t="str">
        <f>TiposLancamentos!B19</f>
        <v>Restaurantes</v>
      </c>
      <c r="C267" s="878" t="s">
        <v>2023</v>
      </c>
      <c r="D267" s="63"/>
      <c r="E267" s="231">
        <v>10.4</v>
      </c>
      <c r="F267" s="899"/>
      <c r="G267" s="1368" t="s">
        <v>9</v>
      </c>
    </row>
    <row r="268" spans="1:7">
      <c r="A268" s="884">
        <v>45533</v>
      </c>
      <c r="B268" s="240" t="str">
        <f>TiposLancamentos!B19</f>
        <v>Restaurantes</v>
      </c>
      <c r="C268" s="878" t="s">
        <v>2024</v>
      </c>
      <c r="D268" s="63"/>
      <c r="E268" s="231">
        <v>42.5</v>
      </c>
      <c r="F268" s="899"/>
      <c r="G268" s="1368" t="s">
        <v>9</v>
      </c>
    </row>
    <row r="269" spans="1:7">
      <c r="A269" s="884">
        <v>45533</v>
      </c>
      <c r="B269" s="240" t="str">
        <f>TiposLancamentos!B19</f>
        <v>Restaurantes</v>
      </c>
      <c r="C269" s="878" t="s">
        <v>2025</v>
      </c>
      <c r="D269" s="63"/>
      <c r="E269" s="231">
        <v>7.5</v>
      </c>
      <c r="F269" s="899"/>
      <c r="G269" s="1368" t="s">
        <v>9</v>
      </c>
    </row>
    <row r="270" spans="1:7">
      <c r="A270" s="884">
        <v>45534</v>
      </c>
      <c r="B270" s="240" t="str">
        <f>TiposLancamentos!B45</f>
        <v>Online Services</v>
      </c>
      <c r="C270" s="878" t="s">
        <v>1901</v>
      </c>
      <c r="D270" s="63"/>
      <c r="E270" s="231">
        <v>19.95</v>
      </c>
      <c r="F270" s="899"/>
      <c r="G270" s="1368" t="s">
        <v>9</v>
      </c>
    </row>
    <row r="271" spans="1:7" ht="14.25" thickBot="1">
      <c r="A271" s="884">
        <v>45535</v>
      </c>
      <c r="B271" s="240" t="str">
        <f>TiposLancamentos!B17</f>
        <v>GATO</v>
      </c>
      <c r="C271" s="878" t="s">
        <v>2026</v>
      </c>
      <c r="D271" s="63"/>
      <c r="E271" s="231">
        <v>26.38</v>
      </c>
      <c r="F271" s="899"/>
      <c r="G271" s="1368" t="s">
        <v>9</v>
      </c>
    </row>
    <row r="272" spans="1:7">
      <c r="A272" s="1032"/>
      <c r="B272" s="1230"/>
      <c r="C272" s="1092" t="s">
        <v>1638</v>
      </c>
      <c r="D272" s="896"/>
      <c r="E272" s="925"/>
      <c r="F272" s="898">
        <f>SUM(E221:E233)</f>
        <v>1310.5633333333337</v>
      </c>
    </row>
    <row r="273" spans="1:7">
      <c r="A273" s="884">
        <v>45536</v>
      </c>
      <c r="B273" s="240" t="str">
        <f>TiposLancamentos!B15</f>
        <v>Cartões de Crédito</v>
      </c>
      <c r="C273" s="878" t="s">
        <v>1874</v>
      </c>
      <c r="D273" s="63">
        <v>1310.56</v>
      </c>
      <c r="E273" s="231"/>
      <c r="F273" s="899">
        <f>F272-F230</f>
        <v>444.34000000000037</v>
      </c>
      <c r="G273" s="1368" t="s">
        <v>9</v>
      </c>
    </row>
    <row r="274" spans="1:7">
      <c r="A274" s="884">
        <v>45536</v>
      </c>
      <c r="B274" s="240" t="str">
        <f>TiposLancamentos!B56</f>
        <v>Farmácia</v>
      </c>
      <c r="C274" s="878" t="s">
        <v>2027</v>
      </c>
      <c r="D274" s="63"/>
      <c r="E274" s="231">
        <v>344</v>
      </c>
      <c r="F274" s="899"/>
      <c r="G274" s="1368" t="s">
        <v>9</v>
      </c>
    </row>
    <row r="275" spans="1:7">
      <c r="A275" s="884">
        <v>45537</v>
      </c>
      <c r="B275" s="240" t="str">
        <f>TiposLancamentos!B5</f>
        <v>Supermercado</v>
      </c>
      <c r="C275" s="878" t="s">
        <v>2028</v>
      </c>
      <c r="D275" s="63"/>
      <c r="E275" s="231">
        <v>107.8</v>
      </c>
      <c r="F275" s="899"/>
      <c r="G275" s="1368" t="s">
        <v>9</v>
      </c>
    </row>
    <row r="276" spans="1:7">
      <c r="A276" s="884">
        <v>45538</v>
      </c>
      <c r="B276" s="240" t="str">
        <f>TiposLancamentos!B57</f>
        <v>Informática</v>
      </c>
      <c r="C276" s="878" t="s">
        <v>2029</v>
      </c>
      <c r="D276" s="63"/>
      <c r="E276" s="231">
        <v>13.32</v>
      </c>
      <c r="F276" s="899"/>
      <c r="G276" s="1368" t="s">
        <v>9</v>
      </c>
    </row>
    <row r="277" spans="1:7">
      <c r="A277" s="884">
        <v>45547</v>
      </c>
      <c r="B277" s="240" t="str">
        <f>TiposLancamentos!B57</f>
        <v>Informática</v>
      </c>
      <c r="C277" s="878" t="s">
        <v>2030</v>
      </c>
      <c r="D277" s="63"/>
      <c r="E277" s="231">
        <v>51.74</v>
      </c>
      <c r="F277" s="899"/>
      <c r="G277" s="1368" t="s">
        <v>9</v>
      </c>
    </row>
    <row r="278" spans="1:7">
      <c r="A278" s="884">
        <v>45547</v>
      </c>
      <c r="B278" s="240" t="str">
        <f>TiposLancamentos!B54</f>
        <v>Metro</v>
      </c>
      <c r="C278" s="878" t="s">
        <v>2031</v>
      </c>
      <c r="D278" s="63"/>
      <c r="E278" s="231">
        <v>20</v>
      </c>
      <c r="F278" s="899"/>
      <c r="G278" s="1368" t="s">
        <v>9</v>
      </c>
    </row>
    <row r="279" spans="1:7">
      <c r="A279" s="858">
        <v>45549</v>
      </c>
      <c r="B279" s="822" t="str">
        <f>TiposLancamentos!B56</f>
        <v>Farmácia</v>
      </c>
      <c r="C279" s="1396" t="s">
        <v>2032</v>
      </c>
      <c r="D279" s="747"/>
      <c r="E279" s="1139">
        <f>F280-E280</f>
        <v>221.26999999999998</v>
      </c>
      <c r="F279" s="1454"/>
      <c r="G279" s="1368" t="s">
        <v>9</v>
      </c>
    </row>
    <row r="280" spans="1:7">
      <c r="A280" s="862">
        <v>45549</v>
      </c>
      <c r="B280" s="823" t="str">
        <f>TiposLancamentos!B60</f>
        <v>Correio</v>
      </c>
      <c r="C280" s="1448" t="s">
        <v>2033</v>
      </c>
      <c r="D280" s="849"/>
      <c r="E280" s="1141">
        <v>6.9</v>
      </c>
      <c r="F280" s="1456">
        <v>228.17</v>
      </c>
      <c r="G280" s="1368" t="s">
        <v>9</v>
      </c>
    </row>
    <row r="281" spans="1:7">
      <c r="A281" s="884">
        <v>45549</v>
      </c>
      <c r="B281" s="240" t="str">
        <f>TiposLancamentos!B54</f>
        <v>Metro</v>
      </c>
      <c r="C281" s="878" t="s">
        <v>2034</v>
      </c>
      <c r="D281" s="63"/>
      <c r="E281" s="231">
        <v>5</v>
      </c>
      <c r="F281" s="899"/>
      <c r="G281" s="1368" t="s">
        <v>9</v>
      </c>
    </row>
    <row r="282" spans="1:7">
      <c r="A282" s="884">
        <v>45552</v>
      </c>
      <c r="B282" s="240" t="str">
        <f>TiposLancamentos!B71</f>
        <v>Itens Pessoais</v>
      </c>
      <c r="C282" s="878" t="s">
        <v>2035</v>
      </c>
      <c r="D282" s="63"/>
      <c r="E282" s="231">
        <v>40</v>
      </c>
      <c r="F282" s="899"/>
      <c r="G282" s="1368" t="s">
        <v>9</v>
      </c>
    </row>
    <row r="283" spans="1:7">
      <c r="A283" s="884">
        <v>45552</v>
      </c>
      <c r="B283" s="240" t="str">
        <f>TiposLancamentos!B17</f>
        <v>GATO</v>
      </c>
      <c r="C283" s="878" t="s">
        <v>2036</v>
      </c>
      <c r="D283" s="63"/>
      <c r="E283" s="231">
        <v>121.52</v>
      </c>
      <c r="F283" s="899"/>
      <c r="G283" s="1368" t="s">
        <v>9</v>
      </c>
    </row>
    <row r="284" spans="1:7">
      <c r="A284" s="884">
        <v>45552</v>
      </c>
      <c r="B284" s="240" t="str">
        <f>TiposLancamentos!B24</f>
        <v>Estacionamentos</v>
      </c>
      <c r="C284" s="878" t="s">
        <v>1898</v>
      </c>
      <c r="D284" s="63"/>
      <c r="E284" s="231">
        <v>20</v>
      </c>
      <c r="F284" s="899"/>
      <c r="G284" s="1368" t="s">
        <v>9</v>
      </c>
    </row>
    <row r="285" spans="1:7">
      <c r="A285" s="884">
        <v>45552</v>
      </c>
      <c r="B285" s="240" t="str">
        <f>TiposLancamentos!B19</f>
        <v>Restaurantes</v>
      </c>
      <c r="C285" s="878" t="s">
        <v>1967</v>
      </c>
      <c r="D285" s="63"/>
      <c r="E285" s="231">
        <v>31.3</v>
      </c>
      <c r="F285" s="899"/>
      <c r="G285" s="1368" t="s">
        <v>9</v>
      </c>
    </row>
    <row r="286" spans="1:7">
      <c r="A286" s="934"/>
      <c r="B286" s="243"/>
      <c r="C286" s="389" t="s">
        <v>10</v>
      </c>
      <c r="D286" s="146"/>
      <c r="E286" s="1190"/>
      <c r="F286" s="935"/>
      <c r="G286" s="1094" t="s">
        <v>11</v>
      </c>
    </row>
    <row r="287" spans="1:7">
      <c r="A287" s="884"/>
      <c r="B287" s="240"/>
      <c r="C287" s="878" t="s">
        <v>1947</v>
      </c>
      <c r="D287" s="63"/>
      <c r="E287" s="231"/>
      <c r="F287" s="899"/>
    </row>
    <row r="288" spans="1:7">
      <c r="A288" s="858">
        <v>45553</v>
      </c>
      <c r="B288" s="822" t="str">
        <f>TiposLancamentos!B36</f>
        <v>Playstation 2</v>
      </c>
      <c r="C288" s="1396" t="s">
        <v>2037</v>
      </c>
      <c r="D288" s="747"/>
      <c r="E288" s="1139">
        <v>55.13</v>
      </c>
      <c r="F288" s="1454"/>
      <c r="G288" s="1368" t="s">
        <v>9</v>
      </c>
    </row>
    <row r="289" spans="1:7">
      <c r="A289" s="862">
        <v>45553</v>
      </c>
      <c r="B289" s="823" t="str">
        <f>TiposLancamentos!B60</f>
        <v>Correio</v>
      </c>
      <c r="C289" s="1448" t="s">
        <v>2038</v>
      </c>
      <c r="D289" s="849"/>
      <c r="E289" s="1141">
        <f>F289-E288</f>
        <v>38.93</v>
      </c>
      <c r="F289" s="1456">
        <v>94.06</v>
      </c>
      <c r="G289" s="1368" t="s">
        <v>9</v>
      </c>
    </row>
    <row r="290" spans="1:7">
      <c r="A290" s="884"/>
      <c r="B290" s="240"/>
      <c r="C290" s="878" t="s">
        <v>1947</v>
      </c>
      <c r="D290" s="63"/>
      <c r="E290" s="231"/>
      <c r="F290" s="899"/>
    </row>
    <row r="291" spans="1:7">
      <c r="A291" s="884">
        <v>45554</v>
      </c>
      <c r="B291" s="240" t="str">
        <f>TiposLancamentos!B54</f>
        <v>Metro</v>
      </c>
      <c r="C291" s="878" t="s">
        <v>2039</v>
      </c>
      <c r="D291" s="63"/>
      <c r="E291" s="231">
        <v>20</v>
      </c>
      <c r="F291" s="899"/>
      <c r="G291" s="1368" t="s">
        <v>9</v>
      </c>
    </row>
    <row r="292" spans="1:7">
      <c r="A292" s="884">
        <v>45554</v>
      </c>
      <c r="B292" s="240" t="str">
        <f>TiposLancamentos!B65</f>
        <v>Taxi</v>
      </c>
      <c r="C292" s="878" t="s">
        <v>2040</v>
      </c>
      <c r="D292" s="63"/>
      <c r="E292" s="231">
        <v>15.99</v>
      </c>
      <c r="F292" s="899"/>
      <c r="G292" s="1368" t="s">
        <v>9</v>
      </c>
    </row>
    <row r="293" spans="1:7">
      <c r="A293" s="884">
        <v>45554</v>
      </c>
      <c r="B293" s="240" t="str">
        <f>TiposLancamentos!B19</f>
        <v>Restaurantes</v>
      </c>
      <c r="C293" s="878" t="s">
        <v>2041</v>
      </c>
      <c r="D293" s="63"/>
      <c r="E293" s="231">
        <v>105</v>
      </c>
      <c r="F293" s="899"/>
      <c r="G293" s="1368" t="s">
        <v>9</v>
      </c>
    </row>
    <row r="294" spans="1:7">
      <c r="A294" s="884">
        <v>45554</v>
      </c>
      <c r="B294" s="240" t="str">
        <f>TiposLancamentos!B4</f>
        <v>Taxas Bancarias</v>
      </c>
      <c r="C294" s="878" t="s">
        <v>2042</v>
      </c>
      <c r="D294" s="63"/>
      <c r="E294" s="231">
        <v>18.82</v>
      </c>
      <c r="F294" s="899"/>
      <c r="G294" s="1368"/>
    </row>
    <row r="295" spans="1:7">
      <c r="A295" s="884">
        <v>45555</v>
      </c>
      <c r="B295" s="240" t="str">
        <f>TiposLancamentos!B19</f>
        <v>Restaurantes</v>
      </c>
      <c r="C295" s="878" t="s">
        <v>2043</v>
      </c>
      <c r="D295" s="63"/>
      <c r="E295" s="231">
        <v>101.2</v>
      </c>
      <c r="F295" s="899"/>
      <c r="G295" s="1368" t="s">
        <v>9</v>
      </c>
    </row>
    <row r="296" spans="1:7">
      <c r="A296" s="884">
        <v>45556</v>
      </c>
      <c r="B296" s="240" t="str">
        <f>TiposLancamentos!B71</f>
        <v>Itens Pessoais</v>
      </c>
      <c r="C296" s="878" t="s">
        <v>2044</v>
      </c>
      <c r="D296" s="63"/>
      <c r="E296" s="231">
        <f>F296/6</f>
        <v>362.66333333333336</v>
      </c>
      <c r="F296" s="899">
        <v>2175.98</v>
      </c>
      <c r="G296" s="1368" t="s">
        <v>9</v>
      </c>
    </row>
    <row r="297" spans="1:7">
      <c r="A297" s="884">
        <v>45556</v>
      </c>
      <c r="B297" s="240" t="str">
        <f>TiposLancamentos!B57</f>
        <v>Informática</v>
      </c>
      <c r="C297" s="878" t="s">
        <v>2045</v>
      </c>
      <c r="D297" s="63"/>
      <c r="E297" s="231">
        <v>36.56</v>
      </c>
      <c r="F297" s="899"/>
      <c r="G297" s="1368" t="s">
        <v>9</v>
      </c>
    </row>
    <row r="298" spans="1:7">
      <c r="A298" s="884">
        <v>45558</v>
      </c>
      <c r="B298" s="240" t="str">
        <f>TiposLancamentos!B45</f>
        <v>Online Services</v>
      </c>
      <c r="C298" s="878" t="s">
        <v>1876</v>
      </c>
      <c r="D298" s="63"/>
      <c r="E298" s="231">
        <v>4.9000000000000004</v>
      </c>
      <c r="F298" s="899"/>
      <c r="G298" s="1368" t="s">
        <v>9</v>
      </c>
    </row>
    <row r="299" spans="1:7">
      <c r="A299" s="884">
        <v>45558</v>
      </c>
      <c r="B299" s="240" t="str">
        <f>TiposLancamentos!B65</f>
        <v>Taxi</v>
      </c>
      <c r="C299" s="878" t="s">
        <v>2046</v>
      </c>
      <c r="D299" s="63"/>
      <c r="E299" s="231">
        <v>13.93</v>
      </c>
      <c r="F299" s="899"/>
      <c r="G299" s="1368" t="s">
        <v>9</v>
      </c>
    </row>
    <row r="300" spans="1:7">
      <c r="A300" s="884">
        <v>45558</v>
      </c>
      <c r="B300" s="240" t="str">
        <f>TiposLancamentos!B65</f>
        <v>Taxi</v>
      </c>
      <c r="C300" s="878" t="s">
        <v>2040</v>
      </c>
      <c r="D300" s="63"/>
      <c r="E300" s="231">
        <v>19.91</v>
      </c>
      <c r="F300" s="899"/>
      <c r="G300" s="1368" t="s">
        <v>9</v>
      </c>
    </row>
    <row r="301" spans="1:7">
      <c r="A301" s="884">
        <v>45560</v>
      </c>
      <c r="B301" s="240" t="str">
        <f>TiposLancamentos!B65</f>
        <v>Taxi</v>
      </c>
      <c r="C301" s="878" t="s">
        <v>2047</v>
      </c>
      <c r="D301" s="63"/>
      <c r="E301" s="231">
        <v>13.95</v>
      </c>
      <c r="F301" s="899"/>
      <c r="G301" s="1368" t="s">
        <v>9</v>
      </c>
    </row>
    <row r="302" spans="1:7">
      <c r="A302" s="884">
        <v>45560</v>
      </c>
      <c r="B302" s="240" t="str">
        <f>TiposLancamentos!B65</f>
        <v>Taxi</v>
      </c>
      <c r="C302" s="878" t="s">
        <v>2040</v>
      </c>
      <c r="D302" s="63"/>
      <c r="E302" s="231">
        <v>15.97</v>
      </c>
      <c r="F302" s="899"/>
      <c r="G302" s="1368" t="s">
        <v>9</v>
      </c>
    </row>
    <row r="303" spans="1:7">
      <c r="A303" s="884">
        <v>45560</v>
      </c>
      <c r="B303" s="240" t="str">
        <f>TiposLancamentos!B19</f>
        <v>Restaurantes</v>
      </c>
      <c r="C303" s="878" t="s">
        <v>2048</v>
      </c>
      <c r="D303" s="63"/>
      <c r="E303" s="231">
        <v>81</v>
      </c>
      <c r="F303" s="899"/>
      <c r="G303" s="1368" t="s">
        <v>9</v>
      </c>
    </row>
    <row r="304" spans="1:7">
      <c r="A304" s="884">
        <v>45561</v>
      </c>
      <c r="B304" s="240" t="str">
        <f>TiposLancamentos!B19</f>
        <v>Restaurantes</v>
      </c>
      <c r="C304" s="878" t="s">
        <v>2049</v>
      </c>
      <c r="D304" s="63"/>
      <c r="E304" s="231">
        <v>79.900000000000006</v>
      </c>
      <c r="F304" s="899"/>
      <c r="G304" s="1368" t="s">
        <v>9</v>
      </c>
    </row>
    <row r="305" spans="1:7">
      <c r="A305" s="884">
        <v>45561</v>
      </c>
      <c r="B305" s="240" t="str">
        <f>TiposLancamentos!B19</f>
        <v>Restaurantes</v>
      </c>
      <c r="C305" s="878" t="s">
        <v>2050</v>
      </c>
      <c r="D305" s="63"/>
      <c r="E305" s="231">
        <v>12.9</v>
      </c>
      <c r="F305" s="899"/>
      <c r="G305" s="1368" t="s">
        <v>9</v>
      </c>
    </row>
    <row r="306" spans="1:7">
      <c r="A306" s="884">
        <v>45563</v>
      </c>
      <c r="B306" s="240" t="str">
        <f>TiposLancamentos!B45</f>
        <v>Online Services</v>
      </c>
      <c r="C306" s="878" t="s">
        <v>1894</v>
      </c>
      <c r="D306" s="63"/>
      <c r="E306" s="231">
        <v>44.9</v>
      </c>
      <c r="F306" s="899"/>
      <c r="G306" s="1368" t="s">
        <v>9</v>
      </c>
    </row>
    <row r="307" spans="1:7">
      <c r="A307" s="884">
        <v>45563</v>
      </c>
      <c r="B307" s="240" t="str">
        <f>TiposLancamentos!B45</f>
        <v>Online Services</v>
      </c>
      <c r="C307" s="878" t="s">
        <v>1895</v>
      </c>
      <c r="D307" s="63"/>
      <c r="E307" s="231">
        <v>34.9</v>
      </c>
      <c r="F307" s="899"/>
      <c r="G307" s="1368" t="s">
        <v>9</v>
      </c>
    </row>
    <row r="308" spans="1:7">
      <c r="A308" s="884"/>
      <c r="B308" s="240"/>
      <c r="C308" s="878" t="s">
        <v>1947</v>
      </c>
      <c r="D308" s="63"/>
      <c r="E308" s="231"/>
      <c r="F308" s="899"/>
    </row>
    <row r="309" spans="1:7">
      <c r="A309" s="858">
        <v>45563</v>
      </c>
      <c r="B309" s="822" t="str">
        <f>TiposLancamentos!B36</f>
        <v>Playstation 2</v>
      </c>
      <c r="C309" s="1396" t="s">
        <v>2051</v>
      </c>
      <c r="D309" s="747"/>
      <c r="E309" s="1139">
        <v>95.03</v>
      </c>
      <c r="F309" s="1454"/>
      <c r="G309" s="1368" t="s">
        <v>9</v>
      </c>
    </row>
    <row r="310" spans="1:7">
      <c r="A310" s="862">
        <v>45563</v>
      </c>
      <c r="B310" s="823" t="str">
        <f>TiposLancamentos!B60</f>
        <v>Correio</v>
      </c>
      <c r="C310" s="1448" t="s">
        <v>2052</v>
      </c>
      <c r="D310" s="849"/>
      <c r="E310" s="1141">
        <f>F310-E309</f>
        <v>96.16</v>
      </c>
      <c r="F310" s="1456">
        <v>191.19</v>
      </c>
      <c r="G310" s="1368" t="s">
        <v>9</v>
      </c>
    </row>
    <row r="311" spans="1:7">
      <c r="A311" s="860"/>
      <c r="B311" s="275"/>
      <c r="C311" s="1443" t="s">
        <v>1947</v>
      </c>
      <c r="D311" s="51"/>
      <c r="E311" s="1147"/>
      <c r="F311" s="1649"/>
    </row>
    <row r="312" spans="1:7">
      <c r="A312" s="858">
        <v>45563</v>
      </c>
      <c r="B312" s="822" t="str">
        <f>TiposLancamentos!B36</f>
        <v>Playstation 2</v>
      </c>
      <c r="C312" s="1396" t="s">
        <v>2053</v>
      </c>
      <c r="D312" s="747"/>
      <c r="E312" s="1139">
        <v>42.77</v>
      </c>
      <c r="F312" s="1454"/>
      <c r="G312" s="1368" t="s">
        <v>9</v>
      </c>
    </row>
    <row r="313" spans="1:7">
      <c r="A313" s="862">
        <v>45563</v>
      </c>
      <c r="B313" s="823" t="str">
        <f>TiposLancamentos!B60</f>
        <v>Correio</v>
      </c>
      <c r="C313" s="1448" t="s">
        <v>2054</v>
      </c>
      <c r="D313" s="849"/>
      <c r="E313" s="1141">
        <f>F313-E312</f>
        <v>101.17999999999998</v>
      </c>
      <c r="F313" s="1456">
        <v>143.94999999999999</v>
      </c>
      <c r="G313" s="1368" t="s">
        <v>9</v>
      </c>
    </row>
    <row r="314" spans="1:7">
      <c r="A314" s="884"/>
      <c r="B314" s="240"/>
      <c r="C314" s="878" t="s">
        <v>1947</v>
      </c>
      <c r="D314" s="63"/>
      <c r="E314" s="231"/>
      <c r="F314" s="899"/>
    </row>
    <row r="315" spans="1:7">
      <c r="A315" s="884">
        <v>45564</v>
      </c>
      <c r="B315" s="240" t="str">
        <f>TiposLancamentos!B54</f>
        <v>Metro</v>
      </c>
      <c r="C315" s="878" t="s">
        <v>2016</v>
      </c>
      <c r="D315" s="63"/>
      <c r="E315" s="231">
        <v>100</v>
      </c>
      <c r="F315" s="899"/>
      <c r="G315" s="1368" t="s">
        <v>9</v>
      </c>
    </row>
    <row r="316" spans="1:7">
      <c r="A316" s="884">
        <v>45564</v>
      </c>
      <c r="B316" s="240" t="str">
        <f>TiposLancamentos!B45</f>
        <v>Online Services</v>
      </c>
      <c r="C316" s="878" t="s">
        <v>1901</v>
      </c>
      <c r="D316" s="63"/>
      <c r="E316" s="231">
        <v>19.95</v>
      </c>
      <c r="F316" s="899"/>
      <c r="G316" s="1368" t="s">
        <v>9</v>
      </c>
    </row>
    <row r="317" spans="1:7">
      <c r="A317" s="884">
        <v>45565</v>
      </c>
      <c r="B317" s="240" t="str">
        <f>TiposLancamentos!B65</f>
        <v>Taxi</v>
      </c>
      <c r="C317" s="878" t="s">
        <v>2047</v>
      </c>
      <c r="D317" s="63"/>
      <c r="E317" s="231">
        <v>13.93</v>
      </c>
      <c r="F317" s="899"/>
      <c r="G317" s="1368" t="s">
        <v>9</v>
      </c>
    </row>
    <row r="318" spans="1:7" ht="14.25" thickBot="1">
      <c r="A318" s="884">
        <v>45565</v>
      </c>
      <c r="B318" s="240" t="str">
        <f>TiposLancamentos!B65</f>
        <v>Taxi</v>
      </c>
      <c r="C318" s="878" t="s">
        <v>2040</v>
      </c>
      <c r="D318" s="63"/>
      <c r="E318" s="231">
        <v>20.99</v>
      </c>
      <c r="F318" s="899"/>
      <c r="G318" s="1368" t="s">
        <v>9</v>
      </c>
    </row>
    <row r="319" spans="1:7">
      <c r="A319" s="1032"/>
      <c r="B319" s="1230"/>
      <c r="C319" s="1092" t="s">
        <v>1639</v>
      </c>
      <c r="D319" s="896"/>
      <c r="E319" s="925"/>
      <c r="F319" s="898">
        <f>SUM(E233:E286)</f>
        <v>2712.6433333333348</v>
      </c>
    </row>
    <row r="320" spans="1:7">
      <c r="A320" s="884">
        <v>45566</v>
      </c>
      <c r="B320" s="240" t="str">
        <f>TiposLancamentos!B15</f>
        <v>Cartões de Crédito</v>
      </c>
      <c r="C320" s="878" t="s">
        <v>1874</v>
      </c>
      <c r="D320" s="63">
        <v>2712.64</v>
      </c>
      <c r="E320" s="231"/>
      <c r="F320" s="899">
        <f>F319-F272</f>
        <v>1402.0800000000011</v>
      </c>
      <c r="G320" s="1368" t="s">
        <v>9</v>
      </c>
    </row>
    <row r="321" spans="1:7">
      <c r="A321" s="884">
        <v>45566</v>
      </c>
      <c r="B321" s="240" t="str">
        <f>TiposLancamentos!B19</f>
        <v>Restaurantes</v>
      </c>
      <c r="C321" s="878" t="s">
        <v>2055</v>
      </c>
      <c r="D321" s="63"/>
      <c r="E321" s="231">
        <v>27.17</v>
      </c>
      <c r="F321" s="899"/>
      <c r="G321" s="1368" t="s">
        <v>9</v>
      </c>
    </row>
    <row r="322" spans="1:7">
      <c r="A322" s="884">
        <v>45566</v>
      </c>
      <c r="B322" s="240" t="str">
        <f>TiposLancamentos!B24</f>
        <v>Estacionamentos</v>
      </c>
      <c r="C322" s="878" t="s">
        <v>1898</v>
      </c>
      <c r="D322" s="63"/>
      <c r="E322" s="231">
        <v>20</v>
      </c>
      <c r="F322" s="899"/>
      <c r="G322" s="1368" t="s">
        <v>9</v>
      </c>
    </row>
    <row r="323" spans="1:7">
      <c r="A323" s="884">
        <v>45566</v>
      </c>
      <c r="B323" s="240" t="str">
        <f>TiposLancamentos!B19</f>
        <v>Restaurantes</v>
      </c>
      <c r="C323" s="878" t="s">
        <v>1967</v>
      </c>
      <c r="D323" s="63"/>
      <c r="E323" s="231">
        <v>26.4</v>
      </c>
      <c r="F323" s="899"/>
      <c r="G323" s="1368" t="s">
        <v>9</v>
      </c>
    </row>
    <row r="324" spans="1:7">
      <c r="A324" s="884">
        <v>45567</v>
      </c>
      <c r="B324" s="240" t="str">
        <f>TiposLancamentos!B65</f>
        <v>Taxi</v>
      </c>
      <c r="C324" s="878" t="s">
        <v>2046</v>
      </c>
      <c r="D324" s="63"/>
      <c r="E324" s="231">
        <v>13.99</v>
      </c>
      <c r="F324" s="899"/>
      <c r="G324" s="1368" t="s">
        <v>9</v>
      </c>
    </row>
    <row r="325" spans="1:7">
      <c r="A325" s="884">
        <v>45567</v>
      </c>
      <c r="B325" s="240" t="str">
        <f>TiposLancamentos!B65</f>
        <v>Taxi</v>
      </c>
      <c r="C325" s="878" t="s">
        <v>2040</v>
      </c>
      <c r="D325" s="63"/>
      <c r="E325" s="231">
        <v>25.93</v>
      </c>
      <c r="F325" s="899"/>
      <c r="G325" s="1368" t="s">
        <v>9</v>
      </c>
    </row>
    <row r="326" spans="1:7">
      <c r="A326" s="884">
        <v>45568</v>
      </c>
      <c r="B326" s="240" t="str">
        <f>TiposLancamentos!B19</f>
        <v>Restaurantes</v>
      </c>
      <c r="C326" s="878" t="s">
        <v>2056</v>
      </c>
      <c r="D326" s="63"/>
      <c r="E326" s="231">
        <v>95</v>
      </c>
      <c r="F326" s="899"/>
      <c r="G326" s="1368" t="s">
        <v>9</v>
      </c>
    </row>
    <row r="327" spans="1:7">
      <c r="A327" s="884">
        <v>45573</v>
      </c>
      <c r="B327" s="240" t="str">
        <f>TiposLancamentos!B65</f>
        <v>Taxi</v>
      </c>
      <c r="C327" s="878" t="s">
        <v>2046</v>
      </c>
      <c r="D327" s="63"/>
      <c r="E327" s="231">
        <v>19.93</v>
      </c>
      <c r="F327" s="899"/>
      <c r="G327" s="1368" t="s">
        <v>9</v>
      </c>
    </row>
    <row r="328" spans="1:7">
      <c r="A328" s="884">
        <v>45573</v>
      </c>
      <c r="B328" s="240" t="str">
        <f>TiposLancamentos!B65</f>
        <v>Taxi</v>
      </c>
      <c r="C328" s="878" t="s">
        <v>2040</v>
      </c>
      <c r="D328" s="63"/>
      <c r="E328" s="231">
        <v>22.97</v>
      </c>
      <c r="F328" s="899"/>
      <c r="G328" s="1368" t="s">
        <v>9</v>
      </c>
    </row>
    <row r="329" spans="1:7">
      <c r="A329" s="884">
        <v>45575</v>
      </c>
      <c r="B329" s="240" t="str">
        <f>TiposLancamentos!B65</f>
        <v>Taxi</v>
      </c>
      <c r="C329" s="878" t="s">
        <v>2046</v>
      </c>
      <c r="D329" s="63"/>
      <c r="E329" s="231">
        <v>1.96</v>
      </c>
      <c r="F329" s="899"/>
      <c r="G329" s="1368" t="s">
        <v>9</v>
      </c>
    </row>
    <row r="330" spans="1:7">
      <c r="A330" s="884">
        <v>45575</v>
      </c>
      <c r="B330" s="240" t="str">
        <f>TiposLancamentos!B65</f>
        <v>Taxi</v>
      </c>
      <c r="C330" s="878" t="s">
        <v>2046</v>
      </c>
      <c r="D330" s="63"/>
      <c r="E330" s="231">
        <v>15.97</v>
      </c>
      <c r="F330" s="899"/>
      <c r="G330" s="1368" t="s">
        <v>9</v>
      </c>
    </row>
    <row r="331" spans="1:7">
      <c r="A331" s="884">
        <v>45575</v>
      </c>
      <c r="B331" s="240" t="str">
        <f>TiposLancamentos!B65</f>
        <v>Taxi</v>
      </c>
      <c r="C331" s="878" t="s">
        <v>2040</v>
      </c>
      <c r="D331" s="63"/>
      <c r="E331" s="231">
        <v>17.940000000000001</v>
      </c>
      <c r="F331" s="899"/>
      <c r="G331" s="1368" t="s">
        <v>9</v>
      </c>
    </row>
    <row r="332" spans="1:7">
      <c r="A332" s="884">
        <v>45579</v>
      </c>
      <c r="B332" s="240" t="str">
        <f>TiposLancamentos!B65</f>
        <v>Taxi</v>
      </c>
      <c r="C332" s="878" t="s">
        <v>2046</v>
      </c>
      <c r="D332" s="63"/>
      <c r="E332" s="231">
        <v>15.99</v>
      </c>
      <c r="F332" s="899"/>
      <c r="G332" s="1368" t="s">
        <v>9</v>
      </c>
    </row>
    <row r="333" spans="1:7">
      <c r="A333" s="884">
        <v>45579</v>
      </c>
      <c r="B333" s="240" t="str">
        <f>TiposLancamentos!B65</f>
        <v>Taxi</v>
      </c>
      <c r="C333" s="878" t="s">
        <v>2040</v>
      </c>
      <c r="D333" s="63"/>
      <c r="E333" s="231">
        <v>17.95</v>
      </c>
      <c r="F333" s="899"/>
      <c r="G333" s="1368" t="s">
        <v>9</v>
      </c>
    </row>
    <row r="334" spans="1:7">
      <c r="A334" s="884">
        <v>45581</v>
      </c>
      <c r="B334" s="240" t="str">
        <f>TiposLancamentos!B71</f>
        <v>Itens Pessoais</v>
      </c>
      <c r="C334" s="878" t="s">
        <v>2057</v>
      </c>
      <c r="D334" s="63"/>
      <c r="E334" s="231">
        <v>158.54</v>
      </c>
      <c r="F334" s="899">
        <v>950.99</v>
      </c>
      <c r="G334" s="1368" t="s">
        <v>9</v>
      </c>
    </row>
    <row r="335" spans="1:7">
      <c r="A335" s="884">
        <v>45581</v>
      </c>
      <c r="B335" s="240" t="str">
        <f>TiposLancamentos!B71</f>
        <v>Itens Pessoais</v>
      </c>
      <c r="C335" s="878" t="s">
        <v>2058</v>
      </c>
      <c r="D335" s="63"/>
      <c r="E335" s="231">
        <v>0</v>
      </c>
      <c r="F335" s="899"/>
    </row>
    <row r="336" spans="1:7">
      <c r="A336" s="884">
        <v>45582</v>
      </c>
      <c r="B336" s="240" t="str">
        <f>TiposLancamentos!B65</f>
        <v>Taxi</v>
      </c>
      <c r="C336" s="878" t="s">
        <v>2046</v>
      </c>
      <c r="D336" s="63"/>
      <c r="E336" s="231">
        <v>17.95</v>
      </c>
      <c r="F336" s="899"/>
      <c r="G336" s="1368" t="s">
        <v>9</v>
      </c>
    </row>
    <row r="337" spans="1:7">
      <c r="A337" s="884">
        <v>45582</v>
      </c>
      <c r="B337" s="240" t="str">
        <f>TiposLancamentos!B26</f>
        <v>LIVROS</v>
      </c>
      <c r="C337" s="878" t="s">
        <v>2059</v>
      </c>
      <c r="D337" s="63"/>
      <c r="E337" s="231">
        <v>14.9</v>
      </c>
      <c r="F337" s="899"/>
      <c r="G337" s="1368" t="s">
        <v>9</v>
      </c>
    </row>
    <row r="338" spans="1:7">
      <c r="A338" s="884">
        <v>45582</v>
      </c>
      <c r="B338" s="240" t="str">
        <f>TiposLancamentos!B65</f>
        <v>Taxi</v>
      </c>
      <c r="C338" s="878" t="s">
        <v>2040</v>
      </c>
      <c r="D338" s="63"/>
      <c r="E338" s="231">
        <v>18.97</v>
      </c>
      <c r="F338" s="899"/>
      <c r="G338" s="1368" t="s">
        <v>9</v>
      </c>
    </row>
    <row r="339" spans="1:7">
      <c r="A339" s="934"/>
      <c r="B339" s="243"/>
      <c r="C339" s="389" t="s">
        <v>10</v>
      </c>
      <c r="D339" s="146"/>
      <c r="E339" s="1190"/>
      <c r="F339" s="935"/>
      <c r="G339" s="1094" t="s">
        <v>11</v>
      </c>
    </row>
    <row r="340" spans="1:7">
      <c r="A340" s="884">
        <v>45585</v>
      </c>
      <c r="B340" s="240" t="str">
        <f>TiposLancamentos!B45</f>
        <v>Online Services</v>
      </c>
      <c r="C340" s="878" t="s">
        <v>2060</v>
      </c>
      <c r="D340" s="63"/>
      <c r="E340" s="231">
        <v>9.99</v>
      </c>
      <c r="F340" s="899"/>
      <c r="G340" s="1368" t="s">
        <v>9</v>
      </c>
    </row>
    <row r="341" spans="1:7">
      <c r="A341" s="884">
        <v>45585</v>
      </c>
      <c r="B341" s="240" t="str">
        <f>TiposLancamentos!B5</f>
        <v>Supermercado</v>
      </c>
      <c r="C341" s="878" t="s">
        <v>2061</v>
      </c>
      <c r="D341" s="63"/>
      <c r="E341" s="231">
        <v>311.91000000000003</v>
      </c>
      <c r="F341" s="899"/>
      <c r="G341" s="1368" t="s">
        <v>9</v>
      </c>
    </row>
    <row r="342" spans="1:7">
      <c r="A342" s="884">
        <v>45585</v>
      </c>
      <c r="B342" s="240" t="str">
        <f>TiposLancamentos!B26</f>
        <v>LIVROS</v>
      </c>
      <c r="C342" s="878" t="s">
        <v>2062</v>
      </c>
      <c r="D342" s="63"/>
      <c r="E342" s="231">
        <v>1.73</v>
      </c>
      <c r="F342" s="899"/>
      <c r="G342" s="1368" t="s">
        <v>9</v>
      </c>
    </row>
    <row r="343" spans="1:7">
      <c r="A343" s="884">
        <v>45585</v>
      </c>
      <c r="B343" s="240" t="str">
        <f>TiposLancamentos!B26</f>
        <v>LIVROS</v>
      </c>
      <c r="C343" s="878" t="s">
        <v>2063</v>
      </c>
      <c r="D343" s="63"/>
      <c r="E343" s="231">
        <v>1.9</v>
      </c>
      <c r="F343" s="899"/>
      <c r="G343" s="1368" t="s">
        <v>9</v>
      </c>
    </row>
    <row r="344" spans="1:7">
      <c r="A344" s="884">
        <v>45586</v>
      </c>
      <c r="B344" s="240" t="str">
        <f>TiposLancamentos!B65</f>
        <v>Taxi</v>
      </c>
      <c r="C344" s="878" t="s">
        <v>2046</v>
      </c>
      <c r="D344" s="63"/>
      <c r="E344" s="231">
        <v>14.93</v>
      </c>
      <c r="F344" s="899"/>
      <c r="G344" s="1368" t="s">
        <v>9</v>
      </c>
    </row>
    <row r="345" spans="1:7">
      <c r="A345" s="884">
        <v>45586</v>
      </c>
      <c r="B345" s="240" t="str">
        <f>TiposLancamentos!B65</f>
        <v>Taxi</v>
      </c>
      <c r="C345" s="878" t="s">
        <v>2040</v>
      </c>
      <c r="D345" s="63"/>
      <c r="E345" s="231">
        <v>16.920000000000002</v>
      </c>
      <c r="F345" s="899"/>
      <c r="G345" s="1368" t="s">
        <v>9</v>
      </c>
    </row>
    <row r="346" spans="1:7">
      <c r="A346" s="884">
        <v>45587</v>
      </c>
      <c r="B346" s="240" t="str">
        <f>TiposLancamentos!B5</f>
        <v>Supermercado</v>
      </c>
      <c r="C346" s="878" t="s">
        <v>2064</v>
      </c>
      <c r="D346" s="63"/>
      <c r="E346" s="231">
        <v>58.73</v>
      </c>
      <c r="F346" s="899"/>
      <c r="G346" s="1368" t="s">
        <v>9</v>
      </c>
    </row>
    <row r="347" spans="1:7">
      <c r="A347" s="884">
        <v>45587</v>
      </c>
      <c r="B347" s="240" t="str">
        <f>TiposLancamentos!B81</f>
        <v>Ferramentas gerais</v>
      </c>
      <c r="C347" s="878" t="s">
        <v>2065</v>
      </c>
      <c r="D347" s="63"/>
      <c r="E347" s="231">
        <v>29.8</v>
      </c>
      <c r="F347" s="899"/>
      <c r="G347" s="1368" t="s">
        <v>9</v>
      </c>
    </row>
    <row r="348" spans="1:7">
      <c r="A348" s="884">
        <v>45587</v>
      </c>
      <c r="B348" s="240" t="str">
        <f>TiposLancamentos!B67</f>
        <v>Lavanderia</v>
      </c>
      <c r="C348" s="878" t="s">
        <v>2066</v>
      </c>
      <c r="D348" s="63"/>
      <c r="E348" s="231">
        <v>95</v>
      </c>
      <c r="F348" s="899"/>
      <c r="G348" s="1368" t="s">
        <v>9</v>
      </c>
    </row>
    <row r="349" spans="1:7">
      <c r="A349" s="884">
        <v>45587</v>
      </c>
      <c r="B349" s="240" t="str">
        <f>TiposLancamentos!B24</f>
        <v>Estacionamentos</v>
      </c>
      <c r="C349" s="878" t="s">
        <v>1898</v>
      </c>
      <c r="D349" s="63"/>
      <c r="E349" s="231">
        <v>20</v>
      </c>
      <c r="F349" s="899"/>
      <c r="G349" s="1368" t="s">
        <v>9</v>
      </c>
    </row>
    <row r="350" spans="1:7">
      <c r="A350" s="884">
        <v>45587</v>
      </c>
      <c r="B350" s="240" t="str">
        <f>TiposLancamentos!B19</f>
        <v>Restaurantes</v>
      </c>
      <c r="C350" s="878" t="s">
        <v>1967</v>
      </c>
      <c r="D350" s="63"/>
      <c r="E350" s="231">
        <v>31.3</v>
      </c>
      <c r="F350" s="899"/>
      <c r="G350" s="1368" t="s">
        <v>9</v>
      </c>
    </row>
    <row r="351" spans="1:7">
      <c r="A351" s="884">
        <v>45588</v>
      </c>
      <c r="B351" s="240" t="str">
        <f>TiposLancamentos!B45</f>
        <v>Online Services</v>
      </c>
      <c r="C351" s="878" t="s">
        <v>1876</v>
      </c>
      <c r="D351" s="63"/>
      <c r="E351" s="231">
        <v>4.9000000000000004</v>
      </c>
      <c r="F351" s="899"/>
      <c r="G351" s="1368" t="s">
        <v>9</v>
      </c>
    </row>
    <row r="352" spans="1:7">
      <c r="A352" s="884">
        <v>45588</v>
      </c>
      <c r="B352" s="240" t="str">
        <f>TiposLancamentos!B75</f>
        <v>Shows</v>
      </c>
      <c r="C352" s="878" t="s">
        <v>2067</v>
      </c>
      <c r="D352" s="63"/>
      <c r="E352" s="231">
        <v>65.900000000000006</v>
      </c>
      <c r="F352" s="899"/>
      <c r="G352" s="1368" t="s">
        <v>9</v>
      </c>
    </row>
    <row r="353" spans="1:7">
      <c r="A353" s="884">
        <v>45589</v>
      </c>
      <c r="B353" s="240" t="str">
        <f>TiposLancamentos!B65</f>
        <v>Taxi</v>
      </c>
      <c r="C353" s="878" t="s">
        <v>2046</v>
      </c>
      <c r="D353" s="63"/>
      <c r="E353" s="231">
        <v>20.75</v>
      </c>
      <c r="F353" s="899"/>
      <c r="G353" s="1368" t="s">
        <v>9</v>
      </c>
    </row>
    <row r="354" spans="1:7">
      <c r="A354" s="884">
        <v>45589</v>
      </c>
      <c r="B354" s="240" t="str">
        <f>TiposLancamentos!B38</f>
        <v>Playstation 4</v>
      </c>
      <c r="C354" s="878" t="s">
        <v>2068</v>
      </c>
      <c r="D354" s="63"/>
      <c r="E354" s="231">
        <v>169.89</v>
      </c>
      <c r="F354" s="899"/>
      <c r="G354" s="1368" t="s">
        <v>9</v>
      </c>
    </row>
    <row r="355" spans="1:7">
      <c r="A355" s="858">
        <v>45589</v>
      </c>
      <c r="B355" s="822" t="str">
        <f>TiposLancamentos!B38</f>
        <v>Playstation 4</v>
      </c>
      <c r="C355" s="1396" t="s">
        <v>2069</v>
      </c>
      <c r="D355" s="747"/>
      <c r="E355" s="1139">
        <v>6.8</v>
      </c>
      <c r="F355" s="1454"/>
      <c r="G355" s="1368" t="s">
        <v>9</v>
      </c>
    </row>
    <row r="356" spans="1:7">
      <c r="A356" s="862">
        <v>45589</v>
      </c>
      <c r="B356" s="823" t="str">
        <f>TiposLancamentos!B4</f>
        <v>Taxas Bancarias</v>
      </c>
      <c r="C356" s="1448" t="s">
        <v>2070</v>
      </c>
      <c r="D356" s="849"/>
      <c r="E356" s="1141">
        <v>0.03</v>
      </c>
      <c r="F356" s="1456">
        <f>SUM(E355:E356)</f>
        <v>6.83</v>
      </c>
      <c r="G356" s="1368" t="s">
        <v>9</v>
      </c>
    </row>
    <row r="357" spans="1:7">
      <c r="A357" s="884">
        <v>45589</v>
      </c>
      <c r="B357" s="240" t="str">
        <f>TiposLancamentos!B65</f>
        <v>Taxi</v>
      </c>
      <c r="C357" s="878" t="s">
        <v>2040</v>
      </c>
      <c r="D357" s="63"/>
      <c r="E357" s="231">
        <v>19.95</v>
      </c>
      <c r="F357" s="899"/>
      <c r="G357" s="1368" t="s">
        <v>9</v>
      </c>
    </row>
    <row r="358" spans="1:7">
      <c r="A358" s="884">
        <v>45592</v>
      </c>
      <c r="B358" s="240" t="str">
        <f>TiposLancamentos!B19</f>
        <v>Restaurantes</v>
      </c>
      <c r="C358" s="878" t="s">
        <v>2071</v>
      </c>
      <c r="D358" s="63"/>
      <c r="E358" s="231">
        <v>12.9</v>
      </c>
      <c r="F358" s="899"/>
      <c r="G358" s="1368" t="s">
        <v>9</v>
      </c>
    </row>
    <row r="359" spans="1:7">
      <c r="A359" s="884">
        <v>45593</v>
      </c>
      <c r="B359" s="240" t="str">
        <f>TiposLancamentos!B65</f>
        <v>Taxi</v>
      </c>
      <c r="C359" s="878" t="s">
        <v>2046</v>
      </c>
      <c r="D359" s="63"/>
      <c r="E359" s="231">
        <v>13.95</v>
      </c>
      <c r="F359" s="899"/>
      <c r="G359" s="1368" t="s">
        <v>9</v>
      </c>
    </row>
    <row r="360" spans="1:7">
      <c r="A360" s="884">
        <v>45593</v>
      </c>
      <c r="B360" s="240" t="str">
        <f>TiposLancamentos!B45</f>
        <v>Online Services</v>
      </c>
      <c r="C360" s="878" t="s">
        <v>2072</v>
      </c>
      <c r="D360" s="63"/>
      <c r="E360" s="231">
        <v>32.9</v>
      </c>
      <c r="F360" s="899"/>
      <c r="G360" s="1368" t="s">
        <v>9</v>
      </c>
    </row>
    <row r="361" spans="1:7">
      <c r="A361" s="884">
        <v>45593</v>
      </c>
      <c r="B361" s="240" t="str">
        <f>TiposLancamentos!B65</f>
        <v>Taxi</v>
      </c>
      <c r="C361" s="878" t="s">
        <v>2040</v>
      </c>
      <c r="D361" s="63"/>
      <c r="E361" s="231">
        <v>20.62</v>
      </c>
      <c r="F361" s="899"/>
      <c r="G361" s="1368" t="s">
        <v>9</v>
      </c>
    </row>
    <row r="362" spans="1:7">
      <c r="A362" s="884">
        <v>45594</v>
      </c>
      <c r="B362" s="240" t="str">
        <f>TiposLancamentos!B26</f>
        <v>LIVROS</v>
      </c>
      <c r="C362" s="878" t="s">
        <v>2073</v>
      </c>
      <c r="D362" s="63"/>
      <c r="E362" s="231">
        <v>12.97</v>
      </c>
      <c r="F362" s="899"/>
      <c r="G362" s="1368" t="s">
        <v>9</v>
      </c>
    </row>
    <row r="363" spans="1:7">
      <c r="A363" s="858">
        <v>45595</v>
      </c>
      <c r="B363" s="822" t="str">
        <f>TiposLancamentos!B62</f>
        <v>Papelaria</v>
      </c>
      <c r="C363" s="1396" t="s">
        <v>2074</v>
      </c>
      <c r="D363" s="747"/>
      <c r="E363" s="1139">
        <v>30.9</v>
      </c>
      <c r="F363" s="1454"/>
      <c r="G363" s="1368" t="s">
        <v>9</v>
      </c>
    </row>
    <row r="364" spans="1:7">
      <c r="A364" s="862">
        <v>45595</v>
      </c>
      <c r="B364" s="823" t="str">
        <f>TiposLancamentos!B57</f>
        <v>Informática</v>
      </c>
      <c r="C364" s="1448" t="s">
        <v>2075</v>
      </c>
      <c r="D364" s="849"/>
      <c r="E364" s="1141">
        <v>25.56</v>
      </c>
      <c r="F364" s="1456">
        <f>SUM(E363:E364)</f>
        <v>56.459999999999994</v>
      </c>
      <c r="G364" s="1368" t="s">
        <v>9</v>
      </c>
    </row>
    <row r="365" spans="1:7">
      <c r="A365" s="860">
        <v>45595</v>
      </c>
      <c r="B365" s="275" t="str">
        <f>TiposLancamentos!B13</f>
        <v>Moradia</v>
      </c>
      <c r="C365" s="1443" t="s">
        <v>2076</v>
      </c>
      <c r="D365" s="51"/>
      <c r="E365" s="1147">
        <f>7.36*2</f>
        <v>14.72</v>
      </c>
      <c r="F365" s="899"/>
      <c r="G365" s="1368" t="s">
        <v>9</v>
      </c>
    </row>
    <row r="366" spans="1:7">
      <c r="A366" s="862">
        <v>45595</v>
      </c>
      <c r="B366" s="823" t="str">
        <f>TiposLancamentos!B60</f>
        <v>Correio</v>
      </c>
      <c r="C366" s="1448" t="s">
        <v>2077</v>
      </c>
      <c r="D366" s="849"/>
      <c r="E366" s="1141">
        <v>8.4600000000000009</v>
      </c>
      <c r="F366" s="1456">
        <f>SUM(E365:E366)</f>
        <v>23.18</v>
      </c>
      <c r="G366" s="1368" t="s">
        <v>9</v>
      </c>
    </row>
    <row r="367" spans="1:7">
      <c r="A367" s="884"/>
      <c r="B367" s="240"/>
      <c r="C367" s="878" t="s">
        <v>1947</v>
      </c>
      <c r="D367" s="63"/>
      <c r="E367" s="231"/>
      <c r="F367" s="899"/>
    </row>
    <row r="368" spans="1:7">
      <c r="A368" s="884">
        <v>45596</v>
      </c>
      <c r="B368" s="240" t="str">
        <f>TiposLancamentos!B65</f>
        <v>Taxi</v>
      </c>
      <c r="C368" s="878" t="s">
        <v>2046</v>
      </c>
      <c r="D368" s="63"/>
      <c r="E368" s="231">
        <v>18.02</v>
      </c>
      <c r="F368" s="899"/>
      <c r="G368" s="1152" t="s">
        <v>9</v>
      </c>
    </row>
    <row r="369" spans="1:7">
      <c r="A369" s="884">
        <v>45596</v>
      </c>
      <c r="B369" s="240" t="str">
        <f>TiposLancamentos!B65</f>
        <v>Taxi</v>
      </c>
      <c r="C369" s="878" t="s">
        <v>2040</v>
      </c>
      <c r="D369" s="63"/>
      <c r="E369" s="231">
        <v>18.91</v>
      </c>
      <c r="F369" s="899"/>
      <c r="G369" s="1152" t="s">
        <v>9</v>
      </c>
    </row>
    <row r="370" spans="1:7" ht="14.25" thickBot="1">
      <c r="A370" s="884"/>
      <c r="B370" s="240"/>
      <c r="C370" s="878" t="s">
        <v>1947</v>
      </c>
      <c r="D370" s="63"/>
      <c r="E370" s="231"/>
      <c r="F370" s="899"/>
    </row>
    <row r="371" spans="1:7">
      <c r="A371" s="1032"/>
      <c r="B371" s="1230"/>
      <c r="C371" s="1092" t="s">
        <v>1640</v>
      </c>
      <c r="D371" s="896"/>
      <c r="E371" s="925"/>
      <c r="F371" s="898">
        <f>SUM(E286:E339)</f>
        <v>2098.1233333333339</v>
      </c>
    </row>
    <row r="372" spans="1:7">
      <c r="A372" s="884">
        <v>45597</v>
      </c>
      <c r="B372" s="240" t="str">
        <f>TiposLancamentos!B15</f>
        <v>Cartões de Crédito</v>
      </c>
      <c r="C372" s="878" t="s">
        <v>1874</v>
      </c>
      <c r="D372" s="63">
        <v>2098.12</v>
      </c>
      <c r="E372" s="231"/>
      <c r="F372" s="899">
        <f>F371-F319</f>
        <v>-614.52000000000089</v>
      </c>
      <c r="G372" s="1152" t="s">
        <v>9</v>
      </c>
    </row>
    <row r="373" spans="1:7">
      <c r="A373" s="884">
        <v>45597</v>
      </c>
      <c r="B373" s="240" t="str">
        <f>TiposLancamentos!B54</f>
        <v>Metro</v>
      </c>
      <c r="C373" s="878" t="s">
        <v>2078</v>
      </c>
      <c r="D373" s="63"/>
      <c r="E373" s="231">
        <v>100</v>
      </c>
      <c r="F373" s="899"/>
      <c r="G373" s="1152" t="s">
        <v>9</v>
      </c>
    </row>
    <row r="374" spans="1:7">
      <c r="A374" s="884">
        <v>45597</v>
      </c>
      <c r="B374" s="240" t="str">
        <f>TiposLancamentos!B45</f>
        <v>Online Services</v>
      </c>
      <c r="C374" s="878" t="s">
        <v>2079</v>
      </c>
      <c r="D374" s="63"/>
      <c r="E374" s="231">
        <v>27.9</v>
      </c>
      <c r="F374" s="899"/>
      <c r="G374" s="1152" t="s">
        <v>9</v>
      </c>
    </row>
    <row r="375" spans="1:7">
      <c r="A375" s="884">
        <v>45598</v>
      </c>
      <c r="B375" s="240" t="str">
        <f>TiposLancamentos!B19</f>
        <v>Restaurantes</v>
      </c>
      <c r="C375" s="878" t="s">
        <v>2080</v>
      </c>
      <c r="D375" s="63"/>
      <c r="E375" s="231">
        <v>14</v>
      </c>
      <c r="F375" s="899"/>
      <c r="G375" s="1152" t="s">
        <v>9</v>
      </c>
    </row>
    <row r="376" spans="1:7">
      <c r="A376" s="884">
        <v>45598</v>
      </c>
      <c r="B376" s="240" t="str">
        <f>TiposLancamentos!B19</f>
        <v>Restaurantes</v>
      </c>
      <c r="C376" s="878" t="s">
        <v>2081</v>
      </c>
      <c r="D376" s="63"/>
      <c r="E376" s="231">
        <v>15</v>
      </c>
      <c r="F376" s="899"/>
      <c r="G376" s="1152" t="s">
        <v>9</v>
      </c>
    </row>
    <row r="377" spans="1:7">
      <c r="A377" s="884">
        <v>45598</v>
      </c>
      <c r="B377" s="240" t="str">
        <f>TiposLancamentos!B19</f>
        <v>Restaurantes</v>
      </c>
      <c r="C377" s="878" t="s">
        <v>2082</v>
      </c>
      <c r="D377" s="63"/>
      <c r="E377" s="231">
        <v>15</v>
      </c>
      <c r="F377" s="899"/>
      <c r="G377" s="1152" t="s">
        <v>9</v>
      </c>
    </row>
    <row r="378" spans="1:7">
      <c r="A378" s="884">
        <v>45598</v>
      </c>
      <c r="B378" s="240" t="str">
        <f>TiposLancamentos!B19</f>
        <v>Restaurantes</v>
      </c>
      <c r="C378" s="878" t="s">
        <v>2083</v>
      </c>
      <c r="D378" s="63"/>
      <c r="E378" s="231">
        <v>20</v>
      </c>
      <c r="F378" s="899"/>
      <c r="G378" s="1152" t="s">
        <v>9</v>
      </c>
    </row>
    <row r="379" spans="1:7">
      <c r="A379" s="884">
        <v>45600</v>
      </c>
      <c r="B379" s="240" t="str">
        <f>TiposLancamentos!B65</f>
        <v>Taxi</v>
      </c>
      <c r="C379" s="878" t="s">
        <v>2046</v>
      </c>
      <c r="D379" s="63"/>
      <c r="E379" s="231">
        <v>19.920000000000002</v>
      </c>
      <c r="F379" s="899"/>
      <c r="G379" s="1152" t="s">
        <v>9</v>
      </c>
    </row>
    <row r="380" spans="1:7">
      <c r="A380" s="884">
        <v>45600</v>
      </c>
      <c r="B380" s="240" t="str">
        <f>TiposLancamentos!B65</f>
        <v>Taxi</v>
      </c>
      <c r="C380" s="878" t="s">
        <v>2040</v>
      </c>
      <c r="D380" s="63"/>
      <c r="E380" s="231">
        <v>23.95</v>
      </c>
      <c r="F380" s="899"/>
      <c r="G380" s="1152" t="s">
        <v>9</v>
      </c>
    </row>
    <row r="381" spans="1:7">
      <c r="A381" s="884">
        <v>45600</v>
      </c>
      <c r="B381" s="240" t="str">
        <f>TiposLancamentos!B56</f>
        <v>Farmácia</v>
      </c>
      <c r="C381" s="878" t="s">
        <v>2084</v>
      </c>
      <c r="D381" s="63"/>
      <c r="E381" s="231">
        <v>344.98</v>
      </c>
      <c r="F381" s="899"/>
      <c r="G381" s="1152" t="s">
        <v>9</v>
      </c>
    </row>
    <row r="382" spans="1:7">
      <c r="A382" s="884">
        <v>45601</v>
      </c>
      <c r="B382" s="240" t="str">
        <f>TiposLancamentos!B45</f>
        <v>Online Services</v>
      </c>
      <c r="C382" s="878" t="s">
        <v>2085</v>
      </c>
      <c r="D382" s="63"/>
      <c r="E382" s="231">
        <v>69.989999999999995</v>
      </c>
      <c r="F382" s="899"/>
      <c r="G382" s="1152" t="s">
        <v>9</v>
      </c>
    </row>
    <row r="383" spans="1:7">
      <c r="A383" s="884">
        <v>45603</v>
      </c>
      <c r="B383" s="240" t="str">
        <f>TiposLancamentos!B65</f>
        <v>Taxi</v>
      </c>
      <c r="C383" s="878" t="s">
        <v>2046</v>
      </c>
      <c r="D383" s="63"/>
      <c r="E383" s="231">
        <v>36.9</v>
      </c>
      <c r="F383" s="899"/>
      <c r="G383" s="1152" t="s">
        <v>9</v>
      </c>
    </row>
    <row r="384" spans="1:7">
      <c r="A384" s="884">
        <v>45603</v>
      </c>
      <c r="B384" s="240" t="str">
        <f>TiposLancamentos!B56</f>
        <v>Farmácia</v>
      </c>
      <c r="C384" s="878" t="s">
        <v>2086</v>
      </c>
      <c r="D384" s="63"/>
      <c r="E384" s="231">
        <v>80.5</v>
      </c>
      <c r="F384" s="899"/>
      <c r="G384" s="1152" t="s">
        <v>9</v>
      </c>
    </row>
    <row r="385" spans="1:7">
      <c r="A385" s="884">
        <v>45603</v>
      </c>
      <c r="B385" s="240" t="str">
        <f>TiposLancamentos!B19</f>
        <v>Restaurantes</v>
      </c>
      <c r="C385" s="878" t="s">
        <v>2087</v>
      </c>
      <c r="D385" s="63"/>
      <c r="E385" s="231">
        <v>20.6</v>
      </c>
      <c r="F385" s="899"/>
      <c r="G385" s="1152" t="s">
        <v>9</v>
      </c>
    </row>
    <row r="386" spans="1:7">
      <c r="A386" s="884">
        <v>45603</v>
      </c>
      <c r="B386" s="240" t="str">
        <f>TiposLancamentos!B65</f>
        <v>Taxi</v>
      </c>
      <c r="C386" s="878" t="s">
        <v>2040</v>
      </c>
      <c r="D386" s="63"/>
      <c r="E386" s="231">
        <v>31.55</v>
      </c>
      <c r="F386" s="899"/>
      <c r="G386" s="1152" t="s">
        <v>9</v>
      </c>
    </row>
    <row r="387" spans="1:7">
      <c r="A387" s="884">
        <v>45603</v>
      </c>
      <c r="B387" s="240" t="str">
        <f>TiposLancamentos!B57</f>
        <v>Informática</v>
      </c>
      <c r="C387" s="878" t="s">
        <v>2088</v>
      </c>
      <c r="D387" s="63"/>
      <c r="E387" s="231">
        <v>24.9</v>
      </c>
      <c r="F387" s="899"/>
      <c r="G387" s="1152" t="s">
        <v>9</v>
      </c>
    </row>
    <row r="388" spans="1:7">
      <c r="A388" s="884">
        <v>45604</v>
      </c>
      <c r="B388" s="240" t="str">
        <f>TiposLancamentos!B57</f>
        <v>Informática</v>
      </c>
      <c r="C388" s="878" t="s">
        <v>2089</v>
      </c>
      <c r="D388" s="63"/>
      <c r="E388" s="231">
        <v>149.9</v>
      </c>
      <c r="F388" s="899"/>
      <c r="G388" s="1152" t="s">
        <v>9</v>
      </c>
    </row>
    <row r="389" spans="1:7">
      <c r="A389" s="884">
        <v>45607</v>
      </c>
      <c r="B389" s="240" t="str">
        <f>TiposLancamentos!B65</f>
        <v>Taxi</v>
      </c>
      <c r="C389" s="878" t="s">
        <v>2046</v>
      </c>
      <c r="D389" s="63"/>
      <c r="E389" s="231">
        <v>26.55</v>
      </c>
      <c r="F389" s="899"/>
      <c r="G389" s="1152" t="s">
        <v>9</v>
      </c>
    </row>
    <row r="390" spans="1:7">
      <c r="A390" s="884">
        <v>45607</v>
      </c>
      <c r="B390" s="240" t="str">
        <f>TiposLancamentos!B65</f>
        <v>Taxi</v>
      </c>
      <c r="C390" s="878" t="s">
        <v>2040</v>
      </c>
      <c r="D390" s="63"/>
      <c r="E390" s="231">
        <v>21.79</v>
      </c>
      <c r="F390" s="899"/>
      <c r="G390" s="1152" t="s">
        <v>9</v>
      </c>
    </row>
    <row r="391" spans="1:7">
      <c r="A391" s="858">
        <v>45610</v>
      </c>
      <c r="B391" s="822" t="str">
        <f>TiposLancamentos!B56</f>
        <v>Farmácia</v>
      </c>
      <c r="C391" s="1396" t="s">
        <v>2090</v>
      </c>
      <c r="D391" s="747"/>
      <c r="E391" s="1139">
        <v>124.38</v>
      </c>
      <c r="F391" s="1454"/>
      <c r="G391" s="1152" t="s">
        <v>9</v>
      </c>
    </row>
    <row r="392" spans="1:7">
      <c r="A392" s="860">
        <v>45610</v>
      </c>
      <c r="B392" s="275" t="str">
        <f>TiposLancamentos!B56</f>
        <v>Farmácia</v>
      </c>
      <c r="C392" s="1443" t="s">
        <v>2091</v>
      </c>
      <c r="D392" s="51"/>
      <c r="E392" s="1147">
        <v>138.53</v>
      </c>
      <c r="F392" s="899"/>
      <c r="G392" s="1152" t="s">
        <v>9</v>
      </c>
    </row>
    <row r="393" spans="1:7">
      <c r="A393" s="862">
        <v>45610</v>
      </c>
      <c r="B393" s="823" t="str">
        <f>TiposLancamentos!B60</f>
        <v>Correio</v>
      </c>
      <c r="C393" s="1448" t="s">
        <v>2092</v>
      </c>
      <c r="D393" s="849"/>
      <c r="E393" s="1141">
        <v>6.9</v>
      </c>
      <c r="F393" s="1456">
        <f>SUM(E391:E393)</f>
        <v>269.80999999999995</v>
      </c>
      <c r="G393" s="1152" t="s">
        <v>9</v>
      </c>
    </row>
    <row r="394" spans="1:7">
      <c r="A394" s="884"/>
      <c r="B394" s="240"/>
      <c r="C394" s="878" t="s">
        <v>1947</v>
      </c>
      <c r="D394" s="63"/>
      <c r="E394" s="231"/>
      <c r="F394" s="899"/>
    </row>
    <row r="395" spans="1:7">
      <c r="A395" s="884">
        <v>45612</v>
      </c>
      <c r="B395" s="240" t="str">
        <f>TiposLancamentos!B71</f>
        <v>Itens Pessoais</v>
      </c>
      <c r="C395" s="878" t="s">
        <v>2093</v>
      </c>
      <c r="D395" s="63"/>
      <c r="E395" s="231">
        <v>0</v>
      </c>
      <c r="F395" s="899"/>
      <c r="G395" s="1152" t="s">
        <v>9</v>
      </c>
    </row>
    <row r="396" spans="1:7">
      <c r="A396" s="884">
        <v>45612</v>
      </c>
      <c r="B396" s="240" t="str">
        <f>TiposLancamentos!B71</f>
        <v>Itens Pessoais</v>
      </c>
      <c r="C396" s="878" t="s">
        <v>2094</v>
      </c>
      <c r="D396" s="63"/>
      <c r="E396" s="231">
        <v>158.49</v>
      </c>
      <c r="F396" s="899">
        <v>950.99</v>
      </c>
      <c r="G396" s="1152" t="s">
        <v>9</v>
      </c>
    </row>
    <row r="397" spans="1:7">
      <c r="A397" s="884"/>
      <c r="B397" s="240"/>
      <c r="C397" s="878" t="s">
        <v>1868</v>
      </c>
      <c r="D397" s="63"/>
      <c r="E397" s="231"/>
      <c r="F397" s="899"/>
    </row>
    <row r="398" spans="1:7">
      <c r="A398" s="934"/>
      <c r="B398" s="243"/>
      <c r="C398" s="389" t="s">
        <v>10</v>
      </c>
      <c r="D398" s="146"/>
      <c r="E398" s="1190"/>
      <c r="F398" s="935"/>
      <c r="G398" s="1094" t="s">
        <v>11</v>
      </c>
    </row>
    <row r="399" spans="1:7">
      <c r="A399" s="884">
        <v>45614</v>
      </c>
      <c r="B399" s="240" t="str">
        <f>TiposLancamentos!B65</f>
        <v>Taxi</v>
      </c>
      <c r="C399" s="878" t="s">
        <v>2046</v>
      </c>
      <c r="D399" s="63"/>
      <c r="E399" s="231">
        <v>24.09</v>
      </c>
      <c r="F399" s="899"/>
      <c r="G399" s="1152" t="s">
        <v>9</v>
      </c>
    </row>
    <row r="400" spans="1:7">
      <c r="A400" s="884">
        <v>45614</v>
      </c>
      <c r="B400" s="240" t="str">
        <f>TiposLancamentos!B65</f>
        <v>Taxi</v>
      </c>
      <c r="C400" s="878" t="s">
        <v>2040</v>
      </c>
      <c r="D400" s="63"/>
      <c r="E400" s="231">
        <v>24.05</v>
      </c>
      <c r="F400" s="899"/>
      <c r="G400" s="1152" t="s">
        <v>9</v>
      </c>
    </row>
    <row r="401" spans="1:7">
      <c r="A401" s="884">
        <v>45616</v>
      </c>
      <c r="B401" s="240" t="str">
        <f>TiposLancamentos!B13</f>
        <v>Moradia</v>
      </c>
      <c r="C401" s="878" t="s">
        <v>2095</v>
      </c>
      <c r="D401" s="63"/>
      <c r="E401" s="231">
        <v>92.95</v>
      </c>
      <c r="F401" s="899"/>
      <c r="G401" s="1152" t="s">
        <v>9</v>
      </c>
    </row>
    <row r="402" spans="1:7">
      <c r="A402" s="884">
        <v>45616</v>
      </c>
      <c r="B402" s="240" t="str">
        <f>TiposLancamentos!B24</f>
        <v>Estacionamentos</v>
      </c>
      <c r="C402" s="878" t="s">
        <v>2096</v>
      </c>
      <c r="D402" s="63"/>
      <c r="E402" s="231">
        <v>14</v>
      </c>
      <c r="F402" s="899"/>
      <c r="G402" s="1152" t="s">
        <v>9</v>
      </c>
    </row>
    <row r="403" spans="1:7">
      <c r="A403" s="884">
        <v>45616</v>
      </c>
      <c r="B403" s="240" t="str">
        <f>TiposLancamentos!B5</f>
        <v>Supermercado</v>
      </c>
      <c r="C403" s="878" t="s">
        <v>2097</v>
      </c>
      <c r="D403" s="63"/>
      <c r="E403" s="231">
        <v>129.49</v>
      </c>
      <c r="F403" s="899"/>
      <c r="G403" s="1152" t="s">
        <v>9</v>
      </c>
    </row>
    <row r="404" spans="1:7">
      <c r="A404" s="884">
        <v>45616</v>
      </c>
      <c r="B404" s="240" t="str">
        <f>TiposLancamentos!B37</f>
        <v>Playstation 3</v>
      </c>
      <c r="C404" s="878" t="s">
        <v>2098</v>
      </c>
      <c r="D404" s="63"/>
      <c r="E404" s="231">
        <v>100.89</v>
      </c>
      <c r="F404" s="899"/>
      <c r="G404" s="1152" t="s">
        <v>9</v>
      </c>
    </row>
    <row r="405" spans="1:7">
      <c r="A405" s="858">
        <v>45617</v>
      </c>
      <c r="B405" s="822" t="str">
        <f>TiposLancamentos!B39</f>
        <v>Playstation 5</v>
      </c>
      <c r="C405" s="1396" t="s">
        <v>2099</v>
      </c>
      <c r="D405" s="747"/>
      <c r="E405" s="1139">
        <v>33.799999999999997</v>
      </c>
      <c r="F405" s="1454"/>
      <c r="G405" s="1152" t="s">
        <v>9</v>
      </c>
    </row>
    <row r="406" spans="1:7">
      <c r="A406" s="862">
        <v>45617</v>
      </c>
      <c r="B406" s="823" t="str">
        <f>TiposLancamentos!B4</f>
        <v>Taxas Bancarias</v>
      </c>
      <c r="C406" s="1448" t="s">
        <v>2100</v>
      </c>
      <c r="D406" s="849"/>
      <c r="E406" s="1141">
        <v>0.13</v>
      </c>
      <c r="F406" s="1456">
        <f>SUM(E405:E406)</f>
        <v>33.93</v>
      </c>
      <c r="G406" s="1152" t="s">
        <v>9</v>
      </c>
    </row>
    <row r="407" spans="1:7">
      <c r="A407" s="884">
        <v>45619</v>
      </c>
      <c r="B407" s="240" t="str">
        <f>TiposLancamentos!B45</f>
        <v>Online Services</v>
      </c>
      <c r="C407" s="878" t="s">
        <v>1876</v>
      </c>
      <c r="D407" s="63"/>
      <c r="E407" s="231">
        <v>4.9000000000000004</v>
      </c>
      <c r="F407" s="899"/>
      <c r="G407" s="1152" t="s">
        <v>9</v>
      </c>
    </row>
    <row r="408" spans="1:7">
      <c r="A408" s="884">
        <v>45621</v>
      </c>
      <c r="B408" s="240" t="str">
        <f>TiposLancamentos!B65</f>
        <v>Taxi</v>
      </c>
      <c r="C408" s="878" t="s">
        <v>2046</v>
      </c>
      <c r="D408" s="63"/>
      <c r="E408" s="231">
        <v>26.66</v>
      </c>
      <c r="F408" s="899"/>
      <c r="G408" s="1152" t="s">
        <v>9</v>
      </c>
    </row>
    <row r="409" spans="1:7">
      <c r="A409" s="884">
        <v>45621</v>
      </c>
      <c r="B409" s="240" t="str">
        <f>TiposLancamentos!B65</f>
        <v>Taxi</v>
      </c>
      <c r="C409" s="878" t="s">
        <v>2040</v>
      </c>
      <c r="D409" s="63"/>
      <c r="E409" s="231">
        <v>21.94</v>
      </c>
      <c r="F409" s="899"/>
      <c r="G409" s="1152" t="s">
        <v>9</v>
      </c>
    </row>
    <row r="410" spans="1:7">
      <c r="A410" s="884">
        <v>45623</v>
      </c>
      <c r="B410" s="240" t="str">
        <f>TiposLancamentos!B65</f>
        <v>Taxi</v>
      </c>
      <c r="C410" s="878" t="s">
        <v>2101</v>
      </c>
      <c r="D410" s="63"/>
      <c r="E410" s="231">
        <v>15.97</v>
      </c>
      <c r="F410" s="899"/>
      <c r="G410" s="1152" t="s">
        <v>9</v>
      </c>
    </row>
    <row r="411" spans="1:7">
      <c r="A411" s="884">
        <v>45624</v>
      </c>
      <c r="B411" s="240" t="str">
        <f>TiposLancamentos!B65</f>
        <v>Taxi</v>
      </c>
      <c r="C411" s="878" t="s">
        <v>2046</v>
      </c>
      <c r="D411" s="63"/>
      <c r="E411" s="231">
        <v>17.95</v>
      </c>
      <c r="F411" s="899"/>
      <c r="G411" s="1152" t="s">
        <v>9</v>
      </c>
    </row>
    <row r="412" spans="1:7">
      <c r="A412" s="884">
        <v>45624</v>
      </c>
      <c r="B412" s="240" t="str">
        <f>TiposLancamentos!B45</f>
        <v>Online Services</v>
      </c>
      <c r="C412" s="878" t="s">
        <v>2102</v>
      </c>
      <c r="D412" s="63"/>
      <c r="E412" s="231">
        <v>21.9</v>
      </c>
      <c r="F412" s="899"/>
      <c r="G412" s="1152" t="s">
        <v>9</v>
      </c>
    </row>
    <row r="413" spans="1:7">
      <c r="A413" s="884">
        <v>45624</v>
      </c>
      <c r="B413" s="240" t="str">
        <f>TiposLancamentos!B16</f>
        <v>Cristiane</v>
      </c>
      <c r="C413" s="878" t="s">
        <v>2103</v>
      </c>
      <c r="D413" s="63"/>
      <c r="E413" s="231">
        <v>24.27</v>
      </c>
      <c r="F413" s="899"/>
      <c r="G413" s="1152" t="s">
        <v>9</v>
      </c>
    </row>
    <row r="414" spans="1:7">
      <c r="A414" s="884">
        <v>45624</v>
      </c>
      <c r="B414" s="240" t="str">
        <f>TiposLancamentos!B65</f>
        <v>Taxi</v>
      </c>
      <c r="C414" s="878" t="s">
        <v>2040</v>
      </c>
      <c r="D414" s="63"/>
      <c r="E414" s="231">
        <v>27.99</v>
      </c>
      <c r="F414" s="899"/>
      <c r="G414" s="1152" t="s">
        <v>9</v>
      </c>
    </row>
    <row r="415" spans="1:7">
      <c r="A415" s="884">
        <v>45624</v>
      </c>
      <c r="B415" s="240" t="str">
        <f>TiposLancamentos!B65</f>
        <v>Taxi</v>
      </c>
      <c r="C415" s="878" t="s">
        <v>2104</v>
      </c>
      <c r="D415" s="63"/>
      <c r="E415" s="231">
        <v>8.9499999999999993</v>
      </c>
      <c r="F415" s="899"/>
      <c r="G415" s="1152" t="s">
        <v>9</v>
      </c>
    </row>
    <row r="416" spans="1:7">
      <c r="A416" s="858">
        <v>45625</v>
      </c>
      <c r="B416" s="822" t="str">
        <f>TiposLancamentos!B41</f>
        <v>PSP Slim 3k</v>
      </c>
      <c r="C416" s="1396" t="s">
        <v>2105</v>
      </c>
      <c r="D416" s="747"/>
      <c r="E416" s="1139">
        <v>90.3</v>
      </c>
      <c r="F416" s="1454" t="s">
        <v>2106</v>
      </c>
      <c r="G416" s="1152" t="s">
        <v>9</v>
      </c>
    </row>
    <row r="417" spans="1:7">
      <c r="A417" s="862">
        <v>45625</v>
      </c>
      <c r="B417" s="823" t="str">
        <f>TiposLancamentos!B60</f>
        <v>Correio</v>
      </c>
      <c r="C417" s="1448" t="s">
        <v>2107</v>
      </c>
      <c r="D417" s="849"/>
      <c r="E417" s="1141">
        <f>129.03-E416</f>
        <v>38.730000000000004</v>
      </c>
      <c r="F417" s="1456" t="s">
        <v>2108</v>
      </c>
      <c r="G417" s="1152" t="s">
        <v>9</v>
      </c>
    </row>
    <row r="418" spans="1:7">
      <c r="A418" s="884">
        <v>45625</v>
      </c>
      <c r="B418" s="240" t="str">
        <f>TiposLancamentos!B65</f>
        <v>Taxi</v>
      </c>
      <c r="C418" s="878" t="s">
        <v>2109</v>
      </c>
      <c r="D418" s="63"/>
      <c r="E418" s="231">
        <v>23.93</v>
      </c>
      <c r="F418" s="899"/>
      <c r="G418" s="1152" t="s">
        <v>9</v>
      </c>
    </row>
    <row r="419" spans="1:7">
      <c r="A419" s="884">
        <v>45625</v>
      </c>
      <c r="B419" s="240" t="str">
        <f>TiposLancamentos!B45</f>
        <v>Online Services</v>
      </c>
      <c r="C419" s="878" t="s">
        <v>2072</v>
      </c>
      <c r="D419" s="63"/>
      <c r="E419" s="231">
        <v>32.9</v>
      </c>
      <c r="F419" s="899"/>
      <c r="G419" s="1152" t="s">
        <v>9</v>
      </c>
    </row>
    <row r="420" spans="1:7" ht="14.25" thickBot="1">
      <c r="A420" s="884">
        <v>45626</v>
      </c>
      <c r="B420" s="240" t="str">
        <f>TiposLancamentos!B4</f>
        <v>Taxas Bancarias</v>
      </c>
      <c r="C420" s="878" t="s">
        <v>2110</v>
      </c>
      <c r="D420" s="63"/>
      <c r="E420" s="231">
        <v>5.64</v>
      </c>
      <c r="F420" s="899"/>
      <c r="G420" s="1152" t="s">
        <v>9</v>
      </c>
    </row>
    <row r="421" spans="1:7">
      <c r="A421" s="1032"/>
      <c r="B421" s="1230"/>
      <c r="C421" s="1092" t="s">
        <v>2111</v>
      </c>
      <c r="D421" s="896"/>
      <c r="E421" s="925"/>
      <c r="F421" s="898">
        <f>SUM(E339:E398)</f>
        <v>2562.0700000000006</v>
      </c>
    </row>
    <row r="422" spans="1:7">
      <c r="A422" s="884">
        <v>45628</v>
      </c>
      <c r="B422" s="240" t="str">
        <f>TiposLancamentos!B65</f>
        <v>Taxi</v>
      </c>
      <c r="C422" s="878" t="s">
        <v>2046</v>
      </c>
      <c r="D422" s="63"/>
      <c r="E422" s="231">
        <v>16.87</v>
      </c>
      <c r="F422" s="899">
        <f>F421-F371</f>
        <v>463.94666666666672</v>
      </c>
      <c r="G422" s="1152" t="s">
        <v>9</v>
      </c>
    </row>
    <row r="423" spans="1:7">
      <c r="A423" s="884">
        <v>45628</v>
      </c>
      <c r="B423" s="240" t="str">
        <f>TiposLancamentos!B15</f>
        <v>Cartões de Crédito</v>
      </c>
      <c r="C423" s="3" t="s">
        <v>1874</v>
      </c>
      <c r="D423" s="63">
        <v>2562.0700000000002</v>
      </c>
      <c r="F423" s="899"/>
      <c r="G423" s="1152" t="s">
        <v>9</v>
      </c>
    </row>
    <row r="424" spans="1:7">
      <c r="A424" s="884">
        <v>45628</v>
      </c>
      <c r="B424" s="240" t="str">
        <f>TiposLancamentos!B65</f>
        <v>Taxi</v>
      </c>
      <c r="C424" s="878" t="s">
        <v>2040</v>
      </c>
      <c r="D424" s="63"/>
      <c r="E424" s="231">
        <v>21.91</v>
      </c>
      <c r="F424" s="899"/>
      <c r="G424" s="1152" t="s">
        <v>9</v>
      </c>
    </row>
    <row r="425" spans="1:7">
      <c r="A425" s="884">
        <v>45631</v>
      </c>
      <c r="B425" s="240" t="str">
        <f>TiposLancamentos!B45</f>
        <v>Online Services</v>
      </c>
      <c r="C425" s="878" t="s">
        <v>2085</v>
      </c>
      <c r="D425" s="63"/>
      <c r="E425" s="231">
        <v>69.989999999999995</v>
      </c>
      <c r="F425" s="899"/>
      <c r="G425" s="1152" t="s">
        <v>9</v>
      </c>
    </row>
    <row r="426" spans="1:7">
      <c r="A426" s="884">
        <v>45634</v>
      </c>
      <c r="B426" s="240" t="str">
        <f>TiposLancamentos!B54</f>
        <v>Metro</v>
      </c>
      <c r="C426" s="878" t="s">
        <v>2112</v>
      </c>
      <c r="D426" s="63"/>
      <c r="E426" s="231">
        <v>100</v>
      </c>
      <c r="F426" s="899"/>
      <c r="G426" s="1152" t="s">
        <v>9</v>
      </c>
    </row>
    <row r="427" spans="1:7">
      <c r="A427" s="884">
        <v>45634</v>
      </c>
      <c r="B427" s="240" t="str">
        <f>TiposLancamentos!B26</f>
        <v>LIVROS</v>
      </c>
      <c r="C427" s="878" t="s">
        <v>2113</v>
      </c>
      <c r="D427" s="63"/>
      <c r="E427" s="231">
        <v>29.9</v>
      </c>
      <c r="F427" s="899"/>
      <c r="G427" s="1152" t="s">
        <v>9</v>
      </c>
    </row>
    <row r="428" spans="1:7">
      <c r="A428" s="884">
        <v>45635</v>
      </c>
      <c r="B428" s="240" t="str">
        <f>TiposLancamentos!B65</f>
        <v>Taxi</v>
      </c>
      <c r="C428" s="878" t="s">
        <v>2046</v>
      </c>
      <c r="D428" s="63"/>
      <c r="E428" s="231">
        <v>25.69</v>
      </c>
      <c r="F428" s="899"/>
      <c r="G428" s="1152" t="s">
        <v>9</v>
      </c>
    </row>
    <row r="429" spans="1:7">
      <c r="A429" s="858">
        <v>45635</v>
      </c>
      <c r="B429" s="822" t="str">
        <f>TiposLancamentos!B36</f>
        <v>Playstation 2</v>
      </c>
      <c r="C429" s="1396" t="s">
        <v>2114</v>
      </c>
      <c r="D429" s="747"/>
      <c r="E429" s="1139">
        <f>127.26-2.48</f>
        <v>124.78</v>
      </c>
      <c r="F429" s="1454"/>
      <c r="G429" s="1152" t="s">
        <v>9</v>
      </c>
    </row>
    <row r="430" spans="1:7">
      <c r="A430" s="860">
        <v>45635</v>
      </c>
      <c r="B430" s="275" t="str">
        <f>TiposLancamentos!B60</f>
        <v>Correio</v>
      </c>
      <c r="C430" s="1443" t="s">
        <v>2115</v>
      </c>
      <c r="D430" s="51"/>
      <c r="E430" s="1147">
        <v>24.42</v>
      </c>
      <c r="F430" s="899"/>
      <c r="G430" s="1152" t="s">
        <v>9</v>
      </c>
    </row>
    <row r="431" spans="1:7">
      <c r="A431" s="862">
        <v>45635</v>
      </c>
      <c r="B431" s="823" t="str">
        <f>TiposLancamentos!B4</f>
        <v>Taxas Bancarias</v>
      </c>
      <c r="C431" s="1448" t="s">
        <v>2116</v>
      </c>
      <c r="D431" s="849"/>
      <c r="E431" s="1141">
        <v>66.59</v>
      </c>
      <c r="F431" s="1456">
        <f>SUM(E429:E431)</f>
        <v>215.79</v>
      </c>
      <c r="G431" s="1152" t="s">
        <v>9</v>
      </c>
    </row>
    <row r="432" spans="1:7">
      <c r="A432" s="884">
        <v>45635</v>
      </c>
      <c r="B432" s="240" t="str">
        <f>TiposLancamentos!B65</f>
        <v>Taxi</v>
      </c>
      <c r="C432" s="878" t="s">
        <v>2040</v>
      </c>
      <c r="D432" s="63"/>
      <c r="E432" s="231">
        <v>19.97</v>
      </c>
      <c r="F432" s="899"/>
      <c r="G432" s="1152" t="s">
        <v>9</v>
      </c>
    </row>
    <row r="433" spans="1:7">
      <c r="A433" s="884">
        <v>45636</v>
      </c>
      <c r="B433" s="240" t="str">
        <f>TiposLancamentos!B45</f>
        <v>Online Services</v>
      </c>
      <c r="C433" s="878" t="s">
        <v>1919</v>
      </c>
      <c r="D433" s="63"/>
      <c r="E433" s="231">
        <v>166.8</v>
      </c>
      <c r="F433" s="899"/>
      <c r="G433" s="1152" t="s">
        <v>9</v>
      </c>
    </row>
    <row r="434" spans="1:7">
      <c r="A434" s="884">
        <v>45638</v>
      </c>
      <c r="B434" s="240" t="str">
        <f>TiposLancamentos!B65</f>
        <v>Taxi</v>
      </c>
      <c r="C434" s="878" t="s">
        <v>2104</v>
      </c>
      <c r="D434" s="63"/>
      <c r="E434" s="231">
        <v>25.97</v>
      </c>
      <c r="F434" s="899"/>
      <c r="G434" s="1152" t="s">
        <v>9</v>
      </c>
    </row>
    <row r="435" spans="1:7">
      <c r="A435" s="884">
        <v>45642</v>
      </c>
      <c r="B435" s="240" t="str">
        <f>TiposLancamentos!B24</f>
        <v>Estacionamentos</v>
      </c>
      <c r="C435" s="878" t="s">
        <v>2117</v>
      </c>
      <c r="D435" s="63"/>
      <c r="E435" s="231">
        <v>4</v>
      </c>
      <c r="F435" s="899"/>
      <c r="G435" s="1152" t="s">
        <v>9</v>
      </c>
    </row>
    <row r="436" spans="1:7">
      <c r="A436" s="884">
        <v>45642</v>
      </c>
      <c r="B436" s="240" t="str">
        <f>TiposLancamentos!B71</f>
        <v>Itens Pessoais</v>
      </c>
      <c r="C436" s="878" t="s">
        <v>2118</v>
      </c>
      <c r="D436" s="63"/>
      <c r="E436" s="231">
        <v>158.49</v>
      </c>
      <c r="F436" s="899">
        <v>950.99</v>
      </c>
      <c r="G436" s="1152" t="s">
        <v>9</v>
      </c>
    </row>
    <row r="437" spans="1:7">
      <c r="A437" s="884">
        <v>45642</v>
      </c>
      <c r="B437" s="240" t="str">
        <f>TiposLancamentos!B71</f>
        <v>Itens Pessoais</v>
      </c>
      <c r="C437" s="878" t="s">
        <v>2119</v>
      </c>
      <c r="D437" s="63"/>
      <c r="E437" s="231">
        <v>0</v>
      </c>
      <c r="F437" s="899"/>
      <c r="G437" s="1152" t="s">
        <v>9</v>
      </c>
    </row>
    <row r="438" spans="1:7">
      <c r="A438" s="934"/>
      <c r="B438" s="243"/>
      <c r="C438" s="389" t="s">
        <v>10</v>
      </c>
      <c r="D438" s="146"/>
      <c r="E438" s="1190"/>
      <c r="F438" s="935"/>
      <c r="G438" s="1094" t="s">
        <v>11</v>
      </c>
    </row>
    <row r="439" spans="1:7">
      <c r="A439" s="884">
        <v>45644</v>
      </c>
      <c r="B439" s="240" t="str">
        <f>TiposLancamentos!B22</f>
        <v>Combustivel</v>
      </c>
      <c r="C439" s="878" t="s">
        <v>2120</v>
      </c>
      <c r="D439" s="63"/>
      <c r="E439" s="231">
        <v>150</v>
      </c>
      <c r="F439" s="899"/>
      <c r="G439" s="1152" t="s">
        <v>9</v>
      </c>
    </row>
    <row r="440" spans="1:7">
      <c r="A440" s="884">
        <v>45644</v>
      </c>
      <c r="B440" s="240" t="str">
        <f>TiposLancamentos!B24</f>
        <v>Estacionamentos</v>
      </c>
      <c r="C440" s="878" t="s">
        <v>2121</v>
      </c>
      <c r="D440" s="63"/>
      <c r="E440" s="231">
        <v>4</v>
      </c>
      <c r="F440" s="899"/>
      <c r="G440" s="1152" t="s">
        <v>9</v>
      </c>
    </row>
    <row r="441" spans="1:7">
      <c r="A441" s="884">
        <v>45644</v>
      </c>
      <c r="B441" s="240" t="str">
        <f>TiposLancamentos!B5</f>
        <v>Supermercado</v>
      </c>
      <c r="C441" s="878" t="s">
        <v>2122</v>
      </c>
      <c r="D441" s="63"/>
      <c r="E441" s="231">
        <v>107</v>
      </c>
      <c r="F441" s="899"/>
      <c r="G441" s="1152" t="s">
        <v>9</v>
      </c>
    </row>
    <row r="442" spans="1:7">
      <c r="A442" s="884">
        <v>45644</v>
      </c>
      <c r="B442" s="240" t="str">
        <f>TiposLancamentos!B5</f>
        <v>Supermercado</v>
      </c>
      <c r="C442" s="878" t="s">
        <v>2061</v>
      </c>
      <c r="D442" s="63"/>
      <c r="E442" s="231">
        <v>77.78</v>
      </c>
      <c r="F442" s="899"/>
      <c r="G442" s="1152" t="s">
        <v>9</v>
      </c>
    </row>
    <row r="443" spans="1:7">
      <c r="A443" s="884">
        <v>45645</v>
      </c>
      <c r="B443" s="240" t="str">
        <f>TiposLancamentos!B19</f>
        <v>Restaurantes</v>
      </c>
      <c r="C443" s="878" t="s">
        <v>2123</v>
      </c>
      <c r="D443" s="63"/>
      <c r="E443" s="231">
        <v>69</v>
      </c>
      <c r="F443" s="899"/>
      <c r="G443" s="1152" t="s">
        <v>9</v>
      </c>
    </row>
    <row r="444" spans="1:7">
      <c r="A444" s="884">
        <v>45646</v>
      </c>
      <c r="B444" s="240" t="str">
        <f>TiposLancamentos!B19</f>
        <v>Restaurantes</v>
      </c>
      <c r="C444" s="878" t="s">
        <v>2124</v>
      </c>
      <c r="D444" s="63"/>
      <c r="E444" s="231">
        <v>33.4</v>
      </c>
      <c r="F444" s="899"/>
      <c r="G444" s="1152" t="s">
        <v>9</v>
      </c>
    </row>
    <row r="445" spans="1:7">
      <c r="A445" s="884">
        <v>45646</v>
      </c>
      <c r="B445" s="240" t="str">
        <f>TiposLancamentos!B5</f>
        <v>Supermercado</v>
      </c>
      <c r="C445" s="878" t="s">
        <v>2125</v>
      </c>
      <c r="D445" s="63"/>
      <c r="E445" s="231">
        <v>143.47999999999999</v>
      </c>
      <c r="F445" s="899"/>
      <c r="G445" s="1152" t="s">
        <v>9</v>
      </c>
    </row>
    <row r="446" spans="1:7">
      <c r="A446" s="884">
        <v>45646</v>
      </c>
      <c r="B446" s="240" t="str">
        <f>TiposLancamentos!B22</f>
        <v>Combustivel</v>
      </c>
      <c r="C446" s="878" t="s">
        <v>2126</v>
      </c>
      <c r="D446" s="63"/>
      <c r="E446" s="231">
        <v>150</v>
      </c>
      <c r="F446" s="899"/>
      <c r="G446" s="1152" t="s">
        <v>9</v>
      </c>
    </row>
    <row r="447" spans="1:7">
      <c r="A447" s="884">
        <v>45646</v>
      </c>
      <c r="B447" s="240" t="str">
        <f>TiposLancamentos!B64</f>
        <v>Viagens</v>
      </c>
      <c r="C447" s="878" t="s">
        <v>2127</v>
      </c>
      <c r="D447" s="63"/>
      <c r="E447" s="231">
        <v>750</v>
      </c>
      <c r="F447" s="899"/>
      <c r="G447" s="1152" t="s">
        <v>9</v>
      </c>
    </row>
    <row r="448" spans="1:7">
      <c r="A448" s="884">
        <v>45646</v>
      </c>
      <c r="B448" s="240" t="str">
        <f>TiposLancamentos!B19</f>
        <v>Restaurantes</v>
      </c>
      <c r="C448" s="878" t="s">
        <v>2128</v>
      </c>
      <c r="D448" s="63"/>
      <c r="E448" s="231">
        <v>333</v>
      </c>
      <c r="F448" s="899"/>
      <c r="G448" s="1152" t="s">
        <v>9</v>
      </c>
    </row>
    <row r="449" spans="1:7">
      <c r="A449" s="884">
        <v>45647</v>
      </c>
      <c r="B449" s="240" t="str">
        <f>TiposLancamentos!B5</f>
        <v>Supermercado</v>
      </c>
      <c r="C449" s="878" t="s">
        <v>2129</v>
      </c>
      <c r="D449" s="63"/>
      <c r="E449" s="231">
        <v>118.91</v>
      </c>
      <c r="F449" s="899"/>
      <c r="G449" s="1152" t="s">
        <v>9</v>
      </c>
    </row>
    <row r="450" spans="1:7">
      <c r="A450" s="884">
        <v>45647</v>
      </c>
      <c r="B450" s="240" t="str">
        <f>TiposLancamentos!B19</f>
        <v>Restaurantes</v>
      </c>
      <c r="C450" s="878" t="s">
        <v>2130</v>
      </c>
      <c r="D450" s="63"/>
      <c r="E450" s="231">
        <v>20</v>
      </c>
      <c r="F450" s="899"/>
      <c r="G450" s="1152" t="s">
        <v>9</v>
      </c>
    </row>
    <row r="451" spans="1:7">
      <c r="A451" s="884">
        <v>45647</v>
      </c>
      <c r="B451" s="240" t="str">
        <f>TiposLancamentos!B5</f>
        <v>Supermercado</v>
      </c>
      <c r="C451" s="878" t="s">
        <v>2131</v>
      </c>
      <c r="D451" s="63"/>
      <c r="E451" s="231">
        <v>120.6</v>
      </c>
      <c r="F451" s="899"/>
      <c r="G451" s="1152" t="s">
        <v>9</v>
      </c>
    </row>
    <row r="452" spans="1:7">
      <c r="A452" s="884">
        <v>45648</v>
      </c>
      <c r="B452" s="240" t="str">
        <f>B447</f>
        <v>Viagens</v>
      </c>
      <c r="C452" s="878" t="s">
        <v>2132</v>
      </c>
      <c r="D452" s="63"/>
      <c r="E452" s="231">
        <v>63.9</v>
      </c>
      <c r="F452" s="899"/>
      <c r="G452" s="1152" t="s">
        <v>9</v>
      </c>
    </row>
    <row r="453" spans="1:7">
      <c r="A453" s="884">
        <v>45649</v>
      </c>
      <c r="B453" s="240" t="str">
        <f>TiposLancamentos!B45</f>
        <v>Online Services</v>
      </c>
      <c r="C453" s="878" t="s">
        <v>1876</v>
      </c>
      <c r="D453" s="63"/>
      <c r="E453" s="231">
        <v>4.9000000000000004</v>
      </c>
      <c r="F453" s="899"/>
      <c r="G453" s="1152" t="s">
        <v>9</v>
      </c>
    </row>
    <row r="454" spans="1:7">
      <c r="A454" s="884">
        <v>45654</v>
      </c>
      <c r="B454" s="240" t="str">
        <f>TiposLancamentos!B18</f>
        <v>Alimentacao</v>
      </c>
      <c r="C454" s="878" t="s">
        <v>2133</v>
      </c>
      <c r="D454" s="63"/>
      <c r="E454" s="231">
        <v>22</v>
      </c>
      <c r="F454" s="899"/>
      <c r="G454" s="1152" t="s">
        <v>9</v>
      </c>
    </row>
    <row r="455" spans="1:7">
      <c r="A455" s="884">
        <v>45654</v>
      </c>
      <c r="B455" s="240" t="str">
        <f>TiposLancamentos!B45</f>
        <v>Online Services</v>
      </c>
      <c r="C455" s="878" t="s">
        <v>2102</v>
      </c>
      <c r="D455" s="63"/>
      <c r="E455" s="231">
        <v>21.9</v>
      </c>
      <c r="F455" s="899"/>
      <c r="G455" s="1152" t="s">
        <v>9</v>
      </c>
    </row>
    <row r="456" spans="1:7">
      <c r="A456" s="884">
        <v>45625</v>
      </c>
      <c r="B456" s="240" t="str">
        <f>TiposLancamentos!B45</f>
        <v>Online Services</v>
      </c>
      <c r="C456" s="878" t="s">
        <v>2072</v>
      </c>
      <c r="D456" s="63"/>
      <c r="E456" s="231">
        <v>32.9</v>
      </c>
      <c r="F456" s="899"/>
      <c r="G456" s="1152" t="s">
        <v>9</v>
      </c>
    </row>
    <row r="457" spans="1:7" ht="14.25" thickBot="1">
      <c r="A457" s="884"/>
      <c r="B457" s="240"/>
      <c r="C457" s="878" t="s">
        <v>1868</v>
      </c>
      <c r="D457" s="63"/>
      <c r="E457" s="231"/>
      <c r="F457" s="899"/>
    </row>
    <row r="458" spans="1:7">
      <c r="A458" s="1032"/>
      <c r="B458" s="1230"/>
      <c r="C458" s="1092" t="s">
        <v>1642</v>
      </c>
      <c r="D458" s="896"/>
      <c r="E458" s="925"/>
      <c r="F458" s="898">
        <f>SUM(E398:E438)</f>
        <v>1636.81</v>
      </c>
    </row>
    <row r="459" spans="1:7">
      <c r="A459" s="884">
        <v>45659</v>
      </c>
      <c r="B459" s="240" t="str">
        <f>TiposLancamentos!B15</f>
        <v>Cartões de Crédito</v>
      </c>
      <c r="C459" s="878" t="s">
        <v>1874</v>
      </c>
      <c r="D459" s="63">
        <v>1636.81</v>
      </c>
      <c r="E459" s="231"/>
      <c r="F459" s="899">
        <f>F458-F421</f>
        <v>-925.26000000000067</v>
      </c>
      <c r="G459" s="1152" t="s">
        <v>9</v>
      </c>
    </row>
    <row r="460" spans="1:7">
      <c r="A460" s="884">
        <v>45661</v>
      </c>
      <c r="B460" s="240" t="str">
        <f>TiposLancamentos!B24</f>
        <v>Estacionamentos</v>
      </c>
      <c r="C460" s="878" t="s">
        <v>2134</v>
      </c>
      <c r="D460" s="63"/>
      <c r="E460" s="231">
        <v>4</v>
      </c>
      <c r="F460" s="899"/>
      <c r="G460" s="1152" t="s">
        <v>9</v>
      </c>
    </row>
    <row r="461" spans="1:7">
      <c r="A461" s="884">
        <v>45667</v>
      </c>
      <c r="B461" s="1719" t="str">
        <f>TiposLancamentos!B65</f>
        <v>Taxi</v>
      </c>
      <c r="C461" s="878" t="s">
        <v>2135</v>
      </c>
      <c r="D461" s="63"/>
      <c r="E461" s="231">
        <v>14.9</v>
      </c>
      <c r="F461" s="899"/>
      <c r="G461" s="1152" t="s">
        <v>9</v>
      </c>
    </row>
    <row r="462" spans="1:7">
      <c r="A462" s="884">
        <v>45673</v>
      </c>
      <c r="B462" s="240" t="str">
        <f>TiposLancamentos!B71</f>
        <v>Itens Pessoais</v>
      </c>
      <c r="C462" s="878" t="s">
        <v>2136</v>
      </c>
      <c r="D462" s="63"/>
      <c r="E462" s="231">
        <v>158.49</v>
      </c>
      <c r="F462" s="899">
        <v>950.99</v>
      </c>
      <c r="G462" s="1152" t="s">
        <v>9</v>
      </c>
    </row>
    <row r="463" spans="1:7">
      <c r="A463" s="884">
        <v>45673</v>
      </c>
      <c r="B463" s="240" t="str">
        <f>TiposLancamentos!B71</f>
        <v>Itens Pessoais</v>
      </c>
      <c r="C463" s="878" t="s">
        <v>2137</v>
      </c>
      <c r="D463" s="63"/>
      <c r="E463" s="231">
        <v>0</v>
      </c>
      <c r="F463" s="899"/>
      <c r="G463" s="1152" t="s">
        <v>9</v>
      </c>
    </row>
    <row r="464" spans="1:7">
      <c r="A464" s="934"/>
      <c r="B464" s="243"/>
      <c r="C464" s="389" t="s">
        <v>10</v>
      </c>
      <c r="D464" s="146"/>
      <c r="E464" s="1190"/>
      <c r="F464" s="935"/>
      <c r="G464" s="1094" t="s">
        <v>11</v>
      </c>
    </row>
    <row r="465" spans="1:7">
      <c r="A465" s="884">
        <v>45677</v>
      </c>
      <c r="B465" s="240" t="str">
        <f>TiposLancamentos!B13</f>
        <v>Moradia</v>
      </c>
      <c r="C465" s="878" t="s">
        <v>2138</v>
      </c>
      <c r="D465" s="63"/>
      <c r="E465" s="231">
        <v>16.13</v>
      </c>
      <c r="F465" s="899"/>
      <c r="G465" s="1152" t="s">
        <v>9</v>
      </c>
    </row>
    <row r="466" spans="1:7">
      <c r="A466" s="884">
        <v>45679</v>
      </c>
      <c r="B466" s="240" t="str">
        <f>TiposLancamentos!B45</f>
        <v>Online Services</v>
      </c>
      <c r="C466" s="878" t="s">
        <v>2139</v>
      </c>
      <c r="D466" s="63"/>
      <c r="E466" s="231">
        <v>419.88</v>
      </c>
      <c r="F466" s="899">
        <f>E466/12</f>
        <v>34.99</v>
      </c>
      <c r="G466" s="1152" t="s">
        <v>9</v>
      </c>
    </row>
    <row r="467" spans="1:7">
      <c r="A467" s="884">
        <v>45680</v>
      </c>
      <c r="B467" s="240" t="str">
        <f>TiposLancamentos!B45</f>
        <v>Online Services</v>
      </c>
      <c r="C467" s="878" t="s">
        <v>1876</v>
      </c>
      <c r="D467" s="63"/>
      <c r="E467" s="231">
        <v>4.9000000000000004</v>
      </c>
      <c r="F467" s="899"/>
      <c r="G467" s="1152" t="s">
        <v>9</v>
      </c>
    </row>
    <row r="468" spans="1:7">
      <c r="A468" s="884">
        <v>45680</v>
      </c>
      <c r="B468" s="240" t="str">
        <f>TiposLancamentos!B45</f>
        <v>Online Services</v>
      </c>
      <c r="C468" s="878" t="s">
        <v>2140</v>
      </c>
      <c r="D468" s="63"/>
      <c r="E468" s="231">
        <v>39.9</v>
      </c>
      <c r="F468" s="899"/>
      <c r="G468" s="1152" t="s">
        <v>9</v>
      </c>
    </row>
    <row r="469" spans="1:7">
      <c r="A469" s="884">
        <v>45685</v>
      </c>
      <c r="B469" s="240" t="str">
        <f>TiposLancamentos!B45</f>
        <v>Online Services</v>
      </c>
      <c r="C469" s="878" t="s">
        <v>2102</v>
      </c>
      <c r="D469" s="63"/>
      <c r="E469" s="231">
        <v>21.9</v>
      </c>
      <c r="F469" s="899"/>
      <c r="G469" s="1152" t="s">
        <v>9</v>
      </c>
    </row>
    <row r="470" spans="1:7">
      <c r="A470" s="884">
        <v>45686</v>
      </c>
      <c r="B470" s="240" t="str">
        <f>TiposLancamentos!B45</f>
        <v>Online Services</v>
      </c>
      <c r="C470" s="878" t="s">
        <v>2072</v>
      </c>
      <c r="D470" s="63"/>
      <c r="E470" s="231">
        <v>32.9</v>
      </c>
      <c r="F470" s="899"/>
      <c r="G470" s="1152" t="s">
        <v>9</v>
      </c>
    </row>
    <row r="471" spans="1:7" ht="14.25" thickBot="1">
      <c r="A471" s="884"/>
      <c r="B471" s="240"/>
      <c r="C471" s="878" t="s">
        <v>1947</v>
      </c>
      <c r="D471" s="63"/>
      <c r="E471" s="231"/>
      <c r="F471" s="899"/>
    </row>
    <row r="472" spans="1:7">
      <c r="A472" s="1032"/>
      <c r="B472" s="1230"/>
      <c r="C472" s="1092" t="s">
        <v>1643</v>
      </c>
      <c r="D472" s="896"/>
      <c r="E472" s="925"/>
      <c r="F472" s="898">
        <f>SUM(E438:E464)</f>
        <v>2400.1600000000008</v>
      </c>
    </row>
    <row r="473" spans="1:7">
      <c r="A473" s="884">
        <v>45691</v>
      </c>
      <c r="B473" s="240" t="str">
        <f>TiposLancamentos!B15</f>
        <v>Cartões de Crédito</v>
      </c>
      <c r="C473" s="878" t="s">
        <v>1874</v>
      </c>
      <c r="D473" s="63">
        <v>2400.16</v>
      </c>
      <c r="E473" s="231"/>
      <c r="F473" s="899">
        <f>F472-F458</f>
        <v>763.35000000000082</v>
      </c>
      <c r="G473" s="1152" t="s">
        <v>9</v>
      </c>
    </row>
    <row r="474" spans="1:7">
      <c r="A474" s="884">
        <v>45694</v>
      </c>
      <c r="B474" s="240" t="str">
        <f>TiposLancamentos!B65</f>
        <v>Taxi</v>
      </c>
      <c r="C474" s="878" t="s">
        <v>2141</v>
      </c>
      <c r="D474" s="63"/>
      <c r="E474" s="231">
        <v>21.31</v>
      </c>
      <c r="F474" s="899"/>
      <c r="G474" s="1152" t="s">
        <v>9</v>
      </c>
    </row>
    <row r="475" spans="1:7">
      <c r="A475" s="884">
        <v>45698</v>
      </c>
      <c r="B475" s="240" t="str">
        <f>TiposLancamentos!B28</f>
        <v>ComicBook</v>
      </c>
      <c r="C475" s="878" t="s">
        <v>2142</v>
      </c>
      <c r="D475" s="63"/>
      <c r="E475" s="231">
        <v>41.09</v>
      </c>
      <c r="F475" s="899"/>
      <c r="G475" s="1152" t="s">
        <v>9</v>
      </c>
    </row>
    <row r="476" spans="1:7">
      <c r="A476" s="884">
        <v>45698</v>
      </c>
      <c r="B476" s="240" t="str">
        <f>TiposLancamentos!B28</f>
        <v>ComicBook</v>
      </c>
      <c r="C476" s="878" t="s">
        <v>2143</v>
      </c>
      <c r="D476" s="63"/>
      <c r="E476" s="231">
        <v>109.77</v>
      </c>
      <c r="F476" s="899"/>
      <c r="G476" s="1152" t="s">
        <v>9</v>
      </c>
    </row>
    <row r="477" spans="1:7">
      <c r="A477" s="934"/>
      <c r="B477" s="243"/>
      <c r="C477" s="389" t="s">
        <v>10</v>
      </c>
      <c r="D477" s="146"/>
      <c r="E477" s="1190"/>
      <c r="F477" s="935"/>
      <c r="G477" s="1094" t="s">
        <v>11</v>
      </c>
    </row>
    <row r="478" spans="1:7">
      <c r="A478" s="884">
        <v>45704</v>
      </c>
      <c r="B478" s="240" t="str">
        <f>TiposLancamentos!B71</f>
        <v>Itens Pessoais</v>
      </c>
      <c r="C478" s="878" t="s">
        <v>2144</v>
      </c>
      <c r="D478" s="63"/>
      <c r="E478" s="231">
        <v>158.49</v>
      </c>
      <c r="F478" s="899">
        <v>950.99</v>
      </c>
      <c r="G478" s="1152" t="s">
        <v>9</v>
      </c>
    </row>
    <row r="479" spans="1:7">
      <c r="A479" s="884">
        <v>45704</v>
      </c>
      <c r="B479" s="240" t="str">
        <f>TiposLancamentos!B71</f>
        <v>Itens Pessoais</v>
      </c>
      <c r="C479" s="878" t="s">
        <v>2145</v>
      </c>
      <c r="D479" s="63"/>
      <c r="E479" s="231">
        <v>0</v>
      </c>
      <c r="F479" s="899"/>
      <c r="G479" s="1152" t="s">
        <v>9</v>
      </c>
    </row>
    <row r="480" spans="1:7">
      <c r="A480" s="884">
        <v>45705</v>
      </c>
      <c r="B480" s="240" t="str">
        <f>TiposLancamentos!B5</f>
        <v>Supermercado</v>
      </c>
      <c r="C480" s="878" t="s">
        <v>2146</v>
      </c>
      <c r="D480" s="63"/>
      <c r="E480" s="231">
        <v>37.97</v>
      </c>
      <c r="F480" s="899"/>
      <c r="G480" s="1152" t="s">
        <v>9</v>
      </c>
    </row>
    <row r="481" spans="1:7">
      <c r="A481" s="884">
        <v>45706</v>
      </c>
      <c r="B481" s="240" t="str">
        <f>TiposLancamentos!B17</f>
        <v>GATO</v>
      </c>
      <c r="C481" s="878" t="s">
        <v>2147</v>
      </c>
      <c r="D481" s="63"/>
      <c r="E481" s="231">
        <v>27.17</v>
      </c>
      <c r="F481" s="899"/>
      <c r="G481" s="1152" t="s">
        <v>9</v>
      </c>
    </row>
    <row r="482" spans="1:7">
      <c r="A482" s="884">
        <v>45706</v>
      </c>
      <c r="B482" s="240" t="str">
        <f>TiposLancamentos!B56</f>
        <v>Farmácia</v>
      </c>
      <c r="C482" s="878" t="s">
        <v>2148</v>
      </c>
      <c r="D482" s="63"/>
      <c r="E482" s="231">
        <v>42.99</v>
      </c>
      <c r="F482" s="899"/>
      <c r="G482" s="1152" t="s">
        <v>9</v>
      </c>
    </row>
    <row r="483" spans="1:7">
      <c r="A483" s="884">
        <v>45706</v>
      </c>
      <c r="B483" s="240" t="str">
        <f>TiposLancamentos!B71</f>
        <v>Itens Pessoais</v>
      </c>
      <c r="C483" s="878" t="s">
        <v>2035</v>
      </c>
      <c r="D483" s="63"/>
      <c r="E483" s="231">
        <v>40</v>
      </c>
      <c r="F483" s="899"/>
      <c r="G483" s="1152" t="s">
        <v>9</v>
      </c>
    </row>
    <row r="484" spans="1:7">
      <c r="A484" s="884">
        <v>45706</v>
      </c>
      <c r="B484" s="240" t="str">
        <f>TiposLancamentos!B22</f>
        <v>Combustivel</v>
      </c>
      <c r="C484" s="878" t="s">
        <v>2149</v>
      </c>
      <c r="D484" s="63"/>
      <c r="E484" s="231">
        <v>150</v>
      </c>
      <c r="F484" s="899"/>
      <c r="G484" s="1152" t="s">
        <v>9</v>
      </c>
    </row>
    <row r="485" spans="1:7">
      <c r="A485" s="884">
        <v>45706</v>
      </c>
      <c r="B485" s="240" t="str">
        <f>TiposLancamentos!B18</f>
        <v>Alimentacao</v>
      </c>
      <c r="C485" s="878" t="s">
        <v>2150</v>
      </c>
      <c r="D485" s="63"/>
      <c r="E485" s="231">
        <v>14.9</v>
      </c>
      <c r="F485" s="899"/>
      <c r="G485" s="1152" t="s">
        <v>9</v>
      </c>
    </row>
    <row r="486" spans="1:7">
      <c r="A486" s="884">
        <v>45706</v>
      </c>
      <c r="B486" s="240" t="str">
        <f>TiposLancamentos!B24</f>
        <v>Estacionamentos</v>
      </c>
      <c r="C486" s="878" t="s">
        <v>2151</v>
      </c>
      <c r="D486" s="63"/>
      <c r="E486" s="231">
        <v>10</v>
      </c>
      <c r="F486" s="899"/>
      <c r="G486" s="1152" t="s">
        <v>9</v>
      </c>
    </row>
    <row r="487" spans="1:7">
      <c r="A487" s="884">
        <v>45706</v>
      </c>
      <c r="B487" s="240" t="str">
        <f>TiposLancamentos!B24</f>
        <v>Estacionamentos</v>
      </c>
      <c r="C487" s="878" t="s">
        <v>1898</v>
      </c>
      <c r="D487" s="63"/>
      <c r="E487" s="231">
        <v>23</v>
      </c>
      <c r="F487" s="899"/>
      <c r="G487" s="1152" t="s">
        <v>9</v>
      </c>
    </row>
    <row r="488" spans="1:7">
      <c r="A488" s="884">
        <v>45706</v>
      </c>
      <c r="B488" s="240" t="str">
        <f>TiposLancamentos!B19</f>
        <v>Restaurantes</v>
      </c>
      <c r="C488" s="878" t="s">
        <v>1967</v>
      </c>
      <c r="D488" s="63"/>
      <c r="E488" s="231">
        <v>34.1</v>
      </c>
      <c r="F488" s="899"/>
      <c r="G488" s="1152" t="s">
        <v>9</v>
      </c>
    </row>
    <row r="489" spans="1:7">
      <c r="A489" s="884">
        <v>45707</v>
      </c>
      <c r="B489" s="240" t="str">
        <f>TiposLancamentos!B19</f>
        <v>Restaurantes</v>
      </c>
      <c r="C489" s="878" t="s">
        <v>2152</v>
      </c>
      <c r="D489" s="63"/>
      <c r="E489" s="231">
        <v>92.61</v>
      </c>
      <c r="F489" s="899"/>
      <c r="G489" s="1152" t="s">
        <v>9</v>
      </c>
    </row>
    <row r="490" spans="1:7">
      <c r="A490" s="884">
        <v>45707</v>
      </c>
      <c r="B490" s="240" t="str">
        <f>TiposLancamentos!B5</f>
        <v>Supermercado</v>
      </c>
      <c r="C490" s="878" t="s">
        <v>2153</v>
      </c>
      <c r="D490" s="63"/>
      <c r="E490" s="231">
        <v>14.69</v>
      </c>
      <c r="F490" s="899"/>
      <c r="G490" s="1152" t="s">
        <v>9</v>
      </c>
    </row>
    <row r="491" spans="1:7">
      <c r="A491" s="884">
        <v>45707</v>
      </c>
      <c r="B491" s="240" t="str">
        <f>TiposLancamentos!B36</f>
        <v>Playstation 2</v>
      </c>
      <c r="C491" s="878" t="s">
        <v>2154</v>
      </c>
      <c r="D491" s="63"/>
      <c r="E491" s="231">
        <v>159</v>
      </c>
      <c r="F491" s="899"/>
      <c r="G491" s="1152" t="s">
        <v>9</v>
      </c>
    </row>
    <row r="492" spans="1:7">
      <c r="A492" s="884">
        <v>45708</v>
      </c>
      <c r="B492" s="240" t="str">
        <f>TiposLancamentos!B65</f>
        <v>Taxi</v>
      </c>
      <c r="C492" s="878" t="s">
        <v>2155</v>
      </c>
      <c r="D492" s="63"/>
      <c r="E492" s="231">
        <v>14.93</v>
      </c>
      <c r="F492" s="899"/>
      <c r="G492" s="1152" t="s">
        <v>9</v>
      </c>
    </row>
    <row r="493" spans="1:7">
      <c r="A493" s="884">
        <v>45708</v>
      </c>
      <c r="B493" s="240" t="str">
        <f>TiposLancamentos!B5</f>
        <v>Supermercado</v>
      </c>
      <c r="C493" s="878" t="s">
        <v>2156</v>
      </c>
      <c r="D493" s="63"/>
      <c r="E493" s="231">
        <v>13.99</v>
      </c>
      <c r="F493" s="899"/>
      <c r="G493" s="1152" t="s">
        <v>9</v>
      </c>
    </row>
    <row r="494" spans="1:7">
      <c r="A494" s="884">
        <v>45710</v>
      </c>
      <c r="B494" s="240" t="str">
        <f>TiposLancamentos!B31</f>
        <v>Action Figures</v>
      </c>
      <c r="C494" s="878" t="s">
        <v>2157</v>
      </c>
      <c r="D494" s="63"/>
      <c r="E494" s="231">
        <f>F494/3</f>
        <v>150</v>
      </c>
      <c r="F494" s="899">
        <v>450</v>
      </c>
      <c r="G494" s="1152" t="s">
        <v>9</v>
      </c>
    </row>
    <row r="495" spans="1:7">
      <c r="A495" s="884">
        <v>45710</v>
      </c>
      <c r="B495" s="240" t="str">
        <f>TiposLancamentos!B5</f>
        <v>Supermercado</v>
      </c>
      <c r="C495" s="878" t="s">
        <v>2156</v>
      </c>
      <c r="D495" s="63"/>
      <c r="E495" s="231">
        <v>8.77</v>
      </c>
      <c r="F495" s="899"/>
      <c r="G495" s="1152" t="s">
        <v>9</v>
      </c>
    </row>
    <row r="496" spans="1:7">
      <c r="A496" s="884">
        <v>45711</v>
      </c>
      <c r="B496" s="240" t="str">
        <f>TiposLancamentos!B19</f>
        <v>Restaurantes</v>
      </c>
      <c r="C496" s="878" t="s">
        <v>2150</v>
      </c>
      <c r="D496" s="63"/>
      <c r="E496" s="231">
        <v>15.9</v>
      </c>
      <c r="F496" s="899"/>
      <c r="G496" s="1152" t="s">
        <v>9</v>
      </c>
    </row>
    <row r="497" spans="1:7">
      <c r="A497" s="884">
        <v>45711</v>
      </c>
      <c r="B497" s="240" t="str">
        <f>TiposLancamentos!B45</f>
        <v>Online Services</v>
      </c>
      <c r="C497" s="878" t="s">
        <v>1876</v>
      </c>
      <c r="D497" s="63"/>
      <c r="E497" s="231">
        <v>4.9000000000000004</v>
      </c>
      <c r="F497" s="899"/>
      <c r="G497" s="1152" t="s">
        <v>9</v>
      </c>
    </row>
    <row r="498" spans="1:7">
      <c r="A498" s="884">
        <v>45711</v>
      </c>
      <c r="B498" s="240" t="str">
        <f>TiposLancamentos!B5</f>
        <v>Supermercado</v>
      </c>
      <c r="C498" s="878" t="s">
        <v>1943</v>
      </c>
      <c r="D498" s="63"/>
      <c r="E498" s="231">
        <v>143.99</v>
      </c>
      <c r="F498" s="899"/>
      <c r="G498" s="1152" t="s">
        <v>9</v>
      </c>
    </row>
    <row r="499" spans="1:7">
      <c r="A499" s="884">
        <v>45713</v>
      </c>
      <c r="B499" s="240" t="str">
        <f>TiposLancamentos!B22</f>
        <v>Combustivel</v>
      </c>
      <c r="C499" s="878" t="s">
        <v>2158</v>
      </c>
      <c r="D499" s="63"/>
      <c r="E499" s="231">
        <v>100</v>
      </c>
      <c r="F499" s="899"/>
      <c r="G499" s="1152" t="s">
        <v>9</v>
      </c>
    </row>
    <row r="500" spans="1:7">
      <c r="A500" s="884">
        <v>45713</v>
      </c>
      <c r="B500" s="240" t="str">
        <f>TiposLancamentos!B16</f>
        <v>Cristiane</v>
      </c>
      <c r="C500" s="878" t="s">
        <v>2159</v>
      </c>
      <c r="D500" s="63"/>
      <c r="E500" s="231">
        <v>67.400000000000006</v>
      </c>
      <c r="F500" s="899"/>
      <c r="G500" s="1152" t="s">
        <v>9</v>
      </c>
    </row>
    <row r="501" spans="1:7">
      <c r="A501" s="884">
        <v>45713</v>
      </c>
      <c r="B501" s="240" t="str">
        <f>TiposLancamentos!B24</f>
        <v>Estacionamentos</v>
      </c>
      <c r="C501" s="878" t="s">
        <v>1898</v>
      </c>
      <c r="D501" s="63"/>
      <c r="E501" s="231">
        <v>23</v>
      </c>
      <c r="F501" s="899"/>
      <c r="G501" s="1152" t="s">
        <v>9</v>
      </c>
    </row>
    <row r="502" spans="1:7">
      <c r="A502" s="884">
        <v>45713</v>
      </c>
      <c r="B502" s="240" t="str">
        <f>TiposLancamentos!B5</f>
        <v>Supermercado</v>
      </c>
      <c r="C502" s="878" t="s">
        <v>1879</v>
      </c>
      <c r="D502" s="63"/>
      <c r="E502" s="231">
        <v>17.829999999999998</v>
      </c>
      <c r="F502" s="899"/>
      <c r="G502" s="1152" t="s">
        <v>9</v>
      </c>
    </row>
    <row r="503" spans="1:7">
      <c r="A503" s="858">
        <v>45714</v>
      </c>
      <c r="B503" s="822" t="str">
        <f>TiposLancamentos!B57</f>
        <v>Informática</v>
      </c>
      <c r="C503" s="1396" t="s">
        <v>2160</v>
      </c>
      <c r="D503" s="747"/>
      <c r="E503" s="1139">
        <v>10.55</v>
      </c>
      <c r="F503" s="1454"/>
      <c r="G503" s="1152" t="s">
        <v>9</v>
      </c>
    </row>
    <row r="504" spans="1:7">
      <c r="A504" s="862">
        <v>45714</v>
      </c>
      <c r="B504" s="823" t="str">
        <f>TiposLancamentos!B60</f>
        <v>Correio</v>
      </c>
      <c r="C504" s="1448" t="s">
        <v>2161</v>
      </c>
      <c r="D504" s="849"/>
      <c r="E504" s="1141">
        <v>12.9</v>
      </c>
      <c r="F504" s="1456">
        <f>SUM(E503:E504)</f>
        <v>23.450000000000003</v>
      </c>
      <c r="G504" s="1152" t="s">
        <v>9</v>
      </c>
    </row>
    <row r="505" spans="1:7">
      <c r="A505" s="884">
        <v>45714</v>
      </c>
      <c r="B505" s="240" t="str">
        <f>TiposLancamentos!B5</f>
        <v>Supermercado</v>
      </c>
      <c r="C505" s="878" t="s">
        <v>1884</v>
      </c>
      <c r="D505" s="63"/>
      <c r="E505" s="231">
        <v>20.98</v>
      </c>
      <c r="F505" s="899"/>
      <c r="G505" s="1152" t="s">
        <v>9</v>
      </c>
    </row>
    <row r="506" spans="1:7">
      <c r="A506" s="884">
        <v>45715</v>
      </c>
      <c r="B506" s="240" t="str">
        <f>TiposLancamentos!B19</f>
        <v>Restaurantes</v>
      </c>
      <c r="C506" s="878" t="s">
        <v>2162</v>
      </c>
      <c r="D506" s="63"/>
      <c r="E506" s="231">
        <v>52</v>
      </c>
      <c r="F506" s="899"/>
      <c r="G506" s="1152" t="s">
        <v>9</v>
      </c>
    </row>
    <row r="507" spans="1:7">
      <c r="A507" s="884">
        <v>45715</v>
      </c>
      <c r="B507" s="240" t="str">
        <f>TiposLancamentos!B13</f>
        <v>Moradia</v>
      </c>
      <c r="C507" s="878" t="s">
        <v>2163</v>
      </c>
      <c r="D507" s="63"/>
      <c r="E507" s="231">
        <v>27.45</v>
      </c>
      <c r="F507" s="899"/>
      <c r="G507" s="1152" t="s">
        <v>9</v>
      </c>
    </row>
    <row r="508" spans="1:7">
      <c r="A508" s="884">
        <v>45715</v>
      </c>
      <c r="B508" s="240" t="str">
        <f>TiposLancamentos!B13</f>
        <v>Moradia</v>
      </c>
      <c r="C508" s="878" t="s">
        <v>2164</v>
      </c>
      <c r="D508" s="63"/>
      <c r="E508" s="231">
        <v>57.8</v>
      </c>
      <c r="F508" s="899"/>
      <c r="G508" s="1152" t="s">
        <v>9</v>
      </c>
    </row>
    <row r="509" spans="1:7">
      <c r="A509" s="884">
        <v>45715</v>
      </c>
      <c r="B509" s="240" t="str">
        <f>TiposLancamentos!B5</f>
        <v>Supermercado</v>
      </c>
      <c r="C509" s="878" t="s">
        <v>2165</v>
      </c>
      <c r="D509" s="63"/>
      <c r="E509" s="231">
        <v>13.79</v>
      </c>
      <c r="F509" s="899"/>
      <c r="G509" s="1152" t="s">
        <v>9</v>
      </c>
    </row>
    <row r="510" spans="1:7">
      <c r="A510" s="884">
        <v>45716</v>
      </c>
      <c r="B510" s="240" t="str">
        <f>TiposLancamentos!B45</f>
        <v>Online Services</v>
      </c>
      <c r="C510" s="878" t="s">
        <v>2102</v>
      </c>
      <c r="D510" s="63"/>
      <c r="E510" s="231">
        <v>21.9</v>
      </c>
      <c r="F510" s="899"/>
      <c r="G510" s="1152" t="s">
        <v>9</v>
      </c>
    </row>
    <row r="511" spans="1:7">
      <c r="A511" s="884">
        <v>45716</v>
      </c>
      <c r="B511" s="240" t="str">
        <f>TiposLancamentos!B67</f>
        <v>Lavanderia</v>
      </c>
      <c r="C511" s="878" t="s">
        <v>2166</v>
      </c>
      <c r="D511" s="63"/>
      <c r="E511" s="231">
        <v>49</v>
      </c>
      <c r="F511" s="899"/>
      <c r="G511" s="1152" t="s">
        <v>9</v>
      </c>
    </row>
    <row r="512" spans="1:7" ht="14.25" thickBot="1">
      <c r="A512" s="884">
        <v>45716</v>
      </c>
      <c r="B512" s="240" t="str">
        <f>TiposLancamentos!B5</f>
        <v>Supermercado</v>
      </c>
      <c r="C512" s="878" t="s">
        <v>2167</v>
      </c>
      <c r="D512" s="63"/>
      <c r="E512" s="231">
        <v>25.87</v>
      </c>
      <c r="F512" s="899"/>
      <c r="G512" s="1152" t="s">
        <v>9</v>
      </c>
    </row>
    <row r="513" spans="1:7">
      <c r="A513" s="1032"/>
      <c r="B513" s="1230"/>
      <c r="C513" s="1092" t="s">
        <v>1644</v>
      </c>
      <c r="D513" s="896"/>
      <c r="E513" s="925"/>
      <c r="F513" s="898">
        <f>SUM(E464:E476)</f>
        <v>707.77999999999986</v>
      </c>
    </row>
    <row r="514" spans="1:7">
      <c r="A514" s="884">
        <v>45717</v>
      </c>
      <c r="B514" s="240" t="str">
        <f>TiposLancamentos!B13</f>
        <v>Moradia</v>
      </c>
      <c r="C514" s="878" t="s">
        <v>2168</v>
      </c>
      <c r="D514" s="63"/>
      <c r="E514" s="231">
        <v>29.8</v>
      </c>
      <c r="F514" s="899">
        <f>F513-F472</f>
        <v>-1692.380000000001</v>
      </c>
      <c r="G514" s="1152" t="s">
        <v>9</v>
      </c>
    </row>
    <row r="515" spans="1:7">
      <c r="A515" s="884">
        <v>45717</v>
      </c>
      <c r="B515" s="240" t="str">
        <f>TiposLancamentos!B38</f>
        <v>Playstation 4</v>
      </c>
      <c r="C515" s="878" t="s">
        <v>2169</v>
      </c>
      <c r="D515" s="63"/>
      <c r="E515" s="231">
        <v>45</v>
      </c>
      <c r="F515" s="899"/>
      <c r="G515" s="1152" t="s">
        <v>9</v>
      </c>
    </row>
    <row r="516" spans="1:7">
      <c r="A516" s="884">
        <v>45717</v>
      </c>
      <c r="B516" s="240" t="str">
        <f>TiposLancamentos!B19</f>
        <v>Restaurantes</v>
      </c>
      <c r="C516" s="878" t="s">
        <v>2170</v>
      </c>
      <c r="D516" s="63"/>
      <c r="E516" s="231">
        <v>69</v>
      </c>
      <c r="F516" s="899"/>
      <c r="G516" s="1152" t="s">
        <v>9</v>
      </c>
    </row>
    <row r="517" spans="1:7">
      <c r="A517" s="884">
        <v>45717</v>
      </c>
      <c r="B517" s="240" t="str">
        <f>TiposLancamentos!B45</f>
        <v>Online Services</v>
      </c>
      <c r="C517" s="878" t="s">
        <v>2072</v>
      </c>
      <c r="D517" s="63"/>
      <c r="E517" s="231">
        <v>32.9</v>
      </c>
      <c r="F517" s="899"/>
      <c r="G517" s="1152" t="s">
        <v>9</v>
      </c>
    </row>
    <row r="518" spans="1:7">
      <c r="A518" s="884">
        <v>45717</v>
      </c>
      <c r="B518" s="240" t="str">
        <f>TiposLancamentos!B5</f>
        <v>Supermercado</v>
      </c>
      <c r="C518" s="878" t="s">
        <v>2171</v>
      </c>
      <c r="D518" s="63"/>
      <c r="E518" s="231">
        <v>98.95</v>
      </c>
      <c r="F518" s="899"/>
      <c r="G518" s="1152" t="s">
        <v>9</v>
      </c>
    </row>
    <row r="519" spans="1:7">
      <c r="A519" s="884">
        <v>45718</v>
      </c>
      <c r="B519" s="240" t="str">
        <f>TiposLancamentos!B19</f>
        <v>Restaurantes</v>
      </c>
      <c r="C519" s="878" t="s">
        <v>2172</v>
      </c>
      <c r="D519" s="63"/>
      <c r="E519" s="231">
        <v>122.04</v>
      </c>
      <c r="F519" s="899"/>
      <c r="G519" s="1152" t="s">
        <v>9</v>
      </c>
    </row>
    <row r="520" spans="1:7">
      <c r="A520" s="884">
        <v>45718</v>
      </c>
      <c r="B520" s="240" t="str">
        <f>TiposLancamentos!B37</f>
        <v>Playstation 3</v>
      </c>
      <c r="C520" s="878" t="s">
        <v>2173</v>
      </c>
      <c r="D520" s="63"/>
      <c r="E520" s="231">
        <v>180</v>
      </c>
      <c r="F520" s="899"/>
      <c r="G520" s="1152" t="s">
        <v>9</v>
      </c>
    </row>
    <row r="521" spans="1:7">
      <c r="A521" s="884">
        <v>45718</v>
      </c>
      <c r="B521" s="240" t="str">
        <f>TiposLancamentos!B19</f>
        <v>Restaurantes</v>
      </c>
      <c r="C521" s="878" t="s">
        <v>2174</v>
      </c>
      <c r="D521" s="63"/>
      <c r="E521" s="231">
        <v>15.8</v>
      </c>
      <c r="F521" s="899"/>
      <c r="G521" s="1152" t="s">
        <v>9</v>
      </c>
    </row>
    <row r="522" spans="1:7">
      <c r="A522" s="858">
        <v>45719</v>
      </c>
      <c r="B522" s="822" t="str">
        <f>TiposLancamentos!B81</f>
        <v>Ferramentas gerais</v>
      </c>
      <c r="C522" s="1396" t="s">
        <v>2175</v>
      </c>
      <c r="D522" s="747"/>
      <c r="E522" s="1139">
        <v>100.4</v>
      </c>
      <c r="F522" s="1454"/>
      <c r="G522" s="1152" t="s">
        <v>9</v>
      </c>
    </row>
    <row r="523" spans="1:7">
      <c r="A523" s="862">
        <v>45719</v>
      </c>
      <c r="B523" s="823" t="str">
        <f>TiposLancamentos!B60</f>
        <v>Correio</v>
      </c>
      <c r="C523" s="1448" t="s">
        <v>2176</v>
      </c>
      <c r="D523" s="849"/>
      <c r="E523" s="1141">
        <v>9.99</v>
      </c>
      <c r="F523" s="1456">
        <f>SUM(E522:E523)</f>
        <v>110.39</v>
      </c>
      <c r="G523" s="1152" t="s">
        <v>9</v>
      </c>
    </row>
    <row r="524" spans="1:7">
      <c r="A524" s="884"/>
      <c r="B524" s="240"/>
      <c r="C524" s="878" t="s">
        <v>1947</v>
      </c>
      <c r="D524" s="63"/>
      <c r="E524" s="231"/>
      <c r="F524" s="899"/>
    </row>
    <row r="525" spans="1:7">
      <c r="A525" s="858">
        <v>45719</v>
      </c>
      <c r="B525" s="822" t="str">
        <f>TiposLancamentos!B81</f>
        <v>Ferramentas gerais</v>
      </c>
      <c r="C525" s="1396" t="s">
        <v>2177</v>
      </c>
      <c r="D525" s="747"/>
      <c r="E525" s="1139">
        <v>17.920000000000002</v>
      </c>
      <c r="F525" s="1454"/>
      <c r="G525" s="1152" t="s">
        <v>9</v>
      </c>
    </row>
    <row r="526" spans="1:7">
      <c r="A526" s="862">
        <v>45719</v>
      </c>
      <c r="B526" s="823" t="str">
        <f>TiposLancamentos!B60</f>
        <v>Correio</v>
      </c>
      <c r="C526" s="1448" t="s">
        <v>2178</v>
      </c>
      <c r="D526" s="849"/>
      <c r="E526" s="1141">
        <v>11.9</v>
      </c>
      <c r="F526" s="1456">
        <f>SUM(E525:E526)</f>
        <v>29.82</v>
      </c>
      <c r="G526" s="1152" t="s">
        <v>9</v>
      </c>
    </row>
    <row r="527" spans="1:7">
      <c r="A527" s="884"/>
      <c r="B527" s="240"/>
      <c r="C527" s="878" t="s">
        <v>1947</v>
      </c>
      <c r="D527" s="63"/>
      <c r="E527" s="231"/>
      <c r="F527" s="899"/>
    </row>
    <row r="528" spans="1:7">
      <c r="A528" s="884">
        <v>45719</v>
      </c>
      <c r="B528" s="240" t="str">
        <f>TiposLancamentos!B5</f>
        <v>Supermercado</v>
      </c>
      <c r="C528" s="878" t="s">
        <v>2097</v>
      </c>
      <c r="D528" s="63"/>
      <c r="E528" s="231">
        <v>62.19</v>
      </c>
      <c r="F528" s="899"/>
      <c r="G528" s="1152" t="s">
        <v>9</v>
      </c>
    </row>
    <row r="529" spans="1:7">
      <c r="A529" s="884">
        <v>45719</v>
      </c>
      <c r="B529" s="240" t="str">
        <f>TiposLancamentos!B19</f>
        <v>Restaurantes</v>
      </c>
      <c r="C529" s="878" t="s">
        <v>2179</v>
      </c>
      <c r="D529" s="63"/>
      <c r="E529" s="231">
        <v>200</v>
      </c>
      <c r="F529" s="899"/>
      <c r="G529" s="1152" t="s">
        <v>9</v>
      </c>
    </row>
    <row r="530" spans="1:7">
      <c r="A530" s="884">
        <v>45719</v>
      </c>
      <c r="B530" s="240" t="str">
        <f>TiposLancamentos!B17</f>
        <v>GATO</v>
      </c>
      <c r="C530" s="878" t="s">
        <v>2180</v>
      </c>
      <c r="D530" s="63"/>
      <c r="E530" s="231">
        <v>133.37</v>
      </c>
      <c r="F530" s="899"/>
      <c r="G530" s="1152" t="s">
        <v>9</v>
      </c>
    </row>
    <row r="531" spans="1:7">
      <c r="A531" s="884">
        <v>45719</v>
      </c>
      <c r="B531" s="240" t="str">
        <f>TiposLancamentos!B5</f>
        <v>Supermercado</v>
      </c>
      <c r="C531" s="878" t="s">
        <v>1884</v>
      </c>
      <c r="D531" s="63"/>
      <c r="E531" s="231">
        <v>4.99</v>
      </c>
      <c r="F531" s="899"/>
      <c r="G531" s="1152" t="s">
        <v>9</v>
      </c>
    </row>
    <row r="532" spans="1:7">
      <c r="A532" s="884">
        <v>45721</v>
      </c>
      <c r="B532" s="240" t="str">
        <f>TiposLancamentos!B15</f>
        <v>Cartões de Crédito</v>
      </c>
      <c r="C532" s="878" t="s">
        <v>1874</v>
      </c>
      <c r="D532" s="63">
        <v>707.78</v>
      </c>
      <c r="E532" s="231"/>
      <c r="F532" s="899"/>
      <c r="G532" s="1152" t="s">
        <v>9</v>
      </c>
    </row>
    <row r="533" spans="1:7">
      <c r="A533" s="884">
        <v>45721</v>
      </c>
      <c r="B533" s="240" t="str">
        <f>TiposLancamentos!B56</f>
        <v>Farmácia</v>
      </c>
      <c r="C533" s="878" t="s">
        <v>2181</v>
      </c>
      <c r="D533" s="63"/>
      <c r="E533" s="231">
        <v>186.57</v>
      </c>
      <c r="F533" s="899"/>
      <c r="G533" s="1152" t="s">
        <v>9</v>
      </c>
    </row>
    <row r="534" spans="1:7">
      <c r="A534" s="884">
        <v>45722</v>
      </c>
      <c r="B534" s="240" t="str">
        <f>TiposLancamentos!B23</f>
        <v>P208 GRIFFE 1.6 AUT BUSINESS</v>
      </c>
      <c r="C534" s="878" t="s">
        <v>2182</v>
      </c>
      <c r="D534" s="63"/>
      <c r="E534" s="231">
        <v>60</v>
      </c>
      <c r="F534" s="899"/>
      <c r="G534" s="1152" t="s">
        <v>9</v>
      </c>
    </row>
    <row r="535" spans="1:7">
      <c r="A535" s="884">
        <v>45726</v>
      </c>
      <c r="B535" s="240" t="str">
        <f>TiposLancamentos!B24</f>
        <v>Estacionamentos</v>
      </c>
      <c r="C535" s="878" t="s">
        <v>2183</v>
      </c>
      <c r="D535" s="63"/>
      <c r="E535" s="231">
        <v>10</v>
      </c>
      <c r="F535" s="899"/>
      <c r="G535" s="1152" t="s">
        <v>9</v>
      </c>
    </row>
    <row r="536" spans="1:7">
      <c r="A536" s="884">
        <v>45727</v>
      </c>
      <c r="B536" s="240" t="str">
        <f>TiposLancamentos!B5</f>
        <v>Supermercado</v>
      </c>
      <c r="C536" s="878" t="s">
        <v>1884</v>
      </c>
      <c r="D536" s="63"/>
      <c r="E536" s="231">
        <v>11.99</v>
      </c>
      <c r="F536" s="899"/>
      <c r="G536" s="1152" t="s">
        <v>9</v>
      </c>
    </row>
    <row r="537" spans="1:7">
      <c r="A537" s="884">
        <v>45727</v>
      </c>
      <c r="B537" s="240" t="str">
        <f>TiposLancamentos!B5</f>
        <v>Supermercado</v>
      </c>
      <c r="C537" s="878" t="s">
        <v>1884</v>
      </c>
      <c r="D537" s="63"/>
      <c r="E537" s="231">
        <v>29.88</v>
      </c>
      <c r="F537" s="899"/>
      <c r="G537" s="1152" t="s">
        <v>9</v>
      </c>
    </row>
    <row r="538" spans="1:7">
      <c r="A538" s="934"/>
      <c r="B538" s="243"/>
      <c r="C538" s="389" t="s">
        <v>10</v>
      </c>
      <c r="D538" s="146"/>
      <c r="E538" s="1190"/>
      <c r="F538" s="935"/>
      <c r="G538" s="1094" t="s">
        <v>11</v>
      </c>
    </row>
    <row r="539" spans="1:7">
      <c r="A539" s="884">
        <v>45732</v>
      </c>
      <c r="B539" s="240" t="str">
        <f>TiposLancamentos!B71</f>
        <v>Itens Pessoais</v>
      </c>
      <c r="C539" s="878" t="s">
        <v>2184</v>
      </c>
      <c r="D539" s="63"/>
      <c r="E539" s="231">
        <v>158.49</v>
      </c>
      <c r="F539" s="899">
        <v>950.99</v>
      </c>
      <c r="G539" s="1152" t="s">
        <v>9</v>
      </c>
    </row>
    <row r="540" spans="1:7">
      <c r="A540" s="884">
        <v>45732</v>
      </c>
      <c r="B540" s="240" t="str">
        <f>TiposLancamentos!B71</f>
        <v>Itens Pessoais</v>
      </c>
      <c r="C540" s="878" t="s">
        <v>2185</v>
      </c>
      <c r="D540" s="63"/>
      <c r="E540" s="231">
        <v>0</v>
      </c>
      <c r="F540" s="899"/>
      <c r="G540" s="1152" t="s">
        <v>9</v>
      </c>
    </row>
    <row r="541" spans="1:7">
      <c r="A541" s="884">
        <v>45735</v>
      </c>
      <c r="B541" s="240" t="str">
        <f>TiposLancamentos!B24</f>
        <v>Estacionamentos</v>
      </c>
      <c r="C541" s="878" t="s">
        <v>2186</v>
      </c>
      <c r="D541" s="63"/>
      <c r="E541" s="231">
        <v>20</v>
      </c>
      <c r="F541" s="899"/>
      <c r="G541" s="1152" t="s">
        <v>9</v>
      </c>
    </row>
    <row r="542" spans="1:7">
      <c r="A542" s="884">
        <v>45738</v>
      </c>
      <c r="B542" s="240" t="str">
        <f>TiposLancamentos!B31</f>
        <v>Action Figures</v>
      </c>
      <c r="C542" s="878" t="s">
        <v>2187</v>
      </c>
      <c r="D542" s="63"/>
      <c r="E542" s="231">
        <f>F542/3</f>
        <v>150</v>
      </c>
      <c r="F542" s="899">
        <v>450</v>
      </c>
      <c r="G542" s="1152" t="s">
        <v>9</v>
      </c>
    </row>
    <row r="543" spans="1:7">
      <c r="A543" s="884">
        <v>45738</v>
      </c>
      <c r="B543" s="240" t="str">
        <f>TiposLancamentos!B37</f>
        <v>Playstation 3</v>
      </c>
      <c r="C543" s="878" t="s">
        <v>2188</v>
      </c>
      <c r="D543" s="63"/>
      <c r="E543" s="231">
        <f>F543/3</f>
        <v>173.97</v>
      </c>
      <c r="F543" s="899">
        <v>521.91</v>
      </c>
      <c r="G543" s="1094" t="s">
        <v>11</v>
      </c>
    </row>
    <row r="544" spans="1:7">
      <c r="A544" s="884">
        <v>45739</v>
      </c>
      <c r="B544" s="240" t="str">
        <f>TiposLancamentos!B45</f>
        <v>Online Services</v>
      </c>
      <c r="C544" s="878" t="s">
        <v>1876</v>
      </c>
      <c r="D544" s="63"/>
      <c r="E544" s="231">
        <v>4.9000000000000004</v>
      </c>
      <c r="F544" s="899"/>
      <c r="G544" s="1152" t="s">
        <v>9</v>
      </c>
    </row>
    <row r="545" spans="1:7">
      <c r="A545" s="884">
        <v>45742</v>
      </c>
      <c r="B545" s="240" t="str">
        <f>TiposLancamentos!B57</f>
        <v>Informática</v>
      </c>
      <c r="C545" s="878" t="s">
        <v>2189</v>
      </c>
      <c r="D545" s="63"/>
      <c r="E545" s="231">
        <v>14.26</v>
      </c>
      <c r="F545" s="899"/>
      <c r="G545" s="1152" t="s">
        <v>9</v>
      </c>
    </row>
    <row r="546" spans="1:7">
      <c r="A546" s="884">
        <v>45744</v>
      </c>
      <c r="B546" s="240" t="str">
        <f>TiposLancamentos!B45</f>
        <v>Online Services</v>
      </c>
      <c r="C546" s="878" t="s">
        <v>2102</v>
      </c>
      <c r="D546" s="63"/>
      <c r="E546" s="231">
        <v>21.9</v>
      </c>
      <c r="F546" s="899"/>
      <c r="G546" s="1152" t="s">
        <v>9</v>
      </c>
    </row>
    <row r="547" spans="1:7">
      <c r="A547" s="884">
        <v>45745</v>
      </c>
      <c r="B547" s="240" t="str">
        <f>TiposLancamentos!B45</f>
        <v>Online Services</v>
      </c>
      <c r="C547" s="878" t="s">
        <v>2072</v>
      </c>
      <c r="D547" s="63"/>
      <c r="E547" s="231">
        <v>32.9</v>
      </c>
      <c r="F547" s="899"/>
      <c r="G547" s="1152" t="s">
        <v>9</v>
      </c>
    </row>
    <row r="548" spans="1:7" ht="14.25" thickBot="1">
      <c r="A548" s="884">
        <v>45747</v>
      </c>
      <c r="B548" s="240" t="str">
        <f>TiposLancamentos!B65</f>
        <v>Taxi</v>
      </c>
      <c r="C548" s="878" t="s">
        <v>2190</v>
      </c>
      <c r="D548" s="63"/>
      <c r="E548" s="231">
        <v>32.909999999999997</v>
      </c>
      <c r="F548" s="899"/>
      <c r="G548" s="1152" t="s">
        <v>9</v>
      </c>
    </row>
    <row r="549" spans="1:7">
      <c r="A549" s="1032"/>
      <c r="B549" s="1230"/>
      <c r="C549" s="1092" t="s">
        <v>1645</v>
      </c>
      <c r="D549" s="896"/>
      <c r="E549" s="925"/>
      <c r="F549" s="898">
        <f>SUM(E477:E538)</f>
        <v>3090.5600000000004</v>
      </c>
    </row>
    <row r="550" spans="1:7">
      <c r="A550" s="884">
        <v>45748</v>
      </c>
      <c r="B550" s="240" t="str">
        <f>TiposLancamentos!B15</f>
        <v>Cartões de Crédito</v>
      </c>
      <c r="C550" s="878" t="s">
        <v>1874</v>
      </c>
      <c r="D550" s="63">
        <v>3090.56</v>
      </c>
      <c r="E550" s="231"/>
      <c r="F550" s="899">
        <f>F549-F513</f>
        <v>2382.7800000000007</v>
      </c>
      <c r="G550" s="1152" t="s">
        <v>9</v>
      </c>
    </row>
    <row r="551" spans="1:7">
      <c r="A551" s="884">
        <v>45750</v>
      </c>
      <c r="B551" s="240" t="str">
        <f>TiposLancamentos!B57</f>
        <v>Informática</v>
      </c>
      <c r="C551" s="878" t="s">
        <v>2191</v>
      </c>
      <c r="D551" s="63"/>
      <c r="E551" s="231">
        <v>39</v>
      </c>
      <c r="F551" s="899"/>
      <c r="G551" s="1152" t="s">
        <v>9</v>
      </c>
    </row>
    <row r="552" spans="1:7" ht="27">
      <c r="A552" s="858">
        <v>45753</v>
      </c>
      <c r="B552" s="822" t="str">
        <f>TiposLancamentos!B57</f>
        <v>Informática</v>
      </c>
      <c r="C552" s="1836" t="s">
        <v>2192</v>
      </c>
      <c r="D552" s="747"/>
      <c r="E552" s="1139">
        <f>209.88-25.05</f>
        <v>184.82999999999998</v>
      </c>
      <c r="F552" s="1454"/>
      <c r="G552" s="1152" t="s">
        <v>9</v>
      </c>
    </row>
    <row r="553" spans="1:7">
      <c r="A553" s="860">
        <v>45753</v>
      </c>
      <c r="B553" s="275" t="str">
        <f>TiposLancamentos!B60</f>
        <v>Correio</v>
      </c>
      <c r="C553" s="1443" t="s">
        <v>2193</v>
      </c>
      <c r="D553" s="51"/>
      <c r="E553" s="1147">
        <v>11.02</v>
      </c>
      <c r="F553" s="899"/>
      <c r="G553" s="1152" t="s">
        <v>9</v>
      </c>
    </row>
    <row r="554" spans="1:7" ht="20.25" customHeight="1">
      <c r="A554" s="862">
        <v>45753</v>
      </c>
      <c r="B554" s="823" t="str">
        <f>TiposLancamentos!B57</f>
        <v>Informática</v>
      </c>
      <c r="C554" s="1837" t="s">
        <v>2194</v>
      </c>
      <c r="D554" s="849"/>
      <c r="E554" s="1141">
        <v>0</v>
      </c>
      <c r="F554" s="1456">
        <f>SUM(E552:E554)</f>
        <v>195.85</v>
      </c>
      <c r="G554" s="1152" t="s">
        <v>9</v>
      </c>
    </row>
    <row r="555" spans="1:7">
      <c r="A555" s="884">
        <v>45757</v>
      </c>
      <c r="B555" s="240" t="str">
        <f>TiposLancamentos!B65</f>
        <v>Taxi</v>
      </c>
      <c r="C555" s="878" t="s">
        <v>2195</v>
      </c>
      <c r="D555" s="63"/>
      <c r="E555" s="231">
        <v>17.09</v>
      </c>
      <c r="F555" s="899"/>
      <c r="G555" s="1152" t="s">
        <v>9</v>
      </c>
    </row>
    <row r="556" spans="1:7">
      <c r="A556" s="884">
        <v>45757</v>
      </c>
      <c r="B556" s="240" t="str">
        <f>TiposLancamentos!B65</f>
        <v>Taxi</v>
      </c>
      <c r="C556" s="878" t="s">
        <v>2196</v>
      </c>
      <c r="D556" s="63"/>
      <c r="E556" s="231">
        <v>14.21</v>
      </c>
      <c r="F556" s="899"/>
      <c r="G556" s="1152" t="s">
        <v>9</v>
      </c>
    </row>
    <row r="557" spans="1:7" ht="14.25" thickBot="1">
      <c r="A557" s="934"/>
      <c r="B557" s="243"/>
      <c r="C557" s="389" t="s">
        <v>10</v>
      </c>
      <c r="D557" s="146"/>
      <c r="E557" s="1190"/>
      <c r="F557" s="935"/>
      <c r="G557" s="1094" t="s">
        <v>11</v>
      </c>
    </row>
    <row r="558" spans="1:7">
      <c r="A558" s="1870">
        <v>45763</v>
      </c>
      <c r="B558" s="1871" t="str">
        <f>TiposLancamentos!B71</f>
        <v>Itens Pessoais</v>
      </c>
      <c r="C558" s="1872" t="s">
        <v>2197</v>
      </c>
      <c r="D558" s="1873"/>
      <c r="E558" s="1874">
        <f>F559-E559</f>
        <v>118.76</v>
      </c>
      <c r="F558" s="898"/>
      <c r="G558" s="1152" t="s">
        <v>9</v>
      </c>
    </row>
    <row r="559" spans="1:7">
      <c r="A559" s="862">
        <v>45763</v>
      </c>
      <c r="B559" s="823" t="str">
        <f>TiposLancamentos!B60</f>
        <v>Correio</v>
      </c>
      <c r="C559" s="1448" t="s">
        <v>2198</v>
      </c>
      <c r="D559" s="849"/>
      <c r="E559" s="1141">
        <v>10.86</v>
      </c>
      <c r="F559" s="1456">
        <v>129.62</v>
      </c>
      <c r="G559" s="1152" t="s">
        <v>9</v>
      </c>
    </row>
    <row r="560" spans="1:7">
      <c r="A560" s="884">
        <v>45763</v>
      </c>
      <c r="B560" s="240" t="str">
        <f>TiposLancamentos!B19</f>
        <v>Restaurantes</v>
      </c>
      <c r="C560" s="878" t="s">
        <v>2199</v>
      </c>
      <c r="D560" s="63"/>
      <c r="E560" s="231">
        <v>85.85</v>
      </c>
      <c r="F560" s="899"/>
      <c r="G560" s="1152" t="s">
        <v>9</v>
      </c>
    </row>
    <row r="561" spans="1:7">
      <c r="A561" s="884">
        <v>45764</v>
      </c>
      <c r="B561" s="240" t="str">
        <f>TiposLancamentos!B19</f>
        <v>Restaurantes</v>
      </c>
      <c r="C561" s="878" t="s">
        <v>2200</v>
      </c>
      <c r="D561" s="63"/>
      <c r="E561" s="231">
        <v>94.98</v>
      </c>
      <c r="F561" s="899"/>
      <c r="G561" s="1152" t="s">
        <v>9</v>
      </c>
    </row>
    <row r="562" spans="1:7">
      <c r="A562" s="884">
        <v>45766</v>
      </c>
      <c r="B562" s="240" t="str">
        <f>TiposLancamentos!B70</f>
        <v>Vestuário</v>
      </c>
      <c r="C562" s="878" t="s">
        <v>2201</v>
      </c>
      <c r="D562" s="63"/>
      <c r="E562" s="231">
        <v>225.03</v>
      </c>
      <c r="F562" s="899">
        <v>1349.98</v>
      </c>
      <c r="G562" s="1152" t="s">
        <v>9</v>
      </c>
    </row>
    <row r="563" spans="1:7">
      <c r="A563" s="884">
        <v>45769</v>
      </c>
      <c r="B563" s="240" t="str">
        <f>TiposLancamentos!B31</f>
        <v>Action Figures</v>
      </c>
      <c r="C563" s="878" t="s">
        <v>2202</v>
      </c>
      <c r="D563" s="63"/>
      <c r="E563" s="231">
        <f>F563/3</f>
        <v>150</v>
      </c>
      <c r="F563" s="899">
        <v>450</v>
      </c>
      <c r="G563" s="1152" t="s">
        <v>9</v>
      </c>
    </row>
    <row r="564" spans="1:7">
      <c r="A564" s="884">
        <v>45769</v>
      </c>
      <c r="B564" s="240" t="str">
        <f>TiposLancamentos!B37</f>
        <v>Playstation 3</v>
      </c>
      <c r="C564" s="878" t="s">
        <v>2203</v>
      </c>
      <c r="D564" s="63"/>
      <c r="E564" s="231">
        <f>F564/3</f>
        <v>173.97</v>
      </c>
      <c r="F564" s="899">
        <v>521.91</v>
      </c>
      <c r="G564" s="1152" t="s">
        <v>9</v>
      </c>
    </row>
    <row r="565" spans="1:7">
      <c r="A565" s="884">
        <v>45770</v>
      </c>
      <c r="B565" s="240" t="str">
        <f>B547</f>
        <v>Online Services</v>
      </c>
      <c r="C565" s="878" t="s">
        <v>1876</v>
      </c>
      <c r="D565" s="63"/>
      <c r="E565" s="231">
        <v>4.9000000000000004</v>
      </c>
      <c r="F565" s="899"/>
      <c r="G565" s="1152" t="s">
        <v>9</v>
      </c>
    </row>
    <row r="566" spans="1:7">
      <c r="A566" s="884">
        <v>45771</v>
      </c>
      <c r="B566" s="240" t="str">
        <f>TiposLancamentos!B19</f>
        <v>Restaurantes</v>
      </c>
      <c r="C566" s="878" t="s">
        <v>2204</v>
      </c>
      <c r="D566" s="63"/>
      <c r="E566" s="231">
        <v>110</v>
      </c>
      <c r="F566" s="899"/>
      <c r="G566" s="1152" t="s">
        <v>9</v>
      </c>
    </row>
    <row r="567" spans="1:7">
      <c r="A567" s="884">
        <v>45773</v>
      </c>
      <c r="B567" s="240" t="str">
        <f>TiposLancamentos!B16</f>
        <v>Cristiane</v>
      </c>
      <c r="C567" s="878" t="s">
        <v>2205</v>
      </c>
      <c r="D567" s="63"/>
      <c r="E567" s="231">
        <v>98.94</v>
      </c>
      <c r="F567" s="899"/>
      <c r="G567" s="1152" t="s">
        <v>9</v>
      </c>
    </row>
    <row r="568" spans="1:7">
      <c r="A568" s="884">
        <v>45775</v>
      </c>
      <c r="B568" s="240" t="str">
        <f>TiposLancamentos!B45</f>
        <v>Online Services</v>
      </c>
      <c r="C568" s="878" t="s">
        <v>2102</v>
      </c>
      <c r="D568" s="63"/>
      <c r="E568" s="231">
        <v>21.9</v>
      </c>
      <c r="F568" s="899"/>
      <c r="G568" s="1152" t="s">
        <v>9</v>
      </c>
    </row>
    <row r="569" spans="1:7" ht="14.25" thickBot="1">
      <c r="A569" s="884">
        <v>45776</v>
      </c>
      <c r="B569" s="240" t="str">
        <f>TiposLancamentos!B45</f>
        <v>Online Services</v>
      </c>
      <c r="C569" s="878" t="s">
        <v>2072</v>
      </c>
      <c r="D569" s="63"/>
      <c r="E569" s="231">
        <v>26.9</v>
      </c>
      <c r="F569" s="899"/>
      <c r="G569" s="1152" t="s">
        <v>9</v>
      </c>
    </row>
    <row r="570" spans="1:7">
      <c r="A570" s="1032"/>
      <c r="B570" s="1230"/>
      <c r="C570" s="1092" t="s">
        <v>1646</v>
      </c>
      <c r="D570" s="896"/>
      <c r="E570" s="925"/>
      <c r="F570" s="898">
        <f>SUM(E538:E557)</f>
        <v>875.4799999999999</v>
      </c>
    </row>
    <row r="571" spans="1:7">
      <c r="A571" s="884">
        <v>45778</v>
      </c>
      <c r="B571" s="240" t="str">
        <f>TiposLancamentos!B15</f>
        <v>Cartões de Crédito</v>
      </c>
      <c r="C571" s="878" t="s">
        <v>1874</v>
      </c>
      <c r="D571" s="63">
        <v>875.48</v>
      </c>
      <c r="E571" s="231"/>
      <c r="F571" s="899">
        <f>F570-F549</f>
        <v>-2215.0800000000004</v>
      </c>
      <c r="G571" s="1152" t="s">
        <v>9</v>
      </c>
    </row>
    <row r="572" spans="1:7">
      <c r="A572" s="858">
        <v>45787</v>
      </c>
      <c r="B572" s="822" t="str">
        <f>TiposLancamentos!B13</f>
        <v>Moradia</v>
      </c>
      <c r="C572" s="1396" t="s">
        <v>2206</v>
      </c>
      <c r="D572" s="747"/>
      <c r="E572" s="1139">
        <f>F573-E573</f>
        <v>63.56</v>
      </c>
      <c r="F572" s="1454"/>
      <c r="G572" s="1152" t="s">
        <v>9</v>
      </c>
    </row>
    <row r="573" spans="1:7">
      <c r="A573" s="862">
        <v>45787</v>
      </c>
      <c r="B573" s="823" t="str">
        <f>TiposLancamentos!B60</f>
        <v>Correio</v>
      </c>
      <c r="C573" s="1448" t="s">
        <v>2206</v>
      </c>
      <c r="D573" s="849"/>
      <c r="E573" s="1141">
        <v>12.86</v>
      </c>
      <c r="F573" s="1456">
        <v>76.42</v>
      </c>
      <c r="G573" s="1152" t="s">
        <v>9</v>
      </c>
    </row>
    <row r="574" spans="1:7">
      <c r="A574" s="884">
        <v>45792</v>
      </c>
      <c r="B574" s="240" t="str">
        <f>TiposLancamentos!B65</f>
        <v>Taxi</v>
      </c>
      <c r="C574" s="878" t="s">
        <v>2207</v>
      </c>
      <c r="D574" s="63"/>
      <c r="E574" s="231">
        <v>30.95</v>
      </c>
      <c r="F574" s="899"/>
      <c r="G574" s="1152" t="s">
        <v>9</v>
      </c>
    </row>
    <row r="575" spans="1:7">
      <c r="A575" s="884">
        <v>45793</v>
      </c>
      <c r="B575" s="240" t="str">
        <f>TiposLancamentos!B19</f>
        <v>Restaurantes</v>
      </c>
      <c r="C575" s="878" t="s">
        <v>2208</v>
      </c>
      <c r="D575" s="63"/>
      <c r="E575" s="231">
        <v>108.56</v>
      </c>
      <c r="F575" s="899"/>
      <c r="G575" s="1152" t="s">
        <v>9</v>
      </c>
    </row>
    <row r="576" spans="1:7">
      <c r="A576" s="884">
        <v>45794</v>
      </c>
      <c r="B576" s="240" t="str">
        <f>TiposLancamentos!B65</f>
        <v>Taxi</v>
      </c>
      <c r="C576" s="878" t="s">
        <v>2209</v>
      </c>
      <c r="D576" s="63"/>
      <c r="E576" s="231">
        <v>35.49</v>
      </c>
      <c r="F576" s="899"/>
      <c r="G576" s="1152" t="s">
        <v>9</v>
      </c>
    </row>
    <row r="577" spans="1:7">
      <c r="A577" s="884">
        <v>45794</v>
      </c>
      <c r="B577" s="240" t="str">
        <f>TiposLancamentos!B65</f>
        <v>Taxi</v>
      </c>
      <c r="C577" s="878" t="s">
        <v>2210</v>
      </c>
      <c r="D577" s="63"/>
      <c r="E577" s="231">
        <v>39.450000000000003</v>
      </c>
      <c r="F577" s="899"/>
      <c r="G577" s="1152" t="s">
        <v>9</v>
      </c>
    </row>
    <row r="578" spans="1:7">
      <c r="A578" s="934"/>
      <c r="B578" s="243"/>
      <c r="C578" s="389" t="s">
        <v>10</v>
      </c>
      <c r="D578" s="146"/>
      <c r="E578" s="1190"/>
      <c r="F578" s="935"/>
      <c r="G578" s="1094" t="s">
        <v>11</v>
      </c>
    </row>
    <row r="579" spans="1:7">
      <c r="A579" s="858">
        <v>45795</v>
      </c>
      <c r="B579" s="822" t="str">
        <f>TiposLancamentos!B13</f>
        <v>Moradia</v>
      </c>
      <c r="C579" s="1396" t="s">
        <v>2211</v>
      </c>
      <c r="D579" s="747"/>
      <c r="E579" s="1139">
        <v>29</v>
      </c>
      <c r="F579" s="1454"/>
      <c r="G579" s="1152" t="s">
        <v>9</v>
      </c>
    </row>
    <row r="580" spans="1:7">
      <c r="A580" s="862">
        <v>45795</v>
      </c>
      <c r="B580" s="823" t="str">
        <f>TiposLancamentos!B60</f>
        <v>Correio</v>
      </c>
      <c r="C580" s="1448" t="s">
        <v>2212</v>
      </c>
      <c r="D580" s="849"/>
      <c r="E580" s="1141">
        <f>F580-E579</f>
        <v>10.299999999999997</v>
      </c>
      <c r="F580" s="1456">
        <v>39.299999999999997</v>
      </c>
      <c r="G580" s="1152" t="s">
        <v>9</v>
      </c>
    </row>
    <row r="581" spans="1:7">
      <c r="A581" s="884">
        <v>45796</v>
      </c>
      <c r="B581" s="240" t="str">
        <f>TiposLancamentos!B70</f>
        <v>Vestuário</v>
      </c>
      <c r="C581" s="878" t="s">
        <v>2213</v>
      </c>
      <c r="D581" s="63"/>
      <c r="E581" s="231">
        <v>224.99</v>
      </c>
      <c r="F581" s="899">
        <v>1349.98</v>
      </c>
      <c r="G581" s="1152" t="s">
        <v>9</v>
      </c>
    </row>
    <row r="582" spans="1:7">
      <c r="A582" s="858">
        <v>45796</v>
      </c>
      <c r="B582" s="822" t="str">
        <f>TiposLancamentos!B13</f>
        <v>Moradia</v>
      </c>
      <c r="C582" s="1396" t="s">
        <v>2214</v>
      </c>
      <c r="D582" s="747"/>
      <c r="E582" s="1139">
        <v>279.89999999999998</v>
      </c>
      <c r="F582" s="1454"/>
      <c r="G582" s="1152" t="s">
        <v>9</v>
      </c>
    </row>
    <row r="583" spans="1:7">
      <c r="A583" s="862">
        <v>45796</v>
      </c>
      <c r="B583" s="823" t="str">
        <f>TiposLancamentos!B60</f>
        <v>Correio</v>
      </c>
      <c r="C583" s="1448" t="s">
        <v>2214</v>
      </c>
      <c r="D583" s="849"/>
      <c r="E583" s="1141">
        <v>18.11</v>
      </c>
      <c r="F583" s="1456">
        <f>SUM(E582:E583)</f>
        <v>298.01</v>
      </c>
      <c r="G583" s="1152" t="s">
        <v>9</v>
      </c>
    </row>
    <row r="584" spans="1:7">
      <c r="A584" s="884">
        <v>45796</v>
      </c>
      <c r="B584" s="240" t="str">
        <f>TiposLancamentos!B19</f>
        <v>Restaurantes</v>
      </c>
      <c r="C584" s="878" t="s">
        <v>2215</v>
      </c>
      <c r="D584" s="63"/>
      <c r="E584" s="231">
        <v>50</v>
      </c>
      <c r="F584" s="899"/>
      <c r="G584" s="1152" t="s">
        <v>9</v>
      </c>
    </row>
    <row r="585" spans="1:7">
      <c r="A585" s="884">
        <v>45796</v>
      </c>
      <c r="B585" s="240" t="str">
        <f>TiposLancamentos!B13</f>
        <v>Moradia</v>
      </c>
      <c r="C585" s="878" t="s">
        <v>2216</v>
      </c>
      <c r="D585" s="63"/>
      <c r="E585" s="231">
        <v>179.9</v>
      </c>
      <c r="F585" s="899"/>
      <c r="G585" s="1152" t="s">
        <v>9</v>
      </c>
    </row>
    <row r="586" spans="1:7">
      <c r="A586" s="884">
        <v>45796</v>
      </c>
      <c r="B586" s="240" t="str">
        <f>TiposLancamentos!B19</f>
        <v>Restaurantes</v>
      </c>
      <c r="C586" s="878" t="s">
        <v>2217</v>
      </c>
      <c r="D586" s="63"/>
      <c r="E586" s="231">
        <v>109.54</v>
      </c>
      <c r="F586" s="899"/>
      <c r="G586" s="1152" t="s">
        <v>9</v>
      </c>
    </row>
    <row r="587" spans="1:7">
      <c r="A587" s="884">
        <v>45797</v>
      </c>
      <c r="B587" s="240" t="str">
        <f>TiposLancamentos!B19</f>
        <v>Restaurantes</v>
      </c>
      <c r="C587" s="878" t="s">
        <v>2218</v>
      </c>
      <c r="D587" s="63"/>
      <c r="E587" s="231">
        <v>25.9</v>
      </c>
      <c r="F587" s="899"/>
      <c r="G587" s="1152" t="s">
        <v>9</v>
      </c>
    </row>
    <row r="588" spans="1:7">
      <c r="A588" s="884">
        <v>45797</v>
      </c>
      <c r="B588" s="240" t="str">
        <f>TiposLancamentos!B24</f>
        <v>Estacionamentos</v>
      </c>
      <c r="C588" s="878" t="s">
        <v>2219</v>
      </c>
      <c r="D588" s="63"/>
      <c r="E588" s="231">
        <v>23</v>
      </c>
      <c r="F588" s="899"/>
      <c r="G588" s="1152" t="s">
        <v>9</v>
      </c>
    </row>
    <row r="589" spans="1:7">
      <c r="A589" s="884">
        <v>45798</v>
      </c>
      <c r="B589" s="240" t="str">
        <f>TiposLancamentos!B19</f>
        <v>Restaurantes</v>
      </c>
      <c r="C589" s="878" t="s">
        <v>2220</v>
      </c>
      <c r="D589" s="63"/>
      <c r="E589" s="231">
        <v>29</v>
      </c>
      <c r="F589" s="899"/>
      <c r="G589" s="1152" t="s">
        <v>9</v>
      </c>
    </row>
    <row r="590" spans="1:7">
      <c r="A590" s="884">
        <v>45798</v>
      </c>
      <c r="B590" s="240" t="str">
        <f>TiposLancamentos!B5</f>
        <v>Supermercado</v>
      </c>
      <c r="C590" s="878" t="s">
        <v>2221</v>
      </c>
      <c r="D590" s="63"/>
      <c r="E590" s="231">
        <v>27.9</v>
      </c>
      <c r="F590" s="899"/>
      <c r="G590" s="1152" t="s">
        <v>9</v>
      </c>
    </row>
    <row r="591" spans="1:7">
      <c r="A591" s="884">
        <v>45798</v>
      </c>
      <c r="B591" s="240" t="str">
        <f>TiposLancamentos!B5</f>
        <v>Supermercado</v>
      </c>
      <c r="C591" s="878" t="s">
        <v>2222</v>
      </c>
      <c r="D591" s="63"/>
      <c r="E591" s="231">
        <v>166.67</v>
      </c>
      <c r="F591" s="899"/>
      <c r="G591" s="1152" t="s">
        <v>9</v>
      </c>
    </row>
    <row r="592" spans="1:7">
      <c r="A592" s="884">
        <v>45799</v>
      </c>
      <c r="B592" s="240" t="str">
        <f>TiposLancamentos!B37</f>
        <v>Playstation 3</v>
      </c>
      <c r="C592" s="878" t="s">
        <v>2223</v>
      </c>
      <c r="D592" s="63"/>
      <c r="E592" s="231">
        <f>F592/3</f>
        <v>173.97</v>
      </c>
      <c r="F592" s="899">
        <v>521.91</v>
      </c>
      <c r="G592" s="1152" t="s">
        <v>9</v>
      </c>
    </row>
    <row r="593" spans="1:7">
      <c r="A593" s="884">
        <v>45799</v>
      </c>
      <c r="B593" s="240" t="str">
        <f>TiposLancamentos!B19</f>
        <v>Restaurantes</v>
      </c>
      <c r="C593" s="878" t="s">
        <v>2224</v>
      </c>
      <c r="D593" s="63"/>
      <c r="E593" s="231">
        <v>68.89</v>
      </c>
      <c r="F593" s="899"/>
      <c r="G593" s="1152" t="s">
        <v>9</v>
      </c>
    </row>
    <row r="594" spans="1:7">
      <c r="A594" s="884">
        <v>45800</v>
      </c>
      <c r="B594" s="240" t="str">
        <f>B579</f>
        <v>Moradia</v>
      </c>
      <c r="C594" s="878" t="s">
        <v>1876</v>
      </c>
      <c r="D594" s="63"/>
      <c r="E594" s="231">
        <v>4.9000000000000004</v>
      </c>
      <c r="F594" s="899"/>
      <c r="G594" s="1152" t="s">
        <v>9</v>
      </c>
    </row>
    <row r="595" spans="1:7">
      <c r="A595" s="884">
        <v>45802</v>
      </c>
      <c r="B595" s="240" t="str">
        <f>TiposLancamentos!B81</f>
        <v>Ferramentas gerais</v>
      </c>
      <c r="C595" s="878" t="s">
        <v>2225</v>
      </c>
      <c r="D595" s="63"/>
      <c r="E595" s="231">
        <v>12</v>
      </c>
      <c r="F595" s="899"/>
      <c r="G595" s="1152" t="s">
        <v>9</v>
      </c>
    </row>
    <row r="596" spans="1:7">
      <c r="A596" s="884">
        <v>45802</v>
      </c>
      <c r="B596" s="240" t="str">
        <f>TiposLancamentos!B81</f>
        <v>Ferramentas gerais</v>
      </c>
      <c r="C596" s="878" t="s">
        <v>2226</v>
      </c>
      <c r="D596" s="63"/>
      <c r="E596" s="231">
        <v>19</v>
      </c>
      <c r="F596" s="899"/>
      <c r="G596" s="1152" t="s">
        <v>9</v>
      </c>
    </row>
    <row r="597" spans="1:7">
      <c r="A597" s="884">
        <v>45802</v>
      </c>
      <c r="B597" s="240" t="str">
        <f>TiposLancamentos!B70</f>
        <v>Vestuário</v>
      </c>
      <c r="C597" s="1203" t="s">
        <v>2227</v>
      </c>
      <c r="D597" s="63"/>
      <c r="E597" s="231">
        <v>64.989999999999995</v>
      </c>
      <c r="F597" s="899"/>
      <c r="G597" s="1152" t="s">
        <v>9</v>
      </c>
    </row>
    <row r="598" spans="1:7">
      <c r="A598" s="858">
        <v>45804</v>
      </c>
      <c r="B598" s="822" t="str">
        <f>TiposLancamentos!B16</f>
        <v>Cristiane</v>
      </c>
      <c r="C598" s="1396" t="s">
        <v>2228</v>
      </c>
      <c r="D598" s="747"/>
      <c r="E598" s="1139">
        <v>53.99</v>
      </c>
      <c r="F598" s="1454"/>
      <c r="G598" s="1152" t="s">
        <v>9</v>
      </c>
    </row>
    <row r="599" spans="1:7">
      <c r="A599" s="862">
        <v>45804</v>
      </c>
      <c r="B599" s="823" t="str">
        <f>TiposLancamentos!B60</f>
        <v>Correio</v>
      </c>
      <c r="C599" s="1448" t="str">
        <f>"Frete :" &amp;C598</f>
        <v>Frete :Elseve serum liso dos</v>
      </c>
      <c r="D599" s="849"/>
      <c r="E599" s="1141">
        <v>7.9</v>
      </c>
      <c r="F599" s="1456">
        <f>SUM(E598:E599)</f>
        <v>61.89</v>
      </c>
      <c r="G599" s="1152" t="s">
        <v>9</v>
      </c>
    </row>
    <row r="600" spans="1:7">
      <c r="A600" s="884">
        <v>45805</v>
      </c>
      <c r="B600" s="240" t="str">
        <f>TiposLancamentos!B45</f>
        <v>Online Services</v>
      </c>
      <c r="C600" s="878" t="s">
        <v>2102</v>
      </c>
      <c r="D600" s="63"/>
      <c r="E600" s="231">
        <v>21.9</v>
      </c>
      <c r="F600" s="899"/>
      <c r="G600" s="1152" t="s">
        <v>9</v>
      </c>
    </row>
    <row r="601" spans="1:7">
      <c r="A601" s="858">
        <v>45806</v>
      </c>
      <c r="B601" s="822" t="str">
        <f>TiposLancamentos!B28</f>
        <v>ComicBook</v>
      </c>
      <c r="C601" s="1396" t="s">
        <v>2229</v>
      </c>
      <c r="D601" s="747"/>
      <c r="E601" s="1139">
        <v>40.4</v>
      </c>
      <c r="F601" s="1454"/>
      <c r="G601" s="1152" t="s">
        <v>9</v>
      </c>
    </row>
    <row r="602" spans="1:7">
      <c r="A602" s="862">
        <v>45806</v>
      </c>
      <c r="B602" s="823" t="str">
        <f>TiposLancamentos!B28</f>
        <v>ComicBook</v>
      </c>
      <c r="C602" s="1448" t="s">
        <v>2230</v>
      </c>
      <c r="D602" s="849"/>
      <c r="E602" s="1141">
        <v>40.4</v>
      </c>
      <c r="F602" s="1456">
        <f>SUM(E601:E602)</f>
        <v>80.8</v>
      </c>
      <c r="G602" s="1152" t="s">
        <v>9</v>
      </c>
    </row>
    <row r="603" spans="1:7">
      <c r="A603" s="860"/>
      <c r="B603" s="275"/>
      <c r="C603" s="1898" t="s">
        <v>1947</v>
      </c>
      <c r="D603" s="51"/>
      <c r="E603" s="1147"/>
      <c r="F603" s="899"/>
    </row>
    <row r="604" spans="1:7">
      <c r="A604" s="858">
        <v>45806</v>
      </c>
      <c r="B604" s="822" t="str">
        <f>TiposLancamentos!B28</f>
        <v>ComicBook</v>
      </c>
      <c r="C604" s="1396" t="s">
        <v>2231</v>
      </c>
      <c r="D604" s="747"/>
      <c r="E604" s="1139">
        <v>37</v>
      </c>
      <c r="F604" s="1454"/>
      <c r="G604" s="1152" t="s">
        <v>9</v>
      </c>
    </row>
    <row r="605" spans="1:7">
      <c r="A605" s="862">
        <v>45806</v>
      </c>
      <c r="B605" s="823" t="str">
        <f>TiposLancamentos!B60</f>
        <v>Correio</v>
      </c>
      <c r="C605" s="1448" t="str">
        <f>"Frete: " &amp; C604</f>
        <v>Frete: Amazon.com.br: Spawn: Origens Vol. 08</v>
      </c>
      <c r="D605" s="849"/>
      <c r="E605" s="1141">
        <v>7.54</v>
      </c>
      <c r="F605" s="1456">
        <f>SUM(E604:E605)</f>
        <v>44.54</v>
      </c>
      <c r="G605" s="1152" t="s">
        <v>9</v>
      </c>
    </row>
    <row r="606" spans="1:7">
      <c r="A606" s="860"/>
      <c r="B606" s="275"/>
      <c r="C606" s="1898" t="s">
        <v>1947</v>
      </c>
      <c r="D606" s="51"/>
      <c r="E606" s="1147"/>
      <c r="F606" s="899"/>
    </row>
    <row r="607" spans="1:7">
      <c r="A607" s="858">
        <v>45806</v>
      </c>
      <c r="B607" s="822" t="str">
        <f>TiposLancamentos!B28</f>
        <v>ComicBook</v>
      </c>
      <c r="C607" s="1396" t="s">
        <v>2232</v>
      </c>
      <c r="D607" s="747"/>
      <c r="E607" s="1139">
        <v>36.369999999999997</v>
      </c>
      <c r="F607" s="1454"/>
      <c r="G607" s="1152" t="s">
        <v>9</v>
      </c>
    </row>
    <row r="608" spans="1:7">
      <c r="A608" s="862">
        <v>45806</v>
      </c>
      <c r="B608" s="823" t="str">
        <f>TiposLancamentos!B60</f>
        <v>Correio</v>
      </c>
      <c r="C608" s="1448" t="str">
        <f>"Frete: " &amp;C607</f>
        <v>Frete: Amazon.com.br: Spawn: Origens Vol. 09</v>
      </c>
      <c r="D608" s="849"/>
      <c r="E608" s="1141">
        <v>6.3</v>
      </c>
      <c r="F608" s="1456">
        <f>SUM(E607:E608)</f>
        <v>42.669999999999995</v>
      </c>
      <c r="G608" s="1152" t="s">
        <v>9</v>
      </c>
    </row>
    <row r="609" spans="1:7">
      <c r="A609" s="884"/>
      <c r="B609" s="240"/>
      <c r="C609" s="878" t="s">
        <v>1947</v>
      </c>
      <c r="D609" s="63"/>
      <c r="E609" s="231"/>
      <c r="F609" s="899"/>
    </row>
    <row r="610" spans="1:7">
      <c r="A610" s="884">
        <v>45806</v>
      </c>
      <c r="B610" s="240" t="str">
        <f>TiposLancamentos!B45</f>
        <v>Online Services</v>
      </c>
      <c r="C610" s="878" t="s">
        <v>2072</v>
      </c>
      <c r="D610" s="63"/>
      <c r="E610" s="231">
        <v>26.9</v>
      </c>
      <c r="F610" s="899"/>
      <c r="G610" s="1152" t="s">
        <v>9</v>
      </c>
    </row>
    <row r="611" spans="1:7">
      <c r="A611" s="884">
        <v>45806</v>
      </c>
      <c r="B611" s="240" t="str">
        <f>TiposLancamentos!B45</f>
        <v>Online Services</v>
      </c>
      <c r="C611" s="878" t="s">
        <v>2233</v>
      </c>
      <c r="D611" s="63"/>
      <c r="E611" s="231">
        <v>119.2</v>
      </c>
      <c r="F611" s="899" t="s">
        <v>2234</v>
      </c>
      <c r="G611" s="1152" t="s">
        <v>9</v>
      </c>
    </row>
    <row r="612" spans="1:7">
      <c r="A612" s="884">
        <v>45806</v>
      </c>
      <c r="B612" s="240" t="str">
        <f>TiposLancamentos!B4</f>
        <v>Taxas Bancarias</v>
      </c>
      <c r="C612" s="878" t="s">
        <v>2235</v>
      </c>
      <c r="D612" s="63"/>
      <c r="E612" s="231">
        <v>4.17</v>
      </c>
      <c r="F612" s="899"/>
      <c r="G612" s="1152" t="s">
        <v>9</v>
      </c>
    </row>
    <row r="613" spans="1:7">
      <c r="A613" s="858">
        <v>45807</v>
      </c>
      <c r="B613" s="822" t="str">
        <f>TiposLancamentos!B17</f>
        <v>GATO</v>
      </c>
      <c r="C613" s="1396" t="s">
        <v>2236</v>
      </c>
      <c r="D613" s="747"/>
      <c r="E613" s="1139">
        <v>172.99</v>
      </c>
      <c r="F613" s="1454"/>
      <c r="G613" s="1152" t="s">
        <v>9</v>
      </c>
    </row>
    <row r="614" spans="1:7">
      <c r="A614" s="862">
        <v>45807</v>
      </c>
      <c r="B614" s="823" t="str">
        <f>TiposLancamentos!B60</f>
        <v>Correio</v>
      </c>
      <c r="C614" s="1448" t="s">
        <v>2237</v>
      </c>
      <c r="D614" s="849"/>
      <c r="E614" s="1141">
        <f>F614-E613</f>
        <v>14.97999999999999</v>
      </c>
      <c r="F614" s="1456">
        <v>187.97</v>
      </c>
      <c r="G614" s="1152" t="s">
        <v>9</v>
      </c>
    </row>
    <row r="615" spans="1:7" ht="14.25" thickBot="1">
      <c r="A615" s="884">
        <v>45807</v>
      </c>
      <c r="B615" s="240" t="str">
        <f>TiposLancamentos!B17</f>
        <v>GATO</v>
      </c>
      <c r="C615" s="878" t="s">
        <v>2236</v>
      </c>
      <c r="D615" s="63"/>
      <c r="E615" s="231">
        <v>7.14</v>
      </c>
      <c r="F615" s="899"/>
      <c r="G615" s="1152" t="s">
        <v>9</v>
      </c>
    </row>
    <row r="616" spans="1:7">
      <c r="A616" s="1032"/>
      <c r="B616" s="1230"/>
      <c r="C616" s="1092" t="s">
        <v>1647</v>
      </c>
      <c r="D616" s="896"/>
      <c r="E616" s="925"/>
      <c r="F616" s="898">
        <f>SUM(E557:E578)</f>
        <v>1412.96</v>
      </c>
    </row>
    <row r="617" spans="1:7">
      <c r="A617" s="884">
        <v>45809</v>
      </c>
      <c r="B617" s="240" t="str">
        <f>TiposLancamentos!B19</f>
        <v>Restaurantes</v>
      </c>
      <c r="C617" s="1038" t="s">
        <v>2238</v>
      </c>
      <c r="D617" s="63"/>
      <c r="E617" s="231">
        <v>5.83</v>
      </c>
      <c r="F617" s="899">
        <f>F616-F570</f>
        <v>537.48000000000013</v>
      </c>
      <c r="G617" s="1152" t="s">
        <v>9</v>
      </c>
    </row>
    <row r="618" spans="1:7">
      <c r="A618" s="884">
        <v>45809</v>
      </c>
      <c r="B618" s="240" t="str">
        <f>TiposLancamentos!B19</f>
        <v>Restaurantes</v>
      </c>
      <c r="C618" s="1038" t="s">
        <v>2239</v>
      </c>
      <c r="D618" s="63"/>
      <c r="E618" s="231">
        <v>37</v>
      </c>
      <c r="F618" s="899"/>
      <c r="G618" s="1152" t="s">
        <v>9</v>
      </c>
    </row>
    <row r="619" spans="1:7">
      <c r="A619" s="884">
        <v>45810</v>
      </c>
      <c r="B619" s="240" t="str">
        <f>TiposLancamentos!B15</f>
        <v>Cartões de Crédito</v>
      </c>
      <c r="C619" s="878" t="s">
        <v>1874</v>
      </c>
      <c r="D619" s="63">
        <v>1412.96</v>
      </c>
      <c r="E619" s="231"/>
      <c r="F619" s="899"/>
      <c r="G619" s="1152" t="s">
        <v>9</v>
      </c>
    </row>
    <row r="620" spans="1:7">
      <c r="A620" s="884">
        <v>45818</v>
      </c>
      <c r="B620" s="240" t="str">
        <f>TiposLancamentos!B75</f>
        <v>Shows</v>
      </c>
      <c r="C620" s="878" t="s">
        <v>2240</v>
      </c>
      <c r="D620" s="63"/>
      <c r="E620" s="231">
        <v>207</v>
      </c>
      <c r="F620" s="899"/>
      <c r="G620" s="1152" t="s">
        <v>9</v>
      </c>
    </row>
    <row r="621" spans="1:7">
      <c r="A621" s="884">
        <v>45818</v>
      </c>
      <c r="B621" s="240" t="str">
        <f>TiposLancamentos!B65</f>
        <v>Taxi</v>
      </c>
      <c r="C621" s="878" t="s">
        <v>2241</v>
      </c>
      <c r="D621" s="63"/>
      <c r="E621" s="231">
        <v>43.94</v>
      </c>
      <c r="F621" s="899"/>
      <c r="G621" s="1152" t="s">
        <v>9</v>
      </c>
    </row>
    <row r="622" spans="1:7">
      <c r="A622" s="884">
        <v>45818</v>
      </c>
      <c r="B622" s="240" t="str">
        <f>TiposLancamentos!B65</f>
        <v>Taxi</v>
      </c>
      <c r="C622" s="878" t="s">
        <v>2242</v>
      </c>
      <c r="D622" s="63"/>
      <c r="E622" s="231">
        <v>44.11</v>
      </c>
      <c r="F622" s="899"/>
      <c r="G622" s="1152" t="s">
        <v>9</v>
      </c>
    </row>
    <row r="623" spans="1:7">
      <c r="A623" s="884">
        <v>45823</v>
      </c>
      <c r="B623" s="240" t="str">
        <f>TiposLancamentos!B81</f>
        <v>Ferramentas gerais</v>
      </c>
      <c r="C623" s="878" t="s">
        <v>2243</v>
      </c>
      <c r="D623" s="63"/>
      <c r="E623" s="231">
        <v>27.99</v>
      </c>
      <c r="F623" s="899"/>
      <c r="G623" s="1152" t="s">
        <v>9</v>
      </c>
    </row>
    <row r="624" spans="1:7">
      <c r="A624" s="934"/>
      <c r="B624" s="243"/>
      <c r="C624" s="389" t="s">
        <v>10</v>
      </c>
      <c r="D624" s="146"/>
      <c r="E624" s="1190"/>
      <c r="F624" s="935"/>
      <c r="G624" s="1094" t="s">
        <v>11</v>
      </c>
    </row>
    <row r="625" spans="1:7">
      <c r="A625" s="884">
        <v>45826</v>
      </c>
      <c r="B625" s="240" t="str">
        <f>TiposLancamentos!B81</f>
        <v>Ferramentas gerais</v>
      </c>
      <c r="C625" s="1203" t="s">
        <v>2244</v>
      </c>
      <c r="D625" s="51"/>
      <c r="E625" s="135">
        <v>4.63</v>
      </c>
      <c r="F625" s="899"/>
      <c r="G625" s="1152" t="s">
        <v>9</v>
      </c>
    </row>
    <row r="626" spans="1:7">
      <c r="A626" s="858">
        <v>45826</v>
      </c>
      <c r="B626" s="822" t="str">
        <f>TiposLancamentos!B56</f>
        <v>Farmácia</v>
      </c>
      <c r="C626" s="1396" t="s">
        <v>2245</v>
      </c>
      <c r="D626" s="747"/>
      <c r="E626" s="1139">
        <f>F627-E627</f>
        <v>96.85</v>
      </c>
      <c r="F626" s="1454"/>
      <c r="G626" s="1152" t="s">
        <v>9</v>
      </c>
    </row>
    <row r="627" spans="1:7">
      <c r="A627" s="862">
        <v>45826</v>
      </c>
      <c r="B627" s="823" t="str">
        <f>TiposLancamentos!B60</f>
        <v>Correio</v>
      </c>
      <c r="C627" s="1448" t="s">
        <v>2246</v>
      </c>
      <c r="D627" s="849"/>
      <c r="E627" s="1141">
        <v>7.9</v>
      </c>
      <c r="F627" s="1456">
        <v>104.75</v>
      </c>
      <c r="G627" s="1152" t="s">
        <v>9</v>
      </c>
    </row>
    <row r="628" spans="1:7">
      <c r="A628" s="884">
        <v>45826</v>
      </c>
      <c r="B628" s="240" t="str">
        <f>TiposLancamentos!B19</f>
        <v>Restaurantes</v>
      </c>
      <c r="C628" s="878" t="s">
        <v>2224</v>
      </c>
      <c r="D628" s="63"/>
      <c r="E628" s="231">
        <v>46.67</v>
      </c>
      <c r="F628" s="899"/>
      <c r="G628" s="1152" t="s">
        <v>9</v>
      </c>
    </row>
    <row r="629" spans="1:7">
      <c r="A629" s="884">
        <v>45826</v>
      </c>
      <c r="B629" s="240" t="str">
        <f>TiposLancamentos!B5</f>
        <v>Supermercado</v>
      </c>
      <c r="C629" s="878" t="s">
        <v>2247</v>
      </c>
      <c r="D629" s="63"/>
      <c r="E629" s="231">
        <v>12.49</v>
      </c>
      <c r="F629" s="899"/>
      <c r="G629" s="1152" t="s">
        <v>9</v>
      </c>
    </row>
    <row r="630" spans="1:7">
      <c r="A630" s="884">
        <v>45826</v>
      </c>
      <c r="B630" s="240" t="str">
        <f>TiposLancamentos!B17</f>
        <v>GATO</v>
      </c>
      <c r="C630" s="878" t="s">
        <v>1925</v>
      </c>
      <c r="D630" s="63"/>
      <c r="E630" s="231">
        <v>28.92</v>
      </c>
      <c r="F630" s="899"/>
      <c r="G630" s="1152" t="s">
        <v>9</v>
      </c>
    </row>
    <row r="631" spans="1:7">
      <c r="A631" s="884">
        <v>45827</v>
      </c>
      <c r="B631" s="240" t="str">
        <f>TiposLancamentos!B70</f>
        <v>Vestuário</v>
      </c>
      <c r="C631" s="878" t="s">
        <v>2248</v>
      </c>
      <c r="D631" s="63"/>
      <c r="E631" s="231">
        <v>224.99</v>
      </c>
      <c r="F631" s="899">
        <v>1349.98</v>
      </c>
      <c r="G631" s="1152" t="s">
        <v>9</v>
      </c>
    </row>
    <row r="632" spans="1:7">
      <c r="A632" s="884">
        <v>45827</v>
      </c>
      <c r="B632" s="240" t="str">
        <f>TiposLancamentos!B5</f>
        <v>Supermercado</v>
      </c>
      <c r="C632" s="878" t="s">
        <v>2249</v>
      </c>
      <c r="D632" s="63"/>
      <c r="E632" s="231">
        <v>204.4</v>
      </c>
      <c r="F632" s="899"/>
      <c r="G632" s="1152" t="s">
        <v>9</v>
      </c>
    </row>
    <row r="633" spans="1:7">
      <c r="A633" s="884">
        <v>45827</v>
      </c>
      <c r="B633" s="240" t="str">
        <f>TiposLancamentos!B7</f>
        <v>Apto. Proprio 01</v>
      </c>
      <c r="C633" s="878" t="s">
        <v>2250</v>
      </c>
      <c r="D633" s="63"/>
      <c r="E633" s="231">
        <v>206.98</v>
      </c>
      <c r="F633" s="899"/>
      <c r="G633" s="1152" t="s">
        <v>9</v>
      </c>
    </row>
    <row r="634" spans="1:7">
      <c r="A634" s="884">
        <v>45827</v>
      </c>
      <c r="B634" s="240" t="str">
        <f>TiposLancamentos!B19</f>
        <v>Restaurantes</v>
      </c>
      <c r="C634" s="878" t="s">
        <v>2251</v>
      </c>
      <c r="D634" s="63"/>
      <c r="E634" s="231">
        <v>21</v>
      </c>
      <c r="F634" s="899"/>
      <c r="G634" s="1152" t="s">
        <v>9</v>
      </c>
    </row>
    <row r="635" spans="1:7">
      <c r="A635" s="884">
        <v>45828</v>
      </c>
      <c r="B635" s="240" t="str">
        <f>TiposLancamentos!B5</f>
        <v>Supermercado</v>
      </c>
      <c r="C635" s="878" t="s">
        <v>2252</v>
      </c>
      <c r="D635" s="63"/>
      <c r="E635" s="231">
        <v>17.899999999999999</v>
      </c>
      <c r="F635" s="899"/>
      <c r="G635" s="1152" t="s">
        <v>9</v>
      </c>
    </row>
    <row r="636" spans="1:7">
      <c r="A636" s="884">
        <v>45828</v>
      </c>
      <c r="B636" s="240" t="str">
        <f>TiposLancamentos!B69</f>
        <v>Consertos</v>
      </c>
      <c r="C636" s="878" t="s">
        <v>2253</v>
      </c>
      <c r="D636" s="63"/>
      <c r="E636" s="231">
        <v>25.99</v>
      </c>
      <c r="F636" s="899"/>
      <c r="G636" s="1152" t="s">
        <v>9</v>
      </c>
    </row>
    <row r="637" spans="1:7">
      <c r="A637" s="884">
        <v>45829</v>
      </c>
      <c r="B637" s="240" t="str">
        <f>TiposLancamentos!B7</f>
        <v>Apto. Proprio 01</v>
      </c>
      <c r="C637" s="878" t="s">
        <v>2254</v>
      </c>
      <c r="D637" s="63"/>
      <c r="E637" s="231">
        <f>F637/2</f>
        <v>206.4</v>
      </c>
      <c r="F637" s="899">
        <v>412.8</v>
      </c>
      <c r="G637" s="1152" t="s">
        <v>9</v>
      </c>
    </row>
    <row r="638" spans="1:7">
      <c r="A638" s="884">
        <v>45829</v>
      </c>
      <c r="B638" s="240" t="str">
        <f>TiposLancamentos!B22</f>
        <v>Combustivel</v>
      </c>
      <c r="C638" s="878" t="s">
        <v>2255</v>
      </c>
      <c r="D638" s="63"/>
      <c r="E638" s="231">
        <v>100</v>
      </c>
      <c r="F638" s="899"/>
      <c r="G638" s="1152" t="s">
        <v>9</v>
      </c>
    </row>
    <row r="639" spans="1:7">
      <c r="A639" s="858">
        <v>45829</v>
      </c>
      <c r="B639" s="822" t="str">
        <f>TiposLancamentos!B56</f>
        <v>Farmácia</v>
      </c>
      <c r="C639" s="1396" t="s">
        <v>2256</v>
      </c>
      <c r="D639" s="747"/>
      <c r="E639" s="1139">
        <v>124.72</v>
      </c>
      <c r="F639" s="1454"/>
      <c r="G639" s="1152" t="s">
        <v>9</v>
      </c>
    </row>
    <row r="640" spans="1:7">
      <c r="A640" s="860">
        <v>45829</v>
      </c>
      <c r="B640" s="275" t="str">
        <f>TiposLancamentos!B56</f>
        <v>Farmácia</v>
      </c>
      <c r="C640" s="1443" t="s">
        <v>2257</v>
      </c>
      <c r="D640" s="51"/>
      <c r="E640" s="1147">
        <f>14.89+14.99</f>
        <v>29.880000000000003</v>
      </c>
      <c r="F640" s="899"/>
      <c r="G640" s="1152" t="s">
        <v>9</v>
      </c>
    </row>
    <row r="641" spans="1:7">
      <c r="A641" s="862">
        <v>45829</v>
      </c>
      <c r="B641" s="823" t="str">
        <f>TiposLancamentos!B60</f>
        <v>Correio</v>
      </c>
      <c r="C641" s="1448" t="s">
        <v>2258</v>
      </c>
      <c r="D641" s="849"/>
      <c r="E641" s="1141">
        <f>F641-(E639+E640)</f>
        <v>7.9000000000000057</v>
      </c>
      <c r="F641" s="1456">
        <v>162.5</v>
      </c>
      <c r="G641" s="1152" t="s">
        <v>9</v>
      </c>
    </row>
    <row r="642" spans="1:7">
      <c r="A642" s="884"/>
      <c r="B642" s="240"/>
      <c r="C642" s="878" t="s">
        <v>1947</v>
      </c>
      <c r="D642" s="63"/>
      <c r="E642" s="231"/>
      <c r="F642" s="899"/>
    </row>
    <row r="643" spans="1:7">
      <c r="A643" s="858">
        <v>45829</v>
      </c>
      <c r="B643" s="822" t="str">
        <f>TiposLancamentos!B71</f>
        <v>Itens Pessoais</v>
      </c>
      <c r="C643" s="1396" t="s">
        <v>2259</v>
      </c>
      <c r="D643" s="747"/>
      <c r="E643" s="1139">
        <v>129.69999999999999</v>
      </c>
      <c r="F643" s="1454"/>
      <c r="G643" s="1152" t="s">
        <v>9</v>
      </c>
    </row>
    <row r="644" spans="1:7">
      <c r="A644" s="862">
        <v>45829</v>
      </c>
      <c r="B644" s="823" t="str">
        <f>TiposLancamentos!B60</f>
        <v>Correio</v>
      </c>
      <c r="C644" s="1448" t="s">
        <v>2260</v>
      </c>
      <c r="D644" s="849"/>
      <c r="E644" s="1141">
        <v>26.67</v>
      </c>
      <c r="F644" s="1456">
        <f>SUM(E643:E644)</f>
        <v>156.37</v>
      </c>
      <c r="G644" s="1152" t="s">
        <v>9</v>
      </c>
    </row>
    <row r="645" spans="1:7" ht="14.25" thickBot="1">
      <c r="A645" s="884">
        <v>45830</v>
      </c>
      <c r="B645" s="240" t="str">
        <f>TiposLancamentos!B19</f>
        <v>Restaurantes</v>
      </c>
      <c r="C645" s="878" t="s">
        <v>2261</v>
      </c>
      <c r="D645" s="63"/>
      <c r="E645" s="231">
        <v>153.69999999999999</v>
      </c>
      <c r="F645" s="899"/>
      <c r="G645" s="1152" t="s">
        <v>9</v>
      </c>
    </row>
    <row r="646" spans="1:7">
      <c r="A646" s="1032"/>
      <c r="B646" s="1230"/>
      <c r="C646" s="1092" t="s">
        <v>2262</v>
      </c>
      <c r="D646" s="896"/>
      <c r="E646" s="925"/>
      <c r="F646" s="898">
        <f>SUM(E578:E624)</f>
        <v>2481.0100000000002</v>
      </c>
    </row>
    <row r="647" spans="1:7">
      <c r="A647" s="884">
        <v>45809</v>
      </c>
      <c r="B647" s="240" t="str">
        <f>TiposLancamentos!B15</f>
        <v>Cartões de Crédito</v>
      </c>
      <c r="C647" s="878" t="s">
        <v>1874</v>
      </c>
      <c r="D647" s="63">
        <v>2481.0100000000002</v>
      </c>
      <c r="E647" s="231"/>
      <c r="F647" s="899">
        <f>F646-F616</f>
        <v>1068.0500000000002</v>
      </c>
      <c r="G647" s="1152" t="s">
        <v>9</v>
      </c>
    </row>
    <row r="648" spans="1:7">
      <c r="A648" s="934"/>
      <c r="B648" s="243"/>
      <c r="C648" s="389" t="s">
        <v>10</v>
      </c>
      <c r="D648" s="146"/>
      <c r="E648" s="1190"/>
      <c r="F648" s="935"/>
      <c r="G648" s="1094" t="s">
        <v>11</v>
      </c>
    </row>
    <row r="649" spans="1:7">
      <c r="A649" s="884">
        <v>45857</v>
      </c>
      <c r="B649" s="240" t="str">
        <f>TiposLancamentos!B70</f>
        <v>Vestuário</v>
      </c>
      <c r="C649" s="878" t="s">
        <v>2263</v>
      </c>
      <c r="D649" s="63"/>
      <c r="E649" s="231">
        <v>224.99</v>
      </c>
      <c r="F649" s="899">
        <v>1349.98</v>
      </c>
      <c r="G649" s="1094" t="s">
        <v>11</v>
      </c>
    </row>
    <row r="650" spans="1:7" ht="14.25" thickBot="1">
      <c r="A650" s="884">
        <v>45859</v>
      </c>
      <c r="B650" s="240" t="str">
        <f>TiposLancamentos!B7</f>
        <v>Apto. Proprio 01</v>
      </c>
      <c r="C650" s="878" t="s">
        <v>2264</v>
      </c>
      <c r="D650" s="63"/>
      <c r="E650" s="231">
        <v>206.4</v>
      </c>
      <c r="F650" s="899">
        <v>412.8</v>
      </c>
      <c r="G650" s="1094" t="s">
        <v>11</v>
      </c>
    </row>
    <row r="651" spans="1:7">
      <c r="A651" s="1032"/>
      <c r="B651" s="1230"/>
      <c r="C651" s="1092" t="s">
        <v>1649</v>
      </c>
      <c r="D651" s="896"/>
      <c r="E651" s="925"/>
      <c r="F651" s="898">
        <f>SUM(E624:E648)</f>
        <v>1677.6900000000005</v>
      </c>
    </row>
    <row r="652" spans="1:7">
      <c r="A652" s="884">
        <v>45870</v>
      </c>
      <c r="B652" s="240" t="str">
        <f>TiposLancamentos!B15</f>
        <v>Cartões de Crédito</v>
      </c>
      <c r="C652" s="878" t="s">
        <v>1874</v>
      </c>
      <c r="D652" s="63">
        <v>1677.69</v>
      </c>
      <c r="E652" s="231"/>
      <c r="F652" s="899">
        <f>F651-F646</f>
        <v>-803.31999999999971</v>
      </c>
      <c r="G652" s="1152" t="s">
        <v>9</v>
      </c>
    </row>
    <row r="653" spans="1:7">
      <c r="A653" s="934"/>
      <c r="B653" s="243"/>
      <c r="C653" s="389" t="s">
        <v>10</v>
      </c>
      <c r="D653" s="146"/>
      <c r="E653" s="1190"/>
      <c r="F653" s="935"/>
      <c r="G653" s="1094" t="s">
        <v>11</v>
      </c>
    </row>
    <row r="654" spans="1:7">
      <c r="A654" s="884">
        <v>45888</v>
      </c>
      <c r="B654" s="240" t="str">
        <f>TiposLancamentos!B70</f>
        <v>Vestuário</v>
      </c>
      <c r="C654" s="878" t="s">
        <v>2265</v>
      </c>
      <c r="D654" s="63"/>
      <c r="E654" s="231">
        <v>224.99</v>
      </c>
      <c r="F654" s="899">
        <v>1349.98</v>
      </c>
      <c r="G654" s="1152" t="s">
        <v>9</v>
      </c>
    </row>
    <row r="655" spans="1:7">
      <c r="A655" s="858">
        <v>45896</v>
      </c>
      <c r="B655" s="822" t="str">
        <f>TiposLancamentos!B28</f>
        <v>ComicBook</v>
      </c>
      <c r="C655" s="1396" t="s">
        <v>2266</v>
      </c>
      <c r="D655" s="747"/>
      <c r="E655" s="1139">
        <v>0</v>
      </c>
      <c r="F655" s="1454"/>
    </row>
    <row r="656" spans="1:7">
      <c r="A656" s="862">
        <v>45896</v>
      </c>
      <c r="B656" s="823" t="str">
        <f>TiposLancamentos!B28</f>
        <v>ComicBook</v>
      </c>
      <c r="C656" s="1448" t="s">
        <v>2267</v>
      </c>
      <c r="D656" s="849"/>
      <c r="E656" s="1141">
        <v>17.54</v>
      </c>
      <c r="F656" s="1456"/>
      <c r="G656" s="1152" t="s">
        <v>9</v>
      </c>
    </row>
    <row r="657" spans="1:7">
      <c r="A657" s="884">
        <v>45900</v>
      </c>
      <c r="B657" s="240" t="str">
        <f>TiposLancamentos!B39</f>
        <v>Playstation 5</v>
      </c>
      <c r="C657" s="878" t="s">
        <v>2268</v>
      </c>
      <c r="D657" s="63"/>
      <c r="E657" s="231">
        <v>81.11</v>
      </c>
      <c r="F657" s="899">
        <v>810.33</v>
      </c>
      <c r="G657" s="1152" t="s">
        <v>9</v>
      </c>
    </row>
    <row r="658" spans="1:7" ht="14.25" thickBot="1">
      <c r="A658" s="884">
        <v>45900</v>
      </c>
      <c r="B658" s="240" t="str">
        <f>TiposLancamentos!B39</f>
        <v>Playstation 5</v>
      </c>
      <c r="C658" s="878" t="s">
        <v>2269</v>
      </c>
      <c r="D658" s="63"/>
      <c r="E658" s="231">
        <v>79.900000000000006</v>
      </c>
      <c r="F658" s="899"/>
      <c r="G658" s="1152" t="s">
        <v>9</v>
      </c>
    </row>
    <row r="659" spans="1:7">
      <c r="A659" s="1032"/>
      <c r="B659" s="1230"/>
      <c r="C659" s="1092" t="s">
        <v>1650</v>
      </c>
      <c r="D659" s="896"/>
      <c r="E659" s="925"/>
      <c r="F659" s="898">
        <f>SUM(E648:E653)</f>
        <v>431.39</v>
      </c>
    </row>
    <row r="660" spans="1:7">
      <c r="A660" s="884">
        <v>45901</v>
      </c>
      <c r="B660" s="240" t="str">
        <f>TiposLancamentos!B15</f>
        <v>Cartões de Crédito</v>
      </c>
      <c r="C660" s="878" t="s">
        <v>1874</v>
      </c>
      <c r="D660" s="63">
        <v>431.39</v>
      </c>
      <c r="E660" s="231"/>
      <c r="F660" s="899">
        <f>F659-F651</f>
        <v>-1246.3000000000006</v>
      </c>
      <c r="G660" s="1152" t="s">
        <v>9</v>
      </c>
    </row>
    <row r="661" spans="1:7">
      <c r="A661" s="884">
        <v>45901</v>
      </c>
      <c r="B661" s="240" t="str">
        <f>TiposLancamentos!B19</f>
        <v>Restaurantes</v>
      </c>
      <c r="C661" s="878" t="s">
        <v>2270</v>
      </c>
      <c r="D661" s="63"/>
      <c r="E661" s="231">
        <v>25.9</v>
      </c>
      <c r="F661" s="899"/>
      <c r="G661" s="1152" t="s">
        <v>9</v>
      </c>
    </row>
    <row r="662" spans="1:7">
      <c r="A662" s="884">
        <v>45901</v>
      </c>
      <c r="B662" s="240" t="str">
        <f>TiposLancamentos!B17</f>
        <v>GATO</v>
      </c>
      <c r="C662" s="878" t="s">
        <v>2271</v>
      </c>
      <c r="D662" s="63"/>
      <c r="E662" s="231">
        <v>124.23</v>
      </c>
      <c r="F662" s="899"/>
      <c r="G662" s="1152" t="s">
        <v>9</v>
      </c>
    </row>
    <row r="663" spans="1:7">
      <c r="A663" s="884">
        <v>45901</v>
      </c>
      <c r="B663" s="240" t="str">
        <f>TiposLancamentos!B5</f>
        <v>Supermercado</v>
      </c>
      <c r="C663" s="878" t="s">
        <v>2272</v>
      </c>
      <c r="D663" s="63"/>
      <c r="E663" s="231">
        <v>11.8</v>
      </c>
      <c r="F663" s="899"/>
      <c r="G663" s="1152" t="s">
        <v>9</v>
      </c>
    </row>
    <row r="664" spans="1:7">
      <c r="A664" s="884">
        <v>45901</v>
      </c>
      <c r="B664" s="240" t="str">
        <f>TiposLancamentos!B24</f>
        <v>Estacionamentos</v>
      </c>
      <c r="C664" s="878" t="s">
        <v>1898</v>
      </c>
      <c r="D664" s="63"/>
      <c r="E664" s="231">
        <v>23</v>
      </c>
      <c r="F664" s="899"/>
      <c r="G664" s="1152" t="s">
        <v>9</v>
      </c>
    </row>
    <row r="665" spans="1:7">
      <c r="A665" s="884">
        <v>45901</v>
      </c>
      <c r="B665" s="240" t="str">
        <f>TiposLancamentos!B19</f>
        <v>Restaurantes</v>
      </c>
      <c r="C665" s="878" t="s">
        <v>1967</v>
      </c>
      <c r="D665" s="63"/>
      <c r="E665" s="231">
        <v>37.4</v>
      </c>
      <c r="F665" s="899"/>
      <c r="G665" s="1152" t="s">
        <v>9</v>
      </c>
    </row>
    <row r="666" spans="1:7">
      <c r="A666" s="884">
        <v>45902</v>
      </c>
      <c r="B666" s="240" t="str">
        <f>TiposLancamentos!B24</f>
        <v>Estacionamentos</v>
      </c>
      <c r="C666" s="878" t="s">
        <v>1898</v>
      </c>
      <c r="D666" s="63"/>
      <c r="E666" s="231">
        <v>23</v>
      </c>
      <c r="F666" s="899"/>
      <c r="G666" s="1152" t="s">
        <v>9</v>
      </c>
    </row>
    <row r="667" spans="1:7">
      <c r="A667" s="884">
        <v>45902</v>
      </c>
      <c r="B667" s="240" t="str">
        <f>TiposLancamentos!B19</f>
        <v>Restaurantes</v>
      </c>
      <c r="C667" s="878" t="s">
        <v>1967</v>
      </c>
      <c r="D667" s="63"/>
      <c r="E667" s="231">
        <v>59.4</v>
      </c>
      <c r="F667" s="899"/>
      <c r="G667" s="1152" t="s">
        <v>9</v>
      </c>
    </row>
    <row r="668" spans="1:7">
      <c r="A668" s="884">
        <v>45904</v>
      </c>
      <c r="B668" s="240" t="str">
        <f>TiposLancamentos!B5</f>
        <v>Supermercado</v>
      </c>
      <c r="C668" s="878" t="s">
        <v>2273</v>
      </c>
      <c r="D668" s="63"/>
      <c r="E668" s="231">
        <v>10.99</v>
      </c>
      <c r="F668" s="899"/>
      <c r="G668" s="1152" t="s">
        <v>9</v>
      </c>
    </row>
    <row r="669" spans="1:7">
      <c r="A669" s="884">
        <v>45904</v>
      </c>
      <c r="B669" s="240" t="str">
        <f>TiposLancamentos!B5</f>
        <v>Supermercado</v>
      </c>
      <c r="C669" s="878" t="s">
        <v>2274</v>
      </c>
      <c r="D669" s="63"/>
      <c r="E669" s="231">
        <v>37.799999999999997</v>
      </c>
      <c r="F669" s="899"/>
      <c r="G669" s="1152" t="s">
        <v>9</v>
      </c>
    </row>
    <row r="670" spans="1:7">
      <c r="A670" s="884">
        <v>45905</v>
      </c>
      <c r="B670" s="240" t="str">
        <f>TiposLancamentos!B19</f>
        <v>Restaurantes</v>
      </c>
      <c r="C670" s="878" t="s">
        <v>2275</v>
      </c>
      <c r="D670" s="63"/>
      <c r="E670" s="231">
        <v>108</v>
      </c>
      <c r="F670" s="899"/>
      <c r="G670" s="1152" t="s">
        <v>9</v>
      </c>
    </row>
    <row r="671" spans="1:7">
      <c r="A671" s="884">
        <v>45905</v>
      </c>
      <c r="B671" s="240" t="str">
        <f>TiposLancamentos!B5</f>
        <v>Supermercado</v>
      </c>
      <c r="C671" s="878" t="s">
        <v>2276</v>
      </c>
      <c r="D671" s="63"/>
      <c r="E671" s="231">
        <v>39.03</v>
      </c>
      <c r="F671" s="899"/>
      <c r="G671" s="1152" t="s">
        <v>9</v>
      </c>
    </row>
    <row r="672" spans="1:7">
      <c r="A672" s="884">
        <v>45906</v>
      </c>
      <c r="B672" s="240" t="str">
        <f>TiposLancamentos!B19</f>
        <v>Restaurantes</v>
      </c>
      <c r="C672" s="878" t="s">
        <v>2277</v>
      </c>
      <c r="D672" s="63"/>
      <c r="E672" s="231">
        <v>267.3</v>
      </c>
      <c r="F672" s="899"/>
      <c r="G672" s="1152" t="s">
        <v>9</v>
      </c>
    </row>
    <row r="673" spans="1:7">
      <c r="A673" s="884">
        <v>45907</v>
      </c>
      <c r="B673" s="240" t="str">
        <f>TiposLancamentos!B5</f>
        <v>Supermercado</v>
      </c>
      <c r="C673" s="878" t="s">
        <v>2278</v>
      </c>
      <c r="D673" s="63"/>
      <c r="E673" s="231">
        <v>35.19</v>
      </c>
      <c r="F673" s="899"/>
      <c r="G673" s="1152" t="s">
        <v>9</v>
      </c>
    </row>
    <row r="674" spans="1:7">
      <c r="A674" s="884">
        <v>45908</v>
      </c>
      <c r="B674" s="240" t="str">
        <f>TiposLancamentos!B19</f>
        <v>Restaurantes</v>
      </c>
      <c r="C674" s="878" t="s">
        <v>2224</v>
      </c>
      <c r="D674" s="63"/>
      <c r="E674" s="231">
        <v>37.69</v>
      </c>
      <c r="F674" s="899"/>
      <c r="G674" s="1152" t="s">
        <v>9</v>
      </c>
    </row>
    <row r="675" spans="1:7">
      <c r="A675" s="884">
        <v>45908</v>
      </c>
      <c r="B675" s="240" t="str">
        <f>TiposLancamentos!B56</f>
        <v>Farmácia</v>
      </c>
      <c r="C675" s="878" t="s">
        <v>2279</v>
      </c>
      <c r="D675" s="63"/>
      <c r="E675" s="231">
        <v>43.78</v>
      </c>
      <c r="F675" s="899"/>
      <c r="G675" s="1152" t="s">
        <v>9</v>
      </c>
    </row>
    <row r="676" spans="1:7">
      <c r="A676" s="884">
        <v>45908</v>
      </c>
      <c r="B676" s="240" t="str">
        <f>TiposLancamentos!B17</f>
        <v>GATO</v>
      </c>
      <c r="C676" s="878" t="s">
        <v>2280</v>
      </c>
      <c r="D676" s="63"/>
      <c r="E676" s="231">
        <v>28.1</v>
      </c>
      <c r="F676" s="899"/>
      <c r="G676" s="1152" t="s">
        <v>9</v>
      </c>
    </row>
    <row r="677" spans="1:7">
      <c r="A677" s="884">
        <v>45908</v>
      </c>
      <c r="B677" s="240" t="str">
        <f>TiposLancamentos!B5</f>
        <v>Supermercado</v>
      </c>
      <c r="C677" s="878" t="s">
        <v>2281</v>
      </c>
      <c r="D677" s="63"/>
      <c r="E677" s="231">
        <v>335.15</v>
      </c>
      <c r="F677" s="899"/>
      <c r="G677" s="1152" t="s">
        <v>9</v>
      </c>
    </row>
    <row r="678" spans="1:7">
      <c r="A678" s="884">
        <v>45909</v>
      </c>
      <c r="B678" s="240" t="str">
        <f>TiposLancamentos!B65</f>
        <v>Taxi</v>
      </c>
      <c r="C678" s="878" t="s">
        <v>2282</v>
      </c>
      <c r="D678" s="63"/>
      <c r="E678" s="231">
        <v>38.81</v>
      </c>
      <c r="F678" s="899"/>
      <c r="G678" s="1152" t="s">
        <v>9</v>
      </c>
    </row>
    <row r="679" spans="1:7">
      <c r="A679" s="884">
        <v>45909</v>
      </c>
      <c r="B679" s="240" t="str">
        <f>TiposLancamentos!B19</f>
        <v>Restaurantes</v>
      </c>
      <c r="C679" s="878" t="s">
        <v>1967</v>
      </c>
      <c r="D679" s="63"/>
      <c r="E679" s="231">
        <v>37.4</v>
      </c>
      <c r="F679" s="899"/>
      <c r="G679" s="1152" t="s">
        <v>9</v>
      </c>
    </row>
    <row r="680" spans="1:7">
      <c r="A680" s="884">
        <v>45909</v>
      </c>
      <c r="B680" s="240" t="str">
        <f>TiposLancamentos!B65</f>
        <v>Taxi</v>
      </c>
      <c r="C680" s="878" t="s">
        <v>2283</v>
      </c>
      <c r="D680" s="63"/>
      <c r="E680" s="231">
        <v>43.11</v>
      </c>
      <c r="F680" s="899"/>
      <c r="G680" s="1152" t="s">
        <v>9</v>
      </c>
    </row>
    <row r="681" spans="1:7">
      <c r="A681" s="884">
        <v>45910</v>
      </c>
      <c r="B681" s="240" t="str">
        <f>TiposLancamentos!B19</f>
        <v>Restaurantes</v>
      </c>
      <c r="C681" s="878" t="s">
        <v>2224</v>
      </c>
      <c r="D681" s="63"/>
      <c r="E681" s="231">
        <v>41.93</v>
      </c>
      <c r="F681" s="899"/>
      <c r="G681" s="1152" t="s">
        <v>9</v>
      </c>
    </row>
    <row r="682" spans="1:7">
      <c r="A682" s="884">
        <v>45911</v>
      </c>
      <c r="B682" s="240" t="str">
        <f>TiposLancamentos!B19</f>
        <v>Restaurantes</v>
      </c>
      <c r="C682" s="878" t="s">
        <v>2284</v>
      </c>
      <c r="D682" s="63"/>
      <c r="E682" s="231">
        <v>89</v>
      </c>
      <c r="F682" s="899"/>
      <c r="G682" s="1152" t="s">
        <v>9</v>
      </c>
    </row>
    <row r="683" spans="1:7">
      <c r="A683" s="884">
        <v>45911</v>
      </c>
      <c r="B683" s="240" t="str">
        <f>TiposLancamentos!B19</f>
        <v>Restaurantes</v>
      </c>
      <c r="C683" s="878" t="s">
        <v>2285</v>
      </c>
      <c r="D683" s="63"/>
      <c r="E683" s="231">
        <v>19.899999999999999</v>
      </c>
      <c r="F683" s="899"/>
      <c r="G683" s="1152" t="s">
        <v>9</v>
      </c>
    </row>
    <row r="684" spans="1:7">
      <c r="A684" s="884">
        <v>45911</v>
      </c>
      <c r="B684" s="240" t="str">
        <f>TiposLancamentos!B5</f>
        <v>Supermercado</v>
      </c>
      <c r="C684" s="878" t="s">
        <v>2286</v>
      </c>
      <c r="D684" s="63"/>
      <c r="E684" s="231">
        <v>35</v>
      </c>
      <c r="F684" s="899"/>
      <c r="G684" s="1152" t="s">
        <v>9</v>
      </c>
    </row>
    <row r="685" spans="1:7">
      <c r="A685" s="884">
        <v>45911</v>
      </c>
      <c r="B685" s="240" t="str">
        <f>TiposLancamentos!B24</f>
        <v>Estacionamentos</v>
      </c>
      <c r="C685" s="878" t="s">
        <v>2287</v>
      </c>
      <c r="D685" s="63"/>
      <c r="E685" s="231">
        <v>21</v>
      </c>
      <c r="F685" s="899"/>
      <c r="G685" s="1152" t="s">
        <v>9</v>
      </c>
    </row>
    <row r="686" spans="1:7">
      <c r="A686" s="884">
        <v>45913</v>
      </c>
      <c r="B686" s="240" t="str">
        <f>TiposLancamentos!B56</f>
        <v>Farmácia</v>
      </c>
      <c r="C686" s="878" t="s">
        <v>2288</v>
      </c>
      <c r="D686" s="63"/>
      <c r="E686" s="231">
        <v>180.18</v>
      </c>
      <c r="F686" s="899"/>
      <c r="G686" s="1152" t="s">
        <v>9</v>
      </c>
    </row>
    <row r="687" spans="1:7">
      <c r="A687" s="884">
        <v>45913</v>
      </c>
      <c r="B687" s="240" t="str">
        <f>TiposLancamentos!B19</f>
        <v>Restaurantes</v>
      </c>
      <c r="C687" s="878" t="s">
        <v>2289</v>
      </c>
      <c r="D687" s="63"/>
      <c r="E687" s="231">
        <v>35</v>
      </c>
      <c r="F687" s="899"/>
      <c r="G687" s="1152" t="s">
        <v>9</v>
      </c>
    </row>
    <row r="688" spans="1:7">
      <c r="A688" s="884">
        <v>45913</v>
      </c>
      <c r="B688" s="240" t="str">
        <f>TiposLancamentos!B38</f>
        <v>Playstation 4</v>
      </c>
      <c r="C688" s="878" t="s">
        <v>2290</v>
      </c>
      <c r="D688" s="63"/>
      <c r="E688" s="231">
        <v>160</v>
      </c>
      <c r="F688" s="899"/>
      <c r="G688" s="1152" t="s">
        <v>9</v>
      </c>
    </row>
    <row r="689" spans="1:7">
      <c r="A689" s="884">
        <v>45913</v>
      </c>
      <c r="B689" s="240" t="str">
        <f>TiposLancamentos!B19</f>
        <v>Restaurantes</v>
      </c>
      <c r="C689" s="878" t="s">
        <v>2291</v>
      </c>
      <c r="D689" s="63"/>
      <c r="E689" s="231">
        <v>30</v>
      </c>
      <c r="F689" s="899"/>
      <c r="G689" s="1152" t="s">
        <v>9</v>
      </c>
    </row>
    <row r="690" spans="1:7">
      <c r="A690" s="884">
        <v>45913</v>
      </c>
      <c r="B690" s="240" t="str">
        <f>TiposLancamentos!B56</f>
        <v>Farmácia</v>
      </c>
      <c r="C690" s="878" t="s">
        <v>2292</v>
      </c>
      <c r="D690" s="63"/>
      <c r="E690" s="231">
        <v>13.37</v>
      </c>
      <c r="F690" s="899"/>
      <c r="G690" s="1152" t="s">
        <v>9</v>
      </c>
    </row>
    <row r="691" spans="1:7">
      <c r="A691" s="884">
        <v>45914</v>
      </c>
      <c r="B691" s="240" t="str">
        <f>TiposLancamentos!B17</f>
        <v>GATO</v>
      </c>
      <c r="C691" s="878" t="s">
        <v>2293</v>
      </c>
      <c r="D691" s="63"/>
      <c r="E691" s="231">
        <v>136.4</v>
      </c>
      <c r="F691" s="899">
        <v>409.16</v>
      </c>
      <c r="G691" s="1152" t="s">
        <v>9</v>
      </c>
    </row>
    <row r="692" spans="1:7">
      <c r="A692" s="934"/>
      <c r="B692" s="243"/>
      <c r="C692" s="389" t="s">
        <v>10</v>
      </c>
      <c r="D692" s="146"/>
      <c r="E692" s="1190"/>
      <c r="F692" s="935"/>
      <c r="G692" s="1094" t="s">
        <v>11</v>
      </c>
    </row>
    <row r="693" spans="1:7">
      <c r="A693" s="884">
        <v>45917</v>
      </c>
      <c r="B693" s="240" t="str">
        <f>TiposLancamentos!B36</f>
        <v>Playstation 2</v>
      </c>
      <c r="C693" s="878" t="s">
        <v>2294</v>
      </c>
      <c r="D693" s="63"/>
      <c r="E693" s="231">
        <v>173.34</v>
      </c>
      <c r="F693" s="899">
        <v>520</v>
      </c>
      <c r="G693" s="1152" t="s">
        <v>9</v>
      </c>
    </row>
    <row r="694" spans="1:7">
      <c r="A694" s="884">
        <v>45918</v>
      </c>
      <c r="B694" s="240" t="str">
        <f>TiposLancamentos!B22</f>
        <v>Combustivel</v>
      </c>
      <c r="C694" s="878" t="s">
        <v>2295</v>
      </c>
      <c r="D694" s="63"/>
      <c r="E694" s="231">
        <v>150</v>
      </c>
      <c r="F694" s="899"/>
      <c r="G694" s="1152" t="s">
        <v>9</v>
      </c>
    </row>
    <row r="695" spans="1:7">
      <c r="A695" s="884">
        <v>45918</v>
      </c>
      <c r="B695" s="240" t="str">
        <f>TiposLancamentos!B24</f>
        <v>Estacionamentos</v>
      </c>
      <c r="C695" s="878" t="s">
        <v>1898</v>
      </c>
      <c r="D695" s="63"/>
      <c r="E695" s="231">
        <v>23</v>
      </c>
      <c r="F695" s="899"/>
      <c r="G695" s="1152" t="s">
        <v>9</v>
      </c>
    </row>
    <row r="696" spans="1:7">
      <c r="A696" s="884">
        <v>45918</v>
      </c>
      <c r="B696" s="240" t="str">
        <f>TiposLancamentos!B19</f>
        <v>Restaurantes</v>
      </c>
      <c r="C696" s="878" t="s">
        <v>1967</v>
      </c>
      <c r="D696" s="63"/>
      <c r="E696" s="231">
        <v>35.700000000000003</v>
      </c>
      <c r="F696" s="899"/>
      <c r="G696" s="1152" t="s">
        <v>9</v>
      </c>
    </row>
    <row r="697" spans="1:7">
      <c r="A697" s="858">
        <v>45918</v>
      </c>
      <c r="B697" s="822" t="str">
        <f>TiposLancamentos!B16</f>
        <v>Cristiane</v>
      </c>
      <c r="C697" s="1396" t="s">
        <v>2296</v>
      </c>
      <c r="D697" s="747"/>
      <c r="E697" s="1139">
        <v>20</v>
      </c>
      <c r="F697" s="1454"/>
      <c r="G697" s="1152" t="s">
        <v>9</v>
      </c>
    </row>
    <row r="698" spans="1:7">
      <c r="A698" s="862">
        <v>45918</v>
      </c>
      <c r="B698" s="823" t="str">
        <f>TiposLancamentos!B71</f>
        <v>Itens Pessoais</v>
      </c>
      <c r="C698" s="1448" t="s">
        <v>2297</v>
      </c>
      <c r="D698" s="849"/>
      <c r="E698" s="1141">
        <v>40</v>
      </c>
      <c r="F698" s="1456">
        <f>SUM(E697:E698)</f>
        <v>60</v>
      </c>
      <c r="G698" s="1152" t="s">
        <v>9</v>
      </c>
    </row>
    <row r="699" spans="1:7">
      <c r="A699" s="884">
        <v>45919</v>
      </c>
      <c r="B699" s="240" t="str">
        <f>TiposLancamentos!B70</f>
        <v>Vestuário</v>
      </c>
      <c r="C699" s="878" t="s">
        <v>2298</v>
      </c>
      <c r="D699" s="63"/>
      <c r="E699" s="231">
        <v>224.99</v>
      </c>
      <c r="F699" s="899">
        <v>1349.98</v>
      </c>
      <c r="G699" s="1152" t="s">
        <v>9</v>
      </c>
    </row>
    <row r="700" spans="1:7" ht="14.25" thickBot="1">
      <c r="A700" s="884">
        <v>45930</v>
      </c>
      <c r="B700" s="240" t="str">
        <f>TiposLancamentos!B39</f>
        <v>Playstation 5</v>
      </c>
      <c r="C700" s="878" t="s">
        <v>2299</v>
      </c>
      <c r="D700" s="63"/>
      <c r="E700" s="231">
        <v>81.08</v>
      </c>
      <c r="F700" s="899">
        <v>810.33</v>
      </c>
      <c r="G700" s="1152" t="s">
        <v>9</v>
      </c>
    </row>
    <row r="701" spans="1:7">
      <c r="A701" s="1032"/>
      <c r="B701" s="1230"/>
      <c r="C701" s="1092" t="s">
        <v>1651</v>
      </c>
      <c r="D701" s="896"/>
      <c r="E701" s="925"/>
      <c r="F701" s="898">
        <f>SUM(E653:E691)</f>
        <v>2532.3999999999996</v>
      </c>
    </row>
    <row r="702" spans="1:7">
      <c r="A702" s="884">
        <v>45931</v>
      </c>
      <c r="B702" s="240" t="str">
        <f>TiposLancamentos!B15</f>
        <v>Cartões de Crédito</v>
      </c>
      <c r="C702" s="878" t="s">
        <v>1874</v>
      </c>
      <c r="D702" s="63">
        <v>2532.4</v>
      </c>
      <c r="E702" s="231"/>
      <c r="F702" s="899">
        <f>F701-F659</f>
        <v>2101.0099999999998</v>
      </c>
      <c r="G702" s="1152" t="s">
        <v>9</v>
      </c>
    </row>
    <row r="703" spans="1:7">
      <c r="A703" s="858">
        <v>45939</v>
      </c>
      <c r="B703" s="822" t="str">
        <f>TiposLancamentos!B28</f>
        <v>ComicBook</v>
      </c>
      <c r="C703" s="1396" t="s">
        <v>2300</v>
      </c>
      <c r="D703" s="747"/>
      <c r="E703" s="1139">
        <v>31.43</v>
      </c>
      <c r="F703" s="1454"/>
      <c r="G703" s="1152" t="s">
        <v>9</v>
      </c>
    </row>
    <row r="704" spans="1:7">
      <c r="A704" s="860">
        <v>45939</v>
      </c>
      <c r="B704" s="275" t="str">
        <f>TiposLancamentos!B28</f>
        <v>ComicBook</v>
      </c>
      <c r="C704" s="1443" t="s">
        <v>2301</v>
      </c>
      <c r="D704" s="51"/>
      <c r="E704" s="1147">
        <v>34.93</v>
      </c>
      <c r="F704" s="899"/>
      <c r="G704" s="1152" t="s">
        <v>9</v>
      </c>
    </row>
    <row r="705" spans="1:7">
      <c r="A705" s="860">
        <v>45939</v>
      </c>
      <c r="B705" s="275" t="str">
        <f>TiposLancamentos!B28</f>
        <v>ComicBook</v>
      </c>
      <c r="C705" s="1443" t="s">
        <v>2302</v>
      </c>
      <c r="D705" s="51"/>
      <c r="E705" s="1147">
        <v>34.93</v>
      </c>
      <c r="F705" s="899"/>
      <c r="G705" s="1152" t="s">
        <v>9</v>
      </c>
    </row>
    <row r="706" spans="1:7">
      <c r="A706" s="862">
        <v>45939</v>
      </c>
      <c r="B706" s="823" t="str">
        <f>TiposLancamentos!B60</f>
        <v>Correio</v>
      </c>
      <c r="C706" s="1448" t="s">
        <v>2303</v>
      </c>
      <c r="D706" s="849"/>
      <c r="E706" s="1141">
        <v>9.09</v>
      </c>
      <c r="F706" s="1456">
        <f>SUM(E703:E706)</f>
        <v>110.38</v>
      </c>
      <c r="G706" s="1152" t="s">
        <v>9</v>
      </c>
    </row>
    <row r="707" spans="1:7">
      <c r="A707" s="884">
        <v>45944</v>
      </c>
      <c r="B707" s="240" t="str">
        <f>TiposLancamentos!B17</f>
        <v>GATO</v>
      </c>
      <c r="C707" s="878" t="s">
        <v>2304</v>
      </c>
      <c r="D707" s="63"/>
      <c r="E707" s="231">
        <v>136.38</v>
      </c>
      <c r="F707" s="899">
        <v>409.16</v>
      </c>
      <c r="G707" s="1152" t="s">
        <v>9</v>
      </c>
    </row>
    <row r="708" spans="1:7">
      <c r="A708" s="934"/>
      <c r="B708" s="243"/>
      <c r="C708" s="389" t="s">
        <v>10</v>
      </c>
      <c r="D708" s="146"/>
      <c r="E708" s="1190"/>
      <c r="F708" s="935"/>
      <c r="G708" s="1094" t="s">
        <v>11</v>
      </c>
    </row>
    <row r="709" spans="1:7">
      <c r="A709" s="884">
        <v>45947</v>
      </c>
      <c r="B709" s="240" t="str">
        <f>TiposLancamentos!B36</f>
        <v>Playstation 2</v>
      </c>
      <c r="C709" s="878" t="s">
        <v>2305</v>
      </c>
      <c r="D709" s="63"/>
      <c r="E709" s="231">
        <f>F709/3</f>
        <v>173.33333333333334</v>
      </c>
      <c r="F709" s="899">
        <v>520</v>
      </c>
      <c r="G709" s="1094" t="s">
        <v>11</v>
      </c>
    </row>
    <row r="710" spans="1:7">
      <c r="A710" s="884">
        <v>45948</v>
      </c>
      <c r="B710" s="240" t="str">
        <f>TiposLancamentos!B22</f>
        <v>Combustivel</v>
      </c>
      <c r="C710" s="878" t="s">
        <v>2179</v>
      </c>
      <c r="D710" s="63"/>
      <c r="E710" s="231">
        <v>150</v>
      </c>
      <c r="F710" s="899"/>
      <c r="G710" s="1152" t="s">
        <v>9</v>
      </c>
    </row>
    <row r="711" spans="1:7">
      <c r="A711" s="858">
        <v>45948</v>
      </c>
      <c r="B711" s="822" t="str">
        <f>TiposLancamentos!B28</f>
        <v>ComicBook</v>
      </c>
      <c r="C711" s="1396" t="s">
        <v>2306</v>
      </c>
      <c r="D711" s="747"/>
      <c r="E711" s="1139">
        <f>43.04-12.24</f>
        <v>30.799999999999997</v>
      </c>
      <c r="F711" s="1454"/>
      <c r="G711" s="1152" t="s">
        <v>9</v>
      </c>
    </row>
    <row r="712" spans="1:7">
      <c r="A712" s="860">
        <v>45948</v>
      </c>
      <c r="B712" s="275" t="str">
        <f>TiposLancamentos!B28</f>
        <v>ComicBook</v>
      </c>
      <c r="C712" s="1443" t="s">
        <v>2307</v>
      </c>
      <c r="D712" s="51"/>
      <c r="E712" s="1147">
        <f>33.7-12.24</f>
        <v>21.46</v>
      </c>
      <c r="F712" s="899"/>
      <c r="G712" s="1152" t="s">
        <v>9</v>
      </c>
    </row>
    <row r="713" spans="1:7">
      <c r="A713" s="860">
        <v>45948</v>
      </c>
      <c r="B713" s="275" t="str">
        <f>TiposLancamentos!B28</f>
        <v>ComicBook</v>
      </c>
      <c r="C713" s="1443" t="s">
        <v>2308</v>
      </c>
      <c r="D713" s="51"/>
      <c r="E713" s="1147">
        <f>37.42-12.24</f>
        <v>25.18</v>
      </c>
      <c r="F713" s="899"/>
      <c r="G713" s="1152" t="s">
        <v>9</v>
      </c>
    </row>
    <row r="714" spans="1:7">
      <c r="A714" s="862">
        <v>45948</v>
      </c>
      <c r="B714" s="823" t="str">
        <f>TiposLancamentos!B28</f>
        <v>ComicBook</v>
      </c>
      <c r="C714" s="1448" t="s">
        <v>2309</v>
      </c>
      <c r="D714" s="849"/>
      <c r="E714" s="1141">
        <f>46.7-12.24</f>
        <v>34.46</v>
      </c>
      <c r="F714" s="1456">
        <f>SUM(E711:E714)</f>
        <v>111.9</v>
      </c>
      <c r="G714" s="1152" t="s">
        <v>9</v>
      </c>
    </row>
    <row r="715" spans="1:7">
      <c r="A715" s="884">
        <v>45949</v>
      </c>
      <c r="B715" s="240" t="str">
        <f>TiposLancamentos!B22</f>
        <v>Combustivel</v>
      </c>
      <c r="C715" s="878" t="s">
        <v>2179</v>
      </c>
      <c r="D715" s="63"/>
      <c r="E715" s="231">
        <v>150</v>
      </c>
      <c r="F715" s="899"/>
      <c r="G715" s="1152" t="s">
        <v>9</v>
      </c>
    </row>
    <row r="716" spans="1:7">
      <c r="A716" s="884">
        <v>45949</v>
      </c>
      <c r="B716" s="240" t="str">
        <f>TiposLancamentos!B19</f>
        <v>Restaurantes</v>
      </c>
      <c r="C716" s="878" t="s">
        <v>2310</v>
      </c>
      <c r="D716" s="63"/>
      <c r="E716" s="231">
        <v>35.5</v>
      </c>
      <c r="F716" s="899"/>
      <c r="G716" s="1152" t="s">
        <v>9</v>
      </c>
    </row>
    <row r="717" spans="1:7">
      <c r="A717" s="884">
        <v>45951</v>
      </c>
      <c r="B717" s="240" t="str">
        <f>TiposLancamentos!B71</f>
        <v>Itens Pessoais</v>
      </c>
      <c r="C717" s="878" t="s">
        <v>2311</v>
      </c>
      <c r="D717" s="63"/>
      <c r="E717" s="231">
        <v>104.9</v>
      </c>
      <c r="F717" s="899"/>
      <c r="G717" s="1152" t="s">
        <v>9</v>
      </c>
    </row>
    <row r="718" spans="1:7">
      <c r="A718" s="884">
        <v>45950</v>
      </c>
      <c r="B718" s="240" t="str">
        <f>TiposLancamentos!B19</f>
        <v>Restaurantes</v>
      </c>
      <c r="C718" s="878" t="s">
        <v>2224</v>
      </c>
      <c r="D718" s="63"/>
      <c r="E718" s="231">
        <v>37.44</v>
      </c>
      <c r="F718" s="899"/>
      <c r="G718" s="1152" t="s">
        <v>9</v>
      </c>
    </row>
    <row r="719" spans="1:7">
      <c r="A719" s="884">
        <v>45959</v>
      </c>
      <c r="B719" s="240" t="str">
        <f>TiposLancamentos!B28</f>
        <v>ComicBook</v>
      </c>
      <c r="C719" s="878" t="s">
        <v>2312</v>
      </c>
      <c r="D719" s="63"/>
      <c r="E719" s="231">
        <v>42.56</v>
      </c>
      <c r="F719" s="899"/>
      <c r="G719" s="1152" t="s">
        <v>9</v>
      </c>
    </row>
    <row r="720" spans="1:7" ht="14.25" thickBot="1">
      <c r="A720" s="884">
        <v>45961</v>
      </c>
      <c r="B720" s="240" t="str">
        <f>TiposLancamentos!B39</f>
        <v>Playstation 5</v>
      </c>
      <c r="C720" s="878" t="s">
        <v>2313</v>
      </c>
      <c r="D720" s="63"/>
      <c r="E720" s="231">
        <v>81.08</v>
      </c>
      <c r="F720" s="899">
        <v>810.33</v>
      </c>
      <c r="G720" s="1152" t="s">
        <v>9</v>
      </c>
    </row>
    <row r="721" spans="1:7">
      <c r="A721" s="1032"/>
      <c r="B721" s="1230"/>
      <c r="C721" s="1092" t="s">
        <v>1652</v>
      </c>
      <c r="D721" s="896"/>
      <c r="E721" s="925"/>
      <c r="F721" s="898">
        <f>SUM(E692:E708)</f>
        <v>994.86999999999989</v>
      </c>
    </row>
    <row r="722" spans="1:7">
      <c r="A722" s="884">
        <v>45964</v>
      </c>
      <c r="B722" s="240" t="str">
        <f>TiposLancamentos!B15</f>
        <v>Cartões de Crédito</v>
      </c>
      <c r="C722" s="878" t="s">
        <v>1874</v>
      </c>
      <c r="D722" s="63">
        <v>994.87</v>
      </c>
      <c r="E722" s="231"/>
      <c r="F722" s="899">
        <f>F721-F701</f>
        <v>-1537.5299999999997</v>
      </c>
      <c r="G722" s="1152" t="s">
        <v>9</v>
      </c>
    </row>
    <row r="723" spans="1:7">
      <c r="A723" s="858">
        <v>45971</v>
      </c>
      <c r="B723" s="822" t="str">
        <f>TiposLancamentos!B28</f>
        <v>ComicBook</v>
      </c>
      <c r="C723" s="1396" t="s">
        <v>2314</v>
      </c>
      <c r="D723" s="747"/>
      <c r="E723" s="1139">
        <f>29.94-8.42</f>
        <v>21.520000000000003</v>
      </c>
      <c r="F723" s="1454"/>
      <c r="G723" s="1152" t="s">
        <v>9</v>
      </c>
    </row>
    <row r="724" spans="1:7">
      <c r="A724" s="862">
        <v>45971</v>
      </c>
      <c r="B724" s="823" t="str">
        <f>TiposLancamentos!B28</f>
        <v>ComicBook</v>
      </c>
      <c r="C724" s="1448" t="s">
        <v>2315</v>
      </c>
      <c r="D724" s="849"/>
      <c r="E724" s="1141">
        <f>F724-E723</f>
        <v>27.779999999999994</v>
      </c>
      <c r="F724" s="1456">
        <v>49.3</v>
      </c>
      <c r="G724" s="1152" t="s">
        <v>9</v>
      </c>
    </row>
    <row r="725" spans="1:7">
      <c r="A725" s="884">
        <v>45975</v>
      </c>
      <c r="B725" s="240" t="str">
        <f>TiposLancamentos!B56</f>
        <v>Farmácia</v>
      </c>
      <c r="C725" s="878" t="s">
        <v>2316</v>
      </c>
      <c r="D725" s="63"/>
      <c r="E725" s="231">
        <v>69.209999999999994</v>
      </c>
      <c r="F725" s="899"/>
      <c r="G725" s="1152" t="s">
        <v>9</v>
      </c>
    </row>
    <row r="726" spans="1:7">
      <c r="A726" s="884">
        <v>45975</v>
      </c>
      <c r="B726" s="240" t="str">
        <f>TiposLancamentos!B17</f>
        <v>GATO</v>
      </c>
      <c r="C726" s="878" t="s">
        <v>2317</v>
      </c>
      <c r="D726" s="63"/>
      <c r="E726" s="231">
        <v>136.38</v>
      </c>
      <c r="F726" s="899">
        <v>409.16</v>
      </c>
      <c r="G726" s="1094" t="s">
        <v>11</v>
      </c>
    </row>
    <row r="727" spans="1:7">
      <c r="A727" s="884">
        <v>45977</v>
      </c>
      <c r="B727" s="240" t="str">
        <f>TiposLancamentos!B13</f>
        <v>Moradia</v>
      </c>
      <c r="C727" s="878" t="s">
        <v>2318</v>
      </c>
      <c r="D727" s="63"/>
      <c r="E727" s="231">
        <v>12.74</v>
      </c>
      <c r="F727" s="899"/>
      <c r="G727" s="1152" t="s">
        <v>9</v>
      </c>
    </row>
    <row r="728" spans="1:7">
      <c r="A728" s="884">
        <v>45977</v>
      </c>
      <c r="B728" s="240" t="str">
        <f>TiposLancamentos!B13</f>
        <v>Moradia</v>
      </c>
      <c r="C728" s="878" t="s">
        <v>2319</v>
      </c>
      <c r="D728" s="63"/>
      <c r="E728" s="231">
        <v>46.9</v>
      </c>
      <c r="F728" s="899"/>
      <c r="G728" s="1152" t="s">
        <v>9</v>
      </c>
    </row>
    <row r="729" spans="1:7">
      <c r="A729" s="934"/>
      <c r="B729" s="243"/>
      <c r="C729" s="389" t="s">
        <v>10</v>
      </c>
      <c r="D729" s="146"/>
      <c r="E729" s="1190"/>
      <c r="F729" s="935"/>
      <c r="G729" s="1094" t="s">
        <v>11</v>
      </c>
    </row>
    <row r="730" spans="1:7">
      <c r="A730" s="884">
        <v>45978</v>
      </c>
      <c r="B730" s="240" t="str">
        <f>TiposLancamentos!B36</f>
        <v>Playstation 2</v>
      </c>
      <c r="C730" s="878" t="s">
        <v>2320</v>
      </c>
      <c r="D730" s="63"/>
      <c r="E730" s="231">
        <f>F730/3</f>
        <v>173.33333333333334</v>
      </c>
      <c r="F730" s="899">
        <v>520</v>
      </c>
      <c r="G730" s="1152" t="s">
        <v>9</v>
      </c>
    </row>
    <row r="731" spans="1:7">
      <c r="A731" s="884">
        <v>45979</v>
      </c>
      <c r="B731" s="240" t="str">
        <f>TiposLancamentos!B24</f>
        <v>Estacionamentos</v>
      </c>
      <c r="C731" s="878" t="s">
        <v>1898</v>
      </c>
      <c r="D731" s="63"/>
      <c r="E731" s="231">
        <v>23</v>
      </c>
      <c r="F731" s="899"/>
      <c r="G731" s="1152" t="s">
        <v>9</v>
      </c>
    </row>
    <row r="732" spans="1:7">
      <c r="A732" s="884">
        <v>45980</v>
      </c>
      <c r="B732" s="240" t="str">
        <f>TiposLancamentos!B69</f>
        <v>Consertos</v>
      </c>
      <c r="C732" s="878" t="s">
        <v>2321</v>
      </c>
      <c r="D732" s="63"/>
      <c r="E732" s="231">
        <v>117</v>
      </c>
      <c r="F732" s="899"/>
      <c r="G732" s="1152" t="s">
        <v>9</v>
      </c>
    </row>
    <row r="733" spans="1:7">
      <c r="A733" s="884">
        <v>45980</v>
      </c>
      <c r="B733" s="240" t="str">
        <f>TiposLancamentos!B19</f>
        <v>Restaurantes</v>
      </c>
      <c r="C733" s="878" t="s">
        <v>2224</v>
      </c>
      <c r="D733" s="63"/>
      <c r="E733" s="231">
        <v>36.94</v>
      </c>
      <c r="F733" s="899"/>
      <c r="G733" s="1152" t="s">
        <v>9</v>
      </c>
    </row>
    <row r="734" spans="1:7">
      <c r="A734" s="884">
        <v>45980</v>
      </c>
      <c r="B734" s="240" t="str">
        <f>TiposLancamentos!B5</f>
        <v>Supermercado</v>
      </c>
      <c r="C734" s="878" t="s">
        <v>2322</v>
      </c>
      <c r="D734" s="63"/>
      <c r="E734" s="231">
        <v>50.09</v>
      </c>
      <c r="F734" s="899"/>
      <c r="G734" s="1152" t="s">
        <v>9</v>
      </c>
    </row>
    <row r="735" spans="1:7">
      <c r="A735" s="884">
        <v>45981</v>
      </c>
      <c r="B735" s="240" t="str">
        <f>TiposLancamentos!B19</f>
        <v>Restaurantes</v>
      </c>
      <c r="C735" s="878" t="s">
        <v>2323</v>
      </c>
      <c r="D735" s="63"/>
      <c r="E735" s="231">
        <v>109</v>
      </c>
      <c r="F735" s="899"/>
      <c r="G735" s="1152" t="s">
        <v>9</v>
      </c>
    </row>
    <row r="736" spans="1:7">
      <c r="A736" s="884">
        <v>45981</v>
      </c>
      <c r="B736" s="240" t="str">
        <f>TiposLancamentos!B19</f>
        <v>Restaurantes</v>
      </c>
      <c r="C736" s="878" t="s">
        <v>2324</v>
      </c>
      <c r="D736" s="63"/>
      <c r="E736" s="231">
        <v>73.81</v>
      </c>
      <c r="F736" s="899"/>
      <c r="G736" s="1152" t="s">
        <v>9</v>
      </c>
    </row>
    <row r="737" spans="1:7">
      <c r="A737" s="884">
        <v>45981</v>
      </c>
      <c r="B737" s="240" t="str">
        <f>TiposLancamentos!B16</f>
        <v>Cristiane</v>
      </c>
      <c r="C737" s="878" t="s">
        <v>2325</v>
      </c>
      <c r="D737" s="63"/>
      <c r="E737" s="231"/>
      <c r="F737" s="899"/>
      <c r="G737" s="1152" t="s">
        <v>9</v>
      </c>
    </row>
    <row r="738" spans="1:7">
      <c r="A738" s="884">
        <v>45983</v>
      </c>
      <c r="B738" s="240" t="str">
        <f>TiposLancamentos!B19</f>
        <v>Restaurantes</v>
      </c>
      <c r="C738" s="878" t="s">
        <v>2326</v>
      </c>
      <c r="D738" s="63"/>
      <c r="E738" s="231">
        <v>272.25</v>
      </c>
      <c r="F738" s="899"/>
      <c r="G738" s="1152" t="s">
        <v>9</v>
      </c>
    </row>
    <row r="739" spans="1:7">
      <c r="A739" s="884">
        <v>45983</v>
      </c>
      <c r="B739" s="240" t="str">
        <f>TiposLancamentos!B17</f>
        <v>GATO</v>
      </c>
      <c r="C739" s="878" t="s">
        <v>2327</v>
      </c>
      <c r="D739" s="63"/>
      <c r="E739" s="231">
        <v>115</v>
      </c>
      <c r="F739" s="899"/>
      <c r="G739" s="1152" t="s">
        <v>9</v>
      </c>
    </row>
    <row r="740" spans="1:7">
      <c r="A740" s="884">
        <v>45984</v>
      </c>
      <c r="B740" s="240" t="str">
        <f>TiposLancamentos!B5</f>
        <v>Supermercado</v>
      </c>
      <c r="C740" s="878" t="s">
        <v>2328</v>
      </c>
      <c r="D740" s="63"/>
      <c r="E740" s="231">
        <v>257.83999999999997</v>
      </c>
      <c r="F740" s="899"/>
      <c r="G740" s="1152" t="s">
        <v>9</v>
      </c>
    </row>
    <row r="741" spans="1:7">
      <c r="A741" s="884">
        <v>45984</v>
      </c>
      <c r="B741" s="240" t="str">
        <f>TiposLancamentos!B5</f>
        <v>Supermercado</v>
      </c>
      <c r="C741" s="878" t="s">
        <v>2329</v>
      </c>
      <c r="D741" s="63"/>
      <c r="E741" s="231">
        <v>6.2</v>
      </c>
      <c r="F741" s="899"/>
      <c r="G741" s="1152" t="s">
        <v>9</v>
      </c>
    </row>
    <row r="742" spans="1:7" ht="14.25" thickBot="1">
      <c r="A742" s="884">
        <v>45991</v>
      </c>
      <c r="B742" s="240" t="str">
        <f>TiposLancamentos!B39</f>
        <v>Playstation 5</v>
      </c>
      <c r="C742" s="878" t="s">
        <v>2330</v>
      </c>
      <c r="D742" s="63"/>
      <c r="E742" s="231">
        <v>81.08</v>
      </c>
      <c r="F742" s="899">
        <v>810.33</v>
      </c>
      <c r="G742" s="1152" t="s">
        <v>9</v>
      </c>
    </row>
    <row r="743" spans="1:7">
      <c r="A743" s="1032"/>
      <c r="B743" s="1230"/>
      <c r="C743" s="1092" t="s">
        <v>1653</v>
      </c>
      <c r="D743" s="896"/>
      <c r="E743" s="925"/>
      <c r="F743" s="898">
        <f>SUM(E708:E729)</f>
        <v>1201.2433333333333</v>
      </c>
    </row>
    <row r="744" spans="1:7">
      <c r="A744" s="884">
        <v>45992</v>
      </c>
      <c r="B744" s="240" t="str">
        <f>TiposLancamentos!B15</f>
        <v>Cartões de Crédito</v>
      </c>
      <c r="C744" s="878" t="s">
        <v>1874</v>
      </c>
      <c r="D744" s="63">
        <v>1201.24</v>
      </c>
      <c r="E744" s="231"/>
      <c r="F744" s="899">
        <f>F743-F721</f>
        <v>206.37333333333345</v>
      </c>
      <c r="G744" s="1152" t="s">
        <v>9</v>
      </c>
    </row>
    <row r="745" spans="1:7">
      <c r="A745" s="884">
        <v>46000</v>
      </c>
      <c r="B745" s="240" t="str">
        <f>TiposLancamentos!B26</f>
        <v>LIVROS</v>
      </c>
      <c r="C745" s="878" t="s">
        <v>2331</v>
      </c>
      <c r="D745" s="63"/>
      <c r="E745" s="231">
        <v>45.11</v>
      </c>
      <c r="F745" s="899"/>
      <c r="G745" s="1152" t="s">
        <v>9</v>
      </c>
    </row>
    <row r="746" spans="1:7">
      <c r="A746" s="884">
        <v>46001</v>
      </c>
      <c r="B746" s="240" t="str">
        <f>TiposLancamentos!B45</f>
        <v>Online Services</v>
      </c>
      <c r="C746" s="878" t="s">
        <v>1919</v>
      </c>
      <c r="D746" s="63"/>
      <c r="E746" s="231">
        <v>166.8</v>
      </c>
      <c r="F746" s="899"/>
      <c r="G746" s="1152" t="s">
        <v>9</v>
      </c>
    </row>
    <row r="747" spans="1:7">
      <c r="A747" s="884">
        <v>46001</v>
      </c>
      <c r="B747" s="240" t="str">
        <f>TiposLancamentos!B26</f>
        <v>LIVROS</v>
      </c>
      <c r="C747" s="878" t="s">
        <v>2332</v>
      </c>
      <c r="D747" s="63"/>
      <c r="E747" s="231">
        <v>36.869999999999997</v>
      </c>
      <c r="F747" s="899"/>
      <c r="G747" s="1152" t="s">
        <v>9</v>
      </c>
    </row>
    <row r="748" spans="1:7">
      <c r="A748" s="934"/>
      <c r="B748" s="243"/>
      <c r="C748" s="389" t="s">
        <v>10</v>
      </c>
      <c r="D748" s="146"/>
      <c r="E748" s="1190"/>
      <c r="F748" s="935"/>
      <c r="G748" s="1094" t="s">
        <v>11</v>
      </c>
    </row>
    <row r="749" spans="1:7">
      <c r="A749" s="884">
        <v>46008</v>
      </c>
      <c r="B749" s="240" t="str">
        <f>TiposLancamentos!B56</f>
        <v>Farmácia</v>
      </c>
      <c r="C749" s="878" t="s">
        <v>2333</v>
      </c>
      <c r="D749" s="63"/>
      <c r="E749" s="231">
        <v>76.900000000000006</v>
      </c>
      <c r="F749" s="899"/>
      <c r="G749" s="1152" t="s">
        <v>9</v>
      </c>
    </row>
    <row r="750" spans="1:7">
      <c r="A750" s="884">
        <v>46009</v>
      </c>
      <c r="B750" s="240" t="str">
        <f>TiposLancamentos!B19</f>
        <v>Restaurantes</v>
      </c>
      <c r="C750" s="878" t="s">
        <v>2270</v>
      </c>
      <c r="D750" s="63"/>
      <c r="E750" s="231">
        <v>28.5</v>
      </c>
      <c r="F750" s="899"/>
      <c r="G750" s="1152" t="s">
        <v>9</v>
      </c>
    </row>
    <row r="751" spans="1:7">
      <c r="A751" s="884">
        <v>46010</v>
      </c>
      <c r="B751" s="240" t="str">
        <f>TiposLancamentos!B19</f>
        <v>Restaurantes</v>
      </c>
      <c r="C751" s="878" t="s">
        <v>2224</v>
      </c>
      <c r="D751" s="63"/>
      <c r="E751" s="231">
        <v>59.63</v>
      </c>
      <c r="F751" s="899"/>
      <c r="G751" s="1152" t="s">
        <v>9</v>
      </c>
    </row>
    <row r="752" spans="1:7">
      <c r="A752" s="884">
        <v>46010</v>
      </c>
      <c r="B752" s="240" t="str">
        <f>TiposLancamentos!B19</f>
        <v>Restaurantes</v>
      </c>
      <c r="C752" s="878" t="s">
        <v>2334</v>
      </c>
      <c r="D752" s="63"/>
      <c r="E752" s="231">
        <v>82.97</v>
      </c>
      <c r="F752" s="899"/>
      <c r="G752" s="1152" t="s">
        <v>9</v>
      </c>
    </row>
    <row r="753" spans="1:7">
      <c r="A753" s="884">
        <v>46011</v>
      </c>
      <c r="B753" s="240" t="str">
        <f>TiposLancamentos!B19</f>
        <v>Restaurantes</v>
      </c>
      <c r="C753" s="878" t="s">
        <v>2335</v>
      </c>
      <c r="D753" s="63"/>
      <c r="E753" s="231">
        <v>191</v>
      </c>
      <c r="F753" s="899"/>
      <c r="G753" s="1152" t="s">
        <v>9</v>
      </c>
    </row>
    <row r="754" spans="1:7">
      <c r="A754" s="884">
        <v>46011</v>
      </c>
      <c r="B754" s="240" t="str">
        <f>TiposLancamentos!B28</f>
        <v>ComicBook</v>
      </c>
      <c r="C754" s="878" t="s">
        <v>2336</v>
      </c>
      <c r="D754" s="63"/>
      <c r="E754" s="231">
        <v>59.9</v>
      </c>
      <c r="F754" s="899"/>
      <c r="G754" s="1152" t="s">
        <v>9</v>
      </c>
    </row>
    <row r="755" spans="1:7">
      <c r="A755" s="884">
        <v>46011</v>
      </c>
      <c r="B755" s="240" t="str">
        <f>TiposLancamentos!B70</f>
        <v>Vestuário</v>
      </c>
      <c r="C755" s="878" t="s">
        <v>2337</v>
      </c>
      <c r="D755" s="63"/>
      <c r="E755" s="231">
        <v>149.9</v>
      </c>
      <c r="F755" s="899"/>
      <c r="G755" s="1152" t="s">
        <v>9</v>
      </c>
    </row>
    <row r="756" spans="1:7">
      <c r="A756" s="884">
        <v>46011</v>
      </c>
      <c r="B756" s="240" t="str">
        <f>TiposLancamentos!B24</f>
        <v>Estacionamentos</v>
      </c>
      <c r="C756" s="878" t="s">
        <v>2338</v>
      </c>
      <c r="D756" s="63"/>
      <c r="E756" s="231">
        <v>27</v>
      </c>
      <c r="F756" s="899"/>
      <c r="G756" s="1152" t="s">
        <v>9</v>
      </c>
    </row>
    <row r="757" spans="1:7">
      <c r="A757" s="858">
        <v>46011</v>
      </c>
      <c r="B757" s="822" t="str">
        <f>TiposLancamentos!B13</f>
        <v>Moradia</v>
      </c>
      <c r="C757" s="1396" t="s">
        <v>2339</v>
      </c>
      <c r="D757" s="747"/>
      <c r="E757" s="1139">
        <v>19.88</v>
      </c>
      <c r="F757" s="1454"/>
      <c r="G757" s="1152" t="s">
        <v>9</v>
      </c>
    </row>
    <row r="758" spans="1:7">
      <c r="A758" s="860">
        <v>46011</v>
      </c>
      <c r="B758" s="275" t="str">
        <f>TiposLancamentos!B18</f>
        <v>Alimentacao</v>
      </c>
      <c r="C758" s="1443" t="s">
        <v>2340</v>
      </c>
      <c r="D758" s="51"/>
      <c r="E758" s="1147">
        <v>7.98</v>
      </c>
      <c r="F758" s="899"/>
      <c r="G758" s="1152" t="s">
        <v>9</v>
      </c>
    </row>
    <row r="759" spans="1:7">
      <c r="A759" s="862">
        <v>46011</v>
      </c>
      <c r="B759" s="823" t="str">
        <f>TiposLancamentos!B70</f>
        <v>Vestuário</v>
      </c>
      <c r="C759" s="1448" t="s">
        <v>2341</v>
      </c>
      <c r="D759" s="849"/>
      <c r="E759" s="1141">
        <f>6*14.99</f>
        <v>89.94</v>
      </c>
      <c r="F759" s="1456">
        <f>SUM(E757:E759)</f>
        <v>117.8</v>
      </c>
      <c r="G759" s="1152" t="s">
        <v>9</v>
      </c>
    </row>
    <row r="760" spans="1:7">
      <c r="A760" s="884">
        <v>46011</v>
      </c>
      <c r="B760" s="240" t="str">
        <f>TiposLancamentos!B17</f>
        <v>GATO</v>
      </c>
      <c r="C760" s="878" t="s">
        <v>2342</v>
      </c>
      <c r="D760" s="63"/>
      <c r="E760" s="231">
        <v>123.94</v>
      </c>
      <c r="F760" s="899"/>
      <c r="G760" s="1152" t="s">
        <v>9</v>
      </c>
    </row>
    <row r="761" spans="1:7">
      <c r="A761" s="884">
        <v>46011</v>
      </c>
      <c r="B761" s="240" t="str">
        <f>TiposLancamentos!B22</f>
        <v>Combustivel</v>
      </c>
      <c r="C761" s="878" t="s">
        <v>2179</v>
      </c>
      <c r="D761" s="63"/>
      <c r="E761" s="231">
        <v>200</v>
      </c>
      <c r="F761" s="899"/>
      <c r="G761" s="1152" t="s">
        <v>9</v>
      </c>
    </row>
    <row r="762" spans="1:7">
      <c r="A762" s="884">
        <v>46011</v>
      </c>
      <c r="B762" s="240" t="str">
        <f>TiposLancamentos!B72</f>
        <v>Presentes</v>
      </c>
      <c r="C762" s="878" t="s">
        <v>2343</v>
      </c>
      <c r="D762" s="63"/>
      <c r="E762" s="231">
        <v>77.7</v>
      </c>
      <c r="F762" s="899"/>
      <c r="G762" s="1152" t="s">
        <v>9</v>
      </c>
    </row>
    <row r="763" spans="1:7">
      <c r="A763" s="884">
        <v>46011</v>
      </c>
      <c r="B763" s="240" t="str">
        <f>TiposLancamentos!B5</f>
        <v>Supermercado</v>
      </c>
      <c r="C763" s="878" t="s">
        <v>1879</v>
      </c>
      <c r="D763" s="63"/>
      <c r="E763" s="231">
        <v>45.65</v>
      </c>
      <c r="F763" s="899"/>
      <c r="G763" s="1152" t="s">
        <v>9</v>
      </c>
    </row>
    <row r="764" spans="1:7">
      <c r="A764" s="884">
        <v>46013</v>
      </c>
      <c r="B764" s="240" t="str">
        <f>TiposLancamentos!B57</f>
        <v>Informática</v>
      </c>
      <c r="C764" s="878" t="s">
        <v>2344</v>
      </c>
      <c r="D764" s="63"/>
      <c r="E764" s="231">
        <v>10</v>
      </c>
      <c r="F764" s="899"/>
      <c r="G764" s="1152" t="s">
        <v>9</v>
      </c>
    </row>
    <row r="765" spans="1:7">
      <c r="A765" s="884">
        <v>46013</v>
      </c>
      <c r="B765" s="240" t="str">
        <f>TiposLancamentos!B57</f>
        <v>Informática</v>
      </c>
      <c r="C765" s="878" t="s">
        <v>2345</v>
      </c>
      <c r="D765" s="63"/>
      <c r="E765" s="231">
        <v>24</v>
      </c>
      <c r="F765" s="899"/>
      <c r="G765" s="1152" t="s">
        <v>9</v>
      </c>
    </row>
    <row r="766" spans="1:7">
      <c r="A766" s="884">
        <v>46013</v>
      </c>
      <c r="B766" s="240" t="str">
        <f>TiposLancamentos!B19</f>
        <v>Restaurantes</v>
      </c>
      <c r="C766" s="878" t="s">
        <v>2346</v>
      </c>
      <c r="D766" s="63"/>
      <c r="E766" s="231">
        <v>135</v>
      </c>
      <c r="F766" s="899"/>
      <c r="G766" s="1152" t="s">
        <v>9</v>
      </c>
    </row>
    <row r="767" spans="1:7">
      <c r="A767" s="884">
        <v>46018</v>
      </c>
      <c r="B767" s="240" t="str">
        <f>TiposLancamentos!B56</f>
        <v>Farmácia</v>
      </c>
      <c r="C767" s="878" t="s">
        <v>2347</v>
      </c>
      <c r="D767" s="63"/>
      <c r="E767" s="231">
        <v>30.77</v>
      </c>
      <c r="F767" s="899"/>
      <c r="G767" s="1152" t="s">
        <v>9</v>
      </c>
    </row>
    <row r="768" spans="1:7" ht="14.25" thickBot="1">
      <c r="A768" s="884">
        <v>46022</v>
      </c>
      <c r="B768" s="240" t="str">
        <f>TiposLancamentos!B39</f>
        <v>Playstation 5</v>
      </c>
      <c r="C768" s="878" t="s">
        <v>2348</v>
      </c>
      <c r="D768" s="63"/>
      <c r="E768" s="231">
        <v>81.08</v>
      </c>
      <c r="F768" s="899">
        <v>810.33</v>
      </c>
      <c r="G768" s="1152" t="s">
        <v>9</v>
      </c>
    </row>
    <row r="769" spans="1:7">
      <c r="A769" s="1032"/>
      <c r="B769" s="1230"/>
      <c r="C769" s="1092" t="s">
        <v>2349</v>
      </c>
      <c r="D769" s="896"/>
      <c r="E769" s="925"/>
      <c r="F769" s="898">
        <f>SUM(E729:E747)</f>
        <v>1564.323333333333</v>
      </c>
    </row>
    <row r="770" spans="1:7">
      <c r="A770" s="884">
        <v>46024</v>
      </c>
      <c r="B770" s="240" t="str">
        <f>TiposLancamentos!B15</f>
        <v>Cartões de Crédito</v>
      </c>
      <c r="C770" s="878" t="s">
        <v>1874</v>
      </c>
      <c r="D770" s="63">
        <v>1651.25</v>
      </c>
      <c r="E770" s="231"/>
      <c r="F770" s="899">
        <f>F769-F743</f>
        <v>363.0799999999997</v>
      </c>
      <c r="G770" s="1152" t="s">
        <v>9</v>
      </c>
    </row>
    <row r="771" spans="1:7">
      <c r="A771" s="934"/>
      <c r="B771" s="243"/>
      <c r="C771" s="389" t="s">
        <v>10</v>
      </c>
      <c r="D771" s="146"/>
      <c r="E771" s="1190"/>
      <c r="F771" s="935"/>
      <c r="G771" s="1094" t="s">
        <v>11</v>
      </c>
    </row>
    <row r="772" spans="1:7">
      <c r="A772" s="884"/>
      <c r="B772" s="240"/>
      <c r="C772" s="878" t="s">
        <v>1947</v>
      </c>
      <c r="D772" s="63"/>
      <c r="E772" s="231"/>
      <c r="F772" s="899"/>
    </row>
    <row r="773" spans="1:7">
      <c r="A773" s="884">
        <v>46039</v>
      </c>
      <c r="B773" s="240" t="str">
        <f>TiposLancamentos!B69</f>
        <v>Consertos</v>
      </c>
      <c r="C773" s="878" t="s">
        <v>2350</v>
      </c>
      <c r="D773" s="63"/>
      <c r="E773" s="231">
        <v>19.899999999999999</v>
      </c>
      <c r="F773" s="899"/>
      <c r="G773" s="1152" t="s">
        <v>9</v>
      </c>
    </row>
    <row r="774" spans="1:7">
      <c r="A774" s="884">
        <v>46040</v>
      </c>
      <c r="B774" s="240" t="str">
        <f>TiposLancamentos!B19</f>
        <v>Restaurantes</v>
      </c>
      <c r="C774" s="878" t="s">
        <v>2351</v>
      </c>
      <c r="D774" s="63"/>
      <c r="E774" s="231">
        <v>241.89</v>
      </c>
      <c r="F774" s="899"/>
      <c r="G774" s="1152" t="s">
        <v>9</v>
      </c>
    </row>
    <row r="775" spans="1:7">
      <c r="A775" s="884">
        <v>46040</v>
      </c>
      <c r="B775" s="240" t="str">
        <f>TiposLancamentos!B5</f>
        <v>Supermercado</v>
      </c>
      <c r="C775" s="878" t="s">
        <v>2352</v>
      </c>
      <c r="D775" s="63"/>
      <c r="E775" s="231">
        <v>115.78</v>
      </c>
      <c r="F775" s="899"/>
      <c r="G775" s="1152" t="s">
        <v>9</v>
      </c>
    </row>
    <row r="776" spans="1:7">
      <c r="A776" s="884">
        <v>46040</v>
      </c>
      <c r="B776" s="240" t="str">
        <f>TiposLancamentos!B56</f>
        <v>Farmácia</v>
      </c>
      <c r="C776" s="878" t="s">
        <v>2353</v>
      </c>
      <c r="D776" s="63"/>
      <c r="E776" s="231">
        <v>267.33999999999997</v>
      </c>
      <c r="F776" s="899"/>
      <c r="G776" s="1152" t="s">
        <v>9</v>
      </c>
    </row>
    <row r="777" spans="1:7">
      <c r="A777" s="884">
        <v>46041</v>
      </c>
      <c r="B777" s="240" t="str">
        <f>TiposLancamentos!B19</f>
        <v>Restaurantes</v>
      </c>
      <c r="C777" s="878" t="s">
        <v>2270</v>
      </c>
      <c r="D777" s="63"/>
      <c r="E777" s="231">
        <v>27.9</v>
      </c>
      <c r="F777" s="899"/>
      <c r="G777" s="1152" t="s">
        <v>9</v>
      </c>
    </row>
    <row r="778" spans="1:7">
      <c r="A778" s="884">
        <v>46042</v>
      </c>
      <c r="B778" s="240" t="str">
        <f>TiposLancamentos!B19</f>
        <v>Restaurantes</v>
      </c>
      <c r="C778" s="878" t="s">
        <v>2224</v>
      </c>
      <c r="D778" s="63"/>
      <c r="E778" s="231">
        <v>39.799999999999997</v>
      </c>
      <c r="F778" s="899"/>
      <c r="G778" s="1152" t="s">
        <v>9</v>
      </c>
    </row>
    <row r="779" spans="1:7">
      <c r="A779" s="884">
        <v>46043</v>
      </c>
      <c r="B779" s="240" t="str">
        <f>TiposLancamentos!B19</f>
        <v>Restaurantes</v>
      </c>
      <c r="C779" s="878" t="s">
        <v>2224</v>
      </c>
      <c r="D779" s="63"/>
      <c r="E779" s="231">
        <v>32.67</v>
      </c>
      <c r="F779" s="899"/>
      <c r="G779" s="1152" t="s">
        <v>9</v>
      </c>
    </row>
    <row r="780" spans="1:7">
      <c r="A780" s="884">
        <v>46044</v>
      </c>
      <c r="B780" s="240" t="str">
        <f>TiposLancamentos!B19</f>
        <v>Restaurantes</v>
      </c>
      <c r="C780" s="878" t="s">
        <v>2270</v>
      </c>
      <c r="D780" s="63"/>
      <c r="E780" s="231">
        <v>19.899999999999999</v>
      </c>
      <c r="F780" s="899"/>
      <c r="G780" s="1152" t="s">
        <v>9</v>
      </c>
    </row>
    <row r="781" spans="1:7">
      <c r="A781" s="858">
        <v>46045</v>
      </c>
      <c r="B781" s="822" t="str">
        <f>TiposLancamentos!B70</f>
        <v>Vestuário</v>
      </c>
      <c r="C781" s="1396" t="s">
        <v>2354</v>
      </c>
      <c r="D781" s="747"/>
      <c r="E781" s="1139">
        <v>69.900000000000006</v>
      </c>
      <c r="F781" s="1454"/>
      <c r="G781" s="1152" t="s">
        <v>9</v>
      </c>
    </row>
    <row r="782" spans="1:7">
      <c r="A782" s="862">
        <v>46045</v>
      </c>
      <c r="B782" s="823" t="str">
        <f>TiposLancamentos!B62</f>
        <v>Papelaria</v>
      </c>
      <c r="C782" s="1448" t="s">
        <v>2355</v>
      </c>
      <c r="D782" s="849"/>
      <c r="E782" s="1141">
        <v>21.35</v>
      </c>
      <c r="F782" s="1456">
        <f>SUM(E781:E782)</f>
        <v>91.25</v>
      </c>
      <c r="G782" s="1152" t="s">
        <v>9</v>
      </c>
    </row>
    <row r="783" spans="1:7">
      <c r="A783" s="884"/>
      <c r="B783" s="240"/>
      <c r="C783" s="878" t="s">
        <v>1947</v>
      </c>
      <c r="D783" s="63"/>
      <c r="E783" s="231"/>
      <c r="F783" s="899"/>
    </row>
    <row r="784" spans="1:7">
      <c r="A784" s="884">
        <v>46045</v>
      </c>
      <c r="B784" s="240" t="str">
        <f>TiposLancamentos!B70</f>
        <v>Vestuário</v>
      </c>
      <c r="C784" s="878" t="s">
        <v>2356</v>
      </c>
      <c r="D784" s="63"/>
      <c r="E784" s="231">
        <v>10.87</v>
      </c>
      <c r="F784" s="899"/>
      <c r="G784" s="1152" t="s">
        <v>9</v>
      </c>
    </row>
    <row r="785" spans="1:7">
      <c r="A785" s="884">
        <v>46045</v>
      </c>
      <c r="B785" s="240" t="str">
        <f>TiposLancamentos!B19</f>
        <v>Restaurantes</v>
      </c>
      <c r="C785" s="878" t="s">
        <v>2224</v>
      </c>
      <c r="D785" s="63"/>
      <c r="E785" s="231">
        <v>34.590000000000003</v>
      </c>
      <c r="F785" s="899"/>
      <c r="G785" s="1152" t="s">
        <v>9</v>
      </c>
    </row>
    <row r="786" spans="1:7">
      <c r="A786" s="884">
        <v>46045</v>
      </c>
      <c r="B786" s="240" t="str">
        <f>TiposLancamentos!B102</f>
        <v>ESTORNO</v>
      </c>
      <c r="C786" s="878" t="s">
        <v>2355</v>
      </c>
      <c r="D786" s="63">
        <f>E782</f>
        <v>21.35</v>
      </c>
      <c r="E786" s="231"/>
      <c r="F786" s="899"/>
      <c r="G786" s="1152" t="s">
        <v>9</v>
      </c>
    </row>
    <row r="787" spans="1:7">
      <c r="A787" s="884">
        <v>46046</v>
      </c>
      <c r="B787" s="240" t="str">
        <f>TiposLancamentos!B19</f>
        <v>Restaurantes</v>
      </c>
      <c r="C787" s="878" t="s">
        <v>2357</v>
      </c>
      <c r="D787" s="63"/>
      <c r="E787" s="231">
        <v>190.85</v>
      </c>
      <c r="F787" s="899"/>
      <c r="G787" s="1152" t="s">
        <v>9</v>
      </c>
    </row>
    <row r="788" spans="1:7">
      <c r="A788" s="884">
        <v>46046</v>
      </c>
      <c r="B788" s="240" t="str">
        <f>TiposLancamentos!B5</f>
        <v>Supermercado</v>
      </c>
      <c r="C788" s="878" t="s">
        <v>2358</v>
      </c>
      <c r="D788" s="63"/>
      <c r="E788" s="231">
        <v>48.98</v>
      </c>
      <c r="F788" s="899"/>
      <c r="G788" s="1152" t="s">
        <v>9</v>
      </c>
    </row>
    <row r="789" spans="1:7" ht="14.25" thickBot="1">
      <c r="A789" s="884">
        <v>46053</v>
      </c>
      <c r="B789" s="240" t="str">
        <f>TiposLancamentos!B39</f>
        <v>Playstation 5</v>
      </c>
      <c r="C789" s="878" t="s">
        <v>2359</v>
      </c>
      <c r="D789" s="63"/>
      <c r="E789" s="231">
        <v>81.08</v>
      </c>
      <c r="F789" s="899">
        <v>810.33</v>
      </c>
      <c r="G789" s="1152" t="s">
        <v>9</v>
      </c>
    </row>
    <row r="790" spans="1:7">
      <c r="A790" s="1032"/>
      <c r="B790" s="1230"/>
      <c r="C790" s="1092" t="s">
        <v>2360</v>
      </c>
      <c r="D790" s="896"/>
      <c r="E790" s="925"/>
      <c r="F790" s="898">
        <f>SUM(E748:E771)</f>
        <v>1521.74</v>
      </c>
    </row>
    <row r="791" spans="1:7">
      <c r="A791" s="884">
        <v>46054</v>
      </c>
      <c r="B791" s="240" t="str">
        <f>TiposLancamentos!B71</f>
        <v>Itens Pessoais</v>
      </c>
      <c r="C791" s="878" t="s">
        <v>2361</v>
      </c>
      <c r="D791" s="63"/>
      <c r="E791" s="231">
        <v>46.99</v>
      </c>
      <c r="F791" s="899">
        <f>F790-F769</f>
        <v>-42.58333333333303</v>
      </c>
      <c r="G791" s="1152" t="s">
        <v>9</v>
      </c>
    </row>
    <row r="792" spans="1:7">
      <c r="A792" s="884">
        <v>46055</v>
      </c>
      <c r="B792" s="240" t="str">
        <f>TiposLancamentos!B15</f>
        <v>Cartões de Crédito</v>
      </c>
      <c r="C792" s="1952" t="s">
        <v>1874</v>
      </c>
      <c r="D792" s="63">
        <v>1521.74</v>
      </c>
      <c r="E792" s="231"/>
      <c r="F792" s="899"/>
      <c r="G792" s="1152" t="s">
        <v>9</v>
      </c>
    </row>
    <row r="793" spans="1:7">
      <c r="A793" s="934"/>
      <c r="B793" s="243"/>
      <c r="C793" s="389" t="s">
        <v>10</v>
      </c>
      <c r="D793" s="146"/>
      <c r="E793" s="1190"/>
      <c r="F793" s="935"/>
      <c r="G793" s="1094" t="s">
        <v>11</v>
      </c>
    </row>
    <row r="794" spans="1:7">
      <c r="A794" s="884">
        <v>46067</v>
      </c>
      <c r="B794" s="240" t="str">
        <f>TiposLancamentos!B19</f>
        <v>Restaurantes</v>
      </c>
      <c r="C794" s="878" t="s">
        <v>2362</v>
      </c>
      <c r="D794" s="63"/>
      <c r="E794" s="231">
        <v>288.2</v>
      </c>
      <c r="F794" s="899"/>
      <c r="G794" s="1152" t="s">
        <v>9</v>
      </c>
    </row>
    <row r="795" spans="1:7">
      <c r="A795" s="884">
        <v>46067</v>
      </c>
      <c r="B795" s="240" t="str">
        <f>TiposLancamentos!B19</f>
        <v>Restaurantes</v>
      </c>
      <c r="C795" s="878" t="s">
        <v>2363</v>
      </c>
      <c r="D795" s="63"/>
      <c r="E795" s="231">
        <v>123.97</v>
      </c>
      <c r="F795" s="899"/>
      <c r="G795" s="1152" t="s">
        <v>9</v>
      </c>
    </row>
    <row r="796" spans="1:7">
      <c r="A796" s="884">
        <v>46067</v>
      </c>
      <c r="B796" s="240" t="str">
        <f>TiposLancamentos!B5</f>
        <v>Supermercado</v>
      </c>
      <c r="C796" s="878" t="s">
        <v>1884</v>
      </c>
      <c r="D796" s="63"/>
      <c r="E796" s="231">
        <v>11.99</v>
      </c>
      <c r="F796" s="899"/>
      <c r="G796" s="1152" t="s">
        <v>9</v>
      </c>
    </row>
    <row r="797" spans="1:7">
      <c r="A797" s="884">
        <v>46068</v>
      </c>
      <c r="B797" s="240" t="str">
        <f>TiposLancamentos!B5</f>
        <v>Supermercado</v>
      </c>
      <c r="C797" s="878" t="s">
        <v>1884</v>
      </c>
      <c r="D797" s="63"/>
      <c r="E797" s="231">
        <v>20.5</v>
      </c>
      <c r="F797" s="899"/>
      <c r="G797" s="1152" t="s">
        <v>9</v>
      </c>
    </row>
    <row r="798" spans="1:7">
      <c r="A798" s="858">
        <v>46068</v>
      </c>
      <c r="B798" s="822" t="str">
        <f>TiposLancamentos!B39</f>
        <v>Playstation 5</v>
      </c>
      <c r="C798" s="1396" t="s">
        <v>2364</v>
      </c>
      <c r="D798" s="747"/>
      <c r="E798" s="1139">
        <v>195.83</v>
      </c>
      <c r="F798" s="1454"/>
      <c r="G798" s="1152" t="s">
        <v>9</v>
      </c>
    </row>
    <row r="799" spans="1:7">
      <c r="A799" s="862">
        <v>46068</v>
      </c>
      <c r="B799" s="823" t="str">
        <f>TiposLancamentos!B4</f>
        <v>Taxas Bancarias</v>
      </c>
      <c r="C799" s="1448" t="s">
        <v>2365</v>
      </c>
      <c r="D799" s="849"/>
      <c r="E799" s="1141">
        <f>F799-E798</f>
        <v>6.8499999999999943</v>
      </c>
      <c r="F799" s="1456">
        <v>202.68</v>
      </c>
      <c r="G799" s="1152" t="s">
        <v>9</v>
      </c>
    </row>
    <row r="800" spans="1:7">
      <c r="A800" s="884">
        <v>46068</v>
      </c>
      <c r="B800" s="240" t="str">
        <f>TiposLancamentos!B19</f>
        <v>Restaurantes</v>
      </c>
      <c r="C800" s="878" t="s">
        <v>2366</v>
      </c>
      <c r="D800" s="63"/>
      <c r="E800" s="231">
        <v>97.09</v>
      </c>
      <c r="F800" s="899"/>
      <c r="G800" s="1152" t="s">
        <v>9</v>
      </c>
    </row>
    <row r="801" spans="1:7">
      <c r="A801" s="884">
        <v>46069</v>
      </c>
      <c r="B801" s="240" t="str">
        <f>TiposLancamentos!B19</f>
        <v>Restaurantes</v>
      </c>
      <c r="C801" s="878" t="s">
        <v>2367</v>
      </c>
      <c r="D801" s="63"/>
      <c r="E801" s="231">
        <v>91</v>
      </c>
      <c r="F801" s="899"/>
      <c r="G801" s="1152" t="s">
        <v>9</v>
      </c>
    </row>
    <row r="802" spans="1:7">
      <c r="A802" s="884">
        <v>46069</v>
      </c>
      <c r="B802" s="240" t="str">
        <f>TiposLancamentos!B5</f>
        <v>Supermercado</v>
      </c>
      <c r="C802" s="878" t="s">
        <v>1884</v>
      </c>
      <c r="D802" s="63"/>
      <c r="E802" s="231">
        <v>15.38</v>
      </c>
      <c r="F802" s="899"/>
      <c r="G802" s="1152" t="s">
        <v>9</v>
      </c>
    </row>
    <row r="803" spans="1:7">
      <c r="A803" s="858">
        <v>46070</v>
      </c>
      <c r="B803" s="822" t="str">
        <f>TiposLancamentos!B38</f>
        <v>Playstation 4</v>
      </c>
      <c r="C803" s="1396" t="s">
        <v>2368</v>
      </c>
      <c r="D803" s="747"/>
      <c r="E803" s="1139">
        <v>74.97</v>
      </c>
      <c r="F803" s="1454"/>
      <c r="G803" s="1152" t="s">
        <v>9</v>
      </c>
    </row>
    <row r="804" spans="1:7">
      <c r="A804" s="862">
        <v>46070</v>
      </c>
      <c r="B804" s="823" t="str">
        <f>TiposLancamentos!B4</f>
        <v>Taxas Bancarias</v>
      </c>
      <c r="C804" s="1448" t="s">
        <v>2369</v>
      </c>
      <c r="D804" s="849"/>
      <c r="E804" s="1141">
        <f>F804-E803</f>
        <v>2.6200000000000045</v>
      </c>
      <c r="F804" s="1456">
        <v>77.59</v>
      </c>
      <c r="G804" s="1152" t="s">
        <v>9</v>
      </c>
    </row>
    <row r="805" spans="1:7">
      <c r="A805" s="884">
        <v>46070</v>
      </c>
      <c r="B805" s="240" t="str">
        <f>TiposLancamentos!B5</f>
        <v>Supermercado</v>
      </c>
      <c r="C805" s="878" t="s">
        <v>1884</v>
      </c>
      <c r="D805" s="63"/>
      <c r="E805" s="231">
        <v>32.89</v>
      </c>
      <c r="F805" s="899"/>
      <c r="G805" s="1152" t="s">
        <v>9</v>
      </c>
    </row>
    <row r="806" spans="1:7">
      <c r="A806" s="884">
        <v>46071</v>
      </c>
      <c r="B806" s="240" t="str">
        <f>TiposLancamentos!B5</f>
        <v>Supermercado</v>
      </c>
      <c r="C806" s="878" t="s">
        <v>2370</v>
      </c>
      <c r="D806" s="63"/>
      <c r="E806" s="231">
        <v>241</v>
      </c>
      <c r="F806" s="899"/>
      <c r="G806" s="1152" t="s">
        <v>9</v>
      </c>
    </row>
    <row r="807" spans="1:7">
      <c r="A807" s="858">
        <v>46072</v>
      </c>
      <c r="B807" s="822" t="str">
        <f>TiposLancamentos!B56</f>
        <v>Farmácia</v>
      </c>
      <c r="C807" s="1396" t="s">
        <v>2371</v>
      </c>
      <c r="D807" s="747"/>
      <c r="E807" s="1139">
        <v>117.2</v>
      </c>
      <c r="F807" s="1454"/>
      <c r="G807" s="1152" t="s">
        <v>9</v>
      </c>
    </row>
    <row r="808" spans="1:7">
      <c r="A808" s="862">
        <v>46072</v>
      </c>
      <c r="B808" s="823" t="str">
        <f>TiposLancamentos!B60</f>
        <v>Correio</v>
      </c>
      <c r="C808" s="1448" t="s">
        <v>2372</v>
      </c>
      <c r="D808" s="849"/>
      <c r="E808" s="1141">
        <v>7.9</v>
      </c>
      <c r="F808" s="1456">
        <f>SUM(E807:E808)</f>
        <v>125.10000000000001</v>
      </c>
      <c r="G808" s="1152" t="s">
        <v>9</v>
      </c>
    </row>
    <row r="809" spans="1:7">
      <c r="A809" s="884">
        <v>46074</v>
      </c>
      <c r="B809" s="240" t="str">
        <f>TiposLancamentos!B22</f>
        <v>Combustivel</v>
      </c>
      <c r="C809" s="878" t="s">
        <v>2179</v>
      </c>
      <c r="D809" s="63"/>
      <c r="E809" s="231">
        <v>150</v>
      </c>
      <c r="F809" s="899"/>
      <c r="G809" s="1152" t="s">
        <v>9</v>
      </c>
    </row>
    <row r="810" spans="1:7">
      <c r="A810" s="884">
        <v>46074</v>
      </c>
      <c r="B810" s="240" t="str">
        <f>TiposLancamentos!B19</f>
        <v>Restaurantes</v>
      </c>
      <c r="C810" s="878" t="s">
        <v>2373</v>
      </c>
      <c r="D810" s="63"/>
      <c r="E810" s="231">
        <v>54.6</v>
      </c>
      <c r="F810" s="899"/>
      <c r="G810" s="1152" t="s">
        <v>9</v>
      </c>
    </row>
    <row r="811" spans="1:7">
      <c r="A811" s="884">
        <v>46074</v>
      </c>
      <c r="B811" s="240" t="str">
        <f>TiposLancamentos!B19</f>
        <v>Restaurantes</v>
      </c>
      <c r="C811" s="878" t="s">
        <v>2374</v>
      </c>
      <c r="D811" s="63"/>
      <c r="E811" s="231">
        <v>188.32</v>
      </c>
      <c r="F811" s="899"/>
      <c r="G811" s="1152" t="s">
        <v>9</v>
      </c>
    </row>
    <row r="812" spans="1:7">
      <c r="A812" s="884">
        <v>46078</v>
      </c>
      <c r="B812" s="240" t="str">
        <f>TiposLancamentos!B26</f>
        <v>LIVROS</v>
      </c>
      <c r="C812" s="878" t="s">
        <v>2375</v>
      </c>
      <c r="D812" s="63"/>
      <c r="E812" s="231">
        <v>42.57</v>
      </c>
      <c r="F812" s="899"/>
      <c r="G812" s="1152" t="s">
        <v>9</v>
      </c>
    </row>
    <row r="813" spans="1:7">
      <c r="A813" s="884">
        <v>46078</v>
      </c>
      <c r="B813" s="240" t="str">
        <f>TiposLancamentos!B16</f>
        <v>Cristiane</v>
      </c>
      <c r="C813" s="878" t="s">
        <v>2376</v>
      </c>
      <c r="D813" s="63"/>
      <c r="E813" s="231">
        <v>66.790000000000006</v>
      </c>
      <c r="F813" s="899"/>
      <c r="G813" s="1152" t="s">
        <v>9</v>
      </c>
    </row>
    <row r="814" spans="1:7">
      <c r="A814" s="884">
        <v>46079</v>
      </c>
      <c r="B814" s="240" t="str">
        <f>TiposLancamentos!B19</f>
        <v>Restaurantes</v>
      </c>
      <c r="C814" s="878" t="s">
        <v>2377</v>
      </c>
      <c r="D814" s="63"/>
      <c r="E814" s="231">
        <v>138.49</v>
      </c>
      <c r="F814" s="899"/>
      <c r="G814" s="1152" t="s">
        <v>9</v>
      </c>
    </row>
    <row r="815" spans="1:7" ht="14.25" thickBot="1">
      <c r="A815" s="884">
        <v>46081</v>
      </c>
      <c r="B815" s="240" t="str">
        <f>TiposLancamentos!B39</f>
        <v>Playstation 5</v>
      </c>
      <c r="C815" s="878" t="s">
        <v>2378</v>
      </c>
      <c r="D815" s="63"/>
      <c r="E815" s="231">
        <v>81.08</v>
      </c>
      <c r="F815" s="899">
        <v>810.33</v>
      </c>
      <c r="G815" s="1152" t="s">
        <v>9</v>
      </c>
    </row>
    <row r="816" spans="1:7">
      <c r="A816" s="1032"/>
      <c r="B816" s="1230"/>
      <c r="C816" s="1092" t="s">
        <v>1656</v>
      </c>
      <c r="D816" s="896"/>
      <c r="E816" s="925"/>
      <c r="F816" s="898">
        <f>SUM(E771:E793)-D786</f>
        <v>1248.4399999999998</v>
      </c>
      <c r="G816" s="1152" t="s">
        <v>9</v>
      </c>
    </row>
    <row r="817" spans="1:7">
      <c r="A817" s="884">
        <v>46082</v>
      </c>
      <c r="B817" s="240" t="str">
        <f>TiposLancamentos!B15</f>
        <v>Cartões de Crédito</v>
      </c>
      <c r="C817" s="878" t="s">
        <v>1874</v>
      </c>
      <c r="D817" s="63">
        <v>1248.44</v>
      </c>
      <c r="E817" s="231"/>
      <c r="F817" s="899">
        <f>F816-F790</f>
        <v>-273.30000000000018</v>
      </c>
    </row>
    <row r="818" spans="1:7">
      <c r="A818" s="858">
        <v>46091</v>
      </c>
      <c r="B818" s="822" t="str">
        <f>TiposLancamentos!B57</f>
        <v>Informática</v>
      </c>
      <c r="C818" s="1396" t="s">
        <v>2379</v>
      </c>
      <c r="D818" s="747"/>
      <c r="E818" s="1139">
        <v>24.13</v>
      </c>
      <c r="F818" s="1454"/>
      <c r="G818" s="1152" t="s">
        <v>9</v>
      </c>
    </row>
    <row r="819" spans="1:7">
      <c r="A819" s="862">
        <v>46091</v>
      </c>
      <c r="B819" s="823" t="str">
        <f>TiposLancamentos!B57</f>
        <v>Informática</v>
      </c>
      <c r="C819" s="1448" t="s">
        <v>2380</v>
      </c>
      <c r="D819" s="849"/>
      <c r="E819" s="1141">
        <v>24.12</v>
      </c>
      <c r="F819" s="1456">
        <f>SUM(E818:E819)</f>
        <v>48.25</v>
      </c>
      <c r="G819" s="1152" t="s">
        <v>9</v>
      </c>
    </row>
    <row r="820" spans="1:7">
      <c r="A820" s="884">
        <v>46091</v>
      </c>
      <c r="B820" s="240" t="str">
        <f>TiposLancamentos!B57</f>
        <v>Informática</v>
      </c>
      <c r="C820" s="878" t="s">
        <v>2381</v>
      </c>
      <c r="D820" s="63"/>
      <c r="E820" s="231">
        <v>25.97</v>
      </c>
      <c r="F820" s="899"/>
      <c r="G820" s="1152" t="s">
        <v>9</v>
      </c>
    </row>
    <row r="821" spans="1:7">
      <c r="A821" s="934"/>
      <c r="B821" s="243"/>
      <c r="C821" s="389" t="s">
        <v>10</v>
      </c>
      <c r="D821" s="146"/>
      <c r="E821" s="1190"/>
      <c r="F821" s="935"/>
      <c r="G821" s="1094" t="s">
        <v>11</v>
      </c>
    </row>
    <row r="822" spans="1:7">
      <c r="A822" s="884">
        <v>46099</v>
      </c>
      <c r="B822" s="240" t="str">
        <f>TiposLancamentos!B19</f>
        <v>Restaurantes</v>
      </c>
      <c r="C822" s="878" t="s">
        <v>2224</v>
      </c>
      <c r="D822" s="63"/>
      <c r="E822" s="231">
        <v>32.67</v>
      </c>
      <c r="F822" s="899"/>
      <c r="G822" s="1152" t="s">
        <v>9</v>
      </c>
    </row>
    <row r="823" spans="1:7">
      <c r="A823" s="884">
        <v>46100</v>
      </c>
      <c r="B823" s="240" t="str">
        <f>TiposLancamentos!B5</f>
        <v>Supermercado</v>
      </c>
      <c r="C823" s="878" t="s">
        <v>2382</v>
      </c>
      <c r="D823" s="63"/>
      <c r="E823" s="231">
        <v>21.79</v>
      </c>
      <c r="F823" s="899"/>
      <c r="G823" s="1152" t="s">
        <v>9</v>
      </c>
    </row>
    <row r="824" spans="1:7">
      <c r="A824" s="884">
        <v>46100</v>
      </c>
      <c r="B824" s="240" t="str">
        <f>TiposLancamentos!B65</f>
        <v>Taxi</v>
      </c>
      <c r="C824" s="878" t="s">
        <v>2383</v>
      </c>
      <c r="D824" s="63"/>
      <c r="E824" s="231">
        <v>10.97</v>
      </c>
      <c r="F824" s="899"/>
      <c r="G824" s="1152" t="s">
        <v>9</v>
      </c>
    </row>
    <row r="825" spans="1:7">
      <c r="A825" s="884">
        <v>46100</v>
      </c>
      <c r="B825" s="240" t="str">
        <f>TiposLancamentos!B65</f>
        <v>Taxi</v>
      </c>
      <c r="C825" s="878" t="s">
        <v>2384</v>
      </c>
      <c r="D825" s="63"/>
      <c r="E825" s="231">
        <v>14.99</v>
      </c>
      <c r="F825" s="899"/>
      <c r="G825" s="1152" t="s">
        <v>9</v>
      </c>
    </row>
    <row r="826" spans="1:7">
      <c r="A826" s="858">
        <v>46101</v>
      </c>
      <c r="B826" s="822" t="str">
        <f>TiposLancamentos!B37</f>
        <v>Playstation 3</v>
      </c>
      <c r="C826" s="1396" t="s">
        <v>2385</v>
      </c>
      <c r="D826" s="747"/>
      <c r="E826" s="1139">
        <v>149.9</v>
      </c>
      <c r="F826" s="1454"/>
      <c r="G826" s="1152" t="s">
        <v>9</v>
      </c>
    </row>
    <row r="827" spans="1:7">
      <c r="A827" s="862">
        <v>46101</v>
      </c>
      <c r="B827" s="823" t="str">
        <f>TiposLancamentos!B60</f>
        <v>Correio</v>
      </c>
      <c r="C827" s="1448" t="s">
        <v>2386</v>
      </c>
      <c r="D827" s="849"/>
      <c r="E827" s="1141">
        <v>9.2799999999999994</v>
      </c>
      <c r="F827" s="1456">
        <f>SUM(E826:E827)</f>
        <v>159.18</v>
      </c>
      <c r="G827" s="1152" t="s">
        <v>9</v>
      </c>
    </row>
    <row r="828" spans="1:7">
      <c r="A828" s="884">
        <v>46101</v>
      </c>
      <c r="B828" s="240" t="str">
        <f>TiposLancamentos!B19</f>
        <v>Restaurantes</v>
      </c>
      <c r="C828" s="878" t="s">
        <v>2270</v>
      </c>
      <c r="D828" s="63"/>
      <c r="E828" s="231">
        <v>74.989999999999995</v>
      </c>
      <c r="F828" s="899"/>
      <c r="G828" s="1152" t="s">
        <v>9</v>
      </c>
    </row>
    <row r="829" spans="1:7">
      <c r="A829" s="884">
        <v>46102</v>
      </c>
      <c r="B829" s="240" t="str">
        <f>TiposLancamentos!B19</f>
        <v>Restaurantes</v>
      </c>
      <c r="C829" s="878" t="s">
        <v>2387</v>
      </c>
      <c r="D829" s="63"/>
      <c r="E829" s="231">
        <v>146.19</v>
      </c>
      <c r="F829" s="899"/>
      <c r="G829" s="1152" t="s">
        <v>9</v>
      </c>
    </row>
    <row r="830" spans="1:7">
      <c r="A830" s="884">
        <v>46102</v>
      </c>
      <c r="B830" s="240" t="str">
        <f>TiposLancamentos!B5</f>
        <v>Supermercado</v>
      </c>
      <c r="C830" s="878" t="s">
        <v>2388</v>
      </c>
      <c r="D830" s="63"/>
      <c r="E830" s="231">
        <v>15.99</v>
      </c>
      <c r="F830" s="899"/>
      <c r="G830" s="1152" t="s">
        <v>9</v>
      </c>
    </row>
    <row r="831" spans="1:7">
      <c r="A831" s="884">
        <v>46102</v>
      </c>
      <c r="B831" s="240" t="str">
        <f>TiposLancamentos!B19</f>
        <v>Restaurantes</v>
      </c>
      <c r="C831" s="878" t="s">
        <v>2389</v>
      </c>
      <c r="D831" s="63"/>
      <c r="E831" s="231">
        <v>123.97</v>
      </c>
      <c r="F831" s="899"/>
      <c r="G831" s="1152" t="s">
        <v>9</v>
      </c>
    </row>
    <row r="832" spans="1:7">
      <c r="A832" s="884">
        <v>46103</v>
      </c>
      <c r="B832" s="240" t="str">
        <f>TiposLancamentos!B5</f>
        <v>Supermercado</v>
      </c>
      <c r="C832" s="878" t="s">
        <v>2390</v>
      </c>
      <c r="D832" s="63"/>
      <c r="E832" s="231">
        <v>266.75</v>
      </c>
      <c r="F832" s="899"/>
      <c r="G832" s="1152" t="s">
        <v>9</v>
      </c>
    </row>
    <row r="833" spans="1:7">
      <c r="A833" s="884">
        <v>46103</v>
      </c>
      <c r="B833" s="240" t="str">
        <f>TiposLancamentos!B19</f>
        <v>Restaurantes</v>
      </c>
      <c r="C833" s="878" t="s">
        <v>2391</v>
      </c>
      <c r="D833" s="63"/>
      <c r="E833" s="231">
        <v>121.1</v>
      </c>
      <c r="F833" s="899"/>
      <c r="G833" s="1152" t="s">
        <v>9</v>
      </c>
    </row>
    <row r="834" spans="1:7">
      <c r="A834" s="884">
        <v>46104</v>
      </c>
      <c r="B834" s="240" t="str">
        <f>TiposLancamentos!B56</f>
        <v>Farmácia</v>
      </c>
      <c r="C834" s="878" t="s">
        <v>2392</v>
      </c>
      <c r="D834" s="63"/>
      <c r="E834" s="231">
        <v>65.27</v>
      </c>
      <c r="F834" s="899"/>
      <c r="G834" s="1152" t="s">
        <v>9</v>
      </c>
    </row>
    <row r="835" spans="1:7">
      <c r="A835" s="884">
        <v>46104</v>
      </c>
      <c r="B835" s="240" t="str">
        <f>TiposLancamentos!B71</f>
        <v>Itens Pessoais</v>
      </c>
      <c r="C835" s="878" t="s">
        <v>2393</v>
      </c>
      <c r="D835" s="63"/>
      <c r="E835" s="231">
        <v>354.78</v>
      </c>
      <c r="F835" s="899">
        <v>1064.3</v>
      </c>
      <c r="G835" s="1152" t="s">
        <v>9</v>
      </c>
    </row>
    <row r="836" spans="1:7">
      <c r="A836" s="884">
        <v>46104</v>
      </c>
      <c r="B836" s="240" t="str">
        <f>TiposLancamentos!B19</f>
        <v>Restaurantes</v>
      </c>
      <c r="C836" s="878" t="s">
        <v>2270</v>
      </c>
      <c r="D836" s="63"/>
      <c r="E836" s="231">
        <v>21.9</v>
      </c>
      <c r="F836" s="899"/>
      <c r="G836" s="1152" t="s">
        <v>9</v>
      </c>
    </row>
    <row r="837" spans="1:7">
      <c r="A837" s="884">
        <v>46104</v>
      </c>
      <c r="B837" s="240" t="str">
        <f>TiposLancamentos!B17</f>
        <v>GATO</v>
      </c>
      <c r="C837" s="878" t="s">
        <v>2394</v>
      </c>
      <c r="D837" s="63"/>
      <c r="E837" s="231">
        <v>99.8</v>
      </c>
      <c r="F837" s="899"/>
      <c r="G837" s="1152" t="s">
        <v>9</v>
      </c>
    </row>
    <row r="838" spans="1:7">
      <c r="A838" s="884">
        <v>46105</v>
      </c>
      <c r="B838" s="240" t="str">
        <f>TiposLancamentos!B65</f>
        <v>Taxi</v>
      </c>
      <c r="C838" s="878" t="s">
        <v>2383</v>
      </c>
      <c r="D838" s="63"/>
      <c r="E838" s="231">
        <v>10.97</v>
      </c>
      <c r="F838" s="899"/>
      <c r="G838" s="1152" t="s">
        <v>9</v>
      </c>
    </row>
    <row r="839" spans="1:7">
      <c r="A839" s="884">
        <v>46105</v>
      </c>
      <c r="B839" s="240" t="str">
        <f>TiposLancamentos!B65</f>
        <v>Taxi</v>
      </c>
      <c r="C839" s="878" t="s">
        <v>2384</v>
      </c>
      <c r="D839" s="63"/>
      <c r="E839" s="231">
        <v>13.97</v>
      </c>
      <c r="F839" s="899"/>
      <c r="G839" s="1152" t="s">
        <v>9</v>
      </c>
    </row>
    <row r="840" spans="1:7">
      <c r="A840" s="884">
        <v>46105</v>
      </c>
      <c r="B840" s="240" t="str">
        <f>TiposLancamentos!B102</f>
        <v>ESTORNO</v>
      </c>
      <c r="C840" s="878" t="s">
        <v>2395</v>
      </c>
      <c r="D840" s="63"/>
      <c r="E840" s="231">
        <v>-0.05</v>
      </c>
      <c r="F840" s="899"/>
      <c r="G840" s="1152" t="s">
        <v>9</v>
      </c>
    </row>
    <row r="841" spans="1:7">
      <c r="A841" s="884">
        <v>46106</v>
      </c>
      <c r="B841" s="240" t="str">
        <f>TiposLancamentos!B32</f>
        <v>Clinicas e tratamentos</v>
      </c>
      <c r="C841" s="878" t="s">
        <v>2396</v>
      </c>
      <c r="D841" s="63"/>
      <c r="E841" s="231">
        <v>153</v>
      </c>
      <c r="F841" s="899"/>
      <c r="G841" s="1152" t="s">
        <v>9</v>
      </c>
    </row>
    <row r="842" spans="1:7">
      <c r="A842" s="858">
        <v>46106</v>
      </c>
      <c r="B842" s="822" t="str">
        <f>TiposLancamentos!B71</f>
        <v>Itens Pessoais</v>
      </c>
      <c r="C842" s="1396" t="s">
        <v>2397</v>
      </c>
      <c r="D842" s="747"/>
      <c r="E842" s="1139">
        <v>27.3</v>
      </c>
      <c r="F842" s="1454"/>
      <c r="G842" s="1152" t="s">
        <v>9</v>
      </c>
    </row>
    <row r="843" spans="1:7">
      <c r="A843" s="860">
        <v>46106</v>
      </c>
      <c r="B843" s="275" t="str">
        <f>TiposLancamentos!B4</f>
        <v>Taxas Bancarias</v>
      </c>
      <c r="C843" s="1443" t="s">
        <v>2398</v>
      </c>
      <c r="D843" s="51"/>
      <c r="E843" s="1147">
        <v>5.56</v>
      </c>
      <c r="F843" s="899"/>
      <c r="G843" s="1152" t="s">
        <v>9</v>
      </c>
    </row>
    <row r="844" spans="1:7">
      <c r="A844" s="862">
        <v>46106</v>
      </c>
      <c r="B844" s="823" t="str">
        <f>TiposLancamentos!B4</f>
        <v>Taxas Bancarias</v>
      </c>
      <c r="C844" s="1448" t="s">
        <v>2399</v>
      </c>
      <c r="D844" s="849"/>
      <c r="E844" s="1141">
        <v>6.8</v>
      </c>
      <c r="F844" s="1456">
        <f>SUM(E842:E844)</f>
        <v>39.659999999999997</v>
      </c>
      <c r="G844" s="1152" t="s">
        <v>9</v>
      </c>
    </row>
    <row r="845" spans="1:7">
      <c r="A845" s="884">
        <v>46106</v>
      </c>
      <c r="B845" s="240" t="str">
        <f>TiposLancamentos!B19</f>
        <v>Restaurantes</v>
      </c>
      <c r="C845" s="878" t="s">
        <v>2400</v>
      </c>
      <c r="D845" s="63"/>
      <c r="E845" s="231">
        <v>28.27</v>
      </c>
      <c r="F845" s="899"/>
      <c r="G845" s="1152" t="s">
        <v>9</v>
      </c>
    </row>
    <row r="846" spans="1:7">
      <c r="A846" s="884">
        <v>46106</v>
      </c>
      <c r="B846" s="240" t="str">
        <f>TiposLancamentos!B19</f>
        <v>Restaurantes</v>
      </c>
      <c r="C846" s="878" t="s">
        <v>2401</v>
      </c>
      <c r="D846" s="63"/>
      <c r="E846" s="231">
        <v>85.98</v>
      </c>
      <c r="F846" s="899"/>
      <c r="G846" s="1152" t="s">
        <v>9</v>
      </c>
    </row>
    <row r="847" spans="1:7">
      <c r="A847" s="884">
        <v>46106</v>
      </c>
      <c r="B847" s="240" t="str">
        <f>TiposLancamentos!B5</f>
        <v>Supermercado</v>
      </c>
      <c r="C847" s="878" t="s">
        <v>1884</v>
      </c>
      <c r="D847" s="63"/>
      <c r="E847" s="231">
        <v>9.9</v>
      </c>
      <c r="F847" s="899"/>
      <c r="G847" s="1152" t="s">
        <v>9</v>
      </c>
    </row>
    <row r="848" spans="1:7">
      <c r="A848" s="884">
        <v>46107</v>
      </c>
      <c r="B848" s="240" t="str">
        <f>TiposLancamentos!B19</f>
        <v>Restaurantes</v>
      </c>
      <c r="C848" s="878" t="s">
        <v>2402</v>
      </c>
      <c r="D848" s="63"/>
      <c r="E848" s="231">
        <v>10</v>
      </c>
      <c r="F848" s="899"/>
      <c r="G848" s="1152" t="s">
        <v>9</v>
      </c>
    </row>
    <row r="849" spans="1:7">
      <c r="A849" s="884">
        <v>46107</v>
      </c>
      <c r="B849" s="240" t="str">
        <f>TiposLancamentos!B24</f>
        <v>Estacionamentos</v>
      </c>
      <c r="C849" s="878" t="s">
        <v>2403</v>
      </c>
      <c r="D849" s="63"/>
      <c r="E849" s="231">
        <v>22</v>
      </c>
      <c r="F849" s="899"/>
      <c r="G849" s="1152" t="s">
        <v>9</v>
      </c>
    </row>
    <row r="850" spans="1:7">
      <c r="A850" s="884">
        <v>46107</v>
      </c>
      <c r="B850" s="240" t="str">
        <f>TiposLancamentos!B5</f>
        <v>Supermercado</v>
      </c>
      <c r="C850" s="878" t="s">
        <v>2404</v>
      </c>
      <c r="D850" s="63"/>
      <c r="E850" s="231">
        <v>127.84</v>
      </c>
      <c r="F850" s="899"/>
      <c r="G850" s="1152" t="s">
        <v>9</v>
      </c>
    </row>
    <row r="851" spans="1:7">
      <c r="A851" s="884">
        <v>46107</v>
      </c>
      <c r="B851" s="240" t="str">
        <f>TiposLancamentos!B16</f>
        <v>Cristiane</v>
      </c>
      <c r="C851" s="878" t="s">
        <v>2405</v>
      </c>
      <c r="D851" s="63"/>
      <c r="E851" s="231">
        <v>29.8</v>
      </c>
      <c r="F851" s="899"/>
      <c r="G851" s="1152" t="s">
        <v>9</v>
      </c>
    </row>
    <row r="852" spans="1:7">
      <c r="A852" s="858">
        <v>46107</v>
      </c>
      <c r="B852" s="822" t="str">
        <f>TiposLancamentos!B4</f>
        <v>Taxas Bancarias</v>
      </c>
      <c r="C852" s="1396" t="s">
        <v>2406</v>
      </c>
      <c r="D852" s="747"/>
      <c r="E852" s="1139">
        <v>7.65</v>
      </c>
      <c r="F852" s="1454"/>
      <c r="G852" s="1152" t="s">
        <v>9</v>
      </c>
    </row>
    <row r="853" spans="1:7">
      <c r="A853" s="860">
        <v>46107</v>
      </c>
      <c r="B853" s="275" t="str">
        <f>TiposLancamentos!B4</f>
        <v>Taxas Bancarias</v>
      </c>
      <c r="C853" s="1443" t="s">
        <v>2407</v>
      </c>
      <c r="D853" s="51"/>
      <c r="E853" s="1147">
        <v>9.4</v>
      </c>
      <c r="F853" s="899"/>
      <c r="G853" s="1152" t="s">
        <v>9</v>
      </c>
    </row>
    <row r="854" spans="1:7">
      <c r="A854" s="862">
        <v>46107</v>
      </c>
      <c r="B854" s="823" t="str">
        <f>TiposLancamentos!B4</f>
        <v>Taxas Bancarias</v>
      </c>
      <c r="C854" s="1448" t="s">
        <v>2408</v>
      </c>
      <c r="D854" s="849"/>
      <c r="E854" s="1141">
        <f>2*19.13</f>
        <v>38.26</v>
      </c>
      <c r="F854" s="1456">
        <f>SUM(E852:E854)</f>
        <v>55.31</v>
      </c>
      <c r="G854" s="1152" t="s">
        <v>9</v>
      </c>
    </row>
    <row r="855" spans="1:7">
      <c r="A855" s="884">
        <v>46108</v>
      </c>
      <c r="B855" s="240" t="str">
        <f>TiposLancamentos!B19</f>
        <v>Restaurantes</v>
      </c>
      <c r="C855" s="878" t="s">
        <v>2409</v>
      </c>
      <c r="D855" s="63"/>
      <c r="E855" s="231">
        <v>121.1</v>
      </c>
      <c r="F855" s="899"/>
      <c r="G855" s="1152" t="s">
        <v>9</v>
      </c>
    </row>
    <row r="856" spans="1:7">
      <c r="A856" s="884">
        <v>46109</v>
      </c>
      <c r="B856" s="240" t="str">
        <f>TiposLancamentos!B19</f>
        <v>Restaurantes</v>
      </c>
      <c r="C856" s="878" t="s">
        <v>2410</v>
      </c>
      <c r="D856" s="63"/>
      <c r="E856" s="231">
        <v>63</v>
      </c>
      <c r="F856" s="899"/>
      <c r="G856" s="1152" t="s">
        <v>9</v>
      </c>
    </row>
    <row r="857" spans="1:7">
      <c r="A857" s="884">
        <v>46109</v>
      </c>
      <c r="B857" s="240" t="str">
        <f>TiposLancamentos!B5</f>
        <v>Supermercado</v>
      </c>
      <c r="C857" s="878" t="s">
        <v>2411</v>
      </c>
      <c r="D857" s="63"/>
      <c r="E857" s="231">
        <v>47.41</v>
      </c>
      <c r="F857" s="899"/>
      <c r="G857" s="1152" t="s">
        <v>9</v>
      </c>
    </row>
    <row r="858" spans="1:7">
      <c r="A858" s="884">
        <v>46109</v>
      </c>
      <c r="B858" s="240" t="str">
        <f>TiposLancamentos!B5</f>
        <v>Supermercado</v>
      </c>
      <c r="C858" s="878" t="s">
        <v>2412</v>
      </c>
      <c r="D858" s="63"/>
      <c r="E858" s="231">
        <v>26.39</v>
      </c>
      <c r="F858" s="899"/>
      <c r="G858" s="1152" t="s">
        <v>9</v>
      </c>
    </row>
    <row r="859" spans="1:7">
      <c r="A859" s="884">
        <v>46109</v>
      </c>
      <c r="B859" s="240" t="str">
        <f>TiposLancamentos!B5</f>
        <v>Supermercado</v>
      </c>
      <c r="C859" s="878" t="s">
        <v>2413</v>
      </c>
      <c r="D859" s="63"/>
      <c r="E859" s="231">
        <v>35.979999999999997</v>
      </c>
      <c r="F859" s="899"/>
      <c r="G859" s="1152" t="s">
        <v>9</v>
      </c>
    </row>
    <row r="860" spans="1:7">
      <c r="A860" s="884">
        <v>46110</v>
      </c>
      <c r="B860" s="240" t="str">
        <f>TiposLancamentos!B5</f>
        <v>Supermercado</v>
      </c>
      <c r="C860" s="878" t="s">
        <v>2412</v>
      </c>
      <c r="D860" s="63"/>
      <c r="E860" s="231">
        <v>28.98</v>
      </c>
      <c r="F860" s="899"/>
      <c r="G860" s="1152" t="s">
        <v>9</v>
      </c>
    </row>
    <row r="861" spans="1:7">
      <c r="A861" s="884">
        <v>46111</v>
      </c>
      <c r="B861" s="240" t="str">
        <f>TiposLancamentos!B19</f>
        <v>Restaurantes</v>
      </c>
      <c r="C861" s="878" t="s">
        <v>2400</v>
      </c>
      <c r="D861" s="63"/>
      <c r="E861" s="231">
        <v>37.33</v>
      </c>
      <c r="F861" s="899"/>
      <c r="G861" s="1152" t="s">
        <v>9</v>
      </c>
    </row>
    <row r="862" spans="1:7">
      <c r="A862" s="884">
        <v>46111</v>
      </c>
      <c r="B862" s="240" t="str">
        <f>TiposLancamentos!B5</f>
        <v>Supermercado</v>
      </c>
      <c r="C862" s="878" t="s">
        <v>2414</v>
      </c>
      <c r="D862" s="63"/>
      <c r="E862" s="231">
        <v>87.91</v>
      </c>
      <c r="F862" s="899"/>
      <c r="G862" s="1152" t="s">
        <v>9</v>
      </c>
    </row>
    <row r="863" spans="1:7">
      <c r="A863" s="884">
        <v>46112</v>
      </c>
      <c r="B863" s="240" t="str">
        <f>TiposLancamentos!B39</f>
        <v>Playstation 5</v>
      </c>
      <c r="C863" s="878" t="s">
        <v>2415</v>
      </c>
      <c r="D863" s="63"/>
      <c r="E863" s="231">
        <v>81.08</v>
      </c>
      <c r="F863" s="899">
        <v>810.33</v>
      </c>
      <c r="G863" s="1152" t="s">
        <v>9</v>
      </c>
    </row>
    <row r="864" spans="1:7">
      <c r="A864" s="884">
        <v>46112</v>
      </c>
      <c r="B864" s="240" t="str">
        <f>TiposLancamentos!B19</f>
        <v>Restaurantes</v>
      </c>
      <c r="C864" s="878" t="s">
        <v>2270</v>
      </c>
      <c r="D864" s="63"/>
      <c r="E864" s="231">
        <v>21.9</v>
      </c>
      <c r="F864" s="899"/>
      <c r="G864" s="1152" t="s">
        <v>9</v>
      </c>
    </row>
    <row r="865" spans="1:7">
      <c r="A865" s="884">
        <v>46112</v>
      </c>
      <c r="B865" s="240" t="str">
        <f>TiposLancamentos!B65</f>
        <v>Taxi</v>
      </c>
      <c r="C865" s="878" t="s">
        <v>2383</v>
      </c>
      <c r="D865" s="63"/>
      <c r="E865" s="231">
        <v>10.98</v>
      </c>
      <c r="F865" s="899"/>
      <c r="G865" s="1152" t="s">
        <v>9</v>
      </c>
    </row>
    <row r="866" spans="1:7">
      <c r="A866" s="884">
        <v>46112</v>
      </c>
      <c r="B866" s="240" t="str">
        <f>TiposLancamentos!B65</f>
        <v>Taxi</v>
      </c>
      <c r="C866" s="878" t="s">
        <v>2384</v>
      </c>
      <c r="D866" s="63"/>
      <c r="E866" s="231">
        <v>28.98</v>
      </c>
      <c r="F866" s="899"/>
      <c r="G866" s="1152" t="s">
        <v>9</v>
      </c>
    </row>
    <row r="867" spans="1:7">
      <c r="A867" s="884">
        <v>46112</v>
      </c>
      <c r="B867" s="240" t="str">
        <f>TiposLancamentos!B5</f>
        <v>Supermercado</v>
      </c>
      <c r="C867" s="878" t="s">
        <v>2153</v>
      </c>
      <c r="D867" s="63"/>
      <c r="E867" s="231">
        <v>15.99</v>
      </c>
      <c r="F867" s="899"/>
      <c r="G867" s="1152" t="s">
        <v>9</v>
      </c>
    </row>
    <row r="868" spans="1:7" ht="14.25" thickBot="1">
      <c r="A868" s="884"/>
      <c r="B868" s="240"/>
      <c r="C868" s="878"/>
      <c r="D868" s="63"/>
      <c r="E868" s="231"/>
      <c r="F868" s="899"/>
    </row>
    <row r="869" spans="1:7">
      <c r="A869" s="1032"/>
      <c r="B869" s="1230"/>
      <c r="C869" s="1092" t="s">
        <v>1657</v>
      </c>
      <c r="D869" s="896"/>
      <c r="E869" s="925"/>
      <c r="F869" s="898">
        <f>SUM(E793:E821)</f>
        <v>2123.4599999999996</v>
      </c>
    </row>
    <row r="870" spans="1:7">
      <c r="A870" s="884">
        <v>46113</v>
      </c>
      <c r="B870" s="240" t="str">
        <f>TiposLancamentos!B15</f>
        <v>Cartões de Crédito</v>
      </c>
      <c r="C870" s="878" t="s">
        <v>1874</v>
      </c>
      <c r="D870" s="63">
        <v>2123.46</v>
      </c>
      <c r="E870" s="231"/>
      <c r="F870" s="899">
        <f>F869-F816</f>
        <v>875.01999999999975</v>
      </c>
      <c r="G870" s="1152" t="s">
        <v>9</v>
      </c>
    </row>
    <row r="871" spans="1:7">
      <c r="A871" s="884">
        <v>46113</v>
      </c>
      <c r="B871" s="240" t="str">
        <f>TiposLancamentos!B19</f>
        <v>Restaurantes</v>
      </c>
      <c r="C871" s="878" t="s">
        <v>2224</v>
      </c>
      <c r="D871" s="63"/>
      <c r="E871" s="231">
        <v>39.799999999999997</v>
      </c>
      <c r="F871" s="899"/>
      <c r="G871" s="1152" t="s">
        <v>9</v>
      </c>
    </row>
    <row r="872" spans="1:7">
      <c r="A872" s="884">
        <v>46114</v>
      </c>
      <c r="B872" s="240" t="str">
        <f>TiposLancamentos!B19</f>
        <v>Restaurantes</v>
      </c>
      <c r="C872" s="878" t="s">
        <v>2224</v>
      </c>
      <c r="D872" s="63"/>
      <c r="E872" s="231">
        <v>30.74</v>
      </c>
      <c r="F872" s="899"/>
      <c r="G872" s="1152" t="s">
        <v>9</v>
      </c>
    </row>
    <row r="873" spans="1:7">
      <c r="A873" s="884">
        <v>46114</v>
      </c>
      <c r="B873" s="240" t="str">
        <f>TiposLancamentos!B5</f>
        <v>Supermercado</v>
      </c>
      <c r="C873" s="878" t="s">
        <v>2153</v>
      </c>
      <c r="D873" s="63"/>
      <c r="E873" s="231">
        <v>8.5</v>
      </c>
      <c r="F873" s="899"/>
      <c r="G873" s="1152" t="s">
        <v>9</v>
      </c>
    </row>
    <row r="874" spans="1:7">
      <c r="A874" s="884">
        <v>46114</v>
      </c>
      <c r="B874" s="240" t="str">
        <f>TiposLancamentos!B19</f>
        <v>Restaurantes</v>
      </c>
      <c r="C874" s="878" t="s">
        <v>2416</v>
      </c>
      <c r="D874" s="63"/>
      <c r="E874" s="231">
        <v>85.98</v>
      </c>
      <c r="F874" s="899"/>
      <c r="G874" s="1152" t="s">
        <v>9</v>
      </c>
    </row>
    <row r="875" spans="1:7">
      <c r="A875" s="884">
        <v>46114</v>
      </c>
      <c r="B875" s="240" t="str">
        <f>TiposLancamentos!B5</f>
        <v>Supermercado</v>
      </c>
      <c r="C875" s="878" t="s">
        <v>2153</v>
      </c>
      <c r="D875" s="63"/>
      <c r="E875" s="231">
        <v>8.99</v>
      </c>
      <c r="F875" s="899"/>
      <c r="G875" s="1152" t="s">
        <v>9</v>
      </c>
    </row>
    <row r="876" spans="1:7">
      <c r="A876" s="884">
        <v>46115</v>
      </c>
      <c r="B876" s="240" t="str">
        <f>TiposLancamentos!B19</f>
        <v>Restaurantes</v>
      </c>
      <c r="C876" s="878" t="s">
        <v>2417</v>
      </c>
      <c r="D876" s="63"/>
      <c r="E876" s="231">
        <v>100</v>
      </c>
      <c r="F876" s="899"/>
      <c r="G876" s="1152" t="s">
        <v>9</v>
      </c>
    </row>
    <row r="877" spans="1:7">
      <c r="A877" s="884">
        <v>46115</v>
      </c>
      <c r="B877" s="240" t="str">
        <f>TiposLancamentos!B56</f>
        <v>Farmácia</v>
      </c>
      <c r="C877" s="878" t="s">
        <v>2418</v>
      </c>
      <c r="D877" s="63"/>
      <c r="E877" s="231">
        <v>26.62</v>
      </c>
      <c r="F877" s="899"/>
      <c r="G877" s="1152" t="s">
        <v>9</v>
      </c>
    </row>
    <row r="878" spans="1:7">
      <c r="A878" s="884">
        <v>46115</v>
      </c>
      <c r="B878" s="240" t="str">
        <f>TiposLancamentos!B5</f>
        <v>Supermercado</v>
      </c>
      <c r="C878" s="878" t="s">
        <v>2153</v>
      </c>
      <c r="D878" s="63"/>
      <c r="E878" s="231">
        <v>27.39</v>
      </c>
      <c r="F878" s="899"/>
      <c r="G878" s="1152" t="s">
        <v>9</v>
      </c>
    </row>
    <row r="879" spans="1:7">
      <c r="A879" s="884">
        <v>46116</v>
      </c>
      <c r="B879" s="240" t="str">
        <f>TiposLancamentos!B19</f>
        <v>Restaurantes</v>
      </c>
      <c r="C879" s="878" t="s">
        <v>2419</v>
      </c>
      <c r="D879" s="63"/>
      <c r="E879" s="231">
        <v>22.5</v>
      </c>
      <c r="F879" s="899"/>
      <c r="G879" s="1152" t="s">
        <v>9</v>
      </c>
    </row>
    <row r="880" spans="1:7">
      <c r="A880" s="884">
        <v>46116</v>
      </c>
      <c r="B880" s="240" t="str">
        <f>TiposLancamentos!B13</f>
        <v>Moradia</v>
      </c>
      <c r="C880" s="878" t="s">
        <v>2420</v>
      </c>
      <c r="D880" s="63"/>
      <c r="E880" s="231">
        <f>F880/2</f>
        <v>194.14</v>
      </c>
      <c r="F880" s="899">
        <v>388.28</v>
      </c>
      <c r="G880" s="1152" t="s">
        <v>9</v>
      </c>
    </row>
    <row r="881" spans="1:7">
      <c r="A881" s="884">
        <v>46116</v>
      </c>
      <c r="B881" s="240" t="str">
        <f>TiposLancamentos!B19</f>
        <v>Restaurantes</v>
      </c>
      <c r="C881" s="878" t="s">
        <v>2409</v>
      </c>
      <c r="D881" s="63"/>
      <c r="E881" s="231">
        <v>117.68</v>
      </c>
      <c r="F881" s="899"/>
      <c r="G881" s="1152" t="s">
        <v>9</v>
      </c>
    </row>
    <row r="882" spans="1:7">
      <c r="A882" s="884">
        <v>46117</v>
      </c>
      <c r="B882" s="240" t="str">
        <f>TiposLancamentos!B5</f>
        <v>Supermercado</v>
      </c>
      <c r="C882" s="878" t="s">
        <v>2421</v>
      </c>
      <c r="D882" s="63"/>
      <c r="E882" s="231">
        <v>158.38999999999999</v>
      </c>
      <c r="F882" s="899"/>
      <c r="G882" s="1152" t="s">
        <v>9</v>
      </c>
    </row>
    <row r="883" spans="1:7">
      <c r="A883" s="884">
        <v>46117</v>
      </c>
      <c r="B883" s="240" t="str">
        <f>TiposLancamentos!B5</f>
        <v>Supermercado</v>
      </c>
      <c r="C883" s="878" t="s">
        <v>2422</v>
      </c>
      <c r="D883" s="63"/>
      <c r="E883" s="231">
        <v>53.43</v>
      </c>
      <c r="F883" s="899"/>
      <c r="G883" s="1152" t="s">
        <v>9</v>
      </c>
    </row>
    <row r="884" spans="1:7">
      <c r="A884" s="884">
        <v>46117</v>
      </c>
      <c r="B884" s="240" t="str">
        <f>TiposLancamentos!B5</f>
        <v>Supermercado</v>
      </c>
      <c r="C884" s="878" t="s">
        <v>2153</v>
      </c>
      <c r="D884" s="63"/>
      <c r="E884" s="231">
        <v>10.4</v>
      </c>
      <c r="F884" s="899"/>
      <c r="G884" s="1152" t="s">
        <v>9</v>
      </c>
    </row>
    <row r="885" spans="1:7">
      <c r="A885" s="884">
        <v>46118</v>
      </c>
      <c r="B885" s="240" t="str">
        <f>TiposLancamentos!B5</f>
        <v>Supermercado</v>
      </c>
      <c r="C885" s="878" t="s">
        <v>2153</v>
      </c>
      <c r="D885" s="63"/>
      <c r="E885" s="231">
        <v>18.100000000000001</v>
      </c>
      <c r="F885" s="899"/>
      <c r="G885" s="1152" t="s">
        <v>9</v>
      </c>
    </row>
    <row r="886" spans="1:7">
      <c r="A886" s="884">
        <v>46118</v>
      </c>
      <c r="B886" s="240" t="str">
        <f>TiposLancamentos!B24</f>
        <v>Estacionamentos</v>
      </c>
      <c r="C886" s="878" t="s">
        <v>2423</v>
      </c>
      <c r="D886" s="63"/>
      <c r="E886" s="231">
        <v>25</v>
      </c>
      <c r="F886" s="899"/>
      <c r="G886" s="1152" t="s">
        <v>9</v>
      </c>
    </row>
    <row r="887" spans="1:7">
      <c r="A887" s="884">
        <v>46119</v>
      </c>
      <c r="B887" s="240" t="str">
        <f>TiposLancamentos!B5</f>
        <v>Supermercado</v>
      </c>
      <c r="C887" s="878" t="s">
        <v>2153</v>
      </c>
      <c r="D887" s="63"/>
      <c r="E887" s="231">
        <v>14</v>
      </c>
      <c r="F887" s="899"/>
      <c r="G887" s="1152" t="s">
        <v>9</v>
      </c>
    </row>
    <row r="888" spans="1:7">
      <c r="A888" s="884">
        <v>46119</v>
      </c>
      <c r="B888" s="240" t="str">
        <f>TiposLancamentos!B24</f>
        <v>Estacionamentos</v>
      </c>
      <c r="C888" s="878" t="s">
        <v>2423</v>
      </c>
      <c r="D888" s="63"/>
      <c r="E888" s="231">
        <v>25</v>
      </c>
      <c r="F888" s="899"/>
      <c r="G888" s="1152" t="s">
        <v>9</v>
      </c>
    </row>
    <row r="889" spans="1:7">
      <c r="A889" s="884">
        <v>46120</v>
      </c>
      <c r="B889" s="240" t="str">
        <f>TiposLancamentos!B19</f>
        <v>Restaurantes</v>
      </c>
      <c r="C889" s="878" t="s">
        <v>2224</v>
      </c>
      <c r="D889" s="63"/>
      <c r="E889" s="231">
        <v>40.44</v>
      </c>
      <c r="F889" s="899"/>
      <c r="G889" s="1152" t="s">
        <v>9</v>
      </c>
    </row>
    <row r="890" spans="1:7">
      <c r="A890" s="884">
        <v>46121</v>
      </c>
      <c r="B890" s="240" t="str">
        <f>TiposLancamentos!B19</f>
        <v>Restaurantes</v>
      </c>
      <c r="C890" s="878" t="s">
        <v>2270</v>
      </c>
      <c r="D890" s="63"/>
      <c r="E890" s="231">
        <v>21.9</v>
      </c>
      <c r="F890" s="899"/>
      <c r="G890" s="1152" t="s">
        <v>9</v>
      </c>
    </row>
    <row r="891" spans="1:7">
      <c r="A891" s="884">
        <v>46121</v>
      </c>
      <c r="B891" s="240" t="str">
        <f>TiposLancamentos!B5</f>
        <v>Supermercado</v>
      </c>
      <c r="C891" s="878" t="s">
        <v>2424</v>
      </c>
      <c r="D891" s="63"/>
      <c r="E891" s="231">
        <v>129.18</v>
      </c>
      <c r="F891" s="899"/>
      <c r="G891" s="1152" t="s">
        <v>9</v>
      </c>
    </row>
    <row r="892" spans="1:7">
      <c r="A892" s="884">
        <v>46121</v>
      </c>
      <c r="B892" s="240" t="str">
        <f>TiposLancamentos!B17</f>
        <v>GATO</v>
      </c>
      <c r="C892" s="878" t="s">
        <v>2425</v>
      </c>
      <c r="D892" s="63"/>
      <c r="E892" s="231">
        <v>79.680000000000007</v>
      </c>
      <c r="F892" s="899"/>
      <c r="G892" s="1152" t="s">
        <v>9</v>
      </c>
    </row>
    <row r="893" spans="1:7">
      <c r="A893" s="884">
        <v>46121</v>
      </c>
      <c r="B893" s="240" t="str">
        <f>TiposLancamentos!B19</f>
        <v>Restaurantes</v>
      </c>
      <c r="C893" s="878" t="s">
        <v>2416</v>
      </c>
      <c r="D893" s="63"/>
      <c r="E893" s="231">
        <v>85.98</v>
      </c>
      <c r="F893" s="899"/>
      <c r="G893" s="1152" t="s">
        <v>9</v>
      </c>
    </row>
    <row r="894" spans="1:7">
      <c r="A894" s="884">
        <v>46121</v>
      </c>
      <c r="B894" s="240" t="str">
        <f>TiposLancamentos!B5</f>
        <v>Supermercado</v>
      </c>
      <c r="C894" s="878" t="s">
        <v>2153</v>
      </c>
      <c r="D894" s="63"/>
      <c r="E894" s="231">
        <v>11.99</v>
      </c>
      <c r="F894" s="899"/>
      <c r="G894" s="1152" t="s">
        <v>9</v>
      </c>
    </row>
    <row r="895" spans="1:7">
      <c r="A895" s="884">
        <v>46122</v>
      </c>
      <c r="B895" s="240" t="str">
        <f>TiposLancamentos!B19</f>
        <v>Restaurantes</v>
      </c>
      <c r="C895" s="878" t="s">
        <v>2366</v>
      </c>
      <c r="D895" s="63"/>
      <c r="E895" s="231">
        <v>82.85</v>
      </c>
      <c r="F895" s="899"/>
      <c r="G895" s="1152" t="s">
        <v>9</v>
      </c>
    </row>
    <row r="896" spans="1:7">
      <c r="A896" s="884">
        <v>46123</v>
      </c>
      <c r="B896" s="240" t="str">
        <f>TiposLancamentos!B72</f>
        <v>Presentes</v>
      </c>
      <c r="C896" s="878" t="s">
        <v>2426</v>
      </c>
      <c r="D896" s="63"/>
      <c r="E896" s="231">
        <f>F896/3</f>
        <v>250</v>
      </c>
      <c r="F896" s="899">
        <v>750</v>
      </c>
      <c r="G896" s="1152" t="s">
        <v>9</v>
      </c>
    </row>
    <row r="897" spans="1:7">
      <c r="A897" s="884">
        <v>46123</v>
      </c>
      <c r="B897" s="240" t="str">
        <f>TiposLancamentos!B19</f>
        <v>Restaurantes</v>
      </c>
      <c r="C897" s="878" t="s">
        <v>2427</v>
      </c>
      <c r="D897" s="63"/>
      <c r="E897" s="231">
        <v>55</v>
      </c>
      <c r="F897" s="899"/>
      <c r="G897" s="1152" t="s">
        <v>9</v>
      </c>
    </row>
    <row r="898" spans="1:7">
      <c r="A898" s="884">
        <v>46123</v>
      </c>
      <c r="B898" s="240" t="str">
        <f>TiposLancamentos!B19</f>
        <v>Restaurantes</v>
      </c>
      <c r="C898" s="878" t="s">
        <v>2428</v>
      </c>
      <c r="D898" s="63"/>
      <c r="E898" s="231">
        <v>30</v>
      </c>
      <c r="F898" s="899"/>
      <c r="G898" s="1152" t="s">
        <v>9</v>
      </c>
    </row>
    <row r="899" spans="1:7">
      <c r="A899" s="884">
        <v>46123</v>
      </c>
      <c r="B899" s="240" t="str">
        <f>TiposLancamentos!B5</f>
        <v>Supermercado</v>
      </c>
      <c r="C899" s="878" t="s">
        <v>2429</v>
      </c>
      <c r="D899" s="63"/>
      <c r="E899" s="231">
        <v>52.48</v>
      </c>
      <c r="F899" s="899"/>
      <c r="G899" s="1152" t="s">
        <v>9</v>
      </c>
    </row>
    <row r="900" spans="1:7">
      <c r="A900" s="884">
        <v>46124</v>
      </c>
      <c r="B900" s="240" t="str">
        <f>TiposLancamentos!B19</f>
        <v>Restaurantes</v>
      </c>
      <c r="C900" s="878" t="s">
        <v>2430</v>
      </c>
      <c r="D900" s="63"/>
      <c r="E900" s="231">
        <v>279.29000000000002</v>
      </c>
      <c r="F900" s="899"/>
      <c r="G900" s="1152" t="s">
        <v>9</v>
      </c>
    </row>
    <row r="901" spans="1:7">
      <c r="A901" s="884">
        <v>46124</v>
      </c>
      <c r="B901" s="240" t="str">
        <f>TiposLancamentos!B5</f>
        <v>Supermercado</v>
      </c>
      <c r="C901" s="878" t="s">
        <v>2153</v>
      </c>
      <c r="D901" s="63"/>
      <c r="E901" s="231">
        <v>7.6</v>
      </c>
      <c r="F901" s="899"/>
      <c r="G901" s="1152" t="s">
        <v>9</v>
      </c>
    </row>
    <row r="902" spans="1:7">
      <c r="A902" s="858">
        <v>46125</v>
      </c>
      <c r="B902" s="822" t="str">
        <f>TiposLancamentos!B56</f>
        <v>Farmácia</v>
      </c>
      <c r="C902" s="1396" t="s">
        <v>2431</v>
      </c>
      <c r="D902" s="747"/>
      <c r="E902" s="1139">
        <v>120.74</v>
      </c>
      <c r="F902" s="1454"/>
      <c r="G902" s="1152" t="s">
        <v>9</v>
      </c>
    </row>
    <row r="903" spans="1:7">
      <c r="A903" s="860">
        <v>46125</v>
      </c>
      <c r="B903" s="275" t="str">
        <f>TiposLancamentos!B16</f>
        <v>Cristiane</v>
      </c>
      <c r="C903" s="1443" t="s">
        <v>2432</v>
      </c>
      <c r="D903" s="51"/>
      <c r="E903" s="1147">
        <v>71.98</v>
      </c>
      <c r="F903" s="899"/>
      <c r="G903" s="1152" t="s">
        <v>9</v>
      </c>
    </row>
    <row r="904" spans="1:7">
      <c r="A904" s="862">
        <v>46125</v>
      </c>
      <c r="B904" s="823" t="str">
        <f>TiposLancamentos!B60</f>
        <v>Correio</v>
      </c>
      <c r="C904" s="1448" t="s">
        <v>2433</v>
      </c>
      <c r="D904" s="849"/>
      <c r="E904" s="1141">
        <v>7.9</v>
      </c>
      <c r="F904" s="1456">
        <v>200.62</v>
      </c>
      <c r="G904" s="1152" t="s">
        <v>9</v>
      </c>
    </row>
    <row r="905" spans="1:7">
      <c r="A905" s="884">
        <v>46125</v>
      </c>
      <c r="B905" s="240" t="str">
        <f>TiposLancamentos!B5</f>
        <v>Supermercado</v>
      </c>
      <c r="C905" s="878" t="s">
        <v>1884</v>
      </c>
      <c r="D905" s="63"/>
      <c r="E905" s="231">
        <v>7.2</v>
      </c>
      <c r="F905" s="899"/>
      <c r="G905" s="1152" t="s">
        <v>9</v>
      </c>
    </row>
    <row r="906" spans="1:7">
      <c r="A906" s="884">
        <v>46125</v>
      </c>
      <c r="B906" s="240" t="str">
        <f>TiposLancamentos!B5</f>
        <v>Supermercado</v>
      </c>
      <c r="C906" s="1952" t="s">
        <v>2153</v>
      </c>
      <c r="D906" s="63"/>
      <c r="E906" s="231">
        <v>43.48</v>
      </c>
      <c r="F906" s="899"/>
      <c r="G906" s="1152" t="s">
        <v>9</v>
      </c>
    </row>
    <row r="907" spans="1:7">
      <c r="A907" s="884">
        <v>46126</v>
      </c>
      <c r="B907" s="240" t="str">
        <f>TiposLancamentos!B19</f>
        <v>Restaurantes</v>
      </c>
      <c r="C907" s="878" t="s">
        <v>2224</v>
      </c>
      <c r="D907" s="63"/>
      <c r="E907" s="231">
        <v>45.93</v>
      </c>
      <c r="F907" s="899"/>
      <c r="G907" s="1152" t="s">
        <v>9</v>
      </c>
    </row>
    <row r="908" spans="1:7">
      <c r="A908" s="884">
        <v>46126</v>
      </c>
      <c r="B908" s="240" t="str">
        <f>TiposLancamentos!B32</f>
        <v>Clinicas e tratamentos</v>
      </c>
      <c r="C908" s="878" t="s">
        <v>2434</v>
      </c>
      <c r="D908" s="63"/>
      <c r="E908" s="231">
        <v>247</v>
      </c>
      <c r="F908" s="899"/>
      <c r="G908" s="1152" t="s">
        <v>9</v>
      </c>
    </row>
    <row r="909" spans="1:7">
      <c r="A909" s="884">
        <v>46126</v>
      </c>
      <c r="B909" s="240" t="str">
        <f>TiposLancamentos!B65</f>
        <v>Taxi</v>
      </c>
      <c r="C909" s="878" t="s">
        <v>2383</v>
      </c>
      <c r="D909" s="63"/>
      <c r="E909" s="231">
        <v>19.98</v>
      </c>
      <c r="F909" s="899"/>
      <c r="G909" s="1152" t="s">
        <v>9</v>
      </c>
    </row>
    <row r="910" spans="1:7">
      <c r="A910" s="884">
        <v>46126</v>
      </c>
      <c r="B910" s="240" t="str">
        <f>TiposLancamentos!B65</f>
        <v>Taxi</v>
      </c>
      <c r="C910" s="878" t="s">
        <v>2384</v>
      </c>
      <c r="D910" s="63"/>
      <c r="E910" s="231">
        <v>12.98</v>
      </c>
      <c r="F910" s="899"/>
      <c r="G910" s="1152" t="s">
        <v>9</v>
      </c>
    </row>
    <row r="911" spans="1:7">
      <c r="A911" s="884">
        <v>46126</v>
      </c>
      <c r="B911" s="240" t="str">
        <f>TiposLancamentos!B5</f>
        <v>Supermercado</v>
      </c>
      <c r="C911" s="878" t="s">
        <v>2435</v>
      </c>
      <c r="D911" s="63"/>
      <c r="E911" s="231">
        <v>14.8</v>
      </c>
      <c r="F911" s="899"/>
      <c r="G911" s="1152" t="s">
        <v>9</v>
      </c>
    </row>
    <row r="912" spans="1:7">
      <c r="A912" s="884">
        <v>46126</v>
      </c>
      <c r="B912" s="240" t="str">
        <f>TiposLancamentos!B5</f>
        <v>Supermercado</v>
      </c>
      <c r="C912" s="878" t="s">
        <v>2436</v>
      </c>
      <c r="D912" s="63"/>
      <c r="E912" s="231">
        <v>26.79</v>
      </c>
      <c r="F912" s="899"/>
      <c r="G912" s="1152" t="s">
        <v>9</v>
      </c>
    </row>
    <row r="913" spans="1:7">
      <c r="A913" s="884">
        <v>46127</v>
      </c>
      <c r="B913" s="240" t="str">
        <f>TiposLancamentos!B19</f>
        <v>Restaurantes</v>
      </c>
      <c r="C913" s="878" t="s">
        <v>2224</v>
      </c>
      <c r="D913" s="63"/>
      <c r="E913" s="231">
        <v>34.31</v>
      </c>
      <c r="F913" s="899"/>
      <c r="G913" s="1152" t="s">
        <v>9</v>
      </c>
    </row>
    <row r="914" spans="1:7">
      <c r="A914" s="884">
        <v>46127</v>
      </c>
      <c r="B914" s="240" t="str">
        <f>TiposLancamentos!B5</f>
        <v>Supermercado</v>
      </c>
      <c r="C914" s="878" t="s">
        <v>2437</v>
      </c>
      <c r="D914" s="63"/>
      <c r="E914" s="231">
        <v>11.4</v>
      </c>
      <c r="F914" s="899"/>
      <c r="G914" s="1152" t="s">
        <v>9</v>
      </c>
    </row>
    <row r="915" spans="1:7">
      <c r="A915" s="934"/>
      <c r="B915" s="243"/>
      <c r="C915" s="389" t="s">
        <v>10</v>
      </c>
      <c r="D915" s="146"/>
      <c r="E915" s="1190"/>
      <c r="F915" s="935"/>
      <c r="G915" s="1094" t="s">
        <v>11</v>
      </c>
    </row>
    <row r="916" spans="1:7">
      <c r="A916" s="884">
        <v>46128</v>
      </c>
      <c r="B916" s="240" t="str">
        <f>TiposLancamentos!B5</f>
        <v>Supermercado</v>
      </c>
      <c r="C916" s="878" t="s">
        <v>2438</v>
      </c>
      <c r="D916" s="63"/>
      <c r="E916" s="231">
        <v>161.61000000000001</v>
      </c>
      <c r="F916" s="899"/>
      <c r="G916" s="1152" t="s">
        <v>9</v>
      </c>
    </row>
    <row r="917" spans="1:7">
      <c r="A917" s="884">
        <v>46128</v>
      </c>
      <c r="B917" s="240" t="str">
        <f>TiposLancamentos!B56</f>
        <v>Farmácia</v>
      </c>
      <c r="C917" s="878" t="s">
        <v>2439</v>
      </c>
      <c r="D917" s="63"/>
      <c r="E917" s="231">
        <v>58.69</v>
      </c>
      <c r="F917" s="899"/>
      <c r="G917" s="1152" t="s">
        <v>9</v>
      </c>
    </row>
    <row r="918" spans="1:7">
      <c r="A918" s="884">
        <v>46129</v>
      </c>
      <c r="B918" s="240" t="str">
        <f>TiposLancamentos!B19</f>
        <v>Restaurantes</v>
      </c>
      <c r="C918" s="878" t="s">
        <v>2270</v>
      </c>
      <c r="D918" s="63"/>
      <c r="E918" s="231">
        <v>21.9</v>
      </c>
      <c r="F918" s="899"/>
      <c r="G918" s="1152" t="s">
        <v>9</v>
      </c>
    </row>
    <row r="919" spans="1:7">
      <c r="A919" s="884">
        <v>46129</v>
      </c>
      <c r="B919" s="240" t="str">
        <f>TiposLancamentos!B17</f>
        <v>GATO</v>
      </c>
      <c r="C919" s="878" t="s">
        <v>2440</v>
      </c>
      <c r="D919" s="63"/>
      <c r="E919" s="231">
        <v>22.28</v>
      </c>
      <c r="F919" s="899"/>
      <c r="G919" s="1152" t="s">
        <v>9</v>
      </c>
    </row>
    <row r="920" spans="1:7">
      <c r="A920" s="884">
        <v>46129</v>
      </c>
      <c r="B920" s="240" t="str">
        <f>TiposLancamentos!B16</f>
        <v>Cristiane</v>
      </c>
      <c r="C920" s="878" t="s">
        <v>2441</v>
      </c>
      <c r="D920" s="63"/>
      <c r="E920" s="231">
        <v>29</v>
      </c>
      <c r="F920" s="899"/>
      <c r="G920" s="1152" t="s">
        <v>9</v>
      </c>
    </row>
    <row r="921" spans="1:7">
      <c r="A921" s="884">
        <v>46129</v>
      </c>
      <c r="B921" s="240" t="str">
        <f>TiposLancamentos!B19</f>
        <v>Restaurantes</v>
      </c>
      <c r="C921" s="878" t="s">
        <v>2416</v>
      </c>
      <c r="D921" s="63"/>
      <c r="E921" s="231">
        <v>85.97</v>
      </c>
      <c r="F921" s="899"/>
      <c r="G921" s="1152" t="s">
        <v>9</v>
      </c>
    </row>
    <row r="922" spans="1:7">
      <c r="A922" s="884">
        <v>46130</v>
      </c>
      <c r="B922" s="240" t="str">
        <f>TiposLancamentos!B19</f>
        <v>Restaurantes</v>
      </c>
      <c r="C922" s="878" t="s">
        <v>2442</v>
      </c>
      <c r="D922" s="63"/>
      <c r="E922" s="231">
        <v>41.6</v>
      </c>
      <c r="F922" s="899"/>
      <c r="G922" s="1152" t="s">
        <v>9</v>
      </c>
    </row>
    <row r="923" spans="1:7">
      <c r="A923" s="884">
        <v>46130</v>
      </c>
      <c r="B923" s="240" t="str">
        <f>TiposLancamentos!B19</f>
        <v>Restaurantes</v>
      </c>
      <c r="C923" s="878" t="s">
        <v>2443</v>
      </c>
      <c r="D923" s="63"/>
      <c r="E923" s="231">
        <v>366.58</v>
      </c>
      <c r="F923" s="899"/>
      <c r="G923" s="1152" t="s">
        <v>9</v>
      </c>
    </row>
    <row r="924" spans="1:7">
      <c r="A924" s="884">
        <v>46131</v>
      </c>
      <c r="B924" s="240" t="str">
        <f>TiposLancamentos!B19</f>
        <v>Restaurantes</v>
      </c>
      <c r="C924" s="878" t="s">
        <v>2444</v>
      </c>
      <c r="D924" s="63"/>
      <c r="E924" s="231">
        <v>160.16</v>
      </c>
      <c r="F924" s="899"/>
      <c r="G924" s="1152" t="s">
        <v>9</v>
      </c>
    </row>
    <row r="925" spans="1:7">
      <c r="A925" s="884">
        <v>46131</v>
      </c>
      <c r="B925" s="240" t="str">
        <f>TiposLancamentos!B5</f>
        <v>Supermercado</v>
      </c>
      <c r="C925" s="878" t="s">
        <v>2413</v>
      </c>
      <c r="D925" s="63"/>
      <c r="E925" s="231">
        <v>25.99</v>
      </c>
      <c r="F925" s="899"/>
      <c r="G925" s="1152" t="s">
        <v>9</v>
      </c>
    </row>
    <row r="926" spans="1:7">
      <c r="A926" s="884">
        <v>46131</v>
      </c>
      <c r="B926" s="240" t="str">
        <f>TiposLancamentos!B5</f>
        <v>Supermercado</v>
      </c>
      <c r="C926" s="878" t="s">
        <v>2153</v>
      </c>
      <c r="D926" s="63"/>
      <c r="E926" s="231">
        <v>26.4</v>
      </c>
      <c r="F926" s="899"/>
      <c r="G926" s="1152" t="s">
        <v>9</v>
      </c>
    </row>
    <row r="927" spans="1:7">
      <c r="A927" s="884">
        <v>46132</v>
      </c>
      <c r="B927" s="240" t="str">
        <f>TiposLancamentos!B19</f>
        <v>Restaurantes</v>
      </c>
      <c r="C927" s="878" t="s">
        <v>2270</v>
      </c>
      <c r="D927" s="63"/>
      <c r="E927" s="231">
        <v>21.9</v>
      </c>
      <c r="F927" s="899"/>
      <c r="G927" s="1152" t="s">
        <v>9</v>
      </c>
    </row>
    <row r="928" spans="1:7">
      <c r="A928" s="884">
        <v>46132</v>
      </c>
      <c r="B928" s="240" t="str">
        <f>TiposLancamentos!B5</f>
        <v>Supermercado</v>
      </c>
      <c r="C928" s="878" t="s">
        <v>2445</v>
      </c>
      <c r="D928" s="63"/>
      <c r="E928" s="231">
        <v>31.38</v>
      </c>
      <c r="F928" s="899"/>
      <c r="G928" s="1152" t="s">
        <v>9</v>
      </c>
    </row>
    <row r="929" spans="1:7">
      <c r="A929" s="884">
        <v>46133</v>
      </c>
      <c r="B929" s="240" t="str">
        <f>TiposLancamentos!B19</f>
        <v>Restaurantes</v>
      </c>
      <c r="C929" s="878" t="s">
        <v>2446</v>
      </c>
      <c r="D929" s="63"/>
      <c r="E929" s="231">
        <v>108.35</v>
      </c>
      <c r="F929" s="899"/>
      <c r="G929" s="1152" t="s">
        <v>9</v>
      </c>
    </row>
    <row r="930" spans="1:7">
      <c r="A930" s="884">
        <v>46134</v>
      </c>
      <c r="B930" s="240" t="str">
        <f>TiposLancamentos!B19</f>
        <v>Restaurantes</v>
      </c>
      <c r="C930" s="878" t="s">
        <v>2224</v>
      </c>
      <c r="D930" s="63"/>
      <c r="E930" s="231">
        <v>37.61</v>
      </c>
      <c r="F930" s="899"/>
      <c r="G930" s="1152" t="s">
        <v>9</v>
      </c>
    </row>
    <row r="931" spans="1:7">
      <c r="A931" s="884">
        <v>46134</v>
      </c>
      <c r="B931" s="240" t="str">
        <f>TiposLancamentos!B56</f>
        <v>Farmácia</v>
      </c>
      <c r="C931" s="878" t="s">
        <v>2447</v>
      </c>
      <c r="D931" s="63"/>
      <c r="E931" s="231">
        <v>39.380000000000003</v>
      </c>
      <c r="F931" s="899"/>
      <c r="G931" s="1152" t="s">
        <v>9</v>
      </c>
    </row>
    <row r="932" spans="1:7">
      <c r="A932" s="884">
        <v>46134</v>
      </c>
      <c r="B932" s="240" t="str">
        <f>TiposLancamentos!B5</f>
        <v>Supermercado</v>
      </c>
      <c r="C932" s="878" t="s">
        <v>2448</v>
      </c>
      <c r="D932" s="63"/>
      <c r="E932" s="231">
        <v>23.94</v>
      </c>
      <c r="F932" s="899"/>
      <c r="G932" s="1152" t="s">
        <v>9</v>
      </c>
    </row>
    <row r="933" spans="1:7">
      <c r="A933" s="884">
        <v>46135</v>
      </c>
      <c r="B933" s="240" t="str">
        <f>TiposLancamentos!B24</f>
        <v>Estacionamentos</v>
      </c>
      <c r="C933" s="878" t="s">
        <v>2449</v>
      </c>
      <c r="D933" s="63"/>
      <c r="E933" s="231">
        <v>15</v>
      </c>
      <c r="F933" s="899"/>
      <c r="G933" s="1152" t="s">
        <v>9</v>
      </c>
    </row>
    <row r="934" spans="1:7">
      <c r="A934" s="884">
        <v>46135</v>
      </c>
      <c r="B934" s="240" t="str">
        <f>TiposLancamentos!B19</f>
        <v>Restaurantes</v>
      </c>
      <c r="C934" s="878" t="s">
        <v>2224</v>
      </c>
      <c r="D934" s="63"/>
      <c r="E934" s="231">
        <v>29.65</v>
      </c>
      <c r="F934" s="899"/>
      <c r="G934" s="1152" t="s">
        <v>9</v>
      </c>
    </row>
    <row r="935" spans="1:7">
      <c r="A935" s="884">
        <v>46135</v>
      </c>
      <c r="B935" s="240" t="str">
        <f>TiposLancamentos!B19</f>
        <v>Restaurantes</v>
      </c>
      <c r="C935" s="878" t="s">
        <v>2450</v>
      </c>
      <c r="D935" s="63"/>
      <c r="E935" s="231">
        <v>85.97</v>
      </c>
      <c r="F935" s="899"/>
      <c r="G935" s="1152" t="s">
        <v>9</v>
      </c>
    </row>
    <row r="936" spans="1:7">
      <c r="A936" s="884">
        <v>46135</v>
      </c>
      <c r="B936" s="240" t="str">
        <f>TiposLancamentos!B71</f>
        <v>Itens Pessoais</v>
      </c>
      <c r="C936" s="878" t="s">
        <v>2451</v>
      </c>
      <c r="D936" s="63"/>
      <c r="E936" s="231">
        <v>354.76</v>
      </c>
      <c r="F936" s="899">
        <v>1064.3</v>
      </c>
      <c r="G936" s="1152" t="s">
        <v>9</v>
      </c>
    </row>
    <row r="937" spans="1:7">
      <c r="A937" s="884">
        <v>46136</v>
      </c>
      <c r="B937" s="240" t="str">
        <f>TiposLancamentos!B5</f>
        <v>Supermercado</v>
      </c>
      <c r="C937" s="878" t="s">
        <v>2452</v>
      </c>
      <c r="D937" s="63"/>
      <c r="E937" s="231">
        <v>16.190000000000001</v>
      </c>
      <c r="F937" s="899"/>
      <c r="G937" s="1152" t="s">
        <v>9</v>
      </c>
    </row>
    <row r="938" spans="1:7">
      <c r="A938" s="884">
        <v>46137</v>
      </c>
      <c r="B938" s="240" t="str">
        <f>TiposLancamentos!B17</f>
        <v>GATO</v>
      </c>
      <c r="C938" s="878" t="s">
        <v>2180</v>
      </c>
      <c r="D938" s="63"/>
      <c r="E938" s="231">
        <v>140.54</v>
      </c>
      <c r="F938" s="899"/>
      <c r="G938" s="1152" t="s">
        <v>9</v>
      </c>
    </row>
    <row r="939" spans="1:7">
      <c r="A939" s="884">
        <v>46137</v>
      </c>
      <c r="B939" s="240" t="str">
        <f>TiposLancamentos!B65</f>
        <v>Taxi</v>
      </c>
      <c r="C939" s="878" t="s">
        <v>2453</v>
      </c>
      <c r="D939" s="63"/>
      <c r="E939" s="231">
        <v>9.99</v>
      </c>
      <c r="F939" s="899"/>
      <c r="G939" s="1152" t="s">
        <v>9</v>
      </c>
    </row>
    <row r="940" spans="1:7">
      <c r="A940" s="884">
        <v>46137</v>
      </c>
      <c r="B940" s="240" t="str">
        <f>TiposLancamentos!B65</f>
        <v>Taxi</v>
      </c>
      <c r="C940" s="878" t="s">
        <v>2454</v>
      </c>
      <c r="D940" s="63"/>
      <c r="E940" s="231">
        <v>14.98</v>
      </c>
      <c r="F940" s="899"/>
      <c r="G940" s="1152" t="s">
        <v>9</v>
      </c>
    </row>
    <row r="941" spans="1:7">
      <c r="A941" s="884">
        <v>46138</v>
      </c>
      <c r="B941" s="240" t="str">
        <f>TiposLancamentos!B5</f>
        <v>Supermercado</v>
      </c>
      <c r="C941" s="878" t="s">
        <v>1884</v>
      </c>
      <c r="D941" s="63"/>
      <c r="E941" s="231">
        <v>22.49</v>
      </c>
      <c r="F941" s="899"/>
      <c r="G941" s="1152" t="s">
        <v>9</v>
      </c>
    </row>
    <row r="942" spans="1:7">
      <c r="A942" s="884">
        <v>46140</v>
      </c>
      <c r="B942" s="240" t="str">
        <f>TiposLancamentos!B19</f>
        <v>Restaurantes</v>
      </c>
      <c r="C942" s="878" t="s">
        <v>2224</v>
      </c>
      <c r="D942" s="63"/>
      <c r="E942" s="231">
        <v>33.49</v>
      </c>
      <c r="F942" s="899"/>
      <c r="G942" s="1152" t="s">
        <v>9</v>
      </c>
    </row>
    <row r="943" spans="1:7">
      <c r="A943" s="884">
        <v>46140</v>
      </c>
      <c r="B943" s="240" t="str">
        <f>TiposLancamentos!B22</f>
        <v>Combustivel</v>
      </c>
      <c r="C943" s="878" t="s">
        <v>2455</v>
      </c>
      <c r="D943" s="63"/>
      <c r="E943" s="231">
        <v>100</v>
      </c>
      <c r="F943" s="899"/>
      <c r="G943" s="1152" t="s">
        <v>9</v>
      </c>
    </row>
    <row r="944" spans="1:7">
      <c r="A944" s="884">
        <v>46140</v>
      </c>
      <c r="B944" s="240" t="str">
        <f>TiposLancamentos!B24</f>
        <v>Estacionamentos</v>
      </c>
      <c r="C944" s="878" t="s">
        <v>1898</v>
      </c>
      <c r="D944" s="63"/>
      <c r="E944" s="231">
        <v>25</v>
      </c>
      <c r="F944" s="899"/>
      <c r="G944" s="1152" t="s">
        <v>9</v>
      </c>
    </row>
    <row r="945" spans="1:7">
      <c r="A945" s="884">
        <v>46141</v>
      </c>
      <c r="B945" s="240" t="str">
        <f>TiposLancamentos!B19</f>
        <v>Restaurantes</v>
      </c>
      <c r="C945" s="878" t="s">
        <v>2224</v>
      </c>
      <c r="D945" s="63"/>
      <c r="E945" s="231">
        <v>30.47</v>
      </c>
      <c r="F945" s="899"/>
      <c r="G945" s="1152" t="s">
        <v>9</v>
      </c>
    </row>
    <row r="946" spans="1:7">
      <c r="A946" s="884">
        <v>46141</v>
      </c>
      <c r="B946" s="240" t="str">
        <f>TiposLancamentos!B5</f>
        <v>Supermercado</v>
      </c>
      <c r="C946" s="878" t="s">
        <v>1884</v>
      </c>
      <c r="D946" s="63"/>
      <c r="E946" s="231">
        <v>8.5</v>
      </c>
      <c r="F946" s="899"/>
      <c r="G946" s="1152" t="s">
        <v>9</v>
      </c>
    </row>
    <row r="947" spans="1:7">
      <c r="A947" s="884">
        <v>46141</v>
      </c>
      <c r="B947" s="240" t="str">
        <f>TiposLancamentos!B17</f>
        <v>GATO</v>
      </c>
      <c r="C947" s="878" t="s">
        <v>2456</v>
      </c>
      <c r="D947" s="63"/>
      <c r="E947" s="231">
        <v>22</v>
      </c>
      <c r="F947" s="899"/>
      <c r="G947" s="1152" t="s">
        <v>9</v>
      </c>
    </row>
    <row r="948" spans="1:7">
      <c r="A948" s="884">
        <v>46142</v>
      </c>
      <c r="B948" s="240" t="str">
        <f>TiposLancamentos!B39</f>
        <v>Playstation 5</v>
      </c>
      <c r="C948" s="878" t="s">
        <v>2457</v>
      </c>
      <c r="D948" s="63"/>
      <c r="E948" s="231">
        <v>81.08</v>
      </c>
      <c r="F948" s="899">
        <v>810.33</v>
      </c>
      <c r="G948" s="1152" t="s">
        <v>9</v>
      </c>
    </row>
    <row r="949" spans="1:7">
      <c r="A949" s="884">
        <v>46142</v>
      </c>
      <c r="B949" s="240" t="str">
        <f>TiposLancamentos!B19</f>
        <v>Restaurantes</v>
      </c>
      <c r="C949" s="878" t="s">
        <v>2270</v>
      </c>
      <c r="D949" s="63"/>
      <c r="E949" s="231">
        <v>58.96</v>
      </c>
      <c r="F949" s="899"/>
      <c r="G949" s="1152" t="s">
        <v>9</v>
      </c>
    </row>
    <row r="950" spans="1:7" ht="14.25" thickBot="1">
      <c r="A950" s="884">
        <v>46142</v>
      </c>
      <c r="B950" s="240" t="str">
        <f>TiposLancamentos!B5</f>
        <v>Supermercado</v>
      </c>
      <c r="C950" s="878" t="s">
        <v>1884</v>
      </c>
      <c r="D950" s="63"/>
      <c r="E950" s="231">
        <v>8.99</v>
      </c>
      <c r="F950" s="899"/>
      <c r="G950" s="1152" t="s">
        <v>9</v>
      </c>
    </row>
    <row r="951" spans="1:7">
      <c r="A951" s="1032"/>
      <c r="B951" s="1230"/>
      <c r="C951" s="1092" t="s">
        <v>1658</v>
      </c>
      <c r="D951" s="896"/>
      <c r="E951" s="925"/>
      <c r="F951" s="898">
        <f>SUM(E821:E914)</f>
        <v>5481.5599999999968</v>
      </c>
    </row>
    <row r="952" spans="1:7">
      <c r="A952" s="884">
        <v>46146</v>
      </c>
      <c r="B952" s="240" t="str">
        <f>TiposLancamentos!B15</f>
        <v>Cartões de Crédito</v>
      </c>
      <c r="C952" s="878" t="s">
        <v>1874</v>
      </c>
      <c r="D952" s="63">
        <v>5481.56</v>
      </c>
      <c r="E952" s="231"/>
      <c r="F952" s="899">
        <f>F951-F869</f>
        <v>3358.0999999999972</v>
      </c>
      <c r="G952" s="1152" t="s">
        <v>9</v>
      </c>
    </row>
    <row r="953" spans="1:7">
      <c r="A953" s="884">
        <v>46146</v>
      </c>
      <c r="B953" s="240" t="str">
        <f>TiposLancamentos!B13</f>
        <v>Moradia</v>
      </c>
      <c r="C953" s="878" t="s">
        <v>2458</v>
      </c>
      <c r="D953" s="63"/>
      <c r="E953" s="231">
        <f>F953/2</f>
        <v>194.14</v>
      </c>
      <c r="F953" s="899">
        <v>388.28</v>
      </c>
      <c r="G953" s="1152" t="s">
        <v>9</v>
      </c>
    </row>
    <row r="954" spans="1:7">
      <c r="A954" s="858">
        <v>46147</v>
      </c>
      <c r="B954" s="822" t="str">
        <f>TiposLancamentos!B19</f>
        <v>Restaurantes</v>
      </c>
      <c r="C954" s="1396" t="s">
        <v>2270</v>
      </c>
      <c r="D954" s="747"/>
      <c r="E954" s="1139">
        <v>21.9</v>
      </c>
      <c r="F954" s="1454"/>
      <c r="G954" s="1152" t="s">
        <v>9</v>
      </c>
    </row>
    <row r="955" spans="1:7">
      <c r="A955" s="862">
        <v>46147</v>
      </c>
      <c r="B955" s="823" t="str">
        <f>TiposLancamentos!B5</f>
        <v>Supermercado</v>
      </c>
      <c r="C955" s="1448" t="s">
        <v>2459</v>
      </c>
      <c r="D955" s="849"/>
      <c r="E955" s="1141">
        <f>F955-E954</f>
        <v>85.25</v>
      </c>
      <c r="F955" s="1456">
        <v>107.15</v>
      </c>
      <c r="G955" s="1152" t="s">
        <v>9</v>
      </c>
    </row>
    <row r="956" spans="1:7">
      <c r="A956" s="884">
        <v>46147</v>
      </c>
      <c r="B956" s="240" t="str">
        <f>TiposLancamentos!B65</f>
        <v>Taxi</v>
      </c>
      <c r="C956" s="878" t="s">
        <v>2460</v>
      </c>
      <c r="D956" s="63"/>
      <c r="E956" s="231">
        <v>12.97</v>
      </c>
      <c r="F956" s="899"/>
      <c r="G956" s="1152" t="s">
        <v>9</v>
      </c>
    </row>
    <row r="957" spans="1:7">
      <c r="A957" s="884">
        <v>46148</v>
      </c>
      <c r="B957" s="240" t="str">
        <f>TiposLancamentos!B5</f>
        <v>Supermercado</v>
      </c>
      <c r="C957" s="878" t="s">
        <v>2153</v>
      </c>
      <c r="D957" s="63"/>
      <c r="E957" s="231">
        <v>16.989999999999998</v>
      </c>
      <c r="F957" s="899"/>
      <c r="G957" s="1152" t="s">
        <v>9</v>
      </c>
    </row>
    <row r="958" spans="1:7">
      <c r="A958" s="884">
        <v>46149</v>
      </c>
      <c r="B958" s="240" t="str">
        <f>TiposLancamentos!B57</f>
        <v>Informática</v>
      </c>
      <c r="C958" s="878" t="s">
        <v>2461</v>
      </c>
      <c r="D958" s="63"/>
      <c r="E958" s="231">
        <v>4.3899999999999997</v>
      </c>
      <c r="F958" s="899"/>
      <c r="G958" s="1152" t="s">
        <v>9</v>
      </c>
    </row>
    <row r="959" spans="1:7">
      <c r="A959" s="884">
        <v>46149</v>
      </c>
      <c r="B959" s="240" t="str">
        <f>TiposLancamentos!B19</f>
        <v>Restaurantes</v>
      </c>
      <c r="C959" s="878" t="s">
        <v>2224</v>
      </c>
      <c r="D959" s="63"/>
      <c r="E959" s="231">
        <v>23.61</v>
      </c>
      <c r="F959" s="899"/>
      <c r="G959" s="1152" t="s">
        <v>9</v>
      </c>
    </row>
    <row r="960" spans="1:7">
      <c r="A960" s="884">
        <v>46149</v>
      </c>
      <c r="B960" s="240" t="str">
        <f>TiposLancamentos!B5</f>
        <v>Supermercado</v>
      </c>
      <c r="C960" s="878" t="s">
        <v>2153</v>
      </c>
      <c r="D960" s="63"/>
      <c r="E960" s="231">
        <v>7.5</v>
      </c>
      <c r="F960" s="899"/>
      <c r="G960" s="1152" t="s">
        <v>9</v>
      </c>
    </row>
    <row r="961" spans="1:7">
      <c r="A961" s="858">
        <v>46150</v>
      </c>
      <c r="B961" s="822" t="str">
        <f>TiposLancamentos!B28</f>
        <v>ComicBook</v>
      </c>
      <c r="C961" s="1396" t="s">
        <v>2462</v>
      </c>
      <c r="D961" s="747"/>
      <c r="E961" s="1139">
        <v>49.9</v>
      </c>
      <c r="F961" s="1454"/>
      <c r="G961" s="1152" t="s">
        <v>9</v>
      </c>
    </row>
    <row r="962" spans="1:7" ht="11.25" customHeight="1">
      <c r="A962" s="862">
        <v>46150</v>
      </c>
      <c r="B962" s="823" t="str">
        <f>TiposLancamentos!B60</f>
        <v>Correio</v>
      </c>
      <c r="C962" s="1448" t="s">
        <v>2463</v>
      </c>
      <c r="D962" s="849"/>
      <c r="E962" s="1141">
        <v>9.48</v>
      </c>
      <c r="F962" s="1456">
        <f>SUM(E961:E962)</f>
        <v>59.379999999999995</v>
      </c>
      <c r="G962" s="1152" t="s">
        <v>9</v>
      </c>
    </row>
    <row r="963" spans="1:7">
      <c r="A963" s="884">
        <v>46150</v>
      </c>
      <c r="B963" s="240" t="str">
        <f>TiposLancamentos!B5</f>
        <v>Supermercado</v>
      </c>
      <c r="C963" s="878" t="s">
        <v>2464</v>
      </c>
      <c r="D963" s="63"/>
      <c r="E963" s="231">
        <v>85.97</v>
      </c>
      <c r="F963" s="899"/>
      <c r="G963" s="1152" t="s">
        <v>9</v>
      </c>
    </row>
    <row r="964" spans="1:7">
      <c r="A964" s="884">
        <v>46150</v>
      </c>
      <c r="B964" s="240" t="str">
        <f>TiposLancamentos!B5</f>
        <v>Supermercado</v>
      </c>
      <c r="C964" s="878" t="s">
        <v>2153</v>
      </c>
      <c r="D964" s="63"/>
      <c r="E964" s="231">
        <v>12.59</v>
      </c>
      <c r="F964" s="899"/>
      <c r="G964" s="1152" t="s">
        <v>9</v>
      </c>
    </row>
    <row r="965" spans="1:7">
      <c r="A965" s="884">
        <v>46150</v>
      </c>
      <c r="B965" s="240" t="str">
        <f>TiposLancamentos!B4</f>
        <v>Taxas Bancarias</v>
      </c>
      <c r="C965" s="878" t="s">
        <v>2465</v>
      </c>
      <c r="D965" s="63"/>
      <c r="E965" s="231">
        <v>0.15</v>
      </c>
      <c r="F965" s="899"/>
      <c r="G965" s="1152" t="s">
        <v>9</v>
      </c>
    </row>
    <row r="966" spans="1:7">
      <c r="A966" s="884">
        <v>46151</v>
      </c>
      <c r="B966" s="240" t="str">
        <f>TiposLancamentos!B75</f>
        <v>Shows</v>
      </c>
      <c r="C966" s="878" t="s">
        <v>2466</v>
      </c>
      <c r="D966" s="63"/>
      <c r="E966" s="231">
        <v>27</v>
      </c>
      <c r="F966" s="899"/>
      <c r="G966" s="1152" t="s">
        <v>9</v>
      </c>
    </row>
    <row r="967" spans="1:7" ht="12" customHeight="1">
      <c r="A967" s="884">
        <v>46151</v>
      </c>
      <c r="B967" s="240" t="str">
        <f>TiposLancamentos!B5</f>
        <v>Supermercado</v>
      </c>
      <c r="C967" s="878" t="s">
        <v>1884</v>
      </c>
      <c r="D967" s="63"/>
      <c r="E967" s="231">
        <v>11.99</v>
      </c>
      <c r="F967" s="899"/>
      <c r="G967" s="1152" t="s">
        <v>9</v>
      </c>
    </row>
    <row r="968" spans="1:7" ht="12" customHeight="1">
      <c r="A968" s="884">
        <v>46151</v>
      </c>
      <c r="B968" s="240" t="str">
        <f>TiposLancamentos!B72</f>
        <v>Presentes</v>
      </c>
      <c r="C968" s="878" t="s">
        <v>2467</v>
      </c>
      <c r="D968" s="63"/>
      <c r="E968" s="231">
        <v>154.88</v>
      </c>
      <c r="F968" s="899"/>
      <c r="G968" s="1152" t="s">
        <v>9</v>
      </c>
    </row>
    <row r="969" spans="1:7">
      <c r="A969" s="884">
        <v>46151</v>
      </c>
      <c r="B969" s="240" t="str">
        <f>TiposLancamentos!B19</f>
        <v>Restaurantes</v>
      </c>
      <c r="C969" s="878" t="s">
        <v>2468</v>
      </c>
      <c r="D969" s="63"/>
      <c r="E969" s="231">
        <v>22</v>
      </c>
      <c r="F969" s="899"/>
      <c r="G969" s="1152" t="s">
        <v>9</v>
      </c>
    </row>
    <row r="970" spans="1:7">
      <c r="A970" s="884">
        <v>46151</v>
      </c>
      <c r="B970" s="240" t="str">
        <f>TiposLancamentos!B19</f>
        <v>Restaurantes</v>
      </c>
      <c r="C970" s="878" t="s">
        <v>2469</v>
      </c>
      <c r="D970" s="63"/>
      <c r="E970" s="231">
        <v>108.7</v>
      </c>
      <c r="F970" s="899"/>
      <c r="G970" s="1152" t="s">
        <v>9</v>
      </c>
    </row>
    <row r="971" spans="1:7">
      <c r="A971" s="884">
        <v>46151</v>
      </c>
      <c r="B971" s="240" t="str">
        <f>TiposLancamentos!B71</f>
        <v>Itens Pessoais</v>
      </c>
      <c r="C971" s="878" t="s">
        <v>2470</v>
      </c>
      <c r="D971" s="63"/>
      <c r="E971" s="231">
        <v>56.97</v>
      </c>
      <c r="F971" s="899"/>
      <c r="G971" s="1152" t="s">
        <v>9</v>
      </c>
    </row>
    <row r="972" spans="1:7">
      <c r="A972" s="884">
        <v>46152</v>
      </c>
      <c r="B972" s="240" t="str">
        <f>TiposLancamentos!B19</f>
        <v>Restaurantes</v>
      </c>
      <c r="C972" s="878" t="s">
        <v>2471</v>
      </c>
      <c r="D972" s="63"/>
      <c r="E972" s="231">
        <v>106.88</v>
      </c>
      <c r="F972" s="899"/>
      <c r="G972" s="1152" t="s">
        <v>9</v>
      </c>
    </row>
    <row r="973" spans="1:7">
      <c r="A973" s="884">
        <v>46152</v>
      </c>
      <c r="B973" s="240" t="str">
        <f>TiposLancamentos!B5</f>
        <v>Supermercado</v>
      </c>
      <c r="C973" s="878" t="s">
        <v>1884</v>
      </c>
      <c r="D973" s="63"/>
      <c r="E973" s="231">
        <v>17.5</v>
      </c>
      <c r="F973" s="899"/>
      <c r="G973" s="1152" t="s">
        <v>9</v>
      </c>
    </row>
    <row r="974" spans="1:7">
      <c r="A974" s="884">
        <v>46152</v>
      </c>
      <c r="B974" s="240" t="str">
        <f>TiposLancamentos!B5</f>
        <v>Supermercado</v>
      </c>
      <c r="C974" s="878" t="s">
        <v>1884</v>
      </c>
      <c r="D974" s="63"/>
      <c r="E974" s="231">
        <v>17.5</v>
      </c>
      <c r="F974" s="899"/>
      <c r="G974" s="1152" t="s">
        <v>9</v>
      </c>
    </row>
    <row r="975" spans="1:7">
      <c r="A975" s="884">
        <v>46153</v>
      </c>
      <c r="B975" s="240" t="str">
        <f>TiposLancamentos!B72</f>
        <v>Presentes</v>
      </c>
      <c r="C975" s="878" t="s">
        <v>2472</v>
      </c>
      <c r="D975" s="63"/>
      <c r="E975" s="231">
        <f>F975/3</f>
        <v>250</v>
      </c>
      <c r="F975" s="899">
        <v>750</v>
      </c>
      <c r="G975" s="1094" t="s">
        <v>11</v>
      </c>
    </row>
    <row r="976" spans="1:7">
      <c r="A976" s="884">
        <v>46153</v>
      </c>
      <c r="B976" s="240" t="str">
        <f>TiposLancamentos!B19</f>
        <v>Restaurantes</v>
      </c>
      <c r="C976" s="878" t="s">
        <v>2224</v>
      </c>
      <c r="D976" s="63"/>
      <c r="E976" s="231">
        <v>32.19</v>
      </c>
      <c r="F976" s="899"/>
      <c r="G976" s="1152" t="s">
        <v>9</v>
      </c>
    </row>
    <row r="977" spans="1:7">
      <c r="A977" s="884">
        <v>46153</v>
      </c>
      <c r="B977" s="240" t="str">
        <f>TiposLancamentos!B5</f>
        <v>Supermercado</v>
      </c>
      <c r="C977" s="878" t="s">
        <v>1884</v>
      </c>
      <c r="D977" s="63"/>
      <c r="E977" s="231">
        <v>8.5</v>
      </c>
      <c r="F977" s="899"/>
      <c r="G977" s="1152" t="s">
        <v>9</v>
      </c>
    </row>
    <row r="978" spans="1:7">
      <c r="A978" s="884">
        <v>46154</v>
      </c>
      <c r="B978" s="240" t="str">
        <f>TiposLancamentos!B19</f>
        <v>Restaurantes</v>
      </c>
      <c r="C978" s="878" t="s">
        <v>2270</v>
      </c>
      <c r="D978" s="63"/>
      <c r="E978" s="231">
        <v>21.9</v>
      </c>
      <c r="F978" s="899"/>
      <c r="G978" s="1152" t="s">
        <v>9</v>
      </c>
    </row>
    <row r="979" spans="1:7">
      <c r="A979" s="884">
        <v>46154</v>
      </c>
      <c r="B979" s="240" t="str">
        <f>TiposLancamentos!B17</f>
        <v>GATO</v>
      </c>
      <c r="C979" s="878" t="s">
        <v>2473</v>
      </c>
      <c r="D979" s="63"/>
      <c r="E979" s="231">
        <v>114</v>
      </c>
      <c r="F979" s="899"/>
      <c r="G979" s="1152" t="s">
        <v>9</v>
      </c>
    </row>
    <row r="980" spans="1:7">
      <c r="A980" s="884">
        <v>46154</v>
      </c>
      <c r="B980" s="240" t="str">
        <f>TiposLancamentos!B5</f>
        <v>Supermercado</v>
      </c>
      <c r="C980" s="878" t="s">
        <v>2474</v>
      </c>
      <c r="D980" s="63"/>
      <c r="E980" s="231">
        <v>104.08</v>
      </c>
      <c r="F980" s="899"/>
      <c r="G980" s="1152" t="s">
        <v>9</v>
      </c>
    </row>
    <row r="981" spans="1:7">
      <c r="A981" s="884">
        <v>46154</v>
      </c>
      <c r="B981" s="240" t="str">
        <f>TiposLancamentos!B65</f>
        <v>Taxi</v>
      </c>
      <c r="C981" s="878" t="s">
        <v>2453</v>
      </c>
      <c r="D981" s="63"/>
      <c r="E981" s="231">
        <v>12.98</v>
      </c>
      <c r="F981" s="899"/>
      <c r="G981" s="1152" t="s">
        <v>9</v>
      </c>
    </row>
    <row r="982" spans="1:7">
      <c r="A982" s="884">
        <v>46154</v>
      </c>
      <c r="B982" s="240" t="str">
        <f>TiposLancamentos!B65</f>
        <v>Taxi</v>
      </c>
      <c r="C982" s="878" t="s">
        <v>2454</v>
      </c>
      <c r="D982" s="63"/>
      <c r="E982" s="231">
        <v>12.99</v>
      </c>
      <c r="F982" s="899"/>
      <c r="G982" s="1152" t="s">
        <v>9</v>
      </c>
    </row>
    <row r="983" spans="1:7">
      <c r="A983" s="884">
        <v>46155</v>
      </c>
      <c r="B983" s="240" t="str">
        <f>TiposLancamentos!B19</f>
        <v>Restaurantes</v>
      </c>
      <c r="C983" s="878" t="s">
        <v>2224</v>
      </c>
      <c r="D983" s="63"/>
      <c r="E983" s="231">
        <v>79.05</v>
      </c>
      <c r="F983" s="899"/>
      <c r="G983" s="1152" t="s">
        <v>9</v>
      </c>
    </row>
    <row r="984" spans="1:7">
      <c r="A984" s="884">
        <v>46155</v>
      </c>
      <c r="B984" s="240" t="str">
        <f>TiposLancamentos!B5</f>
        <v>Supermercado</v>
      </c>
      <c r="C984" s="878" t="s">
        <v>2475</v>
      </c>
      <c r="D984" s="63"/>
      <c r="E984" s="231">
        <v>64.88</v>
      </c>
      <c r="F984" s="899"/>
      <c r="G984" s="1152" t="s">
        <v>9</v>
      </c>
    </row>
    <row r="985" spans="1:7">
      <c r="A985" s="884">
        <v>46155</v>
      </c>
      <c r="B985" s="240" t="str">
        <f>TiposLancamentos!B5</f>
        <v>Supermercado</v>
      </c>
      <c r="C985" s="878" t="s">
        <v>1884</v>
      </c>
      <c r="D985" s="63"/>
      <c r="E985" s="231">
        <v>7.5</v>
      </c>
      <c r="F985" s="899"/>
      <c r="G985" s="1152" t="s">
        <v>9</v>
      </c>
    </row>
    <row r="986" spans="1:7">
      <c r="A986" s="884">
        <v>46156</v>
      </c>
      <c r="B986" s="240" t="str">
        <f>TiposLancamentos!B19</f>
        <v>Restaurantes</v>
      </c>
      <c r="C986" s="878" t="s">
        <v>2224</v>
      </c>
      <c r="D986" s="63"/>
      <c r="E986" s="231">
        <v>23.88</v>
      </c>
      <c r="F986" s="899"/>
      <c r="G986" s="1152" t="s">
        <v>9</v>
      </c>
    </row>
    <row r="987" spans="1:7">
      <c r="A987" s="884">
        <v>46156</v>
      </c>
      <c r="B987" s="240" t="str">
        <f>TiposLancamentos!B56</f>
        <v>Farmácia</v>
      </c>
      <c r="C987" s="878" t="s">
        <v>2476</v>
      </c>
      <c r="D987" s="63"/>
      <c r="E987" s="231">
        <v>147.47</v>
      </c>
      <c r="F987" s="899"/>
      <c r="G987" s="1152" t="s">
        <v>9</v>
      </c>
    </row>
    <row r="988" spans="1:7">
      <c r="A988" s="884">
        <v>46156</v>
      </c>
      <c r="B988" s="240" t="str">
        <f>TiposLancamentos!B45</f>
        <v>Online Services</v>
      </c>
      <c r="C988" s="878" t="s">
        <v>2477</v>
      </c>
      <c r="D988" s="63"/>
      <c r="E988" s="231">
        <v>110</v>
      </c>
      <c r="F988" s="899"/>
      <c r="G988" s="1152" t="s">
        <v>9</v>
      </c>
    </row>
    <row r="989" spans="1:7">
      <c r="A989" s="884">
        <v>46156</v>
      </c>
      <c r="B989" s="240" t="str">
        <f>TiposLancamentos!B19</f>
        <v>Restaurantes</v>
      </c>
      <c r="C989" s="878" t="s">
        <v>2478</v>
      </c>
      <c r="D989" s="63"/>
      <c r="E989" s="231">
        <v>120.12</v>
      </c>
      <c r="F989" s="899"/>
      <c r="G989" s="1152" t="s">
        <v>9</v>
      </c>
    </row>
    <row r="990" spans="1:7">
      <c r="A990" s="884">
        <v>46156</v>
      </c>
      <c r="B990" s="240" t="str">
        <f>TiposLancamentos!B5</f>
        <v>Supermercado</v>
      </c>
      <c r="C990" s="878" t="s">
        <v>1884</v>
      </c>
      <c r="D990" s="63"/>
      <c r="E990" s="231">
        <v>9</v>
      </c>
      <c r="F990" s="899"/>
      <c r="G990" s="1152" t="s">
        <v>9</v>
      </c>
    </row>
    <row r="991" spans="1:7">
      <c r="A991" s="884"/>
      <c r="B991" s="240"/>
      <c r="C991" s="878"/>
      <c r="D991" s="63"/>
      <c r="E991" s="231"/>
      <c r="F991" s="899"/>
    </row>
    <row r="992" spans="1:7">
      <c r="A992" s="884">
        <v>46158</v>
      </c>
      <c r="B992" s="240" t="str">
        <f>TiposLancamentos!B65</f>
        <v>Taxi</v>
      </c>
      <c r="C992" s="878" t="s">
        <v>2479</v>
      </c>
      <c r="D992" s="63"/>
      <c r="E992" s="231">
        <v>10.98</v>
      </c>
      <c r="F992" s="899"/>
      <c r="G992" s="1094" t="s">
        <v>11</v>
      </c>
    </row>
    <row r="993" spans="1:7">
      <c r="A993" s="884">
        <v>46158</v>
      </c>
      <c r="B993" s="240" t="str">
        <f>TiposLancamentos!B65</f>
        <v>Taxi</v>
      </c>
      <c r="C993" s="878" t="s">
        <v>2480</v>
      </c>
      <c r="D993" s="63"/>
      <c r="E993" s="231">
        <v>17.989999999999998</v>
      </c>
      <c r="F993" s="899"/>
      <c r="G993" s="1094" t="s">
        <v>11</v>
      </c>
    </row>
    <row r="994" spans="1:7">
      <c r="A994" s="884">
        <v>46158</v>
      </c>
      <c r="B994" s="240" t="str">
        <f>TiposLancamentos!B19</f>
        <v>Restaurantes</v>
      </c>
      <c r="C994" s="878" t="s">
        <v>2481</v>
      </c>
      <c r="D994" s="63"/>
      <c r="E994" s="231">
        <v>85.47</v>
      </c>
      <c r="F994" s="899"/>
      <c r="G994" s="1094" t="s">
        <v>11</v>
      </c>
    </row>
    <row r="995" spans="1:7">
      <c r="A995" s="884">
        <v>46158</v>
      </c>
      <c r="B995" s="240" t="str">
        <f>TiposLancamentos!B65</f>
        <v>Taxi</v>
      </c>
      <c r="C995" s="878" t="s">
        <v>2104</v>
      </c>
      <c r="D995" s="63"/>
      <c r="E995" s="231">
        <v>13.98</v>
      </c>
      <c r="F995" s="899"/>
      <c r="G995" s="1094" t="s">
        <v>11</v>
      </c>
    </row>
    <row r="996" spans="1:7">
      <c r="A996" s="884">
        <v>46158</v>
      </c>
      <c r="B996" s="240" t="str">
        <f>TiposLancamentos!B5</f>
        <v>Supermercado</v>
      </c>
      <c r="C996" s="878" t="s">
        <v>2482</v>
      </c>
      <c r="D996" s="63"/>
      <c r="E996" s="231">
        <v>15</v>
      </c>
      <c r="F996" s="899"/>
      <c r="G996" s="1094" t="s">
        <v>11</v>
      </c>
    </row>
    <row r="997" spans="1:7">
      <c r="A997" s="884">
        <v>46158</v>
      </c>
      <c r="B997" s="240" t="str">
        <f>TiposLancamentos!B19</f>
        <v>Restaurantes</v>
      </c>
      <c r="C997" s="878" t="s">
        <v>2483</v>
      </c>
      <c r="D997" s="63"/>
      <c r="E997" s="231">
        <v>72.790000000000006</v>
      </c>
      <c r="F997" s="899"/>
      <c r="G997" s="1094" t="s">
        <v>11</v>
      </c>
    </row>
    <row r="998" spans="1:7">
      <c r="A998" s="884"/>
      <c r="B998" s="240"/>
      <c r="C998" s="878"/>
      <c r="D998" s="63"/>
      <c r="E998" s="231"/>
      <c r="F998" s="899"/>
    </row>
    <row r="999" spans="1:7">
      <c r="A999" s="884"/>
      <c r="B999" s="240"/>
      <c r="C999" s="878"/>
      <c r="D999" s="63"/>
      <c r="E999" s="231"/>
      <c r="F999" s="899"/>
    </row>
    <row r="1000" spans="1:7">
      <c r="A1000" s="884"/>
      <c r="B1000" s="240"/>
      <c r="C1000" s="878"/>
      <c r="D1000" s="63"/>
      <c r="E1000" s="231"/>
      <c r="F1000" s="899"/>
    </row>
    <row r="1001" spans="1:7">
      <c r="A1001" s="884"/>
      <c r="B1001" s="240"/>
      <c r="C1001" s="878"/>
      <c r="D1001" s="63"/>
      <c r="E1001" s="231"/>
      <c r="F1001" s="899"/>
    </row>
    <row r="1002" spans="1:7">
      <c r="A1002" s="934"/>
      <c r="B1002" s="243"/>
      <c r="C1002" s="389" t="s">
        <v>10</v>
      </c>
      <c r="D1002" s="146"/>
      <c r="E1002" s="1190"/>
      <c r="F1002" s="935"/>
      <c r="G1002" s="1094" t="s">
        <v>11</v>
      </c>
    </row>
    <row r="1003" spans="1:7">
      <c r="A1003" s="884"/>
      <c r="B1003" s="240"/>
      <c r="C1003" s="878"/>
      <c r="D1003" s="63"/>
      <c r="E1003" s="231"/>
      <c r="F1003" s="899"/>
    </row>
    <row r="1004" spans="1:7">
      <c r="A1004" s="1957">
        <v>46165</v>
      </c>
      <c r="B1004" s="1958"/>
      <c r="C1004" s="1959" t="s">
        <v>2484</v>
      </c>
      <c r="D1004" s="1960"/>
      <c r="E1004" s="1961">
        <f>F1004/3</f>
        <v>354.76666666666665</v>
      </c>
      <c r="F1004" s="1962">
        <v>1064.3</v>
      </c>
      <c r="G1004" s="1094" t="s">
        <v>11</v>
      </c>
    </row>
    <row r="1005" spans="1:7">
      <c r="A1005" s="884"/>
      <c r="B1005" s="240"/>
      <c r="C1005" s="878"/>
      <c r="D1005" s="63"/>
      <c r="E1005" s="231"/>
      <c r="F1005" s="899"/>
    </row>
    <row r="1006" spans="1:7">
      <c r="A1006" s="884"/>
      <c r="B1006" s="240"/>
      <c r="C1006" s="878"/>
      <c r="D1006" s="63"/>
      <c r="E1006" s="231"/>
      <c r="F1006" s="899"/>
    </row>
    <row r="1007" spans="1:7">
      <c r="A1007" s="1957">
        <v>46173</v>
      </c>
      <c r="B1007" s="1958"/>
      <c r="C1007" s="1959" t="s">
        <v>2485</v>
      </c>
      <c r="D1007" s="1960"/>
      <c r="E1007" s="1961">
        <f>F1007/10</f>
        <v>81.033000000000001</v>
      </c>
      <c r="F1007" s="1962">
        <v>810.33</v>
      </c>
      <c r="G1007" s="1094" t="s">
        <v>11</v>
      </c>
    </row>
    <row r="1008" spans="1:7" ht="14.25" thickBot="1">
      <c r="A1008" s="884"/>
      <c r="B1008" s="240"/>
      <c r="C1008" s="878"/>
      <c r="D1008" s="63"/>
      <c r="E1008" s="231"/>
      <c r="F1008" s="899"/>
    </row>
    <row r="1009" spans="1:7">
      <c r="A1009" s="1032"/>
      <c r="B1009" s="1230"/>
      <c r="C1009" s="1092" t="s">
        <v>1659</v>
      </c>
      <c r="D1009" s="896"/>
      <c r="E1009" s="925"/>
      <c r="F1009" s="898">
        <f>SUM(E915:E1002)</f>
        <v>4703.8099999999986</v>
      </c>
    </row>
    <row r="1010" spans="1:7">
      <c r="A1010" s="884">
        <v>46174</v>
      </c>
      <c r="B1010" s="240"/>
      <c r="C1010" s="878" t="s">
        <v>1874</v>
      </c>
      <c r="D1010" s="63"/>
      <c r="E1010" s="231"/>
      <c r="F1010" s="899">
        <f>F1009-F951</f>
        <v>-777.74999999999818</v>
      </c>
      <c r="G1010" s="1094" t="s">
        <v>11</v>
      </c>
    </row>
    <row r="1011" spans="1:7">
      <c r="A1011" s="884"/>
      <c r="B1011" s="240"/>
      <c r="C1011" s="878"/>
      <c r="D1011" s="63"/>
      <c r="E1011" s="231"/>
      <c r="F1011" s="899"/>
    </row>
    <row r="1012" spans="1:7">
      <c r="A1012" s="1957">
        <v>46184</v>
      </c>
      <c r="B1012" s="1958"/>
      <c r="C1012" s="1959" t="s">
        <v>2486</v>
      </c>
      <c r="D1012" s="1960"/>
      <c r="E1012" s="1961">
        <f>F1012/3</f>
        <v>250</v>
      </c>
      <c r="F1012" s="1962">
        <v>750</v>
      </c>
      <c r="G1012" s="1094" t="s">
        <v>11</v>
      </c>
    </row>
    <row r="1013" spans="1:7">
      <c r="A1013" s="884"/>
      <c r="B1013" s="240"/>
      <c r="C1013" s="878"/>
      <c r="D1013" s="63"/>
      <c r="E1013" s="231"/>
      <c r="F1013" s="899"/>
    </row>
    <row r="1014" spans="1:7">
      <c r="A1014" s="934"/>
      <c r="B1014" s="243"/>
      <c r="C1014" s="389" t="s">
        <v>10</v>
      </c>
      <c r="D1014" s="146"/>
      <c r="E1014" s="1190"/>
      <c r="F1014" s="935"/>
      <c r="G1014" s="1094" t="s">
        <v>11</v>
      </c>
    </row>
    <row r="1015" spans="1:7">
      <c r="A1015" s="884"/>
      <c r="B1015" s="240"/>
      <c r="C1015" s="878"/>
      <c r="D1015" s="63"/>
      <c r="E1015" s="231"/>
      <c r="F1015" s="899"/>
    </row>
    <row r="1016" spans="1:7">
      <c r="A1016" s="884"/>
      <c r="B1016" s="240"/>
      <c r="C1016" s="878"/>
      <c r="D1016" s="63"/>
      <c r="E1016" s="231"/>
      <c r="F1016" s="899"/>
    </row>
    <row r="1017" spans="1:7" ht="14.25" thickBot="1">
      <c r="A1017" s="884"/>
      <c r="B1017" s="240"/>
      <c r="C1017" s="878"/>
      <c r="D1017" s="63"/>
      <c r="E1017" s="231"/>
      <c r="F1017" s="899"/>
    </row>
    <row r="1018" spans="1:7">
      <c r="A1018" s="1032"/>
      <c r="B1018" s="1230"/>
      <c r="C1018" s="1092" t="s">
        <v>1660</v>
      </c>
      <c r="D1018" s="896"/>
      <c r="E1018" s="925"/>
      <c r="F1018" s="898">
        <f>SUM(E1002:E1014)</f>
        <v>685.79966666666667</v>
      </c>
    </row>
    <row r="1019" spans="1:7">
      <c r="A1019" s="884">
        <v>46204</v>
      </c>
      <c r="B1019" s="240"/>
      <c r="C1019" s="878" t="s">
        <v>1874</v>
      </c>
      <c r="D1019" s="63"/>
      <c r="E1019" s="231"/>
      <c r="F1019" s="899">
        <f>F1018-F1009</f>
        <v>-4018.0103333333318</v>
      </c>
      <c r="G1019" s="1094" t="s">
        <v>11</v>
      </c>
    </row>
    <row r="1020" spans="1:7">
      <c r="A1020" s="884"/>
      <c r="B1020" s="240"/>
      <c r="C1020" s="878"/>
      <c r="D1020" s="63"/>
      <c r="E1020" s="231"/>
      <c r="F1020" s="899"/>
    </row>
    <row r="1021" spans="1:7">
      <c r="A1021" s="884"/>
      <c r="B1021" s="240"/>
      <c r="C1021" s="878"/>
      <c r="D1021" s="63"/>
      <c r="E1021" s="231"/>
      <c r="F1021" s="899"/>
    </row>
    <row r="1022" spans="1:7">
      <c r="A1022" s="884"/>
      <c r="B1022" s="240"/>
      <c r="C1022" s="878"/>
      <c r="D1022" s="63"/>
      <c r="E1022" s="231"/>
      <c r="F1022" s="899"/>
    </row>
    <row r="1023" spans="1:7" ht="14.25" thickBot="1">
      <c r="A1023" s="885"/>
      <c r="B1023" s="1232"/>
      <c r="C1023" s="902"/>
      <c r="D1023" s="903"/>
      <c r="E1023" s="928"/>
      <c r="F1023" s="905"/>
      <c r="G1023" s="1094" t="s">
        <v>11</v>
      </c>
    </row>
    <row r="1024" spans="1:7">
      <c r="A1024" s="46"/>
      <c r="B1024" s="116"/>
      <c r="C1024" s="117" t="s">
        <v>12</v>
      </c>
      <c r="D1024" s="185">
        <f>SUM(D2:D1023)</f>
        <v>51215.14</v>
      </c>
      <c r="E1024" s="609">
        <f>SUM(E2:E1023)</f>
        <v>56517.843000000168</v>
      </c>
      <c r="F1024" s="224"/>
    </row>
    <row r="1025" spans="1:6">
      <c r="A1025" s="119"/>
      <c r="B1025" s="120"/>
      <c r="C1025" s="24" t="s">
        <v>13</v>
      </c>
      <c r="D1025" s="177"/>
      <c r="E1025" s="302">
        <f>D1024-E1024</f>
        <v>-5302.7030000001687</v>
      </c>
      <c r="F1025" s="177"/>
    </row>
    <row r="1026" spans="1:6">
      <c r="A1026" s="65"/>
      <c r="B1026" s="65"/>
    </row>
    <row r="1027" spans="1:6">
      <c r="C1027" s="23"/>
      <c r="D1027" s="25" t="s">
        <v>14</v>
      </c>
      <c r="E1027" s="303" t="s">
        <v>15</v>
      </c>
      <c r="F1027" s="25" t="s">
        <v>16</v>
      </c>
    </row>
    <row r="1028" spans="1:6">
      <c r="B1028" s="77" t="s">
        <v>17</v>
      </c>
      <c r="C1028" s="36"/>
      <c r="D1028" s="60">
        <f>CARTOES!H3</f>
        <v>8800</v>
      </c>
      <c r="E1028" s="34">
        <f>E1025</f>
        <v>-5302.7030000001687</v>
      </c>
      <c r="F1028" s="62">
        <f>D1028+E1028</f>
        <v>3497.2969999998313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15"/>
  <dimension ref="A1:F4133"/>
  <sheetViews>
    <sheetView workbookViewId="0">
      <pane xSplit="6" ySplit="1" topLeftCell="G4108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11.7109375" defaultRowHeight="13.5"/>
  <cols>
    <col min="1" max="1" width="14.85546875" style="1247" customWidth="1"/>
    <col min="2" max="2" width="21.85546875" style="1247" customWidth="1"/>
    <col min="3" max="3" width="52.7109375" style="1247" customWidth="1"/>
    <col min="4" max="5" width="16" style="1247" customWidth="1"/>
    <col min="6" max="6" width="12.42578125" style="1247" customWidth="1"/>
    <col min="7" max="16384" width="11.7109375" style="1247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1581"/>
      <c r="B2" s="37"/>
      <c r="C2" s="73" t="s">
        <v>2487</v>
      </c>
      <c r="D2" s="74"/>
      <c r="E2" s="1582"/>
      <c r="F2" s="3"/>
    </row>
    <row r="3" spans="1:6">
      <c r="A3" s="75">
        <v>38139</v>
      </c>
      <c r="B3" s="76" t="str">
        <f>TiposLancamentos!B78</f>
        <v>Diferenças</v>
      </c>
      <c r="C3" s="77" t="s">
        <v>2488</v>
      </c>
      <c r="D3" s="78"/>
      <c r="E3" s="1480">
        <v>21.29</v>
      </c>
      <c r="F3" s="3"/>
    </row>
    <row r="4" spans="1:6">
      <c r="A4" s="75">
        <v>38146</v>
      </c>
      <c r="B4" s="76" t="str">
        <f>TiposLancamentos!B95</f>
        <v>Salarios</v>
      </c>
      <c r="C4" s="77" t="s">
        <v>2489</v>
      </c>
      <c r="D4" s="78">
        <v>1036</v>
      </c>
      <c r="E4" s="1480"/>
      <c r="F4" s="3"/>
    </row>
    <row r="5" spans="1:6">
      <c r="A5" s="75">
        <v>38146</v>
      </c>
      <c r="B5" s="76" t="str">
        <f>TiposLancamentos!B3</f>
        <v>Internet</v>
      </c>
      <c r="C5" s="77" t="s">
        <v>2490</v>
      </c>
      <c r="D5" s="78"/>
      <c r="E5" s="1480">
        <v>50</v>
      </c>
      <c r="F5" s="3"/>
    </row>
    <row r="6" spans="1:6">
      <c r="A6" s="75">
        <v>38146</v>
      </c>
      <c r="B6" s="76" t="str">
        <f>TiposLancamentos!B66</f>
        <v>Faxineira</v>
      </c>
      <c r="C6" s="77" t="s">
        <v>2491</v>
      </c>
      <c r="D6" s="78"/>
      <c r="E6" s="1480">
        <v>90</v>
      </c>
      <c r="F6" s="3"/>
    </row>
    <row r="7" spans="1:6">
      <c r="A7" s="75">
        <v>38146</v>
      </c>
      <c r="B7" s="76" t="str">
        <f>TiposLancamentos!B83</f>
        <v>Artigos Moto</v>
      </c>
      <c r="C7" s="77" t="s">
        <v>2492</v>
      </c>
      <c r="D7" s="78"/>
      <c r="E7" s="1480">
        <v>7</v>
      </c>
      <c r="F7" s="3"/>
    </row>
    <row r="8" spans="1:6">
      <c r="A8" s="75">
        <v>38146</v>
      </c>
      <c r="B8" s="76" t="str">
        <f>TiposLancamentos!B105</f>
        <v>Transf. Bco</v>
      </c>
      <c r="C8" s="77" t="s">
        <v>2493</v>
      </c>
      <c r="D8" s="78"/>
      <c r="E8" s="1480">
        <v>883</v>
      </c>
      <c r="F8" s="3"/>
    </row>
    <row r="9" spans="1:6">
      <c r="A9" s="75">
        <v>38146</v>
      </c>
      <c r="B9" s="76" t="str">
        <f>TiposLancamentos!B99</f>
        <v>Venda de algo</v>
      </c>
      <c r="C9" s="77" t="s">
        <v>2494</v>
      </c>
      <c r="D9" s="78">
        <v>40</v>
      </c>
      <c r="E9" s="1480"/>
      <c r="F9" s="3"/>
    </row>
    <row r="10" spans="1:6">
      <c r="A10" s="75">
        <v>38150</v>
      </c>
      <c r="B10" s="76" t="str">
        <f>TiposLancamentos!B69</f>
        <v>Consertos</v>
      </c>
      <c r="C10" s="77" t="s">
        <v>2495</v>
      </c>
      <c r="D10" s="78"/>
      <c r="E10" s="1480">
        <v>4</v>
      </c>
      <c r="F10" s="3"/>
    </row>
    <row r="11" spans="1:6">
      <c r="A11" s="75">
        <v>38150</v>
      </c>
      <c r="B11" s="76" t="str">
        <f>TiposLancamentos!B5</f>
        <v>Supermercado</v>
      </c>
      <c r="C11" s="77" t="s">
        <v>2496</v>
      </c>
      <c r="D11" s="78"/>
      <c r="E11" s="1480">
        <v>4.95</v>
      </c>
      <c r="F11" s="3"/>
    </row>
    <row r="12" spans="1:6">
      <c r="A12" s="75">
        <v>38152</v>
      </c>
      <c r="B12" s="76" t="str">
        <f>TiposLancamentos!B99</f>
        <v>Venda de algo</v>
      </c>
      <c r="C12" s="77" t="s">
        <v>2497</v>
      </c>
      <c r="D12" s="78">
        <v>30</v>
      </c>
      <c r="E12" s="1480"/>
      <c r="F12" s="3"/>
    </row>
    <row r="13" spans="1:6">
      <c r="A13" s="75">
        <v>38153</v>
      </c>
      <c r="B13" s="76" t="str">
        <f>TiposLancamentos!B24</f>
        <v>Estacionamentos</v>
      </c>
      <c r="C13" s="77" t="s">
        <v>2498</v>
      </c>
      <c r="D13" s="78"/>
      <c r="E13" s="1480">
        <v>1.8</v>
      </c>
      <c r="F13" s="3"/>
    </row>
    <row r="14" spans="1:6">
      <c r="A14" s="75">
        <v>38155</v>
      </c>
      <c r="B14" s="76" t="str">
        <f>TiposLancamentos!B69</f>
        <v>Consertos</v>
      </c>
      <c r="C14" s="77" t="s">
        <v>2499</v>
      </c>
      <c r="D14" s="78"/>
      <c r="E14" s="1480">
        <v>5</v>
      </c>
      <c r="F14" s="3"/>
    </row>
    <row r="15" spans="1:6">
      <c r="A15" s="75">
        <v>38155</v>
      </c>
      <c r="B15" s="76" t="str">
        <f>TiposLancamentos!B5</f>
        <v>Supermercado</v>
      </c>
      <c r="C15" s="77" t="s">
        <v>2500</v>
      </c>
      <c r="D15" s="78"/>
      <c r="E15" s="1480">
        <v>1.99</v>
      </c>
      <c r="F15" s="3"/>
    </row>
    <row r="16" spans="1:6">
      <c r="A16" s="75">
        <v>38156</v>
      </c>
      <c r="B16" s="76" t="str">
        <f>TiposLancamentos!B33</f>
        <v>Pedágios</v>
      </c>
      <c r="C16" s="77" t="s">
        <v>2501</v>
      </c>
      <c r="D16" s="78"/>
      <c r="E16" s="1480">
        <v>1.6</v>
      </c>
      <c r="F16" s="3"/>
    </row>
    <row r="17" spans="1:5">
      <c r="A17" s="75">
        <v>38156</v>
      </c>
      <c r="B17" s="76" t="str">
        <f>TiposLancamentos!B74</f>
        <v>Noite</v>
      </c>
      <c r="C17" s="77" t="s">
        <v>2502</v>
      </c>
      <c r="D17" s="78"/>
      <c r="E17" s="1480">
        <v>3</v>
      </c>
    </row>
    <row r="18" spans="1:5">
      <c r="A18" s="75">
        <v>38156</v>
      </c>
      <c r="B18" s="76" t="str">
        <f>TiposLancamentos!B74</f>
        <v>Noite</v>
      </c>
      <c r="C18" s="77" t="s">
        <v>2503</v>
      </c>
      <c r="D18" s="78"/>
      <c r="E18" s="1480">
        <v>2</v>
      </c>
    </row>
    <row r="19" spans="1:5">
      <c r="A19" s="75">
        <v>38158</v>
      </c>
      <c r="B19" s="76" t="str">
        <f>TiposLancamentos!B33</f>
        <v>Pedágios</v>
      </c>
      <c r="C19" s="77" t="s">
        <v>2501</v>
      </c>
      <c r="D19" s="78"/>
      <c r="E19" s="1480">
        <v>1.6</v>
      </c>
    </row>
    <row r="20" spans="1:5">
      <c r="A20" s="75">
        <v>38159</v>
      </c>
      <c r="B20" s="76" t="str">
        <f>TiposLancamentos!B8</f>
        <v>Aluguel</v>
      </c>
      <c r="C20" s="77" t="s">
        <v>2504</v>
      </c>
      <c r="D20" s="78"/>
      <c r="E20" s="1480">
        <v>30</v>
      </c>
    </row>
    <row r="21" spans="1:5">
      <c r="A21" s="75">
        <v>38160</v>
      </c>
      <c r="B21" s="76" t="str">
        <f>TiposLancamentos!B20</f>
        <v>Saques</v>
      </c>
      <c r="C21" s="77" t="s">
        <v>2505</v>
      </c>
      <c r="D21" s="78">
        <v>10</v>
      </c>
      <c r="E21" s="1480"/>
    </row>
    <row r="22" spans="1:5">
      <c r="A22" s="75">
        <v>38160</v>
      </c>
      <c r="B22" s="76" t="str">
        <f>TiposLancamentos!B60</f>
        <v>Correio</v>
      </c>
      <c r="C22" s="77" t="s">
        <v>2506</v>
      </c>
      <c r="D22" s="78"/>
      <c r="E22" s="1480">
        <v>4</v>
      </c>
    </row>
    <row r="23" spans="1:5">
      <c r="A23" s="75">
        <v>38160</v>
      </c>
      <c r="B23" s="76" t="str">
        <f>TiposLancamentos!B18</f>
        <v>Alimentacao</v>
      </c>
      <c r="C23" s="77" t="s">
        <v>2507</v>
      </c>
      <c r="D23" s="78"/>
      <c r="E23" s="1480">
        <v>2</v>
      </c>
    </row>
    <row r="24" spans="1:5">
      <c r="A24" s="75">
        <v>38161</v>
      </c>
      <c r="B24" s="76" t="str">
        <f>TiposLancamentos!B18</f>
        <v>Alimentacao</v>
      </c>
      <c r="C24" s="77" t="s">
        <v>2508</v>
      </c>
      <c r="D24" s="78"/>
      <c r="E24" s="1480">
        <v>5</v>
      </c>
    </row>
    <row r="25" spans="1:5">
      <c r="A25" s="75">
        <v>38168</v>
      </c>
      <c r="B25" s="76" t="str">
        <f>TiposLancamentos!B99</f>
        <v>Venda de algo</v>
      </c>
      <c r="C25" s="77" t="s">
        <v>2509</v>
      </c>
      <c r="D25" s="78">
        <v>100</v>
      </c>
      <c r="E25" s="1480"/>
    </row>
    <row r="26" spans="1:5">
      <c r="A26" s="75">
        <v>38168</v>
      </c>
      <c r="B26" s="76" t="str">
        <f>TiposLancamentos!B18</f>
        <v>Alimentacao</v>
      </c>
      <c r="C26" s="77" t="s">
        <v>2510</v>
      </c>
      <c r="D26" s="78"/>
      <c r="E26" s="1480">
        <v>5.5</v>
      </c>
    </row>
    <row r="27" spans="1:5">
      <c r="A27" s="79">
        <v>38168</v>
      </c>
      <c r="B27" s="80" t="str">
        <f>TiposLancamentos!B18</f>
        <v>Alimentacao</v>
      </c>
      <c r="C27" s="81" t="s">
        <v>2511</v>
      </c>
      <c r="D27" s="82"/>
      <c r="E27" s="1583">
        <v>3</v>
      </c>
    </row>
    <row r="28" spans="1:5">
      <c r="A28" s="75"/>
      <c r="B28" s="76"/>
      <c r="C28" s="1314" t="s">
        <v>2512</v>
      </c>
      <c r="D28" s="78"/>
      <c r="E28" s="1480"/>
    </row>
    <row r="29" spans="1:5">
      <c r="A29" s="75">
        <v>38169</v>
      </c>
      <c r="B29" s="76" t="str">
        <f>TiposLancamentos!B57</f>
        <v>Informática</v>
      </c>
      <c r="C29" s="1314" t="s">
        <v>2513</v>
      </c>
      <c r="D29" s="78"/>
      <c r="E29" s="1480">
        <v>15</v>
      </c>
    </row>
    <row r="30" spans="1:5">
      <c r="A30" s="75">
        <v>38169</v>
      </c>
      <c r="B30" s="76" t="str">
        <f>TiposLancamentos!B22</f>
        <v>Combustivel</v>
      </c>
      <c r="C30" s="1314" t="s">
        <v>2514</v>
      </c>
      <c r="D30" s="78"/>
      <c r="E30" s="1480">
        <v>21.5</v>
      </c>
    </row>
    <row r="31" spans="1:5">
      <c r="A31" s="75">
        <v>38169</v>
      </c>
      <c r="B31" s="76" t="str">
        <f>TiposLancamentos!B2</f>
        <v>Telefonia</v>
      </c>
      <c r="C31" s="1314" t="s">
        <v>2515</v>
      </c>
      <c r="D31" s="78"/>
      <c r="E31" s="1480">
        <v>48.16</v>
      </c>
    </row>
    <row r="32" spans="1:5">
      <c r="A32" s="75">
        <v>38169</v>
      </c>
      <c r="B32" s="76" t="str">
        <f>TiposLancamentos!B16</f>
        <v>Cristiane</v>
      </c>
      <c r="C32" s="1314" t="s">
        <v>2516</v>
      </c>
      <c r="D32" s="78"/>
      <c r="E32" s="1480">
        <v>6.8</v>
      </c>
    </row>
    <row r="33" spans="1:5">
      <c r="A33" s="75">
        <v>38169</v>
      </c>
      <c r="B33" s="76" t="str">
        <f>TiposLancamentos!B16</f>
        <v>Cristiane</v>
      </c>
      <c r="C33" s="1314" t="s">
        <v>2517</v>
      </c>
      <c r="D33" s="78">
        <v>3</v>
      </c>
      <c r="E33" s="1480"/>
    </row>
    <row r="34" spans="1:5">
      <c r="A34" s="75">
        <v>38169</v>
      </c>
      <c r="B34" s="76" t="str">
        <f>TiposLancamentos!B99</f>
        <v>Venda de algo</v>
      </c>
      <c r="C34" s="1314" t="s">
        <v>2518</v>
      </c>
      <c r="D34" s="78">
        <v>20</v>
      </c>
      <c r="E34" s="1480"/>
    </row>
    <row r="35" spans="1:5">
      <c r="A35" s="75">
        <v>38169</v>
      </c>
      <c r="B35" s="76" t="str">
        <f>TiposLancamentos!B18</f>
        <v>Alimentacao</v>
      </c>
      <c r="C35" s="1314" t="s">
        <v>2519</v>
      </c>
      <c r="D35" s="78"/>
      <c r="E35" s="1480">
        <v>4.2</v>
      </c>
    </row>
    <row r="36" spans="1:5">
      <c r="A36" s="75">
        <v>38170</v>
      </c>
      <c r="B36" s="76" t="str">
        <f>TiposLancamentos!B5</f>
        <v>Supermercado</v>
      </c>
      <c r="C36" s="1314" t="s">
        <v>2520</v>
      </c>
      <c r="D36" s="78"/>
      <c r="E36" s="1480">
        <v>14.24</v>
      </c>
    </row>
    <row r="37" spans="1:5">
      <c r="A37" s="75">
        <v>38171</v>
      </c>
      <c r="B37" s="76" t="str">
        <f>TiposLancamentos!B33</f>
        <v>Pedágios</v>
      </c>
      <c r="C37" s="1314" t="s">
        <v>2501</v>
      </c>
      <c r="D37" s="78"/>
      <c r="E37" s="1480">
        <v>1.9</v>
      </c>
    </row>
    <row r="38" spans="1:5">
      <c r="A38" s="75">
        <v>38172</v>
      </c>
      <c r="B38" s="76" t="str">
        <f>TiposLancamentos!B33</f>
        <v>Pedágios</v>
      </c>
      <c r="C38" s="1314" t="s">
        <v>2501</v>
      </c>
      <c r="D38" s="78"/>
      <c r="E38" s="1480">
        <v>1.9</v>
      </c>
    </row>
    <row r="39" spans="1:5">
      <c r="A39" s="75">
        <v>38175</v>
      </c>
      <c r="B39" s="76" t="str">
        <f>TiposLancamentos!B95</f>
        <v>Salarios</v>
      </c>
      <c r="C39" s="1314" t="s">
        <v>2521</v>
      </c>
      <c r="D39" s="78">
        <v>1036</v>
      </c>
      <c r="E39" s="1480"/>
    </row>
    <row r="40" spans="1:5">
      <c r="A40" s="75">
        <v>38175</v>
      </c>
      <c r="B40" s="76" t="str">
        <f>TiposLancamentos!B6</f>
        <v>Energia Eletrica</v>
      </c>
      <c r="C40" s="1314" t="s">
        <v>2522</v>
      </c>
      <c r="D40" s="78"/>
      <c r="E40" s="1480">
        <v>48.61</v>
      </c>
    </row>
    <row r="41" spans="1:5">
      <c r="A41" s="75">
        <v>38175</v>
      </c>
      <c r="B41" s="76" t="str">
        <f>TiposLancamentos!B9</f>
        <v>Condominio</v>
      </c>
      <c r="C41" s="1314" t="s">
        <v>1684</v>
      </c>
      <c r="D41" s="78"/>
      <c r="E41" s="1480">
        <v>99.25</v>
      </c>
    </row>
    <row r="42" spans="1:5">
      <c r="A42" s="75">
        <v>38175</v>
      </c>
      <c r="B42" s="76" t="str">
        <f>TiposLancamentos!B82</f>
        <v>CG Titan 125</v>
      </c>
      <c r="C42" s="1314" t="s">
        <v>2523</v>
      </c>
      <c r="D42" s="78"/>
      <c r="E42" s="1480">
        <v>133.1</v>
      </c>
    </row>
    <row r="43" spans="1:5">
      <c r="A43" s="75">
        <v>38175</v>
      </c>
      <c r="B43" s="76" t="str">
        <f>TiposLancamentos!B19</f>
        <v>Restaurantes</v>
      </c>
      <c r="C43" s="1314" t="s">
        <v>2524</v>
      </c>
      <c r="D43" s="78"/>
      <c r="E43" s="1480">
        <v>87</v>
      </c>
    </row>
    <row r="44" spans="1:5">
      <c r="A44" s="75">
        <v>38175</v>
      </c>
      <c r="B44" s="76" t="str">
        <f>TiposLancamentos!B24</f>
        <v>Estacionamentos</v>
      </c>
      <c r="C44" s="1314" t="s">
        <v>2525</v>
      </c>
      <c r="D44" s="78"/>
      <c r="E44" s="1480">
        <v>1</v>
      </c>
    </row>
    <row r="45" spans="1:5">
      <c r="A45" s="75">
        <v>38175</v>
      </c>
      <c r="B45" s="76" t="str">
        <f>TiposLancamentos!B18</f>
        <v>Alimentacao</v>
      </c>
      <c r="C45" s="1314" t="s">
        <v>2526</v>
      </c>
      <c r="D45" s="78"/>
      <c r="E45" s="1480">
        <v>2.2000000000000002</v>
      </c>
    </row>
    <row r="46" spans="1:5">
      <c r="A46" s="75">
        <v>38178</v>
      </c>
      <c r="B46" s="76" t="str">
        <f>TiposLancamentos!B24</f>
        <v>Estacionamentos</v>
      </c>
      <c r="C46" s="1314" t="s">
        <v>2527</v>
      </c>
      <c r="D46" s="78"/>
      <c r="E46" s="1480">
        <v>1</v>
      </c>
    </row>
    <row r="47" spans="1:5">
      <c r="A47" s="75">
        <v>38178</v>
      </c>
      <c r="B47" s="76" t="str">
        <f>TiposLancamentos!B31</f>
        <v>Action Figures</v>
      </c>
      <c r="C47" s="1314" t="s">
        <v>2528</v>
      </c>
      <c r="D47" s="78"/>
      <c r="E47" s="1480">
        <v>10</v>
      </c>
    </row>
    <row r="48" spans="1:5">
      <c r="A48" s="75">
        <v>38178</v>
      </c>
      <c r="B48" s="76" t="str">
        <f>TiposLancamentos!B18</f>
        <v>Alimentacao</v>
      </c>
      <c r="C48" s="1314" t="s">
        <v>2529</v>
      </c>
      <c r="D48" s="78"/>
      <c r="E48" s="1480">
        <v>1.7</v>
      </c>
    </row>
    <row r="49" spans="1:5">
      <c r="A49" s="75">
        <v>38179</v>
      </c>
      <c r="B49" s="76" t="str">
        <f>TiposLancamentos!B33</f>
        <v>Pedágios</v>
      </c>
      <c r="C49" s="1314" t="s">
        <v>2501</v>
      </c>
      <c r="D49" s="78"/>
      <c r="E49" s="1480">
        <v>1.9</v>
      </c>
    </row>
    <row r="50" spans="1:5">
      <c r="A50" s="75">
        <v>38180</v>
      </c>
      <c r="B50" s="76" t="str">
        <f>TiposLancamentos!B83</f>
        <v>Artigos Moto</v>
      </c>
      <c r="C50" s="1314" t="s">
        <v>2530</v>
      </c>
      <c r="D50" s="78"/>
      <c r="E50" s="1480">
        <v>3</v>
      </c>
    </row>
    <row r="51" spans="1:5">
      <c r="A51" s="75">
        <v>38180</v>
      </c>
      <c r="B51" s="76" t="str">
        <f>TiposLancamentos!B13</f>
        <v>Moradia</v>
      </c>
      <c r="C51" s="1314" t="s">
        <v>2531</v>
      </c>
      <c r="D51" s="78"/>
      <c r="E51" s="1480">
        <v>6.5</v>
      </c>
    </row>
    <row r="52" spans="1:5">
      <c r="A52" s="75">
        <v>38180</v>
      </c>
      <c r="B52" s="76" t="str">
        <f>TiposLancamentos!B99</f>
        <v>Venda de algo</v>
      </c>
      <c r="C52" s="1314" t="s">
        <v>2532</v>
      </c>
      <c r="D52" s="78">
        <v>15</v>
      </c>
      <c r="E52" s="1480"/>
    </row>
    <row r="53" spans="1:5">
      <c r="A53" s="75">
        <v>38180</v>
      </c>
      <c r="B53" s="76" t="str">
        <f>TiposLancamentos!B5</f>
        <v>Supermercado</v>
      </c>
      <c r="C53" s="1314" t="s">
        <v>2533</v>
      </c>
      <c r="D53" s="78"/>
      <c r="E53" s="1480">
        <v>2</v>
      </c>
    </row>
    <row r="54" spans="1:5">
      <c r="A54" s="75">
        <v>38181</v>
      </c>
      <c r="B54" s="76" t="str">
        <f>TiposLancamentos!B18</f>
        <v>Alimentacao</v>
      </c>
      <c r="C54" s="1314" t="s">
        <v>2534</v>
      </c>
      <c r="D54" s="78"/>
      <c r="E54" s="1480">
        <v>2.2000000000000002</v>
      </c>
    </row>
    <row r="55" spans="1:5">
      <c r="A55" s="75">
        <v>38182</v>
      </c>
      <c r="B55" s="76" t="str">
        <f>TiposLancamentos!B18</f>
        <v>Alimentacao</v>
      </c>
      <c r="C55" s="1314" t="s">
        <v>2535</v>
      </c>
      <c r="D55" s="78"/>
      <c r="E55" s="1480">
        <v>1.5</v>
      </c>
    </row>
    <row r="56" spans="1:5">
      <c r="A56" s="75">
        <v>38182</v>
      </c>
      <c r="B56" s="76" t="str">
        <f>TiposLancamentos!B90</f>
        <v>Locadora</v>
      </c>
      <c r="C56" s="1314" t="s">
        <v>2536</v>
      </c>
      <c r="D56" s="78"/>
      <c r="E56" s="1480">
        <v>2.5</v>
      </c>
    </row>
    <row r="57" spans="1:5">
      <c r="A57" s="75">
        <v>38182</v>
      </c>
      <c r="B57" s="76" t="str">
        <f>TiposLancamentos!B5</f>
        <v>Supermercado</v>
      </c>
      <c r="C57" s="1314" t="s">
        <v>2537</v>
      </c>
      <c r="D57" s="78"/>
      <c r="E57" s="1480">
        <v>2</v>
      </c>
    </row>
    <row r="58" spans="1:5">
      <c r="A58" s="75">
        <v>38183</v>
      </c>
      <c r="B58" s="76" t="str">
        <f>TiposLancamentos!B15</f>
        <v>Cartões de Crédito</v>
      </c>
      <c r="C58" s="1314" t="s">
        <v>2538</v>
      </c>
      <c r="D58" s="78"/>
      <c r="E58" s="1480">
        <v>140.1</v>
      </c>
    </row>
    <row r="59" spans="1:5">
      <c r="A59" s="75">
        <v>38183</v>
      </c>
      <c r="B59" s="76" t="str">
        <f>TiposLancamentos!B56</f>
        <v>Farmácia</v>
      </c>
      <c r="C59" s="1314" t="s">
        <v>2539</v>
      </c>
      <c r="D59" s="78"/>
      <c r="E59" s="1480">
        <v>0.9</v>
      </c>
    </row>
    <row r="60" spans="1:5">
      <c r="A60" s="75">
        <v>38184</v>
      </c>
      <c r="B60" s="76" t="str">
        <f>TiposLancamentos!B22</f>
        <v>Combustivel</v>
      </c>
      <c r="C60" s="1314" t="s">
        <v>2514</v>
      </c>
      <c r="D60" s="78"/>
      <c r="E60" s="1480">
        <v>20</v>
      </c>
    </row>
    <row r="61" spans="1:5">
      <c r="A61" s="75">
        <v>38184</v>
      </c>
      <c r="B61" s="76" t="str">
        <f>B31</f>
        <v>Telefonia</v>
      </c>
      <c r="C61" s="1314" t="s">
        <v>2540</v>
      </c>
      <c r="D61" s="78"/>
      <c r="E61" s="1480">
        <v>23.8</v>
      </c>
    </row>
    <row r="62" spans="1:5">
      <c r="A62" s="75">
        <v>38184</v>
      </c>
      <c r="B62" s="76" t="str">
        <f>TiposLancamentos!B18</f>
        <v>Alimentacao</v>
      </c>
      <c r="C62" s="1314" t="str">
        <f>C55</f>
        <v>Doce no restaurante do Jorjão</v>
      </c>
      <c r="D62" s="78"/>
      <c r="E62" s="1480">
        <v>1.5</v>
      </c>
    </row>
    <row r="63" spans="1:5">
      <c r="A63" s="75">
        <v>38184</v>
      </c>
      <c r="B63" s="76" t="str">
        <f>TiposLancamentos!B16</f>
        <v>Cristiane</v>
      </c>
      <c r="C63" s="1314" t="s">
        <v>2541</v>
      </c>
      <c r="D63" s="78">
        <v>25</v>
      </c>
      <c r="E63" s="1480"/>
    </row>
    <row r="64" spans="1:5">
      <c r="A64" s="75">
        <v>38185</v>
      </c>
      <c r="B64" s="76" t="str">
        <f>TiposLancamentos!B8</f>
        <v>Aluguel</v>
      </c>
      <c r="C64" s="1314" t="s">
        <v>2542</v>
      </c>
      <c r="D64" s="78"/>
      <c r="E64" s="1480">
        <v>249.95</v>
      </c>
    </row>
    <row r="65" spans="1:5">
      <c r="A65" s="75">
        <v>38185</v>
      </c>
      <c r="B65" s="76" t="str">
        <f>TiposLancamentos!B16</f>
        <v>Cristiane</v>
      </c>
      <c r="C65" s="1314" t="s">
        <v>2543</v>
      </c>
      <c r="D65" s="78"/>
      <c r="E65" s="1480">
        <v>2.5</v>
      </c>
    </row>
    <row r="66" spans="1:5">
      <c r="A66" s="75">
        <v>38185</v>
      </c>
      <c r="B66" s="76" t="str">
        <f>B55</f>
        <v>Alimentacao</v>
      </c>
      <c r="C66" s="1314" t="s">
        <v>2544</v>
      </c>
      <c r="D66" s="78"/>
      <c r="E66" s="1480">
        <v>2</v>
      </c>
    </row>
    <row r="67" spans="1:5">
      <c r="A67" s="75">
        <v>38185</v>
      </c>
      <c r="B67" s="76" t="str">
        <f>TiposLancamentos!B13</f>
        <v>Moradia</v>
      </c>
      <c r="C67" s="1314" t="s">
        <v>2545</v>
      </c>
      <c r="D67" s="78"/>
      <c r="E67" s="1480">
        <v>1.5</v>
      </c>
    </row>
    <row r="68" spans="1:5">
      <c r="A68" s="75">
        <v>38185</v>
      </c>
      <c r="B68" s="76" t="str">
        <f>TiposLancamentos!B82</f>
        <v>CG Titan 125</v>
      </c>
      <c r="C68" s="1314" t="s">
        <v>2546</v>
      </c>
      <c r="D68" s="78"/>
      <c r="E68" s="1480">
        <v>8</v>
      </c>
    </row>
    <row r="69" spans="1:5">
      <c r="A69" s="75">
        <v>38186</v>
      </c>
      <c r="B69" s="76" t="str">
        <f>TiposLancamentos!B18</f>
        <v>Alimentacao</v>
      </c>
      <c r="C69" s="1314" t="s">
        <v>2547</v>
      </c>
      <c r="D69" s="78"/>
      <c r="E69" s="1480">
        <v>3.6</v>
      </c>
    </row>
    <row r="70" spans="1:5">
      <c r="A70" s="75">
        <v>38187</v>
      </c>
      <c r="B70" s="76" t="str">
        <f>TiposLancamentos!B18</f>
        <v>Alimentacao</v>
      </c>
      <c r="C70" s="1314" t="s">
        <v>2548</v>
      </c>
      <c r="D70" s="78"/>
      <c r="E70" s="1480">
        <v>3</v>
      </c>
    </row>
    <row r="71" spans="1:5">
      <c r="A71" s="75">
        <v>38187</v>
      </c>
      <c r="B71" s="76" t="str">
        <f>TiposLancamentos!B55</f>
        <v>Onibus Urbano</v>
      </c>
      <c r="C71" s="1314" t="s">
        <v>2549</v>
      </c>
      <c r="D71" s="78"/>
      <c r="E71" s="1480">
        <v>1.6</v>
      </c>
    </row>
    <row r="72" spans="1:5">
      <c r="A72" s="75">
        <v>38187</v>
      </c>
      <c r="B72" s="76" t="str">
        <f>TiposLancamentos!B5</f>
        <v>Supermercado</v>
      </c>
      <c r="C72" s="1314" t="s">
        <v>2550</v>
      </c>
      <c r="D72" s="78"/>
      <c r="E72" s="1480">
        <v>3.6</v>
      </c>
    </row>
    <row r="73" spans="1:5">
      <c r="A73" s="75">
        <v>38189</v>
      </c>
      <c r="B73" s="76" t="str">
        <f>TiposLancamentos!B18</f>
        <v>Alimentacao</v>
      </c>
      <c r="C73" s="1314" t="s">
        <v>2551</v>
      </c>
      <c r="D73" s="78"/>
      <c r="E73" s="1480">
        <v>1.5</v>
      </c>
    </row>
    <row r="74" spans="1:5">
      <c r="A74" s="75">
        <v>38189</v>
      </c>
      <c r="B74" s="76" t="str">
        <f>TiposLancamentos!B82</f>
        <v>CG Titan 125</v>
      </c>
      <c r="C74" s="1314" t="s">
        <v>2552</v>
      </c>
      <c r="D74" s="78"/>
      <c r="E74" s="1480">
        <v>6.65</v>
      </c>
    </row>
    <row r="75" spans="1:5">
      <c r="A75" s="75">
        <v>38189</v>
      </c>
      <c r="B75" s="76" t="str">
        <f>TiposLancamentos!B90</f>
        <v>Locadora</v>
      </c>
      <c r="C75" s="1314" t="s">
        <v>2553</v>
      </c>
      <c r="D75" s="78"/>
      <c r="E75" s="1480">
        <v>5</v>
      </c>
    </row>
    <row r="76" spans="1:5">
      <c r="A76" s="75">
        <v>38189</v>
      </c>
      <c r="B76" s="76" t="str">
        <f>TiposLancamentos!B5</f>
        <v>Supermercado</v>
      </c>
      <c r="C76" s="1314" t="s">
        <v>2533</v>
      </c>
      <c r="D76" s="78"/>
      <c r="E76" s="1480">
        <v>2</v>
      </c>
    </row>
    <row r="77" spans="1:5">
      <c r="A77" s="75">
        <v>38191</v>
      </c>
      <c r="B77" s="76" t="str">
        <f>TiposLancamentos!B19</f>
        <v>Restaurantes</v>
      </c>
      <c r="C77" s="1314" t="s">
        <v>2554</v>
      </c>
      <c r="D77" s="78"/>
      <c r="E77" s="1480">
        <v>30.5</v>
      </c>
    </row>
    <row r="78" spans="1:5">
      <c r="A78" s="75">
        <v>38192</v>
      </c>
      <c r="B78" s="76" t="str">
        <f>B69</f>
        <v>Alimentacao</v>
      </c>
      <c r="C78" s="1314" t="s">
        <v>2555</v>
      </c>
      <c r="D78" s="78"/>
      <c r="E78" s="1480">
        <v>3.2</v>
      </c>
    </row>
    <row r="79" spans="1:5">
      <c r="A79" s="75">
        <v>38192</v>
      </c>
      <c r="B79" s="76" t="str">
        <f>TiposLancamentos!B5</f>
        <v>Supermercado</v>
      </c>
      <c r="C79" s="1314" t="s">
        <v>2550</v>
      </c>
      <c r="D79" s="78"/>
      <c r="E79" s="1480">
        <v>3.5</v>
      </c>
    </row>
    <row r="80" spans="1:5">
      <c r="A80" s="75">
        <v>38192</v>
      </c>
      <c r="B80" s="76" t="str">
        <f>TiposLancamentos!B24</f>
        <v>Estacionamentos</v>
      </c>
      <c r="C80" s="1314" t="s">
        <v>2287</v>
      </c>
      <c r="D80" s="78"/>
      <c r="E80" s="1480">
        <v>1</v>
      </c>
    </row>
    <row r="81" spans="1:5">
      <c r="A81" s="75">
        <v>38192</v>
      </c>
      <c r="B81" s="76" t="str">
        <f>TiposLancamentos!B33</f>
        <v>Pedágios</v>
      </c>
      <c r="C81" s="1314" t="s">
        <v>2501</v>
      </c>
      <c r="D81" s="78"/>
      <c r="E81" s="1480">
        <v>1.9</v>
      </c>
    </row>
    <row r="82" spans="1:5">
      <c r="A82" s="75">
        <v>38193</v>
      </c>
      <c r="B82" s="76" t="str">
        <f>TiposLancamentos!B33</f>
        <v>Pedágios</v>
      </c>
      <c r="C82" s="1314" t="s">
        <v>2501</v>
      </c>
      <c r="D82" s="78"/>
      <c r="E82" s="1480">
        <v>1.9</v>
      </c>
    </row>
    <row r="83" spans="1:5">
      <c r="A83" s="75">
        <v>38193</v>
      </c>
      <c r="B83" s="76" t="str">
        <f>TiposLancamentos!B5</f>
        <v>Supermercado</v>
      </c>
      <c r="C83" s="1314" t="s">
        <v>2556</v>
      </c>
      <c r="D83" s="78"/>
      <c r="E83" s="1480">
        <v>6.66</v>
      </c>
    </row>
    <row r="84" spans="1:5">
      <c r="A84" s="75">
        <v>38193</v>
      </c>
      <c r="B84" s="76" t="str">
        <f>TiposLancamentos!B18</f>
        <v>Alimentacao</v>
      </c>
      <c r="C84" s="1314" t="s">
        <v>2526</v>
      </c>
      <c r="D84" s="78"/>
      <c r="E84" s="1480">
        <v>2.25</v>
      </c>
    </row>
    <row r="85" spans="1:5">
      <c r="A85" s="75">
        <v>38194</v>
      </c>
      <c r="B85" s="76" t="str">
        <f>TiposLancamentos!B90</f>
        <v>Locadora</v>
      </c>
      <c r="C85" s="1314" t="s">
        <v>2557</v>
      </c>
      <c r="D85" s="78"/>
      <c r="E85" s="1480">
        <v>3.5</v>
      </c>
    </row>
    <row r="86" spans="1:5">
      <c r="A86" s="75">
        <v>38194</v>
      </c>
      <c r="B86" s="76" t="str">
        <f>TiposLancamentos!B5</f>
        <v>Supermercado</v>
      </c>
      <c r="C86" s="1314" t="s">
        <v>2533</v>
      </c>
      <c r="D86" s="78"/>
      <c r="E86" s="1480">
        <v>2</v>
      </c>
    </row>
    <row r="87" spans="1:5">
      <c r="A87" s="75">
        <v>38195</v>
      </c>
      <c r="B87" s="76" t="str">
        <f>TiposLancamentos!B18</f>
        <v>Alimentacao</v>
      </c>
      <c r="C87" s="1314" t="s">
        <v>2558</v>
      </c>
      <c r="D87" s="78"/>
      <c r="E87" s="1480">
        <v>1.5</v>
      </c>
    </row>
    <row r="88" spans="1:5">
      <c r="A88" s="75">
        <v>38196</v>
      </c>
      <c r="B88" s="76" t="str">
        <f>TiposLancamentos!B18</f>
        <v>Alimentacao</v>
      </c>
      <c r="C88" s="1314" t="s">
        <v>2558</v>
      </c>
      <c r="D88" s="78"/>
      <c r="E88" s="1480">
        <v>1.5</v>
      </c>
    </row>
    <row r="89" spans="1:5">
      <c r="A89" s="75">
        <v>38196</v>
      </c>
      <c r="B89" s="76" t="str">
        <f>TiposLancamentos!B90</f>
        <v>Locadora</v>
      </c>
      <c r="C89" s="1314" t="s">
        <v>2559</v>
      </c>
      <c r="D89" s="78"/>
      <c r="E89" s="1480">
        <v>8</v>
      </c>
    </row>
    <row r="90" spans="1:5">
      <c r="A90" s="75">
        <v>38196</v>
      </c>
      <c r="B90" s="76" t="str">
        <f>TiposLancamentos!B18</f>
        <v>Alimentacao</v>
      </c>
      <c r="C90" s="1314" t="s">
        <v>2526</v>
      </c>
      <c r="D90" s="78"/>
      <c r="E90" s="1480">
        <v>2.1</v>
      </c>
    </row>
    <row r="91" spans="1:5">
      <c r="A91" s="75">
        <v>38197</v>
      </c>
      <c r="B91" s="76" t="str">
        <f>TiposLancamentos!B5</f>
        <v>Supermercado</v>
      </c>
      <c r="C91" s="1314" t="s">
        <v>2560</v>
      </c>
      <c r="D91" s="78"/>
      <c r="E91" s="1480">
        <v>1.25</v>
      </c>
    </row>
    <row r="92" spans="1:5">
      <c r="A92" s="75">
        <v>38197</v>
      </c>
      <c r="B92" s="76" t="str">
        <f>TiposLancamentos!B105</f>
        <v>Transf. Bco</v>
      </c>
      <c r="C92" s="1314" t="s">
        <v>2561</v>
      </c>
      <c r="D92" s="78"/>
      <c r="E92" s="1480">
        <v>20</v>
      </c>
    </row>
    <row r="93" spans="1:5">
      <c r="A93" s="75">
        <v>38197</v>
      </c>
      <c r="B93" s="76" t="str">
        <f>TiposLancamentos!B5</f>
        <v>Supermercado</v>
      </c>
      <c r="C93" s="1314" t="s">
        <v>2562</v>
      </c>
      <c r="D93" s="78"/>
      <c r="E93" s="1480">
        <v>1.1499999999999999</v>
      </c>
    </row>
    <row r="94" spans="1:5">
      <c r="A94" s="75">
        <v>38198</v>
      </c>
      <c r="B94" s="76" t="str">
        <f>TiposLancamentos!B18</f>
        <v>Alimentacao</v>
      </c>
      <c r="C94" s="1314" t="s">
        <v>2563</v>
      </c>
      <c r="D94" s="78"/>
      <c r="E94" s="1480">
        <v>4.8</v>
      </c>
    </row>
    <row r="95" spans="1:5">
      <c r="A95" s="75">
        <v>38199</v>
      </c>
      <c r="B95" s="76" t="str">
        <f>TiposLancamentos!B26</f>
        <v>LIVROS</v>
      </c>
      <c r="C95" s="1314" t="s">
        <v>2564</v>
      </c>
      <c r="D95" s="78"/>
      <c r="E95" s="1480">
        <v>4</v>
      </c>
    </row>
    <row r="96" spans="1:5">
      <c r="A96" s="75">
        <v>38199</v>
      </c>
      <c r="B96" s="76" t="str">
        <f>TiposLancamentos!B18</f>
        <v>Alimentacao</v>
      </c>
      <c r="C96" s="1314" t="s">
        <v>2565</v>
      </c>
      <c r="D96" s="78"/>
      <c r="E96" s="1480">
        <v>2</v>
      </c>
    </row>
    <row r="97" spans="1:5">
      <c r="A97" s="75">
        <v>38199</v>
      </c>
      <c r="B97" s="76" t="str">
        <f>TiposLancamentos!B18</f>
        <v>Alimentacao</v>
      </c>
      <c r="C97" s="1314" t="s">
        <v>2566</v>
      </c>
      <c r="D97" s="78"/>
      <c r="E97" s="1480">
        <v>1.5</v>
      </c>
    </row>
    <row r="98" spans="1:5">
      <c r="A98" s="75">
        <v>38199</v>
      </c>
      <c r="B98" s="76" t="str">
        <f>TiposLancamentos!B78</f>
        <v>Diferenças</v>
      </c>
      <c r="C98" s="1314" t="s">
        <v>1818</v>
      </c>
      <c r="D98" s="78">
        <v>0.03</v>
      </c>
      <c r="E98" s="1480"/>
    </row>
    <row r="99" spans="1:5">
      <c r="A99" s="75">
        <v>38199</v>
      </c>
      <c r="B99" s="76" t="str">
        <f>TiposLancamentos!B5</f>
        <v>Supermercado</v>
      </c>
      <c r="C99" s="1314" t="s">
        <v>2567</v>
      </c>
      <c r="D99" s="78"/>
      <c r="E99" s="1480">
        <v>5.05</v>
      </c>
    </row>
    <row r="100" spans="1:5">
      <c r="A100" s="83"/>
      <c r="B100" s="37"/>
      <c r="C100" s="1584" t="s">
        <v>2568</v>
      </c>
      <c r="D100" s="74"/>
      <c r="E100" s="1585"/>
    </row>
    <row r="101" spans="1:5">
      <c r="A101" s="75">
        <v>38200</v>
      </c>
      <c r="B101" s="76" t="str">
        <f>TiposLancamentos!B18</f>
        <v>Alimentacao</v>
      </c>
      <c r="C101" s="1314" t="s">
        <v>2569</v>
      </c>
      <c r="D101" s="78"/>
      <c r="E101" s="1480">
        <v>5.0999999999999996</v>
      </c>
    </row>
    <row r="102" spans="1:5">
      <c r="A102" s="75">
        <v>38200</v>
      </c>
      <c r="B102" s="76" t="str">
        <f>TiposLancamentos!B56</f>
        <v>Farmácia</v>
      </c>
      <c r="C102" s="1314" t="s">
        <v>2570</v>
      </c>
      <c r="D102" s="78"/>
      <c r="E102" s="1480">
        <v>6.2</v>
      </c>
    </row>
    <row r="103" spans="1:5">
      <c r="A103" s="75">
        <v>38200</v>
      </c>
      <c r="B103" s="76" t="str">
        <f>TiposLancamentos!B24</f>
        <v>Estacionamentos</v>
      </c>
      <c r="C103" s="1314" t="s">
        <v>2571</v>
      </c>
      <c r="D103" s="78"/>
      <c r="E103" s="1480">
        <v>2</v>
      </c>
    </row>
    <row r="104" spans="1:5">
      <c r="A104" s="75">
        <v>38200</v>
      </c>
      <c r="B104" s="76" t="str">
        <f>TiposLancamentos!B77</f>
        <v>Esporádico</v>
      </c>
      <c r="C104" s="1314" t="s">
        <v>2572</v>
      </c>
      <c r="D104" s="78"/>
      <c r="E104" s="1480">
        <v>3</v>
      </c>
    </row>
    <row r="105" spans="1:5">
      <c r="A105" s="75">
        <v>38200</v>
      </c>
      <c r="B105" s="76" t="str">
        <f>TiposLancamentos!B18</f>
        <v>Alimentacao</v>
      </c>
      <c r="C105" s="1314" t="s">
        <v>2573</v>
      </c>
      <c r="D105" s="78"/>
      <c r="E105" s="1480">
        <v>2</v>
      </c>
    </row>
    <row r="106" spans="1:5">
      <c r="A106" s="75">
        <v>38200</v>
      </c>
      <c r="B106" s="76" t="str">
        <f>TiposLancamentos!B18</f>
        <v>Alimentacao</v>
      </c>
      <c r="C106" s="1314" t="s">
        <v>2574</v>
      </c>
      <c r="D106" s="78"/>
      <c r="E106" s="1480">
        <v>3</v>
      </c>
    </row>
    <row r="107" spans="1:5">
      <c r="A107" s="75">
        <v>38200</v>
      </c>
      <c r="B107" s="76" t="str">
        <f>TiposLancamentos!B18</f>
        <v>Alimentacao</v>
      </c>
      <c r="C107" s="1314" t="s">
        <v>2575</v>
      </c>
      <c r="D107" s="78"/>
      <c r="E107" s="1480">
        <v>3.7</v>
      </c>
    </row>
    <row r="108" spans="1:5">
      <c r="A108" s="75">
        <v>38202</v>
      </c>
      <c r="B108" s="76" t="str">
        <f>B99</f>
        <v>Supermercado</v>
      </c>
      <c r="C108" s="1314" t="s">
        <v>2533</v>
      </c>
      <c r="D108" s="78"/>
      <c r="E108" s="1480">
        <v>2</v>
      </c>
    </row>
    <row r="109" spans="1:5">
      <c r="A109" s="75">
        <v>38202</v>
      </c>
      <c r="B109" s="76" t="str">
        <f>TiposLancamentos!B2</f>
        <v>Telefonia</v>
      </c>
      <c r="C109" s="1314" t="s">
        <v>2515</v>
      </c>
      <c r="D109" s="78"/>
      <c r="E109" s="1480">
        <v>33.39</v>
      </c>
    </row>
    <row r="110" spans="1:5">
      <c r="A110" s="75">
        <v>38202</v>
      </c>
      <c r="B110" s="76" t="str">
        <f>TiposLancamentos!B22</f>
        <v>Combustivel</v>
      </c>
      <c r="C110" s="1314" t="s">
        <v>2514</v>
      </c>
      <c r="D110" s="78"/>
      <c r="E110" s="1480">
        <v>20</v>
      </c>
    </row>
    <row r="111" spans="1:5">
      <c r="A111" s="75">
        <v>38202</v>
      </c>
      <c r="B111" s="76" t="str">
        <f>TiposLancamentos!B16</f>
        <v>Cristiane</v>
      </c>
      <c r="C111" s="1314" t="s">
        <v>2576</v>
      </c>
      <c r="D111" s="78"/>
      <c r="E111" s="1480">
        <v>1.7</v>
      </c>
    </row>
    <row r="112" spans="1:5">
      <c r="A112" s="75">
        <v>38205</v>
      </c>
      <c r="B112" s="76" t="str">
        <f>TiposLancamentos!B95</f>
        <v>Salarios</v>
      </c>
      <c r="C112" s="1314" t="s">
        <v>2521</v>
      </c>
      <c r="D112" s="78">
        <v>1037</v>
      </c>
      <c r="E112" s="1480"/>
    </row>
    <row r="113" spans="1:5">
      <c r="A113" s="75">
        <v>38205</v>
      </c>
      <c r="B113" s="76" t="str">
        <f>TiposLancamentos!B82</f>
        <v>CG Titan 125</v>
      </c>
      <c r="C113" s="77" t="s">
        <v>2577</v>
      </c>
      <c r="D113" s="78"/>
      <c r="E113" s="1480">
        <v>133.1</v>
      </c>
    </row>
    <row r="114" spans="1:5">
      <c r="A114" s="75">
        <v>38205</v>
      </c>
      <c r="B114" s="76" t="str">
        <f>TiposLancamentos!B105</f>
        <v>Transf. Bco</v>
      </c>
      <c r="C114" s="1314" t="s">
        <v>2578</v>
      </c>
      <c r="D114" s="78"/>
      <c r="E114" s="1480">
        <v>106</v>
      </c>
    </row>
    <row r="115" spans="1:5">
      <c r="A115" s="75">
        <v>38205</v>
      </c>
      <c r="B115" s="76" t="str">
        <f>TiposLancamentos!B6</f>
        <v>Energia Eletrica</v>
      </c>
      <c r="C115" s="1314" t="s">
        <v>2522</v>
      </c>
      <c r="D115" s="78"/>
      <c r="E115" s="1480">
        <v>49.92</v>
      </c>
    </row>
    <row r="116" spans="1:5">
      <c r="A116" s="75">
        <v>38205</v>
      </c>
      <c r="B116" s="76" t="str">
        <f>TiposLancamentos!B2</f>
        <v>Telefonia</v>
      </c>
      <c r="C116" s="1314" t="s">
        <v>2540</v>
      </c>
      <c r="D116" s="78"/>
      <c r="E116" s="1480">
        <v>23.13</v>
      </c>
    </row>
    <row r="117" spans="1:5">
      <c r="A117" s="75">
        <v>38205</v>
      </c>
      <c r="B117" s="76" t="str">
        <f>TiposLancamentos!B9</f>
        <v>Condominio</v>
      </c>
      <c r="C117" s="1314" t="s">
        <v>1684</v>
      </c>
      <c r="D117" s="78"/>
      <c r="E117" s="1480">
        <v>99.08</v>
      </c>
    </row>
    <row r="118" spans="1:5">
      <c r="A118" s="75">
        <v>38205</v>
      </c>
      <c r="B118" s="76" t="str">
        <f>TiposLancamentos!B24</f>
        <v>Estacionamentos</v>
      </c>
      <c r="C118" s="1314" t="s">
        <v>2579</v>
      </c>
      <c r="D118" s="78"/>
      <c r="E118" s="1480">
        <v>1</v>
      </c>
    </row>
    <row r="119" spans="1:5">
      <c r="A119" s="75">
        <v>38205</v>
      </c>
      <c r="B119" s="76" t="str">
        <f>TiposLancamentos!B63</f>
        <v>Parcelamentos</v>
      </c>
      <c r="C119" s="77" t="s">
        <v>2580</v>
      </c>
      <c r="D119" s="78"/>
      <c r="E119" s="1480">
        <v>42.9</v>
      </c>
    </row>
    <row r="120" spans="1:5">
      <c r="A120" s="75">
        <v>38205</v>
      </c>
      <c r="B120" s="76" t="str">
        <f>TiposLancamentos!B19</f>
        <v>Restaurantes</v>
      </c>
      <c r="C120" s="1314" t="s">
        <v>2524</v>
      </c>
      <c r="D120" s="78"/>
      <c r="E120" s="1480">
        <v>90</v>
      </c>
    </row>
    <row r="121" spans="1:5">
      <c r="A121" s="75">
        <v>38206</v>
      </c>
      <c r="B121" s="76" t="str">
        <f>TiposLancamentos!B18</f>
        <v>Alimentacao</v>
      </c>
      <c r="C121" s="1314" t="s">
        <v>2526</v>
      </c>
      <c r="D121" s="78"/>
      <c r="E121" s="1480">
        <v>4.4000000000000004</v>
      </c>
    </row>
    <row r="122" spans="1:5">
      <c r="A122" s="75">
        <v>38206</v>
      </c>
      <c r="B122" s="76" t="str">
        <f>TiposLancamentos!B18</f>
        <v>Alimentacao</v>
      </c>
      <c r="C122" s="1314" t="s">
        <v>2565</v>
      </c>
      <c r="D122" s="78"/>
      <c r="E122" s="1480">
        <v>2</v>
      </c>
    </row>
    <row r="123" spans="1:5">
      <c r="A123" s="75">
        <v>38206</v>
      </c>
      <c r="B123" s="76" t="str">
        <f>TiposLancamentos!B24</f>
        <v>Estacionamentos</v>
      </c>
      <c r="C123" s="1314" t="s">
        <v>2527</v>
      </c>
      <c r="D123" s="78"/>
      <c r="E123" s="1480">
        <v>1</v>
      </c>
    </row>
    <row r="124" spans="1:5">
      <c r="A124" s="75">
        <v>38206</v>
      </c>
      <c r="B124" s="76" t="str">
        <f>TiposLancamentos!B18</f>
        <v>Alimentacao</v>
      </c>
      <c r="C124" s="1314" t="s">
        <v>2581</v>
      </c>
      <c r="D124" s="78"/>
      <c r="E124" s="1480">
        <v>9.1999999999999993</v>
      </c>
    </row>
    <row r="125" spans="1:5">
      <c r="A125" s="75">
        <v>38206</v>
      </c>
      <c r="B125" s="76" t="str">
        <f>TiposLancamentos!B24</f>
        <v>Estacionamentos</v>
      </c>
      <c r="C125" s="1314" t="s">
        <v>2527</v>
      </c>
      <c r="D125" s="78"/>
      <c r="E125" s="1480">
        <v>1</v>
      </c>
    </row>
    <row r="126" spans="1:5">
      <c r="A126" s="75">
        <v>38206</v>
      </c>
      <c r="B126" s="76" t="str">
        <f>TiposLancamentos!B33</f>
        <v>Pedágios</v>
      </c>
      <c r="C126" s="1314" t="s">
        <v>2501</v>
      </c>
      <c r="D126" s="78"/>
      <c r="E126" s="1480">
        <v>1.9</v>
      </c>
    </row>
    <row r="127" spans="1:5">
      <c r="A127" s="75">
        <v>38207</v>
      </c>
      <c r="B127" s="76" t="str">
        <f>TiposLancamentos!B5</f>
        <v>Supermercado</v>
      </c>
      <c r="C127" s="1314" t="s">
        <v>2582</v>
      </c>
      <c r="D127" s="78"/>
      <c r="E127" s="1480">
        <v>12.5</v>
      </c>
    </row>
    <row r="128" spans="1:5">
      <c r="A128" s="75">
        <v>38208</v>
      </c>
      <c r="B128" s="76" t="str">
        <f>TiposLancamentos!B5</f>
        <v>Supermercado</v>
      </c>
      <c r="C128" s="1314" t="s">
        <v>2567</v>
      </c>
      <c r="D128" s="78"/>
      <c r="E128" s="1480">
        <v>13.9</v>
      </c>
    </row>
    <row r="129" spans="1:5">
      <c r="A129" s="75">
        <v>38208</v>
      </c>
      <c r="B129" s="76" t="str">
        <f>TiposLancamentos!B16</f>
        <v>Cristiane</v>
      </c>
      <c r="C129" s="1314" t="s">
        <v>2583</v>
      </c>
      <c r="D129" s="78"/>
      <c r="E129" s="1480">
        <v>2.4500000000000002</v>
      </c>
    </row>
    <row r="130" spans="1:5">
      <c r="A130" s="75">
        <v>38208</v>
      </c>
      <c r="B130" s="76" t="str">
        <f>TiposLancamentos!B82</f>
        <v>CG Titan 125</v>
      </c>
      <c r="C130" s="1314" t="s">
        <v>2584</v>
      </c>
      <c r="D130" s="78"/>
      <c r="E130" s="1480">
        <v>11</v>
      </c>
    </row>
    <row r="131" spans="1:5">
      <c r="A131" s="75">
        <v>38208</v>
      </c>
      <c r="B131" s="76" t="str">
        <f>TiposLancamentos!B18</f>
        <v>Alimentacao</v>
      </c>
      <c r="C131" s="1314" t="s">
        <v>2585</v>
      </c>
      <c r="D131" s="78"/>
      <c r="E131" s="1480">
        <v>5.0999999999999996</v>
      </c>
    </row>
    <row r="132" spans="1:5">
      <c r="A132" s="75">
        <v>38209</v>
      </c>
      <c r="B132" s="76" t="str">
        <f>TiposLancamentos!B18</f>
        <v>Alimentacao</v>
      </c>
      <c r="C132" s="1314" t="s">
        <v>2585</v>
      </c>
      <c r="D132" s="78"/>
      <c r="E132" s="1480">
        <v>2.8</v>
      </c>
    </row>
    <row r="133" spans="1:5">
      <c r="A133" s="75">
        <v>38209</v>
      </c>
      <c r="B133" s="76" t="str">
        <f>TiposLancamentos!B18</f>
        <v>Alimentacao</v>
      </c>
      <c r="C133" s="1314" t="s">
        <v>2586</v>
      </c>
      <c r="D133" s="78"/>
      <c r="E133" s="1480">
        <v>3.4</v>
      </c>
    </row>
    <row r="134" spans="1:5">
      <c r="A134" s="75">
        <v>38211</v>
      </c>
      <c r="B134" s="76" t="str">
        <f>TiposLancamentos!B5</f>
        <v>Supermercado</v>
      </c>
      <c r="C134" s="1314" t="s">
        <v>2587</v>
      </c>
      <c r="D134" s="78"/>
      <c r="E134" s="1480">
        <v>31.45</v>
      </c>
    </row>
    <row r="135" spans="1:5">
      <c r="A135" s="75">
        <v>38211</v>
      </c>
      <c r="B135" s="76" t="str">
        <f>TiposLancamentos!B5</f>
        <v>Supermercado</v>
      </c>
      <c r="C135" s="1314" t="s">
        <v>2588</v>
      </c>
      <c r="D135" s="78"/>
      <c r="E135" s="1480">
        <v>22.85</v>
      </c>
    </row>
    <row r="136" spans="1:5">
      <c r="A136" s="75">
        <v>38212</v>
      </c>
      <c r="B136" s="76" t="str">
        <f>TiposLancamentos!B15</f>
        <v>Cartões de Crédito</v>
      </c>
      <c r="C136" s="1314" t="s">
        <v>2538</v>
      </c>
      <c r="D136" s="78"/>
      <c r="E136" s="1480">
        <v>70.86</v>
      </c>
    </row>
    <row r="137" spans="1:5">
      <c r="A137" s="75">
        <v>38213</v>
      </c>
      <c r="B137" s="76" t="str">
        <f>TiposLancamentos!B5</f>
        <v>Supermercado</v>
      </c>
      <c r="C137" s="1314" t="s">
        <v>2589</v>
      </c>
      <c r="D137" s="78"/>
      <c r="E137" s="1480">
        <v>2</v>
      </c>
    </row>
    <row r="138" spans="1:5">
      <c r="A138" s="75">
        <v>38213</v>
      </c>
      <c r="B138" s="76" t="str">
        <f>TiposLancamentos!B18</f>
        <v>Alimentacao</v>
      </c>
      <c r="C138" s="1314" t="s">
        <v>2590</v>
      </c>
      <c r="D138" s="78"/>
      <c r="E138" s="1480">
        <v>4</v>
      </c>
    </row>
    <row r="139" spans="1:5">
      <c r="A139" s="75">
        <v>38213</v>
      </c>
      <c r="B139" s="76" t="str">
        <f>TiposLancamentos!B22</f>
        <v>Combustivel</v>
      </c>
      <c r="C139" s="1314" t="s">
        <v>2514</v>
      </c>
      <c r="D139" s="78"/>
      <c r="E139" s="1480">
        <v>21.3</v>
      </c>
    </row>
    <row r="140" spans="1:5">
      <c r="A140" s="75">
        <v>38214</v>
      </c>
      <c r="B140" s="76" t="str">
        <f>TiposLancamentos!B5</f>
        <v>Supermercado</v>
      </c>
      <c r="C140" s="1314" t="s">
        <v>2591</v>
      </c>
      <c r="D140" s="78"/>
      <c r="E140" s="1480">
        <v>3.35</v>
      </c>
    </row>
    <row r="141" spans="1:5">
      <c r="A141" s="75">
        <v>38215</v>
      </c>
      <c r="B141" s="76" t="str">
        <f>TiposLancamentos!B5</f>
        <v>Supermercado</v>
      </c>
      <c r="C141" s="1314" t="s">
        <v>2592</v>
      </c>
      <c r="D141" s="78"/>
      <c r="E141" s="1480">
        <v>3</v>
      </c>
    </row>
    <row r="142" spans="1:5">
      <c r="A142" s="75">
        <v>38218</v>
      </c>
      <c r="B142" s="76" t="str">
        <f>TiposLancamentos!B16</f>
        <v>Cristiane</v>
      </c>
      <c r="C142" s="1314" t="s">
        <v>2593</v>
      </c>
      <c r="D142" s="78"/>
      <c r="E142" s="1480">
        <v>5.9</v>
      </c>
    </row>
    <row r="143" spans="1:5">
      <c r="A143" s="75">
        <v>38219</v>
      </c>
      <c r="B143" s="76" t="str">
        <f>TiposLancamentos!B8</f>
        <v>Aluguel</v>
      </c>
      <c r="C143" s="1314" t="s">
        <v>2542</v>
      </c>
      <c r="D143" s="78"/>
      <c r="E143" s="1480">
        <v>250</v>
      </c>
    </row>
    <row r="144" spans="1:5">
      <c r="A144" s="75">
        <v>38220</v>
      </c>
      <c r="B144" s="76" t="str">
        <f>TiposLancamentos!B71</f>
        <v>Itens Pessoais</v>
      </c>
      <c r="C144" s="1314" t="s">
        <v>2594</v>
      </c>
      <c r="D144" s="78"/>
      <c r="E144" s="1480">
        <v>3</v>
      </c>
    </row>
    <row r="145" spans="1:5">
      <c r="A145" s="75">
        <v>38220</v>
      </c>
      <c r="B145" s="76" t="str">
        <f>TiposLancamentos!B18</f>
        <v>Alimentacao</v>
      </c>
      <c r="C145" s="1314" t="s">
        <v>2565</v>
      </c>
      <c r="D145" s="78"/>
      <c r="E145" s="1480">
        <v>2</v>
      </c>
    </row>
    <row r="146" spans="1:5">
      <c r="A146" s="75">
        <v>38220</v>
      </c>
      <c r="B146" s="76" t="str">
        <f>TiposLancamentos!B5</f>
        <v>Supermercado</v>
      </c>
      <c r="C146" s="1314" t="s">
        <v>2595</v>
      </c>
      <c r="D146" s="78"/>
      <c r="E146" s="1480">
        <v>0.6</v>
      </c>
    </row>
    <row r="147" spans="1:5">
      <c r="A147" s="75">
        <v>38221</v>
      </c>
      <c r="B147" s="76" t="str">
        <f>TiposLancamentos!B16</f>
        <v>Cristiane</v>
      </c>
      <c r="C147" s="1314" t="s">
        <v>2596</v>
      </c>
      <c r="D147" s="78">
        <v>5</v>
      </c>
      <c r="E147" s="1480"/>
    </row>
    <row r="148" spans="1:5">
      <c r="A148" s="75">
        <v>38221</v>
      </c>
      <c r="B148" s="76" t="str">
        <f>TiposLancamentos!B33</f>
        <v>Pedágios</v>
      </c>
      <c r="C148" s="1314" t="s">
        <v>2597</v>
      </c>
      <c r="D148" s="78"/>
      <c r="E148" s="1480">
        <v>1.9</v>
      </c>
    </row>
    <row r="149" spans="1:5">
      <c r="A149" s="75">
        <v>38223</v>
      </c>
      <c r="B149" s="76" t="str">
        <f>TiposLancamentos!B18</f>
        <v>Alimentacao</v>
      </c>
      <c r="C149" s="1314" t="s">
        <v>2598</v>
      </c>
      <c r="D149" s="78"/>
      <c r="E149" s="1480">
        <v>2.6</v>
      </c>
    </row>
    <row r="150" spans="1:5">
      <c r="A150" s="75">
        <v>38223</v>
      </c>
      <c r="B150" s="76" t="str">
        <f>TiposLancamentos!B5</f>
        <v>Supermercado</v>
      </c>
      <c r="C150" s="1314" t="s">
        <v>2533</v>
      </c>
      <c r="D150" s="78"/>
      <c r="E150" s="1480">
        <v>2</v>
      </c>
    </row>
    <row r="151" spans="1:5">
      <c r="A151" s="75">
        <v>38224</v>
      </c>
      <c r="B151" s="76" t="str">
        <f>TiposLancamentos!B16</f>
        <v>Cristiane</v>
      </c>
      <c r="C151" s="1314" t="s">
        <v>2527</v>
      </c>
      <c r="D151" s="78">
        <v>2</v>
      </c>
      <c r="E151" s="1480"/>
    </row>
    <row r="152" spans="1:5">
      <c r="A152" s="75">
        <v>38224</v>
      </c>
      <c r="B152" s="76" t="str">
        <f>TiposLancamentos!B24</f>
        <v>Estacionamentos</v>
      </c>
      <c r="C152" s="1314" t="s">
        <v>2527</v>
      </c>
      <c r="D152" s="78"/>
      <c r="E152" s="1480">
        <v>1</v>
      </c>
    </row>
    <row r="153" spans="1:5">
      <c r="A153" s="75">
        <v>38225</v>
      </c>
      <c r="B153" s="80" t="str">
        <f>TiposLancamentos!B16</f>
        <v>Cristiane</v>
      </c>
      <c r="C153" s="1586" t="s">
        <v>2599</v>
      </c>
      <c r="D153" s="82"/>
      <c r="E153" s="1583">
        <v>1</v>
      </c>
    </row>
    <row r="154" spans="1:5">
      <c r="A154" s="83"/>
      <c r="B154" s="76"/>
      <c r="C154" s="1314" t="s">
        <v>2600</v>
      </c>
      <c r="D154" s="78"/>
      <c r="E154" s="1480"/>
    </row>
    <row r="155" spans="1:5">
      <c r="A155" s="75">
        <v>38233</v>
      </c>
      <c r="B155" s="76" t="str">
        <f>TiposLancamentos!B20</f>
        <v>Saques</v>
      </c>
      <c r="C155" s="1314" t="s">
        <v>2601</v>
      </c>
      <c r="D155" s="78">
        <v>30</v>
      </c>
      <c r="E155" s="1480"/>
    </row>
    <row r="156" spans="1:5">
      <c r="A156" s="75">
        <v>38234</v>
      </c>
      <c r="B156" s="76" t="str">
        <f>TiposLancamentos!B55</f>
        <v>Onibus Urbano</v>
      </c>
      <c r="C156" s="1314" t="s">
        <v>2602</v>
      </c>
      <c r="D156" s="78"/>
      <c r="E156" s="1480">
        <v>1.6</v>
      </c>
    </row>
    <row r="157" spans="1:5">
      <c r="A157" s="75">
        <v>38234</v>
      </c>
      <c r="B157" s="76" t="str">
        <f>TiposLancamentos!B18</f>
        <v>Alimentacao</v>
      </c>
      <c r="C157" s="1314" t="s">
        <v>2603</v>
      </c>
      <c r="D157" s="78"/>
      <c r="E157" s="1480">
        <v>3.1</v>
      </c>
    </row>
    <row r="158" spans="1:5">
      <c r="A158" s="75">
        <v>38234</v>
      </c>
      <c r="B158" s="76" t="str">
        <f>TiposLancamentos!B74</f>
        <v>Noite</v>
      </c>
      <c r="C158" s="1314" t="s">
        <v>2604</v>
      </c>
      <c r="D158" s="78"/>
      <c r="E158" s="1480">
        <v>4</v>
      </c>
    </row>
    <row r="159" spans="1:5">
      <c r="A159" s="75">
        <v>38237</v>
      </c>
      <c r="B159" s="76" t="str">
        <f>TiposLancamentos!B72</f>
        <v>Presentes</v>
      </c>
      <c r="C159" s="1314" t="s">
        <v>2605</v>
      </c>
      <c r="D159" s="78"/>
      <c r="E159" s="1480">
        <v>8</v>
      </c>
    </row>
    <row r="160" spans="1:5">
      <c r="A160" s="75">
        <v>38237</v>
      </c>
      <c r="B160" s="76" t="str">
        <f>TiposLancamentos!B18</f>
        <v>Alimentacao</v>
      </c>
      <c r="C160" s="1314" t="s">
        <v>2603</v>
      </c>
      <c r="D160" s="78"/>
      <c r="E160" s="1480">
        <v>5</v>
      </c>
    </row>
    <row r="161" spans="1:5">
      <c r="A161" s="75">
        <v>38237</v>
      </c>
      <c r="B161" s="76" t="str">
        <f>TiposLancamentos!B55</f>
        <v>Onibus Urbano</v>
      </c>
      <c r="C161" s="1314" t="s">
        <v>2602</v>
      </c>
      <c r="D161" s="78"/>
      <c r="E161" s="1480">
        <v>1.6</v>
      </c>
    </row>
    <row r="162" spans="1:5">
      <c r="A162" s="75">
        <v>38238</v>
      </c>
      <c r="B162" s="76" t="str">
        <f>TiposLancamentos!B99</f>
        <v>Venda de algo</v>
      </c>
      <c r="C162" s="1314" t="s">
        <v>2606</v>
      </c>
      <c r="D162" s="78">
        <v>50</v>
      </c>
      <c r="E162" s="1480"/>
    </row>
    <row r="163" spans="1:5">
      <c r="A163" s="75">
        <v>38238</v>
      </c>
      <c r="B163" s="76" t="str">
        <f>TiposLancamentos!B95</f>
        <v>Salarios</v>
      </c>
      <c r="C163" s="1314" t="s">
        <v>2521</v>
      </c>
      <c r="D163" s="78">
        <v>1076</v>
      </c>
      <c r="E163" s="1480"/>
    </row>
    <row r="164" spans="1:5">
      <c r="A164" s="75">
        <v>38238</v>
      </c>
      <c r="B164" s="76" t="str">
        <f>TiposLancamentos!B99</f>
        <v>Venda de algo</v>
      </c>
      <c r="C164" s="1314" t="s">
        <v>2607</v>
      </c>
      <c r="D164" s="78">
        <v>300</v>
      </c>
      <c r="E164" s="1480"/>
    </row>
    <row r="165" spans="1:5">
      <c r="A165" s="75">
        <v>38238</v>
      </c>
      <c r="B165" s="76" t="str">
        <f>TiposLancamentos!B9</f>
        <v>Condominio</v>
      </c>
      <c r="C165" s="1314" t="s">
        <v>1684</v>
      </c>
      <c r="D165" s="78"/>
      <c r="E165" s="1480">
        <v>99.26</v>
      </c>
    </row>
    <row r="166" spans="1:5">
      <c r="A166" s="75">
        <v>38238</v>
      </c>
      <c r="B166" s="76" t="str">
        <f>TiposLancamentos!B18</f>
        <v>Alimentacao</v>
      </c>
      <c r="C166" s="1314" t="s">
        <v>2608</v>
      </c>
      <c r="D166" s="78"/>
      <c r="E166" s="1480">
        <v>8.1</v>
      </c>
    </row>
    <row r="167" spans="1:5">
      <c r="A167" s="75">
        <v>38238</v>
      </c>
      <c r="B167" s="76" t="str">
        <f>TiposLancamentos!B24</f>
        <v>Estacionamentos</v>
      </c>
      <c r="C167" s="1314" t="s">
        <v>2527</v>
      </c>
      <c r="D167" s="78"/>
      <c r="E167" s="1480">
        <v>1</v>
      </c>
    </row>
    <row r="168" spans="1:5">
      <c r="A168" s="75">
        <v>38238</v>
      </c>
      <c r="B168" s="76" t="str">
        <f>TiposLancamentos!B90</f>
        <v>Locadora</v>
      </c>
      <c r="C168" s="1314" t="s">
        <v>2609</v>
      </c>
      <c r="D168" s="78"/>
      <c r="E168" s="1480">
        <v>3.5</v>
      </c>
    </row>
    <row r="169" spans="1:5">
      <c r="A169" s="75">
        <v>38238</v>
      </c>
      <c r="B169" s="76" t="str">
        <f>TiposLancamentos!B105</f>
        <v>Transf. Bco</v>
      </c>
      <c r="C169" s="1314" t="s">
        <v>2578</v>
      </c>
      <c r="D169" s="78"/>
      <c r="E169" s="1480">
        <v>210</v>
      </c>
    </row>
    <row r="170" spans="1:5">
      <c r="A170" s="75">
        <v>38238</v>
      </c>
      <c r="B170" s="76" t="str">
        <f>TiposLancamentos!B6</f>
        <v>Energia Eletrica</v>
      </c>
      <c r="C170" s="1314" t="s">
        <v>2522</v>
      </c>
      <c r="D170" s="78"/>
      <c r="E170" s="1480">
        <v>49.27</v>
      </c>
    </row>
    <row r="171" spans="1:5">
      <c r="A171" s="75">
        <v>38238</v>
      </c>
      <c r="B171" s="76" t="str">
        <f>TiposLancamentos!B2</f>
        <v>Telefonia</v>
      </c>
      <c r="C171" s="1314" t="s">
        <v>2610</v>
      </c>
      <c r="D171" s="78"/>
      <c r="E171" s="1480">
        <v>40.65</v>
      </c>
    </row>
    <row r="172" spans="1:5">
      <c r="A172" s="75">
        <v>38238</v>
      </c>
      <c r="B172" s="76" t="str">
        <f>TiposLancamentos!B2</f>
        <v>Telefonia</v>
      </c>
      <c r="C172" s="1314" t="s">
        <v>2515</v>
      </c>
      <c r="D172" s="78"/>
      <c r="E172" s="1480">
        <v>35.58</v>
      </c>
    </row>
    <row r="173" spans="1:5">
      <c r="A173" s="75">
        <v>38238</v>
      </c>
      <c r="B173" s="76" t="str">
        <f>TiposLancamentos!B82</f>
        <v>CG Titan 125</v>
      </c>
      <c r="C173" s="1314" t="s">
        <v>2611</v>
      </c>
      <c r="D173" s="78"/>
      <c r="E173" s="1480">
        <v>113.1</v>
      </c>
    </row>
    <row r="174" spans="1:5">
      <c r="A174" s="75">
        <v>38238</v>
      </c>
      <c r="B174" s="76" t="str">
        <f>TiposLancamentos!B13</f>
        <v>Moradia</v>
      </c>
      <c r="C174" s="1314" t="s">
        <v>2612</v>
      </c>
      <c r="D174" s="78"/>
      <c r="E174" s="1480">
        <v>456.1</v>
      </c>
    </row>
    <row r="175" spans="1:5">
      <c r="A175" s="75">
        <v>38238</v>
      </c>
      <c r="B175" s="76" t="str">
        <f>TiposLancamentos!B19</f>
        <v>Restaurantes</v>
      </c>
      <c r="C175" s="1314" t="s">
        <v>2524</v>
      </c>
      <c r="D175" s="78"/>
      <c r="E175" s="1480">
        <v>127</v>
      </c>
    </row>
    <row r="176" spans="1:5">
      <c r="A176" s="75">
        <v>38238</v>
      </c>
      <c r="B176" s="76" t="str">
        <f>TiposLancamentos!B57</f>
        <v>Informática</v>
      </c>
      <c r="C176" s="1314" t="s">
        <v>2613</v>
      </c>
      <c r="D176" s="78"/>
      <c r="E176" s="1480">
        <v>35</v>
      </c>
    </row>
    <row r="177" spans="1:5">
      <c r="A177" s="75">
        <v>38238</v>
      </c>
      <c r="B177" s="76" t="str">
        <f>TiposLancamentos!B18</f>
        <v>Alimentacao</v>
      </c>
      <c r="C177" s="1314" t="s">
        <v>2614</v>
      </c>
      <c r="D177" s="78"/>
      <c r="E177" s="1480">
        <v>8</v>
      </c>
    </row>
    <row r="178" spans="1:5">
      <c r="A178" s="75">
        <v>38238</v>
      </c>
      <c r="B178" s="76" t="str">
        <f>TiposLancamentos!B18</f>
        <v>Alimentacao</v>
      </c>
      <c r="C178" s="1314" t="s">
        <v>2566</v>
      </c>
      <c r="D178" s="78"/>
      <c r="E178" s="1480">
        <v>6.7</v>
      </c>
    </row>
    <row r="179" spans="1:5">
      <c r="A179" s="75">
        <v>38239</v>
      </c>
      <c r="B179" s="76" t="str">
        <f>TiposLancamentos!B16</f>
        <v>Cristiane</v>
      </c>
      <c r="C179" s="1314" t="s">
        <v>1698</v>
      </c>
      <c r="D179" s="78"/>
      <c r="E179" s="1480">
        <v>10</v>
      </c>
    </row>
    <row r="180" spans="1:5">
      <c r="A180" s="75">
        <v>38239</v>
      </c>
      <c r="B180" s="76" t="str">
        <f>TiposLancamentos!B62</f>
        <v>Papelaria</v>
      </c>
      <c r="C180" s="1314" t="s">
        <v>1787</v>
      </c>
      <c r="D180" s="78"/>
      <c r="E180" s="1480">
        <v>9</v>
      </c>
    </row>
    <row r="181" spans="1:5">
      <c r="A181" s="75">
        <v>38239</v>
      </c>
      <c r="B181" s="76" t="str">
        <f>TiposLancamentos!B60</f>
        <v>Correio</v>
      </c>
      <c r="C181" s="1314" t="s">
        <v>2615</v>
      </c>
      <c r="D181" s="78"/>
      <c r="E181" s="1480">
        <v>7.5</v>
      </c>
    </row>
    <row r="182" spans="1:5">
      <c r="A182" s="75">
        <v>38239</v>
      </c>
      <c r="B182" s="76" t="str">
        <f>TiposLancamentos!B98</f>
        <v>Restituições</v>
      </c>
      <c r="C182" s="1314" t="s">
        <v>2616</v>
      </c>
      <c r="D182" s="78">
        <v>1368.07</v>
      </c>
      <c r="E182" s="1480"/>
    </row>
    <row r="183" spans="1:5">
      <c r="A183" s="75">
        <v>38239</v>
      </c>
      <c r="B183" s="76" t="str">
        <f>TiposLancamentos!B97</f>
        <v>Deposito Terc.</v>
      </c>
      <c r="C183" s="1314" t="s">
        <v>2617</v>
      </c>
      <c r="D183" s="78"/>
      <c r="E183" s="1480">
        <v>770</v>
      </c>
    </row>
    <row r="184" spans="1:5">
      <c r="A184" s="75">
        <v>38239</v>
      </c>
      <c r="B184" s="76" t="str">
        <f>TiposLancamentos!B24</f>
        <v>Estacionamentos</v>
      </c>
      <c r="C184" s="1314" t="s">
        <v>2527</v>
      </c>
      <c r="D184" s="78"/>
      <c r="E184" s="1480">
        <v>1</v>
      </c>
    </row>
    <row r="185" spans="1:5">
      <c r="A185" s="75">
        <v>38239</v>
      </c>
      <c r="B185" s="76" t="str">
        <f>TiposLancamentos!B16</f>
        <v>Cristiane</v>
      </c>
      <c r="C185" s="1314" t="s">
        <v>2517</v>
      </c>
      <c r="D185" s="78">
        <v>2</v>
      </c>
      <c r="E185" s="1480"/>
    </row>
    <row r="186" spans="1:5">
      <c r="A186" s="75">
        <v>38239</v>
      </c>
      <c r="B186" s="76" t="str">
        <f>TiposLancamentos!B19</f>
        <v>Restaurantes</v>
      </c>
      <c r="C186" s="1314" t="s">
        <v>2618</v>
      </c>
      <c r="D186" s="78"/>
      <c r="E186" s="1480">
        <v>21</v>
      </c>
    </row>
    <row r="187" spans="1:5">
      <c r="A187" s="75">
        <v>38239</v>
      </c>
      <c r="B187" s="76" t="str">
        <f>TiposLancamentos!B58</f>
        <v>Fotografias</v>
      </c>
      <c r="C187" s="1314" t="s">
        <v>2619</v>
      </c>
      <c r="D187" s="78"/>
      <c r="E187" s="1480">
        <v>7</v>
      </c>
    </row>
    <row r="188" spans="1:5">
      <c r="A188" s="75">
        <v>38239</v>
      </c>
      <c r="B188" s="76" t="str">
        <f>TiposLancamentos!B18</f>
        <v>Alimentacao</v>
      </c>
      <c r="C188" s="1314" t="s">
        <v>2566</v>
      </c>
      <c r="D188" s="78"/>
      <c r="E188" s="1480">
        <v>1.5</v>
      </c>
    </row>
    <row r="189" spans="1:5">
      <c r="A189" s="75">
        <v>38239</v>
      </c>
      <c r="B189" s="76" t="str">
        <f>TiposLancamentos!B16</f>
        <v>Cristiane</v>
      </c>
      <c r="C189" s="1314" t="s">
        <v>2620</v>
      </c>
      <c r="D189" s="78"/>
      <c r="E189" s="1480">
        <v>4</v>
      </c>
    </row>
    <row r="190" spans="1:5">
      <c r="A190" s="75">
        <v>38239</v>
      </c>
      <c r="B190" s="76" t="str">
        <f>TiposLancamentos!B59</f>
        <v>Documentos</v>
      </c>
      <c r="C190" s="1314" t="s">
        <v>2621</v>
      </c>
      <c r="D190" s="78"/>
      <c r="E190" s="1480">
        <v>15</v>
      </c>
    </row>
    <row r="191" spans="1:5">
      <c r="A191" s="75">
        <v>38239</v>
      </c>
      <c r="B191" s="76" t="str">
        <f>TiposLancamentos!B59</f>
        <v>Documentos</v>
      </c>
      <c r="C191" s="1314" t="s">
        <v>2622</v>
      </c>
      <c r="D191" s="78"/>
      <c r="E191" s="1480">
        <v>11</v>
      </c>
    </row>
    <row r="192" spans="1:5">
      <c r="A192" s="75">
        <v>38239</v>
      </c>
      <c r="B192" s="76" t="str">
        <f>TiposLancamentos!B19</f>
        <v>Restaurantes</v>
      </c>
      <c r="C192" s="1314" t="s">
        <v>2502</v>
      </c>
      <c r="D192" s="78"/>
      <c r="E192" s="1480">
        <v>13.6</v>
      </c>
    </row>
    <row r="193" spans="1:5">
      <c r="A193" s="75">
        <v>38239</v>
      </c>
      <c r="B193" s="76" t="str">
        <f>TiposLancamentos!B18</f>
        <v>Alimentacao</v>
      </c>
      <c r="C193" s="1314" t="s">
        <v>2566</v>
      </c>
      <c r="D193" s="78"/>
      <c r="E193" s="1480">
        <v>5.0999999999999996</v>
      </c>
    </row>
    <row r="194" spans="1:5">
      <c r="A194" s="75">
        <v>38239</v>
      </c>
      <c r="B194" s="76" t="str">
        <f>TiposLancamentos!B16</f>
        <v>Cristiane</v>
      </c>
      <c r="C194" s="1314" t="s">
        <v>2623</v>
      </c>
      <c r="D194" s="78"/>
      <c r="E194" s="1480">
        <v>4</v>
      </c>
    </row>
    <row r="195" spans="1:5">
      <c r="A195" s="75">
        <v>38240</v>
      </c>
      <c r="B195" s="76" t="str">
        <f>TiposLancamentos!B33</f>
        <v>Pedágios</v>
      </c>
      <c r="C195" s="1314" t="s">
        <v>2501</v>
      </c>
      <c r="D195" s="78"/>
      <c r="E195" s="1480">
        <v>1.9</v>
      </c>
    </row>
    <row r="196" spans="1:5">
      <c r="A196" s="75">
        <v>38240</v>
      </c>
      <c r="B196" s="76" t="str">
        <f>TiposLancamentos!B18</f>
        <v>Alimentacao</v>
      </c>
      <c r="C196" s="1314" t="s">
        <v>2526</v>
      </c>
      <c r="D196" s="78"/>
      <c r="E196" s="1480">
        <v>1.3</v>
      </c>
    </row>
    <row r="197" spans="1:5">
      <c r="A197" s="75">
        <v>38240</v>
      </c>
      <c r="B197" s="76" t="str">
        <f>TiposLancamentos!B33</f>
        <v>Pedágios</v>
      </c>
      <c r="C197" s="1314" t="s">
        <v>2501</v>
      </c>
      <c r="D197" s="78"/>
      <c r="E197" s="1480">
        <v>1.9</v>
      </c>
    </row>
    <row r="198" spans="1:5">
      <c r="A198" s="75">
        <v>38240</v>
      </c>
      <c r="B198" s="76" t="str">
        <f>TiposLancamentos!B55</f>
        <v>Onibus Urbano</v>
      </c>
      <c r="C198" s="1314" t="s">
        <v>2624</v>
      </c>
      <c r="D198" s="78"/>
      <c r="E198" s="1480">
        <v>3.6</v>
      </c>
    </row>
    <row r="199" spans="1:5">
      <c r="A199" s="75">
        <v>38240</v>
      </c>
      <c r="B199" s="76" t="str">
        <f>TiposLancamentos!B70</f>
        <v>Vestuário</v>
      </c>
      <c r="C199" s="1314" t="s">
        <v>2625</v>
      </c>
      <c r="D199" s="78"/>
      <c r="E199" s="1480">
        <v>174</v>
      </c>
    </row>
    <row r="200" spans="1:5">
      <c r="A200" s="75">
        <v>38240</v>
      </c>
      <c r="B200" s="76" t="str">
        <f>TiposLancamentos!B70</f>
        <v>Vestuário</v>
      </c>
      <c r="C200" s="1314" t="s">
        <v>2626</v>
      </c>
      <c r="D200" s="78"/>
      <c r="E200" s="1480">
        <v>98</v>
      </c>
    </row>
    <row r="201" spans="1:5">
      <c r="A201" s="75">
        <v>38240</v>
      </c>
      <c r="B201" s="76" t="str">
        <f>TiposLancamentos!B18</f>
        <v>Alimentacao</v>
      </c>
      <c r="C201" s="1314" t="s">
        <v>2618</v>
      </c>
      <c r="D201" s="78"/>
      <c r="E201" s="1480">
        <v>3</v>
      </c>
    </row>
    <row r="202" spans="1:5">
      <c r="A202" s="75">
        <v>38240</v>
      </c>
      <c r="B202" s="76" t="str">
        <f>TiposLancamentos!B55</f>
        <v>Onibus Urbano</v>
      </c>
      <c r="C202" s="1314" t="s">
        <v>2624</v>
      </c>
      <c r="D202" s="78"/>
      <c r="E202" s="1480">
        <v>3.6</v>
      </c>
    </row>
    <row r="203" spans="1:5">
      <c r="A203" s="75">
        <v>38240</v>
      </c>
      <c r="B203" s="76" t="str">
        <f>TiposLancamentos!B18</f>
        <v>Alimentacao</v>
      </c>
      <c r="C203" s="1314" t="s">
        <v>2627</v>
      </c>
      <c r="D203" s="78"/>
      <c r="E203" s="1480">
        <v>2.25</v>
      </c>
    </row>
    <row r="204" spans="1:5">
      <c r="A204" s="75">
        <v>38240</v>
      </c>
      <c r="B204" s="76" t="str">
        <f>TiposLancamentos!B18</f>
        <v>Alimentacao</v>
      </c>
      <c r="C204" s="1314" t="s">
        <v>2581</v>
      </c>
      <c r="D204" s="78"/>
      <c r="E204" s="1480">
        <v>11.1</v>
      </c>
    </row>
    <row r="205" spans="1:5">
      <c r="A205" s="75">
        <v>38240</v>
      </c>
      <c r="B205" s="76" t="str">
        <f>TiposLancamentos!B99</f>
        <v>Venda de algo</v>
      </c>
      <c r="C205" s="1314" t="s">
        <v>2628</v>
      </c>
      <c r="D205" s="78">
        <v>30</v>
      </c>
      <c r="E205" s="1480"/>
    </row>
    <row r="206" spans="1:5">
      <c r="A206" s="75">
        <v>38241</v>
      </c>
      <c r="B206" s="76" t="str">
        <f>TiposLancamentos!B19</f>
        <v>Restaurantes</v>
      </c>
      <c r="C206" s="1314" t="s">
        <v>2618</v>
      </c>
      <c r="D206" s="78"/>
      <c r="E206" s="1480">
        <v>10</v>
      </c>
    </row>
    <row r="207" spans="1:5">
      <c r="A207" s="75">
        <v>38241</v>
      </c>
      <c r="B207" s="76" t="str">
        <f>TiposLancamentos!B70</f>
        <v>Vestuário</v>
      </c>
      <c r="C207" s="1314" t="s">
        <v>1796</v>
      </c>
      <c r="D207" s="78"/>
      <c r="E207" s="1480">
        <v>10.5</v>
      </c>
    </row>
    <row r="208" spans="1:5">
      <c r="A208" s="75">
        <v>38241</v>
      </c>
      <c r="B208" s="76" t="str">
        <f>TiposLancamentos!B69</f>
        <v>Consertos</v>
      </c>
      <c r="C208" s="1314" t="s">
        <v>2629</v>
      </c>
      <c r="D208" s="78"/>
      <c r="E208" s="1480">
        <v>16</v>
      </c>
    </row>
    <row r="209" spans="1:5">
      <c r="A209" s="75">
        <v>38241</v>
      </c>
      <c r="B209" s="76" t="str">
        <f>TiposLancamentos!B18</f>
        <v>Alimentacao</v>
      </c>
      <c r="C209" s="1314" t="s">
        <v>2627</v>
      </c>
      <c r="D209" s="78"/>
      <c r="E209" s="1480">
        <v>2.2999999999999998</v>
      </c>
    </row>
    <row r="210" spans="1:5">
      <c r="A210" s="75">
        <v>38241</v>
      </c>
      <c r="B210" s="76" t="str">
        <f>TiposLancamentos!B18</f>
        <v>Alimentacao</v>
      </c>
      <c r="C210" s="1314" t="s">
        <v>2581</v>
      </c>
      <c r="D210" s="78"/>
      <c r="E210" s="1480">
        <v>9.8000000000000007</v>
      </c>
    </row>
    <row r="211" spans="1:5">
      <c r="A211" s="75">
        <v>38242</v>
      </c>
      <c r="B211" s="76" t="str">
        <f>TiposLancamentos!B65</f>
        <v>Taxi</v>
      </c>
      <c r="C211" s="1314" t="s">
        <v>1792</v>
      </c>
      <c r="D211" s="78"/>
      <c r="E211" s="1480">
        <v>11</v>
      </c>
    </row>
    <row r="212" spans="1:5">
      <c r="A212" s="75">
        <v>38242</v>
      </c>
      <c r="B212" s="76" t="str">
        <f>TiposLancamentos!B16</f>
        <v>Cristiane</v>
      </c>
      <c r="C212" s="1314" t="s">
        <v>2630</v>
      </c>
      <c r="D212" s="78"/>
      <c r="E212" s="1480">
        <v>20</v>
      </c>
    </row>
    <row r="213" spans="1:5">
      <c r="A213" s="75">
        <v>38242</v>
      </c>
      <c r="B213" s="76" t="str">
        <f>TiposLancamentos!B18</f>
        <v>Alimentacao</v>
      </c>
      <c r="C213" s="1314" t="s">
        <v>2631</v>
      </c>
      <c r="D213" s="78"/>
      <c r="E213" s="1480">
        <v>3</v>
      </c>
    </row>
    <row r="214" spans="1:5">
      <c r="A214" s="75">
        <v>38242</v>
      </c>
      <c r="B214" s="76" t="str">
        <f>TiposLancamentos!B2</f>
        <v>Telefonia</v>
      </c>
      <c r="C214" s="1314" t="s">
        <v>2623</v>
      </c>
      <c r="D214" s="78"/>
      <c r="E214" s="1480">
        <v>6</v>
      </c>
    </row>
    <row r="215" spans="1:5">
      <c r="A215" s="75">
        <v>38242</v>
      </c>
      <c r="B215" s="76" t="str">
        <f>TiposLancamentos!B74</f>
        <v>Noite</v>
      </c>
      <c r="C215" s="1314" t="s">
        <v>2632</v>
      </c>
      <c r="D215" s="78"/>
      <c r="E215" s="1480">
        <v>3.95</v>
      </c>
    </row>
    <row r="216" spans="1:5">
      <c r="A216" s="75">
        <v>38242</v>
      </c>
      <c r="B216" s="76" t="str">
        <f>TiposLancamentos!B19</f>
        <v>Restaurantes</v>
      </c>
      <c r="C216" s="1314" t="s">
        <v>2502</v>
      </c>
      <c r="D216" s="78"/>
      <c r="E216" s="1480">
        <v>11</v>
      </c>
    </row>
    <row r="217" spans="1:5">
      <c r="A217" s="75">
        <v>38243</v>
      </c>
      <c r="B217" s="76" t="str">
        <f>TiposLancamentos!B65</f>
        <v>Taxi</v>
      </c>
      <c r="C217" s="1314" t="s">
        <v>1792</v>
      </c>
      <c r="D217" s="78"/>
      <c r="E217" s="1480">
        <v>16</v>
      </c>
    </row>
    <row r="218" spans="1:5">
      <c r="A218" s="75">
        <v>38243</v>
      </c>
      <c r="B218" s="76" t="str">
        <f>TiposLancamentos!B19</f>
        <v>Restaurantes</v>
      </c>
      <c r="C218" s="1314" t="s">
        <v>2618</v>
      </c>
      <c r="D218" s="78"/>
      <c r="E218" s="1480">
        <v>5.3</v>
      </c>
    </row>
    <row r="219" spans="1:5">
      <c r="A219" s="75">
        <v>38243</v>
      </c>
      <c r="B219" s="76" t="str">
        <f>TiposLancamentos!B60</f>
        <v>Correio</v>
      </c>
      <c r="C219" s="1314" t="s">
        <v>2633</v>
      </c>
      <c r="D219" s="78"/>
      <c r="E219" s="1480">
        <v>17</v>
      </c>
    </row>
    <row r="220" spans="1:5">
      <c r="A220" s="75">
        <v>38243</v>
      </c>
      <c r="B220" s="76" t="str">
        <f>TiposLancamentos!B24</f>
        <v>Estacionamentos</v>
      </c>
      <c r="C220" s="1314" t="s">
        <v>2527</v>
      </c>
      <c r="D220" s="78"/>
      <c r="E220" s="1480">
        <v>3</v>
      </c>
    </row>
    <row r="221" spans="1:5">
      <c r="A221" s="75">
        <v>38243</v>
      </c>
      <c r="B221" s="76" t="str">
        <f>TiposLancamentos!B18</f>
        <v>Alimentacao</v>
      </c>
      <c r="C221" s="1314" t="s">
        <v>2634</v>
      </c>
      <c r="D221" s="78"/>
      <c r="E221" s="1480">
        <v>3</v>
      </c>
    </row>
    <row r="222" spans="1:5">
      <c r="A222" s="75">
        <v>38244</v>
      </c>
      <c r="B222" s="76" t="str">
        <f>TiposLancamentos!B19</f>
        <v>Restaurantes</v>
      </c>
      <c r="C222" s="1314" t="s">
        <v>2618</v>
      </c>
      <c r="D222" s="78"/>
      <c r="E222" s="1480">
        <v>10</v>
      </c>
    </row>
    <row r="223" spans="1:5">
      <c r="A223" s="75">
        <v>38244</v>
      </c>
      <c r="B223" s="76" t="str">
        <f>TiposLancamentos!B18</f>
        <v>Alimentacao</v>
      </c>
      <c r="C223" s="1314" t="s">
        <v>2635</v>
      </c>
      <c r="D223" s="78"/>
      <c r="E223" s="1480">
        <v>4.4000000000000004</v>
      </c>
    </row>
    <row r="224" spans="1:5">
      <c r="A224" s="75">
        <v>38244</v>
      </c>
      <c r="B224" s="76" t="str">
        <f>TiposLancamentos!B5</f>
        <v>Supermercado</v>
      </c>
      <c r="C224" s="1314" t="s">
        <v>2636</v>
      </c>
      <c r="D224" s="78"/>
      <c r="E224" s="1480">
        <v>45.1</v>
      </c>
    </row>
    <row r="225" spans="1:5">
      <c r="A225" s="75">
        <v>38244</v>
      </c>
      <c r="B225" s="76" t="str">
        <f>TiposLancamentos!B18</f>
        <v>Alimentacao</v>
      </c>
      <c r="C225" s="1314" t="s">
        <v>2635</v>
      </c>
      <c r="D225" s="78"/>
      <c r="E225" s="1480">
        <v>10</v>
      </c>
    </row>
    <row r="226" spans="1:5">
      <c r="A226" s="75">
        <v>38245</v>
      </c>
      <c r="B226" s="76" t="str">
        <f>TiposLancamentos!B18</f>
        <v>Alimentacao</v>
      </c>
      <c r="C226" s="1314" t="s">
        <v>2631</v>
      </c>
      <c r="D226" s="78"/>
      <c r="E226" s="1480">
        <v>0.5</v>
      </c>
    </row>
    <row r="227" spans="1:5">
      <c r="A227" s="75">
        <v>38245</v>
      </c>
      <c r="B227" s="76" t="str">
        <f>TiposLancamentos!B19</f>
        <v>Restaurantes</v>
      </c>
      <c r="C227" s="1314" t="s">
        <v>2618</v>
      </c>
      <c r="D227" s="78"/>
      <c r="E227" s="1480">
        <v>4.5999999999999996</v>
      </c>
    </row>
    <row r="228" spans="1:5">
      <c r="A228" s="75">
        <v>38245</v>
      </c>
      <c r="B228" s="76" t="str">
        <f>TiposLancamentos!B18</f>
        <v>Alimentacao</v>
      </c>
      <c r="C228" s="1314" t="s">
        <v>2566</v>
      </c>
      <c r="D228" s="78"/>
      <c r="E228" s="1480">
        <v>2.2999999999999998</v>
      </c>
    </row>
    <row r="229" spans="1:5">
      <c r="A229" s="75">
        <v>38245</v>
      </c>
      <c r="B229" s="76" t="str">
        <f>TiposLancamentos!B18</f>
        <v>Alimentacao</v>
      </c>
      <c r="C229" s="1314" t="s">
        <v>2637</v>
      </c>
      <c r="D229" s="78"/>
      <c r="E229" s="1480">
        <v>2.5</v>
      </c>
    </row>
    <row r="230" spans="1:5">
      <c r="A230" s="75">
        <v>38245</v>
      </c>
      <c r="B230" s="76" t="str">
        <f>TiposLancamentos!B18</f>
        <v>Alimentacao</v>
      </c>
      <c r="C230" s="1314" t="s">
        <v>2638</v>
      </c>
      <c r="D230" s="78"/>
      <c r="E230" s="1480">
        <v>0.5</v>
      </c>
    </row>
    <row r="231" spans="1:5">
      <c r="A231" s="75">
        <v>38246</v>
      </c>
      <c r="B231" s="76" t="str">
        <f>TiposLancamentos!B19</f>
        <v>Restaurantes</v>
      </c>
      <c r="C231" s="1314" t="s">
        <v>2618</v>
      </c>
      <c r="D231" s="78"/>
      <c r="E231" s="1480">
        <v>9.6</v>
      </c>
    </row>
    <row r="232" spans="1:5">
      <c r="A232" s="75">
        <v>38246</v>
      </c>
      <c r="B232" s="76" t="str">
        <f>TiposLancamentos!B18</f>
        <v>Alimentacao</v>
      </c>
      <c r="C232" s="1314" t="s">
        <v>2638</v>
      </c>
      <c r="D232" s="78"/>
      <c r="E232" s="1480">
        <v>0.5</v>
      </c>
    </row>
    <row r="233" spans="1:5">
      <c r="A233" s="75">
        <v>38246</v>
      </c>
      <c r="B233" s="76" t="str">
        <f>TiposLancamentos!B18</f>
        <v>Alimentacao</v>
      </c>
      <c r="C233" s="1314" t="s">
        <v>2635</v>
      </c>
      <c r="D233" s="78"/>
      <c r="E233" s="1480">
        <v>5</v>
      </c>
    </row>
    <row r="234" spans="1:5">
      <c r="A234" s="75">
        <v>38246</v>
      </c>
      <c r="B234" s="76" t="str">
        <f>TiposLancamentos!B74</f>
        <v>Noite</v>
      </c>
      <c r="C234" s="1314" t="s">
        <v>2632</v>
      </c>
      <c r="D234" s="78"/>
      <c r="E234" s="1480">
        <v>5</v>
      </c>
    </row>
    <row r="235" spans="1:5">
      <c r="A235" s="75">
        <v>38247</v>
      </c>
      <c r="B235" s="76" t="str">
        <f>TiposLancamentos!B19</f>
        <v>Restaurantes</v>
      </c>
      <c r="C235" s="1314" t="s">
        <v>2618</v>
      </c>
      <c r="D235" s="78"/>
      <c r="E235" s="1480">
        <v>5.75</v>
      </c>
    </row>
    <row r="236" spans="1:5">
      <c r="A236" s="75">
        <v>38247</v>
      </c>
      <c r="B236" s="76" t="str">
        <f>TiposLancamentos!B18</f>
        <v>Alimentacao</v>
      </c>
      <c r="C236" s="1314" t="s">
        <v>2638</v>
      </c>
      <c r="D236" s="78"/>
      <c r="E236" s="1480">
        <v>1</v>
      </c>
    </row>
    <row r="237" spans="1:5">
      <c r="A237" s="75">
        <v>38247</v>
      </c>
      <c r="B237" s="76" t="str">
        <f>B234</f>
        <v>Noite</v>
      </c>
      <c r="C237" s="1314" t="s">
        <v>2639</v>
      </c>
      <c r="D237" s="78"/>
      <c r="E237" s="1480">
        <v>5</v>
      </c>
    </row>
    <row r="238" spans="1:5">
      <c r="A238" s="75">
        <v>38247</v>
      </c>
      <c r="B238" s="76" t="str">
        <f>B229</f>
        <v>Alimentacao</v>
      </c>
      <c r="C238" s="1314" t="s">
        <v>2640</v>
      </c>
      <c r="D238" s="78"/>
      <c r="E238" s="1480">
        <v>5</v>
      </c>
    </row>
    <row r="239" spans="1:5">
      <c r="A239" s="75">
        <v>38247</v>
      </c>
      <c r="B239" s="76" t="str">
        <f>B237</f>
        <v>Noite</v>
      </c>
      <c r="C239" s="1314" t="s">
        <v>2641</v>
      </c>
      <c r="D239" s="78"/>
      <c r="E239" s="1480">
        <v>15</v>
      </c>
    </row>
    <row r="240" spans="1:5">
      <c r="A240" s="75">
        <v>38247</v>
      </c>
      <c r="B240" s="76" t="str">
        <f>B236</f>
        <v>Alimentacao</v>
      </c>
      <c r="C240" s="1314" t="s">
        <v>2642</v>
      </c>
      <c r="D240" s="78"/>
      <c r="E240" s="1480">
        <v>5</v>
      </c>
    </row>
    <row r="241" spans="1:5">
      <c r="A241" s="75">
        <v>38248</v>
      </c>
      <c r="B241" s="76" t="str">
        <f>B231</f>
        <v>Restaurantes</v>
      </c>
      <c r="C241" s="1314" t="s">
        <v>2618</v>
      </c>
      <c r="D241" s="78"/>
      <c r="E241" s="1480">
        <v>15</v>
      </c>
    </row>
    <row r="242" spans="1:5">
      <c r="A242" s="75">
        <v>38248</v>
      </c>
      <c r="B242" s="76" t="str">
        <f>B238</f>
        <v>Alimentacao</v>
      </c>
      <c r="C242" s="1314" t="s">
        <v>2643</v>
      </c>
      <c r="D242" s="78"/>
      <c r="E242" s="1480">
        <v>3</v>
      </c>
    </row>
    <row r="243" spans="1:5">
      <c r="A243" s="75">
        <v>38249</v>
      </c>
      <c r="B243" s="76" t="str">
        <f>B242</f>
        <v>Alimentacao</v>
      </c>
      <c r="C243" s="1314" t="s">
        <v>2618</v>
      </c>
      <c r="D243" s="78"/>
      <c r="E243" s="1480">
        <v>5</v>
      </c>
    </row>
    <row r="244" spans="1:5">
      <c r="A244" s="75">
        <v>38249</v>
      </c>
      <c r="B244" s="76" t="str">
        <f>B239</f>
        <v>Noite</v>
      </c>
      <c r="C244" s="1314" t="s">
        <v>2644</v>
      </c>
      <c r="D244" s="78"/>
      <c r="E244" s="1480">
        <v>5</v>
      </c>
    </row>
    <row r="245" spans="1:5">
      <c r="A245" s="75">
        <v>38249</v>
      </c>
      <c r="B245" s="76" t="str">
        <f>B242</f>
        <v>Alimentacao</v>
      </c>
      <c r="C245" s="1314" t="s">
        <v>2645</v>
      </c>
      <c r="D245" s="78"/>
      <c r="E245" s="1480">
        <v>5.5</v>
      </c>
    </row>
    <row r="246" spans="1:5">
      <c r="A246" s="75">
        <v>38249</v>
      </c>
      <c r="B246" s="76" t="str">
        <f>B244</f>
        <v>Noite</v>
      </c>
      <c r="C246" s="1314" t="s">
        <v>2646</v>
      </c>
      <c r="D246" s="78"/>
      <c r="E246" s="1480">
        <v>13.25</v>
      </c>
    </row>
    <row r="247" spans="1:5">
      <c r="A247" s="75">
        <v>38250</v>
      </c>
      <c r="B247" s="76" t="str">
        <f>TiposLancamentos!B65</f>
        <v>Taxi</v>
      </c>
      <c r="C247" s="1314" t="s">
        <v>1792</v>
      </c>
      <c r="D247" s="78"/>
      <c r="E247" s="1480">
        <v>18</v>
      </c>
    </row>
    <row r="248" spans="1:5">
      <c r="A248" s="75">
        <v>38250</v>
      </c>
      <c r="B248" s="76" t="str">
        <f>TiposLancamentos!B78</f>
        <v>Diferenças</v>
      </c>
      <c r="C248" s="1314" t="s">
        <v>2488</v>
      </c>
      <c r="D248" s="78"/>
      <c r="E248" s="1480">
        <v>9.91</v>
      </c>
    </row>
    <row r="249" spans="1:5">
      <c r="A249" s="75">
        <v>38250</v>
      </c>
      <c r="B249" s="76" t="str">
        <f>B235</f>
        <v>Restaurantes</v>
      </c>
      <c r="C249" s="1314" t="str">
        <f>C231</f>
        <v>Almoço</v>
      </c>
      <c r="D249" s="78"/>
      <c r="E249" s="1480">
        <v>5</v>
      </c>
    </row>
    <row r="250" spans="1:5">
      <c r="A250" s="75">
        <v>38250</v>
      </c>
      <c r="B250" s="76" t="str">
        <f>B245</f>
        <v>Alimentacao</v>
      </c>
      <c r="C250" s="1314" t="s">
        <v>2647</v>
      </c>
      <c r="D250" s="78"/>
      <c r="E250" s="1480">
        <v>2</v>
      </c>
    </row>
    <row r="251" spans="1:5">
      <c r="A251" s="75">
        <v>38251</v>
      </c>
      <c r="B251" s="76" t="str">
        <f>B247</f>
        <v>Taxi</v>
      </c>
      <c r="C251" s="1314" t="s">
        <v>1792</v>
      </c>
      <c r="D251" s="78"/>
      <c r="E251" s="1480">
        <v>16</v>
      </c>
    </row>
    <row r="252" spans="1:5">
      <c r="A252" s="75">
        <v>38251</v>
      </c>
      <c r="B252" s="76" t="str">
        <f>B249</f>
        <v>Restaurantes</v>
      </c>
      <c r="C252" s="1314" t="s">
        <v>2618</v>
      </c>
      <c r="D252" s="78"/>
      <c r="E252" s="1480">
        <v>6.6</v>
      </c>
    </row>
    <row r="253" spans="1:5">
      <c r="A253" s="75">
        <v>38251</v>
      </c>
      <c r="B253" s="76" t="str">
        <f>B250</f>
        <v>Alimentacao</v>
      </c>
      <c r="C253" s="1314" t="s">
        <v>2631</v>
      </c>
      <c r="D253" s="78"/>
      <c r="E253" s="1480">
        <v>0.7</v>
      </c>
    </row>
    <row r="254" spans="1:5">
      <c r="A254" s="75">
        <v>38251</v>
      </c>
      <c r="B254" s="76" t="str">
        <f>B253</f>
        <v>Alimentacao</v>
      </c>
      <c r="C254" s="1314" t="s">
        <v>2635</v>
      </c>
      <c r="D254" s="78"/>
      <c r="E254" s="1480">
        <v>4.4000000000000004</v>
      </c>
    </row>
    <row r="255" spans="1:5">
      <c r="A255" s="75">
        <v>38252</v>
      </c>
      <c r="B255" s="76" t="str">
        <f>TiposLancamentos!B58</f>
        <v>Fotografias</v>
      </c>
      <c r="C255" s="1314" t="s">
        <v>2648</v>
      </c>
      <c r="D255" s="78"/>
      <c r="E255" s="1480">
        <v>4</v>
      </c>
    </row>
    <row r="256" spans="1:5">
      <c r="A256" s="75">
        <v>38251</v>
      </c>
      <c r="B256" s="76" t="str">
        <f>B254</f>
        <v>Alimentacao</v>
      </c>
      <c r="C256" s="1314" t="str">
        <f>C253</f>
        <v>Café</v>
      </c>
      <c r="D256" s="78"/>
      <c r="E256" s="1480">
        <v>1</v>
      </c>
    </row>
    <row r="257" spans="1:5">
      <c r="A257" s="75">
        <v>38252</v>
      </c>
      <c r="B257" s="76" t="str">
        <f>B249</f>
        <v>Restaurantes</v>
      </c>
      <c r="C257" s="1314" t="s">
        <v>2618</v>
      </c>
      <c r="D257" s="78"/>
      <c r="E257" s="1480">
        <v>5.3</v>
      </c>
    </row>
    <row r="258" spans="1:5">
      <c r="A258" s="75">
        <v>38252</v>
      </c>
      <c r="B258" s="76" t="str">
        <f>B256</f>
        <v>Alimentacao</v>
      </c>
      <c r="C258" s="1314" t="str">
        <f>C256</f>
        <v>Café</v>
      </c>
      <c r="D258" s="78"/>
      <c r="E258" s="1480">
        <v>1</v>
      </c>
    </row>
    <row r="259" spans="1:5">
      <c r="A259" s="75">
        <v>38253</v>
      </c>
      <c r="B259" s="76" t="str">
        <f>B251</f>
        <v>Taxi</v>
      </c>
      <c r="C259" s="1314" t="str">
        <f>C251</f>
        <v>Taxi</v>
      </c>
      <c r="D259" s="78"/>
      <c r="E259" s="1480">
        <v>16</v>
      </c>
    </row>
    <row r="260" spans="1:5">
      <c r="A260" s="75">
        <v>38253</v>
      </c>
      <c r="B260" s="76" t="str">
        <f>B259</f>
        <v>Taxi</v>
      </c>
      <c r="C260" s="1314" t="str">
        <f>C251</f>
        <v>Taxi</v>
      </c>
      <c r="D260" s="78"/>
      <c r="E260" s="1480">
        <v>18</v>
      </c>
    </row>
    <row r="261" spans="1:5">
      <c r="A261" s="75">
        <v>38253</v>
      </c>
      <c r="B261" s="76" t="str">
        <f>B258</f>
        <v>Alimentacao</v>
      </c>
      <c r="C261" s="1314" t="s">
        <v>2635</v>
      </c>
      <c r="D261" s="78"/>
      <c r="E261" s="1480">
        <v>4</v>
      </c>
    </row>
    <row r="262" spans="1:5">
      <c r="A262" s="75">
        <v>38253</v>
      </c>
      <c r="B262" s="76" t="str">
        <f>TiposLancamentos!B60</f>
        <v>Correio</v>
      </c>
      <c r="C262" s="1314" t="s">
        <v>2649</v>
      </c>
      <c r="D262" s="78"/>
      <c r="E262" s="1480">
        <v>1.6</v>
      </c>
    </row>
    <row r="263" spans="1:5">
      <c r="A263" s="75">
        <v>38253</v>
      </c>
      <c r="B263" s="76" t="str">
        <f>B262</f>
        <v>Correio</v>
      </c>
      <c r="C263" s="1314" t="s">
        <v>2650</v>
      </c>
      <c r="D263" s="78"/>
      <c r="E263" s="1480">
        <v>5.6</v>
      </c>
    </row>
    <row r="264" spans="1:5">
      <c r="A264" s="75">
        <v>38253</v>
      </c>
      <c r="B264" s="76" t="str">
        <f>TiposLancamentos!B101</f>
        <v>Troco de Vr</v>
      </c>
      <c r="C264" s="1314" t="s">
        <v>2651</v>
      </c>
      <c r="D264" s="78">
        <v>3.6</v>
      </c>
      <c r="E264" s="1480"/>
    </row>
    <row r="265" spans="1:5">
      <c r="A265" s="75">
        <v>38254</v>
      </c>
      <c r="B265" s="76" t="str">
        <f>B261</f>
        <v>Alimentacao</v>
      </c>
      <c r="C265" s="1314" t="str">
        <f>C261</f>
        <v>Lanche</v>
      </c>
      <c r="D265" s="78"/>
      <c r="E265" s="1480">
        <v>5.0999999999999996</v>
      </c>
    </row>
    <row r="266" spans="1:5">
      <c r="A266" s="75">
        <v>38255</v>
      </c>
      <c r="B266" s="76" t="str">
        <f>B257</f>
        <v>Restaurantes</v>
      </c>
      <c r="C266" s="1314" t="s">
        <v>2652</v>
      </c>
      <c r="D266" s="78"/>
      <c r="E266" s="1480">
        <v>2</v>
      </c>
    </row>
    <row r="267" spans="1:5">
      <c r="A267" s="75">
        <v>38255</v>
      </c>
      <c r="B267" s="76" t="str">
        <f>B261</f>
        <v>Alimentacao</v>
      </c>
      <c r="C267" s="1314" t="s">
        <v>2653</v>
      </c>
      <c r="D267" s="78"/>
      <c r="E267" s="1480">
        <v>0.7</v>
      </c>
    </row>
    <row r="268" spans="1:5">
      <c r="A268" s="75">
        <v>38255</v>
      </c>
      <c r="B268" s="76" t="str">
        <f>B267</f>
        <v>Alimentacao</v>
      </c>
      <c r="C268" s="1314" t="s">
        <v>2654</v>
      </c>
      <c r="D268" s="78"/>
      <c r="E268" s="1480">
        <v>2</v>
      </c>
    </row>
    <row r="269" spans="1:5">
      <c r="A269" s="75">
        <v>38255</v>
      </c>
      <c r="B269" s="76" t="str">
        <f>TiposLancamentos!B20</f>
        <v>Saques</v>
      </c>
      <c r="C269" s="1314" t="s">
        <v>2655</v>
      </c>
      <c r="D269" s="78">
        <v>50</v>
      </c>
      <c r="E269" s="1480"/>
    </row>
    <row r="270" spans="1:5">
      <c r="A270" s="75">
        <v>38255</v>
      </c>
      <c r="B270" s="76" t="str">
        <f>B260</f>
        <v>Taxi</v>
      </c>
      <c r="C270" s="1314" t="str">
        <f>C260</f>
        <v>Taxi</v>
      </c>
      <c r="D270" s="78"/>
      <c r="E270" s="1480">
        <v>16</v>
      </c>
    </row>
    <row r="271" spans="1:5">
      <c r="A271" s="75">
        <v>38256</v>
      </c>
      <c r="B271" s="76" t="str">
        <f>B270</f>
        <v>Taxi</v>
      </c>
      <c r="C271" s="1314" t="str">
        <f>C270</f>
        <v>Taxi</v>
      </c>
      <c r="D271" s="78"/>
      <c r="E271" s="1480">
        <v>23</v>
      </c>
    </row>
    <row r="272" spans="1:5">
      <c r="A272" s="75">
        <v>38256</v>
      </c>
      <c r="B272" s="76" t="str">
        <f>B261</f>
        <v>Alimentacao</v>
      </c>
      <c r="C272" s="1314" t="s">
        <v>2656</v>
      </c>
      <c r="D272" s="78"/>
      <c r="E272" s="1480">
        <v>0.7</v>
      </c>
    </row>
    <row r="273" spans="1:5">
      <c r="A273" s="75">
        <v>38256</v>
      </c>
      <c r="B273" s="76" t="str">
        <f>B269</f>
        <v>Saques</v>
      </c>
      <c r="C273" s="1314" t="s">
        <v>1792</v>
      </c>
      <c r="D273" s="78">
        <v>30</v>
      </c>
      <c r="E273" s="1480"/>
    </row>
    <row r="274" spans="1:5">
      <c r="A274" s="75">
        <v>38256</v>
      </c>
      <c r="B274" s="76" t="str">
        <f>B264</f>
        <v>Troco de Vr</v>
      </c>
      <c r="C274" s="1314" t="s">
        <v>2635</v>
      </c>
      <c r="D274" s="78">
        <v>2.4</v>
      </c>
      <c r="E274" s="1480"/>
    </row>
    <row r="275" spans="1:5">
      <c r="A275" s="75">
        <v>38256</v>
      </c>
      <c r="B275" s="76" t="str">
        <f>B264</f>
        <v>Troco de Vr</v>
      </c>
      <c r="C275" s="1314" t="s">
        <v>2566</v>
      </c>
      <c r="D275" s="78">
        <v>3.4</v>
      </c>
      <c r="E275" s="1480"/>
    </row>
    <row r="276" spans="1:5">
      <c r="A276" s="75">
        <v>38256</v>
      </c>
      <c r="B276" s="76" t="str">
        <f>B268</f>
        <v>Alimentacao</v>
      </c>
      <c r="C276" s="1314" t="s">
        <v>2657</v>
      </c>
      <c r="D276" s="78"/>
      <c r="E276" s="1480">
        <v>1.7</v>
      </c>
    </row>
    <row r="277" spans="1:5">
      <c r="A277" s="75">
        <v>38256</v>
      </c>
      <c r="B277" s="76" t="str">
        <f>B270</f>
        <v>Taxi</v>
      </c>
      <c r="C277" s="1314" t="str">
        <f>C273</f>
        <v>Taxi</v>
      </c>
      <c r="D277" s="78"/>
      <c r="E277" s="1480">
        <v>25</v>
      </c>
    </row>
    <row r="278" spans="1:5">
      <c r="A278" s="75">
        <v>38256</v>
      </c>
      <c r="B278" s="76" t="str">
        <f>B276</f>
        <v>Alimentacao</v>
      </c>
      <c r="C278" s="1314" t="s">
        <v>2658</v>
      </c>
      <c r="D278" s="78"/>
      <c r="E278" s="1480">
        <v>1.5</v>
      </c>
    </row>
    <row r="279" spans="1:5">
      <c r="A279" s="75">
        <v>38257</v>
      </c>
      <c r="B279" s="76" t="str">
        <f>B277</f>
        <v>Taxi</v>
      </c>
      <c r="C279" s="1314" t="s">
        <v>1792</v>
      </c>
      <c r="D279" s="78"/>
      <c r="E279" s="1480">
        <v>16</v>
      </c>
    </row>
    <row r="280" spans="1:5">
      <c r="A280" s="75">
        <v>38257</v>
      </c>
      <c r="B280" s="76" t="str">
        <f>B278</f>
        <v>Alimentacao</v>
      </c>
      <c r="C280" s="1314" t="str">
        <f>C278</f>
        <v>refri</v>
      </c>
      <c r="D280" s="78"/>
      <c r="E280" s="1480">
        <v>1.5</v>
      </c>
    </row>
    <row r="281" spans="1:5">
      <c r="A281" s="75">
        <v>38258</v>
      </c>
      <c r="B281" s="76" t="str">
        <f>B274</f>
        <v>Troco de Vr</v>
      </c>
      <c r="C281" s="1314" t="str">
        <f>C274</f>
        <v>Lanche</v>
      </c>
      <c r="D281" s="78">
        <v>2.4</v>
      </c>
      <c r="E281" s="1480"/>
    </row>
    <row r="282" spans="1:5">
      <c r="A282" s="75">
        <v>38258</v>
      </c>
      <c r="B282" s="76" t="str">
        <f>TiposLancamentos!B24</f>
        <v>Estacionamentos</v>
      </c>
      <c r="C282" s="1314" t="s">
        <v>2527</v>
      </c>
      <c r="D282" s="78"/>
      <c r="E282" s="1480">
        <v>2</v>
      </c>
    </row>
    <row r="283" spans="1:5">
      <c r="A283" s="75">
        <v>38259</v>
      </c>
      <c r="B283" s="76" t="str">
        <f>B266</f>
        <v>Restaurantes</v>
      </c>
      <c r="C283" s="1314" t="s">
        <v>2618</v>
      </c>
      <c r="D283" s="78"/>
      <c r="E283" s="1480">
        <v>2</v>
      </c>
    </row>
    <row r="284" spans="1:5">
      <c r="A284" s="79">
        <v>38260</v>
      </c>
      <c r="B284" s="76" t="str">
        <f>B280</f>
        <v>Alimentacao</v>
      </c>
      <c r="C284" s="1314" t="s">
        <v>2659</v>
      </c>
      <c r="D284" s="78"/>
      <c r="E284" s="1480">
        <v>1.3</v>
      </c>
    </row>
    <row r="285" spans="1:5">
      <c r="A285" s="83"/>
      <c r="B285" s="37"/>
      <c r="C285" s="1584" t="s">
        <v>2660</v>
      </c>
      <c r="D285" s="74"/>
      <c r="E285" s="1585"/>
    </row>
    <row r="286" spans="1:5">
      <c r="A286" s="75">
        <v>38261</v>
      </c>
      <c r="B286" s="76" t="str">
        <f>B269</f>
        <v>Saques</v>
      </c>
      <c r="C286" s="1314" t="s">
        <v>2661</v>
      </c>
      <c r="D286" s="78">
        <v>20</v>
      </c>
      <c r="E286" s="1480"/>
    </row>
    <row r="287" spans="1:5">
      <c r="A287" s="75">
        <v>38262</v>
      </c>
      <c r="B287" s="76" t="str">
        <f>B277</f>
        <v>Taxi</v>
      </c>
      <c r="C287" s="1314" t="str">
        <f>C277</f>
        <v>Taxi</v>
      </c>
      <c r="D287" s="78"/>
      <c r="E287" s="1480">
        <v>20</v>
      </c>
    </row>
    <row r="288" spans="1:5">
      <c r="A288" s="75">
        <v>38262</v>
      </c>
      <c r="B288" s="76" t="str">
        <f>B286</f>
        <v>Saques</v>
      </c>
      <c r="C288" s="1314" t="s">
        <v>2662</v>
      </c>
      <c r="D288" s="78">
        <v>30</v>
      </c>
      <c r="E288" s="1480"/>
    </row>
    <row r="289" spans="1:5">
      <c r="A289" s="75">
        <v>38262</v>
      </c>
      <c r="B289" s="76" t="str">
        <f>TiposLancamentos!B56</f>
        <v>Farmácia</v>
      </c>
      <c r="C289" s="1314" t="s">
        <v>2663</v>
      </c>
      <c r="D289" s="78"/>
      <c r="E289" s="1480">
        <v>0.9</v>
      </c>
    </row>
    <row r="290" spans="1:5">
      <c r="A290" s="75">
        <v>38262</v>
      </c>
      <c r="B290" s="76" t="str">
        <f>B287</f>
        <v>Taxi</v>
      </c>
      <c r="C290" s="1314" t="str">
        <f>C287</f>
        <v>Taxi</v>
      </c>
      <c r="D290" s="78"/>
      <c r="E290" s="1480">
        <v>20</v>
      </c>
    </row>
    <row r="291" spans="1:5">
      <c r="A291" s="75">
        <v>38262</v>
      </c>
      <c r="B291" s="76" t="str">
        <f>B284</f>
        <v>Alimentacao</v>
      </c>
      <c r="C291" s="1314" t="s">
        <v>2640</v>
      </c>
      <c r="D291" s="78"/>
      <c r="E291" s="1480">
        <v>5.8</v>
      </c>
    </row>
    <row r="292" spans="1:5">
      <c r="A292" s="75">
        <v>38263</v>
      </c>
      <c r="B292" s="76" t="str">
        <f>TiposLancamentos!B74</f>
        <v>Noite</v>
      </c>
      <c r="C292" s="1314" t="s">
        <v>2664</v>
      </c>
      <c r="D292" s="78"/>
      <c r="E292" s="1480">
        <v>2</v>
      </c>
    </row>
    <row r="293" spans="1:5">
      <c r="A293" s="75">
        <v>38264</v>
      </c>
      <c r="B293" s="76" t="str">
        <f>B288</f>
        <v>Saques</v>
      </c>
      <c r="C293" s="1314" t="s">
        <v>2665</v>
      </c>
      <c r="D293" s="78">
        <v>10</v>
      </c>
      <c r="E293" s="1480"/>
    </row>
    <row r="294" spans="1:5">
      <c r="A294" s="75">
        <v>38264</v>
      </c>
      <c r="B294" s="76" t="str">
        <f>B283</f>
        <v>Restaurantes</v>
      </c>
      <c r="C294" s="1314" t="s">
        <v>2618</v>
      </c>
      <c r="D294" s="78"/>
      <c r="E294" s="1480">
        <v>5.7</v>
      </c>
    </row>
    <row r="295" spans="1:5">
      <c r="A295" s="75">
        <v>38264</v>
      </c>
      <c r="B295" s="76" t="str">
        <f>B291</f>
        <v>Alimentacao</v>
      </c>
      <c r="C295" s="1314" t="s">
        <v>2631</v>
      </c>
      <c r="D295" s="78"/>
      <c r="E295" s="1480">
        <v>0.7</v>
      </c>
    </row>
    <row r="296" spans="1:5">
      <c r="A296" s="75">
        <v>38264</v>
      </c>
      <c r="B296" s="76" t="str">
        <f>B295</f>
        <v>Alimentacao</v>
      </c>
      <c r="C296" s="1314" t="s">
        <v>2643</v>
      </c>
      <c r="D296" s="78"/>
      <c r="E296" s="1480">
        <v>3</v>
      </c>
    </row>
    <row r="297" spans="1:5">
      <c r="A297" s="75">
        <v>38265</v>
      </c>
      <c r="B297" s="76" t="str">
        <f>B294</f>
        <v>Restaurantes</v>
      </c>
      <c r="C297" s="1314" t="s">
        <v>2618</v>
      </c>
      <c r="D297" s="78"/>
      <c r="E297" s="1480">
        <v>1.9</v>
      </c>
    </row>
    <row r="298" spans="1:5">
      <c r="A298" s="75">
        <v>38265</v>
      </c>
      <c r="B298" s="76" t="str">
        <f>TiposLancamentos!B101</f>
        <v>Troco de Vr</v>
      </c>
      <c r="C298" s="1314" t="s">
        <v>2666</v>
      </c>
      <c r="D298" s="78">
        <v>2.2999999999999998</v>
      </c>
      <c r="E298" s="1480"/>
    </row>
    <row r="299" spans="1:5">
      <c r="A299" s="75">
        <v>38265</v>
      </c>
      <c r="B299" s="76" t="str">
        <f>TiposLancamentos!B101</f>
        <v>Troco de Vr</v>
      </c>
      <c r="C299" s="1314" t="s">
        <v>2667</v>
      </c>
      <c r="D299" s="78">
        <v>3.4</v>
      </c>
      <c r="E299" s="1480"/>
    </row>
    <row r="300" spans="1:5">
      <c r="A300" s="75">
        <v>38266</v>
      </c>
      <c r="B300" s="76" t="str">
        <f>B293</f>
        <v>Saques</v>
      </c>
      <c r="C300" s="1314" t="s">
        <v>1706</v>
      </c>
      <c r="D300" s="78">
        <v>50</v>
      </c>
      <c r="E300" s="1480"/>
    </row>
    <row r="301" spans="1:5">
      <c r="A301" s="75">
        <v>38266</v>
      </c>
      <c r="B301" s="76" t="str">
        <f>B290</f>
        <v>Taxi</v>
      </c>
      <c r="C301" s="1314" t="str">
        <f>C290</f>
        <v>Taxi</v>
      </c>
      <c r="D301" s="78"/>
      <c r="E301" s="1480">
        <v>10</v>
      </c>
    </row>
    <row r="302" spans="1:5">
      <c r="A302" s="75">
        <v>38266</v>
      </c>
      <c r="B302" s="76" t="str">
        <f>B290</f>
        <v>Taxi</v>
      </c>
      <c r="C302" s="1314" t="str">
        <f>C301</f>
        <v>Taxi</v>
      </c>
      <c r="D302" s="78"/>
      <c r="E302" s="1480">
        <v>15</v>
      </c>
    </row>
    <row r="303" spans="1:5">
      <c r="A303" s="75">
        <v>38267</v>
      </c>
      <c r="B303" s="1587" t="str">
        <f>B290</f>
        <v>Taxi</v>
      </c>
      <c r="C303" s="1314" t="str">
        <f>C302</f>
        <v>Taxi</v>
      </c>
      <c r="D303" s="78"/>
      <c r="E303" s="1480">
        <v>16</v>
      </c>
    </row>
    <row r="304" spans="1:5">
      <c r="A304" s="75">
        <v>38267</v>
      </c>
      <c r="B304" s="76" t="str">
        <f>B290</f>
        <v>Taxi</v>
      </c>
      <c r="C304" s="1314" t="str">
        <f>C303</f>
        <v>Taxi</v>
      </c>
      <c r="D304" s="78"/>
      <c r="E304" s="1480">
        <v>14</v>
      </c>
    </row>
    <row r="305" spans="1:5">
      <c r="A305" s="75">
        <v>38268</v>
      </c>
      <c r="B305" s="76" t="str">
        <f>B295</f>
        <v>Alimentacao</v>
      </c>
      <c r="C305" s="1314" t="s">
        <v>2631</v>
      </c>
      <c r="D305" s="78"/>
      <c r="E305" s="1480">
        <v>0.7</v>
      </c>
    </row>
    <row r="306" spans="1:5">
      <c r="A306" s="75">
        <v>38268</v>
      </c>
      <c r="B306" s="76" t="str">
        <f>B300</f>
        <v>Saques</v>
      </c>
      <c r="C306" s="1314" t="s">
        <v>2668</v>
      </c>
      <c r="D306" s="78">
        <v>20</v>
      </c>
      <c r="E306" s="1480"/>
    </row>
    <row r="307" spans="1:5">
      <c r="A307" s="75">
        <v>38269</v>
      </c>
      <c r="B307" s="76" t="str">
        <f>B302</f>
        <v>Taxi</v>
      </c>
      <c r="C307" s="1314" t="s">
        <v>1792</v>
      </c>
      <c r="D307" s="78"/>
      <c r="E307" s="1480">
        <v>20</v>
      </c>
    </row>
    <row r="308" spans="1:5">
      <c r="A308" s="75">
        <v>38269</v>
      </c>
      <c r="B308" s="76" t="str">
        <f>B300</f>
        <v>Saques</v>
      </c>
      <c r="C308" s="1314" t="s">
        <v>2668</v>
      </c>
      <c r="D308" s="78">
        <v>20</v>
      </c>
      <c r="E308" s="1480"/>
    </row>
    <row r="309" spans="1:5">
      <c r="A309" s="75">
        <v>38269</v>
      </c>
      <c r="B309" s="76" t="str">
        <f>B302</f>
        <v>Taxi</v>
      </c>
      <c r="C309" s="1314" t="s">
        <v>1792</v>
      </c>
      <c r="D309" s="78"/>
      <c r="E309" s="1480">
        <v>20</v>
      </c>
    </row>
    <row r="310" spans="1:5">
      <c r="A310" s="75">
        <v>38270</v>
      </c>
      <c r="B310" s="76" t="str">
        <f>B308</f>
        <v>Saques</v>
      </c>
      <c r="C310" s="1314" t="str">
        <f>C308</f>
        <v>Saque</v>
      </c>
      <c r="D310" s="78">
        <v>40</v>
      </c>
      <c r="E310" s="1480"/>
    </row>
    <row r="311" spans="1:5">
      <c r="A311" s="75">
        <v>38270</v>
      </c>
      <c r="B311" s="76" t="str">
        <f>B299</f>
        <v>Troco de Vr</v>
      </c>
      <c r="C311" s="1314" t="s">
        <v>2669</v>
      </c>
      <c r="D311" s="78">
        <v>1</v>
      </c>
      <c r="E311" s="1480"/>
    </row>
    <row r="312" spans="1:5">
      <c r="A312" s="75">
        <v>38270</v>
      </c>
      <c r="B312" s="76" t="str">
        <f>B309</f>
        <v>Taxi</v>
      </c>
      <c r="C312" s="1314" t="str">
        <f>C309</f>
        <v>Taxi</v>
      </c>
      <c r="D312" s="78"/>
      <c r="E312" s="1480">
        <v>20</v>
      </c>
    </row>
    <row r="313" spans="1:5">
      <c r="A313" s="75">
        <v>38270</v>
      </c>
      <c r="B313" s="76" t="str">
        <f>B305</f>
        <v>Alimentacao</v>
      </c>
      <c r="C313" s="1314" t="s">
        <v>2657</v>
      </c>
      <c r="D313" s="78"/>
      <c r="E313" s="1480">
        <v>1</v>
      </c>
    </row>
    <row r="314" spans="1:5">
      <c r="A314" s="75">
        <v>38271</v>
      </c>
      <c r="B314" s="76" t="str">
        <f>TiposLancamentos!B20</f>
        <v>Saques</v>
      </c>
      <c r="C314" s="1314" t="s">
        <v>2670</v>
      </c>
      <c r="D314" s="78">
        <v>250</v>
      </c>
      <c r="E314" s="1480"/>
    </row>
    <row r="315" spans="1:5">
      <c r="A315" s="75">
        <v>38271</v>
      </c>
      <c r="B315" s="76" t="str">
        <f>TiposLancamentos!B82</f>
        <v>CG Titan 125</v>
      </c>
      <c r="C315" s="1314" t="s">
        <v>2671</v>
      </c>
      <c r="D315" s="78"/>
      <c r="E315" s="1480">
        <v>133.1</v>
      </c>
    </row>
    <row r="316" spans="1:5">
      <c r="A316" s="75">
        <v>38271</v>
      </c>
      <c r="B316" s="76" t="str">
        <f>TiposLancamentos!B71</f>
        <v>Itens Pessoais</v>
      </c>
      <c r="C316" s="1314" t="s">
        <v>2594</v>
      </c>
      <c r="D316" s="78"/>
      <c r="E316" s="1480">
        <v>8</v>
      </c>
    </row>
    <row r="317" spans="1:5">
      <c r="A317" s="75">
        <v>38271</v>
      </c>
      <c r="B317" s="76" t="str">
        <f>TiposLancamentos!B101</f>
        <v>Troco de Vr</v>
      </c>
      <c r="C317" s="1314" t="s">
        <v>2640</v>
      </c>
      <c r="D317" s="78"/>
      <c r="E317" s="1480">
        <v>0.9</v>
      </c>
    </row>
    <row r="318" spans="1:5">
      <c r="A318" s="75">
        <v>38271</v>
      </c>
      <c r="B318" s="76" t="str">
        <f>TiposLancamentos!B55</f>
        <v>Onibus Urbano</v>
      </c>
      <c r="C318" s="1314" t="s">
        <v>2672</v>
      </c>
      <c r="D318" s="78"/>
      <c r="E318" s="1480">
        <v>2.5</v>
      </c>
    </row>
    <row r="319" spans="1:5">
      <c r="A319" s="75">
        <v>38271</v>
      </c>
      <c r="B319" s="76" t="str">
        <f>Despesas!B291</f>
        <v>Alimentacao</v>
      </c>
      <c r="C319" s="1314" t="s">
        <v>2631</v>
      </c>
      <c r="D319" s="78"/>
      <c r="E319" s="1480">
        <v>0.7</v>
      </c>
    </row>
    <row r="320" spans="1:5">
      <c r="A320" s="75">
        <v>38272</v>
      </c>
      <c r="B320" s="76" t="str">
        <f>B311</f>
        <v>Troco de Vr</v>
      </c>
      <c r="C320" s="1314" t="str">
        <f>C311</f>
        <v>Troco do Giraffas</v>
      </c>
      <c r="D320" s="78">
        <v>0.3</v>
      </c>
      <c r="E320" s="1480"/>
    </row>
    <row r="321" spans="1:5">
      <c r="A321" s="75">
        <v>38272</v>
      </c>
      <c r="B321" s="76" t="str">
        <f>TiposLancamentos!B55</f>
        <v>Onibus Urbano</v>
      </c>
      <c r="C321" s="1314" t="str">
        <f>C318</f>
        <v>Busão</v>
      </c>
      <c r="D321" s="78"/>
      <c r="E321" s="1480">
        <v>2.5</v>
      </c>
    </row>
    <row r="322" spans="1:5">
      <c r="A322" s="75">
        <v>38272</v>
      </c>
      <c r="B322" s="76" t="str">
        <f>B292</f>
        <v>Noite</v>
      </c>
      <c r="C322" s="1314" t="s">
        <v>2673</v>
      </c>
      <c r="D322" s="78"/>
      <c r="E322" s="1480">
        <v>10.199999999999999</v>
      </c>
    </row>
    <row r="323" spans="1:5">
      <c r="A323" s="75">
        <v>38273</v>
      </c>
      <c r="B323" s="76" t="str">
        <f>B312</f>
        <v>Taxi</v>
      </c>
      <c r="C323" s="1314" t="str">
        <f>C312</f>
        <v>Taxi</v>
      </c>
      <c r="D323" s="78"/>
      <c r="E323" s="1480">
        <v>17</v>
      </c>
    </row>
    <row r="324" spans="1:5">
      <c r="A324" s="75">
        <v>38273</v>
      </c>
      <c r="B324" s="76" t="str">
        <f>B317</f>
        <v>Troco de Vr</v>
      </c>
      <c r="C324" s="1314" t="s">
        <v>2654</v>
      </c>
      <c r="D324" s="78">
        <v>1</v>
      </c>
      <c r="E324" s="1480"/>
    </row>
    <row r="325" spans="1:5">
      <c r="A325" s="75">
        <v>38274</v>
      </c>
      <c r="B325" s="76" t="str">
        <f>B319</f>
        <v>Alimentacao</v>
      </c>
      <c r="C325" s="1314" t="s">
        <v>2635</v>
      </c>
      <c r="D325" s="78"/>
      <c r="E325" s="1480">
        <v>4.5999999999999996</v>
      </c>
    </row>
    <row r="326" spans="1:5">
      <c r="A326" s="75">
        <v>38274</v>
      </c>
      <c r="B326" s="76" t="str">
        <f>TiposLancamentos!B59</f>
        <v>Documentos</v>
      </c>
      <c r="C326" s="1314" t="s">
        <v>2674</v>
      </c>
      <c r="D326" s="78"/>
      <c r="E326" s="1480">
        <v>5.95</v>
      </c>
    </row>
    <row r="327" spans="1:5">
      <c r="A327" s="75">
        <v>38274</v>
      </c>
      <c r="B327" s="76" t="str">
        <f>TiposLancamentos!B24</f>
        <v>Estacionamentos</v>
      </c>
      <c r="C327" s="1314" t="s">
        <v>2675</v>
      </c>
      <c r="D327" s="78"/>
      <c r="E327" s="1480">
        <v>3</v>
      </c>
    </row>
    <row r="328" spans="1:5">
      <c r="A328" s="75">
        <v>38274</v>
      </c>
      <c r="B328" s="76" t="str">
        <f>B324</f>
        <v>Troco de Vr</v>
      </c>
      <c r="C328" s="1314" t="s">
        <v>2676</v>
      </c>
      <c r="D328" s="78">
        <v>0.8</v>
      </c>
      <c r="E328" s="1480"/>
    </row>
    <row r="329" spans="1:5">
      <c r="A329" s="75">
        <v>38274</v>
      </c>
      <c r="B329" s="76" t="str">
        <f>B325</f>
        <v>Alimentacao</v>
      </c>
      <c r="C329" s="1314" t="s">
        <v>2677</v>
      </c>
      <c r="D329" s="78"/>
      <c r="E329" s="1480">
        <v>1</v>
      </c>
    </row>
    <row r="330" spans="1:5">
      <c r="A330" s="75">
        <v>38275</v>
      </c>
      <c r="B330" s="76" t="str">
        <f>TiposLancamentos!B66</f>
        <v>Faxineira</v>
      </c>
      <c r="C330" s="1314" t="s">
        <v>2678</v>
      </c>
      <c r="D330" s="78"/>
      <c r="E330" s="1480">
        <v>50</v>
      </c>
    </row>
    <row r="331" spans="1:5">
      <c r="A331" s="75">
        <v>38275</v>
      </c>
      <c r="B331" s="76" t="str">
        <f>B325</f>
        <v>Alimentacao</v>
      </c>
      <c r="C331" s="1314" t="s">
        <v>2679</v>
      </c>
      <c r="D331" s="78"/>
      <c r="E331" s="1480">
        <v>4.5</v>
      </c>
    </row>
    <row r="332" spans="1:5">
      <c r="A332" s="75">
        <v>38276</v>
      </c>
      <c r="B332" s="76" t="str">
        <f>B323</f>
        <v>Taxi</v>
      </c>
      <c r="C332" s="1314" t="s">
        <v>2680</v>
      </c>
      <c r="D332" s="78"/>
      <c r="E332" s="1480">
        <v>18</v>
      </c>
    </row>
    <row r="333" spans="1:5">
      <c r="A333" s="75">
        <v>38276</v>
      </c>
      <c r="B333" s="76" t="str">
        <f>B319</f>
        <v>Alimentacao</v>
      </c>
      <c r="C333" s="1314" t="s">
        <v>2618</v>
      </c>
      <c r="D333" s="78"/>
      <c r="E333" s="1480">
        <v>3</v>
      </c>
    </row>
    <row r="334" spans="1:5">
      <c r="A334" s="75">
        <v>38276</v>
      </c>
      <c r="B334" s="76" t="str">
        <f>B333</f>
        <v>Alimentacao</v>
      </c>
      <c r="C334" s="1314" t="s">
        <v>2681</v>
      </c>
      <c r="D334" s="78"/>
      <c r="E334" s="1480">
        <v>4.75</v>
      </c>
    </row>
    <row r="335" spans="1:5">
      <c r="A335" s="75">
        <v>38277</v>
      </c>
      <c r="B335" s="76" t="str">
        <f>B334</f>
        <v>Alimentacao</v>
      </c>
      <c r="C335" s="1314" t="s">
        <v>2682</v>
      </c>
      <c r="D335" s="78"/>
      <c r="E335" s="1480">
        <v>1.4</v>
      </c>
    </row>
    <row r="336" spans="1:5">
      <c r="A336" s="75">
        <v>38277</v>
      </c>
      <c r="B336" s="76" t="str">
        <f>B334</f>
        <v>Alimentacao</v>
      </c>
      <c r="C336" s="1314" t="s">
        <v>2683</v>
      </c>
      <c r="D336" s="78"/>
      <c r="E336" s="1480">
        <v>1</v>
      </c>
    </row>
    <row r="337" spans="1:5">
      <c r="A337" s="75">
        <v>38278</v>
      </c>
      <c r="B337" s="76" t="str">
        <f>B308</f>
        <v>Saques</v>
      </c>
      <c r="C337" s="1314" t="s">
        <v>2684</v>
      </c>
      <c r="D337" s="78">
        <v>10</v>
      </c>
      <c r="E337" s="1480"/>
    </row>
    <row r="338" spans="1:5">
      <c r="A338" s="75">
        <v>38278</v>
      </c>
      <c r="B338" s="76" t="str">
        <f>TiposLancamentos!B82</f>
        <v>CG Titan 125</v>
      </c>
      <c r="C338" s="1314" t="s">
        <v>2685</v>
      </c>
      <c r="D338" s="78"/>
      <c r="E338" s="1480">
        <v>10</v>
      </c>
    </row>
    <row r="339" spans="1:5">
      <c r="A339" s="75">
        <v>38279</v>
      </c>
      <c r="B339" s="76" t="str">
        <f>B337</f>
        <v>Saques</v>
      </c>
      <c r="C339" s="1314" t="s">
        <v>2686</v>
      </c>
      <c r="D339" s="78">
        <v>20</v>
      </c>
      <c r="E339" s="1480"/>
    </row>
    <row r="340" spans="1:5">
      <c r="A340" s="75">
        <v>38279</v>
      </c>
      <c r="B340" s="76" t="str">
        <f>TiposLancamentos!B18</f>
        <v>Alimentacao</v>
      </c>
      <c r="C340" s="1314" t="s">
        <v>2683</v>
      </c>
      <c r="D340" s="78"/>
      <c r="E340" s="1480">
        <v>5</v>
      </c>
    </row>
    <row r="341" spans="1:5">
      <c r="A341" s="75">
        <v>38279</v>
      </c>
      <c r="B341" s="76" t="str">
        <f>TiposLancamentos!B13</f>
        <v>Moradia</v>
      </c>
      <c r="C341" s="1314" t="s">
        <v>2687</v>
      </c>
      <c r="D341" s="78"/>
      <c r="E341" s="1480">
        <v>6</v>
      </c>
    </row>
    <row r="342" spans="1:5">
      <c r="A342" s="75">
        <v>38279</v>
      </c>
      <c r="B342" s="76" t="str">
        <f>B340</f>
        <v>Alimentacao</v>
      </c>
      <c r="C342" s="1314" t="s">
        <v>2653</v>
      </c>
      <c r="D342" s="78"/>
      <c r="E342" s="1480">
        <v>3</v>
      </c>
    </row>
    <row r="343" spans="1:5">
      <c r="A343" s="75">
        <v>38279</v>
      </c>
      <c r="B343" s="76" t="str">
        <f>B246</f>
        <v>Noite</v>
      </c>
      <c r="C343" s="1314" t="s">
        <v>2644</v>
      </c>
      <c r="D343" s="78"/>
      <c r="E343" s="1480">
        <v>3.85</v>
      </c>
    </row>
    <row r="344" spans="1:5">
      <c r="A344" s="75">
        <v>38280</v>
      </c>
      <c r="B344" s="76" t="str">
        <f>B336</f>
        <v>Alimentacao</v>
      </c>
      <c r="C344" s="1314" t="s">
        <v>2688</v>
      </c>
      <c r="D344" s="78"/>
      <c r="E344" s="1480">
        <v>0.1</v>
      </c>
    </row>
    <row r="345" spans="1:5">
      <c r="A345" s="75">
        <v>38280</v>
      </c>
      <c r="B345" s="76" t="str">
        <f>B339</f>
        <v>Saques</v>
      </c>
      <c r="C345" s="1314" t="s">
        <v>2689</v>
      </c>
      <c r="D345" s="78">
        <v>140</v>
      </c>
      <c r="E345" s="1480"/>
    </row>
    <row r="346" spans="1:5">
      <c r="A346" s="75">
        <v>38280</v>
      </c>
      <c r="B346" s="76" t="str">
        <f>TiposLancamentos!B60</f>
        <v>Correio</v>
      </c>
      <c r="C346" s="1314" t="s">
        <v>2690</v>
      </c>
      <c r="D346" s="78"/>
      <c r="E346" s="1480">
        <v>4.45</v>
      </c>
    </row>
    <row r="347" spans="1:5">
      <c r="A347" s="75">
        <v>38280</v>
      </c>
      <c r="B347" s="76" t="str">
        <f>TiposLancamentos!B59</f>
        <v>Documentos</v>
      </c>
      <c r="C347" s="1314" t="s">
        <v>2691</v>
      </c>
      <c r="D347" s="78"/>
      <c r="E347" s="1480">
        <v>115.05</v>
      </c>
    </row>
    <row r="348" spans="1:5">
      <c r="A348" s="75">
        <v>38280</v>
      </c>
      <c r="B348" s="76" t="str">
        <f>B344</f>
        <v>Alimentacao</v>
      </c>
      <c r="C348" s="1314" t="s">
        <v>2682</v>
      </c>
      <c r="D348" s="78"/>
      <c r="E348" s="1480">
        <v>2.2400000000000002</v>
      </c>
    </row>
    <row r="349" spans="1:5">
      <c r="A349" s="75">
        <v>38280</v>
      </c>
      <c r="B349" s="76" t="str">
        <f>TiposLancamentos!B5</f>
        <v>Supermercado</v>
      </c>
      <c r="C349" s="1314" t="s">
        <v>2520</v>
      </c>
      <c r="D349" s="78"/>
      <c r="E349" s="1480">
        <v>16.46</v>
      </c>
    </row>
    <row r="350" spans="1:5">
      <c r="A350" s="75">
        <v>38281</v>
      </c>
      <c r="B350" s="76" t="str">
        <f>B348</f>
        <v>Alimentacao</v>
      </c>
      <c r="C350" s="1314" t="s">
        <v>2681</v>
      </c>
      <c r="D350" s="78"/>
      <c r="E350" s="1480">
        <v>3.85</v>
      </c>
    </row>
    <row r="351" spans="1:5">
      <c r="A351" s="75">
        <v>38283</v>
      </c>
      <c r="B351" s="76" t="str">
        <f>B345</f>
        <v>Saques</v>
      </c>
      <c r="C351" s="1314" t="s">
        <v>2655</v>
      </c>
      <c r="D351" s="78">
        <v>30</v>
      </c>
      <c r="E351" s="1480"/>
    </row>
    <row r="352" spans="1:5">
      <c r="A352" s="75">
        <v>38283</v>
      </c>
      <c r="B352" s="76" t="str">
        <f>TiposLancamentos!B57</f>
        <v>Informática</v>
      </c>
      <c r="C352" s="1314" t="s">
        <v>2692</v>
      </c>
      <c r="D352" s="78"/>
      <c r="E352" s="1480">
        <v>15</v>
      </c>
    </row>
    <row r="353" spans="1:5">
      <c r="A353" s="75">
        <v>38283</v>
      </c>
      <c r="B353" s="76" t="str">
        <f>TiposLancamentos!B13</f>
        <v>Moradia</v>
      </c>
      <c r="C353" s="1314" t="s">
        <v>2693</v>
      </c>
      <c r="D353" s="78"/>
      <c r="E353" s="1480">
        <v>10</v>
      </c>
    </row>
    <row r="354" spans="1:5">
      <c r="A354" s="75">
        <v>38283</v>
      </c>
      <c r="B354" s="76" t="str">
        <f>B348</f>
        <v>Alimentacao</v>
      </c>
      <c r="C354" s="1314" t="s">
        <v>2683</v>
      </c>
      <c r="D354" s="78"/>
      <c r="E354" s="1480">
        <v>5</v>
      </c>
    </row>
    <row r="355" spans="1:5">
      <c r="A355" s="75">
        <v>38284</v>
      </c>
      <c r="B355" s="76" t="str">
        <f>B337</f>
        <v>Saques</v>
      </c>
      <c r="C355" s="1314" t="s">
        <v>2694</v>
      </c>
      <c r="D355" s="78">
        <v>20</v>
      </c>
      <c r="E355" s="1480"/>
    </row>
    <row r="356" spans="1:5">
      <c r="A356" s="75">
        <v>38284</v>
      </c>
      <c r="B356" s="76" t="str">
        <f>B283</f>
        <v>Restaurantes</v>
      </c>
      <c r="C356" s="1314" t="s">
        <v>2695</v>
      </c>
      <c r="D356" s="78"/>
      <c r="E356" s="1480">
        <v>10</v>
      </c>
    </row>
    <row r="357" spans="1:5">
      <c r="A357" s="75">
        <v>38284</v>
      </c>
      <c r="B357" s="76" t="str">
        <f>B354</f>
        <v>Alimentacao</v>
      </c>
      <c r="C357" s="1314" t="s">
        <v>2683</v>
      </c>
      <c r="D357" s="78"/>
      <c r="E357" s="1480">
        <v>5</v>
      </c>
    </row>
    <row r="358" spans="1:5">
      <c r="A358" s="75">
        <v>38285</v>
      </c>
      <c r="B358" s="76" t="str">
        <f>B356</f>
        <v>Restaurantes</v>
      </c>
      <c r="C358" s="1314" t="s">
        <v>2618</v>
      </c>
      <c r="D358" s="78"/>
      <c r="E358" s="1480">
        <v>5</v>
      </c>
    </row>
    <row r="359" spans="1:5">
      <c r="A359" s="75">
        <v>38285</v>
      </c>
      <c r="B359" s="1587" t="str">
        <f>B355</f>
        <v>Saques</v>
      </c>
      <c r="C359" s="1314" t="s">
        <v>2668</v>
      </c>
      <c r="D359" s="78">
        <v>20</v>
      </c>
      <c r="E359" s="1480"/>
    </row>
    <row r="360" spans="1:5">
      <c r="A360" s="75">
        <v>38285</v>
      </c>
      <c r="B360" s="76" t="str">
        <f>TiposLancamentos!B18</f>
        <v>Alimentacao</v>
      </c>
      <c r="C360" s="1314" t="s">
        <v>2696</v>
      </c>
      <c r="D360" s="78"/>
      <c r="E360" s="1480">
        <v>6.2</v>
      </c>
    </row>
    <row r="361" spans="1:5">
      <c r="A361" s="75">
        <v>38286</v>
      </c>
      <c r="B361" s="76" t="str">
        <f>B360</f>
        <v>Alimentacao</v>
      </c>
      <c r="C361" s="1314" t="s">
        <v>2631</v>
      </c>
      <c r="D361" s="78"/>
      <c r="E361" s="1480">
        <v>0.7</v>
      </c>
    </row>
    <row r="362" spans="1:5">
      <c r="A362" s="75">
        <v>38286</v>
      </c>
      <c r="B362" s="76" t="str">
        <f>B358</f>
        <v>Restaurantes</v>
      </c>
      <c r="C362" s="1314" t="s">
        <v>2695</v>
      </c>
      <c r="D362" s="78"/>
      <c r="E362" s="1480">
        <v>9.15</v>
      </c>
    </row>
    <row r="363" spans="1:5">
      <c r="A363" s="75">
        <v>38286</v>
      </c>
      <c r="B363" s="76" t="str">
        <f>B360</f>
        <v>Alimentacao</v>
      </c>
      <c r="C363" s="1314" t="str">
        <f>C360</f>
        <v>Pizza Em Pé</v>
      </c>
      <c r="D363" s="78"/>
      <c r="E363" s="1480">
        <v>3.3</v>
      </c>
    </row>
    <row r="364" spans="1:5">
      <c r="A364" s="75">
        <v>38287</v>
      </c>
      <c r="B364" s="76" t="str">
        <f>TiposLancamentos!B97</f>
        <v>Deposito Terc.</v>
      </c>
      <c r="C364" s="1314" t="s">
        <v>2697</v>
      </c>
      <c r="D364" s="78">
        <v>0.5</v>
      </c>
      <c r="E364" s="1480"/>
    </row>
    <row r="365" spans="1:5">
      <c r="A365" s="75">
        <v>38287</v>
      </c>
      <c r="B365" s="76" t="str">
        <f>B363</f>
        <v>Alimentacao</v>
      </c>
      <c r="C365" s="1314" t="s">
        <v>2698</v>
      </c>
      <c r="D365" s="78"/>
      <c r="E365" s="1480">
        <v>0.7</v>
      </c>
    </row>
    <row r="366" spans="1:5">
      <c r="A366" s="75">
        <v>38287</v>
      </c>
      <c r="B366" s="1587" t="str">
        <f>B359</f>
        <v>Saques</v>
      </c>
      <c r="C366" s="1314" t="s">
        <v>2668</v>
      </c>
      <c r="D366" s="78">
        <v>10</v>
      </c>
      <c r="E366" s="1480"/>
    </row>
    <row r="367" spans="1:5">
      <c r="A367" s="75">
        <v>38287</v>
      </c>
      <c r="B367" s="76" t="str">
        <f>B362</f>
        <v>Restaurantes</v>
      </c>
      <c r="C367" s="1314" t="str">
        <f>C362</f>
        <v>Almoco</v>
      </c>
      <c r="D367" s="78"/>
      <c r="E367" s="1480">
        <v>9.5</v>
      </c>
    </row>
    <row r="368" spans="1:5">
      <c r="A368" s="75">
        <v>38288</v>
      </c>
      <c r="B368" s="1587" t="str">
        <f>B366</f>
        <v>Saques</v>
      </c>
      <c r="C368" s="1314" t="str">
        <f>C366</f>
        <v>Saque</v>
      </c>
      <c r="D368" s="78">
        <v>10</v>
      </c>
      <c r="E368" s="1480"/>
    </row>
    <row r="369" spans="1:5">
      <c r="A369" s="75">
        <v>38288</v>
      </c>
      <c r="B369" s="76" t="str">
        <f>B367</f>
        <v>Restaurantes</v>
      </c>
      <c r="C369" s="1314" t="s">
        <v>2695</v>
      </c>
      <c r="D369" s="78"/>
      <c r="E369" s="1480">
        <v>7.95</v>
      </c>
    </row>
    <row r="370" spans="1:5">
      <c r="A370" s="75">
        <v>38288</v>
      </c>
      <c r="B370" s="76" t="str">
        <f>B363</f>
        <v>Alimentacao</v>
      </c>
      <c r="C370" s="1314" t="s">
        <v>2699</v>
      </c>
      <c r="D370" s="78"/>
      <c r="E370" s="1480">
        <v>0.7</v>
      </c>
    </row>
    <row r="371" spans="1:5">
      <c r="A371" s="75">
        <v>38289</v>
      </c>
      <c r="B371" s="1587" t="str">
        <f>B368</f>
        <v>Saques</v>
      </c>
      <c r="C371" s="1314" t="str">
        <f>C368</f>
        <v>Saque</v>
      </c>
      <c r="D371" s="78">
        <v>10</v>
      </c>
      <c r="E371" s="1480"/>
    </row>
    <row r="372" spans="1:5">
      <c r="A372" s="75">
        <v>38289</v>
      </c>
      <c r="B372" s="76" t="str">
        <f>B369</f>
        <v>Restaurantes</v>
      </c>
      <c r="C372" s="1314" t="s">
        <v>2700</v>
      </c>
      <c r="D372" s="78"/>
      <c r="E372" s="1480">
        <v>7.2</v>
      </c>
    </row>
    <row r="373" spans="1:5">
      <c r="A373" s="75">
        <v>38289</v>
      </c>
      <c r="B373" s="76" t="str">
        <f>B370</f>
        <v>Alimentacao</v>
      </c>
      <c r="C373" s="1314" t="s">
        <v>2682</v>
      </c>
      <c r="D373" s="78"/>
      <c r="E373" s="1480">
        <v>1.1000000000000001</v>
      </c>
    </row>
    <row r="374" spans="1:5">
      <c r="A374" s="75">
        <v>38289</v>
      </c>
      <c r="B374" s="76" t="str">
        <f>B373</f>
        <v>Alimentacao</v>
      </c>
      <c r="C374" s="1314" t="s">
        <v>2701</v>
      </c>
      <c r="D374" s="78"/>
      <c r="E374" s="1480">
        <v>4</v>
      </c>
    </row>
    <row r="375" spans="1:5">
      <c r="A375" s="75">
        <v>38291</v>
      </c>
      <c r="B375" s="1587" t="str">
        <f>B368</f>
        <v>Saques</v>
      </c>
      <c r="C375" s="1314" t="s">
        <v>2702</v>
      </c>
      <c r="D375" s="78">
        <v>20</v>
      </c>
      <c r="E375" s="1480"/>
    </row>
    <row r="376" spans="1:5">
      <c r="A376" s="75">
        <v>38291</v>
      </c>
      <c r="B376" s="76" t="str">
        <f>B374</f>
        <v>Alimentacao</v>
      </c>
      <c r="C376" s="1314" t="str">
        <f>C363</f>
        <v>Pizza Em Pé</v>
      </c>
      <c r="D376" s="78"/>
      <c r="E376" s="1480">
        <v>5</v>
      </c>
    </row>
    <row r="377" spans="1:5">
      <c r="A377" s="75">
        <v>38291</v>
      </c>
      <c r="B377" s="76" t="str">
        <f>TiposLancamentos!B13</f>
        <v>Moradia</v>
      </c>
      <c r="C377" s="1314" t="s">
        <v>2703</v>
      </c>
      <c r="D377" s="78"/>
      <c r="E377" s="1480">
        <v>4.5</v>
      </c>
    </row>
    <row r="378" spans="1:5">
      <c r="A378" s="75">
        <v>38291</v>
      </c>
      <c r="B378" s="76" t="str">
        <f>TiposLancamentos!B5</f>
        <v>Supermercado</v>
      </c>
      <c r="C378" s="1314" t="s">
        <v>2567</v>
      </c>
      <c r="D378" s="78"/>
      <c r="E378" s="1480">
        <v>5.21</v>
      </c>
    </row>
    <row r="379" spans="1:5">
      <c r="A379" s="75">
        <v>38291</v>
      </c>
      <c r="B379" s="76" t="str">
        <f>TiposLancamentos!B74</f>
        <v>Noite</v>
      </c>
      <c r="C379" s="1314" t="s">
        <v>2644</v>
      </c>
      <c r="D379" s="82"/>
      <c r="E379" s="1583">
        <v>1.75</v>
      </c>
    </row>
    <row r="380" spans="1:5">
      <c r="A380" s="83"/>
      <c r="B380" s="37"/>
      <c r="C380" s="1584" t="s">
        <v>2704</v>
      </c>
      <c r="D380" s="78"/>
      <c r="E380" s="1480"/>
    </row>
    <row r="381" spans="1:5">
      <c r="A381" s="75">
        <v>38292</v>
      </c>
      <c r="B381" s="76" t="str">
        <f>TiposLancamentos!B78</f>
        <v>Diferenças</v>
      </c>
      <c r="C381" s="1314"/>
      <c r="D381" s="78"/>
      <c r="E381" s="1480">
        <v>1.19</v>
      </c>
    </row>
    <row r="382" spans="1:5">
      <c r="A382" s="75">
        <v>38292</v>
      </c>
      <c r="B382" s="76" t="str">
        <f>B376</f>
        <v>Alimentacao</v>
      </c>
      <c r="C382" s="1314" t="s">
        <v>2698</v>
      </c>
      <c r="D382" s="78"/>
      <c r="E382" s="1480">
        <v>0.7</v>
      </c>
    </row>
    <row r="383" spans="1:5">
      <c r="A383" s="75">
        <v>38294</v>
      </c>
      <c r="B383" s="76" t="str">
        <f>B382</f>
        <v>Alimentacao</v>
      </c>
      <c r="C383" s="1314" t="s">
        <v>2705</v>
      </c>
      <c r="D383" s="78"/>
      <c r="E383" s="1480">
        <v>1.4</v>
      </c>
    </row>
    <row r="384" spans="1:5">
      <c r="A384" s="75">
        <v>38295</v>
      </c>
      <c r="B384" s="1587" t="str">
        <f>B375</f>
        <v>Saques</v>
      </c>
      <c r="C384" s="1314" t="s">
        <v>2706</v>
      </c>
      <c r="D384" s="78">
        <v>80</v>
      </c>
      <c r="E384" s="1480"/>
    </row>
    <row r="385" spans="1:5">
      <c r="A385" s="75">
        <v>38295</v>
      </c>
      <c r="B385" s="76" t="str">
        <f>TiposLancamentos!B2</f>
        <v>Telefonia</v>
      </c>
      <c r="C385" s="1314" t="s">
        <v>2515</v>
      </c>
      <c r="D385" s="78"/>
      <c r="E385" s="1480">
        <v>53.04</v>
      </c>
    </row>
    <row r="386" spans="1:5">
      <c r="A386" s="75">
        <v>38295</v>
      </c>
      <c r="B386" s="76" t="str">
        <f>TiposLancamentos!B67</f>
        <v>Lavanderia</v>
      </c>
      <c r="C386" s="1314" t="s">
        <v>1796</v>
      </c>
      <c r="D386" s="78"/>
      <c r="E386" s="1480">
        <v>24</v>
      </c>
    </row>
    <row r="387" spans="1:5">
      <c r="A387" s="75">
        <v>38295</v>
      </c>
      <c r="B387" s="76" t="str">
        <f>B382</f>
        <v>Alimentacao</v>
      </c>
      <c r="C387" s="1314" t="s">
        <v>2707</v>
      </c>
      <c r="D387" s="78"/>
      <c r="E387" s="1480">
        <v>0.7</v>
      </c>
    </row>
    <row r="388" spans="1:5">
      <c r="A388" s="75">
        <v>38295</v>
      </c>
      <c r="B388" s="76" t="str">
        <f>TiposLancamentos!B101</f>
        <v>Troco de Vr</v>
      </c>
      <c r="C388" s="1314" t="s">
        <v>2683</v>
      </c>
      <c r="D388" s="78">
        <v>0.1</v>
      </c>
      <c r="E388" s="1480"/>
    </row>
    <row r="389" spans="1:5">
      <c r="A389" s="75">
        <v>38295</v>
      </c>
      <c r="B389" s="76" t="str">
        <f>B376</f>
        <v>Alimentacao</v>
      </c>
      <c r="C389" s="1314" t="s">
        <v>2698</v>
      </c>
      <c r="D389" s="78"/>
      <c r="E389" s="1480">
        <v>0.7</v>
      </c>
    </row>
    <row r="390" spans="1:5">
      <c r="A390" s="75">
        <v>38295</v>
      </c>
      <c r="B390" s="76" t="str">
        <f>B389</f>
        <v>Alimentacao</v>
      </c>
      <c r="C390" s="1314" t="s">
        <v>2708</v>
      </c>
      <c r="D390" s="78"/>
      <c r="E390" s="1480">
        <v>0.91</v>
      </c>
    </row>
    <row r="391" spans="1:5">
      <c r="A391" s="75">
        <v>38296</v>
      </c>
      <c r="B391" s="1587" t="str">
        <f>B384</f>
        <v>Saques</v>
      </c>
      <c r="C391" s="1314" t="s">
        <v>2709</v>
      </c>
      <c r="D391" s="78">
        <v>20</v>
      </c>
      <c r="E391" s="1480"/>
    </row>
    <row r="392" spans="1:5">
      <c r="A392" s="75">
        <v>38296</v>
      </c>
      <c r="B392" s="76" t="str">
        <f>TiposLancamentos!B60</f>
        <v>Correio</v>
      </c>
      <c r="C392" s="1314" t="s">
        <v>2710</v>
      </c>
      <c r="D392" s="78"/>
      <c r="E392" s="1480">
        <v>3.2</v>
      </c>
    </row>
    <row r="393" spans="1:5">
      <c r="A393" s="75">
        <v>38296</v>
      </c>
      <c r="B393" s="76" t="str">
        <f>TiposLancamentos!B60</f>
        <v>Correio</v>
      </c>
      <c r="C393" s="1314" t="s">
        <v>2711</v>
      </c>
      <c r="D393" s="78"/>
      <c r="E393" s="1480">
        <v>1.25</v>
      </c>
    </row>
    <row r="394" spans="1:5">
      <c r="A394" s="75">
        <v>38296</v>
      </c>
      <c r="B394" s="76" t="str">
        <f>B387</f>
        <v>Alimentacao</v>
      </c>
      <c r="C394" s="1314" t="s">
        <v>2712</v>
      </c>
      <c r="D394" s="78"/>
      <c r="E394" s="1480">
        <v>9</v>
      </c>
    </row>
    <row r="395" spans="1:5">
      <c r="A395" s="75">
        <v>38297</v>
      </c>
      <c r="B395" s="76" t="str">
        <f>B390</f>
        <v>Alimentacao</v>
      </c>
      <c r="C395" s="1314" t="str">
        <f>C389</f>
        <v>Carrapatino</v>
      </c>
      <c r="D395" s="78"/>
      <c r="E395" s="1480">
        <v>0.7</v>
      </c>
    </row>
    <row r="396" spans="1:5">
      <c r="A396" s="75">
        <v>38298</v>
      </c>
      <c r="B396" s="76" t="str">
        <f>TiposLancamentos!B97</f>
        <v>Deposito Terc.</v>
      </c>
      <c r="C396" s="1314" t="s">
        <v>2713</v>
      </c>
      <c r="D396" s="78"/>
      <c r="E396" s="1480">
        <v>1.85</v>
      </c>
    </row>
    <row r="397" spans="1:5">
      <c r="A397" s="75">
        <v>38300</v>
      </c>
      <c r="B397" s="76" t="str">
        <f>TiposLancamentos!B77</f>
        <v>Esporádico</v>
      </c>
      <c r="C397" s="1314" t="s">
        <v>2714</v>
      </c>
      <c r="D397" s="78"/>
      <c r="E397" s="1480">
        <v>5</v>
      </c>
    </row>
    <row r="398" spans="1:5">
      <c r="A398" s="75">
        <v>38300</v>
      </c>
      <c r="B398" s="76" t="str">
        <f>TiposLancamentos!B97</f>
        <v>Deposito Terc.</v>
      </c>
      <c r="C398" s="1314" t="s">
        <v>2715</v>
      </c>
      <c r="D398" s="78">
        <v>0.7</v>
      </c>
      <c r="E398" s="1480"/>
    </row>
    <row r="399" spans="1:5">
      <c r="A399" s="75">
        <v>38300</v>
      </c>
      <c r="B399" s="76" t="str">
        <f>B390</f>
        <v>Alimentacao</v>
      </c>
      <c r="C399" s="1314" t="s">
        <v>2716</v>
      </c>
      <c r="D399" s="78"/>
      <c r="E399" s="1480">
        <v>0.7</v>
      </c>
    </row>
    <row r="400" spans="1:5">
      <c r="A400" s="75">
        <v>38302</v>
      </c>
      <c r="B400" s="1587" t="str">
        <f>B391</f>
        <v>Saques</v>
      </c>
      <c r="C400" s="1314" t="s">
        <v>2717</v>
      </c>
      <c r="D400" s="78">
        <v>20</v>
      </c>
      <c r="E400" s="1480"/>
    </row>
    <row r="401" spans="1:5">
      <c r="A401" s="75">
        <v>38302</v>
      </c>
      <c r="B401" s="76" t="str">
        <f>TiposLancamentos!B56</f>
        <v>Farmácia</v>
      </c>
      <c r="C401" s="1314" t="s">
        <v>2718</v>
      </c>
      <c r="D401" s="78"/>
      <c r="E401" s="1480">
        <v>1.75</v>
      </c>
    </row>
    <row r="402" spans="1:5">
      <c r="A402" s="75">
        <v>38303</v>
      </c>
      <c r="B402" s="76" t="str">
        <f>TiposLancamentos!B56</f>
        <v>Farmácia</v>
      </c>
      <c r="C402" s="1314" t="s">
        <v>2719</v>
      </c>
      <c r="D402" s="78"/>
      <c r="E402" s="1480">
        <v>12</v>
      </c>
    </row>
    <row r="403" spans="1:5">
      <c r="A403" s="75">
        <v>38303</v>
      </c>
      <c r="B403" s="76" t="str">
        <f>B399</f>
        <v>Alimentacao</v>
      </c>
      <c r="C403" s="1314" t="s">
        <v>2683</v>
      </c>
      <c r="D403" s="78"/>
      <c r="E403" s="1480">
        <v>5</v>
      </c>
    </row>
    <row r="404" spans="1:5">
      <c r="A404" s="75">
        <v>38304</v>
      </c>
      <c r="B404" s="1587" t="str">
        <f>B400</f>
        <v>Saques</v>
      </c>
      <c r="C404" s="1314" t="s">
        <v>2717</v>
      </c>
      <c r="D404" s="78">
        <v>20</v>
      </c>
      <c r="E404" s="1480"/>
    </row>
    <row r="405" spans="1:5">
      <c r="A405" s="75">
        <v>38304</v>
      </c>
      <c r="B405" s="76" t="str">
        <f>TiposLancamentos!B74</f>
        <v>Noite</v>
      </c>
      <c r="C405" s="1314" t="s">
        <v>2720</v>
      </c>
      <c r="D405" s="78"/>
      <c r="E405" s="1480">
        <v>7</v>
      </c>
    </row>
    <row r="406" spans="1:5">
      <c r="A406" s="75">
        <v>38304</v>
      </c>
      <c r="B406" s="76" t="str">
        <f>B399</f>
        <v>Alimentacao</v>
      </c>
      <c r="C406" s="1314" t="s">
        <v>2721</v>
      </c>
      <c r="D406" s="78"/>
      <c r="E406" s="1480">
        <v>7.25</v>
      </c>
    </row>
    <row r="407" spans="1:5">
      <c r="A407" s="75">
        <v>38305</v>
      </c>
      <c r="B407" s="76" t="str">
        <f>B406</f>
        <v>Alimentacao</v>
      </c>
      <c r="C407" s="1314" t="s">
        <v>2683</v>
      </c>
      <c r="D407" s="78"/>
      <c r="E407" s="1480">
        <v>2.9</v>
      </c>
    </row>
    <row r="408" spans="1:5">
      <c r="A408" s="75">
        <v>38306</v>
      </c>
      <c r="B408" s="76" t="str">
        <f>TiposLancamentos!B5</f>
        <v>Supermercado</v>
      </c>
      <c r="C408" s="1314" t="s">
        <v>2533</v>
      </c>
      <c r="D408" s="78"/>
      <c r="E408" s="1480">
        <v>3.4</v>
      </c>
    </row>
    <row r="409" spans="1:5">
      <c r="A409" s="75">
        <v>38306</v>
      </c>
      <c r="B409" s="76" t="str">
        <f>B407</f>
        <v>Alimentacao</v>
      </c>
      <c r="C409" s="1314" t="s">
        <v>2698</v>
      </c>
      <c r="D409" s="78"/>
      <c r="E409" s="1480">
        <v>0.7</v>
      </c>
    </row>
    <row r="410" spans="1:5">
      <c r="A410" s="75">
        <v>38309</v>
      </c>
      <c r="B410" s="1587" t="str">
        <f>B404</f>
        <v>Saques</v>
      </c>
      <c r="C410" s="1314" t="str">
        <f>C404</f>
        <v>Saque em dinheiro</v>
      </c>
      <c r="D410" s="78">
        <v>20</v>
      </c>
      <c r="E410" s="1480"/>
    </row>
    <row r="411" spans="1:5">
      <c r="A411" s="75">
        <v>38309</v>
      </c>
      <c r="B411" s="76" t="str">
        <f>TiposLancamentos!B74</f>
        <v>Noite</v>
      </c>
      <c r="C411" s="1314" t="s">
        <v>2722</v>
      </c>
      <c r="D411" s="78"/>
      <c r="E411" s="1480">
        <v>13</v>
      </c>
    </row>
    <row r="412" spans="1:5">
      <c r="A412" s="75">
        <v>38310</v>
      </c>
      <c r="B412" s="76" t="str">
        <f>TiposLancamentos!B19</f>
        <v>Restaurantes</v>
      </c>
      <c r="C412" s="1314" t="s">
        <v>2618</v>
      </c>
      <c r="D412" s="78"/>
      <c r="E412" s="1480">
        <v>0.6</v>
      </c>
    </row>
    <row r="413" spans="1:5">
      <c r="A413" s="75">
        <v>38310</v>
      </c>
      <c r="B413" s="76" t="str">
        <f>B409</f>
        <v>Alimentacao</v>
      </c>
      <c r="C413" s="1314" t="s">
        <v>2698</v>
      </c>
      <c r="D413" s="78"/>
      <c r="E413" s="1480">
        <v>0.7</v>
      </c>
    </row>
    <row r="414" spans="1:5">
      <c r="A414" s="75">
        <v>38310</v>
      </c>
      <c r="B414" s="76" t="str">
        <f>B411</f>
        <v>Noite</v>
      </c>
      <c r="C414" s="1314" t="s">
        <v>2644</v>
      </c>
      <c r="D414" s="78"/>
      <c r="E414" s="1480">
        <v>8.8000000000000007</v>
      </c>
    </row>
    <row r="415" spans="1:5">
      <c r="A415" s="75">
        <v>38310</v>
      </c>
      <c r="B415" s="1587" t="str">
        <f>B410</f>
        <v>Saques</v>
      </c>
      <c r="C415" s="1314" t="s">
        <v>2655</v>
      </c>
      <c r="D415" s="78">
        <v>10</v>
      </c>
      <c r="E415" s="1480"/>
    </row>
    <row r="416" spans="1:5">
      <c r="A416" s="75">
        <v>38310</v>
      </c>
      <c r="B416" s="76" t="str">
        <f>B409</f>
        <v>Alimentacao</v>
      </c>
      <c r="C416" s="1314" t="s">
        <v>2635</v>
      </c>
      <c r="D416" s="78"/>
      <c r="E416" s="1480">
        <v>4.5</v>
      </c>
    </row>
    <row r="417" spans="1:5">
      <c r="A417" s="75">
        <v>38311</v>
      </c>
      <c r="B417" s="76" t="str">
        <f>B416</f>
        <v>Alimentacao</v>
      </c>
      <c r="C417" s="1314" t="s">
        <v>2723</v>
      </c>
      <c r="D417" s="78"/>
      <c r="E417" s="1480">
        <v>1.2</v>
      </c>
    </row>
    <row r="418" spans="1:5">
      <c r="A418" s="75">
        <v>38314</v>
      </c>
      <c r="B418" s="76" t="str">
        <f>TiposLancamentos!B97</f>
        <v>Deposito Terc.</v>
      </c>
      <c r="C418" s="1314" t="s">
        <v>2724</v>
      </c>
      <c r="D418" s="78">
        <v>10</v>
      </c>
      <c r="E418" s="1480"/>
    </row>
    <row r="419" spans="1:5">
      <c r="A419" s="75">
        <v>38314</v>
      </c>
      <c r="B419" s="76" t="str">
        <f>B411</f>
        <v>Noite</v>
      </c>
      <c r="C419" s="1314" t="s">
        <v>2639</v>
      </c>
      <c r="D419" s="78"/>
      <c r="E419" s="1480">
        <v>5</v>
      </c>
    </row>
    <row r="420" spans="1:5">
      <c r="A420" s="75">
        <v>38315</v>
      </c>
      <c r="B420" s="76" t="str">
        <f>B417</f>
        <v>Alimentacao</v>
      </c>
      <c r="C420" s="1314" t="s">
        <v>2635</v>
      </c>
      <c r="D420" s="78"/>
      <c r="E420" s="1480">
        <v>5</v>
      </c>
    </row>
    <row r="421" spans="1:5">
      <c r="A421" s="75">
        <v>38317</v>
      </c>
      <c r="B421" s="1587" t="str">
        <f>B410</f>
        <v>Saques</v>
      </c>
      <c r="C421" s="1314" t="s">
        <v>2642</v>
      </c>
      <c r="D421" s="78">
        <v>10</v>
      </c>
      <c r="E421" s="1480"/>
    </row>
    <row r="422" spans="1:5">
      <c r="A422" s="75">
        <v>38317</v>
      </c>
      <c r="B422" s="76" t="str">
        <f>B416</f>
        <v>Alimentacao</v>
      </c>
      <c r="C422" s="1314" t="str">
        <f>C416</f>
        <v>Lanche</v>
      </c>
      <c r="D422" s="78"/>
      <c r="E422" s="1480">
        <v>7</v>
      </c>
    </row>
    <row r="423" spans="1:5">
      <c r="A423" s="75">
        <v>38317</v>
      </c>
      <c r="B423" s="76" t="str">
        <f>B419</f>
        <v>Noite</v>
      </c>
      <c r="C423" s="1314" t="str">
        <f>C411</f>
        <v>Cerva no posto + lanche no posto</v>
      </c>
      <c r="D423" s="78"/>
      <c r="E423" s="1480">
        <v>18</v>
      </c>
    </row>
    <row r="424" spans="1:5">
      <c r="A424" s="75">
        <v>38317</v>
      </c>
      <c r="B424" s="1587" t="str">
        <f>B421</f>
        <v>Saques</v>
      </c>
      <c r="C424" s="1314"/>
      <c r="D424" s="78">
        <v>20</v>
      </c>
      <c r="E424" s="1480"/>
    </row>
    <row r="425" spans="1:5">
      <c r="A425" s="75">
        <v>38318</v>
      </c>
      <c r="B425" s="76" t="str">
        <f>B422</f>
        <v>Alimentacao</v>
      </c>
      <c r="C425" s="1314" t="s">
        <v>2698</v>
      </c>
      <c r="D425" s="78"/>
      <c r="E425" s="1480">
        <v>0.5</v>
      </c>
    </row>
    <row r="426" spans="1:5">
      <c r="A426" s="75">
        <v>38318</v>
      </c>
      <c r="B426" s="76" t="str">
        <f>B423</f>
        <v>Noite</v>
      </c>
      <c r="C426" s="1314" t="s">
        <v>2725</v>
      </c>
      <c r="D426" s="78"/>
      <c r="E426" s="1480">
        <v>2.4</v>
      </c>
    </row>
    <row r="427" spans="1:5">
      <c r="A427" s="75">
        <v>38319</v>
      </c>
      <c r="B427" s="1587" t="str">
        <f>B424</f>
        <v>Saques</v>
      </c>
      <c r="C427" s="1314" t="s">
        <v>2726</v>
      </c>
      <c r="D427" s="78">
        <v>10</v>
      </c>
      <c r="E427" s="1480"/>
    </row>
    <row r="428" spans="1:5">
      <c r="A428" s="75">
        <v>38319</v>
      </c>
      <c r="B428" s="76" t="str">
        <f>B425</f>
        <v>Alimentacao</v>
      </c>
      <c r="C428" s="1314" t="s">
        <v>2727</v>
      </c>
      <c r="D428" s="78"/>
      <c r="E428" s="1480">
        <v>8</v>
      </c>
    </row>
    <row r="429" spans="1:5">
      <c r="A429" s="75">
        <v>38320</v>
      </c>
      <c r="B429" s="76" t="str">
        <f>B412</f>
        <v>Restaurantes</v>
      </c>
      <c r="C429" s="1314" t="str">
        <f>C412</f>
        <v>Almoço</v>
      </c>
      <c r="D429" s="78"/>
      <c r="E429" s="1480">
        <v>5.3</v>
      </c>
    </row>
    <row r="430" spans="1:5">
      <c r="A430" s="75">
        <v>38320</v>
      </c>
      <c r="B430" s="1587" t="str">
        <f>B427</f>
        <v>Saques</v>
      </c>
      <c r="C430" s="1314" t="s">
        <v>2634</v>
      </c>
      <c r="D430" s="78">
        <v>10</v>
      </c>
      <c r="E430" s="1480"/>
    </row>
    <row r="431" spans="1:5">
      <c r="A431" s="75">
        <v>38320</v>
      </c>
      <c r="B431" s="76" t="str">
        <f>B428</f>
        <v>Alimentacao</v>
      </c>
      <c r="C431" s="1314" t="s">
        <v>2635</v>
      </c>
      <c r="D431" s="78"/>
      <c r="E431" s="1480">
        <v>7.3</v>
      </c>
    </row>
    <row r="432" spans="1:5">
      <c r="A432" s="75">
        <v>38320</v>
      </c>
      <c r="B432" s="76" t="str">
        <f>B431</f>
        <v>Alimentacao</v>
      </c>
      <c r="C432" s="1314" t="s">
        <v>2683</v>
      </c>
      <c r="D432" s="78"/>
      <c r="E432" s="1480">
        <v>1</v>
      </c>
    </row>
    <row r="433" spans="1:5">
      <c r="A433" s="75">
        <v>38321</v>
      </c>
      <c r="B433" s="76" t="str">
        <f>B429</f>
        <v>Restaurantes</v>
      </c>
      <c r="C433" s="1314" t="s">
        <v>2700</v>
      </c>
      <c r="D433" s="78"/>
      <c r="E433" s="1480">
        <v>1</v>
      </c>
    </row>
    <row r="434" spans="1:5">
      <c r="A434" s="79">
        <v>38321</v>
      </c>
      <c r="B434" s="80" t="str">
        <f>B432</f>
        <v>Alimentacao</v>
      </c>
      <c r="C434" s="1586" t="s">
        <v>2631</v>
      </c>
      <c r="D434" s="78"/>
      <c r="E434" s="1480">
        <v>0.5</v>
      </c>
    </row>
    <row r="435" spans="1:5">
      <c r="A435" s="83"/>
      <c r="B435" s="37"/>
      <c r="C435" s="1584" t="s">
        <v>2728</v>
      </c>
      <c r="D435" s="74"/>
      <c r="E435" s="1585"/>
    </row>
    <row r="436" spans="1:5">
      <c r="A436" s="75">
        <v>38322</v>
      </c>
      <c r="B436" s="76" t="str">
        <f>TiposLancamentos!B20</f>
        <v>Saques</v>
      </c>
      <c r="C436" s="1314" t="s">
        <v>2729</v>
      </c>
      <c r="D436" s="78">
        <v>160</v>
      </c>
      <c r="E436" s="1480"/>
    </row>
    <row r="437" spans="1:5">
      <c r="A437" s="75">
        <v>38323</v>
      </c>
      <c r="B437" s="76" t="str">
        <f>TiposLancamentos!B72</f>
        <v>Presentes</v>
      </c>
      <c r="C437" s="1314" t="s">
        <v>2730</v>
      </c>
      <c r="D437" s="78"/>
      <c r="E437" s="1480">
        <v>50</v>
      </c>
    </row>
    <row r="438" spans="1:5">
      <c r="A438" s="75">
        <v>38323</v>
      </c>
      <c r="B438" s="76" t="str">
        <f>TiposLancamentos!B2</f>
        <v>Telefonia</v>
      </c>
      <c r="C438" s="1314" t="s">
        <v>2731</v>
      </c>
      <c r="D438" s="78"/>
      <c r="E438" s="1480">
        <v>109.54</v>
      </c>
    </row>
    <row r="439" spans="1:5">
      <c r="A439" s="75">
        <v>38324</v>
      </c>
      <c r="B439" s="76" t="str">
        <f>TiposLancamentos!B100</f>
        <v>Emprestimos</v>
      </c>
      <c r="C439" s="1314" t="s">
        <v>2732</v>
      </c>
      <c r="D439" s="78"/>
      <c r="E439" s="1480">
        <v>0.66</v>
      </c>
    </row>
    <row r="440" spans="1:5">
      <c r="A440" s="75">
        <v>38324</v>
      </c>
      <c r="B440" s="76" t="str">
        <f>B436</f>
        <v>Saques</v>
      </c>
      <c r="C440" s="1314" t="s">
        <v>2733</v>
      </c>
      <c r="D440" s="78">
        <v>20</v>
      </c>
      <c r="E440" s="1480"/>
    </row>
    <row r="441" spans="1:5">
      <c r="A441" s="75">
        <v>38324</v>
      </c>
      <c r="B441" s="76" t="str">
        <f>TiposLancamentos!B74</f>
        <v>Noite</v>
      </c>
      <c r="C441" s="1314" t="s">
        <v>2734</v>
      </c>
      <c r="D441" s="78"/>
      <c r="E441" s="1480">
        <v>6.3</v>
      </c>
    </row>
    <row r="442" spans="1:5">
      <c r="A442" s="75">
        <v>38324</v>
      </c>
      <c r="B442" s="76" t="str">
        <f>B434</f>
        <v>Alimentacao</v>
      </c>
      <c r="C442" s="1314" t="s">
        <v>2683</v>
      </c>
      <c r="D442" s="78"/>
      <c r="E442" s="1480">
        <v>5.0999999999999996</v>
      </c>
    </row>
    <row r="443" spans="1:5">
      <c r="A443" s="75">
        <v>38325</v>
      </c>
      <c r="B443" s="76" t="str">
        <f>TiposLancamentos!B13</f>
        <v>Moradia</v>
      </c>
      <c r="C443" s="1314" t="s">
        <v>2735</v>
      </c>
      <c r="D443" s="78"/>
      <c r="E443" s="1480">
        <v>3</v>
      </c>
    </row>
    <row r="444" spans="1:5">
      <c r="A444" s="75">
        <v>38325</v>
      </c>
      <c r="B444" s="76" t="str">
        <f>TiposLancamentos!B5</f>
        <v>Supermercado</v>
      </c>
      <c r="C444" s="1314" t="s">
        <v>2533</v>
      </c>
      <c r="D444" s="78"/>
      <c r="E444" s="1480">
        <v>4.58</v>
      </c>
    </row>
    <row r="445" spans="1:5">
      <c r="A445" s="75">
        <v>38325</v>
      </c>
      <c r="B445" s="76" t="str">
        <f>B431</f>
        <v>Alimentacao</v>
      </c>
      <c r="C445" s="1314" t="s">
        <v>2643</v>
      </c>
      <c r="D445" s="78"/>
      <c r="E445" s="1480">
        <v>1.02</v>
      </c>
    </row>
    <row r="446" spans="1:5">
      <c r="A446" s="75">
        <v>38326</v>
      </c>
      <c r="B446" s="76" t="str">
        <f>B436</f>
        <v>Saques</v>
      </c>
      <c r="C446" s="1314" t="s">
        <v>2736</v>
      </c>
      <c r="D446" s="78">
        <v>20</v>
      </c>
      <c r="E446" s="1480"/>
    </row>
    <row r="447" spans="1:5">
      <c r="A447" s="75">
        <v>38326</v>
      </c>
      <c r="B447" s="76" t="str">
        <f>B441</f>
        <v>Noite</v>
      </c>
      <c r="C447" s="1314" t="s">
        <v>2737</v>
      </c>
      <c r="D447" s="78"/>
      <c r="E447" s="1480">
        <v>8.4499999999999993</v>
      </c>
    </row>
    <row r="448" spans="1:5">
      <c r="A448" s="75">
        <v>38326</v>
      </c>
      <c r="B448" s="76" t="str">
        <f>B445</f>
        <v>Alimentacao</v>
      </c>
      <c r="C448" s="1314" t="s">
        <v>2738</v>
      </c>
      <c r="D448" s="78"/>
      <c r="E448" s="1480">
        <v>9.9</v>
      </c>
    </row>
    <row r="449" spans="1:5">
      <c r="A449" s="75">
        <v>38327</v>
      </c>
      <c r="B449" s="76" t="str">
        <f>B442</f>
        <v>Alimentacao</v>
      </c>
      <c r="C449" s="1314" t="s">
        <v>2739</v>
      </c>
      <c r="D449" s="78"/>
      <c r="E449" s="1480">
        <v>1.5</v>
      </c>
    </row>
    <row r="450" spans="1:5">
      <c r="A450" s="75">
        <v>38328</v>
      </c>
      <c r="B450" s="76" t="str">
        <f>B446</f>
        <v>Saques</v>
      </c>
      <c r="C450" s="1314" t="s">
        <v>2740</v>
      </c>
      <c r="D450" s="78">
        <v>50</v>
      </c>
      <c r="E450" s="1480"/>
    </row>
    <row r="451" spans="1:5">
      <c r="A451" s="75">
        <v>38328</v>
      </c>
      <c r="B451" s="76" t="str">
        <f>TiposLancamentos!B71</f>
        <v>Itens Pessoais</v>
      </c>
      <c r="C451" s="1314" t="s">
        <v>2741</v>
      </c>
      <c r="D451" s="78"/>
      <c r="E451" s="1480">
        <v>45</v>
      </c>
    </row>
    <row r="452" spans="1:5">
      <c r="A452" s="75">
        <v>38328</v>
      </c>
      <c r="B452" s="76" t="str">
        <f>B448</f>
        <v>Alimentacao</v>
      </c>
      <c r="C452" s="1314"/>
      <c r="D452" s="78"/>
      <c r="E452" s="1480">
        <v>3.8</v>
      </c>
    </row>
    <row r="453" spans="1:5">
      <c r="A453" s="75">
        <v>38329</v>
      </c>
      <c r="B453" s="76" t="str">
        <f>B446</f>
        <v>Saques</v>
      </c>
      <c r="C453" s="1314" t="s">
        <v>2742</v>
      </c>
      <c r="D453" s="78">
        <v>10</v>
      </c>
      <c r="E453" s="1480"/>
    </row>
    <row r="454" spans="1:5">
      <c r="A454" s="75">
        <v>38329</v>
      </c>
      <c r="B454" s="76" t="str">
        <f>TiposLancamentos!B24</f>
        <v>Estacionamentos</v>
      </c>
      <c r="C454" s="1314" t="s">
        <v>2743</v>
      </c>
      <c r="D454" s="78"/>
      <c r="E454" s="1480">
        <v>3</v>
      </c>
    </row>
    <row r="455" spans="1:5">
      <c r="A455" s="75">
        <v>38329</v>
      </c>
      <c r="B455" s="76" t="str">
        <f>B452</f>
        <v>Alimentacao</v>
      </c>
      <c r="C455" s="1314" t="s">
        <v>2682</v>
      </c>
      <c r="D455" s="78"/>
      <c r="E455" s="1480">
        <v>1.1000000000000001</v>
      </c>
    </row>
    <row r="456" spans="1:5">
      <c r="A456" s="75">
        <v>38329</v>
      </c>
      <c r="B456" s="76" t="str">
        <f>B452</f>
        <v>Alimentacao</v>
      </c>
      <c r="C456" s="1314" t="s">
        <v>2683</v>
      </c>
      <c r="D456" s="78"/>
      <c r="E456" s="1480">
        <v>4</v>
      </c>
    </row>
    <row r="457" spans="1:5">
      <c r="A457" s="75">
        <v>38329</v>
      </c>
      <c r="B457" s="76" t="str">
        <f>B456</f>
        <v>Alimentacao</v>
      </c>
      <c r="C457" s="1314"/>
      <c r="D457" s="78"/>
      <c r="E457" s="1480">
        <v>3.25</v>
      </c>
    </row>
    <row r="458" spans="1:5">
      <c r="A458" s="75">
        <v>38331</v>
      </c>
      <c r="B458" s="76" t="str">
        <f>B453</f>
        <v>Saques</v>
      </c>
      <c r="C458" s="1314" t="s">
        <v>2594</v>
      </c>
      <c r="D458" s="78">
        <v>10</v>
      </c>
      <c r="E458" s="1480"/>
    </row>
    <row r="459" spans="1:5">
      <c r="A459" s="75">
        <v>38333</v>
      </c>
      <c r="B459" s="76" t="str">
        <f>TiposLancamentos!B71</f>
        <v>Itens Pessoais</v>
      </c>
      <c r="C459" s="1314" t="s">
        <v>2594</v>
      </c>
      <c r="D459" s="78"/>
      <c r="E459" s="1480">
        <v>10</v>
      </c>
    </row>
    <row r="460" spans="1:5">
      <c r="A460" s="75">
        <v>38335</v>
      </c>
      <c r="B460" s="76" t="str">
        <f>B458</f>
        <v>Saques</v>
      </c>
      <c r="C460" s="1314" t="s">
        <v>2744</v>
      </c>
      <c r="D460" s="78">
        <v>10</v>
      </c>
      <c r="E460" s="1480"/>
    </row>
    <row r="461" spans="1:5">
      <c r="A461" s="75">
        <v>38335</v>
      </c>
      <c r="B461" s="76" t="str">
        <f>B457</f>
        <v>Alimentacao</v>
      </c>
      <c r="C461" s="1314" t="s">
        <v>2701</v>
      </c>
      <c r="D461" s="78"/>
      <c r="E461" s="1480">
        <v>7.2</v>
      </c>
    </row>
    <row r="462" spans="1:5">
      <c r="A462" s="75">
        <v>38335</v>
      </c>
      <c r="B462" s="76" t="str">
        <f>B461</f>
        <v>Alimentacao</v>
      </c>
      <c r="C462" s="1314" t="s">
        <v>2698</v>
      </c>
      <c r="D462" s="78"/>
      <c r="E462" s="1480">
        <v>0.7</v>
      </c>
    </row>
    <row r="463" spans="1:5">
      <c r="A463" s="75">
        <v>38335</v>
      </c>
      <c r="B463" s="76" t="str">
        <f>TiposLancamentos!B74</f>
        <v>Noite</v>
      </c>
      <c r="C463" s="1314" t="s">
        <v>2673</v>
      </c>
      <c r="D463" s="78"/>
      <c r="E463" s="1480">
        <v>10</v>
      </c>
    </row>
    <row r="464" spans="1:5">
      <c r="A464" s="75">
        <v>38335</v>
      </c>
      <c r="B464" s="76" t="str">
        <f>B447</f>
        <v>Noite</v>
      </c>
      <c r="C464" s="1314" t="str">
        <f>C463</f>
        <v>Cerva noposto</v>
      </c>
      <c r="D464" s="78"/>
      <c r="E464" s="1480">
        <v>3.5</v>
      </c>
    </row>
    <row r="465" spans="1:5">
      <c r="A465" s="75">
        <v>38335</v>
      </c>
      <c r="B465" s="76" t="str">
        <f>TiposLancamentos!B60</f>
        <v>Correio</v>
      </c>
      <c r="C465" s="1314"/>
      <c r="D465" s="78"/>
      <c r="E465" s="1480">
        <v>0.1</v>
      </c>
    </row>
    <row r="466" spans="1:5">
      <c r="A466" s="75">
        <v>38335</v>
      </c>
      <c r="B466" s="76" t="str">
        <f>TiposLancamentos!B5</f>
        <v>Supermercado</v>
      </c>
      <c r="C466" s="1314" t="s">
        <v>2745</v>
      </c>
      <c r="D466" s="78"/>
      <c r="E466" s="1480">
        <v>3.61</v>
      </c>
    </row>
    <row r="467" spans="1:5">
      <c r="A467" s="75">
        <v>38335</v>
      </c>
      <c r="B467" s="76" t="str">
        <f>B462</f>
        <v>Alimentacao</v>
      </c>
      <c r="C467" s="1314" t="s">
        <v>2746</v>
      </c>
      <c r="D467" s="78"/>
      <c r="E467" s="1480">
        <v>0.5</v>
      </c>
    </row>
    <row r="468" spans="1:5">
      <c r="A468" s="75">
        <v>38337</v>
      </c>
      <c r="B468" s="76" t="str">
        <f>B467</f>
        <v>Alimentacao</v>
      </c>
      <c r="C468" s="1314" t="s">
        <v>2696</v>
      </c>
      <c r="D468" s="78"/>
      <c r="E468" s="1480">
        <v>2</v>
      </c>
    </row>
    <row r="469" spans="1:5">
      <c r="A469" s="75">
        <v>38338</v>
      </c>
      <c r="B469" s="76" t="str">
        <f>B458</f>
        <v>Saques</v>
      </c>
      <c r="C469" s="1314" t="s">
        <v>2747</v>
      </c>
      <c r="D469" s="78">
        <v>60</v>
      </c>
      <c r="E469" s="1480"/>
    </row>
    <row r="470" spans="1:5">
      <c r="A470" s="75">
        <v>38338</v>
      </c>
      <c r="B470" s="76" t="str">
        <f>B466</f>
        <v>Supermercado</v>
      </c>
      <c r="C470" s="1314" t="s">
        <v>2533</v>
      </c>
      <c r="D470" s="78"/>
      <c r="E470" s="1480">
        <v>3.81</v>
      </c>
    </row>
    <row r="471" spans="1:5">
      <c r="A471" s="75">
        <v>38339</v>
      </c>
      <c r="B471" s="76" t="str">
        <f>B468</f>
        <v>Alimentacao</v>
      </c>
      <c r="C471" s="1314" t="s">
        <v>2631</v>
      </c>
      <c r="D471" s="78"/>
      <c r="E471" s="1480">
        <v>1</v>
      </c>
    </row>
    <row r="472" spans="1:5">
      <c r="A472" s="75">
        <v>38339</v>
      </c>
      <c r="B472" s="76" t="str">
        <f>B467</f>
        <v>Alimentacao</v>
      </c>
      <c r="C472" s="1314" t="s">
        <v>2748</v>
      </c>
      <c r="D472" s="78"/>
      <c r="E472" s="1480">
        <v>7</v>
      </c>
    </row>
    <row r="473" spans="1:5">
      <c r="A473" s="75">
        <v>38339</v>
      </c>
      <c r="B473" s="76" t="str">
        <f>TiposLancamentos!B13</f>
        <v>Moradia</v>
      </c>
      <c r="C473" s="1314" t="s">
        <v>2703</v>
      </c>
      <c r="D473" s="78"/>
      <c r="E473" s="1480">
        <v>1.5</v>
      </c>
    </row>
    <row r="474" spans="1:5">
      <c r="A474" s="75">
        <v>38339</v>
      </c>
      <c r="B474" s="76" t="str">
        <f>TiposLancamentos!B33</f>
        <v>Pedágios</v>
      </c>
      <c r="C474" s="1314" t="s">
        <v>2749</v>
      </c>
      <c r="D474" s="78"/>
      <c r="E474" s="1480">
        <v>26.17</v>
      </c>
    </row>
    <row r="475" spans="1:5">
      <c r="A475" s="75">
        <v>38340</v>
      </c>
      <c r="B475" s="76" t="str">
        <f>TiposLancamentos!B72</f>
        <v>Presentes</v>
      </c>
      <c r="C475" s="1314" t="s">
        <v>2750</v>
      </c>
      <c r="D475" s="78"/>
      <c r="E475" s="1480">
        <v>11</v>
      </c>
    </row>
    <row r="476" spans="1:5">
      <c r="A476" s="75">
        <v>38340</v>
      </c>
      <c r="B476" s="76" t="str">
        <f>TiposLancamentos!B16</f>
        <v>Cristiane</v>
      </c>
      <c r="C476" s="1314" t="s">
        <v>1698</v>
      </c>
      <c r="D476" s="78">
        <v>290</v>
      </c>
      <c r="E476" s="1480"/>
    </row>
    <row r="477" spans="1:5">
      <c r="A477" s="75">
        <v>38340</v>
      </c>
      <c r="B477" s="76" t="str">
        <f>TiposLancamentos!B105</f>
        <v>Transf. Bco</v>
      </c>
      <c r="C477" s="1314" t="s">
        <v>2751</v>
      </c>
      <c r="D477" s="78"/>
      <c r="E477" s="1480">
        <v>90</v>
      </c>
    </row>
    <row r="478" spans="1:5">
      <c r="A478" s="75">
        <v>38340</v>
      </c>
      <c r="B478" s="76" t="str">
        <f>B476</f>
        <v>Cristiane</v>
      </c>
      <c r="C478" s="1314" t="s">
        <v>1698</v>
      </c>
      <c r="D478" s="78">
        <v>10</v>
      </c>
      <c r="E478" s="1480"/>
    </row>
    <row r="479" spans="1:5">
      <c r="A479" s="75">
        <v>38341</v>
      </c>
      <c r="B479" s="76" t="str">
        <f>TiposLancamentos!B33</f>
        <v>Pedágios</v>
      </c>
      <c r="C479" s="1314" t="s">
        <v>2501</v>
      </c>
      <c r="D479" s="78"/>
      <c r="E479" s="1480">
        <v>4.0999999999999996</v>
      </c>
    </row>
    <row r="480" spans="1:5">
      <c r="A480" s="75">
        <v>38341</v>
      </c>
      <c r="B480" s="76" t="str">
        <f>TiposLancamentos!B71</f>
        <v>Itens Pessoais</v>
      </c>
      <c r="C480" s="1314" t="s">
        <v>2752</v>
      </c>
      <c r="D480" s="78"/>
      <c r="E480" s="1480">
        <v>39.9</v>
      </c>
    </row>
    <row r="481" spans="1:5">
      <c r="A481" s="75">
        <v>38341</v>
      </c>
      <c r="B481" s="76" t="str">
        <f>TiposLancamentos!B70</f>
        <v>Vestuário</v>
      </c>
      <c r="C481" s="1314" t="s">
        <v>2753</v>
      </c>
      <c r="D481" s="78"/>
      <c r="E481" s="1480">
        <v>31.9</v>
      </c>
    </row>
    <row r="482" spans="1:5">
      <c r="A482" s="75">
        <v>38341</v>
      </c>
      <c r="B482" s="76" t="str">
        <f>TiposLancamentos!B58</f>
        <v>Fotografias</v>
      </c>
      <c r="C482" s="1314" t="s">
        <v>2754</v>
      </c>
      <c r="D482" s="78"/>
      <c r="E482" s="1480">
        <v>15.6</v>
      </c>
    </row>
    <row r="483" spans="1:5">
      <c r="A483" s="75">
        <v>38341</v>
      </c>
      <c r="B483" s="76" t="str">
        <f>B481</f>
        <v>Vestuário</v>
      </c>
      <c r="C483" s="1314" t="s">
        <v>2755</v>
      </c>
      <c r="D483" s="78"/>
      <c r="E483" s="1480">
        <v>27.3</v>
      </c>
    </row>
    <row r="484" spans="1:5">
      <c r="A484" s="75">
        <v>38341</v>
      </c>
      <c r="B484" s="76" t="str">
        <f>B478</f>
        <v>Cristiane</v>
      </c>
      <c r="C484" s="1314" t="s">
        <v>2756</v>
      </c>
      <c r="D484" s="78"/>
      <c r="E484" s="1480">
        <v>8</v>
      </c>
    </row>
    <row r="485" spans="1:5">
      <c r="A485" s="75">
        <v>38341</v>
      </c>
      <c r="B485" s="76" t="str">
        <f>B475</f>
        <v>Presentes</v>
      </c>
      <c r="C485" s="1314" t="s">
        <v>2757</v>
      </c>
      <c r="D485" s="78"/>
      <c r="E485" s="1480">
        <v>16</v>
      </c>
    </row>
    <row r="486" spans="1:5">
      <c r="A486" s="75">
        <v>38341</v>
      </c>
      <c r="B486" s="76" t="str">
        <f>TiposLancamentos!B101</f>
        <v>Troco de Vr</v>
      </c>
      <c r="C486" s="1314" t="s">
        <v>2758</v>
      </c>
      <c r="D486" s="78">
        <v>0.9</v>
      </c>
      <c r="E486" s="1480"/>
    </row>
    <row r="487" spans="1:5">
      <c r="A487" s="75">
        <v>38341</v>
      </c>
      <c r="B487" s="76" t="str">
        <f>TiposLancamentos!B18</f>
        <v>Alimentacao</v>
      </c>
      <c r="C487" s="1314" t="s">
        <v>2635</v>
      </c>
      <c r="D487" s="78"/>
      <c r="E487" s="1480">
        <v>5</v>
      </c>
    </row>
    <row r="488" spans="1:5">
      <c r="A488" s="75">
        <v>38341</v>
      </c>
      <c r="B488" s="76" t="str">
        <f>B478</f>
        <v>Cristiane</v>
      </c>
      <c r="C488" s="1314" t="s">
        <v>1698</v>
      </c>
      <c r="D488" s="78">
        <v>5</v>
      </c>
      <c r="E488" s="1480"/>
    </row>
    <row r="489" spans="1:5">
      <c r="A489" s="75">
        <v>38344</v>
      </c>
      <c r="B489" s="76" t="str">
        <f>TiposLancamentos!B33</f>
        <v>Pedágios</v>
      </c>
      <c r="C489" s="1314" t="s">
        <v>2501</v>
      </c>
      <c r="D489" s="78"/>
      <c r="E489" s="1480">
        <v>4.0999999999999996</v>
      </c>
    </row>
    <row r="490" spans="1:5">
      <c r="A490" s="75">
        <v>38347</v>
      </c>
      <c r="B490" s="76" t="str">
        <f>TiposLancamentos!B90</f>
        <v>Locadora</v>
      </c>
      <c r="C490" s="1314" t="s">
        <v>44</v>
      </c>
      <c r="D490" s="78"/>
      <c r="E490" s="1480">
        <v>21</v>
      </c>
    </row>
    <row r="491" spans="1:5">
      <c r="A491" s="75">
        <v>38347</v>
      </c>
      <c r="B491" s="76" t="str">
        <f>TiposLancamentos!B56</f>
        <v>Farmácia</v>
      </c>
      <c r="C491" s="1314" t="s">
        <v>1775</v>
      </c>
      <c r="D491" s="78"/>
      <c r="E491" s="1480">
        <v>8.4</v>
      </c>
    </row>
    <row r="492" spans="1:5">
      <c r="A492" s="75">
        <v>38348</v>
      </c>
      <c r="B492" s="76" t="str">
        <f>B487</f>
        <v>Alimentacao</v>
      </c>
      <c r="C492" s="1314" t="s">
        <v>2631</v>
      </c>
      <c r="D492" s="78"/>
      <c r="E492" s="1480">
        <v>5.4</v>
      </c>
    </row>
    <row r="493" spans="1:5">
      <c r="A493" s="75">
        <v>38348</v>
      </c>
      <c r="B493" s="76" t="str">
        <f>B471</f>
        <v>Alimentacao</v>
      </c>
      <c r="C493" s="1314" t="s">
        <v>2703</v>
      </c>
      <c r="D493" s="78"/>
      <c r="E493" s="1480">
        <v>1</v>
      </c>
    </row>
    <row r="494" spans="1:5">
      <c r="A494" s="75">
        <v>38348</v>
      </c>
      <c r="B494" s="76" t="str">
        <f>B493</f>
        <v>Alimentacao</v>
      </c>
      <c r="C494" s="1314" t="s">
        <v>2759</v>
      </c>
      <c r="D494" s="78"/>
      <c r="E494" s="1480">
        <v>3.5</v>
      </c>
    </row>
    <row r="495" spans="1:5">
      <c r="A495" s="75">
        <v>38349</v>
      </c>
      <c r="B495" s="76" t="str">
        <f>TiposLancamentos!B13</f>
        <v>Moradia</v>
      </c>
      <c r="C495" s="1314" t="s">
        <v>2703</v>
      </c>
      <c r="D495" s="78"/>
      <c r="E495" s="1480">
        <v>4.5</v>
      </c>
    </row>
    <row r="496" spans="1:5">
      <c r="A496" s="75">
        <v>38349</v>
      </c>
      <c r="B496" s="76" t="str">
        <f>B495</f>
        <v>Moradia</v>
      </c>
      <c r="C496" s="1314" t="s">
        <v>2760</v>
      </c>
      <c r="D496" s="78"/>
      <c r="E496" s="1480">
        <v>0.5</v>
      </c>
    </row>
    <row r="497" spans="1:5">
      <c r="A497" s="75">
        <v>38351</v>
      </c>
      <c r="B497" s="76" t="str">
        <f>TiposLancamentos!B20</f>
        <v>Saques</v>
      </c>
      <c r="C497" s="1314" t="s">
        <v>2761</v>
      </c>
      <c r="D497" s="78">
        <v>330</v>
      </c>
      <c r="E497" s="1480"/>
    </row>
    <row r="498" spans="1:5">
      <c r="A498" s="75">
        <v>38351</v>
      </c>
      <c r="B498" s="76" t="str">
        <f>TiposLancamentos!B2</f>
        <v>Telefonia</v>
      </c>
      <c r="C498" s="1314" t="s">
        <v>2731</v>
      </c>
      <c r="D498" s="78"/>
      <c r="E498" s="1480">
        <v>331.29</v>
      </c>
    </row>
    <row r="499" spans="1:5">
      <c r="A499" s="75">
        <v>38351</v>
      </c>
      <c r="B499" s="76" t="str">
        <f>TiposLancamentos!B18</f>
        <v>Alimentacao</v>
      </c>
      <c r="C499" s="1314" t="s">
        <v>2762</v>
      </c>
      <c r="D499" s="78"/>
      <c r="E499" s="1480">
        <v>1</v>
      </c>
    </row>
    <row r="500" spans="1:5">
      <c r="A500" s="75">
        <v>38351</v>
      </c>
      <c r="B500" s="76" t="str">
        <f>B499</f>
        <v>Alimentacao</v>
      </c>
      <c r="C500" s="1314" t="s">
        <v>2698</v>
      </c>
      <c r="D500" s="78"/>
      <c r="E500" s="1480">
        <v>0.5</v>
      </c>
    </row>
    <row r="501" spans="1:5">
      <c r="A501" s="75">
        <v>38352</v>
      </c>
      <c r="B501" s="76" t="str">
        <f>TiposLancamentos!B78</f>
        <v>Diferenças</v>
      </c>
      <c r="C501" s="1314" t="s">
        <v>2763</v>
      </c>
      <c r="D501" s="78"/>
      <c r="E501" s="1480">
        <v>28.82</v>
      </c>
    </row>
    <row r="502" spans="1:5">
      <c r="A502" s="83"/>
      <c r="B502" s="37"/>
      <c r="C502" s="1584" t="s">
        <v>2764</v>
      </c>
      <c r="D502" s="74"/>
      <c r="E502" s="1585"/>
    </row>
    <row r="503" spans="1:5">
      <c r="A503" s="75">
        <v>38355</v>
      </c>
      <c r="B503" s="76" t="str">
        <f>B497</f>
        <v>Saques</v>
      </c>
      <c r="C503" s="1314" t="s">
        <v>2765</v>
      </c>
      <c r="D503" s="78">
        <v>10</v>
      </c>
      <c r="E503" s="1480"/>
    </row>
    <row r="504" spans="1:5">
      <c r="A504" s="75">
        <v>38355</v>
      </c>
      <c r="B504" s="76" t="str">
        <f>B499</f>
        <v>Alimentacao</v>
      </c>
      <c r="C504" s="1314" t="s">
        <v>2766</v>
      </c>
      <c r="D504" s="78"/>
      <c r="E504" s="1480">
        <v>5.5</v>
      </c>
    </row>
    <row r="505" spans="1:5">
      <c r="A505" s="75">
        <v>38356</v>
      </c>
      <c r="B505" s="76" t="str">
        <f>B504</f>
        <v>Alimentacao</v>
      </c>
      <c r="C505" s="1314" t="s">
        <v>2766</v>
      </c>
      <c r="D505" s="78"/>
      <c r="E505" s="1480">
        <v>4.5</v>
      </c>
    </row>
    <row r="506" spans="1:5">
      <c r="A506" s="75">
        <v>38358</v>
      </c>
      <c r="B506" s="76" t="str">
        <f>B503</f>
        <v>Saques</v>
      </c>
      <c r="C506" s="1314" t="s">
        <v>2767</v>
      </c>
      <c r="D506" s="78">
        <v>20</v>
      </c>
      <c r="E506" s="1480"/>
    </row>
    <row r="507" spans="1:5">
      <c r="A507" s="75">
        <v>38358</v>
      </c>
      <c r="B507" s="76" t="str">
        <f>B504</f>
        <v>Alimentacao</v>
      </c>
      <c r="C507" s="1314" t="s">
        <v>2683</v>
      </c>
      <c r="D507" s="78"/>
      <c r="E507" s="1480">
        <v>8</v>
      </c>
    </row>
    <row r="508" spans="1:5">
      <c r="A508" s="75">
        <v>38359</v>
      </c>
      <c r="B508" s="76" t="str">
        <f>B504</f>
        <v>Alimentacao</v>
      </c>
      <c r="C508" s="1314" t="s">
        <v>2768</v>
      </c>
      <c r="D508" s="78"/>
      <c r="E508" s="1480">
        <v>3.9</v>
      </c>
    </row>
    <row r="509" spans="1:5">
      <c r="A509" s="75">
        <v>38359</v>
      </c>
      <c r="B509" s="76" t="str">
        <f>B504</f>
        <v>Alimentacao</v>
      </c>
      <c r="C509" s="1314" t="s">
        <v>2683</v>
      </c>
      <c r="D509" s="78"/>
      <c r="E509" s="1480">
        <v>4</v>
      </c>
    </row>
    <row r="510" spans="1:5">
      <c r="A510" s="75">
        <v>38360</v>
      </c>
      <c r="B510" s="76" t="str">
        <f>TiposLancamentos!B13</f>
        <v>Moradia</v>
      </c>
      <c r="C510" s="1314" t="s">
        <v>2769</v>
      </c>
      <c r="D510" s="78"/>
      <c r="E510" s="1480">
        <v>4.0999999999999996</v>
      </c>
    </row>
    <row r="511" spans="1:5">
      <c r="A511" s="75">
        <v>38362</v>
      </c>
      <c r="B511" s="76" t="str">
        <f>B503</f>
        <v>Saques</v>
      </c>
      <c r="C511" s="1314" t="s">
        <v>2668</v>
      </c>
      <c r="D511" s="78">
        <v>10</v>
      </c>
      <c r="E511" s="1480"/>
    </row>
    <row r="512" spans="1:5">
      <c r="A512" s="75">
        <v>38362</v>
      </c>
      <c r="B512" s="76" t="str">
        <f>B504</f>
        <v>Alimentacao</v>
      </c>
      <c r="C512" s="1314" t="s">
        <v>2683</v>
      </c>
      <c r="D512" s="78"/>
      <c r="E512" s="1480">
        <v>3.3</v>
      </c>
    </row>
    <row r="513" spans="1:5">
      <c r="A513" s="75">
        <v>38363</v>
      </c>
      <c r="B513" s="76" t="str">
        <f>TiposLancamentos!B16</f>
        <v>Cristiane</v>
      </c>
      <c r="C513" s="1314" t="s">
        <v>1698</v>
      </c>
      <c r="D513" s="78"/>
      <c r="E513" s="1480">
        <v>6.7</v>
      </c>
    </row>
    <row r="514" spans="1:5">
      <c r="A514" s="75">
        <v>38364</v>
      </c>
      <c r="B514" s="76" t="str">
        <f>B506</f>
        <v>Saques</v>
      </c>
      <c r="C514" s="1314" t="s">
        <v>2770</v>
      </c>
      <c r="D514" s="78">
        <v>10</v>
      </c>
      <c r="E514" s="1480"/>
    </row>
    <row r="515" spans="1:5">
      <c r="A515" s="75">
        <v>38364</v>
      </c>
      <c r="B515" s="76" t="str">
        <f>B512</f>
        <v>Alimentacao</v>
      </c>
      <c r="C515" s="1314" t="s">
        <v>2771</v>
      </c>
      <c r="D515" s="78"/>
      <c r="E515" s="1480">
        <v>5.2</v>
      </c>
    </row>
    <row r="516" spans="1:5">
      <c r="A516" s="75">
        <v>38364</v>
      </c>
      <c r="B516" s="76" t="str">
        <f>TiposLancamentos!B5</f>
        <v>Supermercado</v>
      </c>
      <c r="C516" s="1314" t="s">
        <v>2772</v>
      </c>
      <c r="D516" s="78"/>
      <c r="E516" s="1480">
        <v>4.8</v>
      </c>
    </row>
    <row r="517" spans="1:5">
      <c r="A517" s="75">
        <v>38369</v>
      </c>
      <c r="B517" s="76" t="str">
        <f>TiposLancamentos!B101</f>
        <v>Troco de Vr</v>
      </c>
      <c r="C517" s="1314" t="s">
        <v>2773</v>
      </c>
      <c r="D517" s="78">
        <v>1.35</v>
      </c>
      <c r="E517" s="1480"/>
    </row>
    <row r="518" spans="1:5">
      <c r="A518" s="75">
        <v>38369</v>
      </c>
      <c r="B518" s="76" t="str">
        <f>B511</f>
        <v>Saques</v>
      </c>
      <c r="C518" s="1314" t="s">
        <v>2774</v>
      </c>
      <c r="D518" s="78">
        <v>10</v>
      </c>
      <c r="E518" s="1480"/>
    </row>
    <row r="519" spans="1:5">
      <c r="A519" s="75">
        <v>38369</v>
      </c>
      <c r="B519" s="76" t="str">
        <f>B512</f>
        <v>Alimentacao</v>
      </c>
      <c r="C519" s="1314" t="s">
        <v>2698</v>
      </c>
      <c r="D519" s="78"/>
      <c r="E519" s="1480">
        <v>0.7</v>
      </c>
    </row>
    <row r="520" spans="1:5">
      <c r="A520" s="75">
        <v>38369</v>
      </c>
      <c r="B520" s="76" t="str">
        <f>TiposLancamentos!B16</f>
        <v>Cristiane</v>
      </c>
      <c r="C520" s="1314" t="s">
        <v>2775</v>
      </c>
      <c r="D520" s="78"/>
      <c r="E520" s="1480">
        <v>10</v>
      </c>
    </row>
    <row r="521" spans="1:5">
      <c r="A521" s="75">
        <v>38369</v>
      </c>
      <c r="B521" s="76" t="str">
        <f>B518</f>
        <v>Saques</v>
      </c>
      <c r="C521" s="1314" t="s">
        <v>2776</v>
      </c>
      <c r="D521" s="78">
        <v>20</v>
      </c>
      <c r="E521" s="1480"/>
    </row>
    <row r="522" spans="1:5">
      <c r="A522" s="75">
        <v>38369</v>
      </c>
      <c r="B522" s="76" t="str">
        <f>TiposLancamentos!B64</f>
        <v>Viagens</v>
      </c>
      <c r="C522" s="1314" t="s">
        <v>2777</v>
      </c>
      <c r="D522" s="78"/>
      <c r="E522" s="1480">
        <v>10</v>
      </c>
    </row>
    <row r="523" spans="1:5">
      <c r="A523" s="75">
        <v>38369</v>
      </c>
      <c r="B523" s="76" t="str">
        <f>TiposLancamentos!B65</f>
        <v>Taxi</v>
      </c>
      <c r="C523" s="1314" t="s">
        <v>2778</v>
      </c>
      <c r="D523" s="78"/>
      <c r="E523" s="1480">
        <v>10</v>
      </c>
    </row>
    <row r="524" spans="1:5">
      <c r="A524" s="75">
        <v>38377</v>
      </c>
      <c r="B524" s="76" t="str">
        <f>B518</f>
        <v>Saques</v>
      </c>
      <c r="C524" s="1314" t="s">
        <v>2655</v>
      </c>
      <c r="D524" s="78">
        <v>20</v>
      </c>
      <c r="E524" s="1480"/>
    </row>
    <row r="525" spans="1:5">
      <c r="A525" s="75">
        <v>38377</v>
      </c>
      <c r="B525" s="76" t="str">
        <f>TiposLancamentos!B82</f>
        <v>CG Titan 125</v>
      </c>
      <c r="C525" s="1314" t="s">
        <v>2779</v>
      </c>
      <c r="D525" s="78"/>
      <c r="E525" s="1480">
        <v>10</v>
      </c>
    </row>
    <row r="526" spans="1:5">
      <c r="A526" s="75">
        <v>38377</v>
      </c>
      <c r="B526" s="76" t="str">
        <f>B519</f>
        <v>Alimentacao</v>
      </c>
      <c r="C526" s="1314" t="s">
        <v>2701</v>
      </c>
      <c r="D526" s="78"/>
      <c r="E526" s="1480">
        <v>4.25</v>
      </c>
    </row>
    <row r="527" spans="1:5">
      <c r="A527" s="75">
        <v>38378</v>
      </c>
      <c r="B527" s="76" t="str">
        <f>B526</f>
        <v>Alimentacao</v>
      </c>
      <c r="C527" s="1314" t="s">
        <v>2780</v>
      </c>
      <c r="D527" s="78"/>
      <c r="E527" s="1480">
        <v>5.05</v>
      </c>
    </row>
    <row r="528" spans="1:5">
      <c r="A528" s="75">
        <v>38378</v>
      </c>
      <c r="B528" s="76" t="str">
        <f>B526</f>
        <v>Alimentacao</v>
      </c>
      <c r="C528" s="1314" t="s">
        <v>2682</v>
      </c>
      <c r="D528" s="78"/>
      <c r="E528" s="1480">
        <v>1.35</v>
      </c>
    </row>
    <row r="529" spans="1:5">
      <c r="A529" s="75">
        <v>38382</v>
      </c>
      <c r="B529" s="76" t="str">
        <f>B524</f>
        <v>Saques</v>
      </c>
      <c r="C529" s="1314" t="s">
        <v>2655</v>
      </c>
      <c r="D529" s="78">
        <v>10</v>
      </c>
      <c r="E529" s="1480"/>
    </row>
    <row r="530" spans="1:5">
      <c r="A530" s="75">
        <v>38382</v>
      </c>
      <c r="B530" s="76" t="str">
        <f>TiposLancamentos!B74</f>
        <v>Noite</v>
      </c>
      <c r="C530" s="1314" t="s">
        <v>2644</v>
      </c>
      <c r="D530" s="78"/>
      <c r="E530" s="1480">
        <v>8</v>
      </c>
    </row>
    <row r="531" spans="1:5">
      <c r="A531" s="75">
        <v>38382</v>
      </c>
      <c r="B531" s="76" t="str">
        <f>B516</f>
        <v>Supermercado</v>
      </c>
      <c r="C531" s="1314" t="s">
        <v>2781</v>
      </c>
      <c r="D531" s="78"/>
      <c r="E531" s="1480">
        <v>2</v>
      </c>
    </row>
    <row r="532" spans="1:5">
      <c r="A532" s="75">
        <v>38383</v>
      </c>
      <c r="B532" s="76" t="str">
        <f>B524</f>
        <v>Saques</v>
      </c>
      <c r="C532" s="1314" t="s">
        <v>2782</v>
      </c>
      <c r="D532" s="78">
        <v>100</v>
      </c>
      <c r="E532" s="1480"/>
    </row>
    <row r="533" spans="1:5">
      <c r="A533" s="75">
        <v>38383</v>
      </c>
      <c r="B533" s="76" t="str">
        <f>B520</f>
        <v>Cristiane</v>
      </c>
      <c r="C533" s="1314" t="s">
        <v>2783</v>
      </c>
      <c r="D533" s="78">
        <v>3</v>
      </c>
      <c r="E533" s="1480"/>
    </row>
    <row r="534" spans="1:5">
      <c r="A534" s="75">
        <v>38383</v>
      </c>
      <c r="B534" s="76" t="str">
        <f>B498</f>
        <v>Telefonia</v>
      </c>
      <c r="C534" s="1314" t="s">
        <v>2731</v>
      </c>
      <c r="D534" s="78"/>
      <c r="E534" s="1480">
        <v>43.1</v>
      </c>
    </row>
    <row r="535" spans="1:5">
      <c r="A535" s="75">
        <v>38383</v>
      </c>
      <c r="B535" s="76" t="str">
        <f>TiposLancamentos!B3</f>
        <v>Internet</v>
      </c>
      <c r="C535" s="1314" t="s">
        <v>2784</v>
      </c>
      <c r="D535" s="78"/>
      <c r="E535" s="1480">
        <v>59.9</v>
      </c>
    </row>
    <row r="536" spans="1:5">
      <c r="A536" s="75">
        <v>38383</v>
      </c>
      <c r="B536" s="76" t="str">
        <f>B529</f>
        <v>Saques</v>
      </c>
      <c r="C536" s="1314" t="s">
        <v>2668</v>
      </c>
      <c r="D536" s="78">
        <v>10</v>
      </c>
      <c r="E536" s="1480"/>
    </row>
    <row r="537" spans="1:5">
      <c r="A537" s="79">
        <v>38383</v>
      </c>
      <c r="B537" s="80" t="str">
        <f>TiposLancamentos!B24</f>
        <v>Estacionamentos</v>
      </c>
      <c r="C537" s="1586" t="s">
        <v>2743</v>
      </c>
      <c r="D537" s="82"/>
      <c r="E537" s="1583">
        <v>3</v>
      </c>
    </row>
    <row r="538" spans="1:5">
      <c r="A538" s="83"/>
      <c r="B538" s="37"/>
      <c r="C538" s="1584" t="s">
        <v>2785</v>
      </c>
      <c r="D538" s="78"/>
      <c r="E538" s="1480"/>
    </row>
    <row r="539" spans="1:5">
      <c r="A539" s="75">
        <v>38384</v>
      </c>
      <c r="B539" s="76" t="str">
        <f>B533</f>
        <v>Cristiane</v>
      </c>
      <c r="C539" s="1314" t="s">
        <v>2672</v>
      </c>
      <c r="D539" s="78"/>
      <c r="E539" s="1480">
        <v>7</v>
      </c>
    </row>
    <row r="540" spans="1:5">
      <c r="A540" s="75">
        <v>38385</v>
      </c>
      <c r="B540" s="76" t="str">
        <f>B529</f>
        <v>Saques</v>
      </c>
      <c r="C540" s="1314" t="s">
        <v>2668</v>
      </c>
      <c r="D540" s="78">
        <v>10</v>
      </c>
      <c r="E540" s="1480"/>
    </row>
    <row r="541" spans="1:5">
      <c r="A541" s="75">
        <v>38385</v>
      </c>
      <c r="B541" s="76" t="str">
        <f>B528</f>
        <v>Alimentacao</v>
      </c>
      <c r="C541" s="1314" t="s">
        <v>2618</v>
      </c>
      <c r="D541" s="78"/>
      <c r="E541" s="1480">
        <v>7.65</v>
      </c>
    </row>
    <row r="542" spans="1:5">
      <c r="A542" s="75">
        <v>38386</v>
      </c>
      <c r="B542" s="76" t="str">
        <f>B541</f>
        <v>Alimentacao</v>
      </c>
      <c r="C542" s="1314"/>
      <c r="D542" s="78"/>
      <c r="E542" s="1480">
        <v>2.35</v>
      </c>
    </row>
    <row r="543" spans="1:5">
      <c r="A543" s="75">
        <v>38389</v>
      </c>
      <c r="B543" s="76" t="str">
        <f>B540</f>
        <v>Saques</v>
      </c>
      <c r="C543" s="1314" t="s">
        <v>1706</v>
      </c>
      <c r="D543" s="78">
        <v>30</v>
      </c>
      <c r="E543" s="1480"/>
    </row>
    <row r="544" spans="1:5">
      <c r="A544" s="75">
        <v>38389</v>
      </c>
      <c r="B544" s="76" t="str">
        <f>TiposLancamentos!B72</f>
        <v>Presentes</v>
      </c>
      <c r="C544" s="1314" t="s">
        <v>2786</v>
      </c>
      <c r="D544" s="78"/>
      <c r="E544" s="1480">
        <v>5</v>
      </c>
    </row>
    <row r="545" spans="1:5">
      <c r="A545" s="75">
        <v>38389</v>
      </c>
      <c r="B545" s="76" t="str">
        <f>B541</f>
        <v>Alimentacao</v>
      </c>
      <c r="C545" s="1314"/>
      <c r="D545" s="78"/>
      <c r="E545" s="1480">
        <v>7.2</v>
      </c>
    </row>
    <row r="546" spans="1:5">
      <c r="A546" s="75">
        <v>38389</v>
      </c>
      <c r="B546" s="76" t="str">
        <f>B539</f>
        <v>Cristiane</v>
      </c>
      <c r="C546" s="1314" t="s">
        <v>2787</v>
      </c>
      <c r="D546" s="78"/>
      <c r="E546" s="1480">
        <v>4.8</v>
      </c>
    </row>
    <row r="547" spans="1:5">
      <c r="A547" s="75">
        <v>38391</v>
      </c>
      <c r="B547" s="76" t="str">
        <f>TiposLancamentos!B56</f>
        <v>Farmácia</v>
      </c>
      <c r="C547" s="1314" t="s">
        <v>2788</v>
      </c>
      <c r="D547" s="78"/>
      <c r="E547" s="1480">
        <v>6.34</v>
      </c>
    </row>
    <row r="548" spans="1:5">
      <c r="A548" s="75">
        <v>38392</v>
      </c>
      <c r="B548" s="76" t="str">
        <f>B539</f>
        <v>Cristiane</v>
      </c>
      <c r="C548" s="1314" t="s">
        <v>2789</v>
      </c>
      <c r="D548" s="78"/>
      <c r="E548" s="1480">
        <v>6.66</v>
      </c>
    </row>
    <row r="549" spans="1:5">
      <c r="A549" s="75">
        <v>38394</v>
      </c>
      <c r="B549" s="76" t="str">
        <f>B536</f>
        <v>Saques</v>
      </c>
      <c r="C549" s="1314" t="s">
        <v>2668</v>
      </c>
      <c r="D549" s="78">
        <v>10</v>
      </c>
      <c r="E549" s="1480"/>
    </row>
    <row r="550" spans="1:5">
      <c r="A550" s="75">
        <v>38394</v>
      </c>
      <c r="B550" s="76" t="str">
        <f>TiposLancamentos!B59</f>
        <v>Documentos</v>
      </c>
      <c r="C550" s="1314" t="s">
        <v>2790</v>
      </c>
      <c r="D550" s="78"/>
      <c r="E550" s="1480">
        <v>1.8</v>
      </c>
    </row>
    <row r="551" spans="1:5">
      <c r="A551" s="75">
        <v>38394</v>
      </c>
      <c r="B551" s="76" t="str">
        <f>TiposLancamentos!B60</f>
        <v>Correio</v>
      </c>
      <c r="C551" s="1314" t="s">
        <v>2791</v>
      </c>
      <c r="D551" s="78"/>
      <c r="E551" s="1480">
        <v>3.2</v>
      </c>
    </row>
    <row r="552" spans="1:5">
      <c r="A552" s="75">
        <v>38394</v>
      </c>
      <c r="B552" s="76" t="str">
        <f>B542</f>
        <v>Alimentacao</v>
      </c>
      <c r="C552" s="1314" t="s">
        <v>2683</v>
      </c>
      <c r="D552" s="78"/>
      <c r="E552" s="1480">
        <v>4</v>
      </c>
    </row>
    <row r="553" spans="1:5">
      <c r="A553" s="75">
        <v>38394</v>
      </c>
      <c r="B553" s="76" t="str">
        <f>B533</f>
        <v>Cristiane</v>
      </c>
      <c r="C553" s="1314" t="s">
        <v>2783</v>
      </c>
      <c r="D553" s="78">
        <v>2</v>
      </c>
      <c r="E553" s="1480"/>
    </row>
    <row r="554" spans="1:5">
      <c r="A554" s="75">
        <v>38394</v>
      </c>
      <c r="B554" s="76" t="str">
        <f>TiposLancamentos!B56</f>
        <v>Farmácia</v>
      </c>
      <c r="C554" s="1314" t="s">
        <v>1775</v>
      </c>
      <c r="D554" s="78"/>
      <c r="E554" s="1480">
        <v>2.2000000000000002</v>
      </c>
    </row>
    <row r="555" spans="1:5">
      <c r="A555" s="75">
        <v>38394</v>
      </c>
      <c r="B555" s="76" t="str">
        <f>B553</f>
        <v>Cristiane</v>
      </c>
      <c r="C555" s="1314" t="s">
        <v>2783</v>
      </c>
      <c r="D555" s="78"/>
      <c r="E555" s="1480">
        <v>0.8</v>
      </c>
    </row>
    <row r="556" spans="1:5">
      <c r="A556" s="75">
        <v>38395</v>
      </c>
      <c r="B556" s="76" t="str">
        <f>TiposLancamentos!B101</f>
        <v>Troco de Vr</v>
      </c>
      <c r="C556" s="1314" t="s">
        <v>2792</v>
      </c>
      <c r="D556" s="78">
        <v>1.6</v>
      </c>
      <c r="E556" s="1480"/>
    </row>
    <row r="557" spans="1:5">
      <c r="A557" s="75">
        <v>38395</v>
      </c>
      <c r="B557" s="76" t="str">
        <f>TiposLancamentos!B16</f>
        <v>Cristiane</v>
      </c>
      <c r="C557" s="1314" t="s">
        <v>2793</v>
      </c>
      <c r="D557" s="78"/>
      <c r="E557" s="1480">
        <v>1.1000000000000001</v>
      </c>
    </row>
    <row r="558" spans="1:5" ht="13.5" customHeight="1">
      <c r="A558" s="75">
        <v>38396</v>
      </c>
      <c r="B558" s="76" t="str">
        <f>TiposLancamentos!B18</f>
        <v>Alimentacao</v>
      </c>
      <c r="C558" s="1314" t="s">
        <v>2698</v>
      </c>
      <c r="D558" s="78"/>
      <c r="E558" s="1480">
        <v>0.5</v>
      </c>
    </row>
    <row r="559" spans="1:5">
      <c r="A559" s="75">
        <v>38397</v>
      </c>
      <c r="B559" s="76" t="str">
        <f>TiposLancamentos!B20</f>
        <v>Saques</v>
      </c>
      <c r="C559" s="1314" t="s">
        <v>2794</v>
      </c>
      <c r="D559" s="78">
        <v>15</v>
      </c>
      <c r="E559" s="1480"/>
    </row>
    <row r="560" spans="1:5">
      <c r="A560" s="75">
        <v>38397</v>
      </c>
      <c r="B560" s="76" t="str">
        <f>TiposLancamentos!B16</f>
        <v>Cristiane</v>
      </c>
      <c r="C560" s="1314" t="s">
        <v>1698</v>
      </c>
      <c r="D560" s="78"/>
      <c r="E560" s="1480">
        <v>15</v>
      </c>
    </row>
    <row r="561" spans="1:5">
      <c r="A561" s="75">
        <v>38401</v>
      </c>
      <c r="B561" s="76" t="str">
        <f>TiposLancamentos!B20</f>
        <v>Saques</v>
      </c>
      <c r="C561" s="1314" t="s">
        <v>2668</v>
      </c>
      <c r="D561" s="78">
        <v>10</v>
      </c>
      <c r="E561" s="1480"/>
    </row>
    <row r="562" spans="1:5">
      <c r="A562" s="75">
        <v>38401</v>
      </c>
      <c r="B562" s="76" t="str">
        <f>TiposLancamentos!B18</f>
        <v>Alimentacao</v>
      </c>
      <c r="C562" s="1314" t="s">
        <v>2701</v>
      </c>
      <c r="D562" s="78"/>
      <c r="E562" s="1480">
        <v>4.45</v>
      </c>
    </row>
    <row r="563" spans="1:5">
      <c r="A563" s="75">
        <v>38402</v>
      </c>
      <c r="B563" s="76" t="str">
        <f>TiposLancamentos!B20</f>
        <v>Saques</v>
      </c>
      <c r="C563" s="1314" t="s">
        <v>2668</v>
      </c>
      <c r="D563" s="78">
        <v>20</v>
      </c>
      <c r="E563" s="1480"/>
    </row>
    <row r="564" spans="1:5">
      <c r="A564" s="75">
        <v>38402</v>
      </c>
      <c r="B564" s="76" t="str">
        <f>TiposLancamentos!B60</f>
        <v>Correio</v>
      </c>
      <c r="C564" s="1314" t="s">
        <v>2795</v>
      </c>
      <c r="D564" s="78"/>
      <c r="E564" s="1480">
        <v>0.8</v>
      </c>
    </row>
    <row r="565" spans="1:5">
      <c r="A565" s="75">
        <v>38402</v>
      </c>
      <c r="B565" s="76" t="str">
        <f>TiposLancamentos!B71</f>
        <v>Itens Pessoais</v>
      </c>
      <c r="C565" s="1314" t="s">
        <v>2594</v>
      </c>
      <c r="D565" s="78"/>
      <c r="E565" s="1480">
        <v>11</v>
      </c>
    </row>
    <row r="566" spans="1:5">
      <c r="A566" s="75">
        <v>38402</v>
      </c>
      <c r="B566" s="76" t="str">
        <f>TiposLancamentos!B18</f>
        <v>Alimentacao</v>
      </c>
      <c r="C566" s="1314" t="s">
        <v>2796</v>
      </c>
      <c r="D566" s="78"/>
      <c r="E566" s="1480">
        <v>7.3</v>
      </c>
    </row>
    <row r="567" spans="1:5">
      <c r="A567" s="75">
        <v>38402</v>
      </c>
      <c r="B567" s="76" t="str">
        <f>TiposLancamentos!B13</f>
        <v>Moradia</v>
      </c>
      <c r="C567" s="1314" t="s">
        <v>2735</v>
      </c>
      <c r="D567" s="78"/>
      <c r="E567" s="1480">
        <v>3</v>
      </c>
    </row>
    <row r="568" spans="1:5">
      <c r="A568" s="75">
        <v>38402</v>
      </c>
      <c r="B568" s="76" t="str">
        <f>TiposLancamentos!B16</f>
        <v>Cristiane</v>
      </c>
      <c r="C568" s="1314" t="s">
        <v>2797</v>
      </c>
      <c r="D568" s="78"/>
      <c r="E568" s="1480">
        <v>3</v>
      </c>
    </row>
    <row r="569" spans="1:5">
      <c r="A569" s="75">
        <v>38404</v>
      </c>
      <c r="B569" s="76" t="str">
        <f>B563</f>
        <v>Saques</v>
      </c>
      <c r="C569" s="1314" t="s">
        <v>1698</v>
      </c>
      <c r="D569" s="78">
        <v>10</v>
      </c>
      <c r="E569" s="1480"/>
    </row>
    <row r="570" spans="1:5">
      <c r="A570" s="75">
        <v>38404</v>
      </c>
      <c r="B570" s="76" t="str">
        <f>TiposLancamentos!B16</f>
        <v>Cristiane</v>
      </c>
      <c r="C570" s="1314" t="s">
        <v>1698</v>
      </c>
      <c r="D570" s="78"/>
      <c r="E570" s="1480">
        <v>10</v>
      </c>
    </row>
    <row r="571" spans="1:5">
      <c r="A571" s="75">
        <v>38406</v>
      </c>
      <c r="B571" s="76" t="str">
        <f>TiposLancamentos!B20</f>
        <v>Saques</v>
      </c>
      <c r="C571" s="1314" t="s">
        <v>2798</v>
      </c>
      <c r="D571" s="78">
        <v>100</v>
      </c>
      <c r="E571" s="1480"/>
    </row>
    <row r="572" spans="1:5">
      <c r="A572" s="75">
        <v>38406</v>
      </c>
      <c r="B572" s="76" t="str">
        <f>TiposLancamentos!B82</f>
        <v>CG Titan 125</v>
      </c>
      <c r="C572" s="1314" t="s">
        <v>2799</v>
      </c>
      <c r="D572" s="78"/>
      <c r="E572" s="1480">
        <v>83.69</v>
      </c>
    </row>
    <row r="573" spans="1:5">
      <c r="A573" s="75">
        <v>38406</v>
      </c>
      <c r="B573" s="76" t="str">
        <f>TiposLancamentos!B97</f>
        <v>Deposito Terc.</v>
      </c>
      <c r="C573" s="1314" t="s">
        <v>2800</v>
      </c>
      <c r="D573" s="78"/>
      <c r="E573" s="1480">
        <v>10</v>
      </c>
    </row>
    <row r="574" spans="1:5">
      <c r="A574" s="75">
        <v>38406</v>
      </c>
      <c r="B574" s="76" t="str">
        <f>TiposLancamentos!B18</f>
        <v>Alimentacao</v>
      </c>
      <c r="C574" s="1314" t="s">
        <v>2701</v>
      </c>
      <c r="D574" s="78"/>
      <c r="E574" s="1480">
        <v>3.3</v>
      </c>
    </row>
    <row r="575" spans="1:5">
      <c r="A575" s="75">
        <v>38407</v>
      </c>
      <c r="B575" s="76" t="str">
        <f>TiposLancamentos!B16</f>
        <v>Cristiane</v>
      </c>
      <c r="C575" s="1314" t="s">
        <v>1698</v>
      </c>
      <c r="D575" s="78"/>
      <c r="E575" s="1480">
        <v>3.46</v>
      </c>
    </row>
    <row r="576" spans="1:5">
      <c r="A576" s="75">
        <v>38407</v>
      </c>
      <c r="B576" s="76" t="str">
        <f>TiposLancamentos!B20</f>
        <v>Saques</v>
      </c>
      <c r="C576" s="1314" t="s">
        <v>2668</v>
      </c>
      <c r="D576" s="78">
        <v>60</v>
      </c>
      <c r="E576" s="1480"/>
    </row>
    <row r="577" spans="1:5">
      <c r="A577" s="75">
        <v>38407</v>
      </c>
      <c r="B577" s="76" t="str">
        <f>TiposLancamentos!B2</f>
        <v>Telefonia</v>
      </c>
      <c r="C577" s="1314" t="s">
        <v>2731</v>
      </c>
      <c r="D577" s="78"/>
      <c r="E577" s="1480">
        <v>50.6</v>
      </c>
    </row>
    <row r="578" spans="1:5">
      <c r="A578" s="75">
        <v>38407</v>
      </c>
      <c r="B578" s="76" t="str">
        <f>TiposLancamentos!B18</f>
        <v>Alimentacao</v>
      </c>
      <c r="C578" s="1314" t="s">
        <v>2762</v>
      </c>
      <c r="D578" s="78"/>
      <c r="E578" s="1480">
        <v>2.2999999999999998</v>
      </c>
    </row>
    <row r="579" spans="1:5">
      <c r="A579" s="75">
        <v>38408</v>
      </c>
      <c r="B579" s="76" t="str">
        <f>TiposLancamentos!B16</f>
        <v>Cristiane</v>
      </c>
      <c r="C579" s="1314" t="s">
        <v>2801</v>
      </c>
      <c r="D579" s="78"/>
      <c r="E579" s="1480">
        <v>7.1</v>
      </c>
    </row>
    <row r="580" spans="1:5">
      <c r="A580" s="75">
        <v>38409</v>
      </c>
      <c r="B580" s="76" t="str">
        <f>TiposLancamentos!B20</f>
        <v>Saques</v>
      </c>
      <c r="C580" s="1314" t="s">
        <v>2802</v>
      </c>
      <c r="D580" s="78">
        <v>20</v>
      </c>
      <c r="E580" s="1480"/>
    </row>
    <row r="581" spans="1:5">
      <c r="A581" s="75">
        <v>38409</v>
      </c>
      <c r="B581" s="76" t="str">
        <f>TiposLancamentos!B69</f>
        <v>Consertos</v>
      </c>
      <c r="C581" s="1314" t="s">
        <v>2803</v>
      </c>
      <c r="D581" s="78"/>
      <c r="E581" s="1480">
        <v>10</v>
      </c>
    </row>
    <row r="582" spans="1:5">
      <c r="A582" s="75">
        <v>38409</v>
      </c>
      <c r="B582" s="76" t="str">
        <f>TiposLancamentos!B18</f>
        <v>Alimentacao</v>
      </c>
      <c r="C582" s="1314" t="s">
        <v>2804</v>
      </c>
      <c r="D582" s="78"/>
      <c r="E582" s="1480">
        <v>2.6</v>
      </c>
    </row>
    <row r="583" spans="1:5">
      <c r="A583" s="75">
        <v>38409</v>
      </c>
      <c r="B583" s="76" t="str">
        <f>TiposLancamentos!B24</f>
        <v>Estacionamentos</v>
      </c>
      <c r="C583" s="1314" t="s">
        <v>2805</v>
      </c>
      <c r="D583" s="78"/>
      <c r="E583" s="1480">
        <v>0.5</v>
      </c>
    </row>
    <row r="584" spans="1:5">
      <c r="A584" s="75">
        <v>38409</v>
      </c>
      <c r="B584" s="76" t="str">
        <f>TiposLancamentos!B16</f>
        <v>Cristiane</v>
      </c>
      <c r="C584" s="1314" t="s">
        <v>2801</v>
      </c>
      <c r="D584" s="78"/>
      <c r="E584" s="1480">
        <v>6.9</v>
      </c>
    </row>
    <row r="585" spans="1:5">
      <c r="A585" s="75">
        <v>38411</v>
      </c>
      <c r="B585" s="76" t="str">
        <f>TiposLancamentos!B20</f>
        <v>Saques</v>
      </c>
      <c r="C585" s="1314" t="s">
        <v>2668</v>
      </c>
      <c r="D585" s="78">
        <v>10</v>
      </c>
      <c r="E585" s="1480"/>
    </row>
    <row r="586" spans="1:5">
      <c r="A586" s="75">
        <v>38411</v>
      </c>
      <c r="B586" s="76" t="str">
        <f>TiposLancamentos!B18</f>
        <v>Alimentacao</v>
      </c>
      <c r="C586" s="1314" t="s">
        <v>2771</v>
      </c>
      <c r="D586" s="78"/>
      <c r="E586" s="1480">
        <v>1.75</v>
      </c>
    </row>
    <row r="587" spans="1:5">
      <c r="A587" s="75">
        <v>38411</v>
      </c>
      <c r="B587" s="76" t="str">
        <f>TiposLancamentos!B16</f>
        <v>Cristiane</v>
      </c>
      <c r="C587" s="1314" t="s">
        <v>1698</v>
      </c>
      <c r="D587" s="78"/>
      <c r="E587" s="1480">
        <v>8</v>
      </c>
    </row>
    <row r="588" spans="1:5">
      <c r="A588" s="83"/>
      <c r="B588" s="37"/>
      <c r="C588" s="1584" t="s">
        <v>2806</v>
      </c>
      <c r="D588" s="74"/>
      <c r="E588" s="1585"/>
    </row>
    <row r="589" spans="1:5">
      <c r="A589" s="75">
        <v>38412</v>
      </c>
      <c r="B589" s="76" t="str">
        <f>TiposLancamentos!B20</f>
        <v>Saques</v>
      </c>
      <c r="C589" s="1314" t="s">
        <v>2668</v>
      </c>
      <c r="D589" s="78">
        <v>10</v>
      </c>
      <c r="E589" s="1480"/>
    </row>
    <row r="590" spans="1:5">
      <c r="A590" s="75">
        <v>38412</v>
      </c>
      <c r="B590" s="76" t="str">
        <f>TiposLancamentos!B18</f>
        <v>Alimentacao</v>
      </c>
      <c r="C590" s="1314" t="s">
        <v>2635</v>
      </c>
      <c r="D590" s="78"/>
      <c r="E590" s="1480">
        <v>6.7</v>
      </c>
    </row>
    <row r="591" spans="1:5">
      <c r="A591" s="75">
        <v>38412</v>
      </c>
      <c r="B591" s="76" t="str">
        <f>TiposLancamentos!B18</f>
        <v>Alimentacao</v>
      </c>
      <c r="C591" s="1314" t="s">
        <v>2682</v>
      </c>
      <c r="D591" s="78"/>
      <c r="E591" s="1480">
        <v>1.5</v>
      </c>
    </row>
    <row r="592" spans="1:5">
      <c r="A592" s="75">
        <v>38414</v>
      </c>
      <c r="B592" s="76" t="str">
        <f>TiposLancamentos!B16</f>
        <v>Cristiane</v>
      </c>
      <c r="C592" s="1314"/>
      <c r="D592" s="78"/>
      <c r="E592" s="1480">
        <v>2.0499999999999998</v>
      </c>
    </row>
    <row r="593" spans="1:5">
      <c r="A593" s="75">
        <v>38414</v>
      </c>
      <c r="B593" s="76" t="str">
        <f>TiposLancamentos!B20</f>
        <v>Saques</v>
      </c>
      <c r="C593" s="1314" t="s">
        <v>2668</v>
      </c>
      <c r="D593" s="78">
        <v>10</v>
      </c>
      <c r="E593" s="1480"/>
    </row>
    <row r="594" spans="1:5">
      <c r="A594" s="75">
        <v>38414</v>
      </c>
      <c r="B594" s="76" t="str">
        <f>TiposLancamentos!B24</f>
        <v>Estacionamentos</v>
      </c>
      <c r="C594" s="1314" t="s">
        <v>2807</v>
      </c>
      <c r="D594" s="78"/>
      <c r="E594" s="1480">
        <v>3</v>
      </c>
    </row>
    <row r="595" spans="1:5">
      <c r="A595" s="75">
        <v>38414</v>
      </c>
      <c r="B595" s="76" t="str">
        <f>TiposLancamentos!B16</f>
        <v>Cristiane</v>
      </c>
      <c r="C595" s="1314" t="s">
        <v>1698</v>
      </c>
      <c r="D595" s="78"/>
      <c r="E595" s="1480">
        <v>7</v>
      </c>
    </row>
    <row r="596" spans="1:5">
      <c r="A596" s="75">
        <v>38415</v>
      </c>
      <c r="B596" s="76" t="str">
        <f>TiposLancamentos!B20</f>
        <v>Saques</v>
      </c>
      <c r="C596" s="1314" t="s">
        <v>2668</v>
      </c>
      <c r="D596" s="78">
        <v>10</v>
      </c>
      <c r="E596" s="1480"/>
    </row>
    <row r="597" spans="1:5">
      <c r="A597" s="75">
        <v>38415</v>
      </c>
      <c r="B597" s="76" t="str">
        <f>TiposLancamentos!B18</f>
        <v>Alimentacao</v>
      </c>
      <c r="C597" s="1314" t="s">
        <v>2808</v>
      </c>
      <c r="D597" s="78"/>
      <c r="E597" s="1480">
        <v>3.6</v>
      </c>
    </row>
    <row r="598" spans="1:5">
      <c r="A598" s="75">
        <v>38415</v>
      </c>
      <c r="B598" s="76" t="str">
        <f>TiposLancamentos!B18</f>
        <v>Alimentacao</v>
      </c>
      <c r="C598" s="1314" t="s">
        <v>2809</v>
      </c>
      <c r="D598" s="78"/>
      <c r="E598" s="1480">
        <v>1.4</v>
      </c>
    </row>
    <row r="599" spans="1:5">
      <c r="A599" s="75">
        <v>38416</v>
      </c>
      <c r="B599" s="76" t="str">
        <f>TiposLancamentos!B18</f>
        <v>Alimentacao</v>
      </c>
      <c r="C599" s="1314" t="s">
        <v>2810</v>
      </c>
      <c r="D599" s="78"/>
      <c r="E599" s="1480">
        <v>5</v>
      </c>
    </row>
    <row r="600" spans="1:5">
      <c r="A600" s="75">
        <v>38416</v>
      </c>
      <c r="B600" s="76" t="str">
        <f>TiposLancamentos!B20</f>
        <v>Saques</v>
      </c>
      <c r="C600" s="1314" t="s">
        <v>2702</v>
      </c>
      <c r="D600" s="78">
        <v>60</v>
      </c>
      <c r="E600" s="1480"/>
    </row>
    <row r="601" spans="1:5">
      <c r="A601" s="75">
        <v>38416</v>
      </c>
      <c r="B601" s="76" t="str">
        <f>TiposLancamentos!B75</f>
        <v>Shows</v>
      </c>
      <c r="C601" s="1314" t="s">
        <v>2811</v>
      </c>
      <c r="D601" s="78"/>
      <c r="E601" s="1480">
        <v>50</v>
      </c>
    </row>
    <row r="602" spans="1:5">
      <c r="A602" s="75">
        <v>38418</v>
      </c>
      <c r="B602" s="76" t="str">
        <f>TiposLancamentos!B16</f>
        <v>Cristiane</v>
      </c>
      <c r="C602" s="1314" t="s">
        <v>2812</v>
      </c>
      <c r="D602" s="78"/>
      <c r="E602" s="1480">
        <v>10</v>
      </c>
    </row>
    <row r="603" spans="1:5">
      <c r="A603" s="75">
        <v>38421</v>
      </c>
      <c r="B603" s="76" t="str">
        <f>TiposLancamentos!B20</f>
        <v>Saques</v>
      </c>
      <c r="C603" s="1314" t="s">
        <v>2668</v>
      </c>
      <c r="D603" s="78">
        <v>10</v>
      </c>
      <c r="E603" s="1480"/>
    </row>
    <row r="604" spans="1:5">
      <c r="A604" s="75">
        <v>38421</v>
      </c>
      <c r="B604" s="76" t="str">
        <f>TiposLancamentos!B18</f>
        <v>Alimentacao</v>
      </c>
      <c r="C604" s="1314" t="s">
        <v>2683</v>
      </c>
      <c r="D604" s="78"/>
      <c r="E604" s="1480">
        <v>8</v>
      </c>
    </row>
    <row r="605" spans="1:5">
      <c r="A605" s="75">
        <v>38422</v>
      </c>
      <c r="B605" s="76" t="str">
        <f>TiposLancamentos!B56</f>
        <v>Farmácia</v>
      </c>
      <c r="C605" s="1314" t="s">
        <v>2813</v>
      </c>
      <c r="D605" s="78"/>
      <c r="E605" s="1480">
        <v>1.75</v>
      </c>
    </row>
    <row r="606" spans="1:5">
      <c r="A606" s="75">
        <v>38427</v>
      </c>
      <c r="B606" s="76" t="str">
        <f>TiposLancamentos!B20</f>
        <v>Saques</v>
      </c>
      <c r="C606" s="1314" t="s">
        <v>2668</v>
      </c>
      <c r="D606" s="78">
        <v>30</v>
      </c>
      <c r="E606" s="1480"/>
    </row>
    <row r="607" spans="1:5">
      <c r="A607" s="75">
        <v>38427</v>
      </c>
      <c r="B607" s="76" t="str">
        <f>TiposLancamentos!B72</f>
        <v>Presentes</v>
      </c>
      <c r="C607" s="1314" t="s">
        <v>2814</v>
      </c>
      <c r="D607" s="78"/>
      <c r="E607" s="1480">
        <v>20</v>
      </c>
    </row>
    <row r="608" spans="1:5">
      <c r="A608" s="75">
        <v>38427</v>
      </c>
      <c r="B608" s="76" t="str">
        <f>TiposLancamentos!B62</f>
        <v>Papelaria</v>
      </c>
      <c r="C608" s="1314" t="s">
        <v>1787</v>
      </c>
      <c r="D608" s="78"/>
      <c r="E608" s="1480">
        <v>3.25</v>
      </c>
    </row>
    <row r="609" spans="1:5">
      <c r="A609" s="75">
        <v>38428</v>
      </c>
      <c r="B609" s="76" t="str">
        <f>TiposLancamentos!B18</f>
        <v>Alimentacao</v>
      </c>
      <c r="C609" s="1314" t="s">
        <v>2815</v>
      </c>
      <c r="D609" s="78"/>
      <c r="E609" s="1480">
        <v>1.5</v>
      </c>
    </row>
    <row r="610" spans="1:5">
      <c r="A610" s="75">
        <v>38428</v>
      </c>
      <c r="B610" s="76" t="str">
        <f>TiposLancamentos!B18</f>
        <v>Alimentacao</v>
      </c>
      <c r="C610" s="1314" t="s">
        <v>2816</v>
      </c>
      <c r="D610" s="78"/>
      <c r="E610" s="1480">
        <v>3</v>
      </c>
    </row>
    <row r="611" spans="1:5">
      <c r="A611" s="75">
        <v>38429</v>
      </c>
      <c r="B611" s="76" t="str">
        <f>TiposLancamentos!B20</f>
        <v>Saques</v>
      </c>
      <c r="C611" s="1314" t="s">
        <v>2668</v>
      </c>
      <c r="D611" s="78">
        <v>20</v>
      </c>
      <c r="E611" s="1480"/>
    </row>
    <row r="612" spans="1:5">
      <c r="A612" s="75">
        <v>38429</v>
      </c>
      <c r="B612" s="76" t="str">
        <f>TiposLancamentos!B90</f>
        <v>Locadora</v>
      </c>
      <c r="C612" s="1314" t="s">
        <v>1841</v>
      </c>
      <c r="D612" s="78"/>
      <c r="E612" s="1480">
        <v>12</v>
      </c>
    </row>
    <row r="613" spans="1:5">
      <c r="A613" s="75">
        <v>38430</v>
      </c>
      <c r="B613" s="76" t="str">
        <f>TiposLancamentos!B5</f>
        <v>Supermercado</v>
      </c>
      <c r="C613" s="1314" t="s">
        <v>2817</v>
      </c>
      <c r="D613" s="78"/>
      <c r="E613" s="1480">
        <v>2.5499999999999998</v>
      </c>
    </row>
    <row r="614" spans="1:5">
      <c r="A614" s="75">
        <v>38431</v>
      </c>
      <c r="B614" s="76" t="str">
        <f>TiposLancamentos!B16</f>
        <v>Cristiane</v>
      </c>
      <c r="C614" s="1314" t="s">
        <v>2818</v>
      </c>
      <c r="D614" s="78"/>
      <c r="E614" s="1480">
        <v>5.5</v>
      </c>
    </row>
    <row r="615" spans="1:5">
      <c r="A615" s="75">
        <v>38432</v>
      </c>
      <c r="B615" s="76" t="str">
        <f>TiposLancamentos!B20</f>
        <v>Saques</v>
      </c>
      <c r="C615" s="1314" t="s">
        <v>2668</v>
      </c>
      <c r="D615" s="78">
        <v>40</v>
      </c>
      <c r="E615" s="1480"/>
    </row>
    <row r="616" spans="1:5">
      <c r="A616" s="75">
        <v>38432</v>
      </c>
      <c r="B616" s="76" t="str">
        <f>TiposLancamentos!B13</f>
        <v>Moradia</v>
      </c>
      <c r="C616" s="1314" t="s">
        <v>1794</v>
      </c>
      <c r="D616" s="78"/>
      <c r="E616" s="1480">
        <v>35</v>
      </c>
    </row>
    <row r="617" spans="1:5">
      <c r="A617" s="75">
        <v>38432</v>
      </c>
      <c r="B617" s="76" t="str">
        <f>TiposLancamentos!B90</f>
        <v>Locadora</v>
      </c>
      <c r="C617" s="1314" t="s">
        <v>1841</v>
      </c>
      <c r="D617" s="78"/>
      <c r="E617" s="1480">
        <v>6</v>
      </c>
    </row>
    <row r="618" spans="1:5">
      <c r="A618" s="75">
        <v>38433</v>
      </c>
      <c r="B618" s="76" t="str">
        <f>TiposLancamentos!B20</f>
        <v>Saques</v>
      </c>
      <c r="C618" s="1314" t="s">
        <v>2668</v>
      </c>
      <c r="D618" s="78">
        <v>10</v>
      </c>
      <c r="E618" s="1480"/>
    </row>
    <row r="619" spans="1:5">
      <c r="A619" s="75">
        <v>38433</v>
      </c>
      <c r="B619" s="76" t="str">
        <f>TiposLancamentos!B18</f>
        <v>Alimentacao</v>
      </c>
      <c r="C619" s="1314" t="s">
        <v>2819</v>
      </c>
      <c r="D619" s="78"/>
      <c r="E619" s="1480">
        <v>3.6</v>
      </c>
    </row>
    <row r="620" spans="1:5">
      <c r="A620" s="75">
        <v>38433</v>
      </c>
      <c r="B620" s="76" t="str">
        <f>TiposLancamentos!B24</f>
        <v>Estacionamentos</v>
      </c>
      <c r="C620" s="1314" t="s">
        <v>2527</v>
      </c>
      <c r="D620" s="78"/>
      <c r="E620" s="1480">
        <v>3</v>
      </c>
    </row>
    <row r="621" spans="1:5">
      <c r="A621" s="75">
        <v>38433</v>
      </c>
      <c r="B621" s="76" t="str">
        <f>TiposLancamentos!B20</f>
        <v>Saques</v>
      </c>
      <c r="C621" s="1314" t="s">
        <v>2820</v>
      </c>
      <c r="D621" s="78">
        <v>250</v>
      </c>
      <c r="E621" s="1480"/>
    </row>
    <row r="622" spans="1:5">
      <c r="A622" s="75">
        <v>38433</v>
      </c>
      <c r="B622" s="76" t="str">
        <f>TiposLancamentos!B71</f>
        <v>Itens Pessoais</v>
      </c>
      <c r="C622" s="1314" t="s">
        <v>2821</v>
      </c>
      <c r="D622" s="78"/>
      <c r="E622" s="1480">
        <v>250</v>
      </c>
    </row>
    <row r="623" spans="1:5">
      <c r="A623" s="75">
        <v>38440</v>
      </c>
      <c r="B623" s="76" t="str">
        <f>TiposLancamentos!B20</f>
        <v>Saques</v>
      </c>
      <c r="C623" s="1314" t="s">
        <v>2668</v>
      </c>
      <c r="D623" s="78">
        <v>20</v>
      </c>
      <c r="E623" s="1480"/>
    </row>
    <row r="624" spans="1:5">
      <c r="A624" s="75">
        <v>38440</v>
      </c>
      <c r="B624" s="76" t="str">
        <f>TiposLancamentos!B60</f>
        <v>Correio</v>
      </c>
      <c r="C624" s="1314" t="s">
        <v>2822</v>
      </c>
      <c r="D624" s="78"/>
      <c r="E624" s="1480">
        <v>7.8</v>
      </c>
    </row>
    <row r="625" spans="1:5">
      <c r="A625" s="75">
        <v>38440</v>
      </c>
      <c r="B625" s="76" t="str">
        <f>TiposLancamentos!B13</f>
        <v>Moradia</v>
      </c>
      <c r="C625" s="1314" t="s">
        <v>2735</v>
      </c>
      <c r="D625" s="78"/>
      <c r="E625" s="1480">
        <v>5</v>
      </c>
    </row>
    <row r="626" spans="1:5">
      <c r="A626" s="75">
        <v>38441</v>
      </c>
      <c r="B626" s="76" t="str">
        <f>TiposLancamentos!B90</f>
        <v>Locadora</v>
      </c>
      <c r="C626" s="1314" t="s">
        <v>1841</v>
      </c>
      <c r="D626" s="78"/>
      <c r="E626" s="1480">
        <v>6</v>
      </c>
    </row>
    <row r="627" spans="1:5">
      <c r="A627" s="75">
        <v>38441</v>
      </c>
      <c r="B627" s="76" t="str">
        <f>TiposLancamentos!B78</f>
        <v>Diferenças</v>
      </c>
      <c r="C627" s="1314" t="s">
        <v>2488</v>
      </c>
      <c r="D627" s="78"/>
      <c r="E627" s="1480">
        <v>4.8499999999999996</v>
      </c>
    </row>
    <row r="628" spans="1:5">
      <c r="A628" s="75">
        <v>38442</v>
      </c>
      <c r="B628" s="76" t="str">
        <f>TiposLancamentos!B18</f>
        <v>Alimentacao</v>
      </c>
      <c r="C628" s="1314" t="s">
        <v>2823</v>
      </c>
      <c r="D628" s="82"/>
      <c r="E628" s="1583">
        <v>0.35</v>
      </c>
    </row>
    <row r="629" spans="1:5">
      <c r="A629" s="83"/>
      <c r="B629" s="37"/>
      <c r="C629" s="1584" t="s">
        <v>2824</v>
      </c>
      <c r="D629" s="78"/>
      <c r="E629" s="1480"/>
    </row>
    <row r="630" spans="1:5">
      <c r="A630" s="75">
        <v>38443</v>
      </c>
      <c r="B630" s="76" t="str">
        <f>TiposLancamentos!B78</f>
        <v>Diferenças</v>
      </c>
      <c r="C630" s="1314" t="s">
        <v>2488</v>
      </c>
      <c r="D630" s="78"/>
      <c r="E630" s="1480">
        <v>8.35</v>
      </c>
    </row>
    <row r="631" spans="1:5">
      <c r="A631" s="75">
        <v>38443</v>
      </c>
      <c r="B631" s="76" t="str">
        <f>TiposLancamentos!B16</f>
        <v>Cristiane</v>
      </c>
      <c r="C631" s="1314" t="s">
        <v>1698</v>
      </c>
      <c r="D631" s="78">
        <v>1</v>
      </c>
      <c r="E631" s="1480"/>
    </row>
    <row r="632" spans="1:5">
      <c r="A632" s="75">
        <v>38443</v>
      </c>
      <c r="B632" s="76" t="str">
        <f>TiposLancamentos!B20</f>
        <v>Saques</v>
      </c>
      <c r="C632" s="1314" t="s">
        <v>2668</v>
      </c>
      <c r="D632" s="78">
        <v>280</v>
      </c>
      <c r="E632" s="1480"/>
    </row>
    <row r="633" spans="1:5">
      <c r="A633" s="75">
        <v>38443</v>
      </c>
      <c r="B633" s="76" t="str">
        <f>TiposLancamentos!B2</f>
        <v>Telefonia</v>
      </c>
      <c r="C633" s="1314" t="s">
        <v>2731</v>
      </c>
      <c r="D633" s="78"/>
      <c r="E633" s="1480">
        <v>41.25</v>
      </c>
    </row>
    <row r="634" spans="1:5">
      <c r="A634" s="75">
        <v>38443</v>
      </c>
      <c r="B634" s="76" t="str">
        <f>TiposLancamentos!B59</f>
        <v>Documentos</v>
      </c>
      <c r="C634" s="1314" t="s">
        <v>2825</v>
      </c>
      <c r="D634" s="78"/>
      <c r="E634" s="1480">
        <v>234.25</v>
      </c>
    </row>
    <row r="635" spans="1:5">
      <c r="A635" s="75">
        <v>38443</v>
      </c>
      <c r="B635" s="76" t="str">
        <f>TiposLancamentos!B61</f>
        <v>Xerox</v>
      </c>
      <c r="C635" s="1314" t="s">
        <v>2826</v>
      </c>
      <c r="D635" s="78"/>
      <c r="E635" s="1480">
        <v>1.8</v>
      </c>
    </row>
    <row r="636" spans="1:5">
      <c r="A636" s="75">
        <v>38443</v>
      </c>
      <c r="B636" s="76" t="str">
        <f>TiposLancamentos!B24</f>
        <v>Estacionamentos</v>
      </c>
      <c r="C636" s="1314" t="s">
        <v>2743</v>
      </c>
      <c r="D636" s="78"/>
      <c r="E636" s="1480">
        <v>3</v>
      </c>
    </row>
    <row r="637" spans="1:5">
      <c r="A637" s="75">
        <v>38443</v>
      </c>
      <c r="B637" s="76" t="str">
        <f>TiposLancamentos!B61</f>
        <v>Xerox</v>
      </c>
      <c r="C637" s="1314" t="s">
        <v>2827</v>
      </c>
      <c r="D637" s="78"/>
      <c r="E637" s="1480">
        <v>0.15</v>
      </c>
    </row>
    <row r="638" spans="1:5">
      <c r="A638" s="75">
        <v>38443</v>
      </c>
      <c r="B638" s="76" t="str">
        <f>TiposLancamentos!B24</f>
        <v>Estacionamentos</v>
      </c>
      <c r="C638" s="1314" t="s">
        <v>2828</v>
      </c>
      <c r="D638" s="78"/>
      <c r="E638" s="1480">
        <v>0.4</v>
      </c>
    </row>
    <row r="639" spans="1:5">
      <c r="A639" s="75">
        <v>38444</v>
      </c>
      <c r="B639" s="76" t="str">
        <f>TiposLancamentos!B20</f>
        <v>Saques</v>
      </c>
      <c r="C639" s="1314" t="s">
        <v>2655</v>
      </c>
      <c r="D639" s="78">
        <v>30</v>
      </c>
      <c r="E639" s="1480"/>
    </row>
    <row r="640" spans="1:5">
      <c r="A640" s="75">
        <v>38444</v>
      </c>
      <c r="B640" s="76" t="str">
        <f>TiposLancamentos!B72</f>
        <v>Presentes</v>
      </c>
      <c r="C640" s="1314" t="s">
        <v>1806</v>
      </c>
      <c r="D640" s="78"/>
      <c r="E640" s="1480">
        <v>16</v>
      </c>
    </row>
    <row r="641" spans="1:5">
      <c r="A641" s="75">
        <v>38444</v>
      </c>
      <c r="B641" s="76" t="str">
        <f>TiposLancamentos!B18</f>
        <v>Alimentacao</v>
      </c>
      <c r="C641" s="1314" t="s">
        <v>2829</v>
      </c>
      <c r="D641" s="78"/>
      <c r="E641" s="1480">
        <v>6</v>
      </c>
    </row>
    <row r="642" spans="1:5">
      <c r="A642" s="75">
        <v>38444</v>
      </c>
      <c r="B642" s="76" t="str">
        <f>TiposLancamentos!B20</f>
        <v>Saques</v>
      </c>
      <c r="C642" s="1314" t="s">
        <v>2668</v>
      </c>
      <c r="D642" s="78">
        <v>20</v>
      </c>
      <c r="E642" s="1480"/>
    </row>
    <row r="643" spans="1:5">
      <c r="A643" s="75">
        <v>38444</v>
      </c>
      <c r="B643" s="76" t="str">
        <f>TiposLancamentos!B16</f>
        <v>Cristiane</v>
      </c>
      <c r="C643" s="1314" t="s">
        <v>1698</v>
      </c>
      <c r="D643" s="78"/>
      <c r="E643" s="1480">
        <v>20</v>
      </c>
    </row>
    <row r="644" spans="1:5">
      <c r="A644" s="75">
        <v>38447</v>
      </c>
      <c r="B644" s="76" t="str">
        <f>TiposLancamentos!B18</f>
        <v>Alimentacao</v>
      </c>
      <c r="C644" s="1314" t="s">
        <v>2830</v>
      </c>
      <c r="D644" s="78"/>
      <c r="E644" s="1480">
        <v>1</v>
      </c>
    </row>
    <row r="645" spans="1:5">
      <c r="A645" s="75">
        <v>38447</v>
      </c>
      <c r="B645" s="76" t="str">
        <f>TiposLancamentos!B101</f>
        <v>Troco de Vr</v>
      </c>
      <c r="C645" s="1314" t="s">
        <v>2831</v>
      </c>
      <c r="D645" s="78">
        <v>5.5</v>
      </c>
      <c r="E645" s="1480"/>
    </row>
    <row r="646" spans="1:5">
      <c r="A646" s="75">
        <v>38447</v>
      </c>
      <c r="B646" s="76" t="str">
        <f>TiposLancamentos!B16</f>
        <v>Cristiane</v>
      </c>
      <c r="C646" s="1314"/>
      <c r="D646" s="78"/>
      <c r="E646" s="1480">
        <v>0.5</v>
      </c>
    </row>
    <row r="647" spans="1:5">
      <c r="A647" s="75">
        <v>38448</v>
      </c>
      <c r="B647" s="76" t="str">
        <f>TiposLancamentos!B74</f>
        <v>Noite</v>
      </c>
      <c r="C647" s="1314" t="s">
        <v>2737</v>
      </c>
      <c r="D647" s="78"/>
      <c r="E647" s="1480">
        <v>5</v>
      </c>
    </row>
    <row r="648" spans="1:5">
      <c r="A648" s="75">
        <v>38448</v>
      </c>
      <c r="B648" s="76" t="str">
        <f>TiposLancamentos!B20</f>
        <v>Saques</v>
      </c>
      <c r="C648" s="1314" t="s">
        <v>2668</v>
      </c>
      <c r="D648" s="78">
        <v>10</v>
      </c>
      <c r="E648" s="1480"/>
    </row>
    <row r="649" spans="1:5">
      <c r="A649" s="75">
        <v>38448</v>
      </c>
      <c r="B649" s="76" t="str">
        <f>TiposLancamentos!B74</f>
        <v>Noite</v>
      </c>
      <c r="C649" s="1314" t="s">
        <v>2737</v>
      </c>
      <c r="D649" s="78"/>
      <c r="E649" s="1480">
        <v>3.67</v>
      </c>
    </row>
    <row r="650" spans="1:5">
      <c r="A650" s="75">
        <v>38448</v>
      </c>
      <c r="B650" s="76" t="str">
        <f>TiposLancamentos!B18</f>
        <v>Alimentacao</v>
      </c>
      <c r="C650" s="1314" t="s">
        <v>2683</v>
      </c>
      <c r="D650" s="78"/>
      <c r="E650" s="1480">
        <v>3.98</v>
      </c>
    </row>
    <row r="651" spans="1:5">
      <c r="A651" s="75">
        <v>38450</v>
      </c>
      <c r="B651" s="76" t="str">
        <f>TiposLancamentos!B24</f>
        <v>Estacionamentos</v>
      </c>
      <c r="C651" s="1314" t="s">
        <v>1714</v>
      </c>
      <c r="D651" s="78"/>
      <c r="E651" s="1480">
        <v>2</v>
      </c>
    </row>
    <row r="652" spans="1:5">
      <c r="A652" s="75">
        <v>38451</v>
      </c>
      <c r="B652" s="76" t="str">
        <f>TiposLancamentos!B20</f>
        <v>Saques</v>
      </c>
      <c r="C652" s="1314" t="s">
        <v>2668</v>
      </c>
      <c r="D652" s="78">
        <v>10</v>
      </c>
      <c r="E652" s="1480"/>
    </row>
    <row r="653" spans="1:5">
      <c r="A653" s="75">
        <v>38451</v>
      </c>
      <c r="B653" s="76" t="str">
        <f>TiposLancamentos!B18</f>
        <v>Alimentacao</v>
      </c>
      <c r="C653" s="1314" t="s">
        <v>2683</v>
      </c>
      <c r="D653" s="78"/>
      <c r="E653" s="1480">
        <v>9</v>
      </c>
    </row>
    <row r="654" spans="1:5">
      <c r="A654" s="75">
        <v>38463</v>
      </c>
      <c r="B654" s="76" t="str">
        <f>TiposLancamentos!B18</f>
        <v>Alimentacao</v>
      </c>
      <c r="C654" s="1314" t="s">
        <v>2819</v>
      </c>
      <c r="D654" s="78"/>
      <c r="E654" s="1480">
        <v>1</v>
      </c>
    </row>
    <row r="655" spans="1:5">
      <c r="A655" s="75">
        <v>38465</v>
      </c>
      <c r="B655" s="76" t="str">
        <f>TiposLancamentos!B20</f>
        <v>Saques</v>
      </c>
      <c r="C655" s="1314" t="s">
        <v>2668</v>
      </c>
      <c r="D655" s="78">
        <v>20</v>
      </c>
      <c r="E655" s="1480"/>
    </row>
    <row r="656" spans="1:5">
      <c r="A656" s="75">
        <v>38465</v>
      </c>
      <c r="B656" s="76" t="str">
        <f>TiposLancamentos!B71</f>
        <v>Itens Pessoais</v>
      </c>
      <c r="C656" s="1314" t="s">
        <v>2594</v>
      </c>
      <c r="D656" s="78"/>
      <c r="E656" s="1480">
        <v>11</v>
      </c>
    </row>
    <row r="657" spans="1:5">
      <c r="A657" s="75">
        <v>38465</v>
      </c>
      <c r="B657" s="76" t="str">
        <f>TiposLancamentos!B18</f>
        <v>Alimentacao</v>
      </c>
      <c r="C657" s="1314" t="s">
        <v>2832</v>
      </c>
      <c r="D657" s="78"/>
      <c r="E657" s="1480">
        <v>7.8</v>
      </c>
    </row>
    <row r="658" spans="1:5">
      <c r="A658" s="75">
        <v>38465</v>
      </c>
      <c r="B658" s="76" t="str">
        <f>TiposLancamentos!B24</f>
        <v>Estacionamentos</v>
      </c>
      <c r="C658" s="1314" t="s">
        <v>2833</v>
      </c>
      <c r="D658" s="78"/>
      <c r="E658" s="1480">
        <v>0.5</v>
      </c>
    </row>
    <row r="659" spans="1:5">
      <c r="A659" s="75">
        <v>38468</v>
      </c>
      <c r="B659" s="76" t="str">
        <f>TiposLancamentos!B20</f>
        <v>Saques</v>
      </c>
      <c r="C659" s="1314" t="s">
        <v>2834</v>
      </c>
      <c r="D659" s="78">
        <v>20</v>
      </c>
      <c r="E659" s="1480"/>
    </row>
    <row r="660" spans="1:5">
      <c r="A660" s="75">
        <v>38448</v>
      </c>
      <c r="B660" s="76" t="str">
        <f>TiposLancamentos!B16</f>
        <v>Cristiane</v>
      </c>
      <c r="C660" s="1314" t="s">
        <v>1698</v>
      </c>
      <c r="D660" s="78"/>
      <c r="E660" s="1480">
        <v>20</v>
      </c>
    </row>
    <row r="661" spans="1:5">
      <c r="A661" s="75">
        <v>38470</v>
      </c>
      <c r="B661" s="76" t="str">
        <f>TiposLancamentos!B100</f>
        <v>Emprestimos</v>
      </c>
      <c r="C661" s="1314" t="s">
        <v>2835</v>
      </c>
      <c r="D661" s="78">
        <v>1</v>
      </c>
      <c r="E661" s="1480"/>
    </row>
    <row r="662" spans="1:5">
      <c r="A662" s="75">
        <v>38470</v>
      </c>
      <c r="B662" s="76" t="str">
        <f>TiposLancamentos!B18</f>
        <v>Alimentacao</v>
      </c>
      <c r="C662" s="1314" t="s">
        <v>2566</v>
      </c>
      <c r="D662" s="78"/>
      <c r="E662" s="1480">
        <v>1.6</v>
      </c>
    </row>
    <row r="663" spans="1:5">
      <c r="A663" s="75">
        <v>38471</v>
      </c>
      <c r="B663" s="76" t="str">
        <f>TiposLancamentos!B24</f>
        <v>Estacionamentos</v>
      </c>
      <c r="C663" s="1314" t="s">
        <v>2828</v>
      </c>
      <c r="D663" s="78"/>
      <c r="E663" s="1480">
        <v>0.1</v>
      </c>
    </row>
    <row r="664" spans="1:5">
      <c r="A664" s="83"/>
      <c r="B664" s="37"/>
      <c r="C664" s="1584" t="s">
        <v>2836</v>
      </c>
      <c r="D664" s="74"/>
      <c r="E664" s="1585"/>
    </row>
    <row r="665" spans="1:5">
      <c r="A665" s="75">
        <v>38473</v>
      </c>
      <c r="B665" s="76" t="str">
        <f>TiposLancamentos!B78</f>
        <v>Diferenças</v>
      </c>
      <c r="C665" s="1314" t="s">
        <v>2837</v>
      </c>
      <c r="D665" s="78"/>
      <c r="E665" s="1480">
        <v>0.05</v>
      </c>
    </row>
    <row r="666" spans="1:5">
      <c r="A666" s="75">
        <v>38473</v>
      </c>
      <c r="B666" s="76" t="str">
        <f>TiposLancamentos!B20</f>
        <v>Saques</v>
      </c>
      <c r="C666" s="1314" t="s">
        <v>2838</v>
      </c>
      <c r="D666" s="78">
        <v>10</v>
      </c>
      <c r="E666" s="1480"/>
    </row>
    <row r="667" spans="1:5">
      <c r="A667" s="75">
        <v>38473</v>
      </c>
      <c r="B667" s="76" t="str">
        <f>TiposLancamentos!B18</f>
        <v>Alimentacao</v>
      </c>
      <c r="C667" s="1314" t="s">
        <v>2839</v>
      </c>
      <c r="D667" s="78"/>
      <c r="E667" s="1480">
        <v>9.35</v>
      </c>
    </row>
    <row r="668" spans="1:5">
      <c r="A668" s="75">
        <v>38478</v>
      </c>
      <c r="B668" s="76" t="str">
        <f>TiposLancamentos!B101</f>
        <v>Troco de Vr</v>
      </c>
      <c r="C668" s="1314" t="s">
        <v>2840</v>
      </c>
      <c r="D668" s="78">
        <v>0.8</v>
      </c>
      <c r="E668" s="1480"/>
    </row>
    <row r="669" spans="1:5">
      <c r="A669" s="75">
        <v>38479</v>
      </c>
      <c r="B669" s="76" t="str">
        <f>TiposLancamentos!B18</f>
        <v>Alimentacao</v>
      </c>
      <c r="C669" s="1314" t="s">
        <v>2683</v>
      </c>
      <c r="D669" s="78"/>
      <c r="E669" s="1480">
        <v>1.45</v>
      </c>
    </row>
    <row r="670" spans="1:5">
      <c r="A670" s="75">
        <v>38490</v>
      </c>
      <c r="B670" s="76" t="str">
        <f>TiposLancamentos!B20</f>
        <v>Saques</v>
      </c>
      <c r="C670" s="1314" t="s">
        <v>2841</v>
      </c>
      <c r="D670" s="78">
        <v>10</v>
      </c>
      <c r="E670" s="1480"/>
    </row>
    <row r="671" spans="1:5">
      <c r="A671" s="75">
        <v>38490</v>
      </c>
      <c r="B671" s="76" t="str">
        <f>TiposLancamentos!B59</f>
        <v>Documentos</v>
      </c>
      <c r="C671" s="1314" t="s">
        <v>2842</v>
      </c>
      <c r="D671" s="78"/>
      <c r="E671" s="1480">
        <v>7.7</v>
      </c>
    </row>
    <row r="672" spans="1:5">
      <c r="A672" s="75">
        <v>38490</v>
      </c>
      <c r="B672" s="76" t="str">
        <f>TiposLancamentos!B100</f>
        <v>Emprestimos</v>
      </c>
      <c r="C672" s="1314" t="s">
        <v>2843</v>
      </c>
      <c r="D672" s="78"/>
      <c r="E672" s="1480">
        <v>1.7</v>
      </c>
    </row>
    <row r="673" spans="1:5">
      <c r="A673" s="75">
        <v>38491</v>
      </c>
      <c r="B673" s="76" t="str">
        <f>TiposLancamentos!B20</f>
        <v>Saques</v>
      </c>
      <c r="C673" s="1314" t="s">
        <v>2844</v>
      </c>
      <c r="D673" s="78">
        <v>20</v>
      </c>
      <c r="E673" s="1480"/>
    </row>
    <row r="674" spans="1:5">
      <c r="A674" s="75">
        <v>38491</v>
      </c>
      <c r="B674" s="76" t="str">
        <f>TiposLancamentos!B74</f>
        <v>Noite</v>
      </c>
      <c r="C674" s="1314" t="s">
        <v>2644</v>
      </c>
      <c r="D674" s="78"/>
      <c r="E674" s="1480">
        <v>9.5</v>
      </c>
    </row>
    <row r="675" spans="1:5">
      <c r="A675" s="75">
        <v>38492</v>
      </c>
      <c r="B675" s="76" t="str">
        <f>TiposLancamentos!B6</f>
        <v>Energia Eletrica</v>
      </c>
      <c r="C675" s="1314" t="s">
        <v>2845</v>
      </c>
      <c r="D675" s="78"/>
      <c r="E675" s="1480">
        <v>11.1</v>
      </c>
    </row>
    <row r="676" spans="1:5">
      <c r="A676" s="75">
        <v>38493</v>
      </c>
      <c r="B676" s="76" t="str">
        <f>TiposLancamentos!B20</f>
        <v>Saques</v>
      </c>
      <c r="C676" s="1314" t="s">
        <v>2668</v>
      </c>
      <c r="D676" s="78">
        <v>20</v>
      </c>
      <c r="E676" s="1480"/>
    </row>
    <row r="677" spans="1:5">
      <c r="A677" s="75">
        <v>38493</v>
      </c>
      <c r="B677" s="76" t="str">
        <f>TiposLancamentos!B18</f>
        <v>Alimentacao</v>
      </c>
      <c r="C677" s="1314" t="s">
        <v>2683</v>
      </c>
      <c r="D677" s="78"/>
      <c r="E677" s="1480">
        <v>1.8</v>
      </c>
    </row>
    <row r="678" spans="1:5">
      <c r="A678" s="75">
        <v>38493</v>
      </c>
      <c r="B678" s="76" t="str">
        <f>TiposLancamentos!B90</f>
        <v>Locadora</v>
      </c>
      <c r="C678" s="1314" t="s">
        <v>1841</v>
      </c>
      <c r="D678" s="78"/>
      <c r="E678" s="1480">
        <v>14</v>
      </c>
    </row>
    <row r="679" spans="1:5">
      <c r="A679" s="75">
        <v>38493</v>
      </c>
      <c r="B679" s="76" t="str">
        <f>TiposLancamentos!B17</f>
        <v>GATO</v>
      </c>
      <c r="C679" s="1314" t="s">
        <v>2846</v>
      </c>
      <c r="D679" s="78"/>
      <c r="E679" s="1480">
        <v>4.2</v>
      </c>
    </row>
    <row r="680" spans="1:5">
      <c r="A680" s="75">
        <v>38496</v>
      </c>
      <c r="B680" s="76" t="str">
        <f>TiposLancamentos!B20</f>
        <v>Saques</v>
      </c>
      <c r="C680" s="1314" t="s">
        <v>2847</v>
      </c>
      <c r="D680" s="78">
        <v>7.1</v>
      </c>
      <c r="E680" s="1480"/>
    </row>
    <row r="681" spans="1:5">
      <c r="A681" s="75">
        <v>38496</v>
      </c>
      <c r="B681" s="76" t="str">
        <f>TiposLancamentos!B18</f>
        <v>Alimentacao</v>
      </c>
      <c r="C681" s="1314" t="s">
        <v>2819</v>
      </c>
      <c r="D681" s="78"/>
      <c r="E681" s="1480">
        <v>2.4</v>
      </c>
    </row>
    <row r="682" spans="1:5">
      <c r="A682" s="75">
        <v>38496</v>
      </c>
      <c r="B682" s="76" t="str">
        <f>TiposLancamentos!B18</f>
        <v>Alimentacao</v>
      </c>
      <c r="C682" s="1314" t="s">
        <v>2566</v>
      </c>
      <c r="D682" s="78"/>
      <c r="E682" s="1480">
        <v>2.7</v>
      </c>
    </row>
    <row r="683" spans="1:5">
      <c r="A683" s="75">
        <v>38497</v>
      </c>
      <c r="B683" s="76" t="str">
        <f>TiposLancamentos!B18</f>
        <v>Alimentacao</v>
      </c>
      <c r="C683" s="1314" t="s">
        <v>2848</v>
      </c>
      <c r="D683" s="78"/>
      <c r="E683" s="1480">
        <v>1.45</v>
      </c>
    </row>
    <row r="684" spans="1:5">
      <c r="A684" s="79">
        <v>38503</v>
      </c>
      <c r="B684" s="80" t="str">
        <f>TiposLancamentos!B18</f>
        <v>Alimentacao</v>
      </c>
      <c r="C684" s="1586" t="s">
        <v>2848</v>
      </c>
      <c r="D684" s="82"/>
      <c r="E684" s="1583">
        <v>0.5</v>
      </c>
    </row>
    <row r="685" spans="1:5">
      <c r="A685" s="83"/>
      <c r="B685" s="37"/>
      <c r="C685" s="1584" t="s">
        <v>2849</v>
      </c>
      <c r="D685" s="78"/>
      <c r="E685" s="1480"/>
    </row>
    <row r="686" spans="1:5">
      <c r="A686" s="75">
        <v>38505</v>
      </c>
      <c r="B686" s="76" t="str">
        <f>TiposLancamentos!B20</f>
        <v>Saques</v>
      </c>
      <c r="C686" s="1314" t="s">
        <v>2850</v>
      </c>
      <c r="D686" s="78">
        <v>30</v>
      </c>
      <c r="E686" s="1480"/>
    </row>
    <row r="687" spans="1:5">
      <c r="A687" s="75">
        <v>38505</v>
      </c>
      <c r="B687" s="76" t="str">
        <f>TiposLancamentos!B16</f>
        <v>Cristiane</v>
      </c>
      <c r="C687" s="1314" t="s">
        <v>2851</v>
      </c>
      <c r="D687" s="78"/>
      <c r="E687" s="1480">
        <v>10</v>
      </c>
    </row>
    <row r="688" spans="1:5">
      <c r="A688" s="75">
        <v>38505</v>
      </c>
      <c r="B688" s="76" t="str">
        <f>TiposLancamentos!B74</f>
        <v>Noite</v>
      </c>
      <c r="C688" s="1314" t="s">
        <v>2644</v>
      </c>
      <c r="D688" s="78"/>
      <c r="E688" s="1480">
        <v>7</v>
      </c>
    </row>
    <row r="689" spans="1:5">
      <c r="A689" s="75">
        <v>38506</v>
      </c>
      <c r="B689" s="76" t="str">
        <f>TiposLancamentos!B16</f>
        <v>Cristiane</v>
      </c>
      <c r="C689" s="1314" t="s">
        <v>2851</v>
      </c>
      <c r="D689" s="78"/>
      <c r="E689" s="1480">
        <v>10</v>
      </c>
    </row>
    <row r="690" spans="1:5">
      <c r="A690" s="75">
        <v>38506</v>
      </c>
      <c r="B690" s="76" t="str">
        <f>TiposLancamentos!B100</f>
        <v>Emprestimos</v>
      </c>
      <c r="C690" s="1314" t="s">
        <v>2852</v>
      </c>
      <c r="D690" s="78"/>
      <c r="E690" s="1480">
        <v>3</v>
      </c>
    </row>
    <row r="691" spans="1:5">
      <c r="A691" s="75">
        <v>38507</v>
      </c>
      <c r="B691" s="76" t="str">
        <f>TiposLancamentos!B16</f>
        <v>Cristiane</v>
      </c>
      <c r="C691" s="1314" t="s">
        <v>2853</v>
      </c>
      <c r="D691" s="78">
        <v>34.65</v>
      </c>
      <c r="E691" s="1480"/>
    </row>
    <row r="692" spans="1:5">
      <c r="A692" s="75">
        <v>38508</v>
      </c>
      <c r="B692" s="76" t="str">
        <f>TiposLancamentos!B18</f>
        <v>Alimentacao</v>
      </c>
      <c r="C692" s="1314" t="s">
        <v>2854</v>
      </c>
      <c r="D692" s="78"/>
      <c r="E692" s="1480">
        <v>6</v>
      </c>
    </row>
    <row r="693" spans="1:5">
      <c r="A693" s="75">
        <v>38508</v>
      </c>
      <c r="B693" s="76" t="str">
        <f>TiposLancamentos!B18</f>
        <v>Alimentacao</v>
      </c>
      <c r="C693" s="1314" t="s">
        <v>2855</v>
      </c>
      <c r="D693" s="78"/>
      <c r="E693" s="1480">
        <v>4</v>
      </c>
    </row>
    <row r="694" spans="1:5">
      <c r="A694" s="75">
        <v>38508</v>
      </c>
      <c r="B694" s="76" t="str">
        <f>TiposLancamentos!B18</f>
        <v>Alimentacao</v>
      </c>
      <c r="C694" s="1314" t="s">
        <v>2856</v>
      </c>
      <c r="D694" s="78"/>
      <c r="E694" s="1480">
        <v>6</v>
      </c>
    </row>
    <row r="695" spans="1:5">
      <c r="A695" s="75">
        <v>38508</v>
      </c>
      <c r="B695" s="76" t="str">
        <f>TiposLancamentos!B24</f>
        <v>Estacionamentos</v>
      </c>
      <c r="C695" s="1314" t="s">
        <v>2743</v>
      </c>
      <c r="D695" s="78"/>
      <c r="E695" s="1480">
        <v>3</v>
      </c>
    </row>
    <row r="696" spans="1:5">
      <c r="A696" s="75">
        <v>38508</v>
      </c>
      <c r="B696" s="76" t="str">
        <f>TiposLancamentos!B98</f>
        <v>Restituições</v>
      </c>
      <c r="C696" s="1314" t="s">
        <v>2857</v>
      </c>
      <c r="D696" s="78">
        <v>10</v>
      </c>
      <c r="E696" s="1480"/>
    </row>
    <row r="697" spans="1:5">
      <c r="A697" s="75">
        <v>38508</v>
      </c>
      <c r="B697" s="76" t="str">
        <f>TiposLancamentos!B18</f>
        <v>Alimentacao</v>
      </c>
      <c r="C697" s="1314" t="s">
        <v>2683</v>
      </c>
      <c r="D697" s="78"/>
      <c r="E697" s="1480">
        <v>8</v>
      </c>
    </row>
    <row r="698" spans="1:5">
      <c r="A698" s="75">
        <v>38509</v>
      </c>
      <c r="B698" s="76" t="str">
        <f>TiposLancamentos!B16</f>
        <v>Cristiane</v>
      </c>
      <c r="C698" s="1314" t="s">
        <v>2801</v>
      </c>
      <c r="D698" s="78"/>
      <c r="E698" s="1480">
        <v>7.15</v>
      </c>
    </row>
    <row r="699" spans="1:5">
      <c r="A699" s="75">
        <v>38509</v>
      </c>
      <c r="B699" s="76" t="str">
        <f>TiposLancamentos!B90</f>
        <v>Locadora</v>
      </c>
      <c r="C699" s="1314" t="s">
        <v>2858</v>
      </c>
      <c r="D699" s="78"/>
      <c r="E699" s="1480">
        <v>6</v>
      </c>
    </row>
    <row r="700" spans="1:5">
      <c r="A700" s="75">
        <v>38510</v>
      </c>
      <c r="B700" s="76" t="str">
        <f>TiposLancamentos!B90</f>
        <v>Locadora</v>
      </c>
      <c r="C700" s="1314" t="s">
        <v>2859</v>
      </c>
      <c r="D700" s="78"/>
      <c r="E700" s="1480">
        <v>4.5</v>
      </c>
    </row>
    <row r="701" spans="1:5">
      <c r="A701" s="75">
        <v>38513</v>
      </c>
      <c r="B701" s="76" t="str">
        <f>TiposLancamentos!B16</f>
        <v>Cristiane</v>
      </c>
      <c r="C701" s="1314" t="s">
        <v>2860</v>
      </c>
      <c r="D701" s="78">
        <v>3</v>
      </c>
      <c r="E701" s="1480"/>
    </row>
    <row r="702" spans="1:5">
      <c r="A702" s="75">
        <v>38513</v>
      </c>
      <c r="B702" s="76" t="str">
        <f>TiposLancamentos!B18</f>
        <v>Alimentacao</v>
      </c>
      <c r="C702" s="1314" t="s">
        <v>2861</v>
      </c>
      <c r="D702" s="78"/>
      <c r="E702" s="1480">
        <v>1.6</v>
      </c>
    </row>
    <row r="703" spans="1:5">
      <c r="A703" s="75">
        <v>38513</v>
      </c>
      <c r="B703" s="76" t="str">
        <f>TiposLancamentos!B18</f>
        <v>Alimentacao</v>
      </c>
      <c r="C703" s="1314" t="s">
        <v>2862</v>
      </c>
      <c r="D703" s="78"/>
      <c r="E703" s="1480">
        <v>1.4</v>
      </c>
    </row>
    <row r="704" spans="1:5">
      <c r="A704" s="75">
        <v>38520</v>
      </c>
      <c r="B704" s="76" t="str">
        <f>TiposLancamentos!B16</f>
        <v>Cristiane</v>
      </c>
      <c r="C704" s="1314" t="s">
        <v>2863</v>
      </c>
      <c r="D704" s="78">
        <v>15.56</v>
      </c>
      <c r="E704" s="1480"/>
    </row>
    <row r="705" spans="1:5">
      <c r="A705" s="75">
        <v>38520</v>
      </c>
      <c r="B705" s="76" t="str">
        <f>TiposLancamentos!B5</f>
        <v>Supermercado</v>
      </c>
      <c r="C705" s="1314" t="s">
        <v>2567</v>
      </c>
      <c r="D705" s="78"/>
      <c r="E705" s="1480">
        <v>15.56</v>
      </c>
    </row>
    <row r="706" spans="1:5">
      <c r="A706" s="75">
        <v>38521</v>
      </c>
      <c r="B706" s="76" t="str">
        <f>TiposLancamentos!B16</f>
        <v>Cristiane</v>
      </c>
      <c r="C706" s="1314" t="s">
        <v>1698</v>
      </c>
      <c r="D706" s="78">
        <v>11</v>
      </c>
      <c r="E706" s="1480"/>
    </row>
    <row r="707" spans="1:5">
      <c r="A707" s="75">
        <v>38521</v>
      </c>
      <c r="B707" s="76" t="str">
        <f>TiposLancamentos!B71</f>
        <v>Itens Pessoais</v>
      </c>
      <c r="C707" s="1314" t="s">
        <v>2594</v>
      </c>
      <c r="D707" s="78"/>
      <c r="E707" s="1480">
        <v>11</v>
      </c>
    </row>
    <row r="708" spans="1:5">
      <c r="A708" s="75">
        <v>38523</v>
      </c>
      <c r="B708" s="76" t="str">
        <f>TiposLancamentos!B16</f>
        <v>Cristiane</v>
      </c>
      <c r="C708" s="1314" t="s">
        <v>2864</v>
      </c>
      <c r="D708" s="78">
        <v>100</v>
      </c>
      <c r="E708" s="1480"/>
    </row>
    <row r="709" spans="1:5">
      <c r="A709" s="75">
        <v>38523</v>
      </c>
      <c r="B709" s="76" t="str">
        <f>TiposLancamentos!B6</f>
        <v>Energia Eletrica</v>
      </c>
      <c r="C709" s="1314" t="s">
        <v>2865</v>
      </c>
      <c r="D709" s="78"/>
      <c r="E709" s="1480">
        <v>61.12</v>
      </c>
    </row>
    <row r="710" spans="1:5">
      <c r="A710" s="75">
        <v>38523</v>
      </c>
      <c r="B710" s="76" t="str">
        <f>TiposLancamentos!B16</f>
        <v>Cristiane</v>
      </c>
      <c r="C710" s="1314" t="s">
        <v>2866</v>
      </c>
      <c r="D710" s="78"/>
      <c r="E710" s="1480">
        <v>38.880000000000003</v>
      </c>
    </row>
    <row r="711" spans="1:5">
      <c r="A711" s="75">
        <v>38528</v>
      </c>
      <c r="B711" s="76" t="str">
        <f>TiposLancamentos!B99</f>
        <v>Venda de algo</v>
      </c>
      <c r="C711" s="1314" t="s">
        <v>2867</v>
      </c>
      <c r="D711" s="78">
        <v>100</v>
      </c>
      <c r="E711" s="1480"/>
    </row>
    <row r="712" spans="1:5">
      <c r="A712" s="75">
        <v>38528</v>
      </c>
      <c r="B712" s="1587" t="str">
        <f>TiposLancamentos!B16</f>
        <v>Cristiane</v>
      </c>
      <c r="C712" s="1314" t="s">
        <v>2868</v>
      </c>
      <c r="D712" s="78"/>
      <c r="E712" s="1480">
        <v>100</v>
      </c>
    </row>
    <row r="713" spans="1:5">
      <c r="A713" s="75">
        <v>38530</v>
      </c>
      <c r="B713" s="1587" t="str">
        <f>TiposLancamentos!B16</f>
        <v>Cristiane</v>
      </c>
      <c r="C713" s="1314" t="s">
        <v>2869</v>
      </c>
      <c r="D713" s="78">
        <v>14</v>
      </c>
      <c r="E713" s="1480"/>
    </row>
    <row r="714" spans="1:5">
      <c r="A714" s="79">
        <v>38530</v>
      </c>
      <c r="B714" s="1588" t="str">
        <f>TiposLancamentos!B90</f>
        <v>Locadora</v>
      </c>
      <c r="C714" s="1586" t="s">
        <v>1841</v>
      </c>
      <c r="D714" s="78"/>
      <c r="E714" s="1480">
        <v>14</v>
      </c>
    </row>
    <row r="715" spans="1:5">
      <c r="A715" s="83"/>
      <c r="B715" s="84"/>
      <c r="C715" s="1584" t="s">
        <v>2870</v>
      </c>
      <c r="D715" s="74"/>
      <c r="E715" s="1585"/>
    </row>
    <row r="716" spans="1:5">
      <c r="A716" s="75">
        <v>38537</v>
      </c>
      <c r="B716" s="1587" t="str">
        <f>TiposLancamentos!B20</f>
        <v>Saques</v>
      </c>
      <c r="C716" s="1314" t="s">
        <v>2668</v>
      </c>
      <c r="D716" s="78">
        <v>30</v>
      </c>
      <c r="E716" s="1480"/>
    </row>
    <row r="717" spans="1:5">
      <c r="A717" s="75">
        <v>38537</v>
      </c>
      <c r="B717" s="1587" t="str">
        <f>TiposLancamentos!B100</f>
        <v>Emprestimos</v>
      </c>
      <c r="C717" s="1314" t="s">
        <v>2871</v>
      </c>
      <c r="D717" s="78"/>
      <c r="E717" s="1480">
        <v>5</v>
      </c>
    </row>
    <row r="718" spans="1:5">
      <c r="A718" s="75">
        <v>38537</v>
      </c>
      <c r="B718" s="1587" t="str">
        <f>TiposLancamentos!B18</f>
        <v>Alimentacao</v>
      </c>
      <c r="C718" s="1314" t="s">
        <v>2862</v>
      </c>
      <c r="D718" s="78"/>
      <c r="E718" s="1480">
        <v>1.4</v>
      </c>
    </row>
    <row r="719" spans="1:5">
      <c r="A719" s="75">
        <v>38537</v>
      </c>
      <c r="B719" s="1587" t="str">
        <f>TiposLancamentos!B90</f>
        <v>Locadora</v>
      </c>
      <c r="C719" s="1314" t="s">
        <v>2872</v>
      </c>
      <c r="D719" s="78"/>
      <c r="E719" s="1480">
        <v>18</v>
      </c>
    </row>
    <row r="720" spans="1:5">
      <c r="A720" s="75">
        <v>38538</v>
      </c>
      <c r="B720" s="1587" t="str">
        <f>TiposLancamentos!B18</f>
        <v>Alimentacao</v>
      </c>
      <c r="C720" s="1314" t="s">
        <v>2862</v>
      </c>
      <c r="D720" s="78"/>
      <c r="E720" s="1480">
        <v>1.4</v>
      </c>
    </row>
    <row r="721" spans="1:5">
      <c r="A721" s="75">
        <v>38539</v>
      </c>
      <c r="B721" s="1587" t="str">
        <f>TiposLancamentos!B16</f>
        <v>Cristiane</v>
      </c>
      <c r="C721" s="1314" t="s">
        <v>2873</v>
      </c>
      <c r="D721" s="78"/>
      <c r="E721" s="1480">
        <v>4.2</v>
      </c>
    </row>
    <row r="722" spans="1:5">
      <c r="A722" s="75">
        <v>38539</v>
      </c>
      <c r="B722" s="1587" t="str">
        <f>TiposLancamentos!B20</f>
        <v>Saques</v>
      </c>
      <c r="C722" s="1314" t="s">
        <v>2668</v>
      </c>
      <c r="D722" s="78">
        <v>10</v>
      </c>
      <c r="E722" s="1480"/>
    </row>
    <row r="723" spans="1:5">
      <c r="A723" s="75">
        <v>38539</v>
      </c>
      <c r="B723" s="1587" t="str">
        <f>TiposLancamentos!B16</f>
        <v>Cristiane</v>
      </c>
      <c r="C723" s="1314" t="s">
        <v>2801</v>
      </c>
      <c r="D723" s="78"/>
      <c r="E723" s="1480">
        <v>10</v>
      </c>
    </row>
    <row r="724" spans="1:5">
      <c r="A724" s="75">
        <v>38541</v>
      </c>
      <c r="B724" s="1587" t="str">
        <f>TiposLancamentos!B16</f>
        <v>Cristiane</v>
      </c>
      <c r="C724" s="1314"/>
      <c r="D724" s="78">
        <v>10</v>
      </c>
      <c r="E724" s="1480"/>
    </row>
    <row r="725" spans="1:5">
      <c r="A725" s="75">
        <v>38541</v>
      </c>
      <c r="B725" s="1587" t="str">
        <f>TiposLancamentos!B18</f>
        <v>Alimentacao</v>
      </c>
      <c r="C725" s="1314" t="s">
        <v>2862</v>
      </c>
      <c r="D725" s="78"/>
      <c r="E725" s="1480">
        <v>4.45</v>
      </c>
    </row>
    <row r="726" spans="1:5">
      <c r="A726" s="75">
        <v>38481</v>
      </c>
      <c r="B726" s="1587" t="str">
        <f>TiposLancamentos!B16</f>
        <v>Cristiane</v>
      </c>
      <c r="C726" s="1314" t="s">
        <v>1698</v>
      </c>
      <c r="D726" s="78">
        <v>5</v>
      </c>
      <c r="E726" s="1480"/>
    </row>
    <row r="727" spans="1:5">
      <c r="A727" s="75">
        <v>38542</v>
      </c>
      <c r="B727" s="1587" t="str">
        <f>TiposLancamentos!B55</f>
        <v>Onibus Urbano</v>
      </c>
      <c r="C727" s="1314" t="s">
        <v>2672</v>
      </c>
      <c r="D727" s="78"/>
      <c r="E727" s="1480">
        <v>2.5</v>
      </c>
    </row>
    <row r="728" spans="1:5">
      <c r="A728" s="75">
        <v>38542</v>
      </c>
      <c r="B728" s="1587" t="str">
        <f>TiposLancamentos!B64</f>
        <v>Viagens</v>
      </c>
      <c r="C728" s="1314" t="s">
        <v>2874</v>
      </c>
      <c r="D728" s="78"/>
      <c r="E728" s="1480">
        <v>1.6</v>
      </c>
    </row>
    <row r="729" spans="1:5">
      <c r="A729" s="75">
        <v>38542</v>
      </c>
      <c r="B729" s="1587" t="str">
        <f>TiposLancamentos!B18</f>
        <v>Alimentacao</v>
      </c>
      <c r="C729" s="1314" t="s">
        <v>2875</v>
      </c>
      <c r="D729" s="78"/>
      <c r="E729" s="1480">
        <v>2.4</v>
      </c>
    </row>
    <row r="730" spans="1:5">
      <c r="A730" s="75">
        <v>38544</v>
      </c>
      <c r="B730" s="1587" t="str">
        <f>TiposLancamentos!B18</f>
        <v>Alimentacao</v>
      </c>
      <c r="C730" s="1314" t="s">
        <v>2862</v>
      </c>
      <c r="D730" s="78"/>
      <c r="E730" s="1480">
        <v>3</v>
      </c>
    </row>
    <row r="731" spans="1:5">
      <c r="A731" s="75">
        <v>38545</v>
      </c>
      <c r="B731" s="1587" t="str">
        <f>TiposLancamentos!B18</f>
        <v>Alimentacao</v>
      </c>
      <c r="C731" s="1314" t="s">
        <v>2862</v>
      </c>
      <c r="D731" s="78"/>
      <c r="E731" s="1480">
        <v>1</v>
      </c>
    </row>
    <row r="732" spans="1:5">
      <c r="A732" s="75">
        <v>38556</v>
      </c>
      <c r="B732" s="1587" t="str">
        <f>TiposLancamentos!B20</f>
        <v>Saques</v>
      </c>
      <c r="C732" s="1314" t="s">
        <v>2876</v>
      </c>
      <c r="D732" s="78">
        <v>40</v>
      </c>
      <c r="E732" s="1480"/>
    </row>
    <row r="733" spans="1:5">
      <c r="A733" s="75">
        <v>38556</v>
      </c>
      <c r="B733" s="1587" t="str">
        <f>TiposLancamentos!B71</f>
        <v>Itens Pessoais</v>
      </c>
      <c r="C733" s="1314" t="s">
        <v>2594</v>
      </c>
      <c r="D733" s="78"/>
      <c r="E733" s="1480">
        <v>11</v>
      </c>
    </row>
    <row r="734" spans="1:5">
      <c r="A734" s="75">
        <v>38556</v>
      </c>
      <c r="B734" s="1587" t="str">
        <f>TiposLancamentos!B18</f>
        <v>Alimentacao</v>
      </c>
      <c r="C734" s="1314" t="s">
        <v>2683</v>
      </c>
      <c r="D734" s="78"/>
      <c r="E734" s="1480">
        <v>4</v>
      </c>
    </row>
    <row r="735" spans="1:5">
      <c r="A735" s="75">
        <v>38556</v>
      </c>
      <c r="B735" s="76" t="str">
        <f>TiposLancamentos!B5</f>
        <v>Supermercado</v>
      </c>
      <c r="C735" s="1314" t="s">
        <v>2567</v>
      </c>
      <c r="D735" s="78"/>
      <c r="E735" s="1480">
        <v>5.05</v>
      </c>
    </row>
    <row r="736" spans="1:5">
      <c r="A736" s="75">
        <v>38557</v>
      </c>
      <c r="B736" s="76" t="str">
        <f>TiposLancamentos!B55</f>
        <v>Onibus Urbano</v>
      </c>
      <c r="C736" s="1314" t="s">
        <v>2877</v>
      </c>
      <c r="D736" s="78"/>
      <c r="E736" s="1480">
        <v>1.6</v>
      </c>
    </row>
    <row r="737" spans="1:5">
      <c r="A737" s="75">
        <v>38557</v>
      </c>
      <c r="B737" s="76" t="str">
        <f>TiposLancamentos!B55</f>
        <v>Onibus Urbano</v>
      </c>
      <c r="C737" s="1314" t="s">
        <v>2878</v>
      </c>
      <c r="D737" s="78"/>
      <c r="E737" s="1480">
        <v>1.6</v>
      </c>
    </row>
    <row r="738" spans="1:5">
      <c r="A738" s="75">
        <v>38557</v>
      </c>
      <c r="B738" s="76" t="str">
        <f>TiposLancamentos!B18</f>
        <v>Alimentacao</v>
      </c>
      <c r="C738" s="1314" t="s">
        <v>2879</v>
      </c>
      <c r="D738" s="78"/>
      <c r="E738" s="1480">
        <v>3.2</v>
      </c>
    </row>
    <row r="739" spans="1:5">
      <c r="A739" s="75">
        <v>38557</v>
      </c>
      <c r="B739" s="76" t="str">
        <f>TiposLancamentos!B65</f>
        <v>Taxi</v>
      </c>
      <c r="C739" s="1314" t="s">
        <v>2880</v>
      </c>
      <c r="D739" s="78"/>
      <c r="E739" s="1480">
        <v>11.1</v>
      </c>
    </row>
    <row r="740" spans="1:5">
      <c r="A740" s="75">
        <v>38558</v>
      </c>
      <c r="B740" s="76" t="str">
        <f>TiposLancamentos!B16</f>
        <v>Cristiane</v>
      </c>
      <c r="C740" s="1314" t="s">
        <v>1698</v>
      </c>
      <c r="D740" s="78">
        <v>5.5</v>
      </c>
      <c r="E740" s="1480"/>
    </row>
    <row r="741" spans="1:5">
      <c r="A741" s="75">
        <v>38558</v>
      </c>
      <c r="B741" s="76" t="str">
        <f>TiposLancamentos!B90</f>
        <v>Locadora</v>
      </c>
      <c r="C741" s="1314" t="s">
        <v>1841</v>
      </c>
      <c r="D741" s="78"/>
      <c r="E741" s="1480">
        <v>8</v>
      </c>
    </row>
    <row r="742" spans="1:5">
      <c r="A742" s="75">
        <v>38562</v>
      </c>
      <c r="B742" s="76" t="str">
        <f>TiposLancamentos!B20</f>
        <v>Saques</v>
      </c>
      <c r="C742" s="1314" t="s">
        <v>2668</v>
      </c>
      <c r="D742" s="78">
        <v>10</v>
      </c>
      <c r="E742" s="1480"/>
    </row>
    <row r="743" spans="1:5">
      <c r="A743" s="75">
        <v>38562</v>
      </c>
      <c r="B743" s="76" t="str">
        <f>TiposLancamentos!B18</f>
        <v>Alimentacao</v>
      </c>
      <c r="C743" s="1314" t="s">
        <v>2881</v>
      </c>
      <c r="D743" s="78"/>
      <c r="E743" s="1480">
        <v>5.8</v>
      </c>
    </row>
    <row r="744" spans="1:5">
      <c r="A744" s="79">
        <v>38562</v>
      </c>
      <c r="B744" s="80" t="str">
        <f>TiposLancamentos!B90</f>
        <v>Locadora</v>
      </c>
      <c r="C744" s="1586" t="s">
        <v>44</v>
      </c>
      <c r="D744" s="82"/>
      <c r="E744" s="1583">
        <v>4</v>
      </c>
    </row>
    <row r="745" spans="1:5">
      <c r="A745" s="75"/>
      <c r="B745" s="76"/>
      <c r="C745" s="1314" t="s">
        <v>2882</v>
      </c>
      <c r="D745" s="78"/>
      <c r="E745" s="1480"/>
    </row>
    <row r="746" spans="1:5">
      <c r="A746" s="75">
        <v>38565</v>
      </c>
      <c r="B746" s="76" t="str">
        <f>TiposLancamentos!B78</f>
        <v>Diferenças</v>
      </c>
      <c r="C746" s="1314" t="s">
        <v>2883</v>
      </c>
      <c r="D746" s="78">
        <v>0.15</v>
      </c>
      <c r="E746" s="1480"/>
    </row>
    <row r="747" spans="1:5">
      <c r="A747" s="75">
        <v>38565</v>
      </c>
      <c r="B747" s="76" t="str">
        <f>TiposLancamentos!B20</f>
        <v>Saques</v>
      </c>
      <c r="C747" s="1314" t="s">
        <v>2668</v>
      </c>
      <c r="D747" s="78">
        <v>70</v>
      </c>
      <c r="E747" s="1480"/>
    </row>
    <row r="748" spans="1:5">
      <c r="A748" s="75">
        <v>38565</v>
      </c>
      <c r="B748" s="76" t="str">
        <f>TiposLancamentos!B16</f>
        <v>Cristiane</v>
      </c>
      <c r="C748" s="1314" t="s">
        <v>1698</v>
      </c>
      <c r="D748" s="78"/>
      <c r="E748" s="1480">
        <v>50</v>
      </c>
    </row>
    <row r="749" spans="1:5">
      <c r="A749" s="75">
        <v>38565</v>
      </c>
      <c r="B749" s="76" t="str">
        <f>TiposLancamentos!B18</f>
        <v>Alimentacao</v>
      </c>
      <c r="C749" s="1314" t="s">
        <v>2884</v>
      </c>
      <c r="D749" s="78"/>
      <c r="E749" s="1480">
        <v>2</v>
      </c>
    </row>
    <row r="750" spans="1:5">
      <c r="A750" s="75">
        <v>38565</v>
      </c>
      <c r="B750" s="76" t="str">
        <f>TiposLancamentos!B90</f>
        <v>Locadora</v>
      </c>
      <c r="C750" s="1314" t="s">
        <v>44</v>
      </c>
      <c r="D750" s="78"/>
      <c r="E750" s="1480">
        <v>10</v>
      </c>
    </row>
    <row r="751" spans="1:5">
      <c r="A751" s="75">
        <v>38565</v>
      </c>
      <c r="B751" s="76" t="str">
        <f>TiposLancamentos!B18</f>
        <v>Alimentacao</v>
      </c>
      <c r="C751" s="1314" t="s">
        <v>2862</v>
      </c>
      <c r="D751" s="78"/>
      <c r="E751" s="1480">
        <v>0.7</v>
      </c>
    </row>
    <row r="752" spans="1:5">
      <c r="A752" s="75">
        <v>38566</v>
      </c>
      <c r="B752" s="76" t="str">
        <f>TiposLancamentos!B18</f>
        <v>Alimentacao</v>
      </c>
      <c r="C752" s="1314" t="s">
        <v>2862</v>
      </c>
      <c r="D752" s="78"/>
      <c r="E752" s="1480">
        <v>0.7</v>
      </c>
    </row>
    <row r="753" spans="1:5">
      <c r="A753" s="75">
        <v>38567</v>
      </c>
      <c r="B753" s="76" t="str">
        <f>TiposLancamentos!B59</f>
        <v>Documentos</v>
      </c>
      <c r="C753" s="1314" t="s">
        <v>2885</v>
      </c>
      <c r="D753" s="78"/>
      <c r="E753" s="1480">
        <v>6</v>
      </c>
    </row>
    <row r="754" spans="1:5">
      <c r="A754" s="75">
        <v>38568</v>
      </c>
      <c r="B754" s="76" t="str">
        <f>TiposLancamentos!B20</f>
        <v>Saques</v>
      </c>
      <c r="C754" s="1314" t="s">
        <v>2668</v>
      </c>
      <c r="D754" s="78">
        <v>40</v>
      </c>
      <c r="E754" s="1480"/>
    </row>
    <row r="755" spans="1:5">
      <c r="A755" s="75">
        <v>38568</v>
      </c>
      <c r="B755" s="76" t="str">
        <f>TiposLancamentos!B19</f>
        <v>Restaurantes</v>
      </c>
      <c r="C755" s="1314" t="s">
        <v>2886</v>
      </c>
      <c r="D755" s="78"/>
      <c r="E755" s="1480">
        <v>38.15</v>
      </c>
    </row>
    <row r="756" spans="1:5">
      <c r="A756" s="75">
        <v>38568</v>
      </c>
      <c r="B756" s="76" t="str">
        <f>TiposLancamentos!B18</f>
        <v>Alimentacao</v>
      </c>
      <c r="C756" s="1314" t="s">
        <v>2862</v>
      </c>
      <c r="D756" s="78"/>
      <c r="E756" s="1480">
        <v>1.4</v>
      </c>
    </row>
    <row r="757" spans="1:5">
      <c r="A757" s="75">
        <v>38568</v>
      </c>
      <c r="B757" s="76" t="str">
        <f>TiposLancamentos!B18</f>
        <v>Alimentacao</v>
      </c>
      <c r="C757" s="1314" t="s">
        <v>2862</v>
      </c>
      <c r="D757" s="78"/>
      <c r="E757" s="1480">
        <v>1</v>
      </c>
    </row>
    <row r="758" spans="1:5">
      <c r="A758" s="75">
        <v>38569</v>
      </c>
      <c r="B758" s="76" t="str">
        <f>TiposLancamentos!B100</f>
        <v>Emprestimos</v>
      </c>
      <c r="C758" s="1314" t="s">
        <v>2835</v>
      </c>
      <c r="D758" s="78">
        <v>0.3</v>
      </c>
      <c r="E758" s="1480"/>
    </row>
    <row r="759" spans="1:5">
      <c r="A759" s="75">
        <v>38569</v>
      </c>
      <c r="B759" s="76" t="str">
        <f>TiposLancamentos!B18</f>
        <v>Alimentacao</v>
      </c>
      <c r="C759" s="1314" t="s">
        <v>2887</v>
      </c>
      <c r="D759" s="78"/>
      <c r="E759" s="1480">
        <v>0.7</v>
      </c>
    </row>
    <row r="760" spans="1:5">
      <c r="A760" s="75">
        <v>38577</v>
      </c>
      <c r="B760" s="76" t="str">
        <f>TiposLancamentos!B16</f>
        <v>Cristiane</v>
      </c>
      <c r="C760" s="1314" t="s">
        <v>2888</v>
      </c>
      <c r="D760" s="78">
        <v>50</v>
      </c>
      <c r="E760" s="1480"/>
    </row>
    <row r="761" spans="1:5">
      <c r="A761" s="75">
        <v>38578</v>
      </c>
      <c r="B761" s="76" t="str">
        <f>TiposLancamentos!B71</f>
        <v>Itens Pessoais</v>
      </c>
      <c r="C761" s="1314" t="s">
        <v>2594</v>
      </c>
      <c r="D761" s="78"/>
      <c r="E761" s="1480">
        <v>15</v>
      </c>
    </row>
    <row r="762" spans="1:5">
      <c r="A762" s="75">
        <v>38578</v>
      </c>
      <c r="B762" s="76" t="str">
        <f>TiposLancamentos!B18</f>
        <v>Alimentacao</v>
      </c>
      <c r="C762" s="1314" t="s">
        <v>2889</v>
      </c>
      <c r="D762" s="78"/>
      <c r="E762" s="1480">
        <v>1.5</v>
      </c>
    </row>
    <row r="763" spans="1:5">
      <c r="A763" s="75">
        <v>38579</v>
      </c>
      <c r="B763" s="76" t="str">
        <f>TiposLancamentos!B16</f>
        <v>Cristiane</v>
      </c>
      <c r="C763" s="1314" t="s">
        <v>2890</v>
      </c>
      <c r="D763" s="78"/>
      <c r="E763" s="1480">
        <v>33.5</v>
      </c>
    </row>
    <row r="764" spans="1:5">
      <c r="A764" s="75">
        <v>38586</v>
      </c>
      <c r="B764" s="76" t="str">
        <f>TiposLancamentos!B20</f>
        <v>Saques</v>
      </c>
      <c r="C764" s="1314" t="s">
        <v>2668</v>
      </c>
      <c r="D764" s="78">
        <v>20</v>
      </c>
      <c r="E764" s="1480"/>
    </row>
    <row r="765" spans="1:5">
      <c r="A765" s="75">
        <v>38586</v>
      </c>
      <c r="B765" s="76" t="str">
        <f>TiposLancamentos!B90</f>
        <v>Locadora</v>
      </c>
      <c r="C765" s="1314" t="s">
        <v>1841</v>
      </c>
      <c r="D765" s="78"/>
      <c r="E765" s="1480">
        <v>14</v>
      </c>
    </row>
    <row r="766" spans="1:5">
      <c r="A766" s="75">
        <v>38586</v>
      </c>
      <c r="B766" s="76" t="str">
        <f>TiposLancamentos!B16</f>
        <v>Cristiane</v>
      </c>
      <c r="C766" s="1314" t="s">
        <v>1698</v>
      </c>
      <c r="D766" s="78"/>
      <c r="E766" s="1480">
        <v>6</v>
      </c>
    </row>
    <row r="767" spans="1:5">
      <c r="A767" s="75">
        <v>38587</v>
      </c>
      <c r="B767" s="76" t="str">
        <f>TiposLancamentos!B16</f>
        <v>Cristiane</v>
      </c>
      <c r="C767" s="1314" t="s">
        <v>2891</v>
      </c>
      <c r="D767" s="78">
        <v>1</v>
      </c>
      <c r="E767" s="1480"/>
    </row>
    <row r="768" spans="1:5">
      <c r="A768" s="75">
        <v>38587</v>
      </c>
      <c r="B768" s="76" t="str">
        <f>TiposLancamentos!B18</f>
        <v>Alimentacao</v>
      </c>
      <c r="C768" s="1314" t="s">
        <v>2892</v>
      </c>
      <c r="D768" s="78"/>
      <c r="E768" s="1480">
        <v>1</v>
      </c>
    </row>
    <row r="769" spans="1:5">
      <c r="A769" s="75">
        <v>38587</v>
      </c>
      <c r="B769" s="76" t="str">
        <f>TiposLancamentos!B100</f>
        <v>Emprestimos</v>
      </c>
      <c r="C769" s="1314" t="s">
        <v>2835</v>
      </c>
      <c r="D769" s="78">
        <v>0.4</v>
      </c>
      <c r="E769" s="1480"/>
    </row>
    <row r="770" spans="1:5">
      <c r="A770" s="75">
        <v>38587</v>
      </c>
      <c r="B770" s="76" t="str">
        <f>TiposLancamentos!B18</f>
        <v>Alimentacao</v>
      </c>
      <c r="C770" s="1314" t="s">
        <v>2893</v>
      </c>
      <c r="D770" s="78"/>
      <c r="E770" s="1480">
        <v>0.4</v>
      </c>
    </row>
    <row r="771" spans="1:5">
      <c r="A771" s="75">
        <v>38591</v>
      </c>
      <c r="B771" s="76" t="str">
        <f>TiposLancamentos!B20</f>
        <v>Saques</v>
      </c>
      <c r="C771" s="1314" t="s">
        <v>2668</v>
      </c>
      <c r="D771" s="78">
        <v>10</v>
      </c>
      <c r="E771" s="1480"/>
    </row>
    <row r="772" spans="1:5">
      <c r="A772" s="75">
        <v>38591</v>
      </c>
      <c r="B772" s="76" t="str">
        <f>TiposLancamentos!B24</f>
        <v>Estacionamentos</v>
      </c>
      <c r="C772" s="1314" t="s">
        <v>2579</v>
      </c>
      <c r="D772" s="78"/>
      <c r="E772" s="1480">
        <v>3</v>
      </c>
    </row>
    <row r="773" spans="1:5">
      <c r="A773" s="75">
        <v>38591</v>
      </c>
      <c r="B773" s="76" t="str">
        <f>TiposLancamentos!B18</f>
        <v>Alimentacao</v>
      </c>
      <c r="C773" s="1314" t="s">
        <v>2640</v>
      </c>
      <c r="D773" s="78"/>
      <c r="E773" s="1480">
        <v>5.3</v>
      </c>
    </row>
    <row r="774" spans="1:5">
      <c r="A774" s="75">
        <v>38592</v>
      </c>
      <c r="B774" s="76" t="str">
        <f>TiposLancamentos!B18</f>
        <v>Alimentacao</v>
      </c>
      <c r="C774" s="1314" t="s">
        <v>2894</v>
      </c>
      <c r="D774" s="78"/>
      <c r="E774" s="1480">
        <v>1.5</v>
      </c>
    </row>
    <row r="775" spans="1:5">
      <c r="A775" s="75">
        <v>38595</v>
      </c>
      <c r="B775" s="76" t="str">
        <f>TiposLancamentos!B20</f>
        <v>Saques</v>
      </c>
      <c r="C775" s="1314" t="s">
        <v>2668</v>
      </c>
      <c r="D775" s="78">
        <v>20</v>
      </c>
      <c r="E775" s="1480"/>
    </row>
    <row r="776" spans="1:5">
      <c r="A776" s="83"/>
      <c r="B776" s="37"/>
      <c r="C776" s="1584" t="s">
        <v>2895</v>
      </c>
      <c r="D776" s="74"/>
      <c r="E776" s="1585"/>
    </row>
    <row r="777" spans="1:5">
      <c r="A777" s="75">
        <v>38596</v>
      </c>
      <c r="B777" s="76" t="str">
        <f>TiposLancamentos!B16</f>
        <v>Cristiane</v>
      </c>
      <c r="C777" s="1314" t="s">
        <v>1698</v>
      </c>
      <c r="D777" s="78"/>
      <c r="E777" s="1480">
        <v>20</v>
      </c>
    </row>
    <row r="778" spans="1:5">
      <c r="A778" s="75">
        <v>38597</v>
      </c>
      <c r="B778" s="76" t="str">
        <f>TiposLancamentos!B20</f>
        <v>Saques</v>
      </c>
      <c r="C778" s="1314" t="s">
        <v>2668</v>
      </c>
      <c r="D778" s="78">
        <v>10</v>
      </c>
      <c r="E778" s="1480"/>
    </row>
    <row r="779" spans="1:5">
      <c r="A779" s="75">
        <v>38597</v>
      </c>
      <c r="B779" s="76" t="str">
        <f>TiposLancamentos!B16</f>
        <v>Cristiane</v>
      </c>
      <c r="C779" s="1314" t="s">
        <v>1698</v>
      </c>
      <c r="D779" s="78"/>
      <c r="E779" s="1480">
        <v>10</v>
      </c>
    </row>
    <row r="780" spans="1:5">
      <c r="A780" s="75">
        <v>38602</v>
      </c>
      <c r="B780" s="76" t="str">
        <f>TiposLancamentos!B20</f>
        <v>Saques</v>
      </c>
      <c r="C780" s="1314" t="s">
        <v>2668</v>
      </c>
      <c r="D780" s="78">
        <v>10</v>
      </c>
      <c r="E780" s="1480"/>
    </row>
    <row r="781" spans="1:5">
      <c r="A781" s="75">
        <v>38602</v>
      </c>
      <c r="B781" s="76" t="str">
        <f>TiposLancamentos!B16</f>
        <v>Cristiane</v>
      </c>
      <c r="C781" s="1314" t="s">
        <v>1698</v>
      </c>
      <c r="D781" s="78"/>
      <c r="E781" s="1480">
        <v>10</v>
      </c>
    </row>
    <row r="782" spans="1:5">
      <c r="A782" s="75">
        <v>38603</v>
      </c>
      <c r="B782" s="76" t="str">
        <f>TiposLancamentos!B16</f>
        <v>Cristiane</v>
      </c>
      <c r="C782" s="1314" t="s">
        <v>1698</v>
      </c>
      <c r="D782" s="78">
        <v>10</v>
      </c>
      <c r="E782" s="1480"/>
    </row>
    <row r="783" spans="1:5">
      <c r="A783" s="75">
        <v>38603</v>
      </c>
      <c r="B783" s="76" t="str">
        <f>TiposLancamentos!B18</f>
        <v>Alimentacao</v>
      </c>
      <c r="C783" s="1314" t="s">
        <v>2896</v>
      </c>
      <c r="D783" s="78"/>
      <c r="E783" s="1480">
        <v>0.2</v>
      </c>
    </row>
    <row r="784" spans="1:5">
      <c r="A784" s="75">
        <v>38603</v>
      </c>
      <c r="B784" s="76" t="str">
        <f>TiposLancamentos!B18</f>
        <v>Alimentacao</v>
      </c>
      <c r="C784" s="1314" t="s">
        <v>2566</v>
      </c>
      <c r="D784" s="78"/>
      <c r="E784" s="1480">
        <v>2.75</v>
      </c>
    </row>
    <row r="785" spans="1:5">
      <c r="A785" s="75">
        <v>38603</v>
      </c>
      <c r="B785" s="76" t="str">
        <f>TiposLancamentos!B18</f>
        <v>Alimentacao</v>
      </c>
      <c r="C785" s="1314" t="s">
        <v>2897</v>
      </c>
      <c r="D785" s="78"/>
      <c r="E785" s="1480">
        <v>2</v>
      </c>
    </row>
    <row r="786" spans="1:5">
      <c r="A786" s="75">
        <v>38604</v>
      </c>
      <c r="B786" s="76" t="str">
        <f>TiposLancamentos!B18</f>
        <v>Alimentacao</v>
      </c>
      <c r="C786" s="1314" t="s">
        <v>2566</v>
      </c>
      <c r="D786" s="78"/>
      <c r="E786" s="1480">
        <v>2.75</v>
      </c>
    </row>
    <row r="787" spans="1:5">
      <c r="A787" s="75">
        <v>38604</v>
      </c>
      <c r="B787" s="76" t="str">
        <f>TiposLancamentos!B18</f>
        <v>Alimentacao</v>
      </c>
      <c r="C787" s="1314" t="s">
        <v>2897</v>
      </c>
      <c r="D787" s="78"/>
      <c r="E787" s="1480">
        <v>2</v>
      </c>
    </row>
    <row r="788" spans="1:5">
      <c r="A788" s="75">
        <v>38607</v>
      </c>
      <c r="B788" s="76" t="str">
        <f>TiposLancamentos!B18</f>
        <v>Alimentacao</v>
      </c>
      <c r="C788" s="1314" t="s">
        <v>2898</v>
      </c>
      <c r="D788" s="78"/>
      <c r="E788" s="1480">
        <v>0.4</v>
      </c>
    </row>
    <row r="789" spans="1:5">
      <c r="A789" s="75">
        <v>38610</v>
      </c>
      <c r="B789" s="76" t="str">
        <f>TiposLancamentos!B16</f>
        <v>Cristiane</v>
      </c>
      <c r="C789" s="1314" t="s">
        <v>1698</v>
      </c>
      <c r="D789" s="78">
        <v>3</v>
      </c>
      <c r="E789" s="1480"/>
    </row>
    <row r="790" spans="1:5">
      <c r="A790" s="75">
        <v>38610</v>
      </c>
      <c r="B790" s="76" t="str">
        <f>TiposLancamentos!B18</f>
        <v>Alimentacao</v>
      </c>
      <c r="C790" s="1314" t="s">
        <v>2566</v>
      </c>
      <c r="D790" s="78"/>
      <c r="E790" s="1480">
        <v>2.75</v>
      </c>
    </row>
    <row r="791" spans="1:5">
      <c r="A791" s="75">
        <v>38615</v>
      </c>
      <c r="B791" s="76" t="str">
        <f>TiposLancamentos!B16</f>
        <v>Cristiane</v>
      </c>
      <c r="C791" s="1314" t="s">
        <v>2891</v>
      </c>
      <c r="D791" s="78">
        <v>10</v>
      </c>
      <c r="E791" s="1480"/>
    </row>
    <row r="792" spans="1:5">
      <c r="A792" s="75">
        <v>38615</v>
      </c>
      <c r="B792" s="76" t="str">
        <f>TiposLancamentos!B18</f>
        <v>Alimentacao</v>
      </c>
      <c r="C792" s="1314" t="s">
        <v>2899</v>
      </c>
      <c r="D792" s="78"/>
      <c r="E792" s="1480">
        <v>2.9</v>
      </c>
    </row>
    <row r="793" spans="1:5">
      <c r="A793" s="75">
        <v>38615</v>
      </c>
      <c r="B793" s="76" t="str">
        <f>TiposLancamentos!B18</f>
        <v>Alimentacao</v>
      </c>
      <c r="C793" s="1314" t="s">
        <v>2897</v>
      </c>
      <c r="D793" s="78"/>
      <c r="E793" s="1480">
        <v>1</v>
      </c>
    </row>
    <row r="794" spans="1:5">
      <c r="A794" s="75">
        <v>38616</v>
      </c>
      <c r="B794" s="76" t="str">
        <f>TiposLancamentos!B16</f>
        <v>Cristiane</v>
      </c>
      <c r="C794" s="1314" t="s">
        <v>1698</v>
      </c>
      <c r="D794" s="78"/>
      <c r="E794" s="1480">
        <v>6.45</v>
      </c>
    </row>
    <row r="795" spans="1:5">
      <c r="A795" s="75">
        <v>38618</v>
      </c>
      <c r="B795" s="76" t="str">
        <f>TiposLancamentos!B20</f>
        <v>Saques</v>
      </c>
      <c r="C795" s="1314" t="s">
        <v>2900</v>
      </c>
      <c r="D795" s="78">
        <v>20</v>
      </c>
      <c r="E795" s="1480"/>
    </row>
    <row r="796" spans="1:5">
      <c r="A796" s="79">
        <v>38618</v>
      </c>
      <c r="B796" s="80" t="str">
        <f>TiposLancamentos!B16</f>
        <v>Cristiane</v>
      </c>
      <c r="C796" s="1586" t="s">
        <v>1698</v>
      </c>
      <c r="D796" s="82"/>
      <c r="E796" s="1583">
        <v>20</v>
      </c>
    </row>
    <row r="797" spans="1:5">
      <c r="A797" s="83"/>
      <c r="B797" s="37"/>
      <c r="C797" s="1584" t="s">
        <v>2901</v>
      </c>
      <c r="D797" s="78"/>
      <c r="E797" s="1480"/>
    </row>
    <row r="798" spans="1:5">
      <c r="A798" s="75">
        <v>38626</v>
      </c>
      <c r="B798" s="76" t="str">
        <f>TiposLancamentos!B20</f>
        <v>Saques</v>
      </c>
      <c r="C798" s="1314" t="s">
        <v>2668</v>
      </c>
      <c r="D798" s="78">
        <v>30</v>
      </c>
      <c r="E798" s="1480"/>
    </row>
    <row r="799" spans="1:5">
      <c r="A799" s="75">
        <v>38626</v>
      </c>
      <c r="B799" s="76" t="str">
        <f>TiposLancamentos!B71</f>
        <v>Itens Pessoais</v>
      </c>
      <c r="C799" s="1314" t="s">
        <v>2902</v>
      </c>
      <c r="D799" s="78"/>
      <c r="E799" s="1480">
        <v>15</v>
      </c>
    </row>
    <row r="800" spans="1:5">
      <c r="A800" s="75">
        <v>38626</v>
      </c>
      <c r="B800" s="76" t="str">
        <f>TiposLancamentos!B16</f>
        <v>Cristiane</v>
      </c>
      <c r="C800" s="1314" t="s">
        <v>1698</v>
      </c>
      <c r="D800" s="78"/>
      <c r="E800" s="1480">
        <v>10</v>
      </c>
    </row>
    <row r="801" spans="1:5">
      <c r="A801" s="75">
        <v>38626</v>
      </c>
      <c r="B801" s="76" t="str">
        <f>TiposLancamentos!B56</f>
        <v>Farmácia</v>
      </c>
      <c r="C801" s="1314" t="s">
        <v>1775</v>
      </c>
      <c r="D801" s="78"/>
      <c r="E801" s="1480">
        <v>2</v>
      </c>
    </row>
    <row r="802" spans="1:5">
      <c r="A802" s="75">
        <v>38627</v>
      </c>
      <c r="B802" s="76" t="str">
        <f>TiposLancamentos!B18</f>
        <v>Alimentacao</v>
      </c>
      <c r="C802" s="1314" t="s">
        <v>2903</v>
      </c>
      <c r="D802" s="78"/>
      <c r="E802" s="1480">
        <v>1</v>
      </c>
    </row>
    <row r="803" spans="1:5">
      <c r="A803" s="75">
        <v>38627</v>
      </c>
      <c r="B803" s="76" t="str">
        <f>TiposLancamentos!B18</f>
        <v>Alimentacao</v>
      </c>
      <c r="C803" s="1314" t="s">
        <v>2903</v>
      </c>
      <c r="D803" s="78"/>
      <c r="E803" s="1480">
        <v>2</v>
      </c>
    </row>
    <row r="804" spans="1:5">
      <c r="A804" s="75">
        <v>38635</v>
      </c>
      <c r="B804" s="76" t="str">
        <f>TiposLancamentos!B20</f>
        <v>Saques</v>
      </c>
      <c r="C804" s="1314" t="s">
        <v>2668</v>
      </c>
      <c r="D804" s="78">
        <v>10</v>
      </c>
      <c r="E804" s="1480"/>
    </row>
    <row r="805" spans="1:5">
      <c r="A805" s="75">
        <v>38635</v>
      </c>
      <c r="B805" s="76" t="str">
        <f>TiposLancamentos!B16</f>
        <v>Cristiane</v>
      </c>
      <c r="C805" s="1314" t="s">
        <v>1698</v>
      </c>
      <c r="D805" s="78"/>
      <c r="E805" s="1480">
        <v>10</v>
      </c>
    </row>
    <row r="806" spans="1:5">
      <c r="A806" s="75">
        <v>38636</v>
      </c>
      <c r="B806" s="76" t="str">
        <f>TiposLancamentos!B16</f>
        <v>Cristiane</v>
      </c>
      <c r="C806" s="1314" t="s">
        <v>2904</v>
      </c>
      <c r="D806" s="78">
        <v>4</v>
      </c>
      <c r="E806" s="1480"/>
    </row>
    <row r="807" spans="1:5">
      <c r="A807" s="75">
        <v>38636</v>
      </c>
      <c r="B807" s="76" t="str">
        <f>TiposLancamentos!B18</f>
        <v>Alimentacao</v>
      </c>
      <c r="C807" s="1314" t="s">
        <v>2566</v>
      </c>
      <c r="D807" s="78"/>
      <c r="E807" s="1480">
        <v>2.75</v>
      </c>
    </row>
    <row r="808" spans="1:5">
      <c r="A808" s="75">
        <v>38638</v>
      </c>
      <c r="B808" s="76" t="str">
        <f>TiposLancamentos!B16</f>
        <v>Cristiane</v>
      </c>
      <c r="C808" s="1314" t="s">
        <v>1698</v>
      </c>
      <c r="D808" s="78"/>
      <c r="E808" s="1480">
        <v>1.25</v>
      </c>
    </row>
    <row r="809" spans="1:5">
      <c r="A809" s="75">
        <v>38639</v>
      </c>
      <c r="B809" s="76" t="str">
        <f>TiposLancamentos!B20</f>
        <v>Saques</v>
      </c>
      <c r="C809" s="1314" t="s">
        <v>2668</v>
      </c>
      <c r="D809" s="78">
        <v>10</v>
      </c>
      <c r="E809" s="1480"/>
    </row>
    <row r="810" spans="1:5">
      <c r="A810" s="75">
        <v>38639</v>
      </c>
      <c r="B810" s="76" t="str">
        <f>TiposLancamentos!B16</f>
        <v>Cristiane</v>
      </c>
      <c r="C810" s="1314" t="s">
        <v>1698</v>
      </c>
      <c r="D810" s="78"/>
      <c r="E810" s="1480">
        <v>10</v>
      </c>
    </row>
    <row r="811" spans="1:5">
      <c r="A811" s="75">
        <v>38644</v>
      </c>
      <c r="B811" s="76" t="str">
        <f>TiposLancamentos!B20</f>
        <v>Saques</v>
      </c>
      <c r="C811" s="1314" t="s">
        <v>2668</v>
      </c>
      <c r="D811" s="78">
        <v>300</v>
      </c>
      <c r="E811" s="1480"/>
    </row>
    <row r="812" spans="1:5">
      <c r="A812" s="75">
        <v>38644</v>
      </c>
      <c r="B812" s="76" t="str">
        <f>TiposLancamentos!B16</f>
        <v>Cristiane</v>
      </c>
      <c r="C812" s="1314" t="s">
        <v>1698</v>
      </c>
      <c r="D812" s="78"/>
      <c r="E812" s="1480">
        <v>50</v>
      </c>
    </row>
    <row r="813" spans="1:5">
      <c r="A813" s="75">
        <v>38644</v>
      </c>
      <c r="B813" s="76" t="str">
        <f>TiposLancamentos!B18</f>
        <v>Alimentacao</v>
      </c>
      <c r="C813" s="1314" t="s">
        <v>2905</v>
      </c>
      <c r="D813" s="78"/>
      <c r="E813" s="1480">
        <v>4.75</v>
      </c>
    </row>
    <row r="814" spans="1:5">
      <c r="A814" s="75">
        <v>38645</v>
      </c>
      <c r="B814" s="76" t="str">
        <f>TiposLancamentos!B65</f>
        <v>Taxi</v>
      </c>
      <c r="C814" s="1314" t="s">
        <v>2906</v>
      </c>
      <c r="D814" s="78"/>
      <c r="E814" s="1480">
        <v>28</v>
      </c>
    </row>
    <row r="815" spans="1:5">
      <c r="A815" s="75">
        <v>38645</v>
      </c>
      <c r="B815" s="76" t="str">
        <f>TiposLancamentos!B18</f>
        <v>Alimentacao</v>
      </c>
      <c r="C815" s="1314" t="s">
        <v>2907</v>
      </c>
      <c r="D815" s="78"/>
      <c r="E815" s="1480">
        <v>2</v>
      </c>
    </row>
    <row r="816" spans="1:5">
      <c r="A816" s="75">
        <v>38646</v>
      </c>
      <c r="B816" s="76" t="str">
        <f>TiposLancamentos!B64</f>
        <v>Viagens</v>
      </c>
      <c r="C816" s="1314" t="s">
        <v>2908</v>
      </c>
      <c r="D816" s="78"/>
      <c r="E816" s="1480">
        <v>45</v>
      </c>
    </row>
    <row r="817" spans="1:5">
      <c r="A817" s="75">
        <v>38646</v>
      </c>
      <c r="B817" s="76" t="str">
        <f>TiposLancamentos!B18</f>
        <v>Alimentacao</v>
      </c>
      <c r="C817" s="1314" t="s">
        <v>2909</v>
      </c>
      <c r="D817" s="78"/>
      <c r="E817" s="1480">
        <v>2</v>
      </c>
    </row>
    <row r="818" spans="1:5">
      <c r="A818" s="75">
        <v>38646</v>
      </c>
      <c r="B818" s="76" t="str">
        <f>TiposLancamentos!B64</f>
        <v>Viagens</v>
      </c>
      <c r="C818" s="1314" t="s">
        <v>2910</v>
      </c>
      <c r="D818" s="78"/>
      <c r="E818" s="1480">
        <v>8.5</v>
      </c>
    </row>
    <row r="819" spans="1:5">
      <c r="A819" s="75">
        <v>38647</v>
      </c>
      <c r="B819" s="76" t="str">
        <f>TiposLancamentos!B69</f>
        <v>Consertos</v>
      </c>
      <c r="C819" s="1314" t="s">
        <v>2911</v>
      </c>
      <c r="D819" s="78"/>
      <c r="E819" s="1480">
        <v>15</v>
      </c>
    </row>
    <row r="820" spans="1:5">
      <c r="A820" s="75">
        <v>38648</v>
      </c>
      <c r="B820" s="76" t="str">
        <f>TiposLancamentos!B18</f>
        <v>Alimentacao</v>
      </c>
      <c r="C820" s="1314" t="s">
        <v>2912</v>
      </c>
      <c r="D820" s="78"/>
      <c r="E820" s="1480">
        <v>5.6</v>
      </c>
    </row>
    <row r="821" spans="1:5">
      <c r="A821" s="75">
        <v>38648</v>
      </c>
      <c r="B821" s="76" t="str">
        <f>TiposLancamentos!B18</f>
        <v>Alimentacao</v>
      </c>
      <c r="C821" s="1314" t="s">
        <v>2913</v>
      </c>
      <c r="D821" s="78"/>
      <c r="E821" s="1480">
        <v>5</v>
      </c>
    </row>
    <row r="822" spans="1:5">
      <c r="A822" s="75">
        <v>38649</v>
      </c>
      <c r="B822" s="76" t="str">
        <f>TiposLancamentos!B54</f>
        <v>Metro</v>
      </c>
      <c r="C822" s="1314" t="s">
        <v>2914</v>
      </c>
      <c r="D822" s="78"/>
      <c r="E822" s="1480">
        <v>2.1</v>
      </c>
    </row>
    <row r="823" spans="1:5">
      <c r="A823" s="75">
        <v>38649</v>
      </c>
      <c r="B823" s="76" t="str">
        <f>TiposLancamentos!B65</f>
        <v>Taxi</v>
      </c>
      <c r="C823" s="1314" t="s">
        <v>2915</v>
      </c>
      <c r="D823" s="78"/>
      <c r="E823" s="1480">
        <v>8</v>
      </c>
    </row>
    <row r="824" spans="1:5">
      <c r="A824" s="75">
        <v>38649</v>
      </c>
      <c r="B824" s="76" t="str">
        <f>TiposLancamentos!B55</f>
        <v>Onibus Urbano</v>
      </c>
      <c r="C824" s="1314" t="s">
        <v>2916</v>
      </c>
      <c r="D824" s="78"/>
      <c r="E824" s="1480">
        <v>2</v>
      </c>
    </row>
    <row r="825" spans="1:5">
      <c r="A825" s="75">
        <v>38649</v>
      </c>
      <c r="B825" s="76" t="str">
        <f>TiposLancamentos!B54</f>
        <v>Metro</v>
      </c>
      <c r="C825" s="1314" t="s">
        <v>2914</v>
      </c>
      <c r="D825" s="78"/>
      <c r="E825" s="1480">
        <v>2.1</v>
      </c>
    </row>
    <row r="826" spans="1:5">
      <c r="A826" s="75">
        <v>38649</v>
      </c>
      <c r="B826" s="76" t="str">
        <f>TiposLancamentos!B55</f>
        <v>Onibus Urbano</v>
      </c>
      <c r="C826" s="1314" t="s">
        <v>2916</v>
      </c>
      <c r="D826" s="78"/>
      <c r="E826" s="1480">
        <v>2</v>
      </c>
    </row>
    <row r="827" spans="1:5">
      <c r="A827" s="75">
        <v>38649</v>
      </c>
      <c r="B827" s="76" t="str">
        <f>TiposLancamentos!B18</f>
        <v>Alimentacao</v>
      </c>
      <c r="C827" s="1314" t="s">
        <v>2879</v>
      </c>
      <c r="D827" s="78"/>
      <c r="E827" s="1480">
        <v>15.4</v>
      </c>
    </row>
    <row r="828" spans="1:5">
      <c r="A828" s="75">
        <v>38649</v>
      </c>
      <c r="B828" s="76" t="str">
        <f>TiposLancamentos!B72</f>
        <v>Presentes</v>
      </c>
      <c r="C828" s="1314" t="s">
        <v>2917</v>
      </c>
      <c r="D828" s="78"/>
      <c r="E828" s="1480">
        <v>18.899999999999999</v>
      </c>
    </row>
    <row r="829" spans="1:5">
      <c r="A829" s="75">
        <v>38649</v>
      </c>
      <c r="B829" s="76" t="str">
        <f>TiposLancamentos!B65</f>
        <v>Taxi</v>
      </c>
      <c r="C829" s="1314" t="s">
        <v>2918</v>
      </c>
      <c r="D829" s="78"/>
      <c r="E829" s="1480">
        <v>31</v>
      </c>
    </row>
    <row r="830" spans="1:5">
      <c r="A830" s="75">
        <v>38649</v>
      </c>
      <c r="B830" s="76" t="str">
        <f>TiposLancamentos!B90</f>
        <v>Locadora</v>
      </c>
      <c r="C830" s="1314" t="s">
        <v>2919</v>
      </c>
      <c r="D830" s="78"/>
      <c r="E830" s="1480">
        <v>12</v>
      </c>
    </row>
    <row r="831" spans="1:5">
      <c r="A831" s="75">
        <v>38649</v>
      </c>
      <c r="B831" s="76" t="str">
        <f>TiposLancamentos!B18</f>
        <v>Alimentacao</v>
      </c>
      <c r="C831" s="1314" t="s">
        <v>2920</v>
      </c>
      <c r="D831" s="78"/>
      <c r="E831" s="1480">
        <v>1.5</v>
      </c>
    </row>
    <row r="832" spans="1:5">
      <c r="A832" s="75">
        <v>38650</v>
      </c>
      <c r="B832" s="76" t="str">
        <f>TiposLancamentos!B18</f>
        <v>Alimentacao</v>
      </c>
      <c r="C832" s="1314" t="s">
        <v>2921</v>
      </c>
      <c r="D832" s="78"/>
      <c r="E832" s="1480">
        <v>1.3</v>
      </c>
    </row>
    <row r="833" spans="1:5">
      <c r="A833" s="75">
        <v>38650</v>
      </c>
      <c r="B833" s="76" t="str">
        <f>TiposLancamentos!B16</f>
        <v>Cristiane</v>
      </c>
      <c r="C833" s="1314" t="s">
        <v>2922</v>
      </c>
      <c r="D833" s="78"/>
      <c r="E833" s="1480">
        <v>20</v>
      </c>
    </row>
    <row r="834" spans="1:5">
      <c r="A834" s="75">
        <v>38650</v>
      </c>
      <c r="B834" s="76" t="str">
        <f>TiposLancamentos!B18</f>
        <v>Alimentacao</v>
      </c>
      <c r="C834" s="1314" t="s">
        <v>2923</v>
      </c>
      <c r="D834" s="78"/>
      <c r="E834" s="1480">
        <v>2.75</v>
      </c>
    </row>
    <row r="835" spans="1:5">
      <c r="A835" s="75">
        <v>38650</v>
      </c>
      <c r="B835" s="76" t="str">
        <f>TiposLancamentos!B18</f>
        <v>Alimentacao</v>
      </c>
      <c r="C835" s="1314" t="s">
        <v>2923</v>
      </c>
      <c r="D835" s="78"/>
      <c r="E835" s="1480">
        <v>1.6</v>
      </c>
    </row>
    <row r="836" spans="1:5">
      <c r="A836" s="75">
        <v>38651</v>
      </c>
      <c r="B836" s="76" t="str">
        <f>TiposLancamentos!B18</f>
        <v>Alimentacao</v>
      </c>
      <c r="C836" s="1314" t="s">
        <v>2923</v>
      </c>
      <c r="D836" s="78"/>
      <c r="E836" s="1480">
        <v>2.75</v>
      </c>
    </row>
    <row r="837" spans="1:5">
      <c r="A837" s="75">
        <v>38652</v>
      </c>
      <c r="B837" s="76" t="str">
        <f>TiposLancamentos!B18</f>
        <v>Alimentacao</v>
      </c>
      <c r="C837" s="1314" t="s">
        <v>2924</v>
      </c>
      <c r="D837" s="78"/>
      <c r="E837" s="1480">
        <v>0.8</v>
      </c>
    </row>
    <row r="838" spans="1:5">
      <c r="A838" s="75">
        <v>38652</v>
      </c>
      <c r="B838" s="76" t="str">
        <f>TiposLancamentos!B18</f>
        <v>Alimentacao</v>
      </c>
      <c r="C838" s="1314" t="s">
        <v>2923</v>
      </c>
      <c r="D838" s="78"/>
      <c r="E838" s="1480">
        <v>2.75</v>
      </c>
    </row>
    <row r="839" spans="1:5">
      <c r="A839" s="75">
        <v>38654</v>
      </c>
      <c r="B839" s="76" t="str">
        <f>TiposLancamentos!B18</f>
        <v>Alimentacao</v>
      </c>
      <c r="C839" s="1314" t="s">
        <v>2925</v>
      </c>
      <c r="D839" s="78"/>
      <c r="E839" s="1480">
        <v>2.2000000000000002</v>
      </c>
    </row>
    <row r="840" spans="1:5">
      <c r="A840" s="75">
        <v>38654</v>
      </c>
      <c r="B840" s="76" t="str">
        <f>TiposLancamentos!B24</f>
        <v>Estacionamentos</v>
      </c>
      <c r="C840" s="1314" t="s">
        <v>2527</v>
      </c>
      <c r="D840" s="78"/>
      <c r="E840" s="1480">
        <v>2</v>
      </c>
    </row>
    <row r="841" spans="1:5">
      <c r="A841" s="75">
        <v>38654</v>
      </c>
      <c r="B841" s="76" t="str">
        <f>TiposLancamentos!B78</f>
        <v>Diferenças</v>
      </c>
      <c r="C841" s="1314" t="s">
        <v>2926</v>
      </c>
      <c r="D841" s="78"/>
      <c r="E841" s="1480">
        <v>3</v>
      </c>
    </row>
    <row r="842" spans="1:5">
      <c r="A842" s="75">
        <v>38655</v>
      </c>
      <c r="B842" s="76" t="str">
        <f>TiposLancamentos!B20</f>
        <v>Saques</v>
      </c>
      <c r="C842" s="1314" t="s">
        <v>2668</v>
      </c>
      <c r="D842" s="78">
        <v>20</v>
      </c>
      <c r="E842" s="1480"/>
    </row>
    <row r="843" spans="1:5">
      <c r="A843" s="75">
        <v>38655</v>
      </c>
      <c r="B843" s="76" t="str">
        <f>TiposLancamentos!B62</f>
        <v>Papelaria</v>
      </c>
      <c r="C843" s="1314" t="s">
        <v>2927</v>
      </c>
      <c r="D843" s="78"/>
      <c r="E843" s="1480">
        <v>14.2</v>
      </c>
    </row>
    <row r="844" spans="1:5">
      <c r="A844" s="75">
        <v>38656</v>
      </c>
      <c r="B844" s="76" t="str">
        <f>TiposLancamentos!B20</f>
        <v>Saques</v>
      </c>
      <c r="C844" s="1314" t="s">
        <v>2668</v>
      </c>
      <c r="D844" s="78">
        <v>42.58</v>
      </c>
      <c r="E844" s="1480"/>
    </row>
    <row r="845" spans="1:5">
      <c r="A845" s="75">
        <v>38656</v>
      </c>
      <c r="B845" s="76" t="str">
        <f>TiposLancamentos!B15</f>
        <v>Cartões de Crédito</v>
      </c>
      <c r="C845" s="1314" t="s">
        <v>2928</v>
      </c>
      <c r="D845" s="78"/>
      <c r="E845" s="1480">
        <v>2.58</v>
      </c>
    </row>
    <row r="846" spans="1:5">
      <c r="A846" s="75">
        <v>38656</v>
      </c>
      <c r="B846" s="76" t="str">
        <f>TiposLancamentos!B71</f>
        <v>Itens Pessoais</v>
      </c>
      <c r="C846" s="1314" t="s">
        <v>2929</v>
      </c>
      <c r="D846" s="78"/>
      <c r="E846" s="1480">
        <v>25</v>
      </c>
    </row>
    <row r="847" spans="1:5">
      <c r="A847" s="75">
        <v>38656</v>
      </c>
      <c r="B847" s="76" t="str">
        <f>TiposLancamentos!B16</f>
        <v>Cristiane</v>
      </c>
      <c r="C847" s="1314" t="s">
        <v>1698</v>
      </c>
      <c r="D847" s="78"/>
      <c r="E847" s="1480">
        <v>15.8</v>
      </c>
    </row>
    <row r="848" spans="1:5">
      <c r="A848" s="79">
        <v>38656</v>
      </c>
      <c r="B848" s="80" t="str">
        <f>TiposLancamentos!B18</f>
        <v>Alimentacao</v>
      </c>
      <c r="C848" s="1586" t="s">
        <v>2930</v>
      </c>
      <c r="D848" s="78"/>
      <c r="E848" s="1480">
        <v>3.75</v>
      </c>
    </row>
    <row r="849" spans="1:5">
      <c r="A849" s="75"/>
      <c r="B849" s="76"/>
      <c r="C849" s="1314" t="s">
        <v>2931</v>
      </c>
      <c r="D849" s="74"/>
      <c r="E849" s="1585"/>
    </row>
    <row r="850" spans="1:5">
      <c r="A850" s="75">
        <v>38658</v>
      </c>
      <c r="B850" s="76" t="str">
        <f>TiposLancamentos!B20</f>
        <v>Saques</v>
      </c>
      <c r="C850" s="1314" t="s">
        <v>2668</v>
      </c>
      <c r="D850" s="78">
        <v>10</v>
      </c>
      <c r="E850" s="1480"/>
    </row>
    <row r="851" spans="1:5">
      <c r="A851" s="75">
        <v>38659</v>
      </c>
      <c r="B851" s="76" t="str">
        <f>TiposLancamentos!B77</f>
        <v>Esporádico</v>
      </c>
      <c r="C851" s="1314" t="s">
        <v>2932</v>
      </c>
      <c r="D851" s="78"/>
      <c r="E851" s="1480">
        <v>5</v>
      </c>
    </row>
    <row r="852" spans="1:5">
      <c r="A852" s="75">
        <v>38659</v>
      </c>
      <c r="B852" s="76" t="str">
        <f>TiposLancamentos!B61</f>
        <v>Xerox</v>
      </c>
      <c r="C852" s="1314" t="s">
        <v>2933</v>
      </c>
      <c r="D852" s="78"/>
      <c r="E852" s="1480">
        <v>1</v>
      </c>
    </row>
    <row r="853" spans="1:5">
      <c r="A853" s="75">
        <v>38659</v>
      </c>
      <c r="B853" s="76" t="str">
        <f>TiposLancamentos!B18</f>
        <v>Alimentacao</v>
      </c>
      <c r="C853" s="1314" t="s">
        <v>2934</v>
      </c>
      <c r="D853" s="78"/>
      <c r="E853" s="1480">
        <v>2.75</v>
      </c>
    </row>
    <row r="854" spans="1:5">
      <c r="A854" s="75">
        <v>38659</v>
      </c>
      <c r="B854" s="76" t="str">
        <f>TiposLancamentos!B18</f>
        <v>Alimentacao</v>
      </c>
      <c r="C854" s="1314" t="s">
        <v>2762</v>
      </c>
      <c r="D854" s="78"/>
      <c r="E854" s="1480">
        <v>1</v>
      </c>
    </row>
    <row r="855" spans="1:5">
      <c r="A855" s="75">
        <v>38660</v>
      </c>
      <c r="B855" s="76" t="str">
        <f>TiposLancamentos!B18</f>
        <v>Alimentacao</v>
      </c>
      <c r="C855" s="1314" t="s">
        <v>2892</v>
      </c>
      <c r="D855" s="78"/>
      <c r="E855" s="1480">
        <v>1</v>
      </c>
    </row>
    <row r="856" spans="1:5">
      <c r="A856" s="75">
        <v>38663</v>
      </c>
      <c r="B856" s="76" t="str">
        <f>TiposLancamentos!B16</f>
        <v>Cristiane</v>
      </c>
      <c r="C856" s="1314" t="s">
        <v>1698</v>
      </c>
      <c r="D856" s="78"/>
      <c r="E856" s="1480">
        <v>0.5</v>
      </c>
    </row>
    <row r="857" spans="1:5">
      <c r="A857" s="75">
        <v>38664</v>
      </c>
      <c r="B857" s="76" t="str">
        <f>TiposLancamentos!B16</f>
        <v>Cristiane</v>
      </c>
      <c r="C857" s="1314" t="s">
        <v>1698</v>
      </c>
      <c r="D857" s="78">
        <v>6</v>
      </c>
      <c r="E857" s="1480"/>
    </row>
    <row r="858" spans="1:5">
      <c r="A858" s="75">
        <v>38664</v>
      </c>
      <c r="B858" s="76" t="str">
        <f>TiposLancamentos!B18</f>
        <v>Alimentacao</v>
      </c>
      <c r="C858" s="1314" t="s">
        <v>2566</v>
      </c>
      <c r="D858" s="78"/>
      <c r="E858" s="1480">
        <v>2.75</v>
      </c>
    </row>
    <row r="859" spans="1:5">
      <c r="A859" s="75">
        <v>38666</v>
      </c>
      <c r="B859" s="76" t="str">
        <f>TiposLancamentos!B16</f>
        <v>Cristiane</v>
      </c>
      <c r="C859" s="1314" t="s">
        <v>1698</v>
      </c>
      <c r="D859" s="78">
        <v>50</v>
      </c>
      <c r="E859" s="1480"/>
    </row>
    <row r="860" spans="1:5">
      <c r="A860" s="75">
        <v>38666</v>
      </c>
      <c r="B860" s="76" t="str">
        <f>TiposLancamentos!B18</f>
        <v>Alimentacao</v>
      </c>
      <c r="C860" s="1314" t="s">
        <v>2934</v>
      </c>
      <c r="D860" s="78"/>
      <c r="E860" s="1480">
        <v>2.75</v>
      </c>
    </row>
    <row r="861" spans="1:5">
      <c r="A861" s="75">
        <v>38667</v>
      </c>
      <c r="B861" s="76" t="str">
        <f>TiposLancamentos!B19</f>
        <v>Restaurantes</v>
      </c>
      <c r="C861" s="1314" t="s">
        <v>1841</v>
      </c>
      <c r="D861" s="78"/>
      <c r="E861" s="1480">
        <v>12</v>
      </c>
    </row>
    <row r="862" spans="1:5">
      <c r="A862" s="75">
        <v>38667</v>
      </c>
      <c r="B862" s="76" t="str">
        <f>TiposLancamentos!B19</f>
        <v>Restaurantes</v>
      </c>
      <c r="C862" s="1314" t="s">
        <v>2654</v>
      </c>
      <c r="D862" s="78"/>
      <c r="E862" s="1480">
        <v>32</v>
      </c>
    </row>
    <row r="863" spans="1:5">
      <c r="A863" s="75">
        <v>38668</v>
      </c>
      <c r="B863" s="76" t="str">
        <f>TiposLancamentos!B16</f>
        <v>Cristiane</v>
      </c>
      <c r="C863" s="1314" t="s">
        <v>1698</v>
      </c>
      <c r="D863" s="78">
        <v>10</v>
      </c>
      <c r="E863" s="1480"/>
    </row>
    <row r="864" spans="1:5">
      <c r="A864" s="75">
        <v>38668</v>
      </c>
      <c r="B864" s="76" t="str">
        <f>TiposLancamentos!B71</f>
        <v>Itens Pessoais</v>
      </c>
      <c r="C864" s="1314" t="s">
        <v>2902</v>
      </c>
      <c r="D864" s="78"/>
      <c r="E864" s="1480">
        <v>15</v>
      </c>
    </row>
    <row r="865" spans="1:5">
      <c r="A865" s="75">
        <v>38668</v>
      </c>
      <c r="B865" s="76" t="str">
        <f>TiposLancamentos!B20</f>
        <v>Saques</v>
      </c>
      <c r="C865" s="1314" t="s">
        <v>2668</v>
      </c>
      <c r="D865" s="78">
        <v>70</v>
      </c>
      <c r="E865" s="1480"/>
    </row>
    <row r="866" spans="1:5">
      <c r="A866" s="75">
        <v>38668</v>
      </c>
      <c r="B866" s="76" t="str">
        <f>TiposLancamentos!B18</f>
        <v>Alimentacao</v>
      </c>
      <c r="C866" s="1314" t="s">
        <v>2683</v>
      </c>
      <c r="D866" s="78"/>
      <c r="E866" s="1480">
        <v>4.4000000000000004</v>
      </c>
    </row>
    <row r="867" spans="1:5">
      <c r="A867" s="75">
        <v>38668</v>
      </c>
      <c r="B867" s="76" t="str">
        <f>TiposLancamentos!B17</f>
        <v>GATO</v>
      </c>
      <c r="C867" s="1314" t="s">
        <v>2935</v>
      </c>
      <c r="D867" s="78"/>
      <c r="E867" s="1480">
        <v>5</v>
      </c>
    </row>
    <row r="868" spans="1:5">
      <c r="A868" s="75">
        <v>38668</v>
      </c>
      <c r="B868" s="76" t="str">
        <f>TiposLancamentos!B16</f>
        <v>Cristiane</v>
      </c>
      <c r="C868" s="1314" t="s">
        <v>1698</v>
      </c>
      <c r="D868" s="78"/>
      <c r="E868" s="1480">
        <v>60</v>
      </c>
    </row>
    <row r="869" spans="1:5">
      <c r="A869" s="75">
        <v>38668</v>
      </c>
      <c r="B869" s="76" t="str">
        <f>TiposLancamentos!B18</f>
        <v>Alimentacao</v>
      </c>
      <c r="C869" s="1314" t="s">
        <v>2936</v>
      </c>
      <c r="D869" s="78"/>
      <c r="E869" s="1480">
        <v>1.3</v>
      </c>
    </row>
    <row r="870" spans="1:5">
      <c r="A870" s="75">
        <v>38670</v>
      </c>
      <c r="B870" s="76" t="str">
        <f>TiposLancamentos!B16</f>
        <v>Cristiane</v>
      </c>
      <c r="C870" s="1314" t="s">
        <v>1698</v>
      </c>
      <c r="D870" s="78">
        <v>110</v>
      </c>
      <c r="E870" s="1480"/>
    </row>
    <row r="871" spans="1:5">
      <c r="A871" s="75">
        <v>38670</v>
      </c>
      <c r="B871" s="76" t="str">
        <f>TiposLancamentos!B8</f>
        <v>Aluguel</v>
      </c>
      <c r="C871" s="1314" t="s">
        <v>1682</v>
      </c>
      <c r="D871" s="78"/>
      <c r="E871" s="1480">
        <v>110</v>
      </c>
    </row>
    <row r="872" spans="1:5">
      <c r="A872" s="75">
        <v>38678</v>
      </c>
      <c r="B872" s="76" t="str">
        <f>TiposLancamentos!B16</f>
        <v>Cristiane</v>
      </c>
      <c r="C872" s="1314" t="s">
        <v>1698</v>
      </c>
      <c r="D872" s="78">
        <v>12</v>
      </c>
      <c r="E872" s="1480"/>
    </row>
    <row r="873" spans="1:5">
      <c r="A873" s="75">
        <v>38678</v>
      </c>
      <c r="B873" s="76" t="str">
        <f>TiposLancamentos!B59</f>
        <v>Documentos</v>
      </c>
      <c r="C873" s="1314" t="s">
        <v>2937</v>
      </c>
      <c r="D873" s="78"/>
      <c r="E873" s="1480">
        <v>1.8</v>
      </c>
    </row>
    <row r="874" spans="1:5">
      <c r="A874" s="75">
        <v>38679</v>
      </c>
      <c r="B874" s="76" t="str">
        <f>TiposLancamentos!B18</f>
        <v>Alimentacao</v>
      </c>
      <c r="C874" s="1314" t="s">
        <v>2771</v>
      </c>
      <c r="D874" s="78"/>
      <c r="E874" s="1480">
        <v>4.2</v>
      </c>
    </row>
    <row r="875" spans="1:5">
      <c r="A875" s="75">
        <v>38679</v>
      </c>
      <c r="B875" s="76" t="str">
        <f>TiposLancamentos!B24</f>
        <v>Estacionamentos</v>
      </c>
      <c r="C875" s="1314" t="s">
        <v>2527</v>
      </c>
      <c r="D875" s="78"/>
      <c r="E875" s="1480">
        <v>3</v>
      </c>
    </row>
    <row r="876" spans="1:5">
      <c r="A876" s="75">
        <v>38683</v>
      </c>
      <c r="B876" s="76" t="str">
        <f>TiposLancamentos!B20</f>
        <v>Saques</v>
      </c>
      <c r="C876" s="1314" t="s">
        <v>2938</v>
      </c>
      <c r="D876" s="78">
        <v>110</v>
      </c>
      <c r="E876" s="1480"/>
    </row>
    <row r="877" spans="1:5">
      <c r="A877" s="75">
        <v>38683</v>
      </c>
      <c r="B877" s="76" t="str">
        <f>B872</f>
        <v>Cristiane</v>
      </c>
      <c r="C877" s="1314" t="s">
        <v>1698</v>
      </c>
      <c r="D877" s="78"/>
      <c r="E877" s="1480">
        <v>10</v>
      </c>
    </row>
    <row r="878" spans="1:5">
      <c r="A878" s="75">
        <v>38683</v>
      </c>
      <c r="B878" s="76" t="str">
        <f>TiposLancamentos!B18</f>
        <v>Alimentacao</v>
      </c>
      <c r="C878" s="1314" t="s">
        <v>2939</v>
      </c>
      <c r="D878" s="78"/>
      <c r="E878" s="1480">
        <v>5.7</v>
      </c>
    </row>
    <row r="879" spans="1:5">
      <c r="A879" s="75">
        <v>38683</v>
      </c>
      <c r="B879" s="76" t="str">
        <f>TiposLancamentos!B54</f>
        <v>Metro</v>
      </c>
      <c r="C879" s="1314" t="s">
        <v>2940</v>
      </c>
      <c r="D879" s="78"/>
      <c r="E879" s="1480">
        <v>2.1</v>
      </c>
    </row>
    <row r="880" spans="1:5">
      <c r="A880" s="75">
        <v>38684</v>
      </c>
      <c r="B880" s="76" t="str">
        <f>TiposLancamentos!B65</f>
        <v>Taxi</v>
      </c>
      <c r="C880" s="1314" t="s">
        <v>1792</v>
      </c>
      <c r="D880" s="78"/>
      <c r="E880" s="1480">
        <v>15</v>
      </c>
    </row>
    <row r="881" spans="1:5">
      <c r="A881" s="75">
        <v>38684</v>
      </c>
      <c r="B881" s="76" t="str">
        <f>TiposLancamentos!B54</f>
        <v>Metro</v>
      </c>
      <c r="C881" s="1314" t="s">
        <v>2940</v>
      </c>
      <c r="D881" s="78"/>
      <c r="E881" s="1480">
        <v>2.1</v>
      </c>
    </row>
    <row r="882" spans="1:5">
      <c r="A882" s="75">
        <v>38684</v>
      </c>
      <c r="B882" s="76" t="str">
        <f>TiposLancamentos!B18</f>
        <v>Alimentacao</v>
      </c>
      <c r="C882" s="1314" t="s">
        <v>2634</v>
      </c>
      <c r="D882" s="78"/>
      <c r="E882" s="1480">
        <v>3.9</v>
      </c>
    </row>
    <row r="883" spans="1:5">
      <c r="A883" s="75">
        <v>38684</v>
      </c>
      <c r="B883" s="76" t="str">
        <f>TiposLancamentos!B61</f>
        <v>Xerox</v>
      </c>
      <c r="C883" s="1314" t="s">
        <v>2933</v>
      </c>
      <c r="D883" s="78"/>
      <c r="E883" s="1480">
        <v>0.5</v>
      </c>
    </row>
    <row r="884" spans="1:5">
      <c r="A884" s="75">
        <v>38684</v>
      </c>
      <c r="B884" s="76" t="str">
        <f>TiposLancamentos!B19</f>
        <v>Restaurantes</v>
      </c>
      <c r="C884" s="1314" t="s">
        <v>2941</v>
      </c>
      <c r="D884" s="78"/>
      <c r="E884" s="1480">
        <v>9.75</v>
      </c>
    </row>
    <row r="885" spans="1:5">
      <c r="A885" s="75">
        <v>38684</v>
      </c>
      <c r="B885" s="76" t="str">
        <f>TiposLancamentos!B19</f>
        <v>Restaurantes</v>
      </c>
      <c r="C885" s="1314" t="s">
        <v>2942</v>
      </c>
      <c r="D885" s="78"/>
      <c r="E885" s="1480">
        <v>3.6</v>
      </c>
    </row>
    <row r="886" spans="1:5">
      <c r="A886" s="75">
        <v>38684</v>
      </c>
      <c r="B886" s="76" t="str">
        <f>TiposLancamentos!B18</f>
        <v>Alimentacao</v>
      </c>
      <c r="C886" s="1314" t="s">
        <v>2943</v>
      </c>
      <c r="D886" s="78"/>
      <c r="E886" s="1480">
        <v>1.3</v>
      </c>
    </row>
    <row r="887" spans="1:5">
      <c r="A887" s="75">
        <v>38685</v>
      </c>
      <c r="B887" s="76" t="str">
        <f>TiposLancamentos!B18</f>
        <v>Alimentacao</v>
      </c>
      <c r="C887" s="1314" t="s">
        <v>2944</v>
      </c>
      <c r="D887" s="78"/>
      <c r="E887" s="1480">
        <v>1.5</v>
      </c>
    </row>
    <row r="888" spans="1:5">
      <c r="A888" s="75">
        <v>38685</v>
      </c>
      <c r="B888" s="76" t="str">
        <f>TiposLancamentos!B55</f>
        <v>Onibus Urbano</v>
      </c>
      <c r="C888" s="1314" t="s">
        <v>2624</v>
      </c>
      <c r="D888" s="78"/>
      <c r="E888" s="1480">
        <v>2</v>
      </c>
    </row>
    <row r="889" spans="1:5">
      <c r="A889" s="75">
        <v>38685</v>
      </c>
      <c r="B889" s="76" t="str">
        <f>TiposLancamentos!B55</f>
        <v>Onibus Urbano</v>
      </c>
      <c r="C889" s="1314" t="s">
        <v>2624</v>
      </c>
      <c r="D889" s="78"/>
      <c r="E889" s="1480">
        <v>2</v>
      </c>
    </row>
    <row r="890" spans="1:5">
      <c r="A890" s="75">
        <v>38685</v>
      </c>
      <c r="B890" s="76" t="str">
        <f>TiposLancamentos!B19</f>
        <v>Restaurantes</v>
      </c>
      <c r="C890" s="1314" t="s">
        <v>2654</v>
      </c>
      <c r="D890" s="78"/>
      <c r="E890" s="1480">
        <v>10</v>
      </c>
    </row>
    <row r="891" spans="1:5">
      <c r="A891" s="75">
        <v>38686</v>
      </c>
      <c r="B891" s="76" t="str">
        <f>TiposLancamentos!B54</f>
        <v>Metro</v>
      </c>
      <c r="C891" s="1314" t="s">
        <v>2940</v>
      </c>
      <c r="D891" s="78"/>
      <c r="E891" s="1480">
        <v>2.1</v>
      </c>
    </row>
    <row r="892" spans="1:5">
      <c r="A892" s="75">
        <v>38686</v>
      </c>
      <c r="B892" s="76" t="str">
        <f>TiposLancamentos!B19</f>
        <v>Restaurantes</v>
      </c>
      <c r="C892" s="1314" t="s">
        <v>2618</v>
      </c>
      <c r="D892" s="78"/>
      <c r="E892" s="1480">
        <v>10.54</v>
      </c>
    </row>
    <row r="893" spans="1:5">
      <c r="A893" s="75">
        <v>38686</v>
      </c>
      <c r="B893" s="76" t="str">
        <f>TiposLancamentos!B54</f>
        <v>Metro</v>
      </c>
      <c r="C893" s="1314" t="s">
        <v>2940</v>
      </c>
      <c r="D893" s="78"/>
      <c r="E893" s="1480">
        <v>2.1</v>
      </c>
    </row>
    <row r="894" spans="1:5">
      <c r="A894" s="75">
        <v>38686</v>
      </c>
      <c r="B894" s="76" t="str">
        <f>TiposLancamentos!B18</f>
        <v>Alimentacao</v>
      </c>
      <c r="C894" s="1314" t="s">
        <v>2945</v>
      </c>
      <c r="D894" s="78"/>
      <c r="E894" s="1480">
        <v>1.3</v>
      </c>
    </row>
    <row r="895" spans="1:5">
      <c r="A895" s="75">
        <v>38686</v>
      </c>
      <c r="B895" s="76" t="str">
        <f>TiposLancamentos!B62</f>
        <v>Papelaria</v>
      </c>
      <c r="C895" s="1314" t="s">
        <v>2946</v>
      </c>
      <c r="D895" s="82"/>
      <c r="E895" s="1583">
        <v>2.5</v>
      </c>
    </row>
    <row r="896" spans="1:5">
      <c r="A896" s="83"/>
      <c r="B896" s="37"/>
      <c r="C896" s="1584" t="s">
        <v>2947</v>
      </c>
      <c r="D896" s="78"/>
      <c r="E896" s="1480"/>
    </row>
    <row r="897" spans="1:5">
      <c r="A897" s="75">
        <v>38687</v>
      </c>
      <c r="B897" s="76" t="str">
        <f>TiposLancamentos!B54</f>
        <v>Metro</v>
      </c>
      <c r="C897" s="1314" t="s">
        <v>1771</v>
      </c>
      <c r="D897" s="78"/>
      <c r="E897" s="1480">
        <v>2.1</v>
      </c>
    </row>
    <row r="898" spans="1:5">
      <c r="A898" s="75">
        <v>38687</v>
      </c>
      <c r="B898" s="76" t="str">
        <f>TiposLancamentos!B55</f>
        <v>Onibus Urbano</v>
      </c>
      <c r="C898" s="1314" t="s">
        <v>2624</v>
      </c>
      <c r="D898" s="78"/>
      <c r="E898" s="1480">
        <v>2</v>
      </c>
    </row>
    <row r="899" spans="1:5">
      <c r="A899" s="75">
        <v>38687</v>
      </c>
      <c r="B899" s="76" t="str">
        <f>TiposLancamentos!B18</f>
        <v>Alimentacao</v>
      </c>
      <c r="C899" s="1314" t="s">
        <v>2948</v>
      </c>
      <c r="D899" s="78"/>
      <c r="E899" s="1480">
        <v>1</v>
      </c>
    </row>
    <row r="900" spans="1:5">
      <c r="A900" s="75">
        <v>38687</v>
      </c>
      <c r="B900" s="76" t="str">
        <f>B898</f>
        <v>Onibus Urbano</v>
      </c>
      <c r="C900" s="1314" t="s">
        <v>2624</v>
      </c>
      <c r="D900" s="78"/>
      <c r="E900" s="1480">
        <v>2</v>
      </c>
    </row>
    <row r="901" spans="1:5">
      <c r="A901" s="75">
        <v>38687</v>
      </c>
      <c r="B901" s="76" t="str">
        <f>TiposLancamentos!B54</f>
        <v>Metro</v>
      </c>
      <c r="C901" s="1314" t="s">
        <v>1771</v>
      </c>
      <c r="D901" s="78"/>
      <c r="E901" s="1480">
        <v>2.1</v>
      </c>
    </row>
    <row r="902" spans="1:5">
      <c r="A902" s="75">
        <v>38688</v>
      </c>
      <c r="B902" s="76" t="str">
        <f>TiposLancamentos!B55</f>
        <v>Onibus Urbano</v>
      </c>
      <c r="C902" s="1314" t="s">
        <v>2624</v>
      </c>
      <c r="D902" s="78"/>
      <c r="E902" s="1480">
        <v>2</v>
      </c>
    </row>
    <row r="903" spans="1:5">
      <c r="A903" s="75">
        <v>38688</v>
      </c>
      <c r="B903" s="76" t="str">
        <f>TiposLancamentos!B55</f>
        <v>Onibus Urbano</v>
      </c>
      <c r="C903" s="1314" t="s">
        <v>2624</v>
      </c>
      <c r="D903" s="78"/>
      <c r="E903" s="1480">
        <v>2</v>
      </c>
    </row>
    <row r="904" spans="1:5">
      <c r="A904" s="75">
        <v>38688</v>
      </c>
      <c r="B904" s="76" t="str">
        <f>TiposLancamentos!B20</f>
        <v>Saques</v>
      </c>
      <c r="C904" s="1314" t="s">
        <v>2876</v>
      </c>
      <c r="D904" s="78">
        <v>20</v>
      </c>
      <c r="E904" s="1480"/>
    </row>
    <row r="905" spans="1:5">
      <c r="A905" s="75">
        <v>38688</v>
      </c>
      <c r="B905" s="76" t="str">
        <f>TiposLancamentos!B54</f>
        <v>Metro</v>
      </c>
      <c r="C905" s="1314" t="s">
        <v>2949</v>
      </c>
      <c r="D905" s="78"/>
      <c r="E905" s="1480">
        <v>2.1</v>
      </c>
    </row>
    <row r="906" spans="1:5">
      <c r="A906" s="75">
        <v>38688</v>
      </c>
      <c r="B906" s="76" t="str">
        <f>TiposLancamentos!B65</f>
        <v>Taxi</v>
      </c>
      <c r="C906" s="1314" t="s">
        <v>2950</v>
      </c>
      <c r="D906" s="78"/>
      <c r="E906" s="1480">
        <v>8</v>
      </c>
    </row>
    <row r="907" spans="1:5">
      <c r="A907" s="75">
        <v>38688</v>
      </c>
      <c r="B907" s="76" t="str">
        <f>TiposLancamentos!B71</f>
        <v>Itens Pessoais</v>
      </c>
      <c r="C907" s="1314" t="s">
        <v>2951</v>
      </c>
      <c r="D907" s="78"/>
      <c r="E907" s="1480">
        <v>8</v>
      </c>
    </row>
    <row r="908" spans="1:5">
      <c r="A908" s="75">
        <v>38688</v>
      </c>
      <c r="B908" s="76" t="str">
        <f>TiposLancamentos!B55</f>
        <v>Onibus Urbano</v>
      </c>
      <c r="C908" s="1314" t="s">
        <v>2952</v>
      </c>
      <c r="D908" s="78"/>
      <c r="E908" s="1480"/>
    </row>
    <row r="909" spans="1:5">
      <c r="A909" s="75">
        <v>38688</v>
      </c>
      <c r="B909" s="76" t="str">
        <f>TiposLancamentos!B54</f>
        <v>Metro</v>
      </c>
      <c r="C909" s="1314" t="s">
        <v>2949</v>
      </c>
      <c r="D909" s="78"/>
      <c r="E909" s="1480">
        <v>2</v>
      </c>
    </row>
    <row r="910" spans="1:5">
      <c r="A910" s="75">
        <v>38689</v>
      </c>
      <c r="B910" s="76" t="str">
        <f>TiposLancamentos!B20</f>
        <v>Saques</v>
      </c>
      <c r="C910" s="1314" t="s">
        <v>2876</v>
      </c>
      <c r="D910" s="78">
        <v>20</v>
      </c>
      <c r="E910" s="1480"/>
    </row>
    <row r="911" spans="1:5">
      <c r="A911" s="75">
        <v>38689</v>
      </c>
      <c r="B911" s="76" t="str">
        <f>TiposLancamentos!B18</f>
        <v>Alimentacao</v>
      </c>
      <c r="C911" s="1314" t="s">
        <v>2875</v>
      </c>
      <c r="D911" s="78"/>
      <c r="E911" s="1480">
        <v>1.9</v>
      </c>
    </row>
    <row r="912" spans="1:5">
      <c r="A912" s="75">
        <v>38689</v>
      </c>
      <c r="B912" s="76" t="str">
        <f>TiposLancamentos!B58</f>
        <v>Fotografias</v>
      </c>
      <c r="C912" s="1314" t="s">
        <v>2953</v>
      </c>
      <c r="D912" s="78"/>
      <c r="E912" s="1480">
        <v>1</v>
      </c>
    </row>
    <row r="913" spans="1:5">
      <c r="A913" s="75">
        <v>38689</v>
      </c>
      <c r="B913" s="76" t="str">
        <f>TiposLancamentos!B24</f>
        <v>Estacionamentos</v>
      </c>
      <c r="C913" s="1314" t="s">
        <v>2527</v>
      </c>
      <c r="D913" s="78"/>
      <c r="E913" s="1480">
        <v>4</v>
      </c>
    </row>
    <row r="914" spans="1:5">
      <c r="A914" s="75">
        <v>38690</v>
      </c>
      <c r="B914" s="76" t="str">
        <f>TiposLancamentos!B19</f>
        <v>Restaurantes</v>
      </c>
      <c r="C914" s="1314" t="s">
        <v>2654</v>
      </c>
      <c r="D914" s="78"/>
      <c r="E914" s="1480">
        <v>10</v>
      </c>
    </row>
    <row r="915" spans="1:5">
      <c r="A915" s="75">
        <v>38691</v>
      </c>
      <c r="B915" s="76" t="str">
        <f>TiposLancamentos!B20</f>
        <v>Saques</v>
      </c>
      <c r="C915" s="1314" t="s">
        <v>2668</v>
      </c>
      <c r="D915" s="78">
        <v>10</v>
      </c>
      <c r="E915" s="1480"/>
    </row>
    <row r="916" spans="1:5">
      <c r="A916" s="75">
        <v>38691</v>
      </c>
      <c r="B916" s="76" t="str">
        <f>TiposLancamentos!B55</f>
        <v>Onibus Urbano</v>
      </c>
      <c r="C916" s="1314" t="s">
        <v>2954</v>
      </c>
      <c r="D916" s="78"/>
      <c r="E916" s="1480">
        <v>2</v>
      </c>
    </row>
    <row r="917" spans="1:5">
      <c r="A917" s="75">
        <v>38691</v>
      </c>
      <c r="B917" s="76" t="str">
        <f>TiposLancamentos!B55</f>
        <v>Onibus Urbano</v>
      </c>
      <c r="C917" s="1314" t="s">
        <v>2955</v>
      </c>
      <c r="D917" s="78"/>
      <c r="E917" s="1480">
        <v>2</v>
      </c>
    </row>
    <row r="918" spans="1:5">
      <c r="A918" s="75">
        <v>38691</v>
      </c>
      <c r="B918" s="76" t="str">
        <f>TiposLancamentos!B54</f>
        <v>Metro</v>
      </c>
      <c r="C918" s="1314" t="s">
        <v>1771</v>
      </c>
      <c r="D918" s="78"/>
      <c r="E918" s="1480">
        <v>2.1</v>
      </c>
    </row>
    <row r="919" spans="1:5">
      <c r="A919" s="75">
        <v>38692</v>
      </c>
      <c r="B919" s="76" t="str">
        <f>TiposLancamentos!B20</f>
        <v>Saques</v>
      </c>
      <c r="C919" s="1314" t="s">
        <v>2876</v>
      </c>
      <c r="D919" s="78">
        <v>40</v>
      </c>
      <c r="E919" s="1480"/>
    </row>
    <row r="920" spans="1:5">
      <c r="A920" s="75">
        <v>38692</v>
      </c>
      <c r="B920" s="1587" t="str">
        <f>TiposLancamentos!B54</f>
        <v>Metro</v>
      </c>
      <c r="C920" s="1314" t="s">
        <v>2949</v>
      </c>
      <c r="D920" s="78"/>
      <c r="E920" s="1480">
        <v>2.1</v>
      </c>
    </row>
    <row r="921" spans="1:5">
      <c r="A921" s="75">
        <v>38692</v>
      </c>
      <c r="B921" s="76" t="str">
        <f>TiposLancamentos!B55</f>
        <v>Onibus Urbano</v>
      </c>
      <c r="C921" s="1314" t="s">
        <v>2624</v>
      </c>
      <c r="D921" s="78"/>
      <c r="E921" s="1480">
        <v>2</v>
      </c>
    </row>
    <row r="922" spans="1:5">
      <c r="A922" s="75">
        <v>38692</v>
      </c>
      <c r="B922" s="76" t="str">
        <f>TiposLancamentos!B19</f>
        <v>Restaurantes</v>
      </c>
      <c r="C922" s="1314" t="s">
        <v>2956</v>
      </c>
      <c r="D922" s="78"/>
      <c r="E922" s="1480">
        <v>10</v>
      </c>
    </row>
    <row r="923" spans="1:5">
      <c r="A923" s="75">
        <v>38692</v>
      </c>
      <c r="B923" s="76" t="str">
        <f>TiposLancamentos!B55</f>
        <v>Onibus Urbano</v>
      </c>
      <c r="C923" s="1314" t="s">
        <v>2624</v>
      </c>
      <c r="D923" s="78"/>
      <c r="E923" s="1480">
        <v>2</v>
      </c>
    </row>
    <row r="924" spans="1:5">
      <c r="A924" s="75">
        <v>38692</v>
      </c>
      <c r="B924" s="76" t="str">
        <f>TiposLancamentos!B54</f>
        <v>Metro</v>
      </c>
      <c r="C924" s="1314" t="s">
        <v>2957</v>
      </c>
      <c r="D924" s="78"/>
      <c r="E924" s="1480">
        <v>2</v>
      </c>
    </row>
    <row r="925" spans="1:5">
      <c r="A925" s="75">
        <v>38692</v>
      </c>
      <c r="B925" s="76" t="str">
        <f>TiposLancamentos!B19</f>
        <v>Restaurantes</v>
      </c>
      <c r="C925" s="1314" t="s">
        <v>2654</v>
      </c>
      <c r="D925" s="78"/>
      <c r="E925" s="1480">
        <v>10</v>
      </c>
    </row>
    <row r="926" spans="1:5">
      <c r="A926" s="75">
        <v>38692</v>
      </c>
      <c r="B926" s="76" t="str">
        <f>TiposLancamentos!B97</f>
        <v>Deposito Terc.</v>
      </c>
      <c r="C926" s="1314" t="s">
        <v>2958</v>
      </c>
      <c r="D926" s="78">
        <v>8</v>
      </c>
      <c r="E926" s="1480"/>
    </row>
    <row r="927" spans="1:5">
      <c r="A927" s="75">
        <v>38693</v>
      </c>
      <c r="B927" s="76" t="str">
        <f>TiposLancamentos!B54</f>
        <v>Metro</v>
      </c>
      <c r="C927" s="1314" t="s">
        <v>1771</v>
      </c>
      <c r="D927" s="78"/>
      <c r="E927" s="1480">
        <v>2.1</v>
      </c>
    </row>
    <row r="928" spans="1:5">
      <c r="A928" s="75">
        <v>38693</v>
      </c>
      <c r="B928" s="76" t="str">
        <f>TiposLancamentos!B55</f>
        <v>Onibus Urbano</v>
      </c>
      <c r="C928" s="1314" t="s">
        <v>2624</v>
      </c>
      <c r="D928" s="78"/>
      <c r="E928" s="1480">
        <v>2</v>
      </c>
    </row>
    <row r="929" spans="1:5">
      <c r="A929" s="75">
        <v>38693</v>
      </c>
      <c r="B929" s="76" t="str">
        <f>TiposLancamentos!B55</f>
        <v>Onibus Urbano</v>
      </c>
      <c r="C929" s="1314" t="s">
        <v>2624</v>
      </c>
      <c r="D929" s="78"/>
      <c r="E929" s="1480">
        <v>2</v>
      </c>
    </row>
    <row r="930" spans="1:5">
      <c r="A930" s="75">
        <v>38693</v>
      </c>
      <c r="B930" s="76" t="str">
        <f>TiposLancamentos!B54</f>
        <v>Metro</v>
      </c>
      <c r="C930" s="1314" t="s">
        <v>2957</v>
      </c>
      <c r="D930" s="78"/>
      <c r="E930" s="1480">
        <v>2</v>
      </c>
    </row>
    <row r="931" spans="1:5">
      <c r="A931" s="75">
        <v>38694</v>
      </c>
      <c r="B931" s="76" t="str">
        <f>TiposLancamentos!B54</f>
        <v>Metro</v>
      </c>
      <c r="C931" s="1314" t="s">
        <v>1771</v>
      </c>
      <c r="D931" s="78"/>
      <c r="E931" s="1480">
        <v>2.1</v>
      </c>
    </row>
    <row r="932" spans="1:5">
      <c r="A932" s="75">
        <v>38694</v>
      </c>
      <c r="B932" s="76" t="str">
        <f>TiposLancamentos!B55</f>
        <v>Onibus Urbano</v>
      </c>
      <c r="C932" s="1314" t="s">
        <v>2624</v>
      </c>
      <c r="D932" s="78"/>
      <c r="E932" s="1480">
        <v>2</v>
      </c>
    </row>
    <row r="933" spans="1:5">
      <c r="A933" s="75">
        <v>38694</v>
      </c>
      <c r="B933" s="76" t="str">
        <f>TiposLancamentos!B20</f>
        <v>Saques</v>
      </c>
      <c r="C933" s="1314" t="s">
        <v>2668</v>
      </c>
      <c r="D933" s="78">
        <v>20</v>
      </c>
      <c r="E933" s="1480"/>
    </row>
    <row r="934" spans="1:5">
      <c r="A934" s="75">
        <v>38694</v>
      </c>
      <c r="B934" s="76" t="str">
        <f>TiposLancamentos!B18</f>
        <v>Alimentacao</v>
      </c>
      <c r="C934" s="1314" t="s">
        <v>2766</v>
      </c>
      <c r="D934" s="78"/>
      <c r="E934" s="1480">
        <v>0.55000000000000004</v>
      </c>
    </row>
    <row r="935" spans="1:5">
      <c r="A935" s="75">
        <v>38694</v>
      </c>
      <c r="B935" s="76" t="str">
        <f>TiposLancamentos!B55</f>
        <v>Onibus Urbano</v>
      </c>
      <c r="C935" s="1314" t="s">
        <v>2624</v>
      </c>
      <c r="D935" s="78"/>
      <c r="E935" s="1480">
        <v>2</v>
      </c>
    </row>
    <row r="936" spans="1:5">
      <c r="A936" s="75">
        <v>38694</v>
      </c>
      <c r="B936" s="76" t="str">
        <f>TiposLancamentos!B54</f>
        <v>Metro</v>
      </c>
      <c r="C936" s="1314" t="s">
        <v>2957</v>
      </c>
      <c r="D936" s="78"/>
      <c r="E936" s="1480">
        <v>2.1</v>
      </c>
    </row>
    <row r="937" spans="1:5">
      <c r="A937" s="75">
        <v>38695</v>
      </c>
      <c r="B937" s="76" t="str">
        <f>TiposLancamentos!B54</f>
        <v>Metro</v>
      </c>
      <c r="C937" s="1314" t="s">
        <v>1771</v>
      </c>
      <c r="D937" s="78"/>
      <c r="E937" s="1480">
        <v>2.1</v>
      </c>
    </row>
    <row r="938" spans="1:5">
      <c r="A938" s="75">
        <v>38695</v>
      </c>
      <c r="B938" s="76" t="str">
        <f>TiposLancamentos!B55</f>
        <v>Onibus Urbano</v>
      </c>
      <c r="C938" s="1314" t="s">
        <v>2624</v>
      </c>
      <c r="D938" s="78"/>
      <c r="E938" s="1480">
        <v>2</v>
      </c>
    </row>
    <row r="939" spans="1:5">
      <c r="A939" s="75">
        <v>38695</v>
      </c>
      <c r="B939" s="76" t="str">
        <f>TiposLancamentos!B101</f>
        <v>Troco de Vr</v>
      </c>
      <c r="C939" s="1314" t="s">
        <v>2959</v>
      </c>
      <c r="D939" s="78">
        <v>3.75</v>
      </c>
      <c r="E939" s="1480"/>
    </row>
    <row r="940" spans="1:5">
      <c r="A940" s="75">
        <v>38695</v>
      </c>
      <c r="B940" s="76" t="str">
        <f>TiposLancamentos!B55</f>
        <v>Onibus Urbano</v>
      </c>
      <c r="C940" s="1314" t="s">
        <v>2624</v>
      </c>
      <c r="D940" s="78"/>
      <c r="E940" s="1480">
        <v>2</v>
      </c>
    </row>
    <row r="941" spans="1:5">
      <c r="A941" s="75">
        <v>38695</v>
      </c>
      <c r="B941" s="76" t="str">
        <f>TiposLancamentos!B54</f>
        <v>Metro</v>
      </c>
      <c r="C941" s="1314" t="s">
        <v>2957</v>
      </c>
      <c r="D941" s="78"/>
      <c r="E941" s="1480">
        <v>2.1</v>
      </c>
    </row>
    <row r="942" spans="1:5">
      <c r="A942" s="75">
        <v>38696</v>
      </c>
      <c r="B942" s="76" t="str">
        <f>TiposLancamentos!B18</f>
        <v>Alimentacao</v>
      </c>
      <c r="C942" s="1314" t="s">
        <v>2960</v>
      </c>
      <c r="D942" s="78"/>
      <c r="E942" s="1480">
        <v>1.3</v>
      </c>
    </row>
    <row r="943" spans="1:5">
      <c r="A943" s="75">
        <v>38696</v>
      </c>
      <c r="B943" s="76" t="str">
        <f>TiposLancamentos!B65</f>
        <v>Taxi</v>
      </c>
      <c r="C943" s="1314" t="s">
        <v>1792</v>
      </c>
      <c r="D943" s="78"/>
      <c r="E943" s="1480">
        <v>5.25</v>
      </c>
    </row>
    <row r="944" spans="1:5">
      <c r="A944" s="75">
        <v>38697</v>
      </c>
      <c r="B944" s="76" t="str">
        <f>TiposLancamentos!B20</f>
        <v>Saques</v>
      </c>
      <c r="C944" s="1314" t="s">
        <v>2876</v>
      </c>
      <c r="D944" s="78">
        <v>40</v>
      </c>
      <c r="E944" s="1480"/>
    </row>
    <row r="945" spans="1:5">
      <c r="A945" s="75">
        <v>38697</v>
      </c>
      <c r="B945" s="76" t="str">
        <f>TiposLancamentos!B101</f>
        <v>Troco de Vr</v>
      </c>
      <c r="C945" s="1314" t="s">
        <v>2961</v>
      </c>
      <c r="D945" s="78">
        <v>2.9</v>
      </c>
      <c r="E945" s="1480"/>
    </row>
    <row r="946" spans="1:5">
      <c r="A946" s="75">
        <v>38698</v>
      </c>
      <c r="B946" s="76" t="str">
        <f>TiposLancamentos!B54</f>
        <v>Metro</v>
      </c>
      <c r="C946" s="1314" t="s">
        <v>2949</v>
      </c>
      <c r="D946" s="78"/>
      <c r="E946" s="1480">
        <v>2.1</v>
      </c>
    </row>
    <row r="947" spans="1:5">
      <c r="A947" s="75">
        <v>38698</v>
      </c>
      <c r="B947" s="76" t="str">
        <f>TiposLancamentos!B55</f>
        <v>Onibus Urbano</v>
      </c>
      <c r="C947" s="1314" t="s">
        <v>2962</v>
      </c>
      <c r="D947" s="78"/>
      <c r="E947" s="1480">
        <v>2</v>
      </c>
    </row>
    <row r="948" spans="1:5">
      <c r="A948" s="75">
        <v>38698</v>
      </c>
      <c r="B948" s="76" t="str">
        <f>TiposLancamentos!B55</f>
        <v>Onibus Urbano</v>
      </c>
      <c r="C948" s="1314" t="s">
        <v>2962</v>
      </c>
      <c r="D948" s="78"/>
      <c r="E948" s="1480">
        <v>2</v>
      </c>
    </row>
    <row r="949" spans="1:5">
      <c r="A949" s="75">
        <v>38698</v>
      </c>
      <c r="B949" s="76" t="str">
        <f>TiposLancamentos!B54</f>
        <v>Metro</v>
      </c>
      <c r="C949" s="1314" t="s">
        <v>1771</v>
      </c>
      <c r="D949" s="78"/>
      <c r="E949" s="1480">
        <v>2.1</v>
      </c>
    </row>
    <row r="950" spans="1:5">
      <c r="A950" s="75">
        <v>38699</v>
      </c>
      <c r="B950" s="76" t="str">
        <f>TiposLancamentos!B54</f>
        <v>Metro</v>
      </c>
      <c r="C950" s="1314" t="s">
        <v>2949</v>
      </c>
      <c r="D950" s="78"/>
      <c r="E950" s="1480">
        <v>2.1</v>
      </c>
    </row>
    <row r="951" spans="1:5">
      <c r="A951" s="75">
        <v>38699</v>
      </c>
      <c r="B951" s="76" t="str">
        <f>TiposLancamentos!B55</f>
        <v>Onibus Urbano</v>
      </c>
      <c r="C951" s="1314" t="s">
        <v>2962</v>
      </c>
      <c r="D951" s="78"/>
      <c r="E951" s="1480">
        <v>2</v>
      </c>
    </row>
    <row r="952" spans="1:5">
      <c r="A952" s="75">
        <v>38699</v>
      </c>
      <c r="B952" s="76" t="str">
        <f>TiposLancamentos!B55</f>
        <v>Onibus Urbano</v>
      </c>
      <c r="C952" s="1314" t="s">
        <v>2962</v>
      </c>
      <c r="D952" s="78"/>
      <c r="E952" s="1480">
        <v>2</v>
      </c>
    </row>
    <row r="953" spans="1:5">
      <c r="A953" s="75">
        <v>38699</v>
      </c>
      <c r="B953" s="76" t="str">
        <f>TiposLancamentos!B54</f>
        <v>Metro</v>
      </c>
      <c r="C953" s="1314" t="s">
        <v>2957</v>
      </c>
      <c r="D953" s="78"/>
      <c r="E953" s="1480">
        <v>2.1</v>
      </c>
    </row>
    <row r="954" spans="1:5">
      <c r="A954" s="75">
        <v>38700</v>
      </c>
      <c r="B954" s="76" t="str">
        <f>TiposLancamentos!B54</f>
        <v>Metro</v>
      </c>
      <c r="C954" s="1314" t="s">
        <v>1771</v>
      </c>
      <c r="D954" s="78"/>
      <c r="E954" s="1480">
        <v>2.1</v>
      </c>
    </row>
    <row r="955" spans="1:5">
      <c r="A955" s="75">
        <v>38700</v>
      </c>
      <c r="B955" s="76" t="str">
        <f>TiposLancamentos!B55</f>
        <v>Onibus Urbano</v>
      </c>
      <c r="C955" s="1314" t="s">
        <v>2624</v>
      </c>
      <c r="D955" s="78"/>
      <c r="E955" s="1480">
        <v>2</v>
      </c>
    </row>
    <row r="956" spans="1:5">
      <c r="A956" s="75">
        <v>38700</v>
      </c>
      <c r="B956" s="76" t="str">
        <f>TiposLancamentos!B101</f>
        <v>Troco de Vr</v>
      </c>
      <c r="C956" s="1314" t="s">
        <v>2792</v>
      </c>
      <c r="D956" s="78">
        <v>3.15</v>
      </c>
      <c r="E956" s="1480"/>
    </row>
    <row r="957" spans="1:5">
      <c r="A957" s="75">
        <v>38700</v>
      </c>
      <c r="B957" s="76" t="str">
        <f>TiposLancamentos!B55</f>
        <v>Onibus Urbano</v>
      </c>
      <c r="C957" s="1314" t="s">
        <v>2962</v>
      </c>
      <c r="D957" s="78"/>
      <c r="E957" s="1480">
        <v>2</v>
      </c>
    </row>
    <row r="958" spans="1:5">
      <c r="A958" s="75">
        <v>38700</v>
      </c>
      <c r="B958" s="76" t="str">
        <f>TiposLancamentos!B54</f>
        <v>Metro</v>
      </c>
      <c r="C958" s="1314" t="s">
        <v>2957</v>
      </c>
      <c r="D958" s="78"/>
      <c r="E958" s="1480">
        <v>2.1</v>
      </c>
    </row>
    <row r="959" spans="1:5">
      <c r="A959" s="75">
        <v>38701</v>
      </c>
      <c r="B959" s="76" t="str">
        <f>TiposLancamentos!B55</f>
        <v>Onibus Urbano</v>
      </c>
      <c r="C959" s="1314" t="s">
        <v>1771</v>
      </c>
      <c r="D959" s="78"/>
      <c r="E959" s="1480">
        <v>2.1</v>
      </c>
    </row>
    <row r="960" spans="1:5">
      <c r="A960" s="75">
        <v>38701</v>
      </c>
      <c r="B960" s="76" t="str">
        <f>TiposLancamentos!B54</f>
        <v>Metro</v>
      </c>
      <c r="C960" s="1314" t="s">
        <v>2624</v>
      </c>
      <c r="D960" s="78"/>
      <c r="E960" s="1480">
        <v>2</v>
      </c>
    </row>
    <row r="961" spans="1:5">
      <c r="A961" s="75">
        <v>38701</v>
      </c>
      <c r="B961" s="76" t="str">
        <f>TiposLancamentos!B55</f>
        <v>Onibus Urbano</v>
      </c>
      <c r="C961" s="1314" t="s">
        <v>2963</v>
      </c>
      <c r="D961" s="78"/>
      <c r="E961" s="1480">
        <v>2</v>
      </c>
    </row>
    <row r="962" spans="1:5">
      <c r="A962" s="75">
        <v>38701</v>
      </c>
      <c r="B962" s="76" t="str">
        <f>TiposLancamentos!B55</f>
        <v>Onibus Urbano</v>
      </c>
      <c r="C962" s="1314" t="s">
        <v>2964</v>
      </c>
      <c r="D962" s="78"/>
      <c r="E962" s="1480">
        <v>2</v>
      </c>
    </row>
    <row r="963" spans="1:5">
      <c r="A963" s="75">
        <v>38701</v>
      </c>
      <c r="B963" s="76" t="str">
        <f>TiposLancamentos!B20</f>
        <v>Saques</v>
      </c>
      <c r="C963" s="1314" t="s">
        <v>2965</v>
      </c>
      <c r="D963" s="78">
        <v>80</v>
      </c>
      <c r="E963" s="1480"/>
    </row>
    <row r="964" spans="1:5">
      <c r="A964" s="75">
        <v>38701</v>
      </c>
      <c r="B964" s="76" t="str">
        <f>TiposLancamentos!B18</f>
        <v>Alimentacao</v>
      </c>
      <c r="C964" s="1314" t="s">
        <v>2635</v>
      </c>
      <c r="D964" s="78"/>
      <c r="E964" s="1480">
        <v>4.34</v>
      </c>
    </row>
    <row r="965" spans="1:5">
      <c r="A965" s="75">
        <v>38701</v>
      </c>
      <c r="B965" s="76" t="str">
        <f>TiposLancamentos!B55</f>
        <v>Onibus Urbano</v>
      </c>
      <c r="C965" s="1314" t="s">
        <v>2966</v>
      </c>
      <c r="D965" s="78"/>
      <c r="E965" s="1480">
        <v>2</v>
      </c>
    </row>
    <row r="966" spans="1:5">
      <c r="A966" s="75">
        <v>38701</v>
      </c>
      <c r="B966" s="76" t="str">
        <f>TiposLancamentos!B55</f>
        <v>Onibus Urbano</v>
      </c>
      <c r="C966" s="1314" t="s">
        <v>2967</v>
      </c>
      <c r="D966" s="78"/>
      <c r="E966" s="1480">
        <v>2</v>
      </c>
    </row>
    <row r="967" spans="1:5">
      <c r="A967" s="75">
        <v>38701</v>
      </c>
      <c r="B967" s="76" t="str">
        <f>TiposLancamentos!B55</f>
        <v>Onibus Urbano</v>
      </c>
      <c r="C967" s="1314" t="s">
        <v>2963</v>
      </c>
      <c r="D967" s="78"/>
      <c r="E967" s="1480">
        <v>2</v>
      </c>
    </row>
    <row r="968" spans="1:5">
      <c r="A968" s="75">
        <v>38702</v>
      </c>
      <c r="B968" s="76" t="str">
        <f>TiposLancamentos!B54</f>
        <v>Metro</v>
      </c>
      <c r="C968" s="1314" t="s">
        <v>1771</v>
      </c>
      <c r="D968" s="78"/>
      <c r="E968" s="1480">
        <v>2.1</v>
      </c>
    </row>
    <row r="969" spans="1:5">
      <c r="A969" s="75">
        <v>38702</v>
      </c>
      <c r="B969" s="76" t="str">
        <f>TiposLancamentos!B55</f>
        <v>Onibus Urbano</v>
      </c>
      <c r="C969" s="1314" t="s">
        <v>2968</v>
      </c>
      <c r="D969" s="78"/>
      <c r="E969" s="1480">
        <v>2</v>
      </c>
    </row>
    <row r="970" spans="1:5">
      <c r="A970" s="75">
        <v>38702</v>
      </c>
      <c r="B970" s="76" t="str">
        <f>TiposLancamentos!B18</f>
        <v>Alimentacao</v>
      </c>
      <c r="C970" s="1314" t="s">
        <v>2634</v>
      </c>
      <c r="D970" s="78"/>
      <c r="E970" s="1480">
        <v>0.15</v>
      </c>
    </row>
    <row r="971" spans="1:5">
      <c r="A971" s="75">
        <v>38702</v>
      </c>
      <c r="B971" s="76" t="str">
        <f>TiposLancamentos!B101</f>
        <v>Troco de Vr</v>
      </c>
      <c r="C971" s="1314" t="s">
        <v>2969</v>
      </c>
      <c r="D971" s="78">
        <v>3.15</v>
      </c>
      <c r="E971" s="1480"/>
    </row>
    <row r="972" spans="1:5">
      <c r="A972" s="75">
        <v>38703</v>
      </c>
      <c r="B972" s="76" t="str">
        <f>TiposLancamentos!B54</f>
        <v>Metro</v>
      </c>
      <c r="C972" s="1314" t="s">
        <v>2940</v>
      </c>
      <c r="D972" s="78"/>
      <c r="E972" s="1480">
        <v>2.1</v>
      </c>
    </row>
    <row r="973" spans="1:5">
      <c r="A973" s="75">
        <v>38703</v>
      </c>
      <c r="B973" s="76" t="str">
        <f>TiposLancamentos!B55</f>
        <v>Onibus Urbano</v>
      </c>
      <c r="C973" s="1314" t="s">
        <v>2624</v>
      </c>
      <c r="D973" s="78"/>
      <c r="E973" s="1480">
        <v>2</v>
      </c>
    </row>
    <row r="974" spans="1:5">
      <c r="A974" s="75">
        <v>38703</v>
      </c>
      <c r="B974" s="76" t="str">
        <f>TiposLancamentos!B18</f>
        <v>Alimentacao</v>
      </c>
      <c r="C974" s="1314" t="s">
        <v>2970</v>
      </c>
      <c r="D974" s="78"/>
      <c r="E974" s="1480">
        <v>6.1</v>
      </c>
    </row>
    <row r="975" spans="1:5">
      <c r="A975" s="75">
        <v>38703</v>
      </c>
      <c r="B975" s="76" t="str">
        <f>TiposLancamentos!B59</f>
        <v>Documentos</v>
      </c>
      <c r="C975" s="1314" t="s">
        <v>2971</v>
      </c>
      <c r="D975" s="78"/>
      <c r="E975" s="1480">
        <v>13.7</v>
      </c>
    </row>
    <row r="976" spans="1:5">
      <c r="A976" s="75">
        <v>38703</v>
      </c>
      <c r="B976" s="76" t="str">
        <f>TiposLancamentos!B65</f>
        <v>Taxi</v>
      </c>
      <c r="C976" s="1314" t="s">
        <v>2972</v>
      </c>
      <c r="D976" s="78"/>
      <c r="E976" s="1480">
        <v>33</v>
      </c>
    </row>
    <row r="977" spans="1:5">
      <c r="A977" s="75">
        <v>38703</v>
      </c>
      <c r="B977" s="76" t="str">
        <f>TiposLancamentos!B18</f>
        <v>Alimentacao</v>
      </c>
      <c r="C977" s="1314" t="s">
        <v>2973</v>
      </c>
      <c r="D977" s="78"/>
      <c r="E977" s="1480">
        <v>1.4</v>
      </c>
    </row>
    <row r="978" spans="1:5">
      <c r="A978" s="75">
        <v>38703</v>
      </c>
      <c r="B978" s="76" t="str">
        <f>TiposLancamentos!B54</f>
        <v>Metro</v>
      </c>
      <c r="C978" s="1314" t="s">
        <v>2957</v>
      </c>
      <c r="D978" s="78"/>
      <c r="E978" s="1480">
        <v>2.1</v>
      </c>
    </row>
    <row r="979" spans="1:5">
      <c r="A979" s="75">
        <v>38703</v>
      </c>
      <c r="B979" s="76" t="str">
        <f>TiposLancamentos!B54</f>
        <v>Metro</v>
      </c>
      <c r="C979" s="1314" t="s">
        <v>1771</v>
      </c>
      <c r="D979" s="78"/>
      <c r="E979" s="1480">
        <v>2.1</v>
      </c>
    </row>
    <row r="980" spans="1:5">
      <c r="A980" s="75">
        <v>38703</v>
      </c>
      <c r="B980" s="76" t="str">
        <f>TiposLancamentos!B18</f>
        <v>Alimentacao</v>
      </c>
      <c r="C980" s="1314" t="s">
        <v>2974</v>
      </c>
      <c r="D980" s="78"/>
      <c r="E980" s="1480">
        <v>2</v>
      </c>
    </row>
    <row r="981" spans="1:5">
      <c r="A981" s="75">
        <v>38703</v>
      </c>
      <c r="B981" s="76" t="str">
        <f>TiposLancamentos!B54</f>
        <v>Metro</v>
      </c>
      <c r="C981" s="1314" t="s">
        <v>1771</v>
      </c>
      <c r="D981" s="78"/>
      <c r="E981" s="1480">
        <v>2.1</v>
      </c>
    </row>
    <row r="982" spans="1:5">
      <c r="A982" s="75">
        <v>38704</v>
      </c>
      <c r="B982" s="76" t="str">
        <f>TiposLancamentos!B20</f>
        <v>Saques</v>
      </c>
      <c r="C982" s="1314" t="s">
        <v>2876</v>
      </c>
      <c r="D982" s="78">
        <v>40</v>
      </c>
      <c r="E982" s="1480"/>
    </row>
    <row r="983" spans="1:5">
      <c r="A983" s="75">
        <v>38704</v>
      </c>
      <c r="B983" s="76" t="str">
        <f>TiposLancamentos!B18</f>
        <v>Alimentacao</v>
      </c>
      <c r="C983" s="1314" t="s">
        <v>2975</v>
      </c>
      <c r="D983" s="78"/>
      <c r="E983" s="1480">
        <v>4.4000000000000004</v>
      </c>
    </row>
    <row r="984" spans="1:5">
      <c r="A984" s="75">
        <v>38704</v>
      </c>
      <c r="B984" s="76" t="str">
        <f>TiposLancamentos!B55</f>
        <v>Onibus Urbano</v>
      </c>
      <c r="C984" s="1314" t="s">
        <v>2976</v>
      </c>
      <c r="D984" s="78"/>
      <c r="E984" s="1480">
        <v>2</v>
      </c>
    </row>
    <row r="985" spans="1:5">
      <c r="A985" s="75">
        <v>38704</v>
      </c>
      <c r="B985" s="76" t="str">
        <f>TiposLancamentos!B18</f>
        <v>Alimentacao</v>
      </c>
      <c r="C985" s="1314" t="s">
        <v>2977</v>
      </c>
      <c r="D985" s="78"/>
      <c r="E985" s="1480">
        <v>1</v>
      </c>
    </row>
    <row r="986" spans="1:5">
      <c r="A986" s="75">
        <v>38704</v>
      </c>
      <c r="B986" s="76" t="str">
        <f>TiposLancamentos!B18</f>
        <v>Alimentacao</v>
      </c>
      <c r="C986" s="1314" t="s">
        <v>2978</v>
      </c>
      <c r="D986" s="78"/>
      <c r="E986" s="1480">
        <v>4</v>
      </c>
    </row>
    <row r="987" spans="1:5">
      <c r="A987" s="75">
        <v>38704</v>
      </c>
      <c r="B987" s="76" t="str">
        <f>TiposLancamentos!B24</f>
        <v>Estacionamentos</v>
      </c>
      <c r="C987" s="1314" t="s">
        <v>2527</v>
      </c>
      <c r="D987" s="78"/>
      <c r="E987" s="1480">
        <v>4</v>
      </c>
    </row>
    <row r="988" spans="1:5">
      <c r="A988" s="75">
        <v>38704</v>
      </c>
      <c r="B988" s="76" t="str">
        <f>TiposLancamentos!B18</f>
        <v>Alimentacao</v>
      </c>
      <c r="C988" s="1314" t="s">
        <v>2654</v>
      </c>
      <c r="D988" s="78"/>
      <c r="E988" s="1480">
        <v>15.5</v>
      </c>
    </row>
    <row r="989" spans="1:5">
      <c r="A989" s="75">
        <v>38705</v>
      </c>
      <c r="B989" s="76" t="str">
        <f>TiposLancamentos!B54</f>
        <v>Metro</v>
      </c>
      <c r="C989" s="1314" t="s">
        <v>2940</v>
      </c>
      <c r="D989" s="78"/>
      <c r="E989" s="1480">
        <v>4.2</v>
      </c>
    </row>
    <row r="990" spans="1:5">
      <c r="A990" s="75">
        <v>38705</v>
      </c>
      <c r="B990" s="76" t="str">
        <f>TiposLancamentos!B54</f>
        <v>Metro</v>
      </c>
      <c r="C990" s="1314" t="s">
        <v>2979</v>
      </c>
      <c r="D990" s="78"/>
      <c r="E990" s="1480">
        <v>2.1</v>
      </c>
    </row>
    <row r="991" spans="1:5">
      <c r="A991" s="75">
        <v>38705</v>
      </c>
      <c r="B991" s="76" t="str">
        <f>TiposLancamentos!B55</f>
        <v>Onibus Urbano</v>
      </c>
      <c r="C991" s="1314" t="s">
        <v>2624</v>
      </c>
      <c r="D991" s="78"/>
      <c r="E991" s="1480">
        <v>2</v>
      </c>
    </row>
    <row r="992" spans="1:5">
      <c r="A992" s="75">
        <v>38705</v>
      </c>
      <c r="B992" s="76" t="str">
        <f>TiposLancamentos!B19</f>
        <v>Restaurantes</v>
      </c>
      <c r="C992" s="1314" t="s">
        <v>2618</v>
      </c>
      <c r="D992" s="78"/>
      <c r="E992" s="1480">
        <v>2.5</v>
      </c>
    </row>
    <row r="993" spans="1:5">
      <c r="A993" s="75">
        <v>38705</v>
      </c>
      <c r="B993" s="76" t="str">
        <f>TiposLancamentos!B101</f>
        <v>Troco de Vr</v>
      </c>
      <c r="C993" s="1314" t="s">
        <v>2980</v>
      </c>
      <c r="D993" s="78">
        <v>1.5</v>
      </c>
      <c r="E993" s="1480"/>
    </row>
    <row r="994" spans="1:5">
      <c r="A994" s="75">
        <v>38705</v>
      </c>
      <c r="B994" s="76" t="str">
        <f>TiposLancamentos!B20</f>
        <v>Saques</v>
      </c>
      <c r="C994" s="1314" t="s">
        <v>2981</v>
      </c>
      <c r="D994" s="78">
        <v>40</v>
      </c>
      <c r="E994" s="1480"/>
    </row>
    <row r="995" spans="1:5">
      <c r="A995" s="75">
        <v>38705</v>
      </c>
      <c r="B995" s="76" t="str">
        <f>TiposLancamentos!B55</f>
        <v>Onibus Urbano</v>
      </c>
      <c r="C995" s="1314" t="s">
        <v>2624</v>
      </c>
      <c r="D995" s="78"/>
      <c r="E995" s="1480">
        <v>2</v>
      </c>
    </row>
    <row r="996" spans="1:5">
      <c r="A996" s="75">
        <v>38705</v>
      </c>
      <c r="B996" s="76" t="str">
        <f>TiposLancamentos!B54</f>
        <v>Metro</v>
      </c>
      <c r="C996" s="1314" t="s">
        <v>2979</v>
      </c>
      <c r="D996" s="78"/>
      <c r="E996" s="1480">
        <v>2.1</v>
      </c>
    </row>
    <row r="997" spans="1:5">
      <c r="A997" s="75">
        <v>38705</v>
      </c>
      <c r="B997" s="76" t="str">
        <f>TiposLancamentos!B54</f>
        <v>Metro</v>
      </c>
      <c r="C997" s="1314" t="s">
        <v>2979</v>
      </c>
      <c r="D997" s="78"/>
      <c r="E997" s="1480">
        <v>8.4</v>
      </c>
    </row>
    <row r="998" spans="1:5">
      <c r="A998" s="75">
        <v>38705</v>
      </c>
      <c r="B998" s="76" t="str">
        <f>TiposLancamentos!B18</f>
        <v>Alimentacao</v>
      </c>
      <c r="C998" s="1314" t="s">
        <v>2982</v>
      </c>
      <c r="D998" s="78"/>
      <c r="E998" s="1480">
        <v>3.5</v>
      </c>
    </row>
    <row r="999" spans="1:5">
      <c r="A999" s="75">
        <v>38706</v>
      </c>
      <c r="B999" s="76" t="str">
        <f>TiposLancamentos!B65</f>
        <v>Taxi</v>
      </c>
      <c r="C999" s="1314" t="s">
        <v>2983</v>
      </c>
      <c r="D999" s="78"/>
      <c r="E999" s="1480">
        <v>10</v>
      </c>
    </row>
    <row r="1000" spans="1:5">
      <c r="A1000" s="75">
        <v>38706</v>
      </c>
      <c r="B1000" s="76" t="str">
        <f>TiposLancamentos!B19</f>
        <v>Restaurantes</v>
      </c>
      <c r="C1000" s="1314" t="s">
        <v>2984</v>
      </c>
      <c r="D1000" s="78"/>
      <c r="E1000" s="1480">
        <v>10</v>
      </c>
    </row>
    <row r="1001" spans="1:5">
      <c r="A1001" s="75">
        <v>38706</v>
      </c>
      <c r="B1001" s="76" t="str">
        <f>TiposLancamentos!B16</f>
        <v>Cristiane</v>
      </c>
      <c r="C1001" s="1314" t="s">
        <v>2891</v>
      </c>
      <c r="D1001" s="78">
        <v>3</v>
      </c>
      <c r="E1001" s="1480"/>
    </row>
    <row r="1002" spans="1:5">
      <c r="A1002" s="75">
        <v>38706</v>
      </c>
      <c r="B1002" s="76" t="str">
        <f>TiposLancamentos!B24</f>
        <v>Estacionamentos</v>
      </c>
      <c r="C1002" s="1314" t="s">
        <v>2985</v>
      </c>
      <c r="D1002" s="78"/>
      <c r="E1002" s="1480">
        <v>5</v>
      </c>
    </row>
    <row r="1003" spans="1:5">
      <c r="A1003" s="75">
        <v>38706</v>
      </c>
      <c r="B1003" s="76" t="str">
        <f>TiposLancamentos!B16</f>
        <v>Cristiane</v>
      </c>
      <c r="C1003" s="1314" t="s">
        <v>2986</v>
      </c>
      <c r="D1003" s="78"/>
      <c r="E1003" s="1480">
        <v>4.2</v>
      </c>
    </row>
    <row r="1004" spans="1:5">
      <c r="A1004" s="75">
        <v>38707</v>
      </c>
      <c r="B1004" s="76" t="str">
        <f>TiposLancamentos!B16</f>
        <v>Cristiane</v>
      </c>
      <c r="C1004" s="1314" t="s">
        <v>2987</v>
      </c>
      <c r="D1004" s="78">
        <v>6</v>
      </c>
      <c r="E1004" s="1480"/>
    </row>
    <row r="1005" spans="1:5">
      <c r="A1005" s="75">
        <v>38707</v>
      </c>
      <c r="B1005" s="76" t="str">
        <f>TiposLancamentos!B55</f>
        <v>Onibus Urbano</v>
      </c>
      <c r="C1005" s="1314" t="s">
        <v>2988</v>
      </c>
      <c r="D1005" s="78"/>
      <c r="E1005" s="1480">
        <v>2</v>
      </c>
    </row>
    <row r="1006" spans="1:5">
      <c r="A1006" s="75">
        <v>38707</v>
      </c>
      <c r="B1006" s="76" t="str">
        <f>TiposLancamentos!B16</f>
        <v>Cristiane</v>
      </c>
      <c r="C1006" s="1314" t="s">
        <v>2891</v>
      </c>
      <c r="D1006" s="78">
        <v>25</v>
      </c>
      <c r="E1006" s="1480"/>
    </row>
    <row r="1007" spans="1:5">
      <c r="A1007" s="75">
        <v>38708</v>
      </c>
      <c r="B1007" s="76" t="str">
        <f>TiposLancamentos!B20</f>
        <v>Saques</v>
      </c>
      <c r="C1007" s="1314" t="s">
        <v>2668</v>
      </c>
      <c r="D1007" s="78">
        <v>50</v>
      </c>
      <c r="E1007" s="1480"/>
    </row>
    <row r="1008" spans="1:5">
      <c r="A1008" s="75">
        <v>38708</v>
      </c>
      <c r="B1008" s="76" t="str">
        <f>TiposLancamentos!B18</f>
        <v>Alimentacao</v>
      </c>
      <c r="C1008" s="1314" t="s">
        <v>2771</v>
      </c>
      <c r="D1008" s="78"/>
      <c r="E1008" s="1480">
        <v>14.07</v>
      </c>
    </row>
    <row r="1009" spans="1:5">
      <c r="A1009" s="75">
        <v>38709</v>
      </c>
      <c r="B1009" s="76" t="str">
        <f>TiposLancamentos!B71</f>
        <v>Itens Pessoais</v>
      </c>
      <c r="C1009" s="1314" t="s">
        <v>2902</v>
      </c>
      <c r="D1009" s="78"/>
      <c r="E1009" s="1480">
        <v>12</v>
      </c>
    </row>
    <row r="1010" spans="1:5">
      <c r="A1010" s="75">
        <v>38709</v>
      </c>
      <c r="B1010" s="76" t="str">
        <f>TiposLancamentos!B69</f>
        <v>Consertos</v>
      </c>
      <c r="C1010" s="1314" t="s">
        <v>2989</v>
      </c>
      <c r="D1010" s="78"/>
      <c r="E1010" s="1480">
        <v>45</v>
      </c>
    </row>
    <row r="1011" spans="1:5">
      <c r="A1011" s="75">
        <v>38709</v>
      </c>
      <c r="B1011" s="76" t="str">
        <f>TiposLancamentos!B20</f>
        <v>Saques</v>
      </c>
      <c r="C1011" s="1314" t="s">
        <v>2655</v>
      </c>
      <c r="D1011" s="78">
        <v>70</v>
      </c>
      <c r="E1011" s="1480"/>
    </row>
    <row r="1012" spans="1:5">
      <c r="A1012" s="75">
        <v>38709</v>
      </c>
      <c r="B1012" s="76" t="str">
        <f>TiposLancamentos!B5</f>
        <v>Supermercado</v>
      </c>
      <c r="C1012" s="1314" t="s">
        <v>2567</v>
      </c>
      <c r="D1012" s="78"/>
      <c r="E1012" s="1480">
        <v>11.05</v>
      </c>
    </row>
    <row r="1013" spans="1:5">
      <c r="A1013" s="75">
        <v>38709</v>
      </c>
      <c r="B1013" s="76" t="str">
        <f>TiposLancamentos!B16</f>
        <v>Cristiane</v>
      </c>
      <c r="C1013" s="1314" t="s">
        <v>1698</v>
      </c>
      <c r="D1013" s="78"/>
      <c r="E1013" s="1480">
        <v>10</v>
      </c>
    </row>
    <row r="1014" spans="1:5">
      <c r="A1014" s="75">
        <v>38709</v>
      </c>
      <c r="B1014" s="76" t="str">
        <f>TiposLancamentos!B55</f>
        <v>Onibus Urbano</v>
      </c>
      <c r="C1014" s="1314" t="s">
        <v>2624</v>
      </c>
      <c r="D1014" s="78"/>
      <c r="E1014" s="1480">
        <v>4</v>
      </c>
    </row>
    <row r="1015" spans="1:5">
      <c r="A1015" s="75">
        <v>38709</v>
      </c>
      <c r="B1015" s="76" t="str">
        <f>TiposLancamentos!B54</f>
        <v>Metro</v>
      </c>
      <c r="C1015" s="1314" t="s">
        <v>1771</v>
      </c>
      <c r="D1015" s="78"/>
      <c r="E1015" s="1480">
        <v>6.3</v>
      </c>
    </row>
    <row r="1016" spans="1:5">
      <c r="A1016" s="75">
        <v>38709</v>
      </c>
      <c r="B1016" s="76" t="str">
        <f>TiposLancamentos!B16</f>
        <v>Cristiane</v>
      </c>
      <c r="C1016" s="1314" t="s">
        <v>2990</v>
      </c>
      <c r="D1016" s="78"/>
      <c r="E1016" s="1480">
        <v>6</v>
      </c>
    </row>
    <row r="1017" spans="1:5">
      <c r="A1017" s="75">
        <v>38709</v>
      </c>
      <c r="B1017" s="76" t="str">
        <f>TiposLancamentos!B17</f>
        <v>GATO</v>
      </c>
      <c r="C1017" s="1314" t="s">
        <v>2991</v>
      </c>
      <c r="D1017" s="78"/>
      <c r="E1017" s="1480">
        <v>8</v>
      </c>
    </row>
    <row r="1018" spans="1:5">
      <c r="A1018" s="75">
        <v>38710</v>
      </c>
      <c r="B1018" s="76" t="str">
        <f>TiposLancamentos!B18</f>
        <v>Alimentacao</v>
      </c>
      <c r="C1018" s="1314" t="s">
        <v>2912</v>
      </c>
      <c r="D1018" s="78"/>
      <c r="E1018" s="1480">
        <v>11</v>
      </c>
    </row>
    <row r="1019" spans="1:5">
      <c r="A1019" s="75">
        <v>38710</v>
      </c>
      <c r="B1019" s="76" t="str">
        <f>TiposLancamentos!B18</f>
        <v>Alimentacao</v>
      </c>
      <c r="C1019" s="1314" t="s">
        <v>2992</v>
      </c>
      <c r="D1019" s="78"/>
      <c r="E1019" s="1480">
        <v>2.8</v>
      </c>
    </row>
    <row r="1020" spans="1:5">
      <c r="A1020" s="75">
        <v>38711</v>
      </c>
      <c r="B1020" s="76" t="str">
        <f>TiposLancamentos!B98</f>
        <v>Restituições</v>
      </c>
      <c r="C1020" s="1314" t="s">
        <v>2993</v>
      </c>
      <c r="D1020" s="78">
        <v>5</v>
      </c>
      <c r="E1020" s="1480"/>
    </row>
    <row r="1021" spans="1:5">
      <c r="A1021" s="75">
        <v>38712</v>
      </c>
      <c r="B1021" s="76" t="str">
        <f>TiposLancamentos!B16</f>
        <v>Cristiane</v>
      </c>
      <c r="C1021" s="1314" t="s">
        <v>1698</v>
      </c>
      <c r="D1021" s="78"/>
      <c r="E1021" s="1480">
        <v>7</v>
      </c>
    </row>
    <row r="1022" spans="1:5">
      <c r="A1022" s="75">
        <v>38712</v>
      </c>
      <c r="B1022" s="76" t="str">
        <f>TiposLancamentos!B13</f>
        <v>Moradia</v>
      </c>
      <c r="C1022" s="1314" t="s">
        <v>2994</v>
      </c>
      <c r="D1022" s="78"/>
      <c r="E1022" s="1480">
        <v>6</v>
      </c>
    </row>
    <row r="1023" spans="1:5">
      <c r="A1023" s="75">
        <v>38713</v>
      </c>
      <c r="B1023" s="76" t="str">
        <f>TiposLancamentos!B101</f>
        <v>Troco de Vr</v>
      </c>
      <c r="C1023" s="1314" t="s">
        <v>2995</v>
      </c>
      <c r="D1023" s="78">
        <v>4.9000000000000004</v>
      </c>
      <c r="E1023" s="1480"/>
    </row>
    <row r="1024" spans="1:5">
      <c r="A1024" s="75">
        <v>38713</v>
      </c>
      <c r="B1024" s="76" t="str">
        <f>TiposLancamentos!B18</f>
        <v>Alimentacao</v>
      </c>
      <c r="C1024" s="1314" t="s">
        <v>2608</v>
      </c>
      <c r="D1024" s="78"/>
      <c r="E1024" s="1480">
        <v>1.6</v>
      </c>
    </row>
    <row r="1025" spans="1:5">
      <c r="A1025" s="75">
        <v>38714</v>
      </c>
      <c r="B1025" s="76" t="str">
        <f>TiposLancamentos!B20</f>
        <v>Saques</v>
      </c>
      <c r="C1025" s="1314" t="s">
        <v>2668</v>
      </c>
      <c r="D1025" s="78">
        <v>80</v>
      </c>
      <c r="E1025" s="1480"/>
    </row>
    <row r="1026" spans="1:5">
      <c r="A1026" s="75">
        <v>38714</v>
      </c>
      <c r="B1026" s="76" t="str">
        <f>TiposLancamentos!B60</f>
        <v>Correio</v>
      </c>
      <c r="C1026" s="1314" t="s">
        <v>2996</v>
      </c>
      <c r="D1026" s="78"/>
      <c r="E1026" s="1480">
        <v>1.5</v>
      </c>
    </row>
    <row r="1027" spans="1:5">
      <c r="A1027" s="75">
        <v>38714</v>
      </c>
      <c r="B1027" s="76" t="str">
        <f>TiposLancamentos!B56</f>
        <v>Farmácia</v>
      </c>
      <c r="C1027" s="1314" t="s">
        <v>1775</v>
      </c>
      <c r="D1027" s="78"/>
      <c r="E1027" s="1480">
        <v>4.95</v>
      </c>
    </row>
    <row r="1028" spans="1:5">
      <c r="A1028" s="75">
        <v>38714</v>
      </c>
      <c r="B1028" s="76" t="str">
        <f>TiposLancamentos!B18</f>
        <v>Alimentacao</v>
      </c>
      <c r="C1028" s="1314" t="s">
        <v>2942</v>
      </c>
      <c r="D1028" s="78"/>
      <c r="E1028" s="1480">
        <v>2.95</v>
      </c>
    </row>
    <row r="1029" spans="1:5">
      <c r="A1029" s="75">
        <v>38714</v>
      </c>
      <c r="B1029" s="76" t="str">
        <f>TiposLancamentos!B18</f>
        <v>Alimentacao</v>
      </c>
      <c r="C1029" s="1314" t="s">
        <v>2703</v>
      </c>
      <c r="D1029" s="78"/>
      <c r="E1029" s="1480">
        <v>5.5</v>
      </c>
    </row>
    <row r="1030" spans="1:5">
      <c r="A1030" s="75">
        <v>38714</v>
      </c>
      <c r="B1030" s="76" t="str">
        <f>TiposLancamentos!B17</f>
        <v>GATO</v>
      </c>
      <c r="C1030" s="1314" t="s">
        <v>2997</v>
      </c>
      <c r="D1030" s="78"/>
      <c r="E1030" s="1480">
        <v>50</v>
      </c>
    </row>
    <row r="1031" spans="1:5">
      <c r="A1031" s="75">
        <v>38715</v>
      </c>
      <c r="B1031" s="76" t="str">
        <f>TiposLancamentos!B69</f>
        <v>Consertos</v>
      </c>
      <c r="C1031" s="1314" t="s">
        <v>2998</v>
      </c>
      <c r="D1031" s="78"/>
      <c r="E1031" s="1480">
        <v>50</v>
      </c>
    </row>
    <row r="1032" spans="1:5">
      <c r="A1032" s="75">
        <v>38715</v>
      </c>
      <c r="B1032" s="76" t="str">
        <f>TiposLancamentos!B20</f>
        <v>Saques</v>
      </c>
      <c r="C1032" s="1314" t="s">
        <v>2668</v>
      </c>
      <c r="D1032" s="78">
        <v>50</v>
      </c>
      <c r="E1032" s="1480"/>
    </row>
    <row r="1033" spans="1:5">
      <c r="A1033" s="75">
        <v>38715</v>
      </c>
      <c r="B1033" s="76" t="str">
        <f>TiposLancamentos!B65</f>
        <v>Taxi</v>
      </c>
      <c r="C1033" s="1314" t="s">
        <v>2999</v>
      </c>
      <c r="D1033" s="78"/>
      <c r="E1033" s="1480">
        <v>8</v>
      </c>
    </row>
    <row r="1034" spans="1:5">
      <c r="A1034" s="75">
        <v>38715</v>
      </c>
      <c r="B1034" s="76" t="str">
        <f>TiposLancamentos!B16</f>
        <v>Cristiane</v>
      </c>
      <c r="C1034" s="1314" t="s">
        <v>2851</v>
      </c>
      <c r="D1034" s="78"/>
      <c r="E1034" s="1480">
        <v>10.4</v>
      </c>
    </row>
    <row r="1035" spans="1:5">
      <c r="A1035" s="75">
        <v>38716</v>
      </c>
      <c r="B1035" s="76" t="str">
        <f>TiposLancamentos!B101</f>
        <v>Troco de Vr</v>
      </c>
      <c r="C1035" s="1314" t="s">
        <v>3000</v>
      </c>
      <c r="D1035" s="78">
        <v>1.6</v>
      </c>
      <c r="E1035" s="1480"/>
    </row>
    <row r="1036" spans="1:5">
      <c r="A1036" s="75">
        <v>38716</v>
      </c>
      <c r="B1036" s="76" t="str">
        <f>TiposLancamentos!B101</f>
        <v>Troco de Vr</v>
      </c>
      <c r="C1036" s="1314" t="s">
        <v>3001</v>
      </c>
      <c r="D1036" s="78">
        <v>1.5</v>
      </c>
      <c r="E1036" s="1480"/>
    </row>
    <row r="1037" spans="1:5">
      <c r="A1037" s="75">
        <v>38717</v>
      </c>
      <c r="B1037" s="76" t="str">
        <f>TiposLancamentos!B18</f>
        <v>Alimentacao</v>
      </c>
      <c r="C1037" s="1314" t="s">
        <v>3002</v>
      </c>
      <c r="D1037" s="78"/>
      <c r="E1037" s="1480">
        <v>3.1</v>
      </c>
    </row>
    <row r="1038" spans="1:5">
      <c r="A1038" s="75">
        <v>38717</v>
      </c>
      <c r="B1038" s="76" t="str">
        <f>TiposLancamentos!B78</f>
        <v>Diferenças</v>
      </c>
      <c r="C1038" s="1314" t="s">
        <v>3003</v>
      </c>
      <c r="D1038" s="78"/>
      <c r="E1038" s="1480">
        <v>33.25</v>
      </c>
    </row>
    <row r="1039" spans="1:5">
      <c r="A1039" s="83"/>
      <c r="B1039" s="37"/>
      <c r="C1039" s="1584" t="s">
        <v>3004</v>
      </c>
      <c r="D1039" s="74"/>
      <c r="E1039" s="1585"/>
    </row>
    <row r="1040" spans="1:5">
      <c r="A1040" s="75">
        <v>38721</v>
      </c>
      <c r="B1040" s="76" t="str">
        <f>TiposLancamentos!B20</f>
        <v>Saques</v>
      </c>
      <c r="C1040" s="1314" t="s">
        <v>2655</v>
      </c>
      <c r="D1040" s="78">
        <v>30</v>
      </c>
      <c r="E1040" s="1480"/>
    </row>
    <row r="1041" spans="1:5">
      <c r="A1041" s="75">
        <v>38721</v>
      </c>
      <c r="B1041" s="76" t="str">
        <f>TiposLancamentos!B22</f>
        <v>Combustivel</v>
      </c>
      <c r="C1041" s="1314" t="s">
        <v>2514</v>
      </c>
      <c r="D1041" s="78"/>
      <c r="E1041" s="1480">
        <v>10</v>
      </c>
    </row>
    <row r="1042" spans="1:5">
      <c r="A1042" s="75">
        <v>38721</v>
      </c>
      <c r="B1042" s="76" t="str">
        <f>TiposLancamentos!B16</f>
        <v>Cristiane</v>
      </c>
      <c r="C1042" s="1314" t="s">
        <v>1698</v>
      </c>
      <c r="D1042" s="78"/>
      <c r="E1042" s="1480">
        <v>20</v>
      </c>
    </row>
    <row r="1043" spans="1:5">
      <c r="A1043" s="75">
        <v>38722</v>
      </c>
      <c r="B1043" s="76" t="str">
        <f>TiposLancamentos!B101</f>
        <v>Troco de Vr</v>
      </c>
      <c r="C1043" s="1314" t="s">
        <v>3005</v>
      </c>
      <c r="D1043" s="78">
        <v>4.0999999999999996</v>
      </c>
      <c r="E1043" s="1480"/>
    </row>
    <row r="1044" spans="1:5">
      <c r="A1044" s="75">
        <v>38722</v>
      </c>
      <c r="B1044" s="76" t="str">
        <f>TiposLancamentos!B16</f>
        <v>Cristiane</v>
      </c>
      <c r="C1044" s="1314" t="s">
        <v>1698</v>
      </c>
      <c r="D1044" s="78"/>
      <c r="E1044" s="1480">
        <v>4.0999999999999996</v>
      </c>
    </row>
    <row r="1045" spans="1:5">
      <c r="A1045" s="75">
        <v>38724</v>
      </c>
      <c r="B1045" s="76" t="str">
        <f>TiposLancamentos!B20</f>
        <v>Saques</v>
      </c>
      <c r="C1045" s="1314" t="s">
        <v>2655</v>
      </c>
      <c r="D1045" s="78">
        <v>20</v>
      </c>
      <c r="E1045" s="1480"/>
    </row>
    <row r="1046" spans="1:5">
      <c r="A1046" s="75">
        <v>38724</v>
      </c>
      <c r="B1046" s="76" t="str">
        <f>TiposLancamentos!B55</f>
        <v>Onibus Urbano</v>
      </c>
      <c r="C1046" s="1314" t="s">
        <v>2624</v>
      </c>
      <c r="D1046" s="78"/>
      <c r="E1046" s="1480">
        <v>4</v>
      </c>
    </row>
    <row r="1047" spans="1:5">
      <c r="A1047" s="75">
        <v>38724</v>
      </c>
      <c r="B1047" s="76" t="str">
        <f>TiposLancamentos!B54</f>
        <v>Metro</v>
      </c>
      <c r="C1047" s="1314" t="s">
        <v>3006</v>
      </c>
      <c r="D1047" s="78"/>
      <c r="E1047" s="1480">
        <v>4</v>
      </c>
    </row>
    <row r="1048" spans="1:5">
      <c r="A1048" s="75">
        <v>38724</v>
      </c>
      <c r="B1048" s="76" t="str">
        <f>TiposLancamentos!B18</f>
        <v>Alimentacao</v>
      </c>
      <c r="C1048" s="1314" t="s">
        <v>3007</v>
      </c>
      <c r="D1048" s="78"/>
      <c r="E1048" s="1480">
        <v>7</v>
      </c>
    </row>
    <row r="1049" spans="1:5">
      <c r="A1049" s="75">
        <v>38724</v>
      </c>
      <c r="B1049" s="76" t="str">
        <f>TiposLancamentos!B20</f>
        <v>Saques</v>
      </c>
      <c r="C1049" s="1314" t="s">
        <v>2668</v>
      </c>
      <c r="D1049" s="78">
        <v>150</v>
      </c>
      <c r="E1049" s="1480"/>
    </row>
    <row r="1050" spans="1:5">
      <c r="A1050" s="75">
        <v>38724</v>
      </c>
      <c r="B1050" s="76" t="str">
        <f>TiposLancamentos!B18</f>
        <v>Alimentacao</v>
      </c>
      <c r="C1050" s="1314" t="s">
        <v>3008</v>
      </c>
      <c r="D1050" s="78"/>
      <c r="E1050" s="1480">
        <v>15</v>
      </c>
    </row>
    <row r="1051" spans="1:5">
      <c r="A1051" s="75">
        <v>38724</v>
      </c>
      <c r="B1051" s="76" t="str">
        <f>TiposLancamentos!B16</f>
        <v>Cristiane</v>
      </c>
      <c r="C1051" s="1314" t="s">
        <v>1698</v>
      </c>
      <c r="D1051" s="78"/>
      <c r="E1051" s="1480">
        <v>130</v>
      </c>
    </row>
    <row r="1052" spans="1:5">
      <c r="A1052" s="75">
        <v>38725</v>
      </c>
      <c r="B1052" s="76" t="str">
        <f>TiposLancamentos!B55</f>
        <v>Onibus Urbano</v>
      </c>
      <c r="C1052" s="1314" t="s">
        <v>2624</v>
      </c>
      <c r="D1052" s="78"/>
      <c r="E1052" s="1480">
        <v>2</v>
      </c>
    </row>
    <row r="1053" spans="1:5">
      <c r="A1053" s="75">
        <v>38725</v>
      </c>
      <c r="B1053" s="76" t="str">
        <f>TiposLancamentos!B54</f>
        <v>Metro</v>
      </c>
      <c r="C1053" s="1314" t="s">
        <v>3009</v>
      </c>
      <c r="D1053" s="78"/>
      <c r="E1053" s="1480">
        <v>2.1</v>
      </c>
    </row>
    <row r="1054" spans="1:5">
      <c r="A1054" s="75">
        <v>38727</v>
      </c>
      <c r="B1054" s="76" t="str">
        <f>TiposLancamentos!B18</f>
        <v>Alimentacao</v>
      </c>
      <c r="C1054" s="1314" t="s">
        <v>2942</v>
      </c>
      <c r="D1054" s="78"/>
      <c r="E1054" s="1480">
        <v>3.95</v>
      </c>
    </row>
    <row r="1055" spans="1:5">
      <c r="A1055" s="75">
        <v>38727</v>
      </c>
      <c r="B1055" s="76" t="str">
        <f>TiposLancamentos!B20</f>
        <v>Saques</v>
      </c>
      <c r="C1055" s="1314" t="s">
        <v>2655</v>
      </c>
      <c r="D1055" s="78">
        <v>40</v>
      </c>
      <c r="E1055" s="1480"/>
    </row>
    <row r="1056" spans="1:5">
      <c r="A1056" s="75">
        <v>38727</v>
      </c>
      <c r="B1056" s="76" t="str">
        <f>TiposLancamentos!B97</f>
        <v>Deposito Terc.</v>
      </c>
      <c r="C1056" s="1314" t="s">
        <v>3010</v>
      </c>
      <c r="D1056" s="78"/>
      <c r="E1056" s="1480">
        <v>41.95</v>
      </c>
    </row>
    <row r="1057" spans="1:5">
      <c r="A1057" s="75">
        <v>39003</v>
      </c>
      <c r="B1057" s="76" t="str">
        <f>TiposLancamentos!B20</f>
        <v>Saques</v>
      </c>
      <c r="C1057" s="1314" t="s">
        <v>2668</v>
      </c>
      <c r="D1057" s="78">
        <v>10</v>
      </c>
      <c r="E1057" s="1480"/>
    </row>
    <row r="1058" spans="1:5">
      <c r="A1058" s="75">
        <v>38732</v>
      </c>
      <c r="B1058" s="76" t="str">
        <f>TiposLancamentos!B55</f>
        <v>Onibus Urbano</v>
      </c>
      <c r="C1058" s="1314" t="s">
        <v>2624</v>
      </c>
      <c r="D1058" s="78"/>
      <c r="E1058" s="1480">
        <v>2</v>
      </c>
    </row>
    <row r="1059" spans="1:5">
      <c r="A1059" s="75">
        <v>38732</v>
      </c>
      <c r="B1059" s="76" t="str">
        <f>TiposLancamentos!B54</f>
        <v>Metro</v>
      </c>
      <c r="C1059" s="1314" t="s">
        <v>1771</v>
      </c>
      <c r="D1059" s="78"/>
      <c r="E1059" s="1480">
        <v>2.1</v>
      </c>
    </row>
    <row r="1060" spans="1:5">
      <c r="A1060" s="75">
        <v>38732</v>
      </c>
      <c r="B1060" s="76" t="str">
        <f>TiposLancamentos!B54</f>
        <v>Metro</v>
      </c>
      <c r="C1060" s="1314" t="s">
        <v>1771</v>
      </c>
      <c r="D1060" s="78"/>
      <c r="E1060" s="1480">
        <v>2.1</v>
      </c>
    </row>
    <row r="1061" spans="1:5">
      <c r="A1061" s="75">
        <v>38732</v>
      </c>
      <c r="B1061" s="76" t="str">
        <f>TiposLancamentos!B55</f>
        <v>Onibus Urbano</v>
      </c>
      <c r="C1061" s="1314" t="s">
        <v>2624</v>
      </c>
      <c r="D1061" s="78"/>
      <c r="E1061" s="1480">
        <v>3</v>
      </c>
    </row>
    <row r="1062" spans="1:5">
      <c r="A1062" s="75">
        <v>38733</v>
      </c>
      <c r="B1062" s="76" t="str">
        <f>TiposLancamentos!B20</f>
        <v>Saques</v>
      </c>
      <c r="C1062" s="1314" t="s">
        <v>2668</v>
      </c>
      <c r="D1062" s="78">
        <v>30</v>
      </c>
      <c r="E1062" s="1480"/>
    </row>
    <row r="1063" spans="1:5">
      <c r="A1063" s="75">
        <v>38733</v>
      </c>
      <c r="B1063" s="76" t="str">
        <f>TiposLancamentos!B19</f>
        <v>Restaurantes</v>
      </c>
      <c r="C1063" s="1314" t="s">
        <v>3011</v>
      </c>
      <c r="D1063" s="78"/>
      <c r="E1063" s="1480">
        <v>30</v>
      </c>
    </row>
    <row r="1064" spans="1:5">
      <c r="A1064" s="75">
        <v>38733</v>
      </c>
      <c r="B1064" s="76" t="str">
        <f>TiposLancamentos!B20</f>
        <v>Saques</v>
      </c>
      <c r="C1064" s="1314" t="s">
        <v>3012</v>
      </c>
      <c r="D1064" s="78">
        <v>30</v>
      </c>
      <c r="E1064" s="1480"/>
    </row>
    <row r="1065" spans="1:5">
      <c r="A1065" s="75">
        <v>38733</v>
      </c>
      <c r="B1065" s="76" t="str">
        <f>TiposLancamentos!B17</f>
        <v>GATO</v>
      </c>
      <c r="C1065" s="1314" t="s">
        <v>3013</v>
      </c>
      <c r="D1065" s="78"/>
      <c r="E1065" s="1480">
        <v>5.8</v>
      </c>
    </row>
    <row r="1066" spans="1:5">
      <c r="A1066" s="75">
        <v>38733</v>
      </c>
      <c r="B1066" s="76" t="str">
        <f>TiposLancamentos!B16</f>
        <v>Cristiane</v>
      </c>
      <c r="C1066" s="1314" t="s">
        <v>1698</v>
      </c>
      <c r="D1066" s="78"/>
      <c r="E1066" s="1480">
        <v>25</v>
      </c>
    </row>
    <row r="1067" spans="1:5">
      <c r="A1067" s="75">
        <v>38737</v>
      </c>
      <c r="B1067" s="76" t="str">
        <f>TiposLancamentos!B20</f>
        <v>Saques</v>
      </c>
      <c r="C1067" s="1314" t="s">
        <v>2668</v>
      </c>
      <c r="D1067" s="78">
        <v>20</v>
      </c>
      <c r="E1067" s="1480"/>
    </row>
    <row r="1068" spans="1:5">
      <c r="A1068" s="75">
        <v>38737</v>
      </c>
      <c r="B1068" s="76" t="str">
        <f>TiposLancamentos!B18</f>
        <v>Alimentacao</v>
      </c>
      <c r="C1068" s="1314" t="s">
        <v>2634</v>
      </c>
      <c r="D1068" s="78"/>
      <c r="E1068" s="1480">
        <v>3.8</v>
      </c>
    </row>
    <row r="1069" spans="1:5">
      <c r="A1069" s="75">
        <v>38737</v>
      </c>
      <c r="B1069" s="76" t="str">
        <f>TiposLancamentos!B22</f>
        <v>Combustivel</v>
      </c>
      <c r="C1069" s="1314" t="s">
        <v>2514</v>
      </c>
      <c r="D1069" s="78"/>
      <c r="E1069" s="1480">
        <v>10</v>
      </c>
    </row>
    <row r="1070" spans="1:5">
      <c r="A1070" s="75">
        <v>38737</v>
      </c>
      <c r="B1070" s="76" t="str">
        <f>TiposLancamentos!B18</f>
        <v>Alimentacao</v>
      </c>
      <c r="C1070" s="1314" t="s">
        <v>2635</v>
      </c>
      <c r="D1070" s="78"/>
      <c r="E1070" s="1480">
        <v>3.1</v>
      </c>
    </row>
    <row r="1071" spans="1:5">
      <c r="A1071" s="75">
        <v>38738</v>
      </c>
      <c r="B1071" s="76" t="str">
        <f>TiposLancamentos!B16</f>
        <v>Cristiane</v>
      </c>
      <c r="C1071" s="1314" t="s">
        <v>2891</v>
      </c>
      <c r="D1071" s="78">
        <v>1.8</v>
      </c>
      <c r="E1071" s="1480"/>
    </row>
    <row r="1072" spans="1:5">
      <c r="A1072" s="75">
        <v>38738</v>
      </c>
      <c r="B1072" s="76" t="str">
        <f>TiposLancamentos!B54</f>
        <v>Metro</v>
      </c>
      <c r="C1072" s="1314" t="s">
        <v>3014</v>
      </c>
      <c r="D1072" s="78"/>
      <c r="E1072" s="1480">
        <v>4.2</v>
      </c>
    </row>
    <row r="1073" spans="1:5">
      <c r="A1073" s="75">
        <v>38738</v>
      </c>
      <c r="B1073" s="76" t="str">
        <f>TiposLancamentos!B18</f>
        <v>Alimentacao</v>
      </c>
      <c r="C1073" s="1314" t="s">
        <v>2703</v>
      </c>
      <c r="D1073" s="78"/>
      <c r="E1073" s="1480">
        <v>0.5</v>
      </c>
    </row>
    <row r="1074" spans="1:5">
      <c r="A1074" s="75">
        <v>38738</v>
      </c>
      <c r="B1074" s="76" t="str">
        <f>TiposLancamentos!B20</f>
        <v>Saques</v>
      </c>
      <c r="C1074" s="1314" t="s">
        <v>2668</v>
      </c>
      <c r="D1074" s="78">
        <v>30</v>
      </c>
      <c r="E1074" s="1480"/>
    </row>
    <row r="1075" spans="1:5">
      <c r="A1075" s="75">
        <v>38738</v>
      </c>
      <c r="B1075" s="76" t="str">
        <f>TiposLancamentos!B18</f>
        <v>Alimentacao</v>
      </c>
      <c r="C1075" s="1314" t="s">
        <v>3015</v>
      </c>
      <c r="D1075" s="78"/>
      <c r="E1075" s="1480">
        <v>5.2</v>
      </c>
    </row>
    <row r="1076" spans="1:5">
      <c r="A1076" s="75">
        <v>38738</v>
      </c>
      <c r="B1076" s="76" t="str">
        <f>TiposLancamentos!B18</f>
        <v>Alimentacao</v>
      </c>
      <c r="C1076" s="1314" t="s">
        <v>2608</v>
      </c>
      <c r="D1076" s="78"/>
      <c r="E1076" s="1480">
        <v>10</v>
      </c>
    </row>
    <row r="1077" spans="1:5">
      <c r="A1077" s="75">
        <v>38739</v>
      </c>
      <c r="B1077" s="76" t="str">
        <f>TiposLancamentos!B16</f>
        <v>Cristiane</v>
      </c>
      <c r="C1077" s="1314" t="s">
        <v>3016</v>
      </c>
      <c r="D1077" s="78"/>
      <c r="E1077" s="1480">
        <v>15</v>
      </c>
    </row>
    <row r="1078" spans="1:5">
      <c r="A1078" s="75">
        <v>38740</v>
      </c>
      <c r="B1078" s="76" t="str">
        <f>TiposLancamentos!B20</f>
        <v>Saques</v>
      </c>
      <c r="C1078" s="1314" t="s">
        <v>2655</v>
      </c>
      <c r="D1078" s="78">
        <v>30</v>
      </c>
      <c r="E1078" s="1480"/>
    </row>
    <row r="1079" spans="1:5">
      <c r="A1079" s="75">
        <v>38740</v>
      </c>
      <c r="B1079" s="76" t="str">
        <f>TiposLancamentos!B18</f>
        <v>Alimentacao</v>
      </c>
      <c r="C1079" s="1314" t="s">
        <v>3017</v>
      </c>
      <c r="D1079" s="78"/>
      <c r="E1079" s="1480">
        <v>1.5</v>
      </c>
    </row>
    <row r="1080" spans="1:5">
      <c r="A1080" s="75">
        <v>38740</v>
      </c>
      <c r="B1080" s="76" t="str">
        <f>TiposLancamentos!B18</f>
        <v>Alimentacao</v>
      </c>
      <c r="C1080" s="1314" t="s">
        <v>2701</v>
      </c>
      <c r="D1080" s="78"/>
      <c r="E1080" s="1480">
        <v>3.8</v>
      </c>
    </row>
    <row r="1081" spans="1:5">
      <c r="A1081" s="75">
        <v>38741</v>
      </c>
      <c r="B1081" s="76" t="str">
        <f>TiposLancamentos!B18</f>
        <v>Alimentacao</v>
      </c>
      <c r="C1081" s="1314" t="s">
        <v>3018</v>
      </c>
      <c r="D1081" s="78"/>
      <c r="E1081" s="1480">
        <v>0.5</v>
      </c>
    </row>
    <row r="1082" spans="1:5">
      <c r="A1082" s="75">
        <v>38741</v>
      </c>
      <c r="B1082" s="76" t="str">
        <f>TiposLancamentos!B19</f>
        <v>Restaurantes</v>
      </c>
      <c r="C1082" s="1314" t="s">
        <v>3019</v>
      </c>
      <c r="D1082" s="78"/>
      <c r="E1082" s="1480">
        <v>24.2</v>
      </c>
    </row>
    <row r="1083" spans="1:5">
      <c r="A1083" s="75">
        <v>38742</v>
      </c>
      <c r="B1083" s="76" t="str">
        <f>TiposLancamentos!B20</f>
        <v>Saques</v>
      </c>
      <c r="C1083" s="1314" t="s">
        <v>3020</v>
      </c>
      <c r="D1083" s="78">
        <v>10</v>
      </c>
      <c r="E1083" s="1480"/>
    </row>
    <row r="1084" spans="1:5">
      <c r="A1084" s="75">
        <v>38742</v>
      </c>
      <c r="B1084" s="76" t="str">
        <f>TiposLancamentos!B18</f>
        <v>Alimentacao</v>
      </c>
      <c r="C1084" s="1314" t="s">
        <v>2942</v>
      </c>
      <c r="D1084" s="78"/>
      <c r="E1084" s="1480">
        <v>3.25</v>
      </c>
    </row>
    <row r="1085" spans="1:5">
      <c r="A1085" s="75">
        <v>38742</v>
      </c>
      <c r="B1085" s="76" t="str">
        <f>TiposLancamentos!B18</f>
        <v>Alimentacao</v>
      </c>
      <c r="C1085" s="1314" t="s">
        <v>3018</v>
      </c>
      <c r="D1085" s="78"/>
      <c r="E1085" s="1480">
        <v>1.6</v>
      </c>
    </row>
    <row r="1086" spans="1:5">
      <c r="A1086" s="75">
        <v>38743</v>
      </c>
      <c r="B1086" s="76" t="str">
        <f>TiposLancamentos!B18</f>
        <v>Alimentacao</v>
      </c>
      <c r="C1086" s="1314" t="s">
        <v>3021</v>
      </c>
      <c r="D1086" s="78"/>
      <c r="E1086" s="1480">
        <v>1.6</v>
      </c>
    </row>
    <row r="1087" spans="1:5">
      <c r="A1087" s="75">
        <v>38743</v>
      </c>
      <c r="B1087" s="76" t="str">
        <f>TiposLancamentos!B18</f>
        <v>Alimentacao</v>
      </c>
      <c r="C1087" s="1314" t="s">
        <v>3022</v>
      </c>
      <c r="D1087" s="78"/>
      <c r="E1087" s="1480">
        <v>3.25</v>
      </c>
    </row>
    <row r="1088" spans="1:5">
      <c r="A1088" s="75">
        <v>38745</v>
      </c>
      <c r="B1088" s="76" t="str">
        <f>TiposLancamentos!B20</f>
        <v>Saques</v>
      </c>
      <c r="C1088" s="1314" t="s">
        <v>2668</v>
      </c>
      <c r="D1088" s="78">
        <v>20</v>
      </c>
      <c r="E1088" s="1480"/>
    </row>
    <row r="1089" spans="1:5">
      <c r="A1089" s="75">
        <v>38745</v>
      </c>
      <c r="B1089" s="76" t="str">
        <f>TiposLancamentos!B18</f>
        <v>Alimentacao</v>
      </c>
      <c r="C1089" s="1314" t="s">
        <v>3023</v>
      </c>
      <c r="D1089" s="78"/>
      <c r="E1089" s="1480">
        <v>6</v>
      </c>
    </row>
    <row r="1090" spans="1:5">
      <c r="A1090" s="75">
        <v>38746</v>
      </c>
      <c r="B1090" s="76" t="str">
        <f>TiposLancamentos!B16</f>
        <v>Cristiane</v>
      </c>
      <c r="C1090" s="1314" t="s">
        <v>1698</v>
      </c>
      <c r="D1090" s="78"/>
      <c r="E1090" s="1480">
        <v>2</v>
      </c>
    </row>
    <row r="1091" spans="1:5">
      <c r="A1091" s="75">
        <v>38746</v>
      </c>
      <c r="B1091" s="76" t="str">
        <f>TiposLancamentos!B20</f>
        <v>Saques</v>
      </c>
      <c r="C1091" s="1314" t="s">
        <v>2668</v>
      </c>
      <c r="D1091" s="78">
        <v>30</v>
      </c>
      <c r="E1091" s="1480"/>
    </row>
    <row r="1092" spans="1:5">
      <c r="A1092" s="75">
        <v>38746</v>
      </c>
      <c r="B1092" s="76" t="str">
        <f>TiposLancamentos!B16</f>
        <v>Cristiane</v>
      </c>
      <c r="C1092" s="1314" t="s">
        <v>1698</v>
      </c>
      <c r="D1092" s="78"/>
      <c r="E1092" s="1480">
        <v>42.3</v>
      </c>
    </row>
    <row r="1093" spans="1:5">
      <c r="A1093" s="75">
        <v>38747</v>
      </c>
      <c r="B1093" s="76" t="str">
        <f>TiposLancamentos!B16</f>
        <v>Cristiane</v>
      </c>
      <c r="C1093" s="1314" t="s">
        <v>3024</v>
      </c>
      <c r="D1093" s="78">
        <v>4.1500000000000004</v>
      </c>
      <c r="E1093" s="1480"/>
    </row>
    <row r="1094" spans="1:5">
      <c r="A1094" s="75">
        <v>38747</v>
      </c>
      <c r="B1094" s="76" t="str">
        <f>TiposLancamentos!B54</f>
        <v>Metro</v>
      </c>
      <c r="C1094" s="1314" t="s">
        <v>3009</v>
      </c>
      <c r="D1094" s="78"/>
      <c r="E1094" s="1480">
        <v>2.1</v>
      </c>
    </row>
    <row r="1095" spans="1:5">
      <c r="A1095" s="75">
        <v>38747</v>
      </c>
      <c r="B1095" s="76" t="str">
        <f>TiposLancamentos!B55</f>
        <v>Onibus Urbano</v>
      </c>
      <c r="C1095" s="1314" t="s">
        <v>2624</v>
      </c>
      <c r="D1095" s="78"/>
      <c r="E1095" s="1480">
        <v>2</v>
      </c>
    </row>
    <row r="1096" spans="1:5">
      <c r="A1096" s="75">
        <v>38747</v>
      </c>
      <c r="B1096" s="76" t="str">
        <f>TiposLancamentos!B101</f>
        <v>Troco de Vr</v>
      </c>
      <c r="C1096" s="1314" t="s">
        <v>3025</v>
      </c>
      <c r="D1096" s="82">
        <v>3.5</v>
      </c>
      <c r="E1096" s="1583"/>
    </row>
    <row r="1097" spans="1:5">
      <c r="A1097" s="83"/>
      <c r="B1097" s="37"/>
      <c r="C1097" s="1584" t="s">
        <v>3026</v>
      </c>
      <c r="D1097" s="78"/>
      <c r="E1097" s="1480"/>
    </row>
    <row r="1098" spans="1:5">
      <c r="A1098" s="75">
        <v>38749</v>
      </c>
      <c r="B1098" s="76" t="str">
        <f>TiposLancamentos!B17</f>
        <v>GATO</v>
      </c>
      <c r="C1098" s="1314" t="s">
        <v>3027</v>
      </c>
      <c r="D1098" s="78">
        <v>5.09</v>
      </c>
      <c r="E1098" s="1480">
        <v>5.09</v>
      </c>
    </row>
    <row r="1099" spans="1:5">
      <c r="A1099" s="75">
        <v>38751</v>
      </c>
      <c r="B1099" s="76" t="str">
        <f>TiposLancamentos!B18</f>
        <v>Alimentacao</v>
      </c>
      <c r="C1099" s="1314" t="s">
        <v>3028</v>
      </c>
      <c r="D1099" s="78"/>
      <c r="E1099" s="1480">
        <v>3.2</v>
      </c>
    </row>
    <row r="1100" spans="1:5">
      <c r="A1100" s="75">
        <v>38751</v>
      </c>
      <c r="B1100" s="76" t="str">
        <f>TiposLancamentos!B20</f>
        <v>Saques</v>
      </c>
      <c r="C1100" s="1314" t="s">
        <v>2668</v>
      </c>
      <c r="D1100" s="78">
        <v>10</v>
      </c>
      <c r="E1100" s="1480"/>
    </row>
    <row r="1101" spans="1:5">
      <c r="A1101" s="75">
        <v>38751</v>
      </c>
      <c r="B1101" s="76" t="str">
        <f>TiposLancamentos!B55</f>
        <v>Onibus Urbano</v>
      </c>
      <c r="C1101" s="1314" t="s">
        <v>1773</v>
      </c>
      <c r="D1101" s="78"/>
      <c r="E1101" s="1480">
        <v>2</v>
      </c>
    </row>
    <row r="1102" spans="1:5">
      <c r="A1102" s="75">
        <v>38751</v>
      </c>
      <c r="B1102" s="76" t="str">
        <f>TiposLancamentos!B54</f>
        <v>Metro</v>
      </c>
      <c r="C1102" s="1314" t="s">
        <v>1771</v>
      </c>
      <c r="D1102" s="78"/>
      <c r="E1102" s="1480">
        <v>2.1</v>
      </c>
    </row>
    <row r="1103" spans="1:5">
      <c r="A1103" s="75">
        <v>38752</v>
      </c>
      <c r="B1103" s="76" t="str">
        <f>TiposLancamentos!B19</f>
        <v>Restaurantes</v>
      </c>
      <c r="C1103" s="1314" t="s">
        <v>3029</v>
      </c>
      <c r="D1103" s="78"/>
      <c r="E1103" s="1480">
        <v>6.25</v>
      </c>
    </row>
    <row r="1104" spans="1:5">
      <c r="A1104" s="75">
        <v>38753</v>
      </c>
      <c r="B1104" s="76" t="str">
        <f>TiposLancamentos!B20</f>
        <v>Saques</v>
      </c>
      <c r="C1104" s="1314" t="s">
        <v>3030</v>
      </c>
      <c r="D1104" s="78">
        <v>100</v>
      </c>
      <c r="E1104" s="1480"/>
    </row>
    <row r="1105" spans="1:5">
      <c r="A1105" s="75">
        <v>38753</v>
      </c>
      <c r="B1105" s="76" t="str">
        <f>TiposLancamentos!B18</f>
        <v>Alimentacao</v>
      </c>
      <c r="C1105" s="1314" t="s">
        <v>3031</v>
      </c>
      <c r="D1105" s="78"/>
      <c r="E1105" s="1480">
        <v>4.34</v>
      </c>
    </row>
    <row r="1106" spans="1:5">
      <c r="A1106" s="75">
        <v>38753</v>
      </c>
      <c r="B1106" s="76" t="str">
        <f>TiposLancamentos!B16</f>
        <v>Cristiane</v>
      </c>
      <c r="C1106" s="1314" t="s">
        <v>3032</v>
      </c>
      <c r="D1106" s="78"/>
      <c r="E1106" s="1480">
        <v>45.66</v>
      </c>
    </row>
    <row r="1107" spans="1:5">
      <c r="A1107" s="75">
        <v>38754</v>
      </c>
      <c r="B1107" s="76" t="str">
        <f>TiposLancamentos!B101</f>
        <v>Troco de Vr</v>
      </c>
      <c r="C1107" s="1314" t="s">
        <v>2792</v>
      </c>
      <c r="D1107" s="78">
        <v>3.35</v>
      </c>
      <c r="E1107" s="1480"/>
    </row>
    <row r="1108" spans="1:5">
      <c r="A1108" s="75">
        <v>38754</v>
      </c>
      <c r="B1108" s="76" t="str">
        <f>TiposLancamentos!B18</f>
        <v>Alimentacao</v>
      </c>
      <c r="C1108" s="1314" t="s">
        <v>2762</v>
      </c>
      <c r="D1108" s="78"/>
      <c r="E1108" s="1480">
        <v>1</v>
      </c>
    </row>
    <row r="1109" spans="1:5">
      <c r="A1109" s="75">
        <v>38756</v>
      </c>
      <c r="B1109" s="76" t="str">
        <f>TiposLancamentos!B65</f>
        <v>Taxi</v>
      </c>
      <c r="C1109" s="1314" t="s">
        <v>1792</v>
      </c>
      <c r="D1109" s="78"/>
      <c r="E1109" s="1480">
        <v>22</v>
      </c>
    </row>
    <row r="1110" spans="1:5">
      <c r="A1110" s="75">
        <v>38756</v>
      </c>
      <c r="B1110" s="76" t="str">
        <f>TiposLancamentos!B101</f>
        <v>Troco de Vr</v>
      </c>
      <c r="C1110" s="1314" t="s">
        <v>2758</v>
      </c>
      <c r="D1110" s="78">
        <v>3.35</v>
      </c>
      <c r="E1110" s="1480"/>
    </row>
    <row r="1111" spans="1:5">
      <c r="A1111" s="75">
        <v>38756</v>
      </c>
      <c r="B1111" s="76" t="str">
        <f>TiposLancamentos!B18</f>
        <v>Alimentacao</v>
      </c>
      <c r="C1111" s="1314" t="s">
        <v>2566</v>
      </c>
      <c r="D1111" s="78"/>
      <c r="E1111" s="1480">
        <v>1.8</v>
      </c>
    </row>
    <row r="1112" spans="1:5">
      <c r="A1112" s="75">
        <v>38756</v>
      </c>
      <c r="B1112" s="76" t="str">
        <f>TiposLancamentos!B18</f>
        <v>Alimentacao</v>
      </c>
      <c r="C1112" s="1314" t="s">
        <v>3033</v>
      </c>
      <c r="D1112" s="78"/>
      <c r="E1112" s="1480">
        <v>1</v>
      </c>
    </row>
    <row r="1113" spans="1:5">
      <c r="A1113" s="75">
        <v>38756</v>
      </c>
      <c r="B1113" s="76" t="str">
        <f>TiposLancamentos!B54</f>
        <v>Metro</v>
      </c>
      <c r="C1113" s="1314" t="s">
        <v>1771</v>
      </c>
      <c r="D1113" s="78"/>
      <c r="E1113" s="1480">
        <v>2.2000000000000002</v>
      </c>
    </row>
    <row r="1114" spans="1:5">
      <c r="A1114" s="75">
        <v>38757</v>
      </c>
      <c r="B1114" s="76" t="str">
        <f>TiposLancamentos!B54</f>
        <v>Metro</v>
      </c>
      <c r="C1114" s="1314" t="s">
        <v>3034</v>
      </c>
      <c r="D1114" s="78"/>
      <c r="E1114" s="1480">
        <v>2.2000000000000002</v>
      </c>
    </row>
    <row r="1115" spans="1:5">
      <c r="A1115" s="75">
        <v>38757</v>
      </c>
      <c r="B1115" s="76" t="str">
        <f>TiposLancamentos!B19</f>
        <v>Restaurantes</v>
      </c>
      <c r="C1115" s="1314" t="s">
        <v>2618</v>
      </c>
      <c r="D1115" s="78"/>
      <c r="E1115" s="1480">
        <v>7.1</v>
      </c>
    </row>
    <row r="1116" spans="1:5">
      <c r="A1116" s="75">
        <v>38757</v>
      </c>
      <c r="B1116" s="76" t="str">
        <f>TiposLancamentos!B19</f>
        <v>Restaurantes</v>
      </c>
      <c r="C1116" s="1314" t="s">
        <v>3035</v>
      </c>
      <c r="D1116" s="78"/>
      <c r="E1116" s="1480">
        <v>3.2</v>
      </c>
    </row>
    <row r="1117" spans="1:5">
      <c r="A1117" s="75">
        <v>38757</v>
      </c>
      <c r="B1117" s="76" t="str">
        <f>TiposLancamentos!B65</f>
        <v>Taxi</v>
      </c>
      <c r="C1117" s="1314" t="s">
        <v>3036</v>
      </c>
      <c r="D1117" s="78"/>
      <c r="E1117" s="1480">
        <v>6</v>
      </c>
    </row>
    <row r="1118" spans="1:5">
      <c r="A1118" s="75">
        <v>38757</v>
      </c>
      <c r="B1118" s="76" t="str">
        <f>TiposLancamentos!B65</f>
        <v>Taxi</v>
      </c>
      <c r="C1118" s="1314" t="s">
        <v>1792</v>
      </c>
      <c r="D1118" s="78"/>
      <c r="E1118" s="1480">
        <v>5</v>
      </c>
    </row>
    <row r="1119" spans="1:5">
      <c r="A1119" s="75">
        <v>38758</v>
      </c>
      <c r="B1119" s="76" t="str">
        <f>TiposLancamentos!B19</f>
        <v>Restaurantes</v>
      </c>
      <c r="C1119" s="1314" t="s">
        <v>2618</v>
      </c>
      <c r="D1119" s="78"/>
      <c r="E1119" s="1480">
        <v>5</v>
      </c>
    </row>
    <row r="1120" spans="1:5">
      <c r="A1120" s="75">
        <v>38758</v>
      </c>
      <c r="B1120" s="76" t="str">
        <f>TiposLancamentos!B100</f>
        <v>Emprestimos</v>
      </c>
      <c r="C1120" s="1314" t="s">
        <v>3025</v>
      </c>
      <c r="D1120" s="78">
        <v>2</v>
      </c>
      <c r="E1120" s="1480"/>
    </row>
    <row r="1121" spans="1:5">
      <c r="A1121" s="75">
        <v>38759</v>
      </c>
      <c r="B1121" s="76" t="str">
        <f>TiposLancamentos!B101</f>
        <v>Troco de Vr</v>
      </c>
      <c r="C1121" s="1314" t="s">
        <v>2792</v>
      </c>
      <c r="D1121" s="78">
        <v>1.65</v>
      </c>
      <c r="E1121" s="1480"/>
    </row>
    <row r="1122" spans="1:5">
      <c r="A1122" s="75">
        <v>38760</v>
      </c>
      <c r="B1122" s="76" t="str">
        <f>TiposLancamentos!B20</f>
        <v>Saques</v>
      </c>
      <c r="C1122" s="1314" t="s">
        <v>2668</v>
      </c>
      <c r="D1122" s="78">
        <v>30</v>
      </c>
      <c r="E1122" s="1480"/>
    </row>
    <row r="1123" spans="1:5">
      <c r="A1123" s="75">
        <v>38760</v>
      </c>
      <c r="B1123" s="76" t="str">
        <f>TiposLancamentos!B56</f>
        <v>Farmácia</v>
      </c>
      <c r="C1123" s="1314" t="s">
        <v>1775</v>
      </c>
      <c r="D1123" s="78"/>
      <c r="E1123" s="1480">
        <v>1</v>
      </c>
    </row>
    <row r="1124" spans="1:5">
      <c r="A1124" s="75">
        <v>38760</v>
      </c>
      <c r="B1124" s="76" t="str">
        <f>TiposLancamentos!B19</f>
        <v>Restaurantes</v>
      </c>
      <c r="C1124" s="1314" t="s">
        <v>2618</v>
      </c>
      <c r="D1124" s="78"/>
      <c r="E1124" s="1480">
        <v>8.9</v>
      </c>
    </row>
    <row r="1125" spans="1:5">
      <c r="A1125" s="75">
        <v>38760</v>
      </c>
      <c r="B1125" s="76" t="str">
        <f>TiposLancamentos!B19</f>
        <v>Restaurantes</v>
      </c>
      <c r="C1125" s="1314" t="s">
        <v>3035</v>
      </c>
      <c r="D1125" s="78"/>
      <c r="E1125" s="1480">
        <v>1</v>
      </c>
    </row>
    <row r="1126" spans="1:5">
      <c r="A1126" s="75">
        <v>38761</v>
      </c>
      <c r="B1126" s="76" t="str">
        <f>TiposLancamentos!B19</f>
        <v>Restaurantes</v>
      </c>
      <c r="C1126" s="1314" t="s">
        <v>2618</v>
      </c>
      <c r="D1126" s="78"/>
      <c r="E1126" s="1480">
        <v>11.95</v>
      </c>
    </row>
    <row r="1127" spans="1:5">
      <c r="A1127" s="75">
        <v>38762</v>
      </c>
      <c r="B1127" s="76" t="str">
        <f>TiposLancamentos!B56</f>
        <v>Farmácia</v>
      </c>
      <c r="C1127" s="1314" t="s">
        <v>3037</v>
      </c>
      <c r="D1127" s="78"/>
      <c r="E1127" s="1480">
        <v>1.9</v>
      </c>
    </row>
    <row r="1128" spans="1:5">
      <c r="A1128" s="75">
        <v>38762</v>
      </c>
      <c r="B1128" s="76" t="str">
        <f>TiposLancamentos!B54</f>
        <v>Metro</v>
      </c>
      <c r="C1128" s="1314" t="s">
        <v>1771</v>
      </c>
      <c r="D1128" s="78"/>
      <c r="E1128" s="1480">
        <v>2.2000000000000002</v>
      </c>
    </row>
    <row r="1129" spans="1:5">
      <c r="A1129" s="75">
        <v>38762</v>
      </c>
      <c r="B1129" s="76" t="str">
        <f>TiposLancamentos!B20</f>
        <v>Saques</v>
      </c>
      <c r="C1129" s="1314" t="s">
        <v>2668</v>
      </c>
      <c r="D1129" s="78">
        <v>20</v>
      </c>
      <c r="E1129" s="1480"/>
    </row>
    <row r="1130" spans="1:5">
      <c r="A1130" s="75">
        <v>38762</v>
      </c>
      <c r="B1130" s="76" t="str">
        <f>TiposLancamentos!B54</f>
        <v>Metro</v>
      </c>
      <c r="C1130" s="1314" t="s">
        <v>3038</v>
      </c>
      <c r="D1130" s="78"/>
      <c r="E1130" s="1480">
        <v>8.8000000000000007</v>
      </c>
    </row>
    <row r="1131" spans="1:5">
      <c r="A1131" s="75">
        <v>38763</v>
      </c>
      <c r="B1131" s="76" t="str">
        <f>TiposLancamentos!B19</f>
        <v>Restaurantes</v>
      </c>
      <c r="C1131" s="1314" t="s">
        <v>2618</v>
      </c>
      <c r="D1131" s="78"/>
      <c r="E1131" s="1480">
        <v>10.15</v>
      </c>
    </row>
    <row r="1132" spans="1:5">
      <c r="A1132" s="75">
        <v>38763</v>
      </c>
      <c r="B1132" s="76" t="str">
        <f>TiposLancamentos!B18</f>
        <v>Alimentacao</v>
      </c>
      <c r="C1132" s="1314" t="s">
        <v>2762</v>
      </c>
      <c r="D1132" s="78"/>
      <c r="E1132" s="1480">
        <v>1</v>
      </c>
    </row>
    <row r="1133" spans="1:5">
      <c r="A1133" s="75">
        <v>38764</v>
      </c>
      <c r="B1133" s="76" t="str">
        <f>TiposLancamentos!B20</f>
        <v>Saques</v>
      </c>
      <c r="C1133" s="1314" t="s">
        <v>2668</v>
      </c>
      <c r="D1133" s="78">
        <v>40</v>
      </c>
      <c r="E1133" s="1480"/>
    </row>
    <row r="1134" spans="1:5">
      <c r="A1134" s="75">
        <v>38764</v>
      </c>
      <c r="B1134" s="76" t="str">
        <f>TiposLancamentos!B19</f>
        <v>Restaurantes</v>
      </c>
      <c r="C1134" s="1314" t="s">
        <v>2618</v>
      </c>
      <c r="D1134" s="78"/>
      <c r="E1134" s="1480">
        <v>8.65</v>
      </c>
    </row>
    <row r="1135" spans="1:5">
      <c r="A1135" s="75">
        <v>38764</v>
      </c>
      <c r="B1135" s="76" t="str">
        <f>TiposLancamentos!B19</f>
        <v>Restaurantes</v>
      </c>
      <c r="C1135" s="1314" t="s">
        <v>3039</v>
      </c>
      <c r="D1135" s="78"/>
      <c r="E1135" s="1480">
        <v>1.8</v>
      </c>
    </row>
    <row r="1136" spans="1:5">
      <c r="A1136" s="75">
        <v>38764</v>
      </c>
      <c r="B1136" s="76" t="str">
        <f>TiposLancamentos!B54</f>
        <v>Metro</v>
      </c>
      <c r="C1136" s="1314" t="s">
        <v>3040</v>
      </c>
      <c r="D1136" s="78"/>
      <c r="E1136" s="1480">
        <v>2.2000000000000002</v>
      </c>
    </row>
    <row r="1137" spans="1:5">
      <c r="A1137" s="75">
        <v>38765</v>
      </c>
      <c r="B1137" s="76" t="str">
        <f>TiposLancamentos!B65</f>
        <v>Taxi</v>
      </c>
      <c r="C1137" s="1314" t="s">
        <v>1792</v>
      </c>
      <c r="D1137" s="78"/>
      <c r="E1137" s="1480">
        <v>19</v>
      </c>
    </row>
    <row r="1138" spans="1:5">
      <c r="A1138" s="75">
        <v>38765</v>
      </c>
      <c r="B1138" s="76" t="str">
        <f>TiposLancamentos!B19</f>
        <v>Restaurantes</v>
      </c>
      <c r="C1138" s="1314" t="s">
        <v>2618</v>
      </c>
      <c r="D1138" s="78"/>
      <c r="E1138" s="1480">
        <v>10</v>
      </c>
    </row>
    <row r="1139" spans="1:5">
      <c r="A1139" s="75">
        <v>38765</v>
      </c>
      <c r="B1139" s="76" t="str">
        <f>TiposLancamentos!B20</f>
        <v>Saques</v>
      </c>
      <c r="C1139" s="1314" t="s">
        <v>2668</v>
      </c>
      <c r="D1139" s="78">
        <v>40</v>
      </c>
      <c r="E1139" s="1480"/>
    </row>
    <row r="1140" spans="1:5">
      <c r="A1140" s="75">
        <v>38765</v>
      </c>
      <c r="B1140" s="76" t="str">
        <f>TiposLancamentos!B100</f>
        <v>Emprestimos</v>
      </c>
      <c r="C1140" s="1314" t="s">
        <v>3041</v>
      </c>
      <c r="D1140" s="78"/>
      <c r="E1140" s="1480">
        <v>15</v>
      </c>
    </row>
    <row r="1141" spans="1:5">
      <c r="A1141" s="75">
        <v>38765</v>
      </c>
      <c r="B1141" s="76" t="str">
        <f>TiposLancamentos!B55</f>
        <v>Onibus Urbano</v>
      </c>
      <c r="C1141" s="1314" t="s">
        <v>1773</v>
      </c>
      <c r="D1141" s="78"/>
      <c r="E1141" s="1480">
        <v>4.8</v>
      </c>
    </row>
    <row r="1142" spans="1:5">
      <c r="A1142" s="75">
        <v>38765</v>
      </c>
      <c r="B1142" s="76" t="str">
        <f>TiposLancamentos!B19</f>
        <v>Restaurantes</v>
      </c>
      <c r="C1142" s="1314" t="s">
        <v>3029</v>
      </c>
      <c r="D1142" s="78"/>
      <c r="E1142" s="1480">
        <v>13.68</v>
      </c>
    </row>
    <row r="1143" spans="1:5">
      <c r="A1143" s="75">
        <v>38766</v>
      </c>
      <c r="B1143" s="76" t="str">
        <f>TiposLancamentos!B55</f>
        <v>Onibus Urbano</v>
      </c>
      <c r="C1143" s="1314" t="s">
        <v>2624</v>
      </c>
      <c r="D1143" s="78"/>
      <c r="E1143" s="1480">
        <v>2</v>
      </c>
    </row>
    <row r="1144" spans="1:5">
      <c r="A1144" s="75">
        <v>38766</v>
      </c>
      <c r="B1144" s="76" t="str">
        <f>TiposLancamentos!B54</f>
        <v>Metro</v>
      </c>
      <c r="C1144" s="1314" t="s">
        <v>1771</v>
      </c>
      <c r="D1144" s="78"/>
      <c r="E1144" s="1480">
        <v>4.2</v>
      </c>
    </row>
    <row r="1145" spans="1:5">
      <c r="A1145" s="75">
        <v>38766</v>
      </c>
      <c r="B1145" s="76" t="str">
        <f>TiposLancamentos!B20</f>
        <v>Saques</v>
      </c>
      <c r="C1145" s="1314" t="s">
        <v>2668</v>
      </c>
      <c r="D1145" s="78">
        <v>30</v>
      </c>
      <c r="E1145" s="1480"/>
    </row>
    <row r="1146" spans="1:5">
      <c r="A1146" s="75">
        <v>38766</v>
      </c>
      <c r="B1146" s="76" t="str">
        <f>TiposLancamentos!B54</f>
        <v>Metro</v>
      </c>
      <c r="C1146" s="1314" t="s">
        <v>1771</v>
      </c>
      <c r="D1146" s="78"/>
      <c r="E1146" s="1480">
        <v>4.2</v>
      </c>
    </row>
    <row r="1147" spans="1:5">
      <c r="A1147" s="75">
        <v>38766</v>
      </c>
      <c r="B1147" s="76" t="str">
        <f>TiposLancamentos!B16</f>
        <v>Cristiane</v>
      </c>
      <c r="C1147" s="1314" t="s">
        <v>3042</v>
      </c>
      <c r="D1147" s="78"/>
      <c r="E1147" s="1480">
        <v>10</v>
      </c>
    </row>
    <row r="1148" spans="1:5">
      <c r="A1148" s="75">
        <v>38766</v>
      </c>
      <c r="B1148" s="76" t="str">
        <f>TiposLancamentos!B55</f>
        <v>Onibus Urbano</v>
      </c>
      <c r="C1148" s="1314" t="s">
        <v>2624</v>
      </c>
      <c r="D1148" s="78"/>
      <c r="E1148" s="1480">
        <v>4</v>
      </c>
    </row>
    <row r="1149" spans="1:5">
      <c r="A1149" s="75">
        <v>38766</v>
      </c>
      <c r="B1149" s="76" t="str">
        <f>TiposLancamentos!B90</f>
        <v>Locadora</v>
      </c>
      <c r="C1149" s="1314" t="s">
        <v>3043</v>
      </c>
      <c r="D1149" s="78"/>
      <c r="E1149" s="1480">
        <v>12</v>
      </c>
    </row>
    <row r="1150" spans="1:5">
      <c r="A1150" s="75">
        <v>38769</v>
      </c>
      <c r="B1150" s="76" t="str">
        <f>TiposLancamentos!B20</f>
        <v>Saques</v>
      </c>
      <c r="C1150" s="1314" t="s">
        <v>2668</v>
      </c>
      <c r="D1150" s="78">
        <v>20</v>
      </c>
      <c r="E1150" s="1480"/>
    </row>
    <row r="1151" spans="1:5">
      <c r="A1151" s="75">
        <v>38769</v>
      </c>
      <c r="B1151" s="76" t="str">
        <f>TiposLancamentos!B18</f>
        <v>Alimentacao</v>
      </c>
      <c r="C1151" s="1314" t="s">
        <v>3044</v>
      </c>
      <c r="D1151" s="78"/>
      <c r="E1151" s="1480">
        <v>6.85</v>
      </c>
    </row>
    <row r="1152" spans="1:5">
      <c r="A1152" s="75">
        <v>38769</v>
      </c>
      <c r="B1152" s="76" t="str">
        <f>TiposLancamentos!B90</f>
        <v>Locadora</v>
      </c>
      <c r="C1152" s="1314" t="s">
        <v>3045</v>
      </c>
      <c r="D1152" s="78"/>
      <c r="E1152" s="1480">
        <v>6</v>
      </c>
    </row>
    <row r="1153" spans="1:5">
      <c r="A1153" s="75">
        <v>38770</v>
      </c>
      <c r="B1153" s="76" t="str">
        <f>TiposLancamentos!B18</f>
        <v>Alimentacao</v>
      </c>
      <c r="C1153" s="1314" t="s">
        <v>2948</v>
      </c>
      <c r="D1153" s="78"/>
      <c r="E1153" s="1480">
        <v>1.5</v>
      </c>
    </row>
    <row r="1154" spans="1:5">
      <c r="A1154" s="75">
        <v>38770</v>
      </c>
      <c r="B1154" s="76" t="str">
        <f>TiposLancamentos!B20</f>
        <v>Saques</v>
      </c>
      <c r="C1154" s="1314" t="s">
        <v>3046</v>
      </c>
      <c r="D1154" s="78">
        <v>20</v>
      </c>
      <c r="E1154" s="1480"/>
    </row>
    <row r="1155" spans="1:5">
      <c r="A1155" s="75">
        <v>38770</v>
      </c>
      <c r="B1155" s="76" t="str">
        <f>TiposLancamentos!B17</f>
        <v>GATO</v>
      </c>
      <c r="C1155" s="1314" t="s">
        <v>3047</v>
      </c>
      <c r="D1155" s="78"/>
      <c r="E1155" s="1480">
        <v>16.899999999999999</v>
      </c>
    </row>
    <row r="1156" spans="1:5">
      <c r="A1156" s="75">
        <v>38770</v>
      </c>
      <c r="B1156" s="76" t="str">
        <f>TiposLancamentos!B20</f>
        <v>Saques</v>
      </c>
      <c r="C1156" s="1314" t="s">
        <v>2655</v>
      </c>
      <c r="D1156" s="78">
        <v>10</v>
      </c>
      <c r="E1156" s="1480"/>
    </row>
    <row r="1157" spans="1:5">
      <c r="A1157" s="75">
        <v>38770</v>
      </c>
      <c r="B1157" s="76" t="str">
        <f>TiposLancamentos!B18</f>
        <v>Alimentacao</v>
      </c>
      <c r="C1157" s="1314" t="s">
        <v>2701</v>
      </c>
      <c r="D1157" s="78"/>
      <c r="E1157" s="1480">
        <v>2.7</v>
      </c>
    </row>
    <row r="1158" spans="1:5">
      <c r="A1158" s="75">
        <v>38771</v>
      </c>
      <c r="B1158" s="76" t="str">
        <f>TiposLancamentos!B18</f>
        <v>Alimentacao</v>
      </c>
      <c r="C1158" s="1314" t="s">
        <v>2701</v>
      </c>
      <c r="D1158" s="78"/>
      <c r="E1158" s="1480">
        <v>5.7</v>
      </c>
    </row>
    <row r="1159" spans="1:5">
      <c r="A1159" s="75">
        <v>38772</v>
      </c>
      <c r="B1159" s="76" t="str">
        <f>TiposLancamentos!B69</f>
        <v>Consertos</v>
      </c>
      <c r="C1159" s="1314" t="s">
        <v>3048</v>
      </c>
      <c r="D1159" s="78"/>
      <c r="E1159" s="1480">
        <v>8</v>
      </c>
    </row>
    <row r="1160" spans="1:5">
      <c r="A1160" s="75">
        <v>38772</v>
      </c>
      <c r="B1160" s="76" t="str">
        <f>TiposLancamentos!B18</f>
        <v>Alimentacao</v>
      </c>
      <c r="C1160" s="1314" t="s">
        <v>3049</v>
      </c>
      <c r="D1160" s="78"/>
      <c r="E1160" s="1480">
        <v>1.5</v>
      </c>
    </row>
    <row r="1161" spans="1:5">
      <c r="A1161" s="75">
        <v>38772</v>
      </c>
      <c r="B1161" s="76" t="str">
        <f>TiposLancamentos!B20</f>
        <v>Saques</v>
      </c>
      <c r="C1161" s="1314" t="s">
        <v>2668</v>
      </c>
      <c r="D1161" s="78">
        <v>20</v>
      </c>
      <c r="E1161" s="1480"/>
    </row>
    <row r="1162" spans="1:5">
      <c r="A1162" s="75">
        <v>38773</v>
      </c>
      <c r="B1162" s="76" t="str">
        <f>TiposLancamentos!B55</f>
        <v>Onibus Urbano</v>
      </c>
      <c r="C1162" s="1314" t="s">
        <v>1773</v>
      </c>
      <c r="D1162" s="78"/>
      <c r="E1162" s="1480">
        <v>4</v>
      </c>
    </row>
    <row r="1163" spans="1:5">
      <c r="A1163" s="75">
        <v>38773</v>
      </c>
      <c r="B1163" s="76" t="str">
        <f>TiposLancamentos!B54</f>
        <v>Metro</v>
      </c>
      <c r="C1163" s="1314" t="s">
        <v>1771</v>
      </c>
      <c r="D1163" s="78"/>
      <c r="E1163" s="1480">
        <v>4.2</v>
      </c>
    </row>
    <row r="1164" spans="1:5">
      <c r="A1164" s="75">
        <v>38773</v>
      </c>
      <c r="B1164" s="76" t="str">
        <f>TiposLancamentos!B55</f>
        <v>Onibus Urbano</v>
      </c>
      <c r="C1164" s="1314" t="s">
        <v>2624</v>
      </c>
      <c r="D1164" s="78"/>
      <c r="E1164" s="1480">
        <v>4.4000000000000004</v>
      </c>
    </row>
    <row r="1165" spans="1:5">
      <c r="A1165" s="75">
        <v>38773</v>
      </c>
      <c r="B1165" s="76" t="str">
        <f>TiposLancamentos!B20</f>
        <v>Saques</v>
      </c>
      <c r="C1165" s="1314" t="s">
        <v>2668</v>
      </c>
      <c r="D1165" s="78">
        <v>20</v>
      </c>
      <c r="E1165" s="1480"/>
    </row>
    <row r="1166" spans="1:5">
      <c r="A1166" s="75">
        <v>38773</v>
      </c>
      <c r="B1166" s="76" t="str">
        <f>TiposLancamentos!B55</f>
        <v>Onibus Urbano</v>
      </c>
      <c r="C1166" s="1314" t="s">
        <v>1773</v>
      </c>
      <c r="D1166" s="78"/>
      <c r="E1166" s="1480">
        <v>4.4000000000000004</v>
      </c>
    </row>
    <row r="1167" spans="1:5">
      <c r="A1167" s="75">
        <v>38773</v>
      </c>
      <c r="B1167" s="76" t="str">
        <f>TiposLancamentos!B54</f>
        <v>Metro</v>
      </c>
      <c r="C1167" s="1314" t="s">
        <v>2940</v>
      </c>
      <c r="D1167" s="78"/>
      <c r="E1167" s="1480">
        <v>4.2</v>
      </c>
    </row>
    <row r="1168" spans="1:5">
      <c r="A1168" s="75">
        <v>38773</v>
      </c>
      <c r="B1168" s="76" t="str">
        <f>TiposLancamentos!B55</f>
        <v>Onibus Urbano</v>
      </c>
      <c r="C1168" s="1314" t="s">
        <v>2624</v>
      </c>
      <c r="D1168" s="78"/>
      <c r="E1168" s="1480">
        <v>4</v>
      </c>
    </row>
    <row r="1169" spans="1:5">
      <c r="A1169" s="75">
        <v>38773</v>
      </c>
      <c r="B1169" s="76" t="str">
        <f>TiposLancamentos!B22</f>
        <v>Combustivel</v>
      </c>
      <c r="C1169" s="1314" t="s">
        <v>3050</v>
      </c>
      <c r="D1169" s="78"/>
      <c r="E1169" s="1480">
        <v>5</v>
      </c>
    </row>
    <row r="1170" spans="1:5">
      <c r="A1170" s="75">
        <v>38773</v>
      </c>
      <c r="B1170" s="76" t="str">
        <f>TiposLancamentos!B16</f>
        <v>Cristiane</v>
      </c>
      <c r="C1170" s="1314" t="s">
        <v>3051</v>
      </c>
      <c r="D1170" s="78"/>
      <c r="E1170" s="1480">
        <v>1</v>
      </c>
    </row>
    <row r="1171" spans="1:5">
      <c r="A1171" s="75">
        <v>38773</v>
      </c>
      <c r="B1171" s="76" t="str">
        <f>TiposLancamentos!B18</f>
        <v>Alimentacao</v>
      </c>
      <c r="C1171" s="1314" t="s">
        <v>3052</v>
      </c>
      <c r="D1171" s="78"/>
      <c r="E1171" s="1480">
        <v>3.5</v>
      </c>
    </row>
    <row r="1172" spans="1:5">
      <c r="A1172" s="75">
        <v>38773</v>
      </c>
      <c r="B1172" s="76" t="str">
        <f>TiposLancamentos!B20</f>
        <v>Saques</v>
      </c>
      <c r="C1172" s="1314" t="s">
        <v>3053</v>
      </c>
      <c r="D1172" s="78">
        <v>20</v>
      </c>
      <c r="E1172" s="1480"/>
    </row>
    <row r="1173" spans="1:5">
      <c r="A1173" s="75">
        <v>38773</v>
      </c>
      <c r="B1173" s="76" t="str">
        <f>TiposLancamentos!B65</f>
        <v>Taxi</v>
      </c>
      <c r="C1173" s="1314" t="s">
        <v>3054</v>
      </c>
      <c r="D1173" s="78"/>
      <c r="E1173" s="1480">
        <v>12</v>
      </c>
    </row>
    <row r="1174" spans="1:5">
      <c r="A1174" s="75">
        <v>38775</v>
      </c>
      <c r="B1174" s="76" t="str">
        <f>TiposLancamentos!B18</f>
        <v>Alimentacao</v>
      </c>
      <c r="C1174" s="1314" t="s">
        <v>3055</v>
      </c>
      <c r="D1174" s="78"/>
      <c r="E1174" s="1480">
        <v>8</v>
      </c>
    </row>
    <row r="1175" spans="1:5">
      <c r="A1175" s="75">
        <v>38776</v>
      </c>
      <c r="B1175" s="76" t="str">
        <f>TiposLancamentos!B78</f>
        <v>Diferenças</v>
      </c>
      <c r="C1175" s="1314" t="s">
        <v>3056</v>
      </c>
      <c r="D1175" s="82"/>
      <c r="E1175" s="1583">
        <v>5.17</v>
      </c>
    </row>
    <row r="1176" spans="1:5">
      <c r="A1176" s="83"/>
      <c r="B1176" s="37"/>
      <c r="C1176" s="1584" t="s">
        <v>2806</v>
      </c>
      <c r="D1176" s="78"/>
      <c r="E1176" s="1480"/>
    </row>
    <row r="1177" spans="1:5">
      <c r="A1177" s="75">
        <v>38777</v>
      </c>
      <c r="B1177" s="76" t="str">
        <f>TiposLancamentos!B18</f>
        <v>Alimentacao</v>
      </c>
      <c r="C1177" s="1314" t="s">
        <v>2703</v>
      </c>
      <c r="D1177" s="78"/>
      <c r="E1177" s="1480">
        <v>5.5</v>
      </c>
    </row>
    <row r="1178" spans="1:5">
      <c r="A1178" s="75">
        <v>38779</v>
      </c>
      <c r="B1178" s="76" t="str">
        <f>TiposLancamentos!B20</f>
        <v>Saques</v>
      </c>
      <c r="C1178" s="1314" t="s">
        <v>2668</v>
      </c>
      <c r="D1178" s="78">
        <v>10</v>
      </c>
      <c r="E1178" s="1480"/>
    </row>
    <row r="1179" spans="1:5">
      <c r="A1179" s="75">
        <v>38780</v>
      </c>
      <c r="B1179" s="76" t="str">
        <f>TiposLancamentos!B16</f>
        <v>Cristiane</v>
      </c>
      <c r="C1179" s="1314" t="s">
        <v>1698</v>
      </c>
      <c r="D1179" s="78"/>
      <c r="E1179" s="1480">
        <v>12</v>
      </c>
    </row>
    <row r="1180" spans="1:5">
      <c r="A1180" s="75">
        <v>38780</v>
      </c>
      <c r="B1180" s="76" t="str">
        <f>TiposLancamentos!B20</f>
        <v>Saques</v>
      </c>
      <c r="C1180" s="1314" t="s">
        <v>2668</v>
      </c>
      <c r="D1180" s="78">
        <v>20</v>
      </c>
      <c r="E1180" s="1480"/>
    </row>
    <row r="1181" spans="1:5">
      <c r="A1181" s="75">
        <v>38780</v>
      </c>
      <c r="B1181" s="76" t="str">
        <f>TiposLancamentos!B90</f>
        <v>Locadora</v>
      </c>
      <c r="C1181" s="1314" t="s">
        <v>1841</v>
      </c>
      <c r="D1181" s="78"/>
      <c r="E1181" s="1480">
        <v>16</v>
      </c>
    </row>
    <row r="1182" spans="1:5">
      <c r="A1182" s="75">
        <v>38780</v>
      </c>
      <c r="B1182" s="76" t="str">
        <f>TiposLancamentos!B5</f>
        <v>Supermercado</v>
      </c>
      <c r="C1182" s="1314" t="s">
        <v>2567</v>
      </c>
      <c r="D1182" s="78"/>
      <c r="E1182" s="1480">
        <v>2.65</v>
      </c>
    </row>
    <row r="1183" spans="1:5">
      <c r="A1183" s="75">
        <v>38781</v>
      </c>
      <c r="B1183" s="76" t="str">
        <f>TiposLancamentos!B20</f>
        <v>Saques</v>
      </c>
      <c r="C1183" s="1314" t="s">
        <v>2668</v>
      </c>
      <c r="D1183" s="78">
        <v>10</v>
      </c>
      <c r="E1183" s="1480"/>
    </row>
    <row r="1184" spans="1:5">
      <c r="A1184" s="75">
        <v>38781</v>
      </c>
      <c r="B1184" s="76" t="str">
        <f>TiposLancamentos!B16</f>
        <v>Cristiane</v>
      </c>
      <c r="C1184" s="1314" t="s">
        <v>2851</v>
      </c>
      <c r="D1184" s="78"/>
      <c r="E1184" s="1480">
        <v>10</v>
      </c>
    </row>
    <row r="1185" spans="1:5">
      <c r="A1185" s="75">
        <v>38782</v>
      </c>
      <c r="B1185" s="76" t="str">
        <f>TiposLancamentos!B18</f>
        <v>Alimentacao</v>
      </c>
      <c r="C1185" s="1314" t="s">
        <v>3057</v>
      </c>
      <c r="D1185" s="78"/>
      <c r="E1185" s="1480">
        <v>0.5</v>
      </c>
    </row>
    <row r="1186" spans="1:5">
      <c r="A1186" s="75">
        <v>38784</v>
      </c>
      <c r="B1186" s="76" t="str">
        <f>TiposLancamentos!B20</f>
        <v>Saques</v>
      </c>
      <c r="C1186" s="1314" t="s">
        <v>2668</v>
      </c>
      <c r="D1186" s="78">
        <v>30</v>
      </c>
      <c r="E1186" s="1480"/>
    </row>
    <row r="1187" spans="1:5">
      <c r="A1187" s="75">
        <v>38784</v>
      </c>
      <c r="B1187" s="76" t="str">
        <f>TiposLancamentos!B22</f>
        <v>Combustivel</v>
      </c>
      <c r="C1187" s="1314" t="s">
        <v>3050</v>
      </c>
      <c r="D1187" s="78"/>
      <c r="E1187" s="1480">
        <v>10</v>
      </c>
    </row>
    <row r="1188" spans="1:5">
      <c r="A1188" s="75">
        <v>38785</v>
      </c>
      <c r="B1188" s="76" t="str">
        <f>TiposLancamentos!B16</f>
        <v>Cristiane</v>
      </c>
      <c r="C1188" s="1314" t="s">
        <v>3016</v>
      </c>
      <c r="D1188" s="78"/>
      <c r="E1188" s="1480">
        <v>20</v>
      </c>
    </row>
    <row r="1189" spans="1:5">
      <c r="A1189" s="75">
        <v>38787</v>
      </c>
      <c r="B1189" s="76" t="str">
        <f>TiposLancamentos!B20</f>
        <v>Saques</v>
      </c>
      <c r="C1189" s="1314" t="s">
        <v>2668</v>
      </c>
      <c r="D1189" s="78">
        <v>40</v>
      </c>
      <c r="E1189" s="1480"/>
    </row>
    <row r="1190" spans="1:5">
      <c r="A1190" s="75">
        <v>38788</v>
      </c>
      <c r="B1190" s="76" t="str">
        <f>TiposLancamentos!B54</f>
        <v>Metro</v>
      </c>
      <c r="C1190" s="1314" t="s">
        <v>3009</v>
      </c>
      <c r="D1190" s="78"/>
      <c r="E1190" s="1480">
        <v>4.2</v>
      </c>
    </row>
    <row r="1191" spans="1:5">
      <c r="A1191" s="75">
        <v>38788</v>
      </c>
      <c r="B1191" s="76" t="str">
        <f>TiposLancamentos!B77</f>
        <v>Esporádico</v>
      </c>
      <c r="C1191" s="1314" t="s">
        <v>3058</v>
      </c>
      <c r="D1191" s="78"/>
      <c r="E1191" s="1480">
        <v>20</v>
      </c>
    </row>
    <row r="1192" spans="1:5">
      <c r="A1192" s="75">
        <v>38788</v>
      </c>
      <c r="B1192" s="76" t="str">
        <f>TiposLancamentos!B16</f>
        <v>Cristiane</v>
      </c>
      <c r="C1192" s="1314" t="s">
        <v>3059</v>
      </c>
      <c r="D1192" s="78"/>
      <c r="E1192" s="1480">
        <v>2</v>
      </c>
    </row>
    <row r="1193" spans="1:5">
      <c r="A1193" s="75">
        <v>38788</v>
      </c>
      <c r="B1193" s="76" t="str">
        <f>TiposLancamentos!B16</f>
        <v>Cristiane</v>
      </c>
      <c r="C1193" s="1314" t="s">
        <v>3060</v>
      </c>
      <c r="D1193" s="78"/>
      <c r="E1193" s="1480">
        <v>2.5</v>
      </c>
    </row>
    <row r="1194" spans="1:5">
      <c r="A1194" s="75">
        <v>38788</v>
      </c>
      <c r="B1194" s="76" t="str">
        <f>TiposLancamentos!B18</f>
        <v>Alimentacao</v>
      </c>
      <c r="C1194" s="1314" t="s">
        <v>3061</v>
      </c>
      <c r="D1194" s="78"/>
      <c r="E1194" s="1480">
        <v>1.3</v>
      </c>
    </row>
    <row r="1195" spans="1:5">
      <c r="A1195" s="75">
        <v>38788</v>
      </c>
      <c r="B1195" s="76" t="str">
        <f>TiposLancamentos!B54</f>
        <v>Metro</v>
      </c>
      <c r="C1195" s="1314" t="s">
        <v>3062</v>
      </c>
      <c r="D1195" s="78"/>
      <c r="E1195" s="1480">
        <v>4.2</v>
      </c>
    </row>
    <row r="1196" spans="1:5">
      <c r="A1196" s="75">
        <v>38789</v>
      </c>
      <c r="B1196" s="76" t="str">
        <f>TiposLancamentos!B18</f>
        <v>Alimentacao</v>
      </c>
      <c r="C1196" s="1314" t="s">
        <v>3063</v>
      </c>
      <c r="D1196" s="78"/>
      <c r="E1196" s="1480">
        <v>3.95</v>
      </c>
    </row>
    <row r="1197" spans="1:5">
      <c r="A1197" s="75">
        <v>38790</v>
      </c>
      <c r="B1197" s="76" t="str">
        <f>TiposLancamentos!B18</f>
        <v>Alimentacao</v>
      </c>
      <c r="C1197" s="1314" t="s">
        <v>3018</v>
      </c>
      <c r="D1197" s="78"/>
      <c r="E1197" s="1480">
        <v>1.6</v>
      </c>
    </row>
    <row r="1198" spans="1:5">
      <c r="A1198" s="75">
        <v>38791</v>
      </c>
      <c r="B1198" s="76" t="str">
        <f>TiposLancamentos!B20</f>
        <v>Saques</v>
      </c>
      <c r="C1198" s="1314" t="s">
        <v>1706</v>
      </c>
      <c r="D1198" s="78">
        <v>20</v>
      </c>
      <c r="E1198" s="1480"/>
    </row>
    <row r="1199" spans="1:5">
      <c r="A1199" s="75">
        <v>38791</v>
      </c>
      <c r="B1199" s="76" t="str">
        <f>TiposLancamentos!B72</f>
        <v>Presentes</v>
      </c>
      <c r="C1199" s="1314" t="s">
        <v>3064</v>
      </c>
      <c r="D1199" s="78"/>
      <c r="E1199" s="1480">
        <v>20</v>
      </c>
    </row>
    <row r="1200" spans="1:5">
      <c r="A1200" s="75">
        <v>38791</v>
      </c>
      <c r="B1200" s="76" t="str">
        <f>TiposLancamentos!B18</f>
        <v>Alimentacao</v>
      </c>
      <c r="C1200" s="1314" t="s">
        <v>3065</v>
      </c>
      <c r="D1200" s="78"/>
      <c r="E1200" s="1480">
        <v>0.4</v>
      </c>
    </row>
    <row r="1201" spans="1:5">
      <c r="A1201" s="75">
        <v>38792</v>
      </c>
      <c r="B1201" s="76" t="str">
        <f>TiposLancamentos!B20</f>
        <v>Saques</v>
      </c>
      <c r="C1201" s="1314" t="s">
        <v>2876</v>
      </c>
      <c r="D1201" s="78">
        <v>20</v>
      </c>
      <c r="E1201" s="1480"/>
    </row>
    <row r="1202" spans="1:5">
      <c r="A1202" s="75">
        <v>38792</v>
      </c>
      <c r="B1202" s="76" t="str">
        <f>TiposLancamentos!B16</f>
        <v>Cristiane</v>
      </c>
      <c r="C1202" s="1314" t="s">
        <v>1698</v>
      </c>
      <c r="D1202" s="78"/>
      <c r="E1202" s="1480">
        <v>20</v>
      </c>
    </row>
    <row r="1203" spans="1:5">
      <c r="A1203" s="75">
        <v>38793</v>
      </c>
      <c r="B1203" s="76" t="str">
        <f>TiposLancamentos!B65</f>
        <v>Taxi</v>
      </c>
      <c r="C1203" s="1314" t="s">
        <v>3066</v>
      </c>
      <c r="D1203" s="78"/>
      <c r="E1203" s="1480">
        <v>0.5</v>
      </c>
    </row>
    <row r="1204" spans="1:5">
      <c r="A1204" s="75">
        <v>38795</v>
      </c>
      <c r="B1204" s="76" t="str">
        <f>TiposLancamentos!B20</f>
        <v>Saques</v>
      </c>
      <c r="C1204" s="1314" t="s">
        <v>2668</v>
      </c>
      <c r="D1204" s="78">
        <v>30</v>
      </c>
      <c r="E1204" s="1480"/>
    </row>
    <row r="1205" spans="1:5">
      <c r="A1205" s="75">
        <v>38795</v>
      </c>
      <c r="B1205" s="76" t="str">
        <f>TiposLancamentos!B16</f>
        <v>Cristiane</v>
      </c>
      <c r="C1205" s="1314" t="s">
        <v>1698</v>
      </c>
      <c r="D1205" s="78"/>
      <c r="E1205" s="1480">
        <v>30</v>
      </c>
    </row>
    <row r="1206" spans="1:5">
      <c r="A1206" s="75">
        <v>38799</v>
      </c>
      <c r="B1206" s="76" t="str">
        <f>TiposLancamentos!B20</f>
        <v>Saques</v>
      </c>
      <c r="C1206" s="1314" t="s">
        <v>2668</v>
      </c>
      <c r="D1206" s="78">
        <v>60</v>
      </c>
      <c r="E1206" s="1480"/>
    </row>
    <row r="1207" spans="1:5">
      <c r="A1207" s="75">
        <v>38799</v>
      </c>
      <c r="B1207" s="76" t="str">
        <f>TiposLancamentos!B18</f>
        <v>Alimentacao</v>
      </c>
      <c r="C1207" s="1314" t="s">
        <v>3067</v>
      </c>
      <c r="D1207" s="78"/>
      <c r="E1207" s="1480">
        <v>3.2</v>
      </c>
    </row>
    <row r="1208" spans="1:5">
      <c r="A1208" s="75">
        <v>38799</v>
      </c>
      <c r="B1208" s="76" t="str">
        <f>TiposLancamentos!B16</f>
        <v>Cristiane</v>
      </c>
      <c r="C1208" s="1314" t="s">
        <v>1698</v>
      </c>
      <c r="D1208" s="78"/>
      <c r="E1208" s="1480">
        <v>50</v>
      </c>
    </row>
    <row r="1209" spans="1:5">
      <c r="A1209" s="75">
        <v>38799</v>
      </c>
      <c r="B1209" s="76" t="str">
        <f>TiposLancamentos!B18</f>
        <v>Alimentacao</v>
      </c>
      <c r="C1209" s="1314" t="s">
        <v>3068</v>
      </c>
      <c r="D1209" s="78"/>
      <c r="E1209" s="1480">
        <v>2</v>
      </c>
    </row>
    <row r="1210" spans="1:5">
      <c r="A1210" s="75">
        <v>38799</v>
      </c>
      <c r="B1210" s="76" t="str">
        <f>TiposLancamentos!B18</f>
        <v>Alimentacao</v>
      </c>
      <c r="C1210" s="1314" t="s">
        <v>3068</v>
      </c>
      <c r="D1210" s="78"/>
      <c r="E1210" s="1480">
        <v>2</v>
      </c>
    </row>
    <row r="1211" spans="1:5">
      <c r="A1211" s="75">
        <v>38800</v>
      </c>
      <c r="B1211" s="76" t="str">
        <f>TiposLancamentos!B24</f>
        <v>Estacionamentos</v>
      </c>
      <c r="C1211" s="1314" t="s">
        <v>3069</v>
      </c>
      <c r="D1211" s="78"/>
      <c r="E1211" s="1480">
        <v>2</v>
      </c>
    </row>
    <row r="1212" spans="1:5">
      <c r="A1212" s="75">
        <v>38801</v>
      </c>
      <c r="B1212" s="76" t="str">
        <f>TiposLancamentos!B16</f>
        <v>Cristiane</v>
      </c>
      <c r="C1212" s="1314" t="s">
        <v>1698</v>
      </c>
      <c r="D1212" s="78"/>
      <c r="E1212" s="1480">
        <v>1.7</v>
      </c>
    </row>
    <row r="1213" spans="1:5">
      <c r="A1213" s="75">
        <v>38801</v>
      </c>
      <c r="B1213" s="76" t="str">
        <f>TiposLancamentos!B20</f>
        <v>Saques</v>
      </c>
      <c r="C1213" s="1314" t="s">
        <v>2668</v>
      </c>
      <c r="D1213" s="78">
        <v>40</v>
      </c>
      <c r="E1213" s="1480"/>
    </row>
    <row r="1214" spans="1:5">
      <c r="A1214" s="75">
        <v>38801</v>
      </c>
      <c r="B1214" s="76" t="str">
        <f>TiposLancamentos!B22</f>
        <v>Combustivel</v>
      </c>
      <c r="C1214" s="1314" t="s">
        <v>2514</v>
      </c>
      <c r="D1214" s="78"/>
      <c r="E1214" s="1480">
        <v>10</v>
      </c>
    </row>
    <row r="1215" spans="1:5">
      <c r="A1215" s="75">
        <v>38801</v>
      </c>
      <c r="B1215" s="76" t="str">
        <f>TiposLancamentos!B57</f>
        <v>Informática</v>
      </c>
      <c r="C1215" s="1314" t="s">
        <v>3070</v>
      </c>
      <c r="D1215" s="78"/>
      <c r="E1215" s="1480">
        <v>15</v>
      </c>
    </row>
    <row r="1216" spans="1:5">
      <c r="A1216" s="75">
        <v>38802</v>
      </c>
      <c r="B1216" s="76" t="str">
        <f>TiposLancamentos!B90</f>
        <v>Locadora</v>
      </c>
      <c r="C1216" s="1314" t="s">
        <v>3071</v>
      </c>
      <c r="D1216" s="78"/>
      <c r="E1216" s="1480">
        <v>15</v>
      </c>
    </row>
    <row r="1217" spans="1:5">
      <c r="A1217" s="75">
        <v>38803</v>
      </c>
      <c r="B1217" s="76" t="str">
        <f>TiposLancamentos!B20</f>
        <v>Saques</v>
      </c>
      <c r="C1217" s="1314" t="s">
        <v>2668</v>
      </c>
      <c r="D1217" s="78">
        <v>20</v>
      </c>
      <c r="E1217" s="1480"/>
    </row>
    <row r="1218" spans="1:5">
      <c r="A1218" s="75">
        <v>38804</v>
      </c>
      <c r="B1218" s="76" t="str">
        <f>TiposLancamentos!B16</f>
        <v>Cristiane</v>
      </c>
      <c r="C1218" s="1314" t="s">
        <v>3072</v>
      </c>
      <c r="D1218" s="78"/>
      <c r="E1218" s="1480">
        <v>20</v>
      </c>
    </row>
    <row r="1219" spans="1:5">
      <c r="A1219" s="75">
        <v>38807</v>
      </c>
      <c r="B1219" s="76" t="str">
        <f>TiposLancamentos!B78</f>
        <v>Diferenças</v>
      </c>
      <c r="C1219" s="1314" t="s">
        <v>3056</v>
      </c>
      <c r="D1219" s="82"/>
      <c r="E1219" s="1583">
        <v>0.2</v>
      </c>
    </row>
    <row r="1220" spans="1:5">
      <c r="A1220" s="83"/>
      <c r="B1220" s="37"/>
      <c r="C1220" s="1584" t="s">
        <v>3073</v>
      </c>
      <c r="D1220" s="78"/>
      <c r="E1220" s="1480"/>
    </row>
    <row r="1221" spans="1:5">
      <c r="A1221" s="75">
        <v>38808</v>
      </c>
      <c r="B1221" s="76" t="str">
        <f>TiposLancamentos!B20</f>
        <v>Saques</v>
      </c>
      <c r="C1221" s="1314" t="s">
        <v>2668</v>
      </c>
      <c r="D1221" s="78">
        <v>20</v>
      </c>
      <c r="E1221" s="1480"/>
    </row>
    <row r="1222" spans="1:5">
      <c r="A1222" s="75">
        <v>38808</v>
      </c>
      <c r="B1222" s="76" t="str">
        <f>TiposLancamentos!B54</f>
        <v>Metro</v>
      </c>
      <c r="C1222" s="1314" t="s">
        <v>3074</v>
      </c>
      <c r="D1222" s="78"/>
      <c r="E1222" s="1480">
        <v>4</v>
      </c>
    </row>
    <row r="1223" spans="1:5">
      <c r="A1223" s="75">
        <v>38808</v>
      </c>
      <c r="B1223" s="76" t="str">
        <f>TiposLancamentos!B70</f>
        <v>Vestuário</v>
      </c>
      <c r="C1223" s="1314" t="s">
        <v>3075</v>
      </c>
      <c r="D1223" s="78"/>
      <c r="E1223" s="1480">
        <v>4</v>
      </c>
    </row>
    <row r="1224" spans="1:5">
      <c r="A1224" s="75">
        <v>38808</v>
      </c>
      <c r="B1224" s="76" t="str">
        <f>TiposLancamentos!B54</f>
        <v>Metro</v>
      </c>
      <c r="C1224" s="1314" t="s">
        <v>3076</v>
      </c>
      <c r="D1224" s="78"/>
      <c r="E1224" s="1480">
        <v>4.2</v>
      </c>
    </row>
    <row r="1225" spans="1:5">
      <c r="A1225" s="75">
        <v>38808</v>
      </c>
      <c r="B1225" s="76" t="str">
        <f>TiposLancamentos!B55</f>
        <v>Onibus Urbano</v>
      </c>
      <c r="C1225" s="1314" t="s">
        <v>3077</v>
      </c>
      <c r="D1225" s="78"/>
      <c r="E1225" s="1480">
        <v>4</v>
      </c>
    </row>
    <row r="1226" spans="1:5">
      <c r="A1226" s="75">
        <v>38808</v>
      </c>
      <c r="B1226" s="76" t="str">
        <f>TiposLancamentos!B16</f>
        <v>Cristiane</v>
      </c>
      <c r="C1226" s="1314" t="s">
        <v>3078</v>
      </c>
      <c r="D1226" s="78">
        <v>0.5</v>
      </c>
      <c r="E1226" s="1480"/>
    </row>
    <row r="1227" spans="1:5">
      <c r="A1227" s="75">
        <v>38809</v>
      </c>
      <c r="B1227" s="76" t="str">
        <f>TiposLancamentos!B55</f>
        <v>Onibus Urbano</v>
      </c>
      <c r="C1227" s="1314" t="s">
        <v>3077</v>
      </c>
      <c r="D1227" s="78"/>
      <c r="E1227" s="1480">
        <v>2.2000000000000002</v>
      </c>
    </row>
    <row r="1228" spans="1:5">
      <c r="A1228" s="75">
        <v>38811</v>
      </c>
      <c r="B1228" s="76" t="str">
        <f>TiposLancamentos!B18</f>
        <v>Alimentacao</v>
      </c>
      <c r="C1228" s="1314" t="s">
        <v>3079</v>
      </c>
      <c r="D1228" s="78"/>
      <c r="E1228" s="1480">
        <v>0.6</v>
      </c>
    </row>
    <row r="1229" spans="1:5">
      <c r="A1229" s="75">
        <v>38811</v>
      </c>
      <c r="B1229" s="76" t="str">
        <f>TiposLancamentos!B20</f>
        <v>Saques</v>
      </c>
      <c r="C1229" s="1314" t="s">
        <v>2876</v>
      </c>
      <c r="D1229" s="78">
        <v>10</v>
      </c>
      <c r="E1229" s="1480"/>
    </row>
    <row r="1230" spans="1:5">
      <c r="A1230" s="75">
        <v>38811</v>
      </c>
      <c r="B1230" s="76" t="str">
        <f>TiposLancamentos!B16</f>
        <v>Cristiane</v>
      </c>
      <c r="C1230" s="1314" t="s">
        <v>3032</v>
      </c>
      <c r="D1230" s="78"/>
      <c r="E1230" s="1480">
        <v>11</v>
      </c>
    </row>
    <row r="1231" spans="1:5">
      <c r="A1231" s="75">
        <v>38812</v>
      </c>
      <c r="B1231" s="76" t="str">
        <f>TiposLancamentos!B20</f>
        <v>Saques</v>
      </c>
      <c r="C1231" s="1314" t="s">
        <v>2876</v>
      </c>
      <c r="D1231" s="78">
        <v>20</v>
      </c>
      <c r="E1231" s="1480"/>
    </row>
    <row r="1232" spans="1:5">
      <c r="A1232" s="75">
        <v>38812</v>
      </c>
      <c r="B1232" s="76" t="str">
        <f>TiposLancamentos!B16</f>
        <v>Cristiane</v>
      </c>
      <c r="C1232" s="1314" t="s">
        <v>1698</v>
      </c>
      <c r="D1232" s="78"/>
      <c r="E1232" s="1480">
        <v>20</v>
      </c>
    </row>
    <row r="1233" spans="1:5">
      <c r="A1233" s="75">
        <v>38815</v>
      </c>
      <c r="B1233" s="76" t="str">
        <f>TiposLancamentos!B16</f>
        <v>Cristiane</v>
      </c>
      <c r="C1233" s="1314" t="s">
        <v>2891</v>
      </c>
      <c r="D1233" s="78">
        <v>5</v>
      </c>
      <c r="E1233" s="1480"/>
    </row>
    <row r="1234" spans="1:5">
      <c r="A1234" s="75">
        <v>38815</v>
      </c>
      <c r="B1234" s="76" t="str">
        <f>TiposLancamentos!B22</f>
        <v>Combustivel</v>
      </c>
      <c r="C1234" s="1314" t="s">
        <v>3050</v>
      </c>
      <c r="D1234" s="78"/>
      <c r="E1234" s="1480">
        <v>5</v>
      </c>
    </row>
    <row r="1235" spans="1:5">
      <c r="A1235" s="75">
        <v>38818</v>
      </c>
      <c r="B1235" s="76" t="str">
        <f>TiposLancamentos!B20</f>
        <v>Saques</v>
      </c>
      <c r="C1235" s="1314" t="s">
        <v>2668</v>
      </c>
      <c r="D1235" s="78">
        <v>60</v>
      </c>
      <c r="E1235" s="1480"/>
    </row>
    <row r="1236" spans="1:5">
      <c r="A1236" s="75">
        <v>38818</v>
      </c>
      <c r="B1236" s="76" t="str">
        <f>TiposLancamentos!B65</f>
        <v>Taxi</v>
      </c>
      <c r="C1236" s="1314" t="s">
        <v>3080</v>
      </c>
      <c r="D1236" s="78"/>
      <c r="E1236" s="1480">
        <v>47</v>
      </c>
    </row>
    <row r="1237" spans="1:5">
      <c r="A1237" s="75">
        <v>38818</v>
      </c>
      <c r="B1237" s="76" t="str">
        <f>TiposLancamentos!B18</f>
        <v>Alimentacao</v>
      </c>
      <c r="C1237" s="1314" t="s">
        <v>3081</v>
      </c>
      <c r="D1237" s="78"/>
      <c r="E1237" s="1480">
        <v>3</v>
      </c>
    </row>
    <row r="1238" spans="1:5">
      <c r="A1238" s="75">
        <v>38820</v>
      </c>
      <c r="B1238" s="76" t="str">
        <f>TiposLancamentos!B18</f>
        <v>Alimentacao</v>
      </c>
      <c r="C1238" s="1314" t="s">
        <v>3082</v>
      </c>
      <c r="D1238" s="78"/>
      <c r="E1238" s="1480">
        <v>4</v>
      </c>
    </row>
    <row r="1239" spans="1:5">
      <c r="A1239" s="75">
        <v>38820</v>
      </c>
      <c r="B1239" s="76" t="str">
        <f>TiposLancamentos!B55</f>
        <v>Onibus Urbano</v>
      </c>
      <c r="C1239" s="1314" t="s">
        <v>2624</v>
      </c>
      <c r="D1239" s="78"/>
      <c r="E1239" s="1480">
        <v>2.1</v>
      </c>
    </row>
    <row r="1240" spans="1:5">
      <c r="A1240" s="75">
        <v>38820</v>
      </c>
      <c r="B1240" s="76" t="str">
        <f>TiposLancamentos!B54</f>
        <v>Metro</v>
      </c>
      <c r="C1240" s="1314" t="s">
        <v>1771</v>
      </c>
      <c r="D1240" s="78"/>
      <c r="E1240" s="1480">
        <v>2.1</v>
      </c>
    </row>
    <row r="1241" spans="1:5">
      <c r="A1241" s="75">
        <v>38824</v>
      </c>
      <c r="B1241" s="76" t="str">
        <f>TiposLancamentos!B20</f>
        <v>Saques</v>
      </c>
      <c r="C1241" s="1314" t="s">
        <v>2668</v>
      </c>
      <c r="D1241" s="78">
        <v>40</v>
      </c>
      <c r="E1241" s="1480"/>
    </row>
    <row r="1242" spans="1:5">
      <c r="A1242" s="75">
        <v>38824</v>
      </c>
      <c r="B1242" s="76" t="str">
        <f>TiposLancamentos!B18</f>
        <v>Alimentacao</v>
      </c>
      <c r="C1242" s="1314" t="s">
        <v>3083</v>
      </c>
      <c r="D1242" s="78"/>
      <c r="E1242" s="1480">
        <v>1.6</v>
      </c>
    </row>
    <row r="1243" spans="1:5">
      <c r="A1243" s="75">
        <v>38824</v>
      </c>
      <c r="B1243" s="76" t="str">
        <f>TiposLancamentos!B17</f>
        <v>GATO</v>
      </c>
      <c r="C1243" s="1314" t="s">
        <v>3084</v>
      </c>
      <c r="D1243" s="78"/>
      <c r="E1243" s="1480">
        <v>30</v>
      </c>
    </row>
    <row r="1244" spans="1:5">
      <c r="A1244" s="75">
        <v>38824</v>
      </c>
      <c r="B1244" s="76" t="str">
        <f>TiposLancamentos!B16</f>
        <v>Cristiane</v>
      </c>
      <c r="C1244" s="1314" t="s">
        <v>1698</v>
      </c>
      <c r="D1244" s="78"/>
      <c r="E1244" s="1480">
        <v>10</v>
      </c>
    </row>
    <row r="1245" spans="1:5">
      <c r="A1245" s="75">
        <v>38830</v>
      </c>
      <c r="B1245" s="76" t="str">
        <f>TiposLancamentos!B20</f>
        <v>Saques</v>
      </c>
      <c r="C1245" s="1314" t="s">
        <v>2668</v>
      </c>
      <c r="D1245" s="78">
        <v>10</v>
      </c>
      <c r="E1245" s="1480"/>
    </row>
    <row r="1246" spans="1:5">
      <c r="A1246" s="75">
        <v>38830</v>
      </c>
      <c r="B1246" s="76" t="str">
        <f>TiposLancamentos!B90</f>
        <v>Locadora</v>
      </c>
      <c r="C1246" s="1314" t="s">
        <v>44</v>
      </c>
      <c r="D1246" s="78"/>
      <c r="E1246" s="1480">
        <v>8</v>
      </c>
    </row>
    <row r="1247" spans="1:5">
      <c r="A1247" s="75">
        <v>38832</v>
      </c>
      <c r="B1247" s="76" t="str">
        <f>TiposLancamentos!B18</f>
        <v>Alimentacao</v>
      </c>
      <c r="C1247" s="1314" t="s">
        <v>3065</v>
      </c>
      <c r="D1247" s="78"/>
      <c r="E1247" s="1480">
        <v>1.6</v>
      </c>
    </row>
    <row r="1248" spans="1:5">
      <c r="A1248" s="75">
        <v>38837</v>
      </c>
      <c r="B1248" s="76" t="str">
        <f>TiposLancamentos!B55</f>
        <v>Onibus Urbano</v>
      </c>
      <c r="C1248" s="1314" t="s">
        <v>3085</v>
      </c>
      <c r="D1248" s="78"/>
      <c r="E1248" s="1480">
        <v>0.4</v>
      </c>
    </row>
    <row r="1249" spans="1:5">
      <c r="A1249" s="75">
        <v>38837</v>
      </c>
      <c r="B1249" s="76" t="str">
        <f>TiposLancamentos!B78</f>
        <v>Diferenças</v>
      </c>
      <c r="C1249" s="1314" t="s">
        <v>3086</v>
      </c>
      <c r="D1249" s="82"/>
      <c r="E1249" s="1583">
        <v>0.7</v>
      </c>
    </row>
    <row r="1250" spans="1:5">
      <c r="A1250" s="83"/>
      <c r="B1250" s="37"/>
      <c r="C1250" s="1584" t="s">
        <v>3087</v>
      </c>
      <c r="D1250" s="78"/>
      <c r="E1250" s="1480"/>
    </row>
    <row r="1251" spans="1:5">
      <c r="A1251" s="75">
        <v>38842</v>
      </c>
      <c r="B1251" s="76" t="str">
        <f>TiposLancamentos!B101</f>
        <v>Troco de Vr</v>
      </c>
      <c r="C1251" s="1314" t="s">
        <v>3088</v>
      </c>
      <c r="D1251" s="78">
        <v>1</v>
      </c>
      <c r="E1251" s="1480"/>
    </row>
    <row r="1252" spans="1:5">
      <c r="A1252" s="75">
        <v>38843</v>
      </c>
      <c r="B1252" s="76" t="str">
        <f>TiposLancamentos!B101</f>
        <v>Troco de Vr</v>
      </c>
      <c r="C1252" s="1314" t="s">
        <v>2792</v>
      </c>
      <c r="D1252" s="78">
        <f>29-19.9</f>
        <v>9.1000000000000014</v>
      </c>
      <c r="E1252" s="1480"/>
    </row>
    <row r="1253" spans="1:5">
      <c r="A1253" s="75">
        <v>38843</v>
      </c>
      <c r="B1253" s="76" t="str">
        <f>TiposLancamentos!B55</f>
        <v>Onibus Urbano</v>
      </c>
      <c r="C1253" s="1314" t="s">
        <v>2624</v>
      </c>
      <c r="D1253" s="78"/>
      <c r="E1253" s="1480">
        <v>4.0999999999999996</v>
      </c>
    </row>
    <row r="1254" spans="1:5">
      <c r="A1254" s="75">
        <v>38845</v>
      </c>
      <c r="B1254" s="76" t="str">
        <f>TiposLancamentos!B18</f>
        <v>Alimentacao</v>
      </c>
      <c r="C1254" s="1314" t="s">
        <v>3022</v>
      </c>
      <c r="D1254" s="78"/>
      <c r="E1254" s="1480">
        <v>3.95</v>
      </c>
    </row>
    <row r="1255" spans="1:5">
      <c r="A1255" s="75">
        <v>38847</v>
      </c>
      <c r="B1255" s="76" t="str">
        <f>TiposLancamentos!B101</f>
        <v>Troco de Vr</v>
      </c>
      <c r="C1255" s="1314" t="s">
        <v>3089</v>
      </c>
      <c r="D1255" s="78">
        <v>0.63</v>
      </c>
      <c r="E1255" s="1480"/>
    </row>
    <row r="1256" spans="1:5">
      <c r="A1256" s="75">
        <v>38851</v>
      </c>
      <c r="B1256" s="76" t="str">
        <f>TiposLancamentos!B20</f>
        <v>Saques</v>
      </c>
      <c r="C1256" s="1314" t="s">
        <v>2668</v>
      </c>
      <c r="D1256" s="78">
        <v>50</v>
      </c>
      <c r="E1256" s="1480"/>
    </row>
    <row r="1257" spans="1:5">
      <c r="A1257" s="75">
        <v>38851</v>
      </c>
      <c r="B1257" s="76" t="str">
        <f>TiposLancamentos!B16</f>
        <v>Cristiane</v>
      </c>
      <c r="C1257" s="1314" t="s">
        <v>1698</v>
      </c>
      <c r="D1257" s="78"/>
      <c r="E1257" s="1480">
        <v>50</v>
      </c>
    </row>
    <row r="1258" spans="1:5">
      <c r="A1258" s="75">
        <v>38853</v>
      </c>
      <c r="B1258" s="76" t="str">
        <f>TiposLancamentos!B18</f>
        <v>Alimentacao</v>
      </c>
      <c r="C1258" s="1314" t="s">
        <v>3090</v>
      </c>
      <c r="D1258" s="78"/>
      <c r="E1258" s="1480">
        <v>0.5</v>
      </c>
    </row>
    <row r="1259" spans="1:5">
      <c r="A1259" s="75">
        <v>38853</v>
      </c>
      <c r="B1259" s="76" t="str">
        <f>TiposLancamentos!B20</f>
        <v>Saques</v>
      </c>
      <c r="C1259" s="1314" t="s">
        <v>2668</v>
      </c>
      <c r="D1259" s="78">
        <v>30</v>
      </c>
      <c r="E1259" s="1480"/>
    </row>
    <row r="1260" spans="1:5">
      <c r="A1260" s="75">
        <v>38853</v>
      </c>
      <c r="B1260" s="76" t="str">
        <f>TiposLancamentos!B19</f>
        <v>Restaurantes</v>
      </c>
      <c r="C1260" s="1314" t="s">
        <v>3091</v>
      </c>
      <c r="D1260" s="78"/>
      <c r="E1260" s="1480">
        <v>10.15</v>
      </c>
    </row>
    <row r="1261" spans="1:5">
      <c r="A1261" s="75">
        <v>38853</v>
      </c>
      <c r="B1261" s="76" t="str">
        <f>TiposLancamentos!B18</f>
        <v>Alimentacao</v>
      </c>
      <c r="C1261" s="1314" t="s">
        <v>3092</v>
      </c>
      <c r="D1261" s="78"/>
      <c r="E1261" s="1480">
        <v>1.1499999999999999</v>
      </c>
    </row>
    <row r="1262" spans="1:5">
      <c r="A1262" s="75">
        <v>38853</v>
      </c>
      <c r="B1262" s="76" t="str">
        <f>TiposLancamentos!B71</f>
        <v>Itens Pessoais</v>
      </c>
      <c r="C1262" s="1314" t="s">
        <v>2902</v>
      </c>
      <c r="D1262" s="78"/>
      <c r="E1262" s="1480">
        <v>5</v>
      </c>
    </row>
    <row r="1263" spans="1:5">
      <c r="A1263" s="75">
        <v>38853</v>
      </c>
      <c r="B1263" s="76" t="str">
        <f>TiposLancamentos!B19</f>
        <v>Restaurantes</v>
      </c>
      <c r="C1263" s="1314" t="s">
        <v>2618</v>
      </c>
      <c r="D1263" s="78"/>
      <c r="E1263" s="1480">
        <v>10.7</v>
      </c>
    </row>
    <row r="1264" spans="1:5">
      <c r="A1264" s="75">
        <v>38860</v>
      </c>
      <c r="B1264" s="76" t="str">
        <f>TiposLancamentos!B20</f>
        <v>Saques</v>
      </c>
      <c r="C1264" s="1314" t="s">
        <v>2668</v>
      </c>
      <c r="D1264" s="78">
        <v>20</v>
      </c>
      <c r="E1264" s="1480"/>
    </row>
    <row r="1265" spans="1:5">
      <c r="A1265" s="75">
        <v>38860</v>
      </c>
      <c r="B1265" s="76" t="str">
        <f>TiposLancamentos!B19</f>
        <v>Restaurantes</v>
      </c>
      <c r="C1265" s="1314" t="s">
        <v>3093</v>
      </c>
      <c r="D1265" s="78"/>
      <c r="E1265" s="1480">
        <v>16.399999999999999</v>
      </c>
    </row>
    <row r="1266" spans="1:5">
      <c r="A1266" s="75">
        <v>38861</v>
      </c>
      <c r="B1266" s="76" t="str">
        <f>TiposLancamentos!B65</f>
        <v>Taxi</v>
      </c>
      <c r="C1266" s="1314" t="s">
        <v>3094</v>
      </c>
      <c r="D1266" s="78"/>
      <c r="E1266" s="1480">
        <v>5.5</v>
      </c>
    </row>
    <row r="1267" spans="1:5">
      <c r="A1267" s="75">
        <v>38861</v>
      </c>
      <c r="B1267" s="76" t="str">
        <f>TiposLancamentos!B65</f>
        <v>Taxi</v>
      </c>
      <c r="C1267" s="1314" t="s">
        <v>3095</v>
      </c>
      <c r="D1267" s="78"/>
      <c r="E1267" s="1480">
        <v>3.25</v>
      </c>
    </row>
    <row r="1268" spans="1:5">
      <c r="A1268" s="75">
        <v>38864</v>
      </c>
      <c r="B1268" s="76" t="str">
        <f>TiposLancamentos!B20</f>
        <v>Saques</v>
      </c>
      <c r="C1268" s="1314" t="s">
        <v>2668</v>
      </c>
      <c r="D1268" s="78">
        <v>10</v>
      </c>
      <c r="E1268" s="1480"/>
    </row>
    <row r="1269" spans="1:5">
      <c r="A1269" s="75">
        <v>38864</v>
      </c>
      <c r="B1269" s="76" t="str">
        <f>TiposLancamentos!B54</f>
        <v>Metro</v>
      </c>
      <c r="C1269" s="1314" t="s">
        <v>1771</v>
      </c>
      <c r="D1269" s="78"/>
      <c r="E1269" s="1480">
        <v>4.25</v>
      </c>
    </row>
    <row r="1270" spans="1:5">
      <c r="A1270" s="75">
        <v>38864</v>
      </c>
      <c r="B1270" s="76" t="str">
        <f>TiposLancamentos!B18</f>
        <v>Alimentacao</v>
      </c>
      <c r="C1270" s="1314" t="s">
        <v>3096</v>
      </c>
      <c r="D1270" s="78"/>
      <c r="E1270" s="1480">
        <v>2.5</v>
      </c>
    </row>
    <row r="1271" spans="1:5">
      <c r="A1271" s="75">
        <v>38865</v>
      </c>
      <c r="B1271" s="76" t="str">
        <f>TiposLancamentos!B18</f>
        <v>Alimentacao</v>
      </c>
      <c r="C1271" s="1314" t="s">
        <v>3097</v>
      </c>
      <c r="D1271" s="78"/>
      <c r="E1271" s="1480">
        <v>3.25</v>
      </c>
    </row>
    <row r="1272" spans="1:5">
      <c r="A1272" s="75">
        <v>38868</v>
      </c>
      <c r="B1272" s="76" t="str">
        <f>TiposLancamentos!B20</f>
        <v>Saques</v>
      </c>
      <c r="C1272" s="1314" t="s">
        <v>2668</v>
      </c>
      <c r="D1272" s="78">
        <v>10</v>
      </c>
      <c r="E1272" s="1480"/>
    </row>
    <row r="1273" spans="1:5">
      <c r="A1273" s="79">
        <v>38868</v>
      </c>
      <c r="B1273" s="80" t="str">
        <f>TiposLancamentos!B65</f>
        <v>Taxi</v>
      </c>
      <c r="C1273" s="1586" t="s">
        <v>3036</v>
      </c>
      <c r="D1273" s="82"/>
      <c r="E1273" s="1583">
        <v>10</v>
      </c>
    </row>
    <row r="1274" spans="1:5">
      <c r="A1274" s="83"/>
      <c r="B1274" s="37"/>
      <c r="C1274" s="1584" t="s">
        <v>3098</v>
      </c>
      <c r="D1274" s="78"/>
      <c r="E1274" s="1480"/>
    </row>
    <row r="1275" spans="1:5">
      <c r="A1275" s="75">
        <v>38871</v>
      </c>
      <c r="B1275" s="76" t="str">
        <f>TiposLancamentos!B101</f>
        <v>Troco de Vr</v>
      </c>
      <c r="C1275" s="1314" t="s">
        <v>2792</v>
      </c>
      <c r="D1275" s="78">
        <v>9</v>
      </c>
      <c r="E1275" s="1480"/>
    </row>
    <row r="1276" spans="1:5">
      <c r="A1276" s="75">
        <v>38871</v>
      </c>
      <c r="B1276" s="76" t="str">
        <f>TiposLancamentos!B18</f>
        <v>Alimentacao</v>
      </c>
      <c r="C1276" s="1314" t="s">
        <v>3099</v>
      </c>
      <c r="D1276" s="78"/>
      <c r="E1276" s="1480">
        <v>4</v>
      </c>
    </row>
    <row r="1277" spans="1:5">
      <c r="A1277" s="75">
        <v>38871</v>
      </c>
      <c r="B1277" s="76" t="str">
        <f>TiposLancamentos!B16</f>
        <v>Cristiane</v>
      </c>
      <c r="C1277" s="1314" t="s">
        <v>2888</v>
      </c>
      <c r="D1277" s="78">
        <v>5</v>
      </c>
      <c r="E1277" s="1480"/>
    </row>
    <row r="1278" spans="1:5">
      <c r="A1278" s="75">
        <v>38871</v>
      </c>
      <c r="B1278" s="76" t="str">
        <f>TiposLancamentos!B82</f>
        <v>CG Titan 125</v>
      </c>
      <c r="C1278" s="1314" t="s">
        <v>2685</v>
      </c>
      <c r="D1278" s="78"/>
      <c r="E1278" s="1480">
        <v>10</v>
      </c>
    </row>
    <row r="1279" spans="1:5">
      <c r="A1279" s="75">
        <v>38887</v>
      </c>
      <c r="B1279" s="76" t="str">
        <f>TiposLancamentos!B20</f>
        <v>Saques</v>
      </c>
      <c r="C1279" s="1314" t="s">
        <v>2655</v>
      </c>
      <c r="D1279" s="78">
        <v>10</v>
      </c>
      <c r="E1279" s="1480"/>
    </row>
    <row r="1280" spans="1:5">
      <c r="A1280" s="75">
        <v>38887</v>
      </c>
      <c r="B1280" s="76" t="str">
        <f>TiposLancamentos!B90</f>
        <v>Locadora</v>
      </c>
      <c r="C1280" s="1314" t="s">
        <v>44</v>
      </c>
      <c r="D1280" s="78"/>
      <c r="E1280" s="1480">
        <v>10</v>
      </c>
    </row>
    <row r="1281" spans="1:5">
      <c r="A1281" s="75">
        <v>38891</v>
      </c>
      <c r="B1281" s="76" t="str">
        <f>TiposLancamentos!B20</f>
        <v>Saques</v>
      </c>
      <c r="C1281" s="1314" t="s">
        <v>2668</v>
      </c>
      <c r="D1281" s="78">
        <v>20</v>
      </c>
      <c r="E1281" s="1480"/>
    </row>
    <row r="1282" spans="1:5">
      <c r="A1282" s="75">
        <v>38891</v>
      </c>
      <c r="B1282" s="76" t="str">
        <f>TiposLancamentos!B16</f>
        <v>Cristiane</v>
      </c>
      <c r="C1282" s="1314" t="s">
        <v>3100</v>
      </c>
      <c r="D1282" s="78"/>
      <c r="E1282" s="1480">
        <v>20</v>
      </c>
    </row>
    <row r="1283" spans="1:5">
      <c r="A1283" s="75">
        <v>38894</v>
      </c>
      <c r="B1283" s="76" t="str">
        <f>TiposLancamentos!B20</f>
        <v>Saques</v>
      </c>
      <c r="C1283" s="1314" t="s">
        <v>2876</v>
      </c>
      <c r="D1283" s="78">
        <v>20</v>
      </c>
      <c r="E1283" s="1480"/>
    </row>
    <row r="1284" spans="1:5">
      <c r="A1284" s="75">
        <v>38894</v>
      </c>
      <c r="B1284" s="76" t="str">
        <f>TiposLancamentos!B16</f>
        <v>Cristiane</v>
      </c>
      <c r="C1284" s="1314" t="s">
        <v>3101</v>
      </c>
      <c r="D1284" s="78"/>
      <c r="E1284" s="1480">
        <v>20</v>
      </c>
    </row>
    <row r="1285" spans="1:5">
      <c r="A1285" s="75">
        <v>38898</v>
      </c>
      <c r="B1285" s="76" t="str">
        <f>TiposLancamentos!B101</f>
        <v>Troco de Vr</v>
      </c>
      <c r="C1285" s="1314" t="s">
        <v>3102</v>
      </c>
      <c r="D1285" s="78">
        <v>4.7</v>
      </c>
      <c r="E1285" s="1480"/>
    </row>
    <row r="1286" spans="1:5">
      <c r="A1286" s="79">
        <v>38898</v>
      </c>
      <c r="B1286" s="80" t="str">
        <f>TiposLancamentos!B18</f>
        <v>Alimentacao</v>
      </c>
      <c r="C1286" s="1586" t="s">
        <v>3103</v>
      </c>
      <c r="D1286" s="82"/>
      <c r="E1286" s="1583">
        <v>2</v>
      </c>
    </row>
    <row r="1287" spans="1:5">
      <c r="A1287" s="83"/>
      <c r="B1287" s="37"/>
      <c r="C1287" s="1584" t="s">
        <v>3104</v>
      </c>
      <c r="D1287" s="78"/>
      <c r="E1287" s="1480"/>
    </row>
    <row r="1288" spans="1:5">
      <c r="A1288" s="75">
        <v>38902</v>
      </c>
      <c r="B1288" s="76" t="str">
        <f>TiposLancamentos!B101</f>
        <v>Troco de Vr</v>
      </c>
      <c r="C1288" s="1314" t="s">
        <v>3105</v>
      </c>
      <c r="D1288" s="78">
        <v>5</v>
      </c>
      <c r="E1288" s="1480"/>
    </row>
    <row r="1289" spans="1:5">
      <c r="A1289" s="75">
        <v>38903</v>
      </c>
      <c r="B1289" s="76" t="str">
        <f>TiposLancamentos!B90</f>
        <v>Locadora</v>
      </c>
      <c r="C1289" s="1314" t="s">
        <v>3106</v>
      </c>
      <c r="D1289" s="78"/>
      <c r="E1289" s="1480">
        <v>5</v>
      </c>
    </row>
    <row r="1290" spans="1:5">
      <c r="A1290" s="75">
        <v>38904</v>
      </c>
      <c r="B1290" s="76" t="str">
        <f>TiposLancamentos!B18</f>
        <v>Alimentacao</v>
      </c>
      <c r="C1290" s="1314" t="s">
        <v>3107</v>
      </c>
      <c r="D1290" s="78"/>
      <c r="E1290" s="1480">
        <v>2</v>
      </c>
    </row>
    <row r="1291" spans="1:5">
      <c r="A1291" s="75">
        <v>38908</v>
      </c>
      <c r="B1291" s="76" t="str">
        <f>TiposLancamentos!B16</f>
        <v>Cristiane</v>
      </c>
      <c r="C1291" s="1314" t="s">
        <v>2801</v>
      </c>
      <c r="D1291" s="78">
        <v>2.1</v>
      </c>
      <c r="E1291" s="1480"/>
    </row>
    <row r="1292" spans="1:5">
      <c r="A1292" s="75">
        <v>38908</v>
      </c>
      <c r="B1292" s="76" t="str">
        <f>TiposLancamentos!B55</f>
        <v>Onibus Urbano</v>
      </c>
      <c r="C1292" s="1314" t="s">
        <v>2988</v>
      </c>
      <c r="D1292" s="78"/>
      <c r="E1292" s="1480">
        <v>2.1</v>
      </c>
    </row>
    <row r="1293" spans="1:5">
      <c r="A1293" s="75">
        <v>38921</v>
      </c>
      <c r="B1293" s="76" t="str">
        <f>TiposLancamentos!B16</f>
        <v>Cristiane</v>
      </c>
      <c r="C1293" s="1314" t="s">
        <v>1698</v>
      </c>
      <c r="D1293" s="78"/>
      <c r="E1293" s="1480">
        <v>0.2</v>
      </c>
    </row>
    <row r="1294" spans="1:5">
      <c r="A1294" s="75">
        <v>38921</v>
      </c>
      <c r="B1294" s="76" t="str">
        <f>TiposLancamentos!B20</f>
        <v>Saques</v>
      </c>
      <c r="C1294" s="1314" t="s">
        <v>2668</v>
      </c>
      <c r="D1294" s="78">
        <v>40</v>
      </c>
      <c r="E1294" s="1480"/>
    </row>
    <row r="1295" spans="1:5">
      <c r="A1295" s="75">
        <v>38922</v>
      </c>
      <c r="B1295" s="76" t="str">
        <f>TiposLancamentos!B19</f>
        <v>Restaurantes</v>
      </c>
      <c r="C1295" s="1314" t="s">
        <v>3108</v>
      </c>
      <c r="D1295" s="78"/>
      <c r="E1295" s="1480">
        <v>8.9499999999999993</v>
      </c>
    </row>
    <row r="1296" spans="1:5">
      <c r="A1296" s="75">
        <v>38923</v>
      </c>
      <c r="B1296" s="76" t="str">
        <f>TiposLancamentos!B18</f>
        <v>Alimentacao</v>
      </c>
      <c r="C1296" s="1314" t="s">
        <v>3109</v>
      </c>
      <c r="D1296" s="78"/>
      <c r="E1296" s="1480">
        <v>2</v>
      </c>
    </row>
    <row r="1297" spans="1:5">
      <c r="A1297" s="75">
        <v>38923</v>
      </c>
      <c r="B1297" s="76" t="str">
        <f>TiposLancamentos!B18</f>
        <v>Alimentacao</v>
      </c>
      <c r="C1297" s="1314" t="s">
        <v>3110</v>
      </c>
      <c r="D1297" s="78"/>
      <c r="E1297" s="1480">
        <v>3.5</v>
      </c>
    </row>
    <row r="1298" spans="1:5">
      <c r="A1298" s="75">
        <v>38923</v>
      </c>
      <c r="B1298" s="76" t="str">
        <f>TiposLancamentos!B5</f>
        <v>Supermercado</v>
      </c>
      <c r="C1298" s="1314" t="s">
        <v>2567</v>
      </c>
      <c r="D1298" s="78"/>
      <c r="E1298" s="1480">
        <v>6.28</v>
      </c>
    </row>
    <row r="1299" spans="1:5">
      <c r="A1299" s="75">
        <v>38924</v>
      </c>
      <c r="B1299" s="76" t="str">
        <f>TiposLancamentos!B16</f>
        <v>Cristiane</v>
      </c>
      <c r="C1299" s="1314" t="s">
        <v>3111</v>
      </c>
      <c r="D1299" s="78"/>
      <c r="E1299" s="1480">
        <v>5</v>
      </c>
    </row>
    <row r="1300" spans="1:5">
      <c r="A1300" s="75">
        <v>38924</v>
      </c>
      <c r="B1300" s="76" t="str">
        <f>TiposLancamentos!B71</f>
        <v>Itens Pessoais</v>
      </c>
      <c r="C1300" s="1314" t="s">
        <v>3112</v>
      </c>
      <c r="D1300" s="78"/>
      <c r="E1300" s="1480">
        <v>12</v>
      </c>
    </row>
    <row r="1301" spans="1:5">
      <c r="A1301" s="75">
        <v>38924</v>
      </c>
      <c r="B1301" s="76" t="str">
        <f>TiposLancamentos!B18</f>
        <v>Alimentacao</v>
      </c>
      <c r="C1301" s="1314" t="s">
        <v>3110</v>
      </c>
      <c r="D1301" s="78"/>
      <c r="E1301" s="1480">
        <v>2</v>
      </c>
    </row>
    <row r="1302" spans="1:5">
      <c r="A1302" s="75">
        <v>38926</v>
      </c>
      <c r="B1302" s="76" t="str">
        <f>TiposLancamentos!B101</f>
        <v>Troco de Vr</v>
      </c>
      <c r="C1302" s="1314" t="s">
        <v>3113</v>
      </c>
      <c r="D1302" s="78">
        <v>7.76</v>
      </c>
      <c r="E1302" s="1480"/>
    </row>
    <row r="1303" spans="1:5">
      <c r="A1303" s="75">
        <v>38928</v>
      </c>
      <c r="B1303" s="76" t="str">
        <f>TiposLancamentos!B20</f>
        <v>Saques</v>
      </c>
      <c r="C1303" s="1314" t="s">
        <v>2668</v>
      </c>
      <c r="D1303" s="78">
        <v>10</v>
      </c>
      <c r="E1303" s="1480"/>
    </row>
    <row r="1304" spans="1:5">
      <c r="A1304" s="75">
        <v>38928</v>
      </c>
      <c r="B1304" s="76" t="str">
        <f>TiposLancamentos!B16</f>
        <v>Cristiane</v>
      </c>
      <c r="C1304" s="1314" t="s">
        <v>1698</v>
      </c>
      <c r="D1304" s="82"/>
      <c r="E1304" s="1583">
        <v>10</v>
      </c>
    </row>
    <row r="1305" spans="1:5">
      <c r="A1305" s="83"/>
      <c r="B1305" s="37"/>
      <c r="C1305" s="1584" t="s">
        <v>3114</v>
      </c>
      <c r="D1305" s="78"/>
      <c r="E1305" s="1480"/>
    </row>
    <row r="1306" spans="1:5">
      <c r="A1306" s="75">
        <v>38931</v>
      </c>
      <c r="B1306" s="76" t="str">
        <f>TiposLancamentos!B16</f>
        <v>Cristiane</v>
      </c>
      <c r="C1306" s="1314" t="s">
        <v>3115</v>
      </c>
      <c r="D1306" s="78"/>
      <c r="E1306" s="1480">
        <v>5</v>
      </c>
    </row>
    <row r="1307" spans="1:5">
      <c r="A1307" s="75">
        <v>38931</v>
      </c>
      <c r="B1307" s="76" t="str">
        <f>TiposLancamentos!B101</f>
        <v>Troco de Vr</v>
      </c>
      <c r="C1307" s="1314" t="s">
        <v>3116</v>
      </c>
      <c r="D1307" s="78">
        <v>1.1000000000000001</v>
      </c>
      <c r="E1307" s="1480"/>
    </row>
    <row r="1308" spans="1:5">
      <c r="A1308" s="75">
        <v>38932</v>
      </c>
      <c r="B1308" s="76" t="str">
        <f>TiposLancamentos!B101</f>
        <v>Troco de Vr</v>
      </c>
      <c r="C1308" s="1314" t="s">
        <v>3117</v>
      </c>
      <c r="D1308" s="78">
        <v>1</v>
      </c>
      <c r="E1308" s="1480"/>
    </row>
    <row r="1309" spans="1:5">
      <c r="A1309" s="75">
        <v>38932</v>
      </c>
      <c r="B1309" s="76" t="str">
        <f>TiposLancamentos!B18</f>
        <v>Alimentacao</v>
      </c>
      <c r="C1309" s="1314" t="s">
        <v>3118</v>
      </c>
      <c r="D1309" s="78"/>
      <c r="E1309" s="1480">
        <v>3.4</v>
      </c>
    </row>
    <row r="1310" spans="1:5">
      <c r="A1310" s="75">
        <v>38933</v>
      </c>
      <c r="B1310" s="76" t="str">
        <f>TiposLancamentos!B18</f>
        <v>Alimentacao</v>
      </c>
      <c r="C1310" s="1314" t="s">
        <v>3049</v>
      </c>
      <c r="D1310" s="78"/>
      <c r="E1310" s="1480">
        <v>2</v>
      </c>
    </row>
    <row r="1311" spans="1:5">
      <c r="A1311" s="75">
        <v>38935</v>
      </c>
      <c r="B1311" s="76" t="str">
        <f>TiposLancamentos!B20</f>
        <v>Saques</v>
      </c>
      <c r="C1311" s="1314" t="s">
        <v>2655</v>
      </c>
      <c r="D1311" s="78">
        <v>50</v>
      </c>
      <c r="E1311" s="1480"/>
    </row>
    <row r="1312" spans="1:5">
      <c r="A1312" s="75">
        <v>38935</v>
      </c>
      <c r="B1312" s="76" t="str">
        <f>TiposLancamentos!B54</f>
        <v>Metro</v>
      </c>
      <c r="C1312" s="1314" t="s">
        <v>3119</v>
      </c>
      <c r="D1312" s="78"/>
      <c r="E1312" s="1480">
        <f>2.1*3</f>
        <v>6.3000000000000007</v>
      </c>
    </row>
    <row r="1313" spans="1:5">
      <c r="A1313" s="75">
        <v>38935</v>
      </c>
      <c r="B1313" s="76" t="str">
        <f>TiposLancamentos!B55</f>
        <v>Onibus Urbano</v>
      </c>
      <c r="C1313" s="1314" t="s">
        <v>3120</v>
      </c>
      <c r="D1313" s="78"/>
      <c r="E1313" s="1480">
        <v>4</v>
      </c>
    </row>
    <row r="1314" spans="1:5">
      <c r="A1314" s="75">
        <v>38935</v>
      </c>
      <c r="B1314" s="76" t="str">
        <f>TiposLancamentos!B19</f>
        <v>Restaurantes</v>
      </c>
      <c r="C1314" s="1314" t="s">
        <v>3121</v>
      </c>
      <c r="D1314" s="78"/>
      <c r="E1314" s="1480">
        <v>5.3</v>
      </c>
    </row>
    <row r="1315" spans="1:5">
      <c r="A1315" s="75">
        <v>38935</v>
      </c>
      <c r="B1315" s="76" t="str">
        <f>TiposLancamentos!B55</f>
        <v>Onibus Urbano</v>
      </c>
      <c r="C1315" s="1314" t="s">
        <v>2624</v>
      </c>
      <c r="D1315" s="78"/>
      <c r="E1315" s="1480">
        <v>4</v>
      </c>
    </row>
    <row r="1316" spans="1:5">
      <c r="A1316" s="75">
        <v>38935</v>
      </c>
      <c r="B1316" s="76" t="str">
        <f>TiposLancamentos!B55</f>
        <v>Onibus Urbano</v>
      </c>
      <c r="C1316" s="1314" t="s">
        <v>3122</v>
      </c>
      <c r="D1316" s="78"/>
      <c r="E1316" s="1480">
        <v>9.5</v>
      </c>
    </row>
    <row r="1317" spans="1:5">
      <c r="A1317" s="75">
        <v>38936</v>
      </c>
      <c r="B1317" s="76" t="str">
        <f>TiposLancamentos!B78</f>
        <v>Diferenças</v>
      </c>
      <c r="C1317" s="1314"/>
      <c r="D1317" s="78">
        <v>2.94</v>
      </c>
      <c r="E1317" s="1480"/>
    </row>
    <row r="1318" spans="1:5">
      <c r="A1318" s="75">
        <v>38936</v>
      </c>
      <c r="B1318" s="76" t="str">
        <f>TiposLancamentos!B16</f>
        <v>Cristiane</v>
      </c>
      <c r="C1318" s="1314" t="s">
        <v>2801</v>
      </c>
      <c r="D1318" s="78"/>
      <c r="E1318" s="1480">
        <v>24.1</v>
      </c>
    </row>
    <row r="1319" spans="1:5">
      <c r="A1319" s="75">
        <v>38939</v>
      </c>
      <c r="B1319" s="76" t="str">
        <f>TiposLancamentos!B20</f>
        <v>Saques</v>
      </c>
      <c r="C1319" s="1314" t="s">
        <v>2655</v>
      </c>
      <c r="D1319" s="78">
        <v>10</v>
      </c>
      <c r="E1319" s="1480"/>
    </row>
    <row r="1320" spans="1:5">
      <c r="A1320" s="75">
        <v>38939</v>
      </c>
      <c r="B1320" s="76" t="str">
        <f>TiposLancamentos!B16</f>
        <v>Cristiane</v>
      </c>
      <c r="C1320" s="1314" t="s">
        <v>3101</v>
      </c>
      <c r="D1320" s="78"/>
      <c r="E1320" s="1480">
        <v>10</v>
      </c>
    </row>
    <row r="1321" spans="1:5">
      <c r="A1321" s="75">
        <v>38943</v>
      </c>
      <c r="B1321" s="76" t="str">
        <f>TiposLancamentos!B20</f>
        <v>Saques</v>
      </c>
      <c r="C1321" s="1314" t="s">
        <v>2655</v>
      </c>
      <c r="D1321" s="78">
        <v>80</v>
      </c>
      <c r="E1321" s="1480"/>
    </row>
    <row r="1322" spans="1:5">
      <c r="A1322" s="75">
        <v>38943</v>
      </c>
      <c r="B1322" s="76" t="str">
        <f>TiposLancamentos!B16</f>
        <v>Cristiane</v>
      </c>
      <c r="C1322" s="1314" t="s">
        <v>3101</v>
      </c>
      <c r="D1322" s="78"/>
      <c r="E1322" s="1480">
        <v>80</v>
      </c>
    </row>
    <row r="1323" spans="1:5">
      <c r="A1323" s="75">
        <v>38945</v>
      </c>
      <c r="B1323" s="76" t="str">
        <f>TiposLancamentos!B20</f>
        <v>Saques</v>
      </c>
      <c r="C1323" s="1314" t="s">
        <v>2668</v>
      </c>
      <c r="D1323" s="78">
        <v>20</v>
      </c>
      <c r="E1323" s="1480"/>
    </row>
    <row r="1324" spans="1:5">
      <c r="A1324" s="75">
        <v>38945</v>
      </c>
      <c r="B1324" s="76" t="str">
        <f>TiposLancamentos!B18</f>
        <v>Alimentacao</v>
      </c>
      <c r="C1324" s="1314" t="s">
        <v>3123</v>
      </c>
      <c r="D1324" s="78"/>
      <c r="E1324" s="1480">
        <v>3.5</v>
      </c>
    </row>
    <row r="1325" spans="1:5">
      <c r="A1325" s="75">
        <v>38946</v>
      </c>
      <c r="B1325" s="76" t="str">
        <f>TiposLancamentos!B18</f>
        <v>Alimentacao</v>
      </c>
      <c r="C1325" s="1314" t="s">
        <v>3124</v>
      </c>
      <c r="D1325" s="78"/>
      <c r="E1325" s="1480">
        <v>6.5</v>
      </c>
    </row>
    <row r="1326" spans="1:5">
      <c r="A1326" s="75">
        <v>38946</v>
      </c>
      <c r="B1326" s="76" t="str">
        <f>TiposLancamentos!B18</f>
        <v>Alimentacao</v>
      </c>
      <c r="C1326" s="1314" t="s">
        <v>3123</v>
      </c>
      <c r="D1326" s="78"/>
      <c r="E1326" s="1480">
        <v>3.5</v>
      </c>
    </row>
    <row r="1327" spans="1:5">
      <c r="A1327" s="75">
        <v>38947</v>
      </c>
      <c r="B1327" s="76" t="str">
        <f>TiposLancamentos!B18</f>
        <v>Alimentacao</v>
      </c>
      <c r="C1327" s="1314" t="s">
        <v>3125</v>
      </c>
      <c r="D1327" s="78"/>
      <c r="E1327" s="1480">
        <v>6.5</v>
      </c>
    </row>
    <row r="1328" spans="1:5">
      <c r="A1328" s="75">
        <v>38955</v>
      </c>
      <c r="B1328" s="76" t="str">
        <f>TiposLancamentos!B20</f>
        <v>Saques</v>
      </c>
      <c r="C1328" s="1314"/>
      <c r="D1328" s="78">
        <v>30</v>
      </c>
      <c r="E1328" s="1480"/>
    </row>
    <row r="1329" spans="1:5">
      <c r="A1329" s="75">
        <v>38955</v>
      </c>
      <c r="B1329" s="76" t="str">
        <f>TiposLancamentos!B54</f>
        <v>Metro</v>
      </c>
      <c r="C1329" s="1314" t="s">
        <v>3126</v>
      </c>
      <c r="D1329" s="78"/>
      <c r="E1329" s="1480">
        <v>2.1</v>
      </c>
    </row>
    <row r="1330" spans="1:5">
      <c r="A1330" s="75">
        <v>38955</v>
      </c>
      <c r="B1330" s="76" t="str">
        <f>TiposLancamentos!B36</f>
        <v>Playstation 2</v>
      </c>
      <c r="C1330" s="1314" t="s">
        <v>3127</v>
      </c>
      <c r="D1330" s="78"/>
      <c r="E1330" s="1480">
        <v>10</v>
      </c>
    </row>
    <row r="1331" spans="1:5">
      <c r="A1331" s="75">
        <v>38955</v>
      </c>
      <c r="B1331" s="76" t="str">
        <f>TiposLancamentos!B54</f>
        <v>Metro</v>
      </c>
      <c r="C1331" s="1314" t="s">
        <v>3128</v>
      </c>
      <c r="D1331" s="78"/>
      <c r="E1331" s="1480">
        <v>2.1</v>
      </c>
    </row>
    <row r="1332" spans="1:5">
      <c r="A1332" s="75">
        <v>38955</v>
      </c>
      <c r="B1332" s="76" t="str">
        <f>TiposLancamentos!B16</f>
        <v>Cristiane</v>
      </c>
      <c r="C1332" s="1314" t="s">
        <v>3129</v>
      </c>
      <c r="D1332" s="78"/>
      <c r="E1332" s="1480">
        <v>2.1</v>
      </c>
    </row>
    <row r="1333" spans="1:5">
      <c r="A1333" s="75">
        <v>38956</v>
      </c>
      <c r="B1333" s="76" t="str">
        <f>TiposLancamentos!B5</f>
        <v>Supermercado</v>
      </c>
      <c r="C1333" s="1314" t="s">
        <v>3130</v>
      </c>
      <c r="D1333" s="78"/>
      <c r="E1333" s="1480">
        <v>3.15</v>
      </c>
    </row>
    <row r="1334" spans="1:5">
      <c r="A1334" s="75">
        <v>38956</v>
      </c>
      <c r="B1334" s="76" t="str">
        <f>TiposLancamentos!B56</f>
        <v>Farmácia</v>
      </c>
      <c r="C1334" s="1314" t="s">
        <v>1775</v>
      </c>
      <c r="D1334" s="78"/>
      <c r="E1334" s="1480">
        <v>8.0500000000000007</v>
      </c>
    </row>
    <row r="1335" spans="1:5">
      <c r="A1335" s="75">
        <v>38956</v>
      </c>
      <c r="B1335" s="76" t="str">
        <f>TiposLancamentos!B20</f>
        <v>Saques</v>
      </c>
      <c r="C1335" s="1314" t="s">
        <v>2668</v>
      </c>
      <c r="D1335" s="78">
        <v>20</v>
      </c>
      <c r="E1335" s="1480"/>
    </row>
    <row r="1336" spans="1:5">
      <c r="A1336" s="75">
        <v>38956</v>
      </c>
      <c r="B1336" s="76" t="str">
        <f>TiposLancamentos!B16</f>
        <v>Cristiane</v>
      </c>
      <c r="C1336" s="1314" t="s">
        <v>1698</v>
      </c>
      <c r="D1336" s="78"/>
      <c r="E1336" s="1480">
        <v>20</v>
      </c>
    </row>
    <row r="1337" spans="1:5">
      <c r="A1337" s="75">
        <v>38957</v>
      </c>
      <c r="B1337" s="76" t="str">
        <f>TiposLancamentos!B20</f>
        <v>Saques</v>
      </c>
      <c r="C1337" s="1314" t="s">
        <v>2668</v>
      </c>
      <c r="D1337" s="78">
        <v>20</v>
      </c>
      <c r="E1337" s="1480"/>
    </row>
    <row r="1338" spans="1:5">
      <c r="A1338" s="75">
        <v>38957</v>
      </c>
      <c r="B1338" s="76" t="str">
        <f>TiposLancamentos!B19</f>
        <v>Restaurantes</v>
      </c>
      <c r="C1338" s="1314" t="s">
        <v>3131</v>
      </c>
      <c r="D1338" s="78"/>
      <c r="E1338" s="1480">
        <v>20</v>
      </c>
    </row>
    <row r="1339" spans="1:5">
      <c r="A1339" s="75">
        <v>38957</v>
      </c>
      <c r="B1339" s="76" t="str">
        <f>TiposLancamentos!B18</f>
        <v>Alimentacao</v>
      </c>
      <c r="C1339" s="1314" t="s">
        <v>3132</v>
      </c>
      <c r="D1339" s="78"/>
      <c r="E1339" s="1480">
        <v>2</v>
      </c>
    </row>
    <row r="1340" spans="1:5">
      <c r="A1340" s="75">
        <v>38958</v>
      </c>
      <c r="B1340" s="76" t="str">
        <f>TiposLancamentos!B20</f>
        <v>Saques</v>
      </c>
      <c r="C1340" s="1314" t="s">
        <v>2668</v>
      </c>
      <c r="D1340" s="78">
        <v>20</v>
      </c>
      <c r="E1340" s="1480"/>
    </row>
    <row r="1341" spans="1:5">
      <c r="A1341" s="75">
        <v>38958</v>
      </c>
      <c r="B1341" s="76" t="str">
        <f>TiposLancamentos!B16</f>
        <v>Cristiane</v>
      </c>
      <c r="C1341" s="1314" t="s">
        <v>1698</v>
      </c>
      <c r="D1341" s="82"/>
      <c r="E1341" s="1583">
        <v>20</v>
      </c>
    </row>
    <row r="1342" spans="1:5">
      <c r="A1342" s="83"/>
      <c r="B1342" s="37"/>
      <c r="C1342" s="1584" t="s">
        <v>3133</v>
      </c>
      <c r="D1342" s="78"/>
      <c r="E1342" s="1480"/>
    </row>
    <row r="1343" spans="1:5">
      <c r="A1343" s="75">
        <v>38961</v>
      </c>
      <c r="B1343" s="76" t="str">
        <f>TiposLancamentos!B18</f>
        <v>Alimentacao</v>
      </c>
      <c r="C1343" s="1314" t="s">
        <v>2701</v>
      </c>
      <c r="D1343" s="78"/>
      <c r="E1343" s="1480">
        <v>0.5</v>
      </c>
    </row>
    <row r="1344" spans="1:5">
      <c r="A1344" s="75">
        <v>38962</v>
      </c>
      <c r="B1344" s="76" t="str">
        <f>TiposLancamentos!B20</f>
        <v>Saques</v>
      </c>
      <c r="C1344" s="1314" t="s">
        <v>2668</v>
      </c>
      <c r="D1344" s="78">
        <v>40</v>
      </c>
      <c r="E1344" s="1480"/>
    </row>
    <row r="1345" spans="1:5">
      <c r="A1345" s="75">
        <v>38962</v>
      </c>
      <c r="B1345" s="76" t="str">
        <f>TiposLancamentos!B16</f>
        <v>Cristiane</v>
      </c>
      <c r="C1345" s="1314" t="s">
        <v>3134</v>
      </c>
      <c r="D1345" s="78"/>
      <c r="E1345" s="1480">
        <v>8.5</v>
      </c>
    </row>
    <row r="1346" spans="1:5">
      <c r="A1346" s="75">
        <v>38962</v>
      </c>
      <c r="B1346" s="76" t="str">
        <f>TiposLancamentos!B90</f>
        <v>Locadora</v>
      </c>
      <c r="C1346" s="1314" t="s">
        <v>3135</v>
      </c>
      <c r="D1346" s="78"/>
      <c r="E1346" s="1480">
        <v>10</v>
      </c>
    </row>
    <row r="1347" spans="1:5">
      <c r="A1347" s="75">
        <v>38962</v>
      </c>
      <c r="B1347" s="76" t="str">
        <f>TiposLancamentos!B19</f>
        <v>Restaurantes</v>
      </c>
      <c r="C1347" s="1314" t="s">
        <v>3136</v>
      </c>
      <c r="D1347" s="78"/>
      <c r="E1347" s="1480">
        <v>17</v>
      </c>
    </row>
    <row r="1348" spans="1:5">
      <c r="A1348" s="75">
        <v>38962</v>
      </c>
      <c r="B1348" s="76" t="str">
        <f>TiposLancamentos!B18</f>
        <v>Alimentacao</v>
      </c>
      <c r="C1348" s="1314" t="s">
        <v>3137</v>
      </c>
      <c r="D1348" s="78"/>
      <c r="E1348" s="1480">
        <v>1.2</v>
      </c>
    </row>
    <row r="1349" spans="1:5">
      <c r="A1349" s="75">
        <v>38962</v>
      </c>
      <c r="B1349" s="76" t="str">
        <f>TiposLancamentos!B54</f>
        <v>Metro</v>
      </c>
      <c r="C1349" s="1314" t="s">
        <v>3138</v>
      </c>
      <c r="D1349" s="78"/>
      <c r="E1349" s="1480">
        <v>4.2</v>
      </c>
    </row>
    <row r="1350" spans="1:5">
      <c r="A1350" s="75">
        <v>38962</v>
      </c>
      <c r="B1350" s="76" t="str">
        <f>TiposLancamentos!B20</f>
        <v>Saques</v>
      </c>
      <c r="C1350" s="1314" t="s">
        <v>2668</v>
      </c>
      <c r="D1350" s="78">
        <v>20</v>
      </c>
      <c r="E1350" s="1480"/>
    </row>
    <row r="1351" spans="1:5">
      <c r="A1351" s="75">
        <v>38962</v>
      </c>
      <c r="B1351" s="76" t="str">
        <f>TiposLancamentos!B54</f>
        <v>Metro</v>
      </c>
      <c r="C1351" s="1314" t="s">
        <v>3076</v>
      </c>
      <c r="D1351" s="78"/>
      <c r="E1351" s="1480">
        <v>8.4</v>
      </c>
    </row>
    <row r="1352" spans="1:5">
      <c r="A1352" s="75">
        <v>38962</v>
      </c>
      <c r="B1352" s="76" t="str">
        <f>TiposLancamentos!B55</f>
        <v>Onibus Urbano</v>
      </c>
      <c r="C1352" s="1314" t="s">
        <v>3139</v>
      </c>
      <c r="D1352" s="78"/>
      <c r="E1352" s="1480">
        <v>4.2</v>
      </c>
    </row>
    <row r="1353" spans="1:5">
      <c r="A1353" s="75">
        <v>38962</v>
      </c>
      <c r="B1353" s="76" t="str">
        <f>TiposLancamentos!B78</f>
        <v>Diferenças</v>
      </c>
      <c r="C1353" s="1314" t="s">
        <v>1818</v>
      </c>
      <c r="D1353" s="78"/>
      <c r="E1353" s="1480">
        <v>0.5</v>
      </c>
    </row>
    <row r="1354" spans="1:5">
      <c r="A1354" s="75">
        <v>38966</v>
      </c>
      <c r="B1354" s="76" t="str">
        <f>TiposLancamentos!B16</f>
        <v>Cristiane</v>
      </c>
      <c r="C1354" s="1314" t="s">
        <v>2888</v>
      </c>
      <c r="D1354" s="78">
        <v>60</v>
      </c>
      <c r="E1354" s="1480"/>
    </row>
    <row r="1355" spans="1:5">
      <c r="A1355" s="75">
        <v>38967</v>
      </c>
      <c r="B1355" s="76" t="str">
        <f>TiposLancamentos!B19</f>
        <v>Restaurantes</v>
      </c>
      <c r="C1355" s="1314" t="s">
        <v>3140</v>
      </c>
      <c r="D1355" s="78"/>
      <c r="E1355" s="1480">
        <v>4.2</v>
      </c>
    </row>
    <row r="1356" spans="1:5">
      <c r="A1356" s="75">
        <v>38968</v>
      </c>
      <c r="B1356" s="76" t="str">
        <f>TiposLancamentos!B55</f>
        <v>Onibus Urbano</v>
      </c>
      <c r="C1356" s="1314" t="s">
        <v>3141</v>
      </c>
      <c r="D1356" s="78"/>
      <c r="E1356" s="1480">
        <v>8.6999999999999993</v>
      </c>
    </row>
    <row r="1357" spans="1:5">
      <c r="A1357" s="75">
        <v>38968</v>
      </c>
      <c r="B1357" s="76" t="str">
        <f>TiposLancamentos!B54</f>
        <v>Metro</v>
      </c>
      <c r="C1357" s="1314" t="s">
        <v>3142</v>
      </c>
      <c r="D1357" s="78"/>
      <c r="E1357" s="1480">
        <v>4.2</v>
      </c>
    </row>
    <row r="1358" spans="1:5">
      <c r="A1358" s="75">
        <v>38968</v>
      </c>
      <c r="B1358" s="76" t="str">
        <f>TiposLancamentos!B19</f>
        <v>Restaurantes</v>
      </c>
      <c r="C1358" s="1314" t="s">
        <v>3143</v>
      </c>
      <c r="D1358" s="78"/>
      <c r="E1358" s="1480">
        <v>27.7</v>
      </c>
    </row>
    <row r="1359" spans="1:5">
      <c r="A1359" s="75">
        <v>38971</v>
      </c>
      <c r="B1359" s="76" t="str">
        <f>TiposLancamentos!B19</f>
        <v>Restaurantes</v>
      </c>
      <c r="C1359" s="1314" t="s">
        <v>3144</v>
      </c>
      <c r="D1359" s="78"/>
      <c r="E1359" s="1480">
        <v>5.2</v>
      </c>
    </row>
    <row r="1360" spans="1:5">
      <c r="A1360" s="75">
        <v>38972</v>
      </c>
      <c r="B1360" s="76" t="str">
        <f>TiposLancamentos!B59</f>
        <v>Documentos</v>
      </c>
      <c r="C1360" s="1314" t="s">
        <v>3145</v>
      </c>
      <c r="D1360" s="78"/>
      <c r="E1360" s="1480">
        <v>8.4</v>
      </c>
    </row>
    <row r="1361" spans="1:5">
      <c r="A1361" s="75">
        <v>38974</v>
      </c>
      <c r="B1361" s="76" t="str">
        <f>TiposLancamentos!B20</f>
        <v>Saques</v>
      </c>
      <c r="C1361" s="1314" t="s">
        <v>3146</v>
      </c>
      <c r="D1361" s="78">
        <v>100</v>
      </c>
      <c r="E1361" s="1480"/>
    </row>
    <row r="1362" spans="1:5">
      <c r="A1362" s="75">
        <v>38975</v>
      </c>
      <c r="B1362" s="76" t="str">
        <f>TiposLancamentos!B16</f>
        <v>Cristiane</v>
      </c>
      <c r="C1362" s="1314" t="s">
        <v>3147</v>
      </c>
      <c r="D1362" s="78"/>
      <c r="E1362" s="1480">
        <v>100</v>
      </c>
    </row>
    <row r="1363" spans="1:5">
      <c r="A1363" s="75">
        <v>38975</v>
      </c>
      <c r="B1363" s="76" t="str">
        <f>TiposLancamentos!B5</f>
        <v>Supermercado</v>
      </c>
      <c r="C1363" s="1314" t="s">
        <v>3148</v>
      </c>
      <c r="D1363" s="78"/>
      <c r="E1363" s="1480">
        <v>5.4</v>
      </c>
    </row>
    <row r="1364" spans="1:5">
      <c r="A1364" s="75">
        <v>38976</v>
      </c>
      <c r="B1364" s="76" t="str">
        <f>TiposLancamentos!B55</f>
        <v>Onibus Urbano</v>
      </c>
      <c r="C1364" s="1314" t="s">
        <v>2801</v>
      </c>
      <c r="D1364" s="78"/>
      <c r="E1364" s="1480">
        <v>2.2000000000000002</v>
      </c>
    </row>
    <row r="1365" spans="1:5">
      <c r="A1365" s="75">
        <v>38976</v>
      </c>
      <c r="B1365" s="76" t="str">
        <f>TiposLancamentos!B16</f>
        <v>Cristiane</v>
      </c>
      <c r="C1365" s="1314" t="s">
        <v>2888</v>
      </c>
      <c r="D1365" s="78">
        <v>50</v>
      </c>
      <c r="E1365" s="1480"/>
    </row>
    <row r="1366" spans="1:5">
      <c r="A1366" s="75">
        <v>38976</v>
      </c>
      <c r="B1366" s="76" t="str">
        <f>TiposLancamentos!B36</f>
        <v>Playstation 2</v>
      </c>
      <c r="C1366" s="1314" t="s">
        <v>3149</v>
      </c>
      <c r="D1366" s="78"/>
      <c r="E1366" s="1480">
        <v>20</v>
      </c>
    </row>
    <row r="1367" spans="1:5">
      <c r="A1367" s="75">
        <v>38976</v>
      </c>
      <c r="B1367" s="76" t="str">
        <f>TiposLancamentos!B36</f>
        <v>Playstation 2</v>
      </c>
      <c r="C1367" s="1314" t="s">
        <v>3150</v>
      </c>
      <c r="D1367" s="78"/>
      <c r="E1367" s="1480">
        <v>10</v>
      </c>
    </row>
    <row r="1368" spans="1:5">
      <c r="A1368" s="75">
        <v>38976</v>
      </c>
      <c r="B1368" s="76" t="str">
        <f>TiposLancamentos!B55</f>
        <v>Onibus Urbano</v>
      </c>
      <c r="C1368" s="1314" t="s">
        <v>3151</v>
      </c>
      <c r="D1368" s="78"/>
      <c r="E1368" s="1480">
        <v>4.2</v>
      </c>
    </row>
    <row r="1369" spans="1:5">
      <c r="A1369" s="75">
        <v>38976</v>
      </c>
      <c r="B1369" s="76" t="str">
        <f>TiposLancamentos!B16</f>
        <v>Cristiane</v>
      </c>
      <c r="C1369" s="1314" t="s">
        <v>3152</v>
      </c>
      <c r="D1369" s="78"/>
      <c r="E1369" s="1480">
        <v>15.8</v>
      </c>
    </row>
    <row r="1370" spans="1:5">
      <c r="A1370" s="75">
        <v>38979</v>
      </c>
      <c r="B1370" s="76" t="str">
        <f>TiposLancamentos!B20</f>
        <v>Saques</v>
      </c>
      <c r="C1370" s="1314" t="s">
        <v>3153</v>
      </c>
      <c r="D1370" s="78">
        <v>50</v>
      </c>
      <c r="E1370" s="1480"/>
    </row>
    <row r="1371" spans="1:5">
      <c r="A1371" s="75">
        <v>38979</v>
      </c>
      <c r="B1371" s="76" t="str">
        <f>TiposLancamentos!B16</f>
        <v>Cristiane</v>
      </c>
      <c r="C1371" s="1314" t="s">
        <v>1698</v>
      </c>
      <c r="D1371" s="78"/>
      <c r="E1371" s="1480">
        <v>50</v>
      </c>
    </row>
    <row r="1372" spans="1:5">
      <c r="A1372" s="75">
        <v>38979</v>
      </c>
      <c r="B1372" s="76" t="str">
        <f>TiposLancamentos!B20</f>
        <v>Saques</v>
      </c>
      <c r="C1372" s="1314" t="s">
        <v>3154</v>
      </c>
      <c r="D1372" s="78">
        <v>520</v>
      </c>
      <c r="E1372" s="1480"/>
    </row>
    <row r="1373" spans="1:5">
      <c r="A1373" s="75">
        <v>38979</v>
      </c>
      <c r="B1373" s="76" t="str">
        <f>TiposLancamentos!B59</f>
        <v>Documentos</v>
      </c>
      <c r="C1373" s="1314" t="s">
        <v>3155</v>
      </c>
      <c r="D1373" s="78"/>
      <c r="E1373" s="1480">
        <v>520</v>
      </c>
    </row>
    <row r="1374" spans="1:5">
      <c r="A1374" s="75">
        <v>38983</v>
      </c>
      <c r="B1374" s="76" t="str">
        <f>TiposLancamentos!B98</f>
        <v>Restituições</v>
      </c>
      <c r="C1374" s="1314" t="s">
        <v>3156</v>
      </c>
      <c r="D1374" s="78">
        <v>3</v>
      </c>
      <c r="E1374" s="1480"/>
    </row>
    <row r="1375" spans="1:5">
      <c r="A1375" s="75">
        <v>38983</v>
      </c>
      <c r="B1375" s="76" t="str">
        <f>TiposLancamentos!B20</f>
        <v>Saques</v>
      </c>
      <c r="C1375" s="1314" t="s">
        <v>1706</v>
      </c>
      <c r="D1375" s="78">
        <v>60</v>
      </c>
      <c r="E1375" s="1480"/>
    </row>
    <row r="1376" spans="1:5">
      <c r="A1376" s="75">
        <v>38983</v>
      </c>
      <c r="B1376" s="76" t="str">
        <f>TiposLancamentos!B71</f>
        <v>Itens Pessoais</v>
      </c>
      <c r="C1376" s="1314" t="s">
        <v>3157</v>
      </c>
      <c r="D1376" s="78"/>
      <c r="E1376" s="1480">
        <v>11</v>
      </c>
    </row>
    <row r="1377" spans="1:5">
      <c r="A1377" s="75">
        <v>38983</v>
      </c>
      <c r="B1377" s="76" t="str">
        <f>TiposLancamentos!B25</f>
        <v>CD_DVD_BD</v>
      </c>
      <c r="C1377" s="1314" t="s">
        <v>3158</v>
      </c>
      <c r="D1377" s="78"/>
      <c r="E1377" s="1480">
        <v>3</v>
      </c>
    </row>
    <row r="1378" spans="1:5">
      <c r="A1378" s="75">
        <v>38983</v>
      </c>
      <c r="B1378" s="76" t="str">
        <f>TiposLancamentos!B18</f>
        <v>Alimentacao</v>
      </c>
      <c r="C1378" s="1314" t="s">
        <v>3055</v>
      </c>
      <c r="D1378" s="78"/>
      <c r="E1378" s="1480">
        <v>9.75</v>
      </c>
    </row>
    <row r="1379" spans="1:5">
      <c r="A1379" s="75">
        <v>38983</v>
      </c>
      <c r="B1379" s="76" t="str">
        <f>TiposLancamentos!B13</f>
        <v>Moradia</v>
      </c>
      <c r="C1379" s="1314" t="s">
        <v>3159</v>
      </c>
      <c r="D1379" s="78"/>
      <c r="E1379" s="1480">
        <v>12</v>
      </c>
    </row>
    <row r="1380" spans="1:5">
      <c r="A1380" s="75">
        <v>38983</v>
      </c>
      <c r="B1380" s="76" t="str">
        <f>TiposLancamentos!B18</f>
        <v>Alimentacao</v>
      </c>
      <c r="C1380" s="1314" t="s">
        <v>2934</v>
      </c>
      <c r="D1380" s="78"/>
      <c r="E1380" s="1480">
        <v>4</v>
      </c>
    </row>
    <row r="1381" spans="1:5">
      <c r="A1381" s="75">
        <v>38983</v>
      </c>
      <c r="B1381" s="76" t="str">
        <f>TiposLancamentos!B16</f>
        <v>Cristiane</v>
      </c>
      <c r="C1381" s="1314" t="s">
        <v>3160</v>
      </c>
      <c r="D1381" s="78"/>
      <c r="E1381" s="1480">
        <v>20</v>
      </c>
    </row>
    <row r="1382" spans="1:5">
      <c r="A1382" s="75">
        <v>38985</v>
      </c>
      <c r="B1382" s="76" t="str">
        <f>TiposLancamentos!B20</f>
        <v>Saques</v>
      </c>
      <c r="C1382" s="1314" t="s">
        <v>2668</v>
      </c>
      <c r="D1382" s="78">
        <v>20</v>
      </c>
      <c r="E1382" s="1480"/>
    </row>
    <row r="1383" spans="1:5">
      <c r="A1383" s="75">
        <v>38985</v>
      </c>
      <c r="B1383" s="76" t="str">
        <f>TiposLancamentos!B16</f>
        <v>Cristiane</v>
      </c>
      <c r="C1383" s="1314" t="s">
        <v>3016</v>
      </c>
      <c r="D1383" s="78"/>
      <c r="E1383" s="1480">
        <v>23.25</v>
      </c>
    </row>
    <row r="1384" spans="1:5">
      <c r="A1384" s="75">
        <v>38990</v>
      </c>
      <c r="B1384" s="76" t="str">
        <f>TiposLancamentos!B20</f>
        <v>Saques</v>
      </c>
      <c r="C1384" s="1314" t="s">
        <v>2668</v>
      </c>
      <c r="D1384" s="78">
        <v>40</v>
      </c>
      <c r="E1384" s="1480"/>
    </row>
    <row r="1385" spans="1:5">
      <c r="A1385" s="75">
        <v>38990</v>
      </c>
      <c r="B1385" s="76" t="str">
        <f>TiposLancamentos!B13</f>
        <v>Moradia</v>
      </c>
      <c r="C1385" s="1314" t="s">
        <v>3161</v>
      </c>
      <c r="D1385" s="78"/>
      <c r="E1385" s="1480">
        <v>25</v>
      </c>
    </row>
    <row r="1386" spans="1:5">
      <c r="A1386" s="75">
        <v>38990</v>
      </c>
      <c r="B1386" s="76" t="str">
        <f>TiposLancamentos!B71</f>
        <v>Itens Pessoais</v>
      </c>
      <c r="C1386" s="1314" t="s">
        <v>3112</v>
      </c>
      <c r="D1386" s="78"/>
      <c r="E1386" s="1480">
        <v>12</v>
      </c>
    </row>
    <row r="1387" spans="1:5">
      <c r="A1387" s="75">
        <v>38990</v>
      </c>
      <c r="B1387" s="76" t="str">
        <f>TiposLancamentos!B18</f>
        <v>Alimentacao</v>
      </c>
      <c r="C1387" s="1314" t="s">
        <v>3162</v>
      </c>
      <c r="D1387" s="78"/>
      <c r="E1387" s="1480">
        <v>3</v>
      </c>
    </row>
    <row r="1388" spans="1:5">
      <c r="A1388" s="75">
        <v>38990</v>
      </c>
      <c r="B1388" s="76" t="str">
        <f>TiposLancamentos!B78</f>
        <v>Diferenças</v>
      </c>
      <c r="C1388" s="1314" t="s">
        <v>2488</v>
      </c>
      <c r="D1388" s="82">
        <v>8</v>
      </c>
      <c r="E1388" s="1583"/>
    </row>
    <row r="1389" spans="1:5">
      <c r="A1389" s="83"/>
      <c r="B1389" s="37"/>
      <c r="C1389" s="1584" t="s">
        <v>3163</v>
      </c>
      <c r="D1389" s="78"/>
      <c r="E1389" s="1480"/>
    </row>
    <row r="1390" spans="1:5">
      <c r="A1390" s="75">
        <v>38991</v>
      </c>
      <c r="B1390" s="76" t="str">
        <f>TiposLancamentos!B17</f>
        <v>GATO</v>
      </c>
      <c r="C1390" s="1314" t="s">
        <v>3164</v>
      </c>
      <c r="D1390" s="78"/>
      <c r="E1390" s="1480">
        <v>3</v>
      </c>
    </row>
    <row r="1391" spans="1:5">
      <c r="A1391" s="75">
        <v>38992</v>
      </c>
      <c r="B1391" s="76" t="str">
        <f>TiposLancamentos!B62</f>
        <v>Papelaria</v>
      </c>
      <c r="C1391" s="1314" t="s">
        <v>3165</v>
      </c>
      <c r="D1391" s="78"/>
      <c r="E1391" s="1480">
        <v>3.5</v>
      </c>
    </row>
    <row r="1392" spans="1:5">
      <c r="A1392" s="75">
        <v>38992</v>
      </c>
      <c r="B1392" s="76" t="str">
        <f>TiposLancamentos!B20</f>
        <v>Saques</v>
      </c>
      <c r="C1392" s="1314" t="s">
        <v>2668</v>
      </c>
      <c r="D1392" s="78">
        <v>10</v>
      </c>
      <c r="E1392" s="1480"/>
    </row>
    <row r="1393" spans="1:5">
      <c r="A1393" s="75">
        <v>38992</v>
      </c>
      <c r="B1393" s="76" t="str">
        <f>TiposLancamentos!B59</f>
        <v>Documentos</v>
      </c>
      <c r="C1393" s="1314" t="s">
        <v>3166</v>
      </c>
      <c r="D1393" s="78"/>
      <c r="E1393" s="1480">
        <v>10</v>
      </c>
    </row>
    <row r="1394" spans="1:5">
      <c r="A1394" s="75">
        <v>38992</v>
      </c>
      <c r="B1394" s="76" t="str">
        <f>TiposLancamentos!B60</f>
        <v>Correio</v>
      </c>
      <c r="C1394" s="1314" t="s">
        <v>3167</v>
      </c>
      <c r="D1394" s="78"/>
      <c r="E1394" s="1480">
        <v>0.8</v>
      </c>
    </row>
    <row r="1395" spans="1:5">
      <c r="A1395" s="75">
        <v>38994</v>
      </c>
      <c r="B1395" s="76" t="str">
        <f>TiposLancamentos!B20</f>
        <v>Saques</v>
      </c>
      <c r="C1395" s="1314" t="s">
        <v>2668</v>
      </c>
      <c r="D1395" s="78">
        <v>40</v>
      </c>
      <c r="E1395" s="1480"/>
    </row>
    <row r="1396" spans="1:5">
      <c r="A1396" s="75">
        <v>38994</v>
      </c>
      <c r="B1396" s="76" t="str">
        <f>TiposLancamentos!B16</f>
        <v>Cristiane</v>
      </c>
      <c r="C1396" s="1314" t="s">
        <v>2888</v>
      </c>
      <c r="D1396" s="78"/>
      <c r="E1396" s="1480">
        <v>40</v>
      </c>
    </row>
    <row r="1397" spans="1:5">
      <c r="A1397" s="75">
        <v>38996</v>
      </c>
      <c r="B1397" s="76" t="str">
        <f>TiposLancamentos!B20</f>
        <v>Saques</v>
      </c>
      <c r="C1397" s="1314" t="s">
        <v>2668</v>
      </c>
      <c r="D1397" s="78">
        <v>60</v>
      </c>
      <c r="E1397" s="1480"/>
    </row>
    <row r="1398" spans="1:5">
      <c r="A1398" s="75">
        <v>38997</v>
      </c>
      <c r="B1398" s="76" t="str">
        <f>TiposLancamentos!B55</f>
        <v>Onibus Urbano</v>
      </c>
      <c r="C1398" s="1314" t="s">
        <v>3168</v>
      </c>
      <c r="D1398" s="78"/>
      <c r="E1398" s="1480">
        <v>0.7</v>
      </c>
    </row>
    <row r="1399" spans="1:5">
      <c r="A1399" s="75">
        <v>38997</v>
      </c>
      <c r="B1399" s="76" t="str">
        <f>TiposLancamentos!B57</f>
        <v>Informática</v>
      </c>
      <c r="C1399" s="1314" t="s">
        <v>3169</v>
      </c>
      <c r="D1399" s="78"/>
      <c r="E1399" s="1480">
        <v>10</v>
      </c>
    </row>
    <row r="1400" spans="1:5">
      <c r="A1400" s="75">
        <v>38997</v>
      </c>
      <c r="B1400" s="76" t="str">
        <f>TiposLancamentos!B57</f>
        <v>Informática</v>
      </c>
      <c r="C1400" s="1314" t="s">
        <v>3170</v>
      </c>
      <c r="D1400" s="78"/>
      <c r="E1400" s="1480">
        <v>20</v>
      </c>
    </row>
    <row r="1401" spans="1:5">
      <c r="A1401" s="75">
        <v>38997</v>
      </c>
      <c r="B1401" s="76" t="str">
        <f>TiposLancamentos!B57</f>
        <v>Informática</v>
      </c>
      <c r="C1401" s="1314" t="s">
        <v>3171</v>
      </c>
      <c r="D1401" s="78"/>
      <c r="E1401" s="1480">
        <v>25</v>
      </c>
    </row>
    <row r="1402" spans="1:5">
      <c r="A1402" s="75">
        <v>38997</v>
      </c>
      <c r="B1402" s="76" t="str">
        <f>TiposLancamentos!B20</f>
        <v>Saques</v>
      </c>
      <c r="C1402" s="1314" t="s">
        <v>2668</v>
      </c>
      <c r="D1402" s="78">
        <v>60</v>
      </c>
      <c r="E1402" s="1480"/>
    </row>
    <row r="1403" spans="1:5">
      <c r="A1403" s="75">
        <v>38997</v>
      </c>
      <c r="B1403" s="76" t="str">
        <f>TiposLancamentos!B16</f>
        <v>Cristiane</v>
      </c>
      <c r="C1403" s="1314" t="s">
        <v>1698</v>
      </c>
      <c r="D1403" s="78"/>
      <c r="E1403" s="1480">
        <v>50</v>
      </c>
    </row>
    <row r="1404" spans="1:5">
      <c r="A1404" s="75">
        <v>38997</v>
      </c>
      <c r="B1404" s="76" t="str">
        <f>TiposLancamentos!B19</f>
        <v>Restaurantes</v>
      </c>
      <c r="C1404" s="1314" t="s">
        <v>3172</v>
      </c>
      <c r="D1404" s="78"/>
      <c r="E1404" s="1480">
        <v>4.7</v>
      </c>
    </row>
    <row r="1405" spans="1:5">
      <c r="A1405" s="75">
        <v>38997</v>
      </c>
      <c r="B1405" s="76" t="str">
        <f>TiposLancamentos!B16</f>
        <v>Cristiane</v>
      </c>
      <c r="C1405" s="1314" t="s">
        <v>3173</v>
      </c>
      <c r="D1405" s="78"/>
      <c r="E1405" s="1480">
        <v>10.3</v>
      </c>
    </row>
    <row r="1406" spans="1:5">
      <c r="A1406" s="75">
        <v>38998</v>
      </c>
      <c r="B1406" s="76" t="str">
        <f>TiposLancamentos!B20</f>
        <v>Saques</v>
      </c>
      <c r="C1406" s="1314" t="s">
        <v>2668</v>
      </c>
      <c r="D1406" s="78">
        <v>30</v>
      </c>
      <c r="E1406" s="1480"/>
    </row>
    <row r="1407" spans="1:5">
      <c r="A1407" s="75">
        <v>38998</v>
      </c>
      <c r="B1407" s="76" t="str">
        <f>TiposLancamentos!B16</f>
        <v>Cristiane</v>
      </c>
      <c r="C1407" s="1314" t="s">
        <v>1698</v>
      </c>
      <c r="D1407" s="78"/>
      <c r="E1407" s="1480">
        <v>30</v>
      </c>
    </row>
    <row r="1408" spans="1:5">
      <c r="A1408" s="75">
        <v>38999</v>
      </c>
      <c r="B1408" s="76" t="str">
        <f>TiposLancamentos!B20</f>
        <v>Saques</v>
      </c>
      <c r="C1408" s="1314" t="s">
        <v>2668</v>
      </c>
      <c r="D1408" s="78">
        <v>80</v>
      </c>
      <c r="E1408" s="1480"/>
    </row>
    <row r="1409" spans="1:5">
      <c r="A1409" s="75">
        <v>38999</v>
      </c>
      <c r="B1409" s="76" t="str">
        <f>TiposLancamentos!B16</f>
        <v>Cristiane</v>
      </c>
      <c r="C1409" s="1314" t="s">
        <v>1698</v>
      </c>
      <c r="D1409" s="78"/>
      <c r="E1409" s="1480">
        <v>80</v>
      </c>
    </row>
    <row r="1410" spans="1:5">
      <c r="A1410" s="75">
        <v>39001</v>
      </c>
      <c r="B1410" s="76" t="str">
        <f>TiposLancamentos!B16</f>
        <v>Cristiane</v>
      </c>
      <c r="C1410" s="1314" t="s">
        <v>3174</v>
      </c>
      <c r="D1410" s="78">
        <v>50</v>
      </c>
      <c r="E1410" s="1480"/>
    </row>
    <row r="1411" spans="1:5">
      <c r="A1411" s="75">
        <v>39002</v>
      </c>
      <c r="B1411" s="76" t="str">
        <f>TiposLancamentos!B19</f>
        <v>Restaurantes</v>
      </c>
      <c r="C1411" s="1314" t="s">
        <v>3175</v>
      </c>
      <c r="D1411" s="78"/>
      <c r="E1411" s="1480">
        <v>10.85</v>
      </c>
    </row>
    <row r="1412" spans="1:5">
      <c r="A1412" s="75">
        <v>39003</v>
      </c>
      <c r="B1412" s="76" t="str">
        <f>TiposLancamentos!B19</f>
        <v>Restaurantes</v>
      </c>
      <c r="C1412" s="1314" t="s">
        <v>3176</v>
      </c>
      <c r="D1412" s="78"/>
      <c r="E1412" s="1480">
        <v>14</v>
      </c>
    </row>
    <row r="1413" spans="1:5">
      <c r="A1413" s="75">
        <v>39004</v>
      </c>
      <c r="B1413" s="76" t="str">
        <f>TiposLancamentos!B18</f>
        <v>Alimentacao</v>
      </c>
      <c r="C1413" s="1314" t="s">
        <v>3177</v>
      </c>
      <c r="D1413" s="78"/>
      <c r="E1413" s="1480">
        <v>5</v>
      </c>
    </row>
    <row r="1414" spans="1:5">
      <c r="A1414" s="75">
        <v>39004</v>
      </c>
      <c r="B1414" s="76" t="str">
        <f>TiposLancamentos!B18</f>
        <v>Alimentacao</v>
      </c>
      <c r="C1414" s="1314" t="s">
        <v>3178</v>
      </c>
      <c r="D1414" s="78"/>
      <c r="E1414" s="1480">
        <f>3.5+1.7</f>
        <v>5.2</v>
      </c>
    </row>
    <row r="1415" spans="1:5">
      <c r="A1415" s="75">
        <v>39008</v>
      </c>
      <c r="B1415" s="76" t="str">
        <f>TiposLancamentos!B18</f>
        <v>Alimentacao</v>
      </c>
      <c r="C1415" s="1314" t="s">
        <v>3179</v>
      </c>
      <c r="D1415" s="78"/>
      <c r="E1415" s="1480">
        <v>3.95</v>
      </c>
    </row>
    <row r="1416" spans="1:5">
      <c r="A1416" s="75">
        <v>39010</v>
      </c>
      <c r="B1416" s="76" t="str">
        <f>TiposLancamentos!B18</f>
        <v>Alimentacao</v>
      </c>
      <c r="C1416" s="1314" t="s">
        <v>3110</v>
      </c>
      <c r="D1416" s="78"/>
      <c r="E1416" s="1480">
        <v>2</v>
      </c>
    </row>
    <row r="1417" spans="1:5">
      <c r="A1417" s="75">
        <v>39010</v>
      </c>
      <c r="B1417" s="76" t="str">
        <f>TiposLancamentos!B18</f>
        <v>Alimentacao</v>
      </c>
      <c r="C1417" s="1314" t="s">
        <v>3180</v>
      </c>
      <c r="D1417" s="78"/>
      <c r="E1417" s="1480">
        <v>2</v>
      </c>
    </row>
    <row r="1418" spans="1:5">
      <c r="A1418" s="75">
        <v>39011</v>
      </c>
      <c r="B1418" s="76" t="str">
        <f>TiposLancamentos!B71</f>
        <v>Itens Pessoais</v>
      </c>
      <c r="C1418" s="1314" t="s">
        <v>3181</v>
      </c>
      <c r="D1418" s="78"/>
      <c r="E1418" s="1480">
        <v>1.5</v>
      </c>
    </row>
    <row r="1419" spans="1:5">
      <c r="A1419" s="75">
        <v>39013</v>
      </c>
      <c r="B1419" s="76" t="str">
        <f>TiposLancamentos!B20</f>
        <v>Saques</v>
      </c>
      <c r="C1419" s="1314"/>
      <c r="D1419" s="78">
        <v>20</v>
      </c>
      <c r="E1419" s="1480"/>
    </row>
    <row r="1420" spans="1:5">
      <c r="A1420" s="75">
        <v>39013</v>
      </c>
      <c r="B1420" s="76" t="str">
        <f>TiposLancamentos!B16</f>
        <v>Cristiane</v>
      </c>
      <c r="C1420" s="1314" t="s">
        <v>3016</v>
      </c>
      <c r="D1420" s="78"/>
      <c r="E1420" s="1480">
        <v>20</v>
      </c>
    </row>
    <row r="1421" spans="1:5">
      <c r="A1421" s="75">
        <v>39018</v>
      </c>
      <c r="B1421" s="76" t="str">
        <f>TiposLancamentos!B20</f>
        <v>Saques</v>
      </c>
      <c r="C1421" s="1314"/>
      <c r="D1421" s="78">
        <v>10</v>
      </c>
      <c r="E1421" s="1480"/>
    </row>
    <row r="1422" spans="1:5">
      <c r="A1422" s="75">
        <v>39020</v>
      </c>
      <c r="B1422" s="76" t="str">
        <f>TiposLancamentos!B16</f>
        <v>Cristiane</v>
      </c>
      <c r="C1422" s="1314" t="s">
        <v>3016</v>
      </c>
      <c r="D1422" s="78"/>
      <c r="E1422" s="1480">
        <v>10</v>
      </c>
    </row>
    <row r="1423" spans="1:5">
      <c r="A1423" s="75">
        <v>39021</v>
      </c>
      <c r="B1423" s="76" t="str">
        <f>TiposLancamentos!B20</f>
        <v>Saques</v>
      </c>
      <c r="C1423" s="1314" t="s">
        <v>2668</v>
      </c>
      <c r="D1423" s="78">
        <v>10</v>
      </c>
      <c r="E1423" s="1480"/>
    </row>
    <row r="1424" spans="1:5">
      <c r="A1424" s="75">
        <v>39021</v>
      </c>
      <c r="B1424" s="76" t="str">
        <f>TiposLancamentos!B18</f>
        <v>Alimentacao</v>
      </c>
      <c r="C1424" s="1314" t="s">
        <v>3182</v>
      </c>
      <c r="D1424" s="78"/>
      <c r="E1424" s="1480">
        <v>9</v>
      </c>
    </row>
    <row r="1425" spans="1:5">
      <c r="A1425" s="75">
        <v>39021</v>
      </c>
      <c r="B1425" s="76" t="str">
        <f>TiposLancamentos!B78</f>
        <v>Diferenças</v>
      </c>
      <c r="C1425" s="1314"/>
      <c r="D1425" s="82"/>
      <c r="E1425" s="1583">
        <v>4.67</v>
      </c>
    </row>
    <row r="1426" spans="1:5">
      <c r="A1426" s="83"/>
      <c r="B1426" s="37"/>
      <c r="C1426" s="1584" t="s">
        <v>3183</v>
      </c>
      <c r="D1426" s="78"/>
      <c r="E1426" s="1480"/>
    </row>
    <row r="1427" spans="1:5">
      <c r="A1427" s="75">
        <v>39022</v>
      </c>
      <c r="B1427" s="76" t="str">
        <f>TiposLancamentos!B20</f>
        <v>Saques</v>
      </c>
      <c r="C1427" s="1314" t="s">
        <v>3020</v>
      </c>
      <c r="D1427" s="78">
        <v>20</v>
      </c>
      <c r="E1427" s="1480"/>
    </row>
    <row r="1428" spans="1:5">
      <c r="A1428" s="75">
        <v>39022</v>
      </c>
      <c r="B1428" s="76" t="str">
        <f>TiposLancamentos!B71</f>
        <v>Itens Pessoais</v>
      </c>
      <c r="C1428" s="1314" t="s">
        <v>3177</v>
      </c>
      <c r="D1428" s="78"/>
      <c r="E1428" s="1480">
        <v>10</v>
      </c>
    </row>
    <row r="1429" spans="1:5">
      <c r="A1429" s="75">
        <v>39022</v>
      </c>
      <c r="B1429" s="76" t="str">
        <f>TiposLancamentos!B19</f>
        <v>Restaurantes</v>
      </c>
      <c r="C1429" s="1314" t="s">
        <v>3184</v>
      </c>
      <c r="D1429" s="78"/>
      <c r="E1429" s="1480">
        <v>3.95</v>
      </c>
    </row>
    <row r="1430" spans="1:5">
      <c r="A1430" s="75">
        <v>39022</v>
      </c>
      <c r="B1430" s="76" t="str">
        <f>TiposLancamentos!B18</f>
        <v>Alimentacao</v>
      </c>
      <c r="C1430" s="1314" t="s">
        <v>2771</v>
      </c>
      <c r="D1430" s="78"/>
      <c r="E1430" s="1480">
        <f>7.05-0.3</f>
        <v>6.75</v>
      </c>
    </row>
    <row r="1431" spans="1:5">
      <c r="A1431" s="75">
        <v>39024</v>
      </c>
      <c r="B1431" s="76" t="str">
        <f>TiposLancamentos!B16</f>
        <v>Cristiane</v>
      </c>
      <c r="C1431" s="1314" t="s">
        <v>2888</v>
      </c>
      <c r="D1431" s="78">
        <v>8</v>
      </c>
      <c r="E1431" s="1480"/>
    </row>
    <row r="1432" spans="1:5">
      <c r="A1432" s="75">
        <v>39024</v>
      </c>
      <c r="B1432" s="76" t="str">
        <f>TiposLancamentos!B20</f>
        <v>Saques</v>
      </c>
      <c r="C1432" s="1314" t="s">
        <v>3185</v>
      </c>
      <c r="D1432" s="78">
        <v>360</v>
      </c>
      <c r="E1432" s="1480"/>
    </row>
    <row r="1433" spans="1:5">
      <c r="A1433" s="75">
        <v>39024</v>
      </c>
      <c r="B1433" s="76" t="str">
        <f>TiposLancamentos!B57</f>
        <v>Informática</v>
      </c>
      <c r="C1433" s="1314" t="s">
        <v>3186</v>
      </c>
      <c r="D1433" s="78"/>
      <c r="E1433" s="1480">
        <v>348</v>
      </c>
    </row>
    <row r="1434" spans="1:5">
      <c r="A1434" s="75">
        <v>39024</v>
      </c>
      <c r="B1434" s="76" t="str">
        <f>TiposLancamentos!B18</f>
        <v>Alimentacao</v>
      </c>
      <c r="C1434" s="1314" t="s">
        <v>3187</v>
      </c>
      <c r="D1434" s="78"/>
      <c r="E1434" s="1480">
        <v>2</v>
      </c>
    </row>
    <row r="1435" spans="1:5">
      <c r="A1435" s="75">
        <v>39024</v>
      </c>
      <c r="B1435" s="76" t="str">
        <f>TiposLancamentos!B55</f>
        <v>Onibus Urbano</v>
      </c>
      <c r="C1435" s="1314" t="s">
        <v>3188</v>
      </c>
      <c r="D1435" s="78"/>
      <c r="E1435" s="1480">
        <f>4.8*2</f>
        <v>9.6</v>
      </c>
    </row>
    <row r="1436" spans="1:5">
      <c r="A1436" s="75">
        <v>39024</v>
      </c>
      <c r="B1436" s="76" t="str">
        <f>TiposLancamentos!B16</f>
        <v>Cristiane</v>
      </c>
      <c r="C1436" s="1314" t="s">
        <v>2888</v>
      </c>
      <c r="D1436" s="78">
        <v>6</v>
      </c>
      <c r="E1436" s="1480"/>
    </row>
    <row r="1437" spans="1:5">
      <c r="A1437" s="75">
        <v>39024</v>
      </c>
      <c r="B1437" s="76" t="str">
        <f>TiposLancamentos!B82</f>
        <v>CG Titan 125</v>
      </c>
      <c r="C1437" s="1314" t="s">
        <v>3189</v>
      </c>
      <c r="D1437" s="78"/>
      <c r="E1437" s="1480">
        <v>10</v>
      </c>
    </row>
    <row r="1438" spans="1:5">
      <c r="A1438" s="75">
        <v>39025</v>
      </c>
      <c r="B1438" s="76" t="str">
        <f>TiposLancamentos!B24</f>
        <v>Estacionamentos</v>
      </c>
      <c r="C1438" s="1314" t="s">
        <v>3190</v>
      </c>
      <c r="D1438" s="78"/>
      <c r="E1438" s="1480">
        <v>4</v>
      </c>
    </row>
    <row r="1439" spans="1:5">
      <c r="A1439" s="75">
        <v>39029</v>
      </c>
      <c r="B1439" s="76" t="str">
        <f>TiposLancamentos!B20</f>
        <v>Saques</v>
      </c>
      <c r="C1439" s="1314" t="s">
        <v>2655</v>
      </c>
      <c r="D1439" s="78">
        <v>20</v>
      </c>
      <c r="E1439" s="1480"/>
    </row>
    <row r="1440" spans="1:5">
      <c r="A1440" s="75">
        <v>39029</v>
      </c>
      <c r="B1440" s="76" t="str">
        <f>TiposLancamentos!B60</f>
        <v>Correio</v>
      </c>
      <c r="C1440" s="1314" t="s">
        <v>3191</v>
      </c>
      <c r="D1440" s="78"/>
      <c r="E1440" s="1480">
        <v>15</v>
      </c>
    </row>
    <row r="1441" spans="1:5">
      <c r="A1441" s="75">
        <v>39029</v>
      </c>
      <c r="B1441" s="76" t="str">
        <f>TiposLancamentos!B19</f>
        <v>Restaurantes</v>
      </c>
      <c r="C1441" s="1314" t="s">
        <v>3184</v>
      </c>
      <c r="D1441" s="78"/>
      <c r="E1441" s="1480">
        <v>3.95</v>
      </c>
    </row>
    <row r="1442" spans="1:5">
      <c r="A1442" s="75">
        <v>39027</v>
      </c>
      <c r="B1442" s="76" t="str">
        <f>TiposLancamentos!B18</f>
        <v>Alimentacao</v>
      </c>
      <c r="C1442" s="1314" t="s">
        <v>3192</v>
      </c>
      <c r="D1442" s="78"/>
      <c r="E1442" s="1480">
        <v>1.5</v>
      </c>
    </row>
    <row r="1443" spans="1:5">
      <c r="A1443" s="75">
        <v>39039</v>
      </c>
      <c r="B1443" s="76" t="str">
        <f>TiposLancamentos!B24</f>
        <v>Estacionamentos</v>
      </c>
      <c r="C1443" s="1314" t="s">
        <v>3193</v>
      </c>
      <c r="D1443" s="78"/>
      <c r="E1443" s="1480">
        <v>1.5</v>
      </c>
    </row>
    <row r="1444" spans="1:5">
      <c r="A1444" s="75">
        <v>39040</v>
      </c>
      <c r="B1444" s="76" t="str">
        <f>TiposLancamentos!B20</f>
        <v>Saques</v>
      </c>
      <c r="C1444" s="1314" t="s">
        <v>2655</v>
      </c>
      <c r="D1444" s="78">
        <v>30</v>
      </c>
      <c r="E1444" s="1480"/>
    </row>
    <row r="1445" spans="1:5">
      <c r="A1445" s="75">
        <v>39040</v>
      </c>
      <c r="B1445" s="76" t="str">
        <f>TiposLancamentos!B65</f>
        <v>Taxi</v>
      </c>
      <c r="C1445" s="1314" t="s">
        <v>3194</v>
      </c>
      <c r="D1445" s="78"/>
      <c r="E1445" s="1480">
        <v>10</v>
      </c>
    </row>
    <row r="1446" spans="1:5">
      <c r="A1446" s="75">
        <v>39041</v>
      </c>
      <c r="B1446" s="76" t="str">
        <f>TiposLancamentos!B5</f>
        <v>Supermercado</v>
      </c>
      <c r="C1446" s="1314" t="s">
        <v>3195</v>
      </c>
      <c r="D1446" s="78"/>
      <c r="E1446" s="1480">
        <v>4.9000000000000004</v>
      </c>
    </row>
    <row r="1447" spans="1:5">
      <c r="A1447" s="75">
        <v>39041</v>
      </c>
      <c r="B1447" s="76" t="str">
        <f>TiposLancamentos!B5</f>
        <v>Supermercado</v>
      </c>
      <c r="C1447" s="1314" t="s">
        <v>2854</v>
      </c>
      <c r="D1447" s="78"/>
      <c r="E1447" s="1480">
        <v>9.58</v>
      </c>
    </row>
    <row r="1448" spans="1:5">
      <c r="A1448" s="75">
        <v>39045</v>
      </c>
      <c r="B1448" s="76" t="str">
        <f>TiposLancamentos!B18</f>
        <v>Alimentacao</v>
      </c>
      <c r="C1448" s="1314" t="s">
        <v>3196</v>
      </c>
      <c r="D1448" s="78"/>
      <c r="E1448" s="1480">
        <v>3.5</v>
      </c>
    </row>
    <row r="1449" spans="1:5">
      <c r="A1449" s="75">
        <v>39047</v>
      </c>
      <c r="B1449" s="76" t="str">
        <f>TiposLancamentos!B16</f>
        <v>Cristiane</v>
      </c>
      <c r="C1449" s="1314" t="s">
        <v>2888</v>
      </c>
      <c r="D1449" s="78">
        <v>10</v>
      </c>
      <c r="E1449" s="1480"/>
    </row>
    <row r="1450" spans="1:5">
      <c r="A1450" s="75">
        <v>39047</v>
      </c>
      <c r="B1450" s="76" t="str">
        <f>TiposLancamentos!B24</f>
        <v>Estacionamentos</v>
      </c>
      <c r="C1450" s="1314" t="s">
        <v>3197</v>
      </c>
      <c r="D1450" s="78"/>
      <c r="E1450" s="1480">
        <v>10</v>
      </c>
    </row>
    <row r="1451" spans="1:5">
      <c r="A1451" s="75">
        <v>39047</v>
      </c>
      <c r="B1451" s="76" t="str">
        <f>TiposLancamentos!B20</f>
        <v>Saques</v>
      </c>
      <c r="C1451" s="1314" t="s">
        <v>2876</v>
      </c>
      <c r="D1451" s="78">
        <v>20</v>
      </c>
      <c r="E1451" s="1480"/>
    </row>
    <row r="1452" spans="1:5">
      <c r="A1452" s="75">
        <v>39047</v>
      </c>
      <c r="B1452" s="76" t="str">
        <f>TiposLancamentos!B18</f>
        <v>Alimentacao</v>
      </c>
      <c r="C1452" s="1314" t="s">
        <v>3198</v>
      </c>
      <c r="D1452" s="78"/>
      <c r="E1452" s="1480">
        <v>4.25</v>
      </c>
    </row>
    <row r="1453" spans="1:5">
      <c r="A1453" s="75">
        <v>38743</v>
      </c>
      <c r="B1453" s="76" t="str">
        <f>TiposLancamentos!B16</f>
        <v>Cristiane</v>
      </c>
      <c r="C1453" s="1314" t="s">
        <v>3199</v>
      </c>
      <c r="D1453" s="78"/>
      <c r="E1453" s="1480">
        <v>10</v>
      </c>
    </row>
    <row r="1454" spans="1:5">
      <c r="A1454" s="75">
        <v>39048</v>
      </c>
      <c r="B1454" s="76" t="str">
        <f>TiposLancamentos!B20</f>
        <v>Saques</v>
      </c>
      <c r="C1454" s="1314" t="s">
        <v>2876</v>
      </c>
      <c r="D1454" s="78">
        <v>20</v>
      </c>
      <c r="E1454" s="1480"/>
    </row>
    <row r="1455" spans="1:5">
      <c r="A1455" s="75">
        <v>39048</v>
      </c>
      <c r="B1455" s="76" t="str">
        <f>TiposLancamentos!B60</f>
        <v>Correio</v>
      </c>
      <c r="C1455" s="1314" t="s">
        <v>3200</v>
      </c>
      <c r="D1455" s="78"/>
      <c r="E1455" s="1480">
        <v>10.55</v>
      </c>
    </row>
    <row r="1456" spans="1:5">
      <c r="A1456" s="75">
        <v>39049</v>
      </c>
      <c r="B1456" s="76" t="str">
        <f>TiposLancamentos!B65</f>
        <v>Taxi</v>
      </c>
      <c r="C1456" s="1314" t="s">
        <v>3201</v>
      </c>
      <c r="D1456" s="78"/>
      <c r="E1456" s="1480">
        <v>11.8</v>
      </c>
    </row>
    <row r="1457" spans="1:5">
      <c r="A1457" s="75">
        <v>39050</v>
      </c>
      <c r="B1457" s="76" t="str">
        <f>TiposLancamentos!B20</f>
        <v>Saques</v>
      </c>
      <c r="C1457" s="1314" t="s">
        <v>2668</v>
      </c>
      <c r="D1457" s="82">
        <v>10</v>
      </c>
      <c r="E1457" s="1583"/>
    </row>
    <row r="1458" spans="1:5">
      <c r="A1458" s="83"/>
      <c r="B1458" s="37"/>
      <c r="C1458" s="1584" t="s">
        <v>3202</v>
      </c>
      <c r="D1458" s="78"/>
      <c r="E1458" s="1480"/>
    </row>
    <row r="1459" spans="1:5">
      <c r="A1459" s="75">
        <v>39052</v>
      </c>
      <c r="B1459" s="76" t="str">
        <f>TiposLancamentos!B18</f>
        <v>Alimentacao</v>
      </c>
      <c r="C1459" s="1314" t="s">
        <v>3203</v>
      </c>
      <c r="D1459" s="78"/>
      <c r="E1459" s="1480">
        <v>15</v>
      </c>
    </row>
    <row r="1460" spans="1:5">
      <c r="A1460" s="75">
        <v>39052</v>
      </c>
      <c r="B1460" s="76" t="str">
        <f>TiposLancamentos!B97</f>
        <v>Deposito Terc.</v>
      </c>
      <c r="C1460" s="1314" t="s">
        <v>3204</v>
      </c>
      <c r="D1460" s="78">
        <v>20</v>
      </c>
      <c r="E1460" s="1480"/>
    </row>
    <row r="1461" spans="1:5">
      <c r="A1461" s="75">
        <v>39052</v>
      </c>
      <c r="B1461" s="76" t="str">
        <f>TiposLancamentos!B18</f>
        <v>Alimentacao</v>
      </c>
      <c r="C1461" s="1314" t="s">
        <v>3205</v>
      </c>
      <c r="D1461" s="78"/>
      <c r="E1461" s="1480">
        <v>3</v>
      </c>
    </row>
    <row r="1462" spans="1:5">
      <c r="A1462" s="75">
        <v>39052</v>
      </c>
      <c r="B1462" s="76" t="str">
        <f>TiposLancamentos!B98</f>
        <v>Restituições</v>
      </c>
      <c r="C1462" s="1314" t="s">
        <v>3206</v>
      </c>
      <c r="D1462" s="78"/>
      <c r="E1462" s="1480">
        <v>3</v>
      </c>
    </row>
    <row r="1463" spans="1:5">
      <c r="A1463" s="75">
        <v>39052</v>
      </c>
      <c r="B1463" s="76" t="str">
        <f>TiposLancamentos!B16</f>
        <v>Cristiane</v>
      </c>
      <c r="C1463" s="1314" t="s">
        <v>2888</v>
      </c>
      <c r="D1463" s="78"/>
      <c r="E1463" s="1480">
        <v>12</v>
      </c>
    </row>
    <row r="1464" spans="1:5">
      <c r="A1464" s="75">
        <v>39053</v>
      </c>
      <c r="B1464" s="76" t="str">
        <f>TiposLancamentos!B16</f>
        <v>Cristiane</v>
      </c>
      <c r="C1464" s="1314" t="s">
        <v>3207</v>
      </c>
      <c r="D1464" s="78">
        <v>10</v>
      </c>
      <c r="E1464" s="1480"/>
    </row>
    <row r="1465" spans="1:5">
      <c r="A1465" s="75">
        <v>39053</v>
      </c>
      <c r="B1465" s="76" t="str">
        <f>TiposLancamentos!B36</f>
        <v>Playstation 2</v>
      </c>
      <c r="C1465" s="1314" t="s">
        <v>3208</v>
      </c>
      <c r="D1465" s="78"/>
      <c r="E1465" s="1480">
        <v>5</v>
      </c>
    </row>
    <row r="1466" spans="1:5">
      <c r="A1466" s="75">
        <v>39054</v>
      </c>
      <c r="B1466" s="76" t="str">
        <f>TiposLancamentos!B71</f>
        <v>Itens Pessoais</v>
      </c>
      <c r="C1466" s="1314" t="s">
        <v>3209</v>
      </c>
      <c r="D1466" s="78"/>
      <c r="E1466" s="1480">
        <v>5</v>
      </c>
    </row>
    <row r="1467" spans="1:5">
      <c r="A1467" s="75">
        <v>39055</v>
      </c>
      <c r="B1467" s="76" t="str">
        <f>TiposLancamentos!B18</f>
        <v>Alimentacao</v>
      </c>
      <c r="C1467" s="1314" t="s">
        <v>3210</v>
      </c>
      <c r="D1467" s="78"/>
      <c r="E1467" s="1480">
        <v>2</v>
      </c>
    </row>
    <row r="1468" spans="1:5">
      <c r="A1468" s="75">
        <v>39058</v>
      </c>
      <c r="B1468" s="76" t="str">
        <f>TiposLancamentos!B20</f>
        <v>Saques</v>
      </c>
      <c r="C1468" s="1314"/>
      <c r="D1468" s="78">
        <v>10</v>
      </c>
      <c r="E1468" s="1480"/>
    </row>
    <row r="1469" spans="1:5">
      <c r="A1469" s="75">
        <v>39058</v>
      </c>
      <c r="B1469" s="76" t="str">
        <f>TiposLancamentos!B18</f>
        <v>Alimentacao</v>
      </c>
      <c r="C1469" s="1314"/>
      <c r="D1469" s="78"/>
      <c r="E1469" s="1480">
        <v>3.5</v>
      </c>
    </row>
    <row r="1470" spans="1:5">
      <c r="A1470" s="75">
        <v>39059</v>
      </c>
      <c r="B1470" s="76" t="str">
        <f>TiposLancamentos!B18</f>
        <v>Alimentacao</v>
      </c>
      <c r="C1470" s="1314" t="s">
        <v>3184</v>
      </c>
      <c r="D1470" s="78"/>
      <c r="E1470" s="1480">
        <v>3.95</v>
      </c>
    </row>
    <row r="1471" spans="1:5">
      <c r="A1471" s="75">
        <v>39060</v>
      </c>
      <c r="B1471" s="76" t="str">
        <f>TiposLancamentos!B18</f>
        <v>Alimentacao</v>
      </c>
      <c r="C1471" s="1314" t="s">
        <v>3211</v>
      </c>
      <c r="D1471" s="78"/>
      <c r="E1471" s="1480">
        <v>2.5499999999999998</v>
      </c>
    </row>
    <row r="1472" spans="1:5">
      <c r="A1472" s="75">
        <v>39064</v>
      </c>
      <c r="B1472" s="76" t="str">
        <f>TiposLancamentos!B20</f>
        <v>Saques</v>
      </c>
      <c r="C1472" s="1314" t="s">
        <v>2668</v>
      </c>
      <c r="D1472" s="78">
        <v>10</v>
      </c>
      <c r="E1472" s="1480"/>
    </row>
    <row r="1473" spans="1:5">
      <c r="A1473" s="75">
        <v>39064</v>
      </c>
      <c r="B1473" s="76" t="str">
        <f>TiposLancamentos!B18</f>
        <v>Alimentacao</v>
      </c>
      <c r="C1473" s="1314" t="s">
        <v>3210</v>
      </c>
      <c r="D1473" s="78"/>
      <c r="E1473" s="1480">
        <v>4</v>
      </c>
    </row>
    <row r="1474" spans="1:5">
      <c r="A1474" s="75">
        <v>39065</v>
      </c>
      <c r="B1474" s="76" t="str">
        <f>TiposLancamentos!B18</f>
        <v>Alimentacao</v>
      </c>
      <c r="C1474" s="1314" t="s">
        <v>3210</v>
      </c>
      <c r="D1474" s="78"/>
      <c r="E1474" s="1480">
        <v>4</v>
      </c>
    </row>
    <row r="1475" spans="1:5">
      <c r="A1475" s="75">
        <v>39067</v>
      </c>
      <c r="B1475" s="76" t="str">
        <f>TiposLancamentos!B78</f>
        <v>Diferenças</v>
      </c>
      <c r="C1475" s="1314" t="s">
        <v>2488</v>
      </c>
      <c r="D1475" s="78">
        <v>3.6379788070917097E-11</v>
      </c>
      <c r="E1475" s="1480"/>
    </row>
    <row r="1476" spans="1:5">
      <c r="A1476" s="75">
        <v>39067</v>
      </c>
      <c r="B1476" s="76" t="str">
        <f>TiposLancamentos!B20</f>
        <v>Saques</v>
      </c>
      <c r="C1476" s="1314" t="s">
        <v>2668</v>
      </c>
      <c r="D1476" s="78">
        <v>40</v>
      </c>
      <c r="E1476" s="1480"/>
    </row>
    <row r="1477" spans="1:5">
      <c r="A1477" s="75">
        <v>39067</v>
      </c>
      <c r="B1477" s="76" t="str">
        <f>TiposLancamentos!B84</f>
        <v>Cbx Twister 250</v>
      </c>
      <c r="C1477" s="1314" t="s">
        <v>3212</v>
      </c>
      <c r="D1477" s="78"/>
      <c r="E1477" s="1480">
        <v>40</v>
      </c>
    </row>
    <row r="1478" spans="1:5">
      <c r="A1478" s="75">
        <v>39070</v>
      </c>
      <c r="B1478" s="76" t="str">
        <f>TiposLancamentos!B20</f>
        <v>Saques</v>
      </c>
      <c r="C1478" s="1314" t="s">
        <v>3213</v>
      </c>
      <c r="D1478" s="78">
        <v>10</v>
      </c>
      <c r="E1478" s="1480"/>
    </row>
    <row r="1479" spans="1:5">
      <c r="A1479" s="75">
        <v>39070</v>
      </c>
      <c r="B1479" s="76" t="str">
        <f>TiposLancamentos!B18</f>
        <v>Alimentacao</v>
      </c>
      <c r="C1479" s="1314" t="s">
        <v>3214</v>
      </c>
      <c r="D1479" s="78"/>
      <c r="E1479" s="1480">
        <v>3.95</v>
      </c>
    </row>
    <row r="1480" spans="1:5">
      <c r="A1480" s="75">
        <v>39070</v>
      </c>
      <c r="B1480" s="76" t="str">
        <f>TiposLancamentos!B18</f>
        <v>Alimentacao</v>
      </c>
      <c r="C1480" s="1314" t="s">
        <v>3187</v>
      </c>
      <c r="D1480" s="78"/>
      <c r="E1480" s="1480">
        <v>1.5</v>
      </c>
    </row>
    <row r="1481" spans="1:5">
      <c r="A1481" s="75">
        <v>39071</v>
      </c>
      <c r="B1481" s="76" t="str">
        <f>TiposLancamentos!B98</f>
        <v>Restituições</v>
      </c>
      <c r="C1481" s="1314" t="s">
        <v>3215</v>
      </c>
      <c r="D1481" s="78"/>
      <c r="E1481" s="1480">
        <v>2.5</v>
      </c>
    </row>
    <row r="1482" spans="1:5">
      <c r="A1482" s="75">
        <v>39072</v>
      </c>
      <c r="B1482" s="76" t="str">
        <f>TiposLancamentos!B20</f>
        <v>Saques</v>
      </c>
      <c r="C1482" s="1314" t="s">
        <v>2888</v>
      </c>
      <c r="D1482" s="78">
        <v>365</v>
      </c>
      <c r="E1482" s="1480"/>
    </row>
    <row r="1483" spans="1:5">
      <c r="A1483" s="75">
        <v>39072</v>
      </c>
      <c r="B1483" s="76" t="str">
        <f>TiposLancamentos!B18</f>
        <v>Alimentacao</v>
      </c>
      <c r="C1483" s="1314" t="s">
        <v>3184</v>
      </c>
      <c r="D1483" s="78"/>
      <c r="E1483" s="1480">
        <v>3.95</v>
      </c>
    </row>
    <row r="1484" spans="1:5">
      <c r="A1484" s="75">
        <v>39072</v>
      </c>
      <c r="B1484" s="76" t="str">
        <f>TiposLancamentos!B16</f>
        <v>Cristiane</v>
      </c>
      <c r="C1484" s="1314" t="s">
        <v>3216</v>
      </c>
      <c r="D1484" s="78"/>
      <c r="E1484" s="1480">
        <v>365</v>
      </c>
    </row>
    <row r="1485" spans="1:5">
      <c r="A1485" s="75">
        <v>39078</v>
      </c>
      <c r="B1485" s="76" t="str">
        <f>TiposLancamentos!B20</f>
        <v>Saques</v>
      </c>
      <c r="C1485" s="1314" t="s">
        <v>2668</v>
      </c>
      <c r="D1485" s="78">
        <v>20</v>
      </c>
      <c r="E1485" s="1480"/>
    </row>
    <row r="1486" spans="1:5">
      <c r="A1486" s="75">
        <v>39078</v>
      </c>
      <c r="B1486" s="76" t="str">
        <f>TiposLancamentos!B60</f>
        <v>Correio</v>
      </c>
      <c r="C1486" s="1314" t="s">
        <v>3217</v>
      </c>
      <c r="D1486" s="78"/>
      <c r="E1486" s="1480">
        <v>13.75</v>
      </c>
    </row>
    <row r="1487" spans="1:5">
      <c r="A1487" s="75">
        <v>39078</v>
      </c>
      <c r="B1487" s="76" t="str">
        <f>TiposLancamentos!B16</f>
        <v>Cristiane</v>
      </c>
      <c r="C1487" s="1314" t="s">
        <v>2891</v>
      </c>
      <c r="D1487" s="78">
        <v>10</v>
      </c>
      <c r="E1487" s="1480"/>
    </row>
    <row r="1488" spans="1:5">
      <c r="A1488" s="75">
        <v>39078</v>
      </c>
      <c r="B1488" s="76" t="str">
        <f>TiposLancamentos!B65</f>
        <v>Taxi</v>
      </c>
      <c r="C1488" s="1314" t="s">
        <v>3218</v>
      </c>
      <c r="D1488" s="78"/>
      <c r="E1488" s="1480">
        <v>10</v>
      </c>
    </row>
    <row r="1489" spans="1:5">
      <c r="A1489" s="75">
        <v>39078</v>
      </c>
      <c r="B1489" s="76" t="str">
        <f>TiposLancamentos!B16</f>
        <v>Cristiane</v>
      </c>
      <c r="C1489" s="1314" t="s">
        <v>3219</v>
      </c>
      <c r="D1489" s="78">
        <v>30</v>
      </c>
      <c r="E1489" s="1480"/>
    </row>
    <row r="1490" spans="1:5">
      <c r="A1490" s="75">
        <v>39078</v>
      </c>
      <c r="B1490" s="76" t="str">
        <f>TiposLancamentos!B22</f>
        <v>Combustivel</v>
      </c>
      <c r="C1490" s="1314" t="s">
        <v>3220</v>
      </c>
      <c r="D1490" s="78"/>
      <c r="E1490" s="1480">
        <v>30</v>
      </c>
    </row>
    <row r="1491" spans="1:5">
      <c r="A1491" s="75">
        <v>39078</v>
      </c>
      <c r="B1491" s="76" t="str">
        <f>TiposLancamentos!B24</f>
        <v>Estacionamentos</v>
      </c>
      <c r="C1491" s="1314" t="s">
        <v>3221</v>
      </c>
      <c r="D1491" s="78"/>
      <c r="E1491" s="1480">
        <v>3</v>
      </c>
    </row>
    <row r="1492" spans="1:5">
      <c r="A1492" s="75">
        <v>39078</v>
      </c>
      <c r="B1492" s="76" t="str">
        <f>TiposLancamentos!B97</f>
        <v>Deposito Terc.</v>
      </c>
      <c r="C1492" s="1314" t="s">
        <v>3222</v>
      </c>
      <c r="D1492" s="78">
        <v>80</v>
      </c>
      <c r="E1492" s="1480"/>
    </row>
    <row r="1493" spans="1:5">
      <c r="A1493" s="75">
        <v>39079</v>
      </c>
      <c r="B1493" s="76" t="str">
        <f>TiposLancamentos!B18</f>
        <v>Alimentacao</v>
      </c>
      <c r="C1493" s="1314" t="s">
        <v>3223</v>
      </c>
      <c r="D1493" s="78"/>
      <c r="E1493" s="1480">
        <v>4.5</v>
      </c>
    </row>
    <row r="1494" spans="1:5">
      <c r="A1494" s="75">
        <v>39079</v>
      </c>
      <c r="B1494" s="76" t="str">
        <f>TiposLancamentos!B18</f>
        <v>Alimentacao</v>
      </c>
      <c r="C1494" s="1314" t="s">
        <v>2925</v>
      </c>
      <c r="D1494" s="78"/>
      <c r="E1494" s="1480">
        <v>2.6</v>
      </c>
    </row>
    <row r="1495" spans="1:5">
      <c r="A1495" s="75">
        <v>39079</v>
      </c>
      <c r="B1495" s="76" t="str">
        <f>TiposLancamentos!B90</f>
        <v>Locadora</v>
      </c>
      <c r="C1495" s="1314" t="s">
        <v>3224</v>
      </c>
      <c r="D1495" s="78"/>
      <c r="E1495" s="1480">
        <v>27</v>
      </c>
    </row>
    <row r="1496" spans="1:5">
      <c r="A1496" s="75">
        <v>39079</v>
      </c>
      <c r="B1496" s="76" t="str">
        <f>TiposLancamentos!B19</f>
        <v>Restaurantes</v>
      </c>
      <c r="C1496" s="1314" t="s">
        <v>3225</v>
      </c>
      <c r="D1496" s="78"/>
      <c r="E1496" s="1480">
        <v>15.5</v>
      </c>
    </row>
    <row r="1497" spans="1:5">
      <c r="A1497" s="75">
        <v>39079</v>
      </c>
      <c r="B1497" s="76" t="str">
        <f>TiposLancamentos!B16</f>
        <v>Cristiane</v>
      </c>
      <c r="C1497" s="1314" t="s">
        <v>3022</v>
      </c>
      <c r="D1497" s="78"/>
      <c r="E1497" s="1480">
        <v>2</v>
      </c>
    </row>
    <row r="1498" spans="1:5">
      <c r="A1498" s="75">
        <v>39080</v>
      </c>
      <c r="B1498" s="76" t="str">
        <f>TiposLancamentos!B24</f>
        <v>Estacionamentos</v>
      </c>
      <c r="C1498" s="1314" t="s">
        <v>3226</v>
      </c>
      <c r="D1498" s="78"/>
      <c r="E1498" s="1480">
        <v>3</v>
      </c>
    </row>
    <row r="1499" spans="1:5">
      <c r="A1499" s="75">
        <v>39081</v>
      </c>
      <c r="B1499" s="76" t="str">
        <f>TiposLancamentos!B18</f>
        <v>Alimentacao</v>
      </c>
      <c r="C1499" s="1314" t="s">
        <v>3227</v>
      </c>
      <c r="D1499" s="78"/>
      <c r="E1499" s="1480">
        <v>9.5</v>
      </c>
    </row>
    <row r="1500" spans="1:5">
      <c r="A1500" s="75">
        <v>39081</v>
      </c>
      <c r="B1500" s="76" t="str">
        <f>TiposLancamentos!B57</f>
        <v>Informática</v>
      </c>
      <c r="C1500" s="1314" t="s">
        <v>3228</v>
      </c>
      <c r="D1500" s="82"/>
      <c r="E1500" s="1583">
        <v>10</v>
      </c>
    </row>
    <row r="1501" spans="1:5">
      <c r="A1501" s="83"/>
      <c r="B1501" s="37"/>
      <c r="C1501" s="1584" t="s">
        <v>3229</v>
      </c>
      <c r="D1501" s="78"/>
      <c r="E1501" s="1480"/>
    </row>
    <row r="1502" spans="1:5">
      <c r="A1502" s="75">
        <v>39084</v>
      </c>
      <c r="B1502" s="76" t="str">
        <f>TiposLancamentos!B18</f>
        <v>Alimentacao</v>
      </c>
      <c r="C1502" s="1314" t="s">
        <v>3210</v>
      </c>
      <c r="D1502" s="78"/>
      <c r="E1502" s="1480">
        <v>2.8</v>
      </c>
    </row>
    <row r="1503" spans="1:5">
      <c r="A1503" s="75">
        <v>39084</v>
      </c>
      <c r="B1503" s="76" t="str">
        <f>TiposLancamentos!B18</f>
        <v>Alimentacao</v>
      </c>
      <c r="C1503" s="1314" t="s">
        <v>3210</v>
      </c>
      <c r="D1503" s="78"/>
      <c r="E1503" s="1480">
        <v>5.6</v>
      </c>
    </row>
    <row r="1504" spans="1:5">
      <c r="A1504" s="75">
        <v>39090</v>
      </c>
      <c r="B1504" s="76" t="str">
        <f>TiposLancamentos!B20</f>
        <v>Saques</v>
      </c>
      <c r="C1504" s="1314" t="s">
        <v>1706</v>
      </c>
      <c r="D1504" s="78">
        <v>10</v>
      </c>
      <c r="E1504" s="1480"/>
    </row>
    <row r="1505" spans="1:5">
      <c r="A1505" s="75">
        <v>39090</v>
      </c>
      <c r="B1505" s="76" t="str">
        <f>TiposLancamentos!B18</f>
        <v>Alimentacao</v>
      </c>
      <c r="C1505" s="1314" t="s">
        <v>3099</v>
      </c>
      <c r="D1505" s="78"/>
      <c r="E1505" s="1480">
        <v>3.95</v>
      </c>
    </row>
    <row r="1506" spans="1:5">
      <c r="A1506" s="75">
        <v>39090</v>
      </c>
      <c r="B1506" s="76" t="str">
        <f>TiposLancamentos!B24</f>
        <v>Estacionamentos</v>
      </c>
      <c r="C1506" s="1314" t="s">
        <v>3230</v>
      </c>
      <c r="D1506" s="78"/>
      <c r="E1506" s="1480">
        <v>1</v>
      </c>
    </row>
    <row r="1507" spans="1:5">
      <c r="A1507" s="75">
        <v>39091</v>
      </c>
      <c r="B1507" s="76" t="str">
        <f>TiposLancamentos!B18</f>
        <v>Alimentacao</v>
      </c>
      <c r="C1507" s="1314" t="s">
        <v>3231</v>
      </c>
      <c r="D1507" s="78"/>
      <c r="E1507" s="1480">
        <v>2.5</v>
      </c>
    </row>
    <row r="1508" spans="1:5">
      <c r="A1508" s="75">
        <v>39092</v>
      </c>
      <c r="B1508" s="76" t="str">
        <f>TiposLancamentos!B18</f>
        <v>Alimentacao</v>
      </c>
      <c r="C1508" s="1314" t="s">
        <v>3232</v>
      </c>
      <c r="D1508" s="78"/>
      <c r="E1508" s="1480">
        <v>3.4</v>
      </c>
    </row>
    <row r="1509" spans="1:5">
      <c r="A1509" s="75">
        <v>39092</v>
      </c>
      <c r="B1509" s="76" t="str">
        <f>TiposLancamentos!B20</f>
        <v>Saques</v>
      </c>
      <c r="C1509" s="1314" t="s">
        <v>2668</v>
      </c>
      <c r="D1509" s="78">
        <v>90</v>
      </c>
      <c r="E1509" s="1480"/>
    </row>
    <row r="1510" spans="1:5">
      <c r="A1510" s="75">
        <v>39092</v>
      </c>
      <c r="B1510" s="76" t="str">
        <f>TiposLancamentos!B18</f>
        <v>Alimentacao</v>
      </c>
      <c r="C1510" s="1314" t="s">
        <v>3210</v>
      </c>
      <c r="D1510" s="78"/>
      <c r="E1510" s="1480">
        <v>5.5</v>
      </c>
    </row>
    <row r="1511" spans="1:5">
      <c r="A1511" s="75">
        <v>39092</v>
      </c>
      <c r="B1511" s="76" t="str">
        <f>TiposLancamentos!B16</f>
        <v>Cristiane</v>
      </c>
      <c r="C1511" s="1314" t="s">
        <v>3233</v>
      </c>
      <c r="D1511" s="78"/>
      <c r="E1511" s="1480">
        <v>80</v>
      </c>
    </row>
    <row r="1512" spans="1:5">
      <c r="A1512" s="75">
        <v>39093</v>
      </c>
      <c r="B1512" s="76" t="str">
        <f>TiposLancamentos!B18</f>
        <v>Alimentacao</v>
      </c>
      <c r="C1512" s="1314" t="s">
        <v>3234</v>
      </c>
      <c r="D1512" s="78"/>
      <c r="E1512" s="1480">
        <v>3.6</v>
      </c>
    </row>
    <row r="1513" spans="1:5">
      <c r="A1513" s="75">
        <v>39095</v>
      </c>
      <c r="B1513" s="76" t="str">
        <f>TiposLancamentos!B20</f>
        <v>Saques</v>
      </c>
      <c r="C1513" s="1314" t="s">
        <v>2668</v>
      </c>
      <c r="D1513" s="78">
        <v>20</v>
      </c>
      <c r="E1513" s="1480"/>
    </row>
    <row r="1514" spans="1:5">
      <c r="A1514" s="75">
        <v>39095</v>
      </c>
      <c r="B1514" s="76" t="str">
        <f>TiposLancamentos!B82</f>
        <v>CG Titan 125</v>
      </c>
      <c r="C1514" s="1314" t="s">
        <v>3235</v>
      </c>
      <c r="D1514" s="78"/>
      <c r="E1514" s="1480">
        <v>15</v>
      </c>
    </row>
    <row r="1515" spans="1:5">
      <c r="A1515" s="75">
        <v>39095</v>
      </c>
      <c r="B1515" s="76" t="str">
        <f>TiposLancamentos!B18</f>
        <v>Alimentacao</v>
      </c>
      <c r="C1515" s="1314" t="s">
        <v>3236</v>
      </c>
      <c r="D1515" s="78"/>
      <c r="E1515" s="1480">
        <f>2+2</f>
        <v>4</v>
      </c>
    </row>
    <row r="1516" spans="1:5">
      <c r="A1516" s="75">
        <v>39097</v>
      </c>
      <c r="B1516" s="76" t="str">
        <f>TiposLancamentos!B18</f>
        <v>Alimentacao</v>
      </c>
      <c r="C1516" s="1314" t="s">
        <v>3237</v>
      </c>
      <c r="D1516" s="78"/>
      <c r="E1516" s="1480">
        <v>1.6</v>
      </c>
    </row>
    <row r="1517" spans="1:5">
      <c r="A1517" s="75">
        <v>39098</v>
      </c>
      <c r="B1517" s="76" t="str">
        <f>TiposLancamentos!B20</f>
        <v>Saques</v>
      </c>
      <c r="C1517" s="1314" t="s">
        <v>2668</v>
      </c>
      <c r="D1517" s="78">
        <v>10</v>
      </c>
      <c r="E1517" s="1480"/>
    </row>
    <row r="1518" spans="1:5">
      <c r="A1518" s="75">
        <v>39098</v>
      </c>
      <c r="B1518" s="76" t="str">
        <f>TiposLancamentos!B18</f>
        <v>Alimentacao</v>
      </c>
      <c r="C1518" s="1314" t="s">
        <v>3238</v>
      </c>
      <c r="D1518" s="78"/>
      <c r="E1518" s="1480">
        <v>3.3</v>
      </c>
    </row>
    <row r="1519" spans="1:5">
      <c r="A1519" s="75">
        <v>39099</v>
      </c>
      <c r="B1519" s="76" t="str">
        <f>TiposLancamentos!B18</f>
        <v>Alimentacao</v>
      </c>
      <c r="C1519" s="1314" t="s">
        <v>3210</v>
      </c>
      <c r="D1519" s="78"/>
      <c r="E1519" s="1480">
        <v>7</v>
      </c>
    </row>
    <row r="1520" spans="1:5">
      <c r="A1520" s="75">
        <v>39101</v>
      </c>
      <c r="B1520" s="76" t="str">
        <f>TiposLancamentos!B20</f>
        <v>Saques</v>
      </c>
      <c r="C1520" s="1314" t="s">
        <v>2668</v>
      </c>
      <c r="D1520" s="78">
        <v>10</v>
      </c>
      <c r="E1520" s="1480"/>
    </row>
    <row r="1521" spans="1:5">
      <c r="A1521" s="75">
        <v>39101</v>
      </c>
      <c r="B1521" s="76" t="str">
        <f>TiposLancamentos!B24</f>
        <v>Estacionamentos</v>
      </c>
      <c r="C1521" s="1314" t="s">
        <v>3239</v>
      </c>
      <c r="D1521" s="78"/>
      <c r="E1521" s="1480">
        <v>2</v>
      </c>
    </row>
    <row r="1522" spans="1:5">
      <c r="A1522" s="75">
        <v>39101</v>
      </c>
      <c r="B1522" s="76" t="str">
        <f>TiposLancamentos!B18</f>
        <v>Alimentacao</v>
      </c>
      <c r="C1522" s="1314" t="s">
        <v>3238</v>
      </c>
      <c r="D1522" s="78"/>
      <c r="E1522" s="1480">
        <v>3</v>
      </c>
    </row>
    <row r="1523" spans="1:5">
      <c r="A1523" s="75">
        <v>39107</v>
      </c>
      <c r="B1523" s="76" t="str">
        <f>TiposLancamentos!B20</f>
        <v>Saques</v>
      </c>
      <c r="C1523" s="1314" t="s">
        <v>2668</v>
      </c>
      <c r="D1523" s="78">
        <v>50</v>
      </c>
      <c r="E1523" s="1480"/>
    </row>
    <row r="1524" spans="1:5">
      <c r="A1524" s="75">
        <v>39107</v>
      </c>
      <c r="B1524" s="76" t="str">
        <f>TiposLancamentos!B60</f>
        <v>Correio</v>
      </c>
      <c r="C1524" s="1314" t="s">
        <v>3240</v>
      </c>
      <c r="D1524" s="78"/>
      <c r="E1524" s="1480">
        <v>42.8</v>
      </c>
    </row>
    <row r="1525" spans="1:5">
      <c r="A1525" s="75">
        <v>39107</v>
      </c>
      <c r="B1525" s="76" t="str">
        <f>TiposLancamentos!B24</f>
        <v>Estacionamentos</v>
      </c>
      <c r="C1525" s="1314" t="s">
        <v>3241</v>
      </c>
      <c r="D1525" s="78"/>
      <c r="E1525" s="1480">
        <v>4</v>
      </c>
    </row>
    <row r="1526" spans="1:5">
      <c r="A1526" s="75">
        <v>39107</v>
      </c>
      <c r="B1526" s="76" t="str">
        <f>TiposLancamentos!B18</f>
        <v>Alimentacao</v>
      </c>
      <c r="C1526" s="1314" t="s">
        <v>3210</v>
      </c>
      <c r="D1526" s="78"/>
      <c r="E1526" s="1480">
        <v>6.4</v>
      </c>
    </row>
    <row r="1527" spans="1:5">
      <c r="A1527" s="75">
        <v>39108</v>
      </c>
      <c r="B1527" s="76" t="str">
        <f>TiposLancamentos!B18</f>
        <v>Alimentacao</v>
      </c>
      <c r="C1527" s="1314" t="s">
        <v>3242</v>
      </c>
      <c r="D1527" s="78"/>
      <c r="E1527" s="1480">
        <v>1.8</v>
      </c>
    </row>
    <row r="1528" spans="1:5">
      <c r="A1528" s="75">
        <v>39111</v>
      </c>
      <c r="B1528" s="76" t="str">
        <f>TiposLancamentos!B20</f>
        <v>Saques</v>
      </c>
      <c r="C1528" s="1314" t="s">
        <v>2668</v>
      </c>
      <c r="D1528" s="78">
        <v>20</v>
      </c>
      <c r="E1528" s="1480"/>
    </row>
    <row r="1529" spans="1:5">
      <c r="A1529" s="75">
        <v>39111</v>
      </c>
      <c r="B1529" s="76" t="str">
        <f>TiposLancamentos!B18</f>
        <v>Alimentacao</v>
      </c>
      <c r="C1529" s="1314" t="s">
        <v>3210</v>
      </c>
      <c r="D1529" s="78"/>
      <c r="E1529" s="1480">
        <v>5.6</v>
      </c>
    </row>
    <row r="1530" spans="1:5">
      <c r="A1530" s="75">
        <v>39112</v>
      </c>
      <c r="B1530" s="76" t="str">
        <f>TiposLancamentos!B16</f>
        <v>Cristiane</v>
      </c>
      <c r="C1530" s="1314" t="s">
        <v>2801</v>
      </c>
      <c r="D1530" s="78"/>
      <c r="E1530" s="1480">
        <v>14.4</v>
      </c>
    </row>
    <row r="1531" spans="1:5">
      <c r="A1531" s="75">
        <v>39113</v>
      </c>
      <c r="B1531" s="76" t="str">
        <f>TiposLancamentos!B20</f>
        <v>Saques</v>
      </c>
      <c r="C1531" s="1314" t="s">
        <v>2655</v>
      </c>
      <c r="D1531" s="78">
        <v>10</v>
      </c>
      <c r="E1531" s="1480"/>
    </row>
    <row r="1532" spans="1:5">
      <c r="A1532" s="75">
        <v>39113</v>
      </c>
      <c r="B1532" s="76" t="str">
        <f>TiposLancamentos!B24</f>
        <v>Estacionamentos</v>
      </c>
      <c r="C1532" s="1314" t="s">
        <v>3239</v>
      </c>
      <c r="D1532" s="78"/>
      <c r="E1532" s="1480">
        <v>4</v>
      </c>
    </row>
    <row r="1533" spans="1:5">
      <c r="A1533" s="75">
        <v>39113</v>
      </c>
      <c r="B1533" s="76" t="str">
        <f>TiposLancamentos!B18</f>
        <v>Alimentacao</v>
      </c>
      <c r="C1533" s="1314" t="s">
        <v>3243</v>
      </c>
      <c r="D1533" s="78"/>
      <c r="E1533" s="1480">
        <v>6</v>
      </c>
    </row>
    <row r="1534" spans="1:5">
      <c r="A1534" s="83"/>
      <c r="B1534" s="37"/>
      <c r="C1534" s="1584" t="s">
        <v>3244</v>
      </c>
      <c r="D1534" s="74"/>
      <c r="E1534" s="1585"/>
    </row>
    <row r="1535" spans="1:5">
      <c r="A1535" s="75">
        <v>39121</v>
      </c>
      <c r="B1535" s="76" t="str">
        <f>TiposLancamentos!B20</f>
        <v>Saques</v>
      </c>
      <c r="C1535" s="1314" t="s">
        <v>2668</v>
      </c>
      <c r="D1535" s="78">
        <v>10</v>
      </c>
      <c r="E1535" s="1480"/>
    </row>
    <row r="1536" spans="1:5">
      <c r="A1536" s="75">
        <v>39121</v>
      </c>
      <c r="B1536" s="76" t="str">
        <f>TiposLancamentos!B18</f>
        <v>Alimentacao</v>
      </c>
      <c r="C1536" s="1314" t="s">
        <v>3245</v>
      </c>
      <c r="D1536" s="78"/>
      <c r="E1536" s="1480">
        <v>2</v>
      </c>
    </row>
    <row r="1537" spans="1:5">
      <c r="A1537" s="75">
        <v>39121</v>
      </c>
      <c r="B1537" s="76" t="str">
        <f>TiposLancamentos!B18</f>
        <v>Alimentacao</v>
      </c>
      <c r="C1537" s="1314" t="s">
        <v>3246</v>
      </c>
      <c r="D1537" s="78"/>
      <c r="E1537" s="1480">
        <v>1.6</v>
      </c>
    </row>
    <row r="1538" spans="1:5">
      <c r="A1538" s="75">
        <v>39123</v>
      </c>
      <c r="B1538" s="76" t="str">
        <f>TiposLancamentos!B77</f>
        <v>Esporádico</v>
      </c>
      <c r="C1538" s="1314" t="s">
        <v>3247</v>
      </c>
      <c r="D1538" s="78"/>
      <c r="E1538" s="1480">
        <v>1.4</v>
      </c>
    </row>
    <row r="1539" spans="1:5">
      <c r="A1539" s="75">
        <v>39125</v>
      </c>
      <c r="B1539" s="76" t="str">
        <f>TiposLancamentos!B20</f>
        <v>Saques</v>
      </c>
      <c r="C1539" s="1314" t="s">
        <v>2668</v>
      </c>
      <c r="D1539" s="78">
        <v>10</v>
      </c>
      <c r="E1539" s="1480"/>
    </row>
    <row r="1540" spans="1:5">
      <c r="A1540" s="75">
        <v>39125</v>
      </c>
      <c r="B1540" s="76" t="str">
        <f>TiposLancamentos!B85</f>
        <v>Peugeout 206</v>
      </c>
      <c r="C1540" s="1314" t="s">
        <v>3248</v>
      </c>
      <c r="D1540" s="78"/>
      <c r="E1540" s="1480">
        <v>15</v>
      </c>
    </row>
    <row r="1541" spans="1:5">
      <c r="A1541" s="75">
        <v>39127</v>
      </c>
      <c r="B1541" s="76" t="str">
        <f>TiposLancamentos!B16</f>
        <v>Cristiane</v>
      </c>
      <c r="C1541" s="1314" t="s">
        <v>2888</v>
      </c>
      <c r="D1541" s="78">
        <v>5.0999999999999996</v>
      </c>
      <c r="E1541" s="1480"/>
    </row>
    <row r="1542" spans="1:5">
      <c r="A1542" s="75">
        <v>39127</v>
      </c>
      <c r="B1542" s="76" t="str">
        <f>TiposLancamentos!B18</f>
        <v>Alimentacao</v>
      </c>
      <c r="C1542" s="1314" t="s">
        <v>3210</v>
      </c>
      <c r="D1542" s="78"/>
      <c r="E1542" s="1480">
        <v>4.5999999999999996</v>
      </c>
    </row>
    <row r="1543" spans="1:5">
      <c r="A1543" s="75">
        <v>39127</v>
      </c>
      <c r="B1543" s="76" t="str">
        <f>TiposLancamentos!B20</f>
        <v>Saques</v>
      </c>
      <c r="C1543" s="1314" t="s">
        <v>2668</v>
      </c>
      <c r="D1543" s="78">
        <v>10</v>
      </c>
      <c r="E1543" s="1480"/>
    </row>
    <row r="1544" spans="1:5">
      <c r="A1544" s="75">
        <v>39128</v>
      </c>
      <c r="B1544" s="76" t="str">
        <f>TiposLancamentos!B55</f>
        <v>Onibus Urbano</v>
      </c>
      <c r="C1544" s="1314" t="s">
        <v>3249</v>
      </c>
      <c r="D1544" s="78"/>
      <c r="E1544" s="1480">
        <v>2.1</v>
      </c>
    </row>
    <row r="1545" spans="1:5">
      <c r="A1545" s="75">
        <v>39128</v>
      </c>
      <c r="B1545" s="76" t="str">
        <f>TiposLancamentos!B18</f>
        <v>Alimentacao</v>
      </c>
      <c r="C1545" s="1314" t="s">
        <v>3250</v>
      </c>
      <c r="D1545" s="78"/>
      <c r="E1545" s="1480">
        <v>4</v>
      </c>
    </row>
    <row r="1546" spans="1:5">
      <c r="A1546" s="75">
        <v>39129</v>
      </c>
      <c r="B1546" s="76" t="str">
        <f>TiposLancamentos!B24</f>
        <v>Estacionamentos</v>
      </c>
      <c r="C1546" s="1314" t="s">
        <v>3251</v>
      </c>
      <c r="D1546" s="78"/>
      <c r="E1546" s="1480">
        <v>2</v>
      </c>
    </row>
    <row r="1547" spans="1:5">
      <c r="A1547" s="75">
        <v>39129</v>
      </c>
      <c r="B1547" s="76" t="str">
        <f>TiposLancamentos!B18</f>
        <v>Alimentacao</v>
      </c>
      <c r="C1547" s="1314" t="s">
        <v>3252</v>
      </c>
      <c r="D1547" s="78"/>
      <c r="E1547" s="1480">
        <v>1.6</v>
      </c>
    </row>
    <row r="1548" spans="1:5">
      <c r="A1548" s="75">
        <v>39132</v>
      </c>
      <c r="B1548" s="76" t="str">
        <f>TiposLancamentos!B20</f>
        <v>Saques</v>
      </c>
      <c r="C1548" s="1314" t="s">
        <v>2668</v>
      </c>
      <c r="D1548" s="78">
        <v>20</v>
      </c>
      <c r="E1548" s="1480"/>
    </row>
    <row r="1549" spans="1:5">
      <c r="A1549" s="75">
        <v>39132</v>
      </c>
      <c r="B1549" s="76" t="str">
        <f>TiposLancamentos!B19</f>
        <v>Restaurantes</v>
      </c>
      <c r="C1549" s="1314" t="s">
        <v>3055</v>
      </c>
      <c r="D1549" s="78"/>
      <c r="E1549" s="1480">
        <v>9</v>
      </c>
    </row>
    <row r="1550" spans="1:5">
      <c r="A1550" s="75">
        <v>39132</v>
      </c>
      <c r="B1550" s="76" t="str">
        <f>TiposLancamentos!B19</f>
        <v>Restaurantes</v>
      </c>
      <c r="C1550" s="1314" t="s">
        <v>2934</v>
      </c>
      <c r="D1550" s="78"/>
      <c r="E1550" s="1480">
        <v>2</v>
      </c>
    </row>
    <row r="1551" spans="1:5">
      <c r="A1551" s="75">
        <v>39132</v>
      </c>
      <c r="B1551" s="76" t="str">
        <f>TiposLancamentos!B5</f>
        <v>Supermercado</v>
      </c>
      <c r="C1551" s="1314" t="s">
        <v>2567</v>
      </c>
      <c r="D1551" s="78"/>
      <c r="E1551" s="1480">
        <v>8.1999999999999993</v>
      </c>
    </row>
    <row r="1552" spans="1:5">
      <c r="A1552" s="75">
        <v>39134</v>
      </c>
      <c r="B1552" s="76" t="str">
        <f>TiposLancamentos!B24</f>
        <v>Estacionamentos</v>
      </c>
      <c r="C1552" s="1314" t="s">
        <v>3253</v>
      </c>
      <c r="D1552" s="78"/>
      <c r="E1552" s="1480">
        <v>1</v>
      </c>
    </row>
    <row r="1553" spans="1:5">
      <c r="A1553" s="75">
        <v>39134</v>
      </c>
      <c r="B1553" s="76" t="str">
        <f>TiposLancamentos!B20</f>
        <v>Saques</v>
      </c>
      <c r="C1553" s="1314" t="s">
        <v>2668</v>
      </c>
      <c r="D1553" s="78">
        <v>30</v>
      </c>
      <c r="E1553" s="1480"/>
    </row>
    <row r="1554" spans="1:5">
      <c r="A1554" s="75">
        <v>39134</v>
      </c>
      <c r="B1554" s="76" t="str">
        <f>TiposLancamentos!B18</f>
        <v>Alimentacao</v>
      </c>
      <c r="C1554" s="1314" t="s">
        <v>3184</v>
      </c>
      <c r="D1554" s="78"/>
      <c r="E1554" s="1480">
        <v>3.65</v>
      </c>
    </row>
    <row r="1555" spans="1:5">
      <c r="A1555" s="75">
        <v>39134</v>
      </c>
      <c r="B1555" s="76" t="str">
        <f>TiposLancamentos!B19</f>
        <v>Restaurantes</v>
      </c>
      <c r="C1555" s="1314" t="s">
        <v>3254</v>
      </c>
      <c r="D1555" s="78"/>
      <c r="E1555" s="1480">
        <v>11.15</v>
      </c>
    </row>
    <row r="1556" spans="1:5">
      <c r="A1556" s="75">
        <v>39135</v>
      </c>
      <c r="B1556" s="76" t="str">
        <f>TiposLancamentos!B16</f>
        <v>Cristiane</v>
      </c>
      <c r="C1556" s="1314" t="s">
        <v>2801</v>
      </c>
      <c r="D1556" s="78"/>
      <c r="E1556" s="1480">
        <v>15.55</v>
      </c>
    </row>
    <row r="1557" spans="1:5">
      <c r="A1557" s="75">
        <v>39137</v>
      </c>
      <c r="B1557" s="76" t="str">
        <f>TiposLancamentos!B20</f>
        <v>Saques</v>
      </c>
      <c r="C1557" s="1314" t="s">
        <v>2668</v>
      </c>
      <c r="D1557" s="78">
        <v>30</v>
      </c>
      <c r="E1557" s="1480"/>
    </row>
    <row r="1558" spans="1:5">
      <c r="A1558" s="75">
        <v>39137</v>
      </c>
      <c r="B1558" s="76" t="str">
        <f>TiposLancamentos!B24</f>
        <v>Estacionamentos</v>
      </c>
      <c r="C1558" s="1314"/>
      <c r="D1558" s="78"/>
      <c r="E1558" s="1480">
        <v>8</v>
      </c>
    </row>
    <row r="1559" spans="1:5">
      <c r="A1559" s="75">
        <v>39137</v>
      </c>
      <c r="B1559" s="76" t="str">
        <f>TiposLancamentos!B18</f>
        <v>Alimentacao</v>
      </c>
      <c r="C1559" s="1314" t="s">
        <v>3255</v>
      </c>
      <c r="D1559" s="78"/>
      <c r="E1559" s="1480">
        <v>4.5</v>
      </c>
    </row>
    <row r="1560" spans="1:5">
      <c r="A1560" s="75">
        <v>39138</v>
      </c>
      <c r="B1560" s="76" t="str">
        <f>TiposLancamentos!B19</f>
        <v>Restaurantes</v>
      </c>
      <c r="C1560" s="1314" t="s">
        <v>3254</v>
      </c>
      <c r="D1560" s="78"/>
      <c r="E1560" s="1480">
        <v>13.5</v>
      </c>
    </row>
    <row r="1561" spans="1:5">
      <c r="A1561" s="75">
        <v>39139</v>
      </c>
      <c r="B1561" s="76" t="str">
        <f>TiposLancamentos!B20</f>
        <v>Saques</v>
      </c>
      <c r="C1561" s="1314" t="s">
        <v>2668</v>
      </c>
      <c r="D1561" s="78">
        <v>10</v>
      </c>
      <c r="E1561" s="1480"/>
    </row>
    <row r="1562" spans="1:5">
      <c r="A1562" s="75">
        <v>39139</v>
      </c>
      <c r="B1562" s="76" t="str">
        <f>TiposLancamentos!B16</f>
        <v>Cristiane</v>
      </c>
      <c r="C1562" s="1314" t="s">
        <v>1698</v>
      </c>
      <c r="D1562" s="78"/>
      <c r="E1562" s="1480">
        <v>14.25</v>
      </c>
    </row>
    <row r="1563" spans="1:5">
      <c r="A1563" s="75">
        <v>39141</v>
      </c>
      <c r="B1563" s="76" t="str">
        <f>TiposLancamentos!B20</f>
        <v>Saques</v>
      </c>
      <c r="C1563" s="1314" t="s">
        <v>2668</v>
      </c>
      <c r="D1563" s="78">
        <v>270</v>
      </c>
      <c r="E1563" s="1480"/>
    </row>
    <row r="1564" spans="1:5">
      <c r="A1564" s="75">
        <v>39141</v>
      </c>
      <c r="B1564" s="76" t="str">
        <f>TiposLancamentos!B98</f>
        <v>Restituições</v>
      </c>
      <c r="C1564" s="1314" t="s">
        <v>3256</v>
      </c>
      <c r="D1564" s="78"/>
      <c r="E1564" s="1480">
        <v>260</v>
      </c>
    </row>
    <row r="1565" spans="1:5">
      <c r="A1565" s="75">
        <v>39141</v>
      </c>
      <c r="B1565" s="76" t="str">
        <f>TiposLancamentos!B69</f>
        <v>Consertos</v>
      </c>
      <c r="C1565" s="1314" t="s">
        <v>3257</v>
      </c>
      <c r="D1565" s="78"/>
      <c r="E1565" s="1480">
        <v>8</v>
      </c>
    </row>
    <row r="1566" spans="1:5">
      <c r="A1566" s="75">
        <v>39141</v>
      </c>
      <c r="B1566" s="76" t="str">
        <f>TiposLancamentos!B24</f>
        <v>Estacionamentos</v>
      </c>
      <c r="C1566" s="1314" t="s">
        <v>3241</v>
      </c>
      <c r="D1566" s="78"/>
      <c r="E1566" s="1480">
        <v>2</v>
      </c>
    </row>
    <row r="1567" spans="1:5">
      <c r="A1567" s="83"/>
      <c r="B1567" s="37"/>
      <c r="C1567" s="1584" t="s">
        <v>3258</v>
      </c>
      <c r="D1567" s="74"/>
      <c r="E1567" s="1585"/>
    </row>
    <row r="1568" spans="1:5">
      <c r="A1568" s="75">
        <v>39144</v>
      </c>
      <c r="B1568" s="76" t="str">
        <f>TiposLancamentos!B20</f>
        <v>Saques</v>
      </c>
      <c r="C1568" s="1314" t="s">
        <v>2668</v>
      </c>
      <c r="D1568" s="78">
        <v>60</v>
      </c>
      <c r="E1568" s="1480"/>
    </row>
    <row r="1569" spans="1:5">
      <c r="A1569" s="75">
        <v>39144</v>
      </c>
      <c r="B1569" s="76" t="str">
        <f>TiposLancamentos!B18</f>
        <v>Alimentacao</v>
      </c>
      <c r="C1569" s="1314" t="s">
        <v>3259</v>
      </c>
      <c r="D1569" s="78"/>
      <c r="E1569" s="1480">
        <v>9</v>
      </c>
    </row>
    <row r="1570" spans="1:5">
      <c r="A1570" s="75">
        <v>39145</v>
      </c>
      <c r="B1570" s="76" t="str">
        <f>TiposLancamentos!B19</f>
        <v>Restaurantes</v>
      </c>
      <c r="C1570" s="1314" t="s">
        <v>3260</v>
      </c>
      <c r="D1570" s="78"/>
      <c r="E1570" s="1480">
        <v>42.75</v>
      </c>
    </row>
    <row r="1571" spans="1:5">
      <c r="A1571" s="75">
        <v>39146</v>
      </c>
      <c r="B1571" s="76" t="str">
        <f>TiposLancamentos!B20</f>
        <v>Saques</v>
      </c>
      <c r="C1571" s="1314" t="s">
        <v>2668</v>
      </c>
      <c r="D1571" s="78">
        <v>30</v>
      </c>
      <c r="E1571" s="1480"/>
    </row>
    <row r="1572" spans="1:5">
      <c r="A1572" s="75">
        <v>39146</v>
      </c>
      <c r="B1572" s="76" t="str">
        <f>TiposLancamentos!B24</f>
        <v>Estacionamentos</v>
      </c>
      <c r="C1572" s="1314" t="s">
        <v>3261</v>
      </c>
      <c r="D1572" s="78"/>
      <c r="E1572" s="1480">
        <v>1</v>
      </c>
    </row>
    <row r="1573" spans="1:5">
      <c r="A1573" s="75">
        <v>39146</v>
      </c>
      <c r="B1573" s="76" t="str">
        <f>TiposLancamentos!B59</f>
        <v>Documentos</v>
      </c>
      <c r="C1573" s="1314" t="s">
        <v>3262</v>
      </c>
      <c r="D1573" s="78"/>
      <c r="E1573" s="1480">
        <v>13.9</v>
      </c>
    </row>
    <row r="1574" spans="1:5">
      <c r="A1574" s="75">
        <v>39146</v>
      </c>
      <c r="B1574" s="76" t="str">
        <f>TiposLancamentos!B20</f>
        <v>Saques</v>
      </c>
      <c r="C1574" s="1314" t="s">
        <v>3263</v>
      </c>
      <c r="D1574" s="78">
        <v>60</v>
      </c>
      <c r="E1574" s="1480"/>
    </row>
    <row r="1575" spans="1:5">
      <c r="A1575" s="75">
        <v>39146</v>
      </c>
      <c r="B1575" s="76" t="str">
        <f>TiposLancamentos!B60</f>
        <v>Correio</v>
      </c>
      <c r="C1575" s="1314" t="s">
        <v>3264</v>
      </c>
      <c r="D1575" s="78"/>
      <c r="E1575" s="1480">
        <v>10.6</v>
      </c>
    </row>
    <row r="1576" spans="1:5">
      <c r="A1576" s="75">
        <v>39146</v>
      </c>
      <c r="B1576" s="76" t="str">
        <f>TiposLancamentos!B19</f>
        <v>Restaurantes</v>
      </c>
      <c r="C1576" s="1314" t="s">
        <v>3265</v>
      </c>
      <c r="D1576" s="78"/>
      <c r="E1576" s="1480">
        <v>3.95</v>
      </c>
    </row>
    <row r="1577" spans="1:5">
      <c r="A1577" s="75">
        <v>39146</v>
      </c>
      <c r="B1577" s="76" t="str">
        <f>TiposLancamentos!B18</f>
        <v>Alimentacao</v>
      </c>
      <c r="C1577" s="1314" t="s">
        <v>3210</v>
      </c>
      <c r="D1577" s="78"/>
      <c r="E1577" s="1480">
        <v>3.5</v>
      </c>
    </row>
    <row r="1578" spans="1:5">
      <c r="A1578" s="75">
        <v>39146</v>
      </c>
      <c r="B1578" s="76" t="str">
        <f>TiposLancamentos!B98</f>
        <v>Restituições</v>
      </c>
      <c r="C1578" s="1314" t="s">
        <v>3266</v>
      </c>
      <c r="D1578" s="78"/>
      <c r="E1578" s="1480">
        <v>60</v>
      </c>
    </row>
    <row r="1579" spans="1:5">
      <c r="A1579" s="75">
        <v>39147</v>
      </c>
      <c r="B1579" s="76" t="str">
        <f>TiposLancamentos!B18</f>
        <v>Alimentacao</v>
      </c>
      <c r="C1579" s="1314" t="s">
        <v>3210</v>
      </c>
      <c r="D1579" s="78"/>
      <c r="E1579" s="1480">
        <v>4.5</v>
      </c>
    </row>
    <row r="1580" spans="1:5">
      <c r="A1580" s="75">
        <v>39148</v>
      </c>
      <c r="B1580" s="76" t="str">
        <f>TiposLancamentos!B98</f>
        <v>Restituições</v>
      </c>
      <c r="C1580" s="1314" t="s">
        <v>3267</v>
      </c>
      <c r="D1580" s="78">
        <v>15</v>
      </c>
      <c r="E1580" s="1480"/>
    </row>
    <row r="1581" spans="1:5">
      <c r="A1581" s="75">
        <v>39148</v>
      </c>
      <c r="B1581" s="76" t="str">
        <f>TiposLancamentos!B18</f>
        <v>Alimentacao</v>
      </c>
      <c r="C1581" s="1314" t="s">
        <v>3123</v>
      </c>
      <c r="D1581" s="78"/>
      <c r="E1581" s="1480">
        <v>3.5</v>
      </c>
    </row>
    <row r="1582" spans="1:5">
      <c r="A1582" s="75">
        <v>39149</v>
      </c>
      <c r="B1582" s="76" t="str">
        <f>TiposLancamentos!B18</f>
        <v>Alimentacao</v>
      </c>
      <c r="C1582" s="1314" t="s">
        <v>3268</v>
      </c>
      <c r="D1582" s="78"/>
      <c r="E1582" s="1480">
        <v>5.5</v>
      </c>
    </row>
    <row r="1583" spans="1:5">
      <c r="A1583" s="75">
        <v>39149</v>
      </c>
      <c r="B1583" s="76" t="str">
        <f>TiposLancamentos!B19</f>
        <v>Restaurantes</v>
      </c>
      <c r="C1583" s="1314" t="s">
        <v>3099</v>
      </c>
      <c r="D1583" s="78"/>
      <c r="E1583" s="1480">
        <v>3.95</v>
      </c>
    </row>
    <row r="1584" spans="1:5">
      <c r="A1584" s="75">
        <v>39149</v>
      </c>
      <c r="B1584" s="76" t="str">
        <f>TiposLancamentos!B18</f>
        <v>Alimentacao</v>
      </c>
      <c r="C1584" s="1314" t="s">
        <v>3049</v>
      </c>
      <c r="D1584" s="78"/>
      <c r="E1584" s="1480">
        <v>2</v>
      </c>
    </row>
    <row r="1585" spans="1:5">
      <c r="A1585" s="75">
        <v>39149</v>
      </c>
      <c r="B1585" s="76" t="str">
        <f>TiposLancamentos!B16</f>
        <v>Cristiane</v>
      </c>
      <c r="C1585" s="1314" t="s">
        <v>2888</v>
      </c>
      <c r="D1585" s="78">
        <v>10</v>
      </c>
      <c r="E1585" s="1480"/>
    </row>
    <row r="1586" spans="1:5">
      <c r="A1586" s="75">
        <v>39149</v>
      </c>
      <c r="B1586" s="76" t="str">
        <f>TiposLancamentos!B18</f>
        <v>Alimentacao</v>
      </c>
      <c r="C1586" s="1314" t="s">
        <v>3269</v>
      </c>
      <c r="D1586" s="78"/>
      <c r="E1586" s="1480">
        <v>2.5</v>
      </c>
    </row>
    <row r="1587" spans="1:5">
      <c r="A1587" s="75">
        <v>39149</v>
      </c>
      <c r="B1587" s="76" t="str">
        <f>TiposLancamentos!B24</f>
        <v>Estacionamentos</v>
      </c>
      <c r="C1587" s="1314" t="s">
        <v>2579</v>
      </c>
      <c r="D1587" s="78"/>
      <c r="E1587" s="1480">
        <v>4</v>
      </c>
    </row>
    <row r="1588" spans="1:5">
      <c r="A1588" s="75">
        <v>39149</v>
      </c>
      <c r="B1588" s="76" t="str">
        <f>TiposLancamentos!B16</f>
        <v>Cristiane</v>
      </c>
      <c r="C1588" s="1314" t="s">
        <v>3270</v>
      </c>
      <c r="D1588" s="78"/>
      <c r="E1588" s="1480">
        <v>4</v>
      </c>
    </row>
    <row r="1589" spans="1:5">
      <c r="A1589" s="75">
        <v>39150</v>
      </c>
      <c r="B1589" s="76" t="str">
        <f>TiposLancamentos!B16</f>
        <v>Cristiane</v>
      </c>
      <c r="C1589" s="1314" t="s">
        <v>2888</v>
      </c>
      <c r="D1589" s="78">
        <v>100</v>
      </c>
      <c r="E1589" s="1480"/>
    </row>
    <row r="1590" spans="1:5">
      <c r="A1590" s="75">
        <v>39151</v>
      </c>
      <c r="B1590" s="76" t="str">
        <f>TiposLancamentos!B24</f>
        <v>Estacionamentos</v>
      </c>
      <c r="C1590" s="1314" t="s">
        <v>2527</v>
      </c>
      <c r="D1590" s="78"/>
      <c r="E1590" s="1480">
        <v>4</v>
      </c>
    </row>
    <row r="1591" spans="1:5">
      <c r="A1591" s="75">
        <v>39151</v>
      </c>
      <c r="B1591" s="76" t="str">
        <f>TiposLancamentos!B19</f>
        <v>Restaurantes</v>
      </c>
      <c r="C1591" s="1314" t="s">
        <v>3271</v>
      </c>
      <c r="D1591" s="78"/>
      <c r="E1591" s="1480">
        <v>2</v>
      </c>
    </row>
    <row r="1592" spans="1:5">
      <c r="A1592" s="75">
        <v>39151</v>
      </c>
      <c r="B1592" s="76" t="str">
        <f>TiposLancamentos!B19</f>
        <v>Restaurantes</v>
      </c>
      <c r="C1592" s="1314" t="s">
        <v>3272</v>
      </c>
      <c r="D1592" s="78"/>
      <c r="E1592" s="1480">
        <v>4.2</v>
      </c>
    </row>
    <row r="1593" spans="1:5">
      <c r="A1593" s="75">
        <v>39151</v>
      </c>
      <c r="B1593" s="76" t="str">
        <f>TiposLancamentos!B19</f>
        <v>Restaurantes</v>
      </c>
      <c r="C1593" s="1314" t="s">
        <v>3175</v>
      </c>
      <c r="D1593" s="78"/>
      <c r="E1593" s="1480">
        <v>22.84</v>
      </c>
    </row>
    <row r="1594" spans="1:5">
      <c r="A1594" s="75">
        <v>39153</v>
      </c>
      <c r="B1594" s="76" t="str">
        <f>TiposLancamentos!B62</f>
        <v>Papelaria</v>
      </c>
      <c r="C1594" s="1314" t="s">
        <v>3273</v>
      </c>
      <c r="D1594" s="78"/>
      <c r="E1594" s="1480">
        <v>5</v>
      </c>
    </row>
    <row r="1595" spans="1:5">
      <c r="A1595" s="75">
        <v>39153</v>
      </c>
      <c r="B1595" s="76" t="str">
        <f>TiposLancamentos!B24</f>
        <v>Estacionamentos</v>
      </c>
      <c r="C1595" s="1314" t="s">
        <v>2675</v>
      </c>
      <c r="D1595" s="78"/>
      <c r="E1595" s="1480">
        <v>1</v>
      </c>
    </row>
    <row r="1596" spans="1:5">
      <c r="A1596" s="75">
        <v>39153</v>
      </c>
      <c r="B1596" s="76" t="str">
        <f>TiposLancamentos!B13</f>
        <v>Moradia</v>
      </c>
      <c r="C1596" s="1314" t="s">
        <v>3274</v>
      </c>
      <c r="D1596" s="78"/>
      <c r="E1596" s="1480">
        <v>9</v>
      </c>
    </row>
    <row r="1597" spans="1:5">
      <c r="A1597" s="75">
        <v>39153</v>
      </c>
      <c r="B1597" s="76" t="str">
        <f>TiposLancamentos!B19</f>
        <v>Restaurantes</v>
      </c>
      <c r="C1597" s="1314" t="s">
        <v>3210</v>
      </c>
      <c r="D1597" s="78"/>
      <c r="E1597" s="1480">
        <v>6.7</v>
      </c>
    </row>
    <row r="1598" spans="1:5">
      <c r="A1598" s="75">
        <v>39154</v>
      </c>
      <c r="B1598" s="76" t="str">
        <f>TiposLancamentos!B60</f>
        <v>Correio</v>
      </c>
      <c r="C1598" s="1314" t="s">
        <v>3275</v>
      </c>
      <c r="D1598" s="78"/>
      <c r="E1598" s="1480">
        <v>31.4</v>
      </c>
    </row>
    <row r="1599" spans="1:5">
      <c r="A1599" s="75">
        <v>39155</v>
      </c>
      <c r="B1599" s="76" t="str">
        <f>TiposLancamentos!B18</f>
        <v>Alimentacao</v>
      </c>
      <c r="C1599" s="1314" t="s">
        <v>2746</v>
      </c>
      <c r="D1599" s="78"/>
      <c r="E1599" s="1480">
        <v>0.5</v>
      </c>
    </row>
    <row r="1600" spans="1:5">
      <c r="A1600" s="75">
        <v>39156</v>
      </c>
      <c r="B1600" s="76" t="str">
        <f>TiposLancamentos!B20</f>
        <v>Saques</v>
      </c>
      <c r="C1600" s="1314" t="s">
        <v>2668</v>
      </c>
      <c r="D1600" s="78">
        <v>150</v>
      </c>
      <c r="E1600" s="1480"/>
    </row>
    <row r="1601" spans="1:5">
      <c r="A1601" s="75">
        <v>39156</v>
      </c>
      <c r="B1601" s="76" t="str">
        <f>TiposLancamentos!B13</f>
        <v>Moradia</v>
      </c>
      <c r="C1601" s="1314" t="s">
        <v>3276</v>
      </c>
      <c r="D1601" s="78"/>
      <c r="E1601" s="1480">
        <v>150</v>
      </c>
    </row>
    <row r="1602" spans="1:5">
      <c r="A1602" s="75">
        <v>39157</v>
      </c>
      <c r="B1602" s="76" t="str">
        <f>TiposLancamentos!B20</f>
        <v>Saques</v>
      </c>
      <c r="C1602" s="1314" t="s">
        <v>2668</v>
      </c>
      <c r="D1602" s="78">
        <v>10</v>
      </c>
      <c r="E1602" s="1480"/>
    </row>
    <row r="1603" spans="1:5">
      <c r="A1603" s="75">
        <v>39157</v>
      </c>
      <c r="B1603" s="76" t="str">
        <f>TiposLancamentos!B59</f>
        <v>Documentos</v>
      </c>
      <c r="C1603" s="1314" t="s">
        <v>3277</v>
      </c>
      <c r="D1603" s="78"/>
      <c r="E1603" s="1480">
        <v>6.85</v>
      </c>
    </row>
    <row r="1604" spans="1:5">
      <c r="A1604" s="75">
        <v>39157</v>
      </c>
      <c r="B1604" s="76" t="str">
        <f>TiposLancamentos!B99</f>
        <v>Venda de algo</v>
      </c>
      <c r="C1604" s="1314" t="s">
        <v>3278</v>
      </c>
      <c r="D1604" s="78">
        <v>3500</v>
      </c>
      <c r="E1604" s="1480"/>
    </row>
    <row r="1605" spans="1:5">
      <c r="A1605" s="75">
        <v>39157</v>
      </c>
      <c r="B1605" s="76" t="str">
        <f>TiposLancamentos!B80</f>
        <v>Mudanças</v>
      </c>
      <c r="C1605" s="1314" t="s">
        <v>3279</v>
      </c>
      <c r="D1605" s="78"/>
      <c r="E1605" s="1480">
        <v>750</v>
      </c>
    </row>
    <row r="1606" spans="1:5">
      <c r="A1606" s="75">
        <v>39157</v>
      </c>
      <c r="B1606" s="76" t="str">
        <f>TiposLancamentos!B55</f>
        <v>Onibus Urbano</v>
      </c>
      <c r="C1606" s="1314" t="s">
        <v>3280</v>
      </c>
      <c r="D1606" s="78"/>
      <c r="E1606" s="1480">
        <v>4.2</v>
      </c>
    </row>
    <row r="1607" spans="1:5">
      <c r="A1607" s="75">
        <v>39157</v>
      </c>
      <c r="B1607" s="76" t="str">
        <f>TiposLancamentos!B5</f>
        <v>Supermercado</v>
      </c>
      <c r="C1607" s="1314" t="s">
        <v>2567</v>
      </c>
      <c r="D1607" s="78"/>
      <c r="E1607" s="1480">
        <v>0.62</v>
      </c>
    </row>
    <row r="1608" spans="1:5">
      <c r="A1608" s="75">
        <v>39158</v>
      </c>
      <c r="B1608" s="76" t="str">
        <f>TiposLancamentos!B13</f>
        <v>Moradia</v>
      </c>
      <c r="C1608" s="1314" t="s">
        <v>3281</v>
      </c>
      <c r="D1608" s="78"/>
      <c r="E1608" s="1480">
        <v>0.5</v>
      </c>
    </row>
    <row r="1609" spans="1:5">
      <c r="A1609" s="75">
        <v>39158</v>
      </c>
      <c r="B1609" s="76" t="str">
        <f>TiposLancamentos!B19</f>
        <v>Restaurantes</v>
      </c>
      <c r="C1609" s="1314" t="s">
        <v>3055</v>
      </c>
      <c r="D1609" s="78"/>
      <c r="E1609" s="1480">
        <v>8</v>
      </c>
    </row>
    <row r="1610" spans="1:5">
      <c r="A1610" s="75">
        <v>39158</v>
      </c>
      <c r="B1610" s="76" t="str">
        <f>TiposLancamentos!B24</f>
        <v>Estacionamentos</v>
      </c>
      <c r="C1610" s="1314" t="s">
        <v>2527</v>
      </c>
      <c r="D1610" s="78"/>
      <c r="E1610" s="1480">
        <v>5</v>
      </c>
    </row>
    <row r="1611" spans="1:5">
      <c r="A1611" s="75">
        <v>39158</v>
      </c>
      <c r="B1611" s="76" t="str">
        <f>TiposLancamentos!B13</f>
        <v>Moradia</v>
      </c>
      <c r="C1611" s="1314" t="s">
        <v>3282</v>
      </c>
      <c r="D1611" s="78"/>
      <c r="E1611" s="1480">
        <v>180</v>
      </c>
    </row>
    <row r="1612" spans="1:5">
      <c r="A1612" s="75">
        <v>39158</v>
      </c>
      <c r="B1612" s="76" t="str">
        <f>TiposLancamentos!B18</f>
        <v>Alimentacao</v>
      </c>
      <c r="C1612" s="1314" t="s">
        <v>2934</v>
      </c>
      <c r="D1612" s="78"/>
      <c r="E1612" s="1480">
        <v>2</v>
      </c>
    </row>
    <row r="1613" spans="1:5">
      <c r="A1613" s="75">
        <v>39158</v>
      </c>
      <c r="B1613" s="76" t="str">
        <f>TiposLancamentos!B17</f>
        <v>GATO</v>
      </c>
      <c r="C1613" s="1314" t="s">
        <v>3283</v>
      </c>
      <c r="D1613" s="78"/>
      <c r="E1613" s="1480">
        <v>49.5</v>
      </c>
    </row>
    <row r="1614" spans="1:5">
      <c r="A1614" s="75">
        <v>39158</v>
      </c>
      <c r="B1614" s="76" t="str">
        <f>TiposLancamentos!B24</f>
        <v>Estacionamentos</v>
      </c>
      <c r="C1614" s="1314" t="s">
        <v>2527</v>
      </c>
      <c r="D1614" s="78"/>
      <c r="E1614" s="1480">
        <v>3</v>
      </c>
    </row>
    <row r="1615" spans="1:5">
      <c r="A1615" s="75">
        <v>39158</v>
      </c>
      <c r="B1615" s="76" t="str">
        <f>TiposLancamentos!B19</f>
        <v>Restaurantes</v>
      </c>
      <c r="C1615" s="1314" t="s">
        <v>3284</v>
      </c>
      <c r="D1615" s="78"/>
      <c r="E1615" s="1480">
        <v>16</v>
      </c>
    </row>
    <row r="1616" spans="1:5">
      <c r="A1616" s="75">
        <v>39159</v>
      </c>
      <c r="B1616" s="76" t="str">
        <f>TiposLancamentos!B13</f>
        <v>Moradia</v>
      </c>
      <c r="C1616" s="1314" t="s">
        <v>3285</v>
      </c>
      <c r="D1616" s="78"/>
      <c r="E1616" s="1480">
        <v>87.68</v>
      </c>
    </row>
    <row r="1617" spans="1:5">
      <c r="A1617" s="75">
        <v>39159</v>
      </c>
      <c r="B1617" s="76" t="str">
        <f>TiposLancamentos!B81</f>
        <v>Ferramentas gerais</v>
      </c>
      <c r="C1617" s="1314" t="s">
        <v>3286</v>
      </c>
      <c r="D1617" s="78"/>
      <c r="E1617" s="1480">
        <v>157.43</v>
      </c>
    </row>
    <row r="1618" spans="1:5">
      <c r="A1618" s="75">
        <v>39159</v>
      </c>
      <c r="B1618" s="76" t="str">
        <f>TiposLancamentos!B19</f>
        <v>Restaurantes</v>
      </c>
      <c r="C1618" s="1314" t="s">
        <v>3287</v>
      </c>
      <c r="D1618" s="78"/>
      <c r="E1618" s="1480">
        <v>33.1</v>
      </c>
    </row>
    <row r="1619" spans="1:5">
      <c r="A1619" s="75">
        <v>39159</v>
      </c>
      <c r="B1619" s="76" t="str">
        <f>TiposLancamentos!B56</f>
        <v>Farmácia</v>
      </c>
      <c r="C1619" s="1314" t="s">
        <v>3288</v>
      </c>
      <c r="D1619" s="78"/>
      <c r="E1619" s="1480">
        <v>55.52</v>
      </c>
    </row>
    <row r="1620" spans="1:5">
      <c r="A1620" s="75">
        <v>39159</v>
      </c>
      <c r="B1620" s="76" t="str">
        <f>TiposLancamentos!B19</f>
        <v>Restaurantes</v>
      </c>
      <c r="C1620" s="1314" t="s">
        <v>3022</v>
      </c>
      <c r="D1620" s="78"/>
      <c r="E1620" s="1480">
        <v>3.25</v>
      </c>
    </row>
    <row r="1621" spans="1:5">
      <c r="A1621" s="75">
        <v>39159</v>
      </c>
      <c r="B1621" s="76" t="str">
        <f>TiposLancamentos!B56</f>
        <v>Farmácia</v>
      </c>
      <c r="C1621" s="1314" t="s">
        <v>3289</v>
      </c>
      <c r="D1621" s="78"/>
      <c r="E1621" s="1480">
        <v>16.29</v>
      </c>
    </row>
    <row r="1622" spans="1:5">
      <c r="A1622" s="75">
        <v>39159</v>
      </c>
      <c r="B1622" s="76" t="str">
        <f>TiposLancamentos!B19</f>
        <v>Restaurantes</v>
      </c>
      <c r="C1622" s="1314" t="s">
        <v>3284</v>
      </c>
      <c r="D1622" s="78"/>
      <c r="E1622" s="1480">
        <v>19</v>
      </c>
    </row>
    <row r="1623" spans="1:5">
      <c r="A1623" s="75">
        <v>39160</v>
      </c>
      <c r="B1623" s="76" t="str">
        <f>TiposLancamentos!B16</f>
        <v>Cristiane</v>
      </c>
      <c r="C1623" s="1314" t="s">
        <v>3100</v>
      </c>
      <c r="D1623" s="78"/>
      <c r="E1623" s="1480">
        <v>20</v>
      </c>
    </row>
    <row r="1624" spans="1:5">
      <c r="A1624" s="75">
        <v>39160</v>
      </c>
      <c r="B1624" s="76" t="str">
        <f>TiposLancamentos!B19</f>
        <v>Restaurantes</v>
      </c>
      <c r="C1624" s="1314" t="s">
        <v>3290</v>
      </c>
      <c r="D1624" s="78"/>
      <c r="E1624" s="1480">
        <v>4.7</v>
      </c>
    </row>
    <row r="1625" spans="1:5">
      <c r="A1625" s="75">
        <v>39160</v>
      </c>
      <c r="B1625" s="76" t="str">
        <f>TiposLancamentos!B13</f>
        <v>Moradia</v>
      </c>
      <c r="C1625" s="1314" t="s">
        <v>3291</v>
      </c>
      <c r="D1625" s="78"/>
      <c r="E1625" s="1480">
        <v>0.8</v>
      </c>
    </row>
    <row r="1626" spans="1:5">
      <c r="A1626" s="75">
        <v>39160</v>
      </c>
      <c r="B1626" s="76" t="str">
        <f>TiposLancamentos!B18</f>
        <v>Alimentacao</v>
      </c>
      <c r="C1626" s="1314" t="s">
        <v>3292</v>
      </c>
      <c r="D1626" s="78"/>
      <c r="E1626" s="1480">
        <v>2</v>
      </c>
    </row>
    <row r="1627" spans="1:5">
      <c r="A1627" s="75">
        <v>39161</v>
      </c>
      <c r="B1627" s="76" t="str">
        <f>TiposLancamentos!B19</f>
        <v>Restaurantes</v>
      </c>
      <c r="C1627" s="1314" t="s">
        <v>3290</v>
      </c>
      <c r="D1627" s="78"/>
      <c r="E1627" s="1480">
        <v>3.5</v>
      </c>
    </row>
    <row r="1628" spans="1:5">
      <c r="A1628" s="75">
        <v>39161</v>
      </c>
      <c r="B1628" s="76" t="str">
        <f>TiposLancamentos!B19</f>
        <v>Restaurantes</v>
      </c>
      <c r="C1628" s="1314" t="s">
        <v>3293</v>
      </c>
      <c r="D1628" s="78"/>
      <c r="E1628" s="1480">
        <f>2+1.5+1</f>
        <v>4.5</v>
      </c>
    </row>
    <row r="1629" spans="1:5">
      <c r="A1629" s="75">
        <v>39161</v>
      </c>
      <c r="B1629" s="76" t="str">
        <f>TiposLancamentos!B60</f>
        <v>Correio</v>
      </c>
      <c r="C1629" s="1314" t="s">
        <v>3294</v>
      </c>
      <c r="D1629" s="78"/>
      <c r="E1629" s="1480">
        <v>9.6</v>
      </c>
    </row>
    <row r="1630" spans="1:5">
      <c r="A1630" s="75">
        <v>39161</v>
      </c>
      <c r="B1630" s="76" t="str">
        <f>TiposLancamentos!B13</f>
        <v>Moradia</v>
      </c>
      <c r="C1630" s="1314" t="s">
        <v>3295</v>
      </c>
      <c r="D1630" s="78"/>
      <c r="E1630" s="1480">
        <v>30</v>
      </c>
    </row>
    <row r="1631" spans="1:5">
      <c r="A1631" s="75">
        <v>39161</v>
      </c>
      <c r="B1631" s="76" t="str">
        <f>TiposLancamentos!B13</f>
        <v>Moradia</v>
      </c>
      <c r="C1631" s="1314" t="s">
        <v>3296</v>
      </c>
      <c r="D1631" s="78"/>
      <c r="E1631" s="1480">
        <v>270</v>
      </c>
    </row>
    <row r="1632" spans="1:5">
      <c r="A1632" s="75">
        <v>39161</v>
      </c>
      <c r="B1632" s="76" t="str">
        <f>TiposLancamentos!B19</f>
        <v>Restaurantes</v>
      </c>
      <c r="C1632" s="1314" t="s">
        <v>3297</v>
      </c>
      <c r="D1632" s="78"/>
      <c r="E1632" s="1480">
        <v>8</v>
      </c>
    </row>
    <row r="1633" spans="1:5">
      <c r="A1633" s="75">
        <v>39161</v>
      </c>
      <c r="B1633" s="76" t="str">
        <f>TiposLancamentos!B5</f>
        <v>Supermercado</v>
      </c>
      <c r="C1633" s="1314" t="s">
        <v>3298</v>
      </c>
      <c r="D1633" s="78"/>
      <c r="E1633" s="1480">
        <v>29.5</v>
      </c>
    </row>
    <row r="1634" spans="1:5">
      <c r="A1634" s="75">
        <v>39161</v>
      </c>
      <c r="B1634" s="76" t="str">
        <f>TiposLancamentos!B19</f>
        <v>Restaurantes</v>
      </c>
      <c r="C1634" s="1314" t="s">
        <v>3299</v>
      </c>
      <c r="D1634" s="78"/>
      <c r="E1634" s="1480">
        <v>22</v>
      </c>
    </row>
    <row r="1635" spans="1:5">
      <c r="A1635" s="75">
        <v>39162</v>
      </c>
      <c r="B1635" s="76" t="str">
        <f>TiposLancamentos!B19</f>
        <v>Restaurantes</v>
      </c>
      <c r="C1635" s="1314" t="s">
        <v>3290</v>
      </c>
      <c r="D1635" s="78"/>
      <c r="E1635" s="1480">
        <f>4.6</f>
        <v>4.5999999999999996</v>
      </c>
    </row>
    <row r="1636" spans="1:5">
      <c r="A1636" s="75">
        <v>39162</v>
      </c>
      <c r="B1636" s="76" t="str">
        <f>TiposLancamentos!B19</f>
        <v>Restaurantes</v>
      </c>
      <c r="C1636" s="1314" t="s">
        <v>3300</v>
      </c>
      <c r="D1636" s="78"/>
      <c r="E1636" s="1480">
        <v>2</v>
      </c>
    </row>
    <row r="1637" spans="1:5">
      <c r="A1637" s="75">
        <v>39162</v>
      </c>
      <c r="B1637" s="76" t="str">
        <f>TiposLancamentos!B55</f>
        <v>Onibus Urbano</v>
      </c>
      <c r="C1637" s="1314" t="s">
        <v>2672</v>
      </c>
      <c r="D1637" s="78"/>
      <c r="E1637" s="1480">
        <v>2.1</v>
      </c>
    </row>
    <row r="1638" spans="1:5">
      <c r="A1638" s="75">
        <v>39162</v>
      </c>
      <c r="B1638" s="76" t="str">
        <f>TiposLancamentos!B65</f>
        <v>Taxi</v>
      </c>
      <c r="C1638" s="1314" t="s">
        <v>2950</v>
      </c>
      <c r="D1638" s="78"/>
      <c r="E1638" s="1480">
        <v>15</v>
      </c>
    </row>
    <row r="1639" spans="1:5">
      <c r="A1639" s="75">
        <v>39163</v>
      </c>
      <c r="B1639" s="76" t="str">
        <f>TiposLancamentos!B55</f>
        <v>Onibus Urbano</v>
      </c>
      <c r="C1639" s="1314" t="s">
        <v>3301</v>
      </c>
      <c r="D1639" s="78"/>
      <c r="E1639" s="1480">
        <v>2.25</v>
      </c>
    </row>
    <row r="1640" spans="1:5">
      <c r="A1640" s="75">
        <v>39163</v>
      </c>
      <c r="B1640" s="76" t="str">
        <f>TiposLancamentos!B84</f>
        <v>Cbx Twister 250</v>
      </c>
      <c r="C1640" s="1314" t="s">
        <v>3302</v>
      </c>
      <c r="D1640" s="78"/>
      <c r="E1640" s="1480">
        <v>124</v>
      </c>
    </row>
    <row r="1641" spans="1:5">
      <c r="A1641" s="75">
        <v>39163</v>
      </c>
      <c r="B1641" s="76" t="str">
        <f>TiposLancamentos!B57</f>
        <v>Informática</v>
      </c>
      <c r="C1641" s="1314" t="s">
        <v>3303</v>
      </c>
      <c r="D1641" s="78"/>
      <c r="E1641" s="1480">
        <v>2.1</v>
      </c>
    </row>
    <row r="1642" spans="1:5">
      <c r="A1642" s="75">
        <v>39163</v>
      </c>
      <c r="B1642" s="76" t="str">
        <f>TiposLancamentos!B13</f>
        <v>Moradia</v>
      </c>
      <c r="C1642" s="1314" t="s">
        <v>3304</v>
      </c>
      <c r="D1642" s="78"/>
      <c r="E1642" s="1480">
        <v>100</v>
      </c>
    </row>
    <row r="1643" spans="1:5">
      <c r="A1643" s="75">
        <v>39163</v>
      </c>
      <c r="B1643" s="76" t="str">
        <f>TiposLancamentos!B24</f>
        <v>Estacionamentos</v>
      </c>
      <c r="C1643" s="1314" t="s">
        <v>3305</v>
      </c>
      <c r="D1643" s="78"/>
      <c r="E1643" s="1480">
        <v>3</v>
      </c>
    </row>
    <row r="1644" spans="1:5">
      <c r="A1644" s="75">
        <v>39163</v>
      </c>
      <c r="B1644" s="76" t="str">
        <f>TiposLancamentos!B19</f>
        <v>Restaurantes</v>
      </c>
      <c r="C1644" s="1314" t="s">
        <v>3306</v>
      </c>
      <c r="D1644" s="78"/>
      <c r="E1644" s="1480">
        <v>15.4</v>
      </c>
    </row>
    <row r="1645" spans="1:5">
      <c r="A1645" s="75">
        <v>39164</v>
      </c>
      <c r="B1645" s="76" t="str">
        <f>TiposLancamentos!B85</f>
        <v>Peugeout 206</v>
      </c>
      <c r="C1645" s="1314" t="s">
        <v>3307</v>
      </c>
      <c r="D1645" s="78"/>
      <c r="E1645" s="1480">
        <v>750</v>
      </c>
    </row>
    <row r="1646" spans="1:5">
      <c r="A1646" s="75">
        <v>39164</v>
      </c>
      <c r="B1646" s="76" t="str">
        <f>TiposLancamentos!B19</f>
        <v>Restaurantes</v>
      </c>
      <c r="C1646" s="1314" t="s">
        <v>3287</v>
      </c>
      <c r="D1646" s="78"/>
      <c r="E1646" s="1480">
        <v>9.5</v>
      </c>
    </row>
    <row r="1647" spans="1:5">
      <c r="A1647" s="75">
        <v>39164</v>
      </c>
      <c r="B1647" s="76" t="str">
        <f>TiposLancamentos!B22</f>
        <v>Combustivel</v>
      </c>
      <c r="C1647" s="1314" t="s">
        <v>3308</v>
      </c>
      <c r="D1647" s="78"/>
      <c r="E1647" s="1480">
        <v>40</v>
      </c>
    </row>
    <row r="1648" spans="1:5">
      <c r="A1648" s="75">
        <v>39165</v>
      </c>
      <c r="B1648" s="86" t="str">
        <f>TiposLancamentos!B24</f>
        <v>Estacionamentos</v>
      </c>
      <c r="C1648" s="3" t="s">
        <v>3309</v>
      </c>
      <c r="D1648" s="78"/>
      <c r="E1648" s="1480">
        <v>4</v>
      </c>
    </row>
    <row r="1649" spans="1:5">
      <c r="A1649" s="75">
        <v>39165</v>
      </c>
      <c r="B1649" s="86" t="str">
        <f>TiposLancamentos!B18</f>
        <v>Alimentacao</v>
      </c>
      <c r="C1649" s="3" t="s">
        <v>3310</v>
      </c>
      <c r="D1649" s="78"/>
      <c r="E1649" s="1480">
        <v>3.6</v>
      </c>
    </row>
    <row r="1650" spans="1:5">
      <c r="A1650" s="75">
        <v>39165</v>
      </c>
      <c r="B1650" s="86" t="str">
        <f>TiposLancamentos!B13</f>
        <v>Moradia</v>
      </c>
      <c r="C1650" s="3" t="s">
        <v>3311</v>
      </c>
      <c r="D1650" s="78"/>
      <c r="E1650" s="1480">
        <v>45.35</v>
      </c>
    </row>
    <row r="1651" spans="1:5">
      <c r="A1651" s="75">
        <v>39165</v>
      </c>
      <c r="B1651" s="86" t="str">
        <f>TiposLancamentos!B56</f>
        <v>Farmácia</v>
      </c>
      <c r="C1651" s="3" t="s">
        <v>3312</v>
      </c>
      <c r="D1651" s="78"/>
      <c r="E1651" s="1480">
        <v>46.33</v>
      </c>
    </row>
    <row r="1652" spans="1:5">
      <c r="A1652" s="75">
        <v>39165</v>
      </c>
      <c r="B1652" s="86" t="str">
        <f>TiposLancamentos!B19</f>
        <v>Restaurantes</v>
      </c>
      <c r="C1652" s="3" t="s">
        <v>3313</v>
      </c>
      <c r="D1652" s="78"/>
      <c r="E1652" s="1480">
        <v>20.5</v>
      </c>
    </row>
    <row r="1653" spans="1:5">
      <c r="A1653" s="75">
        <v>39165</v>
      </c>
      <c r="B1653" s="86" t="str">
        <f>TiposLancamentos!B24</f>
        <v>Estacionamentos</v>
      </c>
      <c r="C1653" s="3" t="s">
        <v>3241</v>
      </c>
      <c r="D1653" s="78"/>
      <c r="E1653" s="1480">
        <v>4</v>
      </c>
    </row>
    <row r="1654" spans="1:5">
      <c r="A1654" s="75">
        <v>39166</v>
      </c>
      <c r="B1654" s="86" t="str">
        <f>TiposLancamentos!B5</f>
        <v>Supermercado</v>
      </c>
      <c r="C1654" s="3" t="s">
        <v>3314</v>
      </c>
      <c r="D1654" s="78"/>
      <c r="E1654" s="1480">
        <v>45.73</v>
      </c>
    </row>
    <row r="1655" spans="1:5">
      <c r="A1655" s="75">
        <v>39166</v>
      </c>
      <c r="B1655" s="86" t="str">
        <f>TiposLancamentos!B19</f>
        <v>Restaurantes</v>
      </c>
      <c r="C1655" s="3" t="s">
        <v>3315</v>
      </c>
      <c r="D1655" s="78"/>
      <c r="E1655" s="1480">
        <v>15.65</v>
      </c>
    </row>
    <row r="1656" spans="1:5">
      <c r="A1656" s="75">
        <v>39166</v>
      </c>
      <c r="B1656" s="86" t="str">
        <f>TiposLancamentos!B19</f>
        <v>Restaurantes</v>
      </c>
      <c r="C1656" s="3" t="s">
        <v>3316</v>
      </c>
      <c r="D1656" s="78"/>
      <c r="E1656" s="1480">
        <v>4</v>
      </c>
    </row>
    <row r="1657" spans="1:5">
      <c r="A1657" s="75">
        <v>39167</v>
      </c>
      <c r="B1657" s="86" t="str">
        <f>TiposLancamentos!B19</f>
        <v>Restaurantes</v>
      </c>
      <c r="C1657" s="3" t="s">
        <v>3317</v>
      </c>
      <c r="D1657" s="78"/>
      <c r="E1657" s="1480">
        <v>3.95</v>
      </c>
    </row>
    <row r="1658" spans="1:5">
      <c r="A1658" s="75">
        <v>39168</v>
      </c>
      <c r="B1658" s="86" t="str">
        <f>TiposLancamentos!B19</f>
        <v>Restaurantes</v>
      </c>
      <c r="C1658" s="3" t="s">
        <v>3318</v>
      </c>
      <c r="D1658" s="78"/>
      <c r="E1658" s="1480">
        <v>10.5</v>
      </c>
    </row>
    <row r="1659" spans="1:5">
      <c r="A1659" s="1589">
        <v>39168</v>
      </c>
      <c r="B1659" s="87" t="str">
        <f>TiposLancamentos!B17</f>
        <v>GATO</v>
      </c>
      <c r="C1659" s="88" t="s">
        <v>3319</v>
      </c>
      <c r="D1659" s="89"/>
      <c r="E1659" s="829">
        <v>8</v>
      </c>
    </row>
    <row r="1660" spans="1:5">
      <c r="A1660" s="1589">
        <v>39168</v>
      </c>
      <c r="B1660" s="87" t="str">
        <f>TiposLancamentos!B18</f>
        <v>Alimentacao</v>
      </c>
      <c r="C1660" s="88" t="s">
        <v>3320</v>
      </c>
      <c r="D1660" s="89"/>
      <c r="E1660" s="829">
        <v>3</v>
      </c>
    </row>
    <row r="1661" spans="1:5">
      <c r="A1661" s="75">
        <v>39168</v>
      </c>
      <c r="B1661" s="86" t="str">
        <f>TiposLancamentos!B71</f>
        <v>Itens Pessoais</v>
      </c>
      <c r="C1661" s="3" t="s">
        <v>3321</v>
      </c>
      <c r="D1661" s="78"/>
      <c r="E1661" s="1480">
        <v>20</v>
      </c>
    </row>
    <row r="1662" spans="1:5">
      <c r="A1662" s="75">
        <v>39168</v>
      </c>
      <c r="B1662" s="86" t="str">
        <f>TiposLancamentos!B18</f>
        <v>Alimentacao</v>
      </c>
      <c r="C1662" s="3" t="s">
        <v>3065</v>
      </c>
      <c r="D1662" s="78"/>
      <c r="E1662" s="1480">
        <v>9.1</v>
      </c>
    </row>
    <row r="1663" spans="1:5">
      <c r="A1663" s="75">
        <v>39169</v>
      </c>
      <c r="B1663" s="86" t="str">
        <f>TiposLancamentos!B13</f>
        <v>Moradia</v>
      </c>
      <c r="C1663" s="3" t="s">
        <v>3322</v>
      </c>
      <c r="D1663" s="78"/>
      <c r="E1663" s="1480">
        <v>55</v>
      </c>
    </row>
    <row r="1664" spans="1:5">
      <c r="A1664" s="75">
        <v>39169</v>
      </c>
      <c r="B1664" s="86" t="str">
        <f>TiposLancamentos!B24</f>
        <v>Estacionamentos</v>
      </c>
      <c r="C1664" s="3" t="s">
        <v>3323</v>
      </c>
      <c r="D1664" s="78"/>
      <c r="E1664" s="1480">
        <v>0.6</v>
      </c>
    </row>
    <row r="1665" spans="1:5">
      <c r="A1665" s="75">
        <v>39169</v>
      </c>
      <c r="B1665" s="86" t="str">
        <f>TiposLancamentos!B84</f>
        <v>Cbx Twister 250</v>
      </c>
      <c r="C1665" s="3" t="s">
        <v>3324</v>
      </c>
      <c r="D1665" s="78"/>
      <c r="E1665" s="1480">
        <v>5.6</v>
      </c>
    </row>
    <row r="1666" spans="1:5">
      <c r="A1666" s="75">
        <v>39169</v>
      </c>
      <c r="B1666" s="86" t="str">
        <f>TiposLancamentos!B18</f>
        <v>Alimentacao</v>
      </c>
      <c r="C1666" s="3" t="s">
        <v>3325</v>
      </c>
      <c r="D1666" s="78"/>
      <c r="E1666" s="1480">
        <v>2.8</v>
      </c>
    </row>
    <row r="1667" spans="1:5">
      <c r="A1667" s="75">
        <v>39169</v>
      </c>
      <c r="B1667" s="86" t="str">
        <f>TiposLancamentos!B18</f>
        <v>Alimentacao</v>
      </c>
      <c r="C1667" s="3" t="s">
        <v>3326</v>
      </c>
      <c r="D1667" s="78"/>
      <c r="E1667" s="1480">
        <v>3</v>
      </c>
    </row>
    <row r="1668" spans="1:5">
      <c r="A1668" s="75">
        <v>39169</v>
      </c>
      <c r="B1668" s="86" t="str">
        <f>TiposLancamentos!B19</f>
        <v>Restaurantes</v>
      </c>
      <c r="C1668" s="3" t="s">
        <v>3327</v>
      </c>
      <c r="D1668" s="78"/>
      <c r="E1668" s="1480">
        <v>16</v>
      </c>
    </row>
    <row r="1669" spans="1:5">
      <c r="A1669" s="75">
        <v>39170</v>
      </c>
      <c r="B1669" s="86" t="str">
        <f>TiposLancamentos!B18</f>
        <v>Alimentacao</v>
      </c>
      <c r="C1669" s="3" t="s">
        <v>3328</v>
      </c>
      <c r="D1669" s="78"/>
      <c r="E1669" s="1480">
        <f>1.9+2+1.6</f>
        <v>5.5</v>
      </c>
    </row>
    <row r="1670" spans="1:5">
      <c r="A1670" s="75">
        <v>39170</v>
      </c>
      <c r="B1670" s="86" t="str">
        <f>TiposLancamentos!B18</f>
        <v>Alimentacao</v>
      </c>
      <c r="C1670" s="3" t="s">
        <v>3329</v>
      </c>
      <c r="D1670" s="78"/>
      <c r="E1670" s="1480">
        <v>3.95</v>
      </c>
    </row>
    <row r="1671" spans="1:5">
      <c r="A1671" s="75">
        <v>39170</v>
      </c>
      <c r="B1671" s="86" t="str">
        <f>TiposLancamentos!B18</f>
        <v>Alimentacao</v>
      </c>
      <c r="C1671" s="3" t="s">
        <v>3330</v>
      </c>
      <c r="D1671" s="78"/>
      <c r="E1671" s="1480">
        <v>3</v>
      </c>
    </row>
    <row r="1672" spans="1:5">
      <c r="A1672" s="75">
        <v>39171</v>
      </c>
      <c r="B1672" s="86" t="str">
        <f>TiposLancamentos!B18</f>
        <v>Alimentacao</v>
      </c>
      <c r="C1672" s="3" t="s">
        <v>3187</v>
      </c>
      <c r="D1672" s="78"/>
      <c r="E1672" s="1480">
        <v>1.7</v>
      </c>
    </row>
    <row r="1673" spans="1:5">
      <c r="A1673" s="75">
        <v>39171</v>
      </c>
      <c r="B1673" s="86" t="str">
        <f>TiposLancamentos!B22</f>
        <v>Combustivel</v>
      </c>
      <c r="C1673" s="3" t="s">
        <v>3331</v>
      </c>
      <c r="D1673" s="78"/>
      <c r="E1673" s="1480">
        <v>50</v>
      </c>
    </row>
    <row r="1674" spans="1:5">
      <c r="A1674" s="75">
        <v>39172</v>
      </c>
      <c r="B1674" s="86" t="str">
        <f>TiposLancamentos!B19</f>
        <v>Restaurantes</v>
      </c>
      <c r="C1674" s="3"/>
      <c r="D1674" s="78"/>
      <c r="E1674" s="1480">
        <v>135.76</v>
      </c>
    </row>
    <row r="1675" spans="1:5">
      <c r="A1675" s="83"/>
      <c r="B1675" s="91"/>
      <c r="C1675" s="92" t="s">
        <v>3332</v>
      </c>
      <c r="D1675" s="74"/>
      <c r="E1675" s="1585"/>
    </row>
    <row r="1676" spans="1:5">
      <c r="A1676" s="75">
        <v>39173</v>
      </c>
      <c r="B1676" s="86" t="str">
        <f>TiposLancamentos!B18</f>
        <v>Alimentacao</v>
      </c>
      <c r="C1676" s="3" t="s">
        <v>3333</v>
      </c>
      <c r="D1676" s="78"/>
      <c r="E1676" s="1480">
        <v>40</v>
      </c>
    </row>
    <row r="1677" spans="1:5">
      <c r="A1677" s="75">
        <v>39174</v>
      </c>
      <c r="B1677" s="86" t="str">
        <f>TiposLancamentos!B17</f>
        <v>GATO</v>
      </c>
      <c r="C1677" s="3" t="s">
        <v>3334</v>
      </c>
      <c r="D1677" s="78"/>
      <c r="E1677" s="1480">
        <v>40</v>
      </c>
    </row>
    <row r="1678" spans="1:5">
      <c r="A1678" s="75">
        <v>39176</v>
      </c>
      <c r="B1678" s="86" t="str">
        <f>TiposLancamentos!B19</f>
        <v>Restaurantes</v>
      </c>
      <c r="C1678" s="3" t="s">
        <v>2654</v>
      </c>
      <c r="D1678" s="78"/>
      <c r="E1678" s="1480">
        <v>26</v>
      </c>
    </row>
    <row r="1679" spans="1:5">
      <c r="A1679" s="75">
        <v>39176</v>
      </c>
      <c r="B1679" s="86" t="str">
        <f>TiposLancamentos!B20</f>
        <v>Saques</v>
      </c>
      <c r="C1679" s="3" t="s">
        <v>2876</v>
      </c>
      <c r="D1679" s="78">
        <v>500</v>
      </c>
      <c r="E1679" s="1480"/>
    </row>
    <row r="1680" spans="1:5">
      <c r="A1680" s="75">
        <v>39176</v>
      </c>
      <c r="B1680" s="86" t="str">
        <f>TiposLancamentos!B13</f>
        <v>Moradia</v>
      </c>
      <c r="C1680" s="3" t="s">
        <v>3335</v>
      </c>
      <c r="D1680" s="78"/>
      <c r="E1680" s="1480">
        <v>500</v>
      </c>
    </row>
    <row r="1681" spans="1:5">
      <c r="A1681" s="75">
        <v>39176</v>
      </c>
      <c r="B1681" s="86" t="str">
        <f>TiposLancamentos!B60</f>
        <v>Correio</v>
      </c>
      <c r="C1681" s="3" t="s">
        <v>3336</v>
      </c>
      <c r="D1681" s="78"/>
      <c r="E1681" s="1480">
        <v>9.9</v>
      </c>
    </row>
    <row r="1682" spans="1:5">
      <c r="A1682" s="75">
        <v>39176</v>
      </c>
      <c r="B1682" s="86" t="str">
        <f>TiposLancamentos!B18</f>
        <v>Alimentacao</v>
      </c>
      <c r="C1682" s="3" t="s">
        <v>3337</v>
      </c>
      <c r="D1682" s="78"/>
      <c r="E1682" s="1480">
        <v>1.7</v>
      </c>
    </row>
    <row r="1683" spans="1:5">
      <c r="A1683" s="75">
        <v>39176</v>
      </c>
      <c r="B1683" s="86" t="str">
        <f>TiposLancamentos!B18</f>
        <v>Alimentacao</v>
      </c>
      <c r="C1683" s="3" t="s">
        <v>3338</v>
      </c>
      <c r="D1683" s="78"/>
      <c r="E1683" s="1480">
        <v>1.5</v>
      </c>
    </row>
    <row r="1684" spans="1:5">
      <c r="A1684" s="75">
        <v>39177</v>
      </c>
      <c r="B1684" s="86" t="str">
        <f>TiposLancamentos!B18</f>
        <v>Alimentacao</v>
      </c>
      <c r="C1684" s="3" t="s">
        <v>3339</v>
      </c>
      <c r="D1684" s="78"/>
      <c r="E1684" s="1480">
        <v>0.5</v>
      </c>
    </row>
    <row r="1685" spans="1:5">
      <c r="A1685" s="75">
        <v>39182</v>
      </c>
      <c r="B1685" s="86" t="str">
        <f>TiposLancamentos!B20</f>
        <v>Saques</v>
      </c>
      <c r="C1685" s="3" t="s">
        <v>2668</v>
      </c>
      <c r="D1685" s="78">
        <v>140</v>
      </c>
      <c r="E1685" s="1480"/>
    </row>
    <row r="1686" spans="1:5">
      <c r="A1686" s="75">
        <v>39182</v>
      </c>
      <c r="B1686" s="86" t="str">
        <f>TiposLancamentos!B97</f>
        <v>Deposito Terc.</v>
      </c>
      <c r="C1686" s="3" t="s">
        <v>3340</v>
      </c>
      <c r="D1686" s="78"/>
      <c r="E1686" s="1480">
        <v>135</v>
      </c>
    </row>
    <row r="1687" spans="1:5">
      <c r="A1687" s="75">
        <v>39182</v>
      </c>
      <c r="B1687" s="86" t="str">
        <f>TiposLancamentos!B18</f>
        <v>Alimentacao</v>
      </c>
      <c r="C1687" s="3" t="s">
        <v>3341</v>
      </c>
      <c r="D1687" s="78"/>
      <c r="E1687" s="1480">
        <v>4</v>
      </c>
    </row>
    <row r="1688" spans="1:5">
      <c r="A1688" s="75">
        <v>39182</v>
      </c>
      <c r="B1688" s="86" t="str">
        <f>TiposLancamentos!B24</f>
        <v>Estacionamentos</v>
      </c>
      <c r="C1688" s="3" t="s">
        <v>2579</v>
      </c>
      <c r="D1688" s="78"/>
      <c r="E1688" s="1480">
        <v>3</v>
      </c>
    </row>
    <row r="1689" spans="1:5">
      <c r="A1689" s="75">
        <v>39154</v>
      </c>
      <c r="B1689" s="86" t="str">
        <f>TiposLancamentos!B24</f>
        <v>Estacionamentos</v>
      </c>
      <c r="C1689" s="3" t="s">
        <v>3342</v>
      </c>
      <c r="D1689" s="78"/>
      <c r="E1689" s="1480">
        <v>2</v>
      </c>
    </row>
    <row r="1690" spans="1:5">
      <c r="A1690" s="75">
        <v>39188</v>
      </c>
      <c r="B1690" s="86" t="str">
        <f>TiposLancamentos!B20</f>
        <v>Saques</v>
      </c>
      <c r="C1690" s="3" t="s">
        <v>2668</v>
      </c>
      <c r="D1690" s="78">
        <v>140</v>
      </c>
      <c r="E1690" s="1480"/>
    </row>
    <row r="1691" spans="1:5">
      <c r="A1691" s="75">
        <v>39188</v>
      </c>
      <c r="B1691" s="86" t="str">
        <f>TiposLancamentos!B13</f>
        <v>Moradia</v>
      </c>
      <c r="C1691" s="3" t="s">
        <v>3343</v>
      </c>
      <c r="D1691" s="78"/>
      <c r="E1691" s="1480">
        <v>140</v>
      </c>
    </row>
    <row r="1692" spans="1:5">
      <c r="A1692" s="75">
        <v>39195</v>
      </c>
      <c r="B1692" s="86" t="str">
        <f>TiposLancamentos!B20</f>
        <v>Saques</v>
      </c>
      <c r="C1692" s="3" t="s">
        <v>2668</v>
      </c>
      <c r="D1692" s="78">
        <v>10</v>
      </c>
      <c r="E1692" s="1480"/>
    </row>
    <row r="1693" spans="1:5">
      <c r="A1693" s="75">
        <v>39164</v>
      </c>
      <c r="B1693" s="86" t="str">
        <f>TiposLancamentos!B18</f>
        <v>Alimentacao</v>
      </c>
      <c r="C1693" s="3" t="s">
        <v>2701</v>
      </c>
      <c r="D1693" s="78"/>
      <c r="E1693" s="1480">
        <v>3.5</v>
      </c>
    </row>
    <row r="1694" spans="1:5">
      <c r="A1694" s="75">
        <v>39197</v>
      </c>
      <c r="B1694" s="86" t="str">
        <f>TiposLancamentos!B24</f>
        <v>Estacionamentos</v>
      </c>
      <c r="C1694" s="3" t="s">
        <v>3241</v>
      </c>
      <c r="D1694" s="78"/>
      <c r="E1694" s="1480">
        <v>2</v>
      </c>
    </row>
    <row r="1695" spans="1:5">
      <c r="A1695" s="75">
        <v>39198</v>
      </c>
      <c r="B1695" s="86" t="str">
        <f>TiposLancamentos!B18</f>
        <v>Alimentacao</v>
      </c>
      <c r="C1695" s="3" t="s">
        <v>3344</v>
      </c>
      <c r="D1695" s="78"/>
      <c r="E1695" s="1480">
        <v>1.5</v>
      </c>
    </row>
    <row r="1696" spans="1:5">
      <c r="A1696" s="75">
        <v>39198</v>
      </c>
      <c r="B1696" s="86" t="str">
        <f>TiposLancamentos!B97</f>
        <v>Deposito Terc.</v>
      </c>
      <c r="C1696" s="3" t="s">
        <v>3345</v>
      </c>
      <c r="D1696" s="78"/>
      <c r="E1696" s="1480">
        <v>4</v>
      </c>
    </row>
    <row r="1697" spans="1:5">
      <c r="A1697" s="75">
        <v>39202</v>
      </c>
      <c r="B1697" s="86" t="str">
        <f>TiposLancamentos!B16</f>
        <v>Cristiane</v>
      </c>
      <c r="C1697" s="3" t="s">
        <v>2891</v>
      </c>
      <c r="D1697" s="78">
        <v>5</v>
      </c>
      <c r="E1697" s="1480"/>
    </row>
    <row r="1698" spans="1:5">
      <c r="A1698" s="75">
        <v>39202</v>
      </c>
      <c r="B1698" s="86" t="str">
        <f>TiposLancamentos!B55</f>
        <v>Onibus Urbano</v>
      </c>
      <c r="C1698" s="3" t="s">
        <v>3346</v>
      </c>
      <c r="D1698" s="78"/>
      <c r="E1698" s="1480">
        <f>2.3*2</f>
        <v>4.5999999999999996</v>
      </c>
    </row>
    <row r="1699" spans="1:5">
      <c r="A1699" s="83"/>
      <c r="B1699" s="91"/>
      <c r="C1699" s="92" t="s">
        <v>3347</v>
      </c>
      <c r="D1699" s="74"/>
      <c r="E1699" s="1585"/>
    </row>
    <row r="1700" spans="1:5">
      <c r="A1700" s="75">
        <v>39204</v>
      </c>
      <c r="B1700" s="86" t="str">
        <f>TiposLancamentos!B20</f>
        <v>Saques</v>
      </c>
      <c r="C1700" s="3" t="s">
        <v>2668</v>
      </c>
      <c r="D1700" s="78">
        <v>20</v>
      </c>
      <c r="E1700" s="1480"/>
    </row>
    <row r="1701" spans="1:5">
      <c r="A1701" s="75">
        <v>39204</v>
      </c>
      <c r="B1701" s="86" t="str">
        <f>TiposLancamentos!B85</f>
        <v>Peugeout 206</v>
      </c>
      <c r="C1701" s="3" t="s">
        <v>3348</v>
      </c>
      <c r="D1701" s="78"/>
      <c r="E1701" s="1480">
        <v>13</v>
      </c>
    </row>
    <row r="1702" spans="1:5">
      <c r="A1702" s="75">
        <v>39204</v>
      </c>
      <c r="B1702" s="86" t="str">
        <f>TiposLancamentos!B5</f>
        <v>Supermercado</v>
      </c>
      <c r="C1702" s="3" t="s">
        <v>3349</v>
      </c>
      <c r="D1702" s="78"/>
      <c r="E1702" s="1480">
        <v>3.7</v>
      </c>
    </row>
    <row r="1703" spans="1:5">
      <c r="A1703" s="75">
        <v>39206</v>
      </c>
      <c r="B1703" s="86" t="str">
        <f>TiposLancamentos!B20</f>
        <v>Saques</v>
      </c>
      <c r="C1703" s="3" t="s">
        <v>2668</v>
      </c>
      <c r="D1703" s="78">
        <v>40</v>
      </c>
      <c r="E1703" s="1480"/>
    </row>
    <row r="1704" spans="1:5">
      <c r="A1704" s="75">
        <v>39206</v>
      </c>
      <c r="B1704" s="86" t="str">
        <f>TiposLancamentos!B77</f>
        <v>Esporádico</v>
      </c>
      <c r="C1704" s="3" t="s">
        <v>3350</v>
      </c>
      <c r="D1704" s="78"/>
      <c r="E1704" s="1480">
        <v>4</v>
      </c>
    </row>
    <row r="1705" spans="1:5">
      <c r="A1705" s="75">
        <v>39207</v>
      </c>
      <c r="B1705" s="86" t="str">
        <f>TiposLancamentos!B55</f>
        <v>Onibus Urbano</v>
      </c>
      <c r="C1705" s="3" t="s">
        <v>3351</v>
      </c>
      <c r="D1705" s="78"/>
      <c r="E1705" s="1480">
        <v>2.2999999999999998</v>
      </c>
    </row>
    <row r="1706" spans="1:5">
      <c r="A1706" s="75">
        <v>39207</v>
      </c>
      <c r="B1706" s="86" t="str">
        <f>TiposLancamentos!B54</f>
        <v>Metro</v>
      </c>
      <c r="C1706" s="3" t="s">
        <v>1771</v>
      </c>
      <c r="D1706" s="78"/>
      <c r="E1706" s="1480">
        <v>2.2999999999999998</v>
      </c>
    </row>
    <row r="1707" spans="1:5">
      <c r="A1707" s="75">
        <v>39207</v>
      </c>
      <c r="B1707" s="86" t="str">
        <f>TiposLancamentos!B57</f>
        <v>Informática</v>
      </c>
      <c r="C1707" s="3" t="s">
        <v>3352</v>
      </c>
      <c r="D1707" s="78"/>
      <c r="E1707" s="1480">
        <v>11</v>
      </c>
    </row>
    <row r="1708" spans="1:5">
      <c r="A1708" s="75">
        <v>39207</v>
      </c>
      <c r="B1708" s="86" t="str">
        <f>TiposLancamentos!B97</f>
        <v>Deposito Terc.</v>
      </c>
      <c r="C1708" s="3" t="s">
        <v>3353</v>
      </c>
      <c r="D1708" s="78"/>
      <c r="E1708" s="1480">
        <v>10</v>
      </c>
    </row>
    <row r="1709" spans="1:5">
      <c r="A1709" s="75">
        <v>39207</v>
      </c>
      <c r="B1709" s="86" t="str">
        <f>TiposLancamentos!B54</f>
        <v>Metro</v>
      </c>
      <c r="C1709" s="3" t="s">
        <v>1771</v>
      </c>
      <c r="D1709" s="78"/>
      <c r="E1709" s="1480">
        <v>2.2999999999999998</v>
      </c>
    </row>
    <row r="1710" spans="1:5">
      <c r="A1710" s="75">
        <v>39207</v>
      </c>
      <c r="B1710" s="86" t="str">
        <f>TiposLancamentos!B18</f>
        <v>Alimentacao</v>
      </c>
      <c r="C1710" s="3" t="s">
        <v>3210</v>
      </c>
      <c r="D1710" s="78"/>
      <c r="E1710" s="1480">
        <v>4</v>
      </c>
    </row>
    <row r="1711" spans="1:5">
      <c r="A1711" s="75">
        <v>39207</v>
      </c>
      <c r="B1711" s="86" t="str">
        <f>TiposLancamentos!B55</f>
        <v>Onibus Urbano</v>
      </c>
      <c r="C1711" s="3" t="s">
        <v>3354</v>
      </c>
      <c r="D1711" s="78"/>
      <c r="E1711" s="1480">
        <v>4</v>
      </c>
    </row>
    <row r="1712" spans="1:5">
      <c r="A1712" s="75">
        <v>39207</v>
      </c>
      <c r="B1712" s="86" t="str">
        <f>TiposLancamentos!B18</f>
        <v>Alimentacao</v>
      </c>
      <c r="C1712" s="3" t="s">
        <v>3355</v>
      </c>
      <c r="D1712" s="78"/>
      <c r="E1712" s="1480">
        <v>3.8</v>
      </c>
    </row>
    <row r="1713" spans="1:5">
      <c r="A1713" s="75">
        <v>39211</v>
      </c>
      <c r="B1713" s="86" t="str">
        <f>TiposLancamentos!B20</f>
        <v>Saques</v>
      </c>
      <c r="C1713" s="3" t="s">
        <v>2668</v>
      </c>
      <c r="D1713" s="78">
        <v>10</v>
      </c>
      <c r="E1713" s="1480"/>
    </row>
    <row r="1714" spans="1:5">
      <c r="A1714" s="75">
        <v>39211</v>
      </c>
      <c r="B1714" s="86" t="str">
        <f>TiposLancamentos!B98</f>
        <v>Restituições</v>
      </c>
      <c r="C1714" s="3" t="s">
        <v>3356</v>
      </c>
      <c r="D1714" s="78"/>
      <c r="E1714" s="1480">
        <v>4.5</v>
      </c>
    </row>
    <row r="1715" spans="1:5">
      <c r="A1715" s="75">
        <v>39211</v>
      </c>
      <c r="B1715" s="86" t="str">
        <f>TiposLancamentos!B18</f>
        <v>Alimentacao</v>
      </c>
      <c r="C1715" s="3" t="s">
        <v>3192</v>
      </c>
      <c r="D1715" s="78"/>
      <c r="E1715" s="1480">
        <v>1.5</v>
      </c>
    </row>
    <row r="1716" spans="1:5">
      <c r="A1716" s="75">
        <v>39212</v>
      </c>
      <c r="B1716" s="86" t="str">
        <f>TiposLancamentos!B18</f>
        <v>Alimentacao</v>
      </c>
      <c r="C1716" s="3" t="s">
        <v>3357</v>
      </c>
      <c r="D1716" s="78"/>
      <c r="E1716" s="1480">
        <v>1.5</v>
      </c>
    </row>
    <row r="1717" spans="1:5">
      <c r="A1717" s="75">
        <v>39212</v>
      </c>
      <c r="B1717" s="86" t="str">
        <f>TiposLancamentos!B60</f>
        <v>Correio</v>
      </c>
      <c r="C1717" s="3" t="s">
        <v>3358</v>
      </c>
      <c r="D1717" s="78"/>
      <c r="E1717" s="1480">
        <v>2</v>
      </c>
    </row>
    <row r="1718" spans="1:5">
      <c r="A1718" s="75">
        <v>39212</v>
      </c>
      <c r="B1718" s="86" t="str">
        <f>TiposLancamentos!B20</f>
        <v>Saques</v>
      </c>
      <c r="C1718" s="3" t="s">
        <v>2668</v>
      </c>
      <c r="D1718" s="78">
        <v>20</v>
      </c>
      <c r="E1718" s="1480"/>
    </row>
    <row r="1719" spans="1:5">
      <c r="A1719" s="75">
        <v>39212</v>
      </c>
      <c r="B1719" s="86" t="str">
        <f>TiposLancamentos!B60</f>
        <v>Correio</v>
      </c>
      <c r="C1719" s="3" t="s">
        <v>3359</v>
      </c>
      <c r="D1719" s="78"/>
      <c r="E1719" s="1480">
        <v>12.14</v>
      </c>
    </row>
    <row r="1720" spans="1:5">
      <c r="A1720" s="75">
        <v>39216</v>
      </c>
      <c r="B1720" s="86" t="str">
        <f>TiposLancamentos!B18</f>
        <v>Alimentacao</v>
      </c>
      <c r="C1720" s="3" t="s">
        <v>3360</v>
      </c>
      <c r="D1720" s="78"/>
      <c r="E1720" s="1480">
        <v>6.6</v>
      </c>
    </row>
    <row r="1721" spans="1:5">
      <c r="A1721" s="75">
        <v>39217</v>
      </c>
      <c r="B1721" s="86" t="str">
        <f>TiposLancamentos!B16</f>
        <v>Cristiane</v>
      </c>
      <c r="C1721" s="3" t="s">
        <v>3016</v>
      </c>
      <c r="D1721" s="78"/>
      <c r="E1721" s="1480">
        <v>1</v>
      </c>
    </row>
    <row r="1722" spans="1:5">
      <c r="A1722" s="75">
        <v>39217</v>
      </c>
      <c r="B1722" s="86" t="str">
        <f>TiposLancamentos!B20</f>
        <v>Saques</v>
      </c>
      <c r="C1722" s="3" t="s">
        <v>2668</v>
      </c>
      <c r="D1722" s="78">
        <v>20</v>
      </c>
      <c r="E1722" s="1480"/>
    </row>
    <row r="1723" spans="1:5">
      <c r="A1723" s="75">
        <v>39217</v>
      </c>
      <c r="B1723" s="86" t="str">
        <f>TiposLancamentos!B18</f>
        <v>Alimentacao</v>
      </c>
      <c r="C1723" s="3" t="s">
        <v>3210</v>
      </c>
      <c r="D1723" s="78"/>
      <c r="E1723" s="1480">
        <v>6.31</v>
      </c>
    </row>
    <row r="1724" spans="1:5">
      <c r="A1724" s="75">
        <v>39219</v>
      </c>
      <c r="B1724" s="86" t="str">
        <f>TiposLancamentos!B18</f>
        <v>Alimentacao</v>
      </c>
      <c r="C1724" s="3" t="s">
        <v>3361</v>
      </c>
      <c r="D1724" s="78"/>
      <c r="E1724" s="1480">
        <v>13.2</v>
      </c>
    </row>
    <row r="1725" spans="1:5">
      <c r="A1725" s="75">
        <v>39220</v>
      </c>
      <c r="B1725" s="86" t="str">
        <f>TiposLancamentos!B16</f>
        <v>Cristiane</v>
      </c>
      <c r="C1725" s="3" t="s">
        <v>2888</v>
      </c>
      <c r="D1725" s="78">
        <v>110</v>
      </c>
      <c r="E1725" s="1480"/>
    </row>
    <row r="1726" spans="1:5">
      <c r="A1726" s="75">
        <v>39220</v>
      </c>
      <c r="B1726" s="86" t="str">
        <f>TiposLancamentos!B60</f>
        <v>Correio</v>
      </c>
      <c r="C1726" s="3" t="s">
        <v>3362</v>
      </c>
      <c r="D1726" s="78"/>
      <c r="E1726" s="1480">
        <v>110</v>
      </c>
    </row>
    <row r="1727" spans="1:5">
      <c r="A1727" s="75">
        <v>39225</v>
      </c>
      <c r="B1727" s="86" t="str">
        <f>TiposLancamentos!B20</f>
        <v>Saques</v>
      </c>
      <c r="C1727" s="3" t="s">
        <v>2668</v>
      </c>
      <c r="D1727" s="78">
        <v>10</v>
      </c>
      <c r="E1727" s="1480"/>
    </row>
    <row r="1728" spans="1:5">
      <c r="A1728" s="75">
        <v>39225</v>
      </c>
      <c r="B1728" s="86" t="str">
        <f>TiposLancamentos!B18</f>
        <v>Alimentacao</v>
      </c>
      <c r="C1728" s="3" t="s">
        <v>3363</v>
      </c>
      <c r="D1728" s="78"/>
      <c r="E1728" s="1480">
        <v>4.25</v>
      </c>
    </row>
    <row r="1729" spans="1:5">
      <c r="A1729" s="75">
        <v>39225</v>
      </c>
      <c r="B1729" s="86" t="str">
        <f>TiposLancamentos!B24</f>
        <v>Estacionamentos</v>
      </c>
      <c r="C1729" s="3" t="s">
        <v>3364</v>
      </c>
      <c r="D1729" s="78"/>
      <c r="E1729" s="1480">
        <v>4</v>
      </c>
    </row>
    <row r="1730" spans="1:5">
      <c r="A1730" s="75">
        <v>39227</v>
      </c>
      <c r="B1730" s="86" t="str">
        <f>TiposLancamentos!B18</f>
        <v>Alimentacao</v>
      </c>
      <c r="C1730" s="3" t="s">
        <v>3210</v>
      </c>
      <c r="D1730" s="78"/>
      <c r="E1730" s="1480">
        <v>3</v>
      </c>
    </row>
    <row r="1731" spans="1:5">
      <c r="A1731" s="75">
        <v>39233</v>
      </c>
      <c r="B1731" s="86" t="str">
        <f>TiposLancamentos!B97</f>
        <v>Deposito Terc.</v>
      </c>
      <c r="C1731" s="3" t="s">
        <v>3365</v>
      </c>
      <c r="D1731" s="78">
        <v>10</v>
      </c>
      <c r="E1731" s="1480"/>
    </row>
    <row r="1732" spans="1:5">
      <c r="A1732" s="83"/>
      <c r="B1732" s="91"/>
      <c r="C1732" s="92" t="s">
        <v>3366</v>
      </c>
      <c r="D1732" s="74"/>
      <c r="E1732" s="1585"/>
    </row>
    <row r="1733" spans="1:5">
      <c r="A1733" s="75">
        <v>39234</v>
      </c>
      <c r="B1733" s="86" t="str">
        <f>TiposLancamentos!B20</f>
        <v>Saques</v>
      </c>
      <c r="C1733" s="3" t="s">
        <v>2668</v>
      </c>
      <c r="D1733" s="78">
        <v>20</v>
      </c>
      <c r="E1733" s="1480"/>
    </row>
    <row r="1734" spans="1:5">
      <c r="A1734" s="75">
        <v>39234</v>
      </c>
      <c r="B1734" s="86" t="str">
        <f>TiposLancamentos!B60</f>
        <v>Correio</v>
      </c>
      <c r="C1734" s="3" t="s">
        <v>2822</v>
      </c>
      <c r="D1734" s="78"/>
      <c r="E1734" s="1480">
        <v>27.5</v>
      </c>
    </row>
    <row r="1735" spans="1:5">
      <c r="A1735" s="75">
        <v>39235</v>
      </c>
      <c r="B1735" s="86" t="str">
        <f>TiposLancamentos!B18</f>
        <v>Alimentacao</v>
      </c>
      <c r="C1735" s="3" t="s">
        <v>3367</v>
      </c>
      <c r="D1735" s="78"/>
      <c r="E1735" s="1480">
        <v>1.25</v>
      </c>
    </row>
    <row r="1736" spans="1:5">
      <c r="A1736" s="75">
        <v>39237</v>
      </c>
      <c r="B1736" s="86" t="str">
        <f>TiposLancamentos!B18</f>
        <v>Alimentacao</v>
      </c>
      <c r="C1736" s="3" t="s">
        <v>3368</v>
      </c>
      <c r="D1736" s="78"/>
      <c r="E1736" s="1480">
        <v>1</v>
      </c>
    </row>
    <row r="1737" spans="1:5">
      <c r="A1737" s="75">
        <v>39237</v>
      </c>
      <c r="B1737" s="86" t="str">
        <f>TiposLancamentos!B20</f>
        <v>Saques</v>
      </c>
      <c r="C1737" s="3" t="s">
        <v>2668</v>
      </c>
      <c r="D1737" s="78">
        <v>30</v>
      </c>
      <c r="E1737" s="1480"/>
    </row>
    <row r="1738" spans="1:5">
      <c r="A1738" s="75">
        <v>39237</v>
      </c>
      <c r="B1738" s="86" t="str">
        <f>TiposLancamentos!B90</f>
        <v>Locadora</v>
      </c>
      <c r="C1738" s="3" t="s">
        <v>3369</v>
      </c>
      <c r="D1738" s="78"/>
      <c r="E1738" s="1480">
        <v>29</v>
      </c>
    </row>
    <row r="1739" spans="1:5">
      <c r="A1739" s="75">
        <v>39238</v>
      </c>
      <c r="B1739" s="86" t="str">
        <f>TiposLancamentos!B18</f>
        <v>Alimentacao</v>
      </c>
      <c r="C1739" s="3" t="s">
        <v>3210</v>
      </c>
      <c r="D1739" s="78"/>
      <c r="E1739" s="1480">
        <v>1.25</v>
      </c>
    </row>
    <row r="1740" spans="1:5">
      <c r="A1740" s="75">
        <v>39241</v>
      </c>
      <c r="B1740" s="86" t="str">
        <f>TiposLancamentos!B16</f>
        <v>Cristiane</v>
      </c>
      <c r="C1740" s="3" t="s">
        <v>2888</v>
      </c>
      <c r="D1740" s="78">
        <v>5</v>
      </c>
      <c r="E1740" s="1480"/>
    </row>
    <row r="1741" spans="1:5">
      <c r="A1741" s="75">
        <v>39241</v>
      </c>
      <c r="B1741" s="86" t="str">
        <f>TiposLancamentos!B20</f>
        <v>Saques</v>
      </c>
      <c r="C1741" s="3" t="s">
        <v>2668</v>
      </c>
      <c r="D1741" s="78">
        <v>180</v>
      </c>
      <c r="E1741" s="1480"/>
    </row>
    <row r="1742" spans="1:5">
      <c r="A1742" s="75">
        <v>39241</v>
      </c>
      <c r="B1742" s="86" t="str">
        <f>TiposLancamentos!B18</f>
        <v>Alimentacao</v>
      </c>
      <c r="C1742" s="3" t="s">
        <v>3055</v>
      </c>
      <c r="D1742" s="78"/>
      <c r="E1742" s="1480">
        <v>10</v>
      </c>
    </row>
    <row r="1743" spans="1:5">
      <c r="A1743" s="75">
        <v>39241</v>
      </c>
      <c r="B1743" s="86" t="str">
        <f>TiposLancamentos!B36</f>
        <v>Playstation 2</v>
      </c>
      <c r="C1743" s="3" t="s">
        <v>3370</v>
      </c>
      <c r="D1743" s="78"/>
      <c r="E1743" s="1480">
        <v>30</v>
      </c>
    </row>
    <row r="1744" spans="1:5">
      <c r="A1744" s="75">
        <v>39241</v>
      </c>
      <c r="B1744" s="86" t="str">
        <f>TiposLancamentos!B18</f>
        <v>Alimentacao</v>
      </c>
      <c r="C1744" s="3" t="s">
        <v>3371</v>
      </c>
      <c r="D1744" s="78"/>
      <c r="E1744" s="1480">
        <v>5</v>
      </c>
    </row>
    <row r="1745" spans="1:5">
      <c r="A1745" s="75">
        <v>39241</v>
      </c>
      <c r="B1745" s="86" t="str">
        <f>TiposLancamentos!B36</f>
        <v>Playstation 2</v>
      </c>
      <c r="C1745" s="3" t="s">
        <v>3372</v>
      </c>
      <c r="D1745" s="78"/>
      <c r="E1745" s="1480">
        <v>100</v>
      </c>
    </row>
    <row r="1746" spans="1:5">
      <c r="A1746" s="75">
        <v>39241</v>
      </c>
      <c r="B1746" s="86" t="str">
        <f>TiposLancamentos!B55</f>
        <v>Onibus Urbano</v>
      </c>
      <c r="C1746" s="3" t="s">
        <v>3373</v>
      </c>
      <c r="D1746" s="78"/>
      <c r="E1746" s="1480">
        <v>2.2999999999999998</v>
      </c>
    </row>
    <row r="1747" spans="1:5">
      <c r="A1747" s="75">
        <v>39241</v>
      </c>
      <c r="B1747" s="86" t="str">
        <f>TiposLancamentos!B16</f>
        <v>Cristiane</v>
      </c>
      <c r="C1747" s="3" t="s">
        <v>3374</v>
      </c>
      <c r="D1747" s="78"/>
      <c r="E1747" s="1480">
        <v>7.7</v>
      </c>
    </row>
    <row r="1748" spans="1:5">
      <c r="A1748" s="75">
        <v>39244</v>
      </c>
      <c r="B1748" s="86" t="str">
        <f>TiposLancamentos!B18</f>
        <v>Alimentacao</v>
      </c>
      <c r="C1748" s="3" t="s">
        <v>3375</v>
      </c>
      <c r="D1748" s="78"/>
      <c r="E1748" s="1480">
        <v>3.69</v>
      </c>
    </row>
    <row r="1749" spans="1:5">
      <c r="A1749" s="75">
        <v>39244</v>
      </c>
      <c r="B1749" s="86" t="str">
        <f>TiposLancamentos!B18</f>
        <v>Alimentacao</v>
      </c>
      <c r="C1749" s="3" t="s">
        <v>3184</v>
      </c>
      <c r="D1749" s="78"/>
      <c r="E1749" s="1480">
        <v>3.95</v>
      </c>
    </row>
    <row r="1750" spans="1:5">
      <c r="A1750" s="75">
        <v>39251</v>
      </c>
      <c r="B1750" s="86" t="str">
        <f>TiposLancamentos!B69</f>
        <v>Consertos</v>
      </c>
      <c r="C1750" s="3" t="s">
        <v>3376</v>
      </c>
      <c r="D1750" s="78"/>
      <c r="E1750" s="1480">
        <v>22.36</v>
      </c>
    </row>
    <row r="1751" spans="1:5">
      <c r="A1751" s="83"/>
      <c r="B1751" s="91"/>
      <c r="C1751" s="92" t="s">
        <v>3104</v>
      </c>
      <c r="D1751" s="74"/>
      <c r="E1751" s="1585"/>
    </row>
    <row r="1752" spans="1:5">
      <c r="A1752" s="83"/>
      <c r="B1752" s="91"/>
      <c r="C1752" s="92" t="s">
        <v>3377</v>
      </c>
      <c r="D1752" s="74"/>
      <c r="E1752" s="1585"/>
    </row>
    <row r="1753" spans="1:5">
      <c r="A1753" s="83"/>
      <c r="B1753" s="91"/>
      <c r="C1753" s="92" t="s">
        <v>3378</v>
      </c>
      <c r="D1753" s="74"/>
      <c r="E1753" s="1585"/>
    </row>
    <row r="1754" spans="1:5">
      <c r="A1754" s="75">
        <v>39329</v>
      </c>
      <c r="B1754" s="86" t="str">
        <f>TiposLancamentos!B98</f>
        <v>Restituições</v>
      </c>
      <c r="C1754" s="3" t="s">
        <v>3379</v>
      </c>
      <c r="D1754" s="78">
        <v>200</v>
      </c>
      <c r="E1754" s="1480"/>
    </row>
    <row r="1755" spans="1:5">
      <c r="A1755" s="75">
        <v>39329</v>
      </c>
      <c r="B1755" s="86" t="str">
        <f>TiposLancamentos!B16</f>
        <v>Cristiane</v>
      </c>
      <c r="C1755" s="3" t="s">
        <v>3380</v>
      </c>
      <c r="D1755" s="78"/>
      <c r="E1755" s="1480">
        <v>20</v>
      </c>
    </row>
    <row r="1756" spans="1:5">
      <c r="A1756" s="75">
        <v>39330</v>
      </c>
      <c r="B1756" s="86" t="str">
        <f>TiposLancamentos!B22</f>
        <v>Combustivel</v>
      </c>
      <c r="C1756" s="3" t="s">
        <v>3381</v>
      </c>
      <c r="D1756" s="78"/>
      <c r="E1756" s="1480">
        <v>60</v>
      </c>
    </row>
    <row r="1757" spans="1:5">
      <c r="A1757" s="75">
        <v>39330</v>
      </c>
      <c r="B1757" s="86" t="str">
        <f>TiposLancamentos!B24</f>
        <v>Estacionamentos</v>
      </c>
      <c r="C1757" s="3" t="s">
        <v>3382</v>
      </c>
      <c r="D1757" s="78"/>
      <c r="E1757" s="1480">
        <v>3</v>
      </c>
    </row>
    <row r="1758" spans="1:5">
      <c r="A1758" s="75">
        <v>39331</v>
      </c>
      <c r="B1758" s="86" t="str">
        <f>TiposLancamentos!B24</f>
        <v>Estacionamentos</v>
      </c>
      <c r="C1758" s="3" t="s">
        <v>3382</v>
      </c>
      <c r="D1758" s="78"/>
      <c r="E1758" s="1480">
        <v>3</v>
      </c>
    </row>
    <row r="1759" spans="1:5">
      <c r="A1759" s="75">
        <v>39331</v>
      </c>
      <c r="B1759" s="86" t="str">
        <f>TiposLancamentos!B56</f>
        <v>Farmácia</v>
      </c>
      <c r="C1759" s="3" t="s">
        <v>3383</v>
      </c>
      <c r="D1759" s="78"/>
      <c r="E1759" s="1480">
        <v>25</v>
      </c>
    </row>
    <row r="1760" spans="1:5">
      <c r="A1760" s="75">
        <v>39331</v>
      </c>
      <c r="B1760" s="86" t="str">
        <f>TiposLancamentos!B16</f>
        <v>Cristiane</v>
      </c>
      <c r="C1760" s="3" t="s">
        <v>2851</v>
      </c>
      <c r="D1760" s="78"/>
      <c r="E1760" s="1480">
        <v>15</v>
      </c>
    </row>
    <row r="1761" spans="1:5">
      <c r="A1761" s="75">
        <v>39332</v>
      </c>
      <c r="B1761" s="86" t="str">
        <f>TiposLancamentos!B5</f>
        <v>Supermercado</v>
      </c>
      <c r="C1761" s="3" t="s">
        <v>2567</v>
      </c>
      <c r="D1761" s="78"/>
      <c r="E1761" s="1480">
        <v>30</v>
      </c>
    </row>
    <row r="1762" spans="1:5">
      <c r="A1762" s="75">
        <v>39333</v>
      </c>
      <c r="B1762" s="86" t="str">
        <f>TiposLancamentos!B85</f>
        <v>Peugeout 206</v>
      </c>
      <c r="C1762" s="3" t="s">
        <v>3384</v>
      </c>
      <c r="D1762" s="78"/>
      <c r="E1762" s="1480">
        <v>10</v>
      </c>
    </row>
    <row r="1763" spans="1:5">
      <c r="A1763" s="75">
        <v>39333</v>
      </c>
      <c r="B1763" s="86" t="str">
        <f>TiposLancamentos!B13</f>
        <v>Moradia</v>
      </c>
      <c r="C1763" s="3" t="s">
        <v>2703</v>
      </c>
      <c r="D1763" s="78"/>
      <c r="E1763" s="1480">
        <v>10</v>
      </c>
    </row>
    <row r="1764" spans="1:5">
      <c r="A1764" s="75">
        <v>39333</v>
      </c>
      <c r="B1764" s="86" t="str">
        <f>TiposLancamentos!B24</f>
        <v>Estacionamentos</v>
      </c>
      <c r="C1764" s="3" t="s">
        <v>3385</v>
      </c>
      <c r="D1764" s="78"/>
      <c r="E1764" s="1480">
        <v>3</v>
      </c>
    </row>
    <row r="1765" spans="1:5">
      <c r="A1765" s="79">
        <v>39333</v>
      </c>
      <c r="B1765" s="95" t="str">
        <f>TiposLancamentos!B19</f>
        <v>Restaurantes</v>
      </c>
      <c r="C1765" s="96" t="s">
        <v>2654</v>
      </c>
      <c r="D1765" s="82"/>
      <c r="E1765" s="1583">
        <v>21</v>
      </c>
    </row>
    <row r="1766" spans="1:5">
      <c r="A1766" s="75"/>
      <c r="B1766" s="86"/>
      <c r="C1766" s="3" t="s">
        <v>3386</v>
      </c>
      <c r="D1766" s="78"/>
      <c r="E1766" s="1480"/>
    </row>
    <row r="1767" spans="1:5">
      <c r="A1767" s="75">
        <v>39371</v>
      </c>
      <c r="B1767" s="86" t="str">
        <f>TiposLancamentos!B20</f>
        <v>Saques</v>
      </c>
      <c r="C1767" s="3" t="s">
        <v>2668</v>
      </c>
      <c r="D1767" s="78">
        <v>40</v>
      </c>
      <c r="E1767" s="1480"/>
    </row>
    <row r="1768" spans="1:5">
      <c r="A1768" s="75">
        <v>39371</v>
      </c>
      <c r="B1768" s="86" t="str">
        <f>TiposLancamentos!B18</f>
        <v>Alimentacao</v>
      </c>
      <c r="C1768" s="3" t="s">
        <v>3387</v>
      </c>
      <c r="D1768" s="78"/>
      <c r="E1768" s="1480">
        <v>3.5</v>
      </c>
    </row>
    <row r="1769" spans="1:5">
      <c r="A1769" s="75">
        <v>39371</v>
      </c>
      <c r="B1769" s="86" t="str">
        <f>TiposLancamentos!B24</f>
        <v>Estacionamentos</v>
      </c>
      <c r="C1769" s="3" t="s">
        <v>3382</v>
      </c>
      <c r="D1769" s="78"/>
      <c r="E1769" s="1480">
        <v>4</v>
      </c>
    </row>
    <row r="1770" spans="1:5">
      <c r="A1770" s="75">
        <v>39371</v>
      </c>
      <c r="B1770" s="86" t="str">
        <f>TiposLancamentos!B18</f>
        <v>Alimentacao</v>
      </c>
      <c r="C1770" s="3" t="s">
        <v>3388</v>
      </c>
      <c r="D1770" s="78"/>
      <c r="E1770" s="1480">
        <v>10.5</v>
      </c>
    </row>
    <row r="1771" spans="1:5">
      <c r="A1771" s="75">
        <v>39371</v>
      </c>
      <c r="B1771" s="86" t="str">
        <f>TiposLancamentos!B24</f>
        <v>Estacionamentos</v>
      </c>
      <c r="C1771" s="3" t="s">
        <v>3350</v>
      </c>
      <c r="D1771" s="78"/>
      <c r="E1771" s="1480">
        <v>4</v>
      </c>
    </row>
    <row r="1772" spans="1:5">
      <c r="A1772" s="75">
        <v>39372</v>
      </c>
      <c r="B1772" s="86" t="str">
        <f>TiposLancamentos!B60</f>
        <v>Correio</v>
      </c>
      <c r="C1772" s="3" t="s">
        <v>3389</v>
      </c>
      <c r="D1772" s="78"/>
      <c r="E1772" s="1480">
        <v>18</v>
      </c>
    </row>
    <row r="1773" spans="1:5">
      <c r="A1773" s="75">
        <v>39373</v>
      </c>
      <c r="B1773" s="86" t="str">
        <f>TiposLancamentos!B20</f>
        <v>Saques</v>
      </c>
      <c r="C1773" s="3" t="s">
        <v>2668</v>
      </c>
      <c r="D1773" s="78">
        <v>20</v>
      </c>
      <c r="E1773" s="1480"/>
    </row>
    <row r="1774" spans="1:5">
      <c r="A1774" s="75">
        <v>39373</v>
      </c>
      <c r="B1774" s="86" t="str">
        <f>TiposLancamentos!B18</f>
        <v>Alimentacao</v>
      </c>
      <c r="C1774" s="3" t="s">
        <v>2703</v>
      </c>
      <c r="D1774" s="78"/>
      <c r="E1774" s="1480">
        <v>5</v>
      </c>
    </row>
    <row r="1775" spans="1:5">
      <c r="A1775" s="75">
        <v>39373</v>
      </c>
      <c r="B1775" s="86" t="str">
        <f>TiposLancamentos!B24</f>
        <v>Estacionamentos</v>
      </c>
      <c r="C1775" s="3" t="s">
        <v>3390</v>
      </c>
      <c r="D1775" s="78"/>
      <c r="E1775" s="1480">
        <v>1</v>
      </c>
    </row>
    <row r="1776" spans="1:5">
      <c r="A1776" s="75">
        <v>39374</v>
      </c>
      <c r="B1776" s="86" t="str">
        <f>TiposLancamentos!B24</f>
        <v>Estacionamentos</v>
      </c>
      <c r="C1776" s="3" t="s">
        <v>3391</v>
      </c>
      <c r="D1776" s="78"/>
      <c r="E1776" s="1480">
        <v>5</v>
      </c>
    </row>
    <row r="1777" spans="1:5">
      <c r="A1777" s="75">
        <v>39374</v>
      </c>
      <c r="B1777" s="86" t="str">
        <f>TiposLancamentos!B18</f>
        <v>Alimentacao</v>
      </c>
      <c r="C1777" s="3" t="s">
        <v>3392</v>
      </c>
      <c r="D1777" s="78"/>
      <c r="E1777" s="1480">
        <v>3.5</v>
      </c>
    </row>
    <row r="1778" spans="1:5">
      <c r="A1778" s="75">
        <v>39374</v>
      </c>
      <c r="B1778" s="86" t="str">
        <f>TiposLancamentos!B16</f>
        <v>Cristiane</v>
      </c>
      <c r="C1778" s="3" t="s">
        <v>1698</v>
      </c>
      <c r="D1778" s="78"/>
      <c r="E1778" s="1480">
        <v>5.5</v>
      </c>
    </row>
    <row r="1779" spans="1:5">
      <c r="A1779" s="75">
        <v>39375</v>
      </c>
      <c r="B1779" s="86" t="str">
        <f>TiposLancamentos!B20</f>
        <v>Saques</v>
      </c>
      <c r="C1779" s="3" t="s">
        <v>3393</v>
      </c>
      <c r="D1779" s="78">
        <v>20</v>
      </c>
      <c r="E1779" s="1480"/>
    </row>
    <row r="1780" spans="1:5">
      <c r="A1780" s="75">
        <v>39377</v>
      </c>
      <c r="B1780" s="86" t="str">
        <f>TiposLancamentos!B24</f>
        <v>Estacionamentos</v>
      </c>
      <c r="C1780" s="3" t="s">
        <v>3394</v>
      </c>
      <c r="D1780" s="78"/>
      <c r="E1780" s="1480">
        <v>2</v>
      </c>
    </row>
    <row r="1781" spans="1:5">
      <c r="A1781" s="75">
        <v>39378</v>
      </c>
      <c r="B1781" s="86" t="str">
        <f>TiposLancamentos!B24</f>
        <v>Estacionamentos</v>
      </c>
      <c r="C1781" s="3" t="s">
        <v>3395</v>
      </c>
      <c r="D1781" s="78"/>
      <c r="E1781" s="1480">
        <v>3</v>
      </c>
    </row>
    <row r="1782" spans="1:5">
      <c r="A1782" s="75">
        <v>39379</v>
      </c>
      <c r="B1782" s="86" t="str">
        <f>TiposLancamentos!B16</f>
        <v>Cristiane</v>
      </c>
      <c r="C1782" s="3" t="s">
        <v>1698</v>
      </c>
      <c r="D1782" s="78"/>
      <c r="E1782" s="1480">
        <v>10</v>
      </c>
    </row>
    <row r="1783" spans="1:5">
      <c r="A1783" s="75">
        <v>39379</v>
      </c>
      <c r="B1783" s="86" t="str">
        <f>TiposLancamentos!B24</f>
        <v>Estacionamentos</v>
      </c>
      <c r="C1783" s="3" t="s">
        <v>2527</v>
      </c>
      <c r="D1783" s="78"/>
      <c r="E1783" s="1480">
        <v>3</v>
      </c>
    </row>
    <row r="1784" spans="1:5">
      <c r="A1784" s="75">
        <v>39379</v>
      </c>
      <c r="B1784" s="86" t="str">
        <f>TiposLancamentos!B16</f>
        <v>Cristiane</v>
      </c>
      <c r="C1784" s="3" t="s">
        <v>2888</v>
      </c>
      <c r="D1784" s="78">
        <v>1</v>
      </c>
      <c r="E1784" s="1480"/>
    </row>
    <row r="1785" spans="1:5">
      <c r="A1785" s="75">
        <v>39380</v>
      </c>
      <c r="B1785" s="86" t="str">
        <f>TiposLancamentos!B16</f>
        <v>Cristiane</v>
      </c>
      <c r="C1785" s="3" t="s">
        <v>2287</v>
      </c>
      <c r="D1785" s="78"/>
      <c r="E1785" s="1480">
        <v>3</v>
      </c>
    </row>
    <row r="1786" spans="1:5">
      <c r="A1786" s="83"/>
      <c r="B1786" s="91"/>
      <c r="C1786" s="92" t="s">
        <v>3396</v>
      </c>
      <c r="D1786" s="74"/>
      <c r="E1786" s="1585"/>
    </row>
    <row r="1787" spans="1:5">
      <c r="A1787" s="75">
        <v>39391</v>
      </c>
      <c r="B1787" s="86" t="str">
        <f>TiposLancamentos!B98</f>
        <v>Restituições</v>
      </c>
      <c r="C1787" s="3" t="s">
        <v>3397</v>
      </c>
      <c r="D1787" s="78">
        <v>40</v>
      </c>
      <c r="E1787" s="1480"/>
    </row>
    <row r="1788" spans="1:5">
      <c r="A1788" s="75">
        <v>39391</v>
      </c>
      <c r="B1788" s="86" t="str">
        <f>TiposLancamentos!B24</f>
        <v>Estacionamentos</v>
      </c>
      <c r="C1788" s="3" t="s">
        <v>3398</v>
      </c>
      <c r="D1788" s="78"/>
      <c r="E1788" s="1480">
        <v>2</v>
      </c>
    </row>
    <row r="1789" spans="1:5">
      <c r="A1789" s="75">
        <v>39391</v>
      </c>
      <c r="B1789" s="86" t="str">
        <f>TiposLancamentos!B19</f>
        <v>Restaurantes</v>
      </c>
      <c r="C1789" s="3" t="s">
        <v>3399</v>
      </c>
      <c r="D1789" s="78"/>
      <c r="E1789" s="1480">
        <v>9.6</v>
      </c>
    </row>
    <row r="1790" spans="1:5">
      <c r="A1790" s="75">
        <v>39391</v>
      </c>
      <c r="B1790" s="86" t="str">
        <f>TiposLancamentos!B24</f>
        <v>Estacionamentos</v>
      </c>
      <c r="C1790" s="3" t="s">
        <v>3400</v>
      </c>
      <c r="D1790" s="78"/>
      <c r="E1790" s="1480">
        <v>4</v>
      </c>
    </row>
    <row r="1791" spans="1:5">
      <c r="A1791" s="75">
        <v>39392</v>
      </c>
      <c r="B1791" s="86" t="str">
        <f>TiposLancamentos!B16</f>
        <v>Cristiane</v>
      </c>
      <c r="C1791" s="3" t="s">
        <v>3016</v>
      </c>
      <c r="D1791" s="78"/>
      <c r="E1791" s="1480">
        <v>20</v>
      </c>
    </row>
    <row r="1792" spans="1:5">
      <c r="A1792" s="75">
        <v>39393</v>
      </c>
      <c r="B1792" s="86" t="str">
        <f>TiposLancamentos!B16</f>
        <v>Cristiane</v>
      </c>
      <c r="C1792" s="3" t="s">
        <v>3101</v>
      </c>
      <c r="D1792" s="78"/>
      <c r="E1792" s="1480">
        <v>4.4000000000000004</v>
      </c>
    </row>
    <row r="1793" spans="1:5">
      <c r="A1793" s="75">
        <v>39393</v>
      </c>
      <c r="B1793" s="86" t="str">
        <f>TiposLancamentos!B20</f>
        <v>Saques</v>
      </c>
      <c r="C1793" s="3" t="s">
        <v>3401</v>
      </c>
      <c r="D1793" s="78">
        <v>10</v>
      </c>
      <c r="E1793" s="1480"/>
    </row>
    <row r="1794" spans="1:5">
      <c r="A1794" s="75">
        <v>39393</v>
      </c>
      <c r="B1794" s="86" t="str">
        <f>TiposLancamentos!B24</f>
        <v>Estacionamentos</v>
      </c>
      <c r="C1794" s="3" t="s">
        <v>3350</v>
      </c>
      <c r="D1794" s="78"/>
      <c r="E1794" s="1480">
        <v>4</v>
      </c>
    </row>
    <row r="1795" spans="1:5">
      <c r="A1795" s="75">
        <v>39394</v>
      </c>
      <c r="B1795" s="86" t="str">
        <f>TiposLancamentos!B19</f>
        <v>Restaurantes</v>
      </c>
      <c r="C1795" s="3" t="s">
        <v>3402</v>
      </c>
      <c r="D1795" s="78"/>
      <c r="E1795" s="1480">
        <v>6</v>
      </c>
    </row>
    <row r="1796" spans="1:5">
      <c r="A1796" s="75">
        <v>39395</v>
      </c>
      <c r="B1796" s="86" t="str">
        <f>TiposLancamentos!B20</f>
        <v>Saques</v>
      </c>
      <c r="C1796" s="3" t="s">
        <v>3403</v>
      </c>
      <c r="D1796" s="78">
        <v>10</v>
      </c>
      <c r="E1796" s="1480"/>
    </row>
    <row r="1797" spans="1:5">
      <c r="A1797" s="75">
        <v>39395</v>
      </c>
      <c r="B1797" s="86" t="str">
        <f>TiposLancamentos!B24</f>
        <v>Estacionamentos</v>
      </c>
      <c r="C1797" s="3" t="s">
        <v>3404</v>
      </c>
      <c r="D1797" s="78"/>
      <c r="E1797" s="1480">
        <v>3</v>
      </c>
    </row>
    <row r="1798" spans="1:5">
      <c r="A1798" s="75">
        <v>39398</v>
      </c>
      <c r="B1798" s="86" t="str">
        <f>TiposLancamentos!B24</f>
        <v>Estacionamentos</v>
      </c>
      <c r="C1798" s="3" t="s">
        <v>3405</v>
      </c>
      <c r="D1798" s="78"/>
      <c r="E1798" s="1480">
        <v>3</v>
      </c>
    </row>
    <row r="1799" spans="1:5">
      <c r="A1799" s="75">
        <v>39402</v>
      </c>
      <c r="B1799" s="86" t="str">
        <f>TiposLancamentos!B24</f>
        <v>Estacionamentos</v>
      </c>
      <c r="C1799" s="3" t="s">
        <v>3342</v>
      </c>
      <c r="D1799" s="78"/>
      <c r="E1799" s="1480">
        <v>4</v>
      </c>
    </row>
    <row r="1800" spans="1:5">
      <c r="A1800" s="75">
        <v>39409</v>
      </c>
      <c r="B1800" s="86" t="str">
        <f>TiposLancamentos!B20</f>
        <v>Saques</v>
      </c>
      <c r="C1800" s="3" t="s">
        <v>3406</v>
      </c>
      <c r="D1800" s="78">
        <v>20</v>
      </c>
      <c r="E1800" s="1480"/>
    </row>
    <row r="1801" spans="1:5">
      <c r="A1801" s="75">
        <v>39410</v>
      </c>
      <c r="B1801" s="86" t="str">
        <f>TiposLancamentos!B24</f>
        <v>Estacionamentos</v>
      </c>
      <c r="C1801" s="3" t="s">
        <v>3382</v>
      </c>
      <c r="D1801" s="78"/>
      <c r="E1801" s="1480">
        <v>3</v>
      </c>
    </row>
    <row r="1802" spans="1:5">
      <c r="A1802" s="75">
        <v>39410</v>
      </c>
      <c r="B1802" s="86" t="str">
        <f>TiposLancamentos!B24</f>
        <v>Estacionamentos</v>
      </c>
      <c r="C1802" s="3" t="s">
        <v>3407</v>
      </c>
      <c r="D1802" s="78"/>
      <c r="E1802" s="1480">
        <v>7</v>
      </c>
    </row>
    <row r="1803" spans="1:5">
      <c r="A1803" s="75">
        <v>39410</v>
      </c>
      <c r="B1803" s="86" t="str">
        <f>TiposLancamentos!B24</f>
        <v>Estacionamentos</v>
      </c>
      <c r="C1803" s="3" t="s">
        <v>3398</v>
      </c>
      <c r="D1803" s="78"/>
      <c r="E1803" s="1480">
        <v>6</v>
      </c>
    </row>
    <row r="1804" spans="1:5">
      <c r="A1804" s="75">
        <v>39412</v>
      </c>
      <c r="B1804" s="86" t="str">
        <f>TiposLancamentos!B20</f>
        <v>Saques</v>
      </c>
      <c r="C1804" s="3" t="s">
        <v>3406</v>
      </c>
      <c r="D1804" s="78">
        <v>10</v>
      </c>
      <c r="E1804" s="1480"/>
    </row>
    <row r="1805" spans="1:5">
      <c r="A1805" s="75">
        <v>39412</v>
      </c>
      <c r="B1805" s="86" t="str">
        <f>TiposLancamentos!B24</f>
        <v>Estacionamentos</v>
      </c>
      <c r="C1805" s="3" t="s">
        <v>3398</v>
      </c>
      <c r="D1805" s="78"/>
      <c r="E1805" s="1480">
        <v>2</v>
      </c>
    </row>
    <row r="1806" spans="1:5">
      <c r="A1806" s="75">
        <v>39412</v>
      </c>
      <c r="B1806" s="86" t="str">
        <f>TiposLancamentos!B24</f>
        <v>Estacionamentos</v>
      </c>
      <c r="C1806" s="3" t="s">
        <v>3404</v>
      </c>
      <c r="D1806" s="78"/>
      <c r="E1806" s="1480">
        <v>5</v>
      </c>
    </row>
    <row r="1807" spans="1:5">
      <c r="A1807" s="75">
        <v>39413</v>
      </c>
      <c r="B1807" s="86" t="str">
        <f>TiposLancamentos!B24</f>
        <v>Estacionamentos</v>
      </c>
      <c r="C1807" s="3" t="s">
        <v>3398</v>
      </c>
      <c r="D1807" s="78"/>
      <c r="E1807" s="1480">
        <v>2</v>
      </c>
    </row>
    <row r="1808" spans="1:5">
      <c r="A1808" s="75">
        <v>39414</v>
      </c>
      <c r="B1808" s="86" t="str">
        <f>TiposLancamentos!B16</f>
        <v>Cristiane</v>
      </c>
      <c r="C1808" s="3" t="s">
        <v>3147</v>
      </c>
      <c r="D1808" s="78"/>
      <c r="E1808" s="1480">
        <v>5</v>
      </c>
    </row>
    <row r="1809" spans="1:5">
      <c r="A1809" s="75">
        <v>39414</v>
      </c>
      <c r="B1809" s="86" t="str">
        <f>TiposLancamentos!B20</f>
        <v>Saques</v>
      </c>
      <c r="C1809" s="3" t="s">
        <v>3406</v>
      </c>
      <c r="D1809" s="78">
        <v>30</v>
      </c>
      <c r="E1809" s="1480"/>
    </row>
    <row r="1810" spans="1:5">
      <c r="A1810" s="75">
        <v>39415</v>
      </c>
      <c r="B1810" s="86" t="str">
        <f>TiposLancamentos!B16</f>
        <v>Cristiane</v>
      </c>
      <c r="C1810" s="3" t="s">
        <v>2851</v>
      </c>
      <c r="D1810" s="78"/>
      <c r="E1810" s="1480">
        <v>20</v>
      </c>
    </row>
    <row r="1811" spans="1:5">
      <c r="A1811" s="75">
        <v>39415</v>
      </c>
      <c r="B1811" s="86" t="str">
        <f>TiposLancamentos!B24</f>
        <v>Estacionamentos</v>
      </c>
      <c r="C1811" s="3" t="s">
        <v>3408</v>
      </c>
      <c r="D1811" s="78"/>
      <c r="E1811" s="1480">
        <v>3</v>
      </c>
    </row>
    <row r="1812" spans="1:5">
      <c r="A1812" s="75">
        <v>39415</v>
      </c>
      <c r="B1812" s="86" t="str">
        <f>TiposLancamentos!B24</f>
        <v>Estacionamentos</v>
      </c>
      <c r="C1812" s="3" t="s">
        <v>3241</v>
      </c>
      <c r="D1812" s="78"/>
      <c r="E1812" s="1480">
        <v>4</v>
      </c>
    </row>
    <row r="1813" spans="1:5">
      <c r="A1813" s="99"/>
      <c r="B1813" s="1590"/>
      <c r="C1813" s="100" t="s">
        <v>3409</v>
      </c>
      <c r="D1813" s="1591"/>
      <c r="E1813" s="1592"/>
    </row>
    <row r="1814" spans="1:5">
      <c r="A1814" s="103">
        <v>39422</v>
      </c>
      <c r="B1814" s="86" t="str">
        <f>TiposLancamentos!B16</f>
        <v>Cristiane</v>
      </c>
      <c r="C1814" s="3" t="s">
        <v>3410</v>
      </c>
      <c r="D1814" s="78">
        <v>20</v>
      </c>
      <c r="E1814" s="1480"/>
    </row>
    <row r="1815" spans="1:5">
      <c r="A1815" s="103">
        <v>39422</v>
      </c>
      <c r="B1815" s="86" t="str">
        <f>TiposLancamentos!B65</f>
        <v>Taxi</v>
      </c>
      <c r="C1815" s="3" t="s">
        <v>3411</v>
      </c>
      <c r="D1815" s="78"/>
      <c r="E1815" s="1480">
        <f>9+8</f>
        <v>17</v>
      </c>
    </row>
    <row r="1816" spans="1:5">
      <c r="A1816" s="103">
        <v>39433</v>
      </c>
      <c r="B1816" s="86" t="str">
        <f>TiposLancamentos!B20</f>
        <v>Saques</v>
      </c>
      <c r="C1816" s="3" t="s">
        <v>3406</v>
      </c>
      <c r="D1816" s="78">
        <v>20</v>
      </c>
      <c r="E1816" s="1480"/>
    </row>
    <row r="1817" spans="1:5">
      <c r="A1817" s="103">
        <v>39433</v>
      </c>
      <c r="B1817" s="86" t="str">
        <f>TiposLancamentos!B16</f>
        <v>Cristiane</v>
      </c>
      <c r="C1817" s="3" t="s">
        <v>3016</v>
      </c>
      <c r="D1817" s="78"/>
      <c r="E1817" s="1480">
        <v>20</v>
      </c>
    </row>
    <row r="1818" spans="1:5">
      <c r="A1818" s="103">
        <v>39437</v>
      </c>
      <c r="B1818" s="86" t="str">
        <f>TiposLancamentos!B20</f>
        <v>Saques</v>
      </c>
      <c r="C1818" s="3" t="s">
        <v>3403</v>
      </c>
      <c r="D1818" s="78">
        <v>50</v>
      </c>
      <c r="E1818" s="1480"/>
    </row>
    <row r="1819" spans="1:5">
      <c r="A1819" s="103">
        <v>39437</v>
      </c>
      <c r="B1819" s="86" t="str">
        <f>TiposLancamentos!B24</f>
        <v>Estacionamentos</v>
      </c>
      <c r="C1819" s="3" t="s">
        <v>3408</v>
      </c>
      <c r="D1819" s="78"/>
      <c r="E1819" s="1480">
        <v>3</v>
      </c>
    </row>
    <row r="1820" spans="1:5">
      <c r="A1820" s="103">
        <v>39438</v>
      </c>
      <c r="B1820" s="86" t="str">
        <f>TiposLancamentos!B19</f>
        <v>Restaurantes</v>
      </c>
      <c r="C1820" s="3" t="s">
        <v>3412</v>
      </c>
      <c r="D1820" s="78"/>
      <c r="E1820" s="1480">
        <v>10</v>
      </c>
    </row>
    <row r="1821" spans="1:5">
      <c r="A1821" s="103">
        <v>39438</v>
      </c>
      <c r="B1821" s="86" t="str">
        <f>TiposLancamentos!B19</f>
        <v>Restaurantes</v>
      </c>
      <c r="C1821" s="3" t="s">
        <v>2934</v>
      </c>
      <c r="D1821" s="78"/>
      <c r="E1821" s="1480">
        <v>5.5</v>
      </c>
    </row>
    <row r="1822" spans="1:5">
      <c r="A1822" s="103">
        <v>39440</v>
      </c>
      <c r="B1822" s="86" t="str">
        <f>TiposLancamentos!B16</f>
        <v>Cristiane</v>
      </c>
      <c r="C1822" s="3" t="s">
        <v>2851</v>
      </c>
      <c r="D1822" s="78"/>
      <c r="E1822" s="1480">
        <v>5</v>
      </c>
    </row>
    <row r="1823" spans="1:5">
      <c r="A1823" s="103">
        <v>39440</v>
      </c>
      <c r="B1823" s="86" t="str">
        <f>TiposLancamentos!B85</f>
        <v>Peugeout 206</v>
      </c>
      <c r="C1823" s="3" t="s">
        <v>3413</v>
      </c>
      <c r="D1823" s="78"/>
      <c r="E1823" s="1480">
        <v>15</v>
      </c>
    </row>
    <row r="1824" spans="1:5">
      <c r="A1824" s="103">
        <v>39412</v>
      </c>
      <c r="B1824" s="86" t="str">
        <f>TiposLancamentos!B16</f>
        <v>Cristiane</v>
      </c>
      <c r="C1824" s="3" t="s">
        <v>3414</v>
      </c>
      <c r="D1824" s="78"/>
      <c r="E1824" s="1480">
        <v>3.15</v>
      </c>
    </row>
    <row r="1825" spans="1:5">
      <c r="A1825" s="103">
        <v>39412</v>
      </c>
      <c r="B1825" s="86" t="str">
        <f>TiposLancamentos!B24</f>
        <v>Estacionamentos</v>
      </c>
      <c r="C1825" s="3" t="s">
        <v>3415</v>
      </c>
      <c r="D1825" s="78"/>
      <c r="E1825" s="1480">
        <v>3</v>
      </c>
    </row>
    <row r="1826" spans="1:5">
      <c r="A1826" s="103">
        <v>39444</v>
      </c>
      <c r="B1826" s="86" t="str">
        <f>TiposLancamentos!B20</f>
        <v>Saques</v>
      </c>
      <c r="C1826" s="3" t="s">
        <v>3403</v>
      </c>
      <c r="D1826" s="78">
        <v>60</v>
      </c>
      <c r="E1826" s="1480"/>
    </row>
    <row r="1827" spans="1:5">
      <c r="A1827" s="103">
        <v>39444</v>
      </c>
      <c r="B1827" s="86" t="str">
        <f>TiposLancamentos!B24</f>
        <v>Estacionamentos</v>
      </c>
      <c r="C1827" s="3" t="s">
        <v>3309</v>
      </c>
      <c r="D1827" s="78"/>
      <c r="E1827" s="1480">
        <v>3</v>
      </c>
    </row>
    <row r="1828" spans="1:5">
      <c r="A1828" s="103">
        <v>39445</v>
      </c>
      <c r="B1828" s="86" t="str">
        <f>TiposLancamentos!B18</f>
        <v>Alimentacao</v>
      </c>
      <c r="C1828" s="3" t="s">
        <v>3416</v>
      </c>
      <c r="D1828" s="78"/>
      <c r="E1828" s="1480">
        <v>7.85</v>
      </c>
    </row>
    <row r="1829" spans="1:5">
      <c r="A1829" s="103">
        <v>39445</v>
      </c>
      <c r="B1829" s="86" t="str">
        <f>TiposLancamentos!B24</f>
        <v>Estacionamentos</v>
      </c>
      <c r="C1829" s="3" t="s">
        <v>3417</v>
      </c>
      <c r="D1829" s="78"/>
      <c r="E1829" s="1480">
        <v>4</v>
      </c>
    </row>
    <row r="1830" spans="1:5">
      <c r="A1830" s="103">
        <v>39446</v>
      </c>
      <c r="B1830" s="86" t="str">
        <f>TiposLancamentos!B16</f>
        <v>Cristiane</v>
      </c>
      <c r="C1830" s="3" t="s">
        <v>1698</v>
      </c>
      <c r="D1830" s="78"/>
      <c r="E1830" s="1480">
        <v>10</v>
      </c>
    </row>
    <row r="1831" spans="1:5">
      <c r="A1831" s="103">
        <v>39447</v>
      </c>
      <c r="B1831" s="86" t="str">
        <f>TiposLancamentos!B78</f>
        <v>Diferenças</v>
      </c>
      <c r="C1831" s="3" t="s">
        <v>2488</v>
      </c>
      <c r="D1831" s="78"/>
      <c r="E1831" s="1480">
        <v>6</v>
      </c>
    </row>
    <row r="1832" spans="1:5">
      <c r="A1832" s="99"/>
      <c r="B1832" s="1590"/>
      <c r="C1832" s="100" t="s">
        <v>3418</v>
      </c>
      <c r="D1832" s="1591"/>
      <c r="E1832" s="1592"/>
    </row>
    <row r="1833" spans="1:5">
      <c r="A1833" s="103">
        <v>39449</v>
      </c>
      <c r="B1833" s="86" t="str">
        <f>TiposLancamentos!B16</f>
        <v>Cristiane</v>
      </c>
      <c r="C1833" s="3" t="s">
        <v>3016</v>
      </c>
      <c r="D1833" s="78"/>
      <c r="E1833" s="1480">
        <v>30</v>
      </c>
    </row>
    <row r="1834" spans="1:5">
      <c r="A1834" s="103">
        <v>39450</v>
      </c>
      <c r="B1834" s="86" t="str">
        <f>TiposLancamentos!B18</f>
        <v>Alimentacao</v>
      </c>
      <c r="C1834" s="3" t="s">
        <v>3419</v>
      </c>
      <c r="D1834" s="78"/>
      <c r="E1834" s="1480">
        <v>3</v>
      </c>
    </row>
    <row r="1835" spans="1:5">
      <c r="A1835" s="103">
        <v>39451</v>
      </c>
      <c r="B1835" s="86" t="str">
        <f>TiposLancamentos!B24</f>
        <v>Estacionamentos</v>
      </c>
      <c r="C1835" s="3" t="s">
        <v>3241</v>
      </c>
      <c r="D1835" s="78"/>
      <c r="E1835" s="1480">
        <v>1.5</v>
      </c>
    </row>
    <row r="1836" spans="1:5">
      <c r="A1836" s="103">
        <v>39451</v>
      </c>
      <c r="B1836" s="86" t="str">
        <f>TiposLancamentos!B24</f>
        <v>Estacionamentos</v>
      </c>
      <c r="C1836" s="3" t="s">
        <v>3382</v>
      </c>
      <c r="D1836" s="78"/>
      <c r="E1836" s="1480">
        <v>3</v>
      </c>
    </row>
    <row r="1837" spans="1:5">
      <c r="A1837" s="103">
        <v>39454</v>
      </c>
      <c r="B1837" s="86" t="str">
        <f>TiposLancamentos!B20</f>
        <v>Saques</v>
      </c>
      <c r="C1837" s="3" t="s">
        <v>3406</v>
      </c>
      <c r="D1837" s="78">
        <v>10</v>
      </c>
      <c r="E1837" s="1480"/>
    </row>
    <row r="1838" spans="1:5">
      <c r="A1838" s="103">
        <v>39454</v>
      </c>
      <c r="B1838" s="86" t="str">
        <f>TiposLancamentos!B18</f>
        <v>Alimentacao</v>
      </c>
      <c r="C1838" s="3" t="s">
        <v>3419</v>
      </c>
      <c r="D1838" s="78"/>
      <c r="E1838" s="1480">
        <v>2.75</v>
      </c>
    </row>
    <row r="1839" spans="1:5">
      <c r="A1839" s="103">
        <v>39455</v>
      </c>
      <c r="B1839" s="86" t="str">
        <f>TiposLancamentos!B18</f>
        <v>Alimentacao</v>
      </c>
      <c r="C1839" s="3" t="s">
        <v>3238</v>
      </c>
      <c r="D1839" s="78"/>
      <c r="E1839" s="1480">
        <v>5.3</v>
      </c>
    </row>
    <row r="1840" spans="1:5">
      <c r="A1840" s="103">
        <v>39456</v>
      </c>
      <c r="B1840" s="86" t="str">
        <f>TiposLancamentos!B16</f>
        <v>Cristiane</v>
      </c>
      <c r="C1840" s="3" t="s">
        <v>1698</v>
      </c>
      <c r="D1840" s="78"/>
      <c r="E1840" s="1480">
        <v>3.95</v>
      </c>
    </row>
    <row r="1841" spans="1:5">
      <c r="A1841" s="103">
        <v>39458</v>
      </c>
      <c r="B1841" s="86" t="str">
        <f>TiposLancamentos!B20</f>
        <v>Saques</v>
      </c>
      <c r="C1841" s="3" t="s">
        <v>3406</v>
      </c>
      <c r="D1841" s="78">
        <v>60</v>
      </c>
      <c r="E1841" s="1480"/>
    </row>
    <row r="1842" spans="1:5">
      <c r="A1842" s="103">
        <v>39458</v>
      </c>
      <c r="B1842" s="86" t="str">
        <f>TiposLancamentos!B24</f>
        <v>Estacionamentos</v>
      </c>
      <c r="C1842" s="3" t="s">
        <v>3385</v>
      </c>
      <c r="D1842" s="78"/>
      <c r="E1842" s="1480">
        <v>3</v>
      </c>
    </row>
    <row r="1843" spans="1:5">
      <c r="A1843" s="103">
        <v>39458</v>
      </c>
      <c r="B1843" s="86" t="str">
        <f>TiposLancamentos!B56</f>
        <v>Farmácia</v>
      </c>
      <c r="C1843" s="3" t="s">
        <v>3420</v>
      </c>
      <c r="D1843" s="78"/>
      <c r="E1843" s="1480">
        <v>29.81</v>
      </c>
    </row>
    <row r="1844" spans="1:5">
      <c r="A1844" s="103">
        <v>39463</v>
      </c>
      <c r="B1844" s="86" t="str">
        <f>TiposLancamentos!B18</f>
        <v>Alimentacao</v>
      </c>
      <c r="C1844" s="3" t="s">
        <v>3421</v>
      </c>
      <c r="D1844" s="78"/>
      <c r="E1844" s="1480">
        <v>3.5</v>
      </c>
    </row>
    <row r="1845" spans="1:5">
      <c r="A1845" s="103">
        <v>39463</v>
      </c>
      <c r="B1845" s="86" t="str">
        <f>TiposLancamentos!B19</f>
        <v>Restaurantes</v>
      </c>
      <c r="C1845" s="3" t="s">
        <v>3284</v>
      </c>
      <c r="D1845" s="78"/>
      <c r="E1845" s="1480">
        <v>24.69</v>
      </c>
    </row>
    <row r="1846" spans="1:5">
      <c r="A1846" s="103">
        <v>39465</v>
      </c>
      <c r="B1846" s="86" t="str">
        <f>TiposLancamentos!B20</f>
        <v>Saques</v>
      </c>
      <c r="C1846" s="3" t="s">
        <v>3403</v>
      </c>
      <c r="D1846" s="78">
        <v>60</v>
      </c>
      <c r="E1846" s="1480"/>
    </row>
    <row r="1847" spans="1:5">
      <c r="A1847" s="103">
        <v>39465</v>
      </c>
      <c r="B1847" s="86" t="str">
        <f>TiposLancamentos!B24</f>
        <v>Estacionamentos</v>
      </c>
      <c r="C1847" s="3" t="s">
        <v>3422</v>
      </c>
      <c r="D1847" s="78"/>
      <c r="E1847" s="1480">
        <v>3</v>
      </c>
    </row>
    <row r="1848" spans="1:5">
      <c r="A1848" s="103">
        <v>39468</v>
      </c>
      <c r="B1848" s="86" t="str">
        <f>TiposLancamentos!B18</f>
        <v>Alimentacao</v>
      </c>
      <c r="C1848" s="3" t="s">
        <v>3238</v>
      </c>
      <c r="D1848" s="78"/>
      <c r="E1848" s="1480">
        <v>5.4</v>
      </c>
    </row>
    <row r="1849" spans="1:5">
      <c r="A1849" s="103">
        <v>39469</v>
      </c>
      <c r="B1849" s="86" t="str">
        <f>TiposLancamentos!B18</f>
        <v>Alimentacao</v>
      </c>
      <c r="C1849" s="3" t="s">
        <v>3423</v>
      </c>
      <c r="D1849" s="78"/>
      <c r="E1849" s="1480">
        <v>0.5</v>
      </c>
    </row>
    <row r="1850" spans="1:5">
      <c r="A1850" s="103">
        <v>39470</v>
      </c>
      <c r="B1850" s="86" t="str">
        <f>TiposLancamentos!B24</f>
        <v>Estacionamentos</v>
      </c>
      <c r="C1850" s="3" t="s">
        <v>3424</v>
      </c>
      <c r="D1850" s="78"/>
      <c r="E1850" s="1480">
        <v>1</v>
      </c>
    </row>
    <row r="1851" spans="1:5">
      <c r="A1851" s="103">
        <v>39470</v>
      </c>
      <c r="B1851" s="86" t="str">
        <f>TiposLancamentos!B18</f>
        <v>Alimentacao</v>
      </c>
      <c r="C1851" s="3" t="s">
        <v>3425</v>
      </c>
      <c r="D1851" s="78"/>
      <c r="E1851" s="1480">
        <v>5</v>
      </c>
    </row>
    <row r="1852" spans="1:5">
      <c r="A1852" s="103">
        <v>39471</v>
      </c>
      <c r="B1852" s="86" t="str">
        <f>TiposLancamentos!B18</f>
        <v>Alimentacao</v>
      </c>
      <c r="C1852" s="3" t="s">
        <v>3426</v>
      </c>
      <c r="D1852" s="78"/>
      <c r="E1852" s="1480">
        <v>3.5</v>
      </c>
    </row>
    <row r="1853" spans="1:5">
      <c r="A1853" s="103">
        <v>39471</v>
      </c>
      <c r="B1853" s="86" t="str">
        <f>TiposLancamentos!B19</f>
        <v>Restaurantes</v>
      </c>
      <c r="C1853" s="3" t="s">
        <v>3427</v>
      </c>
      <c r="D1853" s="78"/>
      <c r="E1853" s="1480">
        <v>6.5</v>
      </c>
    </row>
    <row r="1854" spans="1:5">
      <c r="A1854" s="103">
        <v>39471</v>
      </c>
      <c r="B1854" s="86" t="str">
        <f>TiposLancamentos!B97</f>
        <v>Deposito Terc.</v>
      </c>
      <c r="C1854" s="3" t="s">
        <v>3428</v>
      </c>
      <c r="D1854" s="78"/>
      <c r="E1854" s="1480">
        <v>0.5</v>
      </c>
    </row>
    <row r="1855" spans="1:5">
      <c r="A1855" s="103">
        <v>39473</v>
      </c>
      <c r="B1855" s="86" t="str">
        <f>TiposLancamentos!B18</f>
        <v>Alimentacao</v>
      </c>
      <c r="C1855" s="3" t="s">
        <v>3022</v>
      </c>
      <c r="D1855" s="78"/>
      <c r="E1855" s="1480">
        <v>8</v>
      </c>
    </row>
    <row r="1856" spans="1:5">
      <c r="A1856" s="103">
        <v>39474</v>
      </c>
      <c r="B1856" s="86" t="str">
        <f>TiposLancamentos!B24</f>
        <v>Estacionamentos</v>
      </c>
      <c r="C1856" s="3" t="s">
        <v>3429</v>
      </c>
      <c r="D1856" s="78"/>
      <c r="E1856" s="1480">
        <v>2.5</v>
      </c>
    </row>
    <row r="1857" spans="1:5">
      <c r="A1857" s="103">
        <v>39474</v>
      </c>
      <c r="B1857" s="86" t="str">
        <f>TiposLancamentos!B19</f>
        <v>Restaurantes</v>
      </c>
      <c r="C1857" s="3" t="s">
        <v>3327</v>
      </c>
      <c r="D1857" s="78"/>
      <c r="E1857" s="1480">
        <v>20</v>
      </c>
    </row>
    <row r="1858" spans="1:5">
      <c r="A1858" s="103">
        <v>39475</v>
      </c>
      <c r="B1858" s="86" t="str">
        <f>TiposLancamentos!B24</f>
        <v>Estacionamentos</v>
      </c>
      <c r="C1858" s="3" t="s">
        <v>3430</v>
      </c>
      <c r="D1858" s="78"/>
      <c r="E1858" s="1480">
        <v>1</v>
      </c>
    </row>
    <row r="1859" spans="1:5">
      <c r="A1859" s="103">
        <v>39475</v>
      </c>
      <c r="B1859" s="86" t="str">
        <f>TiposLancamentos!B18</f>
        <v>Alimentacao</v>
      </c>
      <c r="C1859" s="3" t="s">
        <v>2682</v>
      </c>
      <c r="D1859" s="78"/>
      <c r="E1859" s="1480">
        <v>1</v>
      </c>
    </row>
    <row r="1860" spans="1:5">
      <c r="A1860" s="103">
        <v>39476</v>
      </c>
      <c r="B1860" s="86" t="str">
        <f>TiposLancamentos!B20</f>
        <v>Saques</v>
      </c>
      <c r="C1860" s="3" t="s">
        <v>3403</v>
      </c>
      <c r="D1860" s="78">
        <v>20</v>
      </c>
      <c r="E1860" s="1480"/>
    </row>
    <row r="1861" spans="1:5">
      <c r="A1861" s="103">
        <v>39476</v>
      </c>
      <c r="B1861" s="86" t="str">
        <f>TiposLancamentos!B16</f>
        <v>Cristiane</v>
      </c>
      <c r="C1861" s="3" t="s">
        <v>3016</v>
      </c>
      <c r="D1861" s="78"/>
      <c r="E1861" s="1480">
        <v>20</v>
      </c>
    </row>
    <row r="1862" spans="1:5">
      <c r="A1862" s="99"/>
      <c r="B1862" s="1590"/>
      <c r="C1862" s="100" t="s">
        <v>3431</v>
      </c>
      <c r="D1862" s="1591"/>
      <c r="E1862" s="1592"/>
    </row>
    <row r="1863" spans="1:5">
      <c r="A1863" s="103">
        <v>39449</v>
      </c>
      <c r="B1863" s="86" t="str">
        <f>TiposLancamentos!B20</f>
        <v>Saques</v>
      </c>
      <c r="C1863" s="3" t="s">
        <v>3406</v>
      </c>
      <c r="D1863" s="78">
        <v>60</v>
      </c>
      <c r="E1863" s="1480"/>
    </row>
    <row r="1864" spans="1:5">
      <c r="A1864" s="103">
        <v>39449</v>
      </c>
      <c r="B1864" s="86" t="str">
        <f>TiposLancamentos!B36</f>
        <v>Playstation 2</v>
      </c>
      <c r="C1864" s="3" t="s">
        <v>3432</v>
      </c>
      <c r="D1864" s="78"/>
      <c r="E1864" s="1480">
        <v>10</v>
      </c>
    </row>
    <row r="1865" spans="1:5">
      <c r="A1865" s="103">
        <v>39449</v>
      </c>
      <c r="B1865" s="86" t="str">
        <f>TiposLancamentos!B27</f>
        <v>Jornais e revistas</v>
      </c>
      <c r="C1865" s="3" t="s">
        <v>3433</v>
      </c>
      <c r="D1865" s="78"/>
      <c r="E1865" s="1480">
        <v>8.9</v>
      </c>
    </row>
    <row r="1866" spans="1:5">
      <c r="A1866" s="103">
        <v>39449</v>
      </c>
      <c r="B1866" s="86" t="str">
        <f>TiposLancamentos!B24</f>
        <v>Estacionamentos</v>
      </c>
      <c r="C1866" s="3" t="s">
        <v>3398</v>
      </c>
      <c r="D1866" s="78"/>
      <c r="E1866" s="1480">
        <v>3</v>
      </c>
    </row>
    <row r="1867" spans="1:5">
      <c r="A1867" s="103">
        <v>39449</v>
      </c>
      <c r="B1867" s="86" t="str">
        <f>TiposLancamentos!B85</f>
        <v>Peugeout 206</v>
      </c>
      <c r="C1867" s="3" t="s">
        <v>3434</v>
      </c>
      <c r="D1867" s="78"/>
      <c r="E1867" s="1480">
        <v>25</v>
      </c>
    </row>
    <row r="1868" spans="1:5">
      <c r="A1868" s="103">
        <v>39481</v>
      </c>
      <c r="B1868" s="86" t="str">
        <f>TiposLancamentos!B18</f>
        <v>Alimentacao</v>
      </c>
      <c r="C1868" s="3" t="s">
        <v>3435</v>
      </c>
      <c r="D1868" s="78"/>
      <c r="E1868" s="1480">
        <v>4</v>
      </c>
    </row>
    <row r="1869" spans="1:5">
      <c r="A1869" s="103">
        <v>39484</v>
      </c>
      <c r="B1869" s="86" t="str">
        <f>TiposLancamentos!B18</f>
        <v>Alimentacao</v>
      </c>
      <c r="C1869" s="3" t="s">
        <v>3436</v>
      </c>
      <c r="D1869" s="78"/>
      <c r="E1869" s="1480">
        <v>5.5</v>
      </c>
    </row>
    <row r="1870" spans="1:5">
      <c r="A1870" s="103">
        <v>39454</v>
      </c>
      <c r="B1870" s="86" t="str">
        <f>TiposLancamentos!B18</f>
        <v>Alimentacao</v>
      </c>
      <c r="C1870" s="3" t="s">
        <v>3437</v>
      </c>
      <c r="D1870" s="78"/>
      <c r="E1870" s="1480">
        <v>3.2</v>
      </c>
    </row>
    <row r="1871" spans="1:5">
      <c r="A1871" s="103">
        <v>39486</v>
      </c>
      <c r="B1871" s="86" t="str">
        <f>TiposLancamentos!B20</f>
        <v>Saques</v>
      </c>
      <c r="C1871" s="3" t="s">
        <v>3438</v>
      </c>
      <c r="D1871" s="78">
        <v>10</v>
      </c>
      <c r="E1871" s="1480"/>
    </row>
    <row r="1872" spans="1:5">
      <c r="A1872" s="103">
        <v>39486</v>
      </c>
      <c r="B1872" s="86" t="str">
        <f>TiposLancamentos!B24</f>
        <v>Estacionamentos</v>
      </c>
      <c r="C1872" s="3" t="s">
        <v>3439</v>
      </c>
      <c r="D1872" s="78"/>
      <c r="E1872" s="1480">
        <v>4</v>
      </c>
    </row>
    <row r="1873" spans="1:5">
      <c r="A1873" s="103">
        <v>39486</v>
      </c>
      <c r="B1873" s="86" t="str">
        <f>TiposLancamentos!B20</f>
        <v>Saques</v>
      </c>
      <c r="C1873" s="3" t="s">
        <v>3440</v>
      </c>
      <c r="D1873" s="78">
        <v>40</v>
      </c>
      <c r="E1873" s="1480"/>
    </row>
    <row r="1874" spans="1:5">
      <c r="A1874" s="103">
        <v>39489</v>
      </c>
      <c r="B1874" s="86" t="str">
        <f>TiposLancamentos!B24</f>
        <v>Estacionamentos</v>
      </c>
      <c r="C1874" s="3" t="s">
        <v>3404</v>
      </c>
      <c r="D1874" s="78"/>
      <c r="E1874" s="1480">
        <v>3</v>
      </c>
    </row>
    <row r="1875" spans="1:5">
      <c r="A1875" s="103">
        <v>39490</v>
      </c>
      <c r="B1875" s="86" t="str">
        <f>TiposLancamentos!B59</f>
        <v>Documentos</v>
      </c>
      <c r="C1875" s="3" t="s">
        <v>3441</v>
      </c>
      <c r="D1875" s="78"/>
      <c r="E1875" s="1480">
        <v>17.440000000000001</v>
      </c>
    </row>
    <row r="1876" spans="1:5">
      <c r="A1876" s="103">
        <v>39490</v>
      </c>
      <c r="B1876" s="86" t="str">
        <f>TiposLancamentos!B24</f>
        <v>Estacionamentos</v>
      </c>
      <c r="C1876" s="3" t="s">
        <v>3442</v>
      </c>
      <c r="D1876" s="78"/>
      <c r="E1876" s="1480">
        <v>1.5</v>
      </c>
    </row>
    <row r="1877" spans="1:5">
      <c r="A1877" s="103">
        <v>39490</v>
      </c>
      <c r="B1877" s="86" t="str">
        <f>TiposLancamentos!B17</f>
        <v>GATO</v>
      </c>
      <c r="C1877" s="3" t="s">
        <v>3443</v>
      </c>
      <c r="D1877" s="78"/>
      <c r="E1877" s="1480">
        <v>11</v>
      </c>
    </row>
    <row r="1878" spans="1:5">
      <c r="A1878" s="103">
        <v>39490</v>
      </c>
      <c r="B1878" s="86" t="str">
        <f>TiposLancamentos!B18</f>
        <v>Alimentacao</v>
      </c>
      <c r="C1878" s="3" t="s">
        <v>3444</v>
      </c>
      <c r="D1878" s="78"/>
      <c r="E1878" s="1480">
        <v>3.5</v>
      </c>
    </row>
    <row r="1879" spans="1:5">
      <c r="A1879" s="103">
        <v>39493</v>
      </c>
      <c r="B1879" s="86" t="str">
        <f>TiposLancamentos!B59</f>
        <v>Documentos</v>
      </c>
      <c r="C1879" s="3" t="s">
        <v>3445</v>
      </c>
      <c r="D1879" s="78"/>
      <c r="E1879" s="1480">
        <v>5.7</v>
      </c>
    </row>
    <row r="1880" spans="1:5">
      <c r="A1880" s="103">
        <v>39493</v>
      </c>
      <c r="B1880" s="86" t="str">
        <f>TiposLancamentos!B24</f>
        <v>Estacionamentos</v>
      </c>
      <c r="C1880" s="3" t="s">
        <v>3253</v>
      </c>
      <c r="D1880" s="78"/>
      <c r="E1880" s="1480">
        <v>3</v>
      </c>
    </row>
    <row r="1881" spans="1:5">
      <c r="A1881" s="103">
        <v>39493</v>
      </c>
      <c r="B1881" s="86" t="str">
        <f>TiposLancamentos!B24</f>
        <v>Estacionamentos</v>
      </c>
      <c r="C1881" s="3" t="s">
        <v>3446</v>
      </c>
      <c r="D1881" s="78"/>
      <c r="E1881" s="1480">
        <v>3</v>
      </c>
    </row>
    <row r="1882" spans="1:5">
      <c r="A1882" s="103">
        <v>39498</v>
      </c>
      <c r="B1882" s="86" t="str">
        <f>TiposLancamentos!B20</f>
        <v>Saques</v>
      </c>
      <c r="C1882" s="3" t="s">
        <v>3406</v>
      </c>
      <c r="D1882" s="78">
        <v>10</v>
      </c>
      <c r="E1882" s="1480"/>
    </row>
    <row r="1883" spans="1:5">
      <c r="A1883" s="103">
        <v>39499</v>
      </c>
      <c r="B1883" s="86" t="str">
        <f>TiposLancamentos!B18</f>
        <v>Alimentacao</v>
      </c>
      <c r="C1883" s="3" t="s">
        <v>3447</v>
      </c>
      <c r="D1883" s="78"/>
      <c r="E1883" s="1480">
        <v>3</v>
      </c>
    </row>
    <row r="1884" spans="1:5">
      <c r="A1884" s="103">
        <v>39499</v>
      </c>
      <c r="B1884" s="86" t="str">
        <f>TiposLancamentos!B24</f>
        <v>Estacionamentos</v>
      </c>
      <c r="C1884" s="3" t="s">
        <v>3448</v>
      </c>
      <c r="D1884" s="78"/>
      <c r="E1884" s="1480">
        <v>4</v>
      </c>
    </row>
    <row r="1885" spans="1:5">
      <c r="A1885" s="103">
        <v>39499</v>
      </c>
      <c r="B1885" s="86" t="str">
        <f>TiposLancamentos!B18</f>
        <v>Alimentacao</v>
      </c>
      <c r="C1885" s="3" t="s">
        <v>3449</v>
      </c>
      <c r="D1885" s="78"/>
      <c r="E1885" s="1480">
        <v>2.4</v>
      </c>
    </row>
    <row r="1886" spans="1:5">
      <c r="A1886" s="103">
        <v>39499</v>
      </c>
      <c r="B1886" s="86" t="str">
        <f>TiposLancamentos!B20</f>
        <v>Saques</v>
      </c>
      <c r="C1886" s="3" t="s">
        <v>3450</v>
      </c>
      <c r="D1886" s="78">
        <v>20</v>
      </c>
      <c r="E1886" s="1480"/>
    </row>
    <row r="1887" spans="1:5">
      <c r="A1887" s="103">
        <v>39500</v>
      </c>
      <c r="B1887" s="86" t="str">
        <f>TiposLancamentos!B16</f>
        <v>Cristiane</v>
      </c>
      <c r="C1887" s="3" t="s">
        <v>3147</v>
      </c>
      <c r="D1887" s="78"/>
      <c r="E1887" s="1480">
        <v>20</v>
      </c>
    </row>
    <row r="1888" spans="1:5">
      <c r="A1888" s="103">
        <v>39500</v>
      </c>
      <c r="B1888" s="86" t="str">
        <f>TiposLancamentos!B20</f>
        <v>Saques</v>
      </c>
      <c r="C1888" s="3" t="s">
        <v>2668</v>
      </c>
      <c r="D1888" s="78">
        <v>40</v>
      </c>
      <c r="E1888" s="1480"/>
    </row>
    <row r="1889" spans="1:5">
      <c r="A1889" s="103">
        <v>39500</v>
      </c>
      <c r="B1889" s="86" t="str">
        <f>TiposLancamentos!B18</f>
        <v>Alimentacao</v>
      </c>
      <c r="C1889" s="3" t="s">
        <v>3451</v>
      </c>
      <c r="D1889" s="78"/>
      <c r="E1889" s="1480">
        <v>2.7</v>
      </c>
    </row>
    <row r="1890" spans="1:5">
      <c r="A1890" s="103">
        <v>39500</v>
      </c>
      <c r="B1890" s="86" t="str">
        <f>TiposLancamentos!B18</f>
        <v>Alimentacao</v>
      </c>
      <c r="C1890" s="3" t="s">
        <v>3452</v>
      </c>
      <c r="D1890" s="78"/>
      <c r="E1890" s="1480">
        <v>1.5</v>
      </c>
    </row>
    <row r="1891" spans="1:5">
      <c r="A1891" s="103">
        <v>39501</v>
      </c>
      <c r="B1891" s="86" t="str">
        <f>TiposLancamentos!B18</f>
        <v>Alimentacao</v>
      </c>
      <c r="C1891" s="3" t="s">
        <v>3453</v>
      </c>
      <c r="D1891" s="78"/>
      <c r="E1891" s="1480">
        <v>8.5</v>
      </c>
    </row>
    <row r="1892" spans="1:5">
      <c r="A1892" s="103">
        <v>39501</v>
      </c>
      <c r="B1892" s="86" t="str">
        <f>TiposLancamentos!B24</f>
        <v>Estacionamentos</v>
      </c>
      <c r="C1892" s="3" t="s">
        <v>3454</v>
      </c>
      <c r="D1892" s="78"/>
      <c r="E1892" s="1480">
        <v>7</v>
      </c>
    </row>
    <row r="1893" spans="1:5">
      <c r="A1893" s="103">
        <v>39505</v>
      </c>
      <c r="B1893" s="86" t="str">
        <f>TiposLancamentos!B99</f>
        <v>Venda de algo</v>
      </c>
      <c r="C1893" s="3" t="s">
        <v>3455</v>
      </c>
      <c r="D1893" s="78">
        <v>150</v>
      </c>
      <c r="E1893" s="1480"/>
    </row>
    <row r="1894" spans="1:5">
      <c r="A1894" s="103">
        <v>39506</v>
      </c>
      <c r="B1894" s="86" t="str">
        <f>TiposLancamentos!B19</f>
        <v>Restaurantes</v>
      </c>
      <c r="C1894" s="3" t="s">
        <v>3456</v>
      </c>
      <c r="D1894" s="78"/>
      <c r="E1894" s="1480">
        <v>20</v>
      </c>
    </row>
    <row r="1895" spans="1:5">
      <c r="A1895" s="99"/>
      <c r="B1895" s="1590"/>
      <c r="C1895" s="100" t="s">
        <v>3457</v>
      </c>
      <c r="D1895" s="1591"/>
      <c r="E1895" s="1592"/>
    </row>
    <row r="1896" spans="1:5">
      <c r="A1896" s="103">
        <v>39508</v>
      </c>
      <c r="B1896" s="86" t="str">
        <f>TiposLancamentos!B13</f>
        <v>Moradia</v>
      </c>
      <c r="C1896" s="3" t="s">
        <v>3458</v>
      </c>
      <c r="D1896" s="78"/>
      <c r="E1896" s="1480">
        <v>11.4</v>
      </c>
    </row>
    <row r="1897" spans="1:5">
      <c r="A1897" s="103">
        <v>39508</v>
      </c>
      <c r="B1897" s="86" t="str">
        <f>TiposLancamentos!B13</f>
        <v>Moradia</v>
      </c>
      <c r="C1897" s="3" t="s">
        <v>3459</v>
      </c>
      <c r="D1897" s="78"/>
      <c r="E1897" s="1480">
        <v>9.4</v>
      </c>
    </row>
    <row r="1898" spans="1:5">
      <c r="A1898" s="103">
        <v>39508</v>
      </c>
      <c r="B1898" s="86" t="str">
        <f>TiposLancamentos!B73</f>
        <v>Cursos</v>
      </c>
      <c r="C1898" s="3" t="s">
        <v>3460</v>
      </c>
      <c r="D1898" s="78"/>
      <c r="E1898" s="1480">
        <v>25.89</v>
      </c>
    </row>
    <row r="1899" spans="1:5">
      <c r="A1899" s="103">
        <v>39508</v>
      </c>
      <c r="B1899" s="86" t="str">
        <f>TiposLancamentos!B5</f>
        <v>Supermercado</v>
      </c>
      <c r="C1899" s="3" t="s">
        <v>3461</v>
      </c>
      <c r="D1899" s="78"/>
      <c r="E1899" s="1480">
        <v>11</v>
      </c>
    </row>
    <row r="1900" spans="1:5">
      <c r="A1900" s="103">
        <v>39510</v>
      </c>
      <c r="B1900" s="86" t="str">
        <f>TiposLancamentos!B18</f>
        <v>Alimentacao</v>
      </c>
      <c r="C1900" s="3" t="s">
        <v>2701</v>
      </c>
      <c r="D1900" s="78"/>
      <c r="E1900" s="1480">
        <v>7.2</v>
      </c>
    </row>
    <row r="1901" spans="1:5">
      <c r="A1901" s="103">
        <v>39512</v>
      </c>
      <c r="B1901" s="86" t="str">
        <f>TiposLancamentos!B18</f>
        <v>Alimentacao</v>
      </c>
      <c r="C1901" s="3" t="s">
        <v>3462</v>
      </c>
      <c r="D1901" s="78"/>
      <c r="E1901" s="1480">
        <v>5</v>
      </c>
    </row>
    <row r="1902" spans="1:5">
      <c r="A1902" s="103">
        <v>39512</v>
      </c>
      <c r="B1902" s="86" t="str">
        <f>TiposLancamentos!B18</f>
        <v>Alimentacao</v>
      </c>
      <c r="C1902" s="3" t="s">
        <v>3463</v>
      </c>
      <c r="D1902" s="78"/>
      <c r="E1902" s="1480">
        <v>8.4</v>
      </c>
    </row>
    <row r="1903" spans="1:5">
      <c r="A1903" s="103">
        <v>39514</v>
      </c>
      <c r="B1903" s="86" t="str">
        <f>TiposLancamentos!B18</f>
        <v>Alimentacao</v>
      </c>
      <c r="C1903" s="3" t="s">
        <v>3464</v>
      </c>
      <c r="D1903" s="78"/>
      <c r="E1903" s="1480">
        <f>3.25+1.7</f>
        <v>4.95</v>
      </c>
    </row>
    <row r="1904" spans="1:5">
      <c r="A1904" s="103">
        <v>39514</v>
      </c>
      <c r="B1904" s="86" t="str">
        <f>TiposLancamentos!B18</f>
        <v>Alimentacao</v>
      </c>
      <c r="C1904" s="3" t="s">
        <v>3465</v>
      </c>
      <c r="D1904" s="78"/>
      <c r="E1904" s="1480">
        <v>1.75</v>
      </c>
    </row>
    <row r="1905" spans="1:5">
      <c r="A1905" s="103">
        <v>39516</v>
      </c>
      <c r="B1905" s="86" t="str">
        <f>TiposLancamentos!B19</f>
        <v>Restaurantes</v>
      </c>
      <c r="C1905" s="3" t="s">
        <v>3466</v>
      </c>
      <c r="D1905" s="78"/>
      <c r="E1905" s="1480">
        <v>20</v>
      </c>
    </row>
    <row r="1906" spans="1:5">
      <c r="A1906" s="103">
        <v>39517</v>
      </c>
      <c r="B1906" s="86" t="str">
        <f>TiposLancamentos!B100</f>
        <v>Emprestimos</v>
      </c>
      <c r="C1906" s="3" t="s">
        <v>3467</v>
      </c>
      <c r="D1906" s="78"/>
      <c r="E1906" s="1480">
        <v>20</v>
      </c>
    </row>
    <row r="1907" spans="1:5">
      <c r="A1907" s="103">
        <v>39518</v>
      </c>
      <c r="B1907" s="86" t="str">
        <f>TiposLancamentos!B99</f>
        <v>Venda de algo</v>
      </c>
      <c r="C1907" s="3" t="s">
        <v>3468</v>
      </c>
      <c r="D1907" s="78">
        <v>150</v>
      </c>
      <c r="E1907" s="1480"/>
    </row>
    <row r="1908" spans="1:5">
      <c r="A1908" s="103">
        <v>39519</v>
      </c>
      <c r="B1908" s="86" t="str">
        <f>TiposLancamentos!B57</f>
        <v>Informática</v>
      </c>
      <c r="C1908" s="3" t="s">
        <v>3469</v>
      </c>
      <c r="D1908" s="78"/>
      <c r="E1908" s="1480">
        <v>50</v>
      </c>
    </row>
    <row r="1909" spans="1:5">
      <c r="A1909" s="103">
        <v>39520</v>
      </c>
      <c r="B1909" s="86" t="str">
        <f>TiposLancamentos!B20</f>
        <v>Saques</v>
      </c>
      <c r="C1909" s="3" t="s">
        <v>3470</v>
      </c>
      <c r="D1909" s="78">
        <v>100</v>
      </c>
      <c r="E1909" s="1480"/>
    </row>
    <row r="1910" spans="1:5">
      <c r="A1910" s="103">
        <v>39520</v>
      </c>
      <c r="B1910" s="86" t="str">
        <f>TiposLancamentos!B57</f>
        <v>Informática</v>
      </c>
      <c r="C1910" s="3" t="s">
        <v>3471</v>
      </c>
      <c r="D1910" s="78"/>
      <c r="E1910" s="1480">
        <v>200</v>
      </c>
    </row>
    <row r="1911" spans="1:5">
      <c r="A1911" s="103">
        <v>39521</v>
      </c>
      <c r="B1911" s="86" t="str">
        <f>TiposLancamentos!B20</f>
        <v>Saques</v>
      </c>
      <c r="C1911" s="3" t="s">
        <v>3472</v>
      </c>
      <c r="D1911" s="78">
        <v>20</v>
      </c>
      <c r="E1911" s="1480"/>
    </row>
    <row r="1912" spans="1:5">
      <c r="A1912" s="103">
        <v>39521</v>
      </c>
      <c r="B1912" s="86" t="str">
        <f>TiposLancamentos!B60</f>
        <v>Correio</v>
      </c>
      <c r="C1912" s="3" t="s">
        <v>3473</v>
      </c>
      <c r="D1912" s="78"/>
      <c r="E1912" s="1480">
        <v>16.5</v>
      </c>
    </row>
    <row r="1913" spans="1:5">
      <c r="A1913" s="103">
        <v>39522</v>
      </c>
      <c r="B1913" s="86" t="str">
        <f>TiposLancamentos!B24</f>
        <v>Estacionamentos</v>
      </c>
      <c r="C1913" s="3" t="s">
        <v>3474</v>
      </c>
      <c r="D1913" s="78"/>
      <c r="E1913" s="1480">
        <v>3</v>
      </c>
    </row>
    <row r="1914" spans="1:5">
      <c r="A1914" s="103">
        <v>39524</v>
      </c>
      <c r="B1914" s="86" t="str">
        <f>TiposLancamentos!B77</f>
        <v>Esporádico</v>
      </c>
      <c r="C1914" s="3" t="s">
        <v>3475</v>
      </c>
      <c r="D1914" s="78"/>
      <c r="E1914" s="1480">
        <v>3.25</v>
      </c>
    </row>
    <row r="1915" spans="1:5">
      <c r="A1915" s="103">
        <v>39525</v>
      </c>
      <c r="B1915" s="86" t="str">
        <f>TiposLancamentos!B77</f>
        <v>Esporádico</v>
      </c>
      <c r="C1915" s="3" t="s">
        <v>3476</v>
      </c>
      <c r="D1915" s="78"/>
      <c r="E1915" s="1480">
        <v>6.5</v>
      </c>
    </row>
    <row r="1916" spans="1:5">
      <c r="A1916" s="103">
        <v>39525</v>
      </c>
      <c r="B1916" s="86" t="str">
        <f>TiposLancamentos!B20</f>
        <v>Saques</v>
      </c>
      <c r="C1916" s="3" t="s">
        <v>3477</v>
      </c>
      <c r="D1916" s="78">
        <v>10</v>
      </c>
      <c r="E1916" s="1480"/>
    </row>
    <row r="1917" spans="1:5">
      <c r="A1917" s="103">
        <v>39525</v>
      </c>
      <c r="B1917" s="86" t="str">
        <f>TiposLancamentos!B24</f>
        <v>Estacionamentos</v>
      </c>
      <c r="C1917" s="3" t="s">
        <v>3241</v>
      </c>
      <c r="D1917" s="78"/>
      <c r="E1917" s="1480">
        <v>4</v>
      </c>
    </row>
    <row r="1918" spans="1:5">
      <c r="A1918" s="103">
        <v>39525</v>
      </c>
      <c r="B1918" s="86" t="str">
        <f>TiposLancamentos!B18</f>
        <v>Alimentacao</v>
      </c>
      <c r="C1918" s="3" t="s">
        <v>3437</v>
      </c>
      <c r="D1918" s="78"/>
      <c r="E1918" s="1480">
        <v>7.3</v>
      </c>
    </row>
    <row r="1919" spans="1:5">
      <c r="A1919" s="103">
        <v>39525</v>
      </c>
      <c r="B1919" s="86" t="str">
        <f>TiposLancamentos!B20</f>
        <v>Saques</v>
      </c>
      <c r="C1919" s="3" t="s">
        <v>3406</v>
      </c>
      <c r="D1919" s="78">
        <v>30</v>
      </c>
      <c r="E1919" s="1480"/>
    </row>
    <row r="1920" spans="1:5">
      <c r="A1920" s="103">
        <v>39525</v>
      </c>
      <c r="B1920" s="86" t="str">
        <f>TiposLancamentos!B16</f>
        <v>Cristiane</v>
      </c>
      <c r="C1920" s="3" t="s">
        <v>3147</v>
      </c>
      <c r="D1920" s="78"/>
      <c r="E1920" s="1480">
        <v>20</v>
      </c>
    </row>
    <row r="1921" spans="1:5">
      <c r="A1921" s="103">
        <v>39527</v>
      </c>
      <c r="B1921" s="86" t="str">
        <f>TiposLancamentos!B20</f>
        <v>Saques</v>
      </c>
      <c r="C1921" s="3" t="s">
        <v>3406</v>
      </c>
      <c r="D1921" s="78">
        <v>80</v>
      </c>
      <c r="E1921" s="1480"/>
    </row>
    <row r="1922" spans="1:5">
      <c r="A1922" s="103">
        <v>39527</v>
      </c>
      <c r="B1922" s="86" t="str">
        <f>TiposLancamentos!B19</f>
        <v>Restaurantes</v>
      </c>
      <c r="C1922" s="3" t="s">
        <v>3478</v>
      </c>
      <c r="D1922" s="78"/>
      <c r="E1922" s="1480">
        <v>11.15</v>
      </c>
    </row>
    <row r="1923" spans="1:5">
      <c r="A1923" s="103">
        <v>39527</v>
      </c>
      <c r="B1923" s="86" t="str">
        <f>TiposLancamentos!B85</f>
        <v>Peugeout 206</v>
      </c>
      <c r="C1923" s="3" t="s">
        <v>3479</v>
      </c>
      <c r="D1923" s="78"/>
      <c r="E1923" s="1480">
        <v>15</v>
      </c>
    </row>
    <row r="1924" spans="1:5">
      <c r="A1924" s="103">
        <v>39527</v>
      </c>
      <c r="B1924" s="86" t="str">
        <f>TiposLancamentos!B18</f>
        <v>Alimentacao</v>
      </c>
      <c r="C1924" s="3" t="s">
        <v>3480</v>
      </c>
      <c r="D1924" s="78"/>
      <c r="E1924" s="1480">
        <v>5</v>
      </c>
    </row>
    <row r="1925" spans="1:5">
      <c r="A1925" s="103">
        <v>39528</v>
      </c>
      <c r="B1925" s="86" t="str">
        <f>TiposLancamentos!B18</f>
        <v>Alimentacao</v>
      </c>
      <c r="C1925" s="3" t="s">
        <v>3481</v>
      </c>
      <c r="D1925" s="78"/>
      <c r="E1925" s="1480">
        <v>12</v>
      </c>
    </row>
    <row r="1926" spans="1:5">
      <c r="A1926" s="103">
        <v>39529</v>
      </c>
      <c r="B1926" s="86" t="str">
        <f>TiposLancamentos!B18</f>
        <v>Alimentacao</v>
      </c>
      <c r="C1926" s="3" t="s">
        <v>3482</v>
      </c>
      <c r="D1926" s="78"/>
      <c r="E1926" s="1480">
        <v>40</v>
      </c>
    </row>
    <row r="1927" spans="1:5">
      <c r="A1927" s="103">
        <v>39529</v>
      </c>
      <c r="B1927" s="86" t="str">
        <f>TiposLancamentos!B20</f>
        <v>Saques</v>
      </c>
      <c r="C1927" s="3" t="s">
        <v>3483</v>
      </c>
      <c r="D1927" s="78">
        <v>60</v>
      </c>
      <c r="E1927" s="1480"/>
    </row>
    <row r="1928" spans="1:5">
      <c r="A1928" s="103">
        <v>39529</v>
      </c>
      <c r="B1928" s="86" t="str">
        <f>TiposLancamentos!B18</f>
        <v>Alimentacao</v>
      </c>
      <c r="C1928" s="3" t="s">
        <v>3484</v>
      </c>
      <c r="D1928" s="78"/>
      <c r="E1928" s="1480">
        <v>10</v>
      </c>
    </row>
    <row r="1929" spans="1:5">
      <c r="A1929" s="103">
        <v>39529</v>
      </c>
      <c r="B1929" s="86" t="str">
        <f>TiposLancamentos!B18</f>
        <v>Alimentacao</v>
      </c>
      <c r="C1929" s="3" t="s">
        <v>3485</v>
      </c>
      <c r="D1929" s="78"/>
      <c r="E1929" s="1480">
        <v>13.5</v>
      </c>
    </row>
    <row r="1930" spans="1:5">
      <c r="A1930" s="103">
        <v>39530</v>
      </c>
      <c r="B1930" s="86" t="str">
        <f>TiposLancamentos!B18</f>
        <v>Alimentacao</v>
      </c>
      <c r="C1930" s="3" t="s">
        <v>3444</v>
      </c>
      <c r="D1930" s="78"/>
      <c r="E1930" s="1480">
        <v>3</v>
      </c>
    </row>
    <row r="1931" spans="1:5">
      <c r="A1931" s="103">
        <v>39530</v>
      </c>
      <c r="B1931" s="86" t="str">
        <f>TiposLancamentos!B18</f>
        <v>Alimentacao</v>
      </c>
      <c r="C1931" s="3" t="s">
        <v>3486</v>
      </c>
      <c r="D1931" s="78"/>
      <c r="E1931" s="1480">
        <v>20</v>
      </c>
    </row>
    <row r="1932" spans="1:5">
      <c r="A1932" s="103">
        <v>39531</v>
      </c>
      <c r="B1932" s="86" t="str">
        <f>TiposLancamentos!B18</f>
        <v>Alimentacao</v>
      </c>
      <c r="C1932" s="3" t="s">
        <v>3487</v>
      </c>
      <c r="D1932" s="78"/>
      <c r="E1932" s="1480">
        <v>1</v>
      </c>
    </row>
    <row r="1933" spans="1:5">
      <c r="A1933" s="103">
        <v>39532</v>
      </c>
      <c r="B1933" s="86" t="str">
        <f>TiposLancamentos!B16</f>
        <v>Cristiane</v>
      </c>
      <c r="C1933" s="3" t="s">
        <v>3147</v>
      </c>
      <c r="D1933" s="78"/>
      <c r="E1933" s="1480">
        <v>20</v>
      </c>
    </row>
    <row r="1934" spans="1:5">
      <c r="A1934" s="103">
        <v>39538</v>
      </c>
      <c r="B1934" s="86" t="str">
        <f>TiposLancamentos!B78</f>
        <v>Diferenças</v>
      </c>
      <c r="C1934" s="3" t="s">
        <v>1818</v>
      </c>
      <c r="D1934" s="78"/>
      <c r="E1934" s="1480">
        <v>15.07</v>
      </c>
    </row>
    <row r="1935" spans="1:5">
      <c r="A1935" s="99"/>
      <c r="B1935" s="1590"/>
      <c r="C1935" s="100" t="s">
        <v>3488</v>
      </c>
      <c r="D1935" s="1591"/>
      <c r="E1935" s="1592"/>
    </row>
    <row r="1936" spans="1:5">
      <c r="A1936" s="103">
        <v>39543</v>
      </c>
      <c r="B1936" s="86" t="str">
        <f>TiposLancamentos!B20</f>
        <v>Saques</v>
      </c>
      <c r="C1936" s="3" t="s">
        <v>3489</v>
      </c>
      <c r="D1936" s="78">
        <v>200</v>
      </c>
      <c r="E1936" s="1480"/>
    </row>
    <row r="1937" spans="1:5">
      <c r="A1937" s="103">
        <v>39543</v>
      </c>
      <c r="B1937" s="86" t="str">
        <f>TiposLancamentos!B24</f>
        <v>Estacionamentos</v>
      </c>
      <c r="C1937" s="3" t="s">
        <v>3490</v>
      </c>
      <c r="D1937" s="78"/>
      <c r="E1937" s="1480">
        <v>4</v>
      </c>
    </row>
    <row r="1938" spans="1:5">
      <c r="A1938" s="103">
        <v>39543</v>
      </c>
      <c r="B1938" s="86" t="str">
        <f>TiposLancamentos!B18</f>
        <v>Alimentacao</v>
      </c>
      <c r="C1938" s="3" t="s">
        <v>3491</v>
      </c>
      <c r="D1938" s="78"/>
      <c r="E1938" s="1480">
        <v>12.25</v>
      </c>
    </row>
    <row r="1939" spans="1:5">
      <c r="A1939" s="103">
        <v>39543</v>
      </c>
      <c r="B1939" s="86" t="str">
        <f>TiposLancamentos!B64</f>
        <v>Viagens</v>
      </c>
      <c r="C1939" s="3" t="s">
        <v>3492</v>
      </c>
      <c r="D1939" s="78"/>
      <c r="E1939" s="1480">
        <v>24</v>
      </c>
    </row>
    <row r="1940" spans="1:5">
      <c r="A1940" s="103">
        <v>39543</v>
      </c>
      <c r="B1940" s="86" t="str">
        <f>TiposLancamentos!B77</f>
        <v>Esporádico</v>
      </c>
      <c r="C1940" s="3" t="s">
        <v>3493</v>
      </c>
      <c r="D1940" s="78"/>
      <c r="E1940" s="1480">
        <v>3</v>
      </c>
    </row>
    <row r="1941" spans="1:5">
      <c r="A1941" s="103">
        <v>39543</v>
      </c>
      <c r="B1941" s="86" t="str">
        <f>TiposLancamentos!B77</f>
        <v>Esporádico</v>
      </c>
      <c r="C1941" s="3" t="s">
        <v>3494</v>
      </c>
      <c r="D1941" s="78"/>
      <c r="E1941" s="1480">
        <v>10</v>
      </c>
    </row>
    <row r="1942" spans="1:5">
      <c r="A1942" s="103">
        <v>39543</v>
      </c>
      <c r="B1942" s="86" t="str">
        <f>TiposLancamentos!B77</f>
        <v>Esporádico</v>
      </c>
      <c r="C1942" s="3" t="s">
        <v>3495</v>
      </c>
      <c r="D1942" s="78"/>
      <c r="E1942" s="1480">
        <v>10</v>
      </c>
    </row>
    <row r="1943" spans="1:5">
      <c r="A1943" s="103">
        <v>39543</v>
      </c>
      <c r="B1943" s="86" t="str">
        <f>TiposLancamentos!B74</f>
        <v>Noite</v>
      </c>
      <c r="C1943" s="3" t="s">
        <v>3496</v>
      </c>
      <c r="D1943" s="78"/>
      <c r="E1943" s="1480">
        <v>14.5</v>
      </c>
    </row>
    <row r="1944" spans="1:5">
      <c r="A1944" s="103">
        <v>39544</v>
      </c>
      <c r="B1944" s="86" t="str">
        <f>TiposLancamentos!B19</f>
        <v>Restaurantes</v>
      </c>
      <c r="C1944" s="3" t="s">
        <v>3497</v>
      </c>
      <c r="D1944" s="78"/>
      <c r="E1944" s="1480">
        <v>50</v>
      </c>
    </row>
    <row r="1945" spans="1:5">
      <c r="A1945" s="103">
        <v>39543</v>
      </c>
      <c r="B1945" s="86" t="str">
        <f>TiposLancamentos!B16</f>
        <v>Cristiane</v>
      </c>
      <c r="C1945" s="3" t="s">
        <v>3016</v>
      </c>
      <c r="D1945" s="78"/>
      <c r="E1945" s="1480">
        <v>42.25</v>
      </c>
    </row>
    <row r="1946" spans="1:5">
      <c r="A1946" s="103">
        <v>39545</v>
      </c>
      <c r="B1946" s="86" t="str">
        <f>TiposLancamentos!B24</f>
        <v>Estacionamentos</v>
      </c>
      <c r="C1946" s="3" t="s">
        <v>3498</v>
      </c>
      <c r="D1946" s="78"/>
      <c r="E1946" s="1480">
        <v>3</v>
      </c>
    </row>
    <row r="1947" spans="1:5">
      <c r="A1947" s="103">
        <v>39547</v>
      </c>
      <c r="B1947" s="86" t="str">
        <f>TiposLancamentos!B18</f>
        <v>Alimentacao</v>
      </c>
      <c r="C1947" s="3" t="s">
        <v>3499</v>
      </c>
      <c r="D1947" s="78"/>
      <c r="E1947" s="1480">
        <v>8.3000000000000007</v>
      </c>
    </row>
    <row r="1948" spans="1:5">
      <c r="A1948" s="103">
        <v>39548</v>
      </c>
      <c r="B1948" s="86" t="str">
        <f>TiposLancamentos!B24</f>
        <v>Estacionamentos</v>
      </c>
      <c r="C1948" s="3" t="s">
        <v>3241</v>
      </c>
      <c r="D1948" s="78"/>
      <c r="E1948" s="1480">
        <v>4</v>
      </c>
    </row>
    <row r="1949" spans="1:5">
      <c r="A1949" s="103">
        <v>39550</v>
      </c>
      <c r="B1949" s="86" t="str">
        <f>TiposLancamentos!B20</f>
        <v>Saques</v>
      </c>
      <c r="C1949" s="3" t="s">
        <v>3500</v>
      </c>
      <c r="D1949" s="78">
        <v>40</v>
      </c>
      <c r="E1949" s="1480"/>
    </row>
    <row r="1950" spans="1:5">
      <c r="A1950" s="103">
        <v>39550</v>
      </c>
      <c r="B1950" s="86" t="str">
        <f>TiposLancamentos!B57</f>
        <v>Informática</v>
      </c>
      <c r="C1950" s="3" t="s">
        <v>3501</v>
      </c>
      <c r="D1950" s="78"/>
      <c r="E1950" s="1480">
        <v>50</v>
      </c>
    </row>
    <row r="1951" spans="1:5">
      <c r="A1951" s="103">
        <v>39550</v>
      </c>
      <c r="B1951" s="86" t="str">
        <f>TiposLancamentos!B18</f>
        <v>Alimentacao</v>
      </c>
      <c r="C1951" s="3" t="s">
        <v>3502</v>
      </c>
      <c r="D1951" s="78"/>
      <c r="E1951" s="1480">
        <v>2.7</v>
      </c>
    </row>
    <row r="1952" spans="1:5">
      <c r="A1952" s="103">
        <v>39550</v>
      </c>
      <c r="B1952" s="86" t="str">
        <f>TiposLancamentos!B24</f>
        <v>Estacionamentos</v>
      </c>
      <c r="C1952" s="3" t="s">
        <v>3490</v>
      </c>
      <c r="D1952" s="78"/>
      <c r="E1952" s="1480">
        <v>2</v>
      </c>
    </row>
    <row r="1953" spans="1:5">
      <c r="A1953" s="103">
        <v>39553</v>
      </c>
      <c r="B1953" s="86" t="str">
        <f>TiposLancamentos!B20</f>
        <v>Saques</v>
      </c>
      <c r="C1953" s="3" t="s">
        <v>3489</v>
      </c>
      <c r="D1953" s="78">
        <v>10</v>
      </c>
      <c r="E1953" s="1480"/>
    </row>
    <row r="1954" spans="1:5">
      <c r="A1954" s="103">
        <v>39583</v>
      </c>
      <c r="B1954" s="86" t="str">
        <f>TiposLancamentos!B98</f>
        <v>Restituições</v>
      </c>
      <c r="C1954" s="3" t="s">
        <v>3503</v>
      </c>
      <c r="D1954" s="78">
        <v>20</v>
      </c>
      <c r="E1954" s="1480"/>
    </row>
    <row r="1955" spans="1:5">
      <c r="A1955" s="103">
        <v>39554</v>
      </c>
      <c r="B1955" s="86" t="str">
        <f>TiposLancamentos!B77</f>
        <v>Esporádico</v>
      </c>
      <c r="C1955" s="3" t="s">
        <v>3504</v>
      </c>
      <c r="D1955" s="78"/>
      <c r="E1955" s="1480">
        <v>3.25</v>
      </c>
    </row>
    <row r="1956" spans="1:5">
      <c r="A1956" s="103">
        <v>39554</v>
      </c>
      <c r="B1956" s="86" t="str">
        <f>TiposLancamentos!B62</f>
        <v>Papelaria</v>
      </c>
      <c r="C1956" s="3" t="s">
        <v>3505</v>
      </c>
      <c r="D1956" s="78"/>
      <c r="E1956" s="1480">
        <v>10</v>
      </c>
    </row>
    <row r="1957" spans="1:5">
      <c r="A1957" s="103">
        <v>39554</v>
      </c>
      <c r="B1957" s="86" t="str">
        <f>TiposLancamentos!B51</f>
        <v>Marlboro</v>
      </c>
      <c r="C1957" s="3" t="s">
        <v>3506</v>
      </c>
      <c r="D1957" s="78"/>
      <c r="E1957" s="1480">
        <v>3.25</v>
      </c>
    </row>
    <row r="1958" spans="1:5">
      <c r="A1958" s="103">
        <v>39557</v>
      </c>
      <c r="B1958" s="86" t="str">
        <f>TiposLancamentos!B20</f>
        <v>Saques</v>
      </c>
      <c r="C1958" s="3" t="s">
        <v>3406</v>
      </c>
      <c r="D1958" s="78">
        <v>40</v>
      </c>
      <c r="E1958" s="1480"/>
    </row>
    <row r="1959" spans="1:5">
      <c r="A1959" s="103">
        <v>39557</v>
      </c>
      <c r="B1959" s="86" t="str">
        <f>TiposLancamentos!B19</f>
        <v>Restaurantes</v>
      </c>
      <c r="C1959" s="3" t="s">
        <v>3055</v>
      </c>
      <c r="D1959" s="78"/>
      <c r="E1959" s="1480">
        <v>10</v>
      </c>
    </row>
    <row r="1960" spans="1:5">
      <c r="A1960" s="103">
        <v>39557</v>
      </c>
      <c r="B1960" s="86" t="str">
        <f>TiposLancamentos!B24</f>
        <v>Estacionamentos</v>
      </c>
      <c r="C1960" s="3" t="s">
        <v>3398</v>
      </c>
      <c r="D1960" s="78"/>
      <c r="E1960" s="1480">
        <v>6</v>
      </c>
    </row>
    <row r="1961" spans="1:5">
      <c r="A1961" s="103">
        <v>39558</v>
      </c>
      <c r="B1961" s="86" t="str">
        <f>TiposLancamentos!B19</f>
        <v>Restaurantes</v>
      </c>
      <c r="C1961" s="3" t="s">
        <v>3507</v>
      </c>
      <c r="D1961" s="78"/>
      <c r="E1961" s="1480">
        <v>13</v>
      </c>
    </row>
    <row r="1962" spans="1:5">
      <c r="A1962" s="103">
        <v>39560</v>
      </c>
      <c r="B1962" s="86" t="str">
        <f>TiposLancamentos!B24</f>
        <v>Estacionamentos</v>
      </c>
      <c r="C1962" s="3" t="s">
        <v>3508</v>
      </c>
      <c r="D1962" s="78"/>
      <c r="E1962" s="1480">
        <v>3</v>
      </c>
    </row>
    <row r="1963" spans="1:5">
      <c r="A1963" s="103">
        <v>39562</v>
      </c>
      <c r="B1963" s="86" t="str">
        <f>TiposLancamentos!B24</f>
        <v>Estacionamentos</v>
      </c>
      <c r="C1963" s="3" t="s">
        <v>3509</v>
      </c>
      <c r="D1963" s="78"/>
      <c r="E1963" s="1480">
        <v>13</v>
      </c>
    </row>
    <row r="1964" spans="1:5">
      <c r="A1964" s="103">
        <v>39563</v>
      </c>
      <c r="B1964" s="86" t="str">
        <f>TiposLancamentos!B20</f>
        <v>Saques</v>
      </c>
      <c r="C1964" s="3" t="s">
        <v>3403</v>
      </c>
      <c r="D1964" s="78">
        <v>20</v>
      </c>
      <c r="E1964" s="1480"/>
    </row>
    <row r="1965" spans="1:5">
      <c r="A1965" s="103">
        <v>39563</v>
      </c>
      <c r="B1965" s="86" t="str">
        <f>TiposLancamentos!B51</f>
        <v>Marlboro</v>
      </c>
      <c r="C1965" s="3" t="s">
        <v>3510</v>
      </c>
      <c r="D1965" s="78"/>
      <c r="E1965" s="1480">
        <v>3.25</v>
      </c>
    </row>
    <row r="1966" spans="1:5">
      <c r="A1966" s="103">
        <v>39563</v>
      </c>
      <c r="B1966" s="86" t="str">
        <f>TiposLancamentos!B18</f>
        <v>Alimentacao</v>
      </c>
      <c r="C1966" s="3" t="s">
        <v>3511</v>
      </c>
      <c r="D1966" s="78"/>
      <c r="E1966" s="1480">
        <v>3.6</v>
      </c>
    </row>
    <row r="1967" spans="1:5">
      <c r="A1967" s="103">
        <v>39563</v>
      </c>
      <c r="B1967" s="86" t="str">
        <f>TiposLancamentos!B85</f>
        <v>Peugeout 206</v>
      </c>
      <c r="C1967" s="3" t="s">
        <v>3348</v>
      </c>
      <c r="D1967" s="78"/>
      <c r="E1967" s="1480">
        <v>15</v>
      </c>
    </row>
    <row r="1968" spans="1:5">
      <c r="A1968" s="103">
        <v>39564</v>
      </c>
      <c r="B1968" s="86" t="str">
        <f>TiposLancamentos!B24</f>
        <v>Estacionamentos</v>
      </c>
      <c r="C1968" s="3" t="s">
        <v>3512</v>
      </c>
      <c r="D1968" s="78"/>
      <c r="E1968" s="1480">
        <v>6</v>
      </c>
    </row>
    <row r="1969" spans="1:5">
      <c r="A1969" s="103">
        <v>39566</v>
      </c>
      <c r="B1969" s="86" t="str">
        <f>TiposLancamentos!B20</f>
        <v>Saques</v>
      </c>
      <c r="C1969" s="3" t="s">
        <v>3513</v>
      </c>
      <c r="D1969" s="78">
        <v>20</v>
      </c>
      <c r="E1969" s="1480"/>
    </row>
    <row r="1970" spans="1:5">
      <c r="A1970" s="103">
        <v>39567</v>
      </c>
      <c r="B1970" s="86" t="str">
        <f>TiposLancamentos!B18</f>
        <v>Alimentacao</v>
      </c>
      <c r="C1970" s="3" t="s">
        <v>3514</v>
      </c>
      <c r="D1970" s="78"/>
      <c r="E1970" s="1480">
        <v>7.8</v>
      </c>
    </row>
    <row r="1971" spans="1:5">
      <c r="A1971" s="103">
        <v>39568</v>
      </c>
      <c r="B1971" s="86" t="str">
        <f>TiposLancamentos!B51</f>
        <v>Marlboro</v>
      </c>
      <c r="C1971" s="3" t="s">
        <v>3515</v>
      </c>
      <c r="D1971" s="78"/>
      <c r="E1971" s="1480">
        <v>3.25</v>
      </c>
    </row>
    <row r="1972" spans="1:5">
      <c r="A1972" s="103">
        <v>39568</v>
      </c>
      <c r="B1972" s="86" t="str">
        <f>TiposLancamentos!B78</f>
        <v>Diferenças</v>
      </c>
      <c r="C1972" s="3" t="s">
        <v>3516</v>
      </c>
      <c r="D1972" s="78"/>
      <c r="E1972" s="1480">
        <v>4</v>
      </c>
    </row>
    <row r="1973" spans="1:5">
      <c r="A1973" s="99"/>
      <c r="B1973" s="1590"/>
      <c r="C1973" s="100" t="s">
        <v>3517</v>
      </c>
      <c r="D1973" s="1591"/>
      <c r="E1973" s="1592"/>
    </row>
    <row r="1974" spans="1:5">
      <c r="A1974" s="103">
        <v>39570</v>
      </c>
      <c r="B1974" s="86" t="str">
        <f>TiposLancamentos!B16</f>
        <v>Cristiane</v>
      </c>
      <c r="C1974" s="3" t="s">
        <v>1698</v>
      </c>
      <c r="D1974" s="78"/>
      <c r="E1974" s="1480">
        <v>5</v>
      </c>
    </row>
    <row r="1975" spans="1:5">
      <c r="A1975" s="103">
        <v>39572</v>
      </c>
      <c r="B1975" s="86" t="str">
        <f>TiposLancamentos!B20</f>
        <v>Saques</v>
      </c>
      <c r="C1975" s="3" t="s">
        <v>3406</v>
      </c>
      <c r="D1975" s="78">
        <v>60</v>
      </c>
      <c r="E1975" s="1480"/>
    </row>
    <row r="1976" spans="1:5">
      <c r="A1976" s="103">
        <v>39572</v>
      </c>
      <c r="B1976" s="86" t="str">
        <f>TiposLancamentos!B16</f>
        <v>Cristiane</v>
      </c>
      <c r="C1976" s="3" t="s">
        <v>3016</v>
      </c>
      <c r="D1976" s="78"/>
      <c r="E1976" s="1480">
        <v>50</v>
      </c>
    </row>
    <row r="1977" spans="1:5">
      <c r="A1977" s="103">
        <v>39574</v>
      </c>
      <c r="B1977" s="86" t="str">
        <f>TiposLancamentos!B51</f>
        <v>Marlboro</v>
      </c>
      <c r="C1977" s="3" t="s">
        <v>3518</v>
      </c>
      <c r="D1977" s="78"/>
      <c r="E1977" s="1480">
        <v>3.25</v>
      </c>
    </row>
    <row r="1978" spans="1:5">
      <c r="A1978" s="103">
        <v>39574</v>
      </c>
      <c r="B1978" s="86" t="str">
        <f>TiposLancamentos!B17</f>
        <v>GATO</v>
      </c>
      <c r="C1978" s="3" t="s">
        <v>3519</v>
      </c>
      <c r="D1978" s="78"/>
      <c r="E1978" s="1480">
        <v>5</v>
      </c>
    </row>
    <row r="1979" spans="1:5">
      <c r="A1979" s="103">
        <v>39574</v>
      </c>
      <c r="B1979" s="86" t="str">
        <f>TiposLancamentos!B18</f>
        <v>Alimentacao</v>
      </c>
      <c r="C1979" s="3" t="s">
        <v>3520</v>
      </c>
      <c r="D1979" s="78"/>
      <c r="E1979" s="1480">
        <v>1</v>
      </c>
    </row>
    <row r="1980" spans="1:5">
      <c r="A1980" s="103">
        <v>39576</v>
      </c>
      <c r="B1980" s="86" t="str">
        <f>TiposLancamentos!B20</f>
        <v>Saques</v>
      </c>
      <c r="C1980" s="3" t="s">
        <v>3521</v>
      </c>
      <c r="D1980" s="78">
        <v>80</v>
      </c>
      <c r="E1980" s="1480"/>
    </row>
    <row r="1981" spans="1:5">
      <c r="A1981" s="103">
        <v>39576</v>
      </c>
      <c r="B1981" s="86" t="str">
        <f>TiposLancamentos!B71</f>
        <v>Itens Pessoais</v>
      </c>
      <c r="C1981" s="3" t="s">
        <v>3522</v>
      </c>
      <c r="D1981" s="78"/>
      <c r="E1981" s="1480">
        <v>80.2</v>
      </c>
    </row>
    <row r="1982" spans="1:5">
      <c r="A1982" s="103">
        <v>39583</v>
      </c>
      <c r="B1982" s="86" t="str">
        <f>TiposLancamentos!B20</f>
        <v>Saques</v>
      </c>
      <c r="C1982" s="3" t="s">
        <v>3403</v>
      </c>
      <c r="D1982" s="78">
        <v>10</v>
      </c>
      <c r="E1982" s="1480"/>
    </row>
    <row r="1983" spans="1:5">
      <c r="A1983" s="103">
        <v>39583</v>
      </c>
      <c r="B1983" s="86" t="str">
        <f>TiposLancamentos!B51</f>
        <v>Marlboro</v>
      </c>
      <c r="C1983" s="3" t="s">
        <v>3523</v>
      </c>
      <c r="D1983" s="78"/>
      <c r="E1983" s="1480">
        <v>3.25</v>
      </c>
    </row>
    <row r="1984" spans="1:5">
      <c r="A1984" s="103">
        <v>39583</v>
      </c>
      <c r="B1984" s="86" t="str">
        <f>TiposLancamentos!B18</f>
        <v>Alimentacao</v>
      </c>
      <c r="C1984" s="3" t="s">
        <v>3524</v>
      </c>
      <c r="D1984" s="78"/>
      <c r="E1984" s="1480">
        <v>4</v>
      </c>
    </row>
    <row r="1985" spans="1:5">
      <c r="A1985" s="103">
        <v>39584</v>
      </c>
      <c r="B1985" s="86" t="str">
        <f>TiposLancamentos!B20</f>
        <v>Saques</v>
      </c>
      <c r="C1985" s="3" t="s">
        <v>2668</v>
      </c>
      <c r="D1985" s="78">
        <v>100</v>
      </c>
      <c r="E1985" s="1480"/>
    </row>
    <row r="1986" spans="1:5">
      <c r="A1986" s="103">
        <v>39584</v>
      </c>
      <c r="B1986" s="86" t="str">
        <f>TiposLancamentos!B16</f>
        <v>Cristiane</v>
      </c>
      <c r="C1986" s="3" t="s">
        <v>3525</v>
      </c>
      <c r="D1986" s="78"/>
      <c r="E1986" s="1480">
        <v>100</v>
      </c>
    </row>
    <row r="1987" spans="1:5">
      <c r="A1987" s="103">
        <v>39587</v>
      </c>
      <c r="B1987" s="86" t="str">
        <f>TiposLancamentos!B20</f>
        <v>Saques</v>
      </c>
      <c r="C1987" s="3" t="s">
        <v>3406</v>
      </c>
      <c r="D1987" s="78">
        <v>50</v>
      </c>
      <c r="E1987" s="1480"/>
    </row>
    <row r="1988" spans="1:5">
      <c r="A1988" s="103">
        <v>39587</v>
      </c>
      <c r="B1988" s="86" t="str">
        <f>TiposLancamentos!B85</f>
        <v>Peugeout 206</v>
      </c>
      <c r="C1988" s="3" t="s">
        <v>3526</v>
      </c>
      <c r="D1988" s="78"/>
      <c r="E1988" s="1480">
        <v>15</v>
      </c>
    </row>
    <row r="1989" spans="1:5">
      <c r="A1989" s="103">
        <v>39588</v>
      </c>
      <c r="B1989" s="86" t="str">
        <f>TiposLancamentos!B19</f>
        <v>Restaurantes</v>
      </c>
      <c r="C1989" s="3" t="s">
        <v>3527</v>
      </c>
      <c r="D1989" s="78"/>
      <c r="E1989" s="1480">
        <v>10</v>
      </c>
    </row>
    <row r="1990" spans="1:5">
      <c r="A1990" s="103">
        <v>39588</v>
      </c>
      <c r="B1990" s="86" t="str">
        <f>TiposLancamentos!B18</f>
        <v>Alimentacao</v>
      </c>
      <c r="C1990" s="3" t="s">
        <v>3514</v>
      </c>
      <c r="D1990" s="78"/>
      <c r="E1990" s="1480">
        <v>4.3</v>
      </c>
    </row>
    <row r="1991" spans="1:5">
      <c r="A1991" s="103">
        <v>39589</v>
      </c>
      <c r="B1991" s="86" t="str">
        <f>TiposLancamentos!B18</f>
        <v>Alimentacao</v>
      </c>
      <c r="C1991" s="3" t="s">
        <v>3528</v>
      </c>
      <c r="D1991" s="78"/>
      <c r="E1991" s="1480">
        <v>7</v>
      </c>
    </row>
    <row r="1992" spans="1:5">
      <c r="A1992" s="103">
        <v>39590</v>
      </c>
      <c r="B1992" s="86" t="str">
        <f>TiposLancamentos!B74</f>
        <v>Noite</v>
      </c>
      <c r="C1992" s="3" t="s">
        <v>3529</v>
      </c>
      <c r="D1992" s="78"/>
      <c r="E1992" s="1480">
        <v>17.600000000000001</v>
      </c>
    </row>
    <row r="1993" spans="1:5">
      <c r="A1993" s="103">
        <v>39591</v>
      </c>
      <c r="B1993" s="86" t="str">
        <f>TiposLancamentos!B20</f>
        <v>Saques</v>
      </c>
      <c r="C1993" s="3" t="s">
        <v>2668</v>
      </c>
      <c r="D1993" s="78">
        <v>80</v>
      </c>
      <c r="E1993" s="1480"/>
    </row>
    <row r="1994" spans="1:5">
      <c r="A1994" s="103">
        <v>39591</v>
      </c>
      <c r="B1994" s="86" t="str">
        <f>TiposLancamentos!B5</f>
        <v>Supermercado</v>
      </c>
      <c r="C1994" s="3"/>
      <c r="D1994" s="78"/>
      <c r="E1994" s="1480">
        <v>19</v>
      </c>
    </row>
    <row r="1995" spans="1:5">
      <c r="A1995" s="103">
        <v>39591</v>
      </c>
      <c r="B1995" s="86" t="str">
        <f>TiposLancamentos!B74</f>
        <v>Noite</v>
      </c>
      <c r="C1995" s="3" t="s">
        <v>3530</v>
      </c>
      <c r="D1995" s="78"/>
      <c r="E1995" s="1480">
        <v>15</v>
      </c>
    </row>
    <row r="1996" spans="1:5">
      <c r="A1996" s="103">
        <v>39591</v>
      </c>
      <c r="B1996" s="86" t="str">
        <f>TiposLancamentos!B74</f>
        <v>Noite</v>
      </c>
      <c r="C1996" s="3" t="s">
        <v>3531</v>
      </c>
      <c r="D1996" s="78"/>
      <c r="E1996" s="1480">
        <v>30.4</v>
      </c>
    </row>
    <row r="1997" spans="1:5">
      <c r="A1997" s="103">
        <v>39592</v>
      </c>
      <c r="B1997" s="86" t="str">
        <f>TiposLancamentos!B5</f>
        <v>Supermercado</v>
      </c>
      <c r="C1997" s="3" t="s">
        <v>2567</v>
      </c>
      <c r="D1997" s="78"/>
      <c r="E1997" s="1480">
        <v>11.6</v>
      </c>
    </row>
    <row r="1998" spans="1:5">
      <c r="A1998" s="103">
        <v>39592</v>
      </c>
      <c r="B1998" s="86" t="str">
        <f>TiposLancamentos!B74</f>
        <v>Noite</v>
      </c>
      <c r="C1998" s="3" t="s">
        <v>3532</v>
      </c>
      <c r="D1998" s="78"/>
      <c r="E1998" s="1480">
        <v>4</v>
      </c>
    </row>
    <row r="1999" spans="1:5">
      <c r="A1999" s="103">
        <v>39596</v>
      </c>
      <c r="B1999" s="86" t="str">
        <f>TiposLancamentos!B20</f>
        <v>Saques</v>
      </c>
      <c r="C1999" s="3" t="s">
        <v>3406</v>
      </c>
      <c r="D1999" s="78">
        <v>40</v>
      </c>
      <c r="E1999" s="1480"/>
    </row>
    <row r="2000" spans="1:5">
      <c r="A2000" s="103">
        <v>39596</v>
      </c>
      <c r="B2000" s="86" t="str">
        <f>TiposLancamentos!B18</f>
        <v>Alimentacao</v>
      </c>
      <c r="C2000" s="3" t="s">
        <v>3533</v>
      </c>
      <c r="D2000" s="78"/>
      <c r="E2000" s="1480">
        <v>3</v>
      </c>
    </row>
    <row r="2001" spans="1:5">
      <c r="A2001" s="103">
        <v>39596</v>
      </c>
      <c r="B2001" s="86" t="str">
        <f>TiposLancamentos!B20</f>
        <v>Saques</v>
      </c>
      <c r="C2001" s="3" t="s">
        <v>3534</v>
      </c>
      <c r="D2001" s="78">
        <v>30</v>
      </c>
      <c r="E2001" s="1480"/>
    </row>
    <row r="2002" spans="1:5">
      <c r="A2002" s="103">
        <v>39596</v>
      </c>
      <c r="B2002" s="86" t="str">
        <f>TiposLancamentos!B66</f>
        <v>Faxineira</v>
      </c>
      <c r="C2002" s="3" t="s">
        <v>3535</v>
      </c>
      <c r="D2002" s="78"/>
      <c r="E2002" s="1480">
        <v>50</v>
      </c>
    </row>
    <row r="2003" spans="1:5">
      <c r="A2003" s="103">
        <v>39597</v>
      </c>
      <c r="B2003" s="86" t="str">
        <f>TiposLancamentos!B16</f>
        <v>Cristiane</v>
      </c>
      <c r="C2003" s="3" t="s">
        <v>3536</v>
      </c>
      <c r="D2003" s="78"/>
      <c r="E2003" s="1480">
        <v>5</v>
      </c>
    </row>
    <row r="2004" spans="1:5">
      <c r="A2004" s="103">
        <v>39597</v>
      </c>
      <c r="B2004" s="86" t="str">
        <f>TiposLancamentos!B18</f>
        <v>Alimentacao</v>
      </c>
      <c r="C2004" s="3" t="s">
        <v>3537</v>
      </c>
      <c r="D2004" s="78"/>
      <c r="E2004" s="1480">
        <v>4.3</v>
      </c>
    </row>
    <row r="2005" spans="1:5">
      <c r="A2005" s="103">
        <v>39598</v>
      </c>
      <c r="B2005" s="86" t="str">
        <f>TiposLancamentos!B16</f>
        <v>Cristiane</v>
      </c>
      <c r="C2005" s="3" t="s">
        <v>3536</v>
      </c>
      <c r="D2005" s="78"/>
      <c r="E2005" s="1480">
        <v>7.7</v>
      </c>
    </row>
    <row r="2006" spans="1:5">
      <c r="A2006" s="103">
        <v>39598</v>
      </c>
      <c r="B2006" s="86" t="str">
        <f>TiposLancamentos!B20</f>
        <v>Saques</v>
      </c>
      <c r="C2006" s="3" t="s">
        <v>3470</v>
      </c>
      <c r="D2006" s="78">
        <v>40</v>
      </c>
      <c r="E2006" s="1480"/>
    </row>
    <row r="2007" spans="1:5">
      <c r="A2007" s="103">
        <v>39598</v>
      </c>
      <c r="B2007" s="86" t="str">
        <f>TiposLancamentos!B100</f>
        <v>Emprestimos</v>
      </c>
      <c r="C2007" s="3" t="s">
        <v>3538</v>
      </c>
      <c r="D2007" s="78"/>
      <c r="E2007" s="1480">
        <v>30</v>
      </c>
    </row>
    <row r="2008" spans="1:5">
      <c r="A2008" s="103">
        <v>39599</v>
      </c>
      <c r="B2008" s="86" t="str">
        <f>TiposLancamentos!B78</f>
        <v>Diferenças</v>
      </c>
      <c r="C2008" s="3" t="s">
        <v>1818</v>
      </c>
      <c r="D2008" s="78"/>
      <c r="E2008" s="1480">
        <v>4</v>
      </c>
    </row>
    <row r="2009" spans="1:5">
      <c r="A2009" s="99"/>
      <c r="B2009" s="1590"/>
      <c r="C2009" s="100" t="s">
        <v>3539</v>
      </c>
      <c r="D2009" s="1591"/>
      <c r="E2009" s="1592"/>
    </row>
    <row r="2010" spans="1:5">
      <c r="A2010" s="103">
        <v>39605</v>
      </c>
      <c r="B2010" s="86" t="str">
        <f>TiposLancamentos!B20</f>
        <v>Saques</v>
      </c>
      <c r="C2010" s="3" t="s">
        <v>3406</v>
      </c>
      <c r="D2010" s="78">
        <v>200</v>
      </c>
      <c r="E2010" s="1480"/>
    </row>
    <row r="2011" spans="1:5">
      <c r="A2011" s="103">
        <v>39605</v>
      </c>
      <c r="B2011" s="86" t="str">
        <f>TiposLancamentos!B51</f>
        <v>Marlboro</v>
      </c>
      <c r="C2011" s="3" t="s">
        <v>3540</v>
      </c>
      <c r="D2011" s="78"/>
      <c r="E2011" s="1480">
        <v>7</v>
      </c>
    </row>
    <row r="2012" spans="1:5">
      <c r="A2012" s="103">
        <v>39605</v>
      </c>
      <c r="B2012" s="86" t="str">
        <f>TiposLancamentos!B18</f>
        <v>Alimentacao</v>
      </c>
      <c r="C2012" s="3" t="s">
        <v>3541</v>
      </c>
      <c r="D2012" s="78"/>
      <c r="E2012" s="1480">
        <v>13.5</v>
      </c>
    </row>
    <row r="2013" spans="1:5">
      <c r="A2013" s="103">
        <v>39605</v>
      </c>
      <c r="B2013" s="86" t="str">
        <f>TiposLancamentos!B24</f>
        <v>Estacionamentos</v>
      </c>
      <c r="C2013" s="3" t="s">
        <v>3542</v>
      </c>
      <c r="D2013" s="78"/>
      <c r="E2013" s="1480">
        <v>20</v>
      </c>
    </row>
    <row r="2014" spans="1:5">
      <c r="A2014" s="103">
        <v>39605</v>
      </c>
      <c r="B2014" s="86" t="str">
        <f>TiposLancamentos!B72</f>
        <v>Presentes</v>
      </c>
      <c r="C2014" s="3" t="s">
        <v>3543</v>
      </c>
      <c r="D2014" s="78"/>
      <c r="E2014" s="1480">
        <v>60</v>
      </c>
    </row>
    <row r="2015" spans="1:5">
      <c r="A2015" s="103">
        <v>39606</v>
      </c>
      <c r="B2015" s="86" t="str">
        <f>TiposLancamentos!B18</f>
        <v>Alimentacao</v>
      </c>
      <c r="C2015" s="3" t="s">
        <v>3544</v>
      </c>
      <c r="D2015" s="78"/>
      <c r="E2015" s="1480">
        <v>8</v>
      </c>
    </row>
    <row r="2016" spans="1:5">
      <c r="A2016" s="103">
        <v>39606</v>
      </c>
      <c r="B2016" s="86" t="str">
        <f>TiposLancamentos!B24</f>
        <v>Estacionamentos</v>
      </c>
      <c r="C2016" s="3" t="s">
        <v>3398</v>
      </c>
      <c r="D2016" s="78"/>
      <c r="E2016" s="1480">
        <v>4</v>
      </c>
    </row>
    <row r="2017" spans="1:5">
      <c r="A2017" s="103">
        <v>39607</v>
      </c>
      <c r="B2017" s="86" t="str">
        <f>TiposLancamentos!B5</f>
        <v>Supermercado</v>
      </c>
      <c r="C2017" s="3" t="s">
        <v>3545</v>
      </c>
      <c r="D2017" s="78"/>
      <c r="E2017" s="1480">
        <v>17</v>
      </c>
    </row>
    <row r="2018" spans="1:5">
      <c r="A2018" s="103">
        <v>39607</v>
      </c>
      <c r="B2018" s="86" t="str">
        <f>TiposLancamentos!B5</f>
        <v>Supermercado</v>
      </c>
      <c r="C2018" s="3" t="s">
        <v>3546</v>
      </c>
      <c r="D2018" s="78"/>
      <c r="E2018" s="1480">
        <v>14</v>
      </c>
    </row>
    <row r="2019" spans="1:5">
      <c r="A2019" s="103">
        <v>39607</v>
      </c>
      <c r="B2019" s="86" t="str">
        <f>TiposLancamentos!B16</f>
        <v>Cristiane</v>
      </c>
      <c r="C2019" s="3" t="s">
        <v>3016</v>
      </c>
      <c r="D2019" s="78"/>
      <c r="E2019" s="1480">
        <v>50</v>
      </c>
    </row>
    <row r="2020" spans="1:5">
      <c r="A2020" s="103">
        <v>39608</v>
      </c>
      <c r="B2020" s="86" t="str">
        <f>TiposLancamentos!B18</f>
        <v>Alimentacao</v>
      </c>
      <c r="C2020" s="3" t="s">
        <v>3547</v>
      </c>
      <c r="D2020" s="78"/>
      <c r="E2020" s="1480">
        <v>4</v>
      </c>
    </row>
    <row r="2021" spans="1:5">
      <c r="A2021" s="103">
        <v>39610</v>
      </c>
      <c r="B2021" s="86" t="str">
        <f>TiposLancamentos!B18</f>
        <v>Alimentacao</v>
      </c>
      <c r="C2021" s="3" t="s">
        <v>3548</v>
      </c>
      <c r="D2021" s="78"/>
      <c r="E2021" s="1480">
        <v>2.2000000000000002</v>
      </c>
    </row>
    <row r="2022" spans="1:5">
      <c r="A2022" s="103">
        <v>39610</v>
      </c>
      <c r="B2022" s="86" t="str">
        <f>TiposLancamentos!B51</f>
        <v>Marlboro</v>
      </c>
      <c r="C2022" s="3" t="s">
        <v>3518</v>
      </c>
      <c r="D2022" s="78"/>
      <c r="E2022" s="1480">
        <v>3.25</v>
      </c>
    </row>
    <row r="2023" spans="1:5">
      <c r="A2023" s="103">
        <v>39613</v>
      </c>
      <c r="B2023" s="86" t="str">
        <f>TiposLancamentos!B16</f>
        <v>Cristiane</v>
      </c>
      <c r="C2023" s="3" t="s">
        <v>3549</v>
      </c>
      <c r="D2023" s="78">
        <v>20</v>
      </c>
      <c r="E2023" s="1480"/>
    </row>
    <row r="2024" spans="1:5">
      <c r="A2024" s="103">
        <v>39615</v>
      </c>
      <c r="B2024" s="86" t="str">
        <f>TiposLancamentos!B51</f>
        <v>Marlboro</v>
      </c>
      <c r="C2024" s="3" t="s">
        <v>3515</v>
      </c>
      <c r="D2024" s="78"/>
      <c r="E2024" s="1480">
        <v>3.25</v>
      </c>
    </row>
    <row r="2025" spans="1:5">
      <c r="A2025" s="103">
        <v>39617</v>
      </c>
      <c r="B2025" s="86" t="str">
        <f>TiposLancamentos!B18</f>
        <v>Alimentacao</v>
      </c>
      <c r="C2025" s="3" t="s">
        <v>3550</v>
      </c>
      <c r="D2025" s="78"/>
      <c r="E2025" s="1480">
        <v>5</v>
      </c>
    </row>
    <row r="2026" spans="1:5">
      <c r="A2026" s="103">
        <v>39627</v>
      </c>
      <c r="B2026" s="86" t="str">
        <f>TiposLancamentos!B16</f>
        <v>Cristiane</v>
      </c>
      <c r="C2026" s="3" t="s">
        <v>3016</v>
      </c>
      <c r="D2026" s="78">
        <v>14.8</v>
      </c>
      <c r="E2026" s="1480"/>
    </row>
    <row r="2027" spans="1:5">
      <c r="A2027" s="103">
        <v>39629</v>
      </c>
      <c r="B2027" s="86" t="str">
        <f>TiposLancamentos!B20</f>
        <v>Saques</v>
      </c>
      <c r="C2027" s="3" t="s">
        <v>3470</v>
      </c>
      <c r="D2027" s="78">
        <v>20</v>
      </c>
      <c r="E2027" s="1480"/>
    </row>
    <row r="2028" spans="1:5">
      <c r="A2028" s="103">
        <v>39629</v>
      </c>
      <c r="B2028" s="86" t="str">
        <f>TiposLancamentos!B24</f>
        <v>Estacionamentos</v>
      </c>
      <c r="C2028" s="3" t="s">
        <v>2014</v>
      </c>
      <c r="D2028" s="78"/>
      <c r="E2028" s="1480">
        <v>4</v>
      </c>
    </row>
    <row r="2029" spans="1:5">
      <c r="A2029" s="103">
        <v>39629</v>
      </c>
      <c r="B2029" s="86" t="str">
        <f>TiposLancamentos!B78</f>
        <v>Diferenças</v>
      </c>
      <c r="C2029" s="3" t="s">
        <v>1818</v>
      </c>
      <c r="D2029" s="78"/>
      <c r="E2029" s="1480">
        <v>15.35</v>
      </c>
    </row>
    <row r="2030" spans="1:5">
      <c r="A2030" s="99"/>
      <c r="B2030" s="1590"/>
      <c r="C2030" s="100" t="s">
        <v>3551</v>
      </c>
      <c r="D2030" s="1591"/>
      <c r="E2030" s="1592"/>
    </row>
    <row r="2031" spans="1:5">
      <c r="A2031" s="103">
        <v>39630</v>
      </c>
      <c r="B2031" s="86" t="str">
        <f>TiposLancamentos!B72</f>
        <v>Presentes</v>
      </c>
      <c r="C2031" s="3" t="s">
        <v>3552</v>
      </c>
      <c r="D2031" s="78"/>
      <c r="E2031" s="1480">
        <v>13</v>
      </c>
    </row>
    <row r="2032" spans="1:5">
      <c r="A2032" s="103">
        <v>39632</v>
      </c>
      <c r="B2032" s="86" t="str">
        <f>TiposLancamentos!B20</f>
        <v>Saques</v>
      </c>
      <c r="C2032" s="3" t="s">
        <v>2655</v>
      </c>
      <c r="D2032" s="78">
        <v>10</v>
      </c>
      <c r="E2032" s="1480"/>
    </row>
    <row r="2033" spans="1:5">
      <c r="A2033" s="103">
        <v>39632</v>
      </c>
      <c r="B2033" s="86" t="str">
        <f>TiposLancamentos!B51</f>
        <v>Marlboro</v>
      </c>
      <c r="C2033" s="3" t="s">
        <v>3510</v>
      </c>
      <c r="D2033" s="78"/>
      <c r="E2033" s="1480">
        <v>3.25</v>
      </c>
    </row>
    <row r="2034" spans="1:5">
      <c r="A2034" s="103">
        <v>39633</v>
      </c>
      <c r="B2034" s="86" t="str">
        <f>TiposLancamentos!B18</f>
        <v>Alimentacao</v>
      </c>
      <c r="C2034" s="3" t="s">
        <v>3553</v>
      </c>
      <c r="D2034" s="78"/>
      <c r="E2034" s="1480">
        <v>10</v>
      </c>
    </row>
    <row r="2035" spans="1:5">
      <c r="A2035" s="103">
        <v>39633</v>
      </c>
      <c r="B2035" s="86" t="str">
        <f>TiposLancamentos!B24</f>
        <v>Estacionamentos</v>
      </c>
      <c r="C2035" s="3" t="s">
        <v>3253</v>
      </c>
      <c r="D2035" s="78"/>
      <c r="E2035" s="1480">
        <v>6</v>
      </c>
    </row>
    <row r="2036" spans="1:5">
      <c r="A2036" s="103">
        <v>39633</v>
      </c>
      <c r="B2036" s="86" t="str">
        <f>TiposLancamentos!B50</f>
        <v>Guitarra</v>
      </c>
      <c r="C2036" s="3" t="s">
        <v>3554</v>
      </c>
      <c r="D2036" s="78"/>
      <c r="E2036" s="1480">
        <v>8</v>
      </c>
    </row>
    <row r="2037" spans="1:5">
      <c r="A2037" s="103">
        <v>39643</v>
      </c>
      <c r="B2037" s="86" t="str">
        <f>TiposLancamentos!B20</f>
        <v>Saques</v>
      </c>
      <c r="C2037" s="3" t="s">
        <v>1706</v>
      </c>
      <c r="D2037" s="78">
        <v>30</v>
      </c>
      <c r="E2037" s="1480"/>
    </row>
    <row r="2038" spans="1:5">
      <c r="A2038" s="103">
        <v>39643</v>
      </c>
      <c r="B2038" s="86" t="str">
        <f>TiposLancamentos!B71</f>
        <v>Itens Pessoais</v>
      </c>
      <c r="C2038" s="3" t="s">
        <v>3555</v>
      </c>
      <c r="D2038" s="78"/>
      <c r="E2038" s="1480">
        <v>10</v>
      </c>
    </row>
    <row r="2039" spans="1:5">
      <c r="A2039" s="103">
        <v>39646</v>
      </c>
      <c r="B2039" s="86" t="str">
        <f>TiposLancamentos!B13</f>
        <v>Moradia</v>
      </c>
      <c r="C2039" s="3" t="s">
        <v>3556</v>
      </c>
      <c r="D2039" s="78"/>
      <c r="E2039" s="1480">
        <v>6.5</v>
      </c>
    </row>
    <row r="2040" spans="1:5">
      <c r="A2040" s="103">
        <v>39646</v>
      </c>
      <c r="B2040" s="86" t="str">
        <f>TiposLancamentos!B18</f>
        <v>Alimentacao</v>
      </c>
      <c r="C2040" s="3" t="s">
        <v>3557</v>
      </c>
      <c r="D2040" s="78"/>
      <c r="E2040" s="1480">
        <v>11.3</v>
      </c>
    </row>
    <row r="2041" spans="1:5">
      <c r="A2041" s="103">
        <v>39646</v>
      </c>
      <c r="B2041" s="86" t="str">
        <f>TiposLancamentos!B24</f>
        <v>Estacionamentos</v>
      </c>
      <c r="C2041" s="3" t="s">
        <v>3558</v>
      </c>
      <c r="D2041" s="78"/>
      <c r="E2041" s="1480">
        <v>2.2000000000000002</v>
      </c>
    </row>
    <row r="2042" spans="1:5">
      <c r="A2042" s="103">
        <v>39648</v>
      </c>
      <c r="B2042" s="86" t="str">
        <f>TiposLancamentos!B20</f>
        <v>Saques</v>
      </c>
      <c r="C2042" s="3" t="s">
        <v>3406</v>
      </c>
      <c r="D2042" s="78">
        <v>60</v>
      </c>
      <c r="E2042" s="1480"/>
    </row>
    <row r="2043" spans="1:5">
      <c r="A2043" s="103">
        <v>39648</v>
      </c>
      <c r="B2043" s="86" t="str">
        <f>TiposLancamentos!B16</f>
        <v>Cristiane</v>
      </c>
      <c r="C2043" s="3" t="s">
        <v>3559</v>
      </c>
      <c r="D2043" s="78"/>
      <c r="E2043" s="1480">
        <v>15</v>
      </c>
    </row>
    <row r="2044" spans="1:5">
      <c r="A2044" s="103">
        <v>39648</v>
      </c>
      <c r="B2044" s="86" t="str">
        <f>TiposLancamentos!B18</f>
        <v>Alimentacao</v>
      </c>
      <c r="C2044" s="3" t="s">
        <v>3560</v>
      </c>
      <c r="D2044" s="78"/>
      <c r="E2044" s="1480">
        <v>6.9</v>
      </c>
    </row>
    <row r="2045" spans="1:5">
      <c r="A2045" s="103">
        <v>39648</v>
      </c>
      <c r="B2045" s="86" t="str">
        <f>TiposLancamentos!B85</f>
        <v>Peugeout 206</v>
      </c>
      <c r="C2045" s="3" t="s">
        <v>3561</v>
      </c>
      <c r="D2045" s="78"/>
      <c r="E2045" s="1480">
        <v>15</v>
      </c>
    </row>
    <row r="2046" spans="1:5">
      <c r="A2046" s="103">
        <v>39649</v>
      </c>
      <c r="B2046" s="86" t="str">
        <f>TiposLancamentos!B51</f>
        <v>Marlboro</v>
      </c>
      <c r="C2046" s="3" t="s">
        <v>3523</v>
      </c>
      <c r="D2046" s="78"/>
      <c r="E2046" s="1480">
        <v>3.25</v>
      </c>
    </row>
    <row r="2047" spans="1:5">
      <c r="A2047" s="103">
        <v>39651</v>
      </c>
      <c r="B2047" s="86" t="str">
        <f>TiposLancamentos!B51</f>
        <v>Marlboro</v>
      </c>
      <c r="C2047" s="3" t="s">
        <v>3562</v>
      </c>
      <c r="D2047" s="78"/>
      <c r="E2047" s="1480">
        <v>6.5</v>
      </c>
    </row>
    <row r="2048" spans="1:5">
      <c r="A2048" s="103">
        <v>39652</v>
      </c>
      <c r="B2048" s="86" t="str">
        <f>TiposLancamentos!B77</f>
        <v>Esporádico</v>
      </c>
      <c r="C2048" s="3" t="s">
        <v>3563</v>
      </c>
      <c r="D2048" s="78"/>
      <c r="E2048" s="1480">
        <v>7</v>
      </c>
    </row>
    <row r="2049" spans="1:5">
      <c r="A2049" s="103">
        <v>39655</v>
      </c>
      <c r="B2049" s="86" t="str">
        <f>TiposLancamentos!B18</f>
        <v>Alimentacao</v>
      </c>
      <c r="C2049" s="3" t="s">
        <v>3564</v>
      </c>
      <c r="D2049" s="78"/>
      <c r="E2049" s="1480">
        <v>6</v>
      </c>
    </row>
    <row r="2050" spans="1:5">
      <c r="A2050" s="103">
        <v>39659</v>
      </c>
      <c r="B2050" s="86" t="str">
        <f>TiposLancamentos!B20</f>
        <v>Saques</v>
      </c>
      <c r="C2050" s="3" t="s">
        <v>3565</v>
      </c>
      <c r="D2050" s="78">
        <v>20</v>
      </c>
      <c r="E2050" s="1480"/>
    </row>
    <row r="2051" spans="1:5">
      <c r="A2051" s="103">
        <v>39659</v>
      </c>
      <c r="B2051" s="86" t="str">
        <f>TiposLancamentos!B18</f>
        <v>Alimentacao</v>
      </c>
      <c r="C2051" s="3" t="s">
        <v>3566</v>
      </c>
      <c r="D2051" s="78"/>
      <c r="E2051" s="1480">
        <v>12</v>
      </c>
    </row>
    <row r="2052" spans="1:5">
      <c r="A2052" s="103">
        <v>39659</v>
      </c>
      <c r="B2052" s="86" t="str">
        <f>TiposLancamentos!B24</f>
        <v>Estacionamentos</v>
      </c>
      <c r="C2052" s="3" t="s">
        <v>3398</v>
      </c>
      <c r="D2052" s="78"/>
      <c r="E2052" s="1480">
        <v>4</v>
      </c>
    </row>
    <row r="2053" spans="1:5">
      <c r="A2053" s="99"/>
      <c r="B2053" s="1590"/>
      <c r="C2053" s="100" t="s">
        <v>3567</v>
      </c>
      <c r="D2053" s="1591"/>
      <c r="E2053" s="1592"/>
    </row>
    <row r="2054" spans="1:5">
      <c r="A2054" s="103">
        <v>39662</v>
      </c>
      <c r="B2054" s="86" t="str">
        <f>TiposLancamentos!B51</f>
        <v>Marlboro</v>
      </c>
      <c r="C2054" s="3" t="s">
        <v>3568</v>
      </c>
      <c r="D2054" s="78"/>
      <c r="E2054" s="1480">
        <v>3.25</v>
      </c>
    </row>
    <row r="2055" spans="1:5">
      <c r="A2055" s="103">
        <v>39662</v>
      </c>
      <c r="B2055" s="86" t="str">
        <f>TiposLancamentos!B20</f>
        <v>Saques</v>
      </c>
      <c r="C2055" s="3" t="s">
        <v>3569</v>
      </c>
      <c r="D2055" s="78">
        <v>60</v>
      </c>
      <c r="E2055" s="1480"/>
    </row>
    <row r="2056" spans="1:5">
      <c r="A2056" s="103">
        <v>39662</v>
      </c>
      <c r="B2056" s="86" t="str">
        <f>TiposLancamentos!B24</f>
        <v>Estacionamentos</v>
      </c>
      <c r="C2056" s="3" t="s">
        <v>3570</v>
      </c>
      <c r="D2056" s="78"/>
      <c r="E2056" s="1480">
        <v>10</v>
      </c>
    </row>
    <row r="2057" spans="1:5">
      <c r="A2057" s="103">
        <v>39664</v>
      </c>
      <c r="B2057" s="86" t="str">
        <f>TiposLancamentos!B85</f>
        <v>Peugeout 206</v>
      </c>
      <c r="C2057" s="3" t="s">
        <v>3571</v>
      </c>
      <c r="D2057" s="78"/>
      <c r="E2057" s="1480">
        <v>10</v>
      </c>
    </row>
    <row r="2058" spans="1:5">
      <c r="A2058" s="103">
        <v>39664</v>
      </c>
      <c r="B2058" s="86" t="str">
        <f>TiposLancamentos!B24</f>
        <v>Estacionamentos</v>
      </c>
      <c r="C2058" s="3" t="s">
        <v>3241</v>
      </c>
      <c r="D2058" s="78"/>
      <c r="E2058" s="1480">
        <v>2</v>
      </c>
    </row>
    <row r="2059" spans="1:5">
      <c r="A2059" s="103">
        <v>39665</v>
      </c>
      <c r="B2059" s="86" t="str">
        <f>TiposLancamentos!B51</f>
        <v>Marlboro</v>
      </c>
      <c r="C2059" s="3" t="s">
        <v>3572</v>
      </c>
      <c r="D2059" s="78"/>
      <c r="E2059" s="1480">
        <v>2.9</v>
      </c>
    </row>
    <row r="2060" spans="1:5">
      <c r="A2060" s="103">
        <v>39665</v>
      </c>
      <c r="B2060" s="86" t="str">
        <f>TiposLancamentos!B18</f>
        <v>Alimentacao</v>
      </c>
      <c r="C2060" s="3" t="s">
        <v>3573</v>
      </c>
      <c r="D2060" s="78"/>
      <c r="E2060" s="1480">
        <v>1.2</v>
      </c>
    </row>
    <row r="2061" spans="1:5">
      <c r="A2061" s="103">
        <v>39667</v>
      </c>
      <c r="B2061" s="86" t="str">
        <f>TiposLancamentos!B16</f>
        <v>Cristiane</v>
      </c>
      <c r="C2061" s="3" t="s">
        <v>1698</v>
      </c>
      <c r="D2061" s="78"/>
      <c r="E2061" s="1480">
        <v>20</v>
      </c>
    </row>
    <row r="2062" spans="1:5">
      <c r="A2062" s="103">
        <v>39667</v>
      </c>
      <c r="B2062" s="86" t="str">
        <f>TiposLancamentos!B24</f>
        <v>Estacionamentos</v>
      </c>
      <c r="C2062" s="3" t="s">
        <v>3574</v>
      </c>
      <c r="D2062" s="78"/>
      <c r="E2062" s="1480">
        <v>5</v>
      </c>
    </row>
    <row r="2063" spans="1:5">
      <c r="A2063" s="103">
        <v>39668</v>
      </c>
      <c r="B2063" s="86" t="str">
        <f>TiposLancamentos!B24</f>
        <v>Estacionamentos</v>
      </c>
      <c r="C2063" s="3" t="s">
        <v>3575</v>
      </c>
      <c r="D2063" s="78"/>
      <c r="E2063" s="1480">
        <v>5</v>
      </c>
    </row>
    <row r="2064" spans="1:5">
      <c r="A2064" s="103">
        <v>39669</v>
      </c>
      <c r="B2064" s="86" t="str">
        <f>TiposLancamentos!B71</f>
        <v>Itens Pessoais</v>
      </c>
      <c r="C2064" s="3" t="s">
        <v>3576</v>
      </c>
      <c r="D2064" s="78"/>
      <c r="E2064" s="1480">
        <v>5</v>
      </c>
    </row>
    <row r="2065" spans="1:5">
      <c r="A2065" s="103">
        <v>39669</v>
      </c>
      <c r="B2065" s="86" t="str">
        <f>TiposLancamentos!B20</f>
        <v>Saques</v>
      </c>
      <c r="C2065" s="3" t="s">
        <v>3406</v>
      </c>
      <c r="D2065" s="78">
        <v>60</v>
      </c>
      <c r="E2065" s="1480"/>
    </row>
    <row r="2066" spans="1:5">
      <c r="A2066" s="103">
        <v>39669</v>
      </c>
      <c r="B2066" s="86" t="str">
        <f>TiposLancamentos!B25</f>
        <v>CD_DVD_BD</v>
      </c>
      <c r="C2066" s="3" t="s">
        <v>3577</v>
      </c>
      <c r="D2066" s="78"/>
      <c r="E2066" s="1480">
        <v>10</v>
      </c>
    </row>
    <row r="2067" spans="1:5">
      <c r="A2067" s="103">
        <v>39669</v>
      </c>
      <c r="B2067" s="86" t="str">
        <f>TiposLancamentos!B24</f>
        <v>Estacionamentos</v>
      </c>
      <c r="C2067" s="3" t="s">
        <v>3398</v>
      </c>
      <c r="D2067" s="78"/>
      <c r="E2067" s="1480">
        <v>6</v>
      </c>
    </row>
    <row r="2068" spans="1:5">
      <c r="A2068" s="103">
        <v>39669</v>
      </c>
      <c r="B2068" s="86" t="str">
        <f>TiposLancamentos!B18</f>
        <v>Alimentacao</v>
      </c>
      <c r="C2068" s="3" t="s">
        <v>3578</v>
      </c>
      <c r="D2068" s="78"/>
      <c r="E2068" s="1480">
        <v>4.8</v>
      </c>
    </row>
    <row r="2069" spans="1:5">
      <c r="A2069" s="103">
        <v>39669</v>
      </c>
      <c r="B2069" s="86" t="str">
        <f>TiposLancamentos!B18</f>
        <v>Alimentacao</v>
      </c>
      <c r="C2069" s="3" t="s">
        <v>3579</v>
      </c>
      <c r="D2069" s="78"/>
      <c r="E2069" s="1480">
        <v>4.8</v>
      </c>
    </row>
    <row r="2070" spans="1:5">
      <c r="A2070" s="103">
        <v>39669</v>
      </c>
      <c r="B2070" s="86" t="str">
        <f>TiposLancamentos!B24</f>
        <v>Estacionamentos</v>
      </c>
      <c r="C2070" s="3" t="s">
        <v>3398</v>
      </c>
      <c r="D2070" s="78"/>
      <c r="E2070" s="1480">
        <v>4</v>
      </c>
    </row>
    <row r="2071" spans="1:5">
      <c r="A2071" s="103">
        <v>39670</v>
      </c>
      <c r="B2071" s="86" t="str">
        <f>TiposLancamentos!B24</f>
        <v>Estacionamentos</v>
      </c>
      <c r="C2071" s="3" t="s">
        <v>3580</v>
      </c>
      <c r="D2071" s="78"/>
      <c r="E2071" s="1480">
        <v>10</v>
      </c>
    </row>
    <row r="2072" spans="1:5">
      <c r="A2072" s="103">
        <v>39670</v>
      </c>
      <c r="B2072" s="86" t="str">
        <f>TiposLancamentos!B73</f>
        <v>Cursos</v>
      </c>
      <c r="C2072" s="3" t="s">
        <v>3581</v>
      </c>
      <c r="D2072" s="78"/>
      <c r="E2072" s="1480">
        <v>10.5</v>
      </c>
    </row>
    <row r="2073" spans="1:5">
      <c r="A2073" s="103">
        <v>39670</v>
      </c>
      <c r="B2073" s="86" t="str">
        <f>TiposLancamentos!B24</f>
        <v>Estacionamentos</v>
      </c>
      <c r="C2073" s="3" t="s">
        <v>3582</v>
      </c>
      <c r="D2073" s="78"/>
      <c r="E2073" s="1480">
        <v>3</v>
      </c>
    </row>
    <row r="2074" spans="1:5">
      <c r="A2074" s="103">
        <v>39671</v>
      </c>
      <c r="B2074" s="86" t="str">
        <f>TiposLancamentos!B77</f>
        <v>Esporádico</v>
      </c>
      <c r="C2074" s="3" t="s">
        <v>3583</v>
      </c>
      <c r="D2074" s="78"/>
      <c r="E2074" s="1480">
        <v>2.5</v>
      </c>
    </row>
    <row r="2075" spans="1:5">
      <c r="A2075" s="103">
        <v>39671</v>
      </c>
      <c r="B2075" s="86" t="str">
        <f>TiposLancamentos!B20</f>
        <v>Saques</v>
      </c>
      <c r="C2075" s="3" t="s">
        <v>3403</v>
      </c>
      <c r="D2075" s="78">
        <v>50</v>
      </c>
      <c r="E2075" s="1480"/>
    </row>
    <row r="2076" spans="1:5">
      <c r="A2076" s="103">
        <v>39671</v>
      </c>
      <c r="B2076" s="86" t="str">
        <f>TiposLancamentos!B24</f>
        <v>Estacionamentos</v>
      </c>
      <c r="C2076" s="3" t="s">
        <v>3584</v>
      </c>
      <c r="D2076" s="78"/>
      <c r="E2076" s="1480">
        <v>4</v>
      </c>
    </row>
    <row r="2077" spans="1:5">
      <c r="A2077" s="103">
        <v>39673</v>
      </c>
      <c r="B2077" s="86" t="str">
        <f>TiposLancamentos!B56</f>
        <v>Farmácia</v>
      </c>
      <c r="C2077" s="3" t="s">
        <v>3585</v>
      </c>
      <c r="D2077" s="78"/>
      <c r="E2077" s="1480">
        <v>38</v>
      </c>
    </row>
    <row r="2078" spans="1:5">
      <c r="A2078" s="103">
        <v>39673</v>
      </c>
      <c r="B2078" s="86" t="str">
        <f>TiposLancamentos!B16</f>
        <v>Cristiane</v>
      </c>
      <c r="C2078" s="3" t="s">
        <v>3016</v>
      </c>
      <c r="D2078" s="78"/>
      <c r="E2078" s="1480">
        <v>10</v>
      </c>
    </row>
    <row r="2079" spans="1:5">
      <c r="A2079" s="103">
        <v>39673</v>
      </c>
      <c r="B2079" s="86" t="str">
        <f>TiposLancamentos!B24</f>
        <v>Estacionamentos</v>
      </c>
      <c r="C2079" s="3" t="s">
        <v>3398</v>
      </c>
      <c r="D2079" s="78"/>
      <c r="E2079" s="1480">
        <v>2</v>
      </c>
    </row>
    <row r="2080" spans="1:5">
      <c r="A2080" s="103">
        <v>39674</v>
      </c>
      <c r="B2080" s="86" t="str">
        <f>TiposLancamentos!B20</f>
        <v>Saques</v>
      </c>
      <c r="C2080" s="3" t="s">
        <v>3403</v>
      </c>
      <c r="D2080" s="78">
        <v>60</v>
      </c>
      <c r="E2080" s="1480"/>
    </row>
    <row r="2081" spans="1:5">
      <c r="A2081" s="103">
        <v>39674</v>
      </c>
      <c r="B2081" s="86" t="str">
        <f>TiposLancamentos!B24</f>
        <v>Estacionamentos</v>
      </c>
      <c r="C2081" s="3" t="s">
        <v>3586</v>
      </c>
      <c r="D2081" s="78"/>
      <c r="E2081" s="1480">
        <v>4</v>
      </c>
    </row>
    <row r="2082" spans="1:5">
      <c r="A2082" s="103">
        <v>39675</v>
      </c>
      <c r="B2082" s="86" t="str">
        <f>TiposLancamentos!B16</f>
        <v>Cristiane</v>
      </c>
      <c r="C2082" s="3" t="s">
        <v>3587</v>
      </c>
      <c r="D2082" s="78"/>
      <c r="E2082" s="1480">
        <v>30</v>
      </c>
    </row>
    <row r="2083" spans="1:5">
      <c r="A2083" s="103">
        <v>39675</v>
      </c>
      <c r="B2083" s="86" t="str">
        <f>TiposLancamentos!B18</f>
        <v>Alimentacao</v>
      </c>
      <c r="C2083" s="3" t="s">
        <v>3588</v>
      </c>
      <c r="D2083" s="78"/>
      <c r="E2083" s="1480">
        <v>9.8000000000000007</v>
      </c>
    </row>
    <row r="2084" spans="1:5">
      <c r="A2084" s="103">
        <v>39675</v>
      </c>
      <c r="B2084" s="86" t="str">
        <f>TiposLancamentos!B18</f>
        <v>Alimentacao</v>
      </c>
      <c r="C2084" s="3" t="s">
        <v>3589</v>
      </c>
      <c r="D2084" s="78"/>
      <c r="E2084" s="1480">
        <v>1.4</v>
      </c>
    </row>
    <row r="2085" spans="1:5">
      <c r="A2085" s="103">
        <v>39676</v>
      </c>
      <c r="B2085" s="86" t="str">
        <f>TiposLancamentos!B71</f>
        <v>Itens Pessoais</v>
      </c>
      <c r="C2085" s="3" t="s">
        <v>3590</v>
      </c>
      <c r="D2085" s="78"/>
      <c r="E2085" s="1480">
        <v>15</v>
      </c>
    </row>
    <row r="2086" spans="1:5">
      <c r="A2086" s="103">
        <v>39678</v>
      </c>
      <c r="B2086" s="86" t="str">
        <f>TiposLancamentos!B20</f>
        <v>Saques</v>
      </c>
      <c r="C2086" s="3" t="s">
        <v>2668</v>
      </c>
      <c r="D2086" s="78">
        <v>30</v>
      </c>
      <c r="E2086" s="1480"/>
    </row>
    <row r="2087" spans="1:5">
      <c r="A2087" s="103">
        <v>39678</v>
      </c>
      <c r="B2087" s="86" t="str">
        <f>TiposLancamentos!B18</f>
        <v>Alimentacao</v>
      </c>
      <c r="C2087" s="3" t="s">
        <v>3591</v>
      </c>
      <c r="D2087" s="78"/>
      <c r="E2087" s="1480">
        <v>8</v>
      </c>
    </row>
    <row r="2088" spans="1:5">
      <c r="A2088" s="103">
        <v>39682</v>
      </c>
      <c r="B2088" s="86" t="str">
        <f>TiposLancamentos!B18</f>
        <v>Alimentacao</v>
      </c>
      <c r="C2088" s="3" t="s">
        <v>3592</v>
      </c>
      <c r="D2088" s="78"/>
      <c r="E2088" s="1480">
        <v>20</v>
      </c>
    </row>
    <row r="2089" spans="1:5">
      <c r="A2089" s="103">
        <v>39683</v>
      </c>
      <c r="B2089" s="86" t="str">
        <f>TiposLancamentos!B18</f>
        <v>Alimentacao</v>
      </c>
      <c r="C2089" s="3" t="s">
        <v>3593</v>
      </c>
      <c r="D2089" s="78"/>
      <c r="E2089" s="1480">
        <v>35</v>
      </c>
    </row>
    <row r="2090" spans="1:5">
      <c r="A2090" s="103">
        <v>39683</v>
      </c>
      <c r="B2090" s="86" t="str">
        <f>TiposLancamentos!B18</f>
        <v>Alimentacao</v>
      </c>
      <c r="C2090" s="3" t="s">
        <v>3594</v>
      </c>
      <c r="D2090" s="78"/>
      <c r="E2090" s="1480">
        <v>3.4</v>
      </c>
    </row>
    <row r="2091" spans="1:5">
      <c r="A2091" s="103">
        <v>39683</v>
      </c>
      <c r="B2091" s="86" t="str">
        <f>TiposLancamentos!B20</f>
        <v>Saques</v>
      </c>
      <c r="C2091" s="3" t="s">
        <v>3403</v>
      </c>
      <c r="D2091" s="78">
        <v>20</v>
      </c>
      <c r="E2091" s="1480"/>
    </row>
    <row r="2092" spans="1:5">
      <c r="A2092" s="103">
        <v>39683</v>
      </c>
      <c r="B2092" s="86" t="str">
        <f>TiposLancamentos!B56</f>
        <v>Farmácia</v>
      </c>
      <c r="C2092" s="3" t="s">
        <v>3595</v>
      </c>
      <c r="D2092" s="78"/>
      <c r="E2092" s="1480">
        <v>8.9</v>
      </c>
    </row>
    <row r="2093" spans="1:5">
      <c r="A2093" s="103">
        <v>39684</v>
      </c>
      <c r="B2093" s="86" t="str">
        <f>TiposLancamentos!B16</f>
        <v>Cristiane</v>
      </c>
      <c r="C2093" s="3" t="s">
        <v>3596</v>
      </c>
      <c r="D2093" s="78">
        <v>148.65</v>
      </c>
      <c r="E2093" s="1480"/>
    </row>
    <row r="2094" spans="1:5">
      <c r="A2094" s="103">
        <v>39684</v>
      </c>
      <c r="B2094" s="86" t="str">
        <f>TiposLancamentos!B56</f>
        <v>Farmácia</v>
      </c>
      <c r="C2094" s="3" t="s">
        <v>3597</v>
      </c>
      <c r="D2094" s="78"/>
      <c r="E2094" s="1480">
        <v>20</v>
      </c>
    </row>
    <row r="2095" spans="1:5">
      <c r="A2095" s="103">
        <v>39684</v>
      </c>
      <c r="B2095" s="86" t="str">
        <f>TiposLancamentos!B18</f>
        <v>Alimentacao</v>
      </c>
      <c r="C2095" s="3" t="s">
        <v>3598</v>
      </c>
      <c r="D2095" s="78"/>
      <c r="E2095" s="1480">
        <v>3</v>
      </c>
    </row>
    <row r="2096" spans="1:5">
      <c r="A2096" s="103">
        <v>39685</v>
      </c>
      <c r="B2096" s="86" t="str">
        <f>TiposLancamentos!B65</f>
        <v>Taxi</v>
      </c>
      <c r="C2096" s="3" t="s">
        <v>3599</v>
      </c>
      <c r="D2096" s="78"/>
      <c r="E2096" s="1480">
        <v>15.35</v>
      </c>
    </row>
    <row r="2097" spans="1:5">
      <c r="A2097" s="103">
        <v>39685</v>
      </c>
      <c r="B2097" s="86" t="str">
        <f>TiposLancamentos!B24</f>
        <v>Estacionamentos</v>
      </c>
      <c r="C2097" s="3" t="s">
        <v>3600</v>
      </c>
      <c r="D2097" s="78"/>
      <c r="E2097" s="1480">
        <v>3</v>
      </c>
    </row>
    <row r="2098" spans="1:5">
      <c r="A2098" s="103">
        <v>39685</v>
      </c>
      <c r="B2098" s="86" t="str">
        <f>TiposLancamentos!B19</f>
        <v>Restaurantes</v>
      </c>
      <c r="C2098" s="3" t="s">
        <v>3601</v>
      </c>
      <c r="D2098" s="78"/>
      <c r="E2098" s="1480">
        <v>35</v>
      </c>
    </row>
    <row r="2099" spans="1:5">
      <c r="A2099" s="103">
        <v>39686</v>
      </c>
      <c r="B2099" s="86" t="str">
        <f>TiposLancamentos!B16</f>
        <v>Cristiane</v>
      </c>
      <c r="C2099" s="3" t="s">
        <v>3016</v>
      </c>
      <c r="D2099" s="78"/>
      <c r="E2099" s="1480">
        <v>15</v>
      </c>
    </row>
    <row r="2100" spans="1:5">
      <c r="A2100" s="103">
        <v>39688</v>
      </c>
      <c r="B2100" s="86" t="str">
        <f>TiposLancamentos!B24</f>
        <v>Estacionamentos</v>
      </c>
      <c r="C2100" s="3" t="s">
        <v>3602</v>
      </c>
      <c r="D2100" s="78"/>
      <c r="E2100" s="1480">
        <v>5</v>
      </c>
    </row>
    <row r="2101" spans="1:5">
      <c r="A2101" s="103">
        <v>39688</v>
      </c>
      <c r="B2101" s="86" t="str">
        <f>TiposLancamentos!B16</f>
        <v>Cristiane</v>
      </c>
      <c r="C2101" s="3" t="s">
        <v>3016</v>
      </c>
      <c r="D2101" s="78"/>
      <c r="E2101" s="1480">
        <v>27.2</v>
      </c>
    </row>
    <row r="2102" spans="1:5">
      <c r="A2102" s="99"/>
      <c r="B2102" s="1590"/>
      <c r="C2102" s="100" t="s">
        <v>3603</v>
      </c>
      <c r="D2102" s="1591"/>
      <c r="E2102" s="1592"/>
    </row>
    <row r="2103" spans="1:5">
      <c r="A2103" s="103">
        <v>39720</v>
      </c>
      <c r="B2103" s="86" t="str">
        <f>TiposLancamentos!B20</f>
        <v>Saques</v>
      </c>
      <c r="C2103" s="3" t="s">
        <v>3604</v>
      </c>
      <c r="D2103" s="78">
        <v>60</v>
      </c>
      <c r="E2103" s="1480"/>
    </row>
    <row r="2104" spans="1:5">
      <c r="A2104" s="103">
        <v>39720</v>
      </c>
      <c r="B2104" s="86" t="str">
        <f>TiposLancamentos!B59</f>
        <v>Documentos</v>
      </c>
      <c r="C2104" s="3" t="s">
        <v>3605</v>
      </c>
      <c r="D2104" s="78"/>
      <c r="E2104" s="1480">
        <v>18</v>
      </c>
    </row>
    <row r="2105" spans="1:5">
      <c r="A2105" s="103">
        <v>39720</v>
      </c>
      <c r="B2105" s="86" t="str">
        <f>TiposLancamentos!B16</f>
        <v>Cristiane</v>
      </c>
      <c r="C2105" s="3" t="s">
        <v>3147</v>
      </c>
      <c r="D2105" s="78"/>
      <c r="E2105" s="1480">
        <v>10</v>
      </c>
    </row>
    <row r="2106" spans="1:5">
      <c r="A2106" s="103">
        <v>39720</v>
      </c>
      <c r="B2106" s="86" t="str">
        <f>TiposLancamentos!B18</f>
        <v>Alimentacao</v>
      </c>
      <c r="C2106" s="3" t="s">
        <v>3606</v>
      </c>
      <c r="D2106" s="78"/>
      <c r="E2106" s="1480">
        <v>10</v>
      </c>
    </row>
    <row r="2107" spans="1:5">
      <c r="A2107" s="103">
        <v>39720</v>
      </c>
      <c r="B2107" s="86" t="str">
        <f>TiposLancamentos!B71</f>
        <v>Itens Pessoais</v>
      </c>
      <c r="C2107" s="3" t="s">
        <v>3607</v>
      </c>
      <c r="D2107" s="78"/>
      <c r="E2107" s="1480">
        <v>20</v>
      </c>
    </row>
    <row r="2108" spans="1:5">
      <c r="A2108" s="103">
        <v>39721</v>
      </c>
      <c r="B2108" s="86" t="str">
        <f>TiposLancamentos!B24</f>
        <v>Estacionamentos</v>
      </c>
      <c r="C2108" s="3" t="s">
        <v>3608</v>
      </c>
      <c r="D2108" s="78"/>
      <c r="E2108" s="1480">
        <v>1</v>
      </c>
    </row>
    <row r="2109" spans="1:5">
      <c r="A2109" s="103">
        <v>39721</v>
      </c>
      <c r="B2109" s="86" t="str">
        <f>TiposLancamentos!B20</f>
        <v>Saques</v>
      </c>
      <c r="C2109" s="3" t="s">
        <v>3609</v>
      </c>
      <c r="D2109" s="78">
        <v>40</v>
      </c>
      <c r="E2109" s="1480"/>
    </row>
    <row r="2110" spans="1:5">
      <c r="A2110" s="103">
        <v>39721</v>
      </c>
      <c r="B2110" s="86" t="str">
        <f>TiposLancamentos!B24</f>
        <v>Estacionamentos</v>
      </c>
      <c r="C2110" s="3" t="s">
        <v>3610</v>
      </c>
      <c r="D2110" s="78"/>
      <c r="E2110" s="1480">
        <v>6</v>
      </c>
    </row>
    <row r="2111" spans="1:5">
      <c r="A2111" s="103"/>
      <c r="B2111" s="86"/>
      <c r="C2111" s="3" t="s">
        <v>3611</v>
      </c>
      <c r="D2111" s="78"/>
      <c r="E2111" s="1480"/>
    </row>
    <row r="2112" spans="1:5">
      <c r="A2112" s="103">
        <v>39722</v>
      </c>
      <c r="B2112" s="86" t="str">
        <f>TiposLancamentos!B24</f>
        <v>Estacionamentos</v>
      </c>
      <c r="C2112" s="3" t="s">
        <v>3612</v>
      </c>
      <c r="D2112" s="78"/>
      <c r="E2112" s="1480">
        <v>30</v>
      </c>
    </row>
    <row r="2113" spans="1:5">
      <c r="A2113" s="103">
        <v>39723</v>
      </c>
      <c r="B2113" s="86" t="str">
        <f>TiposLancamentos!B24</f>
        <v>Estacionamentos</v>
      </c>
      <c r="C2113" s="3" t="s">
        <v>3613</v>
      </c>
      <c r="D2113" s="78"/>
      <c r="E2113" s="1480">
        <v>5</v>
      </c>
    </row>
    <row r="2114" spans="1:5">
      <c r="A2114" s="103">
        <v>39724</v>
      </c>
      <c r="B2114" s="86" t="str">
        <f>TiposLancamentos!B20</f>
        <v>Saques</v>
      </c>
      <c r="C2114" s="3" t="s">
        <v>3472</v>
      </c>
      <c r="D2114" s="78">
        <v>40</v>
      </c>
      <c r="E2114" s="1480"/>
    </row>
    <row r="2115" spans="1:5">
      <c r="A2115" s="103">
        <v>39724</v>
      </c>
      <c r="B2115" s="86" t="str">
        <f>TiposLancamentos!B24</f>
        <v>Estacionamentos</v>
      </c>
      <c r="C2115" s="3" t="s">
        <v>3614</v>
      </c>
      <c r="D2115" s="78"/>
      <c r="E2115" s="1480">
        <v>5</v>
      </c>
    </row>
    <row r="2116" spans="1:5">
      <c r="A2116" s="103">
        <v>39725</v>
      </c>
      <c r="B2116" s="86" t="str">
        <f>TiposLancamentos!B16</f>
        <v>Cristiane</v>
      </c>
      <c r="C2116" s="3" t="s">
        <v>3016</v>
      </c>
      <c r="D2116" s="78"/>
      <c r="E2116" s="1480">
        <v>5</v>
      </c>
    </row>
    <row r="2117" spans="1:5">
      <c r="A2117" s="103">
        <v>39726</v>
      </c>
      <c r="B2117" s="86" t="str">
        <f>TiposLancamentos!B22</f>
        <v>Combustivel</v>
      </c>
      <c r="C2117" s="3" t="s">
        <v>3615</v>
      </c>
      <c r="D2117" s="78"/>
      <c r="E2117" s="1480">
        <v>20</v>
      </c>
    </row>
    <row r="2118" spans="1:5">
      <c r="A2118" s="103">
        <v>39726</v>
      </c>
      <c r="B2118" s="86" t="str">
        <f>TiposLancamentos!B18</f>
        <v>Alimentacao</v>
      </c>
      <c r="C2118" s="3" t="s">
        <v>3616</v>
      </c>
      <c r="D2118" s="78"/>
      <c r="E2118" s="1480">
        <v>10</v>
      </c>
    </row>
    <row r="2119" spans="1:5">
      <c r="A2119" s="103">
        <v>39726</v>
      </c>
      <c r="B2119" s="86" t="str">
        <f>TiposLancamentos!B20</f>
        <v>Saques</v>
      </c>
      <c r="C2119" s="3" t="s">
        <v>3489</v>
      </c>
      <c r="D2119" s="78">
        <v>60</v>
      </c>
      <c r="E2119" s="1480"/>
    </row>
    <row r="2120" spans="1:5">
      <c r="A2120" s="103">
        <v>39726</v>
      </c>
      <c r="B2120" s="86" t="str">
        <f>TiposLancamentos!B24</f>
        <v>Estacionamentos</v>
      </c>
      <c r="C2120" s="3" t="s">
        <v>3617</v>
      </c>
      <c r="D2120" s="78"/>
      <c r="E2120" s="1480">
        <v>8</v>
      </c>
    </row>
    <row r="2121" spans="1:5">
      <c r="A2121" s="103">
        <v>39727</v>
      </c>
      <c r="B2121" s="86" t="str">
        <f>TiposLancamentos!B18</f>
        <v>Alimentacao</v>
      </c>
      <c r="C2121" s="3" t="s">
        <v>3618</v>
      </c>
      <c r="D2121" s="78"/>
      <c r="E2121" s="1480">
        <v>11.5</v>
      </c>
    </row>
    <row r="2122" spans="1:5">
      <c r="A2122" s="103">
        <v>39728</v>
      </c>
      <c r="B2122" s="86" t="str">
        <f>TiposLancamentos!B24</f>
        <v>Estacionamentos</v>
      </c>
      <c r="C2122" s="3" t="s">
        <v>3619</v>
      </c>
      <c r="D2122" s="78"/>
      <c r="E2122" s="1480">
        <v>6</v>
      </c>
    </row>
    <row r="2123" spans="1:5">
      <c r="A2123" s="103">
        <v>39728</v>
      </c>
      <c r="B2123" s="86" t="str">
        <f>TiposLancamentos!B18</f>
        <v>Alimentacao</v>
      </c>
      <c r="C2123" s="3" t="s">
        <v>3620</v>
      </c>
      <c r="D2123" s="78"/>
      <c r="E2123" s="1480">
        <v>12.1</v>
      </c>
    </row>
    <row r="2124" spans="1:5">
      <c r="A2124" s="103">
        <v>39728</v>
      </c>
      <c r="B2124" s="86" t="str">
        <f>TiposLancamentos!B80</f>
        <v>Mudanças</v>
      </c>
      <c r="C2124" s="3" t="s">
        <v>3621</v>
      </c>
      <c r="D2124" s="78"/>
      <c r="E2124" s="1480">
        <v>20</v>
      </c>
    </row>
    <row r="2125" spans="1:5">
      <c r="A2125" s="103">
        <v>39728</v>
      </c>
      <c r="B2125" s="86" t="str">
        <f>TiposLancamentos!B18</f>
        <v>Alimentacao</v>
      </c>
      <c r="C2125" s="3" t="s">
        <v>3622</v>
      </c>
      <c r="D2125" s="78"/>
      <c r="E2125" s="1480">
        <v>2.4</v>
      </c>
    </row>
    <row r="2126" spans="1:5">
      <c r="A2126" s="103">
        <v>39730</v>
      </c>
      <c r="B2126" s="86" t="str">
        <f>TiposLancamentos!B96</f>
        <v>Resg.Poup.</v>
      </c>
      <c r="C2126" s="3" t="s">
        <v>3623</v>
      </c>
      <c r="D2126" s="78">
        <v>280</v>
      </c>
      <c r="E2126" s="1480"/>
    </row>
    <row r="2127" spans="1:5">
      <c r="A2127" s="103">
        <v>39730</v>
      </c>
      <c r="B2127" s="86" t="str">
        <f>TiposLancamentos!B19</f>
        <v>Restaurantes</v>
      </c>
      <c r="C2127" s="3" t="s">
        <v>3624</v>
      </c>
      <c r="D2127" s="78"/>
      <c r="E2127" s="1480">
        <v>19.8</v>
      </c>
    </row>
    <row r="2128" spans="1:5">
      <c r="A2128" s="103">
        <v>39731</v>
      </c>
      <c r="B2128" s="86" t="str">
        <f>TiposLancamentos!B84</f>
        <v>Cbx Twister 250</v>
      </c>
      <c r="C2128" s="3" t="s">
        <v>3625</v>
      </c>
      <c r="D2128" s="78"/>
      <c r="E2128" s="1480">
        <v>3.1</v>
      </c>
    </row>
    <row r="2129" spans="1:5">
      <c r="A2129" s="103">
        <v>39731</v>
      </c>
      <c r="B2129" s="86" t="str">
        <f>TiposLancamentos!B96</f>
        <v>Resg.Poup.</v>
      </c>
      <c r="C2129" s="3" t="s">
        <v>3623</v>
      </c>
      <c r="D2129" s="78">
        <v>500</v>
      </c>
      <c r="E2129" s="1480"/>
    </row>
    <row r="2130" spans="1:5">
      <c r="A2130" s="103">
        <v>39731</v>
      </c>
      <c r="B2130" s="86" t="str">
        <f>TiposLancamentos!B96</f>
        <v>Resg.Poup.</v>
      </c>
      <c r="C2130" s="3" t="s">
        <v>3626</v>
      </c>
      <c r="D2130" s="78">
        <v>150</v>
      </c>
      <c r="E2130" s="1480"/>
    </row>
    <row r="2131" spans="1:5">
      <c r="A2131" s="103">
        <v>39731</v>
      </c>
      <c r="B2131" s="86" t="str">
        <f>TiposLancamentos!B26</f>
        <v>LIVROS</v>
      </c>
      <c r="C2131" s="3" t="s">
        <v>3627</v>
      </c>
      <c r="D2131" s="78"/>
      <c r="E2131" s="1480">
        <v>59.9</v>
      </c>
    </row>
    <row r="2132" spans="1:5">
      <c r="A2132" s="103">
        <v>39731</v>
      </c>
      <c r="B2132" s="86" t="str">
        <f>TiposLancamentos!B29</f>
        <v>Mangá</v>
      </c>
      <c r="C2132" s="3" t="s">
        <v>3628</v>
      </c>
      <c r="D2132" s="78"/>
      <c r="E2132" s="1480">
        <v>9.9</v>
      </c>
    </row>
    <row r="2133" spans="1:5">
      <c r="A2133" s="103">
        <v>39732</v>
      </c>
      <c r="B2133" s="86" t="str">
        <f>TiposLancamentos!B80</f>
        <v>Mudanças</v>
      </c>
      <c r="C2133" s="3" t="s">
        <v>3629</v>
      </c>
      <c r="D2133" s="78"/>
      <c r="E2133" s="1480">
        <v>600</v>
      </c>
    </row>
    <row r="2134" spans="1:5">
      <c r="A2134" s="103">
        <v>39732</v>
      </c>
      <c r="B2134" s="86" t="str">
        <f>TiposLancamentos!B5</f>
        <v>Supermercado</v>
      </c>
      <c r="C2134" s="3" t="s">
        <v>3630</v>
      </c>
      <c r="D2134" s="78"/>
      <c r="E2134" s="1480">
        <v>24.87</v>
      </c>
    </row>
    <row r="2135" spans="1:5">
      <c r="A2135" s="103">
        <v>39733</v>
      </c>
      <c r="B2135" s="86" t="str">
        <f>TiposLancamentos!B13</f>
        <v>Moradia</v>
      </c>
      <c r="C2135" s="3" t="s">
        <v>3631</v>
      </c>
      <c r="D2135" s="78"/>
      <c r="E2135" s="1480">
        <v>64.8</v>
      </c>
    </row>
    <row r="2136" spans="1:5">
      <c r="A2136" s="103">
        <v>39734</v>
      </c>
      <c r="B2136" s="86" t="str">
        <f>TiposLancamentos!B5</f>
        <v>Supermercado</v>
      </c>
      <c r="C2136" s="3" t="s">
        <v>3632</v>
      </c>
      <c r="D2136" s="78"/>
      <c r="E2136" s="1480">
        <v>19.260000000000002</v>
      </c>
    </row>
    <row r="2137" spans="1:5">
      <c r="A2137" s="103">
        <v>39734</v>
      </c>
      <c r="B2137" s="86" t="str">
        <f>TiposLancamentos!B18</f>
        <v>Alimentacao</v>
      </c>
      <c r="C2137" s="3" t="s">
        <v>3633</v>
      </c>
      <c r="D2137" s="78"/>
      <c r="E2137" s="1480">
        <v>10</v>
      </c>
    </row>
    <row r="2138" spans="1:5">
      <c r="A2138" s="103">
        <v>39735</v>
      </c>
      <c r="B2138" s="86" t="str">
        <f>TiposLancamentos!B18</f>
        <v>Alimentacao</v>
      </c>
      <c r="C2138" s="3" t="s">
        <v>3634</v>
      </c>
      <c r="D2138" s="78"/>
      <c r="E2138" s="1480">
        <v>5.5</v>
      </c>
    </row>
    <row r="2139" spans="1:5">
      <c r="A2139" s="103">
        <v>39735</v>
      </c>
      <c r="B2139" s="86" t="str">
        <f>TiposLancamentos!B18</f>
        <v>Alimentacao</v>
      </c>
      <c r="C2139" s="3" t="s">
        <v>3635</v>
      </c>
      <c r="D2139" s="78"/>
      <c r="E2139" s="1480">
        <v>42.12</v>
      </c>
    </row>
    <row r="2140" spans="1:5">
      <c r="A2140" s="103">
        <v>39736</v>
      </c>
      <c r="B2140" s="86" t="str">
        <f>TiposLancamentos!B2</f>
        <v>Telefonia</v>
      </c>
      <c r="C2140" s="3" t="s">
        <v>3636</v>
      </c>
      <c r="D2140" s="78"/>
      <c r="E2140" s="1480">
        <v>50</v>
      </c>
    </row>
    <row r="2141" spans="1:5">
      <c r="A2141" s="103">
        <v>39736</v>
      </c>
      <c r="B2141" s="86" t="str">
        <f>TiposLancamentos!B19</f>
        <v>Restaurantes</v>
      </c>
      <c r="C2141" s="3" t="s">
        <v>3637</v>
      </c>
      <c r="D2141" s="78"/>
      <c r="E2141" s="1480">
        <v>13</v>
      </c>
    </row>
    <row r="2142" spans="1:5">
      <c r="A2142" s="103">
        <v>39738</v>
      </c>
      <c r="B2142" s="86" t="str">
        <f>TiposLancamentos!B51</f>
        <v>Marlboro</v>
      </c>
      <c r="C2142" s="3" t="s">
        <v>3510</v>
      </c>
      <c r="D2142" s="78"/>
      <c r="E2142" s="1480">
        <v>3.4</v>
      </c>
    </row>
    <row r="2143" spans="1:5">
      <c r="A2143" s="103">
        <v>39739</v>
      </c>
      <c r="B2143" s="86" t="str">
        <f>TiposLancamentos!B16</f>
        <v>Cristiane</v>
      </c>
      <c r="C2143" s="3" t="s">
        <v>2891</v>
      </c>
      <c r="D2143" s="78">
        <v>15</v>
      </c>
      <c r="E2143" s="1480"/>
    </row>
    <row r="2144" spans="1:5">
      <c r="A2144" s="103">
        <v>39739</v>
      </c>
      <c r="B2144" s="86" t="str">
        <f>TiposLancamentos!B24</f>
        <v>Estacionamentos</v>
      </c>
      <c r="C2144" s="3" t="s">
        <v>3398</v>
      </c>
      <c r="D2144" s="78"/>
      <c r="E2144" s="1480">
        <v>3</v>
      </c>
    </row>
    <row r="2145" spans="1:5">
      <c r="A2145" s="103">
        <v>39740</v>
      </c>
      <c r="B2145" s="86" t="str">
        <f>TiposLancamentos!B24</f>
        <v>Estacionamentos</v>
      </c>
      <c r="C2145" s="3" t="s">
        <v>3638</v>
      </c>
      <c r="D2145" s="78"/>
      <c r="E2145" s="1480">
        <v>5</v>
      </c>
    </row>
    <row r="2146" spans="1:5">
      <c r="A2146" s="103">
        <v>39740</v>
      </c>
      <c r="B2146" s="86" t="str">
        <f>TiposLancamentos!B24</f>
        <v>Estacionamentos</v>
      </c>
      <c r="C2146" s="3" t="s">
        <v>3398</v>
      </c>
      <c r="D2146" s="78"/>
      <c r="E2146" s="1480">
        <v>3</v>
      </c>
    </row>
    <row r="2147" spans="1:5">
      <c r="A2147" s="103">
        <v>39740</v>
      </c>
      <c r="B2147" s="86" t="str">
        <f>TiposLancamentos!B18</f>
        <v>Alimentacao</v>
      </c>
      <c r="C2147" s="3" t="s">
        <v>3639</v>
      </c>
      <c r="D2147" s="78"/>
      <c r="E2147" s="1480">
        <v>2.2000000000000002</v>
      </c>
    </row>
    <row r="2148" spans="1:5">
      <c r="A2148" s="103">
        <v>39740</v>
      </c>
      <c r="B2148" s="86" t="str">
        <f>TiposLancamentos!B24</f>
        <v>Estacionamentos</v>
      </c>
      <c r="C2148" s="3" t="s">
        <v>3408</v>
      </c>
      <c r="D2148" s="78"/>
      <c r="E2148" s="1480">
        <v>3</v>
      </c>
    </row>
    <row r="2149" spans="1:5">
      <c r="A2149" s="103">
        <v>39741</v>
      </c>
      <c r="B2149" s="86" t="str">
        <f>TiposLancamentos!B20</f>
        <v>Saques</v>
      </c>
      <c r="C2149" s="3" t="s">
        <v>3640</v>
      </c>
      <c r="D2149" s="78">
        <v>200</v>
      </c>
      <c r="E2149" s="1480"/>
    </row>
    <row r="2150" spans="1:5">
      <c r="A2150" s="103">
        <v>39741</v>
      </c>
      <c r="B2150" s="86" t="str">
        <f>TiposLancamentos!B16</f>
        <v>Cristiane</v>
      </c>
      <c r="C2150" s="3" t="s">
        <v>2851</v>
      </c>
      <c r="D2150" s="78"/>
      <c r="E2150" s="1480">
        <v>200</v>
      </c>
    </row>
    <row r="2151" spans="1:5">
      <c r="A2151" s="103">
        <v>39744</v>
      </c>
      <c r="B2151" s="86" t="str">
        <f>TiposLancamentos!B20</f>
        <v>Saques</v>
      </c>
      <c r="C2151" s="3" t="s">
        <v>3641</v>
      </c>
      <c r="D2151" s="78">
        <v>40</v>
      </c>
      <c r="E2151" s="1480"/>
    </row>
    <row r="2152" spans="1:5">
      <c r="A2152" s="103">
        <v>39744</v>
      </c>
      <c r="B2152" s="86" t="str">
        <f>TiposLancamentos!B18</f>
        <v>Alimentacao</v>
      </c>
      <c r="C2152" s="3" t="s">
        <v>3642</v>
      </c>
      <c r="D2152" s="78"/>
      <c r="E2152" s="1480">
        <v>11.4</v>
      </c>
    </row>
    <row r="2153" spans="1:5">
      <c r="A2153" s="103">
        <v>39744</v>
      </c>
      <c r="B2153" s="86" t="str">
        <f>TiposLancamentos!B24</f>
        <v>Estacionamentos</v>
      </c>
      <c r="C2153" s="3" t="s">
        <v>3398</v>
      </c>
      <c r="D2153" s="78"/>
      <c r="E2153" s="1480">
        <v>4</v>
      </c>
    </row>
    <row r="2154" spans="1:5">
      <c r="A2154" s="103">
        <v>39744</v>
      </c>
      <c r="B2154" s="86" t="str">
        <f>TiposLancamentos!B24</f>
        <v>Estacionamentos</v>
      </c>
      <c r="C2154" s="3" t="s">
        <v>3643</v>
      </c>
      <c r="D2154" s="78"/>
      <c r="E2154" s="1480">
        <v>4</v>
      </c>
    </row>
    <row r="2155" spans="1:5">
      <c r="A2155" s="103">
        <v>39746</v>
      </c>
      <c r="B2155" s="86" t="str">
        <f>TiposLancamentos!B18</f>
        <v>Alimentacao</v>
      </c>
      <c r="C2155" s="3" t="s">
        <v>3444</v>
      </c>
      <c r="D2155" s="78"/>
      <c r="E2155" s="1480">
        <v>4</v>
      </c>
    </row>
    <row r="2156" spans="1:5">
      <c r="A2156" s="103">
        <v>39746</v>
      </c>
      <c r="B2156" s="86" t="str">
        <f>TiposLancamentos!B71</f>
        <v>Itens Pessoais</v>
      </c>
      <c r="C2156" s="3" t="s">
        <v>3644</v>
      </c>
      <c r="D2156" s="78"/>
      <c r="E2156" s="1480">
        <v>12</v>
      </c>
    </row>
    <row r="2157" spans="1:5">
      <c r="A2157" s="103">
        <v>39746</v>
      </c>
      <c r="B2157" s="86" t="str">
        <f>TiposLancamentos!B24</f>
        <v>Estacionamentos</v>
      </c>
      <c r="C2157" s="3" t="s">
        <v>3398</v>
      </c>
      <c r="D2157" s="78"/>
      <c r="E2157" s="1480">
        <v>5</v>
      </c>
    </row>
    <row r="2158" spans="1:5">
      <c r="A2158" s="103">
        <v>39749</v>
      </c>
      <c r="B2158" s="86" t="str">
        <f>TiposLancamentos!B20</f>
        <v>Saques</v>
      </c>
      <c r="C2158" s="3" t="s">
        <v>3645</v>
      </c>
      <c r="D2158" s="78">
        <v>20</v>
      </c>
      <c r="E2158" s="1480"/>
    </row>
    <row r="2159" spans="1:5">
      <c r="A2159" s="103">
        <v>39749</v>
      </c>
      <c r="B2159" s="86" t="str">
        <f>TiposLancamentos!B24</f>
        <v>Estacionamentos</v>
      </c>
      <c r="C2159" s="3" t="s">
        <v>3309</v>
      </c>
      <c r="D2159" s="78"/>
      <c r="E2159" s="1480">
        <v>3</v>
      </c>
    </row>
    <row r="2160" spans="1:5">
      <c r="A2160" s="103">
        <v>39750</v>
      </c>
      <c r="B2160" s="86" t="str">
        <f>TiposLancamentos!B51</f>
        <v>Marlboro</v>
      </c>
      <c r="C2160" s="3" t="s">
        <v>3646</v>
      </c>
      <c r="D2160" s="78"/>
      <c r="E2160" s="1480">
        <v>3.4</v>
      </c>
    </row>
    <row r="2161" spans="1:5">
      <c r="A2161" s="103">
        <v>39751</v>
      </c>
      <c r="B2161" s="86" t="str">
        <f>TiposLancamentos!B18</f>
        <v>Alimentacao</v>
      </c>
      <c r="C2161" s="3" t="s">
        <v>3642</v>
      </c>
      <c r="D2161" s="78"/>
      <c r="E2161" s="1480">
        <v>6.5</v>
      </c>
    </row>
    <row r="2162" spans="1:5">
      <c r="A2162" s="103">
        <v>39751</v>
      </c>
      <c r="B2162" s="86" t="str">
        <f>TiposLancamentos!B20</f>
        <v>Saques</v>
      </c>
      <c r="C2162" s="3" t="s">
        <v>3472</v>
      </c>
      <c r="D2162" s="78">
        <v>10</v>
      </c>
      <c r="E2162" s="1480"/>
    </row>
    <row r="2163" spans="1:5">
      <c r="A2163" s="103">
        <v>39751</v>
      </c>
      <c r="B2163" s="86" t="str">
        <f>TiposLancamentos!B24</f>
        <v>Estacionamentos</v>
      </c>
      <c r="C2163" s="3" t="s">
        <v>3398</v>
      </c>
      <c r="D2163" s="78"/>
      <c r="E2163" s="1480">
        <v>6</v>
      </c>
    </row>
    <row r="2164" spans="1:5">
      <c r="A2164" s="103">
        <v>39751</v>
      </c>
      <c r="B2164" s="86" t="str">
        <f>TiposLancamentos!B18</f>
        <v>Alimentacao</v>
      </c>
      <c r="C2164" s="3" t="s">
        <v>3647</v>
      </c>
      <c r="D2164" s="78"/>
      <c r="E2164" s="1480">
        <v>6.2</v>
      </c>
    </row>
    <row r="2165" spans="1:5">
      <c r="A2165" s="99"/>
      <c r="B2165" s="1590"/>
      <c r="C2165" s="100" t="s">
        <v>3648</v>
      </c>
      <c r="D2165" s="1591"/>
      <c r="E2165" s="1592"/>
    </row>
    <row r="2166" spans="1:5">
      <c r="A2166" s="103">
        <v>39753</v>
      </c>
      <c r="B2166" s="86" t="str">
        <f>TiposLancamentos!B18</f>
        <v>Alimentacao</v>
      </c>
      <c r="C2166" s="3" t="s">
        <v>3649</v>
      </c>
      <c r="D2166" s="78"/>
      <c r="E2166" s="1480">
        <v>2</v>
      </c>
    </row>
    <row r="2167" spans="1:5">
      <c r="A2167" s="103">
        <v>39762</v>
      </c>
      <c r="B2167" s="86" t="str">
        <f>TiposLancamentos!B98</f>
        <v>Restituições</v>
      </c>
      <c r="C2167" s="3" t="s">
        <v>3650</v>
      </c>
      <c r="D2167" s="78">
        <v>20</v>
      </c>
      <c r="E2167" s="1480"/>
    </row>
    <row r="2168" spans="1:5">
      <c r="A2168" s="103">
        <v>39762</v>
      </c>
      <c r="B2168" s="86" t="str">
        <f>TiposLancamentos!B24</f>
        <v>Estacionamentos</v>
      </c>
      <c r="C2168" s="3" t="s">
        <v>3398</v>
      </c>
      <c r="D2168" s="78"/>
      <c r="E2168" s="1480">
        <v>5</v>
      </c>
    </row>
    <row r="2169" spans="1:5">
      <c r="A2169" s="103">
        <v>39762</v>
      </c>
      <c r="B2169" s="86" t="str">
        <f>TiposLancamentos!B18</f>
        <v>Alimentacao</v>
      </c>
      <c r="C2169" s="3" t="s">
        <v>3651</v>
      </c>
      <c r="D2169" s="78"/>
      <c r="E2169" s="1480">
        <v>4</v>
      </c>
    </row>
    <row r="2170" spans="1:5">
      <c r="A2170" s="103">
        <v>39763</v>
      </c>
      <c r="B2170" s="86" t="str">
        <f>TiposLancamentos!B24</f>
        <v>Estacionamentos</v>
      </c>
      <c r="C2170" s="3" t="s">
        <v>3652</v>
      </c>
      <c r="D2170" s="78"/>
      <c r="E2170" s="1480">
        <v>4</v>
      </c>
    </row>
    <row r="2171" spans="1:5">
      <c r="A2171" s="103">
        <v>39763</v>
      </c>
      <c r="B2171" s="86" t="str">
        <f>TiposLancamentos!B77</f>
        <v>Esporádico</v>
      </c>
      <c r="C2171" s="3" t="s">
        <v>3653</v>
      </c>
      <c r="D2171" s="78"/>
      <c r="E2171" s="1480">
        <v>5</v>
      </c>
    </row>
    <row r="2172" spans="1:5">
      <c r="A2172" s="103">
        <v>39763</v>
      </c>
      <c r="B2172" s="86" t="str">
        <f>TiposLancamentos!B78</f>
        <v>Diferenças</v>
      </c>
      <c r="C2172" s="3" t="s">
        <v>3654</v>
      </c>
      <c r="D2172" s="78"/>
      <c r="E2172" s="1480">
        <v>7.65</v>
      </c>
    </row>
    <row r="2173" spans="1:5">
      <c r="A2173" s="103">
        <v>39764</v>
      </c>
      <c r="B2173" s="86" t="str">
        <f>TiposLancamentos!B20</f>
        <v>Saques</v>
      </c>
      <c r="C2173" s="3" t="s">
        <v>3489</v>
      </c>
      <c r="D2173" s="78">
        <v>10</v>
      </c>
      <c r="E2173" s="1480"/>
    </row>
    <row r="2174" spans="1:5">
      <c r="A2174" s="103">
        <v>39764</v>
      </c>
      <c r="B2174" s="86" t="str">
        <f>TiposLancamentos!B24</f>
        <v>Estacionamentos</v>
      </c>
      <c r="C2174" s="3" t="s">
        <v>3655</v>
      </c>
      <c r="D2174" s="78"/>
      <c r="E2174" s="1480">
        <v>1</v>
      </c>
    </row>
    <row r="2175" spans="1:5">
      <c r="A2175" s="103">
        <v>39764</v>
      </c>
      <c r="B2175" s="86" t="str">
        <f>TiposLancamentos!B18</f>
        <v>Alimentacao</v>
      </c>
      <c r="C2175" s="3" t="s">
        <v>3437</v>
      </c>
      <c r="D2175" s="78"/>
      <c r="E2175" s="1480">
        <v>3</v>
      </c>
    </row>
    <row r="2176" spans="1:5">
      <c r="A2176" s="103">
        <v>39765</v>
      </c>
      <c r="B2176" s="86" t="str">
        <f>TiposLancamentos!B18</f>
        <v>Alimentacao</v>
      </c>
      <c r="C2176" s="3" t="s">
        <v>3437</v>
      </c>
      <c r="D2176" s="78"/>
      <c r="E2176" s="1480">
        <v>4.9000000000000004</v>
      </c>
    </row>
    <row r="2177" spans="1:5">
      <c r="A2177" s="103">
        <v>39767</v>
      </c>
      <c r="B2177" s="86" t="str">
        <f>TiposLancamentos!B20</f>
        <v>Saques</v>
      </c>
      <c r="C2177" s="3" t="s">
        <v>3513</v>
      </c>
      <c r="D2177" s="78">
        <v>160</v>
      </c>
      <c r="E2177" s="1480"/>
    </row>
    <row r="2178" spans="1:5">
      <c r="A2178" s="103">
        <v>39767</v>
      </c>
      <c r="B2178" s="86" t="str">
        <f>TiposLancamentos!B18</f>
        <v>Alimentacao</v>
      </c>
      <c r="C2178" s="3" t="s">
        <v>3656</v>
      </c>
      <c r="D2178" s="78"/>
      <c r="E2178" s="1480">
        <v>27.7</v>
      </c>
    </row>
    <row r="2179" spans="1:5">
      <c r="A2179" s="103">
        <v>39767</v>
      </c>
      <c r="B2179" s="86" t="str">
        <f>TiposLancamentos!B24</f>
        <v>Estacionamentos</v>
      </c>
      <c r="C2179" s="3" t="s">
        <v>3657</v>
      </c>
      <c r="D2179" s="78"/>
      <c r="E2179" s="1480">
        <v>20</v>
      </c>
    </row>
    <row r="2180" spans="1:5">
      <c r="A2180" s="103">
        <v>39767</v>
      </c>
      <c r="B2180" s="86" t="str">
        <f>TiposLancamentos!B18</f>
        <v>Alimentacao</v>
      </c>
      <c r="C2180" s="3" t="s">
        <v>3658</v>
      </c>
      <c r="D2180" s="78"/>
      <c r="E2180" s="1480">
        <v>20</v>
      </c>
    </row>
    <row r="2181" spans="1:5">
      <c r="A2181" s="103">
        <v>39768</v>
      </c>
      <c r="B2181" s="86" t="str">
        <f>TiposLancamentos!B19</f>
        <v>Restaurantes</v>
      </c>
      <c r="C2181" s="3" t="s">
        <v>3659</v>
      </c>
      <c r="D2181" s="78"/>
      <c r="E2181" s="1480">
        <v>30</v>
      </c>
    </row>
    <row r="2182" spans="1:5">
      <c r="A2182" s="103">
        <v>39769</v>
      </c>
      <c r="B2182" s="86" t="str">
        <f>TiposLancamentos!B19</f>
        <v>Restaurantes</v>
      </c>
      <c r="C2182" s="3" t="s">
        <v>3287</v>
      </c>
      <c r="D2182" s="78"/>
      <c r="E2182" s="1480">
        <v>15.7</v>
      </c>
    </row>
    <row r="2183" spans="1:5">
      <c r="A2183" s="103">
        <v>39769</v>
      </c>
      <c r="B2183" s="86" t="str">
        <f>TiposLancamentos!B19</f>
        <v>Restaurantes</v>
      </c>
      <c r="C2183" s="3" t="s">
        <v>3660</v>
      </c>
      <c r="D2183" s="78"/>
      <c r="E2183" s="1480">
        <v>5.5</v>
      </c>
    </row>
    <row r="2184" spans="1:5">
      <c r="A2184" s="103">
        <v>39769</v>
      </c>
      <c r="B2184" s="86" t="str">
        <f>TiposLancamentos!B20</f>
        <v>Saques</v>
      </c>
      <c r="C2184" s="3" t="s">
        <v>3403</v>
      </c>
      <c r="D2184" s="78">
        <v>50</v>
      </c>
      <c r="E2184" s="1480"/>
    </row>
    <row r="2185" spans="1:5">
      <c r="A2185" s="103">
        <v>39769</v>
      </c>
      <c r="B2185" s="86" t="str">
        <f>TiposLancamentos!B66</f>
        <v>Faxineira</v>
      </c>
      <c r="C2185" s="3" t="s">
        <v>3661</v>
      </c>
      <c r="D2185" s="78"/>
      <c r="E2185" s="1480">
        <v>50</v>
      </c>
    </row>
    <row r="2186" spans="1:5">
      <c r="A2186" s="103">
        <v>39771</v>
      </c>
      <c r="B2186" s="86" t="str">
        <f>TiposLancamentos!B18</f>
        <v>Alimentacao</v>
      </c>
      <c r="C2186" s="3" t="s">
        <v>2656</v>
      </c>
      <c r="D2186" s="78"/>
      <c r="E2186" s="1480">
        <f>3*2.4</f>
        <v>7.1999999999999993</v>
      </c>
    </row>
    <row r="2187" spans="1:5">
      <c r="A2187" s="103">
        <v>39771</v>
      </c>
      <c r="B2187" s="86" t="str">
        <f>TiposLancamentos!B51</f>
        <v>Marlboro</v>
      </c>
      <c r="C2187" s="3" t="s">
        <v>3662</v>
      </c>
      <c r="D2187" s="78"/>
      <c r="E2187" s="1480">
        <v>3.4</v>
      </c>
    </row>
    <row r="2188" spans="1:5">
      <c r="A2188" s="103">
        <v>39772</v>
      </c>
      <c r="B2188" s="86" t="str">
        <f>TiposLancamentos!B19</f>
        <v>Restaurantes</v>
      </c>
      <c r="C2188" s="3" t="s">
        <v>3210</v>
      </c>
      <c r="D2188" s="78"/>
      <c r="E2188" s="1480">
        <v>31.6</v>
      </c>
    </row>
    <row r="2189" spans="1:5">
      <c r="A2189" s="103">
        <v>39773</v>
      </c>
      <c r="B2189" s="86" t="str">
        <f>TiposLancamentos!B20</f>
        <v>Saques</v>
      </c>
      <c r="C2189" s="3" t="s">
        <v>2655</v>
      </c>
      <c r="D2189" s="78">
        <v>100</v>
      </c>
      <c r="E2189" s="1480"/>
    </row>
    <row r="2190" spans="1:5">
      <c r="A2190" s="103">
        <v>39773</v>
      </c>
      <c r="B2190" s="86" t="str">
        <f>TiposLancamentos!B13</f>
        <v>Moradia</v>
      </c>
      <c r="C2190" s="3" t="s">
        <v>3663</v>
      </c>
      <c r="D2190" s="78"/>
      <c r="E2190" s="1480">
        <v>30</v>
      </c>
    </row>
    <row r="2191" spans="1:5">
      <c r="A2191" s="103">
        <v>39774</v>
      </c>
      <c r="B2191" s="86" t="str">
        <f>TiposLancamentos!B17</f>
        <v>GATO</v>
      </c>
      <c r="C2191" s="3" t="s">
        <v>3664</v>
      </c>
      <c r="D2191" s="78"/>
      <c r="E2191" s="1480">
        <v>20</v>
      </c>
    </row>
    <row r="2192" spans="1:5">
      <c r="A2192" s="103">
        <v>39774</v>
      </c>
      <c r="B2192" s="86" t="str">
        <f>TiposLancamentos!B85</f>
        <v>Peugeout 206</v>
      </c>
      <c r="C2192" s="3" t="s">
        <v>3665</v>
      </c>
      <c r="D2192" s="78"/>
      <c r="E2192" s="1480">
        <v>15</v>
      </c>
    </row>
    <row r="2193" spans="1:5">
      <c r="A2193" s="103">
        <v>39776</v>
      </c>
      <c r="B2193" s="86" t="str">
        <f>TiposLancamentos!B18</f>
        <v>Alimentacao</v>
      </c>
      <c r="C2193" s="3" t="s">
        <v>3666</v>
      </c>
      <c r="D2193" s="78"/>
      <c r="E2193" s="1480">
        <v>6.95</v>
      </c>
    </row>
    <row r="2194" spans="1:5">
      <c r="A2194" s="103">
        <v>39777</v>
      </c>
      <c r="B2194" s="86" t="str">
        <f>TiposLancamentos!B19</f>
        <v>Restaurantes</v>
      </c>
      <c r="C2194" s="3" t="s">
        <v>3667</v>
      </c>
      <c r="D2194" s="78"/>
      <c r="E2194" s="1480">
        <v>10.5</v>
      </c>
    </row>
    <row r="2195" spans="1:5">
      <c r="A2195" s="103">
        <v>39777</v>
      </c>
      <c r="B2195" s="86" t="str">
        <f>TiposLancamentos!B18</f>
        <v>Alimentacao</v>
      </c>
      <c r="C2195" s="3" t="s">
        <v>3668</v>
      </c>
      <c r="D2195" s="78"/>
      <c r="E2195" s="1480">
        <v>4.42</v>
      </c>
    </row>
    <row r="2196" spans="1:5">
      <c r="A2196" s="103">
        <v>39777</v>
      </c>
      <c r="B2196" s="86" t="str">
        <f>TiposLancamentos!B51</f>
        <v>Marlboro</v>
      </c>
      <c r="C2196" s="3" t="s">
        <v>3662</v>
      </c>
      <c r="D2196" s="78"/>
      <c r="E2196" s="1480">
        <v>3.4</v>
      </c>
    </row>
    <row r="2197" spans="1:5">
      <c r="A2197" s="103">
        <v>39777</v>
      </c>
      <c r="B2197" s="86" t="str">
        <f>TiposLancamentos!B24</f>
        <v>Estacionamentos</v>
      </c>
      <c r="C2197" s="3" t="s">
        <v>3417</v>
      </c>
      <c r="D2197" s="78"/>
      <c r="E2197" s="1480">
        <v>4</v>
      </c>
    </row>
    <row r="2198" spans="1:5">
      <c r="A2198" s="103">
        <v>39778</v>
      </c>
      <c r="B2198" s="86" t="str">
        <f>TiposLancamentos!B16</f>
        <v>Cristiane</v>
      </c>
      <c r="C2198" s="3" t="s">
        <v>3669</v>
      </c>
      <c r="D2198" s="78"/>
      <c r="E2198" s="1480">
        <v>5</v>
      </c>
    </row>
    <row r="2199" spans="1:5">
      <c r="A2199" s="103">
        <v>39778</v>
      </c>
      <c r="B2199" s="86" t="str">
        <f>TiposLancamentos!B20</f>
        <v>Saques</v>
      </c>
      <c r="C2199" s="3" t="s">
        <v>3489</v>
      </c>
      <c r="D2199" s="78">
        <v>20</v>
      </c>
      <c r="E2199" s="1480"/>
    </row>
    <row r="2200" spans="1:5">
      <c r="A2200" s="103">
        <v>39778</v>
      </c>
      <c r="B2200" s="86" t="str">
        <f>TiposLancamentos!B77</f>
        <v>Esporádico</v>
      </c>
      <c r="C2200" s="3" t="s">
        <v>3670</v>
      </c>
      <c r="D2200" s="78"/>
      <c r="E2200" s="1480">
        <v>7</v>
      </c>
    </row>
    <row r="2201" spans="1:5">
      <c r="A2201" s="103">
        <v>39778</v>
      </c>
      <c r="B2201" s="86" t="str">
        <f>TiposLancamentos!B24</f>
        <v>Estacionamentos</v>
      </c>
      <c r="C2201" s="3" t="s">
        <v>3241</v>
      </c>
      <c r="D2201" s="78"/>
      <c r="E2201" s="1480">
        <v>4</v>
      </c>
    </row>
    <row r="2202" spans="1:5">
      <c r="A2202" s="103">
        <v>39780</v>
      </c>
      <c r="B2202" s="86" t="str">
        <f>TiposLancamentos!B20</f>
        <v>Saques</v>
      </c>
      <c r="C2202" s="3" t="s">
        <v>3513</v>
      </c>
      <c r="D2202" s="78">
        <v>50</v>
      </c>
      <c r="E2202" s="1480"/>
    </row>
    <row r="2203" spans="1:5">
      <c r="A2203" s="103">
        <v>39780</v>
      </c>
      <c r="B2203" s="86" t="str">
        <f>TiposLancamentos!B77</f>
        <v>Esporádico</v>
      </c>
      <c r="C2203" s="3" t="s">
        <v>3671</v>
      </c>
      <c r="D2203" s="78"/>
      <c r="E2203" s="1480">
        <v>50</v>
      </c>
    </row>
    <row r="2204" spans="1:5">
      <c r="A2204" s="103">
        <v>39780</v>
      </c>
      <c r="B2204" s="86" t="str">
        <f>TiposLancamentos!B24</f>
        <v>Estacionamentos</v>
      </c>
      <c r="C2204" s="3" t="s">
        <v>3672</v>
      </c>
      <c r="D2204" s="78"/>
      <c r="E2204" s="1480">
        <v>5</v>
      </c>
    </row>
    <row r="2205" spans="1:5">
      <c r="A2205" s="103">
        <v>39781</v>
      </c>
      <c r="B2205" s="86" t="str">
        <f>TiposLancamentos!B24</f>
        <v>Estacionamentos</v>
      </c>
      <c r="C2205" s="3" t="s">
        <v>3673</v>
      </c>
      <c r="D2205" s="78"/>
      <c r="E2205" s="1480">
        <v>2</v>
      </c>
    </row>
    <row r="2206" spans="1:5">
      <c r="A2206" s="103">
        <v>39782</v>
      </c>
      <c r="B2206" s="86" t="str">
        <f>TiposLancamentos!B20</f>
        <v>Saques</v>
      </c>
      <c r="C2206" s="3" t="s">
        <v>3472</v>
      </c>
      <c r="D2206" s="78">
        <v>60</v>
      </c>
      <c r="E2206" s="1480"/>
    </row>
    <row r="2207" spans="1:5">
      <c r="A2207" s="103">
        <v>39782</v>
      </c>
      <c r="B2207" s="86" t="str">
        <f>TiposLancamentos!B13</f>
        <v>Moradia</v>
      </c>
      <c r="C2207" s="3" t="s">
        <v>3674</v>
      </c>
      <c r="D2207" s="78"/>
      <c r="E2207" s="1480">
        <v>2</v>
      </c>
    </row>
    <row r="2208" spans="1:5">
      <c r="A2208" s="103">
        <v>39782</v>
      </c>
      <c r="B2208" s="86" t="str">
        <f>TiposLancamentos!B51</f>
        <v>Marlboro</v>
      </c>
      <c r="C2208" s="3" t="s">
        <v>3646</v>
      </c>
      <c r="D2208" s="78"/>
      <c r="E2208" s="1480">
        <v>3.25</v>
      </c>
    </row>
    <row r="2209" spans="1:5">
      <c r="A2209" s="99"/>
      <c r="B2209" s="1590"/>
      <c r="C2209" s="100" t="s">
        <v>3675</v>
      </c>
      <c r="D2209" s="1591"/>
      <c r="E2209" s="1592"/>
    </row>
    <row r="2210" spans="1:5">
      <c r="A2210" s="103">
        <v>39783</v>
      </c>
      <c r="B2210" s="86" t="str">
        <f>TiposLancamentos!B18</f>
        <v>Alimentacao</v>
      </c>
      <c r="C2210" s="3" t="s">
        <v>3676</v>
      </c>
      <c r="D2210" s="78"/>
      <c r="E2210" s="1480">
        <v>10.5</v>
      </c>
    </row>
    <row r="2211" spans="1:5">
      <c r="A2211" s="103">
        <v>39783</v>
      </c>
      <c r="B2211" s="86" t="str">
        <f>TiposLancamentos!B24</f>
        <v>Estacionamentos</v>
      </c>
      <c r="C2211" s="3" t="s">
        <v>3241</v>
      </c>
      <c r="D2211" s="78"/>
      <c r="E2211" s="1480">
        <v>4</v>
      </c>
    </row>
    <row r="2212" spans="1:5">
      <c r="A2212" s="103">
        <v>39784</v>
      </c>
      <c r="B2212" s="86" t="str">
        <f>TiposLancamentos!B13</f>
        <v>Moradia</v>
      </c>
      <c r="C2212" s="3" t="s">
        <v>3677</v>
      </c>
      <c r="D2212" s="78"/>
      <c r="E2212" s="1480">
        <v>4</v>
      </c>
    </row>
    <row r="2213" spans="1:5">
      <c r="A2213" s="103">
        <v>39784</v>
      </c>
      <c r="B2213" s="86" t="str">
        <f>TiposLancamentos!B18</f>
        <v>Alimentacao</v>
      </c>
      <c r="C2213" s="3" t="s">
        <v>3678</v>
      </c>
      <c r="D2213" s="78"/>
      <c r="E2213" s="1480">
        <v>1.7</v>
      </c>
    </row>
    <row r="2214" spans="1:5">
      <c r="A2214" s="103">
        <v>39785</v>
      </c>
      <c r="B2214" s="86" t="str">
        <f>TiposLancamentos!B77</f>
        <v>Esporádico</v>
      </c>
      <c r="C2214" s="3" t="s">
        <v>3679</v>
      </c>
      <c r="D2214" s="78"/>
      <c r="E2214" s="1480">
        <v>8.75</v>
      </c>
    </row>
    <row r="2215" spans="1:5">
      <c r="A2215" s="103">
        <v>39785</v>
      </c>
      <c r="B2215" s="86" t="str">
        <f>TiposLancamentos!B18</f>
        <v>Alimentacao</v>
      </c>
      <c r="C2215" s="3" t="s">
        <v>3680</v>
      </c>
      <c r="D2215" s="78"/>
      <c r="E2215" s="1480">
        <v>1.8</v>
      </c>
    </row>
    <row r="2216" spans="1:5">
      <c r="A2216" s="103">
        <v>39785</v>
      </c>
      <c r="B2216" s="86" t="str">
        <f>TiposLancamentos!B24</f>
        <v>Estacionamentos</v>
      </c>
      <c r="C2216" s="3" t="s">
        <v>2527</v>
      </c>
      <c r="D2216" s="78"/>
      <c r="E2216" s="1480">
        <v>5</v>
      </c>
    </row>
    <row r="2217" spans="1:5">
      <c r="A2217" s="103">
        <v>39786</v>
      </c>
      <c r="B2217" s="86" t="str">
        <f>TiposLancamentos!B24</f>
        <v>Estacionamentos</v>
      </c>
      <c r="C2217" s="3" t="s">
        <v>3681</v>
      </c>
      <c r="D2217" s="78"/>
      <c r="E2217" s="1480">
        <v>5</v>
      </c>
    </row>
    <row r="2218" spans="1:5">
      <c r="A2218" s="103">
        <v>39787</v>
      </c>
      <c r="B2218" s="86" t="str">
        <f>TiposLancamentos!B13</f>
        <v>Moradia</v>
      </c>
      <c r="C2218" s="3" t="s">
        <v>3682</v>
      </c>
      <c r="D2218" s="78"/>
      <c r="E2218" s="1480">
        <v>5</v>
      </c>
    </row>
    <row r="2219" spans="1:5">
      <c r="A2219" s="103">
        <v>39787</v>
      </c>
      <c r="B2219" s="86" t="str">
        <f>TiposLancamentos!B81</f>
        <v>Ferramentas gerais</v>
      </c>
      <c r="C2219" s="3" t="s">
        <v>3683</v>
      </c>
      <c r="D2219" s="78"/>
      <c r="E2219" s="1480">
        <v>0.5</v>
      </c>
    </row>
    <row r="2220" spans="1:5">
      <c r="A2220" s="103">
        <v>39788</v>
      </c>
      <c r="B2220" s="86" t="str">
        <f>TiposLancamentos!B20</f>
        <v>Saques</v>
      </c>
      <c r="C2220" s="3" t="s">
        <v>3513</v>
      </c>
      <c r="D2220" s="78">
        <v>40</v>
      </c>
      <c r="E2220" s="1480"/>
    </row>
    <row r="2221" spans="1:5">
      <c r="A2221" s="103">
        <v>39788</v>
      </c>
      <c r="B2221" s="86" t="str">
        <f>TiposLancamentos!B24</f>
        <v>Estacionamentos</v>
      </c>
      <c r="C2221" s="3" t="s">
        <v>3684</v>
      </c>
      <c r="D2221" s="78"/>
      <c r="E2221" s="1480">
        <v>5</v>
      </c>
    </row>
    <row r="2222" spans="1:5">
      <c r="A2222" s="103">
        <v>39790</v>
      </c>
      <c r="B2222" s="86" t="str">
        <f>TiposLancamentos!B24</f>
        <v>Estacionamentos</v>
      </c>
      <c r="C2222" s="3" t="s">
        <v>3685</v>
      </c>
      <c r="D2222" s="78"/>
      <c r="E2222" s="1480">
        <v>9</v>
      </c>
    </row>
    <row r="2223" spans="1:5">
      <c r="A2223" s="103">
        <v>39791</v>
      </c>
      <c r="B2223" s="86" t="str">
        <f>TiposLancamentos!B20</f>
        <v>Saques</v>
      </c>
      <c r="C2223" s="3" t="s">
        <v>3686</v>
      </c>
      <c r="D2223" s="78">
        <v>50</v>
      </c>
      <c r="E2223" s="1480"/>
    </row>
    <row r="2224" spans="1:5">
      <c r="A2224" s="103">
        <v>39791</v>
      </c>
      <c r="B2224" s="86" t="str">
        <f>TiposLancamentos!B13</f>
        <v>Moradia</v>
      </c>
      <c r="C2224" s="3" t="s">
        <v>3687</v>
      </c>
      <c r="D2224" s="78"/>
      <c r="E2224" s="1480">
        <v>70</v>
      </c>
    </row>
    <row r="2225" spans="1:5">
      <c r="A2225" s="103">
        <v>39792</v>
      </c>
      <c r="B2225" s="86" t="str">
        <f>TiposLancamentos!B51</f>
        <v>Marlboro</v>
      </c>
      <c r="C2225" s="3" t="s">
        <v>3510</v>
      </c>
      <c r="D2225" s="78"/>
      <c r="E2225" s="1480">
        <v>3.4</v>
      </c>
    </row>
    <row r="2226" spans="1:5">
      <c r="A2226" s="103">
        <v>39793</v>
      </c>
      <c r="B2226" s="86" t="str">
        <f>TiposLancamentos!B18</f>
        <v>Alimentacao</v>
      </c>
      <c r="C2226" s="3" t="s">
        <v>3688</v>
      </c>
      <c r="D2226" s="78"/>
      <c r="E2226" s="1480">
        <v>2.4</v>
      </c>
    </row>
    <row r="2227" spans="1:5">
      <c r="A2227" s="103">
        <v>39793</v>
      </c>
      <c r="B2227" s="86" t="str">
        <f>TiposLancamentos!B20</f>
        <v>Saques</v>
      </c>
      <c r="C2227" s="3" t="s">
        <v>3403</v>
      </c>
      <c r="D2227" s="78">
        <v>40</v>
      </c>
      <c r="E2227" s="1480"/>
    </row>
    <row r="2228" spans="1:5">
      <c r="A2228" s="103">
        <v>39793</v>
      </c>
      <c r="B2228" s="86" t="str">
        <f>TiposLancamentos!B51</f>
        <v>Marlboro</v>
      </c>
      <c r="C2228" s="3" t="s">
        <v>3689</v>
      </c>
      <c r="D2228" s="78"/>
      <c r="E2228" s="1480">
        <v>3.4</v>
      </c>
    </row>
    <row r="2229" spans="1:5">
      <c r="A2229" s="103">
        <v>39794</v>
      </c>
      <c r="B2229" s="86" t="str">
        <f>TiposLancamentos!B18</f>
        <v>Alimentacao</v>
      </c>
      <c r="C2229" s="3" t="s">
        <v>3622</v>
      </c>
      <c r="D2229" s="78"/>
      <c r="E2229" s="1480">
        <v>2.4</v>
      </c>
    </row>
    <row r="2230" spans="1:5">
      <c r="A2230" s="103">
        <v>39796</v>
      </c>
      <c r="B2230" s="86" t="str">
        <f>TiposLancamentos!B19</f>
        <v>Restaurantes</v>
      </c>
      <c r="C2230" s="3" t="s">
        <v>3690</v>
      </c>
      <c r="D2230" s="78"/>
      <c r="E2230" s="1480">
        <v>3.5</v>
      </c>
    </row>
    <row r="2231" spans="1:5">
      <c r="A2231" s="103">
        <v>39797</v>
      </c>
      <c r="B2231" s="86" t="str">
        <f>TiposLancamentos!B24</f>
        <v>Estacionamentos</v>
      </c>
      <c r="C2231" s="3" t="s">
        <v>3382</v>
      </c>
      <c r="D2231" s="78"/>
      <c r="E2231" s="1480">
        <v>3</v>
      </c>
    </row>
    <row r="2232" spans="1:5">
      <c r="A2232" s="103">
        <v>39797</v>
      </c>
      <c r="B2232" s="86" t="str">
        <f>TiposLancamentos!B18</f>
        <v>Alimentacao</v>
      </c>
      <c r="C2232" s="3" t="s">
        <v>3691</v>
      </c>
      <c r="D2232" s="78"/>
      <c r="E2232" s="1480">
        <v>2.4</v>
      </c>
    </row>
    <row r="2233" spans="1:5">
      <c r="A2233" s="103">
        <v>39798</v>
      </c>
      <c r="B2233" s="86" t="str">
        <f>TiposLancamentos!B18</f>
        <v>Alimentacao</v>
      </c>
      <c r="C2233" s="3" t="s">
        <v>3692</v>
      </c>
      <c r="D2233" s="78"/>
      <c r="E2233" s="1480">
        <v>5</v>
      </c>
    </row>
    <row r="2234" spans="1:5">
      <c r="A2234" s="103">
        <v>39798</v>
      </c>
      <c r="B2234" s="86" t="str">
        <f>TiposLancamentos!B24</f>
        <v>Estacionamentos</v>
      </c>
      <c r="C2234" s="3" t="s">
        <v>3398</v>
      </c>
      <c r="D2234" s="78"/>
      <c r="E2234" s="1480">
        <v>5</v>
      </c>
    </row>
    <row r="2235" spans="1:5">
      <c r="A2235" s="103">
        <v>39798</v>
      </c>
      <c r="B2235" s="86" t="str">
        <f>TiposLancamentos!B98</f>
        <v>Restituições</v>
      </c>
      <c r="C2235" s="3" t="s">
        <v>3693</v>
      </c>
      <c r="D2235" s="78">
        <v>40</v>
      </c>
      <c r="E2235" s="1480"/>
    </row>
    <row r="2236" spans="1:5">
      <c r="A2236" s="103">
        <v>39798</v>
      </c>
      <c r="B2236" s="86" t="str">
        <f>TiposLancamentos!B18</f>
        <v>Alimentacao</v>
      </c>
      <c r="C2236" s="3" t="s">
        <v>3694</v>
      </c>
      <c r="D2236" s="78"/>
      <c r="E2236" s="1480">
        <v>5</v>
      </c>
    </row>
    <row r="2237" spans="1:5">
      <c r="A2237" s="103">
        <v>39799</v>
      </c>
      <c r="B2237" s="86" t="str">
        <f>TiposLancamentos!B16</f>
        <v>Cristiane</v>
      </c>
      <c r="C2237" s="3" t="s">
        <v>3695</v>
      </c>
      <c r="D2237" s="78"/>
      <c r="E2237" s="1480">
        <v>11</v>
      </c>
    </row>
    <row r="2238" spans="1:5">
      <c r="A2238" s="103">
        <v>39799</v>
      </c>
      <c r="B2238" s="86" t="str">
        <f>TiposLancamentos!B66</f>
        <v>Faxineira</v>
      </c>
      <c r="C2238" s="3" t="s">
        <v>3696</v>
      </c>
      <c r="D2238" s="78"/>
      <c r="E2238" s="1480">
        <v>25</v>
      </c>
    </row>
    <row r="2239" spans="1:5">
      <c r="A2239" s="103">
        <v>39799</v>
      </c>
      <c r="B2239" s="86" t="str">
        <f>TiposLancamentos!B19</f>
        <v>Restaurantes</v>
      </c>
      <c r="C2239" s="3" t="s">
        <v>3697</v>
      </c>
      <c r="D2239" s="78"/>
      <c r="E2239" s="1480">
        <v>14</v>
      </c>
    </row>
    <row r="2240" spans="1:5">
      <c r="A2240" s="103">
        <v>39800</v>
      </c>
      <c r="B2240" s="86" t="str">
        <f>TiposLancamentos!B20</f>
        <v>Saques</v>
      </c>
      <c r="C2240" s="3" t="s">
        <v>3403</v>
      </c>
      <c r="D2240" s="78">
        <v>50</v>
      </c>
      <c r="E2240" s="1480"/>
    </row>
    <row r="2241" spans="1:5">
      <c r="A2241" s="103">
        <v>39801</v>
      </c>
      <c r="B2241" s="86" t="str">
        <f>TiposLancamentos!B16</f>
        <v>Cristiane</v>
      </c>
      <c r="C2241" s="3" t="s">
        <v>2888</v>
      </c>
      <c r="D2241" s="78">
        <v>102.5</v>
      </c>
      <c r="E2241" s="1480"/>
    </row>
    <row r="2242" spans="1:5">
      <c r="A2242" s="103">
        <v>39801</v>
      </c>
      <c r="B2242" s="86" t="str">
        <f>TiposLancamentos!B19</f>
        <v>Restaurantes</v>
      </c>
      <c r="C2242" s="3" t="s">
        <v>3698</v>
      </c>
      <c r="D2242" s="78"/>
      <c r="E2242" s="1480">
        <v>38</v>
      </c>
    </row>
    <row r="2243" spans="1:5">
      <c r="A2243" s="103">
        <v>39802</v>
      </c>
      <c r="B2243" s="86" t="str">
        <f>TiposLancamentos!B18</f>
        <v>Alimentacao</v>
      </c>
      <c r="C2243" s="3" t="s">
        <v>3699</v>
      </c>
      <c r="D2243" s="78"/>
      <c r="E2243" s="1480">
        <v>10</v>
      </c>
    </row>
    <row r="2244" spans="1:5">
      <c r="A2244" s="103">
        <v>39802</v>
      </c>
      <c r="B2244" s="86" t="str">
        <f>TiposLancamentos!B18</f>
        <v>Alimentacao</v>
      </c>
      <c r="C2244" s="3" t="s">
        <v>3700</v>
      </c>
      <c r="D2244" s="78"/>
      <c r="E2244" s="1480">
        <v>10</v>
      </c>
    </row>
    <row r="2245" spans="1:5">
      <c r="A2245" s="103">
        <v>39802</v>
      </c>
      <c r="B2245" s="86" t="str">
        <f>TiposLancamentos!B13</f>
        <v>Moradia</v>
      </c>
      <c r="C2245" s="3" t="s">
        <v>3701</v>
      </c>
      <c r="D2245" s="78"/>
      <c r="E2245" s="1480">
        <v>40</v>
      </c>
    </row>
    <row r="2246" spans="1:5">
      <c r="A2246" s="103">
        <v>39803</v>
      </c>
      <c r="B2246" s="86" t="str">
        <f>TiposLancamentos!B74</f>
        <v>Noite</v>
      </c>
      <c r="C2246" s="3" t="s">
        <v>3702</v>
      </c>
      <c r="D2246" s="78"/>
      <c r="E2246" s="1480">
        <v>25</v>
      </c>
    </row>
    <row r="2247" spans="1:5">
      <c r="A2247" s="103">
        <v>39803</v>
      </c>
      <c r="B2247" s="86" t="str">
        <f>TiposLancamentos!B24</f>
        <v>Estacionamentos</v>
      </c>
      <c r="C2247" s="3" t="s">
        <v>3703</v>
      </c>
      <c r="D2247" s="78"/>
      <c r="E2247" s="1480">
        <v>8</v>
      </c>
    </row>
    <row r="2248" spans="1:5">
      <c r="A2248" s="103">
        <v>39805</v>
      </c>
      <c r="B2248" s="86" t="str">
        <f>TiposLancamentos!B18</f>
        <v>Alimentacao</v>
      </c>
      <c r="C2248" s="3" t="s">
        <v>3437</v>
      </c>
      <c r="D2248" s="78"/>
      <c r="E2248" s="1480">
        <v>4</v>
      </c>
    </row>
    <row r="2249" spans="1:5">
      <c r="A2249" s="103">
        <v>39806</v>
      </c>
      <c r="B2249" s="86" t="str">
        <f>TiposLancamentos!B18</f>
        <v>Alimentacao</v>
      </c>
      <c r="C2249" s="3" t="s">
        <v>3550</v>
      </c>
      <c r="D2249" s="78"/>
      <c r="E2249" s="1480">
        <v>4.5999999999999996</v>
      </c>
    </row>
    <row r="2250" spans="1:5">
      <c r="A2250" s="103">
        <v>39808</v>
      </c>
      <c r="B2250" s="86" t="str">
        <f>TiposLancamentos!B18</f>
        <v>Alimentacao</v>
      </c>
      <c r="C2250" s="3" t="s">
        <v>3704</v>
      </c>
      <c r="D2250" s="78"/>
      <c r="E2250" s="1480">
        <v>4.5</v>
      </c>
    </row>
    <row r="2251" spans="1:5">
      <c r="A2251" s="103">
        <v>39808</v>
      </c>
      <c r="B2251" s="86" t="str">
        <f>TiposLancamentos!B24</f>
        <v>Estacionamentos</v>
      </c>
      <c r="C2251" s="3" t="s">
        <v>3705</v>
      </c>
      <c r="D2251" s="78"/>
      <c r="E2251" s="1480">
        <v>5</v>
      </c>
    </row>
    <row r="2252" spans="1:5">
      <c r="A2252" s="103">
        <v>39808</v>
      </c>
      <c r="B2252" s="86" t="str">
        <f>TiposLancamentos!B18</f>
        <v>Alimentacao</v>
      </c>
      <c r="C2252" s="3" t="s">
        <v>3706</v>
      </c>
      <c r="D2252" s="78"/>
      <c r="E2252" s="1480">
        <v>4.75</v>
      </c>
    </row>
    <row r="2253" spans="1:5">
      <c r="A2253" s="103">
        <v>39809</v>
      </c>
      <c r="B2253" s="86" t="str">
        <f>TiposLancamentos!B18</f>
        <v>Alimentacao</v>
      </c>
      <c r="C2253" s="3" t="s">
        <v>3707</v>
      </c>
      <c r="D2253" s="78"/>
      <c r="E2253" s="1480">
        <v>10</v>
      </c>
    </row>
    <row r="2254" spans="1:5">
      <c r="A2254" s="103">
        <v>39809</v>
      </c>
      <c r="B2254" s="86" t="str">
        <f>TiposLancamentos!B13</f>
        <v>Moradia</v>
      </c>
      <c r="C2254" s="3" t="s">
        <v>3708</v>
      </c>
      <c r="D2254" s="78"/>
      <c r="E2254" s="1480">
        <v>7.9</v>
      </c>
    </row>
    <row r="2255" spans="1:5">
      <c r="A2255" s="103">
        <v>39813</v>
      </c>
      <c r="B2255" s="86" t="str">
        <f>TiposLancamentos!B78</f>
        <v>Diferenças</v>
      </c>
      <c r="C2255" s="3"/>
      <c r="D2255" s="78">
        <v>7.52</v>
      </c>
      <c r="E2255" s="1480"/>
    </row>
    <row r="2256" spans="1:5">
      <c r="A2256" s="99"/>
      <c r="B2256" s="1590"/>
      <c r="C2256" s="100" t="s">
        <v>3709</v>
      </c>
      <c r="D2256" s="1591"/>
      <c r="E2256" s="1592"/>
    </row>
    <row r="2257" spans="1:5">
      <c r="A2257" s="103">
        <v>39816</v>
      </c>
      <c r="B2257" s="86" t="str">
        <f>TiposLancamentos!B20</f>
        <v>Saques</v>
      </c>
      <c r="C2257" s="3" t="s">
        <v>3406</v>
      </c>
      <c r="D2257" s="78">
        <v>40</v>
      </c>
      <c r="E2257" s="1480"/>
    </row>
    <row r="2258" spans="1:5">
      <c r="A2258" s="103">
        <v>39816</v>
      </c>
      <c r="B2258" s="86" t="str">
        <f>TiposLancamentos!B71</f>
        <v>Itens Pessoais</v>
      </c>
      <c r="C2258" s="3" t="s">
        <v>3710</v>
      </c>
      <c r="D2258" s="78"/>
      <c r="E2258" s="1480">
        <v>12</v>
      </c>
    </row>
    <row r="2259" spans="1:5">
      <c r="A2259" s="103">
        <v>39816</v>
      </c>
      <c r="B2259" s="86" t="str">
        <f>TiposLancamentos!B16</f>
        <v>Cristiane</v>
      </c>
      <c r="C2259" s="3" t="s">
        <v>3711</v>
      </c>
      <c r="D2259" s="78"/>
      <c r="E2259" s="1480">
        <v>2.8</v>
      </c>
    </row>
    <row r="2260" spans="1:5">
      <c r="A2260" s="103">
        <v>39816</v>
      </c>
      <c r="B2260" s="86" t="str">
        <f>TiposLancamentos!B24</f>
        <v>Estacionamentos</v>
      </c>
      <c r="C2260" s="3" t="s">
        <v>3398</v>
      </c>
      <c r="D2260" s="78"/>
      <c r="E2260" s="1480">
        <v>3</v>
      </c>
    </row>
    <row r="2261" spans="1:5">
      <c r="A2261" s="103">
        <v>39818</v>
      </c>
      <c r="B2261" s="86" t="str">
        <f>TiposLancamentos!B16</f>
        <v>Cristiane</v>
      </c>
      <c r="C2261" s="3" t="s">
        <v>3101</v>
      </c>
      <c r="D2261" s="78"/>
      <c r="E2261" s="1480">
        <v>20</v>
      </c>
    </row>
    <row r="2262" spans="1:5">
      <c r="A2262" s="103">
        <v>39818</v>
      </c>
      <c r="B2262" s="86" t="str">
        <f>TiposLancamentos!B20</f>
        <v>Saques</v>
      </c>
      <c r="C2262" s="3" t="s">
        <v>2850</v>
      </c>
      <c r="D2262" s="78">
        <v>10</v>
      </c>
      <c r="E2262" s="1480"/>
    </row>
    <row r="2263" spans="1:5">
      <c r="A2263" s="103">
        <v>39818</v>
      </c>
      <c r="B2263" s="86" t="str">
        <f>TiposLancamentos!B24</f>
        <v>Estacionamentos</v>
      </c>
      <c r="C2263" s="3" t="s">
        <v>3712</v>
      </c>
      <c r="D2263" s="78"/>
      <c r="E2263" s="1480">
        <v>2</v>
      </c>
    </row>
    <row r="2264" spans="1:5">
      <c r="A2264" s="103">
        <v>39819</v>
      </c>
      <c r="B2264" s="86" t="str">
        <f>TiposLancamentos!B18</f>
        <v>Alimentacao</v>
      </c>
      <c r="C2264" s="3" t="s">
        <v>3578</v>
      </c>
      <c r="D2264" s="78"/>
      <c r="E2264" s="1480">
        <v>10</v>
      </c>
    </row>
    <row r="2265" spans="1:5">
      <c r="A2265" s="103">
        <v>39821</v>
      </c>
      <c r="B2265" s="86" t="str">
        <f>TiposLancamentos!B20</f>
        <v>Saques</v>
      </c>
      <c r="C2265" s="3" t="s">
        <v>3565</v>
      </c>
      <c r="D2265" s="78">
        <v>40</v>
      </c>
      <c r="E2265" s="1480"/>
    </row>
    <row r="2266" spans="1:5">
      <c r="A2266" s="103">
        <v>39822</v>
      </c>
      <c r="B2266" s="86" t="str">
        <f>TiposLancamentos!B18</f>
        <v>Alimentacao</v>
      </c>
      <c r="C2266" s="3" t="s">
        <v>3713</v>
      </c>
      <c r="D2266" s="78"/>
      <c r="E2266" s="1480">
        <v>10</v>
      </c>
    </row>
    <row r="2267" spans="1:5">
      <c r="A2267" s="103">
        <v>39822</v>
      </c>
      <c r="B2267" s="86" t="str">
        <f>TiposLancamentos!B29</f>
        <v>Mangá</v>
      </c>
      <c r="C2267" s="3" t="s">
        <v>3714</v>
      </c>
      <c r="D2267" s="78"/>
      <c r="E2267" s="1480">
        <v>9.9</v>
      </c>
    </row>
    <row r="2268" spans="1:5">
      <c r="A2268" s="103">
        <v>39822</v>
      </c>
      <c r="B2268" s="86" t="str">
        <f>TiposLancamentos!B18</f>
        <v>Alimentacao</v>
      </c>
      <c r="C2268" s="3" t="s">
        <v>3715</v>
      </c>
      <c r="D2268" s="78"/>
      <c r="E2268" s="1480">
        <v>10</v>
      </c>
    </row>
    <row r="2269" spans="1:5">
      <c r="A2269" s="103">
        <v>39823</v>
      </c>
      <c r="B2269" s="86" t="str">
        <f>TiposLancamentos!B18</f>
        <v>Alimentacao</v>
      </c>
      <c r="C2269" s="3" t="s">
        <v>3716</v>
      </c>
      <c r="D2269" s="78"/>
      <c r="E2269" s="1480">
        <v>10</v>
      </c>
    </row>
    <row r="2270" spans="1:5">
      <c r="A2270" s="103">
        <v>39824</v>
      </c>
      <c r="B2270" s="86" t="str">
        <f>TiposLancamentos!B20</f>
        <v>Saques</v>
      </c>
      <c r="C2270" s="3" t="s">
        <v>3403</v>
      </c>
      <c r="D2270" s="78">
        <v>70</v>
      </c>
      <c r="E2270" s="1480"/>
    </row>
    <row r="2271" spans="1:5">
      <c r="A2271" s="103">
        <v>39825</v>
      </c>
      <c r="B2271" s="86" t="str">
        <f>TiposLancamentos!B18</f>
        <v>Alimentacao</v>
      </c>
      <c r="C2271" s="3" t="s">
        <v>3717</v>
      </c>
      <c r="D2271" s="78"/>
      <c r="E2271" s="1480">
        <v>4.5</v>
      </c>
    </row>
    <row r="2272" spans="1:5">
      <c r="A2272" s="103">
        <v>39825</v>
      </c>
      <c r="B2272" s="86" t="str">
        <f>TiposLancamentos!B18</f>
        <v>Alimentacao</v>
      </c>
      <c r="C2272" s="3" t="s">
        <v>3718</v>
      </c>
      <c r="D2272" s="78"/>
      <c r="E2272" s="1480">
        <v>4.09</v>
      </c>
    </row>
    <row r="2273" spans="1:5">
      <c r="A2273" s="103">
        <v>39825</v>
      </c>
      <c r="B2273" s="86" t="str">
        <f>TiposLancamentos!B19</f>
        <v>Restaurantes</v>
      </c>
      <c r="C2273" s="3" t="s">
        <v>3719</v>
      </c>
      <c r="D2273" s="78"/>
      <c r="E2273" s="1480">
        <v>31.8</v>
      </c>
    </row>
    <row r="2274" spans="1:5">
      <c r="A2274" s="103">
        <v>39825</v>
      </c>
      <c r="B2274" s="86" t="str">
        <f>TiposLancamentos!B16</f>
        <v>Cristiane</v>
      </c>
      <c r="C2274" s="3" t="s">
        <v>3016</v>
      </c>
      <c r="D2274" s="78"/>
      <c r="E2274" s="1480">
        <v>20</v>
      </c>
    </row>
    <row r="2275" spans="1:5">
      <c r="A2275" s="103">
        <v>39828</v>
      </c>
      <c r="B2275" s="86" t="str">
        <f>TiposLancamentos!B18</f>
        <v>Alimentacao</v>
      </c>
      <c r="C2275" s="3" t="s">
        <v>3720</v>
      </c>
      <c r="D2275" s="78"/>
      <c r="E2275" s="1480">
        <v>9.91</v>
      </c>
    </row>
    <row r="2276" spans="1:5">
      <c r="A2276" s="103">
        <v>39830</v>
      </c>
      <c r="B2276" s="86" t="str">
        <f>TiposLancamentos!B20</f>
        <v>Saques</v>
      </c>
      <c r="C2276" s="3" t="s">
        <v>2850</v>
      </c>
      <c r="D2276" s="78">
        <v>100</v>
      </c>
      <c r="E2276" s="1480"/>
    </row>
    <row r="2277" spans="1:5">
      <c r="A2277" s="103">
        <v>39830</v>
      </c>
      <c r="B2277" s="86" t="str">
        <f>TiposLancamentos!B58</f>
        <v>Fotografias</v>
      </c>
      <c r="C2277" s="3" t="s">
        <v>3721</v>
      </c>
      <c r="D2277" s="78"/>
      <c r="E2277" s="1480">
        <v>6</v>
      </c>
    </row>
    <row r="2278" spans="1:5">
      <c r="A2278" s="103">
        <v>39830</v>
      </c>
      <c r="B2278" s="86" t="str">
        <f>TiposLancamentos!B50</f>
        <v>Guitarra</v>
      </c>
      <c r="C2278" s="3" t="s">
        <v>3722</v>
      </c>
      <c r="D2278" s="78"/>
      <c r="E2278" s="1480">
        <v>80</v>
      </c>
    </row>
    <row r="2279" spans="1:5">
      <c r="A2279" s="103">
        <v>39830</v>
      </c>
      <c r="B2279" s="86"/>
      <c r="C2279" s="3"/>
      <c r="D2279" s="78"/>
      <c r="E2279" s="1480"/>
    </row>
    <row r="2280" spans="1:5">
      <c r="A2280" s="103">
        <v>39831</v>
      </c>
      <c r="B2280" s="86" t="str">
        <f>TiposLancamentos!B18</f>
        <v>Alimentacao</v>
      </c>
      <c r="C2280" s="3" t="s">
        <v>3723</v>
      </c>
      <c r="D2280" s="78"/>
      <c r="E2280" s="1480">
        <v>2</v>
      </c>
    </row>
    <row r="2281" spans="1:5">
      <c r="A2281" s="103">
        <v>39831</v>
      </c>
      <c r="B2281" s="86" t="str">
        <f>TiposLancamentos!B24</f>
        <v>Estacionamentos</v>
      </c>
      <c r="C2281" s="3" t="s">
        <v>3724</v>
      </c>
      <c r="D2281" s="78"/>
      <c r="E2281" s="1480">
        <v>5</v>
      </c>
    </row>
    <row r="2282" spans="1:5">
      <c r="A2282" s="103">
        <v>39831</v>
      </c>
      <c r="B2282" s="86" t="str">
        <f>TiposLancamentos!B24</f>
        <v>Estacionamentos</v>
      </c>
      <c r="C2282" s="3" t="s">
        <v>3725</v>
      </c>
      <c r="D2282" s="78"/>
      <c r="E2282" s="1480">
        <v>3</v>
      </c>
    </row>
    <row r="2283" spans="1:5">
      <c r="A2283" s="103">
        <v>39832</v>
      </c>
      <c r="B2283" s="86" t="str">
        <f>TiposLancamentos!B24</f>
        <v>Estacionamentos</v>
      </c>
      <c r="C2283" s="3" t="s">
        <v>1714</v>
      </c>
      <c r="D2283" s="78"/>
      <c r="E2283" s="1480">
        <v>4</v>
      </c>
    </row>
    <row r="2284" spans="1:5">
      <c r="A2284" s="103">
        <v>39837</v>
      </c>
      <c r="B2284" s="86" t="str">
        <f>TiposLancamentos!B20</f>
        <v>Saques</v>
      </c>
      <c r="C2284" s="3" t="s">
        <v>3403</v>
      </c>
      <c r="D2284" s="78">
        <v>20</v>
      </c>
      <c r="E2284" s="1480"/>
    </row>
    <row r="2285" spans="1:5">
      <c r="A2285" s="103">
        <v>39837</v>
      </c>
      <c r="B2285" s="86" t="str">
        <f>TiposLancamentos!B18</f>
        <v>Alimentacao</v>
      </c>
      <c r="C2285" s="3" t="s">
        <v>3726</v>
      </c>
      <c r="D2285" s="78"/>
      <c r="E2285" s="1480">
        <v>5</v>
      </c>
    </row>
    <row r="2286" spans="1:5">
      <c r="A2286" s="103">
        <v>39837</v>
      </c>
      <c r="B2286" s="86" t="str">
        <f>TiposLancamentos!B24</f>
        <v>Estacionamentos</v>
      </c>
      <c r="C2286" s="3" t="s">
        <v>3727</v>
      </c>
      <c r="D2286" s="78"/>
      <c r="E2286" s="1480">
        <v>5</v>
      </c>
    </row>
    <row r="2287" spans="1:5">
      <c r="A2287" s="103">
        <v>39837</v>
      </c>
      <c r="B2287" s="86" t="str">
        <f>TiposLancamentos!B18</f>
        <v>Alimentacao</v>
      </c>
      <c r="C2287" s="3" t="s">
        <v>3728</v>
      </c>
      <c r="D2287" s="78"/>
      <c r="E2287" s="1480">
        <v>3</v>
      </c>
    </row>
    <row r="2288" spans="1:5">
      <c r="A2288" s="103">
        <v>39838</v>
      </c>
      <c r="B2288" s="86" t="str">
        <f>TiposLancamentos!B18</f>
        <v>Alimentacao</v>
      </c>
      <c r="C2288" s="3" t="s">
        <v>3622</v>
      </c>
      <c r="D2288" s="78"/>
      <c r="E2288" s="1480">
        <v>2.9</v>
      </c>
    </row>
    <row r="2289" spans="1:5">
      <c r="A2289" s="103">
        <v>39841</v>
      </c>
      <c r="B2289" s="86" t="str">
        <f>TiposLancamentos!B18</f>
        <v>Alimentacao</v>
      </c>
      <c r="C2289" s="3" t="s">
        <v>3437</v>
      </c>
      <c r="D2289" s="78"/>
      <c r="E2289" s="1480">
        <v>2.6</v>
      </c>
    </row>
    <row r="2290" spans="1:5">
      <c r="A2290" s="99"/>
      <c r="B2290" s="1590"/>
      <c r="C2290" s="100" t="s">
        <v>3729</v>
      </c>
      <c r="D2290" s="1591"/>
      <c r="E2290" s="1592"/>
    </row>
    <row r="2291" spans="1:5">
      <c r="A2291" s="103">
        <v>39845</v>
      </c>
      <c r="B2291" s="86" t="str">
        <f>TiposLancamentos!B20</f>
        <v>Saques</v>
      </c>
      <c r="C2291" s="3" t="s">
        <v>3489</v>
      </c>
      <c r="D2291" s="78">
        <v>10</v>
      </c>
      <c r="E2291" s="1480"/>
    </row>
    <row r="2292" spans="1:5">
      <c r="A2292" s="103">
        <v>39845</v>
      </c>
      <c r="B2292" s="86" t="str">
        <f>TiposLancamentos!B18</f>
        <v>Alimentacao</v>
      </c>
      <c r="C2292" s="3" t="s">
        <v>3622</v>
      </c>
      <c r="D2292" s="78"/>
      <c r="E2292" s="1480">
        <v>2.2000000000000002</v>
      </c>
    </row>
    <row r="2293" spans="1:5">
      <c r="A2293" s="103">
        <v>39845</v>
      </c>
      <c r="B2293" s="86" t="str">
        <f>TiposLancamentos!B24</f>
        <v>Estacionamentos</v>
      </c>
      <c r="C2293" s="3" t="s">
        <v>3730</v>
      </c>
      <c r="D2293" s="78"/>
      <c r="E2293" s="1480">
        <v>4</v>
      </c>
    </row>
    <row r="2294" spans="1:5">
      <c r="A2294" s="103">
        <v>39854</v>
      </c>
      <c r="B2294" s="86" t="str">
        <f>TiposLancamentos!B20</f>
        <v>Saques</v>
      </c>
      <c r="C2294" s="3" t="s">
        <v>3731</v>
      </c>
      <c r="D2294" s="78">
        <v>60</v>
      </c>
      <c r="E2294" s="1480"/>
    </row>
    <row r="2295" spans="1:5">
      <c r="A2295" s="103">
        <v>39854</v>
      </c>
      <c r="B2295" s="86" t="str">
        <f>TiposLancamentos!B16</f>
        <v>Cristiane</v>
      </c>
      <c r="C2295" s="3" t="s">
        <v>3732</v>
      </c>
      <c r="D2295" s="78"/>
      <c r="E2295" s="1480">
        <v>60</v>
      </c>
    </row>
    <row r="2296" spans="1:5">
      <c r="A2296" s="103">
        <v>39857</v>
      </c>
      <c r="B2296" s="86" t="str">
        <f>TiposLancamentos!B20</f>
        <v>Saques</v>
      </c>
      <c r="C2296" s="3" t="s">
        <v>3513</v>
      </c>
      <c r="D2296" s="78">
        <v>30</v>
      </c>
      <c r="E2296" s="1480"/>
    </row>
    <row r="2297" spans="1:5">
      <c r="A2297" s="103">
        <v>39857</v>
      </c>
      <c r="B2297" s="86" t="str">
        <f>TiposLancamentos!B51</f>
        <v>Marlboro</v>
      </c>
      <c r="C2297" s="3" t="s">
        <v>3518</v>
      </c>
      <c r="D2297" s="78"/>
      <c r="E2297" s="1480">
        <v>3.4</v>
      </c>
    </row>
    <row r="2298" spans="1:5">
      <c r="A2298" s="103">
        <v>39857</v>
      </c>
      <c r="B2298" s="86" t="str">
        <f>TiposLancamentos!B18</f>
        <v>Alimentacao</v>
      </c>
      <c r="C2298" s="3" t="s">
        <v>3733</v>
      </c>
      <c r="D2298" s="78"/>
      <c r="E2298" s="1480">
        <v>5.5</v>
      </c>
    </row>
    <row r="2299" spans="1:5">
      <c r="A2299" s="103">
        <v>39857</v>
      </c>
      <c r="B2299" s="86" t="str">
        <f>TiposLancamentos!B24</f>
        <v>Estacionamentos</v>
      </c>
      <c r="C2299" s="3" t="s">
        <v>3734</v>
      </c>
      <c r="D2299" s="78"/>
      <c r="E2299" s="1480">
        <v>10</v>
      </c>
    </row>
    <row r="2300" spans="1:5">
      <c r="A2300" s="103">
        <v>39858</v>
      </c>
      <c r="B2300" s="86" t="str">
        <f>TiposLancamentos!B36</f>
        <v>Playstation 2</v>
      </c>
      <c r="C2300" s="3" t="s">
        <v>3735</v>
      </c>
      <c r="D2300" s="78"/>
      <c r="E2300" s="1480">
        <v>8</v>
      </c>
    </row>
    <row r="2301" spans="1:5">
      <c r="A2301" s="103">
        <v>39858</v>
      </c>
      <c r="B2301" s="86" t="str">
        <f>TiposLancamentos!B24</f>
        <v>Estacionamentos</v>
      </c>
      <c r="C2301" s="3" t="s">
        <v>3736</v>
      </c>
      <c r="D2301" s="78"/>
      <c r="E2301" s="1480">
        <v>8.4</v>
      </c>
    </row>
    <row r="2302" spans="1:5">
      <c r="A2302" s="103">
        <v>39863</v>
      </c>
      <c r="B2302" s="86" t="str">
        <f>TiposLancamentos!B20</f>
        <v>Saques</v>
      </c>
      <c r="C2302" s="3" t="s">
        <v>3737</v>
      </c>
      <c r="D2302" s="78">
        <v>40</v>
      </c>
      <c r="E2302" s="1480"/>
    </row>
    <row r="2303" spans="1:5">
      <c r="A2303" s="103">
        <v>39863</v>
      </c>
      <c r="B2303" s="86" t="str">
        <f>TiposLancamentos!B51</f>
        <v>Marlboro</v>
      </c>
      <c r="C2303" s="3" t="s">
        <v>3515</v>
      </c>
      <c r="D2303" s="78"/>
      <c r="E2303" s="1480">
        <v>3.4</v>
      </c>
    </row>
    <row r="2304" spans="1:5">
      <c r="A2304" s="103">
        <v>39863</v>
      </c>
      <c r="B2304" s="86" t="str">
        <f>TiposLancamentos!B56</f>
        <v>Farmácia</v>
      </c>
      <c r="C2304" s="3" t="s">
        <v>3738</v>
      </c>
      <c r="D2304" s="78"/>
      <c r="E2304" s="1480">
        <v>11.4</v>
      </c>
    </row>
    <row r="2305" spans="1:5">
      <c r="A2305" s="103">
        <v>39863</v>
      </c>
      <c r="B2305" s="86" t="str">
        <f>TiposLancamentos!B72</f>
        <v>Presentes</v>
      </c>
      <c r="C2305" s="3" t="s">
        <v>3739</v>
      </c>
      <c r="D2305" s="78"/>
      <c r="E2305" s="1480">
        <v>10</v>
      </c>
    </row>
    <row r="2306" spans="1:5">
      <c r="A2306" s="103">
        <v>39863</v>
      </c>
      <c r="B2306" s="86" t="str">
        <f>TiposLancamentos!B18</f>
        <v>Alimentacao</v>
      </c>
      <c r="C2306" s="3" t="s">
        <v>3622</v>
      </c>
      <c r="D2306" s="78"/>
      <c r="E2306" s="1480">
        <v>8</v>
      </c>
    </row>
    <row r="2307" spans="1:5">
      <c r="A2307" s="103">
        <v>39864</v>
      </c>
      <c r="B2307" s="86" t="str">
        <f>TiposLancamentos!B16</f>
        <v>Cristiane</v>
      </c>
      <c r="C2307" s="3" t="s">
        <v>3016</v>
      </c>
      <c r="D2307" s="78"/>
      <c r="E2307" s="1480">
        <v>7.2</v>
      </c>
    </row>
    <row r="2308" spans="1:5">
      <c r="A2308" s="103">
        <v>39864</v>
      </c>
      <c r="B2308" s="86" t="str">
        <f>TiposLancamentos!B20</f>
        <v>Saques</v>
      </c>
      <c r="C2308" s="3" t="s">
        <v>3406</v>
      </c>
      <c r="D2308" s="78">
        <v>50</v>
      </c>
      <c r="E2308" s="1480"/>
    </row>
    <row r="2309" spans="1:5">
      <c r="A2309" s="103">
        <v>39865</v>
      </c>
      <c r="B2309" s="86" t="str">
        <f>TiposLancamentos!B56</f>
        <v>Farmácia</v>
      </c>
      <c r="C2309" s="3" t="s">
        <v>3420</v>
      </c>
      <c r="D2309" s="78"/>
      <c r="E2309" s="1480">
        <v>50</v>
      </c>
    </row>
    <row r="2310" spans="1:5">
      <c r="A2310" s="103">
        <v>39865</v>
      </c>
      <c r="B2310" s="86" t="str">
        <f>TiposLancamentos!B20</f>
        <v>Saques</v>
      </c>
      <c r="C2310" s="3" t="s">
        <v>3740</v>
      </c>
      <c r="D2310" s="78">
        <v>60</v>
      </c>
      <c r="E2310" s="1480"/>
    </row>
    <row r="2311" spans="1:5">
      <c r="A2311" s="103">
        <v>39865</v>
      </c>
      <c r="B2311" s="86" t="str">
        <f>TiposLancamentos!B20</f>
        <v>Saques</v>
      </c>
      <c r="C2311" s="3" t="s">
        <v>3741</v>
      </c>
      <c r="D2311" s="78">
        <v>60</v>
      </c>
      <c r="E2311" s="1480"/>
    </row>
    <row r="2312" spans="1:5">
      <c r="A2312" s="103">
        <v>39865</v>
      </c>
      <c r="B2312" s="86" t="str">
        <f>TiposLancamentos!B74</f>
        <v>Noite</v>
      </c>
      <c r="C2312" s="3" t="s">
        <v>3742</v>
      </c>
      <c r="D2312" s="78"/>
      <c r="E2312" s="1480">
        <v>60</v>
      </c>
    </row>
    <row r="2313" spans="1:5">
      <c r="A2313" s="103">
        <v>39865</v>
      </c>
      <c r="B2313" s="86" t="str">
        <f>TiposLancamentos!B74</f>
        <v>Noite</v>
      </c>
      <c r="C2313" s="3" t="s">
        <v>3743</v>
      </c>
      <c r="D2313" s="78"/>
      <c r="E2313" s="1480">
        <v>30</v>
      </c>
    </row>
    <row r="2314" spans="1:5">
      <c r="A2314" s="103">
        <v>39865</v>
      </c>
      <c r="B2314" s="86" t="str">
        <f>TiposLancamentos!B18</f>
        <v>Alimentacao</v>
      </c>
      <c r="C2314" s="3" t="s">
        <v>3744</v>
      </c>
      <c r="D2314" s="78"/>
      <c r="E2314" s="1480">
        <v>13</v>
      </c>
    </row>
    <row r="2315" spans="1:5">
      <c r="A2315" s="103">
        <v>39866</v>
      </c>
      <c r="B2315" s="86" t="str">
        <f>TiposLancamentos!B18</f>
        <v>Alimentacao</v>
      </c>
      <c r="C2315" s="3" t="s">
        <v>3745</v>
      </c>
      <c r="D2315" s="78"/>
      <c r="E2315" s="1480">
        <v>17</v>
      </c>
    </row>
    <row r="2316" spans="1:5">
      <c r="A2316" s="103">
        <v>39870</v>
      </c>
      <c r="B2316" s="86" t="str">
        <f>TiposLancamentos!B20</f>
        <v>Saques</v>
      </c>
      <c r="C2316" s="3" t="s">
        <v>3513</v>
      </c>
      <c r="D2316" s="78">
        <v>20</v>
      </c>
      <c r="E2316" s="1480"/>
    </row>
    <row r="2317" spans="1:5">
      <c r="A2317" s="103">
        <v>39870</v>
      </c>
      <c r="B2317" s="86" t="str">
        <f>TiposLancamentos!B19</f>
        <v>Restaurantes</v>
      </c>
      <c r="C2317" s="3" t="s">
        <v>3746</v>
      </c>
      <c r="D2317" s="78"/>
      <c r="E2317" s="1480">
        <v>13.75</v>
      </c>
    </row>
    <row r="2318" spans="1:5">
      <c r="A2318" s="103">
        <v>39872</v>
      </c>
      <c r="B2318" s="86" t="str">
        <f>TiposLancamentos!B19</f>
        <v>Restaurantes</v>
      </c>
      <c r="C2318" s="3" t="s">
        <v>3361</v>
      </c>
      <c r="D2318" s="78"/>
      <c r="E2318" s="1480">
        <v>6.25</v>
      </c>
    </row>
    <row r="2319" spans="1:5">
      <c r="A2319" s="99"/>
      <c r="B2319" s="1590"/>
      <c r="C2319" s="100" t="s">
        <v>3747</v>
      </c>
      <c r="D2319" s="1591"/>
      <c r="E2319" s="1592"/>
    </row>
    <row r="2320" spans="1:5">
      <c r="A2320" s="103">
        <v>39874</v>
      </c>
      <c r="B2320" s="86" t="str">
        <f>TiposLancamentos!B99</f>
        <v>Venda de algo</v>
      </c>
      <c r="C2320" s="3" t="s">
        <v>3748</v>
      </c>
      <c r="D2320" s="78">
        <v>200</v>
      </c>
      <c r="E2320" s="1480"/>
    </row>
    <row r="2321" spans="1:5">
      <c r="A2321" s="103">
        <v>39874</v>
      </c>
      <c r="B2321" s="86" t="str">
        <f>TiposLancamentos!B16</f>
        <v>Cristiane</v>
      </c>
      <c r="C2321" s="3" t="s">
        <v>3101</v>
      </c>
      <c r="D2321" s="78"/>
      <c r="E2321" s="1480">
        <v>150</v>
      </c>
    </row>
    <row r="2322" spans="1:5">
      <c r="A2322" s="103">
        <v>39876</v>
      </c>
      <c r="B2322" s="86" t="str">
        <f>TiposLancamentos!B85</f>
        <v>Peugeout 206</v>
      </c>
      <c r="C2322" s="3" t="s">
        <v>3665</v>
      </c>
      <c r="D2322" s="78"/>
      <c r="E2322" s="1480">
        <v>17</v>
      </c>
    </row>
    <row r="2323" spans="1:5">
      <c r="A2323" s="103">
        <v>39877</v>
      </c>
      <c r="B2323" s="86" t="str">
        <f>TiposLancamentos!B24</f>
        <v>Estacionamentos</v>
      </c>
      <c r="C2323" s="3" t="s">
        <v>3749</v>
      </c>
      <c r="D2323" s="78"/>
      <c r="E2323" s="1480">
        <v>3</v>
      </c>
    </row>
    <row r="2324" spans="1:5">
      <c r="A2324" s="103">
        <v>39878</v>
      </c>
      <c r="B2324" s="86" t="str">
        <f>TiposLancamentos!B24</f>
        <v>Estacionamentos</v>
      </c>
      <c r="C2324" s="3" t="s">
        <v>3241</v>
      </c>
      <c r="D2324" s="78"/>
      <c r="E2324" s="1480">
        <v>4</v>
      </c>
    </row>
    <row r="2325" spans="1:5">
      <c r="A2325" s="103">
        <v>39878</v>
      </c>
      <c r="B2325" s="86" t="str">
        <f>TiposLancamentos!B77</f>
        <v>Esporádico</v>
      </c>
      <c r="C2325" s="3" t="s">
        <v>3750</v>
      </c>
      <c r="D2325" s="78"/>
      <c r="E2325" s="1480">
        <v>20</v>
      </c>
    </row>
    <row r="2326" spans="1:5">
      <c r="A2326" s="103">
        <v>39878</v>
      </c>
      <c r="B2326" s="86" t="str">
        <f>TiposLancamentos!B24</f>
        <v>Estacionamentos</v>
      </c>
      <c r="C2326" s="3" t="s">
        <v>3751</v>
      </c>
      <c r="D2326" s="78"/>
      <c r="E2326" s="1480">
        <v>4</v>
      </c>
    </row>
    <row r="2327" spans="1:5">
      <c r="A2327" s="103">
        <v>39879</v>
      </c>
      <c r="B2327" s="86" t="str">
        <f>TiposLancamentos!B18</f>
        <v>Alimentacao</v>
      </c>
      <c r="C2327" s="3" t="s">
        <v>3752</v>
      </c>
      <c r="D2327" s="78"/>
      <c r="E2327" s="1480">
        <v>2</v>
      </c>
    </row>
    <row r="2328" spans="1:5">
      <c r="A2328" s="103">
        <v>39881</v>
      </c>
      <c r="B2328" s="86" t="str">
        <f>TiposLancamentos!B20</f>
        <v>Saques</v>
      </c>
      <c r="C2328" s="3" t="s">
        <v>3403</v>
      </c>
      <c r="D2328" s="78">
        <v>20</v>
      </c>
      <c r="E2328" s="1480"/>
    </row>
    <row r="2329" spans="1:5">
      <c r="A2329" s="103">
        <v>39881</v>
      </c>
      <c r="B2329" s="86" t="str">
        <f>TiposLancamentos!B16</f>
        <v>Cristiane</v>
      </c>
      <c r="C2329" s="3" t="s">
        <v>3016</v>
      </c>
      <c r="D2329" s="78"/>
      <c r="E2329" s="1480">
        <v>20</v>
      </c>
    </row>
    <row r="2330" spans="1:5">
      <c r="A2330" s="103">
        <v>39886</v>
      </c>
      <c r="B2330" s="86" t="str">
        <f>TiposLancamentos!B20</f>
        <v>Saques</v>
      </c>
      <c r="C2330" s="3" t="s">
        <v>3753</v>
      </c>
      <c r="D2330" s="78">
        <v>210</v>
      </c>
      <c r="E2330" s="1480"/>
    </row>
    <row r="2331" spans="1:5">
      <c r="A2331" s="103">
        <v>39886</v>
      </c>
      <c r="B2331" s="86" t="str">
        <f>TiposLancamentos!B65</f>
        <v>Taxi</v>
      </c>
      <c r="C2331" s="3" t="s">
        <v>3754</v>
      </c>
      <c r="D2331" s="78"/>
      <c r="E2331" s="1480">
        <v>10</v>
      </c>
    </row>
    <row r="2332" spans="1:5">
      <c r="A2332" s="103">
        <v>39886</v>
      </c>
      <c r="B2332" s="86" t="str">
        <f>TiposLancamentos!B19</f>
        <v>Restaurantes</v>
      </c>
      <c r="C2332" s="3" t="s">
        <v>3755</v>
      </c>
      <c r="D2332" s="78"/>
      <c r="E2332" s="1480">
        <v>18.5</v>
      </c>
    </row>
    <row r="2333" spans="1:5">
      <c r="A2333" s="103">
        <v>39886</v>
      </c>
      <c r="B2333" s="86" t="str">
        <f>TiposLancamentos!B64</f>
        <v>Viagens</v>
      </c>
      <c r="C2333" s="3" t="s">
        <v>3756</v>
      </c>
      <c r="D2333" s="78"/>
      <c r="E2333" s="1480">
        <v>35.5</v>
      </c>
    </row>
    <row r="2334" spans="1:5">
      <c r="A2334" s="103">
        <v>39886</v>
      </c>
      <c r="B2334" s="86" t="str">
        <f>TiposLancamentos!B18</f>
        <v>Alimentacao</v>
      </c>
      <c r="C2334" s="3" t="s">
        <v>3757</v>
      </c>
      <c r="D2334" s="78"/>
      <c r="E2334" s="1480">
        <v>9</v>
      </c>
    </row>
    <row r="2335" spans="1:5">
      <c r="A2335" s="103">
        <v>39886</v>
      </c>
      <c r="B2335" s="86" t="str">
        <f>TiposLancamentos!B70</f>
        <v>Vestuário</v>
      </c>
      <c r="C2335" s="3" t="s">
        <v>3758</v>
      </c>
      <c r="D2335" s="78"/>
      <c r="E2335" s="1480">
        <v>30</v>
      </c>
    </row>
    <row r="2336" spans="1:5">
      <c r="A2336" s="103">
        <v>39886</v>
      </c>
      <c r="B2336" s="86" t="str">
        <f>TiposLancamentos!B18</f>
        <v>Alimentacao</v>
      </c>
      <c r="C2336" s="3" t="s">
        <v>3759</v>
      </c>
      <c r="D2336" s="78"/>
      <c r="E2336" s="1480">
        <v>77</v>
      </c>
    </row>
    <row r="2337" spans="1:5">
      <c r="A2337" s="103">
        <v>39888</v>
      </c>
      <c r="B2337" s="86" t="str">
        <f>TiposLancamentos!B16</f>
        <v>Cristiane</v>
      </c>
      <c r="C2337" s="3" t="s">
        <v>3016</v>
      </c>
      <c r="D2337" s="78"/>
      <c r="E2337" s="1480">
        <v>20</v>
      </c>
    </row>
    <row r="2338" spans="1:5">
      <c r="A2338" s="103">
        <v>39888</v>
      </c>
      <c r="B2338" s="86" t="str">
        <f>TiposLancamentos!B18</f>
        <v>Alimentacao</v>
      </c>
      <c r="C2338" s="3" t="s">
        <v>2703</v>
      </c>
      <c r="D2338" s="78"/>
      <c r="E2338" s="1480">
        <v>5</v>
      </c>
    </row>
    <row r="2339" spans="1:5">
      <c r="A2339" s="103">
        <v>39889</v>
      </c>
      <c r="B2339" s="86" t="str">
        <f>TiposLancamentos!B24</f>
        <v>Estacionamentos</v>
      </c>
      <c r="C2339" s="3" t="s">
        <v>3760</v>
      </c>
      <c r="D2339" s="78"/>
      <c r="E2339" s="1480">
        <v>5</v>
      </c>
    </row>
    <row r="2340" spans="1:5">
      <c r="A2340" s="103">
        <v>39891</v>
      </c>
      <c r="B2340" s="86" t="str">
        <f>TiposLancamentos!B20</f>
        <v>Saques</v>
      </c>
      <c r="C2340" s="3" t="s">
        <v>3761</v>
      </c>
      <c r="D2340" s="78">
        <v>40</v>
      </c>
      <c r="E2340" s="1480"/>
    </row>
    <row r="2341" spans="1:5">
      <c r="A2341" s="103">
        <v>39892</v>
      </c>
      <c r="B2341" s="86" t="str">
        <f>TiposLancamentos!B71</f>
        <v>Itens Pessoais</v>
      </c>
      <c r="C2341" s="3" t="s">
        <v>3762</v>
      </c>
      <c r="D2341" s="78"/>
      <c r="E2341" s="1480">
        <v>15</v>
      </c>
    </row>
    <row r="2342" spans="1:5">
      <c r="A2342" s="103">
        <v>39892</v>
      </c>
      <c r="B2342" s="86" t="str">
        <f>TiposLancamentos!B16</f>
        <v>Cristiane</v>
      </c>
      <c r="C2342" s="3" t="s">
        <v>3763</v>
      </c>
      <c r="D2342" s="78"/>
      <c r="E2342" s="1480">
        <v>15</v>
      </c>
    </row>
    <row r="2343" spans="1:5">
      <c r="A2343" s="103">
        <v>39892</v>
      </c>
      <c r="B2343" s="86" t="str">
        <f>TiposLancamentos!B51</f>
        <v>Marlboro</v>
      </c>
      <c r="C2343" s="3" t="str">
        <f>TiposLancamentos!B51</f>
        <v>Marlboro</v>
      </c>
      <c r="D2343" s="78"/>
      <c r="E2343" s="1480">
        <v>3</v>
      </c>
    </row>
    <row r="2344" spans="1:5">
      <c r="A2344" s="103">
        <v>39892</v>
      </c>
      <c r="B2344" s="86" t="str">
        <f>TiposLancamentos!B18</f>
        <v>Alimentacao</v>
      </c>
      <c r="C2344" s="3" t="s">
        <v>3764</v>
      </c>
      <c r="D2344" s="78"/>
      <c r="E2344" s="1480">
        <v>2</v>
      </c>
    </row>
    <row r="2345" spans="1:5">
      <c r="A2345" s="103">
        <v>39892</v>
      </c>
      <c r="B2345" s="86" t="str">
        <f>TiposLancamentos!B16</f>
        <v>Cristiane</v>
      </c>
      <c r="C2345" s="3" t="s">
        <v>3549</v>
      </c>
      <c r="D2345" s="78">
        <v>5</v>
      </c>
      <c r="E2345" s="1480"/>
    </row>
    <row r="2346" spans="1:5">
      <c r="A2346" s="103">
        <v>39892</v>
      </c>
      <c r="B2346" s="86" t="str">
        <f>TiposLancamentos!B24</f>
        <v>Estacionamentos</v>
      </c>
      <c r="C2346" s="3" t="s">
        <v>3490</v>
      </c>
      <c r="D2346" s="78"/>
      <c r="E2346" s="1480">
        <v>4</v>
      </c>
    </row>
    <row r="2347" spans="1:5">
      <c r="A2347" s="103">
        <v>39893</v>
      </c>
      <c r="B2347" s="86" t="str">
        <f>TiposLancamentos!B20</f>
        <v>Saques</v>
      </c>
      <c r="C2347" s="3" t="s">
        <v>2850</v>
      </c>
      <c r="D2347" s="78">
        <v>20</v>
      </c>
      <c r="E2347" s="1480"/>
    </row>
    <row r="2348" spans="1:5">
      <c r="A2348" s="103">
        <v>39893</v>
      </c>
      <c r="B2348" s="86" t="str">
        <f>TiposLancamentos!B24</f>
        <v>Estacionamentos</v>
      </c>
      <c r="C2348" s="3" t="s">
        <v>2527</v>
      </c>
      <c r="D2348" s="78"/>
      <c r="E2348" s="1480">
        <v>13</v>
      </c>
    </row>
    <row r="2349" spans="1:5">
      <c r="A2349" s="103">
        <v>39895</v>
      </c>
      <c r="B2349" s="86" t="str">
        <f>TiposLancamentos!B16</f>
        <v>Cristiane</v>
      </c>
      <c r="C2349" s="3" t="s">
        <v>1698</v>
      </c>
      <c r="D2349" s="78"/>
      <c r="E2349" s="1480">
        <v>13</v>
      </c>
    </row>
    <row r="2350" spans="1:5">
      <c r="A2350" s="103">
        <v>39895</v>
      </c>
      <c r="B2350" s="86" t="str">
        <f>TiposLancamentos!B20</f>
        <v>Saques</v>
      </c>
      <c r="C2350" s="3" t="s">
        <v>3403</v>
      </c>
      <c r="D2350" s="78">
        <v>20</v>
      </c>
      <c r="E2350" s="1480"/>
    </row>
    <row r="2351" spans="1:5">
      <c r="A2351" s="103">
        <v>39896</v>
      </c>
      <c r="B2351" s="86" t="str">
        <f>TiposLancamentos!B72</f>
        <v>Presentes</v>
      </c>
      <c r="C2351" s="3" t="s">
        <v>3765</v>
      </c>
      <c r="D2351" s="78"/>
      <c r="E2351" s="1480">
        <v>10</v>
      </c>
    </row>
    <row r="2352" spans="1:5">
      <c r="A2352" s="103">
        <v>39897</v>
      </c>
      <c r="B2352" s="86" t="str">
        <f>TiposLancamentos!B20</f>
        <v>Saques</v>
      </c>
      <c r="C2352" s="3" t="s">
        <v>3766</v>
      </c>
      <c r="D2352" s="78">
        <v>60</v>
      </c>
      <c r="E2352" s="1480"/>
    </row>
    <row r="2353" spans="1:5">
      <c r="A2353" s="103">
        <v>39897</v>
      </c>
      <c r="B2353" s="86" t="str">
        <f>TiposLancamentos!B16</f>
        <v>Cristiane</v>
      </c>
      <c r="C2353" s="3" t="s">
        <v>3016</v>
      </c>
      <c r="D2353" s="78"/>
      <c r="E2353" s="1480">
        <v>60</v>
      </c>
    </row>
    <row r="2354" spans="1:5">
      <c r="A2354" s="103">
        <v>39897</v>
      </c>
      <c r="B2354" s="86" t="str">
        <f>TiposLancamentos!B18</f>
        <v>Alimentacao</v>
      </c>
      <c r="C2354" s="3" t="s">
        <v>3767</v>
      </c>
      <c r="D2354" s="78"/>
      <c r="E2354" s="1480">
        <v>5</v>
      </c>
    </row>
    <row r="2355" spans="1:5">
      <c r="A2355" s="103">
        <v>39897</v>
      </c>
      <c r="B2355" s="86" t="str">
        <f>TiposLancamentos!B24</f>
        <v>Estacionamentos</v>
      </c>
      <c r="C2355" s="3" t="s">
        <v>3398</v>
      </c>
      <c r="D2355" s="78"/>
      <c r="E2355" s="1480">
        <v>3</v>
      </c>
    </row>
    <row r="2356" spans="1:5">
      <c r="A2356" s="103">
        <v>39898</v>
      </c>
      <c r="B2356" s="86" t="str">
        <f>TiposLancamentos!B18</f>
        <v>Alimentacao</v>
      </c>
      <c r="C2356" s="3" t="s">
        <v>3668</v>
      </c>
      <c r="D2356" s="78"/>
      <c r="E2356" s="1480">
        <v>2</v>
      </c>
    </row>
    <row r="2357" spans="1:5">
      <c r="A2357" s="103">
        <v>39898</v>
      </c>
      <c r="B2357" s="86" t="str">
        <f>TiposLancamentos!B20</f>
        <v>Saques</v>
      </c>
      <c r="C2357" s="3" t="s">
        <v>3513</v>
      </c>
      <c r="D2357" s="78">
        <v>100</v>
      </c>
      <c r="E2357" s="1480"/>
    </row>
    <row r="2358" spans="1:5">
      <c r="A2358" s="103">
        <v>39898</v>
      </c>
      <c r="B2358" s="86" t="str">
        <f>TiposLancamentos!B16</f>
        <v>Cristiane</v>
      </c>
      <c r="C2358" s="3" t="s">
        <v>3101</v>
      </c>
      <c r="D2358" s="78"/>
      <c r="E2358" s="1480">
        <v>100</v>
      </c>
    </row>
    <row r="2359" spans="1:5">
      <c r="A2359" s="103">
        <v>39899</v>
      </c>
      <c r="B2359" s="86" t="str">
        <f>TiposLancamentos!B20</f>
        <v>Saques</v>
      </c>
      <c r="C2359" s="3" t="s">
        <v>3403</v>
      </c>
      <c r="D2359" s="78">
        <v>40</v>
      </c>
      <c r="E2359" s="1480"/>
    </row>
    <row r="2360" spans="1:5">
      <c r="A2360" s="103">
        <v>39899</v>
      </c>
      <c r="B2360" s="86" t="str">
        <f>TiposLancamentos!B19</f>
        <v>Restaurantes</v>
      </c>
      <c r="C2360" s="3" t="s">
        <v>3768</v>
      </c>
      <c r="D2360" s="78"/>
      <c r="E2360" s="1480">
        <v>20</v>
      </c>
    </row>
    <row r="2361" spans="1:5">
      <c r="A2361" s="103">
        <v>39900</v>
      </c>
      <c r="B2361" s="86" t="str">
        <f>TiposLancamentos!B19</f>
        <v>Restaurantes</v>
      </c>
      <c r="C2361" s="3" t="s">
        <v>3769</v>
      </c>
      <c r="D2361" s="78"/>
      <c r="E2361" s="1480">
        <v>7.7</v>
      </c>
    </row>
    <row r="2362" spans="1:5">
      <c r="A2362" s="103">
        <v>39901</v>
      </c>
      <c r="B2362" s="86" t="str">
        <f>TiposLancamentos!B69</f>
        <v>Consertos</v>
      </c>
      <c r="C2362" s="3" t="s">
        <v>3770</v>
      </c>
      <c r="D2362" s="78"/>
      <c r="E2362" s="1480">
        <v>10</v>
      </c>
    </row>
    <row r="2363" spans="1:5">
      <c r="A2363" s="103">
        <v>39901</v>
      </c>
      <c r="B2363" s="86" t="str">
        <f>TiposLancamentos!B18</f>
        <v>Alimentacao</v>
      </c>
      <c r="C2363" s="3" t="s">
        <v>3771</v>
      </c>
      <c r="D2363" s="78"/>
      <c r="E2363" s="1480">
        <v>2.2999999999999998</v>
      </c>
    </row>
    <row r="2364" spans="1:5">
      <c r="A2364" s="103">
        <v>39903</v>
      </c>
      <c r="B2364" s="86" t="str">
        <f>TiposLancamentos!B20</f>
        <v>Saques</v>
      </c>
      <c r="C2364" s="3" t="s">
        <v>3406</v>
      </c>
      <c r="D2364" s="78">
        <v>20</v>
      </c>
      <c r="E2364" s="1480"/>
    </row>
    <row r="2365" spans="1:5">
      <c r="A2365" s="103">
        <v>39903</v>
      </c>
      <c r="B2365" s="86" t="str">
        <f>TiposLancamentos!B51</f>
        <v>Marlboro</v>
      </c>
      <c r="C2365" s="3" t="s">
        <v>3646</v>
      </c>
      <c r="D2365" s="78"/>
      <c r="E2365" s="1480">
        <v>3.4</v>
      </c>
    </row>
    <row r="2366" spans="1:5">
      <c r="A2366" s="99"/>
      <c r="B2366" s="1590"/>
      <c r="C2366" s="100" t="s">
        <v>3772</v>
      </c>
      <c r="D2366" s="1591"/>
      <c r="E2366" s="1592"/>
    </row>
    <row r="2367" spans="1:5">
      <c r="A2367" s="103">
        <v>39904</v>
      </c>
      <c r="B2367" s="86" t="str">
        <f>TiposLancamentos!B72</f>
        <v>Presentes</v>
      </c>
      <c r="C2367" s="3" t="s">
        <v>3773</v>
      </c>
      <c r="D2367" s="78"/>
      <c r="E2367" s="1480">
        <v>10</v>
      </c>
    </row>
    <row r="2368" spans="1:5">
      <c r="A2368" s="103">
        <v>39905</v>
      </c>
      <c r="B2368" s="86" t="str">
        <f>TiposLancamentos!B18</f>
        <v>Alimentacao</v>
      </c>
      <c r="C2368" s="3" t="s">
        <v>3578</v>
      </c>
      <c r="D2368" s="78"/>
      <c r="E2368" s="1480">
        <v>5.4</v>
      </c>
    </row>
    <row r="2369" spans="1:5">
      <c r="A2369" s="103">
        <v>39907</v>
      </c>
      <c r="B2369" s="86" t="str">
        <f>TiposLancamentos!B18</f>
        <v>Alimentacao</v>
      </c>
      <c r="C2369" s="3" t="s">
        <v>3774</v>
      </c>
      <c r="D2369" s="78"/>
      <c r="E2369" s="1480">
        <v>1.2</v>
      </c>
    </row>
    <row r="2370" spans="1:5">
      <c r="A2370" s="103">
        <v>39908</v>
      </c>
      <c r="B2370" s="86" t="str">
        <f>TiposLancamentos!B20</f>
        <v>Saques</v>
      </c>
      <c r="C2370" s="3" t="s">
        <v>3406</v>
      </c>
      <c r="D2370" s="78">
        <v>20</v>
      </c>
      <c r="E2370" s="1480"/>
    </row>
    <row r="2371" spans="1:5">
      <c r="A2371" s="103">
        <v>39908</v>
      </c>
      <c r="B2371" s="86" t="str">
        <f>TiposLancamentos!B18</f>
        <v>Alimentacao</v>
      </c>
      <c r="C2371" s="3" t="s">
        <v>3775</v>
      </c>
      <c r="D2371" s="78"/>
      <c r="E2371" s="1480">
        <v>2</v>
      </c>
    </row>
    <row r="2372" spans="1:5">
      <c r="A2372" s="103">
        <v>39909</v>
      </c>
      <c r="B2372" s="86" t="str">
        <f>TiposLancamentos!B29</f>
        <v>Mangá</v>
      </c>
      <c r="C2372" s="3" t="s">
        <v>3776</v>
      </c>
      <c r="D2372" s="78"/>
      <c r="E2372" s="1480">
        <v>10</v>
      </c>
    </row>
    <row r="2373" spans="1:5">
      <c r="A2373" s="103">
        <v>39910</v>
      </c>
      <c r="B2373" s="86" t="str">
        <f>TiposLancamentos!B24</f>
        <v>Estacionamentos</v>
      </c>
      <c r="C2373" s="3"/>
      <c r="D2373" s="78"/>
      <c r="E2373" s="1480">
        <v>4</v>
      </c>
    </row>
    <row r="2374" spans="1:5">
      <c r="A2374" s="103">
        <v>39910</v>
      </c>
      <c r="B2374" s="86" t="str">
        <f>TiposLancamentos!B18</f>
        <v>Alimentacao</v>
      </c>
      <c r="C2374" s="3" t="s">
        <v>3777</v>
      </c>
      <c r="D2374" s="78"/>
      <c r="E2374" s="1480">
        <v>4</v>
      </c>
    </row>
    <row r="2375" spans="1:5">
      <c r="A2375" s="103">
        <v>39919</v>
      </c>
      <c r="B2375" s="86" t="str">
        <f>TiposLancamentos!B20</f>
        <v>Saques</v>
      </c>
      <c r="C2375" s="3" t="s">
        <v>2850</v>
      </c>
      <c r="D2375" s="78">
        <v>10</v>
      </c>
      <c r="E2375" s="1480"/>
    </row>
    <row r="2376" spans="1:5">
      <c r="A2376" s="103">
        <v>39919</v>
      </c>
      <c r="B2376" s="86" t="str">
        <f>TiposLancamentos!B24</f>
        <v>Estacionamentos</v>
      </c>
      <c r="C2376" s="3" t="s">
        <v>3684</v>
      </c>
      <c r="D2376" s="78"/>
      <c r="E2376" s="1480">
        <v>3.5</v>
      </c>
    </row>
    <row r="2377" spans="1:5">
      <c r="A2377" s="103">
        <v>39921</v>
      </c>
      <c r="B2377" s="86" t="str">
        <f>TiposLancamentos!B24</f>
        <v>Estacionamentos</v>
      </c>
      <c r="C2377" s="3" t="s">
        <v>1714</v>
      </c>
      <c r="D2377" s="78"/>
      <c r="E2377" s="1480">
        <v>6.5</v>
      </c>
    </row>
    <row r="2378" spans="1:5">
      <c r="A2378" s="103">
        <v>39923</v>
      </c>
      <c r="B2378" s="86" t="str">
        <f>TiposLancamentos!B20</f>
        <v>Saques</v>
      </c>
      <c r="C2378" s="3" t="s">
        <v>3778</v>
      </c>
      <c r="D2378" s="78">
        <v>10</v>
      </c>
      <c r="E2378" s="1480"/>
    </row>
    <row r="2379" spans="1:5">
      <c r="A2379" s="103">
        <v>39923</v>
      </c>
      <c r="B2379" s="86" t="str">
        <f>TiposLancamentos!B24</f>
        <v>Estacionamentos</v>
      </c>
      <c r="C2379" s="3" t="s">
        <v>3779</v>
      </c>
      <c r="D2379" s="78"/>
      <c r="E2379" s="1480">
        <v>4</v>
      </c>
    </row>
    <row r="2380" spans="1:5">
      <c r="A2380" s="103">
        <v>39926</v>
      </c>
      <c r="B2380" s="86" t="str">
        <f>TiposLancamentos!B16</f>
        <v>Cristiane</v>
      </c>
      <c r="C2380" s="3" t="s">
        <v>3016</v>
      </c>
      <c r="D2380" s="78"/>
      <c r="E2380" s="1480">
        <v>6</v>
      </c>
    </row>
    <row r="2381" spans="1:5">
      <c r="A2381" s="103">
        <v>39929</v>
      </c>
      <c r="B2381" s="86" t="str">
        <f>TiposLancamentos!B20</f>
        <v>Saques</v>
      </c>
      <c r="C2381" s="3" t="s">
        <v>3780</v>
      </c>
      <c r="D2381" s="78">
        <v>20</v>
      </c>
      <c r="E2381" s="1480"/>
    </row>
    <row r="2382" spans="1:5">
      <c r="A2382" s="103">
        <v>39929</v>
      </c>
      <c r="B2382" s="86" t="str">
        <f>TiposLancamentos!B51</f>
        <v>Marlboro</v>
      </c>
      <c r="C2382" s="3" t="s">
        <v>3781</v>
      </c>
      <c r="D2382" s="78"/>
      <c r="E2382" s="1480">
        <v>3.5</v>
      </c>
    </row>
    <row r="2383" spans="1:5">
      <c r="A2383" s="103">
        <v>39931</v>
      </c>
      <c r="B2383" s="86" t="str">
        <f>TiposLancamentos!B18</f>
        <v>Alimentacao</v>
      </c>
      <c r="C2383" s="3" t="s">
        <v>3775</v>
      </c>
      <c r="D2383" s="78"/>
      <c r="E2383" s="1480">
        <v>6.5</v>
      </c>
    </row>
    <row r="2384" spans="1:5">
      <c r="A2384" s="103">
        <v>39932</v>
      </c>
      <c r="B2384" s="86" t="str">
        <f>TiposLancamentos!B18</f>
        <v>Alimentacao</v>
      </c>
      <c r="C2384" s="3" t="s">
        <v>3775</v>
      </c>
      <c r="D2384" s="78"/>
      <c r="E2384" s="1480">
        <v>5</v>
      </c>
    </row>
    <row r="2385" spans="1:5">
      <c r="A2385" s="103">
        <v>39933</v>
      </c>
      <c r="B2385" s="86" t="str">
        <f>TiposLancamentos!B18</f>
        <v>Alimentacao</v>
      </c>
      <c r="C2385" s="3" t="s">
        <v>3775</v>
      </c>
      <c r="D2385" s="78"/>
      <c r="E2385" s="1480">
        <v>5</v>
      </c>
    </row>
    <row r="2386" spans="1:5">
      <c r="A2386" s="99"/>
      <c r="B2386" s="1590"/>
      <c r="C2386" s="100" t="s">
        <v>3782</v>
      </c>
      <c r="D2386" s="1591"/>
      <c r="E2386" s="1592"/>
    </row>
    <row r="2387" spans="1:5">
      <c r="A2387" s="103">
        <v>39935</v>
      </c>
      <c r="B2387" s="86" t="str">
        <f>TiposLancamentos!B20</f>
        <v>Saques</v>
      </c>
      <c r="C2387" s="3" t="s">
        <v>3489</v>
      </c>
      <c r="D2387" s="78">
        <v>50</v>
      </c>
      <c r="E2387" s="1480"/>
    </row>
    <row r="2388" spans="1:5">
      <c r="A2388" s="103">
        <v>39935</v>
      </c>
      <c r="B2388" s="86" t="str">
        <f>TiposLancamentos!B24</f>
        <v>Estacionamentos</v>
      </c>
      <c r="C2388" s="3" t="s">
        <v>3783</v>
      </c>
      <c r="D2388" s="78"/>
      <c r="E2388" s="1480">
        <v>4</v>
      </c>
    </row>
    <row r="2389" spans="1:5">
      <c r="A2389" s="103">
        <v>39935</v>
      </c>
      <c r="B2389" s="86" t="str">
        <f>TiposLancamentos!B24</f>
        <v>Estacionamentos</v>
      </c>
      <c r="C2389" s="3" t="s">
        <v>3784</v>
      </c>
      <c r="D2389" s="78"/>
      <c r="E2389" s="1480">
        <v>10</v>
      </c>
    </row>
    <row r="2390" spans="1:5">
      <c r="A2390" s="103">
        <v>39936</v>
      </c>
      <c r="B2390" s="86" t="str">
        <f>TiposLancamentos!B13</f>
        <v>Moradia</v>
      </c>
      <c r="C2390" s="3" t="s">
        <v>3785</v>
      </c>
      <c r="D2390" s="78"/>
      <c r="E2390" s="1480">
        <v>8</v>
      </c>
    </row>
    <row r="2391" spans="1:5">
      <c r="A2391" s="103">
        <v>39936</v>
      </c>
      <c r="B2391" s="86" t="str">
        <f>TiposLancamentos!B18</f>
        <v>Alimentacao</v>
      </c>
      <c r="C2391" s="3" t="s">
        <v>3368</v>
      </c>
      <c r="D2391" s="78"/>
      <c r="E2391" s="1480">
        <v>4</v>
      </c>
    </row>
    <row r="2392" spans="1:5">
      <c r="A2392" s="103">
        <v>39936</v>
      </c>
      <c r="B2392" s="86" t="str">
        <f>TiposLancamentos!B24</f>
        <v>Estacionamentos</v>
      </c>
      <c r="C2392" s="3" t="s">
        <v>3786</v>
      </c>
      <c r="D2392" s="78"/>
      <c r="E2392" s="1480">
        <v>10</v>
      </c>
    </row>
    <row r="2393" spans="1:5">
      <c r="A2393" s="103">
        <v>39941</v>
      </c>
      <c r="B2393" s="86" t="str">
        <f>TiposLancamentos!B16</f>
        <v>Cristiane</v>
      </c>
      <c r="C2393" s="3" t="s">
        <v>3016</v>
      </c>
      <c r="D2393" s="78"/>
      <c r="E2393" s="1480">
        <v>4</v>
      </c>
    </row>
    <row r="2394" spans="1:5">
      <c r="A2394" s="103">
        <v>39941</v>
      </c>
      <c r="B2394" s="86" t="str">
        <f>TiposLancamentos!B51</f>
        <v>Marlboro</v>
      </c>
      <c r="C2394" s="3" t="s">
        <v>3646</v>
      </c>
      <c r="D2394" s="78"/>
      <c r="E2394" s="1480">
        <v>4.4000000000000004</v>
      </c>
    </row>
    <row r="2395" spans="1:5">
      <c r="A2395" s="103">
        <v>39941</v>
      </c>
      <c r="B2395" s="86" t="str">
        <f>TiposLancamentos!B18</f>
        <v>Alimentacao</v>
      </c>
      <c r="C2395" s="3" t="s">
        <v>3787</v>
      </c>
      <c r="D2395" s="78"/>
      <c r="E2395" s="1480">
        <v>0.5</v>
      </c>
    </row>
    <row r="2396" spans="1:5">
      <c r="A2396" s="103">
        <v>39942</v>
      </c>
      <c r="B2396" s="86" t="str">
        <f>TiposLancamentos!B24</f>
        <v>Estacionamentos</v>
      </c>
      <c r="C2396" s="3" t="s">
        <v>3788</v>
      </c>
      <c r="D2396" s="78"/>
      <c r="E2396" s="1480">
        <v>5</v>
      </c>
    </row>
    <row r="2397" spans="1:5">
      <c r="A2397" s="103">
        <v>39944</v>
      </c>
      <c r="B2397" s="86" t="str">
        <f>TiposLancamentos!B20</f>
        <v>Saques</v>
      </c>
      <c r="C2397" s="3" t="s">
        <v>3513</v>
      </c>
      <c r="D2397" s="78">
        <v>40</v>
      </c>
      <c r="E2397" s="1480"/>
    </row>
    <row r="2398" spans="1:5">
      <c r="A2398" s="103">
        <v>39944</v>
      </c>
      <c r="B2398" s="86" t="str">
        <f>TiposLancamentos!B58</f>
        <v>Fotografias</v>
      </c>
      <c r="C2398" s="3" t="s">
        <v>3789</v>
      </c>
      <c r="D2398" s="78"/>
      <c r="E2398" s="1480">
        <v>3.99</v>
      </c>
    </row>
    <row r="2399" spans="1:5">
      <c r="A2399" s="103">
        <v>39944</v>
      </c>
      <c r="B2399" s="86" t="str">
        <f>TiposLancamentos!B60</f>
        <v>Correio</v>
      </c>
      <c r="C2399" s="3" t="s">
        <v>3790</v>
      </c>
      <c r="D2399" s="78"/>
      <c r="E2399" s="1480">
        <v>10.6</v>
      </c>
    </row>
    <row r="2400" spans="1:5">
      <c r="A2400" s="103">
        <v>39944</v>
      </c>
      <c r="B2400" s="86" t="str">
        <f>TiposLancamentos!B18</f>
        <v>Alimentacao</v>
      </c>
      <c r="C2400" s="3" t="s">
        <v>3622</v>
      </c>
      <c r="D2400" s="78"/>
      <c r="E2400" s="1480">
        <v>5.51</v>
      </c>
    </row>
    <row r="2401" spans="1:5">
      <c r="A2401" s="103">
        <v>39945</v>
      </c>
      <c r="B2401" s="86" t="str">
        <f>TiposLancamentos!B16</f>
        <v>Cristiane</v>
      </c>
      <c r="C2401" s="3" t="s">
        <v>3101</v>
      </c>
      <c r="D2401" s="78"/>
      <c r="E2401" s="1480">
        <v>20</v>
      </c>
    </row>
    <row r="2402" spans="1:5">
      <c r="A2402" s="103">
        <v>39946</v>
      </c>
      <c r="B2402" s="86" t="str">
        <f>TiposLancamentos!B20</f>
        <v>Saques</v>
      </c>
      <c r="C2402" s="3" t="s">
        <v>3403</v>
      </c>
      <c r="D2402" s="78">
        <v>50</v>
      </c>
      <c r="E2402" s="1480"/>
    </row>
    <row r="2403" spans="1:5">
      <c r="A2403" s="103">
        <v>39946</v>
      </c>
      <c r="B2403" s="86" t="str">
        <f>TiposLancamentos!B51</f>
        <v>Marlboro</v>
      </c>
      <c r="C2403" s="3" t="s">
        <v>3646</v>
      </c>
      <c r="D2403" s="78"/>
      <c r="E2403" s="1480">
        <v>4.25</v>
      </c>
    </row>
    <row r="2404" spans="1:5">
      <c r="A2404" s="103">
        <v>39946</v>
      </c>
      <c r="B2404" s="86" t="str">
        <f>TiposLancamentos!B85</f>
        <v>Peugeout 206</v>
      </c>
      <c r="C2404" s="3" t="s">
        <v>3348</v>
      </c>
      <c r="D2404" s="78"/>
      <c r="E2404" s="1480">
        <v>15</v>
      </c>
    </row>
    <row r="2405" spans="1:5">
      <c r="A2405" s="103">
        <v>39949</v>
      </c>
      <c r="B2405" s="86" t="str">
        <f>TiposLancamentos!B18</f>
        <v>Alimentacao</v>
      </c>
      <c r="C2405" s="3" t="s">
        <v>3791</v>
      </c>
      <c r="D2405" s="78"/>
      <c r="E2405" s="1480">
        <v>2.5499999999999998</v>
      </c>
    </row>
    <row r="2406" spans="1:5">
      <c r="A2406" s="103">
        <v>39949</v>
      </c>
      <c r="B2406" s="86" t="str">
        <f>TiposLancamentos!B20</f>
        <v>Saques</v>
      </c>
      <c r="C2406" s="3" t="s">
        <v>3792</v>
      </c>
      <c r="D2406" s="78">
        <v>180</v>
      </c>
      <c r="E2406" s="1480"/>
    </row>
    <row r="2407" spans="1:5">
      <c r="A2407" s="103">
        <v>39949</v>
      </c>
      <c r="B2407" s="86" t="str">
        <f>TiposLancamentos!B22</f>
        <v>Combustivel</v>
      </c>
      <c r="C2407" s="3" t="s">
        <v>3793</v>
      </c>
      <c r="D2407" s="78"/>
      <c r="E2407" s="1480">
        <v>20</v>
      </c>
    </row>
    <row r="2408" spans="1:5">
      <c r="A2408" s="103">
        <v>39949</v>
      </c>
      <c r="B2408" s="86" t="str">
        <f>TiposLancamentos!B51</f>
        <v>Marlboro</v>
      </c>
      <c r="C2408" s="3" t="s">
        <v>3646</v>
      </c>
      <c r="D2408" s="78"/>
      <c r="E2408" s="1480">
        <v>4.25</v>
      </c>
    </row>
    <row r="2409" spans="1:5">
      <c r="A2409" s="103">
        <v>39949</v>
      </c>
      <c r="B2409" s="86" t="str">
        <f>TiposLancamentos!B18</f>
        <v>Alimentacao</v>
      </c>
      <c r="C2409" s="3" t="s">
        <v>3794</v>
      </c>
      <c r="D2409" s="78"/>
      <c r="E2409" s="1480">
        <v>2.4</v>
      </c>
    </row>
    <row r="2410" spans="1:5">
      <c r="A2410" s="103">
        <v>39949</v>
      </c>
      <c r="B2410" s="86" t="str">
        <f>TiposLancamentos!B24</f>
        <v>Estacionamentos</v>
      </c>
      <c r="C2410" s="3" t="s">
        <v>3795</v>
      </c>
      <c r="D2410" s="78"/>
      <c r="E2410" s="1480">
        <v>25</v>
      </c>
    </row>
    <row r="2411" spans="1:5">
      <c r="A2411" s="103">
        <v>39949</v>
      </c>
      <c r="B2411" s="86" t="str">
        <f>TiposLancamentos!B18</f>
        <v>Alimentacao</v>
      </c>
      <c r="C2411" s="3" t="s">
        <v>3796</v>
      </c>
      <c r="D2411" s="78"/>
      <c r="E2411" s="1480">
        <v>16</v>
      </c>
    </row>
    <row r="2412" spans="1:5">
      <c r="A2412" s="103">
        <v>39950</v>
      </c>
      <c r="B2412" s="86" t="str">
        <f>TiposLancamentos!B19</f>
        <v>Restaurantes</v>
      </c>
      <c r="C2412" s="3" t="s">
        <v>3797</v>
      </c>
      <c r="D2412" s="78"/>
      <c r="E2412" s="1480">
        <v>36</v>
      </c>
    </row>
    <row r="2413" spans="1:5">
      <c r="A2413" s="103">
        <v>39950</v>
      </c>
      <c r="B2413" s="86" t="str">
        <f>TiposLancamentos!B24</f>
        <v>Estacionamentos</v>
      </c>
      <c r="C2413" s="3" t="s">
        <v>3798</v>
      </c>
      <c r="D2413" s="78"/>
      <c r="E2413" s="1480">
        <v>4</v>
      </c>
    </row>
    <row r="2414" spans="1:5">
      <c r="A2414" s="103">
        <v>39950</v>
      </c>
      <c r="B2414" s="86" t="str">
        <f>TiposLancamentos!B56</f>
        <v>Farmácia</v>
      </c>
      <c r="C2414" s="3" t="s">
        <v>3799</v>
      </c>
      <c r="D2414" s="78"/>
      <c r="E2414" s="1480">
        <v>10.59</v>
      </c>
    </row>
    <row r="2415" spans="1:5">
      <c r="A2415" s="103">
        <v>39951</v>
      </c>
      <c r="B2415" s="86" t="str">
        <f>TiposLancamentos!B19</f>
        <v>Restaurantes</v>
      </c>
      <c r="C2415" s="3" t="s">
        <v>3287</v>
      </c>
      <c r="D2415" s="78"/>
      <c r="E2415" s="1480">
        <v>19.2</v>
      </c>
    </row>
    <row r="2416" spans="1:5">
      <c r="A2416" s="103">
        <v>39951</v>
      </c>
      <c r="B2416" s="86" t="str">
        <f>TiposLancamentos!B19</f>
        <v>Restaurantes</v>
      </c>
      <c r="C2416" s="3" t="s">
        <v>3622</v>
      </c>
      <c r="D2416" s="78"/>
      <c r="E2416" s="1480">
        <v>4.2</v>
      </c>
    </row>
    <row r="2417" spans="1:5">
      <c r="A2417" s="103">
        <v>39951</v>
      </c>
      <c r="B2417" s="86" t="str">
        <f>TiposLancamentos!B24</f>
        <v>Estacionamentos</v>
      </c>
      <c r="C2417" s="3" t="s">
        <v>3241</v>
      </c>
      <c r="D2417" s="78"/>
      <c r="E2417" s="1480">
        <v>2</v>
      </c>
    </row>
    <row r="2418" spans="1:5">
      <c r="A2418" s="103">
        <v>39952</v>
      </c>
      <c r="B2418" s="86" t="str">
        <f>TiposLancamentos!B19</f>
        <v>Restaurantes</v>
      </c>
      <c r="C2418" s="3" t="s">
        <v>3800</v>
      </c>
      <c r="D2418" s="78"/>
      <c r="E2418" s="1480">
        <v>8.6</v>
      </c>
    </row>
    <row r="2419" spans="1:5">
      <c r="A2419" s="103">
        <v>39952</v>
      </c>
      <c r="B2419" s="86" t="str">
        <f>TiposLancamentos!B50</f>
        <v>Guitarra</v>
      </c>
      <c r="C2419" s="3" t="s">
        <v>3801</v>
      </c>
      <c r="D2419" s="78"/>
      <c r="E2419" s="1480">
        <v>20</v>
      </c>
    </row>
    <row r="2420" spans="1:5">
      <c r="A2420" s="103">
        <v>39953</v>
      </c>
      <c r="B2420" s="86" t="str">
        <f>TiposLancamentos!B5</f>
        <v>Supermercado</v>
      </c>
      <c r="C2420" s="3" t="s">
        <v>3802</v>
      </c>
      <c r="D2420" s="78"/>
      <c r="E2420" s="1480">
        <v>5.4</v>
      </c>
    </row>
    <row r="2421" spans="1:5">
      <c r="A2421" s="103">
        <v>39953</v>
      </c>
      <c r="B2421" s="86" t="str">
        <f>TiposLancamentos!B72</f>
        <v>Presentes</v>
      </c>
      <c r="C2421" s="3" t="s">
        <v>3803</v>
      </c>
      <c r="D2421" s="78"/>
      <c r="E2421" s="1480">
        <v>10</v>
      </c>
    </row>
    <row r="2422" spans="1:5">
      <c r="A2422" s="103">
        <v>39956</v>
      </c>
      <c r="B2422" s="86" t="str">
        <f>TiposLancamentos!B20</f>
        <v>Saques</v>
      </c>
      <c r="C2422" s="3" t="s">
        <v>3403</v>
      </c>
      <c r="D2422" s="78">
        <v>40</v>
      </c>
      <c r="E2422" s="1480"/>
    </row>
    <row r="2423" spans="1:5">
      <c r="A2423" s="103">
        <v>39956</v>
      </c>
      <c r="B2423" s="86" t="str">
        <f>TiposLancamentos!B13</f>
        <v>Moradia</v>
      </c>
      <c r="C2423" s="3" t="s">
        <v>3804</v>
      </c>
      <c r="D2423" s="78"/>
      <c r="E2423" s="1480">
        <v>40</v>
      </c>
    </row>
    <row r="2424" spans="1:5">
      <c r="A2424" s="103">
        <v>39956</v>
      </c>
      <c r="B2424" s="86" t="str">
        <f>TiposLancamentos!B18</f>
        <v>Alimentacao</v>
      </c>
      <c r="C2424" s="3" t="s">
        <v>3227</v>
      </c>
      <c r="D2424" s="78"/>
      <c r="E2424" s="1480">
        <v>4</v>
      </c>
    </row>
    <row r="2425" spans="1:5">
      <c r="A2425" s="103">
        <v>39956</v>
      </c>
      <c r="B2425" s="86" t="str">
        <f>TiposLancamentos!B24</f>
        <v>Estacionamentos</v>
      </c>
      <c r="C2425" s="3" t="s">
        <v>3398</v>
      </c>
      <c r="D2425" s="78"/>
      <c r="E2425" s="1480">
        <v>5</v>
      </c>
    </row>
    <row r="2426" spans="1:5">
      <c r="A2426" s="103">
        <v>39956</v>
      </c>
      <c r="B2426" s="86" t="str">
        <f>TiposLancamentos!B18</f>
        <v>Alimentacao</v>
      </c>
      <c r="C2426" s="3" t="s">
        <v>3805</v>
      </c>
      <c r="D2426" s="78"/>
      <c r="E2426" s="1480">
        <v>7</v>
      </c>
    </row>
    <row r="2427" spans="1:5">
      <c r="A2427" s="103">
        <v>39957</v>
      </c>
      <c r="B2427" s="86" t="str">
        <f>TiposLancamentos!B51</f>
        <v>Marlboro</v>
      </c>
      <c r="C2427" s="3" t="s">
        <v>3646</v>
      </c>
      <c r="D2427" s="78"/>
      <c r="E2427" s="1480">
        <v>4.25</v>
      </c>
    </row>
    <row r="2428" spans="1:5">
      <c r="A2428" s="103">
        <v>39960</v>
      </c>
      <c r="B2428" s="86" t="str">
        <f>TiposLancamentos!B20</f>
        <v>Saques</v>
      </c>
      <c r="C2428" s="3" t="s">
        <v>3806</v>
      </c>
      <c r="D2428" s="78">
        <v>20</v>
      </c>
      <c r="E2428" s="1480"/>
    </row>
    <row r="2429" spans="1:5">
      <c r="A2429" s="103">
        <v>39960</v>
      </c>
      <c r="B2429" s="86" t="str">
        <f>TiposLancamentos!B51</f>
        <v>Marlboro</v>
      </c>
      <c r="C2429" s="3" t="s">
        <v>3646</v>
      </c>
      <c r="D2429" s="78"/>
      <c r="E2429" s="1480">
        <v>4.25</v>
      </c>
    </row>
    <row r="2430" spans="1:5">
      <c r="A2430" s="103">
        <v>39960</v>
      </c>
      <c r="B2430" s="86" t="str">
        <f>TiposLancamentos!B18</f>
        <v>Alimentacao</v>
      </c>
      <c r="C2430" s="3" t="s">
        <v>2703</v>
      </c>
      <c r="D2430" s="78"/>
      <c r="E2430" s="1480">
        <v>4.6900000000000004</v>
      </c>
    </row>
    <row r="2431" spans="1:5">
      <c r="A2431" s="103">
        <v>39963</v>
      </c>
      <c r="B2431" s="86" t="str">
        <f>TiposLancamentos!B18</f>
        <v>Alimentacao</v>
      </c>
      <c r="C2431" s="3" t="s">
        <v>3691</v>
      </c>
      <c r="D2431" s="78"/>
      <c r="E2431" s="1480">
        <v>6.6</v>
      </c>
    </row>
    <row r="2432" spans="1:5">
      <c r="A2432" s="103">
        <v>39963</v>
      </c>
      <c r="B2432" s="86" t="str">
        <f>TiposLancamentos!B20</f>
        <v>Saques</v>
      </c>
      <c r="C2432" s="3" t="s">
        <v>2850</v>
      </c>
      <c r="D2432" s="78">
        <v>40</v>
      </c>
      <c r="E2432" s="1480"/>
    </row>
    <row r="2433" spans="1:5">
      <c r="A2433" s="103">
        <v>39963</v>
      </c>
      <c r="B2433" s="86" t="str">
        <f>TiposLancamentos!B85</f>
        <v>Peugeout 206</v>
      </c>
      <c r="C2433" s="3" t="s">
        <v>3348</v>
      </c>
      <c r="D2433" s="78"/>
      <c r="E2433" s="1480">
        <v>30</v>
      </c>
    </row>
    <row r="2434" spans="1:5">
      <c r="A2434" s="103">
        <v>39933</v>
      </c>
      <c r="B2434" s="86" t="str">
        <f>TiposLancamentos!B24</f>
        <v>Estacionamentos</v>
      </c>
      <c r="C2434" s="3" t="s">
        <v>3807</v>
      </c>
      <c r="D2434" s="78"/>
      <c r="E2434" s="1480">
        <v>10</v>
      </c>
    </row>
    <row r="2435" spans="1:5">
      <c r="A2435" s="99"/>
      <c r="B2435" s="1590"/>
      <c r="C2435" s="100" t="s">
        <v>3808</v>
      </c>
      <c r="D2435" s="1591"/>
      <c r="E2435" s="1592"/>
    </row>
    <row r="2436" spans="1:5">
      <c r="A2436" s="103">
        <v>39965</v>
      </c>
      <c r="B2436" s="86" t="str">
        <f>TiposLancamentos!B16</f>
        <v>Cristiane</v>
      </c>
      <c r="C2436" s="3" t="s">
        <v>3101</v>
      </c>
      <c r="D2436" s="78"/>
      <c r="E2436" s="1480">
        <v>4.7699999999999996</v>
      </c>
    </row>
    <row r="2437" spans="1:5">
      <c r="A2437" s="103">
        <v>39965</v>
      </c>
      <c r="B2437" s="86" t="str">
        <f>TiposLancamentos!B20</f>
        <v>Saques</v>
      </c>
      <c r="C2437" s="3" t="s">
        <v>3809</v>
      </c>
      <c r="D2437" s="78">
        <v>50</v>
      </c>
      <c r="E2437" s="1480"/>
    </row>
    <row r="2438" spans="1:5">
      <c r="A2438" s="103">
        <v>39965</v>
      </c>
      <c r="B2438" s="86" t="str">
        <f>TiposLancamentos!B51</f>
        <v>Marlboro</v>
      </c>
      <c r="C2438" s="3" t="s">
        <v>3646</v>
      </c>
      <c r="D2438" s="78"/>
      <c r="E2438" s="1480">
        <v>4.25</v>
      </c>
    </row>
    <row r="2439" spans="1:5">
      <c r="A2439" s="103">
        <v>39966</v>
      </c>
      <c r="B2439" s="86" t="str">
        <f>TiposLancamentos!B24</f>
        <v>Estacionamentos</v>
      </c>
      <c r="C2439" s="3" t="s">
        <v>3810</v>
      </c>
      <c r="D2439" s="78"/>
      <c r="E2439" s="1480">
        <v>4</v>
      </c>
    </row>
    <row r="2440" spans="1:5">
      <c r="A2440" s="103">
        <v>39968</v>
      </c>
      <c r="B2440" s="86" t="str">
        <f>TiposLancamentos!B51</f>
        <v>Marlboro</v>
      </c>
      <c r="C2440" s="3" t="s">
        <v>3811</v>
      </c>
      <c r="D2440" s="78"/>
      <c r="E2440" s="1480">
        <v>4.25</v>
      </c>
    </row>
    <row r="2441" spans="1:5">
      <c r="A2441" s="103">
        <v>39969</v>
      </c>
      <c r="B2441" s="86" t="str">
        <f>TiposLancamentos!B24</f>
        <v>Estacionamentos</v>
      </c>
      <c r="C2441" s="3" t="s">
        <v>3812</v>
      </c>
      <c r="D2441" s="78"/>
      <c r="E2441" s="1480">
        <v>1</v>
      </c>
    </row>
    <row r="2442" spans="1:5">
      <c r="A2442" s="103">
        <v>39970</v>
      </c>
      <c r="B2442" s="86" t="str">
        <f>TiposLancamentos!B24</f>
        <v>Estacionamentos</v>
      </c>
      <c r="C2442" s="3" t="s">
        <v>3813</v>
      </c>
      <c r="D2442" s="78"/>
      <c r="E2442" s="1480">
        <v>13</v>
      </c>
    </row>
    <row r="2443" spans="1:5">
      <c r="A2443" s="103">
        <v>39973</v>
      </c>
      <c r="B2443" s="86" t="str">
        <f>TiposLancamentos!B16</f>
        <v>Cristiane</v>
      </c>
      <c r="C2443" s="3" t="s">
        <v>3147</v>
      </c>
      <c r="D2443" s="78"/>
      <c r="E2443" s="1480">
        <v>23.5</v>
      </c>
    </row>
    <row r="2444" spans="1:5">
      <c r="A2444" s="103">
        <v>39974</v>
      </c>
      <c r="B2444" s="86" t="str">
        <f>TiposLancamentos!B20</f>
        <v>Saques</v>
      </c>
      <c r="C2444" s="3" t="s">
        <v>3814</v>
      </c>
      <c r="D2444" s="78">
        <v>10</v>
      </c>
      <c r="E2444" s="1480"/>
    </row>
    <row r="2445" spans="1:5">
      <c r="A2445" s="103">
        <v>39974</v>
      </c>
      <c r="B2445" s="86" t="str">
        <f>TiposLancamentos!B51</f>
        <v>Marlboro</v>
      </c>
      <c r="C2445" s="3" t="s">
        <v>3815</v>
      </c>
      <c r="D2445" s="78"/>
      <c r="E2445" s="1480">
        <v>4.25</v>
      </c>
    </row>
    <row r="2446" spans="1:5">
      <c r="A2446" s="103">
        <v>39976</v>
      </c>
      <c r="B2446" s="86" t="str">
        <f>TiposLancamentos!B16</f>
        <v>Cristiane</v>
      </c>
      <c r="C2446" s="3" t="s">
        <v>3016</v>
      </c>
      <c r="D2446" s="78"/>
      <c r="E2446" s="1480">
        <v>5</v>
      </c>
    </row>
    <row r="2447" spans="1:5">
      <c r="A2447" s="103">
        <v>39977</v>
      </c>
      <c r="B2447" s="86" t="str">
        <f>TiposLancamentos!B20</f>
        <v>Saques</v>
      </c>
      <c r="C2447" s="3" t="s">
        <v>3816</v>
      </c>
      <c r="D2447" s="78">
        <v>40</v>
      </c>
      <c r="E2447" s="1480"/>
    </row>
    <row r="2448" spans="1:5">
      <c r="A2448" s="103">
        <v>39977</v>
      </c>
      <c r="B2448" s="86" t="str">
        <f>TiposLancamentos!B74</f>
        <v>Noite</v>
      </c>
      <c r="C2448" s="3" t="s">
        <v>3817</v>
      </c>
      <c r="D2448" s="78"/>
      <c r="E2448" s="1480">
        <v>20</v>
      </c>
    </row>
    <row r="2449" spans="1:5">
      <c r="A2449" s="103">
        <v>39979</v>
      </c>
      <c r="B2449" s="86" t="str">
        <f>TiposLancamentos!B16</f>
        <v>Cristiane</v>
      </c>
      <c r="C2449" s="3" t="s">
        <v>3016</v>
      </c>
      <c r="D2449" s="78"/>
      <c r="E2449" s="1480">
        <v>20</v>
      </c>
    </row>
    <row r="2450" spans="1:5">
      <c r="A2450" s="103">
        <v>39980</v>
      </c>
      <c r="B2450" s="86" t="str">
        <f>TiposLancamentos!B20</f>
        <v>Saques</v>
      </c>
      <c r="C2450" s="3" t="s">
        <v>3814</v>
      </c>
      <c r="D2450" s="78">
        <v>30</v>
      </c>
      <c r="E2450" s="1480"/>
    </row>
    <row r="2451" spans="1:5">
      <c r="A2451" s="103">
        <v>39981</v>
      </c>
      <c r="B2451" s="86" t="str">
        <f>TiposLancamentos!B16</f>
        <v>Cristiane</v>
      </c>
      <c r="C2451" s="3" t="s">
        <v>3016</v>
      </c>
      <c r="D2451" s="78"/>
      <c r="E2451" s="1480">
        <v>10</v>
      </c>
    </row>
    <row r="2452" spans="1:5">
      <c r="A2452" s="103">
        <v>39981</v>
      </c>
      <c r="B2452" s="86" t="str">
        <f>TiposLancamentos!B57</f>
        <v>Informática</v>
      </c>
      <c r="C2452" s="3" t="s">
        <v>3818</v>
      </c>
      <c r="D2452" s="78"/>
      <c r="E2452" s="1480">
        <v>10</v>
      </c>
    </row>
    <row r="2453" spans="1:5">
      <c r="A2453" s="103">
        <v>39981</v>
      </c>
      <c r="B2453" s="86" t="str">
        <f>TiposLancamentos!B57</f>
        <v>Informática</v>
      </c>
      <c r="C2453" s="3" t="s">
        <v>3819</v>
      </c>
      <c r="D2453" s="78"/>
      <c r="E2453" s="1480">
        <v>4</v>
      </c>
    </row>
    <row r="2454" spans="1:5">
      <c r="A2454" s="103">
        <v>39983</v>
      </c>
      <c r="B2454" s="86" t="str">
        <f>TiposLancamentos!B100</f>
        <v>Emprestimos</v>
      </c>
      <c r="C2454" s="3" t="s">
        <v>3820</v>
      </c>
      <c r="D2454" s="78">
        <v>20</v>
      </c>
      <c r="E2454" s="1480"/>
    </row>
    <row r="2455" spans="1:5">
      <c r="A2455" s="103">
        <v>39983</v>
      </c>
      <c r="B2455" s="86" t="str">
        <f>TiposLancamentos!B71</f>
        <v>Itens Pessoais</v>
      </c>
      <c r="C2455" s="3" t="s">
        <v>3821</v>
      </c>
      <c r="D2455" s="78"/>
      <c r="E2455" s="1480">
        <v>20</v>
      </c>
    </row>
    <row r="2456" spans="1:5">
      <c r="A2456" s="103">
        <v>39984</v>
      </c>
      <c r="B2456" s="86" t="str">
        <f>TiposLancamentos!B100</f>
        <v>Emprestimos</v>
      </c>
      <c r="C2456" s="3" t="s">
        <v>3822</v>
      </c>
      <c r="D2456" s="78">
        <v>60</v>
      </c>
      <c r="E2456" s="1480"/>
    </row>
    <row r="2457" spans="1:5">
      <c r="A2457" s="103">
        <v>39984</v>
      </c>
      <c r="B2457" s="86" t="str">
        <f>TiposLancamentos!B18</f>
        <v>Alimentacao</v>
      </c>
      <c r="C2457" s="3" t="s">
        <v>3823</v>
      </c>
      <c r="D2457" s="78"/>
      <c r="E2457" s="1480">
        <v>12</v>
      </c>
    </row>
    <row r="2458" spans="1:5">
      <c r="A2458" s="103">
        <v>39984</v>
      </c>
      <c r="B2458" s="86" t="str">
        <f>TiposLancamentos!B18</f>
        <v>Alimentacao</v>
      </c>
      <c r="C2458" s="3" t="s">
        <v>3824</v>
      </c>
      <c r="D2458" s="78"/>
      <c r="E2458" s="1480">
        <v>2.5</v>
      </c>
    </row>
    <row r="2459" spans="1:5">
      <c r="A2459" s="103">
        <v>39985</v>
      </c>
      <c r="B2459" s="86" t="str">
        <f>TiposLancamentos!B18</f>
        <v>Alimentacao</v>
      </c>
      <c r="C2459" s="3" t="s">
        <v>3524</v>
      </c>
      <c r="D2459" s="78"/>
      <c r="E2459" s="1480">
        <v>5</v>
      </c>
    </row>
    <row r="2460" spans="1:5">
      <c r="A2460" s="103">
        <v>39986</v>
      </c>
      <c r="B2460" s="86" t="str">
        <f>TiposLancamentos!B16</f>
        <v>Cristiane</v>
      </c>
      <c r="C2460" s="3" t="s">
        <v>3016</v>
      </c>
      <c r="D2460" s="78"/>
      <c r="E2460" s="1480">
        <v>20</v>
      </c>
    </row>
    <row r="2461" spans="1:5">
      <c r="A2461" s="103">
        <v>39986</v>
      </c>
      <c r="B2461" s="86" t="str">
        <f>TiposLancamentos!B100</f>
        <v>Emprestimos</v>
      </c>
      <c r="C2461" s="3" t="s">
        <v>3825</v>
      </c>
      <c r="D2461" s="78"/>
      <c r="E2461" s="1480">
        <v>20</v>
      </c>
    </row>
    <row r="2462" spans="1:5">
      <c r="A2462" s="103">
        <v>39986</v>
      </c>
      <c r="B2462" s="86" t="str">
        <f>TiposLancamentos!B24</f>
        <v>Estacionamentos</v>
      </c>
      <c r="C2462" s="3" t="s">
        <v>3826</v>
      </c>
      <c r="D2462" s="78"/>
      <c r="E2462" s="1480">
        <v>3</v>
      </c>
    </row>
    <row r="2463" spans="1:5">
      <c r="A2463" s="103">
        <v>39986</v>
      </c>
      <c r="B2463" s="86" t="str">
        <f>TiposLancamentos!B51</f>
        <v>Marlboro</v>
      </c>
      <c r="C2463" s="3" t="s">
        <v>3827</v>
      </c>
      <c r="D2463" s="78"/>
      <c r="E2463" s="1480">
        <v>4.25</v>
      </c>
    </row>
    <row r="2464" spans="1:5">
      <c r="A2464" s="99"/>
      <c r="B2464" s="1590"/>
      <c r="C2464" s="100" t="s">
        <v>3828</v>
      </c>
      <c r="D2464" s="1591"/>
      <c r="E2464" s="1592"/>
    </row>
    <row r="2465" spans="1:5">
      <c r="A2465" s="103">
        <v>39995</v>
      </c>
      <c r="B2465" s="86" t="str">
        <f>TiposLancamentos!B20</f>
        <v>Saques</v>
      </c>
      <c r="C2465" s="3" t="s">
        <v>3406</v>
      </c>
      <c r="D2465" s="78">
        <v>20</v>
      </c>
      <c r="E2465" s="1480"/>
    </row>
    <row r="2466" spans="1:5">
      <c r="A2466" s="103">
        <v>39995</v>
      </c>
      <c r="B2466" s="86" t="str">
        <f>TiposLancamentos!B51</f>
        <v>Marlboro</v>
      </c>
      <c r="C2466" s="3" t="s">
        <v>3829</v>
      </c>
      <c r="D2466" s="78"/>
      <c r="E2466" s="1480">
        <v>4.4000000000000004</v>
      </c>
    </row>
    <row r="2467" spans="1:5">
      <c r="A2467" s="103">
        <v>39996</v>
      </c>
      <c r="B2467" s="86" t="str">
        <f>TiposLancamentos!B18</f>
        <v>Alimentacao</v>
      </c>
      <c r="C2467" s="3" t="s">
        <v>3830</v>
      </c>
      <c r="D2467" s="78"/>
      <c r="E2467" s="1480">
        <v>4.2</v>
      </c>
    </row>
    <row r="2468" spans="1:5">
      <c r="A2468" s="103">
        <v>39996</v>
      </c>
      <c r="B2468" s="86" t="str">
        <f>TiposLancamentos!B24</f>
        <v>Estacionamentos</v>
      </c>
      <c r="C2468" s="3" t="s">
        <v>3831</v>
      </c>
      <c r="D2468" s="78"/>
      <c r="E2468" s="1480">
        <v>4</v>
      </c>
    </row>
    <row r="2469" spans="1:5">
      <c r="A2469" s="103">
        <v>39997</v>
      </c>
      <c r="B2469" s="86" t="str">
        <f>TiposLancamentos!B20</f>
        <v>Saques</v>
      </c>
      <c r="C2469" s="3" t="s">
        <v>3832</v>
      </c>
      <c r="D2469" s="78">
        <v>140</v>
      </c>
      <c r="E2469" s="1480"/>
    </row>
    <row r="2470" spans="1:5">
      <c r="A2470" s="103">
        <v>39997</v>
      </c>
      <c r="B2470" s="86" t="str">
        <f>TiposLancamentos!B57</f>
        <v>Informática</v>
      </c>
      <c r="C2470" s="3" t="s">
        <v>3833</v>
      </c>
      <c r="D2470" s="78"/>
      <c r="E2470" s="1480">
        <v>140</v>
      </c>
    </row>
    <row r="2471" spans="1:5">
      <c r="A2471" s="103">
        <v>39998</v>
      </c>
      <c r="B2471" s="86" t="str">
        <f>TiposLancamentos!B18</f>
        <v>Alimentacao</v>
      </c>
      <c r="C2471" s="3" t="s">
        <v>3210</v>
      </c>
      <c r="D2471" s="78"/>
      <c r="E2471" s="1480">
        <v>7.4</v>
      </c>
    </row>
    <row r="2472" spans="1:5">
      <c r="A2472" s="103">
        <v>40007</v>
      </c>
      <c r="B2472" s="86" t="str">
        <f>TiposLancamentos!B20</f>
        <v>Saques</v>
      </c>
      <c r="C2472" s="3" t="s">
        <v>3834</v>
      </c>
      <c r="D2472" s="78">
        <v>30</v>
      </c>
      <c r="E2472" s="1480"/>
    </row>
    <row r="2473" spans="1:5">
      <c r="A2473" s="103">
        <v>40007</v>
      </c>
      <c r="B2473" s="86" t="str">
        <f>TiposLancamentos!B59</f>
        <v>Documentos</v>
      </c>
      <c r="C2473" s="3" t="s">
        <v>3835</v>
      </c>
      <c r="D2473" s="78"/>
      <c r="E2473" s="1480">
        <v>15.72</v>
      </c>
    </row>
    <row r="2474" spans="1:5">
      <c r="A2474" s="103">
        <v>40007</v>
      </c>
      <c r="B2474" s="86" t="str">
        <f>TiposLancamentos!B24</f>
        <v>Estacionamentos</v>
      </c>
      <c r="C2474" s="3" t="s">
        <v>1714</v>
      </c>
      <c r="D2474" s="78"/>
      <c r="E2474" s="1480">
        <v>4</v>
      </c>
    </row>
    <row r="2475" spans="1:5">
      <c r="A2475" s="103">
        <v>40008</v>
      </c>
      <c r="B2475" s="86" t="str">
        <f>TiposLancamentos!B24</f>
        <v>Estacionamentos</v>
      </c>
      <c r="C2475" s="3" t="s">
        <v>3836</v>
      </c>
      <c r="D2475" s="78"/>
      <c r="E2475" s="1480">
        <v>8</v>
      </c>
    </row>
    <row r="2476" spans="1:5">
      <c r="A2476" s="103">
        <v>40010</v>
      </c>
      <c r="B2476" s="86" t="str">
        <f>TiposLancamentos!B20</f>
        <v>Saques</v>
      </c>
      <c r="C2476" s="3" t="s">
        <v>3403</v>
      </c>
      <c r="D2476" s="78">
        <v>10</v>
      </c>
      <c r="E2476" s="1480"/>
    </row>
    <row r="2477" spans="1:5">
      <c r="A2477" s="103">
        <v>40010</v>
      </c>
      <c r="B2477" s="86" t="str">
        <f>TiposLancamentos!B18</f>
        <v>Alimentacao</v>
      </c>
      <c r="C2477" s="3" t="s">
        <v>3837</v>
      </c>
      <c r="D2477" s="78"/>
      <c r="E2477" s="1480">
        <v>5.5</v>
      </c>
    </row>
    <row r="2478" spans="1:5">
      <c r="A2478" s="103">
        <v>40010</v>
      </c>
      <c r="B2478" s="86" t="str">
        <f>TiposLancamentos!B24</f>
        <v>Estacionamentos</v>
      </c>
      <c r="C2478" s="3" t="s">
        <v>3838</v>
      </c>
      <c r="D2478" s="78"/>
      <c r="E2478" s="1480">
        <v>5</v>
      </c>
    </row>
    <row r="2479" spans="1:5">
      <c r="A2479" s="103">
        <v>40011</v>
      </c>
      <c r="B2479" s="86" t="str">
        <f>TiposLancamentos!B18</f>
        <v>Alimentacao</v>
      </c>
      <c r="C2479" s="3" t="s">
        <v>3368</v>
      </c>
      <c r="D2479" s="78"/>
      <c r="E2479" s="1480">
        <v>1.78</v>
      </c>
    </row>
    <row r="2480" spans="1:5">
      <c r="A2480" s="103">
        <v>40016</v>
      </c>
      <c r="B2480" s="86" t="str">
        <f>TiposLancamentos!B20</f>
        <v>Saques</v>
      </c>
      <c r="C2480" s="3" t="s">
        <v>3513</v>
      </c>
      <c r="D2480" s="78">
        <v>20</v>
      </c>
      <c r="E2480" s="1480"/>
    </row>
    <row r="2481" spans="1:5">
      <c r="A2481" s="103">
        <v>40016</v>
      </c>
      <c r="B2481" s="86" t="str">
        <f>TiposLancamentos!B77</f>
        <v>Esporádico</v>
      </c>
      <c r="C2481" s="3" t="s">
        <v>3839</v>
      </c>
      <c r="D2481" s="78"/>
      <c r="E2481" s="1480">
        <v>10</v>
      </c>
    </row>
    <row r="2482" spans="1:5">
      <c r="A2482" s="103">
        <v>40016</v>
      </c>
      <c r="B2482" s="86" t="str">
        <f>TiposLancamentos!B18</f>
        <v>Alimentacao</v>
      </c>
      <c r="C2482" s="3" t="s">
        <v>3840</v>
      </c>
      <c r="D2482" s="78"/>
      <c r="E2482" s="1480">
        <v>2</v>
      </c>
    </row>
    <row r="2483" spans="1:5">
      <c r="A2483" s="103">
        <v>40017</v>
      </c>
      <c r="B2483" s="86" t="str">
        <f>TiposLancamentos!B20</f>
        <v>Saques</v>
      </c>
      <c r="C2483" s="3" t="s">
        <v>3489</v>
      </c>
      <c r="D2483" s="78">
        <v>170</v>
      </c>
      <c r="E2483" s="1480"/>
    </row>
    <row r="2484" spans="1:5">
      <c r="A2484" s="103">
        <v>40017</v>
      </c>
      <c r="B2484" s="86" t="str">
        <f>TiposLancamentos!B37</f>
        <v>Playstation 3</v>
      </c>
      <c r="C2484" s="3" t="s">
        <v>3841</v>
      </c>
      <c r="D2484" s="78"/>
      <c r="E2484" s="1480">
        <v>87</v>
      </c>
    </row>
    <row r="2485" spans="1:5">
      <c r="A2485" s="103">
        <v>40017</v>
      </c>
      <c r="B2485" s="86" t="str">
        <f>TiposLancamentos!B37</f>
        <v>Playstation 3</v>
      </c>
      <c r="C2485" s="3" t="s">
        <v>3842</v>
      </c>
      <c r="D2485" s="78"/>
      <c r="E2485" s="1480">
        <v>90</v>
      </c>
    </row>
    <row r="2486" spans="1:5">
      <c r="A2486" s="103">
        <v>40019</v>
      </c>
      <c r="B2486" s="86" t="str">
        <f>TiposLancamentos!B20</f>
        <v>Saques</v>
      </c>
      <c r="C2486" s="3" t="s">
        <v>3489</v>
      </c>
      <c r="D2486" s="78">
        <v>30</v>
      </c>
      <c r="E2486" s="1480"/>
    </row>
    <row r="2487" spans="1:5">
      <c r="A2487" s="103">
        <v>40019</v>
      </c>
      <c r="B2487" s="86" t="str">
        <f>TiposLancamentos!B24</f>
        <v>Estacionamentos</v>
      </c>
      <c r="C2487" s="3" t="s">
        <v>3843</v>
      </c>
      <c r="D2487" s="78"/>
      <c r="E2487" s="1480">
        <v>3</v>
      </c>
    </row>
    <row r="2488" spans="1:5">
      <c r="A2488" s="103">
        <v>40052</v>
      </c>
      <c r="B2488" s="86" t="str">
        <f>TiposLancamentos!B16</f>
        <v>Cristiane</v>
      </c>
      <c r="C2488" s="3" t="s">
        <v>3844</v>
      </c>
      <c r="D2488" s="78"/>
      <c r="E2488" s="1480">
        <v>28</v>
      </c>
    </row>
    <row r="2489" spans="1:5">
      <c r="A2489" s="103">
        <v>40084</v>
      </c>
      <c r="B2489" s="86" t="str">
        <f>TiposLancamentos!B20</f>
        <v>Saques</v>
      </c>
      <c r="C2489" s="3" t="s">
        <v>3845</v>
      </c>
      <c r="D2489" s="78">
        <v>20</v>
      </c>
      <c r="E2489" s="1480"/>
    </row>
    <row r="2490" spans="1:5">
      <c r="A2490" s="103">
        <v>40024</v>
      </c>
      <c r="B2490" s="86" t="str">
        <f>TiposLancamentos!B20</f>
        <v>Saques</v>
      </c>
      <c r="C2490" s="3" t="s">
        <v>3846</v>
      </c>
      <c r="D2490" s="78">
        <v>50</v>
      </c>
      <c r="E2490" s="1480"/>
    </row>
    <row r="2491" spans="1:5">
      <c r="A2491" s="103">
        <v>40024</v>
      </c>
      <c r="B2491" s="86" t="str">
        <f>TiposLancamentos!B69</f>
        <v>Consertos</v>
      </c>
      <c r="C2491" s="3" t="s">
        <v>3847</v>
      </c>
      <c r="D2491" s="78"/>
      <c r="E2491" s="1480">
        <v>50</v>
      </c>
    </row>
    <row r="2492" spans="1:5">
      <c r="A2492" s="103">
        <v>40024</v>
      </c>
      <c r="B2492" s="86" t="str">
        <f>TiposLancamentos!B51</f>
        <v>Marlboro</v>
      </c>
      <c r="C2492" s="3" t="s">
        <v>3848</v>
      </c>
      <c r="D2492" s="78"/>
      <c r="E2492" s="1480">
        <v>7</v>
      </c>
    </row>
    <row r="2493" spans="1:5">
      <c r="A2493" s="103">
        <v>40024</v>
      </c>
      <c r="B2493" s="86" t="str">
        <f>TiposLancamentos!B24</f>
        <v>Estacionamentos</v>
      </c>
      <c r="C2493" s="3" t="s">
        <v>3831</v>
      </c>
      <c r="D2493" s="78"/>
      <c r="E2493" s="1480">
        <v>4</v>
      </c>
    </row>
    <row r="2494" spans="1:5">
      <c r="A2494" s="103">
        <v>40025</v>
      </c>
      <c r="B2494" s="86" t="str">
        <f>TiposLancamentos!B77</f>
        <v>Esporádico</v>
      </c>
      <c r="C2494" s="3" t="s">
        <v>3849</v>
      </c>
      <c r="D2494" s="78"/>
      <c r="E2494" s="1480">
        <v>7</v>
      </c>
    </row>
    <row r="2495" spans="1:5">
      <c r="A2495" s="99"/>
      <c r="B2495" s="1590"/>
      <c r="C2495" s="100" t="s">
        <v>3850</v>
      </c>
      <c r="D2495" s="1591"/>
      <c r="E2495" s="1592"/>
    </row>
    <row r="2496" spans="1:5">
      <c r="A2496" s="103">
        <v>40026</v>
      </c>
      <c r="B2496" s="86" t="str">
        <f>TiposLancamentos!B24</f>
        <v>Estacionamentos</v>
      </c>
      <c r="C2496" s="3" t="s">
        <v>3851</v>
      </c>
      <c r="D2496" s="78"/>
      <c r="E2496" s="1480">
        <v>2</v>
      </c>
    </row>
    <row r="2497" spans="1:5">
      <c r="A2497" s="103">
        <v>40027</v>
      </c>
      <c r="B2497" s="86" t="str">
        <f>TiposLancamentos!B20</f>
        <v>Saques</v>
      </c>
      <c r="C2497" s="3" t="s">
        <v>3489</v>
      </c>
      <c r="D2497" s="78">
        <v>60</v>
      </c>
      <c r="E2497" s="1480"/>
    </row>
    <row r="2498" spans="1:5">
      <c r="A2498" s="103">
        <v>40029</v>
      </c>
      <c r="B2498" s="86" t="str">
        <f>TiposLancamentos!B51</f>
        <v>Marlboro</v>
      </c>
      <c r="C2498" s="3" t="s">
        <v>3852</v>
      </c>
      <c r="D2498" s="78"/>
      <c r="E2498" s="1480">
        <v>7</v>
      </c>
    </row>
    <row r="2499" spans="1:5">
      <c r="A2499" s="103">
        <v>40030</v>
      </c>
      <c r="B2499" s="86" t="str">
        <f>TiposLancamentos!B24</f>
        <v>Estacionamentos</v>
      </c>
      <c r="C2499" s="3" t="s">
        <v>3853</v>
      </c>
      <c r="D2499" s="78"/>
      <c r="E2499" s="1480">
        <v>10</v>
      </c>
    </row>
    <row r="2500" spans="1:5">
      <c r="A2500" s="103">
        <v>40032</v>
      </c>
      <c r="B2500" s="86" t="str">
        <f>TiposLancamentos!B98</f>
        <v>Restituições</v>
      </c>
      <c r="C2500" s="3" t="s">
        <v>3854</v>
      </c>
      <c r="D2500" s="78">
        <v>90</v>
      </c>
      <c r="E2500" s="1480"/>
    </row>
    <row r="2501" spans="1:5">
      <c r="A2501" s="103">
        <v>40033</v>
      </c>
      <c r="B2501" s="86" t="str">
        <f>TiposLancamentos!B24</f>
        <v>Estacionamentos</v>
      </c>
      <c r="C2501" s="3" t="s">
        <v>3855</v>
      </c>
      <c r="D2501" s="78"/>
      <c r="E2501" s="1480">
        <v>5</v>
      </c>
    </row>
    <row r="2502" spans="1:5">
      <c r="A2502" s="103">
        <v>40035</v>
      </c>
      <c r="B2502" s="86" t="str">
        <f>TiposLancamentos!B51</f>
        <v>Marlboro</v>
      </c>
      <c r="C2502" s="3" t="s">
        <v>3856</v>
      </c>
      <c r="D2502" s="78"/>
      <c r="E2502" s="1480">
        <v>4.25</v>
      </c>
    </row>
    <row r="2503" spans="1:5">
      <c r="A2503" s="103">
        <v>40035</v>
      </c>
      <c r="B2503" s="86" t="str">
        <f>TiposLancamentos!B18</f>
        <v>Alimentacao</v>
      </c>
      <c r="C2503" s="3" t="s">
        <v>3857</v>
      </c>
      <c r="D2503" s="78"/>
      <c r="E2503" s="1480">
        <v>5.4</v>
      </c>
    </row>
    <row r="2504" spans="1:5">
      <c r="A2504" s="103">
        <v>40035</v>
      </c>
      <c r="B2504" s="86" t="str">
        <f>TiposLancamentos!B18</f>
        <v>Alimentacao</v>
      </c>
      <c r="C2504" s="3" t="s">
        <v>3858</v>
      </c>
      <c r="D2504" s="78"/>
      <c r="E2504" s="1480">
        <v>7.2</v>
      </c>
    </row>
    <row r="2505" spans="1:5">
      <c r="A2505" s="103">
        <v>40036</v>
      </c>
      <c r="B2505" s="86" t="str">
        <f>TiposLancamentos!B18</f>
        <v>Alimentacao</v>
      </c>
      <c r="C2505" s="3" t="s">
        <v>3858</v>
      </c>
      <c r="D2505" s="78"/>
      <c r="E2505" s="1480">
        <v>7.4</v>
      </c>
    </row>
    <row r="2506" spans="1:5">
      <c r="A2506" s="103">
        <v>40037</v>
      </c>
      <c r="B2506" s="86" t="str">
        <f>TiposLancamentos!B18</f>
        <v>Alimentacao</v>
      </c>
      <c r="C2506" s="3" t="s">
        <v>3859</v>
      </c>
      <c r="D2506" s="78"/>
      <c r="E2506" s="1480">
        <v>5.5</v>
      </c>
    </row>
    <row r="2507" spans="1:5">
      <c r="A2507" s="103">
        <v>40037</v>
      </c>
      <c r="B2507" s="86" t="str">
        <f>TiposLancamentos!B24</f>
        <v>Estacionamentos</v>
      </c>
      <c r="C2507" s="3" t="s">
        <v>3490</v>
      </c>
      <c r="D2507" s="78"/>
      <c r="E2507" s="1480">
        <v>4</v>
      </c>
    </row>
    <row r="2508" spans="1:5">
      <c r="A2508" s="103">
        <v>40037</v>
      </c>
      <c r="B2508" s="86" t="str">
        <f>TiposLancamentos!B16</f>
        <v>Cristiane</v>
      </c>
      <c r="C2508" s="3" t="s">
        <v>1698</v>
      </c>
      <c r="D2508" s="78"/>
      <c r="E2508" s="1480">
        <v>4.25</v>
      </c>
    </row>
    <row r="2509" spans="1:5">
      <c r="A2509" s="103">
        <v>40038</v>
      </c>
      <c r="B2509" s="86" t="str">
        <f>TiposLancamentos!B18</f>
        <v>Alimentacao</v>
      </c>
      <c r="C2509" s="3" t="s">
        <v>3860</v>
      </c>
      <c r="D2509" s="78"/>
      <c r="E2509" s="1480">
        <v>1.5</v>
      </c>
    </row>
    <row r="2510" spans="1:5">
      <c r="A2510" s="103">
        <v>40038</v>
      </c>
      <c r="B2510" s="86" t="str">
        <f>TiposLancamentos!B57</f>
        <v>Informática</v>
      </c>
      <c r="C2510" s="3" t="s">
        <v>3861</v>
      </c>
      <c r="D2510" s="78"/>
      <c r="E2510" s="1480">
        <v>23.5</v>
      </c>
    </row>
    <row r="2511" spans="1:5">
      <c r="A2511" s="103">
        <v>40038</v>
      </c>
      <c r="B2511" s="86" t="str">
        <f>TiposLancamentos!B86</f>
        <v>Peugeout 207</v>
      </c>
      <c r="C2511" s="3" t="s">
        <v>3862</v>
      </c>
      <c r="D2511" s="78"/>
      <c r="E2511" s="1480">
        <v>18</v>
      </c>
    </row>
    <row r="2512" spans="1:5">
      <c r="A2512" s="103">
        <v>40038</v>
      </c>
      <c r="B2512" s="86" t="str">
        <f>TiposLancamentos!B18</f>
        <v>Alimentacao</v>
      </c>
      <c r="C2512" s="3" t="s">
        <v>3863</v>
      </c>
      <c r="D2512" s="78"/>
      <c r="E2512" s="1480">
        <v>6.75</v>
      </c>
    </row>
    <row r="2513" spans="1:5">
      <c r="A2513" s="103">
        <v>40038</v>
      </c>
      <c r="B2513" s="86" t="str">
        <f>TiposLancamentos!B18</f>
        <v>Alimentacao</v>
      </c>
      <c r="C2513" s="3" t="s">
        <v>3524</v>
      </c>
      <c r="D2513" s="78"/>
      <c r="E2513" s="1480">
        <v>5</v>
      </c>
    </row>
    <row r="2514" spans="1:5">
      <c r="A2514" s="103">
        <v>40039</v>
      </c>
      <c r="B2514" s="86" t="str">
        <f>TiposLancamentos!B24</f>
        <v>Estacionamentos</v>
      </c>
      <c r="C2514" s="3" t="s">
        <v>3864</v>
      </c>
      <c r="D2514" s="78"/>
      <c r="E2514" s="1480">
        <v>10</v>
      </c>
    </row>
    <row r="2515" spans="1:5">
      <c r="A2515" s="103">
        <v>40040</v>
      </c>
      <c r="B2515" s="86" t="str">
        <f>TiposLancamentos!B24</f>
        <v>Estacionamentos</v>
      </c>
      <c r="C2515" s="3" t="s">
        <v>3398</v>
      </c>
      <c r="D2515" s="78"/>
      <c r="E2515" s="1480">
        <v>5</v>
      </c>
    </row>
    <row r="2516" spans="1:5">
      <c r="A2516" s="103">
        <v>40040</v>
      </c>
      <c r="B2516" s="86" t="str">
        <f>TiposLancamentos!B24</f>
        <v>Estacionamentos</v>
      </c>
      <c r="C2516" s="3" t="s">
        <v>3865</v>
      </c>
      <c r="D2516" s="78"/>
      <c r="E2516" s="1480">
        <v>3</v>
      </c>
    </row>
    <row r="2517" spans="1:5">
      <c r="A2517" s="103">
        <v>40042</v>
      </c>
      <c r="B2517" s="86" t="str">
        <f>TiposLancamentos!B60</f>
        <v>Correio</v>
      </c>
      <c r="C2517" s="3" t="s">
        <v>3866</v>
      </c>
      <c r="D2517" s="78"/>
      <c r="E2517" s="1480">
        <v>10.6</v>
      </c>
    </row>
    <row r="2518" spans="1:5">
      <c r="A2518" s="103">
        <v>40049</v>
      </c>
      <c r="B2518" s="86" t="str">
        <f>TiposLancamentos!B20</f>
        <v>Saques</v>
      </c>
      <c r="C2518" s="3" t="s">
        <v>3406</v>
      </c>
      <c r="D2518" s="78">
        <v>50</v>
      </c>
      <c r="E2518" s="1480"/>
    </row>
    <row r="2519" spans="1:5">
      <c r="A2519" s="103">
        <v>40049</v>
      </c>
      <c r="B2519" s="86" t="str">
        <f>TiposLancamentos!B19</f>
        <v>Restaurantes</v>
      </c>
      <c r="C2519" s="3" t="s">
        <v>3867</v>
      </c>
      <c r="D2519" s="78"/>
      <c r="E2519" s="1480">
        <v>14.8</v>
      </c>
    </row>
    <row r="2520" spans="1:5">
      <c r="A2520" s="103">
        <v>40049</v>
      </c>
      <c r="B2520" s="86" t="str">
        <f>TiposLancamentos!B19</f>
        <v>Restaurantes</v>
      </c>
      <c r="C2520" s="3" t="s">
        <v>3868</v>
      </c>
      <c r="D2520" s="78"/>
      <c r="E2520" s="1480">
        <v>4.8</v>
      </c>
    </row>
    <row r="2521" spans="1:5">
      <c r="A2521" s="103">
        <v>40049</v>
      </c>
      <c r="B2521" s="86" t="str">
        <f>TiposLancamentos!B24</f>
        <v>Estacionamentos</v>
      </c>
      <c r="C2521" s="3" t="s">
        <v>3490</v>
      </c>
      <c r="D2521" s="78"/>
      <c r="E2521" s="1480">
        <v>4</v>
      </c>
    </row>
    <row r="2522" spans="1:5">
      <c r="A2522" s="103">
        <v>40050</v>
      </c>
      <c r="B2522" s="86" t="str">
        <f>TiposLancamentos!B24</f>
        <v>Estacionamentos</v>
      </c>
      <c r="C2522" s="3" t="s">
        <v>3851</v>
      </c>
      <c r="D2522" s="78"/>
      <c r="E2522" s="1480">
        <v>7</v>
      </c>
    </row>
    <row r="2523" spans="1:5">
      <c r="A2523" s="103">
        <v>40050</v>
      </c>
      <c r="B2523" s="86" t="str">
        <f>TiposLancamentos!B18</f>
        <v>Alimentacao</v>
      </c>
      <c r="C2523" s="3" t="s">
        <v>3869</v>
      </c>
      <c r="D2523" s="78"/>
      <c r="E2523" s="1480">
        <v>4.2</v>
      </c>
    </row>
    <row r="2524" spans="1:5">
      <c r="A2524" s="103">
        <v>40050</v>
      </c>
      <c r="B2524" s="86" t="str">
        <f>TiposLancamentos!B24</f>
        <v>Estacionamentos</v>
      </c>
      <c r="C2524" s="3" t="s">
        <v>3870</v>
      </c>
      <c r="D2524" s="78"/>
      <c r="E2524" s="1480">
        <v>10</v>
      </c>
    </row>
    <row r="2525" spans="1:5">
      <c r="A2525" s="103">
        <v>40051</v>
      </c>
      <c r="B2525" s="86" t="str">
        <f>TiposLancamentos!B20</f>
        <v>Saques</v>
      </c>
      <c r="C2525" s="3" t="s">
        <v>3403</v>
      </c>
      <c r="D2525" s="78">
        <v>150</v>
      </c>
      <c r="E2525" s="1480"/>
    </row>
    <row r="2526" spans="1:5">
      <c r="A2526" s="103">
        <v>40051</v>
      </c>
      <c r="B2526" s="86" t="str">
        <f>TiposLancamentos!B66</f>
        <v>Faxineira</v>
      </c>
      <c r="C2526" s="3" t="s">
        <v>3871</v>
      </c>
      <c r="D2526" s="78"/>
      <c r="E2526" s="1480">
        <v>150</v>
      </c>
    </row>
    <row r="2527" spans="1:5">
      <c r="A2527" s="103">
        <v>40051</v>
      </c>
      <c r="B2527" s="86" t="str">
        <f>TiposLancamentos!B18</f>
        <v>Alimentacao</v>
      </c>
      <c r="C2527" s="3" t="s">
        <v>3872</v>
      </c>
      <c r="D2527" s="78"/>
      <c r="E2527" s="1480">
        <v>2.4</v>
      </c>
    </row>
    <row r="2528" spans="1:5">
      <c r="A2528" s="103">
        <v>40051</v>
      </c>
      <c r="B2528" s="86" t="str">
        <f>TiposLancamentos!B24</f>
        <v>Estacionamentos</v>
      </c>
      <c r="C2528" s="3" t="s">
        <v>3873</v>
      </c>
      <c r="D2528" s="78"/>
      <c r="E2528" s="1480">
        <v>3</v>
      </c>
    </row>
    <row r="2529" spans="1:5">
      <c r="A2529" s="103">
        <v>40056</v>
      </c>
      <c r="B2529" s="86" t="str">
        <f>TiposLancamentos!B20</f>
        <v>Saques</v>
      </c>
      <c r="C2529" s="3" t="s">
        <v>3403</v>
      </c>
      <c r="D2529" s="78">
        <v>50</v>
      </c>
      <c r="E2529" s="1480"/>
    </row>
    <row r="2530" spans="1:5">
      <c r="A2530" s="103">
        <v>40056</v>
      </c>
      <c r="B2530" s="86" t="str">
        <f>TiposLancamentos!B71</f>
        <v>Itens Pessoais</v>
      </c>
      <c r="C2530" s="3" t="s">
        <v>3874</v>
      </c>
      <c r="D2530" s="78"/>
      <c r="E2530" s="1480">
        <v>18</v>
      </c>
    </row>
    <row r="2531" spans="1:5">
      <c r="A2531" s="103">
        <v>40056</v>
      </c>
      <c r="B2531" s="86" t="str">
        <f>TiposLancamentos!B18</f>
        <v>Alimentacao</v>
      </c>
      <c r="C2531" s="3" t="s">
        <v>3875</v>
      </c>
      <c r="D2531" s="78"/>
      <c r="E2531" s="1480">
        <v>1.5</v>
      </c>
    </row>
    <row r="2532" spans="1:5">
      <c r="A2532" s="103">
        <v>40056</v>
      </c>
      <c r="B2532" s="86" t="str">
        <f>TiposLancamentos!B86</f>
        <v>Peugeout 207</v>
      </c>
      <c r="C2532" s="3" t="s">
        <v>3876</v>
      </c>
      <c r="D2532" s="78"/>
      <c r="E2532" s="1480">
        <v>18</v>
      </c>
    </row>
    <row r="2533" spans="1:5">
      <c r="A2533" s="99"/>
      <c r="B2533" s="1590"/>
      <c r="C2533" s="100" t="s">
        <v>3877</v>
      </c>
      <c r="D2533" s="1591"/>
      <c r="E2533" s="1592"/>
    </row>
    <row r="2534" spans="1:5">
      <c r="A2534" s="103">
        <v>40057</v>
      </c>
      <c r="B2534" s="86" t="str">
        <f>TiposLancamentos!B18</f>
        <v>Alimentacao</v>
      </c>
      <c r="C2534" s="3" t="s">
        <v>3878</v>
      </c>
      <c r="D2534" s="78"/>
      <c r="E2534" s="1480">
        <v>8.9499999999999993</v>
      </c>
    </row>
    <row r="2535" spans="1:5">
      <c r="A2535" s="103">
        <v>40058</v>
      </c>
      <c r="B2535" s="86" t="str">
        <f>TiposLancamentos!B18</f>
        <v>Alimentacao</v>
      </c>
      <c r="C2535" s="3" t="s">
        <v>3859</v>
      </c>
      <c r="D2535" s="78"/>
      <c r="E2535" s="1480">
        <v>5.5</v>
      </c>
    </row>
    <row r="2536" spans="1:5">
      <c r="A2536" s="103">
        <v>40058</v>
      </c>
      <c r="B2536" s="86" t="str">
        <f>TiposLancamentos!B13</f>
        <v>Moradia</v>
      </c>
      <c r="C2536" s="3" t="s">
        <v>2703</v>
      </c>
      <c r="D2536" s="78"/>
      <c r="E2536" s="1480">
        <v>4.5</v>
      </c>
    </row>
    <row r="2537" spans="1:5">
      <c r="A2537" s="103">
        <v>40061</v>
      </c>
      <c r="B2537" s="86" t="str">
        <f>TiposLancamentos!B20</f>
        <v>Saques</v>
      </c>
      <c r="C2537" s="3" t="s">
        <v>3406</v>
      </c>
      <c r="D2537" s="78">
        <v>60</v>
      </c>
      <c r="E2537" s="1480"/>
    </row>
    <row r="2538" spans="1:5">
      <c r="A2538" s="103">
        <v>40061</v>
      </c>
      <c r="B2538" s="86" t="str">
        <f>TiposLancamentos!B51</f>
        <v>Marlboro</v>
      </c>
      <c r="C2538" s="3" t="s">
        <v>3646</v>
      </c>
      <c r="D2538" s="78"/>
      <c r="E2538" s="1480">
        <v>4.25</v>
      </c>
    </row>
    <row r="2539" spans="1:5">
      <c r="A2539" s="103">
        <v>40061</v>
      </c>
      <c r="B2539" s="86" t="str">
        <f>TiposLancamentos!B18</f>
        <v>Alimentacao</v>
      </c>
      <c r="C2539" s="3" t="s">
        <v>3879</v>
      </c>
      <c r="D2539" s="78"/>
      <c r="E2539" s="1480">
        <v>3.5</v>
      </c>
    </row>
    <row r="2540" spans="1:5">
      <c r="A2540" s="103">
        <v>40061</v>
      </c>
      <c r="B2540" s="86" t="str">
        <f>TiposLancamentos!B24</f>
        <v>Estacionamentos</v>
      </c>
      <c r="C2540" s="3" t="s">
        <v>3253</v>
      </c>
      <c r="D2540" s="78"/>
      <c r="E2540" s="1480">
        <v>11</v>
      </c>
    </row>
    <row r="2541" spans="1:5">
      <c r="A2541" s="103">
        <v>40065</v>
      </c>
      <c r="B2541" s="86" t="str">
        <f>TiposLancamentos!B20</f>
        <v>Saques</v>
      </c>
      <c r="C2541" s="3" t="s">
        <v>3406</v>
      </c>
      <c r="D2541" s="78">
        <v>160</v>
      </c>
      <c r="E2541" s="1480"/>
    </row>
    <row r="2542" spans="1:5">
      <c r="A2542" s="103">
        <v>40065</v>
      </c>
      <c r="B2542" s="86" t="str">
        <f>TiposLancamentos!B51</f>
        <v>Marlboro</v>
      </c>
      <c r="C2542" s="3" t="s">
        <v>3880</v>
      </c>
      <c r="D2542" s="78"/>
      <c r="E2542" s="1480">
        <v>3.25</v>
      </c>
    </row>
    <row r="2543" spans="1:5">
      <c r="A2543" s="103">
        <v>40065</v>
      </c>
      <c r="B2543" s="86" t="str">
        <f>TiposLancamentos!B66</f>
        <v>Faxineira</v>
      </c>
      <c r="C2543" s="3" t="s">
        <v>3881</v>
      </c>
      <c r="D2543" s="78"/>
      <c r="E2543" s="1480">
        <v>150</v>
      </c>
    </row>
    <row r="2544" spans="1:5">
      <c r="A2544" s="103">
        <v>40066</v>
      </c>
      <c r="B2544" s="86" t="str">
        <f>TiposLancamentos!B18</f>
        <v>Alimentacao</v>
      </c>
      <c r="C2544" s="3" t="s">
        <v>3882</v>
      </c>
      <c r="D2544" s="78"/>
      <c r="E2544" s="1480">
        <v>20</v>
      </c>
    </row>
    <row r="2545" spans="1:5">
      <c r="A2545" s="103">
        <v>40069</v>
      </c>
      <c r="B2545" s="86" t="str">
        <f>TiposLancamentos!B18</f>
        <v>Alimentacao</v>
      </c>
      <c r="C2545" s="3" t="s">
        <v>3883</v>
      </c>
      <c r="D2545" s="78"/>
      <c r="E2545" s="1480">
        <v>5</v>
      </c>
    </row>
    <row r="2546" spans="1:5">
      <c r="A2546" s="103">
        <v>40069</v>
      </c>
      <c r="B2546" s="86" t="str">
        <f>TiposLancamentos!B99</f>
        <v>Venda de algo</v>
      </c>
      <c r="C2546" s="3" t="s">
        <v>3884</v>
      </c>
      <c r="D2546" s="78">
        <v>200</v>
      </c>
      <c r="E2546" s="1480"/>
    </row>
    <row r="2547" spans="1:5">
      <c r="A2547" s="103">
        <v>40069</v>
      </c>
      <c r="B2547" s="86" t="str">
        <f>TiposLancamentos!B16</f>
        <v>Cristiane</v>
      </c>
      <c r="C2547" s="3" t="s">
        <v>3763</v>
      </c>
      <c r="D2547" s="78"/>
      <c r="E2547" s="1480">
        <v>200</v>
      </c>
    </row>
    <row r="2548" spans="1:5">
      <c r="A2548" s="103">
        <v>40071</v>
      </c>
      <c r="B2548" s="86" t="str">
        <f>TiposLancamentos!B51</f>
        <v>Marlboro</v>
      </c>
      <c r="C2548" s="3" t="s">
        <v>3885</v>
      </c>
      <c r="D2548" s="78"/>
      <c r="E2548" s="1480">
        <v>4.25</v>
      </c>
    </row>
    <row r="2549" spans="1:5">
      <c r="A2549" s="103">
        <v>40071</v>
      </c>
      <c r="B2549" s="86" t="str">
        <f>TiposLancamentos!B18</f>
        <v>Alimentacao</v>
      </c>
      <c r="C2549" s="3" t="s">
        <v>3886</v>
      </c>
      <c r="D2549" s="78"/>
      <c r="E2549" s="1480">
        <f>8-E2548</f>
        <v>3.75</v>
      </c>
    </row>
    <row r="2550" spans="1:5">
      <c r="A2550" s="103">
        <v>40074</v>
      </c>
      <c r="B2550" s="86" t="str">
        <f>TiposLancamentos!B72</f>
        <v>Presentes</v>
      </c>
      <c r="C2550" s="3" t="s">
        <v>3887</v>
      </c>
      <c r="D2550" s="78"/>
      <c r="E2550" s="1480">
        <v>10</v>
      </c>
    </row>
    <row r="2551" spans="1:5">
      <c r="A2551" s="103">
        <v>40079</v>
      </c>
      <c r="B2551" s="86" t="str">
        <f>TiposLancamentos!B20</f>
        <v>Saques</v>
      </c>
      <c r="C2551" s="3" t="s">
        <v>3472</v>
      </c>
      <c r="D2551" s="78">
        <v>170</v>
      </c>
      <c r="E2551" s="1480"/>
    </row>
    <row r="2552" spans="1:5">
      <c r="A2552" s="103">
        <v>40079</v>
      </c>
      <c r="B2552" s="86" t="str">
        <f>TiposLancamentos!B51</f>
        <v>Marlboro</v>
      </c>
      <c r="C2552" s="3" t="s">
        <v>3888</v>
      </c>
      <c r="D2552" s="78"/>
      <c r="E2552" s="1480">
        <v>3.75</v>
      </c>
    </row>
    <row r="2553" spans="1:5">
      <c r="A2553" s="103">
        <v>40079</v>
      </c>
      <c r="B2553" s="86" t="str">
        <f>TiposLancamentos!B18</f>
        <v>Alimentacao</v>
      </c>
      <c r="C2553" s="3" t="s">
        <v>3691</v>
      </c>
      <c r="D2553" s="78"/>
      <c r="E2553" s="1480">
        <v>4.8</v>
      </c>
    </row>
    <row r="2554" spans="1:5">
      <c r="A2554" s="103">
        <v>40079</v>
      </c>
      <c r="B2554" s="86" t="str">
        <f>TiposLancamentos!B66</f>
        <v>Faxineira</v>
      </c>
      <c r="C2554" s="3" t="s">
        <v>1794</v>
      </c>
      <c r="D2554" s="78"/>
      <c r="E2554" s="1480">
        <v>150</v>
      </c>
    </row>
    <row r="2555" spans="1:5">
      <c r="A2555" s="103">
        <v>40083</v>
      </c>
      <c r="B2555" s="86" t="str">
        <f>TiposLancamentos!B20</f>
        <v>Saques</v>
      </c>
      <c r="C2555" s="3" t="s">
        <v>3406</v>
      </c>
      <c r="D2555" s="78">
        <v>80</v>
      </c>
      <c r="E2555" s="1480"/>
    </row>
    <row r="2556" spans="1:5">
      <c r="A2556" s="103">
        <v>40083</v>
      </c>
      <c r="B2556" s="86" t="str">
        <f>TiposLancamentos!B24</f>
        <v>Estacionamentos</v>
      </c>
      <c r="C2556" s="3" t="s">
        <v>3889</v>
      </c>
      <c r="D2556" s="78"/>
      <c r="E2556" s="1480">
        <v>18</v>
      </c>
    </row>
    <row r="2557" spans="1:5">
      <c r="A2557" s="103">
        <v>40083</v>
      </c>
      <c r="B2557" s="86" t="str">
        <f>TiposLancamentos!B77</f>
        <v>Esporádico</v>
      </c>
      <c r="C2557" s="3" t="s">
        <v>3890</v>
      </c>
      <c r="D2557" s="78"/>
      <c r="E2557" s="1480">
        <v>30</v>
      </c>
    </row>
    <row r="2558" spans="1:5">
      <c r="A2558" s="103">
        <v>40084</v>
      </c>
      <c r="B2558" s="86" t="str">
        <f>TiposLancamentos!B72</f>
        <v>Presentes</v>
      </c>
      <c r="C2558" s="3" t="s">
        <v>3891</v>
      </c>
      <c r="D2558" s="78"/>
      <c r="E2558" s="1480">
        <v>6.9</v>
      </c>
    </row>
    <row r="2559" spans="1:5">
      <c r="A2559" s="103">
        <v>40084</v>
      </c>
      <c r="B2559" s="86" t="str">
        <f>TiposLancamentos!B18</f>
        <v>Alimentacao</v>
      </c>
      <c r="C2559" s="3" t="s">
        <v>3622</v>
      </c>
      <c r="D2559" s="78"/>
      <c r="E2559" s="1480">
        <v>4.8</v>
      </c>
    </row>
    <row r="2560" spans="1:5">
      <c r="A2560" s="103">
        <v>40084</v>
      </c>
      <c r="B2560" s="86" t="str">
        <f>TiposLancamentos!B24</f>
        <v>Estacionamentos</v>
      </c>
      <c r="C2560" s="3" t="s">
        <v>3892</v>
      </c>
      <c r="D2560" s="78"/>
      <c r="E2560" s="1480">
        <v>4</v>
      </c>
    </row>
    <row r="2561" spans="1:5">
      <c r="A2561" s="103">
        <v>40085</v>
      </c>
      <c r="B2561" s="86" t="str">
        <f>TiposLancamentos!B51</f>
        <v>Marlboro</v>
      </c>
      <c r="C2561" s="3" t="s">
        <v>3893</v>
      </c>
      <c r="D2561" s="78"/>
      <c r="E2561" s="1480">
        <v>8.5</v>
      </c>
    </row>
    <row r="2562" spans="1:5">
      <c r="A2562" s="103">
        <v>40085</v>
      </c>
      <c r="B2562" s="86" t="str">
        <f>TiposLancamentos!B18</f>
        <v>Alimentacao</v>
      </c>
      <c r="C2562" s="3" t="s">
        <v>3524</v>
      </c>
      <c r="D2562" s="78"/>
      <c r="E2562" s="1480">
        <v>5</v>
      </c>
    </row>
    <row r="2563" spans="1:5">
      <c r="A2563" s="103">
        <v>40086</v>
      </c>
      <c r="B2563" s="86" t="str">
        <f>TiposLancamentos!B20</f>
        <v>Saques</v>
      </c>
      <c r="C2563" s="3" t="s">
        <v>3403</v>
      </c>
      <c r="D2563" s="78">
        <v>40</v>
      </c>
      <c r="E2563" s="1480"/>
    </row>
    <row r="2564" spans="1:5">
      <c r="A2564" s="103">
        <v>40086</v>
      </c>
      <c r="B2564" s="86" t="str">
        <f>TiposLancamentos!B60</f>
        <v>Correio</v>
      </c>
      <c r="C2564" s="3" t="s">
        <v>3894</v>
      </c>
      <c r="D2564" s="78"/>
      <c r="E2564" s="1480">
        <f>D2563-12</f>
        <v>28</v>
      </c>
    </row>
    <row r="2565" spans="1:5">
      <c r="A2565" s="103">
        <v>40116</v>
      </c>
      <c r="B2565" s="86" t="str">
        <f>TiposLancamentos!B78</f>
        <v>Diferenças</v>
      </c>
      <c r="C2565" s="3" t="s">
        <v>3895</v>
      </c>
      <c r="D2565" s="78"/>
      <c r="E2565" s="1480">
        <v>13.8</v>
      </c>
    </row>
    <row r="2566" spans="1:5">
      <c r="A2566" s="99"/>
      <c r="B2566" s="1590"/>
      <c r="C2566" s="100" t="s">
        <v>3896</v>
      </c>
      <c r="D2566" s="1591"/>
      <c r="E2566" s="1592"/>
    </row>
    <row r="2567" spans="1:5">
      <c r="A2567" s="103">
        <v>40087</v>
      </c>
      <c r="B2567" s="86" t="str">
        <f>TiposLancamentos!B20</f>
        <v>Saques</v>
      </c>
      <c r="C2567" s="3" t="s">
        <v>3814</v>
      </c>
      <c r="D2567" s="78">
        <v>600</v>
      </c>
      <c r="E2567" s="1480"/>
    </row>
    <row r="2568" spans="1:5">
      <c r="A2568" s="103">
        <v>40087</v>
      </c>
      <c r="B2568" s="86" t="str">
        <f>TiposLancamentos!B75</f>
        <v>Shows</v>
      </c>
      <c r="C2568" s="3" t="s">
        <v>3897</v>
      </c>
      <c r="D2568" s="78"/>
      <c r="E2568" s="1480">
        <v>600</v>
      </c>
    </row>
    <row r="2569" spans="1:5">
      <c r="A2569" s="103">
        <v>40089</v>
      </c>
      <c r="B2569" s="86" t="str">
        <f>TiposLancamentos!B18</f>
        <v>Alimentacao</v>
      </c>
      <c r="C2569" s="3" t="s">
        <v>3898</v>
      </c>
      <c r="D2569" s="78"/>
      <c r="E2569" s="1480">
        <v>17</v>
      </c>
    </row>
    <row r="2570" spans="1:5">
      <c r="A2570" s="103">
        <v>40091</v>
      </c>
      <c r="B2570" s="86" t="str">
        <f>TiposLancamentos!B20</f>
        <v>Saques</v>
      </c>
      <c r="C2570" s="3" t="s">
        <v>3403</v>
      </c>
      <c r="D2570" s="78">
        <v>40</v>
      </c>
      <c r="E2570" s="1480"/>
    </row>
    <row r="2571" spans="1:5">
      <c r="A2571" s="103">
        <v>40091</v>
      </c>
      <c r="B2571" s="86" t="str">
        <f>TiposLancamentos!B86</f>
        <v>Peugeout 207</v>
      </c>
      <c r="C2571" s="3" t="s">
        <v>3899</v>
      </c>
      <c r="D2571" s="78"/>
      <c r="E2571" s="1480">
        <v>18</v>
      </c>
    </row>
    <row r="2572" spans="1:5">
      <c r="A2572" s="103">
        <v>40092</v>
      </c>
      <c r="B2572" s="86" t="str">
        <f>TiposLancamentos!B18</f>
        <v>Alimentacao</v>
      </c>
      <c r="C2572" s="3" t="s">
        <v>3210</v>
      </c>
      <c r="D2572" s="78"/>
      <c r="E2572" s="1480">
        <v>12.45</v>
      </c>
    </row>
    <row r="2573" spans="1:5">
      <c r="A2573" s="103">
        <v>40093</v>
      </c>
      <c r="B2573" s="86" t="str">
        <f>TiposLancamentos!B24</f>
        <v>Estacionamentos</v>
      </c>
      <c r="C2573" s="3" t="s">
        <v>1714</v>
      </c>
      <c r="D2573" s="78"/>
      <c r="E2573" s="1480">
        <v>10</v>
      </c>
    </row>
    <row r="2574" spans="1:5">
      <c r="A2574" s="103">
        <v>40100</v>
      </c>
      <c r="B2574" s="86" t="str">
        <f>TiposLancamentos!B20</f>
        <v>Saques</v>
      </c>
      <c r="C2574" s="3" t="s">
        <v>3900</v>
      </c>
      <c r="D2574" s="78">
        <v>180</v>
      </c>
      <c r="E2574" s="1480"/>
    </row>
    <row r="2575" spans="1:5">
      <c r="A2575" s="103">
        <v>40100</v>
      </c>
      <c r="B2575" s="86" t="str">
        <f>TiposLancamentos!B51</f>
        <v>Marlboro</v>
      </c>
      <c r="C2575" s="3" t="s">
        <v>3827</v>
      </c>
      <c r="D2575" s="78"/>
      <c r="E2575" s="1480">
        <v>4.25</v>
      </c>
    </row>
    <row r="2576" spans="1:5">
      <c r="A2576" s="103">
        <v>40100</v>
      </c>
      <c r="B2576" s="86" t="str">
        <f>TiposLancamentos!B66</f>
        <v>Faxineira</v>
      </c>
      <c r="C2576" s="3" t="s">
        <v>3901</v>
      </c>
      <c r="D2576" s="78"/>
      <c r="E2576" s="1480">
        <v>150</v>
      </c>
    </row>
    <row r="2577" spans="1:5">
      <c r="A2577" s="103">
        <v>40100</v>
      </c>
      <c r="B2577" s="86" t="str">
        <f>TiposLancamentos!B5</f>
        <v>Supermercado</v>
      </c>
      <c r="C2577" s="3" t="s">
        <v>3902</v>
      </c>
      <c r="D2577" s="78"/>
      <c r="E2577" s="1480">
        <v>10</v>
      </c>
    </row>
    <row r="2578" spans="1:5">
      <c r="A2578" s="103">
        <v>40101</v>
      </c>
      <c r="B2578" s="86" t="str">
        <f>TiposLancamentos!B72</f>
        <v>Presentes</v>
      </c>
      <c r="C2578" s="3" t="s">
        <v>3903</v>
      </c>
      <c r="D2578" s="78"/>
      <c r="E2578" s="1480">
        <v>15</v>
      </c>
    </row>
    <row r="2579" spans="1:5">
      <c r="A2579" s="103">
        <v>40103</v>
      </c>
      <c r="B2579" s="86" t="str">
        <f>TiposLancamentos!B20</f>
        <v>Saques</v>
      </c>
      <c r="C2579" s="3" t="s">
        <v>3489</v>
      </c>
      <c r="D2579" s="78">
        <v>90</v>
      </c>
      <c r="E2579" s="1480"/>
    </row>
    <row r="2580" spans="1:5">
      <c r="A2580" s="103">
        <v>40103</v>
      </c>
      <c r="B2580" s="86" t="str">
        <f>TiposLancamentos!B71</f>
        <v>Itens Pessoais</v>
      </c>
      <c r="C2580" s="3" t="s">
        <v>3904</v>
      </c>
      <c r="D2580" s="78"/>
      <c r="E2580" s="1480">
        <v>70</v>
      </c>
    </row>
    <row r="2581" spans="1:5">
      <c r="A2581" s="103">
        <v>40103</v>
      </c>
      <c r="B2581" s="86" t="str">
        <f>TiposLancamentos!B25</f>
        <v>CD_DVD_BD</v>
      </c>
      <c r="C2581" s="3" t="s">
        <v>3905</v>
      </c>
      <c r="D2581" s="78"/>
      <c r="E2581" s="1480">
        <v>20</v>
      </c>
    </row>
    <row r="2582" spans="1:5">
      <c r="A2582" s="103">
        <v>40103</v>
      </c>
      <c r="B2582" s="86" t="str">
        <f>TiposLancamentos!B20</f>
        <v>Saques</v>
      </c>
      <c r="C2582" s="3" t="s">
        <v>3906</v>
      </c>
      <c r="D2582" s="78">
        <v>20</v>
      </c>
      <c r="E2582" s="1480"/>
    </row>
    <row r="2583" spans="1:5">
      <c r="A2583" s="103">
        <v>40103</v>
      </c>
      <c r="B2583" s="86" t="str">
        <f>TiposLancamentos!B18</f>
        <v>Alimentacao</v>
      </c>
      <c r="C2583" s="3" t="s">
        <v>3907</v>
      </c>
      <c r="D2583" s="78"/>
      <c r="E2583" s="1480">
        <v>2.5</v>
      </c>
    </row>
    <row r="2584" spans="1:5">
      <c r="A2584" s="103">
        <v>40103</v>
      </c>
      <c r="B2584" s="86" t="str">
        <f>TiposLancamentos!B24</f>
        <v>Estacionamentos</v>
      </c>
      <c r="C2584" s="3" t="s">
        <v>3454</v>
      </c>
      <c r="D2584" s="78"/>
      <c r="E2584" s="1480">
        <v>5</v>
      </c>
    </row>
    <row r="2585" spans="1:5">
      <c r="A2585" s="103">
        <v>40113</v>
      </c>
      <c r="B2585" s="86" t="str">
        <f>TiposLancamentos!B20</f>
        <v>Saques</v>
      </c>
      <c r="C2585" s="3" t="s">
        <v>3814</v>
      </c>
      <c r="D2585" s="78">
        <v>160</v>
      </c>
      <c r="E2585" s="1480"/>
    </row>
    <row r="2586" spans="1:5">
      <c r="A2586" s="103">
        <v>40113</v>
      </c>
      <c r="B2586" s="86" t="str">
        <f>TiposLancamentos!B16</f>
        <v>Cristiane</v>
      </c>
      <c r="C2586" s="3" t="s">
        <v>3908</v>
      </c>
      <c r="D2586" s="78"/>
      <c r="E2586" s="1480">
        <v>100</v>
      </c>
    </row>
    <row r="2587" spans="1:5">
      <c r="A2587" s="103">
        <v>40114</v>
      </c>
      <c r="B2587" s="86" t="str">
        <f>TiposLancamentos!B22</f>
        <v>Combustivel</v>
      </c>
      <c r="C2587" s="3" t="s">
        <v>3909</v>
      </c>
      <c r="D2587" s="78"/>
      <c r="E2587" s="1480">
        <v>50</v>
      </c>
    </row>
    <row r="2588" spans="1:5">
      <c r="A2588" s="103">
        <v>40114</v>
      </c>
      <c r="B2588" s="86" t="str">
        <f>TiposLancamentos!B18</f>
        <v>Alimentacao</v>
      </c>
      <c r="C2588" s="3" t="s">
        <v>3910</v>
      </c>
      <c r="D2588" s="78"/>
      <c r="E2588" s="1480">
        <v>5</v>
      </c>
    </row>
    <row r="2589" spans="1:5">
      <c r="A2589" s="103">
        <v>40114</v>
      </c>
      <c r="B2589" s="86" t="str">
        <f>TiposLancamentos!B13</f>
        <v>Moradia</v>
      </c>
      <c r="C2589" s="3" t="s">
        <v>3911</v>
      </c>
      <c r="D2589" s="78"/>
      <c r="E2589" s="1480">
        <v>4.75</v>
      </c>
    </row>
    <row r="2590" spans="1:5">
      <c r="A2590" s="103">
        <v>40117</v>
      </c>
      <c r="B2590" s="86" t="str">
        <f>TiposLancamentos!B24</f>
        <v>Estacionamentos</v>
      </c>
      <c r="C2590" s="3"/>
      <c r="D2590" s="78"/>
      <c r="E2590" s="1480">
        <v>5</v>
      </c>
    </row>
    <row r="2591" spans="1:5">
      <c r="A2591" s="103">
        <v>40117</v>
      </c>
      <c r="B2591" s="86" t="str">
        <f>TiposLancamentos!B18</f>
        <v>Alimentacao</v>
      </c>
      <c r="C2591" s="3"/>
      <c r="D2591" s="78"/>
      <c r="E2591" s="1480">
        <v>8.5</v>
      </c>
    </row>
    <row r="2592" spans="1:5">
      <c r="A2592" s="99"/>
      <c r="B2592" s="1590"/>
      <c r="C2592" s="100" t="s">
        <v>3912</v>
      </c>
      <c r="D2592" s="1591"/>
      <c r="E2592" s="1592"/>
    </row>
    <row r="2593" spans="1:5">
      <c r="A2593" s="103">
        <v>40120</v>
      </c>
      <c r="B2593" s="86" t="str">
        <f>TiposLancamentos!B20</f>
        <v>Saques</v>
      </c>
      <c r="C2593" s="3" t="s">
        <v>3814</v>
      </c>
      <c r="D2593" s="78">
        <v>20</v>
      </c>
      <c r="E2593" s="1480"/>
    </row>
    <row r="2594" spans="1:5">
      <c r="A2594" s="103">
        <v>40121</v>
      </c>
      <c r="B2594" s="86" t="str">
        <f>TiposLancamentos!B51</f>
        <v>Marlboro</v>
      </c>
      <c r="C2594" s="3" t="s">
        <v>3913</v>
      </c>
      <c r="D2594" s="78"/>
      <c r="E2594" s="1480">
        <v>4.5</v>
      </c>
    </row>
    <row r="2595" spans="1:5">
      <c r="A2595" s="103">
        <v>40121</v>
      </c>
      <c r="B2595" s="86" t="str">
        <f>TiposLancamentos!B98</f>
        <v>Restituições</v>
      </c>
      <c r="C2595" s="3" t="s">
        <v>3914</v>
      </c>
      <c r="D2595" s="78"/>
      <c r="E2595" s="1480">
        <v>5</v>
      </c>
    </row>
    <row r="2596" spans="1:5">
      <c r="A2596" s="103">
        <v>40121</v>
      </c>
      <c r="B2596" s="86" t="str">
        <f>TiposLancamentos!B18</f>
        <v>Alimentacao</v>
      </c>
      <c r="C2596" s="3" t="s">
        <v>3915</v>
      </c>
      <c r="D2596" s="78"/>
      <c r="E2596" s="1480">
        <v>5.5</v>
      </c>
    </row>
    <row r="2597" spans="1:5">
      <c r="A2597" s="103">
        <v>40124</v>
      </c>
      <c r="B2597" s="86" t="str">
        <f>TiposLancamentos!B20</f>
        <v>Saques</v>
      </c>
      <c r="C2597" s="3" t="s">
        <v>3406</v>
      </c>
      <c r="D2597" s="78">
        <v>320</v>
      </c>
      <c r="E2597" s="1480"/>
    </row>
    <row r="2598" spans="1:5">
      <c r="A2598" s="103">
        <v>40124</v>
      </c>
      <c r="B2598" s="86" t="str">
        <f>TiposLancamentos!B16</f>
        <v>Cristiane</v>
      </c>
      <c r="C2598" s="3" t="s">
        <v>3916</v>
      </c>
      <c r="D2598" s="78"/>
      <c r="E2598" s="1480">
        <v>300</v>
      </c>
    </row>
    <row r="2599" spans="1:5">
      <c r="A2599" s="103">
        <v>40125</v>
      </c>
      <c r="B2599" s="86" t="str">
        <f>TiposLancamentos!B24</f>
        <v>Estacionamentos</v>
      </c>
      <c r="C2599" s="3" t="s">
        <v>3917</v>
      </c>
      <c r="D2599" s="78"/>
      <c r="E2599" s="1480">
        <v>13</v>
      </c>
    </row>
    <row r="2600" spans="1:5">
      <c r="A2600" s="103">
        <v>40126</v>
      </c>
      <c r="B2600" s="86" t="str">
        <f>TiposLancamentos!B51</f>
        <v>Marlboro</v>
      </c>
      <c r="C2600" s="3" t="s">
        <v>3510</v>
      </c>
      <c r="D2600" s="78"/>
      <c r="E2600" s="1480">
        <v>4.25</v>
      </c>
    </row>
    <row r="2601" spans="1:5">
      <c r="A2601" s="103">
        <v>40126</v>
      </c>
      <c r="B2601" s="86" t="str">
        <f>TiposLancamentos!B20</f>
        <v>Saques</v>
      </c>
      <c r="C2601" s="3" t="s">
        <v>3792</v>
      </c>
      <c r="D2601" s="78">
        <v>230</v>
      </c>
      <c r="E2601" s="1480"/>
    </row>
    <row r="2602" spans="1:5">
      <c r="A2602" s="103">
        <v>40126</v>
      </c>
      <c r="B2602" s="86" t="str">
        <f>B2596</f>
        <v>Alimentacao</v>
      </c>
      <c r="C2602" s="3" t="s">
        <v>3777</v>
      </c>
      <c r="D2602" s="78"/>
      <c r="E2602" s="1480">
        <v>2.75</v>
      </c>
    </row>
    <row r="2603" spans="1:5">
      <c r="A2603" s="103">
        <v>40128</v>
      </c>
      <c r="B2603" s="86" t="str">
        <f>TiposLancamentos!B54</f>
        <v>Metro</v>
      </c>
      <c r="C2603" s="3" t="s">
        <v>3918</v>
      </c>
      <c r="D2603" s="78"/>
      <c r="E2603" s="1480">
        <f>2.55*2</f>
        <v>5.0999999999999996</v>
      </c>
    </row>
    <row r="2604" spans="1:5">
      <c r="A2604" s="103">
        <v>40128</v>
      </c>
      <c r="B2604" s="86" t="str">
        <f>TiposLancamentos!B57</f>
        <v>Informática</v>
      </c>
      <c r="C2604" s="3" t="s">
        <v>3919</v>
      </c>
      <c r="D2604" s="78"/>
      <c r="E2604" s="1480">
        <v>13</v>
      </c>
    </row>
    <row r="2605" spans="1:5">
      <c r="A2605" s="103">
        <v>40128</v>
      </c>
      <c r="B2605" s="86" t="str">
        <f>TiposLancamentos!B57</f>
        <v>Informática</v>
      </c>
      <c r="C2605" s="3" t="s">
        <v>3920</v>
      </c>
      <c r="D2605" s="78"/>
      <c r="E2605" s="1480">
        <v>15</v>
      </c>
    </row>
    <row r="2606" spans="1:5">
      <c r="A2606" s="103">
        <v>40128</v>
      </c>
      <c r="B2606" s="86" t="str">
        <f>TiposLancamentos!B19</f>
        <v>Restaurantes</v>
      </c>
      <c r="C2606" s="3" t="s">
        <v>3746</v>
      </c>
      <c r="D2606" s="78"/>
      <c r="E2606" s="1480">
        <f>(14.9+5.5)-0.9</f>
        <v>19.5</v>
      </c>
    </row>
    <row r="2607" spans="1:5">
      <c r="A2607" s="103">
        <v>40128</v>
      </c>
      <c r="B2607" s="86" t="str">
        <f>TiposLancamentos!B57</f>
        <v>Informática</v>
      </c>
      <c r="C2607" s="3" t="s">
        <v>3921</v>
      </c>
      <c r="D2607" s="78"/>
      <c r="E2607" s="1480">
        <v>7</v>
      </c>
    </row>
    <row r="2608" spans="1:5">
      <c r="A2608" s="103">
        <v>40128</v>
      </c>
      <c r="B2608" s="86" t="str">
        <f>TiposLancamentos!B18</f>
        <v>Alimentacao</v>
      </c>
      <c r="C2608" s="3" t="s">
        <v>3840</v>
      </c>
      <c r="D2608" s="78"/>
      <c r="E2608" s="1480">
        <v>3.5</v>
      </c>
    </row>
    <row r="2609" spans="1:5">
      <c r="A2609" s="103">
        <v>40128</v>
      </c>
      <c r="B2609" s="86" t="str">
        <f>TiposLancamentos!B18</f>
        <v>Alimentacao</v>
      </c>
      <c r="C2609" s="3" t="s">
        <v>3524</v>
      </c>
      <c r="D2609" s="78"/>
      <c r="E2609" s="1480">
        <v>1.2</v>
      </c>
    </row>
    <row r="2610" spans="1:5">
      <c r="A2610" s="103">
        <v>40128</v>
      </c>
      <c r="B2610" s="86" t="str">
        <f>TiposLancamentos!B66</f>
        <v>Faxineira</v>
      </c>
      <c r="C2610" s="3" t="s">
        <v>3922</v>
      </c>
      <c r="D2610" s="78"/>
      <c r="E2610" s="1480">
        <v>150</v>
      </c>
    </row>
    <row r="2611" spans="1:5">
      <c r="A2611" s="103">
        <v>40129</v>
      </c>
      <c r="B2611" s="86" t="str">
        <f>TiposLancamentos!B18</f>
        <v>Alimentacao</v>
      </c>
      <c r="C2611" s="3" t="s">
        <v>3923</v>
      </c>
      <c r="D2611" s="78"/>
      <c r="E2611" s="1480">
        <f>4.5+2.5</f>
        <v>7</v>
      </c>
    </row>
    <row r="2612" spans="1:5">
      <c r="A2612" s="103">
        <v>40129</v>
      </c>
      <c r="B2612" s="86" t="str">
        <f>TiposLancamentos!B20</f>
        <v>Saques</v>
      </c>
      <c r="C2612" s="3" t="s">
        <v>3792</v>
      </c>
      <c r="D2612" s="78">
        <v>40</v>
      </c>
      <c r="E2612" s="1480"/>
    </row>
    <row r="2613" spans="1:5">
      <c r="A2613" s="103">
        <v>40129</v>
      </c>
      <c r="B2613" s="86" t="str">
        <f>TiposLancamentos!B71</f>
        <v>Itens Pessoais</v>
      </c>
      <c r="C2613" s="3" t="s">
        <v>3924</v>
      </c>
      <c r="D2613" s="78"/>
      <c r="E2613" s="1480">
        <v>40</v>
      </c>
    </row>
    <row r="2614" spans="1:5">
      <c r="A2614" s="103">
        <v>40131</v>
      </c>
      <c r="B2614" s="86" t="str">
        <f>TiposLancamentos!B20</f>
        <v>Saques</v>
      </c>
      <c r="C2614" s="3" t="s">
        <v>3792</v>
      </c>
      <c r="D2614" s="78">
        <v>800</v>
      </c>
      <c r="E2614" s="1480"/>
    </row>
    <row r="2615" spans="1:5">
      <c r="A2615" s="103">
        <v>40131</v>
      </c>
      <c r="B2615" s="86" t="str">
        <f>TiposLancamentos!B13</f>
        <v>Moradia</v>
      </c>
      <c r="C2615" s="3" t="s">
        <v>3925</v>
      </c>
      <c r="D2615" s="78"/>
      <c r="E2615" s="1480">
        <v>200</v>
      </c>
    </row>
    <row r="2616" spans="1:5">
      <c r="A2616" s="103">
        <v>40133</v>
      </c>
      <c r="B2616" s="86" t="str">
        <f>TiposLancamentos!B65</f>
        <v>Taxi</v>
      </c>
      <c r="C2616" s="3" t="s">
        <v>3926</v>
      </c>
      <c r="D2616" s="78"/>
      <c r="E2616" s="1480">
        <v>160</v>
      </c>
    </row>
    <row r="2617" spans="1:5">
      <c r="A2617" s="103">
        <v>40134</v>
      </c>
      <c r="B2617" s="86" t="str">
        <f>TiposLancamentos!B19</f>
        <v>Restaurantes</v>
      </c>
      <c r="C2617" s="3" t="s">
        <v>3927</v>
      </c>
      <c r="D2617" s="78"/>
      <c r="E2617" s="1480">
        <v>267.5</v>
      </c>
    </row>
    <row r="2618" spans="1:5">
      <c r="A2618" s="103">
        <v>40138</v>
      </c>
      <c r="B2618" s="86" t="str">
        <f>TiposLancamentos!B72</f>
        <v>Presentes</v>
      </c>
      <c r="C2618" s="3" t="s">
        <v>3928</v>
      </c>
      <c r="D2618" s="78"/>
      <c r="E2618" s="1480">
        <v>180</v>
      </c>
    </row>
    <row r="2619" spans="1:5">
      <c r="A2619" s="103">
        <v>40138</v>
      </c>
      <c r="B2619" s="86" t="str">
        <f>TiposLancamentos!B20</f>
        <v>Saques</v>
      </c>
      <c r="C2619" s="3" t="s">
        <v>3929</v>
      </c>
      <c r="D2619" s="78">
        <v>160</v>
      </c>
      <c r="E2619" s="1480"/>
    </row>
    <row r="2620" spans="1:5">
      <c r="A2620" s="103">
        <v>40138</v>
      </c>
      <c r="B2620" s="86" t="str">
        <f>TiposLancamentos!B25</f>
        <v>CD_DVD_BD</v>
      </c>
      <c r="C2620" s="3" t="s">
        <v>3930</v>
      </c>
      <c r="D2620" s="78"/>
      <c r="E2620" s="1480">
        <v>50</v>
      </c>
    </row>
    <row r="2621" spans="1:5">
      <c r="A2621" s="103">
        <v>40138</v>
      </c>
      <c r="B2621" s="86" t="str">
        <f>B2617</f>
        <v>Restaurantes</v>
      </c>
      <c r="C2621" s="3" t="s">
        <v>3931</v>
      </c>
      <c r="D2621" s="78"/>
      <c r="E2621" s="1480">
        <v>27</v>
      </c>
    </row>
    <row r="2622" spans="1:5">
      <c r="A2622" s="103">
        <v>40139</v>
      </c>
      <c r="B2622" s="86" t="str">
        <f>B2617</f>
        <v>Restaurantes</v>
      </c>
      <c r="C2622" s="3" t="s">
        <v>3932</v>
      </c>
      <c r="D2622" s="78"/>
      <c r="E2622" s="1480">
        <v>17</v>
      </c>
    </row>
    <row r="2623" spans="1:5">
      <c r="A2623" s="103">
        <v>40139</v>
      </c>
      <c r="B2623" s="86" t="str">
        <f>B2621</f>
        <v>Restaurantes</v>
      </c>
      <c r="C2623" s="3" t="s">
        <v>3933</v>
      </c>
      <c r="D2623" s="78"/>
      <c r="E2623" s="1480">
        <v>25.5</v>
      </c>
    </row>
    <row r="2624" spans="1:5">
      <c r="A2624" s="103">
        <v>40141</v>
      </c>
      <c r="B2624" s="86" t="str">
        <f>TiposLancamentos!B16</f>
        <v>Cristiane</v>
      </c>
      <c r="C2624" s="3" t="s">
        <v>1698</v>
      </c>
      <c r="D2624" s="78"/>
      <c r="E2624" s="1480">
        <v>25</v>
      </c>
    </row>
    <row r="2625" spans="1:5">
      <c r="A2625" s="103">
        <v>40141</v>
      </c>
      <c r="B2625" s="86" t="str">
        <f>TiposLancamentos!B18</f>
        <v>Alimentacao</v>
      </c>
      <c r="C2625" s="3" t="s">
        <v>3934</v>
      </c>
      <c r="D2625" s="78"/>
      <c r="E2625" s="1480">
        <v>5.9</v>
      </c>
    </row>
    <row r="2626" spans="1:5">
      <c r="A2626" s="103">
        <v>40142</v>
      </c>
      <c r="B2626" s="86" t="str">
        <f>TiposLancamentos!B20</f>
        <v>Saques</v>
      </c>
      <c r="C2626" s="3" t="s">
        <v>3406</v>
      </c>
      <c r="D2626" s="78">
        <v>240</v>
      </c>
      <c r="E2626" s="1480"/>
    </row>
    <row r="2627" spans="1:5">
      <c r="A2627" s="103">
        <v>40142</v>
      </c>
      <c r="B2627" s="86" t="str">
        <f>TiposLancamentos!B105</f>
        <v>Transf. Bco</v>
      </c>
      <c r="C2627" s="3" t="s">
        <v>3935</v>
      </c>
      <c r="D2627" s="78"/>
      <c r="E2627" s="1480">
        <v>200</v>
      </c>
    </row>
    <row r="2628" spans="1:5">
      <c r="A2628" s="103">
        <v>40143</v>
      </c>
      <c r="B2628" s="86" t="str">
        <f>TiposLancamentos!B24</f>
        <v>Estacionamentos</v>
      </c>
      <c r="C2628" s="3" t="s">
        <v>3936</v>
      </c>
      <c r="D2628" s="78"/>
      <c r="E2628" s="1480">
        <v>8</v>
      </c>
    </row>
    <row r="2629" spans="1:5">
      <c r="A2629" s="103">
        <v>40143</v>
      </c>
      <c r="B2629" s="86" t="str">
        <f>TiposLancamentos!B19</f>
        <v>Restaurantes</v>
      </c>
      <c r="C2629" s="3" t="s">
        <v>3937</v>
      </c>
      <c r="D2629" s="78"/>
      <c r="E2629" s="1480">
        <v>2.2000000000000002</v>
      </c>
    </row>
    <row r="2630" spans="1:5">
      <c r="A2630" s="103">
        <v>40143</v>
      </c>
      <c r="B2630" s="86" t="str">
        <f>TiposLancamentos!B19</f>
        <v>Restaurantes</v>
      </c>
      <c r="C2630" s="3" t="s">
        <v>3938</v>
      </c>
      <c r="D2630" s="78"/>
      <c r="E2630" s="1480">
        <v>23.15</v>
      </c>
    </row>
    <row r="2631" spans="1:5">
      <c r="A2631" s="103">
        <v>40144</v>
      </c>
      <c r="B2631" s="86" t="str">
        <f>TiposLancamentos!B20</f>
        <v>Saques</v>
      </c>
      <c r="C2631" s="3" t="s">
        <v>3406</v>
      </c>
      <c r="D2631" s="78">
        <v>100</v>
      </c>
      <c r="E2631" s="1480"/>
    </row>
    <row r="2632" spans="1:5">
      <c r="A2632" s="103">
        <v>40144</v>
      </c>
      <c r="B2632" s="86" t="str">
        <f>TiposLancamentos!B65</f>
        <v>Taxi</v>
      </c>
      <c r="C2632" s="3" t="s">
        <v>3939</v>
      </c>
      <c r="D2632" s="78"/>
      <c r="E2632" s="1480">
        <v>17</v>
      </c>
    </row>
    <row r="2633" spans="1:5">
      <c r="A2633" s="103">
        <v>40144</v>
      </c>
      <c r="B2633" s="86" t="str">
        <f>TiposLancamentos!B18</f>
        <v>Alimentacao</v>
      </c>
      <c r="C2633" s="3" t="s">
        <v>3940</v>
      </c>
      <c r="D2633" s="78"/>
      <c r="E2633" s="1480">
        <v>10</v>
      </c>
    </row>
    <row r="2634" spans="1:5">
      <c r="A2634" s="103">
        <v>40144</v>
      </c>
      <c r="B2634" s="86" t="str">
        <f>TiposLancamentos!B55</f>
        <v>Onibus Urbano</v>
      </c>
      <c r="C2634" s="3" t="s">
        <v>3941</v>
      </c>
      <c r="D2634" s="78"/>
      <c r="E2634" s="1480">
        <v>40</v>
      </c>
    </row>
    <row r="2635" spans="1:5">
      <c r="A2635" s="103">
        <v>40144</v>
      </c>
      <c r="B2635" s="86" t="str">
        <f>TiposLancamentos!B74</f>
        <v>Noite</v>
      </c>
      <c r="C2635" s="3" t="s">
        <v>3942</v>
      </c>
      <c r="D2635" s="78"/>
      <c r="E2635" s="1480">
        <v>20</v>
      </c>
    </row>
    <row r="2636" spans="1:5">
      <c r="A2636" s="103">
        <v>40144</v>
      </c>
      <c r="B2636" s="86" t="str">
        <f>TiposLancamentos!B5</f>
        <v>Supermercado</v>
      </c>
      <c r="C2636" s="3" t="s">
        <v>3943</v>
      </c>
      <c r="D2636" s="78"/>
      <c r="E2636" s="1480">
        <v>18.8</v>
      </c>
    </row>
    <row r="2637" spans="1:5">
      <c r="A2637" s="103">
        <v>40144</v>
      </c>
      <c r="B2637" s="86" t="str">
        <f>TiposLancamentos!B24</f>
        <v>Estacionamentos</v>
      </c>
      <c r="C2637" s="3" t="s">
        <v>1714</v>
      </c>
      <c r="D2637" s="78"/>
      <c r="E2637" s="1480">
        <v>6.65</v>
      </c>
    </row>
    <row r="2638" spans="1:5">
      <c r="A2638" s="99"/>
      <c r="B2638" s="1590"/>
      <c r="C2638" s="1593" t="s">
        <v>3944</v>
      </c>
      <c r="D2638" s="1591"/>
      <c r="E2638" s="1592"/>
    </row>
    <row r="2639" spans="1:5">
      <c r="A2639" s="103">
        <v>40148</v>
      </c>
      <c r="B2639" s="86" t="str">
        <f>TiposLancamentos!B16</f>
        <v>Cristiane</v>
      </c>
      <c r="C2639" s="3" t="s">
        <v>1698</v>
      </c>
      <c r="D2639" s="78"/>
      <c r="E2639" s="1480">
        <v>10</v>
      </c>
    </row>
    <row r="2640" spans="1:5">
      <c r="A2640" s="103">
        <v>40152</v>
      </c>
      <c r="B2640" s="86" t="str">
        <f>TiposLancamentos!B20</f>
        <v>Saques</v>
      </c>
      <c r="C2640" s="3" t="s">
        <v>3403</v>
      </c>
      <c r="D2640" s="78">
        <v>30</v>
      </c>
      <c r="E2640" s="1480"/>
    </row>
    <row r="2641" spans="1:5">
      <c r="A2641" s="103">
        <v>40152</v>
      </c>
      <c r="B2641" s="86" t="str">
        <f>TiposLancamentos!B57</f>
        <v>Informática</v>
      </c>
      <c r="C2641" s="3" t="s">
        <v>3945</v>
      </c>
      <c r="D2641" s="78"/>
      <c r="E2641" s="1480">
        <v>6.4</v>
      </c>
    </row>
    <row r="2642" spans="1:5">
      <c r="A2642" s="103">
        <v>40152</v>
      </c>
      <c r="B2642" s="86" t="str">
        <f>TiposLancamentos!B24</f>
        <v>Estacionamentos</v>
      </c>
      <c r="C2642" s="3" t="s">
        <v>3946</v>
      </c>
      <c r="D2642" s="78"/>
      <c r="E2642" s="1480">
        <v>7</v>
      </c>
    </row>
    <row r="2643" spans="1:5">
      <c r="A2643" s="103">
        <v>40154</v>
      </c>
      <c r="B2643" s="86" t="str">
        <f>TiposLancamentos!B5</f>
        <v>Supermercado</v>
      </c>
      <c r="C2643" s="3" t="s">
        <v>3947</v>
      </c>
      <c r="D2643" s="78"/>
      <c r="E2643" s="1480">
        <f>8</f>
        <v>8</v>
      </c>
    </row>
    <row r="2644" spans="1:5">
      <c r="A2644" s="103">
        <v>40154</v>
      </c>
      <c r="B2644" s="86" t="str">
        <f>TiposLancamentos!B18</f>
        <v>Alimentacao</v>
      </c>
      <c r="C2644" s="3" t="s">
        <v>3948</v>
      </c>
      <c r="D2644" s="78"/>
      <c r="E2644" s="1480">
        <f>4.5</f>
        <v>4.5</v>
      </c>
    </row>
    <row r="2645" spans="1:5">
      <c r="A2645" s="103">
        <v>40157</v>
      </c>
      <c r="B2645" s="86" t="str">
        <f>TiposLancamentos!B18</f>
        <v>Alimentacao</v>
      </c>
      <c r="C2645" s="3" t="s">
        <v>3949</v>
      </c>
      <c r="D2645" s="78"/>
      <c r="E2645" s="1480">
        <v>4.0999999999999996</v>
      </c>
    </row>
    <row r="2646" spans="1:5">
      <c r="A2646" s="103">
        <v>40161</v>
      </c>
      <c r="B2646" s="86" t="str">
        <f>TiposLancamentos!B20</f>
        <v>Saques</v>
      </c>
      <c r="C2646" s="3" t="s">
        <v>3403</v>
      </c>
      <c r="D2646" s="78">
        <v>30</v>
      </c>
      <c r="E2646" s="1480"/>
    </row>
    <row r="2647" spans="1:5">
      <c r="A2647" s="103">
        <v>40161</v>
      </c>
      <c r="B2647" s="86" t="str">
        <f>TiposLancamentos!B56</f>
        <v>Farmácia</v>
      </c>
      <c r="C2647" s="3" t="s">
        <v>3950</v>
      </c>
      <c r="D2647" s="78"/>
      <c r="E2647" s="1480">
        <v>8.75</v>
      </c>
    </row>
    <row r="2648" spans="1:5">
      <c r="A2648" s="103">
        <v>40161</v>
      </c>
      <c r="B2648" s="86" t="str">
        <f>TiposLancamentos!B18</f>
        <v>Alimentacao</v>
      </c>
      <c r="C2648" s="3" t="s">
        <v>3951</v>
      </c>
      <c r="D2648" s="78"/>
      <c r="E2648" s="1480">
        <v>5</v>
      </c>
    </row>
    <row r="2649" spans="1:5">
      <c r="A2649" s="103">
        <v>40161</v>
      </c>
      <c r="B2649" s="86" t="str">
        <f>TiposLancamentos!B100</f>
        <v>Emprestimos</v>
      </c>
      <c r="C2649" s="3" t="s">
        <v>3952</v>
      </c>
      <c r="D2649" s="78"/>
      <c r="E2649" s="1480">
        <v>1</v>
      </c>
    </row>
    <row r="2650" spans="1:5">
      <c r="A2650" s="103">
        <v>40161</v>
      </c>
      <c r="B2650" s="86" t="str">
        <f>TiposLancamentos!B98</f>
        <v>Restituições</v>
      </c>
      <c r="C2650" s="3" t="s">
        <v>3953</v>
      </c>
      <c r="D2650" s="78">
        <v>30</v>
      </c>
      <c r="E2650" s="1480"/>
    </row>
    <row r="2651" spans="1:5">
      <c r="A2651" s="103">
        <v>40161</v>
      </c>
      <c r="B2651" s="86" t="str">
        <f>TiposLancamentos!B24</f>
        <v>Estacionamentos</v>
      </c>
      <c r="C2651" s="3" t="s">
        <v>3954</v>
      </c>
      <c r="D2651" s="78"/>
      <c r="E2651" s="1480">
        <v>3</v>
      </c>
    </row>
    <row r="2652" spans="1:5">
      <c r="A2652" s="103">
        <v>40161</v>
      </c>
      <c r="B2652" s="86" t="str">
        <f>TiposLancamentos!B17</f>
        <v>GATO</v>
      </c>
      <c r="C2652" s="3" t="s">
        <v>3955</v>
      </c>
      <c r="D2652" s="78"/>
      <c r="E2652" s="1480">
        <v>16.5</v>
      </c>
    </row>
    <row r="2653" spans="1:5">
      <c r="A2653" s="103">
        <v>40162</v>
      </c>
      <c r="B2653" s="86" t="str">
        <f>TiposLancamentos!B18</f>
        <v>Alimentacao</v>
      </c>
      <c r="C2653" s="3" t="s">
        <v>3956</v>
      </c>
      <c r="D2653" s="78"/>
      <c r="E2653" s="1480">
        <v>6.5</v>
      </c>
    </row>
    <row r="2654" spans="1:5">
      <c r="A2654" s="103">
        <v>40162</v>
      </c>
      <c r="B2654" s="86" t="str">
        <f>TiposLancamentos!B29</f>
        <v>Mangá</v>
      </c>
      <c r="C2654" s="3" t="s">
        <v>3957</v>
      </c>
      <c r="D2654" s="78"/>
      <c r="E2654" s="1480">
        <v>9.9</v>
      </c>
    </row>
    <row r="2655" spans="1:5">
      <c r="A2655" s="103">
        <v>40162</v>
      </c>
      <c r="B2655" s="86" t="str">
        <f>TiposLancamentos!B20</f>
        <v>Saques</v>
      </c>
      <c r="C2655" s="3" t="s">
        <v>3403</v>
      </c>
      <c r="D2655" s="78"/>
      <c r="E2655" s="1480"/>
    </row>
    <row r="2656" spans="1:5">
      <c r="A2656" s="103">
        <v>40163</v>
      </c>
      <c r="B2656" s="86" t="str">
        <f>TiposLancamentos!B66</f>
        <v>Faxineira</v>
      </c>
      <c r="C2656" s="3" t="s">
        <v>3958</v>
      </c>
      <c r="D2656" s="78"/>
      <c r="E2656" s="1480"/>
    </row>
    <row r="2657" spans="1:5">
      <c r="A2657" s="103">
        <v>40166</v>
      </c>
      <c r="B2657" s="86" t="str">
        <f>TiposLancamentos!B20</f>
        <v>Saques</v>
      </c>
      <c r="C2657" s="3" t="s">
        <v>3792</v>
      </c>
      <c r="D2657" s="78">
        <v>210</v>
      </c>
      <c r="E2657" s="1480"/>
    </row>
    <row r="2658" spans="1:5">
      <c r="A2658" s="103">
        <v>40166</v>
      </c>
      <c r="B2658" s="86" t="str">
        <f>TiposLancamentos!B16</f>
        <v>Cristiane</v>
      </c>
      <c r="C2658" s="3" t="s">
        <v>3016</v>
      </c>
      <c r="D2658" s="78"/>
      <c r="E2658" s="1480">
        <v>210</v>
      </c>
    </row>
    <row r="2659" spans="1:5">
      <c r="A2659" s="103">
        <v>40167</v>
      </c>
      <c r="B2659" s="86" t="str">
        <f>TiposLancamentos!B13</f>
        <v>Moradia</v>
      </c>
      <c r="C2659" s="3" t="s">
        <v>3959</v>
      </c>
      <c r="D2659" s="78"/>
      <c r="E2659" s="1480">
        <v>4.7</v>
      </c>
    </row>
    <row r="2660" spans="1:5">
      <c r="A2660" s="103">
        <v>40169</v>
      </c>
      <c r="B2660" s="86" t="str">
        <f>TiposLancamentos!B20</f>
        <v>Saques</v>
      </c>
      <c r="C2660" s="3" t="s">
        <v>3406</v>
      </c>
      <c r="D2660" s="78">
        <v>50</v>
      </c>
      <c r="E2660" s="1480"/>
    </row>
    <row r="2661" spans="1:5">
      <c r="A2661" s="103">
        <v>40169</v>
      </c>
      <c r="B2661" s="86" t="str">
        <f>TiposLancamentos!B71</f>
        <v>Itens Pessoais</v>
      </c>
      <c r="C2661" s="3" t="s">
        <v>1964</v>
      </c>
      <c r="D2661" s="78"/>
      <c r="E2661" s="1480">
        <v>18</v>
      </c>
    </row>
    <row r="2662" spans="1:5">
      <c r="A2662" s="103">
        <v>40169</v>
      </c>
      <c r="B2662" s="86" t="str">
        <f>TiposLancamentos!B19</f>
        <v>Restaurantes</v>
      </c>
      <c r="C2662" s="3" t="s">
        <v>3960</v>
      </c>
      <c r="D2662" s="78"/>
      <c r="E2662" s="1480">
        <v>11.7</v>
      </c>
    </row>
    <row r="2663" spans="1:5">
      <c r="A2663" s="103">
        <v>40169</v>
      </c>
      <c r="B2663" s="86" t="str">
        <f>TiposLancamentos!B24</f>
        <v>Estacionamentos</v>
      </c>
      <c r="C2663" s="3" t="s">
        <v>1714</v>
      </c>
      <c r="D2663" s="78"/>
      <c r="E2663" s="1480">
        <v>3</v>
      </c>
    </row>
    <row r="2664" spans="1:5">
      <c r="A2664" s="103">
        <v>40171</v>
      </c>
      <c r="B2664" s="86" t="str">
        <f>TiposLancamentos!B16</f>
        <v>Cristiane</v>
      </c>
      <c r="C2664" s="3" t="s">
        <v>2888</v>
      </c>
      <c r="D2664" s="78">
        <v>37.29</v>
      </c>
      <c r="E2664" s="1480"/>
    </row>
    <row r="2665" spans="1:5">
      <c r="A2665" s="103">
        <v>40171</v>
      </c>
      <c r="B2665" s="86" t="str">
        <f>TiposLancamentos!B33</f>
        <v>Pedágios</v>
      </c>
      <c r="C2665" s="3" t="s">
        <v>2749</v>
      </c>
      <c r="D2665" s="78"/>
      <c r="E2665" s="1480">
        <v>10.7</v>
      </c>
    </row>
    <row r="2666" spans="1:5">
      <c r="A2666" s="103">
        <v>40171</v>
      </c>
      <c r="B2666" s="86" t="str">
        <f>TiposLancamentos!B33</f>
        <v>Pedágios</v>
      </c>
      <c r="C2666" s="3" t="s">
        <v>3961</v>
      </c>
      <c r="D2666" s="78"/>
      <c r="E2666" s="1480">
        <v>11.7</v>
      </c>
    </row>
    <row r="2667" spans="1:5">
      <c r="A2667" s="103">
        <v>40174</v>
      </c>
      <c r="B2667" s="86" t="str">
        <f>TiposLancamentos!B56</f>
        <v>Farmácia</v>
      </c>
      <c r="C2667" s="3" t="s">
        <v>3962</v>
      </c>
      <c r="D2667" s="78"/>
      <c r="E2667" s="1480">
        <v>10.44</v>
      </c>
    </row>
    <row r="2668" spans="1:5">
      <c r="A2668" s="103">
        <v>40175</v>
      </c>
      <c r="B2668" s="86" t="str">
        <f>TiposLancamentos!B33</f>
        <v>Pedágios</v>
      </c>
      <c r="C2668" s="3" t="s">
        <v>3963</v>
      </c>
      <c r="D2668" s="78"/>
      <c r="E2668" s="1480">
        <v>11.7</v>
      </c>
    </row>
    <row r="2669" spans="1:5">
      <c r="A2669" s="103">
        <v>40175</v>
      </c>
      <c r="B2669" s="86" t="str">
        <f>TiposLancamentos!B33</f>
        <v>Pedágios</v>
      </c>
      <c r="C2669" s="3" t="s">
        <v>3964</v>
      </c>
      <c r="D2669" s="78"/>
      <c r="E2669" s="1480">
        <v>10.7</v>
      </c>
    </row>
    <row r="2670" spans="1:5">
      <c r="A2670" s="99"/>
      <c r="B2670" s="1590"/>
      <c r="C2670" s="100" t="s">
        <v>3965</v>
      </c>
      <c r="D2670" s="1591"/>
      <c r="E2670" s="1592"/>
    </row>
    <row r="2671" spans="1:5">
      <c r="A2671" s="103">
        <v>40180</v>
      </c>
      <c r="B2671" s="86" t="str">
        <f>TiposLancamentos!B24</f>
        <v>Estacionamentos</v>
      </c>
      <c r="C2671" s="3" t="s">
        <v>3966</v>
      </c>
      <c r="D2671" s="78"/>
      <c r="E2671" s="1480">
        <v>4</v>
      </c>
    </row>
    <row r="2672" spans="1:5">
      <c r="A2672" s="103">
        <v>40187</v>
      </c>
      <c r="B2672" s="86" t="str">
        <f>TiposLancamentos!B20</f>
        <v>Saques</v>
      </c>
      <c r="C2672" s="3" t="s">
        <v>3814</v>
      </c>
      <c r="D2672" s="78">
        <v>90</v>
      </c>
      <c r="E2672" s="1480"/>
    </row>
    <row r="2673" spans="1:5">
      <c r="A2673" s="103">
        <v>40187</v>
      </c>
      <c r="B2673" s="86" t="str">
        <f>TiposLancamentos!B16</f>
        <v>Cristiane</v>
      </c>
      <c r="C2673" s="3" t="s">
        <v>3216</v>
      </c>
      <c r="D2673" s="78">
        <v>10</v>
      </c>
      <c r="E2673" s="1480"/>
    </row>
    <row r="2674" spans="1:5">
      <c r="A2674" s="103">
        <v>40187</v>
      </c>
      <c r="B2674" s="86" t="str">
        <f>TiposLancamentos!B24</f>
        <v>Estacionamentos</v>
      </c>
      <c r="C2674" s="3" t="s">
        <v>3967</v>
      </c>
      <c r="D2674" s="78"/>
      <c r="E2674" s="1480">
        <v>7</v>
      </c>
    </row>
    <row r="2675" spans="1:5">
      <c r="A2675" s="103">
        <v>40191</v>
      </c>
      <c r="B2675" s="86" t="str">
        <f>TiposLancamentos!B18</f>
        <v>Alimentacao</v>
      </c>
      <c r="C2675" s="3" t="s">
        <v>3968</v>
      </c>
      <c r="D2675" s="78"/>
      <c r="E2675" s="1480">
        <v>7.5</v>
      </c>
    </row>
    <row r="2676" spans="1:5">
      <c r="A2676" s="103">
        <v>40191</v>
      </c>
      <c r="B2676" s="86" t="str">
        <f>TiposLancamentos!B20</f>
        <v>Saques</v>
      </c>
      <c r="C2676" s="3" t="s">
        <v>3406</v>
      </c>
      <c r="D2676" s="78">
        <v>270</v>
      </c>
      <c r="E2676" s="1480"/>
    </row>
    <row r="2677" spans="1:5">
      <c r="A2677" s="103">
        <v>40191</v>
      </c>
      <c r="B2677" s="86" t="str">
        <f>TiposLancamentos!B37</f>
        <v>Playstation 3</v>
      </c>
      <c r="C2677" s="3" t="s">
        <v>3969</v>
      </c>
      <c r="D2677" s="78"/>
      <c r="E2677" s="1480">
        <v>120</v>
      </c>
    </row>
    <row r="2678" spans="1:5">
      <c r="A2678" s="103">
        <v>40191</v>
      </c>
      <c r="B2678" s="86" t="str">
        <f>TiposLancamentos!B66</f>
        <v>Faxineira</v>
      </c>
      <c r="C2678" s="3" t="s">
        <v>3970</v>
      </c>
      <c r="D2678" s="78"/>
      <c r="E2678" s="1480">
        <v>150</v>
      </c>
    </row>
    <row r="2679" spans="1:5">
      <c r="A2679" s="103">
        <v>40192</v>
      </c>
      <c r="B2679" s="86" t="str">
        <f>TiposLancamentos!B18</f>
        <v>Alimentacao</v>
      </c>
      <c r="C2679" s="3" t="s">
        <v>3971</v>
      </c>
      <c r="D2679" s="78"/>
      <c r="E2679" s="1480">
        <v>5</v>
      </c>
    </row>
    <row r="2680" spans="1:5">
      <c r="A2680" s="103">
        <v>40193</v>
      </c>
      <c r="B2680" s="86" t="str">
        <f>TiposLancamentos!B18</f>
        <v>Alimentacao</v>
      </c>
      <c r="C2680" s="3" t="s">
        <v>3668</v>
      </c>
      <c r="D2680" s="78"/>
      <c r="E2680" s="1480">
        <v>2.7</v>
      </c>
    </row>
    <row r="2681" spans="1:5">
      <c r="A2681" s="103">
        <v>40194</v>
      </c>
      <c r="B2681" s="86" t="str">
        <f>TiposLancamentos!B19</f>
        <v>Restaurantes</v>
      </c>
      <c r="C2681" s="3" t="s">
        <v>3972</v>
      </c>
      <c r="D2681" s="78"/>
      <c r="E2681" s="1480">
        <v>14.7</v>
      </c>
    </row>
    <row r="2682" spans="1:5">
      <c r="A2682" s="103">
        <v>40194</v>
      </c>
      <c r="B2682" s="86" t="str">
        <f>TiposLancamentos!B86</f>
        <v>Peugeout 207</v>
      </c>
      <c r="C2682" s="3" t="s">
        <v>3665</v>
      </c>
      <c r="D2682" s="78"/>
      <c r="E2682" s="1480">
        <v>18</v>
      </c>
    </row>
    <row r="2683" spans="1:5">
      <c r="A2683" s="103">
        <v>40197</v>
      </c>
      <c r="B2683" s="86" t="str">
        <f>TiposLancamentos!B18</f>
        <v>Alimentacao</v>
      </c>
      <c r="C2683" s="3" t="s">
        <v>3973</v>
      </c>
      <c r="D2683" s="78"/>
      <c r="E2683" s="1480">
        <v>4</v>
      </c>
    </row>
    <row r="2684" spans="1:5">
      <c r="A2684" s="103">
        <v>40197</v>
      </c>
      <c r="B2684" s="86" t="str">
        <f>TiposLancamentos!B18</f>
        <v>Alimentacao</v>
      </c>
      <c r="C2684" s="3" t="s">
        <v>3968</v>
      </c>
      <c r="D2684" s="78"/>
      <c r="E2684" s="1480">
        <v>9.6</v>
      </c>
    </row>
    <row r="2685" spans="1:5">
      <c r="A2685" s="103">
        <v>40201</v>
      </c>
      <c r="B2685" s="86" t="str">
        <f>TiposLancamentos!B24</f>
        <v>Estacionamentos</v>
      </c>
      <c r="C2685" s="3" t="s">
        <v>1714</v>
      </c>
      <c r="D2685" s="78"/>
      <c r="E2685" s="1480">
        <v>7</v>
      </c>
    </row>
    <row r="2686" spans="1:5">
      <c r="A2686" s="103">
        <v>40201</v>
      </c>
      <c r="B2686" s="86" t="str">
        <f>TiposLancamentos!B5</f>
        <v>Supermercado</v>
      </c>
      <c r="C2686" s="3" t="s">
        <v>3974</v>
      </c>
      <c r="D2686" s="78"/>
      <c r="E2686" s="1480">
        <v>10</v>
      </c>
    </row>
    <row r="2687" spans="1:5">
      <c r="A2687" s="103">
        <v>40203</v>
      </c>
      <c r="B2687" s="86" t="str">
        <f>TiposLancamentos!B18</f>
        <v>Alimentacao</v>
      </c>
      <c r="C2687" s="3" t="s">
        <v>3975</v>
      </c>
      <c r="D2687" s="78"/>
      <c r="E2687" s="1480">
        <v>7</v>
      </c>
    </row>
    <row r="2688" spans="1:5">
      <c r="A2688" s="103">
        <v>40204</v>
      </c>
      <c r="B2688" s="86" t="str">
        <f>TiposLancamentos!B24</f>
        <v>Estacionamentos</v>
      </c>
      <c r="C2688" s="3" t="s">
        <v>3976</v>
      </c>
      <c r="D2688" s="78"/>
      <c r="E2688" s="1480">
        <v>5</v>
      </c>
    </row>
    <row r="2689" spans="1:5">
      <c r="A2689" s="103">
        <v>40205</v>
      </c>
      <c r="B2689" s="86" t="str">
        <f>TiposLancamentos!B24</f>
        <v>Estacionamentos</v>
      </c>
      <c r="C2689" s="3" t="s">
        <v>3751</v>
      </c>
      <c r="D2689" s="78"/>
      <c r="E2689" s="1480">
        <v>2.5</v>
      </c>
    </row>
    <row r="2690" spans="1:5">
      <c r="A2690" s="103">
        <v>40205</v>
      </c>
      <c r="B2690" s="86" t="str">
        <f>TiposLancamentos!B20</f>
        <v>Saques</v>
      </c>
      <c r="C2690" s="3" t="s">
        <v>3403</v>
      </c>
      <c r="D2690" s="78">
        <v>90</v>
      </c>
      <c r="E2690" s="1480"/>
    </row>
    <row r="2691" spans="1:5">
      <c r="A2691" s="103">
        <v>40205</v>
      </c>
      <c r="B2691" s="86" t="str">
        <f>TiposLancamentos!B72</f>
        <v>Presentes</v>
      </c>
      <c r="C2691" s="3" t="s">
        <v>3977</v>
      </c>
      <c r="D2691" s="78"/>
      <c r="E2691" s="1480">
        <v>10</v>
      </c>
    </row>
    <row r="2692" spans="1:5">
      <c r="A2692" s="103">
        <v>40206</v>
      </c>
      <c r="B2692" s="86" t="str">
        <f>TiposLancamentos!B66</f>
        <v>Faxineira</v>
      </c>
      <c r="C2692" s="3" t="s">
        <v>3978</v>
      </c>
      <c r="D2692" s="78"/>
      <c r="E2692" s="1480">
        <v>75</v>
      </c>
    </row>
    <row r="2693" spans="1:5">
      <c r="A2693" s="103">
        <v>40207</v>
      </c>
      <c r="B2693" s="86" t="str">
        <f>TiposLancamentos!B20</f>
        <v>Saques</v>
      </c>
      <c r="C2693" s="3" t="s">
        <v>3406</v>
      </c>
      <c r="D2693" s="78">
        <v>190</v>
      </c>
      <c r="E2693" s="1480"/>
    </row>
    <row r="2694" spans="1:5">
      <c r="A2694" s="103">
        <v>40208</v>
      </c>
      <c r="B2694" s="86" t="str">
        <f>TiposLancamentos!B18</f>
        <v>Alimentacao</v>
      </c>
      <c r="C2694" s="3" t="s">
        <v>3823</v>
      </c>
      <c r="D2694" s="78"/>
      <c r="E2694" s="1480">
        <v>5</v>
      </c>
    </row>
    <row r="2695" spans="1:5">
      <c r="A2695" s="103">
        <v>40208</v>
      </c>
      <c r="B2695" s="86" t="str">
        <f>TiposLancamentos!B65</f>
        <v>Taxi</v>
      </c>
      <c r="C2695" s="3" t="s">
        <v>3926</v>
      </c>
      <c r="D2695" s="78"/>
      <c r="E2695" s="1480">
        <v>12</v>
      </c>
    </row>
    <row r="2696" spans="1:5">
      <c r="A2696" s="103">
        <v>40208</v>
      </c>
      <c r="B2696" s="86" t="str">
        <f>TiposLancamentos!B55</f>
        <v>Onibus Urbano</v>
      </c>
      <c r="C2696" s="3" t="s">
        <v>3979</v>
      </c>
      <c r="D2696" s="78"/>
      <c r="E2696" s="1480">
        <v>40</v>
      </c>
    </row>
    <row r="2697" spans="1:5">
      <c r="A2697" s="103">
        <v>40208</v>
      </c>
      <c r="B2697" s="86" t="str">
        <f>TiposLancamentos!B51</f>
        <v>Marlboro</v>
      </c>
      <c r="C2697" s="3" t="s">
        <v>3980</v>
      </c>
      <c r="D2697" s="78"/>
      <c r="E2697" s="1480">
        <f>4.25+(4*1.6)</f>
        <v>10.65</v>
      </c>
    </row>
    <row r="2698" spans="1:5">
      <c r="A2698" s="103">
        <v>40208</v>
      </c>
      <c r="B2698" s="86" t="str">
        <f>TiposLancamentos!B70</f>
        <v>Vestuário</v>
      </c>
      <c r="C2698" s="3" t="s">
        <v>3981</v>
      </c>
      <c r="D2698" s="78"/>
      <c r="E2698" s="1480">
        <v>10</v>
      </c>
    </row>
    <row r="2699" spans="1:5">
      <c r="A2699" s="103">
        <v>40208</v>
      </c>
      <c r="B2699" s="86" t="str">
        <f>TiposLancamentos!B18</f>
        <v>Alimentacao</v>
      </c>
      <c r="C2699" s="3" t="s">
        <v>3982</v>
      </c>
      <c r="D2699" s="78"/>
      <c r="E2699" s="1480">
        <v>67</v>
      </c>
    </row>
    <row r="2700" spans="1:5">
      <c r="A2700" s="99"/>
      <c r="B2700" s="1590"/>
      <c r="C2700" s="100" t="s">
        <v>3983</v>
      </c>
      <c r="D2700" s="1591"/>
      <c r="E2700" s="1592"/>
    </row>
    <row r="2701" spans="1:5">
      <c r="A2701" s="103">
        <v>40211</v>
      </c>
      <c r="B2701" s="86" t="str">
        <f>TiposLancamentos!B16</f>
        <v>Cristiane</v>
      </c>
      <c r="C2701" s="3" t="s">
        <v>3763</v>
      </c>
      <c r="D2701" s="78"/>
      <c r="E2701" s="1480">
        <v>50</v>
      </c>
    </row>
    <row r="2702" spans="1:5">
      <c r="A2702" s="103">
        <v>40221</v>
      </c>
      <c r="B2702" s="86" t="str">
        <f>TiposLancamentos!B20</f>
        <v>Saques</v>
      </c>
      <c r="C2702" s="3" t="s">
        <v>3406</v>
      </c>
      <c r="D2702" s="78">
        <v>80</v>
      </c>
      <c r="E2702" s="1480"/>
    </row>
    <row r="2703" spans="1:5">
      <c r="A2703" s="103">
        <v>40221</v>
      </c>
      <c r="B2703" s="86" t="str">
        <f>TiposLancamentos!B69</f>
        <v>Consertos</v>
      </c>
      <c r="C2703" s="3" t="s">
        <v>3984</v>
      </c>
      <c r="D2703" s="78"/>
      <c r="E2703" s="1480">
        <v>26</v>
      </c>
    </row>
    <row r="2704" spans="1:5">
      <c r="A2704" s="103">
        <v>40221</v>
      </c>
      <c r="B2704" s="86" t="str">
        <f>TiposLancamentos!B18</f>
        <v>Alimentacao</v>
      </c>
      <c r="C2704" s="3" t="s">
        <v>3985</v>
      </c>
      <c r="D2704" s="78"/>
      <c r="E2704" s="1480">
        <v>3.1</v>
      </c>
    </row>
    <row r="2705" spans="1:5">
      <c r="A2705" s="103">
        <v>40221</v>
      </c>
      <c r="B2705" s="86" t="str">
        <f>TiposLancamentos!B29</f>
        <v>Mangá</v>
      </c>
      <c r="C2705" s="3" t="s">
        <v>3714</v>
      </c>
      <c r="D2705" s="78"/>
      <c r="E2705" s="1480">
        <v>11.9</v>
      </c>
    </row>
    <row r="2706" spans="1:5">
      <c r="A2706" s="103">
        <v>40222</v>
      </c>
      <c r="B2706" s="86" t="str">
        <f>TiposLancamentos!B24</f>
        <v>Estacionamentos</v>
      </c>
      <c r="C2706" s="3" t="s">
        <v>3986</v>
      </c>
      <c r="D2706" s="78"/>
      <c r="E2706" s="1480">
        <v>10</v>
      </c>
    </row>
    <row r="2707" spans="1:5">
      <c r="A2707" s="103">
        <v>40222</v>
      </c>
      <c r="B2707" s="86" t="str">
        <f>TiposLancamentos!B24</f>
        <v>Estacionamentos</v>
      </c>
      <c r="C2707" s="3" t="s">
        <v>3987</v>
      </c>
      <c r="D2707" s="78"/>
      <c r="E2707" s="1480">
        <v>4</v>
      </c>
    </row>
    <row r="2708" spans="1:5">
      <c r="A2708" s="103">
        <v>40222</v>
      </c>
      <c r="B2708" s="86" t="str">
        <f>TiposLancamentos!B18</f>
        <v>Alimentacao</v>
      </c>
      <c r="C2708" s="3" t="s">
        <v>3988</v>
      </c>
      <c r="D2708" s="78"/>
      <c r="E2708" s="1480">
        <v>5</v>
      </c>
    </row>
    <row r="2709" spans="1:5">
      <c r="A2709" s="103">
        <v>40224</v>
      </c>
      <c r="B2709" s="86" t="str">
        <f>TiposLancamentos!B18</f>
        <v>Alimentacao</v>
      </c>
      <c r="C2709" s="3" t="s">
        <v>3989</v>
      </c>
      <c r="D2709" s="78"/>
      <c r="E2709" s="1480">
        <v>10</v>
      </c>
    </row>
    <row r="2710" spans="1:5">
      <c r="A2710" s="103">
        <v>40226</v>
      </c>
      <c r="B2710" s="86" t="str">
        <f>TiposLancamentos!B18</f>
        <v>Alimentacao</v>
      </c>
      <c r="C2710" s="3"/>
      <c r="D2710" s="78"/>
      <c r="E2710" s="1480">
        <v>10</v>
      </c>
    </row>
    <row r="2711" spans="1:5">
      <c r="A2711" s="103">
        <v>40229</v>
      </c>
      <c r="B2711" s="86" t="str">
        <f>TiposLancamentos!B20</f>
        <v>Saques</v>
      </c>
      <c r="C2711" s="3" t="s">
        <v>3403</v>
      </c>
      <c r="D2711" s="78">
        <v>1000</v>
      </c>
      <c r="E2711" s="1480"/>
    </row>
    <row r="2712" spans="1:5">
      <c r="A2712" s="103">
        <v>40229</v>
      </c>
      <c r="B2712" s="86" t="str">
        <f>TiposLancamentos!B20</f>
        <v>Saques</v>
      </c>
      <c r="C2712" s="3" t="s">
        <v>3489</v>
      </c>
      <c r="D2712" s="78">
        <v>500</v>
      </c>
      <c r="E2712" s="1480"/>
    </row>
    <row r="2713" spans="1:5">
      <c r="A2713" s="103">
        <v>40229</v>
      </c>
      <c r="B2713" s="86" t="str">
        <f>TiposLancamentos!B16</f>
        <v>Cristiane</v>
      </c>
      <c r="C2713" s="3" t="s">
        <v>3990</v>
      </c>
      <c r="D2713" s="78"/>
      <c r="E2713" s="1480">
        <v>1500</v>
      </c>
    </row>
    <row r="2714" spans="1:5">
      <c r="A2714" s="103">
        <v>40233</v>
      </c>
      <c r="B2714" s="86" t="str">
        <f>TiposLancamentos!B97</f>
        <v>Deposito Terc.</v>
      </c>
      <c r="C2714" s="3" t="s">
        <v>3991</v>
      </c>
      <c r="D2714" s="78">
        <v>50</v>
      </c>
      <c r="E2714" s="1480"/>
    </row>
    <row r="2715" spans="1:5">
      <c r="A2715" s="103">
        <v>40233</v>
      </c>
      <c r="B2715" s="86" t="str">
        <f>TiposLancamentos!B97</f>
        <v>Deposito Terc.</v>
      </c>
      <c r="C2715" s="3" t="s">
        <v>3992</v>
      </c>
      <c r="D2715" s="78"/>
      <c r="E2715" s="1480">
        <v>5</v>
      </c>
    </row>
    <row r="2716" spans="1:5">
      <c r="A2716" s="103">
        <v>40234</v>
      </c>
      <c r="B2716" s="86" t="str">
        <f>TiposLancamentos!B20</f>
        <v>Saques</v>
      </c>
      <c r="C2716" s="3" t="s">
        <v>3993</v>
      </c>
      <c r="D2716" s="78">
        <v>10</v>
      </c>
      <c r="E2716" s="1480"/>
    </row>
    <row r="2717" spans="1:5">
      <c r="A2717" s="103">
        <v>40234</v>
      </c>
      <c r="B2717" s="86" t="str">
        <f>TiposLancamentos!B51</f>
        <v>Marlboro</v>
      </c>
      <c r="C2717" s="3" t="s">
        <v>3994</v>
      </c>
      <c r="D2717" s="78"/>
      <c r="E2717" s="1480">
        <v>4.5</v>
      </c>
    </row>
    <row r="2718" spans="1:5">
      <c r="A2718" s="103">
        <v>40234</v>
      </c>
      <c r="B2718" s="86" t="str">
        <f>TiposLancamentos!B24</f>
        <v>Estacionamentos</v>
      </c>
      <c r="C2718" s="3" t="s">
        <v>1714</v>
      </c>
      <c r="D2718" s="78"/>
      <c r="E2718" s="1480">
        <v>15</v>
      </c>
    </row>
    <row r="2719" spans="1:5">
      <c r="A2719" s="103">
        <v>40235</v>
      </c>
      <c r="B2719" s="86" t="str">
        <f>TiposLancamentos!B24</f>
        <v>Estacionamentos</v>
      </c>
      <c r="C2719" s="3" t="s">
        <v>3967</v>
      </c>
      <c r="D2719" s="78"/>
      <c r="E2719" s="1480">
        <v>3</v>
      </c>
    </row>
    <row r="2720" spans="1:5">
      <c r="A2720" s="103">
        <v>40236</v>
      </c>
      <c r="B2720" s="86" t="str">
        <f>TiposLancamentos!B24</f>
        <v>Estacionamentos</v>
      </c>
      <c r="C2720" s="3" t="s">
        <v>3967</v>
      </c>
      <c r="D2720" s="78"/>
      <c r="E2720" s="1480">
        <v>7</v>
      </c>
    </row>
    <row r="2721" spans="1:5">
      <c r="A2721" s="103">
        <v>40237</v>
      </c>
      <c r="B2721" s="86" t="str">
        <f>TiposLancamentos!B20</f>
        <v>Saques</v>
      </c>
      <c r="C2721" s="3" t="s">
        <v>3403</v>
      </c>
      <c r="D2721" s="78">
        <v>60</v>
      </c>
      <c r="E2721" s="1480"/>
    </row>
    <row r="2722" spans="1:5">
      <c r="A2722" s="103">
        <v>40237</v>
      </c>
      <c r="B2722" s="86" t="str">
        <f>TiposLancamentos!B97</f>
        <v>Deposito Terc.</v>
      </c>
      <c r="C2722" s="3" t="s">
        <v>3991</v>
      </c>
      <c r="D2722" s="78"/>
      <c r="E2722" s="1480">
        <v>45</v>
      </c>
    </row>
    <row r="2723" spans="1:5">
      <c r="A2723" s="103">
        <v>40237</v>
      </c>
      <c r="B2723" s="86" t="str">
        <f>TiposLancamentos!B19</f>
        <v>Restaurantes</v>
      </c>
      <c r="C2723" s="3" t="s">
        <v>3995</v>
      </c>
      <c r="D2723" s="78"/>
      <c r="E2723" s="1480">
        <v>30</v>
      </c>
    </row>
    <row r="2724" spans="1:5">
      <c r="A2724" s="108"/>
      <c r="B2724" s="1594"/>
      <c r="C2724" s="109" t="s">
        <v>3996</v>
      </c>
      <c r="D2724" s="1595"/>
      <c r="E2724" s="1596"/>
    </row>
    <row r="2725" spans="1:5">
      <c r="A2725" s="111">
        <v>40238</v>
      </c>
      <c r="B2725" s="86" t="str">
        <f>TiposLancamentos!B19</f>
        <v>Restaurantes</v>
      </c>
      <c r="C2725" s="3" t="s">
        <v>3997</v>
      </c>
      <c r="D2725" s="78"/>
      <c r="E2725" s="1480">
        <v>10</v>
      </c>
    </row>
    <row r="2726" spans="1:5">
      <c r="A2726" s="111">
        <v>40245</v>
      </c>
      <c r="B2726" s="86" t="str">
        <f>TiposLancamentos!B20</f>
        <v>Saques</v>
      </c>
      <c r="C2726" s="3" t="s">
        <v>3406</v>
      </c>
      <c r="D2726" s="78">
        <v>40</v>
      </c>
      <c r="E2726" s="1480"/>
    </row>
    <row r="2727" spans="1:5">
      <c r="A2727" s="111">
        <v>40245</v>
      </c>
      <c r="B2727" s="86" t="str">
        <f>TiposLancamentos!B86</f>
        <v>Peugeout 207</v>
      </c>
      <c r="C2727" s="3" t="s">
        <v>3665</v>
      </c>
      <c r="D2727" s="78"/>
      <c r="E2727" s="1480">
        <v>18</v>
      </c>
    </row>
    <row r="2728" spans="1:5">
      <c r="A2728" s="111">
        <v>40247</v>
      </c>
      <c r="B2728" s="86" t="str">
        <f>TiposLancamentos!B29</f>
        <v>Mangá</v>
      </c>
      <c r="C2728" s="3" t="s">
        <v>3998</v>
      </c>
      <c r="D2728" s="78"/>
      <c r="E2728" s="1480">
        <v>11.9</v>
      </c>
    </row>
    <row r="2729" spans="1:5">
      <c r="A2729" s="111">
        <v>40250</v>
      </c>
      <c r="B2729" s="86" t="str">
        <f>TiposLancamentos!B20</f>
        <v>Saques</v>
      </c>
      <c r="C2729" s="3" t="s">
        <v>3999</v>
      </c>
      <c r="D2729" s="78">
        <v>40</v>
      </c>
      <c r="E2729" s="1480"/>
    </row>
    <row r="2730" spans="1:5">
      <c r="A2730" s="111">
        <v>40251</v>
      </c>
      <c r="B2730" s="86" t="str">
        <f>TiposLancamentos!B5</f>
        <v>Supermercado</v>
      </c>
      <c r="C2730" s="3" t="s">
        <v>3902</v>
      </c>
      <c r="D2730" s="78"/>
      <c r="E2730" s="1480">
        <v>14.75</v>
      </c>
    </row>
    <row r="2731" spans="1:5">
      <c r="A2731" s="111">
        <v>40251</v>
      </c>
      <c r="B2731" s="86" t="str">
        <f>TiposLancamentos!B5</f>
        <v>Supermercado</v>
      </c>
      <c r="C2731" s="3" t="s">
        <v>4000</v>
      </c>
      <c r="D2731" s="78"/>
      <c r="E2731" s="1480">
        <v>12</v>
      </c>
    </row>
    <row r="2732" spans="1:5">
      <c r="A2732" s="111">
        <v>40251</v>
      </c>
      <c r="B2732" s="86" t="str">
        <f>TiposLancamentos!B24</f>
        <v>Estacionamentos</v>
      </c>
      <c r="C2732" s="3" t="s">
        <v>4001</v>
      </c>
      <c r="D2732" s="78"/>
      <c r="E2732" s="1480">
        <v>10</v>
      </c>
    </row>
    <row r="2733" spans="1:5">
      <c r="A2733" s="111">
        <v>40254</v>
      </c>
      <c r="B2733" s="86" t="str">
        <f>TiposLancamentos!B18</f>
        <v>Alimentacao</v>
      </c>
      <c r="C2733" s="3" t="s">
        <v>3940</v>
      </c>
      <c r="D2733" s="78"/>
      <c r="E2733" s="1480">
        <v>4.2</v>
      </c>
    </row>
    <row r="2734" spans="1:5">
      <c r="A2734" s="111"/>
      <c r="B2734" s="86"/>
      <c r="C2734" s="3"/>
      <c r="D2734" s="78"/>
      <c r="E2734" s="1480"/>
    </row>
    <row r="2735" spans="1:5">
      <c r="A2735" s="111">
        <v>40255</v>
      </c>
      <c r="B2735" s="86" t="str">
        <f>TiposLancamentos!B77</f>
        <v>Esporádico</v>
      </c>
      <c r="C2735" s="3" t="s">
        <v>4002</v>
      </c>
      <c r="D2735" s="78"/>
      <c r="E2735" s="1480">
        <v>10</v>
      </c>
    </row>
    <row r="2736" spans="1:5">
      <c r="A2736" s="111">
        <v>40256</v>
      </c>
      <c r="B2736" s="86" t="str">
        <f>TiposLancamentos!B20</f>
        <v>Saques</v>
      </c>
      <c r="C2736" s="3" t="s">
        <v>3403</v>
      </c>
      <c r="D2736" s="78">
        <v>60</v>
      </c>
      <c r="E2736" s="1480"/>
    </row>
    <row r="2737" spans="1:5">
      <c r="A2737" s="111">
        <v>40257</v>
      </c>
      <c r="B2737" s="86" t="str">
        <f>TiposLancamentos!B16</f>
        <v>Cristiane</v>
      </c>
      <c r="C2737" s="3" t="s">
        <v>1698</v>
      </c>
      <c r="D2737" s="78"/>
      <c r="E2737" s="1480">
        <v>50</v>
      </c>
    </row>
    <row r="2738" spans="1:5">
      <c r="A2738" s="111">
        <v>40257</v>
      </c>
      <c r="B2738" s="86" t="str">
        <f>TiposLancamentos!B24</f>
        <v>Estacionamentos</v>
      </c>
      <c r="C2738" s="3" t="s">
        <v>4003</v>
      </c>
      <c r="D2738" s="78"/>
      <c r="E2738" s="1480">
        <v>3</v>
      </c>
    </row>
    <row r="2739" spans="1:5">
      <c r="A2739" s="111">
        <v>40264</v>
      </c>
      <c r="B2739" s="86" t="str">
        <f>TiposLancamentos!B24</f>
        <v>Estacionamentos</v>
      </c>
      <c r="C2739" s="3" t="s">
        <v>4004</v>
      </c>
      <c r="D2739" s="78"/>
      <c r="E2739" s="1480">
        <v>7</v>
      </c>
    </row>
    <row r="2740" spans="1:5">
      <c r="A2740" s="111">
        <v>40267</v>
      </c>
      <c r="B2740" s="86" t="str">
        <f>TiposLancamentos!B20</f>
        <v>Saques</v>
      </c>
      <c r="C2740" s="3" t="s">
        <v>3403</v>
      </c>
      <c r="D2740" s="78">
        <v>10</v>
      </c>
      <c r="E2740" s="1480"/>
    </row>
    <row r="2741" spans="1:5">
      <c r="A2741" s="111">
        <v>40267</v>
      </c>
      <c r="B2741" s="86" t="str">
        <f>TiposLancamentos!B24</f>
        <v>Estacionamentos</v>
      </c>
      <c r="C2741" s="3" t="s">
        <v>4005</v>
      </c>
      <c r="D2741" s="78"/>
      <c r="E2741" s="1480">
        <v>3</v>
      </c>
    </row>
    <row r="2742" spans="1:5">
      <c r="A2742" s="108"/>
      <c r="B2742" s="1594"/>
      <c r="C2742" s="109" t="s">
        <v>4006</v>
      </c>
      <c r="D2742" s="1595"/>
      <c r="E2742" s="1596"/>
    </row>
    <row r="2743" spans="1:5">
      <c r="A2743" s="111">
        <v>40271</v>
      </c>
      <c r="B2743" s="86" t="str">
        <f>TiposLancamentos!B20</f>
        <v>Saques</v>
      </c>
      <c r="C2743" s="3" t="s">
        <v>2850</v>
      </c>
      <c r="D2743" s="78">
        <v>60</v>
      </c>
      <c r="E2743" s="1480"/>
    </row>
    <row r="2744" spans="1:5">
      <c r="A2744" s="111">
        <v>40271</v>
      </c>
      <c r="B2744" s="86" t="str">
        <f>TiposLancamentos!B18</f>
        <v>Alimentacao</v>
      </c>
      <c r="C2744" s="3" t="s">
        <v>4007</v>
      </c>
      <c r="D2744" s="78"/>
      <c r="E2744" s="1480">
        <v>9</v>
      </c>
    </row>
    <row r="2745" spans="1:5">
      <c r="A2745" s="111">
        <v>40271</v>
      </c>
      <c r="B2745" s="86" t="str">
        <f>TiposLancamentos!B24</f>
        <v>Estacionamentos</v>
      </c>
      <c r="C2745" s="3" t="s">
        <v>1714</v>
      </c>
      <c r="D2745" s="78"/>
      <c r="E2745" s="1480">
        <v>7</v>
      </c>
    </row>
    <row r="2746" spans="1:5">
      <c r="A2746" s="111">
        <v>40275</v>
      </c>
      <c r="B2746" s="86" t="str">
        <f>TiposLancamentos!B24</f>
        <v>Estacionamentos</v>
      </c>
      <c r="C2746" s="3" t="s">
        <v>3967</v>
      </c>
      <c r="D2746" s="78"/>
      <c r="E2746" s="1480">
        <v>3</v>
      </c>
    </row>
    <row r="2747" spans="1:5">
      <c r="A2747" s="111">
        <v>40276</v>
      </c>
      <c r="B2747" s="86" t="str">
        <f>TiposLancamentos!B18</f>
        <v>Alimentacao</v>
      </c>
      <c r="C2747" s="3" t="s">
        <v>3435</v>
      </c>
      <c r="D2747" s="78"/>
      <c r="E2747" s="1480">
        <v>3</v>
      </c>
    </row>
    <row r="2748" spans="1:5">
      <c r="A2748" s="111">
        <v>40278</v>
      </c>
      <c r="B2748" s="86" t="str">
        <f>TiposLancamentos!B24</f>
        <v>Estacionamentos</v>
      </c>
      <c r="C2748" s="3" t="s">
        <v>4008</v>
      </c>
      <c r="D2748" s="78"/>
      <c r="E2748" s="1480">
        <v>8</v>
      </c>
    </row>
    <row r="2749" spans="1:5">
      <c r="A2749" s="111">
        <v>40278</v>
      </c>
      <c r="B2749" s="86" t="str">
        <f>TiposLancamentos!B24</f>
        <v>Estacionamentos</v>
      </c>
      <c r="C2749" s="3" t="s">
        <v>4009</v>
      </c>
      <c r="D2749" s="78"/>
      <c r="E2749" s="1480">
        <v>10</v>
      </c>
    </row>
    <row r="2750" spans="1:5">
      <c r="A2750" s="111">
        <v>40283</v>
      </c>
      <c r="B2750" s="86" t="str">
        <f>TiposLancamentos!B18</f>
        <v>Alimentacao</v>
      </c>
      <c r="C2750" s="3" t="s">
        <v>3361</v>
      </c>
      <c r="D2750" s="78"/>
      <c r="E2750" s="1480">
        <f>3+2+1</f>
        <v>6</v>
      </c>
    </row>
    <row r="2751" spans="1:5">
      <c r="A2751" s="111">
        <v>40283</v>
      </c>
      <c r="B2751" s="86" t="str">
        <f>TiposLancamentos!B20</f>
        <v>Saques</v>
      </c>
      <c r="C2751" s="3" t="s">
        <v>3403</v>
      </c>
      <c r="D2751" s="78">
        <v>50</v>
      </c>
      <c r="E2751" s="1480"/>
    </row>
    <row r="2752" spans="1:5">
      <c r="A2752" s="111">
        <v>40283</v>
      </c>
      <c r="B2752" s="86" t="str">
        <f>TiposLancamentos!B16</f>
        <v>Cristiane</v>
      </c>
      <c r="C2752" s="3" t="s">
        <v>3147</v>
      </c>
      <c r="D2752" s="78"/>
      <c r="E2752" s="1480">
        <v>50</v>
      </c>
    </row>
    <row r="2753" spans="1:5">
      <c r="A2753" s="111">
        <v>40284</v>
      </c>
      <c r="B2753" s="86" t="str">
        <f>TiposLancamentos!B24</f>
        <v>Estacionamentos</v>
      </c>
      <c r="C2753" s="3" t="s">
        <v>4010</v>
      </c>
      <c r="D2753" s="78"/>
      <c r="E2753" s="1480">
        <v>13</v>
      </c>
    </row>
    <row r="2754" spans="1:5">
      <c r="A2754" s="111">
        <v>40285</v>
      </c>
      <c r="B2754" s="86" t="str">
        <f>TiposLancamentos!B20</f>
        <v>Saques</v>
      </c>
      <c r="C2754" s="3" t="s">
        <v>3403</v>
      </c>
      <c r="D2754" s="78">
        <v>1000</v>
      </c>
      <c r="E2754" s="1480"/>
    </row>
    <row r="2755" spans="1:5">
      <c r="A2755" s="111">
        <v>40285</v>
      </c>
      <c r="B2755" s="86" t="str">
        <f>TiposLancamentos!B16</f>
        <v>Cristiane</v>
      </c>
      <c r="C2755" s="3" t="s">
        <v>4011</v>
      </c>
      <c r="D2755" s="78"/>
      <c r="E2755" s="1480">
        <v>950</v>
      </c>
    </row>
    <row r="2756" spans="1:5">
      <c r="A2756" s="111">
        <v>40285</v>
      </c>
      <c r="B2756" s="86" t="str">
        <f>TiposLancamentos!B24</f>
        <v>Estacionamentos</v>
      </c>
      <c r="C2756" s="3" t="s">
        <v>4012</v>
      </c>
      <c r="D2756" s="78"/>
      <c r="E2756" s="1480">
        <v>10</v>
      </c>
    </row>
    <row r="2757" spans="1:5">
      <c r="A2757" s="111">
        <v>40287</v>
      </c>
      <c r="B2757" s="86" t="str">
        <f>TiposLancamentos!B16</f>
        <v>Cristiane</v>
      </c>
      <c r="C2757" s="3" t="s">
        <v>1698</v>
      </c>
      <c r="D2757" s="78"/>
      <c r="E2757" s="1480">
        <v>48</v>
      </c>
    </row>
    <row r="2758" spans="1:5">
      <c r="A2758" s="111">
        <v>40292</v>
      </c>
      <c r="B2758" s="86" t="str">
        <f>TiposLancamentos!B20</f>
        <v>Saques</v>
      </c>
      <c r="C2758" s="3" t="s">
        <v>4013</v>
      </c>
      <c r="D2758" s="78">
        <v>80</v>
      </c>
      <c r="E2758" s="1480"/>
    </row>
    <row r="2759" spans="1:5">
      <c r="A2759" s="111">
        <v>40292</v>
      </c>
      <c r="B2759" s="86" t="str">
        <f>TiposLancamentos!B18</f>
        <v>Alimentacao</v>
      </c>
      <c r="C2759" s="3" t="s">
        <v>4014</v>
      </c>
      <c r="D2759" s="78"/>
      <c r="E2759" s="1480">
        <v>16</v>
      </c>
    </row>
    <row r="2760" spans="1:5">
      <c r="A2760" s="111">
        <v>40294</v>
      </c>
      <c r="B2760" s="86" t="str">
        <f>TiposLancamentos!B19</f>
        <v>Restaurantes</v>
      </c>
      <c r="C2760" s="3" t="s">
        <v>4015</v>
      </c>
      <c r="D2760" s="78"/>
      <c r="E2760" s="1480">
        <v>30</v>
      </c>
    </row>
    <row r="2761" spans="1:5">
      <c r="A2761" s="111">
        <v>40294</v>
      </c>
      <c r="B2761" s="86" t="str">
        <f>TiposLancamentos!B98</f>
        <v>Restituições</v>
      </c>
      <c r="C2761" s="3" t="s">
        <v>4016</v>
      </c>
      <c r="D2761" s="78">
        <v>12.5</v>
      </c>
      <c r="E2761" s="1480"/>
    </row>
    <row r="2762" spans="1:5">
      <c r="A2762" s="111">
        <v>40296</v>
      </c>
      <c r="B2762" s="86" t="str">
        <f>TiposLancamentos!B19</f>
        <v>Restaurantes</v>
      </c>
      <c r="C2762" s="3" t="s">
        <v>3951</v>
      </c>
      <c r="D2762" s="78"/>
      <c r="E2762" s="1480">
        <v>12.1</v>
      </c>
    </row>
    <row r="2763" spans="1:5">
      <c r="A2763" s="111">
        <v>40298</v>
      </c>
      <c r="B2763" s="86" t="str">
        <f>TiposLancamentos!B20</f>
        <v>Saques</v>
      </c>
      <c r="C2763" s="3" t="s">
        <v>3403</v>
      </c>
      <c r="D2763" s="78">
        <v>50</v>
      </c>
      <c r="E2763" s="1480"/>
    </row>
    <row r="2764" spans="1:5">
      <c r="A2764" s="111">
        <v>40298</v>
      </c>
      <c r="B2764" s="86" t="str">
        <f>TiposLancamentos!B24</f>
        <v>Estacionamentos</v>
      </c>
      <c r="C2764" s="3" t="s">
        <v>4017</v>
      </c>
      <c r="D2764" s="78"/>
      <c r="E2764" s="1480">
        <v>4</v>
      </c>
    </row>
    <row r="2765" spans="1:5">
      <c r="A2765" s="111">
        <v>40298</v>
      </c>
      <c r="B2765" s="86" t="str">
        <f>TiposLancamentos!B86</f>
        <v>Peugeout 207</v>
      </c>
      <c r="C2765" s="3" t="s">
        <v>4018</v>
      </c>
      <c r="D2765" s="78"/>
      <c r="E2765" s="1480">
        <v>50</v>
      </c>
    </row>
    <row r="2766" spans="1:5">
      <c r="A2766" s="108"/>
      <c r="B2766" s="1594"/>
      <c r="C2766" s="109" t="s">
        <v>4019</v>
      </c>
      <c r="D2766" s="1595"/>
      <c r="E2766" s="1596"/>
    </row>
    <row r="2767" spans="1:5">
      <c r="A2767" s="111">
        <v>40301</v>
      </c>
      <c r="B2767" s="86" t="str">
        <f>TiposLancamentos!B99</f>
        <v>Venda de algo</v>
      </c>
      <c r="C2767" s="3" t="s">
        <v>4020</v>
      </c>
      <c r="D2767" s="78">
        <v>100</v>
      </c>
      <c r="E2767" s="1480"/>
    </row>
    <row r="2768" spans="1:5">
      <c r="A2768" s="111">
        <v>40303</v>
      </c>
      <c r="B2768" s="86" t="str">
        <f>TiposLancamentos!B29</f>
        <v>Mangá</v>
      </c>
      <c r="C2768" s="3" t="s">
        <v>4021</v>
      </c>
      <c r="D2768" s="78"/>
      <c r="E2768" s="1480">
        <f>(19.9+11.9)-10</f>
        <v>21.799999999999997</v>
      </c>
    </row>
    <row r="2769" spans="1:5">
      <c r="A2769" s="111">
        <v>40303</v>
      </c>
      <c r="B2769" s="86" t="str">
        <f>TiposLancamentos!B19</f>
        <v>Restaurantes</v>
      </c>
      <c r="C2769" s="3" t="s">
        <v>3951</v>
      </c>
      <c r="D2769" s="78"/>
      <c r="E2769" s="1480">
        <v>6.8</v>
      </c>
    </row>
    <row r="2770" spans="1:5">
      <c r="A2770" s="111">
        <v>40303</v>
      </c>
      <c r="B2770" s="86" t="str">
        <f>TiposLancamentos!B72</f>
        <v>Presentes</v>
      </c>
      <c r="C2770" s="3" t="s">
        <v>4022</v>
      </c>
      <c r="D2770" s="78"/>
      <c r="E2770" s="1480">
        <v>10</v>
      </c>
    </row>
    <row r="2771" spans="1:5">
      <c r="A2771" s="111">
        <v>40305</v>
      </c>
      <c r="B2771" s="86" t="str">
        <f>TiposLancamentos!B19</f>
        <v>Restaurantes</v>
      </c>
      <c r="C2771" s="3" t="s">
        <v>4023</v>
      </c>
      <c r="D2771" s="78"/>
      <c r="E2771" s="1480">
        <v>9</v>
      </c>
    </row>
    <row r="2772" spans="1:5">
      <c r="A2772" s="111">
        <v>40305</v>
      </c>
      <c r="B2772" s="86" t="str">
        <f>TiposLancamentos!B24</f>
        <v>Estacionamentos</v>
      </c>
      <c r="C2772" s="3" t="s">
        <v>4024</v>
      </c>
      <c r="D2772" s="78"/>
      <c r="E2772" s="1480">
        <v>25</v>
      </c>
    </row>
    <row r="2773" spans="1:5">
      <c r="A2773" s="111">
        <v>40306</v>
      </c>
      <c r="B2773" s="86" t="str">
        <f>TiposLancamentos!B18</f>
        <v>Alimentacao</v>
      </c>
      <c r="C2773" s="3" t="s">
        <v>4025</v>
      </c>
      <c r="D2773" s="78"/>
      <c r="E2773" s="1480">
        <v>10</v>
      </c>
    </row>
    <row r="2774" spans="1:5">
      <c r="A2774" s="111">
        <v>40306</v>
      </c>
      <c r="B2774" s="86" t="str">
        <f>TiposLancamentos!B24</f>
        <v>Estacionamentos</v>
      </c>
      <c r="C2774" s="3" t="s">
        <v>4026</v>
      </c>
      <c r="D2774" s="78"/>
      <c r="E2774" s="1480">
        <v>13</v>
      </c>
    </row>
    <row r="2775" spans="1:5">
      <c r="A2775" s="111">
        <v>40308</v>
      </c>
      <c r="B2775" s="86" t="str">
        <f>TiposLancamentos!B74</f>
        <v>Noite</v>
      </c>
      <c r="C2775" s="3" t="s">
        <v>4027</v>
      </c>
      <c r="D2775" s="78"/>
      <c r="E2775" s="1480">
        <v>10</v>
      </c>
    </row>
    <row r="2776" spans="1:5">
      <c r="A2776" s="111">
        <v>40309</v>
      </c>
      <c r="B2776" s="86" t="str">
        <f>TiposLancamentos!B18</f>
        <v>Alimentacao</v>
      </c>
      <c r="C2776" s="3" t="s">
        <v>4028</v>
      </c>
      <c r="D2776" s="78"/>
      <c r="E2776" s="1480">
        <v>2.5</v>
      </c>
    </row>
    <row r="2777" spans="1:5">
      <c r="A2777" s="111">
        <v>40311</v>
      </c>
      <c r="B2777" s="86" t="str">
        <f>TiposLancamentos!B72</f>
        <v>Presentes</v>
      </c>
      <c r="C2777" s="3" t="s">
        <v>4029</v>
      </c>
      <c r="D2777" s="78"/>
      <c r="E2777" s="1480">
        <v>20</v>
      </c>
    </row>
    <row r="2778" spans="1:5">
      <c r="A2778" s="111">
        <v>40312</v>
      </c>
      <c r="B2778" s="86" t="str">
        <f>TiposLancamentos!B18</f>
        <v>Alimentacao</v>
      </c>
      <c r="C2778" s="3" t="s">
        <v>3210</v>
      </c>
      <c r="D2778" s="78"/>
      <c r="E2778" s="1480">
        <v>2.2999999999999998</v>
      </c>
    </row>
    <row r="2779" spans="1:5">
      <c r="A2779" s="111">
        <v>40317</v>
      </c>
      <c r="B2779" s="86" t="str">
        <f>TiposLancamentos!B20</f>
        <v>Saques</v>
      </c>
      <c r="C2779" s="3" t="s">
        <v>3403</v>
      </c>
      <c r="D2779" s="78">
        <v>20</v>
      </c>
      <c r="E2779" s="1480"/>
    </row>
    <row r="2780" spans="1:5">
      <c r="A2780" s="111">
        <v>40317</v>
      </c>
      <c r="B2780" s="86" t="str">
        <f>TiposLancamentos!B71</f>
        <v>Itens Pessoais</v>
      </c>
      <c r="C2780" s="3" t="s">
        <v>4030</v>
      </c>
      <c r="D2780" s="78"/>
      <c r="E2780" s="1480">
        <v>6</v>
      </c>
    </row>
    <row r="2781" spans="1:5">
      <c r="A2781" s="111">
        <v>40317</v>
      </c>
      <c r="B2781" s="86" t="str">
        <f>TiposLancamentos!B24</f>
        <v>Estacionamentos</v>
      </c>
      <c r="C2781" s="3" t="s">
        <v>4031</v>
      </c>
      <c r="D2781" s="78"/>
      <c r="E2781" s="1480">
        <v>5</v>
      </c>
    </row>
    <row r="2782" spans="1:5">
      <c r="A2782" s="111">
        <v>40317</v>
      </c>
      <c r="B2782" s="86" t="str">
        <f>TiposLancamentos!B72</f>
        <v>Presentes</v>
      </c>
      <c r="C2782" s="3" t="s">
        <v>4032</v>
      </c>
      <c r="D2782" s="78"/>
      <c r="E2782" s="1480">
        <v>9</v>
      </c>
    </row>
    <row r="2783" spans="1:5">
      <c r="A2783" s="111">
        <v>40320</v>
      </c>
      <c r="B2783" s="86" t="str">
        <f>TiposLancamentos!B20</f>
        <v>Saques</v>
      </c>
      <c r="C2783" s="3" t="s">
        <v>1706</v>
      </c>
      <c r="D2783" s="78">
        <v>40</v>
      </c>
      <c r="E2783" s="1480"/>
    </row>
    <row r="2784" spans="1:5">
      <c r="A2784" s="111">
        <v>40320</v>
      </c>
      <c r="B2784" s="86" t="str">
        <f>TiposLancamentos!B24</f>
        <v>Estacionamentos</v>
      </c>
      <c r="C2784" s="3" t="s">
        <v>1714</v>
      </c>
      <c r="D2784" s="78"/>
      <c r="E2784" s="1480">
        <v>5</v>
      </c>
    </row>
    <row r="2785" spans="1:5">
      <c r="A2785" s="111">
        <v>40320</v>
      </c>
      <c r="B2785" s="86" t="str">
        <f>TiposLancamentos!B19</f>
        <v>Restaurantes</v>
      </c>
      <c r="C2785" s="3" t="s">
        <v>4033</v>
      </c>
      <c r="D2785" s="78"/>
      <c r="E2785" s="1480">
        <v>29</v>
      </c>
    </row>
    <row r="2786" spans="1:5">
      <c r="A2786" s="111">
        <v>40322</v>
      </c>
      <c r="B2786" s="86" t="str">
        <f>TiposLancamentos!B18</f>
        <v>Alimentacao</v>
      </c>
      <c r="C2786" s="3" t="s">
        <v>4034</v>
      </c>
      <c r="D2786" s="78"/>
      <c r="E2786" s="1480">
        <v>1</v>
      </c>
    </row>
    <row r="2787" spans="1:5">
      <c r="A2787" s="111">
        <v>40323</v>
      </c>
      <c r="B2787" s="86" t="str">
        <f>TiposLancamentos!B16</f>
        <v>Cristiane</v>
      </c>
      <c r="C2787" s="3" t="s">
        <v>4035</v>
      </c>
      <c r="D2787" s="78"/>
      <c r="E2787" s="1480">
        <v>5</v>
      </c>
    </row>
    <row r="2788" spans="1:5">
      <c r="A2788" s="111">
        <v>40326</v>
      </c>
      <c r="B2788" s="86" t="str">
        <f>TiposLancamentos!B20</f>
        <v>Saques</v>
      </c>
      <c r="C2788" s="3" t="s">
        <v>3403</v>
      </c>
      <c r="D2788" s="78">
        <v>30</v>
      </c>
      <c r="E2788" s="1480"/>
    </row>
    <row r="2789" spans="1:5">
      <c r="A2789" s="111">
        <v>40326</v>
      </c>
      <c r="B2789" s="86" t="str">
        <f>TiposLancamentos!B16</f>
        <v>Cristiane</v>
      </c>
      <c r="C2789" s="3" t="s">
        <v>3763</v>
      </c>
      <c r="D2789" s="78"/>
      <c r="E2789" s="1480">
        <v>30</v>
      </c>
    </row>
    <row r="2790" spans="1:5">
      <c r="A2790" s="111">
        <v>40327</v>
      </c>
      <c r="B2790" s="86" t="str">
        <f>TiposLancamentos!B20</f>
        <v>Saques</v>
      </c>
      <c r="C2790" s="3" t="s">
        <v>3403</v>
      </c>
      <c r="D2790" s="78">
        <v>80</v>
      </c>
      <c r="E2790" s="1480"/>
    </row>
    <row r="2791" spans="1:5">
      <c r="A2791" s="111">
        <v>40327</v>
      </c>
      <c r="B2791" s="86" t="str">
        <f>TiposLancamentos!B24</f>
        <v>Estacionamentos</v>
      </c>
      <c r="C2791" s="3" t="s">
        <v>4031</v>
      </c>
      <c r="D2791" s="78"/>
      <c r="E2791" s="1480">
        <v>10</v>
      </c>
    </row>
    <row r="2792" spans="1:5">
      <c r="A2792" s="111">
        <v>40329</v>
      </c>
      <c r="B2792" s="86" t="str">
        <f>TiposLancamentos!B72</f>
        <v>Presentes</v>
      </c>
      <c r="C2792" s="3" t="s">
        <v>4036</v>
      </c>
      <c r="D2792" s="78"/>
      <c r="E2792" s="1480">
        <v>20</v>
      </c>
    </row>
    <row r="2793" spans="1:5">
      <c r="A2793" s="111">
        <v>40329</v>
      </c>
      <c r="B2793" s="86" t="str">
        <f>TiposLancamentos!B16</f>
        <v>Cristiane</v>
      </c>
      <c r="C2793" s="3" t="s">
        <v>3147</v>
      </c>
      <c r="D2793" s="78"/>
      <c r="E2793" s="1480">
        <v>45</v>
      </c>
    </row>
    <row r="2794" spans="1:5">
      <c r="A2794" s="108"/>
      <c r="B2794" s="1594"/>
      <c r="C2794" s="109" t="s">
        <v>4037</v>
      </c>
      <c r="D2794" s="1595"/>
      <c r="E2794" s="1596"/>
    </row>
    <row r="2795" spans="1:5">
      <c r="A2795" s="111">
        <v>40330</v>
      </c>
      <c r="B2795" s="86" t="str">
        <f>TiposLancamentos!B20</f>
        <v>Saques</v>
      </c>
      <c r="C2795" s="3" t="s">
        <v>3403</v>
      </c>
      <c r="D2795" s="78">
        <v>80</v>
      </c>
      <c r="E2795" s="1480"/>
    </row>
    <row r="2796" spans="1:5">
      <c r="A2796" s="111">
        <v>40330</v>
      </c>
      <c r="B2796" s="86" t="str">
        <f>TiposLancamentos!B16</f>
        <v>Cristiane</v>
      </c>
      <c r="C2796" s="3" t="s">
        <v>3763</v>
      </c>
      <c r="D2796" s="78"/>
      <c r="E2796" s="1480">
        <v>80</v>
      </c>
    </row>
    <row r="2797" spans="1:5">
      <c r="A2797" s="111">
        <v>40331</v>
      </c>
      <c r="B2797" s="86" t="str">
        <f>TiposLancamentos!B24</f>
        <v>Estacionamentos</v>
      </c>
      <c r="C2797" s="3" t="s">
        <v>4038</v>
      </c>
      <c r="D2797" s="78"/>
      <c r="E2797" s="1480">
        <v>2.5</v>
      </c>
    </row>
    <row r="2798" spans="1:5">
      <c r="A2798" s="111">
        <v>40309</v>
      </c>
      <c r="B2798" s="86" t="str">
        <f>TiposLancamentos!B20</f>
        <v>Saques</v>
      </c>
      <c r="C2798" s="3" t="s">
        <v>3403</v>
      </c>
      <c r="D2798" s="78">
        <v>60</v>
      </c>
      <c r="E2798" s="1480"/>
    </row>
    <row r="2799" spans="1:5">
      <c r="A2799" s="111">
        <v>40309</v>
      </c>
      <c r="B2799" s="86" t="str">
        <f>TiposLancamentos!B24</f>
        <v>Estacionamentos</v>
      </c>
      <c r="C2799" s="3" t="s">
        <v>3350</v>
      </c>
      <c r="D2799" s="78"/>
      <c r="E2799" s="1480">
        <v>5</v>
      </c>
    </row>
    <row r="2800" spans="1:5">
      <c r="A2800" s="111">
        <v>40341</v>
      </c>
      <c r="B2800" s="86" t="str">
        <f>TiposLancamentos!B86</f>
        <v>Peugeout 207</v>
      </c>
      <c r="C2800" s="3" t="s">
        <v>3899</v>
      </c>
      <c r="D2800" s="78"/>
      <c r="E2800" s="1480">
        <v>18</v>
      </c>
    </row>
    <row r="2801" spans="1:5">
      <c r="A2801" s="111">
        <v>40341</v>
      </c>
      <c r="B2801" s="86" t="str">
        <f>TiposLancamentos!B24</f>
        <v>Estacionamentos</v>
      </c>
      <c r="C2801" s="3" t="s">
        <v>4039</v>
      </c>
      <c r="D2801" s="78"/>
      <c r="E2801" s="1480">
        <v>20</v>
      </c>
    </row>
    <row r="2802" spans="1:5">
      <c r="A2802" s="111">
        <v>40342</v>
      </c>
      <c r="B2802" s="86" t="str">
        <f>TiposLancamentos!B72</f>
        <v>Presentes</v>
      </c>
      <c r="C2802" s="3" t="s">
        <v>4040</v>
      </c>
      <c r="D2802" s="78"/>
      <c r="E2802" s="1480">
        <v>19</v>
      </c>
    </row>
    <row r="2803" spans="1:5">
      <c r="A2803" s="111">
        <v>40342</v>
      </c>
      <c r="B2803" s="86" t="str">
        <f>TiposLancamentos!B97</f>
        <v>Deposito Terc.</v>
      </c>
      <c r="C2803" s="3" t="s">
        <v>4041</v>
      </c>
      <c r="D2803" s="78">
        <v>20</v>
      </c>
      <c r="E2803" s="1480"/>
    </row>
    <row r="2804" spans="1:5">
      <c r="A2804" s="111">
        <v>40342</v>
      </c>
      <c r="B2804" s="86" t="str">
        <f>TiposLancamentos!B24</f>
        <v>Estacionamentos</v>
      </c>
      <c r="C2804" s="3" t="s">
        <v>4042</v>
      </c>
      <c r="D2804" s="78"/>
      <c r="E2804" s="1480">
        <v>15</v>
      </c>
    </row>
    <row r="2805" spans="1:5">
      <c r="A2805" s="111">
        <v>40343</v>
      </c>
      <c r="B2805" s="86" t="str">
        <f>TiposLancamentos!B20</f>
        <v>Saques</v>
      </c>
      <c r="C2805" s="3" t="s">
        <v>3761</v>
      </c>
      <c r="D2805" s="78">
        <v>20</v>
      </c>
      <c r="E2805" s="1480"/>
    </row>
    <row r="2806" spans="1:5">
      <c r="A2806" s="111">
        <v>40343</v>
      </c>
      <c r="B2806" s="86" t="str">
        <f>TiposLancamentos!B98</f>
        <v>Restituições</v>
      </c>
      <c r="C2806" s="3" t="s">
        <v>4043</v>
      </c>
      <c r="D2806" s="78"/>
      <c r="E2806" s="1480">
        <v>20</v>
      </c>
    </row>
    <row r="2807" spans="1:5">
      <c r="A2807" s="111">
        <v>40347</v>
      </c>
      <c r="B2807" s="86" t="str">
        <f>TiposLancamentos!B20</f>
        <v>Saques</v>
      </c>
      <c r="C2807" s="3" t="s">
        <v>3403</v>
      </c>
      <c r="D2807" s="78">
        <v>20</v>
      </c>
      <c r="E2807" s="1480"/>
    </row>
    <row r="2808" spans="1:5">
      <c r="A2808" s="111">
        <v>40347</v>
      </c>
      <c r="B2808" s="86" t="str">
        <f>TiposLancamentos!B16</f>
        <v>Cristiane</v>
      </c>
      <c r="C2808" s="3" t="s">
        <v>3016</v>
      </c>
      <c r="D2808" s="78"/>
      <c r="E2808" s="1480">
        <v>20</v>
      </c>
    </row>
    <row r="2809" spans="1:5">
      <c r="A2809" s="111">
        <v>40348</v>
      </c>
      <c r="B2809" s="86" t="str">
        <f>TiposLancamentos!B18</f>
        <v>Alimentacao</v>
      </c>
      <c r="C2809" s="3" t="s">
        <v>3210</v>
      </c>
      <c r="D2809" s="78"/>
      <c r="E2809" s="1480">
        <v>5.5</v>
      </c>
    </row>
    <row r="2810" spans="1:5">
      <c r="A2810" s="111">
        <v>40352</v>
      </c>
      <c r="B2810" s="86" t="str">
        <f>TiposLancamentos!B99</f>
        <v>Venda de algo</v>
      </c>
      <c r="C2810" s="3" t="s">
        <v>4044</v>
      </c>
      <c r="D2810" s="78">
        <v>30</v>
      </c>
      <c r="E2810" s="1480"/>
    </row>
    <row r="2811" spans="1:5">
      <c r="A2811" s="111">
        <v>40355</v>
      </c>
      <c r="B2811" s="86" t="str">
        <f>TiposLancamentos!B16</f>
        <v>Cristiane</v>
      </c>
      <c r="C2811" s="3" t="s">
        <v>3016</v>
      </c>
      <c r="D2811" s="78"/>
      <c r="E2811" s="1480">
        <v>30</v>
      </c>
    </row>
    <row r="2812" spans="1:5">
      <c r="A2812" s="108"/>
      <c r="B2812" s="1594"/>
      <c r="C2812" s="109" t="s">
        <v>4045</v>
      </c>
      <c r="D2812" s="1595"/>
      <c r="E2812" s="1596"/>
    </row>
    <row r="2813" spans="1:5">
      <c r="A2813" s="111">
        <v>40362</v>
      </c>
      <c r="B2813" s="86" t="str">
        <f>TiposLancamentos!B20</f>
        <v>Saques</v>
      </c>
      <c r="C2813" s="3" t="s">
        <v>3403</v>
      </c>
      <c r="D2813" s="78">
        <v>90</v>
      </c>
      <c r="E2813" s="1480"/>
    </row>
    <row r="2814" spans="1:5">
      <c r="A2814" s="111">
        <v>40362</v>
      </c>
      <c r="B2814" s="86" t="str">
        <f>TiposLancamentos!B19</f>
        <v>Restaurantes</v>
      </c>
      <c r="C2814" s="3" t="s">
        <v>4046</v>
      </c>
      <c r="D2814" s="78"/>
      <c r="E2814" s="1480">
        <v>19.5</v>
      </c>
    </row>
    <row r="2815" spans="1:5">
      <c r="A2815" s="111">
        <v>40362</v>
      </c>
      <c r="B2815" s="86" t="str">
        <f>TiposLancamentos!B19</f>
        <v>Restaurantes</v>
      </c>
      <c r="C2815" s="3" t="s">
        <v>3940</v>
      </c>
      <c r="D2815" s="78"/>
      <c r="E2815" s="1480">
        <v>18</v>
      </c>
    </row>
    <row r="2816" spans="1:5">
      <c r="A2816" s="111">
        <v>40364</v>
      </c>
      <c r="B2816" s="86" t="str">
        <f>TiposLancamentos!B16</f>
        <v>Cristiane</v>
      </c>
      <c r="C2816" s="3" t="s">
        <v>3016</v>
      </c>
      <c r="D2816" s="78"/>
      <c r="E2816" s="1480">
        <v>50</v>
      </c>
    </row>
    <row r="2817" spans="1:5">
      <c r="A2817" s="111">
        <v>40365</v>
      </c>
      <c r="B2817" s="86" t="str">
        <f>TiposLancamentos!B20</f>
        <v>Saques</v>
      </c>
      <c r="C2817" s="3" t="s">
        <v>3470</v>
      </c>
      <c r="D2817" s="78">
        <v>20</v>
      </c>
      <c r="E2817" s="1480"/>
    </row>
    <row r="2818" spans="1:5">
      <c r="A2818" s="111">
        <v>40365</v>
      </c>
      <c r="B2818" s="86" t="str">
        <f>TiposLancamentos!B24</f>
        <v>Estacionamentos</v>
      </c>
      <c r="C2818" s="3" t="s">
        <v>4047</v>
      </c>
      <c r="D2818" s="78"/>
      <c r="E2818" s="1480">
        <v>3</v>
      </c>
    </row>
    <row r="2819" spans="1:5">
      <c r="A2819" s="111">
        <v>40366</v>
      </c>
      <c r="B2819" s="86" t="str">
        <f>TiposLancamentos!B24</f>
        <v>Estacionamentos</v>
      </c>
      <c r="C2819" s="3" t="s">
        <v>4048</v>
      </c>
      <c r="D2819" s="78"/>
      <c r="E2819" s="1480">
        <v>3</v>
      </c>
    </row>
    <row r="2820" spans="1:5">
      <c r="A2820" s="111">
        <v>40367</v>
      </c>
      <c r="B2820" s="86" t="str">
        <f>TiposLancamentos!B29</f>
        <v>Mangá</v>
      </c>
      <c r="C2820" s="3" t="s">
        <v>4049</v>
      </c>
      <c r="D2820" s="78"/>
      <c r="E2820" s="1480">
        <v>11.9</v>
      </c>
    </row>
    <row r="2821" spans="1:5">
      <c r="A2821" s="111">
        <v>40372</v>
      </c>
      <c r="B2821" s="86" t="str">
        <f>TiposLancamentos!B20</f>
        <v>Saques</v>
      </c>
      <c r="C2821" s="3" t="s">
        <v>3403</v>
      </c>
      <c r="D2821" s="78">
        <v>60</v>
      </c>
      <c r="E2821" s="1480"/>
    </row>
    <row r="2822" spans="1:5">
      <c r="A2822" s="111">
        <v>40372</v>
      </c>
      <c r="B2822" s="86" t="str">
        <f>TiposLancamentos!B16</f>
        <v>Cristiane</v>
      </c>
      <c r="C2822" s="3" t="s">
        <v>3016</v>
      </c>
      <c r="D2822" s="78"/>
      <c r="E2822" s="1480">
        <v>60</v>
      </c>
    </row>
    <row r="2823" spans="1:5">
      <c r="A2823" s="111">
        <v>40376</v>
      </c>
      <c r="B2823" s="86" t="str">
        <f>TiposLancamentos!B20</f>
        <v>Saques</v>
      </c>
      <c r="C2823" s="3" t="s">
        <v>2655</v>
      </c>
      <c r="D2823" s="78">
        <v>20</v>
      </c>
      <c r="E2823" s="1480"/>
    </row>
    <row r="2824" spans="1:5">
      <c r="A2824" s="111">
        <v>40376</v>
      </c>
      <c r="B2824" s="86" t="str">
        <f>TiposLancamentos!B51</f>
        <v>Marlboro</v>
      </c>
      <c r="C2824" s="3" t="s">
        <v>3646</v>
      </c>
      <c r="D2824" s="78"/>
      <c r="E2824" s="1480">
        <v>4</v>
      </c>
    </row>
    <row r="2825" spans="1:5">
      <c r="A2825" s="111">
        <v>40377</v>
      </c>
      <c r="B2825" s="86" t="str">
        <f>TiposLancamentos!B16</f>
        <v>Cristiane</v>
      </c>
      <c r="C2825" s="3"/>
      <c r="D2825" s="78"/>
      <c r="E2825" s="1480">
        <v>20</v>
      </c>
    </row>
    <row r="2826" spans="1:5">
      <c r="A2826" s="111">
        <v>40378</v>
      </c>
      <c r="B2826" s="86" t="str">
        <f>TiposLancamentos!B20</f>
        <v>Saques</v>
      </c>
      <c r="C2826" s="3" t="s">
        <v>3403</v>
      </c>
      <c r="D2826" s="78">
        <v>60</v>
      </c>
      <c r="E2826" s="1480"/>
    </row>
    <row r="2827" spans="1:5">
      <c r="A2827" s="111">
        <v>40378</v>
      </c>
      <c r="B2827" s="86" t="str">
        <f>TiposLancamentos!B18</f>
        <v>Alimentacao</v>
      </c>
      <c r="C2827" s="3" t="s">
        <v>4050</v>
      </c>
      <c r="D2827" s="78"/>
      <c r="E2827" s="1480">
        <v>2</v>
      </c>
    </row>
    <row r="2828" spans="1:5">
      <c r="A2828" s="111">
        <v>40378</v>
      </c>
      <c r="B2828" s="86" t="str">
        <f>TiposLancamentos!B16</f>
        <v>Cristiane</v>
      </c>
      <c r="C2828" s="3" t="s">
        <v>4051</v>
      </c>
      <c r="D2828" s="78"/>
      <c r="E2828" s="1480">
        <v>2</v>
      </c>
    </row>
    <row r="2829" spans="1:5">
      <c r="A2829" s="111">
        <v>40378</v>
      </c>
      <c r="B2829" s="86" t="str">
        <f>TiposLancamentos!B13</f>
        <v>Moradia</v>
      </c>
      <c r="C2829" s="3" t="s">
        <v>4052</v>
      </c>
      <c r="D2829" s="78"/>
      <c r="E2829" s="1480">
        <v>16</v>
      </c>
    </row>
    <row r="2830" spans="1:5">
      <c r="A2830" s="111">
        <v>40379</v>
      </c>
      <c r="B2830" s="86" t="str">
        <f>TiposLancamentos!B16</f>
        <v>Cristiane</v>
      </c>
      <c r="C2830" s="3" t="s">
        <v>1698</v>
      </c>
      <c r="D2830" s="78"/>
      <c r="E2830" s="1480">
        <v>24</v>
      </c>
    </row>
    <row r="2831" spans="1:5">
      <c r="A2831" s="111">
        <v>40198</v>
      </c>
      <c r="B2831" s="86" t="str">
        <f>TiposLancamentos!B51</f>
        <v>Marlboro</v>
      </c>
      <c r="C2831" s="3" t="s">
        <v>4053</v>
      </c>
      <c r="D2831" s="78"/>
      <c r="E2831" s="1480">
        <v>4.5</v>
      </c>
    </row>
    <row r="2832" spans="1:5">
      <c r="A2832" s="111">
        <v>40379</v>
      </c>
      <c r="B2832" s="86" t="str">
        <f>TiposLancamentos!B16</f>
        <v>Cristiane</v>
      </c>
      <c r="C2832" s="3" t="s">
        <v>3147</v>
      </c>
      <c r="D2832" s="78"/>
      <c r="E2832" s="1480">
        <v>7</v>
      </c>
    </row>
    <row r="2833" spans="1:5">
      <c r="A2833" s="111">
        <v>40382</v>
      </c>
      <c r="B2833" s="86" t="str">
        <f>TiposLancamentos!B20</f>
        <v>Saques</v>
      </c>
      <c r="C2833" s="3" t="s">
        <v>3403</v>
      </c>
      <c r="D2833" s="78">
        <v>500</v>
      </c>
      <c r="E2833" s="1480"/>
    </row>
    <row r="2834" spans="1:5">
      <c r="A2834" s="111">
        <v>40382</v>
      </c>
      <c r="B2834" s="86" t="str">
        <f>TiposLancamentos!B51</f>
        <v>Marlboro</v>
      </c>
      <c r="C2834" s="3" t="s">
        <v>3888</v>
      </c>
      <c r="D2834" s="78"/>
      <c r="E2834" s="1480">
        <v>4</v>
      </c>
    </row>
    <row r="2835" spans="1:5">
      <c r="A2835" s="111">
        <v>40382</v>
      </c>
      <c r="B2835" s="86" t="str">
        <f>TiposLancamentos!B24</f>
        <v>Estacionamentos</v>
      </c>
      <c r="C2835" s="3" t="s">
        <v>4054</v>
      </c>
      <c r="D2835" s="78"/>
      <c r="E2835" s="1480">
        <v>2.5</v>
      </c>
    </row>
    <row r="2836" spans="1:5">
      <c r="A2836" s="111">
        <v>40382</v>
      </c>
      <c r="B2836" s="86" t="str">
        <f>TiposLancamentos!B16</f>
        <v>Cristiane</v>
      </c>
      <c r="C2836" s="3" t="s">
        <v>1698</v>
      </c>
      <c r="D2836" s="78"/>
      <c r="E2836" s="1480">
        <v>420</v>
      </c>
    </row>
    <row r="2837" spans="1:5">
      <c r="A2837" s="111">
        <v>40385</v>
      </c>
      <c r="B2837" s="86" t="str">
        <f>TiposLancamentos!B59</f>
        <v>Documentos</v>
      </c>
      <c r="C2837" s="3" t="s">
        <v>4055</v>
      </c>
      <c r="D2837" s="78"/>
      <c r="E2837" s="1480">
        <v>5</v>
      </c>
    </row>
    <row r="2838" spans="1:5">
      <c r="A2838" s="111">
        <v>40385</v>
      </c>
      <c r="B2838" s="86" t="str">
        <f>TiposLancamentos!B65</f>
        <v>Taxi</v>
      </c>
      <c r="C2838" s="3" t="s">
        <v>4056</v>
      </c>
      <c r="D2838" s="78"/>
      <c r="E2838" s="1480">
        <v>11</v>
      </c>
    </row>
    <row r="2839" spans="1:5">
      <c r="A2839" s="111">
        <v>40385</v>
      </c>
      <c r="B2839" s="86" t="str">
        <f>TiposLancamentos!B55</f>
        <v>Onibus Urbano</v>
      </c>
      <c r="C2839" s="3" t="s">
        <v>4057</v>
      </c>
      <c r="D2839" s="78"/>
      <c r="E2839" s="1480">
        <v>2.65</v>
      </c>
    </row>
    <row r="2840" spans="1:5">
      <c r="A2840" s="111">
        <v>40385</v>
      </c>
      <c r="B2840" s="86" t="str">
        <f>TiposLancamentos!B19</f>
        <v>Restaurantes</v>
      </c>
      <c r="C2840" s="3" t="s">
        <v>3951</v>
      </c>
      <c r="D2840" s="78"/>
      <c r="E2840" s="1480">
        <v>9.6</v>
      </c>
    </row>
    <row r="2841" spans="1:5">
      <c r="A2841" s="111">
        <v>40385</v>
      </c>
      <c r="B2841" s="86" t="str">
        <f>TiposLancamentos!B24</f>
        <v>Estacionamentos</v>
      </c>
      <c r="C2841" s="3" t="s">
        <v>1714</v>
      </c>
      <c r="D2841" s="78"/>
      <c r="E2841" s="1480">
        <v>2.5</v>
      </c>
    </row>
    <row r="2842" spans="1:5">
      <c r="A2842" s="111">
        <v>40386</v>
      </c>
      <c r="B2842" s="86" t="str">
        <f>TiposLancamentos!B72</f>
        <v>Presentes</v>
      </c>
      <c r="C2842" s="3" t="s">
        <v>4058</v>
      </c>
      <c r="D2842" s="78"/>
      <c r="E2842" s="1480">
        <v>10</v>
      </c>
    </row>
    <row r="2843" spans="1:5">
      <c r="A2843" s="111">
        <v>40388</v>
      </c>
      <c r="B2843" s="86" t="str">
        <f>TiposLancamentos!B71</f>
        <v>Itens Pessoais</v>
      </c>
      <c r="C2843" s="3" t="s">
        <v>4059</v>
      </c>
      <c r="D2843" s="78"/>
      <c r="E2843" s="1480">
        <v>4</v>
      </c>
    </row>
    <row r="2844" spans="1:5">
      <c r="A2844" s="111">
        <v>40389</v>
      </c>
      <c r="B2844" s="86" t="str">
        <f>TiposLancamentos!B51</f>
        <v>Marlboro</v>
      </c>
      <c r="C2844" s="3" t="s">
        <v>4060</v>
      </c>
      <c r="D2844" s="78"/>
      <c r="E2844" s="1480">
        <v>4.5</v>
      </c>
    </row>
    <row r="2845" spans="1:5">
      <c r="A2845" s="111">
        <v>40389</v>
      </c>
      <c r="B2845" s="86" t="str">
        <f>TiposLancamentos!B65</f>
        <v>Taxi</v>
      </c>
      <c r="C2845" s="3" t="s">
        <v>4061</v>
      </c>
      <c r="D2845" s="78"/>
      <c r="E2845" s="1480">
        <v>11.25</v>
      </c>
    </row>
    <row r="2846" spans="1:5">
      <c r="A2846" s="111">
        <v>40390</v>
      </c>
      <c r="B2846" s="86" t="str">
        <f>TiposLancamentos!B20</f>
        <v>Saques</v>
      </c>
      <c r="C2846" s="3" t="s">
        <v>3403</v>
      </c>
      <c r="D2846" s="78">
        <v>40</v>
      </c>
      <c r="E2846" s="1480"/>
    </row>
    <row r="2847" spans="1:5">
      <c r="A2847" s="111">
        <v>40390</v>
      </c>
      <c r="B2847" s="86" t="str">
        <f>TiposLancamentos!B18</f>
        <v>Alimentacao</v>
      </c>
      <c r="C2847" s="3" t="s">
        <v>4062</v>
      </c>
      <c r="D2847" s="78"/>
      <c r="E2847" s="1480">
        <v>5</v>
      </c>
    </row>
    <row r="2848" spans="1:5">
      <c r="A2848" s="111">
        <v>40390</v>
      </c>
      <c r="B2848" s="86" t="str">
        <f>TiposLancamentos!B18</f>
        <v>Alimentacao</v>
      </c>
      <c r="C2848" s="3" t="s">
        <v>4063</v>
      </c>
      <c r="D2848" s="78"/>
      <c r="E2848" s="1480">
        <v>8.1999999999999993</v>
      </c>
    </row>
    <row r="2849" spans="1:5">
      <c r="A2849" s="108"/>
      <c r="B2849" s="1594"/>
      <c r="C2849" s="109" t="s">
        <v>4064</v>
      </c>
      <c r="D2849" s="1595"/>
      <c r="E2849" s="1596"/>
    </row>
    <row r="2850" spans="1:5">
      <c r="A2850" s="111">
        <v>40392</v>
      </c>
      <c r="B2850" s="86" t="str">
        <f>TiposLancamentos!B18</f>
        <v>Alimentacao</v>
      </c>
      <c r="C2850" s="3" t="s">
        <v>4063</v>
      </c>
      <c r="D2850" s="78"/>
      <c r="E2850" s="1480">
        <v>8.1999999999999993</v>
      </c>
    </row>
    <row r="2851" spans="1:5">
      <c r="A2851" s="111">
        <v>40392</v>
      </c>
      <c r="B2851" s="86" t="str">
        <f>TiposLancamentos!B51</f>
        <v>Marlboro</v>
      </c>
      <c r="C2851" s="3" t="s">
        <v>3515</v>
      </c>
      <c r="D2851" s="78"/>
      <c r="E2851" s="1480">
        <v>4</v>
      </c>
    </row>
    <row r="2852" spans="1:5">
      <c r="A2852" s="111">
        <v>40393</v>
      </c>
      <c r="B2852" s="86" t="str">
        <f>TiposLancamentos!B72</f>
        <v>Presentes</v>
      </c>
      <c r="C2852" s="3" t="s">
        <v>4065</v>
      </c>
      <c r="D2852" s="78"/>
      <c r="E2852" s="1480">
        <v>10</v>
      </c>
    </row>
    <row r="2853" spans="1:5">
      <c r="A2853" s="111">
        <v>40394</v>
      </c>
      <c r="B2853" s="86" t="str">
        <f>TiposLancamentos!B20</f>
        <v>Saques</v>
      </c>
      <c r="C2853" s="3" t="s">
        <v>1706</v>
      </c>
      <c r="D2853" s="78">
        <v>70</v>
      </c>
      <c r="E2853" s="1480"/>
    </row>
    <row r="2854" spans="1:5">
      <c r="A2854" s="111">
        <v>40394</v>
      </c>
      <c r="B2854" s="86" t="str">
        <f>TiposLancamentos!B18</f>
        <v>Alimentacao</v>
      </c>
      <c r="C2854" s="3" t="s">
        <v>4066</v>
      </c>
      <c r="D2854" s="78"/>
      <c r="E2854" s="1480">
        <v>2.7</v>
      </c>
    </row>
    <row r="2855" spans="1:5">
      <c r="A2855" s="111">
        <v>40394</v>
      </c>
      <c r="B2855" s="86" t="str">
        <f>TiposLancamentos!B50</f>
        <v>Guitarra</v>
      </c>
      <c r="C2855" s="3" t="s">
        <v>4067</v>
      </c>
      <c r="D2855" s="78"/>
      <c r="E2855" s="1480">
        <v>50</v>
      </c>
    </row>
    <row r="2856" spans="1:5">
      <c r="A2856" s="111">
        <v>40395</v>
      </c>
      <c r="B2856" s="86" t="str">
        <f>TiposLancamentos!B24</f>
        <v>Estacionamentos</v>
      </c>
      <c r="C2856" s="3" t="s">
        <v>4068</v>
      </c>
      <c r="D2856" s="78"/>
      <c r="E2856" s="1480">
        <v>3</v>
      </c>
    </row>
    <row r="2857" spans="1:5">
      <c r="A2857" s="111">
        <v>40396</v>
      </c>
      <c r="B2857" s="86" t="str">
        <f>TiposLancamentos!B51</f>
        <v>Marlboro</v>
      </c>
      <c r="C2857" s="3" t="s">
        <v>3829</v>
      </c>
      <c r="D2857" s="78"/>
      <c r="E2857" s="1480">
        <v>4</v>
      </c>
    </row>
    <row r="2858" spans="1:5">
      <c r="A2858" s="111">
        <v>40396</v>
      </c>
      <c r="B2858" s="86" t="str">
        <f>TiposLancamentos!B24</f>
        <v>Estacionamentos</v>
      </c>
      <c r="C2858" s="3" t="s">
        <v>4054</v>
      </c>
      <c r="D2858" s="78"/>
      <c r="E2858" s="1480">
        <v>2.5</v>
      </c>
    </row>
    <row r="2859" spans="1:5">
      <c r="A2859" s="111">
        <v>40403</v>
      </c>
      <c r="B2859" s="86" t="str">
        <f>TiposLancamentos!B59</f>
        <v>Documentos</v>
      </c>
      <c r="C2859" s="3" t="s">
        <v>4069</v>
      </c>
      <c r="D2859" s="78"/>
      <c r="E2859" s="1480">
        <v>8</v>
      </c>
    </row>
    <row r="2860" spans="1:5">
      <c r="A2860" s="111">
        <v>40403</v>
      </c>
      <c r="B2860" s="86" t="str">
        <f>TiposLancamentos!B55</f>
        <v>Onibus Urbano</v>
      </c>
      <c r="C2860" s="3" t="s">
        <v>2672</v>
      </c>
      <c r="D2860" s="78"/>
      <c r="E2860" s="1480">
        <v>2.65</v>
      </c>
    </row>
    <row r="2861" spans="1:5">
      <c r="A2861" s="111">
        <v>40404</v>
      </c>
      <c r="B2861" s="86" t="str">
        <f>TiposLancamentos!B50</f>
        <v>Guitarra</v>
      </c>
      <c r="C2861" s="3" t="s">
        <v>4070</v>
      </c>
      <c r="D2861" s="78"/>
      <c r="E2861" s="1480">
        <v>2.5</v>
      </c>
    </row>
    <row r="2862" spans="1:5">
      <c r="A2862" s="111">
        <v>40407</v>
      </c>
      <c r="B2862" s="86" t="str">
        <f>TiposLancamentos!B24</f>
        <v>Estacionamentos</v>
      </c>
      <c r="C2862" s="3" t="s">
        <v>4054</v>
      </c>
      <c r="D2862" s="78"/>
      <c r="E2862" s="1480">
        <v>5</v>
      </c>
    </row>
    <row r="2863" spans="1:5">
      <c r="A2863" s="111">
        <v>40408</v>
      </c>
      <c r="B2863" s="86" t="str">
        <f>TiposLancamentos!B24</f>
        <v>Estacionamentos</v>
      </c>
      <c r="C2863" s="3" t="s">
        <v>3430</v>
      </c>
      <c r="D2863" s="78"/>
      <c r="E2863" s="1480">
        <v>2.5</v>
      </c>
    </row>
    <row r="2864" spans="1:5">
      <c r="A2864" s="111">
        <v>40408</v>
      </c>
      <c r="B2864" s="86" t="str">
        <f>TiposLancamentos!B20</f>
        <v>Saques</v>
      </c>
      <c r="C2864" s="3" t="s">
        <v>3403</v>
      </c>
      <c r="D2864" s="78">
        <v>20</v>
      </c>
      <c r="E2864" s="1480"/>
    </row>
    <row r="2865" spans="1:5">
      <c r="A2865" s="111">
        <v>40408</v>
      </c>
      <c r="B2865" s="86" t="str">
        <f>TiposLancamentos!B16</f>
        <v>Cristiane</v>
      </c>
      <c r="C2865" s="3" t="s">
        <v>4071</v>
      </c>
      <c r="D2865" s="78"/>
      <c r="E2865" s="1480">
        <v>10</v>
      </c>
    </row>
    <row r="2866" spans="1:5">
      <c r="A2866" s="111">
        <v>40408</v>
      </c>
      <c r="B2866" s="86" t="str">
        <f>TiposLancamentos!B18</f>
        <v>Alimentacao</v>
      </c>
      <c r="C2866" s="3" t="s">
        <v>3940</v>
      </c>
      <c r="D2866" s="78"/>
      <c r="E2866" s="1480">
        <v>4.5</v>
      </c>
    </row>
    <row r="2867" spans="1:5">
      <c r="A2867" s="111">
        <v>40409</v>
      </c>
      <c r="B2867" s="86" t="str">
        <f>TiposLancamentos!B20</f>
        <v>Saques</v>
      </c>
      <c r="C2867" s="3" t="s">
        <v>3814</v>
      </c>
      <c r="D2867" s="78">
        <v>40</v>
      </c>
      <c r="E2867" s="1480"/>
    </row>
    <row r="2868" spans="1:5">
      <c r="A2868" s="111">
        <v>40409</v>
      </c>
      <c r="B2868" s="86" t="str">
        <f>TiposLancamentos!B18</f>
        <v>Alimentacao</v>
      </c>
      <c r="C2868" s="3" t="s">
        <v>2925</v>
      </c>
      <c r="D2868" s="78"/>
      <c r="E2868" s="1480">
        <v>4.5</v>
      </c>
    </row>
    <row r="2869" spans="1:5">
      <c r="A2869" s="111">
        <v>40410</v>
      </c>
      <c r="B2869" s="86" t="str">
        <f>TiposLancamentos!B16</f>
        <v>Cristiane</v>
      </c>
      <c r="C2869" s="3" t="s">
        <v>3016</v>
      </c>
      <c r="D2869" s="78"/>
      <c r="E2869" s="1480">
        <v>40</v>
      </c>
    </row>
    <row r="2870" spans="1:5">
      <c r="A2870" s="111">
        <v>40410</v>
      </c>
      <c r="B2870" s="86" t="str">
        <f>TiposLancamentos!B24</f>
        <v>Estacionamentos</v>
      </c>
      <c r="C2870" s="3" t="s">
        <v>4072</v>
      </c>
      <c r="D2870" s="78"/>
      <c r="E2870" s="1480">
        <v>3</v>
      </c>
    </row>
    <row r="2871" spans="1:5">
      <c r="A2871" s="111">
        <v>40411</v>
      </c>
      <c r="B2871" s="86" t="str">
        <f>TiposLancamentos!B20</f>
        <v>Saques</v>
      </c>
      <c r="C2871" s="3" t="s">
        <v>3403</v>
      </c>
      <c r="D2871" s="78">
        <v>70</v>
      </c>
      <c r="E2871" s="1480"/>
    </row>
    <row r="2872" spans="1:5">
      <c r="A2872" s="111">
        <v>40411</v>
      </c>
      <c r="B2872" s="86" t="str">
        <f>TiposLancamentos!B19</f>
        <v>Restaurantes</v>
      </c>
      <c r="C2872" s="3" t="s">
        <v>3995</v>
      </c>
      <c r="D2872" s="78"/>
      <c r="E2872" s="1480">
        <v>37.5</v>
      </c>
    </row>
    <row r="2873" spans="1:5">
      <c r="A2873" s="111">
        <v>40412</v>
      </c>
      <c r="B2873" s="86" t="str">
        <f>TiposLancamentos!B55</f>
        <v>Onibus Urbano</v>
      </c>
      <c r="C2873" s="3" t="s">
        <v>4073</v>
      </c>
      <c r="D2873" s="78"/>
      <c r="E2873" s="1480">
        <f>4*2.65</f>
        <v>10.6</v>
      </c>
    </row>
    <row r="2874" spans="1:5">
      <c r="A2874" s="111">
        <v>40412</v>
      </c>
      <c r="B2874" s="86" t="str">
        <f>TiposLancamentos!B54</f>
        <v>Metro</v>
      </c>
      <c r="C2874" s="3" t="s">
        <v>4074</v>
      </c>
      <c r="D2874" s="78"/>
      <c r="E2874" s="1480">
        <f>4*2.65</f>
        <v>10.6</v>
      </c>
    </row>
    <row r="2875" spans="1:5">
      <c r="A2875" s="111">
        <v>40413</v>
      </c>
      <c r="B2875" s="86" t="str">
        <f>TiposLancamentos!B24</f>
        <v>Estacionamentos</v>
      </c>
      <c r="C2875" s="3" t="s">
        <v>4075</v>
      </c>
      <c r="D2875" s="78"/>
      <c r="E2875" s="1480">
        <v>2.5</v>
      </c>
    </row>
    <row r="2876" spans="1:5">
      <c r="A2876" s="111">
        <v>40413</v>
      </c>
      <c r="B2876" s="86" t="str">
        <f>TiposLancamentos!B18</f>
        <v>Alimentacao</v>
      </c>
      <c r="C2876" s="3" t="s">
        <v>4076</v>
      </c>
      <c r="D2876" s="78"/>
      <c r="E2876" s="1480">
        <v>2.5</v>
      </c>
    </row>
    <row r="2877" spans="1:5">
      <c r="A2877" s="111">
        <v>40413</v>
      </c>
      <c r="B2877" s="86" t="str">
        <f>TiposLancamentos!B16</f>
        <v>Cristiane</v>
      </c>
      <c r="C2877" s="3" t="s">
        <v>4077</v>
      </c>
      <c r="D2877" s="78"/>
      <c r="E2877" s="1480">
        <v>14.15</v>
      </c>
    </row>
    <row r="2878" spans="1:5">
      <c r="A2878" s="111">
        <v>40415</v>
      </c>
      <c r="B2878" s="86" t="str">
        <f>TiposLancamentos!B20</f>
        <v>Saques</v>
      </c>
      <c r="C2878" s="3" t="s">
        <v>3403</v>
      </c>
      <c r="D2878" s="78">
        <v>70</v>
      </c>
      <c r="E2878" s="1480"/>
    </row>
    <row r="2879" spans="1:5">
      <c r="A2879" s="111">
        <v>40415</v>
      </c>
      <c r="B2879" s="86" t="str">
        <f>TiposLancamentos!B16</f>
        <v>Cristiane</v>
      </c>
      <c r="C2879" s="3" t="s">
        <v>3147</v>
      </c>
      <c r="D2879" s="78"/>
      <c r="E2879" s="1480">
        <v>70</v>
      </c>
    </row>
    <row r="2880" spans="1:5">
      <c r="A2880" s="111">
        <v>40417</v>
      </c>
      <c r="B2880" s="86" t="str">
        <f>TiposLancamentos!B20</f>
        <v>Saques</v>
      </c>
      <c r="C2880" s="3" t="s">
        <v>3489</v>
      </c>
      <c r="D2880" s="78">
        <v>20</v>
      </c>
      <c r="E2880" s="1480"/>
    </row>
    <row r="2881" spans="1:5">
      <c r="A2881" s="111">
        <v>40417</v>
      </c>
      <c r="B2881" s="86" t="str">
        <f>TiposLancamentos!B18</f>
        <v>Alimentacao</v>
      </c>
      <c r="C2881" s="3" t="s">
        <v>4078</v>
      </c>
      <c r="D2881" s="78"/>
      <c r="E2881" s="1480">
        <v>6</v>
      </c>
    </row>
    <row r="2882" spans="1:5">
      <c r="A2882" s="111">
        <v>40417</v>
      </c>
      <c r="B2882" s="86" t="str">
        <f>TiposLancamentos!B24</f>
        <v>Estacionamentos</v>
      </c>
      <c r="C2882" s="3" t="s">
        <v>4079</v>
      </c>
      <c r="D2882" s="78"/>
      <c r="E2882" s="1480">
        <v>4</v>
      </c>
    </row>
    <row r="2883" spans="1:5">
      <c r="A2883" s="111">
        <v>40420</v>
      </c>
      <c r="B2883" s="86" t="str">
        <f>TiposLancamentos!B20</f>
        <v>Saques</v>
      </c>
      <c r="C2883" s="3" t="s">
        <v>3731</v>
      </c>
      <c r="D2883" s="78">
        <v>30</v>
      </c>
      <c r="E2883" s="1480"/>
    </row>
    <row r="2884" spans="1:5">
      <c r="A2884" s="111">
        <v>40421</v>
      </c>
      <c r="B2884" s="86" t="str">
        <f>TiposLancamentos!B65</f>
        <v>Taxi</v>
      </c>
      <c r="C2884" s="3" t="s">
        <v>1792</v>
      </c>
      <c r="D2884" s="78"/>
      <c r="E2884" s="1480">
        <v>12</v>
      </c>
    </row>
    <row r="2885" spans="1:5">
      <c r="A2885" s="111">
        <v>40421</v>
      </c>
      <c r="B2885" s="86" t="str">
        <f>TiposLancamentos!B16</f>
        <v>Cristiane</v>
      </c>
      <c r="C2885" s="3" t="s">
        <v>1698</v>
      </c>
      <c r="D2885" s="78"/>
      <c r="E2885" s="1480">
        <v>20</v>
      </c>
    </row>
    <row r="2886" spans="1:5">
      <c r="A2886" s="108"/>
      <c r="B2886" s="1594"/>
      <c r="C2886" s="109" t="s">
        <v>4080</v>
      </c>
      <c r="D2886" s="1595"/>
      <c r="E2886" s="1596"/>
    </row>
    <row r="2887" spans="1:5">
      <c r="A2887" s="111">
        <v>40423</v>
      </c>
      <c r="B2887" s="86" t="str">
        <f>TiposLancamentos!B16</f>
        <v>Cristiane</v>
      </c>
      <c r="C2887" s="3" t="s">
        <v>3016</v>
      </c>
      <c r="D2887" s="78"/>
      <c r="E2887" s="1480">
        <v>8</v>
      </c>
    </row>
    <row r="2888" spans="1:5">
      <c r="A2888" s="111">
        <v>40425</v>
      </c>
      <c r="B2888" s="86" t="str">
        <f>TiposLancamentos!B20</f>
        <v>Saques</v>
      </c>
      <c r="C2888" s="3" t="s">
        <v>3403</v>
      </c>
      <c r="D2888" s="78">
        <v>30</v>
      </c>
      <c r="E2888" s="1480"/>
    </row>
    <row r="2889" spans="1:5">
      <c r="A2889" s="111">
        <v>40425</v>
      </c>
      <c r="B2889" s="86" t="str">
        <f>TiposLancamentos!B65</f>
        <v>Taxi</v>
      </c>
      <c r="C2889" s="3" t="s">
        <v>3411</v>
      </c>
      <c r="D2889" s="78"/>
      <c r="E2889" s="1480">
        <v>12</v>
      </c>
    </row>
    <row r="2890" spans="1:5">
      <c r="A2890" s="111">
        <v>40367</v>
      </c>
      <c r="B2890" s="86" t="str">
        <f>TiposLancamentos!B16</f>
        <v>Cristiane</v>
      </c>
      <c r="C2890" s="3" t="s">
        <v>3016</v>
      </c>
      <c r="D2890" s="78"/>
      <c r="E2890" s="1480">
        <v>18</v>
      </c>
    </row>
    <row r="2891" spans="1:5">
      <c r="A2891" s="111">
        <v>40399</v>
      </c>
      <c r="B2891" s="86" t="str">
        <f>TiposLancamentos!B20</f>
        <v>Saques</v>
      </c>
      <c r="C2891" s="3" t="s">
        <v>3403</v>
      </c>
      <c r="D2891" s="78">
        <v>20</v>
      </c>
      <c r="E2891" s="1480"/>
    </row>
    <row r="2892" spans="1:5">
      <c r="A2892" s="111">
        <v>40399</v>
      </c>
      <c r="B2892" s="86" t="str">
        <f>TiposLancamentos!B51</f>
        <v>Marlboro</v>
      </c>
      <c r="C2892" s="3" t="s">
        <v>4081</v>
      </c>
      <c r="D2892" s="78"/>
      <c r="E2892" s="1480">
        <v>4</v>
      </c>
    </row>
    <row r="2893" spans="1:5">
      <c r="A2893" s="111">
        <v>40431</v>
      </c>
      <c r="B2893" s="86" t="str">
        <f>TiposLancamentos!B55</f>
        <v>Onibus Urbano</v>
      </c>
      <c r="C2893" s="3" t="s">
        <v>4082</v>
      </c>
      <c r="D2893" s="78"/>
      <c r="E2893" s="1480">
        <f>2.65*2</f>
        <v>5.3</v>
      </c>
    </row>
    <row r="2894" spans="1:5">
      <c r="A2894" s="111">
        <v>40434</v>
      </c>
      <c r="B2894" s="86" t="str">
        <f>TiposLancamentos!B51</f>
        <v>Marlboro</v>
      </c>
      <c r="C2894" s="3" t="s">
        <v>3510</v>
      </c>
      <c r="D2894" s="78"/>
      <c r="E2894" s="1480">
        <v>4</v>
      </c>
    </row>
    <row r="2895" spans="1:5">
      <c r="A2895" s="111">
        <v>40434</v>
      </c>
      <c r="B2895" s="86" t="str">
        <f>TiposLancamentos!B24</f>
        <v>Estacionamentos</v>
      </c>
      <c r="C2895" s="3" t="s">
        <v>4083</v>
      </c>
      <c r="D2895" s="78"/>
      <c r="E2895" s="1480">
        <v>2.5</v>
      </c>
    </row>
    <row r="2896" spans="1:5">
      <c r="A2896" s="111">
        <v>40434</v>
      </c>
      <c r="B2896" s="86" t="str">
        <f>TiposLancamentos!B20</f>
        <v>Saques</v>
      </c>
      <c r="C2896" s="3" t="s">
        <v>3403</v>
      </c>
      <c r="D2896" s="78">
        <v>30</v>
      </c>
      <c r="E2896" s="1480"/>
    </row>
    <row r="2897" spans="1:6">
      <c r="A2897" s="111">
        <v>40435</v>
      </c>
      <c r="B2897" s="86" t="str">
        <f>TiposLancamentos!B16</f>
        <v>Cristiane</v>
      </c>
      <c r="C2897" s="3" t="s">
        <v>3147</v>
      </c>
      <c r="D2897" s="78"/>
      <c r="E2897" s="1480">
        <v>4.2</v>
      </c>
      <c r="F2897" s="3"/>
    </row>
    <row r="2898" spans="1:6">
      <c r="A2898" s="111">
        <v>40435</v>
      </c>
      <c r="B2898" s="86" t="str">
        <f>TiposLancamentos!B13</f>
        <v>Moradia</v>
      </c>
      <c r="C2898" s="3" t="s">
        <v>4084</v>
      </c>
      <c r="D2898" s="78"/>
      <c r="E2898" s="1480">
        <v>30</v>
      </c>
      <c r="F2898" s="3"/>
    </row>
    <row r="2899" spans="1:6">
      <c r="A2899" s="111">
        <v>40435</v>
      </c>
      <c r="B2899" s="86" t="str">
        <f>TiposLancamentos!B20</f>
        <v>Saques</v>
      </c>
      <c r="C2899" s="3" t="s">
        <v>4085</v>
      </c>
      <c r="D2899" s="78">
        <v>40</v>
      </c>
      <c r="E2899" s="1480"/>
      <c r="F2899" s="3"/>
    </row>
    <row r="2900" spans="1:6">
      <c r="A2900" s="111">
        <v>40436</v>
      </c>
      <c r="B2900" s="86" t="str">
        <f>TiposLancamentos!B16</f>
        <v>Cristiane</v>
      </c>
      <c r="C2900" s="3" t="s">
        <v>3147</v>
      </c>
      <c r="D2900" s="78"/>
      <c r="E2900" s="1480">
        <v>40</v>
      </c>
      <c r="F2900" s="3"/>
    </row>
    <row r="2901" spans="1:6">
      <c r="A2901" s="111">
        <v>40439</v>
      </c>
      <c r="B2901" s="86" t="str">
        <f>TiposLancamentos!B20</f>
        <v>Saques</v>
      </c>
      <c r="C2901" s="3" t="s">
        <v>4086</v>
      </c>
      <c r="D2901" s="78">
        <v>60</v>
      </c>
      <c r="E2901" s="1480"/>
      <c r="F2901" s="3"/>
    </row>
    <row r="2902" spans="1:6">
      <c r="A2902" s="111">
        <v>40439</v>
      </c>
      <c r="B2902" s="86" t="str">
        <f>TiposLancamentos!B24</f>
        <v>Estacionamentos</v>
      </c>
      <c r="C2902" s="3" t="s">
        <v>4087</v>
      </c>
      <c r="D2902" s="78"/>
      <c r="E2902" s="1480">
        <v>13</v>
      </c>
      <c r="F2902" s="3"/>
    </row>
    <row r="2903" spans="1:6">
      <c r="A2903" s="111">
        <v>40440</v>
      </c>
      <c r="B2903" s="86" t="str">
        <f>TiposLancamentos!B74</f>
        <v>Noite</v>
      </c>
      <c r="C2903" s="3" t="s">
        <v>4088</v>
      </c>
      <c r="D2903" s="78"/>
      <c r="E2903" s="1480">
        <v>18</v>
      </c>
      <c r="F2903" s="3"/>
    </row>
    <row r="2904" spans="1:6">
      <c r="A2904" s="111">
        <v>40442</v>
      </c>
      <c r="B2904" s="86" t="str">
        <f>TiposLancamentos!B51</f>
        <v>Marlboro</v>
      </c>
      <c r="C2904" s="3" t="s">
        <v>4089</v>
      </c>
      <c r="D2904" s="78"/>
      <c r="E2904" s="1480">
        <v>4</v>
      </c>
      <c r="F2904" s="3"/>
    </row>
    <row r="2905" spans="1:6">
      <c r="A2905" s="111">
        <v>40443</v>
      </c>
      <c r="B2905" s="86" t="str">
        <f>TiposLancamentos!B16</f>
        <v>Cristiane</v>
      </c>
      <c r="C2905" s="3" t="s">
        <v>3147</v>
      </c>
      <c r="D2905" s="78"/>
      <c r="E2905" s="1480">
        <v>25</v>
      </c>
      <c r="F2905" s="3"/>
    </row>
    <row r="2906" spans="1:6">
      <c r="A2906" s="111">
        <v>40445</v>
      </c>
      <c r="B2906" s="86" t="str">
        <f>TiposLancamentos!B20</f>
        <v>Saques</v>
      </c>
      <c r="C2906" s="3" t="s">
        <v>3403</v>
      </c>
      <c r="D2906" s="78">
        <v>5300</v>
      </c>
      <c r="E2906" s="1480"/>
      <c r="F2906" s="3"/>
    </row>
    <row r="2907" spans="1:6">
      <c r="A2907" s="111">
        <v>40445</v>
      </c>
      <c r="B2907" s="86" t="str">
        <f>TiposLancamentos!B24</f>
        <v>Estacionamentos</v>
      </c>
      <c r="C2907" s="3" t="s">
        <v>4090</v>
      </c>
      <c r="D2907" s="78"/>
      <c r="E2907" s="1480">
        <v>2</v>
      </c>
      <c r="F2907" s="3"/>
    </row>
    <row r="2908" spans="1:6">
      <c r="A2908" s="111">
        <v>40445</v>
      </c>
      <c r="B2908" s="86" t="str">
        <f>TiposLancamentos!B16</f>
        <v>Cristiane</v>
      </c>
      <c r="C2908" s="3" t="s">
        <v>4091</v>
      </c>
      <c r="D2908" s="78"/>
      <c r="E2908" s="1480">
        <v>5000</v>
      </c>
      <c r="F2908" s="3"/>
    </row>
    <row r="2909" spans="1:6">
      <c r="A2909" s="111">
        <v>40445</v>
      </c>
      <c r="B2909" s="86" t="str">
        <f>TiposLancamentos!B16</f>
        <v>Cristiane</v>
      </c>
      <c r="C2909" s="3" t="s">
        <v>3549</v>
      </c>
      <c r="D2909" s="78">
        <v>28</v>
      </c>
      <c r="E2909" s="1480"/>
      <c r="F2909" s="1597"/>
    </row>
    <row r="2910" spans="1:6">
      <c r="A2910" s="111">
        <v>40445</v>
      </c>
      <c r="B2910" s="86" t="str">
        <f>TiposLancamentos!B24</f>
        <v>Estacionamentos</v>
      </c>
      <c r="C2910" s="3" t="s">
        <v>4092</v>
      </c>
      <c r="D2910" s="78"/>
      <c r="E2910" s="1480">
        <v>10</v>
      </c>
      <c r="F2910" s="3"/>
    </row>
    <row r="2911" spans="1:6">
      <c r="A2911" s="111">
        <v>40445</v>
      </c>
      <c r="B2911" s="86" t="str">
        <f>TiposLancamentos!B24</f>
        <v>Estacionamentos</v>
      </c>
      <c r="C2911" s="3" t="s">
        <v>4093</v>
      </c>
      <c r="D2911" s="78"/>
      <c r="E2911" s="1480">
        <v>6</v>
      </c>
      <c r="F2911" s="3"/>
    </row>
    <row r="2912" spans="1:6">
      <c r="A2912" s="111">
        <v>40445</v>
      </c>
      <c r="B2912" s="86" t="str">
        <f>TiposLancamentos!B16</f>
        <v>Cristiane</v>
      </c>
      <c r="C2912" s="3" t="s">
        <v>4094</v>
      </c>
      <c r="D2912" s="78"/>
      <c r="E2912" s="1480">
        <v>300</v>
      </c>
      <c r="F2912" s="3"/>
    </row>
    <row r="2913" spans="1:6">
      <c r="A2913" s="111">
        <v>40445</v>
      </c>
      <c r="B2913" s="86" t="str">
        <f>TiposLancamentos!B24</f>
        <v>Estacionamentos</v>
      </c>
      <c r="C2913" s="3"/>
      <c r="D2913" s="78"/>
      <c r="E2913" s="1480">
        <v>10</v>
      </c>
      <c r="F2913" s="3"/>
    </row>
    <row r="2914" spans="1:6">
      <c r="A2914" s="108"/>
      <c r="B2914" s="1594"/>
      <c r="C2914" s="109" t="s">
        <v>4095</v>
      </c>
      <c r="D2914" s="1595"/>
      <c r="E2914" s="1596"/>
      <c r="F2914" s="3"/>
    </row>
    <row r="2915" spans="1:6">
      <c r="A2915" s="111">
        <v>40452</v>
      </c>
      <c r="B2915" s="86" t="str">
        <f>TiposLancamentos!B20</f>
        <v>Saques</v>
      </c>
      <c r="C2915" s="3" t="s">
        <v>3472</v>
      </c>
      <c r="D2915" s="78">
        <v>180</v>
      </c>
      <c r="E2915" s="1480"/>
      <c r="F2915" s="3"/>
    </row>
    <row r="2916" spans="1:6">
      <c r="A2916" s="111">
        <v>40452</v>
      </c>
      <c r="B2916" s="86" t="str">
        <f>TiposLancamentos!B31</f>
        <v>Action Figures</v>
      </c>
      <c r="C2916" s="3" t="s">
        <v>4096</v>
      </c>
      <c r="D2916" s="78"/>
      <c r="E2916" s="1480">
        <v>120</v>
      </c>
      <c r="F2916" s="3"/>
    </row>
    <row r="2917" spans="1:6">
      <c r="A2917" s="111">
        <v>40452</v>
      </c>
      <c r="B2917" s="86" t="str">
        <f>TiposLancamentos!B24</f>
        <v>Estacionamentos</v>
      </c>
      <c r="C2917" s="3" t="s">
        <v>4097</v>
      </c>
      <c r="D2917" s="78"/>
      <c r="E2917" s="1480">
        <v>10</v>
      </c>
      <c r="F2917" s="3"/>
    </row>
    <row r="2918" spans="1:6">
      <c r="A2918" s="111">
        <v>40454</v>
      </c>
      <c r="B2918" s="86" t="str">
        <f>TiposLancamentos!B24</f>
        <v>Estacionamentos</v>
      </c>
      <c r="C2918" s="3" t="s">
        <v>4098</v>
      </c>
      <c r="D2918" s="78"/>
      <c r="E2918" s="1480">
        <v>13</v>
      </c>
      <c r="F2918" s="3"/>
    </row>
    <row r="2919" spans="1:6">
      <c r="A2919" s="111">
        <v>40455</v>
      </c>
      <c r="B2919" s="86" t="str">
        <f>TiposLancamentos!B16</f>
        <v>Cristiane</v>
      </c>
      <c r="C2919" s="3" t="s">
        <v>3016</v>
      </c>
      <c r="D2919" s="78"/>
      <c r="E2919" s="1480">
        <v>14</v>
      </c>
      <c r="F2919" s="3"/>
    </row>
    <row r="2920" spans="1:6">
      <c r="A2920" s="111">
        <v>40455</v>
      </c>
      <c r="B2920" s="86" t="str">
        <f>TiposLancamentos!B62</f>
        <v>Papelaria</v>
      </c>
      <c r="C2920" s="3" t="s">
        <v>4099</v>
      </c>
      <c r="D2920" s="78"/>
      <c r="E2920" s="1480">
        <v>3.49</v>
      </c>
      <c r="F2920" s="3"/>
    </row>
    <row r="2921" spans="1:6">
      <c r="A2921" s="111">
        <v>40455</v>
      </c>
      <c r="B2921" s="86" t="str">
        <f>TiposLancamentos!B24</f>
        <v>Estacionamentos</v>
      </c>
      <c r="C2921" s="3" t="s">
        <v>3614</v>
      </c>
      <c r="D2921" s="78"/>
      <c r="E2921" s="1480">
        <v>5</v>
      </c>
      <c r="F2921" s="3"/>
    </row>
    <row r="2922" spans="1:6">
      <c r="A2922" s="111">
        <v>40462</v>
      </c>
      <c r="B2922" s="86" t="str">
        <f>TiposLancamentos!B24</f>
        <v>Estacionamentos</v>
      </c>
      <c r="C2922" s="3" t="s">
        <v>3673</v>
      </c>
      <c r="D2922" s="78"/>
      <c r="E2922" s="1480">
        <v>12.51</v>
      </c>
      <c r="F2922" s="3"/>
    </row>
    <row r="2923" spans="1:6">
      <c r="A2923" s="111">
        <v>40465</v>
      </c>
      <c r="B2923" s="86" t="str">
        <f>TiposLancamentos!B24</f>
        <v>Estacionamentos</v>
      </c>
      <c r="C2923" s="3" t="s">
        <v>1714</v>
      </c>
      <c r="D2923" s="78"/>
      <c r="E2923" s="1480">
        <v>2</v>
      </c>
      <c r="F2923" s="3"/>
    </row>
    <row r="2924" spans="1:6">
      <c r="A2924" s="111">
        <v>40466</v>
      </c>
      <c r="B2924" s="86" t="str">
        <f>TiposLancamentos!B20</f>
        <v>Saques</v>
      </c>
      <c r="C2924" s="3" t="s">
        <v>3406</v>
      </c>
      <c r="D2924" s="78">
        <v>60</v>
      </c>
      <c r="E2924" s="1480"/>
      <c r="F2924" s="3"/>
    </row>
    <row r="2925" spans="1:6">
      <c r="A2925" s="111">
        <v>40466</v>
      </c>
      <c r="B2925" s="86" t="str">
        <f>TiposLancamentos!B19</f>
        <v>Restaurantes</v>
      </c>
      <c r="C2925" s="3" t="s">
        <v>4100</v>
      </c>
      <c r="D2925" s="78"/>
      <c r="E2925" s="1480">
        <v>2</v>
      </c>
      <c r="F2925" s="3"/>
    </row>
    <row r="2926" spans="1:6">
      <c r="A2926" s="111">
        <v>40467</v>
      </c>
      <c r="B2926" s="86" t="str">
        <f>TiposLancamentos!B77</f>
        <v>Esporádico</v>
      </c>
      <c r="C2926" s="3" t="s">
        <v>4101</v>
      </c>
      <c r="D2926" s="78"/>
      <c r="E2926" s="1480">
        <v>28</v>
      </c>
      <c r="F2926" s="3"/>
    </row>
    <row r="2927" spans="1:6">
      <c r="A2927" s="111">
        <v>40467</v>
      </c>
      <c r="B2927" s="86" t="str">
        <f>TiposLancamentos!B24</f>
        <v>Estacionamentos</v>
      </c>
      <c r="C2927" s="3" t="s">
        <v>3398</v>
      </c>
      <c r="D2927" s="78"/>
      <c r="E2927" s="1480">
        <v>5</v>
      </c>
      <c r="F2927" s="3"/>
    </row>
    <row r="2928" spans="1:6">
      <c r="A2928" s="1598">
        <v>40470</v>
      </c>
      <c r="B2928" s="1599" t="str">
        <f>TiposLancamentos!B18</f>
        <v>Alimentacao</v>
      </c>
      <c r="C2928" s="1600" t="s">
        <v>4102</v>
      </c>
      <c r="D2928" s="1601"/>
      <c r="E2928" s="1602">
        <v>3</v>
      </c>
      <c r="F2928" s="3"/>
    </row>
    <row r="2929" spans="1:6">
      <c r="A2929" s="111">
        <v>40471</v>
      </c>
      <c r="B2929" s="86" t="str">
        <f>TiposLancamentos!B16</f>
        <v>Cristiane</v>
      </c>
      <c r="C2929" s="3" t="s">
        <v>4077</v>
      </c>
      <c r="D2929" s="78"/>
      <c r="E2929" s="1480">
        <f>53-32</f>
        <v>21</v>
      </c>
      <c r="F2929" s="3"/>
    </row>
    <row r="2930" spans="1:6">
      <c r="A2930" s="108"/>
      <c r="B2930" s="1594"/>
      <c r="C2930" s="109" t="s">
        <v>4103</v>
      </c>
      <c r="D2930" s="1595"/>
      <c r="E2930" s="1596"/>
      <c r="F2930" s="3"/>
    </row>
    <row r="2931" spans="1:6">
      <c r="A2931" s="111">
        <v>40483</v>
      </c>
      <c r="B2931" s="86" t="str">
        <f>TiposLancamentos!B20</f>
        <v>Saques</v>
      </c>
      <c r="C2931" s="3" t="s">
        <v>3403</v>
      </c>
      <c r="D2931" s="78">
        <v>60</v>
      </c>
      <c r="E2931" s="1480"/>
      <c r="F2931" s="3"/>
    </row>
    <row r="2932" spans="1:6">
      <c r="A2932" s="111">
        <v>40483</v>
      </c>
      <c r="B2932" s="86" t="str">
        <f>TiposLancamentos!B24</f>
        <v>Estacionamentos</v>
      </c>
      <c r="C2932" s="3" t="s">
        <v>1714</v>
      </c>
      <c r="D2932" s="78"/>
      <c r="E2932" s="1480">
        <v>20</v>
      </c>
      <c r="F2932" s="3"/>
    </row>
    <row r="2933" spans="1:6">
      <c r="A2933" s="111">
        <v>40486</v>
      </c>
      <c r="B2933" s="86" t="str">
        <f>TiposLancamentos!B18</f>
        <v>Alimentacao</v>
      </c>
      <c r="C2933" s="3" t="s">
        <v>3940</v>
      </c>
      <c r="D2933" s="78"/>
      <c r="E2933" s="1480">
        <v>4.5</v>
      </c>
      <c r="F2933" s="3"/>
    </row>
    <row r="2934" spans="1:6">
      <c r="A2934" s="111">
        <v>40487</v>
      </c>
      <c r="B2934" s="86" t="str">
        <f>TiposLancamentos!B18</f>
        <v>Alimentacao</v>
      </c>
      <c r="C2934" s="3" t="s">
        <v>4104</v>
      </c>
      <c r="D2934" s="78"/>
      <c r="E2934" s="1480">
        <v>4.5</v>
      </c>
      <c r="F2934" s="3"/>
    </row>
    <row r="2935" spans="1:6">
      <c r="A2935" s="111">
        <v>40456</v>
      </c>
      <c r="B2935" s="86" t="str">
        <f>TiposLancamentos!B87</f>
        <v>P207-1.6-XS</v>
      </c>
      <c r="C2935" s="3" t="s">
        <v>4105</v>
      </c>
      <c r="D2935" s="78"/>
      <c r="E2935" s="1480">
        <v>20</v>
      </c>
      <c r="F2935" s="3"/>
    </row>
    <row r="2936" spans="1:6">
      <c r="A2936" s="111">
        <v>40492</v>
      </c>
      <c r="B2936" s="86" t="str">
        <f>TiposLancamentos!B99</f>
        <v>Venda de algo</v>
      </c>
      <c r="C2936" s="3" t="s">
        <v>4106</v>
      </c>
      <c r="D2936" s="78">
        <v>275</v>
      </c>
      <c r="E2936" s="1480"/>
      <c r="F2936" s="36"/>
    </row>
    <row r="2937" spans="1:6">
      <c r="A2937" s="111">
        <v>40492</v>
      </c>
      <c r="B2937" s="86" t="str">
        <f>TiposLancamentos!B18</f>
        <v>Alimentacao</v>
      </c>
      <c r="C2937" s="3" t="s">
        <v>3951</v>
      </c>
      <c r="D2937" s="78"/>
      <c r="E2937" s="1480">
        <v>8</v>
      </c>
      <c r="F2937" s="3"/>
    </row>
    <row r="2938" spans="1:6">
      <c r="A2938" s="111">
        <v>40493</v>
      </c>
      <c r="B2938" s="86" t="str">
        <f>TiposLancamentos!B18</f>
        <v>Alimentacao</v>
      </c>
      <c r="C2938" s="3" t="s">
        <v>4107</v>
      </c>
      <c r="D2938" s="78"/>
      <c r="E2938" s="1480">
        <v>3.9</v>
      </c>
      <c r="F2938" s="3"/>
    </row>
    <row r="2939" spans="1:6">
      <c r="A2939" s="111">
        <v>40502</v>
      </c>
      <c r="B2939" s="86" t="str">
        <f>TiposLancamentos!B16</f>
        <v>Cristiane</v>
      </c>
      <c r="C2939" s="3"/>
      <c r="D2939" s="78"/>
      <c r="E2939" s="1480">
        <v>90</v>
      </c>
      <c r="F2939" s="3"/>
    </row>
    <row r="2940" spans="1:6">
      <c r="A2940" s="111">
        <v>40512</v>
      </c>
      <c r="B2940" s="86" t="str">
        <f>TiposLancamentos!B18</f>
        <v>Alimentacao</v>
      </c>
      <c r="C2940" s="3"/>
      <c r="D2940" s="78"/>
      <c r="E2940" s="1480">
        <v>33</v>
      </c>
      <c r="F2940" s="3"/>
    </row>
    <row r="2941" spans="1:6">
      <c r="A2941" s="108"/>
      <c r="B2941" s="1594"/>
      <c r="C2941" s="109" t="s">
        <v>4108</v>
      </c>
      <c r="D2941" s="1595"/>
      <c r="E2941" s="1596"/>
      <c r="F2941" s="3"/>
    </row>
    <row r="2942" spans="1:6">
      <c r="A2942" s="111">
        <v>40492</v>
      </c>
      <c r="B2942" s="86" t="str">
        <f>TiposLancamentos!B19</f>
        <v>Restaurantes</v>
      </c>
      <c r="C2942" s="3" t="s">
        <v>4109</v>
      </c>
      <c r="D2942" s="78"/>
      <c r="E2942" s="1480">
        <v>48</v>
      </c>
      <c r="F2942" s="3"/>
    </row>
    <row r="2943" spans="1:6">
      <c r="A2943" s="111">
        <v>40523</v>
      </c>
      <c r="B2943" s="86" t="str">
        <f>TiposLancamentos!B19</f>
        <v>Restaurantes</v>
      </c>
      <c r="C2943" s="3" t="s">
        <v>3995</v>
      </c>
      <c r="D2943" s="78"/>
      <c r="E2943" s="1480">
        <v>46</v>
      </c>
      <c r="F2943" s="3"/>
    </row>
    <row r="2944" spans="1:6">
      <c r="A2944" s="111">
        <v>40524</v>
      </c>
      <c r="B2944" s="86" t="str">
        <f>TiposLancamentos!B18</f>
        <v>Alimentacao</v>
      </c>
      <c r="C2944" s="3" t="s">
        <v>4063</v>
      </c>
      <c r="D2944" s="78"/>
      <c r="E2944" s="1480">
        <v>27.1</v>
      </c>
      <c r="F2944" s="3"/>
    </row>
    <row r="2945" spans="1:5">
      <c r="A2945" s="111">
        <v>40526</v>
      </c>
      <c r="B2945" s="86" t="str">
        <f>TiposLancamentos!B16</f>
        <v>Cristiane</v>
      </c>
      <c r="C2945" s="3"/>
      <c r="D2945" s="78"/>
      <c r="E2945" s="1480">
        <v>31</v>
      </c>
    </row>
    <row r="2946" spans="1:5">
      <c r="A2946" s="111">
        <v>40529</v>
      </c>
      <c r="B2946" s="86" t="str">
        <f>TiposLancamentos!B20</f>
        <v>Saques</v>
      </c>
      <c r="C2946" s="3" t="s">
        <v>3403</v>
      </c>
      <c r="D2946" s="78">
        <v>10</v>
      </c>
      <c r="E2946" s="1480"/>
    </row>
    <row r="2947" spans="1:5">
      <c r="A2947" s="111">
        <v>40529</v>
      </c>
      <c r="B2947" s="86" t="str">
        <f>TiposLancamentos!B24</f>
        <v>Estacionamentos</v>
      </c>
      <c r="C2947" s="3" t="s">
        <v>3398</v>
      </c>
      <c r="D2947" s="78"/>
      <c r="E2947" s="1480">
        <v>6</v>
      </c>
    </row>
    <row r="2948" spans="1:5">
      <c r="A2948" s="111">
        <v>40533</v>
      </c>
      <c r="B2948" s="86" t="str">
        <f>TiposLancamentos!B20</f>
        <v>Saques</v>
      </c>
      <c r="C2948" s="3" t="s">
        <v>3814</v>
      </c>
      <c r="D2948" s="78">
        <v>400</v>
      </c>
      <c r="E2948" s="1480"/>
    </row>
    <row r="2949" spans="1:5">
      <c r="A2949" s="111">
        <v>40533</v>
      </c>
      <c r="B2949" s="86" t="str">
        <f>TiposLancamentos!B16</f>
        <v>Cristiane</v>
      </c>
      <c r="C2949" s="3" t="s">
        <v>3147</v>
      </c>
      <c r="D2949" s="78"/>
      <c r="E2949" s="1480">
        <v>404</v>
      </c>
    </row>
    <row r="2950" spans="1:5">
      <c r="A2950" s="111">
        <v>40540</v>
      </c>
      <c r="B2950" s="86" t="str">
        <f>TiposLancamentos!B20</f>
        <v>Saques</v>
      </c>
      <c r="C2950" s="3" t="s">
        <v>3814</v>
      </c>
      <c r="D2950" s="78">
        <v>50</v>
      </c>
      <c r="E2950" s="1480"/>
    </row>
    <row r="2951" spans="1:5">
      <c r="A2951" s="111">
        <v>40540</v>
      </c>
      <c r="B2951" s="86" t="str">
        <f>TiposLancamentos!B87</f>
        <v>P207-1.6-XS</v>
      </c>
      <c r="C2951" s="3" t="s">
        <v>3665</v>
      </c>
      <c r="D2951" s="78"/>
      <c r="E2951" s="1480">
        <v>20</v>
      </c>
    </row>
    <row r="2952" spans="1:5">
      <c r="A2952" s="111">
        <v>40542</v>
      </c>
      <c r="B2952" s="86" t="str">
        <f>TiposLancamentos!B24</f>
        <v>Estacionamentos</v>
      </c>
      <c r="C2952" s="3" t="s">
        <v>4110</v>
      </c>
      <c r="D2952" s="78"/>
      <c r="E2952" s="1480">
        <v>6</v>
      </c>
    </row>
    <row r="2953" spans="1:5">
      <c r="A2953" s="1598">
        <v>40542</v>
      </c>
      <c r="B2953" s="1599" t="str">
        <f>TiposLancamentos!B16</f>
        <v>Cristiane</v>
      </c>
      <c r="C2953" s="1600" t="s">
        <v>4111</v>
      </c>
      <c r="D2953" s="1601"/>
      <c r="E2953" s="1602">
        <v>24</v>
      </c>
    </row>
    <row r="2954" spans="1:5">
      <c r="A2954" s="111"/>
      <c r="B2954" s="86"/>
      <c r="C2954" s="3" t="s">
        <v>4112</v>
      </c>
      <c r="D2954" s="78"/>
      <c r="E2954" s="1480"/>
    </row>
    <row r="2955" spans="1:5">
      <c r="A2955" s="111">
        <v>40550</v>
      </c>
      <c r="B2955" s="86" t="str">
        <f>TiposLancamentos!B20</f>
        <v>Saques</v>
      </c>
      <c r="C2955" s="3" t="s">
        <v>3403</v>
      </c>
      <c r="D2955" s="78">
        <v>40</v>
      </c>
      <c r="E2955" s="1480"/>
    </row>
    <row r="2956" spans="1:5">
      <c r="A2956" s="111">
        <v>40551</v>
      </c>
      <c r="B2956" s="86" t="str">
        <f>TiposLancamentos!B24</f>
        <v>Estacionamentos</v>
      </c>
      <c r="C2956" s="3" t="s">
        <v>4113</v>
      </c>
      <c r="D2956" s="78"/>
      <c r="E2956" s="1480">
        <v>10</v>
      </c>
    </row>
    <row r="2957" spans="1:5">
      <c r="A2957" s="111">
        <v>40558</v>
      </c>
      <c r="B2957" s="86" t="str">
        <f>TiposLancamentos!B24</f>
        <v>Estacionamentos</v>
      </c>
      <c r="C2957" s="3" t="s">
        <v>4114</v>
      </c>
      <c r="D2957" s="78"/>
      <c r="E2957" s="1480">
        <v>5</v>
      </c>
    </row>
    <row r="2958" spans="1:5">
      <c r="A2958" s="111">
        <v>40558</v>
      </c>
      <c r="B2958" s="86" t="str">
        <f>TiposLancamentos!B16</f>
        <v>Cristiane</v>
      </c>
      <c r="C2958" s="3" t="s">
        <v>595</v>
      </c>
      <c r="D2958" s="78"/>
      <c r="E2958" s="1480">
        <v>5</v>
      </c>
    </row>
    <row r="2959" spans="1:5">
      <c r="A2959" s="111">
        <v>40558</v>
      </c>
      <c r="B2959" s="86" t="str">
        <f>TiposLancamentos!B24</f>
        <v>Estacionamentos</v>
      </c>
      <c r="C2959" s="3" t="s">
        <v>3851</v>
      </c>
      <c r="D2959" s="78"/>
      <c r="E2959" s="1480">
        <v>4</v>
      </c>
    </row>
    <row r="2960" spans="1:5">
      <c r="A2960" s="111">
        <v>40560</v>
      </c>
      <c r="B2960" s="86" t="str">
        <f>TiposLancamentos!B16</f>
        <v>Cristiane</v>
      </c>
      <c r="C2960" s="3"/>
      <c r="D2960" s="78"/>
      <c r="E2960" s="1480">
        <v>16</v>
      </c>
    </row>
    <row r="2961" spans="1:5">
      <c r="A2961" s="111">
        <v>40562</v>
      </c>
      <c r="B2961" s="86" t="str">
        <f>TiposLancamentos!B20</f>
        <v>Saques</v>
      </c>
      <c r="C2961" s="3" t="s">
        <v>3403</v>
      </c>
      <c r="D2961" s="78">
        <v>40</v>
      </c>
      <c r="E2961" s="1480"/>
    </row>
    <row r="2962" spans="1:5">
      <c r="A2962" s="111">
        <v>40562</v>
      </c>
      <c r="B2962" s="86" t="str">
        <f>TiposLancamentos!B24</f>
        <v>Estacionamentos</v>
      </c>
      <c r="C2962" s="3" t="s">
        <v>4115</v>
      </c>
      <c r="D2962" s="78"/>
      <c r="E2962" s="1480">
        <v>5</v>
      </c>
    </row>
    <row r="2963" spans="1:5">
      <c r="A2963" s="111">
        <v>40565</v>
      </c>
      <c r="B2963" s="86" t="str">
        <f>TiposLancamentos!B20</f>
        <v>Saques</v>
      </c>
      <c r="C2963" s="3" t="s">
        <v>3403</v>
      </c>
      <c r="D2963" s="78">
        <v>60</v>
      </c>
      <c r="E2963" s="1480"/>
    </row>
    <row r="2964" spans="1:5">
      <c r="A2964" s="111">
        <v>40565</v>
      </c>
      <c r="B2964" s="86" t="str">
        <f>TiposLancamentos!B19</f>
        <v>Restaurantes</v>
      </c>
      <c r="C2964" s="3" t="s">
        <v>4116</v>
      </c>
      <c r="D2964" s="78"/>
      <c r="E2964" s="1480">
        <v>60</v>
      </c>
    </row>
    <row r="2965" spans="1:5">
      <c r="A2965" s="111">
        <v>40565</v>
      </c>
      <c r="B2965" s="86" t="str">
        <f>TiposLancamentos!B24</f>
        <v>Estacionamentos</v>
      </c>
      <c r="C2965" s="3" t="s">
        <v>3253</v>
      </c>
      <c r="D2965" s="78"/>
      <c r="E2965" s="1480">
        <v>8</v>
      </c>
    </row>
    <row r="2966" spans="1:5">
      <c r="A2966" s="111">
        <v>40571</v>
      </c>
      <c r="B2966" s="86" t="str">
        <f>TiposLancamentos!B16</f>
        <v>Cristiane</v>
      </c>
      <c r="C2966" s="3" t="s">
        <v>4117</v>
      </c>
      <c r="D2966" s="78"/>
      <c r="E2966" s="1480">
        <v>27</v>
      </c>
    </row>
    <row r="2967" spans="1:5">
      <c r="A2967" s="108"/>
      <c r="B2967" s="1594"/>
      <c r="C2967" s="109" t="s">
        <v>4118</v>
      </c>
      <c r="D2967" s="1595"/>
      <c r="E2967" s="1596"/>
    </row>
    <row r="2968" spans="1:5">
      <c r="A2968" s="111">
        <v>40582</v>
      </c>
      <c r="B2968" s="86" t="str">
        <f>TiposLancamentos!B20</f>
        <v>Saques</v>
      </c>
      <c r="C2968" s="3" t="s">
        <v>3814</v>
      </c>
      <c r="D2968" s="78">
        <v>300</v>
      </c>
      <c r="E2968" s="1480"/>
    </row>
    <row r="2969" spans="1:5">
      <c r="A2969" s="111">
        <v>40582</v>
      </c>
      <c r="B2969" s="86" t="str">
        <f>TiposLancamentos!B16</f>
        <v>Cristiane</v>
      </c>
      <c r="C2969" s="3" t="s">
        <v>4119</v>
      </c>
      <c r="D2969" s="78"/>
      <c r="E2969" s="1480">
        <v>300</v>
      </c>
    </row>
    <row r="2970" spans="1:5">
      <c r="A2970" s="111">
        <v>40589</v>
      </c>
      <c r="B2970" s="86" t="str">
        <f>TiposLancamentos!B20</f>
        <v>Saques</v>
      </c>
      <c r="C2970" s="3" t="s">
        <v>2668</v>
      </c>
      <c r="D2970" s="78">
        <v>80</v>
      </c>
      <c r="E2970" s="1480"/>
    </row>
    <row r="2971" spans="1:5">
      <c r="A2971" s="111">
        <v>40589</v>
      </c>
      <c r="B2971" s="86" t="str">
        <f>TiposLancamentos!B22</f>
        <v>Combustivel</v>
      </c>
      <c r="C2971" s="3" t="s">
        <v>4120</v>
      </c>
      <c r="D2971" s="78"/>
      <c r="E2971" s="1480">
        <v>73</v>
      </c>
    </row>
    <row r="2972" spans="1:5">
      <c r="A2972" s="111">
        <v>40589</v>
      </c>
      <c r="B2972" s="86" t="str">
        <f>TiposLancamentos!B19</f>
        <v>Restaurantes</v>
      </c>
      <c r="C2972" s="3" t="s">
        <v>4121</v>
      </c>
      <c r="D2972" s="78"/>
      <c r="E2972" s="1480">
        <v>5</v>
      </c>
    </row>
    <row r="2973" spans="1:5">
      <c r="A2973" s="108"/>
      <c r="B2973" s="1594"/>
      <c r="C2973" s="109" t="s">
        <v>4122</v>
      </c>
      <c r="D2973" s="1595"/>
      <c r="E2973" s="1596"/>
    </row>
    <row r="2974" spans="1:5">
      <c r="A2974" s="111">
        <v>40608</v>
      </c>
      <c r="B2974" s="86" t="str">
        <f>TiposLancamentos!B20</f>
        <v>Saques</v>
      </c>
      <c r="C2974" s="3" t="s">
        <v>3403</v>
      </c>
      <c r="D2974" s="78">
        <v>40</v>
      </c>
      <c r="E2974" s="1480"/>
    </row>
    <row r="2975" spans="1:5">
      <c r="A2975" s="111">
        <v>40608</v>
      </c>
      <c r="B2975" s="86" t="str">
        <f>TiposLancamentos!B18</f>
        <v>Alimentacao</v>
      </c>
      <c r="C2975" s="3" t="s">
        <v>4123</v>
      </c>
      <c r="D2975" s="78"/>
      <c r="E2975" s="1480">
        <v>20</v>
      </c>
    </row>
    <row r="2976" spans="1:5">
      <c r="A2976" s="111">
        <v>40628</v>
      </c>
      <c r="B2976" s="86" t="str">
        <f>TiposLancamentos!B20</f>
        <v>Saques</v>
      </c>
      <c r="C2976" s="3" t="s">
        <v>4124</v>
      </c>
      <c r="D2976" s="78">
        <v>240</v>
      </c>
      <c r="E2976" s="1480"/>
    </row>
    <row r="2977" spans="1:6">
      <c r="A2977" s="111">
        <v>40628</v>
      </c>
      <c r="B2977" s="86" t="str">
        <f>TiposLancamentos!B65</f>
        <v>Taxi</v>
      </c>
      <c r="C2977" s="3" t="s">
        <v>3411</v>
      </c>
      <c r="D2977" s="78"/>
      <c r="E2977" s="1480">
        <v>11</v>
      </c>
      <c r="F2977" s="3"/>
    </row>
    <row r="2978" spans="1:6">
      <c r="A2978" s="111">
        <v>40628</v>
      </c>
      <c r="B2978" s="86" t="str">
        <f>TiposLancamentos!B74</f>
        <v>Noite</v>
      </c>
      <c r="C2978" s="3" t="s">
        <v>4125</v>
      </c>
      <c r="D2978" s="78"/>
      <c r="E2978" s="1480">
        <v>44</v>
      </c>
      <c r="F2978" s="3"/>
    </row>
    <row r="2979" spans="1:6">
      <c r="A2979" s="111">
        <v>40628</v>
      </c>
      <c r="B2979" s="86" t="str">
        <f>TiposLancamentos!B16</f>
        <v>Cristiane</v>
      </c>
      <c r="C2979" s="3" t="s">
        <v>4126</v>
      </c>
      <c r="D2979" s="78"/>
      <c r="E2979" s="1480">
        <v>25</v>
      </c>
      <c r="F2979" s="3"/>
    </row>
    <row r="2980" spans="1:6">
      <c r="A2980" s="111">
        <v>40628</v>
      </c>
      <c r="B2980" s="86" t="str">
        <f>TiposLancamentos!B71</f>
        <v>Itens Pessoais</v>
      </c>
      <c r="C2980" s="3" t="s">
        <v>4127</v>
      </c>
      <c r="D2980" s="78"/>
      <c r="E2980" s="1480">
        <v>30</v>
      </c>
      <c r="F2980" s="3"/>
    </row>
    <row r="2981" spans="1:6">
      <c r="A2981" s="111">
        <v>40628</v>
      </c>
      <c r="B2981" s="86" t="str">
        <f>TiposLancamentos!B18</f>
        <v>Alimentacao</v>
      </c>
      <c r="C2981" s="3" t="s">
        <v>4128</v>
      </c>
      <c r="D2981" s="78"/>
      <c r="E2981" s="1480">
        <v>39</v>
      </c>
      <c r="F2981" s="3"/>
    </row>
    <row r="2982" spans="1:6">
      <c r="A2982" s="1598">
        <v>40630</v>
      </c>
      <c r="B2982" s="1599" t="str">
        <f>TiposLancamentos!B16</f>
        <v>Cristiane</v>
      </c>
      <c r="C2982" s="1600" t="s">
        <v>4129</v>
      </c>
      <c r="D2982" s="1601"/>
      <c r="E2982" s="1602">
        <v>63</v>
      </c>
      <c r="F2982" s="114"/>
    </row>
    <row r="2983" spans="1:6">
      <c r="A2983" s="111"/>
      <c r="B2983" s="86"/>
      <c r="C2983" s="3" t="s">
        <v>4130</v>
      </c>
      <c r="D2983" s="78"/>
      <c r="E2983" s="1480"/>
      <c r="F2983" s="3"/>
    </row>
    <row r="2984" spans="1:6">
      <c r="A2984" s="111">
        <v>40635</v>
      </c>
      <c r="B2984" s="86" t="str">
        <f>TiposLancamentos!B25</f>
        <v>CD_DVD_BD</v>
      </c>
      <c r="C2984" s="3" t="s">
        <v>4131</v>
      </c>
      <c r="D2984" s="78"/>
      <c r="E2984" s="1480">
        <v>10</v>
      </c>
      <c r="F2984" s="3"/>
    </row>
    <row r="2985" spans="1:6">
      <c r="A2985" s="111">
        <v>40635</v>
      </c>
      <c r="B2985" s="86" t="str">
        <f>TiposLancamentos!B24</f>
        <v>Estacionamentos</v>
      </c>
      <c r="C2985" s="3" t="s">
        <v>3398</v>
      </c>
      <c r="D2985" s="78"/>
      <c r="E2985" s="1480">
        <v>6</v>
      </c>
      <c r="F2985" s="3"/>
    </row>
    <row r="2986" spans="1:6">
      <c r="A2986" s="111">
        <v>40641</v>
      </c>
      <c r="B2986" s="86" t="str">
        <f>TiposLancamentos!B87</f>
        <v>P207-1.6-XS</v>
      </c>
      <c r="C2986" s="3" t="s">
        <v>4132</v>
      </c>
      <c r="D2986" s="78"/>
      <c r="E2986" s="1480">
        <v>20</v>
      </c>
      <c r="F2986" s="3"/>
    </row>
    <row r="2987" spans="1:6">
      <c r="A2987" s="111">
        <v>40642</v>
      </c>
      <c r="B2987" s="86" t="str">
        <f>TiposLancamentos!B16</f>
        <v>Cristiane</v>
      </c>
      <c r="C2987" s="3"/>
      <c r="D2987" s="78"/>
      <c r="E2987" s="1480">
        <v>10</v>
      </c>
      <c r="F2987" s="3"/>
    </row>
    <row r="2988" spans="1:6">
      <c r="A2988" s="111">
        <v>40648</v>
      </c>
      <c r="B2988" s="86" t="str">
        <f>TiposLancamentos!B99</f>
        <v>Venda de algo</v>
      </c>
      <c r="C2988" s="3" t="s">
        <v>4133</v>
      </c>
      <c r="D2988" s="78">
        <v>70</v>
      </c>
      <c r="E2988" s="1480"/>
      <c r="F2988" s="3"/>
    </row>
    <row r="2989" spans="1:6">
      <c r="A2989" s="111">
        <v>40651</v>
      </c>
      <c r="B2989" s="86" t="str">
        <f>TiposLancamentos!B20</f>
        <v>Saques</v>
      </c>
      <c r="C2989" s="3" t="s">
        <v>3470</v>
      </c>
      <c r="D2989" s="78">
        <v>20</v>
      </c>
      <c r="E2989" s="1480"/>
      <c r="F2989" s="3"/>
    </row>
    <row r="2990" spans="1:6">
      <c r="A2990" s="111">
        <v>40652</v>
      </c>
      <c r="B2990" s="86" t="str">
        <f>TiposLancamentos!B66</f>
        <v>Faxineira</v>
      </c>
      <c r="C2990" s="3" t="s">
        <v>4134</v>
      </c>
      <c r="D2990" s="78"/>
      <c r="E2990" s="1480">
        <v>90</v>
      </c>
      <c r="F2990" s="3"/>
    </row>
    <row r="2991" spans="1:6">
      <c r="A2991" s="111">
        <v>40656</v>
      </c>
      <c r="B2991" s="86" t="str">
        <f>TiposLancamentos!B20</f>
        <v>Saques</v>
      </c>
      <c r="C2991" s="3" t="s">
        <v>4135</v>
      </c>
      <c r="D2991" s="78">
        <v>40</v>
      </c>
      <c r="E2991" s="1480"/>
      <c r="F2991" s="3"/>
    </row>
    <row r="2992" spans="1:6">
      <c r="A2992" s="111">
        <v>40656</v>
      </c>
      <c r="B2992" s="86" t="str">
        <f>TiposLancamentos!B24</f>
        <v>Estacionamentos</v>
      </c>
      <c r="C2992" s="3" t="s">
        <v>4136</v>
      </c>
      <c r="D2992" s="78"/>
      <c r="E2992" s="1480">
        <v>6</v>
      </c>
      <c r="F2992" s="3"/>
    </row>
    <row r="2993" spans="1:5">
      <c r="A2993" s="111">
        <v>40657</v>
      </c>
      <c r="B2993" s="86" t="str">
        <f>TiposLancamentos!B51</f>
        <v>Marlboro</v>
      </c>
      <c r="C2993" s="3" t="s">
        <v>4053</v>
      </c>
      <c r="D2993" s="78"/>
      <c r="E2993" s="1480">
        <v>4.75</v>
      </c>
    </row>
    <row r="2994" spans="1:5">
      <c r="A2994" s="111">
        <v>40657</v>
      </c>
      <c r="B2994" s="86" t="str">
        <f>TiposLancamentos!B18</f>
        <v>Alimentacao</v>
      </c>
      <c r="C2994" s="3" t="s">
        <v>4007</v>
      </c>
      <c r="D2994" s="78"/>
      <c r="E2994" s="1480">
        <v>3.5</v>
      </c>
    </row>
    <row r="2995" spans="1:5">
      <c r="A2995" s="111">
        <v>40658</v>
      </c>
      <c r="B2995" s="86" t="str">
        <f>TiposLancamentos!B77</f>
        <v>Esporádico</v>
      </c>
      <c r="C2995" s="3"/>
      <c r="D2995" s="78"/>
      <c r="E2995" s="1480">
        <v>5</v>
      </c>
    </row>
    <row r="2996" spans="1:5">
      <c r="A2996" s="111">
        <v>40658</v>
      </c>
      <c r="B2996" s="86" t="str">
        <f>TiposLancamentos!B20</f>
        <v>Saques</v>
      </c>
      <c r="C2996" s="3" t="s">
        <v>4137</v>
      </c>
      <c r="D2996" s="78">
        <v>70</v>
      </c>
      <c r="E2996" s="1480"/>
    </row>
    <row r="2997" spans="1:5">
      <c r="A2997" s="111">
        <v>40658</v>
      </c>
      <c r="B2997" s="86" t="str">
        <f>TiposLancamentos!B66</f>
        <v>Faxineira</v>
      </c>
      <c r="C2997" s="3" t="s">
        <v>4138</v>
      </c>
      <c r="D2997" s="78"/>
      <c r="E2997" s="1480">
        <v>90</v>
      </c>
    </row>
    <row r="2998" spans="1:5">
      <c r="A2998" s="111">
        <v>40661</v>
      </c>
      <c r="B2998" s="86" t="str">
        <f>TiposLancamentos!B18</f>
        <v>Alimentacao</v>
      </c>
      <c r="C2998" s="3" t="s">
        <v>3210</v>
      </c>
      <c r="D2998" s="78"/>
      <c r="E2998" s="1480">
        <v>2</v>
      </c>
    </row>
    <row r="2999" spans="1:5">
      <c r="A2999" s="111">
        <v>40663</v>
      </c>
      <c r="B2999" s="86" t="str">
        <f>TiposLancamentos!B20</f>
        <v>Saques</v>
      </c>
      <c r="C2999" s="3" t="s">
        <v>4135</v>
      </c>
      <c r="D2999" s="78">
        <v>40</v>
      </c>
      <c r="E2999" s="1480"/>
    </row>
    <row r="3000" spans="1:5">
      <c r="A3000" s="111">
        <v>40663</v>
      </c>
      <c r="B3000" s="86" t="str">
        <f>TiposLancamentos!B24</f>
        <v>Estacionamentos</v>
      </c>
      <c r="C3000" s="3" t="s">
        <v>4113</v>
      </c>
      <c r="D3000" s="78"/>
      <c r="E3000" s="1480">
        <v>12</v>
      </c>
    </row>
    <row r="3001" spans="1:5">
      <c r="A3001" s="108"/>
      <c r="B3001" s="1594"/>
      <c r="C3001" s="109" t="s">
        <v>4139</v>
      </c>
      <c r="D3001" s="1595"/>
      <c r="E3001" s="1596"/>
    </row>
    <row r="3002" spans="1:5">
      <c r="A3002" s="111">
        <v>40666</v>
      </c>
      <c r="B3002" s="86" t="str">
        <f>TiposLancamentos!B24</f>
        <v>Estacionamentos</v>
      </c>
      <c r="C3002" s="3" t="s">
        <v>4140</v>
      </c>
      <c r="D3002" s="78"/>
      <c r="E3002" s="1480">
        <v>4</v>
      </c>
    </row>
    <row r="3003" spans="1:5">
      <c r="A3003" s="111">
        <v>40670</v>
      </c>
      <c r="B3003" s="86" t="str">
        <f>TiposLancamentos!B13</f>
        <v>Moradia</v>
      </c>
      <c r="C3003" s="3" t="s">
        <v>4141</v>
      </c>
      <c r="D3003" s="78"/>
      <c r="E3003" s="1480">
        <v>5.6</v>
      </c>
    </row>
    <row r="3004" spans="1:5">
      <c r="A3004" s="111">
        <v>40670</v>
      </c>
      <c r="B3004" s="86" t="str">
        <f>TiposLancamentos!B24</f>
        <v>Estacionamentos</v>
      </c>
      <c r="C3004" s="3" t="s">
        <v>4140</v>
      </c>
      <c r="D3004" s="78"/>
      <c r="E3004" s="1480">
        <v>4</v>
      </c>
    </row>
    <row r="3005" spans="1:5">
      <c r="A3005" s="111">
        <v>40673</v>
      </c>
      <c r="B3005" s="86" t="str">
        <f>TiposLancamentos!B51</f>
        <v>Marlboro</v>
      </c>
      <c r="C3005" s="3"/>
      <c r="D3005" s="78"/>
      <c r="E3005" s="1480">
        <v>4.5</v>
      </c>
    </row>
    <row r="3006" spans="1:5">
      <c r="A3006" s="111">
        <v>40675</v>
      </c>
      <c r="B3006" s="86" t="str">
        <f>TiposLancamentos!B20</f>
        <v>Saques</v>
      </c>
      <c r="C3006" s="3" t="s">
        <v>4142</v>
      </c>
      <c r="D3006" s="78">
        <v>60</v>
      </c>
      <c r="E3006" s="1480"/>
    </row>
    <row r="3007" spans="1:5">
      <c r="A3007" s="111">
        <v>40675</v>
      </c>
      <c r="B3007" s="86" t="str">
        <f>TiposLancamentos!B16</f>
        <v>Cristiane</v>
      </c>
      <c r="C3007" s="3" t="s">
        <v>4143</v>
      </c>
      <c r="D3007" s="78"/>
      <c r="E3007" s="1480">
        <v>22.5</v>
      </c>
    </row>
    <row r="3008" spans="1:5">
      <c r="A3008" s="111">
        <v>40675</v>
      </c>
      <c r="B3008" s="86" t="str">
        <f>TiposLancamentos!B16</f>
        <v>Cristiane</v>
      </c>
      <c r="C3008" s="3" t="s">
        <v>4144</v>
      </c>
      <c r="D3008" s="78"/>
      <c r="E3008" s="1480">
        <v>18</v>
      </c>
    </row>
    <row r="3009" spans="1:5">
      <c r="A3009" s="111">
        <v>40675</v>
      </c>
      <c r="B3009" s="86" t="str">
        <f>TiposLancamentos!B24</f>
        <v>Estacionamentos</v>
      </c>
      <c r="C3009" s="3" t="s">
        <v>3398</v>
      </c>
      <c r="D3009" s="78"/>
      <c r="E3009" s="1480">
        <v>6</v>
      </c>
    </row>
    <row r="3010" spans="1:5">
      <c r="A3010" s="111">
        <v>40676</v>
      </c>
      <c r="B3010" s="86" t="str">
        <f>TiposLancamentos!B51</f>
        <v>Marlboro</v>
      </c>
      <c r="C3010" s="3" t="s">
        <v>4145</v>
      </c>
      <c r="D3010" s="78"/>
      <c r="E3010" s="1480">
        <v>4.75</v>
      </c>
    </row>
    <row r="3011" spans="1:5">
      <c r="A3011" s="111">
        <v>40679</v>
      </c>
      <c r="B3011" s="86" t="str">
        <f>TiposLancamentos!B5</f>
        <v>Supermercado</v>
      </c>
      <c r="C3011" s="3" t="s">
        <v>4146</v>
      </c>
      <c r="D3011" s="78"/>
      <c r="E3011" s="1480">
        <v>4</v>
      </c>
    </row>
    <row r="3012" spans="1:5">
      <c r="A3012" s="111">
        <v>40680</v>
      </c>
      <c r="B3012" s="86" t="str">
        <f>TiposLancamentos!B20</f>
        <v>Saques</v>
      </c>
      <c r="C3012" s="3" t="s">
        <v>4147</v>
      </c>
      <c r="D3012" s="78">
        <v>90</v>
      </c>
      <c r="E3012" s="1480"/>
    </row>
    <row r="3013" spans="1:5">
      <c r="A3013" s="111">
        <v>40680</v>
      </c>
      <c r="B3013" s="86" t="str">
        <f>TiposLancamentos!B66</f>
        <v>Faxineira</v>
      </c>
      <c r="C3013" s="3" t="s">
        <v>4148</v>
      </c>
      <c r="D3013" s="78"/>
      <c r="E3013" s="1480">
        <v>90</v>
      </c>
    </row>
    <row r="3014" spans="1:5">
      <c r="A3014" s="111">
        <v>40680</v>
      </c>
      <c r="B3014" s="86" t="str">
        <f>TiposLancamentos!B16</f>
        <v>Cristiane</v>
      </c>
      <c r="C3014" s="3"/>
      <c r="D3014" s="78"/>
      <c r="E3014" s="1480">
        <v>17.399999999999999</v>
      </c>
    </row>
    <row r="3015" spans="1:5">
      <c r="A3015" s="111">
        <v>40682</v>
      </c>
      <c r="B3015" s="86" t="str">
        <f>TiposLancamentos!B20</f>
        <v>Saques</v>
      </c>
      <c r="C3015" s="3" t="s">
        <v>4149</v>
      </c>
      <c r="D3015" s="78">
        <v>40</v>
      </c>
      <c r="E3015" s="1480"/>
    </row>
    <row r="3016" spans="1:5">
      <c r="A3016" s="111">
        <v>40683</v>
      </c>
      <c r="B3016" s="86" t="str">
        <f>TiposLancamentos!B18</f>
        <v>Alimentacao</v>
      </c>
      <c r="C3016" s="3" t="s">
        <v>4150</v>
      </c>
      <c r="D3016" s="78"/>
      <c r="E3016" s="1480">
        <v>15</v>
      </c>
    </row>
    <row r="3017" spans="1:5">
      <c r="A3017" s="111">
        <v>40683</v>
      </c>
      <c r="B3017" s="86" t="str">
        <f>TiposLancamentos!B16</f>
        <v>Cristiane</v>
      </c>
      <c r="C3017" s="3"/>
      <c r="D3017" s="78"/>
      <c r="E3017" s="1480">
        <v>13</v>
      </c>
    </row>
    <row r="3018" spans="1:5">
      <c r="A3018" s="111">
        <v>40684</v>
      </c>
      <c r="B3018" s="86" t="str">
        <f>TiposLancamentos!B90</f>
        <v>Locadora</v>
      </c>
      <c r="C3018" s="3" t="s">
        <v>4151</v>
      </c>
      <c r="D3018" s="78"/>
      <c r="E3018" s="1480">
        <v>5</v>
      </c>
    </row>
    <row r="3019" spans="1:5">
      <c r="A3019" s="111">
        <v>40686</v>
      </c>
      <c r="B3019" s="86" t="str">
        <f>TiposLancamentos!B20</f>
        <v>Saques</v>
      </c>
      <c r="C3019" s="3" t="s">
        <v>4147</v>
      </c>
      <c r="D3019" s="78">
        <v>20</v>
      </c>
      <c r="E3019" s="1480"/>
    </row>
    <row r="3020" spans="1:5">
      <c r="A3020" s="111">
        <v>40686</v>
      </c>
      <c r="B3020" s="86" t="str">
        <f>TiposLancamentos!B60</f>
        <v>Correio</v>
      </c>
      <c r="C3020" s="3" t="s">
        <v>4152</v>
      </c>
      <c r="D3020" s="78"/>
      <c r="E3020" s="1480">
        <v>5.25</v>
      </c>
    </row>
    <row r="3021" spans="1:5">
      <c r="A3021" s="111">
        <v>40686</v>
      </c>
      <c r="B3021" s="86" t="str">
        <f>TiposLancamentos!B51</f>
        <v>Marlboro</v>
      </c>
      <c r="C3021" s="3" t="s">
        <v>3888</v>
      </c>
      <c r="D3021" s="78"/>
      <c r="E3021" s="1480">
        <v>4.75</v>
      </c>
    </row>
    <row r="3022" spans="1:5">
      <c r="A3022" s="111">
        <v>40687</v>
      </c>
      <c r="B3022" s="86" t="str">
        <f>TiposLancamentos!B20</f>
        <v>Saques</v>
      </c>
      <c r="C3022" s="3" t="s">
        <v>4153</v>
      </c>
      <c r="D3022" s="78">
        <v>90</v>
      </c>
      <c r="E3022" s="1480"/>
    </row>
    <row r="3023" spans="1:5">
      <c r="A3023" s="111">
        <v>40687</v>
      </c>
      <c r="B3023" s="86" t="str">
        <f>TiposLancamentos!B66</f>
        <v>Faxineira</v>
      </c>
      <c r="C3023" s="3"/>
      <c r="D3023" s="78"/>
      <c r="E3023" s="1480">
        <v>90</v>
      </c>
    </row>
    <row r="3024" spans="1:5">
      <c r="A3024" s="111">
        <v>40688</v>
      </c>
      <c r="B3024" s="86" t="str">
        <f>TiposLancamentos!B60</f>
        <v>Correio</v>
      </c>
      <c r="C3024" s="3" t="s">
        <v>4154</v>
      </c>
      <c r="D3024" s="78"/>
      <c r="E3024" s="1480">
        <v>12</v>
      </c>
    </row>
    <row r="3025" spans="1:5">
      <c r="A3025" s="111">
        <v>40692</v>
      </c>
      <c r="B3025" s="86" t="str">
        <f>TiposLancamentos!B20</f>
        <v>Saques</v>
      </c>
      <c r="C3025" s="3" t="s">
        <v>4155</v>
      </c>
      <c r="D3025" s="78">
        <v>40</v>
      </c>
      <c r="E3025" s="1480"/>
    </row>
    <row r="3026" spans="1:5">
      <c r="A3026" s="111">
        <v>40693</v>
      </c>
      <c r="B3026" s="86" t="str">
        <f>TiposLancamentos!B60</f>
        <v>Correio</v>
      </c>
      <c r="C3026" s="3" t="s">
        <v>4156</v>
      </c>
      <c r="D3026" s="78"/>
      <c r="E3026" s="1480">
        <v>19.8</v>
      </c>
    </row>
    <row r="3027" spans="1:5">
      <c r="A3027" s="111">
        <v>40693</v>
      </c>
      <c r="B3027" s="86" t="str">
        <f>TiposLancamentos!B87</f>
        <v>P207-1.6-XS</v>
      </c>
      <c r="C3027" s="3" t="s">
        <v>3665</v>
      </c>
      <c r="D3027" s="78"/>
      <c r="E3027" s="1480">
        <v>20</v>
      </c>
    </row>
    <row r="3028" spans="1:5">
      <c r="A3028" s="108"/>
      <c r="B3028" s="1594"/>
      <c r="C3028" s="109" t="s">
        <v>4157</v>
      </c>
      <c r="D3028" s="1595"/>
      <c r="E3028" s="1596"/>
    </row>
    <row r="3029" spans="1:5">
      <c r="A3029" s="111">
        <v>40696</v>
      </c>
      <c r="B3029" s="86" t="str">
        <f>TiposLancamentos!B20</f>
        <v>Saques</v>
      </c>
      <c r="C3029" s="3" t="s">
        <v>2668</v>
      </c>
      <c r="D3029" s="78">
        <v>40</v>
      </c>
      <c r="E3029" s="1480"/>
    </row>
    <row r="3030" spans="1:5">
      <c r="A3030" s="111">
        <v>40696</v>
      </c>
      <c r="B3030" s="86" t="str">
        <f>TiposLancamentos!B60</f>
        <v>Correio</v>
      </c>
      <c r="C3030" s="3" t="s">
        <v>4158</v>
      </c>
      <c r="D3030" s="78"/>
      <c r="E3030" s="1480">
        <v>20.8</v>
      </c>
    </row>
    <row r="3031" spans="1:5">
      <c r="A3031" s="111">
        <v>40696</v>
      </c>
      <c r="B3031" s="86" t="str">
        <f>TiposLancamentos!B51</f>
        <v>Marlboro</v>
      </c>
      <c r="C3031" s="3" t="s">
        <v>3888</v>
      </c>
      <c r="D3031" s="78"/>
      <c r="E3031" s="1480">
        <v>4.75</v>
      </c>
    </row>
    <row r="3032" spans="1:5">
      <c r="A3032" s="111">
        <v>40701</v>
      </c>
      <c r="B3032" s="86" t="str">
        <f>TiposLancamentos!B60</f>
        <v>Correio</v>
      </c>
      <c r="C3032" s="3" t="s">
        <v>4159</v>
      </c>
      <c r="D3032" s="78"/>
      <c r="E3032" s="1480">
        <v>12.8</v>
      </c>
    </row>
    <row r="3033" spans="1:5">
      <c r="A3033" s="111">
        <v>40702</v>
      </c>
      <c r="B3033" s="86" t="str">
        <f>TiposLancamentos!B20</f>
        <v>Saques</v>
      </c>
      <c r="C3033" s="3" t="s">
        <v>4142</v>
      </c>
      <c r="D3033" s="78">
        <v>20</v>
      </c>
      <c r="E3033" s="1480"/>
    </row>
    <row r="3034" spans="1:5">
      <c r="A3034" s="111">
        <v>40702</v>
      </c>
      <c r="B3034" s="86" t="str">
        <f>TiposLancamentos!B60</f>
        <v>Correio</v>
      </c>
      <c r="C3034" s="3" t="s">
        <v>4160</v>
      </c>
      <c r="D3034" s="78"/>
      <c r="E3034" s="1480">
        <v>22.2</v>
      </c>
    </row>
    <row r="3035" spans="1:5">
      <c r="A3035" s="111">
        <v>40704</v>
      </c>
      <c r="B3035" s="86" t="str">
        <f>TiposLancamentos!B20</f>
        <v>Saques</v>
      </c>
      <c r="C3035" s="3" t="s">
        <v>4161</v>
      </c>
      <c r="D3035" s="78">
        <v>20</v>
      </c>
      <c r="E3035" s="1480"/>
    </row>
    <row r="3036" spans="1:5">
      <c r="A3036" s="111">
        <v>40704</v>
      </c>
      <c r="B3036" s="86" t="str">
        <f>TiposLancamentos!B24</f>
        <v>Estacionamentos</v>
      </c>
      <c r="C3036" s="3" t="s">
        <v>4162</v>
      </c>
      <c r="D3036" s="78"/>
      <c r="E3036" s="1480">
        <v>5</v>
      </c>
    </row>
    <row r="3037" spans="1:5">
      <c r="A3037" s="111">
        <v>40708</v>
      </c>
      <c r="B3037" s="86" t="str">
        <f>TiposLancamentos!B60</f>
        <v>Correio</v>
      </c>
      <c r="C3037" s="3" t="s">
        <v>4163</v>
      </c>
      <c r="D3037" s="78"/>
      <c r="E3037" s="1480">
        <v>1.5</v>
      </c>
    </row>
    <row r="3038" spans="1:5">
      <c r="A3038" s="111">
        <v>40708</v>
      </c>
      <c r="B3038" s="86" t="str">
        <f>TiposLancamentos!B51</f>
        <v>Marlboro</v>
      </c>
      <c r="C3038" s="3" t="s">
        <v>3893</v>
      </c>
      <c r="D3038" s="78"/>
      <c r="E3038" s="1480">
        <f>4.75*2</f>
        <v>9.5</v>
      </c>
    </row>
    <row r="3039" spans="1:5">
      <c r="A3039" s="111">
        <v>40714</v>
      </c>
      <c r="B3039" s="86" t="str">
        <f>TiposLancamentos!B20</f>
        <v>Saques</v>
      </c>
      <c r="C3039" s="3" t="s">
        <v>4164</v>
      </c>
      <c r="D3039" s="78">
        <v>20</v>
      </c>
      <c r="E3039" s="1480"/>
    </row>
    <row r="3040" spans="1:5">
      <c r="A3040" s="111">
        <v>40714</v>
      </c>
      <c r="B3040" s="86" t="str">
        <f>TiposLancamentos!B60</f>
        <v>Correio</v>
      </c>
      <c r="C3040" s="3" t="s">
        <v>4165</v>
      </c>
      <c r="D3040" s="78"/>
      <c r="E3040" s="1480">
        <v>11.8</v>
      </c>
    </row>
    <row r="3041" spans="1:5">
      <c r="A3041" s="111">
        <v>40715</v>
      </c>
      <c r="B3041" s="86" t="str">
        <f>TiposLancamentos!B20</f>
        <v>Saques</v>
      </c>
      <c r="C3041" s="3" t="s">
        <v>4147</v>
      </c>
      <c r="D3041" s="78">
        <v>90</v>
      </c>
      <c r="E3041" s="1480"/>
    </row>
    <row r="3042" spans="1:5">
      <c r="A3042" s="111">
        <v>40715</v>
      </c>
      <c r="B3042" s="86" t="str">
        <f>TiposLancamentos!B24</f>
        <v>Estacionamentos</v>
      </c>
      <c r="C3042" s="3" t="s">
        <v>2527</v>
      </c>
      <c r="D3042" s="78"/>
      <c r="E3042" s="1480">
        <v>4</v>
      </c>
    </row>
    <row r="3043" spans="1:5">
      <c r="A3043" s="111">
        <v>40715</v>
      </c>
      <c r="B3043" s="86" t="str">
        <f>TiposLancamentos!B66</f>
        <v>Faxineira</v>
      </c>
      <c r="C3043" s="3" t="s">
        <v>4166</v>
      </c>
      <c r="D3043" s="78"/>
      <c r="E3043" s="1480">
        <v>90</v>
      </c>
    </row>
    <row r="3044" spans="1:5">
      <c r="A3044" s="111">
        <v>40718</v>
      </c>
      <c r="B3044" s="86" t="str">
        <f>TiposLancamentos!B20</f>
        <v>Saques</v>
      </c>
      <c r="C3044" s="3" t="s">
        <v>4167</v>
      </c>
      <c r="D3044" s="78">
        <v>800</v>
      </c>
      <c r="E3044" s="1480"/>
    </row>
    <row r="3045" spans="1:5">
      <c r="A3045" s="111">
        <v>40718</v>
      </c>
      <c r="B3045" s="86" t="str">
        <f>TiposLancamentos!B18</f>
        <v>Alimentacao</v>
      </c>
      <c r="C3045" s="3"/>
      <c r="D3045" s="78"/>
      <c r="E3045" s="1480">
        <v>10.85</v>
      </c>
    </row>
    <row r="3046" spans="1:5">
      <c r="A3046" s="111">
        <v>40719</v>
      </c>
      <c r="B3046" s="86" t="str">
        <f>TiposLancamentos!B87</f>
        <v>P207-1.6-XS</v>
      </c>
      <c r="C3046" s="3" t="s">
        <v>3665</v>
      </c>
      <c r="D3046" s="78"/>
      <c r="E3046" s="1480">
        <v>20</v>
      </c>
    </row>
    <row r="3047" spans="1:5">
      <c r="A3047" s="111">
        <v>40720</v>
      </c>
      <c r="B3047" s="86" t="str">
        <f>TiposLancamentos!B51</f>
        <v>Marlboro</v>
      </c>
      <c r="C3047" s="3" t="s">
        <v>4168</v>
      </c>
      <c r="D3047" s="78"/>
      <c r="E3047" s="1480">
        <v>9</v>
      </c>
    </row>
    <row r="3048" spans="1:5">
      <c r="A3048" s="111">
        <v>40720</v>
      </c>
      <c r="B3048" s="86" t="str">
        <f>TiposLancamentos!B65</f>
        <v>Taxi</v>
      </c>
      <c r="C3048" s="3" t="s">
        <v>4169</v>
      </c>
      <c r="D3048" s="78"/>
      <c r="E3048" s="1480">
        <v>30</v>
      </c>
    </row>
    <row r="3049" spans="1:5">
      <c r="A3049" s="111">
        <v>40720</v>
      </c>
      <c r="B3049" s="86" t="str">
        <f>TiposLancamentos!B65</f>
        <v>Taxi</v>
      </c>
      <c r="C3049" s="3" t="s">
        <v>4170</v>
      </c>
      <c r="D3049" s="78"/>
      <c r="E3049" s="1480">
        <v>35</v>
      </c>
    </row>
    <row r="3050" spans="1:5">
      <c r="A3050" s="111">
        <v>40721</v>
      </c>
      <c r="B3050" s="86" t="str">
        <f>TiposLancamentos!B64</f>
        <v>Viagens</v>
      </c>
      <c r="C3050" s="3" t="s">
        <v>4171</v>
      </c>
      <c r="D3050" s="78"/>
      <c r="E3050" s="1480">
        <v>150</v>
      </c>
    </row>
    <row r="3051" spans="1:5">
      <c r="A3051" s="111">
        <v>40721</v>
      </c>
      <c r="B3051" s="86" t="str">
        <f>TiposLancamentos!B64</f>
        <v>Viagens</v>
      </c>
      <c r="C3051" s="3" t="s">
        <v>4172</v>
      </c>
      <c r="D3051" s="78"/>
      <c r="E3051" s="1480">
        <v>10</v>
      </c>
    </row>
    <row r="3052" spans="1:5">
      <c r="A3052" s="111">
        <v>40721</v>
      </c>
      <c r="B3052" s="86" t="str">
        <f>TiposLancamentos!B64</f>
        <v>Viagens</v>
      </c>
      <c r="C3052" s="3" t="s">
        <v>4173</v>
      </c>
      <c r="D3052" s="78"/>
      <c r="E3052" s="1480">
        <v>88</v>
      </c>
    </row>
    <row r="3053" spans="1:5">
      <c r="A3053" s="111">
        <v>40721</v>
      </c>
      <c r="B3053" s="86" t="str">
        <f>TiposLancamentos!B19</f>
        <v>Restaurantes</v>
      </c>
      <c r="C3053" s="3" t="s">
        <v>4174</v>
      </c>
      <c r="D3053" s="78"/>
      <c r="E3053" s="1480">
        <v>12</v>
      </c>
    </row>
    <row r="3054" spans="1:5">
      <c r="A3054" s="111">
        <v>40721</v>
      </c>
      <c r="B3054" s="86" t="str">
        <f>TiposLancamentos!B20</f>
        <v>Saques</v>
      </c>
      <c r="C3054" s="3" t="s">
        <v>4175</v>
      </c>
      <c r="D3054" s="78">
        <v>70</v>
      </c>
      <c r="E3054" s="1480"/>
    </row>
    <row r="3055" spans="1:5">
      <c r="A3055" s="111">
        <v>40721</v>
      </c>
      <c r="B3055" s="86" t="str">
        <f>TiposLancamentos!B20</f>
        <v>Saques</v>
      </c>
      <c r="C3055" s="3" t="s">
        <v>4176</v>
      </c>
      <c r="D3055" s="78">
        <v>90</v>
      </c>
      <c r="E3055" s="1480"/>
    </row>
    <row r="3056" spans="1:5">
      <c r="A3056" s="111">
        <v>40722</v>
      </c>
      <c r="B3056" s="86" t="str">
        <f>TiposLancamentos!B64</f>
        <v>Viagens</v>
      </c>
      <c r="C3056" s="3" t="s">
        <v>4177</v>
      </c>
      <c r="D3056" s="78"/>
      <c r="E3056" s="1480">
        <v>70</v>
      </c>
    </row>
    <row r="3057" spans="1:5">
      <c r="A3057" s="111">
        <v>40723</v>
      </c>
      <c r="B3057" s="86" t="str">
        <f>TiposLancamentos!B19</f>
        <v>Restaurantes</v>
      </c>
      <c r="C3057" s="3" t="s">
        <v>4178</v>
      </c>
      <c r="D3057" s="78"/>
      <c r="E3057" s="1480">
        <v>13</v>
      </c>
    </row>
    <row r="3058" spans="1:5">
      <c r="A3058" s="111">
        <v>40723</v>
      </c>
      <c r="B3058" s="86" t="str">
        <f>TiposLancamentos!B19</f>
        <v>Restaurantes</v>
      </c>
      <c r="C3058" s="3" t="s">
        <v>4179</v>
      </c>
      <c r="D3058" s="78"/>
      <c r="E3058" s="1480">
        <v>60</v>
      </c>
    </row>
    <row r="3059" spans="1:5">
      <c r="A3059" s="111">
        <v>40723</v>
      </c>
      <c r="B3059" s="86" t="str">
        <f>TiposLancamentos!B64</f>
        <v>Viagens</v>
      </c>
      <c r="C3059" s="3" t="s">
        <v>4180</v>
      </c>
      <c r="D3059" s="78"/>
      <c r="E3059" s="1480">
        <v>100</v>
      </c>
    </row>
    <row r="3060" spans="1:5">
      <c r="A3060" s="111">
        <v>40724</v>
      </c>
      <c r="B3060" s="86" t="str">
        <f>TiposLancamentos!B64</f>
        <v>Viagens</v>
      </c>
      <c r="C3060" s="3" t="s">
        <v>4181</v>
      </c>
      <c r="D3060" s="78"/>
      <c r="E3060" s="1480">
        <v>20</v>
      </c>
    </row>
    <row r="3061" spans="1:5">
      <c r="A3061" s="111">
        <v>40724</v>
      </c>
      <c r="B3061" s="86" t="str">
        <f>TiposLancamentos!B19</f>
        <v>Restaurantes</v>
      </c>
      <c r="C3061" s="3" t="s">
        <v>4182</v>
      </c>
      <c r="D3061" s="78"/>
      <c r="E3061" s="1480">
        <v>40</v>
      </c>
    </row>
    <row r="3062" spans="1:5">
      <c r="A3062" s="111">
        <v>40724</v>
      </c>
      <c r="B3062" s="86" t="str">
        <f>TiposLancamentos!B64</f>
        <v>Viagens</v>
      </c>
      <c r="C3062" s="3" t="s">
        <v>4183</v>
      </c>
      <c r="D3062" s="78"/>
      <c r="E3062" s="1480">
        <v>5</v>
      </c>
    </row>
    <row r="3063" spans="1:5">
      <c r="A3063" s="111">
        <v>40724</v>
      </c>
      <c r="B3063" s="86" t="str">
        <f>TiposLancamentos!B19</f>
        <v>Restaurantes</v>
      </c>
      <c r="C3063" s="3" t="s">
        <v>3824</v>
      </c>
      <c r="D3063" s="78"/>
      <c r="E3063" s="1480">
        <v>7.7</v>
      </c>
    </row>
    <row r="3064" spans="1:5">
      <c r="A3064" s="111">
        <v>40724</v>
      </c>
      <c r="B3064" s="86" t="str">
        <f>TiposLancamentos!B64</f>
        <v>Viagens</v>
      </c>
      <c r="C3064" s="3" t="s">
        <v>4184</v>
      </c>
      <c r="D3064" s="78"/>
      <c r="E3064" s="1480">
        <v>80</v>
      </c>
    </row>
    <row r="3065" spans="1:5">
      <c r="A3065" s="111">
        <v>40724</v>
      </c>
      <c r="B3065" s="86" t="str">
        <f>TiposLancamentos!B19</f>
        <v>Restaurantes</v>
      </c>
      <c r="C3065" s="3" t="s">
        <v>3509</v>
      </c>
      <c r="D3065" s="78"/>
      <c r="E3065" s="1480">
        <v>20</v>
      </c>
    </row>
    <row r="3066" spans="1:5">
      <c r="A3066" s="108"/>
      <c r="B3066" s="1594"/>
      <c r="C3066" s="109" t="s">
        <v>4185</v>
      </c>
      <c r="D3066" s="1595"/>
      <c r="E3066" s="1596"/>
    </row>
    <row r="3067" spans="1:5">
      <c r="A3067" s="111">
        <v>40725</v>
      </c>
      <c r="B3067" s="86" t="str">
        <f>TiposLancamentos!B19</f>
        <v>Restaurantes</v>
      </c>
      <c r="C3067" s="3" t="s">
        <v>4186</v>
      </c>
      <c r="D3067" s="78"/>
      <c r="E3067" s="1480">
        <v>80</v>
      </c>
    </row>
    <row r="3068" spans="1:5">
      <c r="A3068" s="111">
        <v>40725</v>
      </c>
      <c r="B3068" s="86" t="str">
        <f>TiposLancamentos!B19</f>
        <v>Restaurantes</v>
      </c>
      <c r="C3068" s="3" t="s">
        <v>4187</v>
      </c>
      <c r="D3068" s="78"/>
      <c r="E3068" s="1480">
        <v>10</v>
      </c>
    </row>
    <row r="3069" spans="1:5">
      <c r="A3069" s="111">
        <v>40725</v>
      </c>
      <c r="B3069" s="86" t="str">
        <f>TiposLancamentos!B19</f>
        <v>Restaurantes</v>
      </c>
      <c r="C3069" s="3" t="s">
        <v>3509</v>
      </c>
      <c r="D3069" s="78"/>
      <c r="E3069" s="1480">
        <v>20</v>
      </c>
    </row>
    <row r="3070" spans="1:5">
      <c r="A3070" s="111">
        <v>40729</v>
      </c>
      <c r="B3070" s="86" t="str">
        <f>TiposLancamentos!B54</f>
        <v>Metro</v>
      </c>
      <c r="C3070" s="3" t="s">
        <v>4188</v>
      </c>
      <c r="D3070" s="78"/>
      <c r="E3070" s="1480">
        <f>2.9*2</f>
        <v>5.8</v>
      </c>
    </row>
    <row r="3071" spans="1:5">
      <c r="A3071" s="111">
        <v>40729</v>
      </c>
      <c r="B3071" s="86" t="str">
        <f>TiposLancamentos!B18</f>
        <v>Alimentacao</v>
      </c>
      <c r="C3071" s="3" t="s">
        <v>4189</v>
      </c>
      <c r="D3071" s="78"/>
      <c r="E3071" s="1480">
        <v>3</v>
      </c>
    </row>
    <row r="3072" spans="1:5">
      <c r="A3072" s="111">
        <v>40729</v>
      </c>
      <c r="B3072" s="86" t="str">
        <f>TiposLancamentos!B13</f>
        <v>Moradia</v>
      </c>
      <c r="C3072" s="3" t="s">
        <v>4190</v>
      </c>
      <c r="D3072" s="78"/>
      <c r="E3072" s="1480">
        <v>3</v>
      </c>
    </row>
    <row r="3073" spans="1:5">
      <c r="A3073" s="111">
        <v>40729</v>
      </c>
      <c r="B3073" s="86" t="str">
        <f>TiposLancamentos!B20</f>
        <v>Saques</v>
      </c>
      <c r="C3073" s="3" t="s">
        <v>2668</v>
      </c>
      <c r="D3073" s="78">
        <v>40</v>
      </c>
      <c r="E3073" s="1480"/>
    </row>
    <row r="3074" spans="1:5">
      <c r="A3074" s="111">
        <v>40729</v>
      </c>
      <c r="B3074" s="86" t="str">
        <f>TiposLancamentos!B66</f>
        <v>Faxineira</v>
      </c>
      <c r="C3074" s="3" t="s">
        <v>3901</v>
      </c>
      <c r="D3074" s="78"/>
      <c r="E3074" s="1480">
        <v>90</v>
      </c>
    </row>
    <row r="3075" spans="1:5">
      <c r="A3075" s="111">
        <v>40730</v>
      </c>
      <c r="B3075" s="86" t="str">
        <f>TiposLancamentos!B65</f>
        <v>Taxi</v>
      </c>
      <c r="C3075" s="3" t="s">
        <v>4191</v>
      </c>
      <c r="D3075" s="78"/>
      <c r="E3075" s="1480">
        <v>19</v>
      </c>
    </row>
    <row r="3076" spans="1:5">
      <c r="A3076" s="111">
        <v>40731</v>
      </c>
      <c r="B3076" s="86" t="str">
        <f>TiposLancamentos!B16</f>
        <v>Cristiane</v>
      </c>
      <c r="C3076" s="3" t="s">
        <v>4192</v>
      </c>
      <c r="D3076" s="78"/>
      <c r="E3076" s="1480">
        <v>1.5</v>
      </c>
    </row>
    <row r="3077" spans="1:5">
      <c r="A3077" s="111">
        <v>40731</v>
      </c>
      <c r="B3077" s="86" t="str">
        <f>TiposLancamentos!B20</f>
        <v>Saques</v>
      </c>
      <c r="C3077" s="3" t="s">
        <v>4193</v>
      </c>
      <c r="D3077" s="78">
        <v>40</v>
      </c>
      <c r="E3077" s="1480"/>
    </row>
    <row r="3078" spans="1:5">
      <c r="A3078" s="111">
        <v>40731</v>
      </c>
      <c r="B3078" s="86" t="str">
        <f>TiposLancamentos!B65</f>
        <v>Taxi</v>
      </c>
      <c r="C3078" s="3" t="s">
        <v>4194</v>
      </c>
      <c r="D3078" s="78"/>
      <c r="E3078" s="1480">
        <v>17</v>
      </c>
    </row>
    <row r="3079" spans="1:5">
      <c r="A3079" s="111">
        <v>40732</v>
      </c>
      <c r="B3079" s="86" t="str">
        <f>TiposLancamentos!B25</f>
        <v>CD_DVD_BD</v>
      </c>
      <c r="C3079" s="3" t="s">
        <v>4195</v>
      </c>
      <c r="D3079" s="78"/>
      <c r="E3079" s="1480">
        <v>14</v>
      </c>
    </row>
    <row r="3080" spans="1:5">
      <c r="A3080" s="111">
        <v>40732</v>
      </c>
      <c r="B3080" s="86" t="str">
        <f>TiposLancamentos!B24</f>
        <v>Estacionamentos</v>
      </c>
      <c r="C3080" s="3" t="s">
        <v>4136</v>
      </c>
      <c r="D3080" s="78"/>
      <c r="E3080" s="1480">
        <v>8</v>
      </c>
    </row>
    <row r="3081" spans="1:5">
      <c r="A3081" s="111">
        <v>40736</v>
      </c>
      <c r="B3081" s="86" t="str">
        <f>TiposLancamentos!B20</f>
        <v>Saques</v>
      </c>
      <c r="C3081" s="3" t="s">
        <v>3403</v>
      </c>
      <c r="D3081" s="78">
        <v>90</v>
      </c>
      <c r="E3081" s="1480"/>
    </row>
    <row r="3082" spans="1:5">
      <c r="A3082" s="111">
        <v>40736</v>
      </c>
      <c r="B3082" s="86" t="str">
        <f>TiposLancamentos!B66</f>
        <v>Faxineira</v>
      </c>
      <c r="C3082" s="3" t="s">
        <v>4196</v>
      </c>
      <c r="D3082" s="78"/>
      <c r="E3082" s="1480">
        <v>90</v>
      </c>
    </row>
    <row r="3083" spans="1:5">
      <c r="A3083" s="111">
        <v>40741</v>
      </c>
      <c r="B3083" s="86" t="str">
        <f>TiposLancamentos!B20</f>
        <v>Saques</v>
      </c>
      <c r="C3083" s="3" t="s">
        <v>4149</v>
      </c>
      <c r="D3083" s="78">
        <v>40</v>
      </c>
      <c r="E3083" s="1480"/>
    </row>
    <row r="3084" spans="1:5">
      <c r="A3084" s="111">
        <v>40741</v>
      </c>
      <c r="B3084" s="86" t="str">
        <f>TiposLancamentos!B24</f>
        <v>Estacionamentos</v>
      </c>
      <c r="C3084" s="3" t="s">
        <v>4197</v>
      </c>
      <c r="D3084" s="78"/>
      <c r="E3084" s="1480">
        <v>15</v>
      </c>
    </row>
    <row r="3085" spans="1:5">
      <c r="A3085" s="111">
        <v>40742</v>
      </c>
      <c r="B3085" s="86" t="str">
        <f>TiposLancamentos!B13</f>
        <v>Moradia</v>
      </c>
      <c r="C3085" s="3" t="s">
        <v>3524</v>
      </c>
      <c r="D3085" s="78"/>
      <c r="E3085" s="1480">
        <v>15</v>
      </c>
    </row>
    <row r="3086" spans="1:5">
      <c r="A3086" s="111">
        <v>40742</v>
      </c>
      <c r="B3086" s="86" t="str">
        <f>TiposLancamentos!B20</f>
        <v>Saques</v>
      </c>
      <c r="C3086" s="3" t="s">
        <v>3900</v>
      </c>
      <c r="D3086" s="78">
        <v>40</v>
      </c>
      <c r="E3086" s="1480"/>
    </row>
    <row r="3087" spans="1:5">
      <c r="A3087" s="111">
        <v>40742</v>
      </c>
      <c r="B3087" s="86" t="str">
        <f>TiposLancamentos!B16</f>
        <v>Cristiane</v>
      </c>
      <c r="C3087" s="3" t="s">
        <v>4198</v>
      </c>
      <c r="D3087" s="78"/>
      <c r="E3087" s="1480">
        <v>16</v>
      </c>
    </row>
    <row r="3088" spans="1:5">
      <c r="A3088" s="111">
        <v>40743</v>
      </c>
      <c r="B3088" s="86" t="str">
        <f>TiposLancamentos!B20</f>
        <v>Saques</v>
      </c>
      <c r="C3088" s="3" t="s">
        <v>4199</v>
      </c>
      <c r="D3088" s="78">
        <v>210</v>
      </c>
      <c r="E3088" s="1480"/>
    </row>
    <row r="3089" spans="1:5">
      <c r="A3089" s="111">
        <v>40743</v>
      </c>
      <c r="B3089" s="86" t="str">
        <f>TiposLancamentos!B66</f>
        <v>Faxineira</v>
      </c>
      <c r="C3089" s="3" t="s">
        <v>4200</v>
      </c>
      <c r="D3089" s="78"/>
      <c r="E3089" s="1480">
        <v>240</v>
      </c>
    </row>
    <row r="3090" spans="1:5">
      <c r="A3090" s="111">
        <v>40743</v>
      </c>
      <c r="B3090" s="86" t="str">
        <f>TiposLancamentos!B24</f>
        <v>Estacionamentos</v>
      </c>
      <c r="C3090" s="3" t="s">
        <v>4201</v>
      </c>
      <c r="D3090" s="78"/>
      <c r="E3090" s="1480">
        <v>2</v>
      </c>
    </row>
    <row r="3091" spans="1:5">
      <c r="A3091" s="111">
        <v>40753</v>
      </c>
      <c r="B3091" s="86" t="str">
        <f>TiposLancamentos!B20</f>
        <v>Saques</v>
      </c>
      <c r="C3091" s="3" t="s">
        <v>4202</v>
      </c>
      <c r="D3091" s="78">
        <v>60</v>
      </c>
      <c r="E3091" s="1480"/>
    </row>
    <row r="3092" spans="1:5">
      <c r="A3092" s="111">
        <v>40753</v>
      </c>
      <c r="B3092" s="86" t="str">
        <f>TiposLancamentos!B51</f>
        <v>Marlboro</v>
      </c>
      <c r="C3092" s="3" t="s">
        <v>4203</v>
      </c>
      <c r="D3092" s="78"/>
      <c r="E3092" s="1480">
        <v>9.5</v>
      </c>
    </row>
    <row r="3093" spans="1:5">
      <c r="A3093" s="108"/>
      <c r="B3093" s="1594"/>
      <c r="C3093" s="109" t="s">
        <v>4204</v>
      </c>
      <c r="D3093" s="1595"/>
      <c r="E3093" s="1596"/>
    </row>
    <row r="3094" spans="1:5">
      <c r="A3094" s="111">
        <v>40757</v>
      </c>
      <c r="B3094" s="86" t="str">
        <f>TiposLancamentos!B66</f>
        <v>Faxineira</v>
      </c>
      <c r="C3094" s="3" t="s">
        <v>3901</v>
      </c>
      <c r="D3094" s="78"/>
      <c r="E3094" s="1480">
        <v>33</v>
      </c>
    </row>
    <row r="3095" spans="1:5">
      <c r="A3095" s="111">
        <v>40761</v>
      </c>
      <c r="B3095" s="86" t="str">
        <f>TiposLancamentos!B20</f>
        <v>Saques</v>
      </c>
      <c r="C3095" s="3" t="s">
        <v>1706</v>
      </c>
      <c r="D3095" s="78">
        <v>200</v>
      </c>
      <c r="E3095" s="1480"/>
    </row>
    <row r="3096" spans="1:5">
      <c r="A3096" s="111">
        <v>40761</v>
      </c>
      <c r="B3096" s="86" t="str">
        <f>TiposLancamentos!B16</f>
        <v>Cristiane</v>
      </c>
      <c r="C3096" s="3" t="s">
        <v>3147</v>
      </c>
      <c r="D3096" s="78"/>
      <c r="E3096" s="1480">
        <v>150</v>
      </c>
    </row>
    <row r="3097" spans="1:5">
      <c r="A3097" s="111">
        <v>40761</v>
      </c>
      <c r="B3097" s="86" t="str">
        <f>TiposLancamentos!B24</f>
        <v>Estacionamentos</v>
      </c>
      <c r="C3097" s="3" t="s">
        <v>1714</v>
      </c>
      <c r="D3097" s="78"/>
      <c r="E3097" s="1480">
        <v>15</v>
      </c>
    </row>
    <row r="3098" spans="1:5">
      <c r="A3098" s="111">
        <v>40764</v>
      </c>
      <c r="B3098" s="86" t="str">
        <f>TiposLancamentos!B16</f>
        <v>Cristiane</v>
      </c>
      <c r="C3098" s="3" t="s">
        <v>4205</v>
      </c>
      <c r="D3098" s="78"/>
      <c r="E3098" s="1480">
        <v>5.5</v>
      </c>
    </row>
    <row r="3099" spans="1:5">
      <c r="A3099" s="111">
        <v>40764</v>
      </c>
      <c r="B3099" s="86" t="str">
        <f>TiposLancamentos!B65</f>
        <v>Taxi</v>
      </c>
      <c r="C3099" s="3" t="s">
        <v>4206</v>
      </c>
      <c r="D3099" s="78"/>
      <c r="E3099" s="1480">
        <v>15</v>
      </c>
    </row>
    <row r="3100" spans="1:5">
      <c r="A3100" s="111">
        <v>40764</v>
      </c>
      <c r="B3100" s="86" t="str">
        <f>TiposLancamentos!B65</f>
        <v>Taxi</v>
      </c>
      <c r="C3100" s="3" t="s">
        <v>4207</v>
      </c>
      <c r="D3100" s="78"/>
      <c r="E3100" s="1480">
        <v>14</v>
      </c>
    </row>
    <row r="3101" spans="1:5">
      <c r="A3101" s="111">
        <v>40765</v>
      </c>
      <c r="B3101" s="86" t="str">
        <f>TiposLancamentos!B16</f>
        <v>Cristiane</v>
      </c>
      <c r="C3101" s="3" t="s">
        <v>3147</v>
      </c>
      <c r="D3101" s="78"/>
      <c r="E3101" s="1480">
        <v>20</v>
      </c>
    </row>
    <row r="3102" spans="1:5">
      <c r="A3102" s="111">
        <v>40768</v>
      </c>
      <c r="B3102" s="86" t="str">
        <f>TiposLancamentos!B20</f>
        <v>Saques</v>
      </c>
      <c r="C3102" s="3" t="s">
        <v>4208</v>
      </c>
      <c r="D3102" s="78">
        <v>60</v>
      </c>
      <c r="E3102" s="1480"/>
    </row>
    <row r="3103" spans="1:5">
      <c r="A3103" s="111">
        <v>40768</v>
      </c>
      <c r="B3103" s="86" t="str">
        <f>TiposLancamentos!B24</f>
        <v>Estacionamentos</v>
      </c>
      <c r="C3103" s="3" t="s">
        <v>3398</v>
      </c>
      <c r="D3103" s="78"/>
      <c r="E3103" s="1480">
        <v>5</v>
      </c>
    </row>
    <row r="3104" spans="1:5">
      <c r="A3104" s="111">
        <v>40770</v>
      </c>
      <c r="B3104" s="86" t="str">
        <f>TiposLancamentos!B65</f>
        <v>Taxi</v>
      </c>
      <c r="C3104" s="3" t="s">
        <v>4206</v>
      </c>
      <c r="D3104" s="78"/>
      <c r="E3104" s="1480">
        <v>14</v>
      </c>
    </row>
    <row r="3105" spans="1:5">
      <c r="A3105" s="111">
        <v>40770</v>
      </c>
      <c r="B3105" s="86" t="str">
        <f>TiposLancamentos!B65</f>
        <v>Taxi</v>
      </c>
      <c r="C3105" s="3" t="s">
        <v>4209</v>
      </c>
      <c r="D3105" s="78"/>
      <c r="E3105" s="1480">
        <v>15</v>
      </c>
    </row>
    <row r="3106" spans="1:5">
      <c r="A3106" s="111">
        <v>40770</v>
      </c>
      <c r="B3106" s="86" t="str">
        <f>TiposLancamentos!B16</f>
        <v>Cristiane</v>
      </c>
      <c r="C3106" s="3" t="s">
        <v>3016</v>
      </c>
      <c r="D3106" s="78"/>
      <c r="E3106" s="1480">
        <v>7</v>
      </c>
    </row>
    <row r="3107" spans="1:5">
      <c r="A3107" s="111">
        <v>40770</v>
      </c>
      <c r="B3107" s="86" t="str">
        <f>TiposLancamentos!B20</f>
        <v>Saques</v>
      </c>
      <c r="C3107" s="3" t="s">
        <v>2655</v>
      </c>
      <c r="D3107" s="78">
        <v>90</v>
      </c>
      <c r="E3107" s="1480"/>
    </row>
    <row r="3108" spans="1:5">
      <c r="A3108" s="111">
        <v>40771</v>
      </c>
      <c r="B3108" s="86" t="str">
        <f>TiposLancamentos!B66</f>
        <v>Faxineira</v>
      </c>
      <c r="C3108" s="3" t="s">
        <v>4210</v>
      </c>
      <c r="D3108" s="78"/>
      <c r="E3108" s="1480">
        <v>90</v>
      </c>
    </row>
    <row r="3109" spans="1:5">
      <c r="A3109" s="111">
        <v>40771</v>
      </c>
      <c r="B3109" s="86" t="str">
        <f>TiposLancamentos!B20</f>
        <v>Saques</v>
      </c>
      <c r="C3109" s="3" t="s">
        <v>3489</v>
      </c>
      <c r="D3109" s="78">
        <v>20</v>
      </c>
      <c r="E3109" s="1480"/>
    </row>
    <row r="3110" spans="1:5">
      <c r="A3110" s="111">
        <v>40771</v>
      </c>
      <c r="B3110" s="86" t="str">
        <f>TiposLancamentos!B19</f>
        <v>Restaurantes</v>
      </c>
      <c r="C3110" s="3" t="s">
        <v>4211</v>
      </c>
      <c r="D3110" s="78"/>
      <c r="E3110" s="1480">
        <v>33</v>
      </c>
    </row>
    <row r="3111" spans="1:5">
      <c r="A3111" s="111">
        <v>40774</v>
      </c>
      <c r="B3111" s="86" t="str">
        <f>TiposLancamentos!B20</f>
        <v>Saques</v>
      </c>
      <c r="C3111" s="3" t="s">
        <v>2668</v>
      </c>
      <c r="D3111" s="78">
        <v>40</v>
      </c>
      <c r="E3111" s="1480"/>
    </row>
    <row r="3112" spans="1:5">
      <c r="A3112" s="111">
        <v>40777</v>
      </c>
      <c r="B3112" s="86" t="str">
        <f>TiposLancamentos!B24</f>
        <v>Estacionamentos</v>
      </c>
      <c r="C3112" s="3" t="s">
        <v>4212</v>
      </c>
      <c r="D3112" s="78"/>
      <c r="E3112" s="1480">
        <v>9</v>
      </c>
    </row>
    <row r="3113" spans="1:5">
      <c r="A3113" s="111">
        <v>40777</v>
      </c>
      <c r="B3113" s="86" t="str">
        <f>TiposLancamentos!B16</f>
        <v>Cristiane</v>
      </c>
      <c r="C3113" s="3" t="s">
        <v>3147</v>
      </c>
      <c r="D3113" s="78"/>
      <c r="E3113" s="1480">
        <v>18</v>
      </c>
    </row>
    <row r="3114" spans="1:5">
      <c r="A3114" s="111">
        <v>40778</v>
      </c>
      <c r="B3114" s="86" t="str">
        <f>TiposLancamentos!B16</f>
        <v>Cristiane</v>
      </c>
      <c r="C3114" s="3" t="s">
        <v>1698</v>
      </c>
      <c r="D3114" s="78"/>
      <c r="E3114" s="1480">
        <v>10</v>
      </c>
    </row>
    <row r="3115" spans="1:5">
      <c r="A3115" s="111">
        <v>40778</v>
      </c>
      <c r="B3115" s="86" t="str">
        <f>TiposLancamentos!B51</f>
        <v>Marlboro</v>
      </c>
      <c r="C3115" s="3" t="s">
        <v>4213</v>
      </c>
      <c r="D3115" s="78"/>
      <c r="E3115" s="1480">
        <v>4.75</v>
      </c>
    </row>
    <row r="3116" spans="1:5">
      <c r="A3116" s="111">
        <v>40778</v>
      </c>
      <c r="B3116" s="86" t="str">
        <f>TiposLancamentos!B20</f>
        <v>Saques</v>
      </c>
      <c r="C3116" s="3" t="s">
        <v>4142</v>
      </c>
      <c r="D3116" s="78">
        <v>90</v>
      </c>
      <c r="E3116" s="1480"/>
    </row>
    <row r="3117" spans="1:5">
      <c r="A3117" s="111">
        <v>40778</v>
      </c>
      <c r="B3117" s="86" t="str">
        <f>TiposLancamentos!B66</f>
        <v>Faxineira</v>
      </c>
      <c r="C3117" s="3" t="s">
        <v>4214</v>
      </c>
      <c r="D3117" s="78"/>
      <c r="E3117" s="1480">
        <v>90</v>
      </c>
    </row>
    <row r="3118" spans="1:5">
      <c r="A3118" s="111">
        <v>40778</v>
      </c>
      <c r="B3118" s="86" t="str">
        <f>TiposLancamentos!B20</f>
        <v>Saques</v>
      </c>
      <c r="C3118" s="3" t="s">
        <v>4215</v>
      </c>
      <c r="D3118" s="78">
        <v>60</v>
      </c>
      <c r="E3118" s="1480"/>
    </row>
    <row r="3119" spans="1:5">
      <c r="A3119" s="111">
        <v>40778</v>
      </c>
      <c r="B3119" s="86" t="str">
        <f>TiposLancamentos!B60</f>
        <v>Correio</v>
      </c>
      <c r="C3119" s="3" t="s">
        <v>4216</v>
      </c>
      <c r="D3119" s="78"/>
      <c r="E3119" s="1480">
        <v>57.31</v>
      </c>
    </row>
    <row r="3120" spans="1:5">
      <c r="A3120" s="111">
        <v>40780</v>
      </c>
      <c r="B3120" s="86" t="str">
        <f>TiposLancamentos!B24</f>
        <v>Estacionamentos</v>
      </c>
      <c r="C3120" s="3" t="s">
        <v>4217</v>
      </c>
      <c r="D3120" s="78"/>
      <c r="E3120" s="1480">
        <v>7.94</v>
      </c>
    </row>
    <row r="3121" spans="1:5">
      <c r="A3121" s="111">
        <v>40781</v>
      </c>
      <c r="B3121" s="86" t="str">
        <f>TiposLancamentos!B20</f>
        <v>Saques</v>
      </c>
      <c r="C3121" s="3" t="s">
        <v>3403</v>
      </c>
      <c r="D3121" s="78">
        <v>20</v>
      </c>
      <c r="E3121" s="1480"/>
    </row>
    <row r="3122" spans="1:5">
      <c r="A3122" s="111">
        <v>40781</v>
      </c>
      <c r="B3122" s="86" t="str">
        <f>TiposLancamentos!B24</f>
        <v>Estacionamentos</v>
      </c>
      <c r="C3122" s="3" t="s">
        <v>3398</v>
      </c>
      <c r="D3122" s="78"/>
      <c r="E3122" s="1480">
        <v>4</v>
      </c>
    </row>
    <row r="3123" spans="1:5">
      <c r="A3123" s="111">
        <v>40784</v>
      </c>
      <c r="B3123" s="86" t="str">
        <f>TiposLancamentos!B16</f>
        <v>Cristiane</v>
      </c>
      <c r="C3123" s="3" t="s">
        <v>1698</v>
      </c>
      <c r="D3123" s="78"/>
      <c r="E3123" s="1480">
        <v>16</v>
      </c>
    </row>
    <row r="3124" spans="1:5">
      <c r="A3124" s="111">
        <v>40785</v>
      </c>
      <c r="B3124" s="86" t="str">
        <f>TiposLancamentos!B20</f>
        <v>Saques</v>
      </c>
      <c r="C3124" s="3" t="s">
        <v>2655</v>
      </c>
      <c r="D3124" s="78">
        <v>90</v>
      </c>
      <c r="E3124" s="1480"/>
    </row>
    <row r="3125" spans="1:5">
      <c r="A3125" s="111">
        <v>40785</v>
      </c>
      <c r="B3125" s="86" t="str">
        <f>TiposLancamentos!B66</f>
        <v>Faxineira</v>
      </c>
      <c r="C3125" s="3" t="s">
        <v>4218</v>
      </c>
      <c r="D3125" s="78"/>
      <c r="E3125" s="1480">
        <v>90</v>
      </c>
    </row>
    <row r="3126" spans="1:5">
      <c r="A3126" s="108"/>
      <c r="B3126" s="1594"/>
      <c r="C3126" s="109" t="s">
        <v>4219</v>
      </c>
      <c r="D3126" s="1595"/>
      <c r="E3126" s="1596"/>
    </row>
    <row r="3127" spans="1:5">
      <c r="A3127" s="111">
        <v>40789</v>
      </c>
      <c r="B3127" s="86" t="str">
        <f>TiposLancamentos!B20</f>
        <v>Saques</v>
      </c>
      <c r="C3127" s="3" t="s">
        <v>4142</v>
      </c>
      <c r="D3127" s="78">
        <v>40</v>
      </c>
      <c r="E3127" s="1480"/>
    </row>
    <row r="3128" spans="1:5">
      <c r="A3128" s="111">
        <v>40789</v>
      </c>
      <c r="B3128" s="86" t="str">
        <f>TiposLancamentos!B74</f>
        <v>Noite</v>
      </c>
      <c r="C3128" s="3" t="s">
        <v>4220</v>
      </c>
      <c r="D3128" s="78"/>
      <c r="E3128" s="1480">
        <v>10</v>
      </c>
    </row>
    <row r="3129" spans="1:5">
      <c r="A3129" s="111">
        <v>40789</v>
      </c>
      <c r="B3129" s="86" t="str">
        <f>TiposLancamentos!B74</f>
        <v>Noite</v>
      </c>
      <c r="C3129" s="3" t="s">
        <v>4221</v>
      </c>
      <c r="D3129" s="78"/>
      <c r="E3129" s="1480">
        <v>30</v>
      </c>
    </row>
    <row r="3130" spans="1:5">
      <c r="A3130" s="111">
        <v>40801</v>
      </c>
      <c r="B3130" s="86" t="str">
        <f>TiposLancamentos!B20</f>
        <v>Saques</v>
      </c>
      <c r="C3130" s="3" t="s">
        <v>2668</v>
      </c>
      <c r="D3130" s="78">
        <v>40</v>
      </c>
      <c r="E3130" s="1480"/>
    </row>
    <row r="3131" spans="1:5">
      <c r="A3131" s="111">
        <v>40802</v>
      </c>
      <c r="B3131" s="86" t="str">
        <f>TiposLancamentos!B16</f>
        <v>Cristiane</v>
      </c>
      <c r="C3131" s="3" t="s">
        <v>3147</v>
      </c>
      <c r="D3131" s="78"/>
      <c r="E3131" s="1480">
        <v>20</v>
      </c>
    </row>
    <row r="3132" spans="1:5">
      <c r="A3132" s="111">
        <v>40803</v>
      </c>
      <c r="B3132" s="86" t="str">
        <f>TiposLancamentos!B24</f>
        <v>Estacionamentos</v>
      </c>
      <c r="C3132" s="3" t="s">
        <v>4222</v>
      </c>
      <c r="D3132" s="78"/>
      <c r="E3132" s="1480">
        <v>9</v>
      </c>
    </row>
    <row r="3133" spans="1:5">
      <c r="A3133" s="111">
        <v>40809</v>
      </c>
      <c r="B3133" s="86" t="str">
        <f>TiposLancamentos!B51</f>
        <v>Marlboro</v>
      </c>
      <c r="C3133" s="3" t="s">
        <v>3888</v>
      </c>
      <c r="D3133" s="78"/>
      <c r="E3133" s="1480">
        <v>4.75</v>
      </c>
    </row>
    <row r="3134" spans="1:5">
      <c r="A3134" s="111">
        <v>40810</v>
      </c>
      <c r="B3134" s="86" t="str">
        <f>TiposLancamentos!B24</f>
        <v>Estacionamentos</v>
      </c>
      <c r="C3134" s="3" t="s">
        <v>3398</v>
      </c>
      <c r="D3134" s="78"/>
      <c r="E3134" s="1480">
        <v>4</v>
      </c>
    </row>
    <row r="3135" spans="1:5">
      <c r="A3135" s="108"/>
      <c r="B3135" s="1594"/>
      <c r="C3135" s="109" t="s">
        <v>4223</v>
      </c>
      <c r="D3135" s="1595"/>
      <c r="E3135" s="1596"/>
    </row>
    <row r="3136" spans="1:5">
      <c r="A3136" s="111">
        <v>40829</v>
      </c>
      <c r="B3136" s="86" t="str">
        <f>TiposLancamentos!B20</f>
        <v>Saques</v>
      </c>
      <c r="C3136" s="3" t="s">
        <v>4224</v>
      </c>
      <c r="D3136" s="78">
        <v>90</v>
      </c>
      <c r="E3136" s="1480"/>
    </row>
    <row r="3137" spans="1:5">
      <c r="A3137" s="111">
        <v>40829</v>
      </c>
      <c r="B3137" s="86" t="str">
        <f>TiposLancamentos!B60</f>
        <v>Correio</v>
      </c>
      <c r="C3137" s="3" t="s">
        <v>4225</v>
      </c>
      <c r="D3137" s="78"/>
      <c r="E3137" s="1480">
        <v>78.17</v>
      </c>
    </row>
    <row r="3138" spans="1:5">
      <c r="A3138" s="111">
        <v>40830</v>
      </c>
      <c r="B3138" s="86" t="str">
        <f>TiposLancamentos!B24</f>
        <v>Estacionamentos</v>
      </c>
      <c r="C3138" s="3" t="s">
        <v>3946</v>
      </c>
      <c r="D3138" s="78"/>
      <c r="E3138" s="1480">
        <v>11</v>
      </c>
    </row>
    <row r="3139" spans="1:5">
      <c r="A3139" s="111">
        <v>40831</v>
      </c>
      <c r="B3139" s="86" t="str">
        <f>TiposLancamentos!B20</f>
        <v>Saques</v>
      </c>
      <c r="C3139" s="3" t="s">
        <v>3604</v>
      </c>
      <c r="D3139" s="78">
        <v>100</v>
      </c>
      <c r="E3139" s="1480"/>
    </row>
    <row r="3140" spans="1:5">
      <c r="A3140" s="111">
        <v>40831</v>
      </c>
      <c r="B3140" s="86" t="str">
        <f>TiposLancamentos!B24</f>
        <v>Estacionamentos</v>
      </c>
      <c r="C3140" s="3" t="s">
        <v>4226</v>
      </c>
      <c r="D3140" s="78"/>
      <c r="E3140" s="1480">
        <v>10</v>
      </c>
    </row>
    <row r="3141" spans="1:5">
      <c r="A3141" s="111">
        <v>40831</v>
      </c>
      <c r="B3141" s="86" t="str">
        <f>TiposLancamentos!B16</f>
        <v>Cristiane</v>
      </c>
      <c r="C3141" s="3" t="s">
        <v>4227</v>
      </c>
      <c r="D3141" s="78"/>
      <c r="E3141" s="1480">
        <v>10</v>
      </c>
    </row>
    <row r="3142" spans="1:5">
      <c r="A3142" s="111">
        <v>40831</v>
      </c>
      <c r="B3142" s="86" t="str">
        <f>TiposLancamentos!B24</f>
        <v>Estacionamentos</v>
      </c>
      <c r="C3142" s="3" t="s">
        <v>4228</v>
      </c>
      <c r="D3142" s="78"/>
      <c r="E3142" s="1480">
        <v>10</v>
      </c>
    </row>
    <row r="3143" spans="1:5">
      <c r="A3143" s="111">
        <v>40831</v>
      </c>
      <c r="B3143" s="86" t="str">
        <f>TiposLancamentos!B19</f>
        <v>Restaurantes</v>
      </c>
      <c r="C3143" s="3" t="s">
        <v>4229</v>
      </c>
      <c r="D3143" s="78"/>
      <c r="E3143" s="1480">
        <v>40</v>
      </c>
    </row>
    <row r="3144" spans="1:5">
      <c r="A3144" s="111">
        <v>40835</v>
      </c>
      <c r="B3144" s="86" t="str">
        <f>TiposLancamentos!B55</f>
        <v>Onibus Urbano</v>
      </c>
      <c r="C3144" s="3" t="s">
        <v>4230</v>
      </c>
      <c r="D3144" s="78"/>
      <c r="E3144" s="1480">
        <v>5.8</v>
      </c>
    </row>
    <row r="3145" spans="1:5">
      <c r="A3145" s="111">
        <v>40835</v>
      </c>
      <c r="B3145" s="86" t="str">
        <f>TiposLancamentos!B54</f>
        <v>Metro</v>
      </c>
      <c r="C3145" s="3" t="s">
        <v>4231</v>
      </c>
      <c r="D3145" s="78"/>
      <c r="E3145" s="1480">
        <v>5.8</v>
      </c>
    </row>
    <row r="3146" spans="1:5">
      <c r="A3146" s="111">
        <v>40835</v>
      </c>
      <c r="B3146" s="86" t="str">
        <f>TiposLancamentos!B16</f>
        <v>Cristiane</v>
      </c>
      <c r="C3146" s="3" t="s">
        <v>4232</v>
      </c>
      <c r="D3146" s="78"/>
      <c r="E3146" s="1480">
        <v>15</v>
      </c>
    </row>
    <row r="3147" spans="1:5">
      <c r="A3147" s="111">
        <v>40835</v>
      </c>
      <c r="B3147" s="86" t="str">
        <f>TiposLancamentos!B20</f>
        <v>Saques</v>
      </c>
      <c r="C3147" s="3" t="s">
        <v>2655</v>
      </c>
      <c r="D3147" s="78">
        <v>60</v>
      </c>
      <c r="E3147" s="1480"/>
    </row>
    <row r="3148" spans="1:5">
      <c r="A3148" s="111">
        <v>40835</v>
      </c>
      <c r="B3148" s="86" t="str">
        <f>TiposLancamentos!B18</f>
        <v>Alimentacao</v>
      </c>
      <c r="C3148" s="3" t="s">
        <v>4233</v>
      </c>
      <c r="D3148" s="78"/>
      <c r="E3148" s="1480">
        <v>7</v>
      </c>
    </row>
    <row r="3149" spans="1:5">
      <c r="A3149" s="111">
        <v>40835</v>
      </c>
      <c r="B3149" s="86" t="str">
        <f>TiposLancamentos!B54</f>
        <v>Metro</v>
      </c>
      <c r="C3149" s="3" t="s">
        <v>4231</v>
      </c>
      <c r="D3149" s="78"/>
      <c r="E3149" s="1480">
        <v>5.8</v>
      </c>
    </row>
    <row r="3150" spans="1:5">
      <c r="A3150" s="111">
        <v>40835</v>
      </c>
      <c r="B3150" s="86" t="str">
        <f>TiposLancamentos!B55</f>
        <v>Onibus Urbano</v>
      </c>
      <c r="C3150" s="3" t="s">
        <v>4230</v>
      </c>
      <c r="D3150" s="78"/>
      <c r="E3150" s="1480">
        <v>5.8</v>
      </c>
    </row>
    <row r="3151" spans="1:5">
      <c r="A3151" s="111">
        <v>40837</v>
      </c>
      <c r="B3151" s="86" t="str">
        <f>TiposLancamentos!B24</f>
        <v>Estacionamentos</v>
      </c>
      <c r="C3151" s="3" t="s">
        <v>3398</v>
      </c>
      <c r="D3151" s="78"/>
      <c r="E3151" s="1480">
        <v>5</v>
      </c>
    </row>
    <row r="3152" spans="1:5">
      <c r="A3152" s="111">
        <v>40838</v>
      </c>
      <c r="B3152" s="86" t="str">
        <f>TiposLancamentos!B16</f>
        <v>Cristiane</v>
      </c>
      <c r="C3152" s="3" t="s">
        <v>3147</v>
      </c>
      <c r="D3152" s="78"/>
      <c r="E3152" s="1480">
        <v>10</v>
      </c>
    </row>
    <row r="3153" spans="1:5">
      <c r="A3153" s="111">
        <v>40838</v>
      </c>
      <c r="B3153" s="86" t="str">
        <f>TiposLancamentos!B24</f>
        <v>Estacionamentos</v>
      </c>
      <c r="C3153" s="3" t="s">
        <v>4234</v>
      </c>
      <c r="D3153" s="78"/>
      <c r="E3153" s="1480">
        <v>15</v>
      </c>
    </row>
    <row r="3154" spans="1:5">
      <c r="A3154" s="111">
        <v>40840</v>
      </c>
      <c r="B3154" s="86" t="str">
        <f>TiposLancamentos!B20</f>
        <v>Saques</v>
      </c>
      <c r="C3154" s="3" t="s">
        <v>4149</v>
      </c>
      <c r="D3154" s="78">
        <v>80</v>
      </c>
      <c r="E3154" s="1480"/>
    </row>
    <row r="3155" spans="1:5">
      <c r="A3155" s="111">
        <v>40840</v>
      </c>
      <c r="B3155" s="86" t="str">
        <f>TiposLancamentos!B60</f>
        <v>Correio</v>
      </c>
      <c r="C3155" s="3" t="s">
        <v>4235</v>
      </c>
      <c r="D3155" s="78"/>
      <c r="E3155" s="1480">
        <v>74.2</v>
      </c>
    </row>
    <row r="3156" spans="1:5">
      <c r="A3156" s="111">
        <v>40840</v>
      </c>
      <c r="B3156" s="86" t="str">
        <f>TiposLancamentos!B24</f>
        <v>Estacionamentos</v>
      </c>
      <c r="C3156" s="3" t="s">
        <v>3398</v>
      </c>
      <c r="D3156" s="78"/>
      <c r="E3156" s="1480">
        <v>5</v>
      </c>
    </row>
    <row r="3157" spans="1:5">
      <c r="A3157" s="111">
        <v>40845</v>
      </c>
      <c r="B3157" s="86" t="str">
        <f>TiposLancamentos!B20</f>
        <v>Saques</v>
      </c>
      <c r="C3157" s="3" t="s">
        <v>4161</v>
      </c>
      <c r="D3157" s="78">
        <v>20</v>
      </c>
      <c r="E3157" s="1480"/>
    </row>
    <row r="3158" spans="1:5">
      <c r="A3158" s="111">
        <v>40845</v>
      </c>
      <c r="B3158" s="86" t="str">
        <f>TiposLancamentos!B18</f>
        <v>Alimentacao</v>
      </c>
      <c r="C3158" s="3" t="s">
        <v>4236</v>
      </c>
      <c r="D3158" s="78"/>
      <c r="E3158" s="1480">
        <v>6.5</v>
      </c>
    </row>
    <row r="3159" spans="1:5">
      <c r="A3159" s="111">
        <v>40845</v>
      </c>
      <c r="B3159" s="86" t="str">
        <f>TiposLancamentos!B24</f>
        <v>Estacionamentos</v>
      </c>
      <c r="C3159" s="3" t="s">
        <v>4237</v>
      </c>
      <c r="D3159" s="78"/>
      <c r="E3159" s="1480">
        <v>7</v>
      </c>
    </row>
    <row r="3160" spans="1:5">
      <c r="A3160" s="111">
        <v>40847</v>
      </c>
      <c r="B3160" s="86" t="str">
        <f>TiposLancamentos!B71</f>
        <v>Itens Pessoais</v>
      </c>
      <c r="C3160" s="3" t="s">
        <v>4238</v>
      </c>
      <c r="D3160" s="78"/>
      <c r="E3160" s="1480">
        <v>6</v>
      </c>
    </row>
    <row r="3161" spans="1:5">
      <c r="A3161" s="111">
        <v>40847</v>
      </c>
      <c r="B3161" s="86" t="str">
        <f>TiposLancamentos!B20</f>
        <v>Saques</v>
      </c>
      <c r="C3161" s="3" t="s">
        <v>4142</v>
      </c>
      <c r="D3161" s="78">
        <v>30</v>
      </c>
      <c r="E3161" s="1480"/>
    </row>
    <row r="3162" spans="1:5">
      <c r="A3162" s="111">
        <v>40847</v>
      </c>
      <c r="B3162" s="86" t="str">
        <f>TiposLancamentos!B71</f>
        <v>Itens Pessoais</v>
      </c>
      <c r="C3162" s="3" t="s">
        <v>4239</v>
      </c>
      <c r="D3162" s="78"/>
      <c r="E3162" s="1480">
        <v>9</v>
      </c>
    </row>
    <row r="3163" spans="1:5">
      <c r="A3163" s="111">
        <v>40847</v>
      </c>
      <c r="B3163" s="86" t="str">
        <f>TiposLancamentos!B24</f>
        <v>Estacionamentos</v>
      </c>
      <c r="C3163" s="3" t="s">
        <v>3398</v>
      </c>
      <c r="D3163" s="78"/>
      <c r="E3163" s="1480">
        <v>5</v>
      </c>
    </row>
    <row r="3164" spans="1:5">
      <c r="A3164" s="767"/>
      <c r="B3164" s="1603"/>
      <c r="C3164" s="1604" t="s">
        <v>4240</v>
      </c>
      <c r="D3164" s="1605"/>
      <c r="E3164" s="1582"/>
    </row>
    <row r="3165" spans="1:5">
      <c r="A3165" s="769">
        <v>40850</v>
      </c>
      <c r="B3165" s="86" t="str">
        <f>TiposLancamentos!B20</f>
        <v>Saques</v>
      </c>
      <c r="C3165" s="3" t="s">
        <v>4164</v>
      </c>
      <c r="D3165" s="78">
        <v>40</v>
      </c>
      <c r="E3165" s="1480"/>
    </row>
    <row r="3166" spans="1:5">
      <c r="A3166" s="769">
        <v>40850</v>
      </c>
      <c r="B3166" s="86" t="str">
        <f>TiposLancamentos!B87</f>
        <v>P207-1.6-XS</v>
      </c>
      <c r="C3166" s="3" t="s">
        <v>4241</v>
      </c>
      <c r="D3166" s="78"/>
      <c r="E3166" s="1480">
        <v>35</v>
      </c>
    </row>
    <row r="3167" spans="1:5">
      <c r="A3167" s="769">
        <v>40850</v>
      </c>
      <c r="B3167" s="86" t="str">
        <f>TiposLancamentos!B5</f>
        <v>Supermercado</v>
      </c>
      <c r="C3167" s="3" t="s">
        <v>4242</v>
      </c>
      <c r="D3167" s="78"/>
      <c r="E3167" s="1480">
        <v>3.8</v>
      </c>
    </row>
    <row r="3168" spans="1:5">
      <c r="A3168" s="769">
        <v>40861</v>
      </c>
      <c r="B3168" s="86" t="str">
        <f>TiposLancamentos!B20</f>
        <v>Saques</v>
      </c>
      <c r="C3168" s="3" t="s">
        <v>4164</v>
      </c>
      <c r="D3168" s="78">
        <v>20</v>
      </c>
      <c r="E3168" s="1480"/>
    </row>
    <row r="3169" spans="1:6">
      <c r="A3169" s="769">
        <v>40861</v>
      </c>
      <c r="B3169" s="86" t="str">
        <f>TiposLancamentos!B16</f>
        <v>Cristiane</v>
      </c>
      <c r="C3169" s="3" t="s">
        <v>3763</v>
      </c>
      <c r="D3169" s="78"/>
      <c r="E3169" s="1480">
        <v>56.38</v>
      </c>
      <c r="F3169" s="3"/>
    </row>
    <row r="3170" spans="1:6">
      <c r="A3170" s="769">
        <v>40867</v>
      </c>
      <c r="B3170" s="86" t="str">
        <f>TiposLancamentos!B20</f>
        <v>Saques</v>
      </c>
      <c r="C3170" s="3" t="s">
        <v>4147</v>
      </c>
      <c r="D3170" s="78">
        <v>30</v>
      </c>
      <c r="E3170" s="1480"/>
      <c r="F3170" s="3"/>
    </row>
    <row r="3171" spans="1:6">
      <c r="A3171" s="769">
        <v>40867</v>
      </c>
      <c r="B3171" s="86" t="str">
        <f>TiposLancamentos!B24</f>
        <v>Estacionamentos</v>
      </c>
      <c r="C3171" s="3" t="s">
        <v>4243</v>
      </c>
      <c r="D3171" s="78"/>
      <c r="E3171" s="1480">
        <v>10</v>
      </c>
      <c r="F3171" s="3"/>
    </row>
    <row r="3172" spans="1:6">
      <c r="A3172" s="769">
        <v>40872</v>
      </c>
      <c r="B3172" s="86" t="str">
        <f>TiposLancamentos!B24</f>
        <v>Estacionamentos</v>
      </c>
      <c r="C3172" s="3" t="s">
        <v>3398</v>
      </c>
      <c r="D3172" s="78"/>
      <c r="E3172" s="1480">
        <v>7</v>
      </c>
      <c r="F3172" s="3"/>
    </row>
    <row r="3173" spans="1:6">
      <c r="A3173" s="769">
        <v>40872</v>
      </c>
      <c r="B3173" s="86" t="str">
        <f>TiposLancamentos!B18</f>
        <v>Alimentacao</v>
      </c>
      <c r="C3173" s="3" t="s">
        <v>4244</v>
      </c>
      <c r="D3173" s="78"/>
      <c r="E3173" s="1480">
        <v>11</v>
      </c>
      <c r="F3173" s="3"/>
    </row>
    <row r="3174" spans="1:6">
      <c r="A3174" s="767"/>
      <c r="B3174" s="1603"/>
      <c r="C3174" s="1604" t="s">
        <v>4245</v>
      </c>
      <c r="D3174" s="1605"/>
      <c r="E3174" s="1582"/>
      <c r="F3174" s="3"/>
    </row>
    <row r="3175" spans="1:6">
      <c r="A3175" s="769">
        <v>40884</v>
      </c>
      <c r="B3175" s="86" t="str">
        <f>TiposLancamentos!B20</f>
        <v>Saques</v>
      </c>
      <c r="C3175" s="3" t="s">
        <v>4147</v>
      </c>
      <c r="D3175" s="78">
        <v>40</v>
      </c>
      <c r="E3175" s="1480"/>
      <c r="F3175" s="3"/>
    </row>
    <row r="3176" spans="1:6">
      <c r="A3176" s="769">
        <v>40884</v>
      </c>
      <c r="B3176" s="86" t="str">
        <f>TiposLancamentos!B19</f>
        <v>Restaurantes</v>
      </c>
      <c r="C3176" s="3" t="s">
        <v>4246</v>
      </c>
      <c r="D3176" s="78"/>
      <c r="E3176" s="1480">
        <v>3.5</v>
      </c>
      <c r="F3176" s="3"/>
    </row>
    <row r="3177" spans="1:6">
      <c r="A3177" s="769">
        <v>40884</v>
      </c>
      <c r="B3177" s="86" t="str">
        <f>TiposLancamentos!B69</f>
        <v>Consertos</v>
      </c>
      <c r="C3177" s="3" t="s">
        <v>4247</v>
      </c>
      <c r="D3177" s="78"/>
      <c r="E3177" s="1480">
        <v>2</v>
      </c>
      <c r="F3177" s="3"/>
    </row>
    <row r="3178" spans="1:6">
      <c r="A3178" s="769">
        <v>40884</v>
      </c>
      <c r="B3178" s="86" t="str">
        <f>TiposLancamentos!B16</f>
        <v>Cristiane</v>
      </c>
      <c r="C3178" s="3" t="s">
        <v>4248</v>
      </c>
      <c r="D3178" s="78"/>
      <c r="E3178" s="1480">
        <v>12</v>
      </c>
      <c r="F3178" s="3"/>
    </row>
    <row r="3179" spans="1:6">
      <c r="A3179" s="769">
        <v>40898</v>
      </c>
      <c r="B3179" s="86" t="str">
        <f>TiposLancamentos!B16</f>
        <v>Cristiane</v>
      </c>
      <c r="C3179" s="3" t="s">
        <v>1698</v>
      </c>
      <c r="D3179" s="78"/>
      <c r="E3179" s="1480">
        <v>24.5</v>
      </c>
      <c r="F3179" s="3"/>
    </row>
    <row r="3180" spans="1:6">
      <c r="A3180" s="769">
        <v>40901</v>
      </c>
      <c r="B3180" s="86" t="str">
        <f>TiposLancamentos!B20</f>
        <v>Saques</v>
      </c>
      <c r="C3180" s="3" t="s">
        <v>4147</v>
      </c>
      <c r="D3180" s="78">
        <v>60</v>
      </c>
      <c r="E3180" s="1480"/>
      <c r="F3180" s="3"/>
    </row>
    <row r="3181" spans="1:6">
      <c r="A3181" s="769">
        <v>40901</v>
      </c>
      <c r="B3181" s="86" t="str">
        <f>TiposLancamentos!B24</f>
        <v>Estacionamentos</v>
      </c>
      <c r="C3181" s="3" t="s">
        <v>3851</v>
      </c>
      <c r="D3181" s="78"/>
      <c r="E3181" s="1480">
        <v>7</v>
      </c>
      <c r="F3181" s="3"/>
    </row>
    <row r="3182" spans="1:6">
      <c r="A3182" s="769">
        <v>40901</v>
      </c>
      <c r="B3182" s="86" t="str">
        <f>TiposLancamentos!B16</f>
        <v>Cristiane</v>
      </c>
      <c r="C3182" s="3" t="str">
        <f>TiposLancamentos!B16</f>
        <v>Cristiane</v>
      </c>
      <c r="D3182" s="78"/>
      <c r="E3182" s="1480">
        <v>19</v>
      </c>
      <c r="F3182" s="3"/>
    </row>
    <row r="3183" spans="1:6">
      <c r="A3183" s="769">
        <v>40903</v>
      </c>
      <c r="B3183" s="86" t="str">
        <f>TiposLancamentos!B24</f>
        <v>Estacionamentos</v>
      </c>
      <c r="C3183" s="3" t="s">
        <v>4249</v>
      </c>
      <c r="D3183" s="78"/>
      <c r="E3183" s="1480">
        <v>7</v>
      </c>
      <c r="F3183" s="3"/>
    </row>
    <row r="3184" spans="1:6">
      <c r="A3184" s="769">
        <v>40903</v>
      </c>
      <c r="B3184" s="86" t="str">
        <f>TiposLancamentos!B18</f>
        <v>Alimentacao</v>
      </c>
      <c r="C3184" s="3" t="s">
        <v>4250</v>
      </c>
      <c r="D3184" s="78"/>
      <c r="E3184" s="1480">
        <v>3</v>
      </c>
      <c r="F3184" s="3"/>
    </row>
    <row r="3185" spans="1:6">
      <c r="A3185" s="769">
        <v>40904</v>
      </c>
      <c r="B3185" s="86" t="str">
        <f>TiposLancamentos!B18</f>
        <v>Alimentacao</v>
      </c>
      <c r="C3185" s="3" t="s">
        <v>4251</v>
      </c>
      <c r="D3185" s="78"/>
      <c r="E3185" s="1480">
        <v>5</v>
      </c>
      <c r="F3185" s="3"/>
    </row>
    <row r="3186" spans="1:6">
      <c r="A3186" s="769">
        <v>40906</v>
      </c>
      <c r="B3186" s="86" t="str">
        <f>TiposLancamentos!B16</f>
        <v>Cristiane</v>
      </c>
      <c r="C3186" s="3" t="s">
        <v>4252</v>
      </c>
      <c r="D3186" s="78"/>
      <c r="E3186" s="1480">
        <v>13</v>
      </c>
      <c r="F3186" s="3"/>
    </row>
    <row r="3187" spans="1:6">
      <c r="A3187" s="767"/>
      <c r="B3187" s="1603"/>
      <c r="C3187" s="1604" t="s">
        <v>4253</v>
      </c>
      <c r="D3187" s="1605"/>
      <c r="E3187" s="1582"/>
      <c r="F3187" s="3"/>
    </row>
    <row r="3188" spans="1:6">
      <c r="A3188" s="769">
        <v>40919</v>
      </c>
      <c r="B3188" s="86" t="str">
        <f>TiposLancamentos!B20</f>
        <v>Saques</v>
      </c>
      <c r="C3188" s="3" t="s">
        <v>4147</v>
      </c>
      <c r="D3188" s="78">
        <v>140</v>
      </c>
      <c r="E3188" s="1480"/>
      <c r="F3188" s="114"/>
    </row>
    <row r="3189" spans="1:6">
      <c r="A3189" s="769">
        <v>40920</v>
      </c>
      <c r="B3189" s="86" t="str">
        <f>TiposLancamentos!B65</f>
        <v>Taxi</v>
      </c>
      <c r="C3189" s="3" t="s">
        <v>4254</v>
      </c>
      <c r="D3189" s="78"/>
      <c r="E3189" s="1480">
        <v>11</v>
      </c>
      <c r="F3189" s="114"/>
    </row>
    <row r="3190" spans="1:6">
      <c r="A3190" s="769">
        <v>40920</v>
      </c>
      <c r="B3190" s="86" t="str">
        <f>TiposLancamentos!B87</f>
        <v>P207-1.6-XS</v>
      </c>
      <c r="C3190" s="3" t="s">
        <v>4255</v>
      </c>
      <c r="D3190" s="78"/>
      <c r="E3190" s="1480">
        <v>120</v>
      </c>
      <c r="F3190" s="114"/>
    </row>
    <row r="3191" spans="1:6">
      <c r="A3191" s="769">
        <v>40920</v>
      </c>
      <c r="B3191" s="86" t="str">
        <f>TiposLancamentos!B20</f>
        <v>Saques</v>
      </c>
      <c r="C3191" s="3" t="s">
        <v>4256</v>
      </c>
      <c r="D3191" s="78">
        <v>70</v>
      </c>
      <c r="E3191" s="1480"/>
      <c r="F3191" s="114"/>
    </row>
    <row r="3192" spans="1:6">
      <c r="A3192" s="769">
        <v>40920</v>
      </c>
      <c r="B3192" s="86" t="str">
        <f>TiposLancamentos!B60</f>
        <v>Correio</v>
      </c>
      <c r="C3192" s="3" t="s">
        <v>4257</v>
      </c>
      <c r="D3192" s="78"/>
      <c r="E3192" s="1480">
        <v>75.319999999999993</v>
      </c>
      <c r="F3192" s="114"/>
    </row>
    <row r="3193" spans="1:6">
      <c r="A3193" s="769">
        <v>40927</v>
      </c>
      <c r="B3193" s="86" t="str">
        <f>TiposLancamentos!B20</f>
        <v>Saques</v>
      </c>
      <c r="C3193" s="3" t="s">
        <v>4149</v>
      </c>
      <c r="D3193" s="78">
        <v>60</v>
      </c>
      <c r="E3193" s="1480"/>
      <c r="F3193" s="114"/>
    </row>
    <row r="3194" spans="1:6">
      <c r="A3194" s="769">
        <v>40927</v>
      </c>
      <c r="B3194" s="86" t="str">
        <f>TiposLancamentos!B16</f>
        <v>Cristiane</v>
      </c>
      <c r="C3194" s="3" t="s">
        <v>3016</v>
      </c>
      <c r="D3194" s="78"/>
      <c r="E3194" s="1480">
        <v>60</v>
      </c>
      <c r="F3194" s="114"/>
    </row>
    <row r="3195" spans="1:6">
      <c r="A3195" s="769">
        <v>40928</v>
      </c>
      <c r="B3195" s="86" t="str">
        <f>TiposLancamentos!B20</f>
        <v>Saques</v>
      </c>
      <c r="C3195" s="3" t="s">
        <v>4149</v>
      </c>
      <c r="D3195" s="78">
        <v>40</v>
      </c>
      <c r="E3195" s="1480"/>
      <c r="F3195" s="114"/>
    </row>
    <row r="3196" spans="1:6">
      <c r="A3196" s="769">
        <v>40928</v>
      </c>
      <c r="B3196" s="86" t="str">
        <f>TiposLancamentos!B28</f>
        <v>ComicBook</v>
      </c>
      <c r="C3196" s="3" t="s">
        <v>4258</v>
      </c>
      <c r="D3196" s="78"/>
      <c r="E3196" s="1480">
        <v>5.5</v>
      </c>
      <c r="F3196" s="114"/>
    </row>
    <row r="3197" spans="1:6">
      <c r="A3197" s="769">
        <v>40928</v>
      </c>
      <c r="B3197" s="86" t="str">
        <f>TiposLancamentos!B18</f>
        <v>Alimentacao</v>
      </c>
      <c r="C3197" s="3" t="s">
        <v>4259</v>
      </c>
      <c r="D3197" s="78"/>
      <c r="E3197" s="1480">
        <v>2</v>
      </c>
      <c r="F3197" s="114"/>
    </row>
    <row r="3198" spans="1:6">
      <c r="A3198" s="769">
        <v>40928</v>
      </c>
      <c r="B3198" s="86" t="str">
        <f>TiposLancamentos!B87</f>
        <v>P207-1.6-XS</v>
      </c>
      <c r="C3198" s="3" t="s">
        <v>4260</v>
      </c>
      <c r="D3198" s="78"/>
      <c r="E3198" s="1480">
        <v>22</v>
      </c>
      <c r="F3198" s="114"/>
    </row>
    <row r="3199" spans="1:6">
      <c r="A3199" s="769">
        <v>40928</v>
      </c>
      <c r="B3199" s="86" t="str">
        <f>TiposLancamentos!B18</f>
        <v>Alimentacao</v>
      </c>
      <c r="C3199" s="3" t="s">
        <v>4261</v>
      </c>
      <c r="D3199" s="78"/>
      <c r="E3199" s="1480">
        <v>9.18</v>
      </c>
      <c r="F3199" s="114"/>
    </row>
    <row r="3200" spans="1:6">
      <c r="A3200" s="769">
        <v>40930</v>
      </c>
      <c r="B3200" s="86" t="str">
        <f>TiposLancamentos!B24</f>
        <v>Estacionamentos</v>
      </c>
      <c r="C3200" s="3" t="s">
        <v>4222</v>
      </c>
      <c r="D3200" s="78"/>
      <c r="E3200" s="1480">
        <v>10</v>
      </c>
      <c r="F3200" s="3"/>
    </row>
    <row r="3201" spans="1:5">
      <c r="A3201" s="769">
        <v>40931</v>
      </c>
      <c r="B3201" s="86" t="str">
        <f>TiposLancamentos!B20</f>
        <v>Saques</v>
      </c>
      <c r="C3201" s="3" t="s">
        <v>3761</v>
      </c>
      <c r="D3201" s="78">
        <v>20</v>
      </c>
      <c r="E3201" s="1480"/>
    </row>
    <row r="3202" spans="1:5">
      <c r="A3202" s="769">
        <v>40931</v>
      </c>
      <c r="B3202" s="86" t="str">
        <f>TiposLancamentos!B24</f>
        <v>Estacionamentos</v>
      </c>
      <c r="C3202" s="3" t="s">
        <v>4262</v>
      </c>
      <c r="D3202" s="78"/>
      <c r="E3202" s="1480">
        <v>7</v>
      </c>
    </row>
    <row r="3203" spans="1:5">
      <c r="A3203" s="769">
        <v>40939</v>
      </c>
      <c r="B3203" s="86" t="str">
        <f>TiposLancamentos!B16</f>
        <v>Cristiane</v>
      </c>
      <c r="C3203" s="3" t="s">
        <v>3072</v>
      </c>
      <c r="D3203" s="78"/>
      <c r="E3203" s="1480">
        <v>13.8</v>
      </c>
    </row>
    <row r="3204" spans="1:5">
      <c r="A3204" s="767"/>
      <c r="B3204" s="1603"/>
      <c r="C3204" s="1604" t="s">
        <v>4263</v>
      </c>
      <c r="D3204" s="1605"/>
      <c r="E3204" s="1582"/>
    </row>
    <row r="3205" spans="1:5">
      <c r="A3205" s="769">
        <v>40946</v>
      </c>
      <c r="B3205" s="86" t="str">
        <f>TiposLancamentos!B20</f>
        <v>Saques</v>
      </c>
      <c r="C3205" s="3"/>
      <c r="D3205" s="78">
        <v>20</v>
      </c>
      <c r="E3205" s="1480"/>
    </row>
    <row r="3206" spans="1:5">
      <c r="A3206" s="769">
        <v>40946</v>
      </c>
      <c r="B3206" s="86" t="str">
        <f>TiposLancamentos!B60</f>
        <v>Correio</v>
      </c>
      <c r="C3206" s="3"/>
      <c r="D3206" s="78"/>
      <c r="E3206" s="1480">
        <v>8.1999999999999993</v>
      </c>
    </row>
    <row r="3207" spans="1:5">
      <c r="A3207" s="769">
        <v>40946</v>
      </c>
      <c r="B3207" s="86" t="str">
        <f>TiposLancamentos!B99</f>
        <v>Venda de algo</v>
      </c>
      <c r="C3207" s="3" t="s">
        <v>4264</v>
      </c>
      <c r="D3207" s="78">
        <v>180</v>
      </c>
      <c r="E3207" s="1480"/>
    </row>
    <row r="3208" spans="1:5">
      <c r="A3208" s="769">
        <v>40950</v>
      </c>
      <c r="B3208" s="86" t="str">
        <f>TiposLancamentos!B87</f>
        <v>P207-1.6-XS</v>
      </c>
      <c r="C3208" s="3" t="s">
        <v>3479</v>
      </c>
      <c r="D3208" s="78"/>
      <c r="E3208" s="1480">
        <v>20</v>
      </c>
    </row>
    <row r="3209" spans="1:5">
      <c r="A3209" s="769">
        <v>40957</v>
      </c>
      <c r="B3209" s="86" t="str">
        <f>TiposLancamentos!B24</f>
        <v>Estacionamentos</v>
      </c>
      <c r="C3209" s="3" t="s">
        <v>4265</v>
      </c>
      <c r="D3209" s="78"/>
      <c r="E3209" s="1480">
        <v>10</v>
      </c>
    </row>
    <row r="3210" spans="1:5">
      <c r="A3210" s="769">
        <v>40958</v>
      </c>
      <c r="B3210" s="86" t="str">
        <f>TiposLancamentos!B24</f>
        <v>Estacionamentos</v>
      </c>
      <c r="C3210" s="3" t="s">
        <v>4266</v>
      </c>
      <c r="D3210" s="78"/>
      <c r="E3210" s="1480">
        <v>10</v>
      </c>
    </row>
    <row r="3211" spans="1:5">
      <c r="A3211" s="769">
        <v>40967</v>
      </c>
      <c r="B3211" s="86" t="str">
        <f>TiposLancamentos!B24</f>
        <v>Estacionamentos</v>
      </c>
      <c r="C3211" s="3" t="s">
        <v>4267</v>
      </c>
      <c r="D3211" s="78"/>
      <c r="E3211" s="1480">
        <v>15</v>
      </c>
    </row>
    <row r="3212" spans="1:5">
      <c r="A3212" s="767"/>
      <c r="B3212" s="1603"/>
      <c r="C3212" s="1604" t="s">
        <v>4268</v>
      </c>
      <c r="D3212" s="1605"/>
      <c r="E3212" s="1582"/>
    </row>
    <row r="3213" spans="1:5">
      <c r="A3213" s="769">
        <v>40977</v>
      </c>
      <c r="B3213" s="86" t="str">
        <f>TiposLancamentos!B57</f>
        <v>Informática</v>
      </c>
      <c r="C3213" s="3" t="s">
        <v>4269</v>
      </c>
      <c r="D3213" s="78"/>
      <c r="E3213" s="1480">
        <v>35</v>
      </c>
    </row>
    <row r="3214" spans="1:5">
      <c r="A3214" s="769">
        <v>40984</v>
      </c>
      <c r="B3214" s="86" t="str">
        <f>TiposLancamentos!B24</f>
        <v>Estacionamentos</v>
      </c>
      <c r="C3214" s="3" t="s">
        <v>4270</v>
      </c>
      <c r="D3214" s="78"/>
      <c r="E3214" s="1480">
        <v>7</v>
      </c>
    </row>
    <row r="3215" spans="1:5">
      <c r="A3215" s="769">
        <v>40984</v>
      </c>
      <c r="B3215" s="86" t="str">
        <f>TiposLancamentos!B99</f>
        <v>Venda de algo</v>
      </c>
      <c r="C3215" s="3" t="s">
        <v>4271</v>
      </c>
      <c r="D3215" s="78">
        <v>52</v>
      </c>
      <c r="E3215" s="1480"/>
    </row>
    <row r="3216" spans="1:5">
      <c r="A3216" s="769">
        <v>40998</v>
      </c>
      <c r="B3216" s="86" t="str">
        <f>TiposLancamentos!B24</f>
        <v>Estacionamentos</v>
      </c>
      <c r="C3216" s="3"/>
      <c r="D3216" s="78"/>
      <c r="E3216" s="1480">
        <v>27</v>
      </c>
    </row>
    <row r="3217" spans="1:6">
      <c r="A3217" s="769">
        <v>40998</v>
      </c>
      <c r="B3217" s="86" t="str">
        <f>TiposLancamentos!B16</f>
        <v>Cristiane</v>
      </c>
      <c r="C3217" s="3"/>
      <c r="D3217" s="78"/>
      <c r="E3217" s="1480">
        <v>27</v>
      </c>
      <c r="F3217" s="3"/>
    </row>
    <row r="3218" spans="1:6">
      <c r="A3218" s="769">
        <v>40998</v>
      </c>
      <c r="B3218" s="86" t="str">
        <f>TiposLancamentos!B16</f>
        <v>Cristiane</v>
      </c>
      <c r="C3218" s="3"/>
      <c r="D3218" s="78"/>
      <c r="E3218" s="1480">
        <v>27</v>
      </c>
      <c r="F3218" s="3"/>
    </row>
    <row r="3219" spans="1:6">
      <c r="A3219" s="769">
        <v>40995</v>
      </c>
      <c r="B3219" s="86" t="str">
        <f>TiposLancamentos!B67</f>
        <v>Lavanderia</v>
      </c>
      <c r="C3219" s="3" t="s">
        <v>4272</v>
      </c>
      <c r="D3219" s="78"/>
      <c r="E3219" s="1480">
        <v>15</v>
      </c>
      <c r="F3219" s="3"/>
    </row>
    <row r="3220" spans="1:6">
      <c r="A3220" s="770">
        <v>40998</v>
      </c>
      <c r="B3220" s="1606" t="str">
        <f>TiposLancamentos!B24</f>
        <v>Estacionamentos</v>
      </c>
      <c r="C3220" s="1607" t="s">
        <v>3917</v>
      </c>
      <c r="D3220" s="1090"/>
      <c r="E3220" s="1401">
        <v>10</v>
      </c>
      <c r="F3220" s="3"/>
    </row>
    <row r="3221" spans="1:6">
      <c r="A3221" s="769"/>
      <c r="B3221" s="86"/>
      <c r="C3221" s="771" t="s">
        <v>4273</v>
      </c>
      <c r="D3221" s="78"/>
      <c r="E3221" s="1480"/>
      <c r="F3221" s="3"/>
    </row>
    <row r="3222" spans="1:6">
      <c r="A3222" s="769">
        <v>41010</v>
      </c>
      <c r="B3222" s="86" t="str">
        <f>TiposLancamentos!B77</f>
        <v>Esporádico</v>
      </c>
      <c r="C3222" s="3" t="s">
        <v>4274</v>
      </c>
      <c r="D3222" s="78"/>
      <c r="E3222" s="1480">
        <v>22</v>
      </c>
      <c r="F3222" s="3"/>
    </row>
    <row r="3223" spans="1:6">
      <c r="A3223" s="769">
        <v>41011</v>
      </c>
      <c r="B3223" s="86" t="str">
        <f>TiposLancamentos!B20</f>
        <v>Saques</v>
      </c>
      <c r="C3223" s="3" t="s">
        <v>4275</v>
      </c>
      <c r="D3223" s="78">
        <v>170</v>
      </c>
      <c r="E3223" s="1480"/>
      <c r="F3223" s="3"/>
    </row>
    <row r="3224" spans="1:6">
      <c r="A3224" s="769">
        <v>41011</v>
      </c>
      <c r="B3224" s="86" t="str">
        <f>TiposLancamentos!B16</f>
        <v>Cristiane</v>
      </c>
      <c r="C3224" s="3" t="s">
        <v>2822</v>
      </c>
      <c r="D3224" s="78"/>
      <c r="E3224" s="1480">
        <v>20.7</v>
      </c>
      <c r="F3224" s="3"/>
    </row>
    <row r="3225" spans="1:6">
      <c r="A3225" s="769">
        <v>41011</v>
      </c>
      <c r="B3225" s="86" t="str">
        <f>TiposLancamentos!B60</f>
        <v>Correio</v>
      </c>
      <c r="C3225" s="3" t="s">
        <v>4276</v>
      </c>
      <c r="D3225" s="78"/>
      <c r="E3225" s="1480">
        <v>143</v>
      </c>
      <c r="F3225" s="3"/>
    </row>
    <row r="3226" spans="1:6">
      <c r="A3226" s="769">
        <v>41012</v>
      </c>
      <c r="B3226" s="86" t="str">
        <f>TiposLancamentos!B16</f>
        <v>Cristiane</v>
      </c>
      <c r="C3226" s="3" t="s">
        <v>4277</v>
      </c>
      <c r="D3226" s="78"/>
      <c r="E3226" s="1480">
        <v>25.3</v>
      </c>
      <c r="F3226" s="3"/>
    </row>
    <row r="3227" spans="1:6">
      <c r="A3227" s="769">
        <v>41020</v>
      </c>
      <c r="B3227" s="86" t="str">
        <f>TiposLancamentos!B20</f>
        <v>Saques</v>
      </c>
      <c r="C3227" s="3" t="s">
        <v>4149</v>
      </c>
      <c r="D3227" s="78">
        <v>200</v>
      </c>
      <c r="E3227" s="1480"/>
      <c r="F3227" s="3"/>
    </row>
    <row r="3228" spans="1:6">
      <c r="A3228" s="769">
        <v>41020</v>
      </c>
      <c r="B3228" s="86" t="str">
        <f>TiposLancamentos!B16</f>
        <v>Cristiane</v>
      </c>
      <c r="C3228" s="3" t="s">
        <v>1698</v>
      </c>
      <c r="D3228" s="78"/>
      <c r="E3228" s="1480">
        <v>200</v>
      </c>
      <c r="F3228" s="3"/>
    </row>
    <row r="3229" spans="1:6">
      <c r="A3229" s="769">
        <v>41034</v>
      </c>
      <c r="B3229" s="86" t="str">
        <f>TiposLancamentos!B20</f>
        <v>Saques</v>
      </c>
      <c r="C3229" s="3" t="s">
        <v>4149</v>
      </c>
      <c r="D3229" s="78">
        <v>70</v>
      </c>
      <c r="E3229" s="1480"/>
      <c r="F3229" s="3"/>
    </row>
    <row r="3230" spans="1:6">
      <c r="A3230" s="769">
        <v>41034</v>
      </c>
      <c r="B3230" s="86" t="str">
        <f>TiposLancamentos!B16</f>
        <v>Cristiane</v>
      </c>
      <c r="C3230" s="3" t="s">
        <v>4278</v>
      </c>
      <c r="D3230" s="78"/>
      <c r="E3230" s="1480">
        <v>50</v>
      </c>
      <c r="F3230" s="3"/>
    </row>
    <row r="3231" spans="1:6">
      <c r="A3231" s="769">
        <v>41038</v>
      </c>
      <c r="B3231" s="86" t="str">
        <f>TiposLancamentos!B20</f>
        <v>Saques</v>
      </c>
      <c r="C3231" s="3" t="s">
        <v>4149</v>
      </c>
      <c r="D3231" s="78">
        <v>20</v>
      </c>
      <c r="E3231" s="1480"/>
      <c r="F3231" s="3"/>
    </row>
    <row r="3232" spans="1:6">
      <c r="A3232" s="769">
        <v>41038</v>
      </c>
      <c r="B3232" s="86" t="str">
        <f>TiposLancamentos!B87</f>
        <v>P207-1.6-XS</v>
      </c>
      <c r="C3232" s="3" t="s">
        <v>3665</v>
      </c>
      <c r="D3232" s="78"/>
      <c r="E3232" s="1480">
        <v>30</v>
      </c>
      <c r="F3232" s="3"/>
    </row>
    <row r="3233" spans="1:6">
      <c r="A3233" s="769">
        <v>41040</v>
      </c>
      <c r="B3233" s="86" t="str">
        <f>TiposLancamentos!B72</f>
        <v>Presentes</v>
      </c>
      <c r="C3233" s="3" t="s">
        <v>4279</v>
      </c>
      <c r="D3233" s="78"/>
      <c r="E3233" s="1480">
        <v>10</v>
      </c>
      <c r="F3233" s="3"/>
    </row>
    <row r="3234" spans="1:6">
      <c r="A3234" s="769">
        <v>41049</v>
      </c>
      <c r="B3234" s="86" t="str">
        <f>TiposLancamentos!B20</f>
        <v>Saques</v>
      </c>
      <c r="C3234" s="3" t="s">
        <v>4142</v>
      </c>
      <c r="D3234" s="78">
        <v>80</v>
      </c>
      <c r="E3234" s="1480"/>
      <c r="F3234" s="3"/>
    </row>
    <row r="3235" spans="1:6">
      <c r="A3235" s="769">
        <v>41049</v>
      </c>
      <c r="B3235" s="86" t="str">
        <f>TiposLancamentos!B64</f>
        <v>Viagens</v>
      </c>
      <c r="C3235" s="3" t="s">
        <v>4280</v>
      </c>
      <c r="D3235" s="78"/>
      <c r="E3235" s="1480">
        <v>20</v>
      </c>
      <c r="F3235" s="3"/>
    </row>
    <row r="3236" spans="1:6">
      <c r="A3236" s="769">
        <v>41049</v>
      </c>
      <c r="B3236" s="86" t="str">
        <f>TiposLancamentos!B24</f>
        <v>Estacionamentos</v>
      </c>
      <c r="C3236" s="3" t="s">
        <v>4281</v>
      </c>
      <c r="D3236" s="78"/>
      <c r="E3236" s="1480">
        <v>15</v>
      </c>
      <c r="F3236" s="3"/>
    </row>
    <row r="3237" spans="1:6">
      <c r="A3237" s="769">
        <v>41051</v>
      </c>
      <c r="B3237" s="86" t="str">
        <f>TiposLancamentos!B16</f>
        <v>Cristiane</v>
      </c>
      <c r="C3237" s="3" t="s">
        <v>3016</v>
      </c>
      <c r="D3237" s="78"/>
      <c r="E3237" s="1480">
        <v>25</v>
      </c>
      <c r="F3237" s="3"/>
    </row>
    <row r="3238" spans="1:6">
      <c r="A3238" s="769">
        <v>41055</v>
      </c>
      <c r="B3238" s="86" t="str">
        <f>TiposLancamentos!B24</f>
        <v>Estacionamentos</v>
      </c>
      <c r="C3238" s="3" t="s">
        <v>3398</v>
      </c>
      <c r="D3238" s="78"/>
      <c r="E3238" s="1480">
        <v>7</v>
      </c>
      <c r="F3238" s="3"/>
    </row>
    <row r="3239" spans="1:6">
      <c r="A3239" s="769">
        <v>41058</v>
      </c>
      <c r="B3239" s="86" t="str">
        <f>TiposLancamentos!B18</f>
        <v>Alimentacao</v>
      </c>
      <c r="C3239" s="3" t="s">
        <v>4282</v>
      </c>
      <c r="D3239" s="78"/>
      <c r="E3239" s="1480">
        <v>7</v>
      </c>
      <c r="F3239" s="3"/>
    </row>
    <row r="3240" spans="1:6">
      <c r="A3240" s="769">
        <v>41058</v>
      </c>
      <c r="B3240" s="86" t="str">
        <f>TiposLancamentos!B20</f>
        <v>Saques</v>
      </c>
      <c r="C3240" s="3" t="s">
        <v>3814</v>
      </c>
      <c r="D3240" s="78">
        <v>50</v>
      </c>
      <c r="E3240" s="1480"/>
      <c r="F3240" s="3"/>
    </row>
    <row r="3241" spans="1:6">
      <c r="A3241" s="769">
        <v>41058</v>
      </c>
      <c r="B3241" s="86" t="str">
        <f>TiposLancamentos!B57</f>
        <v>Informática</v>
      </c>
      <c r="C3241" s="3" t="s">
        <v>4283</v>
      </c>
      <c r="D3241" s="78"/>
      <c r="E3241" s="1480">
        <v>55</v>
      </c>
      <c r="F3241" s="3"/>
    </row>
    <row r="3242" spans="1:6">
      <c r="A3242" s="769">
        <v>41060</v>
      </c>
      <c r="B3242" s="86" t="str">
        <f>TiposLancamentos!B20</f>
        <v>Saques</v>
      </c>
      <c r="C3242" s="3" t="s">
        <v>4284</v>
      </c>
      <c r="D3242" s="78">
        <v>20</v>
      </c>
      <c r="E3242" s="1480"/>
      <c r="F3242" s="3"/>
    </row>
    <row r="3243" spans="1:6">
      <c r="A3243" s="769">
        <v>41060</v>
      </c>
      <c r="B3243" s="86" t="str">
        <f>TiposLancamentos!B24</f>
        <v>Estacionamentos</v>
      </c>
      <c r="C3243" s="3" t="s">
        <v>4285</v>
      </c>
      <c r="D3243" s="78"/>
      <c r="E3243" s="1480">
        <v>7</v>
      </c>
      <c r="F3243" s="3"/>
    </row>
    <row r="3244" spans="1:6">
      <c r="A3244" s="769">
        <v>41067</v>
      </c>
      <c r="B3244" s="86" t="str">
        <f>TiposLancamentos!B20</f>
        <v>Saques</v>
      </c>
      <c r="C3244" s="3" t="s">
        <v>2668</v>
      </c>
      <c r="D3244" s="78">
        <v>50</v>
      </c>
      <c r="E3244" s="1480"/>
      <c r="F3244" s="3"/>
    </row>
    <row r="3245" spans="1:6">
      <c r="A3245" s="769">
        <v>41067</v>
      </c>
      <c r="B3245" s="86" t="str">
        <f>TiposLancamentos!B24</f>
        <v>Estacionamentos</v>
      </c>
      <c r="C3245" s="3" t="s">
        <v>4286</v>
      </c>
      <c r="D3245" s="78"/>
      <c r="E3245" s="1480">
        <v>10</v>
      </c>
      <c r="F3245" s="3"/>
    </row>
    <row r="3246" spans="1:6">
      <c r="A3246" s="769">
        <v>41068</v>
      </c>
      <c r="B3246" s="86" t="str">
        <f>TiposLancamentos!B24</f>
        <v>Estacionamentos</v>
      </c>
      <c r="C3246" s="3" t="s">
        <v>3253</v>
      </c>
      <c r="D3246" s="78"/>
      <c r="E3246" s="1480">
        <v>7</v>
      </c>
      <c r="F3246" s="3"/>
    </row>
    <row r="3247" spans="1:6">
      <c r="A3247" s="769">
        <v>41068</v>
      </c>
      <c r="B3247" s="86" t="str">
        <f>TiposLancamentos!B16</f>
        <v>Cristiane</v>
      </c>
      <c r="C3247" s="3" t="s">
        <v>3763</v>
      </c>
      <c r="D3247" s="78"/>
      <c r="E3247" s="1480">
        <v>20</v>
      </c>
      <c r="F3247" s="3"/>
    </row>
    <row r="3248" spans="1:6">
      <c r="A3248" s="769">
        <v>41068</v>
      </c>
      <c r="B3248" s="86" t="str">
        <f>TiposLancamentos!B24</f>
        <v>Estacionamentos</v>
      </c>
      <c r="C3248" s="3" t="s">
        <v>3398</v>
      </c>
      <c r="D3248" s="78"/>
      <c r="E3248" s="1480">
        <v>9</v>
      </c>
      <c r="F3248" s="3"/>
    </row>
    <row r="3249" spans="1:5">
      <c r="A3249" s="769">
        <v>41070</v>
      </c>
      <c r="B3249" s="86" t="str">
        <f>TiposLancamentos!B16</f>
        <v>Cristiane</v>
      </c>
      <c r="C3249" s="3" t="s">
        <v>1698</v>
      </c>
      <c r="D3249" s="78"/>
      <c r="E3249" s="1480">
        <v>18</v>
      </c>
    </row>
    <row r="3250" spans="1:5">
      <c r="A3250" s="769">
        <v>41080</v>
      </c>
      <c r="B3250" s="86" t="str">
        <f>TiposLancamentos!B20</f>
        <v>Saques</v>
      </c>
      <c r="C3250" s="3" t="s">
        <v>3072</v>
      </c>
      <c r="D3250" s="78">
        <v>20</v>
      </c>
      <c r="E3250" s="1480"/>
    </row>
    <row r="3251" spans="1:5">
      <c r="A3251" s="769">
        <v>41080</v>
      </c>
      <c r="B3251" s="86" t="str">
        <f>TiposLancamentos!B18</f>
        <v>Alimentacao</v>
      </c>
      <c r="C3251" s="3" t="s">
        <v>4287</v>
      </c>
      <c r="D3251" s="78"/>
      <c r="E3251" s="1480">
        <v>3</v>
      </c>
    </row>
    <row r="3252" spans="1:5">
      <c r="A3252" s="769">
        <v>41080</v>
      </c>
      <c r="B3252" s="86" t="str">
        <f>TiposLancamentos!B18</f>
        <v>Alimentacao</v>
      </c>
      <c r="C3252" s="3" t="s">
        <v>4288</v>
      </c>
      <c r="D3252" s="78"/>
      <c r="E3252" s="1480">
        <v>5</v>
      </c>
    </row>
    <row r="3253" spans="1:5">
      <c r="A3253" s="769">
        <v>41081</v>
      </c>
      <c r="B3253" s="86" t="str">
        <f>TiposLancamentos!B18</f>
        <v>Alimentacao</v>
      </c>
      <c r="C3253" s="3" t="s">
        <v>4289</v>
      </c>
      <c r="D3253" s="78"/>
      <c r="E3253" s="1480">
        <v>5</v>
      </c>
    </row>
    <row r="3254" spans="1:5">
      <c r="A3254" s="769">
        <v>41082</v>
      </c>
      <c r="B3254" s="86" t="str">
        <f>TiposLancamentos!B18</f>
        <v>Alimentacao</v>
      </c>
      <c r="C3254" s="3"/>
      <c r="D3254" s="78"/>
      <c r="E3254" s="1480">
        <v>7</v>
      </c>
    </row>
    <row r="3255" spans="1:5">
      <c r="A3255" s="769">
        <v>41087</v>
      </c>
      <c r="B3255" s="86" t="str">
        <f>TiposLancamentos!B20</f>
        <v>Saques</v>
      </c>
      <c r="C3255" s="3" t="s">
        <v>3020</v>
      </c>
      <c r="D3255" s="78">
        <v>40</v>
      </c>
      <c r="E3255" s="1480"/>
    </row>
    <row r="3256" spans="1:5">
      <c r="A3256" s="769">
        <v>41087</v>
      </c>
      <c r="B3256" s="86" t="str">
        <f>TiposLancamentos!B18</f>
        <v>Alimentacao</v>
      </c>
      <c r="C3256" s="3" t="s">
        <v>4290</v>
      </c>
      <c r="D3256" s="78"/>
      <c r="E3256" s="1480">
        <v>3</v>
      </c>
    </row>
    <row r="3257" spans="1:5">
      <c r="A3257" s="769">
        <v>41087</v>
      </c>
      <c r="B3257" s="86" t="str">
        <f>TiposLancamentos!B18</f>
        <v>Alimentacao</v>
      </c>
      <c r="C3257" s="3" t="s">
        <v>4291</v>
      </c>
      <c r="D3257" s="78"/>
      <c r="E3257" s="1480">
        <v>5</v>
      </c>
    </row>
    <row r="3258" spans="1:5">
      <c r="A3258" s="769">
        <v>41090</v>
      </c>
      <c r="B3258" s="86" t="str">
        <f>TiposLancamentos!B24</f>
        <v>Estacionamentos</v>
      </c>
      <c r="C3258" s="3" t="s">
        <v>3398</v>
      </c>
      <c r="D3258" s="78"/>
      <c r="E3258" s="1480">
        <v>7</v>
      </c>
    </row>
    <row r="3259" spans="1:5">
      <c r="A3259" s="769">
        <v>41093</v>
      </c>
      <c r="B3259" s="86" t="str">
        <f>TiposLancamentos!B72</f>
        <v>Presentes</v>
      </c>
      <c r="C3259" s="3" t="s">
        <v>4292</v>
      </c>
      <c r="D3259" s="78"/>
      <c r="E3259" s="1480">
        <v>20</v>
      </c>
    </row>
    <row r="3260" spans="1:5">
      <c r="A3260" s="769">
        <v>41093</v>
      </c>
      <c r="B3260" s="86" t="str">
        <f>TiposLancamentos!B24</f>
        <v>Estacionamentos</v>
      </c>
      <c r="C3260" s="3" t="s">
        <v>4054</v>
      </c>
      <c r="D3260" s="78"/>
      <c r="E3260" s="1480">
        <v>5</v>
      </c>
    </row>
    <row r="3261" spans="1:5">
      <c r="A3261" s="769">
        <v>41097</v>
      </c>
      <c r="B3261" s="86" t="str">
        <f>TiposLancamentos!B20</f>
        <v>Saques</v>
      </c>
      <c r="C3261" s="3" t="s">
        <v>3489</v>
      </c>
      <c r="D3261" s="78">
        <v>220</v>
      </c>
      <c r="E3261" s="1480"/>
    </row>
    <row r="3262" spans="1:5">
      <c r="A3262" s="769">
        <v>41097</v>
      </c>
      <c r="B3262" s="86" t="str">
        <f>TiposLancamentos!B16</f>
        <v>Cristiane</v>
      </c>
      <c r="C3262" s="3" t="s">
        <v>4293</v>
      </c>
      <c r="D3262" s="78"/>
      <c r="E3262" s="1480">
        <v>200</v>
      </c>
    </row>
    <row r="3263" spans="1:5">
      <c r="A3263" s="769">
        <v>41097</v>
      </c>
      <c r="B3263" s="86" t="str">
        <f>TiposLancamentos!B57</f>
        <v>Informática</v>
      </c>
      <c r="C3263" s="3" t="s">
        <v>4294</v>
      </c>
      <c r="D3263" s="78"/>
      <c r="E3263" s="1480">
        <v>10</v>
      </c>
    </row>
    <row r="3264" spans="1:5">
      <c r="A3264" s="769">
        <v>41098</v>
      </c>
      <c r="B3264" s="86" t="str">
        <f>TiposLancamentos!B24</f>
        <v>Estacionamentos</v>
      </c>
      <c r="C3264" s="3" t="s">
        <v>4295</v>
      </c>
      <c r="D3264" s="78"/>
      <c r="E3264" s="1480">
        <v>10</v>
      </c>
    </row>
    <row r="3265" spans="1:5">
      <c r="A3265" s="769">
        <v>41130</v>
      </c>
      <c r="B3265" s="86" t="str">
        <f>TiposLancamentos!B20</f>
        <v>Saques</v>
      </c>
      <c r="C3265" s="3" t="s">
        <v>4161</v>
      </c>
      <c r="D3265" s="78">
        <v>150</v>
      </c>
      <c r="E3265" s="1480"/>
    </row>
    <row r="3266" spans="1:5">
      <c r="A3266" s="769">
        <v>41130</v>
      </c>
      <c r="B3266" s="86" t="str">
        <f>TiposLancamentos!B16</f>
        <v>Cristiane</v>
      </c>
      <c r="C3266" s="3" t="s">
        <v>4296</v>
      </c>
      <c r="D3266" s="78"/>
      <c r="E3266" s="1480">
        <v>50</v>
      </c>
    </row>
    <row r="3267" spans="1:5">
      <c r="A3267" s="769">
        <v>41130</v>
      </c>
      <c r="B3267" s="86" t="str">
        <f>TiposLancamentos!B60</f>
        <v>Correio</v>
      </c>
      <c r="C3267" s="3" t="s">
        <v>4297</v>
      </c>
      <c r="D3267" s="78"/>
      <c r="E3267" s="1480">
        <v>96.83</v>
      </c>
    </row>
    <row r="3268" spans="1:5">
      <c r="A3268" s="769">
        <v>41133</v>
      </c>
      <c r="B3268" s="86" t="str">
        <f>TiposLancamentos!B20</f>
        <v>Saques</v>
      </c>
      <c r="C3268" s="3" t="s">
        <v>4142</v>
      </c>
      <c r="D3268" s="78">
        <v>630</v>
      </c>
      <c r="E3268" s="1480"/>
    </row>
    <row r="3269" spans="1:5">
      <c r="A3269" s="769">
        <v>41133</v>
      </c>
      <c r="B3269" s="86" t="str">
        <f>TiposLancamentos!B72</f>
        <v>Presentes</v>
      </c>
      <c r="C3269" s="3" t="s">
        <v>4298</v>
      </c>
      <c r="D3269" s="78"/>
      <c r="E3269" s="1480">
        <v>500</v>
      </c>
    </row>
    <row r="3270" spans="1:5">
      <c r="A3270" s="769">
        <v>41133</v>
      </c>
      <c r="B3270" s="86" t="str">
        <f>TiposLancamentos!B72</f>
        <v>Presentes</v>
      </c>
      <c r="C3270" s="3" t="s">
        <v>4299</v>
      </c>
      <c r="D3270" s="78"/>
      <c r="E3270" s="1480">
        <v>80</v>
      </c>
    </row>
    <row r="3271" spans="1:5">
      <c r="A3271" s="769">
        <v>41133</v>
      </c>
      <c r="B3271" s="86" t="str">
        <f>TiposLancamentos!B71</f>
        <v>Itens Pessoais</v>
      </c>
      <c r="C3271" s="3" t="s">
        <v>4300</v>
      </c>
      <c r="D3271" s="78"/>
      <c r="E3271" s="1480">
        <v>20</v>
      </c>
    </row>
    <row r="3272" spans="1:5">
      <c r="A3272" s="769">
        <v>41135</v>
      </c>
      <c r="B3272" s="86" t="str">
        <f>TiposLancamentos!B24</f>
        <v>Estacionamentos</v>
      </c>
      <c r="C3272" s="3" t="s">
        <v>4031</v>
      </c>
      <c r="D3272" s="78"/>
      <c r="E3272" s="1480">
        <v>17</v>
      </c>
    </row>
    <row r="3273" spans="1:5">
      <c r="A3273" s="769">
        <v>41135</v>
      </c>
      <c r="B3273" s="86" t="str">
        <f>TiposLancamentos!B19</f>
        <v>Restaurantes</v>
      </c>
      <c r="C3273" s="3" t="s">
        <v>3250</v>
      </c>
      <c r="D3273" s="78"/>
      <c r="E3273" s="1480">
        <v>16</v>
      </c>
    </row>
    <row r="3274" spans="1:5">
      <c r="A3274" s="769">
        <v>41141</v>
      </c>
      <c r="B3274" s="1606" t="str">
        <f>TiposLancamentos!B20</f>
        <v>Saques</v>
      </c>
      <c r="C3274" s="3" t="s">
        <v>4301</v>
      </c>
      <c r="D3274" s="78">
        <v>260</v>
      </c>
      <c r="E3274" s="1480"/>
    </row>
    <row r="3275" spans="1:5">
      <c r="A3275" s="769">
        <v>41141</v>
      </c>
      <c r="B3275" s="86" t="str">
        <f>TiposLancamentos!B16</f>
        <v>Cristiane</v>
      </c>
      <c r="C3275" s="3" t="s">
        <v>4302</v>
      </c>
      <c r="D3275" s="78"/>
      <c r="E3275" s="1480">
        <v>240</v>
      </c>
    </row>
    <row r="3276" spans="1:5">
      <c r="A3276" s="769">
        <v>41141</v>
      </c>
      <c r="B3276" s="86" t="str">
        <f>TiposLancamentos!B24</f>
        <v>Estacionamentos</v>
      </c>
      <c r="C3276" s="3" t="s">
        <v>2579</v>
      </c>
      <c r="D3276" s="78"/>
      <c r="E3276" s="1480">
        <v>13</v>
      </c>
    </row>
    <row r="3277" spans="1:5">
      <c r="A3277" s="769">
        <v>41143</v>
      </c>
      <c r="B3277" s="86" t="str">
        <f>TiposLancamentos!B20</f>
        <v>Saques</v>
      </c>
      <c r="C3277" s="3" t="s">
        <v>4303</v>
      </c>
      <c r="D3277" s="78">
        <v>500</v>
      </c>
      <c r="E3277" s="1480"/>
    </row>
    <row r="3278" spans="1:5">
      <c r="A3278" s="769">
        <v>41144</v>
      </c>
      <c r="B3278" s="86" t="str">
        <f>TiposLancamentos!B65</f>
        <v>Taxi</v>
      </c>
      <c r="C3278" s="3" t="s">
        <v>4304</v>
      </c>
      <c r="D3278" s="78"/>
      <c r="E3278" s="1480">
        <v>88</v>
      </c>
    </row>
    <row r="3279" spans="1:5">
      <c r="A3279" s="769">
        <v>41144</v>
      </c>
      <c r="B3279" s="86" t="str">
        <f>TiposLancamentos!B65</f>
        <v>Taxi</v>
      </c>
      <c r="C3279" s="3" t="s">
        <v>4305</v>
      </c>
      <c r="D3279" s="78"/>
      <c r="E3279" s="1480">
        <v>16</v>
      </c>
    </row>
    <row r="3280" spans="1:5">
      <c r="A3280" s="769">
        <v>41144</v>
      </c>
      <c r="B3280" s="86" t="str">
        <f>TiposLancamentos!B64</f>
        <v>Viagens</v>
      </c>
      <c r="C3280" s="3" t="s">
        <v>4306</v>
      </c>
      <c r="D3280" s="78"/>
      <c r="E3280" s="1480">
        <v>88</v>
      </c>
    </row>
    <row r="3281" spans="1:5">
      <c r="A3281" s="769">
        <v>41144</v>
      </c>
      <c r="B3281" s="86" t="str">
        <f>TiposLancamentos!B65</f>
        <v>Taxi</v>
      </c>
      <c r="C3281" s="3" t="s">
        <v>4307</v>
      </c>
      <c r="D3281" s="78"/>
      <c r="E3281" s="1480">
        <v>20</v>
      </c>
    </row>
    <row r="3282" spans="1:5">
      <c r="A3282" s="769">
        <v>41148</v>
      </c>
      <c r="B3282" s="86" t="str">
        <f>TiposLancamentos!B24</f>
        <v>Estacionamentos</v>
      </c>
      <c r="C3282" s="3" t="s">
        <v>1714</v>
      </c>
      <c r="D3282" s="78"/>
      <c r="E3282" s="1480">
        <v>15</v>
      </c>
    </row>
    <row r="3283" spans="1:5">
      <c r="A3283" s="769">
        <v>41148</v>
      </c>
      <c r="B3283" s="86" t="str">
        <f>TiposLancamentos!B16</f>
        <v>Cristiane</v>
      </c>
      <c r="C3283" s="3" t="s">
        <v>4308</v>
      </c>
      <c r="D3283" s="78"/>
      <c r="E3283" s="1480">
        <v>50</v>
      </c>
    </row>
    <row r="3284" spans="1:5">
      <c r="A3284" s="769">
        <v>41149</v>
      </c>
      <c r="B3284" s="86" t="str">
        <f>TiposLancamentos!B65</f>
        <v>Taxi</v>
      </c>
      <c r="C3284" s="3" t="s">
        <v>4309</v>
      </c>
      <c r="D3284" s="78"/>
      <c r="E3284" s="1480">
        <v>90</v>
      </c>
    </row>
    <row r="3285" spans="1:5">
      <c r="A3285" s="769">
        <v>41155</v>
      </c>
      <c r="B3285" s="86" t="str">
        <f>TiposLancamentos!B16</f>
        <v>Cristiane</v>
      </c>
      <c r="C3285" s="3" t="s">
        <v>4277</v>
      </c>
      <c r="D3285" s="78"/>
      <c r="E3285" s="1480">
        <v>100</v>
      </c>
    </row>
    <row r="3286" spans="1:5">
      <c r="A3286" s="769">
        <v>41155</v>
      </c>
      <c r="B3286" s="86" t="str">
        <f>TiposLancamentos!B24</f>
        <v>Estacionamentos</v>
      </c>
      <c r="C3286" s="3" t="s">
        <v>4010</v>
      </c>
      <c r="D3286" s="78"/>
      <c r="E3286" s="1480">
        <v>20</v>
      </c>
    </row>
    <row r="3287" spans="1:5">
      <c r="A3287" s="769">
        <v>41155</v>
      </c>
      <c r="B3287" s="86" t="str">
        <f>TiposLancamentos!B18</f>
        <v>Alimentacao</v>
      </c>
      <c r="C3287" s="3" t="s">
        <v>3210</v>
      </c>
      <c r="D3287" s="78"/>
      <c r="E3287" s="1480">
        <v>20.170000000000002</v>
      </c>
    </row>
    <row r="3288" spans="1:5">
      <c r="A3288" s="769">
        <v>41177</v>
      </c>
      <c r="B3288" s="86" t="str">
        <f>TiposLancamentos!B20</f>
        <v>Saques</v>
      </c>
      <c r="C3288" s="3" t="s">
        <v>4142</v>
      </c>
      <c r="D3288" s="78">
        <v>120</v>
      </c>
      <c r="E3288" s="1480"/>
    </row>
    <row r="3289" spans="1:5">
      <c r="A3289" s="769">
        <v>41177</v>
      </c>
      <c r="B3289" s="86" t="str">
        <f>TiposLancamentos!B16</f>
        <v>Cristiane</v>
      </c>
      <c r="C3289" s="3" t="s">
        <v>3016</v>
      </c>
      <c r="D3289" s="78"/>
      <c r="E3289" s="1480">
        <v>120</v>
      </c>
    </row>
    <row r="3290" spans="1:5">
      <c r="A3290" s="769">
        <v>41179</v>
      </c>
      <c r="B3290" s="86" t="str">
        <f>TiposLancamentos!B20</f>
        <v>Saques</v>
      </c>
      <c r="C3290" s="3" t="s">
        <v>4149</v>
      </c>
      <c r="D3290" s="78">
        <v>20</v>
      </c>
      <c r="E3290" s="1480"/>
    </row>
    <row r="3291" spans="1:5">
      <c r="A3291" s="769">
        <v>41179</v>
      </c>
      <c r="B3291" s="86" t="str">
        <f>TiposLancamentos!B24</f>
        <v>Estacionamentos</v>
      </c>
      <c r="C3291" s="3" t="s">
        <v>4310</v>
      </c>
      <c r="D3291" s="78"/>
      <c r="E3291" s="1480">
        <v>5</v>
      </c>
    </row>
    <row r="3292" spans="1:5">
      <c r="A3292" s="769">
        <v>41186</v>
      </c>
      <c r="B3292" s="86" t="str">
        <f>TiposLancamentos!B5</f>
        <v>Supermercado</v>
      </c>
      <c r="C3292" s="3" t="s">
        <v>2703</v>
      </c>
      <c r="D3292" s="78"/>
      <c r="E3292" s="1480">
        <v>15</v>
      </c>
    </row>
    <row r="3293" spans="1:5">
      <c r="A3293" s="769">
        <v>41205</v>
      </c>
      <c r="B3293" s="86" t="str">
        <f>TiposLancamentos!B20</f>
        <v>Saques</v>
      </c>
      <c r="C3293" s="3" t="s">
        <v>2668</v>
      </c>
      <c r="D3293" s="78">
        <v>70</v>
      </c>
      <c r="E3293" s="1480"/>
    </row>
    <row r="3294" spans="1:5">
      <c r="A3294" s="769">
        <v>41205</v>
      </c>
      <c r="B3294" s="86" t="str">
        <f>TiposLancamentos!B16</f>
        <v>Cristiane</v>
      </c>
      <c r="C3294" s="3" t="s">
        <v>1698</v>
      </c>
      <c r="D3294" s="78"/>
      <c r="E3294" s="1480">
        <v>70</v>
      </c>
    </row>
    <row r="3295" spans="1:5">
      <c r="A3295" s="769">
        <v>41209</v>
      </c>
      <c r="B3295" s="86" t="str">
        <f>TiposLancamentos!B20</f>
        <v>Saques</v>
      </c>
      <c r="C3295" s="3" t="s">
        <v>2850</v>
      </c>
      <c r="D3295" s="78">
        <v>40</v>
      </c>
      <c r="E3295" s="1480"/>
    </row>
    <row r="3296" spans="1:5">
      <c r="A3296" s="769">
        <v>41209</v>
      </c>
      <c r="B3296" s="86" t="str">
        <f>TiposLancamentos!B18</f>
        <v>Alimentacao</v>
      </c>
      <c r="C3296" s="3" t="s">
        <v>4311</v>
      </c>
      <c r="D3296" s="78"/>
      <c r="E3296" s="1480">
        <v>10.5</v>
      </c>
    </row>
    <row r="3297" spans="1:5">
      <c r="A3297" s="769">
        <v>41209</v>
      </c>
      <c r="B3297" s="86" t="str">
        <f>TiposLancamentos!B24</f>
        <v>Estacionamentos</v>
      </c>
      <c r="C3297" s="3" t="s">
        <v>3398</v>
      </c>
      <c r="D3297" s="78"/>
      <c r="E3297" s="1480">
        <v>9</v>
      </c>
    </row>
    <row r="3298" spans="1:5">
      <c r="A3298" s="769">
        <v>41209</v>
      </c>
      <c r="B3298" s="86" t="str">
        <f>TiposLancamentos!B24</f>
        <v>Estacionamentos</v>
      </c>
      <c r="C3298" s="3" t="s">
        <v>4312</v>
      </c>
      <c r="D3298" s="78"/>
      <c r="E3298" s="1480">
        <v>5</v>
      </c>
    </row>
    <row r="3299" spans="1:5">
      <c r="A3299" s="847">
        <v>41211</v>
      </c>
      <c r="B3299" s="824" t="str">
        <f>TiposLancamentos!B20</f>
        <v>Saques</v>
      </c>
      <c r="C3299" s="826" t="s">
        <v>4313</v>
      </c>
      <c r="D3299" s="1608">
        <v>90</v>
      </c>
      <c r="E3299" s="1480"/>
    </row>
    <row r="3300" spans="1:5">
      <c r="A3300" s="847">
        <v>41211</v>
      </c>
      <c r="B3300" s="824" t="str">
        <f>TiposLancamentos!B20</f>
        <v>Saques</v>
      </c>
      <c r="C3300" s="826" t="s">
        <v>4314</v>
      </c>
      <c r="D3300" s="1608">
        <v>40</v>
      </c>
      <c r="E3300" s="1480"/>
    </row>
    <row r="3301" spans="1:5">
      <c r="A3301" s="769">
        <v>41258</v>
      </c>
      <c r="B3301" s="86" t="str">
        <f>TiposLancamentos!B20</f>
        <v>Saques</v>
      </c>
      <c r="C3301" s="3" t="s">
        <v>3845</v>
      </c>
      <c r="D3301" s="78">
        <v>120</v>
      </c>
      <c r="E3301" s="1480"/>
    </row>
    <row r="3302" spans="1:5">
      <c r="A3302" s="769">
        <v>41258</v>
      </c>
      <c r="B3302" s="86" t="str">
        <f>TiposLancamentos!B20</f>
        <v>Saques</v>
      </c>
      <c r="C3302" s="3" t="s">
        <v>4315</v>
      </c>
      <c r="D3302" s="78"/>
      <c r="E3302" s="1480">
        <v>120</v>
      </c>
    </row>
    <row r="3303" spans="1:5">
      <c r="A3303" s="769">
        <v>41262</v>
      </c>
      <c r="B3303" s="86" t="str">
        <f>TiposLancamentos!B20</f>
        <v>Saques</v>
      </c>
      <c r="C3303" s="3" t="s">
        <v>3845</v>
      </c>
      <c r="D3303" s="78">
        <v>20</v>
      </c>
      <c r="E3303" s="1480"/>
    </row>
    <row r="3304" spans="1:5">
      <c r="A3304" s="769">
        <v>41262</v>
      </c>
      <c r="B3304" s="86" t="str">
        <f>TiposLancamentos!B24</f>
        <v>Estacionamentos</v>
      </c>
      <c r="C3304" s="3" t="s">
        <v>3398</v>
      </c>
      <c r="D3304" s="78"/>
      <c r="E3304" s="1480">
        <v>8</v>
      </c>
    </row>
    <row r="3305" spans="1:5">
      <c r="A3305" s="769">
        <v>41263</v>
      </c>
      <c r="B3305" s="86" t="str">
        <f>TiposLancamentos!B16</f>
        <v>Cristiane</v>
      </c>
      <c r="C3305" s="3" t="s">
        <v>4316</v>
      </c>
      <c r="D3305" s="78"/>
      <c r="E3305" s="1480">
        <v>157.5</v>
      </c>
    </row>
    <row r="3306" spans="1:5">
      <c r="A3306" s="769">
        <v>41297</v>
      </c>
      <c r="B3306" s="86" t="str">
        <f>TiposLancamentos!B20</f>
        <v>Saques</v>
      </c>
      <c r="C3306" s="3" t="s">
        <v>4317</v>
      </c>
      <c r="D3306" s="78">
        <v>150</v>
      </c>
      <c r="E3306" s="1480"/>
    </row>
    <row r="3307" spans="1:5">
      <c r="A3307" s="769">
        <v>41297</v>
      </c>
      <c r="B3307" s="86" t="str">
        <f>TiposLancamentos!B16</f>
        <v>Cristiane</v>
      </c>
      <c r="C3307" s="3" t="s">
        <v>4318</v>
      </c>
      <c r="D3307" s="78"/>
      <c r="E3307" s="1480">
        <v>150</v>
      </c>
    </row>
    <row r="3308" spans="1:5">
      <c r="A3308" s="769">
        <v>41326</v>
      </c>
      <c r="B3308" s="86" t="str">
        <f>TiposLancamentos!B20</f>
        <v>Saques</v>
      </c>
      <c r="C3308" s="3" t="s">
        <v>2668</v>
      </c>
      <c r="D3308" s="78">
        <v>150</v>
      </c>
      <c r="E3308" s="1480"/>
    </row>
    <row r="3309" spans="1:5">
      <c r="A3309" s="769">
        <v>41326</v>
      </c>
      <c r="B3309" s="86" t="str">
        <f>TiposLancamentos!B60</f>
        <v>Correio</v>
      </c>
      <c r="C3309" s="3" t="s">
        <v>4319</v>
      </c>
      <c r="D3309" s="78"/>
      <c r="E3309" s="1480">
        <v>143.21</v>
      </c>
    </row>
    <row r="3310" spans="1:5">
      <c r="A3310" s="769">
        <v>41327</v>
      </c>
      <c r="B3310" s="86" t="str">
        <f>TiposLancamentos!B20</f>
        <v>Saques</v>
      </c>
      <c r="C3310" s="3" t="s">
        <v>4320</v>
      </c>
      <c r="D3310" s="78">
        <v>20</v>
      </c>
      <c r="E3310" s="1480"/>
    </row>
    <row r="3311" spans="1:5">
      <c r="A3311" s="769">
        <v>41327</v>
      </c>
      <c r="B3311" s="86" t="str">
        <f>TiposLancamentos!B60</f>
        <v>Correio</v>
      </c>
      <c r="C3311" s="3" t="s">
        <v>4321</v>
      </c>
      <c r="D3311" s="78"/>
      <c r="E3311" s="1480">
        <v>12.4</v>
      </c>
    </row>
    <row r="3312" spans="1:5">
      <c r="A3312" s="769">
        <v>41332</v>
      </c>
      <c r="B3312" s="86" t="str">
        <f>TiposLancamentos!B20</f>
        <v>Saques</v>
      </c>
      <c r="C3312" s="3"/>
      <c r="D3312" s="78">
        <v>30</v>
      </c>
      <c r="E3312" s="1480"/>
    </row>
    <row r="3313" spans="1:5">
      <c r="A3313" s="769">
        <v>41332</v>
      </c>
      <c r="B3313" s="86" t="str">
        <f>TiposLancamentos!B24</f>
        <v>Estacionamentos</v>
      </c>
      <c r="C3313" s="3" t="s">
        <v>4322</v>
      </c>
      <c r="D3313" s="78"/>
      <c r="E3313" s="1480">
        <v>10</v>
      </c>
    </row>
    <row r="3314" spans="1:5">
      <c r="A3314" s="769">
        <v>41334</v>
      </c>
      <c r="B3314" s="86" t="str">
        <f>TiposLancamentos!B24</f>
        <v>Estacionamentos</v>
      </c>
      <c r="C3314" s="3" t="s">
        <v>4323</v>
      </c>
      <c r="D3314" s="78"/>
      <c r="E3314" s="1480">
        <v>17</v>
      </c>
    </row>
    <row r="3315" spans="1:5">
      <c r="A3315" s="769">
        <v>41334</v>
      </c>
      <c r="B3315" s="86" t="str">
        <f>TiposLancamentos!B19</f>
        <v>Restaurantes</v>
      </c>
      <c r="C3315" s="3" t="s">
        <v>4323</v>
      </c>
      <c r="D3315" s="78"/>
      <c r="E3315" s="1480">
        <v>17.39</v>
      </c>
    </row>
    <row r="3316" spans="1:5">
      <c r="A3316" s="769">
        <v>41351</v>
      </c>
      <c r="B3316" s="86" t="str">
        <f>TiposLancamentos!B20</f>
        <v>Saques</v>
      </c>
      <c r="C3316" s="3" t="s">
        <v>1706</v>
      </c>
      <c r="D3316" s="78">
        <v>250</v>
      </c>
      <c r="E3316" s="1480"/>
    </row>
    <row r="3317" spans="1:5">
      <c r="A3317" s="769">
        <v>41351</v>
      </c>
      <c r="B3317" s="86" t="str">
        <f>TiposLancamentos!B87</f>
        <v>P207-1.6-XS</v>
      </c>
      <c r="C3317" s="3" t="s">
        <v>4324</v>
      </c>
      <c r="D3317" s="78"/>
      <c r="E3317" s="1480">
        <v>250</v>
      </c>
    </row>
    <row r="3318" spans="1:5">
      <c r="A3318" s="769">
        <v>41352</v>
      </c>
      <c r="B3318" s="86" t="str">
        <f>TiposLancamentos!B20</f>
        <v>Saques</v>
      </c>
      <c r="C3318" s="3" t="s">
        <v>4325</v>
      </c>
      <c r="D3318" s="78">
        <v>50</v>
      </c>
      <c r="E3318" s="1480"/>
    </row>
    <row r="3319" spans="1:5">
      <c r="A3319" s="769">
        <v>41361</v>
      </c>
      <c r="B3319" s="86" t="str">
        <f>TiposLancamentos!B20</f>
        <v>Saques</v>
      </c>
      <c r="C3319" s="3" t="s">
        <v>4325</v>
      </c>
      <c r="D3319" s="78">
        <v>50</v>
      </c>
      <c r="E3319" s="1480"/>
    </row>
    <row r="3320" spans="1:5">
      <c r="A3320" s="769">
        <v>41361</v>
      </c>
      <c r="B3320" s="86" t="str">
        <f>TiposLancamentos!B16</f>
        <v>Cristiane</v>
      </c>
      <c r="C3320" s="3" t="s">
        <v>4326</v>
      </c>
      <c r="D3320" s="78"/>
      <c r="E3320" s="1480">
        <v>80</v>
      </c>
    </row>
    <row r="3321" spans="1:5">
      <c r="A3321" s="769">
        <v>41365</v>
      </c>
      <c r="B3321" s="86" t="str">
        <f>TiposLancamentos!B24</f>
        <v>Estacionamentos</v>
      </c>
      <c r="C3321" s="3"/>
      <c r="D3321" s="78"/>
      <c r="E3321" s="1480">
        <v>14</v>
      </c>
    </row>
    <row r="3322" spans="1:5">
      <c r="A3322" s="769">
        <v>41365</v>
      </c>
      <c r="B3322" s="86" t="str">
        <f>TiposLancamentos!B18</f>
        <v>Alimentacao</v>
      </c>
      <c r="C3322" s="3"/>
      <c r="D3322" s="78"/>
      <c r="E3322" s="1480">
        <v>6</v>
      </c>
    </row>
    <row r="3323" spans="1:5">
      <c r="A3323" s="769">
        <v>41374</v>
      </c>
      <c r="B3323" s="86" t="str">
        <f>TiposLancamentos!B20</f>
        <v>Saques</v>
      </c>
      <c r="C3323" s="3" t="s">
        <v>4327</v>
      </c>
      <c r="D3323" s="78">
        <v>50</v>
      </c>
      <c r="E3323" s="1480"/>
    </row>
    <row r="3324" spans="1:5">
      <c r="A3324" s="769">
        <v>41374</v>
      </c>
      <c r="B3324" s="86" t="str">
        <f>TiposLancamentos!B16</f>
        <v>Cristiane</v>
      </c>
      <c r="C3324" s="3" t="s">
        <v>4328</v>
      </c>
      <c r="D3324" s="78"/>
      <c r="E3324" s="1480">
        <v>50</v>
      </c>
    </row>
    <row r="3325" spans="1:5">
      <c r="A3325" s="769">
        <v>41377</v>
      </c>
      <c r="B3325" s="86" t="str">
        <f>TiposLancamentos!B20</f>
        <v>Saques</v>
      </c>
      <c r="C3325" s="3"/>
      <c r="D3325" s="78">
        <v>50</v>
      </c>
      <c r="E3325" s="1480"/>
    </row>
    <row r="3326" spans="1:5">
      <c r="A3326" s="769">
        <v>41379</v>
      </c>
      <c r="B3326" s="86" t="str">
        <f>TiposLancamentos!B24</f>
        <v>Estacionamentos</v>
      </c>
      <c r="C3326" s="3" t="s">
        <v>4329</v>
      </c>
      <c r="D3326" s="78"/>
      <c r="E3326" s="1480">
        <v>5</v>
      </c>
    </row>
    <row r="3327" spans="1:5">
      <c r="A3327" s="769">
        <v>41380</v>
      </c>
      <c r="B3327" s="86" t="str">
        <f>TiposLancamentos!B18</f>
        <v>Alimentacao</v>
      </c>
      <c r="C3327" s="3" t="s">
        <v>3940</v>
      </c>
      <c r="D3327" s="78"/>
      <c r="E3327" s="1480">
        <f>8.2*2</f>
        <v>16.399999999999999</v>
      </c>
    </row>
    <row r="3328" spans="1:5">
      <c r="A3328" s="769">
        <v>41381</v>
      </c>
      <c r="B3328" s="86" t="str">
        <f>TiposLancamentos!B16</f>
        <v>Cristiane</v>
      </c>
      <c r="C3328" s="3" t="s">
        <v>4296</v>
      </c>
      <c r="D3328" s="78"/>
      <c r="E3328" s="1480">
        <v>21.6</v>
      </c>
    </row>
    <row r="3329" spans="1:5">
      <c r="A3329" s="769">
        <v>41381</v>
      </c>
      <c r="B3329" s="86" t="str">
        <f>TiposLancamentos!B18</f>
        <v>Alimentacao</v>
      </c>
      <c r="C3329" s="3" t="s">
        <v>4330</v>
      </c>
      <c r="D3329" s="78"/>
      <c r="E3329" s="1480">
        <v>5.6</v>
      </c>
    </row>
    <row r="3330" spans="1:5">
      <c r="A3330" s="769">
        <v>41393</v>
      </c>
      <c r="B3330" s="86" t="str">
        <f>TiposLancamentos!B20</f>
        <v>Saques</v>
      </c>
      <c r="C3330" s="3" t="s">
        <v>4331</v>
      </c>
      <c r="D3330" s="78">
        <v>20</v>
      </c>
      <c r="E3330" s="1480"/>
    </row>
    <row r="3331" spans="1:5">
      <c r="A3331" s="769">
        <v>41393</v>
      </c>
      <c r="B3331" s="86" t="str">
        <f>TiposLancamentos!B24</f>
        <v>Estacionamentos</v>
      </c>
      <c r="C3331" s="3" t="s">
        <v>4332</v>
      </c>
      <c r="D3331" s="78"/>
      <c r="E3331" s="1480">
        <v>8</v>
      </c>
    </row>
    <row r="3332" spans="1:5">
      <c r="A3332" s="769">
        <v>41416</v>
      </c>
      <c r="B3332" s="86" t="str">
        <f>TiposLancamentos!B20</f>
        <v>Saques</v>
      </c>
      <c r="C3332" s="3" t="s">
        <v>3604</v>
      </c>
      <c r="D3332" s="78">
        <v>290</v>
      </c>
      <c r="E3332" s="1480"/>
    </row>
    <row r="3333" spans="1:5">
      <c r="A3333" s="769">
        <v>41416</v>
      </c>
      <c r="B3333" s="86" t="str">
        <f>TiposLancamentos!B24</f>
        <v>Estacionamentos</v>
      </c>
      <c r="C3333" s="3" t="s">
        <v>4333</v>
      </c>
      <c r="D3333" s="78"/>
      <c r="E3333" s="1480">
        <v>7</v>
      </c>
    </row>
    <row r="3334" spans="1:5">
      <c r="A3334" s="769">
        <v>41417</v>
      </c>
      <c r="B3334" s="86" t="str">
        <f>TiposLancamentos!B18</f>
        <v>Alimentacao</v>
      </c>
      <c r="C3334" s="3" t="s">
        <v>2681</v>
      </c>
      <c r="D3334" s="78"/>
      <c r="E3334" s="1480">
        <v>2.2000000000000002</v>
      </c>
    </row>
    <row r="3335" spans="1:5">
      <c r="A3335" s="769">
        <v>41417</v>
      </c>
      <c r="B3335" s="86" t="str">
        <f>TiposLancamentos!B87</f>
        <v>P207-1.6-XS</v>
      </c>
      <c r="C3335" s="3" t="s">
        <v>4334</v>
      </c>
      <c r="D3335" s="78"/>
      <c r="E3335" s="1480">
        <v>120</v>
      </c>
    </row>
    <row r="3336" spans="1:5">
      <c r="A3336" s="769">
        <v>41417</v>
      </c>
      <c r="B3336" s="86" t="str">
        <f>TiposLancamentos!B20</f>
        <v>Saques</v>
      </c>
      <c r="C3336" s="3" t="s">
        <v>4335</v>
      </c>
      <c r="D3336" s="78">
        <v>80</v>
      </c>
      <c r="E3336" s="1480"/>
    </row>
    <row r="3337" spans="1:5">
      <c r="A3337" s="769">
        <v>41418</v>
      </c>
      <c r="B3337" s="86" t="str">
        <f>TiposLancamentos!B60</f>
        <v>Correio</v>
      </c>
      <c r="C3337" s="3" t="s">
        <v>4336</v>
      </c>
      <c r="D3337" s="78"/>
      <c r="E3337" s="1480">
        <v>156.4</v>
      </c>
    </row>
    <row r="3338" spans="1:5">
      <c r="A3338" s="769">
        <v>41418</v>
      </c>
      <c r="B3338" s="86" t="str">
        <f>TiposLancamentos!B60</f>
        <v>Correio</v>
      </c>
      <c r="C3338" s="3" t="s">
        <v>4337</v>
      </c>
      <c r="D3338" s="78"/>
      <c r="E3338" s="1480">
        <v>76.56</v>
      </c>
    </row>
    <row r="3339" spans="1:5">
      <c r="A3339" s="769">
        <v>41435</v>
      </c>
      <c r="B3339" s="86" t="str">
        <f>TiposLancamentos!B20</f>
        <v>Saques</v>
      </c>
      <c r="C3339" s="3" t="s">
        <v>4338</v>
      </c>
      <c r="D3339" s="78">
        <v>600</v>
      </c>
      <c r="E3339" s="1480"/>
    </row>
    <row r="3340" spans="1:5">
      <c r="A3340" s="769">
        <v>41436</v>
      </c>
      <c r="B3340" s="86" t="str">
        <f>TiposLancamentos!B16</f>
        <v>Cristiane</v>
      </c>
      <c r="C3340" s="3" t="s">
        <v>4339</v>
      </c>
      <c r="D3340" s="78"/>
      <c r="E3340" s="1480">
        <v>100</v>
      </c>
    </row>
    <row r="3341" spans="1:5">
      <c r="A3341" s="769">
        <v>41436</v>
      </c>
      <c r="B3341" s="86" t="str">
        <f>TiposLancamentos!B65</f>
        <v>Taxi</v>
      </c>
      <c r="C3341" s="3" t="s">
        <v>4340</v>
      </c>
      <c r="D3341" s="78"/>
      <c r="E3341" s="1480">
        <v>50</v>
      </c>
    </row>
    <row r="3342" spans="1:5">
      <c r="A3342" s="769">
        <v>41437</v>
      </c>
      <c r="B3342" s="86" t="str">
        <f>TiposLancamentos!B65</f>
        <v>Taxi</v>
      </c>
      <c r="C3342" s="3" t="s">
        <v>4341</v>
      </c>
      <c r="D3342" s="78"/>
      <c r="E3342" s="1480">
        <v>17</v>
      </c>
    </row>
    <row r="3343" spans="1:5">
      <c r="A3343" s="769">
        <v>41437</v>
      </c>
      <c r="B3343" s="86" t="str">
        <f>TiposLancamentos!B19</f>
        <v>Restaurantes</v>
      </c>
      <c r="C3343" s="3" t="s">
        <v>4342</v>
      </c>
      <c r="D3343" s="78"/>
      <c r="E3343" s="1480">
        <v>8</v>
      </c>
    </row>
    <row r="3344" spans="1:5">
      <c r="A3344" s="769">
        <v>41437</v>
      </c>
      <c r="B3344" s="86" t="str">
        <f>TiposLancamentos!B16</f>
        <v>Cristiane</v>
      </c>
      <c r="C3344" s="3" t="s">
        <v>4343</v>
      </c>
      <c r="D3344" s="78"/>
      <c r="E3344" s="1480">
        <v>32</v>
      </c>
    </row>
    <row r="3345" spans="1:5">
      <c r="A3345" s="769">
        <v>41437</v>
      </c>
      <c r="B3345" s="86" t="str">
        <f>TiposLancamentos!B16</f>
        <v>Cristiane</v>
      </c>
      <c r="C3345" s="3" t="s">
        <v>4344</v>
      </c>
      <c r="D3345" s="78"/>
      <c r="E3345" s="1480">
        <v>35</v>
      </c>
    </row>
    <row r="3346" spans="1:5">
      <c r="A3346" s="769">
        <v>41437</v>
      </c>
      <c r="B3346" s="86" t="str">
        <f>TiposLancamentos!B20</f>
        <v>Saques</v>
      </c>
      <c r="C3346" s="3" t="s">
        <v>4345</v>
      </c>
      <c r="D3346" s="78">
        <v>240</v>
      </c>
      <c r="E3346" s="1480"/>
    </row>
    <row r="3347" spans="1:5">
      <c r="A3347" s="769">
        <v>41438</v>
      </c>
      <c r="B3347" s="86" t="str">
        <f>TiposLancamentos!B64</f>
        <v>Viagens</v>
      </c>
      <c r="C3347" s="3" t="s">
        <v>4346</v>
      </c>
      <c r="D3347" s="78"/>
      <c r="E3347" s="1480">
        <v>85</v>
      </c>
    </row>
    <row r="3348" spans="1:5">
      <c r="A3348" s="769">
        <v>41439</v>
      </c>
      <c r="B3348" s="86" t="str">
        <f>TiposLancamentos!B64</f>
        <v>Viagens</v>
      </c>
      <c r="C3348" s="3" t="s">
        <v>4347</v>
      </c>
      <c r="D3348" s="78"/>
      <c r="E3348" s="1480">
        <v>215</v>
      </c>
    </row>
    <row r="3349" spans="1:5">
      <c r="A3349" s="769">
        <v>41439</v>
      </c>
      <c r="B3349" s="86" t="str">
        <f>TiposLancamentos!B19</f>
        <v>Restaurantes</v>
      </c>
      <c r="C3349" s="3" t="s">
        <v>4348</v>
      </c>
      <c r="D3349" s="78"/>
      <c r="E3349" s="1480">
        <v>10</v>
      </c>
    </row>
    <row r="3350" spans="1:5">
      <c r="A3350" s="769">
        <v>41439</v>
      </c>
      <c r="B3350" s="86" t="str">
        <f>TiposLancamentos!B58</f>
        <v>Fotografias</v>
      </c>
      <c r="C3350" s="3" t="s">
        <v>4349</v>
      </c>
      <c r="D3350" s="78"/>
      <c r="E3350" s="1480">
        <v>20</v>
      </c>
    </row>
    <row r="3351" spans="1:5">
      <c r="A3351" s="769">
        <v>41439</v>
      </c>
      <c r="B3351" s="86" t="str">
        <f>TiposLancamentos!B19</f>
        <v>Restaurantes</v>
      </c>
      <c r="C3351" s="3" t="s">
        <v>4350</v>
      </c>
      <c r="D3351" s="78"/>
      <c r="E3351" s="1480">
        <v>35</v>
      </c>
    </row>
    <row r="3352" spans="1:5">
      <c r="A3352" s="769">
        <v>41439</v>
      </c>
      <c r="B3352" s="86" t="str">
        <f>TiposLancamentos!B58</f>
        <v>Fotografias</v>
      </c>
      <c r="C3352" s="3" t="s">
        <v>4351</v>
      </c>
      <c r="D3352" s="78"/>
      <c r="E3352" s="1480">
        <v>10</v>
      </c>
    </row>
    <row r="3353" spans="1:5">
      <c r="A3353" s="769">
        <v>41440</v>
      </c>
      <c r="B3353" s="86" t="str">
        <f>TiposLancamentos!B64</f>
        <v>Viagens</v>
      </c>
      <c r="C3353" s="3" t="s">
        <v>4352</v>
      </c>
      <c r="D3353" s="78"/>
      <c r="E3353" s="1480">
        <v>120</v>
      </c>
    </row>
    <row r="3354" spans="1:5">
      <c r="A3354" s="769">
        <v>41440</v>
      </c>
      <c r="B3354" s="86" t="str">
        <f>TiposLancamentos!B71</f>
        <v>Itens Pessoais</v>
      </c>
      <c r="C3354" s="3" t="s">
        <v>4353</v>
      </c>
      <c r="D3354" s="78"/>
      <c r="E3354" s="1480">
        <v>20</v>
      </c>
    </row>
    <row r="3355" spans="1:5">
      <c r="A3355" s="769">
        <v>41440</v>
      </c>
      <c r="B3355" s="86" t="str">
        <f>TiposLancamentos!B64</f>
        <v>Viagens</v>
      </c>
      <c r="C3355" s="3" t="s">
        <v>4354</v>
      </c>
      <c r="D3355" s="78"/>
      <c r="E3355" s="1480">
        <v>20</v>
      </c>
    </row>
    <row r="3356" spans="1:5">
      <c r="A3356" s="769">
        <v>41440</v>
      </c>
      <c r="B3356" s="86" t="str">
        <f>TiposLancamentos!B19</f>
        <v>Restaurantes</v>
      </c>
      <c r="C3356" s="3" t="s">
        <v>4355</v>
      </c>
      <c r="D3356" s="78"/>
      <c r="E3356" s="1480">
        <v>10</v>
      </c>
    </row>
    <row r="3357" spans="1:5">
      <c r="A3357" s="769">
        <v>41440</v>
      </c>
      <c r="B3357" s="86" t="str">
        <f>TiposLancamentos!B20</f>
        <v>Saques</v>
      </c>
      <c r="C3357" s="3" t="s">
        <v>4335</v>
      </c>
      <c r="D3357" s="78">
        <v>500</v>
      </c>
      <c r="E3357" s="1480"/>
    </row>
    <row r="3358" spans="1:5">
      <c r="A3358" s="769">
        <v>41440</v>
      </c>
      <c r="B3358" s="86" t="str">
        <f>TiposLancamentos!B65</f>
        <v>Taxi</v>
      </c>
      <c r="C3358" s="3" t="s">
        <v>4356</v>
      </c>
      <c r="D3358" s="78"/>
      <c r="E3358" s="1480">
        <v>7</v>
      </c>
    </row>
    <row r="3359" spans="1:5">
      <c r="A3359" s="769">
        <v>41441</v>
      </c>
      <c r="B3359" s="86" t="str">
        <f>TiposLancamentos!B64</f>
        <v>Viagens</v>
      </c>
      <c r="C3359" s="3" t="s">
        <v>4357</v>
      </c>
      <c r="D3359" s="78"/>
      <c r="E3359" s="1480">
        <f>90+180</f>
        <v>270</v>
      </c>
    </row>
    <row r="3360" spans="1:5">
      <c r="A3360" s="769">
        <v>41441</v>
      </c>
      <c r="B3360" s="86" t="str">
        <f>TiposLancamentos!B19</f>
        <v>Restaurantes</v>
      </c>
      <c r="C3360" s="3" t="s">
        <v>4358</v>
      </c>
      <c r="D3360" s="78"/>
      <c r="E3360" s="1480">
        <v>37.5</v>
      </c>
    </row>
    <row r="3361" spans="1:5">
      <c r="A3361" s="769">
        <v>41442</v>
      </c>
      <c r="B3361" s="86" t="str">
        <f>TiposLancamentos!B72</f>
        <v>Presentes</v>
      </c>
      <c r="C3361" s="3" t="s">
        <v>4359</v>
      </c>
      <c r="D3361" s="78"/>
      <c r="E3361" s="1480">
        <v>30</v>
      </c>
    </row>
    <row r="3362" spans="1:5">
      <c r="A3362" s="769">
        <v>41442</v>
      </c>
      <c r="B3362" s="86" t="str">
        <f>TiposLancamentos!B19</f>
        <v>Restaurantes</v>
      </c>
      <c r="C3362" s="3" t="s">
        <v>4360</v>
      </c>
      <c r="D3362" s="78"/>
      <c r="E3362" s="1480">
        <v>35.340000000000003</v>
      </c>
    </row>
    <row r="3363" spans="1:5">
      <c r="A3363" s="769">
        <v>41443</v>
      </c>
      <c r="B3363" s="86" t="str">
        <f>TiposLancamentos!B18</f>
        <v>Alimentacao</v>
      </c>
      <c r="C3363" s="3" t="s">
        <v>4361</v>
      </c>
      <c r="D3363" s="78"/>
      <c r="E3363" s="1480">
        <v>6</v>
      </c>
    </row>
    <row r="3364" spans="1:5">
      <c r="A3364" s="769">
        <v>41443</v>
      </c>
      <c r="B3364" s="86" t="str">
        <f>TiposLancamentos!B72</f>
        <v>Presentes</v>
      </c>
      <c r="C3364" s="3" t="s">
        <v>4362</v>
      </c>
      <c r="D3364" s="78"/>
      <c r="E3364" s="1480">
        <v>40</v>
      </c>
    </row>
    <row r="3365" spans="1:5">
      <c r="A3365" s="769">
        <v>41443</v>
      </c>
      <c r="B3365" s="86" t="str">
        <f>TiposLancamentos!B20</f>
        <v>Saques</v>
      </c>
      <c r="C3365" s="3" t="s">
        <v>4363</v>
      </c>
      <c r="D3365" s="78">
        <v>20</v>
      </c>
      <c r="E3365" s="1480"/>
    </row>
    <row r="3366" spans="1:5">
      <c r="A3366" s="769">
        <v>41443</v>
      </c>
      <c r="B3366" s="86" t="str">
        <f>TiposLancamentos!B65</f>
        <v>Taxi</v>
      </c>
      <c r="C3366" s="3" t="s">
        <v>4364</v>
      </c>
      <c r="D3366" s="78"/>
      <c r="E3366" s="1480">
        <v>8</v>
      </c>
    </row>
    <row r="3367" spans="1:5">
      <c r="A3367" s="769">
        <v>41443</v>
      </c>
      <c r="B3367" s="86" t="str">
        <f>TiposLancamentos!B65</f>
        <v>Taxi</v>
      </c>
      <c r="C3367" s="3" t="s">
        <v>4365</v>
      </c>
      <c r="D3367" s="78"/>
      <c r="E3367" s="1480">
        <v>50</v>
      </c>
    </row>
    <row r="3368" spans="1:5">
      <c r="A3368" s="769">
        <v>41445</v>
      </c>
      <c r="B3368" s="86" t="str">
        <f>TiposLancamentos!B55</f>
        <v>Onibus Urbano</v>
      </c>
      <c r="C3368" s="3" t="s">
        <v>4366</v>
      </c>
      <c r="D3368" s="78"/>
      <c r="E3368" s="1480">
        <v>6.8</v>
      </c>
    </row>
    <row r="3369" spans="1:5">
      <c r="A3369" s="769">
        <v>41445</v>
      </c>
      <c r="B3369" s="86" t="str">
        <f>TiposLancamentos!B60</f>
        <v>Correio</v>
      </c>
      <c r="C3369" s="3" t="s">
        <v>4367</v>
      </c>
      <c r="D3369" s="78"/>
      <c r="E3369" s="1480">
        <v>103.6</v>
      </c>
    </row>
    <row r="3370" spans="1:5">
      <c r="A3370" s="769">
        <v>41447</v>
      </c>
      <c r="B3370" s="86" t="str">
        <f>TiposLancamentos!B20</f>
        <v>Saques</v>
      </c>
      <c r="C3370" s="3" t="s">
        <v>4368</v>
      </c>
      <c r="D3370" s="78">
        <v>70</v>
      </c>
      <c r="E3370" s="1480"/>
    </row>
    <row r="3371" spans="1:5">
      <c r="A3371" s="769">
        <v>41447</v>
      </c>
      <c r="B3371" s="86" t="str">
        <f>TiposLancamentos!B72</f>
        <v>Presentes</v>
      </c>
      <c r="C3371" s="3" t="s">
        <v>4369</v>
      </c>
      <c r="D3371" s="78"/>
      <c r="E3371" s="1480">
        <v>5</v>
      </c>
    </row>
    <row r="3372" spans="1:5">
      <c r="A3372" s="769">
        <v>41449</v>
      </c>
      <c r="B3372" s="86" t="str">
        <f>TiposLancamentos!B24</f>
        <v>Estacionamentos</v>
      </c>
      <c r="C3372" s="3" t="s">
        <v>4370</v>
      </c>
      <c r="D3372" s="78"/>
      <c r="E3372" s="1480"/>
    </row>
    <row r="3373" spans="1:5">
      <c r="A3373" s="769">
        <v>41452</v>
      </c>
      <c r="B3373" s="86" t="str">
        <f>TiposLancamentos!B71</f>
        <v>Itens Pessoais</v>
      </c>
      <c r="C3373" s="3" t="s">
        <v>4371</v>
      </c>
      <c r="D3373" s="78"/>
      <c r="E3373" s="1480">
        <v>15</v>
      </c>
    </row>
    <row r="3374" spans="1:5">
      <c r="A3374" s="769">
        <v>41452</v>
      </c>
      <c r="B3374" s="86" t="str">
        <f>TiposLancamentos!B54</f>
        <v>Metro</v>
      </c>
      <c r="C3374" s="3" t="s">
        <v>4372</v>
      </c>
      <c r="D3374" s="78"/>
      <c r="E3374" s="1480">
        <v>18</v>
      </c>
    </row>
    <row r="3375" spans="1:5">
      <c r="A3375" s="769">
        <v>41452</v>
      </c>
      <c r="B3375" s="86" t="str">
        <f>TiposLancamentos!B18</f>
        <v>Alimentacao</v>
      </c>
      <c r="C3375" s="3" t="s">
        <v>4373</v>
      </c>
      <c r="D3375" s="78"/>
      <c r="E3375" s="1480">
        <v>3</v>
      </c>
    </row>
    <row r="3376" spans="1:5">
      <c r="A3376" s="769">
        <v>41456</v>
      </c>
      <c r="B3376" s="86" t="str">
        <f>TiposLancamentos!B20</f>
        <v>Saques</v>
      </c>
      <c r="C3376" s="3" t="s">
        <v>1706</v>
      </c>
      <c r="D3376" s="78">
        <v>150</v>
      </c>
      <c r="E3376" s="1480"/>
    </row>
    <row r="3377" spans="1:5">
      <c r="A3377" s="769">
        <v>41457</v>
      </c>
      <c r="B3377" s="86" t="str">
        <f>TiposLancamentos!B16</f>
        <v>Cristiane</v>
      </c>
      <c r="C3377" s="3" t="s">
        <v>3100</v>
      </c>
      <c r="D3377" s="78"/>
      <c r="E3377" s="1480">
        <v>150</v>
      </c>
    </row>
    <row r="3378" spans="1:5">
      <c r="A3378" s="769">
        <v>41466</v>
      </c>
      <c r="B3378" s="86" t="str">
        <f>TiposLancamentos!B20</f>
        <v>Saques</v>
      </c>
      <c r="C3378" s="3" t="s">
        <v>3604</v>
      </c>
      <c r="D3378" s="78">
        <v>40</v>
      </c>
      <c r="E3378" s="1480"/>
    </row>
    <row r="3379" spans="1:5">
      <c r="A3379" s="769">
        <v>41466</v>
      </c>
      <c r="B3379" s="86" t="str">
        <f>TiposLancamentos!B32</f>
        <v>Clinicas e tratamentos</v>
      </c>
      <c r="C3379" s="3" t="s">
        <v>4374</v>
      </c>
      <c r="D3379" s="78"/>
      <c r="E3379" s="1480">
        <v>22</v>
      </c>
    </row>
    <row r="3380" spans="1:5">
      <c r="A3380" s="769">
        <v>41468</v>
      </c>
      <c r="B3380" s="86" t="str">
        <f>TiposLancamentos!B20</f>
        <v>Saques</v>
      </c>
      <c r="C3380" s="3" t="s">
        <v>1706</v>
      </c>
      <c r="D3380" s="78">
        <v>100</v>
      </c>
      <c r="E3380" s="1480"/>
    </row>
    <row r="3381" spans="1:5">
      <c r="A3381" s="769">
        <v>41468</v>
      </c>
      <c r="B3381" s="86" t="str">
        <f>TiposLancamentos!B32</f>
        <v>Clinicas e tratamentos</v>
      </c>
      <c r="C3381" s="3" t="s">
        <v>4375</v>
      </c>
      <c r="D3381" s="78"/>
      <c r="E3381" s="1480">
        <v>82</v>
      </c>
    </row>
    <row r="3382" spans="1:5">
      <c r="A3382" s="769">
        <v>41468</v>
      </c>
      <c r="B3382" s="86" t="str">
        <f>TiposLancamentos!B18</f>
        <v>Alimentacao</v>
      </c>
      <c r="C3382" s="3" t="s">
        <v>4376</v>
      </c>
      <c r="D3382" s="78"/>
      <c r="E3382" s="1480">
        <v>4</v>
      </c>
    </row>
    <row r="3383" spans="1:5">
      <c r="A3383" s="769">
        <v>41472</v>
      </c>
      <c r="B3383" s="86" t="str">
        <f>TiposLancamentos!B20</f>
        <v>Saques</v>
      </c>
      <c r="C3383" s="3" t="s">
        <v>4377</v>
      </c>
      <c r="D3383" s="78">
        <v>40</v>
      </c>
      <c r="E3383" s="1480"/>
    </row>
    <row r="3384" spans="1:5">
      <c r="A3384" s="769">
        <v>41472</v>
      </c>
      <c r="B3384" s="86" t="str">
        <f>TiposLancamentos!B60</f>
        <v>Correio</v>
      </c>
      <c r="C3384" s="3" t="s">
        <v>4378</v>
      </c>
      <c r="D3384" s="78"/>
      <c r="E3384" s="1480">
        <v>39.35</v>
      </c>
    </row>
    <row r="3385" spans="1:5">
      <c r="A3385" s="769">
        <v>41472</v>
      </c>
      <c r="B3385" s="86" t="str">
        <f>TiposLancamentos!B24</f>
        <v>Estacionamentos</v>
      </c>
      <c r="C3385" s="3" t="s">
        <v>3398</v>
      </c>
      <c r="D3385" s="78"/>
      <c r="E3385" s="1480">
        <v>6</v>
      </c>
    </row>
    <row r="3386" spans="1:5">
      <c r="A3386" s="769">
        <v>41473</v>
      </c>
      <c r="B3386" s="86" t="str">
        <f>TiposLancamentos!B24</f>
        <v>Estacionamentos</v>
      </c>
      <c r="C3386" s="3" t="s">
        <v>4379</v>
      </c>
      <c r="D3386" s="78"/>
      <c r="E3386" s="1480">
        <v>3</v>
      </c>
    </row>
    <row r="3387" spans="1:5">
      <c r="A3387" s="769">
        <v>41474</v>
      </c>
      <c r="B3387" s="86" t="str">
        <f>TiposLancamentos!B24</f>
        <v>Estacionamentos</v>
      </c>
      <c r="C3387" s="3" t="s">
        <v>4380</v>
      </c>
      <c r="D3387" s="78"/>
      <c r="E3387" s="1480">
        <v>3</v>
      </c>
    </row>
    <row r="3388" spans="1:5">
      <c r="A3388" s="769">
        <v>41474</v>
      </c>
      <c r="B3388" s="86" t="str">
        <f>TiposLancamentos!B18</f>
        <v>Alimentacao</v>
      </c>
      <c r="C3388" s="3" t="s">
        <v>4361</v>
      </c>
      <c r="D3388" s="78"/>
      <c r="E3388" s="1480">
        <v>10</v>
      </c>
    </row>
    <row r="3389" spans="1:5">
      <c r="A3389" s="769">
        <v>41478</v>
      </c>
      <c r="B3389" s="86" t="str">
        <f>TiposLancamentos!B65</f>
        <v>Taxi</v>
      </c>
      <c r="C3389" s="3" t="s">
        <v>4381</v>
      </c>
      <c r="D3389" s="78"/>
      <c r="E3389" s="1480">
        <v>20</v>
      </c>
    </row>
    <row r="3390" spans="1:5">
      <c r="A3390" s="769">
        <v>41481</v>
      </c>
      <c r="B3390" s="86" t="str">
        <f>TiposLancamentos!B16</f>
        <v>Cristiane</v>
      </c>
      <c r="C3390" s="3" t="s">
        <v>3100</v>
      </c>
      <c r="D3390" s="78"/>
      <c r="E3390" s="1480">
        <v>19.649999999999999</v>
      </c>
    </row>
    <row r="3391" spans="1:5">
      <c r="A3391" s="769">
        <v>41486</v>
      </c>
      <c r="B3391" s="86" t="str">
        <f>TiposLancamentos!B20</f>
        <v>Saques</v>
      </c>
      <c r="C3391" s="3" t="s">
        <v>3604</v>
      </c>
      <c r="D3391" s="78">
        <v>60</v>
      </c>
      <c r="E3391" s="1480"/>
    </row>
    <row r="3392" spans="1:5">
      <c r="A3392" s="769">
        <v>41486</v>
      </c>
      <c r="B3392" s="86" t="str">
        <f>TiposLancamentos!B60</f>
        <v>Correio</v>
      </c>
      <c r="C3392" s="3" t="s">
        <v>4382</v>
      </c>
      <c r="D3392" s="78"/>
      <c r="E3392" s="1480">
        <v>38.15</v>
      </c>
    </row>
    <row r="3393" spans="1:5">
      <c r="A3393" s="769">
        <v>41486</v>
      </c>
      <c r="B3393" s="86" t="str">
        <f>TiposLancamentos!B24</f>
        <v>Estacionamentos</v>
      </c>
      <c r="C3393" s="3" t="s">
        <v>3398</v>
      </c>
      <c r="D3393" s="78"/>
      <c r="E3393" s="1480">
        <v>6</v>
      </c>
    </row>
    <row r="3394" spans="1:5">
      <c r="A3394" s="769">
        <v>41487</v>
      </c>
      <c r="B3394" s="86" t="str">
        <f>TiposLancamentos!B24</f>
        <v>Estacionamentos</v>
      </c>
      <c r="C3394" s="3" t="s">
        <v>4383</v>
      </c>
      <c r="D3394" s="78"/>
      <c r="E3394" s="1480">
        <v>10</v>
      </c>
    </row>
    <row r="3395" spans="1:5">
      <c r="A3395" s="769">
        <v>41489</v>
      </c>
      <c r="B3395" s="86" t="str">
        <f>TiposLancamentos!B20</f>
        <v>Saques</v>
      </c>
      <c r="C3395" s="3" t="s">
        <v>4384</v>
      </c>
      <c r="D3395" s="78">
        <v>40</v>
      </c>
      <c r="E3395" s="1480"/>
    </row>
    <row r="3396" spans="1:5">
      <c r="A3396" s="769">
        <v>41489</v>
      </c>
      <c r="B3396" s="86" t="str">
        <f>TiposLancamentos!B88</f>
        <v>Ford Ecosport XLT</v>
      </c>
      <c r="C3396" s="3" t="s">
        <v>4385</v>
      </c>
      <c r="D3396" s="78"/>
      <c r="E3396" s="1480">
        <v>13</v>
      </c>
    </row>
    <row r="3397" spans="1:5">
      <c r="A3397" s="769">
        <v>41493</v>
      </c>
      <c r="B3397" s="86" t="str">
        <f>TiposLancamentos!B87</f>
        <v>P207-1.6-XS</v>
      </c>
      <c r="C3397" s="3" t="s">
        <v>4386</v>
      </c>
      <c r="D3397" s="78"/>
      <c r="E3397" s="1480">
        <v>27</v>
      </c>
    </row>
    <row r="3398" spans="1:5">
      <c r="A3398" s="769">
        <v>41493</v>
      </c>
      <c r="B3398" s="86" t="str">
        <f>TiposLancamentos!B24</f>
        <v>Estacionamentos</v>
      </c>
      <c r="C3398" s="3" t="s">
        <v>4383</v>
      </c>
      <c r="D3398" s="78"/>
      <c r="E3398" s="1480">
        <v>5</v>
      </c>
    </row>
    <row r="3399" spans="1:5">
      <c r="A3399" s="769">
        <v>41495</v>
      </c>
      <c r="B3399" s="86" t="str">
        <f>TiposLancamentos!B20</f>
        <v>Saques</v>
      </c>
      <c r="C3399" s="3" t="s">
        <v>4325</v>
      </c>
      <c r="D3399" s="78">
        <v>40</v>
      </c>
      <c r="E3399" s="1480"/>
    </row>
    <row r="3400" spans="1:5">
      <c r="A3400" s="769">
        <v>41495</v>
      </c>
      <c r="B3400" s="86" t="str">
        <f>TiposLancamentos!B88</f>
        <v>Ford Ecosport XLT</v>
      </c>
      <c r="C3400" s="3" t="s">
        <v>4387</v>
      </c>
      <c r="D3400" s="78"/>
      <c r="E3400" s="1480">
        <v>40</v>
      </c>
    </row>
    <row r="3401" spans="1:5">
      <c r="A3401" s="769">
        <v>41498</v>
      </c>
      <c r="B3401" s="86" t="str">
        <f>TiposLancamentos!B20</f>
        <v>Saques</v>
      </c>
      <c r="C3401" s="3" t="s">
        <v>4328</v>
      </c>
      <c r="D3401" s="78">
        <v>30</v>
      </c>
      <c r="E3401" s="1480"/>
    </row>
    <row r="3402" spans="1:5">
      <c r="A3402" s="769">
        <v>41498</v>
      </c>
      <c r="B3402" s="86" t="str">
        <f>TiposLancamentos!B77</f>
        <v>Esporádico</v>
      </c>
      <c r="C3402" s="3" t="s">
        <v>4388</v>
      </c>
      <c r="D3402" s="78"/>
      <c r="E3402" s="1480">
        <v>10</v>
      </c>
    </row>
    <row r="3403" spans="1:5">
      <c r="A3403" s="769">
        <v>41499</v>
      </c>
      <c r="B3403" s="86" t="str">
        <f>TiposLancamentos!B24</f>
        <v>Estacionamentos</v>
      </c>
      <c r="C3403" s="3" t="s">
        <v>4389</v>
      </c>
      <c r="D3403" s="78"/>
      <c r="E3403" s="1480">
        <v>6</v>
      </c>
    </row>
    <row r="3404" spans="1:5">
      <c r="A3404" s="769">
        <v>41500</v>
      </c>
      <c r="B3404" s="86" t="str">
        <f>TiposLancamentos!B24</f>
        <v>Estacionamentos</v>
      </c>
      <c r="C3404" s="3" t="s">
        <v>4389</v>
      </c>
      <c r="D3404" s="78"/>
      <c r="E3404" s="1480">
        <v>2</v>
      </c>
    </row>
    <row r="3405" spans="1:5">
      <c r="A3405" s="769">
        <v>41500</v>
      </c>
      <c r="B3405" s="86" t="str">
        <f>TiposLancamentos!B24</f>
        <v>Estacionamentos</v>
      </c>
      <c r="C3405" s="3" t="s">
        <v>4370</v>
      </c>
      <c r="D3405" s="78"/>
      <c r="E3405" s="1480">
        <v>7</v>
      </c>
    </row>
    <row r="3406" spans="1:5">
      <c r="A3406" s="884">
        <v>41503</v>
      </c>
      <c r="B3406" s="138" t="str">
        <f>TiposLancamentos!B24</f>
        <v>Estacionamentos</v>
      </c>
      <c r="C3406" s="3" t="s">
        <v>4390</v>
      </c>
      <c r="D3406" s="1197"/>
      <c r="E3406" s="1480">
        <v>4</v>
      </c>
    </row>
    <row r="3407" spans="1:5">
      <c r="A3407" s="769">
        <v>41507</v>
      </c>
      <c r="B3407" s="86" t="str">
        <f>TiposLancamentos!B20</f>
        <v>Saques</v>
      </c>
      <c r="C3407" s="3" t="s">
        <v>4391</v>
      </c>
      <c r="D3407" s="78">
        <v>30</v>
      </c>
      <c r="E3407" s="1480"/>
    </row>
    <row r="3408" spans="1:5">
      <c r="A3408" s="769">
        <v>41507</v>
      </c>
      <c r="B3408" s="86" t="str">
        <f>TiposLancamentos!B16</f>
        <v>Cristiane</v>
      </c>
      <c r="C3408" s="3" t="s">
        <v>3100</v>
      </c>
      <c r="D3408" s="78"/>
      <c r="E3408" s="1480">
        <v>20</v>
      </c>
    </row>
    <row r="3409" spans="1:5">
      <c r="A3409" s="769">
        <v>41507</v>
      </c>
      <c r="B3409" s="86" t="str">
        <f>TiposLancamentos!B24</f>
        <v>Estacionamentos</v>
      </c>
      <c r="C3409" s="3" t="s">
        <v>4322</v>
      </c>
      <c r="D3409" s="78"/>
      <c r="E3409" s="1480">
        <v>7</v>
      </c>
    </row>
    <row r="3410" spans="1:5">
      <c r="A3410" s="769">
        <v>41507</v>
      </c>
      <c r="B3410" s="86" t="str">
        <f>TiposLancamentos!B18</f>
        <v>Alimentacao</v>
      </c>
      <c r="C3410" s="3" t="s">
        <v>4392</v>
      </c>
      <c r="D3410" s="78"/>
      <c r="E3410" s="1480">
        <v>2.2000000000000002</v>
      </c>
    </row>
    <row r="3411" spans="1:5">
      <c r="A3411" s="769">
        <v>41514</v>
      </c>
      <c r="B3411" s="86" t="str">
        <f>TiposLancamentos!B20</f>
        <v>Saques</v>
      </c>
      <c r="C3411" s="3" t="s">
        <v>4325</v>
      </c>
      <c r="D3411" s="78">
        <v>40</v>
      </c>
      <c r="E3411" s="1480"/>
    </row>
    <row r="3412" spans="1:5">
      <c r="A3412" s="769">
        <v>41515</v>
      </c>
      <c r="B3412" s="86" t="str">
        <f>TiposLancamentos!B18</f>
        <v>Alimentacao</v>
      </c>
      <c r="C3412" s="3" t="s">
        <v>4327</v>
      </c>
      <c r="D3412" s="78"/>
      <c r="E3412" s="1480">
        <v>20</v>
      </c>
    </row>
    <row r="3413" spans="1:5">
      <c r="A3413" s="769">
        <v>41516</v>
      </c>
      <c r="B3413" s="86" t="str">
        <f>TiposLancamentos!B72</f>
        <v>Presentes</v>
      </c>
      <c r="C3413" s="3" t="s">
        <v>4393</v>
      </c>
      <c r="D3413" s="78"/>
      <c r="E3413" s="1480">
        <v>20</v>
      </c>
    </row>
    <row r="3414" spans="1:5">
      <c r="A3414" s="769">
        <v>41526</v>
      </c>
      <c r="B3414" s="86" t="str">
        <f>TiposLancamentos!B20</f>
        <v>Saques</v>
      </c>
      <c r="C3414" s="3" t="s">
        <v>4328</v>
      </c>
      <c r="D3414" s="78">
        <v>40</v>
      </c>
      <c r="E3414" s="1480"/>
    </row>
    <row r="3415" spans="1:5">
      <c r="A3415" s="769">
        <v>41531</v>
      </c>
      <c r="B3415" s="86" t="str">
        <f>TiposLancamentos!B18</f>
        <v>Alimentacao</v>
      </c>
      <c r="C3415" s="3" t="s">
        <v>4394</v>
      </c>
      <c r="D3415" s="78"/>
      <c r="E3415" s="1480">
        <v>29</v>
      </c>
    </row>
    <row r="3416" spans="1:5">
      <c r="A3416" s="769">
        <v>41532</v>
      </c>
      <c r="B3416" s="86" t="str">
        <f>TiposLancamentos!B24</f>
        <v>Estacionamentos</v>
      </c>
      <c r="C3416" s="3" t="s">
        <v>4395</v>
      </c>
      <c r="D3416" s="78"/>
      <c r="E3416" s="1480">
        <v>13</v>
      </c>
    </row>
    <row r="3417" spans="1:5">
      <c r="A3417" s="769">
        <v>41532</v>
      </c>
      <c r="B3417" s="86" t="str">
        <f>TiposLancamentos!B20</f>
        <v>Saques</v>
      </c>
      <c r="C3417" s="3" t="s">
        <v>4325</v>
      </c>
      <c r="D3417" s="78">
        <v>50</v>
      </c>
      <c r="E3417" s="1480"/>
    </row>
    <row r="3418" spans="1:5">
      <c r="A3418" s="769">
        <v>41532</v>
      </c>
      <c r="B3418" s="86" t="str">
        <f>TiposLancamentos!B18</f>
        <v>Alimentacao</v>
      </c>
      <c r="C3418" s="3" t="s">
        <v>4396</v>
      </c>
      <c r="D3418" s="78"/>
      <c r="E3418" s="1480">
        <v>50</v>
      </c>
    </row>
    <row r="3419" spans="1:5">
      <c r="A3419" s="769">
        <v>41539</v>
      </c>
      <c r="B3419" s="86" t="str">
        <f>TiposLancamentos!B20</f>
        <v>Saques</v>
      </c>
      <c r="C3419" s="3" t="s">
        <v>4325</v>
      </c>
      <c r="D3419" s="78">
        <v>30</v>
      </c>
      <c r="E3419" s="1480"/>
    </row>
    <row r="3420" spans="1:5">
      <c r="A3420" s="769">
        <v>41539</v>
      </c>
      <c r="B3420" s="86" t="str">
        <f>TiposLancamentos!B16</f>
        <v>Cristiane</v>
      </c>
      <c r="C3420" s="3" t="s">
        <v>4397</v>
      </c>
      <c r="D3420" s="78">
        <v>10</v>
      </c>
      <c r="E3420" s="1480"/>
    </row>
    <row r="3421" spans="1:5">
      <c r="A3421" s="769">
        <v>41539</v>
      </c>
      <c r="B3421" s="86" t="str">
        <f>TiposLancamentos!B71</f>
        <v>Itens Pessoais</v>
      </c>
      <c r="C3421" s="3" t="s">
        <v>4398</v>
      </c>
      <c r="D3421" s="78"/>
      <c r="E3421" s="1480">
        <v>15</v>
      </c>
    </row>
    <row r="3422" spans="1:5">
      <c r="A3422" s="769">
        <v>41539</v>
      </c>
      <c r="B3422" s="86" t="str">
        <f>TiposLancamentos!B24</f>
        <v>Estacionamentos</v>
      </c>
      <c r="C3422" s="3" t="s">
        <v>4399</v>
      </c>
      <c r="D3422" s="78"/>
      <c r="E3422" s="1480">
        <v>13</v>
      </c>
    </row>
    <row r="3423" spans="1:5">
      <c r="A3423" s="769">
        <v>41543</v>
      </c>
      <c r="B3423" s="86" t="str">
        <f>TiposLancamentos!B24</f>
        <v>Estacionamentos</v>
      </c>
      <c r="C3423" s="3" t="s">
        <v>4400</v>
      </c>
      <c r="D3423" s="78"/>
      <c r="E3423" s="1480">
        <v>6</v>
      </c>
    </row>
    <row r="3424" spans="1:5">
      <c r="A3424" s="769">
        <v>41544</v>
      </c>
      <c r="B3424" s="86" t="str">
        <f>TiposLancamentos!B20</f>
        <v>Saques</v>
      </c>
      <c r="C3424" s="3" t="s">
        <v>4325</v>
      </c>
      <c r="D3424" s="78">
        <v>40</v>
      </c>
      <c r="E3424" s="1480"/>
    </row>
    <row r="3425" spans="1:5">
      <c r="A3425" s="769">
        <v>41544</v>
      </c>
      <c r="B3425" s="86" t="str">
        <f>TiposLancamentos!B24</f>
        <v>Estacionamentos</v>
      </c>
      <c r="C3425" s="3" t="s">
        <v>4401</v>
      </c>
      <c r="D3425" s="78"/>
      <c r="E3425" s="1480">
        <v>6</v>
      </c>
    </row>
    <row r="3426" spans="1:5">
      <c r="A3426" s="769">
        <v>41554</v>
      </c>
      <c r="B3426" s="86" t="str">
        <f>TiposLancamentos!B24</f>
        <v>Estacionamentos</v>
      </c>
      <c r="C3426" s="3" t="s">
        <v>4370</v>
      </c>
      <c r="D3426" s="78"/>
      <c r="E3426" s="1480">
        <v>7</v>
      </c>
    </row>
    <row r="3427" spans="1:5">
      <c r="A3427" s="769">
        <v>41554</v>
      </c>
      <c r="B3427" s="86" t="str">
        <f>TiposLancamentos!B18</f>
        <v>Alimentacao</v>
      </c>
      <c r="C3427" s="3" t="s">
        <v>4402</v>
      </c>
      <c r="D3427" s="78"/>
      <c r="E3427" s="1480">
        <v>4.5</v>
      </c>
    </row>
    <row r="3428" spans="1:5">
      <c r="A3428" s="769">
        <v>41558</v>
      </c>
      <c r="B3428" s="86" t="str">
        <f>TiposLancamentos!B20</f>
        <v>Saques</v>
      </c>
      <c r="C3428" s="3" t="s">
        <v>4325</v>
      </c>
      <c r="D3428" s="78">
        <v>120</v>
      </c>
      <c r="E3428" s="1480"/>
    </row>
    <row r="3429" spans="1:5">
      <c r="A3429" s="769">
        <v>41558</v>
      </c>
      <c r="B3429" s="86" t="str">
        <f>TiposLancamentos!B55</f>
        <v>Onibus Urbano</v>
      </c>
      <c r="C3429" s="3" t="s">
        <v>4403</v>
      </c>
      <c r="D3429" s="78"/>
      <c r="E3429" s="1480">
        <v>58</v>
      </c>
    </row>
    <row r="3430" spans="1:5">
      <c r="A3430" s="769">
        <v>41558</v>
      </c>
      <c r="B3430" s="86" t="str">
        <f>TiposLancamentos!B74</f>
        <v>Noite</v>
      </c>
      <c r="C3430" s="3" t="s">
        <v>4404</v>
      </c>
      <c r="D3430" s="78"/>
      <c r="E3430" s="1480">
        <f>10+16</f>
        <v>26</v>
      </c>
    </row>
    <row r="3431" spans="1:5">
      <c r="A3431" s="769">
        <v>41558</v>
      </c>
      <c r="B3431" s="86" t="str">
        <f>TiposLancamentos!B18</f>
        <v>Alimentacao</v>
      </c>
      <c r="C3431" s="3" t="s">
        <v>4405</v>
      </c>
      <c r="D3431" s="78"/>
      <c r="E3431" s="1480">
        <v>3</v>
      </c>
    </row>
    <row r="3432" spans="1:5">
      <c r="A3432" s="769">
        <v>41558</v>
      </c>
      <c r="B3432" s="86" t="str">
        <f>TiposLancamentos!B65</f>
        <v>Taxi</v>
      </c>
      <c r="C3432" s="3" t="s">
        <v>4406</v>
      </c>
      <c r="D3432" s="78"/>
      <c r="E3432" s="1480">
        <v>12</v>
      </c>
    </row>
    <row r="3433" spans="1:5">
      <c r="A3433" s="769">
        <v>41558</v>
      </c>
      <c r="B3433" s="86" t="str">
        <f>TiposLancamentos!B65</f>
        <v>Taxi</v>
      </c>
      <c r="C3433" s="3" t="s">
        <v>4407</v>
      </c>
      <c r="D3433" s="78"/>
      <c r="E3433" s="1480">
        <v>12</v>
      </c>
    </row>
    <row r="3434" spans="1:5">
      <c r="A3434" s="769">
        <v>41561</v>
      </c>
      <c r="B3434" s="86" t="str">
        <f>TiposLancamentos!B20</f>
        <v>Saques</v>
      </c>
      <c r="C3434" s="3" t="s">
        <v>4368</v>
      </c>
      <c r="D3434" s="78">
        <v>40</v>
      </c>
      <c r="E3434" s="1480"/>
    </row>
    <row r="3435" spans="1:5">
      <c r="A3435" s="769">
        <v>41561</v>
      </c>
      <c r="B3435" s="86" t="str">
        <f>TiposLancamentos!B59</f>
        <v>Documentos</v>
      </c>
      <c r="C3435" s="3" t="s">
        <v>4408</v>
      </c>
      <c r="D3435" s="78"/>
      <c r="E3435" s="1480">
        <v>26</v>
      </c>
    </row>
    <row r="3436" spans="1:5">
      <c r="A3436" s="769">
        <v>41561</v>
      </c>
      <c r="B3436" s="86" t="str">
        <f>TiposLancamentos!B24</f>
        <v>Estacionamentos</v>
      </c>
      <c r="C3436" s="3" t="s">
        <v>4409</v>
      </c>
      <c r="D3436" s="78"/>
      <c r="E3436" s="1480">
        <v>6</v>
      </c>
    </row>
    <row r="3437" spans="1:5">
      <c r="A3437" s="769">
        <v>41561</v>
      </c>
      <c r="B3437" s="86" t="str">
        <f>TiposLancamentos!B24</f>
        <v>Estacionamentos</v>
      </c>
      <c r="C3437" s="3" t="s">
        <v>3398</v>
      </c>
      <c r="D3437" s="78"/>
      <c r="E3437" s="1480">
        <v>6</v>
      </c>
    </row>
    <row r="3438" spans="1:5">
      <c r="A3438" s="769">
        <v>41561</v>
      </c>
      <c r="B3438" s="86" t="str">
        <f>TiposLancamentos!B87</f>
        <v>P207-1.6-XS</v>
      </c>
      <c r="C3438" s="3" t="s">
        <v>4410</v>
      </c>
      <c r="D3438" s="78"/>
      <c r="E3438" s="1480">
        <v>5</v>
      </c>
    </row>
    <row r="3439" spans="1:5">
      <c r="A3439" s="769">
        <v>41562</v>
      </c>
      <c r="B3439" s="86" t="str">
        <f>TiposLancamentos!B20</f>
        <v>Saques</v>
      </c>
      <c r="C3439" s="3" t="s">
        <v>3604</v>
      </c>
      <c r="D3439" s="78">
        <v>20</v>
      </c>
      <c r="E3439" s="1480"/>
    </row>
    <row r="3440" spans="1:5">
      <c r="A3440" s="769">
        <v>41562</v>
      </c>
      <c r="B3440" s="86" t="str">
        <f>TiposLancamentos!B24</f>
        <v>Estacionamentos</v>
      </c>
      <c r="C3440" s="3" t="s">
        <v>4411</v>
      </c>
      <c r="D3440" s="78"/>
      <c r="E3440" s="1480">
        <v>6</v>
      </c>
    </row>
    <row r="3441" spans="1:5">
      <c r="A3441" s="769">
        <v>41562</v>
      </c>
      <c r="B3441" s="86" t="str">
        <f>TiposLancamentos!B19</f>
        <v>Restaurantes</v>
      </c>
      <c r="C3441" s="3" t="s">
        <v>4412</v>
      </c>
      <c r="D3441" s="78"/>
      <c r="E3441" s="1480">
        <v>6.5</v>
      </c>
    </row>
    <row r="3442" spans="1:5">
      <c r="A3442" s="769">
        <v>41562</v>
      </c>
      <c r="B3442" s="86" t="str">
        <f>TiposLancamentos!B19</f>
        <v>Restaurantes</v>
      </c>
      <c r="C3442" s="3" t="s">
        <v>4413</v>
      </c>
      <c r="D3442" s="78"/>
      <c r="E3442" s="1480">
        <f>5.6+2.8</f>
        <v>8.3999999999999986</v>
      </c>
    </row>
    <row r="3443" spans="1:5">
      <c r="A3443" s="769">
        <v>41563</v>
      </c>
      <c r="B3443" s="86" t="str">
        <f>TiposLancamentos!B19</f>
        <v>Restaurantes</v>
      </c>
      <c r="C3443" s="3" t="s">
        <v>4414</v>
      </c>
      <c r="D3443" s="78"/>
      <c r="E3443" s="1480">
        <v>2.8</v>
      </c>
    </row>
    <row r="3444" spans="1:5">
      <c r="A3444" s="769">
        <v>41562</v>
      </c>
      <c r="B3444" s="86" t="str">
        <f>TiposLancamentos!B75</f>
        <v>Shows</v>
      </c>
      <c r="C3444" s="3" t="s">
        <v>4415</v>
      </c>
      <c r="D3444" s="78"/>
      <c r="E3444" s="1480">
        <v>30</v>
      </c>
    </row>
    <row r="3445" spans="1:5">
      <c r="A3445" s="769">
        <v>41570</v>
      </c>
      <c r="B3445" s="86" t="str">
        <f>TiposLancamentos!B20</f>
        <v>Saques</v>
      </c>
      <c r="C3445" s="3" t="s">
        <v>4328</v>
      </c>
      <c r="D3445" s="78">
        <v>40</v>
      </c>
      <c r="E3445" s="1480"/>
    </row>
    <row r="3446" spans="1:5">
      <c r="A3446" s="769">
        <v>41570</v>
      </c>
      <c r="B3446" s="86" t="str">
        <f>TiposLancamentos!B16</f>
        <v>Cristiane</v>
      </c>
      <c r="C3446" s="3" t="s">
        <v>4296</v>
      </c>
      <c r="D3446" s="78"/>
      <c r="E3446" s="1480">
        <v>20</v>
      </c>
    </row>
    <row r="3447" spans="1:5">
      <c r="A3447" s="769">
        <v>41570</v>
      </c>
      <c r="B3447" s="86" t="str">
        <f>TiposLancamentos!B87</f>
        <v>P207-1.6-XS</v>
      </c>
      <c r="C3447" s="3" t="s">
        <v>4416</v>
      </c>
      <c r="D3447" s="78"/>
      <c r="E3447" s="1480">
        <v>5</v>
      </c>
    </row>
    <row r="3448" spans="1:5">
      <c r="A3448" s="769">
        <v>41570</v>
      </c>
      <c r="B3448" s="86" t="str">
        <f>TiposLancamentos!B24</f>
        <v>Estacionamentos</v>
      </c>
      <c r="C3448" s="3" t="s">
        <v>4417</v>
      </c>
      <c r="D3448" s="78"/>
      <c r="E3448" s="1480">
        <v>7</v>
      </c>
    </row>
    <row r="3449" spans="1:5">
      <c r="A3449" s="769">
        <v>41570</v>
      </c>
      <c r="B3449" s="86" t="str">
        <f>TiposLancamentos!B18</f>
        <v>Alimentacao</v>
      </c>
      <c r="C3449" s="3" t="s">
        <v>4418</v>
      </c>
      <c r="D3449" s="78"/>
      <c r="E3449" s="1480">
        <v>4.45</v>
      </c>
    </row>
    <row r="3450" spans="1:5">
      <c r="A3450" s="769">
        <v>41578</v>
      </c>
      <c r="B3450" s="86" t="str">
        <f>TiposLancamentos!B87</f>
        <v>P207-1.6-XS</v>
      </c>
      <c r="C3450" s="3" t="s">
        <v>4416</v>
      </c>
      <c r="D3450" s="78"/>
      <c r="E3450" s="1480">
        <v>5</v>
      </c>
    </row>
    <row r="3451" spans="1:5">
      <c r="A3451" s="769">
        <v>41581</v>
      </c>
      <c r="B3451" s="86" t="str">
        <f>TiposLancamentos!B20</f>
        <v>Saques</v>
      </c>
      <c r="C3451" s="3" t="s">
        <v>4325</v>
      </c>
      <c r="D3451" s="78">
        <v>120</v>
      </c>
      <c r="E3451" s="1480"/>
    </row>
    <row r="3452" spans="1:5">
      <c r="A3452" s="769">
        <v>41582</v>
      </c>
      <c r="B3452" s="86" t="str">
        <f>TiposLancamentos!B16</f>
        <v>Cristiane</v>
      </c>
      <c r="C3452" s="3" t="s">
        <v>4419</v>
      </c>
      <c r="D3452" s="78"/>
      <c r="E3452" s="1480">
        <v>70</v>
      </c>
    </row>
    <row r="3453" spans="1:5">
      <c r="A3453" s="769">
        <v>41585</v>
      </c>
      <c r="B3453" s="86" t="str">
        <f>TiposLancamentos!B65</f>
        <v>Taxi</v>
      </c>
      <c r="C3453" s="3" t="s">
        <v>4420</v>
      </c>
      <c r="D3453" s="78"/>
      <c r="E3453" s="1480">
        <v>18</v>
      </c>
    </row>
    <row r="3454" spans="1:5">
      <c r="A3454" s="769">
        <v>41585</v>
      </c>
      <c r="B3454" s="86" t="str">
        <f>TiposLancamentos!B24</f>
        <v>Estacionamentos</v>
      </c>
      <c r="C3454" s="3" t="s">
        <v>4421</v>
      </c>
      <c r="D3454" s="78"/>
      <c r="E3454" s="1480">
        <v>9</v>
      </c>
    </row>
    <row r="3455" spans="1:5">
      <c r="A3455" s="769">
        <v>41589</v>
      </c>
      <c r="B3455" s="86" t="str">
        <f>TiposLancamentos!B16</f>
        <v>Cristiane</v>
      </c>
      <c r="C3455" s="3" t="s">
        <v>4419</v>
      </c>
      <c r="D3455" s="78"/>
      <c r="E3455" s="1480">
        <v>23</v>
      </c>
    </row>
    <row r="3456" spans="1:5">
      <c r="A3456" s="769">
        <v>41600</v>
      </c>
      <c r="B3456" s="86" t="str">
        <f>TiposLancamentos!B20</f>
        <v>Saques</v>
      </c>
      <c r="C3456" s="3" t="s">
        <v>4325</v>
      </c>
      <c r="D3456" s="78">
        <v>20</v>
      </c>
      <c r="E3456" s="1480"/>
    </row>
    <row r="3457" spans="1:5">
      <c r="A3457" s="769">
        <v>41600</v>
      </c>
      <c r="B3457" s="86" t="str">
        <f>TiposLancamentos!B24</f>
        <v>Estacionamentos</v>
      </c>
      <c r="C3457" s="3" t="s">
        <v>4422</v>
      </c>
      <c r="D3457" s="78"/>
      <c r="E3457" s="1480">
        <v>10</v>
      </c>
    </row>
    <row r="3458" spans="1:5">
      <c r="A3458" s="769">
        <v>41601</v>
      </c>
      <c r="B3458" s="86" t="str">
        <f>TiposLancamentos!B16</f>
        <v>Cristiane</v>
      </c>
      <c r="C3458" s="3" t="s">
        <v>3100</v>
      </c>
      <c r="D3458" s="78"/>
      <c r="E3458" s="1480">
        <v>10</v>
      </c>
    </row>
    <row r="3459" spans="1:5">
      <c r="A3459" s="769">
        <v>41603</v>
      </c>
      <c r="B3459" s="86" t="str">
        <f>TiposLancamentos!B20</f>
        <v>Saques</v>
      </c>
      <c r="C3459" s="3" t="s">
        <v>4325</v>
      </c>
      <c r="D3459" s="78">
        <v>20</v>
      </c>
      <c r="E3459" s="1480"/>
    </row>
    <row r="3460" spans="1:5">
      <c r="A3460" s="769">
        <v>41603</v>
      </c>
      <c r="B3460" s="86" t="str">
        <f>TiposLancamentos!B16</f>
        <v>Cristiane</v>
      </c>
      <c r="C3460" s="3" t="s">
        <v>4419</v>
      </c>
      <c r="D3460" s="78"/>
      <c r="E3460" s="1480">
        <v>20</v>
      </c>
    </row>
    <row r="3461" spans="1:5">
      <c r="A3461" s="769">
        <v>41607</v>
      </c>
      <c r="B3461" s="86" t="str">
        <f>TiposLancamentos!B20</f>
        <v>Saques</v>
      </c>
      <c r="C3461" s="3" t="s">
        <v>4325</v>
      </c>
      <c r="D3461" s="78">
        <v>20</v>
      </c>
      <c r="E3461" s="1480"/>
    </row>
    <row r="3462" spans="1:5">
      <c r="A3462" s="769">
        <v>41607</v>
      </c>
      <c r="B3462" s="86" t="str">
        <f>TiposLancamentos!B24</f>
        <v>Estacionamentos</v>
      </c>
      <c r="C3462" s="3" t="s">
        <v>4423</v>
      </c>
      <c r="D3462" s="78"/>
      <c r="E3462" s="1480">
        <v>8</v>
      </c>
    </row>
    <row r="3463" spans="1:5">
      <c r="A3463" s="769">
        <v>41579</v>
      </c>
      <c r="B3463" s="86" t="str">
        <f>TiposLancamentos!B24</f>
        <v>Estacionamentos</v>
      </c>
      <c r="C3463" s="3" t="s">
        <v>3617</v>
      </c>
      <c r="D3463" s="78"/>
      <c r="E3463" s="1480">
        <v>12</v>
      </c>
    </row>
    <row r="3464" spans="1:5">
      <c r="A3464" s="769">
        <v>41618</v>
      </c>
      <c r="B3464" s="86" t="str">
        <f>TiposLancamentos!B20</f>
        <v>Saques</v>
      </c>
      <c r="C3464" s="3" t="s">
        <v>4328</v>
      </c>
      <c r="D3464" s="78">
        <v>20</v>
      </c>
      <c r="E3464" s="1480"/>
    </row>
    <row r="3465" spans="1:5">
      <c r="A3465" s="769">
        <v>41618</v>
      </c>
      <c r="B3465" s="86" t="str">
        <f>TiposLancamentos!B24</f>
        <v>Estacionamentos</v>
      </c>
      <c r="C3465" s="3" t="s">
        <v>4424</v>
      </c>
      <c r="D3465" s="78"/>
      <c r="E3465" s="1480">
        <v>8</v>
      </c>
    </row>
    <row r="3466" spans="1:5">
      <c r="A3466" s="769">
        <v>41626</v>
      </c>
      <c r="B3466" s="86" t="str">
        <f>TiposLancamentos!B16</f>
        <v>Cristiane</v>
      </c>
      <c r="C3466" s="3" t="s">
        <v>4327</v>
      </c>
      <c r="D3466" s="78"/>
      <c r="E3466" s="1480">
        <v>12</v>
      </c>
    </row>
    <row r="3467" spans="1:5">
      <c r="A3467" s="769">
        <v>41646</v>
      </c>
      <c r="B3467" s="86" t="str">
        <f>TiposLancamentos!B20</f>
        <v>Saques</v>
      </c>
      <c r="C3467" s="3" t="s">
        <v>4325</v>
      </c>
      <c r="D3467" s="78">
        <v>40</v>
      </c>
      <c r="E3467" s="1480"/>
    </row>
    <row r="3468" spans="1:5">
      <c r="A3468" s="769">
        <v>41646</v>
      </c>
      <c r="B3468" s="86" t="str">
        <f>TiposLancamentos!B16</f>
        <v>Cristiane</v>
      </c>
      <c r="C3468" s="3" t="s">
        <v>3100</v>
      </c>
      <c r="D3468" s="78"/>
      <c r="E3468" s="1480">
        <v>40</v>
      </c>
    </row>
    <row r="3469" spans="1:5">
      <c r="A3469" s="769">
        <v>41656</v>
      </c>
      <c r="B3469" s="86" t="str">
        <f>TiposLancamentos!B20</f>
        <v>Saques</v>
      </c>
      <c r="C3469" s="3" t="s">
        <v>3778</v>
      </c>
      <c r="D3469" s="78">
        <v>20</v>
      </c>
      <c r="E3469" s="1480"/>
    </row>
    <row r="3470" spans="1:5">
      <c r="A3470" s="769">
        <v>41656</v>
      </c>
      <c r="B3470" s="86" t="str">
        <f>TiposLancamentos!B24</f>
        <v>Estacionamentos</v>
      </c>
      <c r="C3470" s="3" t="s">
        <v>4425</v>
      </c>
      <c r="D3470" s="78"/>
      <c r="E3470" s="1480">
        <v>10</v>
      </c>
    </row>
    <row r="3471" spans="1:5">
      <c r="A3471" s="769">
        <v>41656</v>
      </c>
      <c r="B3471" s="86" t="str">
        <f>TiposLancamentos!B24</f>
        <v>Estacionamentos</v>
      </c>
      <c r="C3471" s="3" t="s">
        <v>4426</v>
      </c>
      <c r="D3471" s="78"/>
      <c r="E3471" s="1480">
        <v>6</v>
      </c>
    </row>
    <row r="3472" spans="1:5">
      <c r="A3472" s="769">
        <v>41664</v>
      </c>
      <c r="B3472" s="86" t="str">
        <f>TiposLancamentos!B20</f>
        <v>Saques</v>
      </c>
      <c r="C3472" s="3" t="s">
        <v>4328</v>
      </c>
      <c r="D3472" s="78">
        <v>20</v>
      </c>
      <c r="E3472" s="1480"/>
    </row>
    <row r="3473" spans="1:5">
      <c r="A3473" s="769">
        <v>41664</v>
      </c>
      <c r="B3473" s="86" t="str">
        <f>TiposLancamentos!B27</f>
        <v>Jornais e revistas</v>
      </c>
      <c r="C3473" s="3" t="s">
        <v>4427</v>
      </c>
      <c r="D3473" s="78"/>
      <c r="E3473" s="1480">
        <v>4.5</v>
      </c>
    </row>
    <row r="3474" spans="1:5">
      <c r="A3474" s="769">
        <v>41666</v>
      </c>
      <c r="B3474" s="86" t="str">
        <f>TiposLancamentos!B87</f>
        <v>P207-1.6-XS</v>
      </c>
      <c r="C3474" s="3" t="s">
        <v>4428</v>
      </c>
      <c r="D3474" s="78"/>
      <c r="E3474" s="1480">
        <v>6</v>
      </c>
    </row>
    <row r="3475" spans="1:5">
      <c r="A3475" s="769">
        <v>41667</v>
      </c>
      <c r="B3475" s="86" t="str">
        <f>TiposLancamentos!B16</f>
        <v>Cristiane</v>
      </c>
      <c r="C3475" s="3" t="s">
        <v>4429</v>
      </c>
      <c r="D3475" s="78"/>
      <c r="E3475" s="1480">
        <v>13.5</v>
      </c>
    </row>
    <row r="3476" spans="1:5">
      <c r="A3476" s="769">
        <v>41670</v>
      </c>
      <c r="B3476" s="86" t="str">
        <f>TiposLancamentos!B20</f>
        <v>Saques</v>
      </c>
      <c r="C3476" s="3" t="s">
        <v>4325</v>
      </c>
      <c r="D3476" s="78">
        <v>230</v>
      </c>
      <c r="E3476" s="1480"/>
    </row>
    <row r="3477" spans="1:5">
      <c r="A3477" s="769">
        <v>41671</v>
      </c>
      <c r="B3477" s="86" t="str">
        <f>TiposLancamentos!B60</f>
        <v>Correio</v>
      </c>
      <c r="C3477" s="3" t="s">
        <v>4430</v>
      </c>
      <c r="D3477" s="78"/>
      <c r="E3477" s="1480">
        <v>84.5</v>
      </c>
    </row>
    <row r="3478" spans="1:5">
      <c r="A3478" s="769">
        <v>41671</v>
      </c>
      <c r="B3478" s="86" t="str">
        <f>TiposLancamentos!B16</f>
        <v>Cristiane</v>
      </c>
      <c r="C3478" s="3" t="s">
        <v>1698</v>
      </c>
      <c r="D3478" s="78"/>
      <c r="E3478" s="1480">
        <v>130</v>
      </c>
    </row>
    <row r="3479" spans="1:5">
      <c r="A3479" s="769">
        <v>41673</v>
      </c>
      <c r="B3479" s="86" t="str">
        <f>TiposLancamentos!B16</f>
        <v>Cristiane</v>
      </c>
      <c r="C3479" s="3" t="s">
        <v>1698</v>
      </c>
      <c r="D3479" s="78"/>
      <c r="E3479" s="1480">
        <v>15.5</v>
      </c>
    </row>
    <row r="3480" spans="1:5">
      <c r="A3480" s="769">
        <v>41675</v>
      </c>
      <c r="B3480" s="86" t="str">
        <f>TiposLancamentos!B20</f>
        <v>Saques</v>
      </c>
      <c r="C3480" s="3" t="s">
        <v>4431</v>
      </c>
      <c r="D3480" s="78">
        <v>20</v>
      </c>
      <c r="E3480" s="1480"/>
    </row>
    <row r="3481" spans="1:5">
      <c r="A3481" s="769">
        <v>41676</v>
      </c>
      <c r="B3481" s="86" t="str">
        <f>TiposLancamentos!B24</f>
        <v>Estacionamentos</v>
      </c>
      <c r="C3481" s="3" t="s">
        <v>4432</v>
      </c>
      <c r="D3481" s="78"/>
      <c r="E3481" s="1480">
        <v>6</v>
      </c>
    </row>
    <row r="3482" spans="1:5">
      <c r="A3482" s="769">
        <v>41680</v>
      </c>
      <c r="B3482" s="86" t="str">
        <f>TiposLancamentos!B20</f>
        <v>Saques</v>
      </c>
      <c r="C3482" s="3" t="s">
        <v>3604</v>
      </c>
      <c r="D3482" s="78">
        <v>70</v>
      </c>
      <c r="E3482" s="1480"/>
    </row>
    <row r="3483" spans="1:5">
      <c r="A3483" s="769">
        <v>41680</v>
      </c>
      <c r="B3483" s="86" t="str">
        <f>TiposLancamentos!B59</f>
        <v>Documentos</v>
      </c>
      <c r="C3483" s="3" t="s">
        <v>4433</v>
      </c>
      <c r="D3483" s="78"/>
      <c r="E3483" s="1480">
        <v>66.5</v>
      </c>
    </row>
    <row r="3484" spans="1:5">
      <c r="A3484" s="769">
        <v>41680</v>
      </c>
      <c r="B3484" s="86" t="str">
        <f>TiposLancamentos!B24</f>
        <v>Estacionamentos</v>
      </c>
      <c r="C3484" s="3" t="s">
        <v>4434</v>
      </c>
      <c r="D3484" s="78"/>
      <c r="E3484" s="1480">
        <v>6</v>
      </c>
    </row>
    <row r="3485" spans="1:5">
      <c r="A3485" s="769">
        <v>41681</v>
      </c>
      <c r="B3485" s="86" t="str">
        <f>TiposLancamentos!B20</f>
        <v>Saques</v>
      </c>
      <c r="C3485" s="3" t="s">
        <v>4328</v>
      </c>
      <c r="D3485" s="78">
        <v>60</v>
      </c>
      <c r="E3485" s="1480"/>
    </row>
    <row r="3486" spans="1:5">
      <c r="A3486" s="769">
        <v>41681</v>
      </c>
      <c r="B3486" s="86" t="str">
        <f>TiposLancamentos!B59</f>
        <v>Documentos</v>
      </c>
      <c r="C3486" s="3" t="s">
        <v>4435</v>
      </c>
      <c r="D3486" s="78"/>
      <c r="E3486" s="1480">
        <v>44</v>
      </c>
    </row>
    <row r="3487" spans="1:5">
      <c r="A3487" s="769">
        <v>41681</v>
      </c>
      <c r="B3487" s="86" t="str">
        <f>TiposLancamentos!B16</f>
        <v>Cristiane</v>
      </c>
      <c r="C3487" s="3" t="s">
        <v>3100</v>
      </c>
      <c r="D3487" s="78"/>
      <c r="E3487" s="1480">
        <v>27.5</v>
      </c>
    </row>
    <row r="3488" spans="1:5">
      <c r="A3488" s="769">
        <v>41688</v>
      </c>
      <c r="B3488" s="86" t="str">
        <f>TiposLancamentos!B20</f>
        <v>Saques</v>
      </c>
      <c r="C3488" s="3" t="s">
        <v>4325</v>
      </c>
      <c r="D3488" s="78">
        <v>20</v>
      </c>
      <c r="E3488" s="1480"/>
    </row>
    <row r="3489" spans="1:5">
      <c r="A3489" s="769">
        <v>41688</v>
      </c>
      <c r="B3489" s="86" t="str">
        <f>TiposLancamentos!B24</f>
        <v>Estacionamentos</v>
      </c>
      <c r="C3489" s="3" t="s">
        <v>4436</v>
      </c>
      <c r="D3489" s="78"/>
      <c r="E3489" s="1480">
        <v>9</v>
      </c>
    </row>
    <row r="3490" spans="1:5">
      <c r="A3490" s="769">
        <v>41708</v>
      </c>
      <c r="B3490" s="86" t="str">
        <f>TiposLancamentos!B24</f>
        <v>Estacionamentos</v>
      </c>
      <c r="C3490" s="3" t="s">
        <v>4437</v>
      </c>
      <c r="D3490" s="78"/>
      <c r="E3490" s="1480">
        <v>7</v>
      </c>
    </row>
    <row r="3491" spans="1:5">
      <c r="A3491" s="769">
        <v>41710</v>
      </c>
      <c r="B3491" s="86" t="str">
        <f>TiposLancamentos!B24</f>
        <v>Estacionamentos</v>
      </c>
      <c r="C3491" s="3" t="s">
        <v>4438</v>
      </c>
      <c r="D3491" s="78"/>
      <c r="E3491" s="1480">
        <v>1</v>
      </c>
    </row>
    <row r="3492" spans="1:5">
      <c r="A3492" s="769">
        <v>41710</v>
      </c>
      <c r="B3492" s="86" t="str">
        <f>TiposLancamentos!B20</f>
        <v>Saques</v>
      </c>
      <c r="C3492" s="3" t="s">
        <v>4147</v>
      </c>
      <c r="D3492" s="78">
        <v>20</v>
      </c>
      <c r="E3492" s="1480"/>
    </row>
    <row r="3493" spans="1:5">
      <c r="A3493" s="769">
        <v>41710</v>
      </c>
      <c r="B3493" s="86" t="str">
        <f>TiposLancamentos!B26</f>
        <v>LIVROS</v>
      </c>
      <c r="C3493" s="3" t="s">
        <v>4439</v>
      </c>
      <c r="D3493" s="78"/>
      <c r="E3493" s="1480">
        <v>20</v>
      </c>
    </row>
    <row r="3494" spans="1:5">
      <c r="A3494" s="769">
        <v>41711</v>
      </c>
      <c r="B3494" s="86" t="str">
        <f>TiposLancamentos!B20</f>
        <v>Saques</v>
      </c>
      <c r="C3494" s="3" t="s">
        <v>3845</v>
      </c>
      <c r="D3494" s="78">
        <v>40</v>
      </c>
      <c r="E3494" s="1480"/>
    </row>
    <row r="3495" spans="1:5">
      <c r="A3495" s="769">
        <v>41711</v>
      </c>
      <c r="B3495" s="86" t="str">
        <f>TiposLancamentos!B54</f>
        <v>Metro</v>
      </c>
      <c r="C3495" s="3" t="s">
        <v>4440</v>
      </c>
      <c r="D3495" s="78"/>
      <c r="E3495" s="1480">
        <v>3</v>
      </c>
    </row>
    <row r="3496" spans="1:5">
      <c r="A3496" s="769">
        <v>41711</v>
      </c>
      <c r="B3496" s="86" t="str">
        <f>TiposLancamentos!B54</f>
        <v>Metro</v>
      </c>
      <c r="C3496" s="3" t="s">
        <v>4441</v>
      </c>
      <c r="D3496" s="78"/>
      <c r="E3496" s="1480">
        <v>3</v>
      </c>
    </row>
    <row r="3497" spans="1:5">
      <c r="A3497" s="769">
        <v>41712</v>
      </c>
      <c r="B3497" s="86" t="str">
        <f>TiposLancamentos!B59</f>
        <v>Documentos</v>
      </c>
      <c r="C3497" s="3" t="s">
        <v>4442</v>
      </c>
      <c r="D3497" s="78"/>
      <c r="E3497" s="1480">
        <v>10.4</v>
      </c>
    </row>
    <row r="3498" spans="1:5">
      <c r="A3498" s="769">
        <v>41712</v>
      </c>
      <c r="B3498" s="86" t="str">
        <f>TiposLancamentos!B55</f>
        <v>Onibus Urbano</v>
      </c>
      <c r="C3498" s="3" t="s">
        <v>4366</v>
      </c>
      <c r="D3498" s="78"/>
      <c r="E3498" s="1480">
        <v>7.3</v>
      </c>
    </row>
    <row r="3499" spans="1:5">
      <c r="A3499" s="769">
        <v>41715</v>
      </c>
      <c r="B3499" s="86" t="str">
        <f>TiposLancamentos!B24</f>
        <v>Estacionamentos</v>
      </c>
      <c r="C3499" s="3" t="s">
        <v>4443</v>
      </c>
      <c r="D3499" s="78"/>
      <c r="E3499" s="1480">
        <v>9.1999999999999993</v>
      </c>
    </row>
    <row r="3500" spans="1:5">
      <c r="A3500" s="769">
        <v>41719</v>
      </c>
      <c r="B3500" s="86" t="str">
        <f>TiposLancamentos!B19</f>
        <v>Restaurantes</v>
      </c>
      <c r="C3500" s="3" t="s">
        <v>4444</v>
      </c>
      <c r="D3500" s="78"/>
      <c r="E3500" s="1480">
        <v>6.3</v>
      </c>
    </row>
    <row r="3501" spans="1:5">
      <c r="A3501" s="769">
        <v>41736</v>
      </c>
      <c r="B3501" s="86" t="str">
        <f>TiposLancamentos!B20</f>
        <v>Saques</v>
      </c>
      <c r="C3501" s="3" t="s">
        <v>4445</v>
      </c>
      <c r="D3501" s="78">
        <v>60</v>
      </c>
      <c r="E3501" s="1480"/>
    </row>
    <row r="3502" spans="1:5">
      <c r="A3502" s="769">
        <v>41740</v>
      </c>
      <c r="B3502" s="86" t="str">
        <f>TiposLancamentos!B13</f>
        <v>Moradia</v>
      </c>
      <c r="C3502" s="3" t="s">
        <v>2703</v>
      </c>
      <c r="D3502" s="78"/>
      <c r="E3502" s="1480">
        <v>12</v>
      </c>
    </row>
    <row r="3503" spans="1:5">
      <c r="A3503" s="769">
        <v>41740</v>
      </c>
      <c r="B3503" s="86" t="str">
        <f>TiposLancamentos!B24</f>
        <v>Estacionamentos</v>
      </c>
      <c r="C3503" s="3" t="s">
        <v>4446</v>
      </c>
      <c r="D3503" s="78"/>
      <c r="E3503" s="1480">
        <v>7</v>
      </c>
    </row>
    <row r="3504" spans="1:5">
      <c r="A3504" s="769">
        <v>41741</v>
      </c>
      <c r="B3504" s="86" t="str">
        <f>TiposLancamentos!B24</f>
        <v>Estacionamentos</v>
      </c>
      <c r="C3504" s="3" t="s">
        <v>4447</v>
      </c>
      <c r="D3504" s="78"/>
      <c r="E3504" s="1480">
        <v>7</v>
      </c>
    </row>
    <row r="3505" spans="1:5">
      <c r="A3505" s="769">
        <v>41743</v>
      </c>
      <c r="B3505" s="86" t="str">
        <f>TiposLancamentos!B24</f>
        <v>Estacionamentos</v>
      </c>
      <c r="C3505" s="3" t="s">
        <v>4370</v>
      </c>
      <c r="D3505" s="78"/>
      <c r="E3505" s="1480">
        <v>7</v>
      </c>
    </row>
    <row r="3506" spans="1:5">
      <c r="A3506" s="769">
        <v>41745</v>
      </c>
      <c r="B3506" s="86" t="str">
        <f>TiposLancamentos!B57</f>
        <v>Informática</v>
      </c>
      <c r="C3506" s="3" t="s">
        <v>4448</v>
      </c>
      <c r="D3506" s="78"/>
      <c r="E3506" s="1480">
        <v>4.5999999999999996</v>
      </c>
    </row>
    <row r="3507" spans="1:5">
      <c r="A3507" s="769">
        <v>41745</v>
      </c>
      <c r="B3507" s="86" t="str">
        <f>TiposLancamentos!B19</f>
        <v>Restaurantes</v>
      </c>
      <c r="C3507" s="3" t="s">
        <v>4449</v>
      </c>
      <c r="D3507" s="78"/>
      <c r="E3507" s="1480">
        <v>3.5</v>
      </c>
    </row>
    <row r="3508" spans="1:5">
      <c r="A3508" s="769">
        <v>41752</v>
      </c>
      <c r="B3508" s="86" t="str">
        <f>TiposLancamentos!B24</f>
        <v>Estacionamentos</v>
      </c>
      <c r="C3508" s="3" t="s">
        <v>4370</v>
      </c>
      <c r="D3508" s="78"/>
      <c r="E3508" s="1480">
        <v>7</v>
      </c>
    </row>
    <row r="3509" spans="1:5">
      <c r="A3509" s="769">
        <v>41764</v>
      </c>
      <c r="B3509" s="86" t="str">
        <f>TiposLancamentos!B20</f>
        <v>Saques</v>
      </c>
      <c r="C3509" s="3" t="s">
        <v>4450</v>
      </c>
      <c r="D3509" s="78">
        <v>80</v>
      </c>
      <c r="E3509" s="1480"/>
    </row>
    <row r="3510" spans="1:5">
      <c r="A3510" s="769">
        <v>41764</v>
      </c>
      <c r="B3510" s="86" t="str">
        <f>TiposLancamentos!B59</f>
        <v>Documentos</v>
      </c>
      <c r="C3510" s="3" t="s">
        <v>4451</v>
      </c>
      <c r="D3510" s="78"/>
      <c r="E3510" s="1480">
        <v>34.200000000000003</v>
      </c>
    </row>
    <row r="3511" spans="1:5">
      <c r="A3511" s="769">
        <v>41764</v>
      </c>
      <c r="B3511" s="86" t="str">
        <f>TiposLancamentos!B24</f>
        <v>Estacionamentos</v>
      </c>
      <c r="C3511" s="3" t="s">
        <v>4370</v>
      </c>
      <c r="D3511" s="78"/>
      <c r="E3511" s="1480">
        <v>7</v>
      </c>
    </row>
    <row r="3512" spans="1:5">
      <c r="A3512" s="769">
        <v>41764</v>
      </c>
      <c r="B3512" s="86" t="str">
        <f>TiposLancamentos!B19</f>
        <v>Restaurantes</v>
      </c>
      <c r="C3512" s="3" t="s">
        <v>4452</v>
      </c>
      <c r="D3512" s="78"/>
      <c r="E3512" s="1480">
        <v>8</v>
      </c>
    </row>
    <row r="3513" spans="1:5">
      <c r="A3513" s="769">
        <v>41766</v>
      </c>
      <c r="B3513" s="86" t="str">
        <f>TiposLancamentos!B24</f>
        <v>Estacionamentos</v>
      </c>
      <c r="C3513" s="3" t="s">
        <v>4370</v>
      </c>
      <c r="D3513" s="78"/>
      <c r="E3513" s="1480">
        <v>7</v>
      </c>
    </row>
    <row r="3514" spans="1:5">
      <c r="A3514" s="769">
        <v>41766</v>
      </c>
      <c r="B3514" s="86" t="str">
        <f>TiposLancamentos!B19</f>
        <v>Restaurantes</v>
      </c>
      <c r="C3514" s="3" t="s">
        <v>4452</v>
      </c>
      <c r="D3514" s="78"/>
      <c r="E3514" s="1480">
        <v>8</v>
      </c>
    </row>
    <row r="3515" spans="1:5">
      <c r="A3515" s="769">
        <v>41771</v>
      </c>
      <c r="B3515" s="86" t="str">
        <f>TiposLancamentos!B20</f>
        <v>Saques</v>
      </c>
      <c r="C3515" s="3" t="s">
        <v>4325</v>
      </c>
      <c r="D3515" s="78">
        <v>80</v>
      </c>
      <c r="E3515" s="1480"/>
    </row>
    <row r="3516" spans="1:5">
      <c r="A3516" s="769">
        <v>41771</v>
      </c>
      <c r="B3516" s="86" t="str">
        <f>TiposLancamentos!B13</f>
        <v>Moradia</v>
      </c>
      <c r="C3516" s="3" t="s">
        <v>4453</v>
      </c>
      <c r="D3516" s="78"/>
      <c r="E3516" s="1480">
        <v>12</v>
      </c>
    </row>
    <row r="3517" spans="1:5">
      <c r="A3517" s="769">
        <v>41771</v>
      </c>
      <c r="B3517" s="86" t="str">
        <f>TiposLancamentos!B19</f>
        <v>Restaurantes</v>
      </c>
      <c r="C3517" s="3" t="s">
        <v>4454</v>
      </c>
      <c r="D3517" s="78"/>
      <c r="E3517" s="1480">
        <v>6.3</v>
      </c>
    </row>
    <row r="3518" spans="1:5">
      <c r="A3518" s="769">
        <v>41771</v>
      </c>
      <c r="B3518" s="86" t="str">
        <f>TiposLancamentos!B24</f>
        <v>Estacionamentos</v>
      </c>
      <c r="C3518" s="3" t="s">
        <v>4370</v>
      </c>
      <c r="D3518" s="78"/>
      <c r="E3518" s="1480">
        <v>7</v>
      </c>
    </row>
    <row r="3519" spans="1:5">
      <c r="A3519" s="769">
        <v>41771</v>
      </c>
      <c r="B3519" s="86" t="str">
        <f>TiposLancamentos!B19</f>
        <v>Restaurantes</v>
      </c>
      <c r="C3519" s="3" t="s">
        <v>4452</v>
      </c>
      <c r="D3519" s="78"/>
      <c r="E3519" s="1480">
        <v>8</v>
      </c>
    </row>
    <row r="3520" spans="1:5">
      <c r="A3520" s="769">
        <v>41773</v>
      </c>
      <c r="B3520" s="86" t="str">
        <f>TiposLancamentos!B24</f>
        <v>Estacionamentos</v>
      </c>
      <c r="C3520" s="3" t="s">
        <v>4370</v>
      </c>
      <c r="D3520" s="78"/>
      <c r="E3520" s="1480">
        <v>7</v>
      </c>
    </row>
    <row r="3521" spans="1:5">
      <c r="A3521" s="769">
        <v>41773</v>
      </c>
      <c r="B3521" s="86" t="str">
        <f>TiposLancamentos!B19</f>
        <v>Restaurantes</v>
      </c>
      <c r="C3521" s="3" t="s">
        <v>4452</v>
      </c>
      <c r="D3521" s="78"/>
      <c r="E3521" s="1480">
        <v>1</v>
      </c>
    </row>
    <row r="3522" spans="1:5">
      <c r="A3522" s="769">
        <v>41774</v>
      </c>
      <c r="B3522" s="86" t="str">
        <f>TiposLancamentos!B55</f>
        <v>Onibus Urbano</v>
      </c>
      <c r="C3522" s="3" t="s">
        <v>4455</v>
      </c>
      <c r="D3522" s="78"/>
      <c r="E3522" s="1480">
        <v>3.2</v>
      </c>
    </row>
    <row r="3523" spans="1:5">
      <c r="A3523" s="769">
        <v>41774</v>
      </c>
      <c r="B3523" s="86" t="str">
        <f>TiposLancamentos!B20</f>
        <v>Saques</v>
      </c>
      <c r="C3523" s="3" t="s">
        <v>3604</v>
      </c>
      <c r="D3523" s="78">
        <v>100</v>
      </c>
      <c r="E3523" s="1480"/>
    </row>
    <row r="3524" spans="1:5">
      <c r="A3524" s="769">
        <v>41774</v>
      </c>
      <c r="B3524" s="86" t="str">
        <f>TiposLancamentos!B60</f>
        <v>Correio</v>
      </c>
      <c r="C3524" s="3" t="s">
        <v>4456</v>
      </c>
      <c r="D3524" s="78"/>
      <c r="E3524" s="1480">
        <v>133.35</v>
      </c>
    </row>
    <row r="3525" spans="1:5">
      <c r="A3525" s="769">
        <v>41778</v>
      </c>
      <c r="B3525" s="86" t="str">
        <f>B3515</f>
        <v>Saques</v>
      </c>
      <c r="C3525" s="3" t="s">
        <v>3604</v>
      </c>
      <c r="D3525" s="78">
        <v>240</v>
      </c>
      <c r="E3525" s="1480"/>
    </row>
    <row r="3526" spans="1:5">
      <c r="A3526" s="769">
        <v>41778</v>
      </c>
      <c r="B3526" s="86" t="str">
        <f>TiposLancamentos!B66</f>
        <v>Faxineira</v>
      </c>
      <c r="C3526" s="3" t="s">
        <v>4457</v>
      </c>
      <c r="D3526" s="78"/>
      <c r="E3526" s="1480">
        <v>230</v>
      </c>
    </row>
    <row r="3527" spans="1:5">
      <c r="A3527" s="769">
        <v>41780</v>
      </c>
      <c r="B3527" s="86" t="str">
        <f>TiposLancamentos!B24</f>
        <v>Estacionamentos</v>
      </c>
      <c r="C3527" s="3" t="s">
        <v>4370</v>
      </c>
      <c r="D3527" s="78"/>
      <c r="E3527" s="1480">
        <v>7</v>
      </c>
    </row>
    <row r="3528" spans="1:5">
      <c r="A3528" s="769">
        <v>41780</v>
      </c>
      <c r="B3528" s="86" t="str">
        <f>TiposLancamentos!B18</f>
        <v>Alimentacao</v>
      </c>
      <c r="C3528" s="3" t="s">
        <v>4458</v>
      </c>
      <c r="D3528" s="78"/>
      <c r="E3528" s="1480">
        <f>3*1.4</f>
        <v>4.1999999999999993</v>
      </c>
    </row>
    <row r="3529" spans="1:5">
      <c r="A3529" s="769">
        <v>41786</v>
      </c>
      <c r="B3529" s="86" t="str">
        <f>B3515</f>
        <v>Saques</v>
      </c>
      <c r="C3529" s="3" t="s">
        <v>3604</v>
      </c>
      <c r="D3529" s="78">
        <v>70</v>
      </c>
      <c r="E3529" s="1480"/>
    </row>
    <row r="3530" spans="1:5">
      <c r="A3530" s="769">
        <v>41786</v>
      </c>
      <c r="B3530" s="86" t="str">
        <f>TiposLancamentos!B87</f>
        <v>P207-1.6-XS</v>
      </c>
      <c r="C3530" s="3" t="s">
        <v>4459</v>
      </c>
      <c r="D3530" s="78"/>
      <c r="E3530" s="1480">
        <v>65</v>
      </c>
    </row>
    <row r="3531" spans="1:5">
      <c r="A3531" s="769">
        <v>41789</v>
      </c>
      <c r="B3531" s="86" t="str">
        <f>TiposLancamentos!B18</f>
        <v>Alimentacao</v>
      </c>
      <c r="C3531" s="3" t="s">
        <v>4460</v>
      </c>
      <c r="D3531" s="78"/>
      <c r="E3531" s="1480">
        <v>3.5</v>
      </c>
    </row>
    <row r="3532" spans="1:5">
      <c r="A3532" s="769">
        <v>41790</v>
      </c>
      <c r="B3532" s="86" t="str">
        <f>TiposLancamentos!B18</f>
        <v>Alimentacao</v>
      </c>
      <c r="C3532" s="3" t="s">
        <v>4461</v>
      </c>
      <c r="D3532" s="78"/>
      <c r="E3532" s="1480">
        <v>16.5</v>
      </c>
    </row>
    <row r="3533" spans="1:5">
      <c r="A3533" s="769">
        <v>41790</v>
      </c>
      <c r="B3533" s="86" t="str">
        <f>TiposLancamentos!B24</f>
        <v>Estacionamentos</v>
      </c>
      <c r="C3533" s="3" t="s">
        <v>4462</v>
      </c>
      <c r="D3533" s="78"/>
      <c r="E3533" s="1480">
        <v>17</v>
      </c>
    </row>
    <row r="3534" spans="1:5">
      <c r="A3534" s="769">
        <v>41797</v>
      </c>
      <c r="B3534" s="86" t="str">
        <f>TiposLancamentos!B20</f>
        <v>Saques</v>
      </c>
      <c r="C3534" s="3" t="s">
        <v>3604</v>
      </c>
      <c r="D3534" s="78">
        <v>40</v>
      </c>
      <c r="E3534" s="1480"/>
    </row>
    <row r="3535" spans="1:5">
      <c r="A3535" s="769">
        <v>41797</v>
      </c>
      <c r="B3535" s="86" t="str">
        <f>TiposLancamentos!B24</f>
        <v>Estacionamentos</v>
      </c>
      <c r="C3535" s="3" t="s">
        <v>4463</v>
      </c>
      <c r="D3535" s="78"/>
      <c r="E3535" s="1480">
        <v>19</v>
      </c>
    </row>
    <row r="3536" spans="1:5">
      <c r="A3536" s="769">
        <v>41799</v>
      </c>
      <c r="B3536" s="86" t="str">
        <f>TiposLancamentos!B20</f>
        <v>Saques</v>
      </c>
      <c r="C3536" s="3" t="s">
        <v>4325</v>
      </c>
      <c r="D3536" s="78">
        <v>100</v>
      </c>
      <c r="E3536" s="1480"/>
    </row>
    <row r="3537" spans="1:5">
      <c r="A3537" s="769">
        <v>41799</v>
      </c>
      <c r="B3537" s="86" t="str">
        <f>TiposLancamentos!B60</f>
        <v>Correio</v>
      </c>
      <c r="C3537" s="3" t="s">
        <v>4464</v>
      </c>
      <c r="D3537" s="78"/>
      <c r="E3537" s="1480">
        <v>118.81</v>
      </c>
    </row>
    <row r="3538" spans="1:5">
      <c r="A3538" s="769">
        <v>41808</v>
      </c>
      <c r="B3538" s="86" t="str">
        <f>TiposLancamentos!B20</f>
        <v>Saques</v>
      </c>
      <c r="C3538" s="3" t="s">
        <v>3604</v>
      </c>
      <c r="D3538" s="78">
        <v>70</v>
      </c>
      <c r="E3538" s="1480"/>
    </row>
    <row r="3539" spans="1:5">
      <c r="A3539" s="769">
        <v>41808</v>
      </c>
      <c r="B3539" s="86" t="str">
        <f>TiposLancamentos!B19</f>
        <v>Restaurantes</v>
      </c>
      <c r="C3539" s="3" t="s">
        <v>4465</v>
      </c>
      <c r="D3539" s="78"/>
      <c r="E3539" s="1480">
        <v>65.8</v>
      </c>
    </row>
    <row r="3540" spans="1:5">
      <c r="A3540" s="769">
        <v>41810</v>
      </c>
      <c r="B3540" s="86" t="str">
        <f>TiposLancamentos!B77</f>
        <v>Esporádico</v>
      </c>
      <c r="C3540" s="3" t="s">
        <v>4466</v>
      </c>
      <c r="D3540" s="78"/>
      <c r="E3540" s="1480">
        <v>6</v>
      </c>
    </row>
    <row r="3541" spans="1:5">
      <c r="A3541" s="769">
        <v>41810</v>
      </c>
      <c r="B3541" s="86" t="str">
        <f>B3534</f>
        <v>Saques</v>
      </c>
      <c r="C3541" s="3" t="s">
        <v>3604</v>
      </c>
      <c r="D3541" s="78">
        <v>20</v>
      </c>
      <c r="E3541" s="1480"/>
    </row>
    <row r="3542" spans="1:5">
      <c r="A3542" s="769">
        <v>41810</v>
      </c>
      <c r="B3542" s="86" t="str">
        <f>B3533</f>
        <v>Estacionamentos</v>
      </c>
      <c r="C3542" s="3" t="s">
        <v>3398</v>
      </c>
      <c r="D3542" s="78"/>
      <c r="E3542" s="1480">
        <v>5</v>
      </c>
    </row>
    <row r="3543" spans="1:5">
      <c r="A3543" s="769">
        <v>41813</v>
      </c>
      <c r="B3543" s="86" t="str">
        <f>TiposLancamentos!B20</f>
        <v>Saques</v>
      </c>
      <c r="C3543" s="3" t="s">
        <v>3604</v>
      </c>
      <c r="D3543" s="78">
        <v>110</v>
      </c>
      <c r="E3543" s="1480"/>
    </row>
    <row r="3544" spans="1:5">
      <c r="A3544" s="769">
        <v>41813</v>
      </c>
      <c r="B3544" s="86" t="str">
        <f>TiposLancamentos!B59</f>
        <v>Documentos</v>
      </c>
      <c r="C3544" s="3" t="s">
        <v>4467</v>
      </c>
      <c r="D3544" s="78"/>
      <c r="E3544" s="1480">
        <f>2.1*4</f>
        <v>8.4</v>
      </c>
    </row>
    <row r="3545" spans="1:5">
      <c r="A3545" s="769">
        <v>41813</v>
      </c>
      <c r="B3545" s="86" t="str">
        <f>TiposLancamentos!B59</f>
        <v>Documentos</v>
      </c>
      <c r="C3545" s="3" t="s">
        <v>4468</v>
      </c>
      <c r="D3545" s="78"/>
      <c r="E3545" s="1480">
        <v>2.8</v>
      </c>
    </row>
    <row r="3546" spans="1:5">
      <c r="A3546" s="769">
        <v>41813</v>
      </c>
      <c r="B3546" s="86" t="str">
        <f>TiposLancamentos!B59</f>
        <v>Documentos</v>
      </c>
      <c r="C3546" s="3" t="s">
        <v>4469</v>
      </c>
      <c r="D3546" s="78"/>
      <c r="E3546" s="1480">
        <v>62</v>
      </c>
    </row>
    <row r="3547" spans="1:5">
      <c r="A3547" s="769">
        <v>41815</v>
      </c>
      <c r="B3547" s="86" t="str">
        <f>TiposLancamentos!B24</f>
        <v>Estacionamentos</v>
      </c>
      <c r="C3547" s="3" t="s">
        <v>4470</v>
      </c>
      <c r="D3547" s="78"/>
      <c r="E3547" s="1480">
        <v>11</v>
      </c>
    </row>
    <row r="3548" spans="1:5">
      <c r="A3548" s="769">
        <v>41816</v>
      </c>
      <c r="B3548" s="86" t="str">
        <f>TiposLancamentos!B20</f>
        <v>Saques</v>
      </c>
      <c r="C3548" s="3" t="s">
        <v>2668</v>
      </c>
      <c r="D3548" s="78">
        <v>240</v>
      </c>
      <c r="E3548" s="1480"/>
    </row>
    <row r="3549" spans="1:5">
      <c r="A3549" s="769">
        <v>41816</v>
      </c>
      <c r="B3549" s="86" t="str">
        <f>TiposLancamentos!B16</f>
        <v>Cristiane</v>
      </c>
      <c r="C3549" s="3" t="s">
        <v>3100</v>
      </c>
      <c r="D3549" s="78"/>
      <c r="E3549" s="1480">
        <v>240</v>
      </c>
    </row>
    <row r="3550" spans="1:5">
      <c r="A3550" s="884">
        <v>41820</v>
      </c>
      <c r="B3550" s="138" t="str">
        <f>TiposLancamentos!B24</f>
        <v>Estacionamentos</v>
      </c>
      <c r="C3550" s="3" t="s">
        <v>4370</v>
      </c>
      <c r="D3550" s="1197"/>
      <c r="E3550" s="1480">
        <v>7</v>
      </c>
    </row>
    <row r="3551" spans="1:5">
      <c r="A3551" s="769">
        <v>41828</v>
      </c>
      <c r="B3551" s="86" t="str">
        <f>TiposLancamentos!B54</f>
        <v>Metro</v>
      </c>
      <c r="C3551" s="3" t="s">
        <v>4471</v>
      </c>
      <c r="D3551" s="78"/>
      <c r="E3551" s="1480">
        <v>6</v>
      </c>
    </row>
    <row r="3552" spans="1:5">
      <c r="A3552" s="769">
        <v>41834</v>
      </c>
      <c r="B3552" s="86" t="str">
        <f>TiposLancamentos!B54</f>
        <v>Metro</v>
      </c>
      <c r="C3552" s="3" t="s">
        <v>4472</v>
      </c>
      <c r="D3552" s="78"/>
      <c r="E3552" s="1480">
        <v>6</v>
      </c>
    </row>
    <row r="3553" spans="1:5">
      <c r="A3553" s="769">
        <v>41835</v>
      </c>
      <c r="B3553" s="86" t="str">
        <f>TiposLancamentos!B54</f>
        <v>Metro</v>
      </c>
      <c r="C3553" s="3" t="s">
        <v>4472</v>
      </c>
      <c r="D3553" s="78"/>
      <c r="E3553" s="1480">
        <v>6</v>
      </c>
    </row>
    <row r="3554" spans="1:5">
      <c r="A3554" s="769">
        <v>41836</v>
      </c>
      <c r="B3554" s="86" t="str">
        <f>TiposLancamentos!B88</f>
        <v>Ford Ecosport XLT</v>
      </c>
      <c r="C3554" s="3" t="s">
        <v>4473</v>
      </c>
      <c r="D3554" s="78"/>
      <c r="E3554" s="1480">
        <v>8</v>
      </c>
    </row>
    <row r="3555" spans="1:5">
      <c r="A3555" s="769">
        <v>41837</v>
      </c>
      <c r="B3555" s="86" t="str">
        <f>TiposLancamentos!B20</f>
        <v>Saques</v>
      </c>
      <c r="C3555" s="3" t="s">
        <v>3472</v>
      </c>
      <c r="D3555" s="78">
        <v>80</v>
      </c>
      <c r="E3555" s="1480"/>
    </row>
    <row r="3556" spans="1:5">
      <c r="A3556" s="769">
        <v>41837</v>
      </c>
      <c r="B3556" s="86" t="str">
        <f>TiposLancamentos!B54</f>
        <v>Metro</v>
      </c>
      <c r="C3556" s="3" t="s">
        <v>4474</v>
      </c>
      <c r="D3556" s="78"/>
      <c r="E3556" s="1480">
        <v>6</v>
      </c>
    </row>
    <row r="3557" spans="1:5">
      <c r="A3557" s="769">
        <v>41837</v>
      </c>
      <c r="B3557" s="86" t="str">
        <f>TiposLancamentos!B69</f>
        <v>Consertos</v>
      </c>
      <c r="C3557" s="3" t="s">
        <v>4475</v>
      </c>
      <c r="D3557" s="78"/>
      <c r="E3557" s="1480">
        <v>80</v>
      </c>
    </row>
    <row r="3558" spans="1:5">
      <c r="A3558" s="769">
        <v>41837</v>
      </c>
      <c r="B3558" s="86" t="str">
        <f>TiposLancamentos!B19</f>
        <v>Restaurantes</v>
      </c>
      <c r="C3558" s="3" t="s">
        <v>4476</v>
      </c>
      <c r="D3558" s="78"/>
      <c r="E3558" s="1480">
        <v>2.5</v>
      </c>
    </row>
    <row r="3559" spans="1:5">
      <c r="A3559" s="769">
        <v>41837</v>
      </c>
      <c r="B3559" s="86" t="str">
        <f>TiposLancamentos!B87</f>
        <v>P207-1.6-XS</v>
      </c>
      <c r="C3559" s="3" t="s">
        <v>4416</v>
      </c>
      <c r="D3559" s="78"/>
      <c r="E3559" s="1480">
        <v>8</v>
      </c>
    </row>
    <row r="3560" spans="1:5">
      <c r="A3560" s="769">
        <v>41843</v>
      </c>
      <c r="B3560" s="86" t="str">
        <f>TiposLancamentos!B60</f>
        <v>Correio</v>
      </c>
      <c r="C3560" s="3" t="s">
        <v>4477</v>
      </c>
      <c r="D3560" s="78"/>
      <c r="E3560" s="1480">
        <v>16.399999999999999</v>
      </c>
    </row>
    <row r="3561" spans="1:5">
      <c r="A3561" s="769">
        <v>41843</v>
      </c>
      <c r="B3561" s="86" t="str">
        <f>TiposLancamentos!B18</f>
        <v>Alimentacao</v>
      </c>
      <c r="C3561" s="3" t="s">
        <v>4478</v>
      </c>
      <c r="D3561" s="78"/>
      <c r="E3561" s="1480">
        <v>12</v>
      </c>
    </row>
    <row r="3562" spans="1:5">
      <c r="A3562" s="769">
        <v>41846</v>
      </c>
      <c r="B3562" s="86" t="str">
        <f>TiposLancamentos!B20</f>
        <v>Saques</v>
      </c>
      <c r="C3562" s="3" t="s">
        <v>3604</v>
      </c>
      <c r="D3562" s="78">
        <v>70</v>
      </c>
      <c r="E3562" s="1480"/>
    </row>
    <row r="3563" spans="1:5">
      <c r="A3563" s="769">
        <v>41846</v>
      </c>
      <c r="B3563" s="86" t="str">
        <f>TiposLancamentos!B69</f>
        <v>Consertos</v>
      </c>
      <c r="C3563" s="3" t="s">
        <v>4479</v>
      </c>
      <c r="D3563" s="78"/>
      <c r="E3563" s="1480">
        <v>70</v>
      </c>
    </row>
    <row r="3564" spans="1:5">
      <c r="A3564" s="769">
        <v>41850</v>
      </c>
      <c r="B3564" s="86" t="str">
        <f>TiposLancamentos!B60</f>
        <v>Correio</v>
      </c>
      <c r="C3564" s="3" t="s">
        <v>4477</v>
      </c>
      <c r="D3564" s="78"/>
      <c r="E3564" s="1480">
        <v>16.2</v>
      </c>
    </row>
    <row r="3565" spans="1:5">
      <c r="A3565" s="769">
        <v>41850</v>
      </c>
      <c r="B3565" s="86" t="str">
        <f>TiposLancamentos!B20</f>
        <v>Saques</v>
      </c>
      <c r="C3565" s="3" t="s">
        <v>3472</v>
      </c>
      <c r="D3565" s="78">
        <v>60</v>
      </c>
      <c r="E3565" s="1480"/>
    </row>
    <row r="3566" spans="1:5">
      <c r="A3566" s="769">
        <v>41863</v>
      </c>
      <c r="B3566" s="86" t="str">
        <f>TiposLancamentos!B20</f>
        <v>Saques</v>
      </c>
      <c r="C3566" s="3" t="s">
        <v>3604</v>
      </c>
      <c r="D3566" s="78"/>
      <c r="E3566" s="1480"/>
    </row>
    <row r="3567" spans="1:5">
      <c r="A3567" s="769">
        <v>41863</v>
      </c>
      <c r="B3567" s="86" t="str">
        <f>TiposLancamentos!B24</f>
        <v>Estacionamentos</v>
      </c>
      <c r="C3567" s="3" t="s">
        <v>4480</v>
      </c>
      <c r="D3567" s="78">
        <v>40</v>
      </c>
      <c r="E3567" s="1480"/>
    </row>
    <row r="3568" spans="1:5">
      <c r="A3568" s="769">
        <v>41874</v>
      </c>
      <c r="B3568" s="86" t="str">
        <f>TiposLancamentos!B24</f>
        <v>Estacionamentos</v>
      </c>
      <c r="C3568" s="3" t="s">
        <v>3398</v>
      </c>
      <c r="D3568" s="78"/>
      <c r="E3568" s="1480">
        <v>9</v>
      </c>
    </row>
    <row r="3569" spans="1:5">
      <c r="A3569" s="769">
        <v>41876</v>
      </c>
      <c r="B3569" s="86" t="str">
        <f>TiposLancamentos!B87</f>
        <v>P207-1.6-XS</v>
      </c>
      <c r="C3569" s="3" t="s">
        <v>4481</v>
      </c>
      <c r="D3569" s="78"/>
      <c r="E3569" s="1480">
        <v>8</v>
      </c>
    </row>
    <row r="3570" spans="1:5">
      <c r="A3570" s="769">
        <v>41877</v>
      </c>
      <c r="B3570" s="86" t="str">
        <f>TiposLancamentos!B18</f>
        <v>Alimentacao</v>
      </c>
      <c r="C3570" s="3" t="s">
        <v>4482</v>
      </c>
      <c r="D3570" s="78"/>
      <c r="E3570" s="1480">
        <v>2.5</v>
      </c>
    </row>
    <row r="3571" spans="1:5">
      <c r="A3571" s="769">
        <v>41877</v>
      </c>
      <c r="B3571" s="86" t="str">
        <f>TiposLancamentos!B24</f>
        <v>Estacionamentos</v>
      </c>
      <c r="C3571" s="3" t="s">
        <v>4483</v>
      </c>
      <c r="D3571" s="78"/>
      <c r="E3571" s="1480">
        <v>20</v>
      </c>
    </row>
    <row r="3572" spans="1:5">
      <c r="A3572" s="769">
        <v>41880</v>
      </c>
      <c r="B3572" s="86" t="str">
        <f>TiposLancamentos!B54</f>
        <v>Metro</v>
      </c>
      <c r="C3572" s="3" t="s">
        <v>4484</v>
      </c>
      <c r="D3572" s="78"/>
      <c r="E3572" s="1480">
        <v>3</v>
      </c>
    </row>
    <row r="3573" spans="1:5">
      <c r="A3573" s="769">
        <v>41880</v>
      </c>
      <c r="B3573" s="86" t="str">
        <f>TiposLancamentos!B77</f>
        <v>Esporádico</v>
      </c>
      <c r="C3573" s="3" t="s">
        <v>4485</v>
      </c>
      <c r="D3573" s="78"/>
      <c r="E3573" s="1480">
        <v>7</v>
      </c>
    </row>
    <row r="3574" spans="1:5">
      <c r="A3574" s="769">
        <v>41880</v>
      </c>
      <c r="B3574" s="86" t="str">
        <f>TiposLancamentos!B54</f>
        <v>Metro</v>
      </c>
      <c r="C3574" s="3" t="s">
        <v>4486</v>
      </c>
      <c r="D3574" s="78"/>
      <c r="E3574" s="1480">
        <v>3</v>
      </c>
    </row>
    <row r="3575" spans="1:5">
      <c r="A3575" s="769">
        <v>41891</v>
      </c>
      <c r="B3575" s="86" t="str">
        <f>TiposLancamentos!B20</f>
        <v>Saques</v>
      </c>
      <c r="C3575" s="3" t="s">
        <v>4487</v>
      </c>
      <c r="D3575" s="78">
        <v>20</v>
      </c>
      <c r="E3575" s="1480"/>
    </row>
    <row r="3576" spans="1:5">
      <c r="A3576" s="769">
        <v>41891</v>
      </c>
      <c r="B3576" s="86" t="str">
        <f>TiposLancamentos!B18</f>
        <v>Alimentacao</v>
      </c>
      <c r="C3576" s="3" t="s">
        <v>4488</v>
      </c>
      <c r="D3576" s="78"/>
      <c r="E3576" s="1480">
        <v>3.5</v>
      </c>
    </row>
    <row r="3577" spans="1:5">
      <c r="A3577" s="769">
        <v>41897</v>
      </c>
      <c r="B3577" s="86" t="str">
        <f>TiposLancamentos!B55</f>
        <v>Onibus Urbano</v>
      </c>
      <c r="C3577" s="3" t="s">
        <v>4489</v>
      </c>
      <c r="D3577" s="78"/>
      <c r="E3577" s="1480">
        <v>3.2</v>
      </c>
    </row>
    <row r="3578" spans="1:5">
      <c r="A3578" s="769">
        <v>41897</v>
      </c>
      <c r="B3578" s="86" t="str">
        <f>TiposLancamentos!B18</f>
        <v>Alimentacao</v>
      </c>
      <c r="C3578" s="3" t="s">
        <v>4490</v>
      </c>
      <c r="D3578" s="78"/>
      <c r="E3578" s="1480">
        <v>1</v>
      </c>
    </row>
    <row r="3579" spans="1:5">
      <c r="A3579" s="769">
        <v>41907</v>
      </c>
      <c r="B3579" s="86" t="str">
        <f>TiposLancamentos!B54</f>
        <v>Metro</v>
      </c>
      <c r="C3579" s="3" t="s">
        <v>4491</v>
      </c>
      <c r="D3579" s="78"/>
      <c r="E3579" s="1480">
        <v>3</v>
      </c>
    </row>
    <row r="3580" spans="1:5">
      <c r="A3580" s="769">
        <v>41908</v>
      </c>
      <c r="B3580" s="86" t="str">
        <f>TiposLancamentos!B54</f>
        <v>Metro</v>
      </c>
      <c r="C3580" s="3" t="s">
        <v>4491</v>
      </c>
      <c r="D3580" s="78"/>
      <c r="E3580" s="1480">
        <v>3</v>
      </c>
    </row>
    <row r="3581" spans="1:5">
      <c r="A3581" s="769">
        <v>41910</v>
      </c>
      <c r="B3581" s="86" t="str">
        <f>TiposLancamentos!B87</f>
        <v>P207-1.6-XS</v>
      </c>
      <c r="C3581" s="3" t="s">
        <v>4492</v>
      </c>
      <c r="D3581" s="78"/>
      <c r="E3581" s="1480">
        <v>1</v>
      </c>
    </row>
    <row r="3582" spans="1:5">
      <c r="A3582" s="769">
        <v>41914</v>
      </c>
      <c r="B3582" s="86" t="str">
        <f>TiposLancamentos!B20</f>
        <v>Saques</v>
      </c>
      <c r="C3582" s="3" t="s">
        <v>4368</v>
      </c>
      <c r="D3582" s="78">
        <v>20</v>
      </c>
      <c r="E3582" s="1480"/>
    </row>
    <row r="3583" spans="1:5">
      <c r="A3583" s="769">
        <v>41923</v>
      </c>
      <c r="B3583" s="86" t="str">
        <f>TiposLancamentos!B13</f>
        <v>Moradia</v>
      </c>
      <c r="C3583" s="3" t="s">
        <v>4493</v>
      </c>
      <c r="D3583" s="78"/>
      <c r="E3583" s="1480">
        <v>12</v>
      </c>
    </row>
    <row r="3584" spans="1:5">
      <c r="A3584" s="769">
        <v>41923</v>
      </c>
      <c r="B3584" s="86" t="str">
        <f>TiposLancamentos!B16</f>
        <v>Cristiane</v>
      </c>
      <c r="C3584" s="3" t="s">
        <v>4494</v>
      </c>
      <c r="D3584" s="78"/>
      <c r="E3584" s="1480">
        <v>8</v>
      </c>
    </row>
    <row r="3585" spans="1:5">
      <c r="A3585" s="769">
        <v>41929</v>
      </c>
      <c r="B3585" s="86" t="str">
        <f>TiposLancamentos!B20</f>
        <v>Saques</v>
      </c>
      <c r="C3585" s="3" t="s">
        <v>4325</v>
      </c>
      <c r="D3585" s="78">
        <v>20</v>
      </c>
      <c r="E3585" s="1480"/>
    </row>
    <row r="3586" spans="1:5">
      <c r="A3586" s="769">
        <v>41930</v>
      </c>
      <c r="B3586" s="86" t="str">
        <f>TiposLancamentos!B19</f>
        <v>Restaurantes</v>
      </c>
      <c r="C3586" s="3" t="s">
        <v>4495</v>
      </c>
      <c r="D3586" s="78"/>
      <c r="E3586" s="1480">
        <v>6</v>
      </c>
    </row>
    <row r="3587" spans="1:5">
      <c r="A3587" s="769">
        <v>41933</v>
      </c>
      <c r="B3587" s="86" t="str">
        <f>TiposLancamentos!B54</f>
        <v>Metro</v>
      </c>
      <c r="C3587" s="3" t="s">
        <v>4496</v>
      </c>
      <c r="D3587" s="78"/>
      <c r="E3587" s="1480">
        <v>3</v>
      </c>
    </row>
    <row r="3588" spans="1:5">
      <c r="A3588" s="769">
        <v>41937</v>
      </c>
      <c r="B3588" s="86" t="str">
        <f>TiposLancamentos!B24</f>
        <v>Estacionamentos</v>
      </c>
      <c r="C3588" s="3" t="s">
        <v>4497</v>
      </c>
      <c r="D3588" s="78"/>
      <c r="E3588" s="1480"/>
    </row>
    <row r="3589" spans="1:5">
      <c r="A3589" s="769">
        <v>41960</v>
      </c>
      <c r="B3589" s="86" t="str">
        <f>TiposLancamentos!B20</f>
        <v>Saques</v>
      </c>
      <c r="C3589" s="3" t="s">
        <v>4368</v>
      </c>
      <c r="D3589" s="78">
        <v>140</v>
      </c>
      <c r="E3589" s="1480"/>
    </row>
    <row r="3590" spans="1:5">
      <c r="A3590" s="769">
        <v>41961</v>
      </c>
      <c r="B3590" s="86" t="str">
        <f>TiposLancamentos!B66</f>
        <v>Faxineira</v>
      </c>
      <c r="C3590" s="3" t="s">
        <v>4498</v>
      </c>
      <c r="D3590" s="78"/>
      <c r="E3590" s="1480">
        <v>120</v>
      </c>
    </row>
    <row r="3591" spans="1:5">
      <c r="A3591" s="769">
        <v>41964</v>
      </c>
      <c r="B3591" s="86" t="str">
        <f>TiposLancamentos!B87</f>
        <v>P207-1.6-XS</v>
      </c>
      <c r="C3591" s="3" t="s">
        <v>4499</v>
      </c>
      <c r="D3591" s="78"/>
      <c r="E3591" s="1480">
        <v>9</v>
      </c>
    </row>
    <row r="3592" spans="1:5">
      <c r="A3592" s="769">
        <v>41964</v>
      </c>
      <c r="B3592" s="86" t="str">
        <f>TiposLancamentos!B24</f>
        <v>Estacionamentos</v>
      </c>
      <c r="C3592" s="3" t="s">
        <v>4500</v>
      </c>
      <c r="D3592" s="78"/>
      <c r="E3592" s="1480">
        <v>10</v>
      </c>
    </row>
    <row r="3593" spans="1:5">
      <c r="A3593" s="769">
        <v>41967</v>
      </c>
      <c r="B3593" s="86" t="str">
        <f>B3587</f>
        <v>Metro</v>
      </c>
      <c r="C3593" s="3" t="s">
        <v>4501</v>
      </c>
      <c r="D3593" s="78"/>
      <c r="E3593" s="1480">
        <v>3</v>
      </c>
    </row>
    <row r="3594" spans="1:5">
      <c r="A3594" s="769">
        <v>41968</v>
      </c>
      <c r="B3594" s="86" t="str">
        <f>TiposLancamentos!B20</f>
        <v>Saques</v>
      </c>
      <c r="C3594" s="3" t="s">
        <v>4368</v>
      </c>
      <c r="D3594" s="78">
        <v>20</v>
      </c>
      <c r="E3594" s="1480"/>
    </row>
    <row r="3595" spans="1:5">
      <c r="A3595" s="769">
        <v>41972</v>
      </c>
      <c r="B3595" s="86" t="str">
        <f>TiposLancamentos!B24</f>
        <v>Estacionamentos</v>
      </c>
      <c r="C3595" s="3" t="s">
        <v>4502</v>
      </c>
      <c r="D3595" s="78"/>
      <c r="E3595" s="1480">
        <v>7</v>
      </c>
    </row>
    <row r="3596" spans="1:5">
      <c r="A3596" s="769">
        <v>41986</v>
      </c>
      <c r="B3596" s="86" t="str">
        <f>TiposLancamentos!B20</f>
        <v>Saques</v>
      </c>
      <c r="C3596" s="3" t="s">
        <v>4503</v>
      </c>
      <c r="D3596" s="78">
        <v>50</v>
      </c>
      <c r="E3596" s="1480"/>
    </row>
    <row r="3597" spans="1:5">
      <c r="A3597" s="769">
        <v>41986</v>
      </c>
      <c r="B3597" s="86" t="str">
        <f>TiposLancamentos!B24</f>
        <v>Estacionamentos</v>
      </c>
      <c r="C3597" s="3" t="s">
        <v>4504</v>
      </c>
      <c r="D3597" s="78"/>
      <c r="E3597" s="1480">
        <v>20</v>
      </c>
    </row>
    <row r="3598" spans="1:5">
      <c r="A3598" s="769">
        <v>41994</v>
      </c>
      <c r="B3598" s="86" t="str">
        <f>TiposLancamentos!B18</f>
        <v>Alimentacao</v>
      </c>
      <c r="C3598" s="3" t="s">
        <v>4505</v>
      </c>
      <c r="D3598" s="78"/>
      <c r="E3598" s="1480">
        <v>6</v>
      </c>
    </row>
    <row r="3599" spans="1:5">
      <c r="A3599" s="769">
        <v>41995</v>
      </c>
      <c r="B3599" s="86" t="str">
        <f>TiposLancamentos!B16</f>
        <v>Cristiane</v>
      </c>
      <c r="C3599" s="3" t="s">
        <v>3100</v>
      </c>
      <c r="D3599" s="78"/>
      <c r="E3599" s="1480">
        <v>25</v>
      </c>
    </row>
    <row r="3600" spans="1:5">
      <c r="A3600" s="769">
        <v>41995</v>
      </c>
      <c r="B3600" s="86" t="str">
        <f>TiposLancamentos!B16</f>
        <v>Cristiane</v>
      </c>
      <c r="C3600" s="3" t="s">
        <v>3100</v>
      </c>
      <c r="D3600" s="78"/>
      <c r="E3600" s="1480">
        <v>21.34</v>
      </c>
    </row>
    <row r="3601" spans="1:5">
      <c r="A3601" s="769">
        <v>41995</v>
      </c>
      <c r="B3601" s="86" t="str">
        <f>TiposLancamentos!B20</f>
        <v>Saques</v>
      </c>
      <c r="C3601" s="3" t="s">
        <v>4503</v>
      </c>
      <c r="D3601" s="78">
        <v>40</v>
      </c>
      <c r="E3601" s="1480"/>
    </row>
    <row r="3602" spans="1:5">
      <c r="A3602" s="769">
        <v>41995</v>
      </c>
      <c r="B3602" s="86" t="str">
        <f>TiposLancamentos!B65</f>
        <v>Taxi</v>
      </c>
      <c r="C3602" s="3" t="s">
        <v>4506</v>
      </c>
      <c r="D3602" s="78"/>
      <c r="E3602" s="1480">
        <v>18</v>
      </c>
    </row>
    <row r="3603" spans="1:5">
      <c r="A3603" s="769">
        <v>41995</v>
      </c>
      <c r="B3603" s="86" t="str">
        <f>TiposLancamentos!B54</f>
        <v>Metro</v>
      </c>
      <c r="C3603" s="3" t="s">
        <v>4507</v>
      </c>
      <c r="D3603" s="78"/>
      <c r="E3603" s="1480">
        <v>3</v>
      </c>
    </row>
    <row r="3604" spans="1:5">
      <c r="A3604" s="769">
        <v>41996</v>
      </c>
      <c r="B3604" s="86" t="str">
        <f>TiposLancamentos!B54</f>
        <v>Metro</v>
      </c>
      <c r="C3604" s="3" t="s">
        <v>4507</v>
      </c>
      <c r="D3604" s="78"/>
      <c r="E3604" s="1480">
        <v>3</v>
      </c>
    </row>
    <row r="3605" spans="1:5">
      <c r="A3605" s="769">
        <v>41999</v>
      </c>
      <c r="B3605" s="86" t="str">
        <f>TiposLancamentos!B18</f>
        <v>Alimentacao</v>
      </c>
      <c r="C3605" s="3" t="s">
        <v>3959</v>
      </c>
      <c r="D3605" s="78"/>
      <c r="E3605" s="1480">
        <v>7</v>
      </c>
    </row>
    <row r="3606" spans="1:5">
      <c r="A3606" s="769">
        <v>42009</v>
      </c>
      <c r="B3606" s="86" t="str">
        <f>TiposLancamentos!B20</f>
        <v>Saques</v>
      </c>
      <c r="C3606" s="3" t="s">
        <v>3604</v>
      </c>
      <c r="D3606" s="78">
        <v>30</v>
      </c>
      <c r="E3606" s="1480"/>
    </row>
    <row r="3607" spans="1:5">
      <c r="A3607" s="769">
        <v>42010</v>
      </c>
      <c r="B3607" s="86" t="str">
        <f>TiposLancamentos!B19</f>
        <v>Restaurantes</v>
      </c>
      <c r="C3607" s="3" t="s">
        <v>4508</v>
      </c>
      <c r="D3607" s="78"/>
      <c r="E3607" s="1480">
        <v>1</v>
      </c>
    </row>
    <row r="3608" spans="1:5">
      <c r="A3608" s="769">
        <v>42010</v>
      </c>
      <c r="B3608" s="86" t="str">
        <f>TiposLancamentos!B65</f>
        <v>Taxi</v>
      </c>
      <c r="C3608" s="3" t="s">
        <v>4509</v>
      </c>
      <c r="D3608" s="78"/>
      <c r="E3608" s="1480">
        <v>12</v>
      </c>
    </row>
    <row r="3609" spans="1:5">
      <c r="A3609" s="769">
        <v>42010</v>
      </c>
      <c r="B3609" s="86" t="str">
        <f>TiposLancamentos!B54</f>
        <v>Metro</v>
      </c>
      <c r="C3609" s="3" t="s">
        <v>4496</v>
      </c>
      <c r="D3609" s="78"/>
      <c r="E3609" s="1480">
        <v>3.5</v>
      </c>
    </row>
    <row r="3610" spans="1:5">
      <c r="A3610" s="769">
        <v>42011</v>
      </c>
      <c r="B3610" s="86" t="str">
        <f>TiposLancamentos!B54</f>
        <v>Metro</v>
      </c>
      <c r="C3610" s="3" t="s">
        <v>4496</v>
      </c>
      <c r="D3610" s="78"/>
      <c r="E3610" s="1480">
        <v>3.5</v>
      </c>
    </row>
    <row r="3611" spans="1:5">
      <c r="A3611" s="769">
        <v>42012</v>
      </c>
      <c r="B3611" s="86" t="str">
        <f>TiposLancamentos!B19</f>
        <v>Restaurantes</v>
      </c>
      <c r="C3611" s="3" t="s">
        <v>4508</v>
      </c>
      <c r="D3611" s="78"/>
      <c r="E3611" s="1480">
        <v>1</v>
      </c>
    </row>
    <row r="3612" spans="1:5">
      <c r="A3612" s="769">
        <v>42013</v>
      </c>
      <c r="B3612" s="86" t="str">
        <f>TiposLancamentos!B65</f>
        <v>Taxi</v>
      </c>
      <c r="C3612" s="3" t="s">
        <v>4510</v>
      </c>
      <c r="D3612" s="78"/>
      <c r="E3612" s="1480">
        <v>12</v>
      </c>
    </row>
    <row r="3613" spans="1:5">
      <c r="A3613" s="769">
        <v>42019</v>
      </c>
      <c r="B3613" s="86" t="str">
        <f>TiposLancamentos!B20</f>
        <v>Saques</v>
      </c>
      <c r="C3613" s="3" t="s">
        <v>3604</v>
      </c>
      <c r="D3613" s="78">
        <v>270</v>
      </c>
      <c r="E3613" s="1480"/>
    </row>
    <row r="3614" spans="1:5">
      <c r="A3614" s="769">
        <v>42019</v>
      </c>
      <c r="B3614" s="86" t="str">
        <f>TiposLancamentos!B18</f>
        <v>Alimentacao</v>
      </c>
      <c r="C3614" s="3" t="s">
        <v>4511</v>
      </c>
      <c r="D3614" s="78"/>
      <c r="E3614" s="1480">
        <v>1</v>
      </c>
    </row>
    <row r="3615" spans="1:5">
      <c r="A3615" s="769">
        <v>42019</v>
      </c>
      <c r="B3615" s="86" t="str">
        <f>TiposLancamentos!B18</f>
        <v>Alimentacao</v>
      </c>
      <c r="C3615" s="3" t="s">
        <v>4511</v>
      </c>
      <c r="D3615" s="78"/>
      <c r="E3615" s="1480">
        <v>1</v>
      </c>
    </row>
    <row r="3616" spans="1:5">
      <c r="A3616" s="769">
        <v>42020</v>
      </c>
      <c r="B3616" s="86" t="str">
        <f>TiposLancamentos!B16</f>
        <v>Cristiane</v>
      </c>
      <c r="C3616" s="3" t="s">
        <v>4512</v>
      </c>
      <c r="D3616" s="78"/>
      <c r="E3616" s="1480">
        <v>250</v>
      </c>
    </row>
    <row r="3617" spans="1:5">
      <c r="A3617" s="769">
        <v>42020</v>
      </c>
      <c r="B3617" s="86" t="str">
        <f>TiposLancamentos!B55</f>
        <v>Onibus Urbano</v>
      </c>
      <c r="C3617" s="3" t="s">
        <v>4513</v>
      </c>
      <c r="D3617" s="78"/>
      <c r="E3617" s="1480">
        <v>3.7</v>
      </c>
    </row>
    <row r="3618" spans="1:5">
      <c r="A3618" s="769">
        <v>42020</v>
      </c>
      <c r="B3618" s="86" t="str">
        <f>TiposLancamentos!B65</f>
        <v>Taxi</v>
      </c>
      <c r="C3618" s="3" t="s">
        <v>4514</v>
      </c>
      <c r="D3618" s="78"/>
      <c r="E3618" s="1480">
        <v>12</v>
      </c>
    </row>
    <row r="3619" spans="1:5">
      <c r="A3619" s="769">
        <v>42022</v>
      </c>
      <c r="B3619" s="86" t="str">
        <f>TiposLancamentos!B54</f>
        <v>Metro</v>
      </c>
      <c r="C3619" s="3" t="s">
        <v>4515</v>
      </c>
      <c r="D3619" s="78"/>
      <c r="E3619" s="1480">
        <v>3.5</v>
      </c>
    </row>
    <row r="3620" spans="1:5">
      <c r="A3620" s="769">
        <v>42022</v>
      </c>
      <c r="B3620" s="86" t="str">
        <f>TiposLancamentos!B20</f>
        <v>Saques</v>
      </c>
      <c r="C3620" s="3" t="s">
        <v>4325</v>
      </c>
      <c r="D3620" s="78">
        <v>40</v>
      </c>
      <c r="E3620" s="1480"/>
    </row>
    <row r="3621" spans="1:5">
      <c r="A3621" s="769">
        <v>42023</v>
      </c>
      <c r="B3621" s="86" t="str">
        <f>TiposLancamentos!B13</f>
        <v>Moradia</v>
      </c>
      <c r="C3621" s="3" t="s">
        <v>4516</v>
      </c>
      <c r="D3621" s="78"/>
      <c r="E3621" s="1480">
        <v>16</v>
      </c>
    </row>
    <row r="3622" spans="1:5">
      <c r="A3622" s="769">
        <v>42030</v>
      </c>
      <c r="B3622" s="86" t="str">
        <f>TiposLancamentos!B22</f>
        <v>Combustivel</v>
      </c>
      <c r="C3622" s="3" t="s">
        <v>4517</v>
      </c>
      <c r="D3622" s="78"/>
      <c r="E3622" s="1480">
        <v>20</v>
      </c>
    </row>
    <row r="3623" spans="1:5">
      <c r="A3623" s="769">
        <v>42031</v>
      </c>
      <c r="B3623" s="86" t="str">
        <f>TiposLancamentos!B20</f>
        <v>Saques</v>
      </c>
      <c r="C3623" s="3" t="s">
        <v>4368</v>
      </c>
      <c r="D3623" s="78">
        <v>20</v>
      </c>
      <c r="E3623" s="1480"/>
    </row>
    <row r="3624" spans="1:5">
      <c r="A3624" s="769">
        <v>42031</v>
      </c>
      <c r="B3624" s="86" t="str">
        <f>TiposLancamentos!B55</f>
        <v>Onibus Urbano</v>
      </c>
      <c r="C3624" s="3" t="s">
        <v>4518</v>
      </c>
      <c r="D3624" s="78"/>
      <c r="E3624" s="1480">
        <v>3.7</v>
      </c>
    </row>
    <row r="3625" spans="1:5">
      <c r="A3625" s="769">
        <v>42030</v>
      </c>
      <c r="B3625" s="86" t="str">
        <f>TiposLancamentos!B18</f>
        <v>Alimentacao</v>
      </c>
      <c r="C3625" s="3" t="s">
        <v>4519</v>
      </c>
      <c r="D3625" s="78"/>
      <c r="E3625" s="1480">
        <v>2</v>
      </c>
    </row>
    <row r="3626" spans="1:5">
      <c r="A3626" s="769">
        <v>42034</v>
      </c>
      <c r="B3626" s="86" t="str">
        <f>TiposLancamentos!B54</f>
        <v>Metro</v>
      </c>
      <c r="C3626" s="3" t="s">
        <v>4520</v>
      </c>
      <c r="D3626" s="78"/>
      <c r="E3626" s="1480">
        <v>3.5</v>
      </c>
    </row>
    <row r="3627" spans="1:5">
      <c r="A3627" s="769">
        <v>42035</v>
      </c>
      <c r="B3627" s="86" t="str">
        <f>TiposLancamentos!B20</f>
        <v>Saques</v>
      </c>
      <c r="C3627" s="3" t="s">
        <v>4521</v>
      </c>
      <c r="D3627" s="78">
        <v>140</v>
      </c>
      <c r="E3627" s="1480"/>
    </row>
    <row r="3628" spans="1:5">
      <c r="A3628" s="769">
        <v>42035</v>
      </c>
      <c r="B3628" s="86" t="str">
        <f>TiposLancamentos!B60</f>
        <v>Correio</v>
      </c>
      <c r="C3628" s="3" t="s">
        <v>4522</v>
      </c>
      <c r="D3628" s="78"/>
      <c r="E3628" s="1480">
        <v>14.3</v>
      </c>
    </row>
    <row r="3629" spans="1:5">
      <c r="A3629" s="769">
        <v>42035</v>
      </c>
      <c r="B3629" s="86" t="str">
        <f>TiposLancamentos!B20</f>
        <v>Saques</v>
      </c>
      <c r="C3629" s="3" t="s">
        <v>4523</v>
      </c>
      <c r="D3629" s="78">
        <v>30</v>
      </c>
      <c r="E3629" s="1480"/>
    </row>
    <row r="3630" spans="1:5">
      <c r="A3630" s="769">
        <v>42035</v>
      </c>
      <c r="B3630" s="86" t="str">
        <f>TiposLancamentos!B60</f>
        <v>Correio</v>
      </c>
      <c r="C3630" s="3" t="s">
        <v>4524</v>
      </c>
      <c r="D3630" s="78"/>
      <c r="E3630" s="1480">
        <v>140.68</v>
      </c>
    </row>
    <row r="3631" spans="1:5">
      <c r="A3631" s="769">
        <v>42037</v>
      </c>
      <c r="B3631" s="86" t="str">
        <f>TiposLancamentos!B18</f>
        <v>Alimentacao</v>
      </c>
      <c r="C3631" s="3" t="s">
        <v>4525</v>
      </c>
      <c r="D3631" s="78"/>
      <c r="E3631" s="1480">
        <v>5.5</v>
      </c>
    </row>
    <row r="3632" spans="1:5">
      <c r="A3632" s="769">
        <v>42048</v>
      </c>
      <c r="B3632" s="86" t="str">
        <f>TiposLancamentos!B55</f>
        <v>Onibus Urbano</v>
      </c>
      <c r="C3632" s="3" t="s">
        <v>4526</v>
      </c>
      <c r="D3632" s="78"/>
      <c r="E3632" s="1480">
        <v>3.7</v>
      </c>
    </row>
    <row r="3633" spans="1:5">
      <c r="A3633" s="769">
        <v>42056</v>
      </c>
      <c r="B3633" s="86" t="str">
        <f>TiposLancamentos!B20</f>
        <v>Saques</v>
      </c>
      <c r="C3633" s="3" t="s">
        <v>4368</v>
      </c>
      <c r="D3633" s="78">
        <v>100</v>
      </c>
      <c r="E3633" s="1480"/>
    </row>
    <row r="3634" spans="1:5">
      <c r="A3634" s="769">
        <v>42056</v>
      </c>
      <c r="B3634" s="86" t="str">
        <f>TiposLancamentos!B24</f>
        <v>Estacionamentos</v>
      </c>
      <c r="C3634" s="3" t="s">
        <v>4527</v>
      </c>
      <c r="D3634" s="78"/>
      <c r="E3634" s="1480">
        <v>26</v>
      </c>
    </row>
    <row r="3635" spans="1:5">
      <c r="A3635" s="769">
        <v>42059</v>
      </c>
      <c r="B3635" s="86" t="str">
        <f>TiposLancamentos!B55</f>
        <v>Onibus Urbano</v>
      </c>
      <c r="C3635" s="3" t="s">
        <v>4528</v>
      </c>
      <c r="D3635" s="78"/>
      <c r="E3635" s="1480">
        <v>7</v>
      </c>
    </row>
    <row r="3636" spans="1:5">
      <c r="A3636" s="769">
        <v>42063</v>
      </c>
      <c r="B3636" s="86" t="str">
        <f>TiposLancamentos!B57</f>
        <v>Informática</v>
      </c>
      <c r="C3636" s="3" t="s">
        <v>4529</v>
      </c>
      <c r="D3636" s="78"/>
      <c r="E3636" s="1480">
        <v>20</v>
      </c>
    </row>
    <row r="3637" spans="1:5">
      <c r="A3637" s="769">
        <v>42064</v>
      </c>
      <c r="B3637" s="86" t="str">
        <f>TiposLancamentos!B18</f>
        <v>Alimentacao</v>
      </c>
      <c r="C3637" s="3" t="s">
        <v>4530</v>
      </c>
      <c r="D3637" s="78"/>
      <c r="E3637" s="1480">
        <v>4</v>
      </c>
    </row>
    <row r="3638" spans="1:5">
      <c r="A3638" s="769">
        <v>42083</v>
      </c>
      <c r="B3638" s="86" t="str">
        <f>TiposLancamentos!B20</f>
        <v>Saques</v>
      </c>
      <c r="C3638" s="3" t="s">
        <v>3401</v>
      </c>
      <c r="D3638" s="78">
        <v>150</v>
      </c>
      <c r="E3638" s="1480"/>
    </row>
    <row r="3639" spans="1:5">
      <c r="A3639" s="769">
        <v>42083</v>
      </c>
      <c r="B3639" s="86" t="str">
        <f>TiposLancamentos!B88</f>
        <v>Ford Ecosport XLT</v>
      </c>
      <c r="C3639" s="3" t="s">
        <v>4531</v>
      </c>
      <c r="D3639" s="78"/>
      <c r="E3639" s="1480">
        <v>140</v>
      </c>
    </row>
    <row r="3640" spans="1:5">
      <c r="A3640" s="769">
        <v>42085</v>
      </c>
      <c r="B3640" s="86" t="str">
        <f>TiposLancamentos!B24</f>
        <v>Estacionamentos</v>
      </c>
      <c r="C3640" s="3" t="s">
        <v>4532</v>
      </c>
      <c r="D3640" s="78"/>
      <c r="E3640" s="1480">
        <v>5</v>
      </c>
    </row>
    <row r="3641" spans="1:5">
      <c r="A3641" s="769">
        <v>42087</v>
      </c>
      <c r="B3641" s="86" t="str">
        <f>TiposLancamentos!B20</f>
        <v>Saques</v>
      </c>
      <c r="C3641" s="3" t="s">
        <v>3472</v>
      </c>
      <c r="D3641" s="78">
        <v>270</v>
      </c>
      <c r="E3641" s="1480"/>
    </row>
    <row r="3642" spans="1:5">
      <c r="A3642" s="769">
        <v>42087</v>
      </c>
      <c r="B3642" s="86" t="str">
        <f>TiposLancamentos!B88</f>
        <v>Ford Ecosport XLT</v>
      </c>
      <c r="C3642" s="3" t="s">
        <v>4533</v>
      </c>
      <c r="D3642" s="78"/>
      <c r="E3642" s="1480">
        <v>270</v>
      </c>
    </row>
    <row r="3643" spans="1:5">
      <c r="A3643" s="769">
        <v>42131</v>
      </c>
      <c r="B3643" s="86" t="str">
        <f>TiposLancamentos!B20</f>
        <v>Saques</v>
      </c>
      <c r="C3643" s="3" t="s">
        <v>3604</v>
      </c>
      <c r="D3643" s="78">
        <v>20</v>
      </c>
      <c r="E3643" s="1480"/>
    </row>
    <row r="3644" spans="1:5">
      <c r="A3644" s="769">
        <v>42131</v>
      </c>
      <c r="B3644" s="86" t="str">
        <f>TiposLancamentos!B54</f>
        <v>Metro</v>
      </c>
      <c r="C3644" s="3" t="s">
        <v>4534</v>
      </c>
      <c r="D3644" s="78"/>
      <c r="E3644" s="1480">
        <v>7</v>
      </c>
    </row>
    <row r="3645" spans="1:5">
      <c r="A3645" s="769">
        <v>42138</v>
      </c>
      <c r="B3645" s="86" t="str">
        <f>TiposLancamentos!B62</f>
        <v>Papelaria</v>
      </c>
      <c r="C3645" s="3" t="s">
        <v>4535</v>
      </c>
      <c r="D3645" s="78"/>
      <c r="E3645" s="1480">
        <v>2</v>
      </c>
    </row>
    <row r="3646" spans="1:5">
      <c r="A3646" s="769">
        <v>42139</v>
      </c>
      <c r="B3646" s="86" t="str">
        <f>TiposLancamentos!B16</f>
        <v>Cristiane</v>
      </c>
      <c r="C3646" s="3" t="s">
        <v>1698</v>
      </c>
      <c r="D3646" s="78"/>
      <c r="E3646" s="1480">
        <v>40</v>
      </c>
    </row>
    <row r="3647" spans="1:5">
      <c r="A3647" s="769">
        <v>42139</v>
      </c>
      <c r="B3647" s="86" t="str">
        <f>TiposLancamentos!B18</f>
        <v>Alimentacao</v>
      </c>
      <c r="C3647" s="3" t="s">
        <v>4536</v>
      </c>
      <c r="D3647" s="78"/>
      <c r="E3647" s="1480">
        <v>44.42</v>
      </c>
    </row>
    <row r="3648" spans="1:5">
      <c r="A3648" s="769">
        <v>42143</v>
      </c>
      <c r="B3648" s="86" t="str">
        <f>TiposLancamentos!B20</f>
        <v>Saques</v>
      </c>
      <c r="C3648" s="3" t="s">
        <v>3472</v>
      </c>
      <c r="D3648" s="78">
        <v>20</v>
      </c>
      <c r="E3648" s="1480"/>
    </row>
    <row r="3649" spans="1:5">
      <c r="A3649" s="769">
        <v>42143</v>
      </c>
      <c r="B3649" s="86" t="str">
        <f>TiposLancamentos!B24</f>
        <v>Estacionamentos</v>
      </c>
      <c r="C3649" s="3" t="s">
        <v>4537</v>
      </c>
      <c r="D3649" s="78"/>
      <c r="E3649" s="1480">
        <v>3</v>
      </c>
    </row>
    <row r="3650" spans="1:5">
      <c r="A3650" s="769">
        <v>42149</v>
      </c>
      <c r="B3650" s="86" t="str">
        <f>TiposLancamentos!B16</f>
        <v>Cristiane</v>
      </c>
      <c r="C3650" s="3" t="s">
        <v>1698</v>
      </c>
      <c r="D3650" s="78"/>
      <c r="E3650" s="1480">
        <v>17</v>
      </c>
    </row>
    <row r="3651" spans="1:5">
      <c r="A3651" s="769">
        <v>42191</v>
      </c>
      <c r="B3651" s="86" t="str">
        <f>TiposLancamentos!B20</f>
        <v>Saques</v>
      </c>
      <c r="C3651" s="3" t="s">
        <v>4538</v>
      </c>
      <c r="D3651" s="78">
        <v>20</v>
      </c>
      <c r="E3651" s="1480"/>
    </row>
    <row r="3652" spans="1:5">
      <c r="A3652" s="769">
        <v>42192</v>
      </c>
      <c r="B3652" s="86" t="str">
        <f>TiposLancamentos!B13</f>
        <v>Moradia</v>
      </c>
      <c r="C3652" s="3" t="s">
        <v>3524</v>
      </c>
      <c r="D3652" s="78"/>
      <c r="E3652" s="1480">
        <v>16</v>
      </c>
    </row>
    <row r="3653" spans="1:5">
      <c r="A3653" s="769">
        <v>42192</v>
      </c>
      <c r="B3653" s="86" t="str">
        <f>TiposLancamentos!B18</f>
        <v>Alimentacao</v>
      </c>
      <c r="C3653" s="3" t="s">
        <v>4539</v>
      </c>
      <c r="D3653" s="78"/>
      <c r="E3653" s="1480">
        <v>4</v>
      </c>
    </row>
    <row r="3654" spans="1:5">
      <c r="A3654" s="769">
        <v>42192</v>
      </c>
      <c r="B3654" s="86" t="str">
        <f>TiposLancamentos!B20</f>
        <v>Saques</v>
      </c>
      <c r="C3654" s="3" t="s">
        <v>3604</v>
      </c>
      <c r="D3654" s="78">
        <v>30</v>
      </c>
      <c r="E3654" s="1480"/>
    </row>
    <row r="3655" spans="1:5">
      <c r="A3655" s="769">
        <v>42193</v>
      </c>
      <c r="B3655" s="86" t="str">
        <f>TiposLancamentos!B24</f>
        <v>Estacionamentos</v>
      </c>
      <c r="C3655" s="3" t="s">
        <v>3398</v>
      </c>
      <c r="D3655" s="78"/>
      <c r="E3655" s="1480">
        <v>8</v>
      </c>
    </row>
    <row r="3656" spans="1:5">
      <c r="A3656" s="769">
        <v>42201</v>
      </c>
      <c r="B3656" s="86" t="str">
        <f>TiposLancamentos!B24</f>
        <v>Estacionamentos</v>
      </c>
      <c r="C3656" s="3" t="s">
        <v>4540</v>
      </c>
      <c r="D3656" s="78"/>
      <c r="E3656" s="1480">
        <v>4</v>
      </c>
    </row>
    <row r="3657" spans="1:5">
      <c r="A3657" s="769">
        <v>42201</v>
      </c>
      <c r="B3657" s="86" t="str">
        <f>TiposLancamentos!B24</f>
        <v>Estacionamentos</v>
      </c>
      <c r="C3657" s="3" t="s">
        <v>3398</v>
      </c>
      <c r="D3657" s="78"/>
      <c r="E3657" s="1480">
        <v>10</v>
      </c>
    </row>
    <row r="3658" spans="1:5">
      <c r="A3658" s="769">
        <v>42202</v>
      </c>
      <c r="B3658" s="86" t="str">
        <f>TiposLancamentos!B16</f>
        <v>Cristiane</v>
      </c>
      <c r="C3658" s="3" t="s">
        <v>4296</v>
      </c>
      <c r="D3658" s="78"/>
      <c r="E3658" s="1480">
        <v>8</v>
      </c>
    </row>
    <row r="3659" spans="1:5">
      <c r="A3659" s="769">
        <v>42205</v>
      </c>
      <c r="B3659" s="86" t="str">
        <f>TiposLancamentos!B20</f>
        <v>Saques</v>
      </c>
      <c r="C3659" s="3" t="s">
        <v>3604</v>
      </c>
      <c r="D3659" s="78">
        <v>20</v>
      </c>
      <c r="E3659" s="1480"/>
    </row>
    <row r="3660" spans="1:5">
      <c r="A3660" s="769">
        <v>42205</v>
      </c>
      <c r="B3660" s="86" t="str">
        <f>TiposLancamentos!B54</f>
        <v>Metro</v>
      </c>
      <c r="C3660" s="3" t="s">
        <v>4541</v>
      </c>
      <c r="D3660" s="78"/>
      <c r="E3660" s="1480">
        <v>7</v>
      </c>
    </row>
    <row r="3661" spans="1:5">
      <c r="A3661" s="769">
        <v>42206</v>
      </c>
      <c r="B3661" s="86" t="str">
        <f>TiposLancamentos!B54</f>
        <v>Metro</v>
      </c>
      <c r="C3661" s="3" t="s">
        <v>4542</v>
      </c>
      <c r="D3661" s="78"/>
      <c r="E3661" s="1480">
        <v>7</v>
      </c>
    </row>
    <row r="3662" spans="1:5">
      <c r="A3662" s="769">
        <v>42206</v>
      </c>
      <c r="B3662" s="86" t="str">
        <f>TiposLancamentos!B20</f>
        <v>Saques</v>
      </c>
      <c r="C3662" s="3" t="s">
        <v>3604</v>
      </c>
      <c r="D3662" s="78">
        <v>40</v>
      </c>
      <c r="E3662" s="1480"/>
    </row>
    <row r="3663" spans="1:5">
      <c r="A3663" s="769">
        <v>42206</v>
      </c>
      <c r="B3663" s="86" t="str">
        <f>TiposLancamentos!B54</f>
        <v>Metro</v>
      </c>
      <c r="C3663" s="3" t="s">
        <v>4543</v>
      </c>
      <c r="D3663" s="78"/>
      <c r="E3663" s="1480">
        <v>7</v>
      </c>
    </row>
    <row r="3664" spans="1:5">
      <c r="A3664" s="769">
        <v>42206</v>
      </c>
      <c r="B3664" s="86" t="str">
        <f>TiposLancamentos!B19</f>
        <v>Restaurantes</v>
      </c>
      <c r="C3664" s="3" t="s">
        <v>4544</v>
      </c>
      <c r="D3664" s="78"/>
      <c r="E3664" s="1480">
        <v>13.9</v>
      </c>
    </row>
    <row r="3665" spans="1:5">
      <c r="A3665" s="769">
        <v>42206</v>
      </c>
      <c r="B3665" s="86" t="str">
        <f>TiposLancamentos!B19</f>
        <v>Restaurantes</v>
      </c>
      <c r="C3665" s="3" t="s">
        <v>4545</v>
      </c>
      <c r="D3665" s="78"/>
      <c r="E3665" s="1480">
        <v>3</v>
      </c>
    </row>
    <row r="3666" spans="1:5">
      <c r="A3666" s="769">
        <v>42206</v>
      </c>
      <c r="B3666" s="86" t="str">
        <f>TiposLancamentos!B18</f>
        <v>Alimentacao</v>
      </c>
      <c r="C3666" s="3" t="s">
        <v>2854</v>
      </c>
      <c r="D3666" s="78"/>
      <c r="E3666" s="1480">
        <v>1.5</v>
      </c>
    </row>
    <row r="3667" spans="1:5">
      <c r="A3667" s="769">
        <v>42207</v>
      </c>
      <c r="B3667" s="86" t="str">
        <f>TiposLancamentos!B16</f>
        <v>Cristiane</v>
      </c>
      <c r="C3667" s="3" t="s">
        <v>4296</v>
      </c>
      <c r="D3667" s="78"/>
      <c r="E3667" s="1480">
        <v>20</v>
      </c>
    </row>
    <row r="3668" spans="1:5">
      <c r="A3668" s="769">
        <v>42208</v>
      </c>
      <c r="B3668" s="86" t="str">
        <f>TiposLancamentos!B20</f>
        <v>Saques</v>
      </c>
      <c r="C3668" s="3" t="s">
        <v>3604</v>
      </c>
      <c r="D3668" s="78">
        <v>30</v>
      </c>
      <c r="E3668" s="1480"/>
    </row>
    <row r="3669" spans="1:5">
      <c r="A3669" s="769">
        <v>42208</v>
      </c>
      <c r="B3669" s="86" t="str">
        <f>TiposLancamentos!B19</f>
        <v>Restaurantes</v>
      </c>
      <c r="C3669" s="3" t="s">
        <v>4546</v>
      </c>
      <c r="D3669" s="78"/>
      <c r="E3669" s="1480">
        <v>20.5</v>
      </c>
    </row>
    <row r="3670" spans="1:5">
      <c r="A3670" s="769">
        <v>42213</v>
      </c>
      <c r="B3670" s="86" t="str">
        <f>TiposLancamentos!B19</f>
        <v>Restaurantes</v>
      </c>
      <c r="C3670" s="3" t="s">
        <v>4547</v>
      </c>
      <c r="D3670" s="78"/>
      <c r="E3670" s="1480">
        <v>2</v>
      </c>
    </row>
    <row r="3671" spans="1:5">
      <c r="A3671" s="769">
        <v>42213</v>
      </c>
      <c r="B3671" s="86" t="str">
        <f>TiposLancamentos!B19</f>
        <v>Restaurantes</v>
      </c>
      <c r="C3671" s="3" t="s">
        <v>2150</v>
      </c>
      <c r="D3671" s="78"/>
      <c r="E3671" s="1480">
        <v>7</v>
      </c>
    </row>
    <row r="3672" spans="1:5">
      <c r="A3672" s="769">
        <v>42226</v>
      </c>
      <c r="B3672" s="86" t="str">
        <f>TiposLancamentos!B18</f>
        <v>Alimentacao</v>
      </c>
      <c r="C3672" s="3" t="s">
        <v>4548</v>
      </c>
      <c r="D3672" s="78"/>
      <c r="E3672" s="1480">
        <v>1</v>
      </c>
    </row>
    <row r="3673" spans="1:5">
      <c r="A3673" s="769">
        <v>42228</v>
      </c>
      <c r="B3673" s="86" t="str">
        <f>TiposLancamentos!B20</f>
        <v>Saques</v>
      </c>
      <c r="C3673" s="3" t="s">
        <v>3401</v>
      </c>
      <c r="D3673" s="78">
        <v>20</v>
      </c>
      <c r="E3673" s="1480"/>
    </row>
    <row r="3674" spans="1:5">
      <c r="A3674" s="769">
        <v>42229</v>
      </c>
      <c r="B3674" s="86" t="str">
        <f>TiposLancamentos!B24</f>
        <v>Estacionamentos</v>
      </c>
      <c r="C3674" s="3" t="s">
        <v>4549</v>
      </c>
      <c r="D3674" s="78"/>
      <c r="E3674" s="1480">
        <v>13</v>
      </c>
    </row>
    <row r="3675" spans="1:5">
      <c r="A3675" s="769">
        <v>42233</v>
      </c>
      <c r="B3675" s="86" t="str">
        <f>TiposLancamentos!B20</f>
        <v>Saques</v>
      </c>
      <c r="C3675" s="3" t="s">
        <v>3472</v>
      </c>
      <c r="D3675" s="78">
        <v>20</v>
      </c>
      <c r="E3675" s="1480"/>
    </row>
    <row r="3676" spans="1:5">
      <c r="A3676" s="769">
        <v>42234</v>
      </c>
      <c r="B3676" s="86" t="str">
        <f>TiposLancamentos!B24</f>
        <v>Estacionamentos</v>
      </c>
      <c r="C3676" s="3" t="s">
        <v>4550</v>
      </c>
      <c r="D3676" s="78"/>
      <c r="E3676" s="1480">
        <v>7</v>
      </c>
    </row>
    <row r="3677" spans="1:5">
      <c r="A3677" s="769">
        <v>42234</v>
      </c>
      <c r="B3677" s="86" t="str">
        <f>TiposLancamentos!B13</f>
        <v>Moradia</v>
      </c>
      <c r="C3677" s="3" t="s">
        <v>4150</v>
      </c>
      <c r="D3677" s="78"/>
      <c r="E3677" s="1480">
        <v>16</v>
      </c>
    </row>
    <row r="3678" spans="1:5">
      <c r="A3678" s="769">
        <v>42235</v>
      </c>
      <c r="B3678" s="86" t="str">
        <f>TiposLancamentos!B18</f>
        <v>Alimentacao</v>
      </c>
      <c r="C3678" s="3" t="s">
        <v>3361</v>
      </c>
      <c r="D3678" s="78"/>
      <c r="E3678" s="1480">
        <v>3</v>
      </c>
    </row>
    <row r="3679" spans="1:5">
      <c r="A3679" s="769">
        <v>42235</v>
      </c>
      <c r="B3679" s="86" t="str">
        <f>TiposLancamentos!B20</f>
        <v>Saques</v>
      </c>
      <c r="C3679" s="3" t="s">
        <v>3604</v>
      </c>
      <c r="D3679" s="78">
        <v>40</v>
      </c>
      <c r="E3679" s="1480"/>
    </row>
    <row r="3680" spans="1:5">
      <c r="A3680" s="769">
        <v>42235</v>
      </c>
      <c r="B3680" s="86" t="str">
        <f>TiposLancamentos!B87</f>
        <v>P207-1.6-XS</v>
      </c>
      <c r="C3680" s="3" t="s">
        <v>4551</v>
      </c>
      <c r="D3680" s="78"/>
      <c r="E3680" s="1480">
        <v>30</v>
      </c>
    </row>
    <row r="3681" spans="1:5">
      <c r="A3681" s="769">
        <v>42240</v>
      </c>
      <c r="B3681" s="86" t="str">
        <f>TiposLancamentos!B20</f>
        <v>Saques</v>
      </c>
      <c r="C3681" s="3" t="s">
        <v>3604</v>
      </c>
      <c r="D3681" s="78">
        <v>50</v>
      </c>
      <c r="E3681" s="1480"/>
    </row>
    <row r="3682" spans="1:5">
      <c r="A3682" s="769">
        <v>42240</v>
      </c>
      <c r="B3682" s="86" t="str">
        <f>TiposLancamentos!B18</f>
        <v>Alimentacao</v>
      </c>
      <c r="C3682" s="3" t="s">
        <v>4552</v>
      </c>
      <c r="D3682" s="78"/>
      <c r="E3682" s="1480">
        <v>5</v>
      </c>
    </row>
    <row r="3683" spans="1:5">
      <c r="A3683" s="769">
        <v>42240</v>
      </c>
      <c r="B3683" s="86" t="str">
        <f>TiposLancamentos!B24</f>
        <v>Estacionamentos</v>
      </c>
      <c r="C3683" s="3" t="s">
        <v>4553</v>
      </c>
      <c r="D3683" s="78"/>
      <c r="E3683" s="1480">
        <v>10</v>
      </c>
    </row>
    <row r="3684" spans="1:5">
      <c r="A3684" s="769">
        <v>42247</v>
      </c>
      <c r="B3684" s="86" t="str">
        <f>TiposLancamentos!B18</f>
        <v>Alimentacao</v>
      </c>
      <c r="C3684" s="3" t="s">
        <v>4552</v>
      </c>
      <c r="D3684" s="78"/>
      <c r="E3684" s="1480">
        <v>4.5</v>
      </c>
    </row>
    <row r="3685" spans="1:5">
      <c r="A3685" s="769">
        <v>42248</v>
      </c>
      <c r="B3685" s="86" t="str">
        <f>TiposLancamentos!B24</f>
        <v>Estacionamentos</v>
      </c>
      <c r="C3685" s="3" t="s">
        <v>4553</v>
      </c>
      <c r="D3685" s="78"/>
      <c r="E3685" s="1480">
        <v>10</v>
      </c>
    </row>
    <row r="3686" spans="1:5">
      <c r="A3686" s="769">
        <v>42251</v>
      </c>
      <c r="B3686" s="86" t="str">
        <f>TiposLancamentos!B62</f>
        <v>Papelaria</v>
      </c>
      <c r="C3686" s="3" t="s">
        <v>4554</v>
      </c>
      <c r="D3686" s="78"/>
      <c r="E3686" s="1480">
        <v>2.5</v>
      </c>
    </row>
    <row r="3687" spans="1:5">
      <c r="A3687" s="769">
        <v>42251</v>
      </c>
      <c r="B3687" s="86" t="str">
        <f>TiposLancamentos!B24</f>
        <v>Estacionamentos</v>
      </c>
      <c r="C3687" s="3" t="s">
        <v>3398</v>
      </c>
      <c r="D3687" s="78"/>
      <c r="E3687" s="1480">
        <v>10</v>
      </c>
    </row>
    <row r="3688" spans="1:5">
      <c r="A3688" s="769">
        <v>42251</v>
      </c>
      <c r="B3688" s="86" t="str">
        <f>TiposLancamentos!B54</f>
        <v>Metro</v>
      </c>
      <c r="C3688" s="3" t="s">
        <v>4555</v>
      </c>
      <c r="D3688" s="78"/>
      <c r="E3688" s="1480">
        <v>7</v>
      </c>
    </row>
    <row r="3689" spans="1:5">
      <c r="A3689" s="769">
        <v>42263</v>
      </c>
      <c r="B3689" s="86" t="str">
        <f>TiposLancamentos!B18</f>
        <v>Alimentacao</v>
      </c>
      <c r="C3689" s="3" t="s">
        <v>4556</v>
      </c>
      <c r="D3689" s="78"/>
      <c r="E3689" s="1480">
        <v>7</v>
      </c>
    </row>
    <row r="3690" spans="1:5">
      <c r="A3690" s="769">
        <v>42268</v>
      </c>
      <c r="B3690" s="86" t="str">
        <f>TiposLancamentos!B20</f>
        <v>Saques</v>
      </c>
      <c r="C3690" s="3" t="s">
        <v>3604</v>
      </c>
      <c r="D3690" s="78">
        <v>30</v>
      </c>
      <c r="E3690" s="1480"/>
    </row>
    <row r="3691" spans="1:5">
      <c r="A3691" s="769">
        <v>42269</v>
      </c>
      <c r="B3691" s="86" t="str">
        <f>TiposLancamentos!B24</f>
        <v>Estacionamentos</v>
      </c>
      <c r="C3691" s="3" t="s">
        <v>4553</v>
      </c>
      <c r="D3691" s="78"/>
      <c r="E3691" s="1480">
        <v>10</v>
      </c>
    </row>
    <row r="3692" spans="1:5">
      <c r="A3692" s="769">
        <v>42270</v>
      </c>
      <c r="B3692" s="86" t="str">
        <f>TiposLancamentos!B24</f>
        <v>Estacionamentos</v>
      </c>
      <c r="C3692" s="3" t="s">
        <v>3398</v>
      </c>
      <c r="D3692" s="78"/>
      <c r="E3692" s="1480">
        <v>5</v>
      </c>
    </row>
    <row r="3693" spans="1:5">
      <c r="A3693" s="769">
        <v>42270</v>
      </c>
      <c r="B3693" s="86" t="str">
        <f>TiposLancamentos!B18</f>
        <v>Alimentacao</v>
      </c>
      <c r="C3693" s="3" t="s">
        <v>4557</v>
      </c>
      <c r="D3693" s="78"/>
      <c r="E3693" s="1480">
        <v>4.5</v>
      </c>
    </row>
    <row r="3694" spans="1:5">
      <c r="A3694" s="769">
        <v>42271</v>
      </c>
      <c r="B3694" s="86" t="str">
        <f>TiposLancamentos!B20</f>
        <v>Saques</v>
      </c>
      <c r="C3694" s="3" t="s">
        <v>3604</v>
      </c>
      <c r="D3694" s="78">
        <v>10</v>
      </c>
      <c r="E3694" s="1480"/>
    </row>
    <row r="3695" spans="1:5">
      <c r="A3695" s="769">
        <v>42272</v>
      </c>
      <c r="B3695" s="86" t="str">
        <f>B3692</f>
        <v>Estacionamentos</v>
      </c>
      <c r="C3695" s="3" t="s">
        <v>4558</v>
      </c>
      <c r="D3695" s="78"/>
      <c r="E3695" s="1480">
        <v>10</v>
      </c>
    </row>
    <row r="3696" spans="1:5">
      <c r="A3696" s="769">
        <v>42273</v>
      </c>
      <c r="B3696" s="86" t="str">
        <f>TiposLancamentos!B62</f>
        <v>Papelaria</v>
      </c>
      <c r="C3696" s="3" t="s">
        <v>4559</v>
      </c>
      <c r="D3696" s="78"/>
      <c r="E3696" s="1480">
        <v>2</v>
      </c>
    </row>
    <row r="3697" spans="1:5">
      <c r="A3697" s="769">
        <v>42274</v>
      </c>
      <c r="B3697" s="86" t="str">
        <f>TiposLancamentos!B20</f>
        <v>Saques</v>
      </c>
      <c r="C3697" s="3" t="s">
        <v>3604</v>
      </c>
      <c r="D3697" s="78">
        <v>60</v>
      </c>
      <c r="E3697" s="1480"/>
    </row>
    <row r="3698" spans="1:5">
      <c r="A3698" s="769">
        <v>42274</v>
      </c>
      <c r="B3698" s="86" t="str">
        <f>TiposLancamentos!B18</f>
        <v>Alimentacao</v>
      </c>
      <c r="C3698" s="3" t="s">
        <v>4560</v>
      </c>
      <c r="D3698" s="78"/>
      <c r="E3698" s="1480">
        <v>11</v>
      </c>
    </row>
    <row r="3699" spans="1:5">
      <c r="A3699" s="769">
        <v>42274</v>
      </c>
      <c r="B3699" s="86" t="str">
        <f>TiposLancamentos!B24</f>
        <v>Estacionamentos</v>
      </c>
      <c r="C3699" s="3" t="s">
        <v>4561</v>
      </c>
      <c r="D3699" s="78"/>
      <c r="E3699" s="1480">
        <v>14</v>
      </c>
    </row>
    <row r="3700" spans="1:5">
      <c r="A3700" s="769">
        <v>42278</v>
      </c>
      <c r="B3700" s="86" t="str">
        <f>TiposLancamentos!B16</f>
        <v>Cristiane</v>
      </c>
      <c r="C3700" s="3" t="s">
        <v>4296</v>
      </c>
      <c r="D3700" s="78"/>
      <c r="E3700" s="1480">
        <v>20</v>
      </c>
    </row>
    <row r="3701" spans="1:5">
      <c r="A3701" s="769">
        <v>42279</v>
      </c>
      <c r="B3701" s="86" t="str">
        <f>TiposLancamentos!B24</f>
        <v>Estacionamentos</v>
      </c>
      <c r="C3701" s="3" t="s">
        <v>3398</v>
      </c>
      <c r="D3701" s="78"/>
      <c r="E3701" s="1480">
        <v>7</v>
      </c>
    </row>
    <row r="3702" spans="1:5">
      <c r="A3702" s="769">
        <v>42279</v>
      </c>
      <c r="B3702" s="86" t="str">
        <f>TiposLancamentos!B18</f>
        <v>Alimentacao</v>
      </c>
      <c r="C3702" s="3" t="s">
        <v>4562</v>
      </c>
      <c r="D3702" s="78"/>
      <c r="E3702" s="1480">
        <v>4</v>
      </c>
    </row>
    <row r="3703" spans="1:5">
      <c r="A3703" s="769">
        <v>42281</v>
      </c>
      <c r="B3703" s="86" t="str">
        <f>TiposLancamentos!B13</f>
        <v>Moradia</v>
      </c>
      <c r="C3703" s="3" t="s">
        <v>4563</v>
      </c>
      <c r="D3703" s="78"/>
      <c r="E3703" s="1480">
        <v>17</v>
      </c>
    </row>
    <row r="3704" spans="1:5">
      <c r="A3704" s="769">
        <v>42283</v>
      </c>
      <c r="B3704" s="86" t="str">
        <f>TiposLancamentos!B20</f>
        <v>Saques</v>
      </c>
      <c r="C3704" s="3" t="s">
        <v>3604</v>
      </c>
      <c r="D3704" s="78">
        <v>40</v>
      </c>
      <c r="E3704" s="1480"/>
    </row>
    <row r="3705" spans="1:5">
      <c r="A3705" s="769">
        <v>42283</v>
      </c>
      <c r="B3705" s="86" t="str">
        <f>TiposLancamentos!B87</f>
        <v>P207-1.6-XS</v>
      </c>
      <c r="C3705" s="3" t="s">
        <v>4564</v>
      </c>
      <c r="D3705" s="78"/>
      <c r="E3705" s="1480">
        <v>20</v>
      </c>
    </row>
    <row r="3706" spans="1:5">
      <c r="A3706" s="769">
        <v>42292</v>
      </c>
      <c r="B3706" s="86" t="str">
        <f>TiposLancamentos!B19</f>
        <v>Restaurantes</v>
      </c>
      <c r="C3706" s="3" t="s">
        <v>4565</v>
      </c>
      <c r="D3706" s="78"/>
      <c r="E3706" s="1480">
        <v>5.6</v>
      </c>
    </row>
    <row r="3707" spans="1:5">
      <c r="A3707" s="769">
        <v>42293</v>
      </c>
      <c r="B3707" s="86" t="str">
        <f>TiposLancamentos!B13</f>
        <v>Moradia</v>
      </c>
      <c r="C3707" s="3" t="s">
        <v>4566</v>
      </c>
      <c r="D3707" s="78"/>
      <c r="E3707" s="1480">
        <v>15</v>
      </c>
    </row>
    <row r="3708" spans="1:5">
      <c r="A3708" s="769">
        <v>42293</v>
      </c>
      <c r="B3708" s="86" t="str">
        <f>TiposLancamentos!B20</f>
        <v>Saques</v>
      </c>
      <c r="C3708" s="3" t="s">
        <v>4567</v>
      </c>
      <c r="D3708" s="78">
        <v>200</v>
      </c>
      <c r="E3708" s="1480"/>
    </row>
    <row r="3709" spans="1:5">
      <c r="A3709" s="769">
        <v>42294</v>
      </c>
      <c r="B3709" s="86" t="str">
        <f>TiposLancamentos!B73</f>
        <v>Cursos</v>
      </c>
      <c r="C3709" s="3" t="s">
        <v>4568</v>
      </c>
      <c r="D3709" s="78"/>
      <c r="E3709" s="1480">
        <v>150</v>
      </c>
    </row>
    <row r="3710" spans="1:5">
      <c r="A3710" s="769">
        <v>42294</v>
      </c>
      <c r="B3710" s="86" t="str">
        <f>TiposLancamentos!B24</f>
        <v>Estacionamentos</v>
      </c>
      <c r="C3710" s="3" t="s">
        <v>4569</v>
      </c>
      <c r="D3710" s="78"/>
      <c r="E3710" s="1480">
        <v>30</v>
      </c>
    </row>
    <row r="3711" spans="1:5">
      <c r="A3711" s="769">
        <v>42299</v>
      </c>
      <c r="B3711" s="86" t="str">
        <f>TiposLancamentos!B16</f>
        <v>Cristiane</v>
      </c>
      <c r="C3711" s="3" t="s">
        <v>2888</v>
      </c>
      <c r="D3711" s="78">
        <v>120</v>
      </c>
      <c r="E3711" s="1480"/>
    </row>
    <row r="3712" spans="1:5">
      <c r="A3712" s="769">
        <v>42301</v>
      </c>
      <c r="B3712" s="86" t="str">
        <f>TiposLancamentos!B16</f>
        <v>Cristiane</v>
      </c>
      <c r="C3712" s="3" t="s">
        <v>4570</v>
      </c>
      <c r="D3712" s="78"/>
      <c r="E3712" s="1480">
        <v>100</v>
      </c>
    </row>
    <row r="3713" spans="1:5">
      <c r="A3713" s="769">
        <v>42301</v>
      </c>
      <c r="B3713" s="86" t="str">
        <f>TiposLancamentos!B24</f>
        <v>Estacionamentos</v>
      </c>
      <c r="C3713" s="3" t="s">
        <v>4571</v>
      </c>
      <c r="D3713" s="78"/>
      <c r="E3713" s="1480">
        <v>25</v>
      </c>
    </row>
    <row r="3714" spans="1:5">
      <c r="A3714" s="769">
        <v>42303</v>
      </c>
      <c r="B3714" s="86" t="str">
        <f>TiposLancamentos!B18</f>
        <v>Alimentacao</v>
      </c>
      <c r="C3714" s="3" t="s">
        <v>4572</v>
      </c>
      <c r="D3714" s="78"/>
      <c r="E3714" s="1480">
        <f>2.5+3.5</f>
        <v>6</v>
      </c>
    </row>
    <row r="3715" spans="1:5">
      <c r="A3715" s="769">
        <v>42305</v>
      </c>
      <c r="B3715" s="86" t="str">
        <f>TiposLancamentos!B20</f>
        <v>Saques</v>
      </c>
      <c r="C3715" s="3" t="s">
        <v>3604</v>
      </c>
      <c r="D3715" s="78">
        <v>140</v>
      </c>
      <c r="E3715" s="1480"/>
    </row>
    <row r="3716" spans="1:5">
      <c r="A3716" s="769">
        <v>42305</v>
      </c>
      <c r="B3716" s="86" t="str">
        <f>TiposLancamentos!B24</f>
        <v>Estacionamentos</v>
      </c>
      <c r="C3716" s="3" t="s">
        <v>3398</v>
      </c>
      <c r="D3716" s="78"/>
      <c r="E3716" s="1480">
        <v>7</v>
      </c>
    </row>
    <row r="3717" spans="1:5">
      <c r="A3717" s="769">
        <v>42305</v>
      </c>
      <c r="B3717" s="86" t="str">
        <f>TiposLancamentos!B66</f>
        <v>Faxineira</v>
      </c>
      <c r="C3717" s="3" t="s">
        <v>4148</v>
      </c>
      <c r="D3717" s="78"/>
      <c r="E3717" s="1480">
        <v>120</v>
      </c>
    </row>
    <row r="3718" spans="1:5">
      <c r="A3718" s="769">
        <v>42308</v>
      </c>
      <c r="B3718" s="86" t="str">
        <f>TiposLancamentos!B24</f>
        <v>Estacionamentos</v>
      </c>
      <c r="C3718" s="3" t="s">
        <v>3398</v>
      </c>
      <c r="D3718" s="78"/>
      <c r="E3718" s="1480">
        <v>7</v>
      </c>
    </row>
    <row r="3719" spans="1:5">
      <c r="A3719" s="769">
        <v>42311</v>
      </c>
      <c r="B3719" s="86" t="str">
        <f>TiposLancamentos!B24</f>
        <v>Estacionamentos</v>
      </c>
      <c r="C3719" s="3" t="s">
        <v>4573</v>
      </c>
      <c r="D3719" s="78"/>
      <c r="E3719" s="1480">
        <v>5</v>
      </c>
    </row>
    <row r="3720" spans="1:5">
      <c r="A3720" s="769">
        <v>42312</v>
      </c>
      <c r="B3720" s="86" t="str">
        <f>B3715</f>
        <v>Saques</v>
      </c>
      <c r="C3720" s="3" t="s">
        <v>3604</v>
      </c>
      <c r="D3720" s="78">
        <v>160</v>
      </c>
      <c r="E3720" s="1480"/>
    </row>
    <row r="3721" spans="1:5">
      <c r="A3721" s="769">
        <v>42312</v>
      </c>
      <c r="B3721" s="86" t="str">
        <f>TiposLancamentos!B66</f>
        <v>Faxineira</v>
      </c>
      <c r="C3721" s="3" t="s">
        <v>3901</v>
      </c>
      <c r="D3721" s="78"/>
      <c r="E3721" s="1480">
        <v>120</v>
      </c>
    </row>
    <row r="3722" spans="1:5">
      <c r="A3722" s="769">
        <v>42319</v>
      </c>
      <c r="B3722" s="86" t="str">
        <f>TiposLancamentos!B66</f>
        <v>Faxineira</v>
      </c>
      <c r="C3722" s="3" t="s">
        <v>4574</v>
      </c>
      <c r="D3722" s="78"/>
      <c r="E3722" s="1480">
        <v>20</v>
      </c>
    </row>
    <row r="3723" spans="1:5">
      <c r="A3723" s="769">
        <v>42326</v>
      </c>
      <c r="B3723" s="86" t="str">
        <f>TiposLancamentos!B20</f>
        <v>Saques</v>
      </c>
      <c r="C3723" s="3" t="s">
        <v>3604</v>
      </c>
      <c r="D3723" s="78">
        <v>300</v>
      </c>
      <c r="E3723" s="1480"/>
    </row>
    <row r="3724" spans="1:5">
      <c r="A3724" s="769">
        <v>42326</v>
      </c>
      <c r="B3724" s="86" t="str">
        <f>TiposLancamentos!B66</f>
        <v>Faxineira</v>
      </c>
      <c r="C3724" s="3" t="s">
        <v>4574</v>
      </c>
      <c r="D3724" s="78"/>
      <c r="E3724" s="1480">
        <v>250</v>
      </c>
    </row>
    <row r="3725" spans="1:5">
      <c r="A3725" s="769">
        <v>42333</v>
      </c>
      <c r="B3725" s="86" t="str">
        <f>TiposLancamentos!B66</f>
        <v>Faxineira</v>
      </c>
      <c r="C3725" s="3" t="s">
        <v>4575</v>
      </c>
      <c r="D3725" s="78"/>
      <c r="E3725" s="1480">
        <v>50</v>
      </c>
    </row>
    <row r="3726" spans="1:5">
      <c r="A3726" s="769">
        <v>42333</v>
      </c>
      <c r="B3726" s="86" t="str">
        <f>TiposLancamentos!B16</f>
        <v>Cristiane</v>
      </c>
      <c r="C3726" s="3" t="s">
        <v>3100</v>
      </c>
      <c r="D3726" s="78"/>
      <c r="E3726" s="1480">
        <v>30</v>
      </c>
    </row>
    <row r="3727" spans="1:5">
      <c r="A3727" s="769">
        <v>42336</v>
      </c>
      <c r="B3727" s="86" t="str">
        <f>TiposLancamentos!B20</f>
        <v>Saques</v>
      </c>
      <c r="C3727" s="3" t="s">
        <v>4576</v>
      </c>
      <c r="D3727" s="78">
        <v>20</v>
      </c>
      <c r="E3727" s="1480"/>
    </row>
    <row r="3728" spans="1:5">
      <c r="A3728" s="769">
        <v>42337</v>
      </c>
      <c r="B3728" s="86" t="str">
        <f>TiposLancamentos!B77</f>
        <v>Esporádico</v>
      </c>
      <c r="C3728" s="3" t="s">
        <v>4577</v>
      </c>
      <c r="D3728" s="78"/>
      <c r="E3728" s="1480">
        <v>5</v>
      </c>
    </row>
    <row r="3729" spans="1:5">
      <c r="A3729" s="769">
        <v>42340</v>
      </c>
      <c r="B3729" s="86" t="str">
        <f>TiposLancamentos!B20</f>
        <v>Saques</v>
      </c>
      <c r="C3729" s="3" t="s">
        <v>3778</v>
      </c>
      <c r="D3729" s="78">
        <v>220</v>
      </c>
      <c r="E3729" s="1480"/>
    </row>
    <row r="3730" spans="1:5">
      <c r="A3730" s="769">
        <v>42340</v>
      </c>
      <c r="B3730" s="86" t="str">
        <f>TiposLancamentos!B66</f>
        <v>Faxineira</v>
      </c>
      <c r="C3730" s="3" t="s">
        <v>4575</v>
      </c>
      <c r="D3730" s="78"/>
      <c r="E3730" s="1480">
        <v>220</v>
      </c>
    </row>
    <row r="3731" spans="1:5">
      <c r="A3731" s="769">
        <v>42343</v>
      </c>
      <c r="B3731" s="86" t="str">
        <f>TiposLancamentos!B24</f>
        <v>Estacionamentos</v>
      </c>
      <c r="C3731" s="3" t="s">
        <v>3398</v>
      </c>
      <c r="D3731" s="78"/>
      <c r="E3731" s="1480">
        <v>10</v>
      </c>
    </row>
    <row r="3732" spans="1:5">
      <c r="A3732" s="769">
        <v>42348</v>
      </c>
      <c r="B3732" s="86" t="str">
        <f>TiposLancamentos!B18</f>
        <v>Alimentacao</v>
      </c>
      <c r="C3732" s="3" t="s">
        <v>4578</v>
      </c>
      <c r="D3732" s="78"/>
      <c r="E3732" s="1480">
        <v>5</v>
      </c>
    </row>
    <row r="3733" spans="1:5">
      <c r="A3733" s="769">
        <v>42352</v>
      </c>
      <c r="B3733" s="86" t="str">
        <f>TiposLancamentos!B20</f>
        <v>Saques</v>
      </c>
      <c r="C3733" s="3" t="s">
        <v>4579</v>
      </c>
      <c r="D3733" s="78">
        <v>30</v>
      </c>
      <c r="E3733" s="1480"/>
    </row>
    <row r="3734" spans="1:5">
      <c r="A3734" s="769">
        <v>42352</v>
      </c>
      <c r="B3734" s="86" t="str">
        <f>TiposLancamentos!B54</f>
        <v>Metro</v>
      </c>
      <c r="C3734" s="3" t="s">
        <v>4580</v>
      </c>
      <c r="D3734" s="78"/>
      <c r="E3734" s="1480">
        <v>7</v>
      </c>
    </row>
    <row r="3735" spans="1:5">
      <c r="A3735" s="769">
        <v>42353</v>
      </c>
      <c r="B3735" s="86" t="str">
        <f>TiposLancamentos!B24</f>
        <v>Estacionamentos</v>
      </c>
      <c r="C3735" s="3" t="s">
        <v>3398</v>
      </c>
      <c r="D3735" s="78"/>
      <c r="E3735" s="1480">
        <v>7</v>
      </c>
    </row>
    <row r="3736" spans="1:5">
      <c r="A3736" s="769">
        <v>42354</v>
      </c>
      <c r="B3736" s="86" t="str">
        <f>TiposLancamentos!B20</f>
        <v>Saques</v>
      </c>
      <c r="C3736" s="3" t="s">
        <v>4368</v>
      </c>
      <c r="D3736" s="78">
        <v>220</v>
      </c>
      <c r="E3736" s="1480"/>
    </row>
    <row r="3737" spans="1:5">
      <c r="A3737" s="769">
        <v>42354</v>
      </c>
      <c r="B3737" s="86" t="str">
        <f>TiposLancamentos!B66</f>
        <v>Faxineira</v>
      </c>
      <c r="C3737" s="3" t="s">
        <v>4575</v>
      </c>
      <c r="D3737" s="78"/>
      <c r="E3737" s="1480">
        <v>225</v>
      </c>
    </row>
    <row r="3738" spans="1:5">
      <c r="A3738" s="769">
        <v>42355</v>
      </c>
      <c r="B3738" s="86" t="str">
        <f>TiposLancamentos!B18</f>
        <v>Alimentacao</v>
      </c>
      <c r="C3738" s="3" t="s">
        <v>4578</v>
      </c>
      <c r="D3738" s="78"/>
      <c r="E3738" s="1480">
        <v>6.5</v>
      </c>
    </row>
    <row r="3739" spans="1:5">
      <c r="A3739" s="769">
        <v>42356</v>
      </c>
      <c r="B3739" s="86" t="str">
        <f>TiposLancamentos!B16</f>
        <v>Cristiane</v>
      </c>
      <c r="C3739" s="3" t="s">
        <v>4581</v>
      </c>
      <c r="D3739" s="78"/>
      <c r="E3739" s="1480">
        <v>4.5</v>
      </c>
    </row>
    <row r="3740" spans="1:5">
      <c r="A3740" s="769">
        <v>42374</v>
      </c>
      <c r="B3740" s="86" t="str">
        <f>TiposLancamentos!B20</f>
        <v>Saques</v>
      </c>
      <c r="C3740" s="3" t="s">
        <v>3472</v>
      </c>
      <c r="D3740" s="78">
        <v>100</v>
      </c>
      <c r="E3740" s="1480"/>
    </row>
    <row r="3741" spans="1:5">
      <c r="A3741" s="769">
        <v>42374</v>
      </c>
      <c r="B3741" s="86" t="str">
        <f>TiposLancamentos!B16</f>
        <v>Cristiane</v>
      </c>
      <c r="C3741" s="3" t="s">
        <v>4582</v>
      </c>
      <c r="D3741" s="78"/>
      <c r="E3741" s="1480">
        <v>44</v>
      </c>
    </row>
    <row r="3742" spans="1:5">
      <c r="A3742" s="769">
        <v>42374</v>
      </c>
      <c r="B3742" s="86" t="str">
        <f>TiposLancamentos!B16</f>
        <v>Cristiane</v>
      </c>
      <c r="C3742" s="3" t="s">
        <v>4583</v>
      </c>
      <c r="D3742" s="78"/>
      <c r="E3742" s="1480">
        <v>20</v>
      </c>
    </row>
    <row r="3743" spans="1:5">
      <c r="A3743" s="769">
        <v>42379</v>
      </c>
      <c r="B3743" s="86" t="str">
        <f>TiposLancamentos!B16</f>
        <v>Cristiane</v>
      </c>
      <c r="C3743" s="3" t="s">
        <v>3100</v>
      </c>
      <c r="D3743" s="78"/>
      <c r="E3743" s="1480">
        <v>36</v>
      </c>
    </row>
    <row r="3744" spans="1:5">
      <c r="A3744" s="769">
        <v>42382</v>
      </c>
      <c r="B3744" s="86" t="str">
        <f>TiposLancamentos!B16</f>
        <v>Cristiane</v>
      </c>
      <c r="C3744" s="3" t="s">
        <v>2888</v>
      </c>
      <c r="D3744" s="78">
        <v>50</v>
      </c>
      <c r="E3744" s="1480"/>
    </row>
    <row r="3745" spans="1:5">
      <c r="A3745" s="769">
        <v>42383</v>
      </c>
      <c r="B3745" s="86" t="str">
        <f>TiposLancamentos!B20</f>
        <v>Saques</v>
      </c>
      <c r="C3745" s="3" t="s">
        <v>4584</v>
      </c>
      <c r="D3745" s="78">
        <v>140</v>
      </c>
      <c r="E3745" s="1480"/>
    </row>
    <row r="3746" spans="1:5">
      <c r="A3746" s="769">
        <v>42383</v>
      </c>
      <c r="B3746" s="86" t="str">
        <f>TiposLancamentos!B52</f>
        <v>Multas</v>
      </c>
      <c r="C3746" s="3" t="s">
        <v>4585</v>
      </c>
      <c r="D3746" s="78"/>
      <c r="E3746" s="1480">
        <v>170</v>
      </c>
    </row>
    <row r="3747" spans="1:5">
      <c r="A3747" s="769">
        <v>42385</v>
      </c>
      <c r="B3747" s="86" t="str">
        <f>TiposLancamentos!B20</f>
        <v>Saques</v>
      </c>
      <c r="C3747" s="3" t="s">
        <v>3100</v>
      </c>
      <c r="D3747" s="78"/>
      <c r="E3747" s="1480">
        <v>20</v>
      </c>
    </row>
    <row r="3748" spans="1:5">
      <c r="A3748" s="769">
        <v>42419</v>
      </c>
      <c r="B3748" s="86" t="str">
        <f>TiposLancamentos!B20</f>
        <v>Saques</v>
      </c>
      <c r="C3748" s="3" t="s">
        <v>3604</v>
      </c>
      <c r="D3748" s="78">
        <v>600</v>
      </c>
      <c r="E3748" s="1480"/>
    </row>
    <row r="3749" spans="1:5">
      <c r="A3749" s="769">
        <v>42419</v>
      </c>
      <c r="B3749" s="86" t="str">
        <f>TiposLancamentos!B16</f>
        <v>Cristiane</v>
      </c>
      <c r="C3749" s="3" t="s">
        <v>4586</v>
      </c>
      <c r="D3749" s="78"/>
      <c r="E3749" s="1480">
        <v>600</v>
      </c>
    </row>
    <row r="3750" spans="1:5">
      <c r="A3750" s="769">
        <v>42453</v>
      </c>
      <c r="B3750" s="86" t="str">
        <f>TiposLancamentos!B20</f>
        <v>Saques</v>
      </c>
      <c r="C3750" s="3" t="s">
        <v>4202</v>
      </c>
      <c r="D3750" s="78">
        <v>50</v>
      </c>
      <c r="E3750" s="1480"/>
    </row>
    <row r="3751" spans="1:5">
      <c r="A3751" s="769">
        <v>42453</v>
      </c>
      <c r="B3751" s="86" t="str">
        <f>TiposLancamentos!B17</f>
        <v>GATO</v>
      </c>
      <c r="C3751" s="3" t="s">
        <v>4587</v>
      </c>
      <c r="D3751" s="78"/>
      <c r="E3751" s="1480">
        <v>50</v>
      </c>
    </row>
    <row r="3752" spans="1:5">
      <c r="A3752" s="769">
        <v>42467</v>
      </c>
      <c r="B3752" s="86" t="str">
        <f>TiposLancamentos!B97</f>
        <v>Deposito Terc.</v>
      </c>
      <c r="C3752" s="3" t="s">
        <v>4588</v>
      </c>
      <c r="D3752" s="78">
        <v>300</v>
      </c>
      <c r="E3752" s="1480"/>
    </row>
    <row r="3753" spans="1:5">
      <c r="A3753" s="769">
        <v>42467</v>
      </c>
      <c r="B3753" s="86" t="str">
        <f>TiposLancamentos!B24</f>
        <v>Estacionamentos</v>
      </c>
      <c r="C3753" s="3" t="s">
        <v>4589</v>
      </c>
      <c r="D3753" s="78"/>
      <c r="E3753" s="1480">
        <v>170</v>
      </c>
    </row>
    <row r="3754" spans="1:5">
      <c r="A3754" s="769">
        <v>42469</v>
      </c>
      <c r="B3754" s="86" t="str">
        <f>TiposLancamentos!B24</f>
        <v>Estacionamentos</v>
      </c>
      <c r="C3754" s="3" t="s">
        <v>4590</v>
      </c>
      <c r="D3754" s="78"/>
      <c r="E3754" s="1480">
        <v>25</v>
      </c>
    </row>
    <row r="3755" spans="1:5">
      <c r="A3755" s="769">
        <v>42470</v>
      </c>
      <c r="B3755" s="86" t="str">
        <f>TiposLancamentos!B19</f>
        <v>Restaurantes</v>
      </c>
      <c r="C3755" s="3" t="s">
        <v>4591</v>
      </c>
      <c r="D3755" s="78"/>
      <c r="E3755" s="1480">
        <v>15</v>
      </c>
    </row>
    <row r="3756" spans="1:5">
      <c r="A3756" s="769">
        <v>42470</v>
      </c>
      <c r="B3756" s="86" t="str">
        <f>TiposLancamentos!B71</f>
        <v>Itens Pessoais</v>
      </c>
      <c r="C3756" s="3" t="s">
        <v>4592</v>
      </c>
      <c r="D3756" s="78"/>
      <c r="E3756" s="1480">
        <v>20</v>
      </c>
    </row>
    <row r="3757" spans="1:5">
      <c r="A3757" s="769">
        <v>42474</v>
      </c>
      <c r="B3757" s="86" t="str">
        <f>TiposLancamentos!B19</f>
        <v>Restaurantes</v>
      </c>
      <c r="C3757" s="3" t="s">
        <v>4593</v>
      </c>
      <c r="D3757" s="78"/>
      <c r="E3757" s="1480">
        <v>4</v>
      </c>
    </row>
    <row r="3758" spans="1:5">
      <c r="A3758" s="769">
        <v>42474</v>
      </c>
      <c r="B3758" s="86" t="str">
        <f>TiposLancamentos!B19</f>
        <v>Restaurantes</v>
      </c>
      <c r="C3758" s="3" t="s">
        <v>4594</v>
      </c>
      <c r="D3758" s="78"/>
      <c r="E3758" s="1480">
        <v>4</v>
      </c>
    </row>
    <row r="3759" spans="1:5">
      <c r="A3759" s="769">
        <v>42483</v>
      </c>
      <c r="B3759" s="86" t="str">
        <f>TiposLancamentos!B20</f>
        <v>Saques</v>
      </c>
      <c r="C3759" s="3" t="s">
        <v>3472</v>
      </c>
      <c r="D3759" s="78">
        <v>150</v>
      </c>
      <c r="E3759" s="1480"/>
    </row>
    <row r="3760" spans="1:5">
      <c r="A3760" s="769">
        <v>42483</v>
      </c>
      <c r="B3760" s="86" t="str">
        <f>TiposLancamentos!B73</f>
        <v>Cursos</v>
      </c>
      <c r="C3760" s="3" t="s">
        <v>4595</v>
      </c>
      <c r="D3760" s="78"/>
      <c r="E3760" s="1480">
        <v>200</v>
      </c>
    </row>
    <row r="3761" spans="1:5">
      <c r="A3761" s="769">
        <v>42489</v>
      </c>
      <c r="B3761" s="86" t="str">
        <f>TiposLancamentos!B19</f>
        <v>Restaurantes</v>
      </c>
      <c r="C3761" s="3" t="s">
        <v>4596</v>
      </c>
      <c r="D3761" s="78"/>
      <c r="E3761" s="1480">
        <v>12</v>
      </c>
    </row>
    <row r="3762" spans="1:5">
      <c r="A3762" s="769">
        <v>42495</v>
      </c>
      <c r="B3762" s="86" t="str">
        <f>TiposLancamentos!B20</f>
        <v>Saques</v>
      </c>
      <c r="C3762" s="3" t="s">
        <v>3472</v>
      </c>
      <c r="D3762" s="78">
        <v>20</v>
      </c>
      <c r="E3762" s="1480"/>
    </row>
    <row r="3763" spans="1:5">
      <c r="A3763" s="769">
        <v>42495</v>
      </c>
      <c r="B3763" s="86" t="str">
        <f>TiposLancamentos!B24</f>
        <v>Estacionamentos</v>
      </c>
      <c r="C3763" s="3" t="s">
        <v>4597</v>
      </c>
      <c r="D3763" s="78"/>
      <c r="E3763" s="1480">
        <v>13</v>
      </c>
    </row>
    <row r="3764" spans="1:5">
      <c r="A3764" s="769">
        <v>42509</v>
      </c>
      <c r="B3764" s="86" t="str">
        <f>TiposLancamentos!B20</f>
        <v>Saques</v>
      </c>
      <c r="C3764" s="3" t="s">
        <v>4147</v>
      </c>
      <c r="D3764" s="78">
        <v>20</v>
      </c>
      <c r="E3764" s="1480"/>
    </row>
    <row r="3765" spans="1:5">
      <c r="A3765" s="769">
        <v>42509</v>
      </c>
      <c r="B3765" s="86" t="str">
        <f>TiposLancamentos!B24</f>
        <v>Estacionamentos</v>
      </c>
      <c r="C3765" s="3" t="s">
        <v>4598</v>
      </c>
      <c r="D3765" s="78"/>
      <c r="E3765" s="1480">
        <v>7</v>
      </c>
    </row>
    <row r="3766" spans="1:5">
      <c r="A3766" s="769">
        <v>42513</v>
      </c>
      <c r="B3766" s="86" t="str">
        <f>TiposLancamentos!B24</f>
        <v>Estacionamentos</v>
      </c>
      <c r="C3766" s="3" t="s">
        <v>4597</v>
      </c>
      <c r="D3766" s="78"/>
      <c r="E3766" s="1480">
        <v>7</v>
      </c>
    </row>
    <row r="3767" spans="1:5">
      <c r="A3767" s="769">
        <v>42514</v>
      </c>
      <c r="B3767" s="86" t="str">
        <f>TiposLancamentos!B18</f>
        <v>Alimentacao</v>
      </c>
      <c r="C3767" s="3" t="s">
        <v>3210</v>
      </c>
      <c r="D3767" s="78"/>
      <c r="E3767" s="1480">
        <v>13</v>
      </c>
    </row>
    <row r="3768" spans="1:5">
      <c r="A3768" s="769">
        <v>42515</v>
      </c>
      <c r="B3768" s="86" t="str">
        <f>TiposLancamentos!B20</f>
        <v>Saques</v>
      </c>
      <c r="C3768" s="3" t="s">
        <v>4599</v>
      </c>
      <c r="D3768" s="78">
        <v>40</v>
      </c>
      <c r="E3768" s="1480"/>
    </row>
    <row r="3769" spans="1:5">
      <c r="A3769" s="769">
        <v>42517</v>
      </c>
      <c r="B3769" s="86" t="str">
        <f>TiposLancamentos!B18</f>
        <v>Alimentacao</v>
      </c>
      <c r="C3769" s="3" t="s">
        <v>4600</v>
      </c>
      <c r="D3769" s="78"/>
      <c r="E3769" s="1480">
        <v>20</v>
      </c>
    </row>
    <row r="3770" spans="1:5">
      <c r="A3770" s="769">
        <v>42518</v>
      </c>
      <c r="B3770" s="86" t="str">
        <f>TiposLancamentos!B24</f>
        <v>Estacionamentos</v>
      </c>
      <c r="C3770" s="3" t="s">
        <v>4601</v>
      </c>
      <c r="D3770" s="78"/>
      <c r="E3770" s="1480">
        <v>14</v>
      </c>
    </row>
    <row r="3771" spans="1:5">
      <c r="A3771" s="769">
        <v>42520</v>
      </c>
      <c r="B3771" s="86" t="str">
        <f>TiposLancamentos!B24</f>
        <v>Estacionamentos</v>
      </c>
      <c r="C3771" s="3" t="s">
        <v>3398</v>
      </c>
      <c r="D3771" s="78"/>
      <c r="E3771" s="1480">
        <v>3</v>
      </c>
    </row>
    <row r="3772" spans="1:5">
      <c r="A3772" s="769">
        <v>42527</v>
      </c>
      <c r="B3772" s="86" t="str">
        <f>TiposLancamentos!B20</f>
        <v>Saques</v>
      </c>
      <c r="C3772" s="3" t="s">
        <v>3604</v>
      </c>
      <c r="D3772" s="78">
        <v>150</v>
      </c>
      <c r="E3772" s="1480"/>
    </row>
    <row r="3773" spans="1:5">
      <c r="A3773" s="769">
        <v>42527</v>
      </c>
      <c r="B3773" s="86" t="str">
        <f>TiposLancamentos!B32</f>
        <v>Clinicas e tratamentos</v>
      </c>
      <c r="C3773" s="3" t="s">
        <v>4602</v>
      </c>
      <c r="D3773" s="78"/>
      <c r="E3773" s="1480">
        <v>150</v>
      </c>
    </row>
    <row r="3774" spans="1:5">
      <c r="A3774" s="769">
        <v>42527</v>
      </c>
      <c r="B3774" s="86" t="str">
        <f>B3772</f>
        <v>Saques</v>
      </c>
      <c r="C3774" s="3" t="s">
        <v>4603</v>
      </c>
      <c r="D3774" s="78">
        <v>60</v>
      </c>
      <c r="E3774" s="1480"/>
    </row>
    <row r="3775" spans="1:5">
      <c r="A3775" s="769">
        <v>42528</v>
      </c>
      <c r="B3775" s="86" t="str">
        <f>TiposLancamentos!B13</f>
        <v>Moradia</v>
      </c>
      <c r="C3775" s="3" t="s">
        <v>4604</v>
      </c>
      <c r="D3775" s="78"/>
      <c r="E3775" s="1480"/>
    </row>
    <row r="3776" spans="1:5">
      <c r="A3776" s="769">
        <v>42530</v>
      </c>
      <c r="B3776" s="86" t="str">
        <f>TiposLancamentos!B20</f>
        <v>Saques</v>
      </c>
      <c r="C3776" s="3" t="s">
        <v>3604</v>
      </c>
      <c r="D3776" s="78">
        <v>10</v>
      </c>
      <c r="E3776" s="1480"/>
    </row>
    <row r="3777" spans="1:5">
      <c r="A3777" s="769">
        <v>42530</v>
      </c>
      <c r="B3777" s="86" t="str">
        <f>TiposLancamentos!B24</f>
        <v>Estacionamentos</v>
      </c>
      <c r="C3777" s="3" t="s">
        <v>3398</v>
      </c>
      <c r="D3777" s="78"/>
      <c r="E3777" s="1480">
        <v>5</v>
      </c>
    </row>
    <row r="3778" spans="1:5">
      <c r="A3778" s="769">
        <v>42534</v>
      </c>
      <c r="B3778" s="86" t="str">
        <f>TiposLancamentos!B20</f>
        <v>Saques</v>
      </c>
      <c r="C3778" s="3" t="s">
        <v>4603</v>
      </c>
      <c r="D3778" s="78">
        <v>160</v>
      </c>
      <c r="E3778" s="1480"/>
    </row>
    <row r="3779" spans="1:5">
      <c r="A3779" s="769">
        <v>42534</v>
      </c>
      <c r="B3779" s="86" t="str">
        <f>TiposLancamentos!B32</f>
        <v>Clinicas e tratamentos</v>
      </c>
      <c r="C3779" s="3" t="s">
        <v>4602</v>
      </c>
      <c r="D3779" s="78"/>
      <c r="E3779" s="1480">
        <v>150</v>
      </c>
    </row>
    <row r="3780" spans="1:5">
      <c r="A3780" s="769">
        <v>42534</v>
      </c>
      <c r="B3780" s="86" t="str">
        <f>TiposLancamentos!B24</f>
        <v>Estacionamentos</v>
      </c>
      <c r="C3780" s="3" t="s">
        <v>4605</v>
      </c>
      <c r="D3780" s="78"/>
      <c r="E3780" s="1480">
        <v>5</v>
      </c>
    </row>
    <row r="3781" spans="1:5">
      <c r="A3781" s="769">
        <v>42537</v>
      </c>
      <c r="B3781" s="86" t="str">
        <f>TiposLancamentos!B20</f>
        <v>Saques</v>
      </c>
      <c r="C3781" s="3" t="s">
        <v>4147</v>
      </c>
      <c r="D3781" s="78">
        <v>20</v>
      </c>
      <c r="E3781" s="1480"/>
    </row>
    <row r="3782" spans="1:5">
      <c r="A3782" s="769">
        <v>42537</v>
      </c>
      <c r="B3782" s="86" t="str">
        <f>TiposLancamentos!B24</f>
        <v>Estacionamentos</v>
      </c>
      <c r="C3782" s="3" t="s">
        <v>4606</v>
      </c>
      <c r="D3782" s="78"/>
      <c r="E3782" s="1480">
        <v>3.5</v>
      </c>
    </row>
    <row r="3783" spans="1:5">
      <c r="A3783" s="769">
        <v>42567</v>
      </c>
      <c r="B3783" s="86" t="str">
        <f>TiposLancamentos!B16</f>
        <v>Cristiane</v>
      </c>
      <c r="C3783" s="3" t="s">
        <v>4494</v>
      </c>
      <c r="D3783" s="78"/>
      <c r="E3783" s="1480">
        <v>89.5</v>
      </c>
    </row>
    <row r="3784" spans="1:5">
      <c r="A3784" s="769">
        <v>42577</v>
      </c>
      <c r="B3784" s="86" t="str">
        <f>TiposLancamentos!B20</f>
        <v>Saques</v>
      </c>
      <c r="C3784" s="3" t="s">
        <v>4147</v>
      </c>
      <c r="D3784" s="78">
        <v>150</v>
      </c>
      <c r="E3784" s="1480"/>
    </row>
    <row r="3785" spans="1:5">
      <c r="A3785" s="769">
        <v>42577</v>
      </c>
      <c r="B3785" s="86" t="str">
        <f>TiposLancamentos!B60</f>
        <v>Correio</v>
      </c>
      <c r="C3785" s="3" t="s">
        <v>4607</v>
      </c>
      <c r="D3785" s="78"/>
      <c r="E3785" s="1480">
        <v>130.9</v>
      </c>
    </row>
    <row r="3786" spans="1:5">
      <c r="A3786" s="769">
        <v>42577</v>
      </c>
      <c r="B3786" s="86" t="str">
        <f>TiposLancamentos!B24</f>
        <v>Estacionamentos</v>
      </c>
      <c r="C3786" s="3" t="s">
        <v>3398</v>
      </c>
      <c r="D3786" s="78"/>
      <c r="E3786" s="1480">
        <v>7</v>
      </c>
    </row>
    <row r="3787" spans="1:5">
      <c r="A3787" s="769">
        <v>42578</v>
      </c>
      <c r="B3787" s="86" t="str">
        <f>TiposLancamentos!B20</f>
        <v>Saques</v>
      </c>
      <c r="C3787" s="3" t="s">
        <v>3604</v>
      </c>
      <c r="D3787" s="78">
        <v>50</v>
      </c>
      <c r="E3787" s="1480"/>
    </row>
    <row r="3788" spans="1:5">
      <c r="A3788" s="769">
        <v>42579</v>
      </c>
      <c r="B3788" s="86" t="str">
        <f>TiposLancamentos!B16</f>
        <v>Cristiane</v>
      </c>
      <c r="C3788" s="3" t="s">
        <v>3100</v>
      </c>
      <c r="D3788" s="78"/>
      <c r="E3788" s="1480">
        <v>50</v>
      </c>
    </row>
    <row r="3789" spans="1:5">
      <c r="A3789" s="769">
        <v>42581</v>
      </c>
      <c r="B3789" s="86" t="str">
        <f>TiposLancamentos!B54</f>
        <v>Metro</v>
      </c>
      <c r="C3789" s="3" t="s">
        <v>4608</v>
      </c>
      <c r="D3789" s="78"/>
      <c r="E3789" s="1480">
        <f>3.8*2</f>
        <v>7.6</v>
      </c>
    </row>
    <row r="3790" spans="1:5">
      <c r="A3790" s="769">
        <v>42586</v>
      </c>
      <c r="B3790" s="86" t="str">
        <f>TiposLancamentos!B20</f>
        <v>Saques</v>
      </c>
      <c r="C3790" s="3" t="s">
        <v>3604</v>
      </c>
      <c r="D3790" s="78">
        <v>50</v>
      </c>
      <c r="E3790" s="1480"/>
    </row>
    <row r="3791" spans="1:5">
      <c r="A3791" s="769">
        <v>42586</v>
      </c>
      <c r="B3791" s="86" t="str">
        <f>TiposLancamentos!B66</f>
        <v>Faxineira</v>
      </c>
      <c r="C3791" s="3" t="s">
        <v>4574</v>
      </c>
      <c r="D3791" s="78"/>
      <c r="E3791" s="1480">
        <v>54.5</v>
      </c>
    </row>
    <row r="3792" spans="1:5">
      <c r="A3792" s="769">
        <v>42600</v>
      </c>
      <c r="B3792" s="86" t="str">
        <f>TiposLancamentos!B20</f>
        <v>Saques</v>
      </c>
      <c r="C3792" s="3" t="s">
        <v>3604</v>
      </c>
      <c r="D3792" s="78">
        <v>90</v>
      </c>
      <c r="E3792" s="1480"/>
    </row>
    <row r="3793" spans="1:5">
      <c r="A3793" s="769">
        <v>42600</v>
      </c>
      <c r="B3793" s="86" t="str">
        <f>TiposLancamentos!B16</f>
        <v>Cristiane</v>
      </c>
      <c r="C3793" s="3" t="s">
        <v>3100</v>
      </c>
      <c r="D3793" s="78"/>
      <c r="E3793" s="1480">
        <v>90</v>
      </c>
    </row>
    <row r="3794" spans="1:5">
      <c r="A3794" s="769">
        <v>42605</v>
      </c>
      <c r="B3794" s="86" t="str">
        <f>TiposLancamentos!B20</f>
        <v>Saques</v>
      </c>
      <c r="C3794" s="3" t="s">
        <v>3604</v>
      </c>
      <c r="D3794" s="78">
        <v>70</v>
      </c>
      <c r="E3794" s="1480"/>
    </row>
    <row r="3795" spans="1:5">
      <c r="A3795" s="769">
        <v>42605</v>
      </c>
      <c r="B3795" s="86" t="str">
        <f>TiposLancamentos!B66</f>
        <v>Faxineira</v>
      </c>
      <c r="C3795" s="3" t="s">
        <v>4574</v>
      </c>
      <c r="D3795" s="78"/>
      <c r="E3795" s="1480">
        <v>20</v>
      </c>
    </row>
    <row r="3796" spans="1:5">
      <c r="A3796" s="769">
        <v>42607</v>
      </c>
      <c r="B3796" s="86" t="str">
        <f>TiposLancamentos!B18</f>
        <v>Alimentacao</v>
      </c>
      <c r="C3796" s="3" t="s">
        <v>3524</v>
      </c>
      <c r="D3796" s="78"/>
      <c r="E3796" s="1480">
        <v>16</v>
      </c>
    </row>
    <row r="3797" spans="1:5">
      <c r="A3797" s="769">
        <v>42607</v>
      </c>
      <c r="B3797" s="86" t="str">
        <f>TiposLancamentos!B20</f>
        <v>Saques</v>
      </c>
      <c r="C3797" s="3" t="s">
        <v>4609</v>
      </c>
      <c r="D3797" s="78">
        <v>40</v>
      </c>
      <c r="E3797" s="1480"/>
    </row>
    <row r="3798" spans="1:5">
      <c r="A3798" s="769">
        <v>42607</v>
      </c>
      <c r="B3798" s="86" t="str">
        <f>TiposLancamentos!B20</f>
        <v>Saques</v>
      </c>
      <c r="C3798" s="3" t="s">
        <v>4609</v>
      </c>
      <c r="D3798" s="78">
        <v>20</v>
      </c>
      <c r="E3798" s="1480"/>
    </row>
    <row r="3799" spans="1:5">
      <c r="A3799" s="769">
        <v>42608</v>
      </c>
      <c r="B3799" s="86" t="str">
        <f>TiposLancamentos!B16</f>
        <v>Cristiane</v>
      </c>
      <c r="C3799" s="3" t="s">
        <v>3100</v>
      </c>
      <c r="D3799" s="78"/>
      <c r="E3799" s="1480">
        <v>74</v>
      </c>
    </row>
    <row r="3800" spans="1:5">
      <c r="A3800" s="769">
        <v>42630</v>
      </c>
      <c r="B3800" s="86" t="str">
        <f>TiposLancamentos!B20</f>
        <v>Saques</v>
      </c>
      <c r="C3800" s="3" t="s">
        <v>3604</v>
      </c>
      <c r="D3800" s="78">
        <v>50</v>
      </c>
      <c r="E3800" s="1480"/>
    </row>
    <row r="3801" spans="1:5">
      <c r="A3801" s="769">
        <v>42641</v>
      </c>
      <c r="B3801" s="86" t="str">
        <f>TiposLancamentos!B19</f>
        <v>Restaurantes</v>
      </c>
      <c r="C3801" s="3" t="s">
        <v>4610</v>
      </c>
      <c r="D3801" s="78"/>
      <c r="E3801" s="1480">
        <v>11</v>
      </c>
    </row>
    <row r="3802" spans="1:5">
      <c r="A3802" s="769">
        <v>42641</v>
      </c>
      <c r="B3802" s="86" t="str">
        <f>TiposLancamentos!B54</f>
        <v>Metro</v>
      </c>
      <c r="C3802" s="3" t="s">
        <v>4611</v>
      </c>
      <c r="D3802" s="78"/>
      <c r="E3802" s="1480">
        <f>3.8*2</f>
        <v>7.6</v>
      </c>
    </row>
    <row r="3803" spans="1:5">
      <c r="A3803" s="769"/>
      <c r="B3803" s="86"/>
      <c r="C3803" s="3"/>
      <c r="D3803" s="78"/>
      <c r="E3803" s="1480"/>
    </row>
    <row r="3804" spans="1:5">
      <c r="A3804" s="769">
        <v>42644</v>
      </c>
      <c r="B3804" s="86" t="str">
        <f>TiposLancamentos!B69</f>
        <v>Consertos</v>
      </c>
      <c r="C3804" s="3" t="s">
        <v>4612</v>
      </c>
      <c r="D3804" s="78"/>
      <c r="E3804" s="1480">
        <v>5</v>
      </c>
    </row>
    <row r="3805" spans="1:5">
      <c r="A3805" s="769">
        <v>42644</v>
      </c>
      <c r="B3805" s="86" t="str">
        <f>TiposLancamentos!B16</f>
        <v>Cristiane</v>
      </c>
      <c r="C3805" s="3" t="s">
        <v>4613</v>
      </c>
      <c r="D3805" s="78"/>
      <c r="E3805" s="1480">
        <v>15</v>
      </c>
    </row>
    <row r="3806" spans="1:5">
      <c r="A3806" s="769">
        <v>42646</v>
      </c>
      <c r="B3806" s="86" t="str">
        <f>TiposLancamentos!B24</f>
        <v>Estacionamentos</v>
      </c>
      <c r="C3806" s="3" t="s">
        <v>4614</v>
      </c>
      <c r="D3806" s="78"/>
      <c r="E3806" s="1480">
        <v>5</v>
      </c>
    </row>
    <row r="3807" spans="1:5">
      <c r="A3807" s="769">
        <v>42647</v>
      </c>
      <c r="B3807" s="86" t="str">
        <f>TiposLancamentos!B20</f>
        <v>Saques</v>
      </c>
      <c r="C3807" s="3" t="s">
        <v>4142</v>
      </c>
      <c r="D3807" s="78">
        <v>100</v>
      </c>
      <c r="E3807" s="1480"/>
    </row>
    <row r="3808" spans="1:5">
      <c r="A3808" s="769"/>
      <c r="B3808" s="86"/>
      <c r="C3808" s="3"/>
      <c r="D3808" s="78"/>
      <c r="E3808" s="1480"/>
    </row>
    <row r="3809" spans="1:5">
      <c r="A3809" s="769">
        <v>42648</v>
      </c>
      <c r="B3809" s="86" t="str">
        <f>TiposLancamentos!B69</f>
        <v>Consertos</v>
      </c>
      <c r="C3809" s="3" t="s">
        <v>4615</v>
      </c>
      <c r="D3809" s="78"/>
      <c r="E3809" s="1480">
        <v>100</v>
      </c>
    </row>
    <row r="3810" spans="1:5">
      <c r="A3810" s="769">
        <v>42656</v>
      </c>
      <c r="B3810" s="86" t="str">
        <f>TiposLancamentos!B20</f>
        <v>Saques</v>
      </c>
      <c r="C3810" s="3" t="s">
        <v>3604</v>
      </c>
      <c r="D3810" s="78">
        <v>50</v>
      </c>
      <c r="E3810" s="1480"/>
    </row>
    <row r="3811" spans="1:5">
      <c r="A3811" s="769">
        <v>42656</v>
      </c>
      <c r="B3811" s="86" t="str">
        <f>TiposLancamentos!B59</f>
        <v>Documentos</v>
      </c>
      <c r="C3811" s="3" t="s">
        <v>4616</v>
      </c>
      <c r="D3811" s="78"/>
      <c r="E3811" s="1480">
        <v>32.6</v>
      </c>
    </row>
    <row r="3812" spans="1:5">
      <c r="A3812" s="769">
        <v>42656</v>
      </c>
      <c r="B3812" s="86" t="str">
        <f>TiposLancamentos!B24</f>
        <v>Estacionamentos</v>
      </c>
      <c r="C3812" s="3" t="s">
        <v>3398</v>
      </c>
      <c r="D3812" s="78"/>
      <c r="E3812" s="1480">
        <v>7</v>
      </c>
    </row>
    <row r="3813" spans="1:5">
      <c r="A3813" s="769">
        <v>42666</v>
      </c>
      <c r="B3813" s="86" t="str">
        <f>TiposLancamentos!B18</f>
        <v>Alimentacao</v>
      </c>
      <c r="C3813" s="3" t="s">
        <v>4617</v>
      </c>
      <c r="D3813" s="78"/>
      <c r="E3813" s="1480">
        <v>4</v>
      </c>
    </row>
    <row r="3814" spans="1:5">
      <c r="A3814" s="769">
        <v>42666</v>
      </c>
      <c r="B3814" s="86" t="str">
        <f>TiposLancamentos!B18</f>
        <v>Alimentacao</v>
      </c>
      <c r="C3814" s="3" t="s">
        <v>4618</v>
      </c>
      <c r="D3814" s="78"/>
      <c r="E3814" s="1480">
        <v>7</v>
      </c>
    </row>
    <row r="3815" spans="1:5">
      <c r="A3815" s="769">
        <v>42719</v>
      </c>
      <c r="B3815" s="86" t="str">
        <f>TiposLancamentos!B20</f>
        <v>Saques</v>
      </c>
      <c r="C3815" s="3" t="s">
        <v>4619</v>
      </c>
      <c r="D3815" s="78">
        <v>200</v>
      </c>
      <c r="E3815" s="1480"/>
    </row>
    <row r="3816" spans="1:5">
      <c r="A3816" s="769">
        <v>42720</v>
      </c>
      <c r="B3816" s="86" t="str">
        <f>TiposLancamentos!B65</f>
        <v>Taxi</v>
      </c>
      <c r="C3816" s="3" t="s">
        <v>4620</v>
      </c>
      <c r="D3816" s="78"/>
      <c r="E3816" s="1480">
        <v>50</v>
      </c>
    </row>
    <row r="3817" spans="1:5">
      <c r="A3817" s="769">
        <v>42731</v>
      </c>
      <c r="B3817" s="86" t="str">
        <f>TiposLancamentos!B17</f>
        <v>GATO</v>
      </c>
      <c r="C3817" s="3" t="s">
        <v>4621</v>
      </c>
      <c r="D3817" s="78"/>
      <c r="E3817" s="1480">
        <v>100</v>
      </c>
    </row>
    <row r="3818" spans="1:5">
      <c r="A3818" s="769">
        <v>42732</v>
      </c>
      <c r="B3818" s="86" t="str">
        <f>TiposLancamentos!B24</f>
        <v>Estacionamentos</v>
      </c>
      <c r="C3818" s="3" t="s">
        <v>4622</v>
      </c>
      <c r="D3818" s="78"/>
      <c r="E3818" s="1480">
        <v>5</v>
      </c>
    </row>
    <row r="3819" spans="1:5">
      <c r="A3819" s="769">
        <v>42735</v>
      </c>
      <c r="B3819" s="86" t="str">
        <f>TiposLancamentos!B24</f>
        <v>Estacionamentos</v>
      </c>
      <c r="C3819" s="3" t="s">
        <v>3253</v>
      </c>
      <c r="D3819" s="78"/>
      <c r="E3819" s="1480">
        <v>8</v>
      </c>
    </row>
    <row r="3820" spans="1:5">
      <c r="A3820" s="769">
        <v>42742</v>
      </c>
      <c r="B3820" s="86" t="str">
        <f>TiposLancamentos!B18</f>
        <v>Alimentacao</v>
      </c>
      <c r="C3820" s="3" t="s">
        <v>4623</v>
      </c>
      <c r="D3820" s="78"/>
      <c r="E3820" s="1480">
        <v>3</v>
      </c>
    </row>
    <row r="3821" spans="1:5">
      <c r="A3821" s="769">
        <v>42742</v>
      </c>
      <c r="B3821" s="86" t="str">
        <f>TiposLancamentos!B29</f>
        <v>Mangá</v>
      </c>
      <c r="C3821" s="3" t="s">
        <v>4624</v>
      </c>
      <c r="D3821" s="78"/>
      <c r="E3821" s="1480">
        <v>13.9</v>
      </c>
    </row>
    <row r="3822" spans="1:5">
      <c r="A3822" s="769">
        <v>42743</v>
      </c>
      <c r="B3822" s="86" t="str">
        <f>TiposLancamentos!B18</f>
        <v>Alimentacao</v>
      </c>
      <c r="C3822" s="3" t="s">
        <v>4625</v>
      </c>
      <c r="D3822" s="78"/>
      <c r="E3822" s="1480">
        <v>16</v>
      </c>
    </row>
    <row r="3823" spans="1:5">
      <c r="A3823" s="769">
        <v>42754</v>
      </c>
      <c r="B3823" s="86" t="str">
        <f>TiposLancamentos!B20</f>
        <v>Saques</v>
      </c>
      <c r="C3823" s="3" t="s">
        <v>3604</v>
      </c>
      <c r="D3823" s="78">
        <v>40</v>
      </c>
      <c r="E3823" s="1480"/>
    </row>
    <row r="3824" spans="1:5">
      <c r="A3824" s="769">
        <v>42754</v>
      </c>
      <c r="B3824" s="86" t="str">
        <f>TiposLancamentos!B24</f>
        <v>Estacionamentos</v>
      </c>
      <c r="C3824" s="3" t="s">
        <v>4626</v>
      </c>
      <c r="D3824" s="78"/>
      <c r="E3824" s="1480">
        <v>5</v>
      </c>
    </row>
    <row r="3825" spans="1:5">
      <c r="A3825" s="769">
        <v>42756</v>
      </c>
      <c r="B3825" s="86" t="str">
        <f>TiposLancamentos!B18</f>
        <v>Alimentacao</v>
      </c>
      <c r="C3825" s="3" t="s">
        <v>3682</v>
      </c>
      <c r="D3825" s="78"/>
      <c r="E3825" s="1480">
        <v>4</v>
      </c>
    </row>
    <row r="3826" spans="1:5">
      <c r="A3826" s="769">
        <v>42756</v>
      </c>
      <c r="B3826" s="86" t="str">
        <f>TiposLancamentos!B18</f>
        <v>Alimentacao</v>
      </c>
      <c r="C3826" s="3" t="s">
        <v>4627</v>
      </c>
      <c r="D3826" s="78"/>
      <c r="E3826" s="1480">
        <v>6</v>
      </c>
    </row>
    <row r="3827" spans="1:5">
      <c r="A3827" s="769">
        <v>42757</v>
      </c>
      <c r="B3827" s="86" t="str">
        <f>TiposLancamentos!B71</f>
        <v>Itens Pessoais</v>
      </c>
      <c r="C3827" s="3" t="s">
        <v>4628</v>
      </c>
      <c r="D3827" s="78"/>
      <c r="E3827" s="1480">
        <v>5</v>
      </c>
    </row>
    <row r="3828" spans="1:5">
      <c r="A3828" s="769">
        <v>42770</v>
      </c>
      <c r="B3828" s="86" t="str">
        <f>TiposLancamentos!B24</f>
        <v>Estacionamentos</v>
      </c>
      <c r="C3828" s="3" t="s">
        <v>4629</v>
      </c>
      <c r="D3828" s="78"/>
      <c r="E3828" s="1480">
        <v>7</v>
      </c>
    </row>
    <row r="3829" spans="1:5">
      <c r="A3829" s="769">
        <v>42770</v>
      </c>
      <c r="B3829" s="86" t="str">
        <f>TiposLancamentos!B24</f>
        <v>Estacionamentos</v>
      </c>
      <c r="C3829" s="3" t="s">
        <v>4630</v>
      </c>
      <c r="D3829" s="78"/>
      <c r="E3829" s="1480">
        <v>3</v>
      </c>
    </row>
    <row r="3830" spans="1:5">
      <c r="A3830" s="769">
        <v>42777</v>
      </c>
      <c r="B3830" s="86" t="str">
        <f>TiposLancamentos!B24</f>
        <v>Estacionamentos</v>
      </c>
      <c r="C3830" s="3" t="s">
        <v>3851</v>
      </c>
      <c r="D3830" s="78"/>
      <c r="E3830" s="1480">
        <v>5</v>
      </c>
    </row>
    <row r="3831" spans="1:5">
      <c r="A3831" s="769">
        <v>42783</v>
      </c>
      <c r="B3831" s="86" t="str">
        <f>TiposLancamentos!B20</f>
        <v>Saques</v>
      </c>
      <c r="C3831" s="3" t="s">
        <v>4325</v>
      </c>
      <c r="D3831" s="78">
        <v>50</v>
      </c>
      <c r="E3831" s="1480"/>
    </row>
    <row r="3832" spans="1:5">
      <c r="A3832" s="769">
        <v>42784</v>
      </c>
      <c r="B3832" s="86" t="str">
        <f>TiposLancamentos!B24</f>
        <v>Estacionamentos</v>
      </c>
      <c r="C3832" s="3" t="s">
        <v>4631</v>
      </c>
      <c r="D3832" s="78"/>
      <c r="E3832" s="1480">
        <v>20</v>
      </c>
    </row>
    <row r="3833" spans="1:5">
      <c r="A3833" s="769">
        <v>42789</v>
      </c>
      <c r="B3833" s="86" t="str">
        <f>TiposLancamentos!B24</f>
        <v>Estacionamentos</v>
      </c>
      <c r="C3833" s="3" t="s">
        <v>4632</v>
      </c>
      <c r="D3833" s="78"/>
      <c r="E3833" s="1480">
        <v>20</v>
      </c>
    </row>
    <row r="3834" spans="1:5">
      <c r="A3834" s="769">
        <v>42791</v>
      </c>
      <c r="B3834" s="86" t="str">
        <f>TiposLancamentos!B24</f>
        <v>Estacionamentos</v>
      </c>
      <c r="C3834" s="3" t="s">
        <v>4633</v>
      </c>
      <c r="D3834" s="78"/>
      <c r="E3834" s="1480">
        <v>5</v>
      </c>
    </row>
    <row r="3835" spans="1:5">
      <c r="A3835" s="769">
        <v>43011</v>
      </c>
      <c r="B3835" s="86" t="str">
        <f>TiposLancamentos!B20</f>
        <v>Saques</v>
      </c>
      <c r="C3835" s="3" t="s">
        <v>4202</v>
      </c>
      <c r="D3835" s="78">
        <v>100</v>
      </c>
      <c r="E3835" s="1480"/>
    </row>
    <row r="3836" spans="1:5">
      <c r="A3836" s="769">
        <v>43011</v>
      </c>
      <c r="B3836" s="86" t="str">
        <f>TiposLancamentos!B59</f>
        <v>Documentos</v>
      </c>
      <c r="C3836" s="3" t="s">
        <v>4634</v>
      </c>
      <c r="D3836" s="78"/>
      <c r="E3836" s="1480">
        <v>34</v>
      </c>
    </row>
    <row r="3837" spans="1:5">
      <c r="A3837" s="769">
        <v>43011</v>
      </c>
      <c r="B3837" s="86" t="str">
        <f>TiposLancamentos!B60</f>
        <v>Correio</v>
      </c>
      <c r="C3837" s="3" t="s">
        <v>4635</v>
      </c>
      <c r="D3837" s="78"/>
      <c r="E3837" s="1480">
        <v>11</v>
      </c>
    </row>
    <row r="3838" spans="1:5">
      <c r="A3838" s="769">
        <v>42805</v>
      </c>
      <c r="B3838" s="86" t="str">
        <f>TiposLancamentos!B16</f>
        <v>Cristiane</v>
      </c>
      <c r="C3838" s="3" t="s">
        <v>4636</v>
      </c>
      <c r="D3838" s="78"/>
      <c r="E3838" s="1480">
        <v>54</v>
      </c>
    </row>
    <row r="3839" spans="1:5">
      <c r="A3839" s="769">
        <v>42815</v>
      </c>
      <c r="B3839" s="86" t="str">
        <f>TiposLancamentos!B20</f>
        <v>Saques</v>
      </c>
      <c r="C3839" s="3" t="s">
        <v>4368</v>
      </c>
      <c r="D3839" s="78">
        <v>20</v>
      </c>
      <c r="E3839" s="1480"/>
    </row>
    <row r="3840" spans="1:5">
      <c r="A3840" s="769">
        <v>42815</v>
      </c>
      <c r="B3840" s="86" t="str">
        <f>TiposLancamentos!B24</f>
        <v>Estacionamentos</v>
      </c>
      <c r="C3840" s="3" t="s">
        <v>3398</v>
      </c>
      <c r="D3840" s="78"/>
      <c r="E3840" s="1480">
        <v>6</v>
      </c>
    </row>
    <row r="3841" spans="1:5">
      <c r="A3841" s="769">
        <v>42819</v>
      </c>
      <c r="B3841" s="86" t="str">
        <f>TiposLancamentos!B20</f>
        <v>Saques</v>
      </c>
      <c r="C3841" s="3" t="s">
        <v>3604</v>
      </c>
      <c r="D3841" s="78">
        <v>20</v>
      </c>
      <c r="E3841" s="1480"/>
    </row>
    <row r="3842" spans="1:5">
      <c r="A3842" s="769">
        <v>42819</v>
      </c>
      <c r="B3842" s="86" t="str">
        <f>TiposLancamentos!B71</f>
        <v>Itens Pessoais</v>
      </c>
      <c r="C3842" s="3" t="s">
        <v>4637</v>
      </c>
      <c r="D3842" s="78"/>
      <c r="E3842" s="1480">
        <v>20</v>
      </c>
    </row>
    <row r="3843" spans="1:5">
      <c r="A3843" s="769">
        <v>42825</v>
      </c>
      <c r="B3843" s="86" t="str">
        <f>TiposLancamentos!B24</f>
        <v>Estacionamentos</v>
      </c>
      <c r="C3843" s="3" t="s">
        <v>4638</v>
      </c>
      <c r="D3843" s="78"/>
      <c r="E3843" s="1480">
        <v>12</v>
      </c>
    </row>
    <row r="3844" spans="1:5">
      <c r="A3844" s="769">
        <v>42860</v>
      </c>
      <c r="B3844" s="86" t="str">
        <f>TiposLancamentos!B20</f>
        <v>Saques</v>
      </c>
      <c r="C3844" s="3" t="s">
        <v>3604</v>
      </c>
      <c r="D3844" s="78">
        <v>20</v>
      </c>
      <c r="E3844" s="1480"/>
    </row>
    <row r="3845" spans="1:5">
      <c r="A3845" s="769">
        <v>42860</v>
      </c>
      <c r="B3845" s="86" t="str">
        <f>TiposLancamentos!B24</f>
        <v>Estacionamentos</v>
      </c>
      <c r="C3845" s="3" t="s">
        <v>4638</v>
      </c>
      <c r="D3845" s="78"/>
      <c r="E3845" s="1480">
        <v>12</v>
      </c>
    </row>
    <row r="3846" spans="1:5">
      <c r="A3846" s="769">
        <v>42873</v>
      </c>
      <c r="B3846" s="86" t="str">
        <f>TiposLancamentos!B24</f>
        <v>Estacionamentos</v>
      </c>
      <c r="C3846" s="3" t="s">
        <v>4639</v>
      </c>
      <c r="D3846" s="78"/>
      <c r="E3846" s="1480">
        <v>3</v>
      </c>
    </row>
    <row r="3847" spans="1:5">
      <c r="A3847" s="769">
        <v>42891</v>
      </c>
      <c r="B3847" s="86" t="str">
        <f>TiposLancamentos!B20</f>
        <v>Saques</v>
      </c>
      <c r="C3847" s="3" t="s">
        <v>4640</v>
      </c>
      <c r="D3847" s="78">
        <v>40</v>
      </c>
      <c r="E3847" s="1480"/>
    </row>
    <row r="3848" spans="1:5">
      <c r="A3848" s="769">
        <v>42891</v>
      </c>
      <c r="B3848" s="86" t="str">
        <f>TiposLancamentos!B24</f>
        <v>Estacionamentos</v>
      </c>
      <c r="C3848" s="3" t="s">
        <v>3408</v>
      </c>
      <c r="D3848" s="78"/>
      <c r="E3848" s="1480">
        <v>5</v>
      </c>
    </row>
    <row r="3849" spans="1:5">
      <c r="A3849" s="769">
        <v>42893</v>
      </c>
      <c r="B3849" s="86" t="str">
        <f>TiposLancamentos!B20</f>
        <v>Saques</v>
      </c>
      <c r="C3849" s="3" t="s">
        <v>3604</v>
      </c>
      <c r="D3849" s="78">
        <v>50</v>
      </c>
      <c r="E3849" s="1480"/>
    </row>
    <row r="3850" spans="1:5">
      <c r="A3850" s="769">
        <v>42893</v>
      </c>
      <c r="B3850" s="86" t="str">
        <f>TiposLancamentos!B16</f>
        <v>Cristiane</v>
      </c>
      <c r="C3850" s="3" t="s">
        <v>3100</v>
      </c>
      <c r="D3850" s="78"/>
      <c r="E3850" s="1480">
        <v>50</v>
      </c>
    </row>
    <row r="3851" spans="1:5">
      <c r="A3851" s="769">
        <v>42895</v>
      </c>
      <c r="B3851" s="86" t="str">
        <f>TiposLancamentos!B24</f>
        <v>Estacionamentos</v>
      </c>
      <c r="C3851" s="3" t="s">
        <v>4641</v>
      </c>
      <c r="D3851" s="78"/>
      <c r="E3851" s="1480">
        <v>10</v>
      </c>
    </row>
    <row r="3852" spans="1:5">
      <c r="A3852" s="769">
        <v>42896</v>
      </c>
      <c r="B3852" s="86" t="str">
        <f>TiposLancamentos!B69</f>
        <v>Consertos</v>
      </c>
      <c r="C3852" s="3" t="s">
        <v>4642</v>
      </c>
      <c r="D3852" s="78"/>
      <c r="E3852" s="1480">
        <v>3</v>
      </c>
    </row>
    <row r="3853" spans="1:5">
      <c r="A3853" s="769">
        <v>42897</v>
      </c>
      <c r="B3853" s="86" t="str">
        <f>TiposLancamentos!B24</f>
        <v>Estacionamentos</v>
      </c>
      <c r="C3853" s="3" t="s">
        <v>4643</v>
      </c>
      <c r="D3853" s="78"/>
      <c r="E3853" s="1480">
        <v>20</v>
      </c>
    </row>
    <row r="3854" spans="1:5">
      <c r="A3854" s="769">
        <v>42915</v>
      </c>
      <c r="B3854" s="86" t="str">
        <f>TiposLancamentos!B24</f>
        <v>Estacionamentos</v>
      </c>
      <c r="C3854" s="3" t="s">
        <v>4644</v>
      </c>
      <c r="D3854" s="78"/>
      <c r="E3854" s="1480">
        <v>4</v>
      </c>
    </row>
    <row r="3855" spans="1:5">
      <c r="A3855" s="769">
        <v>42926</v>
      </c>
      <c r="B3855" s="86" t="str">
        <f>TiposLancamentos!B20</f>
        <v>Saques</v>
      </c>
      <c r="C3855" s="3" t="s">
        <v>3604</v>
      </c>
      <c r="D3855" s="78">
        <v>20</v>
      </c>
      <c r="E3855" s="1480"/>
    </row>
    <row r="3856" spans="1:5">
      <c r="A3856" s="769">
        <v>42926</v>
      </c>
      <c r="B3856" s="86" t="str">
        <f>TiposLancamentos!B13</f>
        <v>Moradia</v>
      </c>
      <c r="C3856" s="3" t="s">
        <v>4645</v>
      </c>
      <c r="D3856" s="78"/>
      <c r="E3856" s="1480">
        <v>20</v>
      </c>
    </row>
    <row r="3857" spans="1:5">
      <c r="A3857" s="769">
        <v>42927</v>
      </c>
      <c r="B3857" s="86" t="str">
        <f>TiposLancamentos!B20</f>
        <v>Saques</v>
      </c>
      <c r="C3857" s="3" t="s">
        <v>3604</v>
      </c>
      <c r="D3857" s="78">
        <v>20</v>
      </c>
      <c r="E3857" s="1480"/>
    </row>
    <row r="3858" spans="1:5">
      <c r="A3858" s="769">
        <v>42927</v>
      </c>
      <c r="B3858" s="86" t="str">
        <f>TiposLancamentos!B24</f>
        <v>Estacionamentos</v>
      </c>
      <c r="C3858" s="3" t="s">
        <v>4641</v>
      </c>
      <c r="D3858" s="78"/>
      <c r="E3858" s="1480">
        <v>8</v>
      </c>
    </row>
    <row r="3859" spans="1:5">
      <c r="A3859" s="769">
        <v>42948</v>
      </c>
      <c r="B3859" s="86" t="str">
        <f>TiposLancamentos!B24</f>
        <v>Estacionamentos</v>
      </c>
      <c r="C3859" s="3" t="s">
        <v>4646</v>
      </c>
      <c r="D3859" s="78"/>
      <c r="E3859" s="1480">
        <v>4</v>
      </c>
    </row>
    <row r="3860" spans="1:5">
      <c r="A3860" s="769">
        <v>42953</v>
      </c>
      <c r="B3860" s="86" t="str">
        <f>TiposLancamentos!B19</f>
        <v>Restaurantes</v>
      </c>
      <c r="C3860" s="3" t="s">
        <v>4647</v>
      </c>
      <c r="D3860" s="78"/>
      <c r="E3860" s="1480">
        <v>6</v>
      </c>
    </row>
    <row r="3861" spans="1:5">
      <c r="A3861" s="769">
        <v>42958</v>
      </c>
      <c r="B3861" s="86" t="str">
        <f>TiposLancamentos!B24</f>
        <v>Estacionamentos</v>
      </c>
      <c r="C3861" s="3" t="s">
        <v>4648</v>
      </c>
      <c r="D3861" s="78"/>
      <c r="E3861" s="1480">
        <v>8</v>
      </c>
    </row>
    <row r="3862" spans="1:5">
      <c r="A3862" s="769">
        <v>42971</v>
      </c>
      <c r="B3862" s="86" t="str">
        <f>TiposLancamentos!B20</f>
        <v>Saques</v>
      </c>
      <c r="C3862" s="3" t="s">
        <v>4303</v>
      </c>
      <c r="D3862" s="78">
        <v>1300</v>
      </c>
      <c r="E3862" s="1480"/>
    </row>
    <row r="3863" spans="1:5">
      <c r="A3863" s="769">
        <v>42971</v>
      </c>
      <c r="B3863" s="86" t="str">
        <f>TiposLancamentos!B66</f>
        <v>Faxineira</v>
      </c>
      <c r="C3863" s="3" t="s">
        <v>4649</v>
      </c>
      <c r="D3863" s="78"/>
      <c r="E3863" s="1480">
        <v>250</v>
      </c>
    </row>
    <row r="3864" spans="1:5">
      <c r="A3864" s="769">
        <v>42972</v>
      </c>
      <c r="B3864" s="86" t="str">
        <f>TiposLancamentos!B64</f>
        <v>Viagens</v>
      </c>
      <c r="C3864" s="3" t="s">
        <v>4650</v>
      </c>
      <c r="D3864" s="78"/>
      <c r="E3864" s="1480">
        <v>900</v>
      </c>
    </row>
    <row r="3865" spans="1:5">
      <c r="A3865" s="769">
        <v>42974</v>
      </c>
      <c r="B3865" s="86" t="str">
        <f>B3862</f>
        <v>Saques</v>
      </c>
      <c r="C3865" s="3" t="s">
        <v>4651</v>
      </c>
      <c r="D3865" s="78">
        <v>182.77</v>
      </c>
      <c r="E3865" s="1480"/>
    </row>
    <row r="3866" spans="1:5">
      <c r="A3866" s="769">
        <v>42974</v>
      </c>
      <c r="B3866" s="86" t="str">
        <f>TiposLancamentos!B48</f>
        <v>Baralhos e Oráculos</v>
      </c>
      <c r="C3866" s="3" t="s">
        <v>4652</v>
      </c>
      <c r="D3866" s="78"/>
      <c r="E3866" s="1480">
        <v>180</v>
      </c>
    </row>
    <row r="3867" spans="1:5">
      <c r="A3867" s="769">
        <v>42975</v>
      </c>
      <c r="B3867" s="86" t="str">
        <f>TiposLancamentos!B65</f>
        <v>Taxi</v>
      </c>
      <c r="C3867" s="3" t="s">
        <v>4653</v>
      </c>
      <c r="D3867" s="78"/>
      <c r="E3867" s="1480">
        <v>150</v>
      </c>
    </row>
    <row r="3868" spans="1:5">
      <c r="A3868" s="769">
        <v>43056</v>
      </c>
      <c r="B3868" s="86" t="str">
        <f>TiposLancamentos!B20</f>
        <v>Saques</v>
      </c>
      <c r="C3868" s="3" t="s">
        <v>4579</v>
      </c>
      <c r="D3868" s="78">
        <v>20</v>
      </c>
      <c r="E3868" s="1480"/>
    </row>
    <row r="3869" spans="1:5">
      <c r="A3869" s="769">
        <v>43056</v>
      </c>
      <c r="B3869" s="86" t="str">
        <f>TiposLancamentos!B24</f>
        <v>Estacionamentos</v>
      </c>
      <c r="C3869" s="3" t="s">
        <v>4654</v>
      </c>
      <c r="D3869" s="78"/>
      <c r="E3869" s="1480">
        <v>5</v>
      </c>
    </row>
    <row r="3870" spans="1:5">
      <c r="A3870" s="769">
        <v>43072</v>
      </c>
      <c r="B3870" s="86" t="str">
        <f>TiposLancamentos!B18</f>
        <v>Alimentacao</v>
      </c>
      <c r="C3870" s="3" t="s">
        <v>4655</v>
      </c>
      <c r="D3870" s="78"/>
      <c r="E3870" s="1480">
        <v>5</v>
      </c>
    </row>
    <row r="3871" spans="1:5">
      <c r="A3871" s="769">
        <v>43084</v>
      </c>
      <c r="B3871" s="86" t="str">
        <f>TiposLancamentos!B20</f>
        <v>Saques</v>
      </c>
      <c r="C3871" s="3" t="s">
        <v>4656</v>
      </c>
      <c r="D3871" s="78">
        <v>20</v>
      </c>
      <c r="E3871" s="1480"/>
    </row>
    <row r="3872" spans="1:5">
      <c r="A3872" s="769">
        <v>43084</v>
      </c>
      <c r="B3872" s="86" t="str">
        <f>TiposLancamentos!B24</f>
        <v>Estacionamentos</v>
      </c>
      <c r="C3872" s="3" t="s">
        <v>4657</v>
      </c>
      <c r="D3872" s="78"/>
      <c r="E3872" s="1480">
        <v>5</v>
      </c>
    </row>
    <row r="3873" spans="1:5">
      <c r="A3873" s="769">
        <v>43087</v>
      </c>
      <c r="B3873" s="86" t="str">
        <f>TiposLancamentos!B24</f>
        <v>Estacionamentos</v>
      </c>
      <c r="C3873" s="3" t="s">
        <v>4658</v>
      </c>
      <c r="D3873" s="78"/>
      <c r="E3873" s="1480">
        <v>10</v>
      </c>
    </row>
    <row r="3874" spans="1:5">
      <c r="A3874" s="769">
        <v>43087</v>
      </c>
      <c r="B3874" s="86" t="str">
        <f>TiposLancamentos!B20</f>
        <v>Saques</v>
      </c>
      <c r="C3874" s="3" t="s">
        <v>4659</v>
      </c>
      <c r="D3874" s="78">
        <v>300</v>
      </c>
      <c r="E3874" s="1480"/>
    </row>
    <row r="3875" spans="1:5">
      <c r="A3875" s="769">
        <v>43087</v>
      </c>
      <c r="B3875" s="86" t="str">
        <f>TiposLancamentos!B20</f>
        <v>Saques</v>
      </c>
      <c r="C3875" s="3" t="s">
        <v>4660</v>
      </c>
      <c r="D3875" s="78">
        <v>100</v>
      </c>
      <c r="E3875" s="1480"/>
    </row>
    <row r="3876" spans="1:5">
      <c r="A3876" s="769">
        <v>43087</v>
      </c>
      <c r="B3876" s="86" t="str">
        <f>TiposLancamentos!B66</f>
        <v>Faxineira</v>
      </c>
      <c r="C3876" s="3" t="s">
        <v>4661</v>
      </c>
      <c r="D3876" s="78"/>
      <c r="E3876" s="1480">
        <v>300</v>
      </c>
    </row>
    <row r="3877" spans="1:5">
      <c r="A3877" s="769">
        <v>43088</v>
      </c>
      <c r="B3877" s="86" t="str">
        <f>TiposLancamentos!B65</f>
        <v>Taxi</v>
      </c>
      <c r="C3877" s="3" t="s">
        <v>4662</v>
      </c>
      <c r="D3877" s="78"/>
      <c r="E3877" s="1480">
        <v>100</v>
      </c>
    </row>
    <row r="3878" spans="1:5">
      <c r="A3878" s="769">
        <v>43099</v>
      </c>
      <c r="B3878" s="86" t="str">
        <f>TiposLancamentos!B20</f>
        <v>Saques</v>
      </c>
      <c r="C3878" s="3" t="s">
        <v>3604</v>
      </c>
      <c r="D3878" s="78">
        <v>100</v>
      </c>
      <c r="E3878" s="1480"/>
    </row>
    <row r="3879" spans="1:5">
      <c r="A3879" s="769">
        <v>43099</v>
      </c>
      <c r="B3879" s="86" t="str">
        <f>TiposLancamentos!B65</f>
        <v>Taxi</v>
      </c>
      <c r="C3879" s="3" t="s">
        <v>4663</v>
      </c>
      <c r="D3879" s="78"/>
      <c r="E3879" s="1480">
        <v>100</v>
      </c>
    </row>
    <row r="3880" spans="1:5">
      <c r="A3880" s="769">
        <v>43113</v>
      </c>
      <c r="B3880" s="86" t="str">
        <f>TiposLancamentos!B20</f>
        <v>Saques</v>
      </c>
      <c r="C3880" s="3" t="s">
        <v>3604</v>
      </c>
      <c r="D3880" s="78">
        <v>40</v>
      </c>
      <c r="E3880" s="1480"/>
    </row>
    <row r="3881" spans="1:5">
      <c r="A3881" s="769">
        <v>43114</v>
      </c>
      <c r="B3881" s="86" t="str">
        <f>TiposLancamentos!B13</f>
        <v>Moradia</v>
      </c>
      <c r="C3881" s="3" t="s">
        <v>3682</v>
      </c>
      <c r="D3881" s="78"/>
      <c r="E3881" s="1480">
        <v>20</v>
      </c>
    </row>
    <row r="3882" spans="1:5">
      <c r="A3882" s="769">
        <v>43157</v>
      </c>
      <c r="B3882" s="86" t="str">
        <f>TiposLancamentos!B20</f>
        <v>Saques</v>
      </c>
      <c r="C3882" s="3" t="s">
        <v>4664</v>
      </c>
      <c r="D3882" s="78">
        <v>20</v>
      </c>
      <c r="E3882" s="1480"/>
    </row>
    <row r="3883" spans="1:5">
      <c r="A3883" s="769">
        <v>43157</v>
      </c>
      <c r="B3883" s="86" t="str">
        <f>TiposLancamentos!B24</f>
        <v>Estacionamentos</v>
      </c>
      <c r="C3883" s="3" t="s">
        <v>4654</v>
      </c>
      <c r="D3883" s="78"/>
      <c r="E3883" s="1480">
        <v>5</v>
      </c>
    </row>
    <row r="3884" spans="1:5">
      <c r="A3884" s="769">
        <v>43160</v>
      </c>
      <c r="B3884" s="86" t="str">
        <f>TiposLancamentos!B20</f>
        <v>Saques</v>
      </c>
      <c r="C3884" s="3" t="s">
        <v>3604</v>
      </c>
      <c r="D3884" s="78">
        <v>50</v>
      </c>
      <c r="E3884" s="1480"/>
    </row>
    <row r="3885" spans="1:5">
      <c r="A3885" s="769">
        <v>43160</v>
      </c>
      <c r="B3885" s="86" t="str">
        <f>TiposLancamentos!B77</f>
        <v>Esporádico</v>
      </c>
      <c r="C3885" s="3" t="s">
        <v>4665</v>
      </c>
      <c r="D3885" s="78"/>
      <c r="E3885" s="1480">
        <v>40</v>
      </c>
    </row>
    <row r="3886" spans="1:5">
      <c r="A3886" s="769">
        <v>43161</v>
      </c>
      <c r="B3886" s="86" t="str">
        <f>TiposLancamentos!B16</f>
        <v>Cristiane</v>
      </c>
      <c r="C3886" s="3" t="s">
        <v>4296</v>
      </c>
      <c r="D3886" s="78"/>
      <c r="E3886" s="1480">
        <v>25</v>
      </c>
    </row>
    <row r="3887" spans="1:5">
      <c r="A3887" s="769">
        <v>43161</v>
      </c>
      <c r="B3887" s="86" t="str">
        <f>TiposLancamentos!B78</f>
        <v>Diferenças</v>
      </c>
      <c r="C3887" s="3" t="s">
        <v>4666</v>
      </c>
      <c r="D3887" s="78"/>
      <c r="E3887" s="1480">
        <v>77.67</v>
      </c>
    </row>
    <row r="3888" spans="1:5">
      <c r="A3888" s="769">
        <v>43182</v>
      </c>
      <c r="B3888" s="86" t="str">
        <f>TiposLancamentos!B20</f>
        <v>Saques</v>
      </c>
      <c r="C3888" s="3" t="s">
        <v>4667</v>
      </c>
      <c r="D3888" s="78">
        <v>150</v>
      </c>
      <c r="E3888" s="1480"/>
    </row>
    <row r="3889" spans="1:5">
      <c r="A3889" s="769">
        <v>43184</v>
      </c>
      <c r="B3889" s="86" t="str">
        <f>TiposLancamentos!B19</f>
        <v>Restaurantes</v>
      </c>
      <c r="C3889" s="3" t="s">
        <v>4668</v>
      </c>
      <c r="D3889" s="78"/>
      <c r="E3889" s="1480">
        <v>127</v>
      </c>
    </row>
    <row r="3890" spans="1:5">
      <c r="A3890" s="769">
        <v>43184</v>
      </c>
      <c r="B3890" s="86" t="str">
        <f>TiposLancamentos!B19</f>
        <v>Restaurantes</v>
      </c>
      <c r="C3890" s="3" t="s">
        <v>4668</v>
      </c>
      <c r="D3890" s="78"/>
      <c r="E3890" s="1480">
        <v>8</v>
      </c>
    </row>
    <row r="3891" spans="1:5">
      <c r="A3891" s="769">
        <v>43201</v>
      </c>
      <c r="B3891" s="86" t="str">
        <f>TiposLancamentos!B20</f>
        <v>Saques</v>
      </c>
      <c r="C3891" s="3" t="s">
        <v>3604</v>
      </c>
      <c r="D3891" s="78">
        <v>80</v>
      </c>
      <c r="E3891" s="1480"/>
    </row>
    <row r="3892" spans="1:5">
      <c r="A3892" s="769">
        <v>43201</v>
      </c>
      <c r="B3892" s="86" t="str">
        <f>TiposLancamentos!B59</f>
        <v>Documentos</v>
      </c>
      <c r="C3892" s="3" t="s">
        <v>4669</v>
      </c>
      <c r="D3892" s="78"/>
      <c r="E3892" s="1480">
        <v>85</v>
      </c>
    </row>
    <row r="3893" spans="1:5">
      <c r="A3893" s="769">
        <v>43206</v>
      </c>
      <c r="B3893" s="86" t="str">
        <f>TiposLancamentos!B20</f>
        <v>Saques</v>
      </c>
      <c r="C3893" s="3" t="s">
        <v>4325</v>
      </c>
      <c r="D3893" s="78">
        <v>20</v>
      </c>
      <c r="E3893" s="1480"/>
    </row>
    <row r="3894" spans="1:5">
      <c r="A3894" s="769">
        <v>43206</v>
      </c>
      <c r="B3894" s="86" t="str">
        <f>TiposLancamentos!B54</f>
        <v>Metro</v>
      </c>
      <c r="C3894" s="3" t="s">
        <v>4670</v>
      </c>
      <c r="D3894" s="78"/>
      <c r="E3894" s="1480">
        <v>8</v>
      </c>
    </row>
    <row r="3895" spans="1:5">
      <c r="A3895" s="769">
        <v>43216</v>
      </c>
      <c r="B3895" s="86" t="str">
        <f>TiposLancamentos!B20</f>
        <v>Saques</v>
      </c>
      <c r="C3895" s="3" t="s">
        <v>4671</v>
      </c>
      <c r="D3895" s="78">
        <v>140</v>
      </c>
      <c r="E3895" s="1480"/>
    </row>
    <row r="3896" spans="1:5">
      <c r="A3896" s="769">
        <v>43216</v>
      </c>
      <c r="B3896" s="86" t="str">
        <f>TiposLancamentos!B66</f>
        <v>Faxineira</v>
      </c>
      <c r="C3896" s="3" t="s">
        <v>4672</v>
      </c>
      <c r="D3896" s="78"/>
      <c r="E3896" s="1480">
        <v>140</v>
      </c>
    </row>
    <row r="3897" spans="1:5">
      <c r="A3897" s="769">
        <v>43217</v>
      </c>
      <c r="B3897" s="86" t="str">
        <f>TiposLancamentos!B20</f>
        <v>Saques</v>
      </c>
      <c r="C3897" s="3" t="s">
        <v>4671</v>
      </c>
      <c r="D3897" s="78">
        <v>100</v>
      </c>
      <c r="E3897" s="1480"/>
    </row>
    <row r="3898" spans="1:5">
      <c r="A3898" s="769">
        <v>43217</v>
      </c>
      <c r="B3898" s="86" t="str">
        <f>TiposLancamentos!B16</f>
        <v>Cristiane</v>
      </c>
      <c r="C3898" s="3" t="s">
        <v>3100</v>
      </c>
      <c r="D3898" s="78"/>
      <c r="E3898" s="1480">
        <v>100</v>
      </c>
    </row>
    <row r="3899" spans="1:5">
      <c r="A3899" s="769">
        <v>43234</v>
      </c>
      <c r="B3899" s="86" t="str">
        <f>TiposLancamentos!B20</f>
        <v>Saques</v>
      </c>
      <c r="C3899" s="3" t="s">
        <v>4671</v>
      </c>
      <c r="D3899" s="78">
        <v>20</v>
      </c>
      <c r="E3899" s="1480"/>
    </row>
    <row r="3900" spans="1:5">
      <c r="A3900" s="769">
        <v>43234</v>
      </c>
      <c r="B3900" s="86" t="str">
        <f>TiposLancamentos!B24</f>
        <v>Estacionamentos</v>
      </c>
      <c r="C3900" s="3" t="s">
        <v>2014</v>
      </c>
      <c r="D3900" s="78"/>
      <c r="E3900" s="1480">
        <v>7</v>
      </c>
    </row>
    <row r="3901" spans="1:5">
      <c r="A3901" s="769">
        <v>43237</v>
      </c>
      <c r="B3901" s="86" t="str">
        <f>TiposLancamentos!B16</f>
        <v>Cristiane</v>
      </c>
      <c r="C3901" s="3" t="s">
        <v>4673</v>
      </c>
      <c r="D3901" s="78"/>
      <c r="E3901" s="1480">
        <v>8</v>
      </c>
    </row>
    <row r="3902" spans="1:5">
      <c r="A3902" s="769">
        <v>43245</v>
      </c>
      <c r="B3902" s="86" t="str">
        <f>TiposLancamentos!B20</f>
        <v>Saques</v>
      </c>
      <c r="C3902" s="3" t="s">
        <v>3604</v>
      </c>
      <c r="D3902" s="78">
        <v>60</v>
      </c>
      <c r="E3902" s="1480"/>
    </row>
    <row r="3903" spans="1:5">
      <c r="A3903" s="769">
        <v>43246</v>
      </c>
      <c r="B3903" s="86" t="str">
        <f>TiposLancamentos!B24</f>
        <v>Estacionamentos</v>
      </c>
      <c r="C3903" s="3" t="s">
        <v>4674</v>
      </c>
      <c r="D3903" s="78"/>
      <c r="E3903" s="1480">
        <v>7</v>
      </c>
    </row>
    <row r="3904" spans="1:5">
      <c r="A3904" s="769">
        <v>43246</v>
      </c>
      <c r="B3904" s="86" t="str">
        <f>TiposLancamentos!B71</f>
        <v>Itens Pessoais</v>
      </c>
      <c r="C3904" s="3" t="s">
        <v>4675</v>
      </c>
      <c r="D3904" s="78"/>
      <c r="E3904" s="1480">
        <v>10</v>
      </c>
    </row>
    <row r="3905" spans="1:5">
      <c r="A3905" s="769">
        <v>43246</v>
      </c>
      <c r="B3905" s="86" t="str">
        <f>TiposLancamentos!B81</f>
        <v>Ferramentas gerais</v>
      </c>
      <c r="C3905" s="3" t="s">
        <v>4676</v>
      </c>
      <c r="D3905" s="78"/>
      <c r="E3905" s="1480">
        <v>3.5</v>
      </c>
    </row>
    <row r="3906" spans="1:5">
      <c r="A3906" s="769">
        <v>43248</v>
      </c>
      <c r="B3906" s="86" t="str">
        <f>TiposLancamentos!B20</f>
        <v>Saques</v>
      </c>
      <c r="C3906" s="3" t="s">
        <v>3604</v>
      </c>
      <c r="D3906" s="78">
        <v>20</v>
      </c>
      <c r="E3906" s="1480"/>
    </row>
    <row r="3907" spans="1:5">
      <c r="A3907" s="769">
        <v>43255</v>
      </c>
      <c r="B3907" s="86" t="str">
        <f>TiposLancamentos!B71</f>
        <v>Itens Pessoais</v>
      </c>
      <c r="C3907" s="3" t="s">
        <v>4677</v>
      </c>
      <c r="D3907" s="78"/>
      <c r="E3907" s="1480">
        <v>60</v>
      </c>
    </row>
    <row r="3908" spans="1:5">
      <c r="A3908" s="769">
        <v>43265</v>
      </c>
      <c r="B3908" s="86" t="str">
        <f>TiposLancamentos!B20</f>
        <v>Saques</v>
      </c>
      <c r="C3908" s="3" t="s">
        <v>4678</v>
      </c>
      <c r="D3908" s="78">
        <v>20</v>
      </c>
      <c r="E3908" s="1480"/>
    </row>
    <row r="3909" spans="1:5">
      <c r="A3909" s="769">
        <v>43265</v>
      </c>
      <c r="B3909" s="86" t="str">
        <f>TiposLancamentos!B54</f>
        <v>Metro</v>
      </c>
      <c r="C3909" s="3" t="s">
        <v>4679</v>
      </c>
      <c r="D3909" s="78"/>
      <c r="E3909" s="1480">
        <v>8</v>
      </c>
    </row>
    <row r="3910" spans="1:5">
      <c r="A3910" s="769">
        <v>43273</v>
      </c>
      <c r="B3910" s="86" t="str">
        <f>TiposLancamentos!B24</f>
        <v>Estacionamentos</v>
      </c>
      <c r="C3910" s="3" t="s">
        <v>4680</v>
      </c>
      <c r="D3910" s="78"/>
      <c r="E3910" s="1480">
        <v>7</v>
      </c>
    </row>
    <row r="3911" spans="1:5">
      <c r="A3911" s="769">
        <v>43300</v>
      </c>
      <c r="B3911" s="86" t="str">
        <f>TiposLancamentos!B20</f>
        <v>Saques</v>
      </c>
      <c r="C3911" s="3" t="s">
        <v>4681</v>
      </c>
      <c r="D3911" s="78">
        <v>40</v>
      </c>
      <c r="E3911" s="1480"/>
    </row>
    <row r="3912" spans="1:5">
      <c r="A3912" s="769">
        <v>43300</v>
      </c>
      <c r="B3912" s="86" t="str">
        <f>TiposLancamentos!B59</f>
        <v>Documentos</v>
      </c>
      <c r="C3912" s="3" t="s">
        <v>4682</v>
      </c>
      <c r="D3912" s="78"/>
      <c r="E3912" s="1480">
        <f>12.91*2</f>
        <v>25.82</v>
      </c>
    </row>
    <row r="3913" spans="1:5">
      <c r="A3913" s="769">
        <v>43300</v>
      </c>
      <c r="B3913" s="86" t="str">
        <f>TiposLancamentos!B24</f>
        <v>Estacionamentos</v>
      </c>
      <c r="C3913" s="3" t="s">
        <v>4683</v>
      </c>
      <c r="D3913" s="78"/>
      <c r="E3913" s="1480">
        <v>8</v>
      </c>
    </row>
    <row r="3914" spans="1:5">
      <c r="A3914" s="769">
        <v>43301</v>
      </c>
      <c r="B3914" s="86" t="str">
        <f>TiposLancamentos!B20</f>
        <v>Saques</v>
      </c>
      <c r="C3914" s="3" t="s">
        <v>4681</v>
      </c>
      <c r="D3914" s="78">
        <v>130</v>
      </c>
      <c r="E3914" s="1480"/>
    </row>
    <row r="3915" spans="1:5">
      <c r="A3915" s="769">
        <v>43302</v>
      </c>
      <c r="B3915" s="86" t="str">
        <f>TiposLancamentos!B48</f>
        <v>Baralhos e Oráculos</v>
      </c>
      <c r="C3915" s="3" t="s">
        <v>4684</v>
      </c>
      <c r="D3915" s="78"/>
      <c r="E3915" s="1480">
        <v>90</v>
      </c>
    </row>
    <row r="3916" spans="1:5">
      <c r="A3916" s="769">
        <v>43306</v>
      </c>
      <c r="B3916" s="86" t="str">
        <f>TiposLancamentos!B69</f>
        <v>Consertos</v>
      </c>
      <c r="C3916" s="3" t="s">
        <v>4685</v>
      </c>
      <c r="D3916" s="78"/>
      <c r="E3916" s="1480">
        <v>10</v>
      </c>
    </row>
    <row r="3917" spans="1:5">
      <c r="A3917" s="769">
        <v>43310</v>
      </c>
      <c r="B3917" s="86" t="str">
        <f>TiposLancamentos!B77</f>
        <v>Esporádico</v>
      </c>
      <c r="C3917" s="3" t="s">
        <v>4686</v>
      </c>
      <c r="D3917" s="78"/>
      <c r="E3917" s="1480">
        <v>20</v>
      </c>
    </row>
    <row r="3918" spans="1:5">
      <c r="A3918" s="769">
        <v>43323</v>
      </c>
      <c r="B3918" s="86" t="str">
        <f>TiposLancamentos!B20</f>
        <v>Saques</v>
      </c>
      <c r="C3918" s="3" t="s">
        <v>4325</v>
      </c>
      <c r="D3918" s="78">
        <v>40</v>
      </c>
      <c r="E3918" s="1480"/>
    </row>
    <row r="3919" spans="1:5">
      <c r="A3919" s="769">
        <v>43323</v>
      </c>
      <c r="B3919" s="86" t="str">
        <f>TiposLancamentos!B54</f>
        <v>Metro</v>
      </c>
      <c r="C3919" s="3" t="s">
        <v>4687</v>
      </c>
      <c r="D3919" s="78"/>
      <c r="E3919" s="1480">
        <v>8</v>
      </c>
    </row>
    <row r="3920" spans="1:5">
      <c r="A3920" s="769">
        <v>43332</v>
      </c>
      <c r="B3920" s="86" t="str">
        <f>TiposLancamentos!B20</f>
        <v>Saques</v>
      </c>
      <c r="C3920" s="3" t="s">
        <v>4688</v>
      </c>
      <c r="D3920" s="78">
        <v>150</v>
      </c>
      <c r="E3920" s="1480"/>
    </row>
    <row r="3921" spans="1:5">
      <c r="A3921" s="769">
        <v>43332</v>
      </c>
      <c r="B3921" s="86" t="str">
        <f>TiposLancamentos!B66</f>
        <v>Faxineira</v>
      </c>
      <c r="C3921" s="3" t="s">
        <v>4689</v>
      </c>
      <c r="D3921" s="78"/>
      <c r="E3921" s="1480">
        <v>150</v>
      </c>
    </row>
    <row r="3922" spans="1:5">
      <c r="A3922" s="769">
        <v>43325</v>
      </c>
      <c r="B3922" s="86" t="str">
        <f>TiposLancamentos!B16</f>
        <v>Cristiane</v>
      </c>
      <c r="C3922" s="3" t="s">
        <v>3100</v>
      </c>
      <c r="D3922" s="78"/>
      <c r="E3922" s="1480">
        <v>22</v>
      </c>
    </row>
    <row r="3923" spans="1:5">
      <c r="A3923" s="769">
        <v>43342</v>
      </c>
      <c r="B3923" s="86" t="str">
        <f>TiposLancamentos!B20</f>
        <v>Saques</v>
      </c>
      <c r="C3923" s="3" t="s">
        <v>4368</v>
      </c>
      <c r="D3923" s="78">
        <v>40</v>
      </c>
      <c r="E3923" s="1480"/>
    </row>
    <row r="3924" spans="1:5">
      <c r="A3924" s="769">
        <v>43342</v>
      </c>
      <c r="B3924" s="86" t="str">
        <f>TiposLancamentos!B60</f>
        <v>Correio</v>
      </c>
      <c r="C3924" s="3" t="s">
        <v>4690</v>
      </c>
      <c r="D3924" s="78"/>
      <c r="E3924" s="1480">
        <v>25</v>
      </c>
    </row>
    <row r="3925" spans="1:5">
      <c r="A3925" s="769">
        <v>43347</v>
      </c>
      <c r="B3925" s="86" t="str">
        <f>TiposLancamentos!B69</f>
        <v>Consertos</v>
      </c>
      <c r="C3925" s="3" t="s">
        <v>4691</v>
      </c>
      <c r="D3925" s="78"/>
      <c r="E3925" s="1480">
        <v>10</v>
      </c>
    </row>
    <row r="3926" spans="1:5">
      <c r="A3926" s="769">
        <v>43356</v>
      </c>
      <c r="B3926" s="86" t="str">
        <f>TiposLancamentos!B69</f>
        <v>Consertos</v>
      </c>
      <c r="C3926" s="3" t="s">
        <v>4692</v>
      </c>
      <c r="D3926" s="78"/>
      <c r="E3926" s="1480">
        <v>5</v>
      </c>
    </row>
    <row r="3927" spans="1:5">
      <c r="A3927" s="769">
        <v>43358</v>
      </c>
      <c r="B3927" s="86" t="str">
        <f>TiposLancamentos!B20</f>
        <v>Saques</v>
      </c>
      <c r="C3927" s="3" t="s">
        <v>3604</v>
      </c>
      <c r="D3927" s="78">
        <v>100</v>
      </c>
      <c r="E3927" s="1480"/>
    </row>
    <row r="3928" spans="1:5">
      <c r="A3928" s="769">
        <v>43358</v>
      </c>
      <c r="B3928" s="86" t="str">
        <f>TiposLancamentos!B32</f>
        <v>Clinicas e tratamentos</v>
      </c>
      <c r="C3928" s="3" t="s">
        <v>4693</v>
      </c>
      <c r="D3928" s="78"/>
      <c r="E3928" s="1480">
        <v>48</v>
      </c>
    </row>
    <row r="3929" spans="1:5">
      <c r="A3929" s="769">
        <v>43358</v>
      </c>
      <c r="B3929" s="86" t="str">
        <f>TiposLancamentos!B69</f>
        <v>Consertos</v>
      </c>
      <c r="C3929" s="3" t="s">
        <v>4694</v>
      </c>
      <c r="D3929" s="78"/>
      <c r="E3929" s="1480">
        <v>25</v>
      </c>
    </row>
    <row r="3930" spans="1:5">
      <c r="A3930" s="769">
        <v>43365</v>
      </c>
      <c r="B3930" s="86" t="str">
        <f>TiposLancamentos!B20</f>
        <v>Saques</v>
      </c>
      <c r="C3930" s="3" t="s">
        <v>4695</v>
      </c>
      <c r="D3930" s="78">
        <v>40</v>
      </c>
      <c r="E3930" s="1480"/>
    </row>
    <row r="3931" spans="1:5">
      <c r="A3931" s="769">
        <v>43365</v>
      </c>
      <c r="B3931" s="86" t="str">
        <f>TiposLancamentos!B54</f>
        <v>Metro</v>
      </c>
      <c r="C3931" s="3" t="s">
        <v>4696</v>
      </c>
      <c r="D3931" s="78"/>
      <c r="E3931" s="1480">
        <v>4</v>
      </c>
    </row>
    <row r="3932" spans="1:5">
      <c r="A3932" s="769">
        <v>43365</v>
      </c>
      <c r="B3932" s="86" t="str">
        <f>TiposLancamentos!B54</f>
        <v>Metro</v>
      </c>
      <c r="C3932" s="3" t="s">
        <v>4697</v>
      </c>
      <c r="D3932" s="78"/>
      <c r="E3932" s="1480">
        <v>4</v>
      </c>
    </row>
    <row r="3933" spans="1:5">
      <c r="A3933" s="769">
        <v>43365</v>
      </c>
      <c r="B3933" s="86" t="str">
        <f>TiposLancamentos!B18</f>
        <v>Alimentacao</v>
      </c>
      <c r="C3933" s="3" t="s">
        <v>3682</v>
      </c>
      <c r="D3933" s="78"/>
      <c r="E3933" s="1480">
        <v>6</v>
      </c>
    </row>
    <row r="3934" spans="1:5">
      <c r="A3934" s="769">
        <v>43371</v>
      </c>
      <c r="B3934" s="86" t="str">
        <f>TiposLancamentos!B24</f>
        <v>Estacionamentos</v>
      </c>
      <c r="C3934" s="3" t="s">
        <v>4698</v>
      </c>
      <c r="D3934" s="78"/>
      <c r="E3934" s="1480">
        <v>5</v>
      </c>
    </row>
    <row r="3935" spans="1:5">
      <c r="A3935" s="769">
        <v>43371</v>
      </c>
      <c r="B3935" s="86" t="str">
        <f>TiposLancamentos!B59</f>
        <v>Documentos</v>
      </c>
      <c r="C3935" s="3" t="s">
        <v>4699</v>
      </c>
      <c r="D3935" s="78"/>
      <c r="E3935" s="1480">
        <v>0.6</v>
      </c>
    </row>
    <row r="3936" spans="1:5">
      <c r="A3936" s="769">
        <v>43371</v>
      </c>
      <c r="B3936" s="86" t="str">
        <f>TiposLancamentos!B59</f>
        <v>Documentos</v>
      </c>
      <c r="C3936" s="3" t="s">
        <v>4700</v>
      </c>
      <c r="D3936" s="78"/>
      <c r="E3936" s="1480">
        <v>5</v>
      </c>
    </row>
    <row r="3937" spans="1:5">
      <c r="A3937" s="769">
        <v>43371</v>
      </c>
      <c r="B3937" s="86" t="str">
        <f>TiposLancamentos!B24</f>
        <v>Estacionamentos</v>
      </c>
      <c r="C3937" s="3" t="s">
        <v>4701</v>
      </c>
      <c r="D3937" s="78"/>
      <c r="E3937" s="1480">
        <v>6</v>
      </c>
    </row>
    <row r="3938" spans="1:5">
      <c r="A3938" s="769">
        <v>43384</v>
      </c>
      <c r="B3938" s="86" t="str">
        <f>TiposLancamentos!B20</f>
        <v>Saques</v>
      </c>
      <c r="C3938" s="3" t="s">
        <v>4702</v>
      </c>
      <c r="D3938" s="78">
        <v>200</v>
      </c>
      <c r="E3938" s="1480"/>
    </row>
    <row r="3939" spans="1:5">
      <c r="A3939" s="769">
        <v>43386</v>
      </c>
      <c r="B3939" s="86" t="str">
        <f>TiposLancamentos!B33</f>
        <v>Pedágios</v>
      </c>
      <c r="C3939" s="3" t="s">
        <v>4703</v>
      </c>
      <c r="D3939" s="78"/>
      <c r="E3939" s="1480">
        <v>20</v>
      </c>
    </row>
    <row r="3940" spans="1:5">
      <c r="A3940" s="769">
        <v>43386</v>
      </c>
      <c r="B3940" s="86" t="str">
        <f>TiposLancamentos!B64</f>
        <v>Viagens</v>
      </c>
      <c r="C3940" s="3" t="s">
        <v>4704</v>
      </c>
      <c r="D3940" s="78"/>
      <c r="E3940" s="1480">
        <v>40</v>
      </c>
    </row>
    <row r="3941" spans="1:5">
      <c r="A3941" s="769">
        <v>43386</v>
      </c>
      <c r="B3941" s="86" t="str">
        <f>TiposLancamentos!B64</f>
        <v>Viagens</v>
      </c>
      <c r="C3941" s="3" t="s">
        <v>4705</v>
      </c>
      <c r="D3941" s="78"/>
      <c r="E3941" s="1480">
        <v>20</v>
      </c>
    </row>
    <row r="3942" spans="1:5">
      <c r="A3942" s="769">
        <v>43385</v>
      </c>
      <c r="B3942" s="86" t="str">
        <f>TiposLancamentos!B19</f>
        <v>Restaurantes</v>
      </c>
      <c r="C3942" s="3" t="s">
        <v>4706</v>
      </c>
      <c r="D3942" s="78"/>
      <c r="E3942" s="1480">
        <v>25</v>
      </c>
    </row>
    <row r="3943" spans="1:5">
      <c r="A3943" s="769">
        <v>43385</v>
      </c>
      <c r="B3943" s="86" t="str">
        <f>TiposLancamentos!B16</f>
        <v>Cristiane</v>
      </c>
      <c r="C3943" s="3" t="s">
        <v>4707</v>
      </c>
      <c r="D3943" s="78"/>
      <c r="E3943" s="1480">
        <v>20</v>
      </c>
    </row>
    <row r="3944" spans="1:5">
      <c r="A3944" s="769">
        <v>43356</v>
      </c>
      <c r="B3944" s="86" t="str">
        <f>TiposLancamentos!B78</f>
        <v>Diferenças</v>
      </c>
      <c r="C3944" s="3" t="s">
        <v>4708</v>
      </c>
      <c r="D3944" s="78"/>
      <c r="E3944" s="1480">
        <v>99.08</v>
      </c>
    </row>
    <row r="3945" spans="1:5">
      <c r="A3945" s="769">
        <v>43389</v>
      </c>
      <c r="B3945" s="86" t="str">
        <f>TiposLancamentos!B20</f>
        <v>Saques</v>
      </c>
      <c r="C3945" s="3" t="s">
        <v>3604</v>
      </c>
      <c r="D3945" s="78">
        <v>50</v>
      </c>
      <c r="E3945" s="1480"/>
    </row>
    <row r="3946" spans="1:5">
      <c r="A3946" s="769">
        <v>43390</v>
      </c>
      <c r="B3946" s="86" t="str">
        <f>TiposLancamentos!B66</f>
        <v>Faxineira</v>
      </c>
      <c r="C3946" s="3" t="s">
        <v>4709</v>
      </c>
      <c r="D3946" s="78"/>
      <c r="E3946" s="1480">
        <v>100</v>
      </c>
    </row>
    <row r="3947" spans="1:5">
      <c r="A3947" s="769">
        <v>43397</v>
      </c>
      <c r="B3947" s="86" t="str">
        <f>TiposLancamentos!B54</f>
        <v>Metro</v>
      </c>
      <c r="C3947" s="3" t="s">
        <v>4710</v>
      </c>
      <c r="D3947" s="78"/>
      <c r="E3947" s="1480">
        <v>9</v>
      </c>
    </row>
    <row r="3948" spans="1:5">
      <c r="A3948" s="769">
        <v>43397</v>
      </c>
      <c r="B3948" s="86" t="str">
        <f>TiposLancamentos!B20</f>
        <v>Saques</v>
      </c>
      <c r="C3948" s="3" t="s">
        <v>3604</v>
      </c>
      <c r="D3948" s="78">
        <v>20</v>
      </c>
      <c r="E3948" s="1480"/>
    </row>
    <row r="3949" spans="1:5">
      <c r="A3949" s="769">
        <v>43397</v>
      </c>
      <c r="B3949" s="86" t="str">
        <f>TiposLancamentos!B24</f>
        <v>Estacionamentos</v>
      </c>
      <c r="C3949" s="3" t="s">
        <v>4711</v>
      </c>
      <c r="D3949" s="78"/>
      <c r="E3949" s="1480">
        <v>14</v>
      </c>
    </row>
    <row r="3950" spans="1:5">
      <c r="A3950" s="769">
        <v>43398</v>
      </c>
      <c r="B3950" s="86" t="str">
        <f>TiposLancamentos!B24</f>
        <v>Estacionamentos</v>
      </c>
      <c r="C3950" s="3" t="s">
        <v>4712</v>
      </c>
      <c r="D3950" s="78"/>
      <c r="E3950" s="1480">
        <v>11</v>
      </c>
    </row>
    <row r="3951" spans="1:5">
      <c r="A3951" s="769">
        <v>43403</v>
      </c>
      <c r="B3951" s="86" t="str">
        <f>TiposLancamentos!B20</f>
        <v>Saques</v>
      </c>
      <c r="C3951" s="3" t="s">
        <v>4325</v>
      </c>
      <c r="D3951" s="78">
        <v>40</v>
      </c>
      <c r="E3951" s="1480"/>
    </row>
    <row r="3952" spans="1:5">
      <c r="A3952" s="769">
        <v>43403</v>
      </c>
      <c r="B3952" s="86" t="str">
        <f>TiposLancamentos!B32</f>
        <v>Clinicas e tratamentos</v>
      </c>
      <c r="C3952" s="3" t="s">
        <v>4713</v>
      </c>
      <c r="D3952" s="78"/>
      <c r="E3952" s="1480">
        <v>20</v>
      </c>
    </row>
    <row r="3953" spans="1:5">
      <c r="A3953" s="769">
        <v>43404</v>
      </c>
      <c r="B3953" s="86" t="str">
        <f>TiposLancamentos!B24</f>
        <v>Estacionamentos</v>
      </c>
      <c r="C3953" s="3" t="s">
        <v>4714</v>
      </c>
      <c r="D3953" s="78"/>
      <c r="E3953" s="1480">
        <v>8</v>
      </c>
    </row>
    <row r="3954" spans="1:5">
      <c r="A3954" s="769">
        <v>43405</v>
      </c>
      <c r="B3954" s="86" t="str">
        <f>TiposLancamentos!B24</f>
        <v>Estacionamentos</v>
      </c>
      <c r="C3954" s="3" t="s">
        <v>4715</v>
      </c>
      <c r="D3954" s="78"/>
      <c r="E3954" s="1480">
        <v>13</v>
      </c>
    </row>
    <row r="3955" spans="1:5">
      <c r="A3955" s="769">
        <v>43410</v>
      </c>
      <c r="B3955" s="86" t="str">
        <f>TiposLancamentos!B20</f>
        <v>Saques</v>
      </c>
      <c r="C3955" s="3" t="s">
        <v>3778</v>
      </c>
      <c r="D3955" s="78">
        <v>20</v>
      </c>
      <c r="E3955" s="1480"/>
    </row>
    <row r="3956" spans="1:5">
      <c r="A3956" s="769">
        <v>43410</v>
      </c>
      <c r="B3956" s="86" t="str">
        <f>TiposLancamentos!B18</f>
        <v>Alimentacao</v>
      </c>
      <c r="C3956" s="3" t="s">
        <v>3682</v>
      </c>
      <c r="D3956" s="78"/>
      <c r="E3956" s="1480">
        <v>20</v>
      </c>
    </row>
    <row r="3957" spans="1:5">
      <c r="A3957" s="769">
        <v>43420</v>
      </c>
      <c r="B3957" s="86" t="str">
        <f>TiposLancamentos!B20</f>
        <v>Saques</v>
      </c>
      <c r="C3957" s="3" t="s">
        <v>4716</v>
      </c>
      <c r="D3957" s="78">
        <v>40</v>
      </c>
      <c r="E3957" s="1480"/>
    </row>
    <row r="3958" spans="1:5">
      <c r="A3958" s="769">
        <v>43420</v>
      </c>
      <c r="B3958" s="86" t="str">
        <f>TiposLancamentos!B54</f>
        <v>Metro</v>
      </c>
      <c r="C3958" s="3" t="s">
        <v>4717</v>
      </c>
      <c r="D3958" s="78"/>
      <c r="E3958" s="1480">
        <f>4*4</f>
        <v>16</v>
      </c>
    </row>
    <row r="3959" spans="1:5">
      <c r="A3959" s="769">
        <v>43420</v>
      </c>
      <c r="B3959" s="86" t="str">
        <f>TiposLancamentos!B18</f>
        <v>Alimentacao</v>
      </c>
      <c r="C3959" s="3" t="s">
        <v>4150</v>
      </c>
      <c r="D3959" s="78"/>
      <c r="E3959" s="1480">
        <v>4</v>
      </c>
    </row>
    <row r="3960" spans="1:5">
      <c r="A3960" s="769">
        <v>43427</v>
      </c>
      <c r="B3960" s="86" t="str">
        <f>TiposLancamentos!B24</f>
        <v>Estacionamentos</v>
      </c>
      <c r="C3960" s="3" t="s">
        <v>4718</v>
      </c>
      <c r="D3960" s="78"/>
      <c r="E3960" s="1480">
        <v>14</v>
      </c>
    </row>
    <row r="3961" spans="1:5">
      <c r="A3961" s="769">
        <v>43436</v>
      </c>
      <c r="B3961" s="86" t="str">
        <f>TiposLancamentos!B20</f>
        <v>Saques</v>
      </c>
      <c r="C3961" s="3" t="s">
        <v>4719</v>
      </c>
      <c r="D3961" s="78">
        <v>210</v>
      </c>
      <c r="E3961" s="1480"/>
    </row>
    <row r="3962" spans="1:5">
      <c r="A3962" s="769">
        <v>43436</v>
      </c>
      <c r="B3962" s="86" t="str">
        <f>TiposLancamentos!B87</f>
        <v>P207-1.6-XS</v>
      </c>
      <c r="C3962" s="3" t="s">
        <v>4720</v>
      </c>
      <c r="D3962" s="78"/>
      <c r="E3962" s="1480">
        <v>50</v>
      </c>
    </row>
    <row r="3963" spans="1:5">
      <c r="A3963" s="769">
        <v>43436</v>
      </c>
      <c r="B3963" s="86" t="str">
        <f>TiposLancamentos!B74</f>
        <v>Noite</v>
      </c>
      <c r="C3963" s="3" t="s">
        <v>4721</v>
      </c>
      <c r="D3963" s="78"/>
      <c r="E3963" s="1480">
        <v>160</v>
      </c>
    </row>
    <row r="3964" spans="1:5">
      <c r="A3964" s="769">
        <v>43437</v>
      </c>
      <c r="B3964" s="86" t="str">
        <f>TiposLancamentos!B24</f>
        <v>Estacionamentos</v>
      </c>
      <c r="C3964" s="3" t="s">
        <v>4722</v>
      </c>
      <c r="D3964" s="78"/>
      <c r="E3964" s="1480">
        <v>8</v>
      </c>
    </row>
    <row r="3965" spans="1:5">
      <c r="A3965" s="769">
        <v>43438</v>
      </c>
      <c r="B3965" s="86" t="str">
        <f>TiposLancamentos!B20</f>
        <v>Saques</v>
      </c>
      <c r="C3965" s="3" t="s">
        <v>4325</v>
      </c>
      <c r="D3965" s="78">
        <v>70</v>
      </c>
      <c r="E3965" s="1480"/>
    </row>
    <row r="3966" spans="1:5">
      <c r="A3966" s="769">
        <v>43438</v>
      </c>
      <c r="B3966" s="86" t="str">
        <f>TiposLancamentos!B66</f>
        <v>Faxineira</v>
      </c>
      <c r="C3966" s="3" t="s">
        <v>4723</v>
      </c>
      <c r="D3966" s="78"/>
      <c r="E3966" s="1480">
        <v>70</v>
      </c>
    </row>
    <row r="3967" spans="1:5">
      <c r="A3967" s="769">
        <v>43456</v>
      </c>
      <c r="B3967" s="86" t="str">
        <f>TiposLancamentos!B24</f>
        <v>Estacionamentos</v>
      </c>
      <c r="C3967" s="3" t="s">
        <v>3398</v>
      </c>
      <c r="D3967" s="78"/>
      <c r="E3967" s="1480">
        <v>3</v>
      </c>
    </row>
    <row r="3968" spans="1:5">
      <c r="A3968" s="769">
        <v>43456</v>
      </c>
      <c r="B3968" s="86" t="str">
        <f>TiposLancamentos!B20</f>
        <v>Saques</v>
      </c>
      <c r="C3968" s="3" t="s">
        <v>3604</v>
      </c>
      <c r="D3968" s="78">
        <v>150</v>
      </c>
      <c r="E3968" s="1480"/>
    </row>
    <row r="3969" spans="1:5">
      <c r="A3969" s="769">
        <v>43457</v>
      </c>
      <c r="B3969" s="86" t="str">
        <f>TiposLancamentos!B66</f>
        <v>Faxineira</v>
      </c>
      <c r="C3969" s="3" t="s">
        <v>4709</v>
      </c>
      <c r="D3969" s="78"/>
      <c r="E3969" s="1480">
        <v>150</v>
      </c>
    </row>
    <row r="3970" spans="1:5">
      <c r="A3970" s="769">
        <v>43460</v>
      </c>
      <c r="B3970" s="86" t="str">
        <f>TiposLancamentos!B20</f>
        <v>Saques</v>
      </c>
      <c r="C3970" s="3" t="s">
        <v>4724</v>
      </c>
      <c r="D3970" s="78">
        <v>60</v>
      </c>
      <c r="E3970" s="1480"/>
    </row>
    <row r="3971" spans="1:5">
      <c r="A3971" s="769">
        <v>43465</v>
      </c>
      <c r="B3971" s="86" t="str">
        <f>TiposLancamentos!B19</f>
        <v>Restaurantes</v>
      </c>
      <c r="C3971" s="3" t="s">
        <v>4725</v>
      </c>
      <c r="D3971" s="78"/>
      <c r="E3971" s="1480">
        <v>38</v>
      </c>
    </row>
    <row r="3972" spans="1:5">
      <c r="A3972" s="769">
        <v>43467</v>
      </c>
      <c r="B3972" s="86" t="str">
        <f>TiposLancamentos!B24</f>
        <v>Estacionamentos</v>
      </c>
      <c r="C3972" s="3" t="s">
        <v>4726</v>
      </c>
      <c r="D3972" s="78"/>
      <c r="E3972" s="1480">
        <v>20</v>
      </c>
    </row>
    <row r="3973" spans="1:5">
      <c r="A3973" s="769">
        <v>43497</v>
      </c>
      <c r="B3973" s="86" t="str">
        <f>TiposLancamentos!B20</f>
        <v>Saques</v>
      </c>
      <c r="C3973" s="3" t="s">
        <v>3604</v>
      </c>
      <c r="D3973" s="78">
        <v>70</v>
      </c>
      <c r="E3973" s="1480"/>
    </row>
    <row r="3974" spans="1:5">
      <c r="A3974" s="769">
        <v>43497</v>
      </c>
      <c r="B3974" s="86" t="str">
        <f>TiposLancamentos!B16</f>
        <v>Cristiane</v>
      </c>
      <c r="C3974" s="3" t="s">
        <v>4318</v>
      </c>
      <c r="D3974" s="78"/>
      <c r="E3974" s="1480">
        <v>70</v>
      </c>
    </row>
    <row r="3975" spans="1:5">
      <c r="A3975" s="769">
        <v>43502</v>
      </c>
      <c r="B3975" s="86" t="str">
        <f>TiposLancamentos!B20</f>
        <v>Saques</v>
      </c>
      <c r="C3975" s="3" t="s">
        <v>4681</v>
      </c>
      <c r="D3975" s="78">
        <v>60</v>
      </c>
      <c r="E3975" s="1480"/>
    </row>
    <row r="3976" spans="1:5">
      <c r="A3976" s="769">
        <v>43502</v>
      </c>
      <c r="B3976" s="86" t="str">
        <f>TiposLancamentos!B54</f>
        <v>Metro</v>
      </c>
      <c r="C3976" s="3" t="s">
        <v>4727</v>
      </c>
      <c r="D3976" s="78"/>
      <c r="E3976" s="1480">
        <f>2*4.3</f>
        <v>8.6</v>
      </c>
    </row>
    <row r="3977" spans="1:5">
      <c r="A3977" s="769">
        <v>43502</v>
      </c>
      <c r="B3977" s="86" t="str">
        <f>TiposLancamentos!B59</f>
        <v>Documentos</v>
      </c>
      <c r="C3977" s="3" t="s">
        <v>4728</v>
      </c>
      <c r="D3977" s="78"/>
      <c r="E3977" s="1480">
        <v>13.3</v>
      </c>
    </row>
    <row r="3978" spans="1:5">
      <c r="A3978" s="769">
        <v>43502</v>
      </c>
      <c r="B3978" s="86" t="str">
        <f>TiposLancamentos!B20</f>
        <v>Saques</v>
      </c>
      <c r="C3978" s="3" t="s">
        <v>4729</v>
      </c>
      <c r="D3978" s="78">
        <v>40</v>
      </c>
      <c r="E3978" s="1480"/>
    </row>
    <row r="3979" spans="1:5">
      <c r="A3979" s="769">
        <v>43502</v>
      </c>
      <c r="B3979" s="86" t="str">
        <f>TiposLancamentos!B69</f>
        <v>Consertos</v>
      </c>
      <c r="C3979" s="3" t="s">
        <v>4730</v>
      </c>
      <c r="D3979" s="78"/>
      <c r="E3979" s="1480">
        <v>50</v>
      </c>
    </row>
    <row r="3980" spans="1:5">
      <c r="A3980" s="769">
        <v>43503</v>
      </c>
      <c r="B3980" s="86" t="str">
        <f>TiposLancamentos!B16</f>
        <v>Cristiane</v>
      </c>
      <c r="C3980" s="3" t="s">
        <v>3100</v>
      </c>
      <c r="D3980" s="78"/>
      <c r="E3980" s="1480">
        <v>20</v>
      </c>
    </row>
    <row r="3981" spans="1:5">
      <c r="A3981" s="769">
        <v>43514</v>
      </c>
      <c r="B3981" s="86" t="str">
        <f>TiposLancamentos!B20</f>
        <v>Saques</v>
      </c>
      <c r="C3981" s="3" t="s">
        <v>4731</v>
      </c>
      <c r="D3981" s="78">
        <v>20</v>
      </c>
      <c r="E3981" s="1480"/>
    </row>
    <row r="3982" spans="1:5">
      <c r="A3982" s="769">
        <v>43514</v>
      </c>
      <c r="B3982" s="86" t="str">
        <f>TiposLancamentos!B54</f>
        <v>Metro</v>
      </c>
      <c r="C3982" s="3" t="s">
        <v>4732</v>
      </c>
      <c r="D3982" s="78"/>
      <c r="E3982" s="1480">
        <f>4.3*2</f>
        <v>8.6</v>
      </c>
    </row>
    <row r="3983" spans="1:5">
      <c r="A3983" s="769">
        <v>43524</v>
      </c>
      <c r="B3983" s="86" t="str">
        <f>TiposLancamentos!B20</f>
        <v>Saques</v>
      </c>
      <c r="C3983" s="3" t="s">
        <v>4325</v>
      </c>
      <c r="D3983" s="78">
        <v>200</v>
      </c>
      <c r="E3983" s="1480"/>
    </row>
    <row r="3984" spans="1:5">
      <c r="A3984" s="769">
        <v>43525</v>
      </c>
      <c r="B3984" s="86" t="str">
        <f>TiposLancamentos!B66</f>
        <v>Faxineira</v>
      </c>
      <c r="C3984" s="3" t="s">
        <v>4733</v>
      </c>
      <c r="D3984" s="78"/>
      <c r="E3984" s="1480">
        <v>200</v>
      </c>
    </row>
    <row r="3985" spans="1:5">
      <c r="A3985" s="769">
        <v>43540</v>
      </c>
      <c r="B3985" s="86" t="str">
        <f>TiposLancamentos!B20</f>
        <v>Saques</v>
      </c>
      <c r="C3985" s="3" t="s">
        <v>3604</v>
      </c>
      <c r="D3985" s="78">
        <v>40</v>
      </c>
      <c r="E3985" s="1480"/>
    </row>
    <row r="3986" spans="1:5">
      <c r="A3986" s="769">
        <v>43540</v>
      </c>
      <c r="B3986" s="86" t="str">
        <f>TiposLancamentos!B54</f>
        <v>Metro</v>
      </c>
      <c r="C3986" s="3" t="s">
        <v>4734</v>
      </c>
      <c r="D3986" s="78"/>
      <c r="E3986" s="1480">
        <v>16</v>
      </c>
    </row>
    <row r="3987" spans="1:5">
      <c r="A3987" s="769">
        <v>43567</v>
      </c>
      <c r="B3987" s="86" t="str">
        <f>TiposLancamentos!B20</f>
        <v>Saques</v>
      </c>
      <c r="C3987" s="3" t="s">
        <v>4735</v>
      </c>
      <c r="D3987" s="78">
        <v>40</v>
      </c>
      <c r="E3987" s="1480"/>
    </row>
    <row r="3988" spans="1:5">
      <c r="A3988" s="769">
        <v>43567</v>
      </c>
      <c r="B3988" s="86" t="str">
        <f>TiposLancamentos!B16</f>
        <v>Cristiane</v>
      </c>
      <c r="C3988" s="3" t="s">
        <v>3100</v>
      </c>
      <c r="D3988" s="78"/>
      <c r="E3988" s="1480">
        <v>40</v>
      </c>
    </row>
    <row r="3989" spans="1:5">
      <c r="A3989" s="769">
        <v>43595</v>
      </c>
      <c r="B3989" s="86" t="str">
        <f>TiposLancamentos!B20</f>
        <v>Saques</v>
      </c>
      <c r="C3989" s="3" t="s">
        <v>4735</v>
      </c>
      <c r="D3989" s="78">
        <v>40</v>
      </c>
      <c r="E3989" s="1480"/>
    </row>
    <row r="3990" spans="1:5">
      <c r="A3990" s="769">
        <v>43595</v>
      </c>
      <c r="B3990" s="86" t="str">
        <f>TiposLancamentos!B77</f>
        <v>Esporádico</v>
      </c>
      <c r="C3990" s="3" t="s">
        <v>4736</v>
      </c>
      <c r="D3990" s="78"/>
      <c r="E3990" s="1480">
        <v>35</v>
      </c>
    </row>
    <row r="3991" spans="1:5">
      <c r="A3991" s="769">
        <v>43599</v>
      </c>
      <c r="B3991" s="86" t="str">
        <f>TiposLancamentos!B20</f>
        <v>Saques</v>
      </c>
      <c r="C3991" s="3" t="s">
        <v>4368</v>
      </c>
      <c r="D3991" s="78">
        <v>50</v>
      </c>
      <c r="E3991" s="1480"/>
    </row>
    <row r="3992" spans="1:5">
      <c r="A3992" s="769">
        <v>43599</v>
      </c>
      <c r="B3992" s="86" t="str">
        <f>TiposLancamentos!B32</f>
        <v>Clinicas e tratamentos</v>
      </c>
      <c r="C3992" s="3" t="s">
        <v>4737</v>
      </c>
      <c r="D3992" s="78"/>
      <c r="E3992" s="1480">
        <v>50</v>
      </c>
    </row>
    <row r="3993" spans="1:5">
      <c r="A3993" s="769">
        <v>43600</v>
      </c>
      <c r="B3993" s="86" t="str">
        <f>TiposLancamentos!B20</f>
        <v>Saques</v>
      </c>
      <c r="C3993" s="3" t="s">
        <v>4325</v>
      </c>
      <c r="D3993" s="78">
        <v>50</v>
      </c>
      <c r="E3993" s="1480"/>
    </row>
    <row r="3994" spans="1:5">
      <c r="A3994" s="769">
        <v>43601</v>
      </c>
      <c r="B3994" s="86" t="str">
        <f>TiposLancamentos!B16</f>
        <v>Cristiane</v>
      </c>
      <c r="C3994" s="3" t="s">
        <v>3100</v>
      </c>
      <c r="D3994" s="78"/>
      <c r="E3994" s="1480">
        <v>100.5</v>
      </c>
    </row>
    <row r="3995" spans="1:5">
      <c r="A3995" s="769">
        <v>43619</v>
      </c>
      <c r="B3995" s="86" t="str">
        <f>TiposLancamentos!B20</f>
        <v>Saques</v>
      </c>
      <c r="C3995" s="3" t="s">
        <v>3604</v>
      </c>
      <c r="D3995" s="78">
        <v>20</v>
      </c>
      <c r="E3995" s="1480"/>
    </row>
    <row r="3996" spans="1:5">
      <c r="A3996" s="769">
        <v>43619</v>
      </c>
      <c r="B3996" s="86" t="str">
        <f>TiposLancamentos!B67</f>
        <v>Lavanderia</v>
      </c>
      <c r="C3996" s="3" t="s">
        <v>4738</v>
      </c>
      <c r="D3996" s="78"/>
      <c r="E3996" s="1480">
        <v>18</v>
      </c>
    </row>
    <row r="3997" spans="1:5">
      <c r="A3997" s="769">
        <v>43620</v>
      </c>
      <c r="B3997" s="86" t="str">
        <f>TiposLancamentos!B46</f>
        <v>Maçonaria</v>
      </c>
      <c r="C3997" s="3" t="s">
        <v>4739</v>
      </c>
      <c r="D3997" s="78"/>
      <c r="E3997" s="1480">
        <v>2</v>
      </c>
    </row>
    <row r="3998" spans="1:5">
      <c r="A3998" s="769">
        <v>43637</v>
      </c>
      <c r="B3998" s="86" t="str">
        <f>TiposLancamentos!B20</f>
        <v>Saques</v>
      </c>
      <c r="C3998" s="3" t="s">
        <v>4368</v>
      </c>
      <c r="D3998" s="78">
        <v>150</v>
      </c>
      <c r="E3998" s="1480"/>
    </row>
    <row r="3999" spans="1:5">
      <c r="A3999" s="769">
        <v>43637</v>
      </c>
      <c r="B3999" s="86" t="str">
        <f>TiposLancamentos!B58</f>
        <v>Fotografias</v>
      </c>
      <c r="C3999" s="3" t="s">
        <v>4740</v>
      </c>
      <c r="D3999" s="78"/>
      <c r="E3999" s="1480">
        <v>90</v>
      </c>
    </row>
    <row r="4000" spans="1:5">
      <c r="A4000" s="769">
        <v>43638</v>
      </c>
      <c r="B4000" s="86" t="str">
        <f>TiposLancamentos!B16</f>
        <v>Cristiane</v>
      </c>
      <c r="C4000" s="3" t="s">
        <v>4741</v>
      </c>
      <c r="D4000" s="78"/>
      <c r="E4000" s="1480">
        <v>8.5</v>
      </c>
    </row>
    <row r="4001" spans="1:5">
      <c r="A4001" s="769">
        <v>43638</v>
      </c>
      <c r="B4001" s="86" t="str">
        <f>TiposLancamentos!B56</f>
        <v>Farmácia</v>
      </c>
      <c r="C4001" s="3" t="s">
        <v>4742</v>
      </c>
      <c r="D4001" s="78"/>
      <c r="E4001" s="1480">
        <v>12</v>
      </c>
    </row>
    <row r="4002" spans="1:5">
      <c r="A4002" s="769">
        <v>43638</v>
      </c>
      <c r="B4002" s="86" t="str">
        <f>TiposLancamentos!B19</f>
        <v>Restaurantes</v>
      </c>
      <c r="C4002" s="3" t="s">
        <v>4743</v>
      </c>
      <c r="D4002" s="78"/>
      <c r="E4002" s="1480">
        <v>39.5</v>
      </c>
    </row>
    <row r="4003" spans="1:5">
      <c r="A4003" s="769">
        <v>43641</v>
      </c>
      <c r="B4003" s="86" t="str">
        <f>TiposLancamentos!B20</f>
        <v>Saques</v>
      </c>
      <c r="C4003" s="3" t="s">
        <v>3604</v>
      </c>
      <c r="D4003" s="78">
        <v>100</v>
      </c>
      <c r="E4003" s="1480"/>
    </row>
    <row r="4004" spans="1:5">
      <c r="A4004" s="769">
        <v>43641</v>
      </c>
      <c r="B4004" s="86" t="str">
        <f>TiposLancamentos!B66</f>
        <v>Faxineira</v>
      </c>
      <c r="C4004" s="3" t="s">
        <v>4709</v>
      </c>
      <c r="D4004" s="78"/>
      <c r="E4004" s="1480">
        <v>70</v>
      </c>
    </row>
    <row r="4005" spans="1:5">
      <c r="A4005" s="769">
        <v>43641</v>
      </c>
      <c r="B4005" s="86" t="str">
        <f>TiposLancamentos!B13</f>
        <v>Moradia</v>
      </c>
      <c r="C4005" s="3" t="s">
        <v>3682</v>
      </c>
      <c r="D4005" s="78"/>
      <c r="E4005" s="1480">
        <v>10</v>
      </c>
    </row>
    <row r="4006" spans="1:5">
      <c r="A4006" s="769">
        <v>43645</v>
      </c>
      <c r="B4006" s="86" t="str">
        <f>TiposLancamentos!B20</f>
        <v>Saques</v>
      </c>
      <c r="C4006" s="3" t="s">
        <v>4325</v>
      </c>
      <c r="D4006" s="78">
        <v>100</v>
      </c>
      <c r="E4006" s="1480"/>
    </row>
    <row r="4007" spans="1:5">
      <c r="A4007" s="769">
        <v>43645</v>
      </c>
      <c r="B4007" s="86" t="str">
        <f>TiposLancamentos!B18</f>
        <v>Alimentacao</v>
      </c>
      <c r="C4007" s="3" t="s">
        <v>4744</v>
      </c>
      <c r="D4007" s="78"/>
      <c r="E4007" s="1480">
        <v>50</v>
      </c>
    </row>
    <row r="4008" spans="1:5">
      <c r="A4008" s="769">
        <v>43647</v>
      </c>
      <c r="B4008" s="86" t="str">
        <f>TiposLancamentos!B67</f>
        <v>Lavanderia</v>
      </c>
      <c r="C4008" s="3" t="s">
        <v>4745</v>
      </c>
      <c r="D4008" s="78"/>
      <c r="E4008" s="1480">
        <v>60</v>
      </c>
    </row>
    <row r="4009" spans="1:5">
      <c r="A4009" s="769">
        <v>43662</v>
      </c>
      <c r="B4009" s="86" t="str">
        <f>TiposLancamentos!B20</f>
        <v>Saques</v>
      </c>
      <c r="C4009" s="3" t="s">
        <v>4328</v>
      </c>
      <c r="D4009" s="78">
        <v>40</v>
      </c>
      <c r="E4009" s="1480"/>
    </row>
    <row r="4010" spans="1:5">
      <c r="A4010" s="769">
        <v>43662</v>
      </c>
      <c r="B4010" s="86" t="str">
        <f>TiposLancamentos!B16</f>
        <v>Cristiane</v>
      </c>
      <c r="C4010" s="3" t="s">
        <v>4296</v>
      </c>
      <c r="D4010" s="78"/>
      <c r="E4010" s="1480">
        <v>40</v>
      </c>
    </row>
    <row r="4011" spans="1:5">
      <c r="A4011" s="769">
        <v>43668</v>
      </c>
      <c r="B4011" s="86" t="str">
        <f>TiposLancamentos!B20</f>
        <v>Saques</v>
      </c>
      <c r="C4011" s="3" t="s">
        <v>4328</v>
      </c>
      <c r="D4011" s="78">
        <v>50</v>
      </c>
      <c r="E4011" s="1480"/>
    </row>
    <row r="4012" spans="1:5">
      <c r="A4012" s="769">
        <v>43669</v>
      </c>
      <c r="B4012" s="86" t="str">
        <f>TiposLancamentos!B16</f>
        <v>Cristiane</v>
      </c>
      <c r="C4012" s="3" t="s">
        <v>4296</v>
      </c>
      <c r="D4012" s="78"/>
      <c r="E4012" s="1480">
        <v>50</v>
      </c>
    </row>
    <row r="4013" spans="1:5">
      <c r="A4013" s="769">
        <v>43673</v>
      </c>
      <c r="B4013" s="86" t="str">
        <f>TiposLancamentos!B20</f>
        <v>Saques</v>
      </c>
      <c r="C4013" s="3" t="s">
        <v>4325</v>
      </c>
      <c r="D4013" s="78">
        <v>30</v>
      </c>
      <c r="E4013" s="1480"/>
    </row>
    <row r="4014" spans="1:5">
      <c r="A4014" s="769">
        <v>43673</v>
      </c>
      <c r="B4014" s="86" t="str">
        <f>TiposLancamentos!B24</f>
        <v>Estacionamentos</v>
      </c>
      <c r="C4014" s="3" t="s">
        <v>4746</v>
      </c>
      <c r="D4014" s="78"/>
      <c r="E4014" s="1480">
        <v>10</v>
      </c>
    </row>
    <row r="4015" spans="1:5">
      <c r="A4015" s="769">
        <v>43673</v>
      </c>
      <c r="B4015" s="86" t="str">
        <f>TiposLancamentos!B24</f>
        <v>Estacionamentos</v>
      </c>
      <c r="C4015" s="3" t="s">
        <v>2183</v>
      </c>
      <c r="D4015" s="78"/>
      <c r="E4015" s="1480">
        <v>10</v>
      </c>
    </row>
    <row r="4016" spans="1:5">
      <c r="A4016" s="769">
        <v>43700</v>
      </c>
      <c r="B4016" s="86" t="str">
        <f>TiposLancamentos!B20</f>
        <v>Saques</v>
      </c>
      <c r="C4016" s="3" t="s">
        <v>4747</v>
      </c>
      <c r="D4016" s="78">
        <v>40</v>
      </c>
      <c r="E4016" s="1480"/>
    </row>
    <row r="4017" spans="1:5">
      <c r="A4017" s="769">
        <v>43700</v>
      </c>
      <c r="B4017" s="86" t="str">
        <f>TiposLancamentos!B16</f>
        <v>Cristiane</v>
      </c>
      <c r="C4017" s="3" t="s">
        <v>4747</v>
      </c>
      <c r="D4017" s="78"/>
      <c r="E4017" s="1480">
        <v>40</v>
      </c>
    </row>
    <row r="4018" spans="1:5">
      <c r="A4018" s="769">
        <v>43722</v>
      </c>
      <c r="B4018" s="86" t="str">
        <f>TiposLancamentos!B20</f>
        <v>Saques</v>
      </c>
      <c r="C4018" s="3" t="s">
        <v>4664</v>
      </c>
      <c r="D4018" s="78">
        <v>40</v>
      </c>
      <c r="E4018" s="1480"/>
    </row>
    <row r="4019" spans="1:5">
      <c r="A4019" s="769">
        <v>43722</v>
      </c>
      <c r="B4019" s="86" t="str">
        <f>TiposLancamentos!B54</f>
        <v>Metro</v>
      </c>
      <c r="C4019" s="3" t="s">
        <v>4748</v>
      </c>
      <c r="D4019" s="78"/>
      <c r="E4019" s="1480">
        <v>4.3</v>
      </c>
    </row>
    <row r="4020" spans="1:5">
      <c r="A4020" s="769">
        <v>43722</v>
      </c>
      <c r="B4020" s="86" t="str">
        <f>TiposLancamentos!B48</f>
        <v>Baralhos e Oráculos</v>
      </c>
      <c r="C4020" s="3" t="s">
        <v>4749</v>
      </c>
      <c r="D4020" s="78"/>
      <c r="E4020" s="1480">
        <v>7</v>
      </c>
    </row>
    <row r="4021" spans="1:5">
      <c r="A4021" s="769">
        <v>43722</v>
      </c>
      <c r="B4021" s="86" t="str">
        <f>TiposLancamentos!B54</f>
        <v>Metro</v>
      </c>
      <c r="C4021" s="3" t="s">
        <v>4750</v>
      </c>
      <c r="D4021" s="78"/>
      <c r="E4021" s="1480">
        <v>4.3</v>
      </c>
    </row>
    <row r="4022" spans="1:5">
      <c r="A4022" s="769">
        <v>43725</v>
      </c>
      <c r="B4022" s="86" t="str">
        <f>TiposLancamentos!B46</f>
        <v>Maçonaria</v>
      </c>
      <c r="C4022" s="3" t="s">
        <v>4751</v>
      </c>
      <c r="D4022" s="78"/>
      <c r="E4022" s="1480">
        <v>4</v>
      </c>
    </row>
    <row r="4023" spans="1:5">
      <c r="A4023" s="769">
        <v>43740</v>
      </c>
      <c r="B4023" s="86" t="str">
        <f>TiposLancamentos!B20</f>
        <v>Saques</v>
      </c>
      <c r="C4023" s="3" t="s">
        <v>4325</v>
      </c>
      <c r="D4023" s="78">
        <v>40</v>
      </c>
      <c r="E4023" s="1480"/>
    </row>
    <row r="4024" spans="1:5">
      <c r="A4024" s="769">
        <v>43756</v>
      </c>
      <c r="B4024" s="86" t="str">
        <f>TiposLancamentos!B20</f>
        <v>Saques</v>
      </c>
      <c r="C4024" s="3" t="s">
        <v>4325</v>
      </c>
      <c r="D4024" s="78">
        <v>20</v>
      </c>
      <c r="E4024" s="1480"/>
    </row>
    <row r="4025" spans="1:5">
      <c r="A4025" s="769">
        <v>43756</v>
      </c>
      <c r="B4025" s="86" t="str">
        <f>TiposLancamentos!B54</f>
        <v>Metro</v>
      </c>
      <c r="C4025" s="3" t="s">
        <v>4752</v>
      </c>
      <c r="D4025" s="78"/>
      <c r="E4025" s="1480">
        <v>4.3</v>
      </c>
    </row>
    <row r="4026" spans="1:5">
      <c r="A4026" s="769">
        <v>43760</v>
      </c>
      <c r="B4026" s="86" t="str">
        <f>TiposLancamentos!B46</f>
        <v>Maçonaria</v>
      </c>
      <c r="C4026" s="3" t="s">
        <v>4753</v>
      </c>
      <c r="D4026" s="78"/>
      <c r="E4026" s="1480">
        <v>7</v>
      </c>
    </row>
    <row r="4027" spans="1:5">
      <c r="A4027" s="769">
        <v>43762</v>
      </c>
      <c r="B4027" s="86" t="str">
        <f>TiposLancamentos!B20</f>
        <v>Saques</v>
      </c>
      <c r="C4027" s="3" t="s">
        <v>4325</v>
      </c>
      <c r="D4027" s="78">
        <v>40</v>
      </c>
      <c r="E4027" s="1480"/>
    </row>
    <row r="4028" spans="1:5">
      <c r="A4028" s="769">
        <v>43762</v>
      </c>
      <c r="B4028" s="86" t="str">
        <f>TiposLancamentos!B24</f>
        <v>Estacionamentos</v>
      </c>
      <c r="C4028" s="3" t="s">
        <v>4754</v>
      </c>
      <c r="D4028" s="78"/>
      <c r="E4028" s="1480">
        <v>8</v>
      </c>
    </row>
    <row r="4029" spans="1:5">
      <c r="A4029" s="769">
        <v>43769</v>
      </c>
      <c r="B4029" s="86" t="str">
        <f>TiposLancamentos!B78</f>
        <v>Diferenças</v>
      </c>
      <c r="C4029" s="3" t="s">
        <v>4755</v>
      </c>
      <c r="D4029" s="78"/>
      <c r="E4029" s="1480">
        <v>80</v>
      </c>
    </row>
    <row r="4030" spans="1:5">
      <c r="A4030" s="769">
        <v>43766</v>
      </c>
      <c r="B4030" s="86" t="str">
        <f>TiposLancamentos!B13</f>
        <v>Moradia</v>
      </c>
      <c r="C4030" s="3" t="s">
        <v>3524</v>
      </c>
      <c r="D4030" s="78"/>
      <c r="E4030" s="1480">
        <v>16</v>
      </c>
    </row>
    <row r="4031" spans="1:5">
      <c r="A4031" s="769">
        <v>43768</v>
      </c>
      <c r="B4031" s="86" t="str">
        <f>TiposLancamentos!B24</f>
        <v>Estacionamentos</v>
      </c>
      <c r="C4031" s="3" t="s">
        <v>4756</v>
      </c>
      <c r="D4031" s="78"/>
      <c r="E4031" s="1480">
        <v>7</v>
      </c>
    </row>
    <row r="4032" spans="1:5">
      <c r="A4032" s="769">
        <v>43773</v>
      </c>
      <c r="B4032" s="86" t="str">
        <f>TiposLancamentos!B20</f>
        <v>Saques</v>
      </c>
      <c r="C4032" s="3" t="s">
        <v>4325</v>
      </c>
      <c r="D4032" s="78">
        <v>100</v>
      </c>
      <c r="E4032" s="1480"/>
    </row>
    <row r="4033" spans="1:5">
      <c r="A4033" s="769">
        <v>43773</v>
      </c>
      <c r="B4033" s="86" t="str">
        <f>TiposLancamentos!B66</f>
        <v>Faxineira</v>
      </c>
      <c r="C4033" s="3" t="s">
        <v>4757</v>
      </c>
      <c r="D4033" s="78"/>
      <c r="E4033" s="1480">
        <v>100</v>
      </c>
    </row>
    <row r="4034" spans="1:5">
      <c r="A4034" s="769">
        <v>43775</v>
      </c>
      <c r="B4034" s="86" t="str">
        <f>TiposLancamentos!B24</f>
        <v>Estacionamentos</v>
      </c>
      <c r="C4034" s="3" t="s">
        <v>4758</v>
      </c>
      <c r="D4034" s="78"/>
      <c r="E4034" s="1480">
        <v>7</v>
      </c>
    </row>
    <row r="4035" spans="1:5">
      <c r="A4035" s="769">
        <v>43775</v>
      </c>
      <c r="B4035" s="86" t="str">
        <f>TiposLancamentos!B24</f>
        <v>Estacionamentos</v>
      </c>
      <c r="C4035" s="3" t="s">
        <v>4759</v>
      </c>
      <c r="D4035" s="78"/>
      <c r="E4035" s="1480">
        <v>10</v>
      </c>
    </row>
    <row r="4036" spans="1:5">
      <c r="A4036" s="769">
        <v>43779</v>
      </c>
      <c r="B4036" s="86" t="str">
        <f>TiposLancamentos!B20</f>
        <v>Saques</v>
      </c>
      <c r="C4036" s="3" t="s">
        <v>4716</v>
      </c>
      <c r="D4036" s="78">
        <v>100</v>
      </c>
      <c r="E4036" s="1480"/>
    </row>
    <row r="4037" spans="1:5">
      <c r="A4037" s="769">
        <v>43779</v>
      </c>
      <c r="B4037" s="86" t="str">
        <f>TiposLancamentos!B67</f>
        <v>Lavanderia</v>
      </c>
      <c r="C4037" s="3" t="s">
        <v>4760</v>
      </c>
      <c r="D4037" s="78"/>
      <c r="E4037" s="1480">
        <v>51</v>
      </c>
    </row>
    <row r="4038" spans="1:5">
      <c r="A4038" s="769">
        <v>43780</v>
      </c>
      <c r="B4038" s="86" t="str">
        <f>TiposLancamentos!B55</f>
        <v>Onibus Urbano</v>
      </c>
      <c r="C4038" s="3" t="s">
        <v>4761</v>
      </c>
      <c r="D4038" s="78"/>
      <c r="E4038" s="1480">
        <v>4.7</v>
      </c>
    </row>
    <row r="4039" spans="1:5">
      <c r="A4039" s="769">
        <v>43780</v>
      </c>
      <c r="B4039" s="86" t="str">
        <f>TiposLancamentos!B54</f>
        <v>Metro</v>
      </c>
      <c r="C4039" s="3" t="s">
        <v>4762</v>
      </c>
      <c r="D4039" s="78"/>
      <c r="E4039" s="1480">
        <v>4.3</v>
      </c>
    </row>
    <row r="4040" spans="1:5">
      <c r="A4040" s="769">
        <v>43780</v>
      </c>
      <c r="B4040" s="86" t="str">
        <f>TiposLancamentos!B54</f>
        <v>Metro</v>
      </c>
      <c r="C4040" s="3" t="s">
        <v>4763</v>
      </c>
      <c r="D4040" s="78"/>
      <c r="E4040" s="1480">
        <f>4.3*2</f>
        <v>8.6</v>
      </c>
    </row>
    <row r="4041" spans="1:5">
      <c r="A4041" s="769">
        <v>43781</v>
      </c>
      <c r="B4041" s="86" t="str">
        <f>TiposLancamentos!B54</f>
        <v>Metro</v>
      </c>
      <c r="C4041" s="3" t="s">
        <v>4764</v>
      </c>
      <c r="D4041" s="78"/>
      <c r="E4041" s="1480">
        <f>4*4.3</f>
        <v>17.2</v>
      </c>
    </row>
    <row r="4042" spans="1:5">
      <c r="A4042" s="769">
        <v>43781</v>
      </c>
      <c r="B4042" s="86" t="str">
        <f>TiposLancamentos!B54</f>
        <v>Metro</v>
      </c>
      <c r="C4042" s="3" t="s">
        <v>4765</v>
      </c>
      <c r="D4042" s="78"/>
      <c r="E4042" s="1480">
        <v>4</v>
      </c>
    </row>
    <row r="4043" spans="1:5">
      <c r="A4043" s="769">
        <v>43783</v>
      </c>
      <c r="B4043" s="86" t="str">
        <f>TiposLancamentos!B54</f>
        <v>Metro</v>
      </c>
      <c r="C4043" s="3" t="s">
        <v>4766</v>
      </c>
      <c r="D4043" s="78"/>
      <c r="E4043" s="1480">
        <v>4</v>
      </c>
    </row>
    <row r="4044" spans="1:5">
      <c r="A4044" s="769">
        <v>43783</v>
      </c>
      <c r="B4044" s="86" t="str">
        <f>TiposLancamentos!B54</f>
        <v>Metro</v>
      </c>
      <c r="C4044" s="3" t="s">
        <v>4767</v>
      </c>
      <c r="D4044" s="78"/>
      <c r="E4044" s="1480">
        <v>4.7</v>
      </c>
    </row>
    <row r="4045" spans="1:5">
      <c r="A4045" s="769">
        <v>43786</v>
      </c>
      <c r="B4045" s="86" t="str">
        <f>TiposLancamentos!B20</f>
        <v>Saques</v>
      </c>
      <c r="C4045" s="3" t="s">
        <v>4325</v>
      </c>
      <c r="D4045" s="78">
        <v>60</v>
      </c>
      <c r="E4045" s="1480"/>
    </row>
    <row r="4046" spans="1:5">
      <c r="A4046" s="769">
        <v>43787</v>
      </c>
      <c r="B4046" s="86" t="str">
        <f>TiposLancamentos!B55</f>
        <v>Onibus Urbano</v>
      </c>
      <c r="C4046" s="3" t="s">
        <v>1773</v>
      </c>
      <c r="D4046" s="78"/>
      <c r="E4046" s="1480">
        <v>4.75</v>
      </c>
    </row>
    <row r="4047" spans="1:5">
      <c r="A4047" s="769">
        <v>43787</v>
      </c>
      <c r="B4047" s="86" t="str">
        <f>TiposLancamentos!B54</f>
        <v>Metro</v>
      </c>
      <c r="C4047" s="3" t="s">
        <v>4768</v>
      </c>
      <c r="D4047" s="78"/>
      <c r="E4047" s="1480">
        <f>8*4.3</f>
        <v>34.4</v>
      </c>
    </row>
    <row r="4048" spans="1:5">
      <c r="A4048" s="769">
        <v>43787</v>
      </c>
      <c r="B4048" s="86" t="str">
        <f>TiposLancamentos!B56</f>
        <v>Farmácia</v>
      </c>
      <c r="C4048" s="3" t="s">
        <v>4769</v>
      </c>
      <c r="D4048" s="78"/>
      <c r="E4048" s="1480">
        <v>4</v>
      </c>
    </row>
    <row r="4049" spans="1:5">
      <c r="A4049" s="769">
        <v>43787</v>
      </c>
      <c r="B4049" s="86" t="str">
        <f>TiposLancamentos!B16</f>
        <v>Cristiane</v>
      </c>
      <c r="C4049" s="3" t="s">
        <v>4770</v>
      </c>
      <c r="D4049" s="78"/>
      <c r="E4049" s="1480">
        <v>2</v>
      </c>
    </row>
    <row r="4050" spans="1:5">
      <c r="A4050" s="769">
        <v>43788</v>
      </c>
      <c r="B4050" s="86" t="str">
        <f>TiposLancamentos!B55</f>
        <v>Onibus Urbano</v>
      </c>
      <c r="C4050" s="3" t="s">
        <v>1773</v>
      </c>
      <c r="D4050" s="78"/>
      <c r="E4050" s="1480">
        <v>4.5999999999999996</v>
      </c>
    </row>
    <row r="4051" spans="1:5">
      <c r="A4051" s="769">
        <v>43790</v>
      </c>
      <c r="B4051" s="86" t="str">
        <f>TiposLancamentos!B55</f>
        <v>Onibus Urbano</v>
      </c>
      <c r="C4051" s="3" t="s">
        <v>4771</v>
      </c>
      <c r="D4051" s="78"/>
      <c r="E4051" s="1480">
        <v>4.5999999999999996</v>
      </c>
    </row>
    <row r="4052" spans="1:5">
      <c r="A4052" s="769">
        <v>43790</v>
      </c>
      <c r="B4052" s="86" t="str">
        <f>TiposLancamentos!B71</f>
        <v>Itens Pessoais</v>
      </c>
      <c r="C4052" s="3" t="s">
        <v>4772</v>
      </c>
      <c r="D4052" s="78"/>
      <c r="E4052" s="1480">
        <v>3</v>
      </c>
    </row>
    <row r="4053" spans="1:5">
      <c r="A4053" s="769">
        <v>43794</v>
      </c>
      <c r="B4053" s="86" t="str">
        <f>TiposLancamentos!B20</f>
        <v>Saques</v>
      </c>
      <c r="C4053" s="3" t="s">
        <v>4325</v>
      </c>
      <c r="D4053" s="78">
        <v>60</v>
      </c>
      <c r="E4053" s="1480"/>
    </row>
    <row r="4054" spans="1:5">
      <c r="A4054" s="769">
        <v>43795</v>
      </c>
      <c r="B4054" s="86" t="str">
        <f>TiposLancamentos!B16</f>
        <v>Cristiane</v>
      </c>
      <c r="C4054" s="3" t="s">
        <v>3100</v>
      </c>
      <c r="D4054" s="78"/>
      <c r="E4054" s="1480">
        <v>60</v>
      </c>
    </row>
    <row r="4055" spans="1:5">
      <c r="A4055" s="769">
        <v>43820</v>
      </c>
      <c r="B4055" s="86" t="str">
        <f>TiposLancamentos!B20</f>
        <v>Saques</v>
      </c>
      <c r="C4055" s="3" t="s">
        <v>4325</v>
      </c>
      <c r="D4055" s="78">
        <v>20</v>
      </c>
      <c r="E4055" s="1480"/>
    </row>
    <row r="4056" spans="1:5">
      <c r="A4056" s="769">
        <v>43820</v>
      </c>
      <c r="B4056" s="86" t="str">
        <f>TiposLancamentos!B24</f>
        <v>Estacionamentos</v>
      </c>
      <c r="C4056" s="3" t="s">
        <v>4773</v>
      </c>
      <c r="D4056" s="78"/>
      <c r="E4056" s="1480">
        <v>22</v>
      </c>
    </row>
    <row r="4057" spans="1:5">
      <c r="A4057" s="769">
        <v>43829</v>
      </c>
      <c r="B4057" s="86" t="str">
        <f>TiposLancamentos!B20</f>
        <v>Saques</v>
      </c>
      <c r="C4057" s="3" t="s">
        <v>4774</v>
      </c>
      <c r="D4057" s="78">
        <v>1000</v>
      </c>
      <c r="E4057" s="1480"/>
    </row>
    <row r="4058" spans="1:5">
      <c r="A4058" s="769">
        <v>43829</v>
      </c>
      <c r="B4058" s="86" t="str">
        <f>TiposLancamentos!B20</f>
        <v>Saques</v>
      </c>
      <c r="C4058" s="3" t="s">
        <v>4775</v>
      </c>
      <c r="D4058" s="78">
        <v>800</v>
      </c>
      <c r="E4058" s="1480"/>
    </row>
    <row r="4059" spans="1:5">
      <c r="A4059" s="769">
        <v>43829</v>
      </c>
      <c r="B4059" s="86" t="str">
        <f>TiposLancamentos!B80</f>
        <v>Mudanças</v>
      </c>
      <c r="C4059" s="3" t="s">
        <v>4776</v>
      </c>
      <c r="D4059" s="78"/>
      <c r="E4059" s="1480">
        <v>1800</v>
      </c>
    </row>
    <row r="4060" spans="1:5">
      <c r="A4060" s="769">
        <v>43859</v>
      </c>
      <c r="B4060" s="86" t="str">
        <f>TiposLancamentos!B99</f>
        <v>Venda de algo</v>
      </c>
      <c r="C4060" s="3" t="s">
        <v>4777</v>
      </c>
      <c r="D4060" s="78">
        <v>40</v>
      </c>
      <c r="E4060" s="1480"/>
    </row>
    <row r="4061" spans="1:5">
      <c r="A4061" s="769">
        <v>43861</v>
      </c>
      <c r="B4061" s="86" t="str">
        <f>TiposLancamentos!B18</f>
        <v>Alimentacao</v>
      </c>
      <c r="C4061" s="3" t="s">
        <v>4778</v>
      </c>
      <c r="D4061" s="78"/>
      <c r="E4061" s="1480">
        <v>10</v>
      </c>
    </row>
    <row r="4062" spans="1:5">
      <c r="A4062" s="769">
        <v>43864</v>
      </c>
      <c r="B4062" s="86" t="str">
        <f>TiposLancamentos!B16</f>
        <v>Cristiane</v>
      </c>
      <c r="C4062" s="3" t="s">
        <v>4779</v>
      </c>
      <c r="D4062" s="78"/>
      <c r="E4062" s="1480">
        <v>30</v>
      </c>
    </row>
    <row r="4063" spans="1:5">
      <c r="A4063" s="769">
        <v>43865</v>
      </c>
      <c r="B4063" s="86" t="str">
        <f>TiposLancamentos!B99</f>
        <v>Venda de algo</v>
      </c>
      <c r="C4063" s="3" t="s">
        <v>4780</v>
      </c>
      <c r="D4063" s="78">
        <v>70</v>
      </c>
      <c r="E4063" s="1480"/>
    </row>
    <row r="4064" spans="1:5">
      <c r="A4064" s="769">
        <v>43869</v>
      </c>
      <c r="B4064" s="86" t="str">
        <f>TiposLancamentos!B24</f>
        <v>Estacionamentos</v>
      </c>
      <c r="C4064" s="3" t="s">
        <v>4781</v>
      </c>
      <c r="D4064" s="78"/>
      <c r="E4064" s="1480">
        <v>20</v>
      </c>
    </row>
    <row r="4065" spans="1:5">
      <c r="A4065" s="769">
        <v>43876</v>
      </c>
      <c r="B4065" s="86" t="str">
        <f>B4064</f>
        <v>Estacionamentos</v>
      </c>
      <c r="C4065" s="3" t="s">
        <v>4782</v>
      </c>
      <c r="D4065" s="78"/>
      <c r="E4065" s="1480">
        <v>30</v>
      </c>
    </row>
    <row r="4066" spans="1:5">
      <c r="A4066" s="769">
        <v>43877</v>
      </c>
      <c r="B4066" s="86" t="str">
        <f>TiposLancamentos!B24</f>
        <v>Estacionamentos</v>
      </c>
      <c r="C4066" s="3" t="s">
        <v>4783</v>
      </c>
      <c r="D4066" s="78"/>
      <c r="E4066" s="1480">
        <v>15</v>
      </c>
    </row>
    <row r="4067" spans="1:5">
      <c r="A4067" s="769">
        <v>43895</v>
      </c>
      <c r="B4067" s="86" t="str">
        <f>TiposLancamentos!B20</f>
        <v>Saques</v>
      </c>
      <c r="C4067" s="3" t="s">
        <v>4325</v>
      </c>
      <c r="D4067" s="78">
        <v>70</v>
      </c>
      <c r="E4067" s="1480"/>
    </row>
    <row r="4068" spans="1:5">
      <c r="A4068" s="769">
        <v>43895</v>
      </c>
      <c r="B4068" s="86" t="str">
        <f>TiposLancamentos!B16</f>
        <v>Cristiane</v>
      </c>
      <c r="C4068" s="3" t="s">
        <v>3100</v>
      </c>
      <c r="D4068" s="78"/>
      <c r="E4068" s="1480">
        <v>50</v>
      </c>
    </row>
    <row r="4069" spans="1:5">
      <c r="A4069" s="769">
        <v>43895</v>
      </c>
      <c r="B4069" s="86" t="str">
        <f>TiposLancamentos!B99</f>
        <v>Venda de algo</v>
      </c>
      <c r="C4069" s="3" t="s">
        <v>4784</v>
      </c>
      <c r="D4069" s="78">
        <v>11.75</v>
      </c>
      <c r="E4069" s="1480"/>
    </row>
    <row r="4070" spans="1:5">
      <c r="A4070" s="769">
        <v>43895</v>
      </c>
      <c r="B4070" s="86" t="str">
        <f>TiposLancamentos!B16</f>
        <v>Cristiane</v>
      </c>
      <c r="C4070" s="3" t="s">
        <v>3100</v>
      </c>
      <c r="D4070" s="78"/>
      <c r="E4070" s="1480">
        <v>40</v>
      </c>
    </row>
    <row r="4071" spans="1:5">
      <c r="A4071" s="769">
        <v>43908</v>
      </c>
      <c r="B4071" s="86" t="str">
        <f>TiposLancamentos!B20</f>
        <v>Saques</v>
      </c>
      <c r="C4071" s="3" t="s">
        <v>3100</v>
      </c>
      <c r="D4071" s="78">
        <v>50</v>
      </c>
      <c r="E4071" s="1480"/>
    </row>
    <row r="4072" spans="1:5">
      <c r="A4072" s="769">
        <v>43909</v>
      </c>
      <c r="B4072" s="86" t="str">
        <f>TiposLancamentos!B13</f>
        <v>Moradia</v>
      </c>
      <c r="C4072" s="3" t="s">
        <v>3718</v>
      </c>
      <c r="D4072" s="78"/>
      <c r="E4072" s="1480">
        <v>28</v>
      </c>
    </row>
    <row r="4073" spans="1:5">
      <c r="A4073" s="769">
        <v>43920</v>
      </c>
      <c r="B4073" s="86" t="str">
        <f>TiposLancamentos!B99</f>
        <v>Venda de algo</v>
      </c>
      <c r="C4073" s="3" t="s">
        <v>4785</v>
      </c>
      <c r="D4073" s="78">
        <v>120</v>
      </c>
      <c r="E4073" s="1480"/>
    </row>
    <row r="4074" spans="1:5">
      <c r="A4074" s="769">
        <v>43963</v>
      </c>
      <c r="B4074" s="86" t="str">
        <f>TiposLancamentos!B69</f>
        <v>Consertos</v>
      </c>
      <c r="C4074" s="3" t="s">
        <v>4786</v>
      </c>
      <c r="D4074" s="78"/>
      <c r="E4074" s="1480">
        <v>100</v>
      </c>
    </row>
    <row r="4075" spans="1:5">
      <c r="A4075" s="769">
        <v>43980</v>
      </c>
      <c r="B4075" s="86" t="str">
        <f>TiposLancamentos!B69</f>
        <v>Consertos</v>
      </c>
      <c r="C4075" s="3" t="s">
        <v>4787</v>
      </c>
      <c r="D4075" s="78"/>
      <c r="E4075" s="1480">
        <v>5</v>
      </c>
    </row>
    <row r="4076" spans="1:5">
      <c r="A4076" s="769">
        <v>43983</v>
      </c>
      <c r="B4076" s="86" t="str">
        <f>TiposLancamentos!B17</f>
        <v>GATO</v>
      </c>
      <c r="C4076" s="3" t="s">
        <v>4788</v>
      </c>
      <c r="D4076" s="78"/>
      <c r="E4076" s="1480">
        <v>5.5</v>
      </c>
    </row>
    <row r="4077" spans="1:5">
      <c r="A4077" s="769">
        <v>43983</v>
      </c>
      <c r="B4077" s="86" t="str">
        <f>TiposLancamentos!B20</f>
        <v>Saques</v>
      </c>
      <c r="C4077" s="3" t="s">
        <v>4368</v>
      </c>
      <c r="D4077" s="78">
        <v>50</v>
      </c>
      <c r="E4077" s="1480"/>
    </row>
    <row r="4078" spans="1:5">
      <c r="A4078" s="769">
        <v>43983</v>
      </c>
      <c r="B4078" s="86" t="str">
        <f>TiposLancamentos!B13</f>
        <v>Moradia</v>
      </c>
      <c r="C4078" s="3" t="s">
        <v>4789</v>
      </c>
      <c r="D4078" s="78"/>
      <c r="E4078" s="1480">
        <v>50</v>
      </c>
    </row>
    <row r="4079" spans="1:5">
      <c r="A4079" s="769">
        <v>43984</v>
      </c>
      <c r="B4079" s="86" t="str">
        <f>TiposLancamentos!B13</f>
        <v>Moradia</v>
      </c>
      <c r="C4079" s="3" t="s">
        <v>2703</v>
      </c>
      <c r="D4079" s="78"/>
      <c r="E4079" s="1480">
        <v>50</v>
      </c>
    </row>
    <row r="4080" spans="1:5">
      <c r="A4080" s="769">
        <v>44004</v>
      </c>
      <c r="B4080" s="86" t="str">
        <f>TiposLancamentos!B20</f>
        <v>Saques</v>
      </c>
      <c r="C4080" s="3" t="s">
        <v>3604</v>
      </c>
      <c r="D4080" s="78">
        <v>60</v>
      </c>
      <c r="E4080" s="1480"/>
    </row>
    <row r="4081" spans="1:5">
      <c r="A4081" s="769">
        <v>44004</v>
      </c>
      <c r="B4081" s="86" t="str">
        <f>TiposLancamentos!B19</f>
        <v>Restaurantes</v>
      </c>
      <c r="C4081" s="3" t="s">
        <v>4790</v>
      </c>
      <c r="D4081" s="78"/>
      <c r="E4081" s="1480">
        <v>6.5</v>
      </c>
    </row>
    <row r="4082" spans="1:5">
      <c r="A4082" s="769">
        <v>44004</v>
      </c>
      <c r="B4082" s="86" t="str">
        <f>TiposLancamentos!B13</f>
        <v>Moradia</v>
      </c>
      <c r="C4082" s="3" t="s">
        <v>3682</v>
      </c>
      <c r="D4082" s="78"/>
      <c r="E4082" s="1480">
        <v>20</v>
      </c>
    </row>
    <row r="4083" spans="1:5">
      <c r="A4083" s="769">
        <v>44027</v>
      </c>
      <c r="B4083" s="86" t="str">
        <f>TiposLancamentos!B20</f>
        <v>Saques</v>
      </c>
      <c r="C4083" s="3" t="s">
        <v>3604</v>
      </c>
      <c r="D4083" s="78">
        <v>50</v>
      </c>
      <c r="E4083" s="1480"/>
    </row>
    <row r="4084" spans="1:5">
      <c r="A4084" s="769">
        <v>44051</v>
      </c>
      <c r="B4084" s="86" t="str">
        <f>TiposLancamentos!B24</f>
        <v>Estacionamentos</v>
      </c>
      <c r="C4084" s="3" t="s">
        <v>3851</v>
      </c>
      <c r="D4084" s="78"/>
      <c r="E4084" s="1480">
        <v>11</v>
      </c>
    </row>
    <row r="4085" spans="1:5">
      <c r="A4085" s="769">
        <v>44054</v>
      </c>
      <c r="B4085" s="86" t="str">
        <f>TiposLancamentos!B13</f>
        <v>Moradia</v>
      </c>
      <c r="C4085" s="3" t="s">
        <v>3682</v>
      </c>
      <c r="D4085" s="78"/>
      <c r="E4085" s="1480">
        <v>48</v>
      </c>
    </row>
    <row r="4086" spans="1:5">
      <c r="A4086" s="769">
        <v>44084</v>
      </c>
      <c r="B4086" s="86" t="str">
        <f>TiposLancamentos!B20</f>
        <v>Saques</v>
      </c>
      <c r="C4086" s="3" t="s">
        <v>3604</v>
      </c>
      <c r="D4086" s="78">
        <v>40</v>
      </c>
      <c r="E4086" s="1480"/>
    </row>
    <row r="4087" spans="1:5">
      <c r="A4087" s="769">
        <v>44085</v>
      </c>
      <c r="B4087" s="86" t="str">
        <f>TiposLancamentos!B13</f>
        <v>Moradia</v>
      </c>
      <c r="C4087" s="3" t="s">
        <v>3524</v>
      </c>
      <c r="D4087" s="78"/>
      <c r="E4087" s="1480">
        <v>30</v>
      </c>
    </row>
    <row r="4088" spans="1:5">
      <c r="A4088" s="769">
        <v>44105</v>
      </c>
      <c r="B4088" s="86" t="str">
        <f>TiposLancamentos!B20</f>
        <v>Saques</v>
      </c>
      <c r="C4088" s="3" t="s">
        <v>3604</v>
      </c>
      <c r="D4088" s="78">
        <v>40</v>
      </c>
      <c r="E4088" s="1480"/>
    </row>
    <row r="4089" spans="1:5">
      <c r="A4089" s="769">
        <v>44111</v>
      </c>
      <c r="B4089" s="86" t="str">
        <f>TiposLancamentos!B24</f>
        <v>Estacionamentos</v>
      </c>
      <c r="C4089" s="3" t="s">
        <v>4791</v>
      </c>
      <c r="D4089" s="78"/>
      <c r="E4089" s="1480">
        <v>6</v>
      </c>
    </row>
    <row r="4090" spans="1:5">
      <c r="A4090" s="769">
        <v>44117</v>
      </c>
      <c r="B4090" s="86" t="str">
        <f>TiposLancamentos!B24</f>
        <v>Estacionamentos</v>
      </c>
      <c r="C4090" s="3" t="s">
        <v>4792</v>
      </c>
      <c r="D4090" s="78"/>
      <c r="E4090" s="1480">
        <v>6</v>
      </c>
    </row>
    <row r="4091" spans="1:5">
      <c r="A4091" s="769">
        <v>44117</v>
      </c>
      <c r="B4091" s="86" t="str">
        <f>TiposLancamentos!B24</f>
        <v>Estacionamentos</v>
      </c>
      <c r="C4091" s="3" t="s">
        <v>4793</v>
      </c>
      <c r="D4091" s="78"/>
      <c r="E4091" s="1480">
        <v>12</v>
      </c>
    </row>
    <row r="4092" spans="1:5">
      <c r="A4092" s="769">
        <v>44136</v>
      </c>
      <c r="B4092" s="86" t="str">
        <f>TiposLancamentos!B24</f>
        <v>Estacionamentos</v>
      </c>
      <c r="C4092" s="3" t="s">
        <v>4794</v>
      </c>
      <c r="D4092" s="78"/>
      <c r="E4092" s="1480">
        <v>10</v>
      </c>
    </row>
    <row r="4093" spans="1:5">
      <c r="A4093" s="769">
        <v>44151</v>
      </c>
      <c r="B4093" s="86" t="str">
        <f>TiposLancamentos!B20</f>
        <v>Saques</v>
      </c>
      <c r="C4093" s="3" t="s">
        <v>4795</v>
      </c>
      <c r="D4093" s="78">
        <v>40</v>
      </c>
      <c r="E4093" s="1480"/>
    </row>
    <row r="4094" spans="1:5">
      <c r="A4094" s="769">
        <v>44151</v>
      </c>
      <c r="B4094" s="86" t="str">
        <f>TiposLancamentos!B54</f>
        <v>Metro</v>
      </c>
      <c r="C4094" s="3" t="s">
        <v>4796</v>
      </c>
      <c r="D4094" s="78"/>
      <c r="E4094" s="1480">
        <v>8.8000000000000007</v>
      </c>
    </row>
    <row r="4095" spans="1:5">
      <c r="A4095" s="769">
        <v>44165</v>
      </c>
      <c r="B4095" s="86" t="str">
        <f>TiposLancamentos!B18</f>
        <v>Alimentacao</v>
      </c>
      <c r="C4095" s="3" t="s">
        <v>4360</v>
      </c>
      <c r="D4095" s="78"/>
      <c r="E4095" s="1480">
        <v>53</v>
      </c>
    </row>
    <row r="4096" spans="1:5">
      <c r="A4096" s="769">
        <v>44166</v>
      </c>
      <c r="B4096" s="86" t="str">
        <f>TiposLancamentos!B20</f>
        <v>Saques</v>
      </c>
      <c r="C4096" s="3" t="s">
        <v>4797</v>
      </c>
      <c r="D4096" s="78">
        <v>40</v>
      </c>
      <c r="E4096" s="1480"/>
    </row>
    <row r="4097" spans="1:5">
      <c r="A4097" s="769">
        <v>44167</v>
      </c>
      <c r="B4097" s="86" t="str">
        <f>TiposLancamentos!B24</f>
        <v>Estacionamentos</v>
      </c>
      <c r="C4097" s="3" t="s">
        <v>2186</v>
      </c>
      <c r="D4097" s="78"/>
      <c r="E4097" s="1480">
        <v>8</v>
      </c>
    </row>
    <row r="4098" spans="1:5">
      <c r="A4098" s="769">
        <v>44177</v>
      </c>
      <c r="B4098" s="86" t="str">
        <f>TiposLancamentos!B24</f>
        <v>Estacionamentos</v>
      </c>
      <c r="C4098" s="3" t="s">
        <v>4798</v>
      </c>
      <c r="D4098" s="78"/>
      <c r="E4098" s="1480">
        <v>10</v>
      </c>
    </row>
    <row r="4099" spans="1:5">
      <c r="A4099" s="769">
        <v>44184</v>
      </c>
      <c r="B4099" s="86" t="str">
        <f>B4098</f>
        <v>Estacionamentos</v>
      </c>
      <c r="C4099" s="3" t="s">
        <v>3851</v>
      </c>
      <c r="D4099" s="78"/>
      <c r="E4099" s="1480">
        <v>8</v>
      </c>
    </row>
    <row r="4100" spans="1:5">
      <c r="A4100" s="769">
        <v>44207</v>
      </c>
      <c r="B4100" s="86" t="str">
        <f>TiposLancamentos!B20</f>
        <v>Saques</v>
      </c>
      <c r="C4100" s="3" t="s">
        <v>4368</v>
      </c>
      <c r="D4100" s="78">
        <v>80</v>
      </c>
      <c r="E4100" s="1480"/>
    </row>
    <row r="4101" spans="1:5">
      <c r="A4101" s="769">
        <v>44207</v>
      </c>
      <c r="B4101" s="86" t="str">
        <f>TiposLancamentos!B69</f>
        <v>Consertos</v>
      </c>
      <c r="C4101" s="3" t="s">
        <v>4799</v>
      </c>
      <c r="D4101" s="78"/>
      <c r="E4101" s="1480">
        <v>80</v>
      </c>
    </row>
    <row r="4102" spans="1:5">
      <c r="A4102" s="769">
        <v>44348</v>
      </c>
      <c r="B4102" s="86" t="str">
        <f>TiposLancamentos!B78</f>
        <v>Diferenças</v>
      </c>
      <c r="C4102" s="3" t="s">
        <v>4800</v>
      </c>
      <c r="D4102" s="78"/>
      <c r="E4102" s="1480">
        <v>14.2</v>
      </c>
    </row>
    <row r="4103" spans="1:5">
      <c r="A4103" s="769">
        <v>44408</v>
      </c>
      <c r="B4103" s="86" t="str">
        <f>TiposLancamentos!B99</f>
        <v>Venda de algo</v>
      </c>
      <c r="C4103" s="3" t="s">
        <v>4801</v>
      </c>
      <c r="D4103" s="78">
        <v>120</v>
      </c>
      <c r="E4103" s="1480"/>
    </row>
    <row r="4104" spans="1:5">
      <c r="A4104" s="769">
        <v>44409</v>
      </c>
      <c r="B4104" s="86" t="str">
        <f>TiposLancamentos!B97</f>
        <v>Deposito Terc.</v>
      </c>
      <c r="C4104" s="3" t="s">
        <v>4802</v>
      </c>
      <c r="D4104" s="78"/>
      <c r="E4104" s="1480">
        <v>120</v>
      </c>
    </row>
    <row r="4105" spans="1:5">
      <c r="A4105" s="769">
        <v>44879</v>
      </c>
      <c r="B4105" s="86" t="str">
        <f>TiposLancamentos!B98</f>
        <v>Restituições</v>
      </c>
      <c r="C4105" s="3" t="s">
        <v>4803</v>
      </c>
      <c r="D4105" s="78">
        <v>1892</v>
      </c>
      <c r="E4105" s="1480"/>
    </row>
    <row r="4106" spans="1:5">
      <c r="A4106" s="769">
        <v>44879</v>
      </c>
      <c r="B4106" s="86" t="str">
        <f>TiposLancamentos!B97</f>
        <v>Deposito Terc.</v>
      </c>
      <c r="C4106" s="3" t="s">
        <v>3935</v>
      </c>
      <c r="D4106" s="78"/>
      <c r="E4106" s="1480">
        <v>1892</v>
      </c>
    </row>
    <row r="4107" spans="1:5">
      <c r="A4107" s="769">
        <v>45048</v>
      </c>
      <c r="B4107" s="86" t="str">
        <f>TiposLancamentos!B20</f>
        <v>Saques</v>
      </c>
      <c r="C4107" s="3" t="s">
        <v>3900</v>
      </c>
      <c r="D4107" s="78">
        <v>150</v>
      </c>
      <c r="E4107" s="1480"/>
    </row>
    <row r="4108" spans="1:5">
      <c r="A4108" s="769">
        <v>45048</v>
      </c>
      <c r="B4108" s="86" t="str">
        <f>TiposLancamentos!B59</f>
        <v>Documentos</v>
      </c>
      <c r="C4108" s="3" t="s">
        <v>4804</v>
      </c>
      <c r="D4108" s="78"/>
      <c r="E4108" s="1480">
        <v>103</v>
      </c>
    </row>
    <row r="4109" spans="1:5">
      <c r="A4109" s="769">
        <v>45048</v>
      </c>
      <c r="B4109" s="86" t="str">
        <f>TiposLancamentos!B59</f>
        <v>Documentos</v>
      </c>
      <c r="C4109" s="3" t="s">
        <v>4805</v>
      </c>
      <c r="D4109" s="78"/>
      <c r="E4109" s="1480">
        <v>1.2</v>
      </c>
    </row>
    <row r="4110" spans="1:5">
      <c r="A4110" s="769">
        <v>45062</v>
      </c>
      <c r="B4110" s="86" t="str">
        <f>TiposLancamentos!B46</f>
        <v>Maçonaria</v>
      </c>
      <c r="C4110" s="3" t="s">
        <v>4806</v>
      </c>
      <c r="D4110" s="78"/>
      <c r="E4110" s="1480">
        <v>20</v>
      </c>
    </row>
    <row r="4111" spans="1:5">
      <c r="A4111" s="769">
        <v>45069</v>
      </c>
      <c r="B4111" s="86" t="str">
        <f>TiposLancamentos!B46</f>
        <v>Maçonaria</v>
      </c>
      <c r="C4111" s="3" t="s">
        <v>4806</v>
      </c>
      <c r="D4111" s="78"/>
      <c r="E4111" s="1480">
        <v>15</v>
      </c>
    </row>
    <row r="4112" spans="1:5">
      <c r="A4112" s="769">
        <v>45601</v>
      </c>
      <c r="B4112" s="86" t="str">
        <f>B4102</f>
        <v>Diferenças</v>
      </c>
      <c r="C4112" s="3" t="str">
        <f>C4102</f>
        <v>Saldos para Ajustes</v>
      </c>
      <c r="D4112" s="78"/>
      <c r="E4112" s="1480">
        <v>10.8</v>
      </c>
    </row>
    <row r="4113" spans="1:6">
      <c r="A4113" s="769">
        <v>45791</v>
      </c>
      <c r="B4113" s="86" t="str">
        <f>TiposLancamentos!B20</f>
        <v>Saques</v>
      </c>
      <c r="C4113" s="3" t="s">
        <v>4807</v>
      </c>
      <c r="D4113" s="78">
        <v>300</v>
      </c>
      <c r="E4113" s="1480"/>
      <c r="F4113" s="3"/>
    </row>
    <row r="4114" spans="1:6">
      <c r="A4114" s="769">
        <v>45791</v>
      </c>
      <c r="B4114" s="86" t="str">
        <f>TiposLancamentos!B80</f>
        <v>Mudanças</v>
      </c>
      <c r="C4114" s="3" t="s">
        <v>4808</v>
      </c>
      <c r="D4114" s="78"/>
      <c r="E4114" s="1480">
        <v>300</v>
      </c>
      <c r="F4114" s="3"/>
    </row>
    <row r="4115" spans="1:6">
      <c r="A4115" s="769"/>
      <c r="B4115" s="86"/>
      <c r="C4115" s="3"/>
      <c r="D4115" s="78"/>
      <c r="E4115" s="1480"/>
      <c r="F4115" s="3"/>
    </row>
    <row r="4116" spans="1:6">
      <c r="A4116" s="769"/>
      <c r="B4116" s="86"/>
      <c r="C4116" s="3"/>
      <c r="D4116" s="78"/>
      <c r="E4116" s="1480"/>
      <c r="F4116" s="3"/>
    </row>
    <row r="4117" spans="1:6">
      <c r="A4117" s="769"/>
      <c r="B4117" s="86"/>
      <c r="C4117" s="3"/>
      <c r="D4117" s="78"/>
      <c r="E4117" s="1480"/>
      <c r="F4117" s="3"/>
    </row>
    <row r="4118" spans="1:6">
      <c r="A4118" s="769"/>
      <c r="B4118" s="86"/>
      <c r="C4118" s="3"/>
      <c r="D4118" s="78"/>
      <c r="E4118" s="1480"/>
      <c r="F4118" s="3"/>
    </row>
    <row r="4119" spans="1:6">
      <c r="A4119" s="769"/>
      <c r="B4119" s="86"/>
      <c r="C4119" s="3"/>
      <c r="D4119" s="78"/>
      <c r="E4119" s="1480"/>
      <c r="F4119" s="3"/>
    </row>
    <row r="4120" spans="1:6">
      <c r="A4120" s="769"/>
      <c r="B4120" s="86"/>
      <c r="C4120" s="3"/>
      <c r="D4120" s="78"/>
      <c r="E4120" s="1480"/>
      <c r="F4120" s="3"/>
    </row>
    <row r="4121" spans="1:6">
      <c r="A4121" s="769"/>
      <c r="B4121" s="86"/>
      <c r="C4121" s="3"/>
      <c r="D4121" s="78"/>
      <c r="E4121" s="1480"/>
      <c r="F4121" s="3"/>
    </row>
    <row r="4122" spans="1:6">
      <c r="A4122" s="769"/>
      <c r="B4122" s="86"/>
      <c r="C4122" s="3"/>
      <c r="D4122" s="78"/>
      <c r="E4122" s="1480"/>
      <c r="F4122" s="3"/>
    </row>
    <row r="4123" spans="1:6">
      <c r="A4123" s="769"/>
      <c r="B4123" s="86"/>
      <c r="C4123" s="3"/>
      <c r="D4123" s="78"/>
      <c r="E4123" s="1480"/>
      <c r="F4123" s="3"/>
    </row>
    <row r="4124" spans="1:6">
      <c r="A4124" s="769"/>
      <c r="B4124" s="86"/>
      <c r="C4124" s="3"/>
      <c r="D4124" s="78"/>
      <c r="E4124" s="1480"/>
      <c r="F4124" s="3"/>
    </row>
    <row r="4125" spans="1:6">
      <c r="A4125" s="769"/>
      <c r="B4125" s="86"/>
      <c r="C4125" s="3"/>
      <c r="D4125" s="78"/>
      <c r="E4125" s="1480"/>
      <c r="F4125" s="3"/>
    </row>
    <row r="4126" spans="1:6">
      <c r="A4126" s="769"/>
      <c r="B4126" s="86"/>
      <c r="C4126" s="3"/>
      <c r="D4126" s="78"/>
      <c r="E4126" s="1480"/>
      <c r="F4126" s="3"/>
    </row>
    <row r="4127" spans="1:6">
      <c r="A4127" s="769"/>
      <c r="B4127" s="86"/>
      <c r="C4127" s="3"/>
      <c r="D4127" s="78"/>
      <c r="E4127" s="1480"/>
      <c r="F4127" s="3"/>
    </row>
    <row r="4128" spans="1:6">
      <c r="A4128" s="770"/>
      <c r="B4128" s="762"/>
      <c r="C4128" s="1609"/>
      <c r="D4128" s="1090"/>
      <c r="E4128" s="1401"/>
      <c r="F4128" s="3"/>
    </row>
    <row r="4129" spans="1:6">
      <c r="A4129" s="46"/>
      <c r="B4129" s="116"/>
      <c r="C4129" s="117" t="s">
        <v>12</v>
      </c>
      <c r="D4129" s="1610">
        <f>SUM(D3:D4128)</f>
        <v>77078.540000000052</v>
      </c>
      <c r="E4129" s="118">
        <f>SUM(E3:E4128)</f>
        <v>77078.540000000095</v>
      </c>
      <c r="F4129" s="114"/>
    </row>
    <row r="4130" spans="1:6">
      <c r="A4130" s="119"/>
      <c r="B4130" s="120"/>
      <c r="C4130" s="24" t="s">
        <v>13</v>
      </c>
      <c r="D4130" s="121"/>
      <c r="E4130" s="1611">
        <f>D4129-E4129</f>
        <v>0</v>
      </c>
      <c r="F4130" s="3"/>
    </row>
    <row r="4131" spans="1:6">
      <c r="A4131" s="3"/>
      <c r="B4131" s="3"/>
      <c r="C4131" s="3" t="s">
        <v>4809</v>
      </c>
      <c r="D4131" s="3"/>
      <c r="E4131" s="1611"/>
      <c r="F4131" s="3"/>
    </row>
    <row r="4132" spans="1:6">
      <c r="A4132" s="3"/>
      <c r="B4132" s="3"/>
      <c r="C4132" s="3" t="s">
        <v>1596</v>
      </c>
      <c r="D4132" s="1612"/>
      <c r="E4132" s="1611">
        <f>IF(E4131&lt;&gt;0,E4131-E4130,0)</f>
        <v>0</v>
      </c>
      <c r="F4132" s="3"/>
    </row>
    <row r="4133" spans="1:6">
      <c r="A4133" s="3"/>
      <c r="B4133" s="3"/>
      <c r="C4133" s="3"/>
      <c r="D4133" s="3"/>
      <c r="E4133" s="3"/>
      <c r="F4133" s="3"/>
    </row>
  </sheetData>
  <sheetProtection selectLockedCells="1" selectUnlockedCells="1"/>
  <conditionalFormatting sqref="E1479:E1480 E1523:E4127">
    <cfRule type="cellIs" dxfId="476" priority="29" stopIfTrue="1" operator="lessThan">
      <formula>0</formula>
    </cfRule>
  </conditionalFormatting>
  <pageMargins left="0.78749999999999998" right="0.78749999999999998" top="0.78749999999999998" bottom="0.78749999999999998" header="9.8611111111111108E-2" footer="9.8611111111111108E-2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Roman,Regular"&amp;12Página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66"/>
  <dimension ref="A1:H9384"/>
  <sheetViews>
    <sheetView zoomScaleNormal="100" workbookViewId="0">
      <pane xSplit="7" ySplit="1" topLeftCell="H9333" activePane="bottomRight" state="frozen"/>
      <selection pane="bottomRight" activeCell="D9352" sqref="D9352"/>
      <selection pane="bottomLeft" activeCell="A2" sqref="A2"/>
      <selection pane="topRight" activeCell="H1" sqref="H1"/>
    </sheetView>
  </sheetViews>
  <sheetFormatPr defaultColWidth="9.140625" defaultRowHeight="13.5"/>
  <cols>
    <col min="1" max="1" width="13.7109375" style="3" customWidth="1"/>
    <col min="2" max="2" width="21.28515625" style="3" customWidth="1"/>
    <col min="3" max="3" width="63" style="3" customWidth="1"/>
    <col min="4" max="4" width="17.85546875" style="3" customWidth="1"/>
    <col min="5" max="5" width="19.5703125" style="3" customWidth="1"/>
    <col min="6" max="6" width="16" style="3" bestFit="1" customWidth="1"/>
    <col min="7" max="7" width="8.42578125" style="3" customWidth="1"/>
    <col min="8" max="8" width="16" style="3" bestFit="1" customWidth="1"/>
    <col min="9" max="16384" width="9.140625" style="3"/>
  </cols>
  <sheetData>
    <row r="1" spans="1:7" ht="14.25" thickBot="1">
      <c r="A1" s="1747" t="s">
        <v>0</v>
      </c>
      <c r="B1" s="1860" t="s">
        <v>1</v>
      </c>
      <c r="C1" s="1739" t="s">
        <v>2</v>
      </c>
      <c r="D1" s="1849" t="s">
        <v>3</v>
      </c>
      <c r="E1" s="1732" t="s">
        <v>4</v>
      </c>
      <c r="F1" s="1660" t="s">
        <v>5</v>
      </c>
      <c r="G1" s="1566" t="s">
        <v>6</v>
      </c>
    </row>
    <row r="2" spans="1:7">
      <c r="A2" s="1834"/>
      <c r="B2" s="977"/>
      <c r="C2" s="1854" t="s">
        <v>4810</v>
      </c>
      <c r="D2" s="1823">
        <v>0</v>
      </c>
      <c r="E2" s="1821">
        <v>0</v>
      </c>
      <c r="F2" s="1821"/>
      <c r="G2" s="1895"/>
    </row>
    <row r="3" spans="1:7">
      <c r="A3" s="1754">
        <v>38471</v>
      </c>
      <c r="B3" s="125" t="str">
        <f>TiposLancamentos!B95</f>
        <v>Salarios</v>
      </c>
      <c r="C3" s="1040" t="s">
        <v>4811</v>
      </c>
      <c r="D3" s="1736">
        <v>2364.75</v>
      </c>
      <c r="E3" s="1043"/>
      <c r="F3" s="1043"/>
      <c r="G3" s="1550"/>
    </row>
    <row r="4" spans="1:7">
      <c r="A4" s="1754">
        <v>38471</v>
      </c>
      <c r="B4" s="125" t="str">
        <f>TiposLancamentos!B9</f>
        <v>Condominio</v>
      </c>
      <c r="C4" s="1040" t="s">
        <v>4812</v>
      </c>
      <c r="D4" s="1736"/>
      <c r="E4" s="1043">
        <v>142.5</v>
      </c>
      <c r="F4" s="1043"/>
      <c r="G4" s="1550"/>
    </row>
    <row r="5" spans="1:7">
      <c r="A5" s="1754">
        <v>38471</v>
      </c>
      <c r="B5" s="125" t="str">
        <f>TiposLancamentos!B2</f>
        <v>Telefonia</v>
      </c>
      <c r="C5" s="1040" t="s">
        <v>4813</v>
      </c>
      <c r="D5" s="1736"/>
      <c r="E5" s="1043">
        <v>140.56</v>
      </c>
      <c r="F5" s="1043"/>
      <c r="G5" s="1550"/>
    </row>
    <row r="6" spans="1:7">
      <c r="A6" s="1754">
        <v>38471</v>
      </c>
      <c r="B6" s="125" t="str">
        <f>TiposLancamentos!B3</f>
        <v>Internet</v>
      </c>
      <c r="C6" s="1040" t="s">
        <v>2784</v>
      </c>
      <c r="D6" s="1736"/>
      <c r="E6" s="1043">
        <v>59.9</v>
      </c>
      <c r="F6" s="1043"/>
      <c r="G6" s="1550"/>
    </row>
    <row r="7" spans="1:7">
      <c r="A7" s="1754">
        <v>38471</v>
      </c>
      <c r="B7" s="125" t="str">
        <f>TiposLancamentos!B15</f>
        <v>Cartões de Crédito</v>
      </c>
      <c r="C7" s="1040" t="s">
        <v>4814</v>
      </c>
      <c r="D7" s="1736"/>
      <c r="E7" s="1043">
        <v>573.74</v>
      </c>
      <c r="F7" s="1043"/>
      <c r="G7" s="1550"/>
    </row>
    <row r="8" spans="1:7">
      <c r="A8" s="1754">
        <v>38471</v>
      </c>
      <c r="B8" s="125" t="str">
        <f>TiposLancamentos!B15</f>
        <v>Cartões de Crédito</v>
      </c>
      <c r="C8" s="1040" t="s">
        <v>4815</v>
      </c>
      <c r="D8" s="1736"/>
      <c r="E8" s="1043">
        <v>214.49</v>
      </c>
      <c r="F8" s="1043"/>
      <c r="G8" s="1550"/>
    </row>
    <row r="9" spans="1:7" ht="14.25" thickBot="1">
      <c r="A9" s="1754">
        <v>38471</v>
      </c>
      <c r="B9" s="125" t="str">
        <f>TiposLancamentos!B5</f>
        <v>Supermercado</v>
      </c>
      <c r="C9" s="1040" t="s">
        <v>4816</v>
      </c>
      <c r="D9" s="1736"/>
      <c r="E9" s="1043">
        <v>21.13</v>
      </c>
      <c r="F9" s="1043"/>
      <c r="G9" s="1550"/>
    </row>
    <row r="10" spans="1:7">
      <c r="A10" s="1834"/>
      <c r="B10" s="977"/>
      <c r="C10" s="1854" t="s">
        <v>4817</v>
      </c>
      <c r="D10" s="1823"/>
      <c r="E10" s="1821"/>
      <c r="F10" s="1821"/>
      <c r="G10" s="1895"/>
    </row>
    <row r="11" spans="1:7">
      <c r="A11" s="1754">
        <v>38473</v>
      </c>
      <c r="B11" s="125" t="str">
        <f>TiposLancamentos!B20</f>
        <v>Saques</v>
      </c>
      <c r="C11" s="1040" t="s">
        <v>2668</v>
      </c>
      <c r="D11" s="1736"/>
      <c r="E11" s="1043">
        <v>10</v>
      </c>
      <c r="F11" s="1043"/>
      <c r="G11" s="1550"/>
    </row>
    <row r="12" spans="1:7">
      <c r="A12" s="1754">
        <v>38474</v>
      </c>
      <c r="B12" s="125" t="str">
        <f>TiposLancamentos!B22</f>
        <v>Combustivel</v>
      </c>
      <c r="C12" s="1040" t="s">
        <v>4818</v>
      </c>
      <c r="D12" s="1736"/>
      <c r="E12" s="1043">
        <v>25.41</v>
      </c>
      <c r="F12" s="1043"/>
      <c r="G12" s="1550"/>
    </row>
    <row r="13" spans="1:7">
      <c r="A13" s="1754">
        <v>38474</v>
      </c>
      <c r="B13" s="125" t="str">
        <f>TiposLancamentos!B5</f>
        <v>Supermercado</v>
      </c>
      <c r="C13" s="1040" t="s">
        <v>4816</v>
      </c>
      <c r="D13" s="1736"/>
      <c r="E13" s="1043">
        <v>22.9</v>
      </c>
      <c r="F13" s="1043"/>
      <c r="G13" s="1550"/>
    </row>
    <row r="14" spans="1:7">
      <c r="A14" s="1754">
        <v>38475</v>
      </c>
      <c r="B14" s="125" t="str">
        <f>TiposLancamentos!B56</f>
        <v>Farmácia</v>
      </c>
      <c r="C14" s="1040" t="s">
        <v>4819</v>
      </c>
      <c r="D14" s="1736"/>
      <c r="E14" s="1043">
        <v>4.63</v>
      </c>
      <c r="F14" s="1043"/>
      <c r="G14" s="1550"/>
    </row>
    <row r="15" spans="1:7">
      <c r="A15" s="1754">
        <v>38475</v>
      </c>
      <c r="B15" s="125" t="str">
        <f>TiposLancamentos!B5</f>
        <v>Supermercado</v>
      </c>
      <c r="C15" s="1040" t="s">
        <v>4816</v>
      </c>
      <c r="D15" s="1736"/>
      <c r="E15" s="1043">
        <v>9.64</v>
      </c>
      <c r="F15" s="1043"/>
      <c r="G15" s="1550"/>
    </row>
    <row r="16" spans="1:7">
      <c r="A16" s="1754">
        <v>38475</v>
      </c>
      <c r="B16" s="125" t="str">
        <f>TiposLancamentos!B4</f>
        <v>Taxas Bancarias</v>
      </c>
      <c r="C16" s="1040" t="s">
        <v>4820</v>
      </c>
      <c r="D16" s="1736"/>
      <c r="E16" s="1043">
        <v>8</v>
      </c>
      <c r="F16" s="1043"/>
      <c r="G16" s="1550"/>
    </row>
    <row r="17" spans="1:7">
      <c r="A17" s="1754">
        <v>38477</v>
      </c>
      <c r="B17" s="125" t="str">
        <f>TiposLancamentos!B17</f>
        <v>GATO</v>
      </c>
      <c r="C17" s="1040" t="s">
        <v>4821</v>
      </c>
      <c r="D17" s="1736"/>
      <c r="E17" s="1043">
        <v>69.7</v>
      </c>
      <c r="F17" s="1043"/>
      <c r="G17" s="1550"/>
    </row>
    <row r="18" spans="1:7">
      <c r="A18" s="1754">
        <v>38478</v>
      </c>
      <c r="B18" s="125" t="str">
        <f>TiposLancamentos!B4</f>
        <v>Taxas Bancarias</v>
      </c>
      <c r="C18" s="1040" t="s">
        <v>4822</v>
      </c>
      <c r="D18" s="1736"/>
      <c r="E18" s="1043">
        <v>4.6399999999999997</v>
      </c>
      <c r="F18" s="1043"/>
      <c r="G18" s="1550"/>
    </row>
    <row r="19" spans="1:7">
      <c r="A19" s="1754">
        <v>38479</v>
      </c>
      <c r="B19" s="125" t="str">
        <f>TiposLancamentos!B82</f>
        <v>CG Titan 125</v>
      </c>
      <c r="C19" s="1040" t="s">
        <v>4823</v>
      </c>
      <c r="D19" s="1736"/>
      <c r="E19" s="1043">
        <v>6.63</v>
      </c>
      <c r="F19" s="1043"/>
      <c r="G19" s="1550"/>
    </row>
    <row r="20" spans="1:7">
      <c r="A20" s="1754">
        <v>38480</v>
      </c>
      <c r="B20" s="125" t="str">
        <f>TiposLancamentos!B5</f>
        <v>Supermercado</v>
      </c>
      <c r="C20" s="1040" t="s">
        <v>4816</v>
      </c>
      <c r="D20" s="1736"/>
      <c r="E20" s="1043">
        <v>7.67</v>
      </c>
      <c r="F20" s="1043"/>
      <c r="G20" s="1550"/>
    </row>
    <row r="21" spans="1:7">
      <c r="A21" s="1754">
        <v>38481</v>
      </c>
      <c r="B21" s="125" t="str">
        <f>TiposLancamentos!B19</f>
        <v>Restaurantes</v>
      </c>
      <c r="C21" s="1040" t="s">
        <v>4824</v>
      </c>
      <c r="D21" s="1736"/>
      <c r="E21" s="1043">
        <v>11.5</v>
      </c>
      <c r="F21" s="1043"/>
      <c r="G21" s="1550"/>
    </row>
    <row r="22" spans="1:7">
      <c r="A22" s="1754">
        <v>38482</v>
      </c>
      <c r="B22" s="125" t="str">
        <f>TiposLancamentos!B82</f>
        <v>CG Titan 125</v>
      </c>
      <c r="C22" s="1040" t="s">
        <v>4825</v>
      </c>
      <c r="D22" s="1736"/>
      <c r="E22" s="1043">
        <v>69.78</v>
      </c>
      <c r="F22" s="1043"/>
      <c r="G22" s="1550"/>
    </row>
    <row r="23" spans="1:7">
      <c r="A23" s="1754">
        <v>38483</v>
      </c>
      <c r="B23" s="125" t="str">
        <f>TiposLancamentos!B97</f>
        <v>Deposito Terc.</v>
      </c>
      <c r="C23" s="1040" t="s">
        <v>4826</v>
      </c>
      <c r="D23" s="1736">
        <v>40</v>
      </c>
      <c r="E23" s="1043"/>
      <c r="F23" s="1043"/>
      <c r="G23" s="1550"/>
    </row>
    <row r="24" spans="1:7">
      <c r="A24" s="1754">
        <v>38485</v>
      </c>
      <c r="B24" s="125" t="str">
        <f>TiposLancamentos!B4</f>
        <v>Taxas Bancarias</v>
      </c>
      <c r="C24" s="1040" t="s">
        <v>4822</v>
      </c>
      <c r="D24" s="1736"/>
      <c r="E24" s="1043">
        <v>0.6</v>
      </c>
      <c r="F24" s="1043"/>
      <c r="G24" s="1550"/>
    </row>
    <row r="25" spans="1:7">
      <c r="A25" s="1754">
        <v>38485</v>
      </c>
      <c r="B25" s="125" t="str">
        <f>TiposLancamentos!B8</f>
        <v>Aluguel</v>
      </c>
      <c r="C25" s="1040" t="s">
        <v>4827</v>
      </c>
      <c r="D25" s="1736"/>
      <c r="E25" s="1043">
        <v>797.76</v>
      </c>
      <c r="F25" s="1043"/>
      <c r="G25" s="1550"/>
    </row>
    <row r="26" spans="1:7">
      <c r="A26" s="1754">
        <v>38485</v>
      </c>
      <c r="B26" s="125" t="str">
        <f>TiposLancamentos!B17</f>
        <v>GATO</v>
      </c>
      <c r="C26" s="1040" t="s">
        <v>4828</v>
      </c>
      <c r="D26" s="1736"/>
      <c r="E26" s="1043">
        <v>49.6</v>
      </c>
      <c r="F26" s="1043"/>
      <c r="G26" s="1550"/>
    </row>
    <row r="27" spans="1:7">
      <c r="A27" s="1754">
        <v>38485</v>
      </c>
      <c r="B27" s="125" t="str">
        <f>TiposLancamentos!B19</f>
        <v>Restaurantes</v>
      </c>
      <c r="C27" s="1040" t="s">
        <v>4829</v>
      </c>
      <c r="D27" s="1736"/>
      <c r="E27" s="1043">
        <v>41.5</v>
      </c>
      <c r="F27" s="1043"/>
      <c r="G27" s="1550"/>
    </row>
    <row r="28" spans="1:7">
      <c r="A28" s="1754">
        <v>38488</v>
      </c>
      <c r="B28" s="125" t="str">
        <f>TiposLancamentos!B15</f>
        <v>Cartões de Crédito</v>
      </c>
      <c r="C28" s="1040" t="s">
        <v>4830</v>
      </c>
      <c r="D28" s="1736"/>
      <c r="E28" s="1043">
        <v>49.9</v>
      </c>
      <c r="F28" s="1043"/>
      <c r="G28" s="1550"/>
    </row>
    <row r="29" spans="1:7">
      <c r="A29" s="1754">
        <v>38492</v>
      </c>
      <c r="B29" s="125" t="str">
        <f>TiposLancamentos!B4</f>
        <v>Taxas Bancarias</v>
      </c>
      <c r="C29" s="1040" t="s">
        <v>4822</v>
      </c>
      <c r="D29" s="1736"/>
      <c r="E29" s="1043">
        <v>3.54</v>
      </c>
      <c r="F29" s="1043"/>
      <c r="G29" s="1550"/>
    </row>
    <row r="30" spans="1:7">
      <c r="A30" s="1754">
        <v>38492</v>
      </c>
      <c r="B30" s="125" t="str">
        <f>TiposLancamentos!B6</f>
        <v>Energia Eletrica</v>
      </c>
      <c r="C30" s="1040" t="s">
        <v>4831</v>
      </c>
      <c r="D30" s="1736"/>
      <c r="E30" s="1043">
        <v>55.41</v>
      </c>
      <c r="F30" s="1043"/>
      <c r="G30" s="1550"/>
    </row>
    <row r="31" spans="1:7">
      <c r="A31" s="1754">
        <v>38499</v>
      </c>
      <c r="B31" s="125" t="str">
        <f>TiposLancamentos!B4</f>
        <v>Taxas Bancarias</v>
      </c>
      <c r="C31" s="1040" t="s">
        <v>4822</v>
      </c>
      <c r="D31" s="1736"/>
      <c r="E31" s="1043">
        <v>0.21</v>
      </c>
      <c r="F31" s="1043"/>
      <c r="G31" s="1550"/>
    </row>
    <row r="32" spans="1:7">
      <c r="A32" s="1754">
        <v>38503</v>
      </c>
      <c r="B32" s="125" t="str">
        <f>TiposLancamentos!B95</f>
        <v>Salarios</v>
      </c>
      <c r="C32" s="1040" t="s">
        <v>4811</v>
      </c>
      <c r="D32" s="1736">
        <v>2664.2</v>
      </c>
      <c r="E32" s="1043"/>
      <c r="F32" s="1043"/>
      <c r="G32" s="1550"/>
    </row>
    <row r="33" spans="1:7">
      <c r="A33" s="1754">
        <v>38503</v>
      </c>
      <c r="B33" s="125" t="str">
        <f>TiposLancamentos!B2</f>
        <v>Telefonia</v>
      </c>
      <c r="C33" s="1040" t="s">
        <v>4813</v>
      </c>
      <c r="D33" s="1736"/>
      <c r="E33" s="1043">
        <v>169.73</v>
      </c>
      <c r="F33" s="1043"/>
      <c r="G33" s="1550"/>
    </row>
    <row r="34" spans="1:7">
      <c r="A34" s="1754">
        <v>38503</v>
      </c>
      <c r="B34" s="125" t="str">
        <f>TiposLancamentos!B3</f>
        <v>Internet</v>
      </c>
      <c r="C34" s="1040" t="s">
        <v>2784</v>
      </c>
      <c r="D34" s="1736"/>
      <c r="E34" s="1043">
        <v>59.9</v>
      </c>
      <c r="F34" s="1043"/>
      <c r="G34" s="1550"/>
    </row>
    <row r="35" spans="1:7">
      <c r="A35" s="1754">
        <v>38503</v>
      </c>
      <c r="B35" s="125" t="str">
        <f>TiposLancamentos!B2</f>
        <v>Telefonia</v>
      </c>
      <c r="C35" s="1040" t="s">
        <v>4832</v>
      </c>
      <c r="D35" s="1736"/>
      <c r="E35" s="1043">
        <v>53.03</v>
      </c>
      <c r="F35" s="1043"/>
      <c r="G35" s="1550"/>
    </row>
    <row r="36" spans="1:7">
      <c r="A36" s="1754">
        <v>38503</v>
      </c>
      <c r="B36" s="125" t="str">
        <f>TiposLancamentos!B15</f>
        <v>Cartões de Crédito</v>
      </c>
      <c r="C36" s="1040" t="s">
        <v>4815</v>
      </c>
      <c r="D36" s="1736"/>
      <c r="E36" s="1043">
        <v>184.8</v>
      </c>
      <c r="F36" s="1043"/>
      <c r="G36" s="1550"/>
    </row>
    <row r="37" spans="1:7">
      <c r="A37" s="1754">
        <v>38503</v>
      </c>
      <c r="B37" s="125" t="str">
        <f>TiposLancamentos!B15</f>
        <v>Cartões de Crédito</v>
      </c>
      <c r="C37" s="1040" t="s">
        <v>4814</v>
      </c>
      <c r="D37" s="1736"/>
      <c r="E37" s="1043">
        <v>902.81</v>
      </c>
      <c r="F37" s="1043"/>
      <c r="G37" s="1550"/>
    </row>
    <row r="38" spans="1:7">
      <c r="A38" s="1754">
        <v>38503</v>
      </c>
      <c r="B38" s="125" t="str">
        <f>TiposLancamentos!B22</f>
        <v>Combustivel</v>
      </c>
      <c r="C38" s="1040" t="s">
        <v>4833</v>
      </c>
      <c r="D38" s="1736"/>
      <c r="E38" s="1043">
        <v>25</v>
      </c>
      <c r="F38" s="1043"/>
      <c r="G38" s="1550"/>
    </row>
    <row r="39" spans="1:7">
      <c r="A39" s="1754">
        <v>38503</v>
      </c>
      <c r="B39" s="125" t="str">
        <f>TiposLancamentos!B18</f>
        <v>Alimentacao</v>
      </c>
      <c r="C39" s="1040" t="s">
        <v>4834</v>
      </c>
      <c r="D39" s="1736"/>
      <c r="E39" s="1043">
        <v>7.2</v>
      </c>
      <c r="F39" s="1043"/>
      <c r="G39" s="1550"/>
    </row>
    <row r="40" spans="1:7">
      <c r="A40" s="1754">
        <v>38503</v>
      </c>
      <c r="B40" s="125" t="str">
        <f>TiposLancamentos!B9</f>
        <v>Condominio</v>
      </c>
      <c r="C40" s="1040" t="s">
        <v>1684</v>
      </c>
      <c r="D40" s="1736"/>
      <c r="E40" s="1043">
        <v>142.5</v>
      </c>
      <c r="F40" s="1043"/>
      <c r="G40" s="1550"/>
    </row>
    <row r="41" spans="1:7">
      <c r="A41" s="1754">
        <v>38503</v>
      </c>
      <c r="B41" s="125" t="str">
        <f>TiposLancamentos!B19</f>
        <v>Restaurantes</v>
      </c>
      <c r="C41" s="1040" t="s">
        <v>4824</v>
      </c>
      <c r="D41" s="1736"/>
      <c r="E41" s="1043">
        <v>18.3</v>
      </c>
      <c r="F41" s="1043"/>
      <c r="G41" s="1550"/>
    </row>
    <row r="42" spans="1:7" ht="14.25" thickBot="1">
      <c r="A42" s="1866">
        <v>38503</v>
      </c>
      <c r="B42" s="628" t="str">
        <f>TiposLancamentos!B56</f>
        <v>Farmácia</v>
      </c>
      <c r="C42" s="1855" t="s">
        <v>4819</v>
      </c>
      <c r="D42" s="1850"/>
      <c r="E42" s="1838">
        <v>27.03</v>
      </c>
      <c r="F42" s="1043"/>
      <c r="G42" s="1550"/>
    </row>
    <row r="43" spans="1:7">
      <c r="A43" s="1834"/>
      <c r="B43" s="977"/>
      <c r="C43" s="1854" t="s">
        <v>2849</v>
      </c>
      <c r="D43" s="1823"/>
      <c r="E43" s="1821"/>
      <c r="F43" s="1821"/>
      <c r="G43" s="1895"/>
    </row>
    <row r="44" spans="1:7">
      <c r="A44" s="1754">
        <v>38504</v>
      </c>
      <c r="B44" s="125" t="str">
        <f>TiposLancamentos!B5</f>
        <v>Supermercado</v>
      </c>
      <c r="C44" s="1040" t="s">
        <v>4816</v>
      </c>
      <c r="D44" s="1736"/>
      <c r="E44" s="1043">
        <v>24.74</v>
      </c>
      <c r="F44" s="1043"/>
      <c r="G44" s="1550"/>
    </row>
    <row r="45" spans="1:7">
      <c r="A45" s="1754">
        <v>38505</v>
      </c>
      <c r="B45" s="125" t="str">
        <f>TiposLancamentos!B20</f>
        <v>Saques</v>
      </c>
      <c r="C45" s="1040" t="s">
        <v>2668</v>
      </c>
      <c r="D45" s="1736"/>
      <c r="E45" s="1043">
        <v>30</v>
      </c>
      <c r="F45" s="1043"/>
      <c r="G45" s="1550"/>
    </row>
    <row r="46" spans="1:7">
      <c r="A46" s="1754">
        <v>38505</v>
      </c>
      <c r="B46" s="125" t="str">
        <f>TiposLancamentos!B19</f>
        <v>Restaurantes</v>
      </c>
      <c r="C46" s="1040" t="s">
        <v>4835</v>
      </c>
      <c r="D46" s="1736"/>
      <c r="E46" s="1043">
        <v>23.9</v>
      </c>
      <c r="F46" s="1043"/>
      <c r="G46" s="1550"/>
    </row>
    <row r="47" spans="1:7">
      <c r="A47" s="1754">
        <v>38505</v>
      </c>
      <c r="B47" s="125" t="str">
        <f>TiposLancamentos!B4</f>
        <v>Taxas Bancarias</v>
      </c>
      <c r="C47" s="1040" t="s">
        <v>4836</v>
      </c>
      <c r="D47" s="1736"/>
      <c r="E47" s="1043">
        <v>7</v>
      </c>
      <c r="F47" s="1043"/>
      <c r="G47" s="1550"/>
    </row>
    <row r="48" spans="1:7">
      <c r="A48" s="1754">
        <v>38506</v>
      </c>
      <c r="B48" s="125" t="str">
        <f>TiposLancamentos!B19</f>
        <v>Restaurantes</v>
      </c>
      <c r="C48" s="1040" t="s">
        <v>4824</v>
      </c>
      <c r="D48" s="1736"/>
      <c r="E48" s="1043">
        <v>12</v>
      </c>
      <c r="F48" s="1043"/>
      <c r="G48" s="1550"/>
    </row>
    <row r="49" spans="1:7">
      <c r="A49" s="1754">
        <v>38506</v>
      </c>
      <c r="B49" s="125" t="str">
        <f>TiposLancamentos!B4</f>
        <v>Taxas Bancarias</v>
      </c>
      <c r="C49" s="1040" t="s">
        <v>4822</v>
      </c>
      <c r="D49" s="1736"/>
      <c r="E49" s="1043">
        <v>6.01</v>
      </c>
      <c r="F49" s="1043"/>
      <c r="G49" s="1550"/>
    </row>
    <row r="50" spans="1:7">
      <c r="A50" s="1754">
        <v>38507</v>
      </c>
      <c r="B50" s="125" t="str">
        <f>TiposLancamentos!B17</f>
        <v>GATO</v>
      </c>
      <c r="C50" s="1040" t="s">
        <v>4837</v>
      </c>
      <c r="D50" s="1736"/>
      <c r="E50" s="1043">
        <v>37</v>
      </c>
      <c r="F50" s="1043"/>
      <c r="G50" s="1550"/>
    </row>
    <row r="51" spans="1:7">
      <c r="A51" s="1754">
        <v>38513</v>
      </c>
      <c r="B51" s="125" t="str">
        <f>TiposLancamentos!B19</f>
        <v>Restaurantes</v>
      </c>
      <c r="C51" s="1040" t="s">
        <v>4824</v>
      </c>
      <c r="D51" s="1736"/>
      <c r="E51" s="1043">
        <v>12</v>
      </c>
      <c r="F51" s="1043"/>
      <c r="G51" s="1550"/>
    </row>
    <row r="52" spans="1:7">
      <c r="A52" s="1754">
        <v>38513</v>
      </c>
      <c r="B52" s="125" t="str">
        <f>TiposLancamentos!B4</f>
        <v>Taxas Bancarias</v>
      </c>
      <c r="C52" s="1040" t="s">
        <v>4822</v>
      </c>
      <c r="D52" s="1736"/>
      <c r="E52" s="1043">
        <v>0.49</v>
      </c>
      <c r="F52" s="1043"/>
      <c r="G52" s="1550"/>
    </row>
    <row r="53" spans="1:7">
      <c r="A53" s="1754">
        <v>38514</v>
      </c>
      <c r="B53" s="125" t="str">
        <f>TiposLancamentos!B17</f>
        <v>GATO</v>
      </c>
      <c r="C53" s="1040" t="s">
        <v>4838</v>
      </c>
      <c r="D53" s="1736"/>
      <c r="E53" s="1043">
        <v>49.6</v>
      </c>
      <c r="F53" s="1043"/>
      <c r="G53" s="1550"/>
    </row>
    <row r="54" spans="1:7">
      <c r="A54" s="1754">
        <v>38514</v>
      </c>
      <c r="B54" s="125" t="str">
        <f>TiposLancamentos!B19</f>
        <v>Restaurantes</v>
      </c>
      <c r="C54" s="1040" t="s">
        <v>4839</v>
      </c>
      <c r="D54" s="1736"/>
      <c r="E54" s="1043">
        <v>18.8</v>
      </c>
      <c r="F54" s="1043"/>
      <c r="G54" s="1550"/>
    </row>
    <row r="55" spans="1:7">
      <c r="A55" s="1754">
        <v>38514</v>
      </c>
      <c r="B55" s="125" t="str">
        <f>TiposLancamentos!B19</f>
        <v>Restaurantes</v>
      </c>
      <c r="C55" s="1040" t="s">
        <v>4840</v>
      </c>
      <c r="D55" s="1736"/>
      <c r="E55" s="1043">
        <v>8</v>
      </c>
      <c r="F55" s="1043"/>
      <c r="G55" s="1550"/>
    </row>
    <row r="56" spans="1:7">
      <c r="A56" s="1754">
        <v>38514</v>
      </c>
      <c r="B56" s="125" t="str">
        <f>TiposLancamentos!B5</f>
        <v>Supermercado</v>
      </c>
      <c r="C56" s="1040" t="s">
        <v>4816</v>
      </c>
      <c r="D56" s="1736"/>
      <c r="E56" s="1043">
        <v>9.06</v>
      </c>
      <c r="F56" s="1043"/>
      <c r="G56" s="1550"/>
    </row>
    <row r="57" spans="1:7">
      <c r="A57" s="1754">
        <v>38516</v>
      </c>
      <c r="B57" s="125" t="str">
        <f>TiposLancamentos!B22</f>
        <v>Combustivel</v>
      </c>
      <c r="C57" s="1040" t="s">
        <v>3050</v>
      </c>
      <c r="D57" s="1736"/>
      <c r="E57" s="1043">
        <v>25.35</v>
      </c>
      <c r="F57" s="1043"/>
      <c r="G57" s="1550"/>
    </row>
    <row r="58" spans="1:7">
      <c r="A58" s="1754">
        <v>38516</v>
      </c>
      <c r="B58" s="125" t="str">
        <f>TiposLancamentos!B82</f>
        <v>CG Titan 125</v>
      </c>
      <c r="C58" s="1040" t="s">
        <v>4841</v>
      </c>
      <c r="D58" s="1736"/>
      <c r="E58" s="1043">
        <v>133.1</v>
      </c>
      <c r="F58" s="1043"/>
      <c r="G58" s="1550"/>
    </row>
    <row r="59" spans="1:7">
      <c r="A59" s="1754">
        <v>38516</v>
      </c>
      <c r="B59" s="125" t="str">
        <f>TiposLancamentos!B105</f>
        <v>Transf. Bco</v>
      </c>
      <c r="C59" s="1040" t="s">
        <v>4842</v>
      </c>
      <c r="D59" s="1736">
        <v>133.1</v>
      </c>
      <c r="E59" s="1043"/>
      <c r="F59" s="1043"/>
      <c r="G59" s="1550"/>
    </row>
    <row r="60" spans="1:7">
      <c r="A60" s="1754">
        <v>38517</v>
      </c>
      <c r="B60" s="125" t="str">
        <f>TiposLancamentos!B8</f>
        <v>Aluguel</v>
      </c>
      <c r="C60" s="1040" t="s">
        <v>4843</v>
      </c>
      <c r="D60" s="1736"/>
      <c r="E60" s="1043">
        <v>797.76</v>
      </c>
      <c r="F60" s="1043"/>
      <c r="G60" s="1550"/>
    </row>
    <row r="61" spans="1:7">
      <c r="A61" s="1754">
        <v>38518</v>
      </c>
      <c r="B61" s="125" t="str">
        <f>TiposLancamentos!B56</f>
        <v>Farmácia</v>
      </c>
      <c r="C61" s="1040" t="s">
        <v>4844</v>
      </c>
      <c r="D61" s="1736"/>
      <c r="E61" s="1043">
        <v>14.83</v>
      </c>
      <c r="F61" s="1043"/>
      <c r="G61" s="1550"/>
    </row>
    <row r="62" spans="1:7">
      <c r="A62" s="1754">
        <v>38520</v>
      </c>
      <c r="B62" s="125" t="str">
        <f>TiposLancamentos!B4</f>
        <v>Taxas Bancarias</v>
      </c>
      <c r="C62" s="1040" t="s">
        <v>4822</v>
      </c>
      <c r="D62" s="1736"/>
      <c r="E62" s="1043">
        <v>3.97</v>
      </c>
      <c r="F62" s="1043"/>
      <c r="G62" s="1550"/>
    </row>
    <row r="63" spans="1:7">
      <c r="A63" s="1754">
        <v>38527</v>
      </c>
      <c r="B63" s="125" t="str">
        <f>TiposLancamentos!B4</f>
        <v>Taxas Bancarias</v>
      </c>
      <c r="C63" s="1040" t="s">
        <v>4822</v>
      </c>
      <c r="D63" s="1736"/>
      <c r="E63" s="1043">
        <v>0.05</v>
      </c>
      <c r="F63" s="1043"/>
      <c r="G63" s="1550"/>
    </row>
    <row r="64" spans="1:7">
      <c r="A64" s="1754">
        <v>38532</v>
      </c>
      <c r="B64" s="125" t="str">
        <f>TiposLancamentos!B95</f>
        <v>Salarios</v>
      </c>
      <c r="C64" s="1040" t="s">
        <v>4811</v>
      </c>
      <c r="D64" s="1736">
        <v>2331.7600000000002</v>
      </c>
      <c r="E64" s="1043"/>
      <c r="F64" s="1043"/>
      <c r="G64" s="1550"/>
    </row>
    <row r="65" spans="1:7">
      <c r="A65" s="1754">
        <v>38533</v>
      </c>
      <c r="B65" s="125" t="str">
        <f>TiposLancamentos!B2</f>
        <v>Telefonia</v>
      </c>
      <c r="C65" s="1040" t="s">
        <v>4845</v>
      </c>
      <c r="D65" s="1736"/>
      <c r="E65" s="1043">
        <v>141.22</v>
      </c>
      <c r="F65" s="1043"/>
      <c r="G65" s="1550"/>
    </row>
    <row r="66" spans="1:7">
      <c r="A66" s="1754">
        <v>38533</v>
      </c>
      <c r="B66" s="125" t="str">
        <f>TiposLancamentos!B3</f>
        <v>Internet</v>
      </c>
      <c r="C66" s="1040" t="s">
        <v>2784</v>
      </c>
      <c r="D66" s="1736"/>
      <c r="E66" s="1043">
        <v>59.9</v>
      </c>
      <c r="F66" s="1043"/>
      <c r="G66" s="1550"/>
    </row>
    <row r="67" spans="1:7">
      <c r="A67" s="1754">
        <v>38533</v>
      </c>
      <c r="B67" s="125" t="str">
        <f>TiposLancamentos!B2</f>
        <v>Telefonia</v>
      </c>
      <c r="C67" s="1040" t="s">
        <v>4846</v>
      </c>
      <c r="D67" s="1736"/>
      <c r="E67" s="1043">
        <v>78.8</v>
      </c>
      <c r="F67" s="1043"/>
      <c r="G67" s="1550"/>
    </row>
    <row r="68" spans="1:7">
      <c r="A68" s="1754">
        <v>38533</v>
      </c>
      <c r="B68" s="125" t="str">
        <f>TiposLancamentos!B9</f>
        <v>Condominio</v>
      </c>
      <c r="C68" s="1040" t="s">
        <v>4847</v>
      </c>
      <c r="D68" s="1736"/>
      <c r="E68" s="1043">
        <v>142.5</v>
      </c>
      <c r="F68" s="1043"/>
      <c r="G68" s="1550"/>
    </row>
    <row r="69" spans="1:7">
      <c r="A69" s="1754">
        <v>38533</v>
      </c>
      <c r="B69" s="125" t="str">
        <f>TiposLancamentos!B15</f>
        <v>Cartões de Crédito</v>
      </c>
      <c r="C69" s="1040" t="s">
        <v>4814</v>
      </c>
      <c r="D69" s="1736"/>
      <c r="E69" s="1043">
        <v>1177.1600000000001</v>
      </c>
      <c r="F69" s="1043"/>
      <c r="G69" s="1550"/>
    </row>
    <row r="70" spans="1:7" ht="14.25" thickBot="1">
      <c r="A70" s="1754">
        <v>38533</v>
      </c>
      <c r="B70" s="125" t="str">
        <f>TiposLancamentos!B15</f>
        <v>Cartões de Crédito</v>
      </c>
      <c r="C70" s="1040" t="s">
        <v>4815</v>
      </c>
      <c r="D70" s="1736"/>
      <c r="E70" s="1043">
        <v>184.8</v>
      </c>
      <c r="F70" s="1043"/>
      <c r="G70" s="1550"/>
    </row>
    <row r="71" spans="1:7">
      <c r="A71" s="1834"/>
      <c r="B71" s="977"/>
      <c r="C71" s="1854" t="s">
        <v>4848</v>
      </c>
      <c r="D71" s="1823"/>
      <c r="E71" s="1821"/>
      <c r="F71" s="1821"/>
      <c r="G71" s="1895"/>
    </row>
    <row r="72" spans="1:7">
      <c r="A72" s="1754">
        <v>38534</v>
      </c>
      <c r="B72" s="125" t="str">
        <f>TiposLancamentos!B78</f>
        <v>Diferenças</v>
      </c>
      <c r="C72" s="1040" t="s">
        <v>2488</v>
      </c>
      <c r="D72" s="1736">
        <v>0.01</v>
      </c>
      <c r="E72" s="1043"/>
      <c r="F72" s="1043"/>
      <c r="G72" s="1550"/>
    </row>
    <row r="73" spans="1:7">
      <c r="A73" s="1754">
        <v>38537</v>
      </c>
      <c r="B73" s="125" t="str">
        <f>TiposLancamentos!B20</f>
        <v>Saques</v>
      </c>
      <c r="C73" s="1040" t="s">
        <v>2668</v>
      </c>
      <c r="D73" s="1736"/>
      <c r="E73" s="1043">
        <v>30</v>
      </c>
      <c r="F73" s="1043"/>
      <c r="G73" s="1550"/>
    </row>
    <row r="74" spans="1:7">
      <c r="A74" s="1754">
        <v>38537</v>
      </c>
      <c r="B74" s="125" t="str">
        <f>TiposLancamentos!B4</f>
        <v>Taxas Bancarias</v>
      </c>
      <c r="C74" s="1040" t="s">
        <v>4849</v>
      </c>
      <c r="D74" s="1736"/>
      <c r="E74" s="1043">
        <v>7</v>
      </c>
      <c r="F74" s="1043"/>
      <c r="G74" s="1550"/>
    </row>
    <row r="75" spans="1:7">
      <c r="A75" s="1754">
        <v>38537</v>
      </c>
      <c r="B75" s="125" t="str">
        <f>TiposLancamentos!B4</f>
        <v>Taxas Bancarias</v>
      </c>
      <c r="C75" s="1040" t="s">
        <v>4850</v>
      </c>
      <c r="D75" s="1736"/>
      <c r="E75" s="1043">
        <v>1.2</v>
      </c>
      <c r="F75" s="1043"/>
      <c r="G75" s="1550"/>
    </row>
    <row r="76" spans="1:7">
      <c r="A76" s="1754">
        <v>38538</v>
      </c>
      <c r="B76" s="125" t="str">
        <f>TiposLancamentos!B82</f>
        <v>CG Titan 125</v>
      </c>
      <c r="C76" s="1040" t="s">
        <v>4851</v>
      </c>
      <c r="D76" s="1736"/>
      <c r="E76" s="1043">
        <v>12.01</v>
      </c>
      <c r="F76" s="1043"/>
      <c r="G76" s="1550"/>
    </row>
    <row r="77" spans="1:7">
      <c r="A77" s="1754">
        <v>38538</v>
      </c>
      <c r="B77" s="125" t="str">
        <f>TiposLancamentos!B19</f>
        <v>Restaurantes</v>
      </c>
      <c r="C77" s="1040" t="s">
        <v>4852</v>
      </c>
      <c r="D77" s="1736"/>
      <c r="E77" s="1043">
        <v>11.95</v>
      </c>
      <c r="F77" s="1043"/>
      <c r="G77" s="1550"/>
    </row>
    <row r="78" spans="1:7">
      <c r="A78" s="1754">
        <v>38539</v>
      </c>
      <c r="B78" s="125" t="str">
        <f>TiposLancamentos!B20</f>
        <v>Saques</v>
      </c>
      <c r="C78" s="1040" t="s">
        <v>2851</v>
      </c>
      <c r="D78" s="1736"/>
      <c r="E78" s="1043">
        <v>10</v>
      </c>
      <c r="F78" s="1043"/>
      <c r="G78" s="1550"/>
    </row>
    <row r="79" spans="1:7">
      <c r="A79" s="1754">
        <v>38541</v>
      </c>
      <c r="B79" s="125" t="str">
        <f>TiposLancamentos!B4</f>
        <v>Taxas Bancarias</v>
      </c>
      <c r="C79" s="1040" t="s">
        <v>4853</v>
      </c>
      <c r="D79" s="1736"/>
      <c r="E79" s="1043">
        <v>7.01</v>
      </c>
      <c r="F79" s="1043"/>
      <c r="G79" s="1550"/>
    </row>
    <row r="80" spans="1:7">
      <c r="A80" s="1754">
        <v>38544</v>
      </c>
      <c r="B80" s="125" t="str">
        <f>TiposLancamentos!B82</f>
        <v>CG Titan 125</v>
      </c>
      <c r="C80" s="1040" t="s">
        <v>4854</v>
      </c>
      <c r="D80" s="1736"/>
      <c r="E80" s="1043">
        <v>133.1</v>
      </c>
      <c r="F80" s="1043"/>
      <c r="G80" s="1550"/>
    </row>
    <row r="81" spans="1:7">
      <c r="A81" s="1754">
        <v>38545</v>
      </c>
      <c r="B81" s="125" t="str">
        <f>TiposLancamentos!B105</f>
        <v>Transf. Bco</v>
      </c>
      <c r="C81" s="1040" t="s">
        <v>4855</v>
      </c>
      <c r="D81" s="1736">
        <v>133.1</v>
      </c>
      <c r="E81" s="1043"/>
      <c r="F81" s="1043"/>
      <c r="G81" s="1550"/>
    </row>
    <row r="82" spans="1:7">
      <c r="A82" s="1754">
        <v>38547</v>
      </c>
      <c r="B82" s="125" t="str">
        <f>TiposLancamentos!B8</f>
        <v>Aluguel</v>
      </c>
      <c r="C82" s="1040" t="s">
        <v>1682</v>
      </c>
      <c r="D82" s="1736"/>
      <c r="E82" s="1043">
        <v>797.76</v>
      </c>
      <c r="F82" s="1043"/>
      <c r="G82" s="1550"/>
    </row>
    <row r="83" spans="1:7">
      <c r="A83" s="1754">
        <v>38548</v>
      </c>
      <c r="B83" s="125" t="str">
        <f>TiposLancamentos!B4</f>
        <v>Taxas Bancarias</v>
      </c>
      <c r="C83" s="1040" t="s">
        <v>4853</v>
      </c>
      <c r="D83" s="1736"/>
      <c r="E83" s="1043">
        <v>0.5</v>
      </c>
      <c r="F83" s="1043"/>
      <c r="G83" s="1550"/>
    </row>
    <row r="84" spans="1:7">
      <c r="A84" s="1754">
        <v>38552</v>
      </c>
      <c r="B84" s="125" t="str">
        <f>TiposLancamentos!B16</f>
        <v>Cristiane</v>
      </c>
      <c r="C84" s="1040" t="s">
        <v>4856</v>
      </c>
      <c r="D84" s="1736"/>
      <c r="E84" s="1043">
        <v>25</v>
      </c>
      <c r="F84" s="1043"/>
      <c r="G84" s="1550"/>
    </row>
    <row r="85" spans="1:7">
      <c r="A85" s="1754">
        <v>38555</v>
      </c>
      <c r="B85" s="125" t="str">
        <f>TiposLancamentos!B4</f>
        <v>Taxas Bancarias</v>
      </c>
      <c r="C85" s="1040" t="s">
        <v>4853</v>
      </c>
      <c r="D85" s="1736"/>
      <c r="E85" s="1043">
        <v>3.12</v>
      </c>
      <c r="F85" s="1043"/>
      <c r="G85" s="1550"/>
    </row>
    <row r="86" spans="1:7">
      <c r="A86" s="1754">
        <v>38556</v>
      </c>
      <c r="B86" s="125" t="str">
        <f>TiposLancamentos!B20</f>
        <v>Saques</v>
      </c>
      <c r="C86" s="1040" t="s">
        <v>2655</v>
      </c>
      <c r="D86" s="1736"/>
      <c r="E86" s="1043">
        <v>40</v>
      </c>
      <c r="F86" s="1043"/>
      <c r="G86" s="1550"/>
    </row>
    <row r="87" spans="1:7">
      <c r="A87" s="1754">
        <v>38562</v>
      </c>
      <c r="B87" s="125" t="str">
        <f>TiposLancamentos!B4</f>
        <v>Taxas Bancarias</v>
      </c>
      <c r="C87" s="1040" t="s">
        <v>4853</v>
      </c>
      <c r="D87" s="1736"/>
      <c r="E87" s="1043">
        <v>0.15</v>
      </c>
      <c r="F87" s="1043"/>
      <c r="G87" s="1550"/>
    </row>
    <row r="88" spans="1:7">
      <c r="A88" s="1754">
        <v>38562</v>
      </c>
      <c r="B88" s="125" t="str">
        <f>TiposLancamentos!B95</f>
        <v>Salarios</v>
      </c>
      <c r="C88" s="1040" t="s">
        <v>4811</v>
      </c>
      <c r="D88" s="1736">
        <v>2401.1799999999998</v>
      </c>
      <c r="E88" s="1043"/>
      <c r="F88" s="1043"/>
      <c r="G88" s="1550"/>
    </row>
    <row r="89" spans="1:7">
      <c r="A89" s="1754">
        <v>38562</v>
      </c>
      <c r="B89" s="125" t="str">
        <f>TiposLancamentos!B2</f>
        <v>Telefonia</v>
      </c>
      <c r="C89" s="1040" t="s">
        <v>4813</v>
      </c>
      <c r="D89" s="1736"/>
      <c r="E89" s="1043">
        <v>140.44</v>
      </c>
      <c r="F89" s="1043"/>
      <c r="G89" s="1550"/>
    </row>
    <row r="90" spans="1:7">
      <c r="A90" s="1754">
        <v>38562</v>
      </c>
      <c r="B90" s="125" t="str">
        <f>TiposLancamentos!B3</f>
        <v>Internet</v>
      </c>
      <c r="C90" s="1040" t="s">
        <v>2784</v>
      </c>
      <c r="D90" s="1736"/>
      <c r="E90" s="1043">
        <v>59.9</v>
      </c>
      <c r="F90" s="1043"/>
      <c r="G90" s="1550"/>
    </row>
    <row r="91" spans="1:7">
      <c r="A91" s="1754">
        <v>38562</v>
      </c>
      <c r="B91" s="125" t="str">
        <f>TiposLancamentos!B2</f>
        <v>Telefonia</v>
      </c>
      <c r="C91" s="1040" t="s">
        <v>4846</v>
      </c>
      <c r="D91" s="1736"/>
      <c r="E91" s="1043">
        <v>77.08</v>
      </c>
      <c r="F91" s="1043"/>
      <c r="G91" s="1550"/>
    </row>
    <row r="92" spans="1:7">
      <c r="A92" s="1754">
        <v>38562</v>
      </c>
      <c r="B92" s="125" t="str">
        <f>TiposLancamentos!B9</f>
        <v>Condominio</v>
      </c>
      <c r="C92" s="1040" t="s">
        <v>1684</v>
      </c>
      <c r="D92" s="1736"/>
      <c r="E92" s="1043">
        <v>142.5</v>
      </c>
      <c r="F92" s="1043"/>
      <c r="G92" s="1550"/>
    </row>
    <row r="93" spans="1:7">
      <c r="A93" s="1754">
        <v>38562</v>
      </c>
      <c r="B93" s="125" t="str">
        <f>TiposLancamentos!B20</f>
        <v>Saques</v>
      </c>
      <c r="C93" s="1040" t="s">
        <v>2668</v>
      </c>
      <c r="D93" s="1736"/>
      <c r="E93" s="1043">
        <v>10</v>
      </c>
      <c r="F93" s="1043"/>
      <c r="G93" s="1550"/>
    </row>
    <row r="94" spans="1:7">
      <c r="A94" s="1754">
        <v>38562</v>
      </c>
      <c r="B94" s="125" t="str">
        <f>TiposLancamentos!B15</f>
        <v>Cartões de Crédito</v>
      </c>
      <c r="C94" s="1040" t="s">
        <v>4814</v>
      </c>
      <c r="D94" s="1736"/>
      <c r="E94" s="1043">
        <v>1009.63</v>
      </c>
      <c r="F94" s="1043"/>
      <c r="G94" s="1550"/>
    </row>
    <row r="95" spans="1:7">
      <c r="A95" s="1754">
        <v>38562</v>
      </c>
      <c r="B95" s="125" t="str">
        <f>TiposLancamentos!B15</f>
        <v>Cartões de Crédito</v>
      </c>
      <c r="C95" s="1040" t="s">
        <v>4815</v>
      </c>
      <c r="D95" s="1736"/>
      <c r="E95" s="1043">
        <v>314.52999999999997</v>
      </c>
      <c r="F95" s="1043"/>
      <c r="G95" s="1550"/>
    </row>
    <row r="96" spans="1:7" ht="14.25" thickBot="1">
      <c r="A96" s="1754">
        <v>38562</v>
      </c>
      <c r="B96" s="125" t="str">
        <f>TiposLancamentos!B16</f>
        <v>Cristiane</v>
      </c>
      <c r="C96" s="1040" t="s">
        <v>4846</v>
      </c>
      <c r="D96" s="1736"/>
      <c r="E96" s="1043">
        <v>35</v>
      </c>
      <c r="F96" s="1043"/>
      <c r="G96" s="1550"/>
    </row>
    <row r="97" spans="1:7">
      <c r="A97" s="1834"/>
      <c r="B97" s="977"/>
      <c r="C97" s="1854" t="s">
        <v>4857</v>
      </c>
      <c r="D97" s="1823"/>
      <c r="E97" s="1821"/>
      <c r="F97" s="1821"/>
      <c r="G97" s="1895"/>
    </row>
    <row r="98" spans="1:7">
      <c r="A98" s="1754">
        <v>38565</v>
      </c>
      <c r="B98" s="125" t="str">
        <f>TiposLancamentos!B20</f>
        <v>Saques</v>
      </c>
      <c r="C98" s="1040" t="s">
        <v>2668</v>
      </c>
      <c r="D98" s="1736"/>
      <c r="E98" s="1043">
        <v>70</v>
      </c>
      <c r="F98" s="1043"/>
      <c r="G98" s="1550"/>
    </row>
    <row r="99" spans="1:7">
      <c r="A99" s="1754">
        <v>38565</v>
      </c>
      <c r="B99" s="125" t="str">
        <f>TiposLancamentos!B4</f>
        <v>Taxas Bancarias</v>
      </c>
      <c r="C99" s="1040" t="s">
        <v>4858</v>
      </c>
      <c r="D99" s="1736"/>
      <c r="E99" s="1043">
        <v>0.22</v>
      </c>
      <c r="F99" s="1043"/>
      <c r="G99" s="1550"/>
    </row>
    <row r="100" spans="1:7">
      <c r="A100" s="1754">
        <v>38565</v>
      </c>
      <c r="B100" s="125" t="str">
        <f>TiposLancamentos!B4</f>
        <v>Taxas Bancarias</v>
      </c>
      <c r="C100" s="1040" t="s">
        <v>4859</v>
      </c>
      <c r="D100" s="1736"/>
      <c r="E100" s="1043">
        <v>0.79</v>
      </c>
      <c r="F100" s="1043"/>
      <c r="G100" s="1550"/>
    </row>
    <row r="101" spans="1:7">
      <c r="A101" s="1754">
        <v>38566</v>
      </c>
      <c r="B101" s="125" t="str">
        <f>TiposLancamentos!B4</f>
        <v>Taxas Bancarias</v>
      </c>
      <c r="C101" s="1040" t="s">
        <v>4860</v>
      </c>
      <c r="D101" s="1736"/>
      <c r="E101" s="1043">
        <v>7</v>
      </c>
      <c r="F101" s="1043"/>
      <c r="G101" s="1550"/>
    </row>
    <row r="102" spans="1:7">
      <c r="A102" s="1754">
        <v>38566</v>
      </c>
      <c r="B102" s="125" t="str">
        <f>TiposLancamentos!B4</f>
        <v>Taxas Bancarias</v>
      </c>
      <c r="C102" s="1040" t="s">
        <v>4861</v>
      </c>
      <c r="D102" s="1736"/>
      <c r="E102" s="1043">
        <v>1.2</v>
      </c>
      <c r="F102" s="1043"/>
      <c r="G102" s="1550"/>
    </row>
    <row r="103" spans="1:7">
      <c r="A103" s="1754">
        <v>38567</v>
      </c>
      <c r="B103" s="125" t="str">
        <f>TiposLancamentos!B17</f>
        <v>GATO</v>
      </c>
      <c r="C103" s="1040" t="s">
        <v>4862</v>
      </c>
      <c r="D103" s="1736"/>
      <c r="E103" s="1043">
        <v>49</v>
      </c>
      <c r="F103" s="1043"/>
      <c r="G103" s="1550"/>
    </row>
    <row r="104" spans="1:7">
      <c r="A104" s="1754">
        <v>38567</v>
      </c>
      <c r="B104" s="125" t="str">
        <f>TiposLancamentos!B22</f>
        <v>Combustivel</v>
      </c>
      <c r="C104" s="1040" t="s">
        <v>2514</v>
      </c>
      <c r="D104" s="1736"/>
      <c r="E104" s="1043">
        <v>27</v>
      </c>
      <c r="F104" s="1043"/>
      <c r="G104" s="1550"/>
    </row>
    <row r="105" spans="1:7">
      <c r="A105" s="1754">
        <v>38568</v>
      </c>
      <c r="B105" s="125" t="str">
        <f>TiposLancamentos!B20</f>
        <v>Saques</v>
      </c>
      <c r="C105" s="1040" t="s">
        <v>2668</v>
      </c>
      <c r="D105" s="1736"/>
      <c r="E105" s="1043">
        <v>40</v>
      </c>
      <c r="F105" s="1043"/>
      <c r="G105" s="1550"/>
    </row>
    <row r="106" spans="1:7">
      <c r="A106" s="1754">
        <v>38569</v>
      </c>
      <c r="B106" s="125" t="str">
        <f>TiposLancamentos!B4</f>
        <v>Taxas Bancarias</v>
      </c>
      <c r="C106" s="1040" t="s">
        <v>4853</v>
      </c>
      <c r="D106" s="1736"/>
      <c r="E106" s="1043">
        <v>8.57</v>
      </c>
      <c r="F106" s="1043"/>
      <c r="G106" s="1550"/>
    </row>
    <row r="107" spans="1:7">
      <c r="A107" s="1754">
        <v>38572</v>
      </c>
      <c r="B107" s="125" t="str">
        <f>TiposLancamentos!B57</f>
        <v>Informática</v>
      </c>
      <c r="C107" s="1040" t="s">
        <v>4863</v>
      </c>
      <c r="D107" s="1736"/>
      <c r="E107" s="1043">
        <v>7.93</v>
      </c>
      <c r="F107" s="1043"/>
      <c r="G107" s="1550"/>
    </row>
    <row r="108" spans="1:7">
      <c r="A108" s="1754">
        <v>38574</v>
      </c>
      <c r="B108" s="125" t="str">
        <f>TiposLancamentos!B4</f>
        <v>Taxas Bancarias</v>
      </c>
      <c r="C108" s="1040" t="s">
        <v>4864</v>
      </c>
      <c r="D108" s="1736"/>
      <c r="E108" s="1043">
        <v>14.63</v>
      </c>
      <c r="F108" s="1043"/>
      <c r="G108" s="1550"/>
    </row>
    <row r="109" spans="1:7">
      <c r="A109" s="1754">
        <v>38576</v>
      </c>
      <c r="B109" s="125" t="str">
        <f>TiposLancamentos!B4</f>
        <v>Taxas Bancarias</v>
      </c>
      <c r="C109" s="1040" t="s">
        <v>4853</v>
      </c>
      <c r="D109" s="1736"/>
      <c r="E109" s="1043">
        <v>0.51</v>
      </c>
      <c r="F109" s="1043"/>
      <c r="G109" s="1550"/>
    </row>
    <row r="110" spans="1:7">
      <c r="A110" s="1754">
        <v>38576</v>
      </c>
      <c r="B110" s="125" t="str">
        <f>TiposLancamentos!B4</f>
        <v>Taxas Bancarias</v>
      </c>
      <c r="C110" s="1040" t="s">
        <v>4865</v>
      </c>
      <c r="D110" s="1736"/>
      <c r="E110" s="1043">
        <v>4</v>
      </c>
      <c r="F110" s="1043"/>
      <c r="G110" s="1550"/>
    </row>
    <row r="111" spans="1:7">
      <c r="A111" s="1754">
        <v>38579</v>
      </c>
      <c r="B111" s="125" t="str">
        <f>TiposLancamentos!B8</f>
        <v>Aluguel</v>
      </c>
      <c r="C111" s="1040" t="s">
        <v>2504</v>
      </c>
      <c r="D111" s="1736"/>
      <c r="E111" s="1043">
        <v>733.5</v>
      </c>
      <c r="F111" s="1043"/>
      <c r="G111" s="1550"/>
    </row>
    <row r="112" spans="1:7">
      <c r="A112" s="1754">
        <v>38583</v>
      </c>
      <c r="B112" s="125" t="str">
        <f>TiposLancamentos!B4</f>
        <v>Taxas Bancarias</v>
      </c>
      <c r="C112" s="1040" t="s">
        <v>4853</v>
      </c>
      <c r="D112" s="1736"/>
      <c r="E112" s="1043">
        <v>2.79</v>
      </c>
      <c r="F112" s="1043"/>
      <c r="G112" s="1550"/>
    </row>
    <row r="113" spans="1:7">
      <c r="A113" s="1754">
        <v>38586</v>
      </c>
      <c r="B113" s="125" t="str">
        <f>TiposLancamentos!B6</f>
        <v>Energia Eletrica</v>
      </c>
      <c r="C113" s="1040" t="s">
        <v>4866</v>
      </c>
      <c r="D113" s="1736"/>
      <c r="E113" s="1043">
        <v>54.67</v>
      </c>
      <c r="F113" s="1043"/>
      <c r="G113" s="1550"/>
    </row>
    <row r="114" spans="1:7">
      <c r="A114" s="1754">
        <v>38586</v>
      </c>
      <c r="B114" s="125" t="str">
        <f>TiposLancamentos!B20</f>
        <v>Saques</v>
      </c>
      <c r="C114" s="1040" t="s">
        <v>2668</v>
      </c>
      <c r="D114" s="1736"/>
      <c r="E114" s="1043">
        <v>20</v>
      </c>
      <c r="F114" s="1043"/>
      <c r="G114" s="1550"/>
    </row>
    <row r="115" spans="1:7">
      <c r="A115" s="1754">
        <v>38590</v>
      </c>
      <c r="B115" s="125" t="str">
        <f>TiposLancamentos!B4</f>
        <v>Taxas Bancarias</v>
      </c>
      <c r="C115" s="1040" t="s">
        <v>4853</v>
      </c>
      <c r="D115" s="1736"/>
      <c r="E115" s="1043">
        <v>0.27</v>
      </c>
      <c r="F115" s="1043"/>
      <c r="G115" s="1550"/>
    </row>
    <row r="116" spans="1:7">
      <c r="A116" s="1754">
        <v>38592</v>
      </c>
      <c r="B116" s="125" t="str">
        <f>TiposLancamentos!B20</f>
        <v>Saques</v>
      </c>
      <c r="C116" s="1040" t="s">
        <v>2668</v>
      </c>
      <c r="D116" s="1736"/>
      <c r="E116" s="1043">
        <v>10</v>
      </c>
      <c r="F116" s="1043"/>
      <c r="G116" s="1550"/>
    </row>
    <row r="117" spans="1:7">
      <c r="A117" s="1754">
        <v>38595</v>
      </c>
      <c r="B117" s="125" t="str">
        <f>TiposLancamentos!B95</f>
        <v>Salarios</v>
      </c>
      <c r="C117" s="1040" t="s">
        <v>4811</v>
      </c>
      <c r="D117" s="1736">
        <v>2631.8</v>
      </c>
      <c r="E117" s="1043"/>
      <c r="F117" s="1043"/>
      <c r="G117" s="1550"/>
    </row>
    <row r="118" spans="1:7">
      <c r="A118" s="1754">
        <v>38595</v>
      </c>
      <c r="B118" s="125" t="str">
        <f>TiposLancamentos!B2</f>
        <v>Telefonia</v>
      </c>
      <c r="C118" s="1040" t="s">
        <v>4813</v>
      </c>
      <c r="D118" s="1736"/>
      <c r="E118" s="1043">
        <v>125.76</v>
      </c>
      <c r="F118" s="1043"/>
      <c r="G118" s="1550"/>
    </row>
    <row r="119" spans="1:7">
      <c r="A119" s="1754">
        <v>38595</v>
      </c>
      <c r="B119" s="125" t="str">
        <f>TiposLancamentos!B2</f>
        <v>Telefonia</v>
      </c>
      <c r="C119" s="1040" t="s">
        <v>4846</v>
      </c>
      <c r="D119" s="1736"/>
      <c r="E119" s="1043">
        <v>75.39</v>
      </c>
      <c r="F119" s="1043"/>
      <c r="G119" s="1550"/>
    </row>
    <row r="120" spans="1:7">
      <c r="A120" s="1754">
        <v>38595</v>
      </c>
      <c r="B120" s="125" t="str">
        <f>TiposLancamentos!B3</f>
        <v>Internet</v>
      </c>
      <c r="C120" s="1040" t="s">
        <v>2784</v>
      </c>
      <c r="D120" s="1736"/>
      <c r="E120" s="1043">
        <v>59.9</v>
      </c>
      <c r="F120" s="1043"/>
      <c r="G120" s="1550"/>
    </row>
    <row r="121" spans="1:7">
      <c r="A121" s="1754">
        <v>38595</v>
      </c>
      <c r="B121" s="125" t="str">
        <f>TiposLancamentos!B15</f>
        <v>Cartões de Crédito</v>
      </c>
      <c r="C121" s="1040" t="s">
        <v>4814</v>
      </c>
      <c r="D121" s="1736"/>
      <c r="E121" s="1043">
        <v>919.19</v>
      </c>
      <c r="F121" s="1043"/>
      <c r="G121" s="1550"/>
    </row>
    <row r="122" spans="1:7">
      <c r="A122" s="1754">
        <v>38595</v>
      </c>
      <c r="B122" s="125" t="str">
        <f>TiposLancamentos!B15</f>
        <v>Cartões de Crédito</v>
      </c>
      <c r="C122" s="1040" t="s">
        <v>4815</v>
      </c>
      <c r="D122" s="1736"/>
      <c r="E122" s="1043">
        <v>464.31</v>
      </c>
      <c r="F122" s="1043"/>
      <c r="G122" s="1550"/>
    </row>
    <row r="123" spans="1:7">
      <c r="A123" s="1754">
        <v>38595</v>
      </c>
      <c r="B123" s="125" t="str">
        <f>TiposLancamentos!B9</f>
        <v>Condominio</v>
      </c>
      <c r="C123" s="1040" t="s">
        <v>1684</v>
      </c>
      <c r="D123" s="1736"/>
      <c r="E123" s="1043">
        <v>142.5</v>
      </c>
      <c r="F123" s="1043"/>
      <c r="G123" s="1550"/>
    </row>
    <row r="124" spans="1:7">
      <c r="A124" s="1754">
        <v>38595</v>
      </c>
      <c r="B124" s="125" t="str">
        <f>TiposLancamentos!B17</f>
        <v>GATO</v>
      </c>
      <c r="C124" s="1040" t="s">
        <v>4867</v>
      </c>
      <c r="D124" s="1736"/>
      <c r="E124" s="1043">
        <v>64</v>
      </c>
      <c r="F124" s="1043"/>
      <c r="G124" s="1550"/>
    </row>
    <row r="125" spans="1:7" ht="14.25" thickBot="1">
      <c r="A125" s="1754">
        <v>38595</v>
      </c>
      <c r="B125" s="125" t="str">
        <f>TiposLancamentos!B20</f>
        <v>Saques</v>
      </c>
      <c r="C125" s="1040" t="s">
        <v>2668</v>
      </c>
      <c r="D125" s="1736"/>
      <c r="E125" s="1043">
        <v>20</v>
      </c>
      <c r="F125" s="1043"/>
      <c r="G125" s="1550"/>
    </row>
    <row r="126" spans="1:7">
      <c r="A126" s="1834"/>
      <c r="B126" s="977"/>
      <c r="C126" s="1854" t="s">
        <v>4868</v>
      </c>
      <c r="D126" s="1823"/>
      <c r="E126" s="1821"/>
      <c r="F126" s="1821"/>
      <c r="G126" s="1895"/>
    </row>
    <row r="127" spans="1:7">
      <c r="A127" s="1754">
        <v>38596</v>
      </c>
      <c r="B127" s="125" t="str">
        <f>TiposLancamentos!B4</f>
        <v>Taxas Bancarias</v>
      </c>
      <c r="C127" s="1040" t="s">
        <v>4858</v>
      </c>
      <c r="D127" s="1736"/>
      <c r="E127" s="1043">
        <v>0.52</v>
      </c>
      <c r="F127" s="1043"/>
      <c r="G127" s="1550"/>
    </row>
    <row r="128" spans="1:7">
      <c r="A128" s="1754">
        <v>38596</v>
      </c>
      <c r="B128" s="125" t="str">
        <f>TiposLancamentos!B4</f>
        <v>Taxas Bancarias</v>
      </c>
      <c r="C128" s="1040" t="s">
        <v>4859</v>
      </c>
      <c r="D128" s="1736"/>
      <c r="E128" s="1043">
        <v>1.77</v>
      </c>
      <c r="F128" s="1043"/>
      <c r="G128" s="1550"/>
    </row>
    <row r="129" spans="1:7">
      <c r="A129" s="1754">
        <v>38597</v>
      </c>
      <c r="B129" s="125" t="str">
        <f>TiposLancamentos!B20</f>
        <v>Saques</v>
      </c>
      <c r="C129" s="1040" t="s">
        <v>3146</v>
      </c>
      <c r="D129" s="1736"/>
      <c r="E129" s="1043">
        <v>10</v>
      </c>
      <c r="F129" s="1043"/>
      <c r="G129" s="1550"/>
    </row>
    <row r="130" spans="1:7">
      <c r="A130" s="1754">
        <v>38597</v>
      </c>
      <c r="B130" s="125" t="str">
        <f>TiposLancamentos!B4</f>
        <v>Taxas Bancarias</v>
      </c>
      <c r="C130" s="1040" t="s">
        <v>4853</v>
      </c>
      <c r="D130" s="1736"/>
      <c r="E130" s="1043">
        <v>6.87</v>
      </c>
      <c r="F130" s="1043"/>
      <c r="G130" s="1550"/>
    </row>
    <row r="131" spans="1:7">
      <c r="A131" s="1754">
        <v>38597</v>
      </c>
      <c r="B131" s="125" t="str">
        <f>TiposLancamentos!B4</f>
        <v>Taxas Bancarias</v>
      </c>
      <c r="C131" s="1040" t="s">
        <v>4869</v>
      </c>
      <c r="D131" s="1736"/>
      <c r="E131" s="1043">
        <v>7</v>
      </c>
      <c r="F131" s="1043"/>
      <c r="G131" s="1550"/>
    </row>
    <row r="132" spans="1:7">
      <c r="A132" s="1754">
        <v>38604</v>
      </c>
      <c r="B132" s="125" t="str">
        <f>TiposLancamentos!B4</f>
        <v>Taxas Bancarias</v>
      </c>
      <c r="C132" s="1040" t="s">
        <v>4853</v>
      </c>
      <c r="D132" s="1736"/>
      <c r="E132" s="1043">
        <v>3.42</v>
      </c>
      <c r="F132" s="1043"/>
      <c r="G132" s="1550"/>
    </row>
    <row r="133" spans="1:7">
      <c r="A133" s="1754">
        <v>38607</v>
      </c>
      <c r="B133" s="125" t="str">
        <f>TiposLancamentos!B4</f>
        <v>Taxas Bancarias</v>
      </c>
      <c r="C133" s="1040" t="s">
        <v>4865</v>
      </c>
      <c r="D133" s="1736"/>
      <c r="E133" s="1043">
        <v>38.130000000000003</v>
      </c>
      <c r="F133" s="1043"/>
      <c r="G133" s="1550"/>
    </row>
    <row r="134" spans="1:7">
      <c r="A134" s="1754">
        <v>38609</v>
      </c>
      <c r="B134" s="125" t="str">
        <f>TiposLancamentos!B4</f>
        <v>Taxas Bancarias</v>
      </c>
      <c r="C134" s="1040" t="s">
        <v>4870</v>
      </c>
      <c r="D134" s="1736"/>
      <c r="E134" s="1043">
        <v>4</v>
      </c>
      <c r="F134" s="1043"/>
      <c r="G134" s="1550"/>
    </row>
    <row r="135" spans="1:7">
      <c r="A135" s="1754">
        <v>38610</v>
      </c>
      <c r="B135" s="125" t="str">
        <f>TiposLancamentos!B15</f>
        <v>Cartões de Crédito</v>
      </c>
      <c r="C135" s="1040" t="s">
        <v>4871</v>
      </c>
      <c r="D135" s="1736"/>
      <c r="E135" s="1043">
        <v>42</v>
      </c>
      <c r="F135" s="1043"/>
      <c r="G135" s="1550"/>
    </row>
    <row r="136" spans="1:7">
      <c r="A136" s="1754">
        <v>38611</v>
      </c>
      <c r="B136" s="125" t="str">
        <f>TiposLancamentos!B4</f>
        <v>Taxas Bancarias</v>
      </c>
      <c r="C136" s="1040" t="s">
        <v>4853</v>
      </c>
      <c r="D136" s="1736"/>
      <c r="E136" s="1043">
        <v>0.15</v>
      </c>
      <c r="F136" s="1043"/>
      <c r="G136" s="1550"/>
    </row>
    <row r="137" spans="1:7">
      <c r="A137" s="1754">
        <v>38615</v>
      </c>
      <c r="B137" s="125" t="str">
        <f>TiposLancamentos!B6</f>
        <v>Energia Eletrica</v>
      </c>
      <c r="C137" s="1040" t="s">
        <v>4831</v>
      </c>
      <c r="D137" s="1736"/>
      <c r="E137" s="1043">
        <v>56.8</v>
      </c>
      <c r="F137" s="1043"/>
      <c r="G137" s="1550"/>
    </row>
    <row r="138" spans="1:7">
      <c r="A138" s="1754">
        <v>38618</v>
      </c>
      <c r="B138" s="125" t="str">
        <f>TiposLancamentos!B4</f>
        <v>Taxas Bancarias</v>
      </c>
      <c r="C138" s="1040" t="s">
        <v>4822</v>
      </c>
      <c r="D138" s="1736"/>
      <c r="E138" s="1043">
        <v>0.36</v>
      </c>
      <c r="F138" s="1043"/>
      <c r="G138" s="1550"/>
    </row>
    <row r="139" spans="1:7">
      <c r="A139" s="1754">
        <v>38618</v>
      </c>
      <c r="B139" s="125" t="str">
        <f>TiposLancamentos!B20</f>
        <v>Saques</v>
      </c>
      <c r="C139" s="1040" t="s">
        <v>3146</v>
      </c>
      <c r="D139" s="1736"/>
      <c r="E139" s="1043">
        <v>20</v>
      </c>
      <c r="F139" s="1043"/>
      <c r="G139" s="1550"/>
    </row>
    <row r="140" spans="1:7">
      <c r="A140" s="1754">
        <v>38625</v>
      </c>
      <c r="B140" s="125" t="str">
        <f>TiposLancamentos!B4</f>
        <v>Taxas Bancarias</v>
      </c>
      <c r="C140" s="1040" t="s">
        <v>4822</v>
      </c>
      <c r="D140" s="1736"/>
      <c r="E140" s="1043">
        <v>7.0000000000000007E-2</v>
      </c>
      <c r="F140" s="1043"/>
      <c r="G140" s="1550"/>
    </row>
    <row r="141" spans="1:7">
      <c r="A141" s="1754">
        <v>38625</v>
      </c>
      <c r="B141" s="125" t="str">
        <f>TiposLancamentos!B95</f>
        <v>Salarios</v>
      </c>
      <c r="C141" s="1040" t="s">
        <v>4811</v>
      </c>
      <c r="D141" s="1736">
        <v>2523.17</v>
      </c>
      <c r="E141" s="1043"/>
      <c r="F141" s="1043"/>
      <c r="G141" s="1550"/>
    </row>
    <row r="142" spans="1:7">
      <c r="A142" s="1754">
        <v>38625</v>
      </c>
      <c r="B142" s="125" t="str">
        <f>TiposLancamentos!B2</f>
        <v>Telefonia</v>
      </c>
      <c r="C142" s="1040" t="s">
        <v>4872</v>
      </c>
      <c r="D142" s="1736"/>
      <c r="E142" s="1043">
        <v>124.01</v>
      </c>
      <c r="F142" s="1043"/>
      <c r="G142" s="1550"/>
    </row>
    <row r="143" spans="1:7">
      <c r="A143" s="1754">
        <v>38625</v>
      </c>
      <c r="B143" s="125" t="str">
        <f>TiposLancamentos!B3</f>
        <v>Internet</v>
      </c>
      <c r="C143" s="1040" t="s">
        <v>2784</v>
      </c>
      <c r="D143" s="1736"/>
      <c r="E143" s="1043">
        <v>59.9</v>
      </c>
      <c r="F143" s="1043"/>
      <c r="G143" s="1550"/>
    </row>
    <row r="144" spans="1:7">
      <c r="A144" s="1754">
        <v>38625</v>
      </c>
      <c r="B144" s="125" t="str">
        <f>TiposLancamentos!B2</f>
        <v>Telefonia</v>
      </c>
      <c r="C144" s="1040" t="s">
        <v>4873</v>
      </c>
      <c r="D144" s="1736"/>
      <c r="E144" s="1043">
        <v>75.319999999999993</v>
      </c>
      <c r="F144" s="1043"/>
      <c r="G144" s="1550"/>
    </row>
    <row r="145" spans="1:7">
      <c r="A145" s="1754">
        <v>38625</v>
      </c>
      <c r="B145" s="125" t="str">
        <f>TiposLancamentos!B9</f>
        <v>Condominio</v>
      </c>
      <c r="C145" s="1040" t="s">
        <v>1684</v>
      </c>
      <c r="D145" s="1736"/>
      <c r="E145" s="1043">
        <v>142.5</v>
      </c>
      <c r="F145" s="1043"/>
      <c r="G145" s="1550"/>
    </row>
    <row r="146" spans="1:7" ht="14.25" thickBot="1">
      <c r="A146" s="1754">
        <v>38625</v>
      </c>
      <c r="B146" s="125" t="str">
        <f>TiposLancamentos!B15</f>
        <v>Cartões de Crédito</v>
      </c>
      <c r="C146" s="1040" t="s">
        <v>4814</v>
      </c>
      <c r="D146" s="1736"/>
      <c r="E146" s="1043">
        <v>424.25</v>
      </c>
      <c r="F146" s="1043"/>
      <c r="G146" s="1550"/>
    </row>
    <row r="147" spans="1:7">
      <c r="A147" s="1834"/>
      <c r="B147" s="977"/>
      <c r="C147" s="1854" t="s">
        <v>4874</v>
      </c>
      <c r="D147" s="1823"/>
      <c r="E147" s="1821"/>
      <c r="F147" s="1821"/>
      <c r="G147" s="1895"/>
    </row>
    <row r="148" spans="1:7">
      <c r="A148" s="1754">
        <v>38626</v>
      </c>
      <c r="B148" s="125" t="str">
        <f>TiposLancamentos!B20</f>
        <v>Saques</v>
      </c>
      <c r="C148" s="1040" t="s">
        <v>2668</v>
      </c>
      <c r="D148" s="1736"/>
      <c r="E148" s="1043">
        <v>30</v>
      </c>
      <c r="F148" s="1043"/>
      <c r="G148" s="1550"/>
    </row>
    <row r="149" spans="1:7">
      <c r="A149" s="1754">
        <v>38628</v>
      </c>
      <c r="B149" s="125" t="str">
        <f>TiposLancamentos!B15</f>
        <v>Cartões de Crédito</v>
      </c>
      <c r="C149" s="1040" t="s">
        <v>4815</v>
      </c>
      <c r="D149" s="1736"/>
      <c r="E149" s="1043">
        <v>1037.44</v>
      </c>
      <c r="F149" s="1043"/>
      <c r="G149" s="1550"/>
    </row>
    <row r="150" spans="1:7">
      <c r="A150" s="1754">
        <v>38628</v>
      </c>
      <c r="B150" s="125" t="str">
        <f>TiposLancamentos!B2</f>
        <v>Telefonia</v>
      </c>
      <c r="C150" s="1040" t="s">
        <v>4813</v>
      </c>
      <c r="D150" s="1736"/>
      <c r="E150" s="1043">
        <v>102.76</v>
      </c>
      <c r="F150" s="1043"/>
      <c r="G150" s="1550"/>
    </row>
    <row r="151" spans="1:7">
      <c r="A151" s="1754">
        <v>38628</v>
      </c>
      <c r="B151" s="125" t="str">
        <f>TiposLancamentos!B4</f>
        <v>Taxas Bancarias</v>
      </c>
      <c r="C151" s="1040" t="s">
        <v>4858</v>
      </c>
      <c r="D151" s="1736"/>
      <c r="E151" s="1043">
        <v>0.2</v>
      </c>
      <c r="F151" s="1043"/>
      <c r="G151" s="1550"/>
    </row>
    <row r="152" spans="1:7">
      <c r="A152" s="1754">
        <v>38629</v>
      </c>
      <c r="B152" s="125" t="str">
        <f>TiposLancamentos!B4</f>
        <v>Taxas Bancarias</v>
      </c>
      <c r="C152" s="1040" t="s">
        <v>4875</v>
      </c>
      <c r="D152" s="1736"/>
      <c r="E152" s="1043">
        <v>7</v>
      </c>
      <c r="F152" s="1043"/>
      <c r="G152" s="1550"/>
    </row>
    <row r="153" spans="1:7">
      <c r="A153" s="1754">
        <v>38632</v>
      </c>
      <c r="B153" s="125" t="str">
        <f>TiposLancamentos!B4</f>
        <v>Taxas Bancarias</v>
      </c>
      <c r="C153" s="1040" t="s">
        <v>4876</v>
      </c>
      <c r="D153" s="1736"/>
      <c r="E153" s="1043">
        <v>8.61</v>
      </c>
      <c r="F153" s="1043"/>
      <c r="G153" s="1550"/>
    </row>
    <row r="154" spans="1:7">
      <c r="A154" s="1754">
        <v>38633</v>
      </c>
      <c r="B154" s="125" t="str">
        <f>TiposLancamentos!B16</f>
        <v>Cristiane</v>
      </c>
      <c r="C154" s="1040" t="s">
        <v>4877</v>
      </c>
      <c r="D154" s="1736"/>
      <c r="E154" s="1043">
        <v>1.17</v>
      </c>
      <c r="F154" s="1043"/>
      <c r="G154" s="1550"/>
    </row>
    <row r="155" spans="1:7">
      <c r="A155" s="1754">
        <v>38633</v>
      </c>
      <c r="B155" s="125" t="str">
        <f>TiposLancamentos!B17</f>
        <v>GATO</v>
      </c>
      <c r="C155" s="1040" t="s">
        <v>4878</v>
      </c>
      <c r="D155" s="1736"/>
      <c r="E155" s="1043">
        <v>6</v>
      </c>
      <c r="F155" s="1043"/>
      <c r="G155" s="1550"/>
    </row>
    <row r="156" spans="1:7">
      <c r="A156" s="1754">
        <v>38635</v>
      </c>
      <c r="B156" s="125" t="str">
        <f>TiposLancamentos!B20</f>
        <v>Saques</v>
      </c>
      <c r="C156" s="1040" t="s">
        <v>2668</v>
      </c>
      <c r="D156" s="1736"/>
      <c r="E156" s="1043">
        <v>10</v>
      </c>
      <c r="F156" s="1043"/>
      <c r="G156" s="1550"/>
    </row>
    <row r="157" spans="1:7">
      <c r="A157" s="1754">
        <v>38635</v>
      </c>
      <c r="B157" s="125" t="str">
        <f>TiposLancamentos!B4</f>
        <v>Taxas Bancarias</v>
      </c>
      <c r="C157" s="1040" t="s">
        <v>4879</v>
      </c>
      <c r="D157" s="1736"/>
      <c r="E157" s="1043">
        <v>13.19</v>
      </c>
      <c r="F157" s="1043"/>
      <c r="G157" s="1550"/>
    </row>
    <row r="158" spans="1:7">
      <c r="A158" s="1754">
        <v>38636</v>
      </c>
      <c r="B158" s="125" t="str">
        <f>TiposLancamentos!B82</f>
        <v>CG Titan 125</v>
      </c>
      <c r="C158" s="1040" t="s">
        <v>4880</v>
      </c>
      <c r="D158" s="1736"/>
      <c r="E158" s="1043">
        <v>133.1</v>
      </c>
      <c r="F158" s="1043"/>
      <c r="G158" s="1550"/>
    </row>
    <row r="159" spans="1:7">
      <c r="A159" s="1754">
        <v>38636</v>
      </c>
      <c r="B159" s="125" t="str">
        <f>TiposLancamentos!B16</f>
        <v>Cristiane</v>
      </c>
      <c r="C159" s="1040" t="s">
        <v>4881</v>
      </c>
      <c r="D159" s="1736"/>
      <c r="E159" s="1043">
        <v>39</v>
      </c>
      <c r="F159" s="1043"/>
      <c r="G159" s="1550"/>
    </row>
    <row r="160" spans="1:7">
      <c r="A160" s="1754">
        <v>38636</v>
      </c>
      <c r="B160" s="125" t="str">
        <f>TiposLancamentos!B16</f>
        <v>Cristiane</v>
      </c>
      <c r="C160" s="1040" t="s">
        <v>4882</v>
      </c>
      <c r="D160" s="1736"/>
      <c r="E160" s="1043">
        <v>35</v>
      </c>
      <c r="F160" s="1043"/>
      <c r="G160" s="1550"/>
    </row>
    <row r="161" spans="1:7">
      <c r="A161" s="1754">
        <v>38638</v>
      </c>
      <c r="B161" s="125" t="str">
        <f>TiposLancamentos!B4</f>
        <v>Taxas Bancarias</v>
      </c>
      <c r="C161" s="1040" t="s">
        <v>4883</v>
      </c>
      <c r="D161" s="1736"/>
      <c r="E161" s="1043">
        <v>4</v>
      </c>
      <c r="F161" s="1043"/>
      <c r="G161" s="1550"/>
    </row>
    <row r="162" spans="1:7">
      <c r="A162" s="1754">
        <v>38639</v>
      </c>
      <c r="B162" s="125" t="str">
        <f>TiposLancamentos!B4</f>
        <v>Taxas Bancarias</v>
      </c>
      <c r="C162" s="1040" t="s">
        <v>4853</v>
      </c>
      <c r="D162" s="1736"/>
      <c r="E162" s="1043">
        <v>0.73</v>
      </c>
      <c r="F162" s="1043"/>
      <c r="G162" s="1550"/>
    </row>
    <row r="163" spans="1:7">
      <c r="A163" s="1754">
        <v>38639</v>
      </c>
      <c r="B163" s="125" t="str">
        <f>TiposLancamentos!B8</f>
        <v>Aluguel</v>
      </c>
      <c r="C163" s="1040" t="s">
        <v>1682</v>
      </c>
      <c r="D163" s="1736"/>
      <c r="E163" s="1043">
        <v>733.5</v>
      </c>
      <c r="F163" s="1043"/>
      <c r="G163" s="1550"/>
    </row>
    <row r="164" spans="1:7">
      <c r="A164" s="1754">
        <v>38640</v>
      </c>
      <c r="B164" s="125" t="str">
        <f>TiposLancamentos!B90</f>
        <v>Locadora</v>
      </c>
      <c r="C164" s="1040" t="s">
        <v>1841</v>
      </c>
      <c r="D164" s="1736"/>
      <c r="E164" s="1043">
        <v>15</v>
      </c>
      <c r="F164" s="1043"/>
      <c r="G164" s="1550"/>
    </row>
    <row r="165" spans="1:7">
      <c r="A165" s="1754">
        <v>38644</v>
      </c>
      <c r="B165" s="125" t="str">
        <f>TiposLancamentos!B6</f>
        <v>Energia Eletrica</v>
      </c>
      <c r="C165" s="1040" t="s">
        <v>4884</v>
      </c>
      <c r="D165" s="1736"/>
      <c r="E165" s="1043">
        <v>63.07</v>
      </c>
      <c r="F165" s="1043"/>
      <c r="G165" s="1550"/>
    </row>
    <row r="166" spans="1:7">
      <c r="A166" s="1754">
        <v>38646</v>
      </c>
      <c r="B166" s="125" t="str">
        <f>TiposLancamentos!B4</f>
        <v>Taxas Bancarias</v>
      </c>
      <c r="C166" s="1040" t="s">
        <v>4876</v>
      </c>
      <c r="D166" s="1736"/>
      <c r="E166" s="1043">
        <v>3.21</v>
      </c>
      <c r="F166" s="1043"/>
      <c r="G166" s="1550"/>
    </row>
    <row r="167" spans="1:7">
      <c r="A167" s="1754">
        <v>38655</v>
      </c>
      <c r="B167" s="125" t="str">
        <f>TiposLancamentos!B20</f>
        <v>Saques</v>
      </c>
      <c r="C167" s="1040" t="s">
        <v>2668</v>
      </c>
      <c r="D167" s="1736"/>
      <c r="E167" s="1043">
        <v>20</v>
      </c>
      <c r="F167" s="1043"/>
      <c r="G167" s="1550"/>
    </row>
    <row r="168" spans="1:7">
      <c r="A168" s="1754">
        <v>38655</v>
      </c>
      <c r="B168" s="125" t="str">
        <f>TiposLancamentos!B95</f>
        <v>Salarios</v>
      </c>
      <c r="C168" s="1040" t="s">
        <v>4811</v>
      </c>
      <c r="D168" s="1736">
        <v>2526.52</v>
      </c>
      <c r="E168" s="1043"/>
      <c r="F168" s="1043"/>
      <c r="G168" s="1550"/>
    </row>
    <row r="169" spans="1:7">
      <c r="A169" s="1754">
        <v>38655</v>
      </c>
      <c r="B169" s="125" t="str">
        <f>TiposLancamentos!B59</f>
        <v>Documentos</v>
      </c>
      <c r="C169" s="1040" t="s">
        <v>4885</v>
      </c>
      <c r="D169" s="1736"/>
      <c r="E169" s="1043">
        <v>125.91</v>
      </c>
      <c r="F169" s="1043"/>
      <c r="G169" s="1550"/>
    </row>
    <row r="170" spans="1:7">
      <c r="A170" s="1754">
        <v>38655</v>
      </c>
      <c r="B170" s="125" t="str">
        <f>TiposLancamentos!B19</f>
        <v>Restaurantes</v>
      </c>
      <c r="C170" s="1040" t="s">
        <v>4886</v>
      </c>
      <c r="D170" s="1736"/>
      <c r="E170" s="1043">
        <v>18.7</v>
      </c>
      <c r="F170" s="1043"/>
      <c r="G170" s="1550"/>
    </row>
    <row r="171" spans="1:7">
      <c r="A171" s="1754">
        <v>38656</v>
      </c>
      <c r="B171" s="125" t="str">
        <f>TiposLancamentos!B9</f>
        <v>Condominio</v>
      </c>
      <c r="C171" s="1040" t="s">
        <v>1684</v>
      </c>
      <c r="D171" s="1736"/>
      <c r="E171" s="1043">
        <v>142.5</v>
      </c>
      <c r="F171" s="1043"/>
      <c r="G171" s="1550"/>
    </row>
    <row r="172" spans="1:7">
      <c r="A172" s="1754">
        <v>38656</v>
      </c>
      <c r="B172" s="125" t="str">
        <f>TiposLancamentos!B20</f>
        <v>Saques</v>
      </c>
      <c r="C172" s="1040" t="s">
        <v>2668</v>
      </c>
      <c r="D172" s="1736"/>
      <c r="E172" s="1043">
        <v>42.56</v>
      </c>
      <c r="F172" s="1043"/>
      <c r="G172" s="1550"/>
    </row>
    <row r="173" spans="1:7">
      <c r="A173" s="1754">
        <v>38656</v>
      </c>
      <c r="B173" s="125" t="str">
        <f>TiposLancamentos!B19</f>
        <v>Restaurantes</v>
      </c>
      <c r="C173" s="1040" t="s">
        <v>2640</v>
      </c>
      <c r="D173" s="1736"/>
      <c r="E173" s="1043">
        <v>18.3</v>
      </c>
      <c r="F173" s="1043"/>
      <c r="G173" s="1550"/>
    </row>
    <row r="174" spans="1:7" ht="14.25" thickBot="1">
      <c r="A174" s="1866">
        <v>38656</v>
      </c>
      <c r="B174" s="628" t="str">
        <f>TiposLancamentos!B19</f>
        <v>Restaurantes</v>
      </c>
      <c r="C174" s="1855" t="s">
        <v>4887</v>
      </c>
      <c r="D174" s="1850"/>
      <c r="E174" s="1838">
        <v>6.8</v>
      </c>
      <c r="F174" s="1043"/>
      <c r="G174" s="1550"/>
    </row>
    <row r="175" spans="1:7">
      <c r="A175" s="1834"/>
      <c r="B175" s="977"/>
      <c r="C175" s="1854" t="s">
        <v>4888</v>
      </c>
      <c r="D175" s="1823"/>
      <c r="E175" s="1821"/>
      <c r="F175" s="1821"/>
      <c r="G175" s="1895"/>
    </row>
    <row r="176" spans="1:7">
      <c r="A176" s="1754">
        <v>38657</v>
      </c>
      <c r="B176" s="125" t="str">
        <f>TiposLancamentos!B4</f>
        <v>Taxas Bancarias</v>
      </c>
      <c r="C176" s="1040" t="s">
        <v>4858</v>
      </c>
      <c r="D176" s="1736"/>
      <c r="E176" s="1043">
        <v>0.55000000000000004</v>
      </c>
      <c r="F176" s="1043"/>
      <c r="G176" s="1550"/>
    </row>
    <row r="177" spans="1:7">
      <c r="A177" s="1754">
        <v>38657</v>
      </c>
      <c r="B177" s="125" t="str">
        <f>TiposLancamentos!B4</f>
        <v>Taxas Bancarias</v>
      </c>
      <c r="C177" s="1040" t="s">
        <v>4889</v>
      </c>
      <c r="D177" s="1736"/>
      <c r="E177" s="1043">
        <v>1.74</v>
      </c>
      <c r="F177" s="1043"/>
      <c r="G177" s="1550"/>
    </row>
    <row r="178" spans="1:7">
      <c r="A178" s="1754">
        <v>38658</v>
      </c>
      <c r="B178" s="125" t="str">
        <f>TiposLancamentos!B20</f>
        <v>Saques</v>
      </c>
      <c r="C178" s="1040" t="s">
        <v>2668</v>
      </c>
      <c r="D178" s="1736"/>
      <c r="E178" s="1043">
        <v>10</v>
      </c>
      <c r="F178" s="1043"/>
      <c r="G178" s="1550"/>
    </row>
    <row r="179" spans="1:7">
      <c r="A179" s="1754">
        <v>38659</v>
      </c>
      <c r="B179" s="125" t="str">
        <f>TiposLancamentos!B15</f>
        <v>Cartões de Crédito</v>
      </c>
      <c r="C179" s="1040" t="s">
        <v>4815</v>
      </c>
      <c r="D179" s="1736"/>
      <c r="E179" s="1043">
        <v>768.31</v>
      </c>
      <c r="F179" s="1043"/>
      <c r="G179" s="1550"/>
    </row>
    <row r="180" spans="1:7">
      <c r="A180" s="1754">
        <v>38659</v>
      </c>
      <c r="B180" s="125" t="str">
        <f>TiposLancamentos!B15</f>
        <v>Cartões de Crédito</v>
      </c>
      <c r="C180" s="1040" t="s">
        <v>4814</v>
      </c>
      <c r="D180" s="1736"/>
      <c r="E180" s="1043">
        <v>22.67</v>
      </c>
      <c r="F180" s="1043"/>
      <c r="G180" s="1550"/>
    </row>
    <row r="181" spans="1:7">
      <c r="A181" s="1754">
        <v>38659</v>
      </c>
      <c r="B181" s="125" t="str">
        <f>TiposLancamentos!B16</f>
        <v>Cristiane</v>
      </c>
      <c r="C181" s="1040" t="s">
        <v>4890</v>
      </c>
      <c r="D181" s="1736"/>
      <c r="E181" s="1043">
        <v>41.7</v>
      </c>
      <c r="F181" s="1043"/>
      <c r="G181" s="1550"/>
    </row>
    <row r="182" spans="1:7">
      <c r="A182" s="1754">
        <v>38659</v>
      </c>
      <c r="B182" s="125" t="str">
        <f>TiposLancamentos!B19</f>
        <v>Restaurantes</v>
      </c>
      <c r="C182" s="1040" t="s">
        <v>4891</v>
      </c>
      <c r="D182" s="1736"/>
      <c r="E182" s="1043">
        <v>32.67</v>
      </c>
      <c r="F182" s="1043"/>
      <c r="G182" s="1550"/>
    </row>
    <row r="183" spans="1:7">
      <c r="A183" s="1754">
        <v>38659</v>
      </c>
      <c r="B183" s="125" t="str">
        <f>TiposLancamentos!B4</f>
        <v>Taxas Bancarias</v>
      </c>
      <c r="C183" s="1040" t="s">
        <v>4892</v>
      </c>
      <c r="D183" s="1736"/>
      <c r="E183" s="1043">
        <v>7</v>
      </c>
      <c r="F183" s="1043"/>
      <c r="G183" s="1550"/>
    </row>
    <row r="184" spans="1:7">
      <c r="A184" s="1754">
        <v>38660</v>
      </c>
      <c r="B184" s="125" t="str">
        <f>TiposLancamentos!B2</f>
        <v>Telefonia</v>
      </c>
      <c r="C184" s="1040" t="s">
        <v>4813</v>
      </c>
      <c r="D184" s="1736"/>
      <c r="E184" s="1043">
        <v>117.96</v>
      </c>
      <c r="F184" s="1043"/>
      <c r="G184" s="1550"/>
    </row>
    <row r="185" spans="1:7">
      <c r="A185" s="1754">
        <v>38660</v>
      </c>
      <c r="B185" s="125" t="str">
        <f>TiposLancamentos!B3</f>
        <v>Internet</v>
      </c>
      <c r="C185" s="1040" t="s">
        <v>2784</v>
      </c>
      <c r="D185" s="1736"/>
      <c r="E185" s="1043">
        <v>59.9</v>
      </c>
      <c r="F185" s="1043"/>
      <c r="G185" s="1550"/>
    </row>
    <row r="186" spans="1:7">
      <c r="A186" s="1754">
        <v>38660</v>
      </c>
      <c r="B186" s="125" t="str">
        <f>TiposLancamentos!B69</f>
        <v>Consertos</v>
      </c>
      <c r="C186" s="1040" t="s">
        <v>4893</v>
      </c>
      <c r="D186" s="1736"/>
      <c r="E186" s="1043">
        <v>6</v>
      </c>
      <c r="F186" s="1043"/>
      <c r="G186" s="1550"/>
    </row>
    <row r="187" spans="1:7">
      <c r="A187" s="1754">
        <v>38660</v>
      </c>
      <c r="B187" s="125" t="str">
        <f>TiposLancamentos!B4</f>
        <v>Taxas Bancarias</v>
      </c>
      <c r="C187" s="1040" t="s">
        <v>4853</v>
      </c>
      <c r="D187" s="1736"/>
      <c r="E187" s="1043">
        <v>4.49</v>
      </c>
      <c r="F187" s="1043"/>
      <c r="G187" s="1550"/>
    </row>
    <row r="188" spans="1:7">
      <c r="A188" s="1754">
        <v>38661</v>
      </c>
      <c r="B188" s="125" t="str">
        <f>TiposLancamentos!B57</f>
        <v>Informática</v>
      </c>
      <c r="C188" s="1040" t="s">
        <v>4894</v>
      </c>
      <c r="D188" s="1736"/>
      <c r="E188" s="1043">
        <v>49</v>
      </c>
      <c r="F188" s="1043"/>
      <c r="G188" s="1550"/>
    </row>
    <row r="189" spans="1:7">
      <c r="A189" s="1754">
        <v>38661</v>
      </c>
      <c r="B189" s="125" t="str">
        <f>TiposLancamentos!B2</f>
        <v>Telefonia</v>
      </c>
      <c r="C189" s="1040" t="s">
        <v>4895</v>
      </c>
      <c r="D189" s="1736"/>
      <c r="E189" s="1043">
        <v>75</v>
      </c>
      <c r="F189" s="1043"/>
      <c r="G189" s="1550"/>
    </row>
    <row r="190" spans="1:7">
      <c r="A190" s="1754">
        <v>38661</v>
      </c>
      <c r="B190" s="125" t="str">
        <f>TiposLancamentos!B19</f>
        <v>Restaurantes</v>
      </c>
      <c r="C190" s="1040" t="s">
        <v>4896</v>
      </c>
      <c r="D190" s="1736"/>
      <c r="E190" s="1043">
        <v>22.35</v>
      </c>
      <c r="F190" s="1043"/>
      <c r="G190" s="1550"/>
    </row>
    <row r="191" spans="1:7">
      <c r="A191" s="1754">
        <v>38661</v>
      </c>
      <c r="B191" s="125" t="str">
        <f>TiposLancamentos!B19</f>
        <v>Restaurantes</v>
      </c>
      <c r="C191" s="1040" t="s">
        <v>2899</v>
      </c>
      <c r="D191" s="1736"/>
      <c r="E191" s="1043">
        <v>6.3</v>
      </c>
      <c r="F191" s="1043"/>
      <c r="G191" s="1550"/>
    </row>
    <row r="192" spans="1:7">
      <c r="A192" s="1754">
        <v>38661</v>
      </c>
      <c r="B192" s="125" t="str">
        <f>TiposLancamentos!B16</f>
        <v>Cristiane</v>
      </c>
      <c r="C192" s="1040" t="s">
        <v>4897</v>
      </c>
      <c r="D192" s="1736"/>
      <c r="E192" s="1043">
        <v>14.05</v>
      </c>
      <c r="F192" s="1043"/>
      <c r="G192" s="1550"/>
    </row>
    <row r="193" spans="1:7">
      <c r="A193" s="1754">
        <v>38661</v>
      </c>
      <c r="B193" s="125" t="str">
        <f>TiposLancamentos!B58</f>
        <v>Fotografias</v>
      </c>
      <c r="C193" s="1040" t="s">
        <v>4898</v>
      </c>
      <c r="D193" s="1736"/>
      <c r="E193" s="1043">
        <v>37</v>
      </c>
      <c r="F193" s="1043"/>
      <c r="G193" s="1550"/>
    </row>
    <row r="194" spans="1:7">
      <c r="A194" s="1754">
        <v>38665</v>
      </c>
      <c r="B194" s="125" t="str">
        <f>TiposLancamentos!B5</f>
        <v>Supermercado</v>
      </c>
      <c r="C194" s="1040" t="s">
        <v>2567</v>
      </c>
      <c r="D194" s="1736"/>
      <c r="E194" s="1043">
        <v>18.59</v>
      </c>
      <c r="F194" s="1043"/>
      <c r="G194" s="1550"/>
    </row>
    <row r="195" spans="1:7">
      <c r="A195" s="1754">
        <v>38666</v>
      </c>
      <c r="B195" s="125" t="str">
        <f>TiposLancamentos!B22</f>
        <v>Combustivel</v>
      </c>
      <c r="C195" s="1040" t="s">
        <v>2514</v>
      </c>
      <c r="D195" s="1736"/>
      <c r="E195" s="1043">
        <v>27.2</v>
      </c>
      <c r="F195" s="1043"/>
      <c r="G195" s="1550"/>
    </row>
    <row r="196" spans="1:7">
      <c r="A196" s="1754">
        <v>38666</v>
      </c>
      <c r="B196" s="125" t="str">
        <f>TiposLancamentos!B16</f>
        <v>Cristiane</v>
      </c>
      <c r="C196" s="1040" t="s">
        <v>4899</v>
      </c>
      <c r="D196" s="1736"/>
      <c r="E196" s="1043">
        <v>35</v>
      </c>
      <c r="F196" s="1043"/>
      <c r="G196" s="1550"/>
    </row>
    <row r="197" spans="1:7">
      <c r="A197" s="1754">
        <v>38666</v>
      </c>
      <c r="B197" s="125" t="str">
        <f>TiposLancamentos!B4</f>
        <v>Taxas Bancarias</v>
      </c>
      <c r="C197" s="1040" t="s">
        <v>4900</v>
      </c>
      <c r="D197" s="1736"/>
      <c r="E197" s="1043">
        <v>33.630000000000003</v>
      </c>
      <c r="F197" s="1043"/>
      <c r="G197" s="1550"/>
    </row>
    <row r="198" spans="1:7">
      <c r="A198" s="1754">
        <v>38667</v>
      </c>
      <c r="B198" s="125" t="str">
        <f>TiposLancamentos!B4</f>
        <v>Taxas Bancarias</v>
      </c>
      <c r="C198" s="1040" t="s">
        <v>4853</v>
      </c>
      <c r="D198" s="1736"/>
      <c r="E198" s="1043">
        <v>4.75</v>
      </c>
      <c r="F198" s="1043"/>
      <c r="G198" s="1550"/>
    </row>
    <row r="199" spans="1:7">
      <c r="A199" s="1754">
        <v>38668</v>
      </c>
      <c r="B199" s="125" t="str">
        <f>TiposLancamentos!B20</f>
        <v>Saques</v>
      </c>
      <c r="C199" s="1040" t="s">
        <v>2668</v>
      </c>
      <c r="D199" s="1736"/>
      <c r="E199" s="1043">
        <v>70</v>
      </c>
      <c r="F199" s="1043"/>
      <c r="G199" s="1550"/>
    </row>
    <row r="200" spans="1:7">
      <c r="A200" s="1754">
        <v>38670</v>
      </c>
      <c r="B200" s="125" t="str">
        <f>TiposLancamentos!B4</f>
        <v>Taxas Bancarias</v>
      </c>
      <c r="C200" s="1040" t="s">
        <v>4865</v>
      </c>
      <c r="D200" s="1736"/>
      <c r="E200" s="1043">
        <v>4</v>
      </c>
      <c r="F200" s="1043"/>
      <c r="G200" s="1550"/>
    </row>
    <row r="201" spans="1:7">
      <c r="A201" s="1754">
        <v>38670</v>
      </c>
      <c r="B201" s="125" t="str">
        <f>TiposLancamentos!B8</f>
        <v>Aluguel</v>
      </c>
      <c r="C201" s="1040" t="s">
        <v>1682</v>
      </c>
      <c r="D201" s="1736"/>
      <c r="E201" s="1043">
        <v>711.21</v>
      </c>
      <c r="F201" s="1043"/>
      <c r="G201" s="1550"/>
    </row>
    <row r="202" spans="1:7" ht="14.25" thickBot="1">
      <c r="A202" s="1754">
        <v>38674</v>
      </c>
      <c r="B202" s="125" t="str">
        <f>TiposLancamentos!B4</f>
        <v>Taxas Bancarias</v>
      </c>
      <c r="C202" s="1040" t="s">
        <v>4853</v>
      </c>
      <c r="D202" s="1736"/>
      <c r="E202" s="1043">
        <v>3.39</v>
      </c>
      <c r="F202" s="1043"/>
      <c r="G202" s="1550"/>
    </row>
    <row r="203" spans="1:7">
      <c r="A203" s="1834"/>
      <c r="B203" s="977"/>
      <c r="C203" s="1854" t="s">
        <v>4901</v>
      </c>
      <c r="D203" s="1823"/>
      <c r="E203" s="1821"/>
      <c r="F203" s="1821"/>
      <c r="G203" s="1895"/>
    </row>
    <row r="204" spans="1:7">
      <c r="A204" s="1754">
        <v>38687</v>
      </c>
      <c r="B204" s="125" t="str">
        <f>TiposLancamentos!B95</f>
        <v>Salarios</v>
      </c>
      <c r="C204" s="1040" t="s">
        <v>4811</v>
      </c>
      <c r="D204" s="1736">
        <v>2776.82</v>
      </c>
      <c r="E204" s="1043"/>
      <c r="F204" s="1043"/>
      <c r="G204" s="1550"/>
    </row>
    <row r="205" spans="1:7">
      <c r="A205" s="1754">
        <v>38687</v>
      </c>
      <c r="B205" s="125" t="str">
        <f>TiposLancamentos!B95</f>
        <v>Salarios</v>
      </c>
      <c r="C205" s="1040" t="s">
        <v>4902</v>
      </c>
      <c r="D205" s="1736">
        <v>4000</v>
      </c>
      <c r="E205" s="1043"/>
      <c r="F205" s="1043"/>
      <c r="G205" s="1550"/>
    </row>
    <row r="206" spans="1:7">
      <c r="A206" s="1754">
        <v>38687</v>
      </c>
      <c r="B206" s="125" t="str">
        <f>TiposLancamentos!B9</f>
        <v>Condominio</v>
      </c>
      <c r="C206" s="1040" t="s">
        <v>1684</v>
      </c>
      <c r="D206" s="1736"/>
      <c r="E206" s="1043">
        <v>142.5</v>
      </c>
      <c r="F206" s="1043"/>
      <c r="G206" s="1550"/>
    </row>
    <row r="207" spans="1:7">
      <c r="A207" s="1754">
        <v>38687</v>
      </c>
      <c r="B207" s="125" t="str">
        <f>TiposLancamentos!B15</f>
        <v>Cartões de Crédito</v>
      </c>
      <c r="C207" s="1040" t="s">
        <v>4903</v>
      </c>
      <c r="D207" s="1736"/>
      <c r="E207" s="1043">
        <v>985</v>
      </c>
      <c r="F207" s="1043"/>
      <c r="G207" s="1550"/>
    </row>
    <row r="208" spans="1:7">
      <c r="A208" s="1754">
        <v>38687</v>
      </c>
      <c r="B208" s="125" t="str">
        <f>TiposLancamentos!B4</f>
        <v>Taxas Bancarias</v>
      </c>
      <c r="C208" s="1040" t="s">
        <v>4858</v>
      </c>
      <c r="D208" s="1736"/>
      <c r="E208" s="1043">
        <v>0.56000000000000005</v>
      </c>
      <c r="F208" s="1043"/>
      <c r="G208" s="1550"/>
    </row>
    <row r="209" spans="1:7">
      <c r="A209" s="1754">
        <v>38688</v>
      </c>
      <c r="B209" s="125" t="str">
        <f>TiposLancamentos!B15</f>
        <v>Cartões de Crédito</v>
      </c>
      <c r="C209" s="1040" t="s">
        <v>4904</v>
      </c>
      <c r="D209" s="1736"/>
      <c r="E209" s="1043">
        <v>200.9</v>
      </c>
      <c r="F209" s="1043"/>
      <c r="G209" s="1550"/>
    </row>
    <row r="210" spans="1:7">
      <c r="A210" s="1754">
        <v>38688</v>
      </c>
      <c r="B210" s="125" t="str">
        <f>TiposLancamentos!B4</f>
        <v>Taxas Bancarias</v>
      </c>
      <c r="C210" s="1040" t="s">
        <v>4905</v>
      </c>
      <c r="D210" s="1736"/>
      <c r="E210" s="1043">
        <v>7</v>
      </c>
      <c r="F210" s="1043"/>
      <c r="G210" s="1550"/>
    </row>
    <row r="211" spans="1:7">
      <c r="A211" s="1754">
        <v>38688</v>
      </c>
      <c r="B211" s="125" t="str">
        <f>TiposLancamentos!B20</f>
        <v>Saques</v>
      </c>
      <c r="C211" s="1040" t="s">
        <v>2668</v>
      </c>
      <c r="D211" s="1736"/>
      <c r="E211" s="1043">
        <v>20</v>
      </c>
      <c r="F211" s="1043"/>
      <c r="G211" s="1550"/>
    </row>
    <row r="212" spans="1:7">
      <c r="A212" s="1754">
        <v>38689</v>
      </c>
      <c r="B212" s="125" t="str">
        <f>TiposLancamentos!B20</f>
        <v>Saques</v>
      </c>
      <c r="C212" s="1040" t="s">
        <v>2668</v>
      </c>
      <c r="D212" s="1736"/>
      <c r="E212" s="1043">
        <v>20</v>
      </c>
      <c r="F212" s="1043"/>
      <c r="G212" s="1550"/>
    </row>
    <row r="213" spans="1:7">
      <c r="A213" s="1754">
        <v>38690</v>
      </c>
      <c r="B213" s="125" t="str">
        <f>TiposLancamentos!B2</f>
        <v>Telefonia</v>
      </c>
      <c r="C213" s="1040" t="s">
        <v>4906</v>
      </c>
      <c r="D213" s="1736"/>
      <c r="E213" s="1043">
        <v>197.76</v>
      </c>
      <c r="F213" s="1043"/>
      <c r="G213" s="1550"/>
    </row>
    <row r="214" spans="1:7">
      <c r="A214" s="1754">
        <v>38690</v>
      </c>
      <c r="B214" s="125" t="str">
        <f>TiposLancamentos!B3</f>
        <v>Internet</v>
      </c>
      <c r="C214" s="1040" t="s">
        <v>2784</v>
      </c>
      <c r="D214" s="1736"/>
      <c r="E214" s="1043">
        <v>59.9</v>
      </c>
      <c r="F214" s="1043"/>
      <c r="G214" s="1550"/>
    </row>
    <row r="215" spans="1:7">
      <c r="A215" s="1754">
        <v>38691</v>
      </c>
      <c r="B215" s="125" t="str">
        <f>TiposLancamentos!B20</f>
        <v>Saques</v>
      </c>
      <c r="C215" s="1040" t="s">
        <v>2668</v>
      </c>
      <c r="D215" s="1736"/>
      <c r="E215" s="1043">
        <v>10</v>
      </c>
      <c r="F215" s="1043"/>
      <c r="G215" s="1550"/>
    </row>
    <row r="216" spans="1:7">
      <c r="A216" s="1754">
        <v>38691</v>
      </c>
      <c r="B216" s="125" t="str">
        <f>TiposLancamentos!B4</f>
        <v>Taxas Bancarias</v>
      </c>
      <c r="C216" s="1040" t="s">
        <v>4907</v>
      </c>
      <c r="D216" s="1736"/>
      <c r="E216" s="1043">
        <v>6</v>
      </c>
      <c r="F216" s="1043"/>
      <c r="G216" s="1550"/>
    </row>
    <row r="217" spans="1:7">
      <c r="A217" s="1754">
        <v>38691</v>
      </c>
      <c r="B217" s="125" t="str">
        <f>TiposLancamentos!B105</f>
        <v>Transf. Bco</v>
      </c>
      <c r="C217" s="1040" t="s">
        <v>4908</v>
      </c>
      <c r="D217" s="1736"/>
      <c r="E217" s="1043">
        <v>320</v>
      </c>
      <c r="F217" s="1043"/>
      <c r="G217" s="1550"/>
    </row>
    <row r="218" spans="1:7">
      <c r="A218" s="1754">
        <v>38692</v>
      </c>
      <c r="B218" s="125" t="str">
        <f>TiposLancamentos!B20</f>
        <v>Saques</v>
      </c>
      <c r="C218" s="1040" t="s">
        <v>4335</v>
      </c>
      <c r="D218" s="1736"/>
      <c r="E218" s="1043">
        <v>40</v>
      </c>
      <c r="F218" s="1043"/>
      <c r="G218" s="1550"/>
    </row>
    <row r="219" spans="1:7">
      <c r="A219" s="1754">
        <v>38693</v>
      </c>
      <c r="B219" s="125" t="str">
        <f>TiposLancamentos!B2</f>
        <v>Telefonia</v>
      </c>
      <c r="C219" s="1040" t="s">
        <v>4895</v>
      </c>
      <c r="D219" s="1736"/>
      <c r="E219" s="1043">
        <v>104.62</v>
      </c>
      <c r="F219" s="1043"/>
      <c r="G219" s="1550"/>
    </row>
    <row r="220" spans="1:7">
      <c r="A220" s="1754">
        <v>38694</v>
      </c>
      <c r="B220" s="125" t="str">
        <f>TiposLancamentos!B20</f>
        <v>Saques</v>
      </c>
      <c r="C220" s="1040" t="s">
        <v>2668</v>
      </c>
      <c r="D220" s="1736"/>
      <c r="E220" s="1043">
        <v>20</v>
      </c>
      <c r="F220" s="1043"/>
      <c r="G220" s="1550"/>
    </row>
    <row r="221" spans="1:7">
      <c r="A221" s="1754">
        <v>38695</v>
      </c>
      <c r="B221" s="125" t="str">
        <f>TiposLancamentos!B4</f>
        <v>Taxas Bancarias</v>
      </c>
      <c r="C221" s="1040" t="s">
        <v>4853</v>
      </c>
      <c r="D221" s="1736"/>
      <c r="E221" s="1043">
        <v>9.99</v>
      </c>
      <c r="F221" s="1043"/>
      <c r="G221" s="1550"/>
    </row>
    <row r="222" spans="1:7">
      <c r="A222" s="1754">
        <v>38696</v>
      </c>
      <c r="B222" s="125" t="str">
        <f>TiposLancamentos!B81</f>
        <v>Ferramentas gerais</v>
      </c>
      <c r="C222" s="1040" t="s">
        <v>4909</v>
      </c>
      <c r="D222" s="1736"/>
      <c r="E222" s="1043">
        <v>300</v>
      </c>
      <c r="F222" s="1043"/>
      <c r="G222" s="1550"/>
    </row>
    <row r="223" spans="1:7">
      <c r="A223" s="1754">
        <v>38697</v>
      </c>
      <c r="B223" s="125" t="str">
        <f>TiposLancamentos!B20</f>
        <v>Saques</v>
      </c>
      <c r="C223" s="1040" t="s">
        <v>4910</v>
      </c>
      <c r="D223" s="1736"/>
      <c r="E223" s="1043">
        <v>40</v>
      </c>
      <c r="F223" s="1043"/>
      <c r="G223" s="1550"/>
    </row>
    <row r="224" spans="1:7">
      <c r="A224" s="1754">
        <v>38698</v>
      </c>
      <c r="B224" s="125" t="str">
        <f>TiposLancamentos!B16</f>
        <v>Cristiane</v>
      </c>
      <c r="C224" s="1040" t="s">
        <v>4911</v>
      </c>
      <c r="D224" s="1736"/>
      <c r="E224" s="1043">
        <v>35</v>
      </c>
      <c r="F224" s="1043"/>
      <c r="G224" s="1550"/>
    </row>
    <row r="225" spans="1:7">
      <c r="A225" s="1754">
        <v>38698</v>
      </c>
      <c r="B225" s="125" t="str">
        <f>TiposLancamentos!B4</f>
        <v>Taxas Bancarias</v>
      </c>
      <c r="C225" s="1040" t="s">
        <v>4879</v>
      </c>
      <c r="D225" s="1736"/>
      <c r="E225" s="1043">
        <v>41.61</v>
      </c>
      <c r="F225" s="1043"/>
      <c r="G225" s="1550"/>
    </row>
    <row r="226" spans="1:7">
      <c r="A226" s="1754">
        <v>38699</v>
      </c>
      <c r="B226" s="125" t="str">
        <f>TiposLancamentos!B97</f>
        <v>Deposito Terc.</v>
      </c>
      <c r="C226" s="1040" t="s">
        <v>4912</v>
      </c>
      <c r="D226" s="1736">
        <v>50</v>
      </c>
      <c r="E226" s="1043"/>
      <c r="F226" s="1043"/>
      <c r="G226" s="1550"/>
    </row>
    <row r="227" spans="1:7">
      <c r="A227" s="1754">
        <v>38700</v>
      </c>
      <c r="B227" s="125" t="str">
        <f>TiposLancamentos!B8</f>
        <v>Aluguel</v>
      </c>
      <c r="C227" s="1040" t="s">
        <v>4913</v>
      </c>
      <c r="D227" s="1736"/>
      <c r="E227" s="1043">
        <v>769.5</v>
      </c>
      <c r="F227" s="1043"/>
      <c r="G227" s="1550"/>
    </row>
    <row r="228" spans="1:7">
      <c r="A228" s="1754">
        <v>38700</v>
      </c>
      <c r="B228" s="125" t="str">
        <f>TiposLancamentos!B4</f>
        <v>Taxas Bancarias</v>
      </c>
      <c r="C228" s="1040" t="s">
        <v>4914</v>
      </c>
      <c r="D228" s="1736"/>
      <c r="E228" s="1043">
        <v>4</v>
      </c>
      <c r="F228" s="1043"/>
      <c r="G228" s="1550"/>
    </row>
    <row r="229" spans="1:7">
      <c r="A229" s="1754">
        <v>38701</v>
      </c>
      <c r="B229" s="125" t="str">
        <f>TiposLancamentos!B20</f>
        <v>Saques</v>
      </c>
      <c r="C229" s="1040" t="s">
        <v>4915</v>
      </c>
      <c r="D229" s="1736"/>
      <c r="E229" s="1043">
        <v>80</v>
      </c>
      <c r="F229" s="1043"/>
      <c r="G229" s="1550"/>
    </row>
    <row r="230" spans="1:7">
      <c r="A230" s="1754">
        <v>38701</v>
      </c>
      <c r="B230" s="125" t="str">
        <f>TiposLancamentos!B95</f>
        <v>Salarios</v>
      </c>
      <c r="C230" s="1040" t="s">
        <v>4916</v>
      </c>
      <c r="D230" s="1736">
        <v>361.71</v>
      </c>
      <c r="E230" s="1043"/>
      <c r="F230" s="1043"/>
      <c r="G230" s="1550"/>
    </row>
    <row r="231" spans="1:7">
      <c r="A231" s="1754">
        <v>38702</v>
      </c>
      <c r="B231" s="125" t="str">
        <f>TiposLancamentos!B4</f>
        <v>Taxas Bancarias</v>
      </c>
      <c r="C231" s="1040" t="s">
        <v>4853</v>
      </c>
      <c r="D231" s="1736"/>
      <c r="E231" s="1043">
        <v>4.57</v>
      </c>
      <c r="F231" s="1043"/>
      <c r="G231" s="1550"/>
    </row>
    <row r="232" spans="1:7">
      <c r="A232" s="1754">
        <v>38703</v>
      </c>
      <c r="B232" s="125" t="str">
        <f>TiposLancamentos!B71</f>
        <v>Itens Pessoais</v>
      </c>
      <c r="C232" s="1040" t="s">
        <v>4917</v>
      </c>
      <c r="D232" s="1736"/>
      <c r="E232" s="1043">
        <v>6</v>
      </c>
      <c r="F232" s="1043"/>
      <c r="G232" s="1550"/>
    </row>
    <row r="233" spans="1:7">
      <c r="A233" s="1754">
        <v>38703</v>
      </c>
      <c r="B233" s="125" t="str">
        <f>TiposLancamentos!B17</f>
        <v>GATO</v>
      </c>
      <c r="C233" s="1040" t="s">
        <v>4918</v>
      </c>
      <c r="D233" s="1736"/>
      <c r="E233" s="1043">
        <v>17</v>
      </c>
      <c r="F233" s="1043"/>
      <c r="G233" s="1550"/>
    </row>
    <row r="234" spans="1:7">
      <c r="A234" s="1754">
        <v>38704</v>
      </c>
      <c r="B234" s="125" t="str">
        <f>TiposLancamentos!B20</f>
        <v>Saques</v>
      </c>
      <c r="C234" s="1040" t="s">
        <v>2876</v>
      </c>
      <c r="D234" s="1736"/>
      <c r="E234" s="1043">
        <v>40</v>
      </c>
      <c r="F234" s="1043"/>
      <c r="G234" s="1550"/>
    </row>
    <row r="235" spans="1:7">
      <c r="A235" s="1754">
        <v>38705</v>
      </c>
      <c r="B235" s="125" t="str">
        <f>TiposLancamentos!B8</f>
        <v>Aluguel</v>
      </c>
      <c r="C235" s="1040" t="s">
        <v>4919</v>
      </c>
      <c r="D235" s="1736"/>
      <c r="E235" s="1043">
        <v>408.16</v>
      </c>
      <c r="F235" s="1043"/>
      <c r="G235" s="1550"/>
    </row>
    <row r="236" spans="1:7">
      <c r="A236" s="1754">
        <v>38705</v>
      </c>
      <c r="B236" s="125" t="str">
        <f>TiposLancamentos!B20</f>
        <v>Saques</v>
      </c>
      <c r="C236" s="1040" t="s">
        <v>4920</v>
      </c>
      <c r="D236" s="1736"/>
      <c r="E236" s="1043">
        <v>40</v>
      </c>
      <c r="F236" s="1043"/>
      <c r="G236" s="1550"/>
    </row>
    <row r="237" spans="1:7">
      <c r="A237" s="1754">
        <v>38706</v>
      </c>
      <c r="B237" s="125" t="str">
        <f>TiposLancamentos!B5</f>
        <v>Supermercado</v>
      </c>
      <c r="C237" s="1040" t="s">
        <v>4921</v>
      </c>
      <c r="D237" s="1736"/>
      <c r="E237" s="1043">
        <v>44.8</v>
      </c>
      <c r="F237" s="1043"/>
      <c r="G237" s="1550"/>
    </row>
    <row r="238" spans="1:7">
      <c r="A238" s="1754">
        <v>38706</v>
      </c>
      <c r="B238" s="125" t="str">
        <f>TiposLancamentos!B19</f>
        <v>Restaurantes</v>
      </c>
      <c r="C238" s="1040" t="s">
        <v>4922</v>
      </c>
      <c r="D238" s="1736"/>
      <c r="E238" s="1043">
        <v>24.9</v>
      </c>
      <c r="F238" s="1043"/>
      <c r="G238" s="1550"/>
    </row>
    <row r="239" spans="1:7">
      <c r="A239" s="1754">
        <v>38706</v>
      </c>
      <c r="B239" s="125" t="str">
        <f>TiposLancamentos!B5</f>
        <v>Supermercado</v>
      </c>
      <c r="C239" s="1040" t="s">
        <v>4923</v>
      </c>
      <c r="D239" s="1736"/>
      <c r="E239" s="1043">
        <v>27.08</v>
      </c>
      <c r="F239" s="1043"/>
      <c r="G239" s="1550"/>
    </row>
    <row r="240" spans="1:7">
      <c r="A240" s="1754">
        <v>38707</v>
      </c>
      <c r="B240" s="125" t="str">
        <f>TiposLancamentos!B72</f>
        <v>Presentes</v>
      </c>
      <c r="C240" s="1040" t="s">
        <v>4924</v>
      </c>
      <c r="D240" s="1736"/>
      <c r="E240" s="1043">
        <v>19.8</v>
      </c>
      <c r="F240" s="1043"/>
      <c r="G240" s="1550"/>
    </row>
    <row r="241" spans="1:7">
      <c r="A241" s="1754">
        <v>38707</v>
      </c>
      <c r="B241" s="125" t="str">
        <f>TiposLancamentos!B19</f>
        <v>Restaurantes</v>
      </c>
      <c r="C241" s="1040" t="s">
        <v>2640</v>
      </c>
      <c r="D241" s="1736"/>
      <c r="E241" s="1043">
        <v>18.3</v>
      </c>
      <c r="F241" s="1043"/>
      <c r="G241" s="1550"/>
    </row>
    <row r="242" spans="1:7">
      <c r="A242" s="1754">
        <v>38708</v>
      </c>
      <c r="B242" s="125" t="str">
        <f>TiposLancamentos!B20</f>
        <v>Saques</v>
      </c>
      <c r="C242" s="1040" t="s">
        <v>2876</v>
      </c>
      <c r="D242" s="1736"/>
      <c r="E242" s="1043">
        <v>50</v>
      </c>
      <c r="F242" s="1043"/>
      <c r="G242" s="1550"/>
    </row>
    <row r="243" spans="1:7">
      <c r="A243" s="1754">
        <v>38709</v>
      </c>
      <c r="B243" s="125" t="str">
        <f>TiposLancamentos!B20</f>
        <v>Saques</v>
      </c>
      <c r="C243" s="1040" t="s">
        <v>2668</v>
      </c>
      <c r="D243" s="1736"/>
      <c r="E243" s="1043">
        <v>70</v>
      </c>
      <c r="F243" s="1043"/>
      <c r="G243" s="1550"/>
    </row>
    <row r="244" spans="1:7">
      <c r="A244" s="1754">
        <v>38709</v>
      </c>
      <c r="B244" s="125" t="str">
        <f>TiposLancamentos!B19</f>
        <v>Restaurantes</v>
      </c>
      <c r="C244" s="1040" t="s">
        <v>2654</v>
      </c>
      <c r="D244" s="1736"/>
      <c r="E244" s="1043">
        <v>61.6</v>
      </c>
      <c r="F244" s="1043"/>
      <c r="G244" s="1550"/>
    </row>
    <row r="245" spans="1:7">
      <c r="A245" s="1754">
        <v>38709</v>
      </c>
      <c r="B245" s="125" t="str">
        <f>TiposLancamentos!B4</f>
        <v>Taxas Bancarias</v>
      </c>
      <c r="C245" s="1040" t="s">
        <v>4853</v>
      </c>
      <c r="D245" s="1736"/>
      <c r="E245" s="1043">
        <v>2.4900000000000002</v>
      </c>
      <c r="F245" s="1043"/>
      <c r="G245" s="1550"/>
    </row>
    <row r="246" spans="1:7">
      <c r="A246" s="1754">
        <v>38710</v>
      </c>
      <c r="B246" s="125" t="str">
        <f>TiposLancamentos!B56</f>
        <v>Farmácia</v>
      </c>
      <c r="C246" s="1040" t="s">
        <v>4925</v>
      </c>
      <c r="D246" s="1736"/>
      <c r="E246" s="1043">
        <v>14.1</v>
      </c>
      <c r="F246" s="1043"/>
      <c r="G246" s="1550"/>
    </row>
    <row r="247" spans="1:7">
      <c r="A247" s="1754">
        <v>38711</v>
      </c>
      <c r="B247" s="125" t="str">
        <f>TiposLancamentos!B18</f>
        <v>Alimentacao</v>
      </c>
      <c r="C247" s="1040" t="s">
        <v>4926</v>
      </c>
      <c r="D247" s="1736"/>
      <c r="E247" s="1043">
        <v>21</v>
      </c>
      <c r="F247" s="1043"/>
      <c r="G247" s="1550"/>
    </row>
    <row r="248" spans="1:7">
      <c r="A248" s="1754">
        <v>38712</v>
      </c>
      <c r="B248" s="125" t="str">
        <f>TiposLancamentos!B69</f>
        <v>Consertos</v>
      </c>
      <c r="C248" s="1040" t="s">
        <v>4927</v>
      </c>
      <c r="D248" s="1736"/>
      <c r="E248" s="1043">
        <v>12.99</v>
      </c>
      <c r="F248" s="1043"/>
      <c r="G248" s="1550"/>
    </row>
    <row r="249" spans="1:7">
      <c r="A249" s="1754">
        <v>38712</v>
      </c>
      <c r="B249" s="125" t="str">
        <f>TiposLancamentos!B82</f>
        <v>CG Titan 125</v>
      </c>
      <c r="C249" s="1040" t="s">
        <v>4928</v>
      </c>
      <c r="D249" s="1736"/>
      <c r="E249" s="1043">
        <v>29</v>
      </c>
      <c r="F249" s="1043"/>
      <c r="G249" s="1550"/>
    </row>
    <row r="250" spans="1:7">
      <c r="A250" s="1754">
        <v>38712</v>
      </c>
      <c r="B250" s="125" t="str">
        <f>TiposLancamentos!B5</f>
        <v>Supermercado</v>
      </c>
      <c r="C250" s="1040" t="s">
        <v>4929</v>
      </c>
      <c r="D250" s="1736"/>
      <c r="E250" s="1043">
        <v>172.86</v>
      </c>
      <c r="F250" s="1043"/>
      <c r="G250" s="1550"/>
    </row>
    <row r="251" spans="1:7">
      <c r="A251" s="1754">
        <v>38713</v>
      </c>
      <c r="B251" s="125" t="str">
        <f>TiposLancamentos!B81</f>
        <v>Ferramentas gerais</v>
      </c>
      <c r="C251" s="1040" t="s">
        <v>4930</v>
      </c>
      <c r="D251" s="1736"/>
      <c r="E251" s="1043">
        <v>85.23</v>
      </c>
      <c r="F251" s="1043"/>
      <c r="G251" s="1550"/>
    </row>
    <row r="252" spans="1:7">
      <c r="A252" s="1754">
        <v>38713</v>
      </c>
      <c r="B252" s="125" t="str">
        <f>TiposLancamentos!B16</f>
        <v>Cristiane</v>
      </c>
      <c r="C252" s="1040" t="s">
        <v>4931</v>
      </c>
      <c r="D252" s="1736"/>
      <c r="E252" s="1043">
        <v>25</v>
      </c>
      <c r="F252" s="1043"/>
      <c r="G252" s="1550"/>
    </row>
    <row r="253" spans="1:7">
      <c r="A253" s="1754">
        <v>38714</v>
      </c>
      <c r="B253" s="125" t="str">
        <f>TiposLancamentos!B20</f>
        <v>Saques</v>
      </c>
      <c r="C253" s="1040" t="s">
        <v>2668</v>
      </c>
      <c r="D253" s="1736"/>
      <c r="E253" s="1043">
        <v>80</v>
      </c>
      <c r="F253" s="1043"/>
      <c r="G253" s="1550"/>
    </row>
    <row r="254" spans="1:7">
      <c r="A254" s="1666">
        <v>38714</v>
      </c>
      <c r="B254" s="817" t="str">
        <f>TiposLancamentos!B17</f>
        <v>GATO</v>
      </c>
      <c r="C254" s="1742" t="s">
        <v>3013</v>
      </c>
      <c r="D254" s="1843"/>
      <c r="E254" s="1839">
        <v>5.88</v>
      </c>
      <c r="F254" s="1043"/>
      <c r="G254" s="1550"/>
    </row>
    <row r="255" spans="1:7">
      <c r="A255" s="1750">
        <v>38714</v>
      </c>
      <c r="B255" s="818" t="str">
        <f>TiposLancamentos!B13</f>
        <v>Moradia</v>
      </c>
      <c r="C255" s="1743" t="s">
        <v>4932</v>
      </c>
      <c r="D255" s="1844"/>
      <c r="E255" s="1840">
        <v>9.4</v>
      </c>
      <c r="F255" s="1043"/>
      <c r="G255" s="1550"/>
    </row>
    <row r="256" spans="1:7">
      <c r="A256" s="1754">
        <v>38714</v>
      </c>
      <c r="B256" s="125" t="str">
        <f>TiposLancamentos!B69</f>
        <v>Consertos</v>
      </c>
      <c r="C256" s="1040" t="s">
        <v>4933</v>
      </c>
      <c r="D256" s="1736"/>
      <c r="E256" s="1043">
        <v>139</v>
      </c>
      <c r="F256" s="1043"/>
      <c r="G256" s="1550"/>
    </row>
    <row r="257" spans="1:7">
      <c r="A257" s="1754">
        <v>38714</v>
      </c>
      <c r="B257" s="125" t="str">
        <f>TiposLancamentos!B19</f>
        <v>Restaurantes</v>
      </c>
      <c r="C257" s="1040" t="s">
        <v>4934</v>
      </c>
      <c r="D257" s="1736"/>
      <c r="E257" s="1043">
        <v>25.9</v>
      </c>
      <c r="F257" s="1043"/>
      <c r="G257" s="1550"/>
    </row>
    <row r="258" spans="1:7">
      <c r="A258" s="1754">
        <v>38715</v>
      </c>
      <c r="B258" s="125" t="str">
        <f>TiposLancamentos!B20</f>
        <v>Saques</v>
      </c>
      <c r="C258" s="1040" t="s">
        <v>4935</v>
      </c>
      <c r="D258" s="1736"/>
      <c r="E258" s="1043">
        <v>50</v>
      </c>
      <c r="F258" s="1043"/>
      <c r="G258" s="1550"/>
    </row>
    <row r="259" spans="1:7">
      <c r="A259" s="1754">
        <v>38715</v>
      </c>
      <c r="B259" s="125" t="str">
        <f>TiposLancamentos!B13</f>
        <v>Moradia</v>
      </c>
      <c r="C259" s="1040" t="s">
        <v>4936</v>
      </c>
      <c r="D259" s="1736"/>
      <c r="E259" s="1043">
        <v>142.99</v>
      </c>
      <c r="F259" s="1043"/>
      <c r="G259" s="1550"/>
    </row>
    <row r="260" spans="1:7">
      <c r="A260" s="1754">
        <v>38715</v>
      </c>
      <c r="B260" s="125" t="str">
        <f>TiposLancamentos!B5</f>
        <v>Supermercado</v>
      </c>
      <c r="C260" s="1040" t="s">
        <v>4937</v>
      </c>
      <c r="D260" s="1736"/>
      <c r="E260" s="1043">
        <v>35.22</v>
      </c>
      <c r="F260" s="1043"/>
      <c r="G260" s="1550"/>
    </row>
    <row r="261" spans="1:7">
      <c r="A261" s="1754">
        <v>38715</v>
      </c>
      <c r="B261" s="125" t="str">
        <f>TiposLancamentos!B95</f>
        <v>Salarios</v>
      </c>
      <c r="C261" s="1040" t="s">
        <v>4938</v>
      </c>
      <c r="D261" s="1736">
        <v>459.92</v>
      </c>
      <c r="E261" s="1043"/>
      <c r="F261" s="1043"/>
      <c r="G261" s="1550"/>
    </row>
    <row r="262" spans="1:7">
      <c r="A262" s="1754">
        <v>38715</v>
      </c>
      <c r="B262" s="125" t="str">
        <f>TiposLancamentos!B95</f>
        <v>Salarios</v>
      </c>
      <c r="C262" s="1040" t="s">
        <v>4939</v>
      </c>
      <c r="D262" s="1736">
        <v>3753.63</v>
      </c>
      <c r="E262" s="1043"/>
      <c r="F262" s="1043"/>
      <c r="G262" s="1550"/>
    </row>
    <row r="263" spans="1:7">
      <c r="A263" s="1754">
        <v>38716</v>
      </c>
      <c r="B263" s="125" t="str">
        <f>TiposLancamentos!B4</f>
        <v>Taxas Bancarias</v>
      </c>
      <c r="C263" s="1040" t="s">
        <v>4853</v>
      </c>
      <c r="D263" s="1736"/>
      <c r="E263" s="1043">
        <v>2.54</v>
      </c>
      <c r="F263" s="1043"/>
      <c r="G263" s="1550"/>
    </row>
    <row r="264" spans="1:7">
      <c r="A264" s="1754">
        <v>38716</v>
      </c>
      <c r="B264" s="125" t="str">
        <f>TiposLancamentos!B25</f>
        <v>CD_DVD_BD</v>
      </c>
      <c r="C264" s="1040" t="s">
        <v>4940</v>
      </c>
      <c r="D264" s="1736"/>
      <c r="E264" s="1043">
        <v>25</v>
      </c>
      <c r="F264" s="1043"/>
      <c r="G264" s="1550"/>
    </row>
    <row r="265" spans="1:7">
      <c r="A265" s="1754">
        <v>38717</v>
      </c>
      <c r="B265" s="125" t="str">
        <f>TiposLancamentos!B18</f>
        <v>Alimentacao</v>
      </c>
      <c r="C265" s="1040" t="s">
        <v>3022</v>
      </c>
      <c r="D265" s="1736"/>
      <c r="E265" s="1043">
        <v>7.9</v>
      </c>
      <c r="F265" s="1043"/>
      <c r="G265" s="1550"/>
    </row>
    <row r="266" spans="1:7">
      <c r="A266" s="1754">
        <v>38717</v>
      </c>
      <c r="B266" s="125" t="str">
        <f>TiposLancamentos!B90</f>
        <v>Locadora</v>
      </c>
      <c r="C266" s="1040" t="s">
        <v>4941</v>
      </c>
      <c r="D266" s="1736"/>
      <c r="E266" s="1043">
        <v>32</v>
      </c>
      <c r="F266" s="1043"/>
      <c r="G266" s="1550"/>
    </row>
    <row r="267" spans="1:7">
      <c r="A267" s="1754">
        <v>38717</v>
      </c>
      <c r="B267" s="125" t="str">
        <f>TiposLancamentos!B5</f>
        <v>Supermercado</v>
      </c>
      <c r="C267" s="1040" t="s">
        <v>4942</v>
      </c>
      <c r="D267" s="1736"/>
      <c r="E267" s="1043">
        <v>61.37</v>
      </c>
      <c r="F267" s="1043"/>
      <c r="G267" s="1550"/>
    </row>
    <row r="268" spans="1:7" ht="14.25" thickBot="1">
      <c r="A268" s="1754"/>
      <c r="B268" s="125"/>
      <c r="C268" s="1040"/>
      <c r="D268" s="1736"/>
      <c r="E268" s="1043"/>
      <c r="F268" s="1043"/>
      <c r="G268" s="1550"/>
    </row>
    <row r="269" spans="1:7">
      <c r="A269" s="1834"/>
      <c r="B269" s="977"/>
      <c r="C269" s="1854" t="s">
        <v>4943</v>
      </c>
      <c r="D269" s="1823"/>
      <c r="E269" s="1821"/>
      <c r="F269" s="1821"/>
      <c r="G269" s="1895"/>
    </row>
    <row r="270" spans="1:7">
      <c r="A270" s="1754">
        <v>38718</v>
      </c>
      <c r="B270" s="125" t="str">
        <f>TiposLancamentos!B78</f>
        <v>Diferenças</v>
      </c>
      <c r="C270" s="1040" t="s">
        <v>4944</v>
      </c>
      <c r="D270" s="1736">
        <v>0.09</v>
      </c>
      <c r="E270" s="1043"/>
      <c r="F270" s="1043"/>
      <c r="G270" s="1550"/>
    </row>
    <row r="271" spans="1:7">
      <c r="A271" s="1754">
        <v>38719</v>
      </c>
      <c r="B271" s="125" t="str">
        <f>TiposLancamentos!B15</f>
        <v>Cartões de Crédito</v>
      </c>
      <c r="C271" s="1040" t="s">
        <v>4945</v>
      </c>
      <c r="D271" s="1736"/>
      <c r="E271" s="1043">
        <v>1119.96</v>
      </c>
      <c r="F271" s="1043"/>
      <c r="G271" s="1550"/>
    </row>
    <row r="272" spans="1:7">
      <c r="A272" s="1754">
        <v>38719</v>
      </c>
      <c r="B272" s="125" t="str">
        <f>TiposLancamentos!B15</f>
        <v>Cartões de Crédito</v>
      </c>
      <c r="C272" s="1040" t="s">
        <v>4946</v>
      </c>
      <c r="D272" s="1736"/>
      <c r="E272" s="1043">
        <v>496.91</v>
      </c>
      <c r="F272" s="1043"/>
      <c r="G272" s="1550"/>
    </row>
    <row r="273" spans="1:7">
      <c r="A273" s="1754">
        <v>38719</v>
      </c>
      <c r="B273" s="125" t="str">
        <f>TiposLancamentos!B15</f>
        <v>Cartões de Crédito</v>
      </c>
      <c r="C273" s="1040" t="s">
        <v>4947</v>
      </c>
      <c r="D273" s="1736"/>
      <c r="E273" s="1043">
        <v>59.9</v>
      </c>
      <c r="F273" s="1043"/>
      <c r="G273" s="1550"/>
    </row>
    <row r="274" spans="1:7">
      <c r="A274" s="1754">
        <v>38719</v>
      </c>
      <c r="B274" s="125" t="str">
        <f>TiposLancamentos!B2</f>
        <v>Telefonia</v>
      </c>
      <c r="C274" s="1040" t="s">
        <v>4948</v>
      </c>
      <c r="D274" s="1736"/>
      <c r="E274" s="1043">
        <v>484.82</v>
      </c>
      <c r="F274" s="1043"/>
      <c r="G274" s="1550"/>
    </row>
    <row r="275" spans="1:7">
      <c r="A275" s="1754">
        <v>38719</v>
      </c>
      <c r="B275" s="125" t="str">
        <f>TiposLancamentos!B25</f>
        <v>CD_DVD_BD</v>
      </c>
      <c r="C275" s="1040" t="s">
        <v>4949</v>
      </c>
      <c r="D275" s="1736"/>
      <c r="E275" s="1043">
        <v>18.899999999999999</v>
      </c>
      <c r="F275" s="1043"/>
      <c r="G275" s="1550"/>
    </row>
    <row r="276" spans="1:7">
      <c r="A276" s="1754">
        <v>38719</v>
      </c>
      <c r="B276" s="125" t="str">
        <f>TiposLancamentos!B17</f>
        <v>GATO</v>
      </c>
      <c r="C276" s="1040" t="s">
        <v>4950</v>
      </c>
      <c r="D276" s="1736"/>
      <c r="E276" s="1043">
        <v>20</v>
      </c>
      <c r="F276" s="1043"/>
      <c r="G276" s="1550"/>
    </row>
    <row r="277" spans="1:7">
      <c r="A277" s="1754">
        <v>38720</v>
      </c>
      <c r="B277" s="125" t="str">
        <f>TiposLancamentos!B81</f>
        <v>Ferramentas gerais</v>
      </c>
      <c r="C277" s="1040" t="s">
        <v>4951</v>
      </c>
      <c r="D277" s="1736"/>
      <c r="E277" s="1043">
        <v>27.5</v>
      </c>
      <c r="F277" s="1043"/>
      <c r="G277" s="1550"/>
    </row>
    <row r="278" spans="1:7">
      <c r="A278" s="1754">
        <v>38720</v>
      </c>
      <c r="B278" s="125" t="str">
        <f>TiposLancamentos!B19</f>
        <v>Restaurantes</v>
      </c>
      <c r="C278" s="1040" t="s">
        <v>3315</v>
      </c>
      <c r="D278" s="1736"/>
      <c r="E278" s="1043">
        <v>24.39</v>
      </c>
      <c r="F278" s="1043"/>
      <c r="G278" s="1550"/>
    </row>
    <row r="279" spans="1:7">
      <c r="A279" s="1754">
        <v>38720</v>
      </c>
      <c r="B279" s="125" t="str">
        <f>TiposLancamentos!B4</f>
        <v>Taxas Bancarias</v>
      </c>
      <c r="C279" s="1040" t="s">
        <v>4952</v>
      </c>
      <c r="D279" s="1736"/>
      <c r="E279" s="1043">
        <v>8</v>
      </c>
      <c r="F279" s="1043"/>
      <c r="G279" s="1550"/>
    </row>
    <row r="280" spans="1:7">
      <c r="A280" s="1754">
        <v>38720</v>
      </c>
      <c r="B280" s="125" t="str">
        <f>TiposLancamentos!B4</f>
        <v>Taxas Bancarias</v>
      </c>
      <c r="C280" s="1040" t="s">
        <v>4953</v>
      </c>
      <c r="D280" s="1736"/>
      <c r="E280" s="1043">
        <v>9.3000000000000007</v>
      </c>
      <c r="F280" s="1043"/>
      <c r="G280" s="1550"/>
    </row>
    <row r="281" spans="1:7">
      <c r="A281" s="1754">
        <v>38721</v>
      </c>
      <c r="B281" s="125" t="str">
        <f>TiposLancamentos!B2</f>
        <v>Telefonia</v>
      </c>
      <c r="C281" s="1040" t="s">
        <v>4954</v>
      </c>
      <c r="D281" s="1736"/>
      <c r="E281" s="1043">
        <v>71.59</v>
      </c>
      <c r="F281" s="1043"/>
      <c r="G281" s="1550"/>
    </row>
    <row r="282" spans="1:7">
      <c r="A282" s="1754">
        <v>38721</v>
      </c>
      <c r="B282" s="125" t="str">
        <f>TiposLancamentos!B20</f>
        <v>Saques</v>
      </c>
      <c r="C282" s="1040" t="s">
        <v>4955</v>
      </c>
      <c r="D282" s="1736"/>
      <c r="E282" s="1043">
        <v>30</v>
      </c>
      <c r="F282" s="1043"/>
      <c r="G282" s="1550"/>
    </row>
    <row r="283" spans="1:7">
      <c r="A283" s="1754">
        <v>38721</v>
      </c>
      <c r="B283" s="125" t="str">
        <f>TiposLancamentos!B19</f>
        <v>Restaurantes</v>
      </c>
      <c r="C283" s="1040" t="s">
        <v>4956</v>
      </c>
      <c r="D283" s="1736"/>
      <c r="E283" s="1043">
        <v>19.899999999999999</v>
      </c>
      <c r="F283" s="1043"/>
      <c r="G283" s="1550"/>
    </row>
    <row r="284" spans="1:7">
      <c r="A284" s="1754">
        <v>38721</v>
      </c>
      <c r="B284" s="125" t="str">
        <f>TiposLancamentos!B72</f>
        <v>Presentes</v>
      </c>
      <c r="C284" s="1040" t="s">
        <v>1806</v>
      </c>
      <c r="D284" s="1736"/>
      <c r="E284" s="1043">
        <v>37.700000000000003</v>
      </c>
      <c r="F284" s="1043"/>
      <c r="G284" s="1550"/>
    </row>
    <row r="285" spans="1:7">
      <c r="A285" s="1754">
        <v>38723</v>
      </c>
      <c r="B285" s="125" t="str">
        <f>TiposLancamentos!B5</f>
        <v>Supermercado</v>
      </c>
      <c r="C285" s="1040" t="s">
        <v>4957</v>
      </c>
      <c r="D285" s="1736"/>
      <c r="E285" s="1043">
        <v>10.28</v>
      </c>
      <c r="F285" s="1043"/>
      <c r="G285" s="1550"/>
    </row>
    <row r="286" spans="1:7">
      <c r="A286" s="1754">
        <v>38723</v>
      </c>
      <c r="B286" s="125" t="str">
        <f>TiposLancamentos!B20</f>
        <v>Saques</v>
      </c>
      <c r="C286" s="1040" t="s">
        <v>4958</v>
      </c>
      <c r="D286" s="1736"/>
      <c r="E286" s="1043">
        <v>2595</v>
      </c>
      <c r="F286" s="1043"/>
      <c r="G286" s="1550"/>
    </row>
    <row r="287" spans="1:7">
      <c r="A287" s="1754">
        <v>38723</v>
      </c>
      <c r="B287" s="125" t="str">
        <f>TiposLancamentos!B19</f>
        <v>Restaurantes</v>
      </c>
      <c r="C287" s="1040" t="s">
        <v>4959</v>
      </c>
      <c r="D287" s="1736"/>
      <c r="E287" s="1043">
        <v>20.21</v>
      </c>
      <c r="F287" s="1043"/>
      <c r="G287" s="1550"/>
    </row>
    <row r="288" spans="1:7">
      <c r="A288" s="1754">
        <v>38723</v>
      </c>
      <c r="B288" s="125" t="str">
        <f>TiposLancamentos!B4</f>
        <v>Taxas Bancarias</v>
      </c>
      <c r="C288" s="1040" t="s">
        <v>4853</v>
      </c>
      <c r="D288" s="1736"/>
      <c r="E288" s="1043">
        <v>10.97</v>
      </c>
      <c r="F288" s="1043"/>
      <c r="G288" s="1550"/>
    </row>
    <row r="289" spans="1:7">
      <c r="A289" s="1754">
        <v>38724</v>
      </c>
      <c r="B289" s="125" t="str">
        <f>TiposLancamentos!B20</f>
        <v>Saques</v>
      </c>
      <c r="C289" s="1040" t="s">
        <v>4960</v>
      </c>
      <c r="D289" s="1736"/>
      <c r="E289" s="1043">
        <v>20</v>
      </c>
      <c r="F289" s="1043"/>
      <c r="G289" s="1550"/>
    </row>
    <row r="290" spans="1:7">
      <c r="A290" s="1754">
        <v>38724</v>
      </c>
      <c r="B290" s="125" t="str">
        <f>TiposLancamentos!B20</f>
        <v>Saques</v>
      </c>
      <c r="C290" s="1040" t="s">
        <v>4961</v>
      </c>
      <c r="D290" s="1736"/>
      <c r="E290" s="1043">
        <v>150</v>
      </c>
      <c r="F290" s="1043"/>
      <c r="G290" s="1550"/>
    </row>
    <row r="291" spans="1:7">
      <c r="A291" s="1754">
        <v>38725</v>
      </c>
      <c r="B291" s="125" t="str">
        <f>TiposLancamentos!B19</f>
        <v>Restaurantes</v>
      </c>
      <c r="C291" s="1040" t="s">
        <v>4962</v>
      </c>
      <c r="D291" s="1736"/>
      <c r="E291" s="1043">
        <v>9.6</v>
      </c>
      <c r="F291" s="1043"/>
      <c r="G291" s="1550"/>
    </row>
    <row r="292" spans="1:7">
      <c r="A292" s="1754">
        <v>38725</v>
      </c>
      <c r="B292" s="125" t="str">
        <f>TiposLancamentos!B19</f>
        <v>Restaurantes</v>
      </c>
      <c r="C292" s="1040" t="s">
        <v>4963</v>
      </c>
      <c r="D292" s="1736"/>
      <c r="E292" s="1043">
        <v>13.48</v>
      </c>
      <c r="F292" s="1043"/>
      <c r="G292" s="1550"/>
    </row>
    <row r="293" spans="1:7">
      <c r="A293" s="1754">
        <v>38727</v>
      </c>
      <c r="B293" s="125" t="str">
        <f>TiposLancamentos!B20</f>
        <v>Saques</v>
      </c>
      <c r="C293" s="1040" t="s">
        <v>4958</v>
      </c>
      <c r="D293" s="1736"/>
      <c r="E293" s="1043">
        <v>40</v>
      </c>
      <c r="F293" s="1043"/>
      <c r="G293" s="1550"/>
    </row>
    <row r="294" spans="1:7">
      <c r="A294" s="1754">
        <v>38729</v>
      </c>
      <c r="B294" s="125" t="str">
        <f>TiposLancamentos!B19</f>
        <v>Restaurantes</v>
      </c>
      <c r="C294" s="1040" t="s">
        <v>2640</v>
      </c>
      <c r="D294" s="1736"/>
      <c r="E294" s="1043">
        <v>9.5</v>
      </c>
      <c r="F294" s="1043"/>
      <c r="G294" s="1550"/>
    </row>
    <row r="295" spans="1:7">
      <c r="A295" s="1754">
        <v>38730</v>
      </c>
      <c r="B295" s="125" t="str">
        <f>TiposLancamentos!B4</f>
        <v>Taxas Bancarias</v>
      </c>
      <c r="C295" s="1040" t="s">
        <v>4853</v>
      </c>
      <c r="D295" s="1736"/>
      <c r="E295" s="1043">
        <v>11.04</v>
      </c>
      <c r="F295" s="1043"/>
      <c r="G295" s="1550"/>
    </row>
    <row r="296" spans="1:7">
      <c r="A296" s="1754">
        <v>38730</v>
      </c>
      <c r="B296" s="125" t="str">
        <f>TiposLancamentos!B20</f>
        <v>Saques</v>
      </c>
      <c r="C296" s="1040" t="s">
        <v>2668</v>
      </c>
      <c r="D296" s="1736"/>
      <c r="E296" s="1043">
        <v>10</v>
      </c>
      <c r="F296" s="1043"/>
      <c r="G296" s="1550"/>
    </row>
    <row r="297" spans="1:7">
      <c r="A297" s="1754">
        <v>38730</v>
      </c>
      <c r="B297" s="125" t="str">
        <f>TiposLancamentos!B95</f>
        <v>Salarios</v>
      </c>
      <c r="C297" s="1040" t="s">
        <v>4916</v>
      </c>
      <c r="D297" s="1736">
        <v>1689.1</v>
      </c>
      <c r="E297" s="1043"/>
      <c r="F297" s="1043"/>
      <c r="G297" s="1550"/>
    </row>
    <row r="298" spans="1:7">
      <c r="A298" s="1754">
        <v>38732</v>
      </c>
      <c r="B298" s="125" t="str">
        <f>TiposLancamentos!B19</f>
        <v>Restaurantes</v>
      </c>
      <c r="C298" s="1040" t="s">
        <v>3029</v>
      </c>
      <c r="D298" s="1736"/>
      <c r="E298" s="1043">
        <v>22.7</v>
      </c>
      <c r="F298" s="1043"/>
      <c r="G298" s="1550"/>
    </row>
    <row r="299" spans="1:7">
      <c r="A299" s="1754">
        <v>38733</v>
      </c>
      <c r="B299" s="125" t="str">
        <f>TiposLancamentos!B20</f>
        <v>Saques</v>
      </c>
      <c r="C299" s="1040" t="s">
        <v>2876</v>
      </c>
      <c r="D299" s="1736"/>
      <c r="E299" s="1043">
        <v>30</v>
      </c>
      <c r="F299" s="1043"/>
      <c r="G299" s="1550"/>
    </row>
    <row r="300" spans="1:7">
      <c r="A300" s="1754">
        <v>38733</v>
      </c>
      <c r="B300" s="125" t="str">
        <f>TiposLancamentos!B20</f>
        <v>Saques</v>
      </c>
      <c r="C300" s="1040" t="s">
        <v>3780</v>
      </c>
      <c r="D300" s="1736"/>
      <c r="E300" s="1043">
        <v>30</v>
      </c>
      <c r="F300" s="1043"/>
      <c r="G300" s="1550"/>
    </row>
    <row r="301" spans="1:7">
      <c r="A301" s="1754">
        <v>38735</v>
      </c>
      <c r="B301" s="125" t="str">
        <f>TiposLancamentos!B62</f>
        <v>Papelaria</v>
      </c>
      <c r="C301" s="1040" t="s">
        <v>4964</v>
      </c>
      <c r="D301" s="1736"/>
      <c r="E301" s="1043">
        <v>20.93</v>
      </c>
      <c r="F301" s="1043"/>
      <c r="G301" s="1550"/>
    </row>
    <row r="302" spans="1:7">
      <c r="A302" s="1754">
        <v>38735</v>
      </c>
      <c r="B302" s="125" t="str">
        <f>TiposLancamentos!B25</f>
        <v>CD_DVD_BD</v>
      </c>
      <c r="C302" s="1040" t="s">
        <v>4965</v>
      </c>
      <c r="D302" s="1736"/>
      <c r="E302" s="1043">
        <v>14.99</v>
      </c>
      <c r="F302" s="1043"/>
      <c r="G302" s="1550"/>
    </row>
    <row r="303" spans="1:7">
      <c r="A303" s="1754">
        <v>38736</v>
      </c>
      <c r="B303" s="125" t="str">
        <f>TiposLancamentos!B2</f>
        <v>Telefonia</v>
      </c>
      <c r="C303" s="1040" t="s">
        <v>4966</v>
      </c>
      <c r="D303" s="1736"/>
      <c r="E303" s="1043">
        <v>184.22</v>
      </c>
      <c r="F303" s="1043"/>
      <c r="G303" s="1550"/>
    </row>
    <row r="304" spans="1:7">
      <c r="A304" s="1754">
        <v>38736</v>
      </c>
      <c r="B304" s="125" t="str">
        <f>TiposLancamentos!B3</f>
        <v>Internet</v>
      </c>
      <c r="C304" s="1040" t="s">
        <v>2784</v>
      </c>
      <c r="D304" s="1736"/>
      <c r="E304" s="1043">
        <v>59.9</v>
      </c>
      <c r="F304" s="1043"/>
      <c r="G304" s="1550"/>
    </row>
    <row r="305" spans="1:7">
      <c r="A305" s="1754">
        <v>38736</v>
      </c>
      <c r="B305" s="125" t="str">
        <f>TiposLancamentos!B16</f>
        <v>Cristiane</v>
      </c>
      <c r="C305" s="1040" t="s">
        <v>4967</v>
      </c>
      <c r="D305" s="1736"/>
      <c r="E305" s="1043">
        <v>15</v>
      </c>
      <c r="F305" s="1043"/>
      <c r="G305" s="1550"/>
    </row>
    <row r="306" spans="1:7">
      <c r="A306" s="1754">
        <v>38736</v>
      </c>
      <c r="B306" s="125" t="str">
        <f>TiposLancamentos!B18</f>
        <v>Alimentacao</v>
      </c>
      <c r="C306" s="1040" t="s">
        <v>4968</v>
      </c>
      <c r="D306" s="1736"/>
      <c r="E306" s="1043">
        <v>3.95</v>
      </c>
      <c r="F306" s="1043"/>
      <c r="G306" s="1550"/>
    </row>
    <row r="307" spans="1:7">
      <c r="A307" s="1754">
        <v>38736</v>
      </c>
      <c r="B307" s="125" t="str">
        <f>TiposLancamentos!B8</f>
        <v>Aluguel</v>
      </c>
      <c r="C307" s="1040" t="s">
        <v>4969</v>
      </c>
      <c r="D307" s="1736"/>
      <c r="E307" s="1043">
        <v>703.5</v>
      </c>
      <c r="F307" s="1043"/>
      <c r="G307" s="1550"/>
    </row>
    <row r="308" spans="1:7">
      <c r="A308" s="1754">
        <v>38737</v>
      </c>
      <c r="B308" s="125" t="str">
        <f>TiposLancamentos!B4</f>
        <v>Taxas Bancarias</v>
      </c>
      <c r="C308" s="1040" t="s">
        <v>4853</v>
      </c>
      <c r="D308" s="1736"/>
      <c r="E308" s="1043">
        <v>0.48</v>
      </c>
      <c r="F308" s="1043"/>
      <c r="G308" s="1550"/>
    </row>
    <row r="309" spans="1:7">
      <c r="A309" s="1754">
        <v>38737</v>
      </c>
      <c r="B309" s="125" t="str">
        <f>TiposLancamentos!B20</f>
        <v>Saques</v>
      </c>
      <c r="C309" s="1040" t="s">
        <v>2668</v>
      </c>
      <c r="D309" s="1736"/>
      <c r="E309" s="1043">
        <v>20</v>
      </c>
      <c r="F309" s="1043"/>
      <c r="G309" s="1550"/>
    </row>
    <row r="310" spans="1:7">
      <c r="A310" s="1754">
        <v>38737</v>
      </c>
      <c r="B310" s="125" t="str">
        <f>TiposLancamentos!B16</f>
        <v>Cristiane</v>
      </c>
      <c r="C310" s="1040" t="s">
        <v>4970</v>
      </c>
      <c r="D310" s="1736"/>
      <c r="E310" s="1043">
        <v>12.75</v>
      </c>
      <c r="F310" s="1043"/>
      <c r="G310" s="1550"/>
    </row>
    <row r="311" spans="1:7">
      <c r="A311" s="1754">
        <v>38737</v>
      </c>
      <c r="B311" s="125" t="str">
        <f>TiposLancamentos!B19</f>
        <v>Restaurantes</v>
      </c>
      <c r="C311" s="1040" t="s">
        <v>3029</v>
      </c>
      <c r="D311" s="1736"/>
      <c r="E311" s="1043">
        <v>25.81</v>
      </c>
      <c r="F311" s="1043"/>
      <c r="G311" s="1550"/>
    </row>
    <row r="312" spans="1:7">
      <c r="A312" s="1754">
        <v>38738</v>
      </c>
      <c r="B312" s="125" t="str">
        <f>TiposLancamentos!B57</f>
        <v>Informática</v>
      </c>
      <c r="C312" s="1040" t="s">
        <v>4971</v>
      </c>
      <c r="D312" s="1736"/>
      <c r="E312" s="1043">
        <v>183</v>
      </c>
      <c r="F312" s="1043"/>
      <c r="G312" s="1550"/>
    </row>
    <row r="313" spans="1:7">
      <c r="A313" s="1754">
        <v>38738</v>
      </c>
      <c r="B313" s="125" t="str">
        <f>TiposLancamentos!B19</f>
        <v>Restaurantes</v>
      </c>
      <c r="C313" s="1040" t="s">
        <v>2941</v>
      </c>
      <c r="D313" s="1736"/>
      <c r="E313" s="1043">
        <v>26.4</v>
      </c>
      <c r="F313" s="1043"/>
      <c r="G313" s="1550"/>
    </row>
    <row r="314" spans="1:7">
      <c r="A314" s="1754">
        <v>38738</v>
      </c>
      <c r="B314" s="125" t="str">
        <f>TiposLancamentos!B70</f>
        <v>Vestuário</v>
      </c>
      <c r="C314" s="1040" t="s">
        <v>4972</v>
      </c>
      <c r="D314" s="1736"/>
      <c r="E314" s="1043">
        <v>34</v>
      </c>
      <c r="F314" s="1043"/>
      <c r="G314" s="1550"/>
    </row>
    <row r="315" spans="1:7">
      <c r="A315" s="1754">
        <v>38738</v>
      </c>
      <c r="B315" s="125" t="str">
        <f>TiposLancamentos!B20</f>
        <v>Saques</v>
      </c>
      <c r="C315" s="1040" t="s">
        <v>2668</v>
      </c>
      <c r="D315" s="1736"/>
      <c r="E315" s="1043">
        <v>30</v>
      </c>
      <c r="F315" s="1043"/>
      <c r="G315" s="1550"/>
    </row>
    <row r="316" spans="1:7">
      <c r="A316" s="1754">
        <v>38740</v>
      </c>
      <c r="B316" s="125" t="str">
        <f>TiposLancamentos!B20</f>
        <v>Saques</v>
      </c>
      <c r="C316" s="1040" t="s">
        <v>2668</v>
      </c>
      <c r="D316" s="1736"/>
      <c r="E316" s="1043">
        <v>30</v>
      </c>
      <c r="F316" s="1043"/>
      <c r="G316" s="1550"/>
    </row>
    <row r="317" spans="1:7">
      <c r="A317" s="1754">
        <v>38741</v>
      </c>
      <c r="B317" s="125" t="str">
        <f>TiposLancamentos!B5</f>
        <v>Supermercado</v>
      </c>
      <c r="C317" s="1040" t="s">
        <v>2567</v>
      </c>
      <c r="D317" s="1736"/>
      <c r="E317" s="1043">
        <v>8.34</v>
      </c>
      <c r="F317" s="1043"/>
      <c r="G317" s="1550"/>
    </row>
    <row r="318" spans="1:7">
      <c r="A318" s="1754">
        <v>38742</v>
      </c>
      <c r="B318" s="125" t="str">
        <f>TiposLancamentos!B20</f>
        <v>Saques</v>
      </c>
      <c r="C318" s="1040" t="s">
        <v>2668</v>
      </c>
      <c r="D318" s="1736"/>
      <c r="E318" s="1043">
        <v>10</v>
      </c>
      <c r="F318" s="1043"/>
      <c r="G318" s="1550"/>
    </row>
    <row r="319" spans="1:7">
      <c r="A319" s="1754">
        <v>38743</v>
      </c>
      <c r="B319" s="125" t="str">
        <f>TiposLancamentos!B26</f>
        <v>LIVROS</v>
      </c>
      <c r="C319" s="1040" t="s">
        <v>4973</v>
      </c>
      <c r="D319" s="1736"/>
      <c r="E319" s="1043">
        <v>25</v>
      </c>
      <c r="F319" s="1043"/>
      <c r="G319" s="1550"/>
    </row>
    <row r="320" spans="1:7">
      <c r="A320" s="1754">
        <v>38743</v>
      </c>
      <c r="B320" s="125" t="str">
        <f>TiposLancamentos!B26</f>
        <v>LIVROS</v>
      </c>
      <c r="C320" s="1040" t="s">
        <v>4974</v>
      </c>
      <c r="D320" s="1736"/>
      <c r="E320" s="1043">
        <v>10</v>
      </c>
      <c r="F320" s="1043"/>
      <c r="G320" s="1550"/>
    </row>
    <row r="321" spans="1:7">
      <c r="A321" s="1754">
        <v>38743</v>
      </c>
      <c r="B321" s="125" t="str">
        <f>TiposLancamentos!B98</f>
        <v>Restituições</v>
      </c>
      <c r="C321" s="1040" t="s">
        <v>4975</v>
      </c>
      <c r="D321" s="1736">
        <v>10</v>
      </c>
      <c r="E321" s="1043"/>
      <c r="F321" s="1043"/>
      <c r="G321" s="1550"/>
    </row>
    <row r="322" spans="1:7">
      <c r="A322" s="1754">
        <v>38744</v>
      </c>
      <c r="B322" s="125" t="str">
        <f>TiposLancamentos!B4</f>
        <v>Taxas Bancarias</v>
      </c>
      <c r="C322" s="1040" t="s">
        <v>4976</v>
      </c>
      <c r="D322" s="1736"/>
      <c r="E322" s="1043">
        <v>5.04</v>
      </c>
      <c r="F322" s="1043"/>
      <c r="G322" s="1550"/>
    </row>
    <row r="323" spans="1:7">
      <c r="A323" s="1754">
        <v>38744</v>
      </c>
      <c r="B323" s="125" t="str">
        <f>TiposLancamentos!B19</f>
        <v>Restaurantes</v>
      </c>
      <c r="C323" s="1040" t="s">
        <v>4977</v>
      </c>
      <c r="D323" s="1736"/>
      <c r="E323" s="1043">
        <v>14.16</v>
      </c>
      <c r="F323" s="1043"/>
      <c r="G323" s="1550"/>
    </row>
    <row r="324" spans="1:7">
      <c r="A324" s="1754">
        <v>38745</v>
      </c>
      <c r="B324" s="125" t="str">
        <f>TiposLancamentos!B26</f>
        <v>LIVROS</v>
      </c>
      <c r="C324" s="1040" t="s">
        <v>4978</v>
      </c>
      <c r="D324" s="1736"/>
      <c r="E324" s="1043">
        <v>32</v>
      </c>
      <c r="F324" s="1043"/>
      <c r="G324" s="1550"/>
    </row>
    <row r="325" spans="1:7">
      <c r="A325" s="1754">
        <v>38745</v>
      </c>
      <c r="B325" s="125" t="str">
        <f>TiposLancamentos!B19</f>
        <v>Restaurantes</v>
      </c>
      <c r="C325" s="1040" t="s">
        <v>2640</v>
      </c>
      <c r="D325" s="1736"/>
      <c r="E325" s="1043">
        <v>17.100000000000001</v>
      </c>
      <c r="F325" s="1043"/>
      <c r="G325" s="1550"/>
    </row>
    <row r="326" spans="1:7">
      <c r="A326" s="1754">
        <v>38745</v>
      </c>
      <c r="B326" s="125" t="str">
        <f>TiposLancamentos!B19</f>
        <v>Restaurantes</v>
      </c>
      <c r="C326" s="1040" t="s">
        <v>4979</v>
      </c>
      <c r="D326" s="1736"/>
      <c r="E326" s="1043">
        <v>4.2</v>
      </c>
      <c r="F326" s="1043"/>
      <c r="G326" s="1550"/>
    </row>
    <row r="327" spans="1:7">
      <c r="A327" s="1754">
        <v>38745</v>
      </c>
      <c r="B327" s="125" t="str">
        <f>TiposLancamentos!B57</f>
        <v>Informática</v>
      </c>
      <c r="C327" s="1040" t="s">
        <v>4980</v>
      </c>
      <c r="D327" s="1736"/>
      <c r="E327" s="1043">
        <v>5.9</v>
      </c>
      <c r="F327" s="1043"/>
      <c r="G327" s="1550"/>
    </row>
    <row r="328" spans="1:7">
      <c r="A328" s="1754">
        <v>38745</v>
      </c>
      <c r="B328" s="125" t="str">
        <f>TiposLancamentos!B20</f>
        <v>Saques</v>
      </c>
      <c r="C328" s="1040" t="s">
        <v>2668</v>
      </c>
      <c r="D328" s="1736"/>
      <c r="E328" s="1043">
        <v>20</v>
      </c>
      <c r="F328" s="1043"/>
      <c r="G328" s="1550"/>
    </row>
    <row r="329" spans="1:7">
      <c r="A329" s="1754">
        <v>38745</v>
      </c>
      <c r="B329" s="125" t="str">
        <f>TiposLancamentos!B57</f>
        <v>Informática</v>
      </c>
      <c r="C329" s="1040" t="s">
        <v>4981</v>
      </c>
      <c r="D329" s="1736"/>
      <c r="E329" s="1043">
        <v>14.82</v>
      </c>
      <c r="F329" s="1043"/>
      <c r="G329" s="1550"/>
    </row>
    <row r="330" spans="1:7">
      <c r="A330" s="1754">
        <v>38746</v>
      </c>
      <c r="B330" s="125" t="str">
        <f>TiposLancamentos!B20</f>
        <v>Saques</v>
      </c>
      <c r="C330" s="1040" t="s">
        <v>2668</v>
      </c>
      <c r="D330" s="1736"/>
      <c r="E330" s="1043">
        <v>30</v>
      </c>
      <c r="F330" s="1043"/>
      <c r="G330" s="1550"/>
    </row>
    <row r="331" spans="1:7">
      <c r="A331" s="1754"/>
      <c r="B331" s="125"/>
      <c r="C331" s="1040"/>
      <c r="D331" s="1736"/>
      <c r="E331" s="1043"/>
      <c r="F331" s="1043"/>
      <c r="G331" s="1550"/>
    </row>
    <row r="332" spans="1:7">
      <c r="A332" s="1754">
        <v>38748</v>
      </c>
      <c r="B332" s="125" t="str">
        <f>TiposLancamentos!B95</f>
        <v>Salarios</v>
      </c>
      <c r="C332" s="1040" t="s">
        <v>4939</v>
      </c>
      <c r="D332" s="1736">
        <v>2148.88</v>
      </c>
      <c r="E332" s="1043"/>
      <c r="F332" s="1043"/>
      <c r="G332" s="1550"/>
    </row>
    <row r="333" spans="1:7">
      <c r="A333" s="1754">
        <v>38748</v>
      </c>
      <c r="B333" s="125" t="str">
        <f>TiposLancamentos!B44</f>
        <v>Academia</v>
      </c>
      <c r="C333" s="1040" t="s">
        <v>4982</v>
      </c>
      <c r="D333" s="1736"/>
      <c r="E333" s="1043">
        <v>70</v>
      </c>
      <c r="F333" s="1043"/>
      <c r="G333" s="1550"/>
    </row>
    <row r="334" spans="1:7" ht="14.25" thickBot="1">
      <c r="A334" s="1754">
        <v>38748</v>
      </c>
      <c r="B334" s="125" t="str">
        <f>TiposLancamentos!B16</f>
        <v>Cristiane</v>
      </c>
      <c r="C334" s="1040" t="s">
        <v>4983</v>
      </c>
      <c r="D334" s="1736"/>
      <c r="E334" s="1043">
        <v>160</v>
      </c>
      <c r="F334" s="1043"/>
      <c r="G334" s="1550"/>
    </row>
    <row r="335" spans="1:7">
      <c r="A335" s="1834"/>
      <c r="B335" s="977"/>
      <c r="C335" s="1854" t="s">
        <v>4984</v>
      </c>
      <c r="D335" s="1823"/>
      <c r="E335" s="1821"/>
      <c r="F335" s="1821"/>
      <c r="G335" s="1895"/>
    </row>
    <row r="336" spans="1:7">
      <c r="A336" s="1754">
        <v>38749</v>
      </c>
      <c r="B336" s="125" t="str">
        <f>TiposLancamentos!B9</f>
        <v>Condominio</v>
      </c>
      <c r="C336" s="1040" t="s">
        <v>4985</v>
      </c>
      <c r="D336" s="1736"/>
      <c r="E336" s="1043">
        <v>522.82000000000005</v>
      </c>
      <c r="F336" s="1043"/>
      <c r="G336" s="1550"/>
    </row>
    <row r="337" spans="1:7">
      <c r="A337" s="1754">
        <v>38749</v>
      </c>
      <c r="B337" s="125" t="str">
        <f>TiposLancamentos!B2</f>
        <v>Telefonia</v>
      </c>
      <c r="C337" s="1040" t="s">
        <v>4986</v>
      </c>
      <c r="D337" s="1736"/>
      <c r="E337" s="1043">
        <v>42.25</v>
      </c>
      <c r="F337" s="1043"/>
      <c r="G337" s="1550"/>
    </row>
    <row r="338" spans="1:7">
      <c r="A338" s="1754">
        <v>38749</v>
      </c>
      <c r="B338" s="125" t="str">
        <f>TiposLancamentos!B3</f>
        <v>Internet</v>
      </c>
      <c r="C338" s="1040" t="s">
        <v>4987</v>
      </c>
      <c r="D338" s="1736"/>
      <c r="E338" s="1043">
        <v>79.900000000000006</v>
      </c>
      <c r="F338" s="1043"/>
      <c r="G338" s="1550"/>
    </row>
    <row r="339" spans="1:7">
      <c r="A339" s="1754">
        <v>38749</v>
      </c>
      <c r="B339" s="125" t="str">
        <f>TiposLancamentos!B57</f>
        <v>Informática</v>
      </c>
      <c r="C339" s="1040" t="s">
        <v>4988</v>
      </c>
      <c r="D339" s="1736"/>
      <c r="E339" s="1043">
        <v>64</v>
      </c>
      <c r="F339" s="1043"/>
      <c r="G339" s="1550"/>
    </row>
    <row r="340" spans="1:7">
      <c r="A340" s="1754">
        <v>38750</v>
      </c>
      <c r="B340" s="125" t="str">
        <f>TiposLancamentos!B15</f>
        <v>Cartões de Crédito</v>
      </c>
      <c r="C340" s="1040" t="s">
        <v>4989</v>
      </c>
      <c r="D340" s="1736"/>
      <c r="E340" s="1043">
        <v>135.27000000000001</v>
      </c>
      <c r="F340" s="1043"/>
      <c r="G340" s="1550"/>
    </row>
    <row r="341" spans="1:7">
      <c r="A341" s="1754">
        <v>38750</v>
      </c>
      <c r="B341" s="125" t="str">
        <f>TiposLancamentos!B15</f>
        <v>Cartões de Crédito</v>
      </c>
      <c r="C341" s="1040" t="s">
        <v>4990</v>
      </c>
      <c r="D341" s="1736"/>
      <c r="E341" s="1043">
        <v>529.54999999999995</v>
      </c>
      <c r="F341" s="1043"/>
      <c r="G341" s="1550"/>
    </row>
    <row r="342" spans="1:7">
      <c r="A342" s="1754">
        <v>38750</v>
      </c>
      <c r="B342" s="125" t="str">
        <f>TiposLancamentos!B16</f>
        <v>Cristiane</v>
      </c>
      <c r="C342" s="1040" t="s">
        <v>4991</v>
      </c>
      <c r="D342" s="1736"/>
      <c r="E342" s="1043">
        <v>62.39</v>
      </c>
      <c r="F342" s="1043"/>
      <c r="G342" s="1550"/>
    </row>
    <row r="343" spans="1:7">
      <c r="A343" s="1754">
        <v>38751</v>
      </c>
      <c r="B343" s="125" t="str">
        <f>TiposLancamentos!B4</f>
        <v>Taxas Bancarias</v>
      </c>
      <c r="C343" s="1040" t="s">
        <v>4853</v>
      </c>
      <c r="D343" s="1736"/>
      <c r="E343" s="1043">
        <v>4.1500000000000004</v>
      </c>
      <c r="F343" s="1043"/>
      <c r="G343" s="1550"/>
    </row>
    <row r="344" spans="1:7">
      <c r="A344" s="1754">
        <v>38751</v>
      </c>
      <c r="B344" s="125" t="str">
        <f>TiposLancamentos!B6</f>
        <v>Energia Eletrica</v>
      </c>
      <c r="C344" s="1040" t="s">
        <v>4992</v>
      </c>
      <c r="D344" s="1736"/>
      <c r="E344" s="1043">
        <v>39.5</v>
      </c>
      <c r="F344" s="1043"/>
      <c r="G344" s="1550"/>
    </row>
    <row r="345" spans="1:7">
      <c r="A345" s="1754">
        <v>38751</v>
      </c>
      <c r="B345" s="125" t="str">
        <f>TiposLancamentos!B20</f>
        <v>Saques</v>
      </c>
      <c r="C345" s="1040" t="s">
        <v>2668</v>
      </c>
      <c r="D345" s="1736"/>
      <c r="E345" s="1043">
        <v>10</v>
      </c>
      <c r="F345" s="1043"/>
      <c r="G345" s="1550"/>
    </row>
    <row r="346" spans="1:7">
      <c r="A346" s="1754">
        <v>38751</v>
      </c>
      <c r="B346" s="125" t="str">
        <f>TiposLancamentos!B19</f>
        <v>Restaurantes</v>
      </c>
      <c r="C346" s="1040" t="s">
        <v>4993</v>
      </c>
      <c r="D346" s="1736"/>
      <c r="E346" s="1043">
        <v>10.73</v>
      </c>
      <c r="F346" s="1043"/>
      <c r="G346" s="1550"/>
    </row>
    <row r="347" spans="1:7">
      <c r="A347" s="1754">
        <v>38752</v>
      </c>
      <c r="B347" s="125" t="str">
        <f>TiposLancamentos!B2</f>
        <v>Telefonia</v>
      </c>
      <c r="C347" s="1040" t="s">
        <v>4994</v>
      </c>
      <c r="D347" s="1736"/>
      <c r="E347" s="1043">
        <v>1.99</v>
      </c>
      <c r="F347" s="1043"/>
      <c r="G347" s="1550"/>
    </row>
    <row r="348" spans="1:7">
      <c r="A348" s="1754">
        <v>38753</v>
      </c>
      <c r="B348" s="125" t="str">
        <f>TiposLancamentos!B20</f>
        <v>Saques</v>
      </c>
      <c r="C348" s="1040" t="s">
        <v>4995</v>
      </c>
      <c r="D348" s="1736"/>
      <c r="E348" s="1043">
        <v>100</v>
      </c>
      <c r="F348" s="1043"/>
      <c r="G348" s="1550"/>
    </row>
    <row r="349" spans="1:7">
      <c r="A349" s="1754">
        <v>38758</v>
      </c>
      <c r="B349" s="125" t="str">
        <f>TiposLancamentos!B4</f>
        <v>Taxas Bancarias</v>
      </c>
      <c r="C349" s="1040" t="s">
        <v>4996</v>
      </c>
      <c r="D349" s="1736"/>
      <c r="E349" s="1043">
        <v>3.35</v>
      </c>
      <c r="F349" s="1043"/>
      <c r="G349" s="1550"/>
    </row>
    <row r="350" spans="1:7">
      <c r="A350" s="1754">
        <v>38760</v>
      </c>
      <c r="B350" s="125" t="str">
        <f>TiposLancamentos!B20</f>
        <v>Saques</v>
      </c>
      <c r="C350" s="1040" t="s">
        <v>2668</v>
      </c>
      <c r="D350" s="1736"/>
      <c r="E350" s="1043">
        <v>30</v>
      </c>
      <c r="F350" s="1043"/>
      <c r="G350" s="1550"/>
    </row>
    <row r="351" spans="1:7">
      <c r="A351" s="1754">
        <v>38761</v>
      </c>
      <c r="B351" s="125" t="str">
        <f>TiposLancamentos!B16</f>
        <v>Cristiane</v>
      </c>
      <c r="C351" s="1040" t="s">
        <v>4997</v>
      </c>
      <c r="D351" s="1736"/>
      <c r="E351" s="1043">
        <v>50</v>
      </c>
      <c r="F351" s="1043"/>
      <c r="G351" s="1550"/>
    </row>
    <row r="352" spans="1:7">
      <c r="A352" s="1754">
        <v>38762</v>
      </c>
      <c r="B352" s="125" t="str">
        <f>TiposLancamentos!B19</f>
        <v>Restaurantes</v>
      </c>
      <c r="C352" s="1040" t="s">
        <v>2640</v>
      </c>
      <c r="D352" s="1736"/>
      <c r="E352" s="1043">
        <v>10.199999999999999</v>
      </c>
      <c r="F352" s="1043"/>
      <c r="G352" s="1550"/>
    </row>
    <row r="353" spans="1:7">
      <c r="A353" s="1754">
        <v>38762</v>
      </c>
      <c r="B353" s="125" t="str">
        <f>TiposLancamentos!B20</f>
        <v>Saques</v>
      </c>
      <c r="C353" s="1040" t="s">
        <v>2668</v>
      </c>
      <c r="D353" s="1736"/>
      <c r="E353" s="1043">
        <v>20</v>
      </c>
      <c r="F353" s="1043"/>
      <c r="G353" s="1550"/>
    </row>
    <row r="354" spans="1:7">
      <c r="A354" s="1754">
        <v>38763</v>
      </c>
      <c r="B354" s="125" t="str">
        <f>TiposLancamentos!B95</f>
        <v>Salarios</v>
      </c>
      <c r="C354" s="1040" t="s">
        <v>4916</v>
      </c>
      <c r="D354" s="1736">
        <v>1689.1</v>
      </c>
      <c r="E354" s="1043"/>
      <c r="F354" s="1043"/>
      <c r="G354" s="1550"/>
    </row>
    <row r="355" spans="1:7">
      <c r="A355" s="1754">
        <v>38763</v>
      </c>
      <c r="B355" s="125" t="str">
        <f>TiposLancamentos!B97</f>
        <v>Deposito Terc.</v>
      </c>
      <c r="C355" s="1040" t="s">
        <v>4998</v>
      </c>
      <c r="D355" s="1736">
        <v>200</v>
      </c>
      <c r="E355" s="1043"/>
      <c r="F355" s="1043"/>
      <c r="G355" s="1550"/>
    </row>
    <row r="356" spans="1:7">
      <c r="A356" s="1754">
        <v>38763</v>
      </c>
      <c r="B356" s="125" t="str">
        <f>TiposLancamentos!B19</f>
        <v>Restaurantes</v>
      </c>
      <c r="C356" s="1040" t="s">
        <v>2654</v>
      </c>
      <c r="D356" s="1736"/>
      <c r="E356" s="1043">
        <v>9.1</v>
      </c>
      <c r="F356" s="1043"/>
      <c r="G356" s="1550"/>
    </row>
    <row r="357" spans="1:7">
      <c r="A357" s="1754">
        <v>38764</v>
      </c>
      <c r="B357" s="125" t="str">
        <f>TiposLancamentos!B20</f>
        <v>Saques</v>
      </c>
      <c r="C357" s="1040" t="s">
        <v>2668</v>
      </c>
      <c r="D357" s="1736"/>
      <c r="E357" s="1043">
        <v>40</v>
      </c>
      <c r="F357" s="1043"/>
      <c r="G357" s="1550"/>
    </row>
    <row r="358" spans="1:7">
      <c r="A358" s="1754">
        <v>38765</v>
      </c>
      <c r="B358" s="125" t="str">
        <f>TiposLancamentos!B64</f>
        <v>Viagens</v>
      </c>
      <c r="C358" s="1040" t="s">
        <v>4999</v>
      </c>
      <c r="D358" s="1736"/>
      <c r="E358" s="1043">
        <v>140.03</v>
      </c>
      <c r="F358" s="1043"/>
      <c r="G358" s="1550"/>
    </row>
    <row r="359" spans="1:7">
      <c r="A359" s="1754">
        <v>38765</v>
      </c>
      <c r="B359" s="125" t="str">
        <f>TiposLancamentos!B20</f>
        <v>Saques</v>
      </c>
      <c r="C359" s="1040" t="s">
        <v>2668</v>
      </c>
      <c r="D359" s="1736"/>
      <c r="E359" s="1043">
        <v>40</v>
      </c>
      <c r="F359" s="1043"/>
      <c r="G359" s="1550"/>
    </row>
    <row r="360" spans="1:7">
      <c r="A360" s="1754">
        <v>38765</v>
      </c>
      <c r="B360" s="125" t="str">
        <f>B349</f>
        <v>Taxas Bancarias</v>
      </c>
      <c r="C360" s="1040" t="s">
        <v>4853</v>
      </c>
      <c r="D360" s="1736"/>
      <c r="E360" s="1043">
        <v>0.4</v>
      </c>
      <c r="F360" s="1043"/>
      <c r="G360" s="1550"/>
    </row>
    <row r="361" spans="1:7">
      <c r="A361" s="1754">
        <v>38765</v>
      </c>
      <c r="B361" s="125" t="str">
        <f>TiposLancamentos!B5</f>
        <v>Supermercado</v>
      </c>
      <c r="C361" s="1040" t="s">
        <v>5000</v>
      </c>
      <c r="D361" s="1736"/>
      <c r="E361" s="1043">
        <v>8.42</v>
      </c>
      <c r="F361" s="1043"/>
      <c r="G361" s="1550"/>
    </row>
    <row r="362" spans="1:7">
      <c r="A362" s="1754">
        <v>38766</v>
      </c>
      <c r="B362" s="125" t="str">
        <f>TiposLancamentos!B57</f>
        <v>Informática</v>
      </c>
      <c r="C362" s="1040" t="s">
        <v>5001</v>
      </c>
      <c r="D362" s="1736"/>
      <c r="E362" s="1043">
        <v>20</v>
      </c>
      <c r="F362" s="1043"/>
      <c r="G362" s="1550"/>
    </row>
    <row r="363" spans="1:7">
      <c r="A363" s="1754">
        <v>38766</v>
      </c>
      <c r="B363" s="125" t="str">
        <f>TiposLancamentos!B19</f>
        <v>Restaurantes</v>
      </c>
      <c r="C363" s="1040" t="s">
        <v>5002</v>
      </c>
      <c r="D363" s="1736"/>
      <c r="E363" s="1043">
        <v>27.45</v>
      </c>
      <c r="F363" s="1043"/>
      <c r="G363" s="1550"/>
    </row>
    <row r="364" spans="1:7">
      <c r="A364" s="1754">
        <v>38766</v>
      </c>
      <c r="B364" s="125" t="str">
        <f>TiposLancamentos!B20</f>
        <v>Saques</v>
      </c>
      <c r="C364" s="1040" t="s">
        <v>2668</v>
      </c>
      <c r="D364" s="1736"/>
      <c r="E364" s="1043">
        <v>30</v>
      </c>
      <c r="F364" s="1043"/>
      <c r="G364" s="1550"/>
    </row>
    <row r="365" spans="1:7">
      <c r="A365" s="1754">
        <v>38766</v>
      </c>
      <c r="B365" s="125" t="str">
        <f>TiposLancamentos!B5</f>
        <v>Supermercado</v>
      </c>
      <c r="C365" s="1040" t="s">
        <v>2567</v>
      </c>
      <c r="D365" s="1736"/>
      <c r="E365" s="1043">
        <v>28.65</v>
      </c>
      <c r="F365" s="1043"/>
      <c r="G365" s="1550"/>
    </row>
    <row r="366" spans="1:7">
      <c r="A366" s="1754">
        <v>38766</v>
      </c>
      <c r="B366" s="125" t="str">
        <f>TiposLancamentos!B19</f>
        <v>Restaurantes</v>
      </c>
      <c r="C366" s="1040" t="s">
        <v>5003</v>
      </c>
      <c r="D366" s="1736"/>
      <c r="E366" s="1043">
        <v>34</v>
      </c>
      <c r="F366" s="1043"/>
      <c r="G366" s="1550"/>
    </row>
    <row r="367" spans="1:7">
      <c r="A367" s="1754">
        <v>38768</v>
      </c>
      <c r="B367" s="125" t="str">
        <f>TiposLancamentos!B8</f>
        <v>Aluguel</v>
      </c>
      <c r="C367" s="1040" t="s">
        <v>1682</v>
      </c>
      <c r="D367" s="1736"/>
      <c r="E367" s="1043">
        <v>703.5</v>
      </c>
      <c r="F367" s="1043"/>
      <c r="G367" s="1550"/>
    </row>
    <row r="368" spans="1:7">
      <c r="A368" s="1754">
        <v>38768</v>
      </c>
      <c r="B368" s="125" t="str">
        <f>TiposLancamentos!B59</f>
        <v>Documentos</v>
      </c>
      <c r="C368" s="1040" t="s">
        <v>5004</v>
      </c>
      <c r="D368" s="1736"/>
      <c r="E368" s="1043">
        <v>178</v>
      </c>
      <c r="F368" s="1043"/>
      <c r="G368" s="1550"/>
    </row>
    <row r="369" spans="1:7">
      <c r="A369" s="1754">
        <v>38768</v>
      </c>
      <c r="B369" s="125" t="str">
        <f>TiposLancamentos!B2</f>
        <v>Telefonia</v>
      </c>
      <c r="C369" s="1040" t="s">
        <v>5005</v>
      </c>
      <c r="D369" s="1736"/>
      <c r="E369" s="1043">
        <v>224.72</v>
      </c>
      <c r="F369" s="1043"/>
      <c r="G369" s="1550"/>
    </row>
    <row r="370" spans="1:7">
      <c r="A370" s="1754">
        <v>38768</v>
      </c>
      <c r="B370" s="125" t="str">
        <f>TiposLancamentos!B19</f>
        <v>Restaurantes</v>
      </c>
      <c r="C370" s="1040" t="s">
        <v>2618</v>
      </c>
      <c r="D370" s="1736"/>
      <c r="E370" s="1043">
        <v>7.69</v>
      </c>
      <c r="F370" s="1043"/>
      <c r="G370" s="1550"/>
    </row>
    <row r="371" spans="1:7">
      <c r="A371" s="1754">
        <v>38768</v>
      </c>
      <c r="B371" s="125" t="str">
        <f>TiposLancamentos!B5</f>
        <v>Supermercado</v>
      </c>
      <c r="C371" s="1040" t="s">
        <v>2567</v>
      </c>
      <c r="D371" s="1736"/>
      <c r="E371" s="1043">
        <v>27.43</v>
      </c>
      <c r="F371" s="1043"/>
      <c r="G371" s="1550"/>
    </row>
    <row r="372" spans="1:7">
      <c r="A372" s="1754">
        <v>38769</v>
      </c>
      <c r="B372" s="125" t="str">
        <f>TiposLancamentos!B20</f>
        <v>Saques</v>
      </c>
      <c r="C372" s="1040" t="s">
        <v>2876</v>
      </c>
      <c r="D372" s="1736"/>
      <c r="E372" s="1043">
        <v>20</v>
      </c>
      <c r="F372" s="1043"/>
      <c r="G372" s="1550"/>
    </row>
    <row r="373" spans="1:7">
      <c r="A373" s="1754">
        <v>38769</v>
      </c>
      <c r="B373" s="125" t="str">
        <f>TiposLancamentos!B19</f>
        <v>Restaurantes</v>
      </c>
      <c r="C373" s="1040" t="s">
        <v>3029</v>
      </c>
      <c r="D373" s="1736"/>
      <c r="E373" s="1043">
        <v>20.79</v>
      </c>
      <c r="F373" s="1043"/>
      <c r="G373" s="1550"/>
    </row>
    <row r="374" spans="1:7">
      <c r="A374" s="1754">
        <v>38770</v>
      </c>
      <c r="B374" s="125" t="str">
        <f>TiposLancamentos!B82</f>
        <v>CG Titan 125</v>
      </c>
      <c r="C374" s="1040" t="s">
        <v>2799</v>
      </c>
      <c r="D374" s="1736"/>
      <c r="E374" s="1043">
        <v>85.89</v>
      </c>
      <c r="F374" s="1043"/>
      <c r="G374" s="1550"/>
    </row>
    <row r="375" spans="1:7">
      <c r="A375" s="1754">
        <v>38770</v>
      </c>
      <c r="B375" s="125" t="str">
        <f>TiposLancamentos!B20</f>
        <v>Saques</v>
      </c>
      <c r="C375" s="1040" t="s">
        <v>2668</v>
      </c>
      <c r="D375" s="1736"/>
      <c r="E375" s="1043">
        <v>20</v>
      </c>
      <c r="F375" s="1043"/>
      <c r="G375" s="1550"/>
    </row>
    <row r="376" spans="1:7">
      <c r="A376" s="1754">
        <v>38770</v>
      </c>
      <c r="B376" s="125" t="str">
        <f>TiposLancamentos!B20</f>
        <v>Saques</v>
      </c>
      <c r="C376" s="1040" t="s">
        <v>5006</v>
      </c>
      <c r="D376" s="1736"/>
      <c r="E376" s="1043">
        <v>10</v>
      </c>
      <c r="F376" s="1043"/>
      <c r="G376" s="1550"/>
    </row>
    <row r="377" spans="1:7">
      <c r="A377" s="1754">
        <v>38772</v>
      </c>
      <c r="B377" s="125" t="str">
        <f>TiposLancamentos!B4</f>
        <v>Taxas Bancarias</v>
      </c>
      <c r="C377" s="1040" t="s">
        <v>4853</v>
      </c>
      <c r="D377" s="1736"/>
      <c r="E377" s="1043">
        <v>6.26</v>
      </c>
      <c r="F377" s="1043"/>
      <c r="G377" s="1550"/>
    </row>
    <row r="378" spans="1:7">
      <c r="A378" s="1754">
        <v>38772</v>
      </c>
      <c r="B378" s="125" t="str">
        <f>TiposLancamentos!B95</f>
        <v>Salarios</v>
      </c>
      <c r="C378" s="1040" t="s">
        <v>4939</v>
      </c>
      <c r="D378" s="1736">
        <v>4124.2299999999996</v>
      </c>
      <c r="E378" s="1043"/>
      <c r="F378" s="1043"/>
      <c r="G378" s="1550"/>
    </row>
    <row r="379" spans="1:7">
      <c r="A379" s="1754">
        <v>38772</v>
      </c>
      <c r="B379" s="125" t="str">
        <f>TiposLancamentos!B20</f>
        <v>Saques</v>
      </c>
      <c r="C379" s="1040" t="s">
        <v>2668</v>
      </c>
      <c r="D379" s="1736"/>
      <c r="E379" s="1043">
        <v>20</v>
      </c>
      <c r="F379" s="1043"/>
      <c r="G379" s="1550"/>
    </row>
    <row r="380" spans="1:7">
      <c r="A380" s="1666">
        <v>38772</v>
      </c>
      <c r="B380" s="817" t="str">
        <f>TiposLancamentos!B17</f>
        <v>GATO</v>
      </c>
      <c r="C380" s="1742" t="s">
        <v>5007</v>
      </c>
      <c r="D380" s="1843"/>
      <c r="E380" s="1839">
        <v>3.59</v>
      </c>
      <c r="F380" s="1043"/>
      <c r="G380" s="1550"/>
    </row>
    <row r="381" spans="1:7">
      <c r="A381" s="1750">
        <v>38772</v>
      </c>
      <c r="B381" s="818" t="str">
        <f>TiposLancamentos!B62</f>
        <v>Papelaria</v>
      </c>
      <c r="C381" s="1743" t="s">
        <v>5008</v>
      </c>
      <c r="D381" s="1844"/>
      <c r="E381" s="1840">
        <v>11.5</v>
      </c>
      <c r="F381" s="1043"/>
      <c r="G381" s="1550"/>
    </row>
    <row r="382" spans="1:7">
      <c r="A382" s="1754">
        <v>38773</v>
      </c>
      <c r="B382" s="125" t="str">
        <f>TiposLancamentos!B16</f>
        <v>Cristiane</v>
      </c>
      <c r="C382" s="1040" t="s">
        <v>5009</v>
      </c>
      <c r="D382" s="1736"/>
      <c r="E382" s="1043">
        <v>56.91</v>
      </c>
      <c r="F382" s="1043"/>
      <c r="G382" s="1550"/>
    </row>
    <row r="383" spans="1:7">
      <c r="A383" s="1754">
        <v>38773</v>
      </c>
      <c r="B383" s="125" t="str">
        <f>TiposLancamentos!B19</f>
        <v>Restaurantes</v>
      </c>
      <c r="C383" s="1040" t="s">
        <v>2941</v>
      </c>
      <c r="D383" s="1736"/>
      <c r="E383" s="1043">
        <v>19.899999999999999</v>
      </c>
      <c r="F383" s="1043"/>
      <c r="G383" s="1550"/>
    </row>
    <row r="384" spans="1:7">
      <c r="A384" s="1754">
        <v>38773</v>
      </c>
      <c r="B384" s="125" t="str">
        <f>TiposLancamentos!B20</f>
        <v>Saques</v>
      </c>
      <c r="C384" s="1040" t="s">
        <v>1706</v>
      </c>
      <c r="D384" s="1736"/>
      <c r="E384" s="1043">
        <v>20</v>
      </c>
      <c r="F384" s="1043"/>
      <c r="G384" s="1550"/>
    </row>
    <row r="385" spans="1:7">
      <c r="A385" s="1754">
        <v>38773</v>
      </c>
      <c r="B385" s="125" t="str">
        <f>TiposLancamentos!B16</f>
        <v>Cristiane</v>
      </c>
      <c r="C385" s="1040" t="s">
        <v>5010</v>
      </c>
      <c r="D385" s="1736"/>
      <c r="E385" s="1043">
        <v>40</v>
      </c>
      <c r="F385" s="1043"/>
      <c r="G385" s="1550"/>
    </row>
    <row r="386" spans="1:7">
      <c r="A386" s="1754">
        <v>38773</v>
      </c>
      <c r="B386" s="125" t="str">
        <f>TiposLancamentos!B19</f>
        <v>Restaurantes</v>
      </c>
      <c r="C386" s="1040" t="s">
        <v>5011</v>
      </c>
      <c r="D386" s="1736"/>
      <c r="E386" s="1043">
        <v>10.71</v>
      </c>
      <c r="F386" s="1043"/>
      <c r="G386" s="1550"/>
    </row>
    <row r="387" spans="1:7">
      <c r="A387" s="1754">
        <v>38773</v>
      </c>
      <c r="B387" s="125" t="str">
        <f>TiposLancamentos!B65</f>
        <v>Taxi</v>
      </c>
      <c r="C387" s="1040" t="s">
        <v>5012</v>
      </c>
      <c r="D387" s="1736"/>
      <c r="E387" s="1043">
        <v>20</v>
      </c>
      <c r="F387" s="1043"/>
      <c r="G387" s="1550"/>
    </row>
    <row r="388" spans="1:7">
      <c r="A388" s="1754">
        <v>38773</v>
      </c>
      <c r="B388" s="125" t="str">
        <f>TiposLancamentos!B90</f>
        <v>Locadora</v>
      </c>
      <c r="C388" s="1040" t="s">
        <v>5013</v>
      </c>
      <c r="D388" s="1736"/>
      <c r="E388" s="1043">
        <v>26</v>
      </c>
      <c r="F388" s="1043"/>
      <c r="G388" s="1550"/>
    </row>
    <row r="389" spans="1:7">
      <c r="A389" s="1754">
        <v>38774</v>
      </c>
      <c r="B389" s="125" t="str">
        <f>TiposLancamentos!B90</f>
        <v>Locadora</v>
      </c>
      <c r="C389" s="1040" t="s">
        <v>5014</v>
      </c>
      <c r="D389" s="1736"/>
      <c r="E389" s="1043">
        <v>12</v>
      </c>
      <c r="F389" s="1043"/>
      <c r="G389" s="1550"/>
    </row>
    <row r="390" spans="1:7">
      <c r="A390" s="1754">
        <v>38775</v>
      </c>
      <c r="B390" s="125" t="str">
        <f>TiposLancamentos!B13</f>
        <v>Moradia</v>
      </c>
      <c r="C390" s="1040" t="s">
        <v>5015</v>
      </c>
      <c r="D390" s="1736"/>
      <c r="E390" s="1043">
        <v>70</v>
      </c>
      <c r="F390" s="1043"/>
      <c r="G390" s="1550"/>
    </row>
    <row r="391" spans="1:7">
      <c r="A391" s="1754">
        <v>38775</v>
      </c>
      <c r="B391" s="125" t="str">
        <f>TiposLancamentos!B13</f>
        <v>Moradia</v>
      </c>
      <c r="C391" s="1040" t="s">
        <v>5016</v>
      </c>
      <c r="D391" s="1736"/>
      <c r="E391" s="1043">
        <v>700</v>
      </c>
      <c r="F391" s="1043"/>
      <c r="G391" s="1550"/>
    </row>
    <row r="392" spans="1:7" ht="14.25" thickBot="1">
      <c r="A392" s="1754">
        <v>38776</v>
      </c>
      <c r="B392" s="125" t="str">
        <f>TiposLancamentos!B19</f>
        <v>Restaurantes</v>
      </c>
      <c r="C392" s="1040" t="s">
        <v>5017</v>
      </c>
      <c r="D392" s="1736"/>
      <c r="E392" s="1043">
        <v>22.25</v>
      </c>
      <c r="F392" s="1043"/>
      <c r="G392" s="1550"/>
    </row>
    <row r="393" spans="1:7">
      <c r="A393" s="1834"/>
      <c r="B393" s="977"/>
      <c r="C393" s="1854" t="s">
        <v>5018</v>
      </c>
      <c r="D393" s="1823"/>
      <c r="E393" s="1821"/>
      <c r="F393" s="1821"/>
      <c r="G393" s="1895"/>
    </row>
    <row r="394" spans="1:7">
      <c r="A394" s="1754">
        <v>38777</v>
      </c>
      <c r="B394" s="125" t="str">
        <f>TiposLancamentos!B44</f>
        <v>Academia</v>
      </c>
      <c r="C394" s="1040" t="s">
        <v>5019</v>
      </c>
      <c r="D394" s="1736"/>
      <c r="E394" s="1043">
        <v>45</v>
      </c>
      <c r="F394" s="1043"/>
      <c r="G394" s="1550"/>
    </row>
    <row r="395" spans="1:7">
      <c r="A395" s="1754">
        <v>38777</v>
      </c>
      <c r="B395" s="125" t="str">
        <f>TiposLancamentos!B2</f>
        <v>Telefonia</v>
      </c>
      <c r="C395" s="1040" t="s">
        <v>5020</v>
      </c>
      <c r="D395" s="1736"/>
      <c r="E395" s="1043">
        <v>104.15</v>
      </c>
      <c r="F395" s="1043"/>
      <c r="G395" s="1550"/>
    </row>
    <row r="396" spans="1:7">
      <c r="A396" s="1754">
        <v>38777</v>
      </c>
      <c r="B396" s="125" t="str">
        <f>TiposLancamentos!B3</f>
        <v>Internet</v>
      </c>
      <c r="C396" s="1040" t="s">
        <v>4987</v>
      </c>
      <c r="D396" s="1736"/>
      <c r="E396" s="1043">
        <v>79.900000000000006</v>
      </c>
      <c r="F396" s="1043"/>
      <c r="G396" s="1550"/>
    </row>
    <row r="397" spans="1:7">
      <c r="A397" s="1754">
        <v>38777</v>
      </c>
      <c r="B397" s="125" t="str">
        <f>TiposLancamentos!B57</f>
        <v>Informática</v>
      </c>
      <c r="C397" s="1040" t="s">
        <v>5021</v>
      </c>
      <c r="D397" s="1736"/>
      <c r="E397" s="1043">
        <v>92.4</v>
      </c>
      <c r="F397" s="1043"/>
      <c r="G397" s="1550"/>
    </row>
    <row r="398" spans="1:7">
      <c r="A398" s="1754">
        <v>38777</v>
      </c>
      <c r="B398" s="125" t="str">
        <f>TiposLancamentos!B9</f>
        <v>Condominio</v>
      </c>
      <c r="C398" s="1040" t="s">
        <v>5022</v>
      </c>
      <c r="D398" s="1736"/>
      <c r="E398" s="1043">
        <v>511.82</v>
      </c>
      <c r="F398" s="1043"/>
      <c r="G398" s="1550"/>
    </row>
    <row r="399" spans="1:7">
      <c r="A399" s="1754">
        <v>38777</v>
      </c>
      <c r="B399" s="125" t="str">
        <f>TiposLancamentos!B81</f>
        <v>Ferramentas gerais</v>
      </c>
      <c r="C399" s="1040" t="s">
        <v>5023</v>
      </c>
      <c r="D399" s="1736"/>
      <c r="E399" s="1043">
        <v>8.6</v>
      </c>
      <c r="F399" s="1043"/>
      <c r="G399" s="1550"/>
    </row>
    <row r="400" spans="1:7">
      <c r="A400" s="1754">
        <v>38777</v>
      </c>
      <c r="B400" s="125" t="str">
        <f>TiposLancamentos!B80</f>
        <v>Mudanças</v>
      </c>
      <c r="C400" s="1040" t="s">
        <v>5024</v>
      </c>
      <c r="D400" s="1736"/>
      <c r="E400" s="1043">
        <v>302.5</v>
      </c>
      <c r="F400" s="1043"/>
      <c r="G400" s="1550"/>
    </row>
    <row r="401" spans="1:7">
      <c r="A401" s="1754">
        <v>38778</v>
      </c>
      <c r="B401" s="125" t="str">
        <f>TiposLancamentos!B15</f>
        <v>Cartões de Crédito</v>
      </c>
      <c r="C401" s="1040" t="s">
        <v>4871</v>
      </c>
      <c r="D401" s="1736"/>
      <c r="E401" s="1043">
        <v>100.54</v>
      </c>
      <c r="F401" s="1043"/>
      <c r="G401" s="1550"/>
    </row>
    <row r="402" spans="1:7">
      <c r="A402" s="1754">
        <v>38778</v>
      </c>
      <c r="B402" s="125" t="str">
        <f>TiposLancamentos!B15</f>
        <v>Cartões de Crédito</v>
      </c>
      <c r="C402" s="1040" t="s">
        <v>5025</v>
      </c>
      <c r="D402" s="1736"/>
      <c r="E402" s="1043">
        <v>493.22</v>
      </c>
      <c r="F402" s="1043"/>
      <c r="G402" s="1550"/>
    </row>
    <row r="403" spans="1:7">
      <c r="A403" s="1754">
        <v>38778</v>
      </c>
      <c r="B403" s="125" t="str">
        <f>TiposLancamentos!B16</f>
        <v>Cristiane</v>
      </c>
      <c r="C403" s="1040" t="s">
        <v>5026</v>
      </c>
      <c r="D403" s="1736"/>
      <c r="E403" s="1043">
        <v>32.200000000000003</v>
      </c>
      <c r="F403" s="1043"/>
      <c r="G403" s="1550"/>
    </row>
    <row r="404" spans="1:7">
      <c r="A404" s="1754">
        <v>38778</v>
      </c>
      <c r="B404" s="125" t="str">
        <f>TiposLancamentos!B19</f>
        <v>Restaurantes</v>
      </c>
      <c r="C404" s="1040" t="s">
        <v>5027</v>
      </c>
      <c r="D404" s="1736"/>
      <c r="E404" s="1043">
        <v>13</v>
      </c>
      <c r="F404" s="1043"/>
      <c r="G404" s="1550"/>
    </row>
    <row r="405" spans="1:7">
      <c r="A405" s="1754">
        <v>38778</v>
      </c>
      <c r="B405" s="125" t="str">
        <f>TiposLancamentos!B4</f>
        <v>Taxas Bancarias</v>
      </c>
      <c r="C405" s="1040" t="s">
        <v>5028</v>
      </c>
      <c r="D405" s="1736"/>
      <c r="E405" s="1043">
        <v>0.5</v>
      </c>
      <c r="F405" s="1043"/>
      <c r="G405" s="1550"/>
    </row>
    <row r="406" spans="1:7">
      <c r="A406" s="1754">
        <v>38779</v>
      </c>
      <c r="B406" s="125" t="str">
        <f>TiposLancamentos!B4</f>
        <v>Taxas Bancarias</v>
      </c>
      <c r="C406" s="1040" t="s">
        <v>5029</v>
      </c>
      <c r="D406" s="1736"/>
      <c r="E406" s="1043">
        <v>7.0000000000000007E-2</v>
      </c>
      <c r="F406" s="1043"/>
      <c r="G406" s="1550"/>
    </row>
    <row r="407" spans="1:7">
      <c r="A407" s="1754">
        <v>38779</v>
      </c>
      <c r="B407" s="125" t="str">
        <f>TiposLancamentos!B6</f>
        <v>Energia Eletrica</v>
      </c>
      <c r="C407" s="1040" t="s">
        <v>5030</v>
      </c>
      <c r="D407" s="1736"/>
      <c r="E407" s="1043">
        <v>13.91</v>
      </c>
      <c r="F407" s="1043"/>
      <c r="G407" s="1550"/>
    </row>
    <row r="408" spans="1:7">
      <c r="A408" s="1754">
        <v>38779</v>
      </c>
      <c r="B408" s="125" t="str">
        <f>TiposLancamentos!B26</f>
        <v>LIVROS</v>
      </c>
      <c r="C408" s="1040" t="s">
        <v>5031</v>
      </c>
      <c r="D408" s="1736"/>
      <c r="E408" s="1043">
        <v>52.5</v>
      </c>
      <c r="F408" s="1043"/>
      <c r="G408" s="1550"/>
    </row>
    <row r="409" spans="1:7">
      <c r="A409" s="1754">
        <v>38779</v>
      </c>
      <c r="B409" s="125" t="str">
        <f>TiposLancamentos!B81</f>
        <v>Ferramentas gerais</v>
      </c>
      <c r="C409" s="1040" t="s">
        <v>5032</v>
      </c>
      <c r="D409" s="1736"/>
      <c r="E409" s="1043">
        <v>20.36</v>
      </c>
      <c r="F409" s="1043"/>
      <c r="G409" s="1550"/>
    </row>
    <row r="410" spans="1:7">
      <c r="A410" s="1754">
        <v>38779</v>
      </c>
      <c r="B410" s="125" t="str">
        <f>TiposLancamentos!B20</f>
        <v>Saques</v>
      </c>
      <c r="C410" s="1040" t="s">
        <v>2655</v>
      </c>
      <c r="D410" s="1736"/>
      <c r="E410" s="1043">
        <v>10</v>
      </c>
      <c r="F410" s="1043"/>
      <c r="G410" s="1550"/>
    </row>
    <row r="411" spans="1:7">
      <c r="A411" s="1754">
        <v>38780</v>
      </c>
      <c r="B411" s="125" t="str">
        <f>TiposLancamentos!B81</f>
        <v>Ferramentas gerais</v>
      </c>
      <c r="C411" s="1040" t="s">
        <v>5033</v>
      </c>
      <c r="D411" s="1736"/>
      <c r="E411" s="1043">
        <v>52</v>
      </c>
      <c r="F411" s="1043"/>
      <c r="G411" s="1550"/>
    </row>
    <row r="412" spans="1:7">
      <c r="A412" s="1754">
        <v>38780</v>
      </c>
      <c r="B412" s="125" t="str">
        <f>TiposLancamentos!B16</f>
        <v>Cristiane</v>
      </c>
      <c r="C412" s="1040" t="s">
        <v>5034</v>
      </c>
      <c r="D412" s="1736"/>
      <c r="E412" s="1043">
        <v>8.6999999999999993</v>
      </c>
      <c r="F412" s="1043"/>
      <c r="G412" s="1550"/>
    </row>
    <row r="413" spans="1:7">
      <c r="A413" s="1754">
        <v>38780</v>
      </c>
      <c r="B413" s="125" t="str">
        <f>TiposLancamentos!B19</f>
        <v>Restaurantes</v>
      </c>
      <c r="C413" s="1040" t="s">
        <v>3029</v>
      </c>
      <c r="D413" s="1736"/>
      <c r="E413" s="1043">
        <v>10.29</v>
      </c>
      <c r="F413" s="1043"/>
      <c r="G413" s="1550"/>
    </row>
    <row r="414" spans="1:7">
      <c r="A414" s="1754">
        <v>38780</v>
      </c>
      <c r="B414" s="125" t="str">
        <f>TiposLancamentos!B20</f>
        <v>Saques</v>
      </c>
      <c r="C414" s="1040" t="s">
        <v>2668</v>
      </c>
      <c r="D414" s="1736"/>
      <c r="E414" s="1043">
        <v>20</v>
      </c>
      <c r="F414" s="1043"/>
      <c r="G414" s="1550"/>
    </row>
    <row r="415" spans="1:7">
      <c r="A415" s="1666">
        <v>38781</v>
      </c>
      <c r="B415" s="817" t="str">
        <f>TiposLancamentos!B16</f>
        <v>Cristiane</v>
      </c>
      <c r="C415" s="1742" t="s">
        <v>5035</v>
      </c>
      <c r="D415" s="1843"/>
      <c r="E415" s="1839">
        <f>0.99+9.99</f>
        <v>10.98</v>
      </c>
      <c r="F415" s="1043"/>
      <c r="G415" s="1550"/>
    </row>
    <row r="416" spans="1:7">
      <c r="A416" s="1750">
        <v>38781</v>
      </c>
      <c r="B416" s="818" t="str">
        <f>TiposLancamentos!B70</f>
        <v>Vestuário</v>
      </c>
      <c r="C416" s="1743" t="s">
        <v>5036</v>
      </c>
      <c r="D416" s="1844"/>
      <c r="E416" s="1840">
        <v>12.99</v>
      </c>
      <c r="F416" s="1043"/>
      <c r="G416" s="1550"/>
    </row>
    <row r="417" spans="1:7">
      <c r="A417" s="1754">
        <v>38781</v>
      </c>
      <c r="B417" s="125" t="str">
        <f>TiposLancamentos!B16</f>
        <v>Cristiane</v>
      </c>
      <c r="C417" s="1040" t="s">
        <v>5037</v>
      </c>
      <c r="D417" s="1736"/>
      <c r="E417" s="1043">
        <v>15.9</v>
      </c>
      <c r="F417" s="1043"/>
      <c r="G417" s="1550"/>
    </row>
    <row r="418" spans="1:7">
      <c r="A418" s="1754">
        <v>38781</v>
      </c>
      <c r="B418" s="125" t="str">
        <f>TiposLancamentos!B19</f>
        <v>Restaurantes</v>
      </c>
      <c r="C418" s="1040" t="s">
        <v>5038</v>
      </c>
      <c r="D418" s="1736"/>
      <c r="E418" s="1043">
        <v>15.1</v>
      </c>
      <c r="F418" s="1043"/>
      <c r="G418" s="1550"/>
    </row>
    <row r="419" spans="1:7">
      <c r="A419" s="1754">
        <v>38781</v>
      </c>
      <c r="B419" s="125" t="str">
        <f>TiposLancamentos!B19</f>
        <v>Restaurantes</v>
      </c>
      <c r="C419" s="1040" t="s">
        <v>5039</v>
      </c>
      <c r="D419" s="1736"/>
      <c r="E419" s="1043">
        <v>6</v>
      </c>
      <c r="F419" s="1043"/>
      <c r="G419" s="1550"/>
    </row>
    <row r="420" spans="1:7">
      <c r="A420" s="1754">
        <v>38781</v>
      </c>
      <c r="B420" s="125" t="str">
        <f>TiposLancamentos!B20</f>
        <v>Saques</v>
      </c>
      <c r="C420" s="1040" t="s">
        <v>2851</v>
      </c>
      <c r="D420" s="1736"/>
      <c r="E420" s="1043">
        <v>10</v>
      </c>
      <c r="F420" s="1043"/>
      <c r="G420" s="1550"/>
    </row>
    <row r="421" spans="1:7">
      <c r="A421" s="1754">
        <v>38782</v>
      </c>
      <c r="B421" s="125" t="str">
        <f>TiposLancamentos!B2</f>
        <v>Telefonia</v>
      </c>
      <c r="C421" s="1040" t="s">
        <v>5040</v>
      </c>
      <c r="D421" s="1736"/>
      <c r="E421" s="1043">
        <v>188.17</v>
      </c>
      <c r="F421" s="1043"/>
      <c r="G421" s="1550"/>
    </row>
    <row r="422" spans="1:7">
      <c r="A422" s="1754">
        <v>38782</v>
      </c>
      <c r="B422" s="125" t="str">
        <f>TiposLancamentos!B56</f>
        <v>Farmácia</v>
      </c>
      <c r="C422" s="1040" t="s">
        <v>5041</v>
      </c>
      <c r="D422" s="1736"/>
      <c r="E422" s="1043">
        <v>10</v>
      </c>
      <c r="F422" s="1043"/>
      <c r="G422" s="1550"/>
    </row>
    <row r="423" spans="1:7">
      <c r="A423" s="1754">
        <v>38783</v>
      </c>
      <c r="B423" s="125" t="str">
        <f>TiposLancamentos!B16</f>
        <v>Cristiane</v>
      </c>
      <c r="C423" s="1040" t="s">
        <v>5042</v>
      </c>
      <c r="D423" s="1736"/>
      <c r="E423" s="1043">
        <v>80</v>
      </c>
      <c r="F423" s="1043"/>
      <c r="G423" s="1550"/>
    </row>
    <row r="424" spans="1:7">
      <c r="A424" s="1754">
        <v>38784</v>
      </c>
      <c r="B424" s="125" t="str">
        <f>TiposLancamentos!B5</f>
        <v>Supermercado</v>
      </c>
      <c r="C424" s="1040" t="s">
        <v>5043</v>
      </c>
      <c r="D424" s="1736"/>
      <c r="E424" s="1043">
        <v>9.7899999999999991</v>
      </c>
      <c r="F424" s="1043"/>
      <c r="G424" s="1550"/>
    </row>
    <row r="425" spans="1:7">
      <c r="A425" s="1754">
        <v>38784</v>
      </c>
      <c r="B425" s="125" t="str">
        <f>TiposLancamentos!B20</f>
        <v>Saques</v>
      </c>
      <c r="C425" s="1040" t="s">
        <v>2668</v>
      </c>
      <c r="D425" s="1736"/>
      <c r="E425" s="1043">
        <v>30</v>
      </c>
      <c r="F425" s="1043"/>
      <c r="G425" s="1550"/>
    </row>
    <row r="426" spans="1:7">
      <c r="A426" s="1754">
        <v>38785</v>
      </c>
      <c r="B426" s="125" t="str">
        <f>TiposLancamentos!B25</f>
        <v>CD_DVD_BD</v>
      </c>
      <c r="C426" s="1040" t="s">
        <v>5044</v>
      </c>
      <c r="D426" s="1736"/>
      <c r="E426" s="1043">
        <v>104.81</v>
      </c>
      <c r="F426" s="1043"/>
      <c r="G426" s="1550"/>
    </row>
    <row r="427" spans="1:7">
      <c r="A427" s="1754">
        <v>38785</v>
      </c>
      <c r="B427" s="125" t="str">
        <f>TiposLancamentos!B19</f>
        <v>Restaurantes</v>
      </c>
      <c r="C427" s="1040" t="s">
        <v>3315</v>
      </c>
      <c r="D427" s="1736"/>
      <c r="E427" s="1043">
        <v>13.92</v>
      </c>
      <c r="F427" s="1043"/>
      <c r="G427" s="1550"/>
    </row>
    <row r="428" spans="1:7">
      <c r="A428" s="1754">
        <v>38785</v>
      </c>
      <c r="B428" s="125" t="str">
        <f>TiposLancamentos!B5</f>
        <v>Supermercado</v>
      </c>
      <c r="C428" s="1040" t="s">
        <v>1676</v>
      </c>
      <c r="D428" s="1736"/>
      <c r="E428" s="1043">
        <v>75.37</v>
      </c>
      <c r="F428" s="1043"/>
      <c r="G428" s="1550"/>
    </row>
    <row r="429" spans="1:7">
      <c r="A429" s="1754">
        <v>38787</v>
      </c>
      <c r="B429" s="125" t="str">
        <f>TiposLancamentos!B69</f>
        <v>Consertos</v>
      </c>
      <c r="C429" s="1040" t="s">
        <v>5045</v>
      </c>
      <c r="D429" s="1736"/>
      <c r="E429" s="1043">
        <v>24.98</v>
      </c>
      <c r="F429" s="1043"/>
      <c r="G429" s="1550"/>
    </row>
    <row r="430" spans="1:7">
      <c r="A430" s="1754">
        <v>38787</v>
      </c>
      <c r="B430" s="125" t="str">
        <f>TiposLancamentos!B19</f>
        <v>Restaurantes</v>
      </c>
      <c r="C430" s="1040" t="s">
        <v>5002</v>
      </c>
      <c r="D430" s="1736"/>
      <c r="E430" s="1043">
        <v>19.899999999999999</v>
      </c>
      <c r="F430" s="1043"/>
      <c r="G430" s="1550"/>
    </row>
    <row r="431" spans="1:7">
      <c r="A431" s="1754">
        <v>38787</v>
      </c>
      <c r="B431" s="125" t="str">
        <f>TiposLancamentos!B13</f>
        <v>Moradia</v>
      </c>
      <c r="C431" s="1040" t="s">
        <v>5046</v>
      </c>
      <c r="D431" s="1736"/>
      <c r="E431" s="1043">
        <v>125</v>
      </c>
      <c r="F431" s="1043"/>
      <c r="G431" s="1550"/>
    </row>
    <row r="432" spans="1:7">
      <c r="A432" s="1754">
        <v>38787</v>
      </c>
      <c r="B432" s="125" t="str">
        <f>TiposLancamentos!B20</f>
        <v>Saques</v>
      </c>
      <c r="C432" s="1040" t="s">
        <v>2668</v>
      </c>
      <c r="D432" s="1736"/>
      <c r="E432" s="1043">
        <v>40</v>
      </c>
      <c r="F432" s="1043"/>
      <c r="G432" s="1550"/>
    </row>
    <row r="433" spans="1:7">
      <c r="A433" s="1754">
        <v>38787</v>
      </c>
      <c r="B433" s="125" t="str">
        <f>TiposLancamentos!B5</f>
        <v>Supermercado</v>
      </c>
      <c r="C433" s="1040" t="s">
        <v>2567</v>
      </c>
      <c r="D433" s="1736"/>
      <c r="E433" s="1043">
        <v>27.12</v>
      </c>
      <c r="F433" s="1043"/>
      <c r="G433" s="1550"/>
    </row>
    <row r="434" spans="1:7">
      <c r="A434" s="1754">
        <v>38789</v>
      </c>
      <c r="B434" s="125" t="str">
        <f>TiposLancamentos!B16</f>
        <v>Cristiane</v>
      </c>
      <c r="C434" s="1040" t="s">
        <v>5047</v>
      </c>
      <c r="D434" s="1736"/>
      <c r="E434" s="1043">
        <v>7.2</v>
      </c>
      <c r="F434" s="1043"/>
      <c r="G434" s="1550"/>
    </row>
    <row r="435" spans="1:7">
      <c r="A435" s="1754">
        <v>38789</v>
      </c>
      <c r="B435" s="125" t="str">
        <f>TiposLancamentos!B5</f>
        <v>Supermercado</v>
      </c>
      <c r="C435" s="1040" t="s">
        <v>5048</v>
      </c>
      <c r="D435" s="1736"/>
      <c r="E435" s="1043">
        <v>27.79</v>
      </c>
      <c r="F435" s="1043"/>
      <c r="G435" s="1550"/>
    </row>
    <row r="436" spans="1:7">
      <c r="A436" s="1754">
        <v>38790</v>
      </c>
      <c r="B436" s="125" t="str">
        <f>TiposLancamentos!B4</f>
        <v>Taxas Bancarias</v>
      </c>
      <c r="C436" s="1040" t="s">
        <v>4853</v>
      </c>
      <c r="D436" s="1736"/>
      <c r="E436" s="1043">
        <v>13.33</v>
      </c>
      <c r="F436" s="1043"/>
      <c r="G436" s="1550"/>
    </row>
    <row r="437" spans="1:7">
      <c r="A437" s="1666">
        <v>38790</v>
      </c>
      <c r="B437" s="817" t="str">
        <f>TiposLancamentos!B17</f>
        <v>GATO</v>
      </c>
      <c r="C437" s="1742" t="s">
        <v>5049</v>
      </c>
      <c r="D437" s="1843"/>
      <c r="E437" s="1839">
        <f>7.9+3.59</f>
        <v>11.49</v>
      </c>
      <c r="F437" s="1043"/>
      <c r="G437" s="1550"/>
    </row>
    <row r="438" spans="1:7">
      <c r="A438" s="1750">
        <v>38790</v>
      </c>
      <c r="B438" s="818" t="str">
        <f>TiposLancamentos!B72</f>
        <v>Presentes</v>
      </c>
      <c r="C438" s="1743" t="s">
        <v>5050</v>
      </c>
      <c r="D438" s="1844"/>
      <c r="E438" s="1840">
        <v>5.25</v>
      </c>
      <c r="F438" s="1043"/>
      <c r="G438" s="1550"/>
    </row>
    <row r="439" spans="1:7">
      <c r="A439" s="1754">
        <v>38791</v>
      </c>
      <c r="B439" s="125" t="str">
        <f>TiposLancamentos!B95</f>
        <v>Salarios</v>
      </c>
      <c r="C439" s="1040" t="s">
        <v>4916</v>
      </c>
      <c r="D439" s="1736">
        <v>1689.1</v>
      </c>
      <c r="E439" s="1043"/>
      <c r="F439" s="1043"/>
      <c r="G439" s="1550"/>
    </row>
    <row r="440" spans="1:7">
      <c r="A440" s="1754">
        <v>38791</v>
      </c>
      <c r="B440" s="125" t="str">
        <f>TiposLancamentos!B13</f>
        <v>Moradia</v>
      </c>
      <c r="C440" s="1040" t="s">
        <v>5051</v>
      </c>
      <c r="D440" s="1851"/>
      <c r="E440" s="1043">
        <v>140</v>
      </c>
      <c r="F440" s="1043"/>
      <c r="G440" s="1550"/>
    </row>
    <row r="441" spans="1:7">
      <c r="A441" s="1754">
        <v>38791</v>
      </c>
      <c r="B441" s="125" t="str">
        <f>TiposLancamentos!B20</f>
        <v>Saques</v>
      </c>
      <c r="C441" s="1040" t="s">
        <v>2668</v>
      </c>
      <c r="D441" s="1736"/>
      <c r="E441" s="1043">
        <v>20</v>
      </c>
      <c r="F441" s="1043"/>
      <c r="G441" s="1550"/>
    </row>
    <row r="442" spans="1:7">
      <c r="A442" s="1754">
        <v>38792</v>
      </c>
      <c r="B442" s="125" t="str">
        <f>TiposLancamentos!B20</f>
        <v>Saques</v>
      </c>
      <c r="C442" s="1040" t="s">
        <v>2876</v>
      </c>
      <c r="D442" s="1736"/>
      <c r="E442" s="1043">
        <v>20</v>
      </c>
      <c r="F442" s="1043"/>
      <c r="G442" s="1550"/>
    </row>
    <row r="443" spans="1:7">
      <c r="A443" s="1754">
        <v>38792</v>
      </c>
      <c r="B443" s="125" t="str">
        <f>TiposLancamentos!B16</f>
        <v>Cristiane</v>
      </c>
      <c r="C443" s="1040" t="s">
        <v>5052</v>
      </c>
      <c r="D443" s="1736"/>
      <c r="E443" s="1043">
        <v>35</v>
      </c>
      <c r="F443" s="1043"/>
      <c r="G443" s="1550"/>
    </row>
    <row r="444" spans="1:7">
      <c r="A444" s="1754">
        <v>38793</v>
      </c>
      <c r="B444" s="125" t="str">
        <f>TiposLancamentos!B19</f>
        <v>Restaurantes</v>
      </c>
      <c r="C444" s="1040" t="s">
        <v>4977</v>
      </c>
      <c r="D444" s="1736"/>
      <c r="E444" s="1043">
        <v>12.32</v>
      </c>
      <c r="F444" s="1043"/>
      <c r="G444" s="1550"/>
    </row>
    <row r="445" spans="1:7">
      <c r="A445" s="1754">
        <v>38793</v>
      </c>
      <c r="B445" s="125" t="str">
        <f>TiposLancamentos!B19</f>
        <v>Restaurantes</v>
      </c>
      <c r="C445" s="1040" t="s">
        <v>3029</v>
      </c>
      <c r="D445" s="1736"/>
      <c r="E445" s="1043">
        <v>18.77</v>
      </c>
      <c r="F445" s="1043"/>
      <c r="G445" s="1550"/>
    </row>
    <row r="446" spans="1:7">
      <c r="A446" s="1754">
        <v>38793</v>
      </c>
      <c r="B446" s="125" t="str">
        <f>TiposLancamentos!B98</f>
        <v>Restituições</v>
      </c>
      <c r="C446" s="1040" t="s">
        <v>5053</v>
      </c>
      <c r="D446" s="1736">
        <v>369.83</v>
      </c>
      <c r="E446" s="1043"/>
      <c r="F446" s="1043"/>
      <c r="G446" s="1550"/>
    </row>
    <row r="447" spans="1:7">
      <c r="A447" s="1754">
        <v>38794</v>
      </c>
      <c r="B447" s="125" t="str">
        <f>TiposLancamentos!B69</f>
        <v>Consertos</v>
      </c>
      <c r="C447" s="1040" t="s">
        <v>5054</v>
      </c>
      <c r="D447" s="1736"/>
      <c r="E447" s="1043">
        <v>52.5</v>
      </c>
      <c r="F447" s="1043"/>
      <c r="G447" s="1550"/>
    </row>
    <row r="448" spans="1:7">
      <c r="A448" s="1754">
        <v>38794</v>
      </c>
      <c r="B448" s="125" t="str">
        <f>TiposLancamentos!B19</f>
        <v>Restaurantes</v>
      </c>
      <c r="C448" s="1040" t="s">
        <v>5055</v>
      </c>
      <c r="D448" s="1736"/>
      <c r="E448" s="1043">
        <v>30.09</v>
      </c>
      <c r="F448" s="1043"/>
      <c r="G448" s="1550"/>
    </row>
    <row r="449" spans="1:7">
      <c r="A449" s="1754">
        <v>38794</v>
      </c>
      <c r="B449" s="125" t="str">
        <f>TiposLancamentos!B16</f>
        <v>Cristiane</v>
      </c>
      <c r="C449" s="1040" t="s">
        <v>5056</v>
      </c>
      <c r="D449" s="1736"/>
      <c r="E449" s="1043">
        <v>62</v>
      </c>
      <c r="F449" s="1043"/>
      <c r="G449" s="1550"/>
    </row>
    <row r="450" spans="1:7">
      <c r="A450" s="1754">
        <v>38794</v>
      </c>
      <c r="B450" s="125" t="str">
        <f>TiposLancamentos!B16</f>
        <v>Cristiane</v>
      </c>
      <c r="C450" s="1040" t="s">
        <v>5057</v>
      </c>
      <c r="D450" s="1736"/>
      <c r="E450" s="1043">
        <v>13.9</v>
      </c>
      <c r="F450" s="1043"/>
      <c r="G450" s="1550"/>
    </row>
    <row r="451" spans="1:7">
      <c r="A451" s="1754">
        <v>38794</v>
      </c>
      <c r="B451" s="125" t="str">
        <f>TiposLancamentos!B25</f>
        <v>CD_DVD_BD</v>
      </c>
      <c r="C451" s="1040" t="s">
        <v>5058</v>
      </c>
      <c r="D451" s="1736"/>
      <c r="E451" s="1043">
        <v>29.9</v>
      </c>
      <c r="F451" s="1043"/>
      <c r="G451" s="1550"/>
    </row>
    <row r="452" spans="1:7">
      <c r="A452" s="1666">
        <v>38794</v>
      </c>
      <c r="B452" s="817" t="str">
        <f>TiposLancamentos!B25</f>
        <v>CD_DVD_BD</v>
      </c>
      <c r="C452" s="1742" t="s">
        <v>5059</v>
      </c>
      <c r="D452" s="1843"/>
      <c r="E452" s="1839">
        <f>16.9+9.9</f>
        <v>26.799999999999997</v>
      </c>
      <c r="F452" s="1043"/>
      <c r="G452" s="1550"/>
    </row>
    <row r="453" spans="1:7">
      <c r="A453" s="1750">
        <v>38794</v>
      </c>
      <c r="B453" s="818" t="str">
        <f>TiposLancamentos!B90</f>
        <v>Locadora</v>
      </c>
      <c r="C453" s="1743" t="s">
        <v>5060</v>
      </c>
      <c r="D453" s="1844"/>
      <c r="E453" s="1840">
        <f>38.3-E452</f>
        <v>11.5</v>
      </c>
      <c r="F453" s="1043"/>
      <c r="G453" s="1550"/>
    </row>
    <row r="454" spans="1:7">
      <c r="A454" s="1754">
        <v>38794</v>
      </c>
      <c r="B454" s="125" t="str">
        <f>TiposLancamentos!B5</f>
        <v>Supermercado</v>
      </c>
      <c r="C454" s="1040" t="s">
        <v>2567</v>
      </c>
      <c r="D454" s="1736"/>
      <c r="E454" s="1043">
        <v>12.7</v>
      </c>
      <c r="F454" s="1043"/>
      <c r="G454" s="1550"/>
    </row>
    <row r="455" spans="1:7">
      <c r="A455" s="1754">
        <v>38795</v>
      </c>
      <c r="B455" s="125" t="str">
        <f>TiposLancamentos!B5</f>
        <v>Supermercado</v>
      </c>
      <c r="C455" s="1040" t="s">
        <v>2567</v>
      </c>
      <c r="D455" s="1736"/>
      <c r="E455" s="1043">
        <v>19.86</v>
      </c>
      <c r="F455" s="1043"/>
      <c r="G455" s="1550"/>
    </row>
    <row r="456" spans="1:7">
      <c r="A456" s="1754">
        <v>38795</v>
      </c>
      <c r="B456" s="125" t="str">
        <f>TiposLancamentos!B70</f>
        <v>Vestuário</v>
      </c>
      <c r="C456" s="1040" t="s">
        <v>5061</v>
      </c>
      <c r="D456" s="1736"/>
      <c r="E456" s="1043">
        <v>69.989999999999995</v>
      </c>
      <c r="F456" s="1043"/>
      <c r="G456" s="1550"/>
    </row>
    <row r="457" spans="1:7">
      <c r="A457" s="1754">
        <v>38795</v>
      </c>
      <c r="B457" s="125" t="str">
        <f>TiposLancamentos!B20</f>
        <v>Saques</v>
      </c>
      <c r="C457" s="1040" t="s">
        <v>5062</v>
      </c>
      <c r="D457" s="1736"/>
      <c r="E457" s="1043">
        <v>30</v>
      </c>
      <c r="F457" s="1043"/>
      <c r="G457" s="1550"/>
    </row>
    <row r="458" spans="1:7">
      <c r="A458" s="1754">
        <v>38796</v>
      </c>
      <c r="B458" s="125" t="str">
        <f>TiposLancamentos!B8</f>
        <v>Aluguel</v>
      </c>
      <c r="C458" s="1040" t="s">
        <v>5063</v>
      </c>
      <c r="D458" s="1736"/>
      <c r="E458" s="1043">
        <v>798.36</v>
      </c>
      <c r="F458" s="1043"/>
      <c r="G458" s="1550"/>
    </row>
    <row r="459" spans="1:7">
      <c r="A459" s="1754">
        <v>38797</v>
      </c>
      <c r="B459" s="125" t="str">
        <f>TiposLancamentos!B19</f>
        <v>Restaurantes</v>
      </c>
      <c r="C459" s="1040" t="s">
        <v>2618</v>
      </c>
      <c r="D459" s="1736"/>
      <c r="E459" s="1043">
        <v>8.9499999999999993</v>
      </c>
      <c r="F459" s="1043"/>
      <c r="G459" s="1550"/>
    </row>
    <row r="460" spans="1:7">
      <c r="A460" s="1754">
        <v>38797</v>
      </c>
      <c r="B460" s="125" t="str">
        <f>TiposLancamentos!B19</f>
        <v>Restaurantes</v>
      </c>
      <c r="C460" s="1040" t="s">
        <v>3099</v>
      </c>
      <c r="D460" s="1736"/>
      <c r="E460" s="1043">
        <v>3.95</v>
      </c>
      <c r="F460" s="1043"/>
      <c r="G460" s="1550"/>
    </row>
    <row r="461" spans="1:7">
      <c r="A461" s="1754">
        <v>38797</v>
      </c>
      <c r="B461" s="125" t="str">
        <f>TiposLancamentos!B19</f>
        <v>Restaurantes</v>
      </c>
      <c r="C461" s="1040" t="s">
        <v>3029</v>
      </c>
      <c r="D461" s="1736"/>
      <c r="E461" s="1043">
        <v>17.54</v>
      </c>
      <c r="F461" s="1043"/>
      <c r="G461" s="1550"/>
    </row>
    <row r="462" spans="1:7">
      <c r="A462" s="1754">
        <v>38797</v>
      </c>
      <c r="B462" s="125" t="str">
        <f>TiposLancamentos!B5</f>
        <v>Supermercado</v>
      </c>
      <c r="C462" s="1040" t="s">
        <v>5064</v>
      </c>
      <c r="D462" s="1736"/>
      <c r="E462" s="1043">
        <v>4.58</v>
      </c>
      <c r="F462" s="1043"/>
      <c r="G462" s="1550"/>
    </row>
    <row r="463" spans="1:7">
      <c r="A463" s="1754">
        <v>38798</v>
      </c>
      <c r="B463" s="125" t="str">
        <f>TiposLancamentos!B4</f>
        <v>Taxas Bancarias</v>
      </c>
      <c r="C463" s="1040" t="s">
        <v>5065</v>
      </c>
      <c r="D463" s="1736"/>
      <c r="E463" s="1043">
        <v>6.31</v>
      </c>
      <c r="F463" s="1043"/>
      <c r="G463" s="1550"/>
    </row>
    <row r="464" spans="1:7">
      <c r="A464" s="1754">
        <v>38799</v>
      </c>
      <c r="B464" s="125" t="str">
        <f>TiposLancamentos!B20</f>
        <v>Saques</v>
      </c>
      <c r="C464" s="1040" t="s">
        <v>2668</v>
      </c>
      <c r="D464" s="1736"/>
      <c r="E464" s="1043">
        <v>60</v>
      </c>
      <c r="F464" s="1043"/>
      <c r="G464" s="1550"/>
    </row>
    <row r="465" spans="1:7">
      <c r="A465" s="1754">
        <v>38799</v>
      </c>
      <c r="B465" s="125" t="str">
        <f>TiposLancamentos!B5</f>
        <v>Supermercado</v>
      </c>
      <c r="C465" s="1040" t="s">
        <v>2567</v>
      </c>
      <c r="D465" s="1736"/>
      <c r="E465" s="1043">
        <v>38.76</v>
      </c>
      <c r="F465" s="1043"/>
      <c r="G465" s="1550"/>
    </row>
    <row r="466" spans="1:7">
      <c r="A466" s="1754">
        <v>38800</v>
      </c>
      <c r="B466" s="125" t="str">
        <f>TiposLancamentos!B19</f>
        <v>Restaurantes</v>
      </c>
      <c r="C466" s="1040" t="s">
        <v>5066</v>
      </c>
      <c r="D466" s="1736"/>
      <c r="E466" s="1043">
        <v>11.3</v>
      </c>
      <c r="F466" s="1043"/>
      <c r="G466" s="1550"/>
    </row>
    <row r="467" spans="1:7">
      <c r="A467" s="1754">
        <v>38801</v>
      </c>
      <c r="B467" s="125" t="str">
        <f>TiposLancamentos!B20</f>
        <v>Saques</v>
      </c>
      <c r="C467" s="1040" t="s">
        <v>2668</v>
      </c>
      <c r="D467" s="1736"/>
      <c r="E467" s="1043">
        <v>40</v>
      </c>
      <c r="F467" s="1043"/>
      <c r="G467" s="1550"/>
    </row>
    <row r="468" spans="1:7">
      <c r="A468" s="1754">
        <v>38801</v>
      </c>
      <c r="B468" s="125" t="str">
        <f>TiposLancamentos!B19</f>
        <v>Restaurantes</v>
      </c>
      <c r="C468" s="1040" t="s">
        <v>3029</v>
      </c>
      <c r="D468" s="1736"/>
      <c r="E468" s="1043">
        <v>11.75</v>
      </c>
      <c r="F468" s="1043"/>
      <c r="G468" s="1550"/>
    </row>
    <row r="469" spans="1:7">
      <c r="A469" s="1754">
        <v>38801</v>
      </c>
      <c r="B469" s="125" t="str">
        <f>TiposLancamentos!B56</f>
        <v>Farmácia</v>
      </c>
      <c r="C469" s="1040" t="s">
        <v>1775</v>
      </c>
      <c r="D469" s="1736"/>
      <c r="E469" s="1043">
        <v>17.03</v>
      </c>
      <c r="F469" s="1043"/>
      <c r="G469" s="1550"/>
    </row>
    <row r="470" spans="1:7">
      <c r="A470" s="1754">
        <v>38801</v>
      </c>
      <c r="B470" s="125" t="str">
        <f>TiposLancamentos!B5</f>
        <v>Supermercado</v>
      </c>
      <c r="C470" s="1040" t="s">
        <v>2567</v>
      </c>
      <c r="D470" s="1736"/>
      <c r="E470" s="1043">
        <v>22.99</v>
      </c>
      <c r="F470" s="1043"/>
      <c r="G470" s="1550"/>
    </row>
    <row r="471" spans="1:7">
      <c r="A471" s="1667">
        <v>38802</v>
      </c>
      <c r="B471" s="816" t="str">
        <f>TiposLancamentos!B5</f>
        <v>Supermercado</v>
      </c>
      <c r="C471" s="1769" t="s">
        <v>5067</v>
      </c>
      <c r="D471" s="1736"/>
      <c r="E471" s="1043">
        <v>3.18</v>
      </c>
      <c r="F471" s="1043"/>
      <c r="G471" s="1550"/>
    </row>
    <row r="472" spans="1:7">
      <c r="A472" s="1667">
        <v>38802</v>
      </c>
      <c r="B472" s="816" t="str">
        <f>TiposLancamentos!B17</f>
        <v>GATO</v>
      </c>
      <c r="C472" s="1769" t="s">
        <v>5068</v>
      </c>
      <c r="D472" s="1736"/>
      <c r="E472" s="1043">
        <v>4.99</v>
      </c>
      <c r="F472" s="1043"/>
      <c r="G472" s="1550"/>
    </row>
    <row r="473" spans="1:7">
      <c r="A473" s="1667">
        <v>38802</v>
      </c>
      <c r="B473" s="816" t="str">
        <f>TiposLancamentos!B16</f>
        <v>Cristiane</v>
      </c>
      <c r="C473" s="1769" t="s">
        <v>1698</v>
      </c>
      <c r="D473" s="1736"/>
      <c r="E473" s="1043">
        <f>6.53+2.55</f>
        <v>9.08</v>
      </c>
      <c r="F473" s="1043"/>
      <c r="G473" s="1550"/>
    </row>
    <row r="474" spans="1:7">
      <c r="A474" s="1754">
        <v>38803</v>
      </c>
      <c r="B474" s="125" t="str">
        <f>TiposLancamentos!B20</f>
        <v>Saques</v>
      </c>
      <c r="C474" s="1040" t="s">
        <v>2668</v>
      </c>
      <c r="D474" s="1736"/>
      <c r="E474" s="1043">
        <v>20</v>
      </c>
      <c r="F474" s="1043"/>
      <c r="G474" s="1550"/>
    </row>
    <row r="475" spans="1:7">
      <c r="A475" s="1754">
        <v>38803</v>
      </c>
      <c r="B475" s="125" t="str">
        <f>TiposLancamentos!B19</f>
        <v>Restaurantes</v>
      </c>
      <c r="C475" s="1040" t="s">
        <v>3225</v>
      </c>
      <c r="D475" s="1736"/>
      <c r="E475" s="1043">
        <v>16.399999999999999</v>
      </c>
      <c r="F475" s="1043"/>
      <c r="G475" s="1550"/>
    </row>
    <row r="476" spans="1:7">
      <c r="A476" s="1754">
        <v>38803</v>
      </c>
      <c r="B476" s="125" t="str">
        <f>TiposLancamentos!B19</f>
        <v>Restaurantes</v>
      </c>
      <c r="C476" s="1040" t="s">
        <v>3022</v>
      </c>
      <c r="D476" s="1736"/>
      <c r="E476" s="1043">
        <v>7.9</v>
      </c>
      <c r="F476" s="1043"/>
      <c r="G476" s="1550"/>
    </row>
    <row r="477" spans="1:7">
      <c r="A477" s="1754">
        <v>38804</v>
      </c>
      <c r="B477" s="125" t="str">
        <f>TiposLancamentos!B57</f>
        <v>Informática</v>
      </c>
      <c r="C477" s="1040" t="s">
        <v>5069</v>
      </c>
      <c r="D477" s="1736"/>
      <c r="E477" s="1043">
        <v>30</v>
      </c>
      <c r="F477" s="1043"/>
      <c r="G477" s="1550"/>
    </row>
    <row r="478" spans="1:7">
      <c r="A478" s="1754">
        <v>38804</v>
      </c>
      <c r="B478" s="125" t="str">
        <f>TiposLancamentos!B19</f>
        <v>Restaurantes</v>
      </c>
      <c r="C478" s="1040" t="s">
        <v>3029</v>
      </c>
      <c r="D478" s="1736"/>
      <c r="E478" s="1043">
        <v>10.69</v>
      </c>
      <c r="F478" s="1043"/>
      <c r="G478" s="1550"/>
    </row>
    <row r="479" spans="1:7">
      <c r="A479" s="1666">
        <v>38804</v>
      </c>
      <c r="B479" s="817" t="str">
        <f>TiposLancamentos!B58</f>
        <v>Fotografias</v>
      </c>
      <c r="C479" s="1742" t="s">
        <v>5070</v>
      </c>
      <c r="D479" s="1843"/>
      <c r="E479" s="1839">
        <v>21.78</v>
      </c>
      <c r="F479" s="1043"/>
      <c r="G479" s="1550"/>
    </row>
    <row r="480" spans="1:7">
      <c r="A480" s="1750">
        <v>38804</v>
      </c>
      <c r="B480" s="818" t="str">
        <f>TiposLancamentos!B16</f>
        <v>Cristiane</v>
      </c>
      <c r="C480" s="1743" t="s">
        <v>5071</v>
      </c>
      <c r="D480" s="1844"/>
      <c r="E480" s="1840">
        <f>33.64-E479</f>
        <v>11.86</v>
      </c>
      <c r="F480" s="1043"/>
      <c r="G480" s="1550"/>
    </row>
    <row r="481" spans="1:7" ht="14.25" thickBot="1">
      <c r="A481" s="1754">
        <v>38807</v>
      </c>
      <c r="B481" s="125" t="str">
        <f>TiposLancamentos!B95</f>
        <v>Salarios</v>
      </c>
      <c r="C481" s="1040" t="s">
        <v>4939</v>
      </c>
      <c r="D481" s="1736">
        <v>2032.96</v>
      </c>
      <c r="E481" s="1043"/>
      <c r="F481" s="1043"/>
      <c r="G481" s="1550"/>
    </row>
    <row r="482" spans="1:7">
      <c r="A482" s="1834"/>
      <c r="B482" s="977"/>
      <c r="C482" s="1854" t="s">
        <v>4810</v>
      </c>
      <c r="D482" s="1823"/>
      <c r="E482" s="1821"/>
      <c r="F482" s="1821"/>
      <c r="G482" s="1895"/>
    </row>
    <row r="483" spans="1:7">
      <c r="A483" s="1754">
        <v>38808</v>
      </c>
      <c r="B483" s="125" t="str">
        <f>TiposLancamentos!B56</f>
        <v>Farmácia</v>
      </c>
      <c r="C483" s="1040" t="s">
        <v>1775</v>
      </c>
      <c r="D483" s="1736"/>
      <c r="E483" s="1043">
        <v>17.43</v>
      </c>
      <c r="F483" s="1043"/>
      <c r="G483" s="1550"/>
    </row>
    <row r="484" spans="1:7">
      <c r="A484" s="1754">
        <v>38808</v>
      </c>
      <c r="B484" s="125" t="str">
        <f>TiposLancamentos!B9</f>
        <v>Condominio</v>
      </c>
      <c r="C484" s="1040" t="s">
        <v>5072</v>
      </c>
      <c r="D484" s="1736"/>
      <c r="E484" s="1043">
        <v>527.82000000000005</v>
      </c>
      <c r="F484" s="1043"/>
      <c r="G484" s="1550"/>
    </row>
    <row r="485" spans="1:7">
      <c r="A485" s="1754">
        <v>38808</v>
      </c>
      <c r="B485" s="125" t="str">
        <f>TiposLancamentos!B20</f>
        <v>Saques</v>
      </c>
      <c r="C485" s="1040" t="s">
        <v>2668</v>
      </c>
      <c r="D485" s="1736"/>
      <c r="E485" s="1043">
        <v>20</v>
      </c>
      <c r="F485" s="1043"/>
      <c r="G485" s="1550"/>
    </row>
    <row r="486" spans="1:7">
      <c r="A486" s="1754">
        <v>38808</v>
      </c>
      <c r="B486" s="125" t="str">
        <f>TiposLancamentos!B70</f>
        <v>Vestuário</v>
      </c>
      <c r="C486" s="1040" t="s">
        <v>5073</v>
      </c>
      <c r="D486" s="1736"/>
      <c r="E486" s="1043">
        <v>120</v>
      </c>
      <c r="F486" s="1043"/>
      <c r="G486" s="1550"/>
    </row>
    <row r="487" spans="1:7">
      <c r="A487" s="1754">
        <v>38808</v>
      </c>
      <c r="B487" s="125" t="str">
        <f>TiposLancamentos!B70</f>
        <v>Vestuário</v>
      </c>
      <c r="C487" s="1040" t="s">
        <v>5074</v>
      </c>
      <c r="D487" s="1736"/>
      <c r="E487" s="1043">
        <v>39.99</v>
      </c>
      <c r="F487" s="1043"/>
      <c r="G487" s="1550"/>
    </row>
    <row r="488" spans="1:7">
      <c r="A488" s="1754">
        <v>38808</v>
      </c>
      <c r="B488" s="125" t="str">
        <f>TiposLancamentos!B25</f>
        <v>CD_DVD_BD</v>
      </c>
      <c r="C488" s="1040" t="s">
        <v>5075</v>
      </c>
      <c r="D488" s="1736"/>
      <c r="E488" s="1043">
        <v>89.9</v>
      </c>
      <c r="F488" s="1043"/>
      <c r="G488" s="1550"/>
    </row>
    <row r="489" spans="1:7">
      <c r="A489" s="1754">
        <v>38808</v>
      </c>
      <c r="B489" s="125" t="str">
        <f>TiposLancamentos!B19</f>
        <v>Restaurantes</v>
      </c>
      <c r="C489" s="1040" t="s">
        <v>5076</v>
      </c>
      <c r="D489" s="1736"/>
      <c r="E489" s="1043">
        <v>19.899999999999999</v>
      </c>
      <c r="F489" s="1043"/>
      <c r="G489" s="1550"/>
    </row>
    <row r="490" spans="1:7">
      <c r="A490" s="1754">
        <v>38808</v>
      </c>
      <c r="B490" s="125" t="str">
        <f>TiposLancamentos!B70</f>
        <v>Vestuário</v>
      </c>
      <c r="C490" s="1040" t="s">
        <v>5077</v>
      </c>
      <c r="D490" s="1736"/>
      <c r="E490" s="1043">
        <v>59.9</v>
      </c>
      <c r="F490" s="1043"/>
      <c r="G490" s="1550"/>
    </row>
    <row r="491" spans="1:7">
      <c r="A491" s="1754">
        <v>38808</v>
      </c>
      <c r="B491" s="125" t="str">
        <f>TiposLancamentos!B19</f>
        <v>Restaurantes</v>
      </c>
      <c r="C491" s="1040" t="s">
        <v>5078</v>
      </c>
      <c r="D491" s="1736"/>
      <c r="E491" s="1043">
        <v>37</v>
      </c>
      <c r="F491" s="1043"/>
      <c r="G491" s="1550"/>
    </row>
    <row r="492" spans="1:7">
      <c r="A492" s="1754">
        <v>38809</v>
      </c>
      <c r="B492" s="125" t="str">
        <f>TiposLancamentos!B19</f>
        <v>Restaurantes</v>
      </c>
      <c r="C492" s="1040" t="s">
        <v>5079</v>
      </c>
      <c r="D492" s="1736"/>
      <c r="E492" s="1043">
        <v>21.8</v>
      </c>
      <c r="F492" s="1043"/>
      <c r="G492" s="1550"/>
    </row>
    <row r="493" spans="1:7">
      <c r="A493" s="1754">
        <v>38810</v>
      </c>
      <c r="B493" s="125" t="str">
        <f>TiposLancamentos!B2</f>
        <v>Telefonia</v>
      </c>
      <c r="C493" s="1040" t="s">
        <v>5080</v>
      </c>
      <c r="D493" s="1736"/>
      <c r="E493" s="1043">
        <v>36.119999999999997</v>
      </c>
      <c r="F493" s="1043"/>
      <c r="G493" s="1550"/>
    </row>
    <row r="494" spans="1:7">
      <c r="A494" s="1754">
        <v>38810</v>
      </c>
      <c r="B494" s="125" t="str">
        <f>TiposLancamentos!B3</f>
        <v>Internet</v>
      </c>
      <c r="C494" s="1040" t="s">
        <v>4987</v>
      </c>
      <c r="D494" s="1736"/>
      <c r="E494" s="1043">
        <v>79.900000000000006</v>
      </c>
      <c r="F494" s="1043"/>
      <c r="G494" s="1550"/>
    </row>
    <row r="495" spans="1:7">
      <c r="A495" s="1754">
        <v>38810</v>
      </c>
      <c r="B495" s="125" t="str">
        <f>TiposLancamentos!B15</f>
        <v>Cartões de Crédito</v>
      </c>
      <c r="C495" s="1040" t="s">
        <v>5081</v>
      </c>
      <c r="D495" s="1736"/>
      <c r="E495" s="1043">
        <v>356.89</v>
      </c>
      <c r="F495" s="1043"/>
      <c r="G495" s="1550"/>
    </row>
    <row r="496" spans="1:7">
      <c r="A496" s="1754">
        <v>38810</v>
      </c>
      <c r="B496" s="125" t="str">
        <f>TiposLancamentos!B6</f>
        <v>Energia Eletrica</v>
      </c>
      <c r="C496" s="1040" t="s">
        <v>5030</v>
      </c>
      <c r="D496" s="1736"/>
      <c r="E496" s="1043">
        <v>57.1</v>
      </c>
      <c r="F496" s="1043"/>
      <c r="G496" s="1550"/>
    </row>
    <row r="497" spans="1:7">
      <c r="A497" s="1754">
        <v>38810</v>
      </c>
      <c r="B497" s="125" t="str">
        <f>TiposLancamentos!B2</f>
        <v>Telefonia</v>
      </c>
      <c r="C497" s="1040" t="s">
        <v>5005</v>
      </c>
      <c r="D497" s="1736"/>
      <c r="E497" s="1043">
        <v>5.53</v>
      </c>
      <c r="F497" s="1043"/>
      <c r="G497" s="1550"/>
    </row>
    <row r="498" spans="1:7">
      <c r="A498" s="1754">
        <v>38810</v>
      </c>
      <c r="B498" s="125" t="str">
        <f>TiposLancamentos!B56</f>
        <v>Farmácia</v>
      </c>
      <c r="C498" s="1040" t="s">
        <v>5082</v>
      </c>
      <c r="D498" s="1736"/>
      <c r="E498" s="1043">
        <v>33.01</v>
      </c>
      <c r="F498" s="1043"/>
      <c r="G498" s="1550"/>
    </row>
    <row r="499" spans="1:7">
      <c r="A499" s="1754">
        <v>38810</v>
      </c>
      <c r="B499" s="125" t="str">
        <f>TiposLancamentos!B72</f>
        <v>Presentes</v>
      </c>
      <c r="C499" s="1040" t="s">
        <v>5083</v>
      </c>
      <c r="D499" s="1736"/>
      <c r="E499" s="1043">
        <v>60</v>
      </c>
      <c r="F499" s="1043"/>
      <c r="G499" s="1550"/>
    </row>
    <row r="500" spans="1:7">
      <c r="A500" s="1666">
        <v>38810</v>
      </c>
      <c r="B500" s="817" t="str">
        <f>TiposLancamentos!B13</f>
        <v>Moradia</v>
      </c>
      <c r="C500" s="1742" t="s">
        <v>5084</v>
      </c>
      <c r="D500" s="1843"/>
      <c r="E500" s="1839">
        <f>109+2.49+2.49+1.89</f>
        <v>115.86999999999999</v>
      </c>
      <c r="F500" s="1043"/>
      <c r="G500" s="1550"/>
    </row>
    <row r="501" spans="1:7">
      <c r="A501" s="1750">
        <v>38810</v>
      </c>
      <c r="B501" s="818" t="str">
        <f>TiposLancamentos!B17</f>
        <v>GATO</v>
      </c>
      <c r="C501" s="1743" t="s">
        <v>5085</v>
      </c>
      <c r="D501" s="1844"/>
      <c r="E501" s="1840">
        <f>4.99+4.99+14.99</f>
        <v>24.97</v>
      </c>
      <c r="F501" s="1043"/>
      <c r="G501" s="1550"/>
    </row>
    <row r="502" spans="1:7">
      <c r="A502" s="1754">
        <v>38810</v>
      </c>
      <c r="B502" s="125" t="str">
        <f>TiposLancamentos!B20</f>
        <v>Saques</v>
      </c>
      <c r="C502" s="1040" t="s">
        <v>2668</v>
      </c>
      <c r="D502" s="1736"/>
      <c r="E502" s="1043">
        <v>10</v>
      </c>
      <c r="F502" s="1043"/>
      <c r="G502" s="1550"/>
    </row>
    <row r="503" spans="1:7">
      <c r="A503" s="1754">
        <v>38810</v>
      </c>
      <c r="B503" s="125" t="str">
        <f>TiposLancamentos!B19</f>
        <v>Restaurantes</v>
      </c>
      <c r="C503" s="1040" t="s">
        <v>5086</v>
      </c>
      <c r="D503" s="1736"/>
      <c r="E503" s="1043">
        <v>9.39</v>
      </c>
      <c r="F503" s="1043"/>
      <c r="G503" s="1550"/>
    </row>
    <row r="504" spans="1:7">
      <c r="A504" s="1754">
        <v>38810</v>
      </c>
      <c r="B504" s="125" t="str">
        <f>TiposLancamentos!B80</f>
        <v>Mudanças</v>
      </c>
      <c r="C504" s="1040" t="s">
        <v>5087</v>
      </c>
      <c r="D504" s="1851"/>
      <c r="E504" s="1043">
        <v>302.5</v>
      </c>
      <c r="F504" s="1043"/>
      <c r="G504" s="1550"/>
    </row>
    <row r="505" spans="1:7">
      <c r="A505" s="1754">
        <v>38811</v>
      </c>
      <c r="B505" s="125" t="str">
        <f>TiposLancamentos!B4</f>
        <v>Taxas Bancarias</v>
      </c>
      <c r="C505" s="1040" t="s">
        <v>4822</v>
      </c>
      <c r="D505" s="1736"/>
      <c r="E505" s="1043">
        <v>1.33</v>
      </c>
      <c r="F505" s="1043"/>
      <c r="G505" s="1550"/>
    </row>
    <row r="506" spans="1:7">
      <c r="A506" s="1754">
        <v>38811</v>
      </c>
      <c r="B506" s="125" t="str">
        <f>TiposLancamentos!B2</f>
        <v>Telefonia</v>
      </c>
      <c r="C506" s="1040" t="s">
        <v>5088</v>
      </c>
      <c r="D506" s="1736"/>
      <c r="E506" s="1043">
        <v>54.48</v>
      </c>
      <c r="F506" s="1043"/>
      <c r="G506" s="1550"/>
    </row>
    <row r="507" spans="1:7">
      <c r="A507" s="1754">
        <v>38811</v>
      </c>
      <c r="B507" s="125" t="str">
        <f>TiposLancamentos!B44</f>
        <v>Academia</v>
      </c>
      <c r="C507" s="1040" t="s">
        <v>5089</v>
      </c>
      <c r="D507" s="1736"/>
      <c r="E507" s="1043">
        <v>45</v>
      </c>
      <c r="F507" s="1043"/>
      <c r="G507" s="1550"/>
    </row>
    <row r="508" spans="1:7">
      <c r="A508" s="1754">
        <v>38812</v>
      </c>
      <c r="B508" s="125" t="str">
        <f>TiposLancamentos!B20</f>
        <v>Saques</v>
      </c>
      <c r="C508" s="1040" t="s">
        <v>2668</v>
      </c>
      <c r="D508" s="1736"/>
      <c r="E508" s="1043">
        <v>20</v>
      </c>
      <c r="F508" s="1043"/>
      <c r="G508" s="1550"/>
    </row>
    <row r="509" spans="1:7">
      <c r="A509" s="1754">
        <v>38813</v>
      </c>
      <c r="B509" s="125" t="str">
        <f>TiposLancamentos!B5</f>
        <v>Supermercado</v>
      </c>
      <c r="C509" s="1040" t="s">
        <v>2567</v>
      </c>
      <c r="D509" s="1736"/>
      <c r="E509" s="1043">
        <v>18.96</v>
      </c>
      <c r="F509" s="1043"/>
      <c r="G509" s="1550"/>
    </row>
    <row r="510" spans="1:7">
      <c r="A510" s="1754">
        <v>38814</v>
      </c>
      <c r="B510" s="125" t="str">
        <f>TiposLancamentos!B16</f>
        <v>Cristiane</v>
      </c>
      <c r="C510" s="1040" t="s">
        <v>5090</v>
      </c>
      <c r="D510" s="1736"/>
      <c r="E510" s="1043">
        <v>70</v>
      </c>
      <c r="F510" s="1043"/>
      <c r="G510" s="1550"/>
    </row>
    <row r="511" spans="1:7">
      <c r="A511" s="1754">
        <v>38815</v>
      </c>
      <c r="B511" s="125" t="str">
        <f>TiposLancamentos!B83</f>
        <v>Artigos Moto</v>
      </c>
      <c r="C511" s="1040" t="s">
        <v>5091</v>
      </c>
      <c r="D511" s="1736"/>
      <c r="E511" s="1043">
        <v>248.4</v>
      </c>
      <c r="F511" s="1043"/>
      <c r="G511" s="1550"/>
    </row>
    <row r="512" spans="1:7">
      <c r="A512" s="1754">
        <v>38815</v>
      </c>
      <c r="B512" s="125" t="str">
        <f>TiposLancamentos!B19</f>
        <v>Restaurantes</v>
      </c>
      <c r="C512" s="1040" t="s">
        <v>4977</v>
      </c>
      <c r="D512" s="1736"/>
      <c r="E512" s="1043">
        <v>17.309999999999999</v>
      </c>
      <c r="F512" s="1043"/>
      <c r="G512" s="1550"/>
    </row>
    <row r="513" spans="1:7">
      <c r="A513" s="1754">
        <v>38815</v>
      </c>
      <c r="B513" s="125" t="str">
        <f>TiposLancamentos!B16</f>
        <v>Cristiane</v>
      </c>
      <c r="C513" s="1040" t="s">
        <v>5092</v>
      </c>
      <c r="D513" s="1736"/>
      <c r="E513" s="1043">
        <v>27</v>
      </c>
      <c r="F513" s="1043"/>
      <c r="G513" s="1550"/>
    </row>
    <row r="514" spans="1:7">
      <c r="A514" s="1754">
        <v>38815</v>
      </c>
      <c r="B514" s="125" t="str">
        <f>TiposLancamentos!B5</f>
        <v>Supermercado</v>
      </c>
      <c r="C514" s="1040" t="s">
        <v>5093</v>
      </c>
      <c r="D514" s="1736"/>
      <c r="E514" s="1043">
        <v>20.41</v>
      </c>
      <c r="F514" s="1043"/>
      <c r="G514" s="1550"/>
    </row>
    <row r="515" spans="1:7">
      <c r="A515" s="1754">
        <v>38815</v>
      </c>
      <c r="B515" s="125" t="str">
        <f>TiposLancamentos!B13</f>
        <v>Moradia</v>
      </c>
      <c r="C515" s="1040" t="s">
        <v>5094</v>
      </c>
      <c r="D515" s="1736"/>
      <c r="E515" s="1043">
        <v>69.900000000000006</v>
      </c>
      <c r="F515" s="1043"/>
      <c r="G515" s="1550"/>
    </row>
    <row r="516" spans="1:7">
      <c r="A516" s="1754">
        <v>38816</v>
      </c>
      <c r="B516" s="125" t="str">
        <f>TiposLancamentos!B5</f>
        <v>Supermercado</v>
      </c>
      <c r="C516" s="1040" t="s">
        <v>5095</v>
      </c>
      <c r="D516" s="1736"/>
      <c r="E516" s="1043">
        <v>39</v>
      </c>
      <c r="F516" s="1043"/>
      <c r="G516" s="1550"/>
    </row>
    <row r="517" spans="1:7">
      <c r="A517" s="1754">
        <v>38818</v>
      </c>
      <c r="B517" s="125" t="str">
        <f>TiposLancamentos!B20</f>
        <v>Saques</v>
      </c>
      <c r="C517" s="1040" t="s">
        <v>2876</v>
      </c>
      <c r="D517" s="1736"/>
      <c r="E517" s="1043">
        <v>60</v>
      </c>
      <c r="F517" s="1043"/>
      <c r="G517" s="1550"/>
    </row>
    <row r="518" spans="1:7">
      <c r="A518" s="1754">
        <v>38818</v>
      </c>
      <c r="B518" s="125" t="str">
        <f>TiposLancamentos!B17</f>
        <v>GATO</v>
      </c>
      <c r="C518" s="1040" t="s">
        <v>5096</v>
      </c>
      <c r="D518" s="1736"/>
      <c r="E518" s="1043">
        <v>52</v>
      </c>
      <c r="F518" s="1043"/>
      <c r="G518" s="1550"/>
    </row>
    <row r="519" spans="1:7">
      <c r="A519" s="1754">
        <v>38818</v>
      </c>
      <c r="B519" s="125" t="str">
        <f>TiposLancamentos!B65</f>
        <v>Taxi</v>
      </c>
      <c r="C519" s="1040" t="s">
        <v>5097</v>
      </c>
      <c r="D519" s="1736"/>
      <c r="E519" s="1043">
        <v>35</v>
      </c>
      <c r="F519" s="1043"/>
      <c r="G519" s="1550"/>
    </row>
    <row r="520" spans="1:7">
      <c r="A520" s="1754">
        <v>38819</v>
      </c>
      <c r="B520" s="125" t="str">
        <f>TiposLancamentos!B17</f>
        <v>GATO</v>
      </c>
      <c r="C520" s="1040" t="s">
        <v>5098</v>
      </c>
      <c r="D520" s="1736"/>
      <c r="E520" s="1043">
        <v>21.8</v>
      </c>
      <c r="F520" s="1043"/>
      <c r="G520" s="1550"/>
    </row>
    <row r="521" spans="1:7">
      <c r="A521" s="1754">
        <v>38819</v>
      </c>
      <c r="B521" s="125" t="str">
        <f>TiposLancamentos!B19</f>
        <v>Restaurantes</v>
      </c>
      <c r="C521" s="1040" t="s">
        <v>3315</v>
      </c>
      <c r="D521" s="1736"/>
      <c r="E521" s="1043">
        <v>18.28</v>
      </c>
      <c r="F521" s="1043"/>
      <c r="G521" s="1550"/>
    </row>
    <row r="522" spans="1:7">
      <c r="A522" s="1754">
        <v>38819</v>
      </c>
      <c r="B522" s="125" t="str">
        <f>TiposLancamentos!B4</f>
        <v>Taxas Bancarias</v>
      </c>
      <c r="C522" s="1040" t="s">
        <v>4853</v>
      </c>
      <c r="D522" s="1736"/>
      <c r="E522" s="1043">
        <v>9.75</v>
      </c>
      <c r="F522" s="1043"/>
      <c r="G522" s="1550"/>
    </row>
    <row r="523" spans="1:7">
      <c r="A523" s="1754">
        <v>38820</v>
      </c>
      <c r="B523" s="125" t="str">
        <f>TiposLancamentos!B95</f>
        <v>Salarios</v>
      </c>
      <c r="C523" s="1040" t="s">
        <v>4916</v>
      </c>
      <c r="D523" s="1736">
        <v>1689.1</v>
      </c>
      <c r="E523" s="1043"/>
      <c r="F523" s="1043"/>
      <c r="G523" s="1550"/>
    </row>
    <row r="524" spans="1:7">
      <c r="A524" s="1754">
        <v>38822</v>
      </c>
      <c r="B524" s="125" t="str">
        <f>TiposLancamentos!B13</f>
        <v>Moradia</v>
      </c>
      <c r="C524" s="1040" t="s">
        <v>5099</v>
      </c>
      <c r="D524" s="1736"/>
      <c r="E524" s="1043">
        <v>140</v>
      </c>
      <c r="F524" s="1043"/>
      <c r="G524" s="1550"/>
    </row>
    <row r="525" spans="1:7">
      <c r="A525" s="1754">
        <v>38822</v>
      </c>
      <c r="B525" s="125" t="str">
        <f>TiposLancamentos!B84</f>
        <v>Cbx Twister 250</v>
      </c>
      <c r="C525" s="1040" t="s">
        <v>5100</v>
      </c>
      <c r="D525" s="1736"/>
      <c r="E525" s="1043">
        <v>452</v>
      </c>
      <c r="F525" s="1043"/>
      <c r="G525" s="1550"/>
    </row>
    <row r="526" spans="1:7">
      <c r="A526" s="1754">
        <v>38824</v>
      </c>
      <c r="B526" s="125" t="str">
        <f>TiposLancamentos!B22</f>
        <v>Combustivel</v>
      </c>
      <c r="C526" s="1040" t="s">
        <v>2514</v>
      </c>
      <c r="D526" s="1736"/>
      <c r="E526" s="1043">
        <v>28</v>
      </c>
      <c r="F526" s="1043"/>
      <c r="G526" s="1550"/>
    </row>
    <row r="527" spans="1:7">
      <c r="A527" s="1754">
        <v>38824</v>
      </c>
      <c r="B527" s="125" t="str">
        <f>TiposLancamentos!B20</f>
        <v>Saques</v>
      </c>
      <c r="C527" s="1040" t="s">
        <v>2668</v>
      </c>
      <c r="D527" s="1736"/>
      <c r="E527" s="1043">
        <v>40</v>
      </c>
      <c r="F527" s="1043"/>
      <c r="G527" s="1550"/>
    </row>
    <row r="528" spans="1:7">
      <c r="A528" s="1754">
        <v>38824</v>
      </c>
      <c r="B528" s="125" t="str">
        <f>TiposLancamentos!B17</f>
        <v>GATO</v>
      </c>
      <c r="C528" s="1040" t="s">
        <v>5101</v>
      </c>
      <c r="D528" s="1736"/>
      <c r="E528" s="1043">
        <v>35</v>
      </c>
      <c r="F528" s="1043"/>
      <c r="G528" s="1550"/>
    </row>
    <row r="529" spans="1:7">
      <c r="A529" s="1754">
        <v>38824</v>
      </c>
      <c r="B529" s="125" t="str">
        <f>TiposLancamentos!B17</f>
        <v>GATO</v>
      </c>
      <c r="C529" s="1040" t="s">
        <v>5102</v>
      </c>
      <c r="D529" s="1736"/>
      <c r="E529" s="1043">
        <v>39.799999999999997</v>
      </c>
      <c r="F529" s="1043"/>
      <c r="G529" s="1550"/>
    </row>
    <row r="530" spans="1:7">
      <c r="A530" s="1754">
        <v>38825</v>
      </c>
      <c r="B530" s="125" t="str">
        <f>TiposLancamentos!B56</f>
        <v>Farmácia</v>
      </c>
      <c r="C530" s="1040" t="s">
        <v>5103</v>
      </c>
      <c r="D530" s="1736"/>
      <c r="E530" s="1043">
        <v>11</v>
      </c>
      <c r="F530" s="1043"/>
      <c r="G530" s="1550"/>
    </row>
    <row r="531" spans="1:7">
      <c r="A531" s="1754">
        <v>38826</v>
      </c>
      <c r="B531" s="125" t="str">
        <f>TiposLancamentos!B8</f>
        <v>Aluguel</v>
      </c>
      <c r="C531" s="1040" t="s">
        <v>5104</v>
      </c>
      <c r="D531" s="1736"/>
      <c r="E531" s="1043">
        <v>750.93</v>
      </c>
      <c r="F531" s="1043"/>
      <c r="G531" s="1550"/>
    </row>
    <row r="532" spans="1:7">
      <c r="A532" s="1754">
        <v>38826</v>
      </c>
      <c r="B532" s="125" t="str">
        <f>TiposLancamentos!B19</f>
        <v>Restaurantes</v>
      </c>
      <c r="C532" s="1040" t="s">
        <v>5105</v>
      </c>
      <c r="D532" s="1736"/>
      <c r="E532" s="1043">
        <v>16.52</v>
      </c>
      <c r="F532" s="1043"/>
      <c r="G532" s="1550"/>
    </row>
    <row r="533" spans="1:7">
      <c r="A533" s="1754">
        <v>38826</v>
      </c>
      <c r="B533" s="125" t="str">
        <f>TiposLancamentos!B65</f>
        <v>Taxi</v>
      </c>
      <c r="C533" s="1040" t="s">
        <v>5106</v>
      </c>
      <c r="D533" s="1736"/>
      <c r="E533" s="1043">
        <v>33</v>
      </c>
      <c r="F533" s="1043"/>
      <c r="G533" s="1550"/>
    </row>
    <row r="534" spans="1:7">
      <c r="A534" s="1754">
        <v>38826</v>
      </c>
      <c r="B534" s="125" t="str">
        <f>TiposLancamentos!B5</f>
        <v>Supermercado</v>
      </c>
      <c r="C534" s="1040" t="s">
        <v>5107</v>
      </c>
      <c r="D534" s="1736"/>
      <c r="E534" s="1043">
        <v>23.02</v>
      </c>
      <c r="F534" s="1043"/>
      <c r="G534" s="1550"/>
    </row>
    <row r="535" spans="1:7">
      <c r="A535" s="1754">
        <v>38829</v>
      </c>
      <c r="B535" s="125" t="str">
        <f>TiposLancamentos!B19</f>
        <v>Restaurantes</v>
      </c>
      <c r="C535" s="1040" t="s">
        <v>5002</v>
      </c>
      <c r="D535" s="1736"/>
      <c r="E535" s="1043">
        <v>22.9</v>
      </c>
      <c r="F535" s="1043"/>
      <c r="G535" s="1550"/>
    </row>
    <row r="536" spans="1:7">
      <c r="A536" s="1754">
        <v>38829</v>
      </c>
      <c r="B536" s="125" t="str">
        <f>TiposLancamentos!B56</f>
        <v>Farmácia</v>
      </c>
      <c r="C536" s="1040" t="s">
        <v>5108</v>
      </c>
      <c r="D536" s="1736"/>
      <c r="E536" s="1043">
        <v>28.27</v>
      </c>
      <c r="F536" s="1043"/>
      <c r="G536" s="1550"/>
    </row>
    <row r="537" spans="1:7">
      <c r="A537" s="1754">
        <v>38829</v>
      </c>
      <c r="B537" s="125" t="str">
        <f>TiposLancamentos!B5</f>
        <v>Supermercado</v>
      </c>
      <c r="C537" s="1040" t="s">
        <v>2567</v>
      </c>
      <c r="D537" s="1736"/>
      <c r="E537" s="1043">
        <v>42.68</v>
      </c>
      <c r="F537" s="1043"/>
      <c r="G537" s="1550"/>
    </row>
    <row r="538" spans="1:7">
      <c r="A538" s="1754">
        <v>38830</v>
      </c>
      <c r="B538" s="125" t="str">
        <f>TiposLancamentos!B20</f>
        <v>Saques</v>
      </c>
      <c r="C538" s="1040" t="s">
        <v>2668</v>
      </c>
      <c r="D538" s="1736"/>
      <c r="E538" s="1043">
        <v>10</v>
      </c>
      <c r="F538" s="1043"/>
      <c r="G538" s="1550"/>
    </row>
    <row r="539" spans="1:7">
      <c r="A539" s="1754">
        <v>38830</v>
      </c>
      <c r="B539" s="125" t="str">
        <f>TiposLancamentos!B16</f>
        <v>Cristiane</v>
      </c>
      <c r="C539" s="1040" t="s">
        <v>5109</v>
      </c>
      <c r="D539" s="1736"/>
      <c r="E539" s="1043">
        <v>8.56</v>
      </c>
      <c r="F539" s="1043"/>
      <c r="G539" s="1550"/>
    </row>
    <row r="540" spans="1:7">
      <c r="A540" s="1754">
        <v>38830</v>
      </c>
      <c r="B540" s="125" t="str">
        <f>TiposLancamentos!B19</f>
        <v>Restaurantes</v>
      </c>
      <c r="C540" s="1040" t="s">
        <v>3029</v>
      </c>
      <c r="D540" s="1736"/>
      <c r="E540" s="1043">
        <v>17.28</v>
      </c>
      <c r="F540" s="1043"/>
      <c r="G540" s="1550"/>
    </row>
    <row r="541" spans="1:7">
      <c r="A541" s="1754">
        <v>38832</v>
      </c>
      <c r="B541" s="125" t="str">
        <f>TiposLancamentos!B4</f>
        <v>Taxas Bancarias</v>
      </c>
      <c r="C541" s="1040" t="s">
        <v>4853</v>
      </c>
      <c r="D541" s="1736"/>
      <c r="E541" s="1043">
        <v>6.55</v>
      </c>
      <c r="F541" s="1043"/>
      <c r="G541" s="1550"/>
    </row>
    <row r="542" spans="1:7">
      <c r="A542" s="1754">
        <v>38833</v>
      </c>
      <c r="B542" s="125" t="str">
        <f>TiposLancamentos!B17</f>
        <v>GATO</v>
      </c>
      <c r="C542" s="1040" t="s">
        <v>5110</v>
      </c>
      <c r="D542" s="1736"/>
      <c r="E542" s="1043">
        <v>20.8</v>
      </c>
      <c r="F542" s="1043"/>
      <c r="G542" s="1550"/>
    </row>
    <row r="543" spans="1:7" ht="14.25" thickBot="1">
      <c r="A543" s="1754">
        <v>38835</v>
      </c>
      <c r="B543" s="125" t="str">
        <f>TiposLancamentos!B95</f>
        <v>Salarios</v>
      </c>
      <c r="C543" s="1040" t="s">
        <v>4939</v>
      </c>
      <c r="D543" s="1736">
        <v>2183.19</v>
      </c>
      <c r="E543" s="1043"/>
      <c r="F543" s="1043"/>
      <c r="G543" s="1550"/>
    </row>
    <row r="544" spans="1:7">
      <c r="A544" s="1834"/>
      <c r="B544" s="977"/>
      <c r="C544" s="1854" t="s">
        <v>5111</v>
      </c>
      <c r="D544" s="1823"/>
      <c r="E544" s="1821"/>
      <c r="F544" s="1821"/>
      <c r="G544" s="1895"/>
    </row>
    <row r="545" spans="1:7">
      <c r="A545" s="1754">
        <v>38839</v>
      </c>
      <c r="B545" s="125" t="str">
        <f>TiposLancamentos!B82</f>
        <v>CG Titan 125</v>
      </c>
      <c r="C545" s="1040" t="s">
        <v>5112</v>
      </c>
      <c r="D545" s="1736"/>
      <c r="E545" s="1043">
        <v>14.9</v>
      </c>
      <c r="F545" s="1043"/>
      <c r="G545" s="1550"/>
    </row>
    <row r="546" spans="1:7">
      <c r="A546" s="1754">
        <v>38839</v>
      </c>
      <c r="B546" s="125" t="str">
        <f>TiposLancamentos!B19</f>
        <v>Restaurantes</v>
      </c>
      <c r="C546" s="1040" t="s">
        <v>5113</v>
      </c>
      <c r="D546" s="1736"/>
      <c r="E546" s="1043">
        <v>33</v>
      </c>
      <c r="F546" s="1043"/>
      <c r="G546" s="1550"/>
    </row>
    <row r="547" spans="1:7">
      <c r="A547" s="1754">
        <v>38839</v>
      </c>
      <c r="B547" s="125" t="str">
        <f>TiposLancamentos!B19</f>
        <v>Restaurantes</v>
      </c>
      <c r="C547" s="1040" t="s">
        <v>3029</v>
      </c>
      <c r="D547" s="1736"/>
      <c r="E547" s="1043">
        <v>42.19</v>
      </c>
      <c r="F547" s="1043"/>
      <c r="G547" s="1550"/>
    </row>
    <row r="548" spans="1:7">
      <c r="A548" s="1754">
        <v>38839</v>
      </c>
      <c r="B548" s="125" t="str">
        <f>TiposLancamentos!B9</f>
        <v>Condominio</v>
      </c>
      <c r="C548" s="1040" t="s">
        <v>5114</v>
      </c>
      <c r="D548" s="1736"/>
      <c r="E548" s="1043">
        <v>527.82000000000005</v>
      </c>
      <c r="F548" s="1043"/>
      <c r="G548" s="1550"/>
    </row>
    <row r="549" spans="1:7">
      <c r="A549" s="1754">
        <v>38839</v>
      </c>
      <c r="B549" s="125" t="str">
        <f>TiposLancamentos!B15</f>
        <v>Cartões de Crédito</v>
      </c>
      <c r="C549" s="1040" t="s">
        <v>5115</v>
      </c>
      <c r="D549" s="1736"/>
      <c r="E549" s="1043">
        <v>834.3</v>
      </c>
      <c r="F549" s="1043"/>
      <c r="G549" s="1550"/>
    </row>
    <row r="550" spans="1:7">
      <c r="A550" s="1754">
        <v>38839</v>
      </c>
      <c r="B550" s="125" t="str">
        <f>TiposLancamentos!B2</f>
        <v>Telefonia</v>
      </c>
      <c r="C550" s="1040" t="s">
        <v>5080</v>
      </c>
      <c r="D550" s="1736"/>
      <c r="E550" s="1043">
        <v>32.21</v>
      </c>
      <c r="F550" s="1043"/>
      <c r="G550" s="1550"/>
    </row>
    <row r="551" spans="1:7">
      <c r="A551" s="1754">
        <v>38839</v>
      </c>
      <c r="B551" s="125" t="str">
        <f>TiposLancamentos!B3</f>
        <v>Internet</v>
      </c>
      <c r="C551" s="1040" t="s">
        <v>4987</v>
      </c>
      <c r="D551" s="1736"/>
      <c r="E551" s="1043">
        <v>79.900000000000006</v>
      </c>
      <c r="F551" s="1043"/>
      <c r="G551" s="1550"/>
    </row>
    <row r="552" spans="1:7">
      <c r="A552" s="1754">
        <v>38839</v>
      </c>
      <c r="B552" s="125" t="str">
        <f>TiposLancamentos!B21</f>
        <v>Transf. Poupanca</v>
      </c>
      <c r="C552" s="1040" t="s">
        <v>5116</v>
      </c>
      <c r="D552" s="1736"/>
      <c r="E552" s="1043">
        <v>200</v>
      </c>
      <c r="F552" s="1043"/>
      <c r="G552" s="1550"/>
    </row>
    <row r="553" spans="1:7">
      <c r="A553" s="1754">
        <v>38839</v>
      </c>
      <c r="B553" s="125" t="str">
        <f>TiposLancamentos!B44</f>
        <v>Academia</v>
      </c>
      <c r="C553" s="1040" t="s">
        <v>5117</v>
      </c>
      <c r="D553" s="1736"/>
      <c r="E553" s="1043">
        <v>45</v>
      </c>
      <c r="F553" s="1043"/>
      <c r="G553" s="1550"/>
    </row>
    <row r="554" spans="1:7">
      <c r="A554" s="1754">
        <v>38839</v>
      </c>
      <c r="B554" s="125" t="str">
        <f>TiposLancamentos!B80</f>
        <v>Mudanças</v>
      </c>
      <c r="C554" s="1040" t="s">
        <v>5118</v>
      </c>
      <c r="D554" s="1736"/>
      <c r="E554" s="1043">
        <v>302.5</v>
      </c>
      <c r="F554" s="1043"/>
      <c r="G554" s="1550"/>
    </row>
    <row r="555" spans="1:7">
      <c r="A555" s="1754">
        <v>38839</v>
      </c>
      <c r="B555" s="125" t="str">
        <f>TiposLancamentos!B16</f>
        <v>Cristiane</v>
      </c>
      <c r="C555" s="1040" t="s">
        <v>5119</v>
      </c>
      <c r="D555" s="1736"/>
      <c r="E555" s="1043">
        <v>15</v>
      </c>
      <c r="F555" s="1043"/>
      <c r="G555" s="1550"/>
    </row>
    <row r="556" spans="1:7">
      <c r="A556" s="1754">
        <v>38840</v>
      </c>
      <c r="B556" s="125" t="str">
        <f>TiposLancamentos!B6</f>
        <v>Energia Eletrica</v>
      </c>
      <c r="C556" s="1040" t="s">
        <v>5120</v>
      </c>
      <c r="D556" s="1736"/>
      <c r="E556" s="1043">
        <v>63.48</v>
      </c>
      <c r="F556" s="1043"/>
      <c r="G556" s="1550"/>
    </row>
    <row r="557" spans="1:7">
      <c r="A557" s="1754">
        <v>38840</v>
      </c>
      <c r="B557" s="125" t="str">
        <f>TiposLancamentos!B4</f>
        <v>Taxas Bancarias</v>
      </c>
      <c r="C557" s="1040" t="s">
        <v>4853</v>
      </c>
      <c r="D557" s="1736"/>
      <c r="E557" s="1043">
        <v>0.84</v>
      </c>
      <c r="F557" s="1043"/>
      <c r="G557" s="1550"/>
    </row>
    <row r="558" spans="1:7">
      <c r="A558" s="1754">
        <v>38840</v>
      </c>
      <c r="B558" s="125" t="str">
        <f>TiposLancamentos!B4</f>
        <v>Taxas Bancarias</v>
      </c>
      <c r="C558" s="1040" t="s">
        <v>5121</v>
      </c>
      <c r="D558" s="1736"/>
      <c r="E558" s="1043">
        <v>1</v>
      </c>
      <c r="F558" s="1043"/>
      <c r="G558" s="1550"/>
    </row>
    <row r="559" spans="1:7">
      <c r="A559" s="1754">
        <v>38841</v>
      </c>
      <c r="B559" s="125" t="str">
        <f>TiposLancamentos!B2</f>
        <v>Telefonia</v>
      </c>
      <c r="C559" s="1040" t="s">
        <v>4832</v>
      </c>
      <c r="D559" s="1736"/>
      <c r="E559" s="1043">
        <v>10.119999999999999</v>
      </c>
      <c r="F559" s="1043"/>
      <c r="G559" s="1550"/>
    </row>
    <row r="560" spans="1:7">
      <c r="A560" s="1754">
        <v>38846</v>
      </c>
      <c r="B560" s="125" t="str">
        <f>TiposLancamentos!B16</f>
        <v>Cristiane</v>
      </c>
      <c r="C560" s="1040" t="s">
        <v>5122</v>
      </c>
      <c r="D560" s="1736"/>
      <c r="E560" s="1043">
        <v>70</v>
      </c>
      <c r="F560" s="1043"/>
      <c r="G560" s="1550"/>
    </row>
    <row r="561" spans="1:7">
      <c r="A561" s="1754">
        <v>38847</v>
      </c>
      <c r="B561" s="125" t="str">
        <f>TiposLancamentos!B96</f>
        <v>Resg.Poup.</v>
      </c>
      <c r="C561" s="1040" t="s">
        <v>5123</v>
      </c>
      <c r="D561" s="1736">
        <v>200</v>
      </c>
      <c r="E561" s="1043"/>
      <c r="F561" s="1043"/>
      <c r="G561" s="1550"/>
    </row>
    <row r="562" spans="1:7">
      <c r="A562" s="1754">
        <v>38847</v>
      </c>
      <c r="B562" s="125" t="str">
        <f>TiposLancamentos!B19</f>
        <v>Restaurantes</v>
      </c>
      <c r="C562" s="1040" t="s">
        <v>5124</v>
      </c>
      <c r="D562" s="1736"/>
      <c r="E562" s="1043">
        <v>11.76</v>
      </c>
      <c r="F562" s="1043"/>
      <c r="G562" s="1550"/>
    </row>
    <row r="563" spans="1:7">
      <c r="A563" s="1754">
        <v>38849</v>
      </c>
      <c r="B563" s="125" t="str">
        <f>TiposLancamentos!B4</f>
        <v>Taxas Bancarias</v>
      </c>
      <c r="C563" s="1040" t="s">
        <v>4853</v>
      </c>
      <c r="D563" s="1736"/>
      <c r="E563" s="1043">
        <v>8.57</v>
      </c>
      <c r="F563" s="1043"/>
      <c r="G563" s="1550"/>
    </row>
    <row r="564" spans="1:7">
      <c r="A564" s="1754">
        <v>38849</v>
      </c>
      <c r="B564" s="125" t="str">
        <f>TiposLancamentos!B19</f>
        <v>Restaurantes</v>
      </c>
      <c r="C564" s="1040" t="s">
        <v>2618</v>
      </c>
      <c r="D564" s="1736"/>
      <c r="E564" s="1043">
        <v>19.48</v>
      </c>
      <c r="F564" s="1043"/>
      <c r="G564" s="1550"/>
    </row>
    <row r="565" spans="1:7">
      <c r="A565" s="1754">
        <v>38850</v>
      </c>
      <c r="B565" s="125" t="str">
        <f>TiposLancamentos!B19</f>
        <v>Restaurantes</v>
      </c>
      <c r="C565" s="1040" t="s">
        <v>3029</v>
      </c>
      <c r="D565" s="1736"/>
      <c r="E565" s="1043">
        <v>22.92</v>
      </c>
      <c r="F565" s="1043"/>
      <c r="G565" s="1550"/>
    </row>
    <row r="566" spans="1:7">
      <c r="A566" s="1666">
        <v>38850</v>
      </c>
      <c r="B566" s="817" t="str">
        <f>TiposLancamentos!B17</f>
        <v>GATO</v>
      </c>
      <c r="C566" s="1742" t="s">
        <v>5125</v>
      </c>
      <c r="D566" s="1843"/>
      <c r="E566" s="1839">
        <f>2*5.33</f>
        <v>10.66</v>
      </c>
      <c r="F566" s="1043"/>
      <c r="G566" s="1550"/>
    </row>
    <row r="567" spans="1:7">
      <c r="A567" s="1750">
        <v>38850</v>
      </c>
      <c r="B567" s="818" t="str">
        <f>TiposLancamentos!B5</f>
        <v>Supermercado</v>
      </c>
      <c r="C567" s="1743" t="s">
        <v>5126</v>
      </c>
      <c r="D567" s="1844"/>
      <c r="E567" s="1840">
        <f>23.73-E566</f>
        <v>13.07</v>
      </c>
      <c r="F567" s="1043"/>
      <c r="G567" s="1550"/>
    </row>
    <row r="568" spans="1:7">
      <c r="A568" s="1754">
        <v>38850</v>
      </c>
      <c r="B568" s="125" t="str">
        <f>TiposLancamentos!B5</f>
        <v>Supermercado</v>
      </c>
      <c r="C568" s="1040" t="s">
        <v>5127</v>
      </c>
      <c r="D568" s="1736"/>
      <c r="E568" s="1043">
        <v>6.68</v>
      </c>
      <c r="F568" s="1043"/>
      <c r="G568" s="1550"/>
    </row>
    <row r="569" spans="1:7">
      <c r="A569" s="1754">
        <v>38851</v>
      </c>
      <c r="B569" s="125" t="str">
        <f>TiposLancamentos!B19</f>
        <v>Restaurantes</v>
      </c>
      <c r="C569" s="1040" t="s">
        <v>3176</v>
      </c>
      <c r="D569" s="1736"/>
      <c r="E569" s="1043">
        <v>28</v>
      </c>
      <c r="F569" s="1043"/>
      <c r="G569" s="1550"/>
    </row>
    <row r="570" spans="1:7">
      <c r="A570" s="1754">
        <v>38851</v>
      </c>
      <c r="B570" s="125" t="str">
        <f>TiposLancamentos!B20</f>
        <v>Saques</v>
      </c>
      <c r="C570" s="1040" t="s">
        <v>5128</v>
      </c>
      <c r="D570" s="1736"/>
      <c r="E570" s="1043">
        <v>50</v>
      </c>
      <c r="F570" s="1043"/>
      <c r="G570" s="1550"/>
    </row>
    <row r="571" spans="1:7">
      <c r="A571" s="1754">
        <v>38852</v>
      </c>
      <c r="B571" s="125" t="str">
        <f>TiposLancamentos!B95</f>
        <v>Salarios</v>
      </c>
      <c r="C571" s="1040" t="s">
        <v>4916</v>
      </c>
      <c r="D571" s="1736">
        <v>1689.1</v>
      </c>
      <c r="E571" s="1043"/>
      <c r="F571" s="1043"/>
      <c r="G571" s="1550"/>
    </row>
    <row r="572" spans="1:7">
      <c r="A572" s="1754">
        <v>38852</v>
      </c>
      <c r="B572" s="125" t="str">
        <f>B525</f>
        <v>Cbx Twister 250</v>
      </c>
      <c r="C572" s="1040" t="s">
        <v>5129</v>
      </c>
      <c r="D572" s="1736"/>
      <c r="E572" s="1043">
        <v>453.72</v>
      </c>
      <c r="F572" s="1043"/>
      <c r="G572" s="1550"/>
    </row>
    <row r="573" spans="1:7">
      <c r="A573" s="1754">
        <v>38852</v>
      </c>
      <c r="B573" s="125" t="str">
        <f>TiposLancamentos!B8</f>
        <v>Aluguel</v>
      </c>
      <c r="C573" s="1040" t="s">
        <v>5130</v>
      </c>
      <c r="D573" s="1736"/>
      <c r="E573" s="1043">
        <v>750.93</v>
      </c>
      <c r="F573" s="1043"/>
      <c r="G573" s="1550"/>
    </row>
    <row r="574" spans="1:7">
      <c r="A574" s="1754">
        <v>38852</v>
      </c>
      <c r="B574" s="125" t="str">
        <f>TiposLancamentos!B21</f>
        <v>Transf. Poupanca</v>
      </c>
      <c r="C574" s="1040" t="s">
        <v>5131</v>
      </c>
      <c r="D574" s="1736"/>
      <c r="E574" s="1043">
        <v>250</v>
      </c>
      <c r="F574" s="1043"/>
      <c r="G574" s="1550"/>
    </row>
    <row r="575" spans="1:7">
      <c r="A575" s="1754">
        <v>38853</v>
      </c>
      <c r="B575" s="125" t="str">
        <f>TiposLancamentos!B20</f>
        <v>Saques</v>
      </c>
      <c r="C575" s="1040" t="s">
        <v>1706</v>
      </c>
      <c r="D575" s="1736"/>
      <c r="E575" s="1043">
        <v>30</v>
      </c>
      <c r="F575" s="1043"/>
      <c r="G575" s="1550"/>
    </row>
    <row r="576" spans="1:7">
      <c r="A576" s="1754">
        <v>38854</v>
      </c>
      <c r="B576" s="125" t="str">
        <f>TiposLancamentos!B19</f>
        <v>Restaurantes</v>
      </c>
      <c r="C576" s="1040" t="s">
        <v>5132</v>
      </c>
      <c r="D576" s="1736"/>
      <c r="E576" s="1043">
        <v>23.58</v>
      </c>
      <c r="F576" s="1043"/>
      <c r="G576" s="1550"/>
    </row>
    <row r="577" spans="1:7">
      <c r="A577" s="1754">
        <v>38854</v>
      </c>
      <c r="B577" s="125" t="str">
        <f>TiposLancamentos!B19</f>
        <v>Restaurantes</v>
      </c>
      <c r="C577" s="1040" t="s">
        <v>5133</v>
      </c>
      <c r="D577" s="1736"/>
      <c r="E577" s="1043">
        <v>14.15</v>
      </c>
      <c r="F577" s="1043"/>
      <c r="G577" s="1550"/>
    </row>
    <row r="578" spans="1:7">
      <c r="A578" s="1754">
        <v>38856</v>
      </c>
      <c r="B578" s="125" t="str">
        <f>TiposLancamentos!B19</f>
        <v>Restaurantes</v>
      </c>
      <c r="C578" s="1040" t="s">
        <v>3284</v>
      </c>
      <c r="D578" s="1736"/>
      <c r="E578" s="1043">
        <v>13.1</v>
      </c>
      <c r="F578" s="1043"/>
      <c r="G578" s="1550"/>
    </row>
    <row r="579" spans="1:7">
      <c r="A579" s="1754">
        <v>38857</v>
      </c>
      <c r="B579" s="125" t="str">
        <f>TiposLancamentos!B19</f>
        <v>Restaurantes</v>
      </c>
      <c r="C579" s="1040" t="s">
        <v>5133</v>
      </c>
      <c r="D579" s="1736"/>
      <c r="E579" s="1043">
        <v>14.45</v>
      </c>
      <c r="F579" s="1043"/>
      <c r="G579" s="1550"/>
    </row>
    <row r="580" spans="1:7">
      <c r="A580" s="1754">
        <v>38858</v>
      </c>
      <c r="B580" s="125" t="str">
        <f>TiposLancamentos!B19</f>
        <v>Restaurantes</v>
      </c>
      <c r="C580" s="1040" t="s">
        <v>5134</v>
      </c>
      <c r="D580" s="1736"/>
      <c r="E580" s="1043">
        <v>12.5</v>
      </c>
      <c r="F580" s="1043"/>
      <c r="G580" s="1550"/>
    </row>
    <row r="581" spans="1:7">
      <c r="A581" s="1754">
        <v>38859</v>
      </c>
      <c r="B581" s="125" t="str">
        <f>TiposLancamentos!B19</f>
        <v>Restaurantes</v>
      </c>
      <c r="C581" s="1040" t="s">
        <v>2618</v>
      </c>
      <c r="D581" s="1736"/>
      <c r="E581" s="1043">
        <v>11</v>
      </c>
      <c r="F581" s="1043"/>
      <c r="G581" s="1550"/>
    </row>
    <row r="582" spans="1:7">
      <c r="A582" s="1754">
        <v>38860</v>
      </c>
      <c r="B582" s="125" t="str">
        <f>TiposLancamentos!B4</f>
        <v>Taxas Bancarias</v>
      </c>
      <c r="C582" s="1040" t="s">
        <v>4853</v>
      </c>
      <c r="D582" s="1736"/>
      <c r="E582" s="1043">
        <v>6.35</v>
      </c>
      <c r="F582" s="1043"/>
      <c r="G582" s="1550"/>
    </row>
    <row r="583" spans="1:7">
      <c r="A583" s="1754">
        <v>38860</v>
      </c>
      <c r="B583" s="125" t="str">
        <f>TiposLancamentos!B20</f>
        <v>Saques</v>
      </c>
      <c r="C583" s="1040" t="s">
        <v>2668</v>
      </c>
      <c r="D583" s="1736"/>
      <c r="E583" s="1043">
        <v>20</v>
      </c>
      <c r="F583" s="1043"/>
      <c r="G583" s="1550"/>
    </row>
    <row r="584" spans="1:7">
      <c r="A584" s="1754">
        <v>38860</v>
      </c>
      <c r="B584" s="125" t="str">
        <f>TiposLancamentos!B19</f>
        <v>Restaurantes</v>
      </c>
      <c r="C584" s="1040" t="s">
        <v>2502</v>
      </c>
      <c r="D584" s="1736"/>
      <c r="E584" s="1043">
        <v>22.63</v>
      </c>
      <c r="F584" s="1043"/>
      <c r="G584" s="1550"/>
    </row>
    <row r="585" spans="1:7">
      <c r="A585" s="1754">
        <v>38861</v>
      </c>
      <c r="B585" s="125" t="str">
        <f>TiposLancamentos!B19</f>
        <v>Restaurantes</v>
      </c>
      <c r="C585" s="1040" t="s">
        <v>2618</v>
      </c>
      <c r="D585" s="1736"/>
      <c r="E585" s="1043">
        <v>15</v>
      </c>
      <c r="F585" s="1043"/>
      <c r="G585" s="1550"/>
    </row>
    <row r="586" spans="1:7">
      <c r="A586" s="1754">
        <v>38862</v>
      </c>
      <c r="B586" s="125" t="str">
        <f>TiposLancamentos!B19</f>
        <v>Restaurantes</v>
      </c>
      <c r="C586" s="1040" t="s">
        <v>5135</v>
      </c>
      <c r="D586" s="1736"/>
      <c r="E586" s="1043">
        <v>10.050000000000001</v>
      </c>
      <c r="F586" s="1043"/>
      <c r="G586" s="1550"/>
    </row>
    <row r="587" spans="1:7">
      <c r="A587" s="1754">
        <v>38862</v>
      </c>
      <c r="B587" s="125" t="str">
        <f>TiposLancamentos!B19</f>
        <v>Restaurantes</v>
      </c>
      <c r="C587" s="1040" t="s">
        <v>5136</v>
      </c>
      <c r="D587" s="1736"/>
      <c r="E587" s="1043">
        <v>12.3</v>
      </c>
      <c r="F587" s="1043"/>
      <c r="G587" s="1550"/>
    </row>
    <row r="588" spans="1:7">
      <c r="A588" s="1754">
        <v>38863</v>
      </c>
      <c r="B588" s="125" t="str">
        <f>TiposLancamentos!B19</f>
        <v>Restaurantes</v>
      </c>
      <c r="C588" s="1040" t="s">
        <v>2618</v>
      </c>
      <c r="D588" s="1736"/>
      <c r="E588" s="1043">
        <v>23.82</v>
      </c>
      <c r="F588" s="1043"/>
      <c r="G588" s="1550"/>
    </row>
    <row r="589" spans="1:7">
      <c r="A589" s="1754">
        <v>38864</v>
      </c>
      <c r="B589" s="125" t="str">
        <f>TiposLancamentos!B20</f>
        <v>Saques</v>
      </c>
      <c r="C589" s="1040" t="s">
        <v>2668</v>
      </c>
      <c r="D589" s="1736"/>
      <c r="E589" s="1043">
        <v>10</v>
      </c>
      <c r="F589" s="1043"/>
      <c r="G589" s="1550"/>
    </row>
    <row r="590" spans="1:7">
      <c r="A590" s="1754">
        <v>38868</v>
      </c>
      <c r="B590" s="125" t="str">
        <f>TiposLancamentos!B95</f>
        <v>Salarios</v>
      </c>
      <c r="C590" s="1040" t="s">
        <v>4939</v>
      </c>
      <c r="D590" s="1736">
        <v>2218.98</v>
      </c>
      <c r="E590" s="1043"/>
      <c r="F590" s="1043"/>
      <c r="G590" s="1550"/>
    </row>
    <row r="591" spans="1:7">
      <c r="A591" s="1754">
        <v>38868</v>
      </c>
      <c r="B591" s="125" t="str">
        <f>TiposLancamentos!B20</f>
        <v>Saques</v>
      </c>
      <c r="C591" s="1040" t="s">
        <v>2668</v>
      </c>
      <c r="D591" s="1736"/>
      <c r="E591" s="1043">
        <v>10</v>
      </c>
      <c r="F591" s="1043"/>
      <c r="G591" s="1550"/>
    </row>
    <row r="592" spans="1:7">
      <c r="A592" s="1754">
        <v>38868</v>
      </c>
      <c r="B592" s="125" t="str">
        <f>TiposLancamentos!B19</f>
        <v>Restaurantes</v>
      </c>
      <c r="C592" s="1040" t="s">
        <v>2618</v>
      </c>
      <c r="D592" s="1736"/>
      <c r="E592" s="1043">
        <v>16.260000000000002</v>
      </c>
      <c r="F592" s="1043"/>
      <c r="G592" s="1550"/>
    </row>
    <row r="593" spans="1:7">
      <c r="A593" s="1754">
        <v>38868</v>
      </c>
      <c r="B593" s="125" t="str">
        <f>TiposLancamentos!B72</f>
        <v>Presentes</v>
      </c>
      <c r="C593" s="1040" t="s">
        <v>5137</v>
      </c>
      <c r="D593" s="1736"/>
      <c r="E593" s="1043">
        <v>95</v>
      </c>
      <c r="F593" s="1043"/>
      <c r="G593" s="1550"/>
    </row>
    <row r="594" spans="1:7" ht="14.25" thickBot="1">
      <c r="A594" s="1754">
        <v>38868</v>
      </c>
      <c r="B594" s="125" t="str">
        <f>TiposLancamentos!B44</f>
        <v>Academia</v>
      </c>
      <c r="C594" s="1040" t="s">
        <v>5138</v>
      </c>
      <c r="D594" s="1851"/>
      <c r="E594" s="1043">
        <v>45</v>
      </c>
      <c r="F594" s="1043"/>
      <c r="G594" s="1550"/>
    </row>
    <row r="595" spans="1:7">
      <c r="A595" s="1834"/>
      <c r="B595" s="977"/>
      <c r="C595" s="1854" t="s">
        <v>5139</v>
      </c>
      <c r="D595" s="1823"/>
      <c r="E595" s="1821"/>
      <c r="F595" s="1821"/>
      <c r="G595" s="1895"/>
    </row>
    <row r="596" spans="1:7">
      <c r="A596" s="1754">
        <v>38869</v>
      </c>
      <c r="B596" s="125" t="str">
        <f>TiposLancamentos!B2</f>
        <v>Telefonia</v>
      </c>
      <c r="C596" s="1040" t="s">
        <v>5080</v>
      </c>
      <c r="D596" s="1736"/>
      <c r="E596" s="1043">
        <v>21.79</v>
      </c>
      <c r="F596" s="1043"/>
      <c r="G596" s="1550"/>
    </row>
    <row r="597" spans="1:7">
      <c r="A597" s="1754">
        <v>38869</v>
      </c>
      <c r="B597" s="125" t="str">
        <f>TiposLancamentos!B3</f>
        <v>Internet</v>
      </c>
      <c r="C597" s="1040" t="s">
        <v>4987</v>
      </c>
      <c r="D597" s="1736"/>
      <c r="E597" s="1043">
        <v>79.900000000000006</v>
      </c>
      <c r="F597" s="1043"/>
      <c r="G597" s="1550"/>
    </row>
    <row r="598" spans="1:7">
      <c r="A598" s="1754">
        <v>38869</v>
      </c>
      <c r="B598" s="125" t="str">
        <f>TiposLancamentos!B9</f>
        <v>Condominio</v>
      </c>
      <c r="C598" s="1040" t="s">
        <v>5140</v>
      </c>
      <c r="D598" s="1736"/>
      <c r="E598" s="1043">
        <v>511.82</v>
      </c>
      <c r="F598" s="1043"/>
      <c r="G598" s="1550"/>
    </row>
    <row r="599" spans="1:7">
      <c r="A599" s="1754">
        <v>38869</v>
      </c>
      <c r="B599" s="125" t="str">
        <f>TiposLancamentos!B80</f>
        <v>Mudanças</v>
      </c>
      <c r="C599" s="1040" t="s">
        <v>5141</v>
      </c>
      <c r="D599" s="1851"/>
      <c r="E599" s="1043">
        <v>302.5</v>
      </c>
      <c r="F599" s="1043"/>
      <c r="G599" s="1550"/>
    </row>
    <row r="600" spans="1:7">
      <c r="A600" s="1754">
        <v>38870</v>
      </c>
      <c r="B600" s="125" t="str">
        <f>TiposLancamentos!B15</f>
        <v>Cartões de Crédito</v>
      </c>
      <c r="C600" s="1040" t="s">
        <v>5142</v>
      </c>
      <c r="D600" s="1736"/>
      <c r="E600" s="1043">
        <v>597.85</v>
      </c>
      <c r="F600" s="1043"/>
      <c r="G600" s="1550"/>
    </row>
    <row r="601" spans="1:7">
      <c r="A601" s="1754">
        <v>38870</v>
      </c>
      <c r="B601" s="125" t="str">
        <f>TiposLancamentos!B4</f>
        <v>Taxas Bancarias</v>
      </c>
      <c r="C601" s="1040" t="s">
        <v>4853</v>
      </c>
      <c r="D601" s="1736"/>
      <c r="E601" s="1043">
        <v>0.76</v>
      </c>
      <c r="F601" s="1043"/>
      <c r="G601" s="1550"/>
    </row>
    <row r="602" spans="1:7">
      <c r="A602" s="1754">
        <v>38870</v>
      </c>
      <c r="B602" s="125" t="str">
        <f>TiposLancamentos!B21</f>
        <v>Transf. Poupanca</v>
      </c>
      <c r="C602" s="1040" t="s">
        <v>5143</v>
      </c>
      <c r="D602" s="1736"/>
      <c r="E602" s="1043">
        <v>400</v>
      </c>
      <c r="F602" s="1043"/>
      <c r="G602" s="1550"/>
    </row>
    <row r="603" spans="1:7">
      <c r="A603" s="1754">
        <v>38870</v>
      </c>
      <c r="B603" s="125" t="str">
        <f>TiposLancamentos!B19</f>
        <v>Restaurantes</v>
      </c>
      <c r="C603" s="1040" t="s">
        <v>5055</v>
      </c>
      <c r="D603" s="1736"/>
      <c r="E603" s="1043">
        <v>17.22</v>
      </c>
      <c r="F603" s="1043"/>
      <c r="G603" s="1550"/>
    </row>
    <row r="604" spans="1:7">
      <c r="A604" s="1666">
        <v>38870</v>
      </c>
      <c r="B604" s="817" t="str">
        <f>TiposLancamentos!B25</f>
        <v>CD_DVD_BD</v>
      </c>
      <c r="C604" s="1742" t="s">
        <v>5144</v>
      </c>
      <c r="D604" s="1843"/>
      <c r="E604" s="1839">
        <v>19.989999999999998</v>
      </c>
      <c r="F604" s="1043"/>
      <c r="G604" s="1550"/>
    </row>
    <row r="605" spans="1:7">
      <c r="A605" s="1750">
        <v>38870</v>
      </c>
      <c r="B605" s="818" t="str">
        <f>TiposLancamentos!B16</f>
        <v>Cristiane</v>
      </c>
      <c r="C605" s="1743" t="s">
        <v>5145</v>
      </c>
      <c r="D605" s="1844"/>
      <c r="E605" s="1840">
        <v>1.19</v>
      </c>
      <c r="F605" s="1043"/>
      <c r="G605" s="1550"/>
    </row>
    <row r="606" spans="1:7">
      <c r="A606" s="1754">
        <v>38871</v>
      </c>
      <c r="B606" s="125" t="str">
        <f>TiposLancamentos!B22</f>
        <v>Combustivel</v>
      </c>
      <c r="C606" s="1040" t="s">
        <v>5146</v>
      </c>
      <c r="D606" s="1736"/>
      <c r="E606" s="1043">
        <v>28</v>
      </c>
      <c r="F606" s="1043"/>
      <c r="G606" s="1550"/>
    </row>
    <row r="607" spans="1:7">
      <c r="A607" s="1754">
        <v>38871</v>
      </c>
      <c r="B607" s="125" t="str">
        <f>TiposLancamentos!B17</f>
        <v>GATO</v>
      </c>
      <c r="C607" s="1040" t="s">
        <v>5147</v>
      </c>
      <c r="D607" s="1736"/>
      <c r="E607" s="1043">
        <v>50.46</v>
      </c>
      <c r="F607" s="1043"/>
      <c r="G607" s="1550"/>
    </row>
    <row r="608" spans="1:7">
      <c r="A608" s="1754">
        <v>38873</v>
      </c>
      <c r="B608" s="125" t="str">
        <f>TiposLancamentos!B96</f>
        <v>Resg.Poup.</v>
      </c>
      <c r="C608" s="1040" t="s">
        <v>5148</v>
      </c>
      <c r="D608" s="1736">
        <v>50</v>
      </c>
      <c r="E608" s="1043"/>
      <c r="F608" s="1043"/>
      <c r="G608" s="1550"/>
    </row>
    <row r="609" spans="1:7">
      <c r="A609" s="1754">
        <v>38873</v>
      </c>
      <c r="B609" s="125" t="str">
        <f>TiposLancamentos!B6</f>
        <v>Energia Eletrica</v>
      </c>
      <c r="C609" s="1040" t="s">
        <v>5120</v>
      </c>
      <c r="D609" s="1736"/>
      <c r="E609" s="1043">
        <v>63.35</v>
      </c>
      <c r="F609" s="1043"/>
      <c r="G609" s="1550"/>
    </row>
    <row r="610" spans="1:7">
      <c r="A610" s="1754">
        <v>38873</v>
      </c>
      <c r="B610" s="125" t="str">
        <f>TiposLancamentos!B17</f>
        <v>GATO</v>
      </c>
      <c r="C610" s="1040" t="s">
        <v>5125</v>
      </c>
      <c r="D610" s="1736"/>
      <c r="E610" s="1043">
        <v>7.58</v>
      </c>
      <c r="F610" s="1043"/>
      <c r="G610" s="1550"/>
    </row>
    <row r="611" spans="1:7">
      <c r="A611" s="1754">
        <v>38873</v>
      </c>
      <c r="B611" s="125" t="str">
        <f>TiposLancamentos!B19</f>
        <v>Restaurantes</v>
      </c>
      <c r="C611" s="1040" t="s">
        <v>3029</v>
      </c>
      <c r="D611" s="1736"/>
      <c r="E611" s="1043">
        <v>20.79</v>
      </c>
      <c r="F611" s="1043"/>
      <c r="G611" s="1550"/>
    </row>
    <row r="612" spans="1:7">
      <c r="A612" s="1754">
        <v>38881</v>
      </c>
      <c r="B612" s="125" t="str">
        <f>TiposLancamentos!B4</f>
        <v>Taxas Bancarias</v>
      </c>
      <c r="C612" s="1040" t="s">
        <v>4853</v>
      </c>
      <c r="D612" s="1736"/>
      <c r="E612" s="1043">
        <v>8.43</v>
      </c>
      <c r="F612" s="1043"/>
      <c r="G612" s="1550"/>
    </row>
    <row r="613" spans="1:7">
      <c r="A613" s="1754">
        <v>38882</v>
      </c>
      <c r="B613" s="125" t="str">
        <f>TiposLancamentos!B95</f>
        <v>Salarios</v>
      </c>
      <c r="C613" s="1040" t="s">
        <v>4916</v>
      </c>
      <c r="D613" s="1736">
        <v>1689.1</v>
      </c>
      <c r="E613" s="1043"/>
      <c r="F613" s="1043"/>
      <c r="G613" s="1550"/>
    </row>
    <row r="614" spans="1:7">
      <c r="A614" s="1754">
        <v>38882</v>
      </c>
      <c r="B614" s="125" t="str">
        <f>TiposLancamentos!B84</f>
        <v>Cbx Twister 250</v>
      </c>
      <c r="C614" s="1040" t="s">
        <v>5149</v>
      </c>
      <c r="D614" s="1736"/>
      <c r="E614" s="1043">
        <v>453.46</v>
      </c>
      <c r="F614" s="1043"/>
      <c r="G614" s="1550"/>
    </row>
    <row r="615" spans="1:7">
      <c r="A615" s="1754">
        <v>38882</v>
      </c>
      <c r="B615" s="125" t="str">
        <f>TiposLancamentos!B21</f>
        <v>Transf. Poupanca</v>
      </c>
      <c r="C615" s="1040" t="s">
        <v>5116</v>
      </c>
      <c r="D615" s="1736"/>
      <c r="E615" s="1043">
        <v>300</v>
      </c>
      <c r="F615" s="1043"/>
      <c r="G615" s="1550"/>
    </row>
    <row r="616" spans="1:7">
      <c r="A616" s="1754">
        <v>38882</v>
      </c>
      <c r="B616" s="125" t="str">
        <f>TiposLancamentos!B19</f>
        <v>Restaurantes</v>
      </c>
      <c r="C616" s="1040" t="s">
        <v>3029</v>
      </c>
      <c r="D616" s="1736"/>
      <c r="E616" s="1043">
        <v>18.37</v>
      </c>
      <c r="F616" s="1043"/>
      <c r="G616" s="1550"/>
    </row>
    <row r="617" spans="1:7">
      <c r="A617" s="1754">
        <v>38883</v>
      </c>
      <c r="B617" s="125" t="str">
        <f>TiposLancamentos!B5</f>
        <v>Supermercado</v>
      </c>
      <c r="C617" s="1040" t="s">
        <v>2567</v>
      </c>
      <c r="D617" s="1736"/>
      <c r="E617" s="1043">
        <v>62.37</v>
      </c>
      <c r="F617" s="1043"/>
      <c r="G617" s="1550"/>
    </row>
    <row r="618" spans="1:7">
      <c r="A618" s="1754">
        <v>38883</v>
      </c>
      <c r="B618" s="125" t="str">
        <f>TiposLancamentos!B19</f>
        <v>Restaurantes</v>
      </c>
      <c r="C618" s="1040" t="s">
        <v>5150</v>
      </c>
      <c r="D618" s="1736"/>
      <c r="E618" s="1043">
        <v>25</v>
      </c>
      <c r="F618" s="1043"/>
      <c r="G618" s="1550"/>
    </row>
    <row r="619" spans="1:7">
      <c r="A619" s="1754">
        <v>38883</v>
      </c>
      <c r="B619" s="125" t="str">
        <f>TiposLancamentos!B72</f>
        <v>Presentes</v>
      </c>
      <c r="C619" s="1040" t="s">
        <v>5151</v>
      </c>
      <c r="D619" s="1736"/>
      <c r="E619" s="1043">
        <v>51</v>
      </c>
      <c r="F619" s="1043"/>
      <c r="G619" s="1550"/>
    </row>
    <row r="620" spans="1:7">
      <c r="A620" s="1754">
        <v>38887</v>
      </c>
      <c r="B620" s="125" t="str">
        <f>TiposLancamentos!B8</f>
        <v>Aluguel</v>
      </c>
      <c r="C620" s="1040" t="s">
        <v>1682</v>
      </c>
      <c r="D620" s="1736"/>
      <c r="E620" s="1043">
        <v>750.93</v>
      </c>
      <c r="F620" s="1043"/>
      <c r="G620" s="1550"/>
    </row>
    <row r="621" spans="1:7">
      <c r="A621" s="1754">
        <v>38887</v>
      </c>
      <c r="B621" s="125" t="str">
        <f>TiposLancamentos!B20</f>
        <v>Saques</v>
      </c>
      <c r="C621" s="1040" t="s">
        <v>5152</v>
      </c>
      <c r="D621" s="1736"/>
      <c r="E621" s="1043">
        <v>10</v>
      </c>
      <c r="F621" s="1043"/>
      <c r="G621" s="1550"/>
    </row>
    <row r="622" spans="1:7">
      <c r="A622" s="1754">
        <v>38887</v>
      </c>
      <c r="B622" s="125" t="str">
        <f>TiposLancamentos!B16</f>
        <v>Cristiane</v>
      </c>
      <c r="C622" s="1040" t="s">
        <v>5153</v>
      </c>
      <c r="D622" s="1736">
        <v>17</v>
      </c>
      <c r="E622" s="1043"/>
      <c r="F622" s="1043"/>
      <c r="G622" s="1550"/>
    </row>
    <row r="623" spans="1:7">
      <c r="A623" s="1754">
        <v>38888</v>
      </c>
      <c r="B623" s="125" t="str">
        <f>TiposLancamentos!B19</f>
        <v>Restaurantes</v>
      </c>
      <c r="C623" s="1040" t="s">
        <v>5154</v>
      </c>
      <c r="D623" s="1736"/>
      <c r="E623" s="1043">
        <v>19.899999999999999</v>
      </c>
      <c r="F623" s="1043"/>
      <c r="G623" s="1550"/>
    </row>
    <row r="624" spans="1:7">
      <c r="A624" s="1754">
        <v>38889</v>
      </c>
      <c r="B624" s="125" t="str">
        <f>TiposLancamentos!B19</f>
        <v>Restaurantes</v>
      </c>
      <c r="C624" s="1040" t="s">
        <v>5155</v>
      </c>
      <c r="D624" s="1736"/>
      <c r="E624" s="1043">
        <v>21</v>
      </c>
      <c r="F624" s="1043"/>
      <c r="G624" s="1550"/>
    </row>
    <row r="625" spans="1:7">
      <c r="A625" s="1754">
        <v>38890</v>
      </c>
      <c r="B625" s="125" t="str">
        <f>TiposLancamentos!B4</f>
        <v>Taxas Bancarias</v>
      </c>
      <c r="C625" s="1040" t="s">
        <v>4853</v>
      </c>
      <c r="D625" s="1736"/>
      <c r="E625" s="1043">
        <v>6.31</v>
      </c>
      <c r="F625" s="1043"/>
      <c r="G625" s="1550"/>
    </row>
    <row r="626" spans="1:7">
      <c r="A626" s="1754">
        <v>38890</v>
      </c>
      <c r="B626" s="125" t="str">
        <f>TiposLancamentos!B96</f>
        <v>Resg.Poup.</v>
      </c>
      <c r="C626" s="1040" t="s">
        <v>5156</v>
      </c>
      <c r="D626" s="1736">
        <v>35</v>
      </c>
      <c r="E626" s="1043"/>
      <c r="F626" s="1043"/>
      <c r="G626" s="1550"/>
    </row>
    <row r="627" spans="1:7">
      <c r="A627" s="1754">
        <v>38891</v>
      </c>
      <c r="B627" s="125" t="str">
        <f>TiposLancamentos!B20</f>
        <v>Saques</v>
      </c>
      <c r="C627" s="1040" t="s">
        <v>2668</v>
      </c>
      <c r="D627" s="1736"/>
      <c r="E627" s="1043">
        <v>20</v>
      </c>
      <c r="F627" s="1043"/>
      <c r="G627" s="1550"/>
    </row>
    <row r="628" spans="1:7">
      <c r="A628" s="1754">
        <v>38894</v>
      </c>
      <c r="B628" s="125" t="str">
        <f>TiposLancamentos!B96</f>
        <v>Resg.Poup.</v>
      </c>
      <c r="C628" s="1040" t="s">
        <v>5157</v>
      </c>
      <c r="D628" s="1736">
        <v>20</v>
      </c>
      <c r="E628" s="1043"/>
      <c r="F628" s="1043"/>
      <c r="G628" s="1550"/>
    </row>
    <row r="629" spans="1:7">
      <c r="A629" s="1754">
        <v>38894</v>
      </c>
      <c r="B629" s="125" t="str">
        <f>TiposLancamentos!B20</f>
        <v>Saques</v>
      </c>
      <c r="C629" s="1040" t="s">
        <v>5128</v>
      </c>
      <c r="D629" s="1736"/>
      <c r="E629" s="1043">
        <v>20</v>
      </c>
      <c r="F629" s="1043"/>
      <c r="G629" s="1550"/>
    </row>
    <row r="630" spans="1:7">
      <c r="A630" s="1754">
        <v>38898</v>
      </c>
      <c r="B630" s="125" t="str">
        <f>TiposLancamentos!B97</f>
        <v>Deposito Terc.</v>
      </c>
      <c r="C630" s="1040" t="s">
        <v>5158</v>
      </c>
      <c r="D630" s="1736">
        <v>104.56</v>
      </c>
      <c r="E630" s="1043"/>
      <c r="F630" s="1043"/>
      <c r="G630" s="1550"/>
    </row>
    <row r="631" spans="1:7" ht="14.25" thickBot="1">
      <c r="A631" s="1754">
        <v>38898</v>
      </c>
      <c r="B631" s="125" t="str">
        <f>TiposLancamentos!B95</f>
        <v>Salarios</v>
      </c>
      <c r="C631" s="1040" t="s">
        <v>4939</v>
      </c>
      <c r="D631" s="1736">
        <v>3303.4</v>
      </c>
      <c r="E631" s="1043"/>
      <c r="F631" s="1043"/>
      <c r="G631" s="1550"/>
    </row>
    <row r="632" spans="1:7">
      <c r="A632" s="1834"/>
      <c r="B632" s="977"/>
      <c r="C632" s="1854" t="s">
        <v>5159</v>
      </c>
      <c r="D632" s="1823"/>
      <c r="E632" s="1821"/>
      <c r="F632" s="1821"/>
      <c r="G632" s="1895"/>
    </row>
    <row r="633" spans="1:7">
      <c r="A633" s="1754">
        <v>38901</v>
      </c>
      <c r="B633" s="125" t="str">
        <f>TiposLancamentos!B9</f>
        <v>Condominio</v>
      </c>
      <c r="C633" s="1040" t="s">
        <v>5160</v>
      </c>
      <c r="D633" s="1736"/>
      <c r="E633" s="1043">
        <v>554.82000000000005</v>
      </c>
      <c r="F633" s="1043"/>
      <c r="G633" s="1550"/>
    </row>
    <row r="634" spans="1:7">
      <c r="A634" s="1754">
        <v>38901</v>
      </c>
      <c r="B634" s="125" t="str">
        <f>TiposLancamentos!B2</f>
        <v>Telefonia</v>
      </c>
      <c r="C634" s="1040" t="s">
        <v>5161</v>
      </c>
      <c r="D634" s="1736"/>
      <c r="E634" s="1043">
        <v>52.27</v>
      </c>
      <c r="F634" s="1043"/>
      <c r="G634" s="1550"/>
    </row>
    <row r="635" spans="1:7">
      <c r="A635" s="1754">
        <v>38901</v>
      </c>
      <c r="B635" s="125" t="str">
        <f>TiposLancamentos!B3</f>
        <v>Internet</v>
      </c>
      <c r="C635" s="1040" t="s">
        <v>4987</v>
      </c>
      <c r="D635" s="1736"/>
      <c r="E635" s="1043">
        <v>79.900000000000006</v>
      </c>
      <c r="F635" s="1043"/>
      <c r="G635" s="1550"/>
    </row>
    <row r="636" spans="1:7">
      <c r="A636" s="1754">
        <v>38901</v>
      </c>
      <c r="B636" s="125" t="str">
        <f>TiposLancamentos!B6</f>
        <v>Energia Eletrica</v>
      </c>
      <c r="C636" s="1040" t="s">
        <v>5030</v>
      </c>
      <c r="D636" s="1736"/>
      <c r="E636" s="1043">
        <v>60.46</v>
      </c>
      <c r="F636" s="1043"/>
      <c r="G636" s="1550"/>
    </row>
    <row r="637" spans="1:7">
      <c r="A637" s="1754">
        <v>38901</v>
      </c>
      <c r="B637" s="125" t="str">
        <f>TiposLancamentos!B15</f>
        <v>Cartões de Crédito</v>
      </c>
      <c r="C637" s="1040" t="s">
        <v>5162</v>
      </c>
      <c r="D637" s="1736"/>
      <c r="E637" s="1043">
        <v>846.73</v>
      </c>
      <c r="F637" s="1043"/>
      <c r="G637" s="1550"/>
    </row>
    <row r="638" spans="1:7">
      <c r="A638" s="1754">
        <v>38901</v>
      </c>
      <c r="B638" s="125" t="str">
        <f>TiposLancamentos!B21</f>
        <v>Transf. Poupanca</v>
      </c>
      <c r="C638" s="1040" t="s">
        <v>5163</v>
      </c>
      <c r="D638" s="1736"/>
      <c r="E638" s="1043">
        <v>1645.15</v>
      </c>
      <c r="F638" s="1043"/>
      <c r="G638" s="1550"/>
    </row>
    <row r="639" spans="1:7">
      <c r="A639" s="1754">
        <v>38901</v>
      </c>
      <c r="B639" s="125" t="str">
        <f>TiposLancamentos!B44</f>
        <v>Academia</v>
      </c>
      <c r="C639" s="1040" t="s">
        <v>5164</v>
      </c>
      <c r="D639" s="1851"/>
      <c r="E639" s="1043">
        <v>45</v>
      </c>
      <c r="F639" s="1043"/>
      <c r="G639" s="1550"/>
    </row>
    <row r="640" spans="1:7">
      <c r="A640" s="1754">
        <v>38902</v>
      </c>
      <c r="B640" s="125" t="str">
        <f>TiposLancamentos!B4</f>
        <v>Taxas Bancarias</v>
      </c>
      <c r="C640" s="1040" t="s">
        <v>4853</v>
      </c>
      <c r="D640" s="1736"/>
      <c r="E640" s="1043">
        <v>0.45</v>
      </c>
      <c r="F640" s="1043"/>
      <c r="G640" s="1550"/>
    </row>
    <row r="641" spans="1:7">
      <c r="A641" s="1754">
        <v>38902</v>
      </c>
      <c r="B641" s="125" t="str">
        <f>TiposLancamentos!B4</f>
        <v>Taxas Bancarias</v>
      </c>
      <c r="C641" s="1040" t="s">
        <v>5165</v>
      </c>
      <c r="D641" s="1736"/>
      <c r="E641" s="1043">
        <v>0.5</v>
      </c>
      <c r="F641" s="1043"/>
      <c r="G641" s="1550"/>
    </row>
    <row r="642" spans="1:7">
      <c r="A642" s="1754">
        <v>38905</v>
      </c>
      <c r="B642" s="125" t="str">
        <f>TiposLancamentos!B22</f>
        <v>Combustivel</v>
      </c>
      <c r="C642" s="1040" t="s">
        <v>3050</v>
      </c>
      <c r="D642" s="1736"/>
      <c r="E642" s="1043">
        <v>26.87</v>
      </c>
      <c r="F642" s="1043"/>
      <c r="G642" s="1550"/>
    </row>
    <row r="643" spans="1:7">
      <c r="A643" s="1754">
        <v>38906</v>
      </c>
      <c r="B643" s="125" t="str">
        <f>TiposLancamentos!B19</f>
        <v>Restaurantes</v>
      </c>
      <c r="C643" s="1040" t="s">
        <v>5166</v>
      </c>
      <c r="D643" s="1736"/>
      <c r="E643" s="1043">
        <v>23.03</v>
      </c>
      <c r="F643" s="1043"/>
      <c r="G643" s="1550"/>
    </row>
    <row r="644" spans="1:7">
      <c r="A644" s="1754">
        <v>38907</v>
      </c>
      <c r="B644" s="125" t="str">
        <f>TiposLancamentos!B19</f>
        <v>Restaurantes</v>
      </c>
      <c r="C644" s="1040" t="s">
        <v>5167</v>
      </c>
      <c r="D644" s="1736"/>
      <c r="E644" s="1043">
        <v>28.71</v>
      </c>
      <c r="F644" s="1043"/>
      <c r="G644" s="1550"/>
    </row>
    <row r="645" spans="1:7">
      <c r="A645" s="1666">
        <v>38908</v>
      </c>
      <c r="B645" s="817" t="str">
        <f>TiposLancamentos!B17</f>
        <v>GATO</v>
      </c>
      <c r="C645" s="1742" t="s">
        <v>5168</v>
      </c>
      <c r="D645" s="1843"/>
      <c r="E645" s="1839">
        <f>8.39*2</f>
        <v>16.78</v>
      </c>
      <c r="F645" s="1043"/>
      <c r="G645" s="1550"/>
    </row>
    <row r="646" spans="1:7">
      <c r="A646" s="1750">
        <v>38908</v>
      </c>
      <c r="B646" s="818" t="str">
        <f>TiposLancamentos!B16</f>
        <v>Cristiane</v>
      </c>
      <c r="C646" s="1743" t="s">
        <v>2854</v>
      </c>
      <c r="D646" s="1844"/>
      <c r="E646" s="1840">
        <f>2.99+0.85+0.85</f>
        <v>4.6900000000000004</v>
      </c>
      <c r="F646" s="1043"/>
      <c r="G646" s="1550"/>
    </row>
    <row r="647" spans="1:7">
      <c r="A647" s="1754">
        <v>38909</v>
      </c>
      <c r="B647" s="125" t="str">
        <f>TiposLancamentos!B90</f>
        <v>Locadora</v>
      </c>
      <c r="C647" s="1040" t="s">
        <v>5169</v>
      </c>
      <c r="D647" s="1736"/>
      <c r="E647" s="1043">
        <v>10</v>
      </c>
      <c r="F647" s="1043"/>
      <c r="G647" s="1550"/>
    </row>
    <row r="648" spans="1:7">
      <c r="A648" s="1754">
        <v>38910</v>
      </c>
      <c r="B648" s="125" t="str">
        <f>TiposLancamentos!B4</f>
        <v>Taxas Bancarias</v>
      </c>
      <c r="C648" s="1040" t="s">
        <v>4853</v>
      </c>
      <c r="D648" s="1736"/>
      <c r="E648" s="1043">
        <v>12.57</v>
      </c>
      <c r="F648" s="1043"/>
      <c r="G648" s="1550"/>
    </row>
    <row r="649" spans="1:7">
      <c r="A649" s="1754">
        <v>38912</v>
      </c>
      <c r="B649" s="125" t="str">
        <f>TiposLancamentos!B95</f>
        <v>Salarios</v>
      </c>
      <c r="C649" s="1040" t="s">
        <v>4916</v>
      </c>
      <c r="D649" s="1736">
        <v>1689.1</v>
      </c>
      <c r="E649" s="1043"/>
      <c r="F649" s="1043"/>
      <c r="G649" s="1550"/>
    </row>
    <row r="650" spans="1:7">
      <c r="A650" s="1754">
        <v>38912</v>
      </c>
      <c r="B650" s="125" t="str">
        <f>TiposLancamentos!B84</f>
        <v>Cbx Twister 250</v>
      </c>
      <c r="C650" s="1040" t="s">
        <v>5170</v>
      </c>
      <c r="D650" s="1736"/>
      <c r="E650" s="1043">
        <v>462.55</v>
      </c>
      <c r="F650" s="1043"/>
      <c r="G650" s="1550"/>
    </row>
    <row r="651" spans="1:7">
      <c r="A651" s="1754">
        <v>38912</v>
      </c>
      <c r="B651" s="125" t="str">
        <f>TiposLancamentos!B25</f>
        <v>CD_DVD_BD</v>
      </c>
      <c r="C651" s="1040" t="s">
        <v>5171</v>
      </c>
      <c r="D651" s="1736"/>
      <c r="E651" s="1043">
        <v>64.319999999999993</v>
      </c>
      <c r="F651" s="1043"/>
      <c r="G651" s="1550"/>
    </row>
    <row r="652" spans="1:7">
      <c r="A652" s="1754">
        <v>38912</v>
      </c>
      <c r="B652" s="125" t="str">
        <f>TiposLancamentos!B19</f>
        <v>Restaurantes</v>
      </c>
      <c r="C652" s="1040" t="s">
        <v>5172</v>
      </c>
      <c r="D652" s="1736"/>
      <c r="E652" s="1043">
        <v>39.700000000000003</v>
      </c>
      <c r="F652" s="1043"/>
      <c r="G652" s="1550"/>
    </row>
    <row r="653" spans="1:7">
      <c r="A653" s="1754">
        <v>38913</v>
      </c>
      <c r="B653" s="125" t="str">
        <f>TiposLancamentos!B71</f>
        <v>Itens Pessoais</v>
      </c>
      <c r="C653" s="1040" t="s">
        <v>5173</v>
      </c>
      <c r="D653" s="1736"/>
      <c r="E653" s="1043">
        <v>153</v>
      </c>
      <c r="F653" s="1043"/>
      <c r="G653" s="1550"/>
    </row>
    <row r="654" spans="1:7">
      <c r="A654" s="1754">
        <v>38913</v>
      </c>
      <c r="B654" s="125" t="str">
        <f>TiposLancamentos!B5</f>
        <v>Supermercado</v>
      </c>
      <c r="C654" s="1040" t="s">
        <v>2567</v>
      </c>
      <c r="D654" s="1736"/>
      <c r="E654" s="1043">
        <v>27.84</v>
      </c>
      <c r="F654" s="1043"/>
      <c r="G654" s="1550"/>
    </row>
    <row r="655" spans="1:7">
      <c r="A655" s="1754">
        <v>38915</v>
      </c>
      <c r="B655" s="125" t="str">
        <f>TiposLancamentos!B90</f>
        <v>Locadora</v>
      </c>
      <c r="C655" s="1040" t="s">
        <v>5169</v>
      </c>
      <c r="D655" s="1736"/>
      <c r="E655" s="1043">
        <v>12.9</v>
      </c>
      <c r="F655" s="1043"/>
      <c r="G655" s="1550"/>
    </row>
    <row r="656" spans="1:7">
      <c r="A656" s="1754">
        <v>38915</v>
      </c>
      <c r="B656" s="125" t="str">
        <f>TiposLancamentos!B5</f>
        <v>Supermercado</v>
      </c>
      <c r="C656" s="1040" t="s">
        <v>3298</v>
      </c>
      <c r="D656" s="1736"/>
      <c r="E656" s="1043">
        <v>9.01</v>
      </c>
      <c r="F656" s="1043"/>
      <c r="G656" s="1550"/>
    </row>
    <row r="657" spans="1:7">
      <c r="A657" s="1754">
        <v>38916</v>
      </c>
      <c r="B657" s="125" t="str">
        <f>TiposLancamentos!B19</f>
        <v>Restaurantes</v>
      </c>
      <c r="C657" s="1040" t="s">
        <v>5174</v>
      </c>
      <c r="D657" s="1736"/>
      <c r="E657" s="1043">
        <v>19.899999999999999</v>
      </c>
      <c r="F657" s="1043"/>
      <c r="G657" s="1550"/>
    </row>
    <row r="658" spans="1:7">
      <c r="A658" s="1754">
        <v>38916</v>
      </c>
      <c r="B658" s="125" t="str">
        <f>TiposLancamentos!B57</f>
        <v>Informática</v>
      </c>
      <c r="C658" s="1040" t="s">
        <v>5175</v>
      </c>
      <c r="D658" s="1736"/>
      <c r="E658" s="1043">
        <v>19.899999999999999</v>
      </c>
      <c r="F658" s="1043"/>
      <c r="G658" s="1550"/>
    </row>
    <row r="659" spans="1:7">
      <c r="A659" s="1754">
        <v>38917</v>
      </c>
      <c r="B659" s="125" t="str">
        <f>TiposLancamentos!B8</f>
        <v>Aluguel</v>
      </c>
      <c r="C659" s="1040" t="s">
        <v>5176</v>
      </c>
      <c r="D659" s="1736"/>
      <c r="E659" s="1043">
        <v>750.93</v>
      </c>
      <c r="F659" s="1043"/>
      <c r="G659" s="1550"/>
    </row>
    <row r="660" spans="1:7">
      <c r="A660" s="1754">
        <v>38918</v>
      </c>
      <c r="B660" s="125" t="str">
        <f>TiposLancamentos!B25</f>
        <v>CD_DVD_BD</v>
      </c>
      <c r="C660" s="1040" t="s">
        <v>5177</v>
      </c>
      <c r="D660" s="1736"/>
      <c r="E660" s="1043">
        <v>25</v>
      </c>
      <c r="F660" s="1043"/>
      <c r="G660" s="1550"/>
    </row>
    <row r="661" spans="1:7">
      <c r="A661" s="1754">
        <v>38918</v>
      </c>
      <c r="B661" s="125" t="str">
        <f>TiposLancamentos!B19</f>
        <v>Restaurantes</v>
      </c>
      <c r="C661" s="1040" t="s">
        <v>5178</v>
      </c>
      <c r="D661" s="1736"/>
      <c r="E661" s="1043">
        <v>22</v>
      </c>
      <c r="F661" s="1043"/>
      <c r="G661" s="1550"/>
    </row>
    <row r="662" spans="1:7">
      <c r="A662" s="1754">
        <v>38919</v>
      </c>
      <c r="B662" s="125" t="str">
        <f>TiposLancamentos!B19</f>
        <v>Restaurantes</v>
      </c>
      <c r="C662" s="1040" t="s">
        <v>3099</v>
      </c>
      <c r="D662" s="1736"/>
      <c r="E662" s="1043">
        <v>3.95</v>
      </c>
      <c r="F662" s="1043"/>
      <c r="G662" s="1550"/>
    </row>
    <row r="663" spans="1:7">
      <c r="A663" s="1754">
        <v>38920</v>
      </c>
      <c r="B663" s="125" t="str">
        <f>TiposLancamentos!B19</f>
        <v>Restaurantes</v>
      </c>
      <c r="C663" s="1040" t="s">
        <v>3029</v>
      </c>
      <c r="D663" s="1736"/>
      <c r="E663" s="1043">
        <v>20.39</v>
      </c>
      <c r="F663" s="1043"/>
      <c r="G663" s="1550"/>
    </row>
    <row r="664" spans="1:7">
      <c r="A664" s="1754">
        <v>38921</v>
      </c>
      <c r="B664" s="125" t="str">
        <f>TiposLancamentos!B20</f>
        <v>Saques</v>
      </c>
      <c r="C664" s="1040" t="s">
        <v>2668</v>
      </c>
      <c r="D664" s="1736"/>
      <c r="E664" s="1043">
        <v>40</v>
      </c>
      <c r="F664" s="1043"/>
      <c r="G664" s="1550"/>
    </row>
    <row r="665" spans="1:7">
      <c r="A665" s="1754">
        <v>38922</v>
      </c>
      <c r="B665" s="125" t="str">
        <f>TiposLancamentos!B4</f>
        <v>Taxas Bancarias</v>
      </c>
      <c r="C665" s="1040" t="s">
        <v>4853</v>
      </c>
      <c r="D665" s="1736"/>
      <c r="E665" s="1043">
        <v>6.08</v>
      </c>
      <c r="F665" s="1043"/>
      <c r="G665" s="1550"/>
    </row>
    <row r="666" spans="1:7">
      <c r="A666" s="1754">
        <v>38924</v>
      </c>
      <c r="B666" s="125" t="str">
        <f>TiposLancamentos!B98</f>
        <v>Restituições</v>
      </c>
      <c r="C666" s="1040" t="s">
        <v>5179</v>
      </c>
      <c r="D666" s="1736">
        <v>752.96</v>
      </c>
      <c r="E666" s="1043"/>
      <c r="F666" s="1043"/>
      <c r="G666" s="1550"/>
    </row>
    <row r="667" spans="1:7">
      <c r="A667" s="1754">
        <v>38924</v>
      </c>
      <c r="B667" s="125" t="str">
        <f>TiposLancamentos!B21</f>
        <v>Transf. Poupanca</v>
      </c>
      <c r="C667" s="1040" t="s">
        <v>5163</v>
      </c>
      <c r="D667" s="1736"/>
      <c r="E667" s="1043">
        <v>750</v>
      </c>
      <c r="F667" s="1043"/>
      <c r="G667" s="1550"/>
    </row>
    <row r="668" spans="1:7">
      <c r="A668" s="1754">
        <v>38928</v>
      </c>
      <c r="B668" s="125" t="str">
        <f>TiposLancamentos!B20</f>
        <v>Saques</v>
      </c>
      <c r="C668" s="1040" t="s">
        <v>2655</v>
      </c>
      <c r="D668" s="1736"/>
      <c r="E668" s="1043">
        <v>10</v>
      </c>
      <c r="F668" s="1043"/>
      <c r="G668" s="1550"/>
    </row>
    <row r="669" spans="1:7">
      <c r="A669" s="1754">
        <v>38928</v>
      </c>
      <c r="B669" s="125" t="str">
        <f>TiposLancamentos!B70</f>
        <v>Vestuário</v>
      </c>
      <c r="C669" s="1040" t="s">
        <v>5180</v>
      </c>
      <c r="D669" s="1736"/>
      <c r="E669" s="1043">
        <v>30</v>
      </c>
      <c r="F669" s="1043"/>
      <c r="G669" s="1550"/>
    </row>
    <row r="670" spans="1:7">
      <c r="A670" s="1667">
        <v>38928</v>
      </c>
      <c r="B670" s="816" t="str">
        <f>TiposLancamentos!B13</f>
        <v>Moradia</v>
      </c>
      <c r="C670" s="1769" t="s">
        <v>5181</v>
      </c>
      <c r="D670" s="1841"/>
      <c r="E670" s="1841">
        <f>11.99+11.99+9.99</f>
        <v>33.97</v>
      </c>
      <c r="F670" s="1043"/>
      <c r="G670" s="1550"/>
    </row>
    <row r="671" spans="1:7">
      <c r="A671" s="1667">
        <v>38928</v>
      </c>
      <c r="B671" s="816" t="str">
        <f>TiposLancamentos!B25</f>
        <v>CD_DVD_BD</v>
      </c>
      <c r="C671" s="1769" t="s">
        <v>5182</v>
      </c>
      <c r="D671" s="1841"/>
      <c r="E671" s="1841">
        <f>19.9*2</f>
        <v>39.799999999999997</v>
      </c>
      <c r="F671" s="1043"/>
      <c r="G671" s="1550"/>
    </row>
    <row r="672" spans="1:7">
      <c r="A672" s="1667">
        <v>38928</v>
      </c>
      <c r="B672" s="816" t="str">
        <f>TiposLancamentos!B16</f>
        <v>Cristiane</v>
      </c>
      <c r="C672" s="1769" t="s">
        <v>5183</v>
      </c>
      <c r="D672" s="1841"/>
      <c r="E672" s="1841">
        <f>108.4-(E670+E671)</f>
        <v>34.63000000000001</v>
      </c>
      <c r="F672" s="1043"/>
      <c r="G672" s="1550"/>
    </row>
    <row r="673" spans="1:7">
      <c r="A673" s="1754">
        <v>38929</v>
      </c>
      <c r="B673" s="125" t="str">
        <f>TiposLancamentos!B90</f>
        <v>Locadora</v>
      </c>
      <c r="C673" s="1040" t="s">
        <v>5169</v>
      </c>
      <c r="D673" s="1736"/>
      <c r="E673" s="1043">
        <v>20.8</v>
      </c>
      <c r="F673" s="1043"/>
      <c r="G673" s="1550"/>
    </row>
    <row r="674" spans="1:7">
      <c r="A674" s="1754">
        <v>38929</v>
      </c>
      <c r="B674" s="125" t="str">
        <f>TiposLancamentos!B57</f>
        <v>Informática</v>
      </c>
      <c r="C674" s="1040" t="s">
        <v>5184</v>
      </c>
      <c r="D674" s="1736"/>
      <c r="E674" s="1043">
        <v>60</v>
      </c>
      <c r="F674" s="1043"/>
      <c r="G674" s="1550"/>
    </row>
    <row r="675" spans="1:7" ht="14.25" thickBot="1">
      <c r="A675" s="1754">
        <v>38929</v>
      </c>
      <c r="B675" s="125" t="str">
        <f>TiposLancamentos!B95</f>
        <v>Salarios</v>
      </c>
      <c r="C675" s="1040" t="s">
        <v>4939</v>
      </c>
      <c r="D675" s="1736">
        <v>3997.01</v>
      </c>
      <c r="E675" s="1043"/>
      <c r="F675" s="1043"/>
      <c r="G675" s="1550"/>
    </row>
    <row r="676" spans="1:7">
      <c r="A676" s="1834"/>
      <c r="B676" s="977"/>
      <c r="C676" s="1854" t="s">
        <v>5185</v>
      </c>
      <c r="D676" s="1823"/>
      <c r="E676" s="1821"/>
      <c r="F676" s="1821"/>
      <c r="G676" s="1895"/>
    </row>
    <row r="677" spans="1:7">
      <c r="A677" s="1754">
        <v>38930</v>
      </c>
      <c r="B677" s="125" t="str">
        <f>TiposLancamentos!B2</f>
        <v>Telefonia</v>
      </c>
      <c r="C677" s="1040" t="s">
        <v>5186</v>
      </c>
      <c r="D677" s="1736"/>
      <c r="E677" s="1043">
        <v>30.26</v>
      </c>
      <c r="F677" s="1043"/>
      <c r="G677" s="1550"/>
    </row>
    <row r="678" spans="1:7">
      <c r="A678" s="1754">
        <v>38930</v>
      </c>
      <c r="B678" s="125" t="str">
        <f>TiposLancamentos!B3</f>
        <v>Internet</v>
      </c>
      <c r="C678" s="1040" t="s">
        <v>4987</v>
      </c>
      <c r="D678" s="1736"/>
      <c r="E678" s="1043">
        <v>79.900000000000006</v>
      </c>
      <c r="F678" s="1043"/>
      <c r="G678" s="1550"/>
    </row>
    <row r="679" spans="1:7">
      <c r="A679" s="1754">
        <v>38930</v>
      </c>
      <c r="B679" s="125" t="str">
        <f>TiposLancamentos!B9</f>
        <v>Condominio</v>
      </c>
      <c r="C679" s="1040" t="s">
        <v>1684</v>
      </c>
      <c r="D679" s="1736"/>
      <c r="E679" s="1043">
        <v>559.89</v>
      </c>
      <c r="F679" s="1043"/>
      <c r="G679" s="1550"/>
    </row>
    <row r="680" spans="1:7">
      <c r="A680" s="1754">
        <v>38930</v>
      </c>
      <c r="B680" s="125" t="str">
        <f>TiposLancamentos!B16</f>
        <v>Cristiane</v>
      </c>
      <c r="C680" s="1040" t="s">
        <v>5187</v>
      </c>
      <c r="D680" s="1736"/>
      <c r="E680" s="1043">
        <v>82</v>
      </c>
      <c r="F680" s="1043"/>
      <c r="G680" s="1550"/>
    </row>
    <row r="681" spans="1:7">
      <c r="A681" s="1754">
        <v>38930</v>
      </c>
      <c r="B681" s="125" t="str">
        <f>TiposLancamentos!B21</f>
        <v>Transf. Poupanca</v>
      </c>
      <c r="C681" s="1040" t="s">
        <v>5163</v>
      </c>
      <c r="D681" s="1736"/>
      <c r="E681" s="1043">
        <v>1800</v>
      </c>
      <c r="F681" s="1043"/>
      <c r="G681" s="1550"/>
    </row>
    <row r="682" spans="1:7">
      <c r="A682" s="1754">
        <v>38931</v>
      </c>
      <c r="B682" s="125" t="str">
        <f>TiposLancamentos!B15</f>
        <v>Cartões de Crédito</v>
      </c>
      <c r="C682" s="1040" t="s">
        <v>5188</v>
      </c>
      <c r="D682" s="1736"/>
      <c r="E682" s="1043">
        <v>1107.6300000000001</v>
      </c>
      <c r="F682" s="1043"/>
      <c r="G682" s="1550"/>
    </row>
    <row r="683" spans="1:7">
      <c r="A683" s="1754">
        <v>38931</v>
      </c>
      <c r="B683" s="125" t="str">
        <f>TiposLancamentos!B4</f>
        <v>Taxas Bancarias</v>
      </c>
      <c r="C683" s="1040" t="s">
        <v>4853</v>
      </c>
      <c r="D683" s="1736"/>
      <c r="E683" s="1043">
        <v>3.71</v>
      </c>
      <c r="F683" s="1043"/>
      <c r="G683" s="1550"/>
    </row>
    <row r="684" spans="1:7">
      <c r="A684" s="1666">
        <v>38931</v>
      </c>
      <c r="B684" s="817" t="str">
        <f>TiposLancamentos!B17</f>
        <v>GATO</v>
      </c>
      <c r="C684" s="1742" t="s">
        <v>5189</v>
      </c>
      <c r="D684" s="1843"/>
      <c r="E684" s="1839">
        <v>3.39</v>
      </c>
      <c r="F684" s="1043"/>
      <c r="G684" s="1550"/>
    </row>
    <row r="685" spans="1:7">
      <c r="A685" s="1750">
        <v>38931</v>
      </c>
      <c r="B685" s="818" t="str">
        <f>TiposLancamentos!B56</f>
        <v>Farmácia</v>
      </c>
      <c r="C685" s="1743" t="s">
        <v>5190</v>
      </c>
      <c r="D685" s="1844"/>
      <c r="E685" s="1840">
        <f>14.61-3.39</f>
        <v>11.219999999999999</v>
      </c>
      <c r="F685" s="1043"/>
      <c r="G685" s="1550"/>
    </row>
    <row r="686" spans="1:7">
      <c r="A686" s="1754">
        <v>38932</v>
      </c>
      <c r="B686" s="125" t="str">
        <f>TiposLancamentos!B6</f>
        <v>Energia Eletrica</v>
      </c>
      <c r="C686" s="1040" t="s">
        <v>5191</v>
      </c>
      <c r="D686" s="1736"/>
      <c r="E686" s="1043">
        <v>56.47</v>
      </c>
      <c r="F686" s="1043"/>
      <c r="G686" s="1550"/>
    </row>
    <row r="687" spans="1:7">
      <c r="A687" s="1754">
        <v>38933</v>
      </c>
      <c r="B687" s="125" t="str">
        <f>TiposLancamentos!B19</f>
        <v>Restaurantes</v>
      </c>
      <c r="C687" s="1040" t="s">
        <v>5192</v>
      </c>
      <c r="D687" s="1736"/>
      <c r="E687" s="1043">
        <v>37</v>
      </c>
      <c r="F687" s="1043"/>
      <c r="G687" s="1550"/>
    </row>
    <row r="688" spans="1:7">
      <c r="A688" s="1754">
        <v>38935</v>
      </c>
      <c r="B688" s="125" t="str">
        <f>TiposLancamentos!B20</f>
        <v>Saques</v>
      </c>
      <c r="C688" s="1040" t="s">
        <v>2668</v>
      </c>
      <c r="D688" s="1736"/>
      <c r="E688" s="1043">
        <v>50</v>
      </c>
      <c r="F688" s="1043"/>
      <c r="G688" s="1550"/>
    </row>
    <row r="689" spans="1:7">
      <c r="A689" s="1754">
        <v>38936</v>
      </c>
      <c r="B689" s="125" t="str">
        <f>TiposLancamentos!B96</f>
        <v>Resg.Poup.</v>
      </c>
      <c r="C689" s="1040" t="s">
        <v>5193</v>
      </c>
      <c r="D689" s="1736">
        <v>40</v>
      </c>
      <c r="E689" s="1043"/>
      <c r="F689" s="1043"/>
      <c r="G689" s="1550"/>
    </row>
    <row r="690" spans="1:7">
      <c r="A690" s="1754">
        <v>38939</v>
      </c>
      <c r="B690" s="125" t="str">
        <f>TiposLancamentos!B20</f>
        <v>Saques</v>
      </c>
      <c r="C690" s="1040" t="s">
        <v>2668</v>
      </c>
      <c r="D690" s="1736"/>
      <c r="E690" s="1043">
        <v>10</v>
      </c>
      <c r="F690" s="1043"/>
      <c r="G690" s="1550"/>
    </row>
    <row r="691" spans="1:7">
      <c r="A691" s="1754">
        <v>38939</v>
      </c>
      <c r="B691" s="125" t="str">
        <f>TiposLancamentos!B96</f>
        <v>Resg.Poup.</v>
      </c>
      <c r="C691" s="1040" t="s">
        <v>5193</v>
      </c>
      <c r="D691" s="1736">
        <v>22</v>
      </c>
      <c r="E691" s="1043"/>
      <c r="F691" s="1043"/>
      <c r="G691" s="1550"/>
    </row>
    <row r="692" spans="1:7">
      <c r="A692" s="1754">
        <v>38942</v>
      </c>
      <c r="B692" s="125" t="str">
        <f>TiposLancamentos!B19</f>
        <v>Restaurantes</v>
      </c>
      <c r="C692" s="1040" t="s">
        <v>3029</v>
      </c>
      <c r="D692" s="1736"/>
      <c r="E692" s="1043">
        <v>23.23</v>
      </c>
      <c r="F692" s="1043"/>
      <c r="G692" s="1550"/>
    </row>
    <row r="693" spans="1:7">
      <c r="A693" s="1754">
        <v>38943</v>
      </c>
      <c r="B693" s="125" t="str">
        <f>TiposLancamentos!B4</f>
        <v>Taxas Bancarias</v>
      </c>
      <c r="C693" s="1040" t="s">
        <v>4853</v>
      </c>
      <c r="D693" s="1736"/>
      <c r="E693" s="1043">
        <v>14.65</v>
      </c>
      <c r="F693" s="1043"/>
      <c r="G693" s="1550"/>
    </row>
    <row r="694" spans="1:7">
      <c r="A694" s="1754">
        <v>38943</v>
      </c>
      <c r="B694" s="125" t="str">
        <f>TiposLancamentos!B97</f>
        <v>Deposito Terc.</v>
      </c>
      <c r="C694" s="1040" t="s">
        <v>5194</v>
      </c>
      <c r="D694" s="1736">
        <v>80</v>
      </c>
      <c r="E694" s="1043"/>
      <c r="F694" s="1043"/>
      <c r="G694" s="1550"/>
    </row>
    <row r="695" spans="1:7">
      <c r="A695" s="1754">
        <v>38943</v>
      </c>
      <c r="B695" s="125" t="str">
        <f>TiposLancamentos!B20</f>
        <v>Saques</v>
      </c>
      <c r="C695" s="1040" t="s">
        <v>2668</v>
      </c>
      <c r="D695" s="1736"/>
      <c r="E695" s="1043">
        <v>80</v>
      </c>
      <c r="F695" s="1043"/>
      <c r="G695" s="1550"/>
    </row>
    <row r="696" spans="1:7">
      <c r="A696" s="1754">
        <v>38944</v>
      </c>
      <c r="B696" s="125" t="str">
        <f>TiposLancamentos!B95</f>
        <v>Salarios</v>
      </c>
      <c r="C696" s="1040" t="s">
        <v>4916</v>
      </c>
      <c r="D696" s="1736">
        <v>1689.1</v>
      </c>
      <c r="E696" s="1043"/>
      <c r="F696" s="1043"/>
      <c r="G696" s="1550"/>
    </row>
    <row r="697" spans="1:7">
      <c r="A697" s="1754">
        <v>38944</v>
      </c>
      <c r="B697" s="125" t="str">
        <f>TiposLancamentos!B84</f>
        <v>Cbx Twister 250</v>
      </c>
      <c r="C697" s="1040" t="s">
        <v>5195</v>
      </c>
      <c r="D697" s="1736"/>
      <c r="E697" s="1043">
        <v>462.55</v>
      </c>
      <c r="F697" s="1043"/>
      <c r="G697" s="1550"/>
    </row>
    <row r="698" spans="1:7">
      <c r="A698" s="1754">
        <v>38944</v>
      </c>
      <c r="B698" s="125" t="str">
        <f>TiposLancamentos!B19</f>
        <v>Restaurantes</v>
      </c>
      <c r="C698" s="1040" t="s">
        <v>3329</v>
      </c>
      <c r="D698" s="1736"/>
      <c r="E698" s="1043">
        <v>3.95</v>
      </c>
      <c r="F698" s="1043"/>
      <c r="G698" s="1550"/>
    </row>
    <row r="699" spans="1:7">
      <c r="A699" s="1754">
        <v>38945</v>
      </c>
      <c r="B699" s="125" t="str">
        <f>TiposLancamentos!B20</f>
        <v>Saques</v>
      </c>
      <c r="C699" s="1040" t="s">
        <v>2668</v>
      </c>
      <c r="D699" s="1736"/>
      <c r="E699" s="1043">
        <v>20</v>
      </c>
      <c r="F699" s="1043"/>
      <c r="G699" s="1550"/>
    </row>
    <row r="700" spans="1:7">
      <c r="A700" s="1754">
        <v>38946</v>
      </c>
      <c r="B700" s="125" t="str">
        <f>TiposLancamentos!B19</f>
        <v>Restaurantes</v>
      </c>
      <c r="C700" s="1040" t="s">
        <v>2218</v>
      </c>
      <c r="D700" s="1736"/>
      <c r="E700" s="1043">
        <v>9.4700000000000006</v>
      </c>
      <c r="F700" s="1043"/>
      <c r="G700" s="1550"/>
    </row>
    <row r="701" spans="1:7">
      <c r="A701" s="1754">
        <v>38946</v>
      </c>
      <c r="B701" s="125" t="str">
        <f>TiposLancamentos!B19</f>
        <v>Restaurantes</v>
      </c>
      <c r="C701" s="1040" t="s">
        <v>3029</v>
      </c>
      <c r="D701" s="1736"/>
      <c r="E701" s="1043">
        <v>19.38</v>
      </c>
      <c r="F701" s="1043"/>
      <c r="G701" s="1550"/>
    </row>
    <row r="702" spans="1:7">
      <c r="A702" s="1754">
        <v>38947</v>
      </c>
      <c r="B702" s="125" t="str">
        <f>TiposLancamentos!B18</f>
        <v>Alimentacao</v>
      </c>
      <c r="C702" s="1040" t="s">
        <v>2771</v>
      </c>
      <c r="D702" s="1736"/>
      <c r="E702" s="1043">
        <v>5.8</v>
      </c>
      <c r="F702" s="1043"/>
      <c r="G702" s="1550"/>
    </row>
    <row r="703" spans="1:7">
      <c r="A703" s="1754">
        <v>38947</v>
      </c>
      <c r="B703" s="125" t="str">
        <f>TiposLancamentos!B19</f>
        <v>Restaurantes</v>
      </c>
      <c r="C703" s="1040" t="s">
        <v>2654</v>
      </c>
      <c r="D703" s="1736"/>
      <c r="E703" s="1043">
        <v>36.4</v>
      </c>
      <c r="F703" s="1043"/>
      <c r="G703" s="1550"/>
    </row>
    <row r="704" spans="1:7">
      <c r="A704" s="1754">
        <v>38947</v>
      </c>
      <c r="B704" s="125" t="str">
        <f>TiposLancamentos!B56</f>
        <v>Farmácia</v>
      </c>
      <c r="C704" s="1040" t="s">
        <v>1775</v>
      </c>
      <c r="D704" s="1736"/>
      <c r="E704" s="1043">
        <v>12.24</v>
      </c>
      <c r="F704" s="1043"/>
      <c r="G704" s="1550"/>
    </row>
    <row r="705" spans="1:7">
      <c r="A705" s="1754">
        <v>38948</v>
      </c>
      <c r="B705" s="125" t="str">
        <f>TiposLancamentos!B17</f>
        <v>GATO</v>
      </c>
      <c r="C705" s="1040" t="s">
        <v>5196</v>
      </c>
      <c r="D705" s="1736"/>
      <c r="E705" s="1043">
        <v>46.83</v>
      </c>
      <c r="F705" s="1043"/>
      <c r="G705" s="1550"/>
    </row>
    <row r="706" spans="1:7">
      <c r="A706" s="1754">
        <v>38950</v>
      </c>
      <c r="B706" s="125" t="str">
        <f>TiposLancamentos!B8</f>
        <v>Aluguel</v>
      </c>
      <c r="C706" s="1040" t="s">
        <v>5197</v>
      </c>
      <c r="D706" s="1736"/>
      <c r="E706" s="1043">
        <v>750.93</v>
      </c>
      <c r="F706" s="1043"/>
      <c r="G706" s="1550"/>
    </row>
    <row r="707" spans="1:7">
      <c r="A707" s="1754">
        <v>38950</v>
      </c>
      <c r="B707" s="125" t="str">
        <f>TiposLancamentos!B19</f>
        <v>Restaurantes</v>
      </c>
      <c r="C707" s="1040" t="s">
        <v>3315</v>
      </c>
      <c r="D707" s="1736"/>
      <c r="E707" s="1043">
        <v>11.79</v>
      </c>
      <c r="F707" s="1043"/>
      <c r="G707" s="1550"/>
    </row>
    <row r="708" spans="1:7">
      <c r="A708" s="1754">
        <v>38951</v>
      </c>
      <c r="B708" s="125" t="str">
        <f>TiposLancamentos!B5</f>
        <v>Supermercado</v>
      </c>
      <c r="C708" s="1040" t="s">
        <v>5198</v>
      </c>
      <c r="D708" s="1736"/>
      <c r="E708" s="1043">
        <v>15.18</v>
      </c>
      <c r="F708" s="1043"/>
      <c r="G708" s="1550"/>
    </row>
    <row r="709" spans="1:7">
      <c r="A709" s="1754">
        <v>38951</v>
      </c>
      <c r="B709" s="125" t="str">
        <f>TiposLancamentos!B96</f>
        <v>Resg.Poup.</v>
      </c>
      <c r="C709" s="1040" t="s">
        <v>5199</v>
      </c>
      <c r="D709" s="1736">
        <v>5003.47</v>
      </c>
      <c r="E709" s="1043"/>
      <c r="F709" s="1043"/>
      <c r="G709" s="1550"/>
    </row>
    <row r="710" spans="1:7">
      <c r="A710" s="1754">
        <v>38951</v>
      </c>
      <c r="B710" s="125" t="str">
        <f>TiposLancamentos!B84</f>
        <v>Cbx Twister 250</v>
      </c>
      <c r="C710" s="1040" t="s">
        <v>5200</v>
      </c>
      <c r="D710" s="1736"/>
      <c r="E710" s="1043">
        <v>5701.62</v>
      </c>
      <c r="F710" s="1043"/>
      <c r="G710" s="1550"/>
    </row>
    <row r="711" spans="1:7">
      <c r="A711" s="1754">
        <v>38951</v>
      </c>
      <c r="B711" s="125" t="str">
        <f>TiposLancamentos!B4</f>
        <v>Taxas Bancarias</v>
      </c>
      <c r="C711" s="1040" t="s">
        <v>4853</v>
      </c>
      <c r="D711" s="1736"/>
      <c r="E711" s="1043">
        <v>2.5299999999999998</v>
      </c>
      <c r="F711" s="1043"/>
      <c r="G711" s="1550"/>
    </row>
    <row r="712" spans="1:7">
      <c r="A712" s="1754">
        <v>38955</v>
      </c>
      <c r="B712" s="125" t="str">
        <f>TiposLancamentos!B20</f>
        <v>Saques</v>
      </c>
      <c r="C712" s="1040" t="s">
        <v>2655</v>
      </c>
      <c r="D712" s="1736"/>
      <c r="E712" s="1043">
        <v>30</v>
      </c>
      <c r="F712" s="1043"/>
      <c r="G712" s="1550"/>
    </row>
    <row r="713" spans="1:7">
      <c r="A713" s="1754">
        <v>38955</v>
      </c>
      <c r="B713" s="125" t="str">
        <f>TiposLancamentos!B19</f>
        <v>Restaurantes</v>
      </c>
      <c r="C713" s="1040" t="s">
        <v>2618</v>
      </c>
      <c r="D713" s="1736"/>
      <c r="E713" s="1043">
        <v>18.8</v>
      </c>
      <c r="F713" s="1043"/>
      <c r="G713" s="1550"/>
    </row>
    <row r="714" spans="1:7">
      <c r="A714" s="1754">
        <v>38955</v>
      </c>
      <c r="B714" s="125" t="str">
        <f>TiposLancamentos!B17</f>
        <v>GATO</v>
      </c>
      <c r="C714" s="1040" t="s">
        <v>5201</v>
      </c>
      <c r="D714" s="1736"/>
      <c r="E714" s="1043">
        <v>19.96</v>
      </c>
      <c r="F714" s="1043"/>
      <c r="G714" s="1550"/>
    </row>
    <row r="715" spans="1:7">
      <c r="A715" s="1754">
        <v>38956</v>
      </c>
      <c r="B715" s="125" t="str">
        <f>TiposLancamentos!B20</f>
        <v>Saques</v>
      </c>
      <c r="C715" s="1040" t="s">
        <v>2668</v>
      </c>
      <c r="D715" s="1736"/>
      <c r="E715" s="1043">
        <v>20</v>
      </c>
      <c r="F715" s="1043"/>
      <c r="G715" s="1550"/>
    </row>
    <row r="716" spans="1:7">
      <c r="A716" s="1754">
        <v>38957</v>
      </c>
      <c r="B716" s="125" t="str">
        <f>TiposLancamentos!B20</f>
        <v>Saques</v>
      </c>
      <c r="C716" s="1040" t="s">
        <v>2668</v>
      </c>
      <c r="D716" s="1736"/>
      <c r="E716" s="1043">
        <v>20</v>
      </c>
      <c r="F716" s="1043"/>
      <c r="G716" s="1550"/>
    </row>
    <row r="717" spans="1:7">
      <c r="A717" s="1754">
        <v>38957</v>
      </c>
      <c r="B717" s="125" t="str">
        <f>TiposLancamentos!B2</f>
        <v>Telefonia</v>
      </c>
      <c r="C717" s="1040" t="s">
        <v>5202</v>
      </c>
      <c r="D717" s="1736"/>
      <c r="E717" s="1043">
        <v>76.38</v>
      </c>
      <c r="F717" s="1043"/>
      <c r="G717" s="1550"/>
    </row>
    <row r="718" spans="1:7">
      <c r="A718" s="1754">
        <v>38958</v>
      </c>
      <c r="B718" s="125" t="str">
        <f>TiposLancamentos!B5</f>
        <v>Supermercado</v>
      </c>
      <c r="C718" s="1040" t="s">
        <v>2567</v>
      </c>
      <c r="D718" s="1736"/>
      <c r="E718" s="1043">
        <v>7.13</v>
      </c>
      <c r="F718" s="1043"/>
      <c r="G718" s="1550"/>
    </row>
    <row r="719" spans="1:7">
      <c r="A719" s="1754">
        <v>38959</v>
      </c>
      <c r="B719" s="125" t="str">
        <f>TiposLancamentos!B18</f>
        <v>Alimentacao</v>
      </c>
      <c r="C719" s="1040" t="s">
        <v>5203</v>
      </c>
      <c r="D719" s="1736"/>
      <c r="E719" s="1043">
        <v>4.9000000000000004</v>
      </c>
      <c r="F719" s="1043"/>
      <c r="G719" s="1550"/>
    </row>
    <row r="720" spans="1:7">
      <c r="A720" s="1754">
        <v>38959</v>
      </c>
      <c r="B720" s="125" t="str">
        <f>TiposLancamentos!B20</f>
        <v>Saques</v>
      </c>
      <c r="C720" s="1040" t="s">
        <v>2668</v>
      </c>
      <c r="D720" s="1736"/>
      <c r="E720" s="1043">
        <v>20</v>
      </c>
      <c r="F720" s="1043"/>
      <c r="G720" s="1550"/>
    </row>
    <row r="721" spans="1:7">
      <c r="A721" s="1754">
        <v>38959</v>
      </c>
      <c r="B721" s="125" t="str">
        <f>TiposLancamentos!B22</f>
        <v>Combustivel</v>
      </c>
      <c r="C721" s="1040" t="s">
        <v>3050</v>
      </c>
      <c r="D721" s="1736"/>
      <c r="E721" s="1043">
        <v>25.99</v>
      </c>
      <c r="F721" s="1043"/>
      <c r="G721" s="1550"/>
    </row>
    <row r="722" spans="1:7" ht="14.25" thickBot="1">
      <c r="A722" s="1754">
        <v>38960</v>
      </c>
      <c r="B722" s="125" t="str">
        <f>TiposLancamentos!B95</f>
        <v>Salarios</v>
      </c>
      <c r="C722" s="1040" t="s">
        <v>4939</v>
      </c>
      <c r="D722" s="1736">
        <v>7680.02</v>
      </c>
      <c r="E722" s="1043"/>
      <c r="F722" s="1043"/>
      <c r="G722" s="1550"/>
    </row>
    <row r="723" spans="1:7">
      <c r="A723" s="1834"/>
      <c r="B723" s="977"/>
      <c r="C723" s="1854" t="s">
        <v>5204</v>
      </c>
      <c r="D723" s="1823"/>
      <c r="E723" s="1821"/>
      <c r="F723" s="1821"/>
      <c r="G723" s="1895"/>
    </row>
    <row r="724" spans="1:7">
      <c r="A724" s="1754">
        <v>38961</v>
      </c>
      <c r="B724" s="125" t="str">
        <f>TiposLancamentos!B9</f>
        <v>Condominio</v>
      </c>
      <c r="C724" s="1040" t="s">
        <v>1684</v>
      </c>
      <c r="D724" s="1736"/>
      <c r="E724" s="1043">
        <v>559.89</v>
      </c>
      <c r="F724" s="1043"/>
      <c r="G724" s="1550"/>
    </row>
    <row r="725" spans="1:7">
      <c r="A725" s="1754">
        <v>38961</v>
      </c>
      <c r="B725" s="125" t="str">
        <f>TiposLancamentos!B2</f>
        <v>Telefonia</v>
      </c>
      <c r="C725" s="1040" t="s">
        <v>5205</v>
      </c>
      <c r="D725" s="1736"/>
      <c r="E725" s="1043">
        <v>49.07</v>
      </c>
      <c r="F725" s="1043"/>
      <c r="G725" s="1550"/>
    </row>
    <row r="726" spans="1:7">
      <c r="A726" s="1754">
        <v>38961</v>
      </c>
      <c r="B726" s="125" t="str">
        <f>TiposLancamentos!B3</f>
        <v>Internet</v>
      </c>
      <c r="C726" s="1040" t="s">
        <v>4987</v>
      </c>
      <c r="D726" s="1736"/>
      <c r="E726" s="1043">
        <v>79.900000000000006</v>
      </c>
      <c r="F726" s="1043"/>
      <c r="G726" s="1550"/>
    </row>
    <row r="727" spans="1:7">
      <c r="A727" s="1754">
        <v>38961</v>
      </c>
      <c r="B727" s="125" t="str">
        <f>TiposLancamentos!B16</f>
        <v>Cristiane</v>
      </c>
      <c r="C727" s="1040" t="s">
        <v>5206</v>
      </c>
      <c r="D727" s="1736"/>
      <c r="E727" s="1043">
        <v>10.48</v>
      </c>
      <c r="F727" s="1043"/>
      <c r="G727" s="1550"/>
    </row>
    <row r="728" spans="1:7">
      <c r="A728" s="1754">
        <v>38961</v>
      </c>
      <c r="B728" s="125" t="str">
        <f>TiposLancamentos!B4</f>
        <v>Taxas Bancarias</v>
      </c>
      <c r="C728" s="1040" t="s">
        <v>4858</v>
      </c>
      <c r="D728" s="1736"/>
      <c r="E728" s="1043">
        <v>0.18</v>
      </c>
      <c r="F728" s="1043"/>
      <c r="G728" s="1550"/>
    </row>
    <row r="729" spans="1:7">
      <c r="A729" s="1754">
        <v>38961</v>
      </c>
      <c r="B729" s="125" t="str">
        <f>TiposLancamentos!B4</f>
        <v>Taxas Bancarias</v>
      </c>
      <c r="C729" s="1040" t="s">
        <v>5207</v>
      </c>
      <c r="D729" s="1736"/>
      <c r="E729" s="1043">
        <v>0.98</v>
      </c>
      <c r="F729" s="1043"/>
      <c r="G729" s="1550"/>
    </row>
    <row r="730" spans="1:7">
      <c r="A730" s="1754">
        <v>38962</v>
      </c>
      <c r="B730" s="125" t="str">
        <f>TiposLancamentos!B20</f>
        <v>Saques</v>
      </c>
      <c r="C730" s="1040" t="s">
        <v>2668</v>
      </c>
      <c r="D730" s="1736"/>
      <c r="E730" s="1043">
        <v>40</v>
      </c>
      <c r="F730" s="1043"/>
      <c r="G730" s="1550"/>
    </row>
    <row r="731" spans="1:7">
      <c r="A731" s="1754">
        <v>38962</v>
      </c>
      <c r="B731" s="125" t="str">
        <f>TiposLancamentos!B16</f>
        <v>Cristiane</v>
      </c>
      <c r="C731" s="1040" t="s">
        <v>5208</v>
      </c>
      <c r="D731" s="1736"/>
      <c r="E731" s="1043">
        <v>400</v>
      </c>
      <c r="F731" s="1043"/>
      <c r="G731" s="1550"/>
    </row>
    <row r="732" spans="1:7">
      <c r="A732" s="1754">
        <v>38962</v>
      </c>
      <c r="B732" s="125" t="str">
        <f>TiposLancamentos!B19</f>
        <v>Restaurantes</v>
      </c>
      <c r="C732" s="1040" t="s">
        <v>5209</v>
      </c>
      <c r="D732" s="1736"/>
      <c r="E732" s="1043">
        <v>13</v>
      </c>
      <c r="F732" s="1043"/>
      <c r="G732" s="1550"/>
    </row>
    <row r="733" spans="1:7">
      <c r="A733" s="1754">
        <v>38962</v>
      </c>
      <c r="B733" s="125" t="str">
        <f>TiposLancamentos!B16</f>
        <v>Cristiane</v>
      </c>
      <c r="C733" s="1040" t="s">
        <v>5210</v>
      </c>
      <c r="D733" s="1736"/>
      <c r="E733" s="1043">
        <v>52</v>
      </c>
      <c r="F733" s="1043"/>
      <c r="G733" s="1550"/>
    </row>
    <row r="734" spans="1:7">
      <c r="A734" s="1754">
        <v>38962</v>
      </c>
      <c r="B734" s="125" t="str">
        <f>TiposLancamentos!B57</f>
        <v>Informática</v>
      </c>
      <c r="C734" s="1040" t="s">
        <v>5211</v>
      </c>
      <c r="D734" s="1736"/>
      <c r="E734" s="1043">
        <v>700</v>
      </c>
      <c r="F734" s="1043"/>
      <c r="G734" s="1550"/>
    </row>
    <row r="735" spans="1:7">
      <c r="A735" s="1754">
        <v>38962</v>
      </c>
      <c r="B735" s="125" t="str">
        <f>TiposLancamentos!B57</f>
        <v>Informática</v>
      </c>
      <c r="C735" s="1040" t="s">
        <v>5212</v>
      </c>
      <c r="D735" s="1736"/>
      <c r="E735" s="1043">
        <v>90</v>
      </c>
      <c r="F735" s="1043"/>
      <c r="G735" s="1550"/>
    </row>
    <row r="736" spans="1:7">
      <c r="A736" s="1754">
        <v>38962</v>
      </c>
      <c r="B736" s="125" t="str">
        <f>TiposLancamentos!B57</f>
        <v>Informática</v>
      </c>
      <c r="C736" s="1040" t="s">
        <v>5213</v>
      </c>
      <c r="D736" s="1736"/>
      <c r="E736" s="1043">
        <v>70</v>
      </c>
      <c r="F736" s="1043"/>
      <c r="G736" s="1550"/>
    </row>
    <row r="737" spans="1:7">
      <c r="A737" s="1754">
        <v>38962</v>
      </c>
      <c r="B737" s="125" t="str">
        <f>TiposLancamentos!B20</f>
        <v>Saques</v>
      </c>
      <c r="C737" s="1040" t="s">
        <v>2668</v>
      </c>
      <c r="D737" s="1736"/>
      <c r="E737" s="1043">
        <v>20</v>
      </c>
      <c r="F737" s="1043"/>
      <c r="G737" s="1550"/>
    </row>
    <row r="738" spans="1:7">
      <c r="A738" s="1666">
        <v>38963</v>
      </c>
      <c r="B738" s="817" t="str">
        <f>TiposLancamentos!B17</f>
        <v>GATO</v>
      </c>
      <c r="C738" s="1742" t="s">
        <v>5214</v>
      </c>
      <c r="D738" s="1843"/>
      <c r="E738" s="1839">
        <v>9.99</v>
      </c>
      <c r="F738" s="1043"/>
      <c r="G738" s="1550"/>
    </row>
    <row r="739" spans="1:7">
      <c r="A739" s="1750">
        <v>38963</v>
      </c>
      <c r="B739" s="818" t="str">
        <f>TiposLancamentos!B16</f>
        <v>Cristiane</v>
      </c>
      <c r="C739" s="1743" t="s">
        <v>5215</v>
      </c>
      <c r="D739" s="1844"/>
      <c r="E739" s="1840">
        <f>24.14-E738</f>
        <v>14.15</v>
      </c>
      <c r="F739" s="1043"/>
      <c r="G739" s="1550"/>
    </row>
    <row r="740" spans="1:7">
      <c r="A740" s="1754">
        <v>38963</v>
      </c>
      <c r="B740" s="125" t="str">
        <f>TiposLancamentos!B70</f>
        <v>Vestuário</v>
      </c>
      <c r="C740" s="1040" t="s">
        <v>5216</v>
      </c>
      <c r="D740" s="1736"/>
      <c r="E740" s="1043">
        <v>413.28</v>
      </c>
      <c r="F740" s="1043"/>
      <c r="G740" s="1550"/>
    </row>
    <row r="741" spans="1:7">
      <c r="A741" s="1754">
        <v>38963</v>
      </c>
      <c r="B741" s="125" t="str">
        <f>TiposLancamentos!B57</f>
        <v>Informática</v>
      </c>
      <c r="C741" s="1040" t="s">
        <v>5217</v>
      </c>
      <c r="D741" s="1736"/>
      <c r="E741" s="1043">
        <v>55</v>
      </c>
      <c r="F741" s="1043"/>
      <c r="G741" s="1550"/>
    </row>
    <row r="742" spans="1:7">
      <c r="A742" s="1754">
        <v>38964</v>
      </c>
      <c r="B742" s="125" t="str">
        <f>TiposLancamentos!B15</f>
        <v>Cartões de Crédito</v>
      </c>
      <c r="C742" s="1040" t="s">
        <v>5142</v>
      </c>
      <c r="D742" s="1736"/>
      <c r="E742" s="1043">
        <v>834.29</v>
      </c>
      <c r="F742" s="1043"/>
      <c r="G742" s="1550"/>
    </row>
    <row r="743" spans="1:7">
      <c r="A743" s="1754">
        <v>38964</v>
      </c>
      <c r="B743" s="125" t="str">
        <f>TiposLancamentos!B6</f>
        <v>Energia Eletrica</v>
      </c>
      <c r="C743" s="1040" t="s">
        <v>5191</v>
      </c>
      <c r="D743" s="1736"/>
      <c r="E743" s="1043">
        <v>52.57</v>
      </c>
      <c r="F743" s="1043"/>
      <c r="G743" s="1550"/>
    </row>
    <row r="744" spans="1:7">
      <c r="A744" s="1754">
        <v>38964</v>
      </c>
      <c r="B744" s="125" t="str">
        <f>TiposLancamentos!B4</f>
        <v>Taxas Bancarias</v>
      </c>
      <c r="C744" s="1040" t="s">
        <v>4853</v>
      </c>
      <c r="D744" s="1736"/>
      <c r="E744" s="1043">
        <v>25.83</v>
      </c>
      <c r="F744" s="1043"/>
      <c r="G744" s="1550"/>
    </row>
    <row r="745" spans="1:7">
      <c r="A745" s="1754">
        <v>38964</v>
      </c>
      <c r="B745" s="125" t="str">
        <f>TiposLancamentos!B4</f>
        <v>Taxas Bancarias</v>
      </c>
      <c r="C745" s="1040" t="s">
        <v>5218</v>
      </c>
      <c r="D745" s="1736"/>
      <c r="E745" s="1043">
        <v>0.5</v>
      </c>
      <c r="F745" s="1043"/>
      <c r="G745" s="1550"/>
    </row>
    <row r="746" spans="1:7">
      <c r="A746" s="1754">
        <v>38965</v>
      </c>
      <c r="B746" s="125" t="str">
        <f>TiposLancamentos!B5</f>
        <v>Supermercado</v>
      </c>
      <c r="C746" s="1040" t="s">
        <v>5219</v>
      </c>
      <c r="D746" s="1736"/>
      <c r="E746" s="1043">
        <v>10.97</v>
      </c>
      <c r="F746" s="1043"/>
      <c r="G746" s="1550"/>
    </row>
    <row r="747" spans="1:7">
      <c r="A747" s="1754">
        <v>38967</v>
      </c>
      <c r="B747" s="125" t="str">
        <f>TiposLancamentos!B72</f>
        <v>Presentes</v>
      </c>
      <c r="C747" s="1040" t="s">
        <v>5220</v>
      </c>
      <c r="D747" s="1736"/>
      <c r="E747" s="1043">
        <v>39.9</v>
      </c>
      <c r="F747" s="1043"/>
      <c r="G747" s="1550"/>
    </row>
    <row r="748" spans="1:7">
      <c r="A748" s="1754">
        <v>38967</v>
      </c>
      <c r="B748" s="125" t="str">
        <f>TiposLancamentos!B72</f>
        <v>Presentes</v>
      </c>
      <c r="C748" s="1040" t="s">
        <v>5220</v>
      </c>
      <c r="D748" s="1736"/>
      <c r="E748" s="1043">
        <v>44</v>
      </c>
      <c r="F748" s="1043"/>
      <c r="G748" s="1550"/>
    </row>
    <row r="749" spans="1:7">
      <c r="A749" s="1754">
        <v>38967</v>
      </c>
      <c r="B749" s="125" t="str">
        <f>TiposLancamentos!B19</f>
        <v>Restaurantes</v>
      </c>
      <c r="C749" s="1040" t="s">
        <v>5221</v>
      </c>
      <c r="D749" s="1736"/>
      <c r="E749" s="1043">
        <v>22</v>
      </c>
      <c r="F749" s="1043"/>
      <c r="G749" s="1550"/>
    </row>
    <row r="750" spans="1:7">
      <c r="A750" s="1754">
        <v>38967</v>
      </c>
      <c r="B750" s="125" t="str">
        <f>TiposLancamentos!B16</f>
        <v>Cristiane</v>
      </c>
      <c r="C750" s="1040" t="s">
        <v>5222</v>
      </c>
      <c r="D750" s="1736"/>
      <c r="E750" s="1043">
        <v>80</v>
      </c>
      <c r="F750" s="1043"/>
      <c r="G750" s="1550"/>
    </row>
    <row r="751" spans="1:7">
      <c r="A751" s="1666">
        <v>38967</v>
      </c>
      <c r="B751" s="817" t="str">
        <f>TiposLancamentos!B58</f>
        <v>Fotografias</v>
      </c>
      <c r="C751" s="1742" t="s">
        <v>5223</v>
      </c>
      <c r="D751" s="1843"/>
      <c r="E751" s="1839">
        <f>0.89*7</f>
        <v>6.23</v>
      </c>
      <c r="F751" s="1043"/>
      <c r="G751" s="1550"/>
    </row>
    <row r="752" spans="1:7">
      <c r="A752" s="1750">
        <v>38967</v>
      </c>
      <c r="B752" s="818" t="str">
        <f>TiposLancamentos!B57</f>
        <v>Informática</v>
      </c>
      <c r="C752" s="1743" t="s">
        <v>5224</v>
      </c>
      <c r="D752" s="1844"/>
      <c r="E752" s="1840">
        <f>35.43-E751</f>
        <v>29.2</v>
      </c>
      <c r="F752" s="1043"/>
      <c r="G752" s="1550"/>
    </row>
    <row r="753" spans="1:7">
      <c r="A753" s="1754">
        <v>38968</v>
      </c>
      <c r="B753" s="125" t="str">
        <f>TiposLancamentos!B57</f>
        <v>Informática</v>
      </c>
      <c r="C753" s="1040" t="s">
        <v>5225</v>
      </c>
      <c r="D753" s="1736"/>
      <c r="E753" s="1043">
        <v>44.93</v>
      </c>
      <c r="F753" s="1043"/>
      <c r="G753" s="1550"/>
    </row>
    <row r="754" spans="1:7">
      <c r="A754" s="1754">
        <v>38968</v>
      </c>
      <c r="B754" s="125" t="str">
        <f>TiposLancamentos!B17</f>
        <v>GATO</v>
      </c>
      <c r="C754" s="1040" t="s">
        <v>5226</v>
      </c>
      <c r="D754" s="1736"/>
      <c r="E754" s="1043">
        <v>60</v>
      </c>
      <c r="F754" s="1043"/>
      <c r="G754" s="1550"/>
    </row>
    <row r="755" spans="1:7">
      <c r="A755" s="1754">
        <v>38969</v>
      </c>
      <c r="B755" s="125" t="str">
        <f>TiposLancamentos!B16</f>
        <v>Cristiane</v>
      </c>
      <c r="C755" s="1040" t="s">
        <v>5227</v>
      </c>
      <c r="D755" s="1736"/>
      <c r="E755" s="1043">
        <v>11</v>
      </c>
      <c r="F755" s="1043"/>
      <c r="G755" s="1550"/>
    </row>
    <row r="756" spans="1:7">
      <c r="A756" s="1754">
        <v>38969</v>
      </c>
      <c r="B756" s="125" t="str">
        <f>TiposLancamentos!B16</f>
        <v>Cristiane</v>
      </c>
      <c r="C756" s="1040" t="s">
        <v>5228</v>
      </c>
      <c r="D756" s="1736"/>
      <c r="E756" s="1043">
        <v>69.7</v>
      </c>
      <c r="F756" s="1043"/>
      <c r="G756" s="1550"/>
    </row>
    <row r="757" spans="1:7">
      <c r="A757" s="1754">
        <v>38970</v>
      </c>
      <c r="B757" s="125" t="str">
        <f>TiposLancamentos!B19</f>
        <v>Restaurantes</v>
      </c>
      <c r="C757" s="1040" t="s">
        <v>5229</v>
      </c>
      <c r="D757" s="1736"/>
      <c r="E757" s="1043">
        <v>61</v>
      </c>
      <c r="F757" s="1043"/>
      <c r="G757" s="1550"/>
    </row>
    <row r="758" spans="1:7">
      <c r="A758" s="1754">
        <v>38971</v>
      </c>
      <c r="B758" s="125" t="str">
        <f>TiposLancamentos!B4</f>
        <v>Taxas Bancarias</v>
      </c>
      <c r="C758" s="1040" t="s">
        <v>5230</v>
      </c>
      <c r="D758" s="1736"/>
      <c r="E758" s="1043">
        <v>13.6</v>
      </c>
      <c r="F758" s="1043"/>
      <c r="G758" s="1550"/>
    </row>
    <row r="759" spans="1:7">
      <c r="A759" s="1754">
        <v>38971</v>
      </c>
      <c r="B759" s="125" t="str">
        <f>TiposLancamentos!B44</f>
        <v>Academia</v>
      </c>
      <c r="C759" s="1040" t="s">
        <v>5231</v>
      </c>
      <c r="D759" s="1736"/>
      <c r="E759" s="1043">
        <v>85</v>
      </c>
      <c r="F759" s="1043"/>
      <c r="G759" s="1550"/>
    </row>
    <row r="760" spans="1:7">
      <c r="A760" s="1754">
        <v>38971</v>
      </c>
      <c r="B760" s="125" t="str">
        <f>TiposLancamentos!B71</f>
        <v>Itens Pessoais</v>
      </c>
      <c r="C760" s="1040" t="s">
        <v>5232</v>
      </c>
      <c r="D760" s="1736"/>
      <c r="E760" s="1043">
        <v>35.9</v>
      </c>
      <c r="F760" s="1043"/>
      <c r="G760" s="1550"/>
    </row>
    <row r="761" spans="1:7">
      <c r="A761" s="1754">
        <v>38972</v>
      </c>
      <c r="B761" s="125" t="str">
        <f>TiposLancamentos!B4</f>
        <v>Taxas Bancarias</v>
      </c>
      <c r="C761" s="1040" t="s">
        <v>4853</v>
      </c>
      <c r="D761" s="1736"/>
      <c r="E761" s="1043">
        <v>16.38</v>
      </c>
      <c r="F761" s="1043"/>
      <c r="G761" s="1550"/>
    </row>
    <row r="762" spans="1:7">
      <c r="A762" s="1754">
        <v>38972</v>
      </c>
      <c r="B762" s="125" t="str">
        <f>TiposLancamentos!B84</f>
        <v>Cbx Twister 250</v>
      </c>
      <c r="C762" s="1040" t="s">
        <v>5233</v>
      </c>
      <c r="D762" s="1736"/>
      <c r="E762" s="1043">
        <v>615.75</v>
      </c>
      <c r="F762" s="1043"/>
      <c r="G762" s="1550"/>
    </row>
    <row r="763" spans="1:7">
      <c r="A763" s="1754">
        <v>38972</v>
      </c>
      <c r="B763" s="125" t="str">
        <f>TiposLancamentos!B19</f>
        <v>Restaurantes</v>
      </c>
      <c r="C763" s="1040" t="s">
        <v>5234</v>
      </c>
      <c r="D763" s="1736"/>
      <c r="E763" s="1043">
        <v>11.41</v>
      </c>
      <c r="F763" s="1043"/>
      <c r="G763" s="1550"/>
    </row>
    <row r="764" spans="1:7">
      <c r="A764" s="1754">
        <v>38974</v>
      </c>
      <c r="B764" s="125" t="str">
        <f>TiposLancamentos!B20</f>
        <v>Saques</v>
      </c>
      <c r="C764" s="1040" t="s">
        <v>2668</v>
      </c>
      <c r="D764" s="1736"/>
      <c r="E764" s="1043">
        <v>100</v>
      </c>
      <c r="F764" s="1043"/>
      <c r="G764" s="1550"/>
    </row>
    <row r="765" spans="1:7">
      <c r="A765" s="1754">
        <v>38975</v>
      </c>
      <c r="B765" s="125" t="str">
        <f>TiposLancamentos!B98</f>
        <v>Restituições</v>
      </c>
      <c r="C765" s="1040" t="s">
        <v>5235</v>
      </c>
      <c r="D765" s="1736">
        <v>516.97</v>
      </c>
      <c r="E765" s="1043"/>
      <c r="F765" s="1043"/>
      <c r="G765" s="1550"/>
    </row>
    <row r="766" spans="1:7">
      <c r="A766" s="1754">
        <v>38975</v>
      </c>
      <c r="B766" s="125" t="str">
        <f>TiposLancamentos!B84</f>
        <v>Cbx Twister 250</v>
      </c>
      <c r="C766" s="1040" t="s">
        <v>5236</v>
      </c>
      <c r="D766" s="1736"/>
      <c r="E766" s="1043">
        <v>462.55</v>
      </c>
      <c r="F766" s="1043"/>
      <c r="G766" s="1550"/>
    </row>
    <row r="767" spans="1:7">
      <c r="A767" s="1754">
        <v>38975</v>
      </c>
      <c r="B767" s="125" t="str">
        <f>TiposLancamentos!B95</f>
        <v>Salarios</v>
      </c>
      <c r="C767" s="1040" t="s">
        <v>4916</v>
      </c>
      <c r="D767" s="1736">
        <v>1689.1</v>
      </c>
      <c r="E767" s="1043"/>
      <c r="F767" s="1043"/>
      <c r="G767" s="1550"/>
    </row>
    <row r="768" spans="1:7">
      <c r="A768" s="1754">
        <v>38975</v>
      </c>
      <c r="B768" s="125" t="str">
        <f>TiposLancamentos!B19</f>
        <v>Restaurantes</v>
      </c>
      <c r="C768" s="1040" t="s">
        <v>5234</v>
      </c>
      <c r="D768" s="1736"/>
      <c r="E768" s="1043">
        <v>23.93</v>
      </c>
      <c r="F768" s="1043"/>
      <c r="G768" s="1550"/>
    </row>
    <row r="769" spans="1:7">
      <c r="A769" s="1754">
        <v>38976</v>
      </c>
      <c r="B769" s="125" t="str">
        <f>TiposLancamentos!B57</f>
        <v>Informática</v>
      </c>
      <c r="C769" s="1040" t="s">
        <v>5237</v>
      </c>
      <c r="D769" s="1736"/>
      <c r="E769" s="1043">
        <v>165</v>
      </c>
      <c r="F769" s="1043"/>
      <c r="G769" s="1550"/>
    </row>
    <row r="770" spans="1:7">
      <c r="A770" s="1754">
        <v>38976</v>
      </c>
      <c r="B770" s="125" t="str">
        <f>TiposLancamentos!B25</f>
        <v>CD_DVD_BD</v>
      </c>
      <c r="C770" s="1040" t="s">
        <v>5238</v>
      </c>
      <c r="D770" s="1736"/>
      <c r="E770" s="1043">
        <v>90</v>
      </c>
      <c r="F770" s="1043"/>
      <c r="G770" s="1550"/>
    </row>
    <row r="771" spans="1:7">
      <c r="A771" s="1754">
        <v>38976</v>
      </c>
      <c r="B771" s="125" t="str">
        <f>TiposLancamentos!B70</f>
        <v>Vestuário</v>
      </c>
      <c r="C771" s="1040" t="s">
        <v>5239</v>
      </c>
      <c r="D771" s="1736"/>
      <c r="E771" s="1043">
        <v>23</v>
      </c>
      <c r="F771" s="1043"/>
      <c r="G771" s="1550"/>
    </row>
    <row r="772" spans="1:7">
      <c r="A772" s="1754">
        <v>38976</v>
      </c>
      <c r="B772" s="125" t="str">
        <f>TiposLancamentos!B19</f>
        <v>Restaurantes</v>
      </c>
      <c r="C772" s="1040" t="s">
        <v>2640</v>
      </c>
      <c r="D772" s="1736"/>
      <c r="E772" s="1043">
        <v>21.8</v>
      </c>
      <c r="F772" s="1043"/>
      <c r="G772" s="1550"/>
    </row>
    <row r="773" spans="1:7">
      <c r="A773" s="1754">
        <v>38977</v>
      </c>
      <c r="B773" s="125" t="str">
        <f>TiposLancamentos!B5</f>
        <v>Supermercado</v>
      </c>
      <c r="C773" s="1040" t="s">
        <v>5240</v>
      </c>
      <c r="D773" s="1736"/>
      <c r="E773" s="1043">
        <v>6.07</v>
      </c>
      <c r="F773" s="1043"/>
      <c r="G773" s="1550"/>
    </row>
    <row r="774" spans="1:7">
      <c r="A774" s="1754">
        <v>38979</v>
      </c>
      <c r="B774" s="125" t="str">
        <f>TiposLancamentos!B8</f>
        <v>Aluguel</v>
      </c>
      <c r="C774" s="1040" t="s">
        <v>5241</v>
      </c>
      <c r="D774" s="1736"/>
      <c r="E774" s="1043">
        <v>750.93</v>
      </c>
      <c r="F774" s="1043"/>
      <c r="G774" s="1550"/>
    </row>
    <row r="775" spans="1:7">
      <c r="A775" s="1754">
        <v>38979</v>
      </c>
      <c r="B775" s="125" t="str">
        <f>TiposLancamentos!B82</f>
        <v>CG Titan 125</v>
      </c>
      <c r="C775" s="1040" t="s">
        <v>5242</v>
      </c>
      <c r="D775" s="1736"/>
      <c r="E775" s="1043">
        <v>25</v>
      </c>
      <c r="F775" s="1043"/>
      <c r="G775" s="1550"/>
    </row>
    <row r="776" spans="1:7">
      <c r="A776" s="1754">
        <v>38979</v>
      </c>
      <c r="B776" s="125" t="str">
        <f>TiposLancamentos!B20</f>
        <v>Saques</v>
      </c>
      <c r="C776" s="1040" t="s">
        <v>5243</v>
      </c>
      <c r="D776" s="1736"/>
      <c r="E776" s="1043">
        <v>50</v>
      </c>
      <c r="F776" s="1043"/>
      <c r="G776" s="1550"/>
    </row>
    <row r="777" spans="1:7">
      <c r="A777" s="1754">
        <v>38979</v>
      </c>
      <c r="B777" s="125" t="str">
        <f>TiposLancamentos!B20</f>
        <v>Saques</v>
      </c>
      <c r="C777" s="1040" t="s">
        <v>5244</v>
      </c>
      <c r="D777" s="1736"/>
      <c r="E777" s="1043">
        <v>520</v>
      </c>
      <c r="F777" s="1043"/>
      <c r="G777" s="1550"/>
    </row>
    <row r="778" spans="1:7">
      <c r="A778" s="1754">
        <v>38979</v>
      </c>
      <c r="B778" s="125" t="str">
        <f>TiposLancamentos!B17</f>
        <v>GATO</v>
      </c>
      <c r="C778" s="1040" t="s">
        <v>5245</v>
      </c>
      <c r="D778" s="1736"/>
      <c r="E778" s="1043">
        <v>46.83</v>
      </c>
      <c r="F778" s="1043"/>
      <c r="G778" s="1550"/>
    </row>
    <row r="779" spans="1:7">
      <c r="A779" s="1754">
        <v>38979</v>
      </c>
      <c r="B779" s="125" t="str">
        <f>TiposLancamentos!B19</f>
        <v>Restaurantes</v>
      </c>
      <c r="C779" s="1040" t="s">
        <v>2771</v>
      </c>
      <c r="D779" s="1736"/>
      <c r="E779" s="1043">
        <v>5.2</v>
      </c>
      <c r="F779" s="1043"/>
      <c r="G779" s="1550"/>
    </row>
    <row r="780" spans="1:7">
      <c r="A780" s="1754">
        <v>38979</v>
      </c>
      <c r="B780" s="125" t="str">
        <f>TiposLancamentos!B22</f>
        <v>Combustivel</v>
      </c>
      <c r="C780" s="1040" t="s">
        <v>5246</v>
      </c>
      <c r="D780" s="1736"/>
      <c r="E780" s="1043">
        <v>38.01</v>
      </c>
      <c r="F780" s="1043"/>
      <c r="G780" s="1550"/>
    </row>
    <row r="781" spans="1:7">
      <c r="A781" s="1754">
        <v>38979</v>
      </c>
      <c r="B781" s="125" t="str">
        <f>TiposLancamentos!B19</f>
        <v>Restaurantes</v>
      </c>
      <c r="C781" s="1040" t="s">
        <v>3029</v>
      </c>
      <c r="D781" s="1736"/>
      <c r="E781" s="1043">
        <v>11.79</v>
      </c>
      <c r="F781" s="1043"/>
      <c r="G781" s="1550"/>
    </row>
    <row r="782" spans="1:7">
      <c r="A782" s="1754">
        <v>38980</v>
      </c>
      <c r="B782" s="125" t="str">
        <f>TiposLancamentos!B84</f>
        <v>Cbx Twister 250</v>
      </c>
      <c r="C782" s="1040" t="s">
        <v>5247</v>
      </c>
      <c r="D782" s="1736"/>
      <c r="E782" s="1043">
        <v>230</v>
      </c>
      <c r="F782" s="1043"/>
      <c r="G782" s="1550"/>
    </row>
    <row r="783" spans="1:7">
      <c r="A783" s="1754">
        <v>38980</v>
      </c>
      <c r="B783" s="125" t="str">
        <f>TiposLancamentos!B19</f>
        <v>Restaurantes</v>
      </c>
      <c r="C783" s="1040" t="s">
        <v>5248</v>
      </c>
      <c r="D783" s="1736"/>
      <c r="E783" s="1043">
        <v>19.899999999999999</v>
      </c>
      <c r="F783" s="1043"/>
      <c r="G783" s="1550"/>
    </row>
    <row r="784" spans="1:7">
      <c r="A784" s="1754">
        <v>38981</v>
      </c>
      <c r="B784" s="125" t="str">
        <f>TiposLancamentos!B19</f>
        <v>Restaurantes</v>
      </c>
      <c r="C784" s="1040" t="s">
        <v>3329</v>
      </c>
      <c r="D784" s="1736"/>
      <c r="E784" s="1043">
        <v>7.9</v>
      </c>
      <c r="F784" s="1043"/>
      <c r="G784" s="1550"/>
    </row>
    <row r="785" spans="1:7">
      <c r="A785" s="1754">
        <v>38981</v>
      </c>
      <c r="B785" s="125" t="str">
        <f>TiposLancamentos!B4</f>
        <v>Taxas Bancarias</v>
      </c>
      <c r="C785" s="1040" t="s">
        <v>4853</v>
      </c>
      <c r="D785" s="1736"/>
      <c r="E785" s="1043">
        <v>12.61</v>
      </c>
      <c r="F785" s="1043"/>
      <c r="G785" s="1550"/>
    </row>
    <row r="786" spans="1:7">
      <c r="A786" s="1754">
        <v>38982</v>
      </c>
      <c r="B786" s="125" t="str">
        <f>TiposLancamentos!B5</f>
        <v>Supermercado</v>
      </c>
      <c r="C786" s="1040" t="s">
        <v>2567</v>
      </c>
      <c r="D786" s="1736"/>
      <c r="E786" s="1043">
        <v>13.37</v>
      </c>
      <c r="F786" s="1043"/>
      <c r="G786" s="1550"/>
    </row>
    <row r="787" spans="1:7">
      <c r="A787" s="1754">
        <v>38983</v>
      </c>
      <c r="B787" s="125" t="str">
        <f>TiposLancamentos!B20</f>
        <v>Saques</v>
      </c>
      <c r="C787" s="1040" t="s">
        <v>2668</v>
      </c>
      <c r="D787" s="1736"/>
      <c r="E787" s="1043">
        <v>40</v>
      </c>
      <c r="F787" s="1043"/>
      <c r="G787" s="1550"/>
    </row>
    <row r="788" spans="1:7">
      <c r="A788" s="1754">
        <v>38983</v>
      </c>
      <c r="B788" s="125" t="str">
        <f>TiposLancamentos!B20</f>
        <v>Saques</v>
      </c>
      <c r="C788" s="1040" t="s">
        <v>2668</v>
      </c>
      <c r="D788" s="1736"/>
      <c r="E788" s="1043">
        <v>20</v>
      </c>
      <c r="F788" s="1043"/>
      <c r="G788" s="1550"/>
    </row>
    <row r="789" spans="1:7">
      <c r="A789" s="1754">
        <v>38983</v>
      </c>
      <c r="B789" s="125" t="str">
        <f>TiposLancamentos!B13</f>
        <v>Moradia</v>
      </c>
      <c r="C789" s="1040" t="s">
        <v>5249</v>
      </c>
      <c r="D789" s="1736"/>
      <c r="E789" s="1043">
        <v>97.98</v>
      </c>
      <c r="F789" s="1043"/>
      <c r="G789" s="1550"/>
    </row>
    <row r="790" spans="1:7">
      <c r="A790" s="1754">
        <v>38983</v>
      </c>
      <c r="B790" s="125" t="str">
        <f>TiposLancamentos!B57</f>
        <v>Informática</v>
      </c>
      <c r="C790" s="1040" t="s">
        <v>5250</v>
      </c>
      <c r="D790" s="1736"/>
      <c r="E790" s="1043">
        <v>34.9</v>
      </c>
      <c r="F790" s="1043"/>
      <c r="G790" s="1550"/>
    </row>
    <row r="791" spans="1:7">
      <c r="A791" s="1754">
        <v>38983</v>
      </c>
      <c r="B791" s="125" t="str">
        <f>TiposLancamentos!B16</f>
        <v>Cristiane</v>
      </c>
      <c r="C791" s="1040" t="s">
        <v>5251</v>
      </c>
      <c r="D791" s="1736"/>
      <c r="E791" s="1043">
        <v>29</v>
      </c>
      <c r="F791" s="1043"/>
      <c r="G791" s="1550"/>
    </row>
    <row r="792" spans="1:7">
      <c r="A792" s="1754">
        <v>38983</v>
      </c>
      <c r="B792" s="125" t="str">
        <f>TiposLancamentos!B57</f>
        <v>Informática</v>
      </c>
      <c r="C792" s="1040" t="s">
        <v>5252</v>
      </c>
      <c r="D792" s="1736"/>
      <c r="E792" s="1043">
        <v>59</v>
      </c>
      <c r="F792" s="1043"/>
      <c r="G792" s="1550"/>
    </row>
    <row r="793" spans="1:7">
      <c r="A793" s="1754">
        <v>38983</v>
      </c>
      <c r="B793" s="125" t="str">
        <f>TiposLancamentos!B5</f>
        <v>Supermercado</v>
      </c>
      <c r="C793" s="1040" t="s">
        <v>2567</v>
      </c>
      <c r="D793" s="1736"/>
      <c r="E793" s="1043">
        <v>87.43</v>
      </c>
      <c r="F793" s="1043"/>
      <c r="G793" s="1550"/>
    </row>
    <row r="794" spans="1:7">
      <c r="A794" s="1666">
        <v>38984</v>
      </c>
      <c r="B794" s="817" t="str">
        <f>TiposLancamentos!B68</f>
        <v>Bombas</v>
      </c>
      <c r="C794" s="1742" t="s">
        <v>5253</v>
      </c>
      <c r="D794" s="1843"/>
      <c r="E794" s="1839">
        <f>18.55*2</f>
        <v>37.1</v>
      </c>
      <c r="F794" s="1043"/>
      <c r="G794" s="1550"/>
    </row>
    <row r="795" spans="1:7">
      <c r="A795" s="1750">
        <v>38984</v>
      </c>
      <c r="B795" s="818" t="str">
        <f>TiposLancamentos!B56</f>
        <v>Farmácia</v>
      </c>
      <c r="C795" s="1743" t="s">
        <v>5254</v>
      </c>
      <c r="D795" s="1844"/>
      <c r="E795" s="1840">
        <f>44.47-E794</f>
        <v>7.3699999999999974</v>
      </c>
      <c r="F795" s="1043"/>
      <c r="G795" s="1550"/>
    </row>
    <row r="796" spans="1:7">
      <c r="A796" s="1754">
        <v>38984</v>
      </c>
      <c r="B796" s="125" t="str">
        <f>TiposLancamentos!B19</f>
        <v>Restaurantes</v>
      </c>
      <c r="C796" s="1040" t="s">
        <v>3029</v>
      </c>
      <c r="D796" s="1736"/>
      <c r="E796" s="1043">
        <v>26.59</v>
      </c>
      <c r="F796" s="1043"/>
      <c r="G796" s="1550"/>
    </row>
    <row r="797" spans="1:7">
      <c r="A797" s="1754">
        <v>38985</v>
      </c>
      <c r="B797" s="125" t="str">
        <f>TiposLancamentos!B90</f>
        <v>Locadora</v>
      </c>
      <c r="C797" s="1040" t="s">
        <v>5169</v>
      </c>
      <c r="D797" s="1736"/>
      <c r="E797" s="1043">
        <v>10</v>
      </c>
      <c r="F797" s="1043"/>
      <c r="G797" s="1550"/>
    </row>
    <row r="798" spans="1:7">
      <c r="A798" s="1754">
        <v>38985</v>
      </c>
      <c r="B798" s="125" t="str">
        <f>TiposLancamentos!B20</f>
        <v>Saques</v>
      </c>
      <c r="C798" s="1040" t="s">
        <v>5243</v>
      </c>
      <c r="D798" s="1736"/>
      <c r="E798" s="1043">
        <v>20</v>
      </c>
      <c r="F798" s="1043"/>
      <c r="G798" s="1550"/>
    </row>
    <row r="799" spans="1:7">
      <c r="A799" s="1754">
        <v>38986</v>
      </c>
      <c r="B799" s="125" t="str">
        <f>TiposLancamentos!B5</f>
        <v>Supermercado</v>
      </c>
      <c r="C799" s="1040" t="s">
        <v>3210</v>
      </c>
      <c r="D799" s="1736"/>
      <c r="E799" s="1043">
        <v>14.85</v>
      </c>
      <c r="F799" s="1043"/>
      <c r="G799" s="1550"/>
    </row>
    <row r="800" spans="1:7">
      <c r="A800" s="1754">
        <v>38989</v>
      </c>
      <c r="B800" s="125" t="str">
        <f>TiposLancamentos!B95</f>
        <v>Salarios</v>
      </c>
      <c r="C800" s="1040" t="s">
        <v>4939</v>
      </c>
      <c r="D800" s="1736">
        <v>5505.85</v>
      </c>
      <c r="E800" s="1043"/>
      <c r="F800" s="1043"/>
      <c r="G800" s="1550"/>
    </row>
    <row r="801" spans="1:7">
      <c r="A801" s="1754">
        <v>38989</v>
      </c>
      <c r="B801" s="125" t="str">
        <f>TiposLancamentos!B19</f>
        <v>Restaurantes</v>
      </c>
      <c r="C801" s="1040" t="s">
        <v>5255</v>
      </c>
      <c r="D801" s="1736"/>
      <c r="E801" s="1043">
        <v>38</v>
      </c>
      <c r="F801" s="1043"/>
      <c r="G801" s="1550"/>
    </row>
    <row r="802" spans="1:7">
      <c r="A802" s="1754">
        <v>38990</v>
      </c>
      <c r="B802" s="125" t="str">
        <f>TiposLancamentos!B20</f>
        <v>Saques</v>
      </c>
      <c r="C802" s="1040" t="s">
        <v>2668</v>
      </c>
      <c r="D802" s="1736"/>
      <c r="E802" s="1043">
        <v>40</v>
      </c>
      <c r="F802" s="1043"/>
      <c r="G802" s="1550"/>
    </row>
    <row r="803" spans="1:7">
      <c r="A803" s="1666">
        <v>38990</v>
      </c>
      <c r="B803" s="817" t="str">
        <f>TiposLancamentos!B83</f>
        <v>Artigos Moto</v>
      </c>
      <c r="C803" s="1742" t="s">
        <v>5256</v>
      </c>
      <c r="D803" s="1843"/>
      <c r="E803" s="1839">
        <f>162.9-4.3</f>
        <v>158.6</v>
      </c>
      <c r="F803" s="1043"/>
      <c r="G803" s="1550"/>
    </row>
    <row r="804" spans="1:7" ht="14.25" thickBot="1">
      <c r="A804" s="1667">
        <v>38990</v>
      </c>
      <c r="B804" s="816" t="str">
        <f>TiposLancamentos!B82</f>
        <v>CG Titan 125</v>
      </c>
      <c r="C804" s="1769" t="s">
        <v>5257</v>
      </c>
      <c r="D804" s="1841"/>
      <c r="E804" s="1842">
        <f>9-4.3</f>
        <v>4.7</v>
      </c>
      <c r="F804" s="1043"/>
      <c r="G804" s="1550"/>
    </row>
    <row r="805" spans="1:7">
      <c r="A805" s="1834"/>
      <c r="B805" s="977"/>
      <c r="C805" s="1854" t="s">
        <v>5258</v>
      </c>
      <c r="D805" s="1823"/>
      <c r="E805" s="1821"/>
      <c r="F805" s="1821"/>
      <c r="G805" s="1895"/>
    </row>
    <row r="806" spans="1:7">
      <c r="A806" s="1754">
        <v>38991</v>
      </c>
      <c r="B806" s="125" t="str">
        <f>TiposLancamentos!B58</f>
        <v>Fotografias</v>
      </c>
      <c r="C806" s="1040" t="s">
        <v>5259</v>
      </c>
      <c r="D806" s="1736"/>
      <c r="E806" s="1043">
        <v>7.12</v>
      </c>
      <c r="F806" s="1043"/>
      <c r="G806" s="1550"/>
    </row>
    <row r="807" spans="1:7">
      <c r="A807" s="1754">
        <v>38991</v>
      </c>
      <c r="B807" s="125" t="str">
        <f>TiposLancamentos!B27</f>
        <v>Jornais e revistas</v>
      </c>
      <c r="C807" s="1040" t="s">
        <v>5260</v>
      </c>
      <c r="D807" s="1736"/>
      <c r="E807" s="1043">
        <v>17.8</v>
      </c>
      <c r="F807" s="1043"/>
      <c r="G807" s="1550"/>
    </row>
    <row r="808" spans="1:7">
      <c r="A808" s="1754">
        <v>38991</v>
      </c>
      <c r="B808" s="125" t="str">
        <f>TiposLancamentos!B19</f>
        <v>Restaurantes</v>
      </c>
      <c r="C808" s="1040" t="s">
        <v>3029</v>
      </c>
      <c r="D808" s="1736"/>
      <c r="E808" s="1043">
        <v>15.16</v>
      </c>
      <c r="F808" s="1043"/>
      <c r="G808" s="1550"/>
    </row>
    <row r="809" spans="1:7">
      <c r="A809" s="1754">
        <v>38992</v>
      </c>
      <c r="B809" s="125" t="str">
        <f>TiposLancamentos!B2</f>
        <v>Telefonia</v>
      </c>
      <c r="C809" s="1040" t="s">
        <v>5080</v>
      </c>
      <c r="D809" s="1736"/>
      <c r="E809" s="1043">
        <v>16.559999999999999</v>
      </c>
      <c r="F809" s="1043"/>
      <c r="G809" s="1550"/>
    </row>
    <row r="810" spans="1:7">
      <c r="A810" s="1754">
        <v>38992</v>
      </c>
      <c r="B810" s="125" t="str">
        <f>TiposLancamentos!B3</f>
        <v>Internet</v>
      </c>
      <c r="C810" s="1040" t="s">
        <v>4987</v>
      </c>
      <c r="D810" s="1736"/>
      <c r="E810" s="1043">
        <v>79.900000000000006</v>
      </c>
      <c r="F810" s="1043"/>
      <c r="G810" s="1550"/>
    </row>
    <row r="811" spans="1:7">
      <c r="A811" s="1754">
        <v>38992</v>
      </c>
      <c r="B811" s="125" t="str">
        <f>TiposLancamentos!B9</f>
        <v>Condominio</v>
      </c>
      <c r="C811" s="1040" t="s">
        <v>5261</v>
      </c>
      <c r="D811" s="1736"/>
      <c r="E811" s="1043">
        <v>559.89</v>
      </c>
      <c r="F811" s="1043"/>
      <c r="G811" s="1550"/>
    </row>
    <row r="812" spans="1:7">
      <c r="A812" s="1754">
        <v>38992</v>
      </c>
      <c r="B812" s="125" t="str">
        <f>TiposLancamentos!B15</f>
        <v>Cartões de Crédito</v>
      </c>
      <c r="C812" s="1040" t="s">
        <v>5262</v>
      </c>
      <c r="D812" s="1736"/>
      <c r="E812" s="1043">
        <v>131.33000000000001</v>
      </c>
      <c r="F812" s="1043"/>
      <c r="G812" s="1550"/>
    </row>
    <row r="813" spans="1:7">
      <c r="A813" s="1754">
        <v>38992</v>
      </c>
      <c r="B813" s="125" t="str">
        <f>TiposLancamentos!B15</f>
        <v>Cartões de Crédito</v>
      </c>
      <c r="C813" s="1040" t="s">
        <v>5142</v>
      </c>
      <c r="D813" s="1736"/>
      <c r="E813" s="1043">
        <v>1149.28</v>
      </c>
      <c r="F813" s="1043"/>
      <c r="G813" s="1550"/>
    </row>
    <row r="814" spans="1:7">
      <c r="A814" s="1754">
        <v>38992</v>
      </c>
      <c r="B814" s="125" t="str">
        <f>TiposLancamentos!B59</f>
        <v>Documentos</v>
      </c>
      <c r="C814" s="1040" t="s">
        <v>5263</v>
      </c>
      <c r="D814" s="1736"/>
      <c r="E814" s="1043">
        <v>162.63</v>
      </c>
      <c r="F814" s="1043"/>
      <c r="G814" s="1550"/>
    </row>
    <row r="815" spans="1:7">
      <c r="A815" s="1754">
        <v>38992</v>
      </c>
      <c r="B815" s="125" t="str">
        <f>TiposLancamentos!B20</f>
        <v>Saques</v>
      </c>
      <c r="C815" s="1040" t="s">
        <v>1706</v>
      </c>
      <c r="D815" s="1736"/>
      <c r="E815" s="1043">
        <v>10</v>
      </c>
      <c r="F815" s="1043"/>
      <c r="G815" s="1550"/>
    </row>
    <row r="816" spans="1:7">
      <c r="A816" s="1754">
        <v>38992</v>
      </c>
      <c r="B816" s="125" t="str">
        <f>TiposLancamentos!B21</f>
        <v>Transf. Poupanca</v>
      </c>
      <c r="C816" s="1040" t="s">
        <v>5264</v>
      </c>
      <c r="D816" s="1736"/>
      <c r="E816" s="1043">
        <v>4000</v>
      </c>
      <c r="F816" s="1043"/>
      <c r="G816" s="1550"/>
    </row>
    <row r="817" spans="1:7">
      <c r="A817" s="1754">
        <v>38993</v>
      </c>
      <c r="B817" s="125" t="str">
        <f>TiposLancamentos!B6</f>
        <v>Energia Eletrica</v>
      </c>
      <c r="C817" s="1040" t="s">
        <v>5030</v>
      </c>
      <c r="D817" s="1736"/>
      <c r="E817" s="1043">
        <v>48.98</v>
      </c>
      <c r="F817" s="1043"/>
      <c r="G817" s="1550"/>
    </row>
    <row r="818" spans="1:7">
      <c r="A818" s="1754">
        <v>38993</v>
      </c>
      <c r="B818" s="125" t="str">
        <f>TiposLancamentos!B16</f>
        <v>Cristiane</v>
      </c>
      <c r="C818" s="1040" t="s">
        <v>5265</v>
      </c>
      <c r="D818" s="1736"/>
      <c r="E818" s="1043">
        <v>150</v>
      </c>
      <c r="F818" s="1043"/>
      <c r="G818" s="1550"/>
    </row>
    <row r="819" spans="1:7">
      <c r="A819" s="1754">
        <v>38993</v>
      </c>
      <c r="B819" s="125" t="str">
        <f>TiposLancamentos!B16</f>
        <v>Cristiane</v>
      </c>
      <c r="C819" s="1040" t="s">
        <v>5266</v>
      </c>
      <c r="D819" s="1736">
        <v>664.29</v>
      </c>
      <c r="E819" s="1043"/>
      <c r="F819" s="1043"/>
      <c r="G819" s="1550"/>
    </row>
    <row r="820" spans="1:7">
      <c r="A820" s="1754">
        <v>38993</v>
      </c>
      <c r="B820" s="125" t="str">
        <f>TiposLancamentos!B4</f>
        <v>Taxas Bancarias</v>
      </c>
      <c r="C820" s="1040" t="s">
        <v>4853</v>
      </c>
      <c r="D820" s="1736"/>
      <c r="E820" s="1043">
        <v>2.81</v>
      </c>
      <c r="F820" s="1043"/>
      <c r="G820" s="1550"/>
    </row>
    <row r="821" spans="1:7">
      <c r="A821" s="1754">
        <v>38994</v>
      </c>
      <c r="B821" s="125" t="str">
        <f>TiposLancamentos!B56</f>
        <v>Farmácia</v>
      </c>
      <c r="C821" s="1040" t="s">
        <v>5267</v>
      </c>
      <c r="D821" s="1736"/>
      <c r="E821" s="1043">
        <v>28.94</v>
      </c>
      <c r="F821" s="1043"/>
      <c r="G821" s="1550"/>
    </row>
    <row r="822" spans="1:7">
      <c r="A822" s="1754">
        <v>38994</v>
      </c>
      <c r="B822" s="125" t="str">
        <f>TiposLancamentos!B20</f>
        <v>Saques</v>
      </c>
      <c r="C822" s="1040" t="s">
        <v>2668</v>
      </c>
      <c r="D822" s="1736"/>
      <c r="E822" s="1043">
        <v>40</v>
      </c>
      <c r="F822" s="1043"/>
      <c r="G822" s="1550"/>
    </row>
    <row r="823" spans="1:7">
      <c r="A823" s="1754">
        <v>38994</v>
      </c>
      <c r="B823" s="125" t="str">
        <f>TiposLancamentos!B16</f>
        <v>Cristiane</v>
      </c>
      <c r="C823" s="1040" t="s">
        <v>1775</v>
      </c>
      <c r="D823" s="1736"/>
      <c r="E823" s="1043">
        <v>40.31</v>
      </c>
      <c r="F823" s="1043"/>
      <c r="G823" s="1550"/>
    </row>
    <row r="824" spans="1:7">
      <c r="A824" s="1754">
        <v>38996</v>
      </c>
      <c r="B824" s="125" t="str">
        <f>TiposLancamentos!B21</f>
        <v>Transf. Poupanca</v>
      </c>
      <c r="C824" s="1040" t="s">
        <v>5268</v>
      </c>
      <c r="D824" s="1736">
        <v>2700</v>
      </c>
      <c r="E824" s="1043"/>
      <c r="F824" s="1043"/>
      <c r="G824" s="1550"/>
    </row>
    <row r="825" spans="1:7">
      <c r="A825" s="1754">
        <v>38996</v>
      </c>
      <c r="B825" s="125" t="str">
        <f>TiposLancamentos!B57</f>
        <v>Informática</v>
      </c>
      <c r="C825" s="1040" t="s">
        <v>5269</v>
      </c>
      <c r="D825" s="1736"/>
      <c r="E825" s="1043">
        <v>2724.99</v>
      </c>
      <c r="F825" s="1043"/>
      <c r="G825" s="1550"/>
    </row>
    <row r="826" spans="1:7">
      <c r="A826" s="1754">
        <v>38996</v>
      </c>
      <c r="B826" s="125" t="str">
        <f>TiposLancamentos!B20</f>
        <v>Saques</v>
      </c>
      <c r="C826" s="1040" t="s">
        <v>2668</v>
      </c>
      <c r="D826" s="1736"/>
      <c r="E826" s="1043">
        <v>60</v>
      </c>
      <c r="F826" s="1043"/>
      <c r="G826" s="1550"/>
    </row>
    <row r="827" spans="1:7">
      <c r="A827" s="1754">
        <v>38996</v>
      </c>
      <c r="B827" s="125" t="str">
        <f>TiposLancamentos!B19</f>
        <v>Restaurantes</v>
      </c>
      <c r="C827" s="1040" t="s">
        <v>5270</v>
      </c>
      <c r="D827" s="1736"/>
      <c r="E827" s="1043">
        <v>38</v>
      </c>
      <c r="F827" s="1043"/>
      <c r="G827" s="1550"/>
    </row>
    <row r="828" spans="1:7">
      <c r="A828" s="1754">
        <v>38997</v>
      </c>
      <c r="B828" s="125" t="str">
        <f>TiposLancamentos!B16</f>
        <v>Cristiane</v>
      </c>
      <c r="C828" s="1040" t="s">
        <v>5271</v>
      </c>
      <c r="D828" s="1736"/>
      <c r="E828" s="1043">
        <v>191</v>
      </c>
      <c r="F828" s="1043"/>
      <c r="G828" s="1550"/>
    </row>
    <row r="829" spans="1:7">
      <c r="A829" s="1754">
        <v>38997</v>
      </c>
      <c r="B829" s="125" t="str">
        <f>TiposLancamentos!B27</f>
        <v>Jornais e revistas</v>
      </c>
      <c r="C829" s="1040" t="s">
        <v>5260</v>
      </c>
      <c r="D829" s="1736"/>
      <c r="E829" s="1043">
        <v>12.5</v>
      </c>
      <c r="F829" s="1043"/>
      <c r="G829" s="1550"/>
    </row>
    <row r="830" spans="1:7">
      <c r="A830" s="1754">
        <v>38997</v>
      </c>
      <c r="B830" s="125" t="str">
        <f>TiposLancamentos!B57</f>
        <v>Informática</v>
      </c>
      <c r="C830" s="1040" t="s">
        <v>5272</v>
      </c>
      <c r="D830" s="1736"/>
      <c r="E830" s="1043">
        <v>170</v>
      </c>
      <c r="F830" s="1043"/>
      <c r="G830" s="1550"/>
    </row>
    <row r="831" spans="1:7">
      <c r="A831" s="1754">
        <v>38997</v>
      </c>
      <c r="B831" s="125" t="str">
        <f>TiposLancamentos!B57</f>
        <v>Informática</v>
      </c>
      <c r="C831" s="1040" t="s">
        <v>5273</v>
      </c>
      <c r="D831" s="1736"/>
      <c r="E831" s="1043">
        <v>26.3</v>
      </c>
      <c r="F831" s="1043"/>
      <c r="G831" s="1550"/>
    </row>
    <row r="832" spans="1:7">
      <c r="A832" s="1754">
        <v>38997</v>
      </c>
      <c r="B832" s="125" t="str">
        <f>TiposLancamentos!B20</f>
        <v>Saques</v>
      </c>
      <c r="C832" s="1040" t="s">
        <v>2668</v>
      </c>
      <c r="D832" s="1736"/>
      <c r="E832" s="1043">
        <v>60</v>
      </c>
      <c r="F832" s="1043"/>
      <c r="G832" s="1550"/>
    </row>
    <row r="833" spans="1:7">
      <c r="A833" s="1754">
        <v>38998</v>
      </c>
      <c r="B833" s="125" t="str">
        <f>TiposLancamentos!B16</f>
        <v>Cristiane</v>
      </c>
      <c r="C833" s="1040" t="s">
        <v>5274</v>
      </c>
      <c r="D833" s="1736"/>
      <c r="E833" s="1043">
        <v>13.99</v>
      </c>
      <c r="F833" s="1043"/>
      <c r="G833" s="1550"/>
    </row>
    <row r="834" spans="1:7">
      <c r="A834" s="1754">
        <v>38998</v>
      </c>
      <c r="B834" s="125" t="str">
        <f>TiposLancamentos!B20</f>
        <v>Saques</v>
      </c>
      <c r="C834" s="1040" t="s">
        <v>5243</v>
      </c>
      <c r="D834" s="1736"/>
      <c r="E834" s="1043">
        <v>30</v>
      </c>
      <c r="F834" s="1043"/>
      <c r="G834" s="1550"/>
    </row>
    <row r="835" spans="1:7">
      <c r="A835" s="1754">
        <v>38998</v>
      </c>
      <c r="B835" s="125" t="str">
        <f>TiposLancamentos!B19</f>
        <v>Restaurantes</v>
      </c>
      <c r="C835" s="1040" t="s">
        <v>3315</v>
      </c>
      <c r="D835" s="1736"/>
      <c r="E835" s="1043">
        <v>26.43</v>
      </c>
      <c r="F835" s="1043"/>
      <c r="G835" s="1550"/>
    </row>
    <row r="836" spans="1:7">
      <c r="A836" s="1754">
        <v>38999</v>
      </c>
      <c r="B836" s="125" t="str">
        <f>TiposLancamentos!B22</f>
        <v>Combustivel</v>
      </c>
      <c r="C836" s="1040" t="s">
        <v>5275</v>
      </c>
      <c r="D836" s="1736"/>
      <c r="E836" s="1043">
        <v>23.73</v>
      </c>
      <c r="F836" s="1043"/>
      <c r="G836" s="1550"/>
    </row>
    <row r="837" spans="1:7">
      <c r="A837" s="1754">
        <v>38999</v>
      </c>
      <c r="B837" s="125" t="str">
        <f>TiposLancamentos!B19</f>
        <v>Restaurantes</v>
      </c>
      <c r="C837" s="1040" t="s">
        <v>3329</v>
      </c>
      <c r="D837" s="1736"/>
      <c r="E837" s="1043">
        <v>3.95</v>
      </c>
      <c r="F837" s="1043"/>
      <c r="G837" s="1550"/>
    </row>
    <row r="838" spans="1:7">
      <c r="A838" s="1754">
        <v>38999</v>
      </c>
      <c r="B838" s="125" t="str">
        <f>TiposLancamentos!B20</f>
        <v>Saques</v>
      </c>
      <c r="C838" s="1040" t="s">
        <v>5243</v>
      </c>
      <c r="D838" s="1736"/>
      <c r="E838" s="1043">
        <v>80</v>
      </c>
      <c r="F838" s="1043"/>
      <c r="G838" s="1550"/>
    </row>
    <row r="839" spans="1:7">
      <c r="A839" s="1754">
        <v>39000</v>
      </c>
      <c r="B839" s="125" t="str">
        <f>TiposLancamentos!B2</f>
        <v>Telefonia</v>
      </c>
      <c r="C839" s="1040" t="s">
        <v>5276</v>
      </c>
      <c r="D839" s="1736"/>
      <c r="E839" s="1043">
        <v>0.02</v>
      </c>
      <c r="F839" s="1043"/>
      <c r="G839" s="1550"/>
    </row>
    <row r="840" spans="1:7">
      <c r="A840" s="1666">
        <v>39001</v>
      </c>
      <c r="B840" s="817" t="str">
        <f>TiposLancamentos!B17</f>
        <v>GATO</v>
      </c>
      <c r="C840" s="1742" t="s">
        <v>5189</v>
      </c>
      <c r="D840" s="1843"/>
      <c r="E840" s="1839">
        <v>3.63</v>
      </c>
      <c r="F840" s="1043"/>
      <c r="G840" s="1550"/>
    </row>
    <row r="841" spans="1:7">
      <c r="A841" s="1750">
        <v>39001</v>
      </c>
      <c r="B841" s="818" t="str">
        <f>TiposLancamentos!B68</f>
        <v>Bombas</v>
      </c>
      <c r="C841" s="1743" t="s">
        <v>5253</v>
      </c>
      <c r="D841" s="1844"/>
      <c r="E841" s="1840">
        <f>18.55*2</f>
        <v>37.1</v>
      </c>
      <c r="F841" s="1043"/>
      <c r="G841" s="1550"/>
    </row>
    <row r="842" spans="1:7">
      <c r="A842" s="1754">
        <v>39001</v>
      </c>
      <c r="B842" s="125" t="str">
        <f>TiposLancamentos!B44</f>
        <v>Academia</v>
      </c>
      <c r="C842" s="1040" t="s">
        <v>5277</v>
      </c>
      <c r="D842" s="1736"/>
      <c r="E842" s="1043">
        <v>75</v>
      </c>
      <c r="F842" s="1043"/>
      <c r="G842" s="1550"/>
    </row>
    <row r="843" spans="1:7">
      <c r="A843" s="1754">
        <v>39003</v>
      </c>
      <c r="B843" s="125" t="str">
        <f>TiposLancamentos!B4</f>
        <v>Taxas Bancarias</v>
      </c>
      <c r="C843" s="1040" t="s">
        <v>4853</v>
      </c>
      <c r="D843" s="1736"/>
      <c r="E843" s="1043">
        <v>37.58</v>
      </c>
      <c r="F843" s="1043"/>
      <c r="G843" s="1550"/>
    </row>
    <row r="844" spans="1:7">
      <c r="A844" s="1754">
        <v>39003</v>
      </c>
      <c r="B844" s="125" t="str">
        <f>TiposLancamentos!B95</f>
        <v>Salarios</v>
      </c>
      <c r="C844" s="1040" t="s">
        <v>4916</v>
      </c>
      <c r="D844" s="1736">
        <v>1689.1</v>
      </c>
      <c r="E844" s="1043"/>
      <c r="F844" s="1043"/>
      <c r="G844" s="1550"/>
    </row>
    <row r="845" spans="1:7">
      <c r="A845" s="1754">
        <v>39003</v>
      </c>
      <c r="B845" s="125" t="str">
        <f>TiposLancamentos!B13</f>
        <v>Moradia</v>
      </c>
      <c r="C845" s="1040" t="s">
        <v>5278</v>
      </c>
      <c r="D845" s="1736"/>
      <c r="E845" s="1043">
        <v>170</v>
      </c>
      <c r="F845" s="1043"/>
      <c r="G845" s="1550"/>
    </row>
    <row r="846" spans="1:7">
      <c r="A846" s="1754">
        <v>39004</v>
      </c>
      <c r="B846" s="125" t="str">
        <f>TiposLancamentos!B19</f>
        <v>Restaurantes</v>
      </c>
      <c r="C846" s="1040" t="s">
        <v>5279</v>
      </c>
      <c r="D846" s="1736"/>
      <c r="E846" s="1043">
        <v>11.5</v>
      </c>
      <c r="F846" s="1043"/>
      <c r="G846" s="1550"/>
    </row>
    <row r="847" spans="1:7">
      <c r="A847" s="1754">
        <v>39005</v>
      </c>
      <c r="B847" s="125" t="str">
        <f>TiposLancamentos!B84</f>
        <v>Cbx Twister 250</v>
      </c>
      <c r="C847" s="1040" t="s">
        <v>5280</v>
      </c>
      <c r="D847" s="1736"/>
      <c r="E847" s="1043">
        <v>27.9</v>
      </c>
      <c r="F847" s="1043"/>
      <c r="G847" s="1550"/>
    </row>
    <row r="848" spans="1:7">
      <c r="A848" s="1754">
        <v>39005</v>
      </c>
      <c r="B848" s="125" t="str">
        <f>TiposLancamentos!B19</f>
        <v>Restaurantes</v>
      </c>
      <c r="C848" s="1040" t="s">
        <v>5281</v>
      </c>
      <c r="D848" s="1736"/>
      <c r="E848" s="1043">
        <v>11</v>
      </c>
      <c r="F848" s="1043"/>
      <c r="G848" s="1550"/>
    </row>
    <row r="849" spans="1:7">
      <c r="A849" s="1754">
        <v>39005</v>
      </c>
      <c r="B849" s="125" t="str">
        <f>TiposLancamentos!B19</f>
        <v>Restaurantes</v>
      </c>
      <c r="C849" s="1040" t="s">
        <v>3315</v>
      </c>
      <c r="D849" s="1736"/>
      <c r="E849" s="1043">
        <v>12.69</v>
      </c>
      <c r="F849" s="1043"/>
      <c r="G849" s="1550"/>
    </row>
    <row r="850" spans="1:7">
      <c r="A850" s="1754">
        <v>39006</v>
      </c>
      <c r="B850" s="125" t="str">
        <f>TiposLancamentos!B84</f>
        <v>Cbx Twister 250</v>
      </c>
      <c r="C850" s="1040" t="s">
        <v>5282</v>
      </c>
      <c r="D850" s="1736"/>
      <c r="E850" s="1043">
        <v>462.55</v>
      </c>
      <c r="F850" s="1043"/>
      <c r="G850" s="1550"/>
    </row>
    <row r="851" spans="1:7">
      <c r="A851" s="1754">
        <v>39009</v>
      </c>
      <c r="B851" s="125" t="str">
        <f>TiposLancamentos!B74</f>
        <v>Noite</v>
      </c>
      <c r="C851" s="1040" t="s">
        <v>5283</v>
      </c>
      <c r="D851" s="1736"/>
      <c r="E851" s="1043">
        <v>60</v>
      </c>
      <c r="F851" s="1043"/>
      <c r="G851" s="1550"/>
    </row>
    <row r="852" spans="1:7">
      <c r="A852" s="1754">
        <v>39009</v>
      </c>
      <c r="B852" s="125" t="str">
        <f>TiposLancamentos!B8</f>
        <v>Aluguel</v>
      </c>
      <c r="C852" s="1040" t="s">
        <v>2542</v>
      </c>
      <c r="D852" s="1736"/>
      <c r="E852" s="1043">
        <v>750.93</v>
      </c>
      <c r="F852" s="1043"/>
      <c r="G852" s="1550"/>
    </row>
    <row r="853" spans="1:7">
      <c r="A853" s="1754">
        <v>39010</v>
      </c>
      <c r="B853" s="125" t="str">
        <f>TiposLancamentos!B19</f>
        <v>Restaurantes</v>
      </c>
      <c r="C853" s="1040" t="s">
        <v>3184</v>
      </c>
      <c r="D853" s="1736"/>
      <c r="E853" s="1043">
        <v>3.95</v>
      </c>
      <c r="F853" s="1043"/>
      <c r="G853" s="1550"/>
    </row>
    <row r="854" spans="1:7">
      <c r="A854" s="1754">
        <v>39010</v>
      </c>
      <c r="B854" s="125" t="str">
        <f>TiposLancamentos!B19</f>
        <v>Restaurantes</v>
      </c>
      <c r="C854" s="1040" t="s">
        <v>3029</v>
      </c>
      <c r="D854" s="1736"/>
      <c r="E854" s="1043">
        <v>22.6</v>
      </c>
      <c r="F854" s="1043"/>
      <c r="G854" s="1550"/>
    </row>
    <row r="855" spans="1:7">
      <c r="A855" s="1754">
        <v>39011</v>
      </c>
      <c r="B855" s="125" t="str">
        <f>TiposLancamentos!B19</f>
        <v>Restaurantes</v>
      </c>
      <c r="C855" s="1040" t="s">
        <v>5284</v>
      </c>
      <c r="D855" s="1736"/>
      <c r="E855" s="1043">
        <v>22</v>
      </c>
      <c r="F855" s="1043"/>
      <c r="G855" s="1550"/>
    </row>
    <row r="856" spans="1:7">
      <c r="A856" s="1754">
        <v>39011</v>
      </c>
      <c r="B856" s="125" t="str">
        <f>TiposLancamentos!B19</f>
        <v>Restaurantes</v>
      </c>
      <c r="C856" s="1040" t="s">
        <v>2899</v>
      </c>
      <c r="D856" s="1736"/>
      <c r="E856" s="1043">
        <v>5.4</v>
      </c>
      <c r="F856" s="1043"/>
      <c r="G856" s="1550"/>
    </row>
    <row r="857" spans="1:7">
      <c r="A857" s="1754">
        <v>39011</v>
      </c>
      <c r="B857" s="125" t="str">
        <f>TiposLancamentos!B5</f>
        <v>Supermercado</v>
      </c>
      <c r="C857" s="1040" t="s">
        <v>2567</v>
      </c>
      <c r="D857" s="1736"/>
      <c r="E857" s="1043">
        <v>2.15</v>
      </c>
      <c r="F857" s="1043"/>
      <c r="G857" s="1550"/>
    </row>
    <row r="858" spans="1:7">
      <c r="A858" s="1754">
        <v>39012</v>
      </c>
      <c r="B858" s="125" t="str">
        <f>TiposLancamentos!B19</f>
        <v>Restaurantes</v>
      </c>
      <c r="C858" s="1040" t="s">
        <v>5285</v>
      </c>
      <c r="D858" s="1736"/>
      <c r="E858" s="1043">
        <v>28</v>
      </c>
      <c r="F858" s="1043"/>
      <c r="G858" s="1550"/>
    </row>
    <row r="859" spans="1:7">
      <c r="A859" s="1754">
        <v>39013</v>
      </c>
      <c r="B859" s="125" t="str">
        <f>TiposLancamentos!B99</f>
        <v>Venda de algo</v>
      </c>
      <c r="C859" s="1856" t="s">
        <v>5286</v>
      </c>
      <c r="D859" s="1736">
        <v>60</v>
      </c>
      <c r="E859" s="1043"/>
      <c r="F859" s="1043"/>
      <c r="G859" s="1550"/>
    </row>
    <row r="860" spans="1:7">
      <c r="A860" s="1754">
        <v>39013</v>
      </c>
      <c r="B860" s="125" t="str">
        <f>TiposLancamentos!B20</f>
        <v>Saques</v>
      </c>
      <c r="C860" s="1040" t="s">
        <v>2655</v>
      </c>
      <c r="D860" s="1736"/>
      <c r="E860" s="1043">
        <v>20</v>
      </c>
      <c r="F860" s="1043"/>
      <c r="G860" s="1550"/>
    </row>
    <row r="861" spans="1:7">
      <c r="A861" s="1754">
        <v>39014</v>
      </c>
      <c r="B861" s="125" t="str">
        <f>TiposLancamentos!B4</f>
        <v>Taxas Bancarias</v>
      </c>
      <c r="C861" s="1040" t="s">
        <v>5287</v>
      </c>
      <c r="D861" s="1736"/>
      <c r="E861" s="1043">
        <v>6.97</v>
      </c>
      <c r="F861" s="1043"/>
      <c r="G861" s="1550"/>
    </row>
    <row r="862" spans="1:7">
      <c r="A862" s="1754">
        <v>39014</v>
      </c>
      <c r="B862" s="125" t="str">
        <f>TiposLancamentos!B19</f>
        <v>Restaurantes</v>
      </c>
      <c r="C862" s="1040" t="s">
        <v>5288</v>
      </c>
      <c r="D862" s="1736"/>
      <c r="E862" s="1043">
        <v>6.7</v>
      </c>
      <c r="F862" s="1043"/>
      <c r="G862" s="1550"/>
    </row>
    <row r="863" spans="1:7">
      <c r="A863" s="1754">
        <v>39014</v>
      </c>
      <c r="B863" s="125" t="str">
        <f>TiposLancamentos!B5</f>
        <v>Supermercado</v>
      </c>
      <c r="C863" s="1040" t="s">
        <v>2567</v>
      </c>
      <c r="D863" s="1736"/>
      <c r="E863" s="1043">
        <v>13.19</v>
      </c>
      <c r="F863" s="1043"/>
      <c r="G863" s="1550"/>
    </row>
    <row r="864" spans="1:7">
      <c r="A864" s="1754">
        <v>39015</v>
      </c>
      <c r="B864" s="125" t="str">
        <f>TiposLancamentos!B5</f>
        <v>Supermercado</v>
      </c>
      <c r="C864" s="1040" t="s">
        <v>5289</v>
      </c>
      <c r="D864" s="1736"/>
      <c r="E864" s="1043">
        <v>7.74</v>
      </c>
      <c r="F864" s="1043"/>
      <c r="G864" s="1550"/>
    </row>
    <row r="865" spans="1:7">
      <c r="A865" s="1754">
        <v>39018</v>
      </c>
      <c r="B865" s="125" t="str">
        <f>TiposLancamentos!B20</f>
        <v>Saques</v>
      </c>
      <c r="C865" s="1040" t="s">
        <v>2668</v>
      </c>
      <c r="D865" s="1736"/>
      <c r="E865" s="1043">
        <v>10</v>
      </c>
      <c r="F865" s="1043"/>
      <c r="G865" s="1550"/>
    </row>
    <row r="866" spans="1:7">
      <c r="A866" s="1754">
        <v>39020</v>
      </c>
      <c r="B866" s="125" t="str">
        <f>TiposLancamentos!B5</f>
        <v>Supermercado</v>
      </c>
      <c r="C866" s="1040" t="s">
        <v>2567</v>
      </c>
      <c r="D866" s="1736"/>
      <c r="E866" s="1043">
        <v>8.7799999999999994</v>
      </c>
      <c r="F866" s="1043"/>
      <c r="G866" s="1550"/>
    </row>
    <row r="867" spans="1:7">
      <c r="A867" s="1754">
        <v>39020</v>
      </c>
      <c r="B867" s="125" t="str">
        <f>TiposLancamentos!B34</f>
        <v>Seguros</v>
      </c>
      <c r="C867" s="1040" t="s">
        <v>5290</v>
      </c>
      <c r="D867" s="1736"/>
      <c r="E867" s="1043">
        <v>691.79</v>
      </c>
      <c r="F867" s="1043"/>
      <c r="G867" s="1550"/>
    </row>
    <row r="868" spans="1:7">
      <c r="A868" s="1754">
        <v>39021</v>
      </c>
      <c r="B868" s="125" t="str">
        <f>TiposLancamentos!B95</f>
        <v>Salarios</v>
      </c>
      <c r="C868" s="1040" t="s">
        <v>4939</v>
      </c>
      <c r="D868" s="1736">
        <v>5739.62</v>
      </c>
      <c r="E868" s="1043"/>
      <c r="F868" s="1043"/>
      <c r="G868" s="1550"/>
    </row>
    <row r="869" spans="1:7">
      <c r="A869" s="1754">
        <v>39021</v>
      </c>
      <c r="B869" s="125" t="str">
        <f>TiposLancamentos!B20</f>
        <v>Saques</v>
      </c>
      <c r="C869" s="1040" t="s">
        <v>2668</v>
      </c>
      <c r="D869" s="1736"/>
      <c r="E869" s="1043">
        <v>10</v>
      </c>
      <c r="F869" s="1043"/>
      <c r="G869" s="1550"/>
    </row>
    <row r="870" spans="1:7" ht="14.25" thickBot="1">
      <c r="A870" s="1754">
        <v>39021</v>
      </c>
      <c r="B870" s="125" t="str">
        <f>TiposLancamentos!B45</f>
        <v>Online Services</v>
      </c>
      <c r="C870" s="1040" t="s">
        <v>5291</v>
      </c>
      <c r="D870" s="1736"/>
      <c r="E870" s="1043">
        <v>3.45</v>
      </c>
      <c r="F870" s="1043"/>
      <c r="G870" s="1550"/>
    </row>
    <row r="871" spans="1:7">
      <c r="A871" s="1834"/>
      <c r="B871" s="977"/>
      <c r="C871" s="1854" t="s">
        <v>5292</v>
      </c>
      <c r="D871" s="1823"/>
      <c r="E871" s="1821"/>
      <c r="F871" s="1821"/>
      <c r="G871" s="1895"/>
    </row>
    <row r="872" spans="1:7">
      <c r="A872" s="1754">
        <v>39022</v>
      </c>
      <c r="B872" s="125" t="str">
        <f>TiposLancamentos!B2</f>
        <v>Telefonia</v>
      </c>
      <c r="C872" s="1040" t="s">
        <v>5080</v>
      </c>
      <c r="D872" s="1736"/>
      <c r="E872" s="1043">
        <v>38.450000000000003</v>
      </c>
      <c r="F872" s="1043"/>
      <c r="G872" s="1550"/>
    </row>
    <row r="873" spans="1:7">
      <c r="A873" s="1754">
        <v>39022</v>
      </c>
      <c r="B873" s="125" t="str">
        <f>TiposLancamentos!B3</f>
        <v>Internet</v>
      </c>
      <c r="C873" s="1040" t="s">
        <v>4987</v>
      </c>
      <c r="D873" s="1736"/>
      <c r="E873" s="1043">
        <v>79.900000000000006</v>
      </c>
      <c r="F873" s="1043"/>
      <c r="G873" s="1550"/>
    </row>
    <row r="874" spans="1:7">
      <c r="A874" s="1754">
        <v>39022</v>
      </c>
      <c r="B874" s="125" t="str">
        <f>TiposLancamentos!B9</f>
        <v>Condominio</v>
      </c>
      <c r="C874" s="1040" t="s">
        <v>4847</v>
      </c>
      <c r="D874" s="1736"/>
      <c r="E874" s="1043">
        <v>495.88</v>
      </c>
      <c r="F874" s="1043"/>
      <c r="G874" s="1550"/>
    </row>
    <row r="875" spans="1:7">
      <c r="A875" s="1754">
        <v>39022</v>
      </c>
      <c r="B875" s="125" t="str">
        <f>TiposLancamentos!B20</f>
        <v>Saques</v>
      </c>
      <c r="C875" s="1040" t="s">
        <v>2668</v>
      </c>
      <c r="D875" s="1736"/>
      <c r="E875" s="1043">
        <v>20</v>
      </c>
      <c r="F875" s="1043"/>
      <c r="G875" s="1550"/>
    </row>
    <row r="876" spans="1:7">
      <c r="A876" s="1754">
        <v>39022</v>
      </c>
      <c r="B876" s="125" t="str">
        <f>TiposLancamentos!B22</f>
        <v>Combustivel</v>
      </c>
      <c r="C876" s="1040" t="s">
        <v>5293</v>
      </c>
      <c r="D876" s="1736"/>
      <c r="E876" s="1043">
        <v>34.729999999999997</v>
      </c>
      <c r="F876" s="1043"/>
      <c r="G876" s="1550"/>
    </row>
    <row r="877" spans="1:7">
      <c r="A877" s="1754">
        <v>39022</v>
      </c>
      <c r="B877" s="125" t="str">
        <f>TiposLancamentos!B4</f>
        <v>Taxas Bancarias</v>
      </c>
      <c r="C877" s="1040" t="s">
        <v>5207</v>
      </c>
      <c r="D877" s="1736"/>
      <c r="E877" s="1043">
        <v>1.65</v>
      </c>
      <c r="F877" s="1043"/>
      <c r="G877" s="1550"/>
    </row>
    <row r="878" spans="1:7">
      <c r="A878" s="1754">
        <v>39022</v>
      </c>
      <c r="B878" s="125" t="str">
        <f>TiposLancamentos!B4</f>
        <v>Taxas Bancarias</v>
      </c>
      <c r="C878" s="1040" t="s">
        <v>4858</v>
      </c>
      <c r="D878" s="1736"/>
      <c r="E878" s="1043">
        <v>0.02</v>
      </c>
      <c r="F878" s="1043"/>
      <c r="G878" s="1550"/>
    </row>
    <row r="879" spans="1:7">
      <c r="A879" s="1754">
        <v>39023</v>
      </c>
      <c r="B879" s="125" t="str">
        <f>TiposLancamentos!B15</f>
        <v>Cartões de Crédito</v>
      </c>
      <c r="C879" s="1040" t="s">
        <v>5142</v>
      </c>
      <c r="D879" s="1736"/>
      <c r="E879" s="1043">
        <v>1065.17</v>
      </c>
      <c r="F879" s="1043"/>
      <c r="G879" s="1550"/>
    </row>
    <row r="880" spans="1:7">
      <c r="A880" s="1754">
        <v>39023</v>
      </c>
      <c r="B880" s="125" t="str">
        <f>TiposLancamentos!B15</f>
        <v>Cartões de Crédito</v>
      </c>
      <c r="C880" s="1040" t="s">
        <v>5262</v>
      </c>
      <c r="D880" s="1736"/>
      <c r="E880" s="1043">
        <v>131.33000000000001</v>
      </c>
      <c r="F880" s="1043"/>
      <c r="G880" s="1550"/>
    </row>
    <row r="881" spans="1:7">
      <c r="A881" s="1754">
        <v>39023</v>
      </c>
      <c r="B881" s="125" t="str">
        <f>TiposLancamentos!B21</f>
        <v>Transf. Poupanca</v>
      </c>
      <c r="C881" s="1040" t="s">
        <v>5294</v>
      </c>
      <c r="D881" s="1736"/>
      <c r="E881" s="1043">
        <v>2800</v>
      </c>
      <c r="F881" s="1043"/>
      <c r="G881" s="1550"/>
    </row>
    <row r="882" spans="1:7">
      <c r="A882" s="1754">
        <v>39023</v>
      </c>
      <c r="B882" s="125" t="str">
        <f>TiposLancamentos!B19</f>
        <v>Restaurantes</v>
      </c>
      <c r="C882" s="1040" t="s">
        <v>5295</v>
      </c>
      <c r="D882" s="1736"/>
      <c r="E882" s="1043">
        <v>44.22</v>
      </c>
      <c r="F882" s="1043"/>
      <c r="G882" s="1550"/>
    </row>
    <row r="883" spans="1:7">
      <c r="A883" s="1754">
        <v>39024</v>
      </c>
      <c r="B883" s="125" t="str">
        <f>TiposLancamentos!B6</f>
        <v>Energia Eletrica</v>
      </c>
      <c r="C883" s="1040" t="s">
        <v>5296</v>
      </c>
      <c r="D883" s="1736"/>
      <c r="E883" s="1043">
        <v>63.28</v>
      </c>
      <c r="F883" s="1043"/>
      <c r="G883" s="1550"/>
    </row>
    <row r="884" spans="1:7">
      <c r="A884" s="1754">
        <v>39024</v>
      </c>
      <c r="B884" s="125" t="str">
        <f>TiposLancamentos!B4</f>
        <v>Taxas Bancarias</v>
      </c>
      <c r="C884" s="1040" t="s">
        <v>4853</v>
      </c>
      <c r="D884" s="1736"/>
      <c r="E884" s="1043">
        <v>3.17</v>
      </c>
      <c r="F884" s="1043"/>
      <c r="G884" s="1550"/>
    </row>
    <row r="885" spans="1:7">
      <c r="A885" s="1754">
        <v>39024</v>
      </c>
      <c r="B885" s="125" t="str">
        <f>TiposLancamentos!B17</f>
        <v>GATO</v>
      </c>
      <c r="C885" s="1040" t="s">
        <v>5297</v>
      </c>
      <c r="D885" s="1736"/>
      <c r="E885" s="1043">
        <v>30</v>
      </c>
      <c r="F885" s="1043"/>
      <c r="G885" s="1550"/>
    </row>
    <row r="886" spans="1:7">
      <c r="A886" s="1754">
        <v>39024</v>
      </c>
      <c r="B886" s="125" t="str">
        <f>TiposLancamentos!B96</f>
        <v>Resg.Poup.</v>
      </c>
      <c r="C886" s="1040" t="s">
        <v>5298</v>
      </c>
      <c r="D886" s="1736">
        <v>200</v>
      </c>
      <c r="E886" s="1043"/>
      <c r="F886" s="1043"/>
      <c r="G886" s="1550"/>
    </row>
    <row r="887" spans="1:7">
      <c r="A887" s="1754">
        <v>39024</v>
      </c>
      <c r="B887" s="125" t="str">
        <f>TiposLancamentos!B20</f>
        <v>Saques</v>
      </c>
      <c r="C887" s="1040" t="s">
        <v>5299</v>
      </c>
      <c r="D887" s="1736"/>
      <c r="E887" s="1043">
        <v>340</v>
      </c>
      <c r="F887" s="1043"/>
      <c r="G887" s="1550"/>
    </row>
    <row r="888" spans="1:7">
      <c r="A888" s="1754">
        <v>39024</v>
      </c>
      <c r="B888" s="125" t="str">
        <f>TiposLancamentos!B20</f>
        <v>Saques</v>
      </c>
      <c r="C888" s="1040" t="s">
        <v>5300</v>
      </c>
      <c r="D888" s="1736"/>
      <c r="E888" s="1043">
        <v>20</v>
      </c>
      <c r="F888" s="1043"/>
      <c r="G888" s="1550"/>
    </row>
    <row r="889" spans="1:7">
      <c r="A889" s="1754">
        <v>39024</v>
      </c>
      <c r="B889" s="125" t="str">
        <f>TiposLancamentos!B19</f>
        <v>Restaurantes</v>
      </c>
      <c r="C889" s="1040" t="s">
        <v>3029</v>
      </c>
      <c r="D889" s="1736"/>
      <c r="E889" s="1043">
        <v>18.100000000000001</v>
      </c>
      <c r="F889" s="1043"/>
      <c r="G889" s="1550"/>
    </row>
    <row r="890" spans="1:7">
      <c r="A890" s="1754">
        <v>39024</v>
      </c>
      <c r="B890" s="125" t="str">
        <f>TiposLancamentos!B4</f>
        <v>Taxas Bancarias</v>
      </c>
      <c r="C890" s="1040" t="s">
        <v>5301</v>
      </c>
      <c r="D890" s="1736"/>
      <c r="E890" s="1043">
        <v>1</v>
      </c>
      <c r="F890" s="1043"/>
      <c r="G890" s="1550"/>
    </row>
    <row r="891" spans="1:7">
      <c r="A891" s="1754">
        <v>39025</v>
      </c>
      <c r="B891" s="125" t="str">
        <f>TiposLancamentos!B70</f>
        <v>Vestuário</v>
      </c>
      <c r="C891" s="1040" t="s">
        <v>5302</v>
      </c>
      <c r="D891" s="1736"/>
      <c r="E891" s="1043">
        <v>39.92</v>
      </c>
      <c r="F891" s="1043"/>
      <c r="G891" s="1550"/>
    </row>
    <row r="892" spans="1:7">
      <c r="A892" s="1754">
        <v>39026</v>
      </c>
      <c r="B892" s="125" t="str">
        <f>TiposLancamentos!B19</f>
        <v>Restaurantes</v>
      </c>
      <c r="C892" s="1040" t="s">
        <v>5303</v>
      </c>
      <c r="D892" s="1736"/>
      <c r="E892" s="1043">
        <v>21.9</v>
      </c>
      <c r="F892" s="1043"/>
      <c r="G892" s="1550"/>
    </row>
    <row r="893" spans="1:7">
      <c r="A893" s="1754">
        <v>39026</v>
      </c>
      <c r="B893" s="125" t="str">
        <f>TiposLancamentos!B19</f>
        <v>Restaurantes</v>
      </c>
      <c r="C893" s="1040" t="s">
        <v>5304</v>
      </c>
      <c r="D893" s="1736"/>
      <c r="E893" s="1043">
        <v>10.1</v>
      </c>
      <c r="F893" s="1043"/>
      <c r="G893" s="1550"/>
    </row>
    <row r="894" spans="1:7">
      <c r="A894" s="1754">
        <v>39026</v>
      </c>
      <c r="B894" s="125" t="str">
        <f>TiposLancamentos!B19</f>
        <v>Restaurantes</v>
      </c>
      <c r="C894" s="1040" t="s">
        <v>3029</v>
      </c>
      <c r="D894" s="1736"/>
      <c r="E894" s="1043">
        <v>15.05</v>
      </c>
      <c r="F894" s="1043"/>
      <c r="G894" s="1550"/>
    </row>
    <row r="895" spans="1:7">
      <c r="A895" s="1754">
        <v>39027</v>
      </c>
      <c r="B895" s="125" t="str">
        <f>TiposLancamentos!B68</f>
        <v>Bombas</v>
      </c>
      <c r="C895" s="1040" t="s">
        <v>5253</v>
      </c>
      <c r="D895" s="1736"/>
      <c r="E895" s="1043">
        <v>39.9</v>
      </c>
      <c r="F895" s="1043"/>
      <c r="G895" s="1550"/>
    </row>
    <row r="896" spans="1:7">
      <c r="A896" s="1754">
        <v>39027</v>
      </c>
      <c r="B896" s="125" t="str">
        <f>TiposLancamentos!B96</f>
        <v>Resg.Poup.</v>
      </c>
      <c r="C896" s="1040" t="s">
        <v>5156</v>
      </c>
      <c r="D896" s="1736">
        <v>150</v>
      </c>
      <c r="E896" s="1043"/>
      <c r="F896" s="1043"/>
      <c r="G896" s="1550"/>
    </row>
    <row r="897" spans="1:7">
      <c r="A897" s="1754">
        <v>39027</v>
      </c>
      <c r="B897" s="125" t="str">
        <f>TiposLancamentos!B90</f>
        <v>Locadora</v>
      </c>
      <c r="C897" s="1040" t="s">
        <v>44</v>
      </c>
      <c r="D897" s="1736"/>
      <c r="E897" s="1043">
        <v>10</v>
      </c>
      <c r="F897" s="1043"/>
      <c r="G897" s="1550"/>
    </row>
    <row r="898" spans="1:7">
      <c r="A898" s="1754">
        <v>39028</v>
      </c>
      <c r="B898" s="125" t="str">
        <f>TiposLancamentos!B45</f>
        <v>Online Services</v>
      </c>
      <c r="C898" s="1040" t="s">
        <v>5305</v>
      </c>
      <c r="D898" s="1736"/>
      <c r="E898" s="1043">
        <v>21.49</v>
      </c>
      <c r="F898" s="1043"/>
      <c r="G898" s="1550"/>
    </row>
    <row r="899" spans="1:7">
      <c r="A899" s="1754">
        <v>39029</v>
      </c>
      <c r="B899" s="125" t="str">
        <f>TiposLancamentos!B20</f>
        <v>Saques</v>
      </c>
      <c r="C899" s="1040" t="s">
        <v>2668</v>
      </c>
      <c r="D899" s="1736"/>
      <c r="E899" s="1043">
        <v>20</v>
      </c>
      <c r="F899" s="1043"/>
      <c r="G899" s="1550"/>
    </row>
    <row r="900" spans="1:7">
      <c r="A900" s="1754">
        <v>39030</v>
      </c>
      <c r="B900" s="125" t="str">
        <f>TiposLancamentos!B27</f>
        <v>Jornais e revistas</v>
      </c>
      <c r="C900" s="1040" t="s">
        <v>5306</v>
      </c>
      <c r="D900" s="1736"/>
      <c r="E900" s="1043">
        <v>45.9</v>
      </c>
      <c r="F900" s="1043"/>
      <c r="G900" s="1550"/>
    </row>
    <row r="901" spans="1:7">
      <c r="A901" s="1666">
        <v>39030</v>
      </c>
      <c r="B901" s="817" t="str">
        <f>TiposLancamentos!B18</f>
        <v>Alimentacao</v>
      </c>
      <c r="C901" s="1742" t="s">
        <v>5307</v>
      </c>
      <c r="D901" s="1843"/>
      <c r="E901" s="1839">
        <v>2.99</v>
      </c>
      <c r="F901" s="1043"/>
      <c r="G901" s="1550"/>
    </row>
    <row r="902" spans="1:7">
      <c r="A902" s="1750">
        <v>39030</v>
      </c>
      <c r="B902" s="818" t="str">
        <f>TiposLancamentos!B57</f>
        <v>Informática</v>
      </c>
      <c r="C902" s="1743" t="s">
        <v>5308</v>
      </c>
      <c r="D902" s="1844"/>
      <c r="E902" s="1840">
        <v>2.89</v>
      </c>
      <c r="F902" s="1043"/>
      <c r="G902" s="1550"/>
    </row>
    <row r="903" spans="1:7">
      <c r="A903" s="1754">
        <v>39030</v>
      </c>
      <c r="B903" s="125" t="str">
        <f>TiposLancamentos!B19</f>
        <v>Restaurantes</v>
      </c>
      <c r="C903" s="1040" t="s">
        <v>3029</v>
      </c>
      <c r="D903" s="1736"/>
      <c r="E903" s="1043">
        <v>28</v>
      </c>
      <c r="F903" s="1043"/>
      <c r="G903" s="1550"/>
    </row>
    <row r="904" spans="1:7">
      <c r="A904" s="1754">
        <v>39031</v>
      </c>
      <c r="B904" s="125" t="str">
        <f>TiposLancamentos!B18</f>
        <v>Alimentacao</v>
      </c>
      <c r="C904" s="1040" t="s">
        <v>3118</v>
      </c>
      <c r="D904" s="1736"/>
      <c r="E904" s="1043">
        <v>4.3</v>
      </c>
      <c r="F904" s="1043"/>
      <c r="G904" s="1550"/>
    </row>
    <row r="905" spans="1:7">
      <c r="A905" s="1754">
        <v>39032</v>
      </c>
      <c r="B905" s="125" t="str">
        <f>TiposLancamentos!B19</f>
        <v>Restaurantes</v>
      </c>
      <c r="C905" s="1040" t="s">
        <v>5309</v>
      </c>
      <c r="D905" s="1736"/>
      <c r="E905" s="1043">
        <v>12.9</v>
      </c>
      <c r="F905" s="1043"/>
      <c r="G905" s="1550"/>
    </row>
    <row r="906" spans="1:7">
      <c r="A906" s="1754">
        <v>39032</v>
      </c>
      <c r="B906" s="125" t="str">
        <f>TiposLancamentos!B19</f>
        <v>Restaurantes</v>
      </c>
      <c r="C906" s="1040" t="s">
        <v>3265</v>
      </c>
      <c r="D906" s="1736"/>
      <c r="E906" s="1043">
        <v>3.95</v>
      </c>
      <c r="F906" s="1043"/>
      <c r="G906" s="1550"/>
    </row>
    <row r="907" spans="1:7">
      <c r="A907" s="1754">
        <v>39032</v>
      </c>
      <c r="B907" s="125" t="str">
        <f>TiposLancamentos!B19</f>
        <v>Restaurantes</v>
      </c>
      <c r="C907" s="1040" t="s">
        <v>5310</v>
      </c>
      <c r="D907" s="1736"/>
      <c r="E907" s="1043">
        <v>30.65</v>
      </c>
      <c r="F907" s="1043"/>
      <c r="G907" s="1550"/>
    </row>
    <row r="908" spans="1:7">
      <c r="A908" s="1754">
        <v>39035</v>
      </c>
      <c r="B908" s="125" t="str">
        <f>TiposLancamentos!B95</f>
        <v>Salarios</v>
      </c>
      <c r="C908" s="1040" t="s">
        <v>4916</v>
      </c>
      <c r="D908" s="1736">
        <v>1689.1</v>
      </c>
      <c r="E908" s="1043"/>
      <c r="F908" s="1043"/>
      <c r="G908" s="1550"/>
    </row>
    <row r="909" spans="1:7">
      <c r="A909" s="1754">
        <v>39035</v>
      </c>
      <c r="B909" s="125" t="str">
        <f>TiposLancamentos!B4</f>
        <v>Taxas Bancarias</v>
      </c>
      <c r="C909" s="1040" t="s">
        <v>4853</v>
      </c>
      <c r="D909" s="1736"/>
      <c r="E909" s="1043">
        <v>23.15</v>
      </c>
      <c r="F909" s="1043"/>
      <c r="G909" s="1550"/>
    </row>
    <row r="910" spans="1:7">
      <c r="A910" s="1754">
        <v>39035</v>
      </c>
      <c r="B910" s="125" t="str">
        <f>TiposLancamentos!B84</f>
        <v>Cbx Twister 250</v>
      </c>
      <c r="C910" s="1040" t="s">
        <v>5311</v>
      </c>
      <c r="D910" s="1736"/>
      <c r="E910" s="1043">
        <v>5.6</v>
      </c>
      <c r="F910" s="1043"/>
      <c r="G910" s="1550"/>
    </row>
    <row r="911" spans="1:7">
      <c r="A911" s="1754">
        <v>39035</v>
      </c>
      <c r="B911" s="125" t="str">
        <f>TiposLancamentos!B99</f>
        <v>Venda de algo</v>
      </c>
      <c r="C911" s="1040" t="s">
        <v>5312</v>
      </c>
      <c r="D911" s="1736">
        <v>154.5</v>
      </c>
      <c r="E911" s="1043"/>
      <c r="F911" s="1043"/>
      <c r="G911" s="1550"/>
    </row>
    <row r="912" spans="1:7">
      <c r="A912" s="1754">
        <v>39035</v>
      </c>
      <c r="B912" s="125" t="str">
        <f>TiposLancamentos!B44</f>
        <v>Academia</v>
      </c>
      <c r="C912" s="1040" t="s">
        <v>5313</v>
      </c>
      <c r="D912" s="1736"/>
      <c r="E912" s="1043">
        <v>75</v>
      </c>
      <c r="F912" s="1043"/>
      <c r="G912" s="1550"/>
    </row>
    <row r="913" spans="1:7">
      <c r="A913" s="1754">
        <v>39036</v>
      </c>
      <c r="B913" s="125" t="str">
        <f>TiposLancamentos!B84</f>
        <v>Cbx Twister 250</v>
      </c>
      <c r="C913" s="1040" t="s">
        <v>5314</v>
      </c>
      <c r="D913" s="1736"/>
      <c r="E913" s="1043">
        <v>462.55</v>
      </c>
      <c r="F913" s="1043"/>
      <c r="G913" s="1550"/>
    </row>
    <row r="914" spans="1:7">
      <c r="A914" s="1754">
        <v>39036</v>
      </c>
      <c r="B914" s="125" t="str">
        <f>TiposLancamentos!B5</f>
        <v>Supermercado</v>
      </c>
      <c r="C914" s="1040" t="s">
        <v>2567</v>
      </c>
      <c r="D914" s="1736"/>
      <c r="E914" s="1043">
        <v>14.85</v>
      </c>
      <c r="F914" s="1043"/>
      <c r="G914" s="1550"/>
    </row>
    <row r="915" spans="1:7">
      <c r="A915" s="1754">
        <v>39036</v>
      </c>
      <c r="B915" s="125" t="str">
        <f>TiposLancamentos!B19</f>
        <v>Restaurantes</v>
      </c>
      <c r="C915" s="1040" t="s">
        <v>3315</v>
      </c>
      <c r="D915" s="1736"/>
      <c r="E915" s="1043">
        <v>24.59</v>
      </c>
      <c r="F915" s="1043"/>
      <c r="G915" s="1550"/>
    </row>
    <row r="916" spans="1:7">
      <c r="A916" s="1754">
        <v>39036</v>
      </c>
      <c r="B916" s="125" t="str">
        <f>TiposLancamentos!B17</f>
        <v>GATO</v>
      </c>
      <c r="C916" s="1040" t="s">
        <v>5189</v>
      </c>
      <c r="D916" s="1736"/>
      <c r="E916" s="1043">
        <v>3.63</v>
      </c>
      <c r="F916" s="1043"/>
      <c r="G916" s="1550"/>
    </row>
    <row r="917" spans="1:7">
      <c r="A917" s="1754">
        <v>39036</v>
      </c>
      <c r="B917" s="125" t="str">
        <f>TiposLancamentos!B56</f>
        <v>Farmácia</v>
      </c>
      <c r="C917" s="1040" t="s">
        <v>5315</v>
      </c>
      <c r="D917" s="1736"/>
      <c r="E917" s="1043">
        <f>11.73-E916</f>
        <v>8.1000000000000014</v>
      </c>
      <c r="F917" s="1043"/>
      <c r="G917" s="1550"/>
    </row>
    <row r="918" spans="1:7">
      <c r="A918" s="1754">
        <v>39037</v>
      </c>
      <c r="B918" s="125" t="str">
        <f>TiposLancamentos!B19</f>
        <v>Restaurantes</v>
      </c>
      <c r="C918" s="1040" t="s">
        <v>3451</v>
      </c>
      <c r="D918" s="1736"/>
      <c r="E918" s="1043">
        <v>5.4</v>
      </c>
      <c r="F918" s="1043"/>
      <c r="G918" s="1550"/>
    </row>
    <row r="919" spans="1:7">
      <c r="A919" s="1754">
        <v>39037</v>
      </c>
      <c r="B919" s="125" t="str">
        <f>TiposLancamentos!B19</f>
        <v>Restaurantes</v>
      </c>
      <c r="C919" s="1040" t="s">
        <v>3184</v>
      </c>
      <c r="D919" s="1736"/>
      <c r="E919" s="1043">
        <v>3.95</v>
      </c>
      <c r="F919" s="1043"/>
      <c r="G919" s="1550"/>
    </row>
    <row r="920" spans="1:7">
      <c r="A920" s="1754">
        <v>39037</v>
      </c>
      <c r="B920" s="125" t="str">
        <f>TiposLancamentos!B19</f>
        <v>Restaurantes</v>
      </c>
      <c r="C920" s="1040" t="s">
        <v>5316</v>
      </c>
      <c r="D920" s="1736"/>
      <c r="E920" s="1043">
        <v>6.01</v>
      </c>
      <c r="F920" s="1043"/>
      <c r="G920" s="1550"/>
    </row>
    <row r="921" spans="1:7">
      <c r="A921" s="1754">
        <v>39037</v>
      </c>
      <c r="B921" s="125" t="str">
        <f>TiposLancamentos!B97</f>
        <v>Deposito Terc.</v>
      </c>
      <c r="C921" s="1040" t="s">
        <v>5317</v>
      </c>
      <c r="D921" s="1736">
        <v>195</v>
      </c>
      <c r="E921" s="1043"/>
      <c r="F921" s="1043"/>
      <c r="G921" s="1550"/>
    </row>
    <row r="922" spans="1:7">
      <c r="A922" s="1754">
        <v>39038</v>
      </c>
      <c r="B922" s="125" t="str">
        <f>TiposLancamentos!B19</f>
        <v>Restaurantes</v>
      </c>
      <c r="C922" s="1040" t="s">
        <v>3176</v>
      </c>
      <c r="D922" s="1736"/>
      <c r="E922" s="1043">
        <v>14</v>
      </c>
      <c r="F922" s="1043"/>
      <c r="G922" s="1550"/>
    </row>
    <row r="923" spans="1:7">
      <c r="A923" s="1754">
        <v>39038</v>
      </c>
      <c r="B923" s="125" t="str">
        <f>TiposLancamentos!B19</f>
        <v>Restaurantes</v>
      </c>
      <c r="C923" s="1040" t="s">
        <v>3184</v>
      </c>
      <c r="D923" s="1736"/>
      <c r="E923" s="1043">
        <v>3.95</v>
      </c>
      <c r="F923" s="1043"/>
      <c r="G923" s="1550"/>
    </row>
    <row r="924" spans="1:7">
      <c r="A924" s="1754">
        <v>39038</v>
      </c>
      <c r="B924" s="125" t="str">
        <f>TiposLancamentos!B19</f>
        <v>Restaurantes</v>
      </c>
      <c r="C924" s="1040" t="s">
        <v>3029</v>
      </c>
      <c r="D924" s="1736"/>
      <c r="E924" s="1043">
        <v>19.14</v>
      </c>
      <c r="F924" s="1043"/>
      <c r="G924" s="1550"/>
    </row>
    <row r="925" spans="1:7">
      <c r="A925" s="1754">
        <v>39039</v>
      </c>
      <c r="B925" s="125" t="str">
        <f>TiposLancamentos!B5</f>
        <v>Supermercado</v>
      </c>
      <c r="C925" s="1040" t="s">
        <v>5318</v>
      </c>
      <c r="D925" s="1736"/>
      <c r="E925" s="1043">
        <v>13.54</v>
      </c>
      <c r="F925" s="1043"/>
      <c r="G925" s="1550"/>
    </row>
    <row r="926" spans="1:7">
      <c r="A926" s="1754">
        <v>39039</v>
      </c>
      <c r="B926" s="125" t="str">
        <f>TiposLancamentos!B16</f>
        <v>Cristiane</v>
      </c>
      <c r="C926" s="1040" t="s">
        <v>5210</v>
      </c>
      <c r="D926" s="1736"/>
      <c r="E926" s="1043">
        <v>67.8</v>
      </c>
      <c r="F926" s="1043"/>
      <c r="G926" s="1550"/>
    </row>
    <row r="927" spans="1:7">
      <c r="A927" s="1754">
        <v>39039</v>
      </c>
      <c r="B927" s="125" t="str">
        <f>TiposLancamentos!B25</f>
        <v>CD_DVD_BD</v>
      </c>
      <c r="C927" s="1040" t="s">
        <v>5319</v>
      </c>
      <c r="D927" s="1736"/>
      <c r="E927" s="1043">
        <v>49.89</v>
      </c>
      <c r="F927" s="1043"/>
      <c r="G927" s="1550"/>
    </row>
    <row r="928" spans="1:7">
      <c r="A928" s="1754">
        <v>39039</v>
      </c>
      <c r="B928" s="125" t="str">
        <f>TiposLancamentos!B36</f>
        <v>Playstation 2</v>
      </c>
      <c r="C928" s="1040" t="s">
        <v>5320</v>
      </c>
      <c r="D928" s="1736"/>
      <c r="E928" s="1043">
        <v>80</v>
      </c>
      <c r="F928" s="1043"/>
      <c r="G928" s="1550"/>
    </row>
    <row r="929" spans="1:7">
      <c r="A929" s="1754">
        <v>39039</v>
      </c>
      <c r="B929" s="125" t="str">
        <f>TiposLancamentos!B5</f>
        <v>Supermercado</v>
      </c>
      <c r="C929" s="1040" t="s">
        <v>5321</v>
      </c>
      <c r="D929" s="1736"/>
      <c r="E929" s="1043">
        <v>32.92</v>
      </c>
      <c r="F929" s="1043"/>
      <c r="G929" s="1550"/>
    </row>
    <row r="930" spans="1:7">
      <c r="A930" s="1754">
        <v>39040</v>
      </c>
      <c r="B930" s="125" t="str">
        <f>TiposLancamentos!B19</f>
        <v>Restaurantes</v>
      </c>
      <c r="C930" s="1040" t="s">
        <v>5322</v>
      </c>
      <c r="D930" s="1736"/>
      <c r="E930" s="1043">
        <v>53.57</v>
      </c>
      <c r="F930" s="1043"/>
      <c r="G930" s="1550"/>
    </row>
    <row r="931" spans="1:7">
      <c r="A931" s="1754">
        <v>39040</v>
      </c>
      <c r="B931" s="125" t="str">
        <f>TiposLancamentos!B20</f>
        <v>Saques</v>
      </c>
      <c r="C931" s="1040" t="s">
        <v>2850</v>
      </c>
      <c r="D931" s="1736"/>
      <c r="E931" s="1043">
        <v>30</v>
      </c>
      <c r="F931" s="1043"/>
      <c r="G931" s="1550"/>
    </row>
    <row r="932" spans="1:7">
      <c r="A932" s="1754">
        <v>39041</v>
      </c>
      <c r="B932" s="125" t="str">
        <f>TiposLancamentos!B8</f>
        <v>Aluguel</v>
      </c>
      <c r="C932" s="1040" t="s">
        <v>5323</v>
      </c>
      <c r="D932" s="1736"/>
      <c r="E932" s="1043">
        <v>750.93</v>
      </c>
      <c r="F932" s="1043"/>
      <c r="G932" s="1550"/>
    </row>
    <row r="933" spans="1:7">
      <c r="A933" s="1754">
        <v>39042</v>
      </c>
      <c r="B933" s="125" t="str">
        <f>TiposLancamentos!B19</f>
        <v>Restaurantes</v>
      </c>
      <c r="C933" s="1040" t="s">
        <v>5324</v>
      </c>
      <c r="D933" s="1736"/>
      <c r="E933" s="1043">
        <v>15.5</v>
      </c>
      <c r="F933" s="1043"/>
      <c r="G933" s="1550"/>
    </row>
    <row r="934" spans="1:7">
      <c r="A934" s="1754">
        <v>39043</v>
      </c>
      <c r="B934" s="125" t="str">
        <f>TiposLancamentos!B4</f>
        <v>Taxas Bancarias</v>
      </c>
      <c r="C934" s="1040" t="s">
        <v>4853</v>
      </c>
      <c r="D934" s="1736"/>
      <c r="E934" s="1043">
        <v>2.76</v>
      </c>
      <c r="F934" s="1043"/>
      <c r="G934" s="1550"/>
    </row>
    <row r="935" spans="1:7">
      <c r="A935" s="1754">
        <v>39043</v>
      </c>
      <c r="B935" s="125" t="str">
        <f>TiposLancamentos!B97</f>
        <v>Deposito Terc.</v>
      </c>
      <c r="C935" s="1040" t="s">
        <v>5325</v>
      </c>
      <c r="D935" s="1736">
        <v>18</v>
      </c>
      <c r="E935" s="1043"/>
      <c r="F935" s="1043"/>
      <c r="G935" s="1550"/>
    </row>
    <row r="936" spans="1:7">
      <c r="A936" s="1754">
        <v>39043</v>
      </c>
      <c r="B936" s="125" t="str">
        <f>TiposLancamentos!B97</f>
        <v>Deposito Terc.</v>
      </c>
      <c r="C936" s="1040" t="s">
        <v>5326</v>
      </c>
      <c r="D936" s="1736">
        <v>18</v>
      </c>
      <c r="E936" s="1043"/>
      <c r="F936" s="1043"/>
      <c r="G936" s="1550"/>
    </row>
    <row r="937" spans="1:7">
      <c r="A937" s="1754">
        <v>39043</v>
      </c>
      <c r="B937" s="125" t="str">
        <f>TiposLancamentos!B97</f>
        <v>Deposito Terc.</v>
      </c>
      <c r="C937" s="1040" t="s">
        <v>5327</v>
      </c>
      <c r="D937" s="1736">
        <v>35</v>
      </c>
      <c r="E937" s="1043"/>
      <c r="F937" s="1043"/>
      <c r="G937" s="1550"/>
    </row>
    <row r="938" spans="1:7">
      <c r="A938" s="1754">
        <v>39043</v>
      </c>
      <c r="B938" s="125" t="str">
        <f>TiposLancamentos!B97</f>
        <v>Deposito Terc.</v>
      </c>
      <c r="C938" s="1040" t="s">
        <v>5328</v>
      </c>
      <c r="D938" s="1736">
        <v>17.46</v>
      </c>
      <c r="E938" s="1043"/>
      <c r="F938" s="1043"/>
      <c r="G938" s="1550"/>
    </row>
    <row r="939" spans="1:7">
      <c r="A939" s="1754">
        <v>39043</v>
      </c>
      <c r="B939" s="125" t="str">
        <f>TiposLancamentos!B97</f>
        <v>Deposito Terc.</v>
      </c>
      <c r="C939" s="1040" t="s">
        <v>5329</v>
      </c>
      <c r="D939" s="1736">
        <v>17.5</v>
      </c>
      <c r="E939" s="1043"/>
      <c r="F939" s="1043"/>
      <c r="G939" s="1550"/>
    </row>
    <row r="940" spans="1:7">
      <c r="A940" s="1754">
        <v>39043</v>
      </c>
      <c r="B940" s="125" t="str">
        <f>TiposLancamentos!B57</f>
        <v>Informática</v>
      </c>
      <c r="C940" s="1040" t="s">
        <v>5330</v>
      </c>
      <c r="D940" s="1736"/>
      <c r="E940" s="1043">
        <v>212.38</v>
      </c>
      <c r="F940" s="1043"/>
      <c r="G940" s="1550"/>
    </row>
    <row r="941" spans="1:7">
      <c r="A941" s="1754">
        <v>39043</v>
      </c>
      <c r="B941" s="125" t="str">
        <f>TiposLancamentos!B19</f>
        <v>Restaurantes</v>
      </c>
      <c r="C941" s="1040" t="s">
        <v>3029</v>
      </c>
      <c r="D941" s="1736"/>
      <c r="E941" s="1043">
        <v>20.309999999999999</v>
      </c>
      <c r="F941" s="1043"/>
      <c r="G941" s="1550"/>
    </row>
    <row r="942" spans="1:7">
      <c r="A942" s="1754">
        <v>39044</v>
      </c>
      <c r="B942" s="125" t="str">
        <f>TiposLancamentos!B57</f>
        <v>Informática</v>
      </c>
      <c r="C942" s="1040" t="s">
        <v>5331</v>
      </c>
      <c r="D942" s="1736"/>
      <c r="E942" s="1043">
        <v>16</v>
      </c>
      <c r="F942" s="1043"/>
      <c r="G942" s="1550"/>
    </row>
    <row r="943" spans="1:7">
      <c r="A943" s="1754">
        <v>39044</v>
      </c>
      <c r="B943" s="125" t="str">
        <f>TiposLancamentos!B97</f>
        <v>Deposito Terc.</v>
      </c>
      <c r="C943" s="1040" t="s">
        <v>5332</v>
      </c>
      <c r="D943" s="1736">
        <v>17.5</v>
      </c>
      <c r="E943" s="1043"/>
      <c r="F943" s="1043"/>
      <c r="G943" s="1550"/>
    </row>
    <row r="944" spans="1:7">
      <c r="A944" s="1754">
        <v>39044</v>
      </c>
      <c r="B944" s="125" t="str">
        <f>TiposLancamentos!B19</f>
        <v>Restaurantes</v>
      </c>
      <c r="C944" s="1040" t="s">
        <v>5285</v>
      </c>
      <c r="D944" s="1736"/>
      <c r="E944" s="1043">
        <v>16.2</v>
      </c>
      <c r="F944" s="1043"/>
      <c r="G944" s="1550"/>
    </row>
    <row r="945" spans="1:7">
      <c r="A945" s="1754">
        <v>39044</v>
      </c>
      <c r="B945" s="125" t="str">
        <f>TiposLancamentos!B19</f>
        <v>Restaurantes</v>
      </c>
      <c r="C945" s="1040" t="s">
        <v>3184</v>
      </c>
      <c r="D945" s="1736"/>
      <c r="E945" s="1043">
        <v>3.95</v>
      </c>
      <c r="F945" s="1043"/>
      <c r="G945" s="1550"/>
    </row>
    <row r="946" spans="1:7">
      <c r="A946" s="1754">
        <v>39044</v>
      </c>
      <c r="B946" s="125" t="str">
        <f>TiposLancamentos!B97</f>
        <v>Deposito Terc.</v>
      </c>
      <c r="C946" s="1040" t="s">
        <v>5333</v>
      </c>
      <c r="D946" s="1736">
        <v>17.46</v>
      </c>
      <c r="E946" s="1043"/>
      <c r="F946" s="1043"/>
      <c r="G946" s="1550"/>
    </row>
    <row r="947" spans="1:7">
      <c r="A947" s="1754">
        <v>39044</v>
      </c>
      <c r="B947" s="125" t="str">
        <f>TiposLancamentos!B97</f>
        <v>Deposito Terc.</v>
      </c>
      <c r="C947" s="1040" t="s">
        <v>5334</v>
      </c>
      <c r="D947" s="1736">
        <v>17.46</v>
      </c>
      <c r="E947" s="1043"/>
      <c r="F947" s="1043"/>
      <c r="G947" s="1550"/>
    </row>
    <row r="948" spans="1:7">
      <c r="A948" s="1754">
        <v>39045</v>
      </c>
      <c r="B948" s="125" t="str">
        <f>TiposLancamentos!B97</f>
        <v>Deposito Terc.</v>
      </c>
      <c r="C948" s="1040" t="s">
        <v>5335</v>
      </c>
      <c r="D948" s="1736">
        <v>17.46</v>
      </c>
      <c r="E948" s="1043"/>
      <c r="F948" s="1043"/>
      <c r="G948" s="1550"/>
    </row>
    <row r="949" spans="1:7">
      <c r="A949" s="1754">
        <v>39045</v>
      </c>
      <c r="B949" s="125" t="str">
        <f>TiposLancamentos!B97</f>
        <v>Deposito Terc.</v>
      </c>
      <c r="C949" s="1040" t="s">
        <v>5336</v>
      </c>
      <c r="D949" s="1736">
        <v>17.5</v>
      </c>
      <c r="E949" s="1043"/>
      <c r="F949" s="1043"/>
      <c r="G949" s="1550"/>
    </row>
    <row r="950" spans="1:7">
      <c r="A950" s="1754">
        <v>39047</v>
      </c>
      <c r="B950" s="125" t="str">
        <f>TiposLancamentos!B20</f>
        <v>Saques</v>
      </c>
      <c r="C950" s="1040" t="s">
        <v>5337</v>
      </c>
      <c r="D950" s="1736"/>
      <c r="E950" s="1043">
        <v>20</v>
      </c>
      <c r="F950" s="1043"/>
      <c r="G950" s="1550"/>
    </row>
    <row r="951" spans="1:7">
      <c r="A951" s="1754">
        <v>39048</v>
      </c>
      <c r="B951" s="125" t="str">
        <f>TiposLancamentos!B20</f>
        <v>Saques</v>
      </c>
      <c r="C951" s="1040" t="s">
        <v>2668</v>
      </c>
      <c r="D951" s="1736"/>
      <c r="E951" s="1043">
        <v>20</v>
      </c>
      <c r="F951" s="1043"/>
      <c r="G951" s="1550"/>
    </row>
    <row r="952" spans="1:7">
      <c r="A952" s="1754">
        <v>39049</v>
      </c>
      <c r="B952" s="125" t="str">
        <f>TiposLancamentos!B19</f>
        <v>Restaurantes</v>
      </c>
      <c r="C952" s="1040" t="s">
        <v>3029</v>
      </c>
      <c r="D952" s="1736"/>
      <c r="E952" s="1043">
        <v>21.07</v>
      </c>
      <c r="F952" s="1043"/>
      <c r="G952" s="1550"/>
    </row>
    <row r="953" spans="1:7">
      <c r="A953" s="1754">
        <v>39050</v>
      </c>
      <c r="B953" s="125" t="str">
        <f>TiposLancamentos!B20</f>
        <v>Saques</v>
      </c>
      <c r="C953" s="1040" t="s">
        <v>2668</v>
      </c>
      <c r="D953" s="1736"/>
      <c r="E953" s="1043">
        <v>10</v>
      </c>
      <c r="F953" s="1043"/>
      <c r="G953" s="1550"/>
    </row>
    <row r="954" spans="1:7">
      <c r="A954" s="1754">
        <v>39050</v>
      </c>
      <c r="B954" s="125" t="str">
        <f>TiposLancamentos!B17</f>
        <v>GATO</v>
      </c>
      <c r="C954" s="1040" t="s">
        <v>5196</v>
      </c>
      <c r="D954" s="1736"/>
      <c r="E954" s="1043">
        <v>47.55</v>
      </c>
      <c r="F954" s="1043"/>
      <c r="G954" s="1550"/>
    </row>
    <row r="955" spans="1:7" ht="14.25" thickBot="1">
      <c r="A955" s="1754">
        <v>39051</v>
      </c>
      <c r="B955" s="125" t="str">
        <f>TiposLancamentos!B95</f>
        <v>Salarios</v>
      </c>
      <c r="C955" s="1040" t="s">
        <v>4939</v>
      </c>
      <c r="D955" s="1736">
        <v>6410.4</v>
      </c>
      <c r="E955" s="1043"/>
      <c r="F955" s="1043"/>
      <c r="G955" s="1550"/>
    </row>
    <row r="956" spans="1:7">
      <c r="A956" s="1834"/>
      <c r="B956" s="977"/>
      <c r="C956" s="1854" t="s">
        <v>5338</v>
      </c>
      <c r="D956" s="1823"/>
      <c r="E956" s="1821"/>
      <c r="F956" s="1821"/>
      <c r="G956" s="1895"/>
    </row>
    <row r="957" spans="1:7">
      <c r="A957" s="1754">
        <v>39052</v>
      </c>
      <c r="B957" s="125" t="str">
        <f>TiposLancamentos!B4</f>
        <v>Taxas Bancarias</v>
      </c>
      <c r="C957" s="1040" t="s">
        <v>5339</v>
      </c>
      <c r="D957" s="1736"/>
      <c r="E957" s="1043">
        <v>0.01</v>
      </c>
      <c r="F957" s="1043"/>
      <c r="G957" s="1550"/>
    </row>
    <row r="958" spans="1:7">
      <c r="A958" s="1754">
        <v>39052</v>
      </c>
      <c r="B958" s="125" t="str">
        <f>TiposLancamentos!B34</f>
        <v>Seguros</v>
      </c>
      <c r="C958" s="1040" t="s">
        <v>5340</v>
      </c>
      <c r="D958" s="1736"/>
      <c r="E958" s="1043">
        <v>691.71</v>
      </c>
      <c r="F958" s="1043"/>
      <c r="G958" s="1550"/>
    </row>
    <row r="959" spans="1:7">
      <c r="A959" s="1754">
        <v>39052</v>
      </c>
      <c r="B959" s="125" t="str">
        <f>TiposLancamentos!B9</f>
        <v>Condominio</v>
      </c>
      <c r="C959" s="1040" t="s">
        <v>5341</v>
      </c>
      <c r="D959" s="1736"/>
      <c r="E959" s="1043">
        <v>519.15</v>
      </c>
      <c r="F959" s="1043"/>
      <c r="G959" s="1550"/>
    </row>
    <row r="960" spans="1:7">
      <c r="A960" s="1754">
        <v>39052</v>
      </c>
      <c r="B960" s="125" t="str">
        <f>TiposLancamentos!B2</f>
        <v>Telefonia</v>
      </c>
      <c r="C960" s="1040" t="s">
        <v>5342</v>
      </c>
      <c r="D960" s="1736"/>
      <c r="E960" s="1043">
        <v>40.86</v>
      </c>
      <c r="F960" s="1043"/>
      <c r="G960" s="1550"/>
    </row>
    <row r="961" spans="1:7">
      <c r="A961" s="1754">
        <v>39052</v>
      </c>
      <c r="B961" s="125" t="str">
        <f>TiposLancamentos!B3</f>
        <v>Internet</v>
      </c>
      <c r="C961" s="1040" t="s">
        <v>4987</v>
      </c>
      <c r="D961" s="1736"/>
      <c r="E961" s="1043">
        <v>79.900000000000006</v>
      </c>
      <c r="F961" s="1043"/>
      <c r="G961" s="1550"/>
    </row>
    <row r="962" spans="1:7">
      <c r="A962" s="1754">
        <v>39052</v>
      </c>
      <c r="B962" s="125" t="str">
        <f>TiposLancamentos!B16</f>
        <v>Cristiane</v>
      </c>
      <c r="C962" s="1040" t="s">
        <v>5343</v>
      </c>
      <c r="D962" s="1736">
        <v>860.73</v>
      </c>
      <c r="E962" s="1043">
        <v>860</v>
      </c>
      <c r="F962" s="1043"/>
      <c r="G962" s="1550"/>
    </row>
    <row r="963" spans="1:7">
      <c r="A963" s="1754">
        <v>39053</v>
      </c>
      <c r="B963" s="125" t="str">
        <f>TiposLancamentos!B13</f>
        <v>Moradia</v>
      </c>
      <c r="C963" s="1040" t="s">
        <v>5344</v>
      </c>
      <c r="D963" s="1736"/>
      <c r="E963" s="1043">
        <v>180</v>
      </c>
      <c r="F963" s="1043"/>
      <c r="G963" s="1550"/>
    </row>
    <row r="964" spans="1:7">
      <c r="A964" s="1754">
        <v>39053</v>
      </c>
      <c r="B964" s="125" t="str">
        <f>TiposLancamentos!B90</f>
        <v>Locadora</v>
      </c>
      <c r="C964" s="1040" t="s">
        <v>5345</v>
      </c>
      <c r="D964" s="1736"/>
      <c r="E964" s="1043">
        <v>15</v>
      </c>
      <c r="F964" s="1043"/>
      <c r="G964" s="1550"/>
    </row>
    <row r="965" spans="1:7">
      <c r="A965" s="1754">
        <v>39053</v>
      </c>
      <c r="B965" s="125" t="str">
        <f>TiposLancamentos!B19</f>
        <v>Restaurantes</v>
      </c>
      <c r="C965" s="1040" t="s">
        <v>5295</v>
      </c>
      <c r="D965" s="1736"/>
      <c r="E965" s="1043">
        <v>53</v>
      </c>
      <c r="F965" s="1043"/>
      <c r="G965" s="1550"/>
    </row>
    <row r="966" spans="1:7">
      <c r="A966" s="1754">
        <v>39054</v>
      </c>
      <c r="B966" s="125" t="str">
        <f>TiposLancamentos!B6</f>
        <v>Energia Eletrica</v>
      </c>
      <c r="C966" s="1040" t="s">
        <v>5030</v>
      </c>
      <c r="D966" s="1736"/>
      <c r="E966" s="1043">
        <v>62.88</v>
      </c>
      <c r="F966" s="1043"/>
      <c r="G966" s="1550"/>
    </row>
    <row r="967" spans="1:7">
      <c r="A967" s="1754">
        <v>39054</v>
      </c>
      <c r="B967" s="125" t="str">
        <f>TiposLancamentos!B15</f>
        <v>Cartões de Crédito</v>
      </c>
      <c r="C967" s="1040" t="s">
        <v>5142</v>
      </c>
      <c r="D967" s="1736"/>
      <c r="E967" s="1043">
        <v>1548.14</v>
      </c>
      <c r="F967" s="1043"/>
      <c r="G967" s="1550"/>
    </row>
    <row r="968" spans="1:7">
      <c r="A968" s="1754">
        <v>39054</v>
      </c>
      <c r="B968" s="125" t="str">
        <f>TiposLancamentos!B15</f>
        <v>Cartões de Crédito</v>
      </c>
      <c r="C968" s="1040" t="s">
        <v>5262</v>
      </c>
      <c r="D968" s="1736"/>
      <c r="E968" s="1043">
        <v>131.33000000000001</v>
      </c>
      <c r="F968" s="1043"/>
      <c r="G968" s="1550"/>
    </row>
    <row r="969" spans="1:7">
      <c r="A969" s="1754">
        <v>39054</v>
      </c>
      <c r="B969" s="125" t="str">
        <f>TiposLancamentos!B21</f>
        <v>Transf. Poupanca</v>
      </c>
      <c r="C969" s="1040" t="s">
        <v>5346</v>
      </c>
      <c r="D969" s="1736"/>
      <c r="E969" s="1043">
        <v>2750</v>
      </c>
      <c r="F969" s="1043"/>
      <c r="G969" s="1550"/>
    </row>
    <row r="970" spans="1:7">
      <c r="A970" s="1754">
        <v>39055</v>
      </c>
      <c r="B970" s="125" t="str">
        <f>TiposLancamentos!B45</f>
        <v>Online Services</v>
      </c>
      <c r="C970" s="1040" t="s">
        <v>5347</v>
      </c>
      <c r="D970" s="1736"/>
      <c r="E970" s="1043">
        <v>1.65</v>
      </c>
      <c r="F970" s="1043"/>
      <c r="G970" s="1550"/>
    </row>
    <row r="971" spans="1:7">
      <c r="A971" s="1754">
        <v>39055</v>
      </c>
      <c r="B971" s="125" t="str">
        <f>TiposLancamentos!B4</f>
        <v>Taxas Bancarias</v>
      </c>
      <c r="C971" s="1040" t="s">
        <v>4853</v>
      </c>
      <c r="D971" s="1736"/>
      <c r="E971" s="1043">
        <v>5.67</v>
      </c>
      <c r="F971" s="1043"/>
      <c r="G971" s="1550"/>
    </row>
    <row r="972" spans="1:7">
      <c r="A972" s="1754">
        <v>39055</v>
      </c>
      <c r="B972" s="125" t="str">
        <f>TiposLancamentos!B4</f>
        <v>Taxas Bancarias</v>
      </c>
      <c r="C972" s="1040" t="s">
        <v>5028</v>
      </c>
      <c r="D972" s="1736"/>
      <c r="E972" s="1043">
        <v>0.55000000000000004</v>
      </c>
      <c r="F972" s="1043"/>
      <c r="G972" s="1550"/>
    </row>
    <row r="973" spans="1:7">
      <c r="A973" s="1754">
        <v>39058</v>
      </c>
      <c r="B973" s="125" t="str">
        <f>TiposLancamentos!B20</f>
        <v>Saques</v>
      </c>
      <c r="C973" s="1040" t="s">
        <v>2668</v>
      </c>
      <c r="D973" s="1736"/>
      <c r="E973" s="1043">
        <v>10</v>
      </c>
      <c r="F973" s="1043"/>
      <c r="G973" s="1550"/>
    </row>
    <row r="974" spans="1:7">
      <c r="A974" s="1666">
        <v>39058</v>
      </c>
      <c r="B974" s="817" t="str">
        <f>TiposLancamentos!B56</f>
        <v>Farmácia</v>
      </c>
      <c r="C974" s="1742" t="s">
        <v>5348</v>
      </c>
      <c r="D974" s="1843"/>
      <c r="E974" s="1839">
        <f>45.5-(2*19.95)</f>
        <v>5.6000000000000014</v>
      </c>
      <c r="F974" s="1043"/>
      <c r="G974" s="1550"/>
    </row>
    <row r="975" spans="1:7">
      <c r="A975" s="1750">
        <v>39058</v>
      </c>
      <c r="B975" s="818" t="str">
        <f>TiposLancamentos!B68</f>
        <v>Bombas</v>
      </c>
      <c r="C975" s="1743" t="s">
        <v>5253</v>
      </c>
      <c r="D975" s="1844"/>
      <c r="E975" s="1840">
        <f>45.55-E974</f>
        <v>39.949999999999996</v>
      </c>
      <c r="F975" s="1043"/>
      <c r="G975" s="1550"/>
    </row>
    <row r="976" spans="1:7">
      <c r="A976" s="1754">
        <v>39059</v>
      </c>
      <c r="B976" s="125" t="str">
        <f>TiposLancamentos!B16</f>
        <v>Cristiane</v>
      </c>
      <c r="C976" s="1040" t="s">
        <v>5349</v>
      </c>
      <c r="D976" s="1736"/>
      <c r="E976" s="1043">
        <v>197</v>
      </c>
      <c r="F976" s="1043"/>
      <c r="G976" s="1550"/>
    </row>
    <row r="977" spans="1:7">
      <c r="A977" s="1754">
        <v>39059</v>
      </c>
      <c r="B977" s="125" t="str">
        <f>TiposLancamentos!B27</f>
        <v>Jornais e revistas</v>
      </c>
      <c r="C977" s="1040" t="s">
        <v>5306</v>
      </c>
      <c r="D977" s="1736"/>
      <c r="E977" s="1043">
        <v>45.9</v>
      </c>
      <c r="F977" s="1043"/>
      <c r="G977" s="1550"/>
    </row>
    <row r="978" spans="1:7">
      <c r="A978" s="1754">
        <v>39060</v>
      </c>
      <c r="B978" s="125" t="str">
        <f>TiposLancamentos!B19</f>
        <v>Restaurantes</v>
      </c>
      <c r="C978" s="1040" t="s">
        <v>5002</v>
      </c>
      <c r="D978" s="1736"/>
      <c r="E978" s="1043">
        <v>23.75</v>
      </c>
      <c r="F978" s="1043"/>
      <c r="G978" s="1550"/>
    </row>
    <row r="979" spans="1:7">
      <c r="A979" s="1754">
        <v>39061</v>
      </c>
      <c r="B979" s="125" t="str">
        <f>TiposLancamentos!B19</f>
        <v>Restaurantes</v>
      </c>
      <c r="C979" s="1040" t="s">
        <v>3315</v>
      </c>
      <c r="D979" s="1736"/>
      <c r="E979" s="1043">
        <v>11.4</v>
      </c>
      <c r="F979" s="1043"/>
      <c r="G979" s="1550"/>
    </row>
    <row r="980" spans="1:7">
      <c r="A980" s="1754">
        <v>39062</v>
      </c>
      <c r="B980" s="125" t="str">
        <f>TiposLancamentos!B44</f>
        <v>Academia</v>
      </c>
      <c r="C980" s="1040" t="s">
        <v>5350</v>
      </c>
      <c r="D980" s="1736"/>
      <c r="E980" s="1043">
        <v>80</v>
      </c>
      <c r="F980" s="1043"/>
      <c r="G980" s="1550"/>
    </row>
    <row r="981" spans="1:7">
      <c r="A981" s="1754">
        <v>39062</v>
      </c>
      <c r="B981" s="125" t="str">
        <f>TiposLancamentos!B4</f>
        <v>Taxas Bancarias</v>
      </c>
      <c r="C981" s="1040" t="s">
        <v>5351</v>
      </c>
      <c r="D981" s="1736"/>
      <c r="E981" s="1043">
        <v>0.61</v>
      </c>
      <c r="F981" s="1043"/>
      <c r="G981" s="1550"/>
    </row>
    <row r="982" spans="1:7">
      <c r="A982" s="1754">
        <v>39063</v>
      </c>
      <c r="B982" s="125" t="str">
        <f>TiposLancamentos!B19</f>
        <v>Restaurantes</v>
      </c>
      <c r="C982" s="1040" t="s">
        <v>5002</v>
      </c>
      <c r="D982" s="1736"/>
      <c r="E982" s="1043">
        <v>14.5</v>
      </c>
      <c r="F982" s="1043"/>
      <c r="G982" s="1550"/>
    </row>
    <row r="983" spans="1:7">
      <c r="A983" s="1666">
        <v>39063</v>
      </c>
      <c r="B983" s="817" t="str">
        <f>TiposLancamentos!B18</f>
        <v>Alimentacao</v>
      </c>
      <c r="C983" s="1742" t="s">
        <v>3320</v>
      </c>
      <c r="D983" s="1843"/>
      <c r="E983" s="1839">
        <v>3.89</v>
      </c>
      <c r="F983" s="1043"/>
      <c r="G983" s="1550"/>
    </row>
    <row r="984" spans="1:7">
      <c r="A984" s="1750">
        <v>39063</v>
      </c>
      <c r="B984" s="818" t="str">
        <f>TiposLancamentos!B17</f>
        <v>GATO</v>
      </c>
      <c r="C984" s="1743" t="s">
        <v>5201</v>
      </c>
      <c r="D984" s="1844"/>
      <c r="E984" s="1840">
        <v>4.99</v>
      </c>
      <c r="F984" s="1043"/>
      <c r="G984" s="1550"/>
    </row>
    <row r="985" spans="1:7">
      <c r="A985" s="1754">
        <v>39063</v>
      </c>
      <c r="B985" s="125" t="str">
        <f>TiposLancamentos!B4</f>
        <v>Taxas Bancarias</v>
      </c>
      <c r="C985" s="1040" t="s">
        <v>4853</v>
      </c>
      <c r="D985" s="1736"/>
      <c r="E985" s="1043">
        <v>26.65</v>
      </c>
      <c r="F985" s="1043"/>
      <c r="G985" s="1550"/>
    </row>
    <row r="986" spans="1:7">
      <c r="A986" s="1754">
        <v>39064</v>
      </c>
      <c r="B986" s="125" t="str">
        <f>TiposLancamentos!B19</f>
        <v>Restaurantes</v>
      </c>
      <c r="C986" s="1040" t="s">
        <v>5352</v>
      </c>
      <c r="D986" s="1736"/>
      <c r="E986" s="1043">
        <v>27.91</v>
      </c>
      <c r="F986" s="1043"/>
      <c r="G986" s="1550"/>
    </row>
    <row r="987" spans="1:7">
      <c r="A987" s="1754">
        <v>39064</v>
      </c>
      <c r="B987" s="125" t="str">
        <f>TiposLancamentos!B22</f>
        <v>Combustivel</v>
      </c>
      <c r="C987" s="1040" t="s">
        <v>5293</v>
      </c>
      <c r="D987" s="1736"/>
      <c r="E987" s="1043">
        <v>33.54</v>
      </c>
      <c r="F987" s="1043"/>
      <c r="G987" s="1550"/>
    </row>
    <row r="988" spans="1:7">
      <c r="A988" s="1754">
        <v>39003</v>
      </c>
      <c r="B988" s="125" t="str">
        <f>TiposLancamentos!B20</f>
        <v>Saques</v>
      </c>
      <c r="C988" s="1040" t="s">
        <v>2876</v>
      </c>
      <c r="D988" s="1736"/>
      <c r="E988" s="1043">
        <v>10</v>
      </c>
      <c r="F988" s="1043"/>
      <c r="G988" s="1550"/>
    </row>
    <row r="989" spans="1:7">
      <c r="A989" s="1754">
        <v>39003</v>
      </c>
      <c r="B989" s="125" t="str">
        <f>TiposLancamentos!B5</f>
        <v>Supermercado</v>
      </c>
      <c r="C989" s="1040" t="s">
        <v>5353</v>
      </c>
      <c r="D989" s="1736"/>
      <c r="E989" s="1043">
        <v>13.04</v>
      </c>
      <c r="F989" s="1043"/>
      <c r="G989" s="1550"/>
    </row>
    <row r="990" spans="1:7">
      <c r="A990" s="1754">
        <v>39065</v>
      </c>
      <c r="B990" s="125" t="str">
        <f>TiposLancamentos!B19</f>
        <v>Restaurantes</v>
      </c>
      <c r="C990" s="1040" t="s">
        <v>5354</v>
      </c>
      <c r="D990" s="1736"/>
      <c r="E990" s="1043">
        <v>6.7</v>
      </c>
      <c r="F990" s="1043"/>
      <c r="G990" s="1550"/>
    </row>
    <row r="991" spans="1:7">
      <c r="A991" s="1754">
        <v>39066</v>
      </c>
      <c r="B991" s="125" t="str">
        <f>TiposLancamentos!B95</f>
        <v>Salarios</v>
      </c>
      <c r="C991" s="1040" t="s">
        <v>4916</v>
      </c>
      <c r="D991" s="1736">
        <v>1689.1</v>
      </c>
      <c r="E991" s="1043"/>
      <c r="F991" s="1043"/>
      <c r="G991" s="1550"/>
    </row>
    <row r="992" spans="1:7">
      <c r="A992" s="1754">
        <v>39066</v>
      </c>
      <c r="B992" s="125" t="str">
        <f>TiposLancamentos!B95</f>
        <v>Salarios</v>
      </c>
      <c r="C992" s="1040" t="s">
        <v>5355</v>
      </c>
      <c r="D992" s="1736">
        <v>3659.55</v>
      </c>
      <c r="E992" s="1043"/>
      <c r="F992" s="1043"/>
      <c r="G992" s="1550"/>
    </row>
    <row r="993" spans="1:7">
      <c r="A993" s="1754">
        <v>39066</v>
      </c>
      <c r="B993" s="125" t="str">
        <f>TiposLancamentos!B84</f>
        <v>Cbx Twister 250</v>
      </c>
      <c r="C993" s="1040" t="str">
        <f>Parcelamentos!C480</f>
        <v>Parc. Consórcio CBX Twister (09/25)</v>
      </c>
      <c r="D993" s="1736"/>
      <c r="E993" s="1043">
        <v>462.55</v>
      </c>
      <c r="F993" s="1043"/>
      <c r="G993" s="1550"/>
    </row>
    <row r="994" spans="1:7">
      <c r="A994" s="1754">
        <v>39066</v>
      </c>
      <c r="B994" s="125" t="str">
        <f>TiposLancamentos!B8</f>
        <v>Aluguel</v>
      </c>
      <c r="C994" s="1040" t="s">
        <v>5356</v>
      </c>
      <c r="D994" s="1736"/>
      <c r="E994" s="1043">
        <v>703.5</v>
      </c>
      <c r="F994" s="1043"/>
      <c r="G994" s="1550"/>
    </row>
    <row r="995" spans="1:7">
      <c r="A995" s="1754">
        <v>39066</v>
      </c>
      <c r="B995" s="125" t="str">
        <f>TiposLancamentos!B21</f>
        <v>Transf. Poupanca</v>
      </c>
      <c r="C995" s="1040" t="s">
        <v>5264</v>
      </c>
      <c r="D995" s="1736"/>
      <c r="E995" s="1043">
        <v>3500</v>
      </c>
      <c r="F995" s="1043"/>
      <c r="G995" s="1550"/>
    </row>
    <row r="996" spans="1:7">
      <c r="A996" s="1754">
        <v>39066</v>
      </c>
      <c r="B996" s="125" t="str">
        <f>TiposLancamentos!B18</f>
        <v>Alimentacao</v>
      </c>
      <c r="C996" s="1040" t="s">
        <v>5357</v>
      </c>
      <c r="D996" s="1736"/>
      <c r="E996" s="1043">
        <v>18</v>
      </c>
      <c r="F996" s="1043"/>
      <c r="G996" s="1550"/>
    </row>
    <row r="997" spans="1:7">
      <c r="A997" s="1754">
        <v>39066</v>
      </c>
      <c r="B997" s="125" t="str">
        <f>TiposLancamentos!B19</f>
        <v>Restaurantes</v>
      </c>
      <c r="C997" s="1040" t="s">
        <v>5358</v>
      </c>
      <c r="D997" s="1736"/>
      <c r="E997" s="1043">
        <v>25.75</v>
      </c>
      <c r="F997" s="1043"/>
      <c r="G997" s="1550"/>
    </row>
    <row r="998" spans="1:7">
      <c r="A998" s="1754">
        <v>39067</v>
      </c>
      <c r="B998" s="125" t="str">
        <f>TiposLancamentos!B84</f>
        <v>Cbx Twister 250</v>
      </c>
      <c r="C998" s="1040" t="s">
        <v>5359</v>
      </c>
      <c r="D998" s="1736"/>
      <c r="E998" s="1043">
        <v>36.19</v>
      </c>
      <c r="F998" s="1043"/>
      <c r="G998" s="1550"/>
    </row>
    <row r="999" spans="1:7">
      <c r="A999" s="1754">
        <v>39067</v>
      </c>
      <c r="B999" s="125" t="str">
        <f>TiposLancamentos!B17</f>
        <v>GATO</v>
      </c>
      <c r="C999" s="1040" t="s">
        <v>5360</v>
      </c>
      <c r="D999" s="1736"/>
      <c r="E999" s="1043">
        <v>45</v>
      </c>
      <c r="F999" s="1043"/>
      <c r="G999" s="1550"/>
    </row>
    <row r="1000" spans="1:7">
      <c r="A1000" s="1754">
        <v>39067</v>
      </c>
      <c r="B1000" s="125" t="str">
        <f>TiposLancamentos!B20</f>
        <v>Saques</v>
      </c>
      <c r="C1000" s="1040" t="s">
        <v>2876</v>
      </c>
      <c r="D1000" s="1736"/>
      <c r="E1000" s="1043">
        <v>40</v>
      </c>
      <c r="F1000" s="1043"/>
      <c r="G1000" s="1550"/>
    </row>
    <row r="1001" spans="1:7">
      <c r="A1001" s="1754">
        <v>39067</v>
      </c>
      <c r="B1001" s="125" t="str">
        <f>TiposLancamentos!B19</f>
        <v>Restaurantes</v>
      </c>
      <c r="C1001" s="1040" t="s">
        <v>5284</v>
      </c>
      <c r="D1001" s="1736"/>
      <c r="E1001" s="1043">
        <v>24</v>
      </c>
      <c r="F1001" s="1043"/>
      <c r="G1001" s="1550"/>
    </row>
    <row r="1002" spans="1:7">
      <c r="A1002" s="1754">
        <v>39068</v>
      </c>
      <c r="B1002" s="125" t="str">
        <f>TiposLancamentos!B5</f>
        <v>Supermercado</v>
      </c>
      <c r="C1002" s="1040" t="s">
        <v>2567</v>
      </c>
      <c r="D1002" s="1736"/>
      <c r="E1002" s="1043">
        <v>30.26</v>
      </c>
      <c r="F1002" s="1043"/>
      <c r="G1002" s="1550"/>
    </row>
    <row r="1003" spans="1:7">
      <c r="A1003" s="1754">
        <v>39068</v>
      </c>
      <c r="B1003" s="125" t="str">
        <f>TiposLancamentos!B13</f>
        <v>Moradia</v>
      </c>
      <c r="C1003" s="1040" t="s">
        <v>5361</v>
      </c>
      <c r="D1003" s="1736"/>
      <c r="E1003" s="1043">
        <v>79.8</v>
      </c>
      <c r="F1003" s="1043"/>
      <c r="G1003" s="1550"/>
    </row>
    <row r="1004" spans="1:7">
      <c r="A1004" s="1754">
        <v>39068</v>
      </c>
      <c r="B1004" s="125" t="str">
        <f>TiposLancamentos!B19</f>
        <v>Restaurantes</v>
      </c>
      <c r="C1004" s="1040" t="s">
        <v>5362</v>
      </c>
      <c r="D1004" s="1736"/>
      <c r="E1004" s="1043">
        <v>43.7</v>
      </c>
      <c r="F1004" s="1043"/>
      <c r="G1004" s="1550"/>
    </row>
    <row r="1005" spans="1:7">
      <c r="A1005" s="1754">
        <v>39069</v>
      </c>
      <c r="B1005" s="125" t="str">
        <f>TiposLancamentos!B19</f>
        <v>Restaurantes</v>
      </c>
      <c r="C1005" s="1040" t="s">
        <v>3265</v>
      </c>
      <c r="D1005" s="1736"/>
      <c r="E1005" s="1043">
        <v>3.95</v>
      </c>
      <c r="F1005" s="1043"/>
      <c r="G1005" s="1550"/>
    </row>
    <row r="1006" spans="1:7">
      <c r="A1006" s="1754">
        <v>39069</v>
      </c>
      <c r="B1006" s="125" t="str">
        <f>TiposLancamentos!B19</f>
        <v>Restaurantes</v>
      </c>
      <c r="C1006" s="1040" t="s">
        <v>3029</v>
      </c>
      <c r="D1006" s="1736"/>
      <c r="E1006" s="1043">
        <v>19.55</v>
      </c>
      <c r="F1006" s="1043"/>
      <c r="G1006" s="1550"/>
    </row>
    <row r="1007" spans="1:7">
      <c r="A1007" s="1754">
        <v>39070</v>
      </c>
      <c r="B1007" s="125" t="str">
        <f>TiposLancamentos!B20</f>
        <v>Saques</v>
      </c>
      <c r="C1007" s="1040" t="s">
        <v>2668</v>
      </c>
      <c r="D1007" s="1736"/>
      <c r="E1007" s="1043">
        <v>10</v>
      </c>
      <c r="F1007" s="1043"/>
      <c r="G1007" s="1550"/>
    </row>
    <row r="1008" spans="1:7">
      <c r="A1008" s="1754">
        <v>39070</v>
      </c>
      <c r="B1008" s="125" t="str">
        <f>TiposLancamentos!B70</f>
        <v>Vestuário</v>
      </c>
      <c r="C1008" s="1040" t="s">
        <v>5363</v>
      </c>
      <c r="D1008" s="1736"/>
      <c r="E1008" s="1043">
        <v>159.9</v>
      </c>
      <c r="F1008" s="1043"/>
      <c r="G1008" s="1550"/>
    </row>
    <row r="1009" spans="1:7">
      <c r="A1009" s="1754">
        <v>39070</v>
      </c>
      <c r="B1009" s="125" t="str">
        <f>TiposLancamentos!B5</f>
        <v>Supermercado</v>
      </c>
      <c r="C1009" s="1040" t="s">
        <v>2567</v>
      </c>
      <c r="D1009" s="1736"/>
      <c r="E1009" s="1043">
        <v>15.51</v>
      </c>
      <c r="F1009" s="1043"/>
      <c r="G1009" s="1550"/>
    </row>
    <row r="1010" spans="1:7">
      <c r="A1010" s="1754">
        <v>39071</v>
      </c>
      <c r="B1010" s="125" t="str">
        <f>TiposLancamentos!B98</f>
        <v>Restituições</v>
      </c>
      <c r="C1010" s="1040" t="s">
        <v>5364</v>
      </c>
      <c r="D1010" s="1736">
        <v>7136.42</v>
      </c>
      <c r="E1010" s="1043"/>
      <c r="F1010" s="1043"/>
      <c r="G1010" s="1550"/>
    </row>
    <row r="1011" spans="1:7">
      <c r="A1011" s="1754">
        <v>39071</v>
      </c>
      <c r="B1011" s="125" t="str">
        <f>TiposLancamentos!B95</f>
        <v>Salarios</v>
      </c>
      <c r="C1011" s="1040" t="s">
        <v>4939</v>
      </c>
      <c r="D1011" s="1736">
        <v>6040.14</v>
      </c>
      <c r="E1011" s="1043"/>
      <c r="F1011" s="1043"/>
      <c r="G1011" s="1550"/>
    </row>
    <row r="1012" spans="1:7">
      <c r="A1012" s="1754">
        <v>39071</v>
      </c>
      <c r="B1012" s="125" t="str">
        <f>TiposLancamentos!B21</f>
        <v>Transf. Poupanca</v>
      </c>
      <c r="C1012" s="1040" t="s">
        <v>5365</v>
      </c>
      <c r="D1012" s="1736"/>
      <c r="E1012" s="1043">
        <v>11000</v>
      </c>
      <c r="F1012" s="1043"/>
      <c r="G1012" s="1550"/>
    </row>
    <row r="1013" spans="1:7">
      <c r="A1013" s="1754">
        <v>39071</v>
      </c>
      <c r="B1013" s="125" t="str">
        <f>TiposLancamentos!B16</f>
        <v>Cristiane</v>
      </c>
      <c r="C1013" s="1040" t="s">
        <v>5366</v>
      </c>
      <c r="D1013" s="1736"/>
      <c r="E1013" s="1043">
        <v>199.99</v>
      </c>
      <c r="F1013" s="1043"/>
      <c r="G1013" s="1550"/>
    </row>
    <row r="1014" spans="1:7">
      <c r="A1014" s="1754">
        <v>39071</v>
      </c>
      <c r="B1014" s="125" t="str">
        <f>TiposLancamentos!B16</f>
        <v>Cristiane</v>
      </c>
      <c r="C1014" s="1040" t="s">
        <v>5367</v>
      </c>
      <c r="D1014" s="1736"/>
      <c r="E1014" s="1043">
        <v>99.5</v>
      </c>
      <c r="F1014" s="1043"/>
      <c r="G1014" s="1550"/>
    </row>
    <row r="1015" spans="1:7">
      <c r="A1015" s="1754">
        <v>39071</v>
      </c>
      <c r="B1015" s="125" t="str">
        <f>TiposLancamentos!B19</f>
        <v>Restaurantes</v>
      </c>
      <c r="C1015" s="1040" t="s">
        <v>5002</v>
      </c>
      <c r="D1015" s="1736"/>
      <c r="E1015" s="1043">
        <v>20.5</v>
      </c>
      <c r="F1015" s="1043"/>
      <c r="G1015" s="1550"/>
    </row>
    <row r="1016" spans="1:7">
      <c r="A1016" s="1754">
        <v>39071</v>
      </c>
      <c r="B1016" s="125" t="str">
        <f>TiposLancamentos!B96</f>
        <v>Resg.Poup.</v>
      </c>
      <c r="C1016" s="1040" t="s">
        <v>5368</v>
      </c>
      <c r="D1016" s="1736">
        <v>21030</v>
      </c>
      <c r="E1016" s="1043"/>
      <c r="F1016" s="1043"/>
      <c r="G1016" s="1550"/>
    </row>
    <row r="1017" spans="1:7">
      <c r="A1017" s="1754">
        <v>39071</v>
      </c>
      <c r="B1017" s="125" t="str">
        <f>TiposLancamentos!B85</f>
        <v>Peugeout 206</v>
      </c>
      <c r="C1017" s="1040" t="s">
        <v>5369</v>
      </c>
      <c r="D1017" s="1736"/>
      <c r="E1017" s="1043">
        <v>21000</v>
      </c>
      <c r="F1017" s="1043"/>
      <c r="G1017" s="1550"/>
    </row>
    <row r="1018" spans="1:7">
      <c r="A1018" s="1754">
        <v>39071</v>
      </c>
      <c r="B1018" s="125" t="str">
        <f>TiposLancamentos!B5</f>
        <v>Supermercado</v>
      </c>
      <c r="C1018" s="1040" t="s">
        <v>2567</v>
      </c>
      <c r="D1018" s="1736"/>
      <c r="E1018" s="1043">
        <v>23.26</v>
      </c>
      <c r="F1018" s="1043"/>
      <c r="G1018" s="1550"/>
    </row>
    <row r="1019" spans="1:7">
      <c r="A1019" s="1754">
        <v>39072</v>
      </c>
      <c r="B1019" s="125" t="str">
        <f>TiposLancamentos!B97</f>
        <v>Deposito Terc.</v>
      </c>
      <c r="C1019" s="1040" t="s">
        <v>3216</v>
      </c>
      <c r="D1019" s="1736">
        <v>365.82</v>
      </c>
      <c r="E1019" s="1043"/>
      <c r="F1019" s="1043"/>
      <c r="G1019" s="1550"/>
    </row>
    <row r="1020" spans="1:7">
      <c r="A1020" s="1754">
        <v>39072</v>
      </c>
      <c r="B1020" s="125" t="str">
        <f>TiposLancamentos!B20</f>
        <v>Saques</v>
      </c>
      <c r="C1020" s="1040" t="s">
        <v>3147</v>
      </c>
      <c r="D1020" s="1736"/>
      <c r="E1020" s="1043">
        <v>365</v>
      </c>
      <c r="F1020" s="1043"/>
      <c r="G1020" s="1550"/>
    </row>
    <row r="1021" spans="1:7">
      <c r="A1021" s="1754">
        <v>39072</v>
      </c>
      <c r="B1021" s="125" t="str">
        <f>TiposLancamentos!B19</f>
        <v>Restaurantes</v>
      </c>
      <c r="C1021" s="1040" t="s">
        <v>5002</v>
      </c>
      <c r="D1021" s="1736"/>
      <c r="E1021" s="1043">
        <v>7.75</v>
      </c>
      <c r="F1021" s="1043"/>
      <c r="G1021" s="1550"/>
    </row>
    <row r="1022" spans="1:7">
      <c r="A1022" s="1754">
        <v>39073</v>
      </c>
      <c r="B1022" s="125" t="str">
        <f>TiposLancamentos!B4</f>
        <v>Taxas Bancarias</v>
      </c>
      <c r="C1022" s="1040" t="s">
        <v>4853</v>
      </c>
      <c r="D1022" s="1736"/>
      <c r="E1022" s="1043">
        <v>143.86000000000001</v>
      </c>
      <c r="F1022" s="1043"/>
      <c r="G1022" s="1550"/>
    </row>
    <row r="1023" spans="1:7">
      <c r="A1023" s="1754">
        <v>39073</v>
      </c>
      <c r="B1023" s="125" t="str">
        <f>TiposLancamentos!B19</f>
        <v>Restaurantes</v>
      </c>
      <c r="C1023" s="1040" t="s">
        <v>5166</v>
      </c>
      <c r="D1023" s="1736"/>
      <c r="E1023" s="1043">
        <v>46.02</v>
      </c>
      <c r="F1023" s="1043"/>
      <c r="G1023" s="1550"/>
    </row>
    <row r="1024" spans="1:7">
      <c r="A1024" s="1754">
        <v>39077</v>
      </c>
      <c r="B1024" s="125" t="str">
        <f>TiposLancamentos!B69</f>
        <v>Consertos</v>
      </c>
      <c r="C1024" s="1040" t="s">
        <v>5370</v>
      </c>
      <c r="D1024" s="1736"/>
      <c r="E1024" s="1043">
        <v>120</v>
      </c>
      <c r="F1024" s="1043"/>
      <c r="G1024" s="1550"/>
    </row>
    <row r="1025" spans="1:7">
      <c r="A1025" s="1754">
        <v>39078</v>
      </c>
      <c r="B1025" s="125" t="str">
        <f>TiposLancamentos!B20</f>
        <v>Saques</v>
      </c>
      <c r="C1025" s="1040" t="s">
        <v>1706</v>
      </c>
      <c r="D1025" s="1736"/>
      <c r="E1025" s="1043">
        <v>20</v>
      </c>
      <c r="F1025" s="1043"/>
      <c r="G1025" s="1550"/>
    </row>
    <row r="1026" spans="1:7" ht="14.25" thickBot="1">
      <c r="A1026" s="1754">
        <v>39078</v>
      </c>
      <c r="B1026" s="125" t="str">
        <f>TiposLancamentos!B19</f>
        <v>Restaurantes</v>
      </c>
      <c r="C1026" s="1040" t="s">
        <v>5371</v>
      </c>
      <c r="D1026" s="1736"/>
      <c r="E1026" s="1043">
        <v>9.9</v>
      </c>
      <c r="F1026" s="1043"/>
      <c r="G1026" s="1550"/>
    </row>
    <row r="1027" spans="1:7">
      <c r="A1027" s="1834"/>
      <c r="B1027" s="977"/>
      <c r="C1027" s="1854" t="s">
        <v>5372</v>
      </c>
      <c r="D1027" s="1823"/>
      <c r="E1027" s="1821"/>
      <c r="F1027" s="1821"/>
      <c r="G1027" s="1895"/>
    </row>
    <row r="1028" spans="1:7">
      <c r="A1028" s="1754">
        <v>39083</v>
      </c>
      <c r="B1028" s="125" t="str">
        <f>TiposLancamentos!B2</f>
        <v>Telefonia</v>
      </c>
      <c r="C1028" s="1040" t="s">
        <v>5373</v>
      </c>
      <c r="D1028" s="1736"/>
      <c r="E1028" s="1043">
        <v>48.39</v>
      </c>
      <c r="F1028" s="1043"/>
      <c r="G1028" s="1550"/>
    </row>
    <row r="1029" spans="1:7">
      <c r="A1029" s="1754">
        <v>39083</v>
      </c>
      <c r="B1029" s="125" t="str">
        <f>TiposLancamentos!B3</f>
        <v>Internet</v>
      </c>
      <c r="C1029" s="1040" t="s">
        <v>4987</v>
      </c>
      <c r="D1029" s="1736"/>
      <c r="E1029" s="1043">
        <v>79.900000000000006</v>
      </c>
      <c r="F1029" s="1043"/>
      <c r="G1029" s="1550"/>
    </row>
    <row r="1030" spans="1:7">
      <c r="A1030" s="1754">
        <v>39083</v>
      </c>
      <c r="B1030" s="125" t="str">
        <f>TiposLancamentos!B9</f>
        <v>Condominio</v>
      </c>
      <c r="C1030" s="1040" t="s">
        <v>5374</v>
      </c>
      <c r="D1030" s="1736"/>
      <c r="E1030" s="1043">
        <v>564.97</v>
      </c>
      <c r="F1030" s="1043"/>
      <c r="G1030" s="1550"/>
    </row>
    <row r="1031" spans="1:7">
      <c r="A1031" s="1754">
        <v>39083</v>
      </c>
      <c r="B1031" s="125" t="str">
        <f>TiposLancamentos!B34</f>
        <v>Seguros</v>
      </c>
      <c r="C1031" s="1040" t="s">
        <v>5375</v>
      </c>
      <c r="D1031" s="1736"/>
      <c r="E1031" s="1043">
        <v>691.71</v>
      </c>
      <c r="F1031" s="1043"/>
      <c r="G1031" s="1550"/>
    </row>
    <row r="1032" spans="1:7">
      <c r="A1032" s="1754">
        <v>39084</v>
      </c>
      <c r="B1032" s="125" t="str">
        <f>TiposLancamentos!B4</f>
        <v>Taxas Bancarias</v>
      </c>
      <c r="C1032" s="1040" t="s">
        <v>5339</v>
      </c>
      <c r="D1032" s="1736"/>
      <c r="E1032" s="1043">
        <v>0.01</v>
      </c>
      <c r="F1032" s="1043"/>
      <c r="G1032" s="1550"/>
    </row>
    <row r="1033" spans="1:7">
      <c r="A1033" s="1754">
        <v>39084</v>
      </c>
      <c r="B1033" s="125" t="str">
        <f>TiposLancamentos!B15</f>
        <v>Cartões de Crédito</v>
      </c>
      <c r="C1033" s="1040" t="s">
        <v>5142</v>
      </c>
      <c r="D1033" s="1736"/>
      <c r="E1033" s="1043">
        <v>292.70999999999998</v>
      </c>
      <c r="F1033" s="1043"/>
      <c r="G1033" s="1550"/>
    </row>
    <row r="1034" spans="1:7">
      <c r="A1034" s="1754">
        <v>39084</v>
      </c>
      <c r="B1034" s="125" t="str">
        <f>TiposLancamentos!B15</f>
        <v>Cartões de Crédito</v>
      </c>
      <c r="C1034" s="1040" t="s">
        <v>5376</v>
      </c>
      <c r="D1034" s="1736"/>
      <c r="E1034" s="1043">
        <v>131.33000000000001</v>
      </c>
      <c r="F1034" s="1043"/>
      <c r="G1034" s="1550"/>
    </row>
    <row r="1035" spans="1:7">
      <c r="A1035" s="1754">
        <v>39085</v>
      </c>
      <c r="B1035" s="125" t="str">
        <f>TiposLancamentos!B4</f>
        <v>Taxas Bancarias</v>
      </c>
      <c r="C1035" s="1040" t="s">
        <v>4853</v>
      </c>
      <c r="D1035" s="1736"/>
      <c r="E1035" s="1043">
        <v>2.19</v>
      </c>
      <c r="F1035" s="1043"/>
      <c r="G1035" s="1550"/>
    </row>
    <row r="1036" spans="1:7">
      <c r="A1036" s="1754">
        <v>39085</v>
      </c>
      <c r="B1036" s="125" t="str">
        <f>TiposLancamentos!B6</f>
        <v>Energia Eletrica</v>
      </c>
      <c r="C1036" s="1040" t="s">
        <v>5377</v>
      </c>
      <c r="D1036" s="1736"/>
      <c r="E1036" s="1043">
        <v>56.11</v>
      </c>
      <c r="F1036" s="1043"/>
      <c r="G1036" s="1550"/>
    </row>
    <row r="1037" spans="1:7">
      <c r="A1037" s="1754">
        <v>39085</v>
      </c>
      <c r="B1037" s="125" t="str">
        <f>TiposLancamentos!B34</f>
        <v>Seguros</v>
      </c>
      <c r="C1037" s="1040" t="s">
        <v>5378</v>
      </c>
      <c r="D1037" s="1736"/>
      <c r="E1037" s="1043">
        <v>583.37</v>
      </c>
      <c r="F1037" s="1043"/>
      <c r="G1037" s="1550"/>
    </row>
    <row r="1038" spans="1:7">
      <c r="A1038" s="1754">
        <v>39085</v>
      </c>
      <c r="B1038" s="125" t="str">
        <f>TiposLancamentos!B90</f>
        <v>Locadora</v>
      </c>
      <c r="C1038" s="1040" t="s">
        <v>5169</v>
      </c>
      <c r="D1038" s="1736"/>
      <c r="E1038" s="1043">
        <v>27</v>
      </c>
      <c r="F1038" s="1043"/>
      <c r="G1038" s="1550"/>
    </row>
    <row r="1039" spans="1:7">
      <c r="A1039" s="1754">
        <v>39087</v>
      </c>
      <c r="B1039" s="125" t="str">
        <f>TiposLancamentos!B27</f>
        <v>Jornais e revistas</v>
      </c>
      <c r="C1039" s="1040" t="s">
        <v>5306</v>
      </c>
      <c r="D1039" s="1736"/>
      <c r="E1039" s="1043">
        <v>45.9</v>
      </c>
      <c r="F1039" s="1043"/>
      <c r="G1039" s="1550"/>
    </row>
    <row r="1040" spans="1:7">
      <c r="A1040" s="1754">
        <v>39088</v>
      </c>
      <c r="B1040" s="125" t="str">
        <f>TiposLancamentos!B17</f>
        <v>GATO</v>
      </c>
      <c r="C1040" s="1040" t="s">
        <v>5379</v>
      </c>
      <c r="D1040" s="1736"/>
      <c r="E1040" s="1043">
        <v>47</v>
      </c>
      <c r="F1040" s="1043"/>
      <c r="G1040" s="1550"/>
    </row>
    <row r="1041" spans="1:7">
      <c r="A1041" s="1754">
        <v>39090</v>
      </c>
      <c r="B1041" s="125" t="str">
        <f>TiposLancamentos!B20</f>
        <v>Saques</v>
      </c>
      <c r="C1041" s="1040" t="s">
        <v>2668</v>
      </c>
      <c r="D1041" s="1736"/>
      <c r="E1041" s="1043">
        <v>10</v>
      </c>
      <c r="F1041" s="1043"/>
      <c r="G1041" s="1550"/>
    </row>
    <row r="1042" spans="1:7">
      <c r="A1042" s="1754">
        <v>39091</v>
      </c>
      <c r="B1042" s="125" t="str">
        <f>TiposLancamentos!B27</f>
        <v>Jornais e revistas</v>
      </c>
      <c r="C1042" s="1040" t="s">
        <v>5380</v>
      </c>
      <c r="D1042" s="1736"/>
      <c r="E1042" s="1043">
        <v>35.6</v>
      </c>
      <c r="F1042" s="1043"/>
      <c r="G1042" s="1550"/>
    </row>
    <row r="1043" spans="1:7">
      <c r="A1043" s="1754">
        <v>39091</v>
      </c>
      <c r="B1043" s="125" t="str">
        <f>TiposLancamentos!B57</f>
        <v>Informática</v>
      </c>
      <c r="C1043" s="1040" t="s">
        <v>5381</v>
      </c>
      <c r="D1043" s="1736"/>
      <c r="E1043" s="1043">
        <v>29.9</v>
      </c>
      <c r="F1043" s="1043"/>
      <c r="G1043" s="1550"/>
    </row>
    <row r="1044" spans="1:7">
      <c r="A1044" s="1754">
        <v>39091</v>
      </c>
      <c r="B1044" s="125" t="str">
        <f>TiposLancamentos!B5</f>
        <v>Supermercado</v>
      </c>
      <c r="C1044" s="1040" t="s">
        <v>5382</v>
      </c>
      <c r="D1044" s="1736"/>
      <c r="E1044" s="1043">
        <v>20</v>
      </c>
      <c r="F1044" s="1043"/>
      <c r="G1044" s="1550"/>
    </row>
    <row r="1045" spans="1:7">
      <c r="A1045" s="1754">
        <v>39091</v>
      </c>
      <c r="B1045" s="125" t="str">
        <f>TiposLancamentos!B19</f>
        <v>Restaurantes</v>
      </c>
      <c r="C1045" s="1040" t="s">
        <v>5383</v>
      </c>
      <c r="D1045" s="1736"/>
      <c r="E1045" s="1043">
        <v>20.28</v>
      </c>
      <c r="F1045" s="1043"/>
      <c r="G1045" s="1550"/>
    </row>
    <row r="1046" spans="1:7">
      <c r="A1046" s="1754">
        <v>39092</v>
      </c>
      <c r="B1046" s="125" t="str">
        <f>TiposLancamentos!B45</f>
        <v>Online Services</v>
      </c>
      <c r="C1046" s="1040" t="s">
        <v>5384</v>
      </c>
      <c r="D1046" s="1736"/>
      <c r="E1046" s="1043">
        <v>13</v>
      </c>
      <c r="F1046" s="1043"/>
      <c r="G1046" s="1550"/>
    </row>
    <row r="1047" spans="1:7">
      <c r="A1047" s="1754">
        <v>39092</v>
      </c>
      <c r="B1047" s="125" t="str">
        <f>TiposLancamentos!B45</f>
        <v>Online Services</v>
      </c>
      <c r="C1047" s="1040" t="s">
        <v>5385</v>
      </c>
      <c r="D1047" s="1736"/>
      <c r="E1047" s="1043">
        <v>22.63</v>
      </c>
      <c r="F1047" s="1043"/>
      <c r="G1047" s="1550"/>
    </row>
    <row r="1048" spans="1:7" ht="12.75" customHeight="1">
      <c r="A1048" s="1754">
        <v>39092</v>
      </c>
      <c r="B1048" s="125" t="str">
        <f>TiposLancamentos!B20</f>
        <v>Saques</v>
      </c>
      <c r="C1048" s="1040" t="s">
        <v>2668</v>
      </c>
      <c r="D1048" s="1736"/>
      <c r="E1048" s="1043">
        <v>90</v>
      </c>
      <c r="F1048" s="1043"/>
      <c r="G1048" s="1550"/>
    </row>
    <row r="1049" spans="1:7" ht="12.75" customHeight="1">
      <c r="A1049" s="1754">
        <v>39092</v>
      </c>
      <c r="B1049" s="125" t="str">
        <f>TiposLancamentos!B19</f>
        <v>Restaurantes</v>
      </c>
      <c r="C1049" s="1040" t="s">
        <v>5002</v>
      </c>
      <c r="D1049" s="1736"/>
      <c r="E1049" s="1043">
        <v>15.5</v>
      </c>
      <c r="F1049" s="1043"/>
      <c r="G1049" s="1550"/>
    </row>
    <row r="1050" spans="1:7" ht="12.75" customHeight="1">
      <c r="A1050" s="1754">
        <v>39092</v>
      </c>
      <c r="B1050" s="125" t="str">
        <f>TiposLancamentos!B4</f>
        <v>Taxas Bancarias</v>
      </c>
      <c r="C1050" s="1040" t="s">
        <v>5351</v>
      </c>
      <c r="D1050" s="1736"/>
      <c r="E1050" s="1043">
        <v>20.76</v>
      </c>
      <c r="F1050" s="1043"/>
      <c r="G1050" s="1550"/>
    </row>
    <row r="1051" spans="1:7">
      <c r="A1051" s="1754">
        <v>39093</v>
      </c>
      <c r="B1051" s="125" t="str">
        <f>TiposLancamentos!B19</f>
        <v>Restaurantes</v>
      </c>
      <c r="C1051" s="1040" t="s">
        <v>3254</v>
      </c>
      <c r="D1051" s="1736"/>
      <c r="E1051" s="1043">
        <v>7.32</v>
      </c>
      <c r="F1051" s="1043"/>
      <c r="G1051" s="1550"/>
    </row>
    <row r="1052" spans="1:7">
      <c r="A1052" s="1754">
        <v>39094</v>
      </c>
      <c r="B1052" s="125" t="str">
        <f>TiposLancamentos!B19</f>
        <v>Restaurantes</v>
      </c>
      <c r="C1052" s="1040" t="s">
        <v>3067</v>
      </c>
      <c r="D1052" s="1736"/>
      <c r="E1052" s="1043">
        <v>4.9000000000000004</v>
      </c>
      <c r="F1052" s="1043"/>
      <c r="G1052" s="1550"/>
    </row>
    <row r="1053" spans="1:7">
      <c r="A1053" s="1754">
        <v>39094</v>
      </c>
      <c r="B1053" s="125" t="str">
        <f>TiposLancamentos!B19</f>
        <v>Restaurantes</v>
      </c>
      <c r="C1053" s="1040" t="s">
        <v>5174</v>
      </c>
      <c r="D1053" s="1736"/>
      <c r="E1053" s="1043">
        <v>11.25</v>
      </c>
      <c r="F1053" s="1043"/>
      <c r="G1053" s="1550"/>
    </row>
    <row r="1054" spans="1:7">
      <c r="A1054" s="1754">
        <v>39094</v>
      </c>
      <c r="B1054" s="125" t="str">
        <f>TiposLancamentos!B19</f>
        <v>Restaurantes</v>
      </c>
      <c r="C1054" s="1040" t="s">
        <v>5386</v>
      </c>
      <c r="D1054" s="1736"/>
      <c r="E1054" s="1043">
        <v>5.5</v>
      </c>
      <c r="F1054" s="1043"/>
      <c r="G1054" s="1550"/>
    </row>
    <row r="1055" spans="1:7">
      <c r="A1055" s="1754">
        <v>39094</v>
      </c>
      <c r="B1055" s="125" t="str">
        <f>TiposLancamentos!B4</f>
        <v>Taxas Bancarias</v>
      </c>
      <c r="C1055" s="1040" t="s">
        <v>5387</v>
      </c>
      <c r="D1055" s="1736"/>
      <c r="E1055" s="1043">
        <v>11.09</v>
      </c>
      <c r="F1055" s="1043"/>
      <c r="G1055" s="1550"/>
    </row>
    <row r="1056" spans="1:7">
      <c r="A1056" s="1754">
        <v>39095</v>
      </c>
      <c r="B1056" s="125" t="str">
        <f>TiposLancamentos!B20</f>
        <v>Saques</v>
      </c>
      <c r="C1056" s="1040" t="s">
        <v>2655</v>
      </c>
      <c r="D1056" s="1736"/>
      <c r="E1056" s="1043">
        <v>20</v>
      </c>
      <c r="F1056" s="1043"/>
      <c r="G1056" s="1550"/>
    </row>
    <row r="1057" spans="1:7">
      <c r="A1057" s="1754">
        <v>39095</v>
      </c>
      <c r="B1057" s="125" t="str">
        <f>TiposLancamentos!B57</f>
        <v>Informática</v>
      </c>
      <c r="C1057" s="1040" t="s">
        <v>5388</v>
      </c>
      <c r="D1057" s="1736"/>
      <c r="E1057" s="1043">
        <v>38.99</v>
      </c>
      <c r="F1057" s="1043"/>
      <c r="G1057" s="1550"/>
    </row>
    <row r="1058" spans="1:7">
      <c r="A1058" s="1754">
        <v>39095</v>
      </c>
      <c r="B1058" s="125" t="str">
        <f>TiposLancamentos!B19</f>
        <v>Restaurantes</v>
      </c>
      <c r="C1058" s="1040" t="s">
        <v>3287</v>
      </c>
      <c r="D1058" s="1736"/>
      <c r="E1058" s="1043">
        <v>15</v>
      </c>
      <c r="F1058" s="1043"/>
      <c r="G1058" s="1550"/>
    </row>
    <row r="1059" spans="1:7">
      <c r="A1059" s="1754">
        <v>39095</v>
      </c>
      <c r="B1059" s="125" t="str">
        <f>TiposLancamentos!B19</f>
        <v>Restaurantes</v>
      </c>
      <c r="C1059" s="1040" t="s">
        <v>3254</v>
      </c>
      <c r="D1059" s="1736"/>
      <c r="E1059" s="1043">
        <v>11.85</v>
      </c>
      <c r="F1059" s="1043"/>
      <c r="G1059" s="1550"/>
    </row>
    <row r="1060" spans="1:7">
      <c r="A1060" s="1754">
        <v>39096</v>
      </c>
      <c r="B1060" s="125" t="str">
        <f>TiposLancamentos!B19</f>
        <v>Restaurantes</v>
      </c>
      <c r="C1060" s="1040" t="s">
        <v>2640</v>
      </c>
      <c r="D1060" s="1736"/>
      <c r="E1060" s="1043">
        <v>14.3</v>
      </c>
      <c r="F1060" s="1043"/>
      <c r="G1060" s="1550"/>
    </row>
    <row r="1061" spans="1:7">
      <c r="A1061" s="1754">
        <v>39097</v>
      </c>
      <c r="B1061" s="125" t="str">
        <f>TiposLancamentos!B19</f>
        <v>Restaurantes</v>
      </c>
      <c r="C1061" s="1040" t="s">
        <v>5389</v>
      </c>
      <c r="D1061" s="1736"/>
      <c r="E1061" s="1043">
        <v>5.4</v>
      </c>
      <c r="F1061" s="1043"/>
      <c r="G1061" s="1550"/>
    </row>
    <row r="1062" spans="1:7">
      <c r="A1062" s="1754">
        <v>39097</v>
      </c>
      <c r="B1062" s="125" t="str">
        <f>TiposLancamentos!B84</f>
        <v>Cbx Twister 250</v>
      </c>
      <c r="C1062" s="1040" t="s">
        <v>5390</v>
      </c>
      <c r="D1062" s="1736"/>
      <c r="E1062" s="1043">
        <v>466.91</v>
      </c>
      <c r="F1062" s="1043"/>
      <c r="G1062" s="1550"/>
    </row>
    <row r="1063" spans="1:7">
      <c r="A1063" s="1754">
        <v>39097</v>
      </c>
      <c r="B1063" s="125" t="str">
        <f>TiposLancamentos!B84</f>
        <v>Cbx Twister 250</v>
      </c>
      <c r="C1063" s="1040" t="s">
        <v>5391</v>
      </c>
      <c r="D1063" s="1736"/>
      <c r="E1063" s="1043">
        <f>177.91+57.15</f>
        <v>235.06</v>
      </c>
      <c r="F1063" s="1043"/>
      <c r="G1063" s="1550"/>
    </row>
    <row r="1064" spans="1:7">
      <c r="A1064" s="1754">
        <v>39097</v>
      </c>
      <c r="B1064" s="125" t="str">
        <f>TiposLancamentos!B95</f>
        <v>Salarios</v>
      </c>
      <c r="C1064" s="1040" t="s">
        <v>4916</v>
      </c>
      <c r="D1064" s="1736">
        <v>1689.1</v>
      </c>
      <c r="E1064" s="1043"/>
      <c r="F1064" s="1043"/>
      <c r="G1064" s="1550"/>
    </row>
    <row r="1065" spans="1:7">
      <c r="A1065" s="1754">
        <v>39097</v>
      </c>
      <c r="B1065" s="125" t="str">
        <f>TiposLancamentos!B24</f>
        <v>Estacionamentos</v>
      </c>
      <c r="C1065" s="1040" t="s">
        <v>5392</v>
      </c>
      <c r="D1065" s="1736"/>
      <c r="E1065" s="1043">
        <v>11.76</v>
      </c>
      <c r="F1065" s="1043"/>
      <c r="G1065" s="1550"/>
    </row>
    <row r="1066" spans="1:7">
      <c r="A1066" s="1754">
        <v>39097</v>
      </c>
      <c r="B1066" s="125" t="str">
        <f>TiposLancamentos!B19</f>
        <v>Restaurantes</v>
      </c>
      <c r="C1066" s="1040" t="s">
        <v>5393</v>
      </c>
      <c r="D1066" s="1736"/>
      <c r="E1066" s="1043">
        <v>11</v>
      </c>
      <c r="F1066" s="1043"/>
      <c r="G1066" s="1550"/>
    </row>
    <row r="1067" spans="1:7">
      <c r="A1067" s="1754">
        <v>39097</v>
      </c>
      <c r="B1067" s="125" t="str">
        <f>TiposLancamentos!B85</f>
        <v>Peugeout 206</v>
      </c>
      <c r="C1067" s="1040" t="s">
        <v>5394</v>
      </c>
      <c r="D1067" s="1736"/>
      <c r="E1067" s="1043">
        <v>16</v>
      </c>
      <c r="F1067" s="1043"/>
      <c r="G1067" s="1550"/>
    </row>
    <row r="1068" spans="1:7">
      <c r="A1068" s="1754">
        <v>39097</v>
      </c>
      <c r="B1068" s="125" t="str">
        <f>TiposLancamentos!B44</f>
        <v>Academia</v>
      </c>
      <c r="C1068" s="1040" t="s">
        <v>5395</v>
      </c>
      <c r="D1068" s="1736"/>
      <c r="E1068" s="1043">
        <v>75</v>
      </c>
      <c r="F1068" s="1043"/>
      <c r="G1068" s="1550"/>
    </row>
    <row r="1069" spans="1:7">
      <c r="A1069" s="1754">
        <v>39098</v>
      </c>
      <c r="B1069" s="125" t="str">
        <f>TiposLancamentos!B20</f>
        <v>Saques</v>
      </c>
      <c r="C1069" s="1040" t="s">
        <v>2668</v>
      </c>
      <c r="D1069" s="1736"/>
      <c r="E1069" s="1043">
        <v>10</v>
      </c>
      <c r="F1069" s="1043"/>
      <c r="G1069" s="1550"/>
    </row>
    <row r="1070" spans="1:7">
      <c r="A1070" s="1754">
        <v>39098</v>
      </c>
      <c r="B1070" s="125" t="str">
        <f>TiposLancamentos!B5</f>
        <v>Supermercado</v>
      </c>
      <c r="C1070" s="1040" t="s">
        <v>3210</v>
      </c>
      <c r="D1070" s="1736"/>
      <c r="E1070" s="1043">
        <v>9.58</v>
      </c>
      <c r="F1070" s="1043"/>
      <c r="G1070" s="1550"/>
    </row>
    <row r="1071" spans="1:7">
      <c r="A1071" s="1754">
        <v>39098</v>
      </c>
      <c r="B1071" s="125" t="str">
        <f>TiposLancamentos!B70</f>
        <v>Vestuário</v>
      </c>
      <c r="C1071" s="1040" t="s">
        <v>5396</v>
      </c>
      <c r="D1071" s="1736"/>
      <c r="E1071" s="1043">
        <v>70</v>
      </c>
      <c r="F1071" s="1043"/>
      <c r="G1071" s="1550"/>
    </row>
    <row r="1072" spans="1:7">
      <c r="A1072" s="1754">
        <v>39099</v>
      </c>
      <c r="B1072" s="125" t="str">
        <f>TiposLancamentos!B16</f>
        <v>Cristiane</v>
      </c>
      <c r="C1072" s="1040" t="s">
        <v>5397</v>
      </c>
      <c r="D1072" s="1736"/>
      <c r="E1072" s="1043">
        <v>25</v>
      </c>
      <c r="F1072" s="1043"/>
      <c r="G1072" s="1550"/>
    </row>
    <row r="1073" spans="1:7">
      <c r="A1073" s="1754">
        <v>39100</v>
      </c>
      <c r="B1073" s="125" t="str">
        <f>TiposLancamentos!B5</f>
        <v>Supermercado</v>
      </c>
      <c r="C1073" s="1040" t="s">
        <v>2567</v>
      </c>
      <c r="D1073" s="1736"/>
      <c r="E1073" s="1043">
        <v>26.51</v>
      </c>
      <c r="F1073" s="1043"/>
      <c r="G1073" s="1550"/>
    </row>
    <row r="1074" spans="1:7">
      <c r="A1074" s="1754">
        <v>39101</v>
      </c>
      <c r="B1074" s="125" t="str">
        <f>TiposLancamentos!B19</f>
        <v>Restaurantes</v>
      </c>
      <c r="C1074" s="1040" t="s">
        <v>5002</v>
      </c>
      <c r="D1074" s="1736"/>
      <c r="E1074" s="1043">
        <v>7.75</v>
      </c>
      <c r="F1074" s="1043"/>
      <c r="G1074" s="1550"/>
    </row>
    <row r="1075" spans="1:7">
      <c r="A1075" s="1754">
        <v>39101</v>
      </c>
      <c r="B1075" s="125" t="str">
        <f>TiposLancamentos!B20</f>
        <v>Saques</v>
      </c>
      <c r="C1075" s="1040" t="s">
        <v>2668</v>
      </c>
      <c r="D1075" s="1736"/>
      <c r="E1075" s="1043">
        <v>10</v>
      </c>
      <c r="F1075" s="1043"/>
      <c r="G1075" s="1550"/>
    </row>
    <row r="1076" spans="1:7">
      <c r="A1076" s="1754">
        <v>39101</v>
      </c>
      <c r="B1076" s="125" t="str">
        <f>TiposLancamentos!B8</f>
        <v>Aluguel</v>
      </c>
      <c r="C1076" s="1040" t="s">
        <v>5398</v>
      </c>
      <c r="D1076" s="1736"/>
      <c r="E1076" s="1043">
        <v>728.07</v>
      </c>
      <c r="F1076" s="1043"/>
      <c r="G1076" s="1550"/>
    </row>
    <row r="1077" spans="1:7">
      <c r="A1077" s="1754">
        <v>39101</v>
      </c>
      <c r="B1077" s="125" t="str">
        <f>TiposLancamentos!B20</f>
        <v>Saques</v>
      </c>
      <c r="C1077" s="1040" t="s">
        <v>2655</v>
      </c>
      <c r="D1077" s="1736"/>
      <c r="E1077" s="1043">
        <v>20</v>
      </c>
      <c r="F1077" s="1043"/>
      <c r="G1077" s="1550"/>
    </row>
    <row r="1078" spans="1:7">
      <c r="A1078" s="1754">
        <v>39102</v>
      </c>
      <c r="B1078" s="125" t="str">
        <f>TiposLancamentos!B16</f>
        <v>Cristiane</v>
      </c>
      <c r="C1078" s="1040" t="s">
        <v>5399</v>
      </c>
      <c r="D1078" s="1736"/>
      <c r="E1078" s="1043">
        <v>158.4</v>
      </c>
      <c r="F1078" s="1043"/>
      <c r="G1078" s="1550"/>
    </row>
    <row r="1079" spans="1:7">
      <c r="A1079" s="1754">
        <v>39102</v>
      </c>
      <c r="B1079" s="125" t="str">
        <f>TiposLancamentos!B19</f>
        <v>Restaurantes</v>
      </c>
      <c r="C1079" s="1040" t="s">
        <v>5400</v>
      </c>
      <c r="D1079" s="1736"/>
      <c r="E1079" s="1043">
        <v>13.35</v>
      </c>
      <c r="F1079" s="1043"/>
      <c r="G1079" s="1550"/>
    </row>
    <row r="1080" spans="1:7">
      <c r="A1080" s="1754">
        <v>39102</v>
      </c>
      <c r="B1080" s="125" t="str">
        <f>TiposLancamentos!B90</f>
        <v>Locadora</v>
      </c>
      <c r="C1080" s="1040" t="s">
        <v>5401</v>
      </c>
      <c r="D1080" s="1736"/>
      <c r="E1080" s="1043">
        <v>18</v>
      </c>
      <c r="F1080" s="1043"/>
      <c r="G1080" s="1550"/>
    </row>
    <row r="1081" spans="1:7">
      <c r="A1081" s="1754">
        <v>39104</v>
      </c>
      <c r="B1081" s="125" t="str">
        <f>TiposLancamentos!B85</f>
        <v>Peugeout 206</v>
      </c>
      <c r="C1081" s="1040" t="s">
        <v>5402</v>
      </c>
      <c r="D1081" s="1736"/>
      <c r="E1081" s="1043">
        <v>747.83</v>
      </c>
      <c r="F1081" s="1043"/>
      <c r="G1081" s="1550"/>
    </row>
    <row r="1082" spans="1:7">
      <c r="A1082" s="1754">
        <v>39105</v>
      </c>
      <c r="B1082" s="125" t="str">
        <f>TiposLancamentos!B19</f>
        <v>Restaurantes</v>
      </c>
      <c r="C1082" s="1040" t="s">
        <v>3425</v>
      </c>
      <c r="D1082" s="1736"/>
      <c r="E1082" s="1043">
        <v>6.15</v>
      </c>
      <c r="F1082" s="1043"/>
      <c r="G1082" s="1550"/>
    </row>
    <row r="1083" spans="1:7">
      <c r="A1083" s="1754">
        <v>39105</v>
      </c>
      <c r="B1083" s="125" t="str">
        <f>TiposLancamentos!B21</f>
        <v>Transf. Poupanca</v>
      </c>
      <c r="C1083" s="1040" t="s">
        <v>4853</v>
      </c>
      <c r="D1083" s="1736"/>
      <c r="E1083" s="1043">
        <v>10.95</v>
      </c>
      <c r="F1083" s="1043"/>
      <c r="G1083" s="1550"/>
    </row>
    <row r="1084" spans="1:7">
      <c r="A1084" s="1754">
        <v>39106</v>
      </c>
      <c r="B1084" s="125" t="str">
        <f>TiposLancamentos!B99</f>
        <v>Venda de algo</v>
      </c>
      <c r="C1084" s="1040" t="s">
        <v>5403</v>
      </c>
      <c r="D1084" s="1736">
        <v>60</v>
      </c>
      <c r="E1084" s="1043"/>
      <c r="F1084" s="1043"/>
      <c r="G1084" s="1550"/>
    </row>
    <row r="1085" spans="1:7">
      <c r="A1085" s="1754">
        <v>39107</v>
      </c>
      <c r="B1085" s="125" t="str">
        <f>TiposLancamentos!B5</f>
        <v>Supermercado</v>
      </c>
      <c r="C1085" s="1040" t="s">
        <v>5404</v>
      </c>
      <c r="D1085" s="1736"/>
      <c r="E1085" s="1043">
        <v>9.9</v>
      </c>
      <c r="F1085" s="1043"/>
      <c r="G1085" s="1550"/>
    </row>
    <row r="1086" spans="1:7">
      <c r="A1086" s="1754">
        <v>39107</v>
      </c>
      <c r="B1086" s="125" t="str">
        <f>TiposLancamentos!B59</f>
        <v>Documentos</v>
      </c>
      <c r="C1086" s="1040" t="s">
        <v>5405</v>
      </c>
      <c r="D1086" s="1736"/>
      <c r="E1086" s="1043">
        <v>105</v>
      </c>
      <c r="F1086" s="1043"/>
      <c r="G1086" s="1550"/>
    </row>
    <row r="1087" spans="1:7">
      <c r="A1087" s="1754">
        <v>39107</v>
      </c>
      <c r="B1087" s="125" t="str">
        <f>TiposLancamentos!B20</f>
        <v>Saques</v>
      </c>
      <c r="C1087" s="1040" t="s">
        <v>2668</v>
      </c>
      <c r="D1087" s="1736"/>
      <c r="E1087" s="1043">
        <v>50</v>
      </c>
      <c r="F1087" s="1043"/>
      <c r="G1087" s="1550"/>
    </row>
    <row r="1088" spans="1:7">
      <c r="A1088" s="1754">
        <v>39107</v>
      </c>
      <c r="B1088" s="125" t="str">
        <f>TiposLancamentos!B19</f>
        <v>Restaurantes</v>
      </c>
      <c r="C1088" s="1040" t="s">
        <v>3254</v>
      </c>
      <c r="D1088" s="1736"/>
      <c r="E1088" s="1043">
        <v>24.47</v>
      </c>
      <c r="F1088" s="1043"/>
      <c r="G1088" s="1550"/>
    </row>
    <row r="1089" spans="1:7">
      <c r="A1089" s="1754">
        <v>39108</v>
      </c>
      <c r="B1089" s="125" t="str">
        <f>TiposLancamentos!B71</f>
        <v>Itens Pessoais</v>
      </c>
      <c r="C1089" s="1040" t="s">
        <v>5406</v>
      </c>
      <c r="D1089" s="1736"/>
      <c r="E1089" s="1043">
        <v>19</v>
      </c>
      <c r="F1089" s="1043"/>
      <c r="G1089" s="1550"/>
    </row>
    <row r="1090" spans="1:7">
      <c r="A1090" s="1754">
        <v>39111</v>
      </c>
      <c r="B1090" s="125" t="str">
        <f>TiposLancamentos!B20</f>
        <v>Saques</v>
      </c>
      <c r="C1090" s="1040" t="s">
        <v>2668</v>
      </c>
      <c r="D1090" s="1736"/>
      <c r="E1090" s="1043">
        <v>20</v>
      </c>
      <c r="F1090" s="1043"/>
      <c r="G1090" s="1550"/>
    </row>
    <row r="1091" spans="1:7">
      <c r="A1091" s="1754">
        <v>39113</v>
      </c>
      <c r="B1091" s="125" t="str">
        <f>TiposLancamentos!B95</f>
        <v>Salarios</v>
      </c>
      <c r="C1091" s="1040" t="s">
        <v>4939</v>
      </c>
      <c r="D1091" s="1736">
        <v>7551.94</v>
      </c>
      <c r="E1091" s="1043"/>
      <c r="F1091" s="1043"/>
      <c r="G1091" s="1550"/>
    </row>
    <row r="1092" spans="1:7">
      <c r="A1092" s="1754">
        <v>39113</v>
      </c>
      <c r="B1092" s="125" t="str">
        <f>TiposLancamentos!B22</f>
        <v>Combustivel</v>
      </c>
      <c r="C1092" s="1040" t="s">
        <v>5407</v>
      </c>
      <c r="D1092" s="1736"/>
      <c r="E1092" s="1043">
        <v>33</v>
      </c>
      <c r="F1092" s="1043"/>
      <c r="G1092" s="1550"/>
    </row>
    <row r="1093" spans="1:7" ht="14.25" thickBot="1">
      <c r="A1093" s="1754">
        <v>39113</v>
      </c>
      <c r="B1093" s="125" t="str">
        <f>TiposLancamentos!B20</f>
        <v>Saques</v>
      </c>
      <c r="C1093" s="1040" t="s">
        <v>2668</v>
      </c>
      <c r="D1093" s="1736"/>
      <c r="E1093" s="1043">
        <v>10</v>
      </c>
      <c r="F1093" s="1043"/>
      <c r="G1093" s="1550"/>
    </row>
    <row r="1094" spans="1:7">
      <c r="A1094" s="1834"/>
      <c r="B1094" s="977"/>
      <c r="C1094" s="1854" t="s">
        <v>5408</v>
      </c>
      <c r="D1094" s="1823"/>
      <c r="E1094" s="1821"/>
      <c r="F1094" s="1821"/>
      <c r="G1094" s="1895"/>
    </row>
    <row r="1095" spans="1:7">
      <c r="A1095" s="1754">
        <v>39114</v>
      </c>
      <c r="B1095" s="125" t="str">
        <f>TiposLancamentos!B34</f>
        <v>Seguros</v>
      </c>
      <c r="C1095" s="1040" t="s">
        <v>5409</v>
      </c>
      <c r="D1095" s="1736"/>
      <c r="E1095" s="1043">
        <v>691.71</v>
      </c>
      <c r="F1095" s="1043"/>
      <c r="G1095" s="1550"/>
    </row>
    <row r="1096" spans="1:7">
      <c r="A1096" s="1754">
        <v>39114</v>
      </c>
      <c r="B1096" s="125" t="str">
        <f>TiposLancamentos!B2</f>
        <v>Telefonia</v>
      </c>
      <c r="C1096" s="1040" t="s">
        <v>5410</v>
      </c>
      <c r="D1096" s="1736"/>
      <c r="E1096" s="1043">
        <v>68.040000000000006</v>
      </c>
      <c r="F1096" s="1043"/>
      <c r="G1096" s="1550"/>
    </row>
    <row r="1097" spans="1:7">
      <c r="A1097" s="1754">
        <v>39114</v>
      </c>
      <c r="B1097" s="125" t="str">
        <f>TiposLancamentos!B3</f>
        <v>Internet</v>
      </c>
      <c r="C1097" s="1040" t="s">
        <v>4987</v>
      </c>
      <c r="D1097" s="1736"/>
      <c r="E1097" s="1043">
        <v>79.900000000000006</v>
      </c>
      <c r="F1097" s="1043"/>
      <c r="G1097" s="1550"/>
    </row>
    <row r="1098" spans="1:7">
      <c r="A1098" s="1754">
        <v>39114</v>
      </c>
      <c r="B1098" s="125" t="str">
        <f>TiposLancamentos!B9</f>
        <v>Condominio</v>
      </c>
      <c r="C1098" s="1040" t="s">
        <v>1684</v>
      </c>
      <c r="D1098" s="1736"/>
      <c r="E1098" s="1043">
        <v>559.15</v>
      </c>
      <c r="F1098" s="1043"/>
      <c r="G1098" s="1550"/>
    </row>
    <row r="1099" spans="1:7">
      <c r="A1099" s="1754">
        <v>39114</v>
      </c>
      <c r="B1099" s="125" t="str">
        <f>TiposLancamentos!B56</f>
        <v>Farmácia</v>
      </c>
      <c r="C1099" s="1040" t="s">
        <v>5411</v>
      </c>
      <c r="D1099" s="1736"/>
      <c r="E1099" s="1043">
        <v>27</v>
      </c>
      <c r="F1099" s="1043"/>
      <c r="G1099" s="1550"/>
    </row>
    <row r="1100" spans="1:7">
      <c r="A1100" s="1754">
        <v>39114</v>
      </c>
      <c r="B1100" s="125" t="str">
        <f>TiposLancamentos!B34</f>
        <v>Seguros</v>
      </c>
      <c r="C1100" s="1040" t="s">
        <v>5412</v>
      </c>
      <c r="D1100" s="1736"/>
      <c r="E1100" s="1043">
        <v>583.37</v>
      </c>
      <c r="F1100" s="1043"/>
      <c r="G1100" s="1550"/>
    </row>
    <row r="1101" spans="1:7">
      <c r="A1101" s="1754">
        <v>39114</v>
      </c>
      <c r="B1101" s="125" t="str">
        <f>TiposLancamentos!B16</f>
        <v>Cristiane</v>
      </c>
      <c r="C1101" s="1040" t="s">
        <v>5413</v>
      </c>
      <c r="D1101" s="1736"/>
      <c r="E1101" s="1043">
        <v>80</v>
      </c>
      <c r="F1101" s="1043"/>
      <c r="G1101" s="1550"/>
    </row>
    <row r="1102" spans="1:7">
      <c r="A1102" s="1754">
        <v>39114</v>
      </c>
      <c r="B1102" s="125" t="str">
        <f>TiposLancamentos!B4</f>
        <v>Taxas Bancarias</v>
      </c>
      <c r="C1102" s="1040" t="s">
        <v>4858</v>
      </c>
      <c r="D1102" s="1736"/>
      <c r="E1102" s="1043">
        <v>1.81</v>
      </c>
      <c r="F1102" s="1043"/>
      <c r="G1102" s="1550"/>
    </row>
    <row r="1103" spans="1:7">
      <c r="A1103" s="1754">
        <v>39114</v>
      </c>
      <c r="B1103" s="125" t="str">
        <f>TiposLancamentos!B4</f>
        <v>Taxas Bancarias</v>
      </c>
      <c r="C1103" s="1040" t="s">
        <v>5207</v>
      </c>
      <c r="D1103" s="1736"/>
      <c r="E1103" s="1043">
        <v>2.4300000000000002</v>
      </c>
      <c r="F1103" s="1043"/>
      <c r="G1103" s="1550"/>
    </row>
    <row r="1104" spans="1:7">
      <c r="A1104" s="1754">
        <v>39115</v>
      </c>
      <c r="B1104" s="125" t="str">
        <f>TiposLancamentos!B15</f>
        <v>Cartões de Crédito</v>
      </c>
      <c r="C1104" s="1040" t="s">
        <v>5142</v>
      </c>
      <c r="D1104" s="1736"/>
      <c r="E1104" s="1043">
        <v>1299.02</v>
      </c>
      <c r="F1104" s="1043"/>
      <c r="G1104" s="1550"/>
    </row>
    <row r="1105" spans="1:7">
      <c r="A1105" s="1754">
        <v>39115</v>
      </c>
      <c r="B1105" s="125" t="str">
        <f>TiposLancamentos!B15</f>
        <v>Cartões de Crédito</v>
      </c>
      <c r="C1105" s="1040" t="s">
        <v>5414</v>
      </c>
      <c r="D1105" s="1736"/>
      <c r="E1105" s="1043">
        <v>563.15</v>
      </c>
      <c r="F1105" s="1043"/>
      <c r="G1105" s="1550"/>
    </row>
    <row r="1106" spans="1:7">
      <c r="A1106" s="1754">
        <v>39115</v>
      </c>
      <c r="B1106" s="125" t="str">
        <f>TiposLancamentos!B4</f>
        <v>Taxas Bancarias</v>
      </c>
      <c r="C1106" s="1040" t="s">
        <v>4853</v>
      </c>
      <c r="D1106" s="1736"/>
      <c r="E1106" s="1043">
        <v>4.2699999999999996</v>
      </c>
      <c r="F1106" s="1043"/>
      <c r="G1106" s="1550"/>
    </row>
    <row r="1107" spans="1:7">
      <c r="A1107" s="1754">
        <v>39116</v>
      </c>
      <c r="B1107" s="125" t="str">
        <f>TiposLancamentos!B5</f>
        <v>Supermercado</v>
      </c>
      <c r="C1107" s="1040" t="s">
        <v>2567</v>
      </c>
      <c r="D1107" s="1736"/>
      <c r="E1107" s="1043">
        <v>14.92</v>
      </c>
      <c r="F1107" s="1043"/>
      <c r="G1107" s="1550"/>
    </row>
    <row r="1108" spans="1:7">
      <c r="A1108" s="1754">
        <v>39118</v>
      </c>
      <c r="B1108" s="125" t="str">
        <f>TiposLancamentos!B5</f>
        <v>Supermercado</v>
      </c>
      <c r="C1108" s="1040" t="s">
        <v>5191</v>
      </c>
      <c r="D1108" s="1736"/>
      <c r="E1108" s="1043">
        <v>55.61</v>
      </c>
      <c r="F1108" s="1043"/>
      <c r="G1108" s="1550"/>
    </row>
    <row r="1109" spans="1:7">
      <c r="A1109" s="1754">
        <v>39118</v>
      </c>
      <c r="B1109" s="125" t="str">
        <f>TiposLancamentos!B2</f>
        <v>Telefonia</v>
      </c>
      <c r="C1109" s="1040" t="s">
        <v>4832</v>
      </c>
      <c r="D1109" s="1736"/>
      <c r="E1109" s="1043">
        <v>9.7200000000000006</v>
      </c>
      <c r="F1109" s="1043"/>
      <c r="G1109" s="1550"/>
    </row>
    <row r="1110" spans="1:7">
      <c r="A1110" s="1754">
        <v>39119</v>
      </c>
      <c r="B1110" s="125" t="str">
        <f>TiposLancamentos!B71</f>
        <v>Itens Pessoais</v>
      </c>
      <c r="C1110" s="1040" t="s">
        <v>5415</v>
      </c>
      <c r="D1110" s="1736"/>
      <c r="E1110" s="1043">
        <v>12</v>
      </c>
      <c r="F1110" s="1043"/>
      <c r="G1110" s="1550"/>
    </row>
    <row r="1111" spans="1:7">
      <c r="A1111" s="1754">
        <v>39119</v>
      </c>
      <c r="B1111" s="125" t="str">
        <f>TiposLancamentos!B58</f>
        <v>Fotografias</v>
      </c>
      <c r="C1111" s="1040" t="s">
        <v>5416</v>
      </c>
      <c r="D1111" s="1736"/>
      <c r="E1111" s="1043">
        <v>10.68</v>
      </c>
      <c r="F1111" s="1043"/>
      <c r="G1111" s="1550"/>
    </row>
    <row r="1112" spans="1:7">
      <c r="A1112" s="1754">
        <v>39120</v>
      </c>
      <c r="B1112" s="125" t="str">
        <f>TiposLancamentos!B5</f>
        <v>Supermercado</v>
      </c>
      <c r="C1112" s="1040" t="s">
        <v>2567</v>
      </c>
      <c r="D1112" s="1736"/>
      <c r="E1112" s="1043">
        <v>28.05</v>
      </c>
      <c r="F1112" s="1043"/>
      <c r="G1112" s="1550"/>
    </row>
    <row r="1113" spans="1:7">
      <c r="A1113" s="1754">
        <v>39120</v>
      </c>
      <c r="B1113" s="125" t="str">
        <f>TiposLancamentos!B19</f>
        <v>Restaurantes</v>
      </c>
      <c r="C1113" s="1040" t="s">
        <v>3329</v>
      </c>
      <c r="D1113" s="1736"/>
      <c r="E1113" s="1043">
        <v>3.95</v>
      </c>
      <c r="F1113" s="1043"/>
      <c r="G1113" s="1550"/>
    </row>
    <row r="1114" spans="1:7">
      <c r="A1114" s="1754">
        <v>39121</v>
      </c>
      <c r="B1114" s="125" t="str">
        <f>TiposLancamentos!B5</f>
        <v>Supermercado</v>
      </c>
      <c r="C1114" s="1040" t="s">
        <v>5417</v>
      </c>
      <c r="D1114" s="1736"/>
      <c r="E1114" s="1043">
        <v>12.12</v>
      </c>
      <c r="F1114" s="1043"/>
      <c r="G1114" s="1550"/>
    </row>
    <row r="1115" spans="1:7">
      <c r="A1115" s="1754">
        <v>39121</v>
      </c>
      <c r="B1115" s="125" t="str">
        <f>TiposLancamentos!B27</f>
        <v>Jornais e revistas</v>
      </c>
      <c r="C1115" s="1040" t="s">
        <v>5418</v>
      </c>
      <c r="D1115" s="1736"/>
      <c r="E1115" s="1043">
        <v>45.9</v>
      </c>
      <c r="F1115" s="1043"/>
      <c r="G1115" s="1550"/>
    </row>
    <row r="1116" spans="1:7">
      <c r="A1116" s="1754">
        <v>39121</v>
      </c>
      <c r="B1116" s="125" t="str">
        <f>TiposLancamentos!B20</f>
        <v>Saques</v>
      </c>
      <c r="C1116" s="1040" t="s">
        <v>2668</v>
      </c>
      <c r="D1116" s="1736"/>
      <c r="E1116" s="1043">
        <v>10</v>
      </c>
      <c r="F1116" s="1043"/>
      <c r="G1116" s="1550"/>
    </row>
    <row r="1117" spans="1:7">
      <c r="A1117" s="1754">
        <v>39121</v>
      </c>
      <c r="B1117" s="125" t="str">
        <f>TiposLancamentos!B17</f>
        <v>GATO</v>
      </c>
      <c r="C1117" s="1040" t="s">
        <v>5419</v>
      </c>
      <c r="D1117" s="1736"/>
      <c r="E1117" s="1043">
        <v>76.959999999999994</v>
      </c>
      <c r="F1117" s="1043"/>
      <c r="G1117" s="1550"/>
    </row>
    <row r="1118" spans="1:7">
      <c r="A1118" s="1754">
        <v>39121</v>
      </c>
      <c r="B1118" s="125" t="str">
        <f>TiposLancamentos!B19</f>
        <v>Restaurantes</v>
      </c>
      <c r="C1118" s="1040" t="s">
        <v>5420</v>
      </c>
      <c r="D1118" s="1736"/>
      <c r="E1118" s="1043">
        <v>43.2</v>
      </c>
      <c r="F1118" s="1043"/>
      <c r="G1118" s="1550"/>
    </row>
    <row r="1119" spans="1:7">
      <c r="A1119" s="1754">
        <v>39122</v>
      </c>
      <c r="B1119" s="125" t="str">
        <f>TiposLancamentos!B22</f>
        <v>Combustivel</v>
      </c>
      <c r="C1119" s="1040" t="s">
        <v>3381</v>
      </c>
      <c r="D1119" s="1736"/>
      <c r="E1119" s="1043">
        <v>64.010000000000005</v>
      </c>
      <c r="F1119" s="1043"/>
      <c r="G1119" s="1550"/>
    </row>
    <row r="1120" spans="1:7">
      <c r="A1120" s="1754">
        <v>39122</v>
      </c>
      <c r="B1120" s="125" t="str">
        <f>TiposLancamentos!B19</f>
        <v>Restaurantes</v>
      </c>
      <c r="C1120" s="1040" t="s">
        <v>5421</v>
      </c>
      <c r="D1120" s="1736"/>
      <c r="E1120" s="1043">
        <v>21.95</v>
      </c>
      <c r="F1120" s="1043"/>
      <c r="G1120" s="1550"/>
    </row>
    <row r="1121" spans="1:7">
      <c r="A1121" s="1754">
        <v>39123</v>
      </c>
      <c r="B1121" s="125" t="str">
        <f>TiposLancamentos!B16</f>
        <v>Cristiane</v>
      </c>
      <c r="C1121" s="1040" t="s">
        <v>5422</v>
      </c>
      <c r="D1121" s="1736"/>
      <c r="E1121" s="1043">
        <v>50</v>
      </c>
      <c r="F1121" s="1043"/>
      <c r="G1121" s="1550"/>
    </row>
    <row r="1122" spans="1:7">
      <c r="A1122" s="1754">
        <v>39123</v>
      </c>
      <c r="B1122" s="125" t="str">
        <f>TiposLancamentos!B16</f>
        <v>Cristiane</v>
      </c>
      <c r="C1122" s="1040" t="s">
        <v>5423</v>
      </c>
      <c r="D1122" s="1736"/>
      <c r="E1122" s="1043">
        <v>35.9</v>
      </c>
      <c r="F1122" s="1043"/>
      <c r="G1122" s="1550"/>
    </row>
    <row r="1123" spans="1:7">
      <c r="A1123" s="1754">
        <v>39124</v>
      </c>
      <c r="B1123" s="125" t="str">
        <f>TiposLancamentos!B22</f>
        <v>Combustivel</v>
      </c>
      <c r="C1123" s="1040" t="s">
        <v>5424</v>
      </c>
      <c r="D1123" s="1736"/>
      <c r="E1123" s="1043">
        <v>98.49</v>
      </c>
      <c r="F1123" s="1043"/>
      <c r="G1123" s="1550"/>
    </row>
    <row r="1124" spans="1:7">
      <c r="A1124" s="1754">
        <v>39124</v>
      </c>
      <c r="B1124" s="125" t="str">
        <f>TiposLancamentos!B18</f>
        <v>Alimentacao</v>
      </c>
      <c r="C1124" s="1040" t="s">
        <v>2912</v>
      </c>
      <c r="D1124" s="1736"/>
      <c r="E1124" s="1043">
        <v>6.4</v>
      </c>
      <c r="F1124" s="1043"/>
      <c r="G1124" s="1550"/>
    </row>
    <row r="1125" spans="1:7">
      <c r="A1125" s="1754">
        <v>39125</v>
      </c>
      <c r="B1125" s="125" t="str">
        <f>TiposLancamentos!B20</f>
        <v>Saques</v>
      </c>
      <c r="C1125" s="1040" t="s">
        <v>2668</v>
      </c>
      <c r="D1125" s="1736"/>
      <c r="E1125" s="1043">
        <v>10</v>
      </c>
      <c r="F1125" s="1043"/>
      <c r="G1125" s="1550"/>
    </row>
    <row r="1126" spans="1:7">
      <c r="A1126" s="1754">
        <v>39125</v>
      </c>
      <c r="B1126" s="125" t="str">
        <f>TiposLancamentos!B19</f>
        <v>Restaurantes</v>
      </c>
      <c r="C1126" s="1040" t="s">
        <v>5002</v>
      </c>
      <c r="D1126" s="1736"/>
      <c r="E1126" s="1043">
        <v>15.2</v>
      </c>
      <c r="F1126" s="1043"/>
      <c r="G1126" s="1550"/>
    </row>
    <row r="1127" spans="1:7">
      <c r="A1127" s="1754">
        <v>39125</v>
      </c>
      <c r="B1127" s="125" t="str">
        <f>TiposLancamentos!B4</f>
        <v>Taxas Bancarias</v>
      </c>
      <c r="C1127" s="1040" t="s">
        <v>5425</v>
      </c>
      <c r="D1127" s="1736"/>
      <c r="E1127" s="1043">
        <v>92.52</v>
      </c>
      <c r="F1127" s="1043"/>
      <c r="G1127" s="1550"/>
    </row>
    <row r="1128" spans="1:7">
      <c r="A1128" s="1754">
        <v>39125</v>
      </c>
      <c r="B1128" s="125" t="str">
        <f>TiposLancamentos!B85</f>
        <v>Peugeout 206</v>
      </c>
      <c r="C1128" s="1040" t="s">
        <v>5426</v>
      </c>
      <c r="D1128" s="1736"/>
      <c r="E1128" s="1043">
        <v>955.67</v>
      </c>
      <c r="F1128" s="1043"/>
      <c r="G1128" s="1550"/>
    </row>
    <row r="1129" spans="1:7">
      <c r="A1129" s="1754">
        <v>39125</v>
      </c>
      <c r="B1129" s="125" t="str">
        <f>TiposLancamentos!B18</f>
        <v>Alimentacao</v>
      </c>
      <c r="C1129" s="1040" t="s">
        <v>3254</v>
      </c>
      <c r="D1129" s="1736"/>
      <c r="E1129" s="1043">
        <v>25.65</v>
      </c>
      <c r="F1129" s="1043"/>
      <c r="G1129" s="1550"/>
    </row>
    <row r="1130" spans="1:7">
      <c r="A1130" s="1754">
        <v>39126</v>
      </c>
      <c r="B1130" s="125" t="str">
        <f>TiposLancamentos!B4</f>
        <v>Taxas Bancarias</v>
      </c>
      <c r="C1130" s="1040" t="s">
        <v>4853</v>
      </c>
      <c r="D1130" s="1736"/>
      <c r="E1130" s="1043">
        <v>26.36</v>
      </c>
      <c r="F1130" s="1043"/>
      <c r="G1130" s="1550"/>
    </row>
    <row r="1131" spans="1:7">
      <c r="A1131" s="1754">
        <v>39126</v>
      </c>
      <c r="B1131" s="125" t="str">
        <f>TiposLancamentos!B19</f>
        <v>Restaurantes</v>
      </c>
      <c r="C1131" s="1040" t="s">
        <v>5427</v>
      </c>
      <c r="D1131" s="1736"/>
      <c r="E1131" s="1043">
        <v>3.95</v>
      </c>
      <c r="F1131" s="1043"/>
      <c r="G1131" s="1550"/>
    </row>
    <row r="1132" spans="1:7">
      <c r="A1132" s="1754">
        <v>39127</v>
      </c>
      <c r="B1132" s="125" t="str">
        <f>TiposLancamentos!B5</f>
        <v>Supermercado</v>
      </c>
      <c r="C1132" s="1040" t="s">
        <v>3361</v>
      </c>
      <c r="D1132" s="1736"/>
      <c r="E1132" s="1043">
        <v>28.36</v>
      </c>
      <c r="F1132" s="1043"/>
      <c r="G1132" s="1550"/>
    </row>
    <row r="1133" spans="1:7">
      <c r="A1133" s="1754">
        <v>39127</v>
      </c>
      <c r="B1133" s="125" t="str">
        <f>TiposLancamentos!B20</f>
        <v>Saques</v>
      </c>
      <c r="C1133" s="1040" t="s">
        <v>2655</v>
      </c>
      <c r="D1133" s="1736"/>
      <c r="E1133" s="1043">
        <v>10</v>
      </c>
      <c r="F1133" s="1043"/>
      <c r="G1133" s="1550"/>
    </row>
    <row r="1134" spans="1:7">
      <c r="A1134" s="1754">
        <v>39128</v>
      </c>
      <c r="B1134" s="125" t="str">
        <f>TiposLancamentos!B95</f>
        <v>Salarios</v>
      </c>
      <c r="C1134" s="1040" t="s">
        <v>4916</v>
      </c>
      <c r="D1134" s="1736">
        <v>1689.1</v>
      </c>
      <c r="E1134" s="1043"/>
      <c r="F1134" s="1043"/>
      <c r="G1134" s="1550"/>
    </row>
    <row r="1135" spans="1:7">
      <c r="A1135" s="1754">
        <v>39128</v>
      </c>
      <c r="B1135" s="125" t="str">
        <f>TiposLancamentos!B33</f>
        <v>Pedágios</v>
      </c>
      <c r="C1135" s="1040" t="s">
        <v>5428</v>
      </c>
      <c r="D1135" s="1736"/>
      <c r="E1135" s="1043">
        <v>121.36</v>
      </c>
      <c r="F1135" s="1043"/>
      <c r="G1135" s="1550"/>
    </row>
    <row r="1136" spans="1:7">
      <c r="A1136" s="1754">
        <v>39128</v>
      </c>
      <c r="B1136" s="125" t="str">
        <f>TiposLancamentos!B84</f>
        <v>Cbx Twister 250</v>
      </c>
      <c r="C1136" s="1040" t="s">
        <v>5429</v>
      </c>
      <c r="D1136" s="1736"/>
      <c r="E1136" s="1043">
        <v>1136.23</v>
      </c>
      <c r="F1136" s="1043"/>
      <c r="G1136" s="1550"/>
    </row>
    <row r="1137" spans="1:7">
      <c r="A1137" s="1754">
        <v>39128</v>
      </c>
      <c r="B1137" s="125" t="str">
        <f>TiposLancamentos!B57</f>
        <v>Informática</v>
      </c>
      <c r="C1137" s="1040" t="s">
        <v>5430</v>
      </c>
      <c r="D1137" s="1736"/>
      <c r="E1137" s="1043">
        <v>261.89</v>
      </c>
      <c r="F1137" s="1043"/>
      <c r="G1137" s="1550"/>
    </row>
    <row r="1138" spans="1:7">
      <c r="A1138" s="1754">
        <v>39128</v>
      </c>
      <c r="B1138" s="125" t="str">
        <f>TiposLancamentos!B57</f>
        <v>Informática</v>
      </c>
      <c r="C1138" s="1040" t="s">
        <v>5431</v>
      </c>
      <c r="D1138" s="1736"/>
      <c r="E1138" s="1043">
        <v>280</v>
      </c>
      <c r="F1138" s="1043"/>
      <c r="G1138" s="1550"/>
    </row>
    <row r="1139" spans="1:7">
      <c r="A1139" s="1754">
        <v>39128</v>
      </c>
      <c r="B1139" s="125" t="str">
        <f>TiposLancamentos!B84</f>
        <v>Cbx Twister 250</v>
      </c>
      <c r="C1139" s="1040" t="s">
        <v>5432</v>
      </c>
      <c r="D1139" s="1736"/>
      <c r="E1139" s="1043">
        <v>51.92</v>
      </c>
      <c r="F1139" s="1043"/>
      <c r="G1139" s="1550"/>
    </row>
    <row r="1140" spans="1:7">
      <c r="A1140" s="1754">
        <v>39130</v>
      </c>
      <c r="B1140" s="125" t="str">
        <f>TiposLancamentos!B19</f>
        <v>Restaurantes</v>
      </c>
      <c r="C1140" s="1040" t="s">
        <v>3254</v>
      </c>
      <c r="D1140" s="1736"/>
      <c r="E1140" s="1043">
        <v>11.86</v>
      </c>
      <c r="F1140" s="1043"/>
      <c r="G1140" s="1550"/>
    </row>
    <row r="1141" spans="1:7">
      <c r="A1141" s="1754">
        <v>39132</v>
      </c>
      <c r="B1141" s="125" t="str">
        <f>TiposLancamentos!B20</f>
        <v>Saques</v>
      </c>
      <c r="C1141" s="1040" t="s">
        <v>2668</v>
      </c>
      <c r="D1141" s="1736"/>
      <c r="E1141" s="1043">
        <v>20</v>
      </c>
      <c r="F1141" s="1043"/>
      <c r="G1141" s="1550"/>
    </row>
    <row r="1142" spans="1:7">
      <c r="A1142" s="1754">
        <v>39132</v>
      </c>
      <c r="B1142" s="125" t="str">
        <f>TiposLancamentos!B8</f>
        <v>Aluguel</v>
      </c>
      <c r="C1142" s="1040" t="s">
        <v>5433</v>
      </c>
      <c r="D1142" s="1736"/>
      <c r="E1142" s="1043">
        <v>637.63</v>
      </c>
      <c r="F1142" s="1043"/>
      <c r="G1142" s="1550"/>
    </row>
    <row r="1143" spans="1:7">
      <c r="A1143" s="1754">
        <v>39134</v>
      </c>
      <c r="B1143" s="125" t="str">
        <f>TiposLancamentos!B85</f>
        <v>Peugeout 206</v>
      </c>
      <c r="C1143" s="1040" t="s">
        <v>5434</v>
      </c>
      <c r="D1143" s="1736"/>
      <c r="E1143" s="1043">
        <v>747.83</v>
      </c>
      <c r="F1143" s="1043"/>
      <c r="G1143" s="1550"/>
    </row>
    <row r="1144" spans="1:7">
      <c r="A1144" s="1754">
        <v>39135</v>
      </c>
      <c r="B1144" s="125" t="str">
        <f>TiposLancamentos!B20</f>
        <v>Saques</v>
      </c>
      <c r="C1144" s="1040" t="s">
        <v>2668</v>
      </c>
      <c r="D1144" s="1736"/>
      <c r="E1144" s="1043">
        <v>30</v>
      </c>
      <c r="F1144" s="1043"/>
      <c r="G1144" s="1550"/>
    </row>
    <row r="1145" spans="1:7">
      <c r="A1145" s="1754">
        <v>39135</v>
      </c>
      <c r="B1145" s="125" t="str">
        <f>TiposLancamentos!B4</f>
        <v>Taxas Bancarias</v>
      </c>
      <c r="C1145" s="1040" t="s">
        <v>4853</v>
      </c>
      <c r="D1145" s="1736"/>
      <c r="E1145" s="1043">
        <v>12.33</v>
      </c>
      <c r="F1145" s="1043"/>
      <c r="G1145" s="1550"/>
    </row>
    <row r="1146" spans="1:7">
      <c r="A1146" s="1754">
        <v>39137</v>
      </c>
      <c r="B1146" s="125" t="str">
        <f>TiposLancamentos!B20</f>
        <v>Saques</v>
      </c>
      <c r="C1146" s="1040" t="s">
        <v>2668</v>
      </c>
      <c r="D1146" s="1736"/>
      <c r="E1146" s="1043">
        <v>30</v>
      </c>
      <c r="F1146" s="1043"/>
      <c r="G1146" s="1550"/>
    </row>
    <row r="1147" spans="1:7">
      <c r="A1147" s="1754">
        <v>39137</v>
      </c>
      <c r="B1147" s="125" t="str">
        <f>TiposLancamentos!B20</f>
        <v>Saques</v>
      </c>
      <c r="C1147" s="1040" t="s">
        <v>2668</v>
      </c>
      <c r="D1147" s="1736"/>
      <c r="E1147" s="1043">
        <v>10</v>
      </c>
      <c r="F1147" s="1043"/>
      <c r="G1147" s="1550"/>
    </row>
    <row r="1148" spans="1:7">
      <c r="A1148" s="1754">
        <v>39141</v>
      </c>
      <c r="B1148" s="125" t="str">
        <f>TiposLancamentos!B95</f>
        <v>Salarios</v>
      </c>
      <c r="C1148" s="1040" t="s">
        <v>5435</v>
      </c>
      <c r="D1148" s="1736">
        <v>1930.4</v>
      </c>
      <c r="E1148" s="1043"/>
      <c r="F1148" s="1043"/>
      <c r="G1148" s="1550"/>
    </row>
    <row r="1149" spans="1:7">
      <c r="A1149" s="1754">
        <v>39141</v>
      </c>
      <c r="B1149" s="125" t="str">
        <f>TiposLancamentos!B95</f>
        <v>Salarios</v>
      </c>
      <c r="C1149" s="1040" t="s">
        <v>4939</v>
      </c>
      <c r="D1149" s="1736">
        <v>6586.72</v>
      </c>
      <c r="E1149" s="1043"/>
      <c r="F1149" s="1043"/>
      <c r="G1149" s="1550"/>
    </row>
    <row r="1150" spans="1:7">
      <c r="A1150" s="1754">
        <v>39141</v>
      </c>
      <c r="B1150" s="125" t="str">
        <f>TiposLancamentos!B20</f>
        <v>Saques</v>
      </c>
      <c r="C1150" s="1040" t="s">
        <v>2655</v>
      </c>
      <c r="D1150" s="1736"/>
      <c r="E1150" s="1043">
        <v>270</v>
      </c>
      <c r="F1150" s="1043"/>
      <c r="G1150" s="1550"/>
    </row>
    <row r="1151" spans="1:7">
      <c r="A1151" s="1754">
        <v>39141</v>
      </c>
      <c r="B1151" s="125" t="str">
        <f>TiposLancamentos!B58</f>
        <v>Fotografias</v>
      </c>
      <c r="C1151" s="1040" t="s">
        <v>5259</v>
      </c>
      <c r="D1151" s="1736"/>
      <c r="E1151" s="1043">
        <v>10.3</v>
      </c>
      <c r="F1151" s="1043"/>
      <c r="G1151" s="1550"/>
    </row>
    <row r="1152" spans="1:7" ht="14.25" thickBot="1">
      <c r="A1152" s="1754">
        <v>39141</v>
      </c>
      <c r="B1152" s="125" t="str">
        <f>TiposLancamentos!B57</f>
        <v>Informática</v>
      </c>
      <c r="C1152" s="1040" t="s">
        <v>5436</v>
      </c>
      <c r="D1152" s="1736"/>
      <c r="E1152" s="1043">
        <v>35</v>
      </c>
      <c r="F1152" s="1043"/>
      <c r="G1152" s="1550"/>
    </row>
    <row r="1153" spans="1:7">
      <c r="A1153" s="1834"/>
      <c r="B1153" s="977"/>
      <c r="C1153" s="1854" t="s">
        <v>5437</v>
      </c>
      <c r="D1153" s="1823"/>
      <c r="E1153" s="1821"/>
      <c r="F1153" s="1821"/>
      <c r="G1153" s="1895"/>
    </row>
    <row r="1154" spans="1:7">
      <c r="A1154" s="1754">
        <v>39142</v>
      </c>
      <c r="B1154" s="125" t="str">
        <f>TiposLancamentos!B2</f>
        <v>Telefonia</v>
      </c>
      <c r="C1154" s="1040" t="s">
        <v>5438</v>
      </c>
      <c r="D1154" s="1736"/>
      <c r="E1154" s="1043">
        <v>64.09</v>
      </c>
      <c r="F1154" s="1043"/>
      <c r="G1154" s="1550"/>
    </row>
    <row r="1155" spans="1:7">
      <c r="A1155" s="1754">
        <v>39142</v>
      </c>
      <c r="B1155" s="125" t="str">
        <f>TiposLancamentos!B3</f>
        <v>Internet</v>
      </c>
      <c r="C1155" s="1040" t="s">
        <v>4987</v>
      </c>
      <c r="D1155" s="1736"/>
      <c r="E1155" s="1043">
        <v>79.900000000000006</v>
      </c>
      <c r="F1155" s="1043"/>
      <c r="G1155" s="1550"/>
    </row>
    <row r="1156" spans="1:7">
      <c r="A1156" s="1754">
        <v>39142</v>
      </c>
      <c r="B1156" s="125" t="str">
        <f>TiposLancamentos!B59</f>
        <v>Documentos</v>
      </c>
      <c r="C1156" s="1040" t="s">
        <v>5439</v>
      </c>
      <c r="D1156" s="1736"/>
      <c r="E1156" s="1043">
        <v>190</v>
      </c>
      <c r="F1156" s="1043"/>
      <c r="G1156" s="1550"/>
    </row>
    <row r="1157" spans="1:7">
      <c r="A1157" s="1754">
        <v>39142</v>
      </c>
      <c r="B1157" s="125" t="str">
        <f>TiposLancamentos!B9</f>
        <v>Condominio</v>
      </c>
      <c r="C1157" s="1040" t="s">
        <v>1684</v>
      </c>
      <c r="D1157" s="1736"/>
      <c r="E1157" s="1043">
        <v>576.61</v>
      </c>
      <c r="F1157" s="1043"/>
      <c r="G1157" s="1550"/>
    </row>
    <row r="1158" spans="1:7">
      <c r="A1158" s="1754">
        <v>39142</v>
      </c>
      <c r="B1158" s="125" t="str">
        <f>TiposLancamentos!B34</f>
        <v>Seguros</v>
      </c>
      <c r="C1158" s="1040" t="s">
        <v>5440</v>
      </c>
      <c r="D1158" s="1736"/>
      <c r="E1158" s="1043">
        <v>583.37</v>
      </c>
      <c r="F1158" s="1043"/>
      <c r="G1158" s="1550"/>
    </row>
    <row r="1159" spans="1:7">
      <c r="A1159" s="1754">
        <v>39142</v>
      </c>
      <c r="B1159" s="125" t="str">
        <f>TiposLancamentos!B4</f>
        <v>Taxas Bancarias</v>
      </c>
      <c r="C1159" s="1040" t="s">
        <v>4858</v>
      </c>
      <c r="D1159" s="1736"/>
      <c r="E1159" s="1043">
        <v>1.07</v>
      </c>
      <c r="F1159" s="1043"/>
      <c r="G1159" s="1550"/>
    </row>
    <row r="1160" spans="1:7">
      <c r="A1160" s="1754">
        <v>39142</v>
      </c>
      <c r="B1160" s="125" t="str">
        <f>TiposLancamentos!B4</f>
        <v>Taxas Bancarias</v>
      </c>
      <c r="C1160" s="1040" t="s">
        <v>5207</v>
      </c>
      <c r="D1160" s="1736"/>
      <c r="E1160" s="1043">
        <v>5.64</v>
      </c>
      <c r="F1160" s="1043"/>
      <c r="G1160" s="1550"/>
    </row>
    <row r="1161" spans="1:7">
      <c r="A1161" s="1754">
        <v>39143</v>
      </c>
      <c r="B1161" s="125" t="str">
        <f>TiposLancamentos!B15</f>
        <v>Cartões de Crédito</v>
      </c>
      <c r="C1161" s="1040" t="s">
        <v>5376</v>
      </c>
      <c r="D1161" s="1736"/>
      <c r="E1161" s="1043">
        <v>563.16999999999996</v>
      </c>
      <c r="F1161" s="1043"/>
      <c r="G1161" s="1550"/>
    </row>
    <row r="1162" spans="1:7">
      <c r="A1162" s="1754">
        <v>39143</v>
      </c>
      <c r="B1162" s="125" t="str">
        <f>TiposLancamentos!B15</f>
        <v>Cartões de Crédito</v>
      </c>
      <c r="C1162" s="1040" t="s">
        <v>5142</v>
      </c>
      <c r="D1162" s="1736"/>
      <c r="E1162" s="1043">
        <v>820.02</v>
      </c>
      <c r="F1162" s="1043"/>
      <c r="G1162" s="1550"/>
    </row>
    <row r="1163" spans="1:7">
      <c r="A1163" s="1754">
        <v>39143</v>
      </c>
      <c r="B1163" s="125" t="str">
        <f>TiposLancamentos!B19</f>
        <v>Restaurantes</v>
      </c>
      <c r="C1163" s="1040" t="s">
        <v>3287</v>
      </c>
      <c r="D1163" s="1736"/>
      <c r="E1163" s="1043">
        <v>15</v>
      </c>
      <c r="F1163" s="1043"/>
      <c r="G1163" s="1550"/>
    </row>
    <row r="1164" spans="1:7">
      <c r="A1164" s="1754">
        <v>39143</v>
      </c>
      <c r="B1164" s="125" t="str">
        <f>TiposLancamentos!B4</f>
        <v>Taxas Bancarias</v>
      </c>
      <c r="C1164" s="1040" t="s">
        <v>4853</v>
      </c>
      <c r="D1164" s="1736"/>
      <c r="E1164" s="1043">
        <v>6.64</v>
      </c>
      <c r="F1164" s="1043"/>
      <c r="G1164" s="1550"/>
    </row>
    <row r="1165" spans="1:7">
      <c r="A1165" s="1754">
        <v>39143</v>
      </c>
      <c r="B1165" s="125" t="str">
        <f>TiposLancamentos!B19</f>
        <v>Restaurantes</v>
      </c>
      <c r="C1165" s="1040" t="s">
        <v>5441</v>
      </c>
      <c r="D1165" s="1736"/>
      <c r="E1165" s="1043">
        <v>37.4</v>
      </c>
      <c r="F1165" s="1043"/>
      <c r="G1165" s="1550"/>
    </row>
    <row r="1166" spans="1:7">
      <c r="A1166" s="1754">
        <v>39144</v>
      </c>
      <c r="B1166" s="125" t="str">
        <f>TiposLancamentos!B20</f>
        <v>Saques</v>
      </c>
      <c r="C1166" s="1040" t="s">
        <v>2876</v>
      </c>
      <c r="D1166" s="1736"/>
      <c r="E1166" s="1043">
        <v>60</v>
      </c>
      <c r="F1166" s="1043"/>
      <c r="G1166" s="1550"/>
    </row>
    <row r="1167" spans="1:7">
      <c r="A1167" s="1754">
        <v>39144</v>
      </c>
      <c r="B1167" s="125" t="str">
        <f>TiposLancamentos!B16</f>
        <v>Cristiane</v>
      </c>
      <c r="C1167" s="1040" t="s">
        <v>5442</v>
      </c>
      <c r="D1167" s="1736"/>
      <c r="E1167" s="1043">
        <v>49</v>
      </c>
      <c r="F1167" s="1043"/>
      <c r="G1167" s="1550"/>
    </row>
    <row r="1168" spans="1:7">
      <c r="A1168" s="1754">
        <v>39144</v>
      </c>
      <c r="B1168" s="125" t="str">
        <f>TiposLancamentos!B22</f>
        <v>Combustivel</v>
      </c>
      <c r="C1168" s="1040" t="s">
        <v>3331</v>
      </c>
      <c r="D1168" s="1736"/>
      <c r="E1168" s="1043">
        <v>50</v>
      </c>
      <c r="F1168" s="1043"/>
      <c r="G1168" s="1550"/>
    </row>
    <row r="1169" spans="1:7">
      <c r="A1169" s="1754">
        <v>39144</v>
      </c>
      <c r="B1169" s="125" t="str">
        <f>TiposLancamentos!B56</f>
        <v>Farmácia</v>
      </c>
      <c r="C1169" s="1040" t="s">
        <v>5443</v>
      </c>
      <c r="D1169" s="1736"/>
      <c r="E1169" s="1043">
        <v>101.07</v>
      </c>
      <c r="F1169" s="1043"/>
      <c r="G1169" s="1550"/>
    </row>
    <row r="1170" spans="1:7">
      <c r="A1170" s="1754">
        <v>39145</v>
      </c>
      <c r="B1170" s="125" t="str">
        <f>TiposLancamentos!B19</f>
        <v>Restaurantes</v>
      </c>
      <c r="C1170" s="1040" t="s">
        <v>2934</v>
      </c>
      <c r="D1170" s="1736"/>
      <c r="E1170" s="1043">
        <v>19.829999999999998</v>
      </c>
      <c r="F1170" s="1043"/>
      <c r="G1170" s="1550"/>
    </row>
    <row r="1171" spans="1:7">
      <c r="A1171" s="1754">
        <v>39145</v>
      </c>
      <c r="B1171" s="125" t="str">
        <f>TiposLancamentos!B56</f>
        <v>Farmácia</v>
      </c>
      <c r="C1171" s="1040" t="s">
        <v>5444</v>
      </c>
      <c r="D1171" s="1736"/>
      <c r="E1171" s="1043">
        <v>14.28</v>
      </c>
      <c r="F1171" s="1043"/>
      <c r="G1171" s="1550"/>
    </row>
    <row r="1172" spans="1:7">
      <c r="A1172" s="1754">
        <v>39145</v>
      </c>
      <c r="B1172" s="125" t="str">
        <f>TiposLancamentos!B19</f>
        <v>Restaurantes</v>
      </c>
      <c r="C1172" s="1040" t="s">
        <v>3029</v>
      </c>
      <c r="D1172" s="1736"/>
      <c r="E1172" s="1043">
        <v>22.73</v>
      </c>
      <c r="F1172" s="1043"/>
      <c r="G1172" s="1550"/>
    </row>
    <row r="1173" spans="1:7">
      <c r="A1173" s="1754">
        <v>39146</v>
      </c>
      <c r="B1173" s="125" t="str">
        <f>TiposLancamentos!B17</f>
        <v>GATO</v>
      </c>
      <c r="C1173" s="1040" t="s">
        <v>5445</v>
      </c>
      <c r="D1173" s="1736"/>
      <c r="E1173" s="1043">
        <v>40</v>
      </c>
      <c r="F1173" s="1043"/>
      <c r="G1173" s="1550"/>
    </row>
    <row r="1174" spans="1:7">
      <c r="A1174" s="1754">
        <v>39146</v>
      </c>
      <c r="B1174" s="125" t="str">
        <f>TiposLancamentos!B20</f>
        <v>Saques</v>
      </c>
      <c r="C1174" s="1040" t="s">
        <v>2876</v>
      </c>
      <c r="D1174" s="1736"/>
      <c r="E1174" s="1043">
        <v>30</v>
      </c>
      <c r="F1174" s="1043"/>
      <c r="G1174" s="1550"/>
    </row>
    <row r="1175" spans="1:7">
      <c r="A1175" s="1754">
        <v>39146</v>
      </c>
      <c r="B1175" s="125" t="str">
        <f>TiposLancamentos!B20</f>
        <v>Saques</v>
      </c>
      <c r="C1175" s="1040" t="s">
        <v>3780</v>
      </c>
      <c r="D1175" s="1736"/>
      <c r="E1175" s="1043">
        <v>60</v>
      </c>
      <c r="F1175" s="1043"/>
      <c r="G1175" s="1550"/>
    </row>
    <row r="1176" spans="1:7">
      <c r="A1176" s="1754">
        <v>39146</v>
      </c>
      <c r="B1176" s="125" t="str">
        <f>TiposLancamentos!B19</f>
        <v>Restaurantes</v>
      </c>
      <c r="C1176" s="1040" t="s">
        <v>5002</v>
      </c>
      <c r="D1176" s="1736"/>
      <c r="E1176" s="1043">
        <v>11.25</v>
      </c>
      <c r="F1176" s="1043"/>
      <c r="G1176" s="1550"/>
    </row>
    <row r="1177" spans="1:7">
      <c r="A1177" s="1754">
        <v>39146</v>
      </c>
      <c r="B1177" s="125" t="str">
        <f>TiposLancamentos!B6</f>
        <v>Energia Eletrica</v>
      </c>
      <c r="C1177" s="1040" t="s">
        <v>5446</v>
      </c>
      <c r="D1177" s="1736"/>
      <c r="E1177" s="1043">
        <v>48.77</v>
      </c>
      <c r="F1177" s="1043"/>
      <c r="G1177" s="1550"/>
    </row>
    <row r="1178" spans="1:7">
      <c r="A1178" s="1754">
        <v>39147</v>
      </c>
      <c r="B1178" s="125" t="str">
        <f>TiposLancamentos!B19</f>
        <v>Restaurantes</v>
      </c>
      <c r="C1178" s="1040" t="s">
        <v>5447</v>
      </c>
      <c r="D1178" s="1736"/>
      <c r="E1178" s="1043">
        <v>7.44</v>
      </c>
      <c r="F1178" s="1043"/>
      <c r="G1178" s="1550"/>
    </row>
    <row r="1179" spans="1:7">
      <c r="A1179" s="1666">
        <v>39148</v>
      </c>
      <c r="B1179" s="817" t="str">
        <f>TiposLancamentos!B85</f>
        <v>Peugeout 206</v>
      </c>
      <c r="C1179" s="1742" t="s">
        <v>5448</v>
      </c>
      <c r="D1179" s="1843"/>
      <c r="E1179" s="1839">
        <v>34.9</v>
      </c>
      <c r="F1179" s="1043"/>
      <c r="G1179" s="1550"/>
    </row>
    <row r="1180" spans="1:7">
      <c r="A1180" s="1750">
        <v>39148</v>
      </c>
      <c r="B1180" s="818" t="str">
        <f>TiposLancamentos!B5</f>
        <v>Supermercado</v>
      </c>
      <c r="C1180" s="1743" t="s">
        <v>5449</v>
      </c>
      <c r="D1180" s="1844"/>
      <c r="E1180" s="1840">
        <v>16.489999999999998</v>
      </c>
      <c r="F1180" s="1043"/>
      <c r="G1180" s="1550"/>
    </row>
    <row r="1181" spans="1:7">
      <c r="A1181" s="1754">
        <v>39149</v>
      </c>
      <c r="B1181" s="125" t="str">
        <f>TiposLancamentos!B57</f>
        <v>Informática</v>
      </c>
      <c r="C1181" s="1040" t="s">
        <v>5450</v>
      </c>
      <c r="D1181" s="1736"/>
      <c r="E1181" s="1043">
        <v>210.99</v>
      </c>
      <c r="F1181" s="1043"/>
      <c r="G1181" s="1550"/>
    </row>
    <row r="1182" spans="1:7">
      <c r="A1182" s="1754">
        <v>39149</v>
      </c>
      <c r="B1182" s="125" t="str">
        <f>TiposLancamentos!B19</f>
        <v>Restaurantes</v>
      </c>
      <c r="C1182" s="1040" t="s">
        <v>5002</v>
      </c>
      <c r="D1182" s="1736"/>
      <c r="E1182" s="1043">
        <v>14.75</v>
      </c>
      <c r="F1182" s="1043"/>
      <c r="G1182" s="1550"/>
    </row>
    <row r="1183" spans="1:7">
      <c r="A1183" s="1754">
        <v>39149</v>
      </c>
      <c r="B1183" s="125" t="str">
        <f>TiposLancamentos!B19</f>
        <v>Restaurantes</v>
      </c>
      <c r="C1183" s="1040" t="s">
        <v>5451</v>
      </c>
      <c r="D1183" s="1736"/>
      <c r="E1183" s="1043">
        <v>32.299999999999997</v>
      </c>
      <c r="F1183" s="1043"/>
      <c r="G1183" s="1550"/>
    </row>
    <row r="1184" spans="1:7">
      <c r="A1184" s="1754">
        <v>39149</v>
      </c>
      <c r="B1184" s="125" t="str">
        <f>TiposLancamentos!B27</f>
        <v>Jornais e revistas</v>
      </c>
      <c r="C1184" s="1040" t="s">
        <v>5306</v>
      </c>
      <c r="D1184" s="1736"/>
      <c r="E1184" s="1043">
        <v>45.9</v>
      </c>
      <c r="F1184" s="1043"/>
      <c r="G1184" s="1550"/>
    </row>
    <row r="1185" spans="1:7">
      <c r="A1185" s="1754">
        <v>39150</v>
      </c>
      <c r="B1185" s="125" t="str">
        <f>TiposLancamentos!B19</f>
        <v>Restaurantes</v>
      </c>
      <c r="C1185" s="1040" t="s">
        <v>5452</v>
      </c>
      <c r="D1185" s="1736"/>
      <c r="E1185" s="1043">
        <v>13.39</v>
      </c>
      <c r="F1185" s="1043"/>
      <c r="G1185" s="1550"/>
    </row>
    <row r="1186" spans="1:7">
      <c r="A1186" s="1754">
        <v>39150</v>
      </c>
      <c r="B1186" s="125" t="str">
        <f>TiposLancamentos!B19</f>
        <v>Restaurantes</v>
      </c>
      <c r="C1186" s="1040" t="s">
        <v>5453</v>
      </c>
      <c r="D1186" s="1736"/>
      <c r="E1186" s="1043">
        <v>4.7</v>
      </c>
      <c r="F1186" s="1043"/>
      <c r="G1186" s="1550"/>
    </row>
    <row r="1187" spans="1:7">
      <c r="A1187" s="1754">
        <v>39150</v>
      </c>
      <c r="B1187" s="125" t="str">
        <f>TiposLancamentos!B13</f>
        <v>Moradia</v>
      </c>
      <c r="C1187" s="1040" t="s">
        <v>5454</v>
      </c>
      <c r="D1187" s="1736"/>
      <c r="E1187" s="1043">
        <v>145</v>
      </c>
      <c r="F1187" s="1043"/>
      <c r="G1187" s="1550"/>
    </row>
    <row r="1188" spans="1:7">
      <c r="A1188" s="1754">
        <v>39150</v>
      </c>
      <c r="B1188" s="125" t="str">
        <f>TiposLancamentos!B19</f>
        <v>Restaurantes</v>
      </c>
      <c r="C1188" s="1040" t="s">
        <v>5451</v>
      </c>
      <c r="D1188" s="1736"/>
      <c r="E1188" s="1043">
        <v>24.6</v>
      </c>
      <c r="F1188" s="1043"/>
      <c r="G1188" s="1550"/>
    </row>
    <row r="1189" spans="1:7">
      <c r="A1189" s="1754">
        <v>39151</v>
      </c>
      <c r="B1189" s="125" t="str">
        <f>TiposLancamentos!B57</f>
        <v>Informática</v>
      </c>
      <c r="C1189" s="1040" t="s">
        <v>5455</v>
      </c>
      <c r="D1189" s="1736"/>
      <c r="E1189" s="1043">
        <v>79</v>
      </c>
      <c r="F1189" s="1043"/>
      <c r="G1189" s="1550"/>
    </row>
    <row r="1190" spans="1:7">
      <c r="A1190" s="1754">
        <v>39153</v>
      </c>
      <c r="B1190" s="125" t="str">
        <f>TiposLancamentos!B13</f>
        <v>Moradia</v>
      </c>
      <c r="C1190" s="1040" t="s">
        <v>5456</v>
      </c>
      <c r="D1190" s="1736"/>
      <c r="E1190" s="1043">
        <v>280</v>
      </c>
      <c r="F1190" s="1043"/>
      <c r="G1190" s="1550"/>
    </row>
    <row r="1191" spans="1:7">
      <c r="A1191" s="1754">
        <v>39153</v>
      </c>
      <c r="B1191" s="125" t="str">
        <f>TiposLancamentos!B22</f>
        <v>Combustivel</v>
      </c>
      <c r="C1191" s="1040" t="s">
        <v>5457</v>
      </c>
      <c r="D1191" s="1736"/>
      <c r="E1191" s="1043">
        <v>30</v>
      </c>
      <c r="F1191" s="1043"/>
      <c r="G1191" s="1550"/>
    </row>
    <row r="1192" spans="1:7">
      <c r="A1192" s="1754">
        <v>39153</v>
      </c>
      <c r="B1192" s="125" t="str">
        <f>TiposLancamentos!B13</f>
        <v>Moradia</v>
      </c>
      <c r="C1192" s="1040" t="s">
        <v>5458</v>
      </c>
      <c r="D1192" s="1736"/>
      <c r="E1192" s="1043">
        <v>54.6</v>
      </c>
      <c r="F1192" s="1043"/>
      <c r="G1192" s="1550"/>
    </row>
    <row r="1193" spans="1:7">
      <c r="A1193" s="1754">
        <v>39153</v>
      </c>
      <c r="B1193" s="125" t="str">
        <f>TiposLancamentos!B99</f>
        <v>Venda de algo</v>
      </c>
      <c r="C1193" s="1040" t="s">
        <v>5459</v>
      </c>
      <c r="D1193" s="1736">
        <v>34</v>
      </c>
      <c r="E1193" s="1043"/>
      <c r="F1193" s="1043"/>
      <c r="G1193" s="1550"/>
    </row>
    <row r="1194" spans="1:7">
      <c r="A1194" s="1754">
        <v>39153</v>
      </c>
      <c r="B1194" s="125" t="str">
        <f>TiposLancamentos!B99</f>
        <v>Venda de algo</v>
      </c>
      <c r="C1194" s="1040" t="s">
        <v>5460</v>
      </c>
      <c r="D1194" s="1736">
        <v>23</v>
      </c>
      <c r="E1194" s="1043"/>
      <c r="F1194" s="1043"/>
      <c r="G1194" s="1550"/>
    </row>
    <row r="1195" spans="1:7">
      <c r="A1195" s="1754">
        <v>39153</v>
      </c>
      <c r="B1195" s="125" t="str">
        <f>TiposLancamentos!B99</f>
        <v>Venda de algo</v>
      </c>
      <c r="C1195" s="1040" t="s">
        <v>5461</v>
      </c>
      <c r="D1195" s="1736">
        <v>105</v>
      </c>
      <c r="E1195" s="1043"/>
      <c r="F1195" s="1043"/>
      <c r="G1195" s="1550"/>
    </row>
    <row r="1196" spans="1:7">
      <c r="A1196" s="1754">
        <v>39153</v>
      </c>
      <c r="B1196" s="125" t="str">
        <f>TiposLancamentos!B4</f>
        <v>Taxas Bancarias</v>
      </c>
      <c r="C1196" s="1040" t="s">
        <v>4864</v>
      </c>
      <c r="D1196" s="1736"/>
      <c r="E1196" s="1043">
        <v>63.14</v>
      </c>
      <c r="F1196" s="1043"/>
      <c r="G1196" s="1550"/>
    </row>
    <row r="1197" spans="1:7">
      <c r="A1197" s="1754">
        <v>39154</v>
      </c>
      <c r="B1197" s="125" t="str">
        <f>TiposLancamentos!B4</f>
        <v>Taxas Bancarias</v>
      </c>
      <c r="C1197" s="1040" t="s">
        <v>4853</v>
      </c>
      <c r="D1197" s="1736"/>
      <c r="E1197" s="1043">
        <v>24.15</v>
      </c>
      <c r="F1197" s="1043"/>
      <c r="G1197" s="1550"/>
    </row>
    <row r="1198" spans="1:7">
      <c r="A1198" s="1754">
        <v>39155</v>
      </c>
      <c r="B1198" s="125" t="str">
        <f>TiposLancamentos!B13</f>
        <v>Moradia</v>
      </c>
      <c r="C1198" s="1040" t="s">
        <v>5462</v>
      </c>
      <c r="D1198" s="1736"/>
      <c r="E1198" s="1043">
        <v>59.28</v>
      </c>
      <c r="F1198" s="1043"/>
      <c r="G1198" s="1550"/>
    </row>
    <row r="1199" spans="1:7">
      <c r="A1199" s="1754">
        <v>39155</v>
      </c>
      <c r="B1199" s="125" t="str">
        <f>TiposLancamentos!B19</f>
        <v>Restaurantes</v>
      </c>
      <c r="C1199" s="1040" t="s">
        <v>4956</v>
      </c>
      <c r="D1199" s="1736"/>
      <c r="E1199" s="1043">
        <v>15.2</v>
      </c>
      <c r="F1199" s="1043"/>
      <c r="G1199" s="1550"/>
    </row>
    <row r="1200" spans="1:7">
      <c r="A1200" s="1754">
        <v>39156</v>
      </c>
      <c r="B1200" s="125" t="str">
        <f>TiposLancamentos!B95</f>
        <v>Salarios</v>
      </c>
      <c r="C1200" s="1040" t="s">
        <v>4916</v>
      </c>
      <c r="D1200" s="1736">
        <v>1689.1</v>
      </c>
      <c r="E1200" s="1043"/>
      <c r="F1200" s="1043"/>
      <c r="G1200" s="1550"/>
    </row>
    <row r="1201" spans="1:7">
      <c r="A1201" s="1754">
        <v>39156</v>
      </c>
      <c r="B1201" s="125" t="str">
        <f>TiposLancamentos!B33</f>
        <v>Pedágios</v>
      </c>
      <c r="C1201" s="1040" t="s">
        <v>5392</v>
      </c>
      <c r="D1201" s="1736"/>
      <c r="E1201" s="1043">
        <v>78.22</v>
      </c>
      <c r="F1201" s="1043"/>
      <c r="G1201" s="1550"/>
    </row>
    <row r="1202" spans="1:7">
      <c r="A1202" s="1754">
        <v>39156</v>
      </c>
      <c r="B1202" s="125" t="str">
        <f>TiposLancamentos!B45</f>
        <v>Online Services</v>
      </c>
      <c r="C1202" s="1040" t="s">
        <v>5385</v>
      </c>
      <c r="D1202" s="1736"/>
      <c r="E1202" s="1043">
        <v>2.72</v>
      </c>
      <c r="F1202" s="1043"/>
      <c r="G1202" s="1550"/>
    </row>
    <row r="1203" spans="1:7">
      <c r="A1203" s="1754">
        <v>39156</v>
      </c>
      <c r="B1203" s="125" t="str">
        <f>TiposLancamentos!B20</f>
        <v>Saques</v>
      </c>
      <c r="C1203" s="1040" t="s">
        <v>1706</v>
      </c>
      <c r="D1203" s="1736"/>
      <c r="E1203" s="1043">
        <v>150</v>
      </c>
      <c r="F1203" s="1043"/>
      <c r="G1203" s="1550"/>
    </row>
    <row r="1204" spans="1:7">
      <c r="A1204" s="1754">
        <v>39156</v>
      </c>
      <c r="B1204" s="125" t="str">
        <f>TiposLancamentos!B99</f>
        <v>Venda de algo</v>
      </c>
      <c r="C1204" s="1040" t="s">
        <v>5463</v>
      </c>
      <c r="D1204" s="1736">
        <v>38.6</v>
      </c>
      <c r="E1204" s="1043"/>
      <c r="F1204" s="1043"/>
      <c r="G1204" s="1550"/>
    </row>
    <row r="1205" spans="1:7">
      <c r="A1205" s="1754">
        <v>39157</v>
      </c>
      <c r="B1205" s="125" t="str">
        <f>TiposLancamentos!B22</f>
        <v>Combustivel</v>
      </c>
      <c r="C1205" s="1040" t="s">
        <v>5464</v>
      </c>
      <c r="D1205" s="1736"/>
      <c r="E1205" s="1043">
        <v>34.700000000000003</v>
      </c>
      <c r="F1205" s="1043"/>
      <c r="G1205" s="1550"/>
    </row>
    <row r="1206" spans="1:7">
      <c r="A1206" s="1754">
        <v>39157</v>
      </c>
      <c r="B1206" s="125" t="str">
        <f>TiposLancamentos!B19</f>
        <v>Restaurantes</v>
      </c>
      <c r="C1206" s="1040" t="s">
        <v>5465</v>
      </c>
      <c r="D1206" s="1736"/>
      <c r="E1206" s="1043">
        <v>21.05</v>
      </c>
      <c r="F1206" s="1043"/>
      <c r="G1206" s="1550"/>
    </row>
    <row r="1207" spans="1:7">
      <c r="A1207" s="1754">
        <v>39157</v>
      </c>
      <c r="B1207" s="125" t="str">
        <f>TiposLancamentos!B20</f>
        <v>Saques</v>
      </c>
      <c r="C1207" s="1040" t="s">
        <v>2668</v>
      </c>
      <c r="D1207" s="1736"/>
      <c r="E1207" s="1043">
        <v>10</v>
      </c>
      <c r="F1207" s="1043"/>
      <c r="G1207" s="1550"/>
    </row>
    <row r="1208" spans="1:7">
      <c r="A1208" s="1754">
        <v>39157</v>
      </c>
      <c r="B1208" s="125" t="str">
        <f>TiposLancamentos!B19</f>
        <v>Restaurantes</v>
      </c>
      <c r="C1208" s="1040" t="s">
        <v>5002</v>
      </c>
      <c r="D1208" s="1736"/>
      <c r="E1208" s="1043">
        <v>29</v>
      </c>
      <c r="F1208" s="1043"/>
      <c r="G1208" s="1550"/>
    </row>
    <row r="1209" spans="1:7">
      <c r="A1209" s="1754">
        <v>39157</v>
      </c>
      <c r="B1209" s="125" t="str">
        <f>TiposLancamentos!B16</f>
        <v>Cristiane</v>
      </c>
      <c r="C1209" s="1040" t="s">
        <v>5466</v>
      </c>
      <c r="D1209" s="1736"/>
      <c r="E1209" s="1043">
        <v>39.840000000000003</v>
      </c>
      <c r="F1209" s="1043"/>
      <c r="G1209" s="1550"/>
    </row>
    <row r="1210" spans="1:7">
      <c r="A1210" s="1754">
        <v>39158</v>
      </c>
      <c r="B1210" s="125" t="str">
        <f>TiposLancamentos!B5</f>
        <v>Supermercado</v>
      </c>
      <c r="C1210" s="1040" t="s">
        <v>5467</v>
      </c>
      <c r="D1210" s="1736"/>
      <c r="E1210" s="1043">
        <v>2.75</v>
      </c>
      <c r="F1210" s="1043"/>
      <c r="G1210" s="1550"/>
    </row>
    <row r="1211" spans="1:7">
      <c r="A1211" s="1754">
        <v>39160</v>
      </c>
      <c r="B1211" s="125" t="str">
        <f>TiposLancamentos!B8</f>
        <v>Aluguel</v>
      </c>
      <c r="C1211" s="1040" t="s">
        <v>5468</v>
      </c>
      <c r="D1211" s="1736"/>
      <c r="E1211" s="1043">
        <v>777.63</v>
      </c>
      <c r="F1211" s="1043"/>
      <c r="G1211" s="1550"/>
    </row>
    <row r="1212" spans="1:7">
      <c r="A1212" s="1754">
        <v>39160</v>
      </c>
      <c r="B1212" s="125" t="str">
        <f>TiposLancamentos!B71</f>
        <v>Itens Pessoais</v>
      </c>
      <c r="C1212" s="1040" t="s">
        <v>5469</v>
      </c>
      <c r="D1212" s="1736"/>
      <c r="E1212" s="1043">
        <v>40</v>
      </c>
      <c r="F1212" s="1043"/>
      <c r="G1212" s="1550"/>
    </row>
    <row r="1213" spans="1:7">
      <c r="A1213" s="1754">
        <v>39161</v>
      </c>
      <c r="B1213" s="125" t="str">
        <f>TiposLancamentos!B6</f>
        <v>Energia Eletrica</v>
      </c>
      <c r="C1213" s="1040" t="s">
        <v>5470</v>
      </c>
      <c r="D1213" s="1736"/>
      <c r="E1213" s="1043">
        <v>19.309999999999999</v>
      </c>
      <c r="F1213" s="1043"/>
      <c r="G1213" s="1550"/>
    </row>
    <row r="1214" spans="1:7">
      <c r="A1214" s="1754">
        <v>39162</v>
      </c>
      <c r="B1214" s="125" t="str">
        <f>TiposLancamentos!B85</f>
        <v>Peugeout 206</v>
      </c>
      <c r="C1214" s="1040" t="s">
        <v>5471</v>
      </c>
      <c r="D1214" s="1736"/>
      <c r="E1214" s="1043">
        <v>747.83</v>
      </c>
      <c r="F1214" s="1043"/>
      <c r="G1214" s="1550"/>
    </row>
    <row r="1215" spans="1:7">
      <c r="A1215" s="1754">
        <v>39163</v>
      </c>
      <c r="B1215" s="125" t="str">
        <f>TiposLancamentos!B4</f>
        <v>Taxas Bancarias</v>
      </c>
      <c r="C1215" s="1040" t="s">
        <v>4853</v>
      </c>
      <c r="D1215" s="1736"/>
      <c r="E1215" s="1043">
        <v>7.8</v>
      </c>
      <c r="F1215" s="1043"/>
      <c r="G1215" s="1550"/>
    </row>
    <row r="1216" spans="1:7">
      <c r="A1216" s="1666">
        <v>39164</v>
      </c>
      <c r="B1216" s="817" t="str">
        <f>TiposLancamentos!B8</f>
        <v>Aluguel</v>
      </c>
      <c r="C1216" s="1742" t="s">
        <v>5472</v>
      </c>
      <c r="D1216" s="1843"/>
      <c r="E1216" s="1839">
        <f>164.8</f>
        <v>164.8</v>
      </c>
      <c r="F1216" s="1043"/>
      <c r="G1216" s="1550"/>
    </row>
    <row r="1217" spans="1:7">
      <c r="A1217" s="1750">
        <v>39164</v>
      </c>
      <c r="B1217" s="818" t="str">
        <f>TiposLancamentos!B9</f>
        <v>Condominio</v>
      </c>
      <c r="C1217" s="1743" t="s">
        <v>5473</v>
      </c>
      <c r="D1217" s="1844"/>
      <c r="E1217" s="1840">
        <v>130.83000000000001</v>
      </c>
      <c r="F1217" s="1043"/>
      <c r="G1217" s="1550"/>
    </row>
    <row r="1218" spans="1:7">
      <c r="A1218" s="1754">
        <v>39164</v>
      </c>
      <c r="B1218" s="125" t="str">
        <f>TiposLancamentos!B13</f>
        <v>Moradia</v>
      </c>
      <c r="C1218" s="1040" t="s">
        <v>5474</v>
      </c>
      <c r="D1218" s="1736"/>
      <c r="E1218" s="1043">
        <v>229.9</v>
      </c>
      <c r="F1218" s="1043"/>
      <c r="G1218" s="1550"/>
    </row>
    <row r="1219" spans="1:7">
      <c r="A1219" s="1754">
        <v>39165</v>
      </c>
      <c r="B1219" s="125" t="str">
        <f>TiposLancamentos!B84</f>
        <v>Cbx Twister 250</v>
      </c>
      <c r="C1219" s="1040" t="s">
        <v>5475</v>
      </c>
      <c r="D1219" s="1736"/>
      <c r="E1219" s="1043">
        <v>76.17</v>
      </c>
      <c r="F1219" s="1043"/>
      <c r="G1219" s="1550"/>
    </row>
    <row r="1220" spans="1:7">
      <c r="A1220" s="1754">
        <v>39165</v>
      </c>
      <c r="B1220" s="125" t="str">
        <f>TiposLancamentos!B16</f>
        <v>Cristiane</v>
      </c>
      <c r="C1220" s="1040" t="s">
        <v>5476</v>
      </c>
      <c r="D1220" s="1736"/>
      <c r="E1220" s="1043">
        <v>55</v>
      </c>
      <c r="F1220" s="1043"/>
      <c r="G1220" s="1550"/>
    </row>
    <row r="1221" spans="1:7">
      <c r="A1221" s="1754">
        <v>39167</v>
      </c>
      <c r="B1221" s="125" t="str">
        <f>TiposLancamentos!B57</f>
        <v>Informática</v>
      </c>
      <c r="C1221" s="1040" t="s">
        <v>5477</v>
      </c>
      <c r="D1221" s="1736"/>
      <c r="E1221" s="1043">
        <v>21.9</v>
      </c>
      <c r="F1221" s="1043"/>
      <c r="G1221" s="1550"/>
    </row>
    <row r="1222" spans="1:7">
      <c r="A1222" s="1754">
        <v>39167</v>
      </c>
      <c r="B1222" s="125" t="str">
        <f>TiposLancamentos!B5</f>
        <v>Supermercado</v>
      </c>
      <c r="C1222" s="1040" t="s">
        <v>5478</v>
      </c>
      <c r="D1222" s="1736"/>
      <c r="E1222" s="1043">
        <v>37.18</v>
      </c>
      <c r="F1222" s="1043"/>
      <c r="G1222" s="1550"/>
    </row>
    <row r="1223" spans="1:7">
      <c r="A1223" s="1754">
        <v>39170</v>
      </c>
      <c r="B1223" s="125" t="str">
        <f>TiposLancamentos!B16</f>
        <v>Cristiane</v>
      </c>
      <c r="C1223" s="1040" t="s">
        <v>5479</v>
      </c>
      <c r="D1223" s="1736">
        <v>443.07</v>
      </c>
      <c r="E1223" s="1043"/>
      <c r="F1223" s="1043"/>
      <c r="G1223" s="1550"/>
    </row>
    <row r="1224" spans="1:7">
      <c r="A1224" s="1754">
        <v>39171</v>
      </c>
      <c r="B1224" s="125" t="str">
        <f>TiposLancamentos!B95</f>
        <v>Salarios</v>
      </c>
      <c r="C1224" s="1040" t="s">
        <v>4939</v>
      </c>
      <c r="D1224" s="1736">
        <v>6587.52</v>
      </c>
      <c r="E1224" s="1043"/>
      <c r="F1224" s="1043"/>
      <c r="G1224" s="1550"/>
    </row>
    <row r="1225" spans="1:7">
      <c r="A1225" s="1754">
        <v>39171</v>
      </c>
      <c r="B1225" s="125" t="str">
        <f>TiposLancamentos!B13</f>
        <v>Moradia</v>
      </c>
      <c r="C1225" s="1040" t="s">
        <v>5480</v>
      </c>
      <c r="D1225" s="1736"/>
      <c r="E1225" s="1043">
        <v>250</v>
      </c>
      <c r="F1225" s="1043"/>
      <c r="G1225" s="1550"/>
    </row>
    <row r="1226" spans="1:7">
      <c r="A1226" s="1754">
        <v>39171</v>
      </c>
      <c r="B1226" s="125" t="str">
        <f>TiposLancamentos!B99</f>
        <v>Venda de algo</v>
      </c>
      <c r="C1226" s="1040" t="s">
        <v>5481</v>
      </c>
      <c r="D1226" s="1736">
        <v>44</v>
      </c>
      <c r="E1226" s="1043"/>
      <c r="F1226" s="1043"/>
      <c r="G1226" s="1550"/>
    </row>
    <row r="1227" spans="1:7" ht="14.25" thickBot="1">
      <c r="A1227" s="1754">
        <v>39172</v>
      </c>
      <c r="B1227" s="125" t="str">
        <f>TiposLancamentos!B56</f>
        <v>Farmácia</v>
      </c>
      <c r="C1227" s="1040" t="s">
        <v>5482</v>
      </c>
      <c r="D1227" s="1736"/>
      <c r="E1227" s="1043">
        <v>43.35</v>
      </c>
      <c r="F1227" s="1043"/>
      <c r="G1227" s="1550"/>
    </row>
    <row r="1228" spans="1:7">
      <c r="A1228" s="1834"/>
      <c r="B1228" s="977"/>
      <c r="C1228" s="1854" t="s">
        <v>5483</v>
      </c>
      <c r="D1228" s="1823"/>
      <c r="E1228" s="1821"/>
      <c r="F1228" s="1821"/>
      <c r="G1228" s="1895"/>
    </row>
    <row r="1229" spans="1:7">
      <c r="A1229" s="1754">
        <v>39174</v>
      </c>
      <c r="B1229" s="125" t="str">
        <f>TiposLancamentos!B34</f>
        <v>Seguros</v>
      </c>
      <c r="C1229" s="1040" t="s">
        <v>5484</v>
      </c>
      <c r="D1229" s="1736"/>
      <c r="E1229" s="1043">
        <v>583.37</v>
      </c>
      <c r="F1229" s="1043"/>
      <c r="G1229" s="1550"/>
    </row>
    <row r="1230" spans="1:7">
      <c r="A1230" s="1754">
        <v>39174</v>
      </c>
      <c r="B1230" s="125" t="str">
        <f>TiposLancamentos!B9</f>
        <v>Condominio</v>
      </c>
      <c r="C1230" s="1040" t="s">
        <v>5485</v>
      </c>
      <c r="D1230" s="1736"/>
      <c r="E1230" s="1043">
        <v>610.33000000000004</v>
      </c>
      <c r="F1230" s="1043"/>
      <c r="G1230" s="1550"/>
    </row>
    <row r="1231" spans="1:7">
      <c r="A1231" s="1754">
        <v>39174</v>
      </c>
      <c r="B1231" s="125" t="str">
        <f>TiposLancamentos!B15</f>
        <v>Cartões de Crédito</v>
      </c>
      <c r="C1231" s="1040" t="s">
        <v>5486</v>
      </c>
      <c r="D1231" s="1736"/>
      <c r="E1231" s="1043">
        <v>594.63</v>
      </c>
      <c r="F1231" s="1043"/>
      <c r="G1231" s="1550"/>
    </row>
    <row r="1232" spans="1:7">
      <c r="A1232" s="1754">
        <v>39174</v>
      </c>
      <c r="B1232" s="125" t="str">
        <f>TiposLancamentos!B15</f>
        <v>Cartões de Crédito</v>
      </c>
      <c r="C1232" s="1040" t="s">
        <v>5262</v>
      </c>
      <c r="D1232" s="1736"/>
      <c r="E1232" s="1043">
        <v>591.23</v>
      </c>
      <c r="F1232" s="1043"/>
      <c r="G1232" s="1550"/>
    </row>
    <row r="1233" spans="1:7">
      <c r="A1233" s="1754">
        <v>39174</v>
      </c>
      <c r="B1233" s="125" t="str">
        <f>TiposLancamentos!B6</f>
        <v>Energia Eletrica</v>
      </c>
      <c r="C1233" s="1040" t="s">
        <v>5487</v>
      </c>
      <c r="D1233" s="1736"/>
      <c r="E1233" s="1043">
        <f>55.34</f>
        <v>55.34</v>
      </c>
      <c r="F1233" s="1043"/>
      <c r="G1233" s="1550"/>
    </row>
    <row r="1234" spans="1:7">
      <c r="A1234" s="1754">
        <v>39174</v>
      </c>
      <c r="B1234" s="125" t="str">
        <f>TiposLancamentos!B2</f>
        <v>Telefonia</v>
      </c>
      <c r="C1234" s="1040" t="s">
        <v>5488</v>
      </c>
      <c r="D1234" s="1736"/>
      <c r="E1234" s="1043">
        <v>38.43</v>
      </c>
      <c r="F1234" s="1043"/>
      <c r="G1234" s="1550"/>
    </row>
    <row r="1235" spans="1:7">
      <c r="A1235" s="1754">
        <v>39174</v>
      </c>
      <c r="B1235" s="125" t="str">
        <f>TiposLancamentos!B3</f>
        <v>Internet</v>
      </c>
      <c r="C1235" s="1040" t="s">
        <v>4987</v>
      </c>
      <c r="D1235" s="1736"/>
      <c r="E1235" s="1043">
        <v>79.900000000000006</v>
      </c>
      <c r="F1235" s="1043"/>
      <c r="G1235" s="1550"/>
    </row>
    <row r="1236" spans="1:7">
      <c r="A1236" s="1754">
        <v>39175</v>
      </c>
      <c r="B1236" s="125" t="str">
        <f>TiposLancamentos!B4</f>
        <v>Taxas Bancarias</v>
      </c>
      <c r="C1236" s="1040" t="s">
        <v>4853</v>
      </c>
      <c r="D1236" s="1736"/>
      <c r="E1236" s="1043">
        <v>5.53</v>
      </c>
      <c r="F1236" s="1043"/>
      <c r="G1236" s="1550"/>
    </row>
    <row r="1237" spans="1:7">
      <c r="A1237" s="1754">
        <v>39176</v>
      </c>
      <c r="B1237" s="125" t="str">
        <f>TiposLancamentos!B22</f>
        <v>Combustivel</v>
      </c>
      <c r="C1237" s="1040" t="s">
        <v>3381</v>
      </c>
      <c r="D1237" s="1736"/>
      <c r="E1237" s="1043">
        <v>50</v>
      </c>
      <c r="F1237" s="1043"/>
      <c r="G1237" s="1550"/>
    </row>
    <row r="1238" spans="1:7">
      <c r="A1238" s="1754">
        <v>39176</v>
      </c>
      <c r="B1238" s="125" t="str">
        <f>TiposLancamentos!B20</f>
        <v>Saques</v>
      </c>
      <c r="C1238" s="1040" t="s">
        <v>2668</v>
      </c>
      <c r="D1238" s="1736"/>
      <c r="E1238" s="1043">
        <v>500</v>
      </c>
      <c r="F1238" s="1043"/>
      <c r="G1238" s="1550"/>
    </row>
    <row r="1239" spans="1:7">
      <c r="A1239" s="1754">
        <v>39176</v>
      </c>
      <c r="B1239" s="125" t="str">
        <f>TiposLancamentos!B8</f>
        <v>Aluguel</v>
      </c>
      <c r="C1239" s="1040" t="s">
        <v>5489</v>
      </c>
      <c r="D1239" s="1736"/>
      <c r="E1239" s="1043">
        <v>439.49</v>
      </c>
      <c r="F1239" s="1043"/>
      <c r="G1239" s="1550"/>
    </row>
    <row r="1240" spans="1:7">
      <c r="A1240" s="1754">
        <v>39176</v>
      </c>
      <c r="B1240" s="125" t="str">
        <f>TiposLancamentos!B56</f>
        <v>Farmácia</v>
      </c>
      <c r="C1240" s="1040" t="s">
        <v>5490</v>
      </c>
      <c r="D1240" s="1736"/>
      <c r="E1240" s="1043">
        <v>79.25</v>
      </c>
      <c r="F1240" s="1043"/>
      <c r="G1240" s="1550"/>
    </row>
    <row r="1241" spans="1:7">
      <c r="A1241" s="1754">
        <v>39180</v>
      </c>
      <c r="B1241" s="125" t="str">
        <f>TiposLancamentos!B5</f>
        <v>Supermercado</v>
      </c>
      <c r="C1241" s="1040" t="s">
        <v>2567</v>
      </c>
      <c r="D1241" s="1736"/>
      <c r="E1241" s="1043">
        <f>144.19-125.68</f>
        <v>18.509999999999991</v>
      </c>
      <c r="F1241" s="1043"/>
      <c r="G1241" s="1550"/>
    </row>
    <row r="1242" spans="1:7">
      <c r="A1242" s="1754">
        <v>39181</v>
      </c>
      <c r="B1242" s="125" t="str">
        <f>TiposLancamentos!B81</f>
        <v>Ferramentas gerais</v>
      </c>
      <c r="C1242" s="1040" t="s">
        <v>5491</v>
      </c>
      <c r="D1242" s="1736"/>
      <c r="E1242" s="1043">
        <v>179.39</v>
      </c>
      <c r="F1242" s="1043"/>
      <c r="G1242" s="1550"/>
    </row>
    <row r="1243" spans="1:7">
      <c r="A1243" s="1754">
        <v>39181</v>
      </c>
      <c r="B1243" s="125" t="str">
        <f>TiposLancamentos!B27</f>
        <v>Jornais e revistas</v>
      </c>
      <c r="C1243" s="1040" t="s">
        <v>5418</v>
      </c>
      <c r="D1243" s="1736"/>
      <c r="E1243" s="1043">
        <v>45.9</v>
      </c>
      <c r="F1243" s="1043"/>
      <c r="G1243" s="1550"/>
    </row>
    <row r="1244" spans="1:7">
      <c r="A1244" s="1754">
        <v>39182</v>
      </c>
      <c r="B1244" s="125" t="str">
        <f>TiposLancamentos!B59</f>
        <v>Documentos</v>
      </c>
      <c r="C1244" s="1040" t="s">
        <v>5492</v>
      </c>
      <c r="D1244" s="1736"/>
      <c r="E1244" s="1043">
        <v>184.21</v>
      </c>
      <c r="F1244" s="1043"/>
      <c r="G1244" s="1550"/>
    </row>
    <row r="1245" spans="1:7">
      <c r="A1245" s="1754">
        <v>39182</v>
      </c>
      <c r="B1245" s="125" t="str">
        <f>TiposLancamentos!B20</f>
        <v>Saques</v>
      </c>
      <c r="C1245" s="1040" t="s">
        <v>2668</v>
      </c>
      <c r="D1245" s="1736"/>
      <c r="E1245" s="1043">
        <v>140</v>
      </c>
      <c r="F1245" s="1043"/>
      <c r="G1245" s="1550"/>
    </row>
    <row r="1246" spans="1:7">
      <c r="A1246" s="1754">
        <v>39183</v>
      </c>
      <c r="B1246" s="125" t="str">
        <f>TiposLancamentos!B45</f>
        <v>Online Services</v>
      </c>
      <c r="C1246" s="1040" t="s">
        <v>5493</v>
      </c>
      <c r="D1246" s="1736"/>
      <c r="E1246" s="1043">
        <v>8.0399999999999991</v>
      </c>
      <c r="F1246" s="1043"/>
      <c r="G1246" s="1550"/>
    </row>
    <row r="1247" spans="1:7">
      <c r="A1247" s="1754">
        <v>39183</v>
      </c>
      <c r="B1247" s="125" t="str">
        <f>TiposLancamentos!B19</f>
        <v>Restaurantes</v>
      </c>
      <c r="C1247" s="1040" t="s">
        <v>3287</v>
      </c>
      <c r="D1247" s="1736"/>
      <c r="E1247" s="1043">
        <v>10.1</v>
      </c>
      <c r="F1247" s="1043"/>
      <c r="G1247" s="1550"/>
    </row>
    <row r="1248" spans="1:7">
      <c r="A1248" s="1754">
        <v>39183</v>
      </c>
      <c r="B1248" s="125" t="str">
        <f>TiposLancamentos!B56</f>
        <v>Farmácia</v>
      </c>
      <c r="C1248" s="1040" t="s">
        <v>5494</v>
      </c>
      <c r="D1248" s="1736"/>
      <c r="E1248" s="1043">
        <v>104.41</v>
      </c>
      <c r="F1248" s="1043"/>
      <c r="G1248" s="1550"/>
    </row>
    <row r="1249" spans="1:7">
      <c r="A1249" s="1754">
        <v>39183</v>
      </c>
      <c r="B1249" s="125" t="str">
        <f>TiposLancamentos!B57</f>
        <v>Informática</v>
      </c>
      <c r="C1249" s="1040" t="s">
        <v>5495</v>
      </c>
      <c r="D1249" s="1736"/>
      <c r="E1249" s="1043">
        <v>29.7</v>
      </c>
      <c r="F1249" s="1043"/>
      <c r="G1249" s="1550"/>
    </row>
    <row r="1250" spans="1:7">
      <c r="A1250" s="1754">
        <v>39184</v>
      </c>
      <c r="B1250" s="125" t="str">
        <f>TiposLancamentos!B19</f>
        <v>Restaurantes</v>
      </c>
      <c r="C1250" s="1040" t="s">
        <v>5496</v>
      </c>
      <c r="D1250" s="1736"/>
      <c r="E1250" s="1043">
        <v>33.799999999999997</v>
      </c>
      <c r="F1250" s="1043"/>
      <c r="G1250" s="1550"/>
    </row>
    <row r="1251" spans="1:7">
      <c r="A1251" s="1754">
        <v>39184</v>
      </c>
      <c r="B1251" s="125" t="str">
        <f>TiposLancamentos!B4</f>
        <v>Taxas Bancarias</v>
      </c>
      <c r="C1251" s="1040" t="s">
        <v>4853</v>
      </c>
      <c r="D1251" s="1736"/>
      <c r="E1251" s="1043">
        <v>16.97</v>
      </c>
      <c r="F1251" s="1043"/>
      <c r="G1251" s="1550"/>
    </row>
    <row r="1252" spans="1:7">
      <c r="A1252" s="1754">
        <v>39185</v>
      </c>
      <c r="B1252" s="125" t="str">
        <f>TiposLancamentos!B19</f>
        <v>Restaurantes</v>
      </c>
      <c r="C1252" s="1040" t="s">
        <v>5497</v>
      </c>
      <c r="D1252" s="1736"/>
      <c r="E1252" s="1043">
        <v>4.8</v>
      </c>
      <c r="F1252" s="1043"/>
      <c r="G1252" s="1550"/>
    </row>
    <row r="1253" spans="1:7">
      <c r="A1253" s="1754">
        <v>39185</v>
      </c>
      <c r="B1253" s="125" t="str">
        <f>TiposLancamentos!B19</f>
        <v>Restaurantes</v>
      </c>
      <c r="C1253" s="1040" t="s">
        <v>3287</v>
      </c>
      <c r="D1253" s="1736"/>
      <c r="E1253" s="1043">
        <v>16.600000000000001</v>
      </c>
      <c r="F1253" s="1043"/>
      <c r="G1253" s="1550"/>
    </row>
    <row r="1254" spans="1:7">
      <c r="A1254" s="1754">
        <v>39185</v>
      </c>
      <c r="B1254" s="125" t="str">
        <f>TiposLancamentos!B19</f>
        <v>Restaurantes</v>
      </c>
      <c r="C1254" s="1040" t="s">
        <v>5498</v>
      </c>
      <c r="D1254" s="1736"/>
      <c r="E1254" s="1043">
        <v>5.5</v>
      </c>
      <c r="F1254" s="1043"/>
      <c r="G1254" s="1550"/>
    </row>
    <row r="1255" spans="1:7">
      <c r="A1255" s="1754">
        <v>39185</v>
      </c>
      <c r="B1255" s="125" t="str">
        <f>TiposLancamentos!B19</f>
        <v>Restaurantes</v>
      </c>
      <c r="C1255" s="1040" t="s">
        <v>2701</v>
      </c>
      <c r="D1255" s="1736"/>
      <c r="E1255" s="1043">
        <v>7.1</v>
      </c>
      <c r="F1255" s="1043"/>
      <c r="G1255" s="1550"/>
    </row>
    <row r="1256" spans="1:7">
      <c r="A1256" s="1754">
        <v>39185</v>
      </c>
      <c r="B1256" s="125" t="str">
        <f>TiposLancamentos!B19</f>
        <v>Restaurantes</v>
      </c>
      <c r="C1256" s="1040" t="s">
        <v>3697</v>
      </c>
      <c r="D1256" s="1736"/>
      <c r="E1256" s="1043">
        <v>9</v>
      </c>
      <c r="F1256" s="1043"/>
      <c r="G1256" s="1550"/>
    </row>
    <row r="1257" spans="1:7">
      <c r="A1257" s="1754">
        <v>39186</v>
      </c>
      <c r="B1257" s="125" t="str">
        <f>TiposLancamentos!B19</f>
        <v>Restaurantes</v>
      </c>
      <c r="C1257" s="1040" t="s">
        <v>5451</v>
      </c>
      <c r="D1257" s="1736"/>
      <c r="E1257" s="1043">
        <v>33.200000000000003</v>
      </c>
      <c r="F1257" s="1043"/>
      <c r="G1257" s="1550"/>
    </row>
    <row r="1258" spans="1:7">
      <c r="A1258" s="1754">
        <v>39186</v>
      </c>
      <c r="B1258" s="125" t="str">
        <f>TiposLancamentos!B70</f>
        <v>Vestuário</v>
      </c>
      <c r="C1258" s="1040" t="s">
        <v>5499</v>
      </c>
      <c r="D1258" s="1736"/>
      <c r="E1258" s="1043">
        <v>30</v>
      </c>
      <c r="F1258" s="1043"/>
      <c r="G1258" s="1550"/>
    </row>
    <row r="1259" spans="1:7">
      <c r="A1259" s="1754">
        <v>39186</v>
      </c>
      <c r="B1259" s="125" t="str">
        <f>TiposLancamentos!B19</f>
        <v>Restaurantes</v>
      </c>
      <c r="C1259" s="1040" t="s">
        <v>5500</v>
      </c>
      <c r="D1259" s="1736"/>
      <c r="E1259" s="1043">
        <v>8.6</v>
      </c>
      <c r="F1259" s="1043"/>
      <c r="G1259" s="1550"/>
    </row>
    <row r="1260" spans="1:7">
      <c r="A1260" s="1754">
        <v>39187</v>
      </c>
      <c r="B1260" s="125" t="str">
        <f>TiposLancamentos!B13</f>
        <v>Moradia</v>
      </c>
      <c r="C1260" s="1040" t="s">
        <v>5501</v>
      </c>
      <c r="D1260" s="1736"/>
      <c r="E1260" s="1043">
        <v>32.6</v>
      </c>
      <c r="F1260" s="1043"/>
      <c r="G1260" s="1550"/>
    </row>
    <row r="1261" spans="1:7">
      <c r="A1261" s="1754">
        <v>39187</v>
      </c>
      <c r="B1261" s="125" t="str">
        <f>TiposLancamentos!B19</f>
        <v>Restaurantes</v>
      </c>
      <c r="C1261" s="1040" t="s">
        <v>5502</v>
      </c>
      <c r="D1261" s="1736"/>
      <c r="E1261" s="1043">
        <v>12.47</v>
      </c>
      <c r="F1261" s="1043"/>
      <c r="G1261" s="1550"/>
    </row>
    <row r="1262" spans="1:7">
      <c r="A1262" s="1754">
        <v>39187</v>
      </c>
      <c r="B1262" s="125" t="str">
        <f>TiposLancamentos!B19</f>
        <v>Restaurantes</v>
      </c>
      <c r="C1262" s="1040" t="s">
        <v>5500</v>
      </c>
      <c r="D1262" s="1736"/>
      <c r="E1262" s="1043">
        <v>8.6</v>
      </c>
      <c r="F1262" s="1043"/>
      <c r="G1262" s="1550"/>
    </row>
    <row r="1263" spans="1:7">
      <c r="A1263" s="1754">
        <v>39188</v>
      </c>
      <c r="B1263" s="125" t="str">
        <f>TiposLancamentos!B33</f>
        <v>Pedágios</v>
      </c>
      <c r="C1263" s="1040" t="s">
        <v>5392</v>
      </c>
      <c r="D1263" s="1736"/>
      <c r="E1263" s="1043">
        <v>48.62</v>
      </c>
      <c r="F1263" s="1043"/>
      <c r="G1263" s="1550"/>
    </row>
    <row r="1264" spans="1:7">
      <c r="A1264" s="1754">
        <v>39188</v>
      </c>
      <c r="B1264" s="125" t="str">
        <f>TiposLancamentos!B85</f>
        <v>Peugeout 206</v>
      </c>
      <c r="C1264" s="1040" t="s">
        <v>5503</v>
      </c>
      <c r="D1264" s="1736"/>
      <c r="E1264" s="1043">
        <v>747.83</v>
      </c>
      <c r="F1264" s="1043"/>
      <c r="G1264" s="1550"/>
    </row>
    <row r="1265" spans="1:7">
      <c r="A1265" s="1754">
        <v>39188</v>
      </c>
      <c r="B1265" s="125" t="str">
        <f>TiposLancamentos!B85</f>
        <v>Peugeout 206</v>
      </c>
      <c r="C1265" s="1040" t="s">
        <v>5504</v>
      </c>
      <c r="D1265" s="1736"/>
      <c r="E1265" s="1043">
        <v>747.83</v>
      </c>
      <c r="F1265" s="1043"/>
      <c r="G1265" s="1550"/>
    </row>
    <row r="1266" spans="1:7">
      <c r="A1266" s="1754">
        <v>39188</v>
      </c>
      <c r="B1266" s="125" t="str">
        <f>TiposLancamentos!B20</f>
        <v>Saques</v>
      </c>
      <c r="C1266" s="1040" t="s">
        <v>2668</v>
      </c>
      <c r="D1266" s="1736"/>
      <c r="E1266" s="1043">
        <v>140</v>
      </c>
      <c r="F1266" s="1043"/>
      <c r="G1266" s="1550"/>
    </row>
    <row r="1267" spans="1:7">
      <c r="A1267" s="1754">
        <v>39188</v>
      </c>
      <c r="B1267" s="125" t="str">
        <f>TiposLancamentos!B18</f>
        <v>Alimentacao</v>
      </c>
      <c r="C1267" s="1040" t="s">
        <v>3425</v>
      </c>
      <c r="D1267" s="1736"/>
      <c r="E1267" s="1043">
        <v>6.2</v>
      </c>
      <c r="F1267" s="1043"/>
      <c r="G1267" s="1550"/>
    </row>
    <row r="1268" spans="1:7">
      <c r="A1268" s="1754">
        <v>39188</v>
      </c>
      <c r="B1268" s="125" t="str">
        <f>TiposLancamentos!B22</f>
        <v>Combustivel</v>
      </c>
      <c r="C1268" s="1040" t="s">
        <v>5505</v>
      </c>
      <c r="D1268" s="1736"/>
      <c r="E1268" s="1043">
        <v>30</v>
      </c>
      <c r="F1268" s="1043"/>
      <c r="G1268" s="1550"/>
    </row>
    <row r="1269" spans="1:7">
      <c r="A1269" s="1754">
        <v>39189</v>
      </c>
      <c r="B1269" s="125" t="str">
        <f>TiposLancamentos!B19</f>
        <v>Restaurantes</v>
      </c>
      <c r="C1269" s="1040" t="s">
        <v>5506</v>
      </c>
      <c r="D1269" s="1736"/>
      <c r="E1269" s="1043">
        <v>11.27</v>
      </c>
      <c r="F1269" s="1043"/>
      <c r="G1269" s="1550"/>
    </row>
    <row r="1270" spans="1:7">
      <c r="A1270" s="1754">
        <v>39189</v>
      </c>
      <c r="B1270" s="125" t="str">
        <f>TiposLancamentos!B19</f>
        <v>Restaurantes</v>
      </c>
      <c r="C1270" s="1040" t="s">
        <v>3022</v>
      </c>
      <c r="D1270" s="1736"/>
      <c r="E1270" s="1043">
        <v>3.95</v>
      </c>
      <c r="F1270" s="1043"/>
      <c r="G1270" s="1550"/>
    </row>
    <row r="1271" spans="1:7">
      <c r="A1271" s="1754">
        <v>39189</v>
      </c>
      <c r="B1271" s="125" t="str">
        <f>TiposLancamentos!B18</f>
        <v>Alimentacao</v>
      </c>
      <c r="C1271" s="1040" t="s">
        <v>5507</v>
      </c>
      <c r="D1271" s="1736"/>
      <c r="E1271" s="1043">
        <v>3.89</v>
      </c>
      <c r="F1271" s="1043"/>
      <c r="G1271" s="1550"/>
    </row>
    <row r="1272" spans="1:7">
      <c r="A1272" s="1754">
        <v>39190</v>
      </c>
      <c r="B1272" s="125" t="str">
        <f>TiposLancamentos!B13</f>
        <v>Moradia</v>
      </c>
      <c r="C1272" s="1040" t="s">
        <v>5508</v>
      </c>
      <c r="D1272" s="1736"/>
      <c r="E1272" s="1043">
        <v>630.46</v>
      </c>
      <c r="F1272" s="1043"/>
      <c r="G1272" s="1550"/>
    </row>
    <row r="1273" spans="1:7">
      <c r="A1273" s="1754">
        <v>39196</v>
      </c>
      <c r="B1273" s="125" t="str">
        <f>TiposLancamentos!B4</f>
        <v>Taxas Bancarias</v>
      </c>
      <c r="C1273" s="1040" t="s">
        <v>4853</v>
      </c>
      <c r="D1273" s="1736"/>
      <c r="E1273" s="1043">
        <v>10.24</v>
      </c>
      <c r="F1273" s="1043"/>
      <c r="G1273" s="1550"/>
    </row>
    <row r="1274" spans="1:7" ht="14.25" thickBot="1">
      <c r="A1274" s="1754">
        <v>39198</v>
      </c>
      <c r="B1274" s="125" t="str">
        <f>TiposLancamentos!B97</f>
        <v>Deposito Terc.</v>
      </c>
      <c r="C1274" s="1040" t="s">
        <v>5509</v>
      </c>
      <c r="D1274" s="1736">
        <v>4</v>
      </c>
      <c r="E1274" s="1043"/>
      <c r="F1274" s="1043"/>
      <c r="G1274" s="1550"/>
    </row>
    <row r="1275" spans="1:7">
      <c r="A1275" s="1834"/>
      <c r="B1275" s="977"/>
      <c r="C1275" s="1854" t="s">
        <v>5510</v>
      </c>
      <c r="D1275" s="1823"/>
      <c r="E1275" s="1821"/>
      <c r="F1275" s="1821"/>
      <c r="G1275" s="1895"/>
    </row>
    <row r="1276" spans="1:7">
      <c r="A1276" s="1754">
        <v>39216</v>
      </c>
      <c r="B1276" s="125" t="str">
        <f>TiposLancamentos!B96</f>
        <v>Resg.Poup.</v>
      </c>
      <c r="C1276" s="1040" t="s">
        <v>5511</v>
      </c>
      <c r="D1276" s="1736">
        <v>3.61</v>
      </c>
      <c r="E1276" s="1043"/>
      <c r="F1276" s="1043"/>
      <c r="G1276" s="1550"/>
    </row>
    <row r="1277" spans="1:7">
      <c r="A1277" s="1754">
        <v>39217</v>
      </c>
      <c r="B1277" s="125" t="str">
        <f>TiposLancamentos!B33</f>
        <v>Pedágios</v>
      </c>
      <c r="C1277" s="1040" t="s">
        <v>5392</v>
      </c>
      <c r="D1277" s="1736"/>
      <c r="E1277" s="1043">
        <v>102.22</v>
      </c>
      <c r="F1277" s="1043"/>
      <c r="G1277" s="1550"/>
    </row>
    <row r="1278" spans="1:7">
      <c r="A1278" s="1754">
        <v>39217</v>
      </c>
      <c r="B1278" s="125" t="str">
        <f>TiposLancamentos!B45</f>
        <v>Online Services</v>
      </c>
      <c r="C1278" s="1040" t="s">
        <v>5385</v>
      </c>
      <c r="D1278" s="1736"/>
      <c r="E1278" s="1043">
        <v>4.1900000000000004</v>
      </c>
      <c r="F1278" s="1043"/>
      <c r="G1278" s="1550"/>
    </row>
    <row r="1279" spans="1:7">
      <c r="A1279" s="1754">
        <v>39194</v>
      </c>
      <c r="B1279" s="125" t="str">
        <f>TiposLancamentos!B4</f>
        <v>Taxas Bancarias</v>
      </c>
      <c r="C1279" s="1040" t="s">
        <v>4853</v>
      </c>
      <c r="D1279" s="1736"/>
      <c r="E1279" s="1043">
        <v>0.39</v>
      </c>
      <c r="F1279" s="1043"/>
      <c r="G1279" s="1550"/>
    </row>
    <row r="1280" spans="1:7">
      <c r="A1280" s="1754">
        <v>39226</v>
      </c>
      <c r="B1280" s="125" t="str">
        <f>TiposLancamentos!B36</f>
        <v>Playstation 2</v>
      </c>
      <c r="C1280" s="1040" t="s">
        <v>5512</v>
      </c>
      <c r="D1280" s="1736"/>
      <c r="E1280" s="1043">
        <v>74</v>
      </c>
      <c r="F1280" s="1043"/>
      <c r="G1280" s="1550"/>
    </row>
    <row r="1281" spans="1:7">
      <c r="A1281" s="1754">
        <v>39233</v>
      </c>
      <c r="B1281" s="125" t="str">
        <f>TiposLancamentos!B105</f>
        <v>Transf. Bco</v>
      </c>
      <c r="C1281" s="1040" t="s">
        <v>5513</v>
      </c>
      <c r="D1281" s="1736">
        <v>186</v>
      </c>
      <c r="E1281" s="1043"/>
      <c r="F1281" s="1043"/>
      <c r="G1281" s="1550"/>
    </row>
    <row r="1282" spans="1:7">
      <c r="A1282" s="1754">
        <v>39233</v>
      </c>
      <c r="B1282" s="125" t="str">
        <f>TiposLancamentos!B97</f>
        <v>Deposito Terc.</v>
      </c>
      <c r="C1282" s="1040" t="s">
        <v>5514</v>
      </c>
      <c r="D1282" s="1736">
        <v>529.72</v>
      </c>
      <c r="E1282" s="1043"/>
      <c r="F1282" s="1043"/>
      <c r="G1282" s="1550"/>
    </row>
    <row r="1283" spans="1:7" ht="14.25" thickBot="1">
      <c r="A1283" s="1754">
        <v>39233</v>
      </c>
      <c r="B1283" s="125" t="str">
        <f>TiposLancamentos!B99</f>
        <v>Venda de algo</v>
      </c>
      <c r="C1283" s="1040" t="s">
        <v>5515</v>
      </c>
      <c r="D1283" s="1736">
        <v>265</v>
      </c>
      <c r="E1283" s="1043"/>
      <c r="F1283" s="1043"/>
      <c r="G1283" s="1550"/>
    </row>
    <row r="1284" spans="1:7">
      <c r="A1284" s="1834"/>
      <c r="B1284" s="977"/>
      <c r="C1284" s="1854" t="s">
        <v>5516</v>
      </c>
      <c r="D1284" s="1823"/>
      <c r="E1284" s="1821"/>
      <c r="F1284" s="1821"/>
      <c r="G1284" s="1895"/>
    </row>
    <row r="1285" spans="1:7">
      <c r="A1285" s="1754">
        <v>39234</v>
      </c>
      <c r="B1285" s="125" t="str">
        <f>TiposLancamentos!B20</f>
        <v>Saques</v>
      </c>
      <c r="C1285" s="1040" t="s">
        <v>2668</v>
      </c>
      <c r="D1285" s="1736"/>
      <c r="E1285" s="1043">
        <v>20</v>
      </c>
      <c r="F1285" s="1043"/>
      <c r="G1285" s="1550"/>
    </row>
    <row r="1286" spans="1:7">
      <c r="A1286" s="1754">
        <v>39234</v>
      </c>
      <c r="B1286" s="125" t="str">
        <f>TiposLancamentos!B4</f>
        <v>Taxas Bancarias</v>
      </c>
      <c r="C1286" s="1040" t="s">
        <v>4858</v>
      </c>
      <c r="D1286" s="1736"/>
      <c r="E1286" s="1043">
        <v>0.08</v>
      </c>
      <c r="F1286" s="1043"/>
      <c r="G1286" s="1550"/>
    </row>
    <row r="1287" spans="1:7">
      <c r="A1287" s="1754">
        <v>39234</v>
      </c>
      <c r="B1287" s="125" t="str">
        <f>TiposLancamentos!B4</f>
        <v>Taxas Bancarias</v>
      </c>
      <c r="C1287" s="1040" t="s">
        <v>5517</v>
      </c>
      <c r="D1287" s="1736"/>
      <c r="E1287" s="1043">
        <v>0.41</v>
      </c>
      <c r="F1287" s="1043"/>
      <c r="G1287" s="1550"/>
    </row>
    <row r="1288" spans="1:7">
      <c r="A1288" s="1754">
        <v>39235</v>
      </c>
      <c r="B1288" s="125" t="str">
        <f>TiposLancamentos!B16</f>
        <v>Cristiane</v>
      </c>
      <c r="C1288" s="1040" t="s">
        <v>5518</v>
      </c>
      <c r="D1288" s="1736"/>
      <c r="E1288" s="1043">
        <v>130</v>
      </c>
      <c r="F1288" s="1043"/>
      <c r="G1288" s="1550"/>
    </row>
    <row r="1289" spans="1:7">
      <c r="A1289" s="1754">
        <v>39235</v>
      </c>
      <c r="B1289" s="125" t="str">
        <f>TiposLancamentos!B16</f>
        <v>Cristiane</v>
      </c>
      <c r="C1289" s="1040" t="s">
        <v>5519</v>
      </c>
      <c r="D1289" s="1736"/>
      <c r="E1289" s="1043">
        <v>59.9</v>
      </c>
      <c r="F1289" s="1043"/>
      <c r="G1289" s="1550"/>
    </row>
    <row r="1290" spans="1:7">
      <c r="A1290" s="1754">
        <v>39236</v>
      </c>
      <c r="B1290" s="125" t="str">
        <f>TiposLancamentos!B16</f>
        <v>Cristiane</v>
      </c>
      <c r="C1290" s="1040" t="s">
        <v>5520</v>
      </c>
      <c r="D1290" s="1736"/>
      <c r="E1290" s="1043">
        <v>179.8</v>
      </c>
      <c r="F1290" s="1043"/>
      <c r="G1290" s="1550"/>
    </row>
    <row r="1291" spans="1:7">
      <c r="A1291" s="1754">
        <v>39236</v>
      </c>
      <c r="B1291" s="125" t="str">
        <f>TiposLancamentos!B16</f>
        <v>Cristiane</v>
      </c>
      <c r="C1291" s="1040" t="s">
        <v>5521</v>
      </c>
      <c r="D1291" s="1736"/>
      <c r="E1291" s="1043">
        <v>74.489999999999995</v>
      </c>
      <c r="F1291" s="1043"/>
      <c r="G1291" s="1550"/>
    </row>
    <row r="1292" spans="1:7">
      <c r="A1292" s="1754">
        <v>39237</v>
      </c>
      <c r="B1292" s="125" t="str">
        <f>TiposLancamentos!B20</f>
        <v>Saques</v>
      </c>
      <c r="C1292" s="1040" t="s">
        <v>2668</v>
      </c>
      <c r="D1292" s="1736"/>
      <c r="E1292" s="1043">
        <v>30</v>
      </c>
      <c r="F1292" s="1043"/>
      <c r="G1292" s="1550"/>
    </row>
    <row r="1293" spans="1:7">
      <c r="A1293" s="1754">
        <v>39237</v>
      </c>
      <c r="B1293" s="125" t="str">
        <f>TiposLancamentos!B4</f>
        <v>Taxas Bancarias</v>
      </c>
      <c r="C1293" s="1040" t="s">
        <v>4853</v>
      </c>
      <c r="D1293" s="1736"/>
      <c r="E1293" s="1043">
        <v>0.28000000000000003</v>
      </c>
      <c r="F1293" s="1043"/>
      <c r="G1293" s="1550"/>
    </row>
    <row r="1294" spans="1:7">
      <c r="A1294" s="1754">
        <v>39239</v>
      </c>
      <c r="B1294" s="125" t="str">
        <f>TiposLancamentos!B19</f>
        <v>Restaurantes</v>
      </c>
      <c r="C1294" s="1040" t="s">
        <v>3287</v>
      </c>
      <c r="D1294" s="1736"/>
      <c r="E1294" s="1043">
        <v>10.92</v>
      </c>
      <c r="F1294" s="1043"/>
      <c r="G1294" s="1550"/>
    </row>
    <row r="1295" spans="1:7">
      <c r="A1295" s="1754">
        <v>39244</v>
      </c>
      <c r="B1295" s="125" t="str">
        <f>TiposLancamentos!B4</f>
        <v>Taxas Bancarias</v>
      </c>
      <c r="C1295" s="1040" t="s">
        <v>5522</v>
      </c>
      <c r="D1295" s="1736"/>
      <c r="E1295" s="1043">
        <v>4.53</v>
      </c>
      <c r="F1295" s="1043"/>
      <c r="G1295" s="1550"/>
    </row>
    <row r="1296" spans="1:7">
      <c r="A1296" s="1754">
        <v>39245</v>
      </c>
      <c r="B1296" s="125" t="str">
        <f>TiposLancamentos!B4</f>
        <v>Taxas Bancarias</v>
      </c>
      <c r="C1296" s="1040" t="s">
        <v>4853</v>
      </c>
      <c r="D1296" s="1736"/>
      <c r="E1296" s="1043">
        <v>2.5499999999999998</v>
      </c>
      <c r="F1296" s="1043"/>
      <c r="G1296" s="1550"/>
    </row>
    <row r="1297" spans="1:7">
      <c r="A1297" s="1754">
        <v>39247</v>
      </c>
      <c r="B1297" s="125" t="str">
        <f>TiposLancamentos!B70</f>
        <v>Vestuário</v>
      </c>
      <c r="C1297" s="1040" t="s">
        <v>5523</v>
      </c>
      <c r="D1297" s="1736"/>
      <c r="E1297" s="1043">
        <v>63.7</v>
      </c>
      <c r="F1297" s="1043"/>
      <c r="G1297" s="1550"/>
    </row>
    <row r="1298" spans="1:7">
      <c r="A1298" s="1754">
        <v>39247</v>
      </c>
      <c r="B1298" s="125" t="str">
        <f>TiposLancamentos!B71</f>
        <v>Itens Pessoais</v>
      </c>
      <c r="C1298" s="1040" t="s">
        <v>5524</v>
      </c>
      <c r="D1298" s="1736"/>
      <c r="E1298" s="1043">
        <v>80</v>
      </c>
      <c r="F1298" s="1043"/>
      <c r="G1298" s="1550"/>
    </row>
    <row r="1299" spans="1:7">
      <c r="A1299" s="1754">
        <v>39248</v>
      </c>
      <c r="B1299" s="125" t="str">
        <f>TiposLancamentos!B24</f>
        <v>Estacionamentos</v>
      </c>
      <c r="C1299" s="1040" t="s">
        <v>5392</v>
      </c>
      <c r="D1299" s="1736"/>
      <c r="E1299" s="1043">
        <v>24.31</v>
      </c>
      <c r="F1299" s="1043"/>
      <c r="G1299" s="1550"/>
    </row>
    <row r="1300" spans="1:7">
      <c r="A1300" s="1754">
        <v>39254</v>
      </c>
      <c r="B1300" s="125" t="str">
        <f>TiposLancamentos!B16</f>
        <v>Cristiane</v>
      </c>
      <c r="C1300" s="1040" t="s">
        <v>5525</v>
      </c>
      <c r="D1300" s="1736"/>
      <c r="E1300" s="1043">
        <v>25</v>
      </c>
      <c r="F1300" s="1043"/>
      <c r="G1300" s="1550"/>
    </row>
    <row r="1301" spans="1:7">
      <c r="A1301" s="1754">
        <v>39254</v>
      </c>
      <c r="B1301" s="125" t="str">
        <f>TiposLancamentos!B45</f>
        <v>Online Services</v>
      </c>
      <c r="C1301" s="1040" t="s">
        <v>5385</v>
      </c>
      <c r="D1301" s="1736"/>
      <c r="E1301" s="1043">
        <v>11.98</v>
      </c>
      <c r="F1301" s="1043"/>
      <c r="G1301" s="1550"/>
    </row>
    <row r="1302" spans="1:7" ht="14.25" thickBot="1">
      <c r="A1302" s="1754">
        <v>39255</v>
      </c>
      <c r="B1302" s="125" t="str">
        <f>TiposLancamentos!B4</f>
        <v>Taxas Bancarias</v>
      </c>
      <c r="C1302" s="1040" t="s">
        <v>4853</v>
      </c>
      <c r="D1302" s="1736"/>
      <c r="E1302" s="1043">
        <v>0.64</v>
      </c>
      <c r="F1302" s="1043"/>
      <c r="G1302" s="1550"/>
    </row>
    <row r="1303" spans="1:7">
      <c r="A1303" s="1834"/>
      <c r="B1303" s="977"/>
      <c r="C1303" s="1854" t="s">
        <v>5526</v>
      </c>
      <c r="D1303" s="1823"/>
      <c r="E1303" s="1821"/>
      <c r="F1303" s="1821"/>
      <c r="G1303" s="1895"/>
    </row>
    <row r="1304" spans="1:7">
      <c r="A1304" s="1754">
        <v>39266</v>
      </c>
      <c r="B1304" s="125" t="str">
        <f>TiposLancamentos!B4</f>
        <v>Taxas Bancarias</v>
      </c>
      <c r="C1304" s="1040" t="s">
        <v>4853</v>
      </c>
      <c r="D1304" s="1736"/>
      <c r="E1304" s="1043">
        <v>0.13</v>
      </c>
      <c r="F1304" s="1043"/>
      <c r="G1304" s="1550"/>
    </row>
    <row r="1305" spans="1:7">
      <c r="A1305" s="1754">
        <v>39279</v>
      </c>
      <c r="B1305" s="125" t="str">
        <f>TiposLancamentos!B98</f>
        <v>Restituições</v>
      </c>
      <c r="C1305" s="1040" t="s">
        <v>5527</v>
      </c>
      <c r="D1305" s="1736">
        <v>82.41</v>
      </c>
      <c r="E1305" s="1043"/>
      <c r="F1305" s="1043"/>
      <c r="G1305" s="1550"/>
    </row>
    <row r="1306" spans="1:7">
      <c r="A1306" s="1754">
        <v>39294</v>
      </c>
      <c r="B1306" s="125" t="str">
        <f>TiposLancamentos!B16</f>
        <v>Cristiane</v>
      </c>
      <c r="C1306" s="1040" t="s">
        <v>5528</v>
      </c>
      <c r="D1306" s="1736"/>
      <c r="E1306" s="1043">
        <v>25</v>
      </c>
      <c r="F1306" s="1043"/>
      <c r="G1306" s="1550"/>
    </row>
    <row r="1307" spans="1:7" ht="14.25" thickBot="1">
      <c r="A1307" s="1754">
        <v>39294</v>
      </c>
      <c r="B1307" s="125" t="str">
        <f>TiposLancamentos!B59</f>
        <v>Documentos</v>
      </c>
      <c r="C1307" s="1040" t="s">
        <v>5529</v>
      </c>
      <c r="D1307" s="1736"/>
      <c r="E1307" s="1043">
        <v>57.17</v>
      </c>
      <c r="F1307" s="1043"/>
      <c r="G1307" s="1550"/>
    </row>
    <row r="1308" spans="1:7">
      <c r="A1308" s="1834"/>
      <c r="B1308" s="977"/>
      <c r="C1308" s="1854" t="s">
        <v>5530</v>
      </c>
      <c r="D1308" s="1823"/>
      <c r="E1308" s="1821"/>
      <c r="F1308" s="1821"/>
      <c r="G1308" s="1895"/>
    </row>
    <row r="1309" spans="1:7">
      <c r="A1309" s="1754">
        <v>39296</v>
      </c>
      <c r="B1309" s="125" t="str">
        <f>TiposLancamentos!B4</f>
        <v>Taxas Bancarias</v>
      </c>
      <c r="C1309" s="1040" t="s">
        <v>4822</v>
      </c>
      <c r="D1309" s="1736"/>
      <c r="E1309" s="1043">
        <v>0.3</v>
      </c>
      <c r="F1309" s="1043"/>
      <c r="G1309" s="1550"/>
    </row>
    <row r="1310" spans="1:7">
      <c r="A1310" s="1754">
        <v>39300</v>
      </c>
      <c r="B1310" s="125" t="str">
        <f>TiposLancamentos!B6</f>
        <v>Energia Eletrica</v>
      </c>
      <c r="C1310" s="1040" t="s">
        <v>5191</v>
      </c>
      <c r="D1310" s="1736"/>
      <c r="E1310" s="1043">
        <v>72.89</v>
      </c>
      <c r="F1310" s="1043"/>
      <c r="G1310" s="1550"/>
    </row>
    <row r="1311" spans="1:7" ht="14.25" thickBot="1">
      <c r="A1311" s="1754">
        <v>39308</v>
      </c>
      <c r="B1311" s="125" t="str">
        <f>TiposLancamentos!B4</f>
        <v>Taxas Bancarias</v>
      </c>
      <c r="C1311" s="1040" t="s">
        <v>4822</v>
      </c>
      <c r="D1311" s="1736"/>
      <c r="E1311" s="1043">
        <v>0.27</v>
      </c>
      <c r="F1311" s="1043"/>
      <c r="G1311" s="1550"/>
    </row>
    <row r="1312" spans="1:7">
      <c r="A1312" s="1834"/>
      <c r="B1312" s="977"/>
      <c r="C1312" s="1854" t="s">
        <v>5531</v>
      </c>
      <c r="D1312" s="1823"/>
      <c r="E1312" s="1821"/>
      <c r="F1312" s="1821"/>
      <c r="G1312" s="1895"/>
    </row>
    <row r="1313" spans="1:7">
      <c r="A1313" s="1754">
        <v>39328</v>
      </c>
      <c r="B1313" s="125" t="str">
        <f>TiposLancamentos!B2</f>
        <v>Telefonia</v>
      </c>
      <c r="C1313" s="1040" t="s">
        <v>5161</v>
      </c>
      <c r="D1313" s="1736"/>
      <c r="E1313" s="1043">
        <v>68.27</v>
      </c>
      <c r="F1313" s="1043"/>
      <c r="G1313" s="1550"/>
    </row>
    <row r="1314" spans="1:7">
      <c r="A1314" s="1754">
        <v>39328</v>
      </c>
      <c r="B1314" s="125" t="str">
        <f>TiposLancamentos!B3</f>
        <v>Internet</v>
      </c>
      <c r="C1314" s="1040" t="s">
        <v>4987</v>
      </c>
      <c r="D1314" s="1736"/>
      <c r="E1314" s="1043">
        <v>89.9</v>
      </c>
      <c r="F1314" s="1043"/>
      <c r="G1314" s="1550"/>
    </row>
    <row r="1315" spans="1:7">
      <c r="A1315" s="1754">
        <v>39329</v>
      </c>
      <c r="B1315" s="125" t="str">
        <f>TiposLancamentos!B98</f>
        <v>Restituições</v>
      </c>
      <c r="C1315" s="1040" t="s">
        <v>5532</v>
      </c>
      <c r="D1315" s="1736">
        <v>3827.99</v>
      </c>
      <c r="E1315" s="1043"/>
      <c r="F1315" s="1043"/>
      <c r="G1315" s="1550"/>
    </row>
    <row r="1316" spans="1:7">
      <c r="A1316" s="1754">
        <v>39329</v>
      </c>
      <c r="B1316" s="125" t="str">
        <f>TiposLancamentos!B19</f>
        <v>Restaurantes</v>
      </c>
      <c r="C1316" s="1040" t="s">
        <v>5133</v>
      </c>
      <c r="D1316" s="1736"/>
      <c r="E1316" s="1043">
        <v>26</v>
      </c>
      <c r="F1316" s="1043"/>
      <c r="G1316" s="1550"/>
    </row>
    <row r="1317" spans="1:7">
      <c r="A1317" s="1754">
        <v>39329</v>
      </c>
      <c r="B1317" s="125" t="str">
        <f>TiposLancamentos!B17</f>
        <v>GATO</v>
      </c>
      <c r="C1317" s="1040" t="s">
        <v>5533</v>
      </c>
      <c r="D1317" s="1736"/>
      <c r="E1317" s="1043">
        <v>50.95</v>
      </c>
      <c r="F1317" s="1043"/>
      <c r="G1317" s="1550"/>
    </row>
    <row r="1318" spans="1:7">
      <c r="A1318" s="1754">
        <v>39329</v>
      </c>
      <c r="B1318" s="125" t="str">
        <f>TiposLancamentos!B56</f>
        <v>Farmácia</v>
      </c>
      <c r="C1318" s="1040" t="s">
        <v>5534</v>
      </c>
      <c r="D1318" s="1736"/>
      <c r="E1318" s="1043">
        <v>74.89</v>
      </c>
      <c r="F1318" s="1043"/>
      <c r="G1318" s="1550"/>
    </row>
    <row r="1319" spans="1:7">
      <c r="A1319" s="1754">
        <v>39329</v>
      </c>
      <c r="B1319" s="125" t="str">
        <f>TiposLancamentos!B5</f>
        <v>Supermercado</v>
      </c>
      <c r="C1319" s="1040" t="s">
        <v>5535</v>
      </c>
      <c r="D1319" s="1736"/>
      <c r="E1319" s="1043">
        <v>14.97</v>
      </c>
      <c r="F1319" s="1043"/>
      <c r="G1319" s="1550"/>
    </row>
    <row r="1320" spans="1:7">
      <c r="A1320" s="1754">
        <v>39330</v>
      </c>
      <c r="B1320" s="125" t="str">
        <f>TiposLancamentos!B6</f>
        <v>Energia Eletrica</v>
      </c>
      <c r="C1320" s="1040" t="s">
        <v>5536</v>
      </c>
      <c r="D1320" s="1736"/>
      <c r="E1320" s="1043">
        <v>61.38</v>
      </c>
      <c r="F1320" s="1043"/>
      <c r="G1320" s="1550"/>
    </row>
    <row r="1321" spans="1:7">
      <c r="A1321" s="1754">
        <v>39330</v>
      </c>
      <c r="B1321" s="125" t="str">
        <f>TiposLancamentos!B16</f>
        <v>Cristiane</v>
      </c>
      <c r="C1321" s="1040" t="s">
        <v>5537</v>
      </c>
      <c r="D1321" s="1736"/>
      <c r="E1321" s="1043">
        <v>15</v>
      </c>
      <c r="F1321" s="1043"/>
      <c r="G1321" s="1550"/>
    </row>
    <row r="1322" spans="1:7">
      <c r="A1322" s="1754">
        <v>39330</v>
      </c>
      <c r="B1322" s="125" t="str">
        <f>TiposLancamentos!B105</f>
        <v>Transf. Bco</v>
      </c>
      <c r="C1322" s="1040" t="s">
        <v>5538</v>
      </c>
      <c r="D1322" s="1736"/>
      <c r="E1322" s="1043">
        <v>762</v>
      </c>
      <c r="F1322" s="1043"/>
      <c r="G1322" s="1550"/>
    </row>
    <row r="1323" spans="1:7">
      <c r="A1323" s="1754">
        <v>39333</v>
      </c>
      <c r="B1323" s="125" t="str">
        <f>TiposLancamentos!B17</f>
        <v>GATO</v>
      </c>
      <c r="C1323" s="1040" t="s">
        <v>5539</v>
      </c>
      <c r="D1323" s="1736"/>
      <c r="E1323" s="1043">
        <v>175</v>
      </c>
      <c r="F1323" s="1043"/>
      <c r="G1323" s="1550"/>
    </row>
    <row r="1324" spans="1:7">
      <c r="A1324" s="1754">
        <v>39334</v>
      </c>
      <c r="B1324" s="125" t="str">
        <f>TiposLancamentos!B17</f>
        <v>GATO</v>
      </c>
      <c r="C1324" s="1040" t="s">
        <v>5540</v>
      </c>
      <c r="D1324" s="1736"/>
      <c r="E1324" s="1043">
        <v>88.7</v>
      </c>
      <c r="F1324" s="1043"/>
      <c r="G1324" s="1550"/>
    </row>
    <row r="1325" spans="1:7">
      <c r="A1325" s="1754">
        <v>39336</v>
      </c>
      <c r="B1325" s="125" t="str">
        <f>TiposLancamentos!B19</f>
        <v>Restaurantes</v>
      </c>
      <c r="C1325" s="1040" t="s">
        <v>5541</v>
      </c>
      <c r="D1325" s="1736"/>
      <c r="E1325" s="1043">
        <v>26</v>
      </c>
      <c r="F1325" s="1043"/>
      <c r="G1325" s="1550"/>
    </row>
    <row r="1326" spans="1:7">
      <c r="A1326" s="1754">
        <v>39337</v>
      </c>
      <c r="B1326" s="125" t="str">
        <f>TiposLancamentos!B4</f>
        <v>Taxas Bancarias</v>
      </c>
      <c r="C1326" s="1040" t="s">
        <v>4822</v>
      </c>
      <c r="D1326" s="1736"/>
      <c r="E1326" s="1043">
        <v>3.02</v>
      </c>
      <c r="F1326" s="1043"/>
      <c r="G1326" s="1550"/>
    </row>
    <row r="1327" spans="1:7">
      <c r="A1327" s="1754">
        <v>39337</v>
      </c>
      <c r="B1327" s="125" t="str">
        <f>TiposLancamentos!B5</f>
        <v>Supermercado</v>
      </c>
      <c r="C1327" s="1040" t="s">
        <v>2567</v>
      </c>
      <c r="D1327" s="1736"/>
      <c r="E1327" s="1043">
        <v>56.9</v>
      </c>
      <c r="F1327" s="1043"/>
      <c r="G1327" s="1550"/>
    </row>
    <row r="1328" spans="1:7">
      <c r="A1328" s="1754">
        <v>39338</v>
      </c>
      <c r="B1328" s="125" t="str">
        <f>TiposLancamentos!B56</f>
        <v>Farmácia</v>
      </c>
      <c r="C1328" s="1040" t="s">
        <v>5542</v>
      </c>
      <c r="D1328" s="1736"/>
      <c r="E1328" s="1043">
        <v>48.44</v>
      </c>
      <c r="F1328" s="1043"/>
      <c r="G1328" s="1550"/>
    </row>
    <row r="1329" spans="1:7">
      <c r="A1329" s="1754">
        <v>39338</v>
      </c>
      <c r="B1329" s="125" t="str">
        <f>TiposLancamentos!B59</f>
        <v>Documentos</v>
      </c>
      <c r="C1329" s="1040" t="s">
        <v>5543</v>
      </c>
      <c r="D1329" s="1736"/>
      <c r="E1329" s="1043">
        <v>59.38</v>
      </c>
      <c r="F1329" s="1043"/>
      <c r="G1329" s="1550"/>
    </row>
    <row r="1330" spans="1:7">
      <c r="A1330" s="1754">
        <v>39340</v>
      </c>
      <c r="B1330" s="125" t="str">
        <f>TiposLancamentos!B19</f>
        <v>Restaurantes</v>
      </c>
      <c r="C1330" s="1040" t="s">
        <v>4993</v>
      </c>
      <c r="D1330" s="1736"/>
      <c r="E1330" s="1043">
        <v>18.7</v>
      </c>
      <c r="F1330" s="1043"/>
      <c r="G1330" s="1550"/>
    </row>
    <row r="1331" spans="1:7">
      <c r="A1331" s="1754">
        <v>39341</v>
      </c>
      <c r="B1331" s="125" t="str">
        <f>TiposLancamentos!B19</f>
        <v>Restaurantes</v>
      </c>
      <c r="C1331" s="1040" t="s">
        <v>5544</v>
      </c>
      <c r="D1331" s="1736"/>
      <c r="E1331" s="1043">
        <v>14.5</v>
      </c>
      <c r="F1331" s="1043"/>
      <c r="G1331" s="1550"/>
    </row>
    <row r="1332" spans="1:7">
      <c r="A1332" s="1754">
        <v>39341</v>
      </c>
      <c r="B1332" s="125" t="str">
        <f>TiposLancamentos!B22</f>
        <v>Combustivel</v>
      </c>
      <c r="C1332" s="1040" t="s">
        <v>3615</v>
      </c>
      <c r="D1332" s="1736"/>
      <c r="E1332" s="1043">
        <v>60</v>
      </c>
      <c r="F1332" s="1043"/>
      <c r="G1332" s="1550"/>
    </row>
    <row r="1333" spans="1:7">
      <c r="A1333" s="1666">
        <v>39342</v>
      </c>
      <c r="B1333" s="817" t="str">
        <f>TiposLancamentos!B8</f>
        <v>Aluguel</v>
      </c>
      <c r="C1333" s="1742" t="s">
        <v>5545</v>
      </c>
      <c r="D1333" s="1843"/>
      <c r="E1333" s="1839">
        <v>804.8</v>
      </c>
      <c r="F1333" s="1043"/>
      <c r="G1333" s="1550"/>
    </row>
    <row r="1334" spans="1:7">
      <c r="A1334" s="1750">
        <v>39342</v>
      </c>
      <c r="B1334" s="818" t="str">
        <f>TiposLancamentos!B9</f>
        <v>Condominio</v>
      </c>
      <c r="C1334" s="1743" t="s">
        <v>5546</v>
      </c>
      <c r="D1334" s="1844"/>
      <c r="E1334" s="1840">
        <f>993.67-E1333</f>
        <v>188.87</v>
      </c>
      <c r="F1334" s="1043"/>
      <c r="G1334" s="1550"/>
    </row>
    <row r="1335" spans="1:7">
      <c r="A1335" s="1754">
        <v>39342</v>
      </c>
      <c r="B1335" s="125" t="str">
        <f>TiposLancamentos!B105</f>
        <v>Transf. Bco</v>
      </c>
      <c r="C1335" s="1040" t="s">
        <v>5547</v>
      </c>
      <c r="D1335" s="1736"/>
      <c r="E1335" s="1043">
        <v>105</v>
      </c>
      <c r="F1335" s="1043"/>
      <c r="G1335" s="1550"/>
    </row>
    <row r="1336" spans="1:7">
      <c r="A1336" s="1754">
        <v>39344</v>
      </c>
      <c r="B1336" s="125" t="str">
        <f>TiposLancamentos!B5</f>
        <v>Supermercado</v>
      </c>
      <c r="C1336" s="1040" t="s">
        <v>5548</v>
      </c>
      <c r="D1336" s="1736"/>
      <c r="E1336" s="1043">
        <v>37.200000000000003</v>
      </c>
      <c r="F1336" s="1043"/>
      <c r="G1336" s="1550"/>
    </row>
    <row r="1337" spans="1:7">
      <c r="A1337" s="1754">
        <v>39344</v>
      </c>
      <c r="B1337" s="125" t="str">
        <f>TiposLancamentos!B56</f>
        <v>Farmácia</v>
      </c>
      <c r="C1337" s="1040" t="s">
        <v>5444</v>
      </c>
      <c r="D1337" s="1736"/>
      <c r="E1337" s="1043">
        <v>80.95</v>
      </c>
      <c r="F1337" s="1043"/>
      <c r="G1337" s="1550"/>
    </row>
    <row r="1338" spans="1:7">
      <c r="A1338" s="1754">
        <v>39344</v>
      </c>
      <c r="B1338" s="125" t="str">
        <f>TiposLancamentos!B5</f>
        <v>Supermercado</v>
      </c>
      <c r="C1338" s="1040" t="s">
        <v>5549</v>
      </c>
      <c r="D1338" s="1736"/>
      <c r="E1338" s="1043">
        <v>18.670000000000002</v>
      </c>
      <c r="F1338" s="1043"/>
      <c r="G1338" s="1550"/>
    </row>
    <row r="1339" spans="1:7">
      <c r="A1339" s="1754">
        <v>39345</v>
      </c>
      <c r="B1339" s="125" t="str">
        <f>TiposLancamentos!B20</f>
        <v>Saques</v>
      </c>
      <c r="C1339" s="1040" t="s">
        <v>2655</v>
      </c>
      <c r="D1339" s="1736"/>
      <c r="E1339" s="1043">
        <v>70</v>
      </c>
      <c r="F1339" s="1043"/>
      <c r="G1339" s="1550"/>
    </row>
    <row r="1340" spans="1:7">
      <c r="A1340" s="1754">
        <v>39346</v>
      </c>
      <c r="B1340" s="125" t="str">
        <f>TiposLancamentos!B85</f>
        <v>Peugeout 206</v>
      </c>
      <c r="C1340" s="1040" t="s">
        <v>5550</v>
      </c>
      <c r="D1340" s="1736"/>
      <c r="E1340" s="1043">
        <v>747.83</v>
      </c>
      <c r="F1340" s="1043"/>
      <c r="G1340" s="1550"/>
    </row>
    <row r="1341" spans="1:7">
      <c r="A1341" s="1754">
        <v>39348</v>
      </c>
      <c r="B1341" s="125" t="str">
        <f>TiposLancamentos!B5</f>
        <v>Supermercado</v>
      </c>
      <c r="C1341" s="1040" t="s">
        <v>5551</v>
      </c>
      <c r="D1341" s="1736"/>
      <c r="E1341" s="1043">
        <v>35.130000000000003</v>
      </c>
      <c r="F1341" s="1043"/>
      <c r="G1341" s="1550"/>
    </row>
    <row r="1342" spans="1:7">
      <c r="A1342" s="1754">
        <v>39349</v>
      </c>
      <c r="B1342" s="125" t="str">
        <f>TiposLancamentos!B4</f>
        <v>Taxas Bancarias</v>
      </c>
      <c r="C1342" s="1040" t="s">
        <v>4853</v>
      </c>
      <c r="D1342" s="1736"/>
      <c r="E1342" s="1043">
        <v>5.58</v>
      </c>
      <c r="F1342" s="1043"/>
      <c r="G1342" s="1550"/>
    </row>
    <row r="1343" spans="1:7">
      <c r="A1343" s="1754">
        <v>39350</v>
      </c>
      <c r="B1343" s="125" t="str">
        <f>TiposLancamentos!B19</f>
        <v>Restaurantes</v>
      </c>
      <c r="C1343" s="1040" t="s">
        <v>5552</v>
      </c>
      <c r="D1343" s="1736"/>
      <c r="E1343" s="1043">
        <v>21</v>
      </c>
      <c r="F1343" s="1043"/>
      <c r="G1343" s="1550"/>
    </row>
    <row r="1344" spans="1:7">
      <c r="A1344" s="1754">
        <v>39350</v>
      </c>
      <c r="B1344" s="125" t="str">
        <f>TiposLancamentos!B56</f>
        <v>Farmácia</v>
      </c>
      <c r="C1344" s="1040" t="s">
        <v>5444</v>
      </c>
      <c r="D1344" s="1736"/>
      <c r="E1344" s="1043">
        <v>68.489999999999995</v>
      </c>
      <c r="F1344" s="1043"/>
      <c r="G1344" s="1550"/>
    </row>
    <row r="1345" spans="1:7">
      <c r="A1345" s="1754">
        <v>39352</v>
      </c>
      <c r="B1345" s="125" t="str">
        <f>TiposLancamentos!B16</f>
        <v>Cristiane</v>
      </c>
      <c r="C1345" s="1040" t="s">
        <v>5553</v>
      </c>
      <c r="D1345" s="1736"/>
      <c r="E1345" s="1043">
        <v>100</v>
      </c>
      <c r="F1345" s="1043"/>
      <c r="G1345" s="1550"/>
    </row>
    <row r="1346" spans="1:7" ht="14.25" thickBot="1">
      <c r="A1346" s="1754">
        <v>39353</v>
      </c>
      <c r="B1346" s="125" t="str">
        <f>TiposLancamentos!B19</f>
        <v>Restaurantes</v>
      </c>
      <c r="C1346" s="1040" t="s">
        <v>5554</v>
      </c>
      <c r="D1346" s="1736"/>
      <c r="E1346" s="1043">
        <v>31</v>
      </c>
      <c r="F1346" s="1043"/>
      <c r="G1346" s="1550"/>
    </row>
    <row r="1347" spans="1:7">
      <c r="A1347" s="1834"/>
      <c r="B1347" s="977"/>
      <c r="C1347" s="1854" t="s">
        <v>5555</v>
      </c>
      <c r="D1347" s="1823"/>
      <c r="E1347" s="1821"/>
      <c r="F1347" s="1821"/>
      <c r="G1347" s="1895"/>
    </row>
    <row r="1348" spans="1:7">
      <c r="A1348" s="1754">
        <v>39356</v>
      </c>
      <c r="B1348" s="125" t="str">
        <f>TiposLancamentos!B2</f>
        <v>Telefonia</v>
      </c>
      <c r="C1348" s="1040" t="s">
        <v>5556</v>
      </c>
      <c r="D1348" s="1736"/>
      <c r="E1348" s="1043">
        <v>75.53</v>
      </c>
      <c r="F1348" s="1043"/>
      <c r="G1348" s="1550"/>
    </row>
    <row r="1349" spans="1:7">
      <c r="A1349" s="1754">
        <v>39356</v>
      </c>
      <c r="B1349" s="125" t="str">
        <f>TiposLancamentos!B3</f>
        <v>Internet</v>
      </c>
      <c r="C1349" s="1040" t="s">
        <v>4987</v>
      </c>
      <c r="D1349" s="1736"/>
      <c r="E1349" s="1043">
        <v>89.9</v>
      </c>
      <c r="F1349" s="1043"/>
      <c r="G1349" s="1550"/>
    </row>
    <row r="1350" spans="1:7">
      <c r="A1350" s="1754">
        <v>39356</v>
      </c>
      <c r="B1350" s="125" t="str">
        <f>TiposLancamentos!B15</f>
        <v>Cartões de Crédito</v>
      </c>
      <c r="C1350" s="1040" t="s">
        <v>5557</v>
      </c>
      <c r="D1350" s="1736"/>
      <c r="E1350" s="1043">
        <v>71.78</v>
      </c>
      <c r="F1350" s="1043"/>
      <c r="G1350" s="1550"/>
    </row>
    <row r="1351" spans="1:7">
      <c r="A1351" s="1754">
        <v>39356</v>
      </c>
      <c r="B1351" s="125" t="str">
        <f>TiposLancamentos!B4</f>
        <v>Taxas Bancarias</v>
      </c>
      <c r="C1351" s="1040" t="s">
        <v>4858</v>
      </c>
      <c r="D1351" s="1736"/>
      <c r="E1351" s="1043">
        <v>0.02</v>
      </c>
      <c r="F1351" s="1043"/>
      <c r="G1351" s="1550"/>
    </row>
    <row r="1352" spans="1:7">
      <c r="A1352" s="1754">
        <v>39357</v>
      </c>
      <c r="B1352" s="125" t="str">
        <f>TiposLancamentos!B4</f>
        <v>Taxas Bancarias</v>
      </c>
      <c r="C1352" s="1040" t="s">
        <v>4822</v>
      </c>
      <c r="D1352" s="1736"/>
      <c r="E1352" s="1043">
        <v>3.61</v>
      </c>
      <c r="F1352" s="1043"/>
      <c r="G1352" s="1550"/>
    </row>
    <row r="1353" spans="1:7">
      <c r="A1353" s="1754">
        <v>39357</v>
      </c>
      <c r="B1353" s="125" t="str">
        <f>TiposLancamentos!B15</f>
        <v>Cartões de Crédito</v>
      </c>
      <c r="C1353" s="1040" t="s">
        <v>5558</v>
      </c>
      <c r="D1353" s="1736"/>
      <c r="E1353" s="1043">
        <v>535.75</v>
      </c>
      <c r="F1353" s="1043"/>
      <c r="G1353" s="1550"/>
    </row>
    <row r="1354" spans="1:7">
      <c r="A1354" s="1754">
        <v>39357</v>
      </c>
      <c r="B1354" s="125" t="str">
        <f>TiposLancamentos!B15</f>
        <v>Cartões de Crédito</v>
      </c>
      <c r="C1354" s="1040" t="s">
        <v>5559</v>
      </c>
      <c r="D1354" s="1736"/>
      <c r="E1354" s="1043">
        <v>218.14</v>
      </c>
      <c r="F1354" s="1043"/>
      <c r="G1354" s="1550"/>
    </row>
    <row r="1355" spans="1:7">
      <c r="A1355" s="1754">
        <v>39357</v>
      </c>
      <c r="B1355" s="125" t="str">
        <f>TiposLancamentos!B98</f>
        <v>Restituições</v>
      </c>
      <c r="C1355" s="1040" t="s">
        <v>5532</v>
      </c>
      <c r="D1355" s="1736">
        <v>1817.06</v>
      </c>
      <c r="E1355" s="1043"/>
      <c r="F1355" s="1043"/>
      <c r="G1355" s="1550"/>
    </row>
    <row r="1356" spans="1:7">
      <c r="A1356" s="1754">
        <v>39358</v>
      </c>
      <c r="B1356" s="125" t="str">
        <f>TiposLancamentos!B16</f>
        <v>Cristiane</v>
      </c>
      <c r="C1356" s="1040" t="s">
        <v>5560</v>
      </c>
      <c r="D1356" s="1736"/>
      <c r="E1356" s="1043">
        <v>100</v>
      </c>
      <c r="F1356" s="1043"/>
      <c r="G1356" s="1550"/>
    </row>
    <row r="1357" spans="1:7">
      <c r="A1357" s="1754">
        <v>39360</v>
      </c>
      <c r="B1357" s="125" t="str">
        <f>TiposLancamentos!B6</f>
        <v>Energia Eletrica</v>
      </c>
      <c r="C1357" s="1040" t="s">
        <v>5561</v>
      </c>
      <c r="D1357" s="1736"/>
      <c r="E1357" s="1043">
        <v>57.13</v>
      </c>
      <c r="F1357" s="1043"/>
      <c r="G1357" s="1550"/>
    </row>
    <row r="1358" spans="1:7">
      <c r="A1358" s="1754">
        <v>39362</v>
      </c>
      <c r="B1358" s="125" t="str">
        <f>TiposLancamentos!B18</f>
        <v>Alimentacao</v>
      </c>
      <c r="C1358" s="1040" t="s">
        <v>5562</v>
      </c>
      <c r="D1358" s="1736"/>
      <c r="E1358" s="1043">
        <v>15.81</v>
      </c>
      <c r="F1358" s="1043"/>
      <c r="G1358" s="1550"/>
    </row>
    <row r="1359" spans="1:7">
      <c r="A1359" s="1754">
        <v>39363</v>
      </c>
      <c r="B1359" s="125" t="str">
        <f>TiposLancamentos!B105</f>
        <v>Transf. Bco</v>
      </c>
      <c r="C1359" s="1040" t="s">
        <v>5563</v>
      </c>
      <c r="D1359" s="1736"/>
      <c r="E1359" s="1043">
        <v>85</v>
      </c>
      <c r="F1359" s="1043"/>
      <c r="G1359" s="1550"/>
    </row>
    <row r="1360" spans="1:7">
      <c r="A1360" s="1754">
        <v>39365</v>
      </c>
      <c r="B1360" s="125" t="str">
        <f>TiposLancamentos!B4</f>
        <v>Taxas Bancarias</v>
      </c>
      <c r="C1360" s="1040" t="s">
        <v>5564</v>
      </c>
      <c r="D1360" s="1736"/>
      <c r="E1360" s="1043">
        <v>1.65</v>
      </c>
      <c r="F1360" s="1043"/>
      <c r="G1360" s="1550"/>
    </row>
    <row r="1361" spans="1:7">
      <c r="A1361" s="1754">
        <v>39366</v>
      </c>
      <c r="B1361" s="125" t="str">
        <f>TiposLancamentos!B13</f>
        <v>Moradia</v>
      </c>
      <c r="C1361" s="1040" t="s">
        <v>5565</v>
      </c>
      <c r="D1361" s="1736"/>
      <c r="E1361" s="1043">
        <v>30</v>
      </c>
      <c r="F1361" s="1043"/>
      <c r="G1361" s="1550"/>
    </row>
    <row r="1362" spans="1:7">
      <c r="A1362" s="1754">
        <v>39368</v>
      </c>
      <c r="B1362" s="125" t="str">
        <f>TiposLancamentos!B20</f>
        <v>Saques</v>
      </c>
      <c r="C1362" s="1040" t="s">
        <v>5566</v>
      </c>
      <c r="D1362" s="1736"/>
      <c r="E1362" s="1043">
        <v>20</v>
      </c>
      <c r="F1362" s="1043"/>
      <c r="G1362" s="1550"/>
    </row>
    <row r="1363" spans="1:7">
      <c r="A1363" s="1754">
        <v>39368</v>
      </c>
      <c r="B1363" s="125" t="str">
        <f>TiposLancamentos!B56</f>
        <v>Farmácia</v>
      </c>
      <c r="C1363" s="1040" t="s">
        <v>5567</v>
      </c>
      <c r="D1363" s="1736"/>
      <c r="E1363" s="1043">
        <v>8.6999999999999993</v>
      </c>
      <c r="F1363" s="1043"/>
      <c r="G1363" s="1550"/>
    </row>
    <row r="1364" spans="1:7">
      <c r="A1364" s="1754">
        <v>39370</v>
      </c>
      <c r="B1364" s="125" t="str">
        <f>TiposLancamentos!B13</f>
        <v>Moradia</v>
      </c>
      <c r="C1364" s="1040" t="s">
        <v>5568</v>
      </c>
      <c r="D1364" s="1736"/>
      <c r="E1364" s="1043">
        <v>151.94</v>
      </c>
      <c r="F1364" s="1043"/>
      <c r="G1364" s="1550"/>
    </row>
    <row r="1365" spans="1:7">
      <c r="A1365" s="1754">
        <v>39370</v>
      </c>
      <c r="B1365" s="125" t="str">
        <f>TiposLancamentos!B4</f>
        <v>Taxas Bancarias</v>
      </c>
      <c r="C1365" s="1040" t="s">
        <v>4853</v>
      </c>
      <c r="D1365" s="1736"/>
      <c r="E1365" s="1043">
        <v>6.06</v>
      </c>
      <c r="F1365" s="1043"/>
      <c r="G1365" s="1550"/>
    </row>
    <row r="1366" spans="1:7">
      <c r="A1366" s="1666">
        <v>39370</v>
      </c>
      <c r="B1366" s="817" t="str">
        <f>TiposLancamentos!B9</f>
        <v>Condominio</v>
      </c>
      <c r="C1366" s="1742" t="s">
        <v>5569</v>
      </c>
      <c r="D1366" s="1843"/>
      <c r="E1366" s="1843">
        <v>228.96</v>
      </c>
      <c r="F1366" s="1043"/>
      <c r="G1366" s="1550"/>
    </row>
    <row r="1367" spans="1:7">
      <c r="A1367" s="1750">
        <v>39370</v>
      </c>
      <c r="B1367" s="818" t="str">
        <f>TiposLancamentos!B8</f>
        <v>Aluguel</v>
      </c>
      <c r="C1367" s="1743" t="s">
        <v>5570</v>
      </c>
      <c r="D1367" s="1844"/>
      <c r="E1367" s="1844">
        <v>804.8</v>
      </c>
      <c r="F1367" s="1043"/>
      <c r="G1367" s="1550"/>
    </row>
    <row r="1368" spans="1:7">
      <c r="A1368" s="1754">
        <v>39371</v>
      </c>
      <c r="B1368" s="125" t="str">
        <f>TiposLancamentos!B20</f>
        <v>Saques</v>
      </c>
      <c r="C1368" s="1040" t="s">
        <v>2668</v>
      </c>
      <c r="D1368" s="1736"/>
      <c r="E1368" s="1043">
        <v>40</v>
      </c>
      <c r="F1368" s="1043"/>
      <c r="G1368" s="1550"/>
    </row>
    <row r="1369" spans="1:7">
      <c r="A1369" s="1754">
        <v>39372</v>
      </c>
      <c r="B1369" s="125" t="str">
        <f>TiposLancamentos!B19</f>
        <v>Restaurantes</v>
      </c>
      <c r="C1369" s="1040" t="s">
        <v>5002</v>
      </c>
      <c r="D1369" s="1736"/>
      <c r="E1369" s="1043">
        <v>29.25</v>
      </c>
      <c r="F1369" s="1043"/>
      <c r="G1369" s="1550"/>
    </row>
    <row r="1370" spans="1:7">
      <c r="A1370" s="1754">
        <v>39373</v>
      </c>
      <c r="B1370" s="125" t="str">
        <f>TiposLancamentos!B19</f>
        <v>Restaurantes</v>
      </c>
      <c r="C1370" s="1040" t="s">
        <v>5571</v>
      </c>
      <c r="D1370" s="1736"/>
      <c r="E1370" s="1043">
        <v>26.8</v>
      </c>
      <c r="F1370" s="1043"/>
      <c r="G1370" s="1550"/>
    </row>
    <row r="1371" spans="1:7">
      <c r="A1371" s="1754">
        <v>39373</v>
      </c>
      <c r="B1371" s="125" t="str">
        <f>TiposLancamentos!B17</f>
        <v>GATO</v>
      </c>
      <c r="C1371" s="1040" t="s">
        <v>5572</v>
      </c>
      <c r="D1371" s="1736"/>
      <c r="E1371" s="1043">
        <v>16.16</v>
      </c>
      <c r="F1371" s="1043"/>
      <c r="G1371" s="1550"/>
    </row>
    <row r="1372" spans="1:7">
      <c r="A1372" s="1754">
        <v>39373</v>
      </c>
      <c r="B1372" s="125" t="str">
        <f>TiposLancamentos!B20</f>
        <v>Saques</v>
      </c>
      <c r="C1372" s="1040" t="s">
        <v>2668</v>
      </c>
      <c r="D1372" s="1736"/>
      <c r="E1372" s="1043">
        <v>20</v>
      </c>
      <c r="F1372" s="1043"/>
      <c r="G1372" s="1550"/>
    </row>
    <row r="1373" spans="1:7">
      <c r="A1373" s="1754">
        <v>39373</v>
      </c>
      <c r="B1373" s="125" t="str">
        <f>TiposLancamentos!B22</f>
        <v>Combustivel</v>
      </c>
      <c r="C1373" s="1040" t="s">
        <v>5505</v>
      </c>
      <c r="D1373" s="1736"/>
      <c r="E1373" s="1043">
        <v>50</v>
      </c>
      <c r="F1373" s="1043"/>
      <c r="G1373" s="1550"/>
    </row>
    <row r="1374" spans="1:7">
      <c r="A1374" s="1754">
        <v>39374</v>
      </c>
      <c r="B1374" s="125" t="str">
        <f>TiposLancamentos!B19</f>
        <v>Restaurantes</v>
      </c>
      <c r="C1374" s="1040" t="s">
        <v>5573</v>
      </c>
      <c r="D1374" s="1736"/>
      <c r="E1374" s="1043">
        <v>53.1</v>
      </c>
      <c r="F1374" s="1043"/>
      <c r="G1374" s="1550"/>
    </row>
    <row r="1375" spans="1:7">
      <c r="A1375" s="1754">
        <v>39375</v>
      </c>
      <c r="B1375" s="125" t="str">
        <f>TiposLancamentos!B20</f>
        <v>Saques</v>
      </c>
      <c r="C1375" s="1040" t="s">
        <v>2668</v>
      </c>
      <c r="D1375" s="1736"/>
      <c r="E1375" s="1043">
        <v>20</v>
      </c>
      <c r="F1375" s="1043"/>
      <c r="G1375" s="1550"/>
    </row>
    <row r="1376" spans="1:7">
      <c r="A1376" s="1754">
        <v>39377</v>
      </c>
      <c r="B1376" s="125" t="str">
        <f>TiposLancamentos!B85</f>
        <v>Peugeout 206</v>
      </c>
      <c r="C1376" s="1040" t="s">
        <v>5574</v>
      </c>
      <c r="D1376" s="1736"/>
      <c r="E1376" s="1043">
        <v>747.83</v>
      </c>
      <c r="F1376" s="1043"/>
      <c r="G1376" s="1550"/>
    </row>
    <row r="1377" spans="1:7">
      <c r="A1377" s="1754">
        <v>39378</v>
      </c>
      <c r="B1377" s="125" t="str">
        <f>TiposLancamentos!B19</f>
        <v>Restaurantes</v>
      </c>
      <c r="C1377" s="1040" t="s">
        <v>5575</v>
      </c>
      <c r="D1377" s="1736"/>
      <c r="E1377" s="1043">
        <v>19.16</v>
      </c>
      <c r="F1377" s="1043"/>
      <c r="G1377" s="1550"/>
    </row>
    <row r="1378" spans="1:7">
      <c r="A1378" s="1754">
        <v>39378</v>
      </c>
      <c r="B1378" s="125" t="str">
        <f>TiposLancamentos!B56</f>
        <v>Farmácia</v>
      </c>
      <c r="C1378" s="1040" t="s">
        <v>5576</v>
      </c>
      <c r="D1378" s="1736"/>
      <c r="E1378" s="1043">
        <v>23.95</v>
      </c>
      <c r="F1378" s="1043"/>
      <c r="G1378" s="1550"/>
    </row>
    <row r="1379" spans="1:7">
      <c r="A1379" s="1754">
        <v>39378</v>
      </c>
      <c r="B1379" s="125" t="str">
        <f>TiposLancamentos!B4</f>
        <v>Taxas Bancarias</v>
      </c>
      <c r="C1379" s="1040" t="s">
        <v>4853</v>
      </c>
      <c r="D1379" s="1736"/>
      <c r="E1379" s="1043">
        <v>5.27</v>
      </c>
      <c r="F1379" s="1043"/>
      <c r="G1379" s="1550"/>
    </row>
    <row r="1380" spans="1:7">
      <c r="A1380" s="1754">
        <v>39379</v>
      </c>
      <c r="B1380" s="125" t="str">
        <f>TiposLancamentos!B19</f>
        <v>Restaurantes</v>
      </c>
      <c r="C1380" s="1040" t="s">
        <v>5451</v>
      </c>
      <c r="D1380" s="1736"/>
      <c r="E1380" s="1043">
        <v>26.8</v>
      </c>
      <c r="F1380" s="1043"/>
      <c r="G1380" s="1550"/>
    </row>
    <row r="1381" spans="1:7">
      <c r="A1381" s="1754">
        <v>39380</v>
      </c>
      <c r="B1381" s="125" t="str">
        <f>TiposLancamentos!B5</f>
        <v>Supermercado</v>
      </c>
      <c r="C1381" s="1040" t="s">
        <v>5551</v>
      </c>
      <c r="D1381" s="1736"/>
      <c r="E1381" s="1043">
        <v>26.73</v>
      </c>
      <c r="F1381" s="1043"/>
      <c r="G1381" s="1550"/>
    </row>
    <row r="1382" spans="1:7">
      <c r="A1382" s="1754">
        <v>39382</v>
      </c>
      <c r="B1382" s="125" t="str">
        <f>TiposLancamentos!B19</f>
        <v>Restaurantes</v>
      </c>
      <c r="C1382" s="1040" t="s">
        <v>5577</v>
      </c>
      <c r="D1382" s="1736"/>
      <c r="E1382" s="1043">
        <v>23</v>
      </c>
      <c r="F1382" s="1043"/>
      <c r="G1382" s="1550"/>
    </row>
    <row r="1383" spans="1:7">
      <c r="A1383" s="1754">
        <v>39382</v>
      </c>
      <c r="B1383" s="125" t="str">
        <f>TiposLancamentos!B56</f>
        <v>Farmácia</v>
      </c>
      <c r="C1383" s="1040" t="s">
        <v>5578</v>
      </c>
      <c r="D1383" s="1736"/>
      <c r="E1383" s="1043">
        <v>55.43</v>
      </c>
      <c r="F1383" s="1043"/>
      <c r="G1383" s="1550"/>
    </row>
    <row r="1384" spans="1:7">
      <c r="A1384" s="1754">
        <v>39382</v>
      </c>
      <c r="B1384" s="125" t="str">
        <f>TiposLancamentos!B71</f>
        <v>Itens Pessoais</v>
      </c>
      <c r="C1384" s="1040" t="s">
        <v>5579</v>
      </c>
      <c r="D1384" s="1736"/>
      <c r="E1384" s="1043">
        <v>60</v>
      </c>
      <c r="F1384" s="1043"/>
      <c r="G1384" s="1550"/>
    </row>
    <row r="1385" spans="1:7" ht="14.25" thickBot="1">
      <c r="A1385" s="1754">
        <v>39382</v>
      </c>
      <c r="B1385" s="125" t="str">
        <f>TiposLancamentos!B90</f>
        <v>Locadora</v>
      </c>
      <c r="C1385" s="1040" t="s">
        <v>5580</v>
      </c>
      <c r="D1385" s="1736"/>
      <c r="E1385" s="1043">
        <v>21.5</v>
      </c>
      <c r="F1385" s="1043"/>
      <c r="G1385" s="1550"/>
    </row>
    <row r="1386" spans="1:7">
      <c r="A1386" s="1834"/>
      <c r="B1386" s="977"/>
      <c r="C1386" s="1854" t="s">
        <v>5581</v>
      </c>
      <c r="D1386" s="1823"/>
      <c r="E1386" s="1821"/>
      <c r="F1386" s="1821"/>
      <c r="G1386" s="1895"/>
    </row>
    <row r="1387" spans="1:7">
      <c r="A1387" s="1754">
        <v>39387</v>
      </c>
      <c r="B1387" s="125" t="str">
        <f>TiposLancamentos!B4</f>
        <v>Taxas Bancarias</v>
      </c>
      <c r="C1387" s="1040" t="s">
        <v>4858</v>
      </c>
      <c r="D1387" s="1736"/>
      <c r="E1387" s="1043">
        <v>1.0900000000000001</v>
      </c>
      <c r="F1387" s="1043"/>
      <c r="G1387" s="1550"/>
    </row>
    <row r="1388" spans="1:7">
      <c r="A1388" s="1754">
        <v>39387</v>
      </c>
      <c r="B1388" s="125" t="str">
        <f>TiposLancamentos!B4</f>
        <v>Taxas Bancarias</v>
      </c>
      <c r="C1388" s="1040" t="s">
        <v>5207</v>
      </c>
      <c r="D1388" s="1736"/>
      <c r="E1388" s="1043">
        <v>3.59</v>
      </c>
      <c r="F1388" s="1043"/>
      <c r="G1388" s="1550"/>
    </row>
    <row r="1389" spans="1:7">
      <c r="A1389" s="1754">
        <v>39391</v>
      </c>
      <c r="B1389" s="125" t="str">
        <f>TiposLancamentos!B4</f>
        <v>Taxas Bancarias</v>
      </c>
      <c r="C1389" s="1040" t="s">
        <v>4853</v>
      </c>
      <c r="D1389" s="1736"/>
      <c r="E1389" s="1043">
        <v>4.17</v>
      </c>
      <c r="F1389" s="1043"/>
      <c r="G1389" s="1550"/>
    </row>
    <row r="1390" spans="1:7">
      <c r="A1390" s="1754">
        <v>39391</v>
      </c>
      <c r="B1390" s="125" t="str">
        <f>TiposLancamentos!B98</f>
        <v>Restituições</v>
      </c>
      <c r="C1390" s="1040" t="s">
        <v>5532</v>
      </c>
      <c r="D1390" s="1736">
        <v>2229.88</v>
      </c>
      <c r="E1390" s="1043"/>
      <c r="F1390" s="1043"/>
      <c r="G1390" s="1550"/>
    </row>
    <row r="1391" spans="1:7">
      <c r="A1391" s="1754">
        <v>39393</v>
      </c>
      <c r="B1391" s="125" t="str">
        <f>TiposLancamentos!B20</f>
        <v>Saques</v>
      </c>
      <c r="C1391" s="1040" t="s">
        <v>2668</v>
      </c>
      <c r="D1391" s="1736"/>
      <c r="E1391" s="1043">
        <v>10</v>
      </c>
      <c r="F1391" s="1043"/>
      <c r="G1391" s="1550"/>
    </row>
    <row r="1392" spans="1:7">
      <c r="A1392" s="1754">
        <v>39398</v>
      </c>
      <c r="B1392" s="125" t="str">
        <f>TiposLancamentos!B4</f>
        <v>Taxas Bancarias</v>
      </c>
      <c r="C1392" s="1040" t="s">
        <v>5522</v>
      </c>
      <c r="D1392" s="1736"/>
      <c r="E1392" s="1043">
        <v>60.9</v>
      </c>
      <c r="F1392" s="1043"/>
      <c r="G1392" s="1550"/>
    </row>
    <row r="1393" spans="1:7">
      <c r="A1393" s="1754">
        <v>39399</v>
      </c>
      <c r="B1393" s="125" t="str">
        <f>TiposLancamentos!B4</f>
        <v>Taxas Bancarias</v>
      </c>
      <c r="C1393" s="1040" t="s">
        <v>4853</v>
      </c>
      <c r="D1393" s="1736"/>
      <c r="E1393" s="1043">
        <v>8.18</v>
      </c>
      <c r="F1393" s="1043"/>
      <c r="G1393" s="1550"/>
    </row>
    <row r="1394" spans="1:7">
      <c r="A1394" s="1754">
        <v>39407</v>
      </c>
      <c r="B1394" s="125" t="str">
        <f>TiposLancamentos!B19</f>
        <v>Restaurantes</v>
      </c>
      <c r="C1394" s="1040" t="s">
        <v>3425</v>
      </c>
      <c r="D1394" s="1736"/>
      <c r="E1394" s="1043">
        <v>4.5</v>
      </c>
      <c r="F1394" s="1043"/>
      <c r="G1394" s="1550"/>
    </row>
    <row r="1395" spans="1:7" ht="14.25" thickBot="1">
      <c r="A1395" s="1754">
        <v>39408</v>
      </c>
      <c r="B1395" s="125" t="str">
        <f>TiposLancamentos!B4</f>
        <v>Taxas Bancarias</v>
      </c>
      <c r="C1395" s="1040" t="s">
        <v>4822</v>
      </c>
      <c r="D1395" s="1736"/>
      <c r="E1395" s="1043">
        <v>0.23</v>
      </c>
      <c r="F1395" s="1043"/>
      <c r="G1395" s="1550"/>
    </row>
    <row r="1396" spans="1:7">
      <c r="A1396" s="1834"/>
      <c r="B1396" s="977"/>
      <c r="C1396" s="1854" t="s">
        <v>5582</v>
      </c>
      <c r="D1396" s="1823"/>
      <c r="E1396" s="1821"/>
      <c r="F1396" s="1821"/>
      <c r="G1396" s="1895"/>
    </row>
    <row r="1397" spans="1:7">
      <c r="A1397" s="1754">
        <v>39419</v>
      </c>
      <c r="B1397" s="125" t="str">
        <f>TiposLancamentos!B4</f>
        <v>Taxas Bancarias</v>
      </c>
      <c r="C1397" s="1040" t="s">
        <v>5339</v>
      </c>
      <c r="D1397" s="1736"/>
      <c r="E1397" s="1043">
        <v>0.35</v>
      </c>
      <c r="F1397" s="1043"/>
      <c r="G1397" s="1550"/>
    </row>
    <row r="1398" spans="1:7" ht="14.25" thickBot="1">
      <c r="A1398" s="1754">
        <v>39420</v>
      </c>
      <c r="B1398" s="125" t="str">
        <f>TiposLancamentos!B4</f>
        <v>Taxas Bancarias</v>
      </c>
      <c r="C1398" s="1040" t="s">
        <v>4853</v>
      </c>
      <c r="D1398" s="1736"/>
      <c r="E1398" s="1043">
        <v>0.01</v>
      </c>
      <c r="F1398" s="1043"/>
      <c r="G1398" s="1550"/>
    </row>
    <row r="1399" spans="1:7">
      <c r="A1399" s="1834"/>
      <c r="B1399" s="977"/>
      <c r="C1399" s="1854" t="s">
        <v>5583</v>
      </c>
      <c r="D1399" s="1823"/>
      <c r="E1399" s="1821"/>
      <c r="F1399" s="1821"/>
      <c r="G1399" s="1895"/>
    </row>
    <row r="1400" spans="1:7" ht="14.25" thickBot="1">
      <c r="A1400" s="1754">
        <v>39449</v>
      </c>
      <c r="B1400" s="125" t="str">
        <f>TiposLancamentos!B105</f>
        <v>Transf. Bco</v>
      </c>
      <c r="C1400" s="1040" t="s">
        <v>5584</v>
      </c>
      <c r="D1400" s="1736">
        <v>10</v>
      </c>
      <c r="E1400" s="1043"/>
      <c r="F1400" s="1043"/>
      <c r="G1400" s="1550"/>
    </row>
    <row r="1401" spans="1:7">
      <c r="A1401" s="1834"/>
      <c r="B1401" s="977"/>
      <c r="C1401" s="1854" t="s">
        <v>5585</v>
      </c>
      <c r="D1401" s="1823"/>
      <c r="E1401" s="1821"/>
      <c r="F1401" s="1821"/>
      <c r="G1401" s="1895"/>
    </row>
    <row r="1402" spans="1:7">
      <c r="A1402" s="1754">
        <v>39486</v>
      </c>
      <c r="B1402" s="125" t="str">
        <f>TiposLancamentos!B20</f>
        <v>Saques</v>
      </c>
      <c r="C1402" s="1040" t="s">
        <v>2655</v>
      </c>
      <c r="D1402" s="1736"/>
      <c r="E1402" s="1043">
        <v>10</v>
      </c>
      <c r="F1402" s="1043"/>
      <c r="G1402" s="1550"/>
    </row>
    <row r="1403" spans="1:7">
      <c r="A1403" s="1754">
        <v>39501</v>
      </c>
      <c r="B1403" s="125" t="str">
        <f>TiposLancamentos!B13</f>
        <v>Moradia</v>
      </c>
      <c r="C1403" s="1040" t="s">
        <v>5586</v>
      </c>
      <c r="D1403" s="1736"/>
      <c r="E1403" s="1043">
        <v>1360</v>
      </c>
      <c r="F1403" s="1043"/>
      <c r="G1403" s="1550"/>
    </row>
    <row r="1404" spans="1:7">
      <c r="A1404" s="1754">
        <v>39501</v>
      </c>
      <c r="B1404" s="125" t="str">
        <f>TiposLancamentos!B56</f>
        <v>Farmácia</v>
      </c>
      <c r="C1404" s="1040" t="s">
        <v>5587</v>
      </c>
      <c r="D1404" s="1736"/>
      <c r="E1404" s="1043">
        <v>32.97</v>
      </c>
      <c r="F1404" s="1043"/>
      <c r="G1404" s="1550"/>
    </row>
    <row r="1405" spans="1:7">
      <c r="A1405" s="1754">
        <v>39501</v>
      </c>
      <c r="B1405" s="125" t="str">
        <f>TiposLancamentos!B13</f>
        <v>Moradia</v>
      </c>
      <c r="C1405" s="1040" t="s">
        <v>5588</v>
      </c>
      <c r="D1405" s="1736"/>
      <c r="E1405" s="1043">
        <v>18</v>
      </c>
      <c r="F1405" s="1043"/>
      <c r="G1405" s="1550"/>
    </row>
    <row r="1406" spans="1:7">
      <c r="A1406" s="1754">
        <v>39502</v>
      </c>
      <c r="B1406" s="125" t="str">
        <f>TiposLancamentos!B19</f>
        <v>Restaurantes</v>
      </c>
      <c r="C1406" s="1040" t="s">
        <v>5589</v>
      </c>
      <c r="D1406" s="1736"/>
      <c r="E1406" s="1043">
        <v>24.9</v>
      </c>
      <c r="F1406" s="1043"/>
      <c r="G1406" s="1550"/>
    </row>
    <row r="1407" spans="1:7">
      <c r="A1407" s="1754">
        <v>39502</v>
      </c>
      <c r="B1407" s="125" t="str">
        <f>TiposLancamentos!B19</f>
        <v>Restaurantes</v>
      </c>
      <c r="C1407" s="1040" t="s">
        <v>5590</v>
      </c>
      <c r="D1407" s="1736"/>
      <c r="E1407" s="1043">
        <v>24</v>
      </c>
      <c r="F1407" s="1043"/>
      <c r="G1407" s="1550"/>
    </row>
    <row r="1408" spans="1:7" ht="14.25" thickBot="1">
      <c r="A1408" s="1754">
        <v>39503</v>
      </c>
      <c r="B1408" s="125" t="str">
        <f>TiposLancamentos!B105</f>
        <v>Transf. Bco</v>
      </c>
      <c r="C1408" s="1040" t="s">
        <v>5591</v>
      </c>
      <c r="D1408" s="1736">
        <v>1550</v>
      </c>
      <c r="E1408" s="1043"/>
      <c r="F1408" s="1043"/>
      <c r="G1408" s="1550"/>
    </row>
    <row r="1409" spans="1:7">
      <c r="A1409" s="1834"/>
      <c r="B1409" s="977"/>
      <c r="C1409" s="1854" t="s">
        <v>5592</v>
      </c>
      <c r="D1409" s="1823"/>
      <c r="E1409" s="1821"/>
      <c r="F1409" s="1821"/>
      <c r="G1409" s="1895"/>
    </row>
    <row r="1410" spans="1:7">
      <c r="A1410" s="1754">
        <v>39517</v>
      </c>
      <c r="B1410" s="125" t="str">
        <f>TiposLancamentos!B4</f>
        <v>Taxas Bancarias</v>
      </c>
      <c r="C1410" s="1040" t="s">
        <v>5564</v>
      </c>
      <c r="D1410" s="1736"/>
      <c r="E1410" s="1043">
        <v>4.1900000000000004</v>
      </c>
      <c r="F1410" s="1043"/>
      <c r="G1410" s="1550"/>
    </row>
    <row r="1411" spans="1:7">
      <c r="A1411" s="1754">
        <v>39521</v>
      </c>
      <c r="B1411" s="125" t="str">
        <f>TiposLancamentos!B20</f>
        <v>Saques</v>
      </c>
      <c r="C1411" s="1040" t="s">
        <v>2668</v>
      </c>
      <c r="D1411" s="1736"/>
      <c r="E1411" s="1043">
        <v>20</v>
      </c>
      <c r="F1411" s="1043"/>
      <c r="G1411" s="1550"/>
    </row>
    <row r="1412" spans="1:7">
      <c r="A1412" s="1754">
        <v>39525</v>
      </c>
      <c r="B1412" s="125" t="str">
        <f>TiposLancamentos!B20</f>
        <v>Saques</v>
      </c>
      <c r="C1412" s="1040" t="s">
        <v>2668</v>
      </c>
      <c r="D1412" s="1736"/>
      <c r="E1412" s="1043">
        <v>10</v>
      </c>
      <c r="F1412" s="1043"/>
      <c r="G1412" s="1550"/>
    </row>
    <row r="1413" spans="1:7" ht="14.25" thickBot="1">
      <c r="A1413" s="1754">
        <v>39538</v>
      </c>
      <c r="B1413" s="125" t="str">
        <f>TiposLancamentos!B16</f>
        <v>Cristiane</v>
      </c>
      <c r="C1413" s="1040" t="s">
        <v>3147</v>
      </c>
      <c r="D1413" s="1736"/>
      <c r="E1413" s="1043">
        <v>40</v>
      </c>
      <c r="F1413" s="1043"/>
      <c r="G1413" s="1550"/>
    </row>
    <row r="1414" spans="1:7">
      <c r="A1414" s="1834"/>
      <c r="B1414" s="977"/>
      <c r="C1414" s="1854" t="s">
        <v>5593</v>
      </c>
      <c r="D1414" s="1823"/>
      <c r="E1414" s="1821"/>
      <c r="F1414" s="1821"/>
      <c r="G1414" s="1895"/>
    </row>
    <row r="1415" spans="1:7">
      <c r="A1415" s="1754">
        <v>39543</v>
      </c>
      <c r="B1415" s="125" t="str">
        <f>TiposLancamentos!B20</f>
        <v>Saques</v>
      </c>
      <c r="C1415" s="1040" t="s">
        <v>2850</v>
      </c>
      <c r="D1415" s="1736"/>
      <c r="E1415" s="1043">
        <v>200</v>
      </c>
      <c r="F1415" s="1043"/>
      <c r="G1415" s="1550"/>
    </row>
    <row r="1416" spans="1:7">
      <c r="A1416" s="1754">
        <v>39544</v>
      </c>
      <c r="B1416" s="125" t="str">
        <f>TiposLancamentos!B16</f>
        <v>Cristiane</v>
      </c>
      <c r="C1416" s="1040" t="s">
        <v>5594</v>
      </c>
      <c r="D1416" s="1736">
        <v>300</v>
      </c>
      <c r="E1416" s="1043"/>
      <c r="F1416" s="1043"/>
      <c r="G1416" s="1550"/>
    </row>
    <row r="1417" spans="1:7">
      <c r="A1417" s="1754">
        <v>39550</v>
      </c>
      <c r="B1417" s="125" t="str">
        <f>TiposLancamentos!B20</f>
        <v>Saques</v>
      </c>
      <c r="C1417" s="1040" t="s">
        <v>2668</v>
      </c>
      <c r="D1417" s="1736"/>
      <c r="E1417" s="1043">
        <v>40</v>
      </c>
      <c r="F1417" s="1043"/>
      <c r="G1417" s="1550"/>
    </row>
    <row r="1418" spans="1:7">
      <c r="A1418" s="1754">
        <v>39553</v>
      </c>
      <c r="B1418" s="125" t="str">
        <f>TiposLancamentos!B20</f>
        <v>Saques</v>
      </c>
      <c r="C1418" s="1040" t="s">
        <v>2668</v>
      </c>
      <c r="D1418" s="1736"/>
      <c r="E1418" s="1043">
        <v>10</v>
      </c>
      <c r="F1418" s="1043"/>
      <c r="G1418" s="1550"/>
    </row>
    <row r="1419" spans="1:7" ht="14.25" thickBot="1">
      <c r="A1419" s="1754">
        <v>39557</v>
      </c>
      <c r="B1419" s="125" t="str">
        <f>TiposLancamentos!B20</f>
        <v>Saques</v>
      </c>
      <c r="C1419" s="1040" t="s">
        <v>5595</v>
      </c>
      <c r="D1419" s="1736"/>
      <c r="E1419" s="1043">
        <v>40</v>
      </c>
      <c r="F1419" s="1043"/>
      <c r="G1419" s="1550"/>
    </row>
    <row r="1420" spans="1:7">
      <c r="A1420" s="1834"/>
      <c r="B1420" s="977"/>
      <c r="C1420" s="1854" t="s">
        <v>5596</v>
      </c>
      <c r="D1420" s="1823"/>
      <c r="E1420" s="1821"/>
      <c r="F1420" s="1821"/>
      <c r="G1420" s="1895"/>
    </row>
    <row r="1421" spans="1:7">
      <c r="A1421" s="1754">
        <v>39570</v>
      </c>
      <c r="B1421" s="125" t="str">
        <f>TiposLancamentos!B105</f>
        <v>Transf. Bco</v>
      </c>
      <c r="C1421" s="1040" t="s">
        <v>5597</v>
      </c>
      <c r="D1421" s="1736">
        <v>7500</v>
      </c>
      <c r="E1421" s="1043"/>
      <c r="F1421" s="1043"/>
      <c r="G1421" s="1550"/>
    </row>
    <row r="1422" spans="1:7" ht="14.25" thickBot="1">
      <c r="A1422" s="1754">
        <v>39570</v>
      </c>
      <c r="B1422" s="125" t="str">
        <f>TiposLancamentos!B21</f>
        <v>Transf. Poupanca</v>
      </c>
      <c r="C1422" s="1040" t="s">
        <v>5598</v>
      </c>
      <c r="D1422" s="1736"/>
      <c r="E1422" s="1043">
        <v>7500</v>
      </c>
      <c r="F1422" s="1043"/>
      <c r="G1422" s="1550"/>
    </row>
    <row r="1423" spans="1:7" ht="14.25" thickBot="1">
      <c r="A1423" s="1834"/>
      <c r="B1423" s="977"/>
      <c r="C1423" s="1854" t="s">
        <v>5599</v>
      </c>
      <c r="D1423" s="1823"/>
      <c r="E1423" s="1821"/>
      <c r="F1423" s="1821"/>
      <c r="G1423" s="1895"/>
    </row>
    <row r="1424" spans="1:7">
      <c r="A1424" s="1834"/>
      <c r="B1424" s="977"/>
      <c r="C1424" s="1854" t="s">
        <v>5600</v>
      </c>
      <c r="D1424" s="1823"/>
      <c r="E1424" s="1821"/>
      <c r="F1424" s="1821"/>
      <c r="G1424" s="1895"/>
    </row>
    <row r="1425" spans="1:7">
      <c r="A1425" s="1754">
        <v>39633</v>
      </c>
      <c r="B1425" s="125" t="str">
        <f>TiposLancamentos!B105</f>
        <v>Transf. Bco</v>
      </c>
      <c r="C1425" s="1040" t="s">
        <v>3731</v>
      </c>
      <c r="D1425" s="1736">
        <v>2500</v>
      </c>
      <c r="E1425" s="1043"/>
      <c r="F1425" s="1043"/>
      <c r="G1425" s="1550"/>
    </row>
    <row r="1426" spans="1:7" ht="14.25" thickBot="1">
      <c r="A1426" s="1754">
        <v>39633</v>
      </c>
      <c r="B1426" s="125" t="str">
        <f>TiposLancamentos!B21</f>
        <v>Transf. Poupanca</v>
      </c>
      <c r="C1426" s="1040" t="s">
        <v>5601</v>
      </c>
      <c r="D1426" s="1736"/>
      <c r="E1426" s="1043">
        <v>2500</v>
      </c>
      <c r="F1426" s="1043"/>
      <c r="G1426" s="1550"/>
    </row>
    <row r="1427" spans="1:7">
      <c r="A1427" s="1834"/>
      <c r="B1427" s="977"/>
      <c r="C1427" s="1854" t="s">
        <v>5602</v>
      </c>
      <c r="D1427" s="1823"/>
      <c r="E1427" s="1821"/>
      <c r="F1427" s="1821"/>
      <c r="G1427" s="1895"/>
    </row>
    <row r="1428" spans="1:7">
      <c r="A1428" s="1754">
        <v>39665</v>
      </c>
      <c r="B1428" s="125" t="str">
        <f>TiposLancamentos!B105</f>
        <v>Transf. Bco</v>
      </c>
      <c r="C1428" s="1040" t="s">
        <v>3814</v>
      </c>
      <c r="D1428" s="1736">
        <v>1200</v>
      </c>
      <c r="E1428" s="1043"/>
      <c r="F1428" s="1043"/>
      <c r="G1428" s="1550"/>
    </row>
    <row r="1429" spans="1:7">
      <c r="A1429" s="1754">
        <v>39666</v>
      </c>
      <c r="B1429" s="125" t="str">
        <f>TiposLancamentos!B21</f>
        <v>Transf. Poupanca</v>
      </c>
      <c r="C1429" s="1040" t="s">
        <v>5601</v>
      </c>
      <c r="D1429" s="1736"/>
      <c r="E1429" s="1043">
        <v>1200</v>
      </c>
      <c r="F1429" s="1043"/>
      <c r="G1429" s="1550"/>
    </row>
    <row r="1430" spans="1:7">
      <c r="A1430" s="1754">
        <v>39675</v>
      </c>
      <c r="B1430" s="125" t="str">
        <f>TiposLancamentos!B105</f>
        <v>Transf. Bco</v>
      </c>
      <c r="C1430" s="1040" t="s">
        <v>5597</v>
      </c>
      <c r="D1430" s="1736">
        <v>1952.65</v>
      </c>
      <c r="E1430" s="1043"/>
      <c r="F1430" s="1043"/>
      <c r="G1430" s="1550"/>
    </row>
    <row r="1431" spans="1:7">
      <c r="A1431" s="1754">
        <v>39678</v>
      </c>
      <c r="B1431" s="125" t="str">
        <f>TiposLancamentos!B21</f>
        <v>Transf. Poupanca</v>
      </c>
      <c r="C1431" s="1040" t="s">
        <v>5601</v>
      </c>
      <c r="D1431" s="1736"/>
      <c r="E1431" s="1043">
        <v>1970</v>
      </c>
      <c r="F1431" s="1043"/>
      <c r="G1431" s="1550"/>
    </row>
    <row r="1432" spans="1:7">
      <c r="A1432" s="1754">
        <v>39682</v>
      </c>
      <c r="B1432" s="125" t="str">
        <f>TiposLancamentos!B99</f>
        <v>Venda de algo</v>
      </c>
      <c r="C1432" s="1040" t="s">
        <v>5603</v>
      </c>
      <c r="D1432" s="1736">
        <v>160</v>
      </c>
      <c r="E1432" s="1043"/>
      <c r="F1432" s="1043"/>
      <c r="G1432" s="1550"/>
    </row>
    <row r="1433" spans="1:7" ht="14.25" thickBot="1">
      <c r="A1433" s="1754">
        <v>39682</v>
      </c>
      <c r="B1433" s="125" t="str">
        <f>TiposLancamentos!B105</f>
        <v>Transf. Bco</v>
      </c>
      <c r="C1433" s="1040" t="s">
        <v>5604</v>
      </c>
      <c r="D1433" s="1736"/>
      <c r="E1433" s="1043">
        <v>160</v>
      </c>
      <c r="F1433" s="1043"/>
      <c r="G1433" s="1550"/>
    </row>
    <row r="1434" spans="1:7">
      <c r="A1434" s="1834"/>
      <c r="B1434" s="977"/>
      <c r="C1434" s="1854" t="s">
        <v>5605</v>
      </c>
      <c r="D1434" s="1823"/>
      <c r="E1434" s="1821"/>
      <c r="F1434" s="1821"/>
      <c r="G1434" s="1895"/>
    </row>
    <row r="1435" spans="1:7">
      <c r="A1435" s="1754">
        <v>39692</v>
      </c>
      <c r="B1435" s="125" t="str">
        <f>TiposLancamentos!B4</f>
        <v>Taxas Bancarias</v>
      </c>
      <c r="C1435" s="1040" t="s">
        <v>5606</v>
      </c>
      <c r="D1435" s="1736"/>
      <c r="E1435" s="1043">
        <v>8</v>
      </c>
      <c r="F1435" s="1043"/>
      <c r="G1435" s="1550"/>
    </row>
    <row r="1436" spans="1:7">
      <c r="A1436" s="1754">
        <v>39711</v>
      </c>
      <c r="B1436" s="125" t="str">
        <f>TiposLancamentos!B59</f>
        <v>Documentos</v>
      </c>
      <c r="C1436" s="1040" t="s">
        <v>5607</v>
      </c>
      <c r="D1436" s="1736"/>
      <c r="E1436" s="1043">
        <v>35</v>
      </c>
      <c r="F1436" s="1043"/>
      <c r="G1436" s="1550"/>
    </row>
    <row r="1437" spans="1:7">
      <c r="A1437" s="1754">
        <v>39713</v>
      </c>
      <c r="B1437" s="125" t="str">
        <f>TiposLancamentos!B96</f>
        <v>Resg.Poup.</v>
      </c>
      <c r="C1437" s="1040" t="s">
        <v>5608</v>
      </c>
      <c r="D1437" s="1736">
        <v>1800</v>
      </c>
      <c r="E1437" s="1043"/>
      <c r="F1437" s="1043"/>
      <c r="G1437" s="1550"/>
    </row>
    <row r="1438" spans="1:7">
      <c r="A1438" s="1754">
        <v>39721</v>
      </c>
      <c r="B1438" s="125" t="str">
        <f>TiposLancamentos!B20</f>
        <v>Saques</v>
      </c>
      <c r="C1438" s="1040" t="s">
        <v>3401</v>
      </c>
      <c r="D1438" s="1736"/>
      <c r="E1438" s="1043">
        <v>40</v>
      </c>
      <c r="F1438" s="1043"/>
      <c r="G1438" s="1550"/>
    </row>
    <row r="1439" spans="1:7" ht="14.25" thickBot="1">
      <c r="A1439" s="1754">
        <v>39721</v>
      </c>
      <c r="B1439" s="125" t="str">
        <f>TiposLancamentos!B13</f>
        <v>Moradia</v>
      </c>
      <c r="C1439" s="1040" t="s">
        <v>5609</v>
      </c>
      <c r="D1439" s="1736"/>
      <c r="E1439" s="1043">
        <v>1130</v>
      </c>
      <c r="F1439" s="1043"/>
      <c r="G1439" s="1550"/>
    </row>
    <row r="1440" spans="1:7">
      <c r="A1440" s="1834"/>
      <c r="B1440" s="977"/>
      <c r="C1440" s="1854" t="s">
        <v>5610</v>
      </c>
      <c r="D1440" s="1823"/>
      <c r="E1440" s="1821"/>
      <c r="F1440" s="1821"/>
      <c r="G1440" s="1895"/>
    </row>
    <row r="1441" spans="1:7">
      <c r="A1441" s="1754">
        <v>39723</v>
      </c>
      <c r="B1441" s="125" t="str">
        <f>TiposLancamentos!B19</f>
        <v>Restaurantes</v>
      </c>
      <c r="C1441" s="1040" t="s">
        <v>3755</v>
      </c>
      <c r="D1441" s="1736"/>
      <c r="E1441" s="1043">
        <v>22.4</v>
      </c>
      <c r="F1441" s="1043"/>
      <c r="G1441" s="1550"/>
    </row>
    <row r="1442" spans="1:7">
      <c r="A1442" s="1754">
        <v>39724</v>
      </c>
      <c r="B1442" s="125" t="str">
        <f>TiposLancamentos!B71</f>
        <v>Itens Pessoais</v>
      </c>
      <c r="C1442" s="1040" t="s">
        <v>5611</v>
      </c>
      <c r="D1442" s="1736"/>
      <c r="E1442" s="1043">
        <v>15</v>
      </c>
      <c r="F1442" s="1043"/>
      <c r="G1442" s="1550"/>
    </row>
    <row r="1443" spans="1:7">
      <c r="A1443" s="1754">
        <v>39724</v>
      </c>
      <c r="B1443" s="125" t="str">
        <f>TiposLancamentos!B57</f>
        <v>Informática</v>
      </c>
      <c r="C1443" s="1040" t="s">
        <v>5612</v>
      </c>
      <c r="D1443" s="1736"/>
      <c r="E1443" s="1043">
        <v>75</v>
      </c>
      <c r="F1443" s="1043"/>
      <c r="G1443" s="1550"/>
    </row>
    <row r="1444" spans="1:7">
      <c r="A1444" s="1754">
        <v>39724</v>
      </c>
      <c r="B1444" s="125" t="str">
        <f>TiposLancamentos!B20</f>
        <v>Saques</v>
      </c>
      <c r="C1444" s="1040" t="s">
        <v>2850</v>
      </c>
      <c r="D1444" s="1736"/>
      <c r="E1444" s="1043">
        <v>40</v>
      </c>
      <c r="F1444" s="1043"/>
      <c r="G1444" s="1550"/>
    </row>
    <row r="1445" spans="1:7">
      <c r="A1445" s="1754">
        <v>39724</v>
      </c>
      <c r="B1445" s="125" t="str">
        <f>TiposLancamentos!B19</f>
        <v>Restaurantes</v>
      </c>
      <c r="C1445" s="1040" t="s">
        <v>5613</v>
      </c>
      <c r="D1445" s="1736"/>
      <c r="E1445" s="1043">
        <v>13.89</v>
      </c>
      <c r="F1445" s="1043"/>
      <c r="G1445" s="1550"/>
    </row>
    <row r="1446" spans="1:7">
      <c r="A1446" s="1754">
        <v>39724</v>
      </c>
      <c r="B1446" s="125" t="str">
        <f>TiposLancamentos!B19</f>
        <v>Restaurantes</v>
      </c>
      <c r="C1446" s="1040" t="s">
        <v>5614</v>
      </c>
      <c r="D1446" s="1736"/>
      <c r="E1446" s="1043">
        <v>32.5</v>
      </c>
      <c r="F1446" s="1043"/>
      <c r="G1446" s="1550"/>
    </row>
    <row r="1447" spans="1:7">
      <c r="A1447" s="1754">
        <v>39725</v>
      </c>
      <c r="B1447" s="125" t="str">
        <f>TiposLancamentos!B5</f>
        <v>Supermercado</v>
      </c>
      <c r="C1447" s="1040" t="s">
        <v>5615</v>
      </c>
      <c r="D1447" s="1736"/>
      <c r="E1447" s="1043">
        <v>39.6</v>
      </c>
      <c r="F1447" s="1043"/>
      <c r="G1447" s="1550"/>
    </row>
    <row r="1448" spans="1:7">
      <c r="A1448" s="1754">
        <v>39725</v>
      </c>
      <c r="B1448" s="125" t="str">
        <f>TiposLancamentos!B5</f>
        <v>Supermercado</v>
      </c>
      <c r="C1448" s="1040" t="s">
        <v>5616</v>
      </c>
      <c r="D1448" s="1736"/>
      <c r="E1448" s="1043">
        <v>20.05</v>
      </c>
      <c r="F1448" s="1043"/>
      <c r="G1448" s="1550"/>
    </row>
    <row r="1449" spans="1:7">
      <c r="A1449" s="1754">
        <v>39726</v>
      </c>
      <c r="B1449" s="125" t="str">
        <f>TiposLancamentos!B20</f>
        <v>Saques</v>
      </c>
      <c r="C1449" s="1040" t="s">
        <v>3489</v>
      </c>
      <c r="D1449" s="1736"/>
      <c r="E1449" s="1043">
        <v>60</v>
      </c>
      <c r="F1449" s="1043"/>
      <c r="G1449" s="1550"/>
    </row>
    <row r="1450" spans="1:7">
      <c r="A1450" s="1754">
        <v>39726</v>
      </c>
      <c r="B1450" s="125" t="str">
        <f>TiposLancamentos!B70</f>
        <v>Vestuário</v>
      </c>
      <c r="C1450" s="1040" t="s">
        <v>5617</v>
      </c>
      <c r="D1450" s="1736"/>
      <c r="E1450" s="1043">
        <v>22.9</v>
      </c>
      <c r="F1450" s="1043"/>
      <c r="G1450" s="1550"/>
    </row>
    <row r="1451" spans="1:7">
      <c r="A1451" s="1754">
        <v>39727</v>
      </c>
      <c r="B1451" s="125" t="str">
        <f>TiposLancamentos!B13</f>
        <v>Moradia</v>
      </c>
      <c r="C1451" s="1040" t="s">
        <v>5618</v>
      </c>
      <c r="D1451" s="1736"/>
      <c r="E1451" s="1043">
        <v>64</v>
      </c>
      <c r="F1451" s="1043"/>
      <c r="G1451" s="1550"/>
    </row>
    <row r="1452" spans="1:7">
      <c r="A1452" s="1754">
        <v>39727</v>
      </c>
      <c r="B1452" s="125" t="str">
        <f>TiposLancamentos!B19</f>
        <v>Restaurantes</v>
      </c>
      <c r="C1452" s="1040" t="s">
        <v>3698</v>
      </c>
      <c r="D1452" s="1736"/>
      <c r="E1452" s="1043">
        <v>25.09</v>
      </c>
      <c r="F1452" s="1043"/>
      <c r="G1452" s="1550"/>
    </row>
    <row r="1453" spans="1:7">
      <c r="A1453" s="1754">
        <v>39728</v>
      </c>
      <c r="B1453" s="125" t="str">
        <f>TiposLancamentos!B62</f>
        <v>Papelaria</v>
      </c>
      <c r="C1453" s="1040" t="s">
        <v>5619</v>
      </c>
      <c r="D1453" s="1736"/>
      <c r="E1453" s="1043">
        <v>15.03</v>
      </c>
      <c r="F1453" s="1043"/>
      <c r="G1453" s="1550"/>
    </row>
    <row r="1454" spans="1:7">
      <c r="A1454" s="1754">
        <v>39728</v>
      </c>
      <c r="B1454" s="125" t="str">
        <f>TiposLancamentos!B19</f>
        <v>Restaurantes</v>
      </c>
      <c r="C1454" s="1040" t="s">
        <v>5620</v>
      </c>
      <c r="D1454" s="1736"/>
      <c r="E1454" s="1043">
        <v>11.5</v>
      </c>
      <c r="F1454" s="1043"/>
      <c r="G1454" s="1550"/>
    </row>
    <row r="1455" spans="1:7">
      <c r="A1455" s="1754">
        <v>39728</v>
      </c>
      <c r="B1455" s="125" t="str">
        <f>TiposLancamentos!B57</f>
        <v>Informática</v>
      </c>
      <c r="C1455" s="1040" t="s">
        <v>5621</v>
      </c>
      <c r="D1455" s="1736"/>
      <c r="E1455" s="1043">
        <v>10.9</v>
      </c>
      <c r="F1455" s="1043"/>
      <c r="G1455" s="1550"/>
    </row>
    <row r="1456" spans="1:7">
      <c r="A1456" s="1754">
        <v>39728</v>
      </c>
      <c r="B1456" s="125" t="str">
        <f>TiposLancamentos!B56</f>
        <v>Farmácia</v>
      </c>
      <c r="C1456" s="1040" t="s">
        <v>5622</v>
      </c>
      <c r="D1456" s="1736"/>
      <c r="E1456" s="1043">
        <v>43.32</v>
      </c>
      <c r="F1456" s="1043"/>
      <c r="G1456" s="1550"/>
    </row>
    <row r="1457" spans="1:7">
      <c r="A1457" s="1754">
        <v>39729</v>
      </c>
      <c r="B1457" s="125" t="str">
        <f>TiposLancamentos!B19</f>
        <v>Restaurantes</v>
      </c>
      <c r="C1457" s="1040" t="s">
        <v>3425</v>
      </c>
      <c r="D1457" s="1736"/>
      <c r="E1457" s="1043">
        <v>7.2</v>
      </c>
      <c r="F1457" s="1043"/>
      <c r="G1457" s="1550"/>
    </row>
    <row r="1458" spans="1:7">
      <c r="A1458" s="1754">
        <v>39730</v>
      </c>
      <c r="B1458" s="125" t="str">
        <f>TiposLancamentos!B19</f>
        <v>Restaurantes</v>
      </c>
      <c r="C1458" s="1040" t="s">
        <v>5589</v>
      </c>
      <c r="D1458" s="1736"/>
      <c r="E1458" s="1043">
        <v>10.199999999999999</v>
      </c>
      <c r="F1458" s="1043"/>
      <c r="G1458" s="1550"/>
    </row>
    <row r="1459" spans="1:7">
      <c r="A1459" s="1754">
        <v>39730</v>
      </c>
      <c r="B1459" s="125" t="str">
        <f>TiposLancamentos!B56</f>
        <v>Farmácia</v>
      </c>
      <c r="C1459" s="1040" t="s">
        <v>5623</v>
      </c>
      <c r="D1459" s="1736"/>
      <c r="E1459" s="1043">
        <v>52.43</v>
      </c>
      <c r="F1459" s="1043"/>
      <c r="G1459" s="1550"/>
    </row>
    <row r="1460" spans="1:7">
      <c r="A1460" s="1754">
        <v>39731</v>
      </c>
      <c r="B1460" s="125" t="str">
        <f>TiposLancamentos!B19</f>
        <v>Restaurantes</v>
      </c>
      <c r="C1460" s="1040" t="s">
        <v>5624</v>
      </c>
      <c r="D1460" s="1736"/>
      <c r="E1460" s="1043">
        <v>18.739999999999998</v>
      </c>
      <c r="F1460" s="1043"/>
      <c r="G1460" s="1550"/>
    </row>
    <row r="1461" spans="1:7">
      <c r="A1461" s="1754">
        <v>39731</v>
      </c>
      <c r="B1461" s="125" t="str">
        <f>TiposLancamentos!B96</f>
        <v>Resg.Poup.</v>
      </c>
      <c r="C1461" s="1040" t="s">
        <v>5625</v>
      </c>
      <c r="D1461" s="1736">
        <v>2000</v>
      </c>
      <c r="E1461" s="1043"/>
      <c r="F1461" s="1043"/>
      <c r="G1461" s="1550"/>
    </row>
    <row r="1462" spans="1:7">
      <c r="A1462" s="1754">
        <v>39732</v>
      </c>
      <c r="B1462" s="125" t="str">
        <f>TiposLancamentos!B19</f>
        <v>Restaurantes</v>
      </c>
      <c r="C1462" s="1040" t="s">
        <v>4993</v>
      </c>
      <c r="D1462" s="1736"/>
      <c r="E1462" s="1043">
        <v>45.38</v>
      </c>
      <c r="F1462" s="1043"/>
      <c r="G1462" s="1550"/>
    </row>
    <row r="1463" spans="1:7">
      <c r="A1463" s="1754">
        <v>39734</v>
      </c>
      <c r="B1463" s="125" t="str">
        <f>TiposLancamentos!B19</f>
        <v>Restaurantes</v>
      </c>
      <c r="C1463" s="1040" t="s">
        <v>3755</v>
      </c>
      <c r="D1463" s="1736"/>
      <c r="E1463" s="1043">
        <v>35.270000000000003</v>
      </c>
      <c r="F1463" s="1043"/>
      <c r="G1463" s="1550"/>
    </row>
    <row r="1464" spans="1:7">
      <c r="A1464" s="1754">
        <v>39734</v>
      </c>
      <c r="B1464" s="125" t="str">
        <f>TiposLancamentos!B19</f>
        <v>Restaurantes</v>
      </c>
      <c r="C1464" s="1040" t="s">
        <v>5002</v>
      </c>
      <c r="D1464" s="1736"/>
      <c r="E1464" s="1043">
        <v>29</v>
      </c>
      <c r="F1464" s="1043"/>
      <c r="G1464" s="1550"/>
    </row>
    <row r="1465" spans="1:7">
      <c r="A1465" s="1754">
        <v>39735</v>
      </c>
      <c r="B1465" s="125" t="str">
        <f>TiposLancamentos!B19</f>
        <v>Restaurantes</v>
      </c>
      <c r="C1465" s="1040" t="s">
        <v>5626</v>
      </c>
      <c r="D1465" s="1736"/>
      <c r="E1465" s="1043">
        <v>16.68</v>
      </c>
      <c r="F1465" s="1043"/>
      <c r="G1465" s="1550"/>
    </row>
    <row r="1466" spans="1:7">
      <c r="A1466" s="1754">
        <v>39735</v>
      </c>
      <c r="B1466" s="125" t="str">
        <f>TiposLancamentos!B5</f>
        <v>Supermercado</v>
      </c>
      <c r="C1466" s="1040" t="s">
        <v>5627</v>
      </c>
      <c r="D1466" s="1736"/>
      <c r="E1466" s="1043">
        <v>16.940000000000001</v>
      </c>
      <c r="F1466" s="1043"/>
      <c r="G1466" s="1550"/>
    </row>
    <row r="1467" spans="1:7">
      <c r="A1467" s="1754">
        <v>39735</v>
      </c>
      <c r="B1467" s="125" t="str">
        <f>TiposLancamentos!B13</f>
        <v>Moradia</v>
      </c>
      <c r="C1467" s="1040" t="s">
        <v>5628</v>
      </c>
      <c r="D1467" s="1736"/>
      <c r="E1467" s="1043">
        <v>60.1</v>
      </c>
      <c r="F1467" s="1043"/>
      <c r="G1467" s="1550"/>
    </row>
    <row r="1468" spans="1:7">
      <c r="A1468" s="1754">
        <v>39735</v>
      </c>
      <c r="B1468" s="125" t="str">
        <f>TiposLancamentos!B32</f>
        <v>Clinicas e tratamentos</v>
      </c>
      <c r="C1468" s="1040" t="s">
        <v>5629</v>
      </c>
      <c r="D1468" s="1736"/>
      <c r="E1468" s="1043">
        <v>48</v>
      </c>
      <c r="F1468" s="1043"/>
      <c r="G1468" s="1550"/>
    </row>
    <row r="1469" spans="1:7">
      <c r="A1469" s="1754">
        <v>39735</v>
      </c>
      <c r="B1469" s="125" t="str">
        <f>TiposLancamentos!B62</f>
        <v>Papelaria</v>
      </c>
      <c r="C1469" s="1040" t="s">
        <v>5630</v>
      </c>
      <c r="D1469" s="1736"/>
      <c r="E1469" s="1043">
        <v>14.88</v>
      </c>
      <c r="F1469" s="1043"/>
      <c r="G1469" s="1550"/>
    </row>
    <row r="1470" spans="1:7">
      <c r="A1470" s="1754">
        <v>39711</v>
      </c>
      <c r="B1470" s="125" t="str">
        <f>TiposLancamentos!B34</f>
        <v>Seguros</v>
      </c>
      <c r="C1470" s="1040" t="s">
        <v>5631</v>
      </c>
      <c r="D1470" s="1736"/>
      <c r="E1470" s="1043">
        <v>1721.1</v>
      </c>
      <c r="F1470" s="1043"/>
      <c r="G1470" s="1550"/>
    </row>
    <row r="1471" spans="1:7">
      <c r="A1471" s="1754">
        <v>39736</v>
      </c>
      <c r="B1471" s="125" t="str">
        <f>TiposLancamentos!B5</f>
        <v>Supermercado</v>
      </c>
      <c r="C1471" s="1040" t="s">
        <v>5632</v>
      </c>
      <c r="D1471" s="1736"/>
      <c r="E1471" s="1043">
        <v>65.58</v>
      </c>
      <c r="F1471" s="1043"/>
      <c r="G1471" s="1550"/>
    </row>
    <row r="1472" spans="1:7">
      <c r="A1472" s="1754">
        <v>39736</v>
      </c>
      <c r="B1472" s="125" t="str">
        <f>TiposLancamentos!B96</f>
        <v>Resg.Poup.</v>
      </c>
      <c r="C1472" s="1040" t="s">
        <v>5633</v>
      </c>
      <c r="D1472" s="1736">
        <v>2000</v>
      </c>
      <c r="E1472" s="1043"/>
      <c r="F1472" s="1043"/>
      <c r="G1472" s="1550"/>
    </row>
    <row r="1473" spans="1:7">
      <c r="A1473" s="1666">
        <v>39736</v>
      </c>
      <c r="B1473" s="817" t="str">
        <f>TiposLancamentos!B8</f>
        <v>Aluguel</v>
      </c>
      <c r="C1473" s="1742" t="s">
        <v>5634</v>
      </c>
      <c r="D1473" s="1843"/>
      <c r="E1473" s="1843">
        <f>843.44+4.8</f>
        <v>848.24</v>
      </c>
      <c r="F1473" s="1043"/>
      <c r="G1473" s="1550"/>
    </row>
    <row r="1474" spans="1:7">
      <c r="A1474" s="1750">
        <v>39736</v>
      </c>
      <c r="B1474" s="818" t="str">
        <f>TiposLancamentos!B9</f>
        <v>Condominio</v>
      </c>
      <c r="C1474" s="1743" t="s">
        <v>5635</v>
      </c>
      <c r="D1474" s="1844"/>
      <c r="E1474" s="1844">
        <f>1059.21-E1473</f>
        <v>210.97000000000003</v>
      </c>
      <c r="F1474" s="1043"/>
      <c r="G1474" s="1550"/>
    </row>
    <row r="1475" spans="1:7">
      <c r="A1475" s="1754">
        <v>39737</v>
      </c>
      <c r="B1475" s="125" t="str">
        <f>TiposLancamentos!B19</f>
        <v>Restaurantes</v>
      </c>
      <c r="C1475" s="1040" t="s">
        <v>3755</v>
      </c>
      <c r="D1475" s="1736"/>
      <c r="E1475" s="1043">
        <v>21.8</v>
      </c>
      <c r="F1475" s="1043"/>
      <c r="G1475" s="1550"/>
    </row>
    <row r="1476" spans="1:7">
      <c r="A1476" s="1754">
        <v>39737</v>
      </c>
      <c r="B1476" s="125" t="str">
        <f>TiposLancamentos!B56</f>
        <v>Farmácia</v>
      </c>
      <c r="C1476" s="1040" t="s">
        <v>5636</v>
      </c>
      <c r="D1476" s="1736"/>
      <c r="E1476" s="1043">
        <v>7.54</v>
      </c>
      <c r="F1476" s="1043"/>
      <c r="G1476" s="1550"/>
    </row>
    <row r="1477" spans="1:7">
      <c r="A1477" s="1754">
        <v>39737</v>
      </c>
      <c r="B1477" s="125" t="str">
        <f>TiposLancamentos!B13</f>
        <v>Moradia</v>
      </c>
      <c r="C1477" s="1040" t="s">
        <v>5637</v>
      </c>
      <c r="D1477" s="1736"/>
      <c r="E1477" s="1043">
        <v>1000</v>
      </c>
      <c r="F1477" s="1043"/>
      <c r="G1477" s="1550"/>
    </row>
    <row r="1478" spans="1:7">
      <c r="A1478" s="1754">
        <v>39738</v>
      </c>
      <c r="B1478" s="125" t="str">
        <f>TiposLancamentos!B19</f>
        <v>Restaurantes</v>
      </c>
      <c r="C1478" s="1040" t="s">
        <v>5613</v>
      </c>
      <c r="D1478" s="1736"/>
      <c r="E1478" s="1043">
        <v>14.28</v>
      </c>
      <c r="F1478" s="1043"/>
      <c r="G1478" s="1550"/>
    </row>
    <row r="1479" spans="1:7">
      <c r="A1479" s="1754">
        <v>39739</v>
      </c>
      <c r="B1479" s="125" t="str">
        <f>TiposLancamentos!B56</f>
        <v>Farmácia</v>
      </c>
      <c r="C1479" s="1040" t="s">
        <v>3420</v>
      </c>
      <c r="D1479" s="1736"/>
      <c r="E1479" s="1043">
        <v>22.83</v>
      </c>
      <c r="F1479" s="1043"/>
      <c r="G1479" s="1550"/>
    </row>
    <row r="1480" spans="1:7">
      <c r="A1480" s="1754">
        <v>39739</v>
      </c>
      <c r="B1480" s="125" t="str">
        <f>TiposLancamentos!B22</f>
        <v>Combustivel</v>
      </c>
      <c r="C1480" s="1040" t="s">
        <v>3381</v>
      </c>
      <c r="D1480" s="1736"/>
      <c r="E1480" s="1043">
        <v>50</v>
      </c>
      <c r="F1480" s="1043"/>
      <c r="G1480" s="1550"/>
    </row>
    <row r="1481" spans="1:7">
      <c r="A1481" s="1754">
        <v>39739</v>
      </c>
      <c r="B1481" s="125" t="str">
        <f>TiposLancamentos!B70</f>
        <v>Vestuário</v>
      </c>
      <c r="C1481" s="1040" t="s">
        <v>5638</v>
      </c>
      <c r="D1481" s="1736"/>
      <c r="E1481" s="1043">
        <v>17</v>
      </c>
      <c r="F1481" s="1043"/>
      <c r="G1481" s="1550"/>
    </row>
    <row r="1482" spans="1:7">
      <c r="A1482" s="1754">
        <v>39741</v>
      </c>
      <c r="B1482" s="125" t="str">
        <f>TiposLancamentos!B14</f>
        <v>Gás de cozinha</v>
      </c>
      <c r="C1482" s="1040" t="s">
        <v>5639</v>
      </c>
      <c r="D1482" s="1736"/>
      <c r="E1482" s="1043">
        <v>6.42</v>
      </c>
      <c r="F1482" s="1043"/>
      <c r="G1482" s="1550"/>
    </row>
    <row r="1483" spans="1:7">
      <c r="A1483" s="1754">
        <v>39741</v>
      </c>
      <c r="B1483" s="125" t="str">
        <f>TiposLancamentos!B6</f>
        <v>Energia Eletrica</v>
      </c>
      <c r="C1483" s="1040" t="s">
        <v>5640</v>
      </c>
      <c r="D1483" s="1736"/>
      <c r="E1483" s="1043">
        <v>101.03</v>
      </c>
      <c r="F1483" s="1043"/>
      <c r="G1483" s="1550"/>
    </row>
    <row r="1484" spans="1:7">
      <c r="A1484" s="1754">
        <v>39741</v>
      </c>
      <c r="B1484" s="125" t="str">
        <f>TiposLancamentos!B9</f>
        <v>Condominio</v>
      </c>
      <c r="C1484" s="1040" t="s">
        <v>5641</v>
      </c>
      <c r="D1484" s="1736"/>
      <c r="E1484" s="1043">
        <v>10</v>
      </c>
      <c r="F1484" s="1043"/>
      <c r="G1484" s="1550"/>
    </row>
    <row r="1485" spans="1:7">
      <c r="A1485" s="1754">
        <v>39741</v>
      </c>
      <c r="B1485" s="125" t="str">
        <f>TiposLancamentos!B5</f>
        <v>Supermercado</v>
      </c>
      <c r="C1485" s="1040" t="s">
        <v>5642</v>
      </c>
      <c r="D1485" s="1736"/>
      <c r="E1485" s="1043">
        <v>109.41</v>
      </c>
      <c r="F1485" s="1043"/>
      <c r="G1485" s="1550"/>
    </row>
    <row r="1486" spans="1:7">
      <c r="A1486" s="1754">
        <v>39741</v>
      </c>
      <c r="B1486" s="125" t="str">
        <f>TiposLancamentos!B5</f>
        <v>Supermercado</v>
      </c>
      <c r="C1486" s="1040" t="s">
        <v>3298</v>
      </c>
      <c r="D1486" s="1736"/>
      <c r="E1486" s="1043">
        <v>26</v>
      </c>
      <c r="F1486" s="1043"/>
      <c r="G1486" s="1550"/>
    </row>
    <row r="1487" spans="1:7">
      <c r="A1487" s="1754">
        <v>39741</v>
      </c>
      <c r="B1487" s="125" t="str">
        <f>TiposLancamentos!B20</f>
        <v>Saques</v>
      </c>
      <c r="C1487" s="1040" t="s">
        <v>2668</v>
      </c>
      <c r="D1487" s="1736"/>
      <c r="E1487" s="1043">
        <v>200</v>
      </c>
      <c r="F1487" s="1043"/>
      <c r="G1487" s="1550"/>
    </row>
    <row r="1488" spans="1:7">
      <c r="A1488" s="1754">
        <v>39743</v>
      </c>
      <c r="B1488" s="125" t="str">
        <f>TiposLancamentos!B5</f>
        <v>Supermercado</v>
      </c>
      <c r="C1488" s="1040" t="s">
        <v>5002</v>
      </c>
      <c r="D1488" s="1736"/>
      <c r="E1488" s="1043">
        <v>10.75</v>
      </c>
      <c r="F1488" s="1043"/>
      <c r="G1488" s="1550"/>
    </row>
    <row r="1489" spans="1:7">
      <c r="A1489" s="1754">
        <v>39743</v>
      </c>
      <c r="B1489" s="125" t="str">
        <f>TiposLancamentos!B5</f>
        <v>Supermercado</v>
      </c>
      <c r="C1489" s="1040" t="s">
        <v>5643</v>
      </c>
      <c r="D1489" s="1736"/>
      <c r="E1489" s="1043">
        <v>29.65</v>
      </c>
      <c r="F1489" s="1043"/>
      <c r="G1489" s="1550"/>
    </row>
    <row r="1490" spans="1:7">
      <c r="A1490" s="1754">
        <v>39744</v>
      </c>
      <c r="B1490" s="125" t="str">
        <f>TiposLancamentos!B19</f>
        <v>Restaurantes</v>
      </c>
      <c r="C1490" s="1040" t="s">
        <v>5644</v>
      </c>
      <c r="D1490" s="1736"/>
      <c r="E1490" s="1043">
        <v>24.68</v>
      </c>
      <c r="F1490" s="1043"/>
      <c r="G1490" s="1550"/>
    </row>
    <row r="1491" spans="1:7">
      <c r="A1491" s="1754">
        <v>39745</v>
      </c>
      <c r="B1491" s="125" t="str">
        <f>TiposLancamentos!B13</f>
        <v>Moradia</v>
      </c>
      <c r="C1491" s="1040" t="s">
        <v>5645</v>
      </c>
      <c r="D1491" s="1736"/>
      <c r="E1491" s="1043">
        <v>284</v>
      </c>
      <c r="F1491" s="1043"/>
      <c r="G1491" s="1550"/>
    </row>
    <row r="1492" spans="1:7">
      <c r="A1492" s="1754">
        <v>39745</v>
      </c>
      <c r="B1492" s="125" t="str">
        <f>TiposLancamentos!B5</f>
        <v>Supermercado</v>
      </c>
      <c r="C1492" s="1040" t="s">
        <v>5646</v>
      </c>
      <c r="D1492" s="1736"/>
      <c r="E1492" s="1043">
        <v>16.52</v>
      </c>
      <c r="F1492" s="1043"/>
      <c r="G1492" s="1550"/>
    </row>
    <row r="1493" spans="1:7">
      <c r="A1493" s="1754">
        <v>39750</v>
      </c>
      <c r="B1493" s="125" t="str">
        <f>TiposLancamentos!B19</f>
        <v>Restaurantes</v>
      </c>
      <c r="C1493" s="1040" t="s">
        <v>5647</v>
      </c>
      <c r="D1493" s="1736"/>
      <c r="E1493" s="1043">
        <v>8.5399999999999991</v>
      </c>
      <c r="F1493" s="1043"/>
      <c r="G1493" s="1550"/>
    </row>
    <row r="1494" spans="1:7">
      <c r="A1494" s="1754">
        <v>39751</v>
      </c>
      <c r="B1494" s="125" t="str">
        <f>TiposLancamentos!B98</f>
        <v>Restituições</v>
      </c>
      <c r="C1494" s="1040" t="s">
        <v>5648</v>
      </c>
      <c r="D1494" s="1736">
        <v>1645</v>
      </c>
      <c r="E1494" s="1043"/>
      <c r="F1494" s="1043"/>
      <c r="G1494" s="1550"/>
    </row>
    <row r="1495" spans="1:7">
      <c r="A1495" s="1754">
        <v>39751</v>
      </c>
      <c r="B1495" s="125" t="str">
        <f>TiposLancamentos!B16</f>
        <v>Cristiane</v>
      </c>
      <c r="C1495" s="1040" t="s">
        <v>5649</v>
      </c>
      <c r="D1495" s="1736"/>
      <c r="E1495" s="1043">
        <v>18.7</v>
      </c>
      <c r="F1495" s="1043"/>
      <c r="G1495" s="1550"/>
    </row>
    <row r="1496" spans="1:7">
      <c r="A1496" s="1754">
        <v>39751</v>
      </c>
      <c r="B1496" s="125" t="str">
        <f>TiposLancamentos!B20</f>
        <v>Saques</v>
      </c>
      <c r="C1496" s="1040" t="s">
        <v>3489</v>
      </c>
      <c r="D1496" s="1736"/>
      <c r="E1496" s="1043">
        <v>10</v>
      </c>
      <c r="F1496" s="1043"/>
      <c r="G1496" s="1550"/>
    </row>
    <row r="1497" spans="1:7">
      <c r="A1497" s="1754">
        <v>39751</v>
      </c>
      <c r="B1497" s="125" t="str">
        <f>TiposLancamentos!B58</f>
        <v>Fotografias</v>
      </c>
      <c r="C1497" s="1040" t="s">
        <v>5650</v>
      </c>
      <c r="D1497" s="1736"/>
      <c r="E1497" s="1043">
        <v>15.95</v>
      </c>
      <c r="F1497" s="1043"/>
      <c r="G1497" s="1550"/>
    </row>
    <row r="1498" spans="1:7" ht="14.25" thickBot="1">
      <c r="A1498" s="1754">
        <v>39751</v>
      </c>
      <c r="B1498" s="125" t="str">
        <f>TiposLancamentos!B5</f>
        <v>Supermercado</v>
      </c>
      <c r="C1498" s="1040" t="s">
        <v>5651</v>
      </c>
      <c r="D1498" s="1736"/>
      <c r="E1498" s="1043">
        <v>63.46</v>
      </c>
      <c r="F1498" s="1043"/>
      <c r="G1498" s="1550"/>
    </row>
    <row r="1499" spans="1:7">
      <c r="A1499" s="1834"/>
      <c r="B1499" s="977"/>
      <c r="C1499" s="1854" t="s">
        <v>5652</v>
      </c>
      <c r="D1499" s="1823"/>
      <c r="E1499" s="1821"/>
      <c r="F1499" s="1821"/>
      <c r="G1499" s="1895"/>
    </row>
    <row r="1500" spans="1:7">
      <c r="A1500" s="1754">
        <v>39753</v>
      </c>
      <c r="B1500" s="125" t="str">
        <f>TiposLancamentos!B19</f>
        <v>Restaurantes</v>
      </c>
      <c r="C1500" s="1040" t="s">
        <v>3755</v>
      </c>
      <c r="D1500" s="1736"/>
      <c r="E1500" s="1043">
        <v>41.77</v>
      </c>
      <c r="F1500" s="1043"/>
      <c r="G1500" s="1550"/>
    </row>
    <row r="1501" spans="1:7">
      <c r="A1501" s="1754">
        <v>39753</v>
      </c>
      <c r="B1501" s="125" t="str">
        <f>TiposLancamentos!B5</f>
        <v>Supermercado</v>
      </c>
      <c r="C1501" s="1040" t="s">
        <v>5653</v>
      </c>
      <c r="D1501" s="1736"/>
      <c r="E1501" s="1043">
        <v>20.22</v>
      </c>
      <c r="F1501" s="1043"/>
      <c r="G1501" s="1550"/>
    </row>
    <row r="1502" spans="1:7">
      <c r="A1502" s="1754">
        <v>39753</v>
      </c>
      <c r="B1502" s="125" t="str">
        <f>TiposLancamentos!B74</f>
        <v>Noite</v>
      </c>
      <c r="C1502" s="1040" t="s">
        <v>5654</v>
      </c>
      <c r="D1502" s="1736"/>
      <c r="E1502" s="1043">
        <v>59.89</v>
      </c>
      <c r="F1502" s="1043"/>
      <c r="G1502" s="1550"/>
    </row>
    <row r="1503" spans="1:7">
      <c r="A1503" s="1754">
        <v>39753</v>
      </c>
      <c r="B1503" s="125" t="str">
        <f>TiposLancamentos!B5</f>
        <v>Supermercado</v>
      </c>
      <c r="C1503" s="1040" t="s">
        <v>5655</v>
      </c>
      <c r="D1503" s="1736"/>
      <c r="E1503" s="1043">
        <v>6.65</v>
      </c>
      <c r="F1503" s="1043"/>
      <c r="G1503" s="1550"/>
    </row>
    <row r="1504" spans="1:7">
      <c r="A1504" s="1754">
        <v>39755</v>
      </c>
      <c r="B1504" s="125" t="str">
        <f>TiposLancamentos!B18</f>
        <v>Alimentacao</v>
      </c>
      <c r="C1504" s="1040" t="s">
        <v>5656</v>
      </c>
      <c r="D1504" s="1736"/>
      <c r="E1504" s="1043">
        <v>5.25</v>
      </c>
      <c r="F1504" s="1043"/>
      <c r="G1504" s="1550"/>
    </row>
    <row r="1505" spans="1:7">
      <c r="A1505" s="1754">
        <v>39755</v>
      </c>
      <c r="B1505" s="125" t="str">
        <f>TiposLancamentos!B18</f>
        <v>Alimentacao</v>
      </c>
      <c r="C1505" s="1040" t="s">
        <v>3437</v>
      </c>
      <c r="D1505" s="1736"/>
      <c r="E1505" s="1043">
        <v>4.97</v>
      </c>
      <c r="F1505" s="1043"/>
      <c r="G1505" s="1550"/>
    </row>
    <row r="1506" spans="1:7">
      <c r="A1506" s="1754">
        <v>39755</v>
      </c>
      <c r="B1506" s="125" t="str">
        <f>TiposLancamentos!B4</f>
        <v>Taxas Bancarias</v>
      </c>
      <c r="C1506" s="1040" t="s">
        <v>4858</v>
      </c>
      <c r="D1506" s="1736"/>
      <c r="E1506" s="1043">
        <v>4.8</v>
      </c>
      <c r="F1506" s="1043"/>
      <c r="G1506" s="1550"/>
    </row>
    <row r="1507" spans="1:7">
      <c r="A1507" s="1754">
        <v>39756</v>
      </c>
      <c r="B1507" s="125" t="str">
        <f>TiposLancamentos!B19</f>
        <v>Restaurantes</v>
      </c>
      <c r="C1507" s="1040" t="s">
        <v>4977</v>
      </c>
      <c r="D1507" s="1736"/>
      <c r="E1507" s="1043">
        <v>12.5</v>
      </c>
      <c r="F1507" s="1043"/>
      <c r="G1507" s="1550"/>
    </row>
    <row r="1508" spans="1:7">
      <c r="A1508" s="1754">
        <v>39756</v>
      </c>
      <c r="B1508" s="125" t="str">
        <f>TiposLancamentos!B18</f>
        <v>Alimentacao</v>
      </c>
      <c r="C1508" s="1040" t="s">
        <v>3437</v>
      </c>
      <c r="D1508" s="1736"/>
      <c r="E1508" s="1043">
        <v>6.2</v>
      </c>
      <c r="F1508" s="1043"/>
      <c r="G1508" s="1550"/>
    </row>
    <row r="1509" spans="1:7">
      <c r="A1509" s="1754">
        <v>39757</v>
      </c>
      <c r="B1509" s="125" t="str">
        <f>TiposLancamentos!B19</f>
        <v>Restaurantes</v>
      </c>
      <c r="C1509" s="1040" t="s">
        <v>5657</v>
      </c>
      <c r="D1509" s="1736"/>
      <c r="E1509" s="1043">
        <v>24</v>
      </c>
      <c r="F1509" s="1043"/>
      <c r="G1509" s="1550"/>
    </row>
    <row r="1510" spans="1:7">
      <c r="A1510" s="1754">
        <v>39757</v>
      </c>
      <c r="B1510" s="125" t="str">
        <f>TiposLancamentos!B19</f>
        <v>Restaurantes</v>
      </c>
      <c r="C1510" s="1040" t="s">
        <v>3995</v>
      </c>
      <c r="D1510" s="1736"/>
      <c r="E1510" s="1043">
        <v>26.5</v>
      </c>
      <c r="F1510" s="1043"/>
      <c r="G1510" s="1550"/>
    </row>
    <row r="1511" spans="1:7">
      <c r="A1511" s="1754">
        <v>39758</v>
      </c>
      <c r="B1511" s="125" t="str">
        <f>TiposLancamentos!B52</f>
        <v>Multas</v>
      </c>
      <c r="C1511" s="1040" t="s">
        <v>5658</v>
      </c>
      <c r="D1511" s="1736"/>
      <c r="E1511" s="1043">
        <v>847.7</v>
      </c>
      <c r="F1511" s="1043"/>
      <c r="G1511" s="1550"/>
    </row>
    <row r="1512" spans="1:7">
      <c r="A1512" s="1754">
        <v>39758</v>
      </c>
      <c r="B1512" s="125" t="str">
        <f>TiposLancamentos!B19</f>
        <v>Restaurantes</v>
      </c>
      <c r="C1512" s="1040" t="s">
        <v>3287</v>
      </c>
      <c r="D1512" s="1736"/>
      <c r="E1512" s="1043">
        <v>15.52</v>
      </c>
      <c r="F1512" s="1043"/>
      <c r="G1512" s="1550"/>
    </row>
    <row r="1513" spans="1:7">
      <c r="A1513" s="1754">
        <v>39751</v>
      </c>
      <c r="B1513" s="125" t="str">
        <f>TiposLancamentos!B13</f>
        <v>Moradia</v>
      </c>
      <c r="C1513" s="1040" t="s">
        <v>5659</v>
      </c>
      <c r="D1513" s="1736"/>
      <c r="E1513" s="1043">
        <v>1130</v>
      </c>
      <c r="F1513" s="1043"/>
      <c r="G1513" s="1550"/>
    </row>
    <row r="1514" spans="1:7">
      <c r="A1514" s="1754">
        <v>39759</v>
      </c>
      <c r="B1514" s="125" t="str">
        <f>TiposLancamentos!B19</f>
        <v>Restaurantes</v>
      </c>
      <c r="C1514" s="1040" t="s">
        <v>5660</v>
      </c>
      <c r="D1514" s="1736"/>
      <c r="E1514" s="1043">
        <v>9.5</v>
      </c>
      <c r="F1514" s="1043"/>
      <c r="G1514" s="1550"/>
    </row>
    <row r="1515" spans="1:7">
      <c r="A1515" s="1754">
        <v>39761</v>
      </c>
      <c r="B1515" s="125" t="str">
        <f>TiposLancamentos!B19</f>
        <v>Restaurantes</v>
      </c>
      <c r="C1515" s="1040" t="s">
        <v>5661</v>
      </c>
      <c r="D1515" s="1736"/>
      <c r="E1515" s="1043">
        <v>24.2</v>
      </c>
      <c r="F1515" s="1043"/>
      <c r="G1515" s="1550"/>
    </row>
    <row r="1516" spans="1:7">
      <c r="A1516" s="1754">
        <v>39762</v>
      </c>
      <c r="B1516" s="125" t="str">
        <f>TiposLancamentos!B35</f>
        <v>Tv à Cabo</v>
      </c>
      <c r="C1516" s="1040" t="s">
        <v>5662</v>
      </c>
      <c r="D1516" s="1736"/>
      <c r="E1516" s="1043">
        <v>191.7</v>
      </c>
      <c r="F1516" s="1043"/>
      <c r="G1516" s="1550"/>
    </row>
    <row r="1517" spans="1:7">
      <c r="A1517" s="1754">
        <v>39762</v>
      </c>
      <c r="B1517" s="125" t="str">
        <f>TiposLancamentos!B34</f>
        <v>Seguros</v>
      </c>
      <c r="C1517" s="1040" t="s">
        <v>5663</v>
      </c>
      <c r="D1517" s="1736"/>
      <c r="E1517" s="1043">
        <v>69</v>
      </c>
      <c r="F1517" s="1043"/>
      <c r="G1517" s="1550"/>
    </row>
    <row r="1518" spans="1:7">
      <c r="A1518" s="1754">
        <v>39762</v>
      </c>
      <c r="B1518" s="125" t="str">
        <f>TiposLancamentos!B98</f>
        <v>Restituições</v>
      </c>
      <c r="C1518" s="1040" t="s">
        <v>5648</v>
      </c>
      <c r="D1518" s="1736">
        <v>2036</v>
      </c>
      <c r="E1518" s="1043"/>
      <c r="F1518" s="1043"/>
      <c r="G1518" s="1550"/>
    </row>
    <row r="1519" spans="1:7">
      <c r="A1519" s="1754">
        <v>39762</v>
      </c>
      <c r="B1519" s="125" t="str">
        <f>TiposLancamentos!B4</f>
        <v>Taxas Bancarias</v>
      </c>
      <c r="C1519" s="1040" t="s">
        <v>5664</v>
      </c>
      <c r="D1519" s="1736"/>
      <c r="E1519" s="1043">
        <v>27.66</v>
      </c>
      <c r="F1519" s="1043"/>
      <c r="G1519" s="1550"/>
    </row>
    <row r="1520" spans="1:7">
      <c r="A1520" s="1754">
        <v>39764</v>
      </c>
      <c r="B1520" s="125" t="str">
        <f>TiposLancamentos!B99</f>
        <v>Venda de algo</v>
      </c>
      <c r="C1520" s="1040" t="s">
        <v>5665</v>
      </c>
      <c r="D1520" s="1736">
        <v>500</v>
      </c>
      <c r="E1520" s="1043"/>
      <c r="F1520" s="1043"/>
      <c r="G1520" s="1550"/>
    </row>
    <row r="1521" spans="1:7">
      <c r="A1521" s="1754">
        <v>39764</v>
      </c>
      <c r="B1521" s="125" t="str">
        <f>TiposLancamentos!B19</f>
        <v>Restaurantes</v>
      </c>
      <c r="C1521" s="1040" t="s">
        <v>5666</v>
      </c>
      <c r="D1521" s="1736"/>
      <c r="E1521" s="1043">
        <v>11.4</v>
      </c>
      <c r="F1521" s="1043"/>
      <c r="G1521" s="1550"/>
    </row>
    <row r="1522" spans="1:7">
      <c r="A1522" s="1754">
        <v>39764</v>
      </c>
      <c r="B1522" s="125" t="str">
        <f>TiposLancamentos!B71</f>
        <v>Itens Pessoais</v>
      </c>
      <c r="C1522" s="1040" t="s">
        <v>5667</v>
      </c>
      <c r="D1522" s="1736"/>
      <c r="E1522" s="1043">
        <v>30</v>
      </c>
      <c r="F1522" s="1043"/>
      <c r="G1522" s="1550"/>
    </row>
    <row r="1523" spans="1:7">
      <c r="A1523" s="1754">
        <v>39764</v>
      </c>
      <c r="B1523" s="125" t="str">
        <f>TiposLancamentos!B20</f>
        <v>Saques</v>
      </c>
      <c r="C1523" s="1040" t="s">
        <v>2655</v>
      </c>
      <c r="D1523" s="1736"/>
      <c r="E1523" s="1043">
        <v>10</v>
      </c>
      <c r="F1523" s="1043"/>
      <c r="G1523" s="1550"/>
    </row>
    <row r="1524" spans="1:7">
      <c r="A1524" s="1754">
        <v>39765</v>
      </c>
      <c r="B1524" s="125" t="str">
        <f>TiposLancamentos!B70</f>
        <v>Vestuário</v>
      </c>
      <c r="C1524" s="1040" t="s">
        <v>5668</v>
      </c>
      <c r="D1524" s="1736"/>
      <c r="E1524" s="1043">
        <v>39.6</v>
      </c>
      <c r="F1524" s="1043"/>
      <c r="G1524" s="1550"/>
    </row>
    <row r="1525" spans="1:7">
      <c r="A1525" s="1754">
        <v>39765</v>
      </c>
      <c r="B1525" s="125" t="str">
        <f>TiposLancamentos!B19</f>
        <v>Restaurantes</v>
      </c>
      <c r="C1525" s="1040" t="s">
        <v>3719</v>
      </c>
      <c r="D1525" s="1736"/>
      <c r="E1525" s="1043">
        <v>8</v>
      </c>
      <c r="F1525" s="1043"/>
      <c r="G1525" s="1550"/>
    </row>
    <row r="1526" spans="1:7">
      <c r="A1526" s="1754">
        <v>39765</v>
      </c>
      <c r="B1526" s="125" t="str">
        <f>TiposLancamentos!B22</f>
        <v>Combustivel</v>
      </c>
      <c r="C1526" s="1040" t="s">
        <v>5669</v>
      </c>
      <c r="D1526" s="1736"/>
      <c r="E1526" s="1043">
        <v>50</v>
      </c>
      <c r="F1526" s="1043"/>
      <c r="G1526" s="1550"/>
    </row>
    <row r="1527" spans="1:7">
      <c r="A1527" s="1754">
        <v>39769</v>
      </c>
      <c r="B1527" s="125" t="str">
        <f>TiposLancamentos!B99</f>
        <v>Venda de algo</v>
      </c>
      <c r="C1527" s="1040" t="s">
        <v>5670</v>
      </c>
      <c r="D1527" s="1736">
        <v>8000</v>
      </c>
      <c r="E1527" s="1043"/>
      <c r="F1527" s="1043"/>
      <c r="G1527" s="1550"/>
    </row>
    <row r="1528" spans="1:7">
      <c r="A1528" s="1754">
        <v>39769</v>
      </c>
      <c r="B1528" s="125" t="str">
        <f>TiposLancamentos!B21</f>
        <v>Transf. Poupanca</v>
      </c>
      <c r="C1528" s="1040" t="s">
        <v>5671</v>
      </c>
      <c r="D1528" s="1736"/>
      <c r="E1528" s="1043">
        <v>8000</v>
      </c>
      <c r="F1528" s="1043"/>
      <c r="G1528" s="1550"/>
    </row>
    <row r="1529" spans="1:7">
      <c r="A1529" s="1754">
        <v>39770</v>
      </c>
      <c r="B1529" s="125" t="str">
        <f>TiposLancamentos!B19</f>
        <v>Restaurantes</v>
      </c>
      <c r="C1529" s="1040" t="s">
        <v>2618</v>
      </c>
      <c r="D1529" s="1736"/>
      <c r="E1529" s="1043">
        <v>8</v>
      </c>
      <c r="F1529" s="1043"/>
      <c r="G1529" s="1550"/>
    </row>
    <row r="1530" spans="1:7">
      <c r="A1530" s="1754">
        <v>39771</v>
      </c>
      <c r="B1530" s="125" t="str">
        <f>TiposLancamentos!B13</f>
        <v>Moradia</v>
      </c>
      <c r="C1530" s="1040" t="s">
        <v>5672</v>
      </c>
      <c r="D1530" s="1851"/>
      <c r="E1530" s="1043">
        <v>284</v>
      </c>
      <c r="F1530" s="1043"/>
      <c r="G1530" s="1550"/>
    </row>
    <row r="1531" spans="1:7">
      <c r="A1531" s="1754">
        <v>39773</v>
      </c>
      <c r="B1531" s="125" t="str">
        <f>TiposLancamentos!B59</f>
        <v>Documentos</v>
      </c>
      <c r="C1531" s="1040" t="s">
        <v>5673</v>
      </c>
      <c r="D1531" s="1736"/>
      <c r="E1531" s="1043">
        <v>50.59</v>
      </c>
      <c r="F1531" s="1043"/>
      <c r="G1531" s="1550"/>
    </row>
    <row r="1532" spans="1:7">
      <c r="A1532" s="1754">
        <v>39778</v>
      </c>
      <c r="B1532" s="125" t="str">
        <f>TiposLancamentos!B20</f>
        <v>Saques</v>
      </c>
      <c r="C1532" s="1040" t="s">
        <v>3020</v>
      </c>
      <c r="D1532" s="1736"/>
      <c r="E1532" s="1043">
        <v>20</v>
      </c>
      <c r="F1532" s="1043"/>
      <c r="G1532" s="1550"/>
    </row>
    <row r="1533" spans="1:7">
      <c r="A1533" s="1754">
        <v>39780</v>
      </c>
      <c r="B1533" s="125" t="str">
        <f>TiposLancamentos!B105</f>
        <v>Transf. Bco</v>
      </c>
      <c r="C1533" s="1040" t="s">
        <v>5674</v>
      </c>
      <c r="D1533" s="1736">
        <v>1185</v>
      </c>
      <c r="E1533" s="1043"/>
      <c r="F1533" s="1043"/>
      <c r="G1533" s="1550"/>
    </row>
    <row r="1534" spans="1:7" ht="14.25" thickBot="1">
      <c r="A1534" s="1754">
        <v>39782</v>
      </c>
      <c r="B1534" s="125" t="str">
        <f>TiposLancamentos!B20</f>
        <v>Saques</v>
      </c>
      <c r="C1534" s="1040" t="s">
        <v>5675</v>
      </c>
      <c r="D1534" s="1736"/>
      <c r="E1534" s="1043">
        <v>60</v>
      </c>
      <c r="F1534" s="1043"/>
      <c r="G1534" s="1550"/>
    </row>
    <row r="1535" spans="1:7">
      <c r="A1535" s="1834"/>
      <c r="B1535" s="977"/>
      <c r="C1535" s="1854" t="s">
        <v>5676</v>
      </c>
      <c r="D1535" s="1823"/>
      <c r="E1535" s="1821"/>
      <c r="F1535" s="1821"/>
      <c r="G1535" s="1895"/>
    </row>
    <row r="1536" spans="1:7">
      <c r="A1536" s="1754">
        <v>39783</v>
      </c>
      <c r="B1536" s="125" t="str">
        <f>TiposLancamentos!B4</f>
        <v>Taxas Bancarias</v>
      </c>
      <c r="C1536" s="1040" t="s">
        <v>4858</v>
      </c>
      <c r="D1536" s="1736"/>
      <c r="E1536" s="1043">
        <v>7.4</v>
      </c>
      <c r="F1536" s="1043"/>
      <c r="G1536" s="1550"/>
    </row>
    <row r="1537" spans="1:7">
      <c r="A1537" s="1754">
        <v>39783</v>
      </c>
      <c r="B1537" s="125" t="str">
        <f>TiposLancamentos!B4</f>
        <v>Taxas Bancarias</v>
      </c>
      <c r="C1537" s="1040" t="s">
        <v>5677</v>
      </c>
      <c r="D1537" s="1736"/>
      <c r="E1537" s="1043">
        <v>1.04</v>
      </c>
      <c r="F1537" s="1043"/>
      <c r="G1537" s="1550"/>
    </row>
    <row r="1538" spans="1:7">
      <c r="A1538" s="1754">
        <v>39782</v>
      </c>
      <c r="B1538" s="125" t="str">
        <f>TiposLancamentos!B13</f>
        <v>Moradia</v>
      </c>
      <c r="C1538" s="1040" t="s">
        <v>5678</v>
      </c>
      <c r="D1538" s="1736"/>
      <c r="E1538" s="1043">
        <v>1130</v>
      </c>
      <c r="F1538" s="1043"/>
      <c r="G1538" s="1550"/>
    </row>
    <row r="1539" spans="1:7">
      <c r="A1539" s="1754">
        <v>39788</v>
      </c>
      <c r="B1539" s="125" t="str">
        <f>TiposLancamentos!B16</f>
        <v>Cristiane</v>
      </c>
      <c r="C1539" s="1040" t="s">
        <v>5679</v>
      </c>
      <c r="D1539" s="1736"/>
      <c r="E1539" s="1043">
        <v>50</v>
      </c>
      <c r="F1539" s="1043"/>
      <c r="G1539" s="1550"/>
    </row>
    <row r="1540" spans="1:7">
      <c r="A1540" s="1754">
        <v>39792</v>
      </c>
      <c r="B1540" s="125" t="str">
        <f>TiposLancamentos!B4</f>
        <v>Taxas Bancarias</v>
      </c>
      <c r="C1540" s="1040" t="s">
        <v>5680</v>
      </c>
      <c r="D1540" s="1736"/>
      <c r="E1540" s="1043">
        <v>1.86</v>
      </c>
      <c r="F1540" s="1043"/>
      <c r="G1540" s="1550"/>
    </row>
    <row r="1541" spans="1:7">
      <c r="A1541" s="1754">
        <v>39804</v>
      </c>
      <c r="B1541" s="125" t="str">
        <f>TiposLancamentos!B16</f>
        <v>Cristiane</v>
      </c>
      <c r="C1541" s="1040" t="s">
        <v>3549</v>
      </c>
      <c r="D1541" s="1736">
        <v>390</v>
      </c>
      <c r="E1541" s="1043"/>
      <c r="F1541" s="1043"/>
      <c r="G1541" s="1550"/>
    </row>
    <row r="1542" spans="1:7">
      <c r="A1542" s="1754">
        <v>39804</v>
      </c>
      <c r="B1542" s="125" t="str">
        <f>TiposLancamentos!B28</f>
        <v>ComicBook</v>
      </c>
      <c r="C1542" s="1040" t="s">
        <v>5681</v>
      </c>
      <c r="D1542" s="1736"/>
      <c r="E1542" s="1043">
        <v>36</v>
      </c>
      <c r="F1542" s="1043"/>
      <c r="G1542" s="1550"/>
    </row>
    <row r="1543" spans="1:7">
      <c r="A1543" s="1754">
        <v>39804</v>
      </c>
      <c r="B1543" s="125" t="str">
        <f>TiposLancamentos!B28</f>
        <v>ComicBook</v>
      </c>
      <c r="C1543" s="1040" t="s">
        <v>5682</v>
      </c>
      <c r="D1543" s="1736"/>
      <c r="E1543" s="1043">
        <v>34.630000000000003</v>
      </c>
      <c r="F1543" s="1043"/>
      <c r="G1543" s="1550"/>
    </row>
    <row r="1544" spans="1:7">
      <c r="A1544" s="1754">
        <v>39808</v>
      </c>
      <c r="B1544" s="125" t="str">
        <f>TiposLancamentos!B19</f>
        <v>Restaurantes</v>
      </c>
      <c r="C1544" s="1040" t="s">
        <v>5683</v>
      </c>
      <c r="D1544" s="1736"/>
      <c r="E1544" s="1043">
        <v>8</v>
      </c>
      <c r="F1544" s="1043"/>
      <c r="G1544" s="1550"/>
    </row>
    <row r="1545" spans="1:7">
      <c r="A1545" s="1754">
        <v>39808</v>
      </c>
      <c r="B1545" s="125" t="str">
        <f>TiposLancamentos!B19</f>
        <v>Restaurantes</v>
      </c>
      <c r="C1545" s="1040" t="s">
        <v>5684</v>
      </c>
      <c r="D1545" s="1736"/>
      <c r="E1545" s="1043">
        <v>26.75</v>
      </c>
      <c r="F1545" s="1043"/>
      <c r="G1545" s="1550"/>
    </row>
    <row r="1546" spans="1:7">
      <c r="A1546" s="1754">
        <v>39811</v>
      </c>
      <c r="B1546" s="125" t="str">
        <f>TiposLancamentos!B57</f>
        <v>Informática</v>
      </c>
      <c r="C1546" s="1040" t="s">
        <v>5685</v>
      </c>
      <c r="D1546" s="1736"/>
      <c r="E1546" s="1043">
        <v>79</v>
      </c>
      <c r="F1546" s="1043"/>
      <c r="G1546" s="1550"/>
    </row>
    <row r="1547" spans="1:7">
      <c r="A1547" s="1754">
        <v>39750</v>
      </c>
      <c r="B1547" s="125" t="str">
        <f>TiposLancamentos!B58</f>
        <v>Fotografias</v>
      </c>
      <c r="C1547" s="1040" t="s">
        <v>5686</v>
      </c>
      <c r="D1547" s="1736"/>
      <c r="E1547" s="1043">
        <v>36.79</v>
      </c>
      <c r="F1547" s="1043"/>
      <c r="G1547" s="1550"/>
    </row>
    <row r="1548" spans="1:7">
      <c r="A1548" s="1754">
        <v>39750</v>
      </c>
      <c r="B1548" s="125" t="str">
        <f>TiposLancamentos!B19</f>
        <v>Restaurantes</v>
      </c>
      <c r="C1548" s="1040" t="s">
        <v>3287</v>
      </c>
      <c r="D1548" s="1736"/>
      <c r="E1548" s="1043">
        <v>26.34</v>
      </c>
      <c r="F1548" s="1043"/>
      <c r="G1548" s="1550"/>
    </row>
    <row r="1549" spans="1:7">
      <c r="A1549" s="1754">
        <v>39812</v>
      </c>
      <c r="B1549" s="125" t="str">
        <f>TiposLancamentos!B105</f>
        <v>Transf. Bco</v>
      </c>
      <c r="C1549" s="1040" t="s">
        <v>5591</v>
      </c>
      <c r="D1549" s="1736">
        <v>1150</v>
      </c>
      <c r="E1549" s="1043"/>
      <c r="F1549" s="1043"/>
      <c r="G1549" s="1550"/>
    </row>
    <row r="1550" spans="1:7" ht="14.25" thickBot="1">
      <c r="A1550" s="1754">
        <v>39812</v>
      </c>
      <c r="B1550" s="125" t="str">
        <f>TiposLancamentos!B13</f>
        <v>Moradia</v>
      </c>
      <c r="C1550" s="1040" t="s">
        <v>5687</v>
      </c>
      <c r="D1550" s="1851"/>
      <c r="E1550" s="1043">
        <v>1130</v>
      </c>
      <c r="F1550" s="1043"/>
      <c r="G1550" s="1550"/>
    </row>
    <row r="1551" spans="1:7">
      <c r="A1551" s="1834"/>
      <c r="B1551" s="977"/>
      <c r="C1551" s="1854" t="s">
        <v>3709</v>
      </c>
      <c r="D1551" s="1823"/>
      <c r="E1551" s="1821"/>
      <c r="F1551" s="1821"/>
      <c r="G1551" s="1895"/>
    </row>
    <row r="1552" spans="1:7">
      <c r="A1552" s="1754">
        <v>39815</v>
      </c>
      <c r="B1552" s="125" t="str">
        <f>TiposLancamentos!B4</f>
        <v>Taxas Bancarias</v>
      </c>
      <c r="C1552" s="1040" t="s">
        <v>5688</v>
      </c>
      <c r="D1552" s="1736"/>
      <c r="E1552" s="1043">
        <v>1.37</v>
      </c>
      <c r="F1552" s="1043"/>
      <c r="G1552" s="1550"/>
    </row>
    <row r="1553" spans="1:7">
      <c r="A1553" s="1754">
        <v>39815</v>
      </c>
      <c r="B1553" s="125" t="str">
        <f>TiposLancamentos!B4</f>
        <v>Taxas Bancarias</v>
      </c>
      <c r="C1553" s="1040" t="s">
        <v>4858</v>
      </c>
      <c r="D1553" s="1736"/>
      <c r="E1553" s="1043">
        <v>0.51</v>
      </c>
      <c r="F1553" s="1043"/>
      <c r="G1553" s="1550"/>
    </row>
    <row r="1554" spans="1:7">
      <c r="A1554" s="1754">
        <v>39818</v>
      </c>
      <c r="B1554" s="125" t="str">
        <f>TiposLancamentos!B31</f>
        <v>Action Figures</v>
      </c>
      <c r="C1554" s="1040" t="s">
        <v>5689</v>
      </c>
      <c r="D1554" s="1736"/>
      <c r="E1554" s="1043">
        <v>82.9</v>
      </c>
      <c r="F1554" s="1043"/>
      <c r="G1554" s="1550"/>
    </row>
    <row r="1555" spans="1:7">
      <c r="A1555" s="1754">
        <v>39825</v>
      </c>
      <c r="B1555" s="125" t="str">
        <f>TiposLancamentos!B4</f>
        <v>Taxas Bancarias</v>
      </c>
      <c r="C1555" s="1040" t="s">
        <v>5690</v>
      </c>
      <c r="D1555" s="1736"/>
      <c r="E1555" s="1043">
        <v>3.03</v>
      </c>
      <c r="F1555" s="1043"/>
      <c r="G1555" s="1550"/>
    </row>
    <row r="1556" spans="1:7">
      <c r="A1556" s="1754">
        <v>39830</v>
      </c>
      <c r="B1556" s="125" t="str">
        <f>TiposLancamentos!B19</f>
        <v>Restaurantes</v>
      </c>
      <c r="C1556" s="1040" t="s">
        <v>5691</v>
      </c>
      <c r="D1556" s="1736"/>
      <c r="E1556" s="1043">
        <v>25.78</v>
      </c>
      <c r="F1556" s="1043"/>
      <c r="G1556" s="1550"/>
    </row>
    <row r="1557" spans="1:7">
      <c r="A1557" s="1754">
        <v>39843</v>
      </c>
      <c r="B1557" s="125" t="str">
        <f>TiposLancamentos!B105</f>
        <v>Transf. Bco</v>
      </c>
      <c r="C1557" s="1040" t="s">
        <v>5591</v>
      </c>
      <c r="D1557" s="1736">
        <v>1200</v>
      </c>
      <c r="E1557" s="1043"/>
      <c r="F1557" s="1043"/>
      <c r="G1557" s="1550"/>
    </row>
    <row r="1558" spans="1:7" ht="14.25" thickBot="1">
      <c r="A1558" s="1754">
        <v>39843</v>
      </c>
      <c r="B1558" s="125" t="str">
        <f>TiposLancamentos!B13</f>
        <v>Moradia</v>
      </c>
      <c r="C1558" s="1040" t="s">
        <v>5692</v>
      </c>
      <c r="D1558" s="1851"/>
      <c r="E1558" s="1043">
        <v>1130</v>
      </c>
      <c r="F1558" s="1043"/>
      <c r="G1558" s="1550"/>
    </row>
    <row r="1559" spans="1:7">
      <c r="A1559" s="1834"/>
      <c r="B1559" s="977"/>
      <c r="C1559" s="1854" t="s">
        <v>3729</v>
      </c>
      <c r="D1559" s="1823"/>
      <c r="E1559" s="1821"/>
      <c r="F1559" s="1821"/>
      <c r="G1559" s="1895"/>
    </row>
    <row r="1560" spans="1:7">
      <c r="A1560" s="1754">
        <v>39845</v>
      </c>
      <c r="B1560" s="125" t="str">
        <f>TiposLancamentos!B20</f>
        <v>Saques</v>
      </c>
      <c r="C1560" s="1040" t="s">
        <v>5693</v>
      </c>
      <c r="D1560" s="1736"/>
      <c r="E1560" s="1043">
        <v>10</v>
      </c>
      <c r="F1560" s="1043"/>
      <c r="G1560" s="1550"/>
    </row>
    <row r="1561" spans="1:7">
      <c r="A1561" s="1754">
        <v>39846</v>
      </c>
      <c r="B1561" s="125" t="str">
        <f>TiposLancamentos!B4</f>
        <v>Taxas Bancarias</v>
      </c>
      <c r="C1561" s="1040" t="s">
        <v>4858</v>
      </c>
      <c r="D1561" s="1736"/>
      <c r="E1561" s="1043">
        <v>0.26</v>
      </c>
      <c r="F1561" s="1043"/>
      <c r="G1561" s="1550"/>
    </row>
    <row r="1562" spans="1:7">
      <c r="A1562" s="1754">
        <v>39846</v>
      </c>
      <c r="B1562" s="125" t="str">
        <f>TiposLancamentos!B4</f>
        <v>Taxas Bancarias</v>
      </c>
      <c r="C1562" s="1040" t="s">
        <v>5688</v>
      </c>
      <c r="D1562" s="1736"/>
      <c r="E1562" s="1043">
        <v>1.1499999999999999</v>
      </c>
      <c r="F1562" s="1043"/>
      <c r="G1562" s="1550"/>
    </row>
    <row r="1563" spans="1:7">
      <c r="A1563" s="1754">
        <v>39852</v>
      </c>
      <c r="B1563" s="125" t="str">
        <f>TiposLancamentos!B19</f>
        <v>Restaurantes</v>
      </c>
      <c r="C1563" s="1040" t="s">
        <v>3995</v>
      </c>
      <c r="D1563" s="1736"/>
      <c r="E1563" s="1043">
        <v>31</v>
      </c>
      <c r="F1563" s="1043"/>
      <c r="G1563" s="1550"/>
    </row>
    <row r="1564" spans="1:7">
      <c r="A1564" s="1754">
        <v>39854</v>
      </c>
      <c r="B1564" s="125" t="str">
        <f>TiposLancamentos!B4</f>
        <v>Taxas Bancarias</v>
      </c>
      <c r="C1564" s="1040" t="s">
        <v>5694</v>
      </c>
      <c r="D1564" s="1736"/>
      <c r="E1564" s="1043">
        <v>2.4500000000000002</v>
      </c>
      <c r="F1564" s="1043"/>
      <c r="G1564" s="1550"/>
    </row>
    <row r="1565" spans="1:7" ht="14.25" thickBot="1">
      <c r="A1565" s="1754">
        <v>39865</v>
      </c>
      <c r="B1565" s="125" t="str">
        <f>TiposLancamentos!B70</f>
        <v>Vestuário</v>
      </c>
      <c r="C1565" s="1040" t="s">
        <v>5695</v>
      </c>
      <c r="D1565" s="1736"/>
      <c r="E1565" s="1043">
        <v>155.80000000000001</v>
      </c>
      <c r="F1565" s="1043"/>
      <c r="G1565" s="1550"/>
    </row>
    <row r="1566" spans="1:7">
      <c r="A1566" s="1834"/>
      <c r="B1566" s="977"/>
      <c r="C1566" s="1854" t="s">
        <v>5696</v>
      </c>
      <c r="D1566" s="1823"/>
      <c r="E1566" s="1821"/>
      <c r="F1566" s="1821"/>
      <c r="G1566" s="1895"/>
    </row>
    <row r="1567" spans="1:7">
      <c r="A1567" s="1754">
        <v>39874</v>
      </c>
      <c r="B1567" s="125" t="str">
        <f>TiposLancamentos!B16</f>
        <v>Cristiane</v>
      </c>
      <c r="C1567" s="1040" t="s">
        <v>5697</v>
      </c>
      <c r="D1567" s="1736">
        <v>350</v>
      </c>
      <c r="E1567" s="1043"/>
      <c r="F1567" s="1043"/>
      <c r="G1567" s="1550"/>
    </row>
    <row r="1568" spans="1:7">
      <c r="A1568" s="1754">
        <v>39874</v>
      </c>
      <c r="B1568" s="125" t="str">
        <f>TiposLancamentos!B4</f>
        <v>Taxas Bancarias</v>
      </c>
      <c r="C1568" s="1040" t="s">
        <v>4858</v>
      </c>
      <c r="D1568" s="1736"/>
      <c r="E1568" s="1043">
        <v>0.78</v>
      </c>
      <c r="F1568" s="1043"/>
      <c r="G1568" s="1550"/>
    </row>
    <row r="1569" spans="1:7">
      <c r="A1569" s="1754">
        <v>39875</v>
      </c>
      <c r="B1569" s="125" t="str">
        <f>TiposLancamentos!B4</f>
        <v>Taxas Bancarias</v>
      </c>
      <c r="C1569" s="1040" t="s">
        <v>5690</v>
      </c>
      <c r="D1569" s="1736"/>
      <c r="E1569" s="1043">
        <v>3.12</v>
      </c>
      <c r="F1569" s="1043"/>
      <c r="G1569" s="1550"/>
    </row>
    <row r="1570" spans="1:7">
      <c r="A1570" s="1754">
        <v>39899</v>
      </c>
      <c r="B1570" s="125" t="str">
        <f>TiposLancamentos!B105</f>
        <v>Transf. Bco</v>
      </c>
      <c r="C1570" s="1040" t="s">
        <v>5698</v>
      </c>
      <c r="D1570" s="1736"/>
      <c r="E1570" s="1043">
        <v>200</v>
      </c>
      <c r="F1570" s="1043"/>
      <c r="G1570" s="1550"/>
    </row>
    <row r="1571" spans="1:7" ht="14.25" thickBot="1">
      <c r="A1571" s="1754">
        <v>39903</v>
      </c>
      <c r="B1571" s="125" t="str">
        <f>TiposLancamentos!B57</f>
        <v>Informática</v>
      </c>
      <c r="C1571" s="1040" t="s">
        <v>5699</v>
      </c>
      <c r="D1571" s="1736"/>
      <c r="E1571" s="1043">
        <v>123.14</v>
      </c>
      <c r="F1571" s="1043"/>
      <c r="G1571" s="1550"/>
    </row>
    <row r="1572" spans="1:7">
      <c r="A1572" s="1834"/>
      <c r="B1572" s="977"/>
      <c r="C1572" s="1854" t="s">
        <v>3772</v>
      </c>
      <c r="D1572" s="1823"/>
      <c r="E1572" s="1821"/>
      <c r="F1572" s="1821"/>
      <c r="G1572" s="1895"/>
    </row>
    <row r="1573" spans="1:7">
      <c r="A1573" s="1754">
        <v>39904</v>
      </c>
      <c r="B1573" s="125" t="str">
        <f>TiposLancamentos!B15</f>
        <v>Cartões de Crédito</v>
      </c>
      <c r="C1573" s="1040" t="s">
        <v>5557</v>
      </c>
      <c r="D1573" s="1736"/>
      <c r="E1573" s="1043">
        <v>990.72</v>
      </c>
      <c r="F1573" s="1043"/>
      <c r="G1573" s="1550"/>
    </row>
    <row r="1574" spans="1:7">
      <c r="A1574" s="1754">
        <v>39904</v>
      </c>
      <c r="B1574" s="125" t="str">
        <f>TiposLancamentos!B15</f>
        <v>Cartões de Crédito</v>
      </c>
      <c r="C1574" s="1040" t="s">
        <v>5700</v>
      </c>
      <c r="D1574" s="1736"/>
      <c r="E1574" s="1043">
        <v>441.14</v>
      </c>
      <c r="F1574" s="1043"/>
      <c r="G1574" s="1550"/>
    </row>
    <row r="1575" spans="1:7">
      <c r="A1575" s="1754">
        <v>39904</v>
      </c>
      <c r="B1575" s="125" t="str">
        <f>TiposLancamentos!B15</f>
        <v>Cartões de Crédito</v>
      </c>
      <c r="C1575" s="1040" t="s">
        <v>5558</v>
      </c>
      <c r="D1575" s="1736"/>
      <c r="E1575" s="1043">
        <v>1829.41</v>
      </c>
      <c r="F1575" s="1043"/>
      <c r="G1575" s="1550"/>
    </row>
    <row r="1576" spans="1:7">
      <c r="A1576" s="1754">
        <v>39904</v>
      </c>
      <c r="B1576" s="125" t="str">
        <f>TiposLancamentos!B96</f>
        <v>Resg.Poup.</v>
      </c>
      <c r="C1576" s="1040" t="s">
        <v>5701</v>
      </c>
      <c r="D1576" s="1736">
        <v>3435</v>
      </c>
      <c r="E1576" s="1043"/>
      <c r="F1576" s="1043"/>
      <c r="G1576" s="1550"/>
    </row>
    <row r="1577" spans="1:7">
      <c r="A1577" s="1754">
        <v>39904</v>
      </c>
      <c r="B1577" s="125" t="str">
        <f>TiposLancamentos!B4</f>
        <v>Taxas Bancarias</v>
      </c>
      <c r="C1577" s="1040" t="s">
        <v>5339</v>
      </c>
      <c r="D1577" s="1736"/>
      <c r="E1577" s="1043">
        <v>0.65</v>
      </c>
      <c r="F1577" s="1043"/>
      <c r="G1577" s="1550"/>
    </row>
    <row r="1578" spans="1:7">
      <c r="A1578" s="1754">
        <v>39916</v>
      </c>
      <c r="B1578" s="125" t="str">
        <f>TiposLancamentos!B4</f>
        <v>Taxas Bancarias</v>
      </c>
      <c r="C1578" s="1040" t="s">
        <v>5690</v>
      </c>
      <c r="D1578" s="1736"/>
      <c r="E1578" s="1043">
        <v>0.78</v>
      </c>
      <c r="F1578" s="1043"/>
      <c r="G1578" s="1550"/>
    </row>
    <row r="1579" spans="1:7" ht="14.25" thickBot="1">
      <c r="A1579" s="1754">
        <v>39923</v>
      </c>
      <c r="B1579" s="125" t="str">
        <f>TiposLancamentos!B32</f>
        <v>Clinicas e tratamentos</v>
      </c>
      <c r="C1579" s="1040" t="s">
        <v>5702</v>
      </c>
      <c r="D1579" s="1736"/>
      <c r="E1579" s="1043">
        <v>750</v>
      </c>
      <c r="F1579" s="1043"/>
      <c r="G1579" s="1550"/>
    </row>
    <row r="1580" spans="1:7">
      <c r="A1580" s="1834"/>
      <c r="B1580" s="977"/>
      <c r="C1580" s="1854" t="s">
        <v>5703</v>
      </c>
      <c r="D1580" s="1823"/>
      <c r="E1580" s="1821"/>
      <c r="F1580" s="1821"/>
      <c r="G1580" s="1895"/>
    </row>
    <row r="1581" spans="1:7">
      <c r="A1581" s="1754">
        <v>39935</v>
      </c>
      <c r="B1581" s="125" t="str">
        <f>TiposLancamentos!B20</f>
        <v>Saques</v>
      </c>
      <c r="C1581" s="1040" t="s">
        <v>3072</v>
      </c>
      <c r="D1581" s="1736"/>
      <c r="E1581" s="1043">
        <v>50</v>
      </c>
      <c r="F1581" s="1043"/>
      <c r="G1581" s="1550"/>
    </row>
    <row r="1582" spans="1:7">
      <c r="A1582" s="1754">
        <v>39937</v>
      </c>
      <c r="B1582" s="125" t="str">
        <f>TiposLancamentos!B4</f>
        <v>Taxas Bancarias</v>
      </c>
      <c r="C1582" s="1040" t="s">
        <v>4858</v>
      </c>
      <c r="D1582" s="1736"/>
      <c r="E1582" s="1043">
        <v>3.05</v>
      </c>
      <c r="F1582" s="1043"/>
      <c r="G1582" s="1550"/>
    </row>
    <row r="1583" spans="1:7">
      <c r="A1583" s="1754">
        <v>39937</v>
      </c>
      <c r="B1583" s="125" t="str">
        <f>TiposLancamentos!B4</f>
        <v>Taxas Bancarias</v>
      </c>
      <c r="C1583" s="1040" t="s">
        <v>5207</v>
      </c>
      <c r="D1583" s="1736"/>
      <c r="E1583" s="1043">
        <v>0.83</v>
      </c>
      <c r="F1583" s="1043"/>
      <c r="G1583" s="1550"/>
    </row>
    <row r="1584" spans="1:7">
      <c r="A1584" s="1754">
        <v>39937</v>
      </c>
      <c r="B1584" s="125" t="str">
        <f>TiposLancamentos!B18</f>
        <v>Alimentacao</v>
      </c>
      <c r="C1584" s="1040" t="s">
        <v>5704</v>
      </c>
      <c r="D1584" s="1736"/>
      <c r="E1584" s="1043">
        <v>17.2</v>
      </c>
      <c r="F1584" s="1043"/>
      <c r="G1584" s="1550"/>
    </row>
    <row r="1585" spans="1:7">
      <c r="A1585" s="1754">
        <v>39944</v>
      </c>
      <c r="B1585" s="125" t="str">
        <f>TiposLancamentos!B4</f>
        <v>Taxas Bancarias</v>
      </c>
      <c r="C1585" s="1040" t="s">
        <v>5705</v>
      </c>
      <c r="D1585" s="1736"/>
      <c r="E1585" s="1043">
        <v>25.98</v>
      </c>
      <c r="F1585" s="1043"/>
      <c r="G1585" s="1550"/>
    </row>
    <row r="1586" spans="1:7" ht="14.25" thickBot="1">
      <c r="A1586" s="1754">
        <v>39945</v>
      </c>
      <c r="B1586" s="125" t="str">
        <f>TiposLancamentos!B96</f>
        <v>Resg.Poup.</v>
      </c>
      <c r="C1586" s="1040" t="s">
        <v>5701</v>
      </c>
      <c r="D1586" s="1736">
        <v>850</v>
      </c>
      <c r="E1586" s="1043"/>
      <c r="F1586" s="1043"/>
      <c r="G1586" s="1550"/>
    </row>
    <row r="1587" spans="1:7">
      <c r="A1587" s="1834"/>
      <c r="B1587" s="977"/>
      <c r="C1587" s="1854" t="s">
        <v>5706</v>
      </c>
      <c r="D1587" s="1823"/>
      <c r="E1587" s="1821"/>
      <c r="F1587" s="1821"/>
      <c r="G1587" s="1895"/>
    </row>
    <row r="1588" spans="1:7">
      <c r="A1588" s="1754">
        <v>39965</v>
      </c>
      <c r="B1588" s="125" t="str">
        <f>TiposLancamentos!B4</f>
        <v>Taxas Bancarias</v>
      </c>
      <c r="C1588" s="1040" t="s">
        <v>4858</v>
      </c>
      <c r="D1588" s="1736"/>
      <c r="E1588" s="1043">
        <v>0.71</v>
      </c>
      <c r="F1588" s="1043"/>
      <c r="G1588" s="1550"/>
    </row>
    <row r="1589" spans="1:7">
      <c r="A1589" s="1754">
        <v>39974</v>
      </c>
      <c r="B1589" s="125" t="str">
        <f>TiposLancamentos!B4</f>
        <v>Taxas Bancarias</v>
      </c>
      <c r="C1589" s="1040" t="s">
        <v>5707</v>
      </c>
      <c r="D1589" s="1736"/>
      <c r="E1589" s="1043">
        <v>2.62</v>
      </c>
      <c r="F1589" s="1043"/>
      <c r="G1589" s="1550"/>
    </row>
    <row r="1590" spans="1:7">
      <c r="A1590" s="1754">
        <v>39989</v>
      </c>
      <c r="B1590" s="125" t="str">
        <f>TiposLancamentos!B19</f>
        <v>Restaurantes</v>
      </c>
      <c r="C1590" s="1040" t="s">
        <v>3287</v>
      </c>
      <c r="D1590" s="1736"/>
      <c r="E1590" s="1043">
        <v>17.7</v>
      </c>
      <c r="F1590" s="1043"/>
      <c r="G1590" s="1550"/>
    </row>
    <row r="1591" spans="1:7">
      <c r="A1591" s="1754">
        <v>39989</v>
      </c>
      <c r="B1591" s="125" t="str">
        <f>TiposLancamentos!B51</f>
        <v>Marlboro</v>
      </c>
      <c r="C1591" s="1040" t="s">
        <v>5708</v>
      </c>
      <c r="D1591" s="1736"/>
      <c r="E1591" s="1043">
        <v>6.7</v>
      </c>
      <c r="F1591" s="1043"/>
      <c r="G1591" s="1550"/>
    </row>
    <row r="1592" spans="1:7">
      <c r="A1592" s="1754">
        <v>39989</v>
      </c>
      <c r="B1592" s="125" t="str">
        <f>TiposLancamentos!B96</f>
        <v>Resg.Poup.</v>
      </c>
      <c r="C1592" s="1040" t="s">
        <v>3641</v>
      </c>
      <c r="D1592" s="1736">
        <v>2300</v>
      </c>
      <c r="E1592" s="1043"/>
      <c r="F1592" s="1043"/>
      <c r="G1592" s="1550"/>
    </row>
    <row r="1593" spans="1:7">
      <c r="A1593" s="1754">
        <v>39989</v>
      </c>
      <c r="B1593" s="125" t="str">
        <f>TiposLancamentos!B13</f>
        <v>Moradia</v>
      </c>
      <c r="C1593" s="1040" t="s">
        <v>5709</v>
      </c>
      <c r="D1593" s="1736"/>
      <c r="E1593" s="1043">
        <v>2150</v>
      </c>
      <c r="F1593" s="1043"/>
      <c r="G1593" s="1550"/>
    </row>
    <row r="1594" spans="1:7">
      <c r="A1594" s="1754">
        <v>39989</v>
      </c>
      <c r="B1594" s="125" t="str">
        <f>TiposLancamentos!B16</f>
        <v>Cristiane</v>
      </c>
      <c r="C1594" s="1040" t="s">
        <v>5710</v>
      </c>
      <c r="D1594" s="1736"/>
      <c r="E1594" s="1043">
        <v>20.079999999999998</v>
      </c>
      <c r="F1594" s="1043"/>
      <c r="G1594" s="1550"/>
    </row>
    <row r="1595" spans="1:7">
      <c r="A1595" s="1754">
        <v>39989</v>
      </c>
      <c r="B1595" s="125" t="str">
        <f>TiposLancamentos!B19</f>
        <v>Restaurantes</v>
      </c>
      <c r="C1595" s="1040" t="s">
        <v>5711</v>
      </c>
      <c r="D1595" s="1736"/>
      <c r="E1595" s="1043">
        <v>14.6</v>
      </c>
      <c r="F1595" s="1043"/>
      <c r="G1595" s="1550"/>
    </row>
    <row r="1596" spans="1:7">
      <c r="A1596" s="1754">
        <v>39990</v>
      </c>
      <c r="B1596" s="125" t="str">
        <f>TiposLancamentos!B13</f>
        <v>Moradia</v>
      </c>
      <c r="C1596" s="1040" t="s">
        <v>5712</v>
      </c>
      <c r="D1596" s="1736"/>
      <c r="E1596" s="1043">
        <v>18</v>
      </c>
      <c r="F1596" s="1043"/>
      <c r="G1596" s="1550"/>
    </row>
    <row r="1597" spans="1:7">
      <c r="A1597" s="1754">
        <v>39990</v>
      </c>
      <c r="B1597" s="125" t="str">
        <f>TiposLancamentos!B19</f>
        <v>Restaurantes</v>
      </c>
      <c r="C1597" s="1040" t="s">
        <v>5713</v>
      </c>
      <c r="D1597" s="1736"/>
      <c r="E1597" s="1043">
        <v>18.3</v>
      </c>
      <c r="F1597" s="1043"/>
      <c r="G1597" s="1550"/>
    </row>
    <row r="1598" spans="1:7" ht="14.25" thickBot="1">
      <c r="A1598" s="1754">
        <v>39992</v>
      </c>
      <c r="B1598" s="125" t="str">
        <f>TiposLancamentos!B13</f>
        <v>Moradia</v>
      </c>
      <c r="C1598" s="1040" t="s">
        <v>5714</v>
      </c>
      <c r="D1598" s="1736"/>
      <c r="E1598" s="1043">
        <v>15.56</v>
      </c>
      <c r="F1598" s="1043"/>
      <c r="G1598" s="1550"/>
    </row>
    <row r="1599" spans="1:7">
      <c r="A1599" s="1834"/>
      <c r="B1599" s="977"/>
      <c r="C1599" s="1854" t="s">
        <v>5715</v>
      </c>
      <c r="D1599" s="1823"/>
      <c r="E1599" s="1821"/>
      <c r="F1599" s="1821"/>
      <c r="G1599" s="1895"/>
    </row>
    <row r="1600" spans="1:7">
      <c r="A1600" s="1754">
        <v>39995</v>
      </c>
      <c r="B1600" s="125" t="str">
        <f>TiposLancamentos!B19</f>
        <v>Restaurantes</v>
      </c>
      <c r="C1600" s="1040" t="s">
        <v>3176</v>
      </c>
      <c r="D1600" s="1736"/>
      <c r="E1600" s="1043">
        <v>20.100000000000001</v>
      </c>
      <c r="F1600" s="1043"/>
      <c r="G1600" s="1550"/>
    </row>
    <row r="1601" spans="1:7">
      <c r="A1601" s="1754">
        <v>39996</v>
      </c>
      <c r="B1601" s="125" t="str">
        <f>TiposLancamentos!B105</f>
        <v>Transf. Bco</v>
      </c>
      <c r="C1601" s="1040" t="s">
        <v>5716</v>
      </c>
      <c r="D1601" s="1736">
        <v>4000</v>
      </c>
      <c r="E1601" s="1043"/>
      <c r="F1601" s="1043"/>
      <c r="G1601" s="1550"/>
    </row>
    <row r="1602" spans="1:7">
      <c r="A1602" s="1754">
        <v>39996</v>
      </c>
      <c r="B1602" s="125" t="str">
        <f>TiposLancamentos!B21</f>
        <v>Transf. Poupanca</v>
      </c>
      <c r="C1602" s="1040" t="s">
        <v>5717</v>
      </c>
      <c r="D1602" s="1736"/>
      <c r="E1602" s="1043">
        <v>4000</v>
      </c>
      <c r="F1602" s="1043"/>
      <c r="G1602" s="1550"/>
    </row>
    <row r="1603" spans="1:7">
      <c r="A1603" s="1754">
        <v>40005</v>
      </c>
      <c r="B1603" s="125" t="str">
        <f>TiposLancamentos!B86</f>
        <v>Peugeout 207</v>
      </c>
      <c r="C1603" s="1040" t="s">
        <v>5718</v>
      </c>
      <c r="D1603" s="1736"/>
      <c r="E1603" s="1043">
        <v>850</v>
      </c>
      <c r="F1603" s="1043"/>
      <c r="G1603" s="1550"/>
    </row>
    <row r="1604" spans="1:7">
      <c r="A1604" s="1754">
        <v>40007</v>
      </c>
      <c r="B1604" s="125" t="str">
        <f>TiposLancamentos!B59</f>
        <v>Documentos</v>
      </c>
      <c r="C1604" s="1040" t="s">
        <v>5719</v>
      </c>
      <c r="D1604" s="1736"/>
      <c r="E1604" s="1043">
        <v>1549</v>
      </c>
      <c r="F1604" s="1043"/>
      <c r="G1604" s="1550"/>
    </row>
    <row r="1605" spans="1:7">
      <c r="A1605" s="1754">
        <v>40007</v>
      </c>
      <c r="B1605" s="125" t="str">
        <f>TiposLancamentos!B96</f>
        <v>Resg.Poup.</v>
      </c>
      <c r="C1605" s="1040" t="s">
        <v>5720</v>
      </c>
      <c r="D1605" s="1736">
        <v>8400</v>
      </c>
      <c r="E1605" s="1043"/>
      <c r="F1605" s="1043"/>
      <c r="G1605" s="1550"/>
    </row>
    <row r="1606" spans="1:7">
      <c r="A1606" s="1754">
        <v>40007</v>
      </c>
      <c r="B1606" s="125" t="str">
        <f>TiposLancamentos!B86</f>
        <v>Peugeout 207</v>
      </c>
      <c r="C1606" s="1040" t="s">
        <v>5721</v>
      </c>
      <c r="D1606" s="1736"/>
      <c r="E1606" s="1043">
        <v>6000</v>
      </c>
      <c r="F1606" s="1043"/>
      <c r="G1606" s="1550"/>
    </row>
    <row r="1607" spans="1:7">
      <c r="A1607" s="1754">
        <v>40008</v>
      </c>
      <c r="B1607" s="125" t="str">
        <f>TiposLancamentos!B86</f>
        <v>Peugeout 207</v>
      </c>
      <c r="C1607" s="1040" t="s">
        <v>5722</v>
      </c>
      <c r="D1607" s="1736"/>
      <c r="E1607" s="1043">
        <v>31.9</v>
      </c>
      <c r="F1607" s="1043"/>
      <c r="G1607" s="1550"/>
    </row>
    <row r="1608" spans="1:7">
      <c r="A1608" s="1754">
        <v>40014</v>
      </c>
      <c r="B1608" s="125" t="str">
        <f>TiposLancamentos!B37</f>
        <v>Playstation 3</v>
      </c>
      <c r="C1608" s="1040" t="s">
        <v>5723</v>
      </c>
      <c r="D1608" s="1736"/>
      <c r="E1608" s="1043">
        <v>1499</v>
      </c>
      <c r="F1608" s="1043"/>
      <c r="G1608" s="1550"/>
    </row>
    <row r="1609" spans="1:7">
      <c r="A1609" s="1754">
        <v>40015</v>
      </c>
      <c r="B1609" s="125" t="str">
        <f>TiposLancamentos!B98</f>
        <v>Restituições</v>
      </c>
      <c r="C1609" s="1040" t="s">
        <v>5724</v>
      </c>
      <c r="D1609" s="1736">
        <v>10000</v>
      </c>
      <c r="E1609" s="1043"/>
      <c r="F1609" s="1043"/>
      <c r="G1609" s="1550"/>
    </row>
    <row r="1610" spans="1:7">
      <c r="A1610" s="1754">
        <v>40016</v>
      </c>
      <c r="B1610" s="125" t="str">
        <f>TiposLancamentos!B98</f>
        <v>Restituições</v>
      </c>
      <c r="C1610" s="1040" t="s">
        <v>5725</v>
      </c>
      <c r="D1610" s="1736"/>
      <c r="E1610" s="1043">
        <v>500</v>
      </c>
      <c r="F1610" s="1043"/>
      <c r="G1610" s="1550"/>
    </row>
    <row r="1611" spans="1:7">
      <c r="A1611" s="1754">
        <v>40016</v>
      </c>
      <c r="B1611" s="125" t="str">
        <f>TiposLancamentos!B98</f>
        <v>Restituições</v>
      </c>
      <c r="C1611" s="1040" t="s">
        <v>5726</v>
      </c>
      <c r="D1611" s="1736"/>
      <c r="E1611" s="1043">
        <v>4500</v>
      </c>
      <c r="F1611" s="1043"/>
      <c r="G1611" s="1550"/>
    </row>
    <row r="1612" spans="1:7">
      <c r="A1612" s="1754">
        <v>40016</v>
      </c>
      <c r="B1612" s="125" t="str">
        <f>TiposLancamentos!B19</f>
        <v>Restaurantes</v>
      </c>
      <c r="C1612" s="1040" t="s">
        <v>5727</v>
      </c>
      <c r="D1612" s="1736"/>
      <c r="E1612" s="1043">
        <v>9.5500000000000007</v>
      </c>
      <c r="F1612" s="1043"/>
      <c r="G1612" s="1550"/>
    </row>
    <row r="1613" spans="1:7">
      <c r="A1613" s="1754">
        <v>40016</v>
      </c>
      <c r="B1613" s="125" t="str">
        <f>TiposLancamentos!B18</f>
        <v>Alimentacao</v>
      </c>
      <c r="C1613" s="1040" t="s">
        <v>5728</v>
      </c>
      <c r="D1613" s="1736"/>
      <c r="E1613" s="1043">
        <v>9.7799999999999994</v>
      </c>
      <c r="F1613" s="1043"/>
      <c r="G1613" s="1550"/>
    </row>
    <row r="1614" spans="1:7">
      <c r="A1614" s="1754">
        <v>40017</v>
      </c>
      <c r="B1614" s="125" t="str">
        <f>TiposLancamentos!B20</f>
        <v>Saques</v>
      </c>
      <c r="C1614" s="1040" t="s">
        <v>5729</v>
      </c>
      <c r="D1614" s="1736"/>
      <c r="E1614" s="1043">
        <v>170</v>
      </c>
      <c r="F1614" s="1043"/>
      <c r="G1614" s="1550"/>
    </row>
    <row r="1615" spans="1:7">
      <c r="A1615" s="1754">
        <v>40017</v>
      </c>
      <c r="B1615" s="125" t="str">
        <f>TiposLancamentos!B89</f>
        <v>Custos Processuais</v>
      </c>
      <c r="C1615" s="1040" t="s">
        <v>5730</v>
      </c>
      <c r="D1615" s="1736"/>
      <c r="E1615" s="1043">
        <v>2200</v>
      </c>
      <c r="F1615" s="1043"/>
      <c r="G1615" s="1550"/>
    </row>
    <row r="1616" spans="1:7">
      <c r="A1616" s="1754">
        <v>40017</v>
      </c>
      <c r="B1616" s="125" t="str">
        <f>TiposLancamentos!B19</f>
        <v>Restaurantes</v>
      </c>
      <c r="C1616" s="1040" t="s">
        <v>5731</v>
      </c>
      <c r="D1616" s="1736"/>
      <c r="E1616" s="1043">
        <v>9.9</v>
      </c>
      <c r="F1616" s="1043"/>
      <c r="G1616" s="1550"/>
    </row>
    <row r="1617" spans="1:7">
      <c r="A1617" s="1754">
        <v>40017</v>
      </c>
      <c r="B1617" s="125" t="str">
        <f>TiposLancamentos!B19</f>
        <v>Restaurantes</v>
      </c>
      <c r="C1617" s="1040" t="s">
        <v>5732</v>
      </c>
      <c r="D1617" s="1736"/>
      <c r="E1617" s="1043">
        <v>31.37</v>
      </c>
      <c r="F1617" s="1043"/>
      <c r="G1617" s="1550"/>
    </row>
    <row r="1618" spans="1:7">
      <c r="A1618" s="1754">
        <v>40018</v>
      </c>
      <c r="B1618" s="125" t="str">
        <f>TiposLancamentos!B19</f>
        <v>Restaurantes</v>
      </c>
      <c r="C1618" s="1040" t="s">
        <v>5733</v>
      </c>
      <c r="D1618" s="1736"/>
      <c r="E1618" s="1043">
        <v>17.3</v>
      </c>
      <c r="F1618" s="1043"/>
      <c r="G1618" s="1550"/>
    </row>
    <row r="1619" spans="1:7">
      <c r="A1619" s="1754">
        <v>40018</v>
      </c>
      <c r="B1619" s="125" t="str">
        <f>TiposLancamentos!B56</f>
        <v>Farmácia</v>
      </c>
      <c r="C1619" s="1040" t="s">
        <v>5734</v>
      </c>
      <c r="D1619" s="1736"/>
      <c r="E1619" s="1043">
        <v>7.62</v>
      </c>
      <c r="F1619" s="1043"/>
      <c r="G1619" s="1550"/>
    </row>
    <row r="1620" spans="1:7">
      <c r="A1620" s="1754">
        <v>40018</v>
      </c>
      <c r="B1620" s="125" t="str">
        <f>TiposLancamentos!B19</f>
        <v>Restaurantes</v>
      </c>
      <c r="C1620" s="1040" t="s">
        <v>2771</v>
      </c>
      <c r="D1620" s="1736"/>
      <c r="E1620" s="1043">
        <v>6</v>
      </c>
      <c r="F1620" s="1043"/>
      <c r="G1620" s="1550"/>
    </row>
    <row r="1621" spans="1:7">
      <c r="A1621" s="1754">
        <v>40019</v>
      </c>
      <c r="B1621" s="125" t="str">
        <f>TiposLancamentos!B19</f>
        <v>Restaurantes</v>
      </c>
      <c r="C1621" s="1040" t="s">
        <v>2875</v>
      </c>
      <c r="D1621" s="1736"/>
      <c r="E1621" s="1043">
        <v>12.35</v>
      </c>
      <c r="F1621" s="1043"/>
      <c r="G1621" s="1550"/>
    </row>
    <row r="1622" spans="1:7">
      <c r="A1622" s="1754">
        <v>40019</v>
      </c>
      <c r="B1622" s="125" t="str">
        <f>TiposLancamentos!B20</f>
        <v>Saques</v>
      </c>
      <c r="C1622" s="1040" t="s">
        <v>5735</v>
      </c>
      <c r="D1622" s="1736"/>
      <c r="E1622" s="1043">
        <v>30</v>
      </c>
      <c r="F1622" s="1043"/>
      <c r="G1622" s="1550"/>
    </row>
    <row r="1623" spans="1:7">
      <c r="A1623" s="1754">
        <v>40019</v>
      </c>
      <c r="B1623" s="125" t="str">
        <f>TiposLancamentos!B13</f>
        <v>Moradia</v>
      </c>
      <c r="C1623" s="1040" t="s">
        <v>5736</v>
      </c>
      <c r="D1623" s="1736"/>
      <c r="E1623" s="1043">
        <v>292.39999999999998</v>
      </c>
      <c r="F1623" s="1043"/>
      <c r="G1623" s="1550"/>
    </row>
    <row r="1624" spans="1:7">
      <c r="A1624" s="1754">
        <v>40019</v>
      </c>
      <c r="B1624" s="125" t="str">
        <f>TiposLancamentos!B19</f>
        <v>Restaurantes</v>
      </c>
      <c r="C1624" s="1040" t="s">
        <v>5737</v>
      </c>
      <c r="D1624" s="1736"/>
      <c r="E1624" s="1043">
        <v>42.66</v>
      </c>
      <c r="F1624" s="1043"/>
      <c r="G1624" s="1550"/>
    </row>
    <row r="1625" spans="1:7">
      <c r="A1625" s="1754">
        <v>40020</v>
      </c>
      <c r="B1625" s="125" t="str">
        <f>TiposLancamentos!B5</f>
        <v>Supermercado</v>
      </c>
      <c r="C1625" s="1040" t="s">
        <v>5738</v>
      </c>
      <c r="D1625" s="1736"/>
      <c r="E1625" s="1043">
        <v>53.07</v>
      </c>
      <c r="F1625" s="1043"/>
      <c r="G1625" s="1550"/>
    </row>
    <row r="1626" spans="1:7">
      <c r="A1626" s="1754">
        <v>40021</v>
      </c>
      <c r="B1626" s="125" t="str">
        <f>TiposLancamentos!B19</f>
        <v>Restaurantes</v>
      </c>
      <c r="C1626" s="1040" t="s">
        <v>5739</v>
      </c>
      <c r="D1626" s="1736"/>
      <c r="E1626" s="1043">
        <v>16.29</v>
      </c>
      <c r="F1626" s="1043"/>
      <c r="G1626" s="1550"/>
    </row>
    <row r="1627" spans="1:7">
      <c r="A1627" s="1754">
        <v>40022</v>
      </c>
      <c r="B1627" s="125" t="str">
        <f>TiposLancamentos!B17</f>
        <v>GATO</v>
      </c>
      <c r="C1627" s="1040" t="s">
        <v>5740</v>
      </c>
      <c r="D1627" s="1736"/>
      <c r="E1627" s="1043">
        <v>160.80000000000001</v>
      </c>
      <c r="F1627" s="1043"/>
      <c r="G1627" s="1550"/>
    </row>
    <row r="1628" spans="1:7">
      <c r="A1628" s="1754">
        <v>40022</v>
      </c>
      <c r="B1628" s="125" t="str">
        <f>TiposLancamentos!B19</f>
        <v>Restaurantes</v>
      </c>
      <c r="C1628" s="1040" t="s">
        <v>5741</v>
      </c>
      <c r="D1628" s="1736"/>
      <c r="E1628" s="1043">
        <v>11.2</v>
      </c>
      <c r="F1628" s="1043"/>
      <c r="G1628" s="1550"/>
    </row>
    <row r="1629" spans="1:7">
      <c r="A1629" s="1754">
        <v>40022</v>
      </c>
      <c r="B1629" s="125" t="str">
        <f>TiposLancamentos!B20</f>
        <v>Saques</v>
      </c>
      <c r="C1629" s="1040" t="s">
        <v>2668</v>
      </c>
      <c r="D1629" s="1736"/>
      <c r="E1629" s="1043">
        <v>20</v>
      </c>
      <c r="F1629" s="1043"/>
      <c r="G1629" s="1550"/>
    </row>
    <row r="1630" spans="1:7">
      <c r="A1630" s="1754">
        <v>40022</v>
      </c>
      <c r="B1630" s="125" t="str">
        <f>TiposLancamentos!B19</f>
        <v>Restaurantes</v>
      </c>
      <c r="C1630" s="1040" t="s">
        <v>5742</v>
      </c>
      <c r="D1630" s="1736"/>
      <c r="E1630" s="1043">
        <v>24.89</v>
      </c>
      <c r="F1630" s="1043"/>
      <c r="G1630" s="1550"/>
    </row>
    <row r="1631" spans="1:7">
      <c r="A1631" s="1754">
        <v>40023</v>
      </c>
      <c r="B1631" s="125" t="str">
        <f>TiposLancamentos!B19</f>
        <v>Restaurantes</v>
      </c>
      <c r="C1631" s="1040" t="s">
        <v>5713</v>
      </c>
      <c r="D1631" s="1736"/>
      <c r="E1631" s="1043">
        <v>19.7</v>
      </c>
      <c r="F1631" s="1043"/>
      <c r="G1631" s="1550"/>
    </row>
    <row r="1632" spans="1:7">
      <c r="A1632" s="1754">
        <v>40024</v>
      </c>
      <c r="B1632" s="125" t="str">
        <f>TiposLancamentos!B20</f>
        <v>Saques</v>
      </c>
      <c r="C1632" s="1040" t="s">
        <v>5743</v>
      </c>
      <c r="D1632" s="1736"/>
      <c r="E1632" s="1043">
        <v>50</v>
      </c>
      <c r="F1632" s="1043"/>
      <c r="G1632" s="1550"/>
    </row>
    <row r="1633" spans="1:7">
      <c r="A1633" s="1754">
        <v>40024</v>
      </c>
      <c r="B1633" s="125" t="str">
        <f>TiposLancamentos!B19</f>
        <v>Restaurantes</v>
      </c>
      <c r="C1633" s="1040" t="s">
        <v>3287</v>
      </c>
      <c r="D1633" s="1736"/>
      <c r="E1633" s="1043">
        <v>20.100000000000001</v>
      </c>
      <c r="F1633" s="1043"/>
      <c r="G1633" s="1550"/>
    </row>
    <row r="1634" spans="1:7">
      <c r="A1634" s="1754">
        <v>40024</v>
      </c>
      <c r="B1634" s="125" t="str">
        <f>TiposLancamentos!B6</f>
        <v>Energia Eletrica</v>
      </c>
      <c r="C1634" s="1040" t="s">
        <v>5744</v>
      </c>
      <c r="D1634" s="1736"/>
      <c r="E1634" s="1043">
        <v>155.66999999999999</v>
      </c>
      <c r="F1634" s="1043"/>
      <c r="G1634" s="1550"/>
    </row>
    <row r="1635" spans="1:7" ht="14.25" thickBot="1">
      <c r="A1635" s="1754">
        <v>40025</v>
      </c>
      <c r="B1635" s="125" t="str">
        <f>TiposLancamentos!B22</f>
        <v>Combustivel</v>
      </c>
      <c r="C1635" s="1040" t="s">
        <v>5745</v>
      </c>
      <c r="D1635" s="1736"/>
      <c r="E1635" s="1043">
        <v>60</v>
      </c>
      <c r="F1635" s="1043"/>
      <c r="G1635" s="1550"/>
    </row>
    <row r="1636" spans="1:7">
      <c r="A1636" s="1834"/>
      <c r="B1636" s="977"/>
      <c r="C1636" s="1854" t="s">
        <v>3850</v>
      </c>
      <c r="D1636" s="1823"/>
      <c r="E1636" s="1821"/>
      <c r="F1636" s="1821"/>
      <c r="G1636" s="1895"/>
    </row>
    <row r="1637" spans="1:7">
      <c r="A1637" s="1754">
        <v>40027</v>
      </c>
      <c r="B1637" s="125" t="str">
        <f>TiposLancamentos!B20</f>
        <v>Saques</v>
      </c>
      <c r="C1637" s="1040" t="s">
        <v>3489</v>
      </c>
      <c r="D1637" s="1736"/>
      <c r="E1637" s="1043">
        <v>60</v>
      </c>
      <c r="F1637" s="1043"/>
      <c r="G1637" s="1550"/>
    </row>
    <row r="1638" spans="1:7">
      <c r="A1638" s="1754">
        <v>40027</v>
      </c>
      <c r="B1638" s="125" t="str">
        <f>TiposLancamentos!B4</f>
        <v>Taxas Bancarias</v>
      </c>
      <c r="C1638" s="1040" t="s">
        <v>4858</v>
      </c>
      <c r="D1638" s="1736"/>
      <c r="E1638" s="1043">
        <v>0.03</v>
      </c>
      <c r="F1638" s="1043"/>
      <c r="G1638" s="1550"/>
    </row>
    <row r="1639" spans="1:7">
      <c r="A1639" s="1754">
        <v>40031</v>
      </c>
      <c r="B1639" s="125" t="str">
        <f>TiposLancamentos!B98</f>
        <v>Restituições</v>
      </c>
      <c r="C1639" s="1040" t="s">
        <v>2888</v>
      </c>
      <c r="D1639" s="1736">
        <v>292</v>
      </c>
      <c r="E1639" s="1043"/>
      <c r="F1639" s="1043"/>
      <c r="G1639" s="1550"/>
    </row>
    <row r="1640" spans="1:7">
      <c r="A1640" s="1754">
        <v>40031</v>
      </c>
      <c r="B1640" s="125" t="str">
        <f>TiposLancamentos!B105</f>
        <v>Transf. Bco</v>
      </c>
      <c r="C1640" s="1040" t="s">
        <v>5547</v>
      </c>
      <c r="D1640" s="1736"/>
      <c r="E1640" s="1043">
        <v>292</v>
      </c>
      <c r="F1640" s="1043"/>
      <c r="G1640" s="1550"/>
    </row>
    <row r="1641" spans="1:7">
      <c r="A1641" s="1754">
        <v>40038</v>
      </c>
      <c r="B1641" s="125" t="str">
        <f>TiposLancamentos!B96</f>
        <v>Resg.Poup.</v>
      </c>
      <c r="C1641" s="1040" t="s">
        <v>3623</v>
      </c>
      <c r="D1641" s="1736">
        <v>467</v>
      </c>
      <c r="E1641" s="1043"/>
      <c r="F1641" s="1043"/>
      <c r="G1641" s="1550"/>
    </row>
    <row r="1642" spans="1:7">
      <c r="A1642" s="1754">
        <v>40038</v>
      </c>
      <c r="B1642" s="125" t="str">
        <f>TiposLancamentos!B72</f>
        <v>Presentes</v>
      </c>
      <c r="C1642" s="1040" t="s">
        <v>5746</v>
      </c>
      <c r="D1642" s="1736"/>
      <c r="E1642" s="1043">
        <v>467</v>
      </c>
      <c r="F1642" s="1043"/>
      <c r="G1642" s="1550"/>
    </row>
    <row r="1643" spans="1:7">
      <c r="A1643" s="1754">
        <v>40039</v>
      </c>
      <c r="B1643" s="125" t="str">
        <f>TiposLancamentos!B13</f>
        <v>Moradia</v>
      </c>
      <c r="C1643" s="1040" t="s">
        <v>5747</v>
      </c>
      <c r="D1643" s="1736"/>
      <c r="E1643" s="1043">
        <v>177.3</v>
      </c>
      <c r="F1643" s="1043"/>
      <c r="G1643" s="1550"/>
    </row>
    <row r="1644" spans="1:7">
      <c r="A1644" s="1754">
        <v>40042</v>
      </c>
      <c r="B1644" s="125" t="str">
        <f>TiposLancamentos!B98</f>
        <v>Restituições</v>
      </c>
      <c r="C1644" s="1040" t="s">
        <v>5748</v>
      </c>
      <c r="D1644" s="1736">
        <v>546.08000000000004</v>
      </c>
      <c r="E1644" s="1043"/>
      <c r="F1644" s="1043"/>
      <c r="G1644" s="1550"/>
    </row>
    <row r="1645" spans="1:7" ht="14.25" thickBot="1">
      <c r="A1645" s="1754">
        <v>40044</v>
      </c>
      <c r="B1645" s="125" t="str">
        <f>TiposLancamentos!B4</f>
        <v>Taxas Bancarias</v>
      </c>
      <c r="C1645" s="1040" t="s">
        <v>5749</v>
      </c>
      <c r="D1645" s="1736"/>
      <c r="E1645" s="1043">
        <v>8</v>
      </c>
      <c r="F1645" s="1043"/>
      <c r="G1645" s="1550"/>
    </row>
    <row r="1646" spans="1:7">
      <c r="A1646" s="1834"/>
      <c r="B1646" s="977"/>
      <c r="C1646" s="1854" t="s">
        <v>3877</v>
      </c>
      <c r="D1646" s="1823"/>
      <c r="E1646" s="1821"/>
      <c r="F1646" s="1821"/>
      <c r="G1646" s="1895"/>
    </row>
    <row r="1647" spans="1:7">
      <c r="A1647" s="1754">
        <v>40057</v>
      </c>
      <c r="B1647" s="125" t="str">
        <f>TiposLancamentos!B16</f>
        <v>Cristiane</v>
      </c>
      <c r="C1647" s="1040" t="s">
        <v>5750</v>
      </c>
      <c r="D1647" s="1736"/>
      <c r="E1647" s="1043">
        <v>160</v>
      </c>
      <c r="F1647" s="1043"/>
      <c r="G1647" s="1550"/>
    </row>
    <row r="1648" spans="1:7">
      <c r="A1648" s="1754">
        <v>40059</v>
      </c>
      <c r="B1648" s="125" t="str">
        <f>TiposLancamentos!B57</f>
        <v>Informática</v>
      </c>
      <c r="C1648" s="1040" t="s">
        <v>5751</v>
      </c>
      <c r="D1648" s="1736"/>
      <c r="E1648" s="1043">
        <v>35.9</v>
      </c>
      <c r="F1648" s="1043"/>
      <c r="G1648" s="1550"/>
    </row>
    <row r="1649" spans="1:7">
      <c r="A1649" s="1754">
        <v>40063</v>
      </c>
      <c r="B1649" s="125" t="str">
        <f>TiposLancamentos!B19</f>
        <v>Restaurantes</v>
      </c>
      <c r="C1649" s="1040" t="s">
        <v>5752</v>
      </c>
      <c r="D1649" s="1736"/>
      <c r="E1649" s="1043">
        <v>27.5</v>
      </c>
      <c r="F1649" s="1043"/>
      <c r="G1649" s="1550"/>
    </row>
    <row r="1650" spans="1:7">
      <c r="A1650" s="1754">
        <v>40064</v>
      </c>
      <c r="B1650" s="125" t="str">
        <f>TiposLancamentos!B19</f>
        <v>Restaurantes</v>
      </c>
      <c r="C1650" s="1040" t="s">
        <v>5753</v>
      </c>
      <c r="D1650" s="1736"/>
      <c r="E1650" s="1043">
        <v>32</v>
      </c>
      <c r="F1650" s="1043"/>
      <c r="G1650" s="1550"/>
    </row>
    <row r="1651" spans="1:7">
      <c r="A1651" s="1754">
        <v>40066</v>
      </c>
      <c r="B1651" s="125" t="str">
        <f>TiposLancamentos!B4</f>
        <v>Taxas Bancarias</v>
      </c>
      <c r="C1651" s="1040" t="s">
        <v>5754</v>
      </c>
      <c r="D1651" s="1736"/>
      <c r="E1651" s="1043">
        <v>0.54</v>
      </c>
      <c r="F1651" s="1043"/>
      <c r="G1651" s="1550"/>
    </row>
    <row r="1652" spans="1:7">
      <c r="A1652" s="1754">
        <v>40070</v>
      </c>
      <c r="B1652" s="125" t="str">
        <f>TiposLancamentos!B19</f>
        <v>Restaurantes</v>
      </c>
      <c r="C1652" s="1040" t="s">
        <v>5755</v>
      </c>
      <c r="D1652" s="1736"/>
      <c r="E1652" s="1043">
        <v>18.3</v>
      </c>
      <c r="F1652" s="1043"/>
      <c r="G1652" s="1550"/>
    </row>
    <row r="1653" spans="1:7">
      <c r="A1653" s="1754">
        <v>40071</v>
      </c>
      <c r="B1653" s="125" t="str">
        <f>TiposLancamentos!B19</f>
        <v>Restaurantes</v>
      </c>
      <c r="C1653" s="1040" t="s">
        <v>5756</v>
      </c>
      <c r="D1653" s="1736"/>
      <c r="E1653" s="1043">
        <v>14.9</v>
      </c>
      <c r="F1653" s="1043"/>
      <c r="G1653" s="1550"/>
    </row>
    <row r="1654" spans="1:7">
      <c r="A1654" s="1754">
        <v>40071</v>
      </c>
      <c r="B1654" s="125" t="str">
        <f>TiposLancamentos!B13</f>
        <v>Moradia</v>
      </c>
      <c r="C1654" s="1040" t="s">
        <v>5757</v>
      </c>
      <c r="D1654" s="1736"/>
      <c r="E1654" s="1043">
        <v>15.98</v>
      </c>
      <c r="F1654" s="1043"/>
      <c r="G1654" s="1550"/>
    </row>
    <row r="1655" spans="1:7">
      <c r="A1655" s="1754">
        <v>40071</v>
      </c>
      <c r="B1655" s="125" t="str">
        <f>TiposLancamentos!B19</f>
        <v>Restaurantes</v>
      </c>
      <c r="C1655" s="1040" t="s">
        <v>5758</v>
      </c>
      <c r="D1655" s="1736"/>
      <c r="E1655" s="1043">
        <v>10.9</v>
      </c>
      <c r="F1655" s="1043"/>
      <c r="G1655" s="1550"/>
    </row>
    <row r="1656" spans="1:7">
      <c r="A1656" s="1754">
        <v>40071</v>
      </c>
      <c r="B1656" s="125" t="str">
        <f>TiposLancamentos!B19</f>
        <v>Restaurantes</v>
      </c>
      <c r="C1656" s="1040" t="s">
        <v>5759</v>
      </c>
      <c r="D1656" s="1736"/>
      <c r="E1656" s="1043">
        <v>26.15</v>
      </c>
      <c r="F1656" s="1043"/>
      <c r="G1656" s="1550"/>
    </row>
    <row r="1657" spans="1:7">
      <c r="A1657" s="1754">
        <v>40077</v>
      </c>
      <c r="B1657" s="125" t="str">
        <f>TiposLancamentos!B19</f>
        <v>Restaurantes</v>
      </c>
      <c r="C1657" s="1040" t="s">
        <v>5760</v>
      </c>
      <c r="D1657" s="1736"/>
      <c r="E1657" s="1043">
        <v>11.99</v>
      </c>
      <c r="F1657" s="1043"/>
      <c r="G1657" s="1550"/>
    </row>
    <row r="1658" spans="1:7" ht="14.25" thickBot="1">
      <c r="A1658" s="1754">
        <v>40079</v>
      </c>
      <c r="B1658" s="125" t="str">
        <f>TiposLancamentos!B20</f>
        <v>Saques</v>
      </c>
      <c r="C1658" s="1040" t="s">
        <v>5761</v>
      </c>
      <c r="D1658" s="1736"/>
      <c r="E1658" s="1043">
        <v>170</v>
      </c>
      <c r="F1658" s="1043"/>
      <c r="G1658" s="1550"/>
    </row>
    <row r="1659" spans="1:7">
      <c r="A1659" s="1834"/>
      <c r="B1659" s="977"/>
      <c r="C1659" s="1854" t="s">
        <v>3896</v>
      </c>
      <c r="D1659" s="1823"/>
      <c r="E1659" s="1821"/>
      <c r="F1659" s="1821"/>
      <c r="G1659" s="1895"/>
    </row>
    <row r="1660" spans="1:7">
      <c r="A1660" s="1754">
        <v>40087</v>
      </c>
      <c r="B1660" s="125" t="str">
        <f>TiposLancamentos!B4</f>
        <v>Taxas Bancarias</v>
      </c>
      <c r="C1660" s="1040" t="s">
        <v>4858</v>
      </c>
      <c r="D1660" s="1736"/>
      <c r="E1660" s="1043">
        <v>0.66</v>
      </c>
      <c r="F1660" s="1043"/>
      <c r="G1660" s="1550"/>
    </row>
    <row r="1661" spans="1:7">
      <c r="A1661" s="1754">
        <v>40088</v>
      </c>
      <c r="B1661" s="125" t="str">
        <f>TiposLancamentos!B96</f>
        <v>Resg.Poup.</v>
      </c>
      <c r="C1661" s="1040" t="s">
        <v>5701</v>
      </c>
      <c r="D1661" s="1736">
        <v>1000</v>
      </c>
      <c r="E1661" s="1043"/>
      <c r="F1661" s="1043"/>
      <c r="G1661" s="1550"/>
    </row>
    <row r="1662" spans="1:7">
      <c r="A1662" s="1754">
        <v>40088</v>
      </c>
      <c r="B1662" s="125" t="str">
        <f>TiposLancamentos!B16</f>
        <v>Cristiane</v>
      </c>
      <c r="C1662" s="1040" t="s">
        <v>3016</v>
      </c>
      <c r="D1662" s="1736"/>
      <c r="E1662" s="1043">
        <v>1000</v>
      </c>
      <c r="F1662" s="1043"/>
      <c r="G1662" s="1550"/>
    </row>
    <row r="1663" spans="1:7">
      <c r="A1663" s="1754">
        <v>40099</v>
      </c>
      <c r="B1663" s="125" t="str">
        <f>TiposLancamentos!B4</f>
        <v>Taxas Bancarias</v>
      </c>
      <c r="C1663" s="1040" t="s">
        <v>5754</v>
      </c>
      <c r="D1663" s="1736"/>
      <c r="E1663" s="1043">
        <v>8.26</v>
      </c>
      <c r="F1663" s="1043"/>
      <c r="G1663" s="1550"/>
    </row>
    <row r="1664" spans="1:7">
      <c r="A1664" s="1754">
        <v>40102</v>
      </c>
      <c r="B1664" s="125" t="str">
        <f>TiposLancamentos!B98</f>
        <v>Restituições</v>
      </c>
      <c r="C1664" s="1040" t="s">
        <v>5762</v>
      </c>
      <c r="D1664" s="1736">
        <v>335.4</v>
      </c>
      <c r="E1664" s="1043"/>
      <c r="F1664" s="1043"/>
      <c r="G1664" s="1550"/>
    </row>
    <row r="1665" spans="1:7">
      <c r="A1665" s="1754">
        <v>40103</v>
      </c>
      <c r="B1665" s="125" t="str">
        <f>TiposLancamentos!B20</f>
        <v>Saques</v>
      </c>
      <c r="C1665" s="1040" t="s">
        <v>5763</v>
      </c>
      <c r="D1665" s="1736"/>
      <c r="E1665" s="1043">
        <v>90</v>
      </c>
      <c r="F1665" s="1043"/>
      <c r="G1665" s="1550"/>
    </row>
    <row r="1666" spans="1:7">
      <c r="A1666" s="1754">
        <v>40103</v>
      </c>
      <c r="B1666" s="125" t="str">
        <f>TiposLancamentos!B71</f>
        <v>Itens Pessoais</v>
      </c>
      <c r="C1666" s="1040" t="s">
        <v>5611</v>
      </c>
      <c r="D1666" s="1736"/>
      <c r="E1666" s="1043">
        <v>18</v>
      </c>
      <c r="F1666" s="1043"/>
      <c r="G1666" s="1550"/>
    </row>
    <row r="1667" spans="1:7">
      <c r="A1667" s="1754">
        <v>40103</v>
      </c>
      <c r="B1667" s="125" t="str">
        <f>TiposLancamentos!B56</f>
        <v>Farmácia</v>
      </c>
      <c r="C1667" s="1040" t="s">
        <v>5764</v>
      </c>
      <c r="D1667" s="1736"/>
      <c r="E1667" s="1043">
        <v>15.74</v>
      </c>
      <c r="F1667" s="1043"/>
      <c r="G1667" s="1550"/>
    </row>
    <row r="1668" spans="1:7">
      <c r="A1668" s="1754">
        <v>40103</v>
      </c>
      <c r="B1668" s="125" t="str">
        <f>TiposLancamentos!B20</f>
        <v>Saques</v>
      </c>
      <c r="C1668" s="1040" t="s">
        <v>4335</v>
      </c>
      <c r="D1668" s="1736"/>
      <c r="E1668" s="1043">
        <v>20</v>
      </c>
      <c r="F1668" s="1043"/>
      <c r="G1668" s="1550"/>
    </row>
    <row r="1669" spans="1:7">
      <c r="A1669" s="1754">
        <v>40103</v>
      </c>
      <c r="B1669" s="125" t="str">
        <f>TiposLancamentos!B19</f>
        <v>Restaurantes</v>
      </c>
      <c r="C1669" s="1040" t="s">
        <v>5765</v>
      </c>
      <c r="D1669" s="1736"/>
      <c r="E1669" s="1043">
        <v>31.56</v>
      </c>
      <c r="F1669" s="1043"/>
      <c r="G1669" s="1550"/>
    </row>
    <row r="1670" spans="1:7">
      <c r="A1670" s="1754">
        <v>40106</v>
      </c>
      <c r="B1670" s="125" t="str">
        <f>TiposLancamentos!B5</f>
        <v>Supermercado</v>
      </c>
      <c r="C1670" s="1040" t="s">
        <v>5766</v>
      </c>
      <c r="D1670" s="1736"/>
      <c r="E1670" s="1043">
        <v>18.8</v>
      </c>
      <c r="F1670" s="1043"/>
      <c r="G1670" s="1550"/>
    </row>
    <row r="1671" spans="1:7" ht="14.25" thickBot="1">
      <c r="A1671" s="1754">
        <v>40106</v>
      </c>
      <c r="B1671" s="125" t="str">
        <f>TiposLancamentos!B9</f>
        <v>Condominio</v>
      </c>
      <c r="C1671" s="1040" t="s">
        <v>5767</v>
      </c>
      <c r="D1671" s="1736"/>
      <c r="E1671" s="1043">
        <v>135</v>
      </c>
      <c r="F1671" s="1043"/>
      <c r="G1671" s="1550"/>
    </row>
    <row r="1672" spans="1:7">
      <c r="A1672" s="1834"/>
      <c r="B1672" s="977"/>
      <c r="C1672" s="1854" t="s">
        <v>5768</v>
      </c>
      <c r="D1672" s="1823"/>
      <c r="E1672" s="1821"/>
      <c r="F1672" s="1821"/>
      <c r="G1672" s="1895"/>
    </row>
    <row r="1673" spans="1:7">
      <c r="A1673" s="1754">
        <v>40120</v>
      </c>
      <c r="B1673" s="125" t="str">
        <f>TiposLancamentos!B4</f>
        <v>Taxas Bancarias</v>
      </c>
      <c r="C1673" s="1040" t="s">
        <v>4858</v>
      </c>
      <c r="D1673" s="1736"/>
      <c r="E1673" s="1043">
        <v>0.83</v>
      </c>
      <c r="F1673" s="1043"/>
      <c r="G1673" s="1550"/>
    </row>
    <row r="1674" spans="1:7">
      <c r="A1674" s="1754">
        <v>40120</v>
      </c>
      <c r="B1674" s="125" t="str">
        <f>TiposLancamentos!B4</f>
        <v>Taxas Bancarias</v>
      </c>
      <c r="C1674" s="1040" t="s">
        <v>5769</v>
      </c>
      <c r="D1674" s="1736"/>
      <c r="E1674" s="1043">
        <v>0.32</v>
      </c>
      <c r="F1674" s="1043"/>
      <c r="G1674" s="1550"/>
    </row>
    <row r="1675" spans="1:7">
      <c r="A1675" s="1754">
        <v>40127</v>
      </c>
      <c r="B1675" s="125" t="str">
        <f>TiposLancamentos!B4</f>
        <v>Taxas Bancarias</v>
      </c>
      <c r="C1675" s="1040" t="s">
        <v>5690</v>
      </c>
      <c r="D1675" s="1736"/>
      <c r="E1675" s="1043">
        <v>11.79</v>
      </c>
      <c r="F1675" s="1043"/>
      <c r="G1675" s="1550"/>
    </row>
    <row r="1676" spans="1:7" ht="14.25" thickBot="1">
      <c r="A1676" s="1754">
        <v>40142</v>
      </c>
      <c r="B1676" s="125" t="str">
        <f>TiposLancamentos!B105</f>
        <v>Transf. Bco</v>
      </c>
      <c r="C1676" s="1040" t="s">
        <v>5770</v>
      </c>
      <c r="D1676" s="1736">
        <v>200</v>
      </c>
      <c r="E1676" s="1043"/>
      <c r="F1676" s="1043"/>
      <c r="G1676" s="1550"/>
    </row>
    <row r="1677" spans="1:7">
      <c r="A1677" s="1834"/>
      <c r="B1677" s="977"/>
      <c r="C1677" s="1854" t="s">
        <v>5771</v>
      </c>
      <c r="D1677" s="1823"/>
      <c r="E1677" s="1821"/>
      <c r="F1677" s="1821"/>
      <c r="G1677" s="1895"/>
    </row>
    <row r="1678" spans="1:7">
      <c r="A1678" s="1754">
        <v>40148</v>
      </c>
      <c r="B1678" s="125" t="str">
        <f>TiposLancamentos!B4</f>
        <v>Taxas Bancarias</v>
      </c>
      <c r="C1678" s="1040" t="s">
        <v>4858</v>
      </c>
      <c r="D1678" s="1736"/>
      <c r="E1678" s="1043">
        <v>0.2</v>
      </c>
      <c r="F1678" s="1043"/>
      <c r="G1678" s="1550"/>
    </row>
    <row r="1679" spans="1:7">
      <c r="A1679" s="1754">
        <v>40149</v>
      </c>
      <c r="B1679" s="125" t="str">
        <f>TiposLancamentos!B4</f>
        <v>Taxas Bancarias</v>
      </c>
      <c r="C1679" s="1040" t="s">
        <v>5690</v>
      </c>
      <c r="D1679" s="1736"/>
      <c r="E1679" s="1043">
        <v>7.66</v>
      </c>
      <c r="F1679" s="1043"/>
      <c r="G1679" s="1550"/>
    </row>
    <row r="1680" spans="1:7">
      <c r="A1680" s="1754">
        <v>40162</v>
      </c>
      <c r="B1680" s="125" t="str">
        <f>TiposLancamentos!B57</f>
        <v>Informática</v>
      </c>
      <c r="C1680" s="1040" t="s">
        <v>5772</v>
      </c>
      <c r="D1680" s="1736"/>
      <c r="E1680" s="1043">
        <v>14.9</v>
      </c>
      <c r="F1680" s="1043"/>
      <c r="G1680" s="1550"/>
    </row>
    <row r="1681" spans="1:7">
      <c r="A1681" s="1754">
        <v>40163</v>
      </c>
      <c r="B1681" s="125" t="str">
        <f>TiposLancamentos!B19</f>
        <v>Restaurantes</v>
      </c>
      <c r="C1681" s="1040" t="s">
        <v>5773</v>
      </c>
      <c r="D1681" s="1736"/>
      <c r="E1681" s="1043">
        <v>16.3</v>
      </c>
      <c r="F1681" s="1043"/>
      <c r="G1681" s="1550"/>
    </row>
    <row r="1682" spans="1:7">
      <c r="A1682" s="1754">
        <v>40166</v>
      </c>
      <c r="B1682" s="125" t="str">
        <f>TiposLancamentos!B5</f>
        <v>Supermercado</v>
      </c>
      <c r="C1682" s="1040" t="s">
        <v>5774</v>
      </c>
      <c r="D1682" s="1736"/>
      <c r="E1682" s="1043">
        <v>101.4</v>
      </c>
      <c r="F1682" s="1043"/>
      <c r="G1682" s="1550"/>
    </row>
    <row r="1683" spans="1:7">
      <c r="A1683" s="1754">
        <v>40167</v>
      </c>
      <c r="B1683" s="125" t="str">
        <f>TiposLancamentos!B13</f>
        <v>Moradia</v>
      </c>
      <c r="C1683" s="1040" t="s">
        <v>5775</v>
      </c>
      <c r="D1683" s="1736"/>
      <c r="E1683" s="1043">
        <v>39.799999999999997</v>
      </c>
      <c r="F1683" s="1043"/>
      <c r="G1683" s="1550"/>
    </row>
    <row r="1684" spans="1:7" ht="14.25" thickBot="1">
      <c r="A1684" s="1754">
        <v>40169</v>
      </c>
      <c r="B1684" s="125" t="str">
        <f>TiposLancamentos!B25</f>
        <v>CD_DVD_BD</v>
      </c>
      <c r="C1684" s="1040" t="s">
        <v>5776</v>
      </c>
      <c r="D1684" s="1736"/>
      <c r="E1684" s="1043">
        <v>35</v>
      </c>
      <c r="F1684" s="1043"/>
      <c r="G1684" s="1550"/>
    </row>
    <row r="1685" spans="1:7">
      <c r="A1685" s="1834"/>
      <c r="B1685" s="977"/>
      <c r="C1685" s="1854" t="s">
        <v>5777</v>
      </c>
      <c r="D1685" s="1823"/>
      <c r="E1685" s="1821"/>
      <c r="F1685" s="1821"/>
      <c r="G1685" s="1895"/>
    </row>
    <row r="1686" spans="1:7">
      <c r="A1686" s="1754">
        <v>40182</v>
      </c>
      <c r="B1686" s="125" t="str">
        <f>TiposLancamentos!B105</f>
        <v>Transf. Bco</v>
      </c>
      <c r="C1686" s="1040" t="s">
        <v>3814</v>
      </c>
      <c r="D1686" s="1736">
        <v>1250</v>
      </c>
      <c r="E1686" s="1043"/>
      <c r="F1686" s="1043"/>
      <c r="G1686" s="1550"/>
    </row>
    <row r="1687" spans="1:7">
      <c r="A1687" s="1754">
        <v>40182</v>
      </c>
      <c r="B1687" s="125" t="str">
        <f>TiposLancamentos!B4</f>
        <v>Taxas Bancarias</v>
      </c>
      <c r="C1687" s="1040" t="s">
        <v>4858</v>
      </c>
      <c r="D1687" s="1736"/>
      <c r="E1687" s="1043">
        <v>0.81</v>
      </c>
      <c r="F1687" s="1043"/>
      <c r="G1687" s="1550"/>
    </row>
    <row r="1688" spans="1:7">
      <c r="A1688" s="1754">
        <v>40183</v>
      </c>
      <c r="B1688" s="125" t="str">
        <f>TiposLancamentos!B16</f>
        <v>Cristiane</v>
      </c>
      <c r="C1688" s="1040" t="s">
        <v>3101</v>
      </c>
      <c r="D1688" s="1736"/>
      <c r="E1688" s="1043">
        <v>1000</v>
      </c>
      <c r="F1688" s="1043"/>
      <c r="G1688" s="1550"/>
    </row>
    <row r="1689" spans="1:7">
      <c r="A1689" s="1754">
        <v>40189</v>
      </c>
      <c r="B1689" s="125" t="str">
        <f>TiposLancamentos!B4</f>
        <v>Taxas Bancarias</v>
      </c>
      <c r="C1689" s="1040" t="s">
        <v>5690</v>
      </c>
      <c r="D1689" s="1736"/>
      <c r="E1689" s="1043">
        <v>7.74</v>
      </c>
      <c r="F1689" s="1043"/>
      <c r="G1689" s="1550"/>
    </row>
    <row r="1690" spans="1:7" ht="14.25" thickBot="1">
      <c r="A1690" s="1754">
        <v>40202</v>
      </c>
      <c r="B1690" s="125" t="str">
        <f>TiposLancamentos!B19</f>
        <v>Restaurantes</v>
      </c>
      <c r="C1690" s="1040" t="s">
        <v>2875</v>
      </c>
      <c r="D1690" s="1736"/>
      <c r="E1690" s="1043">
        <v>16.75</v>
      </c>
      <c r="F1690" s="1043"/>
      <c r="G1690" s="1550"/>
    </row>
    <row r="1691" spans="1:7">
      <c r="A1691" s="1834"/>
      <c r="B1691" s="977"/>
      <c r="C1691" s="1854" t="s">
        <v>5778</v>
      </c>
      <c r="D1691" s="1823"/>
      <c r="E1691" s="1821"/>
      <c r="F1691" s="1821"/>
      <c r="G1691" s="1895"/>
    </row>
    <row r="1692" spans="1:7">
      <c r="A1692" s="1754">
        <v>40229</v>
      </c>
      <c r="B1692" s="125" t="str">
        <f>TiposLancamentos!B20</f>
        <v>Saques</v>
      </c>
      <c r="C1692" s="1040" t="s">
        <v>2668</v>
      </c>
      <c r="D1692" s="1736"/>
      <c r="E1692" s="1043">
        <v>500</v>
      </c>
      <c r="F1692" s="1043"/>
      <c r="G1692" s="1550"/>
    </row>
    <row r="1693" spans="1:7">
      <c r="A1693" s="1754">
        <v>40229</v>
      </c>
      <c r="B1693" s="125" t="str">
        <f>TiposLancamentos!B96</f>
        <v>Resg.Poup.</v>
      </c>
      <c r="C1693" s="1040" t="s">
        <v>3623</v>
      </c>
      <c r="D1693" s="1736">
        <v>1500</v>
      </c>
      <c r="E1693" s="1043"/>
      <c r="F1693" s="1043"/>
      <c r="G1693" s="1550"/>
    </row>
    <row r="1694" spans="1:7" ht="14.25" thickBot="1">
      <c r="A1694" s="1867">
        <v>40229</v>
      </c>
      <c r="B1694" s="1861" t="str">
        <f>TiposLancamentos!B16</f>
        <v>Cristiane</v>
      </c>
      <c r="C1694" s="1857" t="s">
        <v>5779</v>
      </c>
      <c r="D1694" s="1852"/>
      <c r="E1694" s="1845">
        <v>1500</v>
      </c>
      <c r="F1694" s="1043"/>
      <c r="G1694" s="1550"/>
    </row>
    <row r="1695" spans="1:7">
      <c r="A1695" s="1834"/>
      <c r="B1695" s="977"/>
      <c r="C1695" s="1854" t="s">
        <v>5780</v>
      </c>
      <c r="D1695" s="1823"/>
      <c r="E1695" s="1821"/>
      <c r="F1695" s="1821"/>
      <c r="G1695" s="1895"/>
    </row>
    <row r="1696" spans="1:7">
      <c r="A1696" s="1754">
        <v>40238</v>
      </c>
      <c r="B1696" s="125" t="str">
        <f>TiposLancamentos!B4</f>
        <v>Taxas Bancarias</v>
      </c>
      <c r="C1696" s="1040" t="s">
        <v>4858</v>
      </c>
      <c r="D1696" s="1736"/>
      <c r="E1696" s="1043">
        <v>1.91</v>
      </c>
      <c r="F1696" s="1043"/>
      <c r="G1696" s="1550"/>
    </row>
    <row r="1697" spans="1:7" ht="14.25" thickBot="1">
      <c r="A1697" s="1754">
        <v>40247</v>
      </c>
      <c r="B1697" s="125" t="str">
        <f>TiposLancamentos!B4</f>
        <v>Taxas Bancarias</v>
      </c>
      <c r="C1697" s="1040" t="s">
        <v>5690</v>
      </c>
      <c r="D1697" s="1736"/>
      <c r="E1697" s="1043">
        <v>25.12</v>
      </c>
      <c r="F1697" s="1043"/>
      <c r="G1697" s="1550"/>
    </row>
    <row r="1698" spans="1:7">
      <c r="A1698" s="1834"/>
      <c r="B1698" s="977"/>
      <c r="C1698" s="1854" t="s">
        <v>5781</v>
      </c>
      <c r="D1698" s="1823"/>
      <c r="E1698" s="1821"/>
      <c r="F1698" s="1821"/>
      <c r="G1698" s="1895"/>
    </row>
    <row r="1699" spans="1:7">
      <c r="A1699" s="1754">
        <v>40269</v>
      </c>
      <c r="B1699" s="125" t="str">
        <f>TiposLancamentos!B4</f>
        <v>Taxas Bancarias</v>
      </c>
      <c r="C1699" s="1040" t="s">
        <v>4858</v>
      </c>
      <c r="D1699" s="1736"/>
      <c r="E1699" s="1043">
        <v>0.72</v>
      </c>
      <c r="F1699" s="1043"/>
      <c r="G1699" s="1550"/>
    </row>
    <row r="1700" spans="1:7">
      <c r="A1700" s="1754">
        <v>40247</v>
      </c>
      <c r="B1700" s="125" t="str">
        <f>TiposLancamentos!B4</f>
        <v>Taxas Bancarias</v>
      </c>
      <c r="C1700" s="1040" t="s">
        <v>5690</v>
      </c>
      <c r="D1700" s="1736"/>
      <c r="E1700" s="1043">
        <v>44.04</v>
      </c>
      <c r="F1700" s="1043"/>
      <c r="G1700" s="1550"/>
    </row>
    <row r="1701" spans="1:7">
      <c r="A1701" s="1754">
        <v>40284</v>
      </c>
      <c r="B1701" s="125" t="str">
        <f>TiposLancamentos!B16</f>
        <v>Cristiane</v>
      </c>
      <c r="C1701" s="1040" t="s">
        <v>5782</v>
      </c>
      <c r="D1701" s="1736">
        <v>600</v>
      </c>
      <c r="E1701" s="1043"/>
      <c r="F1701" s="1043"/>
      <c r="G1701" s="1550"/>
    </row>
    <row r="1702" spans="1:7">
      <c r="A1702" s="1754">
        <v>40284</v>
      </c>
      <c r="B1702" s="125" t="str">
        <f>TiposLancamentos!B16</f>
        <v>Cristiane</v>
      </c>
      <c r="C1702" s="1040" t="s">
        <v>5782</v>
      </c>
      <c r="D1702" s="1736">
        <v>450</v>
      </c>
      <c r="E1702" s="1043"/>
      <c r="F1702" s="1043"/>
      <c r="G1702" s="1550"/>
    </row>
    <row r="1703" spans="1:7">
      <c r="A1703" s="1754">
        <v>40285</v>
      </c>
      <c r="B1703" s="125" t="str">
        <f>TiposLancamentos!B5</f>
        <v>Supermercado</v>
      </c>
      <c r="C1703" s="1040" t="s">
        <v>3902</v>
      </c>
      <c r="D1703" s="1736"/>
      <c r="E1703" s="1043">
        <v>49.35</v>
      </c>
      <c r="F1703" s="1043"/>
      <c r="G1703" s="1550"/>
    </row>
    <row r="1704" spans="1:7">
      <c r="A1704" s="1754">
        <v>40286</v>
      </c>
      <c r="B1704" s="125" t="str">
        <f>TiposLancamentos!B19</f>
        <v>Restaurantes</v>
      </c>
      <c r="C1704" s="1040" t="s">
        <v>5783</v>
      </c>
      <c r="D1704" s="1736"/>
      <c r="E1704" s="1043">
        <v>14.3</v>
      </c>
      <c r="F1704" s="1043"/>
      <c r="G1704" s="1550"/>
    </row>
    <row r="1705" spans="1:7">
      <c r="A1705" s="1754">
        <v>40286</v>
      </c>
      <c r="B1705" s="125" t="str">
        <f>TiposLancamentos!B5</f>
        <v>Supermercado</v>
      </c>
      <c r="C1705" s="1040" t="s">
        <v>5784</v>
      </c>
      <c r="D1705" s="1736"/>
      <c r="E1705" s="1043">
        <v>87.07</v>
      </c>
      <c r="F1705" s="1043"/>
      <c r="G1705" s="1550"/>
    </row>
    <row r="1706" spans="1:7">
      <c r="A1706" s="1754">
        <v>40287</v>
      </c>
      <c r="B1706" s="125" t="str">
        <f>TiposLancamentos!B67</f>
        <v>Lavanderia</v>
      </c>
      <c r="C1706" s="1040" t="s">
        <v>5785</v>
      </c>
      <c r="D1706" s="1736"/>
      <c r="E1706" s="1043">
        <v>148</v>
      </c>
      <c r="F1706" s="1043"/>
      <c r="G1706" s="1550"/>
    </row>
    <row r="1707" spans="1:7">
      <c r="A1707" s="1754">
        <v>40287</v>
      </c>
      <c r="B1707" s="125" t="str">
        <f>TiposLancamentos!B13</f>
        <v>Moradia</v>
      </c>
      <c r="C1707" s="1040" t="s">
        <v>5786</v>
      </c>
      <c r="D1707" s="1736"/>
      <c r="E1707" s="1043">
        <v>22.35</v>
      </c>
      <c r="F1707" s="1043"/>
      <c r="G1707" s="1550"/>
    </row>
    <row r="1708" spans="1:7">
      <c r="A1708" s="1754">
        <v>40289</v>
      </c>
      <c r="B1708" s="125" t="str">
        <f>TiposLancamentos!B19</f>
        <v>Restaurantes</v>
      </c>
      <c r="C1708" s="1040" t="s">
        <v>5787</v>
      </c>
      <c r="D1708" s="1736"/>
      <c r="E1708" s="1043">
        <v>20.2</v>
      </c>
      <c r="F1708" s="1043"/>
      <c r="G1708" s="1550"/>
    </row>
    <row r="1709" spans="1:7">
      <c r="A1709" s="1754">
        <v>40289</v>
      </c>
      <c r="B1709" s="125" t="str">
        <f>TiposLancamentos!B19</f>
        <v>Restaurantes</v>
      </c>
      <c r="C1709" s="1040" t="s">
        <v>5788</v>
      </c>
      <c r="D1709" s="1736"/>
      <c r="E1709" s="1043">
        <v>56.01</v>
      </c>
      <c r="F1709" s="1043"/>
      <c r="G1709" s="1550"/>
    </row>
    <row r="1710" spans="1:7">
      <c r="A1710" s="1754">
        <v>40292</v>
      </c>
      <c r="B1710" s="125" t="s">
        <v>1704</v>
      </c>
      <c r="C1710" s="1040" t="s">
        <v>5789</v>
      </c>
      <c r="D1710" s="1736"/>
      <c r="E1710" s="1043">
        <v>14.4</v>
      </c>
      <c r="F1710" s="1043"/>
      <c r="G1710" s="1550"/>
    </row>
    <row r="1711" spans="1:7">
      <c r="A1711" s="1754">
        <v>40323</v>
      </c>
      <c r="B1711" s="125" t="str">
        <f>TiposLancamentos!B19</f>
        <v>Restaurantes</v>
      </c>
      <c r="C1711" s="1040" t="s">
        <v>5790</v>
      </c>
      <c r="D1711" s="1736"/>
      <c r="E1711" s="1043">
        <v>31.93</v>
      </c>
      <c r="F1711" s="1043"/>
      <c r="G1711" s="1550"/>
    </row>
    <row r="1712" spans="1:7">
      <c r="A1712" s="1754">
        <v>40294</v>
      </c>
      <c r="B1712" s="125" t="str">
        <f>TiposLancamentos!B78</f>
        <v>Diferenças</v>
      </c>
      <c r="C1712" s="1040" t="s">
        <v>5791</v>
      </c>
      <c r="D1712" s="1736"/>
      <c r="E1712" s="1043">
        <v>0.02</v>
      </c>
      <c r="F1712" s="1043"/>
      <c r="G1712" s="1550"/>
    </row>
    <row r="1713" spans="1:7">
      <c r="A1713" s="1754">
        <v>40295</v>
      </c>
      <c r="B1713" s="125" t="str">
        <f>TiposLancamentos!B71</f>
        <v>Itens Pessoais</v>
      </c>
      <c r="C1713" s="1040" t="s">
        <v>5792</v>
      </c>
      <c r="D1713" s="1736"/>
      <c r="E1713" s="1043">
        <v>14</v>
      </c>
      <c r="F1713" s="1043"/>
      <c r="G1713" s="1550"/>
    </row>
    <row r="1714" spans="1:7">
      <c r="A1714" s="1754">
        <v>40295</v>
      </c>
      <c r="B1714" s="125" t="str">
        <f>TiposLancamentos!B19</f>
        <v>Restaurantes</v>
      </c>
      <c r="C1714" s="1040" t="s">
        <v>5793</v>
      </c>
      <c r="D1714" s="1736"/>
      <c r="E1714" s="1043">
        <v>16.8</v>
      </c>
      <c r="F1714" s="1043"/>
      <c r="G1714" s="1550"/>
    </row>
    <row r="1715" spans="1:7">
      <c r="A1715" s="1754">
        <v>40296</v>
      </c>
      <c r="B1715" s="125" t="str">
        <f>TiposLancamentos!B19</f>
        <v>Restaurantes</v>
      </c>
      <c r="C1715" s="1040" t="s">
        <v>5794</v>
      </c>
      <c r="D1715" s="1736"/>
      <c r="E1715" s="1043">
        <v>8.99</v>
      </c>
      <c r="F1715" s="1043"/>
      <c r="G1715" s="1550"/>
    </row>
    <row r="1716" spans="1:7" ht="14.25" thickBot="1">
      <c r="A1716" s="1754">
        <v>40294</v>
      </c>
      <c r="B1716" s="125" t="str">
        <f>TiposLancamentos!B19</f>
        <v>Restaurantes</v>
      </c>
      <c r="C1716" s="1040" t="s">
        <v>5646</v>
      </c>
      <c r="D1716" s="1736"/>
      <c r="E1716" s="1043">
        <v>17.100000000000001</v>
      </c>
      <c r="F1716" s="1043"/>
      <c r="G1716" s="1550"/>
    </row>
    <row r="1717" spans="1:7">
      <c r="A1717" s="1834"/>
      <c r="B1717" s="977"/>
      <c r="C1717" s="1854" t="s">
        <v>5795</v>
      </c>
      <c r="D1717" s="1823"/>
      <c r="E1717" s="1821"/>
      <c r="F1717" s="1821"/>
      <c r="G1717" s="1895"/>
    </row>
    <row r="1718" spans="1:7">
      <c r="A1718" s="1754">
        <v>40301</v>
      </c>
      <c r="B1718" s="125" t="str">
        <f>TiposLancamentos!B4</f>
        <v>Taxas Bancarias</v>
      </c>
      <c r="C1718" s="1040" t="s">
        <v>4858</v>
      </c>
      <c r="D1718" s="1736"/>
      <c r="E1718" s="1043">
        <v>0.46</v>
      </c>
      <c r="F1718" s="1043"/>
      <c r="G1718" s="1550"/>
    </row>
    <row r="1719" spans="1:7">
      <c r="A1719" s="1754">
        <v>40308</v>
      </c>
      <c r="B1719" s="125" t="str">
        <f>TiposLancamentos!B4</f>
        <v>Taxas Bancarias</v>
      </c>
      <c r="C1719" s="1040" t="s">
        <v>5796</v>
      </c>
      <c r="D1719" s="1736"/>
      <c r="E1719" s="1043">
        <v>9.77</v>
      </c>
      <c r="F1719" s="1043"/>
      <c r="G1719" s="1550"/>
    </row>
    <row r="1720" spans="1:7">
      <c r="A1720" s="1754">
        <v>40330</v>
      </c>
      <c r="B1720" s="125" t="str">
        <f>TiposLancamentos!B96</f>
        <v>Resg.Poup.</v>
      </c>
      <c r="C1720" s="1040" t="s">
        <v>5797</v>
      </c>
      <c r="D1720" s="1736">
        <v>1000</v>
      </c>
      <c r="E1720" s="1043"/>
      <c r="F1720" s="1043"/>
      <c r="G1720" s="1550"/>
    </row>
    <row r="1721" spans="1:7">
      <c r="A1721" s="1754">
        <v>40330</v>
      </c>
      <c r="B1721" s="125" t="str">
        <f>TiposLancamentos!B16</f>
        <v>Cristiane</v>
      </c>
      <c r="C1721" s="1040" t="s">
        <v>3763</v>
      </c>
      <c r="D1721" s="1736"/>
      <c r="E1721" s="1043">
        <v>1000</v>
      </c>
      <c r="F1721" s="1043"/>
      <c r="G1721" s="1550"/>
    </row>
    <row r="1722" spans="1:7">
      <c r="A1722" s="1754">
        <v>40331</v>
      </c>
      <c r="B1722" s="125" t="str">
        <f>TiposLancamentos!B4</f>
        <v>Taxas Bancarias</v>
      </c>
      <c r="C1722" s="1040" t="s">
        <v>5798</v>
      </c>
      <c r="D1722" s="1736"/>
      <c r="E1722" s="1043">
        <v>8</v>
      </c>
      <c r="F1722" s="1043"/>
      <c r="G1722" s="1550"/>
    </row>
    <row r="1723" spans="1:7">
      <c r="A1723" s="1754">
        <v>40345</v>
      </c>
      <c r="B1723" s="125" t="str">
        <f>TiposLancamentos!B96</f>
        <v>Resg.Poup.</v>
      </c>
      <c r="C1723" s="1040" t="s">
        <v>5157</v>
      </c>
      <c r="D1723" s="1736">
        <v>300</v>
      </c>
      <c r="E1723" s="1043"/>
      <c r="F1723" s="1043"/>
      <c r="G1723" s="1550"/>
    </row>
    <row r="1724" spans="1:7">
      <c r="A1724" s="1754">
        <v>40345</v>
      </c>
      <c r="B1724" s="125" t="str">
        <f>TiposLancamentos!B16</f>
        <v>Cristiane</v>
      </c>
      <c r="C1724" s="1040" t="s">
        <v>5799</v>
      </c>
      <c r="D1724" s="1736"/>
      <c r="E1724" s="1043">
        <v>300</v>
      </c>
      <c r="F1724" s="1043"/>
      <c r="G1724" s="1550"/>
    </row>
    <row r="1725" spans="1:7">
      <c r="A1725" s="1754">
        <v>40400</v>
      </c>
      <c r="B1725" s="125" t="str">
        <f>TiposLancamentos!B4</f>
        <v>Taxas Bancarias</v>
      </c>
      <c r="C1725" s="1040" t="s">
        <v>5800</v>
      </c>
      <c r="D1725" s="1736"/>
      <c r="E1725" s="1043">
        <v>0.84</v>
      </c>
      <c r="F1725" s="1043"/>
      <c r="G1725" s="1550"/>
    </row>
    <row r="1726" spans="1:7">
      <c r="A1726" s="1754">
        <v>40404</v>
      </c>
      <c r="B1726" s="125" t="str">
        <f>TiposLancamentos!B5</f>
        <v>Supermercado</v>
      </c>
      <c r="C1726" s="1040" t="s">
        <v>5801</v>
      </c>
      <c r="D1726" s="1736"/>
      <c r="E1726" s="1043">
        <v>18.190000000000001</v>
      </c>
      <c r="F1726" s="1043"/>
      <c r="G1726" s="1550"/>
    </row>
    <row r="1727" spans="1:7">
      <c r="A1727" s="1754">
        <v>40406</v>
      </c>
      <c r="B1727" s="125" t="str">
        <f>TiposLancamentos!B105</f>
        <v>Transf. Bco</v>
      </c>
      <c r="C1727" s="1040" t="s">
        <v>3814</v>
      </c>
      <c r="D1727" s="1736">
        <v>50</v>
      </c>
      <c r="E1727" s="1043"/>
      <c r="F1727" s="1043"/>
      <c r="G1727" s="1550"/>
    </row>
    <row r="1728" spans="1:7">
      <c r="A1728" s="1754">
        <v>40417</v>
      </c>
      <c r="B1728" s="125" t="str">
        <f>TiposLancamentos!B20</f>
        <v>Saques</v>
      </c>
      <c r="C1728" s="1040" t="s">
        <v>2668</v>
      </c>
      <c r="D1728" s="1736"/>
      <c r="E1728" s="1043">
        <v>20</v>
      </c>
      <c r="F1728" s="1043"/>
      <c r="G1728" s="1550"/>
    </row>
    <row r="1729" spans="1:7">
      <c r="A1729" s="1754">
        <v>40452</v>
      </c>
      <c r="B1729" s="125" t="str">
        <f>TiposLancamentos!B20</f>
        <v>Saques</v>
      </c>
      <c r="C1729" s="1040" t="s">
        <v>2668</v>
      </c>
      <c r="D1729" s="1736"/>
      <c r="E1729" s="1043">
        <v>180</v>
      </c>
      <c r="F1729" s="1043"/>
      <c r="G1729" s="1550"/>
    </row>
    <row r="1730" spans="1:7">
      <c r="A1730" s="1754">
        <v>40492</v>
      </c>
      <c r="B1730" s="125" t="str">
        <f>TiposLancamentos!B4</f>
        <v>Taxas Bancarias</v>
      </c>
      <c r="C1730" s="1040" t="s">
        <v>5802</v>
      </c>
      <c r="D1730" s="1736"/>
      <c r="E1730" s="1043">
        <v>5.25</v>
      </c>
      <c r="F1730" s="1043"/>
      <c r="G1730" s="1550"/>
    </row>
    <row r="1731" spans="1:7">
      <c r="A1731" s="1754">
        <v>40469</v>
      </c>
      <c r="B1731" s="125" t="str">
        <f>TiposLancamentos!B96</f>
        <v>Resg.Poup.</v>
      </c>
      <c r="C1731" s="1040" t="s">
        <v>5803</v>
      </c>
      <c r="D1731" s="1736">
        <v>190</v>
      </c>
      <c r="E1731" s="1043"/>
      <c r="F1731" s="1043"/>
      <c r="G1731" s="1550"/>
    </row>
    <row r="1732" spans="1:7">
      <c r="A1732" s="1754">
        <v>40492</v>
      </c>
      <c r="B1732" s="125" t="str">
        <f>TiposLancamentos!B4</f>
        <v>Taxas Bancarias</v>
      </c>
      <c r="C1732" s="1040" t="s">
        <v>5690</v>
      </c>
      <c r="D1732" s="1736"/>
      <c r="E1732" s="1043">
        <v>3.3</v>
      </c>
      <c r="F1732" s="1043"/>
      <c r="G1732" s="1550"/>
    </row>
    <row r="1733" spans="1:7">
      <c r="A1733" s="1754">
        <v>40507</v>
      </c>
      <c r="B1733" s="125" t="str">
        <f>TiposLancamentos!B16</f>
        <v>Cristiane</v>
      </c>
      <c r="C1733" s="1040" t="s">
        <v>5804</v>
      </c>
      <c r="D1733" s="1736"/>
      <c r="E1733" s="1043">
        <v>135.9</v>
      </c>
      <c r="F1733" s="1043"/>
      <c r="G1733" s="1550"/>
    </row>
    <row r="1734" spans="1:7">
      <c r="A1734" s="1754">
        <v>40511</v>
      </c>
      <c r="B1734" s="125" t="str">
        <f>TiposLancamentos!B16</f>
        <v>Cristiane</v>
      </c>
      <c r="C1734" s="1040" t="s">
        <v>2888</v>
      </c>
      <c r="D1734" s="1736">
        <v>136</v>
      </c>
      <c r="E1734" s="1043"/>
      <c r="F1734" s="1043"/>
      <c r="G1734" s="1550"/>
    </row>
    <row r="1735" spans="1:7">
      <c r="A1735" s="1867">
        <v>40513</v>
      </c>
      <c r="B1735" s="1861" t="str">
        <f>TiposLancamentos!B4</f>
        <v>Taxas Bancarias</v>
      </c>
      <c r="C1735" s="1857" t="s">
        <v>5339</v>
      </c>
      <c r="D1735" s="1852"/>
      <c r="E1735" s="1845">
        <v>0.52</v>
      </c>
      <c r="F1735" s="1043"/>
      <c r="G1735" s="1550"/>
    </row>
    <row r="1736" spans="1:7" ht="14.25" thickBot="1">
      <c r="A1736" s="1754">
        <v>40513</v>
      </c>
      <c r="B1736" s="125" t="str">
        <f>TiposLancamentos!B4</f>
        <v>Taxas Bancarias</v>
      </c>
      <c r="C1736" s="1040" t="s">
        <v>5690</v>
      </c>
      <c r="D1736" s="1736"/>
      <c r="E1736" s="1043">
        <v>1.1000000000000001</v>
      </c>
      <c r="F1736" s="1043"/>
      <c r="G1736" s="1550"/>
    </row>
    <row r="1737" spans="1:7">
      <c r="A1737" s="1834"/>
      <c r="B1737" s="977"/>
      <c r="C1737" s="1854" t="s">
        <v>5805</v>
      </c>
      <c r="D1737" s="1823"/>
      <c r="E1737" s="1821"/>
      <c r="F1737" s="1821"/>
      <c r="G1737" s="1895"/>
    </row>
    <row r="1738" spans="1:7">
      <c r="A1738" s="1754">
        <v>40695</v>
      </c>
      <c r="B1738" s="125" t="str">
        <f>TiposLancamentos!B99</f>
        <v>Venda de algo</v>
      </c>
      <c r="C1738" s="1040" t="s">
        <v>5806</v>
      </c>
      <c r="D1738" s="1736">
        <v>210</v>
      </c>
      <c r="E1738" s="1043"/>
      <c r="F1738" s="1043"/>
      <c r="G1738" s="1550"/>
    </row>
    <row r="1739" spans="1:7">
      <c r="A1739" s="1754">
        <v>40697</v>
      </c>
      <c r="B1739" s="125" t="str">
        <f>TiposLancamentos!B99</f>
        <v>Venda de algo</v>
      </c>
      <c r="C1739" s="1040" t="s">
        <v>5807</v>
      </c>
      <c r="D1739" s="1736">
        <v>46.75</v>
      </c>
      <c r="E1739" s="1043"/>
      <c r="F1739" s="1043"/>
      <c r="G1739" s="1550"/>
    </row>
    <row r="1740" spans="1:7">
      <c r="A1740" s="1754">
        <v>40701</v>
      </c>
      <c r="B1740" s="125" t="str">
        <f>TiposLancamentos!B16</f>
        <v>Cristiane</v>
      </c>
      <c r="C1740" s="1040" t="s">
        <v>5808</v>
      </c>
      <c r="D1740" s="1736"/>
      <c r="E1740" s="1043">
        <v>123.69</v>
      </c>
      <c r="F1740" s="1043"/>
      <c r="G1740" s="1550"/>
    </row>
    <row r="1741" spans="1:7">
      <c r="A1741" s="1754">
        <v>40702</v>
      </c>
      <c r="B1741" s="125" t="str">
        <f>TiposLancamentos!B34</f>
        <v>Seguros</v>
      </c>
      <c r="C1741" s="1040" t="s">
        <v>5809</v>
      </c>
      <c r="D1741" s="1736"/>
      <c r="E1741" s="1043">
        <v>69</v>
      </c>
      <c r="F1741" s="1043"/>
      <c r="G1741" s="1550"/>
    </row>
    <row r="1742" spans="1:7" ht="14.25" thickBot="1">
      <c r="A1742" s="1754">
        <v>40702</v>
      </c>
      <c r="B1742" s="125" t="str">
        <f>TiposLancamentos!B15</f>
        <v>Cartões de Crédito</v>
      </c>
      <c r="C1742" s="1040" t="s">
        <v>5810</v>
      </c>
      <c r="D1742" s="1736"/>
      <c r="E1742" s="1043">
        <v>13.73</v>
      </c>
      <c r="F1742" s="1043"/>
      <c r="G1742" s="1550"/>
    </row>
    <row r="1743" spans="1:7">
      <c r="A1743" s="1834"/>
      <c r="B1743" s="977"/>
      <c r="C1743" s="1854" t="s">
        <v>5811</v>
      </c>
      <c r="D1743" s="1823"/>
      <c r="E1743" s="1821"/>
      <c r="F1743" s="1821"/>
      <c r="G1743" s="1895"/>
    </row>
    <row r="1744" spans="1:7" ht="14.25" thickBot="1">
      <c r="A1744" s="1754">
        <v>40733</v>
      </c>
      <c r="B1744" s="125" t="str">
        <f>TiposLancamentos!B30</f>
        <v>Cinema</v>
      </c>
      <c r="C1744" s="1040" t="s">
        <v>5812</v>
      </c>
      <c r="D1744" s="1736"/>
      <c r="E1744" s="1043">
        <v>7.5</v>
      </c>
      <c r="F1744" s="1043"/>
      <c r="G1744" s="1550"/>
    </row>
    <row r="1745" spans="1:7">
      <c r="A1745" s="1834"/>
      <c r="B1745" s="977"/>
      <c r="C1745" s="1854" t="s">
        <v>4204</v>
      </c>
      <c r="D1745" s="1823"/>
      <c r="E1745" s="1821"/>
      <c r="F1745" s="1821"/>
      <c r="G1745" s="1895"/>
    </row>
    <row r="1746" spans="1:7" ht="14.25" thickBot="1">
      <c r="A1746" s="1754">
        <v>40771</v>
      </c>
      <c r="B1746" s="125" t="str">
        <f>TiposLancamentos!B20</f>
        <v>Saques</v>
      </c>
      <c r="C1746" s="1040" t="s">
        <v>2668</v>
      </c>
      <c r="D1746" s="1736"/>
      <c r="E1746" s="1043">
        <v>20</v>
      </c>
      <c r="F1746" s="1043"/>
      <c r="G1746" s="1550"/>
    </row>
    <row r="1747" spans="1:7">
      <c r="A1747" s="1834"/>
      <c r="B1747" s="977"/>
      <c r="C1747" s="1854" t="s">
        <v>4219</v>
      </c>
      <c r="D1747" s="1823"/>
      <c r="E1747" s="1821"/>
      <c r="F1747" s="1821"/>
      <c r="G1747" s="1895"/>
    </row>
    <row r="1748" spans="1:7" ht="14.25" thickBot="1">
      <c r="A1748" s="1754">
        <v>40806</v>
      </c>
      <c r="B1748" s="125" t="str">
        <f>TiposLancamentos!B99</f>
        <v>Venda de algo</v>
      </c>
      <c r="C1748" s="1040" t="s">
        <v>219</v>
      </c>
      <c r="D1748" s="1736">
        <v>90</v>
      </c>
      <c r="E1748" s="1043"/>
      <c r="F1748" s="1043"/>
      <c r="G1748" s="1550"/>
    </row>
    <row r="1749" spans="1:7">
      <c r="A1749" s="1834"/>
      <c r="B1749" s="977"/>
      <c r="C1749" s="1854" t="s">
        <v>5813</v>
      </c>
      <c r="D1749" s="1823"/>
      <c r="E1749" s="1821"/>
      <c r="F1749" s="1821"/>
      <c r="G1749" s="1895"/>
    </row>
    <row r="1750" spans="1:7" ht="14.25" thickBot="1">
      <c r="A1750" s="1754">
        <v>40829</v>
      </c>
      <c r="B1750" s="125" t="str">
        <f>TiposLancamentos!B20</f>
        <v>Saques</v>
      </c>
      <c r="C1750" s="1040" t="s">
        <v>5814</v>
      </c>
      <c r="D1750" s="1736"/>
      <c r="E1750" s="1043">
        <v>90</v>
      </c>
      <c r="F1750" s="1043"/>
      <c r="G1750" s="1550"/>
    </row>
    <row r="1751" spans="1:7">
      <c r="A1751" s="1834"/>
      <c r="B1751" s="977"/>
      <c r="C1751" s="1854" t="s">
        <v>5815</v>
      </c>
      <c r="D1751" s="1823"/>
      <c r="E1751" s="1821"/>
      <c r="F1751" s="1821"/>
      <c r="G1751" s="1895"/>
    </row>
    <row r="1752" spans="1:7" ht="14.25" thickBot="1">
      <c r="A1752" s="1754">
        <v>40983</v>
      </c>
      <c r="B1752" s="125" t="str">
        <f>TiposLancamentos!B105</f>
        <v>Transf. Bco</v>
      </c>
      <c r="C1752" s="1040" t="s">
        <v>5816</v>
      </c>
      <c r="D1752" s="1736">
        <v>2420</v>
      </c>
      <c r="E1752" s="1043"/>
      <c r="F1752" s="1043"/>
      <c r="G1752" s="1550"/>
    </row>
    <row r="1753" spans="1:7">
      <c r="A1753" s="1834"/>
      <c r="B1753" s="977"/>
      <c r="C1753" s="1854" t="s">
        <v>5817</v>
      </c>
      <c r="D1753" s="1823"/>
      <c r="E1753" s="1821"/>
      <c r="F1753" s="1821"/>
      <c r="G1753" s="1895"/>
    </row>
    <row r="1754" spans="1:7" ht="14.25" thickBot="1">
      <c r="A1754" s="1754">
        <v>41009</v>
      </c>
      <c r="B1754" s="125" t="str">
        <f>TiposLancamentos!B21</f>
        <v>Transf. Poupanca</v>
      </c>
      <c r="C1754" s="1040" t="s">
        <v>5818</v>
      </c>
      <c r="D1754" s="1736"/>
      <c r="E1754" s="1043">
        <v>2400</v>
      </c>
      <c r="F1754" s="1043"/>
      <c r="G1754" s="1550"/>
    </row>
    <row r="1755" spans="1:7">
      <c r="A1755" s="1834"/>
      <c r="B1755" s="977"/>
      <c r="C1755" s="1854" t="s">
        <v>5819</v>
      </c>
      <c r="D1755" s="1823"/>
      <c r="E1755" s="1821"/>
      <c r="F1755" s="1821"/>
      <c r="G1755" s="1895"/>
    </row>
    <row r="1756" spans="1:7">
      <c r="A1756" s="1754">
        <v>41031</v>
      </c>
      <c r="B1756" s="125" t="str">
        <f>TiposLancamentos!B102</f>
        <v>ESTORNO</v>
      </c>
      <c r="C1756" s="1040" t="s">
        <v>5820</v>
      </c>
      <c r="D1756" s="1736">
        <v>158.76</v>
      </c>
      <c r="E1756" s="1043"/>
      <c r="F1756" s="1043"/>
      <c r="G1756" s="1550"/>
    </row>
    <row r="1757" spans="1:7">
      <c r="A1757" s="1754">
        <v>41032</v>
      </c>
      <c r="B1757" s="125" t="str">
        <f>TiposLancamentos!B21</f>
        <v>Transf. Poupanca</v>
      </c>
      <c r="C1757" s="1040" t="s">
        <v>5818</v>
      </c>
      <c r="D1757" s="1736"/>
      <c r="E1757" s="1043">
        <v>200</v>
      </c>
      <c r="F1757" s="1043"/>
      <c r="G1757" s="1550"/>
    </row>
    <row r="1758" spans="1:7">
      <c r="A1758" s="1754">
        <v>41040</v>
      </c>
      <c r="B1758" s="125" t="str">
        <f>TiposLancamentos!B97</f>
        <v>Deposito Terc.</v>
      </c>
      <c r="C1758" s="1040" t="s">
        <v>5821</v>
      </c>
      <c r="D1758" s="1736">
        <v>1000</v>
      </c>
      <c r="E1758" s="1043"/>
      <c r="F1758" s="1043"/>
      <c r="G1758" s="1550"/>
    </row>
    <row r="1759" spans="1:7">
      <c r="A1759" s="1754">
        <v>41043</v>
      </c>
      <c r="B1759" s="125" t="str">
        <f>TiposLancamentos!B21</f>
        <v>Transf. Poupanca</v>
      </c>
      <c r="C1759" s="1040" t="s">
        <v>5818</v>
      </c>
      <c r="D1759" s="1736"/>
      <c r="E1759" s="1043">
        <v>1000</v>
      </c>
      <c r="F1759" s="1043"/>
      <c r="G1759" s="1550"/>
    </row>
    <row r="1760" spans="1:7">
      <c r="A1760" s="1754">
        <v>41045</v>
      </c>
      <c r="B1760" s="125" t="str">
        <f>TiposLancamentos!B105</f>
        <v>Transf. Bco</v>
      </c>
      <c r="C1760" s="1040" t="s">
        <v>5816</v>
      </c>
      <c r="D1760" s="1736">
        <v>2000</v>
      </c>
      <c r="E1760" s="1043"/>
      <c r="F1760" s="1043"/>
      <c r="G1760" s="1550"/>
    </row>
    <row r="1761" spans="1:7" ht="14.25" thickBot="1">
      <c r="A1761" s="1754">
        <v>41045</v>
      </c>
      <c r="B1761" s="125" t="str">
        <f>TiposLancamentos!B21</f>
        <v>Transf. Poupanca</v>
      </c>
      <c r="C1761" s="1040" t="s">
        <v>5818</v>
      </c>
      <c r="D1761" s="1736"/>
      <c r="E1761" s="1043">
        <v>2000</v>
      </c>
      <c r="F1761" s="1043"/>
      <c r="G1761" s="1550"/>
    </row>
    <row r="1762" spans="1:7">
      <c r="A1762" s="1834"/>
      <c r="B1762" s="977"/>
      <c r="C1762" s="1854" t="s">
        <v>5822</v>
      </c>
      <c r="D1762" s="1823"/>
      <c r="E1762" s="1821"/>
      <c r="F1762" s="1821"/>
      <c r="G1762" s="1895"/>
    </row>
    <row r="1763" spans="1:7">
      <c r="A1763" s="1754">
        <v>41092</v>
      </c>
      <c r="B1763" s="125" t="str">
        <f>TiposLancamentos!B105</f>
        <v>Transf. Bco</v>
      </c>
      <c r="C1763" s="1040" t="s">
        <v>5816</v>
      </c>
      <c r="D1763" s="1736">
        <v>1500</v>
      </c>
      <c r="E1763" s="1043"/>
      <c r="F1763" s="1043"/>
      <c r="G1763" s="1550"/>
    </row>
    <row r="1764" spans="1:7">
      <c r="A1764" s="1754">
        <v>41093</v>
      </c>
      <c r="B1764" s="125" t="str">
        <f>TiposLancamentos!B21</f>
        <v>Transf. Poupanca</v>
      </c>
      <c r="C1764" s="1040" t="s">
        <v>5601</v>
      </c>
      <c r="D1764" s="1736"/>
      <c r="E1764" s="1043">
        <v>1500</v>
      </c>
      <c r="F1764" s="1043"/>
      <c r="G1764" s="1550"/>
    </row>
    <row r="1765" spans="1:7">
      <c r="A1765" s="1754">
        <v>41094</v>
      </c>
      <c r="B1765" s="125" t="str">
        <f>TiposLancamentos!B97</f>
        <v>Deposito Terc.</v>
      </c>
      <c r="C1765" s="1040" t="s">
        <v>5823</v>
      </c>
      <c r="D1765" s="1736">
        <v>1200</v>
      </c>
      <c r="E1765" s="1043"/>
      <c r="F1765" s="1043"/>
      <c r="G1765" s="1550"/>
    </row>
    <row r="1766" spans="1:7" ht="14.25" thickBot="1">
      <c r="A1766" s="1754">
        <v>41094</v>
      </c>
      <c r="B1766" s="125" t="str">
        <f>B1764</f>
        <v>Transf. Poupanca</v>
      </c>
      <c r="C1766" s="1040" t="s">
        <v>5601</v>
      </c>
      <c r="D1766" s="1736"/>
      <c r="E1766" s="1043">
        <v>1200</v>
      </c>
      <c r="F1766" s="1043"/>
      <c r="G1766" s="1550"/>
    </row>
    <row r="1767" spans="1:7">
      <c r="A1767" s="1834"/>
      <c r="B1767" s="977"/>
      <c r="C1767" s="1854" t="s">
        <v>5824</v>
      </c>
      <c r="D1767" s="1823"/>
      <c r="E1767" s="1821"/>
      <c r="F1767" s="1821"/>
      <c r="G1767" s="1895"/>
    </row>
    <row r="1768" spans="1:7">
      <c r="A1768" s="1754">
        <v>41122</v>
      </c>
      <c r="B1768" s="125" t="str">
        <f>TiposLancamentos!B16</f>
        <v>Cristiane</v>
      </c>
      <c r="C1768" s="1040" t="s">
        <v>5825</v>
      </c>
      <c r="D1768" s="1736"/>
      <c r="E1768" s="1043">
        <v>307</v>
      </c>
      <c r="F1768" s="1043"/>
      <c r="G1768" s="1550"/>
    </row>
    <row r="1769" spans="1:7">
      <c r="A1769" s="1754">
        <v>41122</v>
      </c>
      <c r="B1769" s="125" t="str">
        <f>TiposLancamentos!B96</f>
        <v>Resg.Poup.</v>
      </c>
      <c r="C1769" s="1040" t="s">
        <v>5826</v>
      </c>
      <c r="D1769" s="1736">
        <v>307</v>
      </c>
      <c r="E1769" s="1043"/>
      <c r="F1769" s="1043"/>
      <c r="G1769" s="1550"/>
    </row>
    <row r="1770" spans="1:7" ht="14.25" thickBot="1">
      <c r="A1770" s="1754"/>
      <c r="B1770" s="125"/>
      <c r="C1770" s="1040"/>
      <c r="D1770" s="1736"/>
      <c r="E1770" s="1043"/>
      <c r="F1770" s="1043"/>
      <c r="G1770" s="1550"/>
    </row>
    <row r="1771" spans="1:7">
      <c r="A1771" s="1834"/>
      <c r="B1771" s="977"/>
      <c r="C1771" s="1854" t="s">
        <v>5827</v>
      </c>
      <c r="D1771" s="1823"/>
      <c r="E1771" s="1821"/>
      <c r="F1771" s="1821"/>
      <c r="G1771" s="1895"/>
    </row>
    <row r="1772" spans="1:7">
      <c r="A1772" s="1754">
        <v>41156</v>
      </c>
      <c r="B1772" s="125" t="str">
        <f>TiposLancamentos!B105</f>
        <v>Transf. Bco</v>
      </c>
      <c r="C1772" s="1040" t="s">
        <v>5717</v>
      </c>
      <c r="D1772" s="1736">
        <v>4000</v>
      </c>
      <c r="E1772" s="1043"/>
      <c r="F1772" s="1043"/>
      <c r="G1772" s="1550"/>
    </row>
    <row r="1773" spans="1:7">
      <c r="A1773" s="1754">
        <v>41156</v>
      </c>
      <c r="B1773" s="125" t="str">
        <f>TiposLancamentos!B21</f>
        <v>Transf. Poupanca</v>
      </c>
      <c r="C1773" s="1040" t="s">
        <v>5264</v>
      </c>
      <c r="D1773" s="1736"/>
      <c r="E1773" s="1043">
        <v>4000</v>
      </c>
      <c r="F1773" s="1043"/>
      <c r="G1773" s="1550"/>
    </row>
    <row r="1774" spans="1:7" ht="14.25" customHeight="1">
      <c r="A1774" s="1754">
        <v>41180</v>
      </c>
      <c r="B1774" s="125" t="str">
        <f>TiposLancamentos!B95</f>
        <v>Salarios</v>
      </c>
      <c r="C1774" s="1040" t="s">
        <v>4939</v>
      </c>
      <c r="D1774" s="1736">
        <v>6899.65</v>
      </c>
      <c r="E1774" s="1043"/>
      <c r="F1774" s="1043"/>
      <c r="G1774" s="1550"/>
    </row>
    <row r="1775" spans="1:7">
      <c r="A1775" s="1754">
        <v>41181</v>
      </c>
      <c r="B1775" s="125" t="str">
        <f>TiposLancamentos!B69</f>
        <v>Consertos</v>
      </c>
      <c r="C1775" s="1040" t="s">
        <v>5828</v>
      </c>
      <c r="D1775" s="1736"/>
      <c r="E1775" s="1043">
        <v>450</v>
      </c>
      <c r="F1775" s="1043"/>
      <c r="G1775" s="1550"/>
    </row>
    <row r="1776" spans="1:7" ht="14.25" thickBot="1">
      <c r="A1776" s="1754">
        <v>41182</v>
      </c>
      <c r="B1776" s="125" t="str">
        <f>TiposLancamentos!B19</f>
        <v>Restaurantes</v>
      </c>
      <c r="C1776" s="1040" t="s">
        <v>5829</v>
      </c>
      <c r="D1776" s="1736"/>
      <c r="E1776" s="1043">
        <v>138.38</v>
      </c>
      <c r="F1776" s="1043"/>
      <c r="G1776" s="1550"/>
    </row>
    <row r="1777" spans="1:7">
      <c r="A1777" s="1834"/>
      <c r="B1777" s="977"/>
      <c r="C1777" s="1854" t="s">
        <v>5830</v>
      </c>
      <c r="D1777" s="1823"/>
      <c r="E1777" s="1821"/>
      <c r="F1777" s="1821"/>
      <c r="G1777" s="1895"/>
    </row>
    <row r="1778" spans="1:7">
      <c r="A1778" s="1754">
        <v>41183</v>
      </c>
      <c r="B1778" s="125" t="str">
        <f>TiposLancamentos!B105</f>
        <v>Transf. Bco</v>
      </c>
      <c r="C1778" s="1770" t="s">
        <v>5831</v>
      </c>
      <c r="D1778" s="1736"/>
      <c r="E1778" s="1043">
        <v>70</v>
      </c>
      <c r="F1778" s="1043"/>
      <c r="G1778" s="1550"/>
    </row>
    <row r="1779" spans="1:7">
      <c r="A1779" s="1754">
        <v>41183</v>
      </c>
      <c r="B1779" s="125" t="str">
        <f>TiposLancamentos!B15</f>
        <v>Cartões de Crédito</v>
      </c>
      <c r="C1779" s="1040" t="s">
        <v>5832</v>
      </c>
      <c r="D1779" s="1736"/>
      <c r="E1779" s="1043">
        <v>2656.04</v>
      </c>
      <c r="F1779" s="1043"/>
      <c r="G1779" s="1550"/>
    </row>
    <row r="1780" spans="1:7">
      <c r="A1780" s="1666">
        <v>41183</v>
      </c>
      <c r="B1780" s="817" t="str">
        <f>TiposLancamentos!B8</f>
        <v>Aluguel</v>
      </c>
      <c r="C1780" s="1742" t="s">
        <v>2504</v>
      </c>
      <c r="D1780" s="1735"/>
      <c r="E1780" s="1733">
        <f>F1781-E1781</f>
        <v>1235.47</v>
      </c>
      <c r="F1780" s="1043"/>
      <c r="G1780" s="1550"/>
    </row>
    <row r="1781" spans="1:7">
      <c r="A1781" s="1750">
        <v>41183</v>
      </c>
      <c r="B1781" s="818" t="str">
        <f>TiposLancamentos!B12</f>
        <v>IPTU</v>
      </c>
      <c r="C1781" s="1743" t="s">
        <v>5833</v>
      </c>
      <c r="D1781" s="1737"/>
      <c r="E1781" s="1668">
        <v>99.29</v>
      </c>
      <c r="F1781" s="1043">
        <v>1334.76</v>
      </c>
      <c r="G1781" s="1550"/>
    </row>
    <row r="1782" spans="1:7">
      <c r="A1782" s="1754">
        <v>41183</v>
      </c>
      <c r="B1782" s="125" t="str">
        <f>TiposLancamentos!B34</f>
        <v>Seguros</v>
      </c>
      <c r="C1782" s="1040" t="s">
        <v>5809</v>
      </c>
      <c r="D1782" s="1736"/>
      <c r="E1782" s="1043">
        <v>69</v>
      </c>
      <c r="F1782" s="1043"/>
      <c r="G1782" s="1550"/>
    </row>
    <row r="1783" spans="1:7">
      <c r="A1783" s="1754">
        <v>41183</v>
      </c>
      <c r="B1783" s="125" t="str">
        <f>TiposLancamentos!B6</f>
        <v>Energia Eletrica</v>
      </c>
      <c r="C1783" s="1040" t="s">
        <v>5744</v>
      </c>
      <c r="D1783" s="1736"/>
      <c r="E1783" s="1043">
        <v>142.72999999999999</v>
      </c>
      <c r="F1783" s="1043"/>
      <c r="G1783" s="1550"/>
    </row>
    <row r="1784" spans="1:7">
      <c r="A1784" s="1666">
        <v>41183</v>
      </c>
      <c r="B1784" s="817" t="str">
        <f>TiposLancamentos!B35</f>
        <v>Tv à Cabo</v>
      </c>
      <c r="C1784" s="1742" t="s">
        <v>5834</v>
      </c>
      <c r="D1784" s="1735"/>
      <c r="E1784" s="1733">
        <v>153.36000000000001</v>
      </c>
      <c r="F1784" s="1043"/>
      <c r="G1784" s="1550"/>
    </row>
    <row r="1785" spans="1:7">
      <c r="A1785" s="1667">
        <v>41183</v>
      </c>
      <c r="B1785" s="816" t="str">
        <f>TiposLancamentos!B3</f>
        <v>Internet</v>
      </c>
      <c r="C1785" s="1769" t="s">
        <v>5835</v>
      </c>
      <c r="D1785" s="1736"/>
      <c r="E1785" s="1734">
        <v>75.42</v>
      </c>
      <c r="F1785" s="1043"/>
      <c r="G1785" s="1550"/>
    </row>
    <row r="1786" spans="1:7">
      <c r="A1786" s="1750">
        <v>41183</v>
      </c>
      <c r="B1786" s="818" t="str">
        <f>TiposLancamentos!B2</f>
        <v>Telefonia</v>
      </c>
      <c r="C1786" s="1743" t="s">
        <v>5836</v>
      </c>
      <c r="D1786" s="1737"/>
      <c r="E1786" s="1668">
        <v>37.89</v>
      </c>
      <c r="F1786" s="1043">
        <f>SUM(E1784:E1786)</f>
        <v>266.67</v>
      </c>
      <c r="G1786" s="1550"/>
    </row>
    <row r="1787" spans="1:7">
      <c r="A1787" s="1754">
        <v>41183</v>
      </c>
      <c r="B1787" s="125" t="str">
        <f>TiposLancamentos!B16</f>
        <v>Cristiane</v>
      </c>
      <c r="C1787" s="1040" t="s">
        <v>5837</v>
      </c>
      <c r="D1787" s="1736"/>
      <c r="E1787" s="1043">
        <v>114.07</v>
      </c>
      <c r="F1787" s="1043"/>
      <c r="G1787" s="1550"/>
    </row>
    <row r="1788" spans="1:7">
      <c r="A1788" s="1754">
        <v>41183</v>
      </c>
      <c r="B1788" s="125" t="str">
        <f>TiposLancamentos!B9</f>
        <v>Condominio</v>
      </c>
      <c r="C1788" s="1040" t="s">
        <v>1684</v>
      </c>
      <c r="D1788" s="1736"/>
      <c r="E1788" s="1043">
        <v>757.48</v>
      </c>
      <c r="F1788" s="1043"/>
      <c r="G1788" s="1550"/>
    </row>
    <row r="1789" spans="1:7">
      <c r="A1789" s="1754">
        <v>41183</v>
      </c>
      <c r="B1789" s="125" t="str">
        <f>TiposLancamentos!B3</f>
        <v>Internet</v>
      </c>
      <c r="C1789" s="1040" t="s">
        <v>5838</v>
      </c>
      <c r="D1789" s="1736"/>
      <c r="E1789" s="1043">
        <v>76.34</v>
      </c>
      <c r="F1789" s="1043"/>
      <c r="G1789" s="1550"/>
    </row>
    <row r="1790" spans="1:7">
      <c r="A1790" s="1754">
        <v>41184</v>
      </c>
      <c r="B1790" s="125" t="str">
        <f>TiposLancamentos!B87</f>
        <v>P207-1.6-XS</v>
      </c>
      <c r="C1790" s="1040" t="s">
        <v>5839</v>
      </c>
      <c r="D1790" s="1736"/>
      <c r="E1790" s="1043">
        <v>30</v>
      </c>
      <c r="F1790" s="1043"/>
      <c r="G1790" s="1550"/>
    </row>
    <row r="1791" spans="1:7">
      <c r="A1791" s="1754">
        <v>41185</v>
      </c>
      <c r="B1791" s="125" t="str">
        <f>TiposLancamentos!B16</f>
        <v>Cristiane</v>
      </c>
      <c r="C1791" s="1040" t="s">
        <v>3016</v>
      </c>
      <c r="D1791" s="1736"/>
      <c r="E1791" s="1043">
        <v>144</v>
      </c>
      <c r="F1791" s="1043"/>
      <c r="G1791" s="1550"/>
    </row>
    <row r="1792" spans="1:7">
      <c r="A1792" s="1754">
        <v>41185</v>
      </c>
      <c r="B1792" s="125" t="str">
        <f>TiposLancamentos!B19</f>
        <v>Restaurantes</v>
      </c>
      <c r="C1792" s="1040" t="s">
        <v>5840</v>
      </c>
      <c r="D1792" s="1736"/>
      <c r="E1792" s="1043">
        <v>34.299999999999997</v>
      </c>
      <c r="F1792" s="1043"/>
      <c r="G1792" s="1550"/>
    </row>
    <row r="1793" spans="1:7">
      <c r="A1793" s="1666">
        <v>41185</v>
      </c>
      <c r="B1793" s="817" t="str">
        <f>TiposLancamentos!B31</f>
        <v>Action Figures</v>
      </c>
      <c r="C1793" s="1742" t="s">
        <v>5841</v>
      </c>
      <c r="D1793" s="1735"/>
      <c r="E1793" s="1733">
        <v>89.99</v>
      </c>
      <c r="F1793" s="1043"/>
      <c r="G1793" s="1550"/>
    </row>
    <row r="1794" spans="1:7">
      <c r="A1794" s="1750">
        <v>41185</v>
      </c>
      <c r="B1794" s="818" t="str">
        <f>TiposLancamentos!B72</f>
        <v>Presentes</v>
      </c>
      <c r="C1794" s="1743" t="s">
        <v>5842</v>
      </c>
      <c r="D1794" s="1737"/>
      <c r="E1794" s="1668">
        <v>89.94</v>
      </c>
      <c r="F1794" s="1043">
        <f>SUM(E1793:E1794)</f>
        <v>179.93</v>
      </c>
      <c r="G1794" s="1550"/>
    </row>
    <row r="1795" spans="1:7">
      <c r="A1795" s="1754">
        <v>41185</v>
      </c>
      <c r="B1795" s="125" t="str">
        <f>TiposLancamentos!B71</f>
        <v>Itens Pessoais</v>
      </c>
      <c r="C1795" s="1040" t="s">
        <v>5843</v>
      </c>
      <c r="D1795" s="1736"/>
      <c r="E1795" s="1043">
        <v>60.98</v>
      </c>
      <c r="F1795" s="1043"/>
      <c r="G1795" s="1550"/>
    </row>
    <row r="1796" spans="1:7">
      <c r="A1796" s="1754">
        <v>41185</v>
      </c>
      <c r="B1796" s="125" t="str">
        <f>TiposLancamentos!B5</f>
        <v>Supermercado</v>
      </c>
      <c r="C1796" s="1040" t="s">
        <v>5844</v>
      </c>
      <c r="D1796" s="1736"/>
      <c r="E1796" s="1043">
        <v>60.54</v>
      </c>
      <c r="F1796" s="1043"/>
      <c r="G1796" s="1550"/>
    </row>
    <row r="1797" spans="1:7">
      <c r="A1797" s="1754">
        <v>41187</v>
      </c>
      <c r="B1797" s="125" t="str">
        <f>TiposLancamentos!B16</f>
        <v>Cristiane</v>
      </c>
      <c r="C1797" s="1040" t="s">
        <v>5845</v>
      </c>
      <c r="D1797" s="1736"/>
      <c r="E1797" s="1043">
        <v>57.65</v>
      </c>
      <c r="F1797" s="1043"/>
      <c r="G1797" s="1550"/>
    </row>
    <row r="1798" spans="1:7">
      <c r="A1798" s="1666">
        <v>41188</v>
      </c>
      <c r="B1798" s="817" t="str">
        <f>TiposLancamentos!B16</f>
        <v>Cristiane</v>
      </c>
      <c r="C1798" s="1742" t="s">
        <v>5846</v>
      </c>
      <c r="D1798" s="1735"/>
      <c r="E1798" s="1733">
        <v>20</v>
      </c>
      <c r="F1798" s="1043"/>
      <c r="G1798" s="1550"/>
    </row>
    <row r="1799" spans="1:7">
      <c r="A1799" s="1750">
        <v>41188</v>
      </c>
      <c r="B1799" s="818" t="str">
        <f>TiposLancamentos!B71</f>
        <v>Itens Pessoais</v>
      </c>
      <c r="C1799" s="1743" t="s">
        <v>5846</v>
      </c>
      <c r="D1799" s="1737"/>
      <c r="E1799" s="1668">
        <v>15</v>
      </c>
      <c r="F1799" s="1043">
        <f>SUM(E1798:E1799)</f>
        <v>35</v>
      </c>
      <c r="G1799" s="1550"/>
    </row>
    <row r="1800" spans="1:7">
      <c r="A1800" s="1754">
        <v>41188</v>
      </c>
      <c r="B1800" s="125" t="str">
        <f>TiposLancamentos!B24</f>
        <v>Estacionamentos</v>
      </c>
      <c r="C1800" s="1040" t="s">
        <v>5847</v>
      </c>
      <c r="D1800" s="1736"/>
      <c r="E1800" s="1043">
        <v>18</v>
      </c>
      <c r="F1800" s="1043"/>
      <c r="G1800" s="1550"/>
    </row>
    <row r="1801" spans="1:7">
      <c r="A1801" s="1754">
        <v>41188</v>
      </c>
      <c r="B1801" s="125" t="str">
        <f>TiposLancamentos!B24</f>
        <v>Estacionamentos</v>
      </c>
      <c r="C1801" s="1040" t="s">
        <v>5848</v>
      </c>
      <c r="D1801" s="1736"/>
      <c r="E1801" s="1043">
        <v>5</v>
      </c>
      <c r="F1801" s="1043"/>
      <c r="G1801" s="1550"/>
    </row>
    <row r="1802" spans="1:7">
      <c r="A1802" s="1754">
        <v>41189</v>
      </c>
      <c r="B1802" s="125" t="str">
        <f>TiposLancamentos!B16</f>
        <v>Cristiane</v>
      </c>
      <c r="C1802" s="1040" t="s">
        <v>5849</v>
      </c>
      <c r="D1802" s="1736"/>
      <c r="E1802" s="1043">
        <v>20.5</v>
      </c>
      <c r="F1802" s="1043"/>
      <c r="G1802" s="1550"/>
    </row>
    <row r="1803" spans="1:7">
      <c r="A1803" s="1754">
        <v>41190</v>
      </c>
      <c r="B1803" s="125" t="str">
        <f>TiposLancamentos!B57</f>
        <v>Informática</v>
      </c>
      <c r="C1803" s="1040" t="s">
        <v>5850</v>
      </c>
      <c r="D1803" s="1736"/>
      <c r="E1803" s="1043">
        <v>39.5</v>
      </c>
      <c r="F1803" s="1043"/>
      <c r="G1803" s="1550"/>
    </row>
    <row r="1804" spans="1:7">
      <c r="A1804" s="1666">
        <v>41192</v>
      </c>
      <c r="B1804" s="817" t="str">
        <f>TiposLancamentos!B44</f>
        <v>Academia</v>
      </c>
      <c r="C1804" s="1742" t="s">
        <v>5851</v>
      </c>
      <c r="D1804" s="1735"/>
      <c r="E1804" s="1733">
        <f>F1805/2</f>
        <v>125</v>
      </c>
      <c r="F1804" s="1043"/>
      <c r="G1804" s="1550"/>
    </row>
    <row r="1805" spans="1:7">
      <c r="A1805" s="1750">
        <v>41192</v>
      </c>
      <c r="B1805" s="818" t="str">
        <f>TiposLancamentos!B16</f>
        <v>Cristiane</v>
      </c>
      <c r="C1805" s="1743" t="s">
        <v>5852</v>
      </c>
      <c r="D1805" s="1737"/>
      <c r="E1805" s="1668">
        <v>125</v>
      </c>
      <c r="F1805" s="1043">
        <v>250</v>
      </c>
      <c r="G1805" s="1550"/>
    </row>
    <row r="1806" spans="1:7">
      <c r="A1806" s="1754">
        <v>41193</v>
      </c>
      <c r="B1806" s="125" t="str">
        <f>TiposLancamentos!B22</f>
        <v>Combustivel</v>
      </c>
      <c r="C1806" s="1040" t="s">
        <v>5853</v>
      </c>
      <c r="D1806" s="1736"/>
      <c r="E1806" s="1043">
        <v>109.07</v>
      </c>
      <c r="F1806" s="1043"/>
      <c r="G1806" s="1550"/>
    </row>
    <row r="1807" spans="1:7">
      <c r="A1807" s="1754">
        <v>41193</v>
      </c>
      <c r="B1807" s="125" t="str">
        <f>TiposLancamentos!B19</f>
        <v>Restaurantes</v>
      </c>
      <c r="C1807" s="1040" t="s">
        <v>5854</v>
      </c>
      <c r="D1807" s="1736"/>
      <c r="E1807" s="1043">
        <v>70.2</v>
      </c>
      <c r="F1807" s="1043"/>
      <c r="G1807" s="1550"/>
    </row>
    <row r="1808" spans="1:7">
      <c r="A1808" s="1754">
        <v>41194</v>
      </c>
      <c r="B1808" s="125" t="str">
        <f>TiposLancamentos!B5</f>
        <v>Supermercado</v>
      </c>
      <c r="C1808" s="1040" t="s">
        <v>5855</v>
      </c>
      <c r="D1808" s="1736"/>
      <c r="E1808" s="1043">
        <v>144.46</v>
      </c>
      <c r="F1808" s="1043"/>
      <c r="G1808" s="1550"/>
    </row>
    <row r="1809" spans="1:7">
      <c r="A1809" s="1754">
        <v>41194</v>
      </c>
      <c r="B1809" s="125" t="str">
        <f>TiposLancamentos!B56</f>
        <v>Farmácia</v>
      </c>
      <c r="C1809" s="1040" t="s">
        <v>5856</v>
      </c>
      <c r="D1809" s="1736"/>
      <c r="E1809" s="1043">
        <v>65.48</v>
      </c>
      <c r="F1809" s="1043"/>
      <c r="G1809" s="1550"/>
    </row>
    <row r="1810" spans="1:7">
      <c r="A1810" s="1666">
        <v>41195</v>
      </c>
      <c r="B1810" s="817" t="str">
        <f>TiposLancamentos!B70</f>
        <v>Vestuário</v>
      </c>
      <c r="C1810" s="1742" t="s">
        <v>5857</v>
      </c>
      <c r="D1810" s="1735"/>
      <c r="E1810" s="1733">
        <f>349.9-12.79</f>
        <v>337.10999999999996</v>
      </c>
      <c r="F1810" s="1043"/>
      <c r="G1810" s="1550"/>
    </row>
    <row r="1811" spans="1:7">
      <c r="A1811" s="1750">
        <v>41195</v>
      </c>
      <c r="B1811" s="818" t="str">
        <f>TiposLancamentos!B16</f>
        <v>Cristiane</v>
      </c>
      <c r="C1811" s="1743" t="s">
        <v>5858</v>
      </c>
      <c r="D1811" s="1737"/>
      <c r="E1811" s="1668">
        <f>F1811-E1810</f>
        <v>289.79000000000002</v>
      </c>
      <c r="F1811" s="1043">
        <v>626.9</v>
      </c>
      <c r="G1811" s="1550"/>
    </row>
    <row r="1812" spans="1:7">
      <c r="A1812" s="1754">
        <v>41196</v>
      </c>
      <c r="B1812" s="125" t="str">
        <f>TiposLancamentos!B19</f>
        <v>Restaurantes</v>
      </c>
      <c r="C1812" s="1040" t="s">
        <v>5859</v>
      </c>
      <c r="D1812" s="1736"/>
      <c r="E1812" s="1043">
        <v>60.81</v>
      </c>
      <c r="F1812" s="1043"/>
      <c r="G1812" s="1550"/>
    </row>
    <row r="1813" spans="1:7">
      <c r="A1813" s="1754">
        <v>41196</v>
      </c>
      <c r="B1813" s="125" t="str">
        <f>TiposLancamentos!B70</f>
        <v>Vestuário</v>
      </c>
      <c r="C1813" s="1040" t="s">
        <v>5860</v>
      </c>
      <c r="D1813" s="1736"/>
      <c r="E1813" s="1043">
        <v>368</v>
      </c>
      <c r="F1813" s="1043"/>
      <c r="G1813" s="1550"/>
    </row>
    <row r="1814" spans="1:7">
      <c r="A1814" s="1754">
        <v>41196</v>
      </c>
      <c r="B1814" s="125" t="str">
        <f>TiposLancamentos!B20</f>
        <v>Saques</v>
      </c>
      <c r="C1814" s="1040" t="s">
        <v>5861</v>
      </c>
      <c r="D1814" s="1736"/>
      <c r="E1814" s="1043">
        <v>40</v>
      </c>
      <c r="F1814" s="1043"/>
      <c r="G1814" s="1550"/>
    </row>
    <row r="1815" spans="1:7">
      <c r="A1815" s="1754">
        <v>41196</v>
      </c>
      <c r="B1815" s="125" t="str">
        <f>TiposLancamentos!B5</f>
        <v>Supermercado</v>
      </c>
      <c r="C1815" s="1040" t="s">
        <v>3902</v>
      </c>
      <c r="D1815" s="1736"/>
      <c r="E1815" s="1043">
        <v>8.86</v>
      </c>
      <c r="F1815" s="1043"/>
      <c r="G1815" s="1550"/>
    </row>
    <row r="1816" spans="1:7">
      <c r="A1816" s="1754">
        <v>41196</v>
      </c>
      <c r="B1816" s="125" t="str">
        <f>TiposLancamentos!B5</f>
        <v>Supermercado</v>
      </c>
      <c r="C1816" s="1040" t="s">
        <v>5862</v>
      </c>
      <c r="D1816" s="1736"/>
      <c r="E1816" s="1043">
        <v>26.87</v>
      </c>
      <c r="F1816" s="1043"/>
      <c r="G1816" s="1550"/>
    </row>
    <row r="1817" spans="1:7">
      <c r="A1817" s="1754">
        <v>41197</v>
      </c>
      <c r="B1817" s="125" t="str">
        <f>TiposLancamentos!B95</f>
        <v>Salarios</v>
      </c>
      <c r="C1817" s="1040" t="s">
        <v>4916</v>
      </c>
      <c r="D1817" s="1736">
        <v>2110.15</v>
      </c>
      <c r="E1817" s="1043"/>
      <c r="F1817" s="1043"/>
      <c r="G1817" s="1550"/>
    </row>
    <row r="1818" spans="1:7">
      <c r="A1818" s="1666">
        <v>41197</v>
      </c>
      <c r="B1818" s="817" t="str">
        <f>TiposLancamentos!B33</f>
        <v>Pedágios</v>
      </c>
      <c r="C1818" s="1742" t="s">
        <v>5392</v>
      </c>
      <c r="D1818" s="1735"/>
      <c r="E1818" s="1733">
        <v>12.4</v>
      </c>
      <c r="F1818" s="1043"/>
      <c r="G1818" s="1550"/>
    </row>
    <row r="1819" spans="1:7">
      <c r="A1819" s="1750">
        <v>41197</v>
      </c>
      <c r="B1819" s="818" t="str">
        <f>TiposLancamentos!B24</f>
        <v>Estacionamentos</v>
      </c>
      <c r="C1819" s="1743" t="s">
        <v>5863</v>
      </c>
      <c r="D1819" s="1737"/>
      <c r="E1819" s="1668">
        <v>15</v>
      </c>
      <c r="F1819" s="1043">
        <f>SUM(E1818:E1819)</f>
        <v>27.4</v>
      </c>
      <c r="G1819" s="1550"/>
    </row>
    <row r="1820" spans="1:7">
      <c r="A1820" s="1754">
        <v>41198</v>
      </c>
      <c r="B1820" s="125" t="str">
        <f>TiposLancamentos!B25</f>
        <v>CD_DVD_BD</v>
      </c>
      <c r="C1820" s="1040" t="s">
        <v>5864</v>
      </c>
      <c r="D1820" s="1736"/>
      <c r="E1820" s="1043">
        <v>72.540000000000006</v>
      </c>
      <c r="F1820" s="1043"/>
      <c r="G1820" s="1550"/>
    </row>
    <row r="1821" spans="1:7">
      <c r="A1821" s="1754">
        <v>41198</v>
      </c>
      <c r="B1821" s="125" t="str">
        <f>TiposLancamentos!B5</f>
        <v>Supermercado</v>
      </c>
      <c r="C1821" s="1040" t="s">
        <v>5865</v>
      </c>
      <c r="D1821" s="1736"/>
      <c r="E1821" s="1043">
        <v>129.62</v>
      </c>
      <c r="F1821" s="1043"/>
      <c r="G1821" s="1550"/>
    </row>
    <row r="1822" spans="1:7">
      <c r="A1822" s="1754">
        <v>41200</v>
      </c>
      <c r="B1822" s="125" t="str">
        <f>TiposLancamentos!B56</f>
        <v>Farmácia</v>
      </c>
      <c r="C1822" s="1040" t="s">
        <v>5866</v>
      </c>
      <c r="D1822" s="1736"/>
      <c r="E1822" s="1043">
        <v>13.54</v>
      </c>
      <c r="F1822" s="1043"/>
      <c r="G1822" s="1550"/>
    </row>
    <row r="1823" spans="1:7">
      <c r="A1823" s="1754">
        <v>41200</v>
      </c>
      <c r="B1823" s="125" t="str">
        <f>TiposLancamentos!B17</f>
        <v>GATO</v>
      </c>
      <c r="C1823" s="1040" t="s">
        <v>5867</v>
      </c>
      <c r="D1823" s="1736"/>
      <c r="E1823" s="1043">
        <v>32.6</v>
      </c>
      <c r="F1823" s="1043"/>
      <c r="G1823" s="1550"/>
    </row>
    <row r="1824" spans="1:7">
      <c r="A1824" s="1754">
        <v>41201</v>
      </c>
      <c r="B1824" s="125" t="str">
        <f>TiposLancamentos!B13</f>
        <v>Moradia</v>
      </c>
      <c r="C1824" s="1040" t="s">
        <v>5868</v>
      </c>
      <c r="D1824" s="1736"/>
      <c r="E1824" s="1043">
        <v>85.25</v>
      </c>
      <c r="F1824" s="1043"/>
      <c r="G1824" s="1550"/>
    </row>
    <row r="1825" spans="1:7">
      <c r="A1825" s="1754">
        <v>41201</v>
      </c>
      <c r="B1825" s="125" t="str">
        <f>TiposLancamentos!B19</f>
        <v>Restaurantes</v>
      </c>
      <c r="C1825" s="1040" t="s">
        <v>5869</v>
      </c>
      <c r="D1825" s="1736"/>
      <c r="E1825" s="1043">
        <v>37.5</v>
      </c>
      <c r="F1825" s="1043"/>
      <c r="G1825" s="1550"/>
    </row>
    <row r="1826" spans="1:7">
      <c r="A1826" s="1754">
        <v>41202</v>
      </c>
      <c r="B1826" s="125" t="str">
        <f>TiposLancamentos!B71</f>
        <v>Itens Pessoais</v>
      </c>
      <c r="C1826" s="1040" t="s">
        <v>5870</v>
      </c>
      <c r="D1826" s="1736"/>
      <c r="E1826" s="1043">
        <v>20</v>
      </c>
      <c r="F1826" s="1043"/>
      <c r="G1826" s="1550"/>
    </row>
    <row r="1827" spans="1:7">
      <c r="A1827" s="1754">
        <v>41205</v>
      </c>
      <c r="B1827" s="125" t="str">
        <f>TiposLancamentos!B17</f>
        <v>GATO</v>
      </c>
      <c r="C1827" s="1040" t="s">
        <v>5871</v>
      </c>
      <c r="D1827" s="1736"/>
      <c r="E1827" s="1043">
        <v>22.33</v>
      </c>
      <c r="F1827" s="1043"/>
      <c r="G1827" s="1550"/>
    </row>
    <row r="1828" spans="1:7">
      <c r="A1828" s="1754">
        <v>41205</v>
      </c>
      <c r="B1828" s="125" t="str">
        <f>TiposLancamentos!B20</f>
        <v>Saques</v>
      </c>
      <c r="C1828" s="1040" t="s">
        <v>2655</v>
      </c>
      <c r="D1828" s="1736"/>
      <c r="E1828" s="1043">
        <v>70</v>
      </c>
      <c r="F1828" s="1043"/>
      <c r="G1828" s="1550"/>
    </row>
    <row r="1829" spans="1:7">
      <c r="A1829" s="1754">
        <v>41206</v>
      </c>
      <c r="B1829" s="125" t="str">
        <f>TiposLancamentos!B16</f>
        <v>Cristiane</v>
      </c>
      <c r="C1829" s="1040" t="s">
        <v>5872</v>
      </c>
      <c r="D1829" s="1736"/>
      <c r="E1829" s="1043">
        <v>38.75</v>
      </c>
      <c r="F1829" s="1043"/>
      <c r="G1829" s="1550"/>
    </row>
    <row r="1830" spans="1:7">
      <c r="A1830" s="1754">
        <v>41207</v>
      </c>
      <c r="B1830" s="125" t="str">
        <f>TiposLancamentos!B19</f>
        <v>Restaurantes</v>
      </c>
      <c r="C1830" s="1040" t="s">
        <v>4330</v>
      </c>
      <c r="D1830" s="1736"/>
      <c r="E1830" s="1043">
        <v>8</v>
      </c>
      <c r="F1830" s="1043"/>
      <c r="G1830" s="1550"/>
    </row>
    <row r="1831" spans="1:7">
      <c r="A1831" s="1754">
        <v>41207</v>
      </c>
      <c r="B1831" s="125" t="str">
        <f>TiposLancamentos!B98</f>
        <v>Restituições</v>
      </c>
      <c r="C1831" s="1040" t="s">
        <v>5873</v>
      </c>
      <c r="D1831" s="1736">
        <v>149.72</v>
      </c>
      <c r="E1831" s="1043"/>
      <c r="F1831" s="1043"/>
      <c r="G1831" s="1550"/>
    </row>
    <row r="1832" spans="1:7">
      <c r="A1832" s="1754">
        <v>41209</v>
      </c>
      <c r="B1832" s="125" t="str">
        <f>TiposLancamentos!B20</f>
        <v>Saques</v>
      </c>
      <c r="C1832" s="1040" t="s">
        <v>5874</v>
      </c>
      <c r="D1832" s="1736"/>
      <c r="E1832" s="1043">
        <v>40</v>
      </c>
      <c r="F1832" s="1043"/>
      <c r="G1832" s="1550"/>
    </row>
    <row r="1833" spans="1:7">
      <c r="A1833" s="1754">
        <v>41211</v>
      </c>
      <c r="B1833" s="125" t="str">
        <f>TiposLancamentos!B20</f>
        <v>Saques</v>
      </c>
      <c r="C1833" s="1040" t="s">
        <v>4659</v>
      </c>
      <c r="D1833" s="1736"/>
      <c r="E1833" s="1043">
        <v>90</v>
      </c>
      <c r="F1833" s="1043"/>
      <c r="G1833" s="1550"/>
    </row>
    <row r="1834" spans="1:7">
      <c r="A1834" s="1754">
        <v>41211</v>
      </c>
      <c r="B1834" s="125" t="str">
        <f>TiposLancamentos!B20</f>
        <v>Saques</v>
      </c>
      <c r="C1834" s="1040" t="s">
        <v>4660</v>
      </c>
      <c r="D1834" s="1736"/>
      <c r="E1834" s="1043">
        <v>40</v>
      </c>
      <c r="F1834" s="1043"/>
      <c r="G1834" s="1550"/>
    </row>
    <row r="1835" spans="1:7">
      <c r="A1835" s="1754">
        <v>41213</v>
      </c>
      <c r="B1835" s="125" t="str">
        <f>TiposLancamentos!B95</f>
        <v>Salarios</v>
      </c>
      <c r="C1835" s="1040" t="s">
        <v>4939</v>
      </c>
      <c r="D1835" s="1736">
        <v>7348.46</v>
      </c>
      <c r="E1835" s="1043"/>
      <c r="F1835" s="1043"/>
      <c r="G1835" s="1550"/>
    </row>
    <row r="1836" spans="1:7">
      <c r="A1836" s="1754">
        <v>41213</v>
      </c>
      <c r="B1836" s="125" t="str">
        <f>TiposLancamentos!B105</f>
        <v>Transf. Bco</v>
      </c>
      <c r="C1836" s="1040" t="s">
        <v>5875</v>
      </c>
      <c r="D1836" s="1736"/>
      <c r="E1836" s="1043">
        <v>432</v>
      </c>
      <c r="F1836" s="1043"/>
      <c r="G1836" s="1550"/>
    </row>
    <row r="1837" spans="1:7" ht="14.25" thickBot="1">
      <c r="A1837" s="1754">
        <v>41213</v>
      </c>
      <c r="B1837" s="125" t="str">
        <f>TiposLancamentos!B19</f>
        <v>Restaurantes</v>
      </c>
      <c r="C1837" s="1040" t="s">
        <v>5876</v>
      </c>
      <c r="D1837" s="1736"/>
      <c r="E1837" s="1043">
        <v>123.2</v>
      </c>
      <c r="F1837" s="1043"/>
      <c r="G1837" s="1550"/>
    </row>
    <row r="1838" spans="1:7">
      <c r="A1838" s="1834"/>
      <c r="B1838" s="977"/>
      <c r="C1838" s="1854" t="s">
        <v>5877</v>
      </c>
      <c r="D1838" s="1823"/>
      <c r="E1838" s="1821"/>
      <c r="F1838" s="1821"/>
      <c r="G1838" s="1895"/>
    </row>
    <row r="1839" spans="1:7">
      <c r="A1839" s="1754">
        <v>41214</v>
      </c>
      <c r="B1839" s="125" t="str">
        <f>TiposLancamentos!B15</f>
        <v>Cartões de Crédito</v>
      </c>
      <c r="C1839" s="1040" t="s">
        <v>5832</v>
      </c>
      <c r="D1839" s="1736"/>
      <c r="E1839" s="1043">
        <v>2683.21</v>
      </c>
      <c r="F1839" s="1043"/>
      <c r="G1839" s="1550"/>
    </row>
    <row r="1840" spans="1:7">
      <c r="A1840" s="1666">
        <v>41214</v>
      </c>
      <c r="B1840" s="817" t="str">
        <f>TiposLancamentos!B8</f>
        <v>Aluguel</v>
      </c>
      <c r="C1840" s="1742" t="s">
        <v>2504</v>
      </c>
      <c r="D1840" s="1735"/>
      <c r="E1840" s="1733">
        <f>F1841-E1841</f>
        <v>1238.24</v>
      </c>
      <c r="F1840" s="1043"/>
      <c r="G1840" s="1550"/>
    </row>
    <row r="1841" spans="1:7">
      <c r="A1841" s="1750">
        <v>41214</v>
      </c>
      <c r="B1841" s="818" t="str">
        <f>TiposLancamentos!B12</f>
        <v>IPTU</v>
      </c>
      <c r="C1841" s="1743" t="s">
        <v>5878</v>
      </c>
      <c r="D1841" s="1737"/>
      <c r="E1841" s="1668">
        <v>99.29</v>
      </c>
      <c r="F1841" s="1043">
        <v>1337.53</v>
      </c>
      <c r="G1841" s="1550"/>
    </row>
    <row r="1842" spans="1:7">
      <c r="A1842" s="1754">
        <v>41214</v>
      </c>
      <c r="B1842" s="125" t="str">
        <f>TiposLancamentos!B9</f>
        <v>Condominio</v>
      </c>
      <c r="C1842" s="1040" t="s">
        <v>1684</v>
      </c>
      <c r="D1842" s="1736"/>
      <c r="E1842" s="1043">
        <v>765.46</v>
      </c>
      <c r="F1842" s="1043"/>
      <c r="G1842" s="1550"/>
    </row>
    <row r="1843" spans="1:7">
      <c r="A1843" s="1666">
        <v>41214</v>
      </c>
      <c r="B1843" s="817" t="str">
        <f>TiposLancamentos!B35</f>
        <v>Tv à Cabo</v>
      </c>
      <c r="C1843" s="1742" t="s">
        <v>5834</v>
      </c>
      <c r="D1843" s="1735"/>
      <c r="E1843" s="1733">
        <v>153.36000000000001</v>
      </c>
      <c r="F1843" s="1043"/>
      <c r="G1843" s="1550"/>
    </row>
    <row r="1844" spans="1:7">
      <c r="A1844" s="1667">
        <v>41214</v>
      </c>
      <c r="B1844" s="816" t="str">
        <f>TiposLancamentos!B3</f>
        <v>Internet</v>
      </c>
      <c r="C1844" s="1769" t="s">
        <v>5835</v>
      </c>
      <c r="D1844" s="1736"/>
      <c r="E1844" s="1734">
        <v>75.42</v>
      </c>
      <c r="F1844" s="1043"/>
      <c r="G1844" s="1550"/>
    </row>
    <row r="1845" spans="1:7">
      <c r="A1845" s="1750">
        <v>41214</v>
      </c>
      <c r="B1845" s="818" t="str">
        <f>TiposLancamentos!B2</f>
        <v>Telefonia</v>
      </c>
      <c r="C1845" s="1743" t="s">
        <v>5836</v>
      </c>
      <c r="D1845" s="1737"/>
      <c r="E1845" s="1668">
        <v>37.89</v>
      </c>
      <c r="F1845" s="1043">
        <f>SUM(E1843:E1845)</f>
        <v>266.67</v>
      </c>
      <c r="G1845" s="1550"/>
    </row>
    <row r="1846" spans="1:7">
      <c r="A1846" s="1754">
        <v>41214</v>
      </c>
      <c r="B1846" s="125" t="str">
        <f>TiposLancamentos!B6</f>
        <v>Energia Eletrica</v>
      </c>
      <c r="C1846" s="1040" t="s">
        <v>5744</v>
      </c>
      <c r="D1846" s="1736"/>
      <c r="E1846" s="1043">
        <v>172.68</v>
      </c>
      <c r="F1846" s="1043"/>
      <c r="G1846" s="1550"/>
    </row>
    <row r="1847" spans="1:7">
      <c r="A1847" s="1754">
        <v>41214</v>
      </c>
      <c r="B1847" s="125" t="str">
        <f>TiposLancamentos!B15</f>
        <v>Cartões de Crédito</v>
      </c>
      <c r="C1847" s="1040" t="s">
        <v>5879</v>
      </c>
      <c r="D1847" s="1736"/>
      <c r="E1847" s="1043">
        <v>698.23</v>
      </c>
      <c r="F1847" s="1043"/>
      <c r="G1847" s="1550"/>
    </row>
    <row r="1848" spans="1:7">
      <c r="A1848" s="1754">
        <v>41214</v>
      </c>
      <c r="B1848" s="125" t="str">
        <f>TiposLancamentos!B34</f>
        <v>Seguros</v>
      </c>
      <c r="C1848" s="1040" t="s">
        <v>5809</v>
      </c>
      <c r="D1848" s="1736"/>
      <c r="E1848" s="1043">
        <v>69</v>
      </c>
      <c r="F1848" s="1043"/>
      <c r="G1848" s="1550"/>
    </row>
    <row r="1849" spans="1:7">
      <c r="A1849" s="1754">
        <v>41214</v>
      </c>
      <c r="B1849" s="125" t="str">
        <f>TiposLancamentos!B3</f>
        <v>Internet</v>
      </c>
      <c r="C1849" s="1040" t="s">
        <v>5838</v>
      </c>
      <c r="D1849" s="1736"/>
      <c r="E1849" s="1043">
        <v>14.95</v>
      </c>
      <c r="F1849" s="1043"/>
      <c r="G1849" s="1550"/>
    </row>
    <row r="1850" spans="1:7">
      <c r="A1850" s="1754">
        <v>41214</v>
      </c>
      <c r="B1850" s="125" t="str">
        <f>TiposLancamentos!B16</f>
        <v>Cristiane</v>
      </c>
      <c r="C1850" s="1040" t="s">
        <v>5837</v>
      </c>
      <c r="D1850" s="1736"/>
      <c r="E1850" s="1043">
        <v>108.59</v>
      </c>
      <c r="F1850" s="1043"/>
      <c r="G1850" s="1550"/>
    </row>
    <row r="1851" spans="1:7">
      <c r="A1851" s="1754">
        <v>41214</v>
      </c>
      <c r="B1851" s="125" t="str">
        <f>TiposLancamentos!B16</f>
        <v>Cristiane</v>
      </c>
      <c r="C1851" s="1040" t="s">
        <v>5880</v>
      </c>
      <c r="D1851" s="1736"/>
      <c r="E1851" s="1043">
        <v>6</v>
      </c>
      <c r="F1851" s="1043"/>
      <c r="G1851" s="1550"/>
    </row>
    <row r="1852" spans="1:7">
      <c r="A1852" s="1754">
        <v>41214</v>
      </c>
      <c r="B1852" s="125" t="str">
        <f>TiposLancamentos!B4</f>
        <v>Taxas Bancarias</v>
      </c>
      <c r="C1852" s="1040" t="s">
        <v>4858</v>
      </c>
      <c r="D1852" s="1736"/>
      <c r="E1852" s="1043">
        <v>0.92</v>
      </c>
      <c r="F1852" s="1043"/>
      <c r="G1852" s="1550"/>
    </row>
    <row r="1853" spans="1:7">
      <c r="A1853" s="1754">
        <v>41214</v>
      </c>
      <c r="B1853" s="125" t="str">
        <f>TiposLancamentos!B25</f>
        <v>CD_DVD_BD</v>
      </c>
      <c r="C1853" s="1040" t="s">
        <v>5881</v>
      </c>
      <c r="D1853" s="1736"/>
      <c r="E1853" s="1043">
        <v>69.900000000000006</v>
      </c>
      <c r="F1853" s="1043"/>
      <c r="G1853" s="1550"/>
    </row>
    <row r="1854" spans="1:7">
      <c r="A1854" s="1754">
        <v>41215</v>
      </c>
      <c r="B1854" s="125" t="str">
        <f>TiposLancamentos!B19</f>
        <v>Restaurantes</v>
      </c>
      <c r="C1854" s="1040" t="s">
        <v>5882</v>
      </c>
      <c r="D1854" s="1736"/>
      <c r="E1854" s="1043">
        <v>141.46</v>
      </c>
      <c r="F1854" s="1043"/>
      <c r="G1854" s="1550"/>
    </row>
    <row r="1855" spans="1:7">
      <c r="A1855" s="1754">
        <v>41215</v>
      </c>
      <c r="B1855" s="125" t="str">
        <f>TiposLancamentos!B19</f>
        <v>Restaurantes</v>
      </c>
      <c r="C1855" s="1040" t="s">
        <v>5883</v>
      </c>
      <c r="D1855" s="1736"/>
      <c r="E1855" s="1043">
        <v>24.53</v>
      </c>
      <c r="F1855" s="1043"/>
      <c r="G1855" s="1550"/>
    </row>
    <row r="1856" spans="1:7">
      <c r="A1856" s="1754">
        <v>41216</v>
      </c>
      <c r="B1856" s="125" t="str">
        <f>TiposLancamentos!B90</f>
        <v>Locadora</v>
      </c>
      <c r="C1856" s="1040" t="s">
        <v>5884</v>
      </c>
      <c r="D1856" s="1736"/>
      <c r="E1856" s="1043">
        <v>21</v>
      </c>
      <c r="F1856" s="1043"/>
      <c r="G1856" s="1550"/>
    </row>
    <row r="1857" spans="1:7">
      <c r="A1857" s="1666">
        <v>41217</v>
      </c>
      <c r="B1857" s="817" t="str">
        <f>TiposLancamentos!B44</f>
        <v>Academia</v>
      </c>
      <c r="C1857" s="1742" t="s">
        <v>5885</v>
      </c>
      <c r="D1857" s="1735"/>
      <c r="E1857" s="1733">
        <v>105</v>
      </c>
      <c r="F1857" s="1043"/>
      <c r="G1857" s="1550"/>
    </row>
    <row r="1858" spans="1:7">
      <c r="A1858" s="1750">
        <v>41217</v>
      </c>
      <c r="B1858" s="818" t="str">
        <f>TiposLancamentos!B16</f>
        <v>Cristiane</v>
      </c>
      <c r="C1858" s="1743" t="s">
        <v>5886</v>
      </c>
      <c r="D1858" s="1737"/>
      <c r="E1858" s="1668">
        <v>105</v>
      </c>
      <c r="F1858" s="1043">
        <f>SUM(E1857:E1858)</f>
        <v>210</v>
      </c>
      <c r="G1858" s="1550"/>
    </row>
    <row r="1859" spans="1:7">
      <c r="A1859" s="1666">
        <v>41220</v>
      </c>
      <c r="B1859" s="817" t="str">
        <f>TiposLancamentos!B56</f>
        <v>Farmácia</v>
      </c>
      <c r="C1859" s="1742" t="s">
        <v>5887</v>
      </c>
      <c r="D1859" s="1735"/>
      <c r="E1859" s="1733">
        <v>28.12</v>
      </c>
      <c r="F1859" s="1043"/>
      <c r="G1859" s="1550"/>
    </row>
    <row r="1860" spans="1:7">
      <c r="A1860" s="1750">
        <v>41220</v>
      </c>
      <c r="B1860" s="818" t="str">
        <f>TiposLancamentos!B16</f>
        <v>Cristiane</v>
      </c>
      <c r="C1860" s="1743" t="s">
        <v>5888</v>
      </c>
      <c r="D1860" s="1737"/>
      <c r="E1860" s="1668">
        <v>54.76</v>
      </c>
      <c r="F1860" s="1043">
        <f>SUM(E1859:E1860)</f>
        <v>82.88</v>
      </c>
      <c r="G1860" s="1550"/>
    </row>
    <row r="1861" spans="1:7">
      <c r="A1861" s="1754">
        <v>41220</v>
      </c>
      <c r="B1861" s="125" t="str">
        <f>TiposLancamentos!B16</f>
        <v>Cristiane</v>
      </c>
      <c r="C1861" s="1040" t="s">
        <v>5889</v>
      </c>
      <c r="D1861" s="1736"/>
      <c r="E1861" s="1043">
        <v>59.72</v>
      </c>
      <c r="F1861" s="1043"/>
      <c r="G1861" s="1550"/>
    </row>
    <row r="1862" spans="1:7">
      <c r="A1862" s="1754">
        <v>41221</v>
      </c>
      <c r="B1862" s="125" t="str">
        <f>TiposLancamentos!B19</f>
        <v>Restaurantes</v>
      </c>
      <c r="C1862" s="1040" t="s">
        <v>5890</v>
      </c>
      <c r="D1862" s="1736"/>
      <c r="E1862" s="1043">
        <v>44.5</v>
      </c>
      <c r="F1862" s="1043"/>
      <c r="G1862" s="1550"/>
    </row>
    <row r="1863" spans="1:7">
      <c r="A1863" s="1754">
        <v>41223</v>
      </c>
      <c r="B1863" s="125" t="str">
        <f>TiposLancamentos!B16</f>
        <v>Cristiane</v>
      </c>
      <c r="C1863" s="1040" t="s">
        <v>5891</v>
      </c>
      <c r="D1863" s="1736"/>
      <c r="E1863" s="1043">
        <v>45.05</v>
      </c>
      <c r="F1863" s="1043"/>
      <c r="G1863" s="1550"/>
    </row>
    <row r="1864" spans="1:7">
      <c r="A1864" s="1754">
        <v>41223</v>
      </c>
      <c r="B1864" s="125" t="str">
        <f>TiposLancamentos!B19</f>
        <v>Restaurantes</v>
      </c>
      <c r="C1864" s="1040" t="s">
        <v>5892</v>
      </c>
      <c r="D1864" s="1736"/>
      <c r="E1864" s="1043">
        <v>29.6</v>
      </c>
      <c r="F1864" s="1043"/>
      <c r="G1864" s="1550"/>
    </row>
    <row r="1865" spans="1:7">
      <c r="A1865" s="1754">
        <v>41224</v>
      </c>
      <c r="B1865" s="125" t="str">
        <f>TiposLancamentos!B5</f>
        <v>Supermercado</v>
      </c>
      <c r="C1865" s="1040" t="s">
        <v>5893</v>
      </c>
      <c r="D1865" s="1736"/>
      <c r="E1865" s="1043">
        <v>47.16</v>
      </c>
      <c r="F1865" s="1043"/>
      <c r="G1865" s="1550"/>
    </row>
    <row r="1866" spans="1:7">
      <c r="A1866" s="1754">
        <v>41225</v>
      </c>
      <c r="B1866" s="125" t="str">
        <f>TiposLancamentos!B4</f>
        <v>Taxas Bancarias</v>
      </c>
      <c r="C1866" s="1040" t="s">
        <v>5690</v>
      </c>
      <c r="D1866" s="1736"/>
      <c r="E1866" s="1043">
        <v>2.5</v>
      </c>
      <c r="F1866" s="1043"/>
      <c r="G1866" s="1550"/>
    </row>
    <row r="1867" spans="1:7">
      <c r="A1867" s="1754">
        <v>41226</v>
      </c>
      <c r="B1867" s="125" t="str">
        <f>TiposLancamentos!B56</f>
        <v>Farmácia</v>
      </c>
      <c r="C1867" s="1040" t="s">
        <v>5894</v>
      </c>
      <c r="D1867" s="1736"/>
      <c r="E1867" s="1043">
        <v>41.87</v>
      </c>
      <c r="F1867" s="1043"/>
      <c r="G1867" s="1550"/>
    </row>
    <row r="1868" spans="1:7">
      <c r="A1868" s="1754">
        <v>41226</v>
      </c>
      <c r="B1868" s="125" t="str">
        <f>TiposLancamentos!B16</f>
        <v>Cristiane</v>
      </c>
      <c r="C1868" s="1040" t="s">
        <v>5895</v>
      </c>
      <c r="D1868" s="1736"/>
      <c r="E1868" s="1043">
        <v>225</v>
      </c>
      <c r="F1868" s="1043">
        <v>200</v>
      </c>
      <c r="G1868" s="1550"/>
    </row>
    <row r="1869" spans="1:7">
      <c r="A1869" s="1754">
        <v>41226</v>
      </c>
      <c r="B1869" s="125" t="str">
        <f>TiposLancamentos!B5</f>
        <v>Supermercado</v>
      </c>
      <c r="C1869" s="1040" t="s">
        <v>5896</v>
      </c>
      <c r="D1869" s="1736"/>
      <c r="E1869" s="1043">
        <v>56.93</v>
      </c>
      <c r="F1869" s="1043"/>
      <c r="G1869" s="1550"/>
    </row>
    <row r="1870" spans="1:7">
      <c r="A1870" s="1754">
        <v>41227</v>
      </c>
      <c r="B1870" s="125" t="str">
        <f>TiposLancamentos!B95</f>
        <v>Salarios</v>
      </c>
      <c r="C1870" s="1040" t="s">
        <v>4916</v>
      </c>
      <c r="D1870" s="1736">
        <v>2110.15</v>
      </c>
      <c r="E1870" s="1043"/>
      <c r="F1870" s="1043"/>
      <c r="G1870" s="1550"/>
    </row>
    <row r="1871" spans="1:7">
      <c r="A1871" s="1754">
        <v>41228</v>
      </c>
      <c r="B1871" s="125" t="str">
        <f>TiposLancamentos!B19</f>
        <v>Restaurantes</v>
      </c>
      <c r="C1871" s="1040" t="s">
        <v>5897</v>
      </c>
      <c r="D1871" s="1736"/>
      <c r="E1871" s="1043">
        <v>152.46</v>
      </c>
      <c r="F1871" s="1043"/>
      <c r="G1871" s="1550"/>
    </row>
    <row r="1872" spans="1:7">
      <c r="A1872" s="1666">
        <v>41228</v>
      </c>
      <c r="B1872" s="817" t="str">
        <f>TiposLancamentos!B33</f>
        <v>Pedágios</v>
      </c>
      <c r="C1872" s="1742" t="s">
        <v>5392</v>
      </c>
      <c r="D1872" s="1735"/>
      <c r="E1872" s="1733">
        <v>12.4</v>
      </c>
      <c r="F1872" s="1043"/>
      <c r="G1872" s="1550"/>
    </row>
    <row r="1873" spans="1:7">
      <c r="A1873" s="1750">
        <v>41228</v>
      </c>
      <c r="B1873" s="818" t="str">
        <f>TiposLancamentos!B24</f>
        <v>Estacionamentos</v>
      </c>
      <c r="C1873" s="1743" t="s">
        <v>5863</v>
      </c>
      <c r="D1873" s="1737"/>
      <c r="E1873" s="1668">
        <v>29</v>
      </c>
      <c r="F1873" s="1043">
        <f>SUM(E1872:E1873)</f>
        <v>41.4</v>
      </c>
      <c r="G1873" s="1550"/>
    </row>
    <row r="1874" spans="1:7">
      <c r="A1874" s="1754">
        <v>41229</v>
      </c>
      <c r="B1874" s="125" t="str">
        <f>TiposLancamentos!B5</f>
        <v>Supermercado</v>
      </c>
      <c r="C1874" s="1040" t="s">
        <v>5898</v>
      </c>
      <c r="D1874" s="1736"/>
      <c r="E1874" s="1043">
        <v>60.04</v>
      </c>
      <c r="F1874" s="1043"/>
      <c r="G1874" s="1550"/>
    </row>
    <row r="1875" spans="1:7">
      <c r="A1875" s="1754">
        <v>41229</v>
      </c>
      <c r="B1875" s="125" t="str">
        <f>TiposLancamentos!B5</f>
        <v>Supermercado</v>
      </c>
      <c r="C1875" s="1040" t="s">
        <v>5899</v>
      </c>
      <c r="D1875" s="1736"/>
      <c r="E1875" s="1043">
        <v>22</v>
      </c>
      <c r="F1875" s="1043"/>
      <c r="G1875" s="1550"/>
    </row>
    <row r="1876" spans="1:7">
      <c r="A1876" s="1754">
        <v>41229</v>
      </c>
      <c r="B1876" s="125" t="str">
        <f>TiposLancamentos!B19</f>
        <v>Restaurantes</v>
      </c>
      <c r="C1876" s="1040" t="s">
        <v>5900</v>
      </c>
      <c r="D1876" s="1736"/>
      <c r="E1876" s="1043">
        <v>46</v>
      </c>
      <c r="F1876" s="1043"/>
      <c r="G1876" s="1550"/>
    </row>
    <row r="1877" spans="1:7">
      <c r="A1877" s="1754">
        <v>41229</v>
      </c>
      <c r="B1877" s="125" t="str">
        <f>TiposLancamentos!B56</f>
        <v>Farmácia</v>
      </c>
      <c r="C1877" s="1040" t="s">
        <v>5901</v>
      </c>
      <c r="D1877" s="1736"/>
      <c r="E1877" s="1043">
        <v>136.29</v>
      </c>
      <c r="F1877" s="1043"/>
      <c r="G1877" s="1550"/>
    </row>
    <row r="1878" spans="1:7">
      <c r="A1878" s="1754">
        <v>41230</v>
      </c>
      <c r="B1878" s="125" t="str">
        <f>TiposLancamentos!B19</f>
        <v>Restaurantes</v>
      </c>
      <c r="C1878" s="1040" t="s">
        <v>5902</v>
      </c>
      <c r="D1878" s="1736"/>
      <c r="E1878" s="1043">
        <v>143.12</v>
      </c>
      <c r="F1878" s="1043"/>
      <c r="G1878" s="1550"/>
    </row>
    <row r="1879" spans="1:7">
      <c r="A1879" s="1754">
        <v>41231</v>
      </c>
      <c r="B1879" s="125" t="str">
        <f>TiposLancamentos!B22</f>
        <v>Combustivel</v>
      </c>
      <c r="C1879" s="1040" t="s">
        <v>5903</v>
      </c>
      <c r="D1879" s="1736"/>
      <c r="E1879" s="1043">
        <v>98</v>
      </c>
      <c r="F1879" s="1043"/>
      <c r="G1879" s="1550"/>
    </row>
    <row r="1880" spans="1:7">
      <c r="A1880" s="1754">
        <v>41231</v>
      </c>
      <c r="B1880" s="125" t="str">
        <f>TiposLancamentos!B31</f>
        <v>Action Figures</v>
      </c>
      <c r="C1880" s="1040" t="s">
        <v>5904</v>
      </c>
      <c r="D1880" s="1736"/>
      <c r="E1880" s="1043">
        <v>14.9</v>
      </c>
      <c r="F1880" s="1043"/>
      <c r="G1880" s="1550"/>
    </row>
    <row r="1881" spans="1:7">
      <c r="A1881" s="1754">
        <v>41231</v>
      </c>
      <c r="B1881" s="125" t="str">
        <f>TiposLancamentos!B19</f>
        <v>Restaurantes</v>
      </c>
      <c r="C1881" s="1040" t="s">
        <v>5905</v>
      </c>
      <c r="D1881" s="1736"/>
      <c r="E1881" s="1043">
        <v>125.7</v>
      </c>
      <c r="F1881" s="1043"/>
      <c r="G1881" s="1550"/>
    </row>
    <row r="1882" spans="1:7">
      <c r="A1882" s="1754">
        <v>41231</v>
      </c>
      <c r="B1882" s="125" t="str">
        <f>TiposLancamentos!B19</f>
        <v>Restaurantes</v>
      </c>
      <c r="C1882" s="1040" t="s">
        <v>5906</v>
      </c>
      <c r="D1882" s="1736"/>
      <c r="E1882" s="1043">
        <v>32.56</v>
      </c>
      <c r="F1882" s="1043"/>
      <c r="G1882" s="1550"/>
    </row>
    <row r="1883" spans="1:7">
      <c r="A1883" s="1754">
        <v>41231</v>
      </c>
      <c r="B1883" s="125" t="str">
        <f>TiposLancamentos!B16</f>
        <v>Cristiane</v>
      </c>
      <c r="C1883" s="1040" t="s">
        <v>5907</v>
      </c>
      <c r="D1883" s="1736"/>
      <c r="E1883" s="1043">
        <v>36.9</v>
      </c>
      <c r="F1883" s="1043"/>
      <c r="G1883" s="1550"/>
    </row>
    <row r="1884" spans="1:7">
      <c r="A1884" s="1754">
        <v>41231</v>
      </c>
      <c r="B1884" s="125" t="str">
        <f>TiposLancamentos!B24</f>
        <v>Estacionamentos</v>
      </c>
      <c r="C1884" s="1040" t="s">
        <v>5908</v>
      </c>
      <c r="D1884" s="1736"/>
      <c r="E1884" s="1043">
        <v>14</v>
      </c>
      <c r="F1884" s="1043"/>
      <c r="G1884" s="1550"/>
    </row>
    <row r="1885" spans="1:7">
      <c r="A1885" s="1754">
        <v>41231</v>
      </c>
      <c r="B1885" s="125" t="str">
        <f>TiposLancamentos!B19</f>
        <v>Restaurantes</v>
      </c>
      <c r="C1885" s="1040" t="s">
        <v>5909</v>
      </c>
      <c r="D1885" s="1736"/>
      <c r="E1885" s="1043">
        <v>46.5</v>
      </c>
      <c r="F1885" s="1043"/>
      <c r="G1885" s="1550"/>
    </row>
    <row r="1886" spans="1:7">
      <c r="A1886" s="1754">
        <v>41231</v>
      </c>
      <c r="B1886" s="125" t="str">
        <f>TiposLancamentos!B16</f>
        <v>Cristiane</v>
      </c>
      <c r="C1886" s="1040" t="s">
        <v>5910</v>
      </c>
      <c r="D1886" s="1736"/>
      <c r="E1886" s="1043">
        <v>400</v>
      </c>
      <c r="F1886" s="1043"/>
      <c r="G1886" s="1550"/>
    </row>
    <row r="1887" spans="1:7">
      <c r="A1887" s="1754">
        <v>41232</v>
      </c>
      <c r="B1887" s="125" t="str">
        <f>TiposLancamentos!B5</f>
        <v>Supermercado</v>
      </c>
      <c r="C1887" s="1040" t="s">
        <v>5911</v>
      </c>
      <c r="D1887" s="1736"/>
      <c r="E1887" s="1043">
        <v>14.19</v>
      </c>
      <c r="F1887" s="1043"/>
      <c r="G1887" s="1550"/>
    </row>
    <row r="1888" spans="1:7">
      <c r="A1888" s="1754">
        <v>41232</v>
      </c>
      <c r="B1888" s="125" t="str">
        <f>TiposLancamentos!B16</f>
        <v>Cristiane</v>
      </c>
      <c r="C1888" s="1040" t="s">
        <v>5912</v>
      </c>
      <c r="D1888" s="1736"/>
      <c r="E1888" s="1043">
        <v>143.09</v>
      </c>
      <c r="F1888" s="1043"/>
      <c r="G1888" s="1550"/>
    </row>
    <row r="1889" spans="1:7">
      <c r="A1889" s="1754">
        <v>41232</v>
      </c>
      <c r="B1889" s="125" t="str">
        <f>TiposLancamentos!B19</f>
        <v>Restaurantes</v>
      </c>
      <c r="C1889" s="1040" t="s">
        <v>2701</v>
      </c>
      <c r="D1889" s="1736"/>
      <c r="E1889" s="1043">
        <v>5.4</v>
      </c>
      <c r="F1889" s="1043"/>
      <c r="G1889" s="1550"/>
    </row>
    <row r="1890" spans="1:7">
      <c r="A1890" s="1754">
        <v>41234</v>
      </c>
      <c r="B1890" s="125" t="str">
        <f>TiposLancamentos!B19</f>
        <v>Restaurantes</v>
      </c>
      <c r="C1890" s="1040" t="s">
        <v>5913</v>
      </c>
      <c r="D1890" s="1736"/>
      <c r="E1890" s="1043">
        <v>8.5500000000000007</v>
      </c>
      <c r="F1890" s="1043"/>
      <c r="G1890" s="1550"/>
    </row>
    <row r="1891" spans="1:7">
      <c r="A1891" s="1754">
        <v>41234</v>
      </c>
      <c r="B1891" s="125" t="str">
        <f>TiposLancamentos!B19</f>
        <v>Restaurantes</v>
      </c>
      <c r="C1891" s="1040" t="s">
        <v>5914</v>
      </c>
      <c r="D1891" s="1736"/>
      <c r="E1891" s="1043">
        <v>18.78</v>
      </c>
      <c r="F1891" s="1043"/>
      <c r="G1891" s="1550"/>
    </row>
    <row r="1892" spans="1:7">
      <c r="A1892" s="1754">
        <v>41234</v>
      </c>
      <c r="B1892" s="125" t="str">
        <f>TiposLancamentos!B19</f>
        <v>Restaurantes</v>
      </c>
      <c r="C1892" s="1040" t="s">
        <v>5915</v>
      </c>
      <c r="D1892" s="1736"/>
      <c r="E1892" s="1043">
        <v>7.1</v>
      </c>
      <c r="F1892" s="1043"/>
      <c r="G1892" s="1550"/>
    </row>
    <row r="1893" spans="1:7">
      <c r="A1893" s="1754">
        <v>41234</v>
      </c>
      <c r="B1893" s="125" t="str">
        <f>TiposLancamentos!B5</f>
        <v>Supermercado</v>
      </c>
      <c r="C1893" s="1040" t="s">
        <v>5916</v>
      </c>
      <c r="D1893" s="1736"/>
      <c r="E1893" s="1043">
        <v>30.43</v>
      </c>
      <c r="F1893" s="1043"/>
      <c r="G1893" s="1550"/>
    </row>
    <row r="1894" spans="1:7" ht="14.25" thickBot="1">
      <c r="A1894" s="1754">
        <v>41243</v>
      </c>
      <c r="B1894" s="125" t="str">
        <f>TiposLancamentos!B95</f>
        <v>Salarios</v>
      </c>
      <c r="C1894" s="1040" t="s">
        <v>5917</v>
      </c>
      <c r="D1894" s="1736">
        <v>8085.88</v>
      </c>
      <c r="E1894" s="1043"/>
      <c r="F1894" s="1043"/>
      <c r="G1894" s="1550"/>
    </row>
    <row r="1895" spans="1:7">
      <c r="A1895" s="1834"/>
      <c r="B1895" s="977"/>
      <c r="C1895" s="1854" t="s">
        <v>5918</v>
      </c>
      <c r="D1895" s="1823"/>
      <c r="E1895" s="1821"/>
      <c r="F1895" s="1821"/>
      <c r="G1895" s="1895"/>
    </row>
    <row r="1896" spans="1:7">
      <c r="A1896" s="1754">
        <v>41244</v>
      </c>
      <c r="B1896" s="125" t="str">
        <f>TiposLancamentos!B19</f>
        <v>Restaurantes</v>
      </c>
      <c r="C1896" s="1040" t="s">
        <v>5829</v>
      </c>
      <c r="D1896" s="1736"/>
      <c r="E1896" s="1043">
        <v>101.2</v>
      </c>
      <c r="F1896" s="1043"/>
      <c r="G1896" s="1550"/>
    </row>
    <row r="1897" spans="1:7">
      <c r="A1897" s="1754">
        <v>41244</v>
      </c>
      <c r="B1897" s="125" t="str">
        <f>TiposLancamentos!B17</f>
        <v>GATO</v>
      </c>
      <c r="C1897" s="1040" t="s">
        <v>5919</v>
      </c>
      <c r="D1897" s="1736"/>
      <c r="E1897" s="1043">
        <v>182</v>
      </c>
      <c r="F1897" s="1043"/>
      <c r="G1897" s="1550"/>
    </row>
    <row r="1898" spans="1:7">
      <c r="A1898" s="1754">
        <v>41245</v>
      </c>
      <c r="B1898" s="125" t="str">
        <f>TiposLancamentos!B22</f>
        <v>Combustivel</v>
      </c>
      <c r="C1898" s="1040" t="s">
        <v>5920</v>
      </c>
      <c r="D1898" s="1736"/>
      <c r="E1898" s="1043">
        <v>106</v>
      </c>
      <c r="F1898" s="1043"/>
      <c r="G1898" s="1550"/>
    </row>
    <row r="1899" spans="1:7">
      <c r="A1899" s="1754">
        <v>41245</v>
      </c>
      <c r="B1899" s="125" t="str">
        <f>B1896</f>
        <v>Restaurantes</v>
      </c>
      <c r="C1899" s="1040" t="s">
        <v>5921</v>
      </c>
      <c r="D1899" s="1736"/>
      <c r="E1899" s="1043">
        <v>60.8</v>
      </c>
      <c r="F1899" s="1043"/>
      <c r="G1899" s="1550"/>
    </row>
    <row r="1900" spans="1:7">
      <c r="A1900" s="1754">
        <v>41245</v>
      </c>
      <c r="B1900" s="125" t="str">
        <f>B1899</f>
        <v>Restaurantes</v>
      </c>
      <c r="C1900" s="1040" t="s">
        <v>5922</v>
      </c>
      <c r="D1900" s="1736"/>
      <c r="E1900" s="1043">
        <v>28.8</v>
      </c>
      <c r="F1900" s="1043"/>
      <c r="G1900" s="1550"/>
    </row>
    <row r="1901" spans="1:7">
      <c r="A1901" s="1754">
        <v>41245</v>
      </c>
      <c r="B1901" s="125" t="str">
        <f>TiposLancamentos!B5</f>
        <v>Supermercado</v>
      </c>
      <c r="C1901" s="1040" t="s">
        <v>5923</v>
      </c>
      <c r="D1901" s="1736"/>
      <c r="E1901" s="1043">
        <v>41.45</v>
      </c>
      <c r="F1901" s="1043"/>
      <c r="G1901" s="1550"/>
    </row>
    <row r="1902" spans="1:7">
      <c r="A1902" s="1754">
        <v>41246</v>
      </c>
      <c r="B1902" s="125" t="str">
        <f>TiposLancamentos!B15</f>
        <v>Cartões de Crédito</v>
      </c>
      <c r="C1902" s="1040" t="s">
        <v>5924</v>
      </c>
      <c r="D1902" s="1736"/>
      <c r="E1902" s="1043">
        <v>698.23</v>
      </c>
      <c r="F1902" s="1043"/>
      <c r="G1902" s="1550"/>
    </row>
    <row r="1903" spans="1:7">
      <c r="A1903" s="1754">
        <v>41246</v>
      </c>
      <c r="B1903" s="125" t="str">
        <f>TiposLancamentos!B6</f>
        <v>Energia Eletrica</v>
      </c>
      <c r="C1903" s="1040" t="s">
        <v>5191</v>
      </c>
      <c r="D1903" s="1736"/>
      <c r="E1903" s="1043">
        <v>141.88</v>
      </c>
      <c r="F1903" s="1043"/>
      <c r="G1903" s="1550"/>
    </row>
    <row r="1904" spans="1:7">
      <c r="A1904" s="1754">
        <v>41246</v>
      </c>
      <c r="B1904" s="125" t="str">
        <f>TiposLancamentos!B3</f>
        <v>Internet</v>
      </c>
      <c r="C1904" s="1040" t="s">
        <v>5838</v>
      </c>
      <c r="D1904" s="1736"/>
      <c r="E1904" s="1043">
        <v>61.25</v>
      </c>
      <c r="F1904" s="1043"/>
      <c r="G1904" s="1550"/>
    </row>
    <row r="1905" spans="1:7">
      <c r="A1905" s="1754">
        <v>41246</v>
      </c>
      <c r="B1905" s="125" t="str">
        <f>TiposLancamentos!B9</f>
        <v>Condominio</v>
      </c>
      <c r="C1905" s="1040" t="s">
        <v>5925</v>
      </c>
      <c r="D1905" s="1736"/>
      <c r="E1905" s="1043">
        <v>757.48</v>
      </c>
      <c r="F1905" s="1043"/>
      <c r="G1905" s="1550"/>
    </row>
    <row r="1906" spans="1:7">
      <c r="A1906" s="1754">
        <v>41246</v>
      </c>
      <c r="B1906" s="125" t="str">
        <f>TiposLancamentos!B16</f>
        <v>Cristiane</v>
      </c>
      <c r="C1906" s="1040" t="s">
        <v>5926</v>
      </c>
      <c r="D1906" s="1736"/>
      <c r="E1906" s="1043">
        <v>108.67</v>
      </c>
      <c r="F1906" s="1043"/>
      <c r="G1906" s="1550"/>
    </row>
    <row r="1907" spans="1:7">
      <c r="A1907" s="1754">
        <v>41246</v>
      </c>
      <c r="B1907" s="125" t="str">
        <f>TiposLancamentos!B105</f>
        <v>Transf. Bco</v>
      </c>
      <c r="C1907" s="1040" t="s">
        <v>5927</v>
      </c>
      <c r="D1907" s="1736"/>
      <c r="E1907" s="1043">
        <v>8455</v>
      </c>
      <c r="F1907" s="1043"/>
      <c r="G1907" s="1550"/>
    </row>
    <row r="1908" spans="1:7">
      <c r="A1908" s="1754">
        <v>41246</v>
      </c>
      <c r="B1908" s="125" t="str">
        <f>TiposLancamentos!B96</f>
        <v>Resg.Poup.</v>
      </c>
      <c r="C1908" s="1040" t="s">
        <v>5928</v>
      </c>
      <c r="D1908" s="1736">
        <v>3500</v>
      </c>
      <c r="E1908" s="1043"/>
      <c r="F1908" s="1043"/>
      <c r="G1908" s="1550"/>
    </row>
    <row r="1909" spans="1:7">
      <c r="A1909" s="1754">
        <v>41246</v>
      </c>
      <c r="B1909" s="125" t="str">
        <f>TiposLancamentos!B4</f>
        <v>Taxas Bancarias</v>
      </c>
      <c r="C1909" s="1040" t="s">
        <v>4858</v>
      </c>
      <c r="D1909" s="1736"/>
      <c r="E1909" s="1043">
        <v>0.85</v>
      </c>
      <c r="F1909" s="1043"/>
      <c r="G1909" s="1550"/>
    </row>
    <row r="1910" spans="1:7">
      <c r="A1910" s="1754">
        <v>41247</v>
      </c>
      <c r="B1910" s="125" t="str">
        <f>TiposLancamentos!B16</f>
        <v>Cristiane</v>
      </c>
      <c r="C1910" s="1040" t="s">
        <v>4232</v>
      </c>
      <c r="D1910" s="1736"/>
      <c r="E1910" s="1043">
        <v>38.950000000000003</v>
      </c>
      <c r="F1910" s="1043"/>
      <c r="G1910" s="1550"/>
    </row>
    <row r="1911" spans="1:7">
      <c r="A1911" s="1754">
        <v>41217</v>
      </c>
      <c r="B1911" s="125" t="str">
        <f>TiposLancamentos!B19</f>
        <v>Restaurantes</v>
      </c>
      <c r="C1911" s="1040" t="s">
        <v>5929</v>
      </c>
      <c r="D1911" s="1736"/>
      <c r="E1911" s="1043">
        <v>44.5</v>
      </c>
      <c r="F1911" s="1043"/>
      <c r="G1911" s="1550"/>
    </row>
    <row r="1912" spans="1:7">
      <c r="A1912" s="1754">
        <v>41219</v>
      </c>
      <c r="B1912" s="125" t="str">
        <f>TiposLancamentos!B5</f>
        <v>Supermercado</v>
      </c>
      <c r="C1912" s="1040" t="s">
        <v>5930</v>
      </c>
      <c r="D1912" s="1736"/>
      <c r="E1912" s="1043">
        <v>76.11</v>
      </c>
      <c r="F1912" s="1043"/>
      <c r="G1912" s="1550"/>
    </row>
    <row r="1913" spans="1:7">
      <c r="A1913" s="1754">
        <v>41249</v>
      </c>
      <c r="B1913" s="125" t="str">
        <f>TiposLancamentos!B87</f>
        <v>P207-1.6-XS</v>
      </c>
      <c r="C1913" s="1040" t="s">
        <v>5931</v>
      </c>
      <c r="D1913" s="1736"/>
      <c r="E1913" s="1043">
        <v>27</v>
      </c>
      <c r="F1913" s="1043"/>
      <c r="G1913" s="1550"/>
    </row>
    <row r="1914" spans="1:7">
      <c r="A1914" s="1754">
        <v>41249</v>
      </c>
      <c r="B1914" s="125" t="str">
        <f>TiposLancamentos!B13</f>
        <v>Moradia</v>
      </c>
      <c r="C1914" s="1040" t="s">
        <v>5932</v>
      </c>
      <c r="D1914" s="1736"/>
      <c r="E1914" s="1043">
        <v>46.1</v>
      </c>
      <c r="F1914" s="1043"/>
      <c r="G1914" s="1550"/>
    </row>
    <row r="1915" spans="1:7">
      <c r="A1915" s="1754">
        <v>41249</v>
      </c>
      <c r="B1915" s="125" t="str">
        <f>TiposLancamentos!B5</f>
        <v>Supermercado</v>
      </c>
      <c r="C1915" s="1040" t="s">
        <v>5933</v>
      </c>
      <c r="D1915" s="1736"/>
      <c r="E1915" s="1043">
        <v>15.57</v>
      </c>
      <c r="F1915" s="1043"/>
      <c r="G1915" s="1550"/>
    </row>
    <row r="1916" spans="1:7">
      <c r="A1916" s="1666">
        <v>41251</v>
      </c>
      <c r="B1916" s="1862" t="str">
        <f>TiposLancamentos!B16</f>
        <v>Cristiane</v>
      </c>
      <c r="C1916" s="1742" t="s">
        <v>5934</v>
      </c>
      <c r="D1916" s="1735"/>
      <c r="E1916" s="1843">
        <f>F1917-E1917</f>
        <v>51.81</v>
      </c>
      <c r="F1916" s="1043"/>
      <c r="G1916" s="1550"/>
    </row>
    <row r="1917" spans="1:7">
      <c r="A1917" s="1750">
        <v>41251</v>
      </c>
      <c r="B1917" s="1863" t="str">
        <f>TiposLancamentos!B56</f>
        <v>Farmácia</v>
      </c>
      <c r="C1917" s="1743" t="s">
        <v>5935</v>
      </c>
      <c r="D1917" s="1737"/>
      <c r="E1917" s="1844">
        <v>32.89</v>
      </c>
      <c r="F1917" s="1043">
        <v>84.7</v>
      </c>
      <c r="G1917" s="1550"/>
    </row>
    <row r="1918" spans="1:7">
      <c r="A1918" s="1754">
        <v>41251</v>
      </c>
      <c r="B1918" s="125" t="str">
        <f>TiposLancamentos!B19</f>
        <v>Restaurantes</v>
      </c>
      <c r="C1918" s="1040" t="s">
        <v>3618</v>
      </c>
      <c r="D1918" s="1736"/>
      <c r="E1918" s="1043">
        <v>30.9</v>
      </c>
      <c r="F1918" s="1043"/>
      <c r="G1918" s="1550"/>
    </row>
    <row r="1919" spans="1:7">
      <c r="A1919" s="1754">
        <v>41252</v>
      </c>
      <c r="B1919" s="125" t="str">
        <f>TiposLancamentos!B19</f>
        <v>Restaurantes</v>
      </c>
      <c r="C1919" s="1040" t="s">
        <v>5936</v>
      </c>
      <c r="D1919" s="1736"/>
      <c r="E1919" s="1043">
        <v>123.86</v>
      </c>
      <c r="F1919" s="1043"/>
      <c r="G1919" s="1550"/>
    </row>
    <row r="1920" spans="1:7">
      <c r="A1920" s="1754">
        <v>41252</v>
      </c>
      <c r="B1920" s="125" t="str">
        <f>TiposLancamentos!B16</f>
        <v>Cristiane</v>
      </c>
      <c r="C1920" s="1040" t="s">
        <v>5937</v>
      </c>
      <c r="D1920" s="1736"/>
      <c r="E1920" s="1043">
        <v>20</v>
      </c>
      <c r="F1920" s="1043"/>
      <c r="G1920" s="1550"/>
    </row>
    <row r="1921" spans="1:7">
      <c r="A1921" s="1754">
        <v>41252</v>
      </c>
      <c r="B1921" s="125" t="str">
        <f>TiposLancamentos!B19</f>
        <v>Restaurantes</v>
      </c>
      <c r="C1921" s="1040" t="s">
        <v>5938</v>
      </c>
      <c r="D1921" s="1736"/>
      <c r="E1921" s="1043">
        <v>24.42</v>
      </c>
      <c r="F1921" s="1043"/>
      <c r="G1921" s="1550"/>
    </row>
    <row r="1922" spans="1:7">
      <c r="A1922" s="1754">
        <v>41252</v>
      </c>
      <c r="B1922" s="125" t="str">
        <f>TiposLancamentos!B13</f>
        <v>Moradia</v>
      </c>
      <c r="C1922" s="1040" t="s">
        <v>5939</v>
      </c>
      <c r="D1922" s="1736"/>
      <c r="E1922" s="1043">
        <v>21.8</v>
      </c>
      <c r="F1922" s="1043"/>
      <c r="G1922" s="1550"/>
    </row>
    <row r="1923" spans="1:7">
      <c r="A1923" s="1754">
        <v>41252</v>
      </c>
      <c r="B1923" s="125" t="str">
        <f>TiposLancamentos!B5</f>
        <v>Supermercado</v>
      </c>
      <c r="C1923" s="1040" t="s">
        <v>5844</v>
      </c>
      <c r="D1923" s="1736"/>
      <c r="E1923" s="1043">
        <v>64.53</v>
      </c>
      <c r="F1923" s="1043"/>
      <c r="G1923" s="1550"/>
    </row>
    <row r="1924" spans="1:7">
      <c r="A1924" s="1666">
        <v>41253</v>
      </c>
      <c r="B1924" s="817" t="str">
        <f>TiposLancamentos!B8</f>
        <v>Aluguel</v>
      </c>
      <c r="C1924" s="1742" t="s">
        <v>1682</v>
      </c>
      <c r="D1924" s="1735"/>
      <c r="E1924" s="1733">
        <v>1238.24</v>
      </c>
      <c r="F1924" s="1043"/>
      <c r="G1924" s="1550"/>
    </row>
    <row r="1925" spans="1:7">
      <c r="A1925" s="1750">
        <v>41253</v>
      </c>
      <c r="B1925" s="818" t="str">
        <f>TiposLancamentos!B34</f>
        <v>Seguros</v>
      </c>
      <c r="C1925" s="1743" t="s">
        <v>5940</v>
      </c>
      <c r="D1925" s="1737"/>
      <c r="E1925" s="1668">
        <v>419.54</v>
      </c>
      <c r="F1925" s="1043">
        <f>SUM(E1924:E1925)</f>
        <v>1657.78</v>
      </c>
      <c r="G1925" s="1550"/>
    </row>
    <row r="1926" spans="1:7">
      <c r="A1926" s="1666">
        <v>41253</v>
      </c>
      <c r="B1926" s="817" t="str">
        <f>TiposLancamentos!B35</f>
        <v>Tv à Cabo</v>
      </c>
      <c r="C1926" s="1742" t="s">
        <v>5941</v>
      </c>
      <c r="D1926" s="1735"/>
      <c r="E1926" s="1733">
        <f>200+29.06</f>
        <v>229.06</v>
      </c>
      <c r="F1926" s="1043"/>
      <c r="G1926" s="1550"/>
    </row>
    <row r="1927" spans="1:7">
      <c r="A1927" s="1667">
        <v>41253</v>
      </c>
      <c r="B1927" s="816" t="str">
        <f>TiposLancamentos!B3</f>
        <v>Internet</v>
      </c>
      <c r="C1927" s="1769" t="s">
        <v>5835</v>
      </c>
      <c r="D1927" s="1736"/>
      <c r="E1927" s="1734">
        <v>59.9</v>
      </c>
      <c r="F1927" s="1043"/>
      <c r="G1927" s="1550"/>
    </row>
    <row r="1928" spans="1:7">
      <c r="A1928" s="1750">
        <v>41253</v>
      </c>
      <c r="B1928" s="818" t="str">
        <f>TiposLancamentos!B2</f>
        <v>Telefonia</v>
      </c>
      <c r="C1928" s="1743" t="s">
        <v>5836</v>
      </c>
      <c r="D1928" s="1737"/>
      <c r="E1928" s="1668">
        <v>23.98</v>
      </c>
      <c r="F1928" s="1043"/>
      <c r="G1928" s="1550"/>
    </row>
    <row r="1929" spans="1:7">
      <c r="A1929" s="1754">
        <v>41253</v>
      </c>
      <c r="B1929" s="125" t="str">
        <f>TiposLancamentos!B2</f>
        <v>Telefonia</v>
      </c>
      <c r="C1929" s="1040" t="s">
        <v>5942</v>
      </c>
      <c r="D1929" s="1736"/>
      <c r="E1929" s="1043">
        <v>13</v>
      </c>
      <c r="F1929" s="1043"/>
      <c r="G1929" s="1550"/>
    </row>
    <row r="1930" spans="1:7">
      <c r="A1930" s="1754">
        <v>41253</v>
      </c>
      <c r="B1930" s="125" t="str">
        <f>TiposLancamentos!B4</f>
        <v>Taxas Bancarias</v>
      </c>
      <c r="C1930" s="1040" t="s">
        <v>5707</v>
      </c>
      <c r="D1930" s="1736"/>
      <c r="E1930" s="1043">
        <v>2.27</v>
      </c>
      <c r="F1930" s="1043"/>
      <c r="G1930" s="1550"/>
    </row>
    <row r="1931" spans="1:7">
      <c r="A1931" s="1754">
        <v>41254</v>
      </c>
      <c r="B1931" s="125" t="str">
        <f>TiposLancamentos!B62</f>
        <v>Papelaria</v>
      </c>
      <c r="C1931" s="1040" t="s">
        <v>5943</v>
      </c>
      <c r="D1931" s="1736"/>
      <c r="E1931" s="1043">
        <v>28.59</v>
      </c>
      <c r="F1931" s="1043"/>
      <c r="G1931" s="1550"/>
    </row>
    <row r="1932" spans="1:7">
      <c r="A1932" s="1754">
        <v>41254</v>
      </c>
      <c r="B1932" s="125" t="str">
        <f>TiposLancamentos!B16</f>
        <v>Cristiane</v>
      </c>
      <c r="C1932" s="1040" t="s">
        <v>5944</v>
      </c>
      <c r="D1932" s="1736"/>
      <c r="E1932" s="1043">
        <v>191.1</v>
      </c>
      <c r="F1932" s="1043"/>
      <c r="G1932" s="1550"/>
    </row>
    <row r="1933" spans="1:7">
      <c r="A1933" s="1666">
        <v>41254</v>
      </c>
      <c r="B1933" s="817" t="str">
        <f>TiposLancamentos!B71</f>
        <v>Itens Pessoais</v>
      </c>
      <c r="C1933" s="1742" t="s">
        <v>5945</v>
      </c>
      <c r="D1933" s="1735"/>
      <c r="E1933" s="1733">
        <f>29.9+40.9</f>
        <v>70.8</v>
      </c>
      <c r="F1933" s="1043"/>
      <c r="G1933" s="1550"/>
    </row>
    <row r="1934" spans="1:7">
      <c r="A1934" s="1750">
        <v>41254</v>
      </c>
      <c r="B1934" s="818" t="str">
        <f>TiposLancamentos!B16</f>
        <v>Cristiane</v>
      </c>
      <c r="C1934" s="1743" t="s">
        <v>5946</v>
      </c>
      <c r="D1934" s="1737"/>
      <c r="E1934" s="1668">
        <f>F1934-E1933</f>
        <v>38.17</v>
      </c>
      <c r="F1934" s="1043">
        <v>108.97</v>
      </c>
      <c r="G1934" s="1550"/>
    </row>
    <row r="1935" spans="1:7">
      <c r="A1935" s="1666">
        <v>41254</v>
      </c>
      <c r="B1935" s="817" t="str">
        <f>TiposLancamentos!B44</f>
        <v>Academia</v>
      </c>
      <c r="C1935" s="1742" t="s">
        <v>5947</v>
      </c>
      <c r="D1935" s="1735"/>
      <c r="E1935" s="1733">
        <v>105</v>
      </c>
      <c r="F1935" s="1043"/>
      <c r="G1935" s="1550"/>
    </row>
    <row r="1936" spans="1:7">
      <c r="A1936" s="1750">
        <v>41254</v>
      </c>
      <c r="B1936" s="818" t="str">
        <f>TiposLancamentos!B16</f>
        <v>Cristiane</v>
      </c>
      <c r="C1936" s="1743" t="s">
        <v>5948</v>
      </c>
      <c r="D1936" s="1737"/>
      <c r="E1936" s="1668">
        <v>105</v>
      </c>
      <c r="F1936" s="1043">
        <f>SUM(E1935:E1936)</f>
        <v>210</v>
      </c>
      <c r="G1936" s="1550"/>
    </row>
    <row r="1937" spans="1:7">
      <c r="A1937" s="1754">
        <v>41255</v>
      </c>
      <c r="B1937" s="125" t="str">
        <f>TiposLancamentos!B69</f>
        <v>Consertos</v>
      </c>
      <c r="C1937" s="1040" t="s">
        <v>5949</v>
      </c>
      <c r="D1937" s="1736"/>
      <c r="E1937" s="1043">
        <v>386</v>
      </c>
      <c r="F1937" s="1043"/>
      <c r="G1937" s="1550"/>
    </row>
    <row r="1938" spans="1:7">
      <c r="A1938" s="1754">
        <v>41255</v>
      </c>
      <c r="B1938" s="125" t="str">
        <f>TiposLancamentos!B13</f>
        <v>Moradia</v>
      </c>
      <c r="C1938" s="1040" t="s">
        <v>5950</v>
      </c>
      <c r="D1938" s="1736"/>
      <c r="E1938" s="1043">
        <v>200</v>
      </c>
      <c r="F1938" s="1043"/>
      <c r="G1938" s="1550"/>
    </row>
    <row r="1939" spans="1:7">
      <c r="A1939" s="1754">
        <v>41257</v>
      </c>
      <c r="B1939" s="125" t="str">
        <f>TiposLancamentos!B95</f>
        <v>Salarios</v>
      </c>
      <c r="C1939" s="1040" t="s">
        <v>4916</v>
      </c>
      <c r="D1939" s="1736">
        <v>2110.15</v>
      </c>
      <c r="E1939" s="1043"/>
      <c r="F1939" s="1043"/>
      <c r="G1939" s="1550"/>
    </row>
    <row r="1940" spans="1:7">
      <c r="A1940" s="1754">
        <v>41257</v>
      </c>
      <c r="B1940" s="125" t="str">
        <f>TiposLancamentos!B95</f>
        <v>Salarios</v>
      </c>
      <c r="C1940" s="1040" t="s">
        <v>5355</v>
      </c>
      <c r="D1940" s="1736">
        <v>6018.82</v>
      </c>
      <c r="E1940" s="1043"/>
      <c r="F1940" s="1043"/>
      <c r="G1940" s="1550"/>
    </row>
    <row r="1941" spans="1:7">
      <c r="A1941" s="1754">
        <v>41257</v>
      </c>
      <c r="B1941" s="125" t="str">
        <f>TiposLancamentos!B95</f>
        <v>Salarios</v>
      </c>
      <c r="C1941" s="1040" t="s">
        <v>4938</v>
      </c>
      <c r="D1941" s="1736">
        <v>7448.83</v>
      </c>
      <c r="E1941" s="1043"/>
      <c r="F1941" s="1043"/>
      <c r="G1941" s="1550"/>
    </row>
    <row r="1942" spans="1:7">
      <c r="A1942" s="1754">
        <v>41257</v>
      </c>
      <c r="B1942" s="125" t="str">
        <f>TiposLancamentos!B19</f>
        <v>Restaurantes</v>
      </c>
      <c r="C1942" s="1040" t="s">
        <v>5914</v>
      </c>
      <c r="D1942" s="1736"/>
      <c r="E1942" s="1043">
        <v>16.600000000000001</v>
      </c>
      <c r="F1942" s="1043"/>
      <c r="G1942" s="1550"/>
    </row>
    <row r="1943" spans="1:7">
      <c r="A1943" s="1754">
        <v>41258</v>
      </c>
      <c r="B1943" s="125" t="str">
        <f>TiposLancamentos!B19</f>
        <v>Restaurantes</v>
      </c>
      <c r="C1943" s="1040" t="s">
        <v>5951</v>
      </c>
      <c r="D1943" s="1736"/>
      <c r="E1943" s="1043">
        <v>67.400000000000006</v>
      </c>
      <c r="F1943" s="1043"/>
      <c r="G1943" s="1550"/>
    </row>
    <row r="1944" spans="1:7">
      <c r="A1944" s="1754">
        <v>41258</v>
      </c>
      <c r="B1944" s="125" t="str">
        <f>TiposLancamentos!B20</f>
        <v>Saques</v>
      </c>
      <c r="C1944" s="1040" t="s">
        <v>5952</v>
      </c>
      <c r="D1944" s="1736"/>
      <c r="E1944" s="1043">
        <v>120</v>
      </c>
      <c r="F1944" s="1043"/>
      <c r="G1944" s="1550"/>
    </row>
    <row r="1945" spans="1:7">
      <c r="A1945" s="1754">
        <v>41258</v>
      </c>
      <c r="B1945" s="125" t="str">
        <f>TiposLancamentos!B16</f>
        <v>Cristiane</v>
      </c>
      <c r="C1945" s="1040" t="s">
        <v>3420</v>
      </c>
      <c r="D1945" s="1736"/>
      <c r="E1945" s="1043">
        <v>72.38</v>
      </c>
      <c r="F1945" s="1043"/>
      <c r="G1945" s="1550"/>
    </row>
    <row r="1946" spans="1:7">
      <c r="A1946" s="1754">
        <v>41258</v>
      </c>
      <c r="B1946" s="125" t="str">
        <f>TiposLancamentos!B90</f>
        <v>Locadora</v>
      </c>
      <c r="C1946" s="1040" t="s">
        <v>3106</v>
      </c>
      <c r="D1946" s="1736"/>
      <c r="E1946" s="1043">
        <v>24</v>
      </c>
      <c r="F1946" s="1043"/>
      <c r="G1946" s="1550"/>
    </row>
    <row r="1947" spans="1:7">
      <c r="A1947" s="1754">
        <v>41259</v>
      </c>
      <c r="B1947" s="125" t="str">
        <f>TiposLancamentos!B5</f>
        <v>Supermercado</v>
      </c>
      <c r="C1947" s="1040" t="s">
        <v>5953</v>
      </c>
      <c r="D1947" s="1736"/>
      <c r="E1947" s="1043">
        <v>27.88</v>
      </c>
      <c r="F1947" s="1043"/>
      <c r="G1947" s="1550"/>
    </row>
    <row r="1948" spans="1:7">
      <c r="A1948" s="1754">
        <v>41259</v>
      </c>
      <c r="B1948" s="125" t="str">
        <f>TiposLancamentos!B19</f>
        <v>Restaurantes</v>
      </c>
      <c r="C1948" s="1040" t="s">
        <v>5954</v>
      </c>
      <c r="D1948" s="1736"/>
      <c r="E1948" s="1043">
        <v>78.87</v>
      </c>
      <c r="F1948" s="1043"/>
      <c r="G1948" s="1550"/>
    </row>
    <row r="1949" spans="1:7">
      <c r="A1949" s="1754">
        <v>41259</v>
      </c>
      <c r="B1949" s="125" t="str">
        <f>TiposLancamentos!B16</f>
        <v>Cristiane</v>
      </c>
      <c r="C1949" s="1040" t="s">
        <v>5955</v>
      </c>
      <c r="D1949" s="1736"/>
      <c r="E1949" s="1043">
        <v>24.84</v>
      </c>
      <c r="F1949" s="1043"/>
      <c r="G1949" s="1550"/>
    </row>
    <row r="1950" spans="1:7">
      <c r="A1950" s="1754">
        <v>41260</v>
      </c>
      <c r="B1950" s="125" t="str">
        <f>TiposLancamentos!B34</f>
        <v>Seguros</v>
      </c>
      <c r="C1950" s="1040" t="s">
        <v>5809</v>
      </c>
      <c r="D1950" s="1736"/>
      <c r="E1950" s="1043">
        <v>69</v>
      </c>
      <c r="F1950" s="1043"/>
      <c r="G1950" s="1550"/>
    </row>
    <row r="1951" spans="1:7">
      <c r="A1951" s="1666">
        <v>41260</v>
      </c>
      <c r="B1951" s="817" t="str">
        <f>TiposLancamentos!B33</f>
        <v>Pedágios</v>
      </c>
      <c r="C1951" s="1742" t="s">
        <v>5392</v>
      </c>
      <c r="D1951" s="1735"/>
      <c r="E1951" s="1733">
        <v>12.4</v>
      </c>
      <c r="F1951" s="1043"/>
      <c r="G1951" s="1550"/>
    </row>
    <row r="1952" spans="1:7">
      <c r="A1952" s="1750">
        <v>41260</v>
      </c>
      <c r="B1952" s="818" t="str">
        <f>TiposLancamentos!B24</f>
        <v>Estacionamentos</v>
      </c>
      <c r="C1952" s="1743" t="s">
        <v>5863</v>
      </c>
      <c r="D1952" s="1737"/>
      <c r="E1952" s="1668">
        <v>29</v>
      </c>
      <c r="F1952" s="1043">
        <f>SUM(E1951:E1952)</f>
        <v>41.4</v>
      </c>
      <c r="G1952" s="1550"/>
    </row>
    <row r="1953" spans="1:7">
      <c r="A1953" s="1754">
        <v>41260</v>
      </c>
      <c r="B1953" s="125" t="str">
        <f>TiposLancamentos!B13</f>
        <v>Moradia</v>
      </c>
      <c r="C1953" s="1040" t="s">
        <v>5956</v>
      </c>
      <c r="D1953" s="1736"/>
      <c r="E1953" s="1043">
        <v>3000</v>
      </c>
      <c r="F1953" s="1043"/>
      <c r="G1953" s="1550"/>
    </row>
    <row r="1954" spans="1:7">
      <c r="A1954" s="1754">
        <v>41260</v>
      </c>
      <c r="B1954" s="125" t="str">
        <f>TiposLancamentos!B5</f>
        <v>Supermercado</v>
      </c>
      <c r="C1954" s="1040" t="s">
        <v>5957</v>
      </c>
      <c r="D1954" s="1736"/>
      <c r="E1954" s="1043">
        <v>53.58</v>
      </c>
      <c r="F1954" s="1043"/>
      <c r="G1954" s="1550"/>
    </row>
    <row r="1955" spans="1:7">
      <c r="A1955" s="1754">
        <v>41260</v>
      </c>
      <c r="B1955" s="125" t="str">
        <f>TiposLancamentos!B16</f>
        <v>Cristiane</v>
      </c>
      <c r="C1955" s="1040" t="s">
        <v>5958</v>
      </c>
      <c r="D1955" s="1736"/>
      <c r="E1955" s="1043">
        <v>143.09</v>
      </c>
      <c r="F1955" s="1043"/>
      <c r="G1955" s="1550"/>
    </row>
    <row r="1956" spans="1:7">
      <c r="A1956" s="1754">
        <v>41261</v>
      </c>
      <c r="B1956" s="125" t="str">
        <f>TiposLancamentos!B13</f>
        <v>Moradia</v>
      </c>
      <c r="C1956" s="1040" t="s">
        <v>5959</v>
      </c>
      <c r="D1956" s="1736"/>
      <c r="E1956" s="1043">
        <v>102.76</v>
      </c>
      <c r="F1956" s="1043"/>
      <c r="G1956" s="1550"/>
    </row>
    <row r="1957" spans="1:7">
      <c r="A1957" s="1754">
        <v>41261</v>
      </c>
      <c r="B1957" s="125" t="str">
        <f>TiposLancamentos!B16</f>
        <v>Cristiane</v>
      </c>
      <c r="C1957" s="1040" t="s">
        <v>5960</v>
      </c>
      <c r="D1957" s="1736"/>
      <c r="E1957" s="1043">
        <v>85.96</v>
      </c>
      <c r="F1957" s="1043"/>
      <c r="G1957" s="1550"/>
    </row>
    <row r="1958" spans="1:7">
      <c r="A1958" s="1754">
        <v>41261</v>
      </c>
      <c r="B1958" s="125" t="str">
        <f>TiposLancamentos!B19</f>
        <v>Restaurantes</v>
      </c>
      <c r="C1958" s="1040" t="s">
        <v>3618</v>
      </c>
      <c r="D1958" s="1736"/>
      <c r="E1958" s="1043">
        <v>47.38</v>
      </c>
      <c r="F1958" s="1043"/>
      <c r="G1958" s="1550"/>
    </row>
    <row r="1959" spans="1:7">
      <c r="A1959" s="1754">
        <v>41262</v>
      </c>
      <c r="B1959" s="125" t="str">
        <f>TiposLancamentos!B22</f>
        <v>Combustivel</v>
      </c>
      <c r="C1959" s="1040" t="s">
        <v>5961</v>
      </c>
      <c r="D1959" s="1736"/>
      <c r="E1959" s="1043">
        <v>117</v>
      </c>
      <c r="F1959" s="1043"/>
      <c r="G1959" s="1550"/>
    </row>
    <row r="1960" spans="1:7">
      <c r="A1960" s="1754">
        <v>41262</v>
      </c>
      <c r="B1960" s="125" t="str">
        <f>TiposLancamentos!B31</f>
        <v>Action Figures</v>
      </c>
      <c r="C1960" s="1040" t="s">
        <v>5962</v>
      </c>
      <c r="D1960" s="1736"/>
      <c r="E1960" s="1043">
        <f>F1960-E1959</f>
        <v>44.699999999999989</v>
      </c>
      <c r="F1960" s="1043">
        <v>161.69999999999999</v>
      </c>
      <c r="G1960" s="1550"/>
    </row>
    <row r="1961" spans="1:7">
      <c r="A1961" s="1754">
        <v>41262</v>
      </c>
      <c r="B1961" s="125" t="str">
        <f>TiposLancamentos!B71</f>
        <v>Itens Pessoais</v>
      </c>
      <c r="C1961" s="1040" t="s">
        <v>5963</v>
      </c>
      <c r="D1961" s="1736"/>
      <c r="E1961" s="1043">
        <v>23</v>
      </c>
      <c r="F1961" s="1043"/>
      <c r="G1961" s="1550"/>
    </row>
    <row r="1962" spans="1:7">
      <c r="A1962" s="1754">
        <v>41262</v>
      </c>
      <c r="B1962" s="125" t="str">
        <f>TiposLancamentos!B19</f>
        <v>Restaurantes</v>
      </c>
      <c r="C1962" s="1040" t="s">
        <v>5964</v>
      </c>
      <c r="D1962" s="1736"/>
      <c r="E1962" s="1043">
        <v>16.559999999999999</v>
      </c>
      <c r="F1962" s="1043"/>
      <c r="G1962" s="1550"/>
    </row>
    <row r="1963" spans="1:7">
      <c r="A1963" s="1754">
        <v>41262</v>
      </c>
      <c r="B1963" s="125" t="str">
        <f>TiposLancamentos!B20</f>
        <v>Saques</v>
      </c>
      <c r="C1963" s="1040" t="s">
        <v>3604</v>
      </c>
      <c r="D1963" s="1736"/>
      <c r="E1963" s="1043">
        <v>20</v>
      </c>
      <c r="F1963" s="1043"/>
      <c r="G1963" s="1550"/>
    </row>
    <row r="1964" spans="1:7">
      <c r="A1964" s="1754">
        <v>41262</v>
      </c>
      <c r="B1964" s="125" t="str">
        <f>TiposLancamentos!B16</f>
        <v>Cristiane</v>
      </c>
      <c r="C1964" s="1040" t="s">
        <v>4740</v>
      </c>
      <c r="D1964" s="1736"/>
      <c r="E1964" s="1043">
        <v>20</v>
      </c>
      <c r="F1964" s="1043"/>
      <c r="G1964" s="1550"/>
    </row>
    <row r="1965" spans="1:7">
      <c r="A1965" s="1754">
        <v>41263</v>
      </c>
      <c r="B1965" s="125" t="str">
        <f>TiposLancamentos!B19</f>
        <v>Restaurantes</v>
      </c>
      <c r="C1965" s="1040" t="s">
        <v>5965</v>
      </c>
      <c r="D1965" s="1736"/>
      <c r="E1965" s="1043">
        <v>7.2</v>
      </c>
      <c r="F1965" s="1043"/>
      <c r="G1965" s="1550"/>
    </row>
    <row r="1966" spans="1:7">
      <c r="A1966" s="1754">
        <v>41263</v>
      </c>
      <c r="B1966" s="125" t="str">
        <f>TiposLancamentos!B19</f>
        <v>Restaurantes</v>
      </c>
      <c r="C1966" s="1040" t="s">
        <v>5966</v>
      </c>
      <c r="D1966" s="1736"/>
      <c r="E1966" s="1043">
        <v>45</v>
      </c>
      <c r="F1966" s="1043"/>
      <c r="G1966" s="1550"/>
    </row>
    <row r="1967" spans="1:7">
      <c r="A1967" s="1754">
        <v>41264</v>
      </c>
      <c r="B1967" s="125" t="str">
        <f>TiposLancamentos!B5</f>
        <v>Supermercado</v>
      </c>
      <c r="C1967" s="1040" t="s">
        <v>5967</v>
      </c>
      <c r="D1967" s="1736"/>
      <c r="E1967" s="1043">
        <v>23.84</v>
      </c>
      <c r="F1967" s="1043"/>
      <c r="G1967" s="1550"/>
    </row>
    <row r="1968" spans="1:7">
      <c r="A1968" s="1754">
        <v>41264</v>
      </c>
      <c r="B1968" s="125" t="str">
        <f>TiposLancamentos!B19</f>
        <v>Restaurantes</v>
      </c>
      <c r="C1968" s="1040" t="s">
        <v>5914</v>
      </c>
      <c r="D1968" s="1736"/>
      <c r="E1968" s="1043">
        <v>29.8</v>
      </c>
      <c r="F1968" s="1043"/>
      <c r="G1968" s="1550"/>
    </row>
    <row r="1969" spans="1:7">
      <c r="A1969" s="1754">
        <v>41264</v>
      </c>
      <c r="B1969" s="125" t="str">
        <f>TiposLancamentos!B19</f>
        <v>Restaurantes</v>
      </c>
      <c r="C1969" s="1040" t="s">
        <v>5968</v>
      </c>
      <c r="D1969" s="1736"/>
      <c r="E1969" s="1043">
        <v>165.44</v>
      </c>
      <c r="F1969" s="1043"/>
      <c r="G1969" s="1550"/>
    </row>
    <row r="1970" spans="1:7">
      <c r="A1970" s="1754">
        <v>41265</v>
      </c>
      <c r="B1970" s="125" t="str">
        <f>TiposLancamentos!B87</f>
        <v>P207-1.6-XS</v>
      </c>
      <c r="C1970" s="1040" t="s">
        <v>5969</v>
      </c>
      <c r="D1970" s="1736"/>
      <c r="E1970" s="1043">
        <v>485</v>
      </c>
      <c r="F1970" s="1043"/>
      <c r="G1970" s="1550"/>
    </row>
    <row r="1971" spans="1:7">
      <c r="A1971" s="1754">
        <v>41265</v>
      </c>
      <c r="B1971" s="125" t="str">
        <f>TiposLancamentos!B56</f>
        <v>Farmácia</v>
      </c>
      <c r="C1971" s="1040" t="s">
        <v>5970</v>
      </c>
      <c r="D1971" s="1736"/>
      <c r="E1971" s="1043">
        <v>101.47</v>
      </c>
      <c r="F1971" s="1043"/>
      <c r="G1971" s="1550"/>
    </row>
    <row r="1972" spans="1:7">
      <c r="A1972" s="1754">
        <v>41266</v>
      </c>
      <c r="B1972" s="125" t="str">
        <f>TiposLancamentos!B19</f>
        <v>Restaurantes</v>
      </c>
      <c r="C1972" s="1040" t="s">
        <v>5971</v>
      </c>
      <c r="D1972" s="1736"/>
      <c r="E1972" s="1043">
        <v>107.36</v>
      </c>
      <c r="F1972" s="1043"/>
      <c r="G1972" s="1550"/>
    </row>
    <row r="1973" spans="1:7">
      <c r="A1973" s="1754">
        <v>41266</v>
      </c>
      <c r="B1973" s="125" t="str">
        <f>TiposLancamentos!B31</f>
        <v>Action Figures</v>
      </c>
      <c r="C1973" s="1040" t="s">
        <v>5972</v>
      </c>
      <c r="D1973" s="1736"/>
      <c r="E1973" s="1043">
        <v>80</v>
      </c>
      <c r="F1973" s="1043"/>
      <c r="G1973" s="1550"/>
    </row>
    <row r="1974" spans="1:7">
      <c r="A1974" s="1754">
        <v>41266</v>
      </c>
      <c r="B1974" s="125" t="str">
        <f>TiposLancamentos!B71</f>
        <v>Itens Pessoais</v>
      </c>
      <c r="C1974" s="1040" t="s">
        <v>5973</v>
      </c>
      <c r="D1974" s="1736"/>
      <c r="E1974" s="1043">
        <v>1300</v>
      </c>
      <c r="F1974" s="1043"/>
      <c r="G1974" s="1550"/>
    </row>
    <row r="1975" spans="1:7">
      <c r="A1975" s="1754">
        <v>41267</v>
      </c>
      <c r="B1975" s="125" t="str">
        <f>TiposLancamentos!B19</f>
        <v>Restaurantes</v>
      </c>
      <c r="C1975" s="1040" t="s">
        <v>5974</v>
      </c>
      <c r="D1975" s="1736"/>
      <c r="E1975" s="1043">
        <v>61.53</v>
      </c>
      <c r="F1975" s="1043"/>
      <c r="G1975" s="1550"/>
    </row>
    <row r="1976" spans="1:7">
      <c r="A1976" s="1754">
        <v>41267</v>
      </c>
      <c r="B1976" s="125" t="str">
        <f>TiposLancamentos!B72</f>
        <v>Presentes</v>
      </c>
      <c r="C1976" s="1040" t="s">
        <v>5975</v>
      </c>
      <c r="D1976" s="1736"/>
      <c r="E1976" s="1043">
        <v>137.80000000000001</v>
      </c>
      <c r="F1976" s="1043"/>
      <c r="G1976" s="1550"/>
    </row>
    <row r="1977" spans="1:7">
      <c r="A1977" s="1754">
        <v>41267</v>
      </c>
      <c r="B1977" s="125" t="str">
        <f>TiposLancamentos!B13</f>
        <v>Moradia</v>
      </c>
      <c r="C1977" s="1040" t="s">
        <v>5976</v>
      </c>
      <c r="D1977" s="1736"/>
      <c r="E1977" s="1043">
        <v>10.199999999999999</v>
      </c>
      <c r="F1977" s="1043"/>
      <c r="G1977" s="1550"/>
    </row>
    <row r="1978" spans="1:7">
      <c r="A1978" s="1754">
        <v>41267</v>
      </c>
      <c r="B1978" s="125" t="str">
        <f>TiposLancamentos!B5</f>
        <v>Supermercado</v>
      </c>
      <c r="C1978" s="1040" t="s">
        <v>5977</v>
      </c>
      <c r="D1978" s="1736"/>
      <c r="E1978" s="1043">
        <v>197.36</v>
      </c>
      <c r="F1978" s="1043"/>
      <c r="G1978" s="1550"/>
    </row>
    <row r="1979" spans="1:7">
      <c r="A1979" s="1754">
        <v>41269</v>
      </c>
      <c r="B1979" s="125" t="str">
        <f>TiposLancamentos!B5</f>
        <v>Supermercado</v>
      </c>
      <c r="C1979" s="1040" t="s">
        <v>5978</v>
      </c>
      <c r="D1979" s="1736"/>
      <c r="E1979" s="1043">
        <v>12.83</v>
      </c>
      <c r="F1979" s="1043"/>
      <c r="G1979" s="1550"/>
    </row>
    <row r="1980" spans="1:7">
      <c r="A1980" s="1754">
        <v>41269</v>
      </c>
      <c r="B1980" s="125" t="str">
        <f>TiposLancamentos!B13</f>
        <v>Moradia</v>
      </c>
      <c r="C1980" s="1040" t="s">
        <v>5979</v>
      </c>
      <c r="D1980" s="1736"/>
      <c r="E1980" s="1043">
        <v>93.1</v>
      </c>
      <c r="F1980" s="1043"/>
      <c r="G1980" s="1550"/>
    </row>
    <row r="1981" spans="1:7">
      <c r="A1981" s="1754">
        <v>41270</v>
      </c>
      <c r="B1981" s="125" t="str">
        <f>TiposLancamentos!B31</f>
        <v>Action Figures</v>
      </c>
      <c r="C1981" s="1040" t="s">
        <v>5980</v>
      </c>
      <c r="D1981" s="1736"/>
      <c r="E1981" s="1043">
        <v>95</v>
      </c>
      <c r="F1981" s="1043"/>
      <c r="G1981" s="1550"/>
    </row>
    <row r="1982" spans="1:7">
      <c r="A1982" s="1754">
        <v>41270</v>
      </c>
      <c r="B1982" s="125" t="str">
        <f>TiposLancamentos!B19</f>
        <v>Restaurantes</v>
      </c>
      <c r="C1982" s="1040" t="s">
        <v>5981</v>
      </c>
      <c r="D1982" s="1736"/>
      <c r="E1982" s="1043">
        <v>157.41</v>
      </c>
      <c r="F1982" s="1043"/>
      <c r="G1982" s="1550"/>
    </row>
    <row r="1983" spans="1:7">
      <c r="A1983" s="1754">
        <v>41270</v>
      </c>
      <c r="B1983" s="125" t="str">
        <f>TiposLancamentos!B81</f>
        <v>Ferramentas gerais</v>
      </c>
      <c r="C1983" s="1040" t="s">
        <v>5982</v>
      </c>
      <c r="D1983" s="1736"/>
      <c r="E1983" s="1043">
        <v>235.7</v>
      </c>
      <c r="F1983" s="1043"/>
      <c r="G1983" s="1550"/>
    </row>
    <row r="1984" spans="1:7">
      <c r="A1984" s="1754">
        <v>41270</v>
      </c>
      <c r="B1984" s="125" t="str">
        <f>TiposLancamentos!B18</f>
        <v>Alimentacao</v>
      </c>
      <c r="C1984" s="1040" t="s">
        <v>5983</v>
      </c>
      <c r="D1984" s="1736"/>
      <c r="E1984" s="1043">
        <v>26.8</v>
      </c>
      <c r="F1984" s="1043"/>
      <c r="G1984" s="1550"/>
    </row>
    <row r="1985" spans="1:7">
      <c r="A1985" s="1754">
        <v>41270</v>
      </c>
      <c r="B1985" s="125" t="str">
        <f>TiposLancamentos!B19</f>
        <v>Restaurantes</v>
      </c>
      <c r="C1985" s="1040" t="s">
        <v>5984</v>
      </c>
      <c r="D1985" s="1736"/>
      <c r="E1985" s="1043">
        <v>43.67</v>
      </c>
      <c r="F1985" s="1043"/>
      <c r="G1985" s="1550"/>
    </row>
    <row r="1986" spans="1:7">
      <c r="A1986" s="1754">
        <v>41271</v>
      </c>
      <c r="B1986" s="125" t="str">
        <f>TiposLancamentos!B95</f>
        <v>Salarios</v>
      </c>
      <c r="C1986" s="1040" t="s">
        <v>5917</v>
      </c>
      <c r="D1986" s="1736">
        <v>7292.17</v>
      </c>
      <c r="E1986" s="1043"/>
      <c r="F1986" s="1043"/>
      <c r="G1986" s="1550"/>
    </row>
    <row r="1987" spans="1:7">
      <c r="A1987" s="1754">
        <v>41271</v>
      </c>
      <c r="B1987" s="125" t="str">
        <f>TiposLancamentos!B5</f>
        <v>Supermercado</v>
      </c>
      <c r="C1987" s="1040" t="s">
        <v>5985</v>
      </c>
      <c r="D1987" s="1736"/>
      <c r="E1987" s="1043">
        <v>34.090000000000003</v>
      </c>
      <c r="F1987" s="1043"/>
      <c r="G1987" s="1550"/>
    </row>
    <row r="1988" spans="1:7">
      <c r="A1988" s="1754">
        <v>41271</v>
      </c>
      <c r="B1988" s="125" t="str">
        <f>TiposLancamentos!B16</f>
        <v>Cristiane</v>
      </c>
      <c r="C1988" s="1040" t="s">
        <v>5986</v>
      </c>
      <c r="D1988" s="1736"/>
      <c r="E1988" s="1043">
        <v>29.86</v>
      </c>
      <c r="F1988" s="1043"/>
      <c r="G1988" s="1550"/>
    </row>
    <row r="1989" spans="1:7">
      <c r="A1989" s="1754">
        <v>41272</v>
      </c>
      <c r="B1989" s="125" t="str">
        <f>TiposLancamentos!B16</f>
        <v>Cristiane</v>
      </c>
      <c r="C1989" s="1040" t="s">
        <v>4232</v>
      </c>
      <c r="D1989" s="1736"/>
      <c r="E1989" s="1043">
        <v>69.400000000000006</v>
      </c>
      <c r="F1989" s="1043"/>
      <c r="G1989" s="1550"/>
    </row>
    <row r="1990" spans="1:7">
      <c r="A1990" s="1754">
        <v>41273</v>
      </c>
      <c r="B1990" s="125" t="str">
        <f>TiposLancamentos!B19</f>
        <v>Restaurantes</v>
      </c>
      <c r="C1990" s="1040" t="s">
        <v>5987</v>
      </c>
      <c r="D1990" s="1736"/>
      <c r="E1990" s="1043">
        <v>155.91999999999999</v>
      </c>
      <c r="F1990" s="1043"/>
      <c r="G1990" s="1550"/>
    </row>
    <row r="1991" spans="1:7">
      <c r="A1991" s="1754">
        <v>41273</v>
      </c>
      <c r="B1991" s="125" t="str">
        <f>TiposLancamentos!B37</f>
        <v>Playstation 3</v>
      </c>
      <c r="C1991" s="1040" t="s">
        <v>5988</v>
      </c>
      <c r="D1991" s="1736"/>
      <c r="E1991" s="1043">
        <v>99</v>
      </c>
      <c r="F1991" s="1043"/>
      <c r="G1991" s="1550"/>
    </row>
    <row r="1992" spans="1:7">
      <c r="A1992" s="1754">
        <v>41274</v>
      </c>
      <c r="B1992" s="125" t="str">
        <f>TiposLancamentos!B16</f>
        <v>Cristiane</v>
      </c>
      <c r="C1992" s="1040" t="s">
        <v>5989</v>
      </c>
      <c r="D1992" s="1736"/>
      <c r="E1992" s="1043">
        <v>272.60000000000002</v>
      </c>
      <c r="F1992" s="1043"/>
      <c r="G1992" s="1550"/>
    </row>
    <row r="1993" spans="1:7">
      <c r="A1993" s="1754">
        <v>41274</v>
      </c>
      <c r="B1993" s="125" t="str">
        <f>TiposLancamentos!B16</f>
        <v>Cristiane</v>
      </c>
      <c r="C1993" s="1040" t="s">
        <v>5990</v>
      </c>
      <c r="D1993" s="1736"/>
      <c r="E1993" s="1043">
        <v>117.98</v>
      </c>
      <c r="F1993" s="1043"/>
      <c r="G1993" s="1550"/>
    </row>
    <row r="1994" spans="1:7" ht="14.25" thickBot="1">
      <c r="A1994" s="1754">
        <v>41274</v>
      </c>
      <c r="B1994" s="125" t="str">
        <f>TiposLancamentos!B19</f>
        <v>Restaurantes</v>
      </c>
      <c r="C1994" s="1040" t="s">
        <v>3287</v>
      </c>
      <c r="D1994" s="1736"/>
      <c r="E1994" s="1043">
        <v>50.38</v>
      </c>
      <c r="F1994" s="1043"/>
      <c r="G1994" s="1550"/>
    </row>
    <row r="1995" spans="1:7">
      <c r="A1995" s="1834"/>
      <c r="B1995" s="977"/>
      <c r="C1995" s="1854" t="s">
        <v>5991</v>
      </c>
      <c r="D1995" s="1823"/>
      <c r="E1995" s="1821"/>
      <c r="F1995" s="1821"/>
      <c r="G1995" s="1895"/>
    </row>
    <row r="1996" spans="1:7">
      <c r="A1996" s="1754">
        <v>41276</v>
      </c>
      <c r="B1996" s="125" t="str">
        <f>TiposLancamentos!B87</f>
        <v>P207-1.6-XS</v>
      </c>
      <c r="C1996" s="1040" t="s">
        <v>5992</v>
      </c>
      <c r="D1996" s="1736"/>
      <c r="E1996" s="1043">
        <v>240</v>
      </c>
      <c r="F1996" s="1043"/>
      <c r="G1996" s="1550"/>
    </row>
    <row r="1997" spans="1:7">
      <c r="A1997" s="1754">
        <v>41276</v>
      </c>
      <c r="B1997" s="125" t="str">
        <f>TiposLancamentos!B15</f>
        <v>Cartões de Crédito</v>
      </c>
      <c r="C1997" s="1040" t="s">
        <v>5832</v>
      </c>
      <c r="D1997" s="1736"/>
      <c r="E1997" s="1043">
        <v>2372.44</v>
      </c>
      <c r="F1997" s="1043"/>
      <c r="G1997" s="1550"/>
    </row>
    <row r="1998" spans="1:7">
      <c r="A1998" s="1754">
        <v>41276</v>
      </c>
      <c r="B1998" s="125" t="str">
        <f>TiposLancamentos!B6</f>
        <v>Energia Eletrica</v>
      </c>
      <c r="C1998" s="1040" t="s">
        <v>5744</v>
      </c>
      <c r="D1998" s="1736"/>
      <c r="E1998" s="1043">
        <v>135.37</v>
      </c>
      <c r="F1998" s="1043"/>
      <c r="G1998" s="1550"/>
    </row>
    <row r="1999" spans="1:7">
      <c r="A1999" s="1754">
        <v>41276</v>
      </c>
      <c r="B1999" s="125" t="str">
        <f>TiposLancamentos!B15</f>
        <v>Cartões de Crédito</v>
      </c>
      <c r="C1999" s="1040" t="s">
        <v>5879</v>
      </c>
      <c r="D1999" s="1736"/>
      <c r="E1999" s="1043">
        <v>699.7</v>
      </c>
      <c r="F1999" s="1043"/>
      <c r="G1999" s="1550"/>
    </row>
    <row r="2000" spans="1:7">
      <c r="A2000" s="1754">
        <v>41276</v>
      </c>
      <c r="B2000" s="125" t="str">
        <f>TiposLancamentos!B3</f>
        <v>Internet</v>
      </c>
      <c r="C2000" s="1040" t="s">
        <v>5838</v>
      </c>
      <c r="D2000" s="1736"/>
      <c r="E2000" s="1043">
        <v>15.95</v>
      </c>
      <c r="F2000" s="1043"/>
      <c r="G2000" s="1550"/>
    </row>
    <row r="2001" spans="1:7">
      <c r="A2001" s="1754">
        <v>41276</v>
      </c>
      <c r="B2001" s="125" t="str">
        <f>TiposLancamentos!B16</f>
        <v>Cristiane</v>
      </c>
      <c r="C2001" s="1040" t="s">
        <v>5837</v>
      </c>
      <c r="D2001" s="1736"/>
      <c r="E2001" s="1043">
        <v>115.27</v>
      </c>
      <c r="F2001" s="1043"/>
      <c r="G2001" s="1550"/>
    </row>
    <row r="2002" spans="1:7">
      <c r="A2002" s="1754">
        <v>41276</v>
      </c>
      <c r="B2002" s="125" t="str">
        <f>TiposLancamentos!B16</f>
        <v>Cristiane</v>
      </c>
      <c r="C2002" s="1040" t="s">
        <v>5880</v>
      </c>
      <c r="D2002" s="1736"/>
      <c r="E2002" s="1043">
        <v>6</v>
      </c>
      <c r="F2002" s="1043"/>
      <c r="G2002" s="1550"/>
    </row>
    <row r="2003" spans="1:7">
      <c r="A2003" s="1754">
        <v>41276</v>
      </c>
      <c r="B2003" s="125" t="str">
        <f>TiposLancamentos!B34</f>
        <v>Seguros</v>
      </c>
      <c r="C2003" s="1040" t="s">
        <v>5809</v>
      </c>
      <c r="D2003" s="1736"/>
      <c r="E2003" s="1043">
        <v>69</v>
      </c>
      <c r="F2003" s="1043"/>
      <c r="G2003" s="1550"/>
    </row>
    <row r="2004" spans="1:7">
      <c r="A2004" s="1754">
        <v>41276</v>
      </c>
      <c r="B2004" s="125" t="str">
        <f>TiposLancamentos!B9</f>
        <v>Condominio</v>
      </c>
      <c r="C2004" s="1040" t="s">
        <v>1684</v>
      </c>
      <c r="D2004" s="1736"/>
      <c r="E2004" s="1043">
        <v>770.41</v>
      </c>
      <c r="F2004" s="1043"/>
      <c r="G2004" s="1550"/>
    </row>
    <row r="2005" spans="1:7">
      <c r="A2005" s="1666">
        <v>41276</v>
      </c>
      <c r="B2005" s="817" t="str">
        <f>TiposLancamentos!B35</f>
        <v>Tv à Cabo</v>
      </c>
      <c r="C2005" s="1742" t="s">
        <v>5834</v>
      </c>
      <c r="D2005" s="1735"/>
      <c r="E2005" s="1733">
        <v>209.9</v>
      </c>
      <c r="F2005" s="1043"/>
      <c r="G2005" s="1550"/>
    </row>
    <row r="2006" spans="1:7">
      <c r="A2006" s="1667">
        <v>41276</v>
      </c>
      <c r="B2006" s="816" t="str">
        <f>TiposLancamentos!B3</f>
        <v>Internet</v>
      </c>
      <c r="C2006" s="1769" t="s">
        <v>5835</v>
      </c>
      <c r="D2006" s="1736"/>
      <c r="E2006" s="1734">
        <v>0</v>
      </c>
      <c r="F2006" s="1043">
        <f>SUM(E2005:E2007)</f>
        <v>209.9</v>
      </c>
      <c r="G2006" s="1550"/>
    </row>
    <row r="2007" spans="1:7">
      <c r="A2007" s="1750">
        <v>41276</v>
      </c>
      <c r="B2007" s="818" t="str">
        <f>TiposLancamentos!B2</f>
        <v>Telefonia</v>
      </c>
      <c r="C2007" s="1743" t="s">
        <v>5836</v>
      </c>
      <c r="D2007" s="1737"/>
      <c r="E2007" s="1668">
        <v>0</v>
      </c>
      <c r="F2007" s="1043"/>
      <c r="G2007" s="1550"/>
    </row>
    <row r="2008" spans="1:7">
      <c r="A2008" s="1666">
        <v>41276</v>
      </c>
      <c r="B2008" s="817" t="str">
        <f>TiposLancamentos!B8</f>
        <v>Aluguel</v>
      </c>
      <c r="C2008" s="1742" t="s">
        <v>5993</v>
      </c>
      <c r="D2008" s="1735"/>
      <c r="E2008" s="1733">
        <f>F2009-E2009</f>
        <v>1238.24</v>
      </c>
      <c r="F2008" s="1043"/>
      <c r="G2008" s="1550"/>
    </row>
    <row r="2009" spans="1:7">
      <c r="A2009" s="1750">
        <v>41276</v>
      </c>
      <c r="B2009" s="818" t="str">
        <f>TiposLancamentos!B34</f>
        <v>Seguros</v>
      </c>
      <c r="C2009" s="1743" t="s">
        <v>5994</v>
      </c>
      <c r="D2009" s="1737"/>
      <c r="E2009" s="1668">
        <v>209.77</v>
      </c>
      <c r="F2009" s="1043">
        <v>1448.01</v>
      </c>
      <c r="G2009" s="1550"/>
    </row>
    <row r="2010" spans="1:7">
      <c r="A2010" s="1754">
        <v>41276</v>
      </c>
      <c r="B2010" s="125" t="str">
        <f>TiposLancamentos!B16</f>
        <v>Cristiane</v>
      </c>
      <c r="C2010" s="1040" t="s">
        <v>5995</v>
      </c>
      <c r="D2010" s="1736"/>
      <c r="E2010" s="1043">
        <v>156.07</v>
      </c>
      <c r="F2010" s="1043"/>
      <c r="G2010" s="1550"/>
    </row>
    <row r="2011" spans="1:7">
      <c r="A2011" s="1754">
        <v>41276</v>
      </c>
      <c r="B2011" s="125" t="str">
        <f>TiposLancamentos!B4</f>
        <v>Taxas Bancarias</v>
      </c>
      <c r="C2011" s="1040" t="s">
        <v>5996</v>
      </c>
      <c r="D2011" s="1736"/>
      <c r="E2011" s="1043">
        <v>11.4</v>
      </c>
      <c r="F2011" s="1043"/>
      <c r="G2011" s="1550"/>
    </row>
    <row r="2012" spans="1:7">
      <c r="A2012" s="1754">
        <v>41277</v>
      </c>
      <c r="B2012" s="125" t="str">
        <f>TiposLancamentos!B21</f>
        <v>Transf. Poupanca</v>
      </c>
      <c r="C2012" s="1040" t="s">
        <v>5997</v>
      </c>
      <c r="D2012" s="1736"/>
      <c r="E2012" s="1043">
        <v>4000</v>
      </c>
      <c r="F2012" s="1043"/>
      <c r="G2012" s="1550"/>
    </row>
    <row r="2013" spans="1:7">
      <c r="A2013" s="1754">
        <v>41277</v>
      </c>
      <c r="B2013" s="125" t="str">
        <f>TiposLancamentos!B56</f>
        <v>Farmácia</v>
      </c>
      <c r="C2013" s="1040" t="s">
        <v>5998</v>
      </c>
      <c r="D2013" s="1736"/>
      <c r="E2013" s="1043">
        <v>20.69</v>
      </c>
      <c r="F2013" s="1043"/>
      <c r="G2013" s="1550"/>
    </row>
    <row r="2014" spans="1:7">
      <c r="A2014" s="1754">
        <v>41277</v>
      </c>
      <c r="B2014" s="125" t="str">
        <f>TiposLancamentos!B19</f>
        <v>Restaurantes</v>
      </c>
      <c r="C2014" s="1040" t="s">
        <v>5999</v>
      </c>
      <c r="D2014" s="1736"/>
      <c r="E2014" s="1043">
        <v>45.5</v>
      </c>
      <c r="F2014" s="1043"/>
      <c r="G2014" s="1550"/>
    </row>
    <row r="2015" spans="1:7">
      <c r="A2015" s="1754">
        <v>41278</v>
      </c>
      <c r="B2015" s="125" t="str">
        <f>TiposLancamentos!B22</f>
        <v>Combustivel</v>
      </c>
      <c r="C2015" s="1040" t="s">
        <v>6000</v>
      </c>
      <c r="D2015" s="1736"/>
      <c r="E2015" s="1043">
        <v>115.04</v>
      </c>
      <c r="F2015" s="1043"/>
      <c r="G2015" s="1550"/>
    </row>
    <row r="2016" spans="1:7">
      <c r="A2016" s="1754">
        <v>41278</v>
      </c>
      <c r="B2016" s="125" t="str">
        <f>TiposLancamentos!B87</f>
        <v>P207-1.6-XS</v>
      </c>
      <c r="C2016" s="1040" t="s">
        <v>6001</v>
      </c>
      <c r="D2016" s="1736"/>
      <c r="E2016" s="1043">
        <v>42.5</v>
      </c>
      <c r="F2016" s="1043"/>
      <c r="G2016" s="1550"/>
    </row>
    <row r="2017" spans="1:7">
      <c r="A2017" s="1754">
        <v>41278</v>
      </c>
      <c r="B2017" s="125" t="str">
        <f>TiposLancamentos!B19</f>
        <v>Restaurantes</v>
      </c>
      <c r="C2017" s="1040" t="s">
        <v>3960</v>
      </c>
      <c r="D2017" s="1736"/>
      <c r="E2017" s="1043">
        <v>65.510000000000005</v>
      </c>
      <c r="F2017" s="1043"/>
      <c r="G2017" s="1550"/>
    </row>
    <row r="2018" spans="1:7">
      <c r="A2018" s="1754">
        <v>41278</v>
      </c>
      <c r="B2018" s="125" t="str">
        <f>TiposLancamentos!B19</f>
        <v>Restaurantes</v>
      </c>
      <c r="C2018" s="1040" t="s">
        <v>6002</v>
      </c>
      <c r="D2018" s="1736"/>
      <c r="E2018" s="1043">
        <v>50.1</v>
      </c>
      <c r="F2018" s="1043"/>
      <c r="G2018" s="1550"/>
    </row>
    <row r="2019" spans="1:7">
      <c r="A2019" s="1754">
        <v>41279</v>
      </c>
      <c r="B2019" s="125" t="str">
        <f>TiposLancamentos!B16</f>
        <v>Cristiane</v>
      </c>
      <c r="C2019" s="1040" t="s">
        <v>6003</v>
      </c>
      <c r="D2019" s="1736"/>
      <c r="E2019" s="1043">
        <v>27</v>
      </c>
      <c r="F2019" s="1043"/>
      <c r="G2019" s="1550"/>
    </row>
    <row r="2020" spans="1:7">
      <c r="A2020" s="1754">
        <v>41279</v>
      </c>
      <c r="B2020" s="125" t="str">
        <f>TiposLancamentos!B19</f>
        <v>Restaurantes</v>
      </c>
      <c r="C2020" s="1040" t="s">
        <v>5951</v>
      </c>
      <c r="D2020" s="1736"/>
      <c r="E2020" s="1043">
        <v>61.95</v>
      </c>
      <c r="F2020" s="1043"/>
      <c r="G2020" s="1550"/>
    </row>
    <row r="2021" spans="1:7">
      <c r="A2021" s="1754">
        <v>41279</v>
      </c>
      <c r="B2021" s="125" t="str">
        <f>TiposLancamentos!B5</f>
        <v>Supermercado</v>
      </c>
      <c r="C2021" s="1040" t="s">
        <v>6004</v>
      </c>
      <c r="D2021" s="1736"/>
      <c r="E2021" s="1043">
        <v>91.83</v>
      </c>
      <c r="F2021" s="1043"/>
      <c r="G2021" s="1550"/>
    </row>
    <row r="2022" spans="1:7">
      <c r="A2022" s="1754">
        <v>41280</v>
      </c>
      <c r="B2022" s="125" t="str">
        <f>TiposLancamentos!B19</f>
        <v>Restaurantes</v>
      </c>
      <c r="C2022" s="1040" t="s">
        <v>6005</v>
      </c>
      <c r="D2022" s="1736"/>
      <c r="E2022" s="1043">
        <v>135.19</v>
      </c>
      <c r="F2022" s="1043"/>
      <c r="G2022" s="1550"/>
    </row>
    <row r="2023" spans="1:7">
      <c r="A2023" s="1754">
        <v>41280</v>
      </c>
      <c r="B2023" s="125" t="str">
        <f>TiposLancamentos!B5</f>
        <v>Supermercado</v>
      </c>
      <c r="C2023" s="1040" t="s">
        <v>3902</v>
      </c>
      <c r="D2023" s="1736"/>
      <c r="E2023" s="1043">
        <v>19.37</v>
      </c>
      <c r="F2023" s="1043"/>
      <c r="G2023" s="1550"/>
    </row>
    <row r="2024" spans="1:7">
      <c r="A2024" s="1754">
        <v>41281</v>
      </c>
      <c r="B2024" s="125" t="str">
        <f>TiposLancamentos!B81</f>
        <v>Ferramentas gerais</v>
      </c>
      <c r="C2024" s="1040" t="s">
        <v>6006</v>
      </c>
      <c r="D2024" s="1736"/>
      <c r="E2024" s="1043">
        <v>83.7</v>
      </c>
      <c r="F2024" s="1043"/>
      <c r="G2024" s="1550"/>
    </row>
    <row r="2025" spans="1:7">
      <c r="A2025" s="1754">
        <v>41281</v>
      </c>
      <c r="B2025" s="125" t="str">
        <f>TiposLancamentos!B16</f>
        <v>Cristiane</v>
      </c>
      <c r="C2025" s="1040" t="s">
        <v>6007</v>
      </c>
      <c r="D2025" s="1736"/>
      <c r="E2025" s="1043">
        <v>179.1</v>
      </c>
      <c r="F2025" s="1043"/>
      <c r="G2025" s="1550"/>
    </row>
    <row r="2026" spans="1:7">
      <c r="A2026" s="1754">
        <v>41282</v>
      </c>
      <c r="B2026" s="125" t="str">
        <f>TiposLancamentos!B19</f>
        <v>Restaurantes</v>
      </c>
      <c r="C2026" s="1040" t="s">
        <v>6008</v>
      </c>
      <c r="D2026" s="1736"/>
      <c r="E2026" s="1043">
        <v>38.5</v>
      </c>
      <c r="F2026" s="1043"/>
      <c r="G2026" s="1550"/>
    </row>
    <row r="2027" spans="1:7">
      <c r="A2027" s="1754">
        <v>41284</v>
      </c>
      <c r="B2027" s="125" t="str">
        <f>TiposLancamentos!B4</f>
        <v>Taxas Bancarias</v>
      </c>
      <c r="C2027" s="1040" t="s">
        <v>5754</v>
      </c>
      <c r="D2027" s="1736"/>
      <c r="E2027" s="1043">
        <v>38.69</v>
      </c>
      <c r="F2027" s="1043"/>
      <c r="G2027" s="1550"/>
    </row>
    <row r="2028" spans="1:7">
      <c r="A2028" s="1754">
        <v>41285</v>
      </c>
      <c r="B2028" s="125" t="str">
        <f>TiposLancamentos!B56</f>
        <v>Farmácia</v>
      </c>
      <c r="C2028" s="1040" t="s">
        <v>6009</v>
      </c>
      <c r="D2028" s="1736"/>
      <c r="E2028" s="1043">
        <v>41.21</v>
      </c>
      <c r="F2028" s="1043"/>
      <c r="G2028" s="1550"/>
    </row>
    <row r="2029" spans="1:7">
      <c r="A2029" s="1754">
        <v>41285</v>
      </c>
      <c r="B2029" s="125" t="str">
        <f>TiposLancamentos!B19</f>
        <v>Restaurantes</v>
      </c>
      <c r="C2029" s="1040" t="s">
        <v>6010</v>
      </c>
      <c r="D2029" s="1736"/>
      <c r="E2029" s="1043">
        <v>45</v>
      </c>
      <c r="F2029" s="1043"/>
      <c r="G2029" s="1550"/>
    </row>
    <row r="2030" spans="1:7">
      <c r="A2030" s="1754">
        <v>41288</v>
      </c>
      <c r="B2030" s="125" t="str">
        <f>TiposLancamentos!B59</f>
        <v>Documentos</v>
      </c>
      <c r="C2030" s="1040" t="s">
        <v>6011</v>
      </c>
      <c r="D2030" s="1736"/>
      <c r="E2030" s="1043">
        <v>20</v>
      </c>
      <c r="F2030" s="1043"/>
      <c r="G2030" s="1550"/>
    </row>
    <row r="2031" spans="1:7">
      <c r="A2031" s="1754">
        <v>41288</v>
      </c>
      <c r="B2031" s="125" t="str">
        <f>TiposLancamentos!B56</f>
        <v>Farmácia</v>
      </c>
      <c r="C2031" s="1040" t="s">
        <v>6012</v>
      </c>
      <c r="D2031" s="1736"/>
      <c r="E2031" s="1043">
        <v>45.79</v>
      </c>
      <c r="F2031" s="1043"/>
      <c r="G2031" s="1550"/>
    </row>
    <row r="2032" spans="1:7">
      <c r="A2032" s="1754">
        <v>41288</v>
      </c>
      <c r="B2032" s="125" t="str">
        <f>TiposLancamentos!B5</f>
        <v>Supermercado</v>
      </c>
      <c r="C2032" s="1040" t="s">
        <v>5957</v>
      </c>
      <c r="D2032" s="1736"/>
      <c r="E2032" s="1043">
        <v>106.87</v>
      </c>
      <c r="F2032" s="1043"/>
      <c r="G2032" s="1550"/>
    </row>
    <row r="2033" spans="1:7">
      <c r="A2033" s="1754">
        <v>41289</v>
      </c>
      <c r="B2033" s="125" t="str">
        <f>TiposLancamentos!B95</f>
        <v>Salarios</v>
      </c>
      <c r="C2033" s="1040" t="s">
        <v>4916</v>
      </c>
      <c r="D2033" s="1736">
        <v>2110.15</v>
      </c>
      <c r="E2033" s="1043"/>
      <c r="F2033" s="1043"/>
      <c r="G2033" s="1550"/>
    </row>
    <row r="2034" spans="1:7">
      <c r="A2034" s="1666">
        <v>41289</v>
      </c>
      <c r="B2034" s="817" t="str">
        <f>TiposLancamentos!B33</f>
        <v>Pedágios</v>
      </c>
      <c r="C2034" s="1742" t="s">
        <v>5392</v>
      </c>
      <c r="D2034" s="1735"/>
      <c r="E2034" s="1733">
        <v>12.4</v>
      </c>
      <c r="F2034" s="1043"/>
      <c r="G2034" s="1550"/>
    </row>
    <row r="2035" spans="1:7">
      <c r="A2035" s="1750">
        <v>41289</v>
      </c>
      <c r="B2035" s="818" t="str">
        <f>TiposLancamentos!B24</f>
        <v>Estacionamentos</v>
      </c>
      <c r="C2035" s="1743" t="s">
        <v>5863</v>
      </c>
      <c r="D2035" s="1737"/>
      <c r="E2035" s="1668">
        <v>59</v>
      </c>
      <c r="F2035" s="1043">
        <f>SUM(E2034:E2035)</f>
        <v>71.400000000000006</v>
      </c>
      <c r="G2035" s="1550"/>
    </row>
    <row r="2036" spans="1:7">
      <c r="A2036" s="1754">
        <v>41290</v>
      </c>
      <c r="B2036" s="125" t="str">
        <f>TiposLancamentos!B87</f>
        <v>P207-1.6-XS</v>
      </c>
      <c r="C2036" s="1040" t="s">
        <v>6013</v>
      </c>
      <c r="D2036" s="1736"/>
      <c r="E2036" s="1043">
        <v>1027.1500000000001</v>
      </c>
      <c r="F2036" s="1043"/>
      <c r="G2036" s="1550"/>
    </row>
    <row r="2037" spans="1:7">
      <c r="A2037" s="1754">
        <v>41290</v>
      </c>
      <c r="B2037" s="125" t="str">
        <f>TiposLancamentos!B87</f>
        <v>P207-1.6-XS</v>
      </c>
      <c r="C2037" s="1040" t="s">
        <v>6014</v>
      </c>
      <c r="D2037" s="1736"/>
      <c r="E2037" s="1043">
        <v>105.65</v>
      </c>
      <c r="F2037" s="1043"/>
      <c r="G2037" s="1550"/>
    </row>
    <row r="2038" spans="1:7">
      <c r="A2038" s="1754">
        <v>41290</v>
      </c>
      <c r="B2038" s="125" t="str">
        <f>TiposLancamentos!B87</f>
        <v>P207-1.6-XS</v>
      </c>
      <c r="C2038" s="1040" t="s">
        <v>6015</v>
      </c>
      <c r="D2038" s="1736"/>
      <c r="E2038" s="1043">
        <v>76.86</v>
      </c>
      <c r="F2038" s="1043"/>
      <c r="G2038" s="1550"/>
    </row>
    <row r="2039" spans="1:7">
      <c r="A2039" s="1754">
        <v>41290</v>
      </c>
      <c r="B2039" s="125" t="str">
        <f>TiposLancamentos!B98</f>
        <v>Restituições</v>
      </c>
      <c r="C2039" s="1040" t="s">
        <v>6016</v>
      </c>
      <c r="D2039" s="1736">
        <v>235.32</v>
      </c>
      <c r="E2039" s="1043"/>
      <c r="F2039" s="1043"/>
      <c r="G2039" s="1550"/>
    </row>
    <row r="2040" spans="1:7">
      <c r="A2040" s="1754">
        <v>41291</v>
      </c>
      <c r="B2040" s="125" t="str">
        <f>TiposLancamentos!B69</f>
        <v>Consertos</v>
      </c>
      <c r="C2040" s="1040" t="s">
        <v>6017</v>
      </c>
      <c r="D2040" s="1736"/>
      <c r="E2040" s="1043">
        <v>40</v>
      </c>
      <c r="F2040" s="1043"/>
      <c r="G2040" s="1550"/>
    </row>
    <row r="2041" spans="1:7">
      <c r="A2041" s="1754">
        <v>41291</v>
      </c>
      <c r="B2041" s="125" t="str">
        <f>TiposLancamentos!B57</f>
        <v>Informática</v>
      </c>
      <c r="C2041" s="1040" t="s">
        <v>6018</v>
      </c>
      <c r="D2041" s="1736"/>
      <c r="E2041" s="1043">
        <v>42.1</v>
      </c>
      <c r="F2041" s="1043"/>
      <c r="G2041" s="1550"/>
    </row>
    <row r="2042" spans="1:7">
      <c r="A2042" s="1754">
        <v>41291</v>
      </c>
      <c r="B2042" s="125" t="str">
        <f>TiposLancamentos!B62</f>
        <v>Papelaria</v>
      </c>
      <c r="C2042" s="1040" t="s">
        <v>6019</v>
      </c>
      <c r="D2042" s="1736"/>
      <c r="E2042" s="1043">
        <v>43.8</v>
      </c>
      <c r="F2042" s="1043"/>
      <c r="G2042" s="1550"/>
    </row>
    <row r="2043" spans="1:7">
      <c r="A2043" s="1754">
        <v>41291</v>
      </c>
      <c r="B2043" s="125" t="str">
        <f>TiposLancamentos!B16</f>
        <v>Cristiane</v>
      </c>
      <c r="C2043" s="1040" t="s">
        <v>6020</v>
      </c>
      <c r="D2043" s="1736"/>
      <c r="E2043" s="1043">
        <v>143.09</v>
      </c>
      <c r="F2043" s="1043"/>
      <c r="G2043" s="1550"/>
    </row>
    <row r="2044" spans="1:7">
      <c r="A2044" s="1754">
        <v>41292</v>
      </c>
      <c r="B2044" s="125" t="str">
        <f>TiposLancamentos!B17</f>
        <v>GATO</v>
      </c>
      <c r="C2044" s="1040" t="s">
        <v>1925</v>
      </c>
      <c r="D2044" s="1736"/>
      <c r="E2044" s="1043">
        <v>37.5</v>
      </c>
      <c r="F2044" s="1043"/>
      <c r="G2044" s="1550"/>
    </row>
    <row r="2045" spans="1:7">
      <c r="A2045" s="1754">
        <v>41292</v>
      </c>
      <c r="B2045" s="125" t="str">
        <f>TiposLancamentos!B56</f>
        <v>Farmácia</v>
      </c>
      <c r="C2045" s="1040" t="s">
        <v>6021</v>
      </c>
      <c r="D2045" s="1736"/>
      <c r="E2045" s="1043">
        <v>274.55</v>
      </c>
      <c r="F2045" s="1043"/>
      <c r="G2045" s="1550"/>
    </row>
    <row r="2046" spans="1:7">
      <c r="A2046" s="1754">
        <v>41293</v>
      </c>
      <c r="B2046" s="125" t="str">
        <f>TiposLancamentos!B19</f>
        <v>Restaurantes</v>
      </c>
      <c r="C2046" s="1040" t="s">
        <v>6022</v>
      </c>
      <c r="D2046" s="1736"/>
      <c r="E2046" s="1043">
        <v>16.41</v>
      </c>
      <c r="F2046" s="1043"/>
      <c r="G2046" s="1550"/>
    </row>
    <row r="2047" spans="1:7">
      <c r="A2047" s="1754">
        <v>41293</v>
      </c>
      <c r="B2047" s="125" t="str">
        <f>TiposLancamentos!B19</f>
        <v>Restaurantes</v>
      </c>
      <c r="C2047" s="1040" t="s">
        <v>6023</v>
      </c>
      <c r="D2047" s="1736"/>
      <c r="E2047" s="1043">
        <v>36.61</v>
      </c>
      <c r="F2047" s="1043"/>
      <c r="G2047" s="1550"/>
    </row>
    <row r="2048" spans="1:7">
      <c r="A2048" s="1754">
        <v>41293</v>
      </c>
      <c r="B2048" s="125" t="str">
        <f>TiposLancamentos!B19</f>
        <v>Restaurantes</v>
      </c>
      <c r="C2048" s="1040" t="s">
        <v>6024</v>
      </c>
      <c r="D2048" s="1736"/>
      <c r="E2048" s="1043">
        <v>114.5</v>
      </c>
      <c r="F2048" s="1043"/>
      <c r="G2048" s="1550"/>
    </row>
    <row r="2049" spans="1:7">
      <c r="A2049" s="1754">
        <v>41294</v>
      </c>
      <c r="B2049" s="125" t="str">
        <f>TiposLancamentos!B19</f>
        <v>Restaurantes</v>
      </c>
      <c r="C2049" s="1040" t="s">
        <v>6025</v>
      </c>
      <c r="D2049" s="1736"/>
      <c r="E2049" s="1043">
        <v>152.13</v>
      </c>
      <c r="F2049" s="1043"/>
      <c r="G2049" s="1550"/>
    </row>
    <row r="2050" spans="1:7">
      <c r="A2050" s="1754">
        <v>41296</v>
      </c>
      <c r="B2050" s="125" t="str">
        <f>TiposLancamentos!B19</f>
        <v>Restaurantes</v>
      </c>
      <c r="C2050" s="1040" t="s">
        <v>5914</v>
      </c>
      <c r="D2050" s="1736"/>
      <c r="E2050" s="1043">
        <v>22.2</v>
      </c>
      <c r="F2050" s="1043"/>
      <c r="G2050" s="1550"/>
    </row>
    <row r="2051" spans="1:7">
      <c r="A2051" s="1754">
        <v>41297</v>
      </c>
      <c r="B2051" s="125" t="str">
        <f>TiposLancamentos!B18</f>
        <v>Alimentacao</v>
      </c>
      <c r="C2051" s="1040" t="s">
        <v>4330</v>
      </c>
      <c r="D2051" s="1736"/>
      <c r="E2051" s="1043">
        <v>7.2</v>
      </c>
      <c r="F2051" s="1043"/>
      <c r="G2051" s="1550"/>
    </row>
    <row r="2052" spans="1:7">
      <c r="A2052" s="1754">
        <v>41297</v>
      </c>
      <c r="B2052" s="125" t="str">
        <f>TiposLancamentos!B20</f>
        <v>Saques</v>
      </c>
      <c r="C2052" s="1040" t="s">
        <v>2668</v>
      </c>
      <c r="D2052" s="1736"/>
      <c r="E2052" s="1043">
        <v>150</v>
      </c>
      <c r="F2052" s="1043"/>
      <c r="G2052" s="1550"/>
    </row>
    <row r="2053" spans="1:7">
      <c r="A2053" s="1754">
        <v>41299</v>
      </c>
      <c r="B2053" s="125" t="str">
        <f>TiposLancamentos!B18</f>
        <v>Alimentacao</v>
      </c>
      <c r="C2053" s="1040" t="s">
        <v>2701</v>
      </c>
      <c r="D2053" s="1736"/>
      <c r="E2053" s="1043">
        <v>7.2</v>
      </c>
      <c r="F2053" s="1043"/>
      <c r="G2053" s="1550"/>
    </row>
    <row r="2054" spans="1:7">
      <c r="A2054" s="1754">
        <v>41300</v>
      </c>
      <c r="B2054" s="125" t="str">
        <f>TiposLancamentos!B56</f>
        <v>Farmácia</v>
      </c>
      <c r="C2054" s="1040" t="s">
        <v>6026</v>
      </c>
      <c r="D2054" s="1736"/>
      <c r="E2054" s="1043">
        <v>7.45</v>
      </c>
      <c r="F2054" s="1043"/>
      <c r="G2054" s="1550"/>
    </row>
    <row r="2055" spans="1:7">
      <c r="A2055" s="1754">
        <v>41301</v>
      </c>
      <c r="B2055" s="125" t="str">
        <f>TiposLancamentos!B19</f>
        <v>Restaurantes</v>
      </c>
      <c r="C2055" s="1040" t="s">
        <v>5613</v>
      </c>
      <c r="D2055" s="1736"/>
      <c r="E2055" s="1043">
        <v>14.23</v>
      </c>
      <c r="F2055" s="1043"/>
      <c r="G2055" s="1550"/>
    </row>
    <row r="2056" spans="1:7">
      <c r="A2056" s="1754">
        <v>41302</v>
      </c>
      <c r="B2056" s="125" t="str">
        <f>TiposLancamentos!B19</f>
        <v>Restaurantes</v>
      </c>
      <c r="C2056" s="1040" t="s">
        <v>6027</v>
      </c>
      <c r="D2056" s="1736"/>
      <c r="E2056" s="1043">
        <v>5.4</v>
      </c>
      <c r="F2056" s="1043"/>
      <c r="G2056" s="1550"/>
    </row>
    <row r="2057" spans="1:7">
      <c r="A2057" s="1754">
        <v>41302</v>
      </c>
      <c r="B2057" s="125" t="str">
        <f>TiposLancamentos!B19</f>
        <v>Restaurantes</v>
      </c>
      <c r="C2057" s="1040" t="s">
        <v>3858</v>
      </c>
      <c r="D2057" s="1736"/>
      <c r="E2057" s="1043">
        <v>7.2</v>
      </c>
      <c r="F2057" s="1043"/>
      <c r="G2057" s="1550"/>
    </row>
    <row r="2058" spans="1:7">
      <c r="A2058" s="1754">
        <v>41303</v>
      </c>
      <c r="B2058" s="125" t="str">
        <f>TiposLancamentos!B19</f>
        <v>Restaurantes</v>
      </c>
      <c r="C2058" s="1040" t="s">
        <v>6028</v>
      </c>
      <c r="D2058" s="1736"/>
      <c r="E2058" s="1043">
        <v>5.4</v>
      </c>
      <c r="F2058" s="1043"/>
      <c r="G2058" s="1550"/>
    </row>
    <row r="2059" spans="1:7">
      <c r="A2059" s="1754">
        <v>41303</v>
      </c>
      <c r="B2059" s="125" t="str">
        <f>TiposLancamentos!B19</f>
        <v>Restaurantes</v>
      </c>
      <c r="C2059" s="1040" t="s">
        <v>6028</v>
      </c>
      <c r="D2059" s="1736"/>
      <c r="E2059" s="1043">
        <v>5.4</v>
      </c>
      <c r="F2059" s="1043"/>
      <c r="G2059" s="1550"/>
    </row>
    <row r="2060" spans="1:7" ht="14.25" thickBot="1">
      <c r="A2060" s="1754">
        <v>41305</v>
      </c>
      <c r="B2060" s="125" t="str">
        <f>TiposLancamentos!B95</f>
        <v>Salarios</v>
      </c>
      <c r="C2060" s="1040" t="s">
        <v>5917</v>
      </c>
      <c r="D2060" s="1736">
        <v>7529.46</v>
      </c>
      <c r="E2060" s="1043"/>
      <c r="F2060" s="1043"/>
      <c r="G2060" s="1550"/>
    </row>
    <row r="2061" spans="1:7">
      <c r="A2061" s="1834"/>
      <c r="B2061" s="977"/>
      <c r="C2061" s="1854" t="s">
        <v>6029</v>
      </c>
      <c r="D2061" s="1823"/>
      <c r="E2061" s="1821"/>
      <c r="F2061" s="1821"/>
      <c r="G2061" s="1895"/>
    </row>
    <row r="2062" spans="1:7">
      <c r="A2062" s="1754">
        <v>41306</v>
      </c>
      <c r="B2062" s="125" t="str">
        <f>TiposLancamentos!B6</f>
        <v>Energia Eletrica</v>
      </c>
      <c r="C2062" s="1040" t="s">
        <v>5744</v>
      </c>
      <c r="D2062" s="1736"/>
      <c r="E2062" s="1043">
        <v>157.41</v>
      </c>
      <c r="F2062" s="1043"/>
      <c r="G2062" s="1550"/>
    </row>
    <row r="2063" spans="1:7">
      <c r="A2063" s="1754">
        <v>41306</v>
      </c>
      <c r="B2063" s="125" t="str">
        <f>TiposLancamentos!B15</f>
        <v>Cartões de Crédito</v>
      </c>
      <c r="C2063" s="1040" t="s">
        <v>5832</v>
      </c>
      <c r="D2063" s="1736"/>
      <c r="E2063" s="1043">
        <v>2770.29</v>
      </c>
      <c r="F2063" s="1043"/>
      <c r="G2063" s="1550"/>
    </row>
    <row r="2064" spans="1:7">
      <c r="A2064" s="1754">
        <v>41306</v>
      </c>
      <c r="B2064" s="125" t="str">
        <f>TiposLancamentos!B15</f>
        <v>Cartões de Crédito</v>
      </c>
      <c r="C2064" s="1040" t="s">
        <v>5879</v>
      </c>
      <c r="D2064" s="1736"/>
      <c r="E2064" s="1043">
        <v>707.7</v>
      </c>
      <c r="F2064" s="1043"/>
      <c r="G2064" s="1550"/>
    </row>
    <row r="2065" spans="1:7">
      <c r="A2065" s="1754">
        <v>41306</v>
      </c>
      <c r="B2065" s="125" t="str">
        <f>TiposLancamentos!B3</f>
        <v>Internet</v>
      </c>
      <c r="C2065" s="1040" t="s">
        <v>5838</v>
      </c>
      <c r="D2065" s="1736"/>
      <c r="E2065" s="1043">
        <v>61.9</v>
      </c>
      <c r="F2065" s="1043"/>
      <c r="G2065" s="1550"/>
    </row>
    <row r="2066" spans="1:7">
      <c r="A2066" s="1754">
        <v>41306</v>
      </c>
      <c r="B2066" s="125" t="str">
        <f>TiposLancamentos!B9</f>
        <v>Condominio</v>
      </c>
      <c r="C2066" s="1040" t="s">
        <v>1684</v>
      </c>
      <c r="D2066" s="1736"/>
      <c r="E2066" s="1043">
        <v>762.43</v>
      </c>
      <c r="F2066" s="1043"/>
      <c r="G2066" s="1550"/>
    </row>
    <row r="2067" spans="1:7">
      <c r="A2067" s="1754">
        <v>41306</v>
      </c>
      <c r="B2067" s="125" t="str">
        <f>TiposLancamentos!B16</f>
        <v>Cristiane</v>
      </c>
      <c r="C2067" s="1040" t="s">
        <v>5837</v>
      </c>
      <c r="D2067" s="1736"/>
      <c r="E2067" s="1043">
        <v>103.72</v>
      </c>
      <c r="F2067" s="1043"/>
      <c r="G2067" s="1550"/>
    </row>
    <row r="2068" spans="1:7">
      <c r="A2068" s="1754">
        <v>41306</v>
      </c>
      <c r="B2068" s="125" t="str">
        <f>TiposLancamentos!B34</f>
        <v>Seguros</v>
      </c>
      <c r="C2068" s="1040" t="s">
        <v>5809</v>
      </c>
      <c r="D2068" s="1736"/>
      <c r="E2068" s="1043">
        <v>69</v>
      </c>
      <c r="F2068" s="1043"/>
      <c r="G2068" s="1550"/>
    </row>
    <row r="2069" spans="1:7">
      <c r="A2069" s="1666">
        <v>41306</v>
      </c>
      <c r="B2069" s="817" t="str">
        <f>TiposLancamentos!B35</f>
        <v>Tv à Cabo</v>
      </c>
      <c r="C2069" s="1742" t="s">
        <v>5834</v>
      </c>
      <c r="D2069" s="1735"/>
      <c r="E2069" s="1733">
        <v>209.9</v>
      </c>
      <c r="F2069" s="1043"/>
      <c r="G2069" s="1550"/>
    </row>
    <row r="2070" spans="1:7">
      <c r="A2070" s="1667">
        <v>41306</v>
      </c>
      <c r="B2070" s="816" t="str">
        <f>TiposLancamentos!B3</f>
        <v>Internet</v>
      </c>
      <c r="C2070" s="1769" t="s">
        <v>5835</v>
      </c>
      <c r="D2070" s="1736"/>
      <c r="E2070" s="1734">
        <v>59.9</v>
      </c>
      <c r="F2070" s="1043"/>
      <c r="G2070" s="1550"/>
    </row>
    <row r="2071" spans="1:7">
      <c r="A2071" s="1750">
        <v>41306</v>
      </c>
      <c r="B2071" s="818" t="str">
        <f>TiposLancamentos!B2</f>
        <v>Telefonia</v>
      </c>
      <c r="C2071" s="1743" t="s">
        <v>5836</v>
      </c>
      <c r="D2071" s="1737"/>
      <c r="E2071" s="1668">
        <v>0.4</v>
      </c>
      <c r="F2071" s="1043">
        <f>SUM(E2069:E2071)</f>
        <v>270.2</v>
      </c>
      <c r="G2071" s="1550"/>
    </row>
    <row r="2072" spans="1:7">
      <c r="A2072" s="1666">
        <v>41306</v>
      </c>
      <c r="B2072" s="817" t="str">
        <f>TiposLancamentos!B8</f>
        <v>Aluguel</v>
      </c>
      <c r="C2072" s="1742" t="s">
        <v>5993</v>
      </c>
      <c r="D2072" s="1735"/>
      <c r="E2072" s="1733">
        <f>F2074-E2073-E2074</f>
        <v>1238.24</v>
      </c>
      <c r="F2072" s="1043"/>
      <c r="G2072" s="1550"/>
    </row>
    <row r="2073" spans="1:7">
      <c r="A2073" s="1667">
        <v>41306</v>
      </c>
      <c r="B2073" s="816" t="str">
        <f>TiposLancamentos!B12</f>
        <v>IPTU</v>
      </c>
      <c r="C2073" s="1769" t="s">
        <v>6030</v>
      </c>
      <c r="D2073" s="1736"/>
      <c r="E2073" s="1734">
        <v>104.78</v>
      </c>
      <c r="F2073" s="1043"/>
      <c r="G2073" s="1550"/>
    </row>
    <row r="2074" spans="1:7">
      <c r="A2074" s="1750">
        <v>41306</v>
      </c>
      <c r="B2074" s="818" t="str">
        <f>TiposLancamentos!B34</f>
        <v>Seguros</v>
      </c>
      <c r="C2074" s="1743" t="s">
        <v>6031</v>
      </c>
      <c r="D2074" s="1737"/>
      <c r="E2074" s="1668">
        <v>209.77</v>
      </c>
      <c r="F2074" s="1043">
        <v>1552.79</v>
      </c>
      <c r="G2074" s="1550"/>
    </row>
    <row r="2075" spans="1:7">
      <c r="A2075" s="1754">
        <v>41306</v>
      </c>
      <c r="B2075" s="125" t="str">
        <f>TiposLancamentos!B5</f>
        <v>Supermercado</v>
      </c>
      <c r="C2075" s="1040" t="s">
        <v>5844</v>
      </c>
      <c r="D2075" s="1736"/>
      <c r="E2075" s="1043">
        <v>12.77</v>
      </c>
      <c r="F2075" s="1043"/>
      <c r="G2075" s="1550"/>
    </row>
    <row r="2076" spans="1:7">
      <c r="A2076" s="1754">
        <v>41307</v>
      </c>
      <c r="B2076" s="125" t="str">
        <f>TiposLancamentos!B19</f>
        <v>Restaurantes</v>
      </c>
      <c r="C2076" s="1040" t="s">
        <v>6032</v>
      </c>
      <c r="D2076" s="1736"/>
      <c r="E2076" s="1043">
        <v>116.16</v>
      </c>
      <c r="F2076" s="1043"/>
      <c r="G2076" s="1550"/>
    </row>
    <row r="2077" spans="1:7">
      <c r="A2077" s="1754">
        <v>41306</v>
      </c>
      <c r="B2077" s="125" t="str">
        <f>TiposLancamentos!B4</f>
        <v>Taxas Bancarias</v>
      </c>
      <c r="C2077" s="1040" t="s">
        <v>5996</v>
      </c>
      <c r="D2077" s="1736"/>
      <c r="E2077" s="1043">
        <v>0.33</v>
      </c>
      <c r="F2077" s="1043"/>
      <c r="G2077" s="1550"/>
    </row>
    <row r="2078" spans="1:7">
      <c r="A2078" s="1754">
        <v>41307</v>
      </c>
      <c r="B2078" s="125" t="str">
        <f>TiposLancamentos!B16</f>
        <v>Cristiane</v>
      </c>
      <c r="C2078" s="1040" t="s">
        <v>6033</v>
      </c>
      <c r="D2078" s="1736"/>
      <c r="E2078" s="1043">
        <v>79</v>
      </c>
      <c r="F2078" s="1043"/>
      <c r="G2078" s="1550"/>
    </row>
    <row r="2079" spans="1:7">
      <c r="A2079" s="1754">
        <v>41307</v>
      </c>
      <c r="B2079" s="125" t="str">
        <f>TiposLancamentos!B5</f>
        <v>Supermercado</v>
      </c>
      <c r="C2079" s="1040" t="s">
        <v>5840</v>
      </c>
      <c r="D2079" s="1736"/>
      <c r="E2079" s="1043">
        <v>14.8</v>
      </c>
      <c r="F2079" s="1043"/>
      <c r="G2079" s="1550"/>
    </row>
    <row r="2080" spans="1:7">
      <c r="A2080" s="1754">
        <v>41307</v>
      </c>
      <c r="B2080" s="125" t="str">
        <f>TiposLancamentos!B19</f>
        <v>Restaurantes</v>
      </c>
      <c r="C2080" s="1040" t="s">
        <v>6034</v>
      </c>
      <c r="D2080" s="1736"/>
      <c r="E2080" s="1043">
        <v>50.8</v>
      </c>
      <c r="F2080" s="1043"/>
      <c r="G2080" s="1550"/>
    </row>
    <row r="2081" spans="1:7">
      <c r="A2081" s="1754">
        <v>41313</v>
      </c>
      <c r="B2081" s="125" t="str">
        <f>TiposLancamentos!B19</f>
        <v>Restaurantes</v>
      </c>
      <c r="C2081" s="1040" t="s">
        <v>6035</v>
      </c>
      <c r="D2081" s="1736"/>
      <c r="E2081" s="1043">
        <v>44</v>
      </c>
      <c r="F2081" s="1043"/>
      <c r="G2081" s="1550"/>
    </row>
    <row r="2082" spans="1:7">
      <c r="A2082" s="1754">
        <v>41313</v>
      </c>
      <c r="B2082" s="125" t="str">
        <f>TiposLancamentos!B95</f>
        <v>Salarios</v>
      </c>
      <c r="C2082" s="1040" t="s">
        <v>6036</v>
      </c>
      <c r="D2082" s="1736">
        <v>3140.5</v>
      </c>
      <c r="E2082" s="1043"/>
      <c r="F2082" s="1043"/>
      <c r="G2082" s="1550"/>
    </row>
    <row r="2083" spans="1:7">
      <c r="A2083" s="1754">
        <v>41314</v>
      </c>
      <c r="B2083" s="125" t="str">
        <f>TiposLancamentos!B5</f>
        <v>Supermercado</v>
      </c>
      <c r="C2083" s="1040" t="s">
        <v>6037</v>
      </c>
      <c r="D2083" s="1736"/>
      <c r="E2083" s="1043">
        <v>29.18</v>
      </c>
      <c r="F2083" s="1043"/>
      <c r="G2083" s="1550"/>
    </row>
    <row r="2084" spans="1:7">
      <c r="A2084" s="1754">
        <v>41314</v>
      </c>
      <c r="B2084" s="125" t="str">
        <f>TiposLancamentos!B5</f>
        <v>Supermercado</v>
      </c>
      <c r="C2084" s="1040" t="s">
        <v>6038</v>
      </c>
      <c r="D2084" s="1736"/>
      <c r="E2084" s="1043">
        <v>47.54</v>
      </c>
      <c r="F2084" s="1043"/>
      <c r="G2084" s="1550"/>
    </row>
    <row r="2085" spans="1:7">
      <c r="A2085" s="1754">
        <v>41316</v>
      </c>
      <c r="B2085" s="125" t="str">
        <f>TiposLancamentos!B5</f>
        <v>Supermercado</v>
      </c>
      <c r="C2085" s="1040" t="s">
        <v>3902</v>
      </c>
      <c r="D2085" s="1736"/>
      <c r="E2085" s="1043">
        <v>25.71</v>
      </c>
      <c r="F2085" s="1043"/>
      <c r="G2085" s="1550"/>
    </row>
    <row r="2086" spans="1:7">
      <c r="A2086" s="1754">
        <v>41317</v>
      </c>
      <c r="B2086" s="125" t="str">
        <f>TiposLancamentos!B105</f>
        <v>Transf. Bco</v>
      </c>
      <c r="C2086" s="1040" t="s">
        <v>6039</v>
      </c>
      <c r="D2086" s="1736"/>
      <c r="E2086" s="1043">
        <v>661.94</v>
      </c>
      <c r="F2086" s="1043"/>
      <c r="G2086" s="1550"/>
    </row>
    <row r="2087" spans="1:7">
      <c r="A2087" s="1754">
        <v>41317</v>
      </c>
      <c r="B2087" s="125" t="str">
        <f>TiposLancamentos!B56</f>
        <v>Farmácia</v>
      </c>
      <c r="C2087" s="1040" t="s">
        <v>6040</v>
      </c>
      <c r="D2087" s="1736"/>
      <c r="E2087" s="1043">
        <v>64.33</v>
      </c>
      <c r="F2087" s="1043"/>
      <c r="G2087" s="1550"/>
    </row>
    <row r="2088" spans="1:7">
      <c r="A2088" s="1754">
        <v>41318</v>
      </c>
      <c r="B2088" s="125" t="str">
        <f>TiposLancamentos!B4</f>
        <v>Taxas Bancarias</v>
      </c>
      <c r="C2088" s="1040" t="s">
        <v>5754</v>
      </c>
      <c r="D2088" s="1736"/>
      <c r="E2088" s="1043">
        <v>1.27</v>
      </c>
      <c r="F2088" s="1043"/>
      <c r="G2088" s="1550"/>
    </row>
    <row r="2089" spans="1:7">
      <c r="A2089" s="1754">
        <v>41318</v>
      </c>
      <c r="B2089" s="125" t="str">
        <f>TiposLancamentos!B22</f>
        <v>Combustivel</v>
      </c>
      <c r="C2089" s="1040" t="s">
        <v>5961</v>
      </c>
      <c r="D2089" s="1736"/>
      <c r="E2089" s="1043">
        <v>132.58000000000001</v>
      </c>
      <c r="F2089" s="1043"/>
      <c r="G2089" s="1550"/>
    </row>
    <row r="2090" spans="1:7">
      <c r="A2090" s="1754">
        <v>41319</v>
      </c>
      <c r="B2090" s="125" t="str">
        <f>TiposLancamentos!B5</f>
        <v>Supermercado</v>
      </c>
      <c r="C2090" s="1040" t="s">
        <v>5801</v>
      </c>
      <c r="D2090" s="1736"/>
      <c r="E2090" s="1043">
        <v>47.02</v>
      </c>
      <c r="F2090" s="1043"/>
      <c r="G2090" s="1550"/>
    </row>
    <row r="2091" spans="1:7">
      <c r="A2091" s="1754">
        <v>41320</v>
      </c>
      <c r="B2091" s="125" t="str">
        <f>TiposLancamentos!B95</f>
        <v>Salarios</v>
      </c>
      <c r="C2091" s="1040" t="s">
        <v>4916</v>
      </c>
      <c r="D2091" s="1736">
        <v>2198.35</v>
      </c>
      <c r="E2091" s="1043"/>
      <c r="F2091" s="1043"/>
      <c r="G2091" s="1550"/>
    </row>
    <row r="2092" spans="1:7">
      <c r="A2092" s="1754">
        <v>41320</v>
      </c>
      <c r="B2092" s="125" t="str">
        <f>TiposLancamentos!B16</f>
        <v>Cristiane</v>
      </c>
      <c r="C2092" s="1040" t="s">
        <v>6041</v>
      </c>
      <c r="D2092" s="1736"/>
      <c r="E2092" s="1043">
        <v>10.8</v>
      </c>
      <c r="F2092" s="1043"/>
      <c r="G2092" s="1550"/>
    </row>
    <row r="2093" spans="1:7">
      <c r="A2093" s="1754">
        <v>41320</v>
      </c>
      <c r="B2093" s="125" t="str">
        <f>TiposLancamentos!B21</f>
        <v>Transf. Poupanca</v>
      </c>
      <c r="C2093" s="1040" t="s">
        <v>6042</v>
      </c>
      <c r="D2093" s="1736"/>
      <c r="E2093" s="1043">
        <v>3000</v>
      </c>
      <c r="F2093" s="1043"/>
      <c r="G2093" s="1550"/>
    </row>
    <row r="2094" spans="1:7">
      <c r="A2094" s="1754">
        <v>41320</v>
      </c>
      <c r="B2094" s="125" t="str">
        <f>TiposLancamentos!B19</f>
        <v>Restaurantes</v>
      </c>
      <c r="C2094" s="1040" t="s">
        <v>6043</v>
      </c>
      <c r="D2094" s="1736"/>
      <c r="E2094" s="1043">
        <v>44</v>
      </c>
      <c r="F2094" s="1043"/>
      <c r="G2094" s="1550"/>
    </row>
    <row r="2095" spans="1:7">
      <c r="A2095" s="1754">
        <v>41320</v>
      </c>
      <c r="B2095" s="125" t="str">
        <f>TiposLancamentos!B24</f>
        <v>Estacionamentos</v>
      </c>
      <c r="C2095" s="1040" t="s">
        <v>6044</v>
      </c>
      <c r="D2095" s="1736"/>
      <c r="E2095" s="1043"/>
      <c r="F2095" s="1043"/>
      <c r="G2095" s="1550"/>
    </row>
    <row r="2096" spans="1:7">
      <c r="A2096" s="1666">
        <v>41320</v>
      </c>
      <c r="B2096" s="817" t="str">
        <f>TiposLancamentos!B33</f>
        <v>Pedágios</v>
      </c>
      <c r="C2096" s="1742" t="s">
        <v>5392</v>
      </c>
      <c r="D2096" s="1735"/>
      <c r="E2096" s="1733">
        <v>12.4</v>
      </c>
      <c r="F2096" s="1043"/>
      <c r="G2096" s="1550"/>
    </row>
    <row r="2097" spans="1:7">
      <c r="A2097" s="1750">
        <v>41320</v>
      </c>
      <c r="B2097" s="818" t="str">
        <f>TiposLancamentos!B24</f>
        <v>Estacionamentos</v>
      </c>
      <c r="C2097" s="1743" t="s">
        <v>5863</v>
      </c>
      <c r="D2097" s="1737"/>
      <c r="E2097" s="1668">
        <v>27</v>
      </c>
      <c r="F2097" s="1043">
        <f>SUM(E2096:E2097)</f>
        <v>39.4</v>
      </c>
      <c r="G2097" s="1550"/>
    </row>
    <row r="2098" spans="1:7">
      <c r="A2098" s="1754">
        <v>41321</v>
      </c>
      <c r="B2098" s="125" t="str">
        <f>TiposLancamentos!B71</f>
        <v>Itens Pessoais</v>
      </c>
      <c r="C2098" s="1040" t="s">
        <v>6045</v>
      </c>
      <c r="D2098" s="1736"/>
      <c r="E2098" s="1043">
        <v>449</v>
      </c>
      <c r="F2098" s="1043"/>
      <c r="G2098" s="1550"/>
    </row>
    <row r="2099" spans="1:7">
      <c r="A2099" s="1754">
        <v>41321</v>
      </c>
      <c r="B2099" s="125" t="str">
        <f>TiposLancamentos!B19</f>
        <v>Restaurantes</v>
      </c>
      <c r="C2099" s="1040" t="s">
        <v>6046</v>
      </c>
      <c r="D2099" s="1736"/>
      <c r="E2099" s="1043">
        <v>57.16</v>
      </c>
      <c r="F2099" s="1043"/>
      <c r="G2099" s="1550"/>
    </row>
    <row r="2100" spans="1:7">
      <c r="A2100" s="1754">
        <v>41321</v>
      </c>
      <c r="B2100" s="125" t="str">
        <f>TiposLancamentos!B16</f>
        <v>Cristiane</v>
      </c>
      <c r="C2100" s="1040" t="s">
        <v>5872</v>
      </c>
      <c r="D2100" s="1736"/>
      <c r="E2100" s="1043">
        <v>40.799999999999997</v>
      </c>
      <c r="F2100" s="1043"/>
      <c r="G2100" s="1550"/>
    </row>
    <row r="2101" spans="1:7">
      <c r="A2101" s="1754">
        <v>41322</v>
      </c>
      <c r="B2101" s="125" t="str">
        <f>TiposLancamentos!B19</f>
        <v>Restaurantes</v>
      </c>
      <c r="C2101" s="1040" t="s">
        <v>6047</v>
      </c>
      <c r="D2101" s="1736"/>
      <c r="E2101" s="1043">
        <v>67.650000000000006</v>
      </c>
      <c r="F2101" s="1043"/>
      <c r="G2101" s="1550"/>
    </row>
    <row r="2102" spans="1:7">
      <c r="A2102" s="1754">
        <v>41322</v>
      </c>
      <c r="B2102" s="125" t="str">
        <f>TiposLancamentos!B16</f>
        <v>Cristiane</v>
      </c>
      <c r="C2102" s="1040" t="s">
        <v>6048</v>
      </c>
      <c r="D2102" s="1736"/>
      <c r="E2102" s="1043">
        <v>214.9</v>
      </c>
      <c r="F2102" s="1043"/>
      <c r="G2102" s="1550"/>
    </row>
    <row r="2103" spans="1:7">
      <c r="A2103" s="1754">
        <v>41322</v>
      </c>
      <c r="B2103" s="125" t="str">
        <f>TiposLancamentos!B5</f>
        <v>Supermercado</v>
      </c>
      <c r="C2103" s="1040" t="s">
        <v>6049</v>
      </c>
      <c r="D2103" s="1736"/>
      <c r="E2103" s="1043">
        <v>29.31</v>
      </c>
      <c r="F2103" s="1043"/>
      <c r="G2103" s="1550"/>
    </row>
    <row r="2104" spans="1:7">
      <c r="A2104" s="1754">
        <v>41323</v>
      </c>
      <c r="B2104" s="125" t="str">
        <f>TiposLancamentos!B16</f>
        <v>Cristiane</v>
      </c>
      <c r="C2104" s="1040" t="s">
        <v>6050</v>
      </c>
      <c r="D2104" s="1736"/>
      <c r="E2104" s="1043">
        <v>52.91</v>
      </c>
      <c r="F2104" s="1043"/>
      <c r="G2104" s="1550"/>
    </row>
    <row r="2105" spans="1:7">
      <c r="A2105" s="1754">
        <v>41324</v>
      </c>
      <c r="B2105" s="125" t="str">
        <f>TiposLancamentos!B19</f>
        <v>Restaurantes</v>
      </c>
      <c r="C2105" s="1040" t="s">
        <v>6051</v>
      </c>
      <c r="D2105" s="1736"/>
      <c r="E2105" s="1043">
        <v>22.4</v>
      </c>
      <c r="F2105" s="1043"/>
      <c r="G2105" s="1550"/>
    </row>
    <row r="2106" spans="1:7">
      <c r="A2106" s="1754">
        <v>41324</v>
      </c>
      <c r="B2106" s="125" t="str">
        <f>TiposLancamentos!B16</f>
        <v>Cristiane</v>
      </c>
      <c r="C2106" s="1040" t="s">
        <v>6052</v>
      </c>
      <c r="D2106" s="1736"/>
      <c r="E2106" s="1043">
        <v>110.16</v>
      </c>
      <c r="F2106" s="1043"/>
      <c r="G2106" s="1550"/>
    </row>
    <row r="2107" spans="1:7">
      <c r="A2107" s="1754">
        <v>41324</v>
      </c>
      <c r="B2107" s="125" t="str">
        <f>TiposLancamentos!B19</f>
        <v>Restaurantes</v>
      </c>
      <c r="C2107" s="1040" t="s">
        <v>6053</v>
      </c>
      <c r="D2107" s="1736"/>
      <c r="E2107" s="1043">
        <v>67.489999999999995</v>
      </c>
      <c r="F2107" s="1043"/>
      <c r="G2107" s="1550"/>
    </row>
    <row r="2108" spans="1:7">
      <c r="A2108" s="1754">
        <v>41324</v>
      </c>
      <c r="B2108" s="125" t="str">
        <f>TiposLancamentos!B69</f>
        <v>Consertos</v>
      </c>
      <c r="C2108" s="1040" t="s">
        <v>6054</v>
      </c>
      <c r="D2108" s="1736"/>
      <c r="E2108" s="1043">
        <v>212</v>
      </c>
      <c r="F2108" s="1043"/>
      <c r="G2108" s="1550"/>
    </row>
    <row r="2109" spans="1:7">
      <c r="A2109" s="1754">
        <v>41325</v>
      </c>
      <c r="B2109" s="125" t="str">
        <f>TiposLancamentos!B19</f>
        <v>Restaurantes</v>
      </c>
      <c r="C2109" s="1040" t="s">
        <v>6055</v>
      </c>
      <c r="D2109" s="1736"/>
      <c r="E2109" s="1043">
        <v>52.21</v>
      </c>
      <c r="F2109" s="1043"/>
      <c r="G2109" s="1550"/>
    </row>
    <row r="2110" spans="1:7">
      <c r="A2110" s="1754">
        <v>41325</v>
      </c>
      <c r="B2110" s="125" t="str">
        <f>TiposLancamentos!B19</f>
        <v>Restaurantes</v>
      </c>
      <c r="C2110" s="1040" t="s">
        <v>6056</v>
      </c>
      <c r="D2110" s="1736"/>
      <c r="E2110" s="1043">
        <v>8.6</v>
      </c>
      <c r="F2110" s="1043"/>
      <c r="G2110" s="1550"/>
    </row>
    <row r="2111" spans="1:7">
      <c r="A2111" s="1754">
        <v>41325</v>
      </c>
      <c r="B2111" s="125" t="str">
        <f>TiposLancamentos!B16</f>
        <v>Cristiane</v>
      </c>
      <c r="C2111" s="1040" t="s">
        <v>6057</v>
      </c>
      <c r="D2111" s="1736"/>
      <c r="E2111" s="1043">
        <v>40.090000000000003</v>
      </c>
      <c r="F2111" s="1043"/>
      <c r="G2111" s="1550"/>
    </row>
    <row r="2112" spans="1:7">
      <c r="A2112" s="1754">
        <v>41326</v>
      </c>
      <c r="B2112" s="125" t="str">
        <f>TiposLancamentos!B20</f>
        <v>Saques</v>
      </c>
      <c r="C2112" s="1040" t="s">
        <v>3604</v>
      </c>
      <c r="D2112" s="1736"/>
      <c r="E2112" s="1043">
        <v>150</v>
      </c>
      <c r="F2112" s="1043"/>
      <c r="G2112" s="1550"/>
    </row>
    <row r="2113" spans="1:7">
      <c r="A2113" s="1754">
        <v>41326</v>
      </c>
      <c r="B2113" s="125" t="str">
        <f>TiposLancamentos!B19</f>
        <v>Restaurantes</v>
      </c>
      <c r="C2113" s="1040" t="s">
        <v>6058</v>
      </c>
      <c r="D2113" s="1736"/>
      <c r="E2113" s="1043">
        <v>21.9</v>
      </c>
      <c r="F2113" s="1043"/>
      <c r="G2113" s="1550"/>
    </row>
    <row r="2114" spans="1:7">
      <c r="A2114" s="1754">
        <v>41326</v>
      </c>
      <c r="B2114" s="125" t="str">
        <f>TiposLancamentos!B17</f>
        <v>GATO</v>
      </c>
      <c r="C2114" s="1040" t="s">
        <v>6059</v>
      </c>
      <c r="D2114" s="1736"/>
      <c r="E2114" s="1043">
        <v>135.9</v>
      </c>
      <c r="F2114" s="1043"/>
      <c r="G2114" s="1550"/>
    </row>
    <row r="2115" spans="1:7">
      <c r="A2115" s="1754">
        <v>41327</v>
      </c>
      <c r="B2115" s="125" t="str">
        <f>TiposLancamentos!B19</f>
        <v>Restaurantes</v>
      </c>
      <c r="C2115" s="1040" t="s">
        <v>6060</v>
      </c>
      <c r="D2115" s="1736"/>
      <c r="E2115" s="1043">
        <v>8.5500000000000007</v>
      </c>
      <c r="F2115" s="1043"/>
      <c r="G2115" s="1550"/>
    </row>
    <row r="2116" spans="1:7">
      <c r="A2116" s="1754">
        <v>41324</v>
      </c>
      <c r="B2116" s="125" t="str">
        <f>TiposLancamentos!B87</f>
        <v>P207-1.6-XS</v>
      </c>
      <c r="C2116" s="1040" t="s">
        <v>6061</v>
      </c>
      <c r="D2116" s="1736"/>
      <c r="E2116" s="1043">
        <v>150</v>
      </c>
      <c r="F2116" s="1043"/>
      <c r="G2116" s="1550"/>
    </row>
    <row r="2117" spans="1:7">
      <c r="A2117" s="1754">
        <v>41327</v>
      </c>
      <c r="B2117" s="125" t="str">
        <f>TiposLancamentos!B20</f>
        <v>Saques</v>
      </c>
      <c r="C2117" s="1040" t="s">
        <v>2655</v>
      </c>
      <c r="D2117" s="1736"/>
      <c r="E2117" s="1043">
        <v>20</v>
      </c>
      <c r="F2117" s="1043"/>
      <c r="G2117" s="1550"/>
    </row>
    <row r="2118" spans="1:7">
      <c r="A2118" s="1754">
        <v>41327</v>
      </c>
      <c r="B2118" s="125" t="str">
        <f>TiposLancamentos!B19</f>
        <v>Restaurantes</v>
      </c>
      <c r="C2118" s="1040" t="s">
        <v>5914</v>
      </c>
      <c r="D2118" s="1736"/>
      <c r="E2118" s="1043">
        <v>18.8</v>
      </c>
      <c r="F2118" s="1043"/>
      <c r="G2118" s="1550"/>
    </row>
    <row r="2119" spans="1:7">
      <c r="A2119" s="1754">
        <v>41328</v>
      </c>
      <c r="B2119" s="125" t="str">
        <f>TiposLancamentos!B16</f>
        <v>Cristiane</v>
      </c>
      <c r="C2119" s="1040" t="s">
        <v>6062</v>
      </c>
      <c r="D2119" s="1736"/>
      <c r="E2119" s="1043">
        <v>21.57</v>
      </c>
      <c r="F2119" s="1043"/>
      <c r="G2119" s="1550"/>
    </row>
    <row r="2120" spans="1:7">
      <c r="A2120" s="1754">
        <v>41330</v>
      </c>
      <c r="B2120" s="125" t="str">
        <f>TiposLancamentos!B19</f>
        <v>Restaurantes</v>
      </c>
      <c r="C2120" s="1040" t="s">
        <v>6063</v>
      </c>
      <c r="D2120" s="1736"/>
      <c r="E2120" s="1043">
        <v>26.48</v>
      </c>
      <c r="F2120" s="1043"/>
      <c r="G2120" s="1550"/>
    </row>
    <row r="2121" spans="1:7">
      <c r="A2121" s="1754">
        <v>41331</v>
      </c>
      <c r="B2121" s="125" t="str">
        <f>TiposLancamentos!B52</f>
        <v>Multas</v>
      </c>
      <c r="C2121" s="1040" t="s">
        <v>6064</v>
      </c>
      <c r="D2121" s="1736"/>
      <c r="E2121" s="1043">
        <v>68.099999999999994</v>
      </c>
      <c r="F2121" s="1043"/>
      <c r="G2121" s="1550"/>
    </row>
    <row r="2122" spans="1:7">
      <c r="A2122" s="1754">
        <v>41332</v>
      </c>
      <c r="B2122" s="125" t="str">
        <f>TiposLancamentos!B20</f>
        <v>Saques</v>
      </c>
      <c r="C2122" s="1040" t="s">
        <v>2655</v>
      </c>
      <c r="D2122" s="1736"/>
      <c r="E2122" s="1043">
        <v>30</v>
      </c>
      <c r="F2122" s="1043"/>
      <c r="G2122" s="1550"/>
    </row>
    <row r="2123" spans="1:7">
      <c r="A2123" s="1754">
        <v>41333</v>
      </c>
      <c r="B2123" s="125" t="str">
        <f>TiposLancamentos!B71</f>
        <v>Itens Pessoais</v>
      </c>
      <c r="C2123" s="1040" t="s">
        <v>2035</v>
      </c>
      <c r="D2123" s="1736"/>
      <c r="E2123" s="1043">
        <v>23</v>
      </c>
      <c r="F2123" s="1043"/>
      <c r="G2123" s="1550"/>
    </row>
    <row r="2124" spans="1:7">
      <c r="A2124" s="1754">
        <v>41333</v>
      </c>
      <c r="B2124" s="125" t="str">
        <f>TiposLancamentos!B95</f>
        <v>Salarios</v>
      </c>
      <c r="C2124" s="1040" t="s">
        <v>5917</v>
      </c>
      <c r="D2124" s="1736">
        <v>8041.72</v>
      </c>
      <c r="E2124" s="1043"/>
      <c r="F2124" s="1043"/>
      <c r="G2124" s="1550"/>
    </row>
    <row r="2125" spans="1:7">
      <c r="A2125" s="1754">
        <v>41333</v>
      </c>
      <c r="B2125" s="125" t="str">
        <f>TiposLancamentos!B59</f>
        <v>Documentos</v>
      </c>
      <c r="C2125" s="1040" t="s">
        <v>6065</v>
      </c>
      <c r="D2125" s="1736"/>
      <c r="E2125" s="1043">
        <v>370</v>
      </c>
      <c r="F2125" s="1043"/>
      <c r="G2125" s="1550"/>
    </row>
    <row r="2126" spans="1:7">
      <c r="A2126" s="1754">
        <v>41333</v>
      </c>
      <c r="B2126" s="125" t="str">
        <f>TiposLancamentos!B19</f>
        <v>Restaurantes</v>
      </c>
      <c r="C2126" s="1040" t="s">
        <v>6066</v>
      </c>
      <c r="D2126" s="1736"/>
      <c r="E2126" s="1043">
        <v>32.299999999999997</v>
      </c>
      <c r="F2126" s="1043"/>
      <c r="G2126" s="1550"/>
    </row>
    <row r="2127" spans="1:7">
      <c r="A2127" s="1754">
        <v>41333</v>
      </c>
      <c r="B2127" s="125" t="str">
        <f>TiposLancamentos!B16</f>
        <v>Cristiane</v>
      </c>
      <c r="C2127" s="1040" t="s">
        <v>6067</v>
      </c>
      <c r="D2127" s="1736"/>
      <c r="E2127" s="1043">
        <v>146.99</v>
      </c>
      <c r="F2127" s="1043"/>
      <c r="G2127" s="1550"/>
    </row>
    <row r="2128" spans="1:7" ht="14.25" thickBot="1">
      <c r="A2128" s="1754">
        <v>41333</v>
      </c>
      <c r="B2128" s="125" t="str">
        <f>TiposLancamentos!B16</f>
        <v>Cristiane</v>
      </c>
      <c r="C2128" s="1040" t="s">
        <v>6068</v>
      </c>
      <c r="D2128" s="1736"/>
      <c r="E2128" s="1043">
        <v>60.8</v>
      </c>
      <c r="F2128" s="1043"/>
      <c r="G2128" s="1550"/>
    </row>
    <row r="2129" spans="1:7">
      <c r="A2129" s="1834"/>
      <c r="B2129" s="977"/>
      <c r="C2129" s="1854" t="s">
        <v>6069</v>
      </c>
      <c r="D2129" s="1823"/>
      <c r="E2129" s="1821"/>
      <c r="F2129" s="1821"/>
      <c r="G2129" s="1895"/>
    </row>
    <row r="2130" spans="1:7">
      <c r="A2130" s="1754">
        <v>41334</v>
      </c>
      <c r="B2130" s="125" t="str">
        <f>TiposLancamentos!B4</f>
        <v>Taxas Bancarias</v>
      </c>
      <c r="C2130" s="1770" t="s">
        <v>5996</v>
      </c>
      <c r="D2130" s="1736"/>
      <c r="E2130" s="1043">
        <v>0.65</v>
      </c>
      <c r="F2130" s="1043"/>
      <c r="G2130" s="1550"/>
    </row>
    <row r="2131" spans="1:7">
      <c r="A2131" s="1754">
        <v>41334</v>
      </c>
      <c r="B2131" s="125" t="str">
        <f>TiposLancamentos!B76</f>
        <v>Motel</v>
      </c>
      <c r="C2131" s="1040" t="s">
        <v>6070</v>
      </c>
      <c r="D2131" s="1736"/>
      <c r="E2131" s="1043">
        <v>253.4</v>
      </c>
      <c r="F2131" s="1043"/>
      <c r="G2131" s="1550"/>
    </row>
    <row r="2132" spans="1:7">
      <c r="A2132" s="1754">
        <v>41334</v>
      </c>
      <c r="B2132" s="125" t="str">
        <f>TiposLancamentos!B6</f>
        <v>Energia Eletrica</v>
      </c>
      <c r="C2132" s="1040" t="s">
        <v>5744</v>
      </c>
      <c r="D2132" s="1736"/>
      <c r="E2132" s="1043">
        <v>142.47</v>
      </c>
      <c r="F2132" s="1043"/>
      <c r="G2132" s="1550"/>
    </row>
    <row r="2133" spans="1:7">
      <c r="A2133" s="1754">
        <v>41334</v>
      </c>
      <c r="B2133" s="125" t="str">
        <f>TiposLancamentos!B15</f>
        <v>Cartões de Crédito</v>
      </c>
      <c r="C2133" s="1040" t="s">
        <v>5832</v>
      </c>
      <c r="D2133" s="1736"/>
      <c r="E2133" s="1043">
        <v>2325.1</v>
      </c>
      <c r="F2133" s="1043"/>
      <c r="G2133" s="1550"/>
    </row>
    <row r="2134" spans="1:7">
      <c r="A2134" s="1754">
        <v>41334</v>
      </c>
      <c r="B2134" s="125" t="str">
        <f>TiposLancamentos!B3</f>
        <v>Internet</v>
      </c>
      <c r="C2134" s="1040" t="s">
        <v>5838</v>
      </c>
      <c r="D2134" s="1736"/>
      <c r="E2134" s="1043">
        <v>15.95</v>
      </c>
      <c r="F2134" s="1043"/>
      <c r="G2134" s="1550"/>
    </row>
    <row r="2135" spans="1:7">
      <c r="A2135" s="1754">
        <v>41334</v>
      </c>
      <c r="B2135" s="125" t="str">
        <f>TiposLancamentos!B16</f>
        <v>Cristiane</v>
      </c>
      <c r="C2135" s="1040" t="s">
        <v>5837</v>
      </c>
      <c r="D2135" s="1736"/>
      <c r="E2135" s="1043">
        <v>105.7</v>
      </c>
      <c r="F2135" s="1043"/>
      <c r="G2135" s="1550"/>
    </row>
    <row r="2136" spans="1:7">
      <c r="A2136" s="1666">
        <v>41334</v>
      </c>
      <c r="B2136" s="817" t="str">
        <f>TiposLancamentos!B35</f>
        <v>Tv à Cabo</v>
      </c>
      <c r="C2136" s="1742" t="s">
        <v>5834</v>
      </c>
      <c r="D2136" s="1735"/>
      <c r="E2136" s="1733">
        <f>F2138-(E2137+E2138)</f>
        <v>209.90000000000003</v>
      </c>
      <c r="F2136" s="1043"/>
      <c r="G2136" s="1550"/>
    </row>
    <row r="2137" spans="1:7">
      <c r="A2137" s="1667">
        <v>41334</v>
      </c>
      <c r="B2137" s="816" t="str">
        <f>TiposLancamentos!B3</f>
        <v>Internet</v>
      </c>
      <c r="C2137" s="1769" t="s">
        <v>5835</v>
      </c>
      <c r="D2137" s="1736"/>
      <c r="E2137" s="1734">
        <v>59.9</v>
      </c>
      <c r="F2137" s="1043"/>
      <c r="G2137" s="1550"/>
    </row>
    <row r="2138" spans="1:7">
      <c r="A2138" s="1750">
        <v>41334</v>
      </c>
      <c r="B2138" s="818" t="str">
        <f>TiposLancamentos!B2</f>
        <v>Telefonia</v>
      </c>
      <c r="C2138" s="1743" t="s">
        <v>5836</v>
      </c>
      <c r="D2138" s="1737"/>
      <c r="E2138" s="1668">
        <v>0.61</v>
      </c>
      <c r="F2138" s="1043">
        <v>270.41000000000003</v>
      </c>
      <c r="G2138" s="1550"/>
    </row>
    <row r="2139" spans="1:7">
      <c r="A2139" s="1666">
        <v>41334</v>
      </c>
      <c r="B2139" s="817" t="str">
        <f>TiposLancamentos!B8</f>
        <v>Aluguel</v>
      </c>
      <c r="C2139" s="1742" t="s">
        <v>5993</v>
      </c>
      <c r="D2139" s="1735"/>
      <c r="E2139" s="1733">
        <f>F2141-(E2140+E2141)</f>
        <v>1238.24</v>
      </c>
      <c r="F2139" s="1043"/>
      <c r="G2139" s="1550"/>
    </row>
    <row r="2140" spans="1:7">
      <c r="A2140" s="1667">
        <v>41334</v>
      </c>
      <c r="B2140" s="816" t="str">
        <f>TiposLancamentos!B12</f>
        <v>IPTU</v>
      </c>
      <c r="C2140" s="1769" t="s">
        <v>6071</v>
      </c>
      <c r="D2140" s="1736"/>
      <c r="E2140" s="1734">
        <v>104.78</v>
      </c>
      <c r="F2140" s="1043"/>
      <c r="G2140" s="1550"/>
    </row>
    <row r="2141" spans="1:7">
      <c r="A2141" s="1750">
        <v>41334</v>
      </c>
      <c r="B2141" s="818" t="str">
        <f>TiposLancamentos!B34</f>
        <v>Seguros</v>
      </c>
      <c r="C2141" s="1743" t="s">
        <v>6072</v>
      </c>
      <c r="D2141" s="1737"/>
      <c r="E2141" s="1668">
        <v>209.77</v>
      </c>
      <c r="F2141" s="1043">
        <v>1552.79</v>
      </c>
      <c r="G2141" s="1550"/>
    </row>
    <row r="2142" spans="1:7">
      <c r="A2142" s="1754">
        <v>41335</v>
      </c>
      <c r="B2142" s="125" t="str">
        <f>TiposLancamentos!B16</f>
        <v>Cristiane</v>
      </c>
      <c r="C2142" s="1040" t="s">
        <v>6073</v>
      </c>
      <c r="D2142" s="1736"/>
      <c r="E2142" s="1043">
        <v>394.45</v>
      </c>
      <c r="F2142" s="1043"/>
      <c r="G2142" s="1550"/>
    </row>
    <row r="2143" spans="1:7">
      <c r="A2143" s="1754">
        <v>41335</v>
      </c>
      <c r="B2143" s="125" t="str">
        <f>TiposLancamentos!B13</f>
        <v>Moradia</v>
      </c>
      <c r="C2143" s="1040" t="s">
        <v>6074</v>
      </c>
      <c r="D2143" s="1736"/>
      <c r="E2143" s="1043">
        <v>14</v>
      </c>
      <c r="F2143" s="1043"/>
      <c r="G2143" s="1550"/>
    </row>
    <row r="2144" spans="1:7">
      <c r="A2144" s="1754">
        <v>41335</v>
      </c>
      <c r="B2144" s="125" t="str">
        <f>TiposLancamentos!B71</f>
        <v>Itens Pessoais</v>
      </c>
      <c r="C2144" s="1040" t="s">
        <v>6075</v>
      </c>
      <c r="D2144" s="1736"/>
      <c r="E2144" s="1043">
        <v>84</v>
      </c>
      <c r="F2144" s="1043"/>
      <c r="G2144" s="1550"/>
    </row>
    <row r="2145" spans="1:7">
      <c r="A2145" s="1754">
        <v>41335</v>
      </c>
      <c r="B2145" s="125" t="str">
        <f>TiposLancamentos!B16</f>
        <v>Cristiane</v>
      </c>
      <c r="C2145" s="1040" t="s">
        <v>6076</v>
      </c>
      <c r="D2145" s="1736"/>
      <c r="E2145" s="1043">
        <v>320</v>
      </c>
      <c r="F2145" s="1043"/>
      <c r="G2145" s="1550"/>
    </row>
    <row r="2146" spans="1:7">
      <c r="A2146" s="1754">
        <v>41335</v>
      </c>
      <c r="B2146" s="125" t="str">
        <f>TiposLancamentos!B16</f>
        <v>Cristiane</v>
      </c>
      <c r="C2146" s="1040" t="s">
        <v>6077</v>
      </c>
      <c r="D2146" s="1736"/>
      <c r="E2146" s="1043">
        <v>27</v>
      </c>
      <c r="F2146" s="1043"/>
      <c r="G2146" s="1550"/>
    </row>
    <row r="2147" spans="1:7">
      <c r="A2147" s="1754">
        <v>41336</v>
      </c>
      <c r="B2147" s="125" t="str">
        <f>TiposLancamentos!B22</f>
        <v>Combustivel</v>
      </c>
      <c r="C2147" s="1040" t="s">
        <v>5961</v>
      </c>
      <c r="D2147" s="1736"/>
      <c r="E2147" s="1043">
        <v>97</v>
      </c>
      <c r="F2147" s="1043"/>
      <c r="G2147" s="1550"/>
    </row>
    <row r="2148" spans="1:7">
      <c r="A2148" s="1754">
        <v>41339</v>
      </c>
      <c r="B2148" s="125" t="str">
        <f>TiposLancamentos!B16</f>
        <v>Cristiane</v>
      </c>
      <c r="C2148" s="1040" t="s">
        <v>6078</v>
      </c>
      <c r="D2148" s="1736"/>
      <c r="E2148" s="1043">
        <v>6</v>
      </c>
      <c r="F2148" s="1043"/>
      <c r="G2148" s="1550"/>
    </row>
    <row r="2149" spans="1:7">
      <c r="A2149" s="1754">
        <v>41339</v>
      </c>
      <c r="B2149" s="125" t="str">
        <f>TiposLancamentos!B9</f>
        <v>Condominio</v>
      </c>
      <c r="C2149" s="1040" t="s">
        <v>1684</v>
      </c>
      <c r="D2149" s="1736"/>
      <c r="E2149" s="1043">
        <v>762.43</v>
      </c>
      <c r="F2149" s="1043"/>
      <c r="G2149" s="1550"/>
    </row>
    <row r="2150" spans="1:7">
      <c r="A2150" s="1754">
        <v>41339</v>
      </c>
      <c r="B2150" s="125" t="str">
        <f>TiposLancamentos!B34</f>
        <v>Seguros</v>
      </c>
      <c r="C2150" s="1040" t="s">
        <v>5809</v>
      </c>
      <c r="D2150" s="1736"/>
      <c r="E2150" s="1043">
        <v>69</v>
      </c>
      <c r="F2150" s="1043"/>
      <c r="G2150" s="1550"/>
    </row>
    <row r="2151" spans="1:7">
      <c r="A2151" s="1754">
        <v>41340</v>
      </c>
      <c r="B2151" s="125" t="str">
        <f>TiposLancamentos!B19</f>
        <v>Restaurantes</v>
      </c>
      <c r="C2151" s="1040" t="s">
        <v>6079</v>
      </c>
      <c r="D2151" s="1736"/>
      <c r="E2151" s="1043">
        <v>63.7</v>
      </c>
      <c r="F2151" s="1043"/>
      <c r="G2151" s="1550"/>
    </row>
    <row r="2152" spans="1:7">
      <c r="A2152" s="1754">
        <v>41340</v>
      </c>
      <c r="B2152" s="125" t="str">
        <f>TiposLancamentos!B56</f>
        <v>Farmácia</v>
      </c>
      <c r="C2152" s="1040" t="s">
        <v>6080</v>
      </c>
      <c r="D2152" s="1736"/>
      <c r="E2152" s="1043">
        <v>9.8000000000000007</v>
      </c>
      <c r="F2152" s="1043"/>
      <c r="G2152" s="1550"/>
    </row>
    <row r="2153" spans="1:7">
      <c r="A2153" s="1754">
        <v>41340</v>
      </c>
      <c r="B2153" s="125" t="str">
        <f>TiposLancamentos!B19</f>
        <v>Restaurantes</v>
      </c>
      <c r="C2153" s="1040" t="s">
        <v>6081</v>
      </c>
      <c r="D2153" s="1736"/>
      <c r="E2153" s="1043">
        <v>7.6</v>
      </c>
      <c r="F2153" s="1043"/>
      <c r="G2153" s="1550"/>
    </row>
    <row r="2154" spans="1:7">
      <c r="A2154" s="1754">
        <v>41341</v>
      </c>
      <c r="B2154" s="125" t="str">
        <f>TiposLancamentos!B19</f>
        <v>Restaurantes</v>
      </c>
      <c r="C2154" s="1040" t="s">
        <v>6082</v>
      </c>
      <c r="D2154" s="1736"/>
      <c r="E2154" s="1043">
        <v>65.56</v>
      </c>
      <c r="F2154" s="1043"/>
      <c r="G2154" s="1550"/>
    </row>
    <row r="2155" spans="1:7">
      <c r="A2155" s="1754">
        <v>41341</v>
      </c>
      <c r="B2155" s="125" t="str">
        <f>TiposLancamentos!B72</f>
        <v>Presentes</v>
      </c>
      <c r="C2155" s="1040" t="s">
        <v>6083</v>
      </c>
      <c r="D2155" s="1736"/>
      <c r="E2155" s="1043">
        <v>55.96</v>
      </c>
      <c r="F2155" s="1043"/>
      <c r="G2155" s="1550"/>
    </row>
    <row r="2156" spans="1:7">
      <c r="A2156" s="1754">
        <v>41341</v>
      </c>
      <c r="B2156" s="125" t="str">
        <f>TiposLancamentos!B19</f>
        <v>Restaurantes</v>
      </c>
      <c r="C2156" s="1040" t="s">
        <v>6084</v>
      </c>
      <c r="D2156" s="1736"/>
      <c r="E2156" s="1043">
        <v>11</v>
      </c>
      <c r="F2156" s="1043"/>
      <c r="G2156" s="1550"/>
    </row>
    <row r="2157" spans="1:7">
      <c r="A2157" s="1754">
        <v>41341</v>
      </c>
      <c r="B2157" s="125" t="str">
        <f>TiposLancamentos!B72</f>
        <v>Presentes</v>
      </c>
      <c r="C2157" s="1040" t="s">
        <v>6085</v>
      </c>
      <c r="D2157" s="1736"/>
      <c r="E2157" s="1043">
        <v>35.86</v>
      </c>
      <c r="F2157" s="1043"/>
      <c r="G2157" s="1550"/>
    </row>
    <row r="2158" spans="1:7">
      <c r="A2158" s="1754">
        <v>41342</v>
      </c>
      <c r="B2158" s="125" t="str">
        <f>TiposLancamentos!B19</f>
        <v>Restaurantes</v>
      </c>
      <c r="C2158" s="1040" t="s">
        <v>6086</v>
      </c>
      <c r="D2158" s="1736"/>
      <c r="E2158" s="1043">
        <v>144.43</v>
      </c>
      <c r="F2158" s="1043"/>
      <c r="G2158" s="1550"/>
    </row>
    <row r="2159" spans="1:7">
      <c r="A2159" s="1754">
        <v>41342</v>
      </c>
      <c r="B2159" s="125" t="str">
        <f>TiposLancamentos!B16</f>
        <v>Cristiane</v>
      </c>
      <c r="C2159" s="1040" t="s">
        <v>6087</v>
      </c>
      <c r="D2159" s="1736"/>
      <c r="E2159" s="1043">
        <v>79.8</v>
      </c>
      <c r="F2159" s="1043"/>
      <c r="G2159" s="1550"/>
    </row>
    <row r="2160" spans="1:7">
      <c r="A2160" s="1754">
        <v>41343</v>
      </c>
      <c r="B2160" s="125" t="str">
        <f>TiposLancamentos!B19</f>
        <v>Restaurantes</v>
      </c>
      <c r="C2160" s="1040" t="s">
        <v>5613</v>
      </c>
      <c r="D2160" s="1736"/>
      <c r="E2160" s="1043">
        <v>60.16</v>
      </c>
      <c r="F2160" s="1043"/>
      <c r="G2160" s="1550"/>
    </row>
    <row r="2161" spans="1:7">
      <c r="A2161" s="1754">
        <v>41344</v>
      </c>
      <c r="B2161" s="125" t="str">
        <f>TiposLancamentos!B19</f>
        <v>Restaurantes</v>
      </c>
      <c r="C2161" s="1040" t="s">
        <v>5914</v>
      </c>
      <c r="D2161" s="1736"/>
      <c r="E2161" s="1043">
        <v>16.5</v>
      </c>
      <c r="F2161" s="1043"/>
      <c r="G2161" s="1550"/>
    </row>
    <row r="2162" spans="1:7">
      <c r="A2162" s="1754">
        <v>41344</v>
      </c>
      <c r="B2162" s="125" t="str">
        <f>TiposLancamentos!B18</f>
        <v>Alimentacao</v>
      </c>
      <c r="C2162" s="1040" t="s">
        <v>6088</v>
      </c>
      <c r="D2162" s="1736"/>
      <c r="E2162" s="1043">
        <v>7.5</v>
      </c>
      <c r="F2162" s="1043"/>
      <c r="G2162" s="1550"/>
    </row>
    <row r="2163" spans="1:7">
      <c r="A2163" s="1754">
        <v>41344</v>
      </c>
      <c r="B2163" s="125" t="str">
        <f>TiposLancamentos!B17</f>
        <v>GATO</v>
      </c>
      <c r="C2163" s="1040" t="s">
        <v>6089</v>
      </c>
      <c r="D2163" s="1736"/>
      <c r="E2163" s="1043">
        <v>22.68</v>
      </c>
      <c r="F2163" s="1043"/>
      <c r="G2163" s="1550"/>
    </row>
    <row r="2164" spans="1:7">
      <c r="A2164" s="1754">
        <v>41344</v>
      </c>
      <c r="B2164" s="125" t="str">
        <f>TiposLancamentos!B4</f>
        <v>Taxas Bancarias</v>
      </c>
      <c r="C2164" s="1040" t="s">
        <v>6090</v>
      </c>
      <c r="D2164" s="1736"/>
      <c r="E2164" s="1043">
        <v>1.58</v>
      </c>
      <c r="F2164" s="1043"/>
      <c r="G2164" s="1550"/>
    </row>
    <row r="2165" spans="1:7">
      <c r="A2165" s="1754">
        <v>41345</v>
      </c>
      <c r="B2165" s="125" t="str">
        <f>TiposLancamentos!B25</f>
        <v>CD_DVD_BD</v>
      </c>
      <c r="C2165" s="1040" t="s">
        <v>6091</v>
      </c>
      <c r="D2165" s="1736"/>
      <c r="E2165" s="1043">
        <v>100.41</v>
      </c>
      <c r="F2165" s="1043"/>
      <c r="G2165" s="1550"/>
    </row>
    <row r="2166" spans="1:7">
      <c r="A2166" s="1754">
        <v>41345</v>
      </c>
      <c r="B2166" s="125" t="str">
        <f>TiposLancamentos!B19</f>
        <v>Restaurantes</v>
      </c>
      <c r="C2166" s="1040" t="s">
        <v>6092</v>
      </c>
      <c r="D2166" s="1736"/>
      <c r="E2166" s="1043">
        <v>52.8</v>
      </c>
      <c r="F2166" s="1043"/>
      <c r="G2166" s="1550"/>
    </row>
    <row r="2167" spans="1:7">
      <c r="A2167" s="1754">
        <v>41345</v>
      </c>
      <c r="B2167" s="125" t="str">
        <f>TiposLancamentos!B16</f>
        <v>Cristiane</v>
      </c>
      <c r="C2167" s="1040" t="s">
        <v>6093</v>
      </c>
      <c r="D2167" s="1736"/>
      <c r="E2167" s="1043">
        <v>129.22</v>
      </c>
      <c r="F2167" s="1043"/>
      <c r="G2167" s="1550"/>
    </row>
    <row r="2168" spans="1:7">
      <c r="A2168" s="1754">
        <v>41345</v>
      </c>
      <c r="B2168" s="125" t="str">
        <f>TiposLancamentos!B19</f>
        <v>Restaurantes</v>
      </c>
      <c r="C2168" s="1040" t="s">
        <v>2701</v>
      </c>
      <c r="D2168" s="1736"/>
      <c r="E2168" s="1043">
        <v>7.6</v>
      </c>
      <c r="F2168" s="1043"/>
      <c r="G2168" s="1550"/>
    </row>
    <row r="2169" spans="1:7">
      <c r="A2169" s="1754">
        <v>41346</v>
      </c>
      <c r="B2169" s="125" t="str">
        <f>TiposLancamentos!B16</f>
        <v>Cristiane</v>
      </c>
      <c r="C2169" s="1040" t="s">
        <v>6094</v>
      </c>
      <c r="D2169" s="1736"/>
      <c r="E2169" s="1043">
        <v>36.72</v>
      </c>
      <c r="F2169" s="1043"/>
      <c r="G2169" s="1550"/>
    </row>
    <row r="2170" spans="1:7">
      <c r="A2170" s="1754">
        <v>41347</v>
      </c>
      <c r="B2170" s="125" t="str">
        <f>TiposLancamentos!B18</f>
        <v>Alimentacao</v>
      </c>
      <c r="C2170" s="1040" t="s">
        <v>6022</v>
      </c>
      <c r="D2170" s="1736"/>
      <c r="E2170" s="1043">
        <v>8.5500000000000007</v>
      </c>
      <c r="F2170" s="1043"/>
      <c r="G2170" s="1550"/>
    </row>
    <row r="2171" spans="1:7">
      <c r="A2171" s="1754">
        <v>41347</v>
      </c>
      <c r="B2171" s="125" t="str">
        <f>TiposLancamentos!B18</f>
        <v>Alimentacao</v>
      </c>
      <c r="C2171" s="1040" t="s">
        <v>4413</v>
      </c>
      <c r="D2171" s="1736"/>
      <c r="E2171" s="1043">
        <v>7.2</v>
      </c>
      <c r="F2171" s="1043"/>
      <c r="G2171" s="1550"/>
    </row>
    <row r="2172" spans="1:7">
      <c r="A2172" s="1754">
        <v>41348</v>
      </c>
      <c r="B2172" s="125" t="str">
        <f>TiposLancamentos!B95</f>
        <v>Salarios</v>
      </c>
      <c r="C2172" s="1040" t="s">
        <v>4916</v>
      </c>
      <c r="D2172" s="1736">
        <v>2198.35</v>
      </c>
      <c r="E2172" s="1043"/>
      <c r="F2172" s="1043"/>
      <c r="G2172" s="1550"/>
    </row>
    <row r="2173" spans="1:7">
      <c r="A2173" s="1754">
        <v>41348</v>
      </c>
      <c r="B2173" s="125" t="str">
        <f>TiposLancamentos!B19</f>
        <v>Restaurantes</v>
      </c>
      <c r="C2173" s="1040" t="s">
        <v>6095</v>
      </c>
      <c r="D2173" s="1736"/>
      <c r="E2173" s="1043">
        <v>8.6</v>
      </c>
      <c r="F2173" s="1043"/>
      <c r="G2173" s="1550"/>
    </row>
    <row r="2174" spans="1:7">
      <c r="A2174" s="1666">
        <v>41348</v>
      </c>
      <c r="B2174" s="817" t="str">
        <f>TiposLancamentos!B33</f>
        <v>Pedágios</v>
      </c>
      <c r="C2174" s="1742" t="s">
        <v>5392</v>
      </c>
      <c r="D2174" s="1735"/>
      <c r="E2174" s="1733">
        <v>12.4</v>
      </c>
      <c r="F2174" s="1043"/>
      <c r="G2174" s="1550"/>
    </row>
    <row r="2175" spans="1:7">
      <c r="A2175" s="1750">
        <v>41348</v>
      </c>
      <c r="B2175" s="818" t="str">
        <f>TiposLancamentos!B24</f>
        <v>Estacionamentos</v>
      </c>
      <c r="C2175" s="1743" t="s">
        <v>5863</v>
      </c>
      <c r="D2175" s="1737"/>
      <c r="E2175" s="1668">
        <v>45</v>
      </c>
      <c r="F2175" s="1043">
        <f>SUM(E2174:E2175)</f>
        <v>57.4</v>
      </c>
      <c r="G2175" s="1550"/>
    </row>
    <row r="2176" spans="1:7">
      <c r="A2176" s="1754">
        <v>41349</v>
      </c>
      <c r="B2176" s="125" t="str">
        <f>TiposLancamentos!B13</f>
        <v>Moradia</v>
      </c>
      <c r="C2176" s="1040" t="s">
        <v>6096</v>
      </c>
      <c r="D2176" s="1736"/>
      <c r="E2176" s="1043">
        <v>1152.3599999999999</v>
      </c>
      <c r="F2176" s="1043"/>
      <c r="G2176" s="1550"/>
    </row>
    <row r="2177" spans="1:7">
      <c r="A2177" s="1754">
        <v>41349</v>
      </c>
      <c r="B2177" s="125" t="str">
        <f>TiposLancamentos!B56</f>
        <v>Farmácia</v>
      </c>
      <c r="C2177" s="1040" t="s">
        <v>5935</v>
      </c>
      <c r="D2177" s="1736"/>
      <c r="E2177" s="1043">
        <v>12.91</v>
      </c>
      <c r="F2177" s="1043"/>
      <c r="G2177" s="1550"/>
    </row>
    <row r="2178" spans="1:7">
      <c r="A2178" s="1754">
        <v>41349</v>
      </c>
      <c r="B2178" s="125" t="str">
        <f>TiposLancamentos!B19</f>
        <v>Restaurantes</v>
      </c>
      <c r="C2178" s="1040" t="s">
        <v>6097</v>
      </c>
      <c r="D2178" s="1736"/>
      <c r="E2178" s="1043">
        <v>29.4</v>
      </c>
      <c r="F2178" s="1043"/>
      <c r="G2178" s="1550"/>
    </row>
    <row r="2179" spans="1:7">
      <c r="A2179" s="1754">
        <v>41350</v>
      </c>
      <c r="B2179" s="125" t="str">
        <f>TiposLancamentos!B19</f>
        <v>Restaurantes</v>
      </c>
      <c r="C2179" s="1040" t="s">
        <v>5914</v>
      </c>
      <c r="D2179" s="1736"/>
      <c r="E2179" s="1043">
        <v>20.6</v>
      </c>
      <c r="F2179" s="1043"/>
      <c r="G2179" s="1550"/>
    </row>
    <row r="2180" spans="1:7">
      <c r="A2180" s="1754">
        <v>41350</v>
      </c>
      <c r="B2180" s="125" t="str">
        <f>TiposLancamentos!B17</f>
        <v>GATO</v>
      </c>
      <c r="C2180" s="1040" t="s">
        <v>6098</v>
      </c>
      <c r="D2180" s="1736"/>
      <c r="E2180" s="1043">
        <v>141.69999999999999</v>
      </c>
      <c r="F2180" s="1043"/>
      <c r="G2180" s="1550"/>
    </row>
    <row r="2181" spans="1:7">
      <c r="A2181" s="1666">
        <v>41350</v>
      </c>
      <c r="B2181" s="817" t="str">
        <f>TiposLancamentos!B22</f>
        <v>Combustivel</v>
      </c>
      <c r="C2181" s="1742" t="s">
        <v>6099</v>
      </c>
      <c r="D2181" s="1735"/>
      <c r="E2181" s="1733">
        <v>121</v>
      </c>
      <c r="F2181" s="1043"/>
      <c r="G2181" s="1550"/>
    </row>
    <row r="2182" spans="1:7">
      <c r="A2182" s="1750">
        <v>41350</v>
      </c>
      <c r="B2182" s="818" t="str">
        <f>TiposLancamentos!B87</f>
        <v>P207-1.6-XS</v>
      </c>
      <c r="C2182" s="1743" t="s">
        <v>6100</v>
      </c>
      <c r="D2182" s="1737"/>
      <c r="E2182" s="1668">
        <f>F2182-E2181</f>
        <v>238.7</v>
      </c>
      <c r="F2182" s="1043">
        <v>359.7</v>
      </c>
      <c r="G2182" s="1550"/>
    </row>
    <row r="2183" spans="1:7">
      <c r="A2183" s="1754">
        <v>41350</v>
      </c>
      <c r="B2183" s="125" t="str">
        <f>TiposLancamentos!B70</f>
        <v>Vestuário</v>
      </c>
      <c r="C2183" s="1040" t="s">
        <v>6101</v>
      </c>
      <c r="D2183" s="1736"/>
      <c r="E2183" s="1043">
        <v>325.60000000000002</v>
      </c>
      <c r="F2183" s="1043"/>
      <c r="G2183" s="1550"/>
    </row>
    <row r="2184" spans="1:7">
      <c r="A2184" s="1754">
        <v>41351</v>
      </c>
      <c r="B2184" s="125" t="str">
        <f>TiposLancamentos!B19</f>
        <v>Restaurantes</v>
      </c>
      <c r="C2184" s="1040" t="s">
        <v>5914</v>
      </c>
      <c r="D2184" s="1736"/>
      <c r="E2184" s="1043">
        <v>20</v>
      </c>
      <c r="F2184" s="1043"/>
      <c r="G2184" s="1550"/>
    </row>
    <row r="2185" spans="1:7">
      <c r="A2185" s="1754">
        <v>41351</v>
      </c>
      <c r="B2185" s="125" t="str">
        <f>TiposLancamentos!B20</f>
        <v>Saques</v>
      </c>
      <c r="C2185" s="1040" t="s">
        <v>1706</v>
      </c>
      <c r="D2185" s="1736"/>
      <c r="E2185" s="1043">
        <v>250</v>
      </c>
      <c r="F2185" s="1043"/>
      <c r="G2185" s="1550"/>
    </row>
    <row r="2186" spans="1:7">
      <c r="A2186" s="1754">
        <v>41351</v>
      </c>
      <c r="B2186" s="125" t="str">
        <f>TiposLancamentos!B19</f>
        <v>Restaurantes</v>
      </c>
      <c r="C2186" s="1040" t="s">
        <v>6102</v>
      </c>
      <c r="D2186" s="1736"/>
      <c r="E2186" s="1043">
        <v>5.8</v>
      </c>
      <c r="F2186" s="1043"/>
      <c r="G2186" s="1550"/>
    </row>
    <row r="2187" spans="1:7">
      <c r="A2187" s="1754">
        <v>41352</v>
      </c>
      <c r="B2187" s="125" t="str">
        <f>TiposLancamentos!B19</f>
        <v>Restaurantes</v>
      </c>
      <c r="C2187" s="1040" t="s">
        <v>3604</v>
      </c>
      <c r="D2187" s="1736"/>
      <c r="E2187" s="1043">
        <v>50</v>
      </c>
      <c r="F2187" s="1043"/>
      <c r="G2187" s="1550"/>
    </row>
    <row r="2188" spans="1:7">
      <c r="A2188" s="1754">
        <v>41352</v>
      </c>
      <c r="B2188" s="125" t="str">
        <f>TiposLancamentos!B5</f>
        <v>Supermercado</v>
      </c>
      <c r="C2188" s="1040" t="s">
        <v>6103</v>
      </c>
      <c r="D2188" s="1736"/>
      <c r="E2188" s="1043">
        <v>32.840000000000003</v>
      </c>
      <c r="F2188" s="1043"/>
      <c r="G2188" s="1550"/>
    </row>
    <row r="2189" spans="1:7">
      <c r="A2189" s="1754">
        <v>41353</v>
      </c>
      <c r="B2189" s="125" t="str">
        <f>TiposLancamentos!B19</f>
        <v>Restaurantes</v>
      </c>
      <c r="C2189" s="1040" t="s">
        <v>6104</v>
      </c>
      <c r="D2189" s="1736"/>
      <c r="E2189" s="1043">
        <v>14.8</v>
      </c>
      <c r="F2189" s="1043"/>
      <c r="G2189" s="1550"/>
    </row>
    <row r="2190" spans="1:7">
      <c r="A2190" s="1754">
        <v>41355</v>
      </c>
      <c r="B2190" s="125" t="str">
        <f>TiposLancamentos!B56</f>
        <v>Farmácia</v>
      </c>
      <c r="C2190" s="1040" t="s">
        <v>6105</v>
      </c>
      <c r="D2190" s="1736"/>
      <c r="E2190" s="1043">
        <v>14.49</v>
      </c>
      <c r="F2190" s="1043"/>
      <c r="G2190" s="1550"/>
    </row>
    <row r="2191" spans="1:7">
      <c r="A2191" s="1754">
        <v>41355</v>
      </c>
      <c r="B2191" s="125" t="str">
        <f>TiposLancamentos!B19</f>
        <v>Restaurantes</v>
      </c>
      <c r="C2191" s="1040" t="s">
        <v>6106</v>
      </c>
      <c r="D2191" s="1736"/>
      <c r="E2191" s="1043">
        <v>42</v>
      </c>
      <c r="F2191" s="1043"/>
      <c r="G2191" s="1550"/>
    </row>
    <row r="2192" spans="1:7">
      <c r="A2192" s="1754">
        <v>41358</v>
      </c>
      <c r="B2192" s="125" t="str">
        <f>TiposLancamentos!B43</f>
        <v>Imposto de Renda</v>
      </c>
      <c r="C2192" s="1040" t="s">
        <v>6107</v>
      </c>
      <c r="D2192" s="1736"/>
      <c r="E2192" s="1043">
        <v>72.099999999999994</v>
      </c>
      <c r="F2192" s="1043"/>
      <c r="G2192" s="1550"/>
    </row>
    <row r="2193" spans="1:7">
      <c r="A2193" s="1754">
        <v>41359</v>
      </c>
      <c r="B2193" s="125" t="str">
        <f>TiposLancamentos!B19</f>
        <v>Restaurantes</v>
      </c>
      <c r="C2193" s="1040" t="s">
        <v>2701</v>
      </c>
      <c r="D2193" s="1736"/>
      <c r="E2193" s="1043">
        <v>7.3</v>
      </c>
      <c r="F2193" s="1043"/>
      <c r="G2193" s="1550"/>
    </row>
    <row r="2194" spans="1:7">
      <c r="A2194" s="1754">
        <v>41360</v>
      </c>
      <c r="B2194" s="125" t="str">
        <f>TiposLancamentos!B19</f>
        <v>Restaurantes</v>
      </c>
      <c r="C2194" s="1040" t="s">
        <v>5914</v>
      </c>
      <c r="D2194" s="1736"/>
      <c r="E2194" s="1043">
        <v>34</v>
      </c>
      <c r="F2194" s="1043"/>
      <c r="G2194" s="1550"/>
    </row>
    <row r="2195" spans="1:7">
      <c r="A2195" s="1754">
        <v>41361</v>
      </c>
      <c r="B2195" s="125" t="str">
        <f>TiposLancamentos!B95</f>
        <v>Salarios</v>
      </c>
      <c r="C2195" s="1040" t="s">
        <v>5917</v>
      </c>
      <c r="D2195" s="1736">
        <v>7974.52</v>
      </c>
      <c r="E2195" s="1043"/>
      <c r="F2195" s="1043"/>
      <c r="G2195" s="1550"/>
    </row>
    <row r="2196" spans="1:7">
      <c r="A2196" s="1754">
        <v>41361</v>
      </c>
      <c r="B2196" s="125" t="str">
        <f>TiposLancamentos!B20</f>
        <v>Saques</v>
      </c>
      <c r="C2196" s="1040" t="s">
        <v>2655</v>
      </c>
      <c r="D2196" s="1736"/>
      <c r="E2196" s="1043">
        <v>50</v>
      </c>
      <c r="F2196" s="1043"/>
      <c r="G2196" s="1550"/>
    </row>
    <row r="2197" spans="1:7">
      <c r="A2197" s="1754">
        <v>41362</v>
      </c>
      <c r="B2197" s="125" t="str">
        <f>TiposLancamentos!B19</f>
        <v>Restaurantes</v>
      </c>
      <c r="C2197" s="1040" t="s">
        <v>6108</v>
      </c>
      <c r="D2197" s="1736"/>
      <c r="E2197" s="1043">
        <v>105.05</v>
      </c>
      <c r="F2197" s="1043"/>
      <c r="G2197" s="1550"/>
    </row>
    <row r="2198" spans="1:7">
      <c r="A2198" s="1754">
        <v>41362</v>
      </c>
      <c r="B2198" s="125" t="str">
        <f>TiposLancamentos!B70</f>
        <v>Vestuário</v>
      </c>
      <c r="C2198" s="1040" t="s">
        <v>6109</v>
      </c>
      <c r="D2198" s="1736"/>
      <c r="E2198" s="1043">
        <v>779</v>
      </c>
      <c r="F2198" s="1043"/>
      <c r="G2198" s="1550"/>
    </row>
    <row r="2199" spans="1:7">
      <c r="A2199" s="1754">
        <v>41362</v>
      </c>
      <c r="B2199" s="125" t="str">
        <f>TiposLancamentos!B13</f>
        <v>Moradia</v>
      </c>
      <c r="C2199" s="1040" t="s">
        <v>6110</v>
      </c>
      <c r="D2199" s="1736"/>
      <c r="E2199" s="1043">
        <v>39.6</v>
      </c>
      <c r="F2199" s="1043"/>
      <c r="G2199" s="1550"/>
    </row>
    <row r="2200" spans="1:7">
      <c r="A2200" s="1666">
        <v>41363</v>
      </c>
      <c r="B2200" s="817" t="str">
        <f>TiposLancamentos!B70</f>
        <v>Vestuário</v>
      </c>
      <c r="C2200" s="1742" t="s">
        <v>6111</v>
      </c>
      <c r="D2200" s="1735"/>
      <c r="E2200" s="1733">
        <f>(34.99+199.99)</f>
        <v>234.98000000000002</v>
      </c>
      <c r="F2200" s="1043"/>
      <c r="G2200" s="1550"/>
    </row>
    <row r="2201" spans="1:7">
      <c r="A2201" s="1667">
        <v>41363</v>
      </c>
      <c r="B2201" s="816" t="str">
        <f>TiposLancamentos!B16</f>
        <v>Cristiane</v>
      </c>
      <c r="C2201" s="1769" t="s">
        <v>6112</v>
      </c>
      <c r="D2201" s="1736"/>
      <c r="E2201" s="1734">
        <f>F2201-E2200</f>
        <v>94.990000000000009</v>
      </c>
      <c r="F2201" s="1043">
        <v>329.97</v>
      </c>
      <c r="G2201" s="1550"/>
    </row>
    <row r="2202" spans="1:7" ht="14.25" thickBot="1">
      <c r="A2202" s="1754">
        <v>41363</v>
      </c>
      <c r="B2202" s="125" t="str">
        <f>TiposLancamentos!B72</f>
        <v>Presentes</v>
      </c>
      <c r="C2202" s="1040" t="s">
        <v>6113</v>
      </c>
      <c r="D2202" s="1736"/>
      <c r="E2202" s="1043">
        <v>157.13999999999999</v>
      </c>
      <c r="F2202" s="1043"/>
      <c r="G2202" s="1550"/>
    </row>
    <row r="2203" spans="1:7">
      <c r="A2203" s="1834"/>
      <c r="B2203" s="977"/>
      <c r="C2203" s="1854" t="s">
        <v>6114</v>
      </c>
      <c r="D2203" s="1823"/>
      <c r="E2203" s="1821"/>
      <c r="F2203" s="1821"/>
      <c r="G2203" s="1895"/>
    </row>
    <row r="2204" spans="1:7">
      <c r="A2204" s="1754">
        <v>41365</v>
      </c>
      <c r="B2204" s="125" t="str">
        <f>TiposLancamentos!B6</f>
        <v>Energia Eletrica</v>
      </c>
      <c r="C2204" s="1040" t="s">
        <v>5744</v>
      </c>
      <c r="D2204" s="1736"/>
      <c r="E2204" s="1043">
        <v>117.54</v>
      </c>
      <c r="F2204" s="1043"/>
      <c r="G2204" s="1550"/>
    </row>
    <row r="2205" spans="1:7">
      <c r="A2205" s="1754">
        <v>41365</v>
      </c>
      <c r="B2205" s="125" t="str">
        <f>TiposLancamentos!B15</f>
        <v>Cartões de Crédito</v>
      </c>
      <c r="C2205" s="1040" t="s">
        <v>5832</v>
      </c>
      <c r="D2205" s="1736"/>
      <c r="E2205" s="1043">
        <v>3412.05</v>
      </c>
      <c r="F2205" s="1043"/>
      <c r="G2205" s="1550"/>
    </row>
    <row r="2206" spans="1:7">
      <c r="A2206" s="1754">
        <v>41365</v>
      </c>
      <c r="B2206" s="125" t="str">
        <f>TiposLancamentos!B3</f>
        <v>Internet</v>
      </c>
      <c r="C2206" s="1040" t="s">
        <v>5838</v>
      </c>
      <c r="D2206" s="1736"/>
      <c r="E2206" s="1043">
        <v>91.9</v>
      </c>
      <c r="F2206" s="1043"/>
      <c r="G2206" s="1550"/>
    </row>
    <row r="2207" spans="1:7">
      <c r="A2207" s="1754">
        <v>41365</v>
      </c>
      <c r="B2207" s="125" t="str">
        <f>TiposLancamentos!B16</f>
        <v>Cristiane</v>
      </c>
      <c r="C2207" s="1040" t="s">
        <v>5837</v>
      </c>
      <c r="D2207" s="1736"/>
      <c r="E2207" s="1043">
        <v>91.94</v>
      </c>
      <c r="F2207" s="1043"/>
      <c r="G2207" s="1550"/>
    </row>
    <row r="2208" spans="1:7">
      <c r="A2208" s="1754">
        <v>41365</v>
      </c>
      <c r="B2208" s="125" t="str">
        <f>TiposLancamentos!B34</f>
        <v>Seguros</v>
      </c>
      <c r="C2208" s="1040" t="s">
        <v>5809</v>
      </c>
      <c r="D2208" s="1736"/>
      <c r="E2208" s="1043">
        <v>69</v>
      </c>
      <c r="F2208" s="1043"/>
      <c r="G2208" s="1550"/>
    </row>
    <row r="2209" spans="1:7">
      <c r="A2209" s="1666">
        <v>41365</v>
      </c>
      <c r="B2209" s="817" t="str">
        <f>TiposLancamentos!B35</f>
        <v>Tv à Cabo</v>
      </c>
      <c r="C2209" s="1742" t="s">
        <v>5834</v>
      </c>
      <c r="D2209" s="1735"/>
      <c r="E2209" s="1733">
        <v>200</v>
      </c>
      <c r="F2209" s="1043"/>
      <c r="G2209" s="1550"/>
    </row>
    <row r="2210" spans="1:7">
      <c r="A2210" s="1667">
        <v>41365</v>
      </c>
      <c r="B2210" s="816" t="str">
        <f>TiposLancamentos!B3</f>
        <v>Internet</v>
      </c>
      <c r="C2210" s="1769" t="s">
        <v>5835</v>
      </c>
      <c r="D2210" s="1736"/>
      <c r="E2210" s="1734">
        <v>59.9</v>
      </c>
      <c r="F2210" s="1043"/>
      <c r="G2210" s="1550"/>
    </row>
    <row r="2211" spans="1:7">
      <c r="A2211" s="1750">
        <v>41365</v>
      </c>
      <c r="B2211" s="818" t="str">
        <f>TiposLancamentos!B2</f>
        <v>Telefonia</v>
      </c>
      <c r="C2211" s="1743" t="s">
        <v>5836</v>
      </c>
      <c r="D2211" s="1737"/>
      <c r="E2211" s="1668">
        <v>6.51</v>
      </c>
      <c r="F2211" s="1043">
        <f>SUM(E2209:E2211)</f>
        <v>266.40999999999997</v>
      </c>
      <c r="G2211" s="1550"/>
    </row>
    <row r="2212" spans="1:7">
      <c r="A2212" s="1754">
        <v>41365</v>
      </c>
      <c r="B2212" s="125" t="str">
        <f>TiposLancamentos!B9</f>
        <v>Condominio</v>
      </c>
      <c r="C2212" s="1040" t="s">
        <v>6115</v>
      </c>
      <c r="D2212" s="1736"/>
      <c r="E2212" s="1043">
        <v>770.41</v>
      </c>
      <c r="F2212" s="1043"/>
      <c r="G2212" s="1550"/>
    </row>
    <row r="2213" spans="1:7">
      <c r="A2213" s="1754">
        <v>41365</v>
      </c>
      <c r="B2213" s="125" t="str">
        <f>TiposLancamentos!B4</f>
        <v>Taxas Bancarias</v>
      </c>
      <c r="C2213" s="1040" t="s">
        <v>5996</v>
      </c>
      <c r="D2213" s="1736"/>
      <c r="E2213" s="1043">
        <v>2.15</v>
      </c>
      <c r="F2213" s="1043"/>
      <c r="G2213" s="1550"/>
    </row>
    <row r="2214" spans="1:7">
      <c r="A2214" s="1666">
        <v>41366</v>
      </c>
      <c r="B2214" s="817" t="str">
        <f>TiposLancamentos!B22</f>
        <v>Combustivel</v>
      </c>
      <c r="C2214" s="1742" t="s">
        <v>6116</v>
      </c>
      <c r="D2214" s="1735"/>
      <c r="E2214" s="1733">
        <v>87.06</v>
      </c>
      <c r="F2214" s="1043"/>
      <c r="G2214" s="1550"/>
    </row>
    <row r="2215" spans="1:7">
      <c r="A2215" s="1750">
        <v>41366</v>
      </c>
      <c r="B2215" s="818" t="str">
        <f>TiposLancamentos!B24</f>
        <v>Estacionamentos</v>
      </c>
      <c r="C2215" s="1743" t="s">
        <v>6117</v>
      </c>
      <c r="D2215" s="1737"/>
      <c r="E2215" s="1668">
        <f>F2215-E2214</f>
        <v>101.80000000000001</v>
      </c>
      <c r="F2215" s="1043">
        <v>188.86</v>
      </c>
      <c r="G2215" s="1550"/>
    </row>
    <row r="2216" spans="1:7">
      <c r="A2216" s="1754">
        <v>41367</v>
      </c>
      <c r="B2216" s="125" t="str">
        <f>TiposLancamentos!B56</f>
        <v>Farmácia</v>
      </c>
      <c r="C2216" s="1040" t="s">
        <v>3509</v>
      </c>
      <c r="D2216" s="1736"/>
      <c r="E2216" s="1043">
        <v>51.65</v>
      </c>
      <c r="F2216" s="1043"/>
      <c r="G2216" s="1550"/>
    </row>
    <row r="2217" spans="1:7">
      <c r="A2217" s="1754">
        <v>41367</v>
      </c>
      <c r="B2217" s="125" t="str">
        <f>TiposLancamentos!B56</f>
        <v>Farmácia</v>
      </c>
      <c r="C2217" s="1040" t="s">
        <v>6118</v>
      </c>
      <c r="D2217" s="1736"/>
      <c r="E2217" s="1043">
        <v>61.33</v>
      </c>
      <c r="F2217" s="1043"/>
      <c r="G2217" s="1550"/>
    </row>
    <row r="2218" spans="1:7">
      <c r="A2218" s="1754">
        <v>41368</v>
      </c>
      <c r="B2218" s="125" t="str">
        <f>TiposLancamentos!B87</f>
        <v>P207-1.6-XS</v>
      </c>
      <c r="C2218" s="1040" t="s">
        <v>6119</v>
      </c>
      <c r="D2218" s="1736"/>
      <c r="E2218" s="1043">
        <v>27</v>
      </c>
      <c r="F2218" s="1043"/>
      <c r="G2218" s="1550"/>
    </row>
    <row r="2219" spans="1:7">
      <c r="A2219" s="1754">
        <v>41368</v>
      </c>
      <c r="B2219" s="125" t="str">
        <f>TiposLancamentos!B73</f>
        <v>Cursos</v>
      </c>
      <c r="C2219" s="1040" t="s">
        <v>6120</v>
      </c>
      <c r="D2219" s="1736"/>
      <c r="E2219" s="1043">
        <v>593.17999999999995</v>
      </c>
      <c r="F2219" s="1043"/>
      <c r="G2219" s="1550"/>
    </row>
    <row r="2220" spans="1:7">
      <c r="A2220" s="1754">
        <v>41369</v>
      </c>
      <c r="B2220" s="125" t="str">
        <f>TiposLancamentos!B22</f>
        <v>Combustivel</v>
      </c>
      <c r="C2220" s="1040" t="s">
        <v>4404</v>
      </c>
      <c r="D2220" s="1736"/>
      <c r="E2220" s="1043">
        <v>76</v>
      </c>
      <c r="F2220" s="1043"/>
      <c r="G2220" s="1550"/>
    </row>
    <row r="2221" spans="1:7">
      <c r="A2221" s="1754">
        <v>41372</v>
      </c>
      <c r="B2221" s="125" t="str">
        <f>TiposLancamentos!B18</f>
        <v>Alimentacao</v>
      </c>
      <c r="C2221" s="1040" t="s">
        <v>6121</v>
      </c>
      <c r="D2221" s="1736"/>
      <c r="E2221" s="1043">
        <v>9.8000000000000007</v>
      </c>
      <c r="F2221" s="1043"/>
      <c r="G2221" s="1550"/>
    </row>
    <row r="2222" spans="1:7">
      <c r="A2222" s="1754">
        <v>41373</v>
      </c>
      <c r="B2222" s="125" t="str">
        <f>TiposLancamentos!B19</f>
        <v>Restaurantes</v>
      </c>
      <c r="C2222" s="1040" t="s">
        <v>6122</v>
      </c>
      <c r="D2222" s="1736"/>
      <c r="E2222" s="1043">
        <v>18.7</v>
      </c>
      <c r="F2222" s="1043"/>
      <c r="G2222" s="1550"/>
    </row>
    <row r="2223" spans="1:7">
      <c r="A2223" s="1666">
        <v>41374</v>
      </c>
      <c r="B2223" s="817" t="str">
        <f>TiposLancamentos!B8</f>
        <v>Aluguel</v>
      </c>
      <c r="C2223" s="1742" t="s">
        <v>5993</v>
      </c>
      <c r="D2223" s="1735"/>
      <c r="E2223" s="1733">
        <f>1334.07+4.8+1.5</f>
        <v>1340.37</v>
      </c>
      <c r="F2223" s="1043"/>
      <c r="G2223" s="1550"/>
    </row>
    <row r="2224" spans="1:7">
      <c r="A2224" s="1667">
        <v>41374</v>
      </c>
      <c r="B2224" s="816" t="str">
        <f>TiposLancamentos!B12</f>
        <v>IPTU</v>
      </c>
      <c r="C2224" s="1769" t="s">
        <v>6123</v>
      </c>
      <c r="D2224" s="1736"/>
      <c r="E2224" s="1734">
        <v>104.78</v>
      </c>
      <c r="F2224" s="1043"/>
      <c r="G2224" s="1550"/>
    </row>
    <row r="2225" spans="1:7">
      <c r="A2225" s="1750">
        <v>41374</v>
      </c>
      <c r="B2225" s="818" t="str">
        <f>TiposLancamentos!B34</f>
        <v>Seguros</v>
      </c>
      <c r="C2225" s="1743" t="s">
        <v>6124</v>
      </c>
      <c r="D2225" s="1737"/>
      <c r="E2225" s="1668">
        <v>209.77</v>
      </c>
      <c r="F2225" s="1043">
        <f>SUM(E2223:E2225)</f>
        <v>1654.9199999999998</v>
      </c>
      <c r="G2225" s="1550"/>
    </row>
    <row r="2226" spans="1:7">
      <c r="A2226" s="1754">
        <v>41374</v>
      </c>
      <c r="B2226" s="125" t="str">
        <f>TiposLancamentos!B20</f>
        <v>Saques</v>
      </c>
      <c r="C2226" s="1040" t="s">
        <v>6125</v>
      </c>
      <c r="D2226" s="1736"/>
      <c r="E2226" s="1043">
        <v>50</v>
      </c>
      <c r="F2226" s="1043"/>
      <c r="G2226" s="1550"/>
    </row>
    <row r="2227" spans="1:7">
      <c r="A2227" s="1754">
        <v>41374</v>
      </c>
      <c r="B2227" s="125" t="str">
        <f>TiposLancamentos!B69</f>
        <v>Consertos</v>
      </c>
      <c r="C2227" s="1040" t="s">
        <v>6126</v>
      </c>
      <c r="D2227" s="1736"/>
      <c r="E2227" s="1043">
        <v>617</v>
      </c>
      <c r="F2227" s="1043"/>
      <c r="G2227" s="1550"/>
    </row>
    <row r="2228" spans="1:7">
      <c r="A2228" s="1754">
        <v>41374</v>
      </c>
      <c r="B2228" s="125" t="str">
        <f>TiposLancamentos!B4</f>
        <v>Taxas Bancarias</v>
      </c>
      <c r="C2228" s="1040" t="s">
        <v>6127</v>
      </c>
      <c r="D2228" s="1736"/>
      <c r="E2228" s="1043">
        <v>8.16</v>
      </c>
      <c r="F2228" s="1043"/>
      <c r="G2228" s="1550"/>
    </row>
    <row r="2229" spans="1:7">
      <c r="A2229" s="1754">
        <v>41375</v>
      </c>
      <c r="B2229" s="125" t="str">
        <f>TiposLancamentos!B19</f>
        <v>Restaurantes</v>
      </c>
      <c r="C2229" s="1040" t="s">
        <v>6128</v>
      </c>
      <c r="D2229" s="1736"/>
      <c r="E2229" s="1043">
        <v>5.6</v>
      </c>
      <c r="F2229" s="1043"/>
      <c r="G2229" s="1550"/>
    </row>
    <row r="2230" spans="1:7">
      <c r="A2230" s="1754">
        <v>41376</v>
      </c>
      <c r="B2230" s="125" t="str">
        <f>TiposLancamentos!B87</f>
        <v>P207-1.6-XS</v>
      </c>
      <c r="C2230" s="1040" t="s">
        <v>6129</v>
      </c>
      <c r="D2230" s="1736"/>
      <c r="E2230" s="1043">
        <v>27</v>
      </c>
      <c r="F2230" s="1043"/>
      <c r="G2230" s="1550"/>
    </row>
    <row r="2231" spans="1:7">
      <c r="A2231" s="1754">
        <v>41376</v>
      </c>
      <c r="B2231" s="125" t="str">
        <f>TiposLancamentos!B19</f>
        <v>Restaurantes</v>
      </c>
      <c r="C2231" s="1040" t="s">
        <v>5914</v>
      </c>
      <c r="D2231" s="1736"/>
      <c r="E2231" s="1043">
        <v>18.899999999999999</v>
      </c>
      <c r="F2231" s="1043"/>
      <c r="G2231" s="1550"/>
    </row>
    <row r="2232" spans="1:7">
      <c r="A2232" s="1754">
        <v>41376</v>
      </c>
      <c r="B2232" s="125" t="str">
        <f>TiposLancamentos!B19</f>
        <v>Restaurantes</v>
      </c>
      <c r="C2232" s="1040" t="s">
        <v>6130</v>
      </c>
      <c r="D2232" s="1736"/>
      <c r="E2232" s="1043">
        <v>15.6</v>
      </c>
      <c r="F2232" s="1043"/>
      <c r="G2232" s="1550"/>
    </row>
    <row r="2233" spans="1:7">
      <c r="A2233" s="1754">
        <v>41377</v>
      </c>
      <c r="B2233" s="125" t="str">
        <f>TiposLancamentos!B56</f>
        <v>Farmácia</v>
      </c>
      <c r="C2233" s="1040" t="s">
        <v>6131</v>
      </c>
      <c r="D2233" s="1736"/>
      <c r="E2233" s="1043">
        <v>17.760000000000002</v>
      </c>
      <c r="F2233" s="1043"/>
      <c r="G2233" s="1550"/>
    </row>
    <row r="2234" spans="1:7">
      <c r="A2234" s="1754">
        <v>41377</v>
      </c>
      <c r="B2234" s="125" t="str">
        <f>TiposLancamentos!B16</f>
        <v>Cristiane</v>
      </c>
      <c r="C2234" s="1040" t="s">
        <v>6132</v>
      </c>
      <c r="D2234" s="1736"/>
      <c r="E2234" s="1043">
        <v>80</v>
      </c>
      <c r="F2234" s="1043"/>
      <c r="G2234" s="1550"/>
    </row>
    <row r="2235" spans="1:7">
      <c r="A2235" s="1754">
        <v>41377</v>
      </c>
      <c r="B2235" s="125" t="str">
        <f>TiposLancamentos!B20</f>
        <v>Saques</v>
      </c>
      <c r="C2235" s="1040" t="s">
        <v>1706</v>
      </c>
      <c r="D2235" s="1736"/>
      <c r="E2235" s="1043">
        <v>50</v>
      </c>
      <c r="F2235" s="1043"/>
      <c r="G2235" s="1550"/>
    </row>
    <row r="2236" spans="1:7">
      <c r="A2236" s="1754">
        <v>41377</v>
      </c>
      <c r="B2236" s="125" t="str">
        <f>TiposLancamentos!B19</f>
        <v>Restaurantes</v>
      </c>
      <c r="C2236" s="1040" t="s">
        <v>6133</v>
      </c>
      <c r="D2236" s="1736"/>
      <c r="E2236" s="1043">
        <v>25.2</v>
      </c>
      <c r="F2236" s="1043"/>
      <c r="G2236" s="1550"/>
    </row>
    <row r="2237" spans="1:7">
      <c r="A2237" s="1754">
        <v>41379</v>
      </c>
      <c r="B2237" s="125" t="str">
        <f>TiposLancamentos!B95</f>
        <v>Salarios</v>
      </c>
      <c r="C2237" s="1040" t="s">
        <v>4916</v>
      </c>
      <c r="D2237" s="1736">
        <v>2198.35</v>
      </c>
      <c r="E2237" s="1043"/>
      <c r="F2237" s="1043"/>
      <c r="G2237" s="1550"/>
    </row>
    <row r="2238" spans="1:7">
      <c r="A2238" s="1754">
        <v>41379</v>
      </c>
      <c r="B2238" s="125" t="str">
        <f>TiposLancamentos!B19</f>
        <v>Restaurantes</v>
      </c>
      <c r="C2238" s="1040" t="s">
        <v>5914</v>
      </c>
      <c r="D2238" s="1736"/>
      <c r="E2238" s="1043">
        <v>15.3</v>
      </c>
      <c r="F2238" s="1043"/>
      <c r="G2238" s="1550"/>
    </row>
    <row r="2239" spans="1:7">
      <c r="A2239" s="1754">
        <v>41379</v>
      </c>
      <c r="B2239" s="125" t="str">
        <f>TiposLancamentos!B16</f>
        <v>Cristiane</v>
      </c>
      <c r="C2239" s="1040" t="s">
        <v>6134</v>
      </c>
      <c r="D2239" s="1736"/>
      <c r="E2239" s="1043">
        <v>15.61</v>
      </c>
      <c r="F2239" s="1043"/>
      <c r="G2239" s="1550"/>
    </row>
    <row r="2240" spans="1:7">
      <c r="A2240" s="1754">
        <v>41379</v>
      </c>
      <c r="B2240" s="125" t="str">
        <f>TiposLancamentos!B53</f>
        <v>Auxilio Idoso</v>
      </c>
      <c r="C2240" s="1040" t="s">
        <v>6135</v>
      </c>
      <c r="D2240" s="1736"/>
      <c r="E2240" s="1043">
        <v>199.45</v>
      </c>
      <c r="F2240" s="1043"/>
      <c r="G2240" s="1550"/>
    </row>
    <row r="2241" spans="1:7">
      <c r="A2241" s="1754">
        <v>41379</v>
      </c>
      <c r="B2241" s="125" t="str">
        <f>TiposLancamentos!B16</f>
        <v>Cristiane</v>
      </c>
      <c r="C2241" s="1040" t="s">
        <v>6136</v>
      </c>
      <c r="D2241" s="1736"/>
      <c r="E2241" s="1043">
        <v>25.21</v>
      </c>
      <c r="F2241" s="1043"/>
      <c r="G2241" s="1550"/>
    </row>
    <row r="2242" spans="1:7">
      <c r="A2242" s="1754">
        <v>41379</v>
      </c>
      <c r="B2242" s="125" t="str">
        <f>TiposLancamentos!B19</f>
        <v>Restaurantes</v>
      </c>
      <c r="C2242" s="1040" t="s">
        <v>3618</v>
      </c>
      <c r="D2242" s="1736"/>
      <c r="E2242" s="1043">
        <v>33.15</v>
      </c>
      <c r="F2242" s="1043"/>
      <c r="G2242" s="1550"/>
    </row>
    <row r="2243" spans="1:7">
      <c r="A2243" s="1666">
        <v>41379</v>
      </c>
      <c r="B2243" s="817" t="str">
        <f>TiposLancamentos!B33</f>
        <v>Pedágios</v>
      </c>
      <c r="C2243" s="1742" t="s">
        <v>5392</v>
      </c>
      <c r="D2243" s="1735"/>
      <c r="E2243" s="1733">
        <f>111.3+12.4</f>
        <v>123.7</v>
      </c>
      <c r="F2243" s="1043"/>
      <c r="G2243" s="1550"/>
    </row>
    <row r="2244" spans="1:7">
      <c r="A2244" s="1750">
        <v>41379</v>
      </c>
      <c r="B2244" s="818" t="str">
        <f>TiposLancamentos!B24</f>
        <v>Estacionamentos</v>
      </c>
      <c r="C2244" s="1743" t="s">
        <v>5863</v>
      </c>
      <c r="D2244" s="1737"/>
      <c r="E2244" s="1668">
        <v>45</v>
      </c>
      <c r="F2244" s="1043">
        <f>SUM(E2243:E2244)</f>
        <v>168.7</v>
      </c>
      <c r="G2244" s="1550"/>
    </row>
    <row r="2245" spans="1:7">
      <c r="A2245" s="1754">
        <v>41380</v>
      </c>
      <c r="B2245" s="125" t="str">
        <f>TiposLancamentos!B19</f>
        <v>Restaurantes</v>
      </c>
      <c r="C2245" s="1040" t="s">
        <v>5914</v>
      </c>
      <c r="D2245" s="1736"/>
      <c r="E2245" s="1043">
        <v>30.9</v>
      </c>
      <c r="F2245" s="1043"/>
      <c r="G2245" s="1550"/>
    </row>
    <row r="2246" spans="1:7">
      <c r="A2246" s="1754">
        <v>41380</v>
      </c>
      <c r="B2246" s="125" t="str">
        <f>TiposLancamentos!B19</f>
        <v>Restaurantes</v>
      </c>
      <c r="C2246" s="1040" t="s">
        <v>6137</v>
      </c>
      <c r="D2246" s="1736"/>
      <c r="E2246" s="1043">
        <v>50</v>
      </c>
      <c r="F2246" s="1043"/>
      <c r="G2246" s="1550"/>
    </row>
    <row r="2247" spans="1:7">
      <c r="A2247" s="1754">
        <v>41381</v>
      </c>
      <c r="B2247" s="125" t="str">
        <f>TiposLancamentos!B19</f>
        <v>Restaurantes</v>
      </c>
      <c r="C2247" s="1040" t="s">
        <v>6138</v>
      </c>
      <c r="D2247" s="1736"/>
      <c r="E2247" s="1043">
        <v>30</v>
      </c>
      <c r="F2247" s="1043"/>
      <c r="G2247" s="1550"/>
    </row>
    <row r="2248" spans="1:7">
      <c r="A2248" s="1754">
        <v>41383</v>
      </c>
      <c r="B2248" s="125" t="str">
        <f>TiposLancamentos!B19</f>
        <v>Restaurantes</v>
      </c>
      <c r="C2248" s="1040" t="s">
        <v>6139</v>
      </c>
      <c r="D2248" s="1736"/>
      <c r="E2248" s="1043">
        <v>5.6</v>
      </c>
      <c r="F2248" s="1043"/>
      <c r="G2248" s="1550"/>
    </row>
    <row r="2249" spans="1:7">
      <c r="A2249" s="1754">
        <v>41383</v>
      </c>
      <c r="B2249" s="125" t="str">
        <f>TiposLancamentos!B18</f>
        <v>Alimentacao</v>
      </c>
      <c r="C2249" s="1040" t="s">
        <v>4413</v>
      </c>
      <c r="D2249" s="1736"/>
      <c r="E2249" s="1043">
        <v>8.4</v>
      </c>
      <c r="F2249" s="1043"/>
      <c r="G2249" s="1550"/>
    </row>
    <row r="2250" spans="1:7">
      <c r="A2250" s="1754">
        <v>41384</v>
      </c>
      <c r="B2250" s="125" t="str">
        <f>TiposLancamentos!B19</f>
        <v>Restaurantes</v>
      </c>
      <c r="C2250" s="1040" t="s">
        <v>6140</v>
      </c>
      <c r="D2250" s="1736"/>
      <c r="E2250" s="1043">
        <v>18.55</v>
      </c>
      <c r="F2250" s="1043"/>
      <c r="G2250" s="1550"/>
    </row>
    <row r="2251" spans="1:7">
      <c r="A2251" s="1754">
        <v>41386</v>
      </c>
      <c r="B2251" s="125" t="str">
        <f>TiposLancamentos!B24</f>
        <v>Estacionamentos</v>
      </c>
      <c r="C2251" s="1040" t="s">
        <v>6141</v>
      </c>
      <c r="D2251" s="1736"/>
      <c r="E2251" s="1043">
        <v>7</v>
      </c>
      <c r="F2251" s="1043"/>
      <c r="G2251" s="1550"/>
    </row>
    <row r="2252" spans="1:7">
      <c r="A2252" s="1754">
        <v>41387</v>
      </c>
      <c r="B2252" s="125" t="str">
        <f>TiposLancamentos!B19</f>
        <v>Restaurantes</v>
      </c>
      <c r="C2252" s="1040" t="s">
        <v>4330</v>
      </c>
      <c r="D2252" s="1736"/>
      <c r="E2252" s="1043">
        <v>7.4</v>
      </c>
      <c r="F2252" s="1043"/>
      <c r="G2252" s="1550"/>
    </row>
    <row r="2253" spans="1:7">
      <c r="A2253" s="1754">
        <v>41387</v>
      </c>
      <c r="B2253" s="125" t="str">
        <f>TiposLancamentos!B5</f>
        <v>Supermercado</v>
      </c>
      <c r="C2253" s="1040" t="s">
        <v>6142</v>
      </c>
      <c r="D2253" s="1736"/>
      <c r="E2253" s="1043">
        <v>21.6</v>
      </c>
      <c r="F2253" s="1043"/>
      <c r="G2253" s="1550"/>
    </row>
    <row r="2254" spans="1:7">
      <c r="A2254" s="1754">
        <v>41388</v>
      </c>
      <c r="B2254" s="125" t="str">
        <f>TiposLancamentos!B24</f>
        <v>Estacionamentos</v>
      </c>
      <c r="C2254" s="1040" t="s">
        <v>4333</v>
      </c>
      <c r="D2254" s="1736"/>
      <c r="E2254" s="1043">
        <v>7</v>
      </c>
      <c r="F2254" s="1043"/>
      <c r="G2254" s="1550"/>
    </row>
    <row r="2255" spans="1:7">
      <c r="A2255" s="1754">
        <v>41393</v>
      </c>
      <c r="B2255" s="125" t="str">
        <f>TiposLancamentos!B19</f>
        <v>Restaurantes</v>
      </c>
      <c r="C2255" s="1040" t="s">
        <v>6143</v>
      </c>
      <c r="D2255" s="1736"/>
      <c r="E2255" s="1043">
        <v>8.5500000000000007</v>
      </c>
      <c r="F2255" s="1043"/>
      <c r="G2255" s="1550"/>
    </row>
    <row r="2256" spans="1:7">
      <c r="A2256" s="1754">
        <v>41393</v>
      </c>
      <c r="B2256" s="125" t="str">
        <f>TiposLancamentos!B71</f>
        <v>Itens Pessoais</v>
      </c>
      <c r="C2256" s="1040" t="s">
        <v>6144</v>
      </c>
      <c r="D2256" s="1736"/>
      <c r="E2256" s="1043">
        <v>23</v>
      </c>
      <c r="F2256" s="1043"/>
      <c r="G2256" s="1550"/>
    </row>
    <row r="2257" spans="1:7">
      <c r="A2257" s="1754">
        <v>41393</v>
      </c>
      <c r="B2257" s="125" t="str">
        <f>TiposLancamentos!B19</f>
        <v>Restaurantes</v>
      </c>
      <c r="C2257" s="1040" t="s">
        <v>6145</v>
      </c>
      <c r="D2257" s="1736"/>
      <c r="E2257" s="1043">
        <v>17.47</v>
      </c>
      <c r="F2257" s="1043"/>
      <c r="G2257" s="1550"/>
    </row>
    <row r="2258" spans="1:7">
      <c r="A2258" s="1754">
        <v>41393</v>
      </c>
      <c r="B2258" s="125" t="str">
        <f>TiposLancamentos!B19</f>
        <v>Restaurantes</v>
      </c>
      <c r="C2258" s="1040" t="s">
        <v>6146</v>
      </c>
      <c r="D2258" s="1736"/>
      <c r="E2258" s="1043">
        <v>8.9</v>
      </c>
      <c r="F2258" s="1043"/>
      <c r="G2258" s="1550"/>
    </row>
    <row r="2259" spans="1:7">
      <c r="A2259" s="1754">
        <v>41393</v>
      </c>
      <c r="B2259" s="125" t="str">
        <f>TiposLancamentos!B20</f>
        <v>Saques</v>
      </c>
      <c r="C2259" s="1040" t="s">
        <v>4599</v>
      </c>
      <c r="D2259" s="1736"/>
      <c r="E2259" s="1043">
        <v>20</v>
      </c>
      <c r="F2259" s="1043"/>
      <c r="G2259" s="1550"/>
    </row>
    <row r="2260" spans="1:7">
      <c r="A2260" s="1754">
        <v>41394</v>
      </c>
      <c r="B2260" s="125" t="str">
        <f>TiposLancamentos!B95</f>
        <v>Salarios</v>
      </c>
      <c r="C2260" s="1040" t="s">
        <v>5917</v>
      </c>
      <c r="D2260" s="1736">
        <v>8516.5</v>
      </c>
      <c r="E2260" s="1043"/>
      <c r="F2260" s="1043"/>
      <c r="G2260" s="1550"/>
    </row>
    <row r="2261" spans="1:7">
      <c r="A2261" s="1754">
        <v>41394</v>
      </c>
      <c r="B2261" s="125" t="str">
        <f>TiposLancamentos!B16</f>
        <v>Cristiane</v>
      </c>
      <c r="C2261" s="1040" t="s">
        <v>6147</v>
      </c>
      <c r="D2261" s="1736"/>
      <c r="E2261" s="1043">
        <v>187</v>
      </c>
      <c r="F2261" s="1043"/>
      <c r="G2261" s="1550"/>
    </row>
    <row r="2262" spans="1:7">
      <c r="A2262" s="1754">
        <v>41394</v>
      </c>
      <c r="B2262" s="125" t="str">
        <f>TiposLancamentos!B43</f>
        <v>Imposto de Renda</v>
      </c>
      <c r="C2262" s="1040" t="s">
        <v>6148</v>
      </c>
      <c r="D2262" s="1736"/>
      <c r="E2262" s="1043">
        <v>294.56</v>
      </c>
      <c r="F2262" s="1043"/>
      <c r="G2262" s="1550"/>
    </row>
    <row r="2263" spans="1:7" ht="14.25" thickBot="1">
      <c r="A2263" s="1754">
        <v>41394</v>
      </c>
      <c r="B2263" s="125" t="str">
        <f>TiposLancamentos!B78</f>
        <v>Diferenças</v>
      </c>
      <c r="C2263" s="1040" t="s">
        <v>6149</v>
      </c>
      <c r="D2263" s="1736">
        <v>0.45</v>
      </c>
      <c r="E2263" s="1043"/>
      <c r="F2263" s="1043"/>
      <c r="G2263" s="1550"/>
    </row>
    <row r="2264" spans="1:7">
      <c r="A2264" s="1834"/>
      <c r="B2264" s="977"/>
      <c r="C2264" s="1854" t="s">
        <v>6150</v>
      </c>
      <c r="D2264" s="1823"/>
      <c r="E2264" s="1821"/>
      <c r="F2264" s="1821"/>
      <c r="G2264" s="1895"/>
    </row>
    <row r="2265" spans="1:7">
      <c r="A2265" s="1754">
        <v>41395</v>
      </c>
      <c r="B2265" s="125" t="str">
        <f>TiposLancamentos!B19</f>
        <v>Restaurantes</v>
      </c>
      <c r="C2265" s="1040" t="s">
        <v>3618</v>
      </c>
      <c r="D2265" s="1736"/>
      <c r="E2265" s="1043">
        <v>55.7</v>
      </c>
      <c r="F2265" s="1043"/>
      <c r="G2265" s="1550"/>
    </row>
    <row r="2266" spans="1:7">
      <c r="A2266" s="1754">
        <v>41395</v>
      </c>
      <c r="B2266" s="125" t="str">
        <f>TiposLancamentos!B19</f>
        <v>Restaurantes</v>
      </c>
      <c r="C2266" s="1040" t="s">
        <v>6151</v>
      </c>
      <c r="D2266" s="1736"/>
      <c r="E2266" s="1043">
        <v>55.6</v>
      </c>
      <c r="F2266" s="1043"/>
      <c r="G2266" s="1550"/>
    </row>
    <row r="2267" spans="1:7">
      <c r="A2267" s="1754">
        <v>41396</v>
      </c>
      <c r="B2267" s="125" t="str">
        <f>TiposLancamentos!B6</f>
        <v>Energia Eletrica</v>
      </c>
      <c r="C2267" s="1040" t="s">
        <v>5744</v>
      </c>
      <c r="D2267" s="1736"/>
      <c r="E2267" s="1043">
        <v>124.26</v>
      </c>
      <c r="F2267" s="1043"/>
      <c r="G2267" s="1550"/>
    </row>
    <row r="2268" spans="1:7">
      <c r="A2268" s="1754">
        <v>41396</v>
      </c>
      <c r="B2268" s="125" t="str">
        <f>TiposLancamentos!B15</f>
        <v>Cartões de Crédito</v>
      </c>
      <c r="C2268" s="1040" t="s">
        <v>5832</v>
      </c>
      <c r="D2268" s="1736"/>
      <c r="E2268" s="1043">
        <v>3802.94</v>
      </c>
      <c r="F2268" s="1043"/>
      <c r="G2268" s="1550"/>
    </row>
    <row r="2269" spans="1:7">
      <c r="A2269" s="1754">
        <v>41396</v>
      </c>
      <c r="B2269" s="125" t="str">
        <f>TiposLancamentos!B3</f>
        <v>Internet</v>
      </c>
      <c r="C2269" s="1040" t="s">
        <v>5838</v>
      </c>
      <c r="D2269" s="1736"/>
      <c r="E2269" s="1043">
        <v>91.9</v>
      </c>
      <c r="F2269" s="1043"/>
      <c r="G2269" s="1550"/>
    </row>
    <row r="2270" spans="1:7">
      <c r="A2270" s="1754">
        <v>41396</v>
      </c>
      <c r="B2270" s="125" t="str">
        <f>TiposLancamentos!B16</f>
        <v>Cristiane</v>
      </c>
      <c r="C2270" s="1040" t="s">
        <v>5837</v>
      </c>
      <c r="D2270" s="1736"/>
      <c r="E2270" s="1043">
        <v>106.91</v>
      </c>
      <c r="F2270" s="1043"/>
      <c r="G2270" s="1550"/>
    </row>
    <row r="2271" spans="1:7">
      <c r="A2271" s="1666">
        <v>41396</v>
      </c>
      <c r="B2271" s="817" t="str">
        <f>TiposLancamentos!B35</f>
        <v>Tv à Cabo</v>
      </c>
      <c r="C2271" s="1742" t="s">
        <v>5834</v>
      </c>
      <c r="D2271" s="1735"/>
      <c r="E2271" s="1733">
        <f>239.9+38.57</f>
        <v>278.47000000000003</v>
      </c>
      <c r="F2271" s="1043"/>
      <c r="G2271" s="1550"/>
    </row>
    <row r="2272" spans="1:7">
      <c r="A2272" s="1667">
        <v>41396</v>
      </c>
      <c r="B2272" s="816" t="str">
        <f>TiposLancamentos!B3</f>
        <v>Internet</v>
      </c>
      <c r="C2272" s="1769" t="s">
        <v>5835</v>
      </c>
      <c r="D2272" s="1736"/>
      <c r="E2272" s="1734">
        <v>59.9</v>
      </c>
      <c r="F2272" s="1043"/>
      <c r="G2272" s="1550"/>
    </row>
    <row r="2273" spans="1:7">
      <c r="A2273" s="1750">
        <v>41396</v>
      </c>
      <c r="B2273" s="818" t="str">
        <f>TiposLancamentos!B2</f>
        <v>Telefonia</v>
      </c>
      <c r="C2273" s="1743" t="s">
        <v>5836</v>
      </c>
      <c r="D2273" s="1737"/>
      <c r="E2273" s="1668">
        <v>2.29</v>
      </c>
      <c r="F2273" s="1043">
        <f>SUM(E2271:E2273)</f>
        <v>340.66</v>
      </c>
      <c r="G2273" s="1550"/>
    </row>
    <row r="2274" spans="1:7">
      <c r="A2274" s="1754">
        <v>41396</v>
      </c>
      <c r="B2274" s="125" t="str">
        <f>TiposLancamentos!B9</f>
        <v>Condominio</v>
      </c>
      <c r="C2274" s="1040" t="s">
        <v>6115</v>
      </c>
      <c r="D2274" s="1736"/>
      <c r="E2274" s="1043">
        <v>754.45</v>
      </c>
      <c r="F2274" s="1043"/>
      <c r="G2274" s="1550"/>
    </row>
    <row r="2275" spans="1:7">
      <c r="A2275" s="1754">
        <v>41396</v>
      </c>
      <c r="B2275" s="125" t="str">
        <f>TiposLancamentos!B16</f>
        <v>Cristiane</v>
      </c>
      <c r="C2275" s="1040" t="s">
        <v>6152</v>
      </c>
      <c r="D2275" s="1736"/>
      <c r="E2275" s="1043">
        <v>400</v>
      </c>
      <c r="F2275" s="1043"/>
      <c r="G2275" s="1550"/>
    </row>
    <row r="2276" spans="1:7">
      <c r="A2276" s="1754">
        <v>41396</v>
      </c>
      <c r="B2276" s="125" t="str">
        <f>TiposLancamentos!B56</f>
        <v>Farmácia</v>
      </c>
      <c r="C2276" s="1040" t="s">
        <v>6118</v>
      </c>
      <c r="D2276" s="1736"/>
      <c r="E2276" s="1043">
        <v>101.01</v>
      </c>
      <c r="F2276" s="1043"/>
      <c r="G2276" s="1550"/>
    </row>
    <row r="2277" spans="1:7">
      <c r="A2277" s="1754">
        <v>41396</v>
      </c>
      <c r="B2277" s="125" t="str">
        <f>TiposLancamentos!B16</f>
        <v>Cristiane</v>
      </c>
      <c r="C2277" s="1040" t="s">
        <v>6153</v>
      </c>
      <c r="D2277" s="1736"/>
      <c r="E2277" s="1043">
        <v>71.17</v>
      </c>
      <c r="F2277" s="1043"/>
      <c r="G2277" s="1550"/>
    </row>
    <row r="2278" spans="1:7">
      <c r="A2278" s="1754">
        <v>41396</v>
      </c>
      <c r="B2278" s="125" t="str">
        <f>TiposLancamentos!B5</f>
        <v>Supermercado</v>
      </c>
      <c r="C2278" s="1040" t="s">
        <v>6154</v>
      </c>
      <c r="D2278" s="1736"/>
      <c r="E2278" s="1043">
        <v>32.590000000000003</v>
      </c>
      <c r="F2278" s="1043"/>
      <c r="G2278" s="1550"/>
    </row>
    <row r="2279" spans="1:7">
      <c r="A2279" s="1754">
        <v>41396</v>
      </c>
      <c r="B2279" s="125" t="str">
        <f>TiposLancamentos!B4</f>
        <v>Taxas Bancarias</v>
      </c>
      <c r="C2279" s="1040" t="s">
        <v>5996</v>
      </c>
      <c r="D2279" s="1736"/>
      <c r="E2279" s="1043">
        <v>10.66</v>
      </c>
      <c r="F2279" s="1043"/>
      <c r="G2279" s="1550"/>
    </row>
    <row r="2280" spans="1:7">
      <c r="A2280" s="1754">
        <v>41397</v>
      </c>
      <c r="B2280" s="125" t="str">
        <f>TiposLancamentos!B53</f>
        <v>Auxilio Idoso</v>
      </c>
      <c r="C2280" s="1040" t="s">
        <v>6155</v>
      </c>
      <c r="D2280" s="1736"/>
      <c r="E2280" s="1043">
        <v>199.45</v>
      </c>
      <c r="F2280" s="1043"/>
      <c r="G2280" s="1550"/>
    </row>
    <row r="2281" spans="1:7">
      <c r="A2281" s="1754">
        <v>41398</v>
      </c>
      <c r="B2281" s="125" t="str">
        <f>TiposLancamentos!B16</f>
        <v>Cristiane</v>
      </c>
      <c r="C2281" s="1040" t="s">
        <v>6156</v>
      </c>
      <c r="D2281" s="1736"/>
      <c r="E2281" s="1043">
        <v>364.8</v>
      </c>
      <c r="F2281" s="1043"/>
      <c r="G2281" s="1550"/>
    </row>
    <row r="2282" spans="1:7">
      <c r="A2282" s="1754">
        <v>41398</v>
      </c>
      <c r="B2282" s="125" t="str">
        <f>TiposLancamentos!B16</f>
        <v>Cristiane</v>
      </c>
      <c r="C2282" s="1040" t="s">
        <v>6157</v>
      </c>
      <c r="D2282" s="1736"/>
      <c r="E2282" s="1043">
        <v>79.900000000000006</v>
      </c>
      <c r="F2282" s="1043"/>
      <c r="G2282" s="1550"/>
    </row>
    <row r="2283" spans="1:7">
      <c r="A2283" s="1754">
        <v>41398</v>
      </c>
      <c r="B2283" s="125" t="str">
        <f>TiposLancamentos!B19</f>
        <v>Restaurantes</v>
      </c>
      <c r="C2283" s="1040" t="s">
        <v>3960</v>
      </c>
      <c r="D2283" s="1736"/>
      <c r="E2283" s="1043">
        <v>44.3</v>
      </c>
      <c r="F2283" s="1043"/>
      <c r="G2283" s="1550"/>
    </row>
    <row r="2284" spans="1:7">
      <c r="A2284" s="1754">
        <v>41398</v>
      </c>
      <c r="B2284" s="125" t="str">
        <f>TiposLancamentos!B19</f>
        <v>Restaurantes</v>
      </c>
      <c r="C2284" s="1040" t="s">
        <v>5999</v>
      </c>
      <c r="D2284" s="1736"/>
      <c r="E2284" s="1043">
        <v>56</v>
      </c>
      <c r="F2284" s="1043"/>
      <c r="G2284" s="1550"/>
    </row>
    <row r="2285" spans="1:7">
      <c r="A2285" s="1754">
        <v>41399</v>
      </c>
      <c r="B2285" s="125" t="str">
        <f>TiposLancamentos!B19</f>
        <v>Restaurantes</v>
      </c>
      <c r="C2285" s="1040" t="s">
        <v>6158</v>
      </c>
      <c r="D2285" s="1736"/>
      <c r="E2285" s="1043">
        <v>80.19</v>
      </c>
      <c r="F2285" s="1043"/>
      <c r="G2285" s="1550"/>
    </row>
    <row r="2286" spans="1:7">
      <c r="A2286" s="1754">
        <v>41401</v>
      </c>
      <c r="B2286" s="125" t="str">
        <f>TiposLancamentos!B32</f>
        <v>Clinicas e tratamentos</v>
      </c>
      <c r="C2286" s="1040" t="s">
        <v>6159</v>
      </c>
      <c r="D2286" s="1736"/>
      <c r="E2286" s="1043">
        <v>250</v>
      </c>
      <c r="F2286" s="1043"/>
      <c r="G2286" s="1550"/>
    </row>
    <row r="2287" spans="1:7">
      <c r="A2287" s="1754">
        <v>41401</v>
      </c>
      <c r="B2287" s="125" t="str">
        <f>TiposLancamentos!B16</f>
        <v>Cristiane</v>
      </c>
      <c r="C2287" s="1040" t="s">
        <v>6160</v>
      </c>
      <c r="D2287" s="1736"/>
      <c r="E2287" s="1043">
        <v>48.44</v>
      </c>
      <c r="F2287" s="1043"/>
      <c r="G2287" s="1550"/>
    </row>
    <row r="2288" spans="1:7">
      <c r="A2288" s="1754">
        <v>41401</v>
      </c>
      <c r="B2288" s="125" t="str">
        <f>TiposLancamentos!B73</f>
        <v>Cursos</v>
      </c>
      <c r="C2288" s="1040" t="s">
        <v>6161</v>
      </c>
      <c r="D2288" s="1736"/>
      <c r="E2288" s="1043">
        <v>593.17999999999995</v>
      </c>
      <c r="F2288" s="1043"/>
      <c r="G2288" s="1550"/>
    </row>
    <row r="2289" spans="1:7">
      <c r="A2289" s="1754">
        <v>41401</v>
      </c>
      <c r="B2289" s="125" t="str">
        <f>TiposLancamentos!B98</f>
        <v>Restituições</v>
      </c>
      <c r="C2289" s="1040" t="s">
        <v>6162</v>
      </c>
      <c r="D2289" s="1736">
        <v>384.42</v>
      </c>
      <c r="E2289" s="1043"/>
      <c r="F2289" s="1043"/>
      <c r="G2289" s="1550"/>
    </row>
    <row r="2290" spans="1:7">
      <c r="A2290" s="1754">
        <v>41403</v>
      </c>
      <c r="B2290" s="125" t="str">
        <f>TiposLancamentos!B24</f>
        <v>Estacionamentos</v>
      </c>
      <c r="C2290" s="1040" t="s">
        <v>4370</v>
      </c>
      <c r="D2290" s="1736"/>
      <c r="E2290" s="1043">
        <v>7</v>
      </c>
      <c r="F2290" s="1043"/>
      <c r="G2290" s="1550"/>
    </row>
    <row r="2291" spans="1:7">
      <c r="A2291" s="1666">
        <v>41404</v>
      </c>
      <c r="B2291" s="817" t="str">
        <f>TiposLancamentos!B8</f>
        <v>Aluguel</v>
      </c>
      <c r="C2291" s="1742" t="s">
        <v>6163</v>
      </c>
      <c r="D2291" s="1735"/>
      <c r="E2291" s="1733">
        <f>F2293-(E2292+E2293)</f>
        <v>1340.3700000000001</v>
      </c>
      <c r="F2291" s="1043"/>
      <c r="G2291" s="1550"/>
    </row>
    <row r="2292" spans="1:7">
      <c r="A2292" s="1667">
        <v>41404</v>
      </c>
      <c r="B2292" s="816" t="str">
        <f>TiposLancamentos!B12</f>
        <v>IPTU</v>
      </c>
      <c r="C2292" s="1769" t="s">
        <v>6164</v>
      </c>
      <c r="D2292" s="1736"/>
      <c r="E2292" s="1734">
        <v>104.78</v>
      </c>
      <c r="F2292" s="1043"/>
      <c r="G2292" s="1550"/>
    </row>
    <row r="2293" spans="1:7">
      <c r="A2293" s="1750">
        <v>41404</v>
      </c>
      <c r="B2293" s="818" t="str">
        <f>TiposLancamentos!B34</f>
        <v>Seguros</v>
      </c>
      <c r="C2293" s="1743" t="s">
        <v>6165</v>
      </c>
      <c r="D2293" s="1737"/>
      <c r="E2293" s="1668">
        <v>209.77</v>
      </c>
      <c r="F2293" s="1043">
        <v>1654.92</v>
      </c>
      <c r="G2293" s="1550"/>
    </row>
    <row r="2294" spans="1:7">
      <c r="A2294" s="1754">
        <v>41404</v>
      </c>
      <c r="B2294" s="125" t="str">
        <f>TiposLancamentos!B64</f>
        <v>Viagens</v>
      </c>
      <c r="C2294" s="1040" t="s">
        <v>6166</v>
      </c>
      <c r="D2294" s="1736"/>
      <c r="E2294" s="1043">
        <v>336</v>
      </c>
      <c r="F2294" s="1043"/>
      <c r="G2294" s="1550"/>
    </row>
    <row r="2295" spans="1:7">
      <c r="A2295" s="1754">
        <v>41404</v>
      </c>
      <c r="B2295" s="125" t="str">
        <f>TiposLancamentos!B4</f>
        <v>Taxas Bancarias</v>
      </c>
      <c r="C2295" s="1040" t="s">
        <v>6090</v>
      </c>
      <c r="D2295" s="1736"/>
      <c r="E2295" s="1043">
        <v>69.41</v>
      </c>
      <c r="F2295" s="1043"/>
      <c r="G2295" s="1550"/>
    </row>
    <row r="2296" spans="1:7">
      <c r="A2296" s="1754">
        <v>41407</v>
      </c>
      <c r="B2296" s="125" t="str">
        <f>TiposLancamentos!B24</f>
        <v>Estacionamentos</v>
      </c>
      <c r="C2296" s="1040" t="s">
        <v>4333</v>
      </c>
      <c r="D2296" s="1736"/>
      <c r="E2296" s="1043">
        <v>7</v>
      </c>
      <c r="F2296" s="1043"/>
      <c r="G2296" s="1550"/>
    </row>
    <row r="2297" spans="1:7">
      <c r="A2297" s="1754">
        <v>41408</v>
      </c>
      <c r="B2297" s="125" t="str">
        <f>TiposLancamentos!B16</f>
        <v>Cristiane</v>
      </c>
      <c r="C2297" s="1040" t="s">
        <v>6167</v>
      </c>
      <c r="D2297" s="1736"/>
      <c r="E2297" s="1043">
        <v>7.8</v>
      </c>
      <c r="F2297" s="1043"/>
      <c r="G2297" s="1550"/>
    </row>
    <row r="2298" spans="1:7">
      <c r="A2298" s="1754">
        <v>41409</v>
      </c>
      <c r="B2298" s="125" t="str">
        <f>TiposLancamentos!B95</f>
        <v>Salarios</v>
      </c>
      <c r="C2298" s="1040" t="s">
        <v>4916</v>
      </c>
      <c r="D2298" s="1736">
        <v>2198.35</v>
      </c>
      <c r="E2298" s="1043"/>
      <c r="F2298" s="1043"/>
      <c r="G2298" s="1550"/>
    </row>
    <row r="2299" spans="1:7">
      <c r="A2299" s="1666">
        <v>41409</v>
      </c>
      <c r="B2299" s="817" t="str">
        <f>TiposLancamentos!B33</f>
        <v>Pedágios</v>
      </c>
      <c r="C2299" s="1742" t="s">
        <v>5392</v>
      </c>
      <c r="D2299" s="1735"/>
      <c r="E2299" s="1733">
        <f>238.9+6.2</f>
        <v>245.1</v>
      </c>
      <c r="F2299" s="1043"/>
      <c r="G2299" s="1550"/>
    </row>
    <row r="2300" spans="1:7">
      <c r="A2300" s="1750">
        <v>41409</v>
      </c>
      <c r="B2300" s="818" t="str">
        <f>TiposLancamentos!B24</f>
        <v>Estacionamentos</v>
      </c>
      <c r="C2300" s="1743" t="s">
        <v>5863</v>
      </c>
      <c r="D2300" s="1737"/>
      <c r="E2300" s="1668">
        <v>44</v>
      </c>
      <c r="F2300" s="1043">
        <f>SUM(E2299:E2300)</f>
        <v>289.10000000000002</v>
      </c>
      <c r="G2300" s="1550"/>
    </row>
    <row r="2301" spans="1:7">
      <c r="A2301" s="1754">
        <v>41409</v>
      </c>
      <c r="B2301" s="125" t="str">
        <f>TiposLancamentos!B34</f>
        <v>Seguros</v>
      </c>
      <c r="C2301" s="1040" t="s">
        <v>5809</v>
      </c>
      <c r="D2301" s="1736"/>
      <c r="E2301" s="1043">
        <v>69</v>
      </c>
      <c r="F2301" s="1043"/>
      <c r="G2301" s="1550"/>
    </row>
    <row r="2302" spans="1:7">
      <c r="A2302" s="1754">
        <v>41409</v>
      </c>
      <c r="B2302" s="125" t="str">
        <f>TiposLancamentos!B24</f>
        <v>Estacionamentos</v>
      </c>
      <c r="C2302" s="1040" t="s">
        <v>4333</v>
      </c>
      <c r="D2302" s="1736"/>
      <c r="E2302" s="1043">
        <v>7</v>
      </c>
      <c r="F2302" s="1043"/>
      <c r="G2302" s="1550"/>
    </row>
    <row r="2303" spans="1:7">
      <c r="A2303" s="1754">
        <v>41412</v>
      </c>
      <c r="B2303" s="125" t="str">
        <f>TiposLancamentos!B19</f>
        <v>Restaurantes</v>
      </c>
      <c r="C2303" s="1040" t="s">
        <v>6168</v>
      </c>
      <c r="D2303" s="1736"/>
      <c r="E2303" s="1043">
        <v>15.9</v>
      </c>
      <c r="F2303" s="1043"/>
      <c r="G2303" s="1550"/>
    </row>
    <row r="2304" spans="1:7">
      <c r="A2304" s="1754">
        <v>41414</v>
      </c>
      <c r="B2304" s="125" t="str">
        <f>TiposLancamentos!B24</f>
        <v>Estacionamentos</v>
      </c>
      <c r="C2304" s="1040" t="s">
        <v>4333</v>
      </c>
      <c r="D2304" s="1736"/>
      <c r="E2304" s="1043">
        <v>7</v>
      </c>
      <c r="F2304" s="1043"/>
      <c r="G2304" s="1550"/>
    </row>
    <row r="2305" spans="1:7">
      <c r="A2305" s="1754">
        <v>41416</v>
      </c>
      <c r="B2305" s="125" t="str">
        <f>TiposLancamentos!B19</f>
        <v>Restaurantes</v>
      </c>
      <c r="C2305" s="1040" t="s">
        <v>6169</v>
      </c>
      <c r="D2305" s="1736"/>
      <c r="E2305" s="1043">
        <v>5.6</v>
      </c>
      <c r="F2305" s="1043"/>
      <c r="G2305" s="1550"/>
    </row>
    <row r="2306" spans="1:7">
      <c r="A2306" s="1754">
        <v>41416</v>
      </c>
      <c r="B2306" s="125" t="str">
        <f>TiposLancamentos!B20</f>
        <v>Saques</v>
      </c>
      <c r="C2306" s="1040" t="s">
        <v>4202</v>
      </c>
      <c r="D2306" s="1736"/>
      <c r="E2306" s="1043">
        <v>290</v>
      </c>
      <c r="F2306" s="1043"/>
      <c r="G2306" s="1550"/>
    </row>
    <row r="2307" spans="1:7">
      <c r="A2307" s="1754">
        <v>41417</v>
      </c>
      <c r="B2307" s="125" t="str">
        <f>TiposLancamentos!B19</f>
        <v>Restaurantes</v>
      </c>
      <c r="C2307" s="1040" t="s">
        <v>6170</v>
      </c>
      <c r="D2307" s="1736"/>
      <c r="E2307" s="1043">
        <v>8.4</v>
      </c>
      <c r="F2307" s="1043"/>
      <c r="G2307" s="1550"/>
    </row>
    <row r="2308" spans="1:7">
      <c r="A2308" s="1754">
        <v>41417</v>
      </c>
      <c r="B2308" s="125" t="str">
        <f>TiposLancamentos!B20</f>
        <v>Saques</v>
      </c>
      <c r="C2308" s="1040" t="s">
        <v>6171</v>
      </c>
      <c r="D2308" s="1736"/>
      <c r="E2308" s="1043">
        <v>80</v>
      </c>
      <c r="F2308" s="1043"/>
      <c r="G2308" s="1550"/>
    </row>
    <row r="2309" spans="1:7">
      <c r="A2309" s="1754">
        <v>41418</v>
      </c>
      <c r="B2309" s="125" t="str">
        <f>TiposLancamentos!B2</f>
        <v>Telefonia</v>
      </c>
      <c r="C2309" s="1040" t="s">
        <v>6172</v>
      </c>
      <c r="D2309" s="1736"/>
      <c r="E2309" s="1043">
        <v>13</v>
      </c>
      <c r="F2309" s="1043"/>
      <c r="G2309" s="1550"/>
    </row>
    <row r="2310" spans="1:7">
      <c r="A2310" s="1754">
        <v>41418</v>
      </c>
      <c r="B2310" s="125" t="str">
        <f>TiposLancamentos!B19</f>
        <v>Restaurantes</v>
      </c>
      <c r="C2310" s="1040" t="s">
        <v>6173</v>
      </c>
      <c r="D2310" s="1736"/>
      <c r="E2310" s="1043">
        <v>16.75</v>
      </c>
      <c r="F2310" s="1043"/>
      <c r="G2310" s="1550"/>
    </row>
    <row r="2311" spans="1:7">
      <c r="A2311" s="1754">
        <v>41421</v>
      </c>
      <c r="B2311" s="125" t="str">
        <f>TiposLancamentos!B52</f>
        <v>Multas</v>
      </c>
      <c r="C2311" s="1040" t="s">
        <v>6174</v>
      </c>
      <c r="D2311" s="1736"/>
      <c r="E2311" s="1043">
        <v>68.099999999999994</v>
      </c>
      <c r="F2311" s="1043"/>
      <c r="G2311" s="1550"/>
    </row>
    <row r="2312" spans="1:7">
      <c r="A2312" s="1754">
        <v>41421</v>
      </c>
      <c r="B2312" s="125" t="str">
        <f>TiposLancamentos!B24</f>
        <v>Estacionamentos</v>
      </c>
      <c r="C2312" s="1040" t="s">
        <v>4383</v>
      </c>
      <c r="D2312" s="1736"/>
      <c r="E2312" s="1043">
        <v>7</v>
      </c>
      <c r="F2312" s="1043"/>
      <c r="G2312" s="1550"/>
    </row>
    <row r="2313" spans="1:7">
      <c r="A2313" s="1754">
        <v>41422</v>
      </c>
      <c r="B2313" s="125" t="str">
        <f>TiposLancamentos!B19</f>
        <v>Restaurantes</v>
      </c>
      <c r="C2313" s="1040" t="s">
        <v>6175</v>
      </c>
      <c r="D2313" s="1736"/>
      <c r="E2313" s="1043">
        <v>7.4</v>
      </c>
      <c r="F2313" s="1043"/>
      <c r="G2313" s="1550"/>
    </row>
    <row r="2314" spans="1:7">
      <c r="A2314" s="1754">
        <v>41425</v>
      </c>
      <c r="B2314" s="125" t="str">
        <f>TiposLancamentos!B95</f>
        <v>Salarios</v>
      </c>
      <c r="C2314" s="1040" t="s">
        <v>5917</v>
      </c>
      <c r="D2314" s="1736">
        <v>7477.89</v>
      </c>
      <c r="E2314" s="1043"/>
      <c r="F2314" s="1043"/>
      <c r="G2314" s="1550"/>
    </row>
    <row r="2315" spans="1:7">
      <c r="A2315" s="1754">
        <v>41425</v>
      </c>
      <c r="B2315" s="125" t="str">
        <f>TiposLancamentos!B43</f>
        <v>Imposto de Renda</v>
      </c>
      <c r="C2315" s="1040" t="s">
        <v>6176</v>
      </c>
      <c r="D2315" s="1736"/>
      <c r="E2315" s="1043">
        <v>297.5</v>
      </c>
      <c r="F2315" s="1043"/>
      <c r="G2315" s="1550"/>
    </row>
    <row r="2316" spans="1:7">
      <c r="A2316" s="1754">
        <v>41425</v>
      </c>
      <c r="B2316" s="125" t="str">
        <f>TiposLancamentos!B56</f>
        <v>Farmácia</v>
      </c>
      <c r="C2316" s="1040" t="s">
        <v>6177</v>
      </c>
      <c r="D2316" s="1736"/>
      <c r="E2316" s="1043">
        <v>156.5</v>
      </c>
      <c r="F2316" s="1043"/>
      <c r="G2316" s="1550"/>
    </row>
    <row r="2317" spans="1:7" ht="14.25" thickBot="1">
      <c r="A2317" s="1754">
        <v>41423</v>
      </c>
      <c r="B2317" s="125" t="str">
        <f>TiposLancamentos!B87</f>
        <v>P207-1.6-XS</v>
      </c>
      <c r="C2317" s="1040" t="s">
        <v>6178</v>
      </c>
      <c r="D2317" s="1736"/>
      <c r="E2317" s="1043">
        <v>1076</v>
      </c>
      <c r="F2317" s="1043"/>
      <c r="G2317" s="1550"/>
    </row>
    <row r="2318" spans="1:7">
      <c r="A2318" s="1834"/>
      <c r="B2318" s="977"/>
      <c r="C2318" s="1854" t="s">
        <v>6179</v>
      </c>
      <c r="D2318" s="1823"/>
      <c r="E2318" s="1821"/>
      <c r="F2318" s="1821"/>
      <c r="G2318" s="1895"/>
    </row>
    <row r="2319" spans="1:7">
      <c r="A2319" s="1754">
        <v>41426</v>
      </c>
      <c r="B2319" s="125" t="str">
        <f>TiposLancamentos!B56</f>
        <v>Farmácia</v>
      </c>
      <c r="C2319" s="1040" t="s">
        <v>6180</v>
      </c>
      <c r="D2319" s="1736"/>
      <c r="E2319" s="1043">
        <v>108.22</v>
      </c>
      <c r="F2319" s="1043"/>
      <c r="G2319" s="1550"/>
    </row>
    <row r="2320" spans="1:7">
      <c r="A2320" s="1754">
        <v>41427</v>
      </c>
      <c r="B2320" s="125" t="str">
        <f>TiposLancamentos!B56</f>
        <v>Farmácia</v>
      </c>
      <c r="C2320" s="1040" t="s">
        <v>6181</v>
      </c>
      <c r="D2320" s="1736"/>
      <c r="E2320" s="1043">
        <v>13.82</v>
      </c>
      <c r="F2320" s="1043"/>
      <c r="G2320" s="1550"/>
    </row>
    <row r="2321" spans="1:7">
      <c r="A2321" s="1754">
        <v>41428</v>
      </c>
      <c r="B2321" s="125" t="str">
        <f>TiposLancamentos!B15</f>
        <v>Cartões de Crédito</v>
      </c>
      <c r="C2321" s="1040" t="s">
        <v>6182</v>
      </c>
      <c r="D2321" s="1736"/>
      <c r="E2321" s="1043">
        <v>4279.78</v>
      </c>
      <c r="F2321" s="1043"/>
      <c r="G2321" s="1550"/>
    </row>
    <row r="2322" spans="1:7">
      <c r="A2322" s="1754">
        <v>41428</v>
      </c>
      <c r="B2322" s="125" t="str">
        <f>TiposLancamentos!B6</f>
        <v>Energia Eletrica</v>
      </c>
      <c r="C2322" s="1040" t="s">
        <v>5191</v>
      </c>
      <c r="D2322" s="1736"/>
      <c r="E2322" s="1043">
        <v>158.94</v>
      </c>
      <c r="F2322" s="1043"/>
      <c r="G2322" s="1550"/>
    </row>
    <row r="2323" spans="1:7">
      <c r="A2323" s="1754">
        <v>41428</v>
      </c>
      <c r="B2323" s="125" t="str">
        <f>TiposLancamentos!B22</f>
        <v>Combustivel</v>
      </c>
      <c r="C2323" s="1040" t="s">
        <v>5961</v>
      </c>
      <c r="D2323" s="1736"/>
      <c r="E2323" s="1043">
        <v>108</v>
      </c>
      <c r="F2323" s="1043"/>
      <c r="G2323" s="1550"/>
    </row>
    <row r="2324" spans="1:7">
      <c r="A2324" s="1754">
        <v>41428</v>
      </c>
      <c r="B2324" s="125" t="str">
        <f>TiposLancamentos!B4</f>
        <v>Taxas Bancarias</v>
      </c>
      <c r="C2324" s="1040" t="s">
        <v>4858</v>
      </c>
      <c r="D2324" s="1736"/>
      <c r="E2324" s="1043">
        <v>11.82</v>
      </c>
      <c r="F2324" s="1043"/>
      <c r="G2324" s="1550"/>
    </row>
    <row r="2325" spans="1:7">
      <c r="A2325" s="1754">
        <v>41430</v>
      </c>
      <c r="B2325" s="125" t="str">
        <f>TiposLancamentos!B24</f>
        <v>Estacionamentos</v>
      </c>
      <c r="C2325" s="1040" t="s">
        <v>4370</v>
      </c>
      <c r="D2325" s="1736"/>
      <c r="E2325" s="1043">
        <v>7</v>
      </c>
      <c r="F2325" s="1043"/>
      <c r="G2325" s="1550"/>
    </row>
    <row r="2326" spans="1:7">
      <c r="A2326" s="1754">
        <v>41431</v>
      </c>
      <c r="B2326" s="125" t="str">
        <f>TiposLancamentos!B95</f>
        <v>Salarios</v>
      </c>
      <c r="C2326" s="1040" t="s">
        <v>6183</v>
      </c>
      <c r="D2326" s="1736">
        <v>13126.53</v>
      </c>
      <c r="E2326" s="1043"/>
      <c r="F2326" s="1043"/>
      <c r="G2326" s="1550"/>
    </row>
    <row r="2327" spans="1:7">
      <c r="A2327" s="1754">
        <v>41431</v>
      </c>
      <c r="B2327" s="125" t="str">
        <f>TiposLancamentos!B9</f>
        <v>Condominio</v>
      </c>
      <c r="C2327" s="1040" t="s">
        <v>6184</v>
      </c>
      <c r="D2327" s="1736"/>
      <c r="E2327" s="1043">
        <v>762.43</v>
      </c>
      <c r="F2327" s="1043"/>
      <c r="G2327" s="1550"/>
    </row>
    <row r="2328" spans="1:7">
      <c r="A2328" s="1754">
        <v>41431</v>
      </c>
      <c r="B2328" s="125" t="str">
        <f>TiposLancamentos!B3</f>
        <v>Internet</v>
      </c>
      <c r="C2328" s="1040" t="s">
        <v>5838</v>
      </c>
      <c r="D2328" s="1736"/>
      <c r="E2328" s="1043">
        <v>36.76</v>
      </c>
      <c r="F2328" s="1043"/>
      <c r="G2328" s="1550"/>
    </row>
    <row r="2329" spans="1:7">
      <c r="A2329" s="1754">
        <v>41431</v>
      </c>
      <c r="B2329" s="125" t="str">
        <f>TiposLancamentos!B73</f>
        <v>Cursos</v>
      </c>
      <c r="C2329" s="1040" t="s">
        <v>6185</v>
      </c>
      <c r="D2329" s="1736"/>
      <c r="E2329" s="1043">
        <v>593.17999999999995</v>
      </c>
      <c r="F2329" s="1043"/>
      <c r="G2329" s="1550"/>
    </row>
    <row r="2330" spans="1:7">
      <c r="A2330" s="1754">
        <v>41431</v>
      </c>
      <c r="B2330" s="125" t="str">
        <f>TiposLancamentos!B105</f>
        <v>Transf. Bco</v>
      </c>
      <c r="C2330" s="1040" t="s">
        <v>5927</v>
      </c>
      <c r="D2330" s="1736"/>
      <c r="E2330" s="1043">
        <v>60</v>
      </c>
      <c r="F2330" s="1043"/>
      <c r="G2330" s="1550"/>
    </row>
    <row r="2331" spans="1:7">
      <c r="A2331" s="1754">
        <v>41432</v>
      </c>
      <c r="B2331" s="125" t="str">
        <f>TiposLancamentos!B16</f>
        <v>Cristiane</v>
      </c>
      <c r="C2331" s="1040" t="s">
        <v>6186</v>
      </c>
      <c r="D2331" s="1736"/>
      <c r="E2331" s="1043">
        <v>99.37</v>
      </c>
      <c r="F2331" s="1043"/>
      <c r="G2331" s="1550"/>
    </row>
    <row r="2332" spans="1:7">
      <c r="A2332" s="1754">
        <v>41432</v>
      </c>
      <c r="B2332" s="125" t="str">
        <f>TiposLancamentos!B31</f>
        <v>Action Figures</v>
      </c>
      <c r="C2332" s="1040" t="s">
        <v>6187</v>
      </c>
      <c r="D2332" s="1736"/>
      <c r="E2332" s="1043">
        <v>241.29</v>
      </c>
      <c r="F2332" s="1043"/>
      <c r="G2332" s="1550"/>
    </row>
    <row r="2333" spans="1:7">
      <c r="A2333" s="1754">
        <v>41432</v>
      </c>
      <c r="B2333" s="125" t="str">
        <f>TiposLancamentos!B16</f>
        <v>Cristiane</v>
      </c>
      <c r="C2333" s="1040" t="s">
        <v>6188</v>
      </c>
      <c r="D2333" s="1736"/>
      <c r="E2333" s="1043">
        <v>176</v>
      </c>
      <c r="F2333" s="1043"/>
      <c r="G2333" s="1550"/>
    </row>
    <row r="2334" spans="1:7">
      <c r="A2334" s="1754">
        <v>41432</v>
      </c>
      <c r="B2334" s="125" t="str">
        <f>TiposLancamentos!B16</f>
        <v>Cristiane</v>
      </c>
      <c r="C2334" s="1040" t="s">
        <v>6189</v>
      </c>
      <c r="D2334" s="1736"/>
      <c r="E2334" s="1043">
        <v>320.79000000000002</v>
      </c>
      <c r="F2334" s="1043"/>
      <c r="G2334" s="1550"/>
    </row>
    <row r="2335" spans="1:7">
      <c r="A2335" s="1754">
        <v>41433</v>
      </c>
      <c r="B2335" s="125" t="str">
        <f>TiposLancamentos!B19</f>
        <v>Restaurantes</v>
      </c>
      <c r="C2335" s="1040" t="s">
        <v>6190</v>
      </c>
      <c r="D2335" s="1736"/>
      <c r="E2335" s="1043">
        <v>96.3</v>
      </c>
      <c r="F2335" s="1043"/>
      <c r="G2335" s="1550"/>
    </row>
    <row r="2336" spans="1:7">
      <c r="A2336" s="1754">
        <v>41433</v>
      </c>
      <c r="B2336" s="125" t="str">
        <f>TiposLancamentos!B57</f>
        <v>Informática</v>
      </c>
      <c r="C2336" s="1040" t="s">
        <v>6191</v>
      </c>
      <c r="D2336" s="1736"/>
      <c r="E2336" s="1043">
        <v>270</v>
      </c>
      <c r="F2336" s="1043"/>
      <c r="G2336" s="1550"/>
    </row>
    <row r="2337" spans="1:7">
      <c r="A2337" s="1754">
        <v>41433</v>
      </c>
      <c r="B2337" s="125" t="str">
        <f>TiposLancamentos!B16</f>
        <v>Cristiane</v>
      </c>
      <c r="C2337" s="1040" t="s">
        <v>6192</v>
      </c>
      <c r="D2337" s="1736"/>
      <c r="E2337" s="1043">
        <v>70</v>
      </c>
      <c r="F2337" s="1043"/>
      <c r="G2337" s="1550"/>
    </row>
    <row r="2338" spans="1:7">
      <c r="A2338" s="1754">
        <v>41433</v>
      </c>
      <c r="B2338" s="125" t="str">
        <f>TiposLancamentos!B24</f>
        <v>Estacionamentos</v>
      </c>
      <c r="C2338" s="1040" t="s">
        <v>6193</v>
      </c>
      <c r="D2338" s="1736"/>
      <c r="E2338" s="1043">
        <v>14</v>
      </c>
      <c r="F2338" s="1043"/>
      <c r="G2338" s="1550"/>
    </row>
    <row r="2339" spans="1:7">
      <c r="A2339" s="1754">
        <v>41433</v>
      </c>
      <c r="B2339" s="125" t="str">
        <f>TiposLancamentos!B5</f>
        <v>Supermercado</v>
      </c>
      <c r="C2339" s="1040" t="s">
        <v>6194</v>
      </c>
      <c r="D2339" s="1736"/>
      <c r="E2339" s="1043">
        <v>46.27</v>
      </c>
      <c r="F2339" s="1043"/>
      <c r="G2339" s="1550"/>
    </row>
    <row r="2340" spans="1:7">
      <c r="A2340" s="1754">
        <v>41433</v>
      </c>
      <c r="B2340" s="125" t="str">
        <f>TiposLancamentos!B56</f>
        <v>Farmácia</v>
      </c>
      <c r="C2340" s="1040" t="s">
        <v>6195</v>
      </c>
      <c r="D2340" s="1736"/>
      <c r="E2340" s="1043">
        <v>13.39</v>
      </c>
      <c r="F2340" s="1043"/>
      <c r="G2340" s="1550"/>
    </row>
    <row r="2341" spans="1:7">
      <c r="A2341" s="1754">
        <v>41434</v>
      </c>
      <c r="B2341" s="125" t="str">
        <f>TiposLancamentos!B19</f>
        <v>Restaurantes</v>
      </c>
      <c r="C2341" s="1040" t="s">
        <v>6196</v>
      </c>
      <c r="D2341" s="1736"/>
      <c r="E2341" s="1043">
        <v>49.67</v>
      </c>
      <c r="F2341" s="1043"/>
      <c r="G2341" s="1550"/>
    </row>
    <row r="2342" spans="1:7">
      <c r="A2342" s="1754">
        <v>41435</v>
      </c>
      <c r="B2342" s="125" t="str">
        <f>TiposLancamentos!B4</f>
        <v>Taxas Bancarias</v>
      </c>
      <c r="C2342" s="1040" t="s">
        <v>5754</v>
      </c>
      <c r="D2342" s="1736"/>
      <c r="E2342" s="1043">
        <v>67.28</v>
      </c>
      <c r="F2342" s="1043"/>
      <c r="G2342" s="1550"/>
    </row>
    <row r="2343" spans="1:7">
      <c r="A2343" s="1666">
        <v>41435</v>
      </c>
      <c r="B2343" s="817" t="str">
        <f>TiposLancamentos!B35</f>
        <v>Tv à Cabo</v>
      </c>
      <c r="C2343" s="1742" t="s">
        <v>5834</v>
      </c>
      <c r="D2343" s="1735"/>
      <c r="E2343" s="1733">
        <v>239.9</v>
      </c>
      <c r="F2343" s="1043"/>
      <c r="G2343" s="1550"/>
    </row>
    <row r="2344" spans="1:7">
      <c r="A2344" s="1667">
        <v>41435</v>
      </c>
      <c r="B2344" s="816" t="str">
        <f>TiposLancamentos!B3</f>
        <v>Internet</v>
      </c>
      <c r="C2344" s="1769" t="s">
        <v>5835</v>
      </c>
      <c r="D2344" s="1736"/>
      <c r="E2344" s="1734">
        <v>59.9</v>
      </c>
      <c r="F2344" s="1043"/>
      <c r="G2344" s="1550"/>
    </row>
    <row r="2345" spans="1:7">
      <c r="A2345" s="1750">
        <v>41435</v>
      </c>
      <c r="B2345" s="818" t="str">
        <f>TiposLancamentos!B2</f>
        <v>Telefonia</v>
      </c>
      <c r="C2345" s="1743" t="s">
        <v>5836</v>
      </c>
      <c r="D2345" s="1737"/>
      <c r="E2345" s="1668">
        <v>0.33</v>
      </c>
      <c r="F2345" s="1043">
        <f>SUM(E2343:E2345)</f>
        <v>300.13</v>
      </c>
      <c r="G2345" s="1550"/>
    </row>
    <row r="2346" spans="1:7">
      <c r="A2346" s="1666">
        <v>41435</v>
      </c>
      <c r="B2346" s="817" t="str">
        <f>TiposLancamentos!B8</f>
        <v>Aluguel</v>
      </c>
      <c r="C2346" s="1742" t="s">
        <v>6163</v>
      </c>
      <c r="D2346" s="1735"/>
      <c r="E2346" s="1733">
        <f>1334.07+4.8+1.5</f>
        <v>1340.37</v>
      </c>
      <c r="F2346" s="1043"/>
      <c r="G2346" s="1550"/>
    </row>
    <row r="2347" spans="1:7">
      <c r="A2347" s="1667">
        <v>41435</v>
      </c>
      <c r="B2347" s="816" t="str">
        <f>TiposLancamentos!B12</f>
        <v>IPTU</v>
      </c>
      <c r="C2347" s="1769" t="s">
        <v>6197</v>
      </c>
      <c r="D2347" s="1736"/>
      <c r="E2347" s="1734">
        <v>104.78</v>
      </c>
      <c r="F2347" s="1043"/>
      <c r="G2347" s="1550"/>
    </row>
    <row r="2348" spans="1:7">
      <c r="A2348" s="1750">
        <v>41435</v>
      </c>
      <c r="B2348" s="818" t="str">
        <f>TiposLancamentos!B34</f>
        <v>Seguros</v>
      </c>
      <c r="C2348" s="1743" t="s">
        <v>6198</v>
      </c>
      <c r="D2348" s="1737"/>
      <c r="E2348" s="1668">
        <v>209.77</v>
      </c>
      <c r="F2348" s="1043">
        <f>SUM(E2346:E2348)</f>
        <v>1654.9199999999998</v>
      </c>
      <c r="G2348" s="1550"/>
    </row>
    <row r="2349" spans="1:7">
      <c r="A2349" s="1754">
        <v>41435</v>
      </c>
      <c r="B2349" s="125" t="str">
        <f>TiposLancamentos!B34</f>
        <v>Seguros</v>
      </c>
      <c r="C2349" s="1040" t="s">
        <v>5809</v>
      </c>
      <c r="D2349" s="1736"/>
      <c r="E2349" s="1043">
        <v>69</v>
      </c>
      <c r="F2349" s="1043"/>
      <c r="G2349" s="1550"/>
    </row>
    <row r="2350" spans="1:7">
      <c r="A2350" s="1754">
        <v>41435</v>
      </c>
      <c r="B2350" s="125" t="str">
        <f>TiposLancamentos!B16</f>
        <v>Cristiane</v>
      </c>
      <c r="C2350" s="1040" t="s">
        <v>6199</v>
      </c>
      <c r="D2350" s="1736"/>
      <c r="E2350" s="1043">
        <v>110</v>
      </c>
      <c r="F2350" s="1043"/>
      <c r="G2350" s="1550"/>
    </row>
    <row r="2351" spans="1:7">
      <c r="A2351" s="1754">
        <v>41435</v>
      </c>
      <c r="B2351" s="125" t="str">
        <f>TiposLancamentos!B70</f>
        <v>Vestuário</v>
      </c>
      <c r="C2351" s="1040" t="s">
        <v>6200</v>
      </c>
      <c r="D2351" s="1736"/>
      <c r="E2351" s="1043">
        <v>144</v>
      </c>
      <c r="F2351" s="1043"/>
      <c r="G2351" s="1550"/>
    </row>
    <row r="2352" spans="1:7">
      <c r="A2352" s="1754">
        <v>41435</v>
      </c>
      <c r="B2352" s="125" t="str">
        <f>TiposLancamentos!B20</f>
        <v>Saques</v>
      </c>
      <c r="C2352" s="1040" t="s">
        <v>4303</v>
      </c>
      <c r="D2352" s="1736"/>
      <c r="E2352" s="1043">
        <v>600</v>
      </c>
      <c r="F2352" s="1043"/>
      <c r="G2352" s="1550"/>
    </row>
    <row r="2353" spans="1:7">
      <c r="A2353" s="1754">
        <v>41435</v>
      </c>
      <c r="B2353" s="125" t="str">
        <f>TiposLancamentos!B5</f>
        <v>Supermercado</v>
      </c>
      <c r="C2353" s="1040" t="s">
        <v>6201</v>
      </c>
      <c r="D2353" s="1736"/>
      <c r="E2353" s="1043">
        <v>30.26</v>
      </c>
      <c r="F2353" s="1043"/>
      <c r="G2353" s="1550"/>
    </row>
    <row r="2354" spans="1:7">
      <c r="A2354" s="1754">
        <v>41435</v>
      </c>
      <c r="B2354" s="125" t="str">
        <f>TiposLancamentos!B56</f>
        <v>Farmácia</v>
      </c>
      <c r="C2354" s="1040" t="s">
        <v>6202</v>
      </c>
      <c r="D2354" s="1736"/>
      <c r="E2354" s="1043">
        <v>28.19</v>
      </c>
      <c r="F2354" s="1043"/>
      <c r="G2354" s="1550"/>
    </row>
    <row r="2355" spans="1:7">
      <c r="A2355" s="1754">
        <v>41435</v>
      </c>
      <c r="B2355" s="125" t="str">
        <f>TiposLancamentos!B19</f>
        <v>Restaurantes</v>
      </c>
      <c r="C2355" s="1040" t="s">
        <v>6203</v>
      </c>
      <c r="D2355" s="1736"/>
      <c r="E2355" s="1043">
        <v>15.8</v>
      </c>
      <c r="F2355" s="1043"/>
      <c r="G2355" s="1550"/>
    </row>
    <row r="2356" spans="1:7">
      <c r="A2356" s="1754">
        <v>41436</v>
      </c>
      <c r="B2356" s="125" t="str">
        <f>TiposLancamentos!B64</f>
        <v>Viagens</v>
      </c>
      <c r="C2356" s="1040" t="s">
        <v>6204</v>
      </c>
      <c r="D2356" s="1736"/>
      <c r="E2356" s="1043">
        <v>2016</v>
      </c>
      <c r="F2356" s="1043"/>
      <c r="G2356" s="1550"/>
    </row>
    <row r="2357" spans="1:7">
      <c r="A2357" s="1754">
        <v>41437</v>
      </c>
      <c r="B2357" s="125" t="str">
        <f>TiposLancamentos!B16</f>
        <v>Cristiane</v>
      </c>
      <c r="C2357" s="1040" t="s">
        <v>6205</v>
      </c>
      <c r="D2357" s="1736"/>
      <c r="E2357" s="1043">
        <v>76</v>
      </c>
      <c r="F2357" s="1043"/>
      <c r="G2357" s="1550"/>
    </row>
    <row r="2358" spans="1:7">
      <c r="A2358" s="1754">
        <v>41437</v>
      </c>
      <c r="B2358" s="125" t="str">
        <f>TiposLancamentos!B56</f>
        <v>Farmácia</v>
      </c>
      <c r="C2358" s="1040" t="s">
        <v>6206</v>
      </c>
      <c r="D2358" s="1736"/>
      <c r="E2358" s="1043">
        <v>23.58</v>
      </c>
      <c r="F2358" s="1043"/>
      <c r="G2358" s="1550"/>
    </row>
    <row r="2359" spans="1:7">
      <c r="A2359" s="1754">
        <v>41437</v>
      </c>
      <c r="B2359" s="125" t="str">
        <f>TiposLancamentos!B56</f>
        <v>Farmácia</v>
      </c>
      <c r="C2359" s="1040" t="s">
        <v>6207</v>
      </c>
      <c r="D2359" s="1736"/>
      <c r="E2359" s="1043">
        <v>240</v>
      </c>
      <c r="F2359" s="1043"/>
      <c r="G2359" s="1550"/>
    </row>
    <row r="2360" spans="1:7">
      <c r="A2360" s="1754">
        <v>41440</v>
      </c>
      <c r="B2360" s="125" t="str">
        <f>TiposLancamentos!B19</f>
        <v>Restaurantes</v>
      </c>
      <c r="C2360" s="1040" t="s">
        <v>6208</v>
      </c>
      <c r="D2360" s="1736"/>
      <c r="E2360" s="1043">
        <v>80.3</v>
      </c>
      <c r="F2360" s="1043"/>
      <c r="G2360" s="1550"/>
    </row>
    <row r="2361" spans="1:7">
      <c r="A2361" s="1754">
        <v>41440</v>
      </c>
      <c r="B2361" s="125" t="str">
        <f>TiposLancamentos!B20</f>
        <v>Saques</v>
      </c>
      <c r="C2361" s="1040" t="s">
        <v>4368</v>
      </c>
      <c r="D2361" s="1736"/>
      <c r="E2361" s="1043">
        <v>500</v>
      </c>
      <c r="F2361" s="1043"/>
      <c r="G2361" s="1550"/>
    </row>
    <row r="2362" spans="1:7">
      <c r="A2362" s="1754">
        <v>41440</v>
      </c>
      <c r="B2362" s="125" t="str">
        <f>TiposLancamentos!B56</f>
        <v>Farmácia</v>
      </c>
      <c r="C2362" s="1040" t="s">
        <v>6209</v>
      </c>
      <c r="D2362" s="1736"/>
      <c r="E2362" s="1043">
        <v>125.42</v>
      </c>
      <c r="F2362" s="1043"/>
      <c r="G2362" s="1550"/>
    </row>
    <row r="2363" spans="1:7">
      <c r="A2363" s="1666">
        <v>41442</v>
      </c>
      <c r="B2363" s="817" t="str">
        <f>TiposLancamentos!B33</f>
        <v>Pedágios</v>
      </c>
      <c r="C2363" s="1742" t="s">
        <v>5392</v>
      </c>
      <c r="D2363" s="1735"/>
      <c r="E2363" s="1733">
        <f>93.7+6.2</f>
        <v>99.9</v>
      </c>
      <c r="F2363" s="1043"/>
      <c r="G2363" s="1550"/>
    </row>
    <row r="2364" spans="1:7">
      <c r="A2364" s="1750">
        <v>41442</v>
      </c>
      <c r="B2364" s="818" t="str">
        <f>TiposLancamentos!B24</f>
        <v>Estacionamentos</v>
      </c>
      <c r="C2364" s="1743" t="s">
        <v>5863</v>
      </c>
      <c r="D2364" s="1737"/>
      <c r="E2364" s="1668">
        <v>36</v>
      </c>
      <c r="F2364" s="1043">
        <f>SUM(E2363:E2364)</f>
        <v>135.9</v>
      </c>
      <c r="G2364" s="1550"/>
    </row>
    <row r="2365" spans="1:7">
      <c r="A2365" s="1754">
        <v>41443</v>
      </c>
      <c r="B2365" s="125" t="str">
        <f>TiposLancamentos!B72</f>
        <v>Presentes</v>
      </c>
      <c r="C2365" s="1040" t="s">
        <v>6210</v>
      </c>
      <c r="D2365" s="1736"/>
      <c r="E2365" s="1043">
        <v>36.5</v>
      </c>
      <c r="F2365" s="1043"/>
      <c r="G2365" s="1550"/>
    </row>
    <row r="2366" spans="1:7">
      <c r="A2366" s="1754">
        <v>41443</v>
      </c>
      <c r="B2366" s="125" t="str">
        <f>TiposLancamentos!B72</f>
        <v>Presentes</v>
      </c>
      <c r="C2366" s="1040" t="s">
        <v>6211</v>
      </c>
      <c r="D2366" s="1736"/>
      <c r="E2366" s="1043">
        <v>20</v>
      </c>
      <c r="F2366" s="1043"/>
      <c r="G2366" s="1550"/>
    </row>
    <row r="2367" spans="1:7">
      <c r="A2367" s="1754">
        <v>41443</v>
      </c>
      <c r="B2367" s="125" t="str">
        <f>TiposLancamentos!B72</f>
        <v>Presentes</v>
      </c>
      <c r="C2367" s="1040" t="s">
        <v>6212</v>
      </c>
      <c r="D2367" s="1736"/>
      <c r="E2367" s="1043">
        <v>60</v>
      </c>
      <c r="F2367" s="1043"/>
      <c r="G2367" s="1550"/>
    </row>
    <row r="2368" spans="1:7">
      <c r="A2368" s="1754">
        <v>41443</v>
      </c>
      <c r="B2368" s="125" t="str">
        <f>TiposLancamentos!B72</f>
        <v>Presentes</v>
      </c>
      <c r="C2368" s="1040" t="s">
        <v>6213</v>
      </c>
      <c r="D2368" s="1736"/>
      <c r="E2368" s="1043">
        <v>20</v>
      </c>
      <c r="F2368" s="1043"/>
      <c r="G2368" s="1550"/>
    </row>
    <row r="2369" spans="1:7">
      <c r="A2369" s="1754">
        <v>41443</v>
      </c>
      <c r="B2369" s="125" t="str">
        <f>TiposLancamentos!B72</f>
        <v>Presentes</v>
      </c>
      <c r="C2369" s="1040" t="s">
        <v>6214</v>
      </c>
      <c r="D2369" s="1736"/>
      <c r="E2369" s="1043">
        <v>30</v>
      </c>
      <c r="F2369" s="1043"/>
      <c r="G2369" s="1550"/>
    </row>
    <row r="2370" spans="1:7">
      <c r="A2370" s="1754">
        <v>41443</v>
      </c>
      <c r="B2370" s="125" t="str">
        <f>TiposLancamentos!B20</f>
        <v>Saques</v>
      </c>
      <c r="C2370" s="1040" t="s">
        <v>6215</v>
      </c>
      <c r="D2370" s="1736"/>
      <c r="E2370" s="1043">
        <v>20</v>
      </c>
      <c r="F2370" s="1043"/>
      <c r="G2370" s="1550"/>
    </row>
    <row r="2371" spans="1:7">
      <c r="A2371" s="1754">
        <v>41443</v>
      </c>
      <c r="B2371" s="125" t="str">
        <f>TiposLancamentos!B64</f>
        <v>Viagens</v>
      </c>
      <c r="C2371" s="1040" t="s">
        <v>6216</v>
      </c>
      <c r="D2371" s="1736"/>
      <c r="E2371" s="1043">
        <v>912.33</v>
      </c>
      <c r="F2371" s="1043"/>
      <c r="G2371" s="1550"/>
    </row>
    <row r="2372" spans="1:7">
      <c r="A2372" s="1754">
        <v>41443</v>
      </c>
      <c r="B2372" s="125" t="str">
        <f>TiposLancamentos!B19</f>
        <v>Restaurantes</v>
      </c>
      <c r="C2372" s="1040" t="s">
        <v>6217</v>
      </c>
      <c r="D2372" s="1736"/>
      <c r="E2372" s="1043">
        <v>85.8</v>
      </c>
      <c r="F2372" s="1043"/>
      <c r="G2372" s="1550"/>
    </row>
    <row r="2373" spans="1:7">
      <c r="A2373" s="1754">
        <v>41445</v>
      </c>
      <c r="B2373" s="125" t="str">
        <f>TiposLancamentos!B87</f>
        <v>P207-1.6-XS</v>
      </c>
      <c r="C2373" s="1040" t="s">
        <v>6218</v>
      </c>
      <c r="D2373" s="1736"/>
      <c r="E2373" s="1043">
        <v>596.01</v>
      </c>
      <c r="F2373" s="1043"/>
      <c r="G2373" s="1550"/>
    </row>
    <row r="2374" spans="1:7">
      <c r="A2374" s="1754">
        <v>41445</v>
      </c>
      <c r="B2374" s="125" t="str">
        <f>TiposLancamentos!B5</f>
        <v>Supermercado</v>
      </c>
      <c r="C2374" s="1040" t="s">
        <v>6219</v>
      </c>
      <c r="D2374" s="1736"/>
      <c r="E2374" s="1043">
        <v>41.2</v>
      </c>
      <c r="F2374" s="1043"/>
      <c r="G2374" s="1550"/>
    </row>
    <row r="2375" spans="1:7">
      <c r="A2375" s="1754">
        <v>41446</v>
      </c>
      <c r="B2375" s="125" t="str">
        <f>TiposLancamentos!B17</f>
        <v>GATO</v>
      </c>
      <c r="C2375" s="1040" t="s">
        <v>6220</v>
      </c>
      <c r="D2375" s="1736"/>
      <c r="E2375" s="1043">
        <v>37.5</v>
      </c>
      <c r="F2375" s="1043"/>
      <c r="G2375" s="1550"/>
    </row>
    <row r="2376" spans="1:7">
      <c r="A2376" s="1754">
        <v>41446</v>
      </c>
      <c r="B2376" s="125" t="str">
        <f>TiposLancamentos!B16</f>
        <v>Cristiane</v>
      </c>
      <c r="C2376" s="1040" t="s">
        <v>6221</v>
      </c>
      <c r="D2376" s="1736"/>
      <c r="E2376" s="1043">
        <v>77.31</v>
      </c>
      <c r="F2376" s="1043"/>
      <c r="G2376" s="1550"/>
    </row>
    <row r="2377" spans="1:7">
      <c r="A2377" s="1754">
        <v>41446</v>
      </c>
      <c r="B2377" s="125" t="str">
        <f>TiposLancamentos!B5</f>
        <v>Supermercado</v>
      </c>
      <c r="C2377" s="1040" t="s">
        <v>5646</v>
      </c>
      <c r="D2377" s="1736"/>
      <c r="E2377" s="1043">
        <v>61.87</v>
      </c>
      <c r="F2377" s="1043"/>
      <c r="G2377" s="1550"/>
    </row>
    <row r="2378" spans="1:7">
      <c r="A2378" s="1754">
        <v>41447</v>
      </c>
      <c r="B2378" s="125" t="str">
        <f>TiposLancamentos!B19</f>
        <v>Restaurantes</v>
      </c>
      <c r="C2378" s="1040" t="s">
        <v>6222</v>
      </c>
      <c r="D2378" s="1736"/>
      <c r="E2378" s="1043">
        <v>11.8</v>
      </c>
      <c r="F2378" s="1043"/>
      <c r="G2378" s="1550"/>
    </row>
    <row r="2379" spans="1:7">
      <c r="A2379" s="1754">
        <v>41447</v>
      </c>
      <c r="B2379" s="125" t="str">
        <f>TiposLancamentos!B20</f>
        <v>Saques</v>
      </c>
      <c r="C2379" s="1040" t="s">
        <v>4368</v>
      </c>
      <c r="D2379" s="1736"/>
      <c r="E2379" s="1043">
        <v>70</v>
      </c>
      <c r="F2379" s="1043"/>
      <c r="G2379" s="1550"/>
    </row>
    <row r="2380" spans="1:7">
      <c r="A2380" s="1754">
        <v>41447</v>
      </c>
      <c r="B2380" s="125" t="str">
        <f>TiposLancamentos!B24</f>
        <v>Estacionamentos</v>
      </c>
      <c r="C2380" s="1040" t="s">
        <v>6223</v>
      </c>
      <c r="D2380" s="1736"/>
      <c r="E2380" s="1043">
        <v>8</v>
      </c>
      <c r="F2380" s="1043"/>
      <c r="G2380" s="1550"/>
    </row>
    <row r="2381" spans="1:7">
      <c r="A2381" s="1754">
        <v>41447</v>
      </c>
      <c r="B2381" s="125" t="str">
        <f>TiposLancamentos!B19</f>
        <v>Restaurantes</v>
      </c>
      <c r="C2381" s="1040" t="s">
        <v>6224</v>
      </c>
      <c r="D2381" s="1736"/>
      <c r="E2381" s="1043">
        <v>44</v>
      </c>
      <c r="F2381" s="1043"/>
      <c r="G2381" s="1550"/>
    </row>
    <row r="2382" spans="1:7">
      <c r="A2382" s="1754">
        <v>41448</v>
      </c>
      <c r="B2382" s="125" t="str">
        <f>TiposLancamentos!B5</f>
        <v>Supermercado</v>
      </c>
      <c r="C2382" s="1040" t="s">
        <v>6225</v>
      </c>
      <c r="D2382" s="1736"/>
      <c r="E2382" s="1043">
        <v>32.11</v>
      </c>
      <c r="F2382" s="1043"/>
      <c r="G2382" s="1550"/>
    </row>
    <row r="2383" spans="1:7">
      <c r="A2383" s="1754">
        <v>41449</v>
      </c>
      <c r="B2383" s="125" t="str">
        <f>TiposLancamentos!B70</f>
        <v>Vestuário</v>
      </c>
      <c r="C2383" s="1040" t="s">
        <v>6226</v>
      </c>
      <c r="D2383" s="1736"/>
      <c r="E2383" s="1043">
        <v>450</v>
      </c>
      <c r="F2383" s="1043"/>
      <c r="G2383" s="1550"/>
    </row>
    <row r="2384" spans="1:7">
      <c r="A2384" s="1754">
        <v>41449</v>
      </c>
      <c r="B2384" s="125" t="str">
        <f>TiposLancamentos!B19</f>
        <v>Restaurantes</v>
      </c>
      <c r="C2384" s="1040" t="s">
        <v>6227</v>
      </c>
      <c r="D2384" s="1736"/>
      <c r="E2384" s="1043">
        <v>50.9</v>
      </c>
      <c r="F2384" s="1043"/>
      <c r="G2384" s="1550"/>
    </row>
    <row r="2385" spans="1:7">
      <c r="A2385" s="1754">
        <v>41450</v>
      </c>
      <c r="B2385" s="125" t="str">
        <f>TiposLancamentos!B19</f>
        <v>Restaurantes</v>
      </c>
      <c r="C2385" s="1040" t="s">
        <v>6228</v>
      </c>
      <c r="D2385" s="1736"/>
      <c r="E2385" s="1043">
        <v>8.9</v>
      </c>
      <c r="F2385" s="1043"/>
      <c r="G2385" s="1550"/>
    </row>
    <row r="2386" spans="1:7">
      <c r="A2386" s="1754">
        <v>41450</v>
      </c>
      <c r="B2386" s="125" t="str">
        <f>TiposLancamentos!B30</f>
        <v>Cinema</v>
      </c>
      <c r="C2386" s="1040" t="s">
        <v>6229</v>
      </c>
      <c r="D2386" s="1736"/>
      <c r="E2386" s="1043">
        <v>27</v>
      </c>
      <c r="F2386" s="1043"/>
      <c r="G2386" s="1550"/>
    </row>
    <row r="2387" spans="1:7">
      <c r="A2387" s="1754">
        <v>41450</v>
      </c>
      <c r="B2387" s="125" t="str">
        <f>TiposLancamentos!B30</f>
        <v>Cinema</v>
      </c>
      <c r="C2387" s="1040" t="s">
        <v>4027</v>
      </c>
      <c r="D2387" s="1736"/>
      <c r="E2387" s="1043">
        <v>30</v>
      </c>
      <c r="F2387" s="1043"/>
      <c r="G2387" s="1550"/>
    </row>
    <row r="2388" spans="1:7">
      <c r="A2388" s="1754">
        <v>41451</v>
      </c>
      <c r="B2388" s="125" t="str">
        <f>TiposLancamentos!B19</f>
        <v>Restaurantes</v>
      </c>
      <c r="C2388" s="1040" t="s">
        <v>6230</v>
      </c>
      <c r="D2388" s="1736"/>
      <c r="E2388" s="1043">
        <v>59.84</v>
      </c>
      <c r="F2388" s="1043"/>
      <c r="G2388" s="1550"/>
    </row>
    <row r="2389" spans="1:7">
      <c r="A2389" s="1754">
        <v>41451</v>
      </c>
      <c r="B2389" s="125" t="str">
        <f>TiposLancamentos!B16</f>
        <v>Cristiane</v>
      </c>
      <c r="C2389" s="1040" t="s">
        <v>6231</v>
      </c>
      <c r="D2389" s="1736"/>
      <c r="E2389" s="1043">
        <v>329.4</v>
      </c>
      <c r="F2389" s="1043"/>
      <c r="G2389" s="1550"/>
    </row>
    <row r="2390" spans="1:7">
      <c r="A2390" s="1754">
        <v>41451</v>
      </c>
      <c r="B2390" s="125" t="str">
        <f>TiposLancamentos!B24</f>
        <v>Estacionamentos</v>
      </c>
      <c r="C2390" s="1040" t="s">
        <v>6232</v>
      </c>
      <c r="D2390" s="1736"/>
      <c r="E2390" s="1043">
        <v>7</v>
      </c>
      <c r="F2390" s="1043"/>
      <c r="G2390" s="1550"/>
    </row>
    <row r="2391" spans="1:7">
      <c r="A2391" s="1754">
        <v>41452</v>
      </c>
      <c r="B2391" s="125" t="str">
        <f>TiposLancamentos!B19</f>
        <v>Restaurantes</v>
      </c>
      <c r="C2391" s="1040" t="s">
        <v>6190</v>
      </c>
      <c r="D2391" s="1736"/>
      <c r="E2391" s="1043">
        <v>92</v>
      </c>
      <c r="F2391" s="1043"/>
      <c r="G2391" s="1550"/>
    </row>
    <row r="2392" spans="1:7">
      <c r="A2392" s="1754">
        <v>41452</v>
      </c>
      <c r="B2392" s="125" t="str">
        <f>TiposLancamentos!B31</f>
        <v>Action Figures</v>
      </c>
      <c r="C2392" s="1040" t="s">
        <v>6233</v>
      </c>
      <c r="D2392" s="1736"/>
      <c r="E2392" s="1043">
        <v>254.9</v>
      </c>
      <c r="F2392" s="1043"/>
      <c r="G2392" s="1550"/>
    </row>
    <row r="2393" spans="1:7">
      <c r="A2393" s="1754">
        <v>41453</v>
      </c>
      <c r="B2393" s="125" t="str">
        <f>TiposLancamentos!B95</f>
        <v>Salarios</v>
      </c>
      <c r="C2393" s="1040" t="s">
        <v>5917</v>
      </c>
      <c r="D2393" s="1736">
        <v>7433.07</v>
      </c>
      <c r="E2393" s="1043"/>
      <c r="F2393" s="1043"/>
      <c r="G2393" s="1550"/>
    </row>
    <row r="2394" spans="1:7">
      <c r="A2394" s="1754">
        <v>41453</v>
      </c>
      <c r="B2394" s="125" t="str">
        <f>TiposLancamentos!B22</f>
        <v>Combustivel</v>
      </c>
      <c r="C2394" s="1040" t="s">
        <v>5961</v>
      </c>
      <c r="D2394" s="1736"/>
      <c r="E2394" s="1043">
        <v>108.04</v>
      </c>
      <c r="F2394" s="1043"/>
      <c r="G2394" s="1550"/>
    </row>
    <row r="2395" spans="1:7">
      <c r="A2395" s="1754">
        <v>41453</v>
      </c>
      <c r="B2395" s="125" t="str">
        <f>TiposLancamentos!B5</f>
        <v>Supermercado</v>
      </c>
      <c r="C2395" s="1040" t="s">
        <v>6234</v>
      </c>
      <c r="D2395" s="1736"/>
      <c r="E2395" s="1043">
        <v>23.37</v>
      </c>
      <c r="F2395" s="1043"/>
      <c r="G2395" s="1550"/>
    </row>
    <row r="2396" spans="1:7">
      <c r="A2396" s="1754">
        <v>41453</v>
      </c>
      <c r="B2396" s="125" t="str">
        <f>TiposLancamentos!B95</f>
        <v>Salarios</v>
      </c>
      <c r="C2396" s="1040" t="s">
        <v>5917</v>
      </c>
      <c r="D2396" s="1736">
        <v>135.16999999999999</v>
      </c>
      <c r="E2396" s="1043"/>
      <c r="F2396" s="1043"/>
      <c r="G2396" s="1550"/>
    </row>
    <row r="2397" spans="1:7">
      <c r="A2397" s="1754">
        <v>41453</v>
      </c>
      <c r="B2397" s="125" t="str">
        <f>TiposLancamentos!B43</f>
        <v>Imposto de Renda</v>
      </c>
      <c r="C2397" s="1040" t="s">
        <v>6235</v>
      </c>
      <c r="D2397" s="1736"/>
      <c r="E2397" s="1043">
        <v>299.27</v>
      </c>
      <c r="F2397" s="1043"/>
      <c r="G2397" s="1550"/>
    </row>
    <row r="2398" spans="1:7">
      <c r="A2398" s="1754">
        <v>41454</v>
      </c>
      <c r="B2398" s="125" t="str">
        <f>TiposLancamentos!B19</f>
        <v>Restaurantes</v>
      </c>
      <c r="C2398" s="1040" t="s">
        <v>6236</v>
      </c>
      <c r="D2398" s="1736"/>
      <c r="E2398" s="1043">
        <v>24.5</v>
      </c>
      <c r="F2398" s="1043"/>
      <c r="G2398" s="1550"/>
    </row>
    <row r="2399" spans="1:7">
      <c r="A2399" s="1754">
        <v>41454</v>
      </c>
      <c r="B2399" s="125" t="str">
        <f>TiposLancamentos!B19</f>
        <v>Restaurantes</v>
      </c>
      <c r="C2399" s="1040" t="s">
        <v>6237</v>
      </c>
      <c r="D2399" s="1736"/>
      <c r="E2399" s="1043">
        <v>14.4</v>
      </c>
      <c r="F2399" s="1043"/>
      <c r="G2399" s="1550"/>
    </row>
    <row r="2400" spans="1:7">
      <c r="A2400" s="1754">
        <v>41455</v>
      </c>
      <c r="B2400" s="125" t="str">
        <f>TiposLancamentos!B19</f>
        <v>Restaurantes</v>
      </c>
      <c r="C2400" s="1040" t="s">
        <v>6238</v>
      </c>
      <c r="D2400" s="1736"/>
      <c r="E2400" s="1043">
        <v>31</v>
      </c>
      <c r="F2400" s="1043"/>
      <c r="G2400" s="1550"/>
    </row>
    <row r="2401" spans="1:7">
      <c r="A2401" s="1754">
        <v>41455</v>
      </c>
      <c r="B2401" s="125" t="str">
        <f>TiposLancamentos!B22</f>
        <v>Combustivel</v>
      </c>
      <c r="C2401" s="1040" t="s">
        <v>5961</v>
      </c>
      <c r="D2401" s="1736"/>
      <c r="E2401" s="1043">
        <v>92</v>
      </c>
      <c r="F2401" s="1043"/>
      <c r="G2401" s="1550"/>
    </row>
    <row r="2402" spans="1:7">
      <c r="A2402" s="1754">
        <v>41455</v>
      </c>
      <c r="B2402" s="125" t="str">
        <f>TiposLancamentos!B19</f>
        <v>Restaurantes</v>
      </c>
      <c r="C2402" s="1040" t="s">
        <v>6236</v>
      </c>
      <c r="D2402" s="1736"/>
      <c r="E2402" s="1043">
        <v>12.6</v>
      </c>
      <c r="F2402" s="1043"/>
      <c r="G2402" s="1550"/>
    </row>
    <row r="2403" spans="1:7" ht="14.25" thickBot="1">
      <c r="A2403" s="1754">
        <v>41455</v>
      </c>
      <c r="B2403" s="125" t="str">
        <f>TiposLancamentos!B19</f>
        <v>Restaurantes</v>
      </c>
      <c r="C2403" s="1040" t="s">
        <v>6237</v>
      </c>
      <c r="D2403" s="1736"/>
      <c r="E2403" s="1043">
        <v>19.399999999999999</v>
      </c>
      <c r="F2403" s="1043"/>
      <c r="G2403" s="1550"/>
    </row>
    <row r="2404" spans="1:7">
      <c r="A2404" s="1834"/>
      <c r="B2404" s="977"/>
      <c r="C2404" s="1854" t="s">
        <v>6239</v>
      </c>
      <c r="D2404" s="1823"/>
      <c r="E2404" s="1821"/>
      <c r="F2404" s="1821"/>
      <c r="G2404" s="1895"/>
    </row>
    <row r="2405" spans="1:7">
      <c r="A2405" s="1754">
        <v>41456</v>
      </c>
      <c r="B2405" s="125" t="str">
        <f>TiposLancamentos!B15</f>
        <v>Cartões de Crédito</v>
      </c>
      <c r="C2405" s="1040" t="s">
        <v>6240</v>
      </c>
      <c r="D2405" s="1736"/>
      <c r="E2405" s="1043">
        <v>3495.73</v>
      </c>
      <c r="F2405" s="1043"/>
      <c r="G2405" s="1550"/>
    </row>
    <row r="2406" spans="1:7">
      <c r="A2406" s="1754">
        <v>41456</v>
      </c>
      <c r="B2406" s="125" t="str">
        <f>TiposLancamentos!B6</f>
        <v>Energia Eletrica</v>
      </c>
      <c r="C2406" s="1040" t="s">
        <v>5191</v>
      </c>
      <c r="D2406" s="1736"/>
      <c r="E2406" s="1043">
        <v>111.94</v>
      </c>
      <c r="F2406" s="1043"/>
      <c r="G2406" s="1550"/>
    </row>
    <row r="2407" spans="1:7">
      <c r="A2407" s="1754">
        <v>41456</v>
      </c>
      <c r="B2407" s="125" t="str">
        <f>TiposLancamentos!B9</f>
        <v>Condominio</v>
      </c>
      <c r="C2407" s="1040" t="s">
        <v>5925</v>
      </c>
      <c r="D2407" s="1736"/>
      <c r="E2407" s="1043">
        <v>862.43</v>
      </c>
      <c r="F2407" s="1043"/>
      <c r="G2407" s="1550"/>
    </row>
    <row r="2408" spans="1:7">
      <c r="A2408" s="1754">
        <v>41456</v>
      </c>
      <c r="B2408" s="125" t="str">
        <f>TiposLancamentos!B16</f>
        <v>Cristiane</v>
      </c>
      <c r="C2408" s="1040" t="s">
        <v>6241</v>
      </c>
      <c r="D2408" s="1736"/>
      <c r="E2408" s="1043">
        <v>108.29</v>
      </c>
      <c r="F2408" s="1043"/>
      <c r="G2408" s="1550"/>
    </row>
    <row r="2409" spans="1:7">
      <c r="A2409" s="1666">
        <v>41456</v>
      </c>
      <c r="B2409" s="817" t="str">
        <f>TiposLancamentos!B35</f>
        <v>Tv à Cabo</v>
      </c>
      <c r="C2409" s="1742" t="s">
        <v>5834</v>
      </c>
      <c r="D2409" s="1735"/>
      <c r="E2409" s="1733">
        <v>252.34</v>
      </c>
      <c r="F2409" s="1043"/>
      <c r="G2409" s="1550"/>
    </row>
    <row r="2410" spans="1:7">
      <c r="A2410" s="1667">
        <v>41456</v>
      </c>
      <c r="B2410" s="816" t="str">
        <f>TiposLancamentos!B3</f>
        <v>Internet</v>
      </c>
      <c r="C2410" s="1769" t="s">
        <v>5835</v>
      </c>
      <c r="D2410" s="1736"/>
      <c r="E2410" s="1734">
        <v>63.63</v>
      </c>
      <c r="F2410" s="1043"/>
      <c r="G2410" s="1550"/>
    </row>
    <row r="2411" spans="1:7">
      <c r="A2411" s="1750">
        <v>41456</v>
      </c>
      <c r="B2411" s="818" t="str">
        <f>TiposLancamentos!B2</f>
        <v>Telefonia</v>
      </c>
      <c r="C2411" s="1743" t="s">
        <v>5836</v>
      </c>
      <c r="D2411" s="1737"/>
      <c r="E2411" s="1668">
        <v>0</v>
      </c>
      <c r="F2411" s="1043">
        <f>SUM(E2409:E2411)</f>
        <v>315.97000000000003</v>
      </c>
      <c r="G2411" s="1550"/>
    </row>
    <row r="2412" spans="1:7">
      <c r="A2412" s="1754">
        <v>41456</v>
      </c>
      <c r="B2412" s="125" t="str">
        <f>TiposLancamentos!B73</f>
        <v>Cursos</v>
      </c>
      <c r="C2412" s="1040" t="s">
        <v>6242</v>
      </c>
      <c r="D2412" s="1736"/>
      <c r="E2412" s="1043">
        <v>593.17999999999995</v>
      </c>
      <c r="F2412" s="1043"/>
      <c r="G2412" s="1550"/>
    </row>
    <row r="2413" spans="1:7">
      <c r="A2413" s="1754">
        <v>41456</v>
      </c>
      <c r="B2413" s="125" t="str">
        <f>TiposLancamentos!B34</f>
        <v>Seguros</v>
      </c>
      <c r="C2413" s="1040" t="s">
        <v>6243</v>
      </c>
      <c r="D2413" s="1736"/>
      <c r="E2413" s="1043">
        <v>69</v>
      </c>
      <c r="F2413" s="1043"/>
      <c r="G2413" s="1550"/>
    </row>
    <row r="2414" spans="1:7">
      <c r="A2414" s="1754">
        <v>41456</v>
      </c>
      <c r="B2414" s="125" t="str">
        <f>TiposLancamentos!B32</f>
        <v>Clinicas e tratamentos</v>
      </c>
      <c r="C2414" s="1040" t="s">
        <v>6244</v>
      </c>
      <c r="D2414" s="1736"/>
      <c r="E2414" s="1043">
        <v>440</v>
      </c>
      <c r="F2414" s="1043"/>
      <c r="G2414" s="1550"/>
    </row>
    <row r="2415" spans="1:7">
      <c r="A2415" s="1754">
        <v>41456</v>
      </c>
      <c r="B2415" s="125" t="str">
        <f>TiposLancamentos!B20</f>
        <v>Saques</v>
      </c>
      <c r="C2415" s="1040" t="s">
        <v>6245</v>
      </c>
      <c r="D2415" s="1736"/>
      <c r="E2415" s="1043">
        <v>150</v>
      </c>
      <c r="F2415" s="1043"/>
      <c r="G2415" s="1550"/>
    </row>
    <row r="2416" spans="1:7">
      <c r="A2416" s="1754">
        <v>41459</v>
      </c>
      <c r="B2416" s="125" t="str">
        <f>TiposLancamentos!B16</f>
        <v>Cristiane</v>
      </c>
      <c r="C2416" s="1040" t="s">
        <v>6246</v>
      </c>
      <c r="D2416" s="1736"/>
      <c r="E2416" s="1043">
        <v>200</v>
      </c>
      <c r="F2416" s="1043"/>
      <c r="G2416" s="1550"/>
    </row>
    <row r="2417" spans="1:7">
      <c r="A2417" s="1754">
        <v>41459</v>
      </c>
      <c r="B2417" s="125" t="str">
        <f>TiposLancamentos!B16</f>
        <v>Cristiane</v>
      </c>
      <c r="C2417" s="1040" t="s">
        <v>6247</v>
      </c>
      <c r="D2417" s="1736"/>
      <c r="E2417" s="1043">
        <v>109.65</v>
      </c>
      <c r="F2417" s="1043"/>
      <c r="G2417" s="1550"/>
    </row>
    <row r="2418" spans="1:7">
      <c r="A2418" s="1754">
        <v>41459</v>
      </c>
      <c r="B2418" s="125" t="str">
        <f>TiposLancamentos!B56</f>
        <v>Farmácia</v>
      </c>
      <c r="C2418" s="1040" t="s">
        <v>6118</v>
      </c>
      <c r="D2418" s="1736"/>
      <c r="E2418" s="1043">
        <v>61.33</v>
      </c>
      <c r="F2418" s="1043"/>
      <c r="G2418" s="1550"/>
    </row>
    <row r="2419" spans="1:7">
      <c r="A2419" s="1754">
        <v>41460</v>
      </c>
      <c r="B2419" s="125" t="str">
        <f>TiposLancamentos!B5</f>
        <v>Supermercado</v>
      </c>
      <c r="C2419" s="1040" t="s">
        <v>6234</v>
      </c>
      <c r="D2419" s="1736"/>
      <c r="E2419" s="1043">
        <v>32.06</v>
      </c>
      <c r="F2419" s="1043"/>
      <c r="G2419" s="1550"/>
    </row>
    <row r="2420" spans="1:7">
      <c r="A2420" s="1754">
        <v>41463</v>
      </c>
      <c r="B2420" s="125" t="str">
        <f>TiposLancamentos!B16</f>
        <v>Cristiane</v>
      </c>
      <c r="C2420" s="1040" t="s">
        <v>6248</v>
      </c>
      <c r="D2420" s="1736"/>
      <c r="E2420" s="1043">
        <v>110</v>
      </c>
      <c r="F2420" s="1043"/>
      <c r="G2420" s="1550"/>
    </row>
    <row r="2421" spans="1:7">
      <c r="A2421" s="1754">
        <v>41463</v>
      </c>
      <c r="B2421" s="125" t="str">
        <f>TiposLancamentos!B5</f>
        <v>Supermercado</v>
      </c>
      <c r="C2421" s="1040" t="s">
        <v>6249</v>
      </c>
      <c r="D2421" s="1736"/>
      <c r="E2421" s="1043">
        <v>74.83</v>
      </c>
      <c r="F2421" s="1043"/>
      <c r="G2421" s="1550"/>
    </row>
    <row r="2422" spans="1:7">
      <c r="A2422" s="1754">
        <v>41464</v>
      </c>
      <c r="B2422" s="125" t="str">
        <f>TiposLancamentos!B5</f>
        <v>Supermercado</v>
      </c>
      <c r="C2422" s="1040" t="s">
        <v>6250</v>
      </c>
      <c r="D2422" s="1736"/>
      <c r="E2422" s="1043">
        <v>252.85</v>
      </c>
      <c r="F2422" s="1043"/>
      <c r="G2422" s="1550"/>
    </row>
    <row r="2423" spans="1:7">
      <c r="A2423" s="1754">
        <v>41464</v>
      </c>
      <c r="B2423" s="125" t="str">
        <f>TiposLancamentos!B5</f>
        <v>Supermercado</v>
      </c>
      <c r="C2423" s="1040" t="s">
        <v>6234</v>
      </c>
      <c r="D2423" s="1736"/>
      <c r="E2423" s="1043">
        <v>126.48</v>
      </c>
      <c r="F2423" s="1043"/>
      <c r="G2423" s="1550"/>
    </row>
    <row r="2424" spans="1:7">
      <c r="A2424" s="1754">
        <v>41465</v>
      </c>
      <c r="B2424" s="125" t="str">
        <f>TiposLancamentos!B22</f>
        <v>Combustivel</v>
      </c>
      <c r="C2424" s="1040" t="s">
        <v>5961</v>
      </c>
      <c r="D2424" s="1736"/>
      <c r="E2424" s="1043">
        <v>104.07</v>
      </c>
      <c r="F2424" s="1043"/>
      <c r="G2424" s="1550"/>
    </row>
    <row r="2425" spans="1:7">
      <c r="A2425" s="1666">
        <v>41465</v>
      </c>
      <c r="B2425" s="817" t="str">
        <f>TiposLancamentos!B8</f>
        <v>Aluguel</v>
      </c>
      <c r="C2425" s="1742" t="s">
        <v>6163</v>
      </c>
      <c r="D2425" s="1735"/>
      <c r="E2425" s="1733">
        <f>F2427-(E2426+E2427)</f>
        <v>1340.3700000000001</v>
      </c>
      <c r="F2425" s="1043"/>
      <c r="G2425" s="1550"/>
    </row>
    <row r="2426" spans="1:7">
      <c r="A2426" s="1667">
        <v>41465</v>
      </c>
      <c r="B2426" s="816" t="str">
        <f>TiposLancamentos!B12</f>
        <v>IPTU</v>
      </c>
      <c r="C2426" s="1769" t="s">
        <v>6251</v>
      </c>
      <c r="D2426" s="1736"/>
      <c r="E2426" s="1734">
        <v>104.78</v>
      </c>
      <c r="F2426" s="1043"/>
      <c r="G2426" s="1550"/>
    </row>
    <row r="2427" spans="1:7">
      <c r="A2427" s="1750">
        <v>41465</v>
      </c>
      <c r="B2427" s="818" t="str">
        <f>TiposLancamentos!B34</f>
        <v>Seguros</v>
      </c>
      <c r="C2427" s="1743" t="s">
        <v>6252</v>
      </c>
      <c r="D2427" s="1737"/>
      <c r="E2427" s="1668">
        <v>209.77</v>
      </c>
      <c r="F2427" s="1043">
        <v>1654.92</v>
      </c>
      <c r="G2427" s="1550"/>
    </row>
    <row r="2428" spans="1:7">
      <c r="A2428" s="1754">
        <v>41466</v>
      </c>
      <c r="B2428" s="125" t="str">
        <f>TiposLancamentos!B99</f>
        <v>Venda de algo</v>
      </c>
      <c r="C2428" s="1040" t="s">
        <v>6253</v>
      </c>
      <c r="D2428" s="1736">
        <v>20</v>
      </c>
      <c r="E2428" s="1043"/>
      <c r="F2428" s="1043"/>
      <c r="G2428" s="1550"/>
    </row>
    <row r="2429" spans="1:7">
      <c r="A2429" s="1754">
        <v>41466</v>
      </c>
      <c r="B2429" s="125" t="str">
        <f>TiposLancamentos!B16</f>
        <v>Cristiane</v>
      </c>
      <c r="C2429" s="1040" t="s">
        <v>6254</v>
      </c>
      <c r="D2429" s="1736"/>
      <c r="E2429" s="1043">
        <v>45.8</v>
      </c>
      <c r="F2429" s="1043"/>
      <c r="G2429" s="1550"/>
    </row>
    <row r="2430" spans="1:7">
      <c r="A2430" s="1754">
        <v>41466</v>
      </c>
      <c r="B2430" s="125" t="str">
        <f>TiposLancamentos!B20</f>
        <v>Saques</v>
      </c>
      <c r="C2430" s="1040" t="s">
        <v>3900</v>
      </c>
      <c r="D2430" s="1736"/>
      <c r="E2430" s="1043">
        <v>40</v>
      </c>
      <c r="F2430" s="1043"/>
      <c r="G2430" s="1550"/>
    </row>
    <row r="2431" spans="1:7">
      <c r="A2431" s="1754">
        <v>41466</v>
      </c>
      <c r="B2431" s="125" t="str">
        <f>TiposLancamentos!B20</f>
        <v>Saques</v>
      </c>
      <c r="C2431" s="1040" t="s">
        <v>6255</v>
      </c>
      <c r="D2431" s="1736"/>
      <c r="E2431" s="1043">
        <v>59.9</v>
      </c>
      <c r="F2431" s="1043"/>
      <c r="G2431" s="1550"/>
    </row>
    <row r="2432" spans="1:7">
      <c r="A2432" s="1754">
        <v>41468</v>
      </c>
      <c r="B2432" s="125" t="str">
        <f>TiposLancamentos!B19</f>
        <v>Restaurantes</v>
      </c>
      <c r="C2432" s="1040" t="s">
        <v>6256</v>
      </c>
      <c r="D2432" s="1736"/>
      <c r="E2432" s="1043">
        <v>19</v>
      </c>
      <c r="F2432" s="1043"/>
      <c r="G2432" s="1550"/>
    </row>
    <row r="2433" spans="1:7">
      <c r="A2433" s="1754">
        <v>41468</v>
      </c>
      <c r="B2433" s="125" t="str">
        <f>TiposLancamentos!B20</f>
        <v>Saques</v>
      </c>
      <c r="C2433" s="1040" t="s">
        <v>4325</v>
      </c>
      <c r="D2433" s="1736"/>
      <c r="E2433" s="1043">
        <v>100</v>
      </c>
      <c r="F2433" s="1043"/>
      <c r="G2433" s="1550"/>
    </row>
    <row r="2434" spans="1:7">
      <c r="A2434" s="1754">
        <v>41470</v>
      </c>
      <c r="B2434" s="125" t="str">
        <f>TiposLancamentos!B95</f>
        <v>Salarios</v>
      </c>
      <c r="C2434" s="1040" t="s">
        <v>4916</v>
      </c>
      <c r="D2434" s="1736">
        <v>2198.35</v>
      </c>
      <c r="E2434" s="1043"/>
      <c r="F2434" s="1043"/>
      <c r="G2434" s="1550"/>
    </row>
    <row r="2435" spans="1:7">
      <c r="A2435" s="1666">
        <v>41470</v>
      </c>
      <c r="B2435" s="817" t="str">
        <f>TiposLancamentos!B33</f>
        <v>Pedágios</v>
      </c>
      <c r="C2435" s="1742" t="s">
        <v>5392</v>
      </c>
      <c r="D2435" s="1735"/>
      <c r="E2435" s="1733">
        <f>91.1+6.2</f>
        <v>97.3</v>
      </c>
      <c r="F2435" s="1043"/>
      <c r="G2435" s="1550"/>
    </row>
    <row r="2436" spans="1:7">
      <c r="A2436" s="1750">
        <v>41470</v>
      </c>
      <c r="B2436" s="818" t="str">
        <f>TiposLancamentos!B24</f>
        <v>Estacionamentos</v>
      </c>
      <c r="C2436" s="1743" t="s">
        <v>5863</v>
      </c>
      <c r="D2436" s="1737"/>
      <c r="E2436" s="1668">
        <v>43</v>
      </c>
      <c r="F2436" s="1043">
        <f>SUM(E2435:E2436)</f>
        <v>140.30000000000001</v>
      </c>
      <c r="G2436" s="1550"/>
    </row>
    <row r="2437" spans="1:7">
      <c r="A2437" s="1754">
        <v>41470</v>
      </c>
      <c r="B2437" s="125" t="str">
        <f>TiposLancamentos!B9</f>
        <v>Condominio</v>
      </c>
      <c r="C2437" s="1040" t="s">
        <v>6257</v>
      </c>
      <c r="D2437" s="1736"/>
      <c r="E2437" s="1043">
        <v>150</v>
      </c>
      <c r="F2437" s="1043"/>
      <c r="G2437" s="1550"/>
    </row>
    <row r="2438" spans="1:7">
      <c r="A2438" s="1754">
        <v>41470</v>
      </c>
      <c r="B2438" s="125" t="str">
        <f>TiposLancamentos!B44</f>
        <v>Academia</v>
      </c>
      <c r="C2438" s="1040" t="s">
        <v>6258</v>
      </c>
      <c r="D2438" s="1736"/>
      <c r="E2438" s="1043">
        <v>40</v>
      </c>
      <c r="F2438" s="1043"/>
      <c r="G2438" s="1550"/>
    </row>
    <row r="2439" spans="1:7">
      <c r="A2439" s="1754">
        <v>41471</v>
      </c>
      <c r="B2439" s="125" t="str">
        <f>TiposLancamentos!B5</f>
        <v>Supermercado</v>
      </c>
      <c r="C2439" s="1040" t="s">
        <v>6259</v>
      </c>
      <c r="D2439" s="1736"/>
      <c r="E2439" s="1043">
        <v>15.26</v>
      </c>
      <c r="F2439" s="1043"/>
      <c r="G2439" s="1550"/>
    </row>
    <row r="2440" spans="1:7">
      <c r="A2440" s="1754">
        <v>41472</v>
      </c>
      <c r="B2440" s="125" t="str">
        <f>TiposLancamentos!B20</f>
        <v>Saques</v>
      </c>
      <c r="C2440" s="1040" t="s">
        <v>3604</v>
      </c>
      <c r="D2440" s="1736"/>
      <c r="E2440" s="1043">
        <v>40</v>
      </c>
      <c r="F2440" s="1043"/>
      <c r="G2440" s="1550"/>
    </row>
    <row r="2441" spans="1:7">
      <c r="A2441" s="1754">
        <v>41472</v>
      </c>
      <c r="B2441" s="125" t="str">
        <f>TiposLancamentos!B56</f>
        <v>Farmácia</v>
      </c>
      <c r="C2441" s="1040" t="s">
        <v>6260</v>
      </c>
      <c r="D2441" s="1736"/>
      <c r="E2441" s="1043">
        <v>83.5</v>
      </c>
      <c r="F2441" s="1043"/>
      <c r="G2441" s="1550"/>
    </row>
    <row r="2442" spans="1:7">
      <c r="A2442" s="1754">
        <v>41474</v>
      </c>
      <c r="B2442" s="125" t="str">
        <f>TiposLancamentos!B88</f>
        <v>Ford Ecosport XLT</v>
      </c>
      <c r="C2442" s="1040" t="s">
        <v>6261</v>
      </c>
      <c r="D2442" s="1736"/>
      <c r="E2442" s="1043">
        <v>500</v>
      </c>
      <c r="F2442" s="1043"/>
      <c r="G2442" s="1550"/>
    </row>
    <row r="2443" spans="1:7">
      <c r="A2443" s="1754">
        <v>41474</v>
      </c>
      <c r="B2443" s="125" t="str">
        <f>TiposLancamentos!B5</f>
        <v>Supermercado</v>
      </c>
      <c r="C2443" s="1040" t="s">
        <v>6262</v>
      </c>
      <c r="D2443" s="1736"/>
      <c r="E2443" s="1043">
        <v>42.05</v>
      </c>
      <c r="F2443" s="1043"/>
      <c r="G2443" s="1550"/>
    </row>
    <row r="2444" spans="1:7">
      <c r="A2444" s="1754">
        <v>41474</v>
      </c>
      <c r="B2444" s="125" t="str">
        <f>TiposLancamentos!B96</f>
        <v>Resg.Poup.</v>
      </c>
      <c r="C2444" s="1040" t="s">
        <v>6263</v>
      </c>
      <c r="D2444" s="1736">
        <v>13000</v>
      </c>
      <c r="E2444" s="1043"/>
      <c r="F2444" s="1043"/>
      <c r="G2444" s="1550"/>
    </row>
    <row r="2445" spans="1:7">
      <c r="A2445" s="1754">
        <v>41474</v>
      </c>
      <c r="B2445" s="125" t="str">
        <f>TiposLancamentos!B88</f>
        <v>Ford Ecosport XLT</v>
      </c>
      <c r="C2445" s="1040" t="s">
        <v>6264</v>
      </c>
      <c r="D2445" s="1736"/>
      <c r="E2445" s="1043">
        <v>12500</v>
      </c>
      <c r="F2445" s="1043"/>
      <c r="G2445" s="1550"/>
    </row>
    <row r="2446" spans="1:7">
      <c r="A2446" s="1754">
        <v>41475</v>
      </c>
      <c r="B2446" s="125" t="str">
        <f>TiposLancamentos!B71</f>
        <v>Itens Pessoais</v>
      </c>
      <c r="C2446" s="1040" t="s">
        <v>6265</v>
      </c>
      <c r="D2446" s="1736"/>
      <c r="E2446" s="1043">
        <v>23</v>
      </c>
      <c r="F2446" s="1043"/>
      <c r="G2446" s="1550"/>
    </row>
    <row r="2447" spans="1:7">
      <c r="A2447" s="1754">
        <v>41476</v>
      </c>
      <c r="B2447" s="125" t="str">
        <f>TiposLancamentos!B5</f>
        <v>Supermercado</v>
      </c>
      <c r="C2447" s="1040" t="s">
        <v>6266</v>
      </c>
      <c r="D2447" s="1736"/>
      <c r="E2447" s="1043">
        <v>44.7</v>
      </c>
      <c r="F2447" s="1043"/>
      <c r="G2447" s="1550"/>
    </row>
    <row r="2448" spans="1:7">
      <c r="A2448" s="1754">
        <v>41476</v>
      </c>
      <c r="B2448" s="125" t="str">
        <f>TiposLancamentos!B5</f>
        <v>Supermercado</v>
      </c>
      <c r="C2448" s="1040" t="s">
        <v>6267</v>
      </c>
      <c r="D2448" s="1736"/>
      <c r="E2448" s="1043">
        <v>17.559999999999999</v>
      </c>
      <c r="F2448" s="1043"/>
      <c r="G2448" s="1550"/>
    </row>
    <row r="2449" spans="1:7">
      <c r="A2449" s="1666">
        <v>41477</v>
      </c>
      <c r="B2449" s="817" t="str">
        <f>TiposLancamentos!B44</f>
        <v>Academia</v>
      </c>
      <c r="C2449" s="1742" t="s">
        <v>6268</v>
      </c>
      <c r="D2449" s="1735"/>
      <c r="E2449" s="1733">
        <v>135</v>
      </c>
      <c r="F2449" s="1043"/>
      <c r="G2449" s="1550"/>
    </row>
    <row r="2450" spans="1:7">
      <c r="A2450" s="1750">
        <v>41477</v>
      </c>
      <c r="B2450" s="818" t="str">
        <f>TiposLancamentos!B16</f>
        <v>Cristiane</v>
      </c>
      <c r="C2450" s="1743" t="s">
        <v>6269</v>
      </c>
      <c r="D2450" s="1737"/>
      <c r="E2450" s="1668">
        <v>135</v>
      </c>
      <c r="F2450" s="1043">
        <f>SUM(E2449:E2450)</f>
        <v>270</v>
      </c>
      <c r="G2450" s="1550"/>
    </row>
    <row r="2451" spans="1:7">
      <c r="A2451" s="1754">
        <v>41478</v>
      </c>
      <c r="B2451" s="125" t="str">
        <f>TiposLancamentos!B19</f>
        <v>Restaurantes</v>
      </c>
      <c r="C2451" s="1040" t="s">
        <v>6270</v>
      </c>
      <c r="D2451" s="1736"/>
      <c r="E2451" s="1043">
        <v>16.350000000000001</v>
      </c>
      <c r="F2451" s="1043"/>
      <c r="G2451" s="1550"/>
    </row>
    <row r="2452" spans="1:7">
      <c r="A2452" s="1754">
        <v>41482</v>
      </c>
      <c r="B2452" s="125" t="str">
        <f>TiposLancamentos!B69</f>
        <v>Consertos</v>
      </c>
      <c r="C2452" s="1040" t="s">
        <v>6271</v>
      </c>
      <c r="D2452" s="1736"/>
      <c r="E2452" s="1043">
        <v>6</v>
      </c>
      <c r="F2452" s="1043"/>
      <c r="G2452" s="1550"/>
    </row>
    <row r="2453" spans="1:7">
      <c r="A2453" s="1754">
        <v>41486</v>
      </c>
      <c r="B2453" s="125" t="str">
        <f>TiposLancamentos!B95</f>
        <v>Salarios</v>
      </c>
      <c r="C2453" s="1040" t="s">
        <v>5917</v>
      </c>
      <c r="D2453" s="1736">
        <v>8241.1200000000008</v>
      </c>
      <c r="E2453" s="1043"/>
      <c r="F2453" s="1043"/>
      <c r="G2453" s="1550"/>
    </row>
    <row r="2454" spans="1:7">
      <c r="A2454" s="1754">
        <v>41486</v>
      </c>
      <c r="B2454" s="125" t="str">
        <f>TiposLancamentos!B43</f>
        <v>Imposto de Renda</v>
      </c>
      <c r="C2454" s="1040" t="s">
        <v>6272</v>
      </c>
      <c r="D2454" s="1736"/>
      <c r="E2454" s="1043">
        <v>301.06</v>
      </c>
      <c r="F2454" s="1043"/>
      <c r="G2454" s="1550"/>
    </row>
    <row r="2455" spans="1:7">
      <c r="A2455" s="1754">
        <v>41486</v>
      </c>
      <c r="B2455" s="125" t="str">
        <f>TiposLancamentos!B20</f>
        <v>Saques</v>
      </c>
      <c r="C2455" s="1040" t="s">
        <v>3604</v>
      </c>
      <c r="D2455" s="1736"/>
      <c r="E2455" s="1043">
        <v>60</v>
      </c>
      <c r="F2455" s="1043"/>
      <c r="G2455" s="1550"/>
    </row>
    <row r="2456" spans="1:7" ht="14.25" thickBot="1">
      <c r="A2456" s="1754">
        <v>41486</v>
      </c>
      <c r="B2456" s="125" t="str">
        <f>TiposLancamentos!B16</f>
        <v>Cristiane</v>
      </c>
      <c r="C2456" s="1040" t="s">
        <v>6273</v>
      </c>
      <c r="D2456" s="1736"/>
      <c r="E2456" s="1043">
        <v>86</v>
      </c>
      <c r="F2456" s="1043"/>
      <c r="G2456" s="1550"/>
    </row>
    <row r="2457" spans="1:7">
      <c r="A2457" s="1834"/>
      <c r="B2457" s="977"/>
      <c r="C2457" s="1854" t="s">
        <v>6274</v>
      </c>
      <c r="D2457" s="1823"/>
      <c r="E2457" s="1821"/>
      <c r="F2457" s="1821"/>
      <c r="G2457" s="1895"/>
    </row>
    <row r="2458" spans="1:7">
      <c r="A2458" s="1754">
        <v>41487</v>
      </c>
      <c r="B2458" s="125" t="str">
        <f>TiposLancamentos!B15</f>
        <v>Cartões de Crédito</v>
      </c>
      <c r="C2458" s="1040" t="s">
        <v>6240</v>
      </c>
      <c r="D2458" s="1736"/>
      <c r="E2458" s="1043">
        <v>2223.0300000000002</v>
      </c>
      <c r="F2458" s="1043"/>
      <c r="G2458" s="1550"/>
    </row>
    <row r="2459" spans="1:7">
      <c r="A2459" s="1754">
        <v>41487</v>
      </c>
      <c r="B2459" s="125" t="str">
        <f>TiposLancamentos!B6</f>
        <v>Energia Eletrica</v>
      </c>
      <c r="C2459" s="1040" t="s">
        <v>5191</v>
      </c>
      <c r="D2459" s="1736"/>
      <c r="E2459" s="1043">
        <v>149.72</v>
      </c>
      <c r="F2459" s="1043"/>
      <c r="G2459" s="1550"/>
    </row>
    <row r="2460" spans="1:7">
      <c r="A2460" s="1754">
        <v>41487</v>
      </c>
      <c r="B2460" s="125" t="str">
        <f>TiposLancamentos!B9</f>
        <v>Condominio</v>
      </c>
      <c r="C2460" s="1040" t="s">
        <v>5925</v>
      </c>
      <c r="D2460" s="1736"/>
      <c r="E2460" s="1043">
        <v>870.41</v>
      </c>
      <c r="F2460" s="1043"/>
      <c r="G2460" s="1550"/>
    </row>
    <row r="2461" spans="1:7">
      <c r="A2461" s="1754">
        <v>41487</v>
      </c>
      <c r="B2461" s="125" t="str">
        <f>TiposLancamentos!B16</f>
        <v>Cristiane</v>
      </c>
      <c r="C2461" s="1040" t="s">
        <v>6248</v>
      </c>
      <c r="D2461" s="1736"/>
      <c r="E2461" s="1043">
        <v>110</v>
      </c>
      <c r="F2461" s="1043"/>
      <c r="G2461" s="1550"/>
    </row>
    <row r="2462" spans="1:7">
      <c r="A2462" s="1754">
        <v>41487</v>
      </c>
      <c r="B2462" s="125" t="str">
        <f>TiposLancamentos!B16</f>
        <v>Cristiane</v>
      </c>
      <c r="C2462" s="1040" t="s">
        <v>6241</v>
      </c>
      <c r="D2462" s="1736"/>
      <c r="E2462" s="1043">
        <v>87.76</v>
      </c>
      <c r="F2462" s="1043"/>
      <c r="G2462" s="1550"/>
    </row>
    <row r="2463" spans="1:7">
      <c r="A2463" s="1666">
        <v>41487</v>
      </c>
      <c r="B2463" s="817" t="str">
        <f>TiposLancamentos!B35</f>
        <v>Tv à Cabo</v>
      </c>
      <c r="C2463" s="1742" t="s">
        <v>5834</v>
      </c>
      <c r="D2463" s="1735"/>
      <c r="E2463" s="1733">
        <v>252.34</v>
      </c>
      <c r="F2463" s="1043"/>
      <c r="G2463" s="1550"/>
    </row>
    <row r="2464" spans="1:7">
      <c r="A2464" s="1667">
        <v>41487</v>
      </c>
      <c r="B2464" s="816" t="str">
        <f>TiposLancamentos!B3</f>
        <v>Internet</v>
      </c>
      <c r="C2464" s="1769" t="s">
        <v>5835</v>
      </c>
      <c r="D2464" s="1736"/>
      <c r="E2464" s="1734">
        <v>63.63</v>
      </c>
      <c r="F2464" s="1043"/>
      <c r="G2464" s="1550"/>
    </row>
    <row r="2465" spans="1:7">
      <c r="A2465" s="1750">
        <v>41487</v>
      </c>
      <c r="B2465" s="818" t="str">
        <f>TiposLancamentos!B2</f>
        <v>Telefonia</v>
      </c>
      <c r="C2465" s="1743" t="s">
        <v>5836</v>
      </c>
      <c r="D2465" s="1737"/>
      <c r="E2465" s="1668">
        <v>0.16</v>
      </c>
      <c r="F2465" s="1043">
        <f>SUM(E2463:E2465)</f>
        <v>316.13000000000005</v>
      </c>
      <c r="G2465" s="1550"/>
    </row>
    <row r="2466" spans="1:7">
      <c r="A2466" s="1754">
        <v>41487</v>
      </c>
      <c r="B2466" s="125" t="str">
        <f>TiposLancamentos!B73</f>
        <v>Cursos</v>
      </c>
      <c r="C2466" s="1040" t="s">
        <v>6275</v>
      </c>
      <c r="D2466" s="1736"/>
      <c r="E2466" s="1043">
        <v>593.17999999999995</v>
      </c>
      <c r="F2466" s="1043"/>
      <c r="G2466" s="1550"/>
    </row>
    <row r="2467" spans="1:7">
      <c r="A2467" s="1754">
        <v>41487</v>
      </c>
      <c r="B2467" s="125" t="str">
        <f>TiposLancamentos!B88</f>
        <v>Ford Ecosport XLT</v>
      </c>
      <c r="C2467" s="1040" t="s">
        <v>6276</v>
      </c>
      <c r="D2467" s="1736"/>
      <c r="E2467" s="1043">
        <v>470</v>
      </c>
      <c r="F2467" s="1043"/>
      <c r="G2467" s="1550"/>
    </row>
    <row r="2468" spans="1:7">
      <c r="A2468" s="1754">
        <v>41487</v>
      </c>
      <c r="B2468" s="125" t="str">
        <f>TiposLancamentos!B32</f>
        <v>Clinicas e tratamentos</v>
      </c>
      <c r="C2468" s="1040" t="s">
        <v>6277</v>
      </c>
      <c r="D2468" s="1736"/>
      <c r="E2468" s="1043">
        <v>440</v>
      </c>
      <c r="F2468" s="1043"/>
      <c r="G2468" s="1550"/>
    </row>
    <row r="2469" spans="1:7">
      <c r="A2469" s="1754">
        <v>41487</v>
      </c>
      <c r="B2469" s="125" t="str">
        <f>TiposLancamentos!B4</f>
        <v>Taxas Bancarias</v>
      </c>
      <c r="C2469" s="1040" t="s">
        <v>4858</v>
      </c>
      <c r="D2469" s="1736"/>
      <c r="E2469" s="1043">
        <v>5.05</v>
      </c>
      <c r="F2469" s="1043"/>
      <c r="G2469" s="1550"/>
    </row>
    <row r="2470" spans="1:7">
      <c r="A2470" s="1754">
        <v>41489</v>
      </c>
      <c r="B2470" s="125" t="str">
        <f>TiposLancamentos!B20</f>
        <v>Saques</v>
      </c>
      <c r="C2470" s="1040" t="s">
        <v>6278</v>
      </c>
      <c r="D2470" s="1736"/>
      <c r="E2470" s="1043">
        <v>40</v>
      </c>
      <c r="F2470" s="1043"/>
      <c r="G2470" s="1550"/>
    </row>
    <row r="2471" spans="1:7">
      <c r="A2471" s="1754">
        <v>41492</v>
      </c>
      <c r="B2471" s="125" t="str">
        <f>TiposLancamentos!B72</f>
        <v>Presentes</v>
      </c>
      <c r="C2471" s="1040" t="s">
        <v>6279</v>
      </c>
      <c r="D2471" s="1736"/>
      <c r="E2471" s="1043">
        <v>332</v>
      </c>
      <c r="F2471" s="1043"/>
      <c r="G2471" s="1550"/>
    </row>
    <row r="2472" spans="1:7">
      <c r="A2472" s="1754">
        <v>41493</v>
      </c>
      <c r="B2472" s="125" t="str">
        <f>TiposLancamentos!B5</f>
        <v>Supermercado</v>
      </c>
      <c r="C2472" s="1040" t="s">
        <v>6280</v>
      </c>
      <c r="D2472" s="1736"/>
      <c r="E2472" s="1043">
        <v>67.94</v>
      </c>
      <c r="F2472" s="1043"/>
      <c r="G2472" s="1550"/>
    </row>
    <row r="2473" spans="1:7">
      <c r="A2473" s="1754">
        <v>41494</v>
      </c>
      <c r="B2473" s="125" t="str">
        <f>TiposLancamentos!B56</f>
        <v>Farmácia</v>
      </c>
      <c r="C2473" s="1040" t="s">
        <v>6281</v>
      </c>
      <c r="D2473" s="1736"/>
      <c r="E2473" s="1043">
        <v>47.39</v>
      </c>
      <c r="F2473" s="1043"/>
      <c r="G2473" s="1550"/>
    </row>
    <row r="2474" spans="1:7">
      <c r="A2474" s="1754">
        <v>41494</v>
      </c>
      <c r="B2474" s="125" t="str">
        <f>TiposLancamentos!B4</f>
        <v>Taxas Bancarias</v>
      </c>
      <c r="C2474" s="1040" t="s">
        <v>5798</v>
      </c>
      <c r="D2474" s="1736"/>
      <c r="E2474" s="1043">
        <v>5.4</v>
      </c>
      <c r="F2474" s="1043"/>
      <c r="G2474" s="1550"/>
    </row>
    <row r="2475" spans="1:7">
      <c r="A2475" s="1754">
        <v>41495</v>
      </c>
      <c r="B2475" s="125" t="str">
        <f>TiposLancamentos!B20</f>
        <v>Saques</v>
      </c>
      <c r="C2475" s="1040" t="s">
        <v>3604</v>
      </c>
      <c r="D2475" s="1736"/>
      <c r="E2475" s="1043">
        <v>40</v>
      </c>
      <c r="F2475" s="1043"/>
      <c r="G2475" s="1550"/>
    </row>
    <row r="2476" spans="1:7">
      <c r="A2476" s="1754">
        <v>41495</v>
      </c>
      <c r="B2476" s="125" t="str">
        <f>TiposLancamentos!B32</f>
        <v>Clinicas e tratamentos</v>
      </c>
      <c r="C2476" s="1040" t="s">
        <v>6282</v>
      </c>
      <c r="D2476" s="1736"/>
      <c r="E2476" s="1043">
        <v>120</v>
      </c>
      <c r="F2476" s="1043"/>
      <c r="G2476" s="1550"/>
    </row>
    <row r="2477" spans="1:7">
      <c r="A2477" s="1754">
        <v>41495</v>
      </c>
      <c r="B2477" s="125" t="str">
        <f>TiposLancamentos!B22</f>
        <v>Combustivel</v>
      </c>
      <c r="C2477" s="1040" t="s">
        <v>6283</v>
      </c>
      <c r="D2477" s="1736"/>
      <c r="E2477" s="1043">
        <v>81</v>
      </c>
      <c r="F2477" s="1043"/>
      <c r="G2477" s="1550"/>
    </row>
    <row r="2478" spans="1:7">
      <c r="A2478" s="1754">
        <v>41496</v>
      </c>
      <c r="B2478" s="125" t="str">
        <f>TiposLancamentos!B19</f>
        <v>Restaurantes</v>
      </c>
      <c r="C2478" s="1040" t="s">
        <v>3486</v>
      </c>
      <c r="D2478" s="1736"/>
      <c r="E2478" s="1043">
        <v>29.9</v>
      </c>
      <c r="F2478" s="1043"/>
      <c r="G2478" s="1550"/>
    </row>
    <row r="2479" spans="1:7">
      <c r="A2479" s="1754">
        <v>41496</v>
      </c>
      <c r="B2479" s="125" t="str">
        <f>TiposLancamentos!B16</f>
        <v>Cristiane</v>
      </c>
      <c r="C2479" s="1040" t="s">
        <v>6284</v>
      </c>
      <c r="D2479" s="1736"/>
      <c r="E2479" s="1043">
        <v>19.13</v>
      </c>
      <c r="F2479" s="1043"/>
      <c r="G2479" s="1550"/>
    </row>
    <row r="2480" spans="1:7">
      <c r="A2480" s="1754">
        <v>41496</v>
      </c>
      <c r="B2480" s="125" t="str">
        <f>TiposLancamentos!B5</f>
        <v>Supermercado</v>
      </c>
      <c r="C2480" s="1040" t="s">
        <v>6285</v>
      </c>
      <c r="D2480" s="1736"/>
      <c r="E2480" s="1043">
        <v>48.44</v>
      </c>
      <c r="F2480" s="1043"/>
      <c r="G2480" s="1550"/>
    </row>
    <row r="2481" spans="1:7">
      <c r="A2481" s="1754">
        <v>41497</v>
      </c>
      <c r="B2481" s="125" t="str">
        <f>TiposLancamentos!B22</f>
        <v>Combustivel</v>
      </c>
      <c r="C2481" s="1040" t="s">
        <v>6286</v>
      </c>
      <c r="D2481" s="1736"/>
      <c r="E2481" s="1043">
        <v>105.16</v>
      </c>
      <c r="F2481" s="1043"/>
      <c r="G2481" s="1550"/>
    </row>
    <row r="2482" spans="1:7">
      <c r="A2482" s="1754">
        <v>41497</v>
      </c>
      <c r="B2482" s="125" t="str">
        <f>TiposLancamentos!B19</f>
        <v>Restaurantes</v>
      </c>
      <c r="C2482" s="1040" t="s">
        <v>6287</v>
      </c>
      <c r="D2482" s="1736"/>
      <c r="E2482" s="1043">
        <v>16.5</v>
      </c>
      <c r="F2482" s="1043"/>
      <c r="G2482" s="1550"/>
    </row>
    <row r="2483" spans="1:7">
      <c r="A2483" s="1754">
        <v>41497</v>
      </c>
      <c r="B2483" s="125" t="str">
        <f>TiposLancamentos!B5</f>
        <v>Supermercado</v>
      </c>
      <c r="C2483" s="1040" t="s">
        <v>6288</v>
      </c>
      <c r="D2483" s="1736"/>
      <c r="E2483" s="1043">
        <v>12.58</v>
      </c>
      <c r="F2483" s="1043"/>
      <c r="G2483" s="1550"/>
    </row>
    <row r="2484" spans="1:7">
      <c r="A2484" s="1754">
        <v>41497</v>
      </c>
      <c r="B2484" s="125" t="str">
        <f>TiposLancamentos!B56</f>
        <v>Farmácia</v>
      </c>
      <c r="C2484" s="1040" t="s">
        <v>6289</v>
      </c>
      <c r="D2484" s="1736"/>
      <c r="E2484" s="1043">
        <v>25.99</v>
      </c>
      <c r="F2484" s="1043"/>
      <c r="G2484" s="1550"/>
    </row>
    <row r="2485" spans="1:7">
      <c r="A2485" s="1666">
        <v>41496</v>
      </c>
      <c r="B2485" s="817" t="str">
        <f>TiposLancamentos!B8</f>
        <v>Aluguel</v>
      </c>
      <c r="C2485" s="1742" t="s">
        <v>6163</v>
      </c>
      <c r="D2485" s="1735"/>
      <c r="E2485" s="1733">
        <f>F2487-E2486-E2487</f>
        <v>1340.3700000000001</v>
      </c>
      <c r="F2485" s="1043"/>
      <c r="G2485" s="1550"/>
    </row>
    <row r="2486" spans="1:7">
      <c r="A2486" s="1667">
        <v>41496</v>
      </c>
      <c r="B2486" s="816" t="str">
        <f>TiposLancamentos!B12</f>
        <v>IPTU</v>
      </c>
      <c r="C2486" s="1769" t="s">
        <v>6290</v>
      </c>
      <c r="D2486" s="1736"/>
      <c r="E2486" s="1734">
        <v>104.78</v>
      </c>
      <c r="F2486" s="1043"/>
      <c r="G2486" s="1550"/>
    </row>
    <row r="2487" spans="1:7">
      <c r="A2487" s="1750">
        <v>41496</v>
      </c>
      <c r="B2487" s="818" t="str">
        <f>TiposLancamentos!B34</f>
        <v>Seguros</v>
      </c>
      <c r="C2487" s="1743" t="s">
        <v>6291</v>
      </c>
      <c r="D2487" s="1737"/>
      <c r="E2487" s="1668">
        <v>209.77</v>
      </c>
      <c r="F2487" s="1043">
        <v>1654.92</v>
      </c>
      <c r="G2487" s="1550"/>
    </row>
    <row r="2488" spans="1:7">
      <c r="A2488" s="1754">
        <v>41498</v>
      </c>
      <c r="B2488" s="125" t="str">
        <f>TiposLancamentos!B20</f>
        <v>Saques</v>
      </c>
      <c r="C2488" s="1040" t="s">
        <v>2668</v>
      </c>
      <c r="D2488" s="1736"/>
      <c r="E2488" s="1043">
        <v>30</v>
      </c>
      <c r="F2488" s="1043"/>
      <c r="G2488" s="1550"/>
    </row>
    <row r="2489" spans="1:7">
      <c r="A2489" s="1754">
        <v>41498</v>
      </c>
      <c r="B2489" s="125" t="str">
        <f>TiposLancamentos!B4</f>
        <v>Taxas Bancarias</v>
      </c>
      <c r="C2489" s="1040" t="s">
        <v>6292</v>
      </c>
      <c r="D2489" s="1736"/>
      <c r="E2489" s="1043">
        <v>14.12</v>
      </c>
      <c r="F2489" s="1043"/>
      <c r="G2489" s="1550"/>
    </row>
    <row r="2490" spans="1:7">
      <c r="A2490" s="1754">
        <v>41499</v>
      </c>
      <c r="B2490" s="125" t="str">
        <f>TiposLancamentos!B17</f>
        <v>GATO</v>
      </c>
      <c r="C2490" s="1040" t="s">
        <v>6293</v>
      </c>
      <c r="D2490" s="1736"/>
      <c r="E2490" s="1043">
        <v>170.5</v>
      </c>
      <c r="F2490" s="1043"/>
      <c r="G2490" s="1550"/>
    </row>
    <row r="2491" spans="1:7">
      <c r="A2491" s="1754">
        <v>41499</v>
      </c>
      <c r="B2491" s="125" t="str">
        <f>TiposLancamentos!B56</f>
        <v>Farmácia</v>
      </c>
      <c r="C2491" s="1040" t="s">
        <v>6294</v>
      </c>
      <c r="D2491" s="1736"/>
      <c r="E2491" s="1043">
        <v>97.95</v>
      </c>
      <c r="F2491" s="1043"/>
      <c r="G2491" s="1550"/>
    </row>
    <row r="2492" spans="1:7">
      <c r="A2492" s="1754">
        <v>41501</v>
      </c>
      <c r="B2492" s="125" t="str">
        <f>TiposLancamentos!B95</f>
        <v>Salarios</v>
      </c>
      <c r="C2492" s="1040" t="s">
        <v>4916</v>
      </c>
      <c r="D2492" s="1736">
        <v>2198.35</v>
      </c>
      <c r="E2492" s="1043"/>
      <c r="F2492" s="1043"/>
      <c r="G2492" s="1550"/>
    </row>
    <row r="2493" spans="1:7">
      <c r="A2493" s="1754">
        <v>41501</v>
      </c>
      <c r="B2493" s="125" t="str">
        <f>TiposLancamentos!B9</f>
        <v>Condominio</v>
      </c>
      <c r="C2493" s="1040" t="s">
        <v>6257</v>
      </c>
      <c r="D2493" s="1736"/>
      <c r="E2493" s="1043">
        <v>150</v>
      </c>
      <c r="F2493" s="1043"/>
      <c r="G2493" s="1550"/>
    </row>
    <row r="2494" spans="1:7">
      <c r="A2494" s="1754">
        <v>41501</v>
      </c>
      <c r="B2494" s="125" t="str">
        <f>TiposLancamentos!B34</f>
        <v>Seguros</v>
      </c>
      <c r="C2494" s="1040" t="s">
        <v>6243</v>
      </c>
      <c r="D2494" s="1736"/>
      <c r="E2494" s="1043">
        <v>69</v>
      </c>
      <c r="F2494" s="1043"/>
      <c r="G2494" s="1550"/>
    </row>
    <row r="2495" spans="1:7">
      <c r="A2495" s="1754">
        <v>41501</v>
      </c>
      <c r="B2495" s="125" t="str">
        <f>TiposLancamentos!B88</f>
        <v>Ford Ecosport XLT</v>
      </c>
      <c r="C2495" s="1040" t="s">
        <v>6295</v>
      </c>
      <c r="D2495" s="1736"/>
      <c r="E2495" s="1043">
        <v>878.64</v>
      </c>
      <c r="F2495" s="1043"/>
      <c r="G2495" s="1550"/>
    </row>
    <row r="2496" spans="1:7">
      <c r="A2496" s="1754">
        <v>41501</v>
      </c>
      <c r="B2496" s="125" t="str">
        <f>TiposLancamentos!B88</f>
        <v>Ford Ecosport XLT</v>
      </c>
      <c r="C2496" s="1040" t="s">
        <v>6296</v>
      </c>
      <c r="D2496" s="1736"/>
      <c r="E2496" s="1043">
        <v>493.18</v>
      </c>
      <c r="F2496" s="1043"/>
      <c r="G2496" s="1550"/>
    </row>
    <row r="2497" spans="1:7">
      <c r="A2497" s="1666">
        <v>41501</v>
      </c>
      <c r="B2497" s="817" t="str">
        <f>TiposLancamentos!B33</f>
        <v>Pedágios</v>
      </c>
      <c r="C2497" s="1742" t="s">
        <v>5392</v>
      </c>
      <c r="D2497" s="1735"/>
      <c r="E2497" s="1733">
        <f>16.43+12.4+2.6</f>
        <v>31.43</v>
      </c>
      <c r="F2497" s="1043"/>
      <c r="G2497" s="1550"/>
    </row>
    <row r="2498" spans="1:7">
      <c r="A2498" s="1667">
        <v>41501</v>
      </c>
      <c r="B2498" s="816" t="str">
        <f>TiposLancamentos!B24</f>
        <v>Estacionamentos</v>
      </c>
      <c r="C2498" s="1769" t="s">
        <v>5863</v>
      </c>
      <c r="D2498" s="1736"/>
      <c r="E2498" s="1734">
        <v>18</v>
      </c>
      <c r="F2498" s="1043"/>
      <c r="G2498" s="1550"/>
    </row>
    <row r="2499" spans="1:7">
      <c r="A2499" s="1750">
        <v>41501</v>
      </c>
      <c r="B2499" s="818" t="str">
        <f>TiposLancamentos!B24</f>
        <v>Estacionamentos</v>
      </c>
      <c r="C2499" s="1743" t="s">
        <v>6297</v>
      </c>
      <c r="D2499" s="1737"/>
      <c r="E2499" s="1668">
        <v>6</v>
      </c>
      <c r="F2499" s="1043">
        <f>SUM(E2497:E2499)</f>
        <v>55.43</v>
      </c>
      <c r="G2499" s="1550"/>
    </row>
    <row r="2500" spans="1:7">
      <c r="A2500" s="1754">
        <v>41502</v>
      </c>
      <c r="B2500" s="125" t="str">
        <f>TiposLancamentos!B22</f>
        <v>Combustivel</v>
      </c>
      <c r="C2500" s="1040" t="s">
        <v>6298</v>
      </c>
      <c r="D2500" s="1736"/>
      <c r="E2500" s="1043">
        <v>108</v>
      </c>
      <c r="F2500" s="1043"/>
      <c r="G2500" s="1550"/>
    </row>
    <row r="2501" spans="1:7">
      <c r="A2501" s="1754">
        <v>41502</v>
      </c>
      <c r="B2501" s="125" t="str">
        <f>TiposLancamentos!B22</f>
        <v>Combustivel</v>
      </c>
      <c r="C2501" s="1040" t="s">
        <v>6299</v>
      </c>
      <c r="D2501" s="1736"/>
      <c r="E2501" s="1043">
        <v>108</v>
      </c>
      <c r="F2501" s="1043"/>
      <c r="G2501" s="1550"/>
    </row>
    <row r="2502" spans="1:7">
      <c r="A2502" s="1754">
        <v>41502</v>
      </c>
      <c r="B2502" s="125" t="str">
        <f>TiposLancamentos!B19</f>
        <v>Restaurantes</v>
      </c>
      <c r="C2502" s="1040" t="s">
        <v>6300</v>
      </c>
      <c r="D2502" s="1736"/>
      <c r="E2502" s="1043">
        <v>31.2</v>
      </c>
      <c r="F2502" s="1043"/>
      <c r="G2502" s="1550"/>
    </row>
    <row r="2503" spans="1:7">
      <c r="A2503" s="1666">
        <v>41502</v>
      </c>
      <c r="B2503" s="817" t="str">
        <f>TiposLancamentos!B44</f>
        <v>Academia</v>
      </c>
      <c r="C2503" s="1742" t="s">
        <v>6301</v>
      </c>
      <c r="D2503" s="1735"/>
      <c r="E2503" s="1733">
        <v>135</v>
      </c>
      <c r="F2503" s="1043"/>
      <c r="G2503" s="1550"/>
    </row>
    <row r="2504" spans="1:7">
      <c r="A2504" s="1750">
        <v>41502</v>
      </c>
      <c r="B2504" s="818" t="str">
        <f>TiposLancamentos!B16</f>
        <v>Cristiane</v>
      </c>
      <c r="C2504" s="1743" t="s">
        <v>6269</v>
      </c>
      <c r="D2504" s="1737"/>
      <c r="E2504" s="1668">
        <v>135</v>
      </c>
      <c r="F2504" s="1043">
        <f>SUM(E2503:E2504)</f>
        <v>270</v>
      </c>
      <c r="G2504" s="1550"/>
    </row>
    <row r="2505" spans="1:7">
      <c r="A2505" s="1754">
        <v>41503</v>
      </c>
      <c r="B2505" s="125" t="str">
        <f>TiposLancamentos!B19</f>
        <v>Restaurantes</v>
      </c>
      <c r="C2505" s="1040" t="s">
        <v>6302</v>
      </c>
      <c r="D2505" s="1736"/>
      <c r="E2505" s="1043">
        <v>10</v>
      </c>
      <c r="F2505" s="1043"/>
      <c r="G2505" s="1550"/>
    </row>
    <row r="2506" spans="1:7">
      <c r="A2506" s="1754">
        <v>41505</v>
      </c>
      <c r="B2506" s="125" t="str">
        <f>TiposLancamentos!B24</f>
        <v>Estacionamentos</v>
      </c>
      <c r="C2506" s="1040" t="s">
        <v>4370</v>
      </c>
      <c r="D2506" s="1736"/>
      <c r="E2506" s="1043">
        <v>7</v>
      </c>
      <c r="F2506" s="1043"/>
      <c r="G2506" s="1550"/>
    </row>
    <row r="2507" spans="1:7">
      <c r="A2507" s="1754">
        <v>41506</v>
      </c>
      <c r="B2507" s="125" t="str">
        <f>TiposLancamentos!B19</f>
        <v>Restaurantes</v>
      </c>
      <c r="C2507" s="1040" t="s">
        <v>6303</v>
      </c>
      <c r="D2507" s="1736"/>
      <c r="E2507" s="1043">
        <v>42.22</v>
      </c>
      <c r="F2507" s="1043"/>
      <c r="G2507" s="1550"/>
    </row>
    <row r="2508" spans="1:7">
      <c r="A2508" s="1754">
        <v>41507</v>
      </c>
      <c r="B2508" s="125" t="str">
        <f>TiposLancamentos!B2</f>
        <v>Telefonia</v>
      </c>
      <c r="C2508" s="1040" t="s">
        <v>6172</v>
      </c>
      <c r="D2508" s="1736"/>
      <c r="E2508" s="1043">
        <v>13</v>
      </c>
      <c r="F2508" s="1043"/>
      <c r="G2508" s="1550"/>
    </row>
    <row r="2509" spans="1:7">
      <c r="A2509" s="1754">
        <v>41507</v>
      </c>
      <c r="B2509" s="125" t="str">
        <f>TiposLancamentos!B20</f>
        <v>Saques</v>
      </c>
      <c r="C2509" s="1040" t="s">
        <v>4325</v>
      </c>
      <c r="D2509" s="1736"/>
      <c r="E2509" s="1043">
        <v>30</v>
      </c>
      <c r="F2509" s="1043"/>
      <c r="G2509" s="1550"/>
    </row>
    <row r="2510" spans="1:7">
      <c r="A2510" s="1754">
        <v>41512</v>
      </c>
      <c r="B2510" s="125" t="str">
        <f>TiposLancamentos!B24</f>
        <v>Estacionamentos</v>
      </c>
      <c r="C2510" s="1040" t="s">
        <v>4437</v>
      </c>
      <c r="D2510" s="1736"/>
      <c r="E2510" s="1043">
        <v>7</v>
      </c>
      <c r="F2510" s="1043"/>
      <c r="G2510" s="1550"/>
    </row>
    <row r="2511" spans="1:7">
      <c r="A2511" s="1754">
        <v>41514</v>
      </c>
      <c r="B2511" s="125" t="str">
        <f>TiposLancamentos!B20</f>
        <v>Saques</v>
      </c>
      <c r="C2511" s="1040" t="s">
        <v>4599</v>
      </c>
      <c r="D2511" s="1736"/>
      <c r="E2511" s="1043">
        <v>40</v>
      </c>
      <c r="F2511" s="1043"/>
      <c r="G2511" s="1550"/>
    </row>
    <row r="2512" spans="1:7">
      <c r="A2512" s="1754">
        <v>41516</v>
      </c>
      <c r="B2512" s="125" t="str">
        <f>TiposLancamentos!B95</f>
        <v>Salarios</v>
      </c>
      <c r="C2512" s="1040" t="s">
        <v>5917</v>
      </c>
      <c r="D2512" s="1736">
        <v>7426.01</v>
      </c>
      <c r="E2512" s="1043"/>
      <c r="F2512" s="1043"/>
      <c r="G2512" s="1550"/>
    </row>
    <row r="2513" spans="1:7">
      <c r="A2513" s="1754">
        <v>41516</v>
      </c>
      <c r="B2513" s="125" t="str">
        <f>TiposLancamentos!B43</f>
        <v>Imposto de Renda</v>
      </c>
      <c r="C2513" s="1040" t="s">
        <v>6304</v>
      </c>
      <c r="D2513" s="1736"/>
      <c r="E2513" s="1043">
        <v>303.19</v>
      </c>
      <c r="F2513" s="1043"/>
      <c r="G2513" s="1550"/>
    </row>
    <row r="2514" spans="1:7">
      <c r="A2514" s="1754">
        <v>41516</v>
      </c>
      <c r="B2514" s="125" t="str">
        <f>TiposLancamentos!B105</f>
        <v>Transf. Bco</v>
      </c>
      <c r="C2514" s="1040" t="s">
        <v>6305</v>
      </c>
      <c r="D2514" s="1736"/>
      <c r="E2514" s="1043">
        <v>80</v>
      </c>
      <c r="F2514" s="1043"/>
      <c r="G2514" s="1550"/>
    </row>
    <row r="2515" spans="1:7">
      <c r="A2515" s="1754">
        <v>41516</v>
      </c>
      <c r="B2515" s="125" t="str">
        <f>TiposLancamentos!B97</f>
        <v>Deposito Terc.</v>
      </c>
      <c r="C2515" s="1040" t="s">
        <v>6306</v>
      </c>
      <c r="D2515" s="1736">
        <v>800</v>
      </c>
      <c r="E2515" s="1043"/>
      <c r="F2515" s="1043"/>
      <c r="G2515" s="1550"/>
    </row>
    <row r="2516" spans="1:7">
      <c r="A2516" s="1754">
        <v>41517</v>
      </c>
      <c r="B2516" s="125" t="str">
        <f>TiposLancamentos!B19</f>
        <v>Restaurantes</v>
      </c>
      <c r="C2516" s="1040" t="s">
        <v>6307</v>
      </c>
      <c r="D2516" s="1736"/>
      <c r="E2516" s="1043">
        <v>156.19999999999999</v>
      </c>
      <c r="F2516" s="1043"/>
      <c r="G2516" s="1550"/>
    </row>
    <row r="2517" spans="1:7">
      <c r="A2517" s="1754">
        <v>41517</v>
      </c>
      <c r="B2517" s="125" t="str">
        <f>TiposLancamentos!B56</f>
        <v>Farmácia</v>
      </c>
      <c r="C2517" s="1040" t="s">
        <v>6308</v>
      </c>
      <c r="D2517" s="1736"/>
      <c r="E2517" s="1043">
        <v>107.47</v>
      </c>
      <c r="F2517" s="1043"/>
      <c r="G2517" s="1550"/>
    </row>
    <row r="2518" spans="1:7" ht="14.25" thickBot="1">
      <c r="A2518" s="1754">
        <v>41517</v>
      </c>
      <c r="B2518" s="125" t="str">
        <f>TiposLancamentos!B16</f>
        <v>Cristiane</v>
      </c>
      <c r="C2518" s="1040" t="s">
        <v>6309</v>
      </c>
      <c r="D2518" s="1736"/>
      <c r="E2518" s="1043">
        <v>147</v>
      </c>
      <c r="F2518" s="1043"/>
      <c r="G2518" s="1550"/>
    </row>
    <row r="2519" spans="1:7">
      <c r="A2519" s="1834"/>
      <c r="B2519" s="977"/>
      <c r="C2519" s="1854" t="s">
        <v>6310</v>
      </c>
      <c r="D2519" s="1823"/>
      <c r="E2519" s="1821"/>
      <c r="F2519" s="1821"/>
      <c r="G2519" s="1895"/>
    </row>
    <row r="2520" spans="1:7">
      <c r="A2520" s="1754">
        <v>41519</v>
      </c>
      <c r="B2520" s="125" t="str">
        <f>TiposLancamentos!B6</f>
        <v>Energia Eletrica</v>
      </c>
      <c r="C2520" s="1770" t="s">
        <v>5191</v>
      </c>
      <c r="D2520" s="1736"/>
      <c r="E2520" s="1043">
        <v>188.46</v>
      </c>
      <c r="F2520" s="1043"/>
      <c r="G2520" s="1550"/>
    </row>
    <row r="2521" spans="1:7">
      <c r="A2521" s="1754">
        <v>41519</v>
      </c>
      <c r="B2521" s="125" t="str">
        <f>TiposLancamentos!B15</f>
        <v>Cartões de Crédito</v>
      </c>
      <c r="C2521" s="1770" t="s">
        <v>6240</v>
      </c>
      <c r="D2521" s="1736"/>
      <c r="E2521" s="1043">
        <v>4382.95</v>
      </c>
      <c r="F2521" s="1043"/>
      <c r="G2521" s="1550"/>
    </row>
    <row r="2522" spans="1:7">
      <c r="A2522" s="1754">
        <v>41519</v>
      </c>
      <c r="B2522" s="125" t="str">
        <f>TiposLancamentos!B15</f>
        <v>Cartões de Crédito</v>
      </c>
      <c r="C2522" s="1040" t="s">
        <v>5924</v>
      </c>
      <c r="D2522" s="1736"/>
      <c r="E2522" s="1043">
        <v>588.03</v>
      </c>
      <c r="F2522" s="1043"/>
      <c r="G2522" s="1550"/>
    </row>
    <row r="2523" spans="1:7">
      <c r="A2523" s="1754">
        <v>41519</v>
      </c>
      <c r="B2523" s="125" t="str">
        <f>TiposLancamentos!B57</f>
        <v>Informática</v>
      </c>
      <c r="C2523" s="1040" t="s">
        <v>5712</v>
      </c>
      <c r="D2523" s="1736"/>
      <c r="E2523" s="1043">
        <v>9.8000000000000007</v>
      </c>
      <c r="F2523" s="1043"/>
      <c r="G2523" s="1550"/>
    </row>
    <row r="2524" spans="1:7">
      <c r="A2524" s="1754">
        <v>41519</v>
      </c>
      <c r="B2524" s="125" t="str">
        <f>TiposLancamentos!B24</f>
        <v>Estacionamentos</v>
      </c>
      <c r="C2524" s="1770" t="s">
        <v>6311</v>
      </c>
      <c r="D2524" s="1736"/>
      <c r="E2524" s="1043">
        <v>7</v>
      </c>
      <c r="F2524" s="1043"/>
      <c r="G2524" s="1550"/>
    </row>
    <row r="2525" spans="1:7">
      <c r="A2525" s="1754">
        <v>41519</v>
      </c>
      <c r="B2525" s="125" t="str">
        <f>TiposLancamentos!B32</f>
        <v>Clinicas e tratamentos</v>
      </c>
      <c r="C2525" s="1040" t="s">
        <v>6312</v>
      </c>
      <c r="D2525" s="1736"/>
      <c r="E2525" s="1043">
        <v>440</v>
      </c>
      <c r="F2525" s="1043"/>
      <c r="G2525" s="1550"/>
    </row>
    <row r="2526" spans="1:7">
      <c r="A2526" s="1754">
        <v>41519</v>
      </c>
      <c r="B2526" s="125" t="str">
        <f>TiposLancamentos!B4</f>
        <v>Taxas Bancarias</v>
      </c>
      <c r="C2526" s="1040" t="s">
        <v>4858</v>
      </c>
      <c r="D2526" s="1736"/>
      <c r="E2526" s="1043">
        <v>4.28</v>
      </c>
      <c r="F2526" s="1043"/>
      <c r="G2526" s="1550"/>
    </row>
    <row r="2527" spans="1:7">
      <c r="A2527" s="1754">
        <v>41520</v>
      </c>
      <c r="B2527" s="125" t="str">
        <f>TiposLancamentos!B19</f>
        <v>Restaurantes</v>
      </c>
      <c r="C2527" s="1040" t="s">
        <v>6137</v>
      </c>
      <c r="D2527" s="1736"/>
      <c r="E2527" s="1043">
        <v>48.5</v>
      </c>
      <c r="F2527" s="1043"/>
      <c r="G2527" s="1550"/>
    </row>
    <row r="2528" spans="1:7">
      <c r="A2528" s="1754">
        <v>41521</v>
      </c>
      <c r="B2528" s="125" t="str">
        <f>TiposLancamentos!B87</f>
        <v>P207-1.6-XS</v>
      </c>
      <c r="C2528" s="1040" t="s">
        <v>6313</v>
      </c>
      <c r="D2528" s="1736"/>
      <c r="E2528" s="1043">
        <v>80</v>
      </c>
      <c r="F2528" s="1043"/>
      <c r="G2528" s="1550"/>
    </row>
    <row r="2529" spans="1:7">
      <c r="A2529" s="1754">
        <v>41523</v>
      </c>
      <c r="B2529" s="125" t="str">
        <f>TiposLancamentos!B73</f>
        <v>Cursos</v>
      </c>
      <c r="C2529" s="1040" t="s">
        <v>6314</v>
      </c>
      <c r="D2529" s="1736"/>
      <c r="E2529" s="1043">
        <v>593.17999999999995</v>
      </c>
      <c r="F2529" s="1043"/>
      <c r="G2529" s="1550"/>
    </row>
    <row r="2530" spans="1:7">
      <c r="A2530" s="1754">
        <v>41523</v>
      </c>
      <c r="B2530" s="125" t="str">
        <f>TiposLancamentos!B9</f>
        <v>Condominio</v>
      </c>
      <c r="C2530" s="1040" t="s">
        <v>5925</v>
      </c>
      <c r="D2530" s="1736"/>
      <c r="E2530" s="1043">
        <v>870.41</v>
      </c>
      <c r="F2530" s="1043"/>
      <c r="G2530" s="1550"/>
    </row>
    <row r="2531" spans="1:7">
      <c r="A2531" s="1754">
        <v>41524</v>
      </c>
      <c r="B2531" s="125" t="str">
        <f>TiposLancamentos!B56</f>
        <v>Farmácia</v>
      </c>
      <c r="C2531" s="1040" t="s">
        <v>6315</v>
      </c>
      <c r="D2531" s="1736"/>
      <c r="E2531" s="1043">
        <v>27.35</v>
      </c>
      <c r="F2531" s="1043"/>
      <c r="G2531" s="1550"/>
    </row>
    <row r="2532" spans="1:7">
      <c r="A2532" s="1754">
        <v>41525</v>
      </c>
      <c r="B2532" s="125" t="str">
        <f>TiposLancamentos!B19</f>
        <v>Restaurantes</v>
      </c>
      <c r="C2532" s="1040" t="s">
        <v>6316</v>
      </c>
      <c r="D2532" s="1736"/>
      <c r="E2532" s="1043">
        <v>32</v>
      </c>
      <c r="F2532" s="1043"/>
      <c r="G2532" s="1550"/>
    </row>
    <row r="2533" spans="1:7">
      <c r="A2533" s="1754">
        <v>41526</v>
      </c>
      <c r="B2533" s="125" t="str">
        <f>TiposLancamentos!B20</f>
        <v>Saques</v>
      </c>
      <c r="C2533" s="1040" t="s">
        <v>4368</v>
      </c>
      <c r="D2533" s="1736"/>
      <c r="E2533" s="1043">
        <v>40</v>
      </c>
      <c r="F2533" s="1043"/>
      <c r="G2533" s="1550"/>
    </row>
    <row r="2534" spans="1:7">
      <c r="A2534" s="1754">
        <v>41526</v>
      </c>
      <c r="B2534" s="125" t="str">
        <f>TiposLancamentos!B16</f>
        <v>Cristiane</v>
      </c>
      <c r="C2534" s="1040" t="s">
        <v>5926</v>
      </c>
      <c r="D2534" s="1736"/>
      <c r="E2534" s="1043">
        <v>100.63</v>
      </c>
      <c r="F2534" s="1043"/>
      <c r="G2534" s="1550"/>
    </row>
    <row r="2535" spans="1:7">
      <c r="A2535" s="1754">
        <v>41526</v>
      </c>
      <c r="B2535" s="125" t="str">
        <f>TiposLancamentos!B16</f>
        <v>Cristiane</v>
      </c>
      <c r="C2535" s="1040" t="s">
        <v>6317</v>
      </c>
      <c r="D2535" s="1736"/>
      <c r="E2535" s="1043">
        <v>110</v>
      </c>
      <c r="F2535" s="1043"/>
      <c r="G2535" s="1550"/>
    </row>
    <row r="2536" spans="1:7">
      <c r="A2536" s="1754">
        <v>41526</v>
      </c>
      <c r="B2536" s="125" t="str">
        <f>TiposLancamentos!B2</f>
        <v>Telefonia</v>
      </c>
      <c r="C2536" s="1040" t="s">
        <v>6318</v>
      </c>
      <c r="D2536" s="1736"/>
      <c r="E2536" s="1043">
        <v>14.34</v>
      </c>
      <c r="F2536" s="1043"/>
      <c r="G2536" s="1550"/>
    </row>
    <row r="2537" spans="1:7">
      <c r="A2537" s="1666">
        <v>41527</v>
      </c>
      <c r="B2537" s="817" t="str">
        <f>TiposLancamentos!B8</f>
        <v>Aluguel</v>
      </c>
      <c r="C2537" s="1742" t="s">
        <v>6163</v>
      </c>
      <c r="D2537" s="1735"/>
      <c r="E2537" s="1733">
        <f>F2539-E2538-E2539</f>
        <v>1340.3700000000001</v>
      </c>
      <c r="F2537" s="1043"/>
      <c r="G2537" s="1550"/>
    </row>
    <row r="2538" spans="1:7">
      <c r="A2538" s="1667">
        <v>41527</v>
      </c>
      <c r="B2538" s="816" t="str">
        <f>TiposLancamentos!B12</f>
        <v>IPTU</v>
      </c>
      <c r="C2538" s="1769" t="s">
        <v>6319</v>
      </c>
      <c r="D2538" s="1736"/>
      <c r="E2538" s="1734">
        <v>104.78</v>
      </c>
      <c r="F2538" s="1043"/>
      <c r="G2538" s="1550"/>
    </row>
    <row r="2539" spans="1:7">
      <c r="A2539" s="1750">
        <v>41527</v>
      </c>
      <c r="B2539" s="818" t="str">
        <f>TiposLancamentos!B34</f>
        <v>Seguros</v>
      </c>
      <c r="C2539" s="1743" t="s">
        <v>6320</v>
      </c>
      <c r="D2539" s="1737"/>
      <c r="E2539" s="1668">
        <v>209.77</v>
      </c>
      <c r="F2539" s="1043">
        <v>1654.92</v>
      </c>
      <c r="G2539" s="1550"/>
    </row>
    <row r="2540" spans="1:7">
      <c r="A2540" s="1666">
        <v>41527</v>
      </c>
      <c r="B2540" s="817" t="str">
        <f>TiposLancamentos!B35</f>
        <v>Tv à Cabo</v>
      </c>
      <c r="C2540" s="1742" t="s">
        <v>5834</v>
      </c>
      <c r="D2540" s="1735"/>
      <c r="E2540" s="1733">
        <v>252.34</v>
      </c>
      <c r="F2540" s="1043"/>
      <c r="G2540" s="1550"/>
    </row>
    <row r="2541" spans="1:7">
      <c r="A2541" s="1667">
        <v>41527</v>
      </c>
      <c r="B2541" s="816" t="str">
        <f>TiposLancamentos!B3</f>
        <v>Internet</v>
      </c>
      <c r="C2541" s="1769" t="s">
        <v>5835</v>
      </c>
      <c r="D2541" s="1736"/>
      <c r="E2541" s="1734">
        <v>63.63</v>
      </c>
      <c r="F2541" s="1043"/>
      <c r="G2541" s="1550"/>
    </row>
    <row r="2542" spans="1:7">
      <c r="A2542" s="1750">
        <v>41527</v>
      </c>
      <c r="B2542" s="818" t="str">
        <f>TiposLancamentos!B2</f>
        <v>Telefonia</v>
      </c>
      <c r="C2542" s="1743" t="s">
        <v>5836</v>
      </c>
      <c r="D2542" s="1737"/>
      <c r="E2542" s="1668">
        <v>5.09</v>
      </c>
      <c r="F2542" s="1043">
        <f>SUM(E2540:E2542)</f>
        <v>321.06</v>
      </c>
      <c r="G2542" s="1550"/>
    </row>
    <row r="2543" spans="1:7">
      <c r="A2543" s="1754">
        <v>41527</v>
      </c>
      <c r="B2543" s="125" t="str">
        <f>TiposLancamentos!B4</f>
        <v>Taxas Bancarias</v>
      </c>
      <c r="C2543" s="1040" t="s">
        <v>5707</v>
      </c>
      <c r="D2543" s="1736"/>
      <c r="E2543" s="1043">
        <v>29.86</v>
      </c>
      <c r="F2543" s="1043"/>
      <c r="G2543" s="1550"/>
    </row>
    <row r="2544" spans="1:7">
      <c r="A2544" s="1754">
        <v>41527</v>
      </c>
      <c r="B2544" s="125" t="str">
        <f>TiposLancamentos!B4</f>
        <v>Taxas Bancarias</v>
      </c>
      <c r="C2544" s="1040" t="s">
        <v>5707</v>
      </c>
      <c r="D2544" s="1736"/>
      <c r="E2544" s="1043">
        <v>29.93</v>
      </c>
      <c r="F2544" s="1043"/>
      <c r="G2544" s="1550"/>
    </row>
    <row r="2545" spans="1:7">
      <c r="A2545" s="1754">
        <v>41527</v>
      </c>
      <c r="B2545" s="125" t="str">
        <f>TiposLancamentos!B102</f>
        <v>ESTORNO</v>
      </c>
      <c r="C2545" s="1040" t="s">
        <v>6321</v>
      </c>
      <c r="D2545" s="1736">
        <v>29.86</v>
      </c>
      <c r="E2545" s="1043"/>
      <c r="F2545" s="1043"/>
      <c r="G2545" s="1550"/>
    </row>
    <row r="2546" spans="1:7">
      <c r="A2546" s="1754">
        <v>41523</v>
      </c>
      <c r="B2546" s="125" t="str">
        <f>TiposLancamentos!B19</f>
        <v>Restaurantes</v>
      </c>
      <c r="C2546" s="1040" t="s">
        <v>6322</v>
      </c>
      <c r="D2546" s="1736"/>
      <c r="E2546" s="1043">
        <v>61.91</v>
      </c>
      <c r="F2546" s="1043"/>
      <c r="G2546" s="1550"/>
    </row>
    <row r="2547" spans="1:7">
      <c r="A2547" s="1754">
        <v>41530</v>
      </c>
      <c r="B2547" s="125" t="str">
        <f>TiposLancamentos!B95</f>
        <v>Salarios</v>
      </c>
      <c r="C2547" s="1040" t="s">
        <v>4916</v>
      </c>
      <c r="D2547" s="1736">
        <v>2198.35</v>
      </c>
      <c r="E2547" s="1043"/>
      <c r="F2547" s="1043"/>
      <c r="G2547" s="1550"/>
    </row>
    <row r="2548" spans="1:7">
      <c r="A2548" s="1754">
        <v>41532</v>
      </c>
      <c r="B2548" s="125" t="str">
        <f>TiposLancamentos!B20</f>
        <v>Saques</v>
      </c>
      <c r="C2548" s="1040" t="s">
        <v>4325</v>
      </c>
      <c r="D2548" s="1736"/>
      <c r="E2548" s="1043">
        <v>50</v>
      </c>
      <c r="F2548" s="1043"/>
      <c r="G2548" s="1550"/>
    </row>
    <row r="2549" spans="1:7">
      <c r="A2549" s="1754">
        <v>41533</v>
      </c>
      <c r="B2549" s="125" t="str">
        <f>TiposLancamentos!B34</f>
        <v>Seguros</v>
      </c>
      <c r="C2549" s="1040" t="s">
        <v>6323</v>
      </c>
      <c r="D2549" s="1736"/>
      <c r="E2549" s="1043">
        <v>69</v>
      </c>
      <c r="F2549" s="1043"/>
      <c r="G2549" s="1550"/>
    </row>
    <row r="2550" spans="1:7">
      <c r="A2550" s="1754">
        <v>41533</v>
      </c>
      <c r="B2550" s="125" t="str">
        <f>TiposLancamentos!B24</f>
        <v>Estacionamentos</v>
      </c>
      <c r="C2550" s="1040" t="s">
        <v>4437</v>
      </c>
      <c r="D2550" s="1736"/>
      <c r="E2550" s="1043">
        <v>7</v>
      </c>
      <c r="F2550" s="1043"/>
      <c r="G2550" s="1550"/>
    </row>
    <row r="2551" spans="1:7">
      <c r="A2551" s="1666">
        <v>41533</v>
      </c>
      <c r="B2551" s="817" t="str">
        <f>TiposLancamentos!B33</f>
        <v>Pedágios</v>
      </c>
      <c r="C2551" s="1742" t="s">
        <v>5392</v>
      </c>
      <c r="D2551" s="1735"/>
      <c r="E2551" s="1733">
        <f>135.1+17.28+13.05</f>
        <v>165.43</v>
      </c>
      <c r="F2551" s="1043"/>
      <c r="G2551" s="1550"/>
    </row>
    <row r="2552" spans="1:7">
      <c r="A2552" s="1667">
        <v>41533</v>
      </c>
      <c r="B2552" s="816" t="str">
        <f>TiposLancamentos!B24</f>
        <v>Estacionamentos</v>
      </c>
      <c r="C2552" s="1769" t="s">
        <v>5863</v>
      </c>
      <c r="D2552" s="1736"/>
      <c r="E2552" s="1734">
        <v>40</v>
      </c>
      <c r="F2552" s="1043"/>
      <c r="G2552" s="1550"/>
    </row>
    <row r="2553" spans="1:7">
      <c r="A2553" s="1750">
        <v>41533</v>
      </c>
      <c r="B2553" s="818" t="str">
        <f>TiposLancamentos!B24</f>
        <v>Estacionamentos</v>
      </c>
      <c r="C2553" s="1743" t="s">
        <v>6297</v>
      </c>
      <c r="D2553" s="1737"/>
      <c r="E2553" s="1668">
        <v>12</v>
      </c>
      <c r="F2553" s="1043">
        <f>SUM(E2551:E2553)</f>
        <v>217.43</v>
      </c>
      <c r="G2553" s="1550"/>
    </row>
    <row r="2554" spans="1:7">
      <c r="A2554" s="1754">
        <v>41534</v>
      </c>
      <c r="B2554" s="125" t="str">
        <f>TiposLancamentos!B32</f>
        <v>Clinicas e tratamentos</v>
      </c>
      <c r="C2554" s="1040" t="s">
        <v>6324</v>
      </c>
      <c r="D2554" s="1736"/>
      <c r="E2554" s="1043">
        <v>120</v>
      </c>
      <c r="F2554" s="1043"/>
      <c r="G2554" s="1550"/>
    </row>
    <row r="2555" spans="1:7">
      <c r="A2555" s="1754">
        <v>41535</v>
      </c>
      <c r="B2555" s="125" t="str">
        <f>TiposLancamentos!B19</f>
        <v>Restaurantes</v>
      </c>
      <c r="C2555" s="1040" t="s">
        <v>6325</v>
      </c>
      <c r="D2555" s="1736"/>
      <c r="E2555" s="1043">
        <v>7.7</v>
      </c>
      <c r="F2555" s="1043"/>
      <c r="G2555" s="1550"/>
    </row>
    <row r="2556" spans="1:7">
      <c r="A2556" s="1754">
        <v>41536</v>
      </c>
      <c r="B2556" s="125" t="str">
        <f>TiposLancamentos!B16</f>
        <v>Cristiane</v>
      </c>
      <c r="C2556" s="1040" t="s">
        <v>6326</v>
      </c>
      <c r="D2556" s="1736"/>
      <c r="E2556" s="1043">
        <v>9</v>
      </c>
      <c r="F2556" s="1043"/>
      <c r="G2556" s="1550"/>
    </row>
    <row r="2557" spans="1:7">
      <c r="A2557" s="1754">
        <v>41536</v>
      </c>
      <c r="B2557" s="125" t="str">
        <f>TiposLancamentos!B56</f>
        <v>Farmácia</v>
      </c>
      <c r="C2557" s="1040" t="s">
        <v>6327</v>
      </c>
      <c r="D2557" s="1736"/>
      <c r="E2557" s="1043">
        <v>12.5</v>
      </c>
      <c r="F2557" s="1043"/>
      <c r="G2557" s="1550"/>
    </row>
    <row r="2558" spans="1:7">
      <c r="A2558" s="1754">
        <v>41536</v>
      </c>
      <c r="B2558" s="125" t="str">
        <f>TiposLancamentos!B5</f>
        <v>Supermercado</v>
      </c>
      <c r="C2558" s="1040" t="s">
        <v>3902</v>
      </c>
      <c r="D2558" s="1736"/>
      <c r="E2558" s="1043">
        <v>66.61</v>
      </c>
      <c r="F2558" s="1043"/>
      <c r="G2558" s="1550"/>
    </row>
    <row r="2559" spans="1:7">
      <c r="A2559" s="1754">
        <v>41536</v>
      </c>
      <c r="B2559" s="125" t="str">
        <f>TiposLancamentos!B19</f>
        <v>Restaurantes</v>
      </c>
      <c r="C2559" s="1040" t="s">
        <v>6328</v>
      </c>
      <c r="D2559" s="1736"/>
      <c r="E2559" s="1043">
        <v>49</v>
      </c>
      <c r="F2559" s="1043"/>
      <c r="G2559" s="1550"/>
    </row>
    <row r="2560" spans="1:7">
      <c r="A2560" s="1666">
        <v>41532</v>
      </c>
      <c r="B2560" s="817" t="str">
        <f>TiposLancamentos!B44</f>
        <v>Academia</v>
      </c>
      <c r="C2560" s="1742" t="s">
        <v>6329</v>
      </c>
      <c r="D2560" s="1735"/>
      <c r="E2560" s="1733">
        <v>135</v>
      </c>
      <c r="F2560" s="1043"/>
      <c r="G2560" s="1550"/>
    </row>
    <row r="2561" spans="1:7">
      <c r="A2561" s="1750">
        <v>41532</v>
      </c>
      <c r="B2561" s="818" t="str">
        <f>TiposLancamentos!B16</f>
        <v>Cristiane</v>
      </c>
      <c r="C2561" s="1743" t="s">
        <v>6269</v>
      </c>
      <c r="D2561" s="1737"/>
      <c r="E2561" s="1668">
        <v>135</v>
      </c>
      <c r="F2561" s="1043">
        <f>SUM(E2560:E2561)</f>
        <v>270</v>
      </c>
      <c r="G2561" s="1550"/>
    </row>
    <row r="2562" spans="1:7">
      <c r="A2562" s="1754">
        <v>41537</v>
      </c>
      <c r="B2562" s="125" t="str">
        <f>TiposLancamentos!B19</f>
        <v>Restaurantes</v>
      </c>
      <c r="C2562" s="1040" t="s">
        <v>5914</v>
      </c>
      <c r="D2562" s="1736"/>
      <c r="E2562" s="1043">
        <v>15.5</v>
      </c>
      <c r="F2562" s="1043"/>
      <c r="G2562" s="1550"/>
    </row>
    <row r="2563" spans="1:7">
      <c r="A2563" s="1754">
        <v>41537</v>
      </c>
      <c r="B2563" s="125" t="str">
        <f>TiposLancamentos!B16</f>
        <v>Cristiane</v>
      </c>
      <c r="C2563" s="1040" t="s">
        <v>6330</v>
      </c>
      <c r="D2563" s="1736"/>
      <c r="E2563" s="1043">
        <v>231.77</v>
      </c>
      <c r="F2563" s="1043"/>
      <c r="G2563" s="1550"/>
    </row>
    <row r="2564" spans="1:7">
      <c r="A2564" s="1754">
        <v>41537</v>
      </c>
      <c r="B2564" s="125" t="str">
        <f>TiposLancamentos!B98</f>
        <v>Restituições</v>
      </c>
      <c r="C2564" s="1040" t="s">
        <v>6331</v>
      </c>
      <c r="D2564" s="1736">
        <v>110.18</v>
      </c>
      <c r="E2564" s="1043"/>
      <c r="F2564" s="1043"/>
      <c r="G2564" s="1550"/>
    </row>
    <row r="2565" spans="1:7">
      <c r="A2565" s="1754">
        <v>41538</v>
      </c>
      <c r="B2565" s="125" t="str">
        <f>TiposLancamentos!B13</f>
        <v>Moradia</v>
      </c>
      <c r="C2565" s="1040" t="s">
        <v>6332</v>
      </c>
      <c r="D2565" s="1736"/>
      <c r="E2565" s="1043">
        <v>16.95</v>
      </c>
      <c r="F2565" s="1043"/>
      <c r="G2565" s="1550"/>
    </row>
    <row r="2566" spans="1:7">
      <c r="A2566" s="1754">
        <v>41538</v>
      </c>
      <c r="B2566" s="125" t="str">
        <f>TiposLancamentos!B19</f>
        <v>Restaurantes</v>
      </c>
      <c r="C2566" s="1040" t="s">
        <v>6333</v>
      </c>
      <c r="D2566" s="1736"/>
      <c r="E2566" s="1043">
        <v>31.6</v>
      </c>
      <c r="F2566" s="1043"/>
      <c r="G2566" s="1550"/>
    </row>
    <row r="2567" spans="1:7">
      <c r="A2567" s="1754">
        <v>41539</v>
      </c>
      <c r="B2567" s="125" t="str">
        <f>TiposLancamentos!B20</f>
        <v>Saques</v>
      </c>
      <c r="C2567" s="1040" t="s">
        <v>4202</v>
      </c>
      <c r="D2567" s="1736"/>
      <c r="E2567" s="1043">
        <v>30</v>
      </c>
      <c r="F2567" s="1043"/>
      <c r="G2567" s="1550"/>
    </row>
    <row r="2568" spans="1:7">
      <c r="A2568" s="1754">
        <v>41539</v>
      </c>
      <c r="B2568" s="125" t="str">
        <f>TiposLancamentos!B88</f>
        <v>Ford Ecosport XLT</v>
      </c>
      <c r="C2568" s="1040" t="s">
        <v>6334</v>
      </c>
      <c r="D2568" s="1736"/>
      <c r="E2568" s="1043">
        <v>878.64</v>
      </c>
      <c r="F2568" s="1043"/>
      <c r="G2568" s="1550"/>
    </row>
    <row r="2569" spans="1:7">
      <c r="A2569" s="1754">
        <v>41542</v>
      </c>
      <c r="B2569" s="125" t="str">
        <f>TiposLancamentos!B19</f>
        <v>Restaurantes</v>
      </c>
      <c r="C2569" s="1040" t="s">
        <v>6335</v>
      </c>
      <c r="D2569" s="1736"/>
      <c r="E2569" s="1043">
        <v>24</v>
      </c>
      <c r="F2569" s="1043"/>
      <c r="G2569" s="1550"/>
    </row>
    <row r="2570" spans="1:7">
      <c r="A2570" s="1754">
        <v>41542</v>
      </c>
      <c r="B2570" s="125" t="str">
        <f>TiposLancamentos!B24</f>
        <v>Estacionamentos</v>
      </c>
      <c r="C2570" s="1040" t="s">
        <v>4437</v>
      </c>
      <c r="D2570" s="1736"/>
      <c r="E2570" s="1043">
        <v>7</v>
      </c>
      <c r="F2570" s="1043"/>
      <c r="G2570" s="1550"/>
    </row>
    <row r="2571" spans="1:7">
      <c r="A2571" s="1754">
        <v>41543</v>
      </c>
      <c r="B2571" s="125" t="str">
        <f>TiposLancamentos!B70</f>
        <v>Vestuário</v>
      </c>
      <c r="C2571" s="1040" t="s">
        <v>6336</v>
      </c>
      <c r="D2571" s="1736"/>
      <c r="E2571" s="1043">
        <v>10</v>
      </c>
      <c r="F2571" s="1043"/>
      <c r="G2571" s="1550"/>
    </row>
    <row r="2572" spans="1:7">
      <c r="A2572" s="1754">
        <v>41544</v>
      </c>
      <c r="B2572" s="125" t="str">
        <f>TiposLancamentos!B34</f>
        <v>Seguros</v>
      </c>
      <c r="C2572" s="1040" t="s">
        <v>6337</v>
      </c>
      <c r="D2572" s="1736"/>
      <c r="E2572" s="1043">
        <v>63.9</v>
      </c>
      <c r="F2572" s="1043"/>
      <c r="G2572" s="1550"/>
    </row>
    <row r="2573" spans="1:7">
      <c r="A2573" s="1754">
        <v>41544</v>
      </c>
      <c r="B2573" s="125" t="str">
        <f>TiposLancamentos!B20</f>
        <v>Saques</v>
      </c>
      <c r="C2573" s="1040" t="s">
        <v>6338</v>
      </c>
      <c r="D2573" s="1736"/>
      <c r="E2573" s="1043">
        <v>40</v>
      </c>
      <c r="F2573" s="1043"/>
      <c r="G2573" s="1550"/>
    </row>
    <row r="2574" spans="1:7">
      <c r="A2574" s="1754">
        <v>41544</v>
      </c>
      <c r="B2574" s="125" t="str">
        <f>TiposLancamentos!B19</f>
        <v>Restaurantes</v>
      </c>
      <c r="C2574" s="1040" t="s">
        <v>3960</v>
      </c>
      <c r="D2574" s="1736"/>
      <c r="E2574" s="1043">
        <v>12</v>
      </c>
      <c r="F2574" s="1043"/>
      <c r="G2574" s="1550"/>
    </row>
    <row r="2575" spans="1:7">
      <c r="A2575" s="1754">
        <v>41544</v>
      </c>
      <c r="B2575" s="125" t="str">
        <f>TiposLancamentos!B71</f>
        <v>Itens Pessoais</v>
      </c>
      <c r="C2575" s="1040" t="s">
        <v>2035</v>
      </c>
      <c r="D2575" s="1736"/>
      <c r="E2575" s="1043">
        <v>23</v>
      </c>
      <c r="F2575" s="1043"/>
      <c r="G2575" s="1550"/>
    </row>
    <row r="2576" spans="1:7">
      <c r="A2576" s="1754">
        <v>41547</v>
      </c>
      <c r="B2576" s="125" t="str">
        <f>TiposLancamentos!B95</f>
        <v>Salarios</v>
      </c>
      <c r="C2576" s="1040" t="s">
        <v>5917</v>
      </c>
      <c r="D2576" s="1736">
        <v>2750.62</v>
      </c>
      <c r="E2576" s="1043"/>
      <c r="F2576" s="1043"/>
      <c r="G2576" s="1550"/>
    </row>
    <row r="2577" spans="1:7">
      <c r="A2577" s="1754">
        <v>41547</v>
      </c>
      <c r="B2577" s="125" t="str">
        <f>TiposLancamentos!B52</f>
        <v>Multas</v>
      </c>
      <c r="C2577" s="1040" t="s">
        <v>6339</v>
      </c>
      <c r="D2577" s="1736"/>
      <c r="E2577" s="1043">
        <v>68.099999999999994</v>
      </c>
      <c r="F2577" s="1043"/>
      <c r="G2577" s="1550"/>
    </row>
    <row r="2578" spans="1:7">
      <c r="A2578" s="1754">
        <v>41547</v>
      </c>
      <c r="B2578" s="125" t="str">
        <f>TiposLancamentos!B43</f>
        <v>Imposto de Renda</v>
      </c>
      <c r="C2578" s="1040" t="s">
        <v>6340</v>
      </c>
      <c r="D2578" s="1736"/>
      <c r="E2578" s="1043">
        <v>305.27999999999997</v>
      </c>
      <c r="F2578" s="1043"/>
      <c r="G2578" s="1550"/>
    </row>
    <row r="2579" spans="1:7" ht="14.25" thickBot="1">
      <c r="A2579" s="1754">
        <v>41547</v>
      </c>
      <c r="B2579" s="125" t="str">
        <f>TiposLancamentos!B24</f>
        <v>Estacionamentos</v>
      </c>
      <c r="C2579" s="1040" t="s">
        <v>4322</v>
      </c>
      <c r="D2579" s="1736"/>
      <c r="E2579" s="1043">
        <v>7</v>
      </c>
      <c r="F2579" s="1043"/>
      <c r="G2579" s="1550"/>
    </row>
    <row r="2580" spans="1:7">
      <c r="A2580" s="1834"/>
      <c r="B2580" s="977"/>
      <c r="C2580" s="1854" t="s">
        <v>6341</v>
      </c>
      <c r="D2580" s="1823"/>
      <c r="E2580" s="1821"/>
      <c r="F2580" s="1821"/>
      <c r="G2580" s="1895"/>
    </row>
    <row r="2581" spans="1:7">
      <c r="A2581" s="1754">
        <v>41548</v>
      </c>
      <c r="B2581" s="125" t="str">
        <f>TiposLancamentos!B6</f>
        <v>Energia Eletrica</v>
      </c>
      <c r="C2581" s="1040" t="s">
        <v>5191</v>
      </c>
      <c r="D2581" s="1736"/>
      <c r="E2581" s="1043">
        <v>163.83000000000001</v>
      </c>
      <c r="F2581" s="1043"/>
      <c r="G2581" s="1550"/>
    </row>
    <row r="2582" spans="1:7">
      <c r="A2582" s="1754">
        <v>41548</v>
      </c>
      <c r="B2582" s="125" t="str">
        <f>TiposLancamentos!B32</f>
        <v>Clinicas e tratamentos</v>
      </c>
      <c r="C2582" s="1040" t="s">
        <v>6342</v>
      </c>
      <c r="D2582" s="1736"/>
      <c r="E2582" s="1043">
        <v>440</v>
      </c>
      <c r="F2582" s="1043"/>
      <c r="G2582" s="1550"/>
    </row>
    <row r="2583" spans="1:7">
      <c r="A2583" s="1754">
        <v>41548</v>
      </c>
      <c r="B2583" s="125" t="str">
        <f>TiposLancamentos!B4</f>
        <v>Taxas Bancarias</v>
      </c>
      <c r="C2583" s="1040" t="s">
        <v>6343</v>
      </c>
      <c r="D2583" s="1736"/>
      <c r="E2583" s="1043">
        <v>20.07</v>
      </c>
      <c r="F2583" s="1043"/>
      <c r="G2583" s="1550"/>
    </row>
    <row r="2584" spans="1:7">
      <c r="A2584" s="1754">
        <v>41548</v>
      </c>
      <c r="B2584" s="125" t="str">
        <f>TiposLancamentos!B4</f>
        <v>Taxas Bancarias</v>
      </c>
      <c r="C2584" s="1040" t="s">
        <v>4383</v>
      </c>
      <c r="D2584" s="1736"/>
      <c r="E2584" s="1043">
        <v>7</v>
      </c>
      <c r="F2584" s="1043"/>
      <c r="G2584" s="1550"/>
    </row>
    <row r="2585" spans="1:7">
      <c r="A2585" s="1754">
        <v>41550</v>
      </c>
      <c r="B2585" s="125" t="str">
        <f>TiposLancamentos!B15</f>
        <v>Cartões de Crédito</v>
      </c>
      <c r="C2585" s="1040" t="s">
        <v>6344</v>
      </c>
      <c r="D2585" s="1736"/>
      <c r="E2585" s="1043">
        <v>1216.8399999999999</v>
      </c>
      <c r="F2585" s="1043"/>
      <c r="G2585" s="1550"/>
    </row>
    <row r="2586" spans="1:7">
      <c r="A2586" s="1754">
        <v>41550</v>
      </c>
      <c r="B2586" s="125" t="str">
        <f>TiposLancamentos!B16</f>
        <v>Cristiane</v>
      </c>
      <c r="C2586" s="1040" t="s">
        <v>6345</v>
      </c>
      <c r="D2586" s="1736"/>
      <c r="E2586" s="1043">
        <v>172.59</v>
      </c>
      <c r="F2586" s="1043"/>
      <c r="G2586" s="1550"/>
    </row>
    <row r="2587" spans="1:7">
      <c r="A2587" s="1754">
        <v>41550</v>
      </c>
      <c r="B2587" s="125" t="str">
        <f>TiposLancamentos!B98</f>
        <v>Restituições</v>
      </c>
      <c r="C2587" s="1040" t="s">
        <v>6346</v>
      </c>
      <c r="D2587" s="1736">
        <v>84.8</v>
      </c>
      <c r="E2587" s="1043"/>
      <c r="F2587" s="1043"/>
      <c r="G2587" s="1550"/>
    </row>
    <row r="2588" spans="1:7">
      <c r="A2588" s="1754">
        <v>41552</v>
      </c>
      <c r="B2588" s="125" t="str">
        <f>TiposLancamentos!B53</f>
        <v>Auxilio Idoso</v>
      </c>
      <c r="C2588" s="1040" t="s">
        <v>6347</v>
      </c>
      <c r="D2588" s="1736"/>
      <c r="E2588" s="1043">
        <v>29</v>
      </c>
      <c r="F2588" s="1043"/>
      <c r="G2588" s="1550"/>
    </row>
    <row r="2589" spans="1:7">
      <c r="A2589" s="1754">
        <v>41552</v>
      </c>
      <c r="B2589" s="125" t="str">
        <f>TiposLancamentos!B17</f>
        <v>GATO</v>
      </c>
      <c r="C2589" s="1040" t="s">
        <v>6348</v>
      </c>
      <c r="D2589" s="1736"/>
      <c r="E2589" s="1043">
        <v>11.8</v>
      </c>
      <c r="F2589" s="1043"/>
      <c r="G2589" s="1550"/>
    </row>
    <row r="2590" spans="1:7">
      <c r="A2590" s="1754">
        <v>41554</v>
      </c>
      <c r="B2590" s="125" t="str">
        <f>TiposLancamentos!B20</f>
        <v>Saques</v>
      </c>
      <c r="C2590" s="1040" t="s">
        <v>4328</v>
      </c>
      <c r="D2590" s="1736"/>
      <c r="E2590" s="1043">
        <v>20</v>
      </c>
      <c r="F2590" s="1043"/>
      <c r="G2590" s="1550"/>
    </row>
    <row r="2591" spans="1:7">
      <c r="A2591" s="1754">
        <v>41554</v>
      </c>
      <c r="B2591" s="125" t="str">
        <f>TiposLancamentos!B2</f>
        <v>Telefonia</v>
      </c>
      <c r="C2591" s="1040" t="s">
        <v>6318</v>
      </c>
      <c r="D2591" s="1736"/>
      <c r="E2591" s="1043">
        <v>19.350000000000001</v>
      </c>
      <c r="F2591" s="1043"/>
      <c r="G2591" s="1550"/>
    </row>
    <row r="2592" spans="1:7">
      <c r="A2592" s="1754">
        <v>41554</v>
      </c>
      <c r="B2592" s="125" t="str">
        <f>TiposLancamentos!B16</f>
        <v>Cristiane</v>
      </c>
      <c r="C2592" s="1040" t="s">
        <v>5926</v>
      </c>
      <c r="D2592" s="1736"/>
      <c r="E2592" s="1043">
        <v>92.71</v>
      </c>
      <c r="F2592" s="1043"/>
      <c r="G2592" s="1550"/>
    </row>
    <row r="2593" spans="1:7">
      <c r="A2593" s="1754">
        <v>41554</v>
      </c>
      <c r="B2593" s="125" t="str">
        <f>TiposLancamentos!B16</f>
        <v>Cristiane</v>
      </c>
      <c r="C2593" s="1040" t="s">
        <v>6349</v>
      </c>
      <c r="D2593" s="1736"/>
      <c r="E2593" s="1043">
        <v>110</v>
      </c>
      <c r="F2593" s="1043"/>
      <c r="G2593" s="1550"/>
    </row>
    <row r="2594" spans="1:7">
      <c r="A2594" s="1754">
        <v>41556</v>
      </c>
      <c r="B2594" s="125" t="str">
        <f>TiposLancamentos!B88</f>
        <v>Ford Ecosport XLT</v>
      </c>
      <c r="C2594" s="1040" t="s">
        <v>4473</v>
      </c>
      <c r="D2594" s="1736"/>
      <c r="E2594" s="1043">
        <v>35</v>
      </c>
      <c r="F2594" s="1043"/>
      <c r="G2594" s="1550"/>
    </row>
    <row r="2595" spans="1:7">
      <c r="A2595" s="1754">
        <v>41556</v>
      </c>
      <c r="B2595" s="125" t="str">
        <f>TiposLancamentos!B24</f>
        <v>Estacionamentos</v>
      </c>
      <c r="C2595" s="1040" t="s">
        <v>4370</v>
      </c>
      <c r="D2595" s="1736"/>
      <c r="E2595" s="1043">
        <v>7</v>
      </c>
      <c r="F2595" s="1043"/>
      <c r="G2595" s="1550"/>
    </row>
    <row r="2596" spans="1:7">
      <c r="A2596" s="1666">
        <v>41557</v>
      </c>
      <c r="B2596" s="817" t="str">
        <f>TiposLancamentos!B35</f>
        <v>Tv à Cabo</v>
      </c>
      <c r="C2596" s="1742" t="s">
        <v>5834</v>
      </c>
      <c r="D2596" s="1735"/>
      <c r="E2596" s="1733">
        <v>252.34</v>
      </c>
      <c r="F2596" s="1043"/>
      <c r="G2596" s="1550"/>
    </row>
    <row r="2597" spans="1:7">
      <c r="A2597" s="1667">
        <v>41557</v>
      </c>
      <c r="B2597" s="816" t="str">
        <f>TiposLancamentos!B3</f>
        <v>Internet</v>
      </c>
      <c r="C2597" s="1769" t="s">
        <v>5835</v>
      </c>
      <c r="D2597" s="1736"/>
      <c r="E2597" s="1734">
        <v>63.63</v>
      </c>
      <c r="F2597" s="1043"/>
      <c r="G2597" s="1550"/>
    </row>
    <row r="2598" spans="1:7">
      <c r="A2598" s="1750">
        <v>41557</v>
      </c>
      <c r="B2598" s="818" t="str">
        <f>TiposLancamentos!B2</f>
        <v>Telefonia</v>
      </c>
      <c r="C2598" s="1743" t="s">
        <v>5836</v>
      </c>
      <c r="D2598" s="1737"/>
      <c r="E2598" s="1668">
        <v>0.33</v>
      </c>
      <c r="F2598" s="1043">
        <f>SUM(E2596:E2598)</f>
        <v>316.3</v>
      </c>
      <c r="G2598" s="1550"/>
    </row>
    <row r="2599" spans="1:7">
      <c r="A2599" s="1754">
        <v>41557</v>
      </c>
      <c r="B2599" s="125" t="str">
        <f>TiposLancamentos!B96</f>
        <v>Resg.Poup.</v>
      </c>
      <c r="C2599" s="1040" t="s">
        <v>6350</v>
      </c>
      <c r="D2599" s="1736">
        <v>2257.4899999999998</v>
      </c>
      <c r="E2599" s="1043"/>
      <c r="F2599" s="1043"/>
      <c r="G2599" s="1550"/>
    </row>
    <row r="2600" spans="1:7">
      <c r="A2600" s="1666">
        <v>41557</v>
      </c>
      <c r="B2600" s="817" t="str">
        <f>TiposLancamentos!B8</f>
        <v>Aluguel</v>
      </c>
      <c r="C2600" s="1742" t="s">
        <v>6163</v>
      </c>
      <c r="D2600" s="1735"/>
      <c r="E2600" s="1733">
        <f>F2602-E2601-E2602</f>
        <v>1406.3</v>
      </c>
      <c r="F2600" s="1043"/>
      <c r="G2600" s="1550"/>
    </row>
    <row r="2601" spans="1:7">
      <c r="A2601" s="1667">
        <v>41557</v>
      </c>
      <c r="B2601" s="816" t="str">
        <f>TiposLancamentos!B12</f>
        <v>IPTU</v>
      </c>
      <c r="C2601" s="1769" t="s">
        <v>6351</v>
      </c>
      <c r="D2601" s="1736"/>
      <c r="E2601" s="1734">
        <v>104.78</v>
      </c>
      <c r="F2601" s="1043"/>
      <c r="G2601" s="1550"/>
    </row>
    <row r="2602" spans="1:7">
      <c r="A2602" s="1750">
        <v>41557</v>
      </c>
      <c r="B2602" s="818" t="str">
        <f>TiposLancamentos!B34</f>
        <v>Seguros</v>
      </c>
      <c r="C2602" s="1743" t="s">
        <v>6352</v>
      </c>
      <c r="D2602" s="1737"/>
      <c r="E2602" s="1668">
        <v>240.91</v>
      </c>
      <c r="F2602" s="1043">
        <v>1751.99</v>
      </c>
      <c r="G2602" s="1550"/>
    </row>
    <row r="2603" spans="1:7">
      <c r="A2603" s="1754">
        <v>41557</v>
      </c>
      <c r="B2603" s="125" t="str">
        <f>TiposLancamentos!B4</f>
        <v>Taxas Bancarias</v>
      </c>
      <c r="C2603" s="1040" t="s">
        <v>5707</v>
      </c>
      <c r="D2603" s="1736"/>
      <c r="E2603" s="1043">
        <v>166.34</v>
      </c>
      <c r="F2603" s="1043"/>
      <c r="G2603" s="1550"/>
    </row>
    <row r="2604" spans="1:7">
      <c r="A2604" s="1754">
        <v>41558</v>
      </c>
      <c r="B2604" s="125" t="str">
        <f>TiposLancamentos!B20</f>
        <v>Saques</v>
      </c>
      <c r="C2604" s="1040" t="s">
        <v>4325</v>
      </c>
      <c r="D2604" s="1736"/>
      <c r="E2604" s="1043">
        <v>120</v>
      </c>
      <c r="F2604" s="1043"/>
      <c r="G2604" s="1550"/>
    </row>
    <row r="2605" spans="1:7">
      <c r="A2605" s="1754">
        <v>41561</v>
      </c>
      <c r="B2605" s="125" t="str">
        <f>TiposLancamentos!B20</f>
        <v>Saques</v>
      </c>
      <c r="C2605" s="1040" t="s">
        <v>4325</v>
      </c>
      <c r="D2605" s="1736"/>
      <c r="E2605" s="1043">
        <v>40</v>
      </c>
      <c r="F2605" s="1043"/>
      <c r="G2605" s="1550"/>
    </row>
    <row r="2606" spans="1:7">
      <c r="A2606" s="1754">
        <v>41562</v>
      </c>
      <c r="B2606" s="125" t="str">
        <f>TiposLancamentos!B20</f>
        <v>Saques</v>
      </c>
      <c r="C2606" s="1040" t="s">
        <v>4328</v>
      </c>
      <c r="D2606" s="1736"/>
      <c r="E2606" s="1043">
        <v>20</v>
      </c>
      <c r="F2606" s="1043"/>
      <c r="G2606" s="1550"/>
    </row>
    <row r="2607" spans="1:7">
      <c r="A2607" s="1754">
        <v>41562</v>
      </c>
      <c r="B2607" s="125" t="str">
        <f>TiposLancamentos!B95</f>
        <v>Salarios</v>
      </c>
      <c r="C2607" s="1040" t="s">
        <v>4916</v>
      </c>
      <c r="D2607" s="1736">
        <v>2198.35</v>
      </c>
      <c r="E2607" s="1043"/>
      <c r="F2607" s="1043"/>
      <c r="G2607" s="1550"/>
    </row>
    <row r="2608" spans="1:7">
      <c r="A2608" s="1754">
        <v>41562</v>
      </c>
      <c r="B2608" s="125" t="str">
        <f>TiposLancamentos!B24</f>
        <v>Estacionamentos</v>
      </c>
      <c r="C2608" s="1040" t="s">
        <v>6353</v>
      </c>
      <c r="D2608" s="1736"/>
      <c r="E2608" s="1043">
        <v>69</v>
      </c>
      <c r="F2608" s="1043"/>
      <c r="G2608" s="1550"/>
    </row>
    <row r="2609" spans="1:7">
      <c r="A2609" s="1666">
        <v>41562</v>
      </c>
      <c r="B2609" s="817" t="str">
        <f>TiposLancamentos!B33</f>
        <v>Pedágios</v>
      </c>
      <c r="C2609" s="1742" t="s">
        <v>5392</v>
      </c>
      <c r="D2609" s="1735"/>
      <c r="E2609" s="1733">
        <f>F2611-E2610-E2611</f>
        <v>171.13</v>
      </c>
      <c r="F2609" s="1043"/>
      <c r="G2609" s="1550"/>
    </row>
    <row r="2610" spans="1:7">
      <c r="A2610" s="1667">
        <v>41562</v>
      </c>
      <c r="B2610" s="816" t="str">
        <f>TiposLancamentos!B24</f>
        <v>Estacionamentos</v>
      </c>
      <c r="C2610" s="1769" t="s">
        <v>5863</v>
      </c>
      <c r="D2610" s="1736"/>
      <c r="E2610" s="1734">
        <v>0</v>
      </c>
      <c r="F2610" s="1043"/>
      <c r="G2610" s="1550"/>
    </row>
    <row r="2611" spans="1:7">
      <c r="A2611" s="1750">
        <v>41562</v>
      </c>
      <c r="B2611" s="818" t="str">
        <f>TiposLancamentos!B24</f>
        <v>Estacionamentos</v>
      </c>
      <c r="C2611" s="1743" t="s">
        <v>6297</v>
      </c>
      <c r="D2611" s="1737"/>
      <c r="E2611" s="1668">
        <v>36</v>
      </c>
      <c r="F2611" s="1043">
        <v>207.13</v>
      </c>
      <c r="G2611" s="1550"/>
    </row>
    <row r="2612" spans="1:7">
      <c r="A2612" s="1754">
        <v>41563</v>
      </c>
      <c r="B2612" s="125" t="str">
        <f>TiposLancamentos!B24</f>
        <v>Estacionamentos</v>
      </c>
      <c r="C2612" s="1040" t="s">
        <v>4370</v>
      </c>
      <c r="D2612" s="1736"/>
      <c r="E2612" s="1043">
        <v>7</v>
      </c>
      <c r="F2612" s="1043"/>
      <c r="G2612" s="1550"/>
    </row>
    <row r="2613" spans="1:7">
      <c r="A2613" s="1754">
        <v>41563</v>
      </c>
      <c r="B2613" s="125" t="str">
        <f>TiposLancamentos!B98</f>
        <v>Restituições</v>
      </c>
      <c r="C2613" s="1040" t="s">
        <v>6354</v>
      </c>
      <c r="D2613" s="1736">
        <v>270.45</v>
      </c>
      <c r="E2613" s="1043"/>
      <c r="F2613" s="1043"/>
      <c r="G2613" s="1550"/>
    </row>
    <row r="2614" spans="1:7">
      <c r="A2614" s="1754">
        <v>41566</v>
      </c>
      <c r="B2614" s="125" t="str">
        <f>TiposLancamentos!B19</f>
        <v>Restaurantes</v>
      </c>
      <c r="C2614" s="1040" t="s">
        <v>6355</v>
      </c>
      <c r="D2614" s="1736"/>
      <c r="E2614" s="1043">
        <v>54.3</v>
      </c>
      <c r="F2614" s="1043"/>
      <c r="G2614" s="1550"/>
    </row>
    <row r="2615" spans="1:7">
      <c r="A2615" s="1754">
        <v>41567</v>
      </c>
      <c r="B2615" s="125" t="str">
        <f>TiposLancamentos!B19</f>
        <v>Restaurantes</v>
      </c>
      <c r="C2615" s="1040" t="s">
        <v>6356</v>
      </c>
      <c r="D2615" s="1736"/>
      <c r="E2615" s="1043">
        <v>28.93</v>
      </c>
      <c r="F2615" s="1043"/>
      <c r="G2615" s="1550"/>
    </row>
    <row r="2616" spans="1:7">
      <c r="A2616" s="1754">
        <v>41568</v>
      </c>
      <c r="B2616" s="125" t="str">
        <f>TiposLancamentos!B24</f>
        <v>Estacionamentos</v>
      </c>
      <c r="C2616" s="1040" t="s">
        <v>4370</v>
      </c>
      <c r="D2616" s="1736"/>
      <c r="E2616" s="1043">
        <v>7</v>
      </c>
      <c r="F2616" s="1043"/>
      <c r="G2616" s="1550"/>
    </row>
    <row r="2617" spans="1:7">
      <c r="A2617" s="1754">
        <v>41568</v>
      </c>
      <c r="B2617" s="125" t="str">
        <f>TiposLancamentos!B19</f>
        <v>Restaurantes</v>
      </c>
      <c r="C2617" s="1040" t="s">
        <v>4452</v>
      </c>
      <c r="D2617" s="1736"/>
      <c r="E2617" s="1043">
        <v>6.8</v>
      </c>
      <c r="F2617" s="1043"/>
      <c r="G2617" s="1550"/>
    </row>
    <row r="2618" spans="1:7">
      <c r="A2618" s="1754">
        <v>41569</v>
      </c>
      <c r="B2618" s="125" t="str">
        <f>TiposLancamentos!B88</f>
        <v>Ford Ecosport XLT</v>
      </c>
      <c r="C2618" s="1040" t="s">
        <v>6357</v>
      </c>
      <c r="D2618" s="1736"/>
      <c r="E2618" s="1043">
        <v>878.64</v>
      </c>
      <c r="F2618" s="1043"/>
      <c r="G2618" s="1550"/>
    </row>
    <row r="2619" spans="1:7">
      <c r="A2619" s="1754">
        <v>41570</v>
      </c>
      <c r="B2619" s="125" t="str">
        <f>TiposLancamentos!B20</f>
        <v>Saques</v>
      </c>
      <c r="C2619" s="1040" t="s">
        <v>6358</v>
      </c>
      <c r="D2619" s="1736"/>
      <c r="E2619" s="1043">
        <v>40</v>
      </c>
      <c r="F2619" s="1043"/>
      <c r="G2619" s="1550"/>
    </row>
    <row r="2620" spans="1:7">
      <c r="A2620" s="1754">
        <v>41572</v>
      </c>
      <c r="B2620" s="125" t="str">
        <f>TiposLancamentos!B88</f>
        <v>Ford Ecosport XLT</v>
      </c>
      <c r="C2620" s="1040" t="s">
        <v>6359</v>
      </c>
      <c r="D2620" s="1736"/>
      <c r="E2620" s="1043">
        <v>63.9</v>
      </c>
      <c r="F2620" s="1043"/>
      <c r="G2620" s="1550"/>
    </row>
    <row r="2621" spans="1:7">
      <c r="A2621" s="1754">
        <v>41572</v>
      </c>
      <c r="B2621" s="125" t="str">
        <f>TiposLancamentos!B4</f>
        <v>Taxas Bancarias</v>
      </c>
      <c r="C2621" s="1040" t="s">
        <v>5707</v>
      </c>
      <c r="D2621" s="1736"/>
      <c r="E2621" s="1043">
        <v>55.48</v>
      </c>
      <c r="F2621" s="1043"/>
      <c r="G2621" s="1550"/>
    </row>
    <row r="2622" spans="1:7">
      <c r="A2622" s="1754">
        <v>41575</v>
      </c>
      <c r="B2622" s="125" t="str">
        <f>TiposLancamentos!B24</f>
        <v>Estacionamentos</v>
      </c>
      <c r="C2622" s="1040" t="s">
        <v>4333</v>
      </c>
      <c r="D2622" s="1736"/>
      <c r="E2622" s="1043">
        <v>7</v>
      </c>
      <c r="F2622" s="1043"/>
      <c r="G2622" s="1550"/>
    </row>
    <row r="2623" spans="1:7">
      <c r="A2623" s="1754">
        <v>41577</v>
      </c>
      <c r="B2623" s="125" t="str">
        <f>TiposLancamentos!B24</f>
        <v>Estacionamentos</v>
      </c>
      <c r="C2623" s="1040" t="s">
        <v>4333</v>
      </c>
      <c r="D2623" s="1736"/>
      <c r="E2623" s="1043">
        <v>7</v>
      </c>
      <c r="F2623" s="1043"/>
      <c r="G2623" s="1550"/>
    </row>
    <row r="2624" spans="1:7">
      <c r="A2624" s="1754">
        <v>41578</v>
      </c>
      <c r="B2624" s="125" t="str">
        <f>TiposLancamentos!B95</f>
        <v>Salarios</v>
      </c>
      <c r="C2624" s="1040" t="s">
        <v>5917</v>
      </c>
      <c r="D2624" s="1736">
        <v>2750.62</v>
      </c>
      <c r="E2624" s="1043"/>
      <c r="F2624" s="1043"/>
      <c r="G2624" s="1550"/>
    </row>
    <row r="2625" spans="1:7" ht="14.25" thickBot="1">
      <c r="A2625" s="1754">
        <v>41578</v>
      </c>
      <c r="B2625" s="125" t="str">
        <f>TiposLancamentos!B43</f>
        <v>Imposto de Renda</v>
      </c>
      <c r="C2625" s="1040" t="s">
        <v>6360</v>
      </c>
      <c r="D2625" s="1736"/>
      <c r="E2625" s="1043">
        <v>307.37</v>
      </c>
      <c r="F2625" s="1043"/>
      <c r="G2625" s="1550"/>
    </row>
    <row r="2626" spans="1:7">
      <c r="A2626" s="1834"/>
      <c r="B2626" s="977"/>
      <c r="C2626" s="1854" t="s">
        <v>6361</v>
      </c>
      <c r="D2626" s="1823"/>
      <c r="E2626" s="1821"/>
      <c r="F2626" s="1821"/>
      <c r="G2626" s="1895"/>
    </row>
    <row r="2627" spans="1:7">
      <c r="A2627" s="1754">
        <v>41579</v>
      </c>
      <c r="B2627" s="125" t="str">
        <f>TiposLancamentos!B6</f>
        <v>Energia Eletrica</v>
      </c>
      <c r="C2627" s="1040" t="s">
        <v>5191</v>
      </c>
      <c r="D2627" s="1736"/>
      <c r="E2627" s="1043">
        <v>166.93</v>
      </c>
      <c r="F2627" s="1043"/>
      <c r="G2627" s="1550"/>
    </row>
    <row r="2628" spans="1:7">
      <c r="A2628" s="1754">
        <v>41579</v>
      </c>
      <c r="B2628" s="125" t="str">
        <f>TiposLancamentos!B32</f>
        <v>Clinicas e tratamentos</v>
      </c>
      <c r="C2628" s="1040" t="s">
        <v>6362</v>
      </c>
      <c r="D2628" s="1736"/>
      <c r="E2628" s="1043">
        <v>440</v>
      </c>
      <c r="F2628" s="1043"/>
      <c r="G2628" s="1550"/>
    </row>
    <row r="2629" spans="1:7">
      <c r="A2629" s="1754">
        <v>41581</v>
      </c>
      <c r="B2629" s="125" t="str">
        <f>TiposLancamentos!B20</f>
        <v>Saques</v>
      </c>
      <c r="C2629" s="1040" t="s">
        <v>4328</v>
      </c>
      <c r="D2629" s="1736"/>
      <c r="E2629" s="1043">
        <v>120</v>
      </c>
      <c r="F2629" s="1043"/>
      <c r="G2629" s="1550"/>
    </row>
    <row r="2630" spans="1:7">
      <c r="A2630" s="1754">
        <v>41581</v>
      </c>
      <c r="B2630" s="125" t="str">
        <f>TiposLancamentos!B16</f>
        <v>Cristiane</v>
      </c>
      <c r="C2630" s="1040" t="s">
        <v>6363</v>
      </c>
      <c r="D2630" s="1736"/>
      <c r="E2630" s="1043">
        <v>9.5</v>
      </c>
      <c r="F2630" s="1043"/>
      <c r="G2630" s="1550"/>
    </row>
    <row r="2631" spans="1:7">
      <c r="A2631" s="1754">
        <v>41581</v>
      </c>
      <c r="B2631" s="125" t="str">
        <f>TiposLancamentos!B15</f>
        <v>Cartões de Crédito</v>
      </c>
      <c r="C2631" s="1040" t="s">
        <v>5879</v>
      </c>
      <c r="D2631" s="1736"/>
      <c r="E2631" s="1043">
        <v>1228.77</v>
      </c>
      <c r="F2631" s="1043"/>
      <c r="G2631" s="1550"/>
    </row>
    <row r="2632" spans="1:7">
      <c r="A2632" s="1754">
        <v>41582</v>
      </c>
      <c r="B2632" s="125" t="str">
        <f>TiposLancamentos!B4</f>
        <v>Taxas Bancarias</v>
      </c>
      <c r="C2632" s="1040" t="s">
        <v>4858</v>
      </c>
      <c r="D2632" s="1736"/>
      <c r="E2632" s="1043">
        <v>1.03</v>
      </c>
      <c r="F2632" s="1043"/>
      <c r="G2632" s="1550"/>
    </row>
    <row r="2633" spans="1:7">
      <c r="A2633" s="1754">
        <v>41582</v>
      </c>
      <c r="B2633" s="125" t="str">
        <f>TiposLancamentos!B4</f>
        <v>Taxas Bancarias</v>
      </c>
      <c r="C2633" s="1040" t="s">
        <v>4858</v>
      </c>
      <c r="D2633" s="1736"/>
      <c r="E2633" s="1043">
        <v>14.41</v>
      </c>
      <c r="F2633" s="1043"/>
      <c r="G2633" s="1550"/>
    </row>
    <row r="2634" spans="1:7">
      <c r="A2634" s="1754">
        <v>41583</v>
      </c>
      <c r="B2634" s="125" t="str">
        <f>TiposLancamentos!B24</f>
        <v>Estacionamentos</v>
      </c>
      <c r="C2634" s="1040" t="s">
        <v>4370</v>
      </c>
      <c r="D2634" s="1736"/>
      <c r="E2634" s="1043">
        <v>7</v>
      </c>
      <c r="F2634" s="1043"/>
      <c r="G2634" s="1550"/>
    </row>
    <row r="2635" spans="1:7">
      <c r="A2635" s="1754">
        <v>41584</v>
      </c>
      <c r="B2635" s="125" t="str">
        <f>TiposLancamentos!B9</f>
        <v>Condominio</v>
      </c>
      <c r="C2635" s="1040" t="s">
        <v>6364</v>
      </c>
      <c r="D2635" s="1736"/>
      <c r="E2635" s="1043">
        <v>861.65</v>
      </c>
      <c r="F2635" s="1043"/>
      <c r="G2635" s="1550"/>
    </row>
    <row r="2636" spans="1:7">
      <c r="A2636" s="1754">
        <v>41584</v>
      </c>
      <c r="B2636" s="125" t="str">
        <f>TiposLancamentos!B24</f>
        <v>Estacionamentos</v>
      </c>
      <c r="C2636" s="1040" t="s">
        <v>6365</v>
      </c>
      <c r="D2636" s="1736"/>
      <c r="E2636" s="1043">
        <v>7</v>
      </c>
      <c r="F2636" s="1043"/>
      <c r="G2636" s="1550"/>
    </row>
    <row r="2637" spans="1:7">
      <c r="A2637" s="1754">
        <v>41584</v>
      </c>
      <c r="B2637" s="125" t="str">
        <f>TiposLancamentos!B19</f>
        <v>Restaurantes</v>
      </c>
      <c r="C2637" s="1040" t="s">
        <v>4452</v>
      </c>
      <c r="D2637" s="1736"/>
      <c r="E2637" s="1043">
        <v>8</v>
      </c>
      <c r="F2637" s="1043"/>
      <c r="G2637" s="1550"/>
    </row>
    <row r="2638" spans="1:7">
      <c r="A2638" s="1754">
        <v>41585</v>
      </c>
      <c r="B2638" s="125" t="str">
        <f>TiposLancamentos!B16</f>
        <v>Cristiane</v>
      </c>
      <c r="C2638" s="1040" t="s">
        <v>6366</v>
      </c>
      <c r="D2638" s="1736"/>
      <c r="E2638" s="1043">
        <v>99.64</v>
      </c>
      <c r="F2638" s="1043"/>
      <c r="G2638" s="1550"/>
    </row>
    <row r="2639" spans="1:7">
      <c r="A2639" s="1754">
        <v>41585</v>
      </c>
      <c r="B2639" s="125" t="str">
        <f>TiposLancamentos!B16</f>
        <v>Cristiane</v>
      </c>
      <c r="C2639" s="1040" t="s">
        <v>6317</v>
      </c>
      <c r="D2639" s="1736"/>
      <c r="E2639" s="1043">
        <v>110</v>
      </c>
      <c r="F2639" s="1043"/>
      <c r="G2639" s="1550"/>
    </row>
    <row r="2640" spans="1:7">
      <c r="A2640" s="1754">
        <v>41585</v>
      </c>
      <c r="B2640" s="125" t="str">
        <f>TiposLancamentos!B73</f>
        <v>Cursos</v>
      </c>
      <c r="C2640" s="1040" t="s">
        <v>6367</v>
      </c>
      <c r="D2640" s="1736"/>
      <c r="E2640" s="1043">
        <v>593.17999999999995</v>
      </c>
      <c r="F2640" s="1043"/>
      <c r="G2640" s="1550"/>
    </row>
    <row r="2641" spans="1:7">
      <c r="A2641" s="1754">
        <v>41589</v>
      </c>
      <c r="B2641" s="125" t="str">
        <f>TiposLancamentos!B4</f>
        <v>Taxas Bancarias</v>
      </c>
      <c r="C2641" s="1040" t="s">
        <v>6368</v>
      </c>
      <c r="D2641" s="1736"/>
      <c r="E2641" s="1043">
        <v>86.78</v>
      </c>
      <c r="F2641" s="1043"/>
      <c r="G2641" s="1550"/>
    </row>
    <row r="2642" spans="1:7">
      <c r="A2642" s="1754">
        <v>41592</v>
      </c>
      <c r="B2642" s="125" t="str">
        <f>TiposLancamentos!B95</f>
        <v>Salarios</v>
      </c>
      <c r="C2642" s="1040" t="s">
        <v>4916</v>
      </c>
      <c r="D2642" s="1736">
        <v>2198.35</v>
      </c>
      <c r="E2642" s="1043"/>
      <c r="F2642" s="1043"/>
      <c r="G2642" s="1550"/>
    </row>
    <row r="2643" spans="1:7">
      <c r="A2643" s="1754">
        <v>41596</v>
      </c>
      <c r="B2643" s="125" t="str">
        <f>TiposLancamentos!B34</f>
        <v>Seguros</v>
      </c>
      <c r="C2643" s="1040" t="s">
        <v>6369</v>
      </c>
      <c r="D2643" s="1736"/>
      <c r="E2643" s="1043">
        <v>69</v>
      </c>
      <c r="F2643" s="1043"/>
      <c r="G2643" s="1550"/>
    </row>
    <row r="2644" spans="1:7">
      <c r="A2644" s="1666">
        <v>41596</v>
      </c>
      <c r="B2644" s="817" t="str">
        <f>TiposLancamentos!B33</f>
        <v>Pedágios</v>
      </c>
      <c r="C2644" s="1742" t="s">
        <v>5392</v>
      </c>
      <c r="D2644" s="1735"/>
      <c r="E2644" s="1733">
        <v>5.2</v>
      </c>
      <c r="F2644" s="1043"/>
      <c r="G2644" s="1550"/>
    </row>
    <row r="2645" spans="1:7">
      <c r="A2645" s="1667">
        <v>41596</v>
      </c>
      <c r="B2645" s="816" t="str">
        <f>TiposLancamentos!B24</f>
        <v>Estacionamentos</v>
      </c>
      <c r="C2645" s="1769" t="s">
        <v>5863</v>
      </c>
      <c r="D2645" s="1736"/>
      <c r="E2645" s="1734">
        <v>19.05</v>
      </c>
      <c r="F2645" s="1043"/>
      <c r="G2645" s="1550"/>
    </row>
    <row r="2646" spans="1:7">
      <c r="A2646" s="1750">
        <v>41596</v>
      </c>
      <c r="B2646" s="818" t="str">
        <f>TiposLancamentos!B24</f>
        <v>Estacionamentos</v>
      </c>
      <c r="C2646" s="1743" t="s">
        <v>6297</v>
      </c>
      <c r="D2646" s="1737"/>
      <c r="E2646" s="1668">
        <v>35.28</v>
      </c>
      <c r="F2646" s="1043">
        <f>SUM(E2644:E2646)</f>
        <v>59.53</v>
      </c>
      <c r="G2646" s="1550"/>
    </row>
    <row r="2647" spans="1:7">
      <c r="A2647" s="1754">
        <v>41596</v>
      </c>
      <c r="B2647" s="125" t="str">
        <f>TiposLancamentos!B24</f>
        <v>Estacionamentos</v>
      </c>
      <c r="C2647" s="1040" t="s">
        <v>4370</v>
      </c>
      <c r="D2647" s="1736"/>
      <c r="E2647" s="1043">
        <v>7</v>
      </c>
      <c r="F2647" s="1043"/>
      <c r="G2647" s="1550"/>
    </row>
    <row r="2648" spans="1:7">
      <c r="A2648" s="1754">
        <v>41597</v>
      </c>
      <c r="B2648" s="125" t="str">
        <f>TiposLancamentos!B19</f>
        <v>Restaurantes</v>
      </c>
      <c r="C2648" s="1040" t="s">
        <v>6370</v>
      </c>
      <c r="D2648" s="1736"/>
      <c r="E2648" s="1043">
        <v>39.799999999999997</v>
      </c>
      <c r="F2648" s="1043"/>
      <c r="G2648" s="1550"/>
    </row>
    <row r="2649" spans="1:7">
      <c r="A2649" s="1754">
        <v>41598</v>
      </c>
      <c r="B2649" s="125" t="str">
        <f>TiposLancamentos!B37</f>
        <v>Playstation 3</v>
      </c>
      <c r="C2649" s="1040" t="s">
        <v>6371</v>
      </c>
      <c r="D2649" s="1736"/>
      <c r="E2649" s="1043">
        <v>10.98</v>
      </c>
      <c r="F2649" s="1043"/>
      <c r="G2649" s="1550"/>
    </row>
    <row r="2650" spans="1:7">
      <c r="A2650" s="1754">
        <v>41600</v>
      </c>
      <c r="B2650" s="125" t="str">
        <f>TiposLancamentos!B88</f>
        <v>Ford Ecosport XLT</v>
      </c>
      <c r="C2650" s="1040" t="s">
        <v>6372</v>
      </c>
      <c r="D2650" s="1736"/>
      <c r="E2650" s="1043">
        <v>878.64</v>
      </c>
      <c r="F2650" s="1043"/>
      <c r="G2650" s="1550"/>
    </row>
    <row r="2651" spans="1:7">
      <c r="A2651" s="1754">
        <v>41600</v>
      </c>
      <c r="B2651" s="125" t="str">
        <f>TiposLancamentos!B20</f>
        <v>Saques</v>
      </c>
      <c r="C2651" s="1040" t="s">
        <v>4325</v>
      </c>
      <c r="D2651" s="1736"/>
      <c r="E2651" s="1043">
        <v>20</v>
      </c>
      <c r="F2651" s="1043"/>
      <c r="G2651" s="1550"/>
    </row>
    <row r="2652" spans="1:7">
      <c r="A2652" s="1754">
        <v>41603</v>
      </c>
      <c r="B2652" s="125" t="str">
        <f>TiposLancamentos!B34</f>
        <v>Seguros</v>
      </c>
      <c r="C2652" s="1040" t="s">
        <v>6373</v>
      </c>
      <c r="D2652" s="1736"/>
      <c r="E2652" s="1043">
        <v>63.9</v>
      </c>
      <c r="F2652" s="1043"/>
      <c r="G2652" s="1550"/>
    </row>
    <row r="2653" spans="1:7">
      <c r="A2653" s="1754">
        <v>41603</v>
      </c>
      <c r="B2653" s="125" t="str">
        <f>TiposLancamentos!B20</f>
        <v>Saques</v>
      </c>
      <c r="C2653" s="1040" t="s">
        <v>3100</v>
      </c>
      <c r="D2653" s="1736"/>
      <c r="E2653" s="1043">
        <v>20</v>
      </c>
      <c r="F2653" s="1043"/>
      <c r="G2653" s="1550"/>
    </row>
    <row r="2654" spans="1:7">
      <c r="A2654" s="1754">
        <v>41603</v>
      </c>
      <c r="B2654" s="125" t="str">
        <f>TiposLancamentos!B16</f>
        <v>Cristiane</v>
      </c>
      <c r="C2654" s="1040" t="s">
        <v>4322</v>
      </c>
      <c r="D2654" s="1736"/>
      <c r="E2654" s="1043">
        <v>7</v>
      </c>
      <c r="F2654" s="1043"/>
      <c r="G2654" s="1550"/>
    </row>
    <row r="2655" spans="1:7">
      <c r="A2655" s="1754">
        <v>41606</v>
      </c>
      <c r="B2655" s="125" t="str">
        <f>TiposLancamentos!B88</f>
        <v>Ford Ecosport XLT</v>
      </c>
      <c r="C2655" s="1040" t="s">
        <v>6374</v>
      </c>
      <c r="D2655" s="1736"/>
      <c r="E2655" s="1043">
        <v>20</v>
      </c>
      <c r="F2655" s="1043"/>
      <c r="G2655" s="1550"/>
    </row>
    <row r="2656" spans="1:7">
      <c r="A2656" s="1754">
        <v>41607</v>
      </c>
      <c r="B2656" s="125" t="str">
        <f>TiposLancamentos!B43</f>
        <v>Imposto de Renda</v>
      </c>
      <c r="C2656" s="1040" t="s">
        <v>6375</v>
      </c>
      <c r="D2656" s="1736"/>
      <c r="E2656" s="1043">
        <v>309.75</v>
      </c>
      <c r="F2656" s="1043"/>
      <c r="G2656" s="1550"/>
    </row>
    <row r="2657" spans="1:7">
      <c r="A2657" s="1754">
        <v>41607</v>
      </c>
      <c r="B2657" s="125" t="str">
        <f>B2658</f>
        <v>Ferramentas gerais</v>
      </c>
      <c r="C2657" s="1040" t="s">
        <v>6376</v>
      </c>
      <c r="D2657" s="1736"/>
      <c r="E2657" s="1043">
        <v>7.2</v>
      </c>
      <c r="F2657" s="1043"/>
      <c r="G2657" s="1550"/>
    </row>
    <row r="2658" spans="1:7">
      <c r="A2658" s="1754">
        <v>41607</v>
      </c>
      <c r="B2658" s="125" t="str">
        <f>TiposLancamentos!B81</f>
        <v>Ferramentas gerais</v>
      </c>
      <c r="C2658" s="1040" t="s">
        <v>6377</v>
      </c>
      <c r="D2658" s="1736"/>
      <c r="E2658" s="1043">
        <v>15.6</v>
      </c>
      <c r="F2658" s="1043"/>
      <c r="G2658" s="1550"/>
    </row>
    <row r="2659" spans="1:7">
      <c r="A2659" s="1754">
        <v>41607</v>
      </c>
      <c r="B2659" s="125" t="str">
        <f>TiposLancamentos!B13</f>
        <v>Moradia</v>
      </c>
      <c r="C2659" s="1040" t="s">
        <v>6378</v>
      </c>
      <c r="D2659" s="1736"/>
      <c r="E2659" s="1043">
        <v>9.5399999999999991</v>
      </c>
      <c r="F2659" s="1043"/>
      <c r="G2659" s="1550"/>
    </row>
    <row r="2660" spans="1:7">
      <c r="A2660" s="1754">
        <v>41607</v>
      </c>
      <c r="B2660" s="125" t="str">
        <f>TiposLancamentos!B20</f>
        <v>Saques</v>
      </c>
      <c r="C2660" s="1040" t="s">
        <v>4368</v>
      </c>
      <c r="D2660" s="1736"/>
      <c r="E2660" s="1043">
        <v>20</v>
      </c>
      <c r="F2660" s="1043"/>
      <c r="G2660" s="1550"/>
    </row>
    <row r="2661" spans="1:7">
      <c r="A2661" s="1754">
        <v>41607</v>
      </c>
      <c r="B2661" s="125" t="str">
        <f>TiposLancamentos!B16</f>
        <v>Cristiane</v>
      </c>
      <c r="C2661" s="1040" t="s">
        <v>6379</v>
      </c>
      <c r="D2661" s="1736"/>
      <c r="E2661" s="1043">
        <v>15.6</v>
      </c>
      <c r="F2661" s="1043"/>
      <c r="G2661" s="1550"/>
    </row>
    <row r="2662" spans="1:7">
      <c r="A2662" s="1754">
        <v>41607</v>
      </c>
      <c r="B2662" s="125" t="str">
        <f>TiposLancamentos!B95</f>
        <v>Salarios</v>
      </c>
      <c r="C2662" s="1040" t="s">
        <v>5917</v>
      </c>
      <c r="D2662" s="1736">
        <v>2638.23</v>
      </c>
      <c r="E2662" s="1043"/>
      <c r="F2662" s="1043"/>
      <c r="G2662" s="1550"/>
    </row>
    <row r="2663" spans="1:7" ht="14.25" thickBot="1">
      <c r="A2663" s="1754">
        <v>41608</v>
      </c>
      <c r="B2663" s="125" t="str">
        <f>TiposLancamentos!B13</f>
        <v>Moradia</v>
      </c>
      <c r="C2663" s="1040" t="s">
        <v>6380</v>
      </c>
      <c r="D2663" s="1736"/>
      <c r="E2663" s="1043">
        <v>40.299999999999997</v>
      </c>
      <c r="F2663" s="1043"/>
      <c r="G2663" s="1550"/>
    </row>
    <row r="2664" spans="1:7">
      <c r="A2664" s="1834"/>
      <c r="B2664" s="977"/>
      <c r="C2664" s="1854" t="s">
        <v>6381</v>
      </c>
      <c r="D2664" s="1823"/>
      <c r="E2664" s="1821"/>
      <c r="F2664" s="1821"/>
      <c r="G2664" s="1895"/>
    </row>
    <row r="2665" spans="1:7">
      <c r="A2665" s="1754">
        <v>41610</v>
      </c>
      <c r="B2665" s="125" t="str">
        <f>TiposLancamentos!B15</f>
        <v>Cartões de Crédito</v>
      </c>
      <c r="C2665" s="1040" t="s">
        <v>6382</v>
      </c>
      <c r="D2665" s="1736"/>
      <c r="E2665" s="1043">
        <v>1557.16</v>
      </c>
      <c r="F2665" s="1043"/>
      <c r="G2665" s="1550"/>
    </row>
    <row r="2666" spans="1:7">
      <c r="A2666" s="1754">
        <v>41610</v>
      </c>
      <c r="B2666" s="125" t="str">
        <f>TiposLancamentos!B24</f>
        <v>Estacionamentos</v>
      </c>
      <c r="C2666" s="1040" t="s">
        <v>4370</v>
      </c>
      <c r="D2666" s="1736"/>
      <c r="E2666" s="1043">
        <v>7</v>
      </c>
      <c r="F2666" s="1043"/>
      <c r="G2666" s="1550"/>
    </row>
    <row r="2667" spans="1:7">
      <c r="A2667" s="1754">
        <v>41610</v>
      </c>
      <c r="B2667" s="125" t="str">
        <f>TiposLancamentos!B4</f>
        <v>Taxas Bancarias</v>
      </c>
      <c r="C2667" s="1040" t="s">
        <v>6383</v>
      </c>
      <c r="D2667" s="1736"/>
      <c r="E2667" s="1043">
        <v>0.63</v>
      </c>
      <c r="F2667" s="1043"/>
      <c r="G2667" s="1550"/>
    </row>
    <row r="2668" spans="1:7">
      <c r="A2668" s="1754">
        <v>41610</v>
      </c>
      <c r="B2668" s="125" t="str">
        <f>TiposLancamentos!B4</f>
        <v>Taxas Bancarias</v>
      </c>
      <c r="C2668" s="1040" t="s">
        <v>4858</v>
      </c>
      <c r="D2668" s="1736"/>
      <c r="E2668" s="1043">
        <v>17.87</v>
      </c>
      <c r="F2668" s="1043"/>
      <c r="G2668" s="1550"/>
    </row>
    <row r="2669" spans="1:7">
      <c r="A2669" s="1754">
        <v>41610</v>
      </c>
      <c r="B2669" s="125" t="str">
        <f>TiposLancamentos!B32</f>
        <v>Clinicas e tratamentos</v>
      </c>
      <c r="C2669" s="1040" t="s">
        <v>6384</v>
      </c>
      <c r="D2669" s="1736"/>
      <c r="E2669" s="1043">
        <v>440</v>
      </c>
      <c r="F2669" s="1043"/>
      <c r="G2669" s="1550"/>
    </row>
    <row r="2670" spans="1:7">
      <c r="A2670" s="1754">
        <v>41611</v>
      </c>
      <c r="B2670" s="125" t="str">
        <f>TiposLancamentos!B6</f>
        <v>Energia Eletrica</v>
      </c>
      <c r="C2670" s="1040" t="s">
        <v>5191</v>
      </c>
      <c r="D2670" s="1736"/>
      <c r="E2670" s="1043">
        <v>137.83000000000001</v>
      </c>
      <c r="F2670" s="1043"/>
      <c r="G2670" s="1550"/>
    </row>
    <row r="2671" spans="1:7">
      <c r="A2671" s="1754">
        <v>41611</v>
      </c>
      <c r="B2671" s="125" t="str">
        <f>TiposLancamentos!B16</f>
        <v>Cristiane</v>
      </c>
      <c r="C2671" s="1040" t="s">
        <v>6385</v>
      </c>
      <c r="D2671" s="1736"/>
      <c r="E2671" s="1043">
        <v>10.37</v>
      </c>
      <c r="F2671" s="1043"/>
      <c r="G2671" s="1550"/>
    </row>
    <row r="2672" spans="1:7">
      <c r="A2672" s="1754">
        <v>41615</v>
      </c>
      <c r="B2672" s="125" t="str">
        <f>TiposLancamentos!B24</f>
        <v>Estacionamentos</v>
      </c>
      <c r="C2672" s="1040" t="s">
        <v>4333</v>
      </c>
      <c r="D2672" s="1736"/>
      <c r="E2672" s="1043">
        <v>7</v>
      </c>
      <c r="F2672" s="1043"/>
      <c r="G2672" s="1550"/>
    </row>
    <row r="2673" spans="1:7">
      <c r="A2673" s="1754">
        <v>41613</v>
      </c>
      <c r="B2673" s="125" t="str">
        <f>TiposLancamentos!B87</f>
        <v>P207-1.6-XS</v>
      </c>
      <c r="C2673" s="1040" t="s">
        <v>6386</v>
      </c>
      <c r="D2673" s="1736"/>
      <c r="E2673" s="1043">
        <v>30</v>
      </c>
      <c r="F2673" s="1043"/>
      <c r="G2673" s="1550"/>
    </row>
    <row r="2674" spans="1:7">
      <c r="A2674" s="1754">
        <v>41614</v>
      </c>
      <c r="B2674" s="125" t="str">
        <f>TiposLancamentos!B95</f>
        <v>Salarios</v>
      </c>
      <c r="C2674" s="1040" t="s">
        <v>6387</v>
      </c>
      <c r="D2674" s="1736">
        <v>9113</v>
      </c>
      <c r="E2674" s="1043"/>
      <c r="F2674" s="1043"/>
      <c r="G2674" s="1550"/>
    </row>
    <row r="2675" spans="1:7">
      <c r="A2675" s="1754">
        <v>41614</v>
      </c>
      <c r="B2675" s="125" t="str">
        <f>TiposLancamentos!B95</f>
        <v>Salarios</v>
      </c>
      <c r="C2675" s="1040" t="s">
        <v>6388</v>
      </c>
      <c r="D2675" s="1736">
        <v>1143.77</v>
      </c>
      <c r="E2675" s="1043"/>
      <c r="F2675" s="1043"/>
      <c r="G2675" s="1550"/>
    </row>
    <row r="2676" spans="1:7">
      <c r="A2676" s="1754">
        <v>41614</v>
      </c>
      <c r="B2676" s="125" t="str">
        <f>TiposLancamentos!B9</f>
        <v>Condominio</v>
      </c>
      <c r="C2676" s="1040" t="s">
        <v>6389</v>
      </c>
      <c r="D2676" s="1736"/>
      <c r="E2676" s="1043">
        <v>858.05</v>
      </c>
      <c r="F2676" s="1043"/>
      <c r="G2676" s="1550"/>
    </row>
    <row r="2677" spans="1:7">
      <c r="A2677" s="1754">
        <v>41614</v>
      </c>
      <c r="B2677" s="125" t="str">
        <f>TiposLancamentos!B73</f>
        <v>Cursos</v>
      </c>
      <c r="C2677" s="1040" t="s">
        <v>6390</v>
      </c>
      <c r="D2677" s="1736"/>
      <c r="E2677" s="1043">
        <v>593.17999999999995</v>
      </c>
      <c r="F2677" s="1043"/>
      <c r="G2677" s="1550"/>
    </row>
    <row r="2678" spans="1:7">
      <c r="A2678" s="1754">
        <v>41614</v>
      </c>
      <c r="B2678" s="125" t="str">
        <f>TiposLancamentos!B16</f>
        <v>Cristiane</v>
      </c>
      <c r="C2678" s="1040" t="s">
        <v>5926</v>
      </c>
      <c r="D2678" s="1736"/>
      <c r="E2678" s="1043">
        <v>86.77</v>
      </c>
      <c r="F2678" s="1043"/>
      <c r="G2678" s="1550"/>
    </row>
    <row r="2679" spans="1:7">
      <c r="A2679" s="1666">
        <v>41614</v>
      </c>
      <c r="B2679" s="817" t="str">
        <f>TiposLancamentos!B35</f>
        <v>Tv à Cabo</v>
      </c>
      <c r="C2679" s="1742" t="s">
        <v>5834</v>
      </c>
      <c r="D2679" s="1735"/>
      <c r="E2679" s="1733">
        <f>212.44-19.76</f>
        <v>192.68</v>
      </c>
      <c r="F2679" s="1043"/>
      <c r="G2679" s="1550"/>
    </row>
    <row r="2680" spans="1:7">
      <c r="A2680" s="1667">
        <v>41614</v>
      </c>
      <c r="B2680" s="816" t="str">
        <f>TiposLancamentos!B3</f>
        <v>Internet</v>
      </c>
      <c r="C2680" s="1769" t="s">
        <v>5835</v>
      </c>
      <c r="D2680" s="1736"/>
      <c r="E2680" s="1734">
        <v>59.9</v>
      </c>
      <c r="F2680" s="1043"/>
      <c r="G2680" s="1550"/>
    </row>
    <row r="2681" spans="1:7">
      <c r="A2681" s="1750">
        <v>41614</v>
      </c>
      <c r="B2681" s="818" t="str">
        <f>TiposLancamentos!B2</f>
        <v>Telefonia</v>
      </c>
      <c r="C2681" s="1743" t="s">
        <v>5836</v>
      </c>
      <c r="D2681" s="1737"/>
      <c r="E2681" s="1668">
        <v>0</v>
      </c>
      <c r="F2681" s="1043">
        <f>SUM(E2679:E2681)</f>
        <v>252.58</v>
      </c>
      <c r="G2681" s="1550"/>
    </row>
    <row r="2682" spans="1:7">
      <c r="A2682" s="1666">
        <v>41614</v>
      </c>
      <c r="B2682" s="817" t="str">
        <f>TiposLancamentos!B8</f>
        <v>Aluguel</v>
      </c>
      <c r="C2682" s="1742" t="s">
        <v>6163</v>
      </c>
      <c r="D2682" s="1735"/>
      <c r="E2682" s="1733">
        <v>1406.3</v>
      </c>
      <c r="F2682" s="1043"/>
      <c r="G2682" s="1550"/>
    </row>
    <row r="2683" spans="1:7">
      <c r="A2683" s="1750">
        <v>41614</v>
      </c>
      <c r="B2683" s="818" t="str">
        <f>TiposLancamentos!B34</f>
        <v>Seguros</v>
      </c>
      <c r="C2683" s="1743" t="s">
        <v>6391</v>
      </c>
      <c r="D2683" s="1737"/>
      <c r="E2683" s="1668">
        <v>240.91</v>
      </c>
      <c r="F2683" s="1043">
        <f>SUM(E2682:E2683)</f>
        <v>1647.21</v>
      </c>
      <c r="G2683" s="1550"/>
    </row>
    <row r="2684" spans="1:7">
      <c r="A2684" s="1754">
        <v>41614</v>
      </c>
      <c r="B2684" s="125" t="str">
        <f>TiposLancamentos!B88</f>
        <v>Ford Ecosport XLT</v>
      </c>
      <c r="C2684" s="1040" t="s">
        <v>6392</v>
      </c>
      <c r="D2684" s="1736"/>
      <c r="E2684" s="1043">
        <v>870.73</v>
      </c>
      <c r="F2684" s="1043"/>
      <c r="G2684" s="1550"/>
    </row>
    <row r="2685" spans="1:7">
      <c r="A2685" s="1754">
        <v>41614</v>
      </c>
      <c r="B2685" s="125" t="str">
        <f>TiposLancamentos!B88</f>
        <v>Ford Ecosport XLT</v>
      </c>
      <c r="C2685" s="1040" t="s">
        <v>6393</v>
      </c>
      <c r="D2685" s="1736"/>
      <c r="E2685" s="1043">
        <v>519.55999999999995</v>
      </c>
      <c r="F2685" s="1043"/>
      <c r="G2685" s="1550"/>
    </row>
    <row r="2686" spans="1:7">
      <c r="A2686" s="1754">
        <v>41614</v>
      </c>
      <c r="B2686" s="125" t="str">
        <f>TiposLancamentos!B34</f>
        <v>Seguros</v>
      </c>
      <c r="C2686" s="1040" t="s">
        <v>6394</v>
      </c>
      <c r="D2686" s="1736"/>
      <c r="E2686" s="1043">
        <v>100</v>
      </c>
      <c r="F2686" s="1043"/>
      <c r="G2686" s="1550"/>
    </row>
    <row r="2687" spans="1:7">
      <c r="A2687" s="1754">
        <v>41614</v>
      </c>
      <c r="B2687" s="125" t="str">
        <f>TiposLancamentos!B72</f>
        <v>Presentes</v>
      </c>
      <c r="C2687" s="1040" t="s">
        <v>6395</v>
      </c>
      <c r="D2687" s="1736"/>
      <c r="E2687" s="1043">
        <v>44</v>
      </c>
      <c r="F2687" s="1043"/>
      <c r="G2687" s="1550"/>
    </row>
    <row r="2688" spans="1:7">
      <c r="A2688" s="1754">
        <v>41614</v>
      </c>
      <c r="B2688" s="125" t="str">
        <f>TiposLancamentos!B56</f>
        <v>Farmácia</v>
      </c>
      <c r="C2688" s="1040" t="s">
        <v>6396</v>
      </c>
      <c r="D2688" s="1736"/>
      <c r="E2688" s="1043">
        <v>45.86</v>
      </c>
      <c r="F2688" s="1043"/>
      <c r="G2688" s="1550"/>
    </row>
    <row r="2689" spans="1:7">
      <c r="A2689" s="1666">
        <v>41616</v>
      </c>
      <c r="B2689" s="817" t="str">
        <f>TiposLancamentos!B19</f>
        <v>Restaurantes</v>
      </c>
      <c r="C2689" s="1742" t="s">
        <v>6397</v>
      </c>
      <c r="D2689" s="1735"/>
      <c r="E2689" s="1733">
        <v>13</v>
      </c>
      <c r="F2689" s="1043"/>
      <c r="G2689" s="1550"/>
    </row>
    <row r="2690" spans="1:7">
      <c r="A2690" s="1750">
        <v>41616</v>
      </c>
      <c r="B2690" s="818" t="str">
        <f>TiposLancamentos!B22</f>
        <v>Combustivel</v>
      </c>
      <c r="C2690" s="1743" t="s">
        <v>6398</v>
      </c>
      <c r="D2690" s="1737"/>
      <c r="E2690" s="1668">
        <v>136.13999999999999</v>
      </c>
      <c r="F2690" s="1043">
        <v>149.13999999999999</v>
      </c>
      <c r="G2690" s="1550"/>
    </row>
    <row r="2691" spans="1:7">
      <c r="A2691" s="1754">
        <v>41616</v>
      </c>
      <c r="B2691" s="125" t="str">
        <f>TiposLancamentos!B56</f>
        <v>Farmácia</v>
      </c>
      <c r="C2691" s="1040" t="s">
        <v>6399</v>
      </c>
      <c r="D2691" s="1736"/>
      <c r="E2691" s="1043">
        <v>17.3</v>
      </c>
      <c r="F2691" s="1043"/>
      <c r="G2691" s="1550"/>
    </row>
    <row r="2692" spans="1:7">
      <c r="A2692" s="1754">
        <v>41617</v>
      </c>
      <c r="B2692" s="125" t="str">
        <f>TiposLancamentos!B19</f>
        <v>Restaurantes</v>
      </c>
      <c r="C2692" s="1040" t="s">
        <v>5742</v>
      </c>
      <c r="D2692" s="1736"/>
      <c r="E2692" s="1043">
        <v>22.5</v>
      </c>
      <c r="F2692" s="1043"/>
      <c r="G2692" s="1550"/>
    </row>
    <row r="2693" spans="1:7">
      <c r="A2693" s="1754">
        <v>41617</v>
      </c>
      <c r="B2693" s="125" t="str">
        <f>TiposLancamentos!B24</f>
        <v>Estacionamentos</v>
      </c>
      <c r="C2693" s="1040" t="s">
        <v>4437</v>
      </c>
      <c r="D2693" s="1736"/>
      <c r="E2693" s="1043">
        <v>7</v>
      </c>
      <c r="F2693" s="1043"/>
      <c r="G2693" s="1550"/>
    </row>
    <row r="2694" spans="1:7">
      <c r="A2694" s="1754">
        <v>41618</v>
      </c>
      <c r="B2694" s="125" t="str">
        <f>TiposLancamentos!B71</f>
        <v>Itens Pessoais</v>
      </c>
      <c r="C2694" s="1040" t="s">
        <v>6400</v>
      </c>
      <c r="D2694" s="1736"/>
      <c r="E2694" s="1043">
        <v>41</v>
      </c>
      <c r="F2694" s="1043"/>
      <c r="G2694" s="1550"/>
    </row>
    <row r="2695" spans="1:7">
      <c r="A2695" s="1754">
        <v>41618</v>
      </c>
      <c r="B2695" s="125" t="str">
        <f>TiposLancamentos!B20</f>
        <v>Saques</v>
      </c>
      <c r="C2695" s="1040" t="s">
        <v>2655</v>
      </c>
      <c r="D2695" s="1736"/>
      <c r="E2695" s="1043">
        <v>20</v>
      </c>
      <c r="F2695" s="1043"/>
      <c r="G2695" s="1550"/>
    </row>
    <row r="2696" spans="1:7">
      <c r="A2696" s="1754">
        <v>41618</v>
      </c>
      <c r="B2696" s="125" t="str">
        <f>TiposLancamentos!B28</f>
        <v>ComicBook</v>
      </c>
      <c r="C2696" s="1040" t="s">
        <v>6401</v>
      </c>
      <c r="D2696" s="1736"/>
      <c r="E2696" s="1043">
        <v>15.9</v>
      </c>
      <c r="F2696" s="1043"/>
      <c r="G2696" s="1550"/>
    </row>
    <row r="2697" spans="1:7">
      <c r="A2697" s="1666">
        <v>41618</v>
      </c>
      <c r="B2697" s="817" t="str">
        <f>TiposLancamentos!B26</f>
        <v>LIVROS</v>
      </c>
      <c r="C2697" s="1742" t="s">
        <v>6402</v>
      </c>
      <c r="D2697" s="1735"/>
      <c r="E2697" s="1733">
        <v>39.9</v>
      </c>
      <c r="F2697" s="1043"/>
      <c r="G2697" s="1550"/>
    </row>
    <row r="2698" spans="1:7">
      <c r="A2698" s="1750">
        <v>41618</v>
      </c>
      <c r="B2698" s="818" t="str">
        <f>TiposLancamentos!B28</f>
        <v>ComicBook</v>
      </c>
      <c r="C2698" s="1743" t="s">
        <v>6403</v>
      </c>
      <c r="D2698" s="1737"/>
      <c r="E2698" s="1668">
        <f>F2698-E2697</f>
        <v>70</v>
      </c>
      <c r="F2698" s="1043">
        <v>109.9</v>
      </c>
      <c r="G2698" s="1550"/>
    </row>
    <row r="2699" spans="1:7">
      <c r="A2699" s="1754">
        <v>41618</v>
      </c>
      <c r="B2699" s="125" t="str">
        <f>TiposLancamentos!B26</f>
        <v>LIVROS</v>
      </c>
      <c r="C2699" s="1040" t="s">
        <v>6404</v>
      </c>
      <c r="D2699" s="1736"/>
      <c r="E2699" s="1043">
        <v>78.37</v>
      </c>
      <c r="F2699" s="1043"/>
      <c r="G2699" s="1550"/>
    </row>
    <row r="2700" spans="1:7">
      <c r="A2700" s="1754">
        <v>41618</v>
      </c>
      <c r="B2700" s="125" t="str">
        <f>TiposLancamentos!B4</f>
        <v>Taxas Bancarias</v>
      </c>
      <c r="C2700" s="1040" t="s">
        <v>6405</v>
      </c>
      <c r="D2700" s="1736"/>
      <c r="E2700" s="1043">
        <v>143.78</v>
      </c>
      <c r="F2700" s="1043"/>
      <c r="G2700" s="1550"/>
    </row>
    <row r="2701" spans="1:7">
      <c r="A2701" s="1754">
        <v>41619</v>
      </c>
      <c r="B2701" s="125" t="str">
        <f>TiposLancamentos!B98</f>
        <v>Restituições</v>
      </c>
      <c r="C2701" s="1040" t="s">
        <v>6406</v>
      </c>
      <c r="D2701" s="1736">
        <v>120</v>
      </c>
      <c r="E2701" s="1043"/>
      <c r="F2701" s="1043"/>
      <c r="G2701" s="1550"/>
    </row>
    <row r="2702" spans="1:7">
      <c r="A2702" s="1754">
        <v>41621</v>
      </c>
      <c r="B2702" s="125" t="str">
        <f>TiposLancamentos!B95</f>
        <v>Salarios</v>
      </c>
      <c r="C2702" s="1040" t="s">
        <v>5355</v>
      </c>
      <c r="D2702" s="1736">
        <v>5936.9</v>
      </c>
      <c r="E2702" s="1043"/>
      <c r="F2702" s="1043"/>
      <c r="G2702" s="1550"/>
    </row>
    <row r="2703" spans="1:7">
      <c r="A2703" s="1754">
        <v>41621</v>
      </c>
      <c r="B2703" s="125" t="str">
        <f>TiposLancamentos!B95</f>
        <v>Salarios</v>
      </c>
      <c r="C2703" s="1040" t="s">
        <v>4916</v>
      </c>
      <c r="D2703" s="1736">
        <v>2332.0500000000002</v>
      </c>
      <c r="E2703" s="1043"/>
      <c r="F2703" s="1043"/>
      <c r="G2703" s="1550"/>
    </row>
    <row r="2704" spans="1:7">
      <c r="A2704" s="1754">
        <v>41621</v>
      </c>
      <c r="B2704" s="125" t="str">
        <f>TiposLancamentos!B105</f>
        <v>Transf. Bco</v>
      </c>
      <c r="C2704" s="1040" t="s">
        <v>6305</v>
      </c>
      <c r="D2704" s="1736"/>
      <c r="E2704" s="1043">
        <v>10000</v>
      </c>
      <c r="F2704" s="1043"/>
      <c r="G2704" s="1550"/>
    </row>
    <row r="2705" spans="1:7">
      <c r="A2705" s="1754">
        <v>41621</v>
      </c>
      <c r="B2705" s="125" t="str">
        <f>TiposLancamentos!B16</f>
        <v>Cristiane</v>
      </c>
      <c r="C2705" s="1040" t="s">
        <v>5190</v>
      </c>
      <c r="D2705" s="1736"/>
      <c r="E2705" s="1043">
        <v>85.03</v>
      </c>
      <c r="F2705" s="1043"/>
      <c r="G2705" s="1550"/>
    </row>
    <row r="2706" spans="1:7">
      <c r="A2706" s="1754">
        <v>41621</v>
      </c>
      <c r="B2706" s="125" t="str">
        <f>TiposLancamentos!B56</f>
        <v>Farmácia</v>
      </c>
      <c r="C2706" s="1040" t="s">
        <v>6118</v>
      </c>
      <c r="D2706" s="1736"/>
      <c r="E2706" s="1043">
        <v>61.33</v>
      </c>
      <c r="F2706" s="1043"/>
      <c r="G2706" s="1550"/>
    </row>
    <row r="2707" spans="1:7">
      <c r="A2707" s="1754">
        <v>41621</v>
      </c>
      <c r="B2707" s="125" t="str">
        <f>TiposLancamentos!B28</f>
        <v>ComicBook</v>
      </c>
      <c r="C2707" s="1040" t="s">
        <v>6407</v>
      </c>
      <c r="D2707" s="1736"/>
      <c r="E2707" s="1043">
        <v>24.9</v>
      </c>
      <c r="F2707" s="1043"/>
      <c r="G2707" s="1550"/>
    </row>
    <row r="2708" spans="1:7">
      <c r="A2708" s="1754">
        <v>41622</v>
      </c>
      <c r="B2708" s="125" t="str">
        <f>TiposLancamentos!B19</f>
        <v>Restaurantes</v>
      </c>
      <c r="C2708" s="1040" t="s">
        <v>6408</v>
      </c>
      <c r="D2708" s="1736"/>
      <c r="E2708" s="1043">
        <v>53.48</v>
      </c>
      <c r="F2708" s="1043"/>
      <c r="G2708" s="1550"/>
    </row>
    <row r="2709" spans="1:7">
      <c r="A2709" s="1754">
        <v>41624</v>
      </c>
      <c r="B2709" s="125" t="str">
        <f>TiposLancamentos!B19</f>
        <v>Restaurantes</v>
      </c>
      <c r="C2709" s="1040" t="s">
        <v>6409</v>
      </c>
      <c r="D2709" s="1736"/>
      <c r="E2709" s="1043">
        <v>24.64</v>
      </c>
      <c r="F2709" s="1043"/>
      <c r="G2709" s="1550"/>
    </row>
    <row r="2710" spans="1:7">
      <c r="A2710" s="1754">
        <v>41624</v>
      </c>
      <c r="B2710" s="125" t="str">
        <f>TiposLancamentos!B19</f>
        <v>Restaurantes</v>
      </c>
      <c r="C2710" s="1040" t="s">
        <v>6410</v>
      </c>
      <c r="D2710" s="1736"/>
      <c r="E2710" s="1043">
        <v>39.6</v>
      </c>
      <c r="F2710" s="1043"/>
      <c r="G2710" s="1550"/>
    </row>
    <row r="2711" spans="1:7">
      <c r="A2711" s="1754">
        <v>41624</v>
      </c>
      <c r="B2711" s="125" t="str">
        <f>TiposLancamentos!B19</f>
        <v>Restaurantes</v>
      </c>
      <c r="C2711" s="1040" t="s">
        <v>6411</v>
      </c>
      <c r="D2711" s="1736"/>
      <c r="E2711" s="1043">
        <v>25.8</v>
      </c>
      <c r="F2711" s="1043"/>
      <c r="G2711" s="1550"/>
    </row>
    <row r="2712" spans="1:7">
      <c r="A2712" s="1666">
        <v>41624</v>
      </c>
      <c r="B2712" s="817" t="str">
        <f>TiposLancamentos!B33</f>
        <v>Pedágios</v>
      </c>
      <c r="C2712" s="1742" t="s">
        <v>5392</v>
      </c>
      <c r="D2712" s="1735"/>
      <c r="E2712" s="1733">
        <v>168.03</v>
      </c>
      <c r="F2712" s="1043"/>
      <c r="G2712" s="1550"/>
    </row>
    <row r="2713" spans="1:7">
      <c r="A2713" s="1667">
        <v>41624</v>
      </c>
      <c r="B2713" s="816" t="str">
        <f>TiposLancamentos!B24</f>
        <v>Estacionamentos</v>
      </c>
      <c r="C2713" s="1769" t="s">
        <v>5863</v>
      </c>
      <c r="D2713" s="1736"/>
      <c r="E2713" s="1734">
        <v>12</v>
      </c>
      <c r="F2713" s="1043"/>
      <c r="G2713" s="1550"/>
    </row>
    <row r="2714" spans="1:7">
      <c r="A2714" s="1750">
        <v>41624</v>
      </c>
      <c r="B2714" s="818" t="str">
        <f>TiposLancamentos!B24</f>
        <v>Estacionamentos</v>
      </c>
      <c r="C2714" s="1743" t="s">
        <v>6297</v>
      </c>
      <c r="D2714" s="1737"/>
      <c r="E2714" s="1668">
        <v>30</v>
      </c>
      <c r="F2714" s="1043">
        <f>SUM(E2712:E2714)</f>
        <v>210.03</v>
      </c>
      <c r="G2714" s="1550"/>
    </row>
    <row r="2715" spans="1:7">
      <c r="A2715" s="1754">
        <v>41595</v>
      </c>
      <c r="B2715" s="125" t="str">
        <f>TiposLancamentos!B22</f>
        <v>Combustivel</v>
      </c>
      <c r="C2715" s="1040" t="s">
        <v>6412</v>
      </c>
      <c r="D2715" s="1736"/>
      <c r="E2715" s="1043">
        <v>120</v>
      </c>
      <c r="F2715" s="1043"/>
      <c r="G2715" s="1550"/>
    </row>
    <row r="2716" spans="1:7">
      <c r="A2716" s="1754">
        <v>41625</v>
      </c>
      <c r="B2716" s="125" t="str">
        <f>TiposLancamentos!B19</f>
        <v>Restaurantes</v>
      </c>
      <c r="C2716" s="1040" t="s">
        <v>6122</v>
      </c>
      <c r="D2716" s="1736"/>
      <c r="E2716" s="1043">
        <v>34.9</v>
      </c>
      <c r="F2716" s="1043"/>
      <c r="G2716" s="1550"/>
    </row>
    <row r="2717" spans="1:7">
      <c r="A2717" s="1754">
        <v>41625</v>
      </c>
      <c r="B2717" s="125" t="str">
        <f>TiposLancamentos!B19</f>
        <v>Restaurantes</v>
      </c>
      <c r="C2717" s="1040" t="s">
        <v>6413</v>
      </c>
      <c r="D2717" s="1736"/>
      <c r="E2717" s="1043">
        <v>58.3</v>
      </c>
      <c r="F2717" s="1043"/>
      <c r="G2717" s="1550"/>
    </row>
    <row r="2718" spans="1:7">
      <c r="A2718" s="1754">
        <v>41625</v>
      </c>
      <c r="B2718" s="125" t="str">
        <f>TiposLancamentos!B5</f>
        <v>Supermercado</v>
      </c>
      <c r="C2718" s="1040" t="s">
        <v>6414</v>
      </c>
      <c r="D2718" s="1736"/>
      <c r="E2718" s="1043">
        <v>63.04</v>
      </c>
      <c r="F2718" s="1043"/>
      <c r="G2718" s="1550"/>
    </row>
    <row r="2719" spans="1:7">
      <c r="A2719" s="1754">
        <v>41627</v>
      </c>
      <c r="B2719" s="125" t="str">
        <f>TiposLancamentos!B16</f>
        <v>Cristiane</v>
      </c>
      <c r="C2719" s="1040" t="s">
        <v>6415</v>
      </c>
      <c r="D2719" s="1736"/>
      <c r="E2719" s="1043">
        <v>110</v>
      </c>
      <c r="F2719" s="1043"/>
      <c r="G2719" s="1550"/>
    </row>
    <row r="2720" spans="1:7">
      <c r="A2720" s="1754">
        <v>41628</v>
      </c>
      <c r="B2720" s="125" t="str">
        <f>TiposLancamentos!B16</f>
        <v>Cristiane</v>
      </c>
      <c r="C2720" s="1040" t="s">
        <v>6416</v>
      </c>
      <c r="D2720" s="1736"/>
      <c r="E2720" s="1043">
        <v>202</v>
      </c>
      <c r="F2720" s="1043"/>
      <c r="G2720" s="1550"/>
    </row>
    <row r="2721" spans="1:7">
      <c r="A2721" s="1754">
        <v>41629</v>
      </c>
      <c r="B2721" s="125" t="str">
        <f>TiposLancamentos!B18</f>
        <v>Alimentacao</v>
      </c>
      <c r="C2721" s="1040" t="s">
        <v>6417</v>
      </c>
      <c r="D2721" s="1736"/>
      <c r="E2721" s="1043">
        <v>13.8</v>
      </c>
      <c r="F2721" s="1043"/>
      <c r="G2721" s="1550"/>
    </row>
    <row r="2722" spans="1:7">
      <c r="A2722" s="1754">
        <v>41631</v>
      </c>
      <c r="B2722" s="125" t="str">
        <f>TiposLancamentos!B52</f>
        <v>Multas</v>
      </c>
      <c r="C2722" s="1040" t="s">
        <v>6418</v>
      </c>
      <c r="D2722" s="1736"/>
      <c r="E2722" s="1043">
        <v>68.099999999999994</v>
      </c>
      <c r="F2722" s="1043"/>
      <c r="G2722" s="1550"/>
    </row>
    <row r="2723" spans="1:7">
      <c r="A2723" s="1754">
        <v>41631</v>
      </c>
      <c r="B2723" s="125" t="str">
        <f>TiposLancamentos!B60</f>
        <v>Correio</v>
      </c>
      <c r="C2723" s="1040" t="s">
        <v>6419</v>
      </c>
      <c r="D2723" s="1736"/>
      <c r="E2723" s="1043">
        <v>26.6</v>
      </c>
      <c r="F2723" s="1043"/>
      <c r="G2723" s="1550"/>
    </row>
    <row r="2724" spans="1:7">
      <c r="A2724" s="1754">
        <v>41631</v>
      </c>
      <c r="B2724" s="125" t="str">
        <f>TiposLancamentos!B16</f>
        <v>Cristiane</v>
      </c>
      <c r="C2724" s="1040" t="s">
        <v>6420</v>
      </c>
      <c r="D2724" s="1736"/>
      <c r="E2724" s="1043">
        <v>79.900000000000006</v>
      </c>
      <c r="F2724" s="1043"/>
      <c r="G2724" s="1550"/>
    </row>
    <row r="2725" spans="1:7">
      <c r="A2725" s="1754">
        <v>41633</v>
      </c>
      <c r="B2725" s="125" t="str">
        <f>TiposLancamentos!B24</f>
        <v>Estacionamentos</v>
      </c>
      <c r="C2725" s="1040" t="s">
        <v>3617</v>
      </c>
      <c r="D2725" s="1736"/>
      <c r="E2725" s="1043">
        <v>20</v>
      </c>
      <c r="F2725" s="1043"/>
      <c r="G2725" s="1550"/>
    </row>
    <row r="2726" spans="1:7">
      <c r="A2726" s="1754">
        <v>41633</v>
      </c>
      <c r="B2726" s="125" t="str">
        <f>TiposLancamentos!B19</f>
        <v>Restaurantes</v>
      </c>
      <c r="C2726" s="1040" t="s">
        <v>2934</v>
      </c>
      <c r="D2726" s="1736"/>
      <c r="E2726" s="1043">
        <v>30.64</v>
      </c>
      <c r="F2726" s="1043"/>
      <c r="G2726" s="1550"/>
    </row>
    <row r="2727" spans="1:7">
      <c r="A2727" s="1754">
        <v>41636</v>
      </c>
      <c r="B2727" s="125" t="str">
        <f>TiposLancamentos!B16</f>
        <v>Cristiane</v>
      </c>
      <c r="C2727" s="1040" t="s">
        <v>6421</v>
      </c>
      <c r="D2727" s="1736"/>
      <c r="E2727" s="1043">
        <v>9</v>
      </c>
      <c r="F2727" s="1043"/>
      <c r="G2727" s="1550"/>
    </row>
    <row r="2728" spans="1:7">
      <c r="A2728" s="1754">
        <v>41636</v>
      </c>
      <c r="B2728" s="125" t="str">
        <f>TiposLancamentos!B19</f>
        <v>Restaurantes</v>
      </c>
      <c r="C2728" s="1040" t="s">
        <v>6422</v>
      </c>
      <c r="D2728" s="1736"/>
      <c r="E2728" s="1043">
        <v>139.69999999999999</v>
      </c>
      <c r="F2728" s="1043"/>
      <c r="G2728" s="1550"/>
    </row>
    <row r="2729" spans="1:7">
      <c r="A2729" s="1754">
        <v>41638</v>
      </c>
      <c r="B2729" s="125" t="str">
        <f>TiposLancamentos!B34</f>
        <v>Seguros</v>
      </c>
      <c r="C2729" s="1040" t="s">
        <v>6423</v>
      </c>
      <c r="D2729" s="1736"/>
      <c r="E2729" s="1043">
        <v>65.28</v>
      </c>
      <c r="F2729" s="1043"/>
      <c r="G2729" s="1550"/>
    </row>
    <row r="2730" spans="1:7">
      <c r="A2730" s="1754">
        <v>41638</v>
      </c>
      <c r="B2730" s="125" t="str">
        <f>TiposLancamentos!B95</f>
        <v>Salarios</v>
      </c>
      <c r="C2730" s="1040" t="s">
        <v>5917</v>
      </c>
      <c r="D2730" s="1736">
        <v>6619.44</v>
      </c>
      <c r="E2730" s="1043"/>
      <c r="F2730" s="1043"/>
      <c r="G2730" s="1550"/>
    </row>
    <row r="2731" spans="1:7">
      <c r="A2731" s="1754">
        <v>41638</v>
      </c>
      <c r="B2731" s="125" t="str">
        <f>TiposLancamentos!B56</f>
        <v>Farmácia</v>
      </c>
      <c r="C2731" s="1040" t="s">
        <v>6052</v>
      </c>
      <c r="D2731" s="1736"/>
      <c r="E2731" s="1043">
        <v>58.46</v>
      </c>
      <c r="F2731" s="1043"/>
      <c r="G2731" s="1550"/>
    </row>
    <row r="2732" spans="1:7">
      <c r="A2732" s="1754">
        <v>41638</v>
      </c>
      <c r="B2732" s="125" t="str">
        <f>TiposLancamentos!B31</f>
        <v>Action Figures</v>
      </c>
      <c r="C2732" s="1040" t="s">
        <v>6424</v>
      </c>
      <c r="D2732" s="1736"/>
      <c r="E2732" s="1043">
        <v>344.68</v>
      </c>
      <c r="F2732" s="1043"/>
      <c r="G2732" s="1550"/>
    </row>
    <row r="2733" spans="1:7" ht="12.75" customHeight="1" thickBot="1">
      <c r="A2733" s="1754">
        <v>41639</v>
      </c>
      <c r="B2733" s="125" t="str">
        <f>TiposLancamentos!B13</f>
        <v>Moradia</v>
      </c>
      <c r="C2733" s="1040" t="s">
        <v>6425</v>
      </c>
      <c r="D2733" s="1736"/>
      <c r="E2733" s="1043">
        <v>31.1</v>
      </c>
      <c r="F2733" s="1043"/>
      <c r="G2733" s="1550"/>
    </row>
    <row r="2734" spans="1:7">
      <c r="A2734" s="1834"/>
      <c r="B2734" s="977"/>
      <c r="C2734" s="1854" t="s">
        <v>6426</v>
      </c>
      <c r="D2734" s="1823"/>
      <c r="E2734" s="1821"/>
      <c r="F2734" s="1821"/>
      <c r="G2734" s="1895"/>
    </row>
    <row r="2735" spans="1:7">
      <c r="A2735" s="1754">
        <v>41641</v>
      </c>
      <c r="B2735" s="125" t="str">
        <f>TiposLancamentos!B15</f>
        <v>Cartões de Crédito</v>
      </c>
      <c r="C2735" s="1040" t="s">
        <v>6427</v>
      </c>
      <c r="D2735" s="1736"/>
      <c r="E2735" s="1043">
        <v>1923.76</v>
      </c>
      <c r="F2735" s="1043"/>
      <c r="G2735" s="1550"/>
    </row>
    <row r="2736" spans="1:7">
      <c r="A2736" s="1754">
        <v>41641</v>
      </c>
      <c r="B2736" s="125" t="str">
        <f>TiposLancamentos!B15</f>
        <v>Cartões de Crédito</v>
      </c>
      <c r="C2736" s="1040" t="s">
        <v>6240</v>
      </c>
      <c r="D2736" s="1736"/>
      <c r="E2736" s="1043">
        <v>2646.05</v>
      </c>
      <c r="F2736" s="1043"/>
      <c r="G2736" s="1550"/>
    </row>
    <row r="2737" spans="1:7">
      <c r="A2737" s="1754">
        <v>41641</v>
      </c>
      <c r="B2737" s="125" t="str">
        <f>TiposLancamentos!B16</f>
        <v>Cristiane</v>
      </c>
      <c r="C2737" s="1040" t="s">
        <v>6428</v>
      </c>
      <c r="D2737" s="1736"/>
      <c r="E2737" s="1043">
        <v>9.5</v>
      </c>
      <c r="F2737" s="1043"/>
      <c r="G2737" s="1550"/>
    </row>
    <row r="2738" spans="1:7">
      <c r="A2738" s="1754">
        <v>41641</v>
      </c>
      <c r="B2738" s="125" t="str">
        <f>TiposLancamentos!B15</f>
        <v>Cartões de Crédito</v>
      </c>
      <c r="C2738" s="1040" t="s">
        <v>5924</v>
      </c>
      <c r="D2738" s="1736"/>
      <c r="E2738" s="1043">
        <v>640.73</v>
      </c>
      <c r="F2738" s="1043"/>
      <c r="G2738" s="1550"/>
    </row>
    <row r="2739" spans="1:7">
      <c r="A2739" s="1754">
        <v>41641</v>
      </c>
      <c r="B2739" s="125" t="str">
        <f>TiposLancamentos!B4</f>
        <v>Taxas Bancarias</v>
      </c>
      <c r="C2739" s="1040" t="s">
        <v>4858</v>
      </c>
      <c r="D2739" s="1736"/>
      <c r="E2739" s="1043">
        <v>9.26</v>
      </c>
      <c r="F2739" s="1043"/>
      <c r="G2739" s="1550"/>
    </row>
    <row r="2740" spans="1:7">
      <c r="A2740" s="1754">
        <v>41642</v>
      </c>
      <c r="B2740" s="125" t="str">
        <f>TiposLancamentos!B16</f>
        <v>Cristiane</v>
      </c>
      <c r="C2740" s="1040" t="s">
        <v>6429</v>
      </c>
      <c r="D2740" s="1736"/>
      <c r="E2740" s="1043">
        <v>139</v>
      </c>
      <c r="F2740" s="1043"/>
      <c r="G2740" s="1550"/>
    </row>
    <row r="2741" spans="1:7">
      <c r="A2741" s="1754">
        <v>41645</v>
      </c>
      <c r="B2741" s="125" t="str">
        <f>TiposLancamentos!B6</f>
        <v>Energia Eletrica</v>
      </c>
      <c r="C2741" s="1040" t="s">
        <v>6430</v>
      </c>
      <c r="D2741" s="1736"/>
      <c r="E2741" s="1043">
        <v>126.1</v>
      </c>
      <c r="F2741" s="1043"/>
      <c r="G2741" s="1550"/>
    </row>
    <row r="2742" spans="1:7">
      <c r="A2742" s="1754">
        <v>41645</v>
      </c>
      <c r="B2742" s="125" t="str">
        <f>TiposLancamentos!B9</f>
        <v>Condominio</v>
      </c>
      <c r="C2742" s="1040" t="s">
        <v>1684</v>
      </c>
      <c r="D2742" s="1736"/>
      <c r="E2742" s="1043">
        <v>807.2</v>
      </c>
      <c r="F2742" s="1043"/>
      <c r="G2742" s="1550"/>
    </row>
    <row r="2743" spans="1:7">
      <c r="A2743" s="1754">
        <v>41646</v>
      </c>
      <c r="B2743" s="125" t="str">
        <f>TiposLancamentos!B16</f>
        <v>Cristiane</v>
      </c>
      <c r="C2743" s="1040" t="s">
        <v>5926</v>
      </c>
      <c r="D2743" s="1736"/>
      <c r="E2743" s="1043">
        <v>89.74</v>
      </c>
      <c r="F2743" s="1043"/>
      <c r="G2743" s="1550"/>
    </row>
    <row r="2744" spans="1:7">
      <c r="A2744" s="1754">
        <v>41646</v>
      </c>
      <c r="B2744" s="125" t="str">
        <f>TiposLancamentos!B73</f>
        <v>Cursos</v>
      </c>
      <c r="C2744" s="1040" t="s">
        <v>6431</v>
      </c>
      <c r="D2744" s="1736"/>
      <c r="E2744" s="1043">
        <v>640.16</v>
      </c>
      <c r="F2744" s="1043"/>
      <c r="G2744" s="1550"/>
    </row>
    <row r="2745" spans="1:7">
      <c r="A2745" s="1666">
        <v>41646</v>
      </c>
      <c r="B2745" s="817" t="str">
        <f>TiposLancamentos!B35</f>
        <v>Tv à Cabo</v>
      </c>
      <c r="C2745" s="1742" t="s">
        <v>5834</v>
      </c>
      <c r="D2745" s="1735"/>
      <c r="E2745" s="1733">
        <v>0</v>
      </c>
      <c r="F2745" s="1043"/>
      <c r="G2745" s="1550"/>
    </row>
    <row r="2746" spans="1:7">
      <c r="A2746" s="1667">
        <v>41646</v>
      </c>
      <c r="B2746" s="816" t="str">
        <f>TiposLancamentos!B3</f>
        <v>Internet</v>
      </c>
      <c r="C2746" s="1769" t="s">
        <v>5835</v>
      </c>
      <c r="D2746" s="1736"/>
      <c r="E2746" s="1734">
        <v>0</v>
      </c>
      <c r="F2746" s="1043"/>
      <c r="G2746" s="1550"/>
    </row>
    <row r="2747" spans="1:7">
      <c r="A2747" s="1750">
        <v>41646</v>
      </c>
      <c r="B2747" s="818" t="str">
        <f>TiposLancamentos!B2</f>
        <v>Telefonia</v>
      </c>
      <c r="C2747" s="1743" t="s">
        <v>5836</v>
      </c>
      <c r="D2747" s="1737"/>
      <c r="E2747" s="1668">
        <v>0.81</v>
      </c>
      <c r="F2747" s="1043">
        <f>SUM(E2745:E2747)</f>
        <v>0.81</v>
      </c>
      <c r="G2747" s="1550"/>
    </row>
    <row r="2748" spans="1:7">
      <c r="A2748" s="1754">
        <v>41646</v>
      </c>
      <c r="B2748" s="125" t="str">
        <f>TiposLancamentos!B20</f>
        <v>Saques</v>
      </c>
      <c r="C2748" s="1040" t="s">
        <v>4328</v>
      </c>
      <c r="D2748" s="1736"/>
      <c r="E2748" s="1043">
        <v>40</v>
      </c>
      <c r="F2748" s="1043"/>
      <c r="G2748" s="1550"/>
    </row>
    <row r="2749" spans="1:7">
      <c r="A2749" s="1754">
        <v>41648</v>
      </c>
      <c r="B2749" s="125" t="str">
        <f>TiposLancamentos!B16</f>
        <v>Cristiane</v>
      </c>
      <c r="C2749" s="1040" t="s">
        <v>6432</v>
      </c>
      <c r="D2749" s="1736"/>
      <c r="E2749" s="1043">
        <v>83.7</v>
      </c>
      <c r="F2749" s="1043"/>
      <c r="G2749" s="1550"/>
    </row>
    <row r="2750" spans="1:7">
      <c r="A2750" s="1666">
        <v>41649</v>
      </c>
      <c r="B2750" s="817" t="str">
        <f>TiposLancamentos!B8</f>
        <v>Aluguel</v>
      </c>
      <c r="C2750" s="1742" t="s">
        <v>6163</v>
      </c>
      <c r="D2750" s="1735"/>
      <c r="E2750" s="1733">
        <v>1406.3</v>
      </c>
      <c r="F2750" s="1043"/>
      <c r="G2750" s="1550"/>
    </row>
    <row r="2751" spans="1:7">
      <c r="A2751" s="1750">
        <v>41649</v>
      </c>
      <c r="B2751" s="818" t="str">
        <f>TiposLancamentos!B34</f>
        <v>Seguros</v>
      </c>
      <c r="C2751" s="1743" t="s">
        <v>6433</v>
      </c>
      <c r="D2751" s="1737"/>
      <c r="E2751" s="1668">
        <v>240.91</v>
      </c>
      <c r="F2751" s="1043">
        <f>SUM(E2750:E2751)</f>
        <v>1647.21</v>
      </c>
      <c r="G2751" s="1550"/>
    </row>
    <row r="2752" spans="1:7">
      <c r="A2752" s="1666">
        <v>41649</v>
      </c>
      <c r="B2752" s="817" t="str">
        <f>TiposLancamentos!B77</f>
        <v>Esporádico</v>
      </c>
      <c r="C2752" s="1742" t="s">
        <v>6434</v>
      </c>
      <c r="D2752" s="1735"/>
      <c r="E2752" s="1733">
        <v>7.99</v>
      </c>
      <c r="F2752" s="1043"/>
      <c r="G2752" s="1550"/>
    </row>
    <row r="2753" spans="1:7">
      <c r="A2753" s="1750">
        <v>41649</v>
      </c>
      <c r="B2753" s="818" t="str">
        <f>TiposLancamentos!B62</f>
        <v>Papelaria</v>
      </c>
      <c r="C2753" s="1743" t="s">
        <v>6435</v>
      </c>
      <c r="D2753" s="1737"/>
      <c r="E2753" s="1668">
        <v>3.99</v>
      </c>
      <c r="F2753" s="1043">
        <f>SUM(E2752:E2753)</f>
        <v>11.98</v>
      </c>
      <c r="G2753" s="1550"/>
    </row>
    <row r="2754" spans="1:7">
      <c r="A2754" s="1754">
        <v>41649</v>
      </c>
      <c r="B2754" s="125" t="str">
        <f>TiposLancamentos!B4</f>
        <v>Taxas Bancarias</v>
      </c>
      <c r="C2754" s="1040" t="s">
        <v>6436</v>
      </c>
      <c r="D2754" s="1736"/>
      <c r="E2754" s="1043">
        <v>29.84</v>
      </c>
      <c r="F2754" s="1043"/>
      <c r="G2754" s="1550"/>
    </row>
    <row r="2755" spans="1:7">
      <c r="A2755" s="1754">
        <v>41652</v>
      </c>
      <c r="B2755" s="125" t="str">
        <f>TiposLancamentos!B16</f>
        <v>Cristiane</v>
      </c>
      <c r="C2755" s="1040" t="s">
        <v>6437</v>
      </c>
      <c r="D2755" s="1736"/>
      <c r="E2755" s="1043">
        <v>9</v>
      </c>
      <c r="F2755" s="1043"/>
      <c r="G2755" s="1550"/>
    </row>
    <row r="2756" spans="1:7">
      <c r="A2756" s="1754">
        <v>41654</v>
      </c>
      <c r="B2756" s="125" t="str">
        <f>TiposLancamentos!B95</f>
        <v>Salarios</v>
      </c>
      <c r="C2756" s="1040" t="s">
        <v>4916</v>
      </c>
      <c r="D2756" s="1736">
        <v>2332.0500000000002</v>
      </c>
      <c r="E2756" s="1043"/>
      <c r="F2756" s="1043"/>
      <c r="G2756" s="1550"/>
    </row>
    <row r="2757" spans="1:7">
      <c r="A2757" s="1754">
        <v>41654</v>
      </c>
      <c r="B2757" s="125" t="str">
        <f>TiposLancamentos!B88</f>
        <v>Ford Ecosport XLT</v>
      </c>
      <c r="C2757" s="1040" t="s">
        <v>6438</v>
      </c>
      <c r="D2757" s="1736"/>
      <c r="E2757" s="1043">
        <v>427.7</v>
      </c>
      <c r="F2757" s="1043"/>
      <c r="G2757" s="1550"/>
    </row>
    <row r="2758" spans="1:7">
      <c r="A2758" s="1754">
        <v>41654</v>
      </c>
      <c r="B2758" s="125" t="str">
        <f>TiposLancamentos!B88</f>
        <v>Ford Ecosport XLT</v>
      </c>
      <c r="C2758" s="1040" t="s">
        <v>6439</v>
      </c>
      <c r="D2758" s="1736"/>
      <c r="E2758" s="1043">
        <v>1002.06</v>
      </c>
      <c r="F2758" s="1043">
        <f>SUM(E2757:E2758)</f>
        <v>1429.76</v>
      </c>
      <c r="G2758" s="1550"/>
    </row>
    <row r="2759" spans="1:7">
      <c r="A2759" s="1666">
        <v>41654</v>
      </c>
      <c r="B2759" s="817" t="str">
        <f>TiposLancamentos!B33</f>
        <v>Pedágios</v>
      </c>
      <c r="C2759" s="1742" t="s">
        <v>5392</v>
      </c>
      <c r="D2759" s="1735"/>
      <c r="E2759" s="1733">
        <f>30.33+49.7</f>
        <v>80.03</v>
      </c>
      <c r="F2759" s="1043"/>
      <c r="G2759" s="1550"/>
    </row>
    <row r="2760" spans="1:7">
      <c r="A2760" s="1667">
        <v>41654</v>
      </c>
      <c r="B2760" s="816" t="str">
        <f>TiposLancamentos!B24</f>
        <v>Estacionamentos</v>
      </c>
      <c r="C2760" s="1769" t="s">
        <v>5863</v>
      </c>
      <c r="D2760" s="1736"/>
      <c r="E2760" s="1734">
        <v>17</v>
      </c>
      <c r="F2760" s="1043"/>
      <c r="G2760" s="1550"/>
    </row>
    <row r="2761" spans="1:7">
      <c r="A2761" s="1750">
        <v>41654</v>
      </c>
      <c r="B2761" s="818" t="str">
        <f>TiposLancamentos!B24</f>
        <v>Estacionamentos</v>
      </c>
      <c r="C2761" s="1743" t="s">
        <v>6297</v>
      </c>
      <c r="D2761" s="1737"/>
      <c r="E2761" s="1668">
        <v>31</v>
      </c>
      <c r="F2761" s="1043">
        <f>SUM(E2759:E2761)</f>
        <v>128.03</v>
      </c>
      <c r="G2761" s="1550"/>
    </row>
    <row r="2762" spans="1:7">
      <c r="A2762" s="1754">
        <v>41656</v>
      </c>
      <c r="B2762" s="125" t="str">
        <f>TiposLancamentos!B87</f>
        <v>P207-1.6-XS</v>
      </c>
      <c r="C2762" s="1040" t="s">
        <v>6440</v>
      </c>
      <c r="D2762" s="1736"/>
      <c r="E2762" s="1043">
        <v>326.45</v>
      </c>
      <c r="F2762" s="1043"/>
      <c r="G2762" s="1550"/>
    </row>
    <row r="2763" spans="1:7">
      <c r="A2763" s="1754">
        <v>41656</v>
      </c>
      <c r="B2763" s="125" t="str">
        <f>TiposLancamentos!B20</f>
        <v>Saques</v>
      </c>
      <c r="C2763" s="1040" t="s">
        <v>3604</v>
      </c>
      <c r="D2763" s="1736"/>
      <c r="E2763" s="1043">
        <v>20</v>
      </c>
      <c r="F2763" s="1043"/>
      <c r="G2763" s="1550"/>
    </row>
    <row r="2764" spans="1:7">
      <c r="A2764" s="1754">
        <v>41657</v>
      </c>
      <c r="B2764" s="125" t="str">
        <f>TiposLancamentos!B5</f>
        <v>Supermercado</v>
      </c>
      <c r="C2764" s="1040" t="s">
        <v>5844</v>
      </c>
      <c r="D2764" s="1736"/>
      <c r="E2764" s="1043">
        <v>53.84</v>
      </c>
      <c r="F2764" s="1043"/>
      <c r="G2764" s="1550"/>
    </row>
    <row r="2765" spans="1:7">
      <c r="A2765" s="1754">
        <v>41661</v>
      </c>
      <c r="B2765" s="125" t="str">
        <f>TiposLancamentos!B88</f>
        <v>Ford Ecosport XLT</v>
      </c>
      <c r="C2765" s="1040" t="s">
        <v>6441</v>
      </c>
      <c r="D2765" s="1736"/>
      <c r="E2765" s="1043">
        <v>878.64</v>
      </c>
      <c r="F2765" s="1043"/>
      <c r="G2765" s="1550"/>
    </row>
    <row r="2766" spans="1:7">
      <c r="A2766" s="1754">
        <v>41663</v>
      </c>
      <c r="B2766" s="125" t="str">
        <f>TiposLancamentos!B16</f>
        <v>Cristiane</v>
      </c>
      <c r="C2766" s="1040" t="s">
        <v>6442</v>
      </c>
      <c r="D2766" s="1736"/>
      <c r="E2766" s="1043">
        <v>25</v>
      </c>
      <c r="F2766" s="1043"/>
      <c r="G2766" s="1550"/>
    </row>
    <row r="2767" spans="1:7">
      <c r="A2767" s="1754">
        <v>41664</v>
      </c>
      <c r="B2767" s="125" t="str">
        <f>TiposLancamentos!B20</f>
        <v>Saques</v>
      </c>
      <c r="C2767" s="1040" t="s">
        <v>3604</v>
      </c>
      <c r="D2767" s="1736"/>
      <c r="E2767" s="1043">
        <v>40</v>
      </c>
      <c r="F2767" s="1043"/>
      <c r="G2767" s="1550"/>
    </row>
    <row r="2768" spans="1:7">
      <c r="A2768" s="1754">
        <v>41664</v>
      </c>
      <c r="B2768" s="125" t="str">
        <f>TiposLancamentos!B19</f>
        <v>Restaurantes</v>
      </c>
      <c r="C2768" s="1040" t="s">
        <v>6443</v>
      </c>
      <c r="D2768" s="1736"/>
      <c r="E2768" s="1043">
        <v>27.3</v>
      </c>
      <c r="F2768" s="1043"/>
      <c r="G2768" s="1550"/>
    </row>
    <row r="2769" spans="1:7">
      <c r="A2769" s="1754">
        <v>41665</v>
      </c>
      <c r="B2769" s="125" t="str">
        <f>TiposLancamentos!B19</f>
        <v>Restaurantes</v>
      </c>
      <c r="C2769" s="1040" t="s">
        <v>6444</v>
      </c>
      <c r="D2769" s="1736"/>
      <c r="E2769" s="1043">
        <v>27</v>
      </c>
      <c r="F2769" s="1043"/>
      <c r="G2769" s="1550"/>
    </row>
    <row r="2770" spans="1:7">
      <c r="A2770" s="1754">
        <v>41665</v>
      </c>
      <c r="B2770" s="125" t="str">
        <f>TiposLancamentos!B19</f>
        <v>Restaurantes</v>
      </c>
      <c r="C2770" s="1040" t="s">
        <v>6238</v>
      </c>
      <c r="D2770" s="1736"/>
      <c r="E2770" s="1043">
        <v>46.35</v>
      </c>
      <c r="F2770" s="1043"/>
      <c r="G2770" s="1550"/>
    </row>
    <row r="2771" spans="1:7">
      <c r="A2771" s="1754">
        <v>41665</v>
      </c>
      <c r="B2771" s="125" t="str">
        <f>TiposLancamentos!B19</f>
        <v>Restaurantes</v>
      </c>
      <c r="C2771" s="1040" t="s">
        <v>4187</v>
      </c>
      <c r="D2771" s="1736"/>
      <c r="E2771" s="1043">
        <v>10.8</v>
      </c>
      <c r="F2771" s="1043"/>
      <c r="G2771" s="1550"/>
    </row>
    <row r="2772" spans="1:7">
      <c r="A2772" s="1754">
        <v>41666</v>
      </c>
      <c r="B2772" s="125" t="str">
        <f>TiposLancamentos!B34</f>
        <v>Seguros</v>
      </c>
      <c r="C2772" s="1040" t="s">
        <v>6445</v>
      </c>
      <c r="D2772" s="1736"/>
      <c r="E2772" s="1043">
        <v>63.9</v>
      </c>
      <c r="F2772" s="1043"/>
      <c r="G2772" s="1550"/>
    </row>
    <row r="2773" spans="1:7">
      <c r="A2773" s="1754">
        <v>41670</v>
      </c>
      <c r="B2773" s="125" t="str">
        <f>TiposLancamentos!B95</f>
        <v>Salarios</v>
      </c>
      <c r="C2773" s="1040" t="s">
        <v>5917</v>
      </c>
      <c r="D2773" s="1736">
        <v>7803.2</v>
      </c>
      <c r="E2773" s="1043"/>
      <c r="F2773" s="1043"/>
      <c r="G2773" s="1550"/>
    </row>
    <row r="2774" spans="1:7">
      <c r="A2774" s="1754">
        <v>41670</v>
      </c>
      <c r="B2774" s="125" t="str">
        <f>TiposLancamentos!B16</f>
        <v>Cristiane</v>
      </c>
      <c r="C2774" s="1040" t="s">
        <v>4296</v>
      </c>
      <c r="D2774" s="1736"/>
      <c r="E2774" s="1043">
        <v>1315</v>
      </c>
      <c r="F2774" s="1043"/>
      <c r="G2774" s="1550"/>
    </row>
    <row r="2775" spans="1:7" ht="14.25" thickBot="1">
      <c r="A2775" s="1754">
        <v>41670</v>
      </c>
      <c r="B2775" s="125" t="str">
        <f>TiposLancamentos!B20</f>
        <v>Saques</v>
      </c>
      <c r="C2775" s="1040" t="s">
        <v>4368</v>
      </c>
      <c r="D2775" s="1736"/>
      <c r="E2775" s="1043">
        <v>230</v>
      </c>
      <c r="F2775" s="1043"/>
      <c r="G2775" s="1550"/>
    </row>
    <row r="2776" spans="1:7">
      <c r="A2776" s="1834"/>
      <c r="B2776" s="977"/>
      <c r="C2776" s="1854" t="s">
        <v>6446</v>
      </c>
      <c r="D2776" s="1823"/>
      <c r="E2776" s="1821"/>
      <c r="F2776" s="1821"/>
      <c r="G2776" s="1895"/>
    </row>
    <row r="2777" spans="1:7">
      <c r="A2777" s="1754">
        <v>41672</v>
      </c>
      <c r="B2777" s="125" t="str">
        <f>TiposLancamentos!B19</f>
        <v>Restaurantes</v>
      </c>
      <c r="C2777" s="1040" t="s">
        <v>6447</v>
      </c>
      <c r="D2777" s="1736"/>
      <c r="E2777" s="1043">
        <v>50.51</v>
      </c>
      <c r="F2777" s="1043"/>
      <c r="G2777" s="1550"/>
    </row>
    <row r="2778" spans="1:7">
      <c r="A2778" s="1754">
        <v>41672</v>
      </c>
      <c r="B2778" s="125" t="str">
        <f>TiposLancamentos!B5</f>
        <v>Supermercado</v>
      </c>
      <c r="C2778" s="1040" t="s">
        <v>6448</v>
      </c>
      <c r="D2778" s="1736"/>
      <c r="E2778" s="1043">
        <v>17.98</v>
      </c>
      <c r="F2778" s="1043"/>
      <c r="G2778" s="1550"/>
    </row>
    <row r="2779" spans="1:7">
      <c r="A2779" s="1754">
        <v>41673</v>
      </c>
      <c r="B2779" s="125" t="str">
        <f>TiposLancamentos!B15</f>
        <v>Cartões de Crédito</v>
      </c>
      <c r="C2779" s="1040" t="s">
        <v>6240</v>
      </c>
      <c r="D2779" s="1736"/>
      <c r="E2779" s="1043">
        <v>1772.43</v>
      </c>
      <c r="F2779" s="1043"/>
      <c r="G2779" s="1550"/>
    </row>
    <row r="2780" spans="1:7">
      <c r="A2780" s="1754">
        <v>41673</v>
      </c>
      <c r="B2780" s="125" t="str">
        <f>TiposLancamentos!B15</f>
        <v>Cartões de Crédito</v>
      </c>
      <c r="C2780" s="1040" t="s">
        <v>6449</v>
      </c>
      <c r="D2780" s="1736"/>
      <c r="E2780" s="1043">
        <v>3040.2</v>
      </c>
      <c r="F2780" s="1043"/>
      <c r="G2780" s="1550"/>
    </row>
    <row r="2781" spans="1:7">
      <c r="A2781" s="1754">
        <v>41673</v>
      </c>
      <c r="B2781" s="125" t="str">
        <f>TiposLancamentos!B16</f>
        <v>Cristiane</v>
      </c>
      <c r="C2781" s="1040" t="s">
        <v>6428</v>
      </c>
      <c r="D2781" s="1736"/>
      <c r="E2781" s="1043">
        <v>9.5</v>
      </c>
      <c r="F2781" s="1043"/>
      <c r="G2781" s="1550"/>
    </row>
    <row r="2782" spans="1:7">
      <c r="A2782" s="1754">
        <v>41673</v>
      </c>
      <c r="B2782" s="125" t="str">
        <f>TiposLancamentos!B6</f>
        <v>Energia Eletrica</v>
      </c>
      <c r="C2782" s="1040" t="s">
        <v>6430</v>
      </c>
      <c r="D2782" s="1736"/>
      <c r="E2782" s="1043">
        <v>141.78</v>
      </c>
      <c r="F2782" s="1043"/>
      <c r="G2782" s="1550"/>
    </row>
    <row r="2783" spans="1:7">
      <c r="A2783" s="1754">
        <v>41673</v>
      </c>
      <c r="B2783" s="125" t="str">
        <f>TiposLancamentos!B15</f>
        <v>Cartões de Crédito</v>
      </c>
      <c r="C2783" s="1040" t="s">
        <v>5924</v>
      </c>
      <c r="D2783" s="1736"/>
      <c r="E2783" s="1043">
        <v>15.92</v>
      </c>
      <c r="F2783" s="1043"/>
      <c r="G2783" s="1550"/>
    </row>
    <row r="2784" spans="1:7">
      <c r="A2784" s="1754">
        <v>41673</v>
      </c>
      <c r="B2784" s="125" t="str">
        <f>TiposLancamentos!B4</f>
        <v>Taxas Bancarias</v>
      </c>
      <c r="C2784" s="1040" t="s">
        <v>4858</v>
      </c>
      <c r="D2784" s="1736"/>
      <c r="E2784" s="1043">
        <v>21.08</v>
      </c>
      <c r="F2784" s="1043"/>
      <c r="G2784" s="1550"/>
    </row>
    <row r="2785" spans="1:7">
      <c r="A2785" s="1754">
        <v>41674</v>
      </c>
      <c r="B2785" s="125" t="str">
        <f>TiposLancamentos!B96</f>
        <v>Resg.Poup.</v>
      </c>
      <c r="C2785" s="1040" t="s">
        <v>6450</v>
      </c>
      <c r="D2785" s="1736">
        <v>9489.4</v>
      </c>
      <c r="E2785" s="1043"/>
      <c r="F2785" s="1043"/>
      <c r="G2785" s="1550"/>
    </row>
    <row r="2786" spans="1:7">
      <c r="A2786" s="1754">
        <v>41675</v>
      </c>
      <c r="B2786" s="125" t="str">
        <f>TiposLancamentos!B105</f>
        <v>Transf. Bco</v>
      </c>
      <c r="C2786" s="1040" t="s">
        <v>6451</v>
      </c>
      <c r="D2786" s="1736"/>
      <c r="E2786" s="1043">
        <v>11300</v>
      </c>
      <c r="F2786" s="1043"/>
      <c r="G2786" s="1550"/>
    </row>
    <row r="2787" spans="1:7">
      <c r="A2787" s="1754">
        <v>41675</v>
      </c>
      <c r="B2787" s="125" t="str">
        <f>TiposLancamentos!B20</f>
        <v>Saques</v>
      </c>
      <c r="C2787" s="1040" t="s">
        <v>6452</v>
      </c>
      <c r="D2787" s="1736"/>
      <c r="E2787" s="1043">
        <v>20</v>
      </c>
      <c r="F2787" s="1043"/>
      <c r="G2787" s="1550"/>
    </row>
    <row r="2788" spans="1:7">
      <c r="A2788" s="1754">
        <v>41676</v>
      </c>
      <c r="B2788" s="125" t="str">
        <f>TiposLancamentos!B9</f>
        <v>Condominio</v>
      </c>
      <c r="C2788" s="1040" t="s">
        <v>1684</v>
      </c>
      <c r="D2788" s="1736"/>
      <c r="E2788" s="1043">
        <v>868.93</v>
      </c>
      <c r="F2788" s="1043"/>
      <c r="G2788" s="1550"/>
    </row>
    <row r="2789" spans="1:7">
      <c r="A2789" s="1754">
        <v>41676</v>
      </c>
      <c r="B2789" s="125" t="str">
        <f>TiposLancamentos!B73</f>
        <v>Cursos</v>
      </c>
      <c r="C2789" s="1040" t="s">
        <v>6453</v>
      </c>
      <c r="D2789" s="1736"/>
      <c r="E2789" s="1043">
        <v>640.16</v>
      </c>
      <c r="F2789" s="1043"/>
      <c r="G2789" s="1550"/>
    </row>
    <row r="2790" spans="1:7">
      <c r="A2790" s="1754">
        <v>41677</v>
      </c>
      <c r="B2790" s="125" t="str">
        <f>TiposLancamentos!B16</f>
        <v>Cristiane</v>
      </c>
      <c r="C2790" s="1040" t="s">
        <v>5926</v>
      </c>
      <c r="D2790" s="1736"/>
      <c r="E2790" s="1043">
        <v>84.79</v>
      </c>
      <c r="F2790" s="1043"/>
      <c r="G2790" s="1550"/>
    </row>
    <row r="2791" spans="1:7">
      <c r="A2791" s="1754">
        <v>41677</v>
      </c>
      <c r="B2791" s="125" t="str">
        <f>TiposLancamentos!B5</f>
        <v>Supermercado</v>
      </c>
      <c r="C2791" s="1040" t="s">
        <v>6454</v>
      </c>
      <c r="D2791" s="1736"/>
      <c r="E2791" s="1043">
        <v>13.98</v>
      </c>
      <c r="F2791" s="1043"/>
      <c r="G2791" s="1550"/>
    </row>
    <row r="2792" spans="1:7">
      <c r="A2792" s="1754">
        <v>41678</v>
      </c>
      <c r="B2792" s="125" t="str">
        <f>TiposLancamentos!B19</f>
        <v>Restaurantes</v>
      </c>
      <c r="C2792" s="1040" t="s">
        <v>6455</v>
      </c>
      <c r="D2792" s="1736"/>
      <c r="E2792" s="1043">
        <v>18</v>
      </c>
      <c r="F2792" s="1043"/>
      <c r="G2792" s="1550"/>
    </row>
    <row r="2793" spans="1:7">
      <c r="A2793" s="1754">
        <v>41679</v>
      </c>
      <c r="B2793" s="125" t="str">
        <f>TiposLancamentos!B5</f>
        <v>Supermercado</v>
      </c>
      <c r="C2793" s="1040" t="s">
        <v>6456</v>
      </c>
      <c r="D2793" s="1736"/>
      <c r="E2793" s="1043">
        <v>17.98</v>
      </c>
      <c r="F2793" s="1043"/>
      <c r="G2793" s="1550"/>
    </row>
    <row r="2794" spans="1:7">
      <c r="A2794" s="1754">
        <v>41680</v>
      </c>
      <c r="B2794" s="125" t="str">
        <f>TiposLancamentos!B20</f>
        <v>Saques</v>
      </c>
      <c r="C2794" s="1040" t="s">
        <v>4368</v>
      </c>
      <c r="D2794" s="1736"/>
      <c r="E2794" s="1043">
        <v>70</v>
      </c>
      <c r="F2794" s="1043"/>
      <c r="G2794" s="1550"/>
    </row>
    <row r="2795" spans="1:7">
      <c r="A2795" s="1754">
        <v>41680</v>
      </c>
      <c r="B2795" s="125" t="str">
        <f>TiposLancamentos!B4</f>
        <v>Taxas Bancarias</v>
      </c>
      <c r="C2795" s="1040" t="s">
        <v>6457</v>
      </c>
      <c r="D2795" s="1736"/>
      <c r="E2795" s="1043">
        <v>324.29000000000002</v>
      </c>
      <c r="F2795" s="1043"/>
      <c r="G2795" s="1550"/>
    </row>
    <row r="2796" spans="1:7">
      <c r="A2796" s="1666">
        <v>41680</v>
      </c>
      <c r="B2796" s="817" t="str">
        <f>TiposLancamentos!B35</f>
        <v>Tv à Cabo</v>
      </c>
      <c r="C2796" s="1742" t="s">
        <v>5834</v>
      </c>
      <c r="D2796" s="1735"/>
      <c r="E2796" s="1733">
        <f>120-47.76</f>
        <v>72.240000000000009</v>
      </c>
      <c r="F2796" s="1043"/>
      <c r="G2796" s="1550"/>
    </row>
    <row r="2797" spans="1:7">
      <c r="A2797" s="1667">
        <v>41680</v>
      </c>
      <c r="B2797" s="816" t="str">
        <f>TiposLancamentos!B3</f>
        <v>Internet</v>
      </c>
      <c r="C2797" s="1769" t="s">
        <v>5835</v>
      </c>
      <c r="D2797" s="1736"/>
      <c r="E2797" s="1734">
        <f>59.9-47.76</f>
        <v>12.14</v>
      </c>
      <c r="F2797" s="1043"/>
      <c r="G2797" s="1550"/>
    </row>
    <row r="2798" spans="1:7">
      <c r="A2798" s="1750">
        <v>41680</v>
      </c>
      <c r="B2798" s="818" t="str">
        <f>TiposLancamentos!B2</f>
        <v>Telefonia</v>
      </c>
      <c r="C2798" s="1743" t="s">
        <v>5836</v>
      </c>
      <c r="D2798" s="1737"/>
      <c r="E2798" s="1668">
        <v>3.79</v>
      </c>
      <c r="F2798" s="1043">
        <f>SUM(E2796:E2798)</f>
        <v>88.170000000000016</v>
      </c>
      <c r="G2798" s="1550"/>
    </row>
    <row r="2799" spans="1:7">
      <c r="A2799" s="1666">
        <v>41680</v>
      </c>
      <c r="B2799" s="817" t="str">
        <f>TiposLancamentos!B8</f>
        <v>Aluguel</v>
      </c>
      <c r="C2799" s="1742" t="s">
        <v>6163</v>
      </c>
      <c r="D2799" s="1735"/>
      <c r="E2799" s="1733">
        <f>F2801-(E2800+E2801)</f>
        <v>1406.3</v>
      </c>
      <c r="F2799" s="1043"/>
      <c r="G2799" s="1550"/>
    </row>
    <row r="2800" spans="1:7">
      <c r="A2800" s="1667">
        <v>41680</v>
      </c>
      <c r="B2800" s="816" t="str">
        <f>TiposLancamentos!B12</f>
        <v>IPTU</v>
      </c>
      <c r="C2800" s="1769" t="s">
        <v>6458</v>
      </c>
      <c r="D2800" s="1736"/>
      <c r="E2800" s="1734">
        <v>110.83</v>
      </c>
      <c r="F2800" s="1043"/>
      <c r="G2800" s="1550"/>
    </row>
    <row r="2801" spans="1:7">
      <c r="A2801" s="1750">
        <v>41680</v>
      </c>
      <c r="B2801" s="818" t="str">
        <f>TiposLancamentos!B34</f>
        <v>Seguros</v>
      </c>
      <c r="C2801" s="1743" t="s">
        <v>6459</v>
      </c>
      <c r="D2801" s="1737"/>
      <c r="E2801" s="1668">
        <v>240.91</v>
      </c>
      <c r="F2801" s="1043">
        <v>1758.04</v>
      </c>
      <c r="G2801" s="1550"/>
    </row>
    <row r="2802" spans="1:7">
      <c r="A2802" s="1754">
        <v>41681</v>
      </c>
      <c r="B2802" s="125" t="str">
        <f>TiposLancamentos!B20</f>
        <v>Saques</v>
      </c>
      <c r="C2802" s="1040" t="s">
        <v>4328</v>
      </c>
      <c r="D2802" s="1736"/>
      <c r="E2802" s="1043">
        <v>60</v>
      </c>
      <c r="F2802" s="1043"/>
      <c r="G2802" s="1550"/>
    </row>
    <row r="2803" spans="1:7">
      <c r="A2803" s="1754">
        <v>41682</v>
      </c>
      <c r="B2803" s="125" t="str">
        <f>TiposLancamentos!B19</f>
        <v>Restaurantes</v>
      </c>
      <c r="C2803" s="1040" t="s">
        <v>6460</v>
      </c>
      <c r="D2803" s="1736"/>
      <c r="E2803" s="1043">
        <v>8.1</v>
      </c>
      <c r="F2803" s="1043"/>
      <c r="G2803" s="1550"/>
    </row>
    <row r="2804" spans="1:7">
      <c r="A2804" s="1754">
        <v>41684</v>
      </c>
      <c r="B2804" s="125" t="str">
        <f>TiposLancamentos!B95</f>
        <v>Salarios</v>
      </c>
      <c r="C2804" s="1040" t="s">
        <v>4916</v>
      </c>
      <c r="D2804" s="1736">
        <v>2332.0500000000002</v>
      </c>
      <c r="E2804" s="1043"/>
      <c r="F2804" s="1043"/>
      <c r="G2804" s="1550"/>
    </row>
    <row r="2805" spans="1:7">
      <c r="A2805" s="1666">
        <v>41685</v>
      </c>
      <c r="B2805" s="817" t="str">
        <f>TiposLancamentos!B33</f>
        <v>Pedágios</v>
      </c>
      <c r="C2805" s="1742" t="s">
        <v>5392</v>
      </c>
      <c r="D2805" s="1735"/>
      <c r="E2805" s="1733">
        <v>124.03</v>
      </c>
      <c r="F2805" s="1043"/>
      <c r="G2805" s="1550"/>
    </row>
    <row r="2806" spans="1:7">
      <c r="A2806" s="1667">
        <v>41685</v>
      </c>
      <c r="B2806" s="816" t="str">
        <f>TiposLancamentos!B24</f>
        <v>Estacionamentos</v>
      </c>
      <c r="C2806" s="1769" t="s">
        <v>5863</v>
      </c>
      <c r="D2806" s="1736"/>
      <c r="E2806" s="1734">
        <v>30</v>
      </c>
      <c r="F2806" s="1043"/>
      <c r="G2806" s="1550"/>
    </row>
    <row r="2807" spans="1:7">
      <c r="A2807" s="1750">
        <v>41685</v>
      </c>
      <c r="B2807" s="818" t="str">
        <f>TiposLancamentos!B24</f>
        <v>Estacionamentos</v>
      </c>
      <c r="C2807" s="1743" t="s">
        <v>6297</v>
      </c>
      <c r="D2807" s="1737"/>
      <c r="E2807" s="1668">
        <v>0</v>
      </c>
      <c r="F2807" s="1043">
        <f>SUM(E2805:E2807)</f>
        <v>154.03</v>
      </c>
      <c r="G2807" s="1550"/>
    </row>
    <row r="2808" spans="1:7">
      <c r="A2808" s="1754">
        <v>41687</v>
      </c>
      <c r="B2808" s="125" t="str">
        <f>TiposLancamentos!B52</f>
        <v>Multas</v>
      </c>
      <c r="C2808" s="1040" t="s">
        <v>6461</v>
      </c>
      <c r="D2808" s="1736"/>
      <c r="E2808" s="1043">
        <v>68.099999999999994</v>
      </c>
      <c r="F2808" s="1043"/>
      <c r="G2808" s="1550"/>
    </row>
    <row r="2809" spans="1:7">
      <c r="A2809" s="1754">
        <v>41687</v>
      </c>
      <c r="B2809" s="125" t="str">
        <f>TiposLancamentos!B52</f>
        <v>Multas</v>
      </c>
      <c r="C2809" s="1040" t="s">
        <v>6462</v>
      </c>
      <c r="D2809" s="1736"/>
      <c r="E2809" s="1043">
        <v>68.099999999999994</v>
      </c>
      <c r="F2809" s="1043"/>
      <c r="G2809" s="1550"/>
    </row>
    <row r="2810" spans="1:7">
      <c r="A2810" s="1754">
        <v>41687</v>
      </c>
      <c r="B2810" s="125" t="str">
        <f>TiposLancamentos!B87</f>
        <v>P207-1.6-XS</v>
      </c>
      <c r="C2810" s="1040" t="s">
        <v>6463</v>
      </c>
      <c r="D2810" s="1736"/>
      <c r="E2810" s="1043">
        <v>326.45</v>
      </c>
      <c r="F2810" s="1043"/>
      <c r="G2810" s="1550"/>
    </row>
    <row r="2811" spans="1:7">
      <c r="A2811" s="1754">
        <v>41687</v>
      </c>
      <c r="B2811" s="125" t="str">
        <f>TiposLancamentos!B2</f>
        <v>Telefonia</v>
      </c>
      <c r="C2811" s="1040" t="s">
        <v>5942</v>
      </c>
      <c r="D2811" s="1736"/>
      <c r="E2811" s="1043">
        <v>30</v>
      </c>
      <c r="F2811" s="1043"/>
      <c r="G2811" s="1550"/>
    </row>
    <row r="2812" spans="1:7">
      <c r="A2812" s="1754">
        <v>41688</v>
      </c>
      <c r="B2812" s="125" t="str">
        <f>TiposLancamentos!B20</f>
        <v>Saques</v>
      </c>
      <c r="C2812" s="1040" t="s">
        <v>3604</v>
      </c>
      <c r="D2812" s="1736"/>
      <c r="E2812" s="1043">
        <v>20</v>
      </c>
      <c r="F2812" s="1043"/>
      <c r="G2812" s="1550"/>
    </row>
    <row r="2813" spans="1:7">
      <c r="A2813" s="1754">
        <v>41692</v>
      </c>
      <c r="B2813" s="125" t="str">
        <f>TiposLancamentos!B88</f>
        <v>Ford Ecosport XLT</v>
      </c>
      <c r="C2813" s="1040" t="s">
        <v>6464</v>
      </c>
      <c r="D2813" s="1736"/>
      <c r="E2813" s="1043">
        <v>878.64</v>
      </c>
      <c r="F2813" s="1043"/>
      <c r="G2813" s="1550"/>
    </row>
    <row r="2814" spans="1:7">
      <c r="A2814" s="1754">
        <v>41695</v>
      </c>
      <c r="B2814" s="125" t="str">
        <f>TiposLancamentos!B34</f>
        <v>Seguros</v>
      </c>
      <c r="C2814" s="1040" t="s">
        <v>6445</v>
      </c>
      <c r="D2814" s="1736"/>
      <c r="E2814" s="1043">
        <v>63.9</v>
      </c>
      <c r="F2814" s="1043"/>
      <c r="G2814" s="1550"/>
    </row>
    <row r="2815" spans="1:7">
      <c r="A2815" s="1754">
        <v>41696</v>
      </c>
      <c r="B2815" s="125" t="str">
        <f>TiposLancamentos!B95</f>
        <v>Salarios</v>
      </c>
      <c r="C2815" s="1040" t="s">
        <v>6465</v>
      </c>
      <c r="D2815" s="1736">
        <v>58315.73</v>
      </c>
      <c r="E2815" s="1043"/>
      <c r="F2815" s="1043"/>
      <c r="G2815" s="1550"/>
    </row>
    <row r="2816" spans="1:7">
      <c r="A2816" s="1754">
        <v>41696</v>
      </c>
      <c r="B2816" s="125" t="str">
        <f>TiposLancamentos!B21</f>
        <v>Transf. Poupanca</v>
      </c>
      <c r="C2816" s="1040" t="s">
        <v>6466</v>
      </c>
      <c r="D2816" s="1736"/>
      <c r="E2816" s="1043">
        <v>40000</v>
      </c>
      <c r="F2816" s="1043"/>
      <c r="G2816" s="1550"/>
    </row>
    <row r="2817" spans="1:7">
      <c r="A2817" s="1754">
        <v>41696</v>
      </c>
      <c r="B2817" s="125" t="str">
        <f>TiposLancamentos!B5</f>
        <v>Supermercado</v>
      </c>
      <c r="C2817" s="1040" t="s">
        <v>6234</v>
      </c>
      <c r="D2817" s="1736"/>
      <c r="E2817" s="1043">
        <v>28.4</v>
      </c>
      <c r="F2817" s="1043"/>
      <c r="G2817" s="1550"/>
    </row>
    <row r="2818" spans="1:7">
      <c r="A2818" s="1754">
        <v>41697</v>
      </c>
      <c r="B2818" s="125" t="str">
        <f>TiposLancamentos!B16</f>
        <v>Cristiane</v>
      </c>
      <c r="C2818" s="1040" t="s">
        <v>6467</v>
      </c>
      <c r="D2818" s="1736"/>
      <c r="E2818" s="1043">
        <v>20</v>
      </c>
      <c r="F2818" s="1043"/>
      <c r="G2818" s="1550"/>
    </row>
    <row r="2819" spans="1:7">
      <c r="A2819" s="1754">
        <v>41698</v>
      </c>
      <c r="B2819" s="125" t="str">
        <f>TiposLancamentos!B19</f>
        <v>Restaurantes</v>
      </c>
      <c r="C2819" s="1040" t="s">
        <v>6468</v>
      </c>
      <c r="D2819" s="1736"/>
      <c r="E2819" s="1043">
        <v>139.69999999999999</v>
      </c>
      <c r="F2819" s="1043"/>
      <c r="G2819" s="1550"/>
    </row>
    <row r="2820" spans="1:7">
      <c r="A2820" s="1754">
        <v>41698</v>
      </c>
      <c r="B2820" s="125" t="str">
        <f>TiposLancamentos!B57</f>
        <v>Informática</v>
      </c>
      <c r="C2820" s="1040" t="s">
        <v>6469</v>
      </c>
      <c r="D2820" s="1736"/>
      <c r="E2820" s="1043">
        <v>199</v>
      </c>
      <c r="F2820" s="1043"/>
      <c r="G2820" s="1550"/>
    </row>
    <row r="2821" spans="1:7" ht="14.25" thickBot="1">
      <c r="A2821" s="1754">
        <v>41698</v>
      </c>
      <c r="B2821" s="125" t="str">
        <f>TiposLancamentos!B19</f>
        <v>Restaurantes</v>
      </c>
      <c r="C2821" s="1040" t="s">
        <v>6230</v>
      </c>
      <c r="D2821" s="1736"/>
      <c r="E2821" s="1043">
        <v>74.41</v>
      </c>
      <c r="F2821" s="1043"/>
      <c r="G2821" s="1550"/>
    </row>
    <row r="2822" spans="1:7">
      <c r="A2822" s="1834"/>
      <c r="B2822" s="977"/>
      <c r="C2822" s="1854" t="s">
        <v>6470</v>
      </c>
      <c r="D2822" s="1823"/>
      <c r="E2822" s="1821"/>
      <c r="F2822" s="1821"/>
      <c r="G2822" s="1895"/>
    </row>
    <row r="2823" spans="1:7">
      <c r="A2823" s="1754">
        <v>41699</v>
      </c>
      <c r="B2823" s="125" t="str">
        <f>TiposLancamentos!B5</f>
        <v>Supermercado</v>
      </c>
      <c r="C2823" s="1040" t="s">
        <v>6471</v>
      </c>
      <c r="D2823" s="1736"/>
      <c r="E2823" s="1043">
        <v>53.67</v>
      </c>
      <c r="F2823" s="1043"/>
      <c r="G2823" s="1550"/>
    </row>
    <row r="2824" spans="1:7">
      <c r="A2824" s="1754">
        <v>41699</v>
      </c>
      <c r="B2824" s="125" t="str">
        <f>TiposLancamentos!B5</f>
        <v>Supermercado</v>
      </c>
      <c r="C2824" s="1040" t="s">
        <v>6234</v>
      </c>
      <c r="D2824" s="1736"/>
      <c r="E2824" s="1043">
        <v>74.64</v>
      </c>
      <c r="F2824" s="1043"/>
      <c r="G2824" s="1550"/>
    </row>
    <row r="2825" spans="1:7">
      <c r="A2825" s="1754">
        <v>41701</v>
      </c>
      <c r="B2825" s="125" t="str">
        <f>TiposLancamentos!B15</f>
        <v>Cartões de Crédito</v>
      </c>
      <c r="C2825" s="1040" t="s">
        <v>6240</v>
      </c>
      <c r="D2825" s="1736"/>
      <c r="E2825" s="1043">
        <v>1768.01</v>
      </c>
      <c r="F2825" s="1043"/>
      <c r="G2825" s="1550"/>
    </row>
    <row r="2826" spans="1:7">
      <c r="A2826" s="1754">
        <v>41701</v>
      </c>
      <c r="B2826" s="125" t="str">
        <f>TiposLancamentos!B15</f>
        <v>Cartões de Crédito</v>
      </c>
      <c r="C2826" s="1040" t="s">
        <v>6472</v>
      </c>
      <c r="D2826" s="1736"/>
      <c r="E2826" s="1043">
        <v>1325.68</v>
      </c>
      <c r="F2826" s="1043"/>
      <c r="G2826" s="1550"/>
    </row>
    <row r="2827" spans="1:7">
      <c r="A2827" s="1754">
        <v>41701</v>
      </c>
      <c r="B2827" s="125" t="str">
        <f>TiposLancamentos!B6</f>
        <v>Energia Eletrica</v>
      </c>
      <c r="C2827" s="1040" t="s">
        <v>5191</v>
      </c>
      <c r="D2827" s="1736"/>
      <c r="E2827" s="1043">
        <v>120.03</v>
      </c>
      <c r="F2827" s="1043"/>
      <c r="G2827" s="1550"/>
    </row>
    <row r="2828" spans="1:7">
      <c r="A2828" s="1754">
        <v>41701</v>
      </c>
      <c r="B2828" s="125" t="str">
        <f>TiposLancamentos!B15</f>
        <v>Cartões de Crédito</v>
      </c>
      <c r="C2828" s="1040" t="s">
        <v>5924</v>
      </c>
      <c r="D2828" s="1736"/>
      <c r="E2828" s="1043">
        <v>15.92</v>
      </c>
      <c r="F2828" s="1043"/>
      <c r="G2828" s="1550"/>
    </row>
    <row r="2829" spans="1:7">
      <c r="A2829" s="1754">
        <v>41701</v>
      </c>
      <c r="B2829" s="125" t="str">
        <f>TiposLancamentos!B16</f>
        <v>Cristiane</v>
      </c>
      <c r="C2829" s="1040" t="s">
        <v>6473</v>
      </c>
      <c r="D2829" s="1736"/>
      <c r="E2829" s="1043">
        <v>7.41</v>
      </c>
      <c r="F2829" s="1043"/>
      <c r="G2829" s="1550"/>
    </row>
    <row r="2830" spans="1:7">
      <c r="A2830" s="1754">
        <v>41701</v>
      </c>
      <c r="B2830" s="125" t="str">
        <f>TiposLancamentos!B19</f>
        <v>Restaurantes</v>
      </c>
      <c r="C2830" s="1040" t="s">
        <v>6474</v>
      </c>
      <c r="D2830" s="1736"/>
      <c r="E2830" s="1043">
        <v>99.33</v>
      </c>
      <c r="F2830" s="1043"/>
      <c r="G2830" s="1550"/>
    </row>
    <row r="2831" spans="1:7">
      <c r="A2831" s="1754">
        <v>41701</v>
      </c>
      <c r="B2831" s="125" t="str">
        <f>TiposLancamentos!B24</f>
        <v>Estacionamentos</v>
      </c>
      <c r="C2831" s="1040" t="s">
        <v>6475</v>
      </c>
      <c r="D2831" s="1736"/>
      <c r="E2831" s="1043">
        <v>15</v>
      </c>
      <c r="F2831" s="1043"/>
      <c r="G2831" s="1550"/>
    </row>
    <row r="2832" spans="1:7">
      <c r="A2832" s="1754">
        <v>41702</v>
      </c>
      <c r="B2832" s="125" t="str">
        <f>TiposLancamentos!B5</f>
        <v>Supermercado</v>
      </c>
      <c r="C2832" s="1040" t="s">
        <v>6234</v>
      </c>
      <c r="D2832" s="1736"/>
      <c r="E2832" s="1043">
        <v>23.34</v>
      </c>
      <c r="F2832" s="1043"/>
      <c r="G2832" s="1550"/>
    </row>
    <row r="2833" spans="1:7">
      <c r="A2833" s="1754">
        <v>41702</v>
      </c>
      <c r="B2833" s="125" t="str">
        <f>TiposLancamentos!B19</f>
        <v>Restaurantes</v>
      </c>
      <c r="C2833" s="1040" t="s">
        <v>6476</v>
      </c>
      <c r="D2833" s="1736"/>
      <c r="E2833" s="1043">
        <v>75.349999999999994</v>
      </c>
      <c r="F2833" s="1043"/>
      <c r="G2833" s="1550"/>
    </row>
    <row r="2834" spans="1:7">
      <c r="A2834" s="1666">
        <v>41702</v>
      </c>
      <c r="B2834" s="817" t="str">
        <f>TiposLancamentos!B56</f>
        <v>Farmácia</v>
      </c>
      <c r="C2834" s="1742" t="s">
        <v>6477</v>
      </c>
      <c r="D2834" s="1735"/>
      <c r="E2834" s="1733">
        <v>35.229999999999997</v>
      </c>
      <c r="F2834" s="1043"/>
      <c r="G2834" s="1550"/>
    </row>
    <row r="2835" spans="1:7">
      <c r="A2835" s="1750">
        <v>41702</v>
      </c>
      <c r="B2835" s="818" t="str">
        <f>TiposLancamentos!B16</f>
        <v>Cristiane</v>
      </c>
      <c r="C2835" s="1743" t="s">
        <v>6052</v>
      </c>
      <c r="D2835" s="1737"/>
      <c r="E2835" s="1668">
        <f>F2835-E2834</f>
        <v>74.97999999999999</v>
      </c>
      <c r="F2835" s="1043">
        <v>110.21</v>
      </c>
      <c r="G2835" s="1550"/>
    </row>
    <row r="2836" spans="1:7">
      <c r="A2836" s="1754">
        <v>41703</v>
      </c>
      <c r="B2836" s="125" t="str">
        <f>TiposLancamentos!B5</f>
        <v>Supermercado</v>
      </c>
      <c r="C2836" s="1040" t="s">
        <v>6478</v>
      </c>
      <c r="D2836" s="1736"/>
      <c r="E2836" s="1043">
        <v>34</v>
      </c>
      <c r="F2836" s="1043"/>
      <c r="G2836" s="1550"/>
    </row>
    <row r="2837" spans="1:7">
      <c r="A2837" s="1754">
        <v>41703</v>
      </c>
      <c r="B2837" s="125" t="str">
        <f>TiposLancamentos!B4</f>
        <v>Taxas Bancarias</v>
      </c>
      <c r="C2837" s="1040" t="s">
        <v>4858</v>
      </c>
      <c r="D2837" s="1736"/>
      <c r="E2837" s="1043">
        <v>55.33</v>
      </c>
      <c r="F2837" s="1043"/>
      <c r="G2837" s="1550"/>
    </row>
    <row r="2838" spans="1:7">
      <c r="A2838" s="1754">
        <v>41704</v>
      </c>
      <c r="B2838" s="125" t="str">
        <f>TiposLancamentos!B9</f>
        <v>Condominio</v>
      </c>
      <c r="C2838" s="1040" t="s">
        <v>1684</v>
      </c>
      <c r="D2838" s="1736"/>
      <c r="E2838" s="1043">
        <v>868.93</v>
      </c>
      <c r="F2838" s="1043"/>
      <c r="G2838" s="1550"/>
    </row>
    <row r="2839" spans="1:7">
      <c r="A2839" s="1754">
        <v>41704</v>
      </c>
      <c r="B2839" s="125" t="str">
        <f>TiposLancamentos!B5</f>
        <v>Supermercado</v>
      </c>
      <c r="C2839" s="1040" t="s">
        <v>6234</v>
      </c>
      <c r="D2839" s="1736"/>
      <c r="E2839" s="1043">
        <v>23.77</v>
      </c>
      <c r="F2839" s="1043"/>
      <c r="G2839" s="1550"/>
    </row>
    <row r="2840" spans="1:7">
      <c r="A2840" s="1754">
        <v>41705</v>
      </c>
      <c r="B2840" s="125" t="str">
        <f>TiposLancamentos!B19</f>
        <v>Restaurantes</v>
      </c>
      <c r="C2840" s="1040" t="s">
        <v>6479</v>
      </c>
      <c r="D2840" s="1736"/>
      <c r="E2840" s="1043">
        <v>55.39</v>
      </c>
      <c r="F2840" s="1043"/>
      <c r="G2840" s="1550"/>
    </row>
    <row r="2841" spans="1:7">
      <c r="A2841" s="1754">
        <v>41706</v>
      </c>
      <c r="B2841" s="125" t="str">
        <f>TiposLancamentos!B19</f>
        <v>Restaurantes</v>
      </c>
      <c r="C2841" s="1040" t="s">
        <v>5613</v>
      </c>
      <c r="D2841" s="1736"/>
      <c r="E2841" s="1043">
        <v>37.31</v>
      </c>
      <c r="F2841" s="1043"/>
      <c r="G2841" s="1550"/>
    </row>
    <row r="2842" spans="1:7">
      <c r="A2842" s="1754">
        <v>41706</v>
      </c>
      <c r="B2842" s="125" t="str">
        <f>TiposLancamentos!B19</f>
        <v>Restaurantes</v>
      </c>
      <c r="C2842" s="1040" t="s">
        <v>6480</v>
      </c>
      <c r="D2842" s="1736"/>
      <c r="E2842" s="1043">
        <v>61.5</v>
      </c>
      <c r="F2842" s="1043"/>
      <c r="G2842" s="1550"/>
    </row>
    <row r="2843" spans="1:7">
      <c r="A2843" s="1754">
        <v>41707</v>
      </c>
      <c r="B2843" s="125" t="str">
        <f>TiposLancamentos!B17</f>
        <v>GATO</v>
      </c>
      <c r="C2843" s="1040" t="s">
        <v>6481</v>
      </c>
      <c r="D2843" s="1736"/>
      <c r="E2843" s="1043">
        <v>115</v>
      </c>
      <c r="F2843" s="1043"/>
      <c r="G2843" s="1550"/>
    </row>
    <row r="2844" spans="1:7">
      <c r="A2844" s="1666">
        <v>41708</v>
      </c>
      <c r="B2844" s="817" t="str">
        <f>TiposLancamentos!B35</f>
        <v>Tv à Cabo</v>
      </c>
      <c r="C2844" s="1742" t="s">
        <v>5834</v>
      </c>
      <c r="D2844" s="1735"/>
      <c r="E2844" s="1733">
        <v>120</v>
      </c>
      <c r="F2844" s="1043"/>
      <c r="G2844" s="1550"/>
    </row>
    <row r="2845" spans="1:7">
      <c r="A2845" s="1667">
        <v>41708</v>
      </c>
      <c r="B2845" s="816" t="str">
        <f>TiposLancamentos!B3</f>
        <v>Internet</v>
      </c>
      <c r="C2845" s="1769" t="s">
        <v>5835</v>
      </c>
      <c r="D2845" s="1736"/>
      <c r="E2845" s="1734">
        <v>59.9</v>
      </c>
      <c r="F2845" s="1043"/>
      <c r="G2845" s="1550"/>
    </row>
    <row r="2846" spans="1:7">
      <c r="A2846" s="1750">
        <v>41708</v>
      </c>
      <c r="B2846" s="818" t="str">
        <f>TiposLancamentos!B2</f>
        <v>Telefonia</v>
      </c>
      <c r="C2846" s="1743" t="s">
        <v>5836</v>
      </c>
      <c r="D2846" s="1737"/>
      <c r="E2846" s="1668">
        <v>0</v>
      </c>
      <c r="F2846" s="1043">
        <f>SUM(E2844:E2846)</f>
        <v>179.9</v>
      </c>
      <c r="G2846" s="1550"/>
    </row>
    <row r="2847" spans="1:7">
      <c r="A2847" s="1754">
        <v>41708</v>
      </c>
      <c r="B2847" s="125" t="str">
        <f>TiposLancamentos!B4</f>
        <v>Taxas Bancarias</v>
      </c>
      <c r="C2847" s="1040" t="s">
        <v>6457</v>
      </c>
      <c r="D2847" s="1736"/>
      <c r="E2847" s="1043">
        <v>444.54</v>
      </c>
      <c r="F2847" s="1043"/>
      <c r="G2847" s="1550"/>
    </row>
    <row r="2848" spans="1:7">
      <c r="A2848" s="1754">
        <v>41708</v>
      </c>
      <c r="B2848" s="125" t="str">
        <f>TiposLancamentos!B19</f>
        <v>Restaurantes</v>
      </c>
      <c r="C2848" s="1040" t="s">
        <v>3680</v>
      </c>
      <c r="D2848" s="1736"/>
      <c r="E2848" s="1043">
        <v>10.8</v>
      </c>
      <c r="F2848" s="1043"/>
      <c r="G2848" s="1550"/>
    </row>
    <row r="2849" spans="1:7">
      <c r="A2849" s="1754">
        <v>41708</v>
      </c>
      <c r="B2849" s="125" t="str">
        <f>TiposLancamentos!B17</f>
        <v>GATO</v>
      </c>
      <c r="C2849" s="1040" t="s">
        <v>6482</v>
      </c>
      <c r="D2849" s="1736"/>
      <c r="E2849" s="1043">
        <v>66.400000000000006</v>
      </c>
      <c r="F2849" s="1043"/>
      <c r="G2849" s="1550"/>
    </row>
    <row r="2850" spans="1:7">
      <c r="A2850" s="1754">
        <v>41708</v>
      </c>
      <c r="B2850" s="125" t="str">
        <f>TiposLancamentos!B22</f>
        <v>Combustivel</v>
      </c>
      <c r="C2850" s="1040" t="s">
        <v>6483</v>
      </c>
      <c r="D2850" s="1736"/>
      <c r="E2850" s="1043">
        <v>60</v>
      </c>
      <c r="F2850" s="1043"/>
      <c r="G2850" s="1550"/>
    </row>
    <row r="2851" spans="1:7">
      <c r="A2851" s="1754">
        <v>41708</v>
      </c>
      <c r="B2851" s="125" t="str">
        <f>TiposLancamentos!B19</f>
        <v>Restaurantes</v>
      </c>
      <c r="C2851" s="1040" t="s">
        <v>6484</v>
      </c>
      <c r="D2851" s="1736"/>
      <c r="E2851" s="1043">
        <v>6.5</v>
      </c>
      <c r="F2851" s="1043"/>
      <c r="G2851" s="1550"/>
    </row>
    <row r="2852" spans="1:7">
      <c r="A2852" s="1666">
        <v>41708</v>
      </c>
      <c r="B2852" s="817" t="str">
        <f>TiposLancamentos!B8</f>
        <v>Aluguel</v>
      </c>
      <c r="C2852" s="1742" t="s">
        <v>6163</v>
      </c>
      <c r="D2852" s="1735"/>
      <c r="E2852" s="1733">
        <f>F2854-E2853-E2854</f>
        <v>1406.3</v>
      </c>
      <c r="F2852" s="1043"/>
      <c r="G2852" s="1550"/>
    </row>
    <row r="2853" spans="1:7">
      <c r="A2853" s="1667">
        <v>41708</v>
      </c>
      <c r="B2853" s="816" t="str">
        <f>TiposLancamentos!B12</f>
        <v>IPTU</v>
      </c>
      <c r="C2853" s="1769" t="s">
        <v>6485</v>
      </c>
      <c r="D2853" s="1736"/>
      <c r="E2853" s="1734">
        <v>110.83</v>
      </c>
      <c r="F2853" s="1043"/>
      <c r="G2853" s="1550"/>
    </row>
    <row r="2854" spans="1:7">
      <c r="A2854" s="1750">
        <v>41708</v>
      </c>
      <c r="B2854" s="818" t="str">
        <f>TiposLancamentos!B34</f>
        <v>Seguros</v>
      </c>
      <c r="C2854" s="1743" t="s">
        <v>6486</v>
      </c>
      <c r="D2854" s="1737"/>
      <c r="E2854" s="1668">
        <v>240.91</v>
      </c>
      <c r="F2854" s="1043">
        <v>1758.04</v>
      </c>
      <c r="G2854" s="1550"/>
    </row>
    <row r="2855" spans="1:7">
      <c r="A2855" s="1754">
        <v>41709</v>
      </c>
      <c r="B2855" s="125" t="str">
        <f>TiposLancamentos!B73</f>
        <v>Cursos</v>
      </c>
      <c r="C2855" s="1040" t="s">
        <v>6487</v>
      </c>
      <c r="D2855" s="1736"/>
      <c r="E2855" s="1043">
        <v>640.16</v>
      </c>
      <c r="F2855" s="1043"/>
      <c r="G2855" s="1550"/>
    </row>
    <row r="2856" spans="1:7">
      <c r="A2856" s="1754">
        <v>41709</v>
      </c>
      <c r="B2856" s="125" t="str">
        <f>TiposLancamentos!B19</f>
        <v>Restaurantes</v>
      </c>
      <c r="C2856" s="1040" t="s">
        <v>6488</v>
      </c>
      <c r="D2856" s="1736"/>
      <c r="E2856" s="1043">
        <v>42</v>
      </c>
      <c r="F2856" s="1043"/>
      <c r="G2856" s="1550"/>
    </row>
    <row r="2857" spans="1:7">
      <c r="A2857" s="1754">
        <v>41710</v>
      </c>
      <c r="B2857" s="125" t="str">
        <f>TiposLancamentos!B81</f>
        <v>Ferramentas gerais</v>
      </c>
      <c r="C2857" s="1040" t="s">
        <v>6489</v>
      </c>
      <c r="D2857" s="1736"/>
      <c r="E2857" s="1043">
        <v>21.94</v>
      </c>
      <c r="F2857" s="1043"/>
      <c r="G2857" s="1550"/>
    </row>
    <row r="2858" spans="1:7">
      <c r="A2858" s="1754">
        <v>41710</v>
      </c>
      <c r="B2858" s="125" t="str">
        <f>TiposLancamentos!B13</f>
        <v>Moradia</v>
      </c>
      <c r="C2858" s="1040" t="s">
        <v>6490</v>
      </c>
      <c r="D2858" s="1736"/>
      <c r="E2858" s="1043">
        <v>11.7</v>
      </c>
      <c r="F2858" s="1043"/>
      <c r="G2858" s="1550"/>
    </row>
    <row r="2859" spans="1:7">
      <c r="A2859" s="1754">
        <v>41710</v>
      </c>
      <c r="B2859" s="125" t="str">
        <f>TiposLancamentos!B5</f>
        <v>Supermercado</v>
      </c>
      <c r="C2859" s="1040" t="s">
        <v>6234</v>
      </c>
      <c r="D2859" s="1736"/>
      <c r="E2859" s="1043">
        <v>9.26</v>
      </c>
      <c r="F2859" s="1043"/>
      <c r="G2859" s="1550"/>
    </row>
    <row r="2860" spans="1:7">
      <c r="A2860" s="1754">
        <v>41710</v>
      </c>
      <c r="B2860" s="125" t="str">
        <f>TiposLancamentos!B24</f>
        <v>Estacionamentos</v>
      </c>
      <c r="C2860" s="1040" t="s">
        <v>6491</v>
      </c>
      <c r="D2860" s="1736"/>
      <c r="E2860" s="1043">
        <v>7</v>
      </c>
      <c r="F2860" s="1043"/>
      <c r="G2860" s="1550"/>
    </row>
    <row r="2861" spans="1:7">
      <c r="A2861" s="1754">
        <v>41711</v>
      </c>
      <c r="B2861" s="125" t="str">
        <f>TiposLancamentos!B20</f>
        <v>Saques</v>
      </c>
      <c r="C2861" s="1040" t="s">
        <v>6492</v>
      </c>
      <c r="D2861" s="1736"/>
      <c r="E2861" s="1043">
        <v>40</v>
      </c>
      <c r="F2861" s="1043"/>
      <c r="G2861" s="1550"/>
    </row>
    <row r="2862" spans="1:7">
      <c r="A2862" s="1754">
        <v>41711</v>
      </c>
      <c r="B2862" s="125" t="str">
        <f>TiposLancamentos!B19</f>
        <v>Restaurantes</v>
      </c>
      <c r="C2862" s="1040" t="s">
        <v>6493</v>
      </c>
      <c r="D2862" s="1736"/>
      <c r="E2862" s="1043">
        <v>45.5</v>
      </c>
      <c r="F2862" s="1043"/>
      <c r="G2862" s="1550"/>
    </row>
    <row r="2863" spans="1:7">
      <c r="A2863" s="1754">
        <v>41711</v>
      </c>
      <c r="B2863" s="125" t="str">
        <f>TiposLancamentos!B19</f>
        <v>Restaurantes</v>
      </c>
      <c r="C2863" s="1040" t="s">
        <v>5876</v>
      </c>
      <c r="D2863" s="1736"/>
      <c r="E2863" s="1043">
        <v>177.9</v>
      </c>
      <c r="F2863" s="1043"/>
      <c r="G2863" s="1550"/>
    </row>
    <row r="2864" spans="1:7">
      <c r="A2864" s="1754">
        <v>41713</v>
      </c>
      <c r="B2864" s="125" t="str">
        <f>TiposLancamentos!B81</f>
        <v>Ferramentas gerais</v>
      </c>
      <c r="C2864" s="1040" t="s">
        <v>6494</v>
      </c>
      <c r="D2864" s="1736"/>
      <c r="E2864" s="1043">
        <v>26.8</v>
      </c>
      <c r="F2864" s="1043"/>
      <c r="G2864" s="1550"/>
    </row>
    <row r="2865" spans="1:7">
      <c r="A2865" s="1754">
        <v>41713</v>
      </c>
      <c r="B2865" s="125" t="str">
        <f>TiposLancamentos!B5</f>
        <v>Supermercado</v>
      </c>
      <c r="C2865" s="1040" t="s">
        <v>6495</v>
      </c>
      <c r="D2865" s="1736"/>
      <c r="E2865" s="1043">
        <v>44.25</v>
      </c>
      <c r="F2865" s="1043"/>
      <c r="G2865" s="1550"/>
    </row>
    <row r="2866" spans="1:7">
      <c r="A2866" s="1754">
        <v>41715</v>
      </c>
      <c r="B2866" s="125" t="str">
        <f>TiposLancamentos!B5</f>
        <v>Supermercado</v>
      </c>
      <c r="C2866" s="1040" t="s">
        <v>6496</v>
      </c>
      <c r="D2866" s="1736"/>
      <c r="E2866" s="1043">
        <v>11</v>
      </c>
      <c r="F2866" s="1043"/>
      <c r="G2866" s="1550"/>
    </row>
    <row r="2867" spans="1:7">
      <c r="A2867" s="1754">
        <v>41715</v>
      </c>
      <c r="B2867" s="125" t="str">
        <f>TiposLancamentos!B5</f>
        <v>Supermercado</v>
      </c>
      <c r="C2867" s="1040" t="s">
        <v>6234</v>
      </c>
      <c r="D2867" s="1736"/>
      <c r="E2867" s="1043">
        <v>40.89</v>
      </c>
      <c r="F2867" s="1043"/>
      <c r="G2867" s="1550"/>
    </row>
    <row r="2868" spans="1:7">
      <c r="A2868" s="1666">
        <v>41715</v>
      </c>
      <c r="B2868" s="817" t="str">
        <f>TiposLancamentos!B33</f>
        <v>Pedágios</v>
      </c>
      <c r="C2868" s="1742" t="s">
        <v>5392</v>
      </c>
      <c r="D2868" s="1735"/>
      <c r="E2868" s="1733">
        <v>30.33</v>
      </c>
      <c r="F2868" s="1043"/>
      <c r="G2868" s="1550"/>
    </row>
    <row r="2869" spans="1:7">
      <c r="A2869" s="1667">
        <v>41715</v>
      </c>
      <c r="B2869" s="816" t="str">
        <f>TiposLancamentos!B24</f>
        <v>Estacionamentos</v>
      </c>
      <c r="C2869" s="1769" t="s">
        <v>5863</v>
      </c>
      <c r="D2869" s="1736"/>
      <c r="E2869" s="1734">
        <v>12</v>
      </c>
      <c r="F2869" s="1043"/>
      <c r="G2869" s="1550"/>
    </row>
    <row r="2870" spans="1:7">
      <c r="A2870" s="1750">
        <v>41715</v>
      </c>
      <c r="B2870" s="818" t="str">
        <f>TiposLancamentos!B24</f>
        <v>Estacionamentos</v>
      </c>
      <c r="C2870" s="1743" t="s">
        <v>6297</v>
      </c>
      <c r="D2870" s="1737"/>
      <c r="E2870" s="1668">
        <v>22</v>
      </c>
      <c r="F2870" s="1043">
        <f>SUM(E2868:E2870)</f>
        <v>64.33</v>
      </c>
      <c r="G2870" s="1550"/>
    </row>
    <row r="2871" spans="1:7">
      <c r="A2871" s="1754">
        <v>41715</v>
      </c>
      <c r="B2871" s="125" t="str">
        <f>TiposLancamentos!B87</f>
        <v>P207-1.6-XS</v>
      </c>
      <c r="C2871" s="1040" t="s">
        <v>6497</v>
      </c>
      <c r="D2871" s="1736"/>
      <c r="E2871" s="1043">
        <v>326.45</v>
      </c>
      <c r="F2871" s="1043"/>
      <c r="G2871" s="1550"/>
    </row>
    <row r="2872" spans="1:7">
      <c r="A2872" s="1754">
        <v>41715</v>
      </c>
      <c r="B2872" s="125" t="str">
        <f>TiposLancamentos!B32</f>
        <v>Clinicas e tratamentos</v>
      </c>
      <c r="C2872" s="1040" t="s">
        <v>6498</v>
      </c>
      <c r="D2872" s="1736"/>
      <c r="E2872" s="1043">
        <v>135</v>
      </c>
      <c r="F2872" s="1043">
        <v>135</v>
      </c>
      <c r="G2872" s="1550"/>
    </row>
    <row r="2873" spans="1:7">
      <c r="A2873" s="1754">
        <v>41715</v>
      </c>
      <c r="B2873" s="125" t="str">
        <f>TiposLancamentos!B24</f>
        <v>Estacionamentos</v>
      </c>
      <c r="C2873" s="1040" t="s">
        <v>4370</v>
      </c>
      <c r="D2873" s="1736"/>
      <c r="E2873" s="1043">
        <v>7</v>
      </c>
      <c r="F2873" s="1043"/>
      <c r="G2873" s="1550"/>
    </row>
    <row r="2874" spans="1:7">
      <c r="A2874" s="1754">
        <v>41715</v>
      </c>
      <c r="B2874" s="125" t="str">
        <f>TiposLancamentos!B19</f>
        <v>Restaurantes</v>
      </c>
      <c r="C2874" s="1040" t="s">
        <v>6499</v>
      </c>
      <c r="D2874" s="1736"/>
      <c r="E2874" s="1043">
        <v>10.199999999999999</v>
      </c>
      <c r="F2874" s="1043"/>
      <c r="G2874" s="1550"/>
    </row>
    <row r="2875" spans="1:7">
      <c r="A2875" s="1754">
        <v>41716</v>
      </c>
      <c r="B2875" s="125" t="str">
        <f>TiposLancamentos!B19</f>
        <v>Restaurantes</v>
      </c>
      <c r="C2875" s="1040" t="s">
        <v>5999</v>
      </c>
      <c r="D2875" s="1736"/>
      <c r="E2875" s="1043">
        <v>36.5</v>
      </c>
      <c r="F2875" s="1043"/>
      <c r="G2875" s="1550"/>
    </row>
    <row r="2876" spans="1:7">
      <c r="A2876" s="1754">
        <v>41718</v>
      </c>
      <c r="B2876" s="125" t="str">
        <f>TiposLancamentos!B19</f>
        <v>Restaurantes</v>
      </c>
      <c r="C2876" s="1040" t="s">
        <v>5613</v>
      </c>
      <c r="D2876" s="1736"/>
      <c r="E2876" s="1043">
        <v>33.520000000000003</v>
      </c>
      <c r="F2876" s="1043"/>
      <c r="G2876" s="1550"/>
    </row>
    <row r="2877" spans="1:7">
      <c r="A2877" s="1754">
        <v>41718</v>
      </c>
      <c r="B2877" s="125" t="str">
        <f>TiposLancamentos!B19</f>
        <v>Restaurantes</v>
      </c>
      <c r="C2877" s="1040" t="s">
        <v>6500</v>
      </c>
      <c r="D2877" s="1736"/>
      <c r="E2877" s="1043">
        <v>35.799999999999997</v>
      </c>
      <c r="F2877" s="1043"/>
      <c r="G2877" s="1550"/>
    </row>
    <row r="2878" spans="1:7">
      <c r="A2878" s="1754">
        <v>41718</v>
      </c>
      <c r="B2878" s="125" t="str">
        <f>TiposLancamentos!B24</f>
        <v>Estacionamentos</v>
      </c>
      <c r="C2878" s="1040" t="s">
        <v>6501</v>
      </c>
      <c r="D2878" s="1736"/>
      <c r="E2878" s="1043">
        <v>6</v>
      </c>
      <c r="F2878" s="1043"/>
      <c r="G2878" s="1550"/>
    </row>
    <row r="2879" spans="1:7">
      <c r="A2879" s="1754">
        <v>41719</v>
      </c>
      <c r="B2879" s="125" t="str">
        <f>TiposLancamentos!B19</f>
        <v>Restaurantes</v>
      </c>
      <c r="C2879" s="1040" t="s">
        <v>6502</v>
      </c>
      <c r="D2879" s="1736"/>
      <c r="E2879" s="1043">
        <v>44.79</v>
      </c>
      <c r="F2879" s="1043"/>
      <c r="G2879" s="1550"/>
    </row>
    <row r="2880" spans="1:7">
      <c r="A2880" s="1754">
        <v>41720</v>
      </c>
      <c r="B2880" s="125" t="str">
        <f>TiposLancamentos!B19</f>
        <v>Restaurantes</v>
      </c>
      <c r="C2880" s="1040" t="s">
        <v>6503</v>
      </c>
      <c r="D2880" s="1736"/>
      <c r="E2880" s="1043">
        <v>5.5</v>
      </c>
      <c r="F2880" s="1043"/>
      <c r="G2880" s="1550"/>
    </row>
    <row r="2881" spans="1:7">
      <c r="A2881" s="1754">
        <v>41720</v>
      </c>
      <c r="B2881" s="125" t="str">
        <f>TiposLancamentos!B19</f>
        <v>Restaurantes</v>
      </c>
      <c r="C2881" s="1040" t="s">
        <v>6504</v>
      </c>
      <c r="D2881" s="1736"/>
      <c r="E2881" s="1043">
        <v>11.3</v>
      </c>
      <c r="F2881" s="1043"/>
      <c r="G2881" s="1550"/>
    </row>
    <row r="2882" spans="1:7">
      <c r="A2882" s="1754">
        <v>41720</v>
      </c>
      <c r="B2882" s="125" t="str">
        <f>TiposLancamentos!B70</f>
        <v>Vestuário</v>
      </c>
      <c r="C2882" s="1040" t="s">
        <v>6505</v>
      </c>
      <c r="D2882" s="1736"/>
      <c r="E2882" s="1043">
        <v>49.9</v>
      </c>
      <c r="F2882" s="1043"/>
      <c r="G2882" s="1550"/>
    </row>
    <row r="2883" spans="1:7">
      <c r="A2883" s="1754">
        <v>41720</v>
      </c>
      <c r="B2883" s="125" t="str">
        <f>TiposLancamentos!B56</f>
        <v>Farmácia</v>
      </c>
      <c r="C2883" s="1040" t="s">
        <v>6506</v>
      </c>
      <c r="D2883" s="1736"/>
      <c r="E2883" s="1043">
        <v>16.22</v>
      </c>
      <c r="F2883" s="1043"/>
      <c r="G2883" s="1550"/>
    </row>
    <row r="2884" spans="1:7">
      <c r="A2884" s="1754">
        <v>41721</v>
      </c>
      <c r="B2884" s="125" t="str">
        <f>TiposLancamentos!B19</f>
        <v>Restaurantes</v>
      </c>
      <c r="C2884" s="1040" t="s">
        <v>6507</v>
      </c>
      <c r="D2884" s="1736"/>
      <c r="E2884" s="1043">
        <v>39.42</v>
      </c>
      <c r="F2884" s="1043"/>
      <c r="G2884" s="1550"/>
    </row>
    <row r="2885" spans="1:7">
      <c r="A2885" s="1754">
        <v>41721</v>
      </c>
      <c r="B2885" s="125" t="str">
        <f>TiposLancamentos!B22</f>
        <v>Combustivel</v>
      </c>
      <c r="C2885" s="1040" t="s">
        <v>6412</v>
      </c>
      <c r="D2885" s="1736"/>
      <c r="E2885" s="1043">
        <v>104.99</v>
      </c>
      <c r="F2885" s="1043"/>
      <c r="G2885" s="1550"/>
    </row>
    <row r="2886" spans="1:7">
      <c r="A2886" s="1754">
        <v>41721</v>
      </c>
      <c r="B2886" s="125" t="str">
        <f>TiposLancamentos!B19</f>
        <v>Restaurantes</v>
      </c>
      <c r="C2886" s="1040" t="s">
        <v>3486</v>
      </c>
      <c r="D2886" s="1736"/>
      <c r="E2886" s="1043">
        <v>9.1</v>
      </c>
      <c r="F2886" s="1043"/>
      <c r="G2886" s="1550"/>
    </row>
    <row r="2887" spans="1:7">
      <c r="A2887" s="1754">
        <v>41721</v>
      </c>
      <c r="B2887" s="125" t="str">
        <f>TiposLancamentos!B19</f>
        <v>Restaurantes</v>
      </c>
      <c r="C2887" s="1040" t="s">
        <v>6508</v>
      </c>
      <c r="D2887" s="1736"/>
      <c r="E2887" s="1043">
        <v>87.4</v>
      </c>
      <c r="F2887" s="1043"/>
      <c r="G2887" s="1550"/>
    </row>
    <row r="2888" spans="1:7">
      <c r="A2888" s="1754">
        <v>41722</v>
      </c>
      <c r="B2888" s="125" t="str">
        <f>TiposLancamentos!B88</f>
        <v>Ford Ecosport XLT</v>
      </c>
      <c r="C2888" s="1040" t="s">
        <v>6509</v>
      </c>
      <c r="D2888" s="1736"/>
      <c r="E2888" s="1043">
        <v>878.64</v>
      </c>
      <c r="F2888" s="1043"/>
      <c r="G2888" s="1550"/>
    </row>
    <row r="2889" spans="1:7">
      <c r="A2889" s="1754">
        <v>41723</v>
      </c>
      <c r="B2889" s="125" t="str">
        <f>TiposLancamentos!B34</f>
        <v>Seguros</v>
      </c>
      <c r="C2889" s="1040" t="s">
        <v>6445</v>
      </c>
      <c r="D2889" s="1736"/>
      <c r="E2889" s="1043">
        <v>63.9</v>
      </c>
      <c r="F2889" s="1043"/>
      <c r="G2889" s="1550"/>
    </row>
    <row r="2890" spans="1:7">
      <c r="A2890" s="1754">
        <v>41724</v>
      </c>
      <c r="B2890" s="125" t="str">
        <f>TiposLancamentos!B24</f>
        <v>Estacionamentos</v>
      </c>
      <c r="C2890" s="1040" t="s">
        <v>4370</v>
      </c>
      <c r="D2890" s="1736"/>
      <c r="E2890" s="1043">
        <v>7</v>
      </c>
      <c r="F2890" s="1043"/>
      <c r="G2890" s="1550"/>
    </row>
    <row r="2891" spans="1:7">
      <c r="A2891" s="1754">
        <v>41724</v>
      </c>
      <c r="B2891" s="125" t="str">
        <f>TiposLancamentos!B19</f>
        <v>Restaurantes</v>
      </c>
      <c r="C2891" s="1040" t="s">
        <v>4452</v>
      </c>
      <c r="D2891" s="1736"/>
      <c r="E2891" s="1043">
        <v>9.9</v>
      </c>
      <c r="F2891" s="1043"/>
      <c r="G2891" s="1550"/>
    </row>
    <row r="2892" spans="1:7">
      <c r="A2892" s="1754">
        <v>41724</v>
      </c>
      <c r="B2892" s="125" t="str">
        <f>TiposLancamentos!B96</f>
        <v>Resg.Poup.</v>
      </c>
      <c r="C2892" s="1040" t="s">
        <v>6510</v>
      </c>
      <c r="D2892" s="1736">
        <v>10000</v>
      </c>
      <c r="E2892" s="1043"/>
      <c r="F2892" s="1043"/>
      <c r="G2892" s="1550"/>
    </row>
    <row r="2893" spans="1:7">
      <c r="A2893" s="1754">
        <v>41725</v>
      </c>
      <c r="B2893" s="125" t="str">
        <f>TiposLancamentos!B19</f>
        <v>Restaurantes</v>
      </c>
      <c r="C2893" s="1040" t="s">
        <v>4370</v>
      </c>
      <c r="D2893" s="1736"/>
      <c r="E2893" s="1043">
        <v>7</v>
      </c>
      <c r="F2893" s="1043"/>
      <c r="G2893" s="1550"/>
    </row>
    <row r="2894" spans="1:7">
      <c r="A2894" s="1754">
        <v>41725</v>
      </c>
      <c r="B2894" s="125" t="str">
        <f>TiposLancamentos!B19</f>
        <v>Restaurantes</v>
      </c>
      <c r="C2894" s="1040" t="s">
        <v>3618</v>
      </c>
      <c r="D2894" s="1736"/>
      <c r="E2894" s="1043">
        <v>36.4</v>
      </c>
      <c r="F2894" s="1043"/>
      <c r="G2894" s="1550"/>
    </row>
    <row r="2895" spans="1:7">
      <c r="A2895" s="1754">
        <v>41726</v>
      </c>
      <c r="B2895" s="125" t="str">
        <f>TiposLancamentos!B71</f>
        <v>Itens Pessoais</v>
      </c>
      <c r="C2895" s="1040" t="s">
        <v>6511</v>
      </c>
      <c r="D2895" s="1736"/>
      <c r="E2895" s="1043">
        <v>35</v>
      </c>
      <c r="F2895" s="1043"/>
      <c r="G2895" s="1550"/>
    </row>
    <row r="2896" spans="1:7">
      <c r="A2896" s="1754">
        <v>41726</v>
      </c>
      <c r="B2896" s="125" t="str">
        <f>TiposLancamentos!B24</f>
        <v>Estacionamentos</v>
      </c>
      <c r="C2896" s="1040" t="s">
        <v>6512</v>
      </c>
      <c r="D2896" s="1736"/>
      <c r="E2896" s="1043">
        <v>7</v>
      </c>
      <c r="F2896" s="1043"/>
      <c r="G2896" s="1550"/>
    </row>
    <row r="2897" spans="1:7">
      <c r="A2897" s="1754">
        <v>41727</v>
      </c>
      <c r="B2897" s="125" t="str">
        <f>TiposLancamentos!B5</f>
        <v>Supermercado</v>
      </c>
      <c r="C2897" s="1040" t="s">
        <v>5844</v>
      </c>
      <c r="D2897" s="1736"/>
      <c r="E2897" s="1043">
        <v>35.35</v>
      </c>
      <c r="F2897" s="1043"/>
      <c r="G2897" s="1550"/>
    </row>
    <row r="2898" spans="1:7">
      <c r="A2898" s="1754">
        <v>41727</v>
      </c>
      <c r="B2898" s="125" t="str">
        <f>TiposLancamentos!B19</f>
        <v>Restaurantes</v>
      </c>
      <c r="C2898" s="1040" t="s">
        <v>5999</v>
      </c>
      <c r="D2898" s="1736"/>
      <c r="E2898" s="1043">
        <v>50.5</v>
      </c>
      <c r="F2898" s="1043"/>
      <c r="G2898" s="1550"/>
    </row>
    <row r="2899" spans="1:7">
      <c r="A2899" s="1754">
        <v>41729</v>
      </c>
      <c r="B2899" s="125" t="str">
        <f>TiposLancamentos!B19</f>
        <v>Restaurantes</v>
      </c>
      <c r="C2899" s="1040" t="s">
        <v>6513</v>
      </c>
      <c r="D2899" s="1736"/>
      <c r="E2899" s="1043">
        <v>18.5</v>
      </c>
      <c r="F2899" s="1043"/>
      <c r="G2899" s="1550"/>
    </row>
    <row r="2900" spans="1:7">
      <c r="A2900" s="1754">
        <v>41729</v>
      </c>
      <c r="B2900" s="125" t="str">
        <f>TiposLancamentos!B19</f>
        <v>Restaurantes</v>
      </c>
      <c r="C2900" s="1040" t="s">
        <v>6514</v>
      </c>
      <c r="D2900" s="1736"/>
      <c r="E2900" s="1043">
        <v>3.5</v>
      </c>
      <c r="F2900" s="1043"/>
      <c r="G2900" s="1550"/>
    </row>
    <row r="2901" spans="1:7">
      <c r="A2901" s="1754">
        <v>41729</v>
      </c>
      <c r="B2901" s="125" t="str">
        <f>TiposLancamentos!B56</f>
        <v>Farmácia</v>
      </c>
      <c r="C2901" s="1040" t="s">
        <v>6515</v>
      </c>
      <c r="D2901" s="1736"/>
      <c r="E2901" s="1043">
        <v>85.58</v>
      </c>
      <c r="F2901" s="1043"/>
      <c r="G2901" s="1550"/>
    </row>
    <row r="2902" spans="1:7" ht="14.25" thickBot="1">
      <c r="A2902" s="1754">
        <v>41729</v>
      </c>
      <c r="B2902" s="125" t="str">
        <f>TiposLancamentos!B13</f>
        <v>Moradia</v>
      </c>
      <c r="C2902" s="1040" t="s">
        <v>6516</v>
      </c>
      <c r="D2902" s="1736"/>
      <c r="E2902" s="1043">
        <v>63.2</v>
      </c>
      <c r="F2902" s="1043"/>
      <c r="G2902" s="1550"/>
    </row>
    <row r="2903" spans="1:7">
      <c r="A2903" s="1834"/>
      <c r="B2903" s="977"/>
      <c r="C2903" s="1854" t="s">
        <v>6517</v>
      </c>
      <c r="D2903" s="1823"/>
      <c r="E2903" s="1821"/>
      <c r="F2903" s="1821"/>
      <c r="G2903" s="1895"/>
    </row>
    <row r="2904" spans="1:7">
      <c r="A2904" s="1754">
        <v>41730</v>
      </c>
      <c r="B2904" s="125" t="str">
        <f>TiposLancamentos!B15</f>
        <v>Cartões de Crédito</v>
      </c>
      <c r="C2904" s="1040" t="s">
        <v>6240</v>
      </c>
      <c r="D2904" s="1736"/>
      <c r="E2904" s="1043">
        <v>887.58</v>
      </c>
      <c r="F2904" s="1043"/>
      <c r="G2904" s="1550"/>
    </row>
    <row r="2905" spans="1:7">
      <c r="A2905" s="1754">
        <v>41730</v>
      </c>
      <c r="B2905" s="125" t="str">
        <f>TiposLancamentos!B15</f>
        <v>Cartões de Crédito</v>
      </c>
      <c r="C2905" s="1040" t="s">
        <v>5700</v>
      </c>
      <c r="D2905" s="1736"/>
      <c r="E2905" s="1043">
        <v>882.28</v>
      </c>
      <c r="F2905" s="1043"/>
      <c r="G2905" s="1550"/>
    </row>
    <row r="2906" spans="1:7">
      <c r="A2906" s="1754">
        <v>41730</v>
      </c>
      <c r="B2906" s="125" t="str">
        <f>TiposLancamentos!B6</f>
        <v>Energia Eletrica</v>
      </c>
      <c r="C2906" s="1040" t="s">
        <v>6518</v>
      </c>
      <c r="D2906" s="1736"/>
      <c r="E2906" s="1043">
        <v>131.84</v>
      </c>
      <c r="F2906" s="1043"/>
      <c r="G2906" s="1550"/>
    </row>
    <row r="2907" spans="1:7">
      <c r="A2907" s="1754">
        <v>41730</v>
      </c>
      <c r="B2907" s="125" t="str">
        <f>TiposLancamentos!B15</f>
        <v>Cartões de Crédito</v>
      </c>
      <c r="C2907" s="1040" t="s">
        <v>5924</v>
      </c>
      <c r="D2907" s="1736"/>
      <c r="E2907" s="1043">
        <v>15.92</v>
      </c>
      <c r="F2907" s="1043"/>
      <c r="G2907" s="1550"/>
    </row>
    <row r="2908" spans="1:7">
      <c r="A2908" s="1754">
        <v>41730</v>
      </c>
      <c r="B2908" s="125" t="str">
        <f>TiposLancamentos!B19</f>
        <v>Restaurantes</v>
      </c>
      <c r="C2908" s="1040" t="s">
        <v>6519</v>
      </c>
      <c r="D2908" s="1736"/>
      <c r="E2908" s="1043">
        <v>24.7</v>
      </c>
      <c r="F2908" s="1043"/>
      <c r="G2908" s="1550"/>
    </row>
    <row r="2909" spans="1:7">
      <c r="A2909" s="1754">
        <v>41730</v>
      </c>
      <c r="B2909" s="125" t="str">
        <f>TiposLancamentos!B5</f>
        <v>Supermercado</v>
      </c>
      <c r="C2909" s="1040" t="s">
        <v>5844</v>
      </c>
      <c r="D2909" s="1736"/>
      <c r="E2909" s="1043">
        <v>299.39999999999998</v>
      </c>
      <c r="F2909" s="1043"/>
      <c r="G2909" s="1550"/>
    </row>
    <row r="2910" spans="1:7">
      <c r="A2910" s="1754">
        <v>41730</v>
      </c>
      <c r="B2910" s="125" t="str">
        <f>TiposLancamentos!B4</f>
        <v>Taxas Bancarias</v>
      </c>
      <c r="C2910" s="1040" t="s">
        <v>6520</v>
      </c>
      <c r="D2910" s="1736"/>
      <c r="E2910" s="1043">
        <v>2.09</v>
      </c>
      <c r="F2910" s="1043"/>
      <c r="G2910" s="1550"/>
    </row>
    <row r="2911" spans="1:7">
      <c r="A2911" s="1754">
        <v>41731</v>
      </c>
      <c r="B2911" s="125" t="str">
        <f>TiposLancamentos!B5</f>
        <v>Supermercado</v>
      </c>
      <c r="C2911" s="1040" t="s">
        <v>6521</v>
      </c>
      <c r="D2911" s="1736"/>
      <c r="E2911" s="1043">
        <v>30.89</v>
      </c>
      <c r="F2911" s="1043"/>
      <c r="G2911" s="1550"/>
    </row>
    <row r="2912" spans="1:7">
      <c r="A2912" s="1754">
        <v>41732</v>
      </c>
      <c r="B2912" s="125" t="str">
        <f>TiposLancamentos!B50</f>
        <v>Guitarra</v>
      </c>
      <c r="C2912" s="1040" t="s">
        <v>6522</v>
      </c>
      <c r="D2912" s="1736"/>
      <c r="E2912" s="1043">
        <v>66</v>
      </c>
      <c r="F2912" s="1043"/>
      <c r="G2912" s="1550"/>
    </row>
    <row r="2913" spans="1:7">
      <c r="A2913" s="1754">
        <v>41732</v>
      </c>
      <c r="B2913" s="125" t="str">
        <f>TiposLancamentos!B56</f>
        <v>Farmácia</v>
      </c>
      <c r="C2913" s="1040" t="s">
        <v>6523</v>
      </c>
      <c r="D2913" s="1736"/>
      <c r="E2913" s="1043">
        <v>21.85</v>
      </c>
      <c r="F2913" s="1043"/>
      <c r="G2913" s="1550"/>
    </row>
    <row r="2914" spans="1:7">
      <c r="A2914" s="1754">
        <v>41732</v>
      </c>
      <c r="B2914" s="125" t="str">
        <f>TiposLancamentos!B19</f>
        <v>Restaurantes</v>
      </c>
      <c r="C2914" s="1040" t="s">
        <v>6524</v>
      </c>
      <c r="D2914" s="1736"/>
      <c r="E2914" s="1043">
        <v>108</v>
      </c>
      <c r="F2914" s="1043"/>
      <c r="G2914" s="1550"/>
    </row>
    <row r="2915" spans="1:7">
      <c r="A2915" s="1754">
        <v>41733</v>
      </c>
      <c r="B2915" s="125" t="str">
        <f>TiposLancamentos!B22</f>
        <v>Combustivel</v>
      </c>
      <c r="C2915" s="1040" t="s">
        <v>6412</v>
      </c>
      <c r="D2915" s="1736"/>
      <c r="E2915" s="1043">
        <v>100</v>
      </c>
      <c r="F2915" s="1043"/>
      <c r="G2915" s="1550"/>
    </row>
    <row r="2916" spans="1:7">
      <c r="A2916" s="1754">
        <v>41733</v>
      </c>
      <c r="B2916" s="125" t="str">
        <f>TiposLancamentos!B19</f>
        <v>Restaurantes</v>
      </c>
      <c r="C2916" s="1040" t="s">
        <v>3618</v>
      </c>
      <c r="D2916" s="1736"/>
      <c r="E2916" s="1043">
        <v>33.5</v>
      </c>
      <c r="F2916" s="1043"/>
      <c r="G2916" s="1550"/>
    </row>
    <row r="2917" spans="1:7">
      <c r="A2917" s="1754">
        <v>41734</v>
      </c>
      <c r="B2917" s="125" t="str">
        <f>TiposLancamentos!B19</f>
        <v>Restaurantes</v>
      </c>
      <c r="C2917" s="1040" t="s">
        <v>6525</v>
      </c>
      <c r="D2917" s="1736"/>
      <c r="E2917" s="1043">
        <v>14.4</v>
      </c>
      <c r="F2917" s="1043"/>
      <c r="G2917" s="1550"/>
    </row>
    <row r="2918" spans="1:7">
      <c r="A2918" s="1754">
        <v>41734</v>
      </c>
      <c r="B2918" s="125" t="str">
        <f>TiposLancamentos!B19</f>
        <v>Restaurantes</v>
      </c>
      <c r="C2918" s="1040" t="s">
        <v>6526</v>
      </c>
      <c r="D2918" s="1736"/>
      <c r="E2918" s="1043">
        <v>22.4</v>
      </c>
      <c r="F2918" s="1043"/>
      <c r="G2918" s="1550"/>
    </row>
    <row r="2919" spans="1:7">
      <c r="A2919" s="1666">
        <v>41735</v>
      </c>
      <c r="B2919" s="817" t="str">
        <f>TiposLancamentos!B22</f>
        <v>Combustivel</v>
      </c>
      <c r="C2919" s="1742" t="s">
        <v>6412</v>
      </c>
      <c r="D2919" s="1735"/>
      <c r="E2919" s="1733">
        <v>97.05</v>
      </c>
      <c r="F2919" s="1043"/>
      <c r="G2919" s="1550"/>
    </row>
    <row r="2920" spans="1:7">
      <c r="A2920" s="1750">
        <v>41735</v>
      </c>
      <c r="B2920" s="818" t="str">
        <f>TiposLancamentos!B18</f>
        <v>Alimentacao</v>
      </c>
      <c r="C2920" s="1743" t="s">
        <v>6527</v>
      </c>
      <c r="D2920" s="1737"/>
      <c r="E2920" s="1668">
        <v>2.5</v>
      </c>
      <c r="F2920" s="1043">
        <f>SUM(E2919:E2920)</f>
        <v>99.55</v>
      </c>
      <c r="G2920" s="1550"/>
    </row>
    <row r="2921" spans="1:7">
      <c r="A2921" s="1754">
        <v>41735</v>
      </c>
      <c r="B2921" s="125" t="str">
        <f>TiposLancamentos!B19</f>
        <v>Restaurantes</v>
      </c>
      <c r="C2921" s="1040" t="s">
        <v>6528</v>
      </c>
      <c r="D2921" s="1736"/>
      <c r="E2921" s="1043">
        <v>24.3</v>
      </c>
      <c r="F2921" s="1043"/>
      <c r="G2921" s="1550"/>
    </row>
    <row r="2922" spans="1:7">
      <c r="A2922" s="1754">
        <v>41735</v>
      </c>
      <c r="B2922" s="125" t="str">
        <f>TiposLancamentos!B19</f>
        <v>Restaurantes</v>
      </c>
      <c r="C2922" s="1040" t="s">
        <v>6529</v>
      </c>
      <c r="D2922" s="1736"/>
      <c r="E2922" s="1043">
        <v>46.5</v>
      </c>
      <c r="F2922" s="1043"/>
      <c r="G2922" s="1550"/>
    </row>
    <row r="2923" spans="1:7">
      <c r="A2923" s="1754">
        <v>41736</v>
      </c>
      <c r="B2923" s="125" t="str">
        <f>TiposLancamentos!B9</f>
        <v>Condominio</v>
      </c>
      <c r="C2923" s="1040" t="s">
        <v>1684</v>
      </c>
      <c r="D2923" s="1736"/>
      <c r="E2923" s="1043">
        <v>872.53</v>
      </c>
      <c r="F2923" s="1043"/>
      <c r="G2923" s="1550"/>
    </row>
    <row r="2924" spans="1:7">
      <c r="A2924" s="1754">
        <v>41736</v>
      </c>
      <c r="B2924" s="125" t="str">
        <f>TiposLancamentos!B2</f>
        <v>Telefonia</v>
      </c>
      <c r="C2924" s="1040" t="s">
        <v>6530</v>
      </c>
      <c r="D2924" s="1736"/>
      <c r="E2924" s="1043">
        <v>94.05</v>
      </c>
      <c r="F2924" s="1043"/>
      <c r="G2924" s="1550"/>
    </row>
    <row r="2925" spans="1:7">
      <c r="A2925" s="1754">
        <v>41736</v>
      </c>
      <c r="B2925" s="125" t="str">
        <f>TiposLancamentos!B70</f>
        <v>Vestuário</v>
      </c>
      <c r="C2925" s="1040" t="s">
        <v>6531</v>
      </c>
      <c r="D2925" s="1736"/>
      <c r="E2925" s="1043">
        <v>229</v>
      </c>
      <c r="F2925" s="1043"/>
      <c r="G2925" s="1550"/>
    </row>
    <row r="2926" spans="1:7">
      <c r="A2926" s="1754">
        <v>41736</v>
      </c>
      <c r="B2926" s="125" t="str">
        <f>TiposLancamentos!B71</f>
        <v>Itens Pessoais</v>
      </c>
      <c r="C2926" s="1040" t="s">
        <v>6532</v>
      </c>
      <c r="D2926" s="1736"/>
      <c r="E2926" s="1043">
        <v>44</v>
      </c>
      <c r="F2926" s="1043"/>
      <c r="G2926" s="1550"/>
    </row>
    <row r="2927" spans="1:7">
      <c r="A2927" s="1754">
        <v>41736</v>
      </c>
      <c r="B2927" s="125" t="str">
        <f>TiposLancamentos!B19</f>
        <v>Restaurantes</v>
      </c>
      <c r="C2927" s="1040" t="s">
        <v>6533</v>
      </c>
      <c r="D2927" s="1736"/>
      <c r="E2927" s="1043">
        <v>17.25</v>
      </c>
      <c r="F2927" s="1043"/>
      <c r="G2927" s="1550"/>
    </row>
    <row r="2928" spans="1:7">
      <c r="A2928" s="1754">
        <v>41736</v>
      </c>
      <c r="B2928" s="125" t="str">
        <f>TiposLancamentos!B20</f>
        <v>Saques</v>
      </c>
      <c r="C2928" s="1040" t="s">
        <v>3604</v>
      </c>
      <c r="D2928" s="1736"/>
      <c r="E2928" s="1043">
        <v>60</v>
      </c>
      <c r="F2928" s="1043"/>
      <c r="G2928" s="1550"/>
    </row>
    <row r="2929" spans="1:7">
      <c r="A2929" s="1754">
        <v>41736</v>
      </c>
      <c r="B2929" s="125" t="str">
        <f>TiposLancamentos!B5</f>
        <v>Supermercado</v>
      </c>
      <c r="C2929" s="1040" t="s">
        <v>3902</v>
      </c>
      <c r="D2929" s="1736"/>
      <c r="E2929" s="1043">
        <v>26.22</v>
      </c>
      <c r="F2929" s="1043"/>
      <c r="G2929" s="1550"/>
    </row>
    <row r="2930" spans="1:7">
      <c r="A2930" s="1754">
        <v>41737</v>
      </c>
      <c r="B2930" s="125" t="str">
        <f>TiposLancamentos!B24</f>
        <v>Estacionamentos</v>
      </c>
      <c r="C2930" s="1040" t="s">
        <v>6534</v>
      </c>
      <c r="D2930" s="1736"/>
      <c r="E2930" s="1043">
        <v>33</v>
      </c>
      <c r="F2930" s="1043"/>
      <c r="G2930" s="1550"/>
    </row>
    <row r="2931" spans="1:7">
      <c r="A2931" s="1754">
        <v>41737</v>
      </c>
      <c r="B2931" s="125" t="str">
        <f>TiposLancamentos!B5</f>
        <v>Supermercado</v>
      </c>
      <c r="C2931" s="1040" t="s">
        <v>5844</v>
      </c>
      <c r="D2931" s="1736"/>
      <c r="E2931" s="1043">
        <v>19.79</v>
      </c>
      <c r="F2931" s="1043"/>
      <c r="G2931" s="1550"/>
    </row>
    <row r="2932" spans="1:7">
      <c r="A2932" s="1754">
        <v>41737</v>
      </c>
      <c r="B2932" s="125" t="str">
        <f>TiposLancamentos!B13</f>
        <v>Moradia</v>
      </c>
      <c r="C2932" s="1040" t="s">
        <v>6535</v>
      </c>
      <c r="D2932" s="1736"/>
      <c r="E2932" s="1043">
        <v>60</v>
      </c>
      <c r="F2932" s="1043"/>
      <c r="G2932" s="1550"/>
    </row>
    <row r="2933" spans="1:7">
      <c r="A2933" s="1754">
        <v>41738</v>
      </c>
      <c r="B2933" s="125" t="str">
        <f>TiposLancamentos!B5</f>
        <v>Supermercado</v>
      </c>
      <c r="C2933" s="1040" t="s">
        <v>6234</v>
      </c>
      <c r="D2933" s="1736"/>
      <c r="E2933" s="1043">
        <v>37.25</v>
      </c>
      <c r="F2933" s="1043"/>
      <c r="G2933" s="1550"/>
    </row>
    <row r="2934" spans="1:7">
      <c r="A2934" s="1754">
        <v>41738</v>
      </c>
      <c r="B2934" s="125" t="str">
        <f>TiposLancamentos!B24</f>
        <v>Estacionamentos</v>
      </c>
      <c r="C2934" s="1040" t="s">
        <v>4370</v>
      </c>
      <c r="D2934" s="1736"/>
      <c r="E2934" s="1043">
        <v>7</v>
      </c>
      <c r="F2934" s="1043"/>
      <c r="G2934" s="1550"/>
    </row>
    <row r="2935" spans="1:7">
      <c r="A2935" s="1754">
        <v>41738</v>
      </c>
      <c r="B2935" s="125" t="str">
        <f>TiposLancamentos!B18</f>
        <v>Alimentacao</v>
      </c>
      <c r="C2935" s="1040" t="s">
        <v>4452</v>
      </c>
      <c r="D2935" s="1736"/>
      <c r="E2935" s="1043">
        <v>5.2</v>
      </c>
      <c r="F2935" s="1043"/>
      <c r="G2935" s="1550"/>
    </row>
    <row r="2936" spans="1:7">
      <c r="A2936" s="1666">
        <v>41739</v>
      </c>
      <c r="B2936" s="817" t="str">
        <f>TiposLancamentos!B35</f>
        <v>Tv à Cabo</v>
      </c>
      <c r="C2936" s="1742" t="s">
        <v>5834</v>
      </c>
      <c r="D2936" s="1735"/>
      <c r="E2936" s="1733">
        <v>120</v>
      </c>
      <c r="F2936" s="1043"/>
      <c r="G2936" s="1550"/>
    </row>
    <row r="2937" spans="1:7">
      <c r="A2937" s="1667">
        <v>41739</v>
      </c>
      <c r="B2937" s="816" t="str">
        <f>TiposLancamentos!B3</f>
        <v>Internet</v>
      </c>
      <c r="C2937" s="1769" t="s">
        <v>5835</v>
      </c>
      <c r="D2937" s="1736"/>
      <c r="E2937" s="1734">
        <v>59.9</v>
      </c>
      <c r="F2937" s="1043"/>
      <c r="G2937" s="1550"/>
    </row>
    <row r="2938" spans="1:7">
      <c r="A2938" s="1750">
        <v>41739</v>
      </c>
      <c r="B2938" s="818" t="str">
        <f>TiposLancamentos!B2</f>
        <v>Telefonia</v>
      </c>
      <c r="C2938" s="1743" t="s">
        <v>5836</v>
      </c>
      <c r="D2938" s="1737"/>
      <c r="E2938" s="1668">
        <v>0</v>
      </c>
      <c r="F2938" s="1043">
        <f>SUM(E2936:E2938)</f>
        <v>179.9</v>
      </c>
      <c r="G2938" s="1550"/>
    </row>
    <row r="2939" spans="1:7">
      <c r="A2939" s="1754">
        <v>41739</v>
      </c>
      <c r="B2939" s="125" t="str">
        <f>TiposLancamentos!B4</f>
        <v>Taxas Bancarias</v>
      </c>
      <c r="C2939" s="1040" t="s">
        <v>6457</v>
      </c>
      <c r="D2939" s="1736"/>
      <c r="E2939" s="1043">
        <v>4.33</v>
      </c>
      <c r="F2939" s="1043"/>
      <c r="G2939" s="1550"/>
    </row>
    <row r="2940" spans="1:7">
      <c r="A2940" s="1754">
        <v>41739</v>
      </c>
      <c r="B2940" s="125" t="str">
        <f>TiposLancamentos!B19</f>
        <v>Restaurantes</v>
      </c>
      <c r="C2940" s="1040" t="s">
        <v>6536</v>
      </c>
      <c r="D2940" s="1736"/>
      <c r="E2940" s="1043">
        <v>112.34</v>
      </c>
      <c r="F2940" s="1043"/>
      <c r="G2940" s="1550"/>
    </row>
    <row r="2941" spans="1:7">
      <c r="A2941" s="1666">
        <v>41739</v>
      </c>
      <c r="B2941" s="817" t="str">
        <f>TiposLancamentos!B8</f>
        <v>Aluguel</v>
      </c>
      <c r="C2941" s="1742" t="s">
        <v>6163</v>
      </c>
      <c r="D2941" s="1735"/>
      <c r="E2941" s="1733">
        <f>1400+4.8+1.5</f>
        <v>1406.3</v>
      </c>
      <c r="F2941" s="1043"/>
      <c r="G2941" s="1550"/>
    </row>
    <row r="2942" spans="1:7">
      <c r="A2942" s="1667">
        <v>41739</v>
      </c>
      <c r="B2942" s="816" t="str">
        <f>TiposLancamentos!B12</f>
        <v>IPTU</v>
      </c>
      <c r="C2942" s="1769" t="s">
        <v>6537</v>
      </c>
      <c r="D2942" s="1736"/>
      <c r="E2942" s="1734">
        <v>110.83</v>
      </c>
      <c r="F2942" s="1043"/>
      <c r="G2942" s="1550"/>
    </row>
    <row r="2943" spans="1:7">
      <c r="A2943" s="1750">
        <v>41739</v>
      </c>
      <c r="B2943" s="818" t="str">
        <f>TiposLancamentos!B34</f>
        <v>Seguros</v>
      </c>
      <c r="C2943" s="1743" t="s">
        <v>6198</v>
      </c>
      <c r="D2943" s="1737"/>
      <c r="E2943" s="1668">
        <v>240.91</v>
      </c>
      <c r="F2943" s="1043">
        <f>SUM(E2941:E2943)</f>
        <v>1758.04</v>
      </c>
      <c r="G2943" s="1550"/>
    </row>
    <row r="2944" spans="1:7">
      <c r="A2944" s="1754">
        <v>41740</v>
      </c>
      <c r="B2944" s="125" t="str">
        <f>TiposLancamentos!B73</f>
        <v>Cursos</v>
      </c>
      <c r="C2944" s="1040" t="s">
        <v>6538</v>
      </c>
      <c r="D2944" s="1736"/>
      <c r="E2944" s="1043">
        <v>640.16</v>
      </c>
      <c r="F2944" s="1043"/>
      <c r="G2944" s="1550"/>
    </row>
    <row r="2945" spans="1:7">
      <c r="A2945" s="1754">
        <v>41740</v>
      </c>
      <c r="B2945" s="125" t="str">
        <f>TiposLancamentos!B5</f>
        <v>Supermercado</v>
      </c>
      <c r="C2945" s="1040" t="s">
        <v>6495</v>
      </c>
      <c r="D2945" s="1736"/>
      <c r="E2945" s="1043">
        <v>25.55</v>
      </c>
      <c r="F2945" s="1043"/>
      <c r="G2945" s="1550"/>
    </row>
    <row r="2946" spans="1:7">
      <c r="A2946" s="1754">
        <v>41741</v>
      </c>
      <c r="B2946" s="125" t="str">
        <f>TiposLancamentos!B13</f>
        <v>Moradia</v>
      </c>
      <c r="C2946" s="1040" t="s">
        <v>6539</v>
      </c>
      <c r="D2946" s="1736"/>
      <c r="E2946" s="1043">
        <v>139</v>
      </c>
      <c r="F2946" s="1043"/>
      <c r="G2946" s="1550"/>
    </row>
    <row r="2947" spans="1:7">
      <c r="A2947" s="1754">
        <v>41741</v>
      </c>
      <c r="B2947" s="125" t="str">
        <f>TiposLancamentos!B57</f>
        <v>Informática</v>
      </c>
      <c r="C2947" s="1040" t="s">
        <v>6540</v>
      </c>
      <c r="D2947" s="1736"/>
      <c r="E2947" s="1043">
        <v>39.9</v>
      </c>
      <c r="F2947" s="1043"/>
      <c r="G2947" s="1550"/>
    </row>
    <row r="2948" spans="1:7">
      <c r="A2948" s="1754">
        <v>41741</v>
      </c>
      <c r="B2948" s="125" t="str">
        <f>TiposLancamentos!B56</f>
        <v>Farmácia</v>
      </c>
      <c r="C2948" s="1040" t="s">
        <v>6541</v>
      </c>
      <c r="D2948" s="1736"/>
      <c r="E2948" s="1043">
        <v>31.26</v>
      </c>
      <c r="F2948" s="1043"/>
      <c r="G2948" s="1550"/>
    </row>
    <row r="2949" spans="1:7">
      <c r="A2949" s="1754">
        <v>41741</v>
      </c>
      <c r="B2949" s="125" t="str">
        <f>TiposLancamentos!B19</f>
        <v>Restaurantes</v>
      </c>
      <c r="C2949" s="1040" t="s">
        <v>6542</v>
      </c>
      <c r="D2949" s="1736"/>
      <c r="E2949" s="1043">
        <v>64.900000000000006</v>
      </c>
      <c r="F2949" s="1043"/>
      <c r="G2949" s="1550"/>
    </row>
    <row r="2950" spans="1:7">
      <c r="A2950" s="1754">
        <v>41741</v>
      </c>
      <c r="B2950" s="125" t="str">
        <f>TiposLancamentos!B19</f>
        <v>Restaurantes</v>
      </c>
      <c r="C2950" s="1040" t="s">
        <v>6543</v>
      </c>
      <c r="D2950" s="1736"/>
      <c r="E2950" s="1043">
        <v>80.849999999999994</v>
      </c>
      <c r="F2950" s="1043"/>
      <c r="G2950" s="1550"/>
    </row>
    <row r="2951" spans="1:7">
      <c r="A2951" s="1754">
        <v>41742</v>
      </c>
      <c r="B2951" s="125" t="str">
        <f>TiposLancamentos!B5</f>
        <v>Supermercado</v>
      </c>
      <c r="C2951" s="1040" t="s">
        <v>5977</v>
      </c>
      <c r="D2951" s="1736"/>
      <c r="E2951" s="1043">
        <v>54.5</v>
      </c>
      <c r="F2951" s="1043"/>
      <c r="G2951" s="1550"/>
    </row>
    <row r="2952" spans="1:7">
      <c r="A2952" s="1754">
        <v>41743</v>
      </c>
      <c r="B2952" s="125" t="str">
        <f>TiposLancamentos!B16</f>
        <v>Cristiane</v>
      </c>
      <c r="C2952" s="1040" t="s">
        <v>6544</v>
      </c>
      <c r="D2952" s="1736"/>
      <c r="E2952" s="1043">
        <v>50.38</v>
      </c>
      <c r="F2952" s="1043"/>
      <c r="G2952" s="1550"/>
    </row>
    <row r="2953" spans="1:7">
      <c r="A2953" s="1666">
        <v>41744</v>
      </c>
      <c r="B2953" s="817" t="str">
        <f>TiposLancamentos!B33</f>
        <v>Pedágios</v>
      </c>
      <c r="C2953" s="1742" t="s">
        <v>5392</v>
      </c>
      <c r="D2953" s="1735"/>
      <c r="E2953" s="1733">
        <v>175.33</v>
      </c>
      <c r="F2953" s="1043"/>
      <c r="G2953" s="1550"/>
    </row>
    <row r="2954" spans="1:7">
      <c r="A2954" s="1667">
        <v>41744</v>
      </c>
      <c r="B2954" s="816" t="str">
        <f>TiposLancamentos!B24</f>
        <v>Estacionamentos</v>
      </c>
      <c r="C2954" s="1769" t="s">
        <v>5863</v>
      </c>
      <c r="D2954" s="1736"/>
      <c r="E2954" s="1734">
        <v>0</v>
      </c>
      <c r="F2954" s="1043"/>
      <c r="G2954" s="1550"/>
    </row>
    <row r="2955" spans="1:7">
      <c r="A2955" s="1750">
        <v>41744</v>
      </c>
      <c r="B2955" s="818" t="str">
        <f>TiposLancamentos!B24</f>
        <v>Estacionamentos</v>
      </c>
      <c r="C2955" s="1743" t="s">
        <v>6297</v>
      </c>
      <c r="D2955" s="1737"/>
      <c r="E2955" s="1668">
        <v>13</v>
      </c>
      <c r="F2955" s="1043">
        <f>SUM(E2953:E2955)</f>
        <v>188.33</v>
      </c>
      <c r="G2955" s="1550"/>
    </row>
    <row r="2956" spans="1:7">
      <c r="A2956" s="1754">
        <v>41745</v>
      </c>
      <c r="B2956" s="125" t="str">
        <f>TiposLancamentos!B28</f>
        <v>ComicBook</v>
      </c>
      <c r="C2956" s="1040" t="s">
        <v>6545</v>
      </c>
      <c r="D2956" s="1736"/>
      <c r="E2956" s="1043">
        <v>22.9</v>
      </c>
      <c r="F2956" s="1043"/>
      <c r="G2956" s="1550"/>
    </row>
    <row r="2957" spans="1:7">
      <c r="A2957" s="1754">
        <v>41745</v>
      </c>
      <c r="B2957" s="125" t="str">
        <f>TiposLancamentos!B5</f>
        <v>Supermercado</v>
      </c>
      <c r="C2957" s="1040" t="s">
        <v>6546</v>
      </c>
      <c r="D2957" s="1736"/>
      <c r="E2957" s="1043">
        <v>21.14</v>
      </c>
      <c r="F2957" s="1043"/>
      <c r="G2957" s="1550"/>
    </row>
    <row r="2958" spans="1:7">
      <c r="A2958" s="1754">
        <v>41745</v>
      </c>
      <c r="B2958" s="125" t="str">
        <f>TiposLancamentos!B19</f>
        <v>Restaurantes</v>
      </c>
      <c r="C2958" s="1040" t="s">
        <v>6547</v>
      </c>
      <c r="D2958" s="1736"/>
      <c r="E2958" s="1043">
        <v>10.199999999999999</v>
      </c>
      <c r="F2958" s="1043"/>
      <c r="G2958" s="1550"/>
    </row>
    <row r="2959" spans="1:7">
      <c r="A2959" s="1754">
        <v>41745</v>
      </c>
      <c r="B2959" s="125" t="str">
        <f>TiposLancamentos!B98</f>
        <v>Restituições</v>
      </c>
      <c r="C2959" s="1040" t="s">
        <v>6548</v>
      </c>
      <c r="D2959" s="1736">
        <v>362.96</v>
      </c>
      <c r="E2959" s="1043"/>
      <c r="F2959" s="1043"/>
      <c r="G2959" s="1550"/>
    </row>
    <row r="2960" spans="1:7">
      <c r="A2960" s="1754">
        <v>41746</v>
      </c>
      <c r="B2960" s="125" t="str">
        <f>TiposLancamentos!B5</f>
        <v>Supermercado</v>
      </c>
      <c r="C2960" s="1040" t="s">
        <v>6549</v>
      </c>
      <c r="D2960" s="1736"/>
      <c r="E2960" s="1043">
        <v>83.75</v>
      </c>
      <c r="F2960" s="1043"/>
      <c r="G2960" s="1550"/>
    </row>
    <row r="2961" spans="1:7">
      <c r="A2961" s="1754">
        <v>41746</v>
      </c>
      <c r="B2961" s="125" t="str">
        <f>TiposLancamentos!B87</f>
        <v>P207-1.6-XS</v>
      </c>
      <c r="C2961" s="1040" t="s">
        <v>6550</v>
      </c>
      <c r="D2961" s="1736"/>
      <c r="E2961" s="1043">
        <v>105.65</v>
      </c>
      <c r="F2961" s="1043"/>
      <c r="G2961" s="1550"/>
    </row>
    <row r="2962" spans="1:7">
      <c r="A2962" s="1754">
        <v>41736</v>
      </c>
      <c r="B2962" s="125" t="str">
        <f>TiposLancamentos!B32</f>
        <v>Clinicas e tratamentos</v>
      </c>
      <c r="C2962" s="1040" t="s">
        <v>6551</v>
      </c>
      <c r="D2962" s="1736"/>
      <c r="E2962" s="1043">
        <v>530</v>
      </c>
      <c r="F2962" s="1043"/>
      <c r="G2962" s="1550"/>
    </row>
    <row r="2963" spans="1:7">
      <c r="A2963" s="1754">
        <v>41748</v>
      </c>
      <c r="B2963" s="125" t="str">
        <f>TiposLancamentos!B19</f>
        <v>Restaurantes</v>
      </c>
      <c r="C2963" s="1040" t="s">
        <v>4465</v>
      </c>
      <c r="D2963" s="1736"/>
      <c r="E2963" s="1043">
        <v>61.05</v>
      </c>
      <c r="F2963" s="1043"/>
      <c r="G2963" s="1550"/>
    </row>
    <row r="2964" spans="1:7">
      <c r="A2964" s="1754">
        <v>41748</v>
      </c>
      <c r="B2964" s="125" t="str">
        <f>TiposLancamentos!B19</f>
        <v>Restaurantes</v>
      </c>
      <c r="C2964" s="1040" t="s">
        <v>5984</v>
      </c>
      <c r="D2964" s="1736"/>
      <c r="E2964" s="1043">
        <v>37.51</v>
      </c>
      <c r="F2964" s="1043"/>
      <c r="G2964" s="1550"/>
    </row>
    <row r="2965" spans="1:7">
      <c r="A2965" s="1754">
        <v>41748</v>
      </c>
      <c r="B2965" s="125" t="str">
        <f>TiposLancamentos!B19</f>
        <v>Restaurantes</v>
      </c>
      <c r="C2965" s="1040" t="s">
        <v>5999</v>
      </c>
      <c r="D2965" s="1736"/>
      <c r="E2965" s="1043">
        <v>36.5</v>
      </c>
      <c r="F2965" s="1043"/>
      <c r="G2965" s="1550"/>
    </row>
    <row r="2966" spans="1:7">
      <c r="A2966" s="1754">
        <v>41749</v>
      </c>
      <c r="B2966" s="125" t="str">
        <f>TiposLancamentos!B5</f>
        <v>Supermercado</v>
      </c>
      <c r="C2966" s="1040" t="s">
        <v>5844</v>
      </c>
      <c r="D2966" s="1736"/>
      <c r="E2966" s="1043">
        <v>80.930000000000007</v>
      </c>
      <c r="F2966" s="1043"/>
      <c r="G2966" s="1550"/>
    </row>
    <row r="2967" spans="1:7">
      <c r="A2967" s="1754">
        <v>41750</v>
      </c>
      <c r="B2967" s="125" t="str">
        <f>TiposLancamentos!B19</f>
        <v>Restaurantes</v>
      </c>
      <c r="C2967" s="1040" t="s">
        <v>6032</v>
      </c>
      <c r="D2967" s="1736"/>
      <c r="E2967" s="1043">
        <v>118.25</v>
      </c>
      <c r="F2967" s="1043"/>
      <c r="G2967" s="1550"/>
    </row>
    <row r="2968" spans="1:7">
      <c r="A2968" s="1754">
        <v>41751</v>
      </c>
      <c r="B2968" s="125" t="str">
        <f>TiposLancamentos!B88</f>
        <v>Ford Ecosport XLT</v>
      </c>
      <c r="C2968" s="1040" t="s">
        <v>6552</v>
      </c>
      <c r="D2968" s="1736"/>
      <c r="E2968" s="1043">
        <v>878.64</v>
      </c>
      <c r="F2968" s="1043"/>
      <c r="G2968" s="1550"/>
    </row>
    <row r="2969" spans="1:7">
      <c r="A2969" s="1754">
        <v>41751</v>
      </c>
      <c r="B2969" s="125" t="str">
        <f>TiposLancamentos!B19</f>
        <v>Restaurantes</v>
      </c>
      <c r="C2969" s="1040" t="s">
        <v>3618</v>
      </c>
      <c r="D2969" s="1736"/>
      <c r="E2969" s="1043">
        <v>51.49</v>
      </c>
      <c r="F2969" s="1043"/>
      <c r="G2969" s="1550"/>
    </row>
    <row r="2970" spans="1:7">
      <c r="A2970" s="1754">
        <v>41752</v>
      </c>
      <c r="B2970" s="125" t="str">
        <f>TiposLancamentos!B19</f>
        <v>Restaurantes</v>
      </c>
      <c r="C2970" s="1040" t="s">
        <v>4452</v>
      </c>
      <c r="D2970" s="1736"/>
      <c r="E2970" s="1043">
        <v>8</v>
      </c>
      <c r="F2970" s="1043"/>
      <c r="G2970" s="1550"/>
    </row>
    <row r="2971" spans="1:7">
      <c r="A2971" s="1754">
        <v>41755</v>
      </c>
      <c r="B2971" s="125" t="str">
        <f>TiposLancamentos!B34</f>
        <v>Seguros</v>
      </c>
      <c r="C2971" s="1040" t="s">
        <v>6445</v>
      </c>
      <c r="D2971" s="1736"/>
      <c r="E2971" s="1043">
        <v>65.239999999999995</v>
      </c>
      <c r="F2971" s="1043"/>
      <c r="G2971" s="1550"/>
    </row>
    <row r="2972" spans="1:7">
      <c r="A2972" s="1754">
        <v>41755</v>
      </c>
      <c r="B2972" s="125" t="str">
        <f>TiposLancamentos!B19</f>
        <v>Restaurantes</v>
      </c>
      <c r="C2972" s="1040" t="s">
        <v>6553</v>
      </c>
      <c r="D2972" s="1736"/>
      <c r="E2972" s="1043">
        <v>71.5</v>
      </c>
      <c r="F2972" s="1043"/>
      <c r="G2972" s="1550"/>
    </row>
    <row r="2973" spans="1:7">
      <c r="A2973" s="1754">
        <v>41756</v>
      </c>
      <c r="B2973" s="125" t="str">
        <f>TiposLancamentos!B5</f>
        <v>Supermercado</v>
      </c>
      <c r="C2973" s="1040" t="s">
        <v>6234</v>
      </c>
      <c r="D2973" s="1736"/>
      <c r="E2973" s="1043">
        <v>58.63</v>
      </c>
      <c r="F2973" s="1043"/>
      <c r="G2973" s="1550"/>
    </row>
    <row r="2974" spans="1:7">
      <c r="A2974" s="1754">
        <v>41757</v>
      </c>
      <c r="B2974" s="125" t="str">
        <f>TiposLancamentos!B96</f>
        <v>Resg.Poup.</v>
      </c>
      <c r="C2974" s="1040" t="s">
        <v>5701</v>
      </c>
      <c r="D2974" s="1736">
        <v>10000</v>
      </c>
      <c r="E2974" s="1043"/>
      <c r="F2974" s="1043"/>
      <c r="G2974" s="1550"/>
    </row>
    <row r="2975" spans="1:7">
      <c r="A2975" s="1754">
        <v>41757</v>
      </c>
      <c r="B2975" s="125" t="str">
        <f>TiposLancamentos!B5</f>
        <v>Supermercado</v>
      </c>
      <c r="C2975" s="1040" t="s">
        <v>6234</v>
      </c>
      <c r="D2975" s="1736"/>
      <c r="E2975" s="1043">
        <v>25.73</v>
      </c>
      <c r="F2975" s="1043"/>
      <c r="G2975" s="1550"/>
    </row>
    <row r="2976" spans="1:7">
      <c r="A2976" s="1754">
        <v>41758</v>
      </c>
      <c r="B2976" s="125" t="str">
        <f>TiposLancamentos!B5</f>
        <v>Supermercado</v>
      </c>
      <c r="C2976" s="1040" t="s">
        <v>6554</v>
      </c>
      <c r="D2976" s="1736"/>
      <c r="E2976" s="1043">
        <v>38.92</v>
      </c>
      <c r="F2976" s="1043"/>
      <c r="G2976" s="1550"/>
    </row>
    <row r="2977" spans="1:7">
      <c r="A2977" s="1754">
        <v>41758</v>
      </c>
      <c r="B2977" s="125" t="str">
        <f>TiposLancamentos!B22</f>
        <v>Combustivel</v>
      </c>
      <c r="C2977" s="1040" t="s">
        <v>6555</v>
      </c>
      <c r="D2977" s="1736"/>
      <c r="E2977" s="1043">
        <v>50</v>
      </c>
      <c r="F2977" s="1043"/>
      <c r="G2977" s="1550"/>
    </row>
    <row r="2978" spans="1:7" ht="14.25" thickBot="1">
      <c r="A2978" s="1754">
        <v>41759</v>
      </c>
      <c r="B2978" s="125" t="str">
        <f>TiposLancamentos!B19</f>
        <v>Restaurantes</v>
      </c>
      <c r="C2978" s="1040" t="s">
        <v>6556</v>
      </c>
      <c r="D2978" s="1736"/>
      <c r="E2978" s="1043">
        <v>51.31</v>
      </c>
      <c r="F2978" s="1043"/>
      <c r="G2978" s="1550"/>
    </row>
    <row r="2979" spans="1:7">
      <c r="A2979" s="1834"/>
      <c r="B2979" s="977"/>
      <c r="C2979" s="1854" t="s">
        <v>6557</v>
      </c>
      <c r="D2979" s="1823"/>
      <c r="E2979" s="1821"/>
      <c r="F2979" s="1821"/>
      <c r="G2979" s="1895"/>
    </row>
    <row r="2980" spans="1:7">
      <c r="A2980" s="1754">
        <v>41760</v>
      </c>
      <c r="B2980" s="125" t="str">
        <f>TiposLancamentos!B56</f>
        <v>Farmácia</v>
      </c>
      <c r="C2980" s="1040" t="s">
        <v>6558</v>
      </c>
      <c r="D2980" s="1736"/>
      <c r="E2980" s="1043">
        <v>44.24</v>
      </c>
      <c r="F2980" s="1043"/>
      <c r="G2980" s="1550"/>
    </row>
    <row r="2981" spans="1:7">
      <c r="A2981" s="1754">
        <v>41760</v>
      </c>
      <c r="B2981" s="125" t="str">
        <f>TiposLancamentos!B24</f>
        <v>Estacionamentos</v>
      </c>
      <c r="C2981" s="1040" t="s">
        <v>6559</v>
      </c>
      <c r="D2981" s="1736"/>
      <c r="E2981" s="1043">
        <v>18</v>
      </c>
      <c r="F2981" s="1043"/>
      <c r="G2981" s="1550"/>
    </row>
    <row r="2982" spans="1:7">
      <c r="A2982" s="1754">
        <v>41760</v>
      </c>
      <c r="B2982" s="125" t="str">
        <f>TiposLancamentos!B5</f>
        <v>Supermercado</v>
      </c>
      <c r="C2982" s="1040" t="s">
        <v>6201</v>
      </c>
      <c r="D2982" s="1736"/>
      <c r="E2982" s="1043">
        <v>33.18</v>
      </c>
      <c r="F2982" s="1043"/>
      <c r="G2982" s="1550"/>
    </row>
    <row r="2983" spans="1:7">
      <c r="A2983" s="1754">
        <v>41761</v>
      </c>
      <c r="B2983" s="125" t="str">
        <f>TiposLancamentos!B15</f>
        <v>Cartões de Crédito</v>
      </c>
      <c r="C2983" s="1040" t="s">
        <v>6560</v>
      </c>
      <c r="D2983" s="1736"/>
      <c r="E2983" s="1043">
        <v>1046.53</v>
      </c>
      <c r="F2983" s="1043"/>
      <c r="G2983" s="1550"/>
    </row>
    <row r="2984" spans="1:7">
      <c r="A2984" s="1754">
        <v>41761</v>
      </c>
      <c r="B2984" s="125" t="str">
        <f>TiposLancamentos!B15</f>
        <v>Cartões de Crédito</v>
      </c>
      <c r="C2984" s="1040" t="s">
        <v>5700</v>
      </c>
      <c r="D2984" s="1736"/>
      <c r="E2984" s="1043">
        <v>437.35</v>
      </c>
      <c r="F2984" s="1043"/>
      <c r="G2984" s="1550"/>
    </row>
    <row r="2985" spans="1:7">
      <c r="A2985" s="1754">
        <v>41761</v>
      </c>
      <c r="B2985" s="125" t="str">
        <f>TiposLancamentos!B15</f>
        <v>Cartões de Crédito</v>
      </c>
      <c r="C2985" s="1040" t="s">
        <v>6561</v>
      </c>
      <c r="D2985" s="1736"/>
      <c r="E2985" s="1043">
        <v>15.92</v>
      </c>
      <c r="F2985" s="1043"/>
      <c r="G2985" s="1550"/>
    </row>
    <row r="2986" spans="1:7">
      <c r="A2986" s="1754">
        <v>41761</v>
      </c>
      <c r="B2986" s="125" t="str">
        <f>TiposLancamentos!B6</f>
        <v>Energia Eletrica</v>
      </c>
      <c r="C2986" s="1040" t="s">
        <v>5191</v>
      </c>
      <c r="D2986" s="1736"/>
      <c r="E2986" s="1043">
        <v>151.76</v>
      </c>
      <c r="F2986" s="1043"/>
      <c r="G2986" s="1550"/>
    </row>
    <row r="2987" spans="1:7">
      <c r="A2987" s="1754">
        <v>41761</v>
      </c>
      <c r="B2987" s="125" t="str">
        <f>TiposLancamentos!B24</f>
        <v>Estacionamentos</v>
      </c>
      <c r="C2987" s="1040" t="s">
        <v>6562</v>
      </c>
      <c r="D2987" s="1736"/>
      <c r="E2987" s="1043">
        <v>24</v>
      </c>
      <c r="F2987" s="1043"/>
      <c r="G2987" s="1550"/>
    </row>
    <row r="2988" spans="1:7">
      <c r="A2988" s="1754">
        <v>41761</v>
      </c>
      <c r="B2988" s="125" t="str">
        <f>TiposLancamentos!B19</f>
        <v>Restaurantes</v>
      </c>
      <c r="C2988" s="1040" t="s">
        <v>6563</v>
      </c>
      <c r="D2988" s="1736"/>
      <c r="E2988" s="1043">
        <v>76.89</v>
      </c>
      <c r="F2988" s="1043"/>
      <c r="G2988" s="1550"/>
    </row>
    <row r="2989" spans="1:7">
      <c r="A2989" s="1754">
        <v>41761</v>
      </c>
      <c r="B2989" s="125" t="str">
        <f>TiposLancamentos!B4</f>
        <v>Taxas Bancarias</v>
      </c>
      <c r="C2989" s="1040" t="s">
        <v>4858</v>
      </c>
      <c r="D2989" s="1736"/>
      <c r="E2989" s="1043">
        <v>1.07</v>
      </c>
      <c r="F2989" s="1043"/>
      <c r="G2989" s="1550"/>
    </row>
    <row r="2990" spans="1:7">
      <c r="A2990" s="1754">
        <v>41762</v>
      </c>
      <c r="B2990" s="125" t="str">
        <f>TiposLancamentos!B19</f>
        <v>Restaurantes</v>
      </c>
      <c r="C2990" s="1040" t="s">
        <v>6564</v>
      </c>
      <c r="D2990" s="1736"/>
      <c r="E2990" s="1043">
        <v>107.03</v>
      </c>
      <c r="F2990" s="1043"/>
      <c r="G2990" s="1550"/>
    </row>
    <row r="2991" spans="1:7">
      <c r="A2991" s="1754">
        <v>41762</v>
      </c>
      <c r="B2991" s="125" t="str">
        <f>TiposLancamentos!B56</f>
        <v>Farmácia</v>
      </c>
      <c r="C2991" s="1040" t="s">
        <v>6118</v>
      </c>
      <c r="D2991" s="1736"/>
      <c r="E2991" s="1043">
        <v>61.95</v>
      </c>
      <c r="F2991" s="1043"/>
      <c r="G2991" s="1550"/>
    </row>
    <row r="2992" spans="1:7">
      <c r="A2992" s="1754">
        <v>41763</v>
      </c>
      <c r="B2992" s="125" t="str">
        <f>TiposLancamentos!B5</f>
        <v>Supermercado</v>
      </c>
      <c r="C2992" s="1040" t="s">
        <v>5844</v>
      </c>
      <c r="D2992" s="1736"/>
      <c r="E2992" s="1043">
        <v>38.770000000000003</v>
      </c>
      <c r="F2992" s="1043"/>
      <c r="G2992" s="1550"/>
    </row>
    <row r="2993" spans="1:7">
      <c r="A2993" s="1754">
        <v>41763</v>
      </c>
      <c r="B2993" s="125" t="str">
        <f>TiposLancamentos!B5</f>
        <v>Supermercado</v>
      </c>
      <c r="C2993" s="1040" t="s">
        <v>6565</v>
      </c>
      <c r="D2993" s="1736"/>
      <c r="E2993" s="1043">
        <v>50.71</v>
      </c>
      <c r="F2993" s="1043"/>
      <c r="G2993" s="1550"/>
    </row>
    <row r="2994" spans="1:7">
      <c r="A2994" s="1754">
        <v>41764</v>
      </c>
      <c r="B2994" s="125" t="str">
        <f>TiposLancamentos!B73</f>
        <v>Cursos</v>
      </c>
      <c r="C2994" s="1040" t="s">
        <v>6566</v>
      </c>
      <c r="D2994" s="1736"/>
      <c r="E2994" s="1043">
        <v>792</v>
      </c>
      <c r="F2994" s="1043"/>
      <c r="G2994" s="1550"/>
    </row>
    <row r="2995" spans="1:7">
      <c r="A2995" s="1754">
        <v>41764</v>
      </c>
      <c r="B2995" s="125" t="str">
        <f>TiposLancamentos!B5</f>
        <v>Supermercado</v>
      </c>
      <c r="C2995" s="1040" t="s">
        <v>6567</v>
      </c>
      <c r="D2995" s="1736"/>
      <c r="E2995" s="1043">
        <v>21.24</v>
      </c>
      <c r="F2995" s="1043"/>
      <c r="G2995" s="1550"/>
    </row>
    <row r="2996" spans="1:7">
      <c r="A2996" s="1754">
        <v>41764</v>
      </c>
      <c r="B2996" s="125" t="str">
        <f>TiposLancamentos!B17</f>
        <v>GATO</v>
      </c>
      <c r="C2996" s="1040" t="s">
        <v>6568</v>
      </c>
      <c r="D2996" s="1736"/>
      <c r="E2996" s="1043">
        <v>158.69999999999999</v>
      </c>
      <c r="F2996" s="1043"/>
      <c r="G2996" s="1550"/>
    </row>
    <row r="2997" spans="1:7">
      <c r="A2997" s="1754">
        <v>41765</v>
      </c>
      <c r="B2997" s="125" t="str">
        <f>TiposLancamentos!B9</f>
        <v>Condominio</v>
      </c>
      <c r="C2997" s="1040" t="s">
        <v>6569</v>
      </c>
      <c r="D2997" s="1736"/>
      <c r="E2997" s="1043">
        <v>868.93</v>
      </c>
      <c r="F2997" s="1043"/>
      <c r="G2997" s="1550"/>
    </row>
    <row r="2998" spans="1:7">
      <c r="A2998" s="1754">
        <v>41765</v>
      </c>
      <c r="B2998" s="125" t="str">
        <f>TiposLancamentos!B5</f>
        <v>Supermercado</v>
      </c>
      <c r="C2998" s="1040" t="s">
        <v>6234</v>
      </c>
      <c r="D2998" s="1736"/>
      <c r="E2998" s="1043">
        <v>128.77000000000001</v>
      </c>
      <c r="F2998" s="1043"/>
      <c r="G2998" s="1550"/>
    </row>
    <row r="2999" spans="1:7">
      <c r="A2999" s="1754">
        <v>41766</v>
      </c>
      <c r="B2999" s="125" t="str">
        <f>TiposLancamentos!B73</f>
        <v>Cursos</v>
      </c>
      <c r="C2999" s="1040" t="s">
        <v>6570</v>
      </c>
      <c r="D2999" s="1736"/>
      <c r="E2999" s="1043">
        <v>640.16</v>
      </c>
      <c r="F2999" s="1043"/>
      <c r="G2999" s="1550"/>
    </row>
    <row r="3000" spans="1:7">
      <c r="A3000" s="1754">
        <v>41766</v>
      </c>
      <c r="B3000" s="125" t="str">
        <f>TiposLancamentos!B2</f>
        <v>Telefonia</v>
      </c>
      <c r="C3000" s="1040" t="s">
        <v>6571</v>
      </c>
      <c r="D3000" s="1736"/>
      <c r="E3000" s="1043">
        <v>127.86</v>
      </c>
      <c r="F3000" s="1043"/>
      <c r="G3000" s="1550"/>
    </row>
    <row r="3001" spans="1:7">
      <c r="A3001" s="1754">
        <v>41766</v>
      </c>
      <c r="B3001" s="125" t="str">
        <f>TiposLancamentos!B52</f>
        <v>Multas</v>
      </c>
      <c r="C3001" s="1040" t="s">
        <v>6572</v>
      </c>
      <c r="D3001" s="1736"/>
      <c r="E3001" s="1043">
        <v>68.11</v>
      </c>
      <c r="F3001" s="1043"/>
      <c r="G3001" s="1550"/>
    </row>
    <row r="3002" spans="1:7">
      <c r="A3002" s="1754">
        <v>41766</v>
      </c>
      <c r="B3002" s="125" t="str">
        <f>TiposLancamentos!B5</f>
        <v>Supermercado</v>
      </c>
      <c r="C3002" s="1040" t="s">
        <v>6234</v>
      </c>
      <c r="D3002" s="1736"/>
      <c r="E3002" s="1043">
        <v>31.02</v>
      </c>
      <c r="F3002" s="1043"/>
      <c r="G3002" s="1550"/>
    </row>
    <row r="3003" spans="1:7">
      <c r="A3003" s="1754">
        <v>41767</v>
      </c>
      <c r="B3003" s="125" t="str">
        <f>TiposLancamentos!B19</f>
        <v>Restaurantes</v>
      </c>
      <c r="C3003" s="1040" t="s">
        <v>6230</v>
      </c>
      <c r="D3003" s="1736"/>
      <c r="E3003" s="1043">
        <v>63.55</v>
      </c>
      <c r="F3003" s="1043"/>
      <c r="G3003" s="1550"/>
    </row>
    <row r="3004" spans="1:7">
      <c r="A3004" s="1754">
        <v>41767</v>
      </c>
      <c r="B3004" s="125" t="str">
        <f>TiposLancamentos!B56</f>
        <v>Farmácia</v>
      </c>
      <c r="C3004" s="1040" t="s">
        <v>6052</v>
      </c>
      <c r="D3004" s="1736"/>
      <c r="E3004" s="1043">
        <v>76.23</v>
      </c>
      <c r="F3004" s="1043"/>
      <c r="G3004" s="1550"/>
    </row>
    <row r="3005" spans="1:7">
      <c r="A3005" s="1754">
        <v>41768</v>
      </c>
      <c r="B3005" s="125" t="str">
        <f>TiposLancamentos!B5</f>
        <v>Supermercado</v>
      </c>
      <c r="C3005" s="1040" t="s">
        <v>6234</v>
      </c>
      <c r="D3005" s="1736"/>
      <c r="E3005" s="1043">
        <v>128.80000000000001</v>
      </c>
      <c r="F3005" s="1043"/>
      <c r="G3005" s="1550"/>
    </row>
    <row r="3006" spans="1:7">
      <c r="A3006" s="1754">
        <v>41769</v>
      </c>
      <c r="B3006" s="125" t="str">
        <f>TiposLancamentos!B22</f>
        <v>Combustivel</v>
      </c>
      <c r="C3006" s="1040" t="s">
        <v>6573</v>
      </c>
      <c r="D3006" s="1736"/>
      <c r="E3006" s="1043">
        <v>50</v>
      </c>
      <c r="F3006" s="1043"/>
      <c r="G3006" s="1550"/>
    </row>
    <row r="3007" spans="1:7">
      <c r="A3007" s="1754">
        <v>41769</v>
      </c>
      <c r="B3007" s="125" t="str">
        <f>TiposLancamentos!B19</f>
        <v>Restaurantes</v>
      </c>
      <c r="C3007" s="1040" t="s">
        <v>6536</v>
      </c>
      <c r="D3007" s="1736"/>
      <c r="E3007" s="1043">
        <v>111.32</v>
      </c>
      <c r="F3007" s="1043"/>
      <c r="G3007" s="1550"/>
    </row>
    <row r="3008" spans="1:7">
      <c r="A3008" s="1754">
        <v>41771</v>
      </c>
      <c r="B3008" s="125" t="str">
        <f>TiposLancamentos!B5</f>
        <v>Supermercado</v>
      </c>
      <c r="C3008" s="1040" t="s">
        <v>2567</v>
      </c>
      <c r="D3008" s="1736"/>
      <c r="E3008" s="1043">
        <v>53.41</v>
      </c>
      <c r="F3008" s="1043"/>
      <c r="G3008" s="1550"/>
    </row>
    <row r="3009" spans="1:7">
      <c r="A3009" s="1754">
        <v>41771</v>
      </c>
      <c r="B3009" s="125" t="str">
        <f>TiposLancamentos!B19</f>
        <v>Restaurantes</v>
      </c>
      <c r="C3009" s="1040" t="s">
        <v>3618</v>
      </c>
      <c r="D3009" s="1736"/>
      <c r="E3009" s="1043">
        <v>42.5</v>
      </c>
      <c r="F3009" s="1043"/>
      <c r="G3009" s="1550"/>
    </row>
    <row r="3010" spans="1:7">
      <c r="A3010" s="1666">
        <v>41771</v>
      </c>
      <c r="B3010" s="817" t="str">
        <f>TiposLancamentos!B35</f>
        <v>Tv à Cabo</v>
      </c>
      <c r="C3010" s="1742" t="s">
        <v>5834</v>
      </c>
      <c r="D3010" s="1735"/>
      <c r="E3010" s="1733">
        <v>120</v>
      </c>
      <c r="F3010" s="1043"/>
      <c r="G3010" s="1550"/>
    </row>
    <row r="3011" spans="1:7">
      <c r="A3011" s="1667">
        <v>41771</v>
      </c>
      <c r="B3011" s="816" t="str">
        <f>TiposLancamentos!B3</f>
        <v>Internet</v>
      </c>
      <c r="C3011" s="1769" t="s">
        <v>5835</v>
      </c>
      <c r="D3011" s="1736"/>
      <c r="E3011" s="1734">
        <v>59.9</v>
      </c>
      <c r="F3011" s="1043"/>
      <c r="G3011" s="1550"/>
    </row>
    <row r="3012" spans="1:7">
      <c r="A3012" s="1750">
        <v>41771</v>
      </c>
      <c r="B3012" s="818" t="str">
        <f>TiposLancamentos!B2</f>
        <v>Telefonia</v>
      </c>
      <c r="C3012" s="1743" t="s">
        <v>5836</v>
      </c>
      <c r="D3012" s="1737"/>
      <c r="E3012" s="1668">
        <v>0.16</v>
      </c>
      <c r="F3012" s="1043">
        <f>SUM(E3010:E3012)</f>
        <v>180.06</v>
      </c>
      <c r="G3012" s="1550"/>
    </row>
    <row r="3013" spans="1:7">
      <c r="A3013" s="1754">
        <v>41771</v>
      </c>
      <c r="B3013" s="125" t="str">
        <f>TiposLancamentos!B20</f>
        <v>Saques</v>
      </c>
      <c r="C3013" s="1040" t="s">
        <v>3604</v>
      </c>
      <c r="D3013" s="1736"/>
      <c r="E3013" s="1043">
        <v>80</v>
      </c>
      <c r="F3013" s="1043"/>
      <c r="G3013" s="1550"/>
    </row>
    <row r="3014" spans="1:7">
      <c r="A3014" s="1754">
        <v>41771</v>
      </c>
      <c r="B3014" s="125" t="str">
        <f>TiposLancamentos!B4</f>
        <v>Taxas Bancarias</v>
      </c>
      <c r="C3014" s="1040" t="s">
        <v>6574</v>
      </c>
      <c r="D3014" s="1736"/>
      <c r="E3014" s="1043">
        <v>5.0999999999999996</v>
      </c>
      <c r="F3014" s="1043"/>
      <c r="G3014" s="1550"/>
    </row>
    <row r="3015" spans="1:7">
      <c r="A3015" s="1666">
        <v>41771</v>
      </c>
      <c r="B3015" s="817" t="str">
        <f>TiposLancamentos!B8</f>
        <v>Aluguel</v>
      </c>
      <c r="C3015" s="1742" t="s">
        <v>6163</v>
      </c>
      <c r="D3015" s="1735"/>
      <c r="E3015" s="1733">
        <f>F3017-E3016-E3017</f>
        <v>1407.1299999999999</v>
      </c>
      <c r="F3015" s="1043"/>
      <c r="G3015" s="1550"/>
    </row>
    <row r="3016" spans="1:7">
      <c r="A3016" s="1667">
        <v>41771</v>
      </c>
      <c r="B3016" s="816" t="str">
        <f>TiposLancamentos!B12</f>
        <v>IPTU</v>
      </c>
      <c r="C3016" s="1769" t="s">
        <v>6575</v>
      </c>
      <c r="D3016" s="1736"/>
      <c r="E3016" s="1734">
        <v>110</v>
      </c>
      <c r="F3016" s="1043"/>
      <c r="G3016" s="1550"/>
    </row>
    <row r="3017" spans="1:7">
      <c r="A3017" s="1750">
        <v>41771</v>
      </c>
      <c r="B3017" s="818" t="str">
        <f>TiposLancamentos!B34</f>
        <v>Seguros</v>
      </c>
      <c r="C3017" s="1743" t="s">
        <v>6252</v>
      </c>
      <c r="D3017" s="1737"/>
      <c r="E3017" s="1668">
        <v>240.91</v>
      </c>
      <c r="F3017" s="1043">
        <v>1758.04</v>
      </c>
      <c r="G3017" s="1550"/>
    </row>
    <row r="3018" spans="1:7">
      <c r="A3018" s="1754">
        <v>41772</v>
      </c>
      <c r="B3018" s="125" t="str">
        <f>TiposLancamentos!B19</f>
        <v>Restaurantes</v>
      </c>
      <c r="C3018" s="1040" t="s">
        <v>6576</v>
      </c>
      <c r="D3018" s="1736"/>
      <c r="E3018" s="1043">
        <v>125.44</v>
      </c>
      <c r="F3018" s="1043"/>
      <c r="G3018" s="1550"/>
    </row>
    <row r="3019" spans="1:7">
      <c r="A3019" s="1754">
        <v>41773</v>
      </c>
      <c r="B3019" s="125" t="str">
        <f>TiposLancamentos!B19</f>
        <v>Restaurantes</v>
      </c>
      <c r="C3019" s="1040" t="s">
        <v>6565</v>
      </c>
      <c r="D3019" s="1736"/>
      <c r="E3019" s="1043">
        <v>21.65</v>
      </c>
      <c r="F3019" s="1043"/>
      <c r="G3019" s="1550"/>
    </row>
    <row r="3020" spans="1:7">
      <c r="A3020" s="1754">
        <v>41774</v>
      </c>
      <c r="B3020" s="125" t="str">
        <f>TiposLancamentos!B20</f>
        <v>Saques</v>
      </c>
      <c r="C3020" s="1040" t="s">
        <v>3604</v>
      </c>
      <c r="D3020" s="1736"/>
      <c r="E3020" s="1043">
        <v>100</v>
      </c>
      <c r="F3020" s="1043"/>
      <c r="G3020" s="1550"/>
    </row>
    <row r="3021" spans="1:7">
      <c r="A3021" s="1666">
        <v>41774</v>
      </c>
      <c r="B3021" s="817" t="str">
        <f>TiposLancamentos!B33</f>
        <v>Pedágios</v>
      </c>
      <c r="C3021" s="1742" t="s">
        <v>5392</v>
      </c>
      <c r="D3021" s="1735"/>
      <c r="E3021" s="1733">
        <f>62.03-E3022-E3023</f>
        <v>43.03</v>
      </c>
      <c r="F3021" s="1043"/>
      <c r="G3021" s="1550"/>
    </row>
    <row r="3022" spans="1:7">
      <c r="A3022" s="1667">
        <v>41774</v>
      </c>
      <c r="B3022" s="816" t="str">
        <f>TiposLancamentos!B24</f>
        <v>Estacionamentos</v>
      </c>
      <c r="C3022" s="1769" t="s">
        <v>5863</v>
      </c>
      <c r="D3022" s="1736"/>
      <c r="E3022" s="1734">
        <v>13</v>
      </c>
      <c r="F3022" s="1043"/>
      <c r="G3022" s="1550"/>
    </row>
    <row r="3023" spans="1:7">
      <c r="A3023" s="1750">
        <v>41774</v>
      </c>
      <c r="B3023" s="818" t="str">
        <f>TiposLancamentos!B24</f>
        <v>Estacionamentos</v>
      </c>
      <c r="C3023" s="1743" t="s">
        <v>6297</v>
      </c>
      <c r="D3023" s="1737"/>
      <c r="E3023" s="1668">
        <v>6</v>
      </c>
      <c r="F3023" s="1043">
        <f>SUM(E3021:E3023)</f>
        <v>62.03</v>
      </c>
      <c r="G3023" s="1550"/>
    </row>
    <row r="3024" spans="1:7">
      <c r="A3024" s="1754">
        <v>41774</v>
      </c>
      <c r="B3024" s="125" t="str">
        <f>TiposLancamentos!B5</f>
        <v>Supermercado</v>
      </c>
      <c r="C3024" s="1040" t="s">
        <v>5844</v>
      </c>
      <c r="D3024" s="1736"/>
      <c r="E3024" s="1043">
        <v>50.13</v>
      </c>
      <c r="F3024" s="1043"/>
      <c r="G3024" s="1550"/>
    </row>
    <row r="3025" spans="1:7">
      <c r="A3025" s="1754">
        <v>41774</v>
      </c>
      <c r="B3025" s="125" t="str">
        <f>TiposLancamentos!B16</f>
        <v>Cristiane</v>
      </c>
      <c r="C3025" s="1040" t="s">
        <v>2822</v>
      </c>
      <c r="D3025" s="1736"/>
      <c r="E3025" s="1043">
        <v>38.299999999999997</v>
      </c>
      <c r="F3025" s="1043"/>
      <c r="G3025" s="1550"/>
    </row>
    <row r="3026" spans="1:7">
      <c r="A3026" s="1754">
        <v>41775</v>
      </c>
      <c r="B3026" s="125" t="str">
        <f>TiposLancamentos!B5</f>
        <v>Supermercado</v>
      </c>
      <c r="C3026" s="1040" t="s">
        <v>6234</v>
      </c>
      <c r="D3026" s="1736"/>
      <c r="E3026" s="1043">
        <v>77.12</v>
      </c>
      <c r="F3026" s="1043"/>
      <c r="G3026" s="1550"/>
    </row>
    <row r="3027" spans="1:7">
      <c r="A3027" s="1754">
        <v>41775</v>
      </c>
      <c r="B3027" s="125" t="str">
        <f>TiposLancamentos!B87</f>
        <v>P207-1.6-XS</v>
      </c>
      <c r="C3027" s="1040" t="s">
        <v>6577</v>
      </c>
      <c r="D3027" s="1736"/>
      <c r="E3027" s="1043">
        <v>2794.06</v>
      </c>
      <c r="F3027" s="1043"/>
      <c r="G3027" s="1550"/>
    </row>
    <row r="3028" spans="1:7">
      <c r="A3028" s="1754">
        <v>41775</v>
      </c>
      <c r="B3028" s="125" t="str">
        <f>TiposLancamentos!B96</f>
        <v>Resg.Poup.</v>
      </c>
      <c r="C3028" s="1040" t="s">
        <v>6578</v>
      </c>
      <c r="D3028" s="1736">
        <v>2800</v>
      </c>
      <c r="E3028" s="1043"/>
      <c r="F3028" s="1043"/>
      <c r="G3028" s="1550"/>
    </row>
    <row r="3029" spans="1:7">
      <c r="A3029" s="1754">
        <v>41775</v>
      </c>
      <c r="B3029" s="125" t="str">
        <f>TiposLancamentos!B19</f>
        <v>Restaurantes</v>
      </c>
      <c r="C3029" s="1040" t="s">
        <v>5999</v>
      </c>
      <c r="D3029" s="1736"/>
      <c r="E3029" s="1043">
        <v>50.5</v>
      </c>
      <c r="F3029" s="1043"/>
      <c r="G3029" s="1550"/>
    </row>
    <row r="3030" spans="1:7">
      <c r="A3030" s="1754">
        <v>41777</v>
      </c>
      <c r="B3030" s="125" t="str">
        <f>TiposLancamentos!B19</f>
        <v>Restaurantes</v>
      </c>
      <c r="C3030" s="1040" t="s">
        <v>6579</v>
      </c>
      <c r="D3030" s="1736"/>
      <c r="E3030" s="1043">
        <v>130.79</v>
      </c>
      <c r="F3030" s="1043"/>
      <c r="G3030" s="1550"/>
    </row>
    <row r="3031" spans="1:7">
      <c r="A3031" s="1754">
        <v>41777</v>
      </c>
      <c r="B3031" s="125" t="str">
        <f>TiposLancamentos!B19</f>
        <v>Restaurantes</v>
      </c>
      <c r="C3031" s="1040" t="s">
        <v>6580</v>
      </c>
      <c r="D3031" s="1736"/>
      <c r="E3031" s="1043">
        <v>41.48</v>
      </c>
      <c r="F3031" s="1043"/>
      <c r="G3031" s="1550"/>
    </row>
    <row r="3032" spans="1:7">
      <c r="A3032" s="1754">
        <v>41778</v>
      </c>
      <c r="B3032" s="125" t="str">
        <f>TiposLancamentos!B5</f>
        <v>Supermercado</v>
      </c>
      <c r="C3032" s="1040" t="s">
        <v>6581</v>
      </c>
      <c r="D3032" s="1736"/>
      <c r="E3032" s="1043">
        <v>100.8</v>
      </c>
      <c r="F3032" s="1043"/>
      <c r="G3032" s="1550"/>
    </row>
    <row r="3033" spans="1:7">
      <c r="A3033" s="1754">
        <v>41778</v>
      </c>
      <c r="B3033" s="125" t="str">
        <f>TiposLancamentos!B22</f>
        <v>Combustivel</v>
      </c>
      <c r="C3033" s="1040" t="s">
        <v>6398</v>
      </c>
      <c r="D3033" s="1736"/>
      <c r="E3033" s="1043">
        <v>60.02</v>
      </c>
      <c r="F3033" s="1043"/>
      <c r="G3033" s="1550"/>
    </row>
    <row r="3034" spans="1:7">
      <c r="A3034" s="1754">
        <v>41778</v>
      </c>
      <c r="B3034" s="125" t="str">
        <f>TiposLancamentos!B20</f>
        <v>Saques</v>
      </c>
      <c r="C3034" s="1040" t="s">
        <v>3604</v>
      </c>
      <c r="D3034" s="1736"/>
      <c r="E3034" s="1043">
        <v>240</v>
      </c>
      <c r="F3034" s="1043"/>
      <c r="G3034" s="1550"/>
    </row>
    <row r="3035" spans="1:7">
      <c r="A3035" s="1754">
        <v>41778</v>
      </c>
      <c r="B3035" s="125" t="str">
        <f>TiposLancamentos!B87</f>
        <v>P207-1.6-XS</v>
      </c>
      <c r="C3035" s="1040" t="s">
        <v>6582</v>
      </c>
      <c r="D3035" s="1736"/>
      <c r="E3035" s="1043">
        <v>79.48</v>
      </c>
      <c r="F3035" s="1043"/>
      <c r="G3035" s="1550"/>
    </row>
    <row r="3036" spans="1:7">
      <c r="A3036" s="1754">
        <v>41780</v>
      </c>
      <c r="B3036" s="125" t="str">
        <f>TiposLancamentos!B5</f>
        <v>Supermercado</v>
      </c>
      <c r="C3036" s="1040" t="s">
        <v>6583</v>
      </c>
      <c r="D3036" s="1736"/>
      <c r="E3036" s="1043">
        <v>35.049999999999997</v>
      </c>
      <c r="F3036" s="1043"/>
      <c r="G3036" s="1550"/>
    </row>
    <row r="3037" spans="1:7">
      <c r="A3037" s="1666">
        <v>41780</v>
      </c>
      <c r="B3037" s="817" t="str">
        <f>TiposLancamentos!B22</f>
        <v>Combustivel</v>
      </c>
      <c r="C3037" s="1742" t="s">
        <v>6584</v>
      </c>
      <c r="D3037" s="1735"/>
      <c r="E3037" s="1733">
        <v>50</v>
      </c>
      <c r="F3037" s="1043"/>
      <c r="G3037" s="1550"/>
    </row>
    <row r="3038" spans="1:7">
      <c r="A3038" s="1750">
        <v>41780</v>
      </c>
      <c r="B3038" s="818" t="str">
        <f>TiposLancamentos!B18</f>
        <v>Alimentacao</v>
      </c>
      <c r="C3038" s="1743" t="s">
        <v>6585</v>
      </c>
      <c r="D3038" s="1737"/>
      <c r="E3038" s="1668">
        <v>2</v>
      </c>
      <c r="F3038" s="1043">
        <f>SUM(E3037:E3038)</f>
        <v>52</v>
      </c>
      <c r="G3038" s="1550"/>
    </row>
    <row r="3039" spans="1:7">
      <c r="A3039" s="1754">
        <v>41781</v>
      </c>
      <c r="B3039" s="125" t="str">
        <f>TiposLancamentos!B88</f>
        <v>Ford Ecosport XLT</v>
      </c>
      <c r="C3039" s="1040" t="s">
        <v>6586</v>
      </c>
      <c r="D3039" s="1736"/>
      <c r="E3039" s="1043">
        <v>878.64</v>
      </c>
      <c r="F3039" s="1043"/>
      <c r="G3039" s="1550"/>
    </row>
    <row r="3040" spans="1:7">
      <c r="A3040" s="1754">
        <v>41781</v>
      </c>
      <c r="B3040" s="125" t="str">
        <f>TiposLancamentos!B56</f>
        <v>Farmácia</v>
      </c>
      <c r="C3040" s="1040" t="s">
        <v>6587</v>
      </c>
      <c r="D3040" s="1736"/>
      <c r="E3040" s="1043">
        <v>78.75</v>
      </c>
      <c r="F3040" s="1043"/>
      <c r="G3040" s="1550"/>
    </row>
    <row r="3041" spans="1:7">
      <c r="A3041" s="1754">
        <v>41781</v>
      </c>
      <c r="B3041" s="125" t="str">
        <f>TiposLancamentos!B5</f>
        <v>Supermercado</v>
      </c>
      <c r="C3041" s="1040" t="s">
        <v>6234</v>
      </c>
      <c r="D3041" s="1736"/>
      <c r="E3041" s="1043">
        <v>38.01</v>
      </c>
      <c r="F3041" s="1043"/>
      <c r="G3041" s="1550"/>
    </row>
    <row r="3042" spans="1:7">
      <c r="A3042" s="1754">
        <v>41782</v>
      </c>
      <c r="B3042" s="125" t="str">
        <f>TiposLancamentos!B57</f>
        <v>Informática</v>
      </c>
      <c r="C3042" s="1040" t="s">
        <v>6588</v>
      </c>
      <c r="D3042" s="1736"/>
      <c r="E3042" s="1043">
        <v>16.5</v>
      </c>
      <c r="F3042" s="1043"/>
      <c r="G3042" s="1550"/>
    </row>
    <row r="3043" spans="1:7">
      <c r="A3043" s="1754">
        <v>41782</v>
      </c>
      <c r="B3043" s="125" t="str">
        <f>TiposLancamentos!B5</f>
        <v>Supermercado</v>
      </c>
      <c r="C3043" s="1040" t="s">
        <v>6589</v>
      </c>
      <c r="D3043" s="1736"/>
      <c r="E3043" s="1043">
        <v>12.06</v>
      </c>
      <c r="F3043" s="1043"/>
      <c r="G3043" s="1550"/>
    </row>
    <row r="3044" spans="1:7">
      <c r="A3044" s="1754">
        <v>41782</v>
      </c>
      <c r="B3044" s="125" t="str">
        <f>TiposLancamentos!B19</f>
        <v>Restaurantes</v>
      </c>
      <c r="C3044" s="1040" t="s">
        <v>6590</v>
      </c>
      <c r="D3044" s="1736"/>
      <c r="E3044" s="1043">
        <v>71.400000000000006</v>
      </c>
      <c r="F3044" s="1043"/>
      <c r="G3044" s="1550"/>
    </row>
    <row r="3045" spans="1:7">
      <c r="A3045" s="1754">
        <v>41782</v>
      </c>
      <c r="B3045" s="125" t="str">
        <f>TiposLancamentos!B56</f>
        <v>Farmácia</v>
      </c>
      <c r="C3045" s="1040" t="s">
        <v>6591</v>
      </c>
      <c r="D3045" s="1736"/>
      <c r="E3045" s="1043">
        <v>61.95</v>
      </c>
      <c r="F3045" s="1043"/>
      <c r="G3045" s="1550"/>
    </row>
    <row r="3046" spans="1:7">
      <c r="A3046" s="1754">
        <v>41782</v>
      </c>
      <c r="B3046" s="125" t="str">
        <f>TiposLancamentos!B16</f>
        <v>Cristiane</v>
      </c>
      <c r="C3046" s="1040" t="s">
        <v>6592</v>
      </c>
      <c r="D3046" s="1736"/>
      <c r="E3046" s="1043">
        <v>75.540000000000006</v>
      </c>
      <c r="F3046" s="1043"/>
      <c r="G3046" s="1550"/>
    </row>
    <row r="3047" spans="1:7">
      <c r="A3047" s="1754">
        <v>41783</v>
      </c>
      <c r="B3047" s="125" t="str">
        <f>TiposLancamentos!B30</f>
        <v>Cinema</v>
      </c>
      <c r="C3047" s="1040" t="s">
        <v>6593</v>
      </c>
      <c r="D3047" s="1736"/>
      <c r="E3047" s="1043">
        <v>43.5</v>
      </c>
      <c r="F3047" s="1043"/>
      <c r="G3047" s="1550"/>
    </row>
    <row r="3048" spans="1:7">
      <c r="A3048" s="1754">
        <v>41783</v>
      </c>
      <c r="B3048" s="125" t="str">
        <f>TiposLancamentos!B19</f>
        <v>Restaurantes</v>
      </c>
      <c r="C3048" s="1040" t="s">
        <v>6594</v>
      </c>
      <c r="D3048" s="1736"/>
      <c r="E3048" s="1043">
        <v>46.73</v>
      </c>
      <c r="F3048" s="1043"/>
      <c r="G3048" s="1550"/>
    </row>
    <row r="3049" spans="1:7">
      <c r="A3049" s="1754">
        <v>41783</v>
      </c>
      <c r="B3049" s="125" t="str">
        <f>TiposLancamentos!B19</f>
        <v>Restaurantes</v>
      </c>
      <c r="C3049" s="1040" t="s">
        <v>6595</v>
      </c>
      <c r="D3049" s="1736"/>
      <c r="E3049" s="1043">
        <v>22.8</v>
      </c>
      <c r="F3049" s="1043"/>
      <c r="G3049" s="1550"/>
    </row>
    <row r="3050" spans="1:7">
      <c r="A3050" s="1754">
        <v>41783</v>
      </c>
      <c r="B3050" s="125" t="str">
        <f>TiposLancamentos!B24</f>
        <v>Estacionamentos</v>
      </c>
      <c r="C3050" s="1040" t="s">
        <v>6596</v>
      </c>
      <c r="D3050" s="1736"/>
      <c r="E3050" s="1043">
        <v>5</v>
      </c>
      <c r="F3050" s="1043"/>
      <c r="G3050" s="1550"/>
    </row>
    <row r="3051" spans="1:7">
      <c r="A3051" s="1754">
        <v>41784</v>
      </c>
      <c r="B3051" s="125" t="str">
        <f>TiposLancamentos!B19</f>
        <v>Restaurantes</v>
      </c>
      <c r="C3051" s="1040" t="s">
        <v>6597</v>
      </c>
      <c r="D3051" s="1736"/>
      <c r="E3051" s="1043">
        <v>17.82</v>
      </c>
      <c r="F3051" s="1043"/>
      <c r="G3051" s="1550"/>
    </row>
    <row r="3052" spans="1:7">
      <c r="A3052" s="1754">
        <v>41784</v>
      </c>
      <c r="B3052" s="125" t="str">
        <f>TiposLancamentos!B34</f>
        <v>Seguros</v>
      </c>
      <c r="C3052" s="1040" t="s">
        <v>6445</v>
      </c>
      <c r="D3052" s="1736"/>
      <c r="E3052" s="1043">
        <v>63.9</v>
      </c>
      <c r="F3052" s="1043"/>
      <c r="G3052" s="1550"/>
    </row>
    <row r="3053" spans="1:7">
      <c r="A3053" s="1754">
        <v>41785</v>
      </c>
      <c r="B3053" s="125" t="str">
        <f>TiposLancamentos!B16</f>
        <v>Cristiane</v>
      </c>
      <c r="C3053" s="1040" t="s">
        <v>2822</v>
      </c>
      <c r="D3053" s="1736"/>
      <c r="E3053" s="1043">
        <v>31.1</v>
      </c>
      <c r="F3053" s="1043"/>
      <c r="G3053" s="1550"/>
    </row>
    <row r="3054" spans="1:7">
      <c r="A3054" s="1754">
        <v>41786</v>
      </c>
      <c r="B3054" s="125" t="str">
        <f>TiposLancamentos!B20</f>
        <v>Saques</v>
      </c>
      <c r="C3054" s="1040" t="s">
        <v>3604</v>
      </c>
      <c r="D3054" s="1736"/>
      <c r="E3054" s="1043">
        <v>70</v>
      </c>
      <c r="F3054" s="1043"/>
      <c r="G3054" s="1550"/>
    </row>
    <row r="3055" spans="1:7">
      <c r="A3055" s="1754">
        <v>41786</v>
      </c>
      <c r="B3055" s="125" t="str">
        <f>TiposLancamentos!B67</f>
        <v>Lavanderia</v>
      </c>
      <c r="C3055" s="1040" t="s">
        <v>6598</v>
      </c>
      <c r="D3055" s="1736"/>
      <c r="E3055" s="1043">
        <v>50</v>
      </c>
      <c r="F3055" s="1043"/>
      <c r="G3055" s="1550"/>
    </row>
    <row r="3056" spans="1:7">
      <c r="A3056" s="1754">
        <v>41786</v>
      </c>
      <c r="B3056" s="125" t="str">
        <f>TiposLancamentos!B19</f>
        <v>Restaurantes</v>
      </c>
      <c r="C3056" s="1040" t="s">
        <v>5999</v>
      </c>
      <c r="D3056" s="1736"/>
      <c r="E3056" s="1043">
        <v>42</v>
      </c>
      <c r="F3056" s="1043"/>
      <c r="G3056" s="1550"/>
    </row>
    <row r="3057" spans="1:7">
      <c r="A3057" s="1754">
        <v>41787</v>
      </c>
      <c r="B3057" s="125" t="str">
        <f>TiposLancamentos!B96</f>
        <v>Resg.Poup.</v>
      </c>
      <c r="C3057" s="1040" t="s">
        <v>6599</v>
      </c>
      <c r="D3057" s="1736">
        <v>7660</v>
      </c>
      <c r="E3057" s="1043"/>
      <c r="F3057" s="1043"/>
      <c r="G3057" s="1550"/>
    </row>
    <row r="3058" spans="1:7">
      <c r="A3058" s="1754">
        <v>41787</v>
      </c>
      <c r="B3058" s="125" t="str">
        <f>TiposLancamentos!B5</f>
        <v>Supermercado</v>
      </c>
      <c r="C3058" s="1040" t="s">
        <v>6234</v>
      </c>
      <c r="D3058" s="1736"/>
      <c r="E3058" s="1043">
        <v>33.01</v>
      </c>
      <c r="F3058" s="1043"/>
      <c r="G3058" s="1550"/>
    </row>
    <row r="3059" spans="1:7">
      <c r="A3059" s="1754">
        <v>41787</v>
      </c>
      <c r="B3059" s="125" t="str">
        <f>TiposLancamentos!B24</f>
        <v>Estacionamentos</v>
      </c>
      <c r="C3059" s="1040" t="s">
        <v>6600</v>
      </c>
      <c r="D3059" s="1736"/>
      <c r="E3059" s="1043">
        <v>7</v>
      </c>
      <c r="F3059" s="1043"/>
      <c r="G3059" s="1550"/>
    </row>
    <row r="3060" spans="1:7">
      <c r="A3060" s="1754">
        <v>41788</v>
      </c>
      <c r="B3060" s="125" t="str">
        <f>TiposLancamentos!B24</f>
        <v>Estacionamentos</v>
      </c>
      <c r="C3060" s="1040" t="s">
        <v>6601</v>
      </c>
      <c r="D3060" s="1736"/>
      <c r="E3060" s="1043">
        <v>13</v>
      </c>
      <c r="F3060" s="1043"/>
      <c r="G3060" s="1550"/>
    </row>
    <row r="3061" spans="1:7">
      <c r="A3061" s="1754">
        <v>41788</v>
      </c>
      <c r="B3061" s="125" t="str">
        <f>TiposLancamentos!B57</f>
        <v>Informática</v>
      </c>
      <c r="C3061" s="1040" t="s">
        <v>6602</v>
      </c>
      <c r="D3061" s="1736"/>
      <c r="E3061" s="1043">
        <v>9</v>
      </c>
      <c r="F3061" s="1043"/>
      <c r="G3061" s="1550"/>
    </row>
    <row r="3062" spans="1:7">
      <c r="A3062" s="1754">
        <v>41788</v>
      </c>
      <c r="B3062" s="125" t="str">
        <f>TiposLancamentos!B56</f>
        <v>Farmácia</v>
      </c>
      <c r="C3062" s="1040" t="s">
        <v>6603</v>
      </c>
      <c r="D3062" s="1736"/>
      <c r="E3062" s="1043">
        <v>8.58</v>
      </c>
      <c r="F3062" s="1043"/>
      <c r="G3062" s="1550"/>
    </row>
    <row r="3063" spans="1:7">
      <c r="A3063" s="1754">
        <v>41788</v>
      </c>
      <c r="B3063" s="125" t="str">
        <f>TiposLancamentos!B59</f>
        <v>Documentos</v>
      </c>
      <c r="C3063" s="1040" t="s">
        <v>6604</v>
      </c>
      <c r="D3063" s="1736"/>
      <c r="E3063" s="1043">
        <v>42.09</v>
      </c>
      <c r="F3063" s="1043"/>
      <c r="G3063" s="1550"/>
    </row>
    <row r="3064" spans="1:7">
      <c r="A3064" s="1754">
        <v>41788</v>
      </c>
      <c r="B3064" s="125" t="str">
        <f>TiposLancamentos!B59</f>
        <v>Documentos</v>
      </c>
      <c r="C3064" s="1040" t="s">
        <v>6605</v>
      </c>
      <c r="D3064" s="1736"/>
      <c r="E3064" s="1043">
        <v>430.21</v>
      </c>
      <c r="F3064" s="1043"/>
      <c r="G3064" s="1550"/>
    </row>
    <row r="3065" spans="1:7">
      <c r="A3065" s="1754">
        <v>41788</v>
      </c>
      <c r="B3065" s="125" t="str">
        <f>TiposLancamentos!B22</f>
        <v>Combustivel</v>
      </c>
      <c r="C3065" s="1040" t="s">
        <v>6412</v>
      </c>
      <c r="D3065" s="1736"/>
      <c r="E3065" s="1043">
        <v>101.01</v>
      </c>
      <c r="F3065" s="1043"/>
      <c r="G3065" s="1550"/>
    </row>
    <row r="3066" spans="1:7">
      <c r="A3066" s="1754">
        <v>41788</v>
      </c>
      <c r="B3066" s="125" t="str">
        <f>TiposLancamentos!B16</f>
        <v>Cristiane</v>
      </c>
      <c r="C3066" s="1040" t="s">
        <v>6606</v>
      </c>
      <c r="D3066" s="1736"/>
      <c r="E3066" s="1043">
        <v>90</v>
      </c>
      <c r="F3066" s="1043"/>
      <c r="G3066" s="1550"/>
    </row>
    <row r="3067" spans="1:7">
      <c r="A3067" s="1754">
        <v>41788</v>
      </c>
      <c r="B3067" s="125" t="str">
        <f>TiposLancamentos!B72</f>
        <v>Presentes</v>
      </c>
      <c r="C3067" s="1040" t="s">
        <v>6607</v>
      </c>
      <c r="D3067" s="1736"/>
      <c r="E3067" s="1043">
        <v>65.900000000000006</v>
      </c>
      <c r="F3067" s="1043"/>
      <c r="G3067" s="1550"/>
    </row>
    <row r="3068" spans="1:7">
      <c r="A3068" s="1754">
        <v>41788</v>
      </c>
      <c r="B3068" s="125" t="str">
        <f>TiposLancamentos!B19</f>
        <v>Restaurantes</v>
      </c>
      <c r="C3068" s="1040" t="s">
        <v>6608</v>
      </c>
      <c r="D3068" s="1736"/>
      <c r="E3068" s="1043">
        <v>71.28</v>
      </c>
      <c r="F3068" s="1043"/>
      <c r="G3068" s="1550"/>
    </row>
    <row r="3069" spans="1:7">
      <c r="A3069" s="1754">
        <v>41789</v>
      </c>
      <c r="B3069" s="125" t="str">
        <f>TiposLancamentos!B19</f>
        <v>Restaurantes</v>
      </c>
      <c r="C3069" s="1040" t="s">
        <v>6609</v>
      </c>
      <c r="D3069" s="1736"/>
      <c r="E3069" s="1043">
        <v>9.8000000000000007</v>
      </c>
      <c r="F3069" s="1043"/>
      <c r="G3069" s="1550"/>
    </row>
    <row r="3070" spans="1:7">
      <c r="A3070" s="1754">
        <v>41789</v>
      </c>
      <c r="B3070" s="125" t="str">
        <f>TiposLancamentos!B95</f>
        <v>Salarios</v>
      </c>
      <c r="C3070" s="1040" t="s">
        <v>6610</v>
      </c>
      <c r="D3070" s="1736">
        <v>12774.46</v>
      </c>
      <c r="E3070" s="1043"/>
      <c r="F3070" s="1043"/>
      <c r="G3070" s="1550"/>
    </row>
    <row r="3071" spans="1:7" ht="14.25" thickBot="1">
      <c r="A3071" s="1754">
        <v>41790</v>
      </c>
      <c r="B3071" s="125" t="str">
        <f>TiposLancamentos!B5</f>
        <v>Supermercado</v>
      </c>
      <c r="C3071" s="1040" t="s">
        <v>6611</v>
      </c>
      <c r="D3071" s="1736"/>
      <c r="E3071" s="1043">
        <v>37.24</v>
      </c>
      <c r="F3071" s="1043"/>
      <c r="G3071" s="1550"/>
    </row>
    <row r="3072" spans="1:7">
      <c r="A3072" s="1834"/>
      <c r="B3072" s="977"/>
      <c r="C3072" s="1854" t="s">
        <v>6612</v>
      </c>
      <c r="D3072" s="1823"/>
      <c r="E3072" s="1821"/>
      <c r="F3072" s="1821"/>
      <c r="G3072" s="1895"/>
    </row>
    <row r="3073" spans="1:7">
      <c r="A3073" s="1754">
        <v>41791</v>
      </c>
      <c r="B3073" s="125" t="str">
        <f>TiposLancamentos!B19</f>
        <v>Restaurantes</v>
      </c>
      <c r="C3073" s="1040" t="s">
        <v>6613</v>
      </c>
      <c r="D3073" s="1736"/>
      <c r="E3073" s="1043">
        <v>40</v>
      </c>
      <c r="F3073" s="1043"/>
      <c r="G3073" s="1550"/>
    </row>
    <row r="3074" spans="1:7">
      <c r="A3074" s="1666">
        <v>41791</v>
      </c>
      <c r="B3074" s="817" t="str">
        <f>TiposLancamentos!B22</f>
        <v>Combustivel</v>
      </c>
      <c r="C3074" s="1742" t="s">
        <v>6614</v>
      </c>
      <c r="D3074" s="1735"/>
      <c r="E3074" s="1733">
        <v>109</v>
      </c>
      <c r="F3074" s="1043"/>
      <c r="G3074" s="1550"/>
    </row>
    <row r="3075" spans="1:7">
      <c r="A3075" s="1750">
        <v>41791</v>
      </c>
      <c r="B3075" s="818" t="str">
        <f>TiposLancamentos!B18</f>
        <v>Alimentacao</v>
      </c>
      <c r="C3075" s="1743" t="s">
        <v>6049</v>
      </c>
      <c r="D3075" s="1737"/>
      <c r="E3075" s="1668">
        <v>4</v>
      </c>
      <c r="F3075" s="1043">
        <f>SUM(E3074:E3075)</f>
        <v>113</v>
      </c>
      <c r="G3075" s="1550"/>
    </row>
    <row r="3076" spans="1:7">
      <c r="A3076" s="1754">
        <v>41791</v>
      </c>
      <c r="B3076" s="125" t="str">
        <f>TiposLancamentos!B19</f>
        <v>Restaurantes</v>
      </c>
      <c r="C3076" s="1040" t="s">
        <v>4187</v>
      </c>
      <c r="D3076" s="1736"/>
      <c r="E3076" s="1043">
        <v>13.6</v>
      </c>
      <c r="F3076" s="1043"/>
      <c r="G3076" s="1550"/>
    </row>
    <row r="3077" spans="1:7">
      <c r="A3077" s="1754">
        <v>41791</v>
      </c>
      <c r="B3077" s="125" t="str">
        <f>TiposLancamentos!B19</f>
        <v>Restaurantes</v>
      </c>
      <c r="C3077" s="1040" t="s">
        <v>6615</v>
      </c>
      <c r="D3077" s="1736"/>
      <c r="E3077" s="1043">
        <v>51.6</v>
      </c>
      <c r="F3077" s="1043"/>
      <c r="G3077" s="1550"/>
    </row>
    <row r="3078" spans="1:7">
      <c r="A3078" s="1754">
        <v>41792</v>
      </c>
      <c r="B3078" s="125" t="str">
        <f>TiposLancamentos!B62</f>
        <v>Papelaria</v>
      </c>
      <c r="C3078" s="1040" t="s">
        <v>6616</v>
      </c>
      <c r="D3078" s="1736"/>
      <c r="E3078" s="1043">
        <v>210</v>
      </c>
      <c r="F3078" s="1043"/>
      <c r="G3078" s="1550"/>
    </row>
    <row r="3079" spans="1:7">
      <c r="A3079" s="1754">
        <v>41792</v>
      </c>
      <c r="B3079" s="125" t="str">
        <f>TiposLancamentos!B26</f>
        <v>LIVROS</v>
      </c>
      <c r="C3079" s="1040" t="s">
        <v>6617</v>
      </c>
      <c r="D3079" s="1736"/>
      <c r="E3079" s="1043">
        <v>37</v>
      </c>
      <c r="F3079" s="1043"/>
      <c r="G3079" s="1550"/>
    </row>
    <row r="3080" spans="1:7">
      <c r="A3080" s="1754">
        <v>41792</v>
      </c>
      <c r="B3080" s="125" t="str">
        <f>TiposLancamentos!B5</f>
        <v>Supermercado</v>
      </c>
      <c r="C3080" s="1040" t="s">
        <v>6234</v>
      </c>
      <c r="D3080" s="1736"/>
      <c r="E3080" s="1043">
        <v>55.03</v>
      </c>
      <c r="F3080" s="1043"/>
      <c r="G3080" s="1550"/>
    </row>
    <row r="3081" spans="1:7">
      <c r="A3081" s="1754">
        <v>41792</v>
      </c>
      <c r="B3081" s="125" t="str">
        <f>TiposLancamentos!B24</f>
        <v>Estacionamentos</v>
      </c>
      <c r="C3081" s="1040" t="s">
        <v>4370</v>
      </c>
      <c r="D3081" s="1736"/>
      <c r="E3081" s="1043">
        <v>7</v>
      </c>
      <c r="F3081" s="1043"/>
      <c r="G3081" s="1550"/>
    </row>
    <row r="3082" spans="1:7">
      <c r="A3082" s="1754">
        <v>41792</v>
      </c>
      <c r="B3082" s="125" t="str">
        <f>TiposLancamentos!B19</f>
        <v>Restaurantes</v>
      </c>
      <c r="C3082" s="1040" t="s">
        <v>4452</v>
      </c>
      <c r="D3082" s="1736"/>
      <c r="E3082" s="1043">
        <v>6.5</v>
      </c>
      <c r="F3082" s="1043"/>
      <c r="G3082" s="1550"/>
    </row>
    <row r="3083" spans="1:7">
      <c r="A3083" s="1754">
        <v>41792</v>
      </c>
      <c r="B3083" s="125" t="str">
        <f>TiposLancamentos!B4</f>
        <v>Taxas Bancarias</v>
      </c>
      <c r="C3083" s="1040" t="s">
        <v>4858</v>
      </c>
      <c r="D3083" s="1736"/>
      <c r="E3083" s="1043">
        <v>3.59</v>
      </c>
      <c r="F3083" s="1043"/>
      <c r="G3083" s="1550"/>
    </row>
    <row r="3084" spans="1:7">
      <c r="A3084" s="1754">
        <v>41793</v>
      </c>
      <c r="B3084" s="125" t="str">
        <f>TiposLancamentos!B71</f>
        <v>Itens Pessoais</v>
      </c>
      <c r="C3084" s="1040" t="s">
        <v>5611</v>
      </c>
      <c r="D3084" s="1736"/>
      <c r="E3084" s="1043">
        <v>27</v>
      </c>
      <c r="F3084" s="1043"/>
      <c r="G3084" s="1550"/>
    </row>
    <row r="3085" spans="1:7">
      <c r="A3085" s="1754">
        <v>41793</v>
      </c>
      <c r="B3085" s="125" t="str">
        <f>TiposLancamentos!B13</f>
        <v>Moradia</v>
      </c>
      <c r="C3085" s="1040" t="s">
        <v>6618</v>
      </c>
      <c r="D3085" s="1736"/>
      <c r="E3085" s="1043">
        <v>18.5</v>
      </c>
      <c r="F3085" s="1043"/>
      <c r="G3085" s="1550"/>
    </row>
    <row r="3086" spans="1:7">
      <c r="A3086" s="1754">
        <v>41794</v>
      </c>
      <c r="B3086" s="125" t="str">
        <f>TiposLancamentos!B5</f>
        <v>Supermercado</v>
      </c>
      <c r="C3086" s="1040" t="s">
        <v>6234</v>
      </c>
      <c r="D3086" s="1736"/>
      <c r="E3086" s="1043">
        <v>26.38</v>
      </c>
      <c r="F3086" s="1043"/>
      <c r="G3086" s="1550"/>
    </row>
    <row r="3087" spans="1:7">
      <c r="A3087" s="1754">
        <v>41794</v>
      </c>
      <c r="B3087" s="125" t="str">
        <f>TiposLancamentos!B24</f>
        <v>Estacionamentos</v>
      </c>
      <c r="C3087" s="1040" t="s">
        <v>4370</v>
      </c>
      <c r="D3087" s="1736"/>
      <c r="E3087" s="1043">
        <v>7</v>
      </c>
      <c r="F3087" s="1043"/>
      <c r="G3087" s="1550"/>
    </row>
    <row r="3088" spans="1:7">
      <c r="A3088" s="1754">
        <v>41795</v>
      </c>
      <c r="B3088" s="125" t="str">
        <f>TiposLancamentos!B19</f>
        <v>Restaurantes</v>
      </c>
      <c r="C3088" s="1040" t="s">
        <v>6619</v>
      </c>
      <c r="D3088" s="1736"/>
      <c r="E3088" s="1043">
        <v>9</v>
      </c>
      <c r="F3088" s="1043"/>
      <c r="G3088" s="1550"/>
    </row>
    <row r="3089" spans="1:7">
      <c r="A3089" s="1754">
        <v>41795</v>
      </c>
      <c r="B3089" s="125" t="str">
        <f>TiposLancamentos!B19</f>
        <v>Restaurantes</v>
      </c>
      <c r="C3089" s="1040" t="s">
        <v>6620</v>
      </c>
      <c r="D3089" s="1736"/>
      <c r="E3089" s="1043">
        <v>33.9</v>
      </c>
      <c r="F3089" s="1043"/>
      <c r="G3089" s="1550"/>
    </row>
    <row r="3090" spans="1:7">
      <c r="A3090" s="1754">
        <v>41795</v>
      </c>
      <c r="B3090" s="125" t="str">
        <f>TiposLancamentos!B24</f>
        <v>Estacionamentos</v>
      </c>
      <c r="C3090" s="1040" t="s">
        <v>6621</v>
      </c>
      <c r="D3090" s="1736"/>
      <c r="E3090" s="1043">
        <v>26</v>
      </c>
      <c r="F3090" s="1043"/>
      <c r="G3090" s="1550"/>
    </row>
    <row r="3091" spans="1:7">
      <c r="A3091" s="1754">
        <v>41795</v>
      </c>
      <c r="B3091" s="125" t="str">
        <f>TiposLancamentos!B19</f>
        <v>Restaurantes</v>
      </c>
      <c r="C3091" s="1040" t="s">
        <v>6622</v>
      </c>
      <c r="D3091" s="1736"/>
      <c r="E3091" s="1043">
        <v>32</v>
      </c>
      <c r="F3091" s="1043"/>
      <c r="G3091" s="1550"/>
    </row>
    <row r="3092" spans="1:7">
      <c r="A3092" s="1754">
        <v>41795</v>
      </c>
      <c r="B3092" s="125" t="str">
        <f>TiposLancamentos!B56</f>
        <v>Farmácia</v>
      </c>
      <c r="C3092" s="1040" t="s">
        <v>6052</v>
      </c>
      <c r="D3092" s="1736"/>
      <c r="E3092" s="1043">
        <v>44.1</v>
      </c>
      <c r="F3092" s="1043"/>
      <c r="G3092" s="1550"/>
    </row>
    <row r="3093" spans="1:7">
      <c r="A3093" s="1754">
        <v>41795</v>
      </c>
      <c r="B3093" s="125" t="str">
        <f>TiposLancamentos!B19</f>
        <v>Restaurantes</v>
      </c>
      <c r="C3093" s="1040" t="s">
        <v>5999</v>
      </c>
      <c r="D3093" s="1736"/>
      <c r="E3093" s="1043">
        <v>48</v>
      </c>
      <c r="F3093" s="1043"/>
      <c r="G3093" s="1550"/>
    </row>
    <row r="3094" spans="1:7">
      <c r="A3094" s="1754">
        <v>41796</v>
      </c>
      <c r="B3094" s="125" t="str">
        <f>TiposLancamentos!B105</f>
        <v>Transf. Bco</v>
      </c>
      <c r="C3094" s="1040" t="s">
        <v>5927</v>
      </c>
      <c r="D3094" s="1736"/>
      <c r="E3094" s="1043">
        <v>622</v>
      </c>
      <c r="F3094" s="1043"/>
      <c r="G3094" s="1550"/>
    </row>
    <row r="3095" spans="1:7">
      <c r="A3095" s="1754">
        <v>41797</v>
      </c>
      <c r="B3095" s="125" t="str">
        <f>TiposLancamentos!B22</f>
        <v>Combustivel</v>
      </c>
      <c r="C3095" s="1040" t="s">
        <v>6412</v>
      </c>
      <c r="D3095" s="1736"/>
      <c r="E3095" s="1043">
        <v>50</v>
      </c>
      <c r="F3095" s="1043"/>
      <c r="G3095" s="1550"/>
    </row>
    <row r="3096" spans="1:7">
      <c r="A3096" s="1754">
        <v>41797</v>
      </c>
      <c r="B3096" s="125" t="str">
        <f>TiposLancamentos!B19</f>
        <v>Restaurantes</v>
      </c>
      <c r="C3096" s="1040" t="s">
        <v>6623</v>
      </c>
      <c r="D3096" s="1736"/>
      <c r="E3096" s="1043">
        <v>10.5</v>
      </c>
      <c r="F3096" s="1043"/>
      <c r="G3096" s="1550"/>
    </row>
    <row r="3097" spans="1:7">
      <c r="A3097" s="1754">
        <v>41797</v>
      </c>
      <c r="B3097" s="125" t="str">
        <f>TiposLancamentos!B20</f>
        <v>Saques</v>
      </c>
      <c r="C3097" s="1040" t="s">
        <v>4202</v>
      </c>
      <c r="D3097" s="1736"/>
      <c r="E3097" s="1043">
        <v>40</v>
      </c>
      <c r="F3097" s="1043"/>
      <c r="G3097" s="1550"/>
    </row>
    <row r="3098" spans="1:7">
      <c r="A3098" s="1754">
        <v>41797</v>
      </c>
      <c r="B3098" s="125" t="str">
        <f>TiposLancamentos!B19</f>
        <v>Restaurantes</v>
      </c>
      <c r="C3098" s="1040" t="s">
        <v>6624</v>
      </c>
      <c r="D3098" s="1736"/>
      <c r="E3098" s="1043">
        <v>47.3</v>
      </c>
      <c r="F3098" s="1043"/>
      <c r="G3098" s="1550"/>
    </row>
    <row r="3099" spans="1:7">
      <c r="A3099" s="1754">
        <v>41797</v>
      </c>
      <c r="B3099" s="125" t="str">
        <f>TiposLancamentos!B72</f>
        <v>Presentes</v>
      </c>
      <c r="C3099" s="1040" t="s">
        <v>6625</v>
      </c>
      <c r="D3099" s="1736"/>
      <c r="E3099" s="1043">
        <v>119.99</v>
      </c>
      <c r="F3099" s="1043"/>
      <c r="G3099" s="1550"/>
    </row>
    <row r="3100" spans="1:7">
      <c r="A3100" s="1754">
        <v>41797</v>
      </c>
      <c r="B3100" s="125" t="str">
        <f>TiposLancamentos!B72</f>
        <v>Presentes</v>
      </c>
      <c r="C3100" s="1040" t="s">
        <v>6626</v>
      </c>
      <c r="D3100" s="1736"/>
      <c r="E3100" s="1043">
        <v>69.900000000000006</v>
      </c>
      <c r="F3100" s="1043"/>
      <c r="G3100" s="1550"/>
    </row>
    <row r="3101" spans="1:7">
      <c r="A3101" s="1754">
        <v>41797</v>
      </c>
      <c r="B3101" s="125" t="str">
        <f>TiposLancamentos!B16</f>
        <v>Cristiane</v>
      </c>
      <c r="C3101" s="1040" t="s">
        <v>6627</v>
      </c>
      <c r="D3101" s="1736"/>
      <c r="E3101" s="1043">
        <v>59.9</v>
      </c>
      <c r="F3101" s="1043"/>
      <c r="G3101" s="1550"/>
    </row>
    <row r="3102" spans="1:7">
      <c r="A3102" s="1754">
        <v>41799</v>
      </c>
      <c r="B3102" s="125" t="str">
        <f>TiposLancamentos!B19</f>
        <v>Restaurantes</v>
      </c>
      <c r="C3102" s="1040" t="s">
        <v>6628</v>
      </c>
      <c r="D3102" s="1736"/>
      <c r="E3102" s="1043">
        <v>22.08</v>
      </c>
      <c r="F3102" s="1043"/>
      <c r="G3102" s="1550"/>
    </row>
    <row r="3103" spans="1:7">
      <c r="A3103" s="1754">
        <v>41799</v>
      </c>
      <c r="B3103" s="125" t="str">
        <f>TiposLancamentos!B20</f>
        <v>Saques</v>
      </c>
      <c r="C3103" s="1040" t="s">
        <v>4368</v>
      </c>
      <c r="D3103" s="1736"/>
      <c r="E3103" s="1043">
        <v>100</v>
      </c>
      <c r="F3103" s="1043"/>
      <c r="G3103" s="1550"/>
    </row>
    <row r="3104" spans="1:7">
      <c r="A3104" s="1754">
        <v>41799</v>
      </c>
      <c r="B3104" s="125" t="str">
        <f>TiposLancamentos!B19</f>
        <v>Restaurantes</v>
      </c>
      <c r="C3104" s="1040" t="s">
        <v>6565</v>
      </c>
      <c r="D3104" s="1736"/>
      <c r="E3104" s="1043">
        <v>15.55</v>
      </c>
      <c r="F3104" s="1043"/>
      <c r="G3104" s="1550"/>
    </row>
    <row r="3105" spans="1:7">
      <c r="A3105" s="1754">
        <v>41799</v>
      </c>
      <c r="B3105" s="125" t="str">
        <f>TiposLancamentos!B24</f>
        <v>Estacionamentos</v>
      </c>
      <c r="C3105" s="1040" t="s">
        <v>4370</v>
      </c>
      <c r="D3105" s="1736"/>
      <c r="E3105" s="1043">
        <v>7</v>
      </c>
      <c r="F3105" s="1043"/>
      <c r="G3105" s="1550"/>
    </row>
    <row r="3106" spans="1:7">
      <c r="A3106" s="1666">
        <v>41800</v>
      </c>
      <c r="B3106" s="817" t="str">
        <f>TiposLancamentos!B8</f>
        <v>Aluguel</v>
      </c>
      <c r="C3106" s="1742" t="s">
        <v>6163</v>
      </c>
      <c r="D3106" s="1735"/>
      <c r="E3106" s="1733">
        <f>F3106-E3107-E3108</f>
        <v>1406.3</v>
      </c>
      <c r="F3106" s="1043">
        <v>1758.04</v>
      </c>
      <c r="G3106" s="1550"/>
    </row>
    <row r="3107" spans="1:7">
      <c r="A3107" s="1667">
        <v>41800</v>
      </c>
      <c r="B3107" s="816" t="str">
        <f>TiposLancamentos!B12</f>
        <v>IPTU</v>
      </c>
      <c r="C3107" s="1769" t="s">
        <v>6629</v>
      </c>
      <c r="D3107" s="1736"/>
      <c r="E3107" s="1734">
        <v>110.83</v>
      </c>
      <c r="F3107" s="1043"/>
      <c r="G3107" s="1550"/>
    </row>
    <row r="3108" spans="1:7">
      <c r="A3108" s="1750">
        <v>41800</v>
      </c>
      <c r="B3108" s="818" t="str">
        <f>TiposLancamentos!B34</f>
        <v>Seguros</v>
      </c>
      <c r="C3108" s="1743" t="s">
        <v>6291</v>
      </c>
      <c r="D3108" s="1737"/>
      <c r="E3108" s="1668">
        <v>240.91</v>
      </c>
      <c r="F3108" s="1043"/>
      <c r="G3108" s="1550"/>
    </row>
    <row r="3109" spans="1:7">
      <c r="A3109" s="1754">
        <v>41800</v>
      </c>
      <c r="B3109" s="125" t="str">
        <f>TiposLancamentos!B4</f>
        <v>Taxas Bancarias</v>
      </c>
      <c r="C3109" s="1040" t="s">
        <v>6630</v>
      </c>
      <c r="D3109" s="1736"/>
      <c r="E3109" s="1043">
        <v>11.23</v>
      </c>
      <c r="F3109" s="1043"/>
      <c r="G3109" s="1550"/>
    </row>
    <row r="3110" spans="1:7">
      <c r="A3110" s="1754">
        <v>41801</v>
      </c>
      <c r="B3110" s="125" t="str">
        <f>TiposLancamentos!B69</f>
        <v>Consertos</v>
      </c>
      <c r="C3110" s="1040" t="s">
        <v>6631</v>
      </c>
      <c r="D3110" s="1736"/>
      <c r="E3110" s="1043">
        <v>100</v>
      </c>
      <c r="F3110" s="1043">
        <v>100</v>
      </c>
      <c r="G3110" s="1550"/>
    </row>
    <row r="3111" spans="1:7">
      <c r="A3111" s="1666">
        <v>41801</v>
      </c>
      <c r="B3111" s="817" t="str">
        <f>TiposLancamentos!B62</f>
        <v>Papelaria</v>
      </c>
      <c r="C3111" s="1742" t="s">
        <v>6632</v>
      </c>
      <c r="D3111" s="1735"/>
      <c r="E3111" s="1733">
        <v>15.6</v>
      </c>
      <c r="F3111" s="1043"/>
      <c r="G3111" s="1550"/>
    </row>
    <row r="3112" spans="1:7">
      <c r="A3112" s="1750">
        <v>41801</v>
      </c>
      <c r="B3112" s="818" t="str">
        <f>TiposLancamentos!B72</f>
        <v>Presentes</v>
      </c>
      <c r="C3112" s="1743" t="s">
        <v>6633</v>
      </c>
      <c r="D3112" s="1737"/>
      <c r="E3112" s="1668">
        <f>F3112-E3111</f>
        <v>38.799999999999997</v>
      </c>
      <c r="F3112" s="1043">
        <v>54.4</v>
      </c>
      <c r="G3112" s="1550"/>
    </row>
    <row r="3113" spans="1:7">
      <c r="A3113" s="1754">
        <v>41801</v>
      </c>
      <c r="B3113" s="125" t="str">
        <f>TiposLancamentos!B72</f>
        <v>Presentes</v>
      </c>
      <c r="C3113" s="1040" t="s">
        <v>6634</v>
      </c>
      <c r="D3113" s="1736"/>
      <c r="E3113" s="1043">
        <v>180</v>
      </c>
      <c r="F3113" s="1043"/>
      <c r="G3113" s="1550"/>
    </row>
    <row r="3114" spans="1:7">
      <c r="A3114" s="1754">
        <v>41801</v>
      </c>
      <c r="B3114" s="125" t="str">
        <f>TiposLancamentos!B19</f>
        <v>Restaurantes</v>
      </c>
      <c r="C3114" s="1040" t="s">
        <v>6635</v>
      </c>
      <c r="D3114" s="1736"/>
      <c r="E3114" s="1043">
        <v>8</v>
      </c>
      <c r="F3114" s="1043"/>
      <c r="G3114" s="1550"/>
    </row>
    <row r="3115" spans="1:7">
      <c r="A3115" s="1754">
        <v>41801</v>
      </c>
      <c r="B3115" s="125" t="str">
        <f>TiposLancamentos!B72</f>
        <v>Presentes</v>
      </c>
      <c r="C3115" s="1040" t="s">
        <v>6636</v>
      </c>
      <c r="D3115" s="1736"/>
      <c r="E3115" s="1043">
        <v>62.7</v>
      </c>
      <c r="F3115" s="1043"/>
      <c r="G3115" s="1550"/>
    </row>
    <row r="3116" spans="1:7">
      <c r="A3116" s="1754">
        <v>41801</v>
      </c>
      <c r="B3116" s="125" t="str">
        <f>TiposLancamentos!B24</f>
        <v>Estacionamentos</v>
      </c>
      <c r="C3116" s="1040" t="s">
        <v>4370</v>
      </c>
      <c r="D3116" s="1736"/>
      <c r="E3116" s="1043">
        <v>7</v>
      </c>
      <c r="F3116" s="1043"/>
      <c r="G3116" s="1550"/>
    </row>
    <row r="3117" spans="1:7">
      <c r="A3117" s="1754">
        <v>41801</v>
      </c>
      <c r="B3117" s="125" t="str">
        <f>TiposLancamentos!B19</f>
        <v>Restaurantes</v>
      </c>
      <c r="C3117" s="1040" t="s">
        <v>6637</v>
      </c>
      <c r="D3117" s="1736"/>
      <c r="E3117" s="1043">
        <v>8</v>
      </c>
      <c r="F3117" s="1043"/>
      <c r="G3117" s="1550"/>
    </row>
    <row r="3118" spans="1:7">
      <c r="A3118" s="1754">
        <v>41802</v>
      </c>
      <c r="B3118" s="125" t="str">
        <f>TiposLancamentos!B19</f>
        <v>Restaurantes</v>
      </c>
      <c r="C3118" s="1040" t="s">
        <v>6222</v>
      </c>
      <c r="D3118" s="1736"/>
      <c r="E3118" s="1043">
        <v>18.2</v>
      </c>
      <c r="F3118" s="1043"/>
      <c r="G3118" s="1550"/>
    </row>
    <row r="3119" spans="1:7">
      <c r="A3119" s="1754">
        <v>41802</v>
      </c>
      <c r="B3119" s="125" t="str">
        <f>TiposLancamentos!B5</f>
        <v>Supermercado</v>
      </c>
      <c r="C3119" s="1040" t="s">
        <v>6234</v>
      </c>
      <c r="D3119" s="1736"/>
      <c r="E3119" s="1043">
        <v>203.35</v>
      </c>
      <c r="F3119" s="1043"/>
      <c r="G3119" s="1550"/>
    </row>
    <row r="3120" spans="1:7">
      <c r="A3120" s="1754">
        <v>41803</v>
      </c>
      <c r="B3120" s="125" t="str">
        <f>TiposLancamentos!B22</f>
        <v>Combustivel</v>
      </c>
      <c r="C3120" s="1040" t="s">
        <v>6638</v>
      </c>
      <c r="D3120" s="1736"/>
      <c r="E3120" s="1043">
        <v>60</v>
      </c>
      <c r="F3120" s="1043"/>
      <c r="G3120" s="1550"/>
    </row>
    <row r="3121" spans="1:7">
      <c r="A3121" s="1754">
        <v>41803</v>
      </c>
      <c r="B3121" s="125" t="str">
        <f>TiposLancamentos!B5</f>
        <v>Supermercado</v>
      </c>
      <c r="C3121" s="1040" t="s">
        <v>6639</v>
      </c>
      <c r="D3121" s="1736"/>
      <c r="E3121" s="1043">
        <v>12.7</v>
      </c>
      <c r="F3121" s="1043"/>
      <c r="G3121" s="1550"/>
    </row>
    <row r="3122" spans="1:7">
      <c r="A3122" s="1754">
        <v>41803</v>
      </c>
      <c r="B3122" s="125" t="str">
        <f>TiposLancamentos!B19</f>
        <v>Restaurantes</v>
      </c>
      <c r="C3122" s="1040" t="s">
        <v>6640</v>
      </c>
      <c r="D3122" s="1736"/>
      <c r="E3122" s="1043">
        <v>19.899999999999999</v>
      </c>
      <c r="F3122" s="1043"/>
      <c r="G3122" s="1550"/>
    </row>
    <row r="3123" spans="1:7">
      <c r="A3123" s="1754">
        <v>41804</v>
      </c>
      <c r="B3123" s="125" t="str">
        <f>TiposLancamentos!B56</f>
        <v>Farmácia</v>
      </c>
      <c r="C3123" s="1040" t="s">
        <v>6641</v>
      </c>
      <c r="D3123" s="1736"/>
      <c r="E3123" s="1043">
        <v>8.56</v>
      </c>
      <c r="F3123" s="1043"/>
      <c r="G3123" s="1550"/>
    </row>
    <row r="3124" spans="1:7">
      <c r="A3124" s="1754">
        <v>41804</v>
      </c>
      <c r="B3124" s="125" t="str">
        <f>TiposLancamentos!B18</f>
        <v>Alimentacao</v>
      </c>
      <c r="C3124" s="1040" t="s">
        <v>6642</v>
      </c>
      <c r="D3124" s="1736"/>
      <c r="E3124" s="1043">
        <v>4</v>
      </c>
      <c r="F3124" s="1043"/>
      <c r="G3124" s="1550"/>
    </row>
    <row r="3125" spans="1:7">
      <c r="A3125" s="1754">
        <v>41804</v>
      </c>
      <c r="B3125" s="125" t="str">
        <f>TiposLancamentos!B5</f>
        <v>Supermercado</v>
      </c>
      <c r="C3125" s="1040" t="s">
        <v>6643</v>
      </c>
      <c r="D3125" s="1736"/>
      <c r="E3125" s="1043">
        <v>13.65</v>
      </c>
      <c r="F3125" s="1043"/>
      <c r="G3125" s="1550"/>
    </row>
    <row r="3126" spans="1:7">
      <c r="A3126" s="1754">
        <v>41805</v>
      </c>
      <c r="B3126" s="125" t="str">
        <f>TiposLancamentos!B22</f>
        <v>Combustivel</v>
      </c>
      <c r="C3126" s="1040" t="s">
        <v>6644</v>
      </c>
      <c r="D3126" s="1736"/>
      <c r="E3126" s="1043">
        <v>130</v>
      </c>
      <c r="F3126" s="1043"/>
      <c r="G3126" s="1550"/>
    </row>
    <row r="3127" spans="1:7">
      <c r="A3127" s="1754">
        <v>41806</v>
      </c>
      <c r="B3127" s="125" t="str">
        <f>TiposLancamentos!B62</f>
        <v>Papelaria</v>
      </c>
      <c r="C3127" s="1040" t="s">
        <v>6645</v>
      </c>
      <c r="D3127" s="1736"/>
      <c r="E3127" s="1043">
        <v>2.6</v>
      </c>
      <c r="F3127" s="1043"/>
      <c r="G3127" s="1550"/>
    </row>
    <row r="3128" spans="1:7">
      <c r="A3128" s="1666">
        <v>41806</v>
      </c>
      <c r="B3128" s="817" t="str">
        <f>TiposLancamentos!B33</f>
        <v>Pedágios</v>
      </c>
      <c r="C3128" s="1742" t="s">
        <v>5392</v>
      </c>
      <c r="D3128" s="1735"/>
      <c r="E3128" s="1733">
        <f>F3130-E3129-E3130</f>
        <v>124.03</v>
      </c>
      <c r="F3128" s="1043"/>
      <c r="G3128" s="1550"/>
    </row>
    <row r="3129" spans="1:7">
      <c r="A3129" s="1667">
        <v>41806</v>
      </c>
      <c r="B3129" s="816" t="str">
        <f>TiposLancamentos!B24</f>
        <v>Estacionamentos</v>
      </c>
      <c r="C3129" s="1769" t="s">
        <v>5863</v>
      </c>
      <c r="D3129" s="1736"/>
      <c r="E3129" s="1734">
        <v>17</v>
      </c>
      <c r="F3129" s="1043"/>
      <c r="G3129" s="1550"/>
    </row>
    <row r="3130" spans="1:7">
      <c r="A3130" s="1750">
        <v>41806</v>
      </c>
      <c r="B3130" s="818" t="str">
        <f>TiposLancamentos!B24</f>
        <v>Estacionamentos</v>
      </c>
      <c r="C3130" s="1743" t="s">
        <v>6297</v>
      </c>
      <c r="D3130" s="1737"/>
      <c r="E3130" s="1668">
        <v>30</v>
      </c>
      <c r="F3130" s="1043">
        <v>171.03</v>
      </c>
      <c r="G3130" s="1550"/>
    </row>
    <row r="3131" spans="1:7">
      <c r="A3131" s="1754">
        <v>41806</v>
      </c>
      <c r="B3131" s="125" t="str">
        <f>TiposLancamentos!B19</f>
        <v>Restaurantes</v>
      </c>
      <c r="C3131" s="1040" t="s">
        <v>6646</v>
      </c>
      <c r="D3131" s="1736"/>
      <c r="E3131" s="1043">
        <v>62.25</v>
      </c>
      <c r="F3131" s="1043"/>
      <c r="G3131" s="1550"/>
    </row>
    <row r="3132" spans="1:7">
      <c r="A3132" s="1754">
        <v>41806</v>
      </c>
      <c r="B3132" s="125" t="str">
        <f>TiposLancamentos!B19</f>
        <v>Restaurantes</v>
      </c>
      <c r="C3132" s="1040" t="s">
        <v>6647</v>
      </c>
      <c r="D3132" s="1736"/>
      <c r="E3132" s="1043">
        <v>19.5</v>
      </c>
      <c r="F3132" s="1043"/>
      <c r="G3132" s="1550"/>
    </row>
    <row r="3133" spans="1:7">
      <c r="A3133" s="1666">
        <v>41807</v>
      </c>
      <c r="B3133" s="817" t="str">
        <f>TiposLancamentos!B56</f>
        <v>Farmácia</v>
      </c>
      <c r="C3133" s="1742" t="s">
        <v>6118</v>
      </c>
      <c r="D3133" s="1735"/>
      <c r="E3133" s="1733">
        <v>61.94</v>
      </c>
      <c r="F3133" s="1043"/>
      <c r="G3133" s="1550"/>
    </row>
    <row r="3134" spans="1:7">
      <c r="A3134" s="1750">
        <v>41807</v>
      </c>
      <c r="B3134" s="818" t="str">
        <f>TiposLancamentos!B16</f>
        <v>Cristiane</v>
      </c>
      <c r="C3134" s="1743" t="s">
        <v>6648</v>
      </c>
      <c r="D3134" s="1737"/>
      <c r="E3134" s="1668">
        <f>F3134-E3133</f>
        <v>42.64</v>
      </c>
      <c r="F3134" s="1043">
        <v>104.58</v>
      </c>
      <c r="G3134" s="1550"/>
    </row>
    <row r="3135" spans="1:7">
      <c r="A3135" s="1754">
        <v>41807</v>
      </c>
      <c r="B3135" s="125" t="str">
        <f>TiposLancamentos!B19</f>
        <v>Restaurantes</v>
      </c>
      <c r="C3135" s="1040" t="s">
        <v>6649</v>
      </c>
      <c r="D3135" s="1736"/>
      <c r="E3135" s="1043">
        <v>66.77</v>
      </c>
      <c r="F3135" s="1043"/>
      <c r="G3135" s="1550"/>
    </row>
    <row r="3136" spans="1:7">
      <c r="A3136" s="1754">
        <v>41807</v>
      </c>
      <c r="B3136" s="125" t="str">
        <f>TiposLancamentos!B16</f>
        <v>Cristiane</v>
      </c>
      <c r="C3136" s="1040" t="s">
        <v>6650</v>
      </c>
      <c r="D3136" s="1736"/>
      <c r="E3136" s="1043">
        <v>79.900000000000006</v>
      </c>
      <c r="F3136" s="1043"/>
      <c r="G3136" s="1550"/>
    </row>
    <row r="3137" spans="1:7">
      <c r="A3137" s="1754">
        <v>41807</v>
      </c>
      <c r="B3137" s="125" t="str">
        <f>TiposLancamentos!B19</f>
        <v>Restaurantes</v>
      </c>
      <c r="C3137" s="1040" t="s">
        <v>6651</v>
      </c>
      <c r="D3137" s="1736"/>
      <c r="E3137" s="1043">
        <v>9</v>
      </c>
      <c r="F3137" s="1043"/>
      <c r="G3137" s="1550"/>
    </row>
    <row r="3138" spans="1:7">
      <c r="A3138" s="1666">
        <v>41808</v>
      </c>
      <c r="B3138" s="817" t="str">
        <f>TiposLancamentos!B71</f>
        <v>Itens Pessoais</v>
      </c>
      <c r="C3138" s="1742" t="s">
        <v>6652</v>
      </c>
      <c r="D3138" s="1735"/>
      <c r="E3138" s="1733">
        <v>15.25</v>
      </c>
      <c r="F3138" s="1043"/>
      <c r="G3138" s="1550"/>
    </row>
    <row r="3139" spans="1:7">
      <c r="A3139" s="1750">
        <v>41808</v>
      </c>
      <c r="B3139" s="818" t="str">
        <f>TiposLancamentos!B16</f>
        <v>Cristiane</v>
      </c>
      <c r="C3139" s="1743" t="s">
        <v>6653</v>
      </c>
      <c r="D3139" s="1737"/>
      <c r="E3139" s="1668">
        <f>F3139-E3138</f>
        <v>51</v>
      </c>
      <c r="F3139" s="1043">
        <v>66.25</v>
      </c>
      <c r="G3139" s="1550"/>
    </row>
    <row r="3140" spans="1:7">
      <c r="A3140" s="1754">
        <v>41808</v>
      </c>
      <c r="B3140" s="125" t="str">
        <f>TiposLancamentos!B20</f>
        <v>Saques</v>
      </c>
      <c r="C3140" s="1040" t="s">
        <v>3778</v>
      </c>
      <c r="D3140" s="1736"/>
      <c r="E3140" s="1043">
        <v>70</v>
      </c>
      <c r="F3140" s="1043"/>
      <c r="G3140" s="1550"/>
    </row>
    <row r="3141" spans="1:7">
      <c r="A3141" s="1754">
        <v>41808</v>
      </c>
      <c r="B3141" s="125" t="str">
        <f>TiposLancamentos!B19</f>
        <v>Restaurantes</v>
      </c>
      <c r="C3141" s="1040" t="s">
        <v>6654</v>
      </c>
      <c r="D3141" s="1736"/>
      <c r="E3141" s="1043">
        <v>12</v>
      </c>
      <c r="F3141" s="1043"/>
      <c r="G3141" s="1550"/>
    </row>
    <row r="3142" spans="1:7">
      <c r="A3142" s="1754">
        <v>41808</v>
      </c>
      <c r="B3142" s="125" t="str">
        <f>TiposLancamentos!B5</f>
        <v>Supermercado</v>
      </c>
      <c r="C3142" s="1040" t="s">
        <v>5844</v>
      </c>
      <c r="D3142" s="1736"/>
      <c r="E3142" s="1043">
        <v>100.72</v>
      </c>
      <c r="F3142" s="1043"/>
      <c r="G3142" s="1550"/>
    </row>
    <row r="3143" spans="1:7">
      <c r="A3143" s="1754">
        <v>41808</v>
      </c>
      <c r="B3143" s="125" t="str">
        <f>TiposLancamentos!B62</f>
        <v>Papelaria</v>
      </c>
      <c r="C3143" s="1040" t="s">
        <v>6655</v>
      </c>
      <c r="D3143" s="1736"/>
      <c r="E3143" s="1043">
        <v>20</v>
      </c>
      <c r="F3143" s="1043"/>
      <c r="G3143" s="1550"/>
    </row>
    <row r="3144" spans="1:7">
      <c r="A3144" s="1754">
        <v>41808</v>
      </c>
      <c r="B3144" s="125" t="str">
        <f>TiposLancamentos!B62</f>
        <v>Papelaria</v>
      </c>
      <c r="C3144" s="1040" t="s">
        <v>6656</v>
      </c>
      <c r="D3144" s="1736"/>
      <c r="E3144" s="1043">
        <v>15</v>
      </c>
      <c r="F3144" s="1043"/>
      <c r="G3144" s="1550"/>
    </row>
    <row r="3145" spans="1:7">
      <c r="A3145" s="1754">
        <v>41810</v>
      </c>
      <c r="B3145" s="125" t="str">
        <f>TiposLancamentos!B20</f>
        <v>Saques</v>
      </c>
      <c r="C3145" s="1040" t="s">
        <v>3604</v>
      </c>
      <c r="D3145" s="1736"/>
      <c r="E3145" s="1043">
        <v>20</v>
      </c>
      <c r="F3145" s="1043"/>
      <c r="G3145" s="1550"/>
    </row>
    <row r="3146" spans="1:7">
      <c r="A3146" s="1754">
        <v>41810</v>
      </c>
      <c r="B3146" s="125" t="str">
        <f>TiposLancamentos!B19</f>
        <v>Restaurantes</v>
      </c>
      <c r="C3146" s="1040" t="s">
        <v>3618</v>
      </c>
      <c r="D3146" s="1736"/>
      <c r="E3146" s="1043">
        <v>16.98</v>
      </c>
      <c r="F3146" s="1043"/>
      <c r="G3146" s="1550"/>
    </row>
    <row r="3147" spans="1:7">
      <c r="A3147" s="1754">
        <v>41811</v>
      </c>
      <c r="B3147" s="125" t="str">
        <f>TiposLancamentos!B16</f>
        <v>Cristiane</v>
      </c>
      <c r="C3147" s="1040" t="s">
        <v>6657</v>
      </c>
      <c r="D3147" s="1736"/>
      <c r="E3147" s="1043">
        <v>130</v>
      </c>
      <c r="F3147" s="1043">
        <v>130</v>
      </c>
      <c r="G3147" s="1550"/>
    </row>
    <row r="3148" spans="1:7">
      <c r="A3148" s="1754">
        <v>41811</v>
      </c>
      <c r="B3148" s="125" t="str">
        <f>TiposLancamentos!B19</f>
        <v>Restaurantes</v>
      </c>
      <c r="C3148" s="1040" t="s">
        <v>6658</v>
      </c>
      <c r="D3148" s="1736"/>
      <c r="E3148" s="1043">
        <v>128.37</v>
      </c>
      <c r="F3148" s="1043"/>
      <c r="G3148" s="1550"/>
    </row>
    <row r="3149" spans="1:7">
      <c r="A3149" s="1754">
        <v>41811</v>
      </c>
      <c r="B3149" s="125" t="str">
        <f>TiposLancamentos!B19</f>
        <v>Restaurantes</v>
      </c>
      <c r="C3149" s="1040" t="s">
        <v>6659</v>
      </c>
      <c r="D3149" s="1736"/>
      <c r="E3149" s="1043">
        <v>20.5</v>
      </c>
      <c r="F3149" s="1043"/>
      <c r="G3149" s="1550"/>
    </row>
    <row r="3150" spans="1:7">
      <c r="A3150" s="1754">
        <v>41812</v>
      </c>
      <c r="B3150" s="125" t="str">
        <f>TiposLancamentos!B19</f>
        <v>Restaurantes</v>
      </c>
      <c r="C3150" s="1040" t="s">
        <v>6660</v>
      </c>
      <c r="D3150" s="1736"/>
      <c r="E3150" s="1043">
        <v>63.8</v>
      </c>
      <c r="F3150" s="1043"/>
      <c r="G3150" s="1550"/>
    </row>
    <row r="3151" spans="1:7">
      <c r="A3151" s="1754">
        <v>41812</v>
      </c>
      <c r="B3151" s="125" t="str">
        <f>TiposLancamentos!B16</f>
        <v>Cristiane</v>
      </c>
      <c r="C3151" s="1040" t="s">
        <v>6052</v>
      </c>
      <c r="D3151" s="1736"/>
      <c r="E3151" s="1043">
        <v>32.619999999999997</v>
      </c>
      <c r="F3151" s="1043"/>
      <c r="G3151" s="1550"/>
    </row>
    <row r="3152" spans="1:7">
      <c r="A3152" s="1754">
        <v>41813</v>
      </c>
      <c r="B3152" s="125" t="str">
        <f>TiposLancamentos!B20</f>
        <v>Saques</v>
      </c>
      <c r="C3152" s="1040" t="s">
        <v>4368</v>
      </c>
      <c r="D3152" s="1736"/>
      <c r="E3152" s="1043">
        <v>110</v>
      </c>
      <c r="F3152" s="1043"/>
      <c r="G3152" s="1550"/>
    </row>
    <row r="3153" spans="1:7">
      <c r="A3153" s="1754">
        <v>41813</v>
      </c>
      <c r="B3153" s="125" t="str">
        <f>TiposLancamentos!B60</f>
        <v>Correio</v>
      </c>
      <c r="C3153" s="1040" t="s">
        <v>6661</v>
      </c>
      <c r="D3153" s="1736"/>
      <c r="E3153" s="1043">
        <v>18.8</v>
      </c>
      <c r="F3153" s="1043"/>
      <c r="G3153" s="1550"/>
    </row>
    <row r="3154" spans="1:7">
      <c r="A3154" s="1754">
        <v>41813</v>
      </c>
      <c r="B3154" s="125" t="str">
        <f>TiposLancamentos!B16</f>
        <v>Cristiane</v>
      </c>
      <c r="C3154" s="1040" t="s">
        <v>5518</v>
      </c>
      <c r="D3154" s="1736"/>
      <c r="E3154" s="1043">
        <v>159.99</v>
      </c>
      <c r="F3154" s="1043"/>
      <c r="G3154" s="1550"/>
    </row>
    <row r="3155" spans="1:7">
      <c r="A3155" s="1754">
        <v>41813</v>
      </c>
      <c r="B3155" s="125" t="str">
        <f>TiposLancamentos!B16</f>
        <v>Cristiane</v>
      </c>
      <c r="C3155" s="1040" t="s">
        <v>6662</v>
      </c>
      <c r="D3155" s="1736"/>
      <c r="E3155" s="1043">
        <v>41.8</v>
      </c>
      <c r="F3155" s="1043"/>
      <c r="G3155" s="1550"/>
    </row>
    <row r="3156" spans="1:7">
      <c r="A3156" s="1754">
        <v>41813</v>
      </c>
      <c r="B3156" s="125" t="str">
        <f>TiposLancamentos!B19</f>
        <v>Restaurantes</v>
      </c>
      <c r="C3156" s="1040" t="s">
        <v>6663</v>
      </c>
      <c r="D3156" s="1736"/>
      <c r="E3156" s="1043">
        <v>62.7</v>
      </c>
      <c r="F3156" s="1043"/>
      <c r="G3156" s="1550"/>
    </row>
    <row r="3157" spans="1:7">
      <c r="A3157" s="1754">
        <v>41813</v>
      </c>
      <c r="B3157" s="125" t="str">
        <f>TiposLancamentos!B19</f>
        <v>Restaurantes</v>
      </c>
      <c r="C3157" s="1040" t="s">
        <v>6664</v>
      </c>
      <c r="D3157" s="1736"/>
      <c r="E3157" s="1043">
        <v>25.01</v>
      </c>
      <c r="F3157" s="1043"/>
      <c r="G3157" s="1550"/>
    </row>
    <row r="3158" spans="1:7">
      <c r="A3158" s="1754">
        <v>41814</v>
      </c>
      <c r="B3158" s="125" t="str">
        <f>TiposLancamentos!B22</f>
        <v>Combustivel</v>
      </c>
      <c r="C3158" s="1040" t="s">
        <v>6665</v>
      </c>
      <c r="D3158" s="1736"/>
      <c r="E3158" s="1043">
        <v>60</v>
      </c>
      <c r="F3158" s="1043"/>
      <c r="G3158" s="1550"/>
    </row>
    <row r="3159" spans="1:7">
      <c r="A3159" s="1754">
        <v>41814</v>
      </c>
      <c r="B3159" s="125" t="str">
        <f>TiposLancamentos!B19</f>
        <v>Restaurantes</v>
      </c>
      <c r="C3159" s="1040" t="s">
        <v>6666</v>
      </c>
      <c r="D3159" s="1736"/>
      <c r="E3159" s="1043">
        <v>14</v>
      </c>
      <c r="F3159" s="1043"/>
      <c r="G3159" s="1550"/>
    </row>
    <row r="3160" spans="1:7">
      <c r="A3160" s="1754">
        <v>41814</v>
      </c>
      <c r="B3160" s="125" t="str">
        <f>TiposLancamentos!B19</f>
        <v>Restaurantes</v>
      </c>
      <c r="C3160" s="1040" t="s">
        <v>6667</v>
      </c>
      <c r="D3160" s="1736"/>
      <c r="E3160" s="1043">
        <v>24</v>
      </c>
      <c r="F3160" s="1043"/>
      <c r="G3160" s="1550"/>
    </row>
    <row r="3161" spans="1:7">
      <c r="A3161" s="1754">
        <v>41814</v>
      </c>
      <c r="B3161" s="125" t="str">
        <f>TiposLancamentos!B88</f>
        <v>Ford Ecosport XLT</v>
      </c>
      <c r="C3161" s="1040" t="s">
        <v>6668</v>
      </c>
      <c r="D3161" s="1736"/>
      <c r="E3161" s="1043">
        <v>50</v>
      </c>
      <c r="F3161" s="1043"/>
      <c r="G3161" s="1550"/>
    </row>
    <row r="3162" spans="1:7">
      <c r="A3162" s="1754">
        <v>41814</v>
      </c>
      <c r="B3162" s="125" t="str">
        <f>TiposLancamentos!B88</f>
        <v>Ford Ecosport XLT</v>
      </c>
      <c r="C3162" s="1040" t="s">
        <v>6669</v>
      </c>
      <c r="D3162" s="1736"/>
      <c r="E3162" s="1043">
        <v>305</v>
      </c>
      <c r="F3162" s="1043"/>
      <c r="G3162" s="1550"/>
    </row>
    <row r="3163" spans="1:7">
      <c r="A3163" s="1754">
        <v>41814</v>
      </c>
      <c r="B3163" s="125" t="str">
        <f>TiposLancamentos!B88</f>
        <v>Ford Ecosport XLT</v>
      </c>
      <c r="C3163" s="1040" t="s">
        <v>6670</v>
      </c>
      <c r="D3163" s="1736"/>
      <c r="E3163" s="1043">
        <v>73</v>
      </c>
      <c r="F3163" s="1043"/>
      <c r="G3163" s="1550"/>
    </row>
    <row r="3164" spans="1:7">
      <c r="A3164" s="1754">
        <v>41815</v>
      </c>
      <c r="B3164" s="125" t="str">
        <f>TiposLancamentos!B19</f>
        <v>Restaurantes</v>
      </c>
      <c r="C3164" s="1040" t="s">
        <v>3960</v>
      </c>
      <c r="D3164" s="1736"/>
      <c r="E3164" s="1043">
        <v>49.3</v>
      </c>
      <c r="F3164" s="1043"/>
      <c r="G3164" s="1550"/>
    </row>
    <row r="3165" spans="1:7">
      <c r="A3165" s="1754">
        <v>41815</v>
      </c>
      <c r="B3165" s="125" t="str">
        <f>TiposLancamentos!B24</f>
        <v>Estacionamentos</v>
      </c>
      <c r="C3165" s="1040" t="s">
        <v>4333</v>
      </c>
      <c r="D3165" s="1736"/>
      <c r="E3165" s="1043">
        <v>7</v>
      </c>
      <c r="F3165" s="1043"/>
      <c r="G3165" s="1550"/>
    </row>
    <row r="3166" spans="1:7">
      <c r="A3166" s="1754">
        <v>41815</v>
      </c>
      <c r="B3166" s="125" t="str">
        <f>TiposLancamentos!B16</f>
        <v>Cristiane</v>
      </c>
      <c r="C3166" s="1040" t="s">
        <v>6671</v>
      </c>
      <c r="D3166" s="1736"/>
      <c r="E3166" s="1043">
        <v>80.02</v>
      </c>
      <c r="F3166" s="1043"/>
      <c r="G3166" s="1550"/>
    </row>
    <row r="3167" spans="1:7">
      <c r="A3167" s="1754">
        <v>41815</v>
      </c>
      <c r="B3167" s="125" t="str">
        <f>TiposLancamentos!B19</f>
        <v>Restaurantes</v>
      </c>
      <c r="C3167" s="1040" t="s">
        <v>6672</v>
      </c>
      <c r="D3167" s="1736"/>
      <c r="E3167" s="1043">
        <v>53</v>
      </c>
      <c r="F3167" s="1043"/>
      <c r="G3167" s="1550"/>
    </row>
    <row r="3168" spans="1:7">
      <c r="A3168" s="1754">
        <v>41816</v>
      </c>
      <c r="B3168" s="125" t="str">
        <f>TiposLancamentos!B20</f>
        <v>Saques</v>
      </c>
      <c r="C3168" s="1040" t="s">
        <v>6245</v>
      </c>
      <c r="D3168" s="1736"/>
      <c r="E3168" s="1043">
        <v>240</v>
      </c>
      <c r="F3168" s="1043"/>
      <c r="G3168" s="1550"/>
    </row>
    <row r="3169" spans="1:7">
      <c r="A3169" s="1754">
        <v>41816</v>
      </c>
      <c r="B3169" s="125" t="str">
        <f>TiposLancamentos!B22</f>
        <v>Combustivel</v>
      </c>
      <c r="C3169" s="1040" t="s">
        <v>2120</v>
      </c>
      <c r="D3169" s="1736"/>
      <c r="E3169" s="1043">
        <v>80</v>
      </c>
      <c r="F3169" s="1043"/>
      <c r="G3169" s="1550"/>
    </row>
    <row r="3170" spans="1:7">
      <c r="A3170" s="1754">
        <v>41816</v>
      </c>
      <c r="B3170" s="125" t="str">
        <f>TiposLancamentos!B19</f>
        <v>Restaurantes</v>
      </c>
      <c r="C3170" s="1040" t="s">
        <v>3755</v>
      </c>
      <c r="D3170" s="1736"/>
      <c r="E3170" s="1043">
        <v>47.01</v>
      </c>
      <c r="F3170" s="1043"/>
      <c r="G3170" s="1550"/>
    </row>
    <row r="3171" spans="1:7">
      <c r="A3171" s="1754">
        <v>41817</v>
      </c>
      <c r="B3171" s="125" t="str">
        <f>TiposLancamentos!B19</f>
        <v>Restaurantes</v>
      </c>
      <c r="C3171" s="1040" t="s">
        <v>6565</v>
      </c>
      <c r="D3171" s="1736"/>
      <c r="E3171" s="1043">
        <v>33.53</v>
      </c>
      <c r="F3171" s="1043"/>
      <c r="G3171" s="1550"/>
    </row>
    <row r="3172" spans="1:7">
      <c r="A3172" s="1754">
        <v>41817</v>
      </c>
      <c r="B3172" s="125" t="str">
        <f>TiposLancamentos!B5</f>
        <v>Supermercado</v>
      </c>
      <c r="C3172" s="1040" t="s">
        <v>6234</v>
      </c>
      <c r="D3172" s="1736"/>
      <c r="E3172" s="1043">
        <v>245.19</v>
      </c>
      <c r="F3172" s="1043"/>
      <c r="G3172" s="1550"/>
    </row>
    <row r="3173" spans="1:7">
      <c r="A3173" s="1754">
        <v>41818</v>
      </c>
      <c r="B3173" s="125" t="str">
        <f>TiposLancamentos!B5</f>
        <v>Supermercado</v>
      </c>
      <c r="C3173" s="1040" t="s">
        <v>6673</v>
      </c>
      <c r="D3173" s="1736"/>
      <c r="E3173" s="1043">
        <v>28</v>
      </c>
      <c r="F3173" s="1043"/>
      <c r="G3173" s="1550"/>
    </row>
    <row r="3174" spans="1:7">
      <c r="A3174" s="1754">
        <v>41818</v>
      </c>
      <c r="B3174" s="125" t="str">
        <f>TiposLancamentos!B5</f>
        <v>Supermercado</v>
      </c>
      <c r="C3174" s="1040" t="s">
        <v>6674</v>
      </c>
      <c r="D3174" s="1736"/>
      <c r="E3174" s="1043">
        <v>45.32</v>
      </c>
      <c r="F3174" s="1043"/>
      <c r="G3174" s="1550"/>
    </row>
    <row r="3175" spans="1:7">
      <c r="A3175" s="1754">
        <v>41818</v>
      </c>
      <c r="B3175" s="125" t="str">
        <f>TiposLancamentos!B16</f>
        <v>Cristiane</v>
      </c>
      <c r="C3175" s="1040" t="s">
        <v>6675</v>
      </c>
      <c r="D3175" s="1736"/>
      <c r="E3175" s="1043">
        <v>22.6</v>
      </c>
      <c r="F3175" s="1043"/>
      <c r="G3175" s="1550"/>
    </row>
    <row r="3176" spans="1:7">
      <c r="A3176" s="1754">
        <v>41819</v>
      </c>
      <c r="B3176" s="125" t="str">
        <f>TiposLancamentos!B17</f>
        <v>GATO</v>
      </c>
      <c r="C3176" s="1040" t="s">
        <v>6676</v>
      </c>
      <c r="D3176" s="1736"/>
      <c r="E3176" s="1043">
        <v>37.5</v>
      </c>
      <c r="F3176" s="1043"/>
      <c r="G3176" s="1550"/>
    </row>
    <row r="3177" spans="1:7">
      <c r="A3177" s="1754">
        <v>41819</v>
      </c>
      <c r="B3177" s="125" t="str">
        <f>TiposLancamentos!B16</f>
        <v>Cristiane</v>
      </c>
      <c r="C3177" s="1040" t="s">
        <v>5872</v>
      </c>
      <c r="D3177" s="1736"/>
      <c r="E3177" s="1043">
        <v>31.09</v>
      </c>
      <c r="F3177" s="1043"/>
      <c r="G3177" s="1550"/>
    </row>
    <row r="3178" spans="1:7" ht="14.25" thickBot="1">
      <c r="A3178" s="1754">
        <v>41820</v>
      </c>
      <c r="B3178" s="125" t="str">
        <f>TiposLancamentos!B95</f>
        <v>Salarios</v>
      </c>
      <c r="C3178" s="1040" t="s">
        <v>6677</v>
      </c>
      <c r="D3178" s="1736">
        <v>1368.34</v>
      </c>
      <c r="E3178" s="1043"/>
      <c r="F3178" s="1043"/>
      <c r="G3178" s="1550"/>
    </row>
    <row r="3179" spans="1:7">
      <c r="A3179" s="1834"/>
      <c r="B3179" s="977"/>
      <c r="C3179" s="1854" t="s">
        <v>6678</v>
      </c>
      <c r="D3179" s="1823"/>
      <c r="E3179" s="1821"/>
      <c r="F3179" s="1821"/>
      <c r="G3179" s="1895"/>
    </row>
    <row r="3180" spans="1:7">
      <c r="A3180" s="1754">
        <v>41821</v>
      </c>
      <c r="B3180" s="125" t="str">
        <f>TiposLancamentos!B15</f>
        <v>Cartões de Crédito</v>
      </c>
      <c r="C3180" s="1040" t="s">
        <v>6240</v>
      </c>
      <c r="D3180" s="1736"/>
      <c r="E3180" s="1043">
        <v>1100.1199999999999</v>
      </c>
      <c r="F3180" s="1043"/>
      <c r="G3180" s="1550"/>
    </row>
    <row r="3181" spans="1:7">
      <c r="A3181" s="1754">
        <v>41821</v>
      </c>
      <c r="B3181" s="125" t="str">
        <f>TiposLancamentos!B15</f>
        <v>Cartões de Crédito</v>
      </c>
      <c r="C3181" s="1040" t="s">
        <v>5924</v>
      </c>
      <c r="D3181" s="1736"/>
      <c r="E3181" s="1043">
        <v>15.92</v>
      </c>
      <c r="F3181" s="1043"/>
      <c r="G3181" s="1550"/>
    </row>
    <row r="3182" spans="1:7">
      <c r="A3182" s="1754">
        <v>41821</v>
      </c>
      <c r="B3182" s="125" t="str">
        <f>TiposLancamentos!B6</f>
        <v>Energia Eletrica</v>
      </c>
      <c r="C3182" s="1040" t="s">
        <v>5191</v>
      </c>
      <c r="D3182" s="1736"/>
      <c r="E3182" s="1043">
        <v>160.62</v>
      </c>
      <c r="F3182" s="1043"/>
      <c r="G3182" s="1550"/>
    </row>
    <row r="3183" spans="1:7">
      <c r="A3183" s="1754">
        <v>41821</v>
      </c>
      <c r="B3183" s="125" t="str">
        <f>TiposLancamentos!B56</f>
        <v>Farmácia</v>
      </c>
      <c r="C3183" s="1040" t="s">
        <v>6679</v>
      </c>
      <c r="D3183" s="1736"/>
      <c r="E3183" s="1043">
        <v>41.32</v>
      </c>
      <c r="F3183" s="1043"/>
      <c r="G3183" s="1550"/>
    </row>
    <row r="3184" spans="1:7">
      <c r="A3184" s="1754">
        <v>41821</v>
      </c>
      <c r="B3184" s="125" t="str">
        <f>TiposLancamentos!B57</f>
        <v>Informática</v>
      </c>
      <c r="C3184" s="1040" t="s">
        <v>6680</v>
      </c>
      <c r="D3184" s="1736"/>
      <c r="E3184" s="1043">
        <v>253.15</v>
      </c>
      <c r="F3184" s="1043"/>
      <c r="G3184" s="1550"/>
    </row>
    <row r="3185" spans="1:7">
      <c r="A3185" s="1754">
        <v>41822</v>
      </c>
      <c r="B3185" s="125" t="str">
        <f>TiposLancamentos!B72</f>
        <v>Presentes</v>
      </c>
      <c r="C3185" s="1040" t="s">
        <v>6681</v>
      </c>
      <c r="D3185" s="1736"/>
      <c r="E3185" s="1043">
        <v>56</v>
      </c>
      <c r="F3185" s="1043"/>
      <c r="G3185" s="1550"/>
    </row>
    <row r="3186" spans="1:7">
      <c r="A3186" s="1754">
        <v>41822</v>
      </c>
      <c r="B3186" s="125" t="str">
        <f>TiposLancamentos!B19</f>
        <v>Restaurantes</v>
      </c>
      <c r="C3186" s="1040" t="s">
        <v>6682</v>
      </c>
      <c r="D3186" s="1736"/>
      <c r="E3186" s="1043">
        <v>72.8</v>
      </c>
      <c r="F3186" s="1043"/>
      <c r="G3186" s="1550"/>
    </row>
    <row r="3187" spans="1:7">
      <c r="A3187" s="1754">
        <v>41822</v>
      </c>
      <c r="B3187" s="125" t="str">
        <f>TiposLancamentos!B19</f>
        <v>Restaurantes</v>
      </c>
      <c r="C3187" s="1040" t="s">
        <v>6683</v>
      </c>
      <c r="D3187" s="1736"/>
      <c r="E3187" s="1043">
        <v>45.5</v>
      </c>
      <c r="F3187" s="1043"/>
      <c r="G3187" s="1550"/>
    </row>
    <row r="3188" spans="1:7">
      <c r="A3188" s="1754">
        <v>41823</v>
      </c>
      <c r="B3188" s="125" t="str">
        <f>TiposLancamentos!B22</f>
        <v>Combustivel</v>
      </c>
      <c r="C3188" s="1040" t="s">
        <v>6684</v>
      </c>
      <c r="D3188" s="1736"/>
      <c r="E3188" s="1043">
        <v>60</v>
      </c>
      <c r="F3188" s="1043"/>
      <c r="G3188" s="1550"/>
    </row>
    <row r="3189" spans="1:7">
      <c r="A3189" s="1754">
        <v>41823</v>
      </c>
      <c r="B3189" s="125" t="str">
        <f>TiposLancamentos!B24</f>
        <v>Estacionamentos</v>
      </c>
      <c r="C3189" s="1040" t="s">
        <v>6685</v>
      </c>
      <c r="D3189" s="1736"/>
      <c r="E3189" s="1043">
        <v>13</v>
      </c>
      <c r="F3189" s="1043"/>
      <c r="G3189" s="1550"/>
    </row>
    <row r="3190" spans="1:7">
      <c r="A3190" s="1754">
        <v>41823</v>
      </c>
      <c r="B3190" s="125" t="str">
        <f>TiposLancamentos!B19</f>
        <v>Restaurantes</v>
      </c>
      <c r="C3190" s="1040" t="s">
        <v>6686</v>
      </c>
      <c r="D3190" s="1736"/>
      <c r="E3190" s="1043">
        <v>41</v>
      </c>
      <c r="F3190" s="1043"/>
      <c r="G3190" s="1550"/>
    </row>
    <row r="3191" spans="1:7">
      <c r="A3191" s="1754">
        <v>41823</v>
      </c>
      <c r="B3191" s="125" t="str">
        <f>TiposLancamentos!B19</f>
        <v>Restaurantes</v>
      </c>
      <c r="C3191" s="1040" t="s">
        <v>6687</v>
      </c>
      <c r="D3191" s="1736"/>
      <c r="E3191" s="1043">
        <v>23</v>
      </c>
      <c r="F3191" s="1043"/>
      <c r="G3191" s="1550"/>
    </row>
    <row r="3192" spans="1:7">
      <c r="A3192" s="1754">
        <v>41824</v>
      </c>
      <c r="B3192" s="125" t="str">
        <f>TiposLancamentos!B19</f>
        <v>Restaurantes</v>
      </c>
      <c r="C3192" s="1040" t="s">
        <v>6230</v>
      </c>
      <c r="D3192" s="1736"/>
      <c r="E3192" s="1043">
        <v>83.16</v>
      </c>
      <c r="F3192" s="1043"/>
      <c r="G3192" s="1550"/>
    </row>
    <row r="3193" spans="1:7">
      <c r="A3193" s="1754">
        <v>41825</v>
      </c>
      <c r="B3193" s="125" t="str">
        <f>TiposLancamentos!B19</f>
        <v>Restaurantes</v>
      </c>
      <c r="C3193" s="1040" t="s">
        <v>6688</v>
      </c>
      <c r="D3193" s="1736"/>
      <c r="E3193" s="1043">
        <v>129.80000000000001</v>
      </c>
      <c r="F3193" s="1043"/>
      <c r="G3193" s="1550"/>
    </row>
    <row r="3194" spans="1:7">
      <c r="A3194" s="1754">
        <v>41825</v>
      </c>
      <c r="B3194" s="125" t="str">
        <f>TiposLancamentos!B24</f>
        <v>Estacionamentos</v>
      </c>
      <c r="C3194" s="1040" t="s">
        <v>6193</v>
      </c>
      <c r="D3194" s="1736"/>
      <c r="E3194" s="1043">
        <v>12</v>
      </c>
      <c r="F3194" s="1043"/>
      <c r="G3194" s="1550"/>
    </row>
    <row r="3195" spans="1:7">
      <c r="A3195" s="1754">
        <v>41825</v>
      </c>
      <c r="B3195" s="125" t="str">
        <f>TiposLancamentos!B16</f>
        <v>Cristiane</v>
      </c>
      <c r="C3195" s="1040" t="s">
        <v>6689</v>
      </c>
      <c r="D3195" s="1736"/>
      <c r="E3195" s="1043">
        <v>89.9</v>
      </c>
      <c r="F3195" s="1043"/>
      <c r="G3195" s="1550"/>
    </row>
    <row r="3196" spans="1:7">
      <c r="A3196" s="1754">
        <v>41825</v>
      </c>
      <c r="B3196" s="125" t="str">
        <f>TiposLancamentos!B19</f>
        <v>Restaurantes</v>
      </c>
      <c r="C3196" s="1040" t="s">
        <v>6690</v>
      </c>
      <c r="D3196" s="1736"/>
      <c r="E3196" s="1043">
        <v>32.119999999999997</v>
      </c>
      <c r="F3196" s="1043"/>
      <c r="G3196" s="1550"/>
    </row>
    <row r="3197" spans="1:7">
      <c r="A3197" s="1754">
        <v>41825</v>
      </c>
      <c r="B3197" s="125" t="str">
        <f>TiposLancamentos!B5</f>
        <v>Supermercado</v>
      </c>
      <c r="C3197" s="1040" t="s">
        <v>6234</v>
      </c>
      <c r="D3197" s="1736"/>
      <c r="E3197" s="1043">
        <v>66.09</v>
      </c>
      <c r="F3197" s="1043"/>
      <c r="G3197" s="1550"/>
    </row>
    <row r="3198" spans="1:7">
      <c r="A3198" s="1754">
        <v>41826</v>
      </c>
      <c r="B3198" s="125" t="str">
        <f>TiposLancamentos!B22</f>
        <v>Combustivel</v>
      </c>
      <c r="C3198" s="1040" t="s">
        <v>6691</v>
      </c>
      <c r="D3198" s="1736"/>
      <c r="E3198" s="1043">
        <v>60</v>
      </c>
      <c r="F3198" s="1043"/>
      <c r="G3198" s="1550"/>
    </row>
    <row r="3199" spans="1:7">
      <c r="A3199" s="1754">
        <v>41826</v>
      </c>
      <c r="B3199" s="125" t="str">
        <f>TiposLancamentos!B19</f>
        <v>Restaurantes</v>
      </c>
      <c r="C3199" s="1040" t="s">
        <v>6692</v>
      </c>
      <c r="D3199" s="1736"/>
      <c r="E3199" s="1043">
        <v>104.66</v>
      </c>
      <c r="F3199" s="1043"/>
      <c r="G3199" s="1550"/>
    </row>
    <row r="3200" spans="1:7">
      <c r="A3200" s="1754">
        <v>41826</v>
      </c>
      <c r="B3200" s="125" t="str">
        <f>TiposLancamentos!B19</f>
        <v>Restaurantes</v>
      </c>
      <c r="C3200" s="1040" t="s">
        <v>6693</v>
      </c>
      <c r="D3200" s="1736"/>
      <c r="E3200" s="1043">
        <v>8.4</v>
      </c>
      <c r="F3200" s="1043"/>
      <c r="G3200" s="1550"/>
    </row>
    <row r="3201" spans="1:7">
      <c r="A3201" s="1754">
        <v>41827</v>
      </c>
      <c r="B3201" s="125" t="str">
        <f>TiposLancamentos!B9</f>
        <v>Condominio</v>
      </c>
      <c r="C3201" s="1040" t="s">
        <v>1684</v>
      </c>
      <c r="D3201" s="1736"/>
      <c r="E3201" s="1043">
        <v>868.93</v>
      </c>
      <c r="F3201" s="1043"/>
      <c r="G3201" s="1550"/>
    </row>
    <row r="3202" spans="1:7">
      <c r="A3202" s="1754">
        <v>41827</v>
      </c>
      <c r="B3202" s="125" t="str">
        <f>TiposLancamentos!B2</f>
        <v>Telefonia</v>
      </c>
      <c r="C3202" s="1040" t="s">
        <v>4895</v>
      </c>
      <c r="D3202" s="1736"/>
      <c r="E3202" s="1043">
        <v>120.49</v>
      </c>
      <c r="F3202" s="1043"/>
      <c r="G3202" s="1550"/>
    </row>
    <row r="3203" spans="1:7">
      <c r="A3203" s="1754">
        <v>41827</v>
      </c>
      <c r="B3203" s="125" t="str">
        <f>TiposLancamentos!B73</f>
        <v>Cursos</v>
      </c>
      <c r="C3203" s="1040" t="s">
        <v>6694</v>
      </c>
      <c r="D3203" s="1736"/>
      <c r="E3203" s="1043">
        <v>640.16</v>
      </c>
      <c r="F3203" s="1043"/>
      <c r="G3203" s="1550"/>
    </row>
    <row r="3204" spans="1:7">
      <c r="A3204" s="1754">
        <v>41828</v>
      </c>
      <c r="B3204" s="125" t="str">
        <f>TiposLancamentos!B20</f>
        <v>Saques</v>
      </c>
      <c r="C3204" s="1040" t="s">
        <v>4368</v>
      </c>
      <c r="D3204" s="1736"/>
      <c r="E3204" s="1043">
        <v>20</v>
      </c>
      <c r="F3204" s="1043"/>
      <c r="G3204" s="1550"/>
    </row>
    <row r="3205" spans="1:7">
      <c r="A3205" s="1754">
        <v>41828</v>
      </c>
      <c r="B3205" s="125" t="str">
        <f>TiposLancamentos!B31</f>
        <v>Action Figures</v>
      </c>
      <c r="C3205" s="1040" t="s">
        <v>6695</v>
      </c>
      <c r="D3205" s="1736"/>
      <c r="E3205" s="1043">
        <v>289</v>
      </c>
      <c r="F3205" s="1043"/>
      <c r="G3205" s="1550"/>
    </row>
    <row r="3206" spans="1:7">
      <c r="A3206" s="1754">
        <v>41828</v>
      </c>
      <c r="B3206" s="125" t="str">
        <f>TiposLancamentos!B57</f>
        <v>Informática</v>
      </c>
      <c r="C3206" s="1040" t="s">
        <v>6696</v>
      </c>
      <c r="D3206" s="1736"/>
      <c r="E3206" s="1043">
        <v>65</v>
      </c>
      <c r="F3206" s="1043"/>
      <c r="G3206" s="1550"/>
    </row>
    <row r="3207" spans="1:7">
      <c r="A3207" s="1754">
        <v>41828</v>
      </c>
      <c r="B3207" s="125" t="str">
        <f>TiposLancamentos!B19</f>
        <v>Restaurantes</v>
      </c>
      <c r="C3207" s="1040" t="s">
        <v>6565</v>
      </c>
      <c r="D3207" s="1736"/>
      <c r="E3207" s="1043">
        <v>31.68</v>
      </c>
      <c r="F3207" s="1043"/>
      <c r="G3207" s="1550"/>
    </row>
    <row r="3208" spans="1:7">
      <c r="A3208" s="1754">
        <v>41828</v>
      </c>
      <c r="B3208" s="125" t="str">
        <f>TiposLancamentos!B5</f>
        <v>Supermercado</v>
      </c>
      <c r="C3208" s="1040" t="s">
        <v>6697</v>
      </c>
      <c r="D3208" s="1736"/>
      <c r="E3208" s="1043">
        <v>98.45</v>
      </c>
      <c r="F3208" s="1043"/>
      <c r="G3208" s="1550"/>
    </row>
    <row r="3209" spans="1:7">
      <c r="A3209" s="1754">
        <v>41829</v>
      </c>
      <c r="B3209" s="125" t="str">
        <f>TiposLancamentos!B19</f>
        <v>Restaurantes</v>
      </c>
      <c r="C3209" s="1040" t="s">
        <v>6698</v>
      </c>
      <c r="D3209" s="1736"/>
      <c r="E3209" s="1043">
        <v>10.5</v>
      </c>
      <c r="F3209" s="1043"/>
      <c r="G3209" s="1550"/>
    </row>
    <row r="3210" spans="1:7">
      <c r="A3210" s="1666">
        <v>41829</v>
      </c>
      <c r="B3210" s="817" t="str">
        <f>TiposLancamentos!B57</f>
        <v>Informática</v>
      </c>
      <c r="C3210" s="1742" t="s">
        <v>6699</v>
      </c>
      <c r="D3210" s="1735"/>
      <c r="E3210" s="1733">
        <v>49.9</v>
      </c>
      <c r="F3210" s="1043"/>
      <c r="G3210" s="1550"/>
    </row>
    <row r="3211" spans="1:7">
      <c r="A3211" s="1750">
        <v>41829</v>
      </c>
      <c r="B3211" s="818" t="str">
        <f>TiposLancamentos!B13</f>
        <v>Moradia</v>
      </c>
      <c r="C3211" s="1743" t="s">
        <v>6700</v>
      </c>
      <c r="D3211" s="1737"/>
      <c r="E3211" s="1668">
        <f>F3211-E3210</f>
        <v>10.899999999999999</v>
      </c>
      <c r="F3211" s="1043">
        <v>60.8</v>
      </c>
      <c r="G3211" s="1550"/>
    </row>
    <row r="3212" spans="1:7">
      <c r="A3212" s="1754">
        <v>41829</v>
      </c>
      <c r="B3212" s="125" t="str">
        <f>TiposLancamentos!B71</f>
        <v>Itens Pessoais</v>
      </c>
      <c r="C3212" s="1040" t="s">
        <v>6701</v>
      </c>
      <c r="D3212" s="1736"/>
      <c r="E3212" s="1043">
        <v>540</v>
      </c>
      <c r="F3212" s="1043"/>
      <c r="G3212" s="1550"/>
    </row>
    <row r="3213" spans="1:7">
      <c r="A3213" s="1666">
        <v>41830</v>
      </c>
      <c r="B3213" s="817" t="str">
        <f>TiposLancamentos!B35</f>
        <v>Tv à Cabo</v>
      </c>
      <c r="C3213" s="1742" t="s">
        <v>5834</v>
      </c>
      <c r="D3213" s="1735"/>
      <c r="E3213" s="1733">
        <v>120</v>
      </c>
      <c r="F3213" s="1043"/>
      <c r="G3213" s="1550"/>
    </row>
    <row r="3214" spans="1:7">
      <c r="A3214" s="1667">
        <v>41830</v>
      </c>
      <c r="B3214" s="816" t="str">
        <f>TiposLancamentos!B3</f>
        <v>Internet</v>
      </c>
      <c r="C3214" s="1769" t="s">
        <v>5835</v>
      </c>
      <c r="D3214" s="1736"/>
      <c r="E3214" s="1734">
        <v>59.9</v>
      </c>
      <c r="F3214" s="1043"/>
      <c r="G3214" s="1550"/>
    </row>
    <row r="3215" spans="1:7">
      <c r="A3215" s="1750">
        <v>41830</v>
      </c>
      <c r="B3215" s="818" t="str">
        <f>TiposLancamentos!B2</f>
        <v>Telefonia</v>
      </c>
      <c r="C3215" s="1743" t="s">
        <v>5836</v>
      </c>
      <c r="D3215" s="1737"/>
      <c r="E3215" s="1668">
        <v>1.58</v>
      </c>
      <c r="F3215" s="1043">
        <f>SUM(E3213:E3215)</f>
        <v>181.48000000000002</v>
      </c>
      <c r="G3215" s="1550"/>
    </row>
    <row r="3216" spans="1:7">
      <c r="A3216" s="1754">
        <v>41830</v>
      </c>
      <c r="B3216" s="125" t="str">
        <f>TiposLancamentos!B19</f>
        <v>Restaurantes</v>
      </c>
      <c r="C3216" s="1040" t="s">
        <v>6702</v>
      </c>
      <c r="D3216" s="1736"/>
      <c r="E3216" s="1043">
        <v>47.5</v>
      </c>
      <c r="F3216" s="1043"/>
      <c r="G3216" s="1550"/>
    </row>
    <row r="3217" spans="1:7">
      <c r="A3217" s="1666">
        <v>41830</v>
      </c>
      <c r="B3217" s="817" t="str">
        <f>TiposLancamentos!B8</f>
        <v>Aluguel</v>
      </c>
      <c r="C3217" s="1742" t="s">
        <v>6163</v>
      </c>
      <c r="D3217" s="1735"/>
      <c r="E3217" s="1733">
        <f>F3219-E3218-E3219</f>
        <v>1406.3</v>
      </c>
      <c r="F3217" s="1043"/>
      <c r="G3217" s="1550"/>
    </row>
    <row r="3218" spans="1:7">
      <c r="A3218" s="1667">
        <v>41830</v>
      </c>
      <c r="B3218" s="816" t="str">
        <f>TiposLancamentos!B12</f>
        <v>IPTU</v>
      </c>
      <c r="C3218" s="1769" t="s">
        <v>6703</v>
      </c>
      <c r="D3218" s="1736"/>
      <c r="E3218" s="1734">
        <v>110.83</v>
      </c>
      <c r="F3218" s="1043"/>
      <c r="G3218" s="1550"/>
    </row>
    <row r="3219" spans="1:7">
      <c r="A3219" s="1750">
        <v>41830</v>
      </c>
      <c r="B3219" s="818" t="str">
        <f>TiposLancamentos!B34</f>
        <v>Seguros</v>
      </c>
      <c r="C3219" s="1743" t="s">
        <v>6320</v>
      </c>
      <c r="D3219" s="1737"/>
      <c r="E3219" s="1668">
        <v>240.91</v>
      </c>
      <c r="F3219" s="1043">
        <v>1758.04</v>
      </c>
      <c r="G3219" s="1550"/>
    </row>
    <row r="3220" spans="1:7">
      <c r="A3220" s="1754">
        <v>41831</v>
      </c>
      <c r="B3220" s="125" t="str">
        <f>TiposLancamentos!B19</f>
        <v>Restaurantes</v>
      </c>
      <c r="C3220" s="1040" t="s">
        <v>6704</v>
      </c>
      <c r="D3220" s="1736"/>
      <c r="E3220" s="1043">
        <v>22.8</v>
      </c>
      <c r="F3220" s="1043"/>
      <c r="G3220" s="1550"/>
    </row>
    <row r="3221" spans="1:7">
      <c r="A3221" s="1754">
        <v>41831</v>
      </c>
      <c r="B3221" s="125" t="str">
        <f>TiposLancamentos!B28</f>
        <v>ComicBook</v>
      </c>
      <c r="C3221" s="1040" t="s">
        <v>6705</v>
      </c>
      <c r="D3221" s="1736"/>
      <c r="E3221" s="1043">
        <v>22.9</v>
      </c>
      <c r="F3221" s="1043"/>
      <c r="G3221" s="1550"/>
    </row>
    <row r="3222" spans="1:7">
      <c r="A3222" s="1754">
        <v>41831</v>
      </c>
      <c r="B3222" s="125" t="str">
        <f>TiposLancamentos!B16</f>
        <v>Cristiane</v>
      </c>
      <c r="C3222" s="1040" t="s">
        <v>5944</v>
      </c>
      <c r="D3222" s="1736"/>
      <c r="E3222" s="1043">
        <v>125.92</v>
      </c>
      <c r="F3222" s="1043"/>
      <c r="G3222" s="1550"/>
    </row>
    <row r="3223" spans="1:7">
      <c r="A3223" s="1754">
        <v>41832</v>
      </c>
      <c r="B3223" s="125" t="str">
        <f>TiposLancamentos!B19</f>
        <v>Restaurantes</v>
      </c>
      <c r="C3223" s="1040" t="s">
        <v>6706</v>
      </c>
      <c r="D3223" s="1736"/>
      <c r="E3223" s="1043">
        <v>93.37</v>
      </c>
      <c r="F3223" s="1043"/>
      <c r="G3223" s="1550"/>
    </row>
    <row r="3224" spans="1:7">
      <c r="A3224" s="1666">
        <v>41832</v>
      </c>
      <c r="B3224" s="817" t="str">
        <f>TiposLancamentos!B56</f>
        <v>Farmácia</v>
      </c>
      <c r="C3224" s="1742" t="s">
        <v>6118</v>
      </c>
      <c r="D3224" s="1735"/>
      <c r="E3224" s="1733">
        <v>62</v>
      </c>
      <c r="F3224" s="1043"/>
      <c r="G3224" s="1550"/>
    </row>
    <row r="3225" spans="1:7">
      <c r="A3225" s="1750">
        <v>41832</v>
      </c>
      <c r="B3225" s="818" t="str">
        <f>TiposLancamentos!B16</f>
        <v>Cristiane</v>
      </c>
      <c r="C3225" s="1743" t="s">
        <v>6707</v>
      </c>
      <c r="D3225" s="1737"/>
      <c r="E3225" s="1668">
        <f>F3225-E3224</f>
        <v>90</v>
      </c>
      <c r="F3225" s="1043">
        <v>152</v>
      </c>
      <c r="G3225" s="1550"/>
    </row>
    <row r="3226" spans="1:7">
      <c r="A3226" s="1754">
        <v>41833</v>
      </c>
      <c r="B3226" s="125" t="str">
        <f>TiposLancamentos!B19</f>
        <v>Restaurantes</v>
      </c>
      <c r="C3226" s="1040" t="s">
        <v>6708</v>
      </c>
      <c r="D3226" s="1736"/>
      <c r="E3226" s="1043">
        <v>106.15</v>
      </c>
      <c r="F3226" s="1043"/>
      <c r="G3226" s="1550"/>
    </row>
    <row r="3227" spans="1:7">
      <c r="A3227" s="1754">
        <v>41833</v>
      </c>
      <c r="B3227" s="125" t="str">
        <f>TiposLancamentos!B5</f>
        <v>Supermercado</v>
      </c>
      <c r="C3227" s="1040" t="s">
        <v>6709</v>
      </c>
      <c r="D3227" s="1736"/>
      <c r="E3227" s="1043">
        <v>55.5</v>
      </c>
      <c r="F3227" s="1043"/>
      <c r="G3227" s="1550"/>
    </row>
    <row r="3228" spans="1:7">
      <c r="A3228" s="1754">
        <v>41834</v>
      </c>
      <c r="B3228" s="125" t="str">
        <f>TiposLancamentos!B52</f>
        <v>Multas</v>
      </c>
      <c r="C3228" s="1040" t="s">
        <v>6710</v>
      </c>
      <c r="D3228" s="1736"/>
      <c r="E3228" s="1043">
        <v>153.22</v>
      </c>
      <c r="F3228" s="1043"/>
      <c r="G3228" s="1550"/>
    </row>
    <row r="3229" spans="1:7">
      <c r="A3229" s="1754">
        <v>41834</v>
      </c>
      <c r="B3229" s="125" t="str">
        <f>TiposLancamentos!B13</f>
        <v>Moradia</v>
      </c>
      <c r="C3229" s="1040" t="s">
        <v>6711</v>
      </c>
      <c r="D3229" s="1736"/>
      <c r="E3229" s="1043">
        <v>91.9</v>
      </c>
      <c r="F3229" s="1043"/>
      <c r="G3229" s="1550"/>
    </row>
    <row r="3230" spans="1:7">
      <c r="A3230" s="1754">
        <v>41834</v>
      </c>
      <c r="B3230" s="125" t="str">
        <f>TiposLancamentos!B22</f>
        <v>Combustivel</v>
      </c>
      <c r="C3230" s="1040" t="s">
        <v>6412</v>
      </c>
      <c r="D3230" s="1736"/>
      <c r="E3230" s="1043">
        <v>30.03</v>
      </c>
      <c r="F3230" s="1043"/>
      <c r="G3230" s="1550"/>
    </row>
    <row r="3231" spans="1:7">
      <c r="A3231" s="1754">
        <v>41835</v>
      </c>
      <c r="B3231" s="125" t="str">
        <f>TiposLancamentos!B59</f>
        <v>Documentos</v>
      </c>
      <c r="C3231" s="1040" t="s">
        <v>6712</v>
      </c>
      <c r="D3231" s="1736"/>
      <c r="E3231" s="1043">
        <v>164.93</v>
      </c>
      <c r="F3231" s="1043">
        <v>164.93</v>
      </c>
      <c r="G3231" s="1550"/>
    </row>
    <row r="3232" spans="1:7">
      <c r="A3232" s="1754">
        <v>41835</v>
      </c>
      <c r="B3232" s="125" t="str">
        <f>TiposLancamentos!B16</f>
        <v>Cristiane</v>
      </c>
      <c r="C3232" s="1040" t="s">
        <v>6713</v>
      </c>
      <c r="D3232" s="1736"/>
      <c r="E3232" s="1043">
        <v>69</v>
      </c>
      <c r="F3232" s="1043"/>
      <c r="G3232" s="1550"/>
    </row>
    <row r="3233" spans="1:7">
      <c r="A3233" s="1754">
        <v>41835</v>
      </c>
      <c r="B3233" s="125" t="str">
        <f>TiposLancamentos!B60</f>
        <v>Correio</v>
      </c>
      <c r="C3233" s="1040" t="s">
        <v>6714</v>
      </c>
      <c r="D3233" s="1736"/>
      <c r="E3233" s="1043">
        <v>16.2</v>
      </c>
      <c r="F3233" s="1043"/>
      <c r="G3233" s="1550"/>
    </row>
    <row r="3234" spans="1:7">
      <c r="A3234" s="1754">
        <v>41835</v>
      </c>
      <c r="B3234" s="125" t="str">
        <f>TiposLancamentos!B16</f>
        <v>Cristiane</v>
      </c>
      <c r="C3234" s="1040" t="s">
        <v>6715</v>
      </c>
      <c r="D3234" s="1736"/>
      <c r="E3234" s="1043">
        <v>32.299999999999997</v>
      </c>
      <c r="F3234" s="1043"/>
      <c r="G3234" s="1550"/>
    </row>
    <row r="3235" spans="1:7">
      <c r="A3235" s="1754">
        <v>41835</v>
      </c>
      <c r="B3235" s="125" t="str">
        <f>TiposLancamentos!B19</f>
        <v>Restaurantes</v>
      </c>
      <c r="C3235" s="1040" t="s">
        <v>6716</v>
      </c>
      <c r="D3235" s="1736"/>
      <c r="E3235" s="1043">
        <v>33.5</v>
      </c>
      <c r="F3235" s="1043"/>
      <c r="G3235" s="1550"/>
    </row>
    <row r="3236" spans="1:7">
      <c r="A3236" s="1754">
        <v>41835</v>
      </c>
      <c r="B3236" s="125" t="str">
        <f>TiposLancamentos!B5</f>
        <v>Supermercado</v>
      </c>
      <c r="C3236" s="1040" t="s">
        <v>6717</v>
      </c>
      <c r="D3236" s="1736"/>
      <c r="E3236" s="1043">
        <v>75.2</v>
      </c>
      <c r="F3236" s="1043"/>
      <c r="G3236" s="1550"/>
    </row>
    <row r="3237" spans="1:7">
      <c r="A3237" s="1666">
        <v>41835</v>
      </c>
      <c r="B3237" s="817" t="str">
        <f>TiposLancamentos!B33</f>
        <v>Pedágios</v>
      </c>
      <c r="C3237" s="1742" t="s">
        <v>5392</v>
      </c>
      <c r="D3237" s="1735"/>
      <c r="E3237" s="1733">
        <f>F3239-(E3238+E3239)</f>
        <v>146.93</v>
      </c>
      <c r="F3237" s="1043"/>
      <c r="G3237" s="1550"/>
    </row>
    <row r="3238" spans="1:7">
      <c r="A3238" s="1667">
        <v>41835</v>
      </c>
      <c r="B3238" s="816" t="str">
        <f>TiposLancamentos!B24</f>
        <v>Estacionamentos</v>
      </c>
      <c r="C3238" s="1769" t="s">
        <v>5863</v>
      </c>
      <c r="D3238" s="1736"/>
      <c r="E3238" s="1734">
        <v>28</v>
      </c>
      <c r="F3238" s="1043"/>
      <c r="G3238" s="1550"/>
    </row>
    <row r="3239" spans="1:7">
      <c r="A3239" s="1750">
        <v>41835</v>
      </c>
      <c r="B3239" s="818" t="str">
        <f>TiposLancamentos!B24</f>
        <v>Estacionamentos</v>
      </c>
      <c r="C3239" s="1743" t="s">
        <v>6297</v>
      </c>
      <c r="D3239" s="1737"/>
      <c r="E3239" s="1668">
        <v>13</v>
      </c>
      <c r="F3239" s="1043">
        <v>187.93</v>
      </c>
      <c r="G3239" s="1550"/>
    </row>
    <row r="3240" spans="1:7">
      <c r="A3240" s="1754">
        <v>41836</v>
      </c>
      <c r="B3240" s="125" t="str">
        <f>TiposLancamentos!B22</f>
        <v>Combustivel</v>
      </c>
      <c r="C3240" s="1040" t="s">
        <v>6718</v>
      </c>
      <c r="D3240" s="1736"/>
      <c r="E3240" s="1043">
        <v>80</v>
      </c>
      <c r="F3240" s="1043"/>
      <c r="G3240" s="1550"/>
    </row>
    <row r="3241" spans="1:7">
      <c r="A3241" s="1754">
        <v>41836</v>
      </c>
      <c r="B3241" s="125" t="str">
        <f>TiposLancamentos!B19</f>
        <v>Restaurantes</v>
      </c>
      <c r="C3241" s="1040" t="s">
        <v>6719</v>
      </c>
      <c r="D3241" s="1736"/>
      <c r="E3241" s="1043">
        <v>94.25</v>
      </c>
      <c r="F3241" s="1043"/>
      <c r="G3241" s="1550"/>
    </row>
    <row r="3242" spans="1:7">
      <c r="A3242" s="1754">
        <v>41836</v>
      </c>
      <c r="B3242" s="125" t="str">
        <f>TiposLancamentos!B19</f>
        <v>Restaurantes</v>
      </c>
      <c r="C3242" s="1040" t="s">
        <v>6720</v>
      </c>
      <c r="D3242" s="1736"/>
      <c r="E3242" s="1043">
        <v>20.5</v>
      </c>
      <c r="F3242" s="1043"/>
      <c r="G3242" s="1550"/>
    </row>
    <row r="3243" spans="1:7">
      <c r="A3243" s="1754">
        <v>41836</v>
      </c>
      <c r="B3243" s="125" t="str">
        <f>TiposLancamentos!B48</f>
        <v>Baralhos e Oráculos</v>
      </c>
      <c r="C3243" s="1040" t="s">
        <v>6721</v>
      </c>
      <c r="D3243" s="1736"/>
      <c r="E3243" s="1043">
        <v>89.8</v>
      </c>
      <c r="F3243" s="1043"/>
      <c r="G3243" s="1550"/>
    </row>
    <row r="3244" spans="1:7">
      <c r="A3244" s="1754">
        <v>41836</v>
      </c>
      <c r="B3244" s="125" t="str">
        <f>TiposLancamentos!B19</f>
        <v>Restaurantes</v>
      </c>
      <c r="C3244" s="1040" t="s">
        <v>6137</v>
      </c>
      <c r="D3244" s="1736"/>
      <c r="E3244" s="1043">
        <v>86</v>
      </c>
      <c r="F3244" s="1043"/>
      <c r="G3244" s="1550"/>
    </row>
    <row r="3245" spans="1:7">
      <c r="A3245" s="1754">
        <v>41837</v>
      </c>
      <c r="B3245" s="125" t="str">
        <f>TiposLancamentos!B20</f>
        <v>Saques</v>
      </c>
      <c r="C3245" s="1040" t="s">
        <v>4368</v>
      </c>
      <c r="D3245" s="1736"/>
      <c r="E3245" s="1043">
        <v>80</v>
      </c>
      <c r="F3245" s="1043"/>
      <c r="G3245" s="1550"/>
    </row>
    <row r="3246" spans="1:7">
      <c r="A3246" s="1754">
        <v>41837</v>
      </c>
      <c r="B3246" s="125" t="str">
        <f>B3242</f>
        <v>Restaurantes</v>
      </c>
      <c r="C3246" s="1040" t="s">
        <v>6722</v>
      </c>
      <c r="D3246" s="1736"/>
      <c r="E3246" s="1043">
        <v>23.9</v>
      </c>
      <c r="F3246" s="1043"/>
      <c r="G3246" s="1550"/>
    </row>
    <row r="3247" spans="1:7">
      <c r="A3247" s="1754">
        <v>41837</v>
      </c>
      <c r="B3247" s="125" t="str">
        <f>TiposLancamentos!B19</f>
        <v>Restaurantes</v>
      </c>
      <c r="C3247" s="1040" t="s">
        <v>6723</v>
      </c>
      <c r="D3247" s="1736"/>
      <c r="E3247" s="1043">
        <v>170.5</v>
      </c>
      <c r="F3247" s="1043"/>
      <c r="G3247" s="1550"/>
    </row>
    <row r="3248" spans="1:7">
      <c r="A3248" s="1754">
        <v>41838</v>
      </c>
      <c r="B3248" s="125" t="str">
        <f>TiposLancamentos!B71</f>
        <v>Itens Pessoais</v>
      </c>
      <c r="C3248" s="1040" t="s">
        <v>3762</v>
      </c>
      <c r="D3248" s="1736"/>
      <c r="E3248" s="1043">
        <v>27</v>
      </c>
      <c r="F3248" s="1043"/>
      <c r="G3248" s="1550"/>
    </row>
    <row r="3249" spans="1:7">
      <c r="A3249" s="1754">
        <v>41838</v>
      </c>
      <c r="B3249" s="125" t="str">
        <f>TiposLancamentos!B5</f>
        <v>Supermercado</v>
      </c>
      <c r="C3249" s="1040" t="s">
        <v>5844</v>
      </c>
      <c r="D3249" s="1736"/>
      <c r="E3249" s="1043">
        <v>81.25</v>
      </c>
      <c r="F3249" s="1043"/>
      <c r="G3249" s="1550"/>
    </row>
    <row r="3250" spans="1:7">
      <c r="A3250" s="1754">
        <v>41838</v>
      </c>
      <c r="B3250" s="125" t="str">
        <f>TiposLancamentos!B5</f>
        <v>Supermercado</v>
      </c>
      <c r="C3250" s="1040" t="s">
        <v>6724</v>
      </c>
      <c r="D3250" s="1736"/>
      <c r="E3250" s="1043">
        <v>4.79</v>
      </c>
      <c r="F3250" s="1043"/>
      <c r="G3250" s="1550"/>
    </row>
    <row r="3251" spans="1:7">
      <c r="A3251" s="1754">
        <v>41839</v>
      </c>
      <c r="B3251" s="125" t="str">
        <f>B3246</f>
        <v>Restaurantes</v>
      </c>
      <c r="C3251" s="1040" t="s">
        <v>6725</v>
      </c>
      <c r="D3251" s="1736"/>
      <c r="E3251" s="1043">
        <v>57.48</v>
      </c>
      <c r="F3251" s="1043"/>
      <c r="G3251" s="1550"/>
    </row>
    <row r="3252" spans="1:7">
      <c r="A3252" s="1754">
        <v>41840</v>
      </c>
      <c r="B3252" s="125" t="str">
        <f>B3251</f>
        <v>Restaurantes</v>
      </c>
      <c r="C3252" s="1040" t="s">
        <v>6726</v>
      </c>
      <c r="D3252" s="1736"/>
      <c r="E3252" s="1043">
        <v>48.5</v>
      </c>
      <c r="F3252" s="1043"/>
      <c r="G3252" s="1550"/>
    </row>
    <row r="3253" spans="1:7">
      <c r="A3253" s="1754">
        <v>41841</v>
      </c>
      <c r="B3253" s="125" t="str">
        <f>TiposLancamentos!B5</f>
        <v>Supermercado</v>
      </c>
      <c r="C3253" s="1040" t="s">
        <v>6727</v>
      </c>
      <c r="D3253" s="1736"/>
      <c r="E3253" s="1043">
        <v>68.040000000000006</v>
      </c>
      <c r="F3253" s="1043"/>
      <c r="G3253" s="1550"/>
    </row>
    <row r="3254" spans="1:7">
      <c r="A3254" s="1754">
        <v>41842</v>
      </c>
      <c r="B3254" s="125" t="str">
        <f>TiposLancamentos!B22</f>
        <v>Combustivel</v>
      </c>
      <c r="C3254" s="1040" t="s">
        <v>6728</v>
      </c>
      <c r="D3254" s="1736"/>
      <c r="E3254" s="1043">
        <v>50.05</v>
      </c>
      <c r="F3254" s="1043"/>
      <c r="G3254" s="1550"/>
    </row>
    <row r="3255" spans="1:7">
      <c r="A3255" s="1754">
        <v>41842</v>
      </c>
      <c r="B3255" s="125" t="str">
        <f>TiposLancamentos!B19</f>
        <v>Restaurantes</v>
      </c>
      <c r="C3255" s="1040" t="s">
        <v>6729</v>
      </c>
      <c r="D3255" s="1736"/>
      <c r="E3255" s="1043">
        <v>55</v>
      </c>
      <c r="F3255" s="1043"/>
      <c r="G3255" s="1550"/>
    </row>
    <row r="3256" spans="1:7">
      <c r="A3256" s="1754">
        <v>41842</v>
      </c>
      <c r="B3256" s="125" t="str">
        <f>TiposLancamentos!B19</f>
        <v>Restaurantes</v>
      </c>
      <c r="C3256" s="1040" t="s">
        <v>6730</v>
      </c>
      <c r="D3256" s="1736"/>
      <c r="E3256" s="1043">
        <v>16</v>
      </c>
      <c r="F3256" s="1043"/>
      <c r="G3256" s="1550"/>
    </row>
    <row r="3257" spans="1:7">
      <c r="A3257" s="1754">
        <v>41842</v>
      </c>
      <c r="B3257" s="125" t="str">
        <f>TiposLancamentos!B24</f>
        <v>Estacionamentos</v>
      </c>
      <c r="C3257" s="1040" t="s">
        <v>6731</v>
      </c>
      <c r="D3257" s="1736"/>
      <c r="E3257" s="1043">
        <v>29</v>
      </c>
      <c r="F3257" s="1043"/>
      <c r="G3257" s="1550"/>
    </row>
    <row r="3258" spans="1:7">
      <c r="A3258" s="1754">
        <v>41842</v>
      </c>
      <c r="B3258" s="125" t="str">
        <f>TiposLancamentos!B73</f>
        <v>Cursos</v>
      </c>
      <c r="C3258" s="1040" t="s">
        <v>6732</v>
      </c>
      <c r="D3258" s="1736"/>
      <c r="E3258" s="1043">
        <v>40</v>
      </c>
      <c r="F3258" s="1043"/>
      <c r="G3258" s="1550"/>
    </row>
    <row r="3259" spans="1:7">
      <c r="A3259" s="1754">
        <v>41843</v>
      </c>
      <c r="B3259" s="125" t="str">
        <f>TiposLancamentos!B5</f>
        <v>Supermercado</v>
      </c>
      <c r="C3259" s="1040" t="s">
        <v>6234</v>
      </c>
      <c r="D3259" s="1736"/>
      <c r="E3259" s="1043">
        <v>28.84</v>
      </c>
      <c r="F3259" s="1043"/>
      <c r="G3259" s="1550"/>
    </row>
    <row r="3260" spans="1:7">
      <c r="A3260" s="1754">
        <v>41844</v>
      </c>
      <c r="B3260" s="125" t="str">
        <f>TiposLancamentos!B19</f>
        <v>Restaurantes</v>
      </c>
      <c r="C3260" s="1040" t="s">
        <v>6733</v>
      </c>
      <c r="D3260" s="1736"/>
      <c r="E3260" s="1043">
        <v>45.09</v>
      </c>
      <c r="F3260" s="1043"/>
      <c r="G3260" s="1550"/>
    </row>
    <row r="3261" spans="1:7">
      <c r="A3261" s="1754">
        <v>41844</v>
      </c>
      <c r="B3261" s="125" t="str">
        <f>TiposLancamentos!B16</f>
        <v>Cristiane</v>
      </c>
      <c r="C3261" s="1040" t="s">
        <v>6734</v>
      </c>
      <c r="D3261" s="1736"/>
      <c r="E3261" s="1043">
        <v>14.99</v>
      </c>
      <c r="F3261" s="1043"/>
      <c r="G3261" s="1550"/>
    </row>
    <row r="3262" spans="1:7">
      <c r="A3262" s="1754">
        <v>41844</v>
      </c>
      <c r="B3262" s="125" t="str">
        <f>TiposLancamentos!B16</f>
        <v>Cristiane</v>
      </c>
      <c r="C3262" s="1040" t="s">
        <v>6735</v>
      </c>
      <c r="D3262" s="1736"/>
      <c r="E3262" s="1043">
        <v>123</v>
      </c>
      <c r="F3262" s="1043"/>
      <c r="G3262" s="1550"/>
    </row>
    <row r="3263" spans="1:7">
      <c r="A3263" s="1754">
        <v>41845</v>
      </c>
      <c r="B3263" s="125" t="str">
        <f>TiposLancamentos!B5</f>
        <v>Supermercado</v>
      </c>
      <c r="C3263" s="1040" t="s">
        <v>5844</v>
      </c>
      <c r="D3263" s="1736"/>
      <c r="E3263" s="1043">
        <v>44.31</v>
      </c>
      <c r="F3263" s="1043"/>
      <c r="G3263" s="1550"/>
    </row>
    <row r="3264" spans="1:7">
      <c r="A3264" s="1754">
        <v>41845</v>
      </c>
      <c r="B3264" s="125" t="str">
        <f>TiposLancamentos!B5</f>
        <v>Supermercado</v>
      </c>
      <c r="C3264" s="1040" t="s">
        <v>3618</v>
      </c>
      <c r="D3264" s="1736"/>
      <c r="E3264" s="1043">
        <v>36.020000000000003</v>
      </c>
      <c r="F3264" s="1043"/>
      <c r="G3264" s="1550"/>
    </row>
    <row r="3265" spans="1:7">
      <c r="A3265" s="1754">
        <v>41846</v>
      </c>
      <c r="B3265" s="125" t="str">
        <f>TiposLancamentos!B20</f>
        <v>Saques</v>
      </c>
      <c r="C3265" s="1040" t="s">
        <v>3604</v>
      </c>
      <c r="D3265" s="1736"/>
      <c r="E3265" s="1043">
        <v>70</v>
      </c>
      <c r="F3265" s="1043"/>
      <c r="G3265" s="1550"/>
    </row>
    <row r="3266" spans="1:7">
      <c r="A3266" s="1754">
        <v>41846</v>
      </c>
      <c r="B3266" s="125" t="str">
        <f>TiposLancamentos!B19</f>
        <v>Restaurantes</v>
      </c>
      <c r="C3266" s="1040" t="s">
        <v>6536</v>
      </c>
      <c r="D3266" s="1736"/>
      <c r="E3266" s="1043">
        <v>86.68</v>
      </c>
      <c r="F3266" s="1043"/>
      <c r="G3266" s="1550"/>
    </row>
    <row r="3267" spans="1:7">
      <c r="A3267" s="1754">
        <v>41847</v>
      </c>
      <c r="B3267" s="125" t="str">
        <f>TiposLancamentos!B19</f>
        <v>Restaurantes</v>
      </c>
      <c r="C3267" s="1040" t="s">
        <v>6736</v>
      </c>
      <c r="D3267" s="1736"/>
      <c r="E3267" s="1043">
        <v>136.77000000000001</v>
      </c>
      <c r="F3267" s="1043"/>
      <c r="G3267" s="1550"/>
    </row>
    <row r="3268" spans="1:7">
      <c r="A3268" s="1754">
        <v>41848</v>
      </c>
      <c r="B3268" s="125" t="str">
        <f>TiposLancamentos!B6</f>
        <v>Energia Eletrica</v>
      </c>
      <c r="C3268" s="1040" t="s">
        <v>5191</v>
      </c>
      <c r="D3268" s="1736"/>
      <c r="E3268" s="1043">
        <v>186.59</v>
      </c>
      <c r="F3268" s="1043"/>
      <c r="G3268" s="1550"/>
    </row>
    <row r="3269" spans="1:7">
      <c r="A3269" s="1754">
        <v>41848</v>
      </c>
      <c r="B3269" s="125" t="str">
        <f>TiposLancamentos!B52</f>
        <v>Multas</v>
      </c>
      <c r="C3269" s="1040" t="s">
        <v>6737</v>
      </c>
      <c r="D3269" s="1736"/>
      <c r="E3269" s="1043">
        <v>68.11</v>
      </c>
      <c r="F3269" s="1043"/>
      <c r="G3269" s="1550"/>
    </row>
    <row r="3270" spans="1:7">
      <c r="A3270" s="1754">
        <v>41848</v>
      </c>
      <c r="B3270" s="125" t="str">
        <f>TiposLancamentos!B5</f>
        <v>Supermercado</v>
      </c>
      <c r="C3270" s="1040" t="s">
        <v>2567</v>
      </c>
      <c r="D3270" s="1736"/>
      <c r="E3270" s="1043">
        <v>60.79</v>
      </c>
      <c r="F3270" s="1043"/>
      <c r="G3270" s="1550"/>
    </row>
    <row r="3271" spans="1:7">
      <c r="A3271" s="1754">
        <v>41849</v>
      </c>
      <c r="B3271" s="125" t="str">
        <f>TiposLancamentos!B17</f>
        <v>GATO</v>
      </c>
      <c r="C3271" s="1040" t="s">
        <v>6738</v>
      </c>
      <c r="D3271" s="1736"/>
      <c r="E3271" s="1043">
        <v>171.5</v>
      </c>
      <c r="F3271" s="1043"/>
      <c r="G3271" s="1550"/>
    </row>
    <row r="3272" spans="1:7">
      <c r="A3272" s="1754">
        <v>41849</v>
      </c>
      <c r="B3272" s="125" t="str">
        <f>TiposLancamentos!B16</f>
        <v>Cristiane</v>
      </c>
      <c r="C3272" s="1040" t="s">
        <v>6739</v>
      </c>
      <c r="D3272" s="1736"/>
      <c r="E3272" s="1043">
        <v>88.4</v>
      </c>
      <c r="F3272" s="1043"/>
      <c r="G3272" s="1550"/>
    </row>
    <row r="3273" spans="1:7">
      <c r="A3273" s="1754">
        <v>41849</v>
      </c>
      <c r="B3273" s="125" t="str">
        <f>TiposLancamentos!B19</f>
        <v>Restaurantes</v>
      </c>
      <c r="C3273" s="1040" t="s">
        <v>4956</v>
      </c>
      <c r="D3273" s="1736"/>
      <c r="E3273" s="1043">
        <v>37.5</v>
      </c>
      <c r="F3273" s="1043"/>
      <c r="G3273" s="1550"/>
    </row>
    <row r="3274" spans="1:7">
      <c r="A3274" s="1754">
        <v>41850</v>
      </c>
      <c r="B3274" s="125" t="str">
        <f>TiposLancamentos!B20</f>
        <v>Saques</v>
      </c>
      <c r="C3274" s="1040" t="s">
        <v>4202</v>
      </c>
      <c r="D3274" s="1736"/>
      <c r="E3274" s="1043">
        <v>60</v>
      </c>
      <c r="F3274" s="1043"/>
      <c r="G3274" s="1550"/>
    </row>
    <row r="3275" spans="1:7">
      <c r="A3275" s="1754">
        <v>41850</v>
      </c>
      <c r="B3275" s="125" t="str">
        <f>TiposLancamentos!B22</f>
        <v>Combustivel</v>
      </c>
      <c r="C3275" s="1040" t="s">
        <v>6718</v>
      </c>
      <c r="D3275" s="1736"/>
      <c r="E3275" s="1043">
        <v>60.05</v>
      </c>
      <c r="F3275" s="1043"/>
      <c r="G3275" s="1550"/>
    </row>
    <row r="3276" spans="1:7">
      <c r="A3276" s="1754">
        <v>41850</v>
      </c>
      <c r="B3276" s="125" t="str">
        <f>TiposLancamentos!B5</f>
        <v>Supermercado</v>
      </c>
      <c r="C3276" s="1040" t="s">
        <v>6234</v>
      </c>
      <c r="D3276" s="1736"/>
      <c r="E3276" s="1043">
        <v>24.61</v>
      </c>
      <c r="F3276" s="1043"/>
      <c r="G3276" s="1550"/>
    </row>
    <row r="3277" spans="1:7">
      <c r="A3277" s="1754">
        <v>41850</v>
      </c>
      <c r="B3277" s="125" t="str">
        <f>TiposLancamentos!B56</f>
        <v>Farmácia</v>
      </c>
      <c r="C3277" s="1040" t="s">
        <v>6740</v>
      </c>
      <c r="D3277" s="1736"/>
      <c r="E3277" s="1043">
        <v>41.32</v>
      </c>
      <c r="F3277" s="1043"/>
      <c r="G3277" s="1550"/>
    </row>
    <row r="3278" spans="1:7">
      <c r="A3278" s="1754">
        <v>41851</v>
      </c>
      <c r="B3278" s="125" t="str">
        <f>TiposLancamentos!B19</f>
        <v>Restaurantes</v>
      </c>
      <c r="C3278" s="1040" t="s">
        <v>6741</v>
      </c>
      <c r="D3278" s="1736"/>
      <c r="E3278" s="1043">
        <v>18.48</v>
      </c>
      <c r="F3278" s="1043"/>
      <c r="G3278" s="1550"/>
    </row>
    <row r="3279" spans="1:7" ht="14.25" thickBot="1">
      <c r="A3279" s="1754">
        <v>41851</v>
      </c>
      <c r="B3279" s="125" t="str">
        <f>TiposLancamentos!B19</f>
        <v>Restaurantes</v>
      </c>
      <c r="C3279" s="1040" t="s">
        <v>6742</v>
      </c>
      <c r="D3279" s="1736"/>
      <c r="E3279" s="1043">
        <v>19.8</v>
      </c>
      <c r="F3279" s="1043"/>
      <c r="G3279" s="1550"/>
    </row>
    <row r="3280" spans="1:7">
      <c r="A3280" s="1834"/>
      <c r="B3280" s="977"/>
      <c r="C3280" s="1854" t="s">
        <v>6743</v>
      </c>
      <c r="D3280" s="1823"/>
      <c r="E3280" s="1821"/>
      <c r="F3280" s="1821"/>
      <c r="G3280" s="1895"/>
    </row>
    <row r="3281" spans="1:7">
      <c r="A3281" s="1754">
        <v>41852</v>
      </c>
      <c r="B3281" s="125" t="str">
        <f>TiposLancamentos!B15</f>
        <v>Cartões de Crédito</v>
      </c>
      <c r="C3281" s="1040" t="s">
        <v>6744</v>
      </c>
      <c r="D3281" s="1736"/>
      <c r="E3281" s="1043">
        <v>210.3</v>
      </c>
      <c r="F3281" s="1043"/>
      <c r="G3281" s="1550"/>
    </row>
    <row r="3282" spans="1:7">
      <c r="A3282" s="1754">
        <v>41852</v>
      </c>
      <c r="B3282" s="125" t="str">
        <f>TiposLancamentos!B15</f>
        <v>Cartões de Crédito</v>
      </c>
      <c r="C3282" s="1040" t="s">
        <v>6745</v>
      </c>
      <c r="D3282" s="1736"/>
      <c r="E3282" s="1043">
        <v>15.92</v>
      </c>
      <c r="F3282" s="1043"/>
      <c r="G3282" s="1550"/>
    </row>
    <row r="3283" spans="1:7">
      <c r="A3283" s="1754">
        <v>41852</v>
      </c>
      <c r="B3283" s="125" t="str">
        <f>TiposLancamentos!B5</f>
        <v>Supermercado</v>
      </c>
      <c r="C3283" s="1040" t="s">
        <v>5844</v>
      </c>
      <c r="D3283" s="1736"/>
      <c r="E3283" s="1043">
        <v>23.64</v>
      </c>
      <c r="F3283" s="1043"/>
      <c r="G3283" s="1550"/>
    </row>
    <row r="3284" spans="1:7">
      <c r="A3284" s="1754">
        <v>41853</v>
      </c>
      <c r="B3284" s="125" t="str">
        <f>TiposLancamentos!B13</f>
        <v>Moradia</v>
      </c>
      <c r="C3284" s="1040" t="s">
        <v>6746</v>
      </c>
      <c r="D3284" s="1736"/>
      <c r="E3284" s="1043">
        <v>33.9</v>
      </c>
      <c r="F3284" s="1043"/>
      <c r="G3284" s="1550"/>
    </row>
    <row r="3285" spans="1:7">
      <c r="A3285" s="1754">
        <v>41853</v>
      </c>
      <c r="B3285" s="125" t="str">
        <f>TiposLancamentos!B5</f>
        <v>Supermercado</v>
      </c>
      <c r="C3285" s="1040" t="s">
        <v>6234</v>
      </c>
      <c r="D3285" s="1736"/>
      <c r="E3285" s="1043">
        <v>39.6</v>
      </c>
      <c r="F3285" s="1043"/>
      <c r="G3285" s="1550"/>
    </row>
    <row r="3286" spans="1:7">
      <c r="A3286" s="1754">
        <v>41854</v>
      </c>
      <c r="B3286" s="125" t="str">
        <f>TiposLancamentos!B19</f>
        <v>Restaurantes</v>
      </c>
      <c r="C3286" s="1040" t="s">
        <v>3618</v>
      </c>
      <c r="D3286" s="1736"/>
      <c r="E3286" s="1043">
        <v>24.2</v>
      </c>
      <c r="F3286" s="1043"/>
      <c r="G3286" s="1550"/>
    </row>
    <row r="3287" spans="1:7">
      <c r="A3287" s="1754">
        <v>41855</v>
      </c>
      <c r="B3287" s="125" t="str">
        <f>TiposLancamentos!B19</f>
        <v>Restaurantes</v>
      </c>
      <c r="C3287" s="1040" t="s">
        <v>6565</v>
      </c>
      <c r="D3287" s="1736"/>
      <c r="E3287" s="1043">
        <v>11.37</v>
      </c>
      <c r="F3287" s="1043"/>
      <c r="G3287" s="1550"/>
    </row>
    <row r="3288" spans="1:7">
      <c r="A3288" s="1754">
        <v>41855</v>
      </c>
      <c r="B3288" s="125" t="str">
        <f>TiposLancamentos!B24</f>
        <v>Estacionamentos</v>
      </c>
      <c r="C3288" s="1040" t="s">
        <v>6747</v>
      </c>
      <c r="D3288" s="1736"/>
      <c r="E3288" s="1043">
        <v>7</v>
      </c>
      <c r="F3288" s="1043"/>
      <c r="G3288" s="1550"/>
    </row>
    <row r="3289" spans="1:7">
      <c r="A3289" s="1754">
        <v>41855</v>
      </c>
      <c r="B3289" s="125" t="str">
        <f>TiposLancamentos!B19</f>
        <v>Restaurantes</v>
      </c>
      <c r="C3289" s="1040" t="s">
        <v>6547</v>
      </c>
      <c r="D3289" s="1736"/>
      <c r="E3289" s="1043">
        <v>10</v>
      </c>
      <c r="F3289" s="1043"/>
      <c r="G3289" s="1550"/>
    </row>
    <row r="3290" spans="1:7">
      <c r="A3290" s="1754">
        <v>41856</v>
      </c>
      <c r="B3290" s="125" t="str">
        <f>TiposLancamentos!B19</f>
        <v>Restaurantes</v>
      </c>
      <c r="C3290" s="1040" t="s">
        <v>6533</v>
      </c>
      <c r="D3290" s="1736"/>
      <c r="E3290" s="1043">
        <v>17</v>
      </c>
      <c r="F3290" s="1043"/>
      <c r="G3290" s="1550"/>
    </row>
    <row r="3291" spans="1:7">
      <c r="A3291" s="1754">
        <v>41856</v>
      </c>
      <c r="B3291" s="125" t="str">
        <f>TiposLancamentos!B5</f>
        <v>Supermercado</v>
      </c>
      <c r="C3291" s="1040" t="s">
        <v>6234</v>
      </c>
      <c r="D3291" s="1736"/>
      <c r="E3291" s="1043">
        <v>30.73</v>
      </c>
      <c r="F3291" s="1043"/>
      <c r="G3291" s="1550"/>
    </row>
    <row r="3292" spans="1:7">
      <c r="A3292" s="1754">
        <v>41857</v>
      </c>
      <c r="B3292" s="125" t="str">
        <f>TiposLancamentos!B96</f>
        <v>Resg.Poup.</v>
      </c>
      <c r="C3292" s="1040" t="s">
        <v>6748</v>
      </c>
      <c r="D3292" s="1736">
        <v>1648</v>
      </c>
      <c r="E3292" s="1043"/>
      <c r="F3292" s="1043"/>
      <c r="G3292" s="1550"/>
    </row>
    <row r="3293" spans="1:7">
      <c r="A3293" s="1754">
        <v>41857</v>
      </c>
      <c r="B3293" s="125" t="str">
        <f>TiposLancamentos!B9</f>
        <v>Condominio</v>
      </c>
      <c r="C3293" s="1040" t="s">
        <v>1684</v>
      </c>
      <c r="D3293" s="1736"/>
      <c r="E3293" s="1043">
        <v>868.93</v>
      </c>
      <c r="F3293" s="1043"/>
      <c r="G3293" s="1550"/>
    </row>
    <row r="3294" spans="1:7">
      <c r="A3294" s="1754">
        <v>41857</v>
      </c>
      <c r="B3294" s="125" t="str">
        <f>TiposLancamentos!B73</f>
        <v>Cursos</v>
      </c>
      <c r="C3294" s="1040" t="s">
        <v>6749</v>
      </c>
      <c r="D3294" s="1736"/>
      <c r="E3294" s="1043">
        <v>640.16</v>
      </c>
      <c r="F3294" s="1043"/>
      <c r="G3294" s="1550"/>
    </row>
    <row r="3295" spans="1:7">
      <c r="A3295" s="1754">
        <v>41857</v>
      </c>
      <c r="B3295" s="125" t="str">
        <f>TiposLancamentos!B19</f>
        <v>Restaurantes</v>
      </c>
      <c r="C3295" s="1040" t="s">
        <v>3960</v>
      </c>
      <c r="D3295" s="1736"/>
      <c r="E3295" s="1043">
        <v>13.7</v>
      </c>
      <c r="F3295" s="1043"/>
      <c r="G3295" s="1550"/>
    </row>
    <row r="3296" spans="1:7">
      <c r="A3296" s="1754">
        <v>41857</v>
      </c>
      <c r="B3296" s="125" t="str">
        <f>TiposLancamentos!B48</f>
        <v>Baralhos e Oráculos</v>
      </c>
      <c r="C3296" s="1040" t="s">
        <v>6750</v>
      </c>
      <c r="D3296" s="1736"/>
      <c r="E3296" s="1043">
        <v>46</v>
      </c>
      <c r="F3296" s="1043"/>
      <c r="G3296" s="1550"/>
    </row>
    <row r="3297" spans="1:7">
      <c r="A3297" s="1754">
        <v>41858</v>
      </c>
      <c r="B3297" s="125" t="str">
        <f>TiposLancamentos!B2</f>
        <v>Telefonia</v>
      </c>
      <c r="C3297" s="1040" t="s">
        <v>6318</v>
      </c>
      <c r="D3297" s="1736"/>
      <c r="E3297" s="1043">
        <v>138.22</v>
      </c>
      <c r="F3297" s="1043"/>
      <c r="G3297" s="1550"/>
    </row>
    <row r="3298" spans="1:7">
      <c r="A3298" s="1754">
        <v>41858</v>
      </c>
      <c r="B3298" s="125" t="str">
        <f>TiposLancamentos!B5</f>
        <v>Supermercado</v>
      </c>
      <c r="C3298" s="1040" t="s">
        <v>5844</v>
      </c>
      <c r="D3298" s="1736"/>
      <c r="E3298" s="1043">
        <v>37.229999999999997</v>
      </c>
      <c r="F3298" s="1043"/>
      <c r="G3298" s="1550"/>
    </row>
    <row r="3299" spans="1:7">
      <c r="A3299" s="1754">
        <v>41859</v>
      </c>
      <c r="B3299" s="125" t="str">
        <f>TiposLancamentos!B19</f>
        <v>Restaurantes</v>
      </c>
      <c r="C3299" s="1040" t="s">
        <v>3618</v>
      </c>
      <c r="D3299" s="1736"/>
      <c r="E3299" s="1043">
        <v>24.2</v>
      </c>
      <c r="F3299" s="1043"/>
      <c r="G3299" s="1550"/>
    </row>
    <row r="3300" spans="1:7">
      <c r="A3300" s="1754">
        <v>41860</v>
      </c>
      <c r="B3300" s="125" t="str">
        <f>TiposLancamentos!B19</f>
        <v>Restaurantes</v>
      </c>
      <c r="C3300" s="1040" t="s">
        <v>6751</v>
      </c>
      <c r="D3300" s="1736"/>
      <c r="E3300" s="1043">
        <v>29.02</v>
      </c>
      <c r="F3300" s="1043"/>
      <c r="G3300" s="1550"/>
    </row>
    <row r="3301" spans="1:7">
      <c r="A3301" s="1754">
        <v>41860</v>
      </c>
      <c r="B3301" s="125" t="str">
        <f>TiposLancamentos!B56</f>
        <v>Farmácia</v>
      </c>
      <c r="C3301" s="1040" t="s">
        <v>6752</v>
      </c>
      <c r="D3301" s="1736"/>
      <c r="E3301" s="1043">
        <v>22.88</v>
      </c>
      <c r="F3301" s="1043"/>
      <c r="G3301" s="1550"/>
    </row>
    <row r="3302" spans="1:7">
      <c r="A3302" s="1754">
        <v>41860</v>
      </c>
      <c r="B3302" s="125" t="str">
        <f>TiposLancamentos!B5</f>
        <v>Supermercado</v>
      </c>
      <c r="C3302" s="1040" t="s">
        <v>6234</v>
      </c>
      <c r="D3302" s="1736"/>
      <c r="E3302" s="1043">
        <v>13.39</v>
      </c>
      <c r="F3302" s="1043"/>
      <c r="G3302" s="1550"/>
    </row>
    <row r="3303" spans="1:7">
      <c r="A3303" s="1754">
        <v>41861</v>
      </c>
      <c r="B3303" s="125" t="str">
        <f>TiposLancamentos!B22</f>
        <v>Combustivel</v>
      </c>
      <c r="C3303" s="1040" t="s">
        <v>6412</v>
      </c>
      <c r="D3303" s="1736"/>
      <c r="E3303" s="1043">
        <v>50</v>
      </c>
      <c r="F3303" s="1043"/>
      <c r="G3303" s="1550"/>
    </row>
    <row r="3304" spans="1:7">
      <c r="A3304" s="1754">
        <v>41861</v>
      </c>
      <c r="B3304" s="125" t="str">
        <f>TiposLancamentos!B19</f>
        <v>Restaurantes</v>
      </c>
      <c r="C3304" s="1040" t="s">
        <v>6753</v>
      </c>
      <c r="D3304" s="1736"/>
      <c r="E3304" s="1043">
        <v>24.76</v>
      </c>
      <c r="F3304" s="1043"/>
      <c r="G3304" s="1550"/>
    </row>
    <row r="3305" spans="1:7">
      <c r="A3305" s="1754">
        <v>41861</v>
      </c>
      <c r="B3305" s="125" t="str">
        <f>TiposLancamentos!B19</f>
        <v>Restaurantes</v>
      </c>
      <c r="C3305" s="1040" t="s">
        <v>3618</v>
      </c>
      <c r="D3305" s="1736"/>
      <c r="E3305" s="1043">
        <v>25.7</v>
      </c>
      <c r="F3305" s="1043"/>
      <c r="G3305" s="1550"/>
    </row>
    <row r="3306" spans="1:7">
      <c r="A3306" s="1754">
        <v>41862</v>
      </c>
      <c r="B3306" s="125" t="str">
        <f>TiposLancamentos!B96</f>
        <v>Resg.Poup.</v>
      </c>
      <c r="C3306" s="1040" t="s">
        <v>5701</v>
      </c>
      <c r="D3306" s="1736">
        <v>2000</v>
      </c>
      <c r="E3306" s="1043"/>
      <c r="F3306" s="1043"/>
      <c r="G3306" s="1550"/>
    </row>
    <row r="3307" spans="1:7">
      <c r="A3307" s="1666">
        <v>41862</v>
      </c>
      <c r="B3307" s="817" t="str">
        <f>TiposLancamentos!B35</f>
        <v>Tv à Cabo</v>
      </c>
      <c r="C3307" s="1742" t="s">
        <v>5834</v>
      </c>
      <c r="D3307" s="1735"/>
      <c r="E3307" s="1733">
        <v>129.41</v>
      </c>
      <c r="F3307" s="1043"/>
      <c r="G3307" s="1550"/>
    </row>
    <row r="3308" spans="1:7">
      <c r="A3308" s="1667">
        <v>41862</v>
      </c>
      <c r="B3308" s="816" t="str">
        <f>TiposLancamentos!B3</f>
        <v>Internet</v>
      </c>
      <c r="C3308" s="1769" t="s">
        <v>5835</v>
      </c>
      <c r="D3308" s="1736"/>
      <c r="E3308" s="1734">
        <v>64.599999999999994</v>
      </c>
      <c r="F3308" s="1043"/>
      <c r="G3308" s="1550"/>
    </row>
    <row r="3309" spans="1:7">
      <c r="A3309" s="1750">
        <v>41862</v>
      </c>
      <c r="B3309" s="818" t="str">
        <f>TiposLancamentos!B2</f>
        <v>Telefonia</v>
      </c>
      <c r="C3309" s="1743" t="s">
        <v>5836</v>
      </c>
      <c r="D3309" s="1737"/>
      <c r="E3309" s="1668">
        <v>0</v>
      </c>
      <c r="F3309" s="1043">
        <f>SUM(E3307:E3309)</f>
        <v>194.01</v>
      </c>
      <c r="G3309" s="1550"/>
    </row>
    <row r="3310" spans="1:7">
      <c r="A3310" s="1754">
        <v>41862</v>
      </c>
      <c r="B3310" s="125" t="str">
        <f>TiposLancamentos!B5</f>
        <v>Supermercado</v>
      </c>
      <c r="C3310" s="1040" t="s">
        <v>6754</v>
      </c>
      <c r="D3310" s="1736"/>
      <c r="E3310" s="1043">
        <v>39.29</v>
      </c>
      <c r="F3310" s="1043"/>
      <c r="G3310" s="1550"/>
    </row>
    <row r="3311" spans="1:7">
      <c r="A3311" s="1754">
        <v>41862</v>
      </c>
      <c r="B3311" s="125" t="str">
        <f>TiposLancamentos!B24</f>
        <v>Estacionamentos</v>
      </c>
      <c r="C3311" s="1040" t="s">
        <v>4370</v>
      </c>
      <c r="D3311" s="1736"/>
      <c r="E3311" s="1043">
        <v>7</v>
      </c>
      <c r="F3311" s="1043"/>
      <c r="G3311" s="1550"/>
    </row>
    <row r="3312" spans="1:7">
      <c r="A3312" s="1754">
        <v>41862</v>
      </c>
      <c r="B3312" s="125" t="str">
        <f>TiposLancamentos!B19</f>
        <v>Restaurantes</v>
      </c>
      <c r="C3312" s="1040" t="s">
        <v>6565</v>
      </c>
      <c r="D3312" s="1736"/>
      <c r="E3312" s="1043">
        <v>19.690000000000001</v>
      </c>
      <c r="F3312" s="1043"/>
      <c r="G3312" s="1550"/>
    </row>
    <row r="3313" spans="1:7">
      <c r="A3313" s="1666">
        <v>41862</v>
      </c>
      <c r="B3313" s="817" t="str">
        <f>TiposLancamentos!B8</f>
        <v>Aluguel</v>
      </c>
      <c r="C3313" s="1742" t="s">
        <v>6163</v>
      </c>
      <c r="D3313" s="1735"/>
      <c r="E3313" s="1733">
        <v>1406.3</v>
      </c>
      <c r="F3313" s="1043"/>
      <c r="G3313" s="1550"/>
    </row>
    <row r="3314" spans="1:7">
      <c r="A3314" s="1667">
        <v>41862</v>
      </c>
      <c r="B3314" s="816" t="str">
        <f>TiposLancamentos!B12</f>
        <v>IPTU</v>
      </c>
      <c r="C3314" s="1769" t="s">
        <v>6755</v>
      </c>
      <c r="D3314" s="1736"/>
      <c r="E3314" s="1734">
        <v>110.83</v>
      </c>
      <c r="F3314" s="1043"/>
      <c r="G3314" s="1550"/>
    </row>
    <row r="3315" spans="1:7">
      <c r="A3315" s="1750">
        <v>41862</v>
      </c>
      <c r="B3315" s="818" t="str">
        <f>TiposLancamentos!B34</f>
        <v>Seguros</v>
      </c>
      <c r="C3315" s="1743" t="s">
        <v>6320</v>
      </c>
      <c r="D3315" s="1737"/>
      <c r="E3315" s="1668">
        <v>240.91</v>
      </c>
      <c r="F3315" s="1043">
        <f>SUM(E3313:E3315)</f>
        <v>1758.04</v>
      </c>
      <c r="G3315" s="1550"/>
    </row>
    <row r="3316" spans="1:7">
      <c r="A3316" s="1754">
        <v>41863</v>
      </c>
      <c r="B3316" s="125" t="str">
        <f>TiposLancamentos!B19</f>
        <v>Restaurantes</v>
      </c>
      <c r="C3316" s="1040" t="s">
        <v>6756</v>
      </c>
      <c r="D3316" s="1736"/>
      <c r="E3316" s="1043">
        <v>8.8000000000000007</v>
      </c>
      <c r="F3316" s="1043"/>
      <c r="G3316" s="1550"/>
    </row>
    <row r="3317" spans="1:7">
      <c r="A3317" s="1754">
        <v>41863</v>
      </c>
      <c r="B3317" s="125" t="str">
        <f>TiposLancamentos!B20</f>
        <v>Saques</v>
      </c>
      <c r="C3317" s="1040" t="s">
        <v>6757</v>
      </c>
      <c r="D3317" s="1736"/>
      <c r="E3317" s="1043">
        <v>40</v>
      </c>
      <c r="F3317" s="1043"/>
      <c r="G3317" s="1550"/>
    </row>
    <row r="3318" spans="1:7">
      <c r="A3318" s="1754">
        <v>41863</v>
      </c>
      <c r="B3318" s="125" t="str">
        <f>TiposLancamentos!B19</f>
        <v>Restaurantes</v>
      </c>
      <c r="C3318" s="1040" t="s">
        <v>6622</v>
      </c>
      <c r="D3318" s="1736"/>
      <c r="E3318" s="1043">
        <v>18.5</v>
      </c>
      <c r="F3318" s="1043"/>
      <c r="G3318" s="1550"/>
    </row>
    <row r="3319" spans="1:7">
      <c r="A3319" s="1754">
        <v>41864</v>
      </c>
      <c r="B3319" s="125" t="str">
        <f>TiposLancamentos!B19</f>
        <v>Restaurantes</v>
      </c>
      <c r="C3319" s="1040" t="s">
        <v>6758</v>
      </c>
      <c r="D3319" s="1736"/>
      <c r="E3319" s="1043">
        <v>13.7</v>
      </c>
      <c r="F3319" s="1043"/>
      <c r="G3319" s="1550"/>
    </row>
    <row r="3320" spans="1:7">
      <c r="A3320" s="1754">
        <v>41833</v>
      </c>
      <c r="B3320" s="125" t="str">
        <f>TiposLancamentos!B19</f>
        <v>Restaurantes</v>
      </c>
      <c r="C3320" s="1040" t="s">
        <v>6542</v>
      </c>
      <c r="D3320" s="1736"/>
      <c r="E3320" s="1043">
        <v>72.150000000000006</v>
      </c>
      <c r="F3320" s="1043"/>
      <c r="G3320" s="1550"/>
    </row>
    <row r="3321" spans="1:7">
      <c r="A3321" s="1754">
        <v>41833</v>
      </c>
      <c r="B3321" s="125" t="str">
        <f>TiposLancamentos!B24</f>
        <v>Estacionamentos</v>
      </c>
      <c r="C3321" s="1040" t="s">
        <v>4370</v>
      </c>
      <c r="D3321" s="1736"/>
      <c r="E3321" s="1043">
        <v>7</v>
      </c>
      <c r="F3321" s="1043"/>
      <c r="G3321" s="1550"/>
    </row>
    <row r="3322" spans="1:7">
      <c r="A3322" s="1754">
        <v>41865</v>
      </c>
      <c r="B3322" s="125" t="str">
        <f>TiposLancamentos!B5</f>
        <v>Supermercado</v>
      </c>
      <c r="C3322" s="1040" t="s">
        <v>6234</v>
      </c>
      <c r="D3322" s="1736"/>
      <c r="E3322" s="1043">
        <v>231.76</v>
      </c>
      <c r="F3322" s="1043"/>
      <c r="G3322" s="1550"/>
    </row>
    <row r="3323" spans="1:7">
      <c r="A3323" s="1754">
        <v>41865</v>
      </c>
      <c r="B3323" s="125" t="str">
        <f>TiposLancamentos!B96</f>
        <v>Resg.Poup.</v>
      </c>
      <c r="C3323" s="1040" t="s">
        <v>6759</v>
      </c>
      <c r="D3323" s="1736">
        <v>650</v>
      </c>
      <c r="E3323" s="1043"/>
      <c r="F3323" s="1043"/>
      <c r="G3323" s="1550"/>
    </row>
    <row r="3324" spans="1:7">
      <c r="A3324" s="1666">
        <v>41866</v>
      </c>
      <c r="B3324" s="817" t="str">
        <f>TiposLancamentos!B33</f>
        <v>Pedágios</v>
      </c>
      <c r="C3324" s="1742" t="s">
        <v>5392</v>
      </c>
      <c r="D3324" s="1735"/>
      <c r="E3324" s="1733">
        <f>17.28+13.05+42.6</f>
        <v>72.930000000000007</v>
      </c>
      <c r="F3324" s="1043"/>
      <c r="G3324" s="1550"/>
    </row>
    <row r="3325" spans="1:7">
      <c r="A3325" s="1667">
        <v>41866</v>
      </c>
      <c r="B3325" s="816" t="str">
        <f>TiposLancamentos!B24</f>
        <v>Estacionamentos</v>
      </c>
      <c r="C3325" s="1769" t="s">
        <v>5863</v>
      </c>
      <c r="D3325" s="1736"/>
      <c r="E3325" s="1734">
        <v>63</v>
      </c>
      <c r="F3325" s="1043"/>
      <c r="G3325" s="1550"/>
    </row>
    <row r="3326" spans="1:7">
      <c r="A3326" s="1750">
        <v>41866</v>
      </c>
      <c r="B3326" s="818" t="str">
        <f>TiposLancamentos!B24</f>
        <v>Estacionamentos</v>
      </c>
      <c r="C3326" s="1743" t="s">
        <v>6297</v>
      </c>
      <c r="D3326" s="1737"/>
      <c r="E3326" s="1668">
        <v>7</v>
      </c>
      <c r="F3326" s="1043">
        <f>SUM(E3324:E3326)</f>
        <v>142.93</v>
      </c>
      <c r="G3326" s="1550"/>
    </row>
    <row r="3327" spans="1:7">
      <c r="A3327" s="1754">
        <v>41866</v>
      </c>
      <c r="B3327" s="125" t="str">
        <f>TiposLancamentos!B56</f>
        <v>Farmácia</v>
      </c>
      <c r="C3327" s="1040" t="s">
        <v>6118</v>
      </c>
      <c r="D3327" s="1736"/>
      <c r="E3327" s="1043">
        <v>61.94</v>
      </c>
      <c r="F3327" s="1043"/>
      <c r="G3327" s="1550"/>
    </row>
    <row r="3328" spans="1:7">
      <c r="A3328" s="1754">
        <v>41866</v>
      </c>
      <c r="B3328" s="125" t="str">
        <f>TiposLancamentos!B30</f>
        <v>Cinema</v>
      </c>
      <c r="C3328" s="1040" t="s">
        <v>4027</v>
      </c>
      <c r="D3328" s="1736"/>
      <c r="E3328" s="1043">
        <v>34</v>
      </c>
      <c r="F3328" s="1043"/>
      <c r="G3328" s="1550"/>
    </row>
    <row r="3329" spans="1:7">
      <c r="A3329" s="1754">
        <v>41866</v>
      </c>
      <c r="B3329" s="125" t="str">
        <f>TiposLancamentos!B19</f>
        <v>Restaurantes</v>
      </c>
      <c r="C3329" s="1040" t="s">
        <v>6536</v>
      </c>
      <c r="D3329" s="1736"/>
      <c r="E3329" s="1043">
        <v>58.3</v>
      </c>
      <c r="F3329" s="1043"/>
      <c r="G3329" s="1550"/>
    </row>
    <row r="3330" spans="1:7">
      <c r="A3330" s="1754">
        <v>41867</v>
      </c>
      <c r="B3330" s="125" t="str">
        <f>TiposLancamentos!B19</f>
        <v>Restaurantes</v>
      </c>
      <c r="C3330" s="1040" t="s">
        <v>6565</v>
      </c>
      <c r="D3330" s="1736"/>
      <c r="E3330" s="1043">
        <v>55.53</v>
      </c>
      <c r="F3330" s="1043"/>
      <c r="G3330" s="1550"/>
    </row>
    <row r="3331" spans="1:7">
      <c r="A3331" s="1754">
        <v>41867</v>
      </c>
      <c r="B3331" s="125" t="str">
        <f>TiposLancamentos!B19</f>
        <v>Restaurantes</v>
      </c>
      <c r="C3331" s="1040" t="s">
        <v>6760</v>
      </c>
      <c r="D3331" s="1736"/>
      <c r="E3331" s="1043">
        <v>167.75</v>
      </c>
      <c r="F3331" s="1043"/>
      <c r="G3331" s="1550"/>
    </row>
    <row r="3332" spans="1:7">
      <c r="A3332" s="1754">
        <v>41867</v>
      </c>
      <c r="B3332" s="125" t="str">
        <f>TiposLancamentos!B22</f>
        <v>Combustivel</v>
      </c>
      <c r="C3332" s="1040" t="s">
        <v>6761</v>
      </c>
      <c r="D3332" s="1736"/>
      <c r="E3332" s="1043">
        <v>60</v>
      </c>
      <c r="F3332" s="1043"/>
      <c r="G3332" s="1550"/>
    </row>
    <row r="3333" spans="1:7">
      <c r="A3333" s="1754">
        <v>41867</v>
      </c>
      <c r="B3333" s="125" t="str">
        <f>TiposLancamentos!B56</f>
        <v>Farmácia</v>
      </c>
      <c r="C3333" s="1040" t="s">
        <v>6050</v>
      </c>
      <c r="D3333" s="1736"/>
      <c r="E3333" s="1043">
        <v>15.46</v>
      </c>
      <c r="F3333" s="1043"/>
      <c r="G3333" s="1550"/>
    </row>
    <row r="3334" spans="1:7">
      <c r="A3334" s="1754">
        <v>41869</v>
      </c>
      <c r="B3334" s="125" t="str">
        <f>TiposLancamentos!B96</f>
        <v>Resg.Poup.</v>
      </c>
      <c r="C3334" s="1040" t="s">
        <v>6759</v>
      </c>
      <c r="D3334" s="1736">
        <v>600</v>
      </c>
      <c r="E3334" s="1043"/>
      <c r="F3334" s="1043"/>
      <c r="G3334" s="1550"/>
    </row>
    <row r="3335" spans="1:7">
      <c r="A3335" s="1754">
        <v>41869</v>
      </c>
      <c r="B3335" s="125" t="str">
        <f>TiposLancamentos!B24</f>
        <v>Estacionamentos</v>
      </c>
      <c r="C3335" s="1040" t="s">
        <v>4437</v>
      </c>
      <c r="D3335" s="1736"/>
      <c r="E3335" s="1043">
        <v>7</v>
      </c>
      <c r="F3335" s="1043"/>
      <c r="G3335" s="1550"/>
    </row>
    <row r="3336" spans="1:7">
      <c r="A3336" s="1754">
        <v>41870</v>
      </c>
      <c r="B3336" s="125" t="str">
        <f>TiposLancamentos!B5</f>
        <v>Supermercado</v>
      </c>
      <c r="C3336" s="1040" t="s">
        <v>6414</v>
      </c>
      <c r="D3336" s="1736"/>
      <c r="E3336" s="1043">
        <v>35.25</v>
      </c>
      <c r="F3336" s="1043"/>
      <c r="G3336" s="1550"/>
    </row>
    <row r="3337" spans="1:7">
      <c r="A3337" s="1754">
        <v>41872</v>
      </c>
      <c r="B3337" s="125" t="str">
        <f>TiposLancamentos!B5</f>
        <v>Supermercado</v>
      </c>
      <c r="C3337" s="1040" t="s">
        <v>6201</v>
      </c>
      <c r="D3337" s="1736"/>
      <c r="E3337" s="1043">
        <v>39.46</v>
      </c>
      <c r="F3337" s="1043"/>
      <c r="G3337" s="1550"/>
    </row>
    <row r="3338" spans="1:7">
      <c r="A3338" s="1754">
        <v>41872</v>
      </c>
      <c r="B3338" s="125" t="str">
        <f>TiposLancamentos!B19</f>
        <v>Restaurantes</v>
      </c>
      <c r="C3338" s="1040" t="s">
        <v>5876</v>
      </c>
      <c r="D3338" s="1736"/>
      <c r="E3338" s="1043">
        <v>116.5</v>
      </c>
      <c r="F3338" s="1043"/>
      <c r="G3338" s="1550"/>
    </row>
    <row r="3339" spans="1:7">
      <c r="A3339" s="1754">
        <v>41872</v>
      </c>
      <c r="B3339" s="125" t="str">
        <f>TiposLancamentos!B56</f>
        <v>Farmácia</v>
      </c>
      <c r="C3339" s="1040" t="s">
        <v>6052</v>
      </c>
      <c r="D3339" s="1736"/>
      <c r="E3339" s="1043">
        <v>14.08</v>
      </c>
      <c r="F3339" s="1043"/>
      <c r="G3339" s="1550"/>
    </row>
    <row r="3340" spans="1:7">
      <c r="A3340" s="1754">
        <v>41874</v>
      </c>
      <c r="B3340" s="125" t="str">
        <f>TiposLancamentos!B25</f>
        <v>CD_DVD_BD</v>
      </c>
      <c r="C3340" s="1040" t="s">
        <v>6762</v>
      </c>
      <c r="D3340" s="1736"/>
      <c r="E3340" s="1043">
        <v>75</v>
      </c>
      <c r="F3340" s="1043"/>
      <c r="G3340" s="1550"/>
    </row>
    <row r="3341" spans="1:7">
      <c r="A3341" s="1754">
        <v>41874</v>
      </c>
      <c r="B3341" s="125" t="str">
        <f>TiposLancamentos!B16</f>
        <v>Cristiane</v>
      </c>
      <c r="C3341" s="1040" t="s">
        <v>6763</v>
      </c>
      <c r="D3341" s="1736"/>
      <c r="E3341" s="1043">
        <v>97.03</v>
      </c>
      <c r="F3341" s="1043"/>
      <c r="G3341" s="1550"/>
    </row>
    <row r="3342" spans="1:7">
      <c r="A3342" s="1754">
        <v>41874</v>
      </c>
      <c r="B3342" s="125" t="str">
        <f>TiposLancamentos!B16</f>
        <v>Cristiane</v>
      </c>
      <c r="C3342" s="1040" t="s">
        <v>6764</v>
      </c>
      <c r="D3342" s="1736"/>
      <c r="E3342" s="1043">
        <v>20.77</v>
      </c>
      <c r="F3342" s="1043"/>
      <c r="G3342" s="1550"/>
    </row>
    <row r="3343" spans="1:7">
      <c r="A3343" s="1754">
        <v>41874</v>
      </c>
      <c r="B3343" s="125" t="str">
        <f>TiposLancamentos!B19</f>
        <v>Restaurantes</v>
      </c>
      <c r="C3343" s="1040" t="s">
        <v>6422</v>
      </c>
      <c r="D3343" s="1736"/>
      <c r="E3343" s="1043">
        <v>127.6</v>
      </c>
      <c r="F3343" s="1043"/>
      <c r="G3343" s="1550"/>
    </row>
    <row r="3344" spans="1:7">
      <c r="A3344" s="1754">
        <v>41875</v>
      </c>
      <c r="B3344" s="125" t="str">
        <f>TiposLancamentos!B22</f>
        <v>Combustivel</v>
      </c>
      <c r="C3344" s="1040" t="s">
        <v>6718</v>
      </c>
      <c r="D3344" s="1736"/>
      <c r="E3344" s="1043">
        <v>80</v>
      </c>
      <c r="F3344" s="1043"/>
      <c r="G3344" s="1550"/>
    </row>
    <row r="3345" spans="1:7">
      <c r="A3345" s="1754">
        <v>41875</v>
      </c>
      <c r="B3345" s="125" t="str">
        <f>TiposLancamentos!B19</f>
        <v>Restaurantes</v>
      </c>
      <c r="C3345" s="1040" t="s">
        <v>6765</v>
      </c>
      <c r="D3345" s="1736"/>
      <c r="E3345" s="1043">
        <v>168.3</v>
      </c>
      <c r="F3345" s="1043"/>
      <c r="G3345" s="1550"/>
    </row>
    <row r="3346" spans="1:7">
      <c r="A3346" s="1754">
        <v>41875</v>
      </c>
      <c r="B3346" s="125" t="str">
        <f>TiposLancamentos!B64</f>
        <v>Viagens</v>
      </c>
      <c r="C3346" s="1040" t="s">
        <v>6766</v>
      </c>
      <c r="D3346" s="1736"/>
      <c r="E3346" s="1043">
        <v>60</v>
      </c>
      <c r="F3346" s="1043"/>
      <c r="G3346" s="1550"/>
    </row>
    <row r="3347" spans="1:7">
      <c r="A3347" s="1754">
        <v>41876</v>
      </c>
      <c r="B3347" s="125" t="str">
        <f>TiposLancamentos!B16</f>
        <v>Cristiane</v>
      </c>
      <c r="C3347" s="1040" t="s">
        <v>6767</v>
      </c>
      <c r="D3347" s="1736"/>
      <c r="E3347" s="1043">
        <v>70.27</v>
      </c>
      <c r="F3347" s="1043"/>
      <c r="G3347" s="1550"/>
    </row>
    <row r="3348" spans="1:7">
      <c r="A3348" s="1754">
        <v>41876</v>
      </c>
      <c r="B3348" s="125" t="str">
        <f>TiposLancamentos!B24</f>
        <v>Estacionamentos</v>
      </c>
      <c r="C3348" s="1040" t="s">
        <v>4370</v>
      </c>
      <c r="D3348" s="1736"/>
      <c r="E3348" s="1043">
        <v>7</v>
      </c>
      <c r="F3348" s="1043"/>
      <c r="G3348" s="1550"/>
    </row>
    <row r="3349" spans="1:7">
      <c r="A3349" s="1754">
        <v>41876</v>
      </c>
      <c r="B3349" s="125" t="str">
        <f>TiposLancamentos!B19</f>
        <v>Restaurantes</v>
      </c>
      <c r="C3349" s="1040" t="s">
        <v>6768</v>
      </c>
      <c r="D3349" s="1736"/>
      <c r="E3349" s="1043">
        <v>151.1</v>
      </c>
      <c r="F3349" s="1043"/>
      <c r="G3349" s="1550"/>
    </row>
    <row r="3350" spans="1:7">
      <c r="A3350" s="1754">
        <v>41877</v>
      </c>
      <c r="B3350" s="125" t="str">
        <f>TiposLancamentos!B96</f>
        <v>Resg.Poup.</v>
      </c>
      <c r="C3350" s="1040" t="s">
        <v>5701</v>
      </c>
      <c r="D3350" s="1736">
        <v>900</v>
      </c>
      <c r="E3350" s="1043"/>
      <c r="F3350" s="1043"/>
      <c r="G3350" s="1550"/>
    </row>
    <row r="3351" spans="1:7">
      <c r="A3351" s="1754">
        <v>41878</v>
      </c>
      <c r="B3351" s="125" t="str">
        <f>TiposLancamentos!B5</f>
        <v>Supermercado</v>
      </c>
      <c r="C3351" s="1040" t="s">
        <v>5844</v>
      </c>
      <c r="D3351" s="1736"/>
      <c r="E3351" s="1043">
        <v>57.21</v>
      </c>
      <c r="F3351" s="1043"/>
      <c r="G3351" s="1550"/>
    </row>
    <row r="3352" spans="1:7">
      <c r="A3352" s="1754">
        <v>41879</v>
      </c>
      <c r="B3352" s="125" t="str">
        <f>TiposLancamentos!B19</f>
        <v>Restaurantes</v>
      </c>
      <c r="C3352" s="1040" t="s">
        <v>4452</v>
      </c>
      <c r="D3352" s="1736"/>
      <c r="E3352" s="1043">
        <v>8</v>
      </c>
      <c r="F3352" s="1043"/>
      <c r="G3352" s="1550"/>
    </row>
    <row r="3353" spans="1:7">
      <c r="A3353" s="1754">
        <v>41880</v>
      </c>
      <c r="B3353" s="125" t="str">
        <f>TiposLancamentos!B72</f>
        <v>Presentes</v>
      </c>
      <c r="C3353" s="1040" t="s">
        <v>6769</v>
      </c>
      <c r="D3353" s="1736"/>
      <c r="E3353" s="1043">
        <v>29.9</v>
      </c>
      <c r="F3353" s="1043"/>
      <c r="G3353" s="1550"/>
    </row>
    <row r="3354" spans="1:7">
      <c r="A3354" s="1754">
        <v>41880</v>
      </c>
      <c r="B3354" s="125" t="str">
        <f>TiposLancamentos!B72</f>
        <v>Presentes</v>
      </c>
      <c r="C3354" s="1040" t="s">
        <v>6770</v>
      </c>
      <c r="D3354" s="1736"/>
      <c r="E3354" s="1043">
        <v>39.9</v>
      </c>
      <c r="F3354" s="1043"/>
      <c r="G3354" s="1550"/>
    </row>
    <row r="3355" spans="1:7">
      <c r="A3355" s="1754">
        <v>41880</v>
      </c>
      <c r="B3355" s="125" t="str">
        <f>TiposLancamentos!B48</f>
        <v>Baralhos e Oráculos</v>
      </c>
      <c r="C3355" s="1040" t="s">
        <v>6771</v>
      </c>
      <c r="D3355" s="1736"/>
      <c r="E3355" s="1043">
        <v>72.900000000000006</v>
      </c>
      <c r="F3355" s="1043"/>
      <c r="G3355" s="1550"/>
    </row>
    <row r="3356" spans="1:7">
      <c r="A3356" s="1754">
        <v>41880</v>
      </c>
      <c r="B3356" s="125" t="str">
        <f>TiposLancamentos!B19</f>
        <v>Restaurantes</v>
      </c>
      <c r="C3356" s="1040" t="s">
        <v>6772</v>
      </c>
      <c r="D3356" s="1736"/>
      <c r="E3356" s="1043">
        <v>25</v>
      </c>
      <c r="F3356" s="1043"/>
      <c r="G3356" s="1550"/>
    </row>
    <row r="3357" spans="1:7">
      <c r="A3357" s="1754">
        <v>41880</v>
      </c>
      <c r="B3357" s="125" t="str">
        <f>TiposLancamentos!B19</f>
        <v>Restaurantes</v>
      </c>
      <c r="C3357" s="1040" t="s">
        <v>3680</v>
      </c>
      <c r="D3357" s="1736"/>
      <c r="E3357" s="1043">
        <v>14</v>
      </c>
      <c r="F3357" s="1043"/>
      <c r="G3357" s="1550"/>
    </row>
    <row r="3358" spans="1:7">
      <c r="A3358" s="1754">
        <v>41880</v>
      </c>
      <c r="B3358" s="125" t="str">
        <f>TiposLancamentos!B56</f>
        <v>Farmácia</v>
      </c>
      <c r="C3358" s="1040" t="s">
        <v>6603</v>
      </c>
      <c r="D3358" s="1736"/>
      <c r="E3358" s="1043">
        <v>12.87</v>
      </c>
      <c r="F3358" s="1043"/>
      <c r="G3358" s="1550"/>
    </row>
    <row r="3359" spans="1:7">
      <c r="A3359" s="1754">
        <v>41880</v>
      </c>
      <c r="B3359" s="125" t="str">
        <f>TiposLancamentos!B19</f>
        <v>Restaurantes</v>
      </c>
      <c r="C3359" s="1040" t="s">
        <v>6773</v>
      </c>
      <c r="D3359" s="1736"/>
      <c r="E3359" s="1043">
        <v>35.5</v>
      </c>
      <c r="F3359" s="1043"/>
      <c r="G3359" s="1550"/>
    </row>
    <row r="3360" spans="1:7">
      <c r="A3360" s="1754">
        <v>41881</v>
      </c>
      <c r="B3360" s="125" t="str">
        <f>TiposLancamentos!B19</f>
        <v>Restaurantes</v>
      </c>
      <c r="C3360" s="1040" t="s">
        <v>6230</v>
      </c>
      <c r="D3360" s="1736"/>
      <c r="E3360" s="1043">
        <v>87.97</v>
      </c>
      <c r="F3360" s="1043"/>
      <c r="G3360" s="1550"/>
    </row>
    <row r="3361" spans="1:7">
      <c r="A3361" s="1754">
        <v>41882</v>
      </c>
      <c r="B3361" s="125" t="str">
        <f>TiposLancamentos!B5</f>
        <v>Supermercado</v>
      </c>
      <c r="C3361" s="1040" t="s">
        <v>6234</v>
      </c>
      <c r="D3361" s="1736"/>
      <c r="E3361" s="1043">
        <v>26.59</v>
      </c>
      <c r="F3361" s="1043"/>
      <c r="G3361" s="1550"/>
    </row>
    <row r="3362" spans="1:7" ht="14.25" thickBot="1">
      <c r="A3362" s="1754">
        <v>41882</v>
      </c>
      <c r="B3362" s="125" t="str">
        <f>TiposLancamentos!B19</f>
        <v>Restaurantes</v>
      </c>
      <c r="C3362" s="1040" t="s">
        <v>3618</v>
      </c>
      <c r="D3362" s="1736"/>
      <c r="E3362" s="1043">
        <v>28.1</v>
      </c>
      <c r="F3362" s="1043"/>
      <c r="G3362" s="1550"/>
    </row>
    <row r="3363" spans="1:7">
      <c r="A3363" s="1834"/>
      <c r="B3363" s="977"/>
      <c r="C3363" s="1854" t="s">
        <v>6774</v>
      </c>
      <c r="D3363" s="1823"/>
      <c r="E3363" s="1821"/>
      <c r="F3363" s="1821"/>
      <c r="G3363" s="1895"/>
    </row>
    <row r="3364" spans="1:7">
      <c r="A3364" s="1754">
        <v>41883</v>
      </c>
      <c r="B3364" s="125" t="str">
        <f>TiposLancamentos!B15</f>
        <v>Cartões de Crédito</v>
      </c>
      <c r="C3364" s="1040" t="s">
        <v>6775</v>
      </c>
      <c r="D3364" s="1736"/>
      <c r="E3364" s="1043">
        <v>168.98</v>
      </c>
      <c r="F3364" s="1043"/>
      <c r="G3364" s="1550"/>
    </row>
    <row r="3365" spans="1:7">
      <c r="A3365" s="1754">
        <v>41883</v>
      </c>
      <c r="B3365" s="125" t="str">
        <f>TiposLancamentos!B15</f>
        <v>Cartões de Crédito</v>
      </c>
      <c r="C3365" s="1040" t="s">
        <v>6776</v>
      </c>
      <c r="D3365" s="1736"/>
      <c r="E3365" s="1043">
        <v>956.14</v>
      </c>
      <c r="F3365" s="1043"/>
      <c r="G3365" s="1550"/>
    </row>
    <row r="3366" spans="1:7">
      <c r="A3366" s="1754">
        <v>41883</v>
      </c>
      <c r="B3366" s="125" t="str">
        <f>TiposLancamentos!B15</f>
        <v>Cartões de Crédito</v>
      </c>
      <c r="C3366" s="1040" t="s">
        <v>6561</v>
      </c>
      <c r="D3366" s="1736"/>
      <c r="E3366" s="1043">
        <v>590.89</v>
      </c>
      <c r="F3366" s="1043"/>
      <c r="G3366" s="1550"/>
    </row>
    <row r="3367" spans="1:7">
      <c r="A3367" s="1754">
        <v>41883</v>
      </c>
      <c r="B3367" s="125" t="str">
        <f>TiposLancamentos!B96</f>
        <v>Resg.Poup.</v>
      </c>
      <c r="C3367" s="1040" t="s">
        <v>6777</v>
      </c>
      <c r="D3367" s="1736">
        <v>2100</v>
      </c>
      <c r="E3367" s="1043"/>
      <c r="F3367" s="1043"/>
      <c r="G3367" s="1550"/>
    </row>
    <row r="3368" spans="1:7">
      <c r="A3368" s="1754">
        <v>41883</v>
      </c>
      <c r="B3368" s="125" t="str">
        <f>TiposLancamentos!B4</f>
        <v>Taxas Bancarias</v>
      </c>
      <c r="C3368" s="1040" t="s">
        <v>4858</v>
      </c>
      <c r="D3368" s="1736"/>
      <c r="E3368" s="1043">
        <v>1.51</v>
      </c>
      <c r="F3368" s="1043"/>
      <c r="G3368" s="1550"/>
    </row>
    <row r="3369" spans="1:7">
      <c r="A3369" s="1754">
        <v>41884</v>
      </c>
      <c r="B3369" s="125" t="str">
        <f>TiposLancamentos!B22</f>
        <v>Combustivel</v>
      </c>
      <c r="C3369" s="1040" t="s">
        <v>6412</v>
      </c>
      <c r="D3369" s="1736"/>
      <c r="E3369" s="1043">
        <v>60</v>
      </c>
      <c r="F3369" s="1043"/>
      <c r="G3369" s="1550"/>
    </row>
    <row r="3370" spans="1:7">
      <c r="A3370" s="1754">
        <v>41884</v>
      </c>
      <c r="B3370" s="125" t="str">
        <f>TiposLancamentos!B24</f>
        <v>Estacionamentos</v>
      </c>
      <c r="C3370" s="1040" t="s">
        <v>6778</v>
      </c>
      <c r="D3370" s="1736"/>
      <c r="E3370" s="1043">
        <v>23</v>
      </c>
      <c r="F3370" s="1043"/>
      <c r="G3370" s="1550"/>
    </row>
    <row r="3371" spans="1:7">
      <c r="A3371" s="1754">
        <v>41884</v>
      </c>
      <c r="B3371" s="125" t="str">
        <f>TiposLancamentos!B19</f>
        <v>Restaurantes</v>
      </c>
      <c r="C3371" s="1040" t="s">
        <v>3618</v>
      </c>
      <c r="D3371" s="1736"/>
      <c r="E3371" s="1043">
        <v>37.799999999999997</v>
      </c>
      <c r="F3371" s="1043"/>
      <c r="G3371" s="1550"/>
    </row>
    <row r="3372" spans="1:7">
      <c r="A3372" s="1754">
        <v>41886</v>
      </c>
      <c r="B3372" s="125" t="str">
        <f>TiposLancamentos!B67</f>
        <v>Lavanderia</v>
      </c>
      <c r="C3372" s="1040" t="s">
        <v>6779</v>
      </c>
      <c r="D3372" s="1736"/>
      <c r="E3372" s="1043">
        <v>65</v>
      </c>
      <c r="F3372" s="1043"/>
      <c r="G3372" s="1550"/>
    </row>
    <row r="3373" spans="1:7">
      <c r="A3373" s="1754">
        <v>41886</v>
      </c>
      <c r="B3373" s="125" t="str">
        <f>TiposLancamentos!B19</f>
        <v>Restaurantes</v>
      </c>
      <c r="C3373" s="1040" t="s">
        <v>6780</v>
      </c>
      <c r="D3373" s="1736"/>
      <c r="E3373" s="1043">
        <v>25.66</v>
      </c>
      <c r="F3373" s="1043"/>
      <c r="G3373" s="1550"/>
    </row>
    <row r="3374" spans="1:7">
      <c r="A3374" s="1754">
        <v>41886</v>
      </c>
      <c r="B3374" s="125" t="str">
        <f>TiposLancamentos!B19</f>
        <v>Restaurantes</v>
      </c>
      <c r="C3374" s="1040" t="s">
        <v>6781</v>
      </c>
      <c r="D3374" s="1736"/>
      <c r="E3374" s="1043">
        <v>14.6</v>
      </c>
      <c r="F3374" s="1043"/>
      <c r="G3374" s="1550"/>
    </row>
    <row r="3375" spans="1:7">
      <c r="A3375" s="1754">
        <v>41886</v>
      </c>
      <c r="B3375" s="125" t="str">
        <f>TiposLancamentos!B73</f>
        <v>Cursos</v>
      </c>
      <c r="C3375" s="1040" t="s">
        <v>6782</v>
      </c>
      <c r="D3375" s="1736"/>
      <c r="E3375" s="1043">
        <v>640.16</v>
      </c>
      <c r="F3375" s="1043"/>
      <c r="G3375" s="1550"/>
    </row>
    <row r="3376" spans="1:7">
      <c r="A3376" s="1754">
        <v>41886</v>
      </c>
      <c r="B3376" s="125" t="str">
        <f>TiposLancamentos!B9</f>
        <v>Condominio</v>
      </c>
      <c r="C3376" s="1040" t="s">
        <v>6783</v>
      </c>
      <c r="D3376" s="1736"/>
      <c r="E3376" s="1043">
        <v>874.19</v>
      </c>
      <c r="F3376" s="1043"/>
      <c r="G3376" s="1550"/>
    </row>
    <row r="3377" spans="1:7">
      <c r="A3377" s="1754">
        <v>41886</v>
      </c>
      <c r="B3377" s="125" t="str">
        <f>TiposLancamentos!B2</f>
        <v>Telefonia</v>
      </c>
      <c r="C3377" s="1040" t="s">
        <v>4895</v>
      </c>
      <c r="D3377" s="1736"/>
      <c r="E3377" s="1043">
        <v>108.85</v>
      </c>
      <c r="F3377" s="1043"/>
      <c r="G3377" s="1550"/>
    </row>
    <row r="3378" spans="1:7">
      <c r="A3378" s="1754">
        <v>41886</v>
      </c>
      <c r="B3378" s="125" t="str">
        <f>TiposLancamentos!B19</f>
        <v>Restaurantes</v>
      </c>
      <c r="C3378" s="1040" t="s">
        <v>6784</v>
      </c>
      <c r="D3378" s="1736"/>
      <c r="E3378" s="1043">
        <v>59.3</v>
      </c>
      <c r="F3378" s="1043"/>
      <c r="G3378" s="1550"/>
    </row>
    <row r="3379" spans="1:7">
      <c r="A3379" s="1754">
        <v>41886</v>
      </c>
      <c r="B3379" s="125" t="str">
        <f>TiposLancamentos!B16</f>
        <v>Cristiane</v>
      </c>
      <c r="C3379" s="1040" t="s">
        <v>6785</v>
      </c>
      <c r="D3379" s="1736"/>
      <c r="E3379" s="1043">
        <v>48.98</v>
      </c>
      <c r="F3379" s="1043"/>
      <c r="G3379" s="1550"/>
    </row>
    <row r="3380" spans="1:7">
      <c r="A3380" s="1754">
        <v>41888</v>
      </c>
      <c r="B3380" s="125" t="str">
        <f>TiposLancamentos!B19</f>
        <v>Restaurantes</v>
      </c>
      <c r="C3380" s="1040" t="s">
        <v>6409</v>
      </c>
      <c r="D3380" s="1736"/>
      <c r="E3380" s="1043">
        <v>81.069999999999993</v>
      </c>
      <c r="F3380" s="1043"/>
      <c r="G3380" s="1550"/>
    </row>
    <row r="3381" spans="1:7">
      <c r="A3381" s="1754">
        <v>41888</v>
      </c>
      <c r="B3381" s="125" t="str">
        <f>TiposLancamentos!B57</f>
        <v>Informática</v>
      </c>
      <c r="C3381" s="1040" t="s">
        <v>6786</v>
      </c>
      <c r="D3381" s="1736"/>
      <c r="E3381" s="1043">
        <v>209</v>
      </c>
      <c r="F3381" s="1043"/>
      <c r="G3381" s="1550"/>
    </row>
    <row r="3382" spans="1:7">
      <c r="A3382" s="1754">
        <v>41888</v>
      </c>
      <c r="B3382" s="125" t="str">
        <f>TiposLancamentos!B62</f>
        <v>Papelaria</v>
      </c>
      <c r="C3382" s="1040" t="s">
        <v>6787</v>
      </c>
      <c r="D3382" s="1736"/>
      <c r="E3382" s="1043">
        <v>42.08</v>
      </c>
      <c r="F3382" s="1043"/>
      <c r="G3382" s="1550"/>
    </row>
    <row r="3383" spans="1:7">
      <c r="A3383" s="1754">
        <v>41888</v>
      </c>
      <c r="B3383" s="125" t="str">
        <f>TiposLancamentos!B5</f>
        <v>Supermercado</v>
      </c>
      <c r="C3383" s="1040" t="s">
        <v>6414</v>
      </c>
      <c r="D3383" s="1736"/>
      <c r="E3383" s="1043">
        <v>141.47</v>
      </c>
      <c r="F3383" s="1043"/>
      <c r="G3383" s="1550"/>
    </row>
    <row r="3384" spans="1:7">
      <c r="A3384" s="1754">
        <v>41890</v>
      </c>
      <c r="B3384" s="125" t="str">
        <f>TiposLancamentos!B19</f>
        <v>Restaurantes</v>
      </c>
      <c r="C3384" s="1040" t="s">
        <v>6788</v>
      </c>
      <c r="D3384" s="1736"/>
      <c r="E3384" s="1043">
        <v>7.2</v>
      </c>
      <c r="F3384" s="1043"/>
      <c r="G3384" s="1550"/>
    </row>
    <row r="3385" spans="1:7">
      <c r="A3385" s="1754">
        <v>41890</v>
      </c>
      <c r="B3385" s="125" t="str">
        <f>TiposLancamentos!B19</f>
        <v>Restaurantes</v>
      </c>
      <c r="C3385" s="1040" t="s">
        <v>6789</v>
      </c>
      <c r="D3385" s="1736"/>
      <c r="E3385" s="1043">
        <v>19.5</v>
      </c>
      <c r="F3385" s="1043"/>
      <c r="G3385" s="1550"/>
    </row>
    <row r="3386" spans="1:7">
      <c r="A3386" s="1754">
        <v>41890</v>
      </c>
      <c r="B3386" s="125" t="str">
        <f>TiposLancamentos!B56</f>
        <v>Farmácia</v>
      </c>
      <c r="C3386" s="1040" t="s">
        <v>6790</v>
      </c>
      <c r="D3386" s="1736"/>
      <c r="E3386" s="1043">
        <v>15.03</v>
      </c>
      <c r="F3386" s="1043"/>
      <c r="G3386" s="1550"/>
    </row>
    <row r="3387" spans="1:7">
      <c r="A3387" s="1754">
        <v>41890</v>
      </c>
      <c r="B3387" s="125" t="str">
        <f>TiposLancamentos!B96</f>
        <v>Resg.Poup.</v>
      </c>
      <c r="C3387" s="1040" t="s">
        <v>6791</v>
      </c>
      <c r="D3387" s="1736">
        <v>26560.04</v>
      </c>
      <c r="E3387" s="1043"/>
      <c r="F3387" s="1043"/>
      <c r="G3387" s="1550"/>
    </row>
    <row r="3388" spans="1:7">
      <c r="A3388" s="1754">
        <v>41891</v>
      </c>
      <c r="B3388" s="125" t="str">
        <f>TiposLancamentos!B21</f>
        <v>Transf. Poupanca</v>
      </c>
      <c r="C3388" s="1040" t="s">
        <v>6792</v>
      </c>
      <c r="D3388" s="1736"/>
      <c r="E3388" s="1043">
        <v>21100</v>
      </c>
      <c r="F3388" s="1043"/>
      <c r="G3388" s="1550"/>
    </row>
    <row r="3389" spans="1:7">
      <c r="A3389" s="1754">
        <v>41891</v>
      </c>
      <c r="B3389" s="125" t="str">
        <f>TiposLancamentos!B19</f>
        <v>Restaurantes</v>
      </c>
      <c r="C3389" s="1040" t="s">
        <v>6793</v>
      </c>
      <c r="D3389" s="1736"/>
      <c r="E3389" s="1043">
        <v>18.7</v>
      </c>
      <c r="F3389" s="1043"/>
      <c r="G3389" s="1550"/>
    </row>
    <row r="3390" spans="1:7">
      <c r="A3390" s="1666">
        <v>41892</v>
      </c>
      <c r="B3390" s="817" t="str">
        <f>TiposLancamentos!B8</f>
        <v>Aluguel</v>
      </c>
      <c r="C3390" s="1742" t="s">
        <v>6163</v>
      </c>
      <c r="D3390" s="1735"/>
      <c r="E3390" s="1733">
        <v>1406.3</v>
      </c>
      <c r="F3390" s="1043"/>
      <c r="G3390" s="1550"/>
    </row>
    <row r="3391" spans="1:7">
      <c r="A3391" s="1667">
        <v>41892</v>
      </c>
      <c r="B3391" s="816" t="str">
        <f>TiposLancamentos!B12</f>
        <v>IPTU</v>
      </c>
      <c r="C3391" s="1769" t="s">
        <v>6319</v>
      </c>
      <c r="D3391" s="1736"/>
      <c r="E3391" s="1734">
        <v>110.83</v>
      </c>
      <c r="F3391" s="1043"/>
      <c r="G3391" s="1550"/>
    </row>
    <row r="3392" spans="1:7">
      <c r="A3392" s="1750">
        <v>41892</v>
      </c>
      <c r="B3392" s="818"/>
      <c r="C3392" s="1743" t="s">
        <v>6794</v>
      </c>
      <c r="D3392" s="1737"/>
      <c r="E3392" s="1668">
        <v>0</v>
      </c>
      <c r="F3392" s="1043">
        <f>SUM(E3390:E3392)</f>
        <v>1517.1299999999999</v>
      </c>
      <c r="G3392" s="1550"/>
    </row>
    <row r="3393" spans="1:7">
      <c r="A3393" s="1754">
        <v>41892</v>
      </c>
      <c r="B3393" s="125" t="str">
        <f>TiposLancamentos!B19</f>
        <v>Restaurantes</v>
      </c>
      <c r="C3393" s="1040" t="s">
        <v>6795</v>
      </c>
      <c r="D3393" s="1736"/>
      <c r="E3393" s="1043">
        <v>8.5</v>
      </c>
      <c r="F3393" s="1043"/>
      <c r="G3393" s="1550"/>
    </row>
    <row r="3394" spans="1:7">
      <c r="A3394" s="1754">
        <v>41892</v>
      </c>
      <c r="B3394" s="125" t="str">
        <f>TiposLancamentos!B55</f>
        <v>Onibus Urbano</v>
      </c>
      <c r="C3394" s="1040" t="s">
        <v>6796</v>
      </c>
      <c r="D3394" s="1736"/>
      <c r="E3394" s="1043">
        <v>315</v>
      </c>
      <c r="F3394" s="1043">
        <v>315</v>
      </c>
      <c r="G3394" s="1550"/>
    </row>
    <row r="3395" spans="1:7">
      <c r="A3395" s="1754">
        <v>41892</v>
      </c>
      <c r="B3395" s="125" t="str">
        <f>TiposLancamentos!B19</f>
        <v>Restaurantes</v>
      </c>
      <c r="C3395" s="1040" t="s">
        <v>6793</v>
      </c>
      <c r="D3395" s="1736"/>
      <c r="E3395" s="1043">
        <v>18.7</v>
      </c>
      <c r="F3395" s="1043"/>
      <c r="G3395" s="1550"/>
    </row>
    <row r="3396" spans="1:7">
      <c r="A3396" s="1754">
        <v>41892</v>
      </c>
      <c r="B3396" s="125" t="str">
        <f>TiposLancamentos!B20</f>
        <v>Saques</v>
      </c>
      <c r="C3396" s="1040" t="s">
        <v>4640</v>
      </c>
      <c r="D3396" s="1736"/>
      <c r="E3396" s="1043">
        <v>20</v>
      </c>
      <c r="F3396" s="1043"/>
      <c r="G3396" s="1550"/>
    </row>
    <row r="3397" spans="1:7">
      <c r="A3397" s="1754">
        <v>41892</v>
      </c>
      <c r="B3397" s="125" t="str">
        <f>TiposLancamentos!B4</f>
        <v>Taxas Bancarias</v>
      </c>
      <c r="C3397" s="1040" t="s">
        <v>6368</v>
      </c>
      <c r="D3397" s="1736"/>
      <c r="E3397" s="1043">
        <v>9.31</v>
      </c>
      <c r="F3397" s="1043"/>
      <c r="G3397" s="1550"/>
    </row>
    <row r="3398" spans="1:7">
      <c r="A3398" s="1666">
        <v>41892</v>
      </c>
      <c r="B3398" s="817" t="str">
        <f>TiposLancamentos!B35</f>
        <v>Tv à Cabo</v>
      </c>
      <c r="C3398" s="1742" t="s">
        <v>5834</v>
      </c>
      <c r="D3398" s="1735"/>
      <c r="E3398" s="1733">
        <v>129.41</v>
      </c>
      <c r="F3398" s="1043"/>
      <c r="G3398" s="1550"/>
    </row>
    <row r="3399" spans="1:7">
      <c r="A3399" s="1667">
        <v>41892</v>
      </c>
      <c r="B3399" s="816" t="str">
        <f>TiposLancamentos!B3</f>
        <v>Internet</v>
      </c>
      <c r="C3399" s="1769" t="s">
        <v>5835</v>
      </c>
      <c r="D3399" s="1736"/>
      <c r="E3399" s="1734">
        <v>64.599999999999994</v>
      </c>
      <c r="F3399" s="1043"/>
      <c r="G3399" s="1550"/>
    </row>
    <row r="3400" spans="1:7">
      <c r="A3400" s="1750">
        <v>41892</v>
      </c>
      <c r="B3400" s="818" t="str">
        <f>TiposLancamentos!B2</f>
        <v>Telefonia</v>
      </c>
      <c r="C3400" s="1743" t="s">
        <v>5836</v>
      </c>
      <c r="D3400" s="1737"/>
      <c r="E3400" s="1668">
        <v>2.35</v>
      </c>
      <c r="F3400" s="1043">
        <f>SUM(E3398:E3400)</f>
        <v>196.35999999999999</v>
      </c>
      <c r="G3400" s="1550"/>
    </row>
    <row r="3401" spans="1:7">
      <c r="A3401" s="1754">
        <v>41893</v>
      </c>
      <c r="B3401" s="125" t="str">
        <f>TiposLancamentos!B19</f>
        <v>Restaurantes</v>
      </c>
      <c r="C3401" s="1040" t="s">
        <v>6793</v>
      </c>
      <c r="D3401" s="1736"/>
      <c r="E3401" s="1043">
        <v>18.7</v>
      </c>
      <c r="F3401" s="1043"/>
      <c r="G3401" s="1550"/>
    </row>
    <row r="3402" spans="1:7">
      <c r="A3402" s="1754">
        <v>41894</v>
      </c>
      <c r="B3402" s="125" t="str">
        <f>TiposLancamentos!B19</f>
        <v>Restaurantes</v>
      </c>
      <c r="C3402" s="1040" t="s">
        <v>6795</v>
      </c>
      <c r="D3402" s="1736"/>
      <c r="E3402" s="1043">
        <v>6</v>
      </c>
      <c r="F3402" s="1043"/>
      <c r="G3402" s="1550"/>
    </row>
    <row r="3403" spans="1:7">
      <c r="A3403" s="1754">
        <v>41894</v>
      </c>
      <c r="B3403" s="125" t="str">
        <f>TiposLancamentos!B19</f>
        <v>Restaurantes</v>
      </c>
      <c r="C3403" s="1040" t="s">
        <v>6793</v>
      </c>
      <c r="D3403" s="1736"/>
      <c r="E3403" s="1043">
        <v>18.7</v>
      </c>
      <c r="F3403" s="1043"/>
      <c r="G3403" s="1550"/>
    </row>
    <row r="3404" spans="1:7">
      <c r="A3404" s="1754">
        <v>41895</v>
      </c>
      <c r="B3404" s="125" t="str">
        <f>TiposLancamentos!B71</f>
        <v>Itens Pessoais</v>
      </c>
      <c r="C3404" s="1040" t="s">
        <v>5611</v>
      </c>
      <c r="D3404" s="1736"/>
      <c r="E3404" s="1043">
        <v>27</v>
      </c>
      <c r="F3404" s="1043"/>
      <c r="G3404" s="1550"/>
    </row>
    <row r="3405" spans="1:7">
      <c r="A3405" s="1754">
        <v>41895</v>
      </c>
      <c r="B3405" s="125" t="str">
        <f>TiposLancamentos!B70</f>
        <v>Vestuário</v>
      </c>
      <c r="C3405" s="1040" t="s">
        <v>6797</v>
      </c>
      <c r="D3405" s="1736"/>
      <c r="E3405" s="1043">
        <v>29</v>
      </c>
      <c r="F3405" s="1043"/>
      <c r="G3405" s="1550"/>
    </row>
    <row r="3406" spans="1:7">
      <c r="A3406" s="1754">
        <v>41895</v>
      </c>
      <c r="B3406" s="125" t="str">
        <f>TiposLancamentos!B19</f>
        <v>Restaurantes</v>
      </c>
      <c r="C3406" s="1040" t="s">
        <v>6230</v>
      </c>
      <c r="D3406" s="1736"/>
      <c r="E3406" s="1043">
        <v>76.75</v>
      </c>
      <c r="F3406" s="1043"/>
      <c r="G3406" s="1550"/>
    </row>
    <row r="3407" spans="1:7">
      <c r="A3407" s="1754">
        <v>41895</v>
      </c>
      <c r="B3407" s="125" t="str">
        <f>TiposLancamentos!B16</f>
        <v>Cristiane</v>
      </c>
      <c r="C3407" s="1040" t="s">
        <v>6798</v>
      </c>
      <c r="D3407" s="1736"/>
      <c r="E3407" s="1043">
        <v>32.33</v>
      </c>
      <c r="F3407" s="1043"/>
      <c r="G3407" s="1550"/>
    </row>
    <row r="3408" spans="1:7">
      <c r="A3408" s="1754">
        <v>41895</v>
      </c>
      <c r="B3408" s="125" t="str">
        <f>TiposLancamentos!B19</f>
        <v>Restaurantes</v>
      </c>
      <c r="C3408" s="1040" t="s">
        <v>6799</v>
      </c>
      <c r="D3408" s="1736"/>
      <c r="E3408" s="1043">
        <v>35.01</v>
      </c>
      <c r="F3408" s="1043"/>
      <c r="G3408" s="1550"/>
    </row>
    <row r="3409" spans="1:7">
      <c r="A3409" s="1754">
        <v>41897</v>
      </c>
      <c r="B3409" s="125" t="str">
        <f>TiposLancamentos!B5</f>
        <v>Supermercado</v>
      </c>
      <c r="C3409" s="1040" t="s">
        <v>6234</v>
      </c>
      <c r="D3409" s="1736"/>
      <c r="E3409" s="1043">
        <v>45.77</v>
      </c>
      <c r="F3409" s="1043"/>
      <c r="G3409" s="1550"/>
    </row>
    <row r="3410" spans="1:7">
      <c r="A3410" s="1754">
        <v>41898</v>
      </c>
      <c r="B3410" s="125" t="str">
        <f>TiposLancamentos!B19</f>
        <v>Restaurantes</v>
      </c>
      <c r="C3410" s="1040" t="s">
        <v>6793</v>
      </c>
      <c r="D3410" s="1736"/>
      <c r="E3410" s="1043">
        <v>18.7</v>
      </c>
      <c r="F3410" s="1043"/>
      <c r="G3410" s="1550"/>
    </row>
    <row r="3411" spans="1:7">
      <c r="A3411" s="1754">
        <v>41898</v>
      </c>
      <c r="B3411" s="125" t="str">
        <f>TiposLancamentos!B56</f>
        <v>Farmácia</v>
      </c>
      <c r="C3411" s="1040" t="s">
        <v>6800</v>
      </c>
      <c r="D3411" s="1736"/>
      <c r="E3411" s="1043">
        <v>71.959999999999994</v>
      </c>
      <c r="F3411" s="1043"/>
      <c r="G3411" s="1550"/>
    </row>
    <row r="3412" spans="1:7">
      <c r="A3412" s="1666">
        <v>41897</v>
      </c>
      <c r="B3412" s="817" t="str">
        <f>TiposLancamentos!B33</f>
        <v>Pedágios</v>
      </c>
      <c r="C3412" s="1742" t="s">
        <v>5392</v>
      </c>
      <c r="D3412" s="1735"/>
      <c r="E3412" s="1733">
        <v>59.34</v>
      </c>
      <c r="F3412" s="1043"/>
      <c r="G3412" s="1550"/>
    </row>
    <row r="3413" spans="1:7">
      <c r="A3413" s="1667">
        <v>41897</v>
      </c>
      <c r="B3413" s="816" t="str">
        <f>TiposLancamentos!B24</f>
        <v>Estacionamentos</v>
      </c>
      <c r="C3413" s="1769" t="s">
        <v>5863</v>
      </c>
      <c r="D3413" s="1736"/>
      <c r="E3413" s="1734">
        <v>37</v>
      </c>
      <c r="F3413" s="1043"/>
      <c r="G3413" s="1550"/>
    </row>
    <row r="3414" spans="1:7">
      <c r="A3414" s="1750">
        <v>41897</v>
      </c>
      <c r="B3414" s="818" t="str">
        <f>TiposLancamentos!B24</f>
        <v>Estacionamentos</v>
      </c>
      <c r="C3414" s="1743" t="s">
        <v>6297</v>
      </c>
      <c r="D3414" s="1737"/>
      <c r="E3414" s="1668">
        <v>6</v>
      </c>
      <c r="F3414" s="1043">
        <f>SUM(E3412:E3414)</f>
        <v>102.34</v>
      </c>
      <c r="G3414" s="1550"/>
    </row>
    <row r="3415" spans="1:7">
      <c r="A3415" s="1754">
        <v>41899</v>
      </c>
      <c r="B3415" s="125" t="str">
        <f>TiposLancamentos!B19</f>
        <v>Restaurantes</v>
      </c>
      <c r="C3415" s="1040" t="s">
        <v>6793</v>
      </c>
      <c r="D3415" s="1736"/>
      <c r="E3415" s="1043">
        <v>20.5</v>
      </c>
      <c r="F3415" s="1043"/>
      <c r="G3415" s="1550"/>
    </row>
    <row r="3416" spans="1:7">
      <c r="A3416" s="1754">
        <v>41899</v>
      </c>
      <c r="B3416" s="125" t="str">
        <f>TiposLancamentos!B56</f>
        <v>Farmácia</v>
      </c>
      <c r="C3416" s="1040" t="s">
        <v>6801</v>
      </c>
      <c r="D3416" s="1736"/>
      <c r="E3416" s="1043">
        <v>33.18</v>
      </c>
      <c r="F3416" s="1043"/>
      <c r="G3416" s="1550"/>
    </row>
    <row r="3417" spans="1:7">
      <c r="A3417" s="1754">
        <v>41900</v>
      </c>
      <c r="B3417" s="125" t="str">
        <f>TiposLancamentos!B48</f>
        <v>Baralhos e Oráculos</v>
      </c>
      <c r="C3417" s="1040" t="s">
        <v>6802</v>
      </c>
      <c r="D3417" s="1736"/>
      <c r="E3417" s="1043">
        <v>69</v>
      </c>
      <c r="F3417" s="1043"/>
      <c r="G3417" s="1550"/>
    </row>
    <row r="3418" spans="1:7">
      <c r="A3418" s="1754">
        <v>41900</v>
      </c>
      <c r="B3418" s="125" t="str">
        <f>TiposLancamentos!B16</f>
        <v>Cristiane</v>
      </c>
      <c r="C3418" s="1040" t="s">
        <v>6052</v>
      </c>
      <c r="D3418" s="1736"/>
      <c r="E3418" s="1043">
        <v>55.8</v>
      </c>
      <c r="F3418" s="1043"/>
      <c r="G3418" s="1550"/>
    </row>
    <row r="3419" spans="1:7">
      <c r="A3419" s="1754">
        <v>41902</v>
      </c>
      <c r="B3419" s="125" t="str">
        <f>TiposLancamentos!B19</f>
        <v>Restaurantes</v>
      </c>
      <c r="C3419" s="1040" t="s">
        <v>6803</v>
      </c>
      <c r="D3419" s="1736"/>
      <c r="E3419" s="1043">
        <v>104.94</v>
      </c>
      <c r="F3419" s="1043"/>
      <c r="G3419" s="1550"/>
    </row>
    <row r="3420" spans="1:7">
      <c r="A3420" s="1754">
        <v>41902</v>
      </c>
      <c r="B3420" s="125" t="str">
        <f>TiposLancamentos!B5</f>
        <v>Supermercado</v>
      </c>
      <c r="C3420" s="1040" t="s">
        <v>6804</v>
      </c>
      <c r="D3420" s="1736"/>
      <c r="E3420" s="1043">
        <v>63.88</v>
      </c>
      <c r="F3420" s="1043"/>
      <c r="G3420" s="1550"/>
    </row>
    <row r="3421" spans="1:7">
      <c r="A3421" s="1754">
        <v>41904</v>
      </c>
      <c r="B3421" s="125" t="str">
        <f>TiposLancamentos!B88</f>
        <v>Ford Ecosport XLT</v>
      </c>
      <c r="C3421" s="1040" t="s">
        <v>6805</v>
      </c>
      <c r="D3421" s="1736"/>
      <c r="E3421" s="1043">
        <v>878.64</v>
      </c>
      <c r="F3421" s="1043"/>
      <c r="G3421" s="1550"/>
    </row>
    <row r="3422" spans="1:7">
      <c r="A3422" s="1754">
        <v>41904</v>
      </c>
      <c r="B3422" s="125" t="str">
        <f>TiposLancamentos!B19</f>
        <v>Restaurantes</v>
      </c>
      <c r="C3422" s="1040" t="s">
        <v>6793</v>
      </c>
      <c r="D3422" s="1736"/>
      <c r="E3422" s="1043">
        <v>18.5</v>
      </c>
      <c r="F3422" s="1043"/>
      <c r="G3422" s="1550"/>
    </row>
    <row r="3423" spans="1:7">
      <c r="A3423" s="1754">
        <v>41904</v>
      </c>
      <c r="B3423" s="125" t="str">
        <f>TiposLancamentos!B96</f>
        <v>Resg.Poup.</v>
      </c>
      <c r="C3423" s="1040" t="s">
        <v>6599</v>
      </c>
      <c r="D3423" s="1736">
        <v>1100</v>
      </c>
      <c r="E3423" s="1043"/>
      <c r="F3423" s="1043"/>
      <c r="G3423" s="1550"/>
    </row>
    <row r="3424" spans="1:7">
      <c r="A3424" s="1754">
        <v>41905</v>
      </c>
      <c r="B3424" s="125" t="str">
        <f>TiposLancamentos!B19</f>
        <v>Restaurantes</v>
      </c>
      <c r="C3424" s="1040" t="s">
        <v>6806</v>
      </c>
      <c r="D3424" s="1736"/>
      <c r="E3424" s="1043">
        <v>7.5</v>
      </c>
      <c r="F3424" s="1043"/>
      <c r="G3424" s="1550"/>
    </row>
    <row r="3425" spans="1:7">
      <c r="A3425" s="1754">
        <v>41905</v>
      </c>
      <c r="B3425" s="125" t="str">
        <f>TiposLancamentos!B19</f>
        <v>Restaurantes</v>
      </c>
      <c r="C3425" s="1040" t="s">
        <v>6793</v>
      </c>
      <c r="D3425" s="1736"/>
      <c r="E3425" s="1043">
        <v>19</v>
      </c>
      <c r="F3425" s="1043"/>
      <c r="G3425" s="1550"/>
    </row>
    <row r="3426" spans="1:7">
      <c r="A3426" s="1754">
        <v>41905</v>
      </c>
      <c r="B3426" s="125" t="str">
        <f>TiposLancamentos!B70</f>
        <v>Vestuário</v>
      </c>
      <c r="C3426" s="1040" t="s">
        <v>6807</v>
      </c>
      <c r="D3426" s="1736"/>
      <c r="E3426" s="1043">
        <v>139.96</v>
      </c>
      <c r="F3426" s="1043"/>
      <c r="G3426" s="1550"/>
    </row>
    <row r="3427" spans="1:7">
      <c r="A3427" s="1754">
        <v>41905</v>
      </c>
      <c r="B3427" s="125" t="str">
        <f>TiposLancamentos!B19</f>
        <v>Restaurantes</v>
      </c>
      <c r="C3427" s="1040" t="s">
        <v>6789</v>
      </c>
      <c r="D3427" s="1736"/>
      <c r="E3427" s="1043">
        <v>19</v>
      </c>
      <c r="F3427" s="1043"/>
      <c r="G3427" s="1550"/>
    </row>
    <row r="3428" spans="1:7">
      <c r="A3428" s="1754">
        <v>41905</v>
      </c>
      <c r="B3428" s="125" t="str">
        <f>TiposLancamentos!B56</f>
        <v>Farmácia</v>
      </c>
      <c r="C3428" s="1040" t="s">
        <v>6808</v>
      </c>
      <c r="D3428" s="1736"/>
      <c r="E3428" s="1043">
        <v>27.47</v>
      </c>
      <c r="F3428" s="1043"/>
      <c r="G3428" s="1550"/>
    </row>
    <row r="3429" spans="1:7">
      <c r="A3429" s="1754">
        <v>41906</v>
      </c>
      <c r="B3429" s="125" t="str">
        <f>TiposLancamentos!B19</f>
        <v>Restaurantes</v>
      </c>
      <c r="C3429" s="1040" t="s">
        <v>6795</v>
      </c>
      <c r="D3429" s="1736"/>
      <c r="E3429" s="1043">
        <v>10.5</v>
      </c>
      <c r="F3429" s="1043"/>
      <c r="G3429" s="1550"/>
    </row>
    <row r="3430" spans="1:7">
      <c r="A3430" s="1754">
        <v>41907</v>
      </c>
      <c r="B3430" s="125" t="str">
        <f>TiposLancamentos!B19</f>
        <v>Restaurantes</v>
      </c>
      <c r="C3430" s="1040" t="s">
        <v>6795</v>
      </c>
      <c r="D3430" s="1736"/>
      <c r="E3430" s="1043">
        <v>6</v>
      </c>
      <c r="F3430" s="1043"/>
      <c r="G3430" s="1550"/>
    </row>
    <row r="3431" spans="1:7">
      <c r="A3431" s="1754">
        <v>41907</v>
      </c>
      <c r="B3431" s="125" t="str">
        <f>TiposLancamentos!B6</f>
        <v>Energia Eletrica</v>
      </c>
      <c r="C3431" s="1040" t="s">
        <v>5191</v>
      </c>
      <c r="D3431" s="1736"/>
      <c r="E3431" s="1043">
        <v>154.75</v>
      </c>
      <c r="F3431" s="1043"/>
      <c r="G3431" s="1550"/>
    </row>
    <row r="3432" spans="1:7">
      <c r="A3432" s="1754">
        <v>41907</v>
      </c>
      <c r="B3432" s="125" t="str">
        <f>TiposLancamentos!B34</f>
        <v>Seguros</v>
      </c>
      <c r="C3432" s="1040" t="s">
        <v>6373</v>
      </c>
      <c r="D3432" s="1736"/>
      <c r="E3432" s="1043">
        <v>63.9</v>
      </c>
      <c r="F3432" s="1043"/>
      <c r="G3432" s="1550"/>
    </row>
    <row r="3433" spans="1:7">
      <c r="A3433" s="1754">
        <v>41907</v>
      </c>
      <c r="B3433" s="125" t="str">
        <f>TiposLancamentos!B19</f>
        <v>Restaurantes</v>
      </c>
      <c r="C3433" s="1040" t="s">
        <v>6793</v>
      </c>
      <c r="D3433" s="1736"/>
      <c r="E3433" s="1043">
        <v>18.5</v>
      </c>
      <c r="F3433" s="1043"/>
      <c r="G3433" s="1550"/>
    </row>
    <row r="3434" spans="1:7">
      <c r="A3434" s="1754">
        <v>41908</v>
      </c>
      <c r="B3434" s="125" t="str">
        <f>TiposLancamentos!B19</f>
        <v>Restaurantes</v>
      </c>
      <c r="C3434" s="1040" t="s">
        <v>6795</v>
      </c>
      <c r="D3434" s="1736"/>
      <c r="E3434" s="1043">
        <v>8.5</v>
      </c>
      <c r="F3434" s="1043"/>
      <c r="G3434" s="1550"/>
    </row>
    <row r="3435" spans="1:7">
      <c r="A3435" s="1754">
        <v>41908</v>
      </c>
      <c r="B3435" s="125" t="str">
        <f>TiposLancamentos!B19</f>
        <v>Restaurantes</v>
      </c>
      <c r="C3435" s="1040" t="s">
        <v>6809</v>
      </c>
      <c r="D3435" s="1736"/>
      <c r="E3435" s="1043">
        <v>20</v>
      </c>
      <c r="F3435" s="1043"/>
      <c r="G3435" s="1550"/>
    </row>
    <row r="3436" spans="1:7">
      <c r="A3436" s="1754">
        <v>41909</v>
      </c>
      <c r="B3436" s="125" t="str">
        <f>TiposLancamentos!B19</f>
        <v>Restaurantes</v>
      </c>
      <c r="C3436" s="1040" t="s">
        <v>6810</v>
      </c>
      <c r="D3436" s="1736"/>
      <c r="E3436" s="1043">
        <v>117.7</v>
      </c>
      <c r="F3436" s="1043"/>
      <c r="G3436" s="1550"/>
    </row>
    <row r="3437" spans="1:7">
      <c r="A3437" s="1754">
        <v>41910</v>
      </c>
      <c r="B3437" s="125" t="str">
        <f>TiposLancamentos!B19</f>
        <v>Restaurantes</v>
      </c>
      <c r="C3437" s="1040" t="s">
        <v>6811</v>
      </c>
      <c r="D3437" s="1736"/>
      <c r="E3437" s="1043">
        <v>61.91</v>
      </c>
      <c r="F3437" s="1043"/>
      <c r="G3437" s="1550"/>
    </row>
    <row r="3438" spans="1:7">
      <c r="A3438" s="1754">
        <v>41910</v>
      </c>
      <c r="B3438" s="125" t="str">
        <f>TiposLancamentos!B5</f>
        <v>Supermercado</v>
      </c>
      <c r="C3438" s="1040" t="s">
        <v>6234</v>
      </c>
      <c r="D3438" s="1736"/>
      <c r="E3438" s="1043">
        <v>71.849999999999994</v>
      </c>
      <c r="F3438" s="1043"/>
      <c r="G3438" s="1550"/>
    </row>
    <row r="3439" spans="1:7">
      <c r="A3439" s="1754">
        <v>41911</v>
      </c>
      <c r="B3439" s="125" t="str">
        <f>TiposLancamentos!B19</f>
        <v>Restaurantes</v>
      </c>
      <c r="C3439" s="1040" t="s">
        <v>6793</v>
      </c>
      <c r="D3439" s="1736"/>
      <c r="E3439" s="1043">
        <v>18.5</v>
      </c>
      <c r="F3439" s="1043"/>
      <c r="G3439" s="1550"/>
    </row>
    <row r="3440" spans="1:7">
      <c r="A3440" s="1754">
        <v>41911</v>
      </c>
      <c r="B3440" s="125" t="str">
        <f>TiposLancamentos!B19</f>
        <v>Restaurantes</v>
      </c>
      <c r="C3440" s="1040" t="s">
        <v>6812</v>
      </c>
      <c r="D3440" s="1736"/>
      <c r="E3440" s="1043">
        <v>7</v>
      </c>
      <c r="F3440" s="1043"/>
      <c r="G3440" s="1550"/>
    </row>
    <row r="3441" spans="1:7" ht="14.25" thickBot="1">
      <c r="A3441" s="1754">
        <v>41912</v>
      </c>
      <c r="B3441" s="125" t="str">
        <f>TiposLancamentos!B19</f>
        <v>Restaurantes</v>
      </c>
      <c r="C3441" s="1040" t="s">
        <v>6793</v>
      </c>
      <c r="D3441" s="1736"/>
      <c r="E3441" s="1043">
        <v>18.5</v>
      </c>
      <c r="F3441" s="1043"/>
      <c r="G3441" s="1550"/>
    </row>
    <row r="3442" spans="1:7">
      <c r="A3442" s="1834"/>
      <c r="B3442" s="977"/>
      <c r="C3442" s="1854" t="s">
        <v>6813</v>
      </c>
      <c r="D3442" s="1823"/>
      <c r="E3442" s="1821"/>
      <c r="F3442" s="1821"/>
      <c r="G3442" s="1895"/>
    </row>
    <row r="3443" spans="1:7">
      <c r="A3443" s="1754">
        <v>41913</v>
      </c>
      <c r="B3443" s="125" t="str">
        <f>TiposLancamentos!B15</f>
        <v>Cartões de Crédito</v>
      </c>
      <c r="C3443" s="1040" t="s">
        <v>6775</v>
      </c>
      <c r="D3443" s="1736"/>
      <c r="E3443" s="1043">
        <v>392.07</v>
      </c>
      <c r="F3443" s="1043"/>
      <c r="G3443" s="1550"/>
    </row>
    <row r="3444" spans="1:7">
      <c r="A3444" s="1754">
        <v>41913</v>
      </c>
      <c r="B3444" s="125" t="str">
        <f>TiposLancamentos!B15</f>
        <v>Cartões de Crédito</v>
      </c>
      <c r="C3444" s="1040" t="s">
        <v>6776</v>
      </c>
      <c r="D3444" s="1736"/>
      <c r="E3444" s="1043">
        <v>1077.68</v>
      </c>
      <c r="F3444" s="1043"/>
      <c r="G3444" s="1550"/>
    </row>
    <row r="3445" spans="1:7">
      <c r="A3445" s="1754">
        <v>41913</v>
      </c>
      <c r="B3445" s="125" t="str">
        <f>TiposLancamentos!B15</f>
        <v>Cartões de Crédito</v>
      </c>
      <c r="C3445" s="1040" t="s">
        <v>6561</v>
      </c>
      <c r="D3445" s="1736"/>
      <c r="E3445" s="1043">
        <v>590.89</v>
      </c>
      <c r="F3445" s="1043"/>
      <c r="G3445" s="1550"/>
    </row>
    <row r="3446" spans="1:7">
      <c r="A3446" s="1754">
        <v>41913</v>
      </c>
      <c r="B3446" s="125" t="str">
        <f>TiposLancamentos!B19</f>
        <v>Restaurantes</v>
      </c>
      <c r="C3446" s="1040" t="s">
        <v>6793</v>
      </c>
      <c r="D3446" s="1736"/>
      <c r="E3446" s="1043">
        <v>18.5</v>
      </c>
      <c r="F3446" s="1043"/>
      <c r="G3446" s="1550"/>
    </row>
    <row r="3447" spans="1:7">
      <c r="A3447" s="1754">
        <v>41913</v>
      </c>
      <c r="B3447" s="125" t="str">
        <f>TiposLancamentos!B18</f>
        <v>Alimentacao</v>
      </c>
      <c r="C3447" s="1040" t="s">
        <v>6814</v>
      </c>
      <c r="D3447" s="1736"/>
      <c r="E3447" s="1043">
        <v>16</v>
      </c>
      <c r="F3447" s="1043"/>
      <c r="G3447" s="1550"/>
    </row>
    <row r="3448" spans="1:7">
      <c r="A3448" s="1754">
        <v>41913</v>
      </c>
      <c r="B3448" s="125" t="str">
        <f>TiposLancamentos!B18</f>
        <v>Alimentacao</v>
      </c>
      <c r="C3448" s="1040" t="s">
        <v>6815</v>
      </c>
      <c r="D3448" s="1736"/>
      <c r="E3448" s="1043">
        <v>13.9</v>
      </c>
      <c r="F3448" s="1043"/>
      <c r="G3448" s="1550"/>
    </row>
    <row r="3449" spans="1:7">
      <c r="A3449" s="1754">
        <v>41913</v>
      </c>
      <c r="B3449" s="125" t="str">
        <f>TiposLancamentos!B4</f>
        <v>Taxas Bancarias</v>
      </c>
      <c r="C3449" s="1040" t="s">
        <v>5996</v>
      </c>
      <c r="D3449" s="1736"/>
      <c r="E3449" s="1043">
        <v>7.6</v>
      </c>
      <c r="F3449" s="1043"/>
      <c r="G3449" s="1550"/>
    </row>
    <row r="3450" spans="1:7">
      <c r="A3450" s="1754">
        <v>41914</v>
      </c>
      <c r="B3450" s="125" t="str">
        <f>TiposLancamentos!B19</f>
        <v>Restaurantes</v>
      </c>
      <c r="C3450" s="1040" t="s">
        <v>6795</v>
      </c>
      <c r="D3450" s="1736"/>
      <c r="E3450" s="1043">
        <v>6</v>
      </c>
      <c r="F3450" s="1043"/>
      <c r="G3450" s="1550"/>
    </row>
    <row r="3451" spans="1:7">
      <c r="A3451" s="1754">
        <v>41914</v>
      </c>
      <c r="B3451" s="125" t="str">
        <f>TiposLancamentos!B55</f>
        <v>Onibus Urbano</v>
      </c>
      <c r="C3451" s="1040" t="s">
        <v>6816</v>
      </c>
      <c r="D3451" s="1736"/>
      <c r="E3451" s="1043">
        <v>236</v>
      </c>
      <c r="F3451" s="1043"/>
      <c r="G3451" s="1550"/>
    </row>
    <row r="3452" spans="1:7">
      <c r="A3452" s="1754">
        <v>41914</v>
      </c>
      <c r="B3452" s="125" t="str">
        <f>TiposLancamentos!B96</f>
        <v>Resg.Poup.</v>
      </c>
      <c r="C3452" s="1040" t="s">
        <v>6817</v>
      </c>
      <c r="D3452" s="1736">
        <v>2700</v>
      </c>
      <c r="E3452" s="1043"/>
      <c r="F3452" s="1043"/>
      <c r="G3452" s="1550"/>
    </row>
    <row r="3453" spans="1:7">
      <c r="A3453" s="1754">
        <v>41914</v>
      </c>
      <c r="B3453" s="125" t="str">
        <f>TiposLancamentos!B19</f>
        <v>Restaurantes</v>
      </c>
      <c r="C3453" s="1040" t="s">
        <v>6793</v>
      </c>
      <c r="D3453" s="1736"/>
      <c r="E3453" s="1043">
        <v>20</v>
      </c>
      <c r="F3453" s="1043"/>
      <c r="G3453" s="1550"/>
    </row>
    <row r="3454" spans="1:7">
      <c r="A3454" s="1754">
        <v>41914</v>
      </c>
      <c r="B3454" s="125" t="str">
        <f>TiposLancamentos!B20</f>
        <v>Saques</v>
      </c>
      <c r="C3454" s="1040" t="s">
        <v>4368</v>
      </c>
      <c r="D3454" s="1736"/>
      <c r="E3454" s="1043">
        <v>20</v>
      </c>
      <c r="F3454" s="1043"/>
      <c r="G3454" s="1550"/>
    </row>
    <row r="3455" spans="1:7">
      <c r="A3455" s="1754">
        <v>41914</v>
      </c>
      <c r="B3455" s="125" t="str">
        <f>TiposLancamentos!B19</f>
        <v>Restaurantes</v>
      </c>
      <c r="C3455" s="1040" t="s">
        <v>6818</v>
      </c>
      <c r="D3455" s="1736"/>
      <c r="E3455" s="1043">
        <v>43.8</v>
      </c>
      <c r="F3455" s="1043"/>
      <c r="G3455" s="1550"/>
    </row>
    <row r="3456" spans="1:7">
      <c r="A3456" s="1754">
        <v>41915</v>
      </c>
      <c r="B3456" s="125" t="str">
        <f>TiposLancamentos!B19</f>
        <v>Restaurantes</v>
      </c>
      <c r="C3456" s="1040" t="s">
        <v>6795</v>
      </c>
      <c r="D3456" s="1736"/>
      <c r="E3456" s="1043">
        <v>6</v>
      </c>
      <c r="F3456" s="1043"/>
      <c r="G3456" s="1550"/>
    </row>
    <row r="3457" spans="1:7">
      <c r="A3457" s="1754">
        <v>41915</v>
      </c>
      <c r="B3457" s="125" t="str">
        <f>TiposLancamentos!B19</f>
        <v>Restaurantes</v>
      </c>
      <c r="C3457" s="1040" t="s">
        <v>6793</v>
      </c>
      <c r="D3457" s="1736"/>
      <c r="E3457" s="1043">
        <v>18.5</v>
      </c>
      <c r="F3457" s="1043"/>
      <c r="G3457" s="1550"/>
    </row>
    <row r="3458" spans="1:7">
      <c r="A3458" s="1754">
        <v>41916</v>
      </c>
      <c r="B3458" s="125" t="str">
        <f>TiposLancamentos!B56</f>
        <v>Farmácia</v>
      </c>
      <c r="C3458" s="1040" t="s">
        <v>6819</v>
      </c>
      <c r="D3458" s="1736"/>
      <c r="E3458" s="1043">
        <v>33.82</v>
      </c>
      <c r="F3458" s="1043"/>
      <c r="G3458" s="1550"/>
    </row>
    <row r="3459" spans="1:7">
      <c r="A3459" s="1754">
        <v>41916</v>
      </c>
      <c r="B3459" s="125" t="str">
        <f>TiposLancamentos!B5</f>
        <v>Supermercado</v>
      </c>
      <c r="C3459" s="1040" t="s">
        <v>3618</v>
      </c>
      <c r="D3459" s="1736"/>
      <c r="E3459" s="1043">
        <v>31.62</v>
      </c>
      <c r="F3459" s="1043"/>
      <c r="G3459" s="1550"/>
    </row>
    <row r="3460" spans="1:7">
      <c r="A3460" s="1754">
        <v>41917</v>
      </c>
      <c r="B3460" s="125" t="str">
        <f>TiposLancamentos!B22</f>
        <v>Combustivel</v>
      </c>
      <c r="C3460" s="1040" t="s">
        <v>6820</v>
      </c>
      <c r="D3460" s="1736"/>
      <c r="E3460" s="1043">
        <v>60</v>
      </c>
      <c r="F3460" s="1043"/>
      <c r="G3460" s="1550"/>
    </row>
    <row r="3461" spans="1:7">
      <c r="A3461" s="1754">
        <v>41917</v>
      </c>
      <c r="B3461" s="125" t="str">
        <f>TiposLancamentos!B19</f>
        <v>Restaurantes</v>
      </c>
      <c r="C3461" s="1040" t="s">
        <v>6821</v>
      </c>
      <c r="D3461" s="1736"/>
      <c r="E3461" s="1043">
        <v>98.78</v>
      </c>
      <c r="F3461" s="1043"/>
      <c r="G3461" s="1550"/>
    </row>
    <row r="3462" spans="1:7">
      <c r="A3462" s="1754">
        <v>41917</v>
      </c>
      <c r="B3462" s="125" t="str">
        <f>TiposLancamentos!B19</f>
        <v>Restaurantes</v>
      </c>
      <c r="C3462" s="1040" t="s">
        <v>6822</v>
      </c>
      <c r="D3462" s="1736"/>
      <c r="E3462" s="1043">
        <v>16</v>
      </c>
      <c r="F3462" s="1043"/>
      <c r="G3462" s="1550"/>
    </row>
    <row r="3463" spans="1:7">
      <c r="A3463" s="1754">
        <v>41918</v>
      </c>
      <c r="B3463" s="125" t="str">
        <f>TiposLancamentos!B19</f>
        <v>Restaurantes</v>
      </c>
      <c r="C3463" s="1040" t="s">
        <v>6793</v>
      </c>
      <c r="D3463" s="1736"/>
      <c r="E3463" s="1043">
        <v>21.5</v>
      </c>
      <c r="F3463" s="1043"/>
      <c r="G3463" s="1550"/>
    </row>
    <row r="3464" spans="1:7">
      <c r="A3464" s="1754">
        <v>41918</v>
      </c>
      <c r="B3464" s="125" t="str">
        <f>TiposLancamentos!B56</f>
        <v>Farmácia</v>
      </c>
      <c r="C3464" s="1040" t="s">
        <v>6052</v>
      </c>
      <c r="D3464" s="1736"/>
      <c r="E3464" s="1043">
        <v>36.4</v>
      </c>
      <c r="F3464" s="1043"/>
      <c r="G3464" s="1550"/>
    </row>
    <row r="3465" spans="1:7">
      <c r="A3465" s="1754">
        <v>41918</v>
      </c>
      <c r="B3465" s="125" t="str">
        <f>TiposLancamentos!B73</f>
        <v>Cursos</v>
      </c>
      <c r="C3465" s="1040" t="s">
        <v>6823</v>
      </c>
      <c r="D3465" s="1736"/>
      <c r="E3465" s="1043">
        <v>883.05</v>
      </c>
      <c r="F3465" s="1043"/>
      <c r="G3465" s="1550"/>
    </row>
    <row r="3466" spans="1:7">
      <c r="A3466" s="1754">
        <v>41918</v>
      </c>
      <c r="B3466" s="125" t="str">
        <f>TiposLancamentos!B9</f>
        <v>Condominio</v>
      </c>
      <c r="C3466" s="1040" t="s">
        <v>6783</v>
      </c>
      <c r="D3466" s="1736"/>
      <c r="E3466" s="1043">
        <v>640.16</v>
      </c>
      <c r="F3466" s="1043"/>
      <c r="G3466" s="1550"/>
    </row>
    <row r="3467" spans="1:7">
      <c r="A3467" s="1754">
        <v>41918</v>
      </c>
      <c r="B3467" s="125" t="str">
        <f>TiposLancamentos!B96</f>
        <v>Resg.Poup.</v>
      </c>
      <c r="C3467" s="1040" t="s">
        <v>6824</v>
      </c>
      <c r="D3467" s="1736">
        <v>1900</v>
      </c>
      <c r="E3467" s="1043"/>
      <c r="F3467" s="1043"/>
      <c r="G3467" s="1550"/>
    </row>
    <row r="3468" spans="1:7">
      <c r="A3468" s="1754">
        <v>41919</v>
      </c>
      <c r="B3468" s="125" t="str">
        <f>TiposLancamentos!B2</f>
        <v>Telefonia</v>
      </c>
      <c r="C3468" s="1040" t="s">
        <v>4895</v>
      </c>
      <c r="D3468" s="1736"/>
      <c r="E3468" s="1043">
        <v>101.7</v>
      </c>
      <c r="F3468" s="1043"/>
      <c r="G3468" s="1550"/>
    </row>
    <row r="3469" spans="1:7">
      <c r="A3469" s="1754">
        <v>41919</v>
      </c>
      <c r="B3469" s="125" t="str">
        <f>TiposLancamentos!B19</f>
        <v>Restaurantes</v>
      </c>
      <c r="C3469" s="1040" t="s">
        <v>6795</v>
      </c>
      <c r="D3469" s="1736"/>
      <c r="E3469" s="1043">
        <v>6</v>
      </c>
      <c r="F3469" s="1043"/>
      <c r="G3469" s="1550"/>
    </row>
    <row r="3470" spans="1:7">
      <c r="A3470" s="1754">
        <v>41919</v>
      </c>
      <c r="B3470" s="125" t="str">
        <f>TiposLancamentos!B31</f>
        <v>Action Figures</v>
      </c>
      <c r="C3470" s="1040" t="s">
        <v>6825</v>
      </c>
      <c r="D3470" s="1736"/>
      <c r="E3470" s="1043">
        <v>103.6</v>
      </c>
      <c r="F3470" s="1043"/>
      <c r="G3470" s="1550"/>
    </row>
    <row r="3471" spans="1:7">
      <c r="A3471" s="1754">
        <v>41919</v>
      </c>
      <c r="B3471" s="125" t="str">
        <f>TiposLancamentos!B19</f>
        <v>Restaurantes</v>
      </c>
      <c r="C3471" s="1040" t="s">
        <v>6793</v>
      </c>
      <c r="D3471" s="1736"/>
      <c r="E3471" s="1043">
        <v>21</v>
      </c>
      <c r="F3471" s="1043"/>
      <c r="G3471" s="1550"/>
    </row>
    <row r="3472" spans="1:7">
      <c r="A3472" s="1754">
        <v>41920</v>
      </c>
      <c r="B3472" s="125" t="str">
        <f>TiposLancamentos!B19</f>
        <v>Restaurantes</v>
      </c>
      <c r="C3472" s="1040" t="s">
        <v>6793</v>
      </c>
      <c r="D3472" s="1736"/>
      <c r="E3472" s="1043">
        <v>20</v>
      </c>
      <c r="F3472" s="1043"/>
      <c r="G3472" s="1550"/>
    </row>
    <row r="3473" spans="1:7">
      <c r="A3473" s="1754">
        <v>41920</v>
      </c>
      <c r="B3473" s="125" t="str">
        <f>TiposLancamentos!B19</f>
        <v>Restaurantes</v>
      </c>
      <c r="C3473" s="1040" t="s">
        <v>6826</v>
      </c>
      <c r="D3473" s="1736"/>
      <c r="E3473" s="1043">
        <v>16</v>
      </c>
      <c r="F3473" s="1043"/>
      <c r="G3473" s="1550"/>
    </row>
    <row r="3474" spans="1:7">
      <c r="A3474" s="1754">
        <v>41921</v>
      </c>
      <c r="B3474" s="125" t="str">
        <f>TiposLancamentos!B19</f>
        <v>Restaurantes</v>
      </c>
      <c r="C3474" s="1040" t="s">
        <v>6827</v>
      </c>
      <c r="D3474" s="1736"/>
      <c r="E3474" s="1043">
        <v>20.75</v>
      </c>
      <c r="F3474" s="1043"/>
      <c r="G3474" s="1550"/>
    </row>
    <row r="3475" spans="1:7">
      <c r="A3475" s="1754">
        <v>41921</v>
      </c>
      <c r="B3475" s="125" t="str">
        <f>TiposLancamentos!B5</f>
        <v>Supermercado</v>
      </c>
      <c r="C3475" s="1040" t="s">
        <v>6234</v>
      </c>
      <c r="D3475" s="1736"/>
      <c r="E3475" s="1043">
        <v>15.27</v>
      </c>
      <c r="F3475" s="1043"/>
      <c r="G3475" s="1550"/>
    </row>
    <row r="3476" spans="1:7">
      <c r="A3476" s="1666">
        <v>41922</v>
      </c>
      <c r="B3476" s="817" t="str">
        <f>TiposLancamentos!B8</f>
        <v>Aluguel</v>
      </c>
      <c r="C3476" s="1742" t="s">
        <v>6163</v>
      </c>
      <c r="D3476" s="1735"/>
      <c r="E3476" s="1733">
        <f>F3478-E3477</f>
        <v>1471.26</v>
      </c>
      <c r="F3476" s="1043"/>
      <c r="G3476" s="1550"/>
    </row>
    <row r="3477" spans="1:7">
      <c r="A3477" s="1667">
        <v>41922</v>
      </c>
      <c r="B3477" s="816" t="str">
        <f>TiposLancamentos!B12</f>
        <v>IPTU</v>
      </c>
      <c r="C3477" s="1769" t="s">
        <v>6351</v>
      </c>
      <c r="D3477" s="1736"/>
      <c r="E3477" s="1734">
        <v>110.83</v>
      </c>
      <c r="F3477" s="1043"/>
      <c r="G3477" s="1550"/>
    </row>
    <row r="3478" spans="1:7">
      <c r="A3478" s="1750">
        <v>41922</v>
      </c>
      <c r="B3478" s="818" t="str">
        <f>TiposLancamentos!B34</f>
        <v>Seguros</v>
      </c>
      <c r="C3478" s="1743" t="s">
        <v>6828</v>
      </c>
      <c r="D3478" s="1737"/>
      <c r="E3478" s="1668">
        <v>0</v>
      </c>
      <c r="F3478" s="1043">
        <v>1582.09</v>
      </c>
      <c r="G3478" s="1550"/>
    </row>
    <row r="3479" spans="1:7">
      <c r="A3479" s="1754">
        <v>41922</v>
      </c>
      <c r="B3479" s="125" t="str">
        <f>TiposLancamentos!B19</f>
        <v>Restaurantes</v>
      </c>
      <c r="C3479" s="1040" t="s">
        <v>6795</v>
      </c>
      <c r="D3479" s="1736"/>
      <c r="E3479" s="1043">
        <v>6</v>
      </c>
      <c r="F3479" s="1043"/>
      <c r="G3479" s="1550"/>
    </row>
    <row r="3480" spans="1:7">
      <c r="A3480" s="1754">
        <v>41922</v>
      </c>
      <c r="B3480" s="125" t="str">
        <f>TiposLancamentos!B5</f>
        <v>Supermercado</v>
      </c>
      <c r="C3480" s="1040" t="s">
        <v>6793</v>
      </c>
      <c r="D3480" s="1736"/>
      <c r="E3480" s="1043">
        <v>20.2</v>
      </c>
      <c r="F3480" s="1043"/>
      <c r="G3480" s="1550"/>
    </row>
    <row r="3481" spans="1:7">
      <c r="A3481" s="1754">
        <v>41922</v>
      </c>
      <c r="B3481" s="125" t="str">
        <f>TiposLancamentos!B4</f>
        <v>Taxas Bancarias</v>
      </c>
      <c r="C3481" s="1040" t="s">
        <v>6368</v>
      </c>
      <c r="D3481" s="1736"/>
      <c r="E3481" s="1043">
        <v>14.08</v>
      </c>
      <c r="F3481" s="1043"/>
      <c r="G3481" s="1550"/>
    </row>
    <row r="3482" spans="1:7">
      <c r="A3482" s="1754">
        <v>41922</v>
      </c>
      <c r="B3482" s="125" t="str">
        <f>TiposLancamentos!B16</f>
        <v>Cristiane</v>
      </c>
      <c r="C3482" s="1040" t="s">
        <v>6829</v>
      </c>
      <c r="D3482" s="1736"/>
      <c r="E3482" s="1043">
        <v>240</v>
      </c>
      <c r="F3482" s="1043"/>
      <c r="G3482" s="1550"/>
    </row>
    <row r="3483" spans="1:7">
      <c r="A3483" s="1666">
        <v>41922</v>
      </c>
      <c r="B3483" s="817" t="str">
        <f>TiposLancamentos!B35</f>
        <v>Tv à Cabo</v>
      </c>
      <c r="C3483" s="1742" t="s">
        <v>5834</v>
      </c>
      <c r="D3483" s="1735"/>
      <c r="E3483" s="1733">
        <v>129.41</v>
      </c>
      <c r="F3483" s="1043"/>
      <c r="G3483" s="1550"/>
    </row>
    <row r="3484" spans="1:7">
      <c r="A3484" s="1667">
        <v>41922</v>
      </c>
      <c r="B3484" s="816" t="str">
        <f>TiposLancamentos!B3</f>
        <v>Internet</v>
      </c>
      <c r="C3484" s="1769" t="s">
        <v>5835</v>
      </c>
      <c r="D3484" s="1736"/>
      <c r="E3484" s="1734">
        <v>64.599999999999994</v>
      </c>
      <c r="F3484" s="1043"/>
      <c r="G3484" s="1550"/>
    </row>
    <row r="3485" spans="1:7">
      <c r="A3485" s="1750">
        <v>41922</v>
      </c>
      <c r="B3485" s="818" t="str">
        <f>TiposLancamentos!B2</f>
        <v>Telefonia</v>
      </c>
      <c r="C3485" s="1743" t="s">
        <v>5836</v>
      </c>
      <c r="D3485" s="1737"/>
      <c r="E3485" s="1668">
        <v>0.69</v>
      </c>
      <c r="F3485" s="1043">
        <f>SUM(E3483:E3485)</f>
        <v>194.7</v>
      </c>
      <c r="G3485" s="1550"/>
    </row>
    <row r="3486" spans="1:7">
      <c r="A3486" s="1754">
        <v>41923</v>
      </c>
      <c r="B3486" s="125" t="str">
        <f>TiposLancamentos!B19</f>
        <v>Restaurantes</v>
      </c>
      <c r="C3486" s="1040" t="s">
        <v>6830</v>
      </c>
      <c r="D3486" s="1736"/>
      <c r="E3486" s="1043">
        <v>61.6</v>
      </c>
      <c r="F3486" s="1043"/>
      <c r="G3486" s="1550"/>
    </row>
    <row r="3487" spans="1:7">
      <c r="A3487" s="1754">
        <v>41923</v>
      </c>
      <c r="B3487" s="125" t="str">
        <f>TiposLancamentos!B19</f>
        <v>Restaurantes</v>
      </c>
      <c r="C3487" s="1040" t="s">
        <v>6831</v>
      </c>
      <c r="D3487" s="1736"/>
      <c r="E3487" s="1043">
        <v>14</v>
      </c>
      <c r="F3487" s="1043"/>
      <c r="G3487" s="1550"/>
    </row>
    <row r="3488" spans="1:7">
      <c r="A3488" s="1754">
        <v>41923</v>
      </c>
      <c r="B3488" s="125" t="str">
        <f>TiposLancamentos!B19</f>
        <v>Restaurantes</v>
      </c>
      <c r="C3488" s="1040" t="s">
        <v>6832</v>
      </c>
      <c r="D3488" s="1736"/>
      <c r="E3488" s="1043">
        <v>109.23</v>
      </c>
      <c r="F3488" s="1043"/>
      <c r="G3488" s="1550"/>
    </row>
    <row r="3489" spans="1:7">
      <c r="A3489" s="1754">
        <v>41924</v>
      </c>
      <c r="B3489" s="125" t="str">
        <f>TiposLancamentos!B5</f>
        <v>Supermercado</v>
      </c>
      <c r="C3489" s="1040" t="s">
        <v>6234</v>
      </c>
      <c r="D3489" s="1736"/>
      <c r="E3489" s="1043">
        <v>76.06</v>
      </c>
      <c r="F3489" s="1043"/>
      <c r="G3489" s="1550"/>
    </row>
    <row r="3490" spans="1:7">
      <c r="A3490" s="1754">
        <v>41925</v>
      </c>
      <c r="B3490" s="125" t="str">
        <f>TiposLancamentos!B96</f>
        <v>Resg.Poup.</v>
      </c>
      <c r="C3490" s="1040" t="s">
        <v>6833</v>
      </c>
      <c r="D3490" s="1736">
        <v>2500</v>
      </c>
      <c r="E3490" s="1043"/>
      <c r="F3490" s="1043"/>
      <c r="G3490" s="1550"/>
    </row>
    <row r="3491" spans="1:7">
      <c r="A3491" s="1754">
        <v>41925</v>
      </c>
      <c r="B3491" s="125" t="str">
        <f>TiposLancamentos!B19</f>
        <v>Restaurantes</v>
      </c>
      <c r="C3491" s="1040" t="s">
        <v>6793</v>
      </c>
      <c r="D3491" s="1736"/>
      <c r="E3491" s="1043">
        <v>21.5</v>
      </c>
      <c r="F3491" s="1043"/>
      <c r="G3491" s="1550"/>
    </row>
    <row r="3492" spans="1:7">
      <c r="A3492" s="1754">
        <v>41925</v>
      </c>
      <c r="B3492" s="125" t="str">
        <f>TiposLancamentos!B5</f>
        <v>Supermercado</v>
      </c>
      <c r="C3492" s="1040" t="s">
        <v>6834</v>
      </c>
      <c r="D3492" s="1736"/>
      <c r="E3492" s="1043">
        <v>59</v>
      </c>
      <c r="F3492" s="1043"/>
      <c r="G3492" s="1550"/>
    </row>
    <row r="3493" spans="1:7">
      <c r="A3493" s="1754">
        <v>41926</v>
      </c>
      <c r="B3493" s="125" t="str">
        <f>TiposLancamentos!B19</f>
        <v>Restaurantes</v>
      </c>
      <c r="C3493" s="1040" t="s">
        <v>6793</v>
      </c>
      <c r="D3493" s="1736"/>
      <c r="E3493" s="1043">
        <v>20</v>
      </c>
      <c r="F3493" s="1043"/>
      <c r="G3493" s="1550"/>
    </row>
    <row r="3494" spans="1:7">
      <c r="A3494" s="1754">
        <v>41926</v>
      </c>
      <c r="B3494" s="125" t="str">
        <f>TiposLancamentos!B3</f>
        <v>Internet</v>
      </c>
      <c r="C3494" s="1040" t="s">
        <v>6835</v>
      </c>
      <c r="D3494" s="1736"/>
      <c r="E3494" s="1043">
        <v>10</v>
      </c>
      <c r="F3494" s="1043"/>
      <c r="G3494" s="1550"/>
    </row>
    <row r="3495" spans="1:7">
      <c r="A3495" s="1666">
        <v>41927</v>
      </c>
      <c r="B3495" s="817" t="str">
        <f>TiposLancamentos!B33</f>
        <v>Pedágios</v>
      </c>
      <c r="C3495" s="1742" t="s">
        <v>5392</v>
      </c>
      <c r="D3495" s="1735"/>
      <c r="E3495" s="1733">
        <v>31.94</v>
      </c>
      <c r="F3495" s="1043"/>
      <c r="G3495" s="1550"/>
    </row>
    <row r="3496" spans="1:7">
      <c r="A3496" s="1667">
        <v>41927</v>
      </c>
      <c r="B3496" s="816" t="str">
        <f>TiposLancamentos!B24</f>
        <v>Estacionamentos</v>
      </c>
      <c r="C3496" s="1769" t="s">
        <v>5863</v>
      </c>
      <c r="D3496" s="1736"/>
      <c r="E3496" s="1734">
        <v>0</v>
      </c>
      <c r="F3496" s="1043"/>
      <c r="G3496" s="1550"/>
    </row>
    <row r="3497" spans="1:7">
      <c r="A3497" s="1750">
        <v>41927</v>
      </c>
      <c r="B3497" s="818" t="str">
        <f>TiposLancamentos!B24</f>
        <v>Estacionamentos</v>
      </c>
      <c r="C3497" s="1743" t="s">
        <v>6297</v>
      </c>
      <c r="D3497" s="1737"/>
      <c r="E3497" s="1668">
        <v>39</v>
      </c>
      <c r="F3497" s="1043"/>
      <c r="G3497" s="1550"/>
    </row>
    <row r="3498" spans="1:7">
      <c r="A3498" s="1754">
        <v>41927</v>
      </c>
      <c r="B3498" s="125" t="str">
        <f>TiposLancamentos!B19</f>
        <v>Restaurantes</v>
      </c>
      <c r="C3498" s="1040" t="s">
        <v>6793</v>
      </c>
      <c r="D3498" s="1736"/>
      <c r="E3498" s="1043">
        <v>20</v>
      </c>
      <c r="F3498" s="1043"/>
      <c r="G3498" s="1550"/>
    </row>
    <row r="3499" spans="1:7">
      <c r="A3499" s="1754">
        <v>41927</v>
      </c>
      <c r="B3499" s="125" t="str">
        <f>TiposLancamentos!B18</f>
        <v>Alimentacao</v>
      </c>
      <c r="C3499" s="1040" t="s">
        <v>6836</v>
      </c>
      <c r="D3499" s="1736"/>
      <c r="E3499" s="1043">
        <v>39</v>
      </c>
      <c r="F3499" s="1043"/>
      <c r="G3499" s="1550"/>
    </row>
    <row r="3500" spans="1:7">
      <c r="A3500" s="1754">
        <v>41928</v>
      </c>
      <c r="B3500" s="125" t="str">
        <f>TiposLancamentos!B19</f>
        <v>Restaurantes</v>
      </c>
      <c r="C3500" s="1040" t="s">
        <v>6793</v>
      </c>
      <c r="D3500" s="1736"/>
      <c r="E3500" s="1043">
        <v>20</v>
      </c>
      <c r="F3500" s="1043"/>
      <c r="G3500" s="1550"/>
    </row>
    <row r="3501" spans="1:7">
      <c r="A3501" s="1754">
        <v>41929</v>
      </c>
      <c r="B3501" s="125" t="str">
        <f>TiposLancamentos!B19</f>
        <v>Restaurantes</v>
      </c>
      <c r="C3501" s="1040" t="s">
        <v>6827</v>
      </c>
      <c r="D3501" s="1736"/>
      <c r="E3501" s="1043">
        <v>20.75</v>
      </c>
      <c r="F3501" s="1043"/>
      <c r="G3501" s="1550"/>
    </row>
    <row r="3502" spans="1:7">
      <c r="A3502" s="1754">
        <v>41929</v>
      </c>
      <c r="B3502" s="125" t="str">
        <f>TiposLancamentos!B20</f>
        <v>Saques</v>
      </c>
      <c r="C3502" s="1040" t="s">
        <v>4368</v>
      </c>
      <c r="D3502" s="1736"/>
      <c r="E3502" s="1043">
        <v>20</v>
      </c>
      <c r="F3502" s="1043"/>
      <c r="G3502" s="1550"/>
    </row>
    <row r="3503" spans="1:7">
      <c r="A3503" s="1754">
        <v>41929</v>
      </c>
      <c r="B3503" s="125" t="str">
        <f>TiposLancamentos!B19</f>
        <v>Restaurantes</v>
      </c>
      <c r="C3503" s="1040" t="s">
        <v>6812</v>
      </c>
      <c r="D3503" s="1736"/>
      <c r="E3503" s="1043">
        <v>9.9</v>
      </c>
      <c r="F3503" s="1043"/>
      <c r="G3503" s="1550"/>
    </row>
    <row r="3504" spans="1:7">
      <c r="A3504" s="1754">
        <v>41929</v>
      </c>
      <c r="B3504" s="125" t="str">
        <f>TiposLancamentos!B19</f>
        <v>Restaurantes</v>
      </c>
      <c r="C3504" s="1040" t="s">
        <v>6837</v>
      </c>
      <c r="D3504" s="1736"/>
      <c r="E3504" s="1043">
        <v>42.5</v>
      </c>
      <c r="F3504" s="1043"/>
      <c r="G3504" s="1550"/>
    </row>
    <row r="3505" spans="1:7">
      <c r="A3505" s="1754">
        <v>41930</v>
      </c>
      <c r="B3505" s="125" t="str">
        <f>TiposLancamentos!B5</f>
        <v>Supermercado</v>
      </c>
      <c r="C3505" s="1040" t="s">
        <v>6414</v>
      </c>
      <c r="D3505" s="1736"/>
      <c r="E3505" s="1043">
        <v>82.57</v>
      </c>
      <c r="F3505" s="1043"/>
      <c r="G3505" s="1550"/>
    </row>
    <row r="3506" spans="1:7">
      <c r="A3506" s="1754">
        <v>41930</v>
      </c>
      <c r="B3506" s="125" t="str">
        <f>TiposLancamentos!B19</f>
        <v>Restaurantes</v>
      </c>
      <c r="C3506" s="1040" t="s">
        <v>6838</v>
      </c>
      <c r="D3506" s="1736"/>
      <c r="E3506" s="1043">
        <v>28.5</v>
      </c>
      <c r="F3506" s="1043"/>
      <c r="G3506" s="1550"/>
    </row>
    <row r="3507" spans="1:7">
      <c r="A3507" s="1754">
        <v>41931</v>
      </c>
      <c r="B3507" s="125" t="str">
        <f>TiposLancamentos!B19</f>
        <v>Restaurantes</v>
      </c>
      <c r="C3507" s="1040" t="s">
        <v>6565</v>
      </c>
      <c r="D3507" s="1736"/>
      <c r="E3507" s="1043">
        <v>53.86</v>
      </c>
      <c r="F3507" s="1043"/>
      <c r="G3507" s="1550"/>
    </row>
    <row r="3508" spans="1:7">
      <c r="A3508" s="1754">
        <v>41931</v>
      </c>
      <c r="B3508" s="125" t="str">
        <f>TiposLancamentos!B5</f>
        <v>Supermercado</v>
      </c>
      <c r="C3508" s="1040" t="s">
        <v>5844</v>
      </c>
      <c r="D3508" s="1736"/>
      <c r="E3508" s="1043">
        <v>35.369999999999997</v>
      </c>
      <c r="F3508" s="1043"/>
      <c r="G3508" s="1550"/>
    </row>
    <row r="3509" spans="1:7">
      <c r="A3509" s="1754">
        <v>41931</v>
      </c>
      <c r="B3509" s="125" t="str">
        <f>TiposLancamentos!B16</f>
        <v>Cristiane</v>
      </c>
      <c r="C3509" s="1040" t="s">
        <v>6839</v>
      </c>
      <c r="D3509" s="1736"/>
      <c r="E3509" s="1043">
        <v>61.94</v>
      </c>
      <c r="F3509" s="1043"/>
      <c r="G3509" s="1550"/>
    </row>
    <row r="3510" spans="1:7">
      <c r="A3510" s="1754">
        <v>41932</v>
      </c>
      <c r="B3510" s="125" t="str">
        <f>TiposLancamentos!B19</f>
        <v>Restaurantes</v>
      </c>
      <c r="C3510" s="1040" t="s">
        <v>6793</v>
      </c>
      <c r="D3510" s="1736"/>
      <c r="E3510" s="1043">
        <v>20</v>
      </c>
      <c r="F3510" s="1043"/>
      <c r="G3510" s="1550"/>
    </row>
    <row r="3511" spans="1:7">
      <c r="A3511" s="1754">
        <v>41932</v>
      </c>
      <c r="B3511" s="125" t="str">
        <f>TiposLancamentos!B95</f>
        <v>Salarios</v>
      </c>
      <c r="C3511" s="1040" t="s">
        <v>6840</v>
      </c>
      <c r="D3511" s="1736">
        <v>8439</v>
      </c>
      <c r="E3511" s="1043"/>
      <c r="F3511" s="1043"/>
      <c r="G3511" s="1550"/>
    </row>
    <row r="3512" spans="1:7">
      <c r="A3512" s="1754">
        <v>41932</v>
      </c>
      <c r="B3512" s="125" t="str">
        <f>TiposLancamentos!B34</f>
        <v>Seguros</v>
      </c>
      <c r="C3512" s="1040" t="s">
        <v>6841</v>
      </c>
      <c r="D3512" s="1736"/>
      <c r="E3512" s="1043">
        <v>252.64</v>
      </c>
      <c r="F3512" s="1043"/>
      <c r="G3512" s="1550"/>
    </row>
    <row r="3513" spans="1:7">
      <c r="A3513" s="1754">
        <v>41932</v>
      </c>
      <c r="B3513" s="125" t="str">
        <f>TiposLancamentos!B88</f>
        <v>Ford Ecosport XLT</v>
      </c>
      <c r="C3513" s="1040" t="s">
        <v>6842</v>
      </c>
      <c r="D3513" s="1736"/>
      <c r="E3513" s="1043">
        <v>878.64</v>
      </c>
      <c r="F3513" s="1043"/>
      <c r="G3513" s="1550"/>
    </row>
    <row r="3514" spans="1:7" ht="12.75" customHeight="1">
      <c r="A3514" s="1754">
        <v>41932</v>
      </c>
      <c r="B3514" s="125" t="str">
        <f>TiposLancamentos!B34</f>
        <v>Seguros</v>
      </c>
      <c r="C3514" s="1040" t="s">
        <v>6843</v>
      </c>
      <c r="D3514" s="1736"/>
      <c r="E3514" s="1043">
        <v>63.9</v>
      </c>
      <c r="F3514" s="1043"/>
      <c r="G3514" s="1550"/>
    </row>
    <row r="3515" spans="1:7" ht="12.75" customHeight="1">
      <c r="A3515" s="1754">
        <v>41932</v>
      </c>
      <c r="B3515" s="125" t="str">
        <f>TiposLancamentos!B6</f>
        <v>Energia Eletrica</v>
      </c>
      <c r="C3515" s="1040" t="s">
        <v>5191</v>
      </c>
      <c r="D3515" s="1736"/>
      <c r="E3515" s="1043">
        <v>169.17</v>
      </c>
      <c r="F3515" s="1043"/>
      <c r="G3515" s="1550"/>
    </row>
    <row r="3516" spans="1:7" ht="12.75" customHeight="1">
      <c r="A3516" s="1754">
        <v>41933</v>
      </c>
      <c r="B3516" s="125" t="str">
        <f>TiposLancamentos!B19</f>
        <v>Restaurantes</v>
      </c>
      <c r="C3516" s="1040" t="s">
        <v>6793</v>
      </c>
      <c r="D3516" s="1736"/>
      <c r="E3516" s="1043">
        <v>21.5</v>
      </c>
      <c r="F3516" s="1043"/>
      <c r="G3516" s="1550"/>
    </row>
    <row r="3517" spans="1:7" ht="12.75" customHeight="1">
      <c r="A3517" s="1754">
        <v>41934</v>
      </c>
      <c r="B3517" s="125" t="str">
        <f>TiposLancamentos!B19</f>
        <v>Restaurantes</v>
      </c>
      <c r="C3517" s="1040" t="s">
        <v>6795</v>
      </c>
      <c r="D3517" s="1736"/>
      <c r="E3517" s="1043">
        <v>6</v>
      </c>
      <c r="F3517" s="1043"/>
      <c r="G3517" s="1550"/>
    </row>
    <row r="3518" spans="1:7" ht="12.75" customHeight="1">
      <c r="A3518" s="1754">
        <v>41934</v>
      </c>
      <c r="B3518" s="125" t="str">
        <f>TiposLancamentos!B16</f>
        <v>Cristiane</v>
      </c>
      <c r="C3518" s="1040" t="s">
        <v>3100</v>
      </c>
      <c r="D3518" s="1736"/>
      <c r="E3518" s="1043">
        <v>550</v>
      </c>
      <c r="F3518" s="1043"/>
      <c r="G3518" s="1550"/>
    </row>
    <row r="3519" spans="1:7" ht="12.75" customHeight="1">
      <c r="A3519" s="1754">
        <v>41934</v>
      </c>
      <c r="B3519" s="125" t="str">
        <f>TiposLancamentos!B19</f>
        <v>Restaurantes</v>
      </c>
      <c r="C3519" s="1040" t="s">
        <v>6793</v>
      </c>
      <c r="D3519" s="1736"/>
      <c r="E3519" s="1043">
        <v>21.5</v>
      </c>
      <c r="F3519" s="1043"/>
      <c r="G3519" s="1550"/>
    </row>
    <row r="3520" spans="1:7" ht="12.75" customHeight="1">
      <c r="A3520" s="1754">
        <v>41935</v>
      </c>
      <c r="B3520" s="125" t="str">
        <f>TiposLancamentos!B98</f>
        <v>Restituições</v>
      </c>
      <c r="C3520" s="1040" t="s">
        <v>6162</v>
      </c>
      <c r="D3520" s="1736">
        <v>166.36</v>
      </c>
      <c r="E3520" s="1043"/>
      <c r="F3520" s="1043"/>
      <c r="G3520" s="1550"/>
    </row>
    <row r="3521" spans="1:7" ht="12.75" customHeight="1">
      <c r="A3521" s="1754">
        <v>41935</v>
      </c>
      <c r="B3521" s="125" t="str">
        <f>TiposLancamentos!B19</f>
        <v>Restaurantes</v>
      </c>
      <c r="C3521" s="1040" t="s">
        <v>6789</v>
      </c>
      <c r="D3521" s="1736"/>
      <c r="E3521" s="1043">
        <v>20.75</v>
      </c>
      <c r="F3521" s="1043"/>
      <c r="G3521" s="1550"/>
    </row>
    <row r="3522" spans="1:7" ht="12.75" customHeight="1">
      <c r="A3522" s="1754">
        <v>41935</v>
      </c>
      <c r="B3522" s="125" t="str">
        <f>TiposLancamentos!B56</f>
        <v>Farmácia</v>
      </c>
      <c r="C3522" s="1040" t="s">
        <v>6118</v>
      </c>
      <c r="D3522" s="1736"/>
      <c r="E3522" s="1043">
        <v>61.94</v>
      </c>
      <c r="F3522" s="1043"/>
      <c r="G3522" s="1550"/>
    </row>
    <row r="3523" spans="1:7" ht="12.75" customHeight="1">
      <c r="A3523" s="1754">
        <v>41935</v>
      </c>
      <c r="B3523" s="125" t="str">
        <f>TiposLancamentos!B31</f>
        <v>Action Figures</v>
      </c>
      <c r="C3523" s="1040" t="s">
        <v>6844</v>
      </c>
      <c r="D3523" s="1736"/>
      <c r="E3523" s="1043">
        <v>73.650000000000006</v>
      </c>
      <c r="F3523" s="1043"/>
      <c r="G3523" s="1550"/>
    </row>
    <row r="3524" spans="1:7" ht="12.75" customHeight="1">
      <c r="A3524" s="1754">
        <v>41936</v>
      </c>
      <c r="B3524" s="125" t="str">
        <f>TiposLancamentos!B19</f>
        <v>Restaurantes</v>
      </c>
      <c r="C3524" s="1040" t="s">
        <v>6789</v>
      </c>
      <c r="D3524" s="1736"/>
      <c r="E3524" s="1043">
        <v>20.75</v>
      </c>
      <c r="F3524" s="1043"/>
      <c r="G3524" s="1550"/>
    </row>
    <row r="3525" spans="1:7" ht="12.75" customHeight="1">
      <c r="A3525" s="1754">
        <v>41936</v>
      </c>
      <c r="B3525" s="125" t="str">
        <f>TiposLancamentos!B19</f>
        <v>Restaurantes</v>
      </c>
      <c r="C3525" s="1040" t="s">
        <v>6845</v>
      </c>
      <c r="D3525" s="1736"/>
      <c r="E3525" s="1043">
        <v>20</v>
      </c>
      <c r="F3525" s="1043"/>
      <c r="G3525" s="1550"/>
    </row>
    <row r="3526" spans="1:7" ht="12.75" customHeight="1">
      <c r="A3526" s="1754">
        <v>41937</v>
      </c>
      <c r="B3526" s="125" t="str">
        <f>TiposLancamentos!B65</f>
        <v>Taxi</v>
      </c>
      <c r="C3526" s="1040" t="s">
        <v>6846</v>
      </c>
      <c r="D3526" s="1736"/>
      <c r="E3526" s="1043">
        <v>146</v>
      </c>
      <c r="F3526" s="1043"/>
      <c r="G3526" s="1550"/>
    </row>
    <row r="3527" spans="1:7" ht="12.75" customHeight="1">
      <c r="A3527" s="1754">
        <v>41937</v>
      </c>
      <c r="B3527" s="125" t="str">
        <f>TiposLancamentos!B19</f>
        <v>Restaurantes</v>
      </c>
      <c r="C3527" s="1040" t="s">
        <v>6847</v>
      </c>
      <c r="D3527" s="1736"/>
      <c r="E3527" s="1043">
        <v>91.1</v>
      </c>
      <c r="F3527" s="1043"/>
      <c r="G3527" s="1550"/>
    </row>
    <row r="3528" spans="1:7" ht="12.75" customHeight="1">
      <c r="A3528" s="1754">
        <v>41937</v>
      </c>
      <c r="B3528" s="125" t="str">
        <f>TiposLancamentos!B19</f>
        <v>Restaurantes</v>
      </c>
      <c r="C3528" s="1040" t="s">
        <v>6848</v>
      </c>
      <c r="D3528" s="1736"/>
      <c r="E3528" s="1043">
        <v>21.4</v>
      </c>
      <c r="F3528" s="1043"/>
      <c r="G3528" s="1550"/>
    </row>
    <row r="3529" spans="1:7" ht="12.75" customHeight="1">
      <c r="A3529" s="1754">
        <v>41937</v>
      </c>
      <c r="B3529" s="125" t="str">
        <f>TiposLancamentos!B70</f>
        <v>Vestuário</v>
      </c>
      <c r="C3529" s="1040" t="s">
        <v>6849</v>
      </c>
      <c r="D3529" s="1736"/>
      <c r="E3529" s="1043">
        <v>259.60000000000002</v>
      </c>
      <c r="F3529" s="1043"/>
      <c r="G3529" s="1550"/>
    </row>
    <row r="3530" spans="1:7" ht="12.75" customHeight="1">
      <c r="A3530" s="1754">
        <v>41937</v>
      </c>
      <c r="B3530" s="125" t="str">
        <f>TiposLancamentos!B19</f>
        <v>Restaurantes</v>
      </c>
      <c r="C3530" s="1040" t="s">
        <v>6850</v>
      </c>
      <c r="D3530" s="1736"/>
      <c r="E3530" s="1043">
        <v>10</v>
      </c>
      <c r="F3530" s="1043"/>
      <c r="G3530" s="1550"/>
    </row>
    <row r="3531" spans="1:7" ht="12.75" customHeight="1">
      <c r="A3531" s="1754">
        <v>41937</v>
      </c>
      <c r="B3531" s="125" t="str">
        <f>TiposLancamentos!B19</f>
        <v>Restaurantes</v>
      </c>
      <c r="C3531" s="1040" t="s">
        <v>6851</v>
      </c>
      <c r="D3531" s="1736"/>
      <c r="E3531" s="1043">
        <v>138.6</v>
      </c>
      <c r="F3531" s="1043"/>
      <c r="G3531" s="1550"/>
    </row>
    <row r="3532" spans="1:7" ht="12.75" customHeight="1">
      <c r="A3532" s="1754">
        <v>41937</v>
      </c>
      <c r="B3532" s="125" t="str">
        <f>TiposLancamentos!B24</f>
        <v>Estacionamentos</v>
      </c>
      <c r="C3532" s="1040" t="s">
        <v>3580</v>
      </c>
      <c r="D3532" s="1736"/>
      <c r="E3532" s="1043">
        <v>25</v>
      </c>
      <c r="F3532" s="1043"/>
      <c r="G3532" s="1550"/>
    </row>
    <row r="3533" spans="1:7" ht="12.75" customHeight="1">
      <c r="A3533" s="1754">
        <v>41938</v>
      </c>
      <c r="B3533" s="125" t="str">
        <f>TiposLancamentos!B19</f>
        <v>Restaurantes</v>
      </c>
      <c r="C3533" s="1040" t="s">
        <v>6780</v>
      </c>
      <c r="D3533" s="1736"/>
      <c r="E3533" s="1043">
        <v>76.61</v>
      </c>
      <c r="F3533" s="1043"/>
      <c r="G3533" s="1550"/>
    </row>
    <row r="3534" spans="1:7" ht="12.75" customHeight="1">
      <c r="A3534" s="1754">
        <v>41938</v>
      </c>
      <c r="B3534" s="125" t="str">
        <f>TiposLancamentos!B19</f>
        <v>Restaurantes</v>
      </c>
      <c r="C3534" s="1040" t="s">
        <v>4593</v>
      </c>
      <c r="D3534" s="1736"/>
      <c r="E3534" s="1043">
        <v>7</v>
      </c>
      <c r="F3534" s="1043"/>
      <c r="G3534" s="1550"/>
    </row>
    <row r="3535" spans="1:7" ht="12.75" customHeight="1">
      <c r="A3535" s="1754">
        <v>41938</v>
      </c>
      <c r="B3535" s="125" t="str">
        <f>TiposLancamentos!B70</f>
        <v>Vestuário</v>
      </c>
      <c r="C3535" s="1040" t="s">
        <v>6852</v>
      </c>
      <c r="D3535" s="1736"/>
      <c r="E3535" s="1043">
        <v>44</v>
      </c>
      <c r="F3535" s="1043"/>
      <c r="G3535" s="1550"/>
    </row>
    <row r="3536" spans="1:7" ht="12.75" customHeight="1">
      <c r="A3536" s="1754">
        <v>41939</v>
      </c>
      <c r="B3536" s="125" t="str">
        <f>TiposLancamentos!B19</f>
        <v>Restaurantes</v>
      </c>
      <c r="C3536" s="1040" t="s">
        <v>6793</v>
      </c>
      <c r="D3536" s="1736"/>
      <c r="E3536" s="1043">
        <v>20</v>
      </c>
      <c r="F3536" s="1043"/>
      <c r="G3536" s="1550"/>
    </row>
    <row r="3537" spans="1:7" ht="12.75" customHeight="1">
      <c r="A3537" s="1754">
        <v>41940</v>
      </c>
      <c r="B3537" s="125" t="str">
        <f>TiposLancamentos!B19</f>
        <v>Restaurantes</v>
      </c>
      <c r="C3537" s="1040" t="s">
        <v>6795</v>
      </c>
      <c r="D3537" s="1736"/>
      <c r="E3537" s="1043">
        <v>6</v>
      </c>
      <c r="F3537" s="1043"/>
      <c r="G3537" s="1550"/>
    </row>
    <row r="3538" spans="1:7" ht="12.75" customHeight="1">
      <c r="A3538" s="1754">
        <v>41940</v>
      </c>
      <c r="B3538" s="125" t="str">
        <f>TiposLancamentos!B19</f>
        <v>Restaurantes</v>
      </c>
      <c r="C3538" s="1040" t="s">
        <v>6793</v>
      </c>
      <c r="D3538" s="1736"/>
      <c r="E3538" s="1043">
        <v>20</v>
      </c>
      <c r="F3538" s="1043"/>
      <c r="G3538" s="1550"/>
    </row>
    <row r="3539" spans="1:7" ht="12.75" customHeight="1">
      <c r="A3539" s="1754">
        <v>41941</v>
      </c>
      <c r="B3539" s="125" t="str">
        <f>TiposLancamentos!B19</f>
        <v>Restaurantes</v>
      </c>
      <c r="C3539" s="1040" t="s">
        <v>6793</v>
      </c>
      <c r="D3539" s="1736"/>
      <c r="E3539" s="1043">
        <v>20.5</v>
      </c>
      <c r="F3539" s="1043"/>
      <c r="G3539" s="1550"/>
    </row>
    <row r="3540" spans="1:7" ht="12.75" customHeight="1">
      <c r="A3540" s="1754">
        <v>41942</v>
      </c>
      <c r="B3540" s="125" t="str">
        <f>TiposLancamentos!B19</f>
        <v>Restaurantes</v>
      </c>
      <c r="C3540" s="1040" t="s">
        <v>6827</v>
      </c>
      <c r="D3540" s="1736"/>
      <c r="E3540" s="1043">
        <v>25.75</v>
      </c>
      <c r="F3540" s="1043"/>
      <c r="G3540" s="1550"/>
    </row>
    <row r="3541" spans="1:7" ht="12.75" customHeight="1">
      <c r="A3541" s="1754">
        <v>41942</v>
      </c>
      <c r="B3541" s="125" t="str">
        <f>TiposLancamentos!B56</f>
        <v>Farmácia</v>
      </c>
      <c r="C3541" s="1040" t="s">
        <v>6853</v>
      </c>
      <c r="D3541" s="1736"/>
      <c r="E3541" s="1043">
        <v>36.94</v>
      </c>
      <c r="F3541" s="1043"/>
      <c r="G3541" s="1550"/>
    </row>
    <row r="3542" spans="1:7" ht="12.75" customHeight="1">
      <c r="A3542" s="1754">
        <v>41942</v>
      </c>
      <c r="B3542" s="125" t="str">
        <f>TiposLancamentos!B18</f>
        <v>Alimentacao</v>
      </c>
      <c r="C3542" s="1040" t="s">
        <v>6854</v>
      </c>
      <c r="D3542" s="1736"/>
      <c r="E3542" s="1043">
        <v>39</v>
      </c>
      <c r="F3542" s="1043"/>
      <c r="G3542" s="1550"/>
    </row>
    <row r="3543" spans="1:7" ht="12.75" customHeight="1">
      <c r="A3543" s="1754">
        <v>41943</v>
      </c>
      <c r="B3543" s="125" t="str">
        <f>TiposLancamentos!B19</f>
        <v>Restaurantes</v>
      </c>
      <c r="C3543" s="1040" t="s">
        <v>6795</v>
      </c>
      <c r="D3543" s="1736"/>
      <c r="E3543" s="1043">
        <v>6</v>
      </c>
      <c r="F3543" s="1043"/>
      <c r="G3543" s="1550"/>
    </row>
    <row r="3544" spans="1:7" ht="12.75" customHeight="1">
      <c r="A3544" s="1754">
        <v>41943</v>
      </c>
      <c r="B3544" s="125" t="str">
        <f>TiposLancamentos!B19</f>
        <v>Restaurantes</v>
      </c>
      <c r="C3544" s="1040" t="s">
        <v>6793</v>
      </c>
      <c r="D3544" s="1736"/>
      <c r="E3544" s="1043">
        <v>20</v>
      </c>
      <c r="F3544" s="1043"/>
      <c r="G3544" s="1550"/>
    </row>
    <row r="3545" spans="1:7" ht="12.75" customHeight="1">
      <c r="A3545" s="1754">
        <v>41943</v>
      </c>
      <c r="B3545" s="125" t="str">
        <f>TiposLancamentos!B19</f>
        <v>Restaurantes</v>
      </c>
      <c r="C3545" s="1040" t="s">
        <v>6855</v>
      </c>
      <c r="D3545" s="1736"/>
      <c r="E3545" s="1043">
        <v>81.069999999999993</v>
      </c>
      <c r="F3545" s="1043"/>
      <c r="G3545" s="1550"/>
    </row>
    <row r="3546" spans="1:7" ht="12.75" customHeight="1" thickBot="1">
      <c r="A3546" s="1754">
        <v>41943</v>
      </c>
      <c r="B3546" s="125" t="str">
        <f>TiposLancamentos!B19</f>
        <v>Restaurantes</v>
      </c>
      <c r="C3546" s="1040" t="s">
        <v>6856</v>
      </c>
      <c r="D3546" s="1736"/>
      <c r="E3546" s="1043">
        <v>10</v>
      </c>
      <c r="F3546" s="1043"/>
      <c r="G3546" s="1550"/>
    </row>
    <row r="3547" spans="1:7" ht="12.75" customHeight="1">
      <c r="A3547" s="1834"/>
      <c r="B3547" s="977"/>
      <c r="C3547" s="1854" t="s">
        <v>6857</v>
      </c>
      <c r="D3547" s="1823"/>
      <c r="E3547" s="1821"/>
      <c r="F3547" s="1821"/>
      <c r="G3547" s="1895"/>
    </row>
    <row r="3548" spans="1:7" ht="12.75" customHeight="1">
      <c r="A3548" s="1754">
        <v>41944</v>
      </c>
      <c r="B3548" s="125" t="str">
        <f>TiposLancamentos!B19</f>
        <v>Restaurantes</v>
      </c>
      <c r="C3548" s="1040" t="s">
        <v>6858</v>
      </c>
      <c r="D3548" s="1736"/>
      <c r="E3548" s="1043">
        <v>115.83</v>
      </c>
      <c r="F3548" s="1043"/>
      <c r="G3548" s="1550"/>
    </row>
    <row r="3549" spans="1:7" ht="12.75" customHeight="1">
      <c r="A3549" s="1754">
        <v>41944</v>
      </c>
      <c r="B3549" s="125" t="str">
        <f>TiposLancamentos!B16</f>
        <v>Cristiane</v>
      </c>
      <c r="C3549" s="1040" t="s">
        <v>6859</v>
      </c>
      <c r="D3549" s="1736"/>
      <c r="E3549" s="1043">
        <v>110</v>
      </c>
      <c r="F3549" s="1043"/>
      <c r="G3549" s="1550"/>
    </row>
    <row r="3550" spans="1:7" ht="12.75" customHeight="1">
      <c r="A3550" s="1754">
        <v>41944</v>
      </c>
      <c r="B3550" s="125" t="str">
        <f>TiposLancamentos!B19</f>
        <v>Restaurantes</v>
      </c>
      <c r="C3550" s="1040" t="s">
        <v>6860</v>
      </c>
      <c r="D3550" s="1736"/>
      <c r="E3550" s="1043">
        <v>55.5</v>
      </c>
      <c r="F3550" s="1043"/>
      <c r="G3550" s="1550"/>
    </row>
    <row r="3551" spans="1:7" ht="12.75" customHeight="1">
      <c r="A3551" s="1754">
        <v>41945</v>
      </c>
      <c r="B3551" s="125" t="str">
        <f>TiposLancamentos!B19</f>
        <v>Restaurantes</v>
      </c>
      <c r="C3551" s="1040" t="s">
        <v>6861</v>
      </c>
      <c r="D3551" s="1736"/>
      <c r="E3551" s="1043">
        <v>134.75</v>
      </c>
      <c r="F3551" s="1043"/>
      <c r="G3551" s="1550"/>
    </row>
    <row r="3552" spans="1:7" ht="12.75" customHeight="1">
      <c r="A3552" s="1754">
        <v>41945</v>
      </c>
      <c r="B3552" s="125" t="str">
        <f>TiposLancamentos!B19</f>
        <v>Restaurantes</v>
      </c>
      <c r="C3552" s="1040" t="s">
        <v>6862</v>
      </c>
      <c r="D3552" s="1736"/>
      <c r="E3552" s="1043">
        <v>16</v>
      </c>
      <c r="F3552" s="1043"/>
      <c r="G3552" s="1550"/>
    </row>
    <row r="3553" spans="1:7" ht="12.75" customHeight="1">
      <c r="A3553" s="1754">
        <v>41945</v>
      </c>
      <c r="B3553" s="125" t="str">
        <f>TiposLancamentos!B3</f>
        <v>Internet</v>
      </c>
      <c r="C3553" s="1040" t="s">
        <v>6863</v>
      </c>
      <c r="D3553" s="1736"/>
      <c r="E3553" s="1043">
        <v>10</v>
      </c>
      <c r="F3553" s="1043"/>
      <c r="G3553" s="1550"/>
    </row>
    <row r="3554" spans="1:7" ht="12.75" customHeight="1">
      <c r="A3554" s="1754">
        <v>41945</v>
      </c>
      <c r="B3554" s="125" t="str">
        <f>TiposLancamentos!B5</f>
        <v>Supermercado</v>
      </c>
      <c r="C3554" s="1040" t="s">
        <v>6864</v>
      </c>
      <c r="D3554" s="1736"/>
      <c r="E3554" s="1043">
        <v>46.19</v>
      </c>
      <c r="F3554" s="1043"/>
      <c r="G3554" s="1550"/>
    </row>
    <row r="3555" spans="1:7" ht="12.75" customHeight="1">
      <c r="A3555" s="1754">
        <v>41946</v>
      </c>
      <c r="B3555" s="125" t="str">
        <f>TiposLancamentos!B19</f>
        <v>Restaurantes</v>
      </c>
      <c r="C3555" s="1040" t="s">
        <v>6865</v>
      </c>
      <c r="D3555" s="1736"/>
      <c r="E3555" s="1043">
        <v>20.25</v>
      </c>
      <c r="F3555" s="1043"/>
      <c r="G3555" s="1550"/>
    </row>
    <row r="3556" spans="1:7" ht="12.75" customHeight="1">
      <c r="A3556" s="1754">
        <v>41946</v>
      </c>
      <c r="B3556" s="125" t="str">
        <f>TiposLancamentos!B19</f>
        <v>Restaurantes</v>
      </c>
      <c r="C3556" s="1040" t="s">
        <v>6789</v>
      </c>
      <c r="D3556" s="1736"/>
      <c r="E3556" s="1043">
        <v>15</v>
      </c>
      <c r="F3556" s="1043"/>
      <c r="G3556" s="1550"/>
    </row>
    <row r="3557" spans="1:7" ht="12.75" customHeight="1">
      <c r="A3557" s="1754">
        <v>41946</v>
      </c>
      <c r="B3557" s="125" t="str">
        <f>TiposLancamentos!B15</f>
        <v>Cartões de Crédito</v>
      </c>
      <c r="C3557" s="1040" t="s">
        <v>6866</v>
      </c>
      <c r="D3557" s="1736"/>
      <c r="E3557" s="1043">
        <v>906.77</v>
      </c>
      <c r="F3557" s="1043"/>
      <c r="G3557" s="1550"/>
    </row>
    <row r="3558" spans="1:7" ht="12.75" customHeight="1">
      <c r="A3558" s="1754">
        <v>41946</v>
      </c>
      <c r="B3558" s="125" t="str">
        <f>TiposLancamentos!B15</f>
        <v>Cartões de Crédito</v>
      </c>
      <c r="C3558" s="1040" t="s">
        <v>6776</v>
      </c>
      <c r="D3558" s="1736"/>
      <c r="E3558" s="1043">
        <v>1723.66</v>
      </c>
      <c r="F3558" s="1043"/>
      <c r="G3558" s="1550"/>
    </row>
    <row r="3559" spans="1:7" ht="12.75" customHeight="1">
      <c r="A3559" s="1754">
        <v>41946</v>
      </c>
      <c r="B3559" s="125" t="str">
        <f>TiposLancamentos!B15</f>
        <v>Cartões de Crédito</v>
      </c>
      <c r="C3559" s="1040" t="s">
        <v>6561</v>
      </c>
      <c r="D3559" s="1736"/>
      <c r="E3559" s="1043">
        <v>1270.54</v>
      </c>
      <c r="F3559" s="1043"/>
      <c r="G3559" s="1550"/>
    </row>
    <row r="3560" spans="1:7" ht="12.75" customHeight="1">
      <c r="A3560" s="1754">
        <v>41946</v>
      </c>
      <c r="B3560" s="125" t="str">
        <f>TiposLancamentos!B4</f>
        <v>Taxas Bancarias</v>
      </c>
      <c r="C3560" s="1040" t="s">
        <v>5996</v>
      </c>
      <c r="D3560" s="1736"/>
      <c r="E3560" s="1043">
        <v>18.37</v>
      </c>
      <c r="F3560" s="1043"/>
      <c r="G3560" s="1550"/>
    </row>
    <row r="3561" spans="1:7" ht="12.75" customHeight="1">
      <c r="A3561" s="1754">
        <v>41947</v>
      </c>
      <c r="B3561" s="125" t="str">
        <f>TiposLancamentos!B19</f>
        <v>Restaurantes</v>
      </c>
      <c r="C3561" s="1040" t="s">
        <v>6867</v>
      </c>
      <c r="D3561" s="1736"/>
      <c r="E3561" s="1043">
        <v>40.22</v>
      </c>
      <c r="F3561" s="1043"/>
      <c r="G3561" s="1550"/>
    </row>
    <row r="3562" spans="1:7" ht="12.75" customHeight="1">
      <c r="A3562" s="1754">
        <v>41947</v>
      </c>
      <c r="B3562" s="125" t="str">
        <f>TiposLancamentos!B5</f>
        <v>Supermercado</v>
      </c>
      <c r="C3562" s="1040" t="s">
        <v>6201</v>
      </c>
      <c r="D3562" s="1736"/>
      <c r="E3562" s="1043">
        <v>16.010000000000002</v>
      </c>
      <c r="F3562" s="1043"/>
      <c r="G3562" s="1550"/>
    </row>
    <row r="3563" spans="1:7" ht="12.75" customHeight="1">
      <c r="A3563" s="1754">
        <v>41948</v>
      </c>
      <c r="B3563" s="125" t="str">
        <f>TiposLancamentos!B19</f>
        <v>Restaurantes</v>
      </c>
      <c r="C3563" s="1040" t="s">
        <v>6793</v>
      </c>
      <c r="D3563" s="1736"/>
      <c r="E3563" s="1043">
        <v>20</v>
      </c>
      <c r="F3563" s="1043"/>
      <c r="G3563" s="1550"/>
    </row>
    <row r="3564" spans="1:7" ht="12.75" customHeight="1">
      <c r="A3564" s="1754">
        <v>41949</v>
      </c>
      <c r="B3564" s="125" t="str">
        <f>TiposLancamentos!B19</f>
        <v>Restaurantes</v>
      </c>
      <c r="C3564" s="1040" t="s">
        <v>6793</v>
      </c>
      <c r="D3564" s="1736"/>
      <c r="E3564" s="1043">
        <v>21.5</v>
      </c>
      <c r="F3564" s="1043"/>
      <c r="G3564" s="1550"/>
    </row>
    <row r="3565" spans="1:7" ht="12.75" customHeight="1">
      <c r="A3565" s="1754">
        <v>41949</v>
      </c>
      <c r="B3565" s="125" t="str">
        <f>TiposLancamentos!B9</f>
        <v>Condominio</v>
      </c>
      <c r="C3565" s="1040" t="s">
        <v>1684</v>
      </c>
      <c r="D3565" s="1736"/>
      <c r="E3565" s="1043">
        <v>918.44</v>
      </c>
      <c r="F3565" s="1043"/>
      <c r="G3565" s="1550"/>
    </row>
    <row r="3566" spans="1:7" ht="12.75" customHeight="1">
      <c r="A3566" s="1754">
        <v>41949</v>
      </c>
      <c r="B3566" s="125" t="str">
        <f>TiposLancamentos!B2</f>
        <v>Telefonia</v>
      </c>
      <c r="C3566" s="1040" t="s">
        <v>6318</v>
      </c>
      <c r="D3566" s="1736"/>
      <c r="E3566" s="1043">
        <v>101.7</v>
      </c>
      <c r="F3566" s="1043"/>
      <c r="G3566" s="1550"/>
    </row>
    <row r="3567" spans="1:7" ht="12.75" customHeight="1">
      <c r="A3567" s="1754">
        <v>41950</v>
      </c>
      <c r="B3567" s="125" t="str">
        <f>TiposLancamentos!B19</f>
        <v>Restaurantes</v>
      </c>
      <c r="C3567" s="1040" t="s">
        <v>6793</v>
      </c>
      <c r="D3567" s="1736"/>
      <c r="E3567" s="1043">
        <v>20.25</v>
      </c>
      <c r="F3567" s="1043"/>
      <c r="G3567" s="1550"/>
    </row>
    <row r="3568" spans="1:7" ht="12.75" customHeight="1">
      <c r="A3568" s="1754">
        <v>41950</v>
      </c>
      <c r="B3568" s="125" t="str">
        <f>TiposLancamentos!B28</f>
        <v>ComicBook</v>
      </c>
      <c r="C3568" s="1040" t="s">
        <v>6868</v>
      </c>
      <c r="D3568" s="1736"/>
      <c r="E3568" s="1043">
        <v>22.9</v>
      </c>
      <c r="F3568" s="1043"/>
      <c r="G3568" s="1550"/>
    </row>
    <row r="3569" spans="1:7" ht="12.75" customHeight="1">
      <c r="A3569" s="1754">
        <v>41951</v>
      </c>
      <c r="B3569" s="125" t="str">
        <f>TiposLancamentos!B19</f>
        <v>Restaurantes</v>
      </c>
      <c r="C3569" s="1040" t="s">
        <v>6869</v>
      </c>
      <c r="D3569" s="1736"/>
      <c r="E3569" s="1043">
        <v>46.2</v>
      </c>
      <c r="F3569" s="1043"/>
      <c r="G3569" s="1550"/>
    </row>
    <row r="3570" spans="1:7" ht="12.75" customHeight="1">
      <c r="A3570" s="1754">
        <v>41952</v>
      </c>
      <c r="B3570" s="125" t="str">
        <f>TiposLancamentos!B22</f>
        <v>Combustivel</v>
      </c>
      <c r="C3570" s="1040" t="s">
        <v>6412</v>
      </c>
      <c r="D3570" s="1736"/>
      <c r="E3570" s="1043">
        <v>125.9</v>
      </c>
      <c r="F3570" s="1043"/>
      <c r="G3570" s="1550"/>
    </row>
    <row r="3571" spans="1:7" ht="12.75" customHeight="1">
      <c r="A3571" s="1754">
        <v>41952</v>
      </c>
      <c r="B3571" s="125" t="str">
        <f>TiposLancamentos!B19</f>
        <v>Restaurantes</v>
      </c>
      <c r="C3571" s="1040" t="s">
        <v>6795</v>
      </c>
      <c r="D3571" s="1736"/>
      <c r="E3571" s="1043">
        <v>29.1</v>
      </c>
      <c r="F3571" s="1043"/>
      <c r="G3571" s="1550"/>
    </row>
    <row r="3572" spans="1:7" ht="12.75" customHeight="1">
      <c r="A3572" s="1754">
        <v>41952</v>
      </c>
      <c r="B3572" s="125" t="str">
        <f>TiposLancamentos!B19</f>
        <v>Restaurantes</v>
      </c>
      <c r="C3572" s="1040" t="s">
        <v>6870</v>
      </c>
      <c r="D3572" s="1736"/>
      <c r="E3572" s="1043">
        <v>53.4</v>
      </c>
      <c r="F3572" s="1043"/>
      <c r="G3572" s="1550"/>
    </row>
    <row r="3573" spans="1:7" ht="12.75" customHeight="1">
      <c r="A3573" s="1754">
        <v>41952</v>
      </c>
      <c r="B3573" s="125" t="str">
        <f>TiposLancamentos!B72</f>
        <v>Presentes</v>
      </c>
      <c r="C3573" s="1040" t="s">
        <v>6871</v>
      </c>
      <c r="D3573" s="1736"/>
      <c r="E3573" s="1043">
        <v>862</v>
      </c>
      <c r="F3573" s="1043"/>
      <c r="G3573" s="1550"/>
    </row>
    <row r="3574" spans="1:7" ht="12.75" customHeight="1">
      <c r="A3574" s="1754">
        <v>41952</v>
      </c>
      <c r="B3574" s="125" t="str">
        <f>TiposLancamentos!B19</f>
        <v>Restaurantes</v>
      </c>
      <c r="C3574" s="1040" t="s">
        <v>6872</v>
      </c>
      <c r="D3574" s="1736"/>
      <c r="E3574" s="1043">
        <v>25</v>
      </c>
      <c r="F3574" s="1043"/>
      <c r="G3574" s="1550"/>
    </row>
    <row r="3575" spans="1:7" ht="12.75" customHeight="1">
      <c r="A3575" s="1754">
        <v>41952</v>
      </c>
      <c r="B3575" s="125" t="str">
        <f>TiposLancamentos!B5</f>
        <v>Supermercado</v>
      </c>
      <c r="C3575" s="1040" t="s">
        <v>6873</v>
      </c>
      <c r="D3575" s="1736"/>
      <c r="E3575" s="1043">
        <v>204.09</v>
      </c>
      <c r="F3575" s="1043"/>
      <c r="G3575" s="1550"/>
    </row>
    <row r="3576" spans="1:7" ht="12.75" customHeight="1">
      <c r="A3576" s="1754">
        <v>41952</v>
      </c>
      <c r="B3576" s="125" t="str">
        <f>TiposLancamentos!B19</f>
        <v>Restaurantes</v>
      </c>
      <c r="C3576" s="1040" t="s">
        <v>6874</v>
      </c>
      <c r="D3576" s="1736"/>
      <c r="E3576" s="1043">
        <v>63.47</v>
      </c>
      <c r="F3576" s="1043"/>
      <c r="G3576" s="1550"/>
    </row>
    <row r="3577" spans="1:7" ht="12.75" customHeight="1">
      <c r="A3577" s="1754">
        <v>41948</v>
      </c>
      <c r="B3577" s="125" t="str">
        <f>TiposLancamentos!B55</f>
        <v>Onibus Urbano</v>
      </c>
      <c r="C3577" s="1040" t="s">
        <v>6875</v>
      </c>
      <c r="D3577" s="1736"/>
      <c r="E3577" s="1043">
        <v>315</v>
      </c>
      <c r="F3577" s="1043"/>
      <c r="G3577" s="1550"/>
    </row>
    <row r="3578" spans="1:7" ht="12.75" customHeight="1">
      <c r="A3578" s="1666">
        <v>41953</v>
      </c>
      <c r="B3578" s="817" t="str">
        <f>TiposLancamentos!B8</f>
        <v>Aluguel</v>
      </c>
      <c r="C3578" s="1742" t="s">
        <v>6163</v>
      </c>
      <c r="D3578" s="1735"/>
      <c r="E3578" s="1733">
        <f>1464.96+4.8+1.5</f>
        <v>1471.26</v>
      </c>
      <c r="F3578" s="1043"/>
      <c r="G3578" s="1550"/>
    </row>
    <row r="3579" spans="1:7" ht="12.75" customHeight="1">
      <c r="A3579" s="1667">
        <v>41953</v>
      </c>
      <c r="B3579" s="816" t="str">
        <f>TiposLancamentos!B12</f>
        <v>IPTU</v>
      </c>
      <c r="C3579" s="1769" t="s">
        <v>6876</v>
      </c>
      <c r="D3579" s="1736"/>
      <c r="E3579" s="1734">
        <v>110.83</v>
      </c>
      <c r="F3579" s="1043"/>
      <c r="G3579" s="1550"/>
    </row>
    <row r="3580" spans="1:7" ht="12.75" customHeight="1">
      <c r="A3580" s="1750">
        <v>41953</v>
      </c>
      <c r="B3580" s="818" t="str">
        <f>TiposLancamentos!B34</f>
        <v>Seguros</v>
      </c>
      <c r="C3580" s="1743" t="s">
        <v>6877</v>
      </c>
      <c r="D3580" s="1737"/>
      <c r="E3580" s="1668">
        <v>247.84</v>
      </c>
      <c r="F3580" s="1043">
        <f>SUM(E3578:E3580)</f>
        <v>1829.9299999999998</v>
      </c>
      <c r="G3580" s="1550"/>
    </row>
    <row r="3581" spans="1:7" ht="12.75" customHeight="1">
      <c r="A3581" s="1754">
        <v>41953</v>
      </c>
      <c r="B3581" s="125" t="str">
        <f>TiposLancamentos!B19</f>
        <v>Restaurantes</v>
      </c>
      <c r="C3581" s="1040" t="s">
        <v>6867</v>
      </c>
      <c r="D3581" s="1736"/>
      <c r="E3581" s="1043">
        <v>23</v>
      </c>
      <c r="F3581" s="1043"/>
      <c r="G3581" s="1550"/>
    </row>
    <row r="3582" spans="1:7" ht="12.75" customHeight="1">
      <c r="A3582" s="1754">
        <v>41953</v>
      </c>
      <c r="B3582" s="125" t="str">
        <f>TiposLancamentos!B4</f>
        <v>Taxas Bancarias</v>
      </c>
      <c r="C3582" s="1040" t="s">
        <v>6878</v>
      </c>
      <c r="D3582" s="1736"/>
      <c r="E3582" s="1043">
        <v>23.55</v>
      </c>
      <c r="F3582" s="1043"/>
      <c r="G3582" s="1550"/>
    </row>
    <row r="3583" spans="1:7" ht="12.75" customHeight="1">
      <c r="A3583" s="1754">
        <v>41953</v>
      </c>
      <c r="B3583" s="125" t="str">
        <f>TiposLancamentos!B16</f>
        <v>Cristiane</v>
      </c>
      <c r="C3583" s="1040" t="s">
        <v>6879</v>
      </c>
      <c r="D3583" s="1736"/>
      <c r="E3583" s="1043">
        <v>240</v>
      </c>
      <c r="F3583" s="1043"/>
      <c r="G3583" s="1550"/>
    </row>
    <row r="3584" spans="1:7" ht="12.75" customHeight="1">
      <c r="A3584" s="1666">
        <v>41953</v>
      </c>
      <c r="B3584" s="817" t="str">
        <f>TiposLancamentos!B35</f>
        <v>Tv à Cabo</v>
      </c>
      <c r="C3584" s="1742" t="s">
        <v>5834</v>
      </c>
      <c r="D3584" s="1735"/>
      <c r="E3584" s="1733">
        <v>129.41</v>
      </c>
      <c r="F3584" s="1043"/>
      <c r="G3584" s="1550"/>
    </row>
    <row r="3585" spans="1:7" ht="12.75" customHeight="1">
      <c r="A3585" s="1667">
        <v>41953</v>
      </c>
      <c r="B3585" s="816" t="str">
        <f>TiposLancamentos!B3</f>
        <v>Internet</v>
      </c>
      <c r="C3585" s="1769" t="s">
        <v>5835</v>
      </c>
      <c r="D3585" s="1736"/>
      <c r="E3585" s="1734">
        <v>64.599999999999994</v>
      </c>
      <c r="F3585" s="1043"/>
      <c r="G3585" s="1550"/>
    </row>
    <row r="3586" spans="1:7" ht="12.75" customHeight="1">
      <c r="A3586" s="1750">
        <v>41953</v>
      </c>
      <c r="B3586" s="818" t="str">
        <f>TiposLancamentos!B2</f>
        <v>Telefonia</v>
      </c>
      <c r="C3586" s="1743" t="s">
        <v>5836</v>
      </c>
      <c r="D3586" s="1737"/>
      <c r="E3586" s="1668">
        <v>-0.12</v>
      </c>
      <c r="F3586" s="1043">
        <f>SUM(E3584:E3586)</f>
        <v>193.89</v>
      </c>
      <c r="G3586" s="1550"/>
    </row>
    <row r="3587" spans="1:7" ht="12.75" customHeight="1">
      <c r="A3587" s="1754">
        <v>41954</v>
      </c>
      <c r="B3587" s="125" t="str">
        <f>TiposLancamentos!B19</f>
        <v>Restaurantes</v>
      </c>
      <c r="C3587" s="1040" t="s">
        <v>6793</v>
      </c>
      <c r="D3587" s="1736"/>
      <c r="E3587" s="1043">
        <v>23.3</v>
      </c>
      <c r="F3587" s="1043"/>
      <c r="G3587" s="1550"/>
    </row>
    <row r="3588" spans="1:7" ht="12.75" customHeight="1">
      <c r="A3588" s="1754">
        <v>41954</v>
      </c>
      <c r="B3588" s="125" t="str">
        <f>TiposLancamentos!B5</f>
        <v>Supermercado</v>
      </c>
      <c r="C3588" s="1040" t="s">
        <v>6234</v>
      </c>
      <c r="D3588" s="1736"/>
      <c r="E3588" s="1043">
        <v>44.93</v>
      </c>
      <c r="F3588" s="1043"/>
      <c r="G3588" s="1550"/>
    </row>
    <row r="3589" spans="1:7" ht="12.75" customHeight="1">
      <c r="A3589" s="1754">
        <v>41956</v>
      </c>
      <c r="B3589" s="125" t="str">
        <f>TiposLancamentos!B19</f>
        <v>Restaurantes</v>
      </c>
      <c r="C3589" s="1040" t="s">
        <v>6793</v>
      </c>
      <c r="D3589" s="1736"/>
      <c r="E3589" s="1043">
        <v>23</v>
      </c>
      <c r="F3589" s="1043"/>
      <c r="G3589" s="1550"/>
    </row>
    <row r="3590" spans="1:7" ht="12.75" customHeight="1">
      <c r="A3590" s="1754">
        <v>41956</v>
      </c>
      <c r="B3590" s="125" t="str">
        <f>TiposLancamentos!B18</f>
        <v>Alimentacao</v>
      </c>
      <c r="C3590" s="1040" t="s">
        <v>6880</v>
      </c>
      <c r="D3590" s="1736"/>
      <c r="E3590" s="1043">
        <v>32</v>
      </c>
      <c r="F3590" s="1043"/>
      <c r="G3590" s="1550"/>
    </row>
    <row r="3591" spans="1:7" ht="12.75" customHeight="1">
      <c r="A3591" s="1754">
        <v>41956</v>
      </c>
      <c r="B3591" s="125" t="str">
        <f>TiposLancamentos!B19</f>
        <v>Restaurantes</v>
      </c>
      <c r="C3591" s="1040" t="s">
        <v>6881</v>
      </c>
      <c r="D3591" s="1736"/>
      <c r="E3591" s="1043">
        <v>91.99</v>
      </c>
      <c r="F3591" s="1043"/>
      <c r="G3591" s="1550"/>
    </row>
    <row r="3592" spans="1:7" ht="12.75" customHeight="1">
      <c r="A3592" s="1754">
        <v>41957</v>
      </c>
      <c r="B3592" s="125" t="str">
        <f>TiposLancamentos!B19</f>
        <v>Restaurantes</v>
      </c>
      <c r="C3592" s="1040" t="s">
        <v>6793</v>
      </c>
      <c r="D3592" s="1736"/>
      <c r="E3592" s="1043">
        <v>23.3</v>
      </c>
      <c r="F3592" s="1043"/>
      <c r="G3592" s="1550"/>
    </row>
    <row r="3593" spans="1:7" ht="12.75" customHeight="1">
      <c r="A3593" s="1754">
        <v>41958</v>
      </c>
      <c r="B3593" s="125" t="str">
        <f>TiposLancamentos!B73</f>
        <v>Cursos</v>
      </c>
      <c r="C3593" s="1040" t="s">
        <v>6882</v>
      </c>
      <c r="D3593" s="1736"/>
      <c r="E3593" s="1043">
        <v>300</v>
      </c>
      <c r="F3593" s="1043"/>
      <c r="G3593" s="1550"/>
    </row>
    <row r="3594" spans="1:7" ht="12.75" customHeight="1">
      <c r="A3594" s="1754">
        <v>41958</v>
      </c>
      <c r="B3594" s="125" t="str">
        <f>TiposLancamentos!B19</f>
        <v>Restaurantes</v>
      </c>
      <c r="C3594" s="1040" t="s">
        <v>6883</v>
      </c>
      <c r="D3594" s="1736"/>
      <c r="E3594" s="1043">
        <v>27.54</v>
      </c>
      <c r="F3594" s="1043"/>
      <c r="G3594" s="1550"/>
    </row>
    <row r="3595" spans="1:7" ht="12.75" customHeight="1">
      <c r="A3595" s="1754">
        <v>41958</v>
      </c>
      <c r="B3595" s="125" t="str">
        <f>TiposLancamentos!B19</f>
        <v>Restaurantes</v>
      </c>
      <c r="C3595" s="1040" t="s">
        <v>6884</v>
      </c>
      <c r="D3595" s="1736"/>
      <c r="E3595" s="1043">
        <v>24.25</v>
      </c>
      <c r="F3595" s="1043"/>
      <c r="G3595" s="1550"/>
    </row>
    <row r="3596" spans="1:7" ht="12.75" customHeight="1">
      <c r="A3596" s="1754">
        <v>41959</v>
      </c>
      <c r="B3596" s="125" t="str">
        <f>TiposLancamentos!B19</f>
        <v>Restaurantes</v>
      </c>
      <c r="C3596" s="1040" t="s">
        <v>6885</v>
      </c>
      <c r="D3596" s="1736"/>
      <c r="E3596" s="1043">
        <v>42.8</v>
      </c>
      <c r="F3596" s="1043"/>
      <c r="G3596" s="1550"/>
    </row>
    <row r="3597" spans="1:7" ht="12.75" customHeight="1">
      <c r="A3597" s="1754">
        <v>41959</v>
      </c>
      <c r="B3597" s="125" t="str">
        <f>TiposLancamentos!B19</f>
        <v>Restaurantes</v>
      </c>
      <c r="C3597" s="1040" t="s">
        <v>6885</v>
      </c>
      <c r="D3597" s="1736"/>
      <c r="E3597" s="1043">
        <v>21</v>
      </c>
      <c r="F3597" s="1043"/>
      <c r="G3597" s="1550"/>
    </row>
    <row r="3598" spans="1:7" ht="12.75" customHeight="1">
      <c r="A3598" s="1754">
        <v>41960</v>
      </c>
      <c r="B3598" s="125" t="str">
        <f>TiposLancamentos!B19</f>
        <v>Restaurantes</v>
      </c>
      <c r="C3598" s="1040" t="s">
        <v>6795</v>
      </c>
      <c r="D3598" s="1736"/>
      <c r="E3598" s="1043">
        <v>8.5</v>
      </c>
      <c r="F3598" s="1043"/>
      <c r="G3598" s="1550"/>
    </row>
    <row r="3599" spans="1:7" ht="12.75" customHeight="1">
      <c r="A3599" s="1754">
        <v>41960</v>
      </c>
      <c r="B3599" s="125" t="str">
        <f>TiposLancamentos!B19</f>
        <v>Restaurantes</v>
      </c>
      <c r="C3599" s="1040" t="s">
        <v>6793</v>
      </c>
      <c r="D3599" s="1736"/>
      <c r="E3599" s="1043">
        <v>20</v>
      </c>
      <c r="F3599" s="1043"/>
      <c r="G3599" s="1550"/>
    </row>
    <row r="3600" spans="1:7" ht="12.75" customHeight="1">
      <c r="A3600" s="1754">
        <v>41960</v>
      </c>
      <c r="B3600" s="125" t="str">
        <f>TiposLancamentos!B20</f>
        <v>Saques</v>
      </c>
      <c r="C3600" s="1040" t="s">
        <v>3604</v>
      </c>
      <c r="D3600" s="1736"/>
      <c r="E3600" s="1043">
        <v>140</v>
      </c>
      <c r="F3600" s="1043"/>
      <c r="G3600" s="1550"/>
    </row>
    <row r="3601" spans="1:7" ht="12.75" customHeight="1">
      <c r="A3601" s="1666">
        <v>41958</v>
      </c>
      <c r="B3601" s="817" t="str">
        <f>TiposLancamentos!B33</f>
        <v>Pedágios</v>
      </c>
      <c r="C3601" s="1742" t="s">
        <v>5392</v>
      </c>
      <c r="D3601" s="1735"/>
      <c r="E3601" s="1733">
        <v>31.94</v>
      </c>
      <c r="F3601" s="1043"/>
      <c r="G3601" s="1550"/>
    </row>
    <row r="3602" spans="1:7" ht="12.75" customHeight="1">
      <c r="A3602" s="1667">
        <v>41958</v>
      </c>
      <c r="B3602" s="816" t="str">
        <f>TiposLancamentos!B24</f>
        <v>Estacionamentos</v>
      </c>
      <c r="C3602" s="1769" t="s">
        <v>5863</v>
      </c>
      <c r="D3602" s="1736"/>
      <c r="E3602" s="1734">
        <v>33</v>
      </c>
      <c r="F3602" s="1043"/>
      <c r="G3602" s="1550"/>
    </row>
    <row r="3603" spans="1:7" ht="12.75" customHeight="1">
      <c r="A3603" s="1750">
        <v>41958</v>
      </c>
      <c r="B3603" s="818" t="str">
        <f>TiposLancamentos!B24</f>
        <v>Estacionamentos</v>
      </c>
      <c r="C3603" s="1743" t="s">
        <v>6297</v>
      </c>
      <c r="D3603" s="1737"/>
      <c r="E3603" s="1668">
        <v>16</v>
      </c>
      <c r="F3603" s="1043">
        <f>SUM(E3601:E3603)</f>
        <v>80.94</v>
      </c>
      <c r="G3603" s="1550"/>
    </row>
    <row r="3604" spans="1:7" ht="12.75" customHeight="1">
      <c r="A3604" s="1754">
        <v>41961</v>
      </c>
      <c r="B3604" s="125" t="str">
        <f>TiposLancamentos!B19</f>
        <v>Restaurantes</v>
      </c>
      <c r="C3604" s="1040" t="s">
        <v>6793</v>
      </c>
      <c r="D3604" s="1736"/>
      <c r="E3604" s="1043">
        <v>21.8</v>
      </c>
      <c r="F3604" s="1043"/>
      <c r="G3604" s="1550"/>
    </row>
    <row r="3605" spans="1:7" ht="12.75" customHeight="1">
      <c r="A3605" s="1754">
        <v>41962</v>
      </c>
      <c r="B3605" s="125" t="str">
        <f>TiposLancamentos!B19</f>
        <v>Restaurantes</v>
      </c>
      <c r="C3605" s="1040" t="s">
        <v>6795</v>
      </c>
      <c r="D3605" s="1736"/>
      <c r="E3605" s="1043">
        <v>8.5</v>
      </c>
      <c r="F3605" s="1043"/>
      <c r="G3605" s="1550"/>
    </row>
    <row r="3606" spans="1:7" ht="12.75" customHeight="1">
      <c r="A3606" s="1754">
        <v>41962</v>
      </c>
      <c r="B3606" s="125" t="str">
        <f>TiposLancamentos!B95</f>
        <v>Salarios</v>
      </c>
      <c r="C3606" s="1040" t="s">
        <v>6840</v>
      </c>
      <c r="D3606" s="1736">
        <v>11948</v>
      </c>
      <c r="E3606" s="1043"/>
      <c r="F3606" s="1043"/>
      <c r="G3606" s="1550"/>
    </row>
    <row r="3607" spans="1:7" ht="12.75" customHeight="1">
      <c r="A3607" s="1754">
        <v>41962</v>
      </c>
      <c r="B3607" s="125" t="str">
        <f>TiposLancamentos!B19</f>
        <v>Restaurantes</v>
      </c>
      <c r="C3607" s="1040" t="s">
        <v>6793</v>
      </c>
      <c r="D3607" s="1736"/>
      <c r="E3607" s="1043">
        <v>19.5</v>
      </c>
      <c r="F3607" s="1043"/>
      <c r="G3607" s="1550"/>
    </row>
    <row r="3608" spans="1:7" ht="12.75" customHeight="1">
      <c r="A3608" s="1754">
        <v>41963</v>
      </c>
      <c r="B3608" s="125" t="str">
        <f>TiposLancamentos!B19</f>
        <v>Restaurantes</v>
      </c>
      <c r="C3608" s="1040" t="s">
        <v>6886</v>
      </c>
      <c r="D3608" s="1736"/>
      <c r="E3608" s="1043">
        <v>58.74</v>
      </c>
      <c r="F3608" s="1043"/>
      <c r="G3608" s="1550"/>
    </row>
    <row r="3609" spans="1:7" ht="12.75" customHeight="1">
      <c r="A3609" s="1754">
        <v>41963</v>
      </c>
      <c r="B3609" s="125" t="str">
        <f>TiposLancamentos!B28</f>
        <v>ComicBook</v>
      </c>
      <c r="C3609" s="1040" t="s">
        <v>6887</v>
      </c>
      <c r="D3609" s="1736"/>
      <c r="E3609" s="1043">
        <v>188.96</v>
      </c>
      <c r="F3609" s="1043"/>
      <c r="G3609" s="1550"/>
    </row>
    <row r="3610" spans="1:7" ht="12.75" customHeight="1">
      <c r="A3610" s="1754">
        <v>41963</v>
      </c>
      <c r="B3610" s="125" t="str">
        <f>B3608</f>
        <v>Restaurantes</v>
      </c>
      <c r="C3610" s="1040" t="s">
        <v>6888</v>
      </c>
      <c r="D3610" s="1736"/>
      <c r="E3610" s="1043">
        <v>6</v>
      </c>
      <c r="F3610" s="1043"/>
      <c r="G3610" s="1550"/>
    </row>
    <row r="3611" spans="1:7" ht="12.75" customHeight="1">
      <c r="A3611" s="1754">
        <v>41963</v>
      </c>
      <c r="B3611" s="125" t="str">
        <f>B3608</f>
        <v>Restaurantes</v>
      </c>
      <c r="C3611" s="1040" t="s">
        <v>6597</v>
      </c>
      <c r="D3611" s="1736"/>
      <c r="E3611" s="1043">
        <v>47.74</v>
      </c>
      <c r="F3611" s="1043"/>
      <c r="G3611" s="1550"/>
    </row>
    <row r="3612" spans="1:7" ht="12.75" customHeight="1">
      <c r="A3612" s="1754">
        <v>41963</v>
      </c>
      <c r="B3612" s="125" t="str">
        <f>TiposLancamentos!B5</f>
        <v>Supermercado</v>
      </c>
      <c r="C3612" s="1040" t="s">
        <v>5844</v>
      </c>
      <c r="D3612" s="1736"/>
      <c r="E3612" s="1043">
        <v>247.4</v>
      </c>
      <c r="F3612" s="1043"/>
      <c r="G3612" s="1550"/>
    </row>
    <row r="3613" spans="1:7" ht="12.75" customHeight="1">
      <c r="A3613" s="1754">
        <v>41963</v>
      </c>
      <c r="B3613" s="125" t="str">
        <f>TiposLancamentos!B19</f>
        <v>Restaurantes</v>
      </c>
      <c r="C3613" s="1040" t="s">
        <v>6889</v>
      </c>
      <c r="D3613" s="1736"/>
      <c r="E3613" s="1043">
        <v>44</v>
      </c>
      <c r="F3613" s="1043"/>
      <c r="G3613" s="1550"/>
    </row>
    <row r="3614" spans="1:7" ht="12.75" customHeight="1">
      <c r="A3614" s="1754">
        <v>41964</v>
      </c>
      <c r="B3614" s="125" t="str">
        <f>TiposLancamentos!B19</f>
        <v>Restaurantes</v>
      </c>
      <c r="C3614" s="1040" t="s">
        <v>4956</v>
      </c>
      <c r="D3614" s="1736"/>
      <c r="E3614" s="1043">
        <v>54.5</v>
      </c>
      <c r="F3614" s="1043"/>
      <c r="G3614" s="1550"/>
    </row>
    <row r="3615" spans="1:7" ht="12.75" customHeight="1">
      <c r="A3615" s="1754">
        <v>41964</v>
      </c>
      <c r="B3615" s="125" t="str">
        <f>TiposLancamentos!B19</f>
        <v>Restaurantes</v>
      </c>
      <c r="C3615" s="1040" t="s">
        <v>5876</v>
      </c>
      <c r="D3615" s="1736"/>
      <c r="E3615" s="1043">
        <v>219</v>
      </c>
      <c r="F3615" s="1043"/>
      <c r="G3615" s="1550"/>
    </row>
    <row r="3616" spans="1:7" ht="12.75" customHeight="1">
      <c r="A3616" s="1754">
        <v>41965</v>
      </c>
      <c r="B3616" s="125" t="str">
        <f>TiposLancamentos!B57</f>
        <v>Informática</v>
      </c>
      <c r="C3616" s="1040" t="s">
        <v>6890</v>
      </c>
      <c r="D3616" s="1736"/>
      <c r="E3616" s="1043">
        <v>55</v>
      </c>
      <c r="F3616" s="1043"/>
      <c r="G3616" s="1550"/>
    </row>
    <row r="3617" spans="1:7" ht="12.75" customHeight="1">
      <c r="A3617" s="1754">
        <v>41965</v>
      </c>
      <c r="B3617" s="125" t="str">
        <f>TiposLancamentos!B19</f>
        <v>Restaurantes</v>
      </c>
      <c r="C3617" s="1040" t="s">
        <v>6891</v>
      </c>
      <c r="D3617" s="1736"/>
      <c r="E3617" s="1043">
        <v>8.5</v>
      </c>
      <c r="F3617" s="1043"/>
      <c r="G3617" s="1550"/>
    </row>
    <row r="3618" spans="1:7" ht="12.75" customHeight="1">
      <c r="A3618" s="1754">
        <v>41965</v>
      </c>
      <c r="B3618" s="125" t="str">
        <f>TiposLancamentos!B19</f>
        <v>Restaurantes</v>
      </c>
      <c r="C3618" s="1040" t="s">
        <v>6892</v>
      </c>
      <c r="D3618" s="1736"/>
      <c r="E3618" s="1043">
        <v>50</v>
      </c>
      <c r="F3618" s="1043"/>
      <c r="G3618" s="1550"/>
    </row>
    <row r="3619" spans="1:7" ht="12.75" customHeight="1">
      <c r="A3619" s="1754">
        <v>41966</v>
      </c>
      <c r="B3619" s="125" t="str">
        <f>TiposLancamentos!B19</f>
        <v>Restaurantes</v>
      </c>
      <c r="C3619" s="1040" t="s">
        <v>6793</v>
      </c>
      <c r="D3619" s="1736"/>
      <c r="E3619" s="1043">
        <v>21.5</v>
      </c>
      <c r="F3619" s="1043"/>
      <c r="G3619" s="1550"/>
    </row>
    <row r="3620" spans="1:7" ht="12.75" customHeight="1">
      <c r="A3620" s="1754">
        <v>41967</v>
      </c>
      <c r="B3620" s="125" t="str">
        <f>TiposLancamentos!B88</f>
        <v>Ford Ecosport XLT</v>
      </c>
      <c r="C3620" s="1040" t="s">
        <v>6893</v>
      </c>
      <c r="D3620" s="1736"/>
      <c r="E3620" s="1043">
        <v>878.64</v>
      </c>
      <c r="F3620" s="1043"/>
      <c r="G3620" s="1550"/>
    </row>
    <row r="3621" spans="1:7" ht="12.75" customHeight="1">
      <c r="A3621" s="1754">
        <v>41967</v>
      </c>
      <c r="B3621" s="125" t="str">
        <f>TiposLancamentos!B34</f>
        <v>Seguros</v>
      </c>
      <c r="C3621" s="1040" t="s">
        <v>6894</v>
      </c>
      <c r="D3621" s="1736"/>
      <c r="E3621" s="1043">
        <v>63.9</v>
      </c>
      <c r="F3621" s="1043"/>
      <c r="G3621" s="1550"/>
    </row>
    <row r="3622" spans="1:7" ht="12.75" customHeight="1">
      <c r="A3622" s="1754">
        <v>41967</v>
      </c>
      <c r="B3622" s="125" t="str">
        <f>TiposLancamentos!B6</f>
        <v>Energia Eletrica</v>
      </c>
      <c r="C3622" s="1040" t="s">
        <v>5191</v>
      </c>
      <c r="D3622" s="1736"/>
      <c r="E3622" s="1043">
        <v>144.37</v>
      </c>
      <c r="F3622" s="1043"/>
      <c r="G3622" s="1550"/>
    </row>
    <row r="3623" spans="1:7" ht="12.75" customHeight="1">
      <c r="A3623" s="1754">
        <v>41967</v>
      </c>
      <c r="B3623" s="125" t="str">
        <f>TiposLancamentos!B16</f>
        <v>Cristiane</v>
      </c>
      <c r="C3623" s="1040" t="s">
        <v>6895</v>
      </c>
      <c r="D3623" s="1736"/>
      <c r="E3623" s="1043">
        <v>106.1</v>
      </c>
      <c r="F3623" s="1043"/>
      <c r="G3623" s="1550"/>
    </row>
    <row r="3624" spans="1:7" ht="12.75" customHeight="1">
      <c r="A3624" s="1754">
        <v>41968</v>
      </c>
      <c r="B3624" s="125" t="str">
        <f>TiposLancamentos!B19</f>
        <v>Restaurantes</v>
      </c>
      <c r="C3624" s="1040" t="s">
        <v>6795</v>
      </c>
      <c r="D3624" s="1736"/>
      <c r="E3624" s="1043">
        <v>8.5</v>
      </c>
      <c r="F3624" s="1043"/>
      <c r="G3624" s="1550"/>
    </row>
    <row r="3625" spans="1:7" ht="12.75" customHeight="1">
      <c r="A3625" s="1754">
        <v>41968</v>
      </c>
      <c r="B3625" s="125" t="str">
        <f>TiposLancamentos!B19</f>
        <v>Restaurantes</v>
      </c>
      <c r="C3625" s="1040" t="s">
        <v>6793</v>
      </c>
      <c r="D3625" s="1736"/>
      <c r="E3625" s="1043">
        <v>22</v>
      </c>
      <c r="F3625" s="1043"/>
      <c r="G3625" s="1550"/>
    </row>
    <row r="3626" spans="1:7" ht="12.75" customHeight="1">
      <c r="A3626" s="1754">
        <v>41968</v>
      </c>
      <c r="B3626" s="125" t="str">
        <f>TiposLancamentos!B20</f>
        <v>Saques</v>
      </c>
      <c r="C3626" s="1040" t="s">
        <v>3604</v>
      </c>
      <c r="D3626" s="1736"/>
      <c r="E3626" s="1043">
        <v>20</v>
      </c>
      <c r="F3626" s="1043"/>
      <c r="G3626" s="1550"/>
    </row>
    <row r="3627" spans="1:7" ht="12.75" customHeight="1">
      <c r="A3627" s="1754">
        <v>41969</v>
      </c>
      <c r="B3627" s="125" t="str">
        <f>TiposLancamentos!B19</f>
        <v>Restaurantes</v>
      </c>
      <c r="C3627" s="1040" t="s">
        <v>6795</v>
      </c>
      <c r="D3627" s="1736"/>
      <c r="E3627" s="1043">
        <v>6</v>
      </c>
      <c r="F3627" s="1043"/>
      <c r="G3627" s="1550"/>
    </row>
    <row r="3628" spans="1:7" ht="12.75" customHeight="1">
      <c r="A3628" s="1754">
        <v>41969</v>
      </c>
      <c r="B3628" s="125" t="str">
        <f>TiposLancamentos!B19</f>
        <v>Restaurantes</v>
      </c>
      <c r="C3628" s="1040" t="s">
        <v>6793</v>
      </c>
      <c r="D3628" s="1736"/>
      <c r="E3628" s="1043">
        <v>22</v>
      </c>
      <c r="F3628" s="1043"/>
      <c r="G3628" s="1550"/>
    </row>
    <row r="3629" spans="1:7" ht="12.75" customHeight="1">
      <c r="A3629" s="1754">
        <v>41970</v>
      </c>
      <c r="B3629" s="125" t="str">
        <f>TiposLancamentos!B19</f>
        <v>Restaurantes</v>
      </c>
      <c r="C3629" s="1040" t="s">
        <v>6795</v>
      </c>
      <c r="D3629" s="1736"/>
      <c r="E3629" s="1043">
        <v>8.5</v>
      </c>
      <c r="F3629" s="1043"/>
      <c r="G3629" s="1550"/>
    </row>
    <row r="3630" spans="1:7" ht="12.75" customHeight="1">
      <c r="A3630" s="1754">
        <v>41970</v>
      </c>
      <c r="B3630" s="125" t="str">
        <f>TiposLancamentos!B19</f>
        <v>Restaurantes</v>
      </c>
      <c r="C3630" s="1040" t="s">
        <v>6793</v>
      </c>
      <c r="D3630" s="1736"/>
      <c r="E3630" s="1043">
        <v>22</v>
      </c>
      <c r="F3630" s="1043"/>
      <c r="G3630" s="1550"/>
    </row>
    <row r="3631" spans="1:7" ht="12.75" customHeight="1">
      <c r="A3631" s="1754">
        <v>41970</v>
      </c>
      <c r="B3631" s="125" t="str">
        <f>TiposLancamentos!B19</f>
        <v>Restaurantes</v>
      </c>
      <c r="C3631" s="1040" t="s">
        <v>6896</v>
      </c>
      <c r="D3631" s="1736"/>
      <c r="E3631" s="1043">
        <v>37</v>
      </c>
      <c r="F3631" s="1043"/>
      <c r="G3631" s="1550"/>
    </row>
    <row r="3632" spans="1:7" ht="12.75" customHeight="1">
      <c r="A3632" s="1754">
        <v>41971</v>
      </c>
      <c r="B3632" s="125" t="str">
        <f>TiposLancamentos!B43</f>
        <v>Imposto de Renda</v>
      </c>
      <c r="C3632" s="1040" t="s">
        <v>6897</v>
      </c>
      <c r="D3632" s="1736"/>
      <c r="E3632" s="1043">
        <v>75.78</v>
      </c>
      <c r="F3632" s="1043"/>
      <c r="G3632" s="1550"/>
    </row>
    <row r="3633" spans="1:7" ht="12.75" customHeight="1">
      <c r="A3633" s="1754">
        <v>41971</v>
      </c>
      <c r="B3633" s="125" t="str">
        <f>TiposLancamentos!B19</f>
        <v>Restaurantes</v>
      </c>
      <c r="C3633" s="1040" t="s">
        <v>6789</v>
      </c>
      <c r="D3633" s="1736"/>
      <c r="E3633" s="1043">
        <v>19.75</v>
      </c>
      <c r="F3633" s="1043"/>
      <c r="G3633" s="1550"/>
    </row>
    <row r="3634" spans="1:7" ht="12.75" customHeight="1">
      <c r="A3634" s="1754">
        <v>41972</v>
      </c>
      <c r="B3634" s="125" t="str">
        <f>TiposLancamentos!B71</f>
        <v>Itens Pessoais</v>
      </c>
      <c r="C3634" s="1040" t="s">
        <v>1964</v>
      </c>
      <c r="D3634" s="1736"/>
      <c r="E3634" s="1043">
        <v>27</v>
      </c>
      <c r="F3634" s="1043"/>
      <c r="G3634" s="1550"/>
    </row>
    <row r="3635" spans="1:7" ht="12.75" customHeight="1">
      <c r="A3635" s="1754">
        <v>41972</v>
      </c>
      <c r="B3635" s="125" t="str">
        <f>TiposLancamentos!B19</f>
        <v>Restaurantes</v>
      </c>
      <c r="C3635" s="1040" t="s">
        <v>6898</v>
      </c>
      <c r="D3635" s="1736"/>
      <c r="E3635" s="1043">
        <v>83.1</v>
      </c>
      <c r="F3635" s="1043"/>
      <c r="G3635" s="1550"/>
    </row>
    <row r="3636" spans="1:7" ht="12.75" customHeight="1">
      <c r="A3636" s="1754">
        <v>41973</v>
      </c>
      <c r="B3636" s="125" t="str">
        <f>TiposLancamentos!B19</f>
        <v>Restaurantes</v>
      </c>
      <c r="C3636" s="1040" t="s">
        <v>6899</v>
      </c>
      <c r="D3636" s="1736"/>
      <c r="E3636" s="1043">
        <v>93.9</v>
      </c>
      <c r="F3636" s="1043"/>
      <c r="G3636" s="1550"/>
    </row>
    <row r="3637" spans="1:7" ht="12.75" customHeight="1">
      <c r="A3637" s="1754">
        <v>41973</v>
      </c>
      <c r="B3637" s="125" t="str">
        <f>TiposLancamentos!B16</f>
        <v>Cristiane</v>
      </c>
      <c r="C3637" s="1040" t="s">
        <v>6900</v>
      </c>
      <c r="D3637" s="1736"/>
      <c r="E3637" s="1043">
        <v>259.60000000000002</v>
      </c>
      <c r="F3637" s="1043"/>
      <c r="G3637" s="1550"/>
    </row>
    <row r="3638" spans="1:7" ht="12.75" customHeight="1">
      <c r="A3638" s="1754">
        <v>41973</v>
      </c>
      <c r="B3638" s="125" t="str">
        <f>TiposLancamentos!B16</f>
        <v>Cristiane</v>
      </c>
      <c r="C3638" s="1040" t="s">
        <v>6901</v>
      </c>
      <c r="D3638" s="1736"/>
      <c r="E3638" s="1043">
        <v>66</v>
      </c>
      <c r="F3638" s="1043"/>
      <c r="G3638" s="1550"/>
    </row>
    <row r="3639" spans="1:7" ht="12.75" customHeight="1">
      <c r="A3639" s="1754">
        <v>41973</v>
      </c>
      <c r="B3639" s="125" t="str">
        <f>TiposLancamentos!B19</f>
        <v>Restaurantes</v>
      </c>
      <c r="C3639" s="1040" t="s">
        <v>6902</v>
      </c>
      <c r="D3639" s="1736"/>
      <c r="E3639" s="1043">
        <v>21.4</v>
      </c>
      <c r="F3639" s="1043"/>
      <c r="G3639" s="1550"/>
    </row>
    <row r="3640" spans="1:7" ht="12.75" customHeight="1">
      <c r="A3640" s="1754">
        <v>41973</v>
      </c>
      <c r="B3640" s="125" t="str">
        <f>TiposLancamentos!B16</f>
        <v>Cristiane</v>
      </c>
      <c r="C3640" s="1040" t="s">
        <v>6903</v>
      </c>
      <c r="D3640" s="1736"/>
      <c r="E3640" s="1043">
        <v>150</v>
      </c>
      <c r="F3640" s="1043"/>
      <c r="G3640" s="1550"/>
    </row>
    <row r="3641" spans="1:7" ht="12.75" customHeight="1">
      <c r="A3641" s="1754">
        <v>41973</v>
      </c>
      <c r="B3641" s="125" t="str">
        <f>TiposLancamentos!B57</f>
        <v>Informática</v>
      </c>
      <c r="C3641" s="1040" t="s">
        <v>6904</v>
      </c>
      <c r="D3641" s="1736"/>
      <c r="E3641" s="1043">
        <v>8.9</v>
      </c>
      <c r="F3641" s="1043"/>
      <c r="G3641" s="1550"/>
    </row>
    <row r="3642" spans="1:7" ht="12.75" customHeight="1" thickBot="1">
      <c r="A3642" s="1754">
        <v>41973</v>
      </c>
      <c r="B3642" s="125" t="str">
        <f>TiposLancamentos!B5</f>
        <v>Supermercado</v>
      </c>
      <c r="C3642" s="1040" t="s">
        <v>6905</v>
      </c>
      <c r="D3642" s="1736"/>
      <c r="E3642" s="1043">
        <v>107.95</v>
      </c>
      <c r="F3642" s="1043"/>
      <c r="G3642" s="1550"/>
    </row>
    <row r="3643" spans="1:7" ht="12.75" customHeight="1">
      <c r="A3643" s="1834"/>
      <c r="B3643" s="977"/>
      <c r="C3643" s="1854" t="s">
        <v>6906</v>
      </c>
      <c r="D3643" s="1823"/>
      <c r="E3643" s="1821"/>
      <c r="F3643" s="1821"/>
      <c r="G3643" s="1895"/>
    </row>
    <row r="3644" spans="1:7" ht="12.75" customHeight="1">
      <c r="A3644" s="1754">
        <v>41974</v>
      </c>
      <c r="B3644" s="125" t="str">
        <f>TiposLancamentos!B19</f>
        <v>Restaurantes</v>
      </c>
      <c r="C3644" s="1040" t="s">
        <v>6793</v>
      </c>
      <c r="D3644" s="1736"/>
      <c r="E3644" s="1043">
        <v>22</v>
      </c>
      <c r="F3644" s="1043"/>
      <c r="G3644" s="1550"/>
    </row>
    <row r="3645" spans="1:7" ht="12.75" customHeight="1">
      <c r="A3645" s="1754">
        <v>41974</v>
      </c>
      <c r="B3645" s="125" t="str">
        <f>TiposLancamentos!B57</f>
        <v>Informática</v>
      </c>
      <c r="C3645" s="1040" t="s">
        <v>6907</v>
      </c>
      <c r="D3645" s="1736"/>
      <c r="E3645" s="1043">
        <v>149.9</v>
      </c>
      <c r="F3645" s="1043"/>
      <c r="G3645" s="1550"/>
    </row>
    <row r="3646" spans="1:7" ht="12.75" customHeight="1">
      <c r="A3646" s="1754">
        <v>41974</v>
      </c>
      <c r="B3646" s="125" t="str">
        <f>TiposLancamentos!B16</f>
        <v>Cristiane</v>
      </c>
      <c r="C3646" s="1040" t="s">
        <v>6908</v>
      </c>
      <c r="D3646" s="1736"/>
      <c r="E3646" s="1043">
        <v>30</v>
      </c>
      <c r="F3646" s="1043"/>
      <c r="G3646" s="1550"/>
    </row>
    <row r="3647" spans="1:7" ht="12.75" customHeight="1">
      <c r="A3647" s="1754">
        <v>41974</v>
      </c>
      <c r="B3647" s="125" t="str">
        <f>TiposLancamentos!B20</f>
        <v>Saques</v>
      </c>
      <c r="C3647" s="1040" t="s">
        <v>4368</v>
      </c>
      <c r="D3647" s="1736"/>
      <c r="E3647" s="1043">
        <v>120</v>
      </c>
      <c r="F3647" s="1043"/>
      <c r="G3647" s="1550"/>
    </row>
    <row r="3648" spans="1:7" ht="12.75" customHeight="1">
      <c r="A3648" s="1754">
        <v>41974</v>
      </c>
      <c r="B3648" s="125" t="str">
        <f>TiposLancamentos!B20</f>
        <v>Saques</v>
      </c>
      <c r="C3648" s="1040" t="s">
        <v>6118</v>
      </c>
      <c r="D3648" s="1736"/>
      <c r="E3648" s="1043">
        <v>63.93</v>
      </c>
      <c r="F3648" s="1043"/>
      <c r="G3648" s="1550"/>
    </row>
    <row r="3649" spans="1:7" ht="12.75" customHeight="1">
      <c r="A3649" s="1754">
        <v>41974</v>
      </c>
      <c r="B3649" s="125" t="str">
        <f>TiposLancamentos!B43</f>
        <v>Imposto de Renda</v>
      </c>
      <c r="C3649" s="1040" t="s">
        <v>6909</v>
      </c>
      <c r="D3649" s="1736"/>
      <c r="E3649" s="1043">
        <v>550.19000000000005</v>
      </c>
      <c r="F3649" s="1043"/>
      <c r="G3649" s="1550"/>
    </row>
    <row r="3650" spans="1:7" ht="12.75" customHeight="1">
      <c r="A3650" s="1754">
        <v>41974</v>
      </c>
      <c r="B3650" s="125" t="str">
        <f>TiposLancamentos!B4</f>
        <v>Taxas Bancarias</v>
      </c>
      <c r="C3650" s="1040" t="s">
        <v>6910</v>
      </c>
      <c r="D3650" s="1736"/>
      <c r="E3650" s="1043">
        <v>24.86</v>
      </c>
      <c r="F3650" s="1043"/>
      <c r="G3650" s="1550"/>
    </row>
    <row r="3651" spans="1:7" ht="12.75" customHeight="1">
      <c r="A3651" s="1754">
        <v>41974</v>
      </c>
      <c r="B3651" s="125" t="str">
        <f>TiposLancamentos!B15</f>
        <v>Cartões de Crédito</v>
      </c>
      <c r="C3651" s="1040" t="s">
        <v>6911</v>
      </c>
      <c r="D3651" s="1736"/>
      <c r="E3651" s="1043">
        <v>1480.3</v>
      </c>
      <c r="F3651" s="1043"/>
      <c r="G3651" s="1550"/>
    </row>
    <row r="3652" spans="1:7" ht="12.75" customHeight="1">
      <c r="A3652" s="1754">
        <v>41974</v>
      </c>
      <c r="B3652" s="125" t="str">
        <f>TiposLancamentos!B15</f>
        <v>Cartões de Crédito</v>
      </c>
      <c r="C3652" s="1040" t="s">
        <v>6912</v>
      </c>
      <c r="D3652" s="1736"/>
      <c r="E3652" s="1043">
        <v>1321.53</v>
      </c>
      <c r="F3652" s="1043"/>
      <c r="G3652" s="1550"/>
    </row>
    <row r="3653" spans="1:7" ht="12.75" customHeight="1">
      <c r="A3653" s="1754">
        <v>41974</v>
      </c>
      <c r="B3653" s="125" t="str">
        <f>TiposLancamentos!B15</f>
        <v>Cartões de Crédito</v>
      </c>
      <c r="C3653" s="1040" t="s">
        <v>6561</v>
      </c>
      <c r="D3653" s="1736"/>
      <c r="E3653" s="1043">
        <v>1270.54</v>
      </c>
      <c r="F3653" s="1043"/>
      <c r="G3653" s="1550"/>
    </row>
    <row r="3654" spans="1:7" ht="12.75" customHeight="1">
      <c r="A3654" s="1754">
        <v>41974</v>
      </c>
      <c r="B3654" s="125" t="str">
        <f>TiposLancamentos!B3</f>
        <v>Internet</v>
      </c>
      <c r="C3654" s="1040" t="s">
        <v>6913</v>
      </c>
      <c r="D3654" s="1736"/>
      <c r="E3654" s="1043">
        <v>58.84</v>
      </c>
      <c r="F3654" s="1043"/>
      <c r="G3654" s="1550"/>
    </row>
    <row r="3655" spans="1:7" ht="12.75" customHeight="1">
      <c r="A3655" s="1754">
        <v>41975</v>
      </c>
      <c r="B3655" s="125" t="str">
        <f>TiposLancamentos!B19</f>
        <v>Restaurantes</v>
      </c>
      <c r="C3655" s="1040" t="s">
        <v>6793</v>
      </c>
      <c r="D3655" s="1736"/>
      <c r="E3655" s="1043">
        <v>22</v>
      </c>
      <c r="F3655" s="1043"/>
      <c r="G3655" s="1550"/>
    </row>
    <row r="3656" spans="1:7" ht="12.75" customHeight="1">
      <c r="A3656" s="1754">
        <v>41975</v>
      </c>
      <c r="B3656" s="125" t="str">
        <f>TiposLancamentos!B18</f>
        <v>Alimentacao</v>
      </c>
      <c r="C3656" s="1040" t="s">
        <v>6914</v>
      </c>
      <c r="D3656" s="1736"/>
      <c r="E3656" s="1043">
        <v>32</v>
      </c>
      <c r="F3656" s="1043"/>
      <c r="G3656" s="1550"/>
    </row>
    <row r="3657" spans="1:7" ht="12.75" customHeight="1">
      <c r="A3657" s="1754">
        <v>41976</v>
      </c>
      <c r="B3657" s="125" t="str">
        <f>TiposLancamentos!B19</f>
        <v>Restaurantes</v>
      </c>
      <c r="C3657" s="1040" t="s">
        <v>6795</v>
      </c>
      <c r="D3657" s="1736"/>
      <c r="E3657" s="1043">
        <v>8.5</v>
      </c>
      <c r="F3657" s="1043"/>
      <c r="G3657" s="1550"/>
    </row>
    <row r="3658" spans="1:7" ht="12.75" customHeight="1">
      <c r="A3658" s="1754">
        <v>41976</v>
      </c>
      <c r="B3658" s="125" t="str">
        <f>TiposLancamentos!B19</f>
        <v>Restaurantes</v>
      </c>
      <c r="C3658" s="1040" t="s">
        <v>6793</v>
      </c>
      <c r="D3658" s="1736"/>
      <c r="E3658" s="1043">
        <v>20.5</v>
      </c>
      <c r="F3658" s="1043"/>
      <c r="G3658" s="1550"/>
    </row>
    <row r="3659" spans="1:7" ht="12.75" customHeight="1">
      <c r="A3659" s="1754">
        <v>41977</v>
      </c>
      <c r="B3659" s="125" t="str">
        <f>TiposLancamentos!B19</f>
        <v>Restaurantes</v>
      </c>
      <c r="C3659" s="1040" t="s">
        <v>6795</v>
      </c>
      <c r="D3659" s="1736"/>
      <c r="E3659" s="1043">
        <v>6</v>
      </c>
      <c r="F3659" s="1043"/>
      <c r="G3659" s="1550"/>
    </row>
    <row r="3660" spans="1:7" ht="12.75" customHeight="1">
      <c r="A3660" s="1754">
        <v>41977</v>
      </c>
      <c r="B3660" s="125" t="str">
        <f>TiposLancamentos!B19</f>
        <v>Restaurantes</v>
      </c>
      <c r="C3660" s="1040" t="s">
        <v>6793</v>
      </c>
      <c r="D3660" s="1736"/>
      <c r="E3660" s="1043">
        <v>20.5</v>
      </c>
      <c r="F3660" s="1043"/>
      <c r="G3660" s="1550"/>
    </row>
    <row r="3661" spans="1:7" ht="12.75" customHeight="1">
      <c r="A3661" s="1754">
        <v>41977</v>
      </c>
      <c r="B3661" s="125" t="str">
        <f>TiposLancamentos!B19</f>
        <v>Restaurantes</v>
      </c>
      <c r="C3661" s="1040" t="s">
        <v>6915</v>
      </c>
      <c r="D3661" s="1736"/>
      <c r="E3661" s="1043">
        <v>40</v>
      </c>
      <c r="F3661" s="1043"/>
      <c r="G3661" s="1550"/>
    </row>
    <row r="3662" spans="1:7" ht="12.75" customHeight="1">
      <c r="A3662" s="1754">
        <v>41978</v>
      </c>
      <c r="B3662" s="125" t="str">
        <f>TiposLancamentos!B19</f>
        <v>Restaurantes</v>
      </c>
      <c r="C3662" s="1040" t="s">
        <v>6795</v>
      </c>
      <c r="D3662" s="1736"/>
      <c r="E3662" s="1043">
        <v>5.5</v>
      </c>
      <c r="F3662" s="1043"/>
      <c r="G3662" s="1550"/>
    </row>
    <row r="3663" spans="1:7" ht="12.75" customHeight="1">
      <c r="A3663" s="1754">
        <v>41978</v>
      </c>
      <c r="B3663" s="125" t="str">
        <f>TiposLancamentos!B19</f>
        <v>Restaurantes</v>
      </c>
      <c r="C3663" s="1040" t="s">
        <v>6793</v>
      </c>
      <c r="D3663" s="1736"/>
      <c r="E3663" s="1043">
        <v>20.5</v>
      </c>
      <c r="F3663" s="1043"/>
      <c r="G3663" s="1550"/>
    </row>
    <row r="3664" spans="1:7" ht="12.75" customHeight="1">
      <c r="A3664" s="1754">
        <v>41978</v>
      </c>
      <c r="B3664" s="125" t="str">
        <f>TiposLancamentos!B19</f>
        <v>Restaurantes</v>
      </c>
      <c r="C3664" s="1040" t="s">
        <v>6916</v>
      </c>
      <c r="D3664" s="1736"/>
      <c r="E3664" s="1043">
        <v>71.64</v>
      </c>
      <c r="F3664" s="1043"/>
      <c r="G3664" s="1550"/>
    </row>
    <row r="3665" spans="1:7" ht="12.75" customHeight="1">
      <c r="A3665" s="1754">
        <v>41979</v>
      </c>
      <c r="B3665" s="125" t="str">
        <f>TiposLancamentos!B22</f>
        <v>Combustivel</v>
      </c>
      <c r="C3665" s="1040" t="s">
        <v>6728</v>
      </c>
      <c r="D3665" s="1736"/>
      <c r="E3665" s="1043">
        <v>131.03</v>
      </c>
      <c r="F3665" s="1043"/>
      <c r="G3665" s="1550"/>
    </row>
    <row r="3666" spans="1:7" ht="12.75" customHeight="1">
      <c r="A3666" s="1754">
        <v>41979</v>
      </c>
      <c r="B3666" s="125" t="str">
        <f>TiposLancamentos!B19</f>
        <v>Restaurantes</v>
      </c>
      <c r="C3666" s="1040" t="s">
        <v>6917</v>
      </c>
      <c r="D3666" s="1736"/>
      <c r="E3666" s="1043">
        <v>60.15</v>
      </c>
      <c r="F3666" s="1043"/>
      <c r="G3666" s="1550"/>
    </row>
    <row r="3667" spans="1:7" ht="12.75" customHeight="1">
      <c r="A3667" s="1754">
        <v>41979</v>
      </c>
      <c r="B3667" s="125" t="str">
        <f>TiposLancamentos!B16</f>
        <v>Cristiane</v>
      </c>
      <c r="C3667" s="1040" t="s">
        <v>6918</v>
      </c>
      <c r="D3667" s="1736"/>
      <c r="E3667" s="1043">
        <v>92</v>
      </c>
      <c r="F3667" s="1043"/>
      <c r="G3667" s="1550"/>
    </row>
    <row r="3668" spans="1:7" ht="12.75" customHeight="1">
      <c r="A3668" s="1754">
        <v>41979</v>
      </c>
      <c r="B3668" s="125" t="str">
        <f>TiposLancamentos!B16</f>
        <v>Cristiane</v>
      </c>
      <c r="C3668" s="1040" t="s">
        <v>6919</v>
      </c>
      <c r="D3668" s="1736"/>
      <c r="E3668" s="1043">
        <v>36.5</v>
      </c>
      <c r="F3668" s="1043"/>
      <c r="G3668" s="1550"/>
    </row>
    <row r="3669" spans="1:7" ht="12.75" customHeight="1">
      <c r="A3669" s="1754">
        <v>41980</v>
      </c>
      <c r="B3669" s="125" t="str">
        <f>TiposLancamentos!B19</f>
        <v>Restaurantes</v>
      </c>
      <c r="C3669" s="1040" t="s">
        <v>6920</v>
      </c>
      <c r="D3669" s="1736"/>
      <c r="E3669" s="1043">
        <v>141.24</v>
      </c>
      <c r="F3669" s="1043"/>
      <c r="G3669" s="1550"/>
    </row>
    <row r="3670" spans="1:7" ht="12.75" customHeight="1">
      <c r="A3670" s="1754">
        <v>41981</v>
      </c>
      <c r="B3670" s="125" t="str">
        <f>TiposLancamentos!B19</f>
        <v>Restaurantes</v>
      </c>
      <c r="C3670" s="1040" t="s">
        <v>6795</v>
      </c>
      <c r="D3670" s="1736"/>
      <c r="E3670" s="1043">
        <v>6</v>
      </c>
      <c r="F3670" s="1043"/>
      <c r="G3670" s="1550"/>
    </row>
    <row r="3671" spans="1:7" ht="12.75" customHeight="1">
      <c r="A3671" s="1754">
        <v>41981</v>
      </c>
      <c r="B3671" s="125" t="str">
        <f>TiposLancamentos!B19</f>
        <v>Restaurantes</v>
      </c>
      <c r="C3671" s="1040" t="s">
        <v>6921</v>
      </c>
      <c r="D3671" s="1736"/>
      <c r="E3671" s="1043">
        <v>18</v>
      </c>
      <c r="F3671" s="1043"/>
      <c r="G3671" s="1550"/>
    </row>
    <row r="3672" spans="1:7" ht="12.75" customHeight="1">
      <c r="A3672" s="1754">
        <v>41981</v>
      </c>
      <c r="B3672" s="125" t="str">
        <f>TiposLancamentos!B56</f>
        <v>Farmácia</v>
      </c>
      <c r="C3672" s="1040" t="s">
        <v>6922</v>
      </c>
      <c r="D3672" s="1736"/>
      <c r="E3672" s="1043">
        <v>46.28</v>
      </c>
      <c r="F3672" s="1043"/>
      <c r="G3672" s="1550"/>
    </row>
    <row r="3673" spans="1:7" ht="12.75" customHeight="1">
      <c r="A3673" s="1754">
        <v>41981</v>
      </c>
      <c r="B3673" s="125" t="str">
        <f>TiposLancamentos!B9</f>
        <v>Condominio</v>
      </c>
      <c r="C3673" s="1040" t="s">
        <v>6923</v>
      </c>
      <c r="D3673" s="1736"/>
      <c r="E3673" s="1043">
        <v>874.88</v>
      </c>
      <c r="F3673" s="1043"/>
      <c r="G3673" s="1550"/>
    </row>
    <row r="3674" spans="1:7" ht="12.75" customHeight="1">
      <c r="A3674" s="1754">
        <v>41981</v>
      </c>
      <c r="B3674" s="125" t="str">
        <f>TiposLancamentos!B2</f>
        <v>Telefonia</v>
      </c>
      <c r="C3674" s="1040" t="s">
        <v>6924</v>
      </c>
      <c r="D3674" s="1736"/>
      <c r="E3674" s="1043">
        <v>101.58</v>
      </c>
      <c r="F3674" s="1043"/>
      <c r="G3674" s="1550"/>
    </row>
    <row r="3675" spans="1:7" ht="12.75" customHeight="1">
      <c r="A3675" s="1754">
        <v>41982</v>
      </c>
      <c r="B3675" s="125" t="str">
        <f>TiposLancamentos!B19</f>
        <v>Restaurantes</v>
      </c>
      <c r="C3675" s="1040" t="s">
        <v>6793</v>
      </c>
      <c r="D3675" s="1736"/>
      <c r="E3675" s="1043">
        <v>21.5</v>
      </c>
      <c r="F3675" s="1043"/>
      <c r="G3675" s="1550"/>
    </row>
    <row r="3676" spans="1:7" ht="12.75" customHeight="1">
      <c r="A3676" s="1666">
        <v>41983</v>
      </c>
      <c r="B3676" s="817" t="str">
        <f>TiposLancamentos!B8</f>
        <v>Aluguel</v>
      </c>
      <c r="C3676" s="1742" t="s">
        <v>6163</v>
      </c>
      <c r="D3676" s="1735"/>
      <c r="E3676" s="1733">
        <v>1471.26</v>
      </c>
      <c r="F3676" s="1043"/>
      <c r="G3676" s="1550"/>
    </row>
    <row r="3677" spans="1:7" ht="12.75" customHeight="1">
      <c r="A3677" s="1667">
        <v>41983</v>
      </c>
      <c r="B3677" s="816" t="str">
        <f>TiposLancamentos!B12</f>
        <v>IPTU</v>
      </c>
      <c r="C3677" s="1769" t="s">
        <v>6925</v>
      </c>
      <c r="D3677" s="1736"/>
      <c r="E3677" s="1734">
        <v>0</v>
      </c>
      <c r="F3677" s="1043"/>
      <c r="G3677" s="1550"/>
    </row>
    <row r="3678" spans="1:7" ht="12.75" customHeight="1">
      <c r="A3678" s="1750">
        <v>41983</v>
      </c>
      <c r="B3678" s="818" t="str">
        <f>TiposLancamentos!B34</f>
        <v>Seguros</v>
      </c>
      <c r="C3678" s="1743" t="s">
        <v>6926</v>
      </c>
      <c r="D3678" s="1737"/>
      <c r="E3678" s="1668">
        <v>247.84</v>
      </c>
      <c r="F3678" s="1043">
        <f>SUM(E3676:E3678)</f>
        <v>1719.1</v>
      </c>
      <c r="G3678" s="1550"/>
    </row>
    <row r="3679" spans="1:7" ht="12.75" customHeight="1">
      <c r="A3679" s="1754">
        <v>41983</v>
      </c>
      <c r="B3679" s="125" t="str">
        <f>TiposLancamentos!B19</f>
        <v>Restaurantes</v>
      </c>
      <c r="C3679" s="1040" t="s">
        <v>6795</v>
      </c>
      <c r="D3679" s="1736"/>
      <c r="E3679" s="1043">
        <v>8.5</v>
      </c>
      <c r="F3679" s="1043"/>
      <c r="G3679" s="1550"/>
    </row>
    <row r="3680" spans="1:7" ht="12.75" customHeight="1">
      <c r="A3680" s="1754">
        <v>41983</v>
      </c>
      <c r="B3680" s="125" t="str">
        <f>TiposLancamentos!B19</f>
        <v>Restaurantes</v>
      </c>
      <c r="C3680" s="1040" t="s">
        <v>6793</v>
      </c>
      <c r="D3680" s="1736"/>
      <c r="E3680" s="1043">
        <v>21.5</v>
      </c>
      <c r="F3680" s="1043"/>
      <c r="G3680" s="1550"/>
    </row>
    <row r="3681" spans="1:7" ht="12.75" customHeight="1">
      <c r="A3681" s="1754">
        <v>41983</v>
      </c>
      <c r="B3681" s="125" t="str">
        <f>TiposLancamentos!B56</f>
        <v>Farmácia</v>
      </c>
      <c r="C3681" s="1040" t="s">
        <v>6927</v>
      </c>
      <c r="D3681" s="1736"/>
      <c r="E3681" s="1043">
        <v>44.48</v>
      </c>
      <c r="F3681" s="1043"/>
      <c r="G3681" s="1550"/>
    </row>
    <row r="3682" spans="1:7" ht="12.75" customHeight="1">
      <c r="A3682" s="1754">
        <v>41983</v>
      </c>
      <c r="B3682" s="125" t="str">
        <f>TiposLancamentos!B4</f>
        <v>Taxas Bancarias</v>
      </c>
      <c r="C3682" s="1040" t="s">
        <v>6928</v>
      </c>
      <c r="D3682" s="1736"/>
      <c r="E3682" s="1043">
        <v>263.27999999999997</v>
      </c>
      <c r="F3682" s="1043"/>
      <c r="G3682" s="1550"/>
    </row>
    <row r="3683" spans="1:7" ht="12.75" customHeight="1">
      <c r="A3683" s="1666">
        <v>41983</v>
      </c>
      <c r="B3683" s="817" t="str">
        <f>TiposLancamentos!B35</f>
        <v>Tv à Cabo</v>
      </c>
      <c r="C3683" s="1742" t="s">
        <v>5834</v>
      </c>
      <c r="D3683" s="1735"/>
      <c r="E3683" s="1733">
        <v>129.41</v>
      </c>
      <c r="F3683" s="1043"/>
      <c r="G3683" s="1550"/>
    </row>
    <row r="3684" spans="1:7" ht="12.75" customHeight="1">
      <c r="A3684" s="1667">
        <v>41983</v>
      </c>
      <c r="B3684" s="816" t="str">
        <f>TiposLancamentos!B3</f>
        <v>Internet</v>
      </c>
      <c r="C3684" s="1769" t="s">
        <v>5835</v>
      </c>
      <c r="D3684" s="1736"/>
      <c r="E3684" s="1734">
        <v>64.599999999999994</v>
      </c>
      <c r="F3684" s="1043"/>
      <c r="G3684" s="1550"/>
    </row>
    <row r="3685" spans="1:7" ht="12.75" customHeight="1">
      <c r="A3685" s="1750">
        <v>41983</v>
      </c>
      <c r="B3685" s="818" t="str">
        <f>TiposLancamentos!B2</f>
        <v>Telefonia</v>
      </c>
      <c r="C3685" s="1743" t="s">
        <v>5836</v>
      </c>
      <c r="D3685" s="1737"/>
      <c r="E3685" s="1668">
        <v>0</v>
      </c>
      <c r="F3685" s="1043">
        <f>SUM(E3683:E3685)</f>
        <v>194.01</v>
      </c>
      <c r="G3685" s="1550"/>
    </row>
    <row r="3686" spans="1:7" ht="12.75" customHeight="1">
      <c r="A3686" s="1754">
        <v>41983</v>
      </c>
      <c r="B3686" s="125" t="str">
        <f>TiposLancamentos!B16</f>
        <v>Cristiane</v>
      </c>
      <c r="C3686" s="1040" t="s">
        <v>6929</v>
      </c>
      <c r="D3686" s="1736"/>
      <c r="E3686" s="1043">
        <v>240</v>
      </c>
      <c r="F3686" s="1043"/>
      <c r="G3686" s="1550"/>
    </row>
    <row r="3687" spans="1:7" ht="12.75" customHeight="1">
      <c r="A3687" s="1754">
        <v>41978</v>
      </c>
      <c r="B3687" s="125" t="str">
        <f>TiposLancamentos!B55</f>
        <v>Onibus Urbano</v>
      </c>
      <c r="C3687" s="1040" t="s">
        <v>6930</v>
      </c>
      <c r="D3687" s="1736"/>
      <c r="E3687" s="1043">
        <v>315</v>
      </c>
      <c r="F3687" s="1043"/>
      <c r="G3687" s="1550"/>
    </row>
    <row r="3688" spans="1:7" ht="12.75" customHeight="1">
      <c r="A3688" s="1754">
        <v>41984</v>
      </c>
      <c r="B3688" s="125" t="str">
        <f>TiposLancamentos!B19</f>
        <v>Restaurantes</v>
      </c>
      <c r="C3688" s="1040" t="s">
        <v>6931</v>
      </c>
      <c r="D3688" s="1736"/>
      <c r="E3688" s="1043">
        <v>6</v>
      </c>
      <c r="F3688" s="1043"/>
      <c r="G3688" s="1550"/>
    </row>
    <row r="3689" spans="1:7" ht="12.75" customHeight="1">
      <c r="A3689" s="1754">
        <v>41984</v>
      </c>
      <c r="B3689" s="125" t="str">
        <f>TiposLancamentos!B48</f>
        <v>Baralhos e Oráculos</v>
      </c>
      <c r="C3689" s="1040" t="s">
        <v>6932</v>
      </c>
      <c r="D3689" s="1736"/>
      <c r="E3689" s="1043">
        <v>72</v>
      </c>
      <c r="F3689" s="1043"/>
      <c r="G3689" s="1550"/>
    </row>
    <row r="3690" spans="1:7" ht="12.75" customHeight="1">
      <c r="A3690" s="1754">
        <v>41984</v>
      </c>
      <c r="B3690" s="125" t="str">
        <f>TiposLancamentos!B19</f>
        <v>Restaurantes</v>
      </c>
      <c r="C3690" s="1040" t="s">
        <v>6789</v>
      </c>
      <c r="D3690" s="1736"/>
      <c r="E3690" s="1043">
        <v>26</v>
      </c>
      <c r="F3690" s="1043"/>
      <c r="G3690" s="1550"/>
    </row>
    <row r="3691" spans="1:7" ht="13.5" customHeight="1">
      <c r="A3691" s="1754">
        <v>41985</v>
      </c>
      <c r="B3691" s="125" t="str">
        <f>TiposLancamentos!B19</f>
        <v>Restaurantes</v>
      </c>
      <c r="C3691" s="1040" t="s">
        <v>6793</v>
      </c>
      <c r="D3691" s="1736"/>
      <c r="E3691" s="1043">
        <v>21.5</v>
      </c>
      <c r="F3691" s="1043"/>
      <c r="G3691" s="1550"/>
    </row>
    <row r="3692" spans="1:7" ht="12.75" customHeight="1">
      <c r="A3692" s="1754">
        <v>41985</v>
      </c>
      <c r="B3692" s="125" t="str">
        <f>TiposLancamentos!B19</f>
        <v>Restaurantes</v>
      </c>
      <c r="C3692" s="1040" t="s">
        <v>6328</v>
      </c>
      <c r="D3692" s="1736"/>
      <c r="E3692" s="1043">
        <v>55</v>
      </c>
      <c r="F3692" s="1043"/>
      <c r="G3692" s="1550"/>
    </row>
    <row r="3693" spans="1:7" ht="12.75" customHeight="1">
      <c r="A3693" s="1754">
        <v>41986</v>
      </c>
      <c r="B3693" s="125" t="str">
        <f>TiposLancamentos!B5</f>
        <v>Supermercado</v>
      </c>
      <c r="C3693" s="1040" t="s">
        <v>6933</v>
      </c>
      <c r="D3693" s="1736"/>
      <c r="E3693" s="1043">
        <v>24.98</v>
      </c>
      <c r="F3693" s="1043"/>
      <c r="G3693" s="1550"/>
    </row>
    <row r="3694" spans="1:7" ht="12.75" customHeight="1">
      <c r="A3694" s="1754">
        <v>41986</v>
      </c>
      <c r="B3694" s="125" t="str">
        <f>TiposLancamentos!B20</f>
        <v>Saques</v>
      </c>
      <c r="C3694" s="1040" t="s">
        <v>4368</v>
      </c>
      <c r="D3694" s="1736"/>
      <c r="E3694" s="1043">
        <v>50</v>
      </c>
      <c r="F3694" s="1043"/>
      <c r="G3694" s="1550"/>
    </row>
    <row r="3695" spans="1:7" ht="12.75" customHeight="1">
      <c r="A3695" s="1754">
        <v>41986</v>
      </c>
      <c r="B3695" s="125" t="str">
        <f>TiposLancamentos!B19</f>
        <v>Restaurantes</v>
      </c>
      <c r="C3695" s="1040" t="s">
        <v>6934</v>
      </c>
      <c r="D3695" s="1736"/>
      <c r="E3695" s="1043">
        <v>25.3</v>
      </c>
      <c r="F3695" s="1043"/>
      <c r="G3695" s="1550"/>
    </row>
    <row r="3696" spans="1:7" ht="12.75" customHeight="1">
      <c r="A3696" s="1754">
        <v>41987</v>
      </c>
      <c r="B3696" s="125" t="str">
        <f>TiposLancamentos!B19</f>
        <v>Restaurantes</v>
      </c>
      <c r="C3696" s="1040" t="s">
        <v>6811</v>
      </c>
      <c r="D3696" s="1736"/>
      <c r="E3696" s="1043">
        <v>49.43</v>
      </c>
      <c r="F3696" s="1043"/>
      <c r="G3696" s="1550"/>
    </row>
    <row r="3697" spans="1:7" ht="12.75" customHeight="1">
      <c r="A3697" s="1754">
        <v>41987</v>
      </c>
      <c r="B3697" s="125" t="str">
        <f>TiposLancamentos!B5</f>
        <v>Supermercado</v>
      </c>
      <c r="C3697" s="1040" t="s">
        <v>6935</v>
      </c>
      <c r="D3697" s="1736"/>
      <c r="E3697" s="1043">
        <v>58.3</v>
      </c>
      <c r="F3697" s="1043"/>
      <c r="G3697" s="1550"/>
    </row>
    <row r="3698" spans="1:7" ht="12.75" customHeight="1">
      <c r="A3698" s="1666">
        <v>41988</v>
      </c>
      <c r="B3698" s="817" t="str">
        <f>TiposLancamentos!B33</f>
        <v>Pedágios</v>
      </c>
      <c r="C3698" s="1742" t="s">
        <v>5392</v>
      </c>
      <c r="D3698" s="1735"/>
      <c r="E3698" s="1733">
        <v>31.94</v>
      </c>
      <c r="F3698" s="1043"/>
      <c r="G3698" s="1550"/>
    </row>
    <row r="3699" spans="1:7" ht="12.75" customHeight="1">
      <c r="A3699" s="1667">
        <v>41988</v>
      </c>
      <c r="B3699" s="816" t="str">
        <f>TiposLancamentos!B24</f>
        <v>Estacionamentos</v>
      </c>
      <c r="C3699" s="1769" t="s">
        <v>5863</v>
      </c>
      <c r="D3699" s="1736"/>
      <c r="E3699" s="1734">
        <v>46</v>
      </c>
      <c r="F3699" s="1043"/>
      <c r="G3699" s="1550"/>
    </row>
    <row r="3700" spans="1:7" ht="12.75" customHeight="1">
      <c r="A3700" s="1750">
        <v>41988</v>
      </c>
      <c r="B3700" s="818" t="str">
        <f>TiposLancamentos!B24</f>
        <v>Estacionamentos</v>
      </c>
      <c r="C3700" s="1743" t="s">
        <v>6297</v>
      </c>
      <c r="D3700" s="1737"/>
      <c r="E3700" s="1668">
        <v>30</v>
      </c>
      <c r="F3700" s="1043">
        <f>SUM(E3698:E3700)</f>
        <v>107.94</v>
      </c>
      <c r="G3700" s="1550"/>
    </row>
    <row r="3701" spans="1:7" ht="12.75" customHeight="1">
      <c r="A3701" s="1754">
        <v>41988</v>
      </c>
      <c r="B3701" s="125" t="str">
        <f>TiposLancamentos!B19</f>
        <v>Restaurantes</v>
      </c>
      <c r="C3701" s="1040" t="s">
        <v>6793</v>
      </c>
      <c r="D3701" s="1736"/>
      <c r="E3701" s="1043">
        <v>20.5</v>
      </c>
      <c r="F3701" s="1043"/>
      <c r="G3701" s="1550"/>
    </row>
    <row r="3702" spans="1:7" ht="12.75" customHeight="1">
      <c r="A3702" s="1754">
        <v>41989</v>
      </c>
      <c r="B3702" s="125" t="str">
        <f>TiposLancamentos!B19</f>
        <v>Restaurantes</v>
      </c>
      <c r="C3702" s="1040" t="s">
        <v>6795</v>
      </c>
      <c r="D3702" s="1736"/>
      <c r="E3702" s="1043">
        <v>6</v>
      </c>
      <c r="F3702" s="1043"/>
      <c r="G3702" s="1550"/>
    </row>
    <row r="3703" spans="1:7" ht="12.75" customHeight="1">
      <c r="A3703" s="1754">
        <v>41989</v>
      </c>
      <c r="B3703" s="125" t="str">
        <f>TiposLancamentos!B19</f>
        <v>Restaurantes</v>
      </c>
      <c r="C3703" s="1040" t="s">
        <v>6793</v>
      </c>
      <c r="D3703" s="1736"/>
      <c r="E3703" s="1043">
        <v>23.3</v>
      </c>
      <c r="F3703" s="1043"/>
      <c r="G3703" s="1550"/>
    </row>
    <row r="3704" spans="1:7" ht="12.75" customHeight="1">
      <c r="A3704" s="1754">
        <v>41990</v>
      </c>
      <c r="B3704" s="125" t="str">
        <f>TiposLancamentos!B19</f>
        <v>Restaurantes</v>
      </c>
      <c r="C3704" s="1040" t="s">
        <v>6793</v>
      </c>
      <c r="D3704" s="1736"/>
      <c r="E3704" s="1043">
        <v>23.3</v>
      </c>
      <c r="F3704" s="1043"/>
      <c r="G3704" s="1550"/>
    </row>
    <row r="3705" spans="1:7" ht="12.75" customHeight="1">
      <c r="A3705" s="1754">
        <v>41991</v>
      </c>
      <c r="B3705" s="125" t="str">
        <f>TiposLancamentos!B19</f>
        <v>Restaurantes</v>
      </c>
      <c r="C3705" s="1040" t="s">
        <v>6795</v>
      </c>
      <c r="D3705" s="1736"/>
      <c r="E3705" s="1043">
        <v>6</v>
      </c>
      <c r="F3705" s="1043"/>
      <c r="G3705" s="1550"/>
    </row>
    <row r="3706" spans="1:7" ht="12.75" customHeight="1">
      <c r="A3706" s="1754">
        <v>41991</v>
      </c>
      <c r="B3706" s="125" t="str">
        <f>TiposLancamentos!B19</f>
        <v>Restaurantes</v>
      </c>
      <c r="C3706" s="1040" t="s">
        <v>6789</v>
      </c>
      <c r="D3706" s="1736"/>
      <c r="E3706" s="1043">
        <v>20</v>
      </c>
      <c r="F3706" s="1043"/>
      <c r="G3706" s="1550"/>
    </row>
    <row r="3707" spans="1:7" ht="12.75" customHeight="1">
      <c r="A3707" s="1754">
        <v>41991</v>
      </c>
      <c r="B3707" s="125" t="str">
        <f>TiposLancamentos!B64</f>
        <v>Viagens</v>
      </c>
      <c r="C3707" s="1040" t="s">
        <v>6936</v>
      </c>
      <c r="D3707" s="1736"/>
      <c r="E3707" s="1043">
        <v>270</v>
      </c>
      <c r="F3707" s="1043"/>
      <c r="G3707" s="1550"/>
    </row>
    <row r="3708" spans="1:7" ht="12.75" customHeight="1">
      <c r="A3708" s="1754">
        <v>41992</v>
      </c>
      <c r="B3708" s="125" t="str">
        <f>TiposLancamentos!B19</f>
        <v>Restaurantes</v>
      </c>
      <c r="C3708" s="1040" t="s">
        <v>6795</v>
      </c>
      <c r="D3708" s="1736"/>
      <c r="E3708" s="1043">
        <v>10.5</v>
      </c>
      <c r="F3708" s="1043"/>
      <c r="G3708" s="1550"/>
    </row>
    <row r="3709" spans="1:7" ht="12.75" customHeight="1">
      <c r="A3709" s="1754">
        <v>41992</v>
      </c>
      <c r="B3709" s="125" t="str">
        <f>TiposLancamentos!B20</f>
        <v>Saques</v>
      </c>
      <c r="C3709" s="1040" t="s">
        <v>6793</v>
      </c>
      <c r="D3709" s="1736"/>
      <c r="E3709" s="1043">
        <v>22.3</v>
      </c>
      <c r="F3709" s="1043"/>
      <c r="G3709" s="1550"/>
    </row>
    <row r="3710" spans="1:7" ht="12.75" customHeight="1">
      <c r="A3710" s="1754">
        <v>41992</v>
      </c>
      <c r="B3710" s="125" t="str">
        <f>TiposLancamentos!B16</f>
        <v>Cristiane</v>
      </c>
      <c r="C3710" s="1040" t="s">
        <v>6052</v>
      </c>
      <c r="D3710" s="1736"/>
      <c r="E3710" s="1043">
        <v>94.62</v>
      </c>
      <c r="F3710" s="1043"/>
      <c r="G3710" s="1550"/>
    </row>
    <row r="3711" spans="1:7" ht="12.75" customHeight="1">
      <c r="A3711" s="1754">
        <v>41992</v>
      </c>
      <c r="B3711" s="125" t="str">
        <f>TiposLancamentos!B95</f>
        <v>Salarios</v>
      </c>
      <c r="C3711" s="1040" t="s">
        <v>6840</v>
      </c>
      <c r="D3711" s="1736">
        <v>11948</v>
      </c>
      <c r="E3711" s="1043"/>
      <c r="F3711" s="1043"/>
      <c r="G3711" s="1550"/>
    </row>
    <row r="3712" spans="1:7" ht="12.75" customHeight="1">
      <c r="A3712" s="1754">
        <v>41993</v>
      </c>
      <c r="B3712" s="125" t="str">
        <f>TiposLancamentos!B19</f>
        <v>Restaurantes</v>
      </c>
      <c r="C3712" s="1040" t="s">
        <v>6937</v>
      </c>
      <c r="D3712" s="1736"/>
      <c r="E3712" s="1043">
        <v>147.62</v>
      </c>
      <c r="F3712" s="1043"/>
      <c r="G3712" s="1550"/>
    </row>
    <row r="3713" spans="1:7" ht="12.75" customHeight="1">
      <c r="A3713" s="1754">
        <v>41993</v>
      </c>
      <c r="B3713" s="125" t="str">
        <f>TiposLancamentos!B19</f>
        <v>Restaurantes</v>
      </c>
      <c r="C3713" s="1040" t="s">
        <v>6938</v>
      </c>
      <c r="D3713" s="1736"/>
      <c r="E3713" s="1043">
        <v>131.66999999999999</v>
      </c>
      <c r="F3713" s="1043"/>
      <c r="G3713" s="1550"/>
    </row>
    <row r="3714" spans="1:7" ht="12.75" customHeight="1">
      <c r="A3714" s="1754">
        <v>41993</v>
      </c>
      <c r="B3714" s="125" t="str">
        <f>TiposLancamentos!B19</f>
        <v>Restaurantes</v>
      </c>
      <c r="C3714" s="1040" t="s">
        <v>6939</v>
      </c>
      <c r="D3714" s="1736"/>
      <c r="E3714" s="1043">
        <v>34.76</v>
      </c>
      <c r="F3714" s="1043"/>
      <c r="G3714" s="1550"/>
    </row>
    <row r="3715" spans="1:7" ht="12.75" customHeight="1">
      <c r="A3715" s="1754">
        <v>41993</v>
      </c>
      <c r="B3715" s="125" t="str">
        <f>TiposLancamentos!B19</f>
        <v>Restaurantes</v>
      </c>
      <c r="C3715" s="1040" t="s">
        <v>6940</v>
      </c>
      <c r="D3715" s="1736"/>
      <c r="E3715" s="1043">
        <v>97.9</v>
      </c>
      <c r="F3715" s="1043"/>
      <c r="G3715" s="1550"/>
    </row>
    <row r="3716" spans="1:7" ht="12.75" customHeight="1">
      <c r="A3716" s="1754">
        <v>41994</v>
      </c>
      <c r="B3716" s="125" t="str">
        <f>TiposLancamentos!B16</f>
        <v>Cristiane</v>
      </c>
      <c r="C3716" s="1040" t="s">
        <v>6941</v>
      </c>
      <c r="D3716" s="1736"/>
      <c r="E3716" s="1043">
        <v>85</v>
      </c>
      <c r="F3716" s="1043"/>
      <c r="G3716" s="1550"/>
    </row>
    <row r="3717" spans="1:7" ht="12.75" customHeight="1">
      <c r="A3717" s="1754">
        <v>41994</v>
      </c>
      <c r="B3717" s="125" t="str">
        <f>TiposLancamentos!B19</f>
        <v>Restaurantes</v>
      </c>
      <c r="C3717" s="1040" t="s">
        <v>6942</v>
      </c>
      <c r="D3717" s="1736"/>
      <c r="E3717" s="1043">
        <v>131.78</v>
      </c>
      <c r="F3717" s="1043"/>
      <c r="G3717" s="1550"/>
    </row>
    <row r="3718" spans="1:7" ht="12.75" customHeight="1">
      <c r="A3718" s="1754">
        <v>41994</v>
      </c>
      <c r="B3718" s="125" t="str">
        <f>TiposLancamentos!B19</f>
        <v>Restaurantes</v>
      </c>
      <c r="C3718" s="1040" t="s">
        <v>6943</v>
      </c>
      <c r="D3718" s="1736"/>
      <c r="E3718" s="1043">
        <v>18</v>
      </c>
      <c r="F3718" s="1043"/>
      <c r="G3718" s="1550"/>
    </row>
    <row r="3719" spans="1:7" ht="12.75" customHeight="1">
      <c r="A3719" s="1754">
        <v>41994</v>
      </c>
      <c r="B3719" s="125" t="str">
        <f>TiposLancamentos!B22</f>
        <v>Combustivel</v>
      </c>
      <c r="C3719" s="1040" t="s">
        <v>6944</v>
      </c>
      <c r="D3719" s="1736"/>
      <c r="E3719" s="1043">
        <v>80.010000000000005</v>
      </c>
      <c r="F3719" s="1043"/>
      <c r="G3719" s="1550"/>
    </row>
    <row r="3720" spans="1:7" ht="12.75" customHeight="1">
      <c r="A3720" s="1754">
        <v>41995</v>
      </c>
      <c r="B3720" s="125" t="str">
        <f>TiposLancamentos!B88</f>
        <v>Ford Ecosport XLT</v>
      </c>
      <c r="C3720" s="1040" t="s">
        <v>6945</v>
      </c>
      <c r="D3720" s="1736"/>
      <c r="E3720" s="1043">
        <v>878.64</v>
      </c>
      <c r="F3720" s="1043"/>
      <c r="G3720" s="1550"/>
    </row>
    <row r="3721" spans="1:7" ht="12.75" customHeight="1">
      <c r="A3721" s="1754">
        <v>41995</v>
      </c>
      <c r="B3721" s="125" t="str">
        <f>TiposLancamentos!B105</f>
        <v>Transf. Bco</v>
      </c>
      <c r="C3721" s="1040" t="s">
        <v>6946</v>
      </c>
      <c r="D3721" s="1736"/>
      <c r="E3721" s="1043">
        <v>3866.66</v>
      </c>
      <c r="F3721" s="1043"/>
      <c r="G3721" s="1550"/>
    </row>
    <row r="3722" spans="1:7" ht="12.75" customHeight="1">
      <c r="A3722" s="1754">
        <v>41995</v>
      </c>
      <c r="B3722" s="125" t="str">
        <f>TiposLancamentos!B19</f>
        <v>Restaurantes</v>
      </c>
      <c r="C3722" s="1040" t="s">
        <v>6809</v>
      </c>
      <c r="D3722" s="1736"/>
      <c r="E3722" s="1043">
        <v>20</v>
      </c>
      <c r="F3722" s="1043"/>
      <c r="G3722" s="1550"/>
    </row>
    <row r="3723" spans="1:7" ht="12.75" customHeight="1">
      <c r="A3723" s="1754">
        <v>41995</v>
      </c>
      <c r="B3723" s="125" t="str">
        <f>TiposLancamentos!B20</f>
        <v>Saques</v>
      </c>
      <c r="C3723" s="1040" t="s">
        <v>3489</v>
      </c>
      <c r="D3723" s="1736"/>
      <c r="E3723" s="1043">
        <v>40</v>
      </c>
      <c r="F3723" s="1043"/>
      <c r="G3723" s="1550"/>
    </row>
    <row r="3724" spans="1:7" ht="12.75" customHeight="1">
      <c r="A3724" s="1754">
        <v>41995</v>
      </c>
      <c r="B3724" s="125" t="str">
        <f>PoupanCaItau!B184</f>
        <v>Itens Pessoais</v>
      </c>
      <c r="C3724" s="1040" t="s">
        <v>6947</v>
      </c>
      <c r="D3724" s="1736"/>
      <c r="E3724" s="1043">
        <v>1000</v>
      </c>
      <c r="F3724" s="1043"/>
      <c r="G3724" s="1550"/>
    </row>
    <row r="3725" spans="1:7" ht="12.75" customHeight="1">
      <c r="A3725" s="1754">
        <v>41996</v>
      </c>
      <c r="B3725" s="125" t="str">
        <f>TiposLancamentos!B19</f>
        <v>Restaurantes</v>
      </c>
      <c r="C3725" s="1040" t="s">
        <v>6789</v>
      </c>
      <c r="D3725" s="1736"/>
      <c r="E3725" s="1043">
        <v>24</v>
      </c>
      <c r="F3725" s="1043"/>
      <c r="G3725" s="1550"/>
    </row>
    <row r="3726" spans="1:7" ht="12.75" customHeight="1">
      <c r="A3726" s="1754">
        <v>41996</v>
      </c>
      <c r="B3726" s="125" t="str">
        <f>TiposLancamentos!B72</f>
        <v>Presentes</v>
      </c>
      <c r="C3726" s="1040" t="s">
        <v>6948</v>
      </c>
      <c r="D3726" s="1736"/>
      <c r="E3726" s="1043">
        <v>270.98</v>
      </c>
      <c r="F3726" s="1043"/>
      <c r="G3726" s="1550"/>
    </row>
    <row r="3727" spans="1:7" ht="12.75" customHeight="1">
      <c r="A3727" s="1754">
        <v>41997</v>
      </c>
      <c r="B3727" s="125" t="str">
        <f>TiposLancamentos!B16</f>
        <v>Cristiane</v>
      </c>
      <c r="C3727" s="1040" t="s">
        <v>5216</v>
      </c>
      <c r="D3727" s="1736"/>
      <c r="E3727" s="1043">
        <v>149.80000000000001</v>
      </c>
      <c r="F3727" s="1043"/>
      <c r="G3727" s="1550"/>
    </row>
    <row r="3728" spans="1:7" ht="12.75" customHeight="1">
      <c r="A3728" s="1754">
        <v>41997</v>
      </c>
      <c r="B3728" s="125" t="str">
        <f>TiposLancamentos!B5</f>
        <v>Supermercado</v>
      </c>
      <c r="C3728" s="1040" t="s">
        <v>6949</v>
      </c>
      <c r="D3728" s="1736"/>
      <c r="E3728" s="1043">
        <v>22.49</v>
      </c>
      <c r="F3728" s="1043"/>
      <c r="G3728" s="1550"/>
    </row>
    <row r="3729" spans="1:7" ht="12.75" customHeight="1">
      <c r="A3729" s="1754">
        <v>41997</v>
      </c>
      <c r="B3729" s="125" t="str">
        <f>TiposLancamentos!B19</f>
        <v>Restaurantes</v>
      </c>
      <c r="C3729" s="1040" t="s">
        <v>6950</v>
      </c>
      <c r="D3729" s="1736"/>
      <c r="E3729" s="1043">
        <v>16.88</v>
      </c>
      <c r="F3729" s="1043"/>
      <c r="G3729" s="1550"/>
    </row>
    <row r="3730" spans="1:7" ht="12.75" customHeight="1">
      <c r="A3730" s="1754">
        <v>41999</v>
      </c>
      <c r="B3730" s="125" t="str">
        <f>TiposLancamentos!B34</f>
        <v>Seguros</v>
      </c>
      <c r="C3730" s="1040" t="s">
        <v>6951</v>
      </c>
      <c r="D3730" s="1736"/>
      <c r="E3730" s="1043">
        <v>63.9</v>
      </c>
      <c r="F3730" s="1043"/>
      <c r="G3730" s="1550"/>
    </row>
    <row r="3731" spans="1:7" ht="12.75" customHeight="1">
      <c r="A3731" s="1754">
        <v>41999</v>
      </c>
      <c r="B3731" s="125" t="str">
        <f>TiposLancamentos!B6</f>
        <v>Energia Eletrica</v>
      </c>
      <c r="C3731" s="1040" t="s">
        <v>5030</v>
      </c>
      <c r="D3731" s="1736"/>
      <c r="E3731" s="1043">
        <v>136</v>
      </c>
      <c r="F3731" s="1043"/>
      <c r="G3731" s="1550"/>
    </row>
    <row r="3732" spans="1:7" ht="12.75" customHeight="1">
      <c r="A3732" s="1754">
        <v>41999</v>
      </c>
      <c r="B3732" s="125" t="str">
        <f>TiposLancamentos!B19</f>
        <v>Restaurantes</v>
      </c>
      <c r="C3732" s="1040" t="s">
        <v>6952</v>
      </c>
      <c r="D3732" s="1736"/>
      <c r="E3732" s="1043">
        <v>102.08</v>
      </c>
      <c r="F3732" s="1043"/>
      <c r="G3732" s="1550"/>
    </row>
    <row r="3733" spans="1:7" ht="12.75" customHeight="1">
      <c r="A3733" s="1754">
        <v>41999</v>
      </c>
      <c r="B3733" s="125" t="str">
        <f>TiposLancamentos!B72</f>
        <v>Presentes</v>
      </c>
      <c r="C3733" s="1040" t="s">
        <v>6953</v>
      </c>
      <c r="D3733" s="1736"/>
      <c r="E3733" s="1043">
        <v>320</v>
      </c>
      <c r="F3733" s="1043"/>
      <c r="G3733" s="1550"/>
    </row>
    <row r="3734" spans="1:7" ht="12.75" customHeight="1">
      <c r="A3734" s="1754">
        <v>41999</v>
      </c>
      <c r="B3734" s="125" t="str">
        <f>TiposLancamentos!B16</f>
        <v>Cristiane</v>
      </c>
      <c r="C3734" s="1040" t="s">
        <v>6954</v>
      </c>
      <c r="D3734" s="1736"/>
      <c r="E3734" s="1043">
        <v>45</v>
      </c>
      <c r="F3734" s="1043"/>
      <c r="G3734" s="1550"/>
    </row>
    <row r="3735" spans="1:7" ht="12.75" customHeight="1">
      <c r="A3735" s="1754">
        <v>41999</v>
      </c>
      <c r="B3735" s="125" t="str">
        <f>TiposLancamentos!B29</f>
        <v>Mangá</v>
      </c>
      <c r="C3735" s="1040" t="s">
        <v>6955</v>
      </c>
      <c r="D3735" s="1736"/>
      <c r="E3735" s="1043">
        <v>11.9</v>
      </c>
      <c r="F3735" s="1043"/>
      <c r="G3735" s="1550"/>
    </row>
    <row r="3736" spans="1:7" ht="12.75" customHeight="1">
      <c r="A3736" s="1754">
        <v>41999</v>
      </c>
      <c r="B3736" s="125" t="str">
        <f>TiposLancamentos!B24</f>
        <v>Estacionamentos</v>
      </c>
      <c r="C3736" s="1040" t="s">
        <v>6956</v>
      </c>
      <c r="D3736" s="1736"/>
      <c r="E3736" s="1043">
        <v>20</v>
      </c>
      <c r="F3736" s="1043"/>
      <c r="G3736" s="1550"/>
    </row>
    <row r="3737" spans="1:7" ht="12.75" customHeight="1">
      <c r="A3737" s="1754">
        <v>41999</v>
      </c>
      <c r="B3737" s="125" t="str">
        <f>TiposLancamentos!B5</f>
        <v>Supermercado</v>
      </c>
      <c r="C3737" s="1040" t="s">
        <v>6234</v>
      </c>
      <c r="D3737" s="1736"/>
      <c r="E3737" s="1043">
        <v>66.959999999999994</v>
      </c>
      <c r="F3737" s="1043"/>
      <c r="G3737" s="1550"/>
    </row>
    <row r="3738" spans="1:7" ht="12.75" customHeight="1">
      <c r="A3738" s="1754">
        <v>42000</v>
      </c>
      <c r="B3738" s="125" t="str">
        <f>TiposLancamentos!B16</f>
        <v>Cristiane</v>
      </c>
      <c r="C3738" s="1040" t="s">
        <v>6957</v>
      </c>
      <c r="D3738" s="1736"/>
      <c r="E3738" s="1043">
        <v>102.4</v>
      </c>
      <c r="F3738" s="1043"/>
      <c r="G3738" s="1550"/>
    </row>
    <row r="3739" spans="1:7" ht="12.75" customHeight="1">
      <c r="A3739" s="1754">
        <v>42000</v>
      </c>
      <c r="B3739" s="125" t="str">
        <f>TiposLancamentos!B24</f>
        <v>Estacionamentos</v>
      </c>
      <c r="C3739" s="1040" t="s">
        <v>3398</v>
      </c>
      <c r="D3739" s="1736"/>
      <c r="E3739" s="1043">
        <v>7</v>
      </c>
      <c r="F3739" s="1043"/>
      <c r="G3739" s="1550"/>
    </row>
    <row r="3740" spans="1:7" ht="12.75" customHeight="1">
      <c r="A3740" s="1754">
        <v>42000</v>
      </c>
      <c r="B3740" s="125" t="str">
        <f>TiposLancamentos!B19</f>
        <v>Restaurantes</v>
      </c>
      <c r="C3740" s="1040" t="s">
        <v>6958</v>
      </c>
      <c r="D3740" s="1736"/>
      <c r="E3740" s="1043">
        <v>79.2</v>
      </c>
      <c r="F3740" s="1043"/>
      <c r="G3740" s="1550"/>
    </row>
    <row r="3741" spans="1:7" ht="12.75" customHeight="1">
      <c r="A3741" s="1754">
        <v>42000</v>
      </c>
      <c r="B3741" s="125" t="str">
        <f>TiposLancamentos!B19</f>
        <v>Restaurantes</v>
      </c>
      <c r="C3741" s="1040" t="s">
        <v>6328</v>
      </c>
      <c r="D3741" s="1736"/>
      <c r="E3741" s="1043">
        <v>55</v>
      </c>
      <c r="F3741" s="1043"/>
      <c r="G3741" s="1550"/>
    </row>
    <row r="3742" spans="1:7" ht="12.75" customHeight="1">
      <c r="A3742" s="1754">
        <v>42001</v>
      </c>
      <c r="B3742" s="125" t="str">
        <f>TiposLancamentos!B19</f>
        <v>Restaurantes</v>
      </c>
      <c r="C3742" s="1040" t="s">
        <v>6959</v>
      </c>
      <c r="D3742" s="1736"/>
      <c r="E3742" s="1043">
        <v>91.3</v>
      </c>
      <c r="F3742" s="1043"/>
      <c r="G3742" s="1550"/>
    </row>
    <row r="3743" spans="1:7" ht="12.75" customHeight="1">
      <c r="A3743" s="1666">
        <v>42001</v>
      </c>
      <c r="B3743" s="817" t="str">
        <f>TiposLancamentos!B16</f>
        <v>Cristiane</v>
      </c>
      <c r="C3743" s="1742" t="s">
        <v>6960</v>
      </c>
      <c r="D3743" s="1735"/>
      <c r="E3743" s="1733">
        <v>40</v>
      </c>
      <c r="F3743" s="1043"/>
      <c r="G3743" s="1550"/>
    </row>
    <row r="3744" spans="1:7" ht="12.75" customHeight="1">
      <c r="A3744" s="1750">
        <v>42001</v>
      </c>
      <c r="B3744" s="818" t="str">
        <f>TiposLancamentos!B56</f>
        <v>Farmácia</v>
      </c>
      <c r="C3744" s="1743" t="s">
        <v>6961</v>
      </c>
      <c r="D3744" s="1737"/>
      <c r="E3744" s="1668">
        <f>F3744-E3743</f>
        <v>38.31</v>
      </c>
      <c r="F3744" s="1043">
        <v>78.31</v>
      </c>
      <c r="G3744" s="1550"/>
    </row>
    <row r="3745" spans="1:7" ht="12.75" customHeight="1">
      <c r="A3745" s="1754">
        <v>42001</v>
      </c>
      <c r="B3745" s="125" t="str">
        <f>TiposLancamentos!B56</f>
        <v>Farmácia</v>
      </c>
      <c r="C3745" s="1040" t="s">
        <v>6118</v>
      </c>
      <c r="D3745" s="1736"/>
      <c r="E3745" s="1043">
        <v>61.94</v>
      </c>
      <c r="F3745" s="1043"/>
      <c r="G3745" s="1550"/>
    </row>
    <row r="3746" spans="1:7" ht="12.75" customHeight="1">
      <c r="A3746" s="1754">
        <v>42002</v>
      </c>
      <c r="B3746" s="125" t="str">
        <f>TiposLancamentos!B19</f>
        <v>Restaurantes</v>
      </c>
      <c r="C3746" s="1040" t="s">
        <v>6793</v>
      </c>
      <c r="D3746" s="1736"/>
      <c r="E3746" s="1043">
        <v>21.8</v>
      </c>
      <c r="F3746" s="1043"/>
      <c r="G3746" s="1550"/>
    </row>
    <row r="3747" spans="1:7" ht="12.75" customHeight="1">
      <c r="A3747" s="1754">
        <v>42003</v>
      </c>
      <c r="B3747" s="125" t="str">
        <f>TiposLancamentos!B72</f>
        <v>Presentes</v>
      </c>
      <c r="C3747" s="1040" t="s">
        <v>6962</v>
      </c>
      <c r="D3747" s="1736"/>
      <c r="E3747" s="1043">
        <v>39.9</v>
      </c>
      <c r="F3747" s="1043"/>
      <c r="G3747" s="1550"/>
    </row>
    <row r="3748" spans="1:7" ht="12.75" customHeight="1">
      <c r="A3748" s="1754">
        <v>42003</v>
      </c>
      <c r="B3748" s="125" t="str">
        <f>TiposLancamentos!B19</f>
        <v>Restaurantes</v>
      </c>
      <c r="C3748" s="1040" t="s">
        <v>6793</v>
      </c>
      <c r="D3748" s="1736"/>
      <c r="E3748" s="1043">
        <v>20.5</v>
      </c>
      <c r="F3748" s="1043"/>
      <c r="G3748" s="1550"/>
    </row>
    <row r="3749" spans="1:7" ht="12.75" customHeight="1">
      <c r="A3749" s="1754">
        <v>42003</v>
      </c>
      <c r="B3749" s="125" t="str">
        <f>TiposLancamentos!B5</f>
        <v>Supermercado</v>
      </c>
      <c r="C3749" s="1040" t="s">
        <v>6963</v>
      </c>
      <c r="D3749" s="1736"/>
      <c r="E3749" s="1043">
        <v>211.46</v>
      </c>
      <c r="F3749" s="1043"/>
      <c r="G3749" s="1550"/>
    </row>
    <row r="3750" spans="1:7" ht="12.75" customHeight="1" thickBot="1">
      <c r="A3750" s="1754">
        <v>42004</v>
      </c>
      <c r="B3750" s="125" t="str">
        <f>TiposLancamentos!B19</f>
        <v>Restaurantes</v>
      </c>
      <c r="C3750" s="1040" t="s">
        <v>6964</v>
      </c>
      <c r="D3750" s="1736"/>
      <c r="E3750" s="1043">
        <v>136.84</v>
      </c>
      <c r="F3750" s="1043"/>
      <c r="G3750" s="1550"/>
    </row>
    <row r="3751" spans="1:7" ht="12.75" customHeight="1">
      <c r="A3751" s="1834"/>
      <c r="B3751" s="977"/>
      <c r="C3751" s="1854" t="s">
        <v>6965</v>
      </c>
      <c r="D3751" s="1823"/>
      <c r="E3751" s="1821"/>
      <c r="F3751" s="1821"/>
      <c r="G3751" s="1895"/>
    </row>
    <row r="3752" spans="1:7" ht="12.75" customHeight="1">
      <c r="A3752" s="1754">
        <v>42006</v>
      </c>
      <c r="B3752" s="125" t="str">
        <f>TiposLancamentos!B15</f>
        <v>Cartões de Crédito</v>
      </c>
      <c r="C3752" s="1040" t="s">
        <v>6966</v>
      </c>
      <c r="D3752" s="1736"/>
      <c r="E3752" s="1043">
        <v>1647.05</v>
      </c>
      <c r="F3752" s="1043"/>
      <c r="G3752" s="1550"/>
    </row>
    <row r="3753" spans="1:7" ht="12.75" customHeight="1">
      <c r="A3753" s="1754">
        <v>42006</v>
      </c>
      <c r="B3753" s="125" t="str">
        <f>TiposLancamentos!B15</f>
        <v>Cartões de Crédito</v>
      </c>
      <c r="C3753" s="1040" t="s">
        <v>6967</v>
      </c>
      <c r="D3753" s="1736"/>
      <c r="E3753" s="1043">
        <v>809.69</v>
      </c>
      <c r="F3753" s="1043"/>
      <c r="G3753" s="1550"/>
    </row>
    <row r="3754" spans="1:7" ht="12.75" customHeight="1">
      <c r="A3754" s="1754">
        <v>42006</v>
      </c>
      <c r="B3754" s="125" t="str">
        <f>TiposLancamentos!B15</f>
        <v>Cartões de Crédito</v>
      </c>
      <c r="C3754" s="1040" t="s">
        <v>6968</v>
      </c>
      <c r="D3754" s="1736"/>
      <c r="E3754" s="1043">
        <v>695.57</v>
      </c>
      <c r="F3754" s="1043"/>
      <c r="G3754" s="1550"/>
    </row>
    <row r="3755" spans="1:7" ht="12.75" customHeight="1">
      <c r="A3755" s="1754">
        <v>42006</v>
      </c>
      <c r="B3755" s="125" t="str">
        <f>TiposLancamentos!B19</f>
        <v>Restaurantes</v>
      </c>
      <c r="C3755" s="1040" t="s">
        <v>6969</v>
      </c>
      <c r="D3755" s="1736"/>
      <c r="E3755" s="1043">
        <v>45.8</v>
      </c>
      <c r="F3755" s="1043"/>
      <c r="G3755" s="1550"/>
    </row>
    <row r="3756" spans="1:7" ht="12.75" customHeight="1">
      <c r="A3756" s="1754">
        <v>42006</v>
      </c>
      <c r="B3756" s="125" t="str">
        <f>TiposLancamentos!B16</f>
        <v>Cristiane</v>
      </c>
      <c r="C3756" s="1040" t="s">
        <v>6970</v>
      </c>
      <c r="D3756" s="1736"/>
      <c r="E3756" s="1043">
        <v>99.9</v>
      </c>
      <c r="F3756" s="1043"/>
      <c r="G3756" s="1550"/>
    </row>
    <row r="3757" spans="1:7" ht="12.75" customHeight="1">
      <c r="A3757" s="1754">
        <v>42006</v>
      </c>
      <c r="B3757" s="125" t="str">
        <f>TiposLancamentos!B13</f>
        <v>Moradia</v>
      </c>
      <c r="C3757" s="1040" t="s">
        <v>6971</v>
      </c>
      <c r="D3757" s="1736"/>
      <c r="E3757" s="1043">
        <v>48.4</v>
      </c>
      <c r="F3757" s="1043"/>
      <c r="G3757" s="1550"/>
    </row>
    <row r="3758" spans="1:7" ht="12.75" customHeight="1">
      <c r="A3758" s="1754">
        <v>42006</v>
      </c>
      <c r="B3758" s="125" t="str">
        <f>TiposLancamentos!B19</f>
        <v>Restaurantes</v>
      </c>
      <c r="C3758" s="1040" t="s">
        <v>6972</v>
      </c>
      <c r="D3758" s="1736"/>
      <c r="E3758" s="1043">
        <v>10.5</v>
      </c>
      <c r="F3758" s="1043"/>
      <c r="G3758" s="1550"/>
    </row>
    <row r="3759" spans="1:7" ht="12.75" customHeight="1">
      <c r="A3759" s="1754">
        <v>42006</v>
      </c>
      <c r="B3759" s="125" t="str">
        <f>TiposLancamentos!B62</f>
        <v>Papelaria</v>
      </c>
      <c r="C3759" s="1040" t="s">
        <v>6973</v>
      </c>
      <c r="D3759" s="1736"/>
      <c r="E3759" s="1043">
        <v>34.700000000000003</v>
      </c>
      <c r="F3759" s="1043"/>
      <c r="G3759" s="1550"/>
    </row>
    <row r="3760" spans="1:7" ht="12.75" customHeight="1">
      <c r="A3760" s="1754">
        <v>42006</v>
      </c>
      <c r="B3760" s="125" t="str">
        <f>TiposLancamentos!B4</f>
        <v>Taxas Bancarias</v>
      </c>
      <c r="C3760" s="1040" t="s">
        <v>6910</v>
      </c>
      <c r="D3760" s="1736"/>
      <c r="E3760" s="1043">
        <v>53.08</v>
      </c>
      <c r="F3760" s="1043"/>
      <c r="G3760" s="1550"/>
    </row>
    <row r="3761" spans="1:7" ht="12.75" customHeight="1">
      <c r="A3761" s="1754">
        <v>42007</v>
      </c>
      <c r="B3761" s="125" t="str">
        <f>TiposLancamentos!B19</f>
        <v>Restaurantes</v>
      </c>
      <c r="C3761" s="1040" t="s">
        <v>6974</v>
      </c>
      <c r="D3761" s="1736"/>
      <c r="E3761" s="1043">
        <v>32.5</v>
      </c>
      <c r="F3761" s="1043"/>
      <c r="G3761" s="1550"/>
    </row>
    <row r="3762" spans="1:7" ht="12.75" customHeight="1">
      <c r="A3762" s="1754">
        <v>42007</v>
      </c>
      <c r="B3762" s="125" t="str">
        <f>TiposLancamentos!B5</f>
        <v>Supermercado</v>
      </c>
      <c r="C3762" s="1040" t="s">
        <v>6975</v>
      </c>
      <c r="D3762" s="1736"/>
      <c r="E3762" s="1043">
        <v>110.87</v>
      </c>
      <c r="F3762" s="1043"/>
      <c r="G3762" s="1550"/>
    </row>
    <row r="3763" spans="1:7" ht="12.75" customHeight="1">
      <c r="A3763" s="1754">
        <v>42008</v>
      </c>
      <c r="B3763" s="125" t="str">
        <f>TiposLancamentos!B3</f>
        <v>Internet</v>
      </c>
      <c r="C3763" s="1040" t="s">
        <v>6913</v>
      </c>
      <c r="D3763" s="1736"/>
      <c r="E3763" s="1043">
        <v>77.78</v>
      </c>
      <c r="F3763" s="1043"/>
      <c r="G3763" s="1550"/>
    </row>
    <row r="3764" spans="1:7" ht="12.75" customHeight="1">
      <c r="A3764" s="1754">
        <v>42008</v>
      </c>
      <c r="B3764" s="125" t="str">
        <f>TiposLancamentos!B5</f>
        <v>Supermercado</v>
      </c>
      <c r="C3764" s="1040" t="s">
        <v>6478</v>
      </c>
      <c r="D3764" s="1736"/>
      <c r="E3764" s="1043">
        <v>16.78</v>
      </c>
      <c r="F3764" s="1043"/>
      <c r="G3764" s="1550"/>
    </row>
    <row r="3765" spans="1:7" ht="12.75" customHeight="1">
      <c r="A3765" s="1754">
        <v>42009</v>
      </c>
      <c r="B3765" s="125" t="str">
        <f>TiposLancamentos!B19</f>
        <v>Restaurantes</v>
      </c>
      <c r="C3765" s="1040" t="s">
        <v>6793</v>
      </c>
      <c r="D3765" s="1736"/>
      <c r="E3765" s="1043">
        <v>21.5</v>
      </c>
      <c r="F3765" s="1043"/>
      <c r="G3765" s="1550"/>
    </row>
    <row r="3766" spans="1:7" ht="12.75" customHeight="1">
      <c r="A3766" s="1754">
        <v>42009</v>
      </c>
      <c r="B3766" s="125" t="str">
        <f>TiposLancamentos!B20</f>
        <v>Saques</v>
      </c>
      <c r="C3766" s="1040" t="s">
        <v>3604</v>
      </c>
      <c r="D3766" s="1736"/>
      <c r="E3766" s="1043">
        <v>30</v>
      </c>
      <c r="F3766" s="1043"/>
      <c r="G3766" s="1550"/>
    </row>
    <row r="3767" spans="1:7" ht="12.75" customHeight="1">
      <c r="A3767" s="1754">
        <v>42009</v>
      </c>
      <c r="B3767" s="125" t="str">
        <f>TiposLancamentos!B4</f>
        <v>Taxas Bancarias</v>
      </c>
      <c r="C3767" s="1040" t="s">
        <v>6976</v>
      </c>
      <c r="D3767" s="1736"/>
      <c r="E3767" s="1043">
        <v>59</v>
      </c>
      <c r="F3767" s="1043"/>
      <c r="G3767" s="1550"/>
    </row>
    <row r="3768" spans="1:7" ht="12.75" customHeight="1">
      <c r="A3768" s="1754">
        <v>42010</v>
      </c>
      <c r="B3768" s="125" t="str">
        <f>TiposLancamentos!B9</f>
        <v>Condominio</v>
      </c>
      <c r="C3768" s="1040" t="s">
        <v>5925</v>
      </c>
      <c r="D3768" s="1736"/>
      <c r="E3768" s="1043">
        <v>874.8</v>
      </c>
      <c r="F3768" s="1043"/>
      <c r="G3768" s="1550"/>
    </row>
    <row r="3769" spans="1:7" ht="12.75" customHeight="1">
      <c r="A3769" s="1754">
        <v>42010</v>
      </c>
      <c r="B3769" s="125" t="str">
        <f>TiposLancamentos!B19</f>
        <v>Restaurantes</v>
      </c>
      <c r="C3769" s="1040" t="s">
        <v>6793</v>
      </c>
      <c r="D3769" s="1736"/>
      <c r="E3769" s="1043">
        <v>22.3</v>
      </c>
      <c r="F3769" s="1043"/>
      <c r="G3769" s="1550"/>
    </row>
    <row r="3770" spans="1:7" ht="12.75" customHeight="1">
      <c r="A3770" s="1754">
        <v>42011</v>
      </c>
      <c r="B3770" s="125" t="str">
        <f>TiposLancamentos!B19</f>
        <v>Restaurantes</v>
      </c>
      <c r="C3770" s="1040" t="s">
        <v>6795</v>
      </c>
      <c r="D3770" s="1736"/>
      <c r="E3770" s="1043">
        <v>6</v>
      </c>
      <c r="F3770" s="1043"/>
      <c r="G3770" s="1550"/>
    </row>
    <row r="3771" spans="1:7" ht="12.75" customHeight="1">
      <c r="A3771" s="1754">
        <v>42011</v>
      </c>
      <c r="B3771" s="125" t="str">
        <f>TiposLancamentos!B2</f>
        <v>Telefonia</v>
      </c>
      <c r="C3771" s="1040" t="s">
        <v>4895</v>
      </c>
      <c r="D3771" s="1736"/>
      <c r="E3771" s="1043">
        <v>95.55</v>
      </c>
      <c r="F3771" s="1043"/>
      <c r="G3771" s="1550"/>
    </row>
    <row r="3772" spans="1:7" ht="12.75" customHeight="1">
      <c r="A3772" s="1754">
        <v>42011</v>
      </c>
      <c r="B3772" s="125" t="str">
        <f>TiposLancamentos!B19</f>
        <v>Restaurantes</v>
      </c>
      <c r="C3772" s="1040" t="s">
        <v>6793</v>
      </c>
      <c r="D3772" s="1736"/>
      <c r="E3772" s="1043">
        <v>20.5</v>
      </c>
      <c r="F3772" s="1043"/>
      <c r="G3772" s="1550"/>
    </row>
    <row r="3773" spans="1:7" ht="12.75" customHeight="1">
      <c r="A3773" s="1754">
        <v>42012</v>
      </c>
      <c r="B3773" s="125" t="str">
        <f>TiposLancamentos!B19</f>
        <v>Restaurantes</v>
      </c>
      <c r="C3773" s="1040" t="s">
        <v>6793</v>
      </c>
      <c r="D3773" s="1736"/>
      <c r="E3773" s="1043">
        <v>20.5</v>
      </c>
      <c r="F3773" s="1043"/>
      <c r="G3773" s="1550"/>
    </row>
    <row r="3774" spans="1:7" ht="12.75" customHeight="1">
      <c r="A3774" s="1754">
        <v>42013</v>
      </c>
      <c r="B3774" s="125" t="str">
        <f>TiposLancamentos!B19</f>
        <v>Restaurantes</v>
      </c>
      <c r="C3774" s="1040" t="s">
        <v>6795</v>
      </c>
      <c r="D3774" s="1736"/>
      <c r="E3774" s="1043">
        <v>10.5</v>
      </c>
      <c r="F3774" s="1043"/>
      <c r="G3774" s="1550"/>
    </row>
    <row r="3775" spans="1:7" ht="12.75" customHeight="1">
      <c r="A3775" s="1754">
        <v>42013</v>
      </c>
      <c r="B3775" s="125" t="str">
        <f>TiposLancamentos!B19</f>
        <v>Restaurantes</v>
      </c>
      <c r="C3775" s="1040" t="s">
        <v>6328</v>
      </c>
      <c r="D3775" s="1736"/>
      <c r="E3775" s="1043">
        <v>58.5</v>
      </c>
      <c r="F3775" s="1043"/>
      <c r="G3775" s="1550"/>
    </row>
    <row r="3776" spans="1:7" ht="12.75" customHeight="1">
      <c r="A3776" s="1754">
        <v>42014</v>
      </c>
      <c r="B3776" s="125" t="str">
        <f>TiposLancamentos!B19</f>
        <v>Restaurantes</v>
      </c>
      <c r="C3776" s="1040" t="s">
        <v>6977</v>
      </c>
      <c r="D3776" s="1736"/>
      <c r="E3776" s="1043">
        <v>152</v>
      </c>
      <c r="F3776" s="1043"/>
      <c r="G3776" s="1550"/>
    </row>
    <row r="3777" spans="1:7" ht="12.75" customHeight="1">
      <c r="A3777" s="1754">
        <v>42014</v>
      </c>
      <c r="B3777" s="125" t="str">
        <f>TiposLancamentos!B5</f>
        <v>Supermercado</v>
      </c>
      <c r="C3777" s="1040" t="s">
        <v>6234</v>
      </c>
      <c r="D3777" s="1736"/>
      <c r="E3777" s="1043">
        <v>93.79</v>
      </c>
      <c r="F3777" s="1043"/>
      <c r="G3777" s="1550"/>
    </row>
    <row r="3778" spans="1:7" ht="12.75" customHeight="1">
      <c r="A3778" s="1754">
        <v>42015</v>
      </c>
      <c r="B3778" s="125" t="str">
        <f>TiposLancamentos!B19</f>
        <v>Restaurantes</v>
      </c>
      <c r="C3778" s="1040" t="s">
        <v>6565</v>
      </c>
      <c r="D3778" s="1736"/>
      <c r="E3778" s="1043">
        <v>73.680000000000007</v>
      </c>
      <c r="F3778" s="1043"/>
      <c r="G3778" s="1550"/>
    </row>
    <row r="3779" spans="1:7" ht="12.75" customHeight="1">
      <c r="A3779" s="1666">
        <v>42015</v>
      </c>
      <c r="B3779" s="817" t="str">
        <f>TiposLancamentos!B8</f>
        <v>Aluguel</v>
      </c>
      <c r="C3779" s="1742" t="s">
        <v>6163</v>
      </c>
      <c r="D3779" s="1735"/>
      <c r="E3779" s="1733">
        <v>1471.26</v>
      </c>
      <c r="F3779" s="1043"/>
      <c r="G3779" s="1550"/>
    </row>
    <row r="3780" spans="1:7" ht="12.75" customHeight="1">
      <c r="A3780" s="1667">
        <v>42015</v>
      </c>
      <c r="B3780" s="816" t="str">
        <f>TiposLancamentos!B12</f>
        <v>IPTU</v>
      </c>
      <c r="C3780" s="1769" t="s">
        <v>6925</v>
      </c>
      <c r="D3780" s="1736"/>
      <c r="E3780" s="1734">
        <v>0</v>
      </c>
      <c r="F3780" s="1043"/>
      <c r="G3780" s="1550"/>
    </row>
    <row r="3781" spans="1:7" ht="12.75" customHeight="1">
      <c r="A3781" s="1750">
        <v>42015</v>
      </c>
      <c r="B3781" s="818" t="str">
        <f>TiposLancamentos!B34</f>
        <v>Seguros</v>
      </c>
      <c r="C3781" s="1743" t="s">
        <v>6978</v>
      </c>
      <c r="D3781" s="1737"/>
      <c r="E3781" s="1668">
        <v>247.84</v>
      </c>
      <c r="F3781" s="1043">
        <f>SUM(E3779:E3781)</f>
        <v>1719.1</v>
      </c>
      <c r="G3781" s="1550"/>
    </row>
    <row r="3782" spans="1:7" ht="12.75" customHeight="1">
      <c r="A3782" s="1754">
        <v>42014</v>
      </c>
      <c r="B3782" s="125" t="str">
        <f>TiposLancamentos!B93</f>
        <v>Lanc.Multiplos</v>
      </c>
      <c r="C3782" s="1040" t="s">
        <v>6979</v>
      </c>
      <c r="D3782" s="1736">
        <v>0</v>
      </c>
      <c r="E3782" s="1043">
        <v>0</v>
      </c>
      <c r="F3782" s="1043"/>
      <c r="G3782" s="1550"/>
    </row>
    <row r="3783" spans="1:7" ht="12.75" customHeight="1">
      <c r="A3783" s="1666">
        <v>42014</v>
      </c>
      <c r="B3783" s="817" t="str">
        <f>TiposLancamentos!B35</f>
        <v>Tv à Cabo</v>
      </c>
      <c r="C3783" s="1742" t="s">
        <v>5834</v>
      </c>
      <c r="D3783" s="1735"/>
      <c r="E3783" s="1733">
        <v>129.41</v>
      </c>
      <c r="F3783" s="1043"/>
      <c r="G3783" s="1550"/>
    </row>
    <row r="3784" spans="1:7" ht="12.75" customHeight="1">
      <c r="A3784" s="1667">
        <v>42014</v>
      </c>
      <c r="B3784" s="816" t="str">
        <f>TiposLancamentos!B3</f>
        <v>Internet</v>
      </c>
      <c r="C3784" s="1769" t="s">
        <v>5835</v>
      </c>
      <c r="D3784" s="1736"/>
      <c r="E3784" s="1734">
        <v>64.599999999999994</v>
      </c>
      <c r="F3784" s="1043"/>
      <c r="G3784" s="1550"/>
    </row>
    <row r="3785" spans="1:7" ht="12.75" customHeight="1">
      <c r="A3785" s="1750">
        <v>42014</v>
      </c>
      <c r="B3785" s="818" t="str">
        <f>TiposLancamentos!B2</f>
        <v>Telefonia</v>
      </c>
      <c r="C3785" s="1743" t="s">
        <v>5836</v>
      </c>
      <c r="D3785" s="1737"/>
      <c r="E3785" s="1668">
        <v>0.35</v>
      </c>
      <c r="F3785" s="1043">
        <f>SUM(E3783:E3785)</f>
        <v>194.35999999999999</v>
      </c>
      <c r="G3785" s="1550"/>
    </row>
    <row r="3786" spans="1:7" ht="12.75" customHeight="1">
      <c r="A3786" s="1754">
        <v>42016</v>
      </c>
      <c r="B3786" s="125" t="str">
        <f>TiposLancamentos!B19</f>
        <v>Restaurantes</v>
      </c>
      <c r="C3786" s="1040" t="s">
        <v>6793</v>
      </c>
      <c r="D3786" s="1736"/>
      <c r="E3786" s="1043">
        <v>21.5</v>
      </c>
      <c r="F3786" s="1043"/>
      <c r="G3786" s="1550"/>
    </row>
    <row r="3787" spans="1:7" ht="12.75" customHeight="1">
      <c r="A3787" s="1754">
        <v>42016</v>
      </c>
      <c r="B3787" s="125" t="str">
        <f>TiposLancamentos!B18</f>
        <v>Alimentacao</v>
      </c>
      <c r="C3787" s="1040" t="s">
        <v>6980</v>
      </c>
      <c r="D3787" s="1736"/>
      <c r="E3787" s="1043">
        <v>3.5</v>
      </c>
      <c r="F3787" s="1043"/>
      <c r="G3787" s="1550"/>
    </row>
    <row r="3788" spans="1:7" ht="12.75" customHeight="1">
      <c r="A3788" s="1754">
        <v>42016</v>
      </c>
      <c r="B3788" s="125" t="str">
        <f>TiposLancamentos!B19</f>
        <v>Restaurantes</v>
      </c>
      <c r="C3788" s="1040" t="s">
        <v>6981</v>
      </c>
      <c r="D3788" s="1736"/>
      <c r="E3788" s="1043">
        <v>19.5</v>
      </c>
      <c r="F3788" s="1043"/>
      <c r="G3788" s="1550"/>
    </row>
    <row r="3789" spans="1:7" ht="12.75" customHeight="1">
      <c r="A3789" s="1754">
        <v>42014</v>
      </c>
      <c r="B3789" s="125" t="str">
        <f>TiposLancamentos!B16</f>
        <v>Cristiane</v>
      </c>
      <c r="C3789" s="1040" t="s">
        <v>6982</v>
      </c>
      <c r="D3789" s="1736"/>
      <c r="E3789" s="1043">
        <v>240</v>
      </c>
      <c r="F3789" s="1043"/>
      <c r="G3789" s="1550"/>
    </row>
    <row r="3790" spans="1:7" ht="12.75" customHeight="1">
      <c r="A3790" s="1754">
        <v>42016</v>
      </c>
      <c r="B3790" s="125" t="str">
        <f>TiposLancamentos!B4</f>
        <v>Taxas Bancarias</v>
      </c>
      <c r="C3790" s="1040" t="s">
        <v>6983</v>
      </c>
      <c r="D3790" s="1736"/>
      <c r="E3790" s="1043">
        <v>648.64</v>
      </c>
      <c r="F3790" s="1043"/>
      <c r="G3790" s="1550"/>
    </row>
    <row r="3791" spans="1:7" ht="12.75" customHeight="1">
      <c r="A3791" s="1754">
        <v>42016</v>
      </c>
      <c r="B3791" s="125" t="str">
        <f>TiposLancamentos!B55</f>
        <v>Onibus Urbano</v>
      </c>
      <c r="C3791" s="1040" t="s">
        <v>6984</v>
      </c>
      <c r="D3791" s="1736"/>
      <c r="E3791" s="1043">
        <v>315</v>
      </c>
      <c r="F3791" s="1043"/>
      <c r="G3791" s="1550"/>
    </row>
    <row r="3792" spans="1:7" ht="12.75" customHeight="1">
      <c r="A3792" s="1754">
        <v>42017</v>
      </c>
      <c r="B3792" s="125" t="str">
        <f>TiposLancamentos!B19</f>
        <v>Restaurantes</v>
      </c>
      <c r="C3792" s="1040" t="s">
        <v>6793</v>
      </c>
      <c r="D3792" s="1736"/>
      <c r="E3792" s="1043">
        <v>21.5</v>
      </c>
      <c r="F3792" s="1043"/>
      <c r="G3792" s="1550"/>
    </row>
    <row r="3793" spans="1:7" ht="12.75" customHeight="1">
      <c r="A3793" s="1754">
        <v>42017</v>
      </c>
      <c r="B3793" s="125" t="str">
        <f>TiposLancamentos!B87</f>
        <v>P207-1.6-XS</v>
      </c>
      <c r="C3793" s="1040" t="s">
        <v>6985</v>
      </c>
      <c r="D3793" s="1736"/>
      <c r="E3793" s="1043">
        <v>307.43</v>
      </c>
      <c r="F3793" s="1043"/>
      <c r="G3793" s="1550"/>
    </row>
    <row r="3794" spans="1:7" ht="12.75" customHeight="1">
      <c r="A3794" s="1754">
        <v>42017</v>
      </c>
      <c r="B3794" s="125" t="str">
        <f>TiposLancamentos!B88</f>
        <v>Ford Ecosport XLT</v>
      </c>
      <c r="C3794" s="1040" t="s">
        <v>6986</v>
      </c>
      <c r="D3794" s="1736"/>
      <c r="E3794" s="1043">
        <v>422.58</v>
      </c>
      <c r="F3794" s="1043"/>
      <c r="G3794" s="1550"/>
    </row>
    <row r="3795" spans="1:7" ht="12.75" customHeight="1">
      <c r="A3795" s="1754">
        <v>42018</v>
      </c>
      <c r="B3795" s="125" t="str">
        <f>TiposLancamentos!B19</f>
        <v>Restaurantes</v>
      </c>
      <c r="C3795" s="1040" t="s">
        <v>6795</v>
      </c>
      <c r="D3795" s="1736"/>
      <c r="E3795" s="1043">
        <v>6</v>
      </c>
      <c r="F3795" s="1043"/>
      <c r="G3795" s="1550"/>
    </row>
    <row r="3796" spans="1:7" ht="12.75" customHeight="1">
      <c r="A3796" s="1754">
        <v>42018</v>
      </c>
      <c r="B3796" s="125" t="str">
        <f>TiposLancamentos!B19</f>
        <v>Restaurantes</v>
      </c>
      <c r="C3796" s="1040" t="s">
        <v>6793</v>
      </c>
      <c r="D3796" s="1736"/>
      <c r="E3796" s="1043">
        <v>21.5</v>
      </c>
      <c r="F3796" s="1043"/>
      <c r="G3796" s="1550"/>
    </row>
    <row r="3797" spans="1:7" ht="12.75" customHeight="1">
      <c r="A3797" s="1754">
        <v>42018</v>
      </c>
      <c r="B3797" s="125" t="str">
        <f>PoupanCaItau!B184</f>
        <v>Itens Pessoais</v>
      </c>
      <c r="C3797" s="1040" t="s">
        <v>6987</v>
      </c>
      <c r="D3797" s="1736"/>
      <c r="E3797" s="1043">
        <v>1500</v>
      </c>
      <c r="F3797" s="1043"/>
      <c r="G3797" s="1550"/>
    </row>
    <row r="3798" spans="1:7" ht="12.75" customHeight="1">
      <c r="A3798" s="1754">
        <v>42018</v>
      </c>
      <c r="B3798" s="125" t="str">
        <f>TiposLancamentos!B98</f>
        <v>Restituições</v>
      </c>
      <c r="C3798" s="1040" t="s">
        <v>6988</v>
      </c>
      <c r="D3798" s="1736">
        <v>1500</v>
      </c>
      <c r="E3798" s="1043"/>
      <c r="F3798" s="1043"/>
      <c r="G3798" s="1550"/>
    </row>
    <row r="3799" spans="1:7" ht="12.75" customHeight="1">
      <c r="A3799" s="1666">
        <v>42019</v>
      </c>
      <c r="B3799" s="817" t="str">
        <f>TiposLancamentos!B33</f>
        <v>Pedágios</v>
      </c>
      <c r="C3799" s="1742" t="s">
        <v>5392</v>
      </c>
      <c r="D3799" s="1735"/>
      <c r="E3799" s="1733">
        <v>49.64</v>
      </c>
      <c r="F3799" s="1043"/>
      <c r="G3799" s="1550"/>
    </row>
    <row r="3800" spans="1:7" ht="12.75" customHeight="1">
      <c r="A3800" s="1667">
        <v>42019</v>
      </c>
      <c r="B3800" s="816" t="str">
        <f>TiposLancamentos!B24</f>
        <v>Estacionamentos</v>
      </c>
      <c r="C3800" s="1769" t="s">
        <v>5863</v>
      </c>
      <c r="D3800" s="1736"/>
      <c r="E3800" s="1734">
        <v>55</v>
      </c>
      <c r="F3800" s="1043"/>
      <c r="G3800" s="1550"/>
    </row>
    <row r="3801" spans="1:7" ht="12.75" customHeight="1">
      <c r="A3801" s="1750">
        <v>42019</v>
      </c>
      <c r="B3801" s="818" t="str">
        <f>TiposLancamentos!B24</f>
        <v>Estacionamentos</v>
      </c>
      <c r="C3801" s="1743" t="s">
        <v>6297</v>
      </c>
      <c r="D3801" s="1737"/>
      <c r="E3801" s="1668">
        <v>27</v>
      </c>
      <c r="F3801" s="1043">
        <f>SUM(E3799:E3801)</f>
        <v>131.63999999999999</v>
      </c>
      <c r="G3801" s="1550"/>
    </row>
    <row r="3802" spans="1:7" ht="12.75" customHeight="1">
      <c r="A3802" s="1754">
        <v>42019</v>
      </c>
      <c r="B3802" s="125" t="str">
        <f>TiposLancamentos!B19</f>
        <v>Restaurantes</v>
      </c>
      <c r="C3802" s="1040" t="s">
        <v>6795</v>
      </c>
      <c r="D3802" s="1736"/>
      <c r="E3802" s="1043">
        <v>6</v>
      </c>
      <c r="F3802" s="1043"/>
      <c r="G3802" s="1550"/>
    </row>
    <row r="3803" spans="1:7" ht="12.75" customHeight="1">
      <c r="A3803" s="1754">
        <v>42019</v>
      </c>
      <c r="B3803" s="125" t="str">
        <f>TiposLancamentos!B19</f>
        <v>Restaurantes</v>
      </c>
      <c r="C3803" s="1040" t="s">
        <v>6793</v>
      </c>
      <c r="D3803" s="1736"/>
      <c r="E3803" s="1043">
        <v>21.5</v>
      </c>
      <c r="F3803" s="1043"/>
      <c r="G3803" s="1550"/>
    </row>
    <row r="3804" spans="1:7" ht="12.75" customHeight="1">
      <c r="A3804" s="1754">
        <v>42019</v>
      </c>
      <c r="B3804" s="125" t="str">
        <f>TiposLancamentos!B20</f>
        <v>Saques</v>
      </c>
      <c r="C3804" s="1040" t="s">
        <v>6989</v>
      </c>
      <c r="D3804" s="1736"/>
      <c r="E3804" s="1043">
        <v>270</v>
      </c>
      <c r="F3804" s="1043"/>
      <c r="G3804" s="1550"/>
    </row>
    <row r="3805" spans="1:7" ht="12.75" customHeight="1">
      <c r="A3805" s="1754">
        <v>42019</v>
      </c>
      <c r="B3805" s="125" t="str">
        <f>TiposLancamentos!B19</f>
        <v>Restaurantes</v>
      </c>
      <c r="C3805" s="1040" t="s">
        <v>6990</v>
      </c>
      <c r="D3805" s="1736"/>
      <c r="E3805" s="1043">
        <v>7</v>
      </c>
      <c r="F3805" s="1043"/>
      <c r="G3805" s="1550"/>
    </row>
    <row r="3806" spans="1:7" ht="12.75" customHeight="1">
      <c r="A3806" s="1754">
        <v>42020</v>
      </c>
      <c r="B3806" s="125" t="str">
        <f>TiposLancamentos!B19</f>
        <v>Restaurantes</v>
      </c>
      <c r="C3806" s="1040" t="s">
        <v>6795</v>
      </c>
      <c r="D3806" s="1736"/>
      <c r="E3806" s="1043">
        <v>10.5</v>
      </c>
      <c r="F3806" s="1043"/>
      <c r="G3806" s="1550"/>
    </row>
    <row r="3807" spans="1:7" ht="12.75" customHeight="1">
      <c r="A3807" s="1754">
        <v>42020</v>
      </c>
      <c r="B3807" s="125" t="str">
        <f>TiposLancamentos!B19</f>
        <v>Restaurantes</v>
      </c>
      <c r="C3807" s="1040" t="s">
        <v>6793</v>
      </c>
      <c r="D3807" s="1736"/>
      <c r="E3807" s="1043">
        <v>20.5</v>
      </c>
      <c r="F3807" s="1043"/>
      <c r="G3807" s="1550"/>
    </row>
    <row r="3808" spans="1:7" ht="12.75" customHeight="1">
      <c r="A3808" s="1754">
        <v>42020</v>
      </c>
      <c r="B3808" s="125" t="str">
        <f>TiposLancamentos!B18</f>
        <v>Alimentacao</v>
      </c>
      <c r="C3808" s="1040" t="s">
        <v>6980</v>
      </c>
      <c r="D3808" s="1736"/>
      <c r="E3808" s="1043">
        <v>3.5</v>
      </c>
      <c r="F3808" s="1043"/>
      <c r="G3808" s="1550"/>
    </row>
    <row r="3809" spans="1:7" ht="12.75" customHeight="1">
      <c r="A3809" s="1754">
        <v>42021</v>
      </c>
      <c r="B3809" s="125" t="str">
        <f>TiposLancamentos!B19</f>
        <v>Restaurantes</v>
      </c>
      <c r="C3809" s="1040" t="s">
        <v>5913</v>
      </c>
      <c r="D3809" s="1736"/>
      <c r="E3809" s="1043">
        <v>19.5</v>
      </c>
      <c r="F3809" s="1043"/>
      <c r="G3809" s="1550"/>
    </row>
    <row r="3810" spans="1:7" ht="12.75" customHeight="1">
      <c r="A3810" s="1754">
        <v>42021</v>
      </c>
      <c r="B3810" s="125" t="str">
        <f>TiposLancamentos!B19</f>
        <v>Restaurantes</v>
      </c>
      <c r="C3810" s="1040" t="s">
        <v>6565</v>
      </c>
      <c r="D3810" s="1736"/>
      <c r="E3810" s="1043">
        <v>25.83</v>
      </c>
      <c r="F3810" s="1043"/>
      <c r="G3810" s="1550"/>
    </row>
    <row r="3811" spans="1:7" ht="12.75" customHeight="1">
      <c r="A3811" s="1754">
        <v>42021</v>
      </c>
      <c r="B3811" s="125" t="str">
        <f>TiposLancamentos!B5</f>
        <v>Supermercado</v>
      </c>
      <c r="C3811" s="1040" t="s">
        <v>5844</v>
      </c>
      <c r="D3811" s="1736"/>
      <c r="E3811" s="1043">
        <v>48.61</v>
      </c>
      <c r="F3811" s="1043"/>
      <c r="G3811" s="1550"/>
    </row>
    <row r="3812" spans="1:7" ht="12.75" customHeight="1">
      <c r="A3812" s="1754">
        <v>42022</v>
      </c>
      <c r="B3812" s="125" t="str">
        <f>TiposLancamentos!B5</f>
        <v>Supermercado</v>
      </c>
      <c r="C3812" s="1040" t="s">
        <v>6991</v>
      </c>
      <c r="D3812" s="1736"/>
      <c r="E3812" s="1043">
        <v>18.899999999999999</v>
      </c>
      <c r="F3812" s="1043"/>
      <c r="G3812" s="1550"/>
    </row>
    <row r="3813" spans="1:7" ht="12.75" customHeight="1">
      <c r="A3813" s="1754">
        <v>42022</v>
      </c>
      <c r="B3813" s="125" t="str">
        <f>TiposLancamentos!B20</f>
        <v>Saques</v>
      </c>
      <c r="C3813" s="1040" t="s">
        <v>3604</v>
      </c>
      <c r="D3813" s="1736"/>
      <c r="E3813" s="1043">
        <v>40</v>
      </c>
      <c r="F3813" s="1043"/>
      <c r="G3813" s="1550"/>
    </row>
    <row r="3814" spans="1:7" ht="12.75" customHeight="1">
      <c r="A3814" s="1754">
        <v>42023</v>
      </c>
      <c r="B3814" s="125" t="str">
        <f>TiposLancamentos!B19</f>
        <v>Restaurantes</v>
      </c>
      <c r="C3814" s="1040" t="s">
        <v>6992</v>
      </c>
      <c r="D3814" s="1736"/>
      <c r="E3814" s="1043">
        <v>17.5</v>
      </c>
      <c r="F3814" s="1043"/>
      <c r="G3814" s="1550"/>
    </row>
    <row r="3815" spans="1:7" ht="12.75" customHeight="1">
      <c r="A3815" s="1754">
        <v>42023</v>
      </c>
      <c r="B3815" s="125" t="str">
        <f>TiposLancamentos!B13</f>
        <v>Moradia</v>
      </c>
      <c r="C3815" s="1040" t="s">
        <v>3785</v>
      </c>
      <c r="D3815" s="1736"/>
      <c r="E3815" s="1043">
        <v>22</v>
      </c>
      <c r="F3815" s="1043"/>
      <c r="G3815" s="1550"/>
    </row>
    <row r="3816" spans="1:7" ht="12.75" customHeight="1">
      <c r="A3816" s="1754">
        <v>42023</v>
      </c>
      <c r="B3816" s="125" t="str">
        <f>TiposLancamentos!B5</f>
        <v>Supermercado</v>
      </c>
      <c r="C3816" s="1040" t="s">
        <v>6234</v>
      </c>
      <c r="D3816" s="1736"/>
      <c r="E3816" s="1043">
        <v>34.32</v>
      </c>
      <c r="F3816" s="1043"/>
      <c r="G3816" s="1550"/>
    </row>
    <row r="3817" spans="1:7" ht="12.75" customHeight="1">
      <c r="A3817" s="1754">
        <v>42024</v>
      </c>
      <c r="B3817" s="125" t="str">
        <f>TiposLancamentos!B19</f>
        <v>Restaurantes</v>
      </c>
      <c r="C3817" s="1040" t="s">
        <v>6793</v>
      </c>
      <c r="D3817" s="1736"/>
      <c r="E3817" s="1043">
        <v>24.8</v>
      </c>
      <c r="F3817" s="1043"/>
      <c r="G3817" s="1550"/>
    </row>
    <row r="3818" spans="1:7" ht="12.75" customHeight="1">
      <c r="A3818" s="1754">
        <v>42024</v>
      </c>
      <c r="B3818" s="125" t="str">
        <f>TiposLancamentos!B95</f>
        <v>Salarios</v>
      </c>
      <c r="C3818" s="1040" t="s">
        <v>6840</v>
      </c>
      <c r="D3818" s="1736">
        <v>8816</v>
      </c>
      <c r="E3818" s="1043"/>
      <c r="F3818" s="1043"/>
      <c r="G3818" s="1550"/>
    </row>
    <row r="3819" spans="1:7" ht="12.75" customHeight="1">
      <c r="A3819" s="1754">
        <v>42024</v>
      </c>
      <c r="B3819" s="125" t="str">
        <f>TiposLancamentos!B17</f>
        <v>GATO</v>
      </c>
      <c r="C3819" s="1040" t="s">
        <v>6993</v>
      </c>
      <c r="D3819" s="1736"/>
      <c r="E3819" s="1043">
        <v>140.69999999999999</v>
      </c>
      <c r="F3819" s="1043"/>
      <c r="G3819" s="1550"/>
    </row>
    <row r="3820" spans="1:7" ht="12.75" customHeight="1">
      <c r="A3820" s="1754">
        <v>42024</v>
      </c>
      <c r="B3820" s="125" t="str">
        <f>TiposLancamentos!B19</f>
        <v>Restaurantes</v>
      </c>
      <c r="C3820" s="1040" t="s">
        <v>6994</v>
      </c>
      <c r="D3820" s="1736"/>
      <c r="E3820" s="1043">
        <v>12.2</v>
      </c>
      <c r="F3820" s="1043"/>
      <c r="G3820" s="1550"/>
    </row>
    <row r="3821" spans="1:7" ht="12.75" customHeight="1">
      <c r="A3821" s="1754">
        <v>42025</v>
      </c>
      <c r="B3821" s="125" t="str">
        <f>TiposLancamentos!B19</f>
        <v>Restaurantes</v>
      </c>
      <c r="C3821" s="1040" t="s">
        <v>6795</v>
      </c>
      <c r="D3821" s="1736"/>
      <c r="E3821" s="1043">
        <v>6</v>
      </c>
      <c r="F3821" s="1043"/>
      <c r="G3821" s="1550"/>
    </row>
    <row r="3822" spans="1:7" ht="12.75" customHeight="1">
      <c r="A3822" s="1754">
        <v>42025</v>
      </c>
      <c r="B3822" s="125" t="str">
        <f>TiposLancamentos!B96</f>
        <v>Resg.Poup.</v>
      </c>
      <c r="C3822" s="1040" t="s">
        <v>6817</v>
      </c>
      <c r="D3822" s="1736">
        <v>6500</v>
      </c>
      <c r="E3822" s="1043"/>
      <c r="F3822" s="1043"/>
      <c r="G3822" s="1550"/>
    </row>
    <row r="3823" spans="1:7" ht="12.75" customHeight="1">
      <c r="A3823" s="1754">
        <v>42025</v>
      </c>
      <c r="B3823" s="125" t="str">
        <f>PoupanCaItau!B184</f>
        <v>Itens Pessoais</v>
      </c>
      <c r="C3823" s="1040" t="s">
        <v>6987</v>
      </c>
      <c r="D3823" s="1736"/>
      <c r="E3823" s="1043">
        <v>1500</v>
      </c>
      <c r="F3823" s="1043"/>
      <c r="G3823" s="1550"/>
    </row>
    <row r="3824" spans="1:7" ht="12.75" customHeight="1">
      <c r="A3824" s="1754">
        <v>42025</v>
      </c>
      <c r="B3824" s="125" t="str">
        <f>TiposLancamentos!B19</f>
        <v>Restaurantes</v>
      </c>
      <c r="C3824" s="1040" t="s">
        <v>6793</v>
      </c>
      <c r="D3824" s="1736"/>
      <c r="E3824" s="1043">
        <v>21.5</v>
      </c>
      <c r="F3824" s="1043"/>
      <c r="G3824" s="1550"/>
    </row>
    <row r="3825" spans="1:7" ht="12.75" customHeight="1">
      <c r="A3825" s="1754">
        <v>42025</v>
      </c>
      <c r="B3825" s="125" t="str">
        <f>TiposLancamentos!B56</f>
        <v>Farmácia</v>
      </c>
      <c r="C3825" s="1040" t="s">
        <v>6922</v>
      </c>
      <c r="D3825" s="1736"/>
      <c r="E3825" s="1043">
        <v>38.049999999999997</v>
      </c>
      <c r="F3825" s="1043"/>
      <c r="G3825" s="1550"/>
    </row>
    <row r="3826" spans="1:7" ht="12.75" customHeight="1">
      <c r="A3826" s="1754">
        <v>42025</v>
      </c>
      <c r="B3826" s="125" t="str">
        <f>TiposLancamentos!B43</f>
        <v>Imposto de Renda</v>
      </c>
      <c r="C3826" s="1040" t="s">
        <v>6995</v>
      </c>
      <c r="D3826" s="1736"/>
      <c r="E3826" s="1043">
        <v>17.03</v>
      </c>
      <c r="F3826" s="1043"/>
      <c r="G3826" s="1550"/>
    </row>
    <row r="3827" spans="1:7" ht="12.75" customHeight="1">
      <c r="A3827" s="1754">
        <v>42025</v>
      </c>
      <c r="B3827" s="125" t="str">
        <f>TiposLancamentos!B43</f>
        <v>Imposto de Renda</v>
      </c>
      <c r="C3827" s="1040" t="s">
        <v>6996</v>
      </c>
      <c r="D3827" s="1736"/>
      <c r="E3827" s="1043">
        <v>21.45</v>
      </c>
      <c r="F3827" s="1043"/>
      <c r="G3827" s="1550"/>
    </row>
    <row r="3828" spans="1:7" ht="12.75" customHeight="1">
      <c r="A3828" s="1754">
        <v>42025</v>
      </c>
      <c r="B3828" s="125" t="str">
        <f>TiposLancamentos!B43</f>
        <v>Imposto de Renda</v>
      </c>
      <c r="C3828" s="1040" t="s">
        <v>6997</v>
      </c>
      <c r="D3828" s="1736"/>
      <c r="E3828" s="1043">
        <v>25.27</v>
      </c>
      <c r="F3828" s="1043"/>
      <c r="G3828" s="1550"/>
    </row>
    <row r="3829" spans="1:7" ht="12.75" customHeight="1">
      <c r="A3829" s="1754">
        <v>42026</v>
      </c>
      <c r="B3829" s="125" t="str">
        <f>TiposLancamentos!B19</f>
        <v>Restaurantes</v>
      </c>
      <c r="C3829" s="1040" t="s">
        <v>6795</v>
      </c>
      <c r="D3829" s="1736"/>
      <c r="E3829" s="1043">
        <v>10.5</v>
      </c>
      <c r="F3829" s="1043"/>
      <c r="G3829" s="1550"/>
    </row>
    <row r="3830" spans="1:7" ht="12.75" customHeight="1">
      <c r="A3830" s="1754">
        <v>42026</v>
      </c>
      <c r="B3830" s="125" t="str">
        <f>TiposLancamentos!B88</f>
        <v>Ford Ecosport XLT</v>
      </c>
      <c r="C3830" s="1040" t="s">
        <v>6998</v>
      </c>
      <c r="D3830" s="1736"/>
      <c r="E3830" s="1043">
        <v>878.64</v>
      </c>
      <c r="F3830" s="1043"/>
      <c r="G3830" s="1550"/>
    </row>
    <row r="3831" spans="1:7" ht="12.75" customHeight="1">
      <c r="A3831" s="1754">
        <v>42026</v>
      </c>
      <c r="B3831" s="125" t="str">
        <f>TiposLancamentos!B19</f>
        <v>Restaurantes</v>
      </c>
      <c r="C3831" s="1040" t="s">
        <v>6827</v>
      </c>
      <c r="D3831" s="1736"/>
      <c r="E3831" s="1043">
        <v>21.5</v>
      </c>
      <c r="F3831" s="1043"/>
      <c r="G3831" s="1550"/>
    </row>
    <row r="3832" spans="1:7" ht="12.75" customHeight="1">
      <c r="A3832" s="1754">
        <v>42026</v>
      </c>
      <c r="B3832" s="125" t="str">
        <f>TiposLancamentos!B16</f>
        <v>Cristiane</v>
      </c>
      <c r="C3832" s="1040" t="s">
        <v>5926</v>
      </c>
      <c r="D3832" s="1736"/>
      <c r="E3832" s="1043">
        <v>111.17</v>
      </c>
      <c r="F3832" s="1043"/>
      <c r="G3832" s="1550"/>
    </row>
    <row r="3833" spans="1:7" ht="12.75" customHeight="1">
      <c r="A3833" s="1754">
        <v>42026</v>
      </c>
      <c r="B3833" s="125" t="str">
        <f>TiposLancamentos!B96</f>
        <v>Resg.Poup.</v>
      </c>
      <c r="C3833" s="1040" t="s">
        <v>6999</v>
      </c>
      <c r="D3833" s="1736">
        <v>7372.83</v>
      </c>
      <c r="E3833" s="1043"/>
      <c r="F3833" s="1043"/>
      <c r="G3833" s="1550"/>
    </row>
    <row r="3834" spans="1:7" ht="12.75" customHeight="1">
      <c r="A3834" s="1754">
        <v>42027</v>
      </c>
      <c r="B3834" s="125" t="str">
        <f>TiposLancamentos!B19</f>
        <v>Restaurantes</v>
      </c>
      <c r="C3834" s="1040" t="s">
        <v>6795</v>
      </c>
      <c r="D3834" s="1736"/>
      <c r="E3834" s="1043">
        <v>6</v>
      </c>
      <c r="F3834" s="1043"/>
      <c r="G3834" s="1550"/>
    </row>
    <row r="3835" spans="1:7" ht="12.75" customHeight="1">
      <c r="A3835" s="1754">
        <v>42027</v>
      </c>
      <c r="B3835" s="125" t="str">
        <f>TiposLancamentos!B19</f>
        <v>Restaurantes</v>
      </c>
      <c r="C3835" s="1040" t="s">
        <v>6793</v>
      </c>
      <c r="D3835" s="1736"/>
      <c r="E3835" s="1043">
        <v>22.3</v>
      </c>
      <c r="F3835" s="1043"/>
      <c r="G3835" s="1550"/>
    </row>
    <row r="3836" spans="1:7" ht="12.75" customHeight="1">
      <c r="A3836" s="1754">
        <v>42027</v>
      </c>
      <c r="B3836" s="125" t="str">
        <f>TiposLancamentos!B19</f>
        <v>Restaurantes</v>
      </c>
      <c r="C3836" s="1040" t="s">
        <v>7000</v>
      </c>
      <c r="D3836" s="1736"/>
      <c r="E3836" s="1043">
        <v>7</v>
      </c>
      <c r="F3836" s="1043"/>
      <c r="G3836" s="1550"/>
    </row>
    <row r="3837" spans="1:7" ht="13.5" customHeight="1">
      <c r="A3837" s="1754">
        <v>42027</v>
      </c>
      <c r="B3837" s="125" t="str">
        <f>TiposLancamentos!B19</f>
        <v>Restaurantes</v>
      </c>
      <c r="C3837" s="1040" t="s">
        <v>5999</v>
      </c>
      <c r="D3837" s="1736"/>
      <c r="E3837" s="1043">
        <v>49.5</v>
      </c>
      <c r="F3837" s="1043"/>
      <c r="G3837" s="1550"/>
    </row>
    <row r="3838" spans="1:7" ht="12.75" customHeight="1">
      <c r="A3838" s="1754">
        <v>42028</v>
      </c>
      <c r="B3838" s="125" t="str">
        <f>TiposLancamentos!B19</f>
        <v>Restaurantes</v>
      </c>
      <c r="C3838" s="1040" t="s">
        <v>7001</v>
      </c>
      <c r="D3838" s="1736"/>
      <c r="E3838" s="1043">
        <v>19.75</v>
      </c>
      <c r="F3838" s="1043"/>
      <c r="G3838" s="1550"/>
    </row>
    <row r="3839" spans="1:7" ht="12.75" customHeight="1">
      <c r="A3839" s="1754">
        <v>42029</v>
      </c>
      <c r="B3839" s="125" t="str">
        <f>TiposLancamentos!B73</f>
        <v>Cursos</v>
      </c>
      <c r="C3839" s="1040" t="s">
        <v>7002</v>
      </c>
      <c r="D3839" s="1736"/>
      <c r="E3839" s="1043">
        <v>300</v>
      </c>
      <c r="F3839" s="1043"/>
      <c r="G3839" s="1550"/>
    </row>
    <row r="3840" spans="1:7" ht="12.75" customHeight="1">
      <c r="A3840" s="1754">
        <v>42029</v>
      </c>
      <c r="B3840" s="125" t="str">
        <f>TiposLancamentos!B19</f>
        <v>Restaurantes</v>
      </c>
      <c r="C3840" s="1040" t="s">
        <v>6565</v>
      </c>
      <c r="D3840" s="1736"/>
      <c r="E3840" s="1043">
        <v>18.14</v>
      </c>
      <c r="F3840" s="1043"/>
      <c r="G3840" s="1550"/>
    </row>
    <row r="3841" spans="1:7" ht="12.75" customHeight="1">
      <c r="A3841" s="1754">
        <v>42030</v>
      </c>
      <c r="B3841" s="125" t="str">
        <f>TiposLancamentos!B19</f>
        <v>Restaurantes</v>
      </c>
      <c r="C3841" s="1040" t="s">
        <v>7003</v>
      </c>
      <c r="D3841" s="1736"/>
      <c r="E3841" s="1043">
        <v>24.5</v>
      </c>
      <c r="F3841" s="1043"/>
      <c r="G3841" s="1550"/>
    </row>
    <row r="3842" spans="1:7" ht="12.75" customHeight="1">
      <c r="A3842" s="1754">
        <v>42030</v>
      </c>
      <c r="B3842" s="125" t="str">
        <f>TiposLancamentos!B34</f>
        <v>Seguros</v>
      </c>
      <c r="C3842" s="1040" t="s">
        <v>6951</v>
      </c>
      <c r="D3842" s="1736"/>
      <c r="E3842" s="1043">
        <v>63.9</v>
      </c>
      <c r="F3842" s="1043"/>
      <c r="G3842" s="1550"/>
    </row>
    <row r="3843" spans="1:7" ht="12.75" customHeight="1">
      <c r="A3843" s="1754">
        <v>42030</v>
      </c>
      <c r="B3843" s="125" t="str">
        <f>TiposLancamentos!B19</f>
        <v>Restaurantes</v>
      </c>
      <c r="C3843" s="1040" t="s">
        <v>7004</v>
      </c>
      <c r="D3843" s="1736"/>
      <c r="E3843" s="1043">
        <v>12.6</v>
      </c>
      <c r="F3843" s="1043"/>
      <c r="G3843" s="1550"/>
    </row>
    <row r="3844" spans="1:7" ht="12.75" customHeight="1">
      <c r="A3844" s="1754">
        <v>42030</v>
      </c>
      <c r="B3844" s="125" t="str">
        <f>TiposLancamentos!B24</f>
        <v>Estacionamentos</v>
      </c>
      <c r="C3844" s="1040" t="s">
        <v>7005</v>
      </c>
      <c r="D3844" s="1736"/>
      <c r="E3844" s="1043">
        <v>20</v>
      </c>
      <c r="F3844" s="1043"/>
      <c r="G3844" s="1550"/>
    </row>
    <row r="3845" spans="1:7" ht="12.75" customHeight="1">
      <c r="A3845" s="1754">
        <v>42030</v>
      </c>
      <c r="B3845" s="125" t="str">
        <f>TiposLancamentos!B19</f>
        <v>Restaurantes</v>
      </c>
      <c r="C3845" s="1040" t="s">
        <v>7006</v>
      </c>
      <c r="D3845" s="1736"/>
      <c r="E3845" s="1043">
        <v>46</v>
      </c>
      <c r="F3845" s="1043"/>
      <c r="G3845" s="1550"/>
    </row>
    <row r="3846" spans="1:7" ht="12.75" customHeight="1">
      <c r="A3846" s="1754">
        <v>42031</v>
      </c>
      <c r="B3846" s="125" t="str">
        <f>TiposLancamentos!B20</f>
        <v>Saques</v>
      </c>
      <c r="C3846" s="1040" t="s">
        <v>3604</v>
      </c>
      <c r="D3846" s="1736"/>
      <c r="E3846" s="1043">
        <v>20</v>
      </c>
      <c r="F3846" s="1043"/>
      <c r="G3846" s="1550"/>
    </row>
    <row r="3847" spans="1:7" ht="12.75" customHeight="1">
      <c r="A3847" s="1754">
        <v>42031</v>
      </c>
      <c r="B3847" s="125" t="str">
        <f>TiposLancamentos!B5</f>
        <v>Supermercado</v>
      </c>
      <c r="C3847" s="1040" t="s">
        <v>5844</v>
      </c>
      <c r="D3847" s="1736"/>
      <c r="E3847" s="1043">
        <v>208.63</v>
      </c>
      <c r="F3847" s="1043"/>
      <c r="G3847" s="1550"/>
    </row>
    <row r="3848" spans="1:7" ht="12.75" customHeight="1">
      <c r="A3848" s="1754">
        <v>42031</v>
      </c>
      <c r="B3848" s="125" t="str">
        <f>TiposLancamentos!B19</f>
        <v>Restaurantes</v>
      </c>
      <c r="C3848" s="1040" t="s">
        <v>7007</v>
      </c>
      <c r="D3848" s="1736"/>
      <c r="E3848" s="1043">
        <v>65.45</v>
      </c>
      <c r="F3848" s="1043"/>
      <c r="G3848" s="1550"/>
    </row>
    <row r="3849" spans="1:7" ht="12.75" customHeight="1">
      <c r="A3849" s="1754">
        <v>42031</v>
      </c>
      <c r="B3849" s="125" t="str">
        <f>TiposLancamentos!B6</f>
        <v>Energia Eletrica</v>
      </c>
      <c r="C3849" s="1040" t="s">
        <v>7008</v>
      </c>
      <c r="D3849" s="1736"/>
      <c r="E3849" s="1043">
        <v>161.9</v>
      </c>
      <c r="F3849" s="1043"/>
      <c r="G3849" s="1550"/>
    </row>
    <row r="3850" spans="1:7" ht="12.75" customHeight="1">
      <c r="A3850" s="1754">
        <v>42033</v>
      </c>
      <c r="B3850" s="125" t="str">
        <f>TiposLancamentos!B16</f>
        <v>Cristiane</v>
      </c>
      <c r="C3850" s="1040" t="s">
        <v>7009</v>
      </c>
      <c r="D3850" s="1736"/>
      <c r="E3850" s="1043">
        <v>107.76</v>
      </c>
      <c r="F3850" s="1043"/>
      <c r="G3850" s="1550"/>
    </row>
    <row r="3851" spans="1:7" ht="12.75" customHeight="1">
      <c r="A3851" s="1754">
        <v>42033</v>
      </c>
      <c r="B3851" s="125" t="str">
        <f>TiposLancamentos!B16</f>
        <v>Cristiane</v>
      </c>
      <c r="C3851" s="1040" t="s">
        <v>7010</v>
      </c>
      <c r="D3851" s="1736"/>
      <c r="E3851" s="1043">
        <v>19.5</v>
      </c>
      <c r="F3851" s="1043"/>
      <c r="G3851" s="1550"/>
    </row>
    <row r="3852" spans="1:7" ht="12.75" customHeight="1">
      <c r="A3852" s="1754">
        <v>42033</v>
      </c>
      <c r="B3852" s="125" t="str">
        <f>TiposLancamentos!B16</f>
        <v>Cristiane</v>
      </c>
      <c r="C3852" s="1040" t="s">
        <v>7011</v>
      </c>
      <c r="D3852" s="1736"/>
      <c r="E3852" s="1043">
        <v>132.69999999999999</v>
      </c>
      <c r="F3852" s="1043"/>
      <c r="G3852" s="1550"/>
    </row>
    <row r="3853" spans="1:7" ht="12.75" customHeight="1">
      <c r="A3853" s="1754">
        <v>42033</v>
      </c>
      <c r="B3853" s="125" t="str">
        <f>TiposLancamentos!B5</f>
        <v>Supermercado</v>
      </c>
      <c r="C3853" s="1040" t="s">
        <v>7012</v>
      </c>
      <c r="D3853" s="1736"/>
      <c r="E3853" s="1043">
        <v>31.82</v>
      </c>
      <c r="F3853" s="1043"/>
      <c r="G3853" s="1550"/>
    </row>
    <row r="3854" spans="1:7" ht="12.75" customHeight="1">
      <c r="A3854" s="1754">
        <v>42034</v>
      </c>
      <c r="B3854" s="125" t="str">
        <f>TiposLancamentos!B22</f>
        <v>Combustivel</v>
      </c>
      <c r="C3854" s="1040" t="s">
        <v>7013</v>
      </c>
      <c r="D3854" s="1736"/>
      <c r="E3854" s="1043">
        <v>80</v>
      </c>
      <c r="F3854" s="1043"/>
      <c r="G3854" s="1550"/>
    </row>
    <row r="3855" spans="1:7" ht="12.75" customHeight="1">
      <c r="A3855" s="1754">
        <v>42034</v>
      </c>
      <c r="B3855" s="125" t="str">
        <f>TiposLancamentos!B16</f>
        <v>Cristiane</v>
      </c>
      <c r="C3855" s="1040" t="s">
        <v>7014</v>
      </c>
      <c r="D3855" s="1736"/>
      <c r="E3855" s="1043">
        <v>1720</v>
      </c>
      <c r="F3855" s="1043"/>
      <c r="G3855" s="1550"/>
    </row>
    <row r="3856" spans="1:7" ht="12.75" customHeight="1">
      <c r="A3856" s="1754">
        <v>42034</v>
      </c>
      <c r="B3856" s="125" t="str">
        <f>TiposLancamentos!B24</f>
        <v>Estacionamentos</v>
      </c>
      <c r="C3856" s="1040" t="s">
        <v>7015</v>
      </c>
      <c r="D3856" s="1736"/>
      <c r="E3856" s="1043">
        <v>17</v>
      </c>
      <c r="F3856" s="1043"/>
      <c r="G3856" s="1550"/>
    </row>
    <row r="3857" spans="1:7" ht="12.75" customHeight="1">
      <c r="A3857" s="1754">
        <v>42034</v>
      </c>
      <c r="B3857" s="125" t="str">
        <f>TiposLancamentos!B5</f>
        <v>Supermercado</v>
      </c>
      <c r="C3857" s="1040" t="s">
        <v>7016</v>
      </c>
      <c r="D3857" s="1736"/>
      <c r="E3857" s="1043">
        <v>72.94</v>
      </c>
      <c r="F3857" s="1043"/>
      <c r="G3857" s="1550"/>
    </row>
    <row r="3858" spans="1:7" ht="12.75" customHeight="1">
      <c r="A3858" s="1754">
        <v>42035</v>
      </c>
      <c r="B3858" s="125" t="str">
        <f>TiposLancamentos!B20</f>
        <v>Saques</v>
      </c>
      <c r="C3858" s="1040" t="s">
        <v>7017</v>
      </c>
      <c r="D3858" s="1736"/>
      <c r="E3858" s="1043">
        <v>140</v>
      </c>
      <c r="F3858" s="1043"/>
      <c r="G3858" s="1550"/>
    </row>
    <row r="3859" spans="1:7" ht="12.75" customHeight="1" thickBot="1">
      <c r="A3859" s="1754">
        <v>42035</v>
      </c>
      <c r="B3859" s="125" t="str">
        <f>TiposLancamentos!B20</f>
        <v>Saques</v>
      </c>
      <c r="C3859" s="1040" t="s">
        <v>7018</v>
      </c>
      <c r="D3859" s="1736"/>
      <c r="E3859" s="1043">
        <v>30</v>
      </c>
      <c r="F3859" s="1043"/>
      <c r="G3859" s="1550"/>
    </row>
    <row r="3860" spans="1:7" ht="12.75" customHeight="1">
      <c r="A3860" s="1834"/>
      <c r="B3860" s="977"/>
      <c r="C3860" s="1854" t="s">
        <v>7019</v>
      </c>
      <c r="D3860" s="1823"/>
      <c r="E3860" s="1821"/>
      <c r="F3860" s="1821"/>
      <c r="G3860" s="1895"/>
    </row>
    <row r="3861" spans="1:7" ht="12.75" customHeight="1">
      <c r="A3861" s="1754">
        <v>42037</v>
      </c>
      <c r="B3861" s="125" t="str">
        <f>TiposLancamentos!B59</f>
        <v>Documentos</v>
      </c>
      <c r="C3861" s="1040" t="s">
        <v>7020</v>
      </c>
      <c r="D3861" s="1736"/>
      <c r="E3861" s="1043">
        <v>373.97</v>
      </c>
      <c r="F3861" s="1043"/>
      <c r="G3861" s="1550"/>
    </row>
    <row r="3862" spans="1:7" ht="12.75" customHeight="1">
      <c r="A3862" s="1754">
        <v>42037</v>
      </c>
      <c r="B3862" s="125" t="str">
        <f>TiposLancamentos!B15</f>
        <v>Cartões de Crédito</v>
      </c>
      <c r="C3862" s="1040" t="s">
        <v>6775</v>
      </c>
      <c r="D3862" s="1736"/>
      <c r="E3862" s="1043">
        <v>1492.67</v>
      </c>
      <c r="F3862" s="1043"/>
      <c r="G3862" s="1550"/>
    </row>
    <row r="3863" spans="1:7" ht="12.75" customHeight="1">
      <c r="A3863" s="1754">
        <v>42037</v>
      </c>
      <c r="B3863" s="125" t="str">
        <f>TiposLancamentos!B15</f>
        <v>Cartões de Crédito</v>
      </c>
      <c r="C3863" s="1040" t="s">
        <v>6240</v>
      </c>
      <c r="D3863" s="1736"/>
      <c r="E3863" s="1043">
        <v>1771.04</v>
      </c>
      <c r="F3863" s="1043"/>
      <c r="G3863" s="1550"/>
    </row>
    <row r="3864" spans="1:7" ht="12.75" customHeight="1">
      <c r="A3864" s="1754">
        <v>42037</v>
      </c>
      <c r="B3864" s="125" t="str">
        <f>TiposLancamentos!B15</f>
        <v>Cartões de Crédito</v>
      </c>
      <c r="C3864" s="1040" t="s">
        <v>6561</v>
      </c>
      <c r="D3864" s="1736"/>
      <c r="E3864" s="1043">
        <v>695.57</v>
      </c>
      <c r="F3864" s="1043"/>
      <c r="G3864" s="1550"/>
    </row>
    <row r="3865" spans="1:7" ht="12.75" customHeight="1">
      <c r="A3865" s="1754">
        <v>42037</v>
      </c>
      <c r="B3865" s="125" t="str">
        <f>TiposLancamentos!B3</f>
        <v>Internet</v>
      </c>
      <c r="C3865" s="1040" t="s">
        <v>6913</v>
      </c>
      <c r="D3865" s="1736"/>
      <c r="E3865" s="1043">
        <v>77.209999999999994</v>
      </c>
      <c r="F3865" s="1043"/>
      <c r="G3865" s="1550"/>
    </row>
    <row r="3866" spans="1:7" ht="12.75" customHeight="1">
      <c r="A3866" s="1754">
        <v>42037</v>
      </c>
      <c r="B3866" s="125" t="str">
        <f>TiposLancamentos!B43</f>
        <v>Imposto de Renda</v>
      </c>
      <c r="C3866" s="1040" t="s">
        <v>7021</v>
      </c>
      <c r="D3866" s="1736"/>
      <c r="E3866" s="1043">
        <v>17.48</v>
      </c>
      <c r="F3866" s="1043"/>
      <c r="G3866" s="1550"/>
    </row>
    <row r="3867" spans="1:7" ht="12.75" customHeight="1">
      <c r="A3867" s="1754">
        <v>42037</v>
      </c>
      <c r="B3867" s="125" t="str">
        <f>TiposLancamentos!B4</f>
        <v>Taxas Bancarias</v>
      </c>
      <c r="C3867" s="1040" t="s">
        <v>6910</v>
      </c>
      <c r="D3867" s="1736"/>
      <c r="E3867" s="1043">
        <v>46.26</v>
      </c>
      <c r="F3867" s="1043"/>
      <c r="G3867" s="1550"/>
    </row>
    <row r="3868" spans="1:7" ht="12.75" customHeight="1">
      <c r="A3868" s="1754">
        <v>42037</v>
      </c>
      <c r="B3868" s="125" t="str">
        <f>TiposLancamentos!B4</f>
        <v>Taxas Bancarias</v>
      </c>
      <c r="C3868" s="1040" t="s">
        <v>7022</v>
      </c>
      <c r="D3868" s="1736"/>
      <c r="E3868" s="1043">
        <v>59</v>
      </c>
      <c r="F3868" s="1043"/>
      <c r="G3868" s="1550"/>
    </row>
    <row r="3869" spans="1:7" ht="12.75" customHeight="1">
      <c r="A3869" s="1754">
        <v>42041</v>
      </c>
      <c r="B3869" s="125" t="str">
        <f>TiposLancamentos!B9</f>
        <v>Condominio</v>
      </c>
      <c r="C3869" s="1040" t="s">
        <v>1684</v>
      </c>
      <c r="D3869" s="1736"/>
      <c r="E3869" s="1043">
        <v>893.9</v>
      </c>
      <c r="F3869" s="1043"/>
      <c r="G3869" s="1550"/>
    </row>
    <row r="3870" spans="1:7" ht="12.75" customHeight="1">
      <c r="A3870" s="1754">
        <v>42044</v>
      </c>
      <c r="B3870" s="125" t="str">
        <f>TiposLancamentos!B2</f>
        <v>Telefonia</v>
      </c>
      <c r="C3870" s="1040" t="s">
        <v>4895</v>
      </c>
      <c r="D3870" s="1736"/>
      <c r="E3870" s="1043">
        <v>117.64</v>
      </c>
      <c r="F3870" s="1043"/>
      <c r="G3870" s="1550"/>
    </row>
    <row r="3871" spans="1:7" ht="12.75" customHeight="1">
      <c r="A3871" s="1754">
        <v>42043</v>
      </c>
      <c r="B3871" s="125" t="str">
        <f>TiposLancamentos!B24</f>
        <v>Estacionamentos</v>
      </c>
      <c r="C3871" s="1040" t="s">
        <v>3617</v>
      </c>
      <c r="D3871" s="1736"/>
      <c r="E3871" s="1043">
        <v>24</v>
      </c>
      <c r="F3871" s="1043"/>
      <c r="G3871" s="1550"/>
    </row>
    <row r="3872" spans="1:7" ht="12.75" customHeight="1">
      <c r="A3872" s="1666">
        <v>42045</v>
      </c>
      <c r="B3872" s="817" t="str">
        <f>TiposLancamentos!B8</f>
        <v>Aluguel</v>
      </c>
      <c r="C3872" s="1742" t="s">
        <v>6163</v>
      </c>
      <c r="D3872" s="1735"/>
      <c r="E3872" s="1733">
        <v>1471.26</v>
      </c>
      <c r="F3872" s="1043">
        <f>SUM(E3872:E3874)</f>
        <v>1837.36</v>
      </c>
      <c r="G3872" s="1550"/>
    </row>
    <row r="3873" spans="1:7" ht="12.75" customHeight="1">
      <c r="A3873" s="1667">
        <v>42045</v>
      </c>
      <c r="B3873" s="816" t="str">
        <f>TiposLancamentos!B12</f>
        <v>IPTU</v>
      </c>
      <c r="C3873" s="1769" t="s">
        <v>6458</v>
      </c>
      <c r="D3873" s="1736"/>
      <c r="E3873" s="1734">
        <v>118.26</v>
      </c>
      <c r="F3873" s="1043"/>
      <c r="G3873" s="1550"/>
    </row>
    <row r="3874" spans="1:7" ht="12.75" customHeight="1">
      <c r="A3874" s="1750">
        <v>42045</v>
      </c>
      <c r="B3874" s="818" t="str">
        <f>TiposLancamentos!B34</f>
        <v>Seguros</v>
      </c>
      <c r="C3874" s="1743" t="s">
        <v>7023</v>
      </c>
      <c r="D3874" s="1737"/>
      <c r="E3874" s="1668">
        <v>247.84</v>
      </c>
      <c r="F3874" s="1043"/>
      <c r="G3874" s="1550"/>
    </row>
    <row r="3875" spans="1:7" ht="12.75" customHeight="1">
      <c r="A3875" s="1754">
        <v>42045</v>
      </c>
      <c r="B3875" s="125" t="str">
        <f>TiposLancamentos!B16</f>
        <v>Cristiane</v>
      </c>
      <c r="C3875" s="1040" t="s">
        <v>7024</v>
      </c>
      <c r="D3875" s="1736"/>
      <c r="E3875" s="1043">
        <v>240</v>
      </c>
      <c r="F3875" s="1043"/>
      <c r="G3875" s="1550"/>
    </row>
    <row r="3876" spans="1:7" ht="12.75" customHeight="1">
      <c r="A3876" s="1754">
        <v>42045</v>
      </c>
      <c r="B3876" s="125" t="str">
        <f>TiposLancamentos!B4</f>
        <v>Taxas Bancarias</v>
      </c>
      <c r="C3876" s="1040" t="s">
        <v>7025</v>
      </c>
      <c r="D3876" s="1736"/>
      <c r="E3876" s="1043">
        <v>535.48</v>
      </c>
      <c r="F3876" s="1043"/>
      <c r="G3876" s="1550"/>
    </row>
    <row r="3877" spans="1:7" ht="12.75" customHeight="1">
      <c r="A3877" s="1666">
        <v>42045</v>
      </c>
      <c r="B3877" s="817" t="str">
        <f>TiposLancamentos!B35</f>
        <v>Tv à Cabo</v>
      </c>
      <c r="C3877" s="1742" t="s">
        <v>5834</v>
      </c>
      <c r="D3877" s="1735"/>
      <c r="E3877" s="1733">
        <f>129.41+4.9</f>
        <v>134.31</v>
      </c>
      <c r="F3877" s="1043"/>
      <c r="G3877" s="1550"/>
    </row>
    <row r="3878" spans="1:7" ht="12.75" customHeight="1">
      <c r="A3878" s="1667">
        <v>42045</v>
      </c>
      <c r="B3878" s="816" t="str">
        <f>TiposLancamentos!B3</f>
        <v>Internet</v>
      </c>
      <c r="C3878" s="1769" t="s">
        <v>5835</v>
      </c>
      <c r="D3878" s="1736"/>
      <c r="E3878" s="1734">
        <v>64.599999999999994</v>
      </c>
      <c r="F3878" s="1043"/>
      <c r="G3878" s="1550"/>
    </row>
    <row r="3879" spans="1:7" ht="12.75" customHeight="1">
      <c r="A3879" s="1750">
        <v>42045</v>
      </c>
      <c r="B3879" s="818" t="str">
        <f>TiposLancamentos!B2</f>
        <v>Telefonia</v>
      </c>
      <c r="C3879" s="1743" t="s">
        <v>5836</v>
      </c>
      <c r="D3879" s="1737"/>
      <c r="E3879" s="1668">
        <v>0</v>
      </c>
      <c r="F3879" s="1043">
        <f>SUM(E3877:E3879)</f>
        <v>198.91</v>
      </c>
      <c r="G3879" s="1550"/>
    </row>
    <row r="3880" spans="1:7" ht="12.75" customHeight="1">
      <c r="A3880" s="1754">
        <v>42047</v>
      </c>
      <c r="B3880" s="125" t="str">
        <f>TiposLancamentos!B55</f>
        <v>Onibus Urbano</v>
      </c>
      <c r="C3880" s="1040" t="s">
        <v>7026</v>
      </c>
      <c r="D3880" s="1736"/>
      <c r="E3880" s="1043">
        <v>315</v>
      </c>
      <c r="F3880" s="1043"/>
      <c r="G3880" s="1550"/>
    </row>
    <row r="3881" spans="1:7" ht="12.75" customHeight="1">
      <c r="A3881" s="1754">
        <v>42048</v>
      </c>
      <c r="B3881" s="125" t="str">
        <f>TiposLancamentos!B87</f>
        <v>P207-1.6-XS</v>
      </c>
      <c r="C3881" s="1040" t="s">
        <v>7027</v>
      </c>
      <c r="D3881" s="1736"/>
      <c r="E3881" s="1043">
        <v>307.43</v>
      </c>
      <c r="F3881" s="1043"/>
      <c r="G3881" s="1550"/>
    </row>
    <row r="3882" spans="1:7" ht="12.75" customHeight="1">
      <c r="A3882" s="1754">
        <v>42048</v>
      </c>
      <c r="B3882" s="125" t="str">
        <f>TiposLancamentos!B88</f>
        <v>Ford Ecosport XLT</v>
      </c>
      <c r="C3882" s="1040" t="s">
        <v>7028</v>
      </c>
      <c r="D3882" s="1736"/>
      <c r="E3882" s="1043">
        <v>422.58</v>
      </c>
      <c r="F3882" s="1043"/>
      <c r="G3882" s="1550"/>
    </row>
    <row r="3883" spans="1:7" ht="12.75" customHeight="1">
      <c r="A3883" s="1754">
        <v>42049</v>
      </c>
      <c r="B3883" s="125" t="str">
        <f>TiposLancamentos!B24</f>
        <v>Estacionamentos</v>
      </c>
      <c r="C3883" s="1040" t="s">
        <v>3398</v>
      </c>
      <c r="D3883" s="1736"/>
      <c r="E3883" s="1043">
        <v>9</v>
      </c>
      <c r="F3883" s="1043"/>
      <c r="G3883" s="1550"/>
    </row>
    <row r="3884" spans="1:7" ht="12.75" customHeight="1">
      <c r="A3884" s="1666">
        <v>42050</v>
      </c>
      <c r="B3884" s="817" t="str">
        <f>TiposLancamentos!B33</f>
        <v>Pedágios</v>
      </c>
      <c r="C3884" s="1742" t="s">
        <v>5392</v>
      </c>
      <c r="D3884" s="1735"/>
      <c r="E3884" s="1733">
        <v>31.94</v>
      </c>
      <c r="F3884" s="1043"/>
      <c r="G3884" s="1550"/>
    </row>
    <row r="3885" spans="1:7" ht="12.75" customHeight="1">
      <c r="A3885" s="1667">
        <v>42050</v>
      </c>
      <c r="B3885" s="816" t="str">
        <f>TiposLancamentos!B24</f>
        <v>Estacionamentos</v>
      </c>
      <c r="C3885" s="1769" t="s">
        <v>5863</v>
      </c>
      <c r="D3885" s="1736"/>
      <c r="E3885" s="1734">
        <v>0</v>
      </c>
      <c r="F3885" s="1043"/>
      <c r="G3885" s="1550"/>
    </row>
    <row r="3886" spans="1:7">
      <c r="A3886" s="1750">
        <v>42050</v>
      </c>
      <c r="B3886" s="818" t="str">
        <f>TiposLancamentos!B24</f>
        <v>Estacionamentos</v>
      </c>
      <c r="C3886" s="1743" t="s">
        <v>6297</v>
      </c>
      <c r="D3886" s="1737"/>
      <c r="E3886" s="1668">
        <v>32</v>
      </c>
      <c r="F3886" s="1043">
        <f>SUM(E3884:E3886)</f>
        <v>63.94</v>
      </c>
      <c r="G3886" s="1550"/>
    </row>
    <row r="3887" spans="1:7">
      <c r="A3887" s="1754">
        <v>42051</v>
      </c>
      <c r="B3887" s="125" t="str">
        <f>TiposLancamentos!B24</f>
        <v>Estacionamentos</v>
      </c>
      <c r="C3887" s="1040" t="s">
        <v>3617</v>
      </c>
      <c r="D3887" s="1736"/>
      <c r="E3887" s="1043">
        <v>20</v>
      </c>
      <c r="F3887" s="1043"/>
      <c r="G3887" s="1550"/>
    </row>
    <row r="3888" spans="1:7">
      <c r="A3888" s="1754">
        <v>42055</v>
      </c>
      <c r="B3888" s="125" t="str">
        <f>TiposLancamentos!B95</f>
        <v>Salarios</v>
      </c>
      <c r="C3888" s="1040" t="s">
        <v>6840</v>
      </c>
      <c r="D3888" s="1736">
        <v>9628</v>
      </c>
      <c r="E3888" s="1043"/>
      <c r="F3888" s="1043"/>
      <c r="G3888" s="1550"/>
    </row>
    <row r="3889" spans="1:7">
      <c r="A3889" s="1754">
        <v>42056</v>
      </c>
      <c r="B3889" s="125" t="str">
        <f>TiposLancamentos!B20</f>
        <v>Saques</v>
      </c>
      <c r="C3889" s="1040" t="s">
        <v>4579</v>
      </c>
      <c r="D3889" s="1736"/>
      <c r="E3889" s="1043">
        <v>100</v>
      </c>
      <c r="F3889" s="1043"/>
      <c r="G3889" s="1550"/>
    </row>
    <row r="3890" spans="1:7">
      <c r="A3890" s="1754">
        <v>42058</v>
      </c>
      <c r="B3890" s="125" t="str">
        <f>TiposLancamentos!B88</f>
        <v>Ford Ecosport XLT</v>
      </c>
      <c r="C3890" s="1040" t="s">
        <v>7029</v>
      </c>
      <c r="D3890" s="1736"/>
      <c r="E3890" s="1043">
        <v>878.64</v>
      </c>
      <c r="F3890" s="1043"/>
      <c r="G3890" s="1550"/>
    </row>
    <row r="3891" spans="1:7">
      <c r="A3891" s="1754">
        <v>42058</v>
      </c>
      <c r="B3891" s="125" t="str">
        <f>TiposLancamentos!B48</f>
        <v>Baralhos e Oráculos</v>
      </c>
      <c r="C3891" s="1040" t="s">
        <v>7030</v>
      </c>
      <c r="D3891" s="1736"/>
      <c r="E3891" s="1043">
        <v>39.99</v>
      </c>
      <c r="F3891" s="1043"/>
      <c r="G3891" s="1550"/>
    </row>
    <row r="3892" spans="1:7">
      <c r="A3892" s="1754">
        <v>42059</v>
      </c>
      <c r="B3892" s="125" t="str">
        <f>TiposLancamentos!B48</f>
        <v>Baralhos e Oráculos</v>
      </c>
      <c r="C3892" s="1040" t="s">
        <v>7031</v>
      </c>
      <c r="D3892" s="1736"/>
      <c r="E3892" s="1043">
        <v>100</v>
      </c>
      <c r="F3892" s="1043"/>
      <c r="G3892" s="1550"/>
    </row>
    <row r="3893" spans="1:7">
      <c r="A3893" s="1754">
        <v>42060</v>
      </c>
      <c r="B3893" s="125" t="str">
        <f>TiposLancamentos!B34</f>
        <v>Seguros</v>
      </c>
      <c r="C3893" s="1040" t="s">
        <v>6951</v>
      </c>
      <c r="D3893" s="1736"/>
      <c r="E3893" s="1043">
        <v>63.9</v>
      </c>
      <c r="F3893" s="1043"/>
      <c r="G3893" s="1550"/>
    </row>
    <row r="3894" spans="1:7" ht="14.25" thickBot="1">
      <c r="A3894" s="1754">
        <v>42061</v>
      </c>
      <c r="B3894" s="125" t="str">
        <f>TiposLancamentos!B16</f>
        <v>Cristiane</v>
      </c>
      <c r="C3894" s="1040" t="s">
        <v>7032</v>
      </c>
      <c r="D3894" s="1736"/>
      <c r="E3894" s="1043">
        <v>126.86</v>
      </c>
      <c r="F3894" s="1043"/>
      <c r="G3894" s="1550"/>
    </row>
    <row r="3895" spans="1:7">
      <c r="A3895" s="1834"/>
      <c r="B3895" s="977"/>
      <c r="C3895" s="1854" t="s">
        <v>7033</v>
      </c>
      <c r="D3895" s="1823"/>
      <c r="E3895" s="1821"/>
      <c r="F3895" s="1821"/>
      <c r="G3895" s="1895"/>
    </row>
    <row r="3896" spans="1:7">
      <c r="A3896" s="1754">
        <v>42065</v>
      </c>
      <c r="B3896" s="125" t="str">
        <f>TiposLancamentos!B15</f>
        <v>Cartões de Crédito</v>
      </c>
      <c r="C3896" s="1040" t="s">
        <v>7034</v>
      </c>
      <c r="D3896" s="1736"/>
      <c r="E3896" s="1043">
        <v>432.05</v>
      </c>
      <c r="F3896" s="1043"/>
      <c r="G3896" s="1550"/>
    </row>
    <row r="3897" spans="1:7">
      <c r="A3897" s="1754">
        <v>42065</v>
      </c>
      <c r="B3897" s="125" t="str">
        <f>TiposLancamentos!B15</f>
        <v>Cartões de Crédito</v>
      </c>
      <c r="C3897" s="1040" t="s">
        <v>6561</v>
      </c>
      <c r="D3897" s="1736"/>
      <c r="E3897" s="1043">
        <v>19.25</v>
      </c>
      <c r="F3897" s="1043"/>
      <c r="G3897" s="1550"/>
    </row>
    <row r="3898" spans="1:7">
      <c r="A3898" s="1754">
        <v>42065</v>
      </c>
      <c r="B3898" s="125" t="str">
        <f>TiposLancamentos!B52</f>
        <v>Multas</v>
      </c>
      <c r="C3898" s="1040" t="s">
        <v>7035</v>
      </c>
      <c r="D3898" s="1736"/>
      <c r="E3898" s="1043">
        <v>42.56</v>
      </c>
      <c r="F3898" s="1043"/>
      <c r="G3898" s="1550"/>
    </row>
    <row r="3899" spans="1:7">
      <c r="A3899" s="1754">
        <v>42065</v>
      </c>
      <c r="B3899" s="125" t="str">
        <f>TiposLancamentos!B3</f>
        <v>Internet</v>
      </c>
      <c r="C3899" s="1040" t="s">
        <v>6913</v>
      </c>
      <c r="D3899" s="1736"/>
      <c r="E3899" s="1043">
        <v>76.61</v>
      </c>
      <c r="F3899" s="1043"/>
      <c r="G3899" s="1550"/>
    </row>
    <row r="3900" spans="1:7">
      <c r="A3900" s="1754">
        <v>42065</v>
      </c>
      <c r="B3900" s="125" t="str">
        <f>TiposLancamentos!B15</f>
        <v>Cartões de Crédito</v>
      </c>
      <c r="C3900" s="1040" t="s">
        <v>6776</v>
      </c>
      <c r="D3900" s="1736"/>
      <c r="E3900" s="1043">
        <v>3184.51</v>
      </c>
      <c r="F3900" s="1043"/>
      <c r="G3900" s="1550"/>
    </row>
    <row r="3901" spans="1:7">
      <c r="A3901" s="1754">
        <v>42066</v>
      </c>
      <c r="B3901" s="125" t="str">
        <f>TiposLancamentos!B4</f>
        <v>Taxas Bancarias</v>
      </c>
      <c r="C3901" s="1040" t="s">
        <v>6910</v>
      </c>
      <c r="D3901" s="1736"/>
      <c r="E3901" s="1043">
        <v>37.049999999999997</v>
      </c>
      <c r="F3901" s="1043"/>
      <c r="G3901" s="1550"/>
    </row>
    <row r="3902" spans="1:7">
      <c r="A3902" s="1754">
        <v>42066</v>
      </c>
      <c r="B3902" s="125" t="str">
        <f>TiposLancamentos!B24</f>
        <v>Estacionamentos</v>
      </c>
      <c r="C3902" s="1040" t="s">
        <v>4589</v>
      </c>
      <c r="D3902" s="1736"/>
      <c r="E3902" s="1043">
        <v>170</v>
      </c>
      <c r="F3902" s="1043"/>
      <c r="G3902" s="1550"/>
    </row>
    <row r="3903" spans="1:7">
      <c r="A3903" s="1754">
        <v>42066</v>
      </c>
      <c r="B3903" s="125" t="str">
        <f>TiposLancamentos!B98</f>
        <v>Restituições</v>
      </c>
      <c r="C3903" s="1040" t="s">
        <v>7036</v>
      </c>
      <c r="D3903" s="1736">
        <v>295.5</v>
      </c>
      <c r="E3903" s="1043"/>
      <c r="F3903" s="1043"/>
      <c r="G3903" s="1550"/>
    </row>
    <row r="3904" spans="1:7">
      <c r="A3904" s="1754">
        <v>42066</v>
      </c>
      <c r="B3904" s="125" t="str">
        <f>TiposLancamentos!B4</f>
        <v>Taxas Bancarias</v>
      </c>
      <c r="C3904" s="1040" t="s">
        <v>7037</v>
      </c>
      <c r="D3904" s="1736"/>
      <c r="E3904" s="1043">
        <v>64</v>
      </c>
      <c r="F3904" s="1043"/>
      <c r="G3904" s="1550"/>
    </row>
    <row r="3905" spans="1:7">
      <c r="A3905" s="1754">
        <v>42068</v>
      </c>
      <c r="B3905" s="125" t="str">
        <f>TiposLancamentos!B6</f>
        <v>Energia Eletrica</v>
      </c>
      <c r="C3905" s="1040" t="s">
        <v>5191</v>
      </c>
      <c r="D3905" s="1736"/>
      <c r="E3905" s="1043">
        <v>162.66</v>
      </c>
      <c r="F3905" s="1043"/>
      <c r="G3905" s="1550"/>
    </row>
    <row r="3906" spans="1:7">
      <c r="A3906" s="1754">
        <v>42069</v>
      </c>
      <c r="B3906" s="125" t="str">
        <f>TiposLancamentos!B9</f>
        <v>Condominio</v>
      </c>
      <c r="C3906" s="1040" t="s">
        <v>7038</v>
      </c>
      <c r="D3906" s="1736"/>
      <c r="E3906" s="1043">
        <v>884.35</v>
      </c>
      <c r="F3906" s="1043"/>
      <c r="G3906" s="1550"/>
    </row>
    <row r="3907" spans="1:7">
      <c r="A3907" s="1754">
        <v>42072</v>
      </c>
      <c r="B3907" s="125" t="str">
        <f>TiposLancamentos!B2</f>
        <v>Telefonia</v>
      </c>
      <c r="C3907" s="1040" t="s">
        <v>6924</v>
      </c>
      <c r="D3907" s="1736"/>
      <c r="E3907" s="1043">
        <v>103.82</v>
      </c>
      <c r="F3907" s="1043"/>
      <c r="G3907" s="1550"/>
    </row>
    <row r="3908" spans="1:7">
      <c r="A3908" s="1666">
        <v>42073</v>
      </c>
      <c r="B3908" s="817" t="str">
        <f>TiposLancamentos!B8</f>
        <v>Aluguel</v>
      </c>
      <c r="C3908" s="1742" t="s">
        <v>6163</v>
      </c>
      <c r="D3908" s="1735"/>
      <c r="E3908" s="1733">
        <v>1471.26</v>
      </c>
      <c r="F3908" s="1043"/>
      <c r="G3908" s="1550"/>
    </row>
    <row r="3909" spans="1:7">
      <c r="A3909" s="1667">
        <v>42073</v>
      </c>
      <c r="B3909" s="816" t="str">
        <f>TiposLancamentos!B12</f>
        <v>IPTU</v>
      </c>
      <c r="C3909" s="1769" t="s">
        <v>6485</v>
      </c>
      <c r="D3909" s="1736"/>
      <c r="E3909" s="1734">
        <v>118.26</v>
      </c>
      <c r="F3909" s="1043"/>
      <c r="G3909" s="1550"/>
    </row>
    <row r="3910" spans="1:7">
      <c r="A3910" s="1750">
        <v>42073</v>
      </c>
      <c r="B3910" s="818" t="str">
        <f>TiposLancamentos!B34</f>
        <v>Seguros</v>
      </c>
      <c r="C3910" s="1743" t="s">
        <v>7039</v>
      </c>
      <c r="D3910" s="1737"/>
      <c r="E3910" s="1668">
        <v>247.84</v>
      </c>
      <c r="F3910" s="1043">
        <f>SUM(E3908:E3910)</f>
        <v>1837.36</v>
      </c>
      <c r="G3910" s="1550"/>
    </row>
    <row r="3911" spans="1:7">
      <c r="A3911" s="1754">
        <v>42073</v>
      </c>
      <c r="B3911" s="125" t="str">
        <f>TiposLancamentos!B16</f>
        <v>Cristiane</v>
      </c>
      <c r="C3911" s="1040" t="s">
        <v>7040</v>
      </c>
      <c r="D3911" s="1736"/>
      <c r="E3911" s="1043">
        <v>240</v>
      </c>
      <c r="F3911" s="1043"/>
      <c r="G3911" s="1550"/>
    </row>
    <row r="3912" spans="1:7">
      <c r="A3912" s="1754">
        <v>42073</v>
      </c>
      <c r="B3912" s="125" t="str">
        <f>TiposLancamentos!B4</f>
        <v>Taxas Bancarias</v>
      </c>
      <c r="C3912" s="1040" t="s">
        <v>7025</v>
      </c>
      <c r="D3912" s="1736"/>
      <c r="E3912" s="1043">
        <v>331.45</v>
      </c>
      <c r="F3912" s="1043"/>
      <c r="G3912" s="1550"/>
    </row>
    <row r="3913" spans="1:7">
      <c r="A3913" s="1666">
        <v>42073</v>
      </c>
      <c r="B3913" s="817" t="str">
        <f>TiposLancamentos!B35</f>
        <v>Tv à Cabo</v>
      </c>
      <c r="C3913" s="1742" t="s">
        <v>5834</v>
      </c>
      <c r="D3913" s="1735"/>
      <c r="E3913" s="1733">
        <f>129.41+9.9</f>
        <v>139.31</v>
      </c>
      <c r="F3913" s="1043"/>
      <c r="G3913" s="1550"/>
    </row>
    <row r="3914" spans="1:7">
      <c r="A3914" s="1667">
        <v>42073</v>
      </c>
      <c r="B3914" s="816" t="str">
        <f>TiposLancamentos!B3</f>
        <v>Internet</v>
      </c>
      <c r="C3914" s="1769" t="s">
        <v>5835</v>
      </c>
      <c r="D3914" s="1736"/>
      <c r="E3914" s="1734">
        <v>64.599999999999994</v>
      </c>
      <c r="F3914" s="1043"/>
      <c r="G3914" s="1550"/>
    </row>
    <row r="3915" spans="1:7">
      <c r="A3915" s="1750">
        <v>42073</v>
      </c>
      <c r="B3915" s="818" t="str">
        <f>TiposLancamentos!B2</f>
        <v>Telefonia</v>
      </c>
      <c r="C3915" s="1743" t="s">
        <v>5836</v>
      </c>
      <c r="D3915" s="1737"/>
      <c r="E3915" s="1668">
        <v>0</v>
      </c>
      <c r="F3915" s="1043">
        <f>SUM(E3913:E3915)</f>
        <v>203.91</v>
      </c>
      <c r="G3915" s="1550"/>
    </row>
    <row r="3916" spans="1:7">
      <c r="A3916" s="1754">
        <v>42076</v>
      </c>
      <c r="B3916" s="125" t="str">
        <f>TiposLancamentos!B87</f>
        <v>P207-1.6-XS</v>
      </c>
      <c r="C3916" s="1040" t="s">
        <v>7041</v>
      </c>
      <c r="D3916" s="1736"/>
      <c r="E3916" s="1043">
        <v>307.43</v>
      </c>
      <c r="F3916" s="1043"/>
      <c r="G3916" s="1550"/>
    </row>
    <row r="3917" spans="1:7">
      <c r="A3917" s="1754">
        <v>42076</v>
      </c>
      <c r="B3917" s="125" t="str">
        <f>TiposLancamentos!B88</f>
        <v>Ford Ecosport XLT</v>
      </c>
      <c r="C3917" s="1040" t="s">
        <v>7042</v>
      </c>
      <c r="D3917" s="1736"/>
      <c r="E3917" s="1043">
        <v>422.58</v>
      </c>
      <c r="F3917" s="1043"/>
      <c r="G3917" s="1550"/>
    </row>
    <row r="3918" spans="1:7">
      <c r="A3918" s="1754">
        <v>42076</v>
      </c>
      <c r="B3918" s="125" t="str">
        <f>TiposLancamentos!B95</f>
        <v>Salarios</v>
      </c>
      <c r="C3918" s="1040" t="s">
        <v>4916</v>
      </c>
      <c r="D3918" s="1736">
        <v>3132</v>
      </c>
      <c r="E3918" s="1043"/>
      <c r="F3918" s="1043"/>
      <c r="G3918" s="1550"/>
    </row>
    <row r="3919" spans="1:7">
      <c r="A3919" s="1754">
        <v>42077</v>
      </c>
      <c r="B3919" s="125" t="str">
        <f>TiposLancamentos!B13</f>
        <v>Moradia</v>
      </c>
      <c r="C3919" s="1040" t="s">
        <v>7043</v>
      </c>
      <c r="D3919" s="1736"/>
      <c r="E3919" s="1043">
        <v>23.5</v>
      </c>
      <c r="F3919" s="1043"/>
      <c r="G3919" s="1550"/>
    </row>
    <row r="3920" spans="1:7">
      <c r="A3920" s="1666">
        <v>42078</v>
      </c>
      <c r="B3920" s="817" t="str">
        <f>TiposLancamentos!B33</f>
        <v>Pedágios</v>
      </c>
      <c r="C3920" s="1742" t="s">
        <v>5392</v>
      </c>
      <c r="D3920" s="1735"/>
      <c r="E3920" s="1733">
        <v>31.94</v>
      </c>
      <c r="F3920" s="1043"/>
      <c r="G3920" s="1550"/>
    </row>
    <row r="3921" spans="1:7">
      <c r="A3921" s="1667">
        <v>42078</v>
      </c>
      <c r="B3921" s="816" t="str">
        <f>TiposLancamentos!B24</f>
        <v>Estacionamentos</v>
      </c>
      <c r="C3921" s="1769" t="s">
        <v>5863</v>
      </c>
      <c r="D3921" s="1736"/>
      <c r="E3921" s="1734">
        <v>63</v>
      </c>
      <c r="F3921" s="1043"/>
      <c r="G3921" s="1550"/>
    </row>
    <row r="3922" spans="1:7">
      <c r="A3922" s="1750">
        <v>42078</v>
      </c>
      <c r="B3922" s="818" t="str">
        <f>TiposLancamentos!B24</f>
        <v>Estacionamentos</v>
      </c>
      <c r="C3922" s="1743" t="s">
        <v>6297</v>
      </c>
      <c r="D3922" s="1737"/>
      <c r="E3922" s="1668">
        <v>26</v>
      </c>
      <c r="F3922" s="1043">
        <f>SUM(E3920:E3922)</f>
        <v>120.94</v>
      </c>
      <c r="G3922" s="1550"/>
    </row>
    <row r="3923" spans="1:7">
      <c r="A3923" s="1754">
        <v>42083</v>
      </c>
      <c r="B3923" s="125" t="str">
        <f>TiposLancamentos!B20</f>
        <v>Saques</v>
      </c>
      <c r="C3923" s="1856" t="s">
        <v>4328</v>
      </c>
      <c r="D3923" s="1736"/>
      <c r="E3923" s="1043">
        <v>150</v>
      </c>
      <c r="F3923" s="1043"/>
      <c r="G3923" s="1550"/>
    </row>
    <row r="3924" spans="1:7">
      <c r="A3924" s="1754">
        <v>42083</v>
      </c>
      <c r="B3924" s="125" t="str">
        <f>TiposLancamentos!B95</f>
        <v>Salarios</v>
      </c>
      <c r="C3924" s="1856" t="s">
        <v>6840</v>
      </c>
      <c r="D3924" s="1736">
        <v>7105</v>
      </c>
      <c r="E3924" s="1043"/>
      <c r="F3924" s="1043"/>
      <c r="G3924" s="1550"/>
    </row>
    <row r="3925" spans="1:7">
      <c r="A3925" s="1754">
        <v>42083</v>
      </c>
      <c r="B3925" s="125" t="str">
        <f>TiposLancamentos!B105</f>
        <v>Transf. Bco</v>
      </c>
      <c r="C3925" s="1856" t="s">
        <v>5927</v>
      </c>
      <c r="D3925" s="1736"/>
      <c r="E3925" s="1043">
        <v>70</v>
      </c>
      <c r="F3925" s="1043"/>
      <c r="G3925" s="1550"/>
    </row>
    <row r="3926" spans="1:7">
      <c r="A3926" s="1754">
        <v>42083</v>
      </c>
      <c r="B3926" s="125" t="str">
        <f>TiposLancamentos!B98</f>
        <v>Restituições</v>
      </c>
      <c r="C3926" s="1856" t="s">
        <v>7044</v>
      </c>
      <c r="D3926" s="1736">
        <v>59</v>
      </c>
      <c r="E3926" s="1043"/>
      <c r="F3926" s="1043"/>
      <c r="G3926" s="1550"/>
    </row>
    <row r="3927" spans="1:7">
      <c r="A3927" s="1754">
        <v>42083</v>
      </c>
      <c r="B3927" s="125" t="str">
        <f>TiposLancamentos!B98</f>
        <v>Restituições</v>
      </c>
      <c r="C3927" s="1856" t="s">
        <v>7044</v>
      </c>
      <c r="D3927" s="1736">
        <v>64</v>
      </c>
      <c r="E3927" s="1043"/>
      <c r="F3927" s="1043"/>
      <c r="G3927" s="1550"/>
    </row>
    <row r="3928" spans="1:7">
      <c r="A3928" s="1754">
        <v>42083</v>
      </c>
      <c r="B3928" s="125" t="str">
        <f>TiposLancamentos!B98</f>
        <v>Restituições</v>
      </c>
      <c r="C3928" s="1856" t="s">
        <v>7044</v>
      </c>
      <c r="D3928" s="1736">
        <v>59</v>
      </c>
      <c r="E3928" s="1043"/>
      <c r="F3928" s="1043"/>
      <c r="G3928" s="1550"/>
    </row>
    <row r="3929" spans="1:7">
      <c r="A3929" s="1754">
        <v>42084</v>
      </c>
      <c r="B3929" s="125" t="str">
        <f>TiposLancamentos!B13</f>
        <v>Moradia</v>
      </c>
      <c r="C3929" s="1856" t="s">
        <v>7045</v>
      </c>
      <c r="D3929" s="1736"/>
      <c r="E3929" s="1043">
        <v>22</v>
      </c>
      <c r="F3929" s="1043"/>
      <c r="G3929" s="1550"/>
    </row>
    <row r="3930" spans="1:7">
      <c r="A3930" s="1754">
        <v>42084</v>
      </c>
      <c r="B3930" s="125" t="str">
        <f>TiposLancamentos!B24</f>
        <v>Estacionamentos</v>
      </c>
      <c r="C3930" s="1856" t="s">
        <v>3398</v>
      </c>
      <c r="D3930" s="1736"/>
      <c r="E3930" s="1043">
        <v>7</v>
      </c>
      <c r="F3930" s="1043"/>
      <c r="G3930" s="1550"/>
    </row>
    <row r="3931" spans="1:7">
      <c r="A3931" s="1754">
        <v>42085</v>
      </c>
      <c r="B3931" s="125" t="str">
        <f>TiposLancamentos!B5</f>
        <v>Supermercado</v>
      </c>
      <c r="C3931" s="1856" t="s">
        <v>7046</v>
      </c>
      <c r="D3931" s="1736"/>
      <c r="E3931" s="1043">
        <v>25.73</v>
      </c>
      <c r="F3931" s="1043"/>
      <c r="G3931" s="1550"/>
    </row>
    <row r="3932" spans="1:7">
      <c r="A3932" s="1754">
        <v>42086</v>
      </c>
      <c r="B3932" s="125" t="str">
        <f>TiposLancamentos!B88</f>
        <v>Ford Ecosport XLT</v>
      </c>
      <c r="C3932" s="1040" t="s">
        <v>7047</v>
      </c>
      <c r="D3932" s="1736"/>
      <c r="E3932" s="1043">
        <v>878.64</v>
      </c>
      <c r="F3932" s="1043"/>
      <c r="G3932" s="1550"/>
    </row>
    <row r="3933" spans="1:7">
      <c r="A3933" s="1754">
        <v>42087</v>
      </c>
      <c r="B3933" s="125" t="str">
        <f>TiposLancamentos!B20</f>
        <v>Saques</v>
      </c>
      <c r="C3933" s="1040" t="s">
        <v>2668</v>
      </c>
      <c r="D3933" s="1736"/>
      <c r="E3933" s="1043">
        <v>270</v>
      </c>
      <c r="F3933" s="1043"/>
      <c r="G3933" s="1550"/>
    </row>
    <row r="3934" spans="1:7">
      <c r="A3934" s="1754">
        <v>42087</v>
      </c>
      <c r="B3934" s="125" t="str">
        <f>TiposLancamentos!B88</f>
        <v>Ford Ecosport XLT</v>
      </c>
      <c r="C3934" s="1856" t="s">
        <v>7048</v>
      </c>
      <c r="D3934" s="1736"/>
      <c r="E3934" s="1043">
        <v>150</v>
      </c>
      <c r="F3934" s="1043"/>
      <c r="G3934" s="1550"/>
    </row>
    <row r="3935" spans="1:7">
      <c r="A3935" s="1754">
        <v>42088</v>
      </c>
      <c r="B3935" s="125" t="str">
        <f>TiposLancamentos!B34</f>
        <v>Seguros</v>
      </c>
      <c r="C3935" s="1040" t="s">
        <v>6951</v>
      </c>
      <c r="D3935" s="1736"/>
      <c r="E3935" s="1043">
        <v>63.9</v>
      </c>
      <c r="F3935" s="1043"/>
      <c r="G3935" s="1550"/>
    </row>
    <row r="3936" spans="1:7">
      <c r="A3936" s="1754">
        <v>42088</v>
      </c>
      <c r="B3936" s="125" t="str">
        <f>TiposLancamentos!B16</f>
        <v>Cristiane</v>
      </c>
      <c r="C3936" s="1040" t="s">
        <v>7049</v>
      </c>
      <c r="D3936" s="1736"/>
      <c r="E3936" s="1043">
        <v>122.08</v>
      </c>
      <c r="F3936" s="1043"/>
      <c r="G3936" s="1550"/>
    </row>
    <row r="3937" spans="1:7">
      <c r="A3937" s="1754">
        <v>42088</v>
      </c>
      <c r="B3937" s="125" t="str">
        <f>TiposLancamentos!B5</f>
        <v>Supermercado</v>
      </c>
      <c r="C3937" s="1040" t="s">
        <v>6409</v>
      </c>
      <c r="D3937" s="1736"/>
      <c r="E3937" s="1043">
        <v>87.93</v>
      </c>
      <c r="F3937" s="1043"/>
      <c r="G3937" s="1550"/>
    </row>
    <row r="3938" spans="1:7">
      <c r="A3938" s="1754">
        <v>42090</v>
      </c>
      <c r="B3938" s="125" t="str">
        <f>TiposLancamentos!B56</f>
        <v>Farmácia</v>
      </c>
      <c r="C3938" s="1040" t="s">
        <v>7050</v>
      </c>
      <c r="D3938" s="1736"/>
      <c r="E3938" s="1043">
        <v>9.0399999999999991</v>
      </c>
      <c r="F3938" s="1043"/>
      <c r="G3938" s="1550"/>
    </row>
    <row r="3939" spans="1:7">
      <c r="A3939" s="1754">
        <v>42090</v>
      </c>
      <c r="B3939" s="125" t="str">
        <f>TiposLancamentos!B19</f>
        <v>Restaurantes</v>
      </c>
      <c r="C3939" s="1040" t="s">
        <v>7051</v>
      </c>
      <c r="D3939" s="1736"/>
      <c r="E3939" s="1043">
        <v>13.7</v>
      </c>
      <c r="F3939" s="1043"/>
      <c r="G3939" s="1550"/>
    </row>
    <row r="3940" spans="1:7">
      <c r="A3940" s="1754">
        <v>42090</v>
      </c>
      <c r="B3940" s="125" t="str">
        <f>TiposLancamentos!B24</f>
        <v>Estacionamentos</v>
      </c>
      <c r="C3940" s="1040" t="s">
        <v>7052</v>
      </c>
      <c r="D3940" s="1736"/>
      <c r="E3940" s="1043">
        <v>21</v>
      </c>
      <c r="F3940" s="1043"/>
      <c r="G3940" s="1550"/>
    </row>
    <row r="3941" spans="1:7">
      <c r="A3941" s="1754">
        <v>42093</v>
      </c>
      <c r="B3941" s="125" t="str">
        <f>TiposLancamentos!B87</f>
        <v>P207-1.6-XS</v>
      </c>
      <c r="C3941" s="1040" t="s">
        <v>7053</v>
      </c>
      <c r="D3941" s="1736"/>
      <c r="E3941" s="1043">
        <v>500</v>
      </c>
      <c r="F3941" s="1043"/>
      <c r="G3941" s="1550"/>
    </row>
    <row r="3942" spans="1:7">
      <c r="A3942" s="1754">
        <v>42093</v>
      </c>
      <c r="B3942" s="125" t="str">
        <f>TiposLancamentos!B87</f>
        <v>P207-1.6-XS</v>
      </c>
      <c r="C3942" s="1040" t="s">
        <v>4416</v>
      </c>
      <c r="D3942" s="1736"/>
      <c r="E3942" s="1043">
        <v>30</v>
      </c>
      <c r="F3942" s="1043"/>
      <c r="G3942" s="1550"/>
    </row>
    <row r="3943" spans="1:7" ht="14.25" thickBot="1">
      <c r="A3943" s="1754">
        <v>42094</v>
      </c>
      <c r="B3943" s="125" t="str">
        <f>TiposLancamentos!B95</f>
        <v>Salarios</v>
      </c>
      <c r="C3943" s="1040" t="s">
        <v>7054</v>
      </c>
      <c r="D3943" s="1736">
        <v>2697.13</v>
      </c>
      <c r="E3943" s="1043"/>
      <c r="F3943" s="1043"/>
      <c r="G3943" s="1550"/>
    </row>
    <row r="3944" spans="1:7">
      <c r="A3944" s="1834"/>
      <c r="B3944" s="977"/>
      <c r="C3944" s="1854" t="s">
        <v>7055</v>
      </c>
      <c r="D3944" s="1823"/>
      <c r="E3944" s="1821"/>
      <c r="F3944" s="1821"/>
      <c r="G3944" s="1895"/>
    </row>
    <row r="3945" spans="1:7">
      <c r="A3945" s="1754">
        <v>42095</v>
      </c>
      <c r="B3945" s="125" t="str">
        <f>TiposLancamentos!B15</f>
        <v>Cartões de Crédito</v>
      </c>
      <c r="C3945" s="1040" t="s">
        <v>6775</v>
      </c>
      <c r="D3945" s="1736"/>
      <c r="E3945" s="1043">
        <v>398.7</v>
      </c>
      <c r="F3945" s="1043"/>
      <c r="G3945" s="1550"/>
    </row>
    <row r="3946" spans="1:7">
      <c r="A3946" s="1754">
        <v>42095</v>
      </c>
      <c r="B3946" s="125" t="str">
        <f>TiposLancamentos!B15</f>
        <v>Cartões de Crédito</v>
      </c>
      <c r="C3946" s="1040" t="s">
        <v>6561</v>
      </c>
      <c r="D3946" s="1736"/>
      <c r="E3946" s="1043">
        <v>19.25</v>
      </c>
      <c r="F3946" s="1043"/>
      <c r="G3946" s="1550"/>
    </row>
    <row r="3947" spans="1:7">
      <c r="A3947" s="1754">
        <v>42095</v>
      </c>
      <c r="B3947" s="125" t="str">
        <f>TiposLancamentos!B6</f>
        <v>Energia Eletrica</v>
      </c>
      <c r="C3947" s="1040" t="s">
        <v>5191</v>
      </c>
      <c r="D3947" s="1736"/>
      <c r="E3947" s="1043">
        <v>175.9</v>
      </c>
      <c r="F3947" s="1043"/>
      <c r="G3947" s="1550"/>
    </row>
    <row r="3948" spans="1:7">
      <c r="A3948" s="1754">
        <v>42095</v>
      </c>
      <c r="B3948" s="125" t="str">
        <f>TiposLancamentos!B3</f>
        <v>Internet</v>
      </c>
      <c r="C3948" s="1040" t="s">
        <v>6913</v>
      </c>
      <c r="D3948" s="1736"/>
      <c r="E3948" s="1043">
        <v>76.61</v>
      </c>
      <c r="F3948" s="1043"/>
      <c r="G3948" s="1550"/>
    </row>
    <row r="3949" spans="1:7">
      <c r="A3949" s="1754">
        <v>42095</v>
      </c>
      <c r="B3949" s="125" t="str">
        <f>TiposLancamentos!B4</f>
        <v>Taxas Bancarias</v>
      </c>
      <c r="C3949" s="1040" t="s">
        <v>6910</v>
      </c>
      <c r="D3949" s="1736"/>
      <c r="E3949" s="1043">
        <v>32.57</v>
      </c>
      <c r="F3949" s="1043"/>
      <c r="G3949" s="1550"/>
    </row>
    <row r="3950" spans="1:7">
      <c r="A3950" s="1754">
        <v>42096</v>
      </c>
      <c r="B3950" s="125" t="str">
        <f>TiposLancamentos!B105</f>
        <v>Transf. Bco</v>
      </c>
      <c r="C3950" s="1040" t="s">
        <v>7056</v>
      </c>
      <c r="D3950" s="1736"/>
      <c r="E3950" s="1043">
        <v>230</v>
      </c>
      <c r="F3950" s="1043"/>
      <c r="G3950" s="1550"/>
    </row>
    <row r="3951" spans="1:7">
      <c r="A3951" s="1754">
        <v>42098</v>
      </c>
      <c r="B3951" s="125" t="str">
        <f>TiposLancamentos!B24</f>
        <v>Estacionamentos</v>
      </c>
      <c r="C3951" s="1040" t="s">
        <v>3398</v>
      </c>
      <c r="D3951" s="1736"/>
      <c r="E3951" s="1043">
        <v>7</v>
      </c>
      <c r="F3951" s="1043"/>
      <c r="G3951" s="1550"/>
    </row>
    <row r="3952" spans="1:7">
      <c r="A3952" s="1754">
        <v>42100</v>
      </c>
      <c r="B3952" s="125" t="str">
        <f>TiposLancamentos!B9</f>
        <v>Condominio</v>
      </c>
      <c r="C3952" s="1040" t="s">
        <v>7057</v>
      </c>
      <c r="D3952" s="1736"/>
      <c r="E3952" s="1043">
        <v>887.79</v>
      </c>
      <c r="F3952" s="1043"/>
      <c r="G3952" s="1550"/>
    </row>
    <row r="3953" spans="1:8">
      <c r="A3953" s="1754">
        <v>42100</v>
      </c>
      <c r="B3953" s="125" t="str">
        <f>TiposLancamentos!B2</f>
        <v>Telefonia</v>
      </c>
      <c r="C3953" s="1040" t="s">
        <v>6924</v>
      </c>
      <c r="D3953" s="1736"/>
      <c r="E3953" s="1043">
        <v>125.46</v>
      </c>
      <c r="F3953" s="1043"/>
      <c r="G3953" s="1550"/>
    </row>
    <row r="3954" spans="1:8">
      <c r="A3954" s="1754">
        <v>42100</v>
      </c>
      <c r="B3954" s="125" t="str">
        <f>TiposLancamentos!B5</f>
        <v>Supermercado</v>
      </c>
      <c r="C3954" s="1040" t="s">
        <v>5868</v>
      </c>
      <c r="D3954" s="1736"/>
      <c r="E3954" s="1043">
        <v>45.9</v>
      </c>
      <c r="F3954" s="1043"/>
      <c r="G3954" s="1550"/>
    </row>
    <row r="3955" spans="1:8">
      <c r="A3955" s="1754">
        <v>42100</v>
      </c>
      <c r="B3955" s="125" t="str">
        <f>TiposLancamentos!B24</f>
        <v>Estacionamentos</v>
      </c>
      <c r="C3955" s="1040" t="s">
        <v>4589</v>
      </c>
      <c r="D3955" s="1736"/>
      <c r="E3955" s="1043">
        <v>170</v>
      </c>
      <c r="F3955" s="1043"/>
      <c r="G3955" s="1550"/>
    </row>
    <row r="3956" spans="1:8">
      <c r="A3956" s="1666">
        <v>42106</v>
      </c>
      <c r="B3956" s="1862" t="str">
        <f>TiposLancamentos!B73</f>
        <v>Cursos</v>
      </c>
      <c r="C3956" s="1742" t="s">
        <v>7058</v>
      </c>
      <c r="D3956" s="1735"/>
      <c r="E3956" s="1733">
        <v>300</v>
      </c>
      <c r="F3956" s="1043"/>
      <c r="G3956" s="1550"/>
    </row>
    <row r="3957" spans="1:8">
      <c r="A3957" s="1750">
        <v>42106</v>
      </c>
      <c r="B3957" s="1863" t="str">
        <f>TiposLancamentos!B72</f>
        <v>Presentes</v>
      </c>
      <c r="C3957" s="1743" t="s">
        <v>7059</v>
      </c>
      <c r="D3957" s="1737"/>
      <c r="E3957" s="1668">
        <v>20</v>
      </c>
      <c r="F3957" s="1043">
        <f>SUM(E3956:E3957)</f>
        <v>320</v>
      </c>
      <c r="G3957" s="1550"/>
    </row>
    <row r="3958" spans="1:8">
      <c r="A3958" s="1754">
        <v>42104</v>
      </c>
      <c r="B3958" s="125" t="str">
        <f>TiposLancamentos!B16</f>
        <v>Cristiane</v>
      </c>
      <c r="C3958" s="1040" t="s">
        <v>7060</v>
      </c>
      <c r="D3958" s="1736"/>
      <c r="E3958" s="1043">
        <v>240</v>
      </c>
      <c r="F3958" s="1043"/>
      <c r="G3958" s="1550"/>
    </row>
    <row r="3959" spans="1:8">
      <c r="A3959" s="1666">
        <v>42104</v>
      </c>
      <c r="B3959" s="817" t="str">
        <f>TiposLancamentos!B8</f>
        <v>Aluguel</v>
      </c>
      <c r="C3959" s="1742" t="s">
        <v>6163</v>
      </c>
      <c r="D3959" s="1735"/>
      <c r="E3959" s="1733">
        <v>1471.26</v>
      </c>
      <c r="F3959" s="1043"/>
      <c r="G3959" s="1550"/>
    </row>
    <row r="3960" spans="1:8">
      <c r="A3960" s="1667">
        <v>42104</v>
      </c>
      <c r="B3960" s="816" t="str">
        <f>TiposLancamentos!B12</f>
        <v>IPTU</v>
      </c>
      <c r="C3960" s="1769" t="s">
        <v>6537</v>
      </c>
      <c r="D3960" s="1736"/>
      <c r="E3960" s="1734">
        <v>118.26</v>
      </c>
      <c r="F3960" s="1043"/>
      <c r="G3960" s="1550"/>
    </row>
    <row r="3961" spans="1:8">
      <c r="A3961" s="1750">
        <v>42104</v>
      </c>
      <c r="B3961" s="818" t="str">
        <f>TiposLancamentos!B34</f>
        <v>Seguros</v>
      </c>
      <c r="C3961" s="1743" t="s">
        <v>7061</v>
      </c>
      <c r="D3961" s="1737"/>
      <c r="E3961" s="1668">
        <v>247.84</v>
      </c>
      <c r="F3961" s="1043">
        <f>SUM(E3959:E3961)</f>
        <v>1837.36</v>
      </c>
      <c r="G3961" s="1550"/>
      <c r="H3961" s="156"/>
    </row>
    <row r="3962" spans="1:8">
      <c r="A3962" s="1754">
        <v>42104</v>
      </c>
      <c r="B3962" s="125" t="str">
        <f>TiposLancamentos!B4</f>
        <v>Taxas Bancarias</v>
      </c>
      <c r="C3962" s="1040" t="s">
        <v>7025</v>
      </c>
      <c r="D3962" s="1736"/>
      <c r="E3962" s="1043">
        <v>204.65</v>
      </c>
      <c r="F3962" s="1043"/>
      <c r="G3962" s="1550"/>
    </row>
    <row r="3963" spans="1:8">
      <c r="A3963" s="1666">
        <v>42104</v>
      </c>
      <c r="B3963" s="817" t="str">
        <f>TiposLancamentos!B35</f>
        <v>Tv à Cabo</v>
      </c>
      <c r="C3963" s="1742" t="s">
        <v>5834</v>
      </c>
      <c r="D3963" s="1735"/>
      <c r="E3963" s="1733">
        <v>129.41</v>
      </c>
      <c r="F3963" s="1043"/>
      <c r="G3963" s="1550"/>
    </row>
    <row r="3964" spans="1:8">
      <c r="A3964" s="1667">
        <v>42104</v>
      </c>
      <c r="B3964" s="816" t="str">
        <f>TiposLancamentos!B3</f>
        <v>Internet</v>
      </c>
      <c r="C3964" s="1769" t="s">
        <v>5835</v>
      </c>
      <c r="D3964" s="1736"/>
      <c r="E3964" s="1734">
        <v>64.599999999999994</v>
      </c>
      <c r="F3964" s="1043"/>
      <c r="G3964" s="1550"/>
    </row>
    <row r="3965" spans="1:8">
      <c r="A3965" s="1750">
        <v>42104</v>
      </c>
      <c r="B3965" s="818" t="str">
        <f>TiposLancamentos!B2</f>
        <v>Telefonia</v>
      </c>
      <c r="C3965" s="1743" t="s">
        <v>5836</v>
      </c>
      <c r="D3965" s="1737"/>
      <c r="E3965" s="1668">
        <v>5.61</v>
      </c>
      <c r="F3965" s="1043">
        <f>SUM(E3963:E3965)</f>
        <v>199.62</v>
      </c>
      <c r="G3965" s="1550"/>
    </row>
    <row r="3966" spans="1:8">
      <c r="A3966" s="1754">
        <v>42109</v>
      </c>
      <c r="B3966" s="125" t="str">
        <f>TiposLancamentos!B95</f>
        <v>Salarios</v>
      </c>
      <c r="C3966" s="1040" t="s">
        <v>4916</v>
      </c>
      <c r="D3966" s="1736">
        <v>3240</v>
      </c>
      <c r="E3966" s="1043"/>
      <c r="F3966" s="1043"/>
      <c r="G3966" s="1550"/>
    </row>
    <row r="3967" spans="1:8">
      <c r="A3967" s="1666">
        <v>42109</v>
      </c>
      <c r="B3967" s="817" t="str">
        <f>TiposLancamentos!B33</f>
        <v>Pedágios</v>
      </c>
      <c r="C3967" s="1742" t="s">
        <v>5392</v>
      </c>
      <c r="D3967" s="1735"/>
      <c r="E3967" s="1733">
        <v>31.94</v>
      </c>
      <c r="F3967" s="1043"/>
      <c r="G3967" s="1550"/>
    </row>
    <row r="3968" spans="1:8">
      <c r="A3968" s="1667">
        <v>42109</v>
      </c>
      <c r="B3968" s="816" t="str">
        <f>TiposLancamentos!B24</f>
        <v>Estacionamentos</v>
      </c>
      <c r="C3968" s="1769" t="s">
        <v>5863</v>
      </c>
      <c r="D3968" s="1736"/>
      <c r="E3968" s="1734">
        <v>27</v>
      </c>
      <c r="F3968" s="1043"/>
      <c r="G3968" s="1550"/>
    </row>
    <row r="3969" spans="1:7">
      <c r="A3969" s="1750">
        <v>42109</v>
      </c>
      <c r="B3969" s="818" t="str">
        <f>TiposLancamentos!B24</f>
        <v>Estacionamentos</v>
      </c>
      <c r="C3969" s="1743" t="s">
        <v>6297</v>
      </c>
      <c r="D3969" s="1737"/>
      <c r="E3969" s="1668">
        <v>24</v>
      </c>
      <c r="F3969" s="1043">
        <f>SUM(E3967:E3969)</f>
        <v>82.94</v>
      </c>
      <c r="G3969" s="1550"/>
    </row>
    <row r="3970" spans="1:7">
      <c r="A3970" s="1754">
        <v>42109</v>
      </c>
      <c r="B3970" s="125" t="str">
        <f>TiposLancamentos!B56</f>
        <v>Farmácia</v>
      </c>
      <c r="C3970" s="1040" t="s">
        <v>7062</v>
      </c>
      <c r="D3970" s="1736"/>
      <c r="E3970" s="1043">
        <v>12.98</v>
      </c>
      <c r="F3970" s="1043"/>
      <c r="G3970" s="1550"/>
    </row>
    <row r="3971" spans="1:7">
      <c r="A3971" s="1754">
        <v>42110</v>
      </c>
      <c r="B3971" s="125" t="str">
        <f>TiposLancamentos!B98</f>
        <v>Restituições</v>
      </c>
      <c r="C3971" s="1040" t="s">
        <v>5820</v>
      </c>
      <c r="D3971" s="1736">
        <v>219.52</v>
      </c>
      <c r="E3971" s="1043"/>
      <c r="F3971" s="1043"/>
      <c r="G3971" s="1550"/>
    </row>
    <row r="3972" spans="1:7">
      <c r="A3972" s="1754">
        <v>42110</v>
      </c>
      <c r="B3972" s="125" t="str">
        <f>TiposLancamentos!B16</f>
        <v>Cristiane</v>
      </c>
      <c r="C3972" s="1040" t="s">
        <v>7063</v>
      </c>
      <c r="D3972" s="1736"/>
      <c r="E3972" s="1043">
        <v>39.700000000000003</v>
      </c>
      <c r="F3972" s="1043"/>
      <c r="G3972" s="1550"/>
    </row>
    <row r="3973" spans="1:7">
      <c r="A3973" s="1754">
        <v>42110</v>
      </c>
      <c r="B3973" s="125" t="str">
        <f>TiposLancamentos!B19</f>
        <v>Restaurantes</v>
      </c>
      <c r="C3973" s="1040" t="s">
        <v>6196</v>
      </c>
      <c r="D3973" s="1736"/>
      <c r="E3973" s="1043">
        <v>46</v>
      </c>
      <c r="F3973" s="1043"/>
      <c r="G3973" s="1550"/>
    </row>
    <row r="3974" spans="1:7">
      <c r="A3974" s="1754">
        <v>42112</v>
      </c>
      <c r="B3974" s="125" t="str">
        <f>TiposLancamentos!B73</f>
        <v>Cursos</v>
      </c>
      <c r="C3974" s="1040" t="s">
        <v>7064</v>
      </c>
      <c r="D3974" s="1736"/>
      <c r="E3974" s="1043">
        <v>300</v>
      </c>
      <c r="F3974" s="1043"/>
      <c r="G3974" s="1550"/>
    </row>
    <row r="3975" spans="1:7">
      <c r="A3975" s="1754">
        <v>42113</v>
      </c>
      <c r="B3975" s="125" t="str">
        <f>TiposLancamentos!B72</f>
        <v>Presentes</v>
      </c>
      <c r="C3975" s="1040" t="s">
        <v>7065</v>
      </c>
      <c r="D3975" s="1736"/>
      <c r="E3975" s="1043">
        <v>104</v>
      </c>
      <c r="F3975" s="1043"/>
      <c r="G3975" s="1550"/>
    </row>
    <row r="3976" spans="1:7">
      <c r="A3976" s="1754">
        <v>42113</v>
      </c>
      <c r="B3976" s="125" t="str">
        <f>TiposLancamentos!B19</f>
        <v>Restaurantes</v>
      </c>
      <c r="C3976" s="1040" t="s">
        <v>7066</v>
      </c>
      <c r="D3976" s="1736"/>
      <c r="E3976" s="1043">
        <v>24.8</v>
      </c>
      <c r="F3976" s="1043"/>
      <c r="G3976" s="1550"/>
    </row>
    <row r="3977" spans="1:7">
      <c r="A3977" s="1754">
        <v>42113</v>
      </c>
      <c r="B3977" s="125" t="str">
        <f>TiposLancamentos!B24</f>
        <v>Estacionamentos</v>
      </c>
      <c r="C3977" s="1040" t="s">
        <v>7067</v>
      </c>
      <c r="D3977" s="1736"/>
      <c r="E3977" s="1043">
        <v>18</v>
      </c>
      <c r="F3977" s="1043"/>
      <c r="G3977" s="1550"/>
    </row>
    <row r="3978" spans="1:7">
      <c r="A3978" s="1754">
        <v>42114</v>
      </c>
      <c r="B3978" s="125" t="str">
        <f>TiposLancamentos!B19</f>
        <v>Restaurantes</v>
      </c>
      <c r="C3978" s="1040" t="s">
        <v>7068</v>
      </c>
      <c r="D3978" s="1736"/>
      <c r="E3978" s="1043">
        <v>61.71</v>
      </c>
      <c r="F3978" s="1043"/>
      <c r="G3978" s="1550"/>
    </row>
    <row r="3979" spans="1:7">
      <c r="A3979" s="1754">
        <v>42117</v>
      </c>
      <c r="B3979" s="125" t="str">
        <f>TiposLancamentos!B16</f>
        <v>Cristiane</v>
      </c>
      <c r="C3979" s="1040" t="s">
        <v>7069</v>
      </c>
      <c r="D3979" s="1736"/>
      <c r="E3979" s="1043">
        <v>115.12</v>
      </c>
      <c r="F3979" s="1043"/>
      <c r="G3979" s="1550"/>
    </row>
    <row r="3980" spans="1:7">
      <c r="A3980" s="1754">
        <v>42117</v>
      </c>
      <c r="B3980" s="125" t="str">
        <f>TiposLancamentos!B19</f>
        <v>Restaurantes</v>
      </c>
      <c r="C3980" s="1040" t="s">
        <v>6533</v>
      </c>
      <c r="D3980" s="1736"/>
      <c r="E3980" s="1043">
        <v>15.25</v>
      </c>
      <c r="F3980" s="1043"/>
      <c r="G3980" s="1550"/>
    </row>
    <row r="3981" spans="1:7">
      <c r="A3981" s="1754">
        <v>42117</v>
      </c>
      <c r="B3981" s="125" t="str">
        <f>TiposLancamentos!B16</f>
        <v>Cristiane</v>
      </c>
      <c r="C3981" s="1040" t="s">
        <v>6052</v>
      </c>
      <c r="D3981" s="1736"/>
      <c r="E3981" s="1043">
        <v>62.87</v>
      </c>
      <c r="F3981" s="1043"/>
      <c r="G3981" s="1550"/>
    </row>
    <row r="3982" spans="1:7">
      <c r="A3982" s="1754">
        <v>42118</v>
      </c>
      <c r="B3982" s="125" t="str">
        <f>TiposLancamentos!B24</f>
        <v>Estacionamentos</v>
      </c>
      <c r="C3982" s="1040" t="s">
        <v>3398</v>
      </c>
      <c r="D3982" s="1736"/>
      <c r="E3982" s="1043">
        <v>10</v>
      </c>
      <c r="F3982" s="1043"/>
      <c r="G3982" s="1550"/>
    </row>
    <row r="3983" spans="1:7">
      <c r="A3983" s="1754">
        <v>42119</v>
      </c>
      <c r="B3983" s="125" t="str">
        <f>TiposLancamentos!B19</f>
        <v>Restaurantes</v>
      </c>
      <c r="C3983" s="1040" t="s">
        <v>6869</v>
      </c>
      <c r="D3983" s="1736"/>
      <c r="E3983" s="1043">
        <v>53.9</v>
      </c>
      <c r="F3983" s="1043"/>
      <c r="G3983" s="1550"/>
    </row>
    <row r="3984" spans="1:7">
      <c r="A3984" s="1754">
        <v>42119</v>
      </c>
      <c r="B3984" s="125" t="str">
        <f>TiposLancamentos!B19</f>
        <v>Restaurantes</v>
      </c>
      <c r="C3984" s="1040" t="s">
        <v>7070</v>
      </c>
      <c r="D3984" s="1736"/>
      <c r="E3984" s="1043">
        <v>5.64</v>
      </c>
      <c r="F3984" s="1043"/>
      <c r="G3984" s="1550"/>
    </row>
    <row r="3985" spans="1:7">
      <c r="A3985" s="1754">
        <v>42121</v>
      </c>
      <c r="B3985" s="125" t="str">
        <f>TiposLancamentos!B24</f>
        <v>Estacionamentos</v>
      </c>
      <c r="C3985" s="1040" t="s">
        <v>3398</v>
      </c>
      <c r="D3985" s="1736"/>
      <c r="E3985" s="1043">
        <v>7</v>
      </c>
      <c r="F3985" s="1043"/>
      <c r="G3985" s="1550"/>
    </row>
    <row r="3986" spans="1:7">
      <c r="A3986" s="1754">
        <v>42121</v>
      </c>
      <c r="B3986" s="125" t="str">
        <f>TiposLancamentos!B34</f>
        <v>Seguros</v>
      </c>
      <c r="C3986" s="1040" t="s">
        <v>7071</v>
      </c>
      <c r="D3986" s="1736"/>
      <c r="E3986" s="1043">
        <v>63.9</v>
      </c>
      <c r="F3986" s="1043"/>
      <c r="G3986" s="1550"/>
    </row>
    <row r="3987" spans="1:7">
      <c r="A3987" s="1754">
        <v>42121</v>
      </c>
      <c r="B3987" s="125" t="str">
        <f>TiposLancamentos!B98</f>
        <v>Restituições</v>
      </c>
      <c r="C3987" s="1040" t="s">
        <v>7072</v>
      </c>
      <c r="D3987" s="1736">
        <v>170</v>
      </c>
      <c r="E3987" s="1043"/>
      <c r="F3987" s="1043"/>
      <c r="G3987" s="1550"/>
    </row>
    <row r="3988" spans="1:7">
      <c r="A3988" s="1754">
        <v>42122</v>
      </c>
      <c r="B3988" s="125" t="str">
        <f>TiposLancamentos!B6</f>
        <v>Energia Eletrica</v>
      </c>
      <c r="C3988" s="1040" t="s">
        <v>7073</v>
      </c>
      <c r="D3988" s="1736"/>
      <c r="E3988" s="1043">
        <v>202.51</v>
      </c>
      <c r="F3988" s="1043"/>
      <c r="G3988" s="1550"/>
    </row>
    <row r="3989" spans="1:7">
      <c r="A3989" s="1754">
        <v>42122</v>
      </c>
      <c r="B3989" s="125" t="str">
        <f>TiposLancamentos!B20</f>
        <v>Saques</v>
      </c>
      <c r="C3989" s="1040" t="s">
        <v>7074</v>
      </c>
      <c r="D3989" s="1736"/>
      <c r="E3989" s="1043">
        <v>40</v>
      </c>
      <c r="F3989" s="1043"/>
      <c r="G3989" s="1550"/>
    </row>
    <row r="3990" spans="1:7">
      <c r="A3990" s="1666">
        <v>42122</v>
      </c>
      <c r="B3990" s="1862" t="str">
        <f>TiposLancamentos!B72</f>
        <v>Presentes</v>
      </c>
      <c r="C3990" s="1742" t="s">
        <v>7075</v>
      </c>
      <c r="D3990" s="1735"/>
      <c r="E3990" s="1733">
        <v>49.9</v>
      </c>
      <c r="F3990" s="1043"/>
      <c r="G3990" s="1550"/>
    </row>
    <row r="3991" spans="1:7">
      <c r="A3991" s="1750">
        <v>42122</v>
      </c>
      <c r="B3991" s="1863" t="str">
        <f>TiposLancamentos!B62</f>
        <v>Papelaria</v>
      </c>
      <c r="C3991" s="1743" t="s">
        <v>7076</v>
      </c>
      <c r="D3991" s="1737"/>
      <c r="E3991" s="1668">
        <v>44.7</v>
      </c>
      <c r="F3991" s="1043">
        <f>SUM(E3990:E3991)</f>
        <v>94.6</v>
      </c>
      <c r="G3991" s="1550"/>
    </row>
    <row r="3992" spans="1:7">
      <c r="A3992" s="1754">
        <v>42123</v>
      </c>
      <c r="B3992" s="125" t="str">
        <f>TiposLancamentos!B19</f>
        <v>Restaurantes</v>
      </c>
      <c r="C3992" s="1040" t="s">
        <v>6981</v>
      </c>
      <c r="D3992" s="1736"/>
      <c r="E3992" s="1043">
        <v>55.61</v>
      </c>
      <c r="F3992" s="1043"/>
      <c r="G3992" s="1550"/>
    </row>
    <row r="3993" spans="1:7" ht="14.25" thickBot="1">
      <c r="A3993" s="1754">
        <v>42124</v>
      </c>
      <c r="B3993" s="125" t="str">
        <f>TiposLancamentos!B95</f>
        <v>Salarios</v>
      </c>
      <c r="C3993" s="1040" t="s">
        <v>7054</v>
      </c>
      <c r="D3993" s="1736">
        <v>3101.24</v>
      </c>
      <c r="E3993" s="1043"/>
      <c r="F3993" s="1043"/>
      <c r="G3993" s="1550"/>
    </row>
    <row r="3994" spans="1:7">
      <c r="A3994" s="1834"/>
      <c r="B3994" s="977"/>
      <c r="C3994" s="1854" t="s">
        <v>7077</v>
      </c>
      <c r="D3994" s="1823"/>
      <c r="E3994" s="1821"/>
      <c r="F3994" s="1821"/>
      <c r="G3994" s="1895"/>
    </row>
    <row r="3995" spans="1:7">
      <c r="A3995" s="1754">
        <v>42125</v>
      </c>
      <c r="B3995" s="125" t="str">
        <f>TiposLancamentos!B22</f>
        <v>Combustivel</v>
      </c>
      <c r="C3995" s="1040" t="s">
        <v>7078</v>
      </c>
      <c r="D3995" s="1736"/>
      <c r="E3995" s="1043">
        <v>100</v>
      </c>
      <c r="F3995" s="1043"/>
      <c r="G3995" s="1550"/>
    </row>
    <row r="3996" spans="1:7">
      <c r="A3996" s="1754">
        <v>42125</v>
      </c>
      <c r="B3996" s="125" t="str">
        <f>TiposLancamentos!B5</f>
        <v>Supermercado</v>
      </c>
      <c r="C3996" s="1040" t="s">
        <v>6234</v>
      </c>
      <c r="D3996" s="1736"/>
      <c r="E3996" s="1043">
        <v>29.66</v>
      </c>
      <c r="F3996" s="1043"/>
      <c r="G3996" s="1550"/>
    </row>
    <row r="3997" spans="1:7">
      <c r="A3997" s="1754">
        <v>42126</v>
      </c>
      <c r="B3997" s="125" t="str">
        <f>TiposLancamentos!B19</f>
        <v>Restaurantes</v>
      </c>
      <c r="C3997" s="1040" t="s">
        <v>3755</v>
      </c>
      <c r="D3997" s="1736"/>
      <c r="E3997" s="1043">
        <v>79.540000000000006</v>
      </c>
      <c r="F3997" s="1043"/>
      <c r="G3997" s="1550"/>
    </row>
    <row r="3998" spans="1:7">
      <c r="A3998" s="1754">
        <v>42126</v>
      </c>
      <c r="B3998" s="125" t="str">
        <f>TiposLancamentos!B13</f>
        <v>Moradia</v>
      </c>
      <c r="C3998" s="1040" t="s">
        <v>7079</v>
      </c>
      <c r="D3998" s="1736"/>
      <c r="E3998" s="1043">
        <v>39</v>
      </c>
      <c r="F3998" s="1043"/>
      <c r="G3998" s="1550"/>
    </row>
    <row r="3999" spans="1:7">
      <c r="A3999" s="1754">
        <v>42126</v>
      </c>
      <c r="B3999" s="125" t="str">
        <f>TiposLancamentos!B24</f>
        <v>Estacionamentos</v>
      </c>
      <c r="C3999" s="1040" t="s">
        <v>3398</v>
      </c>
      <c r="D3999" s="1736"/>
      <c r="E3999" s="1043">
        <v>7</v>
      </c>
      <c r="F3999" s="1043"/>
      <c r="G3999" s="1550"/>
    </row>
    <row r="4000" spans="1:7">
      <c r="A4000" s="1754">
        <v>42128</v>
      </c>
      <c r="B4000" s="125" t="str">
        <f>TiposLancamentos!B15</f>
        <v>Cartões de Crédito</v>
      </c>
      <c r="C4000" s="1040" t="s">
        <v>7080</v>
      </c>
      <c r="D4000" s="1736"/>
      <c r="E4000" s="1043">
        <v>370.95</v>
      </c>
      <c r="F4000" s="1043"/>
      <c r="G4000" s="1550"/>
    </row>
    <row r="4001" spans="1:7">
      <c r="A4001" s="1754">
        <v>42128</v>
      </c>
      <c r="B4001" s="125" t="str">
        <f>TiposLancamentos!B15</f>
        <v>Cartões de Crédito</v>
      </c>
      <c r="C4001" s="1040" t="s">
        <v>6561</v>
      </c>
      <c r="D4001" s="1736"/>
      <c r="E4001" s="1043">
        <v>19.25</v>
      </c>
      <c r="F4001" s="1043"/>
      <c r="G4001" s="1550"/>
    </row>
    <row r="4002" spans="1:7">
      <c r="A4002" s="1754">
        <v>42128</v>
      </c>
      <c r="B4002" s="125" t="str">
        <f>TiposLancamentos!B2</f>
        <v>Telefonia</v>
      </c>
      <c r="C4002" s="1040" t="s">
        <v>6924</v>
      </c>
      <c r="D4002" s="1736"/>
      <c r="E4002" s="1043">
        <v>157.91999999999999</v>
      </c>
      <c r="F4002" s="1043"/>
      <c r="G4002" s="1550"/>
    </row>
    <row r="4003" spans="1:7">
      <c r="A4003" s="1754">
        <v>42128</v>
      </c>
      <c r="B4003" s="125" t="str">
        <f>TiposLancamentos!B3</f>
        <v>Internet</v>
      </c>
      <c r="C4003" s="1040" t="s">
        <v>6913</v>
      </c>
      <c r="D4003" s="1736"/>
      <c r="E4003" s="1043">
        <v>76.61</v>
      </c>
      <c r="F4003" s="1043"/>
      <c r="G4003" s="1550"/>
    </row>
    <row r="4004" spans="1:7">
      <c r="A4004" s="1754">
        <v>42128</v>
      </c>
      <c r="B4004" s="125" t="str">
        <f>TiposLancamentos!B105</f>
        <v>Transf. Bco</v>
      </c>
      <c r="C4004" s="1040" t="s">
        <v>7081</v>
      </c>
      <c r="D4004" s="1736"/>
      <c r="E4004" s="1043">
        <v>235</v>
      </c>
      <c r="F4004" s="1043"/>
      <c r="G4004" s="1550"/>
    </row>
    <row r="4005" spans="1:7">
      <c r="A4005" s="1754">
        <v>42128</v>
      </c>
      <c r="B4005" s="125" t="str">
        <f>TiposLancamentos!B9</f>
        <v>Condominio</v>
      </c>
      <c r="C4005" s="1040" t="s">
        <v>5925</v>
      </c>
      <c r="D4005" s="1736"/>
      <c r="E4005" s="1043">
        <v>886.07</v>
      </c>
      <c r="F4005" s="1043"/>
      <c r="G4005" s="1550"/>
    </row>
    <row r="4006" spans="1:7">
      <c r="A4006" s="1754">
        <v>42128</v>
      </c>
      <c r="B4006" s="125" t="str">
        <f>TiposLancamentos!B88</f>
        <v>Ford Ecosport XLT</v>
      </c>
      <c r="C4006" s="1040" t="s">
        <v>7082</v>
      </c>
      <c r="D4006" s="1736"/>
      <c r="E4006" s="1043">
        <v>105.65</v>
      </c>
      <c r="F4006" s="1043"/>
      <c r="G4006" s="1550"/>
    </row>
    <row r="4007" spans="1:7">
      <c r="A4007" s="1754">
        <v>42128</v>
      </c>
      <c r="B4007" s="125" t="str">
        <f>TiposLancamentos!B87</f>
        <v>P207-1.6-XS</v>
      </c>
      <c r="C4007" s="1040" t="s">
        <v>7083</v>
      </c>
      <c r="D4007" s="1736"/>
      <c r="E4007" s="1043">
        <v>105.65</v>
      </c>
      <c r="F4007" s="1043"/>
      <c r="G4007" s="1550"/>
    </row>
    <row r="4008" spans="1:7">
      <c r="A4008" s="1754">
        <v>42128</v>
      </c>
      <c r="B4008" s="125" t="str">
        <f>TiposLancamentos!B4</f>
        <v>Taxas Bancarias</v>
      </c>
      <c r="C4008" s="1040" t="s">
        <v>6910</v>
      </c>
      <c r="D4008" s="1736"/>
      <c r="E4008" s="1043">
        <v>8.18</v>
      </c>
      <c r="F4008" s="1043"/>
      <c r="G4008" s="1550"/>
    </row>
    <row r="4009" spans="1:7">
      <c r="A4009" s="1754">
        <v>42129</v>
      </c>
      <c r="B4009" s="125" t="str">
        <f>TiposLancamentos!B22</f>
        <v>Combustivel</v>
      </c>
      <c r="C4009" s="1040" t="s">
        <v>6412</v>
      </c>
      <c r="D4009" s="1736"/>
      <c r="E4009" s="1043">
        <v>50</v>
      </c>
      <c r="F4009" s="1043"/>
      <c r="G4009" s="1550"/>
    </row>
    <row r="4010" spans="1:7">
      <c r="A4010" s="1754">
        <v>42129</v>
      </c>
      <c r="B4010" s="125" t="str">
        <f>TiposLancamentos!B24</f>
        <v>Estacionamentos</v>
      </c>
      <c r="C4010" s="1040" t="s">
        <v>4589</v>
      </c>
      <c r="D4010" s="1736"/>
      <c r="E4010" s="1043">
        <v>170</v>
      </c>
      <c r="F4010" s="1043"/>
      <c r="G4010" s="1550"/>
    </row>
    <row r="4011" spans="1:7">
      <c r="A4011" s="1754">
        <v>42129</v>
      </c>
      <c r="B4011" s="125" t="str">
        <f>TiposLancamentos!B56</f>
        <v>Farmácia</v>
      </c>
      <c r="C4011" s="1040" t="s">
        <v>7084</v>
      </c>
      <c r="D4011" s="1736"/>
      <c r="E4011" s="1043">
        <v>148.34</v>
      </c>
      <c r="F4011" s="1043"/>
      <c r="G4011" s="1550"/>
    </row>
    <row r="4012" spans="1:7">
      <c r="A4012" s="1754">
        <v>42131</v>
      </c>
      <c r="B4012" s="125" t="str">
        <f>TiposLancamentos!B19</f>
        <v>Restaurantes</v>
      </c>
      <c r="C4012" s="1040" t="s">
        <v>7085</v>
      </c>
      <c r="D4012" s="1736"/>
      <c r="E4012" s="1043">
        <v>38.81</v>
      </c>
      <c r="F4012" s="1043"/>
      <c r="G4012" s="1550"/>
    </row>
    <row r="4013" spans="1:7">
      <c r="A4013" s="1754">
        <v>42131</v>
      </c>
      <c r="B4013" s="125" t="str">
        <f>TiposLancamentos!B20</f>
        <v>Saques</v>
      </c>
      <c r="C4013" s="1040" t="s">
        <v>3604</v>
      </c>
      <c r="D4013" s="1736"/>
      <c r="E4013" s="1043">
        <v>20</v>
      </c>
      <c r="F4013" s="1043"/>
      <c r="G4013" s="1550"/>
    </row>
    <row r="4014" spans="1:7">
      <c r="A4014" s="1754">
        <v>42131</v>
      </c>
      <c r="B4014" s="125" t="str">
        <f>TiposLancamentos!B16</f>
        <v>Cristiane</v>
      </c>
      <c r="C4014" s="1040" t="s">
        <v>7086</v>
      </c>
      <c r="D4014" s="1736"/>
      <c r="E4014" s="1043">
        <v>70</v>
      </c>
      <c r="F4014" s="1043"/>
      <c r="G4014" s="1550"/>
    </row>
    <row r="4015" spans="1:7">
      <c r="A4015" s="1754">
        <v>42131</v>
      </c>
      <c r="B4015" s="125" t="str">
        <f>TiposLancamentos!B28</f>
        <v>ComicBook</v>
      </c>
      <c r="C4015" s="1040" t="s">
        <v>7087</v>
      </c>
      <c r="D4015" s="1736"/>
      <c r="E4015" s="1043">
        <v>22.9</v>
      </c>
      <c r="F4015" s="1043"/>
      <c r="G4015" s="1550"/>
    </row>
    <row r="4016" spans="1:7">
      <c r="A4016" s="1666">
        <v>42135</v>
      </c>
      <c r="B4016" s="817" t="str">
        <f>TiposLancamentos!B8</f>
        <v>Aluguel</v>
      </c>
      <c r="C4016" s="1742" t="s">
        <v>6163</v>
      </c>
      <c r="D4016" s="1735"/>
      <c r="E4016" s="1733">
        <v>1471.26</v>
      </c>
      <c r="F4016" s="1043"/>
      <c r="G4016" s="1550"/>
    </row>
    <row r="4017" spans="1:7">
      <c r="A4017" s="1667">
        <v>42135</v>
      </c>
      <c r="B4017" s="816" t="str">
        <f>TiposLancamentos!B12</f>
        <v>IPTU</v>
      </c>
      <c r="C4017" s="1769" t="s">
        <v>6575</v>
      </c>
      <c r="D4017" s="1736"/>
      <c r="E4017" s="1734">
        <v>118.26</v>
      </c>
      <c r="F4017" s="1043"/>
      <c r="G4017" s="1550"/>
    </row>
    <row r="4018" spans="1:7">
      <c r="A4018" s="1750">
        <v>42135</v>
      </c>
      <c r="B4018" s="818" t="str">
        <f>TiposLancamentos!B34</f>
        <v>Seguros</v>
      </c>
      <c r="C4018" s="1743" t="s">
        <v>7088</v>
      </c>
      <c r="D4018" s="1737"/>
      <c r="E4018" s="1668">
        <v>247.84</v>
      </c>
      <c r="F4018" s="1043">
        <f>SUM(E4016:E4018)</f>
        <v>1837.36</v>
      </c>
      <c r="G4018" s="1550"/>
    </row>
    <row r="4019" spans="1:7">
      <c r="A4019" s="1754">
        <v>42135</v>
      </c>
      <c r="B4019" s="125" t="str">
        <f>TiposLancamentos!B4</f>
        <v>Taxas Bancarias</v>
      </c>
      <c r="C4019" s="1040" t="s">
        <v>7089</v>
      </c>
      <c r="D4019" s="1736"/>
      <c r="E4019" s="1043">
        <v>29.31</v>
      </c>
      <c r="F4019" s="1043"/>
      <c r="G4019" s="1550"/>
    </row>
    <row r="4020" spans="1:7">
      <c r="A4020" s="1666">
        <v>42134</v>
      </c>
      <c r="B4020" s="817" t="str">
        <f>TiposLancamentos!B35</f>
        <v>Tv à Cabo</v>
      </c>
      <c r="C4020" s="1742" t="s">
        <v>5834</v>
      </c>
      <c r="D4020" s="1735"/>
      <c r="E4020" s="1733">
        <v>129.41</v>
      </c>
      <c r="F4020" s="1043"/>
      <c r="G4020" s="1550"/>
    </row>
    <row r="4021" spans="1:7">
      <c r="A4021" s="1667">
        <v>42134</v>
      </c>
      <c r="B4021" s="816" t="str">
        <f>TiposLancamentos!B3</f>
        <v>Internet</v>
      </c>
      <c r="C4021" s="1769" t="s">
        <v>5835</v>
      </c>
      <c r="D4021" s="1736"/>
      <c r="E4021" s="1734">
        <v>64.599999999999994</v>
      </c>
      <c r="F4021" s="1043"/>
      <c r="G4021" s="1550"/>
    </row>
    <row r="4022" spans="1:7">
      <c r="A4022" s="1750">
        <v>42134</v>
      </c>
      <c r="B4022" s="818" t="str">
        <f>TiposLancamentos!B2</f>
        <v>Telefonia</v>
      </c>
      <c r="C4022" s="1743" t="s">
        <v>5836</v>
      </c>
      <c r="D4022" s="1737"/>
      <c r="E4022" s="1668">
        <v>7.46</v>
      </c>
      <c r="F4022" s="1043">
        <f>SUM(E4020:E4022)</f>
        <v>201.47</v>
      </c>
      <c r="G4022" s="1550"/>
    </row>
    <row r="4023" spans="1:7">
      <c r="A4023" s="1754">
        <v>42134</v>
      </c>
      <c r="B4023" s="125" t="str">
        <f>TiposLancamentos!B16</f>
        <v>Cristiane</v>
      </c>
      <c r="C4023" s="1040" t="s">
        <v>7090</v>
      </c>
      <c r="D4023" s="1851"/>
      <c r="E4023" s="1043">
        <v>240</v>
      </c>
      <c r="F4023" s="1043"/>
      <c r="G4023" s="1550"/>
    </row>
    <row r="4024" spans="1:7">
      <c r="A4024" s="1754">
        <v>42136</v>
      </c>
      <c r="B4024" s="125" t="str">
        <f>TiposLancamentos!B64</f>
        <v>Viagens</v>
      </c>
      <c r="C4024" s="1040" t="s">
        <v>7091</v>
      </c>
      <c r="D4024" s="1736"/>
      <c r="E4024" s="1043">
        <v>425</v>
      </c>
      <c r="F4024" s="1043"/>
      <c r="G4024" s="1550"/>
    </row>
    <row r="4025" spans="1:7">
      <c r="A4025" s="1754">
        <v>42136</v>
      </c>
      <c r="B4025" s="125" t="str">
        <f>TiposLancamentos!B19</f>
        <v>Restaurantes</v>
      </c>
      <c r="C4025" s="1040" t="s">
        <v>7092</v>
      </c>
      <c r="D4025" s="1736"/>
      <c r="E4025" s="1043">
        <v>54.61</v>
      </c>
      <c r="F4025" s="1043"/>
      <c r="G4025" s="1550"/>
    </row>
    <row r="4026" spans="1:7">
      <c r="A4026" s="1754">
        <v>42136</v>
      </c>
      <c r="B4026" s="125" t="str">
        <f>TiposLancamentos!B71</f>
        <v>Itens Pessoais</v>
      </c>
      <c r="C4026" s="1040" t="s">
        <v>7093</v>
      </c>
      <c r="D4026" s="1736"/>
      <c r="E4026" s="1043">
        <v>65</v>
      </c>
      <c r="F4026" s="1043"/>
      <c r="G4026" s="1550"/>
    </row>
    <row r="4027" spans="1:7">
      <c r="A4027" s="1754">
        <v>42137</v>
      </c>
      <c r="B4027" s="125" t="str">
        <f>TiposLancamentos!B16</f>
        <v>Cristiane</v>
      </c>
      <c r="C4027" s="1040" t="s">
        <v>7094</v>
      </c>
      <c r="D4027" s="1736"/>
      <c r="E4027" s="1043">
        <v>10</v>
      </c>
      <c r="F4027" s="1043"/>
      <c r="G4027" s="1550"/>
    </row>
    <row r="4028" spans="1:7">
      <c r="A4028" s="1754">
        <v>42137</v>
      </c>
      <c r="B4028" s="125" t="str">
        <f>TiposLancamentos!B99</f>
        <v>Venda de algo</v>
      </c>
      <c r="C4028" s="1040" t="s">
        <v>7095</v>
      </c>
      <c r="D4028" s="1736">
        <v>140</v>
      </c>
      <c r="E4028" s="1043"/>
      <c r="F4028" s="1043"/>
      <c r="G4028" s="1550"/>
    </row>
    <row r="4029" spans="1:7">
      <c r="A4029" s="1754">
        <v>42138</v>
      </c>
      <c r="B4029" s="125" t="str">
        <f>TiposLancamentos!B60</f>
        <v>Correio</v>
      </c>
      <c r="C4029" s="1040" t="s">
        <v>7096</v>
      </c>
      <c r="D4029" s="1736"/>
      <c r="E4029" s="1043">
        <v>24.2</v>
      </c>
      <c r="F4029" s="1043"/>
      <c r="G4029" s="1550"/>
    </row>
    <row r="4030" spans="1:7">
      <c r="A4030" s="1754">
        <v>42139</v>
      </c>
      <c r="B4030" s="125" t="str">
        <f>TiposLancamentos!B95</f>
        <v>Salarios</v>
      </c>
      <c r="C4030" s="1040" t="s">
        <v>4916</v>
      </c>
      <c r="D4030" s="1736">
        <v>3240</v>
      </c>
      <c r="E4030" s="1043"/>
      <c r="F4030" s="1043"/>
      <c r="G4030" s="1550"/>
    </row>
    <row r="4031" spans="1:7">
      <c r="A4031" s="1666">
        <v>42139</v>
      </c>
      <c r="B4031" s="817" t="str">
        <f>TiposLancamentos!B33</f>
        <v>Pedágios</v>
      </c>
      <c r="C4031" s="1742" t="s">
        <v>5392</v>
      </c>
      <c r="D4031" s="1735"/>
      <c r="E4031" s="1733">
        <v>31.94</v>
      </c>
      <c r="F4031" s="1043"/>
      <c r="G4031" s="1550"/>
    </row>
    <row r="4032" spans="1:7">
      <c r="A4032" s="1667">
        <v>42139</v>
      </c>
      <c r="B4032" s="816" t="str">
        <f>TiposLancamentos!B24</f>
        <v>Estacionamentos</v>
      </c>
      <c r="C4032" s="1769" t="s">
        <v>5863</v>
      </c>
      <c r="D4032" s="1736"/>
      <c r="E4032" s="1734">
        <v>6</v>
      </c>
      <c r="F4032" s="1043"/>
      <c r="G4032" s="1550"/>
    </row>
    <row r="4033" spans="1:7">
      <c r="A4033" s="1750">
        <v>42139</v>
      </c>
      <c r="B4033" s="818" t="str">
        <f>TiposLancamentos!B24</f>
        <v>Estacionamentos</v>
      </c>
      <c r="C4033" s="1743" t="s">
        <v>6297</v>
      </c>
      <c r="D4033" s="1737"/>
      <c r="E4033" s="1668">
        <v>49</v>
      </c>
      <c r="F4033" s="1043">
        <f>SUM(E4031:E4033)</f>
        <v>86.94</v>
      </c>
      <c r="G4033" s="1550"/>
    </row>
    <row r="4034" spans="1:7">
      <c r="A4034" s="1754">
        <v>42141</v>
      </c>
      <c r="B4034" s="125" t="str">
        <f>TiposLancamentos!B64</f>
        <v>Viagens</v>
      </c>
      <c r="C4034" s="1040" t="s">
        <v>7097</v>
      </c>
      <c r="D4034" s="1736"/>
      <c r="E4034" s="1043">
        <v>518.25</v>
      </c>
      <c r="F4034" s="1043"/>
      <c r="G4034" s="1550"/>
    </row>
    <row r="4035" spans="1:7">
      <c r="A4035" s="1754">
        <v>42142</v>
      </c>
      <c r="B4035" s="125" t="str">
        <f>TiposLancamentos!B19</f>
        <v>Restaurantes</v>
      </c>
      <c r="C4035" s="1040" t="s">
        <v>7098</v>
      </c>
      <c r="D4035" s="1736"/>
      <c r="E4035" s="1043">
        <v>4</v>
      </c>
      <c r="F4035" s="1043"/>
      <c r="G4035" s="1550"/>
    </row>
    <row r="4036" spans="1:7">
      <c r="A4036" s="1754">
        <v>42143</v>
      </c>
      <c r="B4036" s="125" t="str">
        <f>TiposLancamentos!B20</f>
        <v>Saques</v>
      </c>
      <c r="C4036" s="1040" t="s">
        <v>3604</v>
      </c>
      <c r="D4036" s="1736"/>
      <c r="E4036" s="1043">
        <v>20</v>
      </c>
      <c r="F4036" s="1043"/>
      <c r="G4036" s="1550"/>
    </row>
    <row r="4037" spans="1:7">
      <c r="A4037" s="1754">
        <v>42144</v>
      </c>
      <c r="B4037" s="125" t="str">
        <f>TiposLancamentos!B19</f>
        <v>Restaurantes</v>
      </c>
      <c r="C4037" s="1040" t="s">
        <v>7099</v>
      </c>
      <c r="D4037" s="1736"/>
      <c r="E4037" s="1043">
        <v>10.4</v>
      </c>
      <c r="F4037" s="1043"/>
      <c r="G4037" s="1550"/>
    </row>
    <row r="4038" spans="1:7">
      <c r="A4038" s="1754">
        <v>42145</v>
      </c>
      <c r="B4038" s="125" t="str">
        <f>TiposLancamentos!B16</f>
        <v>Cristiane</v>
      </c>
      <c r="C4038" s="1040" t="s">
        <v>7100</v>
      </c>
      <c r="D4038" s="1736"/>
      <c r="E4038" s="1043">
        <v>117.12</v>
      </c>
      <c r="F4038" s="1043"/>
      <c r="G4038" s="1550"/>
    </row>
    <row r="4039" spans="1:7">
      <c r="A4039" s="1754">
        <v>42145</v>
      </c>
      <c r="B4039" s="125" t="str">
        <f>TiposLancamentos!B19</f>
        <v>Restaurantes</v>
      </c>
      <c r="C4039" s="1040" t="s">
        <v>7101</v>
      </c>
      <c r="D4039" s="1736"/>
      <c r="E4039" s="1043">
        <v>10.4</v>
      </c>
      <c r="F4039" s="1043"/>
      <c r="G4039" s="1550"/>
    </row>
    <row r="4040" spans="1:7">
      <c r="A4040" s="1754">
        <v>42146</v>
      </c>
      <c r="B4040" s="125" t="str">
        <f>TiposLancamentos!B19</f>
        <v>Restaurantes</v>
      </c>
      <c r="C4040" s="1040" t="s">
        <v>7102</v>
      </c>
      <c r="D4040" s="1736"/>
      <c r="E4040" s="1043">
        <v>39.56</v>
      </c>
      <c r="F4040" s="1043"/>
      <c r="G4040" s="1550"/>
    </row>
    <row r="4041" spans="1:7">
      <c r="A4041" s="1754">
        <v>42147</v>
      </c>
      <c r="B4041" s="125" t="str">
        <f>TiposLancamentos!B24</f>
        <v>Estacionamentos</v>
      </c>
      <c r="C4041" s="1040" t="s">
        <v>3398</v>
      </c>
      <c r="D4041" s="1736"/>
      <c r="E4041" s="1043">
        <v>10</v>
      </c>
      <c r="F4041" s="1043"/>
      <c r="G4041" s="1550"/>
    </row>
    <row r="4042" spans="1:7">
      <c r="A4042" s="1754">
        <v>42149</v>
      </c>
      <c r="B4042" s="125" t="str">
        <f>TiposLancamentos!B34</f>
        <v>Seguros</v>
      </c>
      <c r="C4042" s="1040" t="s">
        <v>7103</v>
      </c>
      <c r="D4042" s="1736"/>
      <c r="E4042" s="1043">
        <v>63.9</v>
      </c>
      <c r="F4042" s="1043"/>
      <c r="G4042" s="1550"/>
    </row>
    <row r="4043" spans="1:7">
      <c r="A4043" s="1754">
        <v>42149</v>
      </c>
      <c r="B4043" s="125" t="str">
        <f>TiposLancamentos!B88</f>
        <v>Ford Ecosport XLT</v>
      </c>
      <c r="C4043" s="1040" t="s">
        <v>7104</v>
      </c>
      <c r="D4043" s="1736"/>
      <c r="E4043" s="1043">
        <v>83.25</v>
      </c>
      <c r="F4043" s="1043"/>
      <c r="G4043" s="1550"/>
    </row>
    <row r="4044" spans="1:7">
      <c r="A4044" s="1754">
        <v>42149</v>
      </c>
      <c r="B4044" s="125" t="str">
        <f>TiposLancamentos!B87</f>
        <v>P207-1.6-XS</v>
      </c>
      <c r="C4044" s="1040" t="s">
        <v>7105</v>
      </c>
      <c r="D4044" s="1736"/>
      <c r="E4044" s="1043">
        <v>83.25</v>
      </c>
      <c r="F4044" s="1043"/>
      <c r="G4044" s="1550"/>
    </row>
    <row r="4045" spans="1:7">
      <c r="A4045" s="1754">
        <v>42151</v>
      </c>
      <c r="B4045" s="125" t="str">
        <f>TiposLancamentos!B16</f>
        <v>Cristiane</v>
      </c>
      <c r="C4045" s="1040" t="s">
        <v>7106</v>
      </c>
      <c r="D4045" s="1736"/>
      <c r="E4045" s="1043">
        <v>60</v>
      </c>
      <c r="F4045" s="1043"/>
      <c r="G4045" s="1550"/>
    </row>
    <row r="4046" spans="1:7">
      <c r="A4046" s="1754">
        <v>42152</v>
      </c>
      <c r="B4046" s="125" t="str">
        <f>TiposLancamentos!B98</f>
        <v>Restituições</v>
      </c>
      <c r="C4046" s="1040" t="s">
        <v>7107</v>
      </c>
      <c r="D4046" s="1736">
        <v>170</v>
      </c>
      <c r="E4046" s="1043"/>
      <c r="F4046" s="1043"/>
      <c r="G4046" s="1550"/>
    </row>
    <row r="4047" spans="1:7">
      <c r="A4047" s="1754">
        <v>42153</v>
      </c>
      <c r="B4047" s="125" t="str">
        <f>TiposLancamentos!B95</f>
        <v>Salarios</v>
      </c>
      <c r="C4047" s="1040" t="s">
        <v>7054</v>
      </c>
      <c r="D4047" s="1736">
        <v>8111.12</v>
      </c>
      <c r="E4047" s="1043"/>
      <c r="F4047" s="1043"/>
      <c r="G4047" s="1550"/>
    </row>
    <row r="4048" spans="1:7">
      <c r="A4048" s="1754">
        <v>42153</v>
      </c>
      <c r="B4048" s="125" t="str">
        <f>TiposLancamentos!B6</f>
        <v>Energia Eletrica</v>
      </c>
      <c r="C4048" s="1040" t="s">
        <v>5191</v>
      </c>
      <c r="D4048" s="1736"/>
      <c r="E4048" s="1043">
        <v>273.63</v>
      </c>
      <c r="F4048" s="1043"/>
      <c r="G4048" s="1550"/>
    </row>
    <row r="4049" spans="1:7" ht="14.25" thickBot="1">
      <c r="A4049" s="1754">
        <v>42155</v>
      </c>
      <c r="B4049" s="125" t="str">
        <f>TiposLancamentos!B24</f>
        <v>Estacionamentos</v>
      </c>
      <c r="C4049" s="1040" t="s">
        <v>7108</v>
      </c>
      <c r="D4049" s="1736"/>
      <c r="E4049" s="1043">
        <v>30</v>
      </c>
      <c r="F4049" s="1043"/>
      <c r="G4049" s="1550"/>
    </row>
    <row r="4050" spans="1:7">
      <c r="A4050" s="1834"/>
      <c r="B4050" s="977"/>
      <c r="C4050" s="1854" t="s">
        <v>7109</v>
      </c>
      <c r="D4050" s="1823"/>
      <c r="E4050" s="1821"/>
      <c r="F4050" s="1821"/>
      <c r="G4050" s="1895"/>
    </row>
    <row r="4051" spans="1:7">
      <c r="A4051" s="1754">
        <v>42156</v>
      </c>
      <c r="B4051" s="125" t="str">
        <f>TiposLancamentos!B15</f>
        <v>Cartões de Crédito</v>
      </c>
      <c r="C4051" s="1040" t="s">
        <v>6240</v>
      </c>
      <c r="D4051" s="1736"/>
      <c r="E4051" s="1043">
        <v>4241.43</v>
      </c>
      <c r="F4051" s="1043"/>
      <c r="G4051" s="1550"/>
    </row>
    <row r="4052" spans="1:7">
      <c r="A4052" s="1754">
        <v>42156</v>
      </c>
      <c r="B4052" s="125" t="str">
        <f>TiposLancamentos!B15</f>
        <v>Cartões de Crédito</v>
      </c>
      <c r="C4052" s="1040" t="s">
        <v>5558</v>
      </c>
      <c r="D4052" s="1736"/>
      <c r="E4052" s="1043">
        <v>1429.83</v>
      </c>
      <c r="F4052" s="1043"/>
      <c r="G4052" s="1550"/>
    </row>
    <row r="4053" spans="1:7">
      <c r="A4053" s="1754">
        <v>42156</v>
      </c>
      <c r="B4053" s="125" t="str">
        <f>TiposLancamentos!B15</f>
        <v>Cartões de Crédito</v>
      </c>
      <c r="C4053" s="1040" t="s">
        <v>5924</v>
      </c>
      <c r="D4053" s="1736"/>
      <c r="E4053" s="1043">
        <v>1484.25</v>
      </c>
      <c r="F4053" s="1043"/>
      <c r="G4053" s="1550"/>
    </row>
    <row r="4054" spans="1:7">
      <c r="A4054" s="1754">
        <v>42156</v>
      </c>
      <c r="B4054" s="125" t="str">
        <f>TiposLancamentos!B3</f>
        <v>Internet</v>
      </c>
      <c r="C4054" s="1040" t="s">
        <v>6913</v>
      </c>
      <c r="D4054" s="1736"/>
      <c r="E4054" s="1043">
        <v>76.61</v>
      </c>
      <c r="F4054" s="1043"/>
      <c r="G4054" s="1550"/>
    </row>
    <row r="4055" spans="1:7">
      <c r="A4055" s="1754">
        <v>42156</v>
      </c>
      <c r="B4055" s="125" t="str">
        <f>TiposLancamentos!B4</f>
        <v>Taxas Bancarias</v>
      </c>
      <c r="C4055" s="1040" t="s">
        <v>6910</v>
      </c>
      <c r="D4055" s="1736"/>
      <c r="E4055" s="1043">
        <v>9.31</v>
      </c>
      <c r="F4055" s="1043"/>
      <c r="G4055" s="1550"/>
    </row>
    <row r="4056" spans="1:7">
      <c r="A4056" s="1754">
        <v>42157</v>
      </c>
      <c r="B4056" s="125" t="str">
        <f>TiposLancamentos!B5</f>
        <v>Supermercado</v>
      </c>
      <c r="C4056" s="1040" t="s">
        <v>6234</v>
      </c>
      <c r="D4056" s="1736"/>
      <c r="E4056" s="1043">
        <v>6.27</v>
      </c>
      <c r="F4056" s="1043"/>
      <c r="G4056" s="1550"/>
    </row>
    <row r="4057" spans="1:7">
      <c r="A4057" s="1754">
        <v>42161</v>
      </c>
      <c r="B4057" s="125" t="str">
        <f>TiposLancamentos!B19</f>
        <v>Restaurantes</v>
      </c>
      <c r="C4057" s="1040" t="s">
        <v>7110</v>
      </c>
      <c r="D4057" s="1736"/>
      <c r="E4057" s="1043">
        <v>67.650000000000006</v>
      </c>
      <c r="F4057" s="1043"/>
      <c r="G4057" s="1550"/>
    </row>
    <row r="4058" spans="1:7">
      <c r="A4058" s="1754">
        <v>42163</v>
      </c>
      <c r="B4058" s="125" t="str">
        <f>TiposLancamentos!B9</f>
        <v>Condominio</v>
      </c>
      <c r="C4058" s="1040" t="s">
        <v>5925</v>
      </c>
      <c r="D4058" s="1736"/>
      <c r="E4058" s="1043">
        <v>886.07</v>
      </c>
      <c r="F4058" s="1043"/>
      <c r="G4058" s="1550"/>
    </row>
    <row r="4059" spans="1:7">
      <c r="A4059" s="1754">
        <v>42163</v>
      </c>
      <c r="B4059" s="125" t="str">
        <f>TiposLancamentos!B2</f>
        <v>Telefonia</v>
      </c>
      <c r="C4059" s="1040" t="s">
        <v>7111</v>
      </c>
      <c r="D4059" s="1736"/>
      <c r="E4059" s="1043">
        <v>148.62</v>
      </c>
      <c r="F4059" s="1043"/>
      <c r="G4059" s="1550"/>
    </row>
    <row r="4060" spans="1:7">
      <c r="A4060" s="1754">
        <v>42163</v>
      </c>
      <c r="B4060" s="125" t="str">
        <f>TiposLancamentos!B24</f>
        <v>Estacionamentos</v>
      </c>
      <c r="C4060" s="1040" t="s">
        <v>4589</v>
      </c>
      <c r="D4060" s="1736"/>
      <c r="E4060" s="1043">
        <v>170</v>
      </c>
      <c r="F4060" s="1043"/>
      <c r="G4060" s="1550"/>
    </row>
    <row r="4061" spans="1:7">
      <c r="A4061" s="1666">
        <v>42165</v>
      </c>
      <c r="B4061" s="817" t="str">
        <f>TiposLancamentos!B8</f>
        <v>Aluguel</v>
      </c>
      <c r="C4061" s="1742" t="s">
        <v>6163</v>
      </c>
      <c r="D4061" s="1735"/>
      <c r="E4061" s="1733">
        <f>F4063-E4062-E4063</f>
        <v>1471.26</v>
      </c>
      <c r="F4061" s="1043"/>
      <c r="G4061" s="1550"/>
    </row>
    <row r="4062" spans="1:7">
      <c r="A4062" s="1667">
        <v>42165</v>
      </c>
      <c r="B4062" s="816" t="str">
        <f>TiposLancamentos!B12</f>
        <v>IPTU</v>
      </c>
      <c r="C4062" s="1769" t="s">
        <v>6629</v>
      </c>
      <c r="D4062" s="1736"/>
      <c r="E4062" s="1734">
        <v>118.26</v>
      </c>
      <c r="F4062" s="1043"/>
      <c r="G4062" s="1550"/>
    </row>
    <row r="4063" spans="1:7">
      <c r="A4063" s="1750">
        <v>42165</v>
      </c>
      <c r="B4063" s="818" t="str">
        <f>TiposLancamentos!B34</f>
        <v>Seguros</v>
      </c>
      <c r="C4063" s="1743" t="s">
        <v>7112</v>
      </c>
      <c r="D4063" s="1737"/>
      <c r="E4063" s="1668">
        <v>247.84</v>
      </c>
      <c r="F4063" s="1043">
        <v>1837.36</v>
      </c>
      <c r="G4063" s="1550"/>
    </row>
    <row r="4064" spans="1:7">
      <c r="A4064" s="1754">
        <v>42165</v>
      </c>
      <c r="B4064" s="125" t="str">
        <f>TiposLancamentos!B19</f>
        <v>Restaurantes</v>
      </c>
      <c r="C4064" s="1040" t="s">
        <v>4376</v>
      </c>
      <c r="D4064" s="1736"/>
      <c r="E4064" s="1043">
        <v>10</v>
      </c>
      <c r="F4064" s="1043"/>
      <c r="G4064" s="1550"/>
    </row>
    <row r="4065" spans="1:7">
      <c r="A4065" s="1754">
        <v>42165</v>
      </c>
      <c r="B4065" s="125" t="str">
        <f>TiposLancamentos!B4</f>
        <v>Taxas Bancarias</v>
      </c>
      <c r="C4065" s="1040" t="s">
        <v>6983</v>
      </c>
      <c r="D4065" s="1736"/>
      <c r="E4065" s="1043">
        <v>45.7</v>
      </c>
      <c r="F4065" s="1043"/>
      <c r="G4065" s="1550"/>
    </row>
    <row r="4066" spans="1:7">
      <c r="A4066" s="1754">
        <v>42165</v>
      </c>
      <c r="B4066" s="125" t="str">
        <f>TiposLancamentos!B16</f>
        <v>Cristiane</v>
      </c>
      <c r="C4066" s="1040" t="s">
        <v>7113</v>
      </c>
      <c r="D4066" s="1736"/>
      <c r="E4066" s="1043">
        <v>240</v>
      </c>
      <c r="F4066" s="1043"/>
      <c r="G4066" s="1550"/>
    </row>
    <row r="4067" spans="1:7">
      <c r="A4067" s="1666">
        <v>42165</v>
      </c>
      <c r="B4067" s="817" t="str">
        <f>TiposLancamentos!B35</f>
        <v>Tv à Cabo</v>
      </c>
      <c r="C4067" s="1742" t="s">
        <v>5834</v>
      </c>
      <c r="D4067" s="1735"/>
      <c r="E4067" s="1733">
        <v>129.41</v>
      </c>
      <c r="F4067" s="1043"/>
      <c r="G4067" s="1550"/>
    </row>
    <row r="4068" spans="1:7">
      <c r="A4068" s="1667">
        <v>42165</v>
      </c>
      <c r="B4068" s="816" t="str">
        <f>TiposLancamentos!B3</f>
        <v>Internet</v>
      </c>
      <c r="C4068" s="1769" t="s">
        <v>5835</v>
      </c>
      <c r="D4068" s="1736"/>
      <c r="E4068" s="1734">
        <v>64.599999999999994</v>
      </c>
      <c r="F4068" s="1043"/>
      <c r="G4068" s="1550"/>
    </row>
    <row r="4069" spans="1:7">
      <c r="A4069" s="1750">
        <v>42165</v>
      </c>
      <c r="B4069" s="818" t="str">
        <f>TiposLancamentos!B2</f>
        <v>Telefonia</v>
      </c>
      <c r="C4069" s="1743" t="s">
        <v>5836</v>
      </c>
      <c r="D4069" s="1737"/>
      <c r="E4069" s="1668">
        <v>1.77</v>
      </c>
      <c r="F4069" s="1043"/>
      <c r="G4069" s="1550"/>
    </row>
    <row r="4070" spans="1:7">
      <c r="A4070" s="1754">
        <v>42170</v>
      </c>
      <c r="B4070" s="125" t="str">
        <f>TiposLancamentos!B95</f>
        <v>Salarios</v>
      </c>
      <c r="C4070" s="1040" t="s">
        <v>4916</v>
      </c>
      <c r="D4070" s="1736">
        <v>3240</v>
      </c>
      <c r="E4070" s="1043"/>
      <c r="F4070" s="1043"/>
      <c r="G4070" s="1550"/>
    </row>
    <row r="4071" spans="1:7">
      <c r="A4071" s="1666">
        <v>42170</v>
      </c>
      <c r="B4071" s="817" t="str">
        <f>TiposLancamentos!B33</f>
        <v>Pedágios</v>
      </c>
      <c r="C4071" s="1742" t="s">
        <v>5392</v>
      </c>
      <c r="D4071" s="1735"/>
      <c r="E4071" s="1733">
        <v>46.94</v>
      </c>
      <c r="F4071" s="1043"/>
      <c r="G4071" s="1550"/>
    </row>
    <row r="4072" spans="1:7">
      <c r="A4072" s="1667">
        <v>42170</v>
      </c>
      <c r="B4072" s="816" t="str">
        <f>TiposLancamentos!B24</f>
        <v>Estacionamentos</v>
      </c>
      <c r="C4072" s="1769" t="s">
        <v>5863</v>
      </c>
      <c r="D4072" s="1736"/>
      <c r="E4072" s="1734">
        <v>59</v>
      </c>
      <c r="F4072" s="1043"/>
      <c r="G4072" s="1550"/>
    </row>
    <row r="4073" spans="1:7">
      <c r="A4073" s="1750">
        <v>42170</v>
      </c>
      <c r="B4073" s="818" t="str">
        <f>TiposLancamentos!B24</f>
        <v>Estacionamentos</v>
      </c>
      <c r="C4073" s="1743" t="s">
        <v>6297</v>
      </c>
      <c r="D4073" s="1737"/>
      <c r="E4073" s="1668">
        <v>27</v>
      </c>
      <c r="F4073" s="1043">
        <f>SUM(E4071:E4073)</f>
        <v>132.94</v>
      </c>
      <c r="G4073" s="1550"/>
    </row>
    <row r="4074" spans="1:7">
      <c r="A4074" s="1754">
        <v>42173</v>
      </c>
      <c r="B4074" s="125" t="str">
        <f>TiposLancamentos!B57</f>
        <v>Informática</v>
      </c>
      <c r="C4074" s="1040" t="s">
        <v>7114</v>
      </c>
      <c r="D4074" s="1736"/>
      <c r="E4074" s="1043">
        <v>30</v>
      </c>
      <c r="F4074" s="1043"/>
      <c r="G4074" s="1550"/>
    </row>
    <row r="4075" spans="1:7">
      <c r="A4075" s="1754">
        <v>42173</v>
      </c>
      <c r="B4075" s="125" t="str">
        <f>TiposLancamentos!B71</f>
        <v>Itens Pessoais</v>
      </c>
      <c r="C4075" s="1040" t="s">
        <v>6144</v>
      </c>
      <c r="D4075" s="1736"/>
      <c r="E4075" s="1043">
        <v>30</v>
      </c>
      <c r="F4075" s="1043"/>
      <c r="G4075" s="1550"/>
    </row>
    <row r="4076" spans="1:7">
      <c r="A4076" s="1754">
        <v>42174</v>
      </c>
      <c r="B4076" s="125" t="str">
        <f>TiposLancamentos!B18</f>
        <v>Alimentacao</v>
      </c>
      <c r="C4076" s="1040" t="s">
        <v>7115</v>
      </c>
      <c r="D4076" s="1736"/>
      <c r="E4076" s="1043">
        <v>6.4</v>
      </c>
      <c r="F4076" s="1043"/>
      <c r="G4076" s="1550"/>
    </row>
    <row r="4077" spans="1:7">
      <c r="A4077" s="1754">
        <v>42174</v>
      </c>
      <c r="B4077" s="125" t="str">
        <f>TiposLancamentos!B19</f>
        <v>Restaurantes</v>
      </c>
      <c r="C4077" s="1040" t="s">
        <v>7116</v>
      </c>
      <c r="D4077" s="1736"/>
      <c r="E4077" s="1043">
        <v>39.86</v>
      </c>
      <c r="F4077" s="1043"/>
      <c r="G4077" s="1550"/>
    </row>
    <row r="4078" spans="1:7">
      <c r="A4078" s="1754">
        <v>42174</v>
      </c>
      <c r="B4078" s="125" t="str">
        <f>TiposLancamentos!B16</f>
        <v>Cristiane</v>
      </c>
      <c r="C4078" s="1040" t="s">
        <v>7117</v>
      </c>
      <c r="D4078" s="1736"/>
      <c r="E4078" s="1043">
        <v>39.19</v>
      </c>
      <c r="F4078" s="1043"/>
      <c r="G4078" s="1550"/>
    </row>
    <row r="4079" spans="1:7">
      <c r="A4079" s="1754">
        <v>42175</v>
      </c>
      <c r="B4079" s="125" t="str">
        <f>TiposLancamentos!B19</f>
        <v>Restaurantes</v>
      </c>
      <c r="C4079" s="1040" t="s">
        <v>7118</v>
      </c>
      <c r="D4079" s="1736"/>
      <c r="E4079" s="1043">
        <v>24</v>
      </c>
      <c r="F4079" s="1043"/>
      <c r="G4079" s="1550"/>
    </row>
    <row r="4080" spans="1:7">
      <c r="A4080" s="1754">
        <v>42177</v>
      </c>
      <c r="B4080" s="125" t="str">
        <f>TiposLancamentos!B16</f>
        <v>Cristiane</v>
      </c>
      <c r="C4080" s="1040" t="s">
        <v>7119</v>
      </c>
      <c r="D4080" s="1736"/>
      <c r="E4080" s="1043">
        <v>126.5</v>
      </c>
      <c r="F4080" s="1043"/>
      <c r="G4080" s="1550"/>
    </row>
    <row r="4081" spans="1:7">
      <c r="A4081" s="1754">
        <v>42179</v>
      </c>
      <c r="B4081" s="125" t="str">
        <f>TiposLancamentos!B18</f>
        <v>Alimentacao</v>
      </c>
      <c r="C4081" s="1040" t="s">
        <v>7120</v>
      </c>
      <c r="D4081" s="1736"/>
      <c r="E4081" s="1043">
        <v>6.4</v>
      </c>
      <c r="F4081" s="1043"/>
      <c r="G4081" s="1550"/>
    </row>
    <row r="4082" spans="1:7">
      <c r="A4082" s="1754">
        <v>42180</v>
      </c>
      <c r="B4082" s="125" t="str">
        <f>TiposLancamentos!B34</f>
        <v>Seguros</v>
      </c>
      <c r="C4082" s="1040" t="s">
        <v>7103</v>
      </c>
      <c r="D4082" s="1736"/>
      <c r="E4082" s="1043">
        <v>63.9</v>
      </c>
      <c r="F4082" s="1043"/>
      <c r="G4082" s="1550"/>
    </row>
    <row r="4083" spans="1:7">
      <c r="A4083" s="1754">
        <v>42181</v>
      </c>
      <c r="B4083" s="125" t="str">
        <f>TiposLancamentos!B24</f>
        <v>Estacionamentos</v>
      </c>
      <c r="C4083" s="1040" t="s">
        <v>3398</v>
      </c>
      <c r="D4083" s="1736"/>
      <c r="E4083" s="1043">
        <v>7</v>
      </c>
      <c r="F4083" s="1043"/>
      <c r="G4083" s="1550"/>
    </row>
    <row r="4084" spans="1:7">
      <c r="A4084" s="1754">
        <v>42181</v>
      </c>
      <c r="B4084" s="125" t="str">
        <f>TiposLancamentos!B6</f>
        <v>Energia Eletrica</v>
      </c>
      <c r="C4084" s="1040" t="s">
        <v>5191</v>
      </c>
      <c r="D4084" s="1736"/>
      <c r="E4084" s="1043">
        <v>230.49</v>
      </c>
      <c r="F4084" s="1043"/>
      <c r="G4084" s="1550"/>
    </row>
    <row r="4085" spans="1:7">
      <c r="A4085" s="1754">
        <v>42185</v>
      </c>
      <c r="B4085" s="125" t="str">
        <f>TiposLancamentos!B98</f>
        <v>Restituições</v>
      </c>
      <c r="C4085" s="1040" t="s">
        <v>7107</v>
      </c>
      <c r="D4085" s="1736">
        <v>170</v>
      </c>
      <c r="E4085" s="1043"/>
      <c r="F4085" s="1043"/>
      <c r="G4085" s="1550"/>
    </row>
    <row r="4086" spans="1:7">
      <c r="A4086" s="1754">
        <v>42185</v>
      </c>
      <c r="B4086" s="125" t="str">
        <f>TiposLancamentos!B95</f>
        <v>Salarios</v>
      </c>
      <c r="C4086" s="1040" t="s">
        <v>7121</v>
      </c>
      <c r="D4086" s="1736">
        <v>3662.96</v>
      </c>
      <c r="E4086" s="1043"/>
      <c r="F4086" s="1043"/>
      <c r="G4086" s="1550"/>
    </row>
    <row r="4087" spans="1:7" ht="14.25" thickBot="1">
      <c r="A4087" s="1754">
        <v>42185</v>
      </c>
      <c r="B4087" s="125" t="str">
        <f>TiposLancamentos!B95</f>
        <v>Salarios</v>
      </c>
      <c r="C4087" s="1040" t="s">
        <v>7054</v>
      </c>
      <c r="D4087" s="1736">
        <v>3101.07</v>
      </c>
      <c r="E4087" s="1043"/>
      <c r="F4087" s="1043"/>
      <c r="G4087" s="1550"/>
    </row>
    <row r="4088" spans="1:7">
      <c r="A4088" s="1834"/>
      <c r="B4088" s="977"/>
      <c r="C4088" s="1854" t="s">
        <v>7122</v>
      </c>
      <c r="D4088" s="1823"/>
      <c r="E4088" s="1821"/>
      <c r="F4088" s="1821"/>
      <c r="G4088" s="1895"/>
    </row>
    <row r="4089" spans="1:7">
      <c r="A4089" s="1754">
        <v>42186</v>
      </c>
      <c r="B4089" s="125" t="str">
        <f>TiposLancamentos!B15</f>
        <v>Cartões de Crédito</v>
      </c>
      <c r="C4089" s="1040" t="s">
        <v>6240</v>
      </c>
      <c r="D4089" s="1736"/>
      <c r="E4089" s="1043">
        <v>734.51</v>
      </c>
      <c r="F4089" s="1043"/>
      <c r="G4089" s="1550"/>
    </row>
    <row r="4090" spans="1:7">
      <c r="A4090" s="1754">
        <v>42186</v>
      </c>
      <c r="B4090" s="125" t="str">
        <f>TiposLancamentos!B15</f>
        <v>Cartões de Crédito</v>
      </c>
      <c r="C4090" s="1040" t="s">
        <v>5558</v>
      </c>
      <c r="D4090" s="1736"/>
      <c r="E4090" s="1043">
        <v>4426.63</v>
      </c>
      <c r="F4090" s="1043"/>
      <c r="G4090" s="1550"/>
    </row>
    <row r="4091" spans="1:7">
      <c r="A4091" s="1754">
        <v>42186</v>
      </c>
      <c r="B4091" s="125" t="str">
        <f>TiposLancamentos!B15</f>
        <v>Cartões de Crédito</v>
      </c>
      <c r="C4091" s="1040" t="s">
        <v>5924</v>
      </c>
      <c r="D4091" s="1736"/>
      <c r="E4091" s="1043">
        <v>2290.58</v>
      </c>
      <c r="F4091" s="1043"/>
      <c r="G4091" s="1550"/>
    </row>
    <row r="4092" spans="1:7">
      <c r="A4092" s="1754">
        <v>42186</v>
      </c>
      <c r="B4092" s="125" t="str">
        <f>TiposLancamentos!B3</f>
        <v>Internet</v>
      </c>
      <c r="C4092" s="1040" t="s">
        <v>6913</v>
      </c>
      <c r="D4092" s="1736"/>
      <c r="E4092" s="1043">
        <v>77</v>
      </c>
      <c r="F4092" s="1043"/>
      <c r="G4092" s="1550"/>
    </row>
    <row r="4093" spans="1:7">
      <c r="A4093" s="1754">
        <v>42186</v>
      </c>
      <c r="B4093" s="125" t="str">
        <f>TiposLancamentos!B4</f>
        <v>Taxas Bancarias</v>
      </c>
      <c r="C4093" s="1040" t="s">
        <v>6910</v>
      </c>
      <c r="D4093" s="1736"/>
      <c r="E4093" s="1043">
        <v>13.74</v>
      </c>
      <c r="F4093" s="1043"/>
      <c r="G4093" s="1550"/>
    </row>
    <row r="4094" spans="1:7">
      <c r="A4094" s="1754">
        <v>42187</v>
      </c>
      <c r="B4094" s="125" t="str">
        <f>TiposLancamentos!B24</f>
        <v>Estacionamentos</v>
      </c>
      <c r="C4094" s="1040" t="s">
        <v>7123</v>
      </c>
      <c r="D4094" s="1736"/>
      <c r="E4094" s="1043">
        <v>13</v>
      </c>
      <c r="F4094" s="1043"/>
      <c r="G4094" s="1550"/>
    </row>
    <row r="4095" spans="1:7">
      <c r="A4095" s="1754">
        <v>42187</v>
      </c>
      <c r="B4095" s="125" t="str">
        <f>TiposLancamentos!B17</f>
        <v>GATO</v>
      </c>
      <c r="C4095" s="1040" t="s">
        <v>7124</v>
      </c>
      <c r="D4095" s="1736"/>
      <c r="E4095" s="1043">
        <v>292</v>
      </c>
      <c r="F4095" s="1043"/>
      <c r="G4095" s="1550"/>
    </row>
    <row r="4096" spans="1:7">
      <c r="A4096" s="1754">
        <v>42188</v>
      </c>
      <c r="B4096" s="125" t="str">
        <f>TiposLancamentos!B24</f>
        <v>Estacionamentos</v>
      </c>
      <c r="C4096" s="1040" t="s">
        <v>4589</v>
      </c>
      <c r="D4096" s="1736"/>
      <c r="E4096" s="1043">
        <v>170</v>
      </c>
      <c r="F4096" s="1043"/>
      <c r="G4096" s="1550"/>
    </row>
    <row r="4097" spans="1:7">
      <c r="A4097" s="1754">
        <v>42189</v>
      </c>
      <c r="B4097" s="125" t="str">
        <f>TiposLancamentos!B19</f>
        <v>Restaurantes</v>
      </c>
      <c r="C4097" s="1040" t="s">
        <v>7125</v>
      </c>
      <c r="D4097" s="1736"/>
      <c r="E4097" s="1043">
        <v>73</v>
      </c>
      <c r="F4097" s="1043"/>
      <c r="G4097" s="1550"/>
    </row>
    <row r="4098" spans="1:7">
      <c r="A4098" s="1754">
        <v>42191</v>
      </c>
      <c r="B4098" s="125" t="str">
        <f>TiposLancamentos!B9</f>
        <v>Condominio</v>
      </c>
      <c r="C4098" s="1040" t="s">
        <v>5925</v>
      </c>
      <c r="D4098" s="1736"/>
      <c r="E4098" s="1043">
        <v>886.07</v>
      </c>
      <c r="F4098" s="1043"/>
      <c r="G4098" s="1550"/>
    </row>
    <row r="4099" spans="1:7">
      <c r="A4099" s="1754">
        <v>42191</v>
      </c>
      <c r="B4099" s="125" t="str">
        <f>TiposLancamentos!B2</f>
        <v>Telefonia</v>
      </c>
      <c r="C4099" s="1040" t="s">
        <v>7111</v>
      </c>
      <c r="D4099" s="1736"/>
      <c r="E4099" s="1043">
        <v>127.89</v>
      </c>
      <c r="F4099" s="1043"/>
      <c r="G4099" s="1550"/>
    </row>
    <row r="4100" spans="1:7">
      <c r="A4100" s="1754">
        <v>42191</v>
      </c>
      <c r="B4100" s="125" t="str">
        <f>TiposLancamentos!B16</f>
        <v>Cristiane</v>
      </c>
      <c r="C4100" s="1040" t="s">
        <v>5926</v>
      </c>
      <c r="D4100" s="1736"/>
      <c r="E4100" s="1043">
        <v>133.36000000000001</v>
      </c>
      <c r="F4100" s="1043"/>
      <c r="G4100" s="1550"/>
    </row>
    <row r="4101" spans="1:7">
      <c r="A4101" s="1754">
        <v>42191</v>
      </c>
      <c r="B4101" s="125" t="str">
        <f>TiposLancamentos!B20</f>
        <v>Saques</v>
      </c>
      <c r="C4101" s="1040" t="s">
        <v>3604</v>
      </c>
      <c r="D4101" s="1736"/>
      <c r="E4101" s="1043">
        <v>20</v>
      </c>
      <c r="F4101" s="1043"/>
      <c r="G4101" s="1550"/>
    </row>
    <row r="4102" spans="1:7">
      <c r="A4102" s="1754">
        <v>42192</v>
      </c>
      <c r="B4102" s="125" t="str">
        <f>TiposLancamentos!B20</f>
        <v>Saques</v>
      </c>
      <c r="C4102" s="1040" t="s">
        <v>3604</v>
      </c>
      <c r="D4102" s="1736"/>
      <c r="E4102" s="1043">
        <v>30</v>
      </c>
      <c r="F4102" s="1043"/>
      <c r="G4102" s="1550"/>
    </row>
    <row r="4103" spans="1:7">
      <c r="A4103" s="1754">
        <v>42193</v>
      </c>
      <c r="B4103" s="125" t="str">
        <f>TiposLancamentos!B62</f>
        <v>Papelaria</v>
      </c>
      <c r="C4103" s="1040" t="s">
        <v>7126</v>
      </c>
      <c r="D4103" s="1736"/>
      <c r="E4103" s="1043">
        <v>40</v>
      </c>
      <c r="F4103" s="1043"/>
      <c r="G4103" s="1550"/>
    </row>
    <row r="4104" spans="1:7">
      <c r="A4104" s="1754">
        <v>42193</v>
      </c>
      <c r="B4104" s="125" t="str">
        <f>TiposLancamentos!B13</f>
        <v>Moradia</v>
      </c>
      <c r="C4104" s="1040" t="s">
        <v>7127</v>
      </c>
      <c r="D4104" s="1736"/>
      <c r="E4104" s="1043">
        <v>38</v>
      </c>
      <c r="F4104" s="1043"/>
      <c r="G4104" s="1550"/>
    </row>
    <row r="4105" spans="1:7">
      <c r="A4105" s="1754">
        <v>42193</v>
      </c>
      <c r="B4105" s="125" t="str">
        <f>TiposLancamentos!B19</f>
        <v>Restaurantes</v>
      </c>
      <c r="C4105" s="1040" t="s">
        <v>7128</v>
      </c>
      <c r="D4105" s="1736"/>
      <c r="E4105" s="1043">
        <v>35</v>
      </c>
      <c r="F4105" s="1043"/>
      <c r="G4105" s="1550"/>
    </row>
    <row r="4106" spans="1:7">
      <c r="A4106" s="1754">
        <v>42193</v>
      </c>
      <c r="B4106" s="125" t="str">
        <f>TiposLancamentos!B62</f>
        <v>Papelaria</v>
      </c>
      <c r="C4106" s="1040" t="s">
        <v>7129</v>
      </c>
      <c r="D4106" s="1736"/>
      <c r="E4106" s="1043">
        <v>27.9</v>
      </c>
      <c r="F4106" s="1043"/>
      <c r="G4106" s="1550"/>
    </row>
    <row r="4107" spans="1:7">
      <c r="A4107" s="1754">
        <v>42194</v>
      </c>
      <c r="B4107" s="125" t="str">
        <f>TiposLancamentos!B16</f>
        <v>Cristiane</v>
      </c>
      <c r="C4107" s="1040" t="s">
        <v>7130</v>
      </c>
      <c r="D4107" s="1736"/>
      <c r="E4107" s="1043">
        <v>19.37</v>
      </c>
      <c r="F4107" s="1043"/>
      <c r="G4107" s="1550"/>
    </row>
    <row r="4108" spans="1:7">
      <c r="A4108" s="1666">
        <v>42195</v>
      </c>
      <c r="B4108" s="817" t="str">
        <f>TiposLancamentos!B8</f>
        <v>Aluguel</v>
      </c>
      <c r="C4108" s="1742" t="s">
        <v>6163</v>
      </c>
      <c r="D4108" s="1735"/>
      <c r="E4108" s="1733">
        <v>1471.26</v>
      </c>
      <c r="F4108" s="1043"/>
      <c r="G4108" s="1550"/>
    </row>
    <row r="4109" spans="1:7">
      <c r="A4109" s="1667">
        <v>42195</v>
      </c>
      <c r="B4109" s="816" t="str">
        <f>TiposLancamentos!B12</f>
        <v>IPTU</v>
      </c>
      <c r="C4109" s="1769" t="s">
        <v>6703</v>
      </c>
      <c r="D4109" s="1736"/>
      <c r="E4109" s="1734">
        <v>118.26</v>
      </c>
      <c r="F4109" s="1043"/>
      <c r="G4109" s="1550"/>
    </row>
    <row r="4110" spans="1:7">
      <c r="A4110" s="1750">
        <v>42195</v>
      </c>
      <c r="B4110" s="818" t="str">
        <f>TiposLancamentos!B34</f>
        <v>Seguros</v>
      </c>
      <c r="C4110" s="1743" t="s">
        <v>7131</v>
      </c>
      <c r="D4110" s="1737"/>
      <c r="E4110" s="1668">
        <v>247.84</v>
      </c>
      <c r="F4110" s="1043">
        <f>SUM(E4108:E4110)</f>
        <v>1837.36</v>
      </c>
      <c r="G4110" s="1550"/>
    </row>
    <row r="4111" spans="1:7">
      <c r="A4111" s="1754">
        <v>42195</v>
      </c>
      <c r="B4111" s="125" t="str">
        <f>TiposLancamentos!B4</f>
        <v>Taxas Bancarias</v>
      </c>
      <c r="C4111" s="1040" t="s">
        <v>6983</v>
      </c>
      <c r="D4111" s="1736"/>
      <c r="E4111" s="1043">
        <v>114.79</v>
      </c>
      <c r="F4111" s="1043"/>
      <c r="G4111" s="1550"/>
    </row>
    <row r="4112" spans="1:7">
      <c r="A4112" s="1666">
        <v>42195</v>
      </c>
      <c r="B4112" s="817" t="str">
        <f>TiposLancamentos!B35</f>
        <v>Tv à Cabo</v>
      </c>
      <c r="C4112" s="1742" t="s">
        <v>5834</v>
      </c>
      <c r="D4112" s="1735"/>
      <c r="E4112" s="1733">
        <v>129.41</v>
      </c>
      <c r="F4112" s="1043"/>
      <c r="G4112" s="1550"/>
    </row>
    <row r="4113" spans="1:7">
      <c r="A4113" s="1667">
        <v>42195</v>
      </c>
      <c r="B4113" s="816" t="str">
        <f>TiposLancamentos!B3</f>
        <v>Internet</v>
      </c>
      <c r="C4113" s="1769" t="s">
        <v>5835</v>
      </c>
      <c r="D4113" s="1736"/>
      <c r="E4113" s="1734">
        <v>64.599999999999994</v>
      </c>
      <c r="F4113" s="1043"/>
      <c r="G4113" s="1550"/>
    </row>
    <row r="4114" spans="1:7">
      <c r="A4114" s="1750">
        <v>42195</v>
      </c>
      <c r="B4114" s="818" t="str">
        <f>TiposLancamentos!B2</f>
        <v>Telefonia</v>
      </c>
      <c r="C4114" s="1743" t="s">
        <v>5836</v>
      </c>
      <c r="D4114" s="1737"/>
      <c r="E4114" s="1668">
        <v>6.85</v>
      </c>
      <c r="F4114" s="1043">
        <f>SUM(E4112:E4114)</f>
        <v>200.85999999999999</v>
      </c>
      <c r="G4114" s="1550"/>
    </row>
    <row r="4115" spans="1:7">
      <c r="A4115" s="1754">
        <v>42198</v>
      </c>
      <c r="B4115" s="125" t="str">
        <f>TiposLancamentos!B16</f>
        <v>Cristiane</v>
      </c>
      <c r="C4115" s="1040" t="s">
        <v>7132</v>
      </c>
      <c r="D4115" s="1736"/>
      <c r="E4115" s="1043">
        <v>240</v>
      </c>
      <c r="F4115" s="1043"/>
      <c r="G4115" s="1550"/>
    </row>
    <row r="4116" spans="1:7">
      <c r="A4116" s="1754">
        <v>42200</v>
      </c>
      <c r="B4116" s="125" t="str">
        <f>TiposLancamentos!B95</f>
        <v>Salarios</v>
      </c>
      <c r="C4116" s="1040" t="s">
        <v>4916</v>
      </c>
      <c r="D4116" s="1736">
        <v>3240</v>
      </c>
      <c r="E4116" s="1043"/>
      <c r="F4116" s="1043"/>
      <c r="G4116" s="1550"/>
    </row>
    <row r="4117" spans="1:7">
      <c r="A4117" s="1666">
        <v>42200</v>
      </c>
      <c r="B4117" s="817" t="str">
        <f>TiposLancamentos!B33</f>
        <v>Pedágios</v>
      </c>
      <c r="C4117" s="1742" t="s">
        <v>5392</v>
      </c>
      <c r="D4117" s="1735"/>
      <c r="E4117" s="1733">
        <v>34.64</v>
      </c>
      <c r="F4117" s="1043"/>
      <c r="G4117" s="1550"/>
    </row>
    <row r="4118" spans="1:7">
      <c r="A4118" s="1667">
        <v>42202</v>
      </c>
      <c r="B4118" s="816" t="str">
        <f>TiposLancamentos!B24</f>
        <v>Estacionamentos</v>
      </c>
      <c r="C4118" s="1769" t="s">
        <v>5863</v>
      </c>
      <c r="D4118" s="1736"/>
      <c r="E4118" s="1734">
        <v>28</v>
      </c>
      <c r="F4118" s="1043"/>
      <c r="G4118" s="1550"/>
    </row>
    <row r="4119" spans="1:7">
      <c r="A4119" s="1750">
        <v>42200</v>
      </c>
      <c r="B4119" s="818" t="str">
        <f>TiposLancamentos!B24</f>
        <v>Estacionamentos</v>
      </c>
      <c r="C4119" s="1743" t="s">
        <v>6297</v>
      </c>
      <c r="D4119" s="1737"/>
      <c r="E4119" s="1668">
        <v>19</v>
      </c>
      <c r="F4119" s="1043">
        <f>SUM(E4117:E4119)</f>
        <v>81.64</v>
      </c>
      <c r="G4119" s="1550"/>
    </row>
    <row r="4120" spans="1:7">
      <c r="A4120" s="1754">
        <v>42200</v>
      </c>
      <c r="B4120" s="125" t="str">
        <f>TiposLancamentos!B26</f>
        <v>LIVROS</v>
      </c>
      <c r="C4120" s="1040" t="s">
        <v>7133</v>
      </c>
      <c r="D4120" s="1736"/>
      <c r="E4120" s="1043">
        <v>42.62</v>
      </c>
      <c r="F4120" s="1043"/>
      <c r="G4120" s="1550"/>
    </row>
    <row r="4121" spans="1:7">
      <c r="A4121" s="1754">
        <v>42201</v>
      </c>
      <c r="B4121" s="125" t="str">
        <f>TiposLancamentos!B17</f>
        <v>GATO</v>
      </c>
      <c r="C4121" s="1040" t="s">
        <v>7134</v>
      </c>
      <c r="D4121" s="1736"/>
      <c r="E4121" s="1043">
        <v>11.9</v>
      </c>
      <c r="F4121" s="1043"/>
      <c r="G4121" s="1550"/>
    </row>
    <row r="4122" spans="1:7">
      <c r="A4122" s="1754">
        <v>42203</v>
      </c>
      <c r="B4122" s="125" t="str">
        <f>TiposLancamentos!B5</f>
        <v>Supermercado</v>
      </c>
      <c r="C4122" s="1040" t="s">
        <v>7135</v>
      </c>
      <c r="D4122" s="1736"/>
      <c r="E4122" s="1043">
        <v>42.24</v>
      </c>
      <c r="F4122" s="1043"/>
      <c r="G4122" s="1550"/>
    </row>
    <row r="4123" spans="1:7">
      <c r="A4123" s="1754">
        <v>42205</v>
      </c>
      <c r="B4123" s="125" t="str">
        <f>TiposLancamentos!B20</f>
        <v>Saques</v>
      </c>
      <c r="C4123" s="1040" t="s">
        <v>7136</v>
      </c>
      <c r="D4123" s="1736"/>
      <c r="E4123" s="1043">
        <v>20</v>
      </c>
      <c r="F4123" s="1043"/>
      <c r="G4123" s="1550"/>
    </row>
    <row r="4124" spans="1:7">
      <c r="A4124" s="1754">
        <v>42205</v>
      </c>
      <c r="B4124" s="125" t="str">
        <f>TiposLancamentos!B87</f>
        <v>P207-1.6-XS</v>
      </c>
      <c r="C4124" s="1040" t="s">
        <v>7137</v>
      </c>
      <c r="D4124" s="1736"/>
      <c r="E4124" s="1043">
        <v>320</v>
      </c>
      <c r="F4124" s="1043"/>
      <c r="G4124" s="1550"/>
    </row>
    <row r="4125" spans="1:7">
      <c r="A4125" s="1754">
        <v>42205</v>
      </c>
      <c r="B4125" s="125" t="str">
        <f>TiposLancamentos!B48</f>
        <v>Baralhos e Oráculos</v>
      </c>
      <c r="C4125" s="1040" t="s">
        <v>7138</v>
      </c>
      <c r="D4125" s="1736"/>
      <c r="E4125" s="1043">
        <v>47</v>
      </c>
      <c r="F4125" s="1043"/>
      <c r="G4125" s="1550"/>
    </row>
    <row r="4126" spans="1:7">
      <c r="A4126" s="1754">
        <v>42205</v>
      </c>
      <c r="B4126" s="125" t="str">
        <f>TiposLancamentos!B19</f>
        <v>Restaurantes</v>
      </c>
      <c r="C4126" s="1040" t="s">
        <v>7139</v>
      </c>
      <c r="D4126" s="1736"/>
      <c r="E4126" s="1043">
        <v>21.5</v>
      </c>
      <c r="F4126" s="1043"/>
      <c r="G4126" s="1550"/>
    </row>
    <row r="4127" spans="1:7">
      <c r="A4127" s="1754">
        <v>42206</v>
      </c>
      <c r="B4127" s="125" t="str">
        <f>TiposLancamentos!B20</f>
        <v>Saques</v>
      </c>
      <c r="C4127" s="1040" t="s">
        <v>3604</v>
      </c>
      <c r="D4127" s="1736"/>
      <c r="E4127" s="1043">
        <v>40</v>
      </c>
      <c r="F4127" s="1043"/>
      <c r="G4127" s="1550"/>
    </row>
    <row r="4128" spans="1:7">
      <c r="A4128" s="1754">
        <v>42207</v>
      </c>
      <c r="B4128" s="125" t="str">
        <f>TiposLancamentos!B5</f>
        <v>Supermercado</v>
      </c>
      <c r="C4128" s="1040" t="s">
        <v>6234</v>
      </c>
      <c r="D4128" s="1736"/>
      <c r="E4128" s="1043">
        <v>15.78</v>
      </c>
      <c r="F4128" s="1043"/>
      <c r="G4128" s="1550"/>
    </row>
    <row r="4129" spans="1:7">
      <c r="A4129" s="1754">
        <v>42207</v>
      </c>
      <c r="B4129" s="125" t="str">
        <f>TiposLancamentos!B24</f>
        <v>Estacionamentos</v>
      </c>
      <c r="C4129" s="1040" t="s">
        <v>7140</v>
      </c>
      <c r="D4129" s="1736"/>
      <c r="E4129" s="1043">
        <v>7</v>
      </c>
      <c r="F4129" s="1043"/>
      <c r="G4129" s="1550"/>
    </row>
    <row r="4130" spans="1:7">
      <c r="A4130" s="1754">
        <v>42208</v>
      </c>
      <c r="B4130" s="125" t="str">
        <f>TiposLancamentos!B19</f>
        <v>Restaurantes</v>
      </c>
      <c r="C4130" s="1040" t="s">
        <v>7141</v>
      </c>
      <c r="D4130" s="1736"/>
      <c r="E4130" s="1043">
        <v>45.6</v>
      </c>
      <c r="F4130" s="1043"/>
      <c r="G4130" s="1550"/>
    </row>
    <row r="4131" spans="1:7">
      <c r="A4131" s="1754">
        <v>42208</v>
      </c>
      <c r="B4131" s="125" t="str">
        <f>TiposLancamentos!B24</f>
        <v>Estacionamentos</v>
      </c>
      <c r="C4131" s="1040" t="s">
        <v>3398</v>
      </c>
      <c r="D4131" s="1736"/>
      <c r="E4131" s="1043">
        <v>7</v>
      </c>
      <c r="F4131" s="1043"/>
      <c r="G4131" s="1550"/>
    </row>
    <row r="4132" spans="1:7">
      <c r="A4132" s="1754">
        <v>42208</v>
      </c>
      <c r="B4132" s="125" t="str">
        <f>TiposLancamentos!B20</f>
        <v>Saques</v>
      </c>
      <c r="C4132" s="1040" t="s">
        <v>7142</v>
      </c>
      <c r="D4132" s="1736"/>
      <c r="E4132" s="1043">
        <v>30</v>
      </c>
      <c r="F4132" s="1043"/>
      <c r="G4132" s="1550"/>
    </row>
    <row r="4133" spans="1:7">
      <c r="A4133" s="1754">
        <v>42208</v>
      </c>
      <c r="B4133" s="125" t="str">
        <f>TiposLancamentos!B98</f>
        <v>Restituições</v>
      </c>
      <c r="C4133" s="1040" t="s">
        <v>7143</v>
      </c>
      <c r="D4133" s="1736">
        <v>170</v>
      </c>
      <c r="E4133" s="1043"/>
      <c r="F4133" s="1043"/>
      <c r="G4133" s="1550"/>
    </row>
    <row r="4134" spans="1:7">
      <c r="A4134" s="1754">
        <v>42209</v>
      </c>
      <c r="B4134" s="125" t="str">
        <f>TiposLancamentos!B19</f>
        <v>Restaurantes</v>
      </c>
      <c r="C4134" s="1040" t="s">
        <v>7144</v>
      </c>
      <c r="D4134" s="1736"/>
      <c r="E4134" s="1043">
        <v>13.4</v>
      </c>
      <c r="F4134" s="1043"/>
      <c r="G4134" s="1550"/>
    </row>
    <row r="4135" spans="1:7">
      <c r="A4135" s="1754">
        <v>42209</v>
      </c>
      <c r="B4135" s="125" t="str">
        <f>TiposLancamentos!B19</f>
        <v>Restaurantes</v>
      </c>
      <c r="C4135" s="1040" t="s">
        <v>7145</v>
      </c>
      <c r="D4135" s="1736"/>
      <c r="E4135" s="1043">
        <v>11.4</v>
      </c>
      <c r="F4135" s="1043"/>
      <c r="G4135" s="1550"/>
    </row>
    <row r="4136" spans="1:7">
      <c r="A4136" s="1754">
        <v>42209</v>
      </c>
      <c r="B4136" s="125" t="str">
        <f>TiposLancamentos!B19</f>
        <v>Restaurantes</v>
      </c>
      <c r="C4136" s="1040" t="s">
        <v>7146</v>
      </c>
      <c r="D4136" s="1736"/>
      <c r="E4136" s="1043">
        <v>25.5</v>
      </c>
      <c r="F4136" s="1043"/>
      <c r="G4136" s="1550"/>
    </row>
    <row r="4137" spans="1:7">
      <c r="A4137" s="1754">
        <v>42210</v>
      </c>
      <c r="B4137" s="125" t="str">
        <f>TiposLancamentos!B19</f>
        <v>Restaurantes</v>
      </c>
      <c r="C4137" s="1040" t="s">
        <v>7147</v>
      </c>
      <c r="D4137" s="1736"/>
      <c r="E4137" s="1043">
        <v>27.28</v>
      </c>
      <c r="F4137" s="1043"/>
      <c r="G4137" s="1550"/>
    </row>
    <row r="4138" spans="1:7">
      <c r="A4138" s="1754">
        <v>42210</v>
      </c>
      <c r="B4138" s="125" t="str">
        <f>TiposLancamentos!B5</f>
        <v>Supermercado</v>
      </c>
      <c r="C4138" s="1040" t="s">
        <v>5844</v>
      </c>
      <c r="D4138" s="1736"/>
      <c r="E4138" s="1043">
        <v>39.4</v>
      </c>
      <c r="F4138" s="1043"/>
      <c r="G4138" s="1550"/>
    </row>
    <row r="4139" spans="1:7">
      <c r="A4139" s="1754">
        <v>42211</v>
      </c>
      <c r="B4139" s="125" t="str">
        <f>TiposLancamentos!B56</f>
        <v>Farmácia</v>
      </c>
      <c r="C4139" s="1040" t="s">
        <v>7148</v>
      </c>
      <c r="D4139" s="1736"/>
      <c r="E4139" s="1043">
        <v>42.24</v>
      </c>
      <c r="F4139" s="1043"/>
      <c r="G4139" s="1550"/>
    </row>
    <row r="4140" spans="1:7">
      <c r="A4140" s="1754">
        <v>42211</v>
      </c>
      <c r="B4140" s="125" t="str">
        <f>TiposLancamentos!B19</f>
        <v>Restaurantes</v>
      </c>
      <c r="C4140" s="1040" t="s">
        <v>3618</v>
      </c>
      <c r="D4140" s="1736"/>
      <c r="E4140" s="1043">
        <v>22.9</v>
      </c>
      <c r="F4140" s="1043"/>
      <c r="G4140" s="1550"/>
    </row>
    <row r="4141" spans="1:7">
      <c r="A4141" s="1754">
        <v>42212</v>
      </c>
      <c r="B4141" s="125" t="str">
        <f>TiposLancamentos!B34</f>
        <v>Seguros</v>
      </c>
      <c r="C4141" s="1040" t="s">
        <v>6951</v>
      </c>
      <c r="D4141" s="1736"/>
      <c r="E4141" s="1043">
        <v>63.9</v>
      </c>
      <c r="F4141" s="1043"/>
      <c r="G4141" s="1550"/>
    </row>
    <row r="4142" spans="1:7">
      <c r="A4142" s="1754">
        <v>42212</v>
      </c>
      <c r="B4142" s="125" t="str">
        <f>TiposLancamentos!B6</f>
        <v>Energia Eletrica</v>
      </c>
      <c r="C4142" s="1040" t="s">
        <v>5191</v>
      </c>
      <c r="D4142" s="1736"/>
      <c r="E4142" s="1043">
        <v>282.88</v>
      </c>
      <c r="F4142" s="1043"/>
      <c r="G4142" s="1550"/>
    </row>
    <row r="4143" spans="1:7">
      <c r="A4143" s="1754">
        <v>42212</v>
      </c>
      <c r="B4143" s="125" t="str">
        <f>TiposLancamentos!B19</f>
        <v>Restaurantes</v>
      </c>
      <c r="C4143" s="1040" t="s">
        <v>7149</v>
      </c>
      <c r="D4143" s="1736"/>
      <c r="E4143" s="1043">
        <v>15.6</v>
      </c>
      <c r="F4143" s="1043"/>
      <c r="G4143" s="1550"/>
    </row>
    <row r="4144" spans="1:7">
      <c r="A4144" s="1754">
        <v>42212</v>
      </c>
      <c r="B4144" s="125" t="str">
        <f>TiposLancamentos!B19</f>
        <v>Restaurantes</v>
      </c>
      <c r="C4144" s="1040" t="s">
        <v>7150</v>
      </c>
      <c r="D4144" s="1736"/>
      <c r="E4144" s="1043">
        <v>33.950000000000003</v>
      </c>
      <c r="F4144" s="1043"/>
      <c r="G4144" s="1550"/>
    </row>
    <row r="4145" spans="1:7">
      <c r="A4145" s="1754">
        <v>42213</v>
      </c>
      <c r="B4145" s="125" t="str">
        <f>TiposLancamentos!B24</f>
        <v>Estacionamentos</v>
      </c>
      <c r="C4145" s="1040" t="s">
        <v>3474</v>
      </c>
      <c r="D4145" s="1736"/>
      <c r="E4145" s="1043">
        <v>10</v>
      </c>
      <c r="F4145" s="1043"/>
      <c r="G4145" s="1550"/>
    </row>
    <row r="4146" spans="1:7">
      <c r="A4146" s="1754">
        <v>42213</v>
      </c>
      <c r="B4146" s="125" t="str">
        <f>TiposLancamentos!B22</f>
        <v>Combustivel</v>
      </c>
      <c r="C4146" s="1040" t="s">
        <v>6728</v>
      </c>
      <c r="D4146" s="1736"/>
      <c r="E4146" s="1043">
        <v>60</v>
      </c>
      <c r="F4146" s="1043"/>
      <c r="G4146" s="1550"/>
    </row>
    <row r="4147" spans="1:7">
      <c r="A4147" s="1754">
        <v>42215</v>
      </c>
      <c r="B4147" s="125" t="str">
        <f>TiposLancamentos!B19</f>
        <v>Restaurantes</v>
      </c>
      <c r="C4147" s="1040" t="s">
        <v>7151</v>
      </c>
      <c r="D4147" s="1736"/>
      <c r="E4147" s="1043">
        <v>10.5</v>
      </c>
      <c r="F4147" s="1043"/>
      <c r="G4147" s="1550"/>
    </row>
    <row r="4148" spans="1:7">
      <c r="A4148" s="1754">
        <v>42216</v>
      </c>
      <c r="B4148" s="125" t="str">
        <f>TiposLancamentos!B19</f>
        <v>Restaurantes</v>
      </c>
      <c r="C4148" s="1040" t="s">
        <v>7152</v>
      </c>
      <c r="D4148" s="1736"/>
      <c r="E4148" s="1043">
        <v>32.9</v>
      </c>
      <c r="F4148" s="1043"/>
      <c r="G4148" s="1550"/>
    </row>
    <row r="4149" spans="1:7">
      <c r="A4149" s="1754">
        <v>42216</v>
      </c>
      <c r="B4149" s="125" t="str">
        <f>TiposLancamentos!B19</f>
        <v>Restaurantes</v>
      </c>
      <c r="C4149" s="1040" t="s">
        <v>7153</v>
      </c>
      <c r="D4149" s="1736"/>
      <c r="E4149" s="1043">
        <v>3</v>
      </c>
      <c r="F4149" s="1043"/>
      <c r="G4149" s="1550"/>
    </row>
    <row r="4150" spans="1:7" ht="14.25" thickBot="1">
      <c r="A4150" s="1754">
        <v>42216</v>
      </c>
      <c r="B4150" s="125" t="str">
        <f>TiposLancamentos!B95</f>
        <v>Salarios</v>
      </c>
      <c r="C4150" s="1040" t="s">
        <v>7054</v>
      </c>
      <c r="D4150" s="1736">
        <v>13111.51</v>
      </c>
      <c r="E4150" s="1043"/>
      <c r="F4150" s="1043"/>
      <c r="G4150" s="1550"/>
    </row>
    <row r="4151" spans="1:7">
      <c r="A4151" s="1834"/>
      <c r="B4151" s="977"/>
      <c r="C4151" s="1854" t="s">
        <v>7122</v>
      </c>
      <c r="D4151" s="1823"/>
      <c r="E4151" s="1821"/>
      <c r="F4151" s="1821"/>
      <c r="G4151" s="1895"/>
    </row>
    <row r="4152" spans="1:7">
      <c r="A4152" s="1754">
        <v>42217</v>
      </c>
      <c r="B4152" s="125" t="str">
        <f>TiposLancamentos!B22</f>
        <v>Combustivel</v>
      </c>
      <c r="C4152" s="1040" t="s">
        <v>6718</v>
      </c>
      <c r="D4152" s="1736"/>
      <c r="E4152" s="1043">
        <v>100</v>
      </c>
      <c r="F4152" s="1043"/>
      <c r="G4152" s="1550"/>
    </row>
    <row r="4153" spans="1:7">
      <c r="A4153" s="1754">
        <v>42217</v>
      </c>
      <c r="B4153" s="125" t="str">
        <f>TiposLancamentos!B19</f>
        <v>Restaurantes</v>
      </c>
      <c r="C4153" s="1040" t="s">
        <v>7154</v>
      </c>
      <c r="D4153" s="1736"/>
      <c r="E4153" s="1043">
        <v>21.5</v>
      </c>
      <c r="F4153" s="1043"/>
      <c r="G4153" s="1550"/>
    </row>
    <row r="4154" spans="1:7">
      <c r="A4154" s="1754">
        <v>42217</v>
      </c>
      <c r="B4154" s="125" t="str">
        <f>TiposLancamentos!B5</f>
        <v>Supermercado</v>
      </c>
      <c r="C4154" s="1040" t="s">
        <v>6234</v>
      </c>
      <c r="D4154" s="1736"/>
      <c r="E4154" s="1043">
        <v>37.68</v>
      </c>
      <c r="F4154" s="1043"/>
      <c r="G4154" s="1550"/>
    </row>
    <row r="4155" spans="1:7">
      <c r="A4155" s="1754">
        <v>42218</v>
      </c>
      <c r="B4155" s="125" t="str">
        <f>TiposLancamentos!B48</f>
        <v>Baralhos e Oráculos</v>
      </c>
      <c r="C4155" s="1040" t="s">
        <v>7155</v>
      </c>
      <c r="D4155" s="1736"/>
      <c r="E4155" s="1043">
        <v>145</v>
      </c>
      <c r="F4155" s="1043"/>
      <c r="G4155" s="1550"/>
    </row>
    <row r="4156" spans="1:7">
      <c r="A4156" s="1754">
        <v>42218</v>
      </c>
      <c r="B4156" s="125" t="str">
        <f>TiposLancamentos!B19</f>
        <v>Restaurantes</v>
      </c>
      <c r="C4156" s="1040" t="s">
        <v>7156</v>
      </c>
      <c r="D4156" s="1736"/>
      <c r="E4156" s="1043">
        <v>38.4</v>
      </c>
      <c r="F4156" s="1043"/>
      <c r="G4156" s="1550"/>
    </row>
    <row r="4157" spans="1:7">
      <c r="A4157" s="1754">
        <v>42218</v>
      </c>
      <c r="B4157" s="125" t="str">
        <f>TiposLancamentos!B48</f>
        <v>Baralhos e Oráculos</v>
      </c>
      <c r="C4157" s="1040" t="s">
        <v>7157</v>
      </c>
      <c r="D4157" s="1736"/>
      <c r="E4157" s="1043">
        <v>180</v>
      </c>
      <c r="F4157" s="1043"/>
      <c r="G4157" s="1550"/>
    </row>
    <row r="4158" spans="1:7">
      <c r="A4158" s="1754">
        <v>42218</v>
      </c>
      <c r="B4158" s="125" t="str">
        <f>TiposLancamentos!B19</f>
        <v>Restaurantes</v>
      </c>
      <c r="C4158" s="1040" t="s">
        <v>7158</v>
      </c>
      <c r="D4158" s="1736"/>
      <c r="E4158" s="1043">
        <v>4.4000000000000004</v>
      </c>
      <c r="F4158" s="1043"/>
      <c r="G4158" s="1550"/>
    </row>
    <row r="4159" spans="1:7">
      <c r="A4159" s="1754">
        <v>42218</v>
      </c>
      <c r="B4159" s="125" t="str">
        <f>TiposLancamentos!B24</f>
        <v>Estacionamentos</v>
      </c>
      <c r="C4159" s="1040" t="s">
        <v>7159</v>
      </c>
      <c r="D4159" s="1736"/>
      <c r="E4159" s="1043">
        <v>18</v>
      </c>
      <c r="F4159" s="1043"/>
      <c r="G4159" s="1550"/>
    </row>
    <row r="4160" spans="1:7">
      <c r="A4160" s="1754">
        <v>42218</v>
      </c>
      <c r="B4160" s="125" t="str">
        <f>TiposLancamentos!B19</f>
        <v>Restaurantes</v>
      </c>
      <c r="C4160" s="1040" t="s">
        <v>6981</v>
      </c>
      <c r="D4160" s="1736"/>
      <c r="E4160" s="1043">
        <v>25.5</v>
      </c>
      <c r="F4160" s="1043"/>
      <c r="G4160" s="1550"/>
    </row>
    <row r="4161" spans="1:7">
      <c r="A4161" s="1754">
        <v>42219</v>
      </c>
      <c r="B4161" s="125" t="str">
        <f>TiposLancamentos!B19</f>
        <v>Restaurantes</v>
      </c>
      <c r="C4161" s="1040" t="s">
        <v>7160</v>
      </c>
      <c r="D4161" s="1736"/>
      <c r="E4161" s="1043">
        <v>9.4499999999999993</v>
      </c>
      <c r="F4161" s="1043"/>
      <c r="G4161" s="1550"/>
    </row>
    <row r="4162" spans="1:7">
      <c r="A4162" s="1754">
        <v>42219</v>
      </c>
      <c r="B4162" s="125" t="str">
        <f>TiposLancamentos!B15</f>
        <v>Cartões de Crédito</v>
      </c>
      <c r="C4162" s="1040" t="s">
        <v>6240</v>
      </c>
      <c r="D4162" s="1736"/>
      <c r="E4162" s="1043">
        <v>667.83</v>
      </c>
      <c r="F4162" s="1043"/>
      <c r="G4162" s="1550"/>
    </row>
    <row r="4163" spans="1:7">
      <c r="A4163" s="1754">
        <v>42219</v>
      </c>
      <c r="B4163" s="125" t="str">
        <f>TiposLancamentos!B15</f>
        <v>Cartões de Crédito</v>
      </c>
      <c r="C4163" s="1040" t="s">
        <v>7161</v>
      </c>
      <c r="D4163" s="1736"/>
      <c r="E4163" s="1043">
        <v>6214.76</v>
      </c>
      <c r="F4163" s="1043"/>
      <c r="G4163" s="1550"/>
    </row>
    <row r="4164" spans="1:7">
      <c r="A4164" s="1754">
        <v>42219</v>
      </c>
      <c r="B4164" s="125" t="str">
        <f>TiposLancamentos!B15</f>
        <v>Cartões de Crédito</v>
      </c>
      <c r="C4164" s="1040" t="s">
        <v>7162</v>
      </c>
      <c r="D4164" s="1736"/>
      <c r="E4164" s="1043">
        <v>1708.88</v>
      </c>
      <c r="F4164" s="1043"/>
      <c r="G4164" s="1550"/>
    </row>
    <row r="4165" spans="1:7">
      <c r="A4165" s="1754">
        <v>42219</v>
      </c>
      <c r="B4165" s="125" t="str">
        <f>TiposLancamentos!B3</f>
        <v>Internet</v>
      </c>
      <c r="C4165" s="1040" t="s">
        <v>6913</v>
      </c>
      <c r="D4165" s="1736"/>
      <c r="E4165" s="1043">
        <v>104.36</v>
      </c>
      <c r="F4165" s="1043"/>
      <c r="G4165" s="1550"/>
    </row>
    <row r="4166" spans="1:7">
      <c r="A4166" s="1754">
        <v>42217</v>
      </c>
      <c r="B4166" s="125" t="str">
        <f>TiposLancamentos!B88</f>
        <v>Ford Ecosport XLT</v>
      </c>
      <c r="C4166" s="1040" t="s">
        <v>7163</v>
      </c>
      <c r="D4166" s="1736"/>
      <c r="E4166" s="1043">
        <v>2470</v>
      </c>
      <c r="F4166" s="1043"/>
      <c r="G4166" s="1550"/>
    </row>
    <row r="4167" spans="1:7">
      <c r="A4167" s="1754">
        <v>42219</v>
      </c>
      <c r="B4167" s="125" t="str">
        <f>TiposLancamentos!B4</f>
        <v>Taxas Bancarias</v>
      </c>
      <c r="C4167" s="1040" t="s">
        <v>6910</v>
      </c>
      <c r="D4167" s="1736"/>
      <c r="E4167" s="1043">
        <v>31.6</v>
      </c>
      <c r="F4167" s="1043"/>
      <c r="G4167" s="1550"/>
    </row>
    <row r="4168" spans="1:7">
      <c r="A4168" s="1754">
        <v>42219</v>
      </c>
      <c r="B4168" s="125" t="str">
        <f>TiposLancamentos!B24</f>
        <v>Estacionamentos</v>
      </c>
      <c r="C4168" s="1040" t="s">
        <v>4589</v>
      </c>
      <c r="D4168" s="1736"/>
      <c r="E4168" s="1043">
        <v>170</v>
      </c>
      <c r="F4168" s="1043"/>
      <c r="G4168" s="1550"/>
    </row>
    <row r="4169" spans="1:7">
      <c r="A4169" s="1754">
        <v>42220</v>
      </c>
      <c r="B4169" s="125" t="str">
        <f>TiposLancamentos!B19</f>
        <v>Restaurantes</v>
      </c>
      <c r="C4169" s="1040" t="s">
        <v>7164</v>
      </c>
      <c r="D4169" s="1736"/>
      <c r="E4169" s="1043">
        <v>26.1</v>
      </c>
      <c r="F4169" s="1043"/>
      <c r="G4169" s="1550"/>
    </row>
    <row r="4170" spans="1:7">
      <c r="A4170" s="1754">
        <v>42220</v>
      </c>
      <c r="B4170" s="125" t="str">
        <f>TiposLancamentos!B19</f>
        <v>Restaurantes</v>
      </c>
      <c r="C4170" s="1040" t="s">
        <v>7165</v>
      </c>
      <c r="D4170" s="1736"/>
      <c r="E4170" s="1043">
        <v>43.6</v>
      </c>
      <c r="F4170" s="1043"/>
      <c r="G4170" s="1550"/>
    </row>
    <row r="4171" spans="1:7">
      <c r="A4171" s="1754">
        <v>42222</v>
      </c>
      <c r="B4171" s="125" t="str">
        <f>TiposLancamentos!B9</f>
        <v>Condominio</v>
      </c>
      <c r="C4171" s="1040" t="s">
        <v>5925</v>
      </c>
      <c r="D4171" s="1736"/>
      <c r="E4171" s="1043">
        <v>886.07</v>
      </c>
      <c r="F4171" s="1043"/>
      <c r="G4171" s="1550"/>
    </row>
    <row r="4172" spans="1:7">
      <c r="A4172" s="1754">
        <v>42223</v>
      </c>
      <c r="B4172" s="125" t="str">
        <f>TiposLancamentos!B98</f>
        <v>Restituições</v>
      </c>
      <c r="C4172" s="1040" t="s">
        <v>7166</v>
      </c>
      <c r="D4172" s="1736">
        <v>42.62</v>
      </c>
      <c r="E4172" s="1043"/>
      <c r="F4172" s="1043"/>
      <c r="G4172" s="1550"/>
    </row>
    <row r="4173" spans="1:7">
      <c r="A4173" s="1754">
        <v>42223</v>
      </c>
      <c r="B4173" s="125" t="str">
        <f>TiposLancamentos!B2</f>
        <v>Telefonia</v>
      </c>
      <c r="C4173" s="1040" t="s">
        <v>7111</v>
      </c>
      <c r="D4173" s="1736"/>
      <c r="E4173" s="1043">
        <v>126.9</v>
      </c>
      <c r="F4173" s="1043"/>
      <c r="G4173" s="1550"/>
    </row>
    <row r="4174" spans="1:7">
      <c r="A4174" s="1754">
        <v>42225</v>
      </c>
      <c r="B4174" s="125" t="str">
        <f>TiposLancamentos!B72</f>
        <v>Presentes</v>
      </c>
      <c r="C4174" s="1040" t="s">
        <v>7167</v>
      </c>
      <c r="D4174" s="1736"/>
      <c r="E4174" s="1043">
        <v>10</v>
      </c>
      <c r="F4174" s="1043"/>
      <c r="G4174" s="1550"/>
    </row>
    <row r="4175" spans="1:7">
      <c r="A4175" s="1754">
        <v>42225</v>
      </c>
      <c r="B4175" s="125" t="str">
        <f>TiposLancamentos!B24</f>
        <v>Estacionamentos</v>
      </c>
      <c r="C4175" s="1040" t="s">
        <v>3617</v>
      </c>
      <c r="D4175" s="1736"/>
      <c r="E4175" s="1043">
        <v>18</v>
      </c>
      <c r="F4175" s="1043"/>
      <c r="G4175" s="1550"/>
    </row>
    <row r="4176" spans="1:7">
      <c r="A4176" s="1666">
        <v>42226</v>
      </c>
      <c r="B4176" s="817" t="str">
        <f>TiposLancamentos!B8</f>
        <v>Aluguel</v>
      </c>
      <c r="C4176" s="1742" t="s">
        <v>6163</v>
      </c>
      <c r="D4176" s="1735"/>
      <c r="E4176" s="1733">
        <f>1464.96+4.8+1.5</f>
        <v>1471.26</v>
      </c>
      <c r="F4176" s="1043"/>
      <c r="G4176" s="1550"/>
    </row>
    <row r="4177" spans="1:7">
      <c r="A4177" s="1667">
        <v>42226</v>
      </c>
      <c r="B4177" s="816" t="str">
        <f>TiposLancamentos!B12</f>
        <v>IPTU</v>
      </c>
      <c r="C4177" s="1769" t="s">
        <v>6755</v>
      </c>
      <c r="D4177" s="1736"/>
      <c r="E4177" s="1734">
        <v>118.26</v>
      </c>
      <c r="F4177" s="1043"/>
      <c r="G4177" s="1550"/>
    </row>
    <row r="4178" spans="1:7">
      <c r="A4178" s="1750">
        <v>42226</v>
      </c>
      <c r="B4178" s="818" t="str">
        <f>TiposLancamentos!B34</f>
        <v>Seguros</v>
      </c>
      <c r="C4178" s="1743" t="s">
        <v>7168</v>
      </c>
      <c r="D4178" s="1737"/>
      <c r="E4178" s="1668">
        <v>247.84</v>
      </c>
      <c r="F4178" s="1043">
        <f>SUM(E4176:E4178)</f>
        <v>1837.36</v>
      </c>
      <c r="G4178" s="1550"/>
    </row>
    <row r="4179" spans="1:7">
      <c r="A4179" s="1754">
        <v>42226</v>
      </c>
      <c r="B4179" s="125" t="str">
        <f>TiposLancamentos!B4</f>
        <v>Taxas Bancarias</v>
      </c>
      <c r="C4179" s="1040" t="s">
        <v>6983</v>
      </c>
      <c r="D4179" s="1736"/>
      <c r="E4179" s="1043">
        <v>333.48</v>
      </c>
      <c r="F4179" s="1043"/>
      <c r="G4179" s="1550"/>
    </row>
    <row r="4180" spans="1:7">
      <c r="A4180" s="1666">
        <v>42226</v>
      </c>
      <c r="B4180" s="817" t="str">
        <f>TiposLancamentos!B35</f>
        <v>Tv à Cabo</v>
      </c>
      <c r="C4180" s="1742" t="s">
        <v>5834</v>
      </c>
      <c r="D4180" s="1735"/>
      <c r="E4180" s="1733">
        <v>129.41</v>
      </c>
      <c r="F4180" s="1043"/>
      <c r="G4180" s="1550"/>
    </row>
    <row r="4181" spans="1:7">
      <c r="A4181" s="1667">
        <v>42226</v>
      </c>
      <c r="B4181" s="816" t="str">
        <f>TiposLancamentos!B3</f>
        <v>Internet</v>
      </c>
      <c r="C4181" s="1769" t="s">
        <v>5835</v>
      </c>
      <c r="D4181" s="1736"/>
      <c r="E4181" s="1734">
        <v>64.599999999999994</v>
      </c>
      <c r="F4181" s="1043"/>
      <c r="G4181" s="1550"/>
    </row>
    <row r="4182" spans="1:7">
      <c r="A4182" s="1750">
        <v>42226</v>
      </c>
      <c r="B4182" s="818" t="str">
        <f>TiposLancamentos!B2</f>
        <v>Telefonia</v>
      </c>
      <c r="C4182" s="1743" t="s">
        <v>5836</v>
      </c>
      <c r="D4182" s="1737"/>
      <c r="E4182" s="1668">
        <v>0</v>
      </c>
      <c r="F4182" s="1043"/>
      <c r="G4182" s="1550"/>
    </row>
    <row r="4183" spans="1:7">
      <c r="A4183" s="1754">
        <v>42227</v>
      </c>
      <c r="B4183" s="125" t="str">
        <f>TiposLancamentos!B16</f>
        <v>Cristiane</v>
      </c>
      <c r="C4183" s="1040" t="s">
        <v>7169</v>
      </c>
      <c r="D4183" s="1736"/>
      <c r="E4183" s="1043">
        <v>240</v>
      </c>
      <c r="F4183" s="1043"/>
      <c r="G4183" s="1550"/>
    </row>
    <row r="4184" spans="1:7">
      <c r="A4184" s="1754">
        <v>42228</v>
      </c>
      <c r="B4184" s="125" t="str">
        <f>TiposLancamentos!B20</f>
        <v>Saques</v>
      </c>
      <c r="C4184" s="1040" t="s">
        <v>3604</v>
      </c>
      <c r="D4184" s="1736"/>
      <c r="E4184" s="1043">
        <v>20</v>
      </c>
      <c r="F4184" s="1043"/>
      <c r="G4184" s="1550"/>
    </row>
    <row r="4185" spans="1:7">
      <c r="A4185" s="1754">
        <v>42229</v>
      </c>
      <c r="B4185" s="125" t="str">
        <f>TiposLancamentos!B16</f>
        <v>Cristiane</v>
      </c>
      <c r="C4185" s="1040" t="s">
        <v>4846</v>
      </c>
      <c r="D4185" s="1736"/>
      <c r="E4185" s="1043">
        <v>112.16</v>
      </c>
      <c r="F4185" s="1043"/>
      <c r="G4185" s="1550"/>
    </row>
    <row r="4186" spans="1:7">
      <c r="A4186" s="1754">
        <v>42229</v>
      </c>
      <c r="B4186" s="125" t="str">
        <f>TiposLancamentos!B16</f>
        <v>Cristiane</v>
      </c>
      <c r="C4186" s="1040" t="s">
        <v>7170</v>
      </c>
      <c r="D4186" s="1736"/>
      <c r="E4186" s="1043">
        <v>361.96</v>
      </c>
      <c r="F4186" s="1043"/>
      <c r="G4186" s="1550"/>
    </row>
    <row r="4187" spans="1:7">
      <c r="A4187" s="1754">
        <v>42291</v>
      </c>
      <c r="B4187" s="125" t="str">
        <f>TiposLancamentos!B24</f>
        <v>Estacionamentos</v>
      </c>
      <c r="C4187" s="1040" t="s">
        <v>3253</v>
      </c>
      <c r="D4187" s="1736"/>
      <c r="E4187" s="1043">
        <v>10</v>
      </c>
      <c r="F4187" s="1043"/>
      <c r="G4187" s="1550"/>
    </row>
    <row r="4188" spans="1:7">
      <c r="A4188" s="1754">
        <v>42231</v>
      </c>
      <c r="B4188" s="125" t="str">
        <f>TiposLancamentos!B95</f>
        <v>Salarios</v>
      </c>
      <c r="C4188" s="1040" t="s">
        <v>4916</v>
      </c>
      <c r="D4188" s="1736">
        <v>3240</v>
      </c>
      <c r="E4188" s="1043"/>
      <c r="F4188" s="1043"/>
      <c r="G4188" s="1550"/>
    </row>
    <row r="4189" spans="1:7">
      <c r="A4189" s="1666">
        <v>42231</v>
      </c>
      <c r="B4189" s="817" t="str">
        <f>TiposLancamentos!B33</f>
        <v>Pedágios</v>
      </c>
      <c r="C4189" s="1742" t="s">
        <v>5392</v>
      </c>
      <c r="D4189" s="1735"/>
      <c r="E4189" s="1733">
        <v>31.94</v>
      </c>
      <c r="F4189" s="1043"/>
      <c r="G4189" s="1550"/>
    </row>
    <row r="4190" spans="1:7">
      <c r="A4190" s="1667">
        <v>42231</v>
      </c>
      <c r="B4190" s="816" t="str">
        <f>TiposLancamentos!B24</f>
        <v>Estacionamentos</v>
      </c>
      <c r="C4190" s="1769" t="s">
        <v>5863</v>
      </c>
      <c r="D4190" s="1736"/>
      <c r="E4190" s="1734">
        <v>62</v>
      </c>
      <c r="F4190" s="1043"/>
      <c r="G4190" s="1550"/>
    </row>
    <row r="4191" spans="1:7">
      <c r="A4191" s="1750">
        <v>42231</v>
      </c>
      <c r="B4191" s="818" t="str">
        <f>TiposLancamentos!B24</f>
        <v>Estacionamentos</v>
      </c>
      <c r="C4191" s="1743" t="s">
        <v>6297</v>
      </c>
      <c r="D4191" s="1737"/>
      <c r="E4191" s="1668">
        <v>7</v>
      </c>
      <c r="F4191" s="1043">
        <f>SUM(E4189:E4191)</f>
        <v>100.94</v>
      </c>
      <c r="G4191" s="1550"/>
    </row>
    <row r="4192" spans="1:7">
      <c r="A4192" s="1754">
        <v>42233</v>
      </c>
      <c r="B4192" s="125" t="str">
        <f>TiposLancamentos!B20</f>
        <v>Saques</v>
      </c>
      <c r="C4192" s="1040" t="s">
        <v>3604</v>
      </c>
      <c r="D4192" s="1736"/>
      <c r="E4192" s="1043">
        <v>20</v>
      </c>
      <c r="F4192" s="1043"/>
      <c r="G4192" s="1550"/>
    </row>
    <row r="4193" spans="1:7">
      <c r="A4193" s="1754">
        <v>42235</v>
      </c>
      <c r="B4193" s="125" t="str">
        <f>TiposLancamentos!B73</f>
        <v>Cursos</v>
      </c>
      <c r="C4193" s="1040" t="s">
        <v>7171</v>
      </c>
      <c r="D4193" s="1736"/>
      <c r="E4193" s="1043">
        <v>255</v>
      </c>
      <c r="F4193" s="1043"/>
      <c r="G4193" s="1550"/>
    </row>
    <row r="4194" spans="1:7">
      <c r="A4194" s="1754">
        <v>42235</v>
      </c>
      <c r="B4194" s="125" t="str">
        <f>TiposLancamentos!B20</f>
        <v>Saques</v>
      </c>
      <c r="C4194" s="1040" t="s">
        <v>3604</v>
      </c>
      <c r="D4194" s="1736"/>
      <c r="E4194" s="1043">
        <v>40</v>
      </c>
      <c r="F4194" s="1043"/>
      <c r="G4194" s="1550"/>
    </row>
    <row r="4195" spans="1:7">
      <c r="A4195" s="1754">
        <v>42236</v>
      </c>
      <c r="B4195" s="125" t="str">
        <f>TiposLancamentos!B19</f>
        <v>Restaurantes</v>
      </c>
      <c r="C4195" s="1040" t="s">
        <v>7172</v>
      </c>
      <c r="D4195" s="1736"/>
      <c r="E4195" s="1043">
        <v>9</v>
      </c>
      <c r="F4195" s="1043"/>
      <c r="G4195" s="1550"/>
    </row>
    <row r="4196" spans="1:7">
      <c r="A4196" s="1754">
        <v>42240</v>
      </c>
      <c r="B4196" s="125" t="str">
        <f>TiposLancamentos!B20</f>
        <v>Saques</v>
      </c>
      <c r="C4196" s="1040" t="s">
        <v>3604</v>
      </c>
      <c r="D4196" s="1736"/>
      <c r="E4196" s="1043">
        <v>50</v>
      </c>
      <c r="F4196" s="1043"/>
      <c r="G4196" s="1550"/>
    </row>
    <row r="4197" spans="1:7">
      <c r="A4197" s="1754">
        <v>42241</v>
      </c>
      <c r="B4197" s="125" t="str">
        <f>TiposLancamentos!B34</f>
        <v>Seguros</v>
      </c>
      <c r="C4197" s="1040" t="s">
        <v>6843</v>
      </c>
      <c r="D4197" s="1736"/>
      <c r="E4197" s="1043">
        <v>63.9</v>
      </c>
      <c r="F4197" s="1043"/>
      <c r="G4197" s="1550"/>
    </row>
    <row r="4198" spans="1:7">
      <c r="A4198" s="1754">
        <v>42241</v>
      </c>
      <c r="B4198" s="125" t="str">
        <f>TiposLancamentos!B24</f>
        <v>Estacionamentos</v>
      </c>
      <c r="C4198" s="1040" t="s">
        <v>7173</v>
      </c>
      <c r="D4198" s="1736"/>
      <c r="E4198" s="1043">
        <v>40</v>
      </c>
      <c r="F4198" s="1043"/>
      <c r="G4198" s="1550"/>
    </row>
    <row r="4199" spans="1:7">
      <c r="A4199" s="1754">
        <v>42242</v>
      </c>
      <c r="B4199" s="125" t="str">
        <f>TiposLancamentos!B98</f>
        <v>Restituições</v>
      </c>
      <c r="C4199" s="1040" t="s">
        <v>7143</v>
      </c>
      <c r="D4199" s="1736">
        <v>170</v>
      </c>
      <c r="E4199" s="1043"/>
      <c r="F4199" s="1043"/>
      <c r="G4199" s="1550"/>
    </row>
    <row r="4200" spans="1:7">
      <c r="A4200" s="1754">
        <v>42243</v>
      </c>
      <c r="B4200" s="125" t="str">
        <f>TiposLancamentos!B6</f>
        <v>Energia Eletrica</v>
      </c>
      <c r="C4200" s="1040" t="s">
        <v>5191</v>
      </c>
      <c r="D4200" s="1736"/>
      <c r="E4200" s="1043">
        <v>201.39</v>
      </c>
      <c r="F4200" s="1043"/>
      <c r="G4200" s="1550"/>
    </row>
    <row r="4201" spans="1:7">
      <c r="A4201" s="1754">
        <v>42245</v>
      </c>
      <c r="B4201" s="125" t="str">
        <f>TiposLancamentos!B19</f>
        <v>Restaurantes</v>
      </c>
      <c r="C4201" s="1040" t="s">
        <v>7174</v>
      </c>
      <c r="D4201" s="1736"/>
      <c r="E4201" s="1043">
        <v>58.8</v>
      </c>
      <c r="F4201" s="1043"/>
      <c r="G4201" s="1550"/>
    </row>
    <row r="4202" spans="1:7">
      <c r="A4202" s="1754">
        <v>42247</v>
      </c>
      <c r="B4202" s="125" t="str">
        <f>TiposLancamentos!B95</f>
        <v>Salarios</v>
      </c>
      <c r="C4202" s="1040" t="s">
        <v>7054</v>
      </c>
      <c r="D4202" s="1736">
        <v>8345.9599999999991</v>
      </c>
      <c r="E4202" s="1043"/>
      <c r="F4202" s="1043"/>
      <c r="G4202" s="1550"/>
    </row>
    <row r="4203" spans="1:7" ht="14.25" thickBot="1">
      <c r="A4203" s="1754">
        <v>42247</v>
      </c>
      <c r="B4203" s="125" t="str">
        <f>TiposLancamentos!B71</f>
        <v>Itens Pessoais</v>
      </c>
      <c r="C4203" s="1040" t="s">
        <v>3590</v>
      </c>
      <c r="D4203" s="1736"/>
      <c r="E4203" s="1043">
        <v>30</v>
      </c>
      <c r="F4203" s="1043"/>
      <c r="G4203" s="1550"/>
    </row>
    <row r="4204" spans="1:7">
      <c r="A4204" s="1834"/>
      <c r="B4204" s="977"/>
      <c r="C4204" s="1854" t="s">
        <v>7175</v>
      </c>
      <c r="D4204" s="1823"/>
      <c r="E4204" s="1821"/>
      <c r="F4204" s="1821"/>
      <c r="G4204" s="1895"/>
    </row>
    <row r="4205" spans="1:7">
      <c r="A4205" s="1754">
        <v>42248</v>
      </c>
      <c r="B4205" s="125" t="str">
        <f>TiposLancamentos!B15</f>
        <v>Cartões de Crédito</v>
      </c>
      <c r="C4205" s="1040" t="s">
        <v>6240</v>
      </c>
      <c r="D4205" s="1736"/>
      <c r="E4205" s="1043">
        <v>667.83</v>
      </c>
      <c r="F4205" s="1043"/>
      <c r="G4205" s="1550"/>
    </row>
    <row r="4206" spans="1:7">
      <c r="A4206" s="1754">
        <v>42248</v>
      </c>
      <c r="B4206" s="125" t="str">
        <f>TiposLancamentos!B15</f>
        <v>Cartões de Crédito</v>
      </c>
      <c r="C4206" s="1040" t="s">
        <v>7161</v>
      </c>
      <c r="D4206" s="1736"/>
      <c r="E4206" s="1043">
        <v>3196.24</v>
      </c>
      <c r="F4206" s="1043"/>
      <c r="G4206" s="1550"/>
    </row>
    <row r="4207" spans="1:7">
      <c r="A4207" s="1754">
        <v>42248</v>
      </c>
      <c r="B4207" s="125" t="str">
        <f>TiposLancamentos!B4</f>
        <v>Taxas Bancarias</v>
      </c>
      <c r="C4207" s="1040" t="s">
        <v>6910</v>
      </c>
      <c r="D4207" s="1736"/>
      <c r="E4207" s="1043">
        <v>35.19</v>
      </c>
      <c r="F4207" s="1043"/>
      <c r="G4207" s="1550"/>
    </row>
    <row r="4208" spans="1:7">
      <c r="A4208" s="1754">
        <v>42250</v>
      </c>
      <c r="B4208" s="125" t="str">
        <f>TiposLancamentos!B15</f>
        <v>Cartões de Crédito</v>
      </c>
      <c r="C4208" s="1040" t="s">
        <v>7162</v>
      </c>
      <c r="D4208" s="1736"/>
      <c r="E4208" s="1043">
        <v>2268.5700000000002</v>
      </c>
      <c r="F4208" s="1043"/>
      <c r="G4208" s="1550"/>
    </row>
    <row r="4209" spans="1:7">
      <c r="A4209" s="1754">
        <v>42250</v>
      </c>
      <c r="B4209" s="125" t="str">
        <f>TiposLancamentos!B3</f>
        <v>Internet</v>
      </c>
      <c r="C4209" s="1040" t="s">
        <v>6913</v>
      </c>
      <c r="D4209" s="1736"/>
      <c r="E4209" s="1043">
        <v>131.4</v>
      </c>
      <c r="F4209" s="1043"/>
      <c r="G4209" s="1550"/>
    </row>
    <row r="4210" spans="1:7">
      <c r="A4210" s="1754">
        <v>42251</v>
      </c>
      <c r="B4210" s="125" t="str">
        <f>TiposLancamentos!B19</f>
        <v>Restaurantes</v>
      </c>
      <c r="C4210" s="1040" t="s">
        <v>7176</v>
      </c>
      <c r="D4210" s="1736"/>
      <c r="E4210" s="1043">
        <v>12.6</v>
      </c>
      <c r="F4210" s="1043"/>
      <c r="G4210" s="1550"/>
    </row>
    <row r="4211" spans="1:7">
      <c r="A4211" s="1754">
        <v>42255</v>
      </c>
      <c r="B4211" s="125" t="str">
        <f>TiposLancamentos!B16</f>
        <v>Cristiane</v>
      </c>
      <c r="C4211" s="1040" t="s">
        <v>7119</v>
      </c>
      <c r="D4211" s="1736"/>
      <c r="E4211" s="1043">
        <v>141.86000000000001</v>
      </c>
      <c r="F4211" s="1043"/>
      <c r="G4211" s="1550"/>
    </row>
    <row r="4212" spans="1:7">
      <c r="A4212" s="1754">
        <v>42255</v>
      </c>
      <c r="B4212" s="125" t="str">
        <f>TiposLancamentos!B24</f>
        <v>Estacionamentos</v>
      </c>
      <c r="C4212" s="1040" t="s">
        <v>4589</v>
      </c>
      <c r="D4212" s="1736"/>
      <c r="E4212" s="1043">
        <v>170</v>
      </c>
      <c r="F4212" s="1043"/>
      <c r="G4212" s="1550"/>
    </row>
    <row r="4213" spans="1:7">
      <c r="A4213" s="1754">
        <v>42255</v>
      </c>
      <c r="B4213" s="125" t="str">
        <f>TiposLancamentos!B9</f>
        <v>Condominio</v>
      </c>
      <c r="C4213" s="1040" t="s">
        <v>5925</v>
      </c>
      <c r="D4213" s="1736"/>
      <c r="E4213" s="1043">
        <v>886.07</v>
      </c>
      <c r="F4213" s="1043"/>
      <c r="G4213" s="1550"/>
    </row>
    <row r="4214" spans="1:7">
      <c r="A4214" s="1754">
        <v>42255</v>
      </c>
      <c r="B4214" s="125" t="str">
        <f>TiposLancamentos!B2</f>
        <v>Telefonia</v>
      </c>
      <c r="C4214" s="1040" t="s">
        <v>7111</v>
      </c>
      <c r="D4214" s="1736"/>
      <c r="E4214" s="1043">
        <v>137.26</v>
      </c>
      <c r="F4214" s="1043"/>
      <c r="G4214" s="1550"/>
    </row>
    <row r="4215" spans="1:7">
      <c r="A4215" s="1754">
        <v>42255</v>
      </c>
      <c r="B4215" s="125" t="str">
        <f>TiposLancamentos!B5</f>
        <v>Supermercado</v>
      </c>
      <c r="C4215" s="1040" t="s">
        <v>7177</v>
      </c>
      <c r="D4215" s="1736"/>
      <c r="E4215" s="1043">
        <v>5.99</v>
      </c>
      <c r="F4215" s="1043"/>
      <c r="G4215" s="1550"/>
    </row>
    <row r="4216" spans="1:7">
      <c r="A4216" s="1754">
        <v>42256</v>
      </c>
      <c r="B4216" s="125" t="str">
        <f>TiposLancamentos!B19</f>
        <v>Restaurantes</v>
      </c>
      <c r="C4216" s="1040" t="s">
        <v>7178</v>
      </c>
      <c r="D4216" s="1736"/>
      <c r="E4216" s="1043">
        <v>25</v>
      </c>
      <c r="F4216" s="1043"/>
      <c r="G4216" s="1550"/>
    </row>
    <row r="4217" spans="1:7">
      <c r="A4217" s="1754">
        <v>42256</v>
      </c>
      <c r="B4217" s="125" t="str">
        <f>TiposLancamentos!B24</f>
        <v>Estacionamentos</v>
      </c>
      <c r="C4217" s="1040" t="s">
        <v>3398</v>
      </c>
      <c r="D4217" s="1736"/>
      <c r="E4217" s="1043">
        <v>13</v>
      </c>
      <c r="F4217" s="1043"/>
      <c r="G4217" s="1550"/>
    </row>
    <row r="4218" spans="1:7">
      <c r="A4218" s="1754">
        <v>42256</v>
      </c>
      <c r="B4218" s="125" t="str">
        <f>TiposLancamentos!B16</f>
        <v>Cristiane</v>
      </c>
      <c r="C4218" s="1040" t="s">
        <v>6428</v>
      </c>
      <c r="D4218" s="1736"/>
      <c r="E4218" s="1043">
        <v>51.64</v>
      </c>
      <c r="F4218" s="1043"/>
      <c r="G4218" s="1550"/>
    </row>
    <row r="4219" spans="1:7">
      <c r="A4219" s="1666">
        <v>42257</v>
      </c>
      <c r="B4219" s="817" t="str">
        <f>TiposLancamentos!B8</f>
        <v>Aluguel</v>
      </c>
      <c r="C4219" s="1742" t="s">
        <v>6163</v>
      </c>
      <c r="D4219" s="1735"/>
      <c r="E4219" s="1733">
        <f>1464.96+4.8+1.5</f>
        <v>1471.26</v>
      </c>
      <c r="F4219" s="1043"/>
      <c r="G4219" s="1550"/>
    </row>
    <row r="4220" spans="1:7">
      <c r="A4220" s="1667">
        <v>42257</v>
      </c>
      <c r="B4220" s="816" t="str">
        <f>TiposLancamentos!B12</f>
        <v>IPTU</v>
      </c>
      <c r="C4220" s="1769" t="s">
        <v>6319</v>
      </c>
      <c r="D4220" s="1736"/>
      <c r="E4220" s="1734">
        <v>118.26</v>
      </c>
      <c r="F4220" s="1043"/>
      <c r="G4220" s="1550"/>
    </row>
    <row r="4221" spans="1:7">
      <c r="A4221" s="1750">
        <v>42257</v>
      </c>
      <c r="B4221" s="818" t="str">
        <f>TiposLancamentos!B34</f>
        <v>Seguros</v>
      </c>
      <c r="C4221" s="1743" t="s">
        <v>7179</v>
      </c>
      <c r="D4221" s="1737"/>
      <c r="E4221" s="1668">
        <v>0</v>
      </c>
      <c r="F4221" s="1043">
        <f>SUM(E4219:E4221)</f>
        <v>1589.52</v>
      </c>
      <c r="G4221" s="1550"/>
    </row>
    <row r="4222" spans="1:7">
      <c r="A4222" s="1754">
        <v>42257</v>
      </c>
      <c r="B4222" s="125" t="str">
        <f>TiposLancamentos!B4</f>
        <v>Taxas Bancarias</v>
      </c>
      <c r="C4222" s="1040" t="s">
        <v>6983</v>
      </c>
      <c r="D4222" s="1736"/>
      <c r="E4222" s="1043">
        <v>360.02</v>
      </c>
      <c r="F4222" s="1043"/>
      <c r="G4222" s="1550"/>
    </row>
    <row r="4223" spans="1:7">
      <c r="A4223" s="1754">
        <v>42257</v>
      </c>
      <c r="B4223" s="125" t="str">
        <f>TiposLancamentos!B16</f>
        <v>Cristiane</v>
      </c>
      <c r="C4223" s="1040" t="s">
        <v>7180</v>
      </c>
      <c r="D4223" s="1736"/>
      <c r="E4223" s="1043">
        <v>240</v>
      </c>
      <c r="F4223" s="1043"/>
      <c r="G4223" s="1550"/>
    </row>
    <row r="4224" spans="1:7">
      <c r="A4224" s="1666">
        <v>42257</v>
      </c>
      <c r="B4224" s="817" t="str">
        <f>TiposLancamentos!B35</f>
        <v>Tv à Cabo</v>
      </c>
      <c r="C4224" s="1742" t="s">
        <v>5834</v>
      </c>
      <c r="D4224" s="1735"/>
      <c r="E4224" s="1733">
        <v>129.41</v>
      </c>
      <c r="F4224" s="1043"/>
      <c r="G4224" s="1550"/>
    </row>
    <row r="4225" spans="1:7">
      <c r="A4225" s="1667">
        <v>42257</v>
      </c>
      <c r="B4225" s="816" t="str">
        <f>TiposLancamentos!B3</f>
        <v>Internet</v>
      </c>
      <c r="C4225" s="1769" t="s">
        <v>5835</v>
      </c>
      <c r="D4225" s="1736"/>
      <c r="E4225" s="1734">
        <v>64.599999999999994</v>
      </c>
      <c r="F4225" s="1043"/>
      <c r="G4225" s="1550"/>
    </row>
    <row r="4226" spans="1:7">
      <c r="A4226" s="1750">
        <v>42257</v>
      </c>
      <c r="B4226" s="818" t="str">
        <f>TiposLancamentos!B2</f>
        <v>Telefonia</v>
      </c>
      <c r="C4226" s="1743" t="s">
        <v>5836</v>
      </c>
      <c r="D4226" s="1737"/>
      <c r="E4226" s="1668">
        <v>3.68</v>
      </c>
      <c r="F4226" s="1043">
        <f>SUM(E4224:E4226)</f>
        <v>197.69</v>
      </c>
      <c r="G4226" s="1550"/>
    </row>
    <row r="4227" spans="1:7">
      <c r="A4227" s="1754">
        <v>42261</v>
      </c>
      <c r="B4227" s="125" t="str">
        <f>TiposLancamentos!B16</f>
        <v>Cristiane</v>
      </c>
      <c r="C4227" s="1040" t="s">
        <v>7181</v>
      </c>
      <c r="D4227" s="1736"/>
      <c r="E4227" s="1043">
        <v>320</v>
      </c>
      <c r="F4227" s="1043"/>
      <c r="G4227" s="1550"/>
    </row>
    <row r="4228" spans="1:7">
      <c r="A4228" s="1754">
        <v>42262</v>
      </c>
      <c r="B4228" s="125" t="str">
        <f>TiposLancamentos!B95</f>
        <v>Salarios</v>
      </c>
      <c r="C4228" s="1040" t="s">
        <v>4916</v>
      </c>
      <c r="D4228" s="1736">
        <v>3240</v>
      </c>
      <c r="E4228" s="1043"/>
      <c r="F4228" s="1043"/>
      <c r="G4228" s="1550"/>
    </row>
    <row r="4229" spans="1:7">
      <c r="A4229" s="1666">
        <v>42262</v>
      </c>
      <c r="B4229" s="817" t="str">
        <f>TiposLancamentos!B33</f>
        <v>Pedágios</v>
      </c>
      <c r="C4229" s="1742" t="s">
        <v>5392</v>
      </c>
      <c r="D4229" s="1735"/>
      <c r="E4229" s="1733">
        <v>34.17</v>
      </c>
      <c r="F4229" s="1043"/>
      <c r="G4229" s="1550"/>
    </row>
    <row r="4230" spans="1:7">
      <c r="A4230" s="1667">
        <v>42262</v>
      </c>
      <c r="B4230" s="816" t="str">
        <f>TiposLancamentos!B24</f>
        <v>Estacionamentos</v>
      </c>
      <c r="C4230" s="1769" t="s">
        <v>5863</v>
      </c>
      <c r="D4230" s="1736"/>
      <c r="E4230" s="1734">
        <v>34</v>
      </c>
      <c r="F4230" s="1043"/>
      <c r="G4230" s="1550"/>
    </row>
    <row r="4231" spans="1:7">
      <c r="A4231" s="1750">
        <v>42262</v>
      </c>
      <c r="B4231" s="818" t="str">
        <f>TiposLancamentos!B24</f>
        <v>Estacionamentos</v>
      </c>
      <c r="C4231" s="1743" t="s">
        <v>6297</v>
      </c>
      <c r="D4231" s="1737"/>
      <c r="E4231" s="1668">
        <v>29</v>
      </c>
      <c r="F4231" s="1043">
        <f>SUM(E4229:E4231)</f>
        <v>97.17</v>
      </c>
      <c r="G4231" s="1550"/>
    </row>
    <row r="4232" spans="1:7">
      <c r="A4232" s="1754">
        <v>42262</v>
      </c>
      <c r="B4232" s="125" t="str">
        <f>TiposLancamentos!B26</f>
        <v>LIVROS</v>
      </c>
      <c r="C4232" s="1040" t="s">
        <v>7182</v>
      </c>
      <c r="D4232" s="1736"/>
      <c r="E4232" s="1043">
        <v>124.62</v>
      </c>
      <c r="F4232" s="1043"/>
      <c r="G4232" s="1550"/>
    </row>
    <row r="4233" spans="1:7">
      <c r="A4233" s="1754">
        <v>42264</v>
      </c>
      <c r="B4233" s="125" t="str">
        <f>TiposLancamentos!B19</f>
        <v>Restaurantes</v>
      </c>
      <c r="C4233" s="1040" t="s">
        <v>3253</v>
      </c>
      <c r="D4233" s="1736"/>
      <c r="E4233" s="1043">
        <v>7</v>
      </c>
      <c r="F4233" s="1043"/>
      <c r="G4233" s="1550"/>
    </row>
    <row r="4234" spans="1:7">
      <c r="A4234" s="1754">
        <v>42265</v>
      </c>
      <c r="B4234" s="125" t="str">
        <f>TiposLancamentos!B19</f>
        <v>Restaurantes</v>
      </c>
      <c r="C4234" s="1040" t="s">
        <v>7183</v>
      </c>
      <c r="D4234" s="1736"/>
      <c r="E4234" s="1043">
        <v>46.6</v>
      </c>
      <c r="F4234" s="1043"/>
      <c r="G4234" s="1550"/>
    </row>
    <row r="4235" spans="1:7">
      <c r="A4235" s="1754">
        <v>42265</v>
      </c>
      <c r="B4235" s="125" t="str">
        <f>TiposLancamentos!B24</f>
        <v>Estacionamentos</v>
      </c>
      <c r="C4235" s="1040" t="s">
        <v>3398</v>
      </c>
      <c r="D4235" s="1736"/>
      <c r="E4235" s="1043">
        <v>7</v>
      </c>
      <c r="F4235" s="1043"/>
      <c r="G4235" s="1550"/>
    </row>
    <row r="4236" spans="1:7">
      <c r="A4236" s="1754">
        <v>42265</v>
      </c>
      <c r="B4236" s="125" t="str">
        <f>TiposLancamentos!B48</f>
        <v>Baralhos e Oráculos</v>
      </c>
      <c r="C4236" s="1040" t="s">
        <v>7184</v>
      </c>
      <c r="D4236" s="1736"/>
      <c r="E4236" s="1043">
        <v>79</v>
      </c>
      <c r="F4236" s="1043"/>
      <c r="G4236" s="1550"/>
    </row>
    <row r="4237" spans="1:7">
      <c r="A4237" s="1666">
        <v>42266</v>
      </c>
      <c r="B4237" s="1862" t="str">
        <f>TiposLancamentos!B48</f>
        <v>Baralhos e Oráculos</v>
      </c>
      <c r="C4237" s="1742" t="s">
        <v>7185</v>
      </c>
      <c r="D4237" s="1735"/>
      <c r="E4237" s="1733">
        <f>40+15</f>
        <v>55</v>
      </c>
      <c r="F4237" s="1043"/>
      <c r="G4237" s="1550"/>
    </row>
    <row r="4238" spans="1:7">
      <c r="A4238" s="1750">
        <v>42266</v>
      </c>
      <c r="B4238" s="1863" t="str">
        <f>TiposLancamentos!B26</f>
        <v>LIVROS</v>
      </c>
      <c r="C4238" s="1743" t="s">
        <v>7186</v>
      </c>
      <c r="D4238" s="1737"/>
      <c r="E4238" s="1668">
        <v>20</v>
      </c>
      <c r="F4238" s="1043">
        <f>SUM(E4237:E4238)</f>
        <v>75</v>
      </c>
      <c r="G4238" s="1550"/>
    </row>
    <row r="4239" spans="1:7">
      <c r="A4239" s="1754">
        <v>42266</v>
      </c>
      <c r="B4239" s="125" t="str">
        <f>TiposLancamentos!B19</f>
        <v>Restaurantes</v>
      </c>
      <c r="C4239" s="1040" t="s">
        <v>3398</v>
      </c>
      <c r="D4239" s="1736"/>
      <c r="E4239" s="1043">
        <v>10</v>
      </c>
      <c r="F4239" s="1043"/>
      <c r="G4239" s="1550"/>
    </row>
    <row r="4240" spans="1:7">
      <c r="A4240" s="1754">
        <v>42268</v>
      </c>
      <c r="B4240" s="125" t="str">
        <f>TiposLancamentos!B20</f>
        <v>Saques</v>
      </c>
      <c r="C4240" s="1040" t="s">
        <v>7187</v>
      </c>
      <c r="D4240" s="1736"/>
      <c r="E4240" s="1043">
        <v>30</v>
      </c>
      <c r="F4240" s="1043"/>
      <c r="G4240" s="1550"/>
    </row>
    <row r="4241" spans="1:7">
      <c r="A4241" s="1754">
        <v>42271</v>
      </c>
      <c r="B4241" s="125" t="str">
        <f>TiposLancamentos!B20</f>
        <v>Saques</v>
      </c>
      <c r="C4241" s="1040" t="s">
        <v>2655</v>
      </c>
      <c r="D4241" s="1736"/>
      <c r="E4241" s="1043">
        <v>10</v>
      </c>
      <c r="F4241" s="1043"/>
      <c r="G4241" s="1550"/>
    </row>
    <row r="4242" spans="1:7">
      <c r="A4242" s="1754">
        <v>42272</v>
      </c>
      <c r="B4242" s="125" t="str">
        <f>TiposLancamentos!B98</f>
        <v>Restituições</v>
      </c>
      <c r="C4242" s="1040" t="s">
        <v>7143</v>
      </c>
      <c r="D4242" s="1736">
        <v>170</v>
      </c>
      <c r="E4242" s="1043"/>
      <c r="F4242" s="1043"/>
      <c r="G4242" s="1550"/>
    </row>
    <row r="4243" spans="1:7">
      <c r="A4243" s="1754">
        <v>42272</v>
      </c>
      <c r="B4243" s="125" t="str">
        <f>TiposLancamentos!B34</f>
        <v>Seguros</v>
      </c>
      <c r="C4243" s="1040" t="s">
        <v>6843</v>
      </c>
      <c r="D4243" s="1736"/>
      <c r="E4243" s="1043">
        <v>63.9</v>
      </c>
      <c r="F4243" s="1043"/>
      <c r="G4243" s="1550"/>
    </row>
    <row r="4244" spans="1:7">
      <c r="A4244" s="1754">
        <v>42274</v>
      </c>
      <c r="B4244" s="125" t="str">
        <f>TiposLancamentos!B20</f>
        <v>Saques</v>
      </c>
      <c r="C4244" s="1040" t="s">
        <v>4325</v>
      </c>
      <c r="D4244" s="1736"/>
      <c r="E4244" s="1043">
        <v>60</v>
      </c>
      <c r="F4244" s="1043"/>
      <c r="G4244" s="1550"/>
    </row>
    <row r="4245" spans="1:7">
      <c r="A4245" s="1754">
        <v>42275</v>
      </c>
      <c r="B4245" s="125" t="str">
        <f>TiposLancamentos!B6</f>
        <v>Energia Eletrica</v>
      </c>
      <c r="C4245" s="1040" t="s">
        <v>5191</v>
      </c>
      <c r="D4245" s="1736"/>
      <c r="E4245" s="1043">
        <v>247.99</v>
      </c>
      <c r="F4245" s="1043"/>
      <c r="G4245" s="1550"/>
    </row>
    <row r="4246" spans="1:7">
      <c r="A4246" s="1754">
        <v>42276</v>
      </c>
      <c r="B4246" s="125" t="str">
        <f>TiposLancamentos!B34</f>
        <v>Seguros</v>
      </c>
      <c r="C4246" s="1040" t="s">
        <v>7188</v>
      </c>
      <c r="D4246" s="1736"/>
      <c r="E4246" s="1043">
        <v>423.35</v>
      </c>
      <c r="F4246" s="1043"/>
      <c r="G4246" s="1550"/>
    </row>
    <row r="4247" spans="1:7" ht="14.25" thickBot="1">
      <c r="A4247" s="1754">
        <v>42277</v>
      </c>
      <c r="B4247" s="125" t="str">
        <f>TiposLancamentos!B95</f>
        <v>Salarios</v>
      </c>
      <c r="C4247" s="1040" t="s">
        <v>7054</v>
      </c>
      <c r="D4247" s="1736">
        <v>7861.16</v>
      </c>
      <c r="E4247" s="1043"/>
      <c r="F4247" s="1043"/>
      <c r="G4247" s="1550"/>
    </row>
    <row r="4248" spans="1:7">
      <c r="A4248" s="1834"/>
      <c r="B4248" s="977"/>
      <c r="C4248" s="1854" t="s">
        <v>7189</v>
      </c>
      <c r="D4248" s="1823"/>
      <c r="E4248" s="1821"/>
      <c r="F4248" s="1821"/>
      <c r="G4248" s="1895"/>
    </row>
    <row r="4249" spans="1:7">
      <c r="A4249" s="1754">
        <v>42278</v>
      </c>
      <c r="B4249" s="125" t="str">
        <f>TiposLancamentos!B15</f>
        <v>Cartões de Crédito</v>
      </c>
      <c r="C4249" s="1040" t="s">
        <v>6240</v>
      </c>
      <c r="D4249" s="1736"/>
      <c r="E4249" s="1043">
        <v>667.83</v>
      </c>
      <c r="F4249" s="1043"/>
      <c r="G4249" s="1550"/>
    </row>
    <row r="4250" spans="1:7">
      <c r="A4250" s="1754">
        <v>42278</v>
      </c>
      <c r="B4250" s="125" t="str">
        <f>TiposLancamentos!B15</f>
        <v>Cartões de Crédito</v>
      </c>
      <c r="C4250" s="1040" t="s">
        <v>5558</v>
      </c>
      <c r="D4250" s="1736"/>
      <c r="E4250" s="1043">
        <v>6210.59</v>
      </c>
      <c r="F4250" s="1043"/>
      <c r="G4250" s="1550"/>
    </row>
    <row r="4251" spans="1:7">
      <c r="A4251" s="1754">
        <v>42278</v>
      </c>
      <c r="B4251" s="125" t="str">
        <f>TiposLancamentos!B15</f>
        <v>Cartões de Crédito</v>
      </c>
      <c r="C4251" s="1040" t="s">
        <v>5879</v>
      </c>
      <c r="D4251" s="1736"/>
      <c r="E4251" s="1043">
        <v>2930.54</v>
      </c>
      <c r="F4251" s="1043"/>
      <c r="G4251" s="1550"/>
    </row>
    <row r="4252" spans="1:7">
      <c r="A4252" s="1754">
        <v>42278</v>
      </c>
      <c r="B4252" s="125" t="str">
        <f>TiposLancamentos!B3</f>
        <v>Internet</v>
      </c>
      <c r="C4252" s="1040" t="s">
        <v>6913</v>
      </c>
      <c r="D4252" s="1736"/>
      <c r="E4252" s="1043">
        <v>143.37</v>
      </c>
      <c r="F4252" s="1043"/>
      <c r="G4252" s="1550"/>
    </row>
    <row r="4253" spans="1:7">
      <c r="A4253" s="1754">
        <v>42278</v>
      </c>
      <c r="B4253" s="125" t="str">
        <f>TiposLancamentos!B59</f>
        <v>Documentos</v>
      </c>
      <c r="C4253" s="1040" t="s">
        <v>7190</v>
      </c>
      <c r="D4253" s="1736"/>
      <c r="E4253" s="1043">
        <v>290</v>
      </c>
      <c r="F4253" s="1043"/>
      <c r="G4253" s="1550"/>
    </row>
    <row r="4254" spans="1:7">
      <c r="A4254" s="1754">
        <v>42278</v>
      </c>
      <c r="B4254" s="125" t="str">
        <f>TiposLancamentos!B4</f>
        <v>Taxas Bancarias</v>
      </c>
      <c r="C4254" s="1040" t="s">
        <v>6910</v>
      </c>
      <c r="D4254" s="1736"/>
      <c r="E4254" s="1043">
        <v>33.4</v>
      </c>
      <c r="F4254" s="1043"/>
      <c r="G4254" s="1550"/>
    </row>
    <row r="4255" spans="1:7">
      <c r="A4255" s="1754">
        <v>42280</v>
      </c>
      <c r="B4255" s="125" t="str">
        <f>TiposLancamentos!B19</f>
        <v>Restaurantes</v>
      </c>
      <c r="C4255" s="1040" t="s">
        <v>7191</v>
      </c>
      <c r="D4255" s="1736"/>
      <c r="E4255" s="1043">
        <v>25</v>
      </c>
      <c r="F4255" s="1043"/>
      <c r="G4255" s="1550"/>
    </row>
    <row r="4256" spans="1:7">
      <c r="A4256" s="1754">
        <v>42283</v>
      </c>
      <c r="B4256" s="125" t="str">
        <f>TiposLancamentos!B4</f>
        <v>Taxas Bancarias</v>
      </c>
      <c r="C4256" s="1040" t="s">
        <v>1684</v>
      </c>
      <c r="D4256" s="1736"/>
      <c r="E4256" s="1043">
        <v>897.34</v>
      </c>
      <c r="F4256" s="1043"/>
      <c r="G4256" s="1550"/>
    </row>
    <row r="4257" spans="1:7">
      <c r="A4257" s="1754">
        <v>42283</v>
      </c>
      <c r="B4257" s="125" t="str">
        <f>TiposLancamentos!B20</f>
        <v>Saques</v>
      </c>
      <c r="C4257" s="1040" t="s">
        <v>3604</v>
      </c>
      <c r="D4257" s="1736"/>
      <c r="E4257" s="1043">
        <v>40</v>
      </c>
      <c r="F4257" s="1043"/>
      <c r="G4257" s="1550"/>
    </row>
    <row r="4258" spans="1:7">
      <c r="A4258" s="1754">
        <v>42283</v>
      </c>
      <c r="B4258" s="125" t="str">
        <f>TiposLancamentos!B24</f>
        <v>Estacionamentos</v>
      </c>
      <c r="C4258" s="1040" t="s">
        <v>4589</v>
      </c>
      <c r="D4258" s="1736"/>
      <c r="E4258" s="1043">
        <v>170</v>
      </c>
      <c r="F4258" s="1043"/>
      <c r="G4258" s="1550"/>
    </row>
    <row r="4259" spans="1:7">
      <c r="A4259" s="1754">
        <v>42284</v>
      </c>
      <c r="B4259" s="125" t="str">
        <f>TiposLancamentos!B2</f>
        <v>Telefonia</v>
      </c>
      <c r="C4259" s="1040" t="s">
        <v>7192</v>
      </c>
      <c r="D4259" s="1736"/>
      <c r="E4259" s="1043">
        <v>133</v>
      </c>
      <c r="F4259" s="1043"/>
      <c r="G4259" s="1550"/>
    </row>
    <row r="4260" spans="1:7">
      <c r="A4260" s="1754">
        <v>42286</v>
      </c>
      <c r="B4260" s="125" t="str">
        <f>TiposLancamentos!B16</f>
        <v>Cristiane</v>
      </c>
      <c r="C4260" s="1040" t="s">
        <v>1462</v>
      </c>
      <c r="D4260" s="1736"/>
      <c r="E4260" s="1043">
        <v>20.85</v>
      </c>
      <c r="F4260" s="1043"/>
      <c r="G4260" s="1550"/>
    </row>
    <row r="4261" spans="1:7">
      <c r="A4261" s="1754">
        <v>42286</v>
      </c>
      <c r="B4261" s="125" t="str">
        <f>TiposLancamentos!B73</f>
        <v>Cursos</v>
      </c>
      <c r="C4261" s="1040" t="s">
        <v>4568</v>
      </c>
      <c r="D4261" s="1736"/>
      <c r="E4261" s="1043">
        <v>150</v>
      </c>
      <c r="F4261" s="1043"/>
      <c r="G4261" s="1550"/>
    </row>
    <row r="4262" spans="1:7">
      <c r="A4262" s="1666">
        <v>42290</v>
      </c>
      <c r="B4262" s="817" t="str">
        <f>TiposLancamentos!B8</f>
        <v>Aluguel</v>
      </c>
      <c r="C4262" s="1742" t="s">
        <v>6163</v>
      </c>
      <c r="D4262" s="1735"/>
      <c r="E4262" s="1733">
        <f>1576+4.8+1.5</f>
        <v>1582.3</v>
      </c>
      <c r="F4262" s="1043"/>
      <c r="G4262" s="1550"/>
    </row>
    <row r="4263" spans="1:7">
      <c r="A4263" s="1667">
        <v>42290</v>
      </c>
      <c r="B4263" s="816" t="str">
        <f>TiposLancamentos!B12</f>
        <v>IPTU</v>
      </c>
      <c r="C4263" s="1769" t="s">
        <v>6351</v>
      </c>
      <c r="D4263" s="1736"/>
      <c r="E4263" s="1734">
        <v>118.26</v>
      </c>
      <c r="F4263" s="1043"/>
      <c r="G4263" s="1550"/>
    </row>
    <row r="4264" spans="1:7">
      <c r="A4264" s="1750">
        <v>42290</v>
      </c>
      <c r="B4264" s="818" t="str">
        <f>TiposLancamentos!B34</f>
        <v>Seguros</v>
      </c>
      <c r="C4264" s="1743" t="s">
        <v>7179</v>
      </c>
      <c r="D4264" s="1737"/>
      <c r="E4264" s="1668">
        <v>0</v>
      </c>
      <c r="F4264" s="1043">
        <f>SUM(E4262:E4264)</f>
        <v>1700.56</v>
      </c>
      <c r="G4264" s="1550"/>
    </row>
    <row r="4265" spans="1:7">
      <c r="A4265" s="1754">
        <v>42290</v>
      </c>
      <c r="B4265" s="125" t="str">
        <f>TiposLancamentos!B4</f>
        <v>Taxas Bancarias</v>
      </c>
      <c r="C4265" s="1040" t="s">
        <v>6368</v>
      </c>
      <c r="D4265" s="1736"/>
      <c r="E4265" s="1043">
        <v>496.16</v>
      </c>
      <c r="F4265" s="1043"/>
      <c r="G4265" s="1550"/>
    </row>
    <row r="4266" spans="1:7">
      <c r="A4266" s="1666">
        <v>42290</v>
      </c>
      <c r="B4266" s="817" t="str">
        <f>TiposLancamentos!B35</f>
        <v>Tv à Cabo</v>
      </c>
      <c r="C4266" s="1742" t="s">
        <v>5834</v>
      </c>
      <c r="D4266" s="1735"/>
      <c r="E4266" s="1733">
        <v>129.41</v>
      </c>
      <c r="F4266" s="1043"/>
      <c r="G4266" s="1550"/>
    </row>
    <row r="4267" spans="1:7">
      <c r="A4267" s="1667">
        <v>42290</v>
      </c>
      <c r="B4267" s="816" t="str">
        <f>TiposLancamentos!B3</f>
        <v>Internet</v>
      </c>
      <c r="C4267" s="1769" t="s">
        <v>5835</v>
      </c>
      <c r="D4267" s="1736"/>
      <c r="E4267" s="1734">
        <v>64.599999999999994</v>
      </c>
      <c r="F4267" s="1043"/>
      <c r="G4267" s="1550"/>
    </row>
    <row r="4268" spans="1:7">
      <c r="A4268" s="1750">
        <v>42290</v>
      </c>
      <c r="B4268" s="818" t="str">
        <f>TiposLancamentos!B2</f>
        <v>Telefonia</v>
      </c>
      <c r="C4268" s="1743" t="s">
        <v>5836</v>
      </c>
      <c r="D4268" s="1737"/>
      <c r="E4268" s="1668">
        <v>0.19</v>
      </c>
      <c r="F4268" s="1043">
        <f>SUM(E4266:E4268)</f>
        <v>194.2</v>
      </c>
      <c r="G4268" s="1550"/>
    </row>
    <row r="4269" spans="1:7">
      <c r="A4269" s="1754">
        <v>42291</v>
      </c>
      <c r="B4269" s="125" t="str">
        <f>TiposLancamentos!B16</f>
        <v>Cristiane</v>
      </c>
      <c r="C4269" s="1040" t="s">
        <v>7193</v>
      </c>
      <c r="D4269" s="1736"/>
      <c r="E4269" s="1043">
        <v>320</v>
      </c>
      <c r="F4269" s="1043"/>
      <c r="G4269" s="1550"/>
    </row>
    <row r="4270" spans="1:7">
      <c r="A4270" s="1666">
        <v>42292</v>
      </c>
      <c r="B4270" s="817" t="str">
        <f>TiposLancamentos!B33</f>
        <v>Pedágios</v>
      </c>
      <c r="C4270" s="1742" t="s">
        <v>5392</v>
      </c>
      <c r="D4270" s="1735"/>
      <c r="E4270" s="1733">
        <f>F4272-E4271-E4272</f>
        <v>223.17</v>
      </c>
      <c r="F4270" s="1043"/>
      <c r="G4270" s="1550"/>
    </row>
    <row r="4271" spans="1:7">
      <c r="A4271" s="1666">
        <v>42292</v>
      </c>
      <c r="B4271" s="816" t="str">
        <f>TiposLancamentos!B24</f>
        <v>Estacionamentos</v>
      </c>
      <c r="C4271" s="1769" t="s">
        <v>5863</v>
      </c>
      <c r="D4271" s="1736"/>
      <c r="E4271" s="1734">
        <v>14</v>
      </c>
      <c r="F4271" s="1043"/>
      <c r="G4271" s="1550"/>
    </row>
    <row r="4272" spans="1:7">
      <c r="A4272" s="1666">
        <v>42292</v>
      </c>
      <c r="B4272" s="818" t="str">
        <f>TiposLancamentos!B24</f>
        <v>Estacionamentos</v>
      </c>
      <c r="C4272" s="1743" t="s">
        <v>6297</v>
      </c>
      <c r="D4272" s="1737"/>
      <c r="E4272" s="1668">
        <v>7</v>
      </c>
      <c r="F4272" s="1043">
        <v>244.17</v>
      </c>
      <c r="G4272" s="1550"/>
    </row>
    <row r="4273" spans="1:7">
      <c r="A4273" s="1754">
        <v>42292</v>
      </c>
      <c r="B4273" s="125" t="str">
        <f>TiposLancamentos!B98</f>
        <v>Restituições</v>
      </c>
      <c r="C4273" s="1040" t="s">
        <v>7194</v>
      </c>
      <c r="D4273" s="1736">
        <v>5899.76</v>
      </c>
      <c r="E4273" s="1043"/>
      <c r="F4273" s="1043"/>
      <c r="G4273" s="1550"/>
    </row>
    <row r="4274" spans="1:7">
      <c r="A4274" s="1754">
        <v>42292</v>
      </c>
      <c r="B4274" s="125" t="str">
        <f>TiposLancamentos!B95</f>
        <v>Salarios</v>
      </c>
      <c r="C4274" s="1040" t="s">
        <v>4916</v>
      </c>
      <c r="D4274" s="1736">
        <v>3240</v>
      </c>
      <c r="E4274" s="1043"/>
      <c r="F4274" s="1043"/>
      <c r="G4274" s="1550"/>
    </row>
    <row r="4275" spans="1:7">
      <c r="A4275" s="1754">
        <v>42293</v>
      </c>
      <c r="B4275" s="125" t="str">
        <f>TiposLancamentos!B105</f>
        <v>Transf. Bco</v>
      </c>
      <c r="C4275" s="1040" t="s">
        <v>7195</v>
      </c>
      <c r="D4275" s="1736">
        <v>2320</v>
      </c>
      <c r="E4275" s="1043"/>
      <c r="F4275" s="1043"/>
      <c r="G4275" s="1550"/>
    </row>
    <row r="4276" spans="1:7">
      <c r="A4276" s="1754">
        <v>42293</v>
      </c>
      <c r="B4276" s="125" t="str">
        <f>TiposLancamentos!B19</f>
        <v>Restaurantes</v>
      </c>
      <c r="C4276" s="1040" t="s">
        <v>7196</v>
      </c>
      <c r="D4276" s="1736"/>
      <c r="E4276" s="1043">
        <v>200</v>
      </c>
      <c r="F4276" s="1043"/>
      <c r="G4276" s="1550"/>
    </row>
    <row r="4277" spans="1:7">
      <c r="A4277" s="1754">
        <v>42297</v>
      </c>
      <c r="B4277" s="125" t="str">
        <f>TiposLancamentos!B73</f>
        <v>Cursos</v>
      </c>
      <c r="C4277" s="1040" t="s">
        <v>7197</v>
      </c>
      <c r="D4277" s="1736"/>
      <c r="E4277" s="1043">
        <v>240</v>
      </c>
      <c r="F4277" s="1043"/>
      <c r="G4277" s="1550"/>
    </row>
    <row r="4278" spans="1:7">
      <c r="A4278" s="1754">
        <v>42299</v>
      </c>
      <c r="B4278" s="125" t="str">
        <f>TiposLancamentos!B16</f>
        <v>Cristiane</v>
      </c>
      <c r="C4278" s="1040" t="s">
        <v>7119</v>
      </c>
      <c r="D4278" s="1736"/>
      <c r="E4278" s="1043">
        <v>115.26</v>
      </c>
      <c r="F4278" s="1043"/>
      <c r="G4278" s="1550"/>
    </row>
    <row r="4279" spans="1:7">
      <c r="A4279" s="1754">
        <v>42300</v>
      </c>
      <c r="B4279" s="125" t="str">
        <f>TiposLancamentos!B19</f>
        <v>Restaurantes</v>
      </c>
      <c r="C4279" s="1040" t="s">
        <v>3960</v>
      </c>
      <c r="D4279" s="1736"/>
      <c r="E4279" s="1043">
        <v>51.8</v>
      </c>
      <c r="F4279" s="1043"/>
      <c r="G4279" s="1550"/>
    </row>
    <row r="4280" spans="1:7">
      <c r="A4280" s="1754">
        <v>42300</v>
      </c>
      <c r="B4280" s="125" t="str">
        <f>TiposLancamentos!B62</f>
        <v>Papelaria</v>
      </c>
      <c r="C4280" s="1040" t="s">
        <v>7198</v>
      </c>
      <c r="D4280" s="1736"/>
      <c r="E4280" s="1043">
        <v>22</v>
      </c>
      <c r="F4280" s="1043"/>
      <c r="G4280" s="1550"/>
    </row>
    <row r="4281" spans="1:7">
      <c r="A4281" s="1754">
        <v>42302</v>
      </c>
      <c r="B4281" s="125" t="str">
        <f>TiposLancamentos!B34</f>
        <v>Seguros</v>
      </c>
      <c r="C4281" s="1040" t="s">
        <v>7199</v>
      </c>
      <c r="D4281" s="1736"/>
      <c r="E4281" s="1043">
        <v>63.9</v>
      </c>
      <c r="F4281" s="1043"/>
      <c r="G4281" s="1550"/>
    </row>
    <row r="4282" spans="1:7">
      <c r="A4282" s="1754">
        <v>42305</v>
      </c>
      <c r="B4282" s="125" t="str">
        <f>TiposLancamentos!B98</f>
        <v>Restituições</v>
      </c>
      <c r="C4282" s="1040" t="s">
        <v>7200</v>
      </c>
      <c r="D4282" s="1736">
        <v>170</v>
      </c>
      <c r="E4282" s="1043"/>
      <c r="F4282" s="1043"/>
      <c r="G4282" s="1550"/>
    </row>
    <row r="4283" spans="1:7">
      <c r="A4283" s="1754">
        <v>42305</v>
      </c>
      <c r="B4283" s="125" t="str">
        <f>TiposLancamentos!B6</f>
        <v>Energia Eletrica</v>
      </c>
      <c r="C4283" s="1040" t="s">
        <v>5191</v>
      </c>
      <c r="D4283" s="1736"/>
      <c r="E4283" s="1043">
        <v>255.39</v>
      </c>
      <c r="F4283" s="1043"/>
      <c r="G4283" s="1550"/>
    </row>
    <row r="4284" spans="1:7">
      <c r="A4284" s="1754">
        <v>42305</v>
      </c>
      <c r="B4284" s="125" t="str">
        <f>TiposLancamentos!B20</f>
        <v>Saques</v>
      </c>
      <c r="C4284" s="1040" t="s">
        <v>3472</v>
      </c>
      <c r="D4284" s="1736"/>
      <c r="E4284" s="1043">
        <v>140</v>
      </c>
      <c r="F4284" s="1043"/>
      <c r="G4284" s="1550"/>
    </row>
    <row r="4285" spans="1:7">
      <c r="A4285" s="1754">
        <v>42305</v>
      </c>
      <c r="B4285" s="125" t="str">
        <f>TiposLancamentos!B16</f>
        <v>Cristiane</v>
      </c>
      <c r="C4285" s="1040" t="s">
        <v>7201</v>
      </c>
      <c r="D4285" s="1736"/>
      <c r="E4285" s="1043">
        <v>40</v>
      </c>
      <c r="F4285" s="1043"/>
      <c r="G4285" s="1550"/>
    </row>
    <row r="4286" spans="1:7">
      <c r="A4286" s="1754">
        <v>42305</v>
      </c>
      <c r="B4286" s="125" t="str">
        <f>TiposLancamentos!B34</f>
        <v>Seguros</v>
      </c>
      <c r="C4286" s="1040" t="s">
        <v>7202</v>
      </c>
      <c r="D4286" s="1736"/>
      <c r="E4286" s="1043">
        <v>423.35</v>
      </c>
      <c r="F4286" s="1043"/>
      <c r="G4286" s="1550"/>
    </row>
    <row r="4287" spans="1:7" ht="14.25" thickBot="1">
      <c r="A4287" s="1754">
        <v>42307</v>
      </c>
      <c r="B4287" s="125" t="str">
        <f>TiposLancamentos!B95</f>
        <v>Salarios</v>
      </c>
      <c r="C4287" s="1040" t="s">
        <v>7054</v>
      </c>
      <c r="D4287" s="1736">
        <v>7595.26</v>
      </c>
      <c r="E4287" s="1043"/>
      <c r="F4287" s="1043"/>
      <c r="G4287" s="1550"/>
    </row>
    <row r="4288" spans="1:7">
      <c r="A4288" s="1834"/>
      <c r="B4288" s="977"/>
      <c r="C4288" s="1854" t="s">
        <v>7203</v>
      </c>
      <c r="D4288" s="1823"/>
      <c r="E4288" s="1821"/>
      <c r="F4288" s="1821"/>
      <c r="G4288" s="1895"/>
    </row>
    <row r="4289" spans="1:7">
      <c r="A4289" s="1754">
        <v>42311</v>
      </c>
      <c r="B4289" s="125" t="str">
        <f>TiposLancamentos!B15</f>
        <v>Cartões de Crédito</v>
      </c>
      <c r="C4289" s="1040" t="s">
        <v>7204</v>
      </c>
      <c r="D4289" s="1736"/>
      <c r="E4289" s="1043">
        <v>667.83</v>
      </c>
      <c r="F4289" s="1043"/>
      <c r="G4289" s="1550"/>
    </row>
    <row r="4290" spans="1:7">
      <c r="A4290" s="1754">
        <v>42311</v>
      </c>
      <c r="B4290" s="125" t="str">
        <f>TiposLancamentos!B15</f>
        <v>Cartões de Crédito</v>
      </c>
      <c r="C4290" s="1040" t="s">
        <v>5558</v>
      </c>
      <c r="D4290" s="1736"/>
      <c r="E4290" s="1043">
        <v>2113.2199999999998</v>
      </c>
      <c r="F4290" s="1043"/>
      <c r="G4290" s="1550"/>
    </row>
    <row r="4291" spans="1:7">
      <c r="A4291" s="1754">
        <v>42311</v>
      </c>
      <c r="B4291" s="125" t="str">
        <f>TiposLancamentos!B15</f>
        <v>Cartões de Crédito</v>
      </c>
      <c r="C4291" s="1040" t="s">
        <v>5879</v>
      </c>
      <c r="D4291" s="1736"/>
      <c r="E4291" s="1043">
        <v>3566.45</v>
      </c>
      <c r="F4291" s="1043"/>
      <c r="G4291" s="1550"/>
    </row>
    <row r="4292" spans="1:7">
      <c r="A4292" s="1754">
        <v>42311</v>
      </c>
      <c r="B4292" s="125" t="str">
        <f>TiposLancamentos!B3</f>
        <v>Internet</v>
      </c>
      <c r="C4292" s="1040" t="s">
        <v>6913</v>
      </c>
      <c r="D4292" s="1736"/>
      <c r="E4292" s="1043">
        <v>137.34</v>
      </c>
      <c r="F4292" s="1043"/>
      <c r="G4292" s="1550"/>
    </row>
    <row r="4293" spans="1:7">
      <c r="A4293" s="1754">
        <v>42311</v>
      </c>
      <c r="B4293" s="125" t="str">
        <f>TiposLancamentos!B16</f>
        <v>Cristiane</v>
      </c>
      <c r="C4293" s="1040" t="s">
        <v>7205</v>
      </c>
      <c r="D4293" s="1736"/>
      <c r="E4293" s="1043">
        <v>90</v>
      </c>
      <c r="F4293" s="1043"/>
      <c r="G4293" s="1550"/>
    </row>
    <row r="4294" spans="1:7">
      <c r="A4294" s="1754">
        <v>42311</v>
      </c>
      <c r="B4294" s="125" t="str">
        <f>TiposLancamentos!B4</f>
        <v>Taxas Bancarias</v>
      </c>
      <c r="C4294" s="1040" t="s">
        <v>7206</v>
      </c>
      <c r="D4294" s="1736"/>
      <c r="E4294" s="1043">
        <v>49.48</v>
      </c>
      <c r="F4294" s="1043"/>
      <c r="G4294" s="1550"/>
    </row>
    <row r="4295" spans="1:7">
      <c r="A4295" s="1754">
        <v>42312</v>
      </c>
      <c r="B4295" s="125" t="str">
        <f>TiposLancamentos!B20</f>
        <v>Saques</v>
      </c>
      <c r="C4295" s="1040" t="s">
        <v>3604</v>
      </c>
      <c r="D4295" s="1736"/>
      <c r="E4295" s="1043">
        <v>160</v>
      </c>
      <c r="F4295" s="1043"/>
      <c r="G4295" s="1550"/>
    </row>
    <row r="4296" spans="1:7">
      <c r="A4296" s="1754">
        <v>42313</v>
      </c>
      <c r="B4296" s="125" t="str">
        <f>TiposLancamentos!B88</f>
        <v>Ford Ecosport XLT</v>
      </c>
      <c r="C4296" s="1040" t="s">
        <v>7207</v>
      </c>
      <c r="D4296" s="1736"/>
      <c r="E4296" s="1043">
        <v>1045.4000000000001</v>
      </c>
      <c r="F4296" s="1043"/>
      <c r="G4296" s="1550"/>
    </row>
    <row r="4297" spans="1:7">
      <c r="A4297" s="1754">
        <v>42314</v>
      </c>
      <c r="B4297" s="125" t="str">
        <f>TiposLancamentos!B9</f>
        <v>Condominio</v>
      </c>
      <c r="C4297" s="1040" t="s">
        <v>1684</v>
      </c>
      <c r="D4297" s="1736"/>
      <c r="E4297" s="1043">
        <v>1034.8</v>
      </c>
      <c r="F4297" s="1043"/>
      <c r="G4297" s="1550"/>
    </row>
    <row r="4298" spans="1:7">
      <c r="A4298" s="1754">
        <v>42315</v>
      </c>
      <c r="B4298" s="125" t="str">
        <f>TiposLancamentos!B19</f>
        <v>Restaurantes</v>
      </c>
      <c r="C4298" s="1040" t="s">
        <v>7208</v>
      </c>
      <c r="D4298" s="1736"/>
      <c r="E4298" s="1043">
        <v>91.42</v>
      </c>
      <c r="F4298" s="1043"/>
      <c r="G4298" s="1550"/>
    </row>
    <row r="4299" spans="1:7">
      <c r="A4299" s="1754">
        <v>42317</v>
      </c>
      <c r="B4299" s="125" t="str">
        <f>TiposLancamentos!B24</f>
        <v>Estacionamentos</v>
      </c>
      <c r="C4299" s="1040" t="s">
        <v>7209</v>
      </c>
      <c r="D4299" s="1736"/>
      <c r="E4299" s="1043">
        <v>170</v>
      </c>
      <c r="F4299" s="1043"/>
      <c r="G4299" s="1550"/>
    </row>
    <row r="4300" spans="1:7">
      <c r="A4300" s="1754">
        <v>42318</v>
      </c>
      <c r="B4300" s="125" t="str">
        <f>TiposLancamentos!B2</f>
        <v>Telefonia</v>
      </c>
      <c r="C4300" s="1040" t="s">
        <v>6924</v>
      </c>
      <c r="D4300" s="1736"/>
      <c r="E4300" s="1043">
        <v>138.9</v>
      </c>
      <c r="F4300" s="1043"/>
      <c r="G4300" s="1550"/>
    </row>
    <row r="4301" spans="1:7">
      <c r="A4301" s="1754">
        <v>42318</v>
      </c>
      <c r="B4301" s="125" t="str">
        <f>TiposLancamentos!B16</f>
        <v>Cristiane</v>
      </c>
      <c r="C4301" s="1040" t="s">
        <v>7119</v>
      </c>
      <c r="D4301" s="1736"/>
      <c r="E4301" s="1043">
        <v>120.82</v>
      </c>
      <c r="F4301" s="1043"/>
      <c r="G4301" s="1550"/>
    </row>
    <row r="4302" spans="1:7">
      <c r="A4302" s="1666">
        <v>42318</v>
      </c>
      <c r="B4302" s="817" t="str">
        <f>TiposLancamentos!B35</f>
        <v>Tv à Cabo</v>
      </c>
      <c r="C4302" s="1742" t="s">
        <v>5834</v>
      </c>
      <c r="D4302" s="1735"/>
      <c r="E4302" s="1733">
        <v>120</v>
      </c>
      <c r="F4302" s="1043"/>
      <c r="G4302" s="1550"/>
    </row>
    <row r="4303" spans="1:7">
      <c r="A4303" s="1667">
        <v>42318</v>
      </c>
      <c r="B4303" s="816" t="str">
        <f>TiposLancamentos!B3</f>
        <v>Internet</v>
      </c>
      <c r="C4303" s="1769" t="s">
        <v>5835</v>
      </c>
      <c r="D4303" s="1736"/>
      <c r="E4303" s="1734">
        <v>89.9</v>
      </c>
      <c r="F4303" s="1043"/>
      <c r="G4303" s="1550"/>
    </row>
    <row r="4304" spans="1:7">
      <c r="A4304" s="1750">
        <v>42318</v>
      </c>
      <c r="B4304" s="818" t="str">
        <f>TiposLancamentos!B35</f>
        <v>Tv à Cabo</v>
      </c>
      <c r="C4304" s="1743" t="s">
        <v>7210</v>
      </c>
      <c r="D4304" s="1737"/>
      <c r="E4304" s="1668">
        <v>112.5</v>
      </c>
      <c r="F4304" s="1043">
        <f>SUM(E4302:E4304)</f>
        <v>322.39999999999998</v>
      </c>
      <c r="G4304" s="1550"/>
    </row>
    <row r="4305" spans="1:7">
      <c r="A4305" s="1754">
        <v>42287</v>
      </c>
      <c r="B4305" s="125" t="str">
        <f>TiposLancamentos!B4</f>
        <v>Taxas Bancarias</v>
      </c>
      <c r="C4305" s="1040" t="s">
        <v>6983</v>
      </c>
      <c r="D4305" s="1736"/>
      <c r="E4305" s="1043">
        <v>155.24</v>
      </c>
      <c r="F4305" s="1043"/>
      <c r="G4305" s="1550"/>
    </row>
    <row r="4306" spans="1:7">
      <c r="A4306" s="1666">
        <v>42318</v>
      </c>
      <c r="B4306" s="817" t="str">
        <f>TiposLancamentos!B8</f>
        <v>Aluguel</v>
      </c>
      <c r="C4306" s="1742" t="s">
        <v>6163</v>
      </c>
      <c r="D4306" s="1735"/>
      <c r="E4306" s="1733">
        <f>1576+4.8+1.5</f>
        <v>1582.3</v>
      </c>
      <c r="F4306" s="1043"/>
      <c r="G4306" s="1550"/>
    </row>
    <row r="4307" spans="1:7">
      <c r="A4307" s="1667">
        <v>42318</v>
      </c>
      <c r="B4307" s="816" t="str">
        <f>TiposLancamentos!B12</f>
        <v>IPTU</v>
      </c>
      <c r="C4307" s="1769" t="s">
        <v>6876</v>
      </c>
      <c r="D4307" s="1736"/>
      <c r="E4307" s="1734">
        <v>118.26</v>
      </c>
      <c r="F4307" s="1043"/>
      <c r="G4307" s="1550"/>
    </row>
    <row r="4308" spans="1:7">
      <c r="A4308" s="1750">
        <v>42318</v>
      </c>
      <c r="B4308" s="818" t="str">
        <f>TiposLancamentos!B34</f>
        <v>Seguros</v>
      </c>
      <c r="C4308" s="1743" t="s">
        <v>7211</v>
      </c>
      <c r="D4308" s="1737"/>
      <c r="E4308" s="1668">
        <v>245.43</v>
      </c>
      <c r="F4308" s="1043">
        <f>SUM(E4306:E4308)</f>
        <v>1945.99</v>
      </c>
      <c r="G4308" s="1550"/>
    </row>
    <row r="4309" spans="1:7">
      <c r="A4309" s="1754">
        <v>42320</v>
      </c>
      <c r="B4309" s="125" t="str">
        <f>TiposLancamentos!B27</f>
        <v>Jornais e revistas</v>
      </c>
      <c r="C4309" s="1040" t="s">
        <v>7212</v>
      </c>
      <c r="D4309" s="1736"/>
      <c r="E4309" s="1043">
        <v>12</v>
      </c>
      <c r="F4309" s="1043"/>
      <c r="G4309" s="1550"/>
    </row>
    <row r="4310" spans="1:7">
      <c r="A4310" s="1754">
        <v>42320</v>
      </c>
      <c r="B4310" s="125" t="str">
        <f>TiposLancamentos!B24</f>
        <v>Estacionamentos</v>
      </c>
      <c r="C4310" s="1040" t="s">
        <v>3398</v>
      </c>
      <c r="D4310" s="1736"/>
      <c r="E4310" s="1043">
        <v>10</v>
      </c>
      <c r="F4310" s="1043"/>
      <c r="G4310" s="1550"/>
    </row>
    <row r="4311" spans="1:7">
      <c r="A4311" s="1754">
        <v>42321</v>
      </c>
      <c r="B4311" s="125" t="str">
        <f>TiposLancamentos!B27</f>
        <v>Jornais e revistas</v>
      </c>
      <c r="C4311" s="1040" t="s">
        <v>7213</v>
      </c>
      <c r="D4311" s="1736"/>
      <c r="E4311" s="1043">
        <v>32</v>
      </c>
      <c r="F4311" s="1043"/>
      <c r="G4311" s="1550"/>
    </row>
    <row r="4312" spans="1:7">
      <c r="A4312" s="1754">
        <v>42321</v>
      </c>
      <c r="B4312" s="125" t="str">
        <f>TiposLancamentos!B95</f>
        <v>Salarios</v>
      </c>
      <c r="C4312" s="1040" t="s">
        <v>4916</v>
      </c>
      <c r="D4312" s="1736">
        <v>3240</v>
      </c>
      <c r="E4312" s="1043"/>
      <c r="F4312" s="1043"/>
      <c r="G4312" s="1550"/>
    </row>
    <row r="4313" spans="1:7">
      <c r="A4313" s="1666">
        <v>42262</v>
      </c>
      <c r="B4313" s="817" t="str">
        <f>TiposLancamentos!B33</f>
        <v>Pedágios</v>
      </c>
      <c r="C4313" s="1742" t="s">
        <v>5392</v>
      </c>
      <c r="D4313" s="1735"/>
      <c r="E4313" s="1733">
        <f>F4315-(E4314+E4315)</f>
        <v>34.17</v>
      </c>
      <c r="F4313" s="1043"/>
      <c r="G4313" s="1550"/>
    </row>
    <row r="4314" spans="1:7">
      <c r="A4314" s="1667">
        <v>42262</v>
      </c>
      <c r="B4314" s="816" t="str">
        <f>TiposLancamentos!B24</f>
        <v>Estacionamentos</v>
      </c>
      <c r="C4314" s="1769" t="s">
        <v>5863</v>
      </c>
      <c r="D4314" s="1736"/>
      <c r="E4314" s="1734">
        <v>19</v>
      </c>
      <c r="F4314" s="1043"/>
      <c r="G4314" s="1550"/>
    </row>
    <row r="4315" spans="1:7">
      <c r="A4315" s="1750">
        <v>42262</v>
      </c>
      <c r="B4315" s="818" t="str">
        <f>TiposLancamentos!B24</f>
        <v>Estacionamentos</v>
      </c>
      <c r="C4315" s="1743" t="s">
        <v>6297</v>
      </c>
      <c r="D4315" s="1737"/>
      <c r="E4315" s="1668">
        <v>21</v>
      </c>
      <c r="F4315" s="1043">
        <v>74.17</v>
      </c>
      <c r="G4315" s="1550"/>
    </row>
    <row r="4316" spans="1:7">
      <c r="A4316" s="1754">
        <v>42325</v>
      </c>
      <c r="B4316" s="125" t="str">
        <f>TiposLancamentos!B72</f>
        <v>Presentes</v>
      </c>
      <c r="C4316" s="1040" t="s">
        <v>7214</v>
      </c>
      <c r="D4316" s="1736"/>
      <c r="E4316" s="1043">
        <v>1714.1</v>
      </c>
      <c r="F4316" s="1043"/>
      <c r="G4316" s="1550"/>
    </row>
    <row r="4317" spans="1:7">
      <c r="A4317" s="1754">
        <v>42326</v>
      </c>
      <c r="B4317" s="125" t="str">
        <f>TiposLancamentos!B20</f>
        <v>Saques</v>
      </c>
      <c r="C4317" s="1040" t="s">
        <v>3604</v>
      </c>
      <c r="D4317" s="1736"/>
      <c r="E4317" s="1043">
        <v>300</v>
      </c>
      <c r="F4317" s="1043"/>
      <c r="G4317" s="1550"/>
    </row>
    <row r="4318" spans="1:7">
      <c r="A4318" s="1754">
        <v>42326</v>
      </c>
      <c r="B4318" s="125" t="str">
        <f>TiposLancamentos!B19</f>
        <v>Restaurantes</v>
      </c>
      <c r="C4318" s="1040" t="s">
        <v>7215</v>
      </c>
      <c r="D4318" s="1736"/>
      <c r="E4318" s="1043">
        <v>6.6</v>
      </c>
      <c r="F4318" s="1043"/>
      <c r="G4318" s="1550"/>
    </row>
    <row r="4319" spans="1:7">
      <c r="A4319" s="1754">
        <v>42327</v>
      </c>
      <c r="B4319" s="125" t="str">
        <f>TiposLancamentos!B19</f>
        <v>Restaurantes</v>
      </c>
      <c r="C4319" s="1040" t="s">
        <v>7216</v>
      </c>
      <c r="D4319" s="1736"/>
      <c r="E4319" s="1043">
        <v>10</v>
      </c>
      <c r="F4319" s="1043"/>
      <c r="G4319" s="1550"/>
    </row>
    <row r="4320" spans="1:7">
      <c r="A4320" s="1754">
        <v>42329</v>
      </c>
      <c r="B4320" s="125" t="str">
        <f>TiposLancamentos!B19</f>
        <v>Restaurantes</v>
      </c>
      <c r="C4320" s="1040" t="s">
        <v>3767</v>
      </c>
      <c r="D4320" s="1736"/>
      <c r="E4320" s="1043">
        <v>15.6</v>
      </c>
      <c r="F4320" s="1043"/>
      <c r="G4320" s="1550"/>
    </row>
    <row r="4321" spans="1:7">
      <c r="A4321" s="1754">
        <v>42329</v>
      </c>
      <c r="B4321" s="125" t="str">
        <f>TiposLancamentos!B24</f>
        <v>Estacionamentos</v>
      </c>
      <c r="C4321" s="1040" t="s">
        <v>3398</v>
      </c>
      <c r="D4321" s="1736"/>
      <c r="E4321" s="1043">
        <v>10</v>
      </c>
      <c r="F4321" s="1043"/>
      <c r="G4321" s="1550"/>
    </row>
    <row r="4322" spans="1:7">
      <c r="A4322" s="1754">
        <v>42331</v>
      </c>
      <c r="B4322" s="125" t="str">
        <f>TiposLancamentos!B19</f>
        <v>Restaurantes</v>
      </c>
      <c r="C4322" s="1040" t="s">
        <v>4593</v>
      </c>
      <c r="D4322" s="1736"/>
      <c r="E4322" s="1043">
        <v>10.83</v>
      </c>
      <c r="F4322" s="1043"/>
      <c r="G4322" s="1550"/>
    </row>
    <row r="4323" spans="1:7">
      <c r="A4323" s="1754">
        <v>42332</v>
      </c>
      <c r="B4323" s="125" t="str">
        <f>TiposLancamentos!B98</f>
        <v>Restituições</v>
      </c>
      <c r="C4323" s="1040" t="s">
        <v>7217</v>
      </c>
      <c r="D4323" s="1736">
        <v>170</v>
      </c>
      <c r="E4323" s="1043"/>
      <c r="F4323" s="1043"/>
      <c r="G4323" s="1550"/>
    </row>
    <row r="4324" spans="1:7">
      <c r="A4324" s="1754">
        <v>42333</v>
      </c>
      <c r="B4324" s="125" t="str">
        <f>TiposLancamentos!B34</f>
        <v>Seguros</v>
      </c>
      <c r="C4324" s="1040" t="s">
        <v>7218</v>
      </c>
      <c r="D4324" s="1736"/>
      <c r="E4324" s="1043">
        <v>63.9</v>
      </c>
      <c r="F4324" s="1043"/>
      <c r="G4324" s="1550"/>
    </row>
    <row r="4325" spans="1:7">
      <c r="A4325" s="1754">
        <v>42335</v>
      </c>
      <c r="B4325" s="125" t="str">
        <f>TiposLancamentos!B2</f>
        <v>Telefonia</v>
      </c>
      <c r="C4325" s="1040" t="s">
        <v>3960</v>
      </c>
      <c r="D4325" s="1736"/>
      <c r="E4325" s="1043">
        <v>49.8</v>
      </c>
      <c r="F4325" s="1043"/>
      <c r="G4325" s="1550"/>
    </row>
    <row r="4326" spans="1:7">
      <c r="A4326" s="1754">
        <v>42335</v>
      </c>
      <c r="B4326" s="125" t="str">
        <f>TiposLancamentos!B20</f>
        <v>Saques</v>
      </c>
      <c r="C4326" s="1040" t="s">
        <v>2655</v>
      </c>
      <c r="D4326" s="1736"/>
      <c r="E4326" s="1043">
        <v>20</v>
      </c>
      <c r="F4326" s="1043"/>
      <c r="G4326" s="1550"/>
    </row>
    <row r="4327" spans="1:7">
      <c r="A4327" s="1754">
        <v>42338</v>
      </c>
      <c r="B4327" s="125" t="str">
        <f>TiposLancamentos!B34</f>
        <v>Seguros</v>
      </c>
      <c r="C4327" s="1040" t="s">
        <v>7219</v>
      </c>
      <c r="D4327" s="1736"/>
      <c r="E4327" s="1043">
        <v>423.35</v>
      </c>
      <c r="F4327" s="1043"/>
      <c r="G4327" s="1550"/>
    </row>
    <row r="4328" spans="1:7">
      <c r="A4328" s="1754">
        <v>42338</v>
      </c>
      <c r="B4328" s="125" t="str">
        <f>TiposLancamentos!B95</f>
        <v>Salarios</v>
      </c>
      <c r="C4328" s="1040" t="s">
        <v>7054</v>
      </c>
      <c r="D4328" s="1736">
        <v>8388.64</v>
      </c>
      <c r="E4328" s="1043"/>
      <c r="F4328" s="1043"/>
      <c r="G4328" s="1550"/>
    </row>
    <row r="4329" spans="1:7" ht="14.25" thickBot="1">
      <c r="A4329" s="1754">
        <v>42338</v>
      </c>
      <c r="B4329" s="125" t="str">
        <f>TiposLancamentos!B6</f>
        <v>Energia Eletrica</v>
      </c>
      <c r="C4329" s="1040" t="s">
        <v>7220</v>
      </c>
      <c r="D4329" s="1736"/>
      <c r="E4329" s="1043">
        <v>243.51</v>
      </c>
      <c r="F4329" s="1043"/>
      <c r="G4329" s="1550"/>
    </row>
    <row r="4330" spans="1:7">
      <c r="A4330" s="1834"/>
      <c r="B4330" s="977"/>
      <c r="C4330" s="1854" t="s">
        <v>7221</v>
      </c>
      <c r="D4330" s="1823"/>
      <c r="E4330" s="1821"/>
      <c r="F4330" s="1821"/>
      <c r="G4330" s="1895"/>
    </row>
    <row r="4331" spans="1:7">
      <c r="A4331" s="1754">
        <v>42339</v>
      </c>
      <c r="B4331" s="125" t="str">
        <f>TiposLancamentos!B15</f>
        <v>Cartões de Crédito</v>
      </c>
      <c r="C4331" s="1040" t="s">
        <v>5558</v>
      </c>
      <c r="D4331" s="1736"/>
      <c r="E4331" s="1043">
        <v>2514.4699999999998</v>
      </c>
      <c r="F4331" s="1043"/>
      <c r="G4331" s="1550"/>
    </row>
    <row r="4332" spans="1:7">
      <c r="A4332" s="1754">
        <v>42339</v>
      </c>
      <c r="B4332" s="125" t="str">
        <f>TiposLancamentos!B15</f>
        <v>Cartões de Crédito</v>
      </c>
      <c r="C4332" s="1040" t="s">
        <v>6240</v>
      </c>
      <c r="D4332" s="1736"/>
      <c r="E4332" s="1043">
        <v>293</v>
      </c>
      <c r="F4332" s="1043"/>
      <c r="G4332" s="1550"/>
    </row>
    <row r="4333" spans="1:7">
      <c r="A4333" s="1754">
        <v>42339</v>
      </c>
      <c r="B4333" s="125" t="str">
        <f>TiposLancamentos!B17</f>
        <v>GATO</v>
      </c>
      <c r="C4333" s="1040" t="s">
        <v>7222</v>
      </c>
      <c r="D4333" s="1736"/>
      <c r="E4333" s="1043">
        <v>280</v>
      </c>
      <c r="F4333" s="1043"/>
      <c r="G4333" s="1550"/>
    </row>
    <row r="4334" spans="1:7">
      <c r="A4334" s="1754">
        <v>42339</v>
      </c>
      <c r="B4334" s="125" t="str">
        <f>TiposLancamentos!B17</f>
        <v>GATO</v>
      </c>
      <c r="C4334" s="1040" t="s">
        <v>7223</v>
      </c>
      <c r="D4334" s="1736"/>
      <c r="E4334" s="1043">
        <v>110</v>
      </c>
      <c r="F4334" s="1043"/>
      <c r="G4334" s="1550"/>
    </row>
    <row r="4335" spans="1:7">
      <c r="A4335" s="1754">
        <v>42339</v>
      </c>
      <c r="B4335" s="125" t="str">
        <f>TiposLancamentos!B4</f>
        <v>Taxas Bancarias</v>
      </c>
      <c r="C4335" s="1040" t="s">
        <v>4858</v>
      </c>
      <c r="D4335" s="1736"/>
      <c r="E4335" s="1043">
        <v>32.57</v>
      </c>
      <c r="F4335" s="1043"/>
      <c r="G4335" s="1550"/>
    </row>
    <row r="4336" spans="1:7">
      <c r="A4336" s="1754">
        <v>42340</v>
      </c>
      <c r="B4336" s="125" t="str">
        <f>TiposLancamentos!B20</f>
        <v>Saques</v>
      </c>
      <c r="C4336" s="1040" t="s">
        <v>3778</v>
      </c>
      <c r="D4336" s="1736"/>
      <c r="E4336" s="1043">
        <v>220</v>
      </c>
      <c r="F4336" s="1043"/>
      <c r="G4336" s="1550"/>
    </row>
    <row r="4337" spans="1:7">
      <c r="A4337" s="1754">
        <v>42341</v>
      </c>
      <c r="B4337" s="125" t="str">
        <f>TiposLancamentos!B15</f>
        <v>Cartões de Crédito</v>
      </c>
      <c r="C4337" s="1040" t="s">
        <v>5879</v>
      </c>
      <c r="D4337" s="1736"/>
      <c r="E4337" s="1043">
        <v>3930.56</v>
      </c>
      <c r="F4337" s="1043"/>
      <c r="G4337" s="1550"/>
    </row>
    <row r="4338" spans="1:7">
      <c r="A4338" s="1754">
        <v>42341</v>
      </c>
      <c r="B4338" s="125" t="str">
        <f>TiposLancamentos!B3</f>
        <v>Internet</v>
      </c>
      <c r="C4338" s="1040" t="s">
        <v>6913</v>
      </c>
      <c r="D4338" s="1736"/>
      <c r="E4338" s="1043">
        <v>131.4</v>
      </c>
      <c r="F4338" s="1043"/>
      <c r="G4338" s="1550"/>
    </row>
    <row r="4339" spans="1:7">
      <c r="A4339" s="1754">
        <v>42341</v>
      </c>
      <c r="B4339" s="125" t="str">
        <f>TiposLancamentos!B24</f>
        <v>Estacionamentos</v>
      </c>
      <c r="C4339" s="1040" t="s">
        <v>4589</v>
      </c>
      <c r="D4339" s="1736"/>
      <c r="E4339" s="1043">
        <v>170</v>
      </c>
      <c r="F4339" s="1043"/>
      <c r="G4339" s="1550"/>
    </row>
    <row r="4340" spans="1:7">
      <c r="A4340" s="1754">
        <v>42345</v>
      </c>
      <c r="B4340" s="125" t="str">
        <f>TiposLancamentos!B9</f>
        <v>Condominio</v>
      </c>
      <c r="C4340" s="1040" t="s">
        <v>1684</v>
      </c>
      <c r="D4340" s="1736"/>
      <c r="E4340" s="1043">
        <v>1048.49</v>
      </c>
      <c r="F4340" s="1043"/>
      <c r="G4340" s="1550"/>
    </row>
    <row r="4341" spans="1:7">
      <c r="A4341" s="1754">
        <v>42345</v>
      </c>
      <c r="B4341" s="125" t="str">
        <f>TiposLancamentos!B2</f>
        <v>Telefonia</v>
      </c>
      <c r="C4341" s="1040" t="s">
        <v>6924</v>
      </c>
      <c r="D4341" s="1736"/>
      <c r="E4341" s="1043">
        <v>152.80000000000001</v>
      </c>
      <c r="F4341" s="1043"/>
      <c r="G4341" s="1550"/>
    </row>
    <row r="4342" spans="1:7">
      <c r="A4342" s="1754">
        <v>42347</v>
      </c>
      <c r="B4342" s="125" t="str">
        <f>TiposLancamentos!B16</f>
        <v>Cristiane</v>
      </c>
      <c r="C4342" s="1040" t="s">
        <v>7224</v>
      </c>
      <c r="D4342" s="1736"/>
      <c r="E4342" s="1043">
        <v>38.74</v>
      </c>
      <c r="F4342" s="1043"/>
      <c r="G4342" s="1550"/>
    </row>
    <row r="4343" spans="1:7">
      <c r="A4343" s="1666">
        <v>42348</v>
      </c>
      <c r="B4343" s="817" t="str">
        <f>TiposLancamentos!B35</f>
        <v>Tv à Cabo</v>
      </c>
      <c r="C4343" s="1742" t="s">
        <v>5834</v>
      </c>
      <c r="D4343" s="1735"/>
      <c r="E4343" s="1733">
        <v>120</v>
      </c>
      <c r="F4343" s="1043"/>
      <c r="G4343" s="1550"/>
    </row>
    <row r="4344" spans="1:7">
      <c r="A4344" s="1667">
        <v>42348</v>
      </c>
      <c r="B4344" s="816" t="str">
        <f>TiposLancamentos!B3</f>
        <v>Internet</v>
      </c>
      <c r="C4344" s="1769" t="s">
        <v>5835</v>
      </c>
      <c r="D4344" s="1736"/>
      <c r="E4344" s="1734">
        <v>89.9</v>
      </c>
      <c r="F4344" s="1043"/>
      <c r="G4344" s="1550"/>
    </row>
    <row r="4345" spans="1:7">
      <c r="A4345" s="1750">
        <v>42348</v>
      </c>
      <c r="B4345" s="818" t="str">
        <f>TiposLancamentos!B2</f>
        <v>Telefonia</v>
      </c>
      <c r="C4345" s="1743" t="s">
        <v>7210</v>
      </c>
      <c r="D4345" s="1737"/>
      <c r="E4345" s="1668">
        <f>0.58+22.5</f>
        <v>23.08</v>
      </c>
      <c r="F4345" s="1043">
        <f>SUM(E4343:E4345)</f>
        <v>232.98000000000002</v>
      </c>
      <c r="G4345" s="1550"/>
    </row>
    <row r="4346" spans="1:7">
      <c r="A4346" s="1754">
        <v>42348</v>
      </c>
      <c r="B4346" s="125" t="str">
        <f>TiposLancamentos!B4</f>
        <v>Taxas Bancarias</v>
      </c>
      <c r="C4346" s="1040" t="s">
        <v>6983</v>
      </c>
      <c r="D4346" s="1736"/>
      <c r="E4346" s="1043">
        <v>350.2</v>
      </c>
      <c r="F4346" s="1043"/>
      <c r="G4346" s="1550"/>
    </row>
    <row r="4347" spans="1:7">
      <c r="A4347" s="1754">
        <v>42348</v>
      </c>
      <c r="B4347" s="125" t="str">
        <f>TiposLancamentos!B16</f>
        <v>Cristiane</v>
      </c>
      <c r="C4347" s="1040" t="s">
        <v>7225</v>
      </c>
      <c r="D4347" s="1736"/>
      <c r="E4347" s="1043">
        <v>150.9</v>
      </c>
      <c r="F4347" s="1043"/>
      <c r="G4347" s="1550"/>
    </row>
    <row r="4348" spans="1:7">
      <c r="A4348" s="1666">
        <v>42348</v>
      </c>
      <c r="B4348" s="817" t="str">
        <f>TiposLancamentos!B8</f>
        <v>Aluguel</v>
      </c>
      <c r="C4348" s="1742" t="s">
        <v>6163</v>
      </c>
      <c r="D4348" s="1735"/>
      <c r="E4348" s="1733">
        <f>1576+4.8+1.5</f>
        <v>1582.3</v>
      </c>
      <c r="F4348" s="1043"/>
      <c r="G4348" s="1550"/>
    </row>
    <row r="4349" spans="1:7">
      <c r="A4349" s="1667">
        <v>42348</v>
      </c>
      <c r="B4349" s="816" t="str">
        <f>TiposLancamentos!B12</f>
        <v>IPTU</v>
      </c>
      <c r="C4349" s="1769" t="s">
        <v>7226</v>
      </c>
      <c r="D4349" s="1736"/>
      <c r="E4349" s="1734"/>
      <c r="F4349" s="1043"/>
      <c r="G4349" s="1550"/>
    </row>
    <row r="4350" spans="1:7">
      <c r="A4350" s="1750">
        <v>42348</v>
      </c>
      <c r="B4350" s="818" t="str">
        <f>TiposLancamentos!B34</f>
        <v>Seguros</v>
      </c>
      <c r="C4350" s="1743" t="s">
        <v>6877</v>
      </c>
      <c r="D4350" s="1737"/>
      <c r="E4350" s="1668">
        <v>245.43</v>
      </c>
      <c r="F4350" s="1043">
        <f>SUM(E4348:E4350)</f>
        <v>1827.73</v>
      </c>
      <c r="G4350" s="1550"/>
    </row>
    <row r="4351" spans="1:7">
      <c r="A4351" s="1754">
        <v>42352</v>
      </c>
      <c r="B4351" s="125" t="str">
        <f>TiposLancamentos!B20</f>
        <v>Saques</v>
      </c>
      <c r="C4351" s="1040" t="s">
        <v>3604</v>
      </c>
      <c r="D4351" s="1736"/>
      <c r="E4351" s="1043">
        <v>30</v>
      </c>
      <c r="F4351" s="1043"/>
      <c r="G4351" s="1550"/>
    </row>
    <row r="4352" spans="1:7">
      <c r="A4352" s="1754">
        <v>42353</v>
      </c>
      <c r="B4352" s="125" t="str">
        <f>TiposLancamentos!B95</f>
        <v>Salarios</v>
      </c>
      <c r="C4352" s="1040" t="s">
        <v>4916</v>
      </c>
      <c r="D4352" s="1736">
        <v>3240</v>
      </c>
      <c r="E4352" s="1043"/>
      <c r="F4352" s="1043"/>
      <c r="G4352" s="1550"/>
    </row>
    <row r="4353" spans="1:7">
      <c r="A4353" s="1666">
        <v>42353</v>
      </c>
      <c r="B4353" s="817" t="str">
        <f>TiposLancamentos!B33</f>
        <v>Pedágios</v>
      </c>
      <c r="C4353" s="1742" t="s">
        <v>5392</v>
      </c>
      <c r="D4353" s="1735"/>
      <c r="E4353" s="1733">
        <f>F4355-(E4354+E4355)</f>
        <v>34.17</v>
      </c>
      <c r="F4353" s="1043"/>
      <c r="G4353" s="1550"/>
    </row>
    <row r="4354" spans="1:7">
      <c r="A4354" s="1667">
        <v>42353</v>
      </c>
      <c r="B4354" s="816" t="str">
        <f>TiposLancamentos!B24</f>
        <v>Estacionamentos</v>
      </c>
      <c r="C4354" s="1769" t="s">
        <v>5863</v>
      </c>
      <c r="D4354" s="1736"/>
      <c r="E4354" s="1734">
        <v>35</v>
      </c>
      <c r="F4354" s="1043"/>
      <c r="G4354" s="1550"/>
    </row>
    <row r="4355" spans="1:7">
      <c r="A4355" s="1750">
        <v>42353</v>
      </c>
      <c r="B4355" s="818" t="str">
        <f>TiposLancamentos!B24</f>
        <v>Estacionamentos</v>
      </c>
      <c r="C4355" s="1743" t="s">
        <v>6297</v>
      </c>
      <c r="D4355" s="1737"/>
      <c r="E4355" s="1668">
        <v>20</v>
      </c>
      <c r="F4355" s="1043">
        <v>89.17</v>
      </c>
      <c r="G4355" s="1550"/>
    </row>
    <row r="4356" spans="1:7">
      <c r="A4356" s="1754">
        <v>42354</v>
      </c>
      <c r="B4356" s="125" t="str">
        <f>TiposLancamentos!B20</f>
        <v>Saques</v>
      </c>
      <c r="C4356" s="1040" t="s">
        <v>4731</v>
      </c>
      <c r="D4356" s="1736"/>
      <c r="E4356" s="1043">
        <v>220</v>
      </c>
      <c r="F4356" s="1043"/>
      <c r="G4356" s="1550"/>
    </row>
    <row r="4357" spans="1:7">
      <c r="A4357" s="1754">
        <v>42354</v>
      </c>
      <c r="B4357" s="125" t="str">
        <f>TiposLancamentos!B98</f>
        <v>Restituições</v>
      </c>
      <c r="C4357" s="1040" t="s">
        <v>7217</v>
      </c>
      <c r="D4357" s="1736">
        <v>170</v>
      </c>
      <c r="E4357" s="1043"/>
      <c r="F4357" s="1043"/>
      <c r="G4357" s="1550"/>
    </row>
    <row r="4358" spans="1:7">
      <c r="A4358" s="1754">
        <v>42356</v>
      </c>
      <c r="B4358" s="125" t="str">
        <f>TiposLancamentos!B95</f>
        <v>Salarios</v>
      </c>
      <c r="C4358" s="1040" t="s">
        <v>7227</v>
      </c>
      <c r="D4358" s="1736">
        <v>4681.07</v>
      </c>
      <c r="E4358" s="1043"/>
      <c r="F4358" s="1043"/>
      <c r="G4358" s="1550"/>
    </row>
    <row r="4359" spans="1:7">
      <c r="A4359" s="1754">
        <v>42357</v>
      </c>
      <c r="B4359" s="125" t="str">
        <f>TiposLancamentos!B19</f>
        <v>Restaurantes</v>
      </c>
      <c r="C4359" s="1040" t="s">
        <v>7228</v>
      </c>
      <c r="D4359" s="1736"/>
      <c r="E4359" s="1043">
        <f>63*1.1</f>
        <v>69.300000000000011</v>
      </c>
      <c r="F4359" s="1043"/>
      <c r="G4359" s="1550"/>
    </row>
    <row r="4360" spans="1:7">
      <c r="A4360" s="1754">
        <v>42362</v>
      </c>
      <c r="B4360" s="125" t="str">
        <f>TiposLancamentos!B16</f>
        <v>Cristiane</v>
      </c>
      <c r="C4360" s="1040" t="s">
        <v>7229</v>
      </c>
      <c r="D4360" s="1736"/>
      <c r="E4360" s="1043">
        <v>123.79</v>
      </c>
      <c r="F4360" s="1043"/>
      <c r="G4360" s="1550"/>
    </row>
    <row r="4361" spans="1:7">
      <c r="A4361" s="1754">
        <v>42364</v>
      </c>
      <c r="B4361" s="125" t="str">
        <f>TiposLancamentos!B57</f>
        <v>Informática</v>
      </c>
      <c r="C4361" s="1040" t="s">
        <v>7230</v>
      </c>
      <c r="D4361" s="1736"/>
      <c r="E4361" s="1043">
        <v>130</v>
      </c>
      <c r="F4361" s="1043"/>
      <c r="G4361" s="1550"/>
    </row>
    <row r="4362" spans="1:7">
      <c r="A4362" s="1754">
        <v>42366</v>
      </c>
      <c r="B4362" s="125" t="str">
        <f>TiposLancamentos!B34</f>
        <v>Seguros</v>
      </c>
      <c r="C4362" s="1040" t="s">
        <v>6894</v>
      </c>
      <c r="D4362" s="1736"/>
      <c r="E4362" s="1043">
        <v>63.9</v>
      </c>
      <c r="F4362" s="1043"/>
      <c r="G4362" s="1550"/>
    </row>
    <row r="4363" spans="1:7">
      <c r="A4363" s="1754">
        <v>42367</v>
      </c>
      <c r="B4363" s="125" t="str">
        <f>TiposLancamentos!B95</f>
        <v>Salarios</v>
      </c>
      <c r="C4363" s="1040" t="s">
        <v>7054</v>
      </c>
      <c r="D4363" s="1736">
        <v>8219.2000000000007</v>
      </c>
      <c r="E4363" s="1043"/>
      <c r="F4363" s="1043"/>
      <c r="G4363" s="1550"/>
    </row>
    <row r="4364" spans="1:7">
      <c r="A4364" s="1754">
        <v>42367</v>
      </c>
      <c r="B4364" s="125" t="str">
        <f>TiposLancamentos!B34</f>
        <v>Seguros</v>
      </c>
      <c r="C4364" s="1040" t="s">
        <v>7231</v>
      </c>
      <c r="D4364" s="1736"/>
      <c r="E4364" s="1043">
        <v>423.35</v>
      </c>
      <c r="F4364" s="1043"/>
      <c r="G4364" s="1550"/>
    </row>
    <row r="4365" spans="1:7">
      <c r="A4365" s="1754">
        <v>42367</v>
      </c>
      <c r="B4365" s="125" t="str">
        <f>TiposLancamentos!B16</f>
        <v>Cristiane</v>
      </c>
      <c r="C4365" s="1040" t="s">
        <v>7232</v>
      </c>
      <c r="D4365" s="1736"/>
      <c r="E4365" s="1043">
        <v>128.6</v>
      </c>
      <c r="F4365" s="1043"/>
      <c r="G4365" s="1550"/>
    </row>
    <row r="4366" spans="1:7">
      <c r="A4366" s="1754">
        <v>42367</v>
      </c>
      <c r="B4366" s="125" t="str">
        <f>TiposLancamentos!B19</f>
        <v>Restaurantes</v>
      </c>
      <c r="C4366" s="1040" t="s">
        <v>7233</v>
      </c>
      <c r="D4366" s="1736"/>
      <c r="E4366" s="1043">
        <v>39</v>
      </c>
      <c r="F4366" s="1043"/>
      <c r="G4366" s="1550"/>
    </row>
    <row r="4367" spans="1:7">
      <c r="A4367" s="1754">
        <v>42367</v>
      </c>
      <c r="B4367" s="125" t="str">
        <f>TiposLancamentos!B24</f>
        <v>Estacionamentos</v>
      </c>
      <c r="C4367" s="1040" t="s">
        <v>3398</v>
      </c>
      <c r="D4367" s="1736"/>
      <c r="E4367" s="1043">
        <v>7</v>
      </c>
      <c r="F4367" s="1043"/>
      <c r="G4367" s="1550"/>
    </row>
    <row r="4368" spans="1:7">
      <c r="A4368" s="1754">
        <v>42367</v>
      </c>
      <c r="B4368" s="125" t="str">
        <f>TiposLancamentos!B6</f>
        <v>Energia Eletrica</v>
      </c>
      <c r="C4368" s="1040" t="s">
        <v>5191</v>
      </c>
      <c r="D4368" s="1736"/>
      <c r="E4368" s="1043">
        <v>286.93</v>
      </c>
      <c r="F4368" s="1043"/>
      <c r="G4368" s="1550"/>
    </row>
    <row r="4369" spans="1:7">
      <c r="A4369" s="1754">
        <v>42367</v>
      </c>
      <c r="B4369" s="125" t="str">
        <f>TiposLancamentos!B16</f>
        <v>Cristiane</v>
      </c>
      <c r="C4369" s="1040" t="s">
        <v>7234</v>
      </c>
      <c r="D4369" s="1736"/>
      <c r="E4369" s="1043">
        <v>37.9</v>
      </c>
      <c r="F4369" s="1043"/>
      <c r="G4369" s="1550"/>
    </row>
    <row r="4370" spans="1:7">
      <c r="A4370" s="1754">
        <v>42368</v>
      </c>
      <c r="B4370" s="125" t="str">
        <f>TiposLancamentos!B16</f>
        <v>Cristiane</v>
      </c>
      <c r="C4370" s="1040" t="s">
        <v>3642</v>
      </c>
      <c r="D4370" s="1736"/>
      <c r="E4370" s="1043">
        <v>18.399999999999999</v>
      </c>
      <c r="F4370" s="1043"/>
      <c r="G4370" s="1550"/>
    </row>
    <row r="4371" spans="1:7">
      <c r="A4371" s="1754">
        <v>42368</v>
      </c>
      <c r="B4371" s="125" t="str">
        <f>TiposLancamentos!B16</f>
        <v>Cristiane</v>
      </c>
      <c r="C4371" s="1040" t="s">
        <v>7235</v>
      </c>
      <c r="D4371" s="1736"/>
      <c r="E4371" s="1043">
        <v>24.5</v>
      </c>
      <c r="F4371" s="1043"/>
      <c r="G4371" s="1550"/>
    </row>
    <row r="4372" spans="1:7" ht="14.25" thickBot="1">
      <c r="A4372" s="1754">
        <v>42368</v>
      </c>
      <c r="B4372" s="125" t="str">
        <f>TiposLancamentos!B16</f>
        <v>Cristiane</v>
      </c>
      <c r="C4372" s="1040" t="s">
        <v>7236</v>
      </c>
      <c r="D4372" s="1736"/>
      <c r="E4372" s="1043">
        <v>129.91</v>
      </c>
      <c r="F4372" s="1043"/>
      <c r="G4372" s="1550"/>
    </row>
    <row r="4373" spans="1:7">
      <c r="A4373" s="1834"/>
      <c r="B4373" s="977"/>
      <c r="C4373" s="1854" t="s">
        <v>7237</v>
      </c>
      <c r="D4373" s="1823"/>
      <c r="E4373" s="1821"/>
      <c r="F4373" s="1821"/>
      <c r="G4373" s="1895"/>
    </row>
    <row r="4374" spans="1:7">
      <c r="A4374" s="1754">
        <v>42373</v>
      </c>
      <c r="B4374" s="125" t="str">
        <f>TiposLancamentos!B15</f>
        <v>Cartões de Crédito</v>
      </c>
      <c r="C4374" s="1040" t="s">
        <v>5879</v>
      </c>
      <c r="D4374" s="1736"/>
      <c r="E4374" s="1043">
        <v>4358.3100000000004</v>
      </c>
      <c r="F4374" s="1043"/>
      <c r="G4374" s="1550"/>
    </row>
    <row r="4375" spans="1:7">
      <c r="A4375" s="1754">
        <v>42373</v>
      </c>
      <c r="B4375" s="125" t="str">
        <f>TiposLancamentos!B15</f>
        <v>Cartões de Crédito</v>
      </c>
      <c r="C4375" s="1040" t="s">
        <v>62</v>
      </c>
      <c r="D4375" s="1736"/>
      <c r="E4375" s="1043">
        <v>2067.44</v>
      </c>
      <c r="F4375" s="1043"/>
      <c r="G4375" s="1550"/>
    </row>
    <row r="4376" spans="1:7">
      <c r="A4376" s="1754">
        <v>42373</v>
      </c>
      <c r="B4376" s="125" t="str">
        <f>TiposLancamentos!B15</f>
        <v>Cartões de Crédito</v>
      </c>
      <c r="C4376" s="1040" t="s">
        <v>7238</v>
      </c>
      <c r="D4376" s="1736"/>
      <c r="E4376" s="1043">
        <v>293</v>
      </c>
      <c r="F4376" s="1043"/>
      <c r="G4376" s="1550"/>
    </row>
    <row r="4377" spans="1:7">
      <c r="A4377" s="1754">
        <v>42373</v>
      </c>
      <c r="B4377" s="125" t="str">
        <f>TiposLancamentos!B3</f>
        <v>Internet</v>
      </c>
      <c r="C4377" s="1040" t="s">
        <v>6913</v>
      </c>
      <c r="D4377" s="1736"/>
      <c r="E4377" s="1043">
        <v>131.4</v>
      </c>
      <c r="F4377" s="1043"/>
      <c r="G4377" s="1550"/>
    </row>
    <row r="4378" spans="1:7">
      <c r="A4378" s="1754">
        <v>42373</v>
      </c>
      <c r="B4378" s="125" t="str">
        <f>TiposLancamentos!B4</f>
        <v>Taxas Bancarias</v>
      </c>
      <c r="C4378" s="1040" t="s">
        <v>4858</v>
      </c>
      <c r="D4378" s="1736"/>
      <c r="E4378" s="1043">
        <v>34.72</v>
      </c>
      <c r="F4378" s="1043"/>
      <c r="G4378" s="1550"/>
    </row>
    <row r="4379" spans="1:7">
      <c r="A4379" s="1754">
        <v>42374</v>
      </c>
      <c r="B4379" s="125" t="str">
        <f>TiposLancamentos!B20</f>
        <v>Saques</v>
      </c>
      <c r="C4379" s="1040" t="s">
        <v>4579</v>
      </c>
      <c r="D4379" s="1736"/>
      <c r="E4379" s="1043">
        <v>100</v>
      </c>
      <c r="F4379" s="1043"/>
      <c r="G4379" s="1550"/>
    </row>
    <row r="4380" spans="1:7">
      <c r="A4380" s="1754">
        <v>42375</v>
      </c>
      <c r="B4380" s="125" t="str">
        <f>TiposLancamentos!B24</f>
        <v>Estacionamentos</v>
      </c>
      <c r="C4380" s="1040" t="s">
        <v>4589</v>
      </c>
      <c r="D4380" s="1736"/>
      <c r="E4380" s="1043">
        <v>170</v>
      </c>
      <c r="F4380" s="1043"/>
      <c r="G4380" s="1550"/>
    </row>
    <row r="4381" spans="1:7">
      <c r="A4381" s="1754">
        <v>42375</v>
      </c>
      <c r="B4381" s="125" t="str">
        <f>TiposLancamentos!B9</f>
        <v>Condominio</v>
      </c>
      <c r="C4381" s="1040" t="s">
        <v>7239</v>
      </c>
      <c r="D4381" s="1736"/>
      <c r="E4381" s="1043">
        <v>1059.26</v>
      </c>
      <c r="F4381" s="1043"/>
      <c r="G4381" s="1550"/>
    </row>
    <row r="4382" spans="1:7">
      <c r="A4382" s="1754">
        <v>42376</v>
      </c>
      <c r="B4382" s="125" t="str">
        <f>TiposLancamentos!B2</f>
        <v>Telefonia</v>
      </c>
      <c r="C4382" s="1040" t="s">
        <v>6241</v>
      </c>
      <c r="D4382" s="1736"/>
      <c r="E4382" s="1043">
        <v>133</v>
      </c>
      <c r="F4382" s="1043"/>
      <c r="G4382" s="1550"/>
    </row>
    <row r="4383" spans="1:7">
      <c r="A4383" s="1754">
        <v>42377</v>
      </c>
      <c r="B4383" s="125" t="str">
        <f>TiposLancamentos!B24</f>
        <v>Estacionamentos</v>
      </c>
      <c r="C4383" s="1040" t="s">
        <v>3398</v>
      </c>
      <c r="D4383" s="1736"/>
      <c r="E4383" s="1043">
        <v>7</v>
      </c>
      <c r="F4383" s="1043"/>
      <c r="G4383" s="1550"/>
    </row>
    <row r="4384" spans="1:7">
      <c r="A4384" s="1754">
        <v>42377</v>
      </c>
      <c r="B4384" s="125" t="str">
        <f>TiposLancamentos!B19</f>
        <v>Restaurantes</v>
      </c>
      <c r="C4384" s="1040" t="s">
        <v>7240</v>
      </c>
      <c r="D4384" s="1736"/>
      <c r="E4384" s="1043">
        <v>69.3</v>
      </c>
      <c r="F4384" s="1043"/>
      <c r="G4384" s="1550"/>
    </row>
    <row r="4385" spans="1:7">
      <c r="A4385" s="1754">
        <v>42378</v>
      </c>
      <c r="B4385" s="125" t="str">
        <f>TiposLancamentos!B16</f>
        <v>Cristiane</v>
      </c>
      <c r="C4385" s="1040" t="s">
        <v>7241</v>
      </c>
      <c r="D4385" s="1736"/>
      <c r="E4385" s="1043">
        <v>9.8000000000000007</v>
      </c>
      <c r="F4385" s="1043"/>
      <c r="G4385" s="1550"/>
    </row>
    <row r="4386" spans="1:7">
      <c r="A4386" s="1666">
        <v>42379</v>
      </c>
      <c r="B4386" s="817" t="str">
        <f>TiposLancamentos!B8</f>
        <v>Aluguel</v>
      </c>
      <c r="C4386" s="1742" t="s">
        <v>6163</v>
      </c>
      <c r="D4386" s="1735"/>
      <c r="E4386" s="1733">
        <f>F4388-E4388</f>
        <v>1582.3</v>
      </c>
      <c r="F4386" s="1043"/>
      <c r="G4386" s="1550"/>
    </row>
    <row r="4387" spans="1:7">
      <c r="A4387" s="1667">
        <v>42379</v>
      </c>
      <c r="B4387" s="816" t="str">
        <f>TiposLancamentos!B12</f>
        <v>IPTU</v>
      </c>
      <c r="C4387" s="1769" t="s">
        <v>7226</v>
      </c>
      <c r="D4387" s="1736"/>
      <c r="E4387" s="1734"/>
      <c r="F4387" s="1043"/>
      <c r="G4387" s="1550"/>
    </row>
    <row r="4388" spans="1:7">
      <c r="A4388" s="1750">
        <v>42379</v>
      </c>
      <c r="B4388" s="818" t="str">
        <f>TiposLancamentos!B34</f>
        <v>Seguros</v>
      </c>
      <c r="C4388" s="1743" t="s">
        <v>6926</v>
      </c>
      <c r="D4388" s="1737"/>
      <c r="E4388" s="1668">
        <v>245.43</v>
      </c>
      <c r="F4388" s="1043">
        <v>1827.73</v>
      </c>
      <c r="G4388" s="1550"/>
    </row>
    <row r="4389" spans="1:7">
      <c r="A4389" s="1754">
        <v>42379</v>
      </c>
      <c r="B4389" s="125" t="str">
        <f>TiposLancamentos!B16</f>
        <v>Cristiane</v>
      </c>
      <c r="C4389" s="1040" t="s">
        <v>5142</v>
      </c>
      <c r="D4389" s="1736"/>
      <c r="E4389" s="1043">
        <v>19.37</v>
      </c>
      <c r="F4389" s="1043"/>
      <c r="G4389" s="1550"/>
    </row>
    <row r="4390" spans="1:7">
      <c r="A4390" s="1754">
        <v>42379</v>
      </c>
      <c r="B4390" s="125" t="str">
        <f>TiposLancamentos!B4</f>
        <v>Taxas Bancarias</v>
      </c>
      <c r="C4390" s="1040" t="s">
        <v>6983</v>
      </c>
      <c r="D4390" s="1736"/>
      <c r="E4390" s="1043">
        <v>218.76</v>
      </c>
      <c r="F4390" s="1043"/>
      <c r="G4390" s="1550"/>
    </row>
    <row r="4391" spans="1:7">
      <c r="A4391" s="1666">
        <v>42379</v>
      </c>
      <c r="B4391" s="817" t="str">
        <f>TiposLancamentos!B35</f>
        <v>Tv à Cabo</v>
      </c>
      <c r="C4391" s="1742" t="s">
        <v>5834</v>
      </c>
      <c r="D4391" s="1735"/>
      <c r="E4391" s="1733">
        <v>120</v>
      </c>
      <c r="F4391" s="1043"/>
      <c r="G4391" s="1550"/>
    </row>
    <row r="4392" spans="1:7">
      <c r="A4392" s="1667">
        <v>42379</v>
      </c>
      <c r="B4392" s="816" t="str">
        <f>TiposLancamentos!B3</f>
        <v>Internet</v>
      </c>
      <c r="C4392" s="1769" t="s">
        <v>5835</v>
      </c>
      <c r="D4392" s="1736"/>
      <c r="E4392" s="1734">
        <v>89.9</v>
      </c>
      <c r="F4392" s="1043"/>
      <c r="G4392" s="1550"/>
    </row>
    <row r="4393" spans="1:7">
      <c r="A4393" s="1750">
        <v>42379</v>
      </c>
      <c r="B4393" s="818" t="str">
        <f>TiposLancamentos!B2</f>
        <v>Telefonia</v>
      </c>
      <c r="C4393" s="1743" t="s">
        <v>7210</v>
      </c>
      <c r="D4393" s="1737"/>
      <c r="E4393" s="1668">
        <f>3.2+22.5</f>
        <v>25.7</v>
      </c>
      <c r="F4393" s="1043">
        <f>SUM(E4391:E4393)</f>
        <v>235.6</v>
      </c>
      <c r="G4393" s="1550"/>
    </row>
    <row r="4394" spans="1:7">
      <c r="A4394" s="1754">
        <v>42382</v>
      </c>
      <c r="B4394" s="125" t="str">
        <f>TiposLancamentos!B88</f>
        <v>Ford Ecosport XLT</v>
      </c>
      <c r="C4394" s="1040" t="s">
        <v>7242</v>
      </c>
      <c r="D4394" s="1736"/>
      <c r="E4394" s="1043">
        <v>1186.8499999999999</v>
      </c>
      <c r="F4394" s="1043"/>
      <c r="G4394" s="1550"/>
    </row>
    <row r="4395" spans="1:7">
      <c r="A4395" s="1754">
        <v>42382</v>
      </c>
      <c r="B4395" s="125" t="str">
        <f>TiposLancamentos!B16</f>
        <v>Cristiane</v>
      </c>
      <c r="C4395" s="1040" t="s">
        <v>7243</v>
      </c>
      <c r="D4395" s="1736"/>
      <c r="E4395" s="1043">
        <v>45</v>
      </c>
      <c r="F4395" s="1043"/>
      <c r="G4395" s="1550"/>
    </row>
    <row r="4396" spans="1:7">
      <c r="A4396" s="1754">
        <v>42383</v>
      </c>
      <c r="B4396" s="125" t="str">
        <f>TiposLancamentos!B20</f>
        <v>Saques</v>
      </c>
      <c r="C4396" s="1040" t="s">
        <v>4584</v>
      </c>
      <c r="D4396" s="1736"/>
      <c r="E4396" s="1043">
        <v>140</v>
      </c>
      <c r="F4396" s="1043"/>
      <c r="G4396" s="1550"/>
    </row>
    <row r="4397" spans="1:7">
      <c r="A4397" s="1754">
        <v>42384</v>
      </c>
      <c r="B4397" s="125" t="str">
        <f>TiposLancamentos!B98</f>
        <v>Restituições</v>
      </c>
      <c r="C4397" s="1040" t="s">
        <v>7244</v>
      </c>
      <c r="D4397" s="1736">
        <v>45</v>
      </c>
      <c r="E4397" s="1043"/>
      <c r="F4397" s="1043"/>
      <c r="G4397" s="1550"/>
    </row>
    <row r="4398" spans="1:7">
      <c r="A4398" s="1754">
        <v>42384</v>
      </c>
      <c r="B4398" s="125" t="str">
        <f>TiposLancamentos!B95</f>
        <v>Salarios</v>
      </c>
      <c r="C4398" s="1040" t="s">
        <v>4916</v>
      </c>
      <c r="D4398" s="1736">
        <v>3240</v>
      </c>
      <c r="E4398" s="1043"/>
      <c r="F4398" s="1043"/>
      <c r="G4398" s="1550"/>
    </row>
    <row r="4399" spans="1:7">
      <c r="A4399" s="1754">
        <v>42384</v>
      </c>
      <c r="B4399" s="125" t="str">
        <f>TiposLancamentos!B87</f>
        <v>P207-1.6-XS</v>
      </c>
      <c r="C4399" s="1040" t="s">
        <v>7245</v>
      </c>
      <c r="D4399" s="1736"/>
      <c r="E4399" s="1043">
        <v>836.02</v>
      </c>
      <c r="F4399" s="1043"/>
      <c r="G4399" s="1550"/>
    </row>
    <row r="4400" spans="1:7">
      <c r="A4400" s="1666">
        <v>42384</v>
      </c>
      <c r="B4400" s="817" t="str">
        <f>TiposLancamentos!B33</f>
        <v>Pedágios</v>
      </c>
      <c r="C4400" s="1742" t="s">
        <v>5392</v>
      </c>
      <c r="D4400" s="1735"/>
      <c r="E4400" s="1733">
        <f>F4402-(E4401+E4402)</f>
        <v>34.17</v>
      </c>
      <c r="F4400" s="1043"/>
      <c r="G4400" s="1550"/>
    </row>
    <row r="4401" spans="1:7">
      <c r="A4401" s="1667">
        <v>42384</v>
      </c>
      <c r="B4401" s="816" t="str">
        <f>TiposLancamentos!B24</f>
        <v>Estacionamentos</v>
      </c>
      <c r="C4401" s="1769" t="s">
        <v>5863</v>
      </c>
      <c r="D4401" s="1736"/>
      <c r="E4401" s="1734">
        <v>53</v>
      </c>
      <c r="F4401" s="1043"/>
      <c r="G4401" s="1550"/>
    </row>
    <row r="4402" spans="1:7">
      <c r="A4402" s="1750">
        <v>42384</v>
      </c>
      <c r="B4402" s="818" t="str">
        <f>TiposLancamentos!B24</f>
        <v>Estacionamentos</v>
      </c>
      <c r="C4402" s="1743" t="s">
        <v>6297</v>
      </c>
      <c r="D4402" s="1737"/>
      <c r="E4402" s="1668">
        <v>12</v>
      </c>
      <c r="F4402" s="1043">
        <v>99.17</v>
      </c>
      <c r="G4402" s="1550"/>
    </row>
    <row r="4403" spans="1:7">
      <c r="A4403" s="1754">
        <v>42393</v>
      </c>
      <c r="B4403" s="125" t="str">
        <f>TiposLancamentos!B19</f>
        <v>Restaurantes</v>
      </c>
      <c r="C4403" s="1040" t="s">
        <v>7246</v>
      </c>
      <c r="D4403" s="1736"/>
      <c r="E4403" s="1043">
        <v>53.35</v>
      </c>
      <c r="F4403" s="1043"/>
      <c r="G4403" s="1550"/>
    </row>
    <row r="4404" spans="1:7">
      <c r="A4404" s="1754">
        <v>42394</v>
      </c>
      <c r="B4404" s="125" t="str">
        <f>TiposLancamentos!B34</f>
        <v>Seguros</v>
      </c>
      <c r="C4404" s="1040" t="s">
        <v>7247</v>
      </c>
      <c r="D4404" s="1736"/>
      <c r="E4404" s="1043">
        <v>63.9</v>
      </c>
      <c r="F4404" s="1043"/>
      <c r="G4404" s="1550"/>
    </row>
    <row r="4405" spans="1:7">
      <c r="A4405" s="1754">
        <v>42394</v>
      </c>
      <c r="B4405" s="125" t="str">
        <f>TiposLancamentos!B16</f>
        <v>Cristiane</v>
      </c>
      <c r="C4405" s="1040" t="s">
        <v>7119</v>
      </c>
      <c r="D4405" s="1736"/>
      <c r="E4405" s="1043">
        <v>106.1</v>
      </c>
      <c r="F4405" s="1043"/>
      <c r="G4405" s="1550"/>
    </row>
    <row r="4406" spans="1:7">
      <c r="A4406" s="1754">
        <v>42395</v>
      </c>
      <c r="B4406" s="125" t="str">
        <f>TiposLancamentos!B6</f>
        <v>Energia Eletrica</v>
      </c>
      <c r="C4406" s="1040" t="s">
        <v>5191</v>
      </c>
      <c r="D4406" s="1736"/>
      <c r="E4406" s="1043">
        <v>260.48</v>
      </c>
      <c r="F4406" s="1043"/>
      <c r="G4406" s="1550"/>
    </row>
    <row r="4407" spans="1:7">
      <c r="A4407" s="1754">
        <v>42398</v>
      </c>
      <c r="B4407" s="125" t="str">
        <f>TiposLancamentos!B95</f>
        <v>Salarios</v>
      </c>
      <c r="C4407" s="1040" t="s">
        <v>7054</v>
      </c>
      <c r="D4407" s="1736">
        <v>5312.81</v>
      </c>
      <c r="E4407" s="1043"/>
      <c r="F4407" s="1043"/>
      <c r="G4407" s="1550"/>
    </row>
    <row r="4408" spans="1:7" ht="12.75" customHeight="1">
      <c r="A4408" s="1754">
        <v>42398</v>
      </c>
      <c r="B4408" s="125" t="str">
        <f>TiposLancamentos!B59</f>
        <v>Documentos</v>
      </c>
      <c r="C4408" s="1040" t="s">
        <v>7248</v>
      </c>
      <c r="D4408" s="1736"/>
      <c r="E4408" s="1043">
        <v>410.92</v>
      </c>
      <c r="F4408" s="1043"/>
      <c r="G4408" s="1550"/>
    </row>
    <row r="4409" spans="1:7">
      <c r="A4409" s="1754">
        <v>42399</v>
      </c>
      <c r="B4409" s="125" t="str">
        <f>TiposLancamentos!B98</f>
        <v>Restituições</v>
      </c>
      <c r="C4409" s="1040" t="s">
        <v>7249</v>
      </c>
      <c r="D4409" s="1736">
        <v>5</v>
      </c>
      <c r="E4409" s="1043"/>
      <c r="F4409" s="1043"/>
      <c r="G4409" s="1550"/>
    </row>
    <row r="4410" spans="1:7">
      <c r="A4410" s="1754">
        <v>42399</v>
      </c>
      <c r="B4410" s="125" t="str">
        <f>TiposLancamentos!B19</f>
        <v>Restaurantes</v>
      </c>
      <c r="C4410" s="1040" t="s">
        <v>7250</v>
      </c>
      <c r="D4410" s="1736"/>
      <c r="E4410" s="1043">
        <v>9</v>
      </c>
      <c r="F4410" s="1043"/>
      <c r="G4410" s="1550"/>
    </row>
    <row r="4411" spans="1:7">
      <c r="A4411" s="1754">
        <v>42399</v>
      </c>
      <c r="B4411" s="125" t="str">
        <f>TiposLancamentos!B27</f>
        <v>Jornais e revistas</v>
      </c>
      <c r="C4411" s="1040" t="s">
        <v>7251</v>
      </c>
      <c r="D4411" s="1736"/>
      <c r="E4411" s="1043">
        <v>18.399999999999999</v>
      </c>
      <c r="F4411" s="1043"/>
      <c r="G4411" s="1550"/>
    </row>
    <row r="4412" spans="1:7" ht="14.25" thickBot="1">
      <c r="A4412" s="1754">
        <v>42399</v>
      </c>
      <c r="B4412" s="125" t="str">
        <f>TiposLancamentos!B16</f>
        <v>Cristiane</v>
      </c>
      <c r="C4412" s="1040" t="s">
        <v>7252</v>
      </c>
      <c r="D4412" s="1736"/>
      <c r="E4412" s="1043">
        <v>30</v>
      </c>
      <c r="F4412" s="1043"/>
      <c r="G4412" s="1550"/>
    </row>
    <row r="4413" spans="1:7">
      <c r="A4413" s="1834"/>
      <c r="B4413" s="977"/>
      <c r="C4413" s="1854" t="s">
        <v>7253</v>
      </c>
      <c r="D4413" s="1823"/>
      <c r="E4413" s="1821"/>
      <c r="F4413" s="1821"/>
      <c r="G4413" s="1895"/>
    </row>
    <row r="4414" spans="1:7">
      <c r="A4414" s="1754">
        <v>42401</v>
      </c>
      <c r="B4414" s="125" t="str">
        <f>TiposLancamentos!B15</f>
        <v>Cartões de Crédito</v>
      </c>
      <c r="C4414" s="1040" t="s">
        <v>6240</v>
      </c>
      <c r="D4414" s="1736"/>
      <c r="E4414" s="1043">
        <v>293</v>
      </c>
      <c r="F4414" s="1043"/>
      <c r="G4414" s="1550"/>
    </row>
    <row r="4415" spans="1:7">
      <c r="A4415" s="1754">
        <v>42401</v>
      </c>
      <c r="B4415" s="125" t="str">
        <f>TiposLancamentos!B15</f>
        <v>Cartões de Crédito</v>
      </c>
      <c r="C4415" s="1040" t="s">
        <v>7254</v>
      </c>
      <c r="D4415" s="1736"/>
      <c r="E4415" s="1043">
        <v>4848.74</v>
      </c>
      <c r="F4415" s="1043"/>
      <c r="G4415" s="1550"/>
    </row>
    <row r="4416" spans="1:7">
      <c r="A4416" s="1754">
        <v>42401</v>
      </c>
      <c r="B4416" s="125" t="str">
        <f>TiposLancamentos!B4</f>
        <v>Taxas Bancarias</v>
      </c>
      <c r="C4416" s="1040" t="s">
        <v>4858</v>
      </c>
      <c r="D4416" s="1736"/>
      <c r="E4416" s="1043">
        <v>25.65</v>
      </c>
      <c r="F4416" s="1043"/>
      <c r="G4416" s="1550"/>
    </row>
    <row r="4417" spans="1:7">
      <c r="A4417" s="1754">
        <v>42403</v>
      </c>
      <c r="B4417" s="125" t="str">
        <f>TiposLancamentos!B15</f>
        <v>Cartões de Crédito</v>
      </c>
      <c r="C4417" s="1040" t="s">
        <v>5924</v>
      </c>
      <c r="D4417" s="1736"/>
      <c r="E4417" s="1043">
        <v>3031.31</v>
      </c>
      <c r="F4417" s="1043"/>
      <c r="G4417" s="1550"/>
    </row>
    <row r="4418" spans="1:7">
      <c r="A4418" s="1754">
        <v>42403</v>
      </c>
      <c r="B4418" s="125" t="str">
        <f>TiposLancamentos!B3</f>
        <v>Internet</v>
      </c>
      <c r="C4418" s="1040" t="s">
        <v>6913</v>
      </c>
      <c r="D4418" s="1736"/>
      <c r="E4418" s="1043">
        <v>131.79</v>
      </c>
      <c r="F4418" s="1043"/>
      <c r="G4418" s="1550"/>
    </row>
    <row r="4419" spans="1:7">
      <c r="A4419" s="1754">
        <v>42403</v>
      </c>
      <c r="B4419" s="125" t="str">
        <f>TiposLancamentos!B53</f>
        <v>Auxilio Idoso</v>
      </c>
      <c r="C4419" s="1040" t="s">
        <v>7255</v>
      </c>
      <c r="D4419" s="1736"/>
      <c r="E4419" s="1043">
        <v>1320</v>
      </c>
      <c r="F4419" s="1043">
        <f>1.5*880</f>
        <v>1320</v>
      </c>
      <c r="G4419" s="1550"/>
    </row>
    <row r="4420" spans="1:7">
      <c r="A4420" s="1754">
        <v>42404</v>
      </c>
      <c r="B4420" s="125" t="str">
        <f>TiposLancamentos!B24</f>
        <v>Estacionamentos</v>
      </c>
      <c r="C4420" s="1040" t="s">
        <v>4589</v>
      </c>
      <c r="D4420" s="1736"/>
      <c r="E4420" s="1043">
        <v>170</v>
      </c>
      <c r="F4420" s="1043"/>
      <c r="G4420" s="1550"/>
    </row>
    <row r="4421" spans="1:7">
      <c r="A4421" s="1754">
        <v>42408</v>
      </c>
      <c r="B4421" s="125" t="str">
        <f>TiposLancamentos!B9</f>
        <v>Condominio</v>
      </c>
      <c r="C4421" s="1040" t="s">
        <v>5925</v>
      </c>
      <c r="D4421" s="1736"/>
      <c r="E4421" s="1043">
        <v>1327.74</v>
      </c>
      <c r="F4421" s="1043"/>
      <c r="G4421" s="1550"/>
    </row>
    <row r="4422" spans="1:7">
      <c r="A4422" s="1754">
        <v>42408</v>
      </c>
      <c r="B4422" s="125" t="str">
        <f>TiposLancamentos!B2</f>
        <v>Telefonia</v>
      </c>
      <c r="C4422" s="1040" t="s">
        <v>4895</v>
      </c>
      <c r="D4422" s="1736"/>
      <c r="E4422" s="1043">
        <v>140.85</v>
      </c>
      <c r="F4422" s="1043"/>
      <c r="G4422" s="1550"/>
    </row>
    <row r="4423" spans="1:7">
      <c r="A4423" s="1666">
        <v>42410</v>
      </c>
      <c r="B4423" s="817" t="str">
        <f>TiposLancamentos!B8</f>
        <v>Aluguel</v>
      </c>
      <c r="C4423" s="1742" t="s">
        <v>6163</v>
      </c>
      <c r="D4423" s="1735"/>
      <c r="E4423" s="1733">
        <f>F4425-E4424-E4425</f>
        <v>1582.3</v>
      </c>
      <c r="F4423" s="1043"/>
      <c r="G4423" s="1550"/>
    </row>
    <row r="4424" spans="1:7">
      <c r="A4424" s="1667">
        <v>42410</v>
      </c>
      <c r="B4424" s="816" t="str">
        <f>TiposLancamentos!B12</f>
        <v>IPTU</v>
      </c>
      <c r="C4424" s="1769" t="s">
        <v>6458</v>
      </c>
      <c r="D4424" s="1736"/>
      <c r="E4424" s="1734">
        <v>130.66</v>
      </c>
      <c r="F4424" s="1043"/>
      <c r="G4424" s="1550"/>
    </row>
    <row r="4425" spans="1:7">
      <c r="A4425" s="1750">
        <v>42410</v>
      </c>
      <c r="B4425" s="818" t="str">
        <f>TiposLancamentos!B34</f>
        <v>Seguros</v>
      </c>
      <c r="C4425" s="1743" t="s">
        <v>6978</v>
      </c>
      <c r="D4425" s="1737"/>
      <c r="E4425" s="1668">
        <v>245.43</v>
      </c>
      <c r="F4425" s="1043">
        <v>1958.39</v>
      </c>
      <c r="G4425" s="1550"/>
    </row>
    <row r="4426" spans="1:7">
      <c r="A4426" s="1754">
        <v>42410</v>
      </c>
      <c r="B4426" s="125" t="str">
        <f>TiposLancamentos!B16</f>
        <v>Cristiane</v>
      </c>
      <c r="C4426" s="1040" t="s">
        <v>6428</v>
      </c>
      <c r="D4426" s="1736"/>
      <c r="E4426" s="1043">
        <v>219.63</v>
      </c>
      <c r="F4426" s="1043"/>
      <c r="G4426" s="1550"/>
    </row>
    <row r="4427" spans="1:7">
      <c r="A4427" s="1754">
        <v>42410</v>
      </c>
      <c r="B4427" s="125" t="str">
        <f>TiposLancamentos!B4</f>
        <v>Taxas Bancarias</v>
      </c>
      <c r="C4427" s="1040" t="s">
        <v>6983</v>
      </c>
      <c r="D4427" s="1736"/>
      <c r="E4427" s="1043">
        <v>447.18</v>
      </c>
      <c r="F4427" s="1043"/>
      <c r="G4427" s="1550"/>
    </row>
    <row r="4428" spans="1:7">
      <c r="A4428" s="1666">
        <v>42410</v>
      </c>
      <c r="B4428" s="817" t="str">
        <f>TiposLancamentos!B35</f>
        <v>Tv à Cabo</v>
      </c>
      <c r="C4428" s="1742" t="s">
        <v>5834</v>
      </c>
      <c r="D4428" s="1735"/>
      <c r="E4428" s="1733">
        <v>120</v>
      </c>
      <c r="F4428" s="1043"/>
      <c r="G4428" s="1550"/>
    </row>
    <row r="4429" spans="1:7">
      <c r="A4429" s="1667">
        <v>42410</v>
      </c>
      <c r="B4429" s="816" t="str">
        <f>TiposLancamentos!B3</f>
        <v>Internet</v>
      </c>
      <c r="C4429" s="1769" t="s">
        <v>5835</v>
      </c>
      <c r="D4429" s="1736"/>
      <c r="E4429" s="1734">
        <v>89.9</v>
      </c>
      <c r="F4429" s="1043"/>
      <c r="G4429" s="1550"/>
    </row>
    <row r="4430" spans="1:7">
      <c r="A4430" s="1750">
        <v>42410</v>
      </c>
      <c r="B4430" s="818" t="str">
        <f>TiposLancamentos!B2</f>
        <v>Telefonia</v>
      </c>
      <c r="C4430" s="1743" t="s">
        <v>7210</v>
      </c>
      <c r="D4430" s="1737"/>
      <c r="E4430" s="1668">
        <v>22.5</v>
      </c>
      <c r="F4430" s="1043">
        <f>SUM(E4428:E4430)</f>
        <v>232.4</v>
      </c>
      <c r="G4430" s="1550"/>
    </row>
    <row r="4431" spans="1:7">
      <c r="A4431" s="1667">
        <v>42411</v>
      </c>
      <c r="B4431" s="816" t="str">
        <f>TiposLancamentos!B44</f>
        <v>Academia</v>
      </c>
      <c r="C4431" s="1769" t="s">
        <v>7256</v>
      </c>
      <c r="D4431" s="1736"/>
      <c r="E4431" s="1734">
        <f>F4432/2</f>
        <v>209.8</v>
      </c>
      <c r="F4431" s="1043"/>
      <c r="G4431" s="1550"/>
    </row>
    <row r="4432" spans="1:7">
      <c r="A4432" s="1750">
        <v>42411</v>
      </c>
      <c r="B4432" s="818" t="str">
        <f>TiposLancamentos!B16</f>
        <v>Cristiane</v>
      </c>
      <c r="C4432" s="1743" t="s">
        <v>7257</v>
      </c>
      <c r="D4432" s="1737"/>
      <c r="E4432" s="1668">
        <v>209.9</v>
      </c>
      <c r="F4432" s="1043">
        <v>419.6</v>
      </c>
      <c r="G4432" s="1550"/>
    </row>
    <row r="4433" spans="1:7">
      <c r="A4433" s="1754">
        <v>42413</v>
      </c>
      <c r="B4433" s="125" t="str">
        <f>TiposLancamentos!B24</f>
        <v>Estacionamentos</v>
      </c>
      <c r="C4433" s="1040" t="s">
        <v>3398</v>
      </c>
      <c r="D4433" s="1736"/>
      <c r="E4433" s="1043">
        <v>13</v>
      </c>
      <c r="F4433" s="1043"/>
      <c r="G4433" s="1550"/>
    </row>
    <row r="4434" spans="1:7">
      <c r="A4434" s="1666">
        <v>42415</v>
      </c>
      <c r="B4434" s="817" t="str">
        <f>TiposLancamentos!B33</f>
        <v>Pedágios</v>
      </c>
      <c r="C4434" s="1742" t="s">
        <v>5392</v>
      </c>
      <c r="D4434" s="1735"/>
      <c r="E4434" s="1733">
        <v>34.17</v>
      </c>
      <c r="F4434" s="1043"/>
      <c r="G4434" s="1550"/>
    </row>
    <row r="4435" spans="1:7">
      <c r="A4435" s="1667">
        <v>42415</v>
      </c>
      <c r="B4435" s="816" t="str">
        <f>TiposLancamentos!B24</f>
        <v>Estacionamentos</v>
      </c>
      <c r="C4435" s="1769" t="s">
        <v>5863</v>
      </c>
      <c r="D4435" s="1736"/>
      <c r="E4435" s="1734">
        <v>14</v>
      </c>
      <c r="F4435" s="1043"/>
      <c r="G4435" s="1550"/>
    </row>
    <row r="4436" spans="1:7">
      <c r="A4436" s="1750">
        <v>42415</v>
      </c>
      <c r="B4436" s="818" t="str">
        <f>TiposLancamentos!B24</f>
        <v>Estacionamentos</v>
      </c>
      <c r="C4436" s="1743" t="s">
        <v>6297</v>
      </c>
      <c r="D4436" s="1737"/>
      <c r="E4436" s="1668">
        <v>35.4</v>
      </c>
      <c r="F4436" s="1043">
        <f>SUM(E4434:E4436)</f>
        <v>83.57</v>
      </c>
      <c r="G4436" s="1550"/>
    </row>
    <row r="4437" spans="1:7">
      <c r="A4437" s="1754">
        <v>42415</v>
      </c>
      <c r="B4437" s="125" t="str">
        <f>TiposLancamentos!B95</f>
        <v>Salarios</v>
      </c>
      <c r="C4437" s="1040" t="s">
        <v>4916</v>
      </c>
      <c r="D4437" s="1736">
        <v>3240</v>
      </c>
      <c r="E4437" s="1043"/>
      <c r="F4437" s="1043"/>
      <c r="G4437" s="1550"/>
    </row>
    <row r="4438" spans="1:7">
      <c r="A4438" s="1754">
        <v>42419</v>
      </c>
      <c r="B4438" s="125" t="str">
        <f>TiposLancamentos!B16</f>
        <v>Cristiane</v>
      </c>
      <c r="C4438" s="1040" t="s">
        <v>4579</v>
      </c>
      <c r="D4438" s="1736"/>
      <c r="E4438" s="1043">
        <v>600</v>
      </c>
      <c r="F4438" s="1043"/>
      <c r="G4438" s="1550"/>
    </row>
    <row r="4439" spans="1:7">
      <c r="A4439" s="1754">
        <v>42419</v>
      </c>
      <c r="B4439" s="125" t="str">
        <f>TiposLancamentos!B98</f>
        <v>Restituições</v>
      </c>
      <c r="C4439" s="1040" t="s">
        <v>7258</v>
      </c>
      <c r="D4439" s="1736">
        <v>170</v>
      </c>
      <c r="E4439" s="1043"/>
      <c r="F4439" s="1043"/>
      <c r="G4439" s="1550"/>
    </row>
    <row r="4440" spans="1:7">
      <c r="A4440" s="1754">
        <v>42422</v>
      </c>
      <c r="B4440" s="125" t="str">
        <f>TiposLancamentos!B19</f>
        <v>Restaurantes</v>
      </c>
      <c r="C4440" s="1040" t="s">
        <v>1963</v>
      </c>
      <c r="D4440" s="1736"/>
      <c r="E4440" s="1043">
        <v>4</v>
      </c>
      <c r="F4440" s="1043"/>
      <c r="G4440" s="1550"/>
    </row>
    <row r="4441" spans="1:7">
      <c r="A4441" s="1754">
        <v>42425</v>
      </c>
      <c r="B4441" s="125" t="str">
        <f>TiposLancamentos!B34</f>
        <v>Seguros</v>
      </c>
      <c r="C4441" s="1040" t="s">
        <v>7247</v>
      </c>
      <c r="D4441" s="1736"/>
      <c r="E4441" s="1043">
        <v>63.9</v>
      </c>
      <c r="F4441" s="1043"/>
      <c r="G4441" s="1550"/>
    </row>
    <row r="4442" spans="1:7">
      <c r="A4442" s="1754">
        <v>42426</v>
      </c>
      <c r="B4442" s="125" t="str">
        <f>TiposLancamentos!B6</f>
        <v>Energia Eletrica</v>
      </c>
      <c r="C4442" s="1040" t="s">
        <v>5191</v>
      </c>
      <c r="D4442" s="1736"/>
      <c r="E4442" s="1043">
        <v>239.38</v>
      </c>
      <c r="F4442" s="1043"/>
      <c r="G4442" s="1550"/>
    </row>
    <row r="4443" spans="1:7">
      <c r="A4443" s="1754">
        <v>42426</v>
      </c>
      <c r="B4443" s="125" t="str">
        <f>TiposLancamentos!B24</f>
        <v>Estacionamentos</v>
      </c>
      <c r="C4443" s="1040" t="s">
        <v>3398</v>
      </c>
      <c r="D4443" s="1736"/>
      <c r="E4443" s="1043">
        <v>7</v>
      </c>
      <c r="F4443" s="1043"/>
      <c r="G4443" s="1550"/>
    </row>
    <row r="4444" spans="1:7">
      <c r="A4444" s="1754">
        <v>42426</v>
      </c>
      <c r="B4444" s="125" t="str">
        <f>TiposLancamentos!B16</f>
        <v>Cristiane</v>
      </c>
      <c r="C4444" s="1040" t="s">
        <v>6241</v>
      </c>
      <c r="D4444" s="1736"/>
      <c r="E4444" s="1043">
        <v>125.84</v>
      </c>
      <c r="F4444" s="1043"/>
      <c r="G4444" s="1550"/>
    </row>
    <row r="4445" spans="1:7">
      <c r="A4445" s="1754">
        <v>42428</v>
      </c>
      <c r="B4445" s="125" t="str">
        <f>TiposLancamentos!B24</f>
        <v>Estacionamentos</v>
      </c>
      <c r="C4445" s="1040" t="s">
        <v>7108</v>
      </c>
      <c r="D4445" s="1736"/>
      <c r="E4445" s="1043">
        <v>18</v>
      </c>
      <c r="F4445" s="1043"/>
      <c r="G4445" s="1550"/>
    </row>
    <row r="4446" spans="1:7">
      <c r="A4446" s="1754">
        <v>42429</v>
      </c>
      <c r="B4446" s="125" t="str">
        <f>TiposLancamentos!B96</f>
        <v>Resg.Poup.</v>
      </c>
      <c r="C4446" s="1040" t="s">
        <v>7259</v>
      </c>
      <c r="D4446" s="1736">
        <v>11000</v>
      </c>
      <c r="E4446" s="1043"/>
      <c r="F4446" s="1043"/>
      <c r="G4446" s="1550"/>
    </row>
    <row r="4447" spans="1:7">
      <c r="A4447" s="1754">
        <v>42429</v>
      </c>
      <c r="B4447" s="125" t="str">
        <f>TiposLancamentos!B95</f>
        <v>Salarios</v>
      </c>
      <c r="C4447" s="1040" t="s">
        <v>7054</v>
      </c>
      <c r="D4447" s="1736">
        <v>4054.96</v>
      </c>
      <c r="E4447" s="1043"/>
      <c r="F4447" s="1043"/>
      <c r="G4447" s="1550"/>
    </row>
    <row r="4448" spans="1:7" ht="14.25" thickBot="1">
      <c r="A4448" s="1757">
        <v>42429</v>
      </c>
      <c r="B4448" s="867" t="str">
        <f>TiposLancamentos!B48</f>
        <v>Baralhos e Oráculos</v>
      </c>
      <c r="C4448" s="1711" t="s">
        <v>7260</v>
      </c>
      <c r="D4448" s="1738"/>
      <c r="E4448" s="1044">
        <v>179</v>
      </c>
      <c r="F4448" s="1043"/>
      <c r="G4448" s="1550"/>
    </row>
    <row r="4449" spans="1:7">
      <c r="A4449" s="1834"/>
      <c r="B4449" s="977"/>
      <c r="C4449" s="1854" t="s">
        <v>7261</v>
      </c>
      <c r="D4449" s="1823"/>
      <c r="E4449" s="1821"/>
      <c r="F4449" s="1821"/>
      <c r="G4449" s="1895"/>
    </row>
    <row r="4450" spans="1:7">
      <c r="A4450" s="1754">
        <v>42430</v>
      </c>
      <c r="B4450" s="125" t="str">
        <f>TiposLancamentos!B15</f>
        <v>Cartões de Crédito</v>
      </c>
      <c r="C4450" s="1040" t="s">
        <v>7262</v>
      </c>
      <c r="D4450" s="1736"/>
      <c r="E4450" s="1043">
        <v>4960.53</v>
      </c>
      <c r="F4450" s="1043"/>
      <c r="G4450" s="1550"/>
    </row>
    <row r="4451" spans="1:7">
      <c r="A4451" s="1754">
        <v>42430</v>
      </c>
      <c r="B4451" s="125" t="str">
        <f>TiposLancamentos!B4</f>
        <v>Taxas Bancarias</v>
      </c>
      <c r="C4451" s="1040" t="s">
        <v>4858</v>
      </c>
      <c r="D4451" s="1736"/>
      <c r="E4451" s="1043">
        <v>74.09</v>
      </c>
      <c r="F4451" s="1043"/>
      <c r="G4451" s="1550"/>
    </row>
    <row r="4452" spans="1:7">
      <c r="A4452" s="1754">
        <v>42432</v>
      </c>
      <c r="B4452" s="125" t="str">
        <f>TiposLancamentos!B53</f>
        <v>Auxilio Idoso</v>
      </c>
      <c r="C4452" s="1040" t="s">
        <v>7255</v>
      </c>
      <c r="D4452" s="1736"/>
      <c r="E4452" s="1043">
        <v>1320</v>
      </c>
      <c r="F4452" s="1043"/>
      <c r="G4452" s="1550"/>
    </row>
    <row r="4453" spans="1:7">
      <c r="A4453" s="1754">
        <v>42436</v>
      </c>
      <c r="B4453" s="125" t="str">
        <f>TiposLancamentos!B9</f>
        <v>Condominio</v>
      </c>
      <c r="C4453" s="1040" t="s">
        <v>7239</v>
      </c>
      <c r="D4453" s="1736"/>
      <c r="E4453" s="1043">
        <v>1219.26</v>
      </c>
      <c r="F4453" s="1043"/>
      <c r="G4453" s="1550"/>
    </row>
    <row r="4454" spans="1:7">
      <c r="A4454" s="1666">
        <v>42439</v>
      </c>
      <c r="B4454" s="817" t="str">
        <f>TiposLancamentos!B8</f>
        <v>Aluguel</v>
      </c>
      <c r="C4454" s="1742" t="s">
        <v>6163</v>
      </c>
      <c r="D4454" s="1735"/>
      <c r="E4454" s="1733">
        <f>F4456-(E4455+E4456)</f>
        <v>1582.3000000000002</v>
      </c>
      <c r="F4454" s="1043"/>
      <c r="G4454" s="1550"/>
    </row>
    <row r="4455" spans="1:7">
      <c r="A4455" s="1667">
        <v>42439</v>
      </c>
      <c r="B4455" s="816" t="str">
        <f>TiposLancamentos!B12</f>
        <v>IPTU</v>
      </c>
      <c r="C4455" s="1769" t="s">
        <v>6485</v>
      </c>
      <c r="D4455" s="1736"/>
      <c r="E4455" s="1734">
        <v>130.66</v>
      </c>
      <c r="F4455" s="1043"/>
      <c r="G4455" s="1550"/>
    </row>
    <row r="4456" spans="1:7">
      <c r="A4456" s="1750">
        <v>42439</v>
      </c>
      <c r="B4456" s="818" t="str">
        <f>TiposLancamentos!B34</f>
        <v>Seguros</v>
      </c>
      <c r="C4456" s="1743" t="s">
        <v>7023</v>
      </c>
      <c r="D4456" s="1737"/>
      <c r="E4456" s="1668">
        <v>245.43</v>
      </c>
      <c r="F4456" s="1043">
        <v>1958.39</v>
      </c>
      <c r="G4456" s="1550"/>
    </row>
    <row r="4457" spans="1:7">
      <c r="A4457" s="1754">
        <v>42439</v>
      </c>
      <c r="B4457" s="125" t="str">
        <f>TiposLancamentos!B21</f>
        <v>Transf. Poupanca</v>
      </c>
      <c r="C4457" s="1040" t="s">
        <v>6983</v>
      </c>
      <c r="D4457" s="1736"/>
      <c r="E4457" s="1043">
        <v>805.16</v>
      </c>
      <c r="F4457" s="1043"/>
      <c r="G4457" s="1550"/>
    </row>
    <row r="4458" spans="1:7">
      <c r="A4458" s="1666">
        <v>42439</v>
      </c>
      <c r="B4458" s="817" t="str">
        <f>TiposLancamentos!B2</f>
        <v>Telefonia</v>
      </c>
      <c r="C4458" s="1742" t="s">
        <v>5834</v>
      </c>
      <c r="D4458" s="1735"/>
      <c r="E4458" s="1733">
        <v>120</v>
      </c>
      <c r="F4458" s="1043"/>
      <c r="G4458" s="1550"/>
    </row>
    <row r="4459" spans="1:7">
      <c r="A4459" s="1667">
        <v>42439</v>
      </c>
      <c r="B4459" s="816" t="str">
        <f>TiposLancamentos!B3</f>
        <v>Internet</v>
      </c>
      <c r="C4459" s="1769" t="s">
        <v>5835</v>
      </c>
      <c r="D4459" s="1736"/>
      <c r="E4459" s="1734">
        <v>89.9</v>
      </c>
      <c r="F4459" s="1043"/>
      <c r="G4459" s="1550"/>
    </row>
    <row r="4460" spans="1:7">
      <c r="A4460" s="1750">
        <v>42439</v>
      </c>
      <c r="B4460" s="818" t="str">
        <f>TiposLancamentos!B35</f>
        <v>Tv à Cabo</v>
      </c>
      <c r="C4460" s="1743" t="s">
        <v>7210</v>
      </c>
      <c r="D4460" s="1737"/>
      <c r="E4460" s="1668">
        <v>9.9</v>
      </c>
      <c r="F4460" s="1043"/>
      <c r="G4460" s="1550"/>
    </row>
    <row r="4461" spans="1:7">
      <c r="A4461" s="1754">
        <v>42444</v>
      </c>
      <c r="B4461" s="125" t="str">
        <f>TiposLancamentos!B95</f>
        <v>Salarios</v>
      </c>
      <c r="C4461" s="1040" t="s">
        <v>4916</v>
      </c>
      <c r="D4461" s="1736">
        <v>3469.39</v>
      </c>
      <c r="E4461" s="1043"/>
      <c r="F4461" s="1043"/>
      <c r="G4461" s="1550"/>
    </row>
    <row r="4462" spans="1:7">
      <c r="A4462" s="1754">
        <v>42444</v>
      </c>
      <c r="B4462" s="125" t="str">
        <f>TiposLancamentos!B16</f>
        <v>Cristiane</v>
      </c>
      <c r="C4462" s="1040" t="s">
        <v>7263</v>
      </c>
      <c r="D4462" s="1736"/>
      <c r="E4462" s="1043">
        <v>150</v>
      </c>
      <c r="F4462" s="1043"/>
      <c r="G4462" s="1550"/>
    </row>
    <row r="4463" spans="1:7">
      <c r="A4463" s="1666">
        <v>42444</v>
      </c>
      <c r="B4463" s="817" t="str">
        <f>TiposLancamentos!B33</f>
        <v>Pedágios</v>
      </c>
      <c r="C4463" s="1742" t="s">
        <v>5392</v>
      </c>
      <c r="D4463" s="1735"/>
      <c r="E4463" s="1733">
        <v>34.17</v>
      </c>
      <c r="F4463" s="1043"/>
      <c r="G4463" s="1550"/>
    </row>
    <row r="4464" spans="1:7">
      <c r="A4464" s="1667">
        <v>42444</v>
      </c>
      <c r="B4464" s="816" t="str">
        <f>TiposLancamentos!B24</f>
        <v>Estacionamentos</v>
      </c>
      <c r="C4464" s="1769" t="s">
        <v>5863</v>
      </c>
      <c r="D4464" s="1736"/>
      <c r="E4464" s="1734">
        <v>14</v>
      </c>
      <c r="F4464" s="1043"/>
      <c r="G4464" s="1550"/>
    </row>
    <row r="4465" spans="1:7">
      <c r="A4465" s="1750">
        <v>42444</v>
      </c>
      <c r="B4465" s="818" t="str">
        <f>TiposLancamentos!B24</f>
        <v>Estacionamentos</v>
      </c>
      <c r="C4465" s="1743" t="s">
        <v>6297</v>
      </c>
      <c r="D4465" s="1737"/>
      <c r="E4465" s="1668">
        <v>9</v>
      </c>
      <c r="F4465" s="1043">
        <f>SUM(E4463:E4465)</f>
        <v>57.17</v>
      </c>
      <c r="G4465" s="1550"/>
    </row>
    <row r="4466" spans="1:7">
      <c r="A4466" s="1754">
        <v>42445</v>
      </c>
      <c r="B4466" s="125" t="str">
        <f>TiposLancamentos!B73</f>
        <v>Cursos</v>
      </c>
      <c r="C4466" s="1040" t="s">
        <v>7264</v>
      </c>
      <c r="D4466" s="1736"/>
      <c r="E4466" s="1043">
        <v>172</v>
      </c>
      <c r="F4466" s="1043"/>
      <c r="G4466" s="1550"/>
    </row>
    <row r="4467" spans="1:7">
      <c r="A4467" s="1754">
        <v>42446</v>
      </c>
      <c r="B4467" s="125" t="str">
        <f>TiposLancamentos!B102</f>
        <v>ESTORNO</v>
      </c>
      <c r="C4467" s="1040" t="s">
        <v>7265</v>
      </c>
      <c r="D4467" s="1736">
        <v>150</v>
      </c>
      <c r="E4467" s="1043"/>
      <c r="F4467" s="1043"/>
      <c r="G4467" s="1550"/>
    </row>
    <row r="4468" spans="1:7">
      <c r="A4468" s="1754">
        <v>42446</v>
      </c>
      <c r="B4468" s="125" t="str">
        <f>TiposLancamentos!B16</f>
        <v>Cristiane</v>
      </c>
      <c r="C4468" s="1040" t="s">
        <v>7266</v>
      </c>
      <c r="D4468" s="1736"/>
      <c r="E4468" s="1043">
        <v>150</v>
      </c>
      <c r="F4468" s="1043"/>
      <c r="G4468" s="1550"/>
    </row>
    <row r="4469" spans="1:7">
      <c r="A4469" s="1754">
        <v>42447</v>
      </c>
      <c r="B4469" s="125" t="str">
        <f>TiposLancamentos!B59</f>
        <v>Documentos</v>
      </c>
      <c r="C4469" s="1040" t="s">
        <v>7267</v>
      </c>
      <c r="D4469" s="1736"/>
      <c r="E4469" s="1043">
        <v>200</v>
      </c>
      <c r="F4469" s="1043"/>
      <c r="G4469" s="1550"/>
    </row>
    <row r="4470" spans="1:7">
      <c r="A4470" s="1754">
        <v>42451</v>
      </c>
      <c r="B4470" s="125" t="str">
        <f>TiposLancamentos!B98</f>
        <v>Restituições</v>
      </c>
      <c r="C4470" s="1040" t="s">
        <v>7268</v>
      </c>
      <c r="D4470" s="1736">
        <v>150</v>
      </c>
      <c r="E4470" s="1043"/>
      <c r="F4470" s="1043"/>
      <c r="G4470" s="1550"/>
    </row>
    <row r="4471" spans="1:7">
      <c r="A4471" s="1754">
        <v>42451</v>
      </c>
      <c r="B4471" s="125" t="str">
        <f>TiposLancamentos!B98</f>
        <v>Restituições</v>
      </c>
      <c r="C4471" s="1040" t="s">
        <v>7072</v>
      </c>
      <c r="D4471" s="1736">
        <v>170</v>
      </c>
      <c r="E4471" s="1043"/>
      <c r="F4471" s="1043"/>
      <c r="G4471" s="1550"/>
    </row>
    <row r="4472" spans="1:7">
      <c r="A4472" s="1754">
        <v>42452</v>
      </c>
      <c r="B4472" s="125" t="str">
        <f>TiposLancamentos!B19</f>
        <v>Restaurantes</v>
      </c>
      <c r="C4472" s="1040" t="s">
        <v>7269</v>
      </c>
      <c r="D4472" s="1736"/>
      <c r="E4472" s="1043">
        <v>3.5</v>
      </c>
      <c r="F4472" s="1043"/>
      <c r="G4472" s="1550"/>
    </row>
    <row r="4473" spans="1:7">
      <c r="A4473" s="1754">
        <v>42453</v>
      </c>
      <c r="B4473" s="125" t="str">
        <f>TiposLancamentos!B16</f>
        <v>Cristiane</v>
      </c>
      <c r="C4473" s="1040" t="s">
        <v>7270</v>
      </c>
      <c r="D4473" s="1736"/>
      <c r="E4473" s="1043">
        <v>78</v>
      </c>
      <c r="F4473" s="1043"/>
      <c r="G4473" s="1550"/>
    </row>
    <row r="4474" spans="1:7">
      <c r="A4474" s="1754">
        <v>42453</v>
      </c>
      <c r="B4474" s="125" t="str">
        <f>TiposLancamentos!B16</f>
        <v>Cristiane</v>
      </c>
      <c r="C4474" s="1040" t="s">
        <v>7271</v>
      </c>
      <c r="D4474" s="1736"/>
      <c r="E4474" s="1043">
        <v>150</v>
      </c>
      <c r="F4474" s="1043"/>
      <c r="G4474" s="1550"/>
    </row>
    <row r="4475" spans="1:7">
      <c r="A4475" s="1754">
        <v>42453</v>
      </c>
      <c r="B4475" s="125" t="str">
        <f>TiposLancamentos!B20</f>
        <v>Saques</v>
      </c>
      <c r="C4475" s="1040" t="s">
        <v>2655</v>
      </c>
      <c r="D4475" s="1736"/>
      <c r="E4475" s="1043">
        <v>50</v>
      </c>
      <c r="F4475" s="1043"/>
      <c r="G4475" s="1550"/>
    </row>
    <row r="4476" spans="1:7">
      <c r="A4476" s="1754">
        <v>42457</v>
      </c>
      <c r="B4476" s="125" t="str">
        <f>TiposLancamentos!B6</f>
        <v>Energia Eletrica</v>
      </c>
      <c r="C4476" s="1040" t="s">
        <v>7272</v>
      </c>
      <c r="D4476" s="1736"/>
      <c r="E4476" s="1043">
        <v>199.26</v>
      </c>
      <c r="F4476" s="1043"/>
      <c r="G4476" s="1550"/>
    </row>
    <row r="4477" spans="1:7">
      <c r="A4477" s="1754">
        <v>42457</v>
      </c>
      <c r="B4477" s="125" t="str">
        <f>TiposLancamentos!B34</f>
        <v>Seguros</v>
      </c>
      <c r="C4477" s="1040" t="s">
        <v>7273</v>
      </c>
      <c r="D4477" s="1736"/>
      <c r="E4477" s="1043">
        <v>63.9</v>
      </c>
      <c r="F4477" s="1043"/>
      <c r="G4477" s="1550"/>
    </row>
    <row r="4478" spans="1:7" ht="14.25" thickBot="1">
      <c r="A4478" s="1757">
        <v>42460</v>
      </c>
      <c r="B4478" s="867" t="str">
        <f>TiposLancamentos!B95</f>
        <v>Salarios</v>
      </c>
      <c r="C4478" s="1711" t="s">
        <v>7054</v>
      </c>
      <c r="D4478" s="1738">
        <v>12625.05</v>
      </c>
      <c r="E4478" s="1044"/>
      <c r="F4478" s="1043"/>
      <c r="G4478" s="1550"/>
    </row>
    <row r="4479" spans="1:7">
      <c r="A4479" s="1834"/>
      <c r="B4479" s="977"/>
      <c r="C4479" s="1854" t="s">
        <v>7274</v>
      </c>
      <c r="D4479" s="1823"/>
      <c r="E4479" s="1821"/>
      <c r="F4479" s="1821"/>
      <c r="G4479" s="1895"/>
    </row>
    <row r="4480" spans="1:7">
      <c r="A4480" s="1754">
        <v>42461</v>
      </c>
      <c r="B4480" s="125" t="str">
        <f>TiposLancamentos!B15</f>
        <v>Cartões de Crédito</v>
      </c>
      <c r="C4480" s="1040" t="s">
        <v>7254</v>
      </c>
      <c r="D4480" s="1736"/>
      <c r="E4480" s="1043">
        <v>4759.82</v>
      </c>
      <c r="F4480" s="1043"/>
      <c r="G4480" s="1550"/>
    </row>
    <row r="4481" spans="1:7">
      <c r="A4481" s="1754">
        <v>42461</v>
      </c>
      <c r="B4481" s="125" t="str">
        <f>TiposLancamentos!B15</f>
        <v>Cartões de Crédito</v>
      </c>
      <c r="C4481" s="1040" t="s">
        <v>6745</v>
      </c>
      <c r="D4481" s="1736"/>
      <c r="E4481" s="1043">
        <v>1625.94</v>
      </c>
      <c r="F4481" s="1043"/>
      <c r="G4481" s="1550"/>
    </row>
    <row r="4482" spans="1:7">
      <c r="A4482" s="1754">
        <v>42461</v>
      </c>
      <c r="B4482" s="125" t="str">
        <f>TiposLancamentos!B53</f>
        <v>Auxilio Idoso</v>
      </c>
      <c r="C4482" s="1040" t="s">
        <v>7255</v>
      </c>
      <c r="D4482" s="1736"/>
      <c r="E4482" s="1043">
        <v>1320</v>
      </c>
      <c r="F4482" s="1043"/>
      <c r="G4482" s="1550"/>
    </row>
    <row r="4483" spans="1:7">
      <c r="A4483" s="1754">
        <v>42461</v>
      </c>
      <c r="B4483" s="125" t="str">
        <f>TiposLancamentos!B4</f>
        <v>Taxas Bancarias</v>
      </c>
      <c r="C4483" s="1040" t="s">
        <v>4858</v>
      </c>
      <c r="D4483" s="1736"/>
      <c r="E4483" s="1043">
        <v>35.729999999999997</v>
      </c>
      <c r="F4483" s="1043"/>
      <c r="G4483" s="1550"/>
    </row>
    <row r="4484" spans="1:7">
      <c r="A4484" s="1754">
        <v>42462</v>
      </c>
      <c r="B4484" s="125" t="str">
        <f>TiposLancamentos!B16</f>
        <v>Cristiane</v>
      </c>
      <c r="C4484" s="1040" t="s">
        <v>7275</v>
      </c>
      <c r="D4484" s="1736"/>
      <c r="E4484" s="1043">
        <v>281.2</v>
      </c>
      <c r="F4484" s="1043"/>
      <c r="G4484" s="1550"/>
    </row>
    <row r="4485" spans="1:7">
      <c r="A4485" s="1754">
        <v>42462</v>
      </c>
      <c r="B4485" s="125" t="str">
        <f>TiposLancamentos!B19</f>
        <v>Restaurantes</v>
      </c>
      <c r="C4485" s="1040" t="s">
        <v>7276</v>
      </c>
      <c r="D4485" s="1736"/>
      <c r="E4485" s="1043">
        <v>20</v>
      </c>
      <c r="F4485" s="1043"/>
      <c r="G4485" s="1550"/>
    </row>
    <row r="4486" spans="1:7">
      <c r="A4486" s="1754">
        <v>42463</v>
      </c>
      <c r="B4486" s="125" t="str">
        <f>TiposLancamentos!B19</f>
        <v>Restaurantes</v>
      </c>
      <c r="C4486" s="1040" t="s">
        <v>7277</v>
      </c>
      <c r="D4486" s="1736"/>
      <c r="E4486" s="1043">
        <v>26.5</v>
      </c>
      <c r="F4486" s="1043"/>
      <c r="G4486" s="1550"/>
    </row>
    <row r="4487" spans="1:7">
      <c r="A4487" s="1754">
        <v>42463</v>
      </c>
      <c r="B4487" s="125" t="str">
        <f>TiposLancamentos!B5</f>
        <v>Supermercado</v>
      </c>
      <c r="C4487" s="1040" t="s">
        <v>7278</v>
      </c>
      <c r="D4487" s="1736"/>
      <c r="E4487" s="1043">
        <v>38.479999999999997</v>
      </c>
      <c r="F4487" s="1043"/>
      <c r="G4487" s="1550"/>
    </row>
    <row r="4488" spans="1:7">
      <c r="A4488" s="1666">
        <v>42464</v>
      </c>
      <c r="B4488" s="817" t="str">
        <f>TiposLancamentos!B16</f>
        <v>Cristiane</v>
      </c>
      <c r="C4488" s="1742" t="s">
        <v>7279</v>
      </c>
      <c r="D4488" s="1735"/>
      <c r="E4488" s="1733">
        <v>105</v>
      </c>
      <c r="F4488" s="1043"/>
      <c r="G4488" s="1550"/>
    </row>
    <row r="4489" spans="1:7">
      <c r="A4489" s="1750">
        <v>42464</v>
      </c>
      <c r="B4489" s="818" t="str">
        <f>TiposLancamentos!B48</f>
        <v>Baralhos e Oráculos</v>
      </c>
      <c r="C4489" s="1743" t="s">
        <v>7280</v>
      </c>
      <c r="D4489" s="1737"/>
      <c r="E4489" s="1668">
        <v>155</v>
      </c>
      <c r="F4489" s="1043"/>
      <c r="G4489" s="1550"/>
    </row>
    <row r="4490" spans="1:7">
      <c r="A4490" s="1754">
        <v>42465</v>
      </c>
      <c r="B4490" s="125" t="str">
        <f>TiposLancamentos!B5</f>
        <v>Supermercado</v>
      </c>
      <c r="C4490" s="1040" t="s">
        <v>7281</v>
      </c>
      <c r="D4490" s="1736"/>
      <c r="E4490" s="1043">
        <v>6.99</v>
      </c>
      <c r="F4490" s="1043"/>
      <c r="G4490" s="1550"/>
    </row>
    <row r="4491" spans="1:7">
      <c r="A4491" s="1754">
        <v>42466</v>
      </c>
      <c r="B4491" s="125" t="str">
        <f>TiposLancamentos!B9</f>
        <v>Condominio</v>
      </c>
      <c r="C4491" s="1040" t="s">
        <v>1684</v>
      </c>
      <c r="D4491" s="1736"/>
      <c r="E4491" s="1043">
        <v>1188.1400000000001</v>
      </c>
      <c r="F4491" s="1043"/>
      <c r="G4491" s="1550"/>
    </row>
    <row r="4492" spans="1:7">
      <c r="A4492" s="1754">
        <v>42467</v>
      </c>
      <c r="B4492" s="125" t="str">
        <f>TiposLancamentos!B2</f>
        <v>Telefonia</v>
      </c>
      <c r="C4492" s="1040" t="s">
        <v>6924</v>
      </c>
      <c r="D4492" s="1736"/>
      <c r="E4492" s="1043">
        <v>167.09</v>
      </c>
      <c r="F4492" s="1043"/>
      <c r="G4492" s="1550"/>
    </row>
    <row r="4493" spans="1:7">
      <c r="A4493" s="1754">
        <v>42467</v>
      </c>
      <c r="B4493" s="125" t="str">
        <f>TiposLancamentos!B16</f>
        <v>Cristiane</v>
      </c>
      <c r="C4493" s="1040" t="s">
        <v>7119</v>
      </c>
      <c r="D4493" s="1736"/>
      <c r="E4493" s="1043">
        <v>179.35</v>
      </c>
      <c r="F4493" s="1043"/>
      <c r="G4493" s="1550"/>
    </row>
    <row r="4494" spans="1:7">
      <c r="A4494" s="1754">
        <v>42468</v>
      </c>
      <c r="B4494" s="125" t="str">
        <f>TiposLancamentos!B24</f>
        <v>Estacionamentos</v>
      </c>
      <c r="C4494" s="1040" t="s">
        <v>3398</v>
      </c>
      <c r="D4494" s="1736"/>
      <c r="E4494" s="1043">
        <v>7</v>
      </c>
      <c r="F4494" s="1043"/>
      <c r="G4494" s="1550"/>
    </row>
    <row r="4495" spans="1:7">
      <c r="A4495" s="1666">
        <v>42470</v>
      </c>
      <c r="B4495" s="817" t="str">
        <f>TiposLancamentos!B8</f>
        <v>Aluguel</v>
      </c>
      <c r="C4495" s="1742" t="s">
        <v>6163</v>
      </c>
      <c r="D4495" s="1735"/>
      <c r="E4495" s="1733">
        <f>F4497-(E4496+E4497)</f>
        <v>1582.3000000000002</v>
      </c>
      <c r="F4495" s="1043"/>
      <c r="G4495" s="1550"/>
    </row>
    <row r="4496" spans="1:7">
      <c r="A4496" s="1667">
        <v>42470</v>
      </c>
      <c r="B4496" s="816" t="str">
        <f>TiposLancamentos!B12</f>
        <v>IPTU</v>
      </c>
      <c r="C4496" s="1769" t="s">
        <v>6537</v>
      </c>
      <c r="D4496" s="1736"/>
      <c r="E4496" s="1734">
        <v>130.66</v>
      </c>
      <c r="F4496" s="1043"/>
      <c r="G4496" s="1550"/>
    </row>
    <row r="4497" spans="1:7">
      <c r="A4497" s="1750">
        <v>42470</v>
      </c>
      <c r="B4497" s="818" t="str">
        <f>TiposLancamentos!B34</f>
        <v>Seguros</v>
      </c>
      <c r="C4497" s="1743" t="s">
        <v>7039</v>
      </c>
      <c r="D4497" s="1737"/>
      <c r="E4497" s="1668">
        <v>245.43</v>
      </c>
      <c r="F4497" s="1043">
        <v>1958.39</v>
      </c>
      <c r="G4497" s="1550"/>
    </row>
    <row r="4498" spans="1:7">
      <c r="A4498" s="1754">
        <v>42470</v>
      </c>
      <c r="B4498" s="125" t="str">
        <f>TiposLancamentos!B4</f>
        <v>Taxas Bancarias</v>
      </c>
      <c r="C4498" s="1040" t="s">
        <v>6983</v>
      </c>
      <c r="D4498" s="1736"/>
      <c r="E4498" s="1043">
        <v>337.55</v>
      </c>
      <c r="F4498" s="1043"/>
      <c r="G4498" s="1550"/>
    </row>
    <row r="4499" spans="1:7">
      <c r="A4499" s="1666">
        <v>42470</v>
      </c>
      <c r="B4499" s="817" t="str">
        <f>TiposLancamentos!B35</f>
        <v>Tv à Cabo</v>
      </c>
      <c r="C4499" s="1742" t="s">
        <v>5834</v>
      </c>
      <c r="D4499" s="1735"/>
      <c r="E4499" s="1733">
        <v>120</v>
      </c>
      <c r="F4499" s="1043"/>
      <c r="G4499" s="1550"/>
    </row>
    <row r="4500" spans="1:7">
      <c r="A4500" s="1667">
        <v>42470</v>
      </c>
      <c r="B4500" s="816" t="str">
        <f>TiposLancamentos!B3</f>
        <v>Internet</v>
      </c>
      <c r="C4500" s="1769" t="s">
        <v>5835</v>
      </c>
      <c r="D4500" s="1736"/>
      <c r="E4500" s="1734">
        <v>89.9</v>
      </c>
      <c r="F4500" s="1043"/>
      <c r="G4500" s="1550"/>
    </row>
    <row r="4501" spans="1:7">
      <c r="A4501" s="1750">
        <v>42470</v>
      </c>
      <c r="B4501" s="818" t="str">
        <f>TiposLancamentos!B2</f>
        <v>Telefonia</v>
      </c>
      <c r="C4501" s="1743" t="s">
        <v>7210</v>
      </c>
      <c r="D4501" s="1737"/>
      <c r="E4501" s="1668">
        <v>1.36</v>
      </c>
      <c r="F4501" s="1043">
        <f>SUM(E4499:E4501)</f>
        <v>211.26000000000002</v>
      </c>
      <c r="G4501" s="1550"/>
    </row>
    <row r="4502" spans="1:7">
      <c r="A4502" s="1754"/>
      <c r="B4502" s="125"/>
      <c r="C4502" s="1040"/>
      <c r="D4502" s="1736"/>
      <c r="E4502" s="1043"/>
      <c r="F4502" s="1848"/>
      <c r="G4502" s="1896"/>
    </row>
    <row r="4503" spans="1:7">
      <c r="A4503" s="1666">
        <v>42475</v>
      </c>
      <c r="B4503" s="817" t="str">
        <f>TiposLancamentos!B33</f>
        <v>Pedágios</v>
      </c>
      <c r="C4503" s="1742" t="s">
        <v>5392</v>
      </c>
      <c r="D4503" s="1735"/>
      <c r="E4503" s="1733">
        <f>F4505-(E4504+E4505)</f>
        <v>136.97</v>
      </c>
      <c r="F4503" s="1043"/>
      <c r="G4503" s="1550"/>
    </row>
    <row r="4504" spans="1:7">
      <c r="A4504" s="1667">
        <v>42475</v>
      </c>
      <c r="B4504" s="816" t="str">
        <f>TiposLancamentos!B24</f>
        <v>Estacionamentos</v>
      </c>
      <c r="C4504" s="1769" t="s">
        <v>5863</v>
      </c>
      <c r="D4504" s="1736"/>
      <c r="E4504" s="1734">
        <v>15</v>
      </c>
      <c r="F4504" s="1043"/>
      <c r="G4504" s="1550"/>
    </row>
    <row r="4505" spans="1:7">
      <c r="A4505" s="1750">
        <v>42475</v>
      </c>
      <c r="B4505" s="818" t="str">
        <f>TiposLancamentos!B24</f>
        <v>Estacionamentos</v>
      </c>
      <c r="C4505" s="1743" t="s">
        <v>6297</v>
      </c>
      <c r="D4505" s="1737"/>
      <c r="E4505" s="1668">
        <v>19</v>
      </c>
      <c r="F4505" s="1043">
        <v>170.97</v>
      </c>
      <c r="G4505" s="1550"/>
    </row>
    <row r="4506" spans="1:7">
      <c r="A4506" s="1754">
        <v>42476</v>
      </c>
      <c r="B4506" s="125" t="str">
        <f>TiposLancamentos!B19</f>
        <v>Restaurantes</v>
      </c>
      <c r="C4506" s="1040" t="s">
        <v>7282</v>
      </c>
      <c r="D4506" s="1736"/>
      <c r="E4506" s="1043">
        <v>83.05</v>
      </c>
      <c r="F4506" s="1043"/>
      <c r="G4506" s="1550"/>
    </row>
    <row r="4507" spans="1:7">
      <c r="A4507" s="1754">
        <v>42479</v>
      </c>
      <c r="B4507" s="125" t="str">
        <f>TiposLancamentos!B105</f>
        <v>Transf. Bco</v>
      </c>
      <c r="C4507" s="1040" t="s">
        <v>5816</v>
      </c>
      <c r="D4507" s="1736">
        <v>3419.39</v>
      </c>
      <c r="E4507" s="1043"/>
      <c r="F4507" s="1043"/>
      <c r="G4507" s="1550"/>
    </row>
    <row r="4508" spans="1:7">
      <c r="A4508" s="1754">
        <v>42479</v>
      </c>
      <c r="B4508" s="125" t="str">
        <f>TiposLancamentos!B87</f>
        <v>P207-1.6-XS</v>
      </c>
      <c r="C4508" s="1040" t="s">
        <v>7283</v>
      </c>
      <c r="D4508" s="1736"/>
      <c r="E4508" s="1043">
        <v>1200</v>
      </c>
      <c r="F4508" s="1043"/>
      <c r="G4508" s="1550"/>
    </row>
    <row r="4509" spans="1:7">
      <c r="A4509" s="1754">
        <v>42482</v>
      </c>
      <c r="B4509" s="125" t="str">
        <f>TiposLancamentos!B98</f>
        <v>Restituições</v>
      </c>
      <c r="C4509" s="1040" t="s">
        <v>7284</v>
      </c>
      <c r="D4509" s="1736">
        <v>284.95</v>
      </c>
      <c r="E4509" s="1043"/>
      <c r="F4509" s="1043"/>
      <c r="G4509" s="1550"/>
    </row>
    <row r="4510" spans="1:7">
      <c r="A4510" s="1754">
        <v>42483</v>
      </c>
      <c r="B4510" s="125" t="str">
        <f>TiposLancamentos!B20</f>
        <v>Saques</v>
      </c>
      <c r="C4510" s="1040" t="s">
        <v>3604</v>
      </c>
      <c r="D4510" s="1736"/>
      <c r="E4510" s="1043">
        <v>150</v>
      </c>
      <c r="F4510" s="1043"/>
      <c r="G4510" s="1550"/>
    </row>
    <row r="4511" spans="1:7">
      <c r="A4511" s="1754">
        <v>42483</v>
      </c>
      <c r="B4511" s="125" t="str">
        <f>TiposLancamentos!B19</f>
        <v>Restaurantes</v>
      </c>
      <c r="C4511" s="1040" t="s">
        <v>7285</v>
      </c>
      <c r="D4511" s="1736"/>
      <c r="E4511" s="1043">
        <v>20.39</v>
      </c>
      <c r="F4511" s="1043"/>
      <c r="G4511" s="1550"/>
    </row>
    <row r="4512" spans="1:7">
      <c r="A4512" s="1754">
        <v>42485</v>
      </c>
      <c r="B4512" s="125" t="str">
        <f>TiposLancamentos!B34</f>
        <v>Seguros</v>
      </c>
      <c r="C4512" s="1040" t="s">
        <v>7286</v>
      </c>
      <c r="D4512" s="1736"/>
      <c r="E4512" s="1043">
        <v>63.9</v>
      </c>
      <c r="F4512" s="1043"/>
      <c r="G4512" s="1550"/>
    </row>
    <row r="4513" spans="1:7">
      <c r="A4513" s="1754">
        <v>42487</v>
      </c>
      <c r="B4513" s="125" t="str">
        <f>TiposLancamentos!B19</f>
        <v>Restaurantes</v>
      </c>
      <c r="C4513" s="1040" t="s">
        <v>7287</v>
      </c>
      <c r="D4513" s="1736"/>
      <c r="E4513" s="1043">
        <v>4.5999999999999996</v>
      </c>
      <c r="F4513" s="1043"/>
      <c r="G4513" s="1550"/>
    </row>
    <row r="4514" spans="1:7">
      <c r="A4514" s="1754">
        <v>42488</v>
      </c>
      <c r="B4514" s="125" t="str">
        <f>TiposLancamentos!B24</f>
        <v>Estacionamentos</v>
      </c>
      <c r="C4514" s="1040" t="s">
        <v>7288</v>
      </c>
      <c r="D4514" s="1736"/>
      <c r="E4514" s="1043">
        <v>24</v>
      </c>
      <c r="F4514" s="1043"/>
      <c r="G4514" s="1550"/>
    </row>
    <row r="4515" spans="1:7">
      <c r="A4515" s="1754">
        <v>42488</v>
      </c>
      <c r="B4515" s="125" t="str">
        <f>TiposLancamentos!B6</f>
        <v>Energia Eletrica</v>
      </c>
      <c r="C4515" s="1040" t="s">
        <v>7289</v>
      </c>
      <c r="D4515" s="1736"/>
      <c r="E4515" s="1043">
        <v>221.64</v>
      </c>
      <c r="F4515" s="1043"/>
      <c r="G4515" s="1550"/>
    </row>
    <row r="4516" spans="1:7" ht="12.75" customHeight="1" thickBot="1">
      <c r="A4516" s="1754">
        <v>42488</v>
      </c>
      <c r="B4516" s="125" t="str">
        <f>TiposLancamentos!B26</f>
        <v>LIVROS</v>
      </c>
      <c r="C4516" s="1040" t="s">
        <v>7290</v>
      </c>
      <c r="D4516" s="1736"/>
      <c r="E4516" s="1043">
        <v>53</v>
      </c>
      <c r="F4516" s="1043"/>
      <c r="G4516" s="1550"/>
    </row>
    <row r="4517" spans="1:7" ht="12.75" customHeight="1">
      <c r="A4517" s="1834"/>
      <c r="B4517" s="977"/>
      <c r="C4517" s="1854" t="s">
        <v>7291</v>
      </c>
      <c r="D4517" s="1823"/>
      <c r="E4517" s="1821"/>
      <c r="F4517" s="1821"/>
      <c r="G4517" s="1895"/>
    </row>
    <row r="4518" spans="1:7" ht="12.75" customHeight="1">
      <c r="A4518" s="1754">
        <v>42492</v>
      </c>
      <c r="B4518" s="125" t="str">
        <f>TiposLancamentos!B4</f>
        <v>Taxas Bancarias</v>
      </c>
      <c r="C4518" s="1040" t="s">
        <v>4858</v>
      </c>
      <c r="D4518" s="1736"/>
      <c r="E4518" s="1043">
        <v>24.56</v>
      </c>
      <c r="F4518" s="1043"/>
      <c r="G4518" s="1550"/>
    </row>
    <row r="4519" spans="1:7" ht="12.75" customHeight="1">
      <c r="A4519" s="1754">
        <v>42495</v>
      </c>
      <c r="B4519" s="125" t="str">
        <f>TiposLancamentos!B20</f>
        <v>Saques</v>
      </c>
      <c r="C4519" s="1040" t="s">
        <v>4325</v>
      </c>
      <c r="D4519" s="1736"/>
      <c r="E4519" s="1043">
        <v>20</v>
      </c>
      <c r="F4519" s="1043"/>
      <c r="G4519" s="1550"/>
    </row>
    <row r="4520" spans="1:7" ht="12.75" customHeight="1">
      <c r="A4520" s="1754">
        <v>42495</v>
      </c>
      <c r="B4520" s="125" t="str">
        <f>TiposLancamentos!B32</f>
        <v>Clinicas e tratamentos</v>
      </c>
      <c r="C4520" s="1040" t="s">
        <v>7292</v>
      </c>
      <c r="D4520" s="1736"/>
      <c r="E4520" s="1043">
        <v>150</v>
      </c>
      <c r="F4520" s="1043"/>
      <c r="G4520" s="1550"/>
    </row>
    <row r="4521" spans="1:7" ht="12.75" customHeight="1">
      <c r="A4521" s="1754">
        <v>42496</v>
      </c>
      <c r="B4521" s="125" t="str">
        <f>TiposLancamentos!B9</f>
        <v>Condominio</v>
      </c>
      <c r="C4521" s="1040" t="s">
        <v>7293</v>
      </c>
      <c r="D4521" s="1736"/>
      <c r="E4521" s="1043">
        <v>1205.57</v>
      </c>
      <c r="F4521" s="1043"/>
      <c r="G4521" s="1550"/>
    </row>
    <row r="4522" spans="1:7" ht="12.75" customHeight="1">
      <c r="A4522" s="1666">
        <v>42500</v>
      </c>
      <c r="B4522" s="817" t="str">
        <f>TiposLancamentos!B8</f>
        <v>Aluguel</v>
      </c>
      <c r="C4522" s="1742" t="s">
        <v>6163</v>
      </c>
      <c r="D4522" s="1735"/>
      <c r="E4522" s="1733">
        <f>F4524-(E4523+E4524)</f>
        <v>1582.3000000000002</v>
      </c>
      <c r="F4522" s="1043"/>
      <c r="G4522" s="1550"/>
    </row>
    <row r="4523" spans="1:7" ht="12.75" customHeight="1">
      <c r="A4523" s="1667">
        <v>42500</v>
      </c>
      <c r="B4523" s="816" t="str">
        <f>TiposLancamentos!B12</f>
        <v>IPTU</v>
      </c>
      <c r="C4523" s="1769" t="s">
        <v>6575</v>
      </c>
      <c r="D4523" s="1736"/>
      <c r="E4523" s="1734">
        <v>130.66</v>
      </c>
      <c r="F4523" s="1043"/>
      <c r="G4523" s="1550"/>
    </row>
    <row r="4524" spans="1:7" ht="12.75" customHeight="1">
      <c r="A4524" s="1750">
        <v>42500</v>
      </c>
      <c r="B4524" s="818" t="str">
        <f>TiposLancamentos!B34</f>
        <v>Seguros</v>
      </c>
      <c r="C4524" s="1743" t="s">
        <v>7061</v>
      </c>
      <c r="D4524" s="1737"/>
      <c r="E4524" s="1668">
        <v>245.43</v>
      </c>
      <c r="F4524" s="1043">
        <v>1958.39</v>
      </c>
      <c r="G4524" s="1550"/>
    </row>
    <row r="4525" spans="1:7" ht="12.75" customHeight="1">
      <c r="A4525" s="1754">
        <v>42500</v>
      </c>
      <c r="B4525" s="125" t="str">
        <f>TiposLancamentos!B4</f>
        <v>Taxas Bancarias</v>
      </c>
      <c r="C4525" s="1040" t="s">
        <v>6983</v>
      </c>
      <c r="D4525" s="1736"/>
      <c r="E4525" s="1043">
        <v>282.2</v>
      </c>
      <c r="F4525" s="1043"/>
      <c r="G4525" s="1550"/>
    </row>
    <row r="4526" spans="1:7" ht="12.75" customHeight="1">
      <c r="A4526" s="1754">
        <v>42500</v>
      </c>
      <c r="B4526" s="125" t="str">
        <f>TiposLancamentos!B2</f>
        <v>Telefonia</v>
      </c>
      <c r="C4526" s="1040" t="s">
        <v>7192</v>
      </c>
      <c r="D4526" s="1736"/>
      <c r="E4526" s="1043">
        <v>151.97</v>
      </c>
      <c r="F4526" s="1043"/>
      <c r="G4526" s="1550"/>
    </row>
    <row r="4527" spans="1:7" ht="12.75" customHeight="1">
      <c r="A4527" s="1666">
        <v>42500</v>
      </c>
      <c r="B4527" s="817" t="str">
        <f>TiposLancamentos!B35</f>
        <v>Tv à Cabo</v>
      </c>
      <c r="C4527" s="1742" t="s">
        <v>5834</v>
      </c>
      <c r="D4527" s="1735"/>
      <c r="E4527" s="1733">
        <v>120</v>
      </c>
      <c r="F4527" s="1043"/>
      <c r="G4527" s="1550"/>
    </row>
    <row r="4528" spans="1:7" ht="12.75" customHeight="1">
      <c r="A4528" s="1667">
        <v>42500</v>
      </c>
      <c r="B4528" s="816" t="str">
        <f>TiposLancamentos!B3</f>
        <v>Internet</v>
      </c>
      <c r="C4528" s="1769" t="s">
        <v>5835</v>
      </c>
      <c r="D4528" s="1736"/>
      <c r="E4528" s="1734">
        <v>89.9</v>
      </c>
      <c r="F4528" s="1043"/>
      <c r="G4528" s="1550"/>
    </row>
    <row r="4529" spans="1:7" ht="12.75" customHeight="1">
      <c r="A4529" s="1750">
        <v>42500</v>
      </c>
      <c r="B4529" s="818" t="str">
        <f>TiposLancamentos!B2</f>
        <v>Telefonia</v>
      </c>
      <c r="C4529" s="1743" t="s">
        <v>7210</v>
      </c>
      <c r="D4529" s="1737"/>
      <c r="E4529" s="1668">
        <v>0</v>
      </c>
      <c r="F4529" s="1043"/>
      <c r="G4529" s="1550"/>
    </row>
    <row r="4530" spans="1:7" ht="12.75" customHeight="1">
      <c r="A4530" s="1754">
        <v>42501</v>
      </c>
      <c r="B4530" s="125" t="str">
        <f>TiposLancamentos!B24</f>
        <v>Estacionamentos</v>
      </c>
      <c r="C4530" s="1040" t="s">
        <v>7294</v>
      </c>
      <c r="D4530" s="1736"/>
      <c r="E4530" s="1043">
        <v>20</v>
      </c>
      <c r="F4530" s="1043"/>
      <c r="G4530" s="1550"/>
    </row>
    <row r="4531" spans="1:7" ht="12.75" customHeight="1">
      <c r="A4531" s="1754">
        <v>42504</v>
      </c>
      <c r="B4531" s="125" t="str">
        <f>TiposLancamentos!B19</f>
        <v>Restaurantes</v>
      </c>
      <c r="C4531" s="1040" t="s">
        <v>7295</v>
      </c>
      <c r="D4531" s="1736"/>
      <c r="E4531" s="1043">
        <v>73.150000000000006</v>
      </c>
      <c r="F4531" s="1043"/>
      <c r="G4531" s="1550"/>
    </row>
    <row r="4532" spans="1:7" ht="12.75" customHeight="1">
      <c r="A4532" s="1666">
        <v>42475</v>
      </c>
      <c r="B4532" s="817" t="str">
        <f>TiposLancamentos!B33</f>
        <v>Pedágios</v>
      </c>
      <c r="C4532" s="1742" t="s">
        <v>5392</v>
      </c>
      <c r="D4532" s="1735"/>
      <c r="E4532" s="1733">
        <f>F4534-(E4533+E4534)</f>
        <v>34.17</v>
      </c>
      <c r="F4532" s="1043"/>
      <c r="G4532" s="1550"/>
    </row>
    <row r="4533" spans="1:7" ht="12.75" customHeight="1">
      <c r="A4533" s="1667">
        <v>42475</v>
      </c>
      <c r="B4533" s="816" t="str">
        <f>TiposLancamentos!B24</f>
        <v>Estacionamentos</v>
      </c>
      <c r="C4533" s="1769" t="s">
        <v>5863</v>
      </c>
      <c r="D4533" s="1736"/>
      <c r="E4533" s="1734">
        <v>20</v>
      </c>
      <c r="F4533" s="1043"/>
      <c r="G4533" s="1550"/>
    </row>
    <row r="4534" spans="1:7" ht="12.75" customHeight="1">
      <c r="A4534" s="1750">
        <v>42475</v>
      </c>
      <c r="B4534" s="818" t="str">
        <f>TiposLancamentos!B24</f>
        <v>Estacionamentos</v>
      </c>
      <c r="C4534" s="1743" t="s">
        <v>6297</v>
      </c>
      <c r="D4534" s="1737"/>
      <c r="E4534" s="1668">
        <v>13</v>
      </c>
      <c r="F4534" s="1043">
        <v>67.17</v>
      </c>
      <c r="G4534" s="1550"/>
    </row>
    <row r="4535" spans="1:7" ht="12.75" customHeight="1">
      <c r="A4535" s="1754">
        <v>42506</v>
      </c>
      <c r="B4535" s="125" t="str">
        <f>TiposLancamentos!B32</f>
        <v>Clinicas e tratamentos</v>
      </c>
      <c r="C4535" s="1040" t="s">
        <v>7296</v>
      </c>
      <c r="D4535" s="1736"/>
      <c r="E4535" s="1043">
        <v>150</v>
      </c>
      <c r="F4535" s="1043"/>
      <c r="G4535" s="1550"/>
    </row>
    <row r="4536" spans="1:7" ht="12.75" customHeight="1">
      <c r="A4536" s="1754">
        <v>42510</v>
      </c>
      <c r="B4536" s="125" t="str">
        <f>TiposLancamentos!B105</f>
        <v>Transf. Bco</v>
      </c>
      <c r="C4536" s="1040" t="s">
        <v>7297</v>
      </c>
      <c r="D4536" s="1736">
        <v>3399</v>
      </c>
      <c r="E4536" s="1043"/>
      <c r="F4536" s="1043"/>
      <c r="G4536" s="1550"/>
    </row>
    <row r="4537" spans="1:7" ht="12.75" customHeight="1">
      <c r="A4537" s="1754">
        <v>42515</v>
      </c>
      <c r="B4537" s="125" t="str">
        <f>TiposLancamentos!B20</f>
        <v>Saques</v>
      </c>
      <c r="C4537" s="1040" t="s">
        <v>3604</v>
      </c>
      <c r="D4537" s="1736"/>
      <c r="E4537" s="1043">
        <v>40</v>
      </c>
      <c r="F4537" s="1043"/>
      <c r="G4537" s="1550"/>
    </row>
    <row r="4538" spans="1:7" ht="12.75" customHeight="1">
      <c r="A4538" s="1754">
        <v>42515</v>
      </c>
      <c r="B4538" s="125" t="str">
        <f>TiposLancamentos!B24</f>
        <v>Estacionamentos</v>
      </c>
      <c r="C4538" s="1040" t="s">
        <v>3398</v>
      </c>
      <c r="D4538" s="1736"/>
      <c r="E4538" s="1043">
        <v>5</v>
      </c>
      <c r="F4538" s="1043"/>
      <c r="G4538" s="1550"/>
    </row>
    <row r="4539" spans="1:7" ht="12.75" customHeight="1">
      <c r="A4539" s="1754">
        <v>42515</v>
      </c>
      <c r="B4539" s="125" t="str">
        <f>TiposLancamentos!B18</f>
        <v>Alimentacao</v>
      </c>
      <c r="C4539" s="1040" t="s">
        <v>3437</v>
      </c>
      <c r="D4539" s="1736"/>
      <c r="E4539" s="1043">
        <v>4</v>
      </c>
      <c r="F4539" s="1043"/>
      <c r="G4539" s="1550"/>
    </row>
    <row r="4540" spans="1:7" ht="12.75" customHeight="1">
      <c r="A4540" s="1754">
        <v>42517</v>
      </c>
      <c r="B4540" s="125" t="str">
        <f>TiposLancamentos!B34</f>
        <v>Seguros</v>
      </c>
      <c r="C4540" s="1040" t="s">
        <v>7103</v>
      </c>
      <c r="D4540" s="1736"/>
      <c r="E4540" s="1043">
        <v>65.22</v>
      </c>
      <c r="F4540" s="1043"/>
      <c r="G4540" s="1550"/>
    </row>
    <row r="4541" spans="1:7" ht="12.75" customHeight="1">
      <c r="A4541" s="1754">
        <v>42518</v>
      </c>
      <c r="B4541" s="125" t="str">
        <f>TiposLancamentos!B19</f>
        <v>Restaurantes</v>
      </c>
      <c r="C4541" s="1040" t="s">
        <v>6455</v>
      </c>
      <c r="D4541" s="1736"/>
      <c r="E4541" s="1043">
        <v>20</v>
      </c>
      <c r="F4541" s="1043"/>
      <c r="G4541" s="1550"/>
    </row>
    <row r="4542" spans="1:7" ht="12.75" customHeight="1">
      <c r="A4542" s="1754">
        <v>42520</v>
      </c>
      <c r="B4542" s="125" t="str">
        <f>TiposLancamentos!B24</f>
        <v>Estacionamentos</v>
      </c>
      <c r="C4542" s="1040" t="s">
        <v>7298</v>
      </c>
      <c r="D4542" s="1736"/>
      <c r="E4542" s="1043">
        <v>6</v>
      </c>
      <c r="F4542" s="1043"/>
      <c r="G4542" s="1550"/>
    </row>
    <row r="4543" spans="1:7" ht="12.75" customHeight="1">
      <c r="A4543" s="1754">
        <v>42520</v>
      </c>
      <c r="B4543" s="125" t="str">
        <f>TiposLancamentos!B32</f>
        <v>Clinicas e tratamentos</v>
      </c>
      <c r="C4543" s="1040" t="s">
        <v>7299</v>
      </c>
      <c r="D4543" s="1736"/>
      <c r="E4543" s="1043">
        <v>150</v>
      </c>
      <c r="F4543" s="1043"/>
      <c r="G4543" s="1550"/>
    </row>
    <row r="4544" spans="1:7" ht="12.75" customHeight="1" thickBot="1">
      <c r="A4544" s="1754">
        <v>42520</v>
      </c>
      <c r="B4544" s="125" t="str">
        <f>TiposLancamentos!B6</f>
        <v>Energia Eletrica</v>
      </c>
      <c r="C4544" s="1040" t="s">
        <v>5191</v>
      </c>
      <c r="D4544" s="1736"/>
      <c r="E4544" s="1043">
        <v>227.55</v>
      </c>
      <c r="F4544" s="1043"/>
      <c r="G4544" s="1550"/>
    </row>
    <row r="4545" spans="1:7" ht="12.75" customHeight="1">
      <c r="A4545" s="1834"/>
      <c r="B4545" s="977"/>
      <c r="C4545" s="1854" t="s">
        <v>7300</v>
      </c>
      <c r="D4545" s="1823"/>
      <c r="E4545" s="1821"/>
      <c r="F4545" s="1821"/>
      <c r="G4545" s="1895"/>
    </row>
    <row r="4546" spans="1:7" ht="12.75" customHeight="1">
      <c r="A4546" s="1754">
        <v>42522</v>
      </c>
      <c r="B4546" s="125" t="str">
        <f>TiposLancamentos!B69</f>
        <v>Consertos</v>
      </c>
      <c r="C4546" s="1040" t="s">
        <v>7301</v>
      </c>
      <c r="D4546" s="1736"/>
      <c r="E4546" s="1043">
        <v>79.010000000000005</v>
      </c>
      <c r="F4546" s="1043"/>
      <c r="G4546" s="1550"/>
    </row>
    <row r="4547" spans="1:7" ht="12.75" customHeight="1">
      <c r="A4547" s="1754">
        <v>42522</v>
      </c>
      <c r="B4547" s="125" t="str">
        <f>TiposLancamentos!B4</f>
        <v>Taxas Bancarias</v>
      </c>
      <c r="C4547" s="1040" t="s">
        <v>4858</v>
      </c>
      <c r="D4547" s="1736"/>
      <c r="E4547" s="1043">
        <v>27.51</v>
      </c>
      <c r="F4547" s="1043"/>
      <c r="G4547" s="1550"/>
    </row>
    <row r="4548" spans="1:7" ht="12.75" customHeight="1">
      <c r="A4548" s="1754">
        <v>42526</v>
      </c>
      <c r="B4548" s="125" t="str">
        <f>TiposLancamentos!B24</f>
        <v>Estacionamentos</v>
      </c>
      <c r="C4548" s="1040" t="s">
        <v>4399</v>
      </c>
      <c r="D4548" s="1736"/>
      <c r="E4548" s="1043">
        <v>18</v>
      </c>
      <c r="F4548" s="1043"/>
      <c r="G4548" s="1550"/>
    </row>
    <row r="4549" spans="1:7" ht="12.75" customHeight="1">
      <c r="A4549" s="1754">
        <v>42513</v>
      </c>
      <c r="B4549" s="125" t="str">
        <f>TiposLancamentos!B32</f>
        <v>Clinicas e tratamentos</v>
      </c>
      <c r="C4549" s="1040" t="s">
        <v>7302</v>
      </c>
      <c r="D4549" s="1736"/>
      <c r="E4549" s="1043">
        <v>150</v>
      </c>
      <c r="F4549" s="1043"/>
      <c r="G4549" s="1550"/>
    </row>
    <row r="4550" spans="1:7" ht="12.75" customHeight="1">
      <c r="A4550" s="1754">
        <v>42527</v>
      </c>
      <c r="B4550" s="125" t="str">
        <f>TiposLancamentos!B87</f>
        <v>P207-1.6-XS</v>
      </c>
      <c r="C4550" s="1040" t="s">
        <v>7303</v>
      </c>
      <c r="D4550" s="1736"/>
      <c r="E4550" s="1043">
        <v>196.72</v>
      </c>
      <c r="F4550" s="1043"/>
      <c r="G4550" s="1550"/>
    </row>
    <row r="4551" spans="1:7" ht="12.75" customHeight="1">
      <c r="A4551" s="1754">
        <v>42527</v>
      </c>
      <c r="B4551" s="125" t="str">
        <f>TiposLancamentos!B88</f>
        <v>Ford Ecosport XLT</v>
      </c>
      <c r="C4551" s="1040" t="s">
        <v>7304</v>
      </c>
      <c r="D4551" s="1736"/>
      <c r="E4551" s="1043">
        <v>196.72</v>
      </c>
      <c r="F4551" s="1043"/>
      <c r="G4551" s="1550"/>
    </row>
    <row r="4552" spans="1:7" ht="12.75" customHeight="1">
      <c r="A4552" s="1754">
        <v>42527</v>
      </c>
      <c r="B4552" s="125" t="str">
        <f>TiposLancamentos!B20</f>
        <v>Saques</v>
      </c>
      <c r="C4552" s="1040" t="s">
        <v>3604</v>
      </c>
      <c r="D4552" s="1736"/>
      <c r="E4552" s="1043">
        <v>150</v>
      </c>
      <c r="F4552" s="1043"/>
      <c r="G4552" s="1550"/>
    </row>
    <row r="4553" spans="1:7" ht="12.75" customHeight="1">
      <c r="A4553" s="1754">
        <v>42527</v>
      </c>
      <c r="B4553" s="125" t="str">
        <f>TiposLancamentos!B24</f>
        <v>Estacionamentos</v>
      </c>
      <c r="C4553" s="1040" t="s">
        <v>7298</v>
      </c>
      <c r="D4553" s="1736"/>
      <c r="E4553" s="1043">
        <v>6</v>
      </c>
      <c r="F4553" s="1043"/>
      <c r="G4553" s="1550"/>
    </row>
    <row r="4554" spans="1:7" ht="12.75" customHeight="1">
      <c r="A4554" s="1754">
        <v>42527</v>
      </c>
      <c r="B4554" s="125" t="str">
        <f>TiposLancamentos!B20</f>
        <v>Saques</v>
      </c>
      <c r="C4554" s="1040" t="s">
        <v>3604</v>
      </c>
      <c r="D4554" s="1736"/>
      <c r="E4554" s="1043">
        <v>60</v>
      </c>
      <c r="F4554" s="1043"/>
      <c r="G4554" s="1550"/>
    </row>
    <row r="4555" spans="1:7" ht="12.75" customHeight="1">
      <c r="A4555" s="1754">
        <v>42530</v>
      </c>
      <c r="B4555" s="125" t="str">
        <f>TiposLancamentos!B20</f>
        <v>Saques</v>
      </c>
      <c r="C4555" s="1040" t="s">
        <v>3604</v>
      </c>
      <c r="D4555" s="1736"/>
      <c r="E4555" s="1043">
        <v>10</v>
      </c>
      <c r="F4555" s="1043"/>
      <c r="G4555" s="1550"/>
    </row>
    <row r="4556" spans="1:7" ht="12.75" customHeight="1">
      <c r="A4556" s="1754">
        <v>42531</v>
      </c>
      <c r="B4556" s="125" t="str">
        <f>TiposLancamentos!B4</f>
        <v>Taxas Bancarias</v>
      </c>
      <c r="C4556" s="1040" t="s">
        <v>6983</v>
      </c>
      <c r="D4556" s="1736"/>
      <c r="E4556" s="1043">
        <v>521.88</v>
      </c>
      <c r="F4556" s="1043"/>
      <c r="G4556" s="1550"/>
    </row>
    <row r="4557" spans="1:7" ht="12.75" customHeight="1">
      <c r="A4557" s="1754">
        <v>42534</v>
      </c>
      <c r="B4557" s="125" t="str">
        <f>TiposLancamentos!B20</f>
        <v>Saques</v>
      </c>
      <c r="C4557" s="1040" t="s">
        <v>3604</v>
      </c>
      <c r="D4557" s="1736"/>
      <c r="E4557" s="1043">
        <v>160</v>
      </c>
      <c r="F4557" s="1043"/>
      <c r="G4557" s="1550"/>
    </row>
    <row r="4558" spans="1:7" ht="12.75" customHeight="1">
      <c r="A4558" s="1754">
        <v>42534</v>
      </c>
      <c r="B4558" s="125" t="str">
        <f>TiposLancamentos!B105</f>
        <v>Transf. Bco</v>
      </c>
      <c r="C4558" s="1040" t="s">
        <v>7305</v>
      </c>
      <c r="D4558" s="1736">
        <v>6000</v>
      </c>
      <c r="E4558" s="1043"/>
      <c r="F4558" s="1043"/>
      <c r="G4558" s="1550"/>
    </row>
    <row r="4559" spans="1:7" ht="12.75" customHeight="1" thickBot="1">
      <c r="A4559" s="1757">
        <v>42534</v>
      </c>
      <c r="B4559" s="867" t="str">
        <f>TiposLancamentos!B16</f>
        <v>Cristiane</v>
      </c>
      <c r="C4559" s="1711" t="s">
        <v>3100</v>
      </c>
      <c r="D4559" s="1738"/>
      <c r="E4559" s="1044">
        <v>840.9</v>
      </c>
      <c r="F4559" s="1043"/>
      <c r="G4559" s="1550"/>
    </row>
    <row r="4560" spans="1:7" ht="12.75" customHeight="1">
      <c r="A4560" s="1834"/>
      <c r="B4560" s="977"/>
      <c r="C4560" s="1854" t="s">
        <v>7306</v>
      </c>
      <c r="D4560" s="1823"/>
      <c r="E4560" s="1821"/>
      <c r="F4560" s="1821"/>
      <c r="G4560" s="1895"/>
    </row>
    <row r="4561" spans="1:7" ht="12.75" customHeight="1">
      <c r="A4561" s="1754">
        <v>42552</v>
      </c>
      <c r="B4561" s="125" t="str">
        <f>TiposLancamentos!B4</f>
        <v>Taxas Bancarias</v>
      </c>
      <c r="C4561" s="1040" t="s">
        <v>4858</v>
      </c>
      <c r="D4561" s="1736"/>
      <c r="E4561" s="1043">
        <v>9.14</v>
      </c>
      <c r="F4561" s="1043"/>
      <c r="G4561" s="1550"/>
    </row>
    <row r="4562" spans="1:7" ht="12.75" customHeight="1">
      <c r="A4562" s="1754">
        <v>42556</v>
      </c>
      <c r="B4562" s="125" t="str">
        <f>TiposLancamentos!B105</f>
        <v>Transf. Bco</v>
      </c>
      <c r="C4562" s="1040" t="s">
        <v>5927</v>
      </c>
      <c r="D4562" s="1736"/>
      <c r="E4562" s="1043">
        <v>431.45</v>
      </c>
      <c r="F4562" s="1043"/>
      <c r="G4562" s="1550"/>
    </row>
    <row r="4563" spans="1:7" ht="12.75" customHeight="1" thickBot="1">
      <c r="A4563" s="1754">
        <v>42562</v>
      </c>
      <c r="B4563" s="125" t="str">
        <f>TiposLancamentos!B4</f>
        <v>Taxas Bancarias</v>
      </c>
      <c r="C4563" s="1040" t="s">
        <v>7307</v>
      </c>
      <c r="D4563" s="1736"/>
      <c r="E4563" s="1043">
        <v>27.93</v>
      </c>
      <c r="F4563" s="1043"/>
      <c r="G4563" s="1550"/>
    </row>
    <row r="4564" spans="1:7" ht="12.75" customHeight="1">
      <c r="A4564" s="1834"/>
      <c r="B4564" s="977"/>
      <c r="C4564" s="1854" t="s">
        <v>7308</v>
      </c>
      <c r="D4564" s="1823"/>
      <c r="E4564" s="1821"/>
      <c r="F4564" s="1821"/>
      <c r="G4564" s="1895"/>
    </row>
    <row r="4565" spans="1:7" ht="12.75" customHeight="1" thickBot="1">
      <c r="A4565" s="1754"/>
      <c r="B4565" s="125"/>
      <c r="C4565" s="1040"/>
      <c r="D4565" s="1736"/>
      <c r="E4565" s="1043"/>
      <c r="F4565" s="1848"/>
      <c r="G4565" s="1896"/>
    </row>
    <row r="4566" spans="1:7" ht="12.75" customHeight="1">
      <c r="A4566" s="1834"/>
      <c r="B4566" s="977"/>
      <c r="C4566" s="1854" t="s">
        <v>7309</v>
      </c>
      <c r="D4566" s="1823"/>
      <c r="E4566" s="1821"/>
      <c r="F4566" s="1821"/>
      <c r="G4566" s="1895"/>
    </row>
    <row r="4567" spans="1:7" ht="12.75" customHeight="1" thickBot="1">
      <c r="A4567" s="1754"/>
      <c r="B4567" s="125"/>
      <c r="C4567" s="1040"/>
      <c r="D4567" s="1736"/>
      <c r="E4567" s="1043"/>
      <c r="F4567" s="1848"/>
      <c r="G4567" s="1896"/>
    </row>
    <row r="4568" spans="1:7" ht="12.75" customHeight="1">
      <c r="A4568" s="1834"/>
      <c r="B4568" s="977"/>
      <c r="C4568" s="1854" t="s">
        <v>7310</v>
      </c>
      <c r="D4568" s="1823"/>
      <c r="E4568" s="1821"/>
      <c r="F4568" s="1821"/>
      <c r="G4568" s="1895"/>
    </row>
    <row r="4569" spans="1:7" ht="12.75" customHeight="1" thickBot="1">
      <c r="A4569" s="1754"/>
      <c r="B4569" s="125"/>
      <c r="C4569" s="1040"/>
      <c r="D4569" s="1736"/>
      <c r="E4569" s="1043"/>
      <c r="F4569" s="1848"/>
      <c r="G4569" s="1896"/>
    </row>
    <row r="4570" spans="1:7" ht="12.75" customHeight="1">
      <c r="A4570" s="1834"/>
      <c r="B4570" s="977"/>
      <c r="C4570" s="1854" t="s">
        <v>7311</v>
      </c>
      <c r="D4570" s="1823"/>
      <c r="E4570" s="1821"/>
      <c r="F4570" s="1821"/>
      <c r="G4570" s="1895"/>
    </row>
    <row r="4571" spans="1:7" ht="12.75" customHeight="1">
      <c r="A4571" s="1754">
        <v>42690</v>
      </c>
      <c r="B4571" s="125" t="str">
        <f>TiposLancamentos!B98</f>
        <v>Restituições</v>
      </c>
      <c r="C4571" s="1040" t="s">
        <v>7312</v>
      </c>
      <c r="D4571" s="1736">
        <v>4666.38</v>
      </c>
      <c r="E4571" s="1043"/>
      <c r="F4571" s="1043"/>
      <c r="G4571" s="1550"/>
    </row>
    <row r="4572" spans="1:7" ht="12.75" customHeight="1">
      <c r="A4572" s="1754">
        <v>42690</v>
      </c>
      <c r="B4572" s="125" t="str">
        <f>TiposLancamentos!B21</f>
        <v>Transf. Poupanca</v>
      </c>
      <c r="C4572" s="1040" t="s">
        <v>7313</v>
      </c>
      <c r="D4572" s="1736"/>
      <c r="E4572" s="1043">
        <v>150</v>
      </c>
      <c r="F4572" s="1043"/>
      <c r="G4572" s="1550"/>
    </row>
    <row r="4573" spans="1:7" ht="12.75" customHeight="1">
      <c r="A4573" s="1754">
        <v>42695</v>
      </c>
      <c r="B4573" s="125" t="str">
        <f>TiposLancamentos!B64</f>
        <v>Viagens</v>
      </c>
      <c r="C4573" s="1040" t="s">
        <v>7314</v>
      </c>
      <c r="D4573" s="1736"/>
      <c r="E4573" s="1043">
        <v>3500</v>
      </c>
      <c r="F4573" s="1043"/>
      <c r="G4573" s="1550"/>
    </row>
    <row r="4574" spans="1:7" ht="12.75" customHeight="1" thickBot="1">
      <c r="A4574" s="1754">
        <v>42696</v>
      </c>
      <c r="B4574" s="125" t="str">
        <f>TiposLancamentos!B44</f>
        <v>Academia</v>
      </c>
      <c r="C4574" s="1040" t="s">
        <v>7315</v>
      </c>
      <c r="D4574" s="1736"/>
      <c r="E4574" s="1043">
        <v>150</v>
      </c>
      <c r="F4574" s="1043"/>
      <c r="G4574" s="1550"/>
    </row>
    <row r="4575" spans="1:7" ht="12.75" customHeight="1">
      <c r="A4575" s="1834"/>
      <c r="B4575" s="977"/>
      <c r="C4575" s="1854" t="s">
        <v>7316</v>
      </c>
      <c r="D4575" s="1823"/>
      <c r="E4575" s="1821"/>
      <c r="F4575" s="1821"/>
      <c r="G4575" s="1895"/>
    </row>
    <row r="4576" spans="1:7" ht="12.75" customHeight="1">
      <c r="A4576" s="1754">
        <v>42682</v>
      </c>
      <c r="B4576" s="125" t="str">
        <f>TiposLancamentos!B4</f>
        <v>Taxas Bancarias</v>
      </c>
      <c r="C4576" s="1040" t="s">
        <v>7317</v>
      </c>
      <c r="D4576" s="1736"/>
      <c r="E4576" s="1043">
        <v>71.900000000000006</v>
      </c>
      <c r="F4576" s="1043"/>
      <c r="G4576" s="1550"/>
    </row>
    <row r="4577" spans="1:7" ht="12.75" customHeight="1">
      <c r="A4577" s="1754">
        <v>42713</v>
      </c>
      <c r="B4577" s="125" t="str">
        <f>TiposLancamentos!B105</f>
        <v>Transf. Bco</v>
      </c>
      <c r="C4577" s="1040" t="s">
        <v>4161</v>
      </c>
      <c r="D4577" s="1736">
        <v>133.62</v>
      </c>
      <c r="E4577" s="1043"/>
      <c r="F4577" s="1043"/>
      <c r="G4577" s="1550"/>
    </row>
    <row r="4578" spans="1:7" ht="12.75" customHeight="1" thickBot="1">
      <c r="A4578" s="1754">
        <v>42713</v>
      </c>
      <c r="B4578" s="125" t="str">
        <f>TiposLancamentos!B105</f>
        <v>Transf. Bco</v>
      </c>
      <c r="C4578" s="1040" t="s">
        <v>7318</v>
      </c>
      <c r="D4578" s="1736"/>
      <c r="E4578" s="1043">
        <v>928.1</v>
      </c>
      <c r="F4578" s="1043"/>
      <c r="G4578" s="1550"/>
    </row>
    <row r="4579" spans="1:7" ht="12.75" customHeight="1">
      <c r="A4579" s="1834"/>
      <c r="B4579" s="977"/>
      <c r="C4579" s="1854" t="s">
        <v>7319</v>
      </c>
      <c r="D4579" s="1823"/>
      <c r="E4579" s="1821"/>
      <c r="F4579" s="1821"/>
      <c r="G4579" s="1895"/>
    </row>
    <row r="4580" spans="1:7" ht="12.75" customHeight="1">
      <c r="A4580" s="1754">
        <v>43796</v>
      </c>
      <c r="B4580" s="125" t="str">
        <f>TiposLancamentos!B97</f>
        <v>Deposito Terc.</v>
      </c>
      <c r="C4580" s="1040" t="s">
        <v>7320</v>
      </c>
      <c r="D4580" s="1736">
        <v>250</v>
      </c>
      <c r="E4580" s="1043"/>
      <c r="F4580" s="1043"/>
      <c r="G4580" s="1550"/>
    </row>
    <row r="4581" spans="1:7" ht="12.75" customHeight="1">
      <c r="A4581" s="1754">
        <v>43797</v>
      </c>
      <c r="B4581" s="125" t="str">
        <f>TiposLancamentos!B95</f>
        <v>Salarios</v>
      </c>
      <c r="C4581" s="1040" t="s">
        <v>7321</v>
      </c>
      <c r="D4581" s="1736">
        <v>750</v>
      </c>
      <c r="E4581" s="1043"/>
      <c r="F4581" s="1043"/>
      <c r="G4581" s="1550"/>
    </row>
    <row r="4582" spans="1:7" ht="12.75" customHeight="1">
      <c r="A4582" s="1754">
        <v>43797</v>
      </c>
      <c r="B4582" s="125" t="str">
        <f>TiposLancamentos!B95</f>
        <v>Salarios</v>
      </c>
      <c r="C4582" s="1040" t="s">
        <v>7322</v>
      </c>
      <c r="D4582" s="1736">
        <v>4766.46</v>
      </c>
      <c r="E4582" s="1043"/>
      <c r="F4582" s="1043"/>
      <c r="G4582" s="1550"/>
    </row>
    <row r="4583" spans="1:7" ht="12.75" customHeight="1">
      <c r="A4583" s="1754">
        <v>43797</v>
      </c>
      <c r="B4583" s="125" t="str">
        <f>TiposLancamentos!B19</f>
        <v>Restaurantes</v>
      </c>
      <c r="C4583" s="1040" t="s">
        <v>7323</v>
      </c>
      <c r="D4583" s="1736"/>
      <c r="E4583" s="1043">
        <v>35</v>
      </c>
      <c r="F4583" s="1043"/>
      <c r="G4583" s="1550"/>
    </row>
    <row r="4584" spans="1:7" ht="12.75" customHeight="1">
      <c r="A4584" s="1754">
        <v>43797</v>
      </c>
      <c r="B4584" s="125" t="str">
        <f>TiposLancamentos!B56</f>
        <v>Farmácia</v>
      </c>
      <c r="C4584" s="1040" t="s">
        <v>7324</v>
      </c>
      <c r="D4584" s="1736"/>
      <c r="E4584" s="1043">
        <v>59.4</v>
      </c>
      <c r="F4584" s="1043"/>
      <c r="G4584" s="1550"/>
    </row>
    <row r="4585" spans="1:7" ht="12.75" customHeight="1">
      <c r="A4585" s="1754">
        <v>43797</v>
      </c>
      <c r="B4585" s="125" t="str">
        <f>TiposLancamentos!B6</f>
        <v>Energia Eletrica</v>
      </c>
      <c r="C4585" s="1040" t="s">
        <v>7325</v>
      </c>
      <c r="D4585" s="1736"/>
      <c r="E4585" s="1043">
        <v>229.44</v>
      </c>
      <c r="F4585" s="1043"/>
      <c r="G4585" s="1550"/>
    </row>
    <row r="4586" spans="1:7" ht="12.75" customHeight="1">
      <c r="A4586" s="1754">
        <v>43798</v>
      </c>
      <c r="B4586" s="125" t="str">
        <f>TiposLancamentos!B19</f>
        <v>Restaurantes</v>
      </c>
      <c r="C4586" s="1770" t="s">
        <v>7326</v>
      </c>
      <c r="D4586" s="1736"/>
      <c r="E4586" s="1043">
        <v>41.7</v>
      </c>
      <c r="F4586" s="1043"/>
      <c r="G4586" s="1550"/>
    </row>
    <row r="4587" spans="1:7" ht="12.75" customHeight="1">
      <c r="A4587" s="1754">
        <v>43798</v>
      </c>
      <c r="B4587" s="125" t="str">
        <f>TiposLancamentos!B19</f>
        <v>Restaurantes</v>
      </c>
      <c r="C4587" s="1770" t="s">
        <v>7004</v>
      </c>
      <c r="D4587" s="1736"/>
      <c r="E4587" s="1043">
        <v>4</v>
      </c>
      <c r="F4587" s="1043"/>
      <c r="G4587" s="1550"/>
    </row>
    <row r="4588" spans="1:7" ht="12.75" customHeight="1">
      <c r="A4588" s="1754">
        <v>43798</v>
      </c>
      <c r="B4588" s="125" t="str">
        <f>TiposLancamentos!B19</f>
        <v>Restaurantes</v>
      </c>
      <c r="C4588" s="1770" t="s">
        <v>2653</v>
      </c>
      <c r="D4588" s="1736"/>
      <c r="E4588" s="1043">
        <v>16.7</v>
      </c>
      <c r="F4588" s="1043"/>
      <c r="G4588" s="1550"/>
    </row>
    <row r="4589" spans="1:7" ht="12.75" customHeight="1">
      <c r="A4589" s="1754">
        <v>43798</v>
      </c>
      <c r="B4589" s="125" t="str">
        <f>TiposLancamentos!B19</f>
        <v>Restaurantes</v>
      </c>
      <c r="C4589" s="1040" t="s">
        <v>7327</v>
      </c>
      <c r="D4589" s="1736"/>
      <c r="E4589" s="1043">
        <v>93</v>
      </c>
      <c r="F4589" s="1043"/>
      <c r="G4589" s="1550"/>
    </row>
    <row r="4590" spans="1:7" ht="12.75" customHeight="1">
      <c r="A4590" s="1754">
        <v>43799</v>
      </c>
      <c r="B4590" s="125" t="str">
        <f>TiposLancamentos!B19</f>
        <v>Restaurantes</v>
      </c>
      <c r="C4590" s="1040" t="s">
        <v>7328</v>
      </c>
      <c r="D4590" s="1736"/>
      <c r="E4590" s="1043">
        <v>46.14</v>
      </c>
      <c r="F4590" s="1043"/>
      <c r="G4590" s="1550"/>
    </row>
    <row r="4591" spans="1:7" ht="12.75" customHeight="1" thickBot="1">
      <c r="A4591" s="1754">
        <v>43799</v>
      </c>
      <c r="B4591" s="125" t="str">
        <f>TiposLancamentos!B19</f>
        <v>Restaurantes</v>
      </c>
      <c r="C4591" s="1040" t="s">
        <v>7329</v>
      </c>
      <c r="D4591" s="1736"/>
      <c r="E4591" s="1043">
        <v>74.25</v>
      </c>
      <c r="F4591" s="1043"/>
      <c r="G4591" s="1550"/>
    </row>
    <row r="4592" spans="1:7" ht="12.75" customHeight="1">
      <c r="A4592" s="1834"/>
      <c r="B4592" s="977"/>
      <c r="C4592" s="1854" t="s">
        <v>7330</v>
      </c>
      <c r="D4592" s="1823"/>
      <c r="E4592" s="1821"/>
      <c r="F4592" s="1821"/>
      <c r="G4592" s="1895"/>
    </row>
    <row r="4593" spans="1:7" ht="12.75" customHeight="1">
      <c r="A4593" s="1754">
        <v>43800</v>
      </c>
      <c r="B4593" s="125" t="str">
        <f>TiposLancamentos!B5</f>
        <v>Supermercado</v>
      </c>
      <c r="C4593" s="1040" t="s">
        <v>6234</v>
      </c>
      <c r="D4593" s="1736"/>
      <c r="E4593" s="1043">
        <v>93.91</v>
      </c>
      <c r="F4593" s="1043"/>
      <c r="G4593" s="1550"/>
    </row>
    <row r="4594" spans="1:7" ht="12.75" customHeight="1">
      <c r="A4594" s="1754">
        <v>43801</v>
      </c>
      <c r="B4594" s="125" t="str">
        <f>TiposLancamentos!B19</f>
        <v>Restaurantes</v>
      </c>
      <c r="C4594" s="1040" t="s">
        <v>7331</v>
      </c>
      <c r="D4594" s="1736"/>
      <c r="E4594" s="1043">
        <v>5.9</v>
      </c>
      <c r="F4594" s="1043"/>
      <c r="G4594" s="1550"/>
    </row>
    <row r="4595" spans="1:7" ht="12.75" customHeight="1">
      <c r="A4595" s="1754">
        <v>43801</v>
      </c>
      <c r="B4595" s="125" t="str">
        <f>TiposLancamentos!B15</f>
        <v>Cartões de Crédito</v>
      </c>
      <c r="C4595" s="1770" t="s">
        <v>7332</v>
      </c>
      <c r="D4595" s="1736"/>
      <c r="E4595" s="1043">
        <v>118.8</v>
      </c>
      <c r="F4595" s="1043"/>
      <c r="G4595" s="1550"/>
    </row>
    <row r="4596" spans="1:7" ht="12.75" customHeight="1">
      <c r="A4596" s="1754">
        <v>43801</v>
      </c>
      <c r="B4596" s="125" t="str">
        <f>TiposLancamentos!B15</f>
        <v>Cartões de Crédito</v>
      </c>
      <c r="C4596" s="1770" t="s">
        <v>7333</v>
      </c>
      <c r="D4596" s="1736"/>
      <c r="E4596" s="1043">
        <v>41.4</v>
      </c>
      <c r="F4596" s="1043"/>
      <c r="G4596" s="1550"/>
    </row>
    <row r="4597" spans="1:7" ht="12.75" customHeight="1">
      <c r="A4597" s="1754">
        <v>43801</v>
      </c>
      <c r="B4597" s="125" t="str">
        <f>TiposLancamentos!B15</f>
        <v>Cartões de Crédito</v>
      </c>
      <c r="C4597" s="1770" t="s">
        <v>7334</v>
      </c>
      <c r="D4597" s="1736"/>
      <c r="E4597" s="1043">
        <v>93.9</v>
      </c>
      <c r="F4597" s="1043"/>
      <c r="G4597" s="1550"/>
    </row>
    <row r="4598" spans="1:7" ht="12.75" customHeight="1">
      <c r="A4598" s="1754">
        <v>43801</v>
      </c>
      <c r="B4598" s="125" t="str">
        <f>TiposLancamentos!B15</f>
        <v>Cartões de Crédito</v>
      </c>
      <c r="C4598" s="1040" t="s">
        <v>7335</v>
      </c>
      <c r="D4598" s="1736"/>
      <c r="E4598" s="1043">
        <v>14.8</v>
      </c>
      <c r="F4598" s="1043"/>
      <c r="G4598" s="1550"/>
    </row>
    <row r="4599" spans="1:7" ht="12.75" customHeight="1">
      <c r="A4599" s="1754">
        <v>43801</v>
      </c>
      <c r="B4599" s="125" t="str">
        <f>TiposLancamentos!B19</f>
        <v>Restaurantes</v>
      </c>
      <c r="C4599" s="1040" t="s">
        <v>7336</v>
      </c>
      <c r="D4599" s="1736"/>
      <c r="E4599" s="1043">
        <v>40.32</v>
      </c>
      <c r="F4599" s="1043"/>
      <c r="G4599" s="1550"/>
    </row>
    <row r="4600" spans="1:7" ht="12.75" customHeight="1">
      <c r="A4600" s="1754">
        <v>43802</v>
      </c>
      <c r="B4600" s="125" t="str">
        <f>TiposLancamentos!B24</f>
        <v>Estacionamentos</v>
      </c>
      <c r="C4600" s="1040" t="s">
        <v>7337</v>
      </c>
      <c r="D4600" s="1736"/>
      <c r="E4600" s="1043">
        <v>16</v>
      </c>
      <c r="F4600" s="1043"/>
      <c r="G4600" s="1550"/>
    </row>
    <row r="4601" spans="1:7" ht="12.75" customHeight="1">
      <c r="A4601" s="1754">
        <v>43802</v>
      </c>
      <c r="B4601" s="125" t="str">
        <f>TiposLancamentos!B56</f>
        <v>Farmácia</v>
      </c>
      <c r="C4601" s="1040" t="s">
        <v>6118</v>
      </c>
      <c r="D4601" s="1736"/>
      <c r="E4601" s="1043">
        <v>102.69</v>
      </c>
      <c r="F4601" s="1043"/>
      <c r="G4601" s="1550"/>
    </row>
    <row r="4602" spans="1:7" ht="12.75" customHeight="1">
      <c r="A4602" s="1754">
        <v>43802</v>
      </c>
      <c r="B4602" s="125" t="str">
        <f>TiposLancamentos!B19</f>
        <v>Restaurantes</v>
      </c>
      <c r="C4602" s="1040" t="s">
        <v>1962</v>
      </c>
      <c r="D4602" s="1736"/>
      <c r="E4602" s="1043">
        <v>33.6</v>
      </c>
      <c r="F4602" s="1043"/>
      <c r="G4602" s="1550"/>
    </row>
    <row r="4603" spans="1:7" ht="12.75" customHeight="1">
      <c r="A4603" s="1754">
        <v>43802</v>
      </c>
      <c r="B4603" s="125" t="str">
        <f>TiposLancamentos!B19</f>
        <v>Restaurantes</v>
      </c>
      <c r="C4603" s="1040" t="s">
        <v>7338</v>
      </c>
      <c r="D4603" s="1736"/>
      <c r="E4603" s="1043">
        <v>4</v>
      </c>
      <c r="F4603" s="1043"/>
      <c r="G4603" s="1550"/>
    </row>
    <row r="4604" spans="1:7" ht="12.75" customHeight="1">
      <c r="A4604" s="1754">
        <v>43802</v>
      </c>
      <c r="B4604" s="125" t="str">
        <f>TiposLancamentos!B19</f>
        <v>Restaurantes</v>
      </c>
      <c r="C4604" s="1040" t="s">
        <v>1898</v>
      </c>
      <c r="D4604" s="1736"/>
      <c r="E4604" s="1043">
        <v>13</v>
      </c>
      <c r="F4604" s="1043"/>
      <c r="G4604" s="1550"/>
    </row>
    <row r="4605" spans="1:7" ht="12.75" customHeight="1">
      <c r="A4605" s="1754">
        <v>43802</v>
      </c>
      <c r="B4605" s="125" t="str">
        <f>TiposLancamentos!B19</f>
        <v>Restaurantes</v>
      </c>
      <c r="C4605" s="1040" t="s">
        <v>1967</v>
      </c>
      <c r="D4605" s="1736"/>
      <c r="E4605" s="1043">
        <v>16.8</v>
      </c>
      <c r="F4605" s="1043"/>
      <c r="G4605" s="1550"/>
    </row>
    <row r="4606" spans="1:7" ht="12.75" customHeight="1">
      <c r="A4606" s="1754">
        <v>43803</v>
      </c>
      <c r="B4606" s="125" t="str">
        <f>TiposLancamentos!B19</f>
        <v>Restaurantes</v>
      </c>
      <c r="C4606" s="1040" t="s">
        <v>7339</v>
      </c>
      <c r="D4606" s="1736"/>
      <c r="E4606" s="1043">
        <v>31.4</v>
      </c>
      <c r="F4606" s="1043"/>
      <c r="G4606" s="1550"/>
    </row>
    <row r="4607" spans="1:7" ht="12.75" customHeight="1">
      <c r="A4607" s="1754">
        <v>43803</v>
      </c>
      <c r="B4607" s="125" t="str">
        <f>TiposLancamentos!B19</f>
        <v>Restaurantes</v>
      </c>
      <c r="C4607" s="1040" t="s">
        <v>7340</v>
      </c>
      <c r="D4607" s="1736"/>
      <c r="E4607" s="1043">
        <v>9.9</v>
      </c>
      <c r="F4607" s="1043"/>
      <c r="G4607" s="1550"/>
    </row>
    <row r="4608" spans="1:7" ht="12.75" customHeight="1">
      <c r="A4608" s="1754">
        <v>43803</v>
      </c>
      <c r="B4608" s="125" t="str">
        <f>TiposLancamentos!B103</f>
        <v>Juros_Corr. Poupança</v>
      </c>
      <c r="C4608" s="1040" t="s">
        <v>7341</v>
      </c>
      <c r="D4608" s="1736">
        <v>0.01</v>
      </c>
      <c r="E4608" s="1043"/>
      <c r="F4608" s="1043"/>
      <c r="G4608" s="1550"/>
    </row>
    <row r="4609" spans="1:7" ht="12.75" customHeight="1">
      <c r="A4609" s="1754">
        <v>43803</v>
      </c>
      <c r="B4609" s="125" t="str">
        <f>TiposLancamentos!B19</f>
        <v>Restaurantes</v>
      </c>
      <c r="C4609" s="1040" t="s">
        <v>7342</v>
      </c>
      <c r="D4609" s="1736"/>
      <c r="E4609" s="1043">
        <v>26.4</v>
      </c>
      <c r="F4609" s="1043"/>
      <c r="G4609" s="1550"/>
    </row>
    <row r="4610" spans="1:7" ht="12.75" customHeight="1">
      <c r="A4610" s="1754">
        <v>43803</v>
      </c>
      <c r="B4610" s="125" t="str">
        <f>TiposLancamentos!B19</f>
        <v>Restaurantes</v>
      </c>
      <c r="C4610" s="1040" t="s">
        <v>7343</v>
      </c>
      <c r="D4610" s="1736"/>
      <c r="E4610" s="1043">
        <v>5.5</v>
      </c>
      <c r="F4610" s="1043"/>
      <c r="G4610" s="1550"/>
    </row>
    <row r="4611" spans="1:7" ht="12.75" customHeight="1">
      <c r="A4611" s="1754">
        <v>43803</v>
      </c>
      <c r="B4611" s="125" t="str">
        <f>TiposLancamentos!B19</f>
        <v>Restaurantes</v>
      </c>
      <c r="C4611" s="1040" t="s">
        <v>7344</v>
      </c>
      <c r="D4611" s="1736"/>
      <c r="E4611" s="1043">
        <v>21.2</v>
      </c>
      <c r="F4611" s="1043"/>
      <c r="G4611" s="1550"/>
    </row>
    <row r="4612" spans="1:7" ht="12.75" customHeight="1">
      <c r="A4612" s="1754">
        <v>43804</v>
      </c>
      <c r="B4612" s="125" t="str">
        <f>TiposLancamentos!B19</f>
        <v>Restaurantes</v>
      </c>
      <c r="C4612" s="1040" t="s">
        <v>7340</v>
      </c>
      <c r="D4612" s="1736"/>
      <c r="E4612" s="1043">
        <v>5.9</v>
      </c>
      <c r="F4612" s="1043"/>
      <c r="G4612" s="1550"/>
    </row>
    <row r="4613" spans="1:7" ht="12.75" customHeight="1">
      <c r="A4613" s="1754">
        <v>43804</v>
      </c>
      <c r="B4613" s="125" t="str">
        <f>TiposLancamentos!B103</f>
        <v>Juros_Corr. Poupança</v>
      </c>
      <c r="C4613" s="1040" t="s">
        <v>7341</v>
      </c>
      <c r="D4613" s="1736">
        <v>0.01</v>
      </c>
      <c r="E4613" s="1043"/>
      <c r="F4613" s="1043"/>
      <c r="G4613" s="1550"/>
    </row>
    <row r="4614" spans="1:7" ht="12.75" customHeight="1">
      <c r="A4614" s="1754">
        <v>43804</v>
      </c>
      <c r="B4614" s="125" t="str">
        <f>TiposLancamentos!B19</f>
        <v>Restaurantes</v>
      </c>
      <c r="C4614" s="1040" t="s">
        <v>7345</v>
      </c>
      <c r="D4614" s="1736"/>
      <c r="E4614" s="1043">
        <v>19.34</v>
      </c>
      <c r="F4614" s="1043"/>
      <c r="G4614" s="1550"/>
    </row>
    <row r="4615" spans="1:7" ht="12.75" customHeight="1">
      <c r="A4615" s="1754">
        <v>43804</v>
      </c>
      <c r="B4615" s="125" t="str">
        <f>TiposLancamentos!B19</f>
        <v>Restaurantes</v>
      </c>
      <c r="C4615" s="1040" t="s">
        <v>7346</v>
      </c>
      <c r="D4615" s="1736"/>
      <c r="E4615" s="1043">
        <v>6.49</v>
      </c>
      <c r="F4615" s="1043"/>
      <c r="G4615" s="1550"/>
    </row>
    <row r="4616" spans="1:7" ht="12.75" customHeight="1">
      <c r="A4616" s="1754">
        <v>43805</v>
      </c>
      <c r="B4616" s="125" t="str">
        <f>TiposLancamentos!B19</f>
        <v>Restaurantes</v>
      </c>
      <c r="C4616" s="1040" t="s">
        <v>7347</v>
      </c>
      <c r="D4616" s="1736"/>
      <c r="E4616" s="1043">
        <v>36.53</v>
      </c>
      <c r="F4616" s="1043"/>
      <c r="G4616" s="1550"/>
    </row>
    <row r="4617" spans="1:7" ht="12.75" customHeight="1">
      <c r="A4617" s="1754">
        <v>43806</v>
      </c>
      <c r="B4617" s="125" t="str">
        <f>TiposLancamentos!B71</f>
        <v>Itens Pessoais</v>
      </c>
      <c r="C4617" s="1040" t="s">
        <v>2035</v>
      </c>
      <c r="D4617" s="1736"/>
      <c r="E4617" s="1043">
        <v>30</v>
      </c>
      <c r="F4617" s="1043"/>
      <c r="G4617" s="1550"/>
    </row>
    <row r="4618" spans="1:7" ht="12.75" customHeight="1">
      <c r="A4618" s="1754">
        <v>43806</v>
      </c>
      <c r="B4618" s="125" t="str">
        <f>TiposLancamentos!B19</f>
        <v>Restaurantes</v>
      </c>
      <c r="C4618" s="1040" t="s">
        <v>3960</v>
      </c>
      <c r="D4618" s="1736"/>
      <c r="E4618" s="1043">
        <v>24.96</v>
      </c>
      <c r="F4618" s="1043"/>
      <c r="G4618" s="1550"/>
    </row>
    <row r="4619" spans="1:7" ht="12.75" customHeight="1">
      <c r="A4619" s="1754">
        <v>43806</v>
      </c>
      <c r="B4619" s="125" t="str">
        <f>TiposLancamentos!B19</f>
        <v>Restaurantes</v>
      </c>
      <c r="C4619" s="1040" t="s">
        <v>7348</v>
      </c>
      <c r="D4619" s="1736"/>
      <c r="E4619" s="1043">
        <v>14.83</v>
      </c>
      <c r="F4619" s="1043"/>
      <c r="G4619" s="1550"/>
    </row>
    <row r="4620" spans="1:7" ht="12.75" customHeight="1">
      <c r="A4620" s="1754">
        <v>43806</v>
      </c>
      <c r="B4620" s="125" t="str">
        <f>TiposLancamentos!B23</f>
        <v>P208 GRIFFE 1.6 AUT BUSINESS</v>
      </c>
      <c r="C4620" s="1040" t="s">
        <v>7349</v>
      </c>
      <c r="D4620" s="1736"/>
      <c r="E4620" s="1043">
        <v>35</v>
      </c>
      <c r="F4620" s="1043"/>
      <c r="G4620" s="1550"/>
    </row>
    <row r="4621" spans="1:7" ht="12.75" customHeight="1">
      <c r="A4621" s="1754">
        <v>43806</v>
      </c>
      <c r="B4621" s="125" t="str">
        <f>TiposLancamentos!B5</f>
        <v>Supermercado</v>
      </c>
      <c r="C4621" s="1040" t="s">
        <v>6234</v>
      </c>
      <c r="D4621" s="1736"/>
      <c r="E4621" s="1043">
        <v>42.63</v>
      </c>
      <c r="F4621" s="1043"/>
      <c r="G4621" s="1550"/>
    </row>
    <row r="4622" spans="1:7" ht="12.75" customHeight="1">
      <c r="A4622" s="1754">
        <v>43807</v>
      </c>
      <c r="B4622" s="125" t="str">
        <f>TiposLancamentos!B19</f>
        <v>Restaurantes</v>
      </c>
      <c r="C4622" s="1040" t="s">
        <v>6565</v>
      </c>
      <c r="D4622" s="1736"/>
      <c r="E4622" s="1043">
        <v>25.52</v>
      </c>
      <c r="F4622" s="1043"/>
      <c r="G4622" s="1550"/>
    </row>
    <row r="4623" spans="1:7" ht="12.75" customHeight="1">
      <c r="A4623" s="1754">
        <v>43807</v>
      </c>
      <c r="B4623" s="125" t="str">
        <f>TiposLancamentos!B5</f>
        <v>Supermercado</v>
      </c>
      <c r="C4623" s="1040" t="s">
        <v>5844</v>
      </c>
      <c r="D4623" s="1736"/>
      <c r="E4623" s="1043">
        <v>36.020000000000003</v>
      </c>
      <c r="F4623" s="1043"/>
      <c r="G4623" s="1550"/>
    </row>
    <row r="4624" spans="1:7" ht="12.75" customHeight="1">
      <c r="A4624" s="1754">
        <v>43808</v>
      </c>
      <c r="B4624" s="125" t="str">
        <f>TiposLancamentos!B56</f>
        <v>Farmácia</v>
      </c>
      <c r="C4624" s="1040" t="s">
        <v>7350</v>
      </c>
      <c r="D4624" s="1736"/>
      <c r="E4624" s="1043">
        <v>4.51</v>
      </c>
      <c r="F4624" s="1043"/>
      <c r="G4624" s="1550"/>
    </row>
    <row r="4625" spans="1:7" ht="12.75" customHeight="1">
      <c r="A4625" s="1754">
        <v>43808</v>
      </c>
      <c r="B4625" s="125" t="str">
        <f>TiposLancamentos!B19</f>
        <v>Restaurantes</v>
      </c>
      <c r="C4625" s="1040" t="s">
        <v>7351</v>
      </c>
      <c r="D4625" s="1736"/>
      <c r="E4625" s="1043">
        <v>5.9</v>
      </c>
      <c r="F4625" s="1043"/>
      <c r="G4625" s="1550"/>
    </row>
    <row r="4626" spans="1:7" ht="12.75" customHeight="1">
      <c r="A4626" s="1754">
        <v>43808</v>
      </c>
      <c r="B4626" s="125" t="str">
        <f>TiposLancamentos!B19</f>
        <v>Restaurantes</v>
      </c>
      <c r="C4626" s="1040" t="s">
        <v>1962</v>
      </c>
      <c r="D4626" s="1736"/>
      <c r="E4626" s="1043">
        <v>22.48</v>
      </c>
      <c r="F4626" s="1043"/>
      <c r="G4626" s="1550"/>
    </row>
    <row r="4627" spans="1:7" ht="12.75" customHeight="1">
      <c r="A4627" s="1754">
        <v>43808</v>
      </c>
      <c r="B4627" s="125" t="str">
        <f>TiposLancamentos!B19</f>
        <v>Restaurantes</v>
      </c>
      <c r="C4627" s="1040" t="s">
        <v>1963</v>
      </c>
      <c r="D4627" s="1736"/>
      <c r="E4627" s="1043">
        <v>5</v>
      </c>
      <c r="F4627" s="1043"/>
      <c r="G4627" s="1550"/>
    </row>
    <row r="4628" spans="1:7" ht="12.75" customHeight="1">
      <c r="A4628" s="1754">
        <v>43809</v>
      </c>
      <c r="B4628" s="125" t="str">
        <f>TiposLancamentos!B56</f>
        <v>Farmácia</v>
      </c>
      <c r="C4628" s="1040" t="s">
        <v>7352</v>
      </c>
      <c r="D4628" s="1736"/>
      <c r="E4628" s="1043">
        <v>9.35</v>
      </c>
      <c r="F4628" s="1043"/>
      <c r="G4628" s="1550"/>
    </row>
    <row r="4629" spans="1:7" ht="12.75" customHeight="1">
      <c r="A4629" s="1754">
        <v>43809</v>
      </c>
      <c r="B4629" s="125" t="str">
        <f>TiposLancamentos!B19</f>
        <v>Restaurantes</v>
      </c>
      <c r="C4629" s="1040" t="s">
        <v>7353</v>
      </c>
      <c r="D4629" s="1736"/>
      <c r="E4629" s="1043">
        <v>4.9000000000000004</v>
      </c>
      <c r="F4629" s="1043"/>
      <c r="G4629" s="1550"/>
    </row>
    <row r="4630" spans="1:7" ht="12.75" customHeight="1">
      <c r="A4630" s="1754">
        <v>43809</v>
      </c>
      <c r="B4630" s="125" t="str">
        <f>TiposLancamentos!B103</f>
        <v>Juros_Corr. Poupança</v>
      </c>
      <c r="C4630" s="1040" t="s">
        <v>7341</v>
      </c>
      <c r="D4630" s="1736">
        <v>0.02</v>
      </c>
      <c r="E4630" s="1043"/>
      <c r="F4630" s="1043"/>
      <c r="G4630" s="1550"/>
    </row>
    <row r="4631" spans="1:7" ht="12.75" customHeight="1">
      <c r="A4631" s="1754">
        <v>43809</v>
      </c>
      <c r="B4631" s="125" t="str">
        <f>TiposLancamentos!B19</f>
        <v>Restaurantes</v>
      </c>
      <c r="C4631" s="1040" t="s">
        <v>1962</v>
      </c>
      <c r="D4631" s="1736"/>
      <c r="E4631" s="1043">
        <v>23.29</v>
      </c>
      <c r="F4631" s="1043"/>
      <c r="G4631" s="1550"/>
    </row>
    <row r="4632" spans="1:7" ht="12.75" customHeight="1">
      <c r="A4632" s="1754">
        <v>43809</v>
      </c>
      <c r="B4632" s="125" t="str">
        <f>TiposLancamentos!B19</f>
        <v>Restaurantes</v>
      </c>
      <c r="C4632" s="1040" t="s">
        <v>7354</v>
      </c>
      <c r="D4632" s="1736"/>
      <c r="E4632" s="1043">
        <v>5.9</v>
      </c>
      <c r="F4632" s="1043"/>
      <c r="G4632" s="1550"/>
    </row>
    <row r="4633" spans="1:7" ht="12.75" customHeight="1">
      <c r="A4633" s="1666">
        <v>43809</v>
      </c>
      <c r="B4633" s="817" t="str">
        <f>TiposLancamentos!B72</f>
        <v>Presentes</v>
      </c>
      <c r="C4633" s="1742" t="s">
        <v>7355</v>
      </c>
      <c r="D4633" s="1735"/>
      <c r="E4633" s="1733">
        <f>F4634-E4634</f>
        <v>119</v>
      </c>
      <c r="F4633" s="1346"/>
      <c r="G4633" s="1550"/>
    </row>
    <row r="4634" spans="1:7" ht="12.75" customHeight="1">
      <c r="A4634" s="1750">
        <v>43809</v>
      </c>
      <c r="B4634" s="818" t="str">
        <f>TiposLancamentos!B26</f>
        <v>LIVROS</v>
      </c>
      <c r="C4634" s="1743" t="s">
        <v>7356</v>
      </c>
      <c r="D4634" s="1737"/>
      <c r="E4634" s="1668">
        <v>45</v>
      </c>
      <c r="F4634" s="1291">
        <v>164</v>
      </c>
      <c r="G4634" s="1550"/>
    </row>
    <row r="4635" spans="1:7" ht="12.75" customHeight="1">
      <c r="A4635" s="1754">
        <v>43811</v>
      </c>
      <c r="B4635" s="125" t="str">
        <f>TiposLancamentos!B97</f>
        <v>Deposito Terc.</v>
      </c>
      <c r="C4635" s="1040" t="s">
        <v>7357</v>
      </c>
      <c r="D4635" s="1736">
        <v>100</v>
      </c>
      <c r="E4635" s="1043"/>
      <c r="F4635" s="1043"/>
      <c r="G4635" s="1550"/>
    </row>
    <row r="4636" spans="1:7" ht="12.75" customHeight="1">
      <c r="A4636" s="1754">
        <v>43812</v>
      </c>
      <c r="B4636" s="125" t="str">
        <f>TiposLancamentos!B97</f>
        <v>Deposito Terc.</v>
      </c>
      <c r="C4636" s="1040" t="s">
        <v>7358</v>
      </c>
      <c r="D4636" s="1736"/>
      <c r="E4636" s="1043">
        <v>500</v>
      </c>
      <c r="F4636" s="1043"/>
      <c r="G4636" s="1550"/>
    </row>
    <row r="4637" spans="1:7" ht="12.75" customHeight="1">
      <c r="A4637" s="1754">
        <v>43812</v>
      </c>
      <c r="B4637" s="125" t="str">
        <f>TiposLancamentos!B97</f>
        <v>Deposito Terc.</v>
      </c>
      <c r="C4637" s="1040" t="s">
        <v>7359</v>
      </c>
      <c r="D4637" s="1736">
        <v>100</v>
      </c>
      <c r="E4637" s="1043"/>
      <c r="F4637" s="1043"/>
      <c r="G4637" s="1550"/>
    </row>
    <row r="4638" spans="1:7" ht="12.75" customHeight="1">
      <c r="A4638" s="1754">
        <v>43812</v>
      </c>
      <c r="B4638" s="125" t="str">
        <f>TiposLancamentos!B97</f>
        <v>Deposito Terc.</v>
      </c>
      <c r="C4638" s="1040" t="s">
        <v>7360</v>
      </c>
      <c r="D4638" s="1736">
        <v>100</v>
      </c>
      <c r="E4638" s="1043"/>
      <c r="F4638" s="1043"/>
      <c r="G4638" s="1550"/>
    </row>
    <row r="4639" spans="1:7" ht="12.75" customHeight="1">
      <c r="A4639" s="1754">
        <v>43751</v>
      </c>
      <c r="B4639" s="125" t="str">
        <f>TiposLancamentos!B97</f>
        <v>Deposito Terc.</v>
      </c>
      <c r="C4639" s="1040" t="s">
        <v>7361</v>
      </c>
      <c r="D4639" s="1736">
        <v>70</v>
      </c>
      <c r="E4639" s="1043"/>
      <c r="F4639" s="1043"/>
      <c r="G4639" s="1550"/>
    </row>
    <row r="4640" spans="1:7" ht="12.75" customHeight="1">
      <c r="A4640" s="1754">
        <v>43751</v>
      </c>
      <c r="B4640" s="125" t="str">
        <f>TiposLancamentos!B97</f>
        <v>Deposito Terc.</v>
      </c>
      <c r="C4640" s="1040" t="s">
        <v>7362</v>
      </c>
      <c r="D4640" s="1736">
        <v>200</v>
      </c>
      <c r="E4640" s="1043"/>
      <c r="F4640" s="1043"/>
      <c r="G4640" s="1550"/>
    </row>
    <row r="4641" spans="1:7" ht="12.75" customHeight="1">
      <c r="A4641" s="1754">
        <v>43812</v>
      </c>
      <c r="B4641" s="125" t="str">
        <f>TiposLancamentos!B103</f>
        <v>Juros_Corr. Poupança</v>
      </c>
      <c r="C4641" s="1040" t="s">
        <v>7341</v>
      </c>
      <c r="D4641" s="1736">
        <v>0.03</v>
      </c>
      <c r="E4641" s="1043"/>
      <c r="F4641" s="1043"/>
      <c r="G4641" s="1550"/>
    </row>
    <row r="4642" spans="1:7" ht="12.75" customHeight="1">
      <c r="A4642" s="1754">
        <v>43813</v>
      </c>
      <c r="B4642" s="125" t="str">
        <f>TiposLancamentos!B19</f>
        <v>Restaurantes</v>
      </c>
      <c r="C4642" s="1040" t="s">
        <v>7363</v>
      </c>
      <c r="D4642" s="1736"/>
      <c r="E4642" s="1043">
        <v>28</v>
      </c>
      <c r="F4642" s="1043"/>
      <c r="G4642" s="1550"/>
    </row>
    <row r="4643" spans="1:7" ht="12.75" customHeight="1">
      <c r="A4643" s="1754">
        <v>43813</v>
      </c>
      <c r="B4643" s="125" t="str">
        <f>TiposLancamentos!B19</f>
        <v>Restaurantes</v>
      </c>
      <c r="C4643" s="1040" t="s">
        <v>7364</v>
      </c>
      <c r="D4643" s="1736"/>
      <c r="E4643" s="1043">
        <v>6.5</v>
      </c>
      <c r="F4643" s="1043"/>
      <c r="G4643" s="1550"/>
    </row>
    <row r="4644" spans="1:7" ht="12.75" customHeight="1">
      <c r="A4644" s="1754">
        <v>43814</v>
      </c>
      <c r="B4644" s="125" t="str">
        <f>TiposLancamentos!B19</f>
        <v>Restaurantes</v>
      </c>
      <c r="C4644" s="1040" t="s">
        <v>7365</v>
      </c>
      <c r="D4644" s="1736"/>
      <c r="E4644" s="1043">
        <v>35.32</v>
      </c>
      <c r="F4644" s="1043"/>
      <c r="G4644" s="1550"/>
    </row>
    <row r="4645" spans="1:7" ht="12.75" customHeight="1">
      <c r="A4645" s="1666">
        <v>43814</v>
      </c>
      <c r="B4645" s="817" t="str">
        <f>TiposLancamentos!B33</f>
        <v>Pedágios</v>
      </c>
      <c r="C4645" s="1742" t="s">
        <v>5392</v>
      </c>
      <c r="D4645" s="1735"/>
      <c r="E4645" s="1733">
        <f>F4647-(E4646+E4647)</f>
        <v>50.080000000000013</v>
      </c>
      <c r="F4645" s="1290"/>
      <c r="G4645" s="1550"/>
    </row>
    <row r="4646" spans="1:7" ht="12.75" customHeight="1">
      <c r="A4646" s="1667">
        <v>43814</v>
      </c>
      <c r="B4646" s="816" t="str">
        <f>TiposLancamentos!B24</f>
        <v>Estacionamentos</v>
      </c>
      <c r="C4646" s="1769" t="s">
        <v>7366</v>
      </c>
      <c r="D4646" s="1736"/>
      <c r="E4646" s="1734">
        <v>64</v>
      </c>
      <c r="F4646" s="1043"/>
      <c r="G4646" s="1550"/>
    </row>
    <row r="4647" spans="1:7" ht="12.75" customHeight="1">
      <c r="A4647" s="1750">
        <v>43814</v>
      </c>
      <c r="B4647" s="818" t="str">
        <f>TiposLancamentos!B24</f>
        <v>Estacionamentos</v>
      </c>
      <c r="C4647" s="1743" t="s">
        <v>6297</v>
      </c>
      <c r="D4647" s="1737"/>
      <c r="E4647" s="1668">
        <v>36</v>
      </c>
      <c r="F4647" s="1291">
        <v>150.08000000000001</v>
      </c>
      <c r="G4647" s="1550"/>
    </row>
    <row r="4648" spans="1:7" ht="12.75" customHeight="1">
      <c r="A4648" s="1754">
        <v>43814</v>
      </c>
      <c r="B4648" s="125" t="str">
        <f>TiposLancamentos!B16</f>
        <v>Cristiane</v>
      </c>
      <c r="C4648" s="1770" t="s">
        <v>7367</v>
      </c>
      <c r="D4648" s="1736"/>
      <c r="E4648" s="1043">
        <v>83.99</v>
      </c>
      <c r="F4648" s="1458"/>
      <c r="G4648" s="1550"/>
    </row>
    <row r="4649" spans="1:7" ht="12.75" customHeight="1">
      <c r="A4649" s="1754">
        <v>43814</v>
      </c>
      <c r="B4649" s="125" t="str">
        <f>TiposLancamentos!B2</f>
        <v>Telefonia</v>
      </c>
      <c r="C4649" s="1770" t="s">
        <v>7368</v>
      </c>
      <c r="D4649" s="1736"/>
      <c r="E4649" s="1043">
        <v>83.99</v>
      </c>
      <c r="F4649" s="1458"/>
      <c r="G4649" s="1550"/>
    </row>
    <row r="4650" spans="1:7" ht="12.75" customHeight="1">
      <c r="A4650" s="1754">
        <v>43814</v>
      </c>
      <c r="B4650" s="125"/>
      <c r="C4650" s="1770" t="s">
        <v>1868</v>
      </c>
      <c r="D4650" s="1736"/>
      <c r="E4650" s="1043"/>
      <c r="F4650" s="1458"/>
      <c r="G4650" s="1550"/>
    </row>
    <row r="4651" spans="1:7" ht="12.75" customHeight="1">
      <c r="A4651" s="1666">
        <v>43815</v>
      </c>
      <c r="B4651" s="817" t="str">
        <f>TiposLancamentos!B35</f>
        <v>Tv à Cabo</v>
      </c>
      <c r="C4651" s="1742" t="s">
        <v>5834</v>
      </c>
      <c r="D4651" s="1735"/>
      <c r="E4651" s="1733">
        <v>140.04</v>
      </c>
      <c r="F4651" s="1290"/>
      <c r="G4651" s="1550"/>
    </row>
    <row r="4652" spans="1:7" ht="12.75" customHeight="1">
      <c r="A4652" s="1667">
        <v>43815</v>
      </c>
      <c r="B4652" s="816" t="str">
        <f>TiposLancamentos!B3</f>
        <v>Internet</v>
      </c>
      <c r="C4652" s="1769" t="s">
        <v>5835</v>
      </c>
      <c r="D4652" s="1736"/>
      <c r="E4652" s="1734">
        <v>102.47</v>
      </c>
      <c r="F4652" s="1043"/>
      <c r="G4652" s="1550"/>
    </row>
    <row r="4653" spans="1:7" ht="12.75" customHeight="1">
      <c r="A4653" s="1750">
        <v>43815</v>
      </c>
      <c r="B4653" s="818" t="str">
        <f>TiposLancamentos!B2</f>
        <v>Telefonia</v>
      </c>
      <c r="C4653" s="1743" t="s">
        <v>7210</v>
      </c>
      <c r="D4653" s="1737"/>
      <c r="E4653" s="1668">
        <v>0</v>
      </c>
      <c r="F4653" s="1291">
        <f>SUM(E4651:E4653)</f>
        <v>242.51</v>
      </c>
      <c r="G4653" s="1550"/>
    </row>
    <row r="4654" spans="1:7" ht="12.75" customHeight="1">
      <c r="A4654" s="1754">
        <v>43815</v>
      </c>
      <c r="B4654" s="125" t="str">
        <f>TiposLancamentos!B46</f>
        <v>Maçonaria</v>
      </c>
      <c r="C4654" s="1040" t="s">
        <v>7369</v>
      </c>
      <c r="D4654" s="1736"/>
      <c r="E4654" s="1043">
        <v>180</v>
      </c>
      <c r="F4654" s="1043"/>
      <c r="G4654" s="1550"/>
    </row>
    <row r="4655" spans="1:7" ht="12.75" customHeight="1">
      <c r="A4655" s="1754">
        <v>43815</v>
      </c>
      <c r="B4655" s="125" t="str">
        <f>TiposLancamentos!B97</f>
        <v>Deposito Terc.</v>
      </c>
      <c r="C4655" s="1040" t="s">
        <v>7358</v>
      </c>
      <c r="D4655" s="1736"/>
      <c r="E4655" s="1043">
        <v>470</v>
      </c>
      <c r="F4655" s="1043"/>
      <c r="G4655" s="1550"/>
    </row>
    <row r="4656" spans="1:7" ht="12.75" customHeight="1">
      <c r="A4656" s="1754">
        <v>43815</v>
      </c>
      <c r="B4656" s="125" t="str">
        <f>TiposLancamentos!B103</f>
        <v>Juros_Corr. Poupança</v>
      </c>
      <c r="C4656" s="1040" t="s">
        <v>7341</v>
      </c>
      <c r="D4656" s="1736">
        <v>0.02</v>
      </c>
      <c r="E4656" s="1043"/>
      <c r="F4656" s="1043"/>
      <c r="G4656" s="1550"/>
    </row>
    <row r="4657" spans="1:7" ht="12.75" customHeight="1">
      <c r="A4657" s="1754">
        <v>43817</v>
      </c>
      <c r="B4657" s="125" t="str">
        <f>TiposLancamentos!B19</f>
        <v>Restaurantes</v>
      </c>
      <c r="C4657" s="1040" t="s">
        <v>7370</v>
      </c>
      <c r="D4657" s="1736"/>
      <c r="E4657" s="1043">
        <v>15</v>
      </c>
      <c r="F4657" s="1043"/>
      <c r="G4657" s="1550"/>
    </row>
    <row r="4658" spans="1:7" ht="12.75" customHeight="1">
      <c r="A4658" s="1754">
        <v>43817</v>
      </c>
      <c r="B4658" s="125" t="str">
        <f>TiposLancamentos!B19</f>
        <v>Restaurantes</v>
      </c>
      <c r="C4658" s="1040" t="s">
        <v>7371</v>
      </c>
      <c r="D4658" s="1736"/>
      <c r="E4658" s="1043">
        <v>23.08</v>
      </c>
      <c r="F4658" s="1043"/>
      <c r="G4658" s="1550"/>
    </row>
    <row r="4659" spans="1:7" ht="12.75" customHeight="1">
      <c r="A4659" s="1754">
        <v>43818</v>
      </c>
      <c r="B4659" s="125" t="str">
        <f>TiposLancamentos!B95</f>
        <v>Salarios</v>
      </c>
      <c r="C4659" s="1040" t="s">
        <v>7372</v>
      </c>
      <c r="D4659" s="1736">
        <v>630</v>
      </c>
      <c r="E4659" s="1043"/>
      <c r="F4659" s="1043"/>
      <c r="G4659" s="1550"/>
    </row>
    <row r="4660" spans="1:7" ht="12.75" customHeight="1">
      <c r="A4660" s="1754">
        <v>43818</v>
      </c>
      <c r="B4660" s="125" t="str">
        <f>TiposLancamentos!B17</f>
        <v>GATO</v>
      </c>
      <c r="C4660" s="1040" t="s">
        <v>7373</v>
      </c>
      <c r="D4660" s="1736"/>
      <c r="E4660" s="1043">
        <v>43.8</v>
      </c>
      <c r="F4660" s="1043"/>
      <c r="G4660" s="1550"/>
    </row>
    <row r="4661" spans="1:7" ht="12.75" customHeight="1">
      <c r="A4661" s="1754">
        <v>43818</v>
      </c>
      <c r="B4661" s="125" t="str">
        <f>TiposLancamentos!B103</f>
        <v>Juros_Corr. Poupança</v>
      </c>
      <c r="C4661" s="1040" t="s">
        <v>7341</v>
      </c>
      <c r="D4661" s="1736">
        <v>0.03</v>
      </c>
      <c r="E4661" s="1043"/>
      <c r="F4661" s="1043"/>
      <c r="G4661" s="1550"/>
    </row>
    <row r="4662" spans="1:7" ht="12.75" customHeight="1">
      <c r="A4662" s="1754">
        <v>43820</v>
      </c>
      <c r="B4662" s="125" t="str">
        <f>TiposLancamentos!B19</f>
        <v>Restaurantes</v>
      </c>
      <c r="C4662" s="1040" t="s">
        <v>7374</v>
      </c>
      <c r="D4662" s="1736"/>
      <c r="E4662" s="1043">
        <v>28</v>
      </c>
      <c r="F4662" s="1043"/>
      <c r="G4662" s="1550"/>
    </row>
    <row r="4663" spans="1:7" ht="12.75" customHeight="1">
      <c r="A4663" s="1754">
        <v>43820</v>
      </c>
      <c r="B4663" s="125" t="str">
        <f>TiposLancamentos!B19</f>
        <v>Restaurantes</v>
      </c>
      <c r="C4663" s="1040" t="s">
        <v>7375</v>
      </c>
      <c r="D4663" s="1736"/>
      <c r="E4663" s="1043">
        <v>7</v>
      </c>
      <c r="F4663" s="1043"/>
      <c r="G4663" s="1550"/>
    </row>
    <row r="4664" spans="1:7" ht="12.75" customHeight="1">
      <c r="A4664" s="1754">
        <v>43820</v>
      </c>
      <c r="B4664" s="125" t="str">
        <f>TiposLancamentos!B19</f>
        <v>Restaurantes</v>
      </c>
      <c r="C4664" s="1040" t="s">
        <v>7376</v>
      </c>
      <c r="D4664" s="1736"/>
      <c r="E4664" s="1043">
        <v>45.47</v>
      </c>
      <c r="F4664" s="1043"/>
      <c r="G4664" s="1550"/>
    </row>
    <row r="4665" spans="1:7" ht="12.75" customHeight="1">
      <c r="A4665" s="1754">
        <v>43820</v>
      </c>
      <c r="B4665" s="125" t="str">
        <f>TiposLancamentos!B20</f>
        <v>Saques</v>
      </c>
      <c r="C4665" s="1040" t="s">
        <v>4368</v>
      </c>
      <c r="D4665" s="1736"/>
      <c r="E4665" s="1043">
        <v>20</v>
      </c>
      <c r="F4665" s="1043"/>
      <c r="G4665" s="1550"/>
    </row>
    <row r="4666" spans="1:7" ht="12.75" customHeight="1">
      <c r="A4666" s="1754">
        <v>43821</v>
      </c>
      <c r="B4666" s="125" t="str">
        <f>TiposLancamentos!B19</f>
        <v>Restaurantes</v>
      </c>
      <c r="C4666" s="1040" t="s">
        <v>7377</v>
      </c>
      <c r="D4666" s="1736"/>
      <c r="E4666" s="1043">
        <v>168.82</v>
      </c>
      <c r="F4666" s="1043"/>
      <c r="G4666" s="1550"/>
    </row>
    <row r="4667" spans="1:7" ht="12.75" customHeight="1">
      <c r="A4667" s="1754">
        <v>43822</v>
      </c>
      <c r="B4667" s="125" t="str">
        <f>TiposLancamentos!B103</f>
        <v>Juros_Corr. Poupança</v>
      </c>
      <c r="C4667" s="1040" t="s">
        <v>7341</v>
      </c>
      <c r="D4667" s="1736">
        <v>0.22</v>
      </c>
      <c r="E4667" s="1043"/>
      <c r="F4667" s="1043"/>
      <c r="G4667" s="1550"/>
    </row>
    <row r="4668" spans="1:7" ht="12.75" customHeight="1">
      <c r="A4668" s="1754">
        <v>43822</v>
      </c>
      <c r="B4668" s="125" t="str">
        <f>TiposLancamentos!B56</f>
        <v>Farmácia</v>
      </c>
      <c r="C4668" s="1040" t="s">
        <v>7378</v>
      </c>
      <c r="D4668" s="1736"/>
      <c r="E4668" s="1043">
        <v>14.91</v>
      </c>
      <c r="F4668" s="1043"/>
      <c r="G4668" s="1550"/>
    </row>
    <row r="4669" spans="1:7" ht="12.75" customHeight="1">
      <c r="A4669" s="1754">
        <v>43826</v>
      </c>
      <c r="B4669" s="125" t="str">
        <f>TiposLancamentos!B103</f>
        <v>Juros_Corr. Poupança</v>
      </c>
      <c r="C4669" s="1040" t="s">
        <v>7341</v>
      </c>
      <c r="D4669" s="1736">
        <v>0.04</v>
      </c>
      <c r="E4669" s="1043"/>
      <c r="F4669" s="1043"/>
      <c r="G4669" s="1550"/>
    </row>
    <row r="4670" spans="1:7" ht="12.75" customHeight="1">
      <c r="A4670" s="1754">
        <v>43825</v>
      </c>
      <c r="B4670" s="125" t="str">
        <f>TiposLancamentos!B19</f>
        <v>Restaurantes</v>
      </c>
      <c r="C4670" s="1040" t="s">
        <v>7379</v>
      </c>
      <c r="D4670" s="1736"/>
      <c r="E4670" s="1043">
        <v>19</v>
      </c>
      <c r="F4670" s="1043"/>
      <c r="G4670" s="1550"/>
    </row>
    <row r="4671" spans="1:7" ht="12.75" customHeight="1">
      <c r="A4671" s="1754">
        <v>43825</v>
      </c>
      <c r="B4671" s="125" t="str">
        <f>TiposLancamentos!B19</f>
        <v>Restaurantes</v>
      </c>
      <c r="C4671" s="1040" t="s">
        <v>7380</v>
      </c>
      <c r="D4671" s="1736"/>
      <c r="E4671" s="1043">
        <v>62.4</v>
      </c>
      <c r="F4671" s="1043"/>
      <c r="G4671" s="1550"/>
    </row>
    <row r="4672" spans="1:7" ht="12.75" customHeight="1">
      <c r="A4672" s="1754">
        <v>43826</v>
      </c>
      <c r="B4672" s="125" t="str">
        <f>TiposLancamentos!B95</f>
        <v>Salarios</v>
      </c>
      <c r="C4672" s="1040" t="s">
        <v>7322</v>
      </c>
      <c r="D4672" s="1736">
        <v>6936.99</v>
      </c>
      <c r="E4672" s="1043"/>
      <c r="F4672" s="1043"/>
      <c r="G4672" s="1550"/>
    </row>
    <row r="4673" spans="1:7" ht="12.75" customHeight="1">
      <c r="A4673" s="1754">
        <v>43827</v>
      </c>
      <c r="B4673" s="125" t="str">
        <f>TiposLancamentos!B80</f>
        <v>Mudanças</v>
      </c>
      <c r="C4673" s="1040" t="s">
        <v>7381</v>
      </c>
      <c r="D4673" s="1736"/>
      <c r="E4673" s="1043">
        <v>20</v>
      </c>
      <c r="F4673" s="1043"/>
      <c r="G4673" s="1550"/>
    </row>
    <row r="4674" spans="1:7" ht="12.75" customHeight="1">
      <c r="A4674" s="1754">
        <v>43827</v>
      </c>
      <c r="B4674" s="125" t="str">
        <f>TiposLancamentos!B71</f>
        <v>Itens Pessoais</v>
      </c>
      <c r="C4674" s="1040" t="s">
        <v>7382</v>
      </c>
      <c r="D4674" s="1736"/>
      <c r="E4674" s="1043">
        <v>70</v>
      </c>
      <c r="F4674" s="1043"/>
      <c r="G4674" s="1550"/>
    </row>
    <row r="4675" spans="1:7" ht="12.75" customHeight="1">
      <c r="A4675" s="1754">
        <v>43828</v>
      </c>
      <c r="B4675" s="125" t="str">
        <f>TiposLancamentos!B13</f>
        <v>Moradia</v>
      </c>
      <c r="C4675" s="1040" t="s">
        <v>7383</v>
      </c>
      <c r="D4675" s="1736"/>
      <c r="E4675" s="1043">
        <v>123.99</v>
      </c>
      <c r="F4675" s="1043"/>
      <c r="G4675" s="1550"/>
    </row>
    <row r="4676" spans="1:7" ht="12.75" customHeight="1">
      <c r="A4676" s="1754">
        <v>43828</v>
      </c>
      <c r="B4676" s="125" t="str">
        <f>TiposLancamentos!B19</f>
        <v>Restaurantes</v>
      </c>
      <c r="C4676" s="1040" t="s">
        <v>7384</v>
      </c>
      <c r="D4676" s="1736"/>
      <c r="E4676" s="1043">
        <v>113</v>
      </c>
      <c r="F4676" s="1043"/>
      <c r="G4676" s="1550"/>
    </row>
    <row r="4677" spans="1:7" ht="12.75" customHeight="1">
      <c r="A4677" s="1754">
        <v>43829</v>
      </c>
      <c r="B4677" s="125" t="str">
        <f>TiposLancamentos!B20</f>
        <v>Saques</v>
      </c>
      <c r="C4677" s="1040" t="s">
        <v>7385</v>
      </c>
      <c r="D4677" s="1736"/>
      <c r="E4677" s="1043">
        <v>800</v>
      </c>
      <c r="F4677" s="1043"/>
      <c r="G4677" s="1550"/>
    </row>
    <row r="4678" spans="1:7" ht="12.75" customHeight="1">
      <c r="A4678" s="1754">
        <v>43829</v>
      </c>
      <c r="B4678" s="125" t="str">
        <f>TiposLancamentos!B5</f>
        <v>Supermercado</v>
      </c>
      <c r="C4678" s="1040" t="s">
        <v>7386</v>
      </c>
      <c r="D4678" s="1736"/>
      <c r="E4678" s="1043">
        <v>39.67</v>
      </c>
      <c r="F4678" s="1043"/>
      <c r="G4678" s="1550"/>
    </row>
    <row r="4679" spans="1:7" ht="12.75" customHeight="1">
      <c r="A4679" s="1754">
        <v>43829</v>
      </c>
      <c r="B4679" s="125" t="str">
        <f>TiposLancamentos!B103</f>
        <v>Juros_Corr. Poupança</v>
      </c>
      <c r="C4679" s="1040" t="s">
        <v>7341</v>
      </c>
      <c r="D4679" s="1736">
        <v>0.42</v>
      </c>
      <c r="E4679" s="1043"/>
      <c r="F4679" s="1043"/>
      <c r="G4679" s="1550"/>
    </row>
    <row r="4680" spans="1:7" ht="12.75" customHeight="1">
      <c r="A4680" s="1754">
        <v>43830</v>
      </c>
      <c r="B4680" s="125" t="str">
        <f>TiposLancamentos!B6</f>
        <v>Energia Eletrica</v>
      </c>
      <c r="C4680" s="1040" t="s">
        <v>7387</v>
      </c>
      <c r="D4680" s="1736"/>
      <c r="E4680" s="1043">
        <v>207.71</v>
      </c>
      <c r="F4680" s="1043"/>
      <c r="G4680" s="1550"/>
    </row>
    <row r="4681" spans="1:7" ht="12.75" customHeight="1">
      <c r="A4681" s="1754">
        <v>43830</v>
      </c>
      <c r="B4681" s="125" t="str">
        <f>TiposLancamentos!B5</f>
        <v>Supermercado</v>
      </c>
      <c r="C4681" s="1040" t="s">
        <v>7388</v>
      </c>
      <c r="D4681" s="1736"/>
      <c r="E4681" s="1043">
        <v>276.60000000000002</v>
      </c>
      <c r="F4681" s="1043"/>
      <c r="G4681" s="1550"/>
    </row>
    <row r="4682" spans="1:7" ht="12.75" customHeight="1" thickBot="1">
      <c r="A4682" s="1754">
        <v>43830</v>
      </c>
      <c r="B4682" s="125" t="str">
        <f>TiposLancamentos!B103</f>
        <v>Juros_Corr. Poupança</v>
      </c>
      <c r="C4682" s="1040" t="s">
        <v>7341</v>
      </c>
      <c r="D4682" s="1736">
        <v>0.15</v>
      </c>
      <c r="E4682" s="1043"/>
      <c r="F4682" s="1043"/>
      <c r="G4682" s="1550"/>
    </row>
    <row r="4683" spans="1:7" ht="12.75" customHeight="1">
      <c r="A4683" s="1834"/>
      <c r="B4683" s="977"/>
      <c r="C4683" s="1854" t="s">
        <v>7389</v>
      </c>
      <c r="D4683" s="1823"/>
      <c r="E4683" s="1821"/>
      <c r="F4683" s="1821"/>
      <c r="G4683" s="1895"/>
    </row>
    <row r="4684" spans="1:7" ht="12.75" customHeight="1">
      <c r="A4684" s="1754">
        <v>43831</v>
      </c>
      <c r="B4684" s="125" t="str">
        <f>TiposLancamentos!B56</f>
        <v>Farmácia</v>
      </c>
      <c r="C4684" s="1040" t="s">
        <v>7390</v>
      </c>
      <c r="D4684" s="1736"/>
      <c r="E4684" s="1043">
        <v>138.16999999999999</v>
      </c>
      <c r="F4684" s="1043"/>
      <c r="G4684" s="1550"/>
    </row>
    <row r="4685" spans="1:7" ht="12.75" customHeight="1">
      <c r="A4685" s="1754">
        <v>43832</v>
      </c>
      <c r="B4685" s="125" t="str">
        <f>TiposLancamentos!B15</f>
        <v>Cartões de Crédito</v>
      </c>
      <c r="C4685" s="1040" t="s">
        <v>7391</v>
      </c>
      <c r="D4685" s="1736"/>
      <c r="E4685" s="1043">
        <v>1422.77</v>
      </c>
      <c r="F4685" s="1043"/>
      <c r="G4685" s="1550"/>
    </row>
    <row r="4686" spans="1:7" ht="12.75" customHeight="1">
      <c r="A4686" s="1754">
        <v>43832</v>
      </c>
      <c r="B4686" s="125" t="str">
        <f>TiposLancamentos!B15</f>
        <v>Cartões de Crédito</v>
      </c>
      <c r="C4686" s="1040" t="s">
        <v>7332</v>
      </c>
      <c r="D4686" s="1736"/>
      <c r="E4686" s="1043">
        <v>74.900000000000006</v>
      </c>
      <c r="F4686" s="1043"/>
      <c r="G4686" s="1550"/>
    </row>
    <row r="4687" spans="1:7" ht="12.75" customHeight="1">
      <c r="A4687" s="1754">
        <v>43832</v>
      </c>
      <c r="B4687" s="125" t="str">
        <f>TiposLancamentos!B15</f>
        <v>Cartões de Crédito</v>
      </c>
      <c r="C4687" s="1040" t="s">
        <v>7333</v>
      </c>
      <c r="D4687" s="1736"/>
      <c r="E4687" s="1043">
        <v>263.60000000000002</v>
      </c>
      <c r="F4687" s="1043"/>
      <c r="G4687" s="1550"/>
    </row>
    <row r="4688" spans="1:7" ht="12.75" customHeight="1">
      <c r="A4688" s="1754">
        <v>43832</v>
      </c>
      <c r="B4688" s="125" t="str">
        <f>TiposLancamentos!B15</f>
        <v>Cartões de Crédito</v>
      </c>
      <c r="C4688" s="1040" t="s">
        <v>7392</v>
      </c>
      <c r="D4688" s="1736"/>
      <c r="E4688" s="1043">
        <v>81.22</v>
      </c>
      <c r="F4688" s="1043"/>
      <c r="G4688" s="1550"/>
    </row>
    <row r="4689" spans="1:7" ht="12.75" customHeight="1">
      <c r="A4689" s="1754">
        <v>43832</v>
      </c>
      <c r="B4689" s="125" t="str">
        <f>TiposLancamentos!B15</f>
        <v>Cartões de Crédito</v>
      </c>
      <c r="C4689" s="1040" t="s">
        <v>7393</v>
      </c>
      <c r="D4689" s="1736"/>
      <c r="E4689" s="1043">
        <v>329.31</v>
      </c>
      <c r="F4689" s="1043"/>
      <c r="G4689" s="1550"/>
    </row>
    <row r="4690" spans="1:7" ht="12.75" customHeight="1">
      <c r="A4690" s="1754">
        <v>43832</v>
      </c>
      <c r="B4690" s="125" t="str">
        <f>TiposLancamentos!B103</f>
        <v>Juros_Corr. Poupança</v>
      </c>
      <c r="C4690" s="1040" t="s">
        <v>7341</v>
      </c>
      <c r="D4690" s="1736">
        <v>0.02</v>
      </c>
      <c r="E4690" s="1043"/>
      <c r="F4690" s="1043"/>
      <c r="G4690" s="1550"/>
    </row>
    <row r="4691" spans="1:7" ht="12.75" customHeight="1">
      <c r="A4691" s="1754">
        <v>43834</v>
      </c>
      <c r="B4691" s="125" t="str">
        <f>TiposLancamentos!B4</f>
        <v>Taxas Bancarias</v>
      </c>
      <c r="C4691" s="1040" t="s">
        <v>7394</v>
      </c>
      <c r="D4691" s="1736"/>
      <c r="E4691" s="1043">
        <v>5</v>
      </c>
      <c r="F4691" s="1043"/>
      <c r="G4691" s="1550"/>
    </row>
    <row r="4692" spans="1:7" ht="12.75" customHeight="1">
      <c r="A4692" s="1754">
        <v>43834</v>
      </c>
      <c r="B4692" s="125" t="str">
        <f>TiposLancamentos!B56</f>
        <v>Farmácia</v>
      </c>
      <c r="C4692" s="1040" t="s">
        <v>7395</v>
      </c>
      <c r="D4692" s="1736"/>
      <c r="E4692" s="1043">
        <v>93.7</v>
      </c>
      <c r="F4692" s="1043"/>
      <c r="G4692" s="1550"/>
    </row>
    <row r="4693" spans="1:7" ht="12.75" customHeight="1">
      <c r="A4693" s="1754">
        <v>43836</v>
      </c>
      <c r="B4693" s="125" t="str">
        <f>TiposLancamentos!B9</f>
        <v>Condominio</v>
      </c>
      <c r="C4693" s="1040" t="s">
        <v>7396</v>
      </c>
      <c r="D4693" s="1736"/>
      <c r="E4693" s="1043">
        <v>1209.3900000000001</v>
      </c>
      <c r="F4693" s="1043"/>
      <c r="G4693" s="1550"/>
    </row>
    <row r="4694" spans="1:7" ht="12.75" customHeight="1">
      <c r="A4694" s="1754">
        <v>43839</v>
      </c>
      <c r="B4694" s="125" t="str">
        <f>TiposLancamentos!B13</f>
        <v>Moradia</v>
      </c>
      <c r="C4694" s="1040" t="s">
        <v>7397</v>
      </c>
      <c r="D4694" s="1736"/>
      <c r="E4694" s="1043">
        <v>157.87</v>
      </c>
      <c r="F4694" s="1043"/>
      <c r="G4694" s="1550"/>
    </row>
    <row r="4695" spans="1:7" ht="12.75" customHeight="1">
      <c r="A4695" s="1754">
        <v>43839</v>
      </c>
      <c r="B4695" s="125" t="str">
        <f>TiposLancamentos!B29</f>
        <v>Mangá</v>
      </c>
      <c r="C4695" s="1040" t="s">
        <v>7398</v>
      </c>
      <c r="D4695" s="1736"/>
      <c r="E4695" s="1043">
        <v>19.899999999999999</v>
      </c>
      <c r="F4695" s="1043"/>
      <c r="G4695" s="1550"/>
    </row>
    <row r="4696" spans="1:7" ht="12.75" customHeight="1">
      <c r="A4696" s="1754">
        <v>43839</v>
      </c>
      <c r="B4696" s="125" t="str">
        <f>TiposLancamentos!B81</f>
        <v>Ferramentas gerais</v>
      </c>
      <c r="C4696" s="1040" t="s">
        <v>7399</v>
      </c>
      <c r="D4696" s="1736"/>
      <c r="E4696" s="1043">
        <v>15.8</v>
      </c>
      <c r="F4696" s="1043"/>
      <c r="G4696" s="1550"/>
    </row>
    <row r="4697" spans="1:7" ht="12.75" customHeight="1">
      <c r="A4697" s="1754">
        <v>43839</v>
      </c>
      <c r="B4697" s="125" t="str">
        <f>TiposLancamentos!B56</f>
        <v>Farmácia</v>
      </c>
      <c r="C4697" s="1040" t="s">
        <v>7400</v>
      </c>
      <c r="D4697" s="1736"/>
      <c r="E4697" s="1043">
        <v>94.48</v>
      </c>
      <c r="F4697" s="1043"/>
      <c r="G4697" s="1550"/>
    </row>
    <row r="4698" spans="1:7" ht="12.75" customHeight="1">
      <c r="A4698" s="1754">
        <v>43840</v>
      </c>
      <c r="B4698" s="125" t="str">
        <f>TiposLancamentos!B105</f>
        <v>Transf. Bco</v>
      </c>
      <c r="C4698" s="1040" t="s">
        <v>4137</v>
      </c>
      <c r="D4698" s="1736">
        <v>3904.24</v>
      </c>
      <c r="E4698" s="1043"/>
      <c r="F4698" s="1043"/>
      <c r="G4698" s="1550"/>
    </row>
    <row r="4699" spans="1:7" ht="12.75" customHeight="1">
      <c r="A4699" s="1754">
        <v>43840</v>
      </c>
      <c r="B4699" s="125" t="str">
        <f>TiposLancamentos!B24</f>
        <v>Estacionamentos</v>
      </c>
      <c r="C4699" s="1040" t="s">
        <v>7401</v>
      </c>
      <c r="D4699" s="1736"/>
      <c r="E4699" s="1043">
        <v>7</v>
      </c>
      <c r="F4699" s="1043"/>
      <c r="G4699" s="1550"/>
    </row>
    <row r="4700" spans="1:7" ht="12.75" customHeight="1">
      <c r="A4700" s="1754">
        <v>43840</v>
      </c>
      <c r="B4700" s="125" t="str">
        <f>TiposLancamentos!B5</f>
        <v>Supermercado</v>
      </c>
      <c r="C4700" s="1040" t="s">
        <v>7402</v>
      </c>
      <c r="D4700" s="1736"/>
      <c r="E4700" s="1043">
        <v>41.91</v>
      </c>
      <c r="F4700" s="1043"/>
      <c r="G4700" s="1550"/>
    </row>
    <row r="4701" spans="1:7" ht="12.75" customHeight="1">
      <c r="A4701" s="1754">
        <v>43841</v>
      </c>
      <c r="B4701" s="125" t="str">
        <f>TiposLancamentos!B67</f>
        <v>Lavanderia</v>
      </c>
      <c r="C4701" s="1040" t="s">
        <v>7403</v>
      </c>
      <c r="D4701" s="1736"/>
      <c r="E4701" s="1043">
        <v>51</v>
      </c>
      <c r="F4701" s="1043"/>
      <c r="G4701" s="1550"/>
    </row>
    <row r="4702" spans="1:7" ht="12.75" customHeight="1">
      <c r="A4702" s="1754">
        <v>43841</v>
      </c>
      <c r="B4702" s="125" t="str">
        <f>TiposLancamentos!B16</f>
        <v>Cristiane</v>
      </c>
      <c r="C4702" s="1040" t="s">
        <v>7404</v>
      </c>
      <c r="D4702" s="1736"/>
      <c r="E4702" s="1043">
        <v>209.98</v>
      </c>
      <c r="F4702" s="1043"/>
      <c r="G4702" s="1550"/>
    </row>
    <row r="4703" spans="1:7" ht="12.75" customHeight="1">
      <c r="A4703" s="1754">
        <v>43841</v>
      </c>
      <c r="B4703" s="125" t="str">
        <f>TiposLancamentos!B56</f>
        <v>Farmácia</v>
      </c>
      <c r="C4703" s="1040" t="s">
        <v>7405</v>
      </c>
      <c r="D4703" s="1736"/>
      <c r="E4703" s="1043">
        <v>39.04</v>
      </c>
      <c r="F4703" s="1043"/>
      <c r="G4703" s="1550"/>
    </row>
    <row r="4704" spans="1:7" ht="12.75" customHeight="1">
      <c r="A4704" s="1754">
        <v>43841</v>
      </c>
      <c r="B4704" s="125" t="str">
        <f>TiposLancamentos!B19</f>
        <v>Restaurantes</v>
      </c>
      <c r="C4704" s="1040" t="s">
        <v>7406</v>
      </c>
      <c r="D4704" s="1736"/>
      <c r="E4704" s="1043">
        <v>114.29</v>
      </c>
      <c r="F4704" s="1043"/>
      <c r="G4704" s="1550"/>
    </row>
    <row r="4705" spans="1:7" ht="12.75" customHeight="1">
      <c r="A4705" s="1754">
        <v>43841</v>
      </c>
      <c r="B4705" s="125" t="str">
        <f>TiposLancamentos!B56</f>
        <v>Farmácia</v>
      </c>
      <c r="C4705" s="1040" t="s">
        <v>7407</v>
      </c>
      <c r="D4705" s="1736"/>
      <c r="E4705" s="1043">
        <v>8.9499999999999993</v>
      </c>
      <c r="F4705" s="1043"/>
      <c r="G4705" s="1550"/>
    </row>
    <row r="4706" spans="1:7" ht="12.75" customHeight="1">
      <c r="A4706" s="1754">
        <v>43841</v>
      </c>
      <c r="B4706" s="125" t="str">
        <f>TiposLancamentos!B24</f>
        <v>Estacionamentos</v>
      </c>
      <c r="C4706" s="1040" t="s">
        <v>7408</v>
      </c>
      <c r="D4706" s="1736"/>
      <c r="E4706" s="1043">
        <v>8</v>
      </c>
      <c r="F4706" s="1043"/>
      <c r="G4706" s="1550"/>
    </row>
    <row r="4707" spans="1:7" ht="12.75" customHeight="1">
      <c r="A4707" s="1754">
        <v>43841</v>
      </c>
      <c r="B4707" s="125" t="str">
        <f>TiposLancamentos!B5</f>
        <v>Supermercado</v>
      </c>
      <c r="C4707" s="1040" t="s">
        <v>7409</v>
      </c>
      <c r="D4707" s="1736"/>
      <c r="E4707" s="1043">
        <v>131.62</v>
      </c>
      <c r="F4707" s="1043"/>
      <c r="G4707" s="1550"/>
    </row>
    <row r="4708" spans="1:7" ht="12.75" customHeight="1">
      <c r="A4708" s="1754">
        <v>43842</v>
      </c>
      <c r="B4708" s="125" t="str">
        <f>TiposLancamentos!B103</f>
        <v>Juros_Corr. Poupança</v>
      </c>
      <c r="C4708" s="1040" t="s">
        <v>7341</v>
      </c>
      <c r="D4708" s="1736">
        <v>0.05</v>
      </c>
      <c r="E4708" s="1043"/>
      <c r="F4708" s="1043"/>
      <c r="G4708" s="1550"/>
    </row>
    <row r="4709" spans="1:7" ht="12.75" customHeight="1">
      <c r="A4709" s="1754">
        <v>43842</v>
      </c>
      <c r="B4709" s="125" t="str">
        <f>TiposLancamentos!B19</f>
        <v>Restaurantes</v>
      </c>
      <c r="C4709" s="1040" t="s">
        <v>7410</v>
      </c>
      <c r="D4709" s="1736"/>
      <c r="E4709" s="1043">
        <v>134.19999999999999</v>
      </c>
      <c r="F4709" s="1043"/>
      <c r="G4709" s="1550"/>
    </row>
    <row r="4710" spans="1:7" ht="12.75" customHeight="1">
      <c r="A4710" s="1754">
        <v>43842</v>
      </c>
      <c r="B4710" s="125" t="str">
        <f>TiposLancamentos!B24</f>
        <v>Estacionamentos</v>
      </c>
      <c r="C4710" s="1040" t="s">
        <v>7411</v>
      </c>
      <c r="D4710" s="1736"/>
      <c r="E4710" s="1043">
        <v>15</v>
      </c>
      <c r="F4710" s="1043"/>
      <c r="G4710" s="1550"/>
    </row>
    <row r="4711" spans="1:7" ht="12.75" customHeight="1">
      <c r="A4711" s="1754">
        <v>43843</v>
      </c>
      <c r="B4711" s="125" t="str">
        <f>TiposLancamentos!B13</f>
        <v>Moradia</v>
      </c>
      <c r="C4711" s="1040" t="s">
        <v>7412</v>
      </c>
      <c r="D4711" s="1736"/>
      <c r="E4711" s="1043">
        <v>28</v>
      </c>
      <c r="F4711" s="1043"/>
      <c r="G4711" s="1550"/>
    </row>
    <row r="4712" spans="1:7" ht="12.75" customHeight="1">
      <c r="A4712" s="1754">
        <v>43844</v>
      </c>
      <c r="B4712" s="125" t="str">
        <f>TiposLancamentos!B16</f>
        <v>Cristiane</v>
      </c>
      <c r="C4712" s="1040" t="s">
        <v>7413</v>
      </c>
      <c r="D4712" s="1736"/>
      <c r="E4712" s="1043">
        <v>139.9</v>
      </c>
      <c r="F4712" s="1043"/>
      <c r="G4712" s="1550"/>
    </row>
    <row r="4713" spans="1:7" ht="12.75" customHeight="1">
      <c r="A4713" s="1666">
        <v>43845</v>
      </c>
      <c r="B4713" s="817" t="str">
        <f>TiposLancamentos!B35</f>
        <v>Tv à Cabo</v>
      </c>
      <c r="C4713" s="1742" t="s">
        <v>5834</v>
      </c>
      <c r="D4713" s="1735"/>
      <c r="E4713" s="1733">
        <v>140.04</v>
      </c>
      <c r="F4713" s="1290"/>
      <c r="G4713" s="1550"/>
    </row>
    <row r="4714" spans="1:7" ht="12.75" customHeight="1">
      <c r="A4714" s="1667">
        <v>43845</v>
      </c>
      <c r="B4714" s="816" t="str">
        <f>TiposLancamentos!B3</f>
        <v>Internet</v>
      </c>
      <c r="C4714" s="1769" t="s">
        <v>5835</v>
      </c>
      <c r="D4714" s="1736"/>
      <c r="E4714" s="1734">
        <v>102.47</v>
      </c>
      <c r="F4714" s="1043"/>
      <c r="G4714" s="1550"/>
    </row>
    <row r="4715" spans="1:7" ht="12.75" customHeight="1">
      <c r="A4715" s="1750">
        <v>43845</v>
      </c>
      <c r="B4715" s="818" t="str">
        <f>TiposLancamentos!B2</f>
        <v>Telefonia</v>
      </c>
      <c r="C4715" s="1743" t="s">
        <v>7210</v>
      </c>
      <c r="D4715" s="1737"/>
      <c r="E4715" s="1668">
        <v>0</v>
      </c>
      <c r="F4715" s="1291">
        <f>SUM(E4713:E4715)</f>
        <v>242.51</v>
      </c>
      <c r="G4715" s="1550"/>
    </row>
    <row r="4716" spans="1:7" ht="12.75" customHeight="1">
      <c r="A4716" s="1754">
        <v>43845</v>
      </c>
      <c r="B4716" s="125" t="str">
        <f>TiposLancamentos!B16</f>
        <v>Cristiane</v>
      </c>
      <c r="C4716" s="1770" t="s">
        <v>7367</v>
      </c>
      <c r="D4716" s="1736"/>
      <c r="E4716" s="1043">
        <v>74.540000000000006</v>
      </c>
      <c r="F4716" s="1043"/>
      <c r="G4716" s="1550"/>
    </row>
    <row r="4717" spans="1:7" ht="12.75" customHeight="1">
      <c r="A4717" s="1754">
        <v>43845</v>
      </c>
      <c r="B4717" s="125" t="str">
        <f>TiposLancamentos!B2</f>
        <v>Telefonia</v>
      </c>
      <c r="C4717" s="1770" t="s">
        <v>7368</v>
      </c>
      <c r="D4717" s="1736"/>
      <c r="E4717" s="1043">
        <v>73.98</v>
      </c>
      <c r="F4717" s="1043"/>
      <c r="G4717" s="1550"/>
    </row>
    <row r="4718" spans="1:7" ht="12.75" customHeight="1">
      <c r="A4718" s="1666">
        <v>43845</v>
      </c>
      <c r="B4718" s="817" t="str">
        <f>TiposLancamentos!B33</f>
        <v>Pedágios</v>
      </c>
      <c r="C4718" s="1742" t="s">
        <v>5392</v>
      </c>
      <c r="D4718" s="1735"/>
      <c r="E4718" s="1733">
        <f>F4720-(E4719+E4720)</f>
        <v>50.08</v>
      </c>
      <c r="F4718" s="1290"/>
      <c r="G4718" s="1550"/>
    </row>
    <row r="4719" spans="1:7" ht="12.75" customHeight="1">
      <c r="A4719" s="1667">
        <v>43845</v>
      </c>
      <c r="B4719" s="816" t="str">
        <f>TiposLancamentos!B24</f>
        <v>Estacionamentos</v>
      </c>
      <c r="C4719" s="1769" t="s">
        <v>7366</v>
      </c>
      <c r="D4719" s="1736"/>
      <c r="E4719" s="1734">
        <v>17</v>
      </c>
      <c r="F4719" s="1043"/>
      <c r="G4719" s="1550"/>
    </row>
    <row r="4720" spans="1:7" ht="12.75" customHeight="1">
      <c r="A4720" s="1750">
        <v>43845</v>
      </c>
      <c r="B4720" s="818" t="str">
        <f>TiposLancamentos!B24</f>
        <v>Estacionamentos</v>
      </c>
      <c r="C4720" s="1743" t="s">
        <v>6297</v>
      </c>
      <c r="D4720" s="1737"/>
      <c r="E4720" s="1668">
        <v>45</v>
      </c>
      <c r="F4720" s="1291">
        <v>112.08</v>
      </c>
      <c r="G4720" s="1550"/>
    </row>
    <row r="4721" spans="1:7" ht="12.75" customHeight="1">
      <c r="A4721" s="1754">
        <v>43846</v>
      </c>
      <c r="B4721" s="125" t="str">
        <f>TiposLancamentos!B46</f>
        <v>Maçonaria</v>
      </c>
      <c r="C4721" s="1040" t="s">
        <v>7414</v>
      </c>
      <c r="D4721" s="1736"/>
      <c r="E4721" s="1043">
        <v>180</v>
      </c>
      <c r="F4721" s="1043"/>
      <c r="G4721" s="1550"/>
    </row>
    <row r="4722" spans="1:7" ht="12.75" customHeight="1">
      <c r="A4722" s="1754">
        <v>43847</v>
      </c>
      <c r="B4722" s="125" t="str">
        <f>TiposLancamentos!B13</f>
        <v>Moradia</v>
      </c>
      <c r="C4722" s="1040" t="s">
        <v>7415</v>
      </c>
      <c r="D4722" s="1736"/>
      <c r="E4722" s="1043">
        <v>215.8</v>
      </c>
      <c r="F4722" s="1043"/>
      <c r="G4722" s="1550"/>
    </row>
    <row r="4723" spans="1:7" ht="12.75" customHeight="1">
      <c r="A4723" s="1754">
        <v>43847</v>
      </c>
      <c r="B4723" s="125" t="str">
        <f>TiposLancamentos!B13</f>
        <v>Moradia</v>
      </c>
      <c r="C4723" s="1040" t="s">
        <v>7416</v>
      </c>
      <c r="D4723" s="1736"/>
      <c r="E4723" s="1043">
        <v>65.5</v>
      </c>
      <c r="F4723" s="1043"/>
      <c r="G4723" s="1550"/>
    </row>
    <row r="4724" spans="1:7" ht="12.75" customHeight="1">
      <c r="A4724" s="1754">
        <v>43878</v>
      </c>
      <c r="B4724" s="125" t="str">
        <f>TiposLancamentos!B103</f>
        <v>Juros_Corr. Poupança</v>
      </c>
      <c r="C4724" s="1040" t="s">
        <v>7341</v>
      </c>
      <c r="D4724" s="1736">
        <v>0.02</v>
      </c>
      <c r="E4724" s="1043"/>
      <c r="F4724" s="1043"/>
      <c r="G4724" s="1550"/>
    </row>
    <row r="4725" spans="1:7" ht="12.75" customHeight="1">
      <c r="A4725" s="1754">
        <v>43848</v>
      </c>
      <c r="B4725" s="125" t="str">
        <f>TiposLancamentos!B13</f>
        <v>Moradia</v>
      </c>
      <c r="C4725" s="1040" t="s">
        <v>7417</v>
      </c>
      <c r="D4725" s="1736"/>
      <c r="E4725" s="1043">
        <v>247.83</v>
      </c>
      <c r="F4725" s="1043"/>
      <c r="G4725" s="1550"/>
    </row>
    <row r="4726" spans="1:7" ht="12.75" customHeight="1">
      <c r="A4726" s="1754">
        <v>43848</v>
      </c>
      <c r="B4726" s="125" t="str">
        <f>TiposLancamentos!B62</f>
        <v>Papelaria</v>
      </c>
      <c r="C4726" s="1040" t="s">
        <v>7418</v>
      </c>
      <c r="D4726" s="1736"/>
      <c r="E4726" s="1043">
        <v>7.5</v>
      </c>
      <c r="F4726" s="1043"/>
      <c r="G4726" s="1550"/>
    </row>
    <row r="4727" spans="1:7" ht="12.75" customHeight="1">
      <c r="A4727" s="1754">
        <v>43848</v>
      </c>
      <c r="B4727" s="125" t="str">
        <f>TiposLancamentos!B19</f>
        <v>Restaurantes</v>
      </c>
      <c r="C4727" s="1040" t="s">
        <v>7419</v>
      </c>
      <c r="D4727" s="1736"/>
      <c r="E4727" s="1043">
        <v>118.79</v>
      </c>
      <c r="F4727" s="1043"/>
      <c r="G4727" s="1550"/>
    </row>
    <row r="4728" spans="1:7" ht="12.75" customHeight="1">
      <c r="A4728" s="1754">
        <v>43848</v>
      </c>
      <c r="B4728" s="125" t="str">
        <f>TiposLancamentos!B19</f>
        <v>Restaurantes</v>
      </c>
      <c r="C4728" s="1040" t="s">
        <v>7420</v>
      </c>
      <c r="D4728" s="1736"/>
      <c r="E4728" s="1043">
        <v>38.94</v>
      </c>
      <c r="F4728" s="1043"/>
      <c r="G4728" s="1550"/>
    </row>
    <row r="4729" spans="1:7" ht="12.75" customHeight="1">
      <c r="A4729" s="1754">
        <v>43850</v>
      </c>
      <c r="B4729" s="125" t="str">
        <f>TiposLancamentos!B24</f>
        <v>Estacionamentos</v>
      </c>
      <c r="C4729" s="1040" t="s">
        <v>7421</v>
      </c>
      <c r="D4729" s="1736"/>
      <c r="E4729" s="1043">
        <v>15</v>
      </c>
      <c r="F4729" s="1043"/>
      <c r="G4729" s="1550"/>
    </row>
    <row r="4730" spans="1:7" ht="12.75" customHeight="1">
      <c r="A4730" s="1666">
        <v>43850</v>
      </c>
      <c r="B4730" s="817" t="str">
        <f>TiposLancamentos!B8</f>
        <v>Aluguel</v>
      </c>
      <c r="C4730" s="1742" t="s">
        <v>7422</v>
      </c>
      <c r="D4730" s="1735"/>
      <c r="E4730" s="1733">
        <f>F4735-SUM(E4731:E4735)</f>
        <v>1400</v>
      </c>
      <c r="F4730" s="1290"/>
      <c r="G4730" s="1550"/>
    </row>
    <row r="4731" spans="1:7" ht="12.75" customHeight="1">
      <c r="A4731" s="1666">
        <v>43850</v>
      </c>
      <c r="B4731" s="816" t="str">
        <f>TiposLancamentos!B10</f>
        <v>Distr. Água Municipal</v>
      </c>
      <c r="C4731" s="1769" t="s">
        <v>7423</v>
      </c>
      <c r="D4731" s="1736"/>
      <c r="E4731" s="1734">
        <v>0</v>
      </c>
      <c r="F4731" s="1458"/>
      <c r="G4731" s="1550"/>
    </row>
    <row r="4732" spans="1:7" ht="12.75" customHeight="1">
      <c r="A4732" s="1666">
        <v>43850</v>
      </c>
      <c r="B4732" s="816" t="str">
        <f>TiposLancamentos!B11</f>
        <v>Coleta Municipal Lixo</v>
      </c>
      <c r="C4732" s="1769" t="s">
        <v>7424</v>
      </c>
      <c r="D4732" s="1736"/>
      <c r="E4732" s="1734">
        <v>38.590000000000003</v>
      </c>
      <c r="F4732" s="1458"/>
      <c r="G4732" s="1550"/>
    </row>
    <row r="4733" spans="1:7" ht="12.75" customHeight="1">
      <c r="A4733" s="1666">
        <v>43850</v>
      </c>
      <c r="B4733" s="816" t="str">
        <f>TiposLancamentos!B8</f>
        <v>Aluguel</v>
      </c>
      <c r="C4733" s="1769" t="s">
        <v>7425</v>
      </c>
      <c r="D4733" s="1736"/>
      <c r="E4733" s="1734">
        <v>8</v>
      </c>
      <c r="F4733" s="1458"/>
      <c r="G4733" s="1550"/>
    </row>
    <row r="4734" spans="1:7" ht="12.75" customHeight="1">
      <c r="A4734" s="1667">
        <v>43850</v>
      </c>
      <c r="B4734" s="816" t="str">
        <f>TiposLancamentos!B12</f>
        <v>IPTU</v>
      </c>
      <c r="C4734" s="1769" t="s">
        <v>7426</v>
      </c>
      <c r="D4734" s="1736"/>
      <c r="E4734" s="1734">
        <v>40.520000000000003</v>
      </c>
      <c r="F4734" s="1043"/>
      <c r="G4734" s="1550"/>
    </row>
    <row r="4735" spans="1:7" ht="12.75" customHeight="1">
      <c r="A4735" s="1750">
        <v>43850</v>
      </c>
      <c r="B4735" s="818" t="str">
        <f>TiposLancamentos!B9</f>
        <v>Condominio</v>
      </c>
      <c r="C4735" s="1743" t="s">
        <v>7427</v>
      </c>
      <c r="D4735" s="1737"/>
      <c r="E4735" s="1668">
        <v>616.37</v>
      </c>
      <c r="F4735" s="1291">
        <f>2103.48</f>
        <v>2103.48</v>
      </c>
      <c r="G4735" s="1550"/>
    </row>
    <row r="4736" spans="1:7" ht="12.75" customHeight="1">
      <c r="A4736" s="1754">
        <v>43851</v>
      </c>
      <c r="B4736" s="125" t="str">
        <f>TiposLancamentos!B6</f>
        <v>Energia Eletrica</v>
      </c>
      <c r="C4736" s="1040" t="s">
        <v>7428</v>
      </c>
      <c r="D4736" s="1736"/>
      <c r="E4736" s="1043">
        <v>96.78</v>
      </c>
      <c r="F4736" s="1043"/>
      <c r="G4736" s="1550"/>
    </row>
    <row r="4737" spans="1:7" ht="12.75" customHeight="1">
      <c r="A4737" s="1754">
        <v>43852</v>
      </c>
      <c r="B4737" s="125" t="str">
        <f>TiposLancamentos!B56</f>
        <v>Farmácia</v>
      </c>
      <c r="C4737" s="1040" t="s">
        <v>7429</v>
      </c>
      <c r="D4737" s="1736"/>
      <c r="E4737" s="1043">
        <v>80.08</v>
      </c>
      <c r="F4737" s="1043"/>
      <c r="G4737" s="1550"/>
    </row>
    <row r="4738" spans="1:7" ht="12.75" customHeight="1">
      <c r="A4738" s="1754">
        <v>43852</v>
      </c>
      <c r="B4738" s="125" t="str">
        <f>TiposLancamentos!B5</f>
        <v>Supermercado</v>
      </c>
      <c r="C4738" s="1040" t="s">
        <v>7430</v>
      </c>
      <c r="D4738" s="1736"/>
      <c r="E4738" s="1043">
        <v>39.9</v>
      </c>
      <c r="F4738" s="1043"/>
      <c r="G4738" s="1550"/>
    </row>
    <row r="4739" spans="1:7" ht="12.75" customHeight="1">
      <c r="A4739" s="1754">
        <v>43853</v>
      </c>
      <c r="B4739" s="125" t="str">
        <f>TiposLancamentos!B13</f>
        <v>Moradia</v>
      </c>
      <c r="C4739" s="1040" t="s">
        <v>7431</v>
      </c>
      <c r="D4739" s="1736"/>
      <c r="E4739" s="1043">
        <v>2500</v>
      </c>
      <c r="F4739" s="1043"/>
      <c r="G4739" s="1550"/>
    </row>
    <row r="4740" spans="1:7" ht="12.75" customHeight="1">
      <c r="A4740" s="1754">
        <v>43854</v>
      </c>
      <c r="B4740" s="125" t="str">
        <f>TiposLancamentos!B16</f>
        <v>Cristiane</v>
      </c>
      <c r="C4740" s="1040" t="s">
        <v>7432</v>
      </c>
      <c r="D4740" s="1736"/>
      <c r="E4740" s="1043">
        <v>220</v>
      </c>
      <c r="F4740" s="1043"/>
      <c r="G4740" s="1550"/>
    </row>
    <row r="4741" spans="1:7" ht="12.75" customHeight="1">
      <c r="A4741" s="1666">
        <v>43854</v>
      </c>
      <c r="B4741" s="817" t="str">
        <f>TiposLancamentos!B60</f>
        <v>Correio</v>
      </c>
      <c r="C4741" s="1742" t="s">
        <v>7433</v>
      </c>
      <c r="D4741" s="1735"/>
      <c r="E4741" s="1733">
        <v>27.7</v>
      </c>
      <c r="F4741" s="1346"/>
      <c r="G4741" s="1550"/>
    </row>
    <row r="4742" spans="1:7" ht="12.75" customHeight="1">
      <c r="A4742" s="1750">
        <v>43854</v>
      </c>
      <c r="B4742" s="818" t="str">
        <f>TiposLancamentos!B60</f>
        <v>Correio</v>
      </c>
      <c r="C4742" s="1743" t="s">
        <v>7434</v>
      </c>
      <c r="D4742" s="1737"/>
      <c r="E4742" s="1668">
        <f>F4742-E4741</f>
        <v>34.799999999999997</v>
      </c>
      <c r="F4742" s="1291">
        <v>62.5</v>
      </c>
      <c r="G4742" s="1550"/>
    </row>
    <row r="4743" spans="1:7" ht="12.75" customHeight="1">
      <c r="A4743" s="1754">
        <v>43854</v>
      </c>
      <c r="B4743" s="125" t="str">
        <f>TiposLancamentos!B17</f>
        <v>GATO</v>
      </c>
      <c r="C4743" s="1040" t="s">
        <v>7435</v>
      </c>
      <c r="D4743" s="1736"/>
      <c r="E4743" s="1043">
        <v>33.5</v>
      </c>
      <c r="F4743" s="1043"/>
      <c r="G4743" s="1550"/>
    </row>
    <row r="4744" spans="1:7" ht="12.75" customHeight="1">
      <c r="A4744" s="1754">
        <v>43854</v>
      </c>
      <c r="B4744" s="125" t="str">
        <f>TiposLancamentos!B103</f>
        <v>Juros_Corr. Poupança</v>
      </c>
      <c r="C4744" s="1040" t="s">
        <v>7341</v>
      </c>
      <c r="D4744" s="1736">
        <v>0.01</v>
      </c>
      <c r="E4744" s="1043"/>
      <c r="F4744" s="1043"/>
      <c r="G4744" s="1550"/>
    </row>
    <row r="4745" spans="1:7" ht="12.75" customHeight="1">
      <c r="A4745" s="1754">
        <v>43855</v>
      </c>
      <c r="B4745" s="125" t="str">
        <f>TiposLancamentos!B19</f>
        <v>Restaurantes</v>
      </c>
      <c r="C4745" s="1040" t="s">
        <v>7436</v>
      </c>
      <c r="D4745" s="1736"/>
      <c r="E4745" s="1043">
        <v>94.71</v>
      </c>
      <c r="F4745" s="1043"/>
      <c r="G4745" s="1550"/>
    </row>
    <row r="4746" spans="1:7" ht="12.75" customHeight="1">
      <c r="A4746" s="1754">
        <v>43855</v>
      </c>
      <c r="B4746" s="125" t="str">
        <f>TiposLancamentos!B13</f>
        <v>Moradia</v>
      </c>
      <c r="C4746" s="1040" t="s">
        <v>7437</v>
      </c>
      <c r="D4746" s="1736"/>
      <c r="E4746" s="1043">
        <v>21.99</v>
      </c>
      <c r="F4746" s="1043"/>
      <c r="G4746" s="1550"/>
    </row>
    <row r="4747" spans="1:7" ht="12.75" customHeight="1">
      <c r="A4747" s="1754">
        <v>43856</v>
      </c>
      <c r="B4747" s="125" t="str">
        <f>TiposLancamentos!B5</f>
        <v>Supermercado</v>
      </c>
      <c r="C4747" s="1040" t="s">
        <v>7388</v>
      </c>
      <c r="D4747" s="1736"/>
      <c r="E4747" s="1043">
        <v>68.25</v>
      </c>
      <c r="F4747" s="1043"/>
      <c r="G4747" s="1550"/>
    </row>
    <row r="4748" spans="1:7" ht="12.75" customHeight="1">
      <c r="A4748" s="1754">
        <v>43856</v>
      </c>
      <c r="B4748" s="125" t="str">
        <f>TiposLancamentos!B19</f>
        <v>Restaurantes</v>
      </c>
      <c r="C4748" s="1040" t="s">
        <v>7438</v>
      </c>
      <c r="D4748" s="1736"/>
      <c r="E4748" s="1043">
        <v>129.80000000000001</v>
      </c>
      <c r="F4748" s="1043"/>
      <c r="G4748" s="1550"/>
    </row>
    <row r="4749" spans="1:7" ht="12.75" customHeight="1">
      <c r="A4749" s="1754">
        <v>43858</v>
      </c>
      <c r="B4749" s="125" t="str">
        <f>TiposLancamentos!B17</f>
        <v>GATO</v>
      </c>
      <c r="C4749" s="1040" t="s">
        <v>7439</v>
      </c>
      <c r="D4749" s="1736"/>
      <c r="E4749" s="1043">
        <v>48.8</v>
      </c>
      <c r="F4749" s="1043"/>
      <c r="G4749" s="1550"/>
    </row>
    <row r="4750" spans="1:7" ht="12.75" customHeight="1">
      <c r="A4750" s="1754">
        <v>43858</v>
      </c>
      <c r="B4750" s="125" t="str">
        <f>TiposLancamentos!B13</f>
        <v>Moradia</v>
      </c>
      <c r="C4750" s="1040" t="s">
        <v>7440</v>
      </c>
      <c r="D4750" s="1736"/>
      <c r="E4750" s="1043">
        <v>180</v>
      </c>
      <c r="F4750" s="1043"/>
      <c r="G4750" s="1550"/>
    </row>
    <row r="4751" spans="1:7" ht="12.75" customHeight="1">
      <c r="A4751" s="1754">
        <v>43861</v>
      </c>
      <c r="B4751" s="125" t="str">
        <f>TiposLancamentos!B32</f>
        <v>Clinicas e tratamentos</v>
      </c>
      <c r="C4751" s="1040" t="s">
        <v>7441</v>
      </c>
      <c r="D4751" s="1736"/>
      <c r="E4751" s="1043">
        <v>320</v>
      </c>
      <c r="F4751" s="1043"/>
      <c r="G4751" s="1550"/>
    </row>
    <row r="4752" spans="1:7" ht="12.75" customHeight="1" thickBot="1">
      <c r="A4752" s="1754">
        <v>43861</v>
      </c>
      <c r="B4752" s="125" t="str">
        <f>TiposLancamentos!B103</f>
        <v>Juros_Corr. Poupança</v>
      </c>
      <c r="C4752" s="1040" t="s">
        <v>7341</v>
      </c>
      <c r="D4752" s="1736">
        <v>0.01</v>
      </c>
      <c r="E4752" s="1043"/>
      <c r="F4752" s="1043"/>
      <c r="G4752" s="1550"/>
    </row>
    <row r="4753" spans="1:7" ht="12.75" customHeight="1">
      <c r="A4753" s="1834"/>
      <c r="B4753" s="977"/>
      <c r="C4753" s="1854" t="s">
        <v>7442</v>
      </c>
      <c r="D4753" s="1823"/>
      <c r="E4753" s="1821"/>
      <c r="F4753" s="1821"/>
      <c r="G4753" s="1895"/>
    </row>
    <row r="4754" spans="1:7" ht="12.75" customHeight="1">
      <c r="A4754" s="1754">
        <v>43862</v>
      </c>
      <c r="B4754" s="125" t="str">
        <f>TiposLancamentos!B13</f>
        <v>Moradia</v>
      </c>
      <c r="C4754" s="1040" t="s">
        <v>7443</v>
      </c>
      <c r="D4754" s="1736"/>
      <c r="E4754" s="1043">
        <v>179.96</v>
      </c>
      <c r="F4754" s="1043"/>
      <c r="G4754" s="1550"/>
    </row>
    <row r="4755" spans="1:7" ht="12.75" customHeight="1">
      <c r="A4755" s="1754">
        <v>43862</v>
      </c>
      <c r="B4755" s="125" t="str">
        <f>TiposLancamentos!B16</f>
        <v>Cristiane</v>
      </c>
      <c r="C4755" s="1040" t="s">
        <v>7444</v>
      </c>
      <c r="D4755" s="1736"/>
      <c r="E4755" s="1043">
        <v>60</v>
      </c>
      <c r="F4755" s="1043"/>
      <c r="G4755" s="1550"/>
    </row>
    <row r="4756" spans="1:7" ht="12.75" customHeight="1">
      <c r="A4756" s="1754">
        <v>43862</v>
      </c>
      <c r="B4756" s="125" t="str">
        <f>TiposLancamentos!B56</f>
        <v>Farmácia</v>
      </c>
      <c r="C4756" s="1040" t="s">
        <v>7445</v>
      </c>
      <c r="D4756" s="1736"/>
      <c r="E4756" s="1043">
        <v>124.16</v>
      </c>
      <c r="F4756" s="1043"/>
      <c r="G4756" s="1550"/>
    </row>
    <row r="4757" spans="1:7" ht="12.75" customHeight="1">
      <c r="A4757" s="1754">
        <v>43864</v>
      </c>
      <c r="B4757" s="125" t="str">
        <f>TiposLancamentos!B15</f>
        <v>Cartões de Crédito</v>
      </c>
      <c r="C4757" s="1040" t="s">
        <v>7391</v>
      </c>
      <c r="D4757" s="1736"/>
      <c r="E4757" s="1043">
        <v>845.02</v>
      </c>
      <c r="F4757" s="1043"/>
      <c r="G4757" s="1550"/>
    </row>
    <row r="4758" spans="1:7" ht="12.75" customHeight="1">
      <c r="A4758" s="1754">
        <v>43864</v>
      </c>
      <c r="B4758" s="125" t="str">
        <f>TiposLancamentos!B15</f>
        <v>Cartões de Crédito</v>
      </c>
      <c r="C4758" s="1040" t="s">
        <v>7446</v>
      </c>
      <c r="D4758" s="1736"/>
      <c r="E4758" s="1043">
        <v>271.39999999999998</v>
      </c>
      <c r="F4758" s="1043"/>
      <c r="G4758" s="1550"/>
    </row>
    <row r="4759" spans="1:7" ht="12.75" customHeight="1">
      <c r="A4759" s="1754">
        <v>43864</v>
      </c>
      <c r="B4759" s="125" t="str">
        <f>TiposLancamentos!B15</f>
        <v>Cartões de Crédito</v>
      </c>
      <c r="C4759" s="1040" t="s">
        <v>7393</v>
      </c>
      <c r="D4759" s="1736"/>
      <c r="E4759" s="1043">
        <v>476.12</v>
      </c>
      <c r="F4759" s="1043"/>
      <c r="G4759" s="1550"/>
    </row>
    <row r="4760" spans="1:7" ht="12.75" customHeight="1">
      <c r="A4760" s="1754">
        <v>43864</v>
      </c>
      <c r="B4760" s="125" t="str">
        <f>TiposLancamentos!B15</f>
        <v>Cartões de Crédito</v>
      </c>
      <c r="C4760" s="1040" t="s">
        <v>7392</v>
      </c>
      <c r="D4760" s="1736"/>
      <c r="E4760" s="1043">
        <v>84</v>
      </c>
      <c r="F4760" s="1043"/>
      <c r="G4760" s="1550"/>
    </row>
    <row r="4761" spans="1:7" ht="12.75" customHeight="1">
      <c r="A4761" s="1754">
        <v>43864</v>
      </c>
      <c r="B4761" s="125" t="str">
        <f>TiposLancamentos!B4</f>
        <v>Taxas Bancarias</v>
      </c>
      <c r="C4761" s="1040" t="s">
        <v>4858</v>
      </c>
      <c r="D4761" s="1736"/>
      <c r="E4761" s="1043">
        <v>0.41</v>
      </c>
      <c r="F4761" s="1043"/>
      <c r="G4761" s="1550"/>
    </row>
    <row r="4762" spans="1:7" ht="12.75" customHeight="1">
      <c r="A4762" s="1754">
        <v>43864</v>
      </c>
      <c r="B4762" s="125" t="str">
        <f>TiposLancamentos!B16</f>
        <v>Cristiane</v>
      </c>
      <c r="C4762" s="1040" t="s">
        <v>7447</v>
      </c>
      <c r="D4762" s="1736"/>
      <c r="E4762" s="1043">
        <v>18.7</v>
      </c>
      <c r="F4762" s="1043"/>
      <c r="G4762" s="1550"/>
    </row>
    <row r="4763" spans="1:7" ht="12.75" customHeight="1">
      <c r="A4763" s="1754">
        <v>43864</v>
      </c>
      <c r="B4763" s="125" t="str">
        <f>TiposLancamentos!B95</f>
        <v>Salarios</v>
      </c>
      <c r="C4763" s="1040" t="s">
        <v>7322</v>
      </c>
      <c r="D4763" s="1736">
        <v>6705.12</v>
      </c>
      <c r="E4763" s="1043"/>
      <c r="F4763" s="1043"/>
      <c r="G4763" s="1550"/>
    </row>
    <row r="4764" spans="1:7" ht="12.75" customHeight="1">
      <c r="A4764" s="1754">
        <v>43865</v>
      </c>
      <c r="B4764" s="125" t="str">
        <f>TiposLancamentos!B17</f>
        <v>GATO</v>
      </c>
      <c r="C4764" s="1040" t="s">
        <v>7448</v>
      </c>
      <c r="D4764" s="1736"/>
      <c r="E4764" s="1043">
        <v>214.9</v>
      </c>
      <c r="F4764" s="1043"/>
      <c r="G4764" s="1550"/>
    </row>
    <row r="4765" spans="1:7" ht="12.75" customHeight="1">
      <c r="A4765" s="1754">
        <v>43866</v>
      </c>
      <c r="B4765" s="125" t="str">
        <f>TiposLancamentos!B48</f>
        <v>Baralhos e Oráculos</v>
      </c>
      <c r="C4765" s="1040" t="s">
        <v>7449</v>
      </c>
      <c r="D4765" s="1736"/>
      <c r="E4765" s="1043">
        <v>150</v>
      </c>
      <c r="F4765" s="1043"/>
      <c r="G4765" s="1550"/>
    </row>
    <row r="4766" spans="1:7" ht="12.75" customHeight="1">
      <c r="A4766" s="1754">
        <v>43866</v>
      </c>
      <c r="B4766" s="125" t="str">
        <f>TiposLancamentos!B57</f>
        <v>Informática</v>
      </c>
      <c r="C4766" s="1040" t="s">
        <v>7450</v>
      </c>
      <c r="D4766" s="1736"/>
      <c r="E4766" s="1043">
        <v>39.380000000000003</v>
      </c>
      <c r="F4766" s="1043"/>
      <c r="G4766" s="1550"/>
    </row>
    <row r="4767" spans="1:7" ht="12.75" customHeight="1">
      <c r="A4767" s="1754">
        <v>43866</v>
      </c>
      <c r="B4767" s="125" t="str">
        <f>TiposLancamentos!B4</f>
        <v>Taxas Bancarias</v>
      </c>
      <c r="C4767" s="1040" t="s">
        <v>7451</v>
      </c>
      <c r="D4767" s="1736"/>
      <c r="E4767" s="1043">
        <v>5</v>
      </c>
      <c r="F4767" s="1043"/>
      <c r="G4767" s="1550"/>
    </row>
    <row r="4768" spans="1:7" ht="12.75" customHeight="1">
      <c r="A4768" s="1754">
        <v>43866</v>
      </c>
      <c r="B4768" s="125" t="str">
        <f>TiposLancamentos!B4</f>
        <v>Taxas Bancarias</v>
      </c>
      <c r="C4768" s="1040" t="s">
        <v>7452</v>
      </c>
      <c r="D4768" s="1736"/>
      <c r="E4768" s="1043">
        <v>8.5500000000000007</v>
      </c>
      <c r="F4768" s="1043"/>
      <c r="G4768" s="1550"/>
    </row>
    <row r="4769" spans="1:7" ht="12.75" customHeight="1">
      <c r="A4769" s="1754">
        <v>43866</v>
      </c>
      <c r="B4769" s="125" t="str">
        <f>TiposLancamentos!B56</f>
        <v>Farmácia</v>
      </c>
      <c r="C4769" s="1040" t="s">
        <v>7453</v>
      </c>
      <c r="D4769" s="1736"/>
      <c r="E4769" s="1043">
        <v>48.98</v>
      </c>
      <c r="F4769" s="1043"/>
      <c r="G4769" s="1550"/>
    </row>
    <row r="4770" spans="1:7" ht="12.75" customHeight="1">
      <c r="A4770" s="1754">
        <v>43869</v>
      </c>
      <c r="B4770" s="125" t="str">
        <f>TiposLancamentos!B56</f>
        <v>Farmácia</v>
      </c>
      <c r="C4770" s="1040" t="s">
        <v>7454</v>
      </c>
      <c r="D4770" s="1736"/>
      <c r="E4770" s="1043">
        <v>69.91</v>
      </c>
      <c r="F4770" s="1043"/>
      <c r="G4770" s="1550"/>
    </row>
    <row r="4771" spans="1:7" ht="12.75" customHeight="1">
      <c r="A4771" s="1754">
        <v>43870</v>
      </c>
      <c r="B4771" s="125" t="str">
        <f>TiposLancamentos!B19</f>
        <v>Restaurantes</v>
      </c>
      <c r="C4771" s="1040" t="s">
        <v>7419</v>
      </c>
      <c r="D4771" s="1736"/>
      <c r="E4771" s="1043">
        <v>143.32</v>
      </c>
      <c r="F4771" s="1043"/>
      <c r="G4771" s="1550"/>
    </row>
    <row r="4772" spans="1:7" ht="12.75" customHeight="1">
      <c r="A4772" s="1754">
        <v>43870</v>
      </c>
      <c r="B4772" s="125" t="str">
        <f>TiposLancamentos!B16</f>
        <v>Cristiane</v>
      </c>
      <c r="C4772" s="1040" t="s">
        <v>7455</v>
      </c>
      <c r="D4772" s="1736"/>
      <c r="E4772" s="1043">
        <v>59.98</v>
      </c>
      <c r="F4772" s="1043"/>
      <c r="G4772" s="1550"/>
    </row>
    <row r="4773" spans="1:7" ht="12.75" customHeight="1">
      <c r="A4773" s="1754">
        <v>43870</v>
      </c>
      <c r="B4773" s="125" t="str">
        <f>TiposLancamentos!B56</f>
        <v>Farmácia</v>
      </c>
      <c r="C4773" s="1040" t="s">
        <v>7456</v>
      </c>
      <c r="D4773" s="1736"/>
      <c r="E4773" s="1043">
        <v>30.25</v>
      </c>
      <c r="F4773" s="1043"/>
      <c r="G4773" s="1550"/>
    </row>
    <row r="4774" spans="1:7" ht="12.75" customHeight="1">
      <c r="A4774" s="1754">
        <v>43870</v>
      </c>
      <c r="B4774" s="125" t="str">
        <f>TiposLancamentos!B13</f>
        <v>Moradia</v>
      </c>
      <c r="C4774" s="1040" t="s">
        <v>7457</v>
      </c>
      <c r="D4774" s="1736"/>
      <c r="E4774" s="1043">
        <v>105.4</v>
      </c>
      <c r="F4774" s="1043"/>
      <c r="G4774" s="1550"/>
    </row>
    <row r="4775" spans="1:7" ht="12.75" customHeight="1">
      <c r="A4775" s="1754">
        <v>43871</v>
      </c>
      <c r="B4775" s="125" t="str">
        <f>TiposLancamentos!B103</f>
        <v>Juros_Corr. Poupança</v>
      </c>
      <c r="C4775" s="1040" t="s">
        <v>7341</v>
      </c>
      <c r="D4775" s="1736"/>
      <c r="E4775" s="1043">
        <v>0.01</v>
      </c>
      <c r="F4775" s="1043"/>
      <c r="G4775" s="1550"/>
    </row>
    <row r="4776" spans="1:7" ht="12.75" customHeight="1">
      <c r="A4776" s="1754">
        <v>43872</v>
      </c>
      <c r="B4776" s="125" t="str">
        <f>TiposLancamentos!B14</f>
        <v>Gás de cozinha</v>
      </c>
      <c r="C4776" s="1040" t="s">
        <v>7458</v>
      </c>
      <c r="D4776" s="1736"/>
      <c r="E4776" s="1043">
        <v>43.81</v>
      </c>
      <c r="F4776" s="1043"/>
      <c r="G4776" s="1550"/>
    </row>
    <row r="4777" spans="1:7" ht="12.75" customHeight="1">
      <c r="A4777" s="1754">
        <v>43873</v>
      </c>
      <c r="B4777" s="125" t="str">
        <f>TiposLancamentos!B13</f>
        <v>Moradia</v>
      </c>
      <c r="C4777" s="1040" t="s">
        <v>7459</v>
      </c>
      <c r="D4777" s="1736"/>
      <c r="E4777" s="1043">
        <v>325.04000000000002</v>
      </c>
      <c r="F4777" s="1043"/>
      <c r="G4777" s="1550"/>
    </row>
    <row r="4778" spans="1:7" ht="12.75" customHeight="1">
      <c r="A4778" s="1754">
        <v>43873</v>
      </c>
      <c r="B4778" s="125" t="str">
        <f>TiposLancamentos!B19</f>
        <v>Restaurantes</v>
      </c>
      <c r="C4778" s="1040" t="s">
        <v>7460</v>
      </c>
      <c r="D4778" s="1736"/>
      <c r="E4778" s="1043">
        <v>6</v>
      </c>
      <c r="F4778" s="1043"/>
      <c r="G4778" s="1550"/>
    </row>
    <row r="4779" spans="1:7" ht="12.75" customHeight="1">
      <c r="A4779" s="1754">
        <v>43874</v>
      </c>
      <c r="B4779" s="125" t="str">
        <f>TiposLancamentos!B16</f>
        <v>Cristiane</v>
      </c>
      <c r="C4779" s="1040" t="s">
        <v>7461</v>
      </c>
      <c r="D4779" s="1736"/>
      <c r="E4779" s="1043">
        <v>35</v>
      </c>
      <c r="F4779" s="1043"/>
      <c r="G4779" s="1550"/>
    </row>
    <row r="4780" spans="1:7" ht="12.75" customHeight="1">
      <c r="A4780" s="1754">
        <v>43874</v>
      </c>
      <c r="B4780" s="125" t="str">
        <f>TiposLancamentos!B13</f>
        <v>Moradia</v>
      </c>
      <c r="C4780" s="1040" t="s">
        <v>7462</v>
      </c>
      <c r="D4780" s="1736"/>
      <c r="E4780" s="1043">
        <v>1.98</v>
      </c>
      <c r="F4780" s="1043"/>
      <c r="G4780" s="1550"/>
    </row>
    <row r="4781" spans="1:7" ht="12.75" customHeight="1">
      <c r="A4781" s="1754">
        <v>43875</v>
      </c>
      <c r="B4781" s="125" t="str">
        <f>TiposLancamentos!B19</f>
        <v>Restaurantes</v>
      </c>
      <c r="C4781" s="1040" t="s">
        <v>7406</v>
      </c>
      <c r="D4781" s="1736"/>
      <c r="E4781" s="1043">
        <v>96.36</v>
      </c>
      <c r="F4781" s="1043"/>
      <c r="G4781" s="1550"/>
    </row>
    <row r="4782" spans="1:7" ht="12.75" customHeight="1">
      <c r="A4782" s="1754">
        <v>43875</v>
      </c>
      <c r="B4782" s="125" t="str">
        <f>TiposLancamentos!B13</f>
        <v>Moradia</v>
      </c>
      <c r="C4782" s="1040" t="s">
        <v>7463</v>
      </c>
      <c r="D4782" s="1736"/>
      <c r="E4782" s="1043">
        <v>41.2</v>
      </c>
      <c r="F4782" s="1043"/>
      <c r="G4782" s="1550"/>
    </row>
    <row r="4783" spans="1:7" ht="12.75" customHeight="1">
      <c r="A4783" s="1754">
        <v>43876</v>
      </c>
      <c r="B4783" s="125" t="str">
        <f>TiposLancamentos!B19</f>
        <v>Restaurantes</v>
      </c>
      <c r="C4783" s="1040" t="s">
        <v>7464</v>
      </c>
      <c r="D4783" s="1736"/>
      <c r="E4783" s="1043">
        <v>132</v>
      </c>
      <c r="F4783" s="1043"/>
      <c r="G4783" s="1550"/>
    </row>
    <row r="4784" spans="1:7" ht="12.75" customHeight="1">
      <c r="A4784" s="1754">
        <v>43876</v>
      </c>
      <c r="B4784" s="125" t="str">
        <f>TiposLancamentos!B16</f>
        <v>Cristiane</v>
      </c>
      <c r="C4784" s="1040" t="s">
        <v>7465</v>
      </c>
      <c r="D4784" s="1736"/>
      <c r="E4784" s="1043">
        <v>3</v>
      </c>
      <c r="F4784" s="1043"/>
      <c r="G4784" s="1550"/>
    </row>
    <row r="4785" spans="1:7" ht="12.75" customHeight="1">
      <c r="A4785" s="1754">
        <v>43876</v>
      </c>
      <c r="B4785" s="125" t="str">
        <f>TiposLancamentos!B24</f>
        <v>Estacionamentos</v>
      </c>
      <c r="C4785" s="1040" t="s">
        <v>7466</v>
      </c>
      <c r="D4785" s="1736"/>
      <c r="E4785" s="1043">
        <v>15</v>
      </c>
      <c r="F4785" s="1043"/>
      <c r="G4785" s="1550"/>
    </row>
    <row r="4786" spans="1:7" ht="12.75" customHeight="1">
      <c r="A4786" s="1754">
        <v>43876</v>
      </c>
      <c r="B4786" s="125" t="str">
        <f>TiposLancamentos!B5</f>
        <v>Supermercado</v>
      </c>
      <c r="C4786" s="1040" t="s">
        <v>7467</v>
      </c>
      <c r="D4786" s="1736"/>
      <c r="E4786" s="1043">
        <v>35.979999999999997</v>
      </c>
      <c r="F4786" s="1043"/>
      <c r="G4786" s="1550"/>
    </row>
    <row r="4787" spans="1:7" ht="12.75" customHeight="1">
      <c r="A4787" s="1666">
        <v>43877</v>
      </c>
      <c r="B4787" s="817" t="str">
        <f>TiposLancamentos!B35</f>
        <v>Tv à Cabo</v>
      </c>
      <c r="C4787" s="1742" t="s">
        <v>5834</v>
      </c>
      <c r="D4787" s="1735"/>
      <c r="E4787" s="1733">
        <f>144.72-90</f>
        <v>54.72</v>
      </c>
      <c r="F4787" s="1290"/>
      <c r="G4787" s="1550"/>
    </row>
    <row r="4788" spans="1:7" ht="12.75" customHeight="1">
      <c r="A4788" s="1667">
        <v>43877</v>
      </c>
      <c r="B4788" s="816" t="str">
        <f>TiposLancamentos!B3</f>
        <v>Internet</v>
      </c>
      <c r="C4788" s="1769" t="s">
        <v>5835</v>
      </c>
      <c r="D4788" s="1736"/>
      <c r="E4788" s="1734">
        <v>105.88</v>
      </c>
      <c r="F4788" s="1043"/>
      <c r="G4788" s="1550"/>
    </row>
    <row r="4789" spans="1:7" ht="12.75" customHeight="1">
      <c r="A4789" s="1750">
        <v>43877</v>
      </c>
      <c r="B4789" s="818" t="str">
        <f>TiposLancamentos!B2</f>
        <v>Telefonia</v>
      </c>
      <c r="C4789" s="1743" t="s">
        <v>7210</v>
      </c>
      <c r="D4789" s="1737"/>
      <c r="E4789" s="1668">
        <v>0</v>
      </c>
      <c r="F4789" s="1291">
        <f>SUM(E4787:E4789)</f>
        <v>160.6</v>
      </c>
      <c r="G4789" s="1550"/>
    </row>
    <row r="4790" spans="1:7" ht="12.75" customHeight="1">
      <c r="A4790" s="1754">
        <v>43877</v>
      </c>
      <c r="B4790" s="125" t="str">
        <f>TiposLancamentos!B16</f>
        <v>Cristiane</v>
      </c>
      <c r="C4790" s="1770" t="s">
        <v>7367</v>
      </c>
      <c r="D4790" s="1736"/>
      <c r="E4790" s="1043">
        <v>73.989999999999995</v>
      </c>
      <c r="F4790" s="1043"/>
      <c r="G4790" s="1550"/>
    </row>
    <row r="4791" spans="1:7" ht="12.75" customHeight="1">
      <c r="A4791" s="1754">
        <v>43877</v>
      </c>
      <c r="B4791" s="125" t="str">
        <f>TiposLancamentos!B2</f>
        <v>Telefonia</v>
      </c>
      <c r="C4791" s="1770" t="s">
        <v>7368</v>
      </c>
      <c r="D4791" s="1736"/>
      <c r="E4791" s="1043">
        <v>73.98</v>
      </c>
      <c r="F4791" s="1043"/>
      <c r="G4791" s="1550"/>
    </row>
    <row r="4792" spans="1:7" ht="12.75" customHeight="1">
      <c r="A4792" s="1666">
        <v>43877</v>
      </c>
      <c r="B4792" s="817" t="str">
        <f>TiposLancamentos!B33</f>
        <v>Pedágios</v>
      </c>
      <c r="C4792" s="1742" t="s">
        <v>5392</v>
      </c>
      <c r="D4792" s="1735"/>
      <c r="E4792" s="1733">
        <f>F4794-(E4793+E4794)</f>
        <v>50.080000000000013</v>
      </c>
      <c r="F4792" s="1290"/>
      <c r="G4792" s="1550"/>
    </row>
    <row r="4793" spans="1:7" ht="12.75" customHeight="1">
      <c r="A4793" s="1667">
        <v>43877</v>
      </c>
      <c r="B4793" s="816" t="str">
        <f>TiposLancamentos!B24</f>
        <v>Estacionamentos</v>
      </c>
      <c r="C4793" s="1769" t="s">
        <v>7366</v>
      </c>
      <c r="D4793" s="1736"/>
      <c r="E4793" s="1734">
        <v>17</v>
      </c>
      <c r="F4793" s="1043"/>
      <c r="G4793" s="1550"/>
    </row>
    <row r="4794" spans="1:7" ht="12.75" customHeight="1">
      <c r="A4794" s="1750">
        <v>43877</v>
      </c>
      <c r="B4794" s="818" t="str">
        <f>TiposLancamentos!B24</f>
        <v>Estacionamentos</v>
      </c>
      <c r="C4794" s="1743" t="s">
        <v>6297</v>
      </c>
      <c r="D4794" s="1737"/>
      <c r="E4794" s="1668">
        <v>62</v>
      </c>
      <c r="F4794" s="1291">
        <v>129.08000000000001</v>
      </c>
      <c r="G4794" s="1550"/>
    </row>
    <row r="4795" spans="1:7" ht="12.75" customHeight="1">
      <c r="A4795" s="1754">
        <v>43877</v>
      </c>
      <c r="B4795" s="125" t="str">
        <f>TiposLancamentos!B46</f>
        <v>Maçonaria</v>
      </c>
      <c r="C4795" s="1040" t="s">
        <v>7468</v>
      </c>
      <c r="D4795" s="1736"/>
      <c r="E4795" s="1043">
        <v>180</v>
      </c>
      <c r="F4795" s="1043"/>
      <c r="G4795" s="1550"/>
    </row>
    <row r="4796" spans="1:7" ht="12.75" customHeight="1">
      <c r="A4796" s="1754">
        <v>43878</v>
      </c>
      <c r="B4796" s="125" t="str">
        <f>TiposLancamentos!B103</f>
        <v>Juros_Corr. Poupança</v>
      </c>
      <c r="C4796" s="1040" t="s">
        <v>7341</v>
      </c>
      <c r="D4796" s="1736">
        <v>0.04</v>
      </c>
      <c r="E4796" s="1043"/>
      <c r="F4796" s="1043"/>
      <c r="G4796" s="1550"/>
    </row>
    <row r="4797" spans="1:7" ht="12.75" customHeight="1">
      <c r="A4797" s="1754">
        <v>43878</v>
      </c>
      <c r="B4797" s="125" t="str">
        <f>TiposLancamentos!B24</f>
        <v>Estacionamentos</v>
      </c>
      <c r="C4797" s="1040" t="s">
        <v>7469</v>
      </c>
      <c r="D4797" s="1736"/>
      <c r="E4797" s="1043">
        <v>8</v>
      </c>
      <c r="F4797" s="1043"/>
      <c r="G4797" s="1550"/>
    </row>
    <row r="4798" spans="1:7" ht="12.75" customHeight="1">
      <c r="A4798" s="1754">
        <v>43878</v>
      </c>
      <c r="B4798" s="125" t="str">
        <f>TiposLancamentos!B19</f>
        <v>Restaurantes</v>
      </c>
      <c r="C4798" s="1040" t="s">
        <v>7470</v>
      </c>
      <c r="D4798" s="1736"/>
      <c r="E4798" s="1043">
        <v>35</v>
      </c>
      <c r="F4798" s="1043"/>
      <c r="G4798" s="1550"/>
    </row>
    <row r="4799" spans="1:7" ht="12.75" customHeight="1">
      <c r="A4799" s="1754">
        <v>43878</v>
      </c>
      <c r="B4799" s="125" t="str">
        <f>TiposLancamentos!B57</f>
        <v>Informática</v>
      </c>
      <c r="C4799" s="1040" t="s">
        <v>7471</v>
      </c>
      <c r="D4799" s="1736"/>
      <c r="E4799" s="1043">
        <v>49.99</v>
      </c>
      <c r="F4799" s="1043"/>
      <c r="G4799" s="1550"/>
    </row>
    <row r="4800" spans="1:7" ht="12.75" customHeight="1">
      <c r="A4800" s="1754">
        <v>43878</v>
      </c>
      <c r="B4800" s="125" t="str">
        <f>TiposLancamentos!B13</f>
        <v>Moradia</v>
      </c>
      <c r="C4800" s="1040" t="s">
        <v>7472</v>
      </c>
      <c r="D4800" s="1736"/>
      <c r="E4800" s="1043">
        <v>61</v>
      </c>
      <c r="F4800" s="1043"/>
      <c r="G4800" s="1550"/>
    </row>
    <row r="4801" spans="1:7" ht="12.75" customHeight="1">
      <c r="A4801" s="1754">
        <v>43878</v>
      </c>
      <c r="B4801" s="125" t="str">
        <f>TiposLancamentos!B13</f>
        <v>Moradia</v>
      </c>
      <c r="C4801" s="1040" t="s">
        <v>7473</v>
      </c>
      <c r="D4801" s="1736"/>
      <c r="E4801" s="1043">
        <v>17.8</v>
      </c>
      <c r="F4801" s="1043"/>
      <c r="G4801" s="1550"/>
    </row>
    <row r="4802" spans="1:7" ht="12.75" customHeight="1">
      <c r="A4802" s="1754">
        <v>43878</v>
      </c>
      <c r="B4802" s="125" t="str">
        <f>TiposLancamentos!B24</f>
        <v>Estacionamentos</v>
      </c>
      <c r="C4802" s="1040" t="s">
        <v>3398</v>
      </c>
      <c r="D4802" s="1736"/>
      <c r="E4802" s="1043">
        <v>7</v>
      </c>
      <c r="F4802" s="1043"/>
      <c r="G4802" s="1550"/>
    </row>
    <row r="4803" spans="1:7" ht="12.75" customHeight="1">
      <c r="A4803" s="1754">
        <v>43878</v>
      </c>
      <c r="B4803" s="125" t="str">
        <f>TiposLancamentos!B5</f>
        <v>Supermercado</v>
      </c>
      <c r="C4803" s="1040" t="s">
        <v>7474</v>
      </c>
      <c r="D4803" s="1736"/>
      <c r="E4803" s="1043">
        <v>127.43</v>
      </c>
      <c r="F4803" s="1043"/>
      <c r="G4803" s="1550"/>
    </row>
    <row r="4804" spans="1:7" ht="12.75" customHeight="1">
      <c r="A4804" s="1754">
        <v>43878</v>
      </c>
      <c r="B4804" s="125" t="str">
        <f>TiposLancamentos!B99</f>
        <v>Venda de algo</v>
      </c>
      <c r="C4804" s="1040" t="s">
        <v>7475</v>
      </c>
      <c r="D4804" s="1736">
        <v>500</v>
      </c>
      <c r="E4804" s="1043"/>
      <c r="F4804" s="1043"/>
      <c r="G4804" s="1550"/>
    </row>
    <row r="4805" spans="1:7" ht="12.75" customHeight="1">
      <c r="A4805" s="1666">
        <v>43878</v>
      </c>
      <c r="B4805" s="817" t="str">
        <f>TiposLancamentos!B16</f>
        <v>Cristiane</v>
      </c>
      <c r="C4805" s="1742" t="s">
        <v>7476</v>
      </c>
      <c r="D4805" s="1735"/>
      <c r="E4805" s="1733">
        <f>F4806-E4806</f>
        <v>75.8</v>
      </c>
      <c r="F4805" s="1346"/>
      <c r="G4805" s="1550"/>
    </row>
    <row r="4806" spans="1:7" ht="12.75" customHeight="1">
      <c r="A4806" s="1750">
        <v>43878</v>
      </c>
      <c r="B4806" s="818" t="str">
        <f>TiposLancamentos!B69</f>
        <v>Consertos</v>
      </c>
      <c r="C4806" s="1743" t="s">
        <v>7477</v>
      </c>
      <c r="D4806" s="1737"/>
      <c r="E4806" s="1668">
        <f>(14.5*2)+8</f>
        <v>37</v>
      </c>
      <c r="F4806" s="1291">
        <v>112.8</v>
      </c>
      <c r="G4806" s="1550"/>
    </row>
    <row r="4807" spans="1:7" ht="12.75" customHeight="1">
      <c r="A4807" s="1754">
        <v>43880</v>
      </c>
      <c r="B4807" s="125" t="str">
        <f>TiposLancamentos!B103</f>
        <v>Juros_Corr. Poupança</v>
      </c>
      <c r="C4807" s="1040" t="s">
        <v>7341</v>
      </c>
      <c r="D4807" s="1736">
        <v>0.01</v>
      </c>
      <c r="E4807" s="1043"/>
      <c r="F4807" s="1043"/>
      <c r="G4807" s="1550"/>
    </row>
    <row r="4808" spans="1:7" ht="12.75" customHeight="1">
      <c r="A4808" s="1754">
        <v>43880</v>
      </c>
      <c r="B4808" s="125" t="str">
        <f>TiposLancamentos!B98</f>
        <v>Restituições</v>
      </c>
      <c r="C4808" s="1040" t="s">
        <v>7478</v>
      </c>
      <c r="D4808" s="1736">
        <v>80.510000000000005</v>
      </c>
      <c r="E4808" s="1043"/>
      <c r="F4808" s="1043"/>
      <c r="G4808" s="1550"/>
    </row>
    <row r="4809" spans="1:7" ht="12.75" customHeight="1">
      <c r="A4809" s="1754">
        <v>43882</v>
      </c>
      <c r="B4809" s="125" t="str">
        <f>TiposLancamentos!B103</f>
        <v>Juros_Corr. Poupança</v>
      </c>
      <c r="C4809" s="1040" t="s">
        <v>7341</v>
      </c>
      <c r="D4809" s="1736">
        <v>0.01</v>
      </c>
      <c r="E4809" s="1043"/>
      <c r="F4809" s="1043"/>
      <c r="G4809" s="1550"/>
    </row>
    <row r="4810" spans="1:7" ht="12.75" customHeight="1">
      <c r="A4810" s="1754">
        <v>43880</v>
      </c>
      <c r="B4810" s="125" t="str">
        <f>TiposLancamentos!B19</f>
        <v>Restaurantes</v>
      </c>
      <c r="C4810" s="1040" t="s">
        <v>7479</v>
      </c>
      <c r="D4810" s="1736"/>
      <c r="E4810" s="1043">
        <v>51</v>
      </c>
      <c r="F4810" s="1043"/>
      <c r="G4810" s="1550"/>
    </row>
    <row r="4811" spans="1:7" ht="12.75" customHeight="1">
      <c r="A4811" s="1666">
        <v>43881</v>
      </c>
      <c r="B4811" s="817" t="str">
        <f>TiposLancamentos!B8</f>
        <v>Aluguel</v>
      </c>
      <c r="C4811" s="1742" t="s">
        <v>7480</v>
      </c>
      <c r="D4811" s="1735"/>
      <c r="E4811" s="1733">
        <f>F4817-SUM(E4812:E4817)</f>
        <v>1400.0000000000002</v>
      </c>
      <c r="F4811" s="1346"/>
      <c r="G4811" s="1550"/>
    </row>
    <row r="4812" spans="1:7" ht="12.75" customHeight="1">
      <c r="A4812" s="1667">
        <v>43881</v>
      </c>
      <c r="B4812" s="816" t="str">
        <f>TiposLancamentos!B12</f>
        <v>IPTU</v>
      </c>
      <c r="C4812" s="1769" t="s">
        <v>7481</v>
      </c>
      <c r="D4812" s="1736"/>
      <c r="E4812" s="1734">
        <v>40.520000000000003</v>
      </c>
      <c r="F4812" s="1043"/>
      <c r="G4812" s="1550"/>
    </row>
    <row r="4813" spans="1:7" ht="12.75" customHeight="1">
      <c r="A4813" s="1667">
        <v>43881</v>
      </c>
      <c r="B4813" s="816" t="str">
        <f>TiposLancamentos!B10</f>
        <v>Distr. Água Municipal</v>
      </c>
      <c r="C4813" s="1769" t="s">
        <v>7423</v>
      </c>
      <c r="D4813" s="1736"/>
      <c r="E4813" s="1734">
        <v>0</v>
      </c>
      <c r="F4813" s="1043"/>
      <c r="G4813" s="1550"/>
    </row>
    <row r="4814" spans="1:7" ht="12.75" customHeight="1">
      <c r="A4814" s="1667">
        <v>43881</v>
      </c>
      <c r="B4814" s="816" t="str">
        <f>TiposLancamentos!B11</f>
        <v>Coleta Municipal Lixo</v>
      </c>
      <c r="C4814" s="1769" t="s">
        <v>7424</v>
      </c>
      <c r="D4814" s="1736"/>
      <c r="E4814" s="1734">
        <v>38.590000000000003</v>
      </c>
      <c r="F4814" s="1043"/>
      <c r="G4814" s="1550"/>
    </row>
    <row r="4815" spans="1:7" ht="12.75" customHeight="1">
      <c r="A4815" s="1667">
        <v>43881</v>
      </c>
      <c r="B4815" s="816" t="str">
        <f>TiposLancamentos!B8</f>
        <v>Aluguel</v>
      </c>
      <c r="C4815" s="1769" t="s">
        <v>7425</v>
      </c>
      <c r="D4815" s="1736"/>
      <c r="E4815" s="1734">
        <v>8</v>
      </c>
      <c r="F4815" s="1043"/>
      <c r="G4815" s="1550"/>
    </row>
    <row r="4816" spans="1:7" ht="12.75" customHeight="1">
      <c r="A4816" s="1667">
        <v>43881</v>
      </c>
      <c r="B4816" s="816" t="str">
        <f>TiposLancamentos!B34</f>
        <v>Seguros</v>
      </c>
      <c r="C4816" s="1769" t="s">
        <v>7482</v>
      </c>
      <c r="D4816" s="1736"/>
      <c r="E4816" s="1734">
        <v>109.32</v>
      </c>
      <c r="F4816" s="1043"/>
      <c r="G4816" s="1550"/>
    </row>
    <row r="4817" spans="1:7" ht="12.75" customHeight="1">
      <c r="A4817" s="1750">
        <v>43881</v>
      </c>
      <c r="B4817" s="818" t="str">
        <f>TiposLancamentos!B9</f>
        <v>Condominio</v>
      </c>
      <c r="C4817" s="1743" t="s">
        <v>7427</v>
      </c>
      <c r="D4817" s="1737"/>
      <c r="E4817" s="1668">
        <v>616.37</v>
      </c>
      <c r="F4817" s="1291">
        <v>2212.8000000000002</v>
      </c>
      <c r="G4817" s="1550"/>
    </row>
    <row r="4818" spans="1:7" ht="12.75" customHeight="1">
      <c r="A4818" s="1754">
        <v>43881</v>
      </c>
      <c r="B4818" s="125" t="str">
        <f>TiposLancamentos!B19</f>
        <v>Restaurantes</v>
      </c>
      <c r="C4818" s="1040" t="s">
        <v>7483</v>
      </c>
      <c r="D4818" s="1736"/>
      <c r="E4818" s="1043">
        <v>7.2</v>
      </c>
      <c r="F4818" s="1043"/>
      <c r="G4818" s="1550"/>
    </row>
    <row r="4819" spans="1:7" ht="12.75" customHeight="1">
      <c r="A4819" s="1754">
        <v>43882</v>
      </c>
      <c r="B4819" s="125" t="str">
        <f>TiposLancamentos!B19</f>
        <v>Restaurantes</v>
      </c>
      <c r="C4819" s="1040" t="s">
        <v>7331</v>
      </c>
      <c r="D4819" s="1736"/>
      <c r="E4819" s="1043">
        <v>5.9</v>
      </c>
      <c r="F4819" s="1043"/>
      <c r="G4819" s="1550"/>
    </row>
    <row r="4820" spans="1:7" ht="12.75" customHeight="1">
      <c r="A4820" s="1754">
        <v>43882</v>
      </c>
      <c r="B4820" s="125" t="str">
        <f>TiposLancamentos!B19</f>
        <v>Restaurantes</v>
      </c>
      <c r="C4820" s="1040" t="s">
        <v>1962</v>
      </c>
      <c r="D4820" s="1736"/>
      <c r="E4820" s="1043">
        <v>20.9</v>
      </c>
      <c r="F4820" s="1043"/>
      <c r="G4820" s="1550"/>
    </row>
    <row r="4821" spans="1:7" ht="12.75" customHeight="1">
      <c r="A4821" s="1754">
        <v>43882</v>
      </c>
      <c r="B4821" s="125" t="str">
        <f>TiposLancamentos!B19</f>
        <v>Restaurantes</v>
      </c>
      <c r="C4821" s="1040" t="s">
        <v>7484</v>
      </c>
      <c r="D4821" s="1736"/>
      <c r="E4821" s="1043">
        <v>6.4</v>
      </c>
      <c r="F4821" s="1043"/>
      <c r="G4821" s="1550"/>
    </row>
    <row r="4822" spans="1:7" ht="12.75" customHeight="1">
      <c r="A4822" s="1754">
        <v>43883</v>
      </c>
      <c r="B4822" s="125" t="str">
        <f>TiposLancamentos!B19</f>
        <v>Restaurantes</v>
      </c>
      <c r="C4822" s="1040" t="s">
        <v>7485</v>
      </c>
      <c r="D4822" s="1736"/>
      <c r="E4822" s="1043">
        <v>36.700000000000003</v>
      </c>
      <c r="F4822" s="1043"/>
      <c r="G4822" s="1550"/>
    </row>
    <row r="4823" spans="1:7" ht="12.75" customHeight="1">
      <c r="A4823" s="1754">
        <v>43887</v>
      </c>
      <c r="B4823" s="125" t="str">
        <f>TiposLancamentos!B19</f>
        <v>Restaurantes</v>
      </c>
      <c r="C4823" s="1040" t="s">
        <v>7486</v>
      </c>
      <c r="D4823" s="1736"/>
      <c r="E4823" s="1043">
        <v>6.4</v>
      </c>
      <c r="F4823" s="1043"/>
      <c r="G4823" s="1550"/>
    </row>
    <row r="4824" spans="1:7" ht="12.75" customHeight="1">
      <c r="A4824" s="1754">
        <v>43888</v>
      </c>
      <c r="B4824" s="125" t="str">
        <f>TiposLancamentos!B19</f>
        <v>Restaurantes</v>
      </c>
      <c r="C4824" s="1040" t="s">
        <v>1889</v>
      </c>
      <c r="D4824" s="1736"/>
      <c r="E4824" s="1043">
        <v>5.8</v>
      </c>
      <c r="F4824" s="1043"/>
      <c r="G4824" s="1550"/>
    </row>
    <row r="4825" spans="1:7" ht="12.75" customHeight="1">
      <c r="A4825" s="1754">
        <v>43888</v>
      </c>
      <c r="B4825" s="125" t="str">
        <f>TiposLancamentos!B19</f>
        <v>Restaurantes</v>
      </c>
      <c r="C4825" s="1040" t="s">
        <v>1962</v>
      </c>
      <c r="D4825" s="1736"/>
      <c r="E4825" s="1043">
        <v>20.9</v>
      </c>
      <c r="F4825" s="1043"/>
      <c r="G4825" s="1550"/>
    </row>
    <row r="4826" spans="1:7" ht="12.75" customHeight="1">
      <c r="A4826" s="1754">
        <v>43888</v>
      </c>
      <c r="B4826" s="125" t="str">
        <f>TiposLancamentos!B19</f>
        <v>Restaurantes</v>
      </c>
      <c r="C4826" s="1040" t="s">
        <v>7487</v>
      </c>
      <c r="D4826" s="1736"/>
      <c r="E4826" s="1043">
        <v>3.75</v>
      </c>
      <c r="F4826" s="1043"/>
      <c r="G4826" s="1550"/>
    </row>
    <row r="4827" spans="1:7" ht="13.5" customHeight="1">
      <c r="A4827" s="1754">
        <v>43888</v>
      </c>
      <c r="B4827" s="125" t="str">
        <f>TiposLancamentos!B19</f>
        <v>Restaurantes</v>
      </c>
      <c r="C4827" s="1040" t="s">
        <v>7488</v>
      </c>
      <c r="D4827" s="1736"/>
      <c r="E4827" s="1043">
        <v>6.5</v>
      </c>
      <c r="F4827" s="1043"/>
      <c r="G4827" s="1550"/>
    </row>
    <row r="4828" spans="1:7" ht="13.5" customHeight="1">
      <c r="A4828" s="1754">
        <v>43890</v>
      </c>
      <c r="B4828" s="125" t="str">
        <f>TiposLancamentos!B16</f>
        <v>Cristiane</v>
      </c>
      <c r="C4828" s="1040" t="s">
        <v>7489</v>
      </c>
      <c r="D4828" s="1736"/>
      <c r="E4828" s="1043">
        <v>5.97</v>
      </c>
      <c r="F4828" s="1043"/>
      <c r="G4828" s="1550"/>
    </row>
    <row r="4829" spans="1:7" ht="13.5" customHeight="1" thickBot="1">
      <c r="A4829" s="1754">
        <v>43890</v>
      </c>
      <c r="B4829" s="125" t="str">
        <f>TiposLancamentos!B24</f>
        <v>Estacionamentos</v>
      </c>
      <c r="C4829" s="1040" t="s">
        <v>7490</v>
      </c>
      <c r="D4829" s="1736"/>
      <c r="E4829" s="1043">
        <v>8</v>
      </c>
      <c r="F4829" s="1043"/>
      <c r="G4829" s="1550"/>
    </row>
    <row r="4830" spans="1:7" ht="12.75" customHeight="1">
      <c r="A4830" s="1834"/>
      <c r="B4830" s="977"/>
      <c r="C4830" s="1854" t="s">
        <v>7491</v>
      </c>
      <c r="D4830" s="1823"/>
      <c r="E4830" s="1821"/>
      <c r="F4830" s="1821"/>
      <c r="G4830" s="1895"/>
    </row>
    <row r="4831" spans="1:7" ht="12.75" customHeight="1">
      <c r="A4831" s="1754">
        <v>43891</v>
      </c>
      <c r="B4831" s="125" t="str">
        <f>TiposLancamentos!B50</f>
        <v>Guitarra</v>
      </c>
      <c r="C4831" s="1040" t="s">
        <v>7492</v>
      </c>
      <c r="D4831" s="1736"/>
      <c r="E4831" s="1043">
        <v>6.99</v>
      </c>
      <c r="F4831" s="1043"/>
      <c r="G4831" s="1550"/>
    </row>
    <row r="4832" spans="1:7" ht="12.75" customHeight="1">
      <c r="A4832" s="1754">
        <v>43892</v>
      </c>
      <c r="B4832" s="125" t="str">
        <f>TiposLancamentos!B99</f>
        <v>Venda de algo</v>
      </c>
      <c r="C4832" s="1040" t="s">
        <v>7493</v>
      </c>
      <c r="D4832" s="1736">
        <v>60</v>
      </c>
      <c r="E4832" s="1043"/>
      <c r="F4832" s="1043"/>
      <c r="G4832" s="1550"/>
    </row>
    <row r="4833" spans="1:7" ht="12.75" customHeight="1">
      <c r="A4833" s="1754">
        <v>43892</v>
      </c>
      <c r="B4833" s="125" t="str">
        <f>TiposLancamentos!B15</f>
        <v>Cartões de Crédito</v>
      </c>
      <c r="C4833" s="1040" t="s">
        <v>7391</v>
      </c>
      <c r="D4833" s="1736"/>
      <c r="E4833" s="1043">
        <v>475.68</v>
      </c>
      <c r="F4833" s="1043"/>
      <c r="G4833" s="1550"/>
    </row>
    <row r="4834" spans="1:7" ht="12.75" customHeight="1">
      <c r="A4834" s="1754">
        <v>43892</v>
      </c>
      <c r="B4834" s="125" t="str">
        <f>TiposLancamentos!B15</f>
        <v>Cartões de Crédito</v>
      </c>
      <c r="C4834" s="1040" t="s">
        <v>7392</v>
      </c>
      <c r="D4834" s="1736"/>
      <c r="E4834" s="1043">
        <v>84</v>
      </c>
      <c r="F4834" s="1043"/>
      <c r="G4834" s="1550"/>
    </row>
    <row r="4835" spans="1:7" ht="12.75" customHeight="1">
      <c r="A4835" s="1754">
        <v>43892</v>
      </c>
      <c r="B4835" s="125" t="str">
        <f>TiposLancamentos!B15</f>
        <v>Cartões de Crédito</v>
      </c>
      <c r="C4835" s="1040" t="s">
        <v>7393</v>
      </c>
      <c r="D4835" s="1736"/>
      <c r="E4835" s="1043">
        <v>661.31</v>
      </c>
      <c r="F4835" s="1043"/>
      <c r="G4835" s="1550"/>
    </row>
    <row r="4836" spans="1:7" ht="12.75" customHeight="1">
      <c r="A4836" s="1754">
        <v>43892</v>
      </c>
      <c r="B4836" s="125" t="str">
        <f>TiposLancamentos!B15</f>
        <v>Cartões de Crédito</v>
      </c>
      <c r="C4836" s="1040" t="s">
        <v>7333</v>
      </c>
      <c r="D4836" s="1736"/>
      <c r="E4836" s="1043">
        <v>244.2</v>
      </c>
      <c r="F4836" s="1043"/>
      <c r="G4836" s="1550"/>
    </row>
    <row r="4837" spans="1:7" ht="12.75" customHeight="1">
      <c r="A4837" s="1754">
        <v>43892</v>
      </c>
      <c r="B4837" s="125" t="str">
        <f>TiposLancamentos!B15</f>
        <v>Cartões de Crédito</v>
      </c>
      <c r="C4837" s="1040" t="s">
        <v>5700</v>
      </c>
      <c r="D4837" s="1736"/>
      <c r="E4837" s="1043">
        <v>125.69</v>
      </c>
      <c r="F4837" s="1043"/>
      <c r="G4837" s="1550"/>
    </row>
    <row r="4838" spans="1:7" ht="12.75" customHeight="1">
      <c r="A4838" s="1754">
        <v>43892</v>
      </c>
      <c r="B4838" s="125" t="str">
        <f>TiposLancamentos!B4</f>
        <v>Taxas Bancarias</v>
      </c>
      <c r="C4838" s="1040" t="s">
        <v>7494</v>
      </c>
      <c r="D4838" s="1736"/>
      <c r="E4838" s="1043">
        <v>8.01</v>
      </c>
      <c r="F4838" s="1043"/>
      <c r="G4838" s="1550"/>
    </row>
    <row r="4839" spans="1:7" ht="12.75" customHeight="1">
      <c r="A4839" s="1754">
        <v>43893</v>
      </c>
      <c r="B4839" s="125" t="str">
        <f>TiposLancamentos!B4</f>
        <v>Taxas Bancarias</v>
      </c>
      <c r="C4839" s="1040" t="s">
        <v>7394</v>
      </c>
      <c r="D4839" s="1736"/>
      <c r="E4839" s="1043">
        <v>5</v>
      </c>
      <c r="F4839" s="1043"/>
      <c r="G4839" s="1550"/>
    </row>
    <row r="4840" spans="1:7" ht="12.75" customHeight="1">
      <c r="A4840" s="1754">
        <v>43893</v>
      </c>
      <c r="B4840" s="125" t="str">
        <f>TiposLancamentos!B95</f>
        <v>Salarios</v>
      </c>
      <c r="C4840" s="1040" t="s">
        <v>7322</v>
      </c>
      <c r="D4840" s="1736">
        <v>6705.12</v>
      </c>
      <c r="E4840" s="1043"/>
      <c r="F4840" s="1043"/>
      <c r="G4840" s="1550"/>
    </row>
    <row r="4841" spans="1:7" ht="12.75" customHeight="1">
      <c r="A4841" s="1754">
        <v>43893</v>
      </c>
      <c r="B4841" s="125" t="str">
        <f>TiposLancamentos!B56</f>
        <v>Farmácia</v>
      </c>
      <c r="C4841" s="1040" t="s">
        <v>7495</v>
      </c>
      <c r="D4841" s="1736"/>
      <c r="E4841" s="1043">
        <v>19.87</v>
      </c>
      <c r="F4841" s="1043"/>
      <c r="G4841" s="1550"/>
    </row>
    <row r="4842" spans="1:7" ht="12.75" customHeight="1">
      <c r="A4842" s="1754">
        <v>43893</v>
      </c>
      <c r="B4842" s="125" t="str">
        <f>TiposLancamentos!B14</f>
        <v>Gás de cozinha</v>
      </c>
      <c r="C4842" s="1040" t="s">
        <v>7496</v>
      </c>
      <c r="D4842" s="1736"/>
      <c r="E4842" s="1043">
        <v>33.51</v>
      </c>
      <c r="F4842" s="1043"/>
      <c r="G4842" s="1550"/>
    </row>
    <row r="4843" spans="1:7" ht="12.75" customHeight="1">
      <c r="A4843" s="1754">
        <v>43893</v>
      </c>
      <c r="B4843" s="125" t="str">
        <f>TiposLancamentos!B52</f>
        <v>Multas</v>
      </c>
      <c r="C4843" s="1040" t="s">
        <v>7497</v>
      </c>
      <c r="D4843" s="1736"/>
      <c r="E4843" s="1043">
        <v>263.66000000000003</v>
      </c>
      <c r="F4843" s="1043"/>
      <c r="G4843" s="1550"/>
    </row>
    <row r="4844" spans="1:7" ht="12.75" customHeight="1">
      <c r="A4844" s="1754">
        <v>43893</v>
      </c>
      <c r="B4844" s="125" t="str">
        <f>TiposLancamentos!B50</f>
        <v>Guitarra</v>
      </c>
      <c r="C4844" s="1040" t="s">
        <v>7498</v>
      </c>
      <c r="D4844" s="1736"/>
      <c r="E4844" s="1043">
        <v>101.07</v>
      </c>
      <c r="F4844" s="1043"/>
      <c r="G4844" s="1550"/>
    </row>
    <row r="4845" spans="1:7" ht="12.75" customHeight="1">
      <c r="A4845" s="1754">
        <v>43893</v>
      </c>
      <c r="B4845" s="125" t="str">
        <f>TiposLancamentos!B103</f>
        <v>Juros_Corr. Poupança</v>
      </c>
      <c r="C4845" s="1040" t="s">
        <v>7341</v>
      </c>
      <c r="D4845" s="1736">
        <v>0.02</v>
      </c>
      <c r="E4845" s="1043"/>
      <c r="F4845" s="1043"/>
      <c r="G4845" s="1550"/>
    </row>
    <row r="4846" spans="1:7" ht="12.75" customHeight="1">
      <c r="A4846" s="1754">
        <v>43895</v>
      </c>
      <c r="B4846" s="125" t="str">
        <f>TiposLancamentos!B20</f>
        <v>Saques</v>
      </c>
      <c r="C4846" s="1040" t="s">
        <v>7499</v>
      </c>
      <c r="D4846" s="1736"/>
      <c r="E4846" s="1043">
        <v>50</v>
      </c>
      <c r="F4846" s="1043"/>
      <c r="G4846" s="1550"/>
    </row>
    <row r="4847" spans="1:7" ht="12.75" customHeight="1">
      <c r="A4847" s="1754">
        <v>43895</v>
      </c>
      <c r="B4847" s="125" t="str">
        <f>TiposLancamentos!B4</f>
        <v>Taxas Bancarias</v>
      </c>
      <c r="C4847" s="1040" t="s">
        <v>5707</v>
      </c>
      <c r="D4847" s="1736"/>
      <c r="E4847" s="1043">
        <v>6</v>
      </c>
      <c r="F4847" s="1043"/>
      <c r="G4847" s="1550"/>
    </row>
    <row r="4848" spans="1:7" ht="12.75" customHeight="1">
      <c r="A4848" s="1754">
        <v>43897</v>
      </c>
      <c r="B4848" s="125" t="str">
        <f>TiposLancamentos!B67</f>
        <v>Lavanderia</v>
      </c>
      <c r="C4848" s="1040" t="s">
        <v>7500</v>
      </c>
      <c r="D4848" s="1736"/>
      <c r="E4848" s="1043">
        <v>250</v>
      </c>
      <c r="F4848" s="1043"/>
      <c r="G4848" s="1550"/>
    </row>
    <row r="4849" spans="1:7" ht="12.75" customHeight="1">
      <c r="A4849" s="1754">
        <v>43897</v>
      </c>
      <c r="B4849" s="125" t="str">
        <f>TiposLancamentos!B71</f>
        <v>Itens Pessoais</v>
      </c>
      <c r="C4849" s="1040" t="s">
        <v>7501</v>
      </c>
      <c r="D4849" s="1736"/>
      <c r="E4849" s="1043">
        <v>16.5</v>
      </c>
      <c r="F4849" s="1043"/>
      <c r="G4849" s="1550"/>
    </row>
    <row r="4850" spans="1:7" ht="12.75" customHeight="1">
      <c r="A4850" s="1754">
        <v>43897</v>
      </c>
      <c r="B4850" s="125" t="str">
        <f>TiposLancamentos!B71</f>
        <v>Itens Pessoais</v>
      </c>
      <c r="C4850" s="1040" t="s">
        <v>7502</v>
      </c>
      <c r="D4850" s="1736"/>
      <c r="E4850" s="1043">
        <v>26</v>
      </c>
      <c r="F4850" s="1043"/>
      <c r="G4850" s="1550"/>
    </row>
    <row r="4851" spans="1:7" ht="12.75" customHeight="1">
      <c r="A4851" s="1754">
        <v>43897</v>
      </c>
      <c r="B4851" s="125" t="str">
        <f>TiposLancamentos!B19</f>
        <v>Restaurantes</v>
      </c>
      <c r="C4851" s="1040" t="s">
        <v>7503</v>
      </c>
      <c r="D4851" s="1736"/>
      <c r="E4851" s="1043">
        <v>34.99</v>
      </c>
      <c r="F4851" s="1043"/>
      <c r="G4851" s="1550"/>
    </row>
    <row r="4852" spans="1:7" ht="12.75" customHeight="1">
      <c r="A4852" s="1754">
        <v>43897</v>
      </c>
      <c r="B4852" s="125" t="str">
        <f>TiposLancamentos!B19</f>
        <v>Restaurantes</v>
      </c>
      <c r="C4852" s="1040" t="s">
        <v>7504</v>
      </c>
      <c r="D4852" s="1736"/>
      <c r="E4852" s="1043">
        <v>161.6</v>
      </c>
      <c r="F4852" s="1043"/>
      <c r="G4852" s="1550"/>
    </row>
    <row r="4853" spans="1:7" ht="12.75" customHeight="1">
      <c r="A4853" s="1754">
        <v>43898</v>
      </c>
      <c r="B4853" s="125" t="str">
        <f>TiposLancamentos!B19</f>
        <v>Restaurantes</v>
      </c>
      <c r="C4853" s="1040" t="s">
        <v>7406</v>
      </c>
      <c r="D4853" s="1736"/>
      <c r="E4853" s="1043">
        <v>130.02000000000001</v>
      </c>
      <c r="F4853" s="1043"/>
      <c r="G4853" s="1550"/>
    </row>
    <row r="4854" spans="1:7" ht="12.75" customHeight="1">
      <c r="A4854" s="1754">
        <v>43898</v>
      </c>
      <c r="B4854" s="125" t="str">
        <f>TiposLancamentos!B19</f>
        <v>Restaurantes</v>
      </c>
      <c r="C4854" s="1040" t="s">
        <v>7505</v>
      </c>
      <c r="D4854" s="1736"/>
      <c r="E4854" s="1043">
        <v>24</v>
      </c>
      <c r="F4854" s="1043"/>
      <c r="G4854" s="1550"/>
    </row>
    <row r="4855" spans="1:7" ht="12.75" customHeight="1">
      <c r="A4855" s="1754">
        <v>43902</v>
      </c>
      <c r="B4855" s="125" t="str">
        <f>TiposLancamentos!B69</f>
        <v>Consertos</v>
      </c>
      <c r="C4855" s="1040" t="s">
        <v>7506</v>
      </c>
      <c r="D4855" s="1736"/>
      <c r="E4855" s="1043">
        <v>260</v>
      </c>
      <c r="F4855" s="1043"/>
      <c r="G4855" s="1550"/>
    </row>
    <row r="4856" spans="1:7" ht="12.75" customHeight="1">
      <c r="A4856" s="1754">
        <v>43903</v>
      </c>
      <c r="B4856" s="125" t="str">
        <f>TiposLancamentos!B88</f>
        <v>Ford Ecosport XLT</v>
      </c>
      <c r="C4856" s="1040" t="s">
        <v>7507</v>
      </c>
      <c r="D4856" s="1736"/>
      <c r="E4856" s="1043">
        <v>1112.95</v>
      </c>
      <c r="F4856" s="1043"/>
      <c r="G4856" s="1550"/>
    </row>
    <row r="4857" spans="1:7" ht="12.75" customHeight="1">
      <c r="A4857" s="1754">
        <v>43903</v>
      </c>
      <c r="B4857" s="125" t="str">
        <f>TiposLancamentos!B103</f>
        <v>Juros_Corr. Poupança</v>
      </c>
      <c r="C4857" s="1040" t="s">
        <v>7341</v>
      </c>
      <c r="D4857" s="1736">
        <v>0.01</v>
      </c>
      <c r="E4857" s="1043"/>
      <c r="F4857" s="1043"/>
      <c r="G4857" s="1550"/>
    </row>
    <row r="4858" spans="1:7" ht="12.75" customHeight="1">
      <c r="A4858" s="1754">
        <v>43904</v>
      </c>
      <c r="B4858" s="125" t="str">
        <f>TiposLancamentos!B19</f>
        <v>Restaurantes</v>
      </c>
      <c r="C4858" s="1040" t="s">
        <v>7508</v>
      </c>
      <c r="D4858" s="1736"/>
      <c r="E4858" s="1043">
        <v>57.8</v>
      </c>
      <c r="F4858" s="1043"/>
      <c r="G4858" s="1550"/>
    </row>
    <row r="4859" spans="1:7" ht="12.75" customHeight="1">
      <c r="A4859" s="1754">
        <v>43904</v>
      </c>
      <c r="B4859" s="125" t="str">
        <f>TiposLancamentos!B13</f>
        <v>Moradia</v>
      </c>
      <c r="C4859" s="1040" t="s">
        <v>7509</v>
      </c>
      <c r="D4859" s="1736"/>
      <c r="E4859" s="1043">
        <v>17.8</v>
      </c>
      <c r="F4859" s="1043"/>
      <c r="G4859" s="1550"/>
    </row>
    <row r="4860" spans="1:7" ht="12.75" customHeight="1">
      <c r="A4860" s="1754">
        <v>43904</v>
      </c>
      <c r="B4860" s="125" t="str">
        <f>TiposLancamentos!B17</f>
        <v>GATO</v>
      </c>
      <c r="C4860" s="1040" t="s">
        <v>7510</v>
      </c>
      <c r="D4860" s="1736"/>
      <c r="E4860" s="1043">
        <v>33.979999999999997</v>
      </c>
      <c r="F4860" s="1043"/>
      <c r="G4860" s="1550"/>
    </row>
    <row r="4861" spans="1:7" ht="12.75" customHeight="1">
      <c r="A4861" s="1754">
        <v>43904</v>
      </c>
      <c r="B4861" s="125" t="str">
        <f>TiposLancamentos!B19</f>
        <v>Restaurantes</v>
      </c>
      <c r="C4861" s="1040" t="s">
        <v>7511</v>
      </c>
      <c r="D4861" s="1736"/>
      <c r="E4861" s="1043">
        <v>24.31</v>
      </c>
      <c r="F4861" s="1043"/>
      <c r="G4861" s="1550"/>
    </row>
    <row r="4862" spans="1:7" ht="12.75" customHeight="1">
      <c r="A4862" s="1754">
        <v>43904</v>
      </c>
      <c r="B4862" s="125" t="str">
        <f>TiposLancamentos!B24</f>
        <v>Estacionamentos</v>
      </c>
      <c r="C4862" s="1040" t="s">
        <v>3398</v>
      </c>
      <c r="D4862" s="1736"/>
      <c r="E4862" s="1043">
        <v>11</v>
      </c>
      <c r="F4862" s="1043"/>
      <c r="G4862" s="1550"/>
    </row>
    <row r="4863" spans="1:7" ht="12.75" customHeight="1">
      <c r="A4863" s="1754">
        <v>43904</v>
      </c>
      <c r="B4863" s="125" t="str">
        <f>TiposLancamentos!B5</f>
        <v>Supermercado</v>
      </c>
      <c r="C4863" s="1040" t="s">
        <v>7512</v>
      </c>
      <c r="D4863" s="1736"/>
      <c r="E4863" s="1043">
        <v>138.11000000000001</v>
      </c>
      <c r="F4863" s="1043"/>
      <c r="G4863" s="1550"/>
    </row>
    <row r="4864" spans="1:7" ht="12.75" customHeight="1">
      <c r="A4864" s="1754">
        <v>43905</v>
      </c>
      <c r="B4864" s="125" t="str">
        <f>TiposLancamentos!B103</f>
        <v>Juros_Corr. Poupança</v>
      </c>
      <c r="C4864" s="1040" t="s">
        <v>7341</v>
      </c>
      <c r="D4864" s="1736">
        <v>0.01</v>
      </c>
      <c r="E4864" s="1043"/>
      <c r="F4864" s="1043"/>
      <c r="G4864" s="1550"/>
    </row>
    <row r="4865" spans="1:7" ht="12.75" customHeight="1">
      <c r="A4865" s="1666">
        <v>43905</v>
      </c>
      <c r="B4865" s="817" t="str">
        <f>TiposLancamentos!B35</f>
        <v>Tv à Cabo</v>
      </c>
      <c r="C4865" s="1742" t="s">
        <v>5834</v>
      </c>
      <c r="D4865" s="1735"/>
      <c r="E4865" s="1733">
        <v>140.04</v>
      </c>
      <c r="F4865" s="1290"/>
      <c r="G4865" s="1550"/>
    </row>
    <row r="4866" spans="1:7" ht="12.75" customHeight="1">
      <c r="A4866" s="1667">
        <v>43905</v>
      </c>
      <c r="B4866" s="816" t="str">
        <f>TiposLancamentos!B3</f>
        <v>Internet</v>
      </c>
      <c r="C4866" s="1769" t="s">
        <v>5835</v>
      </c>
      <c r="D4866" s="1736"/>
      <c r="E4866" s="1734">
        <v>102.47</v>
      </c>
      <c r="F4866" s="1043"/>
      <c r="G4866" s="1550"/>
    </row>
    <row r="4867" spans="1:7" ht="12.75" customHeight="1">
      <c r="A4867" s="1750">
        <v>43905</v>
      </c>
      <c r="B4867" s="818" t="str">
        <f>TiposLancamentos!B2</f>
        <v>Telefonia</v>
      </c>
      <c r="C4867" s="1743" t="s">
        <v>7210</v>
      </c>
      <c r="D4867" s="1737"/>
      <c r="E4867" s="1668">
        <v>0</v>
      </c>
      <c r="F4867" s="1291">
        <f>SUM(E4865:E4867)</f>
        <v>242.51</v>
      </c>
      <c r="G4867" s="1550"/>
    </row>
    <row r="4868" spans="1:7" ht="12.75" customHeight="1">
      <c r="A4868" s="1754">
        <v>43905</v>
      </c>
      <c r="B4868" s="125" t="str">
        <f>TiposLancamentos!B16</f>
        <v>Cristiane</v>
      </c>
      <c r="C4868" s="1770" t="s">
        <v>7367</v>
      </c>
      <c r="D4868" s="1736"/>
      <c r="E4868" s="1043">
        <v>81</v>
      </c>
      <c r="F4868" s="1043"/>
      <c r="G4868" s="1550"/>
    </row>
    <row r="4869" spans="1:7" ht="12.75" customHeight="1">
      <c r="A4869" s="1754">
        <v>43905</v>
      </c>
      <c r="B4869" s="125" t="str">
        <f>TiposLancamentos!B2</f>
        <v>Telefonia</v>
      </c>
      <c r="C4869" s="1770" t="s">
        <v>7368</v>
      </c>
      <c r="D4869" s="1736"/>
      <c r="E4869" s="1043">
        <v>73.989999999999995</v>
      </c>
      <c r="F4869" s="1043"/>
      <c r="G4869" s="1550"/>
    </row>
    <row r="4870" spans="1:7" ht="12.75" customHeight="1">
      <c r="A4870" s="1666">
        <v>43905</v>
      </c>
      <c r="B4870" s="817" t="str">
        <f>TiposLancamentos!B33</f>
        <v>Pedágios</v>
      </c>
      <c r="C4870" s="1742" t="s">
        <v>5392</v>
      </c>
      <c r="D4870" s="1735"/>
      <c r="E4870" s="1733">
        <f>F4872-(E4871+E4872)</f>
        <v>168.48000000000002</v>
      </c>
      <c r="F4870" s="1290"/>
      <c r="G4870" s="1550"/>
    </row>
    <row r="4871" spans="1:7" ht="12.75" customHeight="1">
      <c r="A4871" s="1667">
        <v>43905</v>
      </c>
      <c r="B4871" s="816" t="str">
        <f>TiposLancamentos!B24</f>
        <v>Estacionamentos</v>
      </c>
      <c r="C4871" s="1769" t="s">
        <v>7366</v>
      </c>
      <c r="D4871" s="1736"/>
      <c r="E4871" s="1734">
        <v>20</v>
      </c>
      <c r="F4871" s="1043"/>
      <c r="G4871" s="1550"/>
    </row>
    <row r="4872" spans="1:7" ht="12.75" customHeight="1">
      <c r="A4872" s="1750">
        <v>43905</v>
      </c>
      <c r="B4872" s="818" t="str">
        <f>TiposLancamentos!B24</f>
        <v>Estacionamentos</v>
      </c>
      <c r="C4872" s="1743" t="s">
        <v>6297</v>
      </c>
      <c r="D4872" s="1737"/>
      <c r="E4872" s="1668">
        <v>71</v>
      </c>
      <c r="F4872" s="1291">
        <v>259.48</v>
      </c>
      <c r="G4872" s="1550"/>
    </row>
    <row r="4873" spans="1:7" ht="12.75" customHeight="1">
      <c r="A4873" s="1754">
        <v>43906</v>
      </c>
      <c r="B4873" s="125" t="str">
        <f>TiposLancamentos!B46</f>
        <v>Maçonaria</v>
      </c>
      <c r="C4873" s="1040" t="s">
        <v>7513</v>
      </c>
      <c r="D4873" s="1736"/>
      <c r="E4873" s="1043">
        <v>180</v>
      </c>
      <c r="F4873" s="1043"/>
      <c r="G4873" s="1550"/>
    </row>
    <row r="4874" spans="1:7" ht="12.75" customHeight="1">
      <c r="A4874" s="1754">
        <v>43908</v>
      </c>
      <c r="B4874" s="125" t="str">
        <f>TiposLancamentos!B20</f>
        <v>Saques</v>
      </c>
      <c r="C4874" s="1040" t="s">
        <v>4325</v>
      </c>
      <c r="D4874" s="1736"/>
      <c r="E4874" s="1043">
        <v>50</v>
      </c>
      <c r="F4874" s="1043"/>
      <c r="G4874" s="1550"/>
    </row>
    <row r="4875" spans="1:7" ht="12.75" customHeight="1">
      <c r="A4875" s="1666">
        <v>43910</v>
      </c>
      <c r="B4875" s="817" t="str">
        <f>TiposLancamentos!B8</f>
        <v>Aluguel</v>
      </c>
      <c r="C4875" s="1742" t="s">
        <v>7514</v>
      </c>
      <c r="D4875" s="1735"/>
      <c r="E4875" s="1733">
        <f>F4880-SUM(E4876:E4880)</f>
        <v>1400</v>
      </c>
      <c r="F4875" s="1346"/>
      <c r="G4875" s="1550"/>
    </row>
    <row r="4876" spans="1:7" ht="12.75" customHeight="1">
      <c r="A4876" s="1667">
        <v>43910</v>
      </c>
      <c r="B4876" s="816" t="str">
        <f>TiposLancamentos!B12</f>
        <v>IPTU</v>
      </c>
      <c r="C4876" s="1769" t="s">
        <v>7515</v>
      </c>
      <c r="D4876" s="1736"/>
      <c r="E4876" s="1734">
        <v>40.520000000000003</v>
      </c>
      <c r="F4876" s="1043"/>
      <c r="G4876" s="1550"/>
    </row>
    <row r="4877" spans="1:7" ht="12.75" customHeight="1">
      <c r="A4877" s="1667">
        <v>43910</v>
      </c>
      <c r="B4877" s="816" t="str">
        <f>TiposLancamentos!B10</f>
        <v>Distr. Água Municipal</v>
      </c>
      <c r="C4877" s="1769" t="s">
        <v>7423</v>
      </c>
      <c r="D4877" s="1736"/>
      <c r="E4877" s="1734">
        <v>49.84</v>
      </c>
      <c r="F4877" s="1043"/>
      <c r="G4877" s="1550"/>
    </row>
    <row r="4878" spans="1:7" ht="12.75" customHeight="1">
      <c r="A4878" s="1667">
        <v>43910</v>
      </c>
      <c r="B4878" s="816" t="str">
        <f>TiposLancamentos!B11</f>
        <v>Coleta Municipal Lixo</v>
      </c>
      <c r="C4878" s="1769" t="s">
        <v>7424</v>
      </c>
      <c r="D4878" s="1736"/>
      <c r="E4878" s="1734">
        <v>38.590000000000003</v>
      </c>
      <c r="F4878" s="1043"/>
      <c r="G4878" s="1550"/>
    </row>
    <row r="4879" spans="1:7" ht="12.75" customHeight="1">
      <c r="A4879" s="1667">
        <v>43910</v>
      </c>
      <c r="B4879" s="816" t="str">
        <f>TiposLancamentos!B8</f>
        <v>Aluguel</v>
      </c>
      <c r="C4879" s="1769" t="s">
        <v>7425</v>
      </c>
      <c r="D4879" s="1736"/>
      <c r="E4879" s="1734">
        <v>8</v>
      </c>
      <c r="F4879" s="1043"/>
      <c r="G4879" s="1550"/>
    </row>
    <row r="4880" spans="1:7" ht="12.75" customHeight="1">
      <c r="A4880" s="1750">
        <v>43910</v>
      </c>
      <c r="B4880" s="818" t="str">
        <f>TiposLancamentos!B9</f>
        <v>Condominio</v>
      </c>
      <c r="C4880" s="1743" t="s">
        <v>7427</v>
      </c>
      <c r="D4880" s="1737"/>
      <c r="E4880" s="1668">
        <v>616.37</v>
      </c>
      <c r="F4880" s="1291">
        <v>2153.3200000000002</v>
      </c>
      <c r="G4880" s="1550"/>
    </row>
    <row r="4881" spans="1:7" ht="12.75" customHeight="1">
      <c r="A4881" s="1754">
        <v>43912</v>
      </c>
      <c r="B4881" s="125" t="str">
        <f>TiposLancamentos!B103</f>
        <v>Juros_Corr. Poupança</v>
      </c>
      <c r="C4881" s="1040" t="s">
        <v>7341</v>
      </c>
      <c r="D4881" s="1736">
        <v>0.03</v>
      </c>
      <c r="E4881" s="1043"/>
      <c r="F4881" s="1043"/>
      <c r="G4881" s="1550"/>
    </row>
    <row r="4882" spans="1:7" ht="12.75" customHeight="1" thickBot="1">
      <c r="A4882" s="1754">
        <v>43913</v>
      </c>
      <c r="B4882" s="125" t="str">
        <f>TiposLancamentos!B6</f>
        <v>Energia Eletrica</v>
      </c>
      <c r="C4882" s="1040" t="s">
        <v>7516</v>
      </c>
      <c r="D4882" s="1736"/>
      <c r="E4882" s="1043">
        <v>232.65</v>
      </c>
      <c r="F4882" s="1043"/>
      <c r="G4882" s="1550"/>
    </row>
    <row r="4883" spans="1:7" ht="12.75" customHeight="1">
      <c r="A4883" s="1834"/>
      <c r="B4883" s="977"/>
      <c r="C4883" s="1854" t="s">
        <v>7517</v>
      </c>
      <c r="D4883" s="1823"/>
      <c r="E4883" s="1821"/>
      <c r="F4883" s="1821"/>
      <c r="G4883" s="1895"/>
    </row>
    <row r="4884" spans="1:7" ht="12.75" customHeight="1">
      <c r="A4884" s="1754">
        <v>43922</v>
      </c>
      <c r="B4884" s="125" t="str">
        <f>TiposLancamentos!B15</f>
        <v>Cartões de Crédito</v>
      </c>
      <c r="C4884" s="1040" t="s">
        <v>7391</v>
      </c>
      <c r="D4884" s="1736"/>
      <c r="E4884" s="1043">
        <v>347.71</v>
      </c>
      <c r="F4884" s="1043"/>
      <c r="G4884" s="1550"/>
    </row>
    <row r="4885" spans="1:7" ht="12.75" customHeight="1">
      <c r="A4885" s="1754">
        <v>43922</v>
      </c>
      <c r="B4885" s="125" t="str">
        <f>TiposLancamentos!B15</f>
        <v>Cartões de Crédito</v>
      </c>
      <c r="C4885" s="1040" t="s">
        <v>7393</v>
      </c>
      <c r="D4885" s="1736"/>
      <c r="E4885" s="1043">
        <v>2362.4</v>
      </c>
      <c r="F4885" s="1043"/>
      <c r="G4885" s="1550"/>
    </row>
    <row r="4886" spans="1:7" ht="12.75" customHeight="1">
      <c r="A4886" s="1754">
        <v>43922</v>
      </c>
      <c r="B4886" s="125" t="str">
        <f>TiposLancamentos!B15</f>
        <v>Cartões de Crédito</v>
      </c>
      <c r="C4886" s="1040" t="s">
        <v>7333</v>
      </c>
      <c r="D4886" s="1736"/>
      <c r="E4886" s="1043">
        <v>1100.6300000000001</v>
      </c>
      <c r="F4886" s="1043"/>
      <c r="G4886" s="1550"/>
    </row>
    <row r="4887" spans="1:7" ht="12.75" customHeight="1">
      <c r="A4887" s="1754">
        <v>43922</v>
      </c>
      <c r="B4887" s="125" t="str">
        <f>TiposLancamentos!B15</f>
        <v>Cartões de Crédito</v>
      </c>
      <c r="C4887" s="1040" t="s">
        <v>7392</v>
      </c>
      <c r="D4887" s="1736"/>
      <c r="E4887" s="1043">
        <v>84</v>
      </c>
      <c r="F4887" s="1043"/>
      <c r="G4887" s="1550"/>
    </row>
    <row r="4888" spans="1:7" ht="12.75" customHeight="1">
      <c r="A4888" s="1754">
        <v>43922</v>
      </c>
      <c r="B4888" s="125" t="str">
        <f>TiposLancamentos!B4</f>
        <v>Taxas Bancarias</v>
      </c>
      <c r="C4888" s="1040" t="s">
        <v>7494</v>
      </c>
      <c r="D4888" s="1736"/>
      <c r="E4888" s="1043">
        <v>9.58</v>
      </c>
      <c r="F4888" s="1043"/>
      <c r="G4888" s="1550"/>
    </row>
    <row r="4889" spans="1:7" ht="12.75" customHeight="1">
      <c r="A4889" s="1754">
        <v>43922</v>
      </c>
      <c r="B4889" s="125" t="str">
        <f>TiposLancamentos!B4</f>
        <v>Taxas Bancarias</v>
      </c>
      <c r="C4889" s="1040" t="s">
        <v>7394</v>
      </c>
      <c r="D4889" s="1736"/>
      <c r="E4889" s="1043">
        <v>5</v>
      </c>
      <c r="F4889" s="1043"/>
      <c r="G4889" s="1550"/>
    </row>
    <row r="4890" spans="1:7" ht="12.75" customHeight="1">
      <c r="A4890" s="1754">
        <v>43923</v>
      </c>
      <c r="B4890" s="125" t="str">
        <f>TiposLancamentos!B56</f>
        <v>Farmácia</v>
      </c>
      <c r="C4890" s="1040" t="s">
        <v>7518</v>
      </c>
      <c r="D4890" s="1736"/>
      <c r="E4890" s="1043">
        <v>87.14</v>
      </c>
      <c r="F4890" s="1043"/>
      <c r="G4890" s="1550"/>
    </row>
    <row r="4891" spans="1:7" ht="12.75" customHeight="1">
      <c r="A4891" s="1754">
        <v>43923</v>
      </c>
      <c r="B4891" s="125" t="str">
        <f>TiposLancamentos!B95</f>
        <v>Salarios</v>
      </c>
      <c r="C4891" s="1040" t="s">
        <v>7322</v>
      </c>
      <c r="D4891" s="1736">
        <v>6674.69</v>
      </c>
      <c r="E4891" s="1043"/>
      <c r="F4891" s="1043"/>
      <c r="G4891" s="1550"/>
    </row>
    <row r="4892" spans="1:7" ht="12.75" customHeight="1">
      <c r="A4892" s="1754">
        <v>43925</v>
      </c>
      <c r="B4892" s="125" t="str">
        <f>TiposLancamentos!B5</f>
        <v>Supermercado</v>
      </c>
      <c r="C4892" s="1040" t="s">
        <v>7519</v>
      </c>
      <c r="D4892" s="1736"/>
      <c r="E4892" s="1043">
        <v>86.16</v>
      </c>
      <c r="F4892" s="1043"/>
      <c r="G4892" s="1550"/>
    </row>
    <row r="4893" spans="1:7" ht="12.75" customHeight="1">
      <c r="A4893" s="1754">
        <v>43927</v>
      </c>
      <c r="B4893" s="125" t="str">
        <f>TiposLancamentos!B4</f>
        <v>Taxas Bancarias</v>
      </c>
      <c r="C4893" s="1040" t="s">
        <v>5707</v>
      </c>
      <c r="D4893" s="1736"/>
      <c r="E4893" s="1043">
        <v>39.39</v>
      </c>
      <c r="F4893" s="1043"/>
      <c r="G4893" s="1550"/>
    </row>
    <row r="4894" spans="1:7" ht="12.75" customHeight="1">
      <c r="A4894" s="1754">
        <v>43928</v>
      </c>
      <c r="B4894" s="125" t="str">
        <f>TiposLancamentos!B4</f>
        <v>Taxas Bancarias</v>
      </c>
      <c r="C4894" s="1040" t="s">
        <v>7520</v>
      </c>
      <c r="D4894" s="1736"/>
      <c r="E4894" s="1043">
        <v>59.9</v>
      </c>
      <c r="F4894" s="1043"/>
      <c r="G4894" s="1550"/>
    </row>
    <row r="4895" spans="1:7" ht="12.75" customHeight="1">
      <c r="A4895" s="1754">
        <v>43928</v>
      </c>
      <c r="B4895" s="125" t="str">
        <f>TiposLancamentos!B103</f>
        <v>Juros_Corr. Poupança</v>
      </c>
      <c r="C4895" s="1040" t="s">
        <v>7341</v>
      </c>
      <c r="D4895" s="1736">
        <v>0.02</v>
      </c>
      <c r="E4895" s="1043"/>
      <c r="F4895" s="1043"/>
      <c r="G4895" s="1550"/>
    </row>
    <row r="4896" spans="1:7" ht="12.75" customHeight="1">
      <c r="A4896" s="1754">
        <v>43928</v>
      </c>
      <c r="B4896" s="125" t="str">
        <f>TiposLancamentos!B95</f>
        <v>Salarios</v>
      </c>
      <c r="C4896" s="1040" t="s">
        <v>7521</v>
      </c>
      <c r="D4896" s="1736">
        <v>18069.13</v>
      </c>
      <c r="E4896" s="1043"/>
      <c r="F4896" s="1043"/>
      <c r="G4896" s="1550"/>
    </row>
    <row r="4897" spans="1:7" ht="12.75" customHeight="1">
      <c r="A4897" s="1754">
        <v>43931</v>
      </c>
      <c r="B4897" s="125" t="str">
        <f>TiposLancamentos!B14</f>
        <v>Gás de cozinha</v>
      </c>
      <c r="C4897" s="1040" t="s">
        <v>7522</v>
      </c>
      <c r="D4897" s="1736"/>
      <c r="E4897" s="1043">
        <v>27.01</v>
      </c>
      <c r="F4897" s="1043"/>
      <c r="G4897" s="1550"/>
    </row>
    <row r="4898" spans="1:7" ht="12.75" customHeight="1">
      <c r="A4898" s="1754">
        <v>43932</v>
      </c>
      <c r="B4898" s="125" t="str">
        <f>TiposLancamentos!B17</f>
        <v>GATO</v>
      </c>
      <c r="C4898" s="1040" t="s">
        <v>7523</v>
      </c>
      <c r="D4898" s="1736"/>
      <c r="E4898" s="1043">
        <v>33.880000000000003</v>
      </c>
      <c r="F4898" s="1043"/>
      <c r="G4898" s="1550"/>
    </row>
    <row r="4899" spans="1:7" ht="12.75" customHeight="1">
      <c r="A4899" s="1754">
        <v>43934</v>
      </c>
      <c r="B4899" s="125" t="str">
        <f>TiposLancamentos!B103</f>
        <v>Juros_Corr. Poupança</v>
      </c>
      <c r="C4899" s="1040" t="s">
        <v>7341</v>
      </c>
      <c r="D4899" s="1736">
        <v>0.06</v>
      </c>
      <c r="E4899" s="1043"/>
      <c r="F4899" s="1043"/>
      <c r="G4899" s="1550"/>
    </row>
    <row r="4900" spans="1:7" ht="12.75" customHeight="1">
      <c r="A4900" s="1754">
        <v>43935</v>
      </c>
      <c r="B4900" s="125" t="str">
        <f>TiposLancamentos!B17</f>
        <v>GATO</v>
      </c>
      <c r="C4900" s="1040" t="s">
        <v>7524</v>
      </c>
      <c r="D4900" s="1736"/>
      <c r="E4900" s="1043">
        <v>175.69</v>
      </c>
      <c r="F4900" s="1043"/>
      <c r="G4900" s="1550"/>
    </row>
    <row r="4901" spans="1:7" ht="12.75" customHeight="1">
      <c r="A4901" s="1754">
        <v>43936</v>
      </c>
      <c r="B4901" s="125" t="str">
        <f>TiposLancamentos!B57</f>
        <v>Informática</v>
      </c>
      <c r="C4901" s="1040" t="s">
        <v>7525</v>
      </c>
      <c r="D4901" s="1736"/>
      <c r="E4901" s="1043">
        <v>179.9</v>
      </c>
      <c r="F4901" s="1043"/>
      <c r="G4901" s="1550"/>
    </row>
    <row r="4902" spans="1:7" ht="12.75" customHeight="1">
      <c r="A4902" s="1754">
        <v>43936</v>
      </c>
      <c r="B4902" s="125" t="str">
        <f>TiposLancamentos!B16</f>
        <v>Cristiane</v>
      </c>
      <c r="C4902" s="1770" t="s">
        <v>7367</v>
      </c>
      <c r="D4902" s="1736"/>
      <c r="E4902" s="1043">
        <v>81</v>
      </c>
      <c r="F4902" s="1043"/>
      <c r="G4902" s="1550"/>
    </row>
    <row r="4903" spans="1:7" ht="12.75" customHeight="1">
      <c r="A4903" s="1754">
        <v>43936</v>
      </c>
      <c r="B4903" s="125" t="str">
        <f>TiposLancamentos!B2</f>
        <v>Telefonia</v>
      </c>
      <c r="C4903" s="1770" t="s">
        <v>7368</v>
      </c>
      <c r="D4903" s="1736"/>
      <c r="E4903" s="1043">
        <v>73.989999999999995</v>
      </c>
      <c r="F4903" s="1043"/>
      <c r="G4903" s="1550"/>
    </row>
    <row r="4904" spans="1:7" ht="12.75" customHeight="1">
      <c r="A4904" s="1666">
        <v>43936</v>
      </c>
      <c r="B4904" s="817" t="str">
        <f>TiposLancamentos!B33</f>
        <v>Pedágios</v>
      </c>
      <c r="C4904" s="1742" t="s">
        <v>5392</v>
      </c>
      <c r="D4904" s="1735"/>
      <c r="E4904" s="1733">
        <f>F4906-(E4905+E4906)</f>
        <v>55.8</v>
      </c>
      <c r="F4904" s="1290"/>
      <c r="G4904" s="1550"/>
    </row>
    <row r="4905" spans="1:7" ht="12.75" customHeight="1">
      <c r="A4905" s="1667">
        <v>43936</v>
      </c>
      <c r="B4905" s="816" t="str">
        <f>TiposLancamentos!B24</f>
        <v>Estacionamentos</v>
      </c>
      <c r="C4905" s="1769" t="s">
        <v>7366</v>
      </c>
      <c r="D4905" s="1736"/>
      <c r="E4905" s="1734">
        <v>0</v>
      </c>
      <c r="F4905" s="1043"/>
      <c r="G4905" s="1550"/>
    </row>
    <row r="4906" spans="1:7" ht="12.75" customHeight="1">
      <c r="A4906" s="1750">
        <v>43936</v>
      </c>
      <c r="B4906" s="818" t="str">
        <f>TiposLancamentos!B24</f>
        <v>Estacionamentos</v>
      </c>
      <c r="C4906" s="1743" t="s">
        <v>6297</v>
      </c>
      <c r="D4906" s="1737"/>
      <c r="E4906" s="1668">
        <v>0</v>
      </c>
      <c r="F4906" s="1291">
        <v>55.8</v>
      </c>
      <c r="G4906" s="1550"/>
    </row>
    <row r="4907" spans="1:7" ht="12.75" customHeight="1">
      <c r="A4907" s="1754">
        <v>43937</v>
      </c>
      <c r="B4907" s="125" t="str">
        <f>TiposLancamentos!B46</f>
        <v>Maçonaria</v>
      </c>
      <c r="C4907" s="1040" t="s">
        <v>7526</v>
      </c>
      <c r="D4907" s="1736"/>
      <c r="E4907" s="1043">
        <v>180</v>
      </c>
      <c r="F4907" s="1043"/>
      <c r="G4907" s="1550"/>
    </row>
    <row r="4908" spans="1:7" ht="12.75" customHeight="1">
      <c r="A4908" s="1666">
        <v>43938</v>
      </c>
      <c r="B4908" s="817" t="str">
        <f>TiposLancamentos!B35</f>
        <v>Tv à Cabo</v>
      </c>
      <c r="C4908" s="1742" t="s">
        <v>5834</v>
      </c>
      <c r="D4908" s="1735"/>
      <c r="E4908" s="1733">
        <f>F4910/2</f>
        <v>82.495000000000005</v>
      </c>
      <c r="F4908" s="1290"/>
      <c r="G4908" s="1550"/>
    </row>
    <row r="4909" spans="1:7" ht="12.75" customHeight="1">
      <c r="A4909" s="1667">
        <v>43938</v>
      </c>
      <c r="B4909" s="816" t="str">
        <f>TiposLancamentos!B3</f>
        <v>Internet</v>
      </c>
      <c r="C4909" s="1769" t="s">
        <v>5835</v>
      </c>
      <c r="D4909" s="1736"/>
      <c r="E4909" s="1734">
        <f>F4910/2</f>
        <v>82.495000000000005</v>
      </c>
      <c r="F4909" s="1043"/>
      <c r="G4909" s="1550"/>
    </row>
    <row r="4910" spans="1:7" ht="12.75" customHeight="1">
      <c r="A4910" s="1750">
        <v>43938</v>
      </c>
      <c r="B4910" s="818" t="str">
        <f>TiposLancamentos!B2</f>
        <v>Telefonia</v>
      </c>
      <c r="C4910" s="1743" t="s">
        <v>7210</v>
      </c>
      <c r="D4910" s="1737"/>
      <c r="E4910" s="1668">
        <v>0</v>
      </c>
      <c r="F4910" s="1291">
        <v>164.99</v>
      </c>
      <c r="G4910" s="1550"/>
    </row>
    <row r="4911" spans="1:7" ht="12.75" customHeight="1">
      <c r="A4911" s="1754">
        <v>43939</v>
      </c>
      <c r="B4911" s="125" t="str">
        <f>TiposLancamentos!B5</f>
        <v>Supermercado</v>
      </c>
      <c r="C4911" s="1040" t="s">
        <v>7527</v>
      </c>
      <c r="D4911" s="1736"/>
      <c r="E4911" s="1043">
        <v>299.33999999999997</v>
      </c>
      <c r="F4911" s="1043"/>
      <c r="G4911" s="1550"/>
    </row>
    <row r="4912" spans="1:7" ht="12.75" customHeight="1">
      <c r="A4912" s="1754">
        <v>43941</v>
      </c>
      <c r="B4912" s="125" t="str">
        <f>TiposLancamentos!B103</f>
        <v>Juros_Corr. Poupança</v>
      </c>
      <c r="C4912" s="1040" t="s">
        <v>7341</v>
      </c>
      <c r="D4912" s="1736">
        <v>0.03</v>
      </c>
      <c r="E4912" s="1043"/>
      <c r="F4912" s="1043"/>
      <c r="G4912" s="1550"/>
    </row>
    <row r="4913" spans="1:7" ht="12.75" customHeight="1">
      <c r="A4913" s="1666">
        <v>43941</v>
      </c>
      <c r="B4913" s="817" t="str">
        <f>TiposLancamentos!B8</f>
        <v>Aluguel</v>
      </c>
      <c r="C4913" s="1742" t="s">
        <v>7528</v>
      </c>
      <c r="D4913" s="1735"/>
      <c r="E4913" s="1733">
        <f>F4918-SUM(E4914:E4918)</f>
        <v>1400</v>
      </c>
      <c r="F4913" s="1346"/>
      <c r="G4913" s="1550"/>
    </row>
    <row r="4914" spans="1:7" ht="12.75" customHeight="1">
      <c r="A4914" s="1667">
        <v>43941</v>
      </c>
      <c r="B4914" s="816" t="str">
        <f>TiposLancamentos!B12</f>
        <v>IPTU</v>
      </c>
      <c r="C4914" s="1769" t="s">
        <v>7529</v>
      </c>
      <c r="D4914" s="1736"/>
      <c r="E4914" s="1734">
        <v>40.520000000000003</v>
      </c>
      <c r="F4914" s="1043"/>
      <c r="G4914" s="1550"/>
    </row>
    <row r="4915" spans="1:7" ht="12.75" customHeight="1">
      <c r="A4915" s="1667">
        <v>43941</v>
      </c>
      <c r="B4915" s="816" t="str">
        <f>TiposLancamentos!B10</f>
        <v>Distr. Água Municipal</v>
      </c>
      <c r="C4915" s="1769" t="s">
        <v>7423</v>
      </c>
      <c r="D4915" s="1736"/>
      <c r="E4915" s="1734">
        <v>26.72</v>
      </c>
      <c r="F4915" s="1043"/>
      <c r="G4915" s="1550"/>
    </row>
    <row r="4916" spans="1:7" ht="12.75" customHeight="1">
      <c r="A4916" s="1667">
        <v>43941</v>
      </c>
      <c r="B4916" s="816" t="str">
        <f>TiposLancamentos!B11</f>
        <v>Coleta Municipal Lixo</v>
      </c>
      <c r="C4916" s="1769" t="s">
        <v>7424</v>
      </c>
      <c r="D4916" s="1736"/>
      <c r="E4916" s="1734">
        <v>41.97</v>
      </c>
      <c r="F4916" s="1043"/>
      <c r="G4916" s="1550"/>
    </row>
    <row r="4917" spans="1:7" ht="12.75" customHeight="1">
      <c r="A4917" s="1667">
        <v>43941</v>
      </c>
      <c r="B4917" s="816" t="str">
        <f>TiposLancamentos!B8</f>
        <v>Aluguel</v>
      </c>
      <c r="C4917" s="1769" t="s">
        <v>7425</v>
      </c>
      <c r="D4917" s="1736"/>
      <c r="E4917" s="1734">
        <v>8</v>
      </c>
      <c r="F4917" s="1043"/>
      <c r="G4917" s="1550"/>
    </row>
    <row r="4918" spans="1:7" ht="12.75" customHeight="1">
      <c r="A4918" s="1750">
        <v>43941</v>
      </c>
      <c r="B4918" s="818" t="str">
        <f>TiposLancamentos!B9</f>
        <v>Condominio</v>
      </c>
      <c r="C4918" s="1743" t="s">
        <v>7427</v>
      </c>
      <c r="D4918" s="1737"/>
      <c r="E4918" s="1668">
        <v>616.37</v>
      </c>
      <c r="F4918" s="1291">
        <v>2133.58</v>
      </c>
      <c r="G4918" s="1550"/>
    </row>
    <row r="4919" spans="1:7" ht="12.75" customHeight="1">
      <c r="A4919" s="1754">
        <v>43942</v>
      </c>
      <c r="B4919" s="125" t="str">
        <f>TiposLancamentos!B56</f>
        <v>Farmácia</v>
      </c>
      <c r="C4919" s="1040" t="s">
        <v>6118</v>
      </c>
      <c r="D4919" s="1736"/>
      <c r="E4919" s="1043">
        <v>102.69</v>
      </c>
      <c r="F4919" s="1043"/>
      <c r="G4919" s="1550"/>
    </row>
    <row r="4920" spans="1:7" ht="12.75" customHeight="1">
      <c r="A4920" s="1754">
        <v>43942</v>
      </c>
      <c r="B4920" s="125" t="str">
        <f>TiposLancamentos!B56</f>
        <v>Farmácia</v>
      </c>
      <c r="C4920" s="1040" t="s">
        <v>7530</v>
      </c>
      <c r="D4920" s="1736"/>
      <c r="E4920" s="1043">
        <v>28.88</v>
      </c>
      <c r="F4920" s="1043"/>
      <c r="G4920" s="1550"/>
    </row>
    <row r="4921" spans="1:7" ht="12.75" customHeight="1">
      <c r="A4921" s="1754">
        <v>43943</v>
      </c>
      <c r="B4921" s="125" t="str">
        <f>TiposLancamentos!B103</f>
        <v>Juros_Corr. Poupança</v>
      </c>
      <c r="C4921" s="1040" t="s">
        <v>7341</v>
      </c>
      <c r="D4921" s="1736">
        <v>0.05</v>
      </c>
      <c r="E4921" s="1043"/>
      <c r="F4921" s="1043"/>
      <c r="G4921" s="1550"/>
    </row>
    <row r="4922" spans="1:7" ht="12.75" customHeight="1">
      <c r="A4922" s="1754">
        <v>43943</v>
      </c>
      <c r="B4922" s="125" t="str">
        <f>TiposLancamentos!B6</f>
        <v>Energia Eletrica</v>
      </c>
      <c r="C4922" s="1040" t="s">
        <v>7531</v>
      </c>
      <c r="D4922" s="1736"/>
      <c r="E4922" s="1043">
        <v>194.99</v>
      </c>
      <c r="F4922" s="1043"/>
      <c r="G4922" s="1550"/>
    </row>
    <row r="4923" spans="1:7" ht="12.75" customHeight="1">
      <c r="A4923" s="1666">
        <v>43943</v>
      </c>
      <c r="B4923" s="817" t="str">
        <f>TiposLancamentos!B16</f>
        <v>Cristiane</v>
      </c>
      <c r="C4923" s="1742" t="s">
        <v>7532</v>
      </c>
      <c r="D4923" s="1735"/>
      <c r="E4923" s="1733">
        <f>F4924-E4924</f>
        <v>105.71000000000001</v>
      </c>
      <c r="F4923" s="1346"/>
      <c r="G4923" s="1550"/>
    </row>
    <row r="4924" spans="1:7" ht="12.75" customHeight="1">
      <c r="A4924" s="1750">
        <v>43943</v>
      </c>
      <c r="B4924" s="818" t="str">
        <f>TiposLancamentos!B57</f>
        <v>Informática</v>
      </c>
      <c r="C4924" s="1743" t="s">
        <v>7533</v>
      </c>
      <c r="D4924" s="1737"/>
      <c r="E4924" s="1668">
        <v>79.900000000000006</v>
      </c>
      <c r="F4924" s="1291">
        <v>185.61</v>
      </c>
      <c r="G4924" s="1550"/>
    </row>
    <row r="4925" spans="1:7" ht="12.75" customHeight="1">
      <c r="A4925" s="1754">
        <v>43946</v>
      </c>
      <c r="B4925" s="125" t="str">
        <f>TiposLancamentos!B13</f>
        <v>Moradia</v>
      </c>
      <c r="C4925" s="1040" t="s">
        <v>7534</v>
      </c>
      <c r="D4925" s="1736"/>
      <c r="E4925" s="1043">
        <v>32</v>
      </c>
      <c r="F4925" s="1043"/>
      <c r="G4925" s="1550"/>
    </row>
    <row r="4926" spans="1:7" ht="12.75" customHeight="1">
      <c r="A4926" s="1754">
        <v>43948</v>
      </c>
      <c r="B4926" s="125" t="str">
        <f>TiposLancamentos!B103</f>
        <v>Juros_Corr. Poupança</v>
      </c>
      <c r="C4926" s="1040" t="s">
        <v>7341</v>
      </c>
      <c r="D4926" s="1736">
        <v>0.1</v>
      </c>
      <c r="E4926" s="1043"/>
      <c r="F4926" s="1043"/>
      <c r="G4926" s="1550"/>
    </row>
    <row r="4927" spans="1:7" ht="12.75" customHeight="1">
      <c r="A4927" s="1754">
        <v>43949</v>
      </c>
      <c r="B4927" s="125" t="str">
        <f>TiposLancamentos!B5</f>
        <v>Supermercado</v>
      </c>
      <c r="C4927" s="1040" t="s">
        <v>7535</v>
      </c>
      <c r="D4927" s="1736"/>
      <c r="E4927" s="1043">
        <v>154.86000000000001</v>
      </c>
      <c r="F4927" s="1043"/>
      <c r="G4927" s="1550"/>
    </row>
    <row r="4928" spans="1:7" ht="12.75" customHeight="1" thickBot="1">
      <c r="A4928" s="1754">
        <v>43950</v>
      </c>
      <c r="B4928" s="125" t="str">
        <f>TiposLancamentos!B17</f>
        <v>GATO</v>
      </c>
      <c r="C4928" s="1040" t="s">
        <v>7536</v>
      </c>
      <c r="D4928" s="1736"/>
      <c r="E4928" s="1043">
        <v>124.9</v>
      </c>
      <c r="F4928" s="1043"/>
      <c r="G4928" s="1550"/>
    </row>
    <row r="4929" spans="1:7" ht="12.75" customHeight="1">
      <c r="A4929" s="1834"/>
      <c r="B4929" s="977"/>
      <c r="C4929" s="1854" t="s">
        <v>7537</v>
      </c>
      <c r="D4929" s="1823"/>
      <c r="E4929" s="1821"/>
      <c r="F4929" s="1821"/>
      <c r="G4929" s="1895"/>
    </row>
    <row r="4930" spans="1:7" ht="12.75" customHeight="1">
      <c r="A4930" s="1754">
        <v>43952</v>
      </c>
      <c r="B4930" s="125" t="str">
        <f>TiposLancamentos!B103</f>
        <v>Juros_Corr. Poupança</v>
      </c>
      <c r="C4930" s="1040" t="s">
        <v>7341</v>
      </c>
      <c r="D4930" s="1736">
        <v>0.18</v>
      </c>
      <c r="E4930" s="1043"/>
      <c r="F4930" s="1043"/>
      <c r="G4930" s="1550"/>
    </row>
    <row r="4931" spans="1:7" ht="12.75" customHeight="1">
      <c r="A4931" s="1754">
        <v>43952</v>
      </c>
      <c r="B4931" s="125" t="str">
        <f>TiposLancamentos!B15</f>
        <v>Cartões de Crédito</v>
      </c>
      <c r="C4931" s="1040" t="s">
        <v>7393</v>
      </c>
      <c r="D4931" s="1736"/>
      <c r="E4931" s="1043">
        <v>955.28</v>
      </c>
      <c r="F4931" s="1043"/>
      <c r="G4931" s="1550"/>
    </row>
    <row r="4932" spans="1:7" ht="12.75" customHeight="1">
      <c r="A4932" s="1754">
        <v>43952</v>
      </c>
      <c r="B4932" s="125" t="str">
        <f>TiposLancamentos!B15</f>
        <v>Cartões de Crédito</v>
      </c>
      <c r="C4932" s="1040" t="s">
        <v>7333</v>
      </c>
      <c r="D4932" s="1736"/>
      <c r="E4932" s="1043">
        <v>152.4</v>
      </c>
      <c r="F4932" s="1043"/>
      <c r="G4932" s="1550"/>
    </row>
    <row r="4933" spans="1:7" ht="12.75" customHeight="1">
      <c r="A4933" s="1754">
        <v>43952</v>
      </c>
      <c r="B4933" s="125" t="str">
        <f>TiposLancamentos!B15</f>
        <v>Cartões de Crédito</v>
      </c>
      <c r="C4933" s="1040" t="s">
        <v>7392</v>
      </c>
      <c r="D4933" s="1736"/>
      <c r="E4933" s="1043">
        <v>84</v>
      </c>
      <c r="F4933" s="1043"/>
      <c r="G4933" s="1550"/>
    </row>
    <row r="4934" spans="1:7" ht="12.75" customHeight="1">
      <c r="A4934" s="1754">
        <v>43953</v>
      </c>
      <c r="B4934" s="125" t="str">
        <f>TiposLancamentos!B5</f>
        <v>Supermercado</v>
      </c>
      <c r="C4934" s="1040" t="s">
        <v>7538</v>
      </c>
      <c r="D4934" s="1736"/>
      <c r="E4934" s="1043">
        <v>366.11</v>
      </c>
      <c r="F4934" s="1043"/>
      <c r="G4934" s="1550"/>
    </row>
    <row r="4935" spans="1:7" ht="12.75" customHeight="1">
      <c r="A4935" s="1754">
        <v>43953</v>
      </c>
      <c r="B4935" s="125" t="str">
        <f>TiposLancamentos!B19</f>
        <v>Restaurantes</v>
      </c>
      <c r="C4935" s="1040" t="s">
        <v>7539</v>
      </c>
      <c r="D4935" s="1736"/>
      <c r="E4935" s="1043">
        <v>59.9</v>
      </c>
      <c r="F4935" s="1043"/>
      <c r="G4935" s="1550"/>
    </row>
    <row r="4936" spans="1:7" ht="12.75" customHeight="1">
      <c r="A4936" s="1754">
        <v>43893</v>
      </c>
      <c r="B4936" s="125" t="str">
        <f>TiposLancamentos!B5</f>
        <v>Supermercado</v>
      </c>
      <c r="C4936" s="1040" t="s">
        <v>5784</v>
      </c>
      <c r="D4936" s="1736"/>
      <c r="E4936" s="1043">
        <v>16.25</v>
      </c>
      <c r="F4936" s="1043"/>
      <c r="G4936" s="1550"/>
    </row>
    <row r="4937" spans="1:7" ht="12.75" customHeight="1">
      <c r="A4937" s="1754">
        <v>43954</v>
      </c>
      <c r="B4937" s="125" t="str">
        <f>TiposLancamentos!B14</f>
        <v>Gás de cozinha</v>
      </c>
      <c r="C4937" s="1040" t="s">
        <v>7522</v>
      </c>
      <c r="D4937" s="1736"/>
      <c r="E4937" s="1043">
        <v>60.41</v>
      </c>
      <c r="F4937" s="1043"/>
      <c r="G4937" s="1550"/>
    </row>
    <row r="4938" spans="1:7" ht="12.75" customHeight="1">
      <c r="A4938" s="1754">
        <v>43955</v>
      </c>
      <c r="B4938" s="125" t="str">
        <f>TiposLancamentos!B4</f>
        <v>Taxas Bancarias</v>
      </c>
      <c r="C4938" s="1040" t="s">
        <v>4858</v>
      </c>
      <c r="D4938" s="1736"/>
      <c r="E4938" s="1043">
        <v>15.21</v>
      </c>
      <c r="F4938" s="1043"/>
      <c r="G4938" s="1550"/>
    </row>
    <row r="4939" spans="1:7" ht="12.75" customHeight="1">
      <c r="A4939" s="1754">
        <v>43955</v>
      </c>
      <c r="B4939" s="125" t="str">
        <f>TiposLancamentos!B4</f>
        <v>Taxas Bancarias</v>
      </c>
      <c r="C4939" s="1040" t="s">
        <v>7540</v>
      </c>
      <c r="D4939" s="1736"/>
      <c r="E4939" s="1043">
        <v>1.54</v>
      </c>
      <c r="F4939" s="1043"/>
      <c r="G4939" s="1550"/>
    </row>
    <row r="4940" spans="1:7" ht="12.75" customHeight="1">
      <c r="A4940" s="1754">
        <v>43956</v>
      </c>
      <c r="B4940" s="125" t="str">
        <f>TiposLancamentos!B56</f>
        <v>Farmácia</v>
      </c>
      <c r="C4940" s="1040" t="s">
        <v>7541</v>
      </c>
      <c r="D4940" s="1736"/>
      <c r="E4940" s="1043">
        <v>137.13</v>
      </c>
      <c r="F4940" s="1043"/>
      <c r="G4940" s="1550"/>
    </row>
    <row r="4941" spans="1:7" ht="12.75" customHeight="1">
      <c r="A4941" s="1754">
        <v>43956</v>
      </c>
      <c r="B4941" s="125" t="str">
        <f>TiposLancamentos!B98</f>
        <v>Restituições</v>
      </c>
      <c r="C4941" s="1040" t="s">
        <v>7542</v>
      </c>
      <c r="D4941" s="1736">
        <v>2811.2</v>
      </c>
      <c r="E4941" s="1043"/>
      <c r="F4941" s="1043"/>
      <c r="G4941" s="1550"/>
    </row>
    <row r="4942" spans="1:7" ht="12.75" customHeight="1">
      <c r="A4942" s="1754">
        <v>43956</v>
      </c>
      <c r="B4942" s="125" t="str">
        <f>TiposLancamentos!B98</f>
        <v>Restituições</v>
      </c>
      <c r="C4942" s="1040" t="s">
        <v>7543</v>
      </c>
      <c r="D4942" s="1736">
        <v>2776.48</v>
      </c>
      <c r="E4942" s="1043"/>
      <c r="F4942" s="1043"/>
      <c r="G4942" s="1550"/>
    </row>
    <row r="4943" spans="1:7" ht="12.75" customHeight="1">
      <c r="A4943" s="1754">
        <v>43956</v>
      </c>
      <c r="B4943" s="125" t="str">
        <f>TiposLancamentos!B4</f>
        <v>Taxas Bancarias</v>
      </c>
      <c r="C4943" s="1040" t="s">
        <v>7394</v>
      </c>
      <c r="D4943" s="1736"/>
      <c r="E4943" s="1043">
        <v>5</v>
      </c>
      <c r="F4943" s="1043"/>
      <c r="G4943" s="1550"/>
    </row>
    <row r="4944" spans="1:7" ht="12.75" customHeight="1">
      <c r="A4944" s="1754">
        <v>43957</v>
      </c>
      <c r="B4944" s="125" t="str">
        <f>TiposLancamentos!B19</f>
        <v>Restaurantes</v>
      </c>
      <c r="C4944" s="1040" t="s">
        <v>7544</v>
      </c>
      <c r="D4944" s="1736"/>
      <c r="E4944" s="1043">
        <v>61</v>
      </c>
      <c r="F4944" s="1043"/>
      <c r="G4944" s="1550"/>
    </row>
    <row r="4945" spans="1:7" ht="12.75" customHeight="1">
      <c r="A4945" s="1754">
        <v>43958</v>
      </c>
      <c r="B4945" s="125" t="str">
        <f>TiposLancamentos!B19</f>
        <v>Restaurantes</v>
      </c>
      <c r="C4945" s="1040" t="s">
        <v>7545</v>
      </c>
      <c r="D4945" s="1736"/>
      <c r="E4945" s="1043">
        <v>32</v>
      </c>
      <c r="F4945" s="1043"/>
      <c r="G4945" s="1550"/>
    </row>
    <row r="4946" spans="1:7" ht="12.75" customHeight="1">
      <c r="A4946" s="1754">
        <v>43960</v>
      </c>
      <c r="B4946" s="125" t="str">
        <f>TiposLancamentos!B5</f>
        <v>Supermercado</v>
      </c>
      <c r="C4946" s="1040" t="s">
        <v>7527</v>
      </c>
      <c r="D4946" s="1736"/>
      <c r="E4946" s="1043">
        <v>131.51</v>
      </c>
      <c r="F4946" s="1043"/>
      <c r="G4946" s="1550"/>
    </row>
    <row r="4947" spans="1:7" ht="12.75" customHeight="1">
      <c r="A4947" s="1754">
        <v>43961</v>
      </c>
      <c r="B4947" s="125" t="str">
        <f>TiposLancamentos!B103</f>
        <v>Juros_Corr. Poupança</v>
      </c>
      <c r="C4947" s="1040" t="s">
        <v>7341</v>
      </c>
      <c r="D4947" s="1736">
        <v>2.78</v>
      </c>
      <c r="E4947" s="1043"/>
      <c r="F4947" s="1043"/>
      <c r="G4947" s="1550"/>
    </row>
    <row r="4948" spans="1:7" ht="12.75" customHeight="1">
      <c r="A4948" s="1754">
        <v>43962</v>
      </c>
      <c r="B4948" s="125" t="str">
        <f>TiposLancamentos!B13</f>
        <v>Moradia</v>
      </c>
      <c r="C4948" s="1040" t="s">
        <v>7546</v>
      </c>
      <c r="D4948" s="1736"/>
      <c r="E4948" s="1043">
        <v>84</v>
      </c>
      <c r="F4948" s="1043"/>
      <c r="G4948" s="1550"/>
    </row>
    <row r="4949" spans="1:7" ht="12.75" customHeight="1">
      <c r="A4949" s="1754">
        <v>43964</v>
      </c>
      <c r="B4949" s="125" t="str">
        <f>TiposLancamentos!B69</f>
        <v>Consertos</v>
      </c>
      <c r="C4949" s="1040" t="s">
        <v>7547</v>
      </c>
      <c r="D4949" s="1736"/>
      <c r="E4949" s="1043">
        <v>190</v>
      </c>
      <c r="F4949" s="1043"/>
      <c r="G4949" s="1550"/>
    </row>
    <row r="4950" spans="1:7" ht="12.75" customHeight="1">
      <c r="A4950" s="1754">
        <v>43964</v>
      </c>
      <c r="B4950" s="125" t="str">
        <f>TiposLancamentos!B5</f>
        <v>Supermercado</v>
      </c>
      <c r="C4950" s="1040" t="s">
        <v>7527</v>
      </c>
      <c r="D4950" s="1736"/>
      <c r="E4950" s="1043">
        <v>193.96</v>
      </c>
      <c r="F4950" s="1043"/>
      <c r="G4950" s="1550"/>
    </row>
    <row r="4951" spans="1:7" ht="12.75" customHeight="1">
      <c r="A4951" s="1754">
        <v>43964</v>
      </c>
      <c r="B4951" s="125" t="str">
        <f>TiposLancamentos!B5</f>
        <v>Supermercado</v>
      </c>
      <c r="C4951" s="1040" t="s">
        <v>7548</v>
      </c>
      <c r="D4951" s="1736"/>
      <c r="E4951" s="1043">
        <v>29.56</v>
      </c>
      <c r="F4951" s="1043"/>
      <c r="G4951" s="1550"/>
    </row>
    <row r="4952" spans="1:7" ht="12.75" customHeight="1">
      <c r="A4952" s="1754">
        <v>43964</v>
      </c>
      <c r="B4952" s="125" t="str">
        <f>TiposLancamentos!B16</f>
        <v>Cristiane</v>
      </c>
      <c r="C4952" s="1040" t="s">
        <v>7549</v>
      </c>
      <c r="D4952" s="1736"/>
      <c r="E4952" s="1043">
        <v>186.96</v>
      </c>
      <c r="F4952" s="1043"/>
      <c r="G4952" s="1550"/>
    </row>
    <row r="4953" spans="1:7" ht="12.75" customHeight="1">
      <c r="A4953" s="1754">
        <v>43964</v>
      </c>
      <c r="B4953" s="125" t="str">
        <f>TiposLancamentos!B5</f>
        <v>Supermercado</v>
      </c>
      <c r="C4953" s="1040" t="s">
        <v>7550</v>
      </c>
      <c r="D4953" s="1736"/>
      <c r="E4953" s="1043">
        <v>27.17</v>
      </c>
      <c r="F4953" s="1043"/>
      <c r="G4953" s="1550"/>
    </row>
    <row r="4954" spans="1:7" ht="12.75" customHeight="1">
      <c r="A4954" s="1754">
        <v>43966</v>
      </c>
      <c r="B4954" s="125" t="str">
        <f>TiposLancamentos!B16</f>
        <v>Cristiane</v>
      </c>
      <c r="C4954" s="1770" t="s">
        <v>7367</v>
      </c>
      <c r="D4954" s="1736"/>
      <c r="E4954" s="1043">
        <v>81</v>
      </c>
      <c r="F4954" s="1043"/>
      <c r="G4954" s="1550"/>
    </row>
    <row r="4955" spans="1:7" ht="12.75" customHeight="1">
      <c r="A4955" s="1754">
        <v>43966</v>
      </c>
      <c r="B4955" s="125" t="str">
        <f>TiposLancamentos!B2</f>
        <v>Telefonia</v>
      </c>
      <c r="C4955" s="1770" t="s">
        <v>7368</v>
      </c>
      <c r="D4955" s="1736"/>
      <c r="E4955" s="1043">
        <v>73.989999999999995</v>
      </c>
      <c r="F4955" s="1043"/>
      <c r="G4955" s="1550"/>
    </row>
    <row r="4956" spans="1:7" ht="12.75" customHeight="1">
      <c r="A4956" s="1666">
        <v>43966</v>
      </c>
      <c r="B4956" s="817" t="str">
        <f>TiposLancamentos!B33</f>
        <v>Pedágios</v>
      </c>
      <c r="C4956" s="1742" t="s">
        <v>5392</v>
      </c>
      <c r="D4956" s="1735"/>
      <c r="E4956" s="1733">
        <f>F4958-(E4957+E4958)</f>
        <v>55.8</v>
      </c>
      <c r="F4956" s="1290"/>
      <c r="G4956" s="1550"/>
    </row>
    <row r="4957" spans="1:7" ht="12.75" customHeight="1">
      <c r="A4957" s="1667">
        <v>43966</v>
      </c>
      <c r="B4957" s="816" t="str">
        <f>TiposLancamentos!B24</f>
        <v>Estacionamentos</v>
      </c>
      <c r="C4957" s="1769" t="s">
        <v>7366</v>
      </c>
      <c r="D4957" s="1736"/>
      <c r="E4957" s="1734">
        <v>0</v>
      </c>
      <c r="F4957" s="1043"/>
      <c r="G4957" s="1550"/>
    </row>
    <row r="4958" spans="1:7" ht="12.75" customHeight="1">
      <c r="A4958" s="1750">
        <v>43966</v>
      </c>
      <c r="B4958" s="818" t="str">
        <f>TiposLancamentos!B24</f>
        <v>Estacionamentos</v>
      </c>
      <c r="C4958" s="1743" t="s">
        <v>6297</v>
      </c>
      <c r="D4958" s="1737"/>
      <c r="E4958" s="1668">
        <v>0</v>
      </c>
      <c r="F4958" s="1291">
        <v>55.8</v>
      </c>
      <c r="G4958" s="1550"/>
    </row>
    <row r="4959" spans="1:7" ht="12.75" customHeight="1">
      <c r="A4959" s="1754">
        <v>43966</v>
      </c>
      <c r="B4959" s="125" t="str">
        <f>TiposLancamentos!B103</f>
        <v>Juros_Corr. Poupança</v>
      </c>
      <c r="C4959" s="1040" t="s">
        <v>7341</v>
      </c>
      <c r="D4959" s="1736">
        <v>0.49</v>
      </c>
      <c r="E4959" s="1043"/>
      <c r="F4959" s="1043"/>
      <c r="G4959" s="1550"/>
    </row>
    <row r="4960" spans="1:7" ht="12.75" customHeight="1">
      <c r="A4960" s="1754">
        <v>43969</v>
      </c>
      <c r="B4960" s="125" t="str">
        <f>TiposLancamentos!B46</f>
        <v>Maçonaria</v>
      </c>
      <c r="C4960" s="1040" t="s">
        <v>7551</v>
      </c>
      <c r="D4960" s="1736"/>
      <c r="E4960" s="1043">
        <v>180</v>
      </c>
      <c r="F4960" s="1043"/>
      <c r="G4960" s="1550"/>
    </row>
    <row r="4961" spans="1:7" ht="12.75" customHeight="1">
      <c r="A4961" s="1754">
        <v>43970</v>
      </c>
      <c r="B4961" s="125" t="str">
        <f>TiposLancamentos!B5</f>
        <v>Supermercado</v>
      </c>
      <c r="C4961" s="1040" t="s">
        <v>7552</v>
      </c>
      <c r="D4961" s="1736"/>
      <c r="E4961" s="1043">
        <v>209.21</v>
      </c>
      <c r="F4961" s="1043"/>
      <c r="G4961" s="1550"/>
    </row>
    <row r="4962" spans="1:7" ht="12.75" customHeight="1">
      <c r="A4962" s="1754">
        <v>43970</v>
      </c>
      <c r="B4962" s="125" t="str">
        <f>TiposLancamentos!B103</f>
        <v>Juros_Corr. Poupança</v>
      </c>
      <c r="C4962" s="1040" t="s">
        <v>7341</v>
      </c>
      <c r="D4962" s="1736">
        <v>0.23</v>
      </c>
      <c r="E4962" s="1043"/>
      <c r="F4962" s="1043"/>
      <c r="G4962" s="1550"/>
    </row>
    <row r="4963" spans="1:7" ht="12.75" customHeight="1">
      <c r="A4963" s="1754">
        <v>43971</v>
      </c>
      <c r="B4963" s="125" t="str">
        <f>TiposLancamentos!B56</f>
        <v>Farmácia</v>
      </c>
      <c r="C4963" s="1040" t="s">
        <v>7553</v>
      </c>
      <c r="D4963" s="1736"/>
      <c r="E4963" s="1043">
        <v>119.37</v>
      </c>
      <c r="F4963" s="1043"/>
      <c r="G4963" s="1550"/>
    </row>
    <row r="4964" spans="1:7" ht="12.75" customHeight="1">
      <c r="A4964" s="1666">
        <v>43971</v>
      </c>
      <c r="B4964" s="817" t="str">
        <f>TiposLancamentos!B8</f>
        <v>Aluguel</v>
      </c>
      <c r="C4964" s="1742" t="s">
        <v>7554</v>
      </c>
      <c r="D4964" s="1735"/>
      <c r="E4964" s="1733">
        <f>F4969-SUM(E4965:E4969)</f>
        <v>1400</v>
      </c>
      <c r="F4964" s="1346"/>
      <c r="G4964" s="1550"/>
    </row>
    <row r="4965" spans="1:7" ht="12.75" customHeight="1">
      <c r="A4965" s="1667">
        <v>43971</v>
      </c>
      <c r="B4965" s="816" t="str">
        <f>TiposLancamentos!B12</f>
        <v>IPTU</v>
      </c>
      <c r="C4965" s="1769" t="s">
        <v>7555</v>
      </c>
      <c r="D4965" s="1736"/>
      <c r="E4965" s="1734">
        <v>40.520000000000003</v>
      </c>
      <c r="F4965" s="1043"/>
      <c r="G4965" s="1550"/>
    </row>
    <row r="4966" spans="1:7" ht="12.75" customHeight="1">
      <c r="A4966" s="1667">
        <v>43971</v>
      </c>
      <c r="B4966" s="816" t="str">
        <f>TiposLancamentos!B10</f>
        <v>Distr. Água Municipal</v>
      </c>
      <c r="C4966" s="1769" t="s">
        <v>7423</v>
      </c>
      <c r="D4966" s="1736"/>
      <c r="E4966" s="1734">
        <v>38.83</v>
      </c>
      <c r="F4966" s="1043"/>
      <c r="G4966" s="1550"/>
    </row>
    <row r="4967" spans="1:7" ht="12.75" customHeight="1">
      <c r="A4967" s="1667">
        <v>43971</v>
      </c>
      <c r="B4967" s="816" t="str">
        <f>TiposLancamentos!B11</f>
        <v>Coleta Municipal Lixo</v>
      </c>
      <c r="C4967" s="1769" t="s">
        <v>7424</v>
      </c>
      <c r="D4967" s="1736"/>
      <c r="E4967" s="1734">
        <v>43.8</v>
      </c>
      <c r="F4967" s="1043"/>
      <c r="G4967" s="1550"/>
    </row>
    <row r="4968" spans="1:7" ht="12.75" customHeight="1">
      <c r="A4968" s="1667">
        <v>43971</v>
      </c>
      <c r="B4968" s="816" t="str">
        <f>TiposLancamentos!B8</f>
        <v>Aluguel</v>
      </c>
      <c r="C4968" s="1769" t="s">
        <v>7425</v>
      </c>
      <c r="D4968" s="1736"/>
      <c r="E4968" s="1734">
        <v>8</v>
      </c>
      <c r="F4968" s="1043"/>
      <c r="G4968" s="1550"/>
    </row>
    <row r="4969" spans="1:7" ht="12.75" customHeight="1">
      <c r="A4969" s="1750">
        <v>43971</v>
      </c>
      <c r="B4969" s="818" t="str">
        <f>TiposLancamentos!B9</f>
        <v>Condominio</v>
      </c>
      <c r="C4969" s="1743" t="s">
        <v>7427</v>
      </c>
      <c r="D4969" s="1737"/>
      <c r="E4969" s="1668">
        <v>616.37</v>
      </c>
      <c r="F4969" s="1291">
        <v>2147.52</v>
      </c>
      <c r="G4969" s="1550"/>
    </row>
    <row r="4970" spans="1:7" ht="12.75" customHeight="1">
      <c r="A4970" s="1754">
        <v>43971</v>
      </c>
      <c r="B4970" s="125" t="str">
        <f>TiposLancamentos!B103</f>
        <v>Juros_Corr. Poupança</v>
      </c>
      <c r="C4970" s="1040" t="s">
        <v>7341</v>
      </c>
      <c r="D4970" s="1736">
        <v>0.12</v>
      </c>
      <c r="E4970" s="1043"/>
      <c r="F4970" s="1661"/>
      <c r="G4970" s="1550"/>
    </row>
    <row r="4971" spans="1:7" ht="12.75" customHeight="1">
      <c r="A4971" s="1754">
        <v>43971</v>
      </c>
      <c r="B4971" s="125" t="str">
        <f>TiposLancamentos!B29</f>
        <v>Mangá</v>
      </c>
      <c r="C4971" s="1040" t="s">
        <v>7556</v>
      </c>
      <c r="D4971" s="1736"/>
      <c r="E4971" s="1043">
        <v>28.85</v>
      </c>
      <c r="F4971" s="1043"/>
      <c r="G4971" s="1550"/>
    </row>
    <row r="4972" spans="1:7" ht="12.75" customHeight="1">
      <c r="A4972" s="1754">
        <v>43972</v>
      </c>
      <c r="B4972" s="125" t="str">
        <f>TiposLancamentos!B6</f>
        <v>Energia Eletrica</v>
      </c>
      <c r="C4972" s="1040" t="s">
        <v>7557</v>
      </c>
      <c r="D4972" s="1736"/>
      <c r="E4972" s="1043">
        <v>195.08</v>
      </c>
      <c r="F4972" s="1043"/>
      <c r="G4972" s="1550"/>
    </row>
    <row r="4973" spans="1:7" ht="12.75" customHeight="1">
      <c r="A4973" s="1666">
        <v>43973</v>
      </c>
      <c r="B4973" s="817" t="str">
        <f>TiposLancamentos!B35</f>
        <v>Tv à Cabo</v>
      </c>
      <c r="C4973" s="1742" t="s">
        <v>5834</v>
      </c>
      <c r="D4973" s="1735"/>
      <c r="E4973" s="1733">
        <f>F4975/2</f>
        <v>85</v>
      </c>
      <c r="F4973" s="1290"/>
      <c r="G4973" s="1550"/>
    </row>
    <row r="4974" spans="1:7" ht="12.75" customHeight="1">
      <c r="A4974" s="1667">
        <v>43973</v>
      </c>
      <c r="B4974" s="816" t="str">
        <f>TiposLancamentos!B3</f>
        <v>Internet</v>
      </c>
      <c r="C4974" s="1769" t="s">
        <v>5835</v>
      </c>
      <c r="D4974" s="1736"/>
      <c r="E4974" s="1734">
        <f>F4975/2</f>
        <v>85</v>
      </c>
      <c r="F4974" s="1043"/>
      <c r="G4974" s="1550"/>
    </row>
    <row r="4975" spans="1:7" ht="12.75" customHeight="1">
      <c r="A4975" s="1750">
        <v>43973</v>
      </c>
      <c r="B4975" s="818" t="str">
        <f>TiposLancamentos!B2</f>
        <v>Telefonia</v>
      </c>
      <c r="C4975" s="1743" t="s">
        <v>7210</v>
      </c>
      <c r="D4975" s="1737"/>
      <c r="E4975" s="1668">
        <v>0</v>
      </c>
      <c r="F4975" s="1291">
        <v>170</v>
      </c>
      <c r="G4975" s="1550"/>
    </row>
    <row r="4976" spans="1:7" ht="12.75" customHeight="1">
      <c r="A4976" s="1754">
        <v>43973</v>
      </c>
      <c r="B4976" s="125" t="str">
        <f>TiposLancamentos!B17</f>
        <v>GATO</v>
      </c>
      <c r="C4976" s="1040" t="s">
        <v>7558</v>
      </c>
      <c r="D4976" s="1736"/>
      <c r="E4976" s="1043">
        <v>55.6</v>
      </c>
      <c r="F4976" s="1043"/>
      <c r="G4976" s="1550"/>
    </row>
    <row r="4977" spans="1:7" ht="12.75" customHeight="1">
      <c r="A4977" s="1754">
        <v>43974</v>
      </c>
      <c r="B4977" s="125" t="str">
        <f>TiposLancamentos!B50</f>
        <v>Guitarra</v>
      </c>
      <c r="C4977" s="1040" t="s">
        <v>7559</v>
      </c>
      <c r="D4977" s="1736"/>
      <c r="E4977" s="1043">
        <v>370</v>
      </c>
      <c r="F4977" s="1043"/>
      <c r="G4977" s="1550"/>
    </row>
    <row r="4978" spans="1:7" ht="12.75" customHeight="1">
      <c r="A4978" s="1754">
        <v>43974</v>
      </c>
      <c r="B4978" s="125" t="str">
        <f>TiposLancamentos!B19</f>
        <v>Restaurantes</v>
      </c>
      <c r="C4978" s="1040" t="s">
        <v>7560</v>
      </c>
      <c r="D4978" s="1736"/>
      <c r="E4978" s="1043">
        <f>14.9*4</f>
        <v>59.6</v>
      </c>
      <c r="F4978" s="1043"/>
      <c r="G4978" s="1550"/>
    </row>
    <row r="4979" spans="1:7" ht="12.75" customHeight="1">
      <c r="A4979" s="1754">
        <v>43975</v>
      </c>
      <c r="B4979" s="125" t="str">
        <f>TiposLancamentos!B5</f>
        <v>Supermercado</v>
      </c>
      <c r="C4979" s="1040" t="s">
        <v>7430</v>
      </c>
      <c r="D4979" s="1736"/>
      <c r="E4979" s="1043">
        <v>54.89</v>
      </c>
      <c r="F4979" s="1043"/>
      <c r="G4979" s="1550"/>
    </row>
    <row r="4980" spans="1:7" ht="12.75" customHeight="1">
      <c r="A4980" s="1754">
        <v>43976</v>
      </c>
      <c r="B4980" s="125" t="str">
        <f>TiposLancamentos!B103</f>
        <v>Juros_Corr. Poupança</v>
      </c>
      <c r="C4980" s="1040" t="s">
        <v>7341</v>
      </c>
      <c r="D4980" s="1736">
        <v>0.56000000000000005</v>
      </c>
      <c r="E4980" s="1043"/>
      <c r="F4980" s="1043"/>
      <c r="G4980" s="1550"/>
    </row>
    <row r="4981" spans="1:7" ht="12.75" customHeight="1">
      <c r="A4981" s="1754">
        <v>43978</v>
      </c>
      <c r="B4981" s="125" t="str">
        <f>TiposLancamentos!B50</f>
        <v>Guitarra</v>
      </c>
      <c r="C4981" s="1040" t="s">
        <v>7561</v>
      </c>
      <c r="D4981" s="1736"/>
      <c r="E4981" s="1043">
        <v>91.9</v>
      </c>
      <c r="F4981" s="1043"/>
      <c r="G4981" s="1550"/>
    </row>
    <row r="4982" spans="1:7" ht="12.75" customHeight="1">
      <c r="A4982" s="1754">
        <v>43978</v>
      </c>
      <c r="B4982" s="125" t="str">
        <f>TiposLancamentos!B5</f>
        <v>Supermercado</v>
      </c>
      <c r="C4982" s="1040" t="s">
        <v>7068</v>
      </c>
      <c r="D4982" s="1736"/>
      <c r="E4982" s="1043">
        <v>40.82</v>
      </c>
      <c r="F4982" s="1043"/>
      <c r="G4982" s="1550"/>
    </row>
    <row r="4983" spans="1:7" ht="12.75" customHeight="1">
      <c r="A4983" s="1754">
        <v>43979</v>
      </c>
      <c r="B4983" s="125" t="str">
        <f>TiposLancamentos!B19</f>
        <v>Restaurantes</v>
      </c>
      <c r="C4983" s="1040" t="s">
        <v>7562</v>
      </c>
      <c r="D4983" s="1736"/>
      <c r="E4983" s="1043">
        <v>32</v>
      </c>
      <c r="F4983" s="1043"/>
      <c r="G4983" s="1550"/>
    </row>
    <row r="4984" spans="1:7" ht="12.75" customHeight="1">
      <c r="A4984" s="1754">
        <v>43979</v>
      </c>
      <c r="B4984" s="125" t="str">
        <f>TiposLancamentos!B97</f>
        <v>Deposito Terc.</v>
      </c>
      <c r="C4984" s="1040" t="s">
        <v>7563</v>
      </c>
      <c r="D4984" s="1736">
        <v>1731.57</v>
      </c>
      <c r="E4984" s="1043"/>
      <c r="F4984" s="1043"/>
      <c r="G4984" s="1550"/>
    </row>
    <row r="4985" spans="1:7" ht="12.75" customHeight="1">
      <c r="A4985" s="1754">
        <v>43980</v>
      </c>
      <c r="B4985" s="125" t="str">
        <f>TiposLancamentos!B5</f>
        <v>Supermercado</v>
      </c>
      <c r="C4985" s="1040" t="s">
        <v>7564</v>
      </c>
      <c r="D4985" s="1736"/>
      <c r="E4985" s="1043">
        <v>40.86</v>
      </c>
      <c r="F4985" s="1043"/>
      <c r="G4985" s="1550"/>
    </row>
    <row r="4986" spans="1:7" ht="12.75" customHeight="1" thickBot="1">
      <c r="A4986" s="1754">
        <v>43980</v>
      </c>
      <c r="B4986" s="125" t="str">
        <f>TiposLancamentos!B103</f>
        <v>Juros_Corr. Poupança</v>
      </c>
      <c r="C4986" s="1040" t="s">
        <v>7341</v>
      </c>
      <c r="D4986" s="1736">
        <v>0.08</v>
      </c>
      <c r="E4986" s="1043"/>
      <c r="F4986" s="1043"/>
      <c r="G4986" s="1550"/>
    </row>
    <row r="4987" spans="1:7" ht="12.75" customHeight="1">
      <c r="A4987" s="1834"/>
      <c r="B4987" s="977"/>
      <c r="C4987" s="1854" t="s">
        <v>7565</v>
      </c>
      <c r="D4987" s="1823"/>
      <c r="E4987" s="1821"/>
      <c r="F4987" s="1821"/>
      <c r="G4987" s="1895"/>
    </row>
    <row r="4988" spans="1:7" ht="12.75" customHeight="1">
      <c r="A4988" s="1754">
        <v>43983</v>
      </c>
      <c r="B4988" s="125"/>
      <c r="C4988" s="1040" t="s">
        <v>7341</v>
      </c>
      <c r="D4988" s="1736"/>
      <c r="E4988" s="1043"/>
      <c r="F4988" s="1043"/>
      <c r="G4988" s="1550"/>
    </row>
    <row r="4989" spans="1:7" ht="12.75" customHeight="1">
      <c r="A4989" s="1754">
        <v>43983</v>
      </c>
      <c r="B4989" s="125" t="str">
        <f>TiposLancamentos!B15</f>
        <v>Cartões de Crédito</v>
      </c>
      <c r="C4989" s="1040" t="s">
        <v>7393</v>
      </c>
      <c r="D4989" s="1736"/>
      <c r="E4989" s="1043">
        <v>787.36</v>
      </c>
      <c r="F4989" s="1043"/>
      <c r="G4989" s="1550"/>
    </row>
    <row r="4990" spans="1:7" ht="12.75" customHeight="1">
      <c r="A4990" s="1754">
        <v>43983</v>
      </c>
      <c r="B4990" s="125" t="str">
        <f>TiposLancamentos!B15</f>
        <v>Cartões de Crédito</v>
      </c>
      <c r="C4990" s="1040" t="s">
        <v>7333</v>
      </c>
      <c r="D4990" s="1736"/>
      <c r="E4990" s="1043">
        <v>179.83</v>
      </c>
      <c r="F4990" s="1043"/>
      <c r="G4990" s="1550"/>
    </row>
    <row r="4991" spans="1:7" ht="12.75" customHeight="1">
      <c r="A4991" s="1754">
        <v>43983</v>
      </c>
      <c r="B4991" s="125" t="str">
        <f>TiposLancamentos!B15</f>
        <v>Cartões de Crédito</v>
      </c>
      <c r="C4991" s="1040" t="s">
        <v>7392</v>
      </c>
      <c r="D4991" s="1736"/>
      <c r="E4991" s="1043">
        <v>84</v>
      </c>
      <c r="F4991" s="1043"/>
      <c r="G4991" s="1550"/>
    </row>
    <row r="4992" spans="1:7" ht="12.75" customHeight="1">
      <c r="A4992" s="1754">
        <v>43983</v>
      </c>
      <c r="B4992" s="125" t="str">
        <f>TiposLancamentos!B14</f>
        <v>Gás de cozinha</v>
      </c>
      <c r="C4992" s="1040" t="s">
        <v>7566</v>
      </c>
      <c r="D4992" s="1736"/>
      <c r="E4992" s="1043">
        <v>48.41</v>
      </c>
      <c r="F4992" s="1043"/>
      <c r="G4992" s="1550"/>
    </row>
    <row r="4993" spans="1:7" ht="12.75" customHeight="1">
      <c r="A4993" s="1754">
        <v>43983</v>
      </c>
      <c r="B4993" s="125" t="str">
        <f>TiposLancamentos!B73</f>
        <v>Cursos</v>
      </c>
      <c r="C4993" s="1040" t="s">
        <v>7567</v>
      </c>
      <c r="D4993" s="1736"/>
      <c r="E4993" s="1043">
        <v>35.93</v>
      </c>
      <c r="F4993" s="1043"/>
      <c r="G4993" s="1550"/>
    </row>
    <row r="4994" spans="1:7" ht="12.75" customHeight="1">
      <c r="A4994" s="1754">
        <v>43983</v>
      </c>
      <c r="B4994" s="125" t="str">
        <f>TiposLancamentos!B5</f>
        <v>Supermercado</v>
      </c>
      <c r="C4994" s="1040" t="s">
        <v>7535</v>
      </c>
      <c r="D4994" s="1736"/>
      <c r="E4994" s="1043">
        <v>211.66</v>
      </c>
      <c r="F4994" s="1043"/>
      <c r="G4994" s="1550"/>
    </row>
    <row r="4995" spans="1:7" ht="12.75" customHeight="1">
      <c r="A4995" s="1754">
        <v>43983</v>
      </c>
      <c r="B4995" s="125" t="str">
        <f>TiposLancamentos!B20</f>
        <v>Saques</v>
      </c>
      <c r="C4995" s="1040" t="s">
        <v>3604</v>
      </c>
      <c r="D4995" s="1736"/>
      <c r="E4995" s="1043">
        <v>50</v>
      </c>
      <c r="F4995" s="1043"/>
      <c r="G4995" s="1550"/>
    </row>
    <row r="4996" spans="1:7" ht="12.75" customHeight="1">
      <c r="A4996" s="1754">
        <v>43984</v>
      </c>
      <c r="B4996" s="125" t="str">
        <f>TiposLancamentos!B4</f>
        <v>Taxas Bancarias</v>
      </c>
      <c r="C4996" s="1040" t="s">
        <v>7568</v>
      </c>
      <c r="D4996" s="1736"/>
      <c r="E4996" s="1043">
        <v>5</v>
      </c>
      <c r="F4996" s="1043"/>
      <c r="G4996" s="1550"/>
    </row>
    <row r="4997" spans="1:7" ht="12.75" customHeight="1">
      <c r="A4997" s="1754">
        <v>43985</v>
      </c>
      <c r="B4997" s="125" t="str">
        <f>TiposLancamentos!B5</f>
        <v>Supermercado</v>
      </c>
      <c r="C4997" s="1040" t="s">
        <v>7569</v>
      </c>
      <c r="D4997" s="1736"/>
      <c r="E4997" s="1043">
        <v>167.88</v>
      </c>
      <c r="F4997" s="1043"/>
      <c r="G4997" s="1550"/>
    </row>
    <row r="4998" spans="1:7" ht="12.75" customHeight="1">
      <c r="A4998" s="1754">
        <v>43987</v>
      </c>
      <c r="B4998" s="125" t="str">
        <f>TiposLancamentos!B5</f>
        <v>Supermercado</v>
      </c>
      <c r="C4998" s="1040" t="s">
        <v>7068</v>
      </c>
      <c r="D4998" s="1736"/>
      <c r="E4998" s="1043">
        <v>23.33</v>
      </c>
      <c r="F4998" s="1043"/>
      <c r="G4998" s="1550"/>
    </row>
    <row r="4999" spans="1:7" ht="12.75" customHeight="1">
      <c r="A4999" s="1754">
        <v>43987</v>
      </c>
      <c r="B4999" s="125" t="str">
        <f>TiposLancamentos!B5</f>
        <v>Supermercado</v>
      </c>
      <c r="C4999" s="1040" t="s">
        <v>7538</v>
      </c>
      <c r="D4999" s="1736"/>
      <c r="E4999" s="1043">
        <v>106.34</v>
      </c>
      <c r="F4999" s="1043"/>
      <c r="G4999" s="1550"/>
    </row>
    <row r="5000" spans="1:7" ht="12.75" customHeight="1">
      <c r="A5000" s="1754">
        <v>43990</v>
      </c>
      <c r="B5000" s="125" t="str">
        <f>TiposLancamentos!B5</f>
        <v>Supermercado</v>
      </c>
      <c r="C5000" s="1040" t="s">
        <v>7570</v>
      </c>
      <c r="D5000" s="1736"/>
      <c r="E5000" s="1043">
        <v>34.17</v>
      </c>
      <c r="F5000" s="1043"/>
      <c r="G5000" s="1550"/>
    </row>
    <row r="5001" spans="1:7" ht="12.75" customHeight="1">
      <c r="A5001" s="1754">
        <v>43990</v>
      </c>
      <c r="B5001" s="125" t="str">
        <f>TiposLancamentos!B103</f>
        <v>Juros_Corr. Poupança</v>
      </c>
      <c r="C5001" s="1040" t="s">
        <v>7571</v>
      </c>
      <c r="D5001" s="1736">
        <v>1.44</v>
      </c>
      <c r="E5001" s="1043"/>
      <c r="F5001" s="1043"/>
      <c r="G5001" s="1550"/>
    </row>
    <row r="5002" spans="1:7" ht="12.75" customHeight="1">
      <c r="A5002" s="1754">
        <v>43991</v>
      </c>
      <c r="B5002" s="125" t="str">
        <f>TiposLancamentos!B56</f>
        <v>Farmácia</v>
      </c>
      <c r="C5002" s="1040" t="s">
        <v>7572</v>
      </c>
      <c r="D5002" s="1736"/>
      <c r="E5002" s="1043">
        <v>88.83</v>
      </c>
      <c r="F5002" s="1043"/>
      <c r="G5002" s="1550"/>
    </row>
    <row r="5003" spans="1:7" ht="12.75" customHeight="1">
      <c r="A5003" s="1754">
        <v>43994</v>
      </c>
      <c r="B5003" s="125" t="str">
        <f>TiposLancamentos!B5</f>
        <v>Supermercado</v>
      </c>
      <c r="C5003" s="1040" t="s">
        <v>7552</v>
      </c>
      <c r="D5003" s="1736"/>
      <c r="E5003" s="1043">
        <v>175.92</v>
      </c>
      <c r="F5003" s="1043"/>
      <c r="G5003" s="1550"/>
    </row>
    <row r="5004" spans="1:7" ht="12.75" customHeight="1">
      <c r="A5004" s="1754">
        <v>43995</v>
      </c>
      <c r="B5004" s="125" t="str">
        <f>TiposLancamentos!B19</f>
        <v>Restaurantes</v>
      </c>
      <c r="C5004" s="1040" t="s">
        <v>7573</v>
      </c>
      <c r="D5004" s="1736"/>
      <c r="E5004" s="1043">
        <v>53</v>
      </c>
      <c r="F5004" s="1043"/>
      <c r="G5004" s="1550"/>
    </row>
    <row r="5005" spans="1:7" ht="12.75" customHeight="1">
      <c r="A5005" s="1754">
        <v>43995</v>
      </c>
      <c r="B5005" s="125" t="str">
        <f>TiposLancamentos!B5</f>
        <v>Supermercado</v>
      </c>
      <c r="C5005" s="1040" t="s">
        <v>7574</v>
      </c>
      <c r="D5005" s="1736"/>
      <c r="E5005" s="1043">
        <v>12.36</v>
      </c>
      <c r="F5005" s="1043"/>
      <c r="G5005" s="1550"/>
    </row>
    <row r="5006" spans="1:7" ht="12.75" customHeight="1">
      <c r="A5006" s="1666">
        <v>43997</v>
      </c>
      <c r="B5006" s="817" t="str">
        <f>TiposLancamentos!B33</f>
        <v>Pedágios</v>
      </c>
      <c r="C5006" s="1742" t="s">
        <v>5392</v>
      </c>
      <c r="D5006" s="1735"/>
      <c r="E5006" s="1733">
        <f>F5008-(E5007+E5008)</f>
        <v>55.8</v>
      </c>
      <c r="F5006" s="1290"/>
      <c r="G5006" s="1550"/>
    </row>
    <row r="5007" spans="1:7" ht="12.75" customHeight="1">
      <c r="A5007" s="1667">
        <v>43997</v>
      </c>
      <c r="B5007" s="816" t="str">
        <f>TiposLancamentos!B24</f>
        <v>Estacionamentos</v>
      </c>
      <c r="C5007" s="1769" t="s">
        <v>7366</v>
      </c>
      <c r="D5007" s="1736"/>
      <c r="E5007" s="1734">
        <v>0</v>
      </c>
      <c r="F5007" s="1043"/>
      <c r="G5007" s="1550"/>
    </row>
    <row r="5008" spans="1:7" ht="12.75" customHeight="1">
      <c r="A5008" s="1750">
        <v>43997</v>
      </c>
      <c r="B5008" s="818" t="str">
        <f>TiposLancamentos!B24</f>
        <v>Estacionamentos</v>
      </c>
      <c r="C5008" s="1743" t="s">
        <v>6297</v>
      </c>
      <c r="D5008" s="1737"/>
      <c r="E5008" s="1668">
        <v>0</v>
      </c>
      <c r="F5008" s="1291">
        <v>55.8</v>
      </c>
      <c r="G5008" s="1550"/>
    </row>
    <row r="5009" spans="1:7" ht="12.75" customHeight="1">
      <c r="A5009" s="1754">
        <v>43997</v>
      </c>
      <c r="B5009" s="125" t="str">
        <f>TiposLancamentos!B103</f>
        <v>Juros_Corr. Poupança</v>
      </c>
      <c r="C5009" s="1040" t="s">
        <v>7341</v>
      </c>
      <c r="D5009" s="1736">
        <v>0.11</v>
      </c>
      <c r="E5009" s="1043"/>
      <c r="F5009" s="1043"/>
      <c r="G5009" s="1550"/>
    </row>
    <row r="5010" spans="1:7" ht="12.75" customHeight="1">
      <c r="A5010" s="1666">
        <v>43997</v>
      </c>
      <c r="B5010" s="817" t="str">
        <f>TiposLancamentos!B35</f>
        <v>Tv à Cabo</v>
      </c>
      <c r="C5010" s="1742" t="s">
        <v>5834</v>
      </c>
      <c r="D5010" s="1735"/>
      <c r="E5010" s="1733">
        <f>F5012/2</f>
        <v>62.05</v>
      </c>
      <c r="F5010" s="1290"/>
      <c r="G5010" s="1550"/>
    </row>
    <row r="5011" spans="1:7" ht="12.75" customHeight="1">
      <c r="A5011" s="1667">
        <v>43997</v>
      </c>
      <c r="B5011" s="816" t="str">
        <f>TiposLancamentos!B3</f>
        <v>Internet</v>
      </c>
      <c r="C5011" s="1769" t="s">
        <v>5835</v>
      </c>
      <c r="D5011" s="1736"/>
      <c r="E5011" s="1734">
        <f>F5012/2</f>
        <v>62.05</v>
      </c>
      <c r="F5011" s="1043"/>
      <c r="G5011" s="1550"/>
    </row>
    <row r="5012" spans="1:7" ht="12.75" customHeight="1">
      <c r="A5012" s="1750">
        <v>43997</v>
      </c>
      <c r="B5012" s="818" t="str">
        <f>TiposLancamentos!B2</f>
        <v>Telefonia</v>
      </c>
      <c r="C5012" s="1743" t="s">
        <v>7210</v>
      </c>
      <c r="D5012" s="1737"/>
      <c r="E5012" s="1668">
        <v>0</v>
      </c>
      <c r="F5012" s="1291">
        <v>124.1</v>
      </c>
      <c r="G5012" s="1550"/>
    </row>
    <row r="5013" spans="1:7" ht="12.75" customHeight="1">
      <c r="A5013" s="1754">
        <v>43997</v>
      </c>
      <c r="B5013" s="125" t="str">
        <f>TiposLancamentos!B16</f>
        <v>Cristiane</v>
      </c>
      <c r="C5013" s="1770" t="s">
        <v>7367</v>
      </c>
      <c r="D5013" s="1736"/>
      <c r="E5013" s="1043">
        <v>81</v>
      </c>
      <c r="F5013" s="1043"/>
      <c r="G5013" s="1550"/>
    </row>
    <row r="5014" spans="1:7" ht="12.75" customHeight="1">
      <c r="A5014" s="1754">
        <v>43997</v>
      </c>
      <c r="B5014" s="125" t="str">
        <f>TiposLancamentos!B2</f>
        <v>Telefonia</v>
      </c>
      <c r="C5014" s="1770" t="s">
        <v>7368</v>
      </c>
      <c r="D5014" s="1736"/>
      <c r="E5014" s="1043">
        <v>73.989999999999995</v>
      </c>
      <c r="F5014" s="1043"/>
      <c r="G5014" s="1550"/>
    </row>
    <row r="5015" spans="1:7" ht="12.75" customHeight="1">
      <c r="A5015" s="1754">
        <v>43997</v>
      </c>
      <c r="B5015" s="125" t="str">
        <f>TiposLancamentos!B88</f>
        <v>Ford Ecosport XLT</v>
      </c>
      <c r="C5015" s="1770" t="s">
        <v>7575</v>
      </c>
      <c r="D5015" s="1736"/>
      <c r="E5015" s="1043">
        <v>360</v>
      </c>
      <c r="F5015" s="1043"/>
      <c r="G5015" s="1550"/>
    </row>
    <row r="5016" spans="1:7" ht="12.75" customHeight="1">
      <c r="A5016" s="1754">
        <v>43998</v>
      </c>
      <c r="B5016" s="125" t="str">
        <f>TiposLancamentos!B5</f>
        <v>Supermercado</v>
      </c>
      <c r="C5016" s="1040" t="s">
        <v>7552</v>
      </c>
      <c r="D5016" s="1736"/>
      <c r="E5016" s="1043">
        <v>151.47999999999999</v>
      </c>
      <c r="F5016" s="1043"/>
      <c r="G5016" s="1550"/>
    </row>
    <row r="5017" spans="1:7" ht="12.75" customHeight="1">
      <c r="A5017" s="1754">
        <v>43998</v>
      </c>
      <c r="B5017" s="125" t="str">
        <f>TiposLancamentos!B46</f>
        <v>Maçonaria</v>
      </c>
      <c r="C5017" s="1040" t="s">
        <v>7576</v>
      </c>
      <c r="D5017" s="1736"/>
      <c r="E5017" s="1043">
        <v>180</v>
      </c>
      <c r="F5017" s="1043"/>
      <c r="G5017" s="1550"/>
    </row>
    <row r="5018" spans="1:7" ht="12.75" customHeight="1">
      <c r="A5018" s="1754">
        <v>43998</v>
      </c>
      <c r="B5018" s="125" t="str">
        <f>TiposLancamentos!B103</f>
        <v>Juros_Corr. Poupança</v>
      </c>
      <c r="C5018" s="1040" t="s">
        <v>7341</v>
      </c>
      <c r="D5018" s="1736">
        <v>0.33</v>
      </c>
      <c r="E5018" s="1043"/>
      <c r="F5018" s="1043"/>
      <c r="G5018" s="1550"/>
    </row>
    <row r="5019" spans="1:7" ht="12.75" customHeight="1">
      <c r="A5019" s="1754">
        <v>43999</v>
      </c>
      <c r="B5019" s="125" t="str">
        <f>TiposLancamentos!B56</f>
        <v>Farmácia</v>
      </c>
      <c r="C5019" s="1770" t="s">
        <v>6118</v>
      </c>
      <c r="D5019" s="1736"/>
      <c r="E5019" s="1043">
        <v>106.01</v>
      </c>
      <c r="F5019" s="1043"/>
      <c r="G5019" s="1550"/>
    </row>
    <row r="5020" spans="1:7" ht="12.75" customHeight="1">
      <c r="A5020" s="1754">
        <v>43999</v>
      </c>
      <c r="B5020" s="125" t="str">
        <f>TiposLancamentos!B56</f>
        <v>Farmácia</v>
      </c>
      <c r="C5020" s="1770" t="s">
        <v>7577</v>
      </c>
      <c r="D5020" s="1736"/>
      <c r="E5020" s="1043">
        <v>18.88</v>
      </c>
      <c r="F5020" s="1043"/>
      <c r="G5020" s="1550"/>
    </row>
    <row r="5021" spans="1:7" ht="12.75" customHeight="1">
      <c r="A5021" s="1754">
        <v>43999</v>
      </c>
      <c r="B5021" s="125" t="str">
        <f>TiposLancamentos!B5</f>
        <v>Supermercado</v>
      </c>
      <c r="C5021" s="1770" t="s">
        <v>7552</v>
      </c>
      <c r="D5021" s="1736"/>
      <c r="E5021" s="1043">
        <v>56.6</v>
      </c>
      <c r="F5021" s="1043"/>
      <c r="G5021" s="1550"/>
    </row>
    <row r="5022" spans="1:7" ht="12.75" customHeight="1">
      <c r="A5022" s="1754">
        <v>44001</v>
      </c>
      <c r="B5022" s="125" t="str">
        <f>TiposLancamentos!B22</f>
        <v>Combustivel</v>
      </c>
      <c r="C5022" s="1770" t="s">
        <v>7578</v>
      </c>
      <c r="D5022" s="1736"/>
      <c r="E5022" s="1043">
        <v>100</v>
      </c>
      <c r="F5022" s="1043"/>
      <c r="G5022" s="1550"/>
    </row>
    <row r="5023" spans="1:7" ht="12.75" customHeight="1">
      <c r="A5023" s="1754">
        <v>44001</v>
      </c>
      <c r="B5023" s="125" t="str">
        <f>TiposLancamentos!B103</f>
        <v>Juros_Corr. Poupança</v>
      </c>
      <c r="C5023" s="1770" t="s">
        <v>7341</v>
      </c>
      <c r="D5023" s="1736">
        <v>0.38</v>
      </c>
      <c r="E5023" s="1043"/>
      <c r="F5023" s="1043"/>
      <c r="G5023" s="1550"/>
    </row>
    <row r="5024" spans="1:7" ht="12.75" customHeight="1">
      <c r="A5024" s="1754">
        <v>44002</v>
      </c>
      <c r="B5024" s="125" t="str">
        <f>TiposLancamentos!B19</f>
        <v>Restaurantes</v>
      </c>
      <c r="C5024" s="1770" t="s">
        <v>7579</v>
      </c>
      <c r="D5024" s="1736"/>
      <c r="E5024" s="1043">
        <v>25</v>
      </c>
      <c r="F5024" s="1043"/>
      <c r="G5024" s="1550"/>
    </row>
    <row r="5025" spans="1:7" ht="12.75" customHeight="1">
      <c r="A5025" s="1666">
        <v>44003</v>
      </c>
      <c r="B5025" s="817" t="str">
        <f>TiposLancamentos!B8</f>
        <v>Aluguel</v>
      </c>
      <c r="C5025" s="1742" t="s">
        <v>7580</v>
      </c>
      <c r="D5025" s="1735"/>
      <c r="E5025" s="1733">
        <f>F5030-SUM(E5026:E5030)</f>
        <v>1400</v>
      </c>
      <c r="F5025" s="1346"/>
      <c r="G5025" s="1550"/>
    </row>
    <row r="5026" spans="1:7" ht="12.75" customHeight="1">
      <c r="A5026" s="1667">
        <v>44003</v>
      </c>
      <c r="B5026" s="816" t="str">
        <f>TiposLancamentos!B12</f>
        <v>IPTU</v>
      </c>
      <c r="C5026" s="1769" t="s">
        <v>7581</v>
      </c>
      <c r="D5026" s="1736"/>
      <c r="E5026" s="1734">
        <v>40.520000000000003</v>
      </c>
      <c r="F5026" s="1043"/>
      <c r="G5026" s="1550"/>
    </row>
    <row r="5027" spans="1:7" ht="12.75" customHeight="1">
      <c r="A5027" s="1667">
        <v>44003</v>
      </c>
      <c r="B5027" s="816" t="str">
        <f>TiposLancamentos!B10</f>
        <v>Distr. Água Municipal</v>
      </c>
      <c r="C5027" s="1769" t="s">
        <v>7423</v>
      </c>
      <c r="D5027" s="1736"/>
      <c r="E5027" s="1734">
        <v>38.83</v>
      </c>
      <c r="F5027" s="1043"/>
      <c r="G5027" s="1550"/>
    </row>
    <row r="5028" spans="1:7" ht="12.75" customHeight="1">
      <c r="A5028" s="1667">
        <v>44003</v>
      </c>
      <c r="B5028" s="816" t="str">
        <f>TiposLancamentos!B11</f>
        <v>Coleta Municipal Lixo</v>
      </c>
      <c r="C5028" s="1769" t="s">
        <v>7424</v>
      </c>
      <c r="D5028" s="1736"/>
      <c r="E5028" s="1734">
        <v>43.8</v>
      </c>
      <c r="F5028" s="1043"/>
      <c r="G5028" s="1550"/>
    </row>
    <row r="5029" spans="1:7" ht="12.75" customHeight="1">
      <c r="A5029" s="1667">
        <v>44003</v>
      </c>
      <c r="B5029" s="816" t="str">
        <f>TiposLancamentos!B8</f>
        <v>Aluguel</v>
      </c>
      <c r="C5029" s="1769" t="s">
        <v>7425</v>
      </c>
      <c r="D5029" s="1736"/>
      <c r="E5029" s="1734">
        <v>8</v>
      </c>
      <c r="F5029" s="1043"/>
      <c r="G5029" s="1550"/>
    </row>
    <row r="5030" spans="1:7" ht="12.75" customHeight="1">
      <c r="A5030" s="1750">
        <v>44003</v>
      </c>
      <c r="B5030" s="818" t="str">
        <f>TiposLancamentos!B9</f>
        <v>Condominio</v>
      </c>
      <c r="C5030" s="1743" t="s">
        <v>7427</v>
      </c>
      <c r="D5030" s="1737"/>
      <c r="E5030" s="1668">
        <v>616.37</v>
      </c>
      <c r="F5030" s="1291">
        <v>2147.52</v>
      </c>
      <c r="G5030" s="1550"/>
    </row>
    <row r="5031" spans="1:7" ht="12.75" customHeight="1">
      <c r="A5031" s="1754">
        <v>44003</v>
      </c>
      <c r="B5031" s="125" t="str">
        <f>TiposLancamentos!B6</f>
        <v>Energia Eletrica</v>
      </c>
      <c r="C5031" s="1040" t="s">
        <v>7582</v>
      </c>
      <c r="D5031" s="1736"/>
      <c r="E5031" s="1043">
        <v>292.33</v>
      </c>
      <c r="F5031" s="1043"/>
      <c r="G5031" s="1550"/>
    </row>
    <row r="5032" spans="1:7" ht="12.75" customHeight="1">
      <c r="A5032" s="1754">
        <v>44004</v>
      </c>
      <c r="B5032" s="125" t="str">
        <f>TiposLancamentos!B28</f>
        <v>ComicBook</v>
      </c>
      <c r="C5032" s="1040" t="s">
        <v>7583</v>
      </c>
      <c r="D5032" s="1736"/>
      <c r="E5032" s="1043">
        <v>50</v>
      </c>
      <c r="F5032" s="1043"/>
      <c r="G5032" s="1550"/>
    </row>
    <row r="5033" spans="1:7" ht="12.75" customHeight="1">
      <c r="A5033" s="1754">
        <v>44004</v>
      </c>
      <c r="B5033" s="125" t="str">
        <f>TiposLancamentos!B20</f>
        <v>Saques</v>
      </c>
      <c r="C5033" s="1040" t="s">
        <v>3604</v>
      </c>
      <c r="D5033" s="1736"/>
      <c r="E5033" s="1043">
        <v>60</v>
      </c>
      <c r="F5033" s="1043"/>
      <c r="G5033" s="1550"/>
    </row>
    <row r="5034" spans="1:7" ht="12.75" customHeight="1">
      <c r="A5034" s="1754">
        <v>44004</v>
      </c>
      <c r="B5034" s="125" t="str">
        <f>TiposLancamentos!B5</f>
        <v>Supermercado</v>
      </c>
      <c r="C5034" s="1040" t="s">
        <v>7584</v>
      </c>
      <c r="D5034" s="1736"/>
      <c r="E5034" s="1043">
        <v>34.61</v>
      </c>
      <c r="F5034" s="1043"/>
      <c r="G5034" s="1550"/>
    </row>
    <row r="5035" spans="1:7" ht="12.75" customHeight="1">
      <c r="A5035" s="1754">
        <v>44004</v>
      </c>
      <c r="B5035" s="125" t="str">
        <f>TiposLancamentos!B19</f>
        <v>Restaurantes</v>
      </c>
      <c r="C5035" s="1040" t="s">
        <v>7585</v>
      </c>
      <c r="D5035" s="1736"/>
      <c r="E5035" s="1043">
        <v>46</v>
      </c>
      <c r="F5035" s="1043"/>
      <c r="G5035" s="1550"/>
    </row>
    <row r="5036" spans="1:7" ht="12.75" customHeight="1">
      <c r="A5036" s="1754">
        <v>44005</v>
      </c>
      <c r="B5036" s="125" t="str">
        <f>TiposLancamentos!B5</f>
        <v>Supermercado</v>
      </c>
      <c r="C5036" s="1040" t="s">
        <v>7552</v>
      </c>
      <c r="D5036" s="1736"/>
      <c r="E5036" s="1043">
        <v>108.83</v>
      </c>
      <c r="F5036" s="1043"/>
      <c r="G5036" s="1550"/>
    </row>
    <row r="5037" spans="1:7" ht="12.75" customHeight="1">
      <c r="A5037" s="1754">
        <v>44005</v>
      </c>
      <c r="B5037" s="125" t="str">
        <f>TiposLancamentos!B103</f>
        <v>Juros_Corr. Poupança</v>
      </c>
      <c r="C5037" s="1040" t="s">
        <v>7341</v>
      </c>
      <c r="D5037" s="1736">
        <v>0.19</v>
      </c>
      <c r="E5037" s="1043"/>
      <c r="F5037" s="1043"/>
      <c r="G5037" s="1550"/>
    </row>
    <row r="5038" spans="1:7" ht="12.75" customHeight="1">
      <c r="A5038" s="1754">
        <v>44006</v>
      </c>
      <c r="B5038" s="125" t="str">
        <f>TiposLancamentos!B16</f>
        <v>Cristiane</v>
      </c>
      <c r="C5038" s="1040" t="s">
        <v>4232</v>
      </c>
      <c r="D5038" s="1736"/>
      <c r="E5038" s="1043">
        <v>135.43</v>
      </c>
      <c r="F5038" s="1043"/>
      <c r="G5038" s="1550"/>
    </row>
    <row r="5039" spans="1:7" ht="12.75" customHeight="1">
      <c r="A5039" s="1754">
        <v>44011</v>
      </c>
      <c r="B5039" s="125" t="str">
        <f>TiposLancamentos!B103</f>
        <v>Juros_Corr. Poupança</v>
      </c>
      <c r="C5039" s="1040" t="s">
        <v>7341</v>
      </c>
      <c r="D5039" s="1736">
        <v>0.3</v>
      </c>
      <c r="E5039" s="1043"/>
      <c r="F5039" s="1043"/>
      <c r="G5039" s="1550"/>
    </row>
    <row r="5040" spans="1:7" ht="12.75" customHeight="1">
      <c r="A5040" s="1754">
        <v>44009</v>
      </c>
      <c r="B5040" s="125" t="str">
        <f>TiposLancamentos!B5</f>
        <v>Supermercado</v>
      </c>
      <c r="C5040" s="1040" t="s">
        <v>7584</v>
      </c>
      <c r="D5040" s="1736"/>
      <c r="E5040" s="1043">
        <v>42.96</v>
      </c>
      <c r="F5040" s="1043"/>
      <c r="G5040" s="1550"/>
    </row>
    <row r="5041" spans="1:7" ht="12.75" customHeight="1">
      <c r="A5041" s="1754">
        <v>44009</v>
      </c>
      <c r="B5041" s="125" t="str">
        <f>TiposLancamentos!B5</f>
        <v>Supermercado</v>
      </c>
      <c r="C5041" s="1040" t="s">
        <v>7586</v>
      </c>
      <c r="D5041" s="1736"/>
      <c r="E5041" s="1043">
        <v>296.55</v>
      </c>
      <c r="F5041" s="1043"/>
      <c r="G5041" s="1550"/>
    </row>
    <row r="5042" spans="1:7" ht="12.75" customHeight="1">
      <c r="A5042" s="1754">
        <v>44009</v>
      </c>
      <c r="B5042" s="125" t="str">
        <f>TiposLancamentos!B5</f>
        <v>Supermercado</v>
      </c>
      <c r="C5042" s="1040" t="s">
        <v>7538</v>
      </c>
      <c r="D5042" s="1736"/>
      <c r="E5042" s="1043">
        <v>83.92</v>
      </c>
      <c r="F5042" s="1043"/>
      <c r="G5042" s="1550"/>
    </row>
    <row r="5043" spans="1:7" ht="12.75" customHeight="1">
      <c r="A5043" s="1754">
        <v>44012</v>
      </c>
      <c r="B5043" s="125" t="str">
        <f>TiposLancamentos!B103</f>
        <v>Juros_Corr. Poupança</v>
      </c>
      <c r="C5043" s="1040" t="s">
        <v>7341</v>
      </c>
      <c r="D5043" s="1736">
        <v>7.0000000000000007E-2</v>
      </c>
      <c r="E5043" s="1043"/>
      <c r="F5043" s="1043"/>
      <c r="G5043" s="1550"/>
    </row>
    <row r="5044" spans="1:7" ht="12.75" customHeight="1">
      <c r="A5044" s="1754">
        <v>44012</v>
      </c>
      <c r="B5044" s="125" t="str">
        <f>TiposLancamentos!B14</f>
        <v>Gás de cozinha</v>
      </c>
      <c r="C5044" s="1040" t="s">
        <v>7587</v>
      </c>
      <c r="D5044" s="1736"/>
      <c r="E5044" s="1043">
        <v>53.85</v>
      </c>
      <c r="F5044" s="1043"/>
      <c r="G5044" s="1550"/>
    </row>
    <row r="5045" spans="1:7" ht="12.75" customHeight="1" thickBot="1">
      <c r="A5045" s="1754">
        <v>44012</v>
      </c>
      <c r="B5045" s="125" t="str">
        <f>TiposLancamentos!B17</f>
        <v>GATO</v>
      </c>
      <c r="C5045" s="1040" t="s">
        <v>4878</v>
      </c>
      <c r="D5045" s="1736"/>
      <c r="E5045" s="1043">
        <v>39.799999999999997</v>
      </c>
      <c r="F5045" s="1043"/>
      <c r="G5045" s="1550"/>
    </row>
    <row r="5046" spans="1:7" ht="12.75" customHeight="1">
      <c r="A5046" s="1834"/>
      <c r="B5046" s="977"/>
      <c r="C5046" s="1854" t="s">
        <v>7588</v>
      </c>
      <c r="D5046" s="1823"/>
      <c r="E5046" s="1821"/>
      <c r="F5046" s="1821"/>
      <c r="G5046" s="1895"/>
    </row>
    <row r="5047" spans="1:7" ht="12.75" customHeight="1">
      <c r="A5047" s="1754">
        <v>44013</v>
      </c>
      <c r="B5047" s="125"/>
      <c r="C5047" s="1040" t="s">
        <v>7341</v>
      </c>
      <c r="D5047" s="1736"/>
      <c r="E5047" s="1043"/>
      <c r="F5047" s="1043"/>
      <c r="G5047" s="1550"/>
    </row>
    <row r="5048" spans="1:7" ht="12.75" customHeight="1">
      <c r="A5048" s="1754">
        <v>44013</v>
      </c>
      <c r="B5048" s="125" t="str">
        <f>TiposLancamentos!B15</f>
        <v>Cartões de Crédito</v>
      </c>
      <c r="C5048" s="1040" t="s">
        <v>7393</v>
      </c>
      <c r="D5048" s="1736"/>
      <c r="E5048" s="1043">
        <v>752.81</v>
      </c>
      <c r="F5048" s="1043"/>
      <c r="G5048" s="1550"/>
    </row>
    <row r="5049" spans="1:7" ht="12.75" customHeight="1">
      <c r="A5049" s="1754">
        <v>44013</v>
      </c>
      <c r="B5049" s="125" t="str">
        <f>TiposLancamentos!B15</f>
        <v>Cartões de Crédito</v>
      </c>
      <c r="C5049" s="1040" t="s">
        <v>7333</v>
      </c>
      <c r="D5049" s="1736"/>
      <c r="E5049" s="1043">
        <v>152.4</v>
      </c>
      <c r="F5049" s="1043"/>
      <c r="G5049" s="1550"/>
    </row>
    <row r="5050" spans="1:7" ht="12.75" customHeight="1">
      <c r="A5050" s="1754">
        <v>44013</v>
      </c>
      <c r="B5050" s="125" t="str">
        <f>TiposLancamentos!B15</f>
        <v>Cartões de Crédito</v>
      </c>
      <c r="C5050" s="1040" t="s">
        <v>7392</v>
      </c>
      <c r="D5050" s="1736"/>
      <c r="E5050" s="1043">
        <v>84</v>
      </c>
      <c r="F5050" s="1043"/>
      <c r="G5050" s="1550"/>
    </row>
    <row r="5051" spans="1:7" ht="12.75" customHeight="1">
      <c r="A5051" s="1754">
        <v>44013</v>
      </c>
      <c r="B5051" s="125" t="str">
        <f>TiposLancamentos!B19</f>
        <v>Restaurantes</v>
      </c>
      <c r="C5051" s="1040" t="s">
        <v>7479</v>
      </c>
      <c r="D5051" s="1736"/>
      <c r="E5051" s="1043">
        <v>15</v>
      </c>
      <c r="F5051" s="1043"/>
      <c r="G5051" s="1550"/>
    </row>
    <row r="5052" spans="1:7" ht="12.75" customHeight="1">
      <c r="A5052" s="1754">
        <v>44013</v>
      </c>
      <c r="B5052" s="125" t="str">
        <f>TiposLancamentos!B4</f>
        <v>Taxas Bancarias</v>
      </c>
      <c r="C5052" s="1040" t="s">
        <v>7568</v>
      </c>
      <c r="D5052" s="1736"/>
      <c r="E5052" s="1043">
        <v>5</v>
      </c>
      <c r="F5052" s="1043"/>
      <c r="G5052" s="1550"/>
    </row>
    <row r="5053" spans="1:7" ht="12.75" customHeight="1">
      <c r="A5053" s="1754">
        <v>44014</v>
      </c>
      <c r="B5053" s="125" t="str">
        <f>TiposLancamentos!B19</f>
        <v>Restaurantes</v>
      </c>
      <c r="C5053" s="1040" t="s">
        <v>4790</v>
      </c>
      <c r="D5053" s="1736"/>
      <c r="E5053" s="1043">
        <v>9.5</v>
      </c>
      <c r="F5053" s="1043"/>
      <c r="G5053" s="1550"/>
    </row>
    <row r="5054" spans="1:7" ht="12.75" customHeight="1">
      <c r="A5054" s="1754">
        <v>44014</v>
      </c>
      <c r="B5054" s="125" t="str">
        <f>TiposLancamentos!B16</f>
        <v>Cristiane</v>
      </c>
      <c r="C5054" s="1040" t="s">
        <v>7589</v>
      </c>
      <c r="D5054" s="1736">
        <v>114</v>
      </c>
      <c r="E5054" s="1043"/>
      <c r="F5054" s="1043"/>
      <c r="G5054" s="1550"/>
    </row>
    <row r="5055" spans="1:7" ht="12.75" customHeight="1">
      <c r="A5055" s="1754">
        <v>44014</v>
      </c>
      <c r="B5055" s="125" t="str">
        <f>TiposLancamentos!B19</f>
        <v>Restaurantes</v>
      </c>
      <c r="C5055" s="1040" t="s">
        <v>7590</v>
      </c>
      <c r="D5055" s="1736"/>
      <c r="E5055" s="1043">
        <v>38.799999999999997</v>
      </c>
      <c r="F5055" s="1043"/>
      <c r="G5055" s="1550"/>
    </row>
    <row r="5056" spans="1:7" ht="12.75" customHeight="1">
      <c r="A5056" s="1754">
        <v>44015</v>
      </c>
      <c r="B5056" s="125" t="str">
        <f>TiposLancamentos!B5</f>
        <v>Supermercado</v>
      </c>
      <c r="C5056" s="1040" t="s">
        <v>7591</v>
      </c>
      <c r="D5056" s="1736"/>
      <c r="E5056" s="1043">
        <v>24.81</v>
      </c>
      <c r="F5056" s="1043"/>
      <c r="G5056" s="1550"/>
    </row>
    <row r="5057" spans="1:7" ht="12.75" customHeight="1">
      <c r="A5057" s="1754">
        <v>44016</v>
      </c>
      <c r="B5057" s="125" t="str">
        <f>TiposLancamentos!B19</f>
        <v>Restaurantes</v>
      </c>
      <c r="C5057" s="1040" t="s">
        <v>7592</v>
      </c>
      <c r="D5057" s="1736"/>
      <c r="E5057" s="1043">
        <v>31</v>
      </c>
      <c r="F5057" s="1043"/>
      <c r="G5057" s="1550"/>
    </row>
    <row r="5058" spans="1:7" ht="12.75" customHeight="1">
      <c r="A5058" s="1754">
        <v>44017</v>
      </c>
      <c r="B5058" s="125" t="str">
        <f>TiposLancamentos!B19</f>
        <v>Restaurantes</v>
      </c>
      <c r="C5058" s="1040" t="s">
        <v>7592</v>
      </c>
      <c r="D5058" s="1736"/>
      <c r="E5058" s="1043">
        <v>33.619999999999997</v>
      </c>
      <c r="F5058" s="1043"/>
      <c r="G5058" s="1550"/>
    </row>
    <row r="5059" spans="1:7" ht="12.75" customHeight="1">
      <c r="A5059" s="1754">
        <v>44017</v>
      </c>
      <c r="B5059" s="125" t="str">
        <f>TiposLancamentos!B103</f>
        <v>Juros_Corr. Poupança</v>
      </c>
      <c r="C5059" s="1040" t="s">
        <v>7341</v>
      </c>
      <c r="D5059" s="1736">
        <v>0.15</v>
      </c>
      <c r="E5059" s="1043"/>
      <c r="F5059" s="1043"/>
      <c r="G5059" s="1550"/>
    </row>
    <row r="5060" spans="1:7" ht="12.75" customHeight="1">
      <c r="A5060" s="1754">
        <v>44018</v>
      </c>
      <c r="B5060" s="125" t="str">
        <f>TiposLancamentos!B88</f>
        <v>Ford Ecosport XLT</v>
      </c>
      <c r="C5060" s="1040" t="s">
        <v>7593</v>
      </c>
      <c r="D5060" s="1736"/>
      <c r="E5060" s="1043">
        <v>69.900000000000006</v>
      </c>
      <c r="F5060" s="1043"/>
      <c r="G5060" s="1550"/>
    </row>
    <row r="5061" spans="1:7" ht="12.75" customHeight="1">
      <c r="A5061" s="1754">
        <v>44018</v>
      </c>
      <c r="B5061" s="125" t="str">
        <f>TiposLancamentos!B56</f>
        <v>Farmácia</v>
      </c>
      <c r="C5061" s="1040" t="s">
        <v>7594</v>
      </c>
      <c r="D5061" s="1736"/>
      <c r="E5061" s="1043">
        <v>86.65</v>
      </c>
      <c r="F5061" s="1043"/>
      <c r="G5061" s="1550"/>
    </row>
    <row r="5062" spans="1:7" ht="12.75" customHeight="1">
      <c r="A5062" s="1754">
        <v>44018</v>
      </c>
      <c r="B5062" s="125" t="str">
        <f>TiposLancamentos!B19</f>
        <v>Restaurantes</v>
      </c>
      <c r="C5062" s="1040" t="s">
        <v>3960</v>
      </c>
      <c r="D5062" s="1736"/>
      <c r="E5062" s="1043">
        <v>54.7</v>
      </c>
      <c r="F5062" s="1043"/>
      <c r="G5062" s="1550"/>
    </row>
    <row r="5063" spans="1:7" ht="12.75" customHeight="1">
      <c r="A5063" s="1754">
        <v>44018</v>
      </c>
      <c r="B5063" s="125" t="str">
        <f>TiposLancamentos!B19</f>
        <v>Restaurantes</v>
      </c>
      <c r="C5063" s="1040" t="s">
        <v>7595</v>
      </c>
      <c r="D5063" s="1736"/>
      <c r="E5063" s="1043">
        <v>4.8</v>
      </c>
      <c r="F5063" s="1043"/>
      <c r="G5063" s="1550"/>
    </row>
    <row r="5064" spans="1:7" ht="12.75" customHeight="1">
      <c r="A5064" s="1666">
        <v>44018</v>
      </c>
      <c r="B5064" s="817" t="str">
        <f>TiposLancamentos!B71</f>
        <v>Itens Pessoais</v>
      </c>
      <c r="C5064" s="1742" t="s">
        <v>7596</v>
      </c>
      <c r="D5064" s="1735"/>
      <c r="E5064" s="1733">
        <v>20</v>
      </c>
      <c r="F5064" s="1346"/>
      <c r="G5064" s="1550"/>
    </row>
    <row r="5065" spans="1:7" ht="12.75" customHeight="1">
      <c r="A5065" s="1750">
        <v>44018</v>
      </c>
      <c r="B5065" s="818" t="str">
        <f>TiposLancamentos!B16</f>
        <v>Cristiane</v>
      </c>
      <c r="C5065" s="1743" t="s">
        <v>7597</v>
      </c>
      <c r="D5065" s="1737"/>
      <c r="E5065" s="1668">
        <v>65</v>
      </c>
      <c r="F5065" s="1291">
        <v>85</v>
      </c>
      <c r="G5065" s="1550"/>
    </row>
    <row r="5066" spans="1:7" ht="12.75" customHeight="1">
      <c r="A5066" s="1754">
        <v>44018</v>
      </c>
      <c r="B5066" s="125" t="str">
        <f>TiposLancamentos!B16</f>
        <v>Cristiane</v>
      </c>
      <c r="C5066" s="1040" t="s">
        <v>7598</v>
      </c>
      <c r="D5066" s="1736"/>
      <c r="E5066" s="1043">
        <v>119.9</v>
      </c>
      <c r="F5066" s="1043"/>
      <c r="G5066" s="1550"/>
    </row>
    <row r="5067" spans="1:7" ht="12.75" customHeight="1">
      <c r="A5067" s="1754">
        <v>44018</v>
      </c>
      <c r="B5067" s="125" t="str">
        <f>TiposLancamentos!B19</f>
        <v>Restaurantes</v>
      </c>
      <c r="C5067" s="1040" t="s">
        <v>3022</v>
      </c>
      <c r="D5067" s="1736"/>
      <c r="E5067" s="1043">
        <v>16.399999999999999</v>
      </c>
      <c r="F5067" s="1043"/>
      <c r="G5067" s="1550"/>
    </row>
    <row r="5068" spans="1:7" ht="12.75" customHeight="1">
      <c r="A5068" s="1754">
        <v>44018</v>
      </c>
      <c r="B5068" s="125" t="str">
        <f>TiposLancamentos!B16</f>
        <v>Cristiane</v>
      </c>
      <c r="C5068" s="1040" t="s">
        <v>7599</v>
      </c>
      <c r="D5068" s="1736"/>
      <c r="E5068" s="1043">
        <v>18</v>
      </c>
      <c r="F5068" s="1043"/>
      <c r="G5068" s="1550"/>
    </row>
    <row r="5069" spans="1:7" ht="12.75" customHeight="1">
      <c r="A5069" s="1754">
        <v>44018</v>
      </c>
      <c r="B5069" s="125" t="str">
        <f>TiposLancamentos!B88</f>
        <v>Ford Ecosport XLT</v>
      </c>
      <c r="C5069" s="1040" t="s">
        <v>7600</v>
      </c>
      <c r="D5069" s="1736"/>
      <c r="E5069" s="1043">
        <v>275</v>
      </c>
      <c r="F5069" s="1043"/>
      <c r="G5069" s="1550"/>
    </row>
    <row r="5070" spans="1:7" ht="12.75" customHeight="1">
      <c r="A5070" s="1754">
        <v>44019</v>
      </c>
      <c r="B5070" s="125" t="str">
        <f>TiposLancamentos!B98</f>
        <v>Restituições</v>
      </c>
      <c r="C5070" s="1040" t="s">
        <v>7601</v>
      </c>
      <c r="D5070" s="1736">
        <v>2100</v>
      </c>
      <c r="E5070" s="1043"/>
      <c r="F5070" s="1043"/>
      <c r="G5070" s="1550"/>
    </row>
    <row r="5071" spans="1:7" ht="12.75" customHeight="1">
      <c r="A5071" s="1754">
        <v>44019</v>
      </c>
      <c r="B5071" s="125" t="str">
        <f>TiposLancamentos!B5</f>
        <v>Supermercado</v>
      </c>
      <c r="C5071" s="1040" t="s">
        <v>7552</v>
      </c>
      <c r="D5071" s="1736"/>
      <c r="E5071" s="1043">
        <v>250.39</v>
      </c>
      <c r="F5071" s="1043"/>
      <c r="G5071" s="1550"/>
    </row>
    <row r="5072" spans="1:7" ht="12.75" customHeight="1">
      <c r="A5072" s="1754">
        <v>44022</v>
      </c>
      <c r="B5072" s="125" t="str">
        <f>TiposLancamentos!B57</f>
        <v>Informática</v>
      </c>
      <c r="C5072" s="1040" t="s">
        <v>7602</v>
      </c>
      <c r="D5072" s="1736"/>
      <c r="E5072" s="1043">
        <v>19.899999999999999</v>
      </c>
      <c r="F5072" s="1043"/>
      <c r="G5072" s="1550"/>
    </row>
    <row r="5073" spans="1:7" ht="12.75" customHeight="1">
      <c r="A5073" s="1754">
        <v>44022</v>
      </c>
      <c r="B5073" s="125" t="str">
        <f>TiposLancamentos!B19</f>
        <v>Restaurantes</v>
      </c>
      <c r="C5073" s="1040" t="s">
        <v>3680</v>
      </c>
      <c r="D5073" s="1736"/>
      <c r="E5073" s="1043">
        <v>9.6</v>
      </c>
      <c r="F5073" s="1043"/>
      <c r="G5073" s="1550"/>
    </row>
    <row r="5074" spans="1:7" ht="12.75" customHeight="1">
      <c r="A5074" s="1754">
        <v>44022</v>
      </c>
      <c r="B5074" s="125" t="str">
        <f>TiposLancamentos!B19</f>
        <v>Restaurantes</v>
      </c>
      <c r="C5074" s="1040" t="s">
        <v>7603</v>
      </c>
      <c r="D5074" s="1736"/>
      <c r="E5074" s="1043">
        <v>15</v>
      </c>
      <c r="F5074" s="1043"/>
      <c r="G5074" s="1550"/>
    </row>
    <row r="5075" spans="1:7" ht="12.75" customHeight="1">
      <c r="A5075" s="1754">
        <v>44022</v>
      </c>
      <c r="B5075" s="125" t="str">
        <f>TiposLancamentos!B103</f>
        <v>Juros_Corr. Poupança</v>
      </c>
      <c r="C5075" s="1770" t="s">
        <v>7341</v>
      </c>
      <c r="D5075" s="1736">
        <v>0.57999999999999996</v>
      </c>
      <c r="E5075" s="1043"/>
      <c r="F5075" s="1043"/>
      <c r="G5075" s="1550"/>
    </row>
    <row r="5076" spans="1:7" ht="12.75" customHeight="1">
      <c r="A5076" s="1754">
        <v>44023</v>
      </c>
      <c r="B5076" s="125" t="str">
        <f>TiposLancamentos!B19</f>
        <v>Restaurantes</v>
      </c>
      <c r="C5076" s="1040" t="s">
        <v>7604</v>
      </c>
      <c r="D5076" s="1736"/>
      <c r="E5076" s="1043">
        <v>30</v>
      </c>
      <c r="F5076" s="1043"/>
      <c r="G5076" s="1550"/>
    </row>
    <row r="5077" spans="1:7" ht="12.75" customHeight="1">
      <c r="A5077" s="1754">
        <v>44024</v>
      </c>
      <c r="B5077" s="125" t="str">
        <f>TiposLancamentos!B19</f>
        <v>Restaurantes</v>
      </c>
      <c r="C5077" s="1040" t="s">
        <v>7605</v>
      </c>
      <c r="D5077" s="1736"/>
      <c r="E5077" s="1043">
        <v>44.9</v>
      </c>
      <c r="F5077" s="1043"/>
      <c r="G5077" s="1550"/>
    </row>
    <row r="5078" spans="1:7" ht="12.75" customHeight="1">
      <c r="A5078" s="1754">
        <v>44024</v>
      </c>
      <c r="B5078" s="125" t="str">
        <f>TiposLancamentos!B17</f>
        <v>GATO</v>
      </c>
      <c r="C5078" s="1040" t="s">
        <v>7606</v>
      </c>
      <c r="D5078" s="1736"/>
      <c r="E5078" s="1043">
        <v>138.11000000000001</v>
      </c>
      <c r="F5078" s="1043"/>
      <c r="G5078" s="1550"/>
    </row>
    <row r="5079" spans="1:7" ht="12.75" customHeight="1">
      <c r="A5079" s="1754">
        <v>44025</v>
      </c>
      <c r="B5079" s="125" t="str">
        <f>TiposLancamentos!B5</f>
        <v>Supermercado</v>
      </c>
      <c r="C5079" s="1040" t="s">
        <v>7607</v>
      </c>
      <c r="D5079" s="1736"/>
      <c r="E5079" s="1043">
        <v>26.92</v>
      </c>
      <c r="F5079" s="1043"/>
      <c r="G5079" s="1550"/>
    </row>
    <row r="5080" spans="1:7" ht="12.75" customHeight="1">
      <c r="A5080" s="1754">
        <v>44026</v>
      </c>
      <c r="B5080" s="125" t="str">
        <f>TiposLancamentos!B19</f>
        <v>Restaurantes</v>
      </c>
      <c r="C5080" s="1040" t="s">
        <v>6565</v>
      </c>
      <c r="D5080" s="1736"/>
      <c r="E5080" s="1043">
        <v>66.53</v>
      </c>
      <c r="F5080" s="1043"/>
      <c r="G5080" s="1550"/>
    </row>
    <row r="5081" spans="1:7" ht="12.75" customHeight="1">
      <c r="A5081" s="1666">
        <v>44027</v>
      </c>
      <c r="B5081" s="817" t="str">
        <f>TiposLancamentos!B33</f>
        <v>Pedágios</v>
      </c>
      <c r="C5081" s="1742" t="s">
        <v>5392</v>
      </c>
      <c r="D5081" s="1735"/>
      <c r="E5081" s="1733">
        <v>55.8</v>
      </c>
      <c r="F5081" s="1290"/>
      <c r="G5081" s="1550"/>
    </row>
    <row r="5082" spans="1:7" ht="12.75" customHeight="1">
      <c r="A5082" s="1667">
        <v>44027</v>
      </c>
      <c r="B5082" s="816" t="str">
        <f>TiposLancamentos!B24</f>
        <v>Estacionamentos</v>
      </c>
      <c r="C5082" s="1769" t="s">
        <v>7366</v>
      </c>
      <c r="D5082" s="1736"/>
      <c r="E5082" s="1734">
        <v>0</v>
      </c>
      <c r="F5082" s="1043"/>
      <c r="G5082" s="1550"/>
    </row>
    <row r="5083" spans="1:7" ht="12.75" customHeight="1">
      <c r="A5083" s="1750">
        <v>44027</v>
      </c>
      <c r="B5083" s="818" t="str">
        <f>TiposLancamentos!B24</f>
        <v>Estacionamentos</v>
      </c>
      <c r="C5083" s="1743" t="s">
        <v>6297</v>
      </c>
      <c r="D5083" s="1737"/>
      <c r="E5083" s="1668">
        <v>0</v>
      </c>
      <c r="F5083" s="1291">
        <v>55.8</v>
      </c>
      <c r="G5083" s="1550"/>
    </row>
    <row r="5084" spans="1:7" ht="12.75" customHeight="1">
      <c r="A5084" s="1754">
        <v>44027</v>
      </c>
      <c r="B5084" s="125" t="str">
        <f>TiposLancamentos!B103</f>
        <v>Juros_Corr. Poupança</v>
      </c>
      <c r="C5084" s="1040" t="s">
        <v>7341</v>
      </c>
      <c r="D5084" s="1736">
        <f>0.05+0.27+0.06</f>
        <v>0.38</v>
      </c>
      <c r="E5084" s="1043"/>
      <c r="F5084" s="1043"/>
      <c r="G5084" s="1550"/>
    </row>
    <row r="5085" spans="1:7" ht="12.75" customHeight="1">
      <c r="A5085" s="1666">
        <v>44027</v>
      </c>
      <c r="B5085" s="817" t="str">
        <f>TiposLancamentos!B35</f>
        <v>Tv à Cabo</v>
      </c>
      <c r="C5085" s="1742" t="s">
        <v>5834</v>
      </c>
      <c r="D5085" s="1735"/>
      <c r="E5085" s="1733">
        <f>F5087/2</f>
        <v>85</v>
      </c>
      <c r="F5085" s="1290"/>
      <c r="G5085" s="1550"/>
    </row>
    <row r="5086" spans="1:7" ht="12.75" customHeight="1">
      <c r="A5086" s="1667">
        <v>44027</v>
      </c>
      <c r="B5086" s="816" t="str">
        <f>TiposLancamentos!B3</f>
        <v>Internet</v>
      </c>
      <c r="C5086" s="1769" t="s">
        <v>5835</v>
      </c>
      <c r="D5086" s="1736"/>
      <c r="E5086" s="1734">
        <f>F5087/2</f>
        <v>85</v>
      </c>
      <c r="F5086" s="1043"/>
      <c r="G5086" s="1550"/>
    </row>
    <row r="5087" spans="1:7" ht="12.75" customHeight="1">
      <c r="A5087" s="1750">
        <v>44027</v>
      </c>
      <c r="B5087" s="818" t="str">
        <f>TiposLancamentos!B2</f>
        <v>Telefonia</v>
      </c>
      <c r="C5087" s="1743" t="s">
        <v>7210</v>
      </c>
      <c r="D5087" s="1737"/>
      <c r="E5087" s="1668">
        <v>0</v>
      </c>
      <c r="F5087" s="1291">
        <v>170</v>
      </c>
      <c r="G5087" s="1550"/>
    </row>
    <row r="5088" spans="1:7" ht="12.75" customHeight="1">
      <c r="A5088" s="1754">
        <v>44027</v>
      </c>
      <c r="B5088" s="125" t="str">
        <f>TiposLancamentos!B16</f>
        <v>Cristiane</v>
      </c>
      <c r="C5088" s="1770" t="s">
        <v>7367</v>
      </c>
      <c r="D5088" s="1736"/>
      <c r="E5088" s="1043">
        <v>120</v>
      </c>
      <c r="F5088" s="1043">
        <v>120</v>
      </c>
      <c r="G5088" s="1550"/>
    </row>
    <row r="5089" spans="1:7" ht="12.75" customHeight="1">
      <c r="A5089" s="1754">
        <v>44027</v>
      </c>
      <c r="B5089" s="125" t="str">
        <f>TiposLancamentos!B2</f>
        <v>Telefonia</v>
      </c>
      <c r="C5089" s="1770" t="s">
        <v>7368</v>
      </c>
      <c r="D5089" s="1736"/>
      <c r="E5089" s="1043">
        <v>73.989999999999995</v>
      </c>
      <c r="F5089" s="1043">
        <v>73.989999999999995</v>
      </c>
      <c r="G5089" s="1550"/>
    </row>
    <row r="5090" spans="1:7" ht="12.75" customHeight="1">
      <c r="A5090" s="1754">
        <v>44027</v>
      </c>
      <c r="B5090" s="125" t="str">
        <f>TiposLancamentos!B103</f>
        <v>Juros_Corr. Poupança</v>
      </c>
      <c r="C5090" s="1770" t="s">
        <v>7341</v>
      </c>
      <c r="D5090" s="1736">
        <v>0.03</v>
      </c>
      <c r="E5090" s="1043"/>
      <c r="F5090" s="1043"/>
      <c r="G5090" s="1550"/>
    </row>
    <row r="5091" spans="1:7" ht="12.75" customHeight="1">
      <c r="A5091" s="1754">
        <v>44027</v>
      </c>
      <c r="B5091" s="125" t="str">
        <f>TiposLancamentos!B16</f>
        <v>Cristiane</v>
      </c>
      <c r="C5091" s="1770" t="s">
        <v>7406</v>
      </c>
      <c r="D5091" s="1736"/>
      <c r="E5091" s="1043">
        <v>128.91999999999999</v>
      </c>
      <c r="F5091" s="1043"/>
      <c r="G5091" s="1550"/>
    </row>
    <row r="5092" spans="1:7" ht="12.75" customHeight="1">
      <c r="A5092" s="1754">
        <v>44027</v>
      </c>
      <c r="B5092" s="125" t="str">
        <f>TiposLancamentos!B56</f>
        <v>Farmácia</v>
      </c>
      <c r="C5092" s="1770" t="s">
        <v>7608</v>
      </c>
      <c r="D5092" s="1736"/>
      <c r="E5092" s="1043">
        <v>70.2</v>
      </c>
      <c r="F5092" s="1043"/>
      <c r="G5092" s="1550"/>
    </row>
    <row r="5093" spans="1:7" ht="12.75" customHeight="1">
      <c r="A5093" s="1754">
        <v>44027</v>
      </c>
      <c r="B5093" s="125" t="str">
        <f>TiposLancamentos!B16</f>
        <v>Cristiane</v>
      </c>
      <c r="C5093" s="1770" t="s">
        <v>7609</v>
      </c>
      <c r="D5093" s="1736"/>
      <c r="E5093" s="1043">
        <v>54.1</v>
      </c>
      <c r="F5093" s="1043"/>
      <c r="G5093" s="1550"/>
    </row>
    <row r="5094" spans="1:7" ht="12.75" customHeight="1">
      <c r="A5094" s="1754">
        <v>44027</v>
      </c>
      <c r="B5094" s="125" t="str">
        <f>TiposLancamentos!B20</f>
        <v>Saques</v>
      </c>
      <c r="C5094" s="1770" t="s">
        <v>7610</v>
      </c>
      <c r="D5094" s="1736"/>
      <c r="E5094" s="1043">
        <v>50</v>
      </c>
      <c r="F5094" s="1043"/>
      <c r="G5094" s="1550"/>
    </row>
    <row r="5095" spans="1:7" ht="12.75" customHeight="1">
      <c r="A5095" s="1754">
        <v>44028</v>
      </c>
      <c r="B5095" s="125" t="str">
        <f>TiposLancamentos!B46</f>
        <v>Maçonaria</v>
      </c>
      <c r="C5095" s="1040" t="s">
        <v>7611</v>
      </c>
      <c r="D5095" s="1736"/>
      <c r="E5095" s="1043">
        <v>180</v>
      </c>
      <c r="F5095" s="1043"/>
      <c r="G5095" s="1550"/>
    </row>
    <row r="5096" spans="1:7" ht="12.75" customHeight="1">
      <c r="A5096" s="1754">
        <v>44028</v>
      </c>
      <c r="B5096" s="125" t="str">
        <f>TiposLancamentos!B56</f>
        <v>Farmácia</v>
      </c>
      <c r="C5096" s="1040" t="s">
        <v>6118</v>
      </c>
      <c r="D5096" s="1736"/>
      <c r="E5096" s="1043">
        <v>106.01</v>
      </c>
      <c r="F5096" s="1043"/>
      <c r="G5096" s="1550"/>
    </row>
    <row r="5097" spans="1:7" ht="12.75" customHeight="1">
      <c r="A5097" s="1754">
        <v>44028</v>
      </c>
      <c r="B5097" s="125" t="str">
        <f>TiposLancamentos!B19</f>
        <v>Restaurantes</v>
      </c>
      <c r="C5097" s="1040" t="s">
        <v>3960</v>
      </c>
      <c r="D5097" s="1736"/>
      <c r="E5097" s="1043">
        <v>51.28</v>
      </c>
      <c r="F5097" s="1043"/>
      <c r="G5097" s="1550"/>
    </row>
    <row r="5098" spans="1:7" ht="12.75" customHeight="1">
      <c r="A5098" s="1754">
        <v>44028</v>
      </c>
      <c r="B5098" s="125" t="str">
        <f>TiposLancamentos!B24</f>
        <v>Estacionamentos</v>
      </c>
      <c r="C5098" s="1040" t="s">
        <v>3398</v>
      </c>
      <c r="D5098" s="1736"/>
      <c r="E5098" s="1043">
        <v>8</v>
      </c>
      <c r="F5098" s="1043"/>
      <c r="G5098" s="1550"/>
    </row>
    <row r="5099" spans="1:7" ht="12.75" customHeight="1">
      <c r="A5099" s="1754">
        <v>44028</v>
      </c>
      <c r="B5099" s="125" t="str">
        <f>TiposLancamentos!B5</f>
        <v>Supermercado</v>
      </c>
      <c r="C5099" s="1040" t="s">
        <v>7388</v>
      </c>
      <c r="D5099" s="1736"/>
      <c r="E5099" s="1043">
        <v>257.56</v>
      </c>
      <c r="F5099" s="1043"/>
      <c r="G5099" s="1550"/>
    </row>
    <row r="5100" spans="1:7" ht="12.75" customHeight="1">
      <c r="A5100" s="1754">
        <v>44029</v>
      </c>
      <c r="B5100" s="125" t="str">
        <f>TiposLancamentos!B22</f>
        <v>Combustivel</v>
      </c>
      <c r="C5100" s="1040" t="s">
        <v>6398</v>
      </c>
      <c r="D5100" s="1736"/>
      <c r="E5100" s="1043">
        <v>150</v>
      </c>
      <c r="F5100" s="1043"/>
      <c r="G5100" s="1550"/>
    </row>
    <row r="5101" spans="1:7" ht="12.75" customHeight="1">
      <c r="A5101" s="1754">
        <v>44029</v>
      </c>
      <c r="B5101" s="125" t="str">
        <f>TiposLancamentos!B48</f>
        <v>Baralhos e Oráculos</v>
      </c>
      <c r="C5101" s="1040" t="s">
        <v>7612</v>
      </c>
      <c r="D5101" s="1736"/>
      <c r="E5101" s="1043">
        <v>167.65</v>
      </c>
      <c r="F5101" s="1043"/>
      <c r="G5101" s="1550"/>
    </row>
    <row r="5102" spans="1:7" ht="12.75" customHeight="1">
      <c r="A5102" s="1754">
        <v>44029</v>
      </c>
      <c r="B5102" s="125" t="str">
        <f>TiposLancamentos!B17</f>
        <v>GATO</v>
      </c>
      <c r="C5102" s="1040" t="s">
        <v>7613</v>
      </c>
      <c r="D5102" s="1736"/>
      <c r="E5102" s="1043">
        <v>19.71</v>
      </c>
      <c r="F5102" s="1043"/>
      <c r="G5102" s="1550"/>
    </row>
    <row r="5103" spans="1:7" ht="12.75" customHeight="1">
      <c r="A5103" s="1754">
        <v>44030</v>
      </c>
      <c r="B5103" s="125" t="str">
        <f>TiposLancamentos!B16</f>
        <v>Cristiane</v>
      </c>
      <c r="C5103" s="1040" t="s">
        <v>7614</v>
      </c>
      <c r="D5103" s="1736"/>
      <c r="E5103" s="1043">
        <v>100.94</v>
      </c>
      <c r="F5103" s="1043"/>
      <c r="G5103" s="1550"/>
    </row>
    <row r="5104" spans="1:7" ht="12.75" customHeight="1">
      <c r="A5104" s="1666">
        <v>44032</v>
      </c>
      <c r="B5104" s="817" t="str">
        <f>TiposLancamentos!B8</f>
        <v>Aluguel</v>
      </c>
      <c r="C5104" s="1742" t="s">
        <v>7615</v>
      </c>
      <c r="D5104" s="1735"/>
      <c r="E5104" s="1733">
        <f>F5109-SUM(E5105:E5109)</f>
        <v>1400</v>
      </c>
      <c r="F5104" s="1346"/>
      <c r="G5104" s="1550"/>
    </row>
    <row r="5105" spans="1:7" ht="12.75" customHeight="1">
      <c r="A5105" s="1667">
        <v>44032</v>
      </c>
      <c r="B5105" s="816" t="str">
        <f>TiposLancamentos!B9</f>
        <v>Condominio</v>
      </c>
      <c r="C5105" s="1769" t="s">
        <v>7427</v>
      </c>
      <c r="D5105" s="1736"/>
      <c r="E5105" s="1734">
        <v>616.37</v>
      </c>
      <c r="F5105" s="1043"/>
      <c r="G5105" s="1550"/>
    </row>
    <row r="5106" spans="1:7" ht="12.75" customHeight="1">
      <c r="A5106" s="1667">
        <v>44032</v>
      </c>
      <c r="B5106" s="816" t="str">
        <f>TiposLancamentos!B10</f>
        <v>Distr. Água Municipal</v>
      </c>
      <c r="C5106" s="1769" t="s">
        <v>7423</v>
      </c>
      <c r="D5106" s="1736"/>
      <c r="E5106" s="1734">
        <v>62.96</v>
      </c>
      <c r="F5106" s="1043"/>
      <c r="G5106" s="1550"/>
    </row>
    <row r="5107" spans="1:7" ht="12.75" customHeight="1">
      <c r="A5107" s="1667">
        <v>44032</v>
      </c>
      <c r="B5107" s="816" t="str">
        <f>TiposLancamentos!B11</f>
        <v>Coleta Municipal Lixo</v>
      </c>
      <c r="C5107" s="1769" t="s">
        <v>7424</v>
      </c>
      <c r="D5107" s="1736"/>
      <c r="E5107" s="1734">
        <v>41.13</v>
      </c>
      <c r="F5107" s="1043"/>
      <c r="G5107" s="1550"/>
    </row>
    <row r="5108" spans="1:7" ht="12.75" customHeight="1">
      <c r="A5108" s="1667">
        <v>44032</v>
      </c>
      <c r="B5108" s="816" t="str">
        <f>TiposLancamentos!B8</f>
        <v>Aluguel</v>
      </c>
      <c r="C5108" s="1769" t="s">
        <v>7425</v>
      </c>
      <c r="D5108" s="1736"/>
      <c r="E5108" s="1734">
        <v>8</v>
      </c>
      <c r="F5108" s="1043"/>
      <c r="G5108" s="1550"/>
    </row>
    <row r="5109" spans="1:7" ht="12.75" customHeight="1">
      <c r="A5109" s="1750">
        <v>44032</v>
      </c>
      <c r="B5109" s="818" t="str">
        <f>TiposLancamentos!B12</f>
        <v>IPTU</v>
      </c>
      <c r="C5109" s="1743" t="s">
        <v>7616</v>
      </c>
      <c r="D5109" s="1737"/>
      <c r="E5109" s="1668">
        <v>40.520000000000003</v>
      </c>
      <c r="F5109" s="1291">
        <v>2168.98</v>
      </c>
      <c r="G5109" s="1550"/>
    </row>
    <row r="5110" spans="1:7" ht="12.75" customHeight="1">
      <c r="A5110" s="1754">
        <v>44032</v>
      </c>
      <c r="B5110" s="125" t="str">
        <f>TiposLancamentos!B103</f>
        <v>Juros_Corr. Poupança</v>
      </c>
      <c r="C5110" s="1040" t="s">
        <v>7341</v>
      </c>
      <c r="D5110" s="1736">
        <v>0.1</v>
      </c>
      <c r="E5110" s="1043"/>
      <c r="F5110" s="1043"/>
      <c r="G5110" s="1550"/>
    </row>
    <row r="5111" spans="1:7" ht="12.75" customHeight="1">
      <c r="A5111" s="1754">
        <v>44032</v>
      </c>
      <c r="B5111" s="125" t="str">
        <f>TiposLancamentos!B69</f>
        <v>Consertos</v>
      </c>
      <c r="C5111" s="1040" t="s">
        <v>7617</v>
      </c>
      <c r="D5111" s="1736"/>
      <c r="E5111" s="1043">
        <v>297.5</v>
      </c>
      <c r="F5111" s="1043"/>
      <c r="G5111" s="1550"/>
    </row>
    <row r="5112" spans="1:7" ht="12.75" customHeight="1">
      <c r="A5112" s="1754">
        <v>44032</v>
      </c>
      <c r="B5112" s="125" t="str">
        <f>TiposLancamentos!B5</f>
        <v>Supermercado</v>
      </c>
      <c r="C5112" s="1040" t="s">
        <v>7618</v>
      </c>
      <c r="D5112" s="1736"/>
      <c r="E5112" s="1043">
        <v>20.99</v>
      </c>
      <c r="F5112" s="1043"/>
      <c r="G5112" s="1550"/>
    </row>
    <row r="5113" spans="1:7" ht="12.75" customHeight="1">
      <c r="A5113" s="1754">
        <v>44032</v>
      </c>
      <c r="B5113" s="125" t="str">
        <f>TiposLancamentos!B19</f>
        <v>Restaurantes</v>
      </c>
      <c r="C5113" s="1040" t="s">
        <v>6355</v>
      </c>
      <c r="D5113" s="1736"/>
      <c r="E5113" s="1043">
        <v>52.99</v>
      </c>
      <c r="F5113" s="1043"/>
      <c r="G5113" s="1550"/>
    </row>
    <row r="5114" spans="1:7" ht="12.75" customHeight="1">
      <c r="A5114" s="1754">
        <v>44032</v>
      </c>
      <c r="B5114" s="125" t="str">
        <f>TiposLancamentos!B13</f>
        <v>Moradia</v>
      </c>
      <c r="C5114" s="1040" t="s">
        <v>7619</v>
      </c>
      <c r="D5114" s="1736"/>
      <c r="E5114" s="1043">
        <v>119.9</v>
      </c>
      <c r="F5114" s="1043"/>
      <c r="G5114" s="1550"/>
    </row>
    <row r="5115" spans="1:7" ht="12.75" customHeight="1">
      <c r="A5115" s="1754">
        <v>44032</v>
      </c>
      <c r="B5115" s="125" t="str">
        <f>TiposLancamentos!B23</f>
        <v>P208 GRIFFE 1.6 AUT BUSINESS</v>
      </c>
      <c r="C5115" s="1040" t="s">
        <v>7620</v>
      </c>
      <c r="D5115" s="1736"/>
      <c r="E5115" s="1043">
        <v>35</v>
      </c>
      <c r="F5115" s="1043"/>
      <c r="G5115" s="1550"/>
    </row>
    <row r="5116" spans="1:7" ht="12.75" customHeight="1">
      <c r="A5116" s="1754">
        <v>44034</v>
      </c>
      <c r="B5116" s="125" t="str">
        <f>TiposLancamentos!B103</f>
        <v>Juros_Corr. Poupança</v>
      </c>
      <c r="C5116" s="1040" t="s">
        <v>7341</v>
      </c>
      <c r="D5116" s="1736">
        <v>0.03</v>
      </c>
      <c r="E5116" s="1043"/>
      <c r="F5116" s="1043"/>
      <c r="G5116" s="1550"/>
    </row>
    <row r="5117" spans="1:7" ht="12.75" customHeight="1">
      <c r="A5117" s="1754">
        <v>44034</v>
      </c>
      <c r="B5117" s="125" t="str">
        <f>TiposLancamentos!B5</f>
        <v>Supermercado</v>
      </c>
      <c r="C5117" s="1040" t="s">
        <v>7430</v>
      </c>
      <c r="D5117" s="1736"/>
      <c r="E5117" s="1043">
        <v>192.57</v>
      </c>
      <c r="F5117" s="1043"/>
      <c r="G5117" s="1550"/>
    </row>
    <row r="5118" spans="1:7" ht="12.75" customHeight="1">
      <c r="A5118" s="1754">
        <v>44034</v>
      </c>
      <c r="B5118" s="125" t="str">
        <f>TiposLancamentos!B6</f>
        <v>Energia Eletrica</v>
      </c>
      <c r="C5118" s="1040" t="s">
        <v>7621</v>
      </c>
      <c r="D5118" s="1736"/>
      <c r="E5118" s="1043">
        <v>225.54</v>
      </c>
      <c r="F5118" s="1043"/>
      <c r="G5118" s="1550"/>
    </row>
    <row r="5119" spans="1:7" ht="12.75" customHeight="1">
      <c r="A5119" s="1754">
        <v>44036</v>
      </c>
      <c r="B5119" s="125" t="str">
        <f>TiposLancamentos!B103</f>
        <v>Juros_Corr. Poupança</v>
      </c>
      <c r="C5119" s="1040" t="s">
        <v>7341</v>
      </c>
      <c r="D5119" s="1736">
        <v>0.06</v>
      </c>
      <c r="E5119" s="1043"/>
      <c r="F5119" s="1043"/>
      <c r="G5119" s="1550"/>
    </row>
    <row r="5120" spans="1:7" ht="12.75" customHeight="1">
      <c r="A5120" s="1754">
        <v>44036</v>
      </c>
      <c r="B5120" s="125" t="str">
        <f>TiposLancamentos!B71</f>
        <v>Itens Pessoais</v>
      </c>
      <c r="C5120" s="1040" t="s">
        <v>7622</v>
      </c>
      <c r="D5120" s="1736"/>
      <c r="E5120" s="1043">
        <v>24.88</v>
      </c>
      <c r="F5120" s="1043"/>
      <c r="G5120" s="1550"/>
    </row>
    <row r="5121" spans="1:7" ht="12.75" customHeight="1">
      <c r="A5121" s="1754">
        <v>44036</v>
      </c>
      <c r="B5121" s="125" t="str">
        <f>TiposLancamentos!B19</f>
        <v>Restaurantes</v>
      </c>
      <c r="C5121" s="1040" t="s">
        <v>7623</v>
      </c>
      <c r="D5121" s="1736"/>
      <c r="E5121" s="1043">
        <v>56.23</v>
      </c>
      <c r="F5121" s="1043"/>
      <c r="G5121" s="1550"/>
    </row>
    <row r="5122" spans="1:7" ht="12.75" customHeight="1">
      <c r="A5122" s="1754">
        <v>44036</v>
      </c>
      <c r="B5122" s="125" t="str">
        <f>TiposLancamentos!B16</f>
        <v>Cristiane</v>
      </c>
      <c r="C5122" s="1040" t="s">
        <v>7624</v>
      </c>
      <c r="D5122" s="1736"/>
      <c r="E5122" s="1043">
        <v>152.80000000000001</v>
      </c>
      <c r="F5122" s="1043"/>
      <c r="G5122" s="1550"/>
    </row>
    <row r="5123" spans="1:7" ht="12.75" customHeight="1">
      <c r="A5123" s="1754">
        <v>44036</v>
      </c>
      <c r="B5123" s="125" t="str">
        <f>TiposLancamentos!B16</f>
        <v>Cristiane</v>
      </c>
      <c r="C5123" s="1040" t="s">
        <v>7625</v>
      </c>
      <c r="D5123" s="1736"/>
      <c r="E5123" s="1043">
        <v>23.5</v>
      </c>
      <c r="F5123" s="1043"/>
      <c r="G5123" s="1550"/>
    </row>
    <row r="5124" spans="1:7" ht="12.75" customHeight="1">
      <c r="A5124" s="1754">
        <v>44037</v>
      </c>
      <c r="B5124" s="125" t="str">
        <f>TiposLancamentos!B19</f>
        <v>Restaurantes</v>
      </c>
      <c r="C5124" s="1040" t="s">
        <v>7626</v>
      </c>
      <c r="D5124" s="1736"/>
      <c r="E5124" s="1043">
        <v>116.27</v>
      </c>
      <c r="F5124" s="1043"/>
      <c r="G5124" s="1550"/>
    </row>
    <row r="5125" spans="1:7" ht="12.75" customHeight="1">
      <c r="A5125" s="1754">
        <v>44037</v>
      </c>
      <c r="B5125" s="125" t="str">
        <f>TiposLancamentos!B57</f>
        <v>Informática</v>
      </c>
      <c r="C5125" s="1040" t="s">
        <v>7627</v>
      </c>
      <c r="D5125" s="1736"/>
      <c r="E5125" s="1043">
        <v>14.9</v>
      </c>
      <c r="F5125" s="1043"/>
      <c r="G5125" s="1550"/>
    </row>
    <row r="5126" spans="1:7" ht="12.75" customHeight="1">
      <c r="A5126" s="1754">
        <v>44038</v>
      </c>
      <c r="B5126" s="125" t="str">
        <f>TiposLancamentos!B5</f>
        <v>Supermercado</v>
      </c>
      <c r="C5126" s="1040" t="s">
        <v>7430</v>
      </c>
      <c r="D5126" s="1736"/>
      <c r="E5126" s="1043">
        <v>127.56</v>
      </c>
      <c r="F5126" s="1043"/>
      <c r="G5126" s="1550"/>
    </row>
    <row r="5127" spans="1:7" ht="12.75" customHeight="1">
      <c r="A5127" s="1754">
        <v>44039</v>
      </c>
      <c r="B5127" s="125" t="str">
        <f>TiposLancamentos!B60</f>
        <v>Correio</v>
      </c>
      <c r="C5127" s="1040" t="s">
        <v>7628</v>
      </c>
      <c r="D5127" s="1736"/>
      <c r="E5127" s="1043">
        <v>13.75</v>
      </c>
      <c r="F5127" s="1043"/>
      <c r="G5127" s="1550"/>
    </row>
    <row r="5128" spans="1:7" ht="12.75" customHeight="1">
      <c r="A5128" s="1754">
        <v>44039</v>
      </c>
      <c r="B5128" s="125" t="str">
        <f>TiposLancamentos!B16</f>
        <v>Cristiane</v>
      </c>
      <c r="C5128" s="1040" t="s">
        <v>7629</v>
      </c>
      <c r="D5128" s="1736"/>
      <c r="E5128" s="1043">
        <v>141.1</v>
      </c>
      <c r="F5128" s="1043"/>
      <c r="G5128" s="1550"/>
    </row>
    <row r="5129" spans="1:7" ht="12.75" customHeight="1">
      <c r="A5129" s="1754">
        <v>44039</v>
      </c>
      <c r="B5129" s="125" t="str">
        <f>TiposLancamentos!B99</f>
        <v>Venda de algo</v>
      </c>
      <c r="C5129" s="1040" t="s">
        <v>7630</v>
      </c>
      <c r="D5129" s="1736">
        <v>94</v>
      </c>
      <c r="E5129" s="1043"/>
      <c r="F5129" s="1043"/>
      <c r="G5129" s="1550"/>
    </row>
    <row r="5130" spans="1:7" ht="12.75" customHeight="1">
      <c r="A5130" s="1754">
        <v>44039</v>
      </c>
      <c r="B5130" s="125" t="str">
        <f>TiposLancamentos!B60</f>
        <v>Correio</v>
      </c>
      <c r="C5130" s="1040" t="s">
        <v>7631</v>
      </c>
      <c r="D5130" s="1736"/>
      <c r="E5130" s="1043">
        <v>27.3</v>
      </c>
      <c r="F5130" s="1043"/>
      <c r="G5130" s="1550"/>
    </row>
    <row r="5131" spans="1:7" ht="12.75" customHeight="1">
      <c r="A5131" s="1754">
        <v>44040</v>
      </c>
      <c r="B5131" s="125" t="str">
        <f>TiposLancamentos!B22</f>
        <v>Combustivel</v>
      </c>
      <c r="C5131" s="1040" t="s">
        <v>1880</v>
      </c>
      <c r="D5131" s="1736"/>
      <c r="E5131" s="1043">
        <v>70</v>
      </c>
      <c r="F5131" s="1043"/>
      <c r="G5131" s="1550"/>
    </row>
    <row r="5132" spans="1:7" ht="12.75" customHeight="1">
      <c r="A5132" s="1754">
        <v>44040</v>
      </c>
      <c r="B5132" s="125" t="str">
        <f>TiposLancamentos!B60</f>
        <v>Correio</v>
      </c>
      <c r="C5132" s="1040" t="s">
        <v>7632</v>
      </c>
      <c r="D5132" s="1736"/>
      <c r="E5132" s="1043">
        <v>22.5</v>
      </c>
      <c r="F5132" s="1043"/>
      <c r="G5132" s="1550"/>
    </row>
    <row r="5133" spans="1:7" ht="12.75" customHeight="1">
      <c r="A5133" s="1754">
        <v>44040</v>
      </c>
      <c r="B5133" s="125" t="str">
        <f>TiposLancamentos!B5</f>
        <v>Supermercado</v>
      </c>
      <c r="C5133" s="1040" t="s">
        <v>7633</v>
      </c>
      <c r="D5133" s="1736"/>
      <c r="E5133" s="1043">
        <v>98.46</v>
      </c>
      <c r="F5133" s="1043"/>
      <c r="G5133" s="1550"/>
    </row>
    <row r="5134" spans="1:7" ht="12.75" customHeight="1">
      <c r="A5134" s="1754">
        <v>44040</v>
      </c>
      <c r="B5134" s="125" t="str">
        <f>TiposLancamentos!B19</f>
        <v>Restaurantes</v>
      </c>
      <c r="C5134" s="1040" t="s">
        <v>7634</v>
      </c>
      <c r="D5134" s="1736"/>
      <c r="E5134" s="1043">
        <v>129.80000000000001</v>
      </c>
      <c r="F5134" s="1043"/>
      <c r="G5134" s="1550"/>
    </row>
    <row r="5135" spans="1:7" ht="12.75" customHeight="1">
      <c r="A5135" s="1754">
        <v>44040</v>
      </c>
      <c r="B5135" s="125" t="str">
        <f>TiposLancamentos!B5</f>
        <v>Supermercado</v>
      </c>
      <c r="C5135" s="1040" t="s">
        <v>7635</v>
      </c>
      <c r="D5135" s="1736"/>
      <c r="E5135" s="1043">
        <v>25.8</v>
      </c>
      <c r="F5135" s="1043"/>
      <c r="G5135" s="1550"/>
    </row>
    <row r="5136" spans="1:7" ht="12.75" customHeight="1">
      <c r="A5136" s="1754">
        <v>44040</v>
      </c>
      <c r="B5136" s="125" t="str">
        <f>TiposLancamentos!B50</f>
        <v>Guitarra</v>
      </c>
      <c r="C5136" s="1040" t="s">
        <v>7636</v>
      </c>
      <c r="D5136" s="1736"/>
      <c r="E5136" s="1043">
        <v>46.6</v>
      </c>
      <c r="F5136" s="1043"/>
      <c r="G5136" s="1550"/>
    </row>
    <row r="5137" spans="1:7" ht="12.75" customHeight="1">
      <c r="A5137" s="1754">
        <v>44042</v>
      </c>
      <c r="B5137" s="125" t="str">
        <f>TiposLancamentos!B19</f>
        <v>Restaurantes</v>
      </c>
      <c r="C5137" s="1040" t="s">
        <v>7637</v>
      </c>
      <c r="D5137" s="1736"/>
      <c r="E5137" s="1043">
        <v>15</v>
      </c>
      <c r="F5137" s="1043"/>
      <c r="G5137" s="1550"/>
    </row>
    <row r="5138" spans="1:7" ht="12.75" customHeight="1">
      <c r="A5138" s="1754">
        <v>44043</v>
      </c>
      <c r="B5138" s="125" t="str">
        <f>TiposLancamentos!B5</f>
        <v>Supermercado</v>
      </c>
      <c r="C5138" s="1040" t="s">
        <v>7638</v>
      </c>
      <c r="D5138" s="1736"/>
      <c r="E5138" s="1043">
        <v>126.07</v>
      </c>
      <c r="F5138" s="1043"/>
      <c r="G5138" s="1550"/>
    </row>
    <row r="5139" spans="1:7" ht="12.75" customHeight="1">
      <c r="A5139" s="1754">
        <v>44043</v>
      </c>
      <c r="B5139" s="125" t="str">
        <f>TiposLancamentos!B56</f>
        <v>Farmácia</v>
      </c>
      <c r="C5139" s="1040" t="s">
        <v>2418</v>
      </c>
      <c r="D5139" s="1736"/>
      <c r="E5139" s="1043">
        <v>18.89</v>
      </c>
      <c r="F5139" s="1043"/>
      <c r="G5139" s="1550"/>
    </row>
    <row r="5140" spans="1:7" ht="12.75" customHeight="1" thickBot="1">
      <c r="A5140" s="1754">
        <v>44043</v>
      </c>
      <c r="B5140" s="125" t="str">
        <f>TiposLancamentos!B103</f>
        <v>Juros_Corr. Poupança</v>
      </c>
      <c r="C5140" s="1040" t="s">
        <v>7341</v>
      </c>
      <c r="D5140" s="1736">
        <v>7.0000000000000007E-2</v>
      </c>
      <c r="E5140" s="1043"/>
      <c r="F5140" s="1043"/>
      <c r="G5140" s="1550"/>
    </row>
    <row r="5141" spans="1:7" ht="12.75" customHeight="1">
      <c r="A5141" s="1834"/>
      <c r="B5141" s="977"/>
      <c r="C5141" s="1854" t="s">
        <v>7639</v>
      </c>
      <c r="D5141" s="1823"/>
      <c r="E5141" s="1821"/>
      <c r="F5141" s="1821"/>
      <c r="G5141" s="1895"/>
    </row>
    <row r="5142" spans="1:7" ht="12.75" customHeight="1">
      <c r="A5142" s="1754">
        <v>44044</v>
      </c>
      <c r="B5142" s="125" t="str">
        <f>TiposLancamentos!B15</f>
        <v>Cartões de Crédito</v>
      </c>
      <c r="C5142" s="1040" t="s">
        <v>7393</v>
      </c>
      <c r="D5142" s="1736"/>
      <c r="E5142" s="1043">
        <v>770.76</v>
      </c>
      <c r="F5142" s="1043"/>
      <c r="G5142" s="1550"/>
    </row>
    <row r="5143" spans="1:7" ht="12.75" customHeight="1">
      <c r="A5143" s="1754">
        <v>44044</v>
      </c>
      <c r="B5143" s="125" t="str">
        <f>TiposLancamentos!B15</f>
        <v>Cartões de Crédito</v>
      </c>
      <c r="C5143" s="1040" t="s">
        <v>7333</v>
      </c>
      <c r="D5143" s="1736"/>
      <c r="E5143" s="1043">
        <v>245.29</v>
      </c>
      <c r="F5143" s="1043"/>
      <c r="G5143" s="1550"/>
    </row>
    <row r="5144" spans="1:7" ht="12.75" customHeight="1">
      <c r="A5144" s="1754">
        <v>44044</v>
      </c>
      <c r="B5144" s="125" t="str">
        <f>TiposLancamentos!B15</f>
        <v>Cartões de Crédito</v>
      </c>
      <c r="C5144" s="1040" t="s">
        <v>7392</v>
      </c>
      <c r="D5144" s="1736"/>
      <c r="E5144" s="1043">
        <v>84</v>
      </c>
      <c r="F5144" s="1043"/>
      <c r="G5144" s="1550"/>
    </row>
    <row r="5145" spans="1:7" ht="12.75" customHeight="1">
      <c r="A5145" s="1754">
        <v>44045</v>
      </c>
      <c r="B5145" s="125" t="str">
        <f>TiposLancamentos!B14</f>
        <v>Gás de cozinha</v>
      </c>
      <c r="C5145" s="1040" t="s">
        <v>7640</v>
      </c>
      <c r="D5145" s="1736"/>
      <c r="E5145" s="1043">
        <v>40.950000000000003</v>
      </c>
      <c r="F5145" s="1043"/>
      <c r="G5145" s="1550"/>
    </row>
    <row r="5146" spans="1:7" ht="12.75" customHeight="1">
      <c r="A5146" s="1666">
        <v>44044</v>
      </c>
      <c r="B5146" s="817" t="str">
        <f>TiposLancamentos!B16</f>
        <v>Cristiane</v>
      </c>
      <c r="C5146" s="1742" t="s">
        <v>7641</v>
      </c>
      <c r="D5146" s="1735"/>
      <c r="E5146" s="1733">
        <v>29.9</v>
      </c>
      <c r="F5146" s="1346"/>
      <c r="G5146" s="1550"/>
    </row>
    <row r="5147" spans="1:7" ht="12.75" customHeight="1">
      <c r="A5147" s="1750">
        <v>44044</v>
      </c>
      <c r="B5147" s="818" t="str">
        <f>TiposLancamentos!B57</f>
        <v>Informática</v>
      </c>
      <c r="C5147" s="1743" t="s">
        <v>7642</v>
      </c>
      <c r="D5147" s="1737"/>
      <c r="E5147" s="1668">
        <f>F5147-E5146</f>
        <v>36.199999999999996</v>
      </c>
      <c r="F5147" s="1291">
        <v>66.099999999999994</v>
      </c>
      <c r="G5147" s="1550"/>
    </row>
    <row r="5148" spans="1:7" ht="12.75" customHeight="1">
      <c r="A5148" s="1754">
        <v>44044</v>
      </c>
      <c r="B5148" s="125" t="str">
        <f>TiposLancamentos!B16</f>
        <v>Cristiane</v>
      </c>
      <c r="C5148" s="1040" t="s">
        <v>7643</v>
      </c>
      <c r="D5148" s="1736"/>
      <c r="E5148" s="1043">
        <v>39.99</v>
      </c>
      <c r="F5148" s="1043"/>
      <c r="G5148" s="1550"/>
    </row>
    <row r="5149" spans="1:7" ht="12.75" customHeight="1">
      <c r="A5149" s="1754">
        <v>44044</v>
      </c>
      <c r="B5149" s="125" t="str">
        <f>TiposLancamentos!B5</f>
        <v>Supermercado</v>
      </c>
      <c r="C5149" s="1040" t="s">
        <v>7644</v>
      </c>
      <c r="D5149" s="1736"/>
      <c r="E5149" s="1043">
        <v>21.18</v>
      </c>
      <c r="F5149" s="1043"/>
      <c r="G5149" s="1550"/>
    </row>
    <row r="5150" spans="1:7" ht="12.75" customHeight="1">
      <c r="A5150" s="1754">
        <v>44045</v>
      </c>
      <c r="B5150" s="125" t="str">
        <f>TiposLancamentos!B17</f>
        <v>GATO</v>
      </c>
      <c r="C5150" s="1040" t="s">
        <v>1925</v>
      </c>
      <c r="D5150" s="1736"/>
      <c r="E5150" s="1043">
        <v>16.5</v>
      </c>
      <c r="F5150" s="1043"/>
      <c r="G5150" s="1550"/>
    </row>
    <row r="5151" spans="1:7" ht="12.75" customHeight="1">
      <c r="A5151" s="1754">
        <v>44045</v>
      </c>
      <c r="B5151" s="125" t="str">
        <f>TiposLancamentos!B17</f>
        <v>GATO</v>
      </c>
      <c r="C5151" s="1040" t="s">
        <v>7645</v>
      </c>
      <c r="D5151" s="1736"/>
      <c r="E5151" s="1043">
        <v>9.98</v>
      </c>
      <c r="F5151" s="1043"/>
      <c r="G5151" s="1550"/>
    </row>
    <row r="5152" spans="1:7" ht="12.75" customHeight="1">
      <c r="A5152" s="1754">
        <v>44045</v>
      </c>
      <c r="B5152" s="125" t="str">
        <f>TiposLancamentos!B56</f>
        <v>Farmácia</v>
      </c>
      <c r="C5152" s="1040" t="s">
        <v>7646</v>
      </c>
      <c r="D5152" s="1736"/>
      <c r="E5152" s="1043">
        <v>109.38</v>
      </c>
      <c r="F5152" s="1043"/>
      <c r="G5152" s="1550"/>
    </row>
    <row r="5153" spans="1:7" ht="12.75" customHeight="1">
      <c r="A5153" s="1754">
        <v>44045</v>
      </c>
      <c r="B5153" s="125" t="str">
        <f>TiposLancamentos!B19</f>
        <v>Restaurantes</v>
      </c>
      <c r="C5153" s="1040" t="s">
        <v>7647</v>
      </c>
      <c r="D5153" s="1736"/>
      <c r="E5153" s="1043">
        <v>55</v>
      </c>
      <c r="F5153" s="1043"/>
      <c r="G5153" s="1550"/>
    </row>
    <row r="5154" spans="1:7" ht="12.75" customHeight="1">
      <c r="A5154" s="1754">
        <v>44048</v>
      </c>
      <c r="B5154" s="125" t="str">
        <f>TiposLancamentos!B4</f>
        <v>Taxas Bancarias</v>
      </c>
      <c r="C5154" s="1040" t="s">
        <v>7568</v>
      </c>
      <c r="D5154" s="1736"/>
      <c r="E5154" s="1043">
        <v>5</v>
      </c>
      <c r="F5154" s="1043"/>
      <c r="G5154" s="1550"/>
    </row>
    <row r="5155" spans="1:7" ht="12.75" customHeight="1">
      <c r="A5155" s="1754">
        <v>44048</v>
      </c>
      <c r="B5155" s="125" t="str">
        <f>TiposLancamentos!B103</f>
        <v>Juros_Corr. Poupança</v>
      </c>
      <c r="C5155" s="1040" t="s">
        <v>7341</v>
      </c>
      <c r="D5155" s="1736">
        <v>0.02</v>
      </c>
      <c r="E5155" s="1043"/>
      <c r="F5155" s="1043"/>
      <c r="G5155" s="1550"/>
    </row>
    <row r="5156" spans="1:7" ht="12.75" customHeight="1">
      <c r="A5156" s="1754">
        <v>44049</v>
      </c>
      <c r="B5156" s="125" t="str">
        <f>TiposLancamentos!B5</f>
        <v>Supermercado</v>
      </c>
      <c r="C5156" s="1040" t="s">
        <v>7552</v>
      </c>
      <c r="D5156" s="1736"/>
      <c r="E5156" s="1043">
        <v>146.4</v>
      </c>
      <c r="F5156" s="1043"/>
      <c r="G5156" s="1550"/>
    </row>
    <row r="5157" spans="1:7" ht="12.75" customHeight="1">
      <c r="A5157" s="1754">
        <v>44049</v>
      </c>
      <c r="B5157" s="125" t="str">
        <f>TiposLancamentos!B57</f>
        <v>Informática</v>
      </c>
      <c r="C5157" s="1040" t="s">
        <v>7648</v>
      </c>
      <c r="D5157" s="1736"/>
      <c r="E5157" s="1043">
        <v>49.9</v>
      </c>
      <c r="F5157" s="1043"/>
      <c r="G5157" s="1550"/>
    </row>
    <row r="5158" spans="1:7" ht="12.75" customHeight="1">
      <c r="A5158" s="1754">
        <v>44050</v>
      </c>
      <c r="B5158" s="125" t="str">
        <f>TiposLancamentos!B29</f>
        <v>Mangá</v>
      </c>
      <c r="C5158" s="1040" t="s">
        <v>7649</v>
      </c>
      <c r="D5158" s="1736"/>
      <c r="E5158" s="1043">
        <v>19.899999999999999</v>
      </c>
      <c r="F5158" s="1043"/>
      <c r="G5158" s="1550"/>
    </row>
    <row r="5159" spans="1:7" ht="12.75" customHeight="1">
      <c r="A5159" s="1754">
        <v>44050</v>
      </c>
      <c r="B5159" s="125" t="str">
        <f>TiposLancamentos!B19</f>
        <v>Restaurantes</v>
      </c>
      <c r="C5159" s="1040" t="s">
        <v>7650</v>
      </c>
      <c r="D5159" s="1736"/>
      <c r="E5159" s="1043">
        <v>55.67</v>
      </c>
      <c r="F5159" s="1043"/>
      <c r="G5159" s="1550"/>
    </row>
    <row r="5160" spans="1:7" ht="12.75" customHeight="1">
      <c r="A5160" s="1754">
        <v>44051</v>
      </c>
      <c r="B5160" s="125" t="str">
        <f>TiposLancamentos!B19</f>
        <v>Restaurantes</v>
      </c>
      <c r="C5160" s="1040" t="s">
        <v>3680</v>
      </c>
      <c r="D5160" s="1736"/>
      <c r="E5160" s="1043">
        <v>25</v>
      </c>
      <c r="F5160" s="1043"/>
      <c r="G5160" s="1550"/>
    </row>
    <row r="5161" spans="1:7" ht="12.75" customHeight="1">
      <c r="A5161" s="1754">
        <v>44051</v>
      </c>
      <c r="B5161" s="125" t="str">
        <f>TiposLancamentos!B5</f>
        <v>Supermercado</v>
      </c>
      <c r="C5161" s="1040" t="s">
        <v>7538</v>
      </c>
      <c r="D5161" s="1736"/>
      <c r="E5161" s="1043">
        <v>72.45</v>
      </c>
      <c r="F5161" s="1043"/>
      <c r="G5161" s="1550"/>
    </row>
    <row r="5162" spans="1:7" ht="12.75" customHeight="1">
      <c r="A5162" s="1754">
        <v>44052</v>
      </c>
      <c r="B5162" s="125" t="str">
        <f>TiposLancamentos!B57</f>
        <v>Informática</v>
      </c>
      <c r="C5162" s="1040" t="s">
        <v>7651</v>
      </c>
      <c r="D5162" s="1736"/>
      <c r="E5162" s="1043">
        <v>96.2</v>
      </c>
      <c r="F5162" s="1043"/>
      <c r="G5162" s="1550"/>
    </row>
    <row r="5163" spans="1:7" ht="12.75" customHeight="1">
      <c r="A5163" s="1754">
        <v>44052</v>
      </c>
      <c r="B5163" s="125" t="str">
        <f>TiposLancamentos!B57</f>
        <v>Informática</v>
      </c>
      <c r="C5163" s="1040" t="s">
        <v>7652</v>
      </c>
      <c r="D5163" s="1736"/>
      <c r="E5163" s="1043">
        <v>27.24</v>
      </c>
      <c r="F5163" s="1043"/>
      <c r="G5163" s="1550"/>
    </row>
    <row r="5164" spans="1:7" ht="12.75" customHeight="1">
      <c r="A5164" s="1754">
        <v>44053</v>
      </c>
      <c r="B5164" s="125" t="str">
        <f>TiposLancamentos!B5</f>
        <v>Supermercado</v>
      </c>
      <c r="C5164" s="1040" t="s">
        <v>7653</v>
      </c>
      <c r="D5164" s="1736"/>
      <c r="E5164" s="1043">
        <v>49.73</v>
      </c>
      <c r="F5164" s="1043"/>
      <c r="G5164" s="1550"/>
    </row>
    <row r="5165" spans="1:7" ht="12.75" customHeight="1">
      <c r="A5165" s="1754">
        <v>44053</v>
      </c>
      <c r="B5165" s="125" t="str">
        <f>TiposLancamentos!B103</f>
        <v>Juros_Corr. Poupança</v>
      </c>
      <c r="C5165" s="1040" t="s">
        <v>7341</v>
      </c>
      <c r="D5165" s="1736">
        <v>0.17</v>
      </c>
      <c r="E5165" s="1043"/>
      <c r="F5165" s="1043"/>
      <c r="G5165" s="1550"/>
    </row>
    <row r="5166" spans="1:7" ht="12.75" customHeight="1">
      <c r="A5166" s="1754">
        <v>44053</v>
      </c>
      <c r="B5166" s="125" t="str">
        <f>TiposLancamentos!B98</f>
        <v>Restituições</v>
      </c>
      <c r="C5166" s="1040" t="s">
        <v>7601</v>
      </c>
      <c r="D5166" s="1736">
        <v>1840</v>
      </c>
      <c r="E5166" s="1043"/>
      <c r="F5166" s="1043"/>
      <c r="G5166" s="1550"/>
    </row>
    <row r="5167" spans="1:7" ht="12.75" customHeight="1">
      <c r="A5167" s="1754">
        <v>44054</v>
      </c>
      <c r="B5167" s="125" t="str">
        <f>TiposLancamentos!B19</f>
        <v>Restaurantes</v>
      </c>
      <c r="C5167" s="1040" t="s">
        <v>7654</v>
      </c>
      <c r="D5167" s="1736"/>
      <c r="E5167" s="1043">
        <v>15</v>
      </c>
      <c r="F5167" s="1043"/>
      <c r="G5167" s="1550"/>
    </row>
    <row r="5168" spans="1:7" ht="12.75" customHeight="1">
      <c r="A5168" s="1754">
        <v>44057</v>
      </c>
      <c r="B5168" s="125" t="str">
        <f>TiposLancamentos!B19</f>
        <v>Restaurantes</v>
      </c>
      <c r="C5168" s="1040" t="s">
        <v>7655</v>
      </c>
      <c r="D5168" s="1736"/>
      <c r="E5168" s="1043">
        <v>29.33</v>
      </c>
      <c r="F5168" s="1043"/>
      <c r="G5168" s="1550"/>
    </row>
    <row r="5169" spans="1:7" ht="12.75" customHeight="1">
      <c r="A5169" s="1754">
        <v>44057</v>
      </c>
      <c r="B5169" s="125" t="str">
        <f>TiposLancamentos!B5</f>
        <v>Supermercado</v>
      </c>
      <c r="C5169" s="1040" t="s">
        <v>7656</v>
      </c>
      <c r="D5169" s="1736"/>
      <c r="E5169" s="1043">
        <v>303.82</v>
      </c>
      <c r="F5169" s="1043"/>
      <c r="G5169" s="1550"/>
    </row>
    <row r="5170" spans="1:7" ht="12.75" customHeight="1">
      <c r="A5170" s="1754">
        <v>44057</v>
      </c>
      <c r="B5170" s="125" t="str">
        <f>TiposLancamentos!B103</f>
        <v>Juros_Corr. Poupança</v>
      </c>
      <c r="C5170" s="1040" t="s">
        <v>7341</v>
      </c>
      <c r="D5170" s="1736">
        <v>0.03</v>
      </c>
      <c r="E5170" s="1043"/>
      <c r="F5170" s="1043"/>
      <c r="G5170" s="1550"/>
    </row>
    <row r="5171" spans="1:7" ht="12.75" customHeight="1">
      <c r="A5171" s="1754">
        <v>44058</v>
      </c>
      <c r="B5171" s="125" t="str">
        <f>TiposLancamentos!B19</f>
        <v>Restaurantes</v>
      </c>
      <c r="C5171" s="1040" t="s">
        <v>7657</v>
      </c>
      <c r="D5171" s="1736"/>
      <c r="E5171" s="1043">
        <v>24.5</v>
      </c>
      <c r="F5171" s="1043"/>
      <c r="G5171" s="1550"/>
    </row>
    <row r="5172" spans="1:7" ht="12.75" customHeight="1">
      <c r="A5172" s="1754">
        <v>44058</v>
      </c>
      <c r="B5172" s="125" t="str">
        <f>TiposLancamentos!B24</f>
        <v>Estacionamentos</v>
      </c>
      <c r="C5172" s="1040" t="s">
        <v>7658</v>
      </c>
      <c r="D5172" s="1736"/>
      <c r="E5172" s="1043">
        <v>11</v>
      </c>
      <c r="F5172" s="1043"/>
      <c r="G5172" s="1550"/>
    </row>
    <row r="5173" spans="1:7" ht="12.75" customHeight="1">
      <c r="A5173" s="1666">
        <v>44060</v>
      </c>
      <c r="B5173" s="817" t="str">
        <f>TiposLancamentos!B33</f>
        <v>Pedágios</v>
      </c>
      <c r="C5173" s="1742" t="s">
        <v>5392</v>
      </c>
      <c r="D5173" s="1735"/>
      <c r="E5173" s="1733">
        <f>F5175-(E5174+E5175)</f>
        <v>55.8</v>
      </c>
      <c r="F5173" s="1290"/>
      <c r="G5173" s="1550"/>
    </row>
    <row r="5174" spans="1:7" ht="12.75" customHeight="1">
      <c r="A5174" s="1667">
        <v>44060</v>
      </c>
      <c r="B5174" s="816" t="str">
        <f>TiposLancamentos!B24</f>
        <v>Estacionamentos</v>
      </c>
      <c r="C5174" s="1769" t="s">
        <v>7366</v>
      </c>
      <c r="D5174" s="1736"/>
      <c r="E5174" s="1734">
        <v>20</v>
      </c>
      <c r="F5174" s="1043"/>
      <c r="G5174" s="1550"/>
    </row>
    <row r="5175" spans="1:7" ht="12.75" customHeight="1">
      <c r="A5175" s="1750">
        <v>44060</v>
      </c>
      <c r="B5175" s="818" t="str">
        <f>TiposLancamentos!B24</f>
        <v>Estacionamentos</v>
      </c>
      <c r="C5175" s="1743" t="s">
        <v>6297</v>
      </c>
      <c r="D5175" s="1737"/>
      <c r="E5175" s="1668">
        <v>10</v>
      </c>
      <c r="F5175" s="1291">
        <v>85.8</v>
      </c>
      <c r="G5175" s="1550"/>
    </row>
    <row r="5176" spans="1:7" ht="12.75" customHeight="1">
      <c r="A5176" s="1754">
        <v>44060</v>
      </c>
      <c r="B5176" s="125" t="str">
        <f>TiposLancamentos!B103</f>
        <v>Juros_Corr. Poupança</v>
      </c>
      <c r="C5176" s="1040" t="s">
        <v>7341</v>
      </c>
      <c r="D5176" s="1736">
        <v>0.02</v>
      </c>
      <c r="E5176" s="1043"/>
      <c r="F5176" s="1043"/>
      <c r="G5176" s="1550"/>
    </row>
    <row r="5177" spans="1:7" ht="12.75" customHeight="1">
      <c r="A5177" s="1666">
        <v>44060</v>
      </c>
      <c r="B5177" s="817" t="str">
        <f>TiposLancamentos!B35</f>
        <v>Tv à Cabo</v>
      </c>
      <c r="C5177" s="1742" t="s">
        <v>5834</v>
      </c>
      <c r="D5177" s="1735"/>
      <c r="E5177" s="1733">
        <f>F5179/2</f>
        <v>85</v>
      </c>
      <c r="F5177" s="1290"/>
      <c r="G5177" s="1550"/>
    </row>
    <row r="5178" spans="1:7" ht="12.75" customHeight="1">
      <c r="A5178" s="1667">
        <v>44060</v>
      </c>
      <c r="B5178" s="816" t="str">
        <f>TiposLancamentos!B3</f>
        <v>Internet</v>
      </c>
      <c r="C5178" s="1769" t="s">
        <v>5835</v>
      </c>
      <c r="D5178" s="1736"/>
      <c r="E5178" s="1734">
        <f>F5179/2</f>
        <v>85</v>
      </c>
      <c r="F5178" s="1043"/>
      <c r="G5178" s="1550"/>
    </row>
    <row r="5179" spans="1:7" ht="12.75" customHeight="1">
      <c r="A5179" s="1750">
        <v>44060</v>
      </c>
      <c r="B5179" s="818" t="str">
        <f>TiposLancamentos!B2</f>
        <v>Telefonia</v>
      </c>
      <c r="C5179" s="1743" t="s">
        <v>7210</v>
      </c>
      <c r="D5179" s="1737"/>
      <c r="E5179" s="1668">
        <v>0</v>
      </c>
      <c r="F5179" s="1291">
        <v>170</v>
      </c>
      <c r="G5179" s="1550"/>
    </row>
    <row r="5180" spans="1:7" ht="12.75" customHeight="1">
      <c r="A5180" s="1754">
        <v>44060</v>
      </c>
      <c r="B5180" s="125" t="str">
        <f>TiposLancamentos!B16</f>
        <v>Cristiane</v>
      </c>
      <c r="C5180" s="1770" t="s">
        <v>7367</v>
      </c>
      <c r="D5180" s="1736"/>
      <c r="E5180" s="1043">
        <v>120</v>
      </c>
      <c r="F5180" s="1043">
        <v>120</v>
      </c>
      <c r="G5180" s="1550"/>
    </row>
    <row r="5181" spans="1:7" ht="12.75" customHeight="1">
      <c r="A5181" s="1754">
        <v>44060</v>
      </c>
      <c r="B5181" s="125" t="str">
        <f>TiposLancamentos!B2</f>
        <v>Telefonia</v>
      </c>
      <c r="C5181" s="1770" t="s">
        <v>7368</v>
      </c>
      <c r="D5181" s="1736"/>
      <c r="E5181" s="1043">
        <v>73.989999999999995</v>
      </c>
      <c r="F5181" s="1043">
        <v>73.989999999999995</v>
      </c>
      <c r="G5181" s="1550"/>
    </row>
    <row r="5182" spans="1:7" ht="12.75" customHeight="1">
      <c r="A5182" s="1754">
        <v>44061</v>
      </c>
      <c r="B5182" s="125" t="str">
        <f>TiposLancamentos!B46</f>
        <v>Maçonaria</v>
      </c>
      <c r="C5182" s="1040" t="s">
        <v>7659</v>
      </c>
      <c r="D5182" s="1736"/>
      <c r="E5182" s="1043">
        <v>180</v>
      </c>
      <c r="F5182" s="1043"/>
      <c r="G5182" s="1550"/>
    </row>
    <row r="5183" spans="1:7" ht="12.75" customHeight="1">
      <c r="A5183" s="1754">
        <v>44061</v>
      </c>
      <c r="B5183" s="125" t="str">
        <f>TiposLancamentos!B22</f>
        <v>Combustivel</v>
      </c>
      <c r="C5183" s="1040" t="s">
        <v>7660</v>
      </c>
      <c r="D5183" s="1736"/>
      <c r="E5183" s="1043">
        <v>100</v>
      </c>
      <c r="F5183" s="1043"/>
      <c r="G5183" s="1550"/>
    </row>
    <row r="5184" spans="1:7" ht="12.75" customHeight="1">
      <c r="A5184" s="1754">
        <v>44061</v>
      </c>
      <c r="B5184" s="125" t="str">
        <f>TiposLancamentos!B56</f>
        <v>Farmácia</v>
      </c>
      <c r="C5184" s="1040" t="s">
        <v>7661</v>
      </c>
      <c r="D5184" s="1736"/>
      <c r="E5184" s="1043">
        <v>151.30000000000001</v>
      </c>
      <c r="F5184" s="1043"/>
      <c r="G5184" s="1550"/>
    </row>
    <row r="5185" spans="1:7" ht="12.75" customHeight="1">
      <c r="A5185" s="1754">
        <v>44061</v>
      </c>
      <c r="B5185" s="125" t="str">
        <f>TiposLancamentos!B19</f>
        <v>Restaurantes</v>
      </c>
      <c r="C5185" s="1040" t="s">
        <v>7662</v>
      </c>
      <c r="D5185" s="1736"/>
      <c r="E5185" s="1043">
        <v>35.200000000000003</v>
      </c>
      <c r="F5185" s="1043"/>
      <c r="G5185" s="1550"/>
    </row>
    <row r="5186" spans="1:7" ht="12.75" customHeight="1">
      <c r="A5186" s="1754">
        <v>44062</v>
      </c>
      <c r="B5186" s="125" t="str">
        <f>TiposLancamentos!B19</f>
        <v>Restaurantes</v>
      </c>
      <c r="C5186" s="1040" t="s">
        <v>7663</v>
      </c>
      <c r="D5186" s="1736"/>
      <c r="E5186" s="1043">
        <v>18</v>
      </c>
      <c r="F5186" s="1043"/>
      <c r="G5186" s="1550"/>
    </row>
    <row r="5187" spans="1:7" ht="12.75" customHeight="1">
      <c r="A5187" s="1754">
        <v>44062</v>
      </c>
      <c r="B5187" s="125" t="str">
        <f>TiposLancamentos!B5</f>
        <v>Supermercado</v>
      </c>
      <c r="C5187" s="1040" t="s">
        <v>6981</v>
      </c>
      <c r="D5187" s="1736"/>
      <c r="E5187" s="1043">
        <v>24.08</v>
      </c>
      <c r="F5187" s="1043"/>
      <c r="G5187" s="1550"/>
    </row>
    <row r="5188" spans="1:7" ht="12.75" customHeight="1">
      <c r="A5188" s="1666">
        <v>44063</v>
      </c>
      <c r="B5188" s="817" t="str">
        <f>TiposLancamentos!B8</f>
        <v>Aluguel</v>
      </c>
      <c r="C5188" s="1742" t="s">
        <v>7664</v>
      </c>
      <c r="D5188" s="1735"/>
      <c r="E5188" s="1846">
        <f>F5193-SUM(E5189:E5193)</f>
        <v>1399.9999999999998</v>
      </c>
      <c r="F5188" s="1346"/>
      <c r="G5188" s="1550"/>
    </row>
    <row r="5189" spans="1:7" ht="12.75" customHeight="1">
      <c r="A5189" s="1667">
        <v>44063</v>
      </c>
      <c r="B5189" s="816" t="str">
        <f>TiposLancamentos!B9</f>
        <v>Condominio</v>
      </c>
      <c r="C5189" s="1769" t="s">
        <v>7427</v>
      </c>
      <c r="D5189" s="1736"/>
      <c r="E5189" s="1734">
        <v>616.37</v>
      </c>
      <c r="F5189" s="1043"/>
      <c r="G5189" s="1550"/>
    </row>
    <row r="5190" spans="1:7" ht="12.75" customHeight="1">
      <c r="A5190" s="1667">
        <v>44063</v>
      </c>
      <c r="B5190" s="816" t="str">
        <f>TiposLancamentos!B10</f>
        <v>Distr. Água Municipal</v>
      </c>
      <c r="C5190" s="1769" t="s">
        <v>7423</v>
      </c>
      <c r="D5190" s="1736"/>
      <c r="E5190" s="1734">
        <v>48.57</v>
      </c>
      <c r="F5190" s="1043"/>
      <c r="G5190" s="1550"/>
    </row>
    <row r="5191" spans="1:7" ht="12.75" customHeight="1">
      <c r="A5191" s="1667">
        <v>44063</v>
      </c>
      <c r="B5191" s="816" t="str">
        <f>TiposLancamentos!B11</f>
        <v>Coleta Municipal Lixo</v>
      </c>
      <c r="C5191" s="1769" t="s">
        <v>7424</v>
      </c>
      <c r="D5191" s="1736"/>
      <c r="E5191" s="1734">
        <v>45.03</v>
      </c>
      <c r="F5191" s="1043"/>
      <c r="G5191" s="1550"/>
    </row>
    <row r="5192" spans="1:7" ht="12.75" customHeight="1">
      <c r="A5192" s="1667">
        <v>44063</v>
      </c>
      <c r="B5192" s="816" t="str">
        <f>TiposLancamentos!B8</f>
        <v>Aluguel</v>
      </c>
      <c r="C5192" s="1769" t="s">
        <v>7425</v>
      </c>
      <c r="D5192" s="1736"/>
      <c r="E5192" s="1734">
        <v>8</v>
      </c>
      <c r="F5192" s="1043"/>
      <c r="G5192" s="1550"/>
    </row>
    <row r="5193" spans="1:7" ht="12.75" customHeight="1">
      <c r="A5193" s="1750">
        <v>44063</v>
      </c>
      <c r="B5193" s="818" t="str">
        <f>TiposLancamentos!B12</f>
        <v>IPTU</v>
      </c>
      <c r="C5193" s="1743" t="s">
        <v>7665</v>
      </c>
      <c r="D5193" s="1737"/>
      <c r="E5193" s="1668">
        <v>40.520000000000003</v>
      </c>
      <c r="F5193" s="1291">
        <v>2158.4899999999998</v>
      </c>
      <c r="G5193" s="1550"/>
    </row>
    <row r="5194" spans="1:7" ht="12.75" customHeight="1">
      <c r="A5194" s="1754">
        <v>44064</v>
      </c>
      <c r="B5194" s="125" t="str">
        <f>TiposLancamentos!B6</f>
        <v>Energia Eletrica</v>
      </c>
      <c r="C5194" s="1040" t="s">
        <v>7666</v>
      </c>
      <c r="D5194" s="1736"/>
      <c r="E5194" s="1043">
        <v>268.11</v>
      </c>
      <c r="F5194" s="1043"/>
      <c r="G5194" s="1550"/>
    </row>
    <row r="5195" spans="1:7" ht="12.75" customHeight="1">
      <c r="A5195" s="1754">
        <v>44064</v>
      </c>
      <c r="B5195" s="125" t="str">
        <f>TiposLancamentos!B5</f>
        <v>Supermercado</v>
      </c>
      <c r="C5195" s="1040" t="s">
        <v>7667</v>
      </c>
      <c r="D5195" s="1736"/>
      <c r="E5195" s="1043">
        <v>238.55</v>
      </c>
      <c r="F5195" s="1043"/>
      <c r="G5195" s="1550"/>
    </row>
    <row r="5196" spans="1:7" ht="12.75" customHeight="1">
      <c r="A5196" s="1754">
        <v>44065</v>
      </c>
      <c r="B5196" s="125" t="str">
        <f>TiposLancamentos!B19</f>
        <v>Restaurantes</v>
      </c>
      <c r="C5196" s="1040" t="s">
        <v>7668</v>
      </c>
      <c r="D5196" s="1736"/>
      <c r="E5196" s="1043">
        <v>150.15</v>
      </c>
      <c r="F5196" s="1043"/>
      <c r="G5196" s="1550"/>
    </row>
    <row r="5197" spans="1:7" ht="12.75" customHeight="1">
      <c r="A5197" s="1754">
        <v>44065</v>
      </c>
      <c r="B5197" s="125" t="str">
        <f>TiposLancamentos!B57</f>
        <v>Informática</v>
      </c>
      <c r="C5197" s="1040" t="s">
        <v>7669</v>
      </c>
      <c r="D5197" s="1736"/>
      <c r="E5197" s="1043">
        <v>6.99</v>
      </c>
      <c r="F5197" s="1043"/>
      <c r="G5197" s="1550"/>
    </row>
    <row r="5198" spans="1:7" ht="12.75" customHeight="1">
      <c r="A5198" s="1754">
        <v>44068</v>
      </c>
      <c r="B5198" s="125" t="str">
        <f>TiposLancamentos!B24</f>
        <v>Estacionamentos</v>
      </c>
      <c r="C5198" s="1040" t="s">
        <v>2014</v>
      </c>
      <c r="D5198" s="1736"/>
      <c r="E5198" s="1043">
        <v>8</v>
      </c>
      <c r="F5198" s="1043"/>
      <c r="G5198" s="1550"/>
    </row>
    <row r="5199" spans="1:7" ht="12.75" customHeight="1">
      <c r="A5199" s="1754">
        <v>44068</v>
      </c>
      <c r="B5199" s="125" t="str">
        <f>TiposLancamentos!B19</f>
        <v>Restaurantes</v>
      </c>
      <c r="C5199" s="1040" t="s">
        <v>7670</v>
      </c>
      <c r="D5199" s="1736"/>
      <c r="E5199" s="1043">
        <v>119.69</v>
      </c>
      <c r="F5199" s="1043"/>
      <c r="G5199" s="1550"/>
    </row>
    <row r="5200" spans="1:7" ht="12.75" customHeight="1">
      <c r="A5200" s="1754">
        <v>44068</v>
      </c>
      <c r="B5200" s="125" t="str">
        <f>TiposLancamentos!B57</f>
        <v>Informática</v>
      </c>
      <c r="C5200" s="1040" t="s">
        <v>7671</v>
      </c>
      <c r="D5200" s="1736"/>
      <c r="E5200" s="1043">
        <v>15.99</v>
      </c>
      <c r="F5200" s="1043"/>
      <c r="G5200" s="1550"/>
    </row>
    <row r="5201" spans="1:7" ht="12.75" customHeight="1">
      <c r="A5201" s="1754">
        <v>44068</v>
      </c>
      <c r="B5201" s="125" t="str">
        <f>TiposLancamentos!B5</f>
        <v>Supermercado</v>
      </c>
      <c r="C5201" s="1040" t="s">
        <v>7672</v>
      </c>
      <c r="D5201" s="1736"/>
      <c r="E5201" s="1043">
        <v>15.78</v>
      </c>
      <c r="F5201" s="1043"/>
      <c r="G5201" s="1550"/>
    </row>
    <row r="5202" spans="1:7" ht="12.75" customHeight="1">
      <c r="A5202" s="1754">
        <v>44068</v>
      </c>
      <c r="B5202" s="125" t="str">
        <f>TiposLancamentos!B19</f>
        <v>Restaurantes</v>
      </c>
      <c r="C5202" s="1040" t="s">
        <v>7673</v>
      </c>
      <c r="D5202" s="1736"/>
      <c r="E5202" s="1043">
        <v>92.67</v>
      </c>
      <c r="F5202" s="1043"/>
      <c r="G5202" s="1550"/>
    </row>
    <row r="5203" spans="1:7" ht="12.75" customHeight="1">
      <c r="A5203" s="1754">
        <v>44069</v>
      </c>
      <c r="B5203" s="125" t="str">
        <f>TiposLancamentos!B16</f>
        <v>Cristiane</v>
      </c>
      <c r="C5203" s="1040" t="s">
        <v>6052</v>
      </c>
      <c r="D5203" s="1736"/>
      <c r="E5203" s="1043">
        <v>52.95</v>
      </c>
      <c r="F5203" s="1043"/>
      <c r="G5203" s="1550"/>
    </row>
    <row r="5204" spans="1:7" ht="12.75" customHeight="1">
      <c r="A5204" s="1754">
        <v>44070</v>
      </c>
      <c r="B5204" s="125" t="str">
        <f>TiposLancamentos!B22</f>
        <v>Combustivel</v>
      </c>
      <c r="C5204" s="1040" t="s">
        <v>7674</v>
      </c>
      <c r="D5204" s="1736"/>
      <c r="E5204" s="1043">
        <v>50</v>
      </c>
      <c r="F5204" s="1043"/>
      <c r="G5204" s="1550"/>
    </row>
    <row r="5205" spans="1:7" ht="12.75" customHeight="1">
      <c r="A5205" s="1754">
        <v>44070</v>
      </c>
      <c r="B5205" s="125" t="str">
        <f>TiposLancamentos!B19</f>
        <v>Restaurantes</v>
      </c>
      <c r="C5205" s="1040" t="s">
        <v>7662</v>
      </c>
      <c r="D5205" s="1736"/>
      <c r="E5205" s="1043">
        <v>33.799999999999997</v>
      </c>
      <c r="F5205" s="1043"/>
      <c r="G5205" s="1550"/>
    </row>
    <row r="5206" spans="1:7" ht="12.75" customHeight="1">
      <c r="A5206" s="1754">
        <v>44071</v>
      </c>
      <c r="B5206" s="125" t="str">
        <f>TiposLancamentos!B5</f>
        <v>Supermercado</v>
      </c>
      <c r="C5206" s="1040" t="s">
        <v>7388</v>
      </c>
      <c r="D5206" s="1736"/>
      <c r="E5206" s="1043">
        <v>158.74</v>
      </c>
      <c r="F5206" s="1043"/>
      <c r="G5206" s="1550"/>
    </row>
    <row r="5207" spans="1:7" ht="12.75" customHeight="1">
      <c r="A5207" s="1754">
        <v>44072</v>
      </c>
      <c r="B5207" s="125" t="str">
        <f>TiposLancamentos!B19</f>
        <v>Restaurantes</v>
      </c>
      <c r="C5207" s="1040" t="s">
        <v>7675</v>
      </c>
      <c r="D5207" s="1736"/>
      <c r="E5207" s="1043">
        <v>65.52</v>
      </c>
      <c r="F5207" s="1043"/>
      <c r="G5207" s="1550"/>
    </row>
    <row r="5208" spans="1:7" ht="12.75" customHeight="1">
      <c r="A5208" s="1754">
        <v>44074</v>
      </c>
      <c r="B5208" s="125" t="str">
        <f>B5166</f>
        <v>Restituições</v>
      </c>
      <c r="C5208" s="1040" t="s">
        <v>7676</v>
      </c>
      <c r="D5208" s="1736">
        <v>2938</v>
      </c>
      <c r="E5208" s="1043"/>
      <c r="F5208" s="1043"/>
      <c r="G5208" s="1550"/>
    </row>
    <row r="5209" spans="1:7" ht="12.75" customHeight="1" thickBot="1">
      <c r="A5209" s="1754">
        <v>44074</v>
      </c>
      <c r="B5209" s="125" t="str">
        <f>B5166</f>
        <v>Restituições</v>
      </c>
      <c r="C5209" s="1040" t="s">
        <v>7601</v>
      </c>
      <c r="D5209" s="1736">
        <v>1810</v>
      </c>
      <c r="E5209" s="1043"/>
      <c r="F5209" s="1043"/>
      <c r="G5209" s="1550"/>
    </row>
    <row r="5210" spans="1:7" ht="12.75" customHeight="1">
      <c r="A5210" s="1834"/>
      <c r="B5210" s="977"/>
      <c r="C5210" s="1854" t="s">
        <v>7677</v>
      </c>
      <c r="D5210" s="1823"/>
      <c r="E5210" s="1821"/>
      <c r="F5210" s="1821"/>
      <c r="G5210" s="1895"/>
    </row>
    <row r="5211" spans="1:7" ht="12.75" customHeight="1">
      <c r="A5211" s="1754">
        <v>44075</v>
      </c>
      <c r="B5211" s="125" t="str">
        <f>TiposLancamentos!B15</f>
        <v>Cartões de Crédito</v>
      </c>
      <c r="C5211" s="1040" t="s">
        <v>7393</v>
      </c>
      <c r="D5211" s="1736"/>
      <c r="E5211" s="1043">
        <v>1609.54</v>
      </c>
      <c r="F5211" s="1043"/>
      <c r="G5211" s="1550"/>
    </row>
    <row r="5212" spans="1:7" ht="12.75" customHeight="1">
      <c r="A5212" s="1754">
        <v>44075</v>
      </c>
      <c r="B5212" s="125" t="str">
        <f>TiposLancamentos!B15</f>
        <v>Cartões de Crédito</v>
      </c>
      <c r="C5212" s="1040" t="s">
        <v>7333</v>
      </c>
      <c r="D5212" s="1736"/>
      <c r="E5212" s="1043">
        <v>0</v>
      </c>
      <c r="F5212" s="1043"/>
      <c r="G5212" s="1550"/>
    </row>
    <row r="5213" spans="1:7" ht="12.75" customHeight="1">
      <c r="A5213" s="1754">
        <v>44075</v>
      </c>
      <c r="B5213" s="125" t="str">
        <f>TiposLancamentos!B15</f>
        <v>Cartões de Crédito</v>
      </c>
      <c r="C5213" s="1040" t="s">
        <v>7392</v>
      </c>
      <c r="D5213" s="1736"/>
      <c r="E5213" s="1043">
        <v>84</v>
      </c>
      <c r="F5213" s="1043"/>
      <c r="G5213" s="1550"/>
    </row>
    <row r="5214" spans="1:7" ht="12.75" customHeight="1">
      <c r="A5214" s="1754">
        <v>44075</v>
      </c>
      <c r="B5214" s="125" t="str">
        <f>TiposLancamentos!B15</f>
        <v>Cartões de Crédito</v>
      </c>
      <c r="C5214" s="1040" t="s">
        <v>5700</v>
      </c>
      <c r="D5214" s="1736"/>
      <c r="E5214" s="1043">
        <v>45.8</v>
      </c>
      <c r="F5214" s="1043"/>
      <c r="G5214" s="1550"/>
    </row>
    <row r="5215" spans="1:7" ht="12.75" customHeight="1">
      <c r="A5215" s="1754">
        <v>44075</v>
      </c>
      <c r="B5215" s="125" t="str">
        <f>TiposLancamentos!B14</f>
        <v>Gás de cozinha</v>
      </c>
      <c r="C5215" s="1040" t="s">
        <v>7678</v>
      </c>
      <c r="D5215" s="1736"/>
      <c r="E5215" s="1043">
        <v>40.98</v>
      </c>
      <c r="F5215" s="1043"/>
      <c r="G5215" s="1550"/>
    </row>
    <row r="5216" spans="1:7" ht="12.75" customHeight="1">
      <c r="A5216" s="1754">
        <v>44075</v>
      </c>
      <c r="B5216" s="125" t="str">
        <f>TiposLancamentos!B5</f>
        <v>Supermercado</v>
      </c>
      <c r="C5216" s="1040" t="s">
        <v>7679</v>
      </c>
      <c r="D5216" s="1736"/>
      <c r="E5216" s="1043">
        <v>134.58000000000001</v>
      </c>
      <c r="F5216" s="1043"/>
      <c r="G5216" s="1550"/>
    </row>
    <row r="5217" spans="1:7" ht="12.75" customHeight="1">
      <c r="A5217" s="1754">
        <v>44076</v>
      </c>
      <c r="B5217" s="125" t="str">
        <f>TiposLancamentos!B17</f>
        <v>GATO</v>
      </c>
      <c r="C5217" s="1040" t="s">
        <v>7680</v>
      </c>
      <c r="D5217" s="1736"/>
      <c r="E5217" s="1043">
        <v>40.200000000000003</v>
      </c>
      <c r="F5217" s="1043"/>
      <c r="G5217" s="1550"/>
    </row>
    <row r="5218" spans="1:7" ht="12.75" customHeight="1">
      <c r="A5218" s="1754">
        <v>44076</v>
      </c>
      <c r="B5218" s="125" t="str">
        <f>TiposLancamentos!B4</f>
        <v>Taxas Bancarias</v>
      </c>
      <c r="C5218" s="1040" t="s">
        <v>7681</v>
      </c>
      <c r="D5218" s="1736"/>
      <c r="E5218" s="1043">
        <v>5</v>
      </c>
      <c r="F5218" s="1043"/>
      <c r="G5218" s="1550"/>
    </row>
    <row r="5219" spans="1:7" ht="12.75" customHeight="1">
      <c r="A5219" s="1754">
        <v>44076</v>
      </c>
      <c r="B5219" s="125" t="str">
        <f>TiposLancamentos!B4</f>
        <v>Taxas Bancarias</v>
      </c>
      <c r="C5219" s="1040" t="s">
        <v>7682</v>
      </c>
      <c r="D5219" s="1736"/>
      <c r="E5219" s="1043">
        <v>45</v>
      </c>
      <c r="F5219" s="1043"/>
      <c r="G5219" s="1550"/>
    </row>
    <row r="5220" spans="1:7" ht="12.75" customHeight="1">
      <c r="A5220" s="1754">
        <v>44078</v>
      </c>
      <c r="B5220" s="125" t="str">
        <f>TiposLancamentos!B16</f>
        <v>Cristiane</v>
      </c>
      <c r="C5220" s="1040" t="s">
        <v>7683</v>
      </c>
      <c r="D5220" s="1736"/>
      <c r="E5220" s="1043">
        <v>89.99</v>
      </c>
      <c r="F5220" s="1043"/>
      <c r="G5220" s="1550"/>
    </row>
    <row r="5221" spans="1:7" ht="12.75" customHeight="1">
      <c r="A5221" s="1754">
        <v>44078</v>
      </c>
      <c r="B5221" s="125" t="str">
        <f>TiposLancamentos!B56</f>
        <v>Farmácia</v>
      </c>
      <c r="C5221" s="1040" t="s">
        <v>7684</v>
      </c>
      <c r="D5221" s="1736"/>
      <c r="E5221" s="1043">
        <v>61.06</v>
      </c>
      <c r="F5221" s="1043"/>
      <c r="G5221" s="1550"/>
    </row>
    <row r="5222" spans="1:7" ht="12.75" customHeight="1">
      <c r="A5222" s="1754">
        <v>44078</v>
      </c>
      <c r="B5222" s="125" t="str">
        <f>TiposLancamentos!B19</f>
        <v>Restaurantes</v>
      </c>
      <c r="C5222" s="1040" t="s">
        <v>3553</v>
      </c>
      <c r="D5222" s="1736"/>
      <c r="E5222" s="1043">
        <v>28</v>
      </c>
      <c r="F5222" s="1043"/>
      <c r="G5222" s="1550"/>
    </row>
    <row r="5223" spans="1:7" ht="12.75" customHeight="1">
      <c r="A5223" s="1754">
        <v>44078</v>
      </c>
      <c r="B5223" s="125" t="str">
        <f>TiposLancamentos!B24</f>
        <v>Estacionamentos</v>
      </c>
      <c r="C5223" s="1040" t="s">
        <v>2014</v>
      </c>
      <c r="D5223" s="1736"/>
      <c r="E5223" s="1043">
        <v>11</v>
      </c>
      <c r="F5223" s="1043"/>
      <c r="G5223" s="1550"/>
    </row>
    <row r="5224" spans="1:7" ht="12.75" customHeight="1">
      <c r="A5224" s="1754">
        <v>44079</v>
      </c>
      <c r="B5224" s="125" t="str">
        <f>TiposLancamentos!B16</f>
        <v>Cristiane</v>
      </c>
      <c r="C5224" s="1040" t="s">
        <v>7685</v>
      </c>
      <c r="D5224" s="1736"/>
      <c r="E5224" s="1043">
        <v>159</v>
      </c>
      <c r="F5224" s="1043"/>
      <c r="G5224" s="1550"/>
    </row>
    <row r="5225" spans="1:7" ht="12.75" customHeight="1">
      <c r="A5225" s="1754">
        <v>44079</v>
      </c>
      <c r="B5225" s="125" t="str">
        <f>TiposLancamentos!B5</f>
        <v>Supermercado</v>
      </c>
      <c r="C5225" s="1040" t="s">
        <v>6981</v>
      </c>
      <c r="D5225" s="1736"/>
      <c r="E5225" s="1043">
        <v>32.25</v>
      </c>
      <c r="F5225" s="1043"/>
      <c r="G5225" s="1550"/>
    </row>
    <row r="5226" spans="1:7" ht="12.75" customHeight="1">
      <c r="A5226" s="1754">
        <v>44081</v>
      </c>
      <c r="B5226" s="125" t="str">
        <f>TiposLancamentos!B5</f>
        <v>Supermercado</v>
      </c>
      <c r="C5226" s="1040" t="s">
        <v>7686</v>
      </c>
      <c r="D5226" s="1736"/>
      <c r="E5226" s="1043">
        <v>273.07</v>
      </c>
      <c r="F5226" s="1043"/>
      <c r="G5226" s="1550"/>
    </row>
    <row r="5227" spans="1:7" ht="12.75" customHeight="1">
      <c r="A5227" s="1754">
        <v>44082</v>
      </c>
      <c r="B5227" s="125" t="str">
        <f>TiposLancamentos!B4</f>
        <v>Taxas Bancarias</v>
      </c>
      <c r="C5227" s="1040" t="s">
        <v>7687</v>
      </c>
      <c r="D5227" s="1736"/>
      <c r="E5227" s="1043">
        <v>35.799999999999997</v>
      </c>
      <c r="F5227" s="1043"/>
      <c r="G5227" s="1550"/>
    </row>
    <row r="5228" spans="1:7" ht="12.75" customHeight="1">
      <c r="A5228" s="1754">
        <v>44083</v>
      </c>
      <c r="B5228" s="125" t="str">
        <f>TiposLancamentos!B4</f>
        <v>Taxas Bancarias</v>
      </c>
      <c r="C5228" s="1040" t="s">
        <v>7687</v>
      </c>
      <c r="D5228" s="1736"/>
      <c r="E5228" s="1043">
        <v>2.31</v>
      </c>
      <c r="F5228" s="1043"/>
      <c r="G5228" s="1550"/>
    </row>
    <row r="5229" spans="1:7" ht="12.75" customHeight="1">
      <c r="A5229" s="1754">
        <v>44083</v>
      </c>
      <c r="B5229" s="125" t="str">
        <f>TiposLancamentos!B13</f>
        <v>Moradia</v>
      </c>
      <c r="C5229" s="1040" t="s">
        <v>7688</v>
      </c>
      <c r="D5229" s="1736"/>
      <c r="E5229" s="1043">
        <v>39.99</v>
      </c>
      <c r="F5229" s="1043"/>
      <c r="G5229" s="1550"/>
    </row>
    <row r="5230" spans="1:7" ht="12.75" customHeight="1">
      <c r="A5230" s="1754">
        <v>44083</v>
      </c>
      <c r="B5230" s="125" t="str">
        <f>TiposLancamentos!B5</f>
        <v>Supermercado</v>
      </c>
      <c r="C5230" s="1040" t="s">
        <v>7068</v>
      </c>
      <c r="D5230" s="1736"/>
      <c r="E5230" s="1043">
        <v>23.21</v>
      </c>
      <c r="F5230" s="1043"/>
      <c r="G5230" s="1550"/>
    </row>
    <row r="5231" spans="1:7" ht="12.75" customHeight="1">
      <c r="A5231" s="1754">
        <v>44084</v>
      </c>
      <c r="B5231" s="125" t="str">
        <f>TiposLancamentos!B20</f>
        <v>Saques</v>
      </c>
      <c r="C5231" s="1040" t="s">
        <v>7689</v>
      </c>
      <c r="D5231" s="1736"/>
      <c r="E5231" s="1043">
        <v>40</v>
      </c>
      <c r="F5231" s="1043"/>
      <c r="G5231" s="1550"/>
    </row>
    <row r="5232" spans="1:7" ht="12.75" customHeight="1">
      <c r="A5232" s="1754">
        <v>44084</v>
      </c>
      <c r="B5232" s="125" t="str">
        <f>TiposLancamentos!B5</f>
        <v>Supermercado</v>
      </c>
      <c r="C5232" s="1040" t="s">
        <v>7690</v>
      </c>
      <c r="D5232" s="1736"/>
      <c r="E5232" s="1043">
        <v>28.48</v>
      </c>
      <c r="F5232" s="1043"/>
      <c r="G5232" s="1550"/>
    </row>
    <row r="5233" spans="1:7" ht="12.75" customHeight="1">
      <c r="A5233" s="1754">
        <v>44086</v>
      </c>
      <c r="B5233" s="125" t="str">
        <f>TiposLancamentos!B19</f>
        <v>Restaurantes</v>
      </c>
      <c r="C5233" s="1040" t="s">
        <v>7691</v>
      </c>
      <c r="D5233" s="1736"/>
      <c r="E5233" s="1043">
        <v>34</v>
      </c>
      <c r="F5233" s="1043"/>
      <c r="G5233" s="1550"/>
    </row>
    <row r="5234" spans="1:7" ht="12.75" customHeight="1">
      <c r="A5234" s="1754">
        <v>44086</v>
      </c>
      <c r="B5234" s="125" t="str">
        <f>TiposLancamentos!B24</f>
        <v>Estacionamentos</v>
      </c>
      <c r="C5234" s="1040" t="s">
        <v>7490</v>
      </c>
      <c r="D5234" s="1736"/>
      <c r="E5234" s="1043">
        <v>11</v>
      </c>
      <c r="F5234" s="1043"/>
      <c r="G5234" s="1550"/>
    </row>
    <row r="5235" spans="1:7" ht="12.75" customHeight="1">
      <c r="A5235" s="1754">
        <v>44086</v>
      </c>
      <c r="B5235" s="125" t="str">
        <f>TiposLancamentos!B5</f>
        <v>Supermercado</v>
      </c>
      <c r="C5235" s="1040" t="s">
        <v>7692</v>
      </c>
      <c r="D5235" s="1736"/>
      <c r="E5235" s="1043">
        <v>151.96</v>
      </c>
      <c r="F5235" s="1043"/>
      <c r="G5235" s="1550"/>
    </row>
    <row r="5236" spans="1:7" ht="12.75" customHeight="1">
      <c r="A5236" s="1754">
        <v>44088</v>
      </c>
      <c r="B5236" s="125" t="str">
        <f>TiposLancamentos!B17</f>
        <v>GATO</v>
      </c>
      <c r="C5236" s="1040" t="s">
        <v>7693</v>
      </c>
      <c r="D5236" s="1736"/>
      <c r="E5236" s="1043">
        <v>11.8</v>
      </c>
      <c r="F5236" s="1043"/>
      <c r="G5236" s="1550"/>
    </row>
    <row r="5237" spans="1:7" ht="12.75" customHeight="1">
      <c r="A5237" s="1754">
        <v>44089</v>
      </c>
      <c r="B5237" s="125" t="str">
        <f>TiposLancamentos!B5</f>
        <v>Supermercado</v>
      </c>
      <c r="C5237" s="1040" t="s">
        <v>1943</v>
      </c>
      <c r="D5237" s="1736"/>
      <c r="E5237" s="1043">
        <v>231.91</v>
      </c>
      <c r="F5237" s="1043"/>
      <c r="G5237" s="1550"/>
    </row>
    <row r="5238" spans="1:7" ht="12.75" customHeight="1">
      <c r="A5238" s="1754">
        <v>44089</v>
      </c>
      <c r="B5238" s="125" t="str">
        <f>TiposLancamentos!B95</f>
        <v>Salarios</v>
      </c>
      <c r="C5238" s="1040" t="s">
        <v>7694</v>
      </c>
      <c r="D5238" s="1736">
        <v>7243.22</v>
      </c>
      <c r="E5238" s="1043"/>
      <c r="F5238" s="1043"/>
      <c r="G5238" s="1550"/>
    </row>
    <row r="5239" spans="1:7" ht="12.75" customHeight="1">
      <c r="A5239" s="1666">
        <v>44089</v>
      </c>
      <c r="B5239" s="817" t="str">
        <f>TiposLancamentos!B33</f>
        <v>Pedágios</v>
      </c>
      <c r="C5239" s="1742" t="s">
        <v>5392</v>
      </c>
      <c r="D5239" s="1735"/>
      <c r="E5239" s="1733">
        <f>F5241-(E5240+E5241)</f>
        <v>60.980000000000004</v>
      </c>
      <c r="F5239" s="1290"/>
      <c r="G5239" s="1550"/>
    </row>
    <row r="5240" spans="1:7" ht="12.75" customHeight="1">
      <c r="A5240" s="1667">
        <v>44089</v>
      </c>
      <c r="B5240" s="816" t="str">
        <f>TiposLancamentos!B24</f>
        <v>Estacionamentos</v>
      </c>
      <c r="C5240" s="1769" t="s">
        <v>7366</v>
      </c>
      <c r="D5240" s="1736"/>
      <c r="E5240" s="1734">
        <v>62</v>
      </c>
      <c r="F5240" s="1043"/>
      <c r="G5240" s="1550"/>
    </row>
    <row r="5241" spans="1:7" ht="12.75" customHeight="1">
      <c r="A5241" s="1750">
        <v>44089</v>
      </c>
      <c r="B5241" s="818" t="str">
        <f>TiposLancamentos!B24</f>
        <v>Estacionamentos</v>
      </c>
      <c r="C5241" s="1743" t="s">
        <v>6297</v>
      </c>
      <c r="D5241" s="1737"/>
      <c r="E5241" s="1668">
        <v>0</v>
      </c>
      <c r="F5241" s="1347">
        <v>122.98</v>
      </c>
      <c r="G5241" s="1550"/>
    </row>
    <row r="5242" spans="1:7" ht="12.75" customHeight="1">
      <c r="A5242" s="1754">
        <v>44089</v>
      </c>
      <c r="B5242" s="125" t="str">
        <f>TiposLancamentos!B103</f>
        <v>Juros_Corr. Poupança</v>
      </c>
      <c r="C5242" s="1040" t="s">
        <v>7341</v>
      </c>
      <c r="D5242" s="1736"/>
      <c r="E5242" s="1043"/>
      <c r="F5242" s="1043"/>
      <c r="G5242" s="1550"/>
    </row>
    <row r="5243" spans="1:7" ht="12.75" customHeight="1">
      <c r="A5243" s="1666">
        <v>44089</v>
      </c>
      <c r="B5243" s="817" t="str">
        <f>TiposLancamentos!B35</f>
        <v>Tv à Cabo</v>
      </c>
      <c r="C5243" s="1742" t="s">
        <v>5834</v>
      </c>
      <c r="D5243" s="1735"/>
      <c r="E5243" s="1733">
        <v>85</v>
      </c>
      <c r="F5243" s="1290"/>
      <c r="G5243" s="1550"/>
    </row>
    <row r="5244" spans="1:7" ht="12.75" customHeight="1">
      <c r="A5244" s="1667">
        <v>44089</v>
      </c>
      <c r="B5244" s="816" t="str">
        <f>TiposLancamentos!B3</f>
        <v>Internet</v>
      </c>
      <c r="C5244" s="1769" t="s">
        <v>5835</v>
      </c>
      <c r="D5244" s="1736"/>
      <c r="E5244" s="1734">
        <v>85</v>
      </c>
      <c r="F5244" s="1043"/>
      <c r="G5244" s="1550"/>
    </row>
    <row r="5245" spans="1:7" ht="12.75" customHeight="1">
      <c r="A5245" s="1750">
        <v>44089</v>
      </c>
      <c r="B5245" s="818" t="str">
        <f>TiposLancamentos!B2</f>
        <v>Telefonia</v>
      </c>
      <c r="C5245" s="1743" t="s">
        <v>7210</v>
      </c>
      <c r="D5245" s="1737"/>
      <c r="E5245" s="1668">
        <v>0</v>
      </c>
      <c r="F5245" s="1291">
        <v>170</v>
      </c>
      <c r="G5245" s="1550"/>
    </row>
    <row r="5246" spans="1:7" ht="12.75" customHeight="1">
      <c r="A5246" s="1754">
        <v>44089</v>
      </c>
      <c r="B5246" s="125" t="str">
        <f>TiposLancamentos!B16</f>
        <v>Cristiane</v>
      </c>
      <c r="C5246" s="1770" t="s">
        <v>7367</v>
      </c>
      <c r="D5246" s="1736"/>
      <c r="E5246" s="1043">
        <v>76.63</v>
      </c>
      <c r="F5246" s="1043"/>
      <c r="G5246" s="1550"/>
    </row>
    <row r="5247" spans="1:7" ht="12.75" customHeight="1">
      <c r="A5247" s="1754">
        <v>44089</v>
      </c>
      <c r="B5247" s="125" t="str">
        <f>TiposLancamentos!B2</f>
        <v>Telefonia</v>
      </c>
      <c r="C5247" s="1770" t="s">
        <v>7368</v>
      </c>
      <c r="D5247" s="1736"/>
      <c r="E5247" s="1043">
        <v>73.989999999999995</v>
      </c>
      <c r="F5247" s="1043"/>
      <c r="G5247" s="1550"/>
    </row>
    <row r="5248" spans="1:7" ht="12.75" customHeight="1">
      <c r="A5248" s="1754">
        <v>44090</v>
      </c>
      <c r="B5248" s="125" t="str">
        <f>TiposLancamentos!B46</f>
        <v>Maçonaria</v>
      </c>
      <c r="C5248" s="1040" t="s">
        <v>7695</v>
      </c>
      <c r="D5248" s="1736"/>
      <c r="E5248" s="1043">
        <v>180</v>
      </c>
      <c r="F5248" s="1043"/>
      <c r="G5248" s="1550"/>
    </row>
    <row r="5249" spans="1:7" ht="12.75" customHeight="1">
      <c r="A5249" s="1754">
        <v>44090</v>
      </c>
      <c r="B5249" s="125" t="str">
        <f>TiposLancamentos!B19</f>
        <v>Restaurantes</v>
      </c>
      <c r="C5249" s="1040" t="s">
        <v>7696</v>
      </c>
      <c r="D5249" s="1736"/>
      <c r="E5249" s="1043">
        <v>55.7</v>
      </c>
      <c r="F5249" s="1043"/>
      <c r="G5249" s="1550"/>
    </row>
    <row r="5250" spans="1:7" ht="12.75" customHeight="1">
      <c r="A5250" s="1754">
        <v>44091</v>
      </c>
      <c r="B5250" s="125" t="str">
        <f>TiposLancamentos!B19</f>
        <v>Restaurantes</v>
      </c>
      <c r="C5250" s="1040" t="s">
        <v>7697</v>
      </c>
      <c r="D5250" s="1736"/>
      <c r="E5250" s="1043">
        <v>113.19</v>
      </c>
      <c r="F5250" s="1043"/>
      <c r="G5250" s="1550"/>
    </row>
    <row r="5251" spans="1:7" ht="12.75" customHeight="1">
      <c r="A5251" s="1754">
        <v>44091</v>
      </c>
      <c r="B5251" s="125" t="str">
        <f>TiposLancamentos!B71</f>
        <v>Itens Pessoais</v>
      </c>
      <c r="C5251" s="1040" t="s">
        <v>7698</v>
      </c>
      <c r="D5251" s="1736"/>
      <c r="E5251" s="1043">
        <v>40</v>
      </c>
      <c r="F5251" s="1043"/>
      <c r="G5251" s="1550"/>
    </row>
    <row r="5252" spans="1:7" ht="12.75" customHeight="1">
      <c r="A5252" s="1754">
        <v>44091</v>
      </c>
      <c r="B5252" s="125" t="str">
        <f>TiposLancamentos!B70</f>
        <v>Vestuário</v>
      </c>
      <c r="C5252" s="1040" t="s">
        <v>7699</v>
      </c>
      <c r="D5252" s="1736"/>
      <c r="E5252" s="1043">
        <v>254.82</v>
      </c>
      <c r="F5252" s="1043"/>
      <c r="G5252" s="1550"/>
    </row>
    <row r="5253" spans="1:7" ht="12.75" customHeight="1">
      <c r="A5253" s="1754">
        <v>44091</v>
      </c>
      <c r="B5253" s="125" t="str">
        <f>TiposLancamentos!B56</f>
        <v>Farmácia</v>
      </c>
      <c r="C5253" s="1040" t="s">
        <v>7700</v>
      </c>
      <c r="D5253" s="1736"/>
      <c r="E5253" s="1043">
        <v>177.29</v>
      </c>
      <c r="F5253" s="1043"/>
      <c r="G5253" s="1550"/>
    </row>
    <row r="5254" spans="1:7" ht="12.75" customHeight="1">
      <c r="A5254" s="1754">
        <v>44091</v>
      </c>
      <c r="B5254" s="125" t="str">
        <f>TiposLancamentos!B70</f>
        <v>Vestuário</v>
      </c>
      <c r="C5254" s="1040" t="s">
        <v>7701</v>
      </c>
      <c r="D5254" s="1736"/>
      <c r="E5254" s="1043">
        <v>33.799999999999997</v>
      </c>
      <c r="F5254" s="1043"/>
      <c r="G5254" s="1550"/>
    </row>
    <row r="5255" spans="1:7" ht="12.75" customHeight="1">
      <c r="A5255" s="1754">
        <v>44091</v>
      </c>
      <c r="B5255" s="125" t="str">
        <f>TiposLancamentos!B72</f>
        <v>Presentes</v>
      </c>
      <c r="C5255" s="1040" t="s">
        <v>7702</v>
      </c>
      <c r="D5255" s="1736"/>
      <c r="E5255" s="1043">
        <v>96</v>
      </c>
      <c r="F5255" s="1043"/>
      <c r="G5255" s="1550"/>
    </row>
    <row r="5256" spans="1:7" ht="12.75" customHeight="1">
      <c r="A5256" s="1754">
        <v>44093</v>
      </c>
      <c r="B5256" s="125" t="str">
        <f>TiposLancamentos!B22</f>
        <v>Combustivel</v>
      </c>
      <c r="C5256" s="1040" t="s">
        <v>7703</v>
      </c>
      <c r="D5256" s="1736"/>
      <c r="E5256" s="1043">
        <v>150</v>
      </c>
      <c r="F5256" s="1043"/>
      <c r="G5256" s="1550"/>
    </row>
    <row r="5257" spans="1:7" ht="12.75" customHeight="1">
      <c r="A5257" s="1754">
        <v>44093</v>
      </c>
      <c r="B5257" s="125" t="str">
        <f>TiposLancamentos!B19</f>
        <v>Restaurantes</v>
      </c>
      <c r="C5257" s="1040" t="s">
        <v>7704</v>
      </c>
      <c r="D5257" s="1736"/>
      <c r="E5257" s="1043">
        <v>31.2</v>
      </c>
      <c r="F5257" s="1043"/>
      <c r="G5257" s="1550"/>
    </row>
    <row r="5258" spans="1:7" ht="12.75" customHeight="1">
      <c r="A5258" s="1754">
        <v>44093</v>
      </c>
      <c r="B5258" s="125" t="str">
        <f>TiposLancamentos!B19</f>
        <v>Restaurantes</v>
      </c>
      <c r="C5258" s="1040" t="s">
        <v>7705</v>
      </c>
      <c r="D5258" s="1736"/>
      <c r="E5258" s="1043">
        <v>20.399999999999999</v>
      </c>
      <c r="F5258" s="1043"/>
      <c r="G5258" s="1550"/>
    </row>
    <row r="5259" spans="1:7" ht="12.75" customHeight="1">
      <c r="A5259" s="1754">
        <v>44093</v>
      </c>
      <c r="B5259" s="125" t="str">
        <f>TiposLancamentos!B103</f>
        <v>Juros_Corr. Poupança</v>
      </c>
      <c r="C5259" s="1040" t="s">
        <v>7341</v>
      </c>
      <c r="D5259" s="1736">
        <v>0.01</v>
      </c>
      <c r="E5259" s="1043"/>
      <c r="F5259" s="1043"/>
      <c r="G5259" s="1550"/>
    </row>
    <row r="5260" spans="1:7" ht="12.75" customHeight="1">
      <c r="A5260" s="1754">
        <v>44094</v>
      </c>
      <c r="B5260" s="125" t="str">
        <f>TiposLancamentos!B56</f>
        <v>Farmácia</v>
      </c>
      <c r="C5260" s="1040" t="s">
        <v>7706</v>
      </c>
      <c r="D5260" s="1736"/>
      <c r="E5260" s="1043">
        <v>20.9</v>
      </c>
      <c r="F5260" s="1043"/>
      <c r="G5260" s="1550"/>
    </row>
    <row r="5261" spans="1:7" ht="12.75" customHeight="1">
      <c r="A5261" s="1754">
        <v>44094</v>
      </c>
      <c r="B5261" s="125" t="str">
        <f>TiposLancamentos!B22</f>
        <v>Combustivel</v>
      </c>
      <c r="C5261" s="1040" t="s">
        <v>7703</v>
      </c>
      <c r="D5261" s="1736"/>
      <c r="E5261" s="1043">
        <v>150</v>
      </c>
      <c r="F5261" s="1043"/>
      <c r="G5261" s="1550"/>
    </row>
    <row r="5262" spans="1:7" ht="12.75" customHeight="1">
      <c r="A5262" s="1754">
        <v>44094</v>
      </c>
      <c r="B5262" s="125" t="str">
        <f>TiposLancamentos!B19</f>
        <v>Restaurantes</v>
      </c>
      <c r="C5262" s="1040" t="s">
        <v>7707</v>
      </c>
      <c r="D5262" s="1736"/>
      <c r="E5262" s="1043">
        <v>22.94</v>
      </c>
      <c r="F5262" s="1043"/>
      <c r="G5262" s="1550"/>
    </row>
    <row r="5263" spans="1:7" ht="12.75" customHeight="1">
      <c r="A5263" s="1666">
        <v>44094</v>
      </c>
      <c r="B5263" s="817" t="str">
        <f>TiposLancamentos!B8</f>
        <v>Aluguel</v>
      </c>
      <c r="C5263" s="1742" t="s">
        <v>7708</v>
      </c>
      <c r="D5263" s="1735"/>
      <c r="E5263" s="1733">
        <f>F5268-SUM(E5264:E5268)</f>
        <v>1400</v>
      </c>
      <c r="F5263" s="1346"/>
      <c r="G5263" s="1550"/>
    </row>
    <row r="5264" spans="1:7" ht="12.75" customHeight="1">
      <c r="A5264" s="1667">
        <v>44094</v>
      </c>
      <c r="B5264" s="816" t="str">
        <f>TiposLancamentos!B12</f>
        <v>IPTU</v>
      </c>
      <c r="C5264" s="1769" t="s">
        <v>7709</v>
      </c>
      <c r="D5264" s="1736"/>
      <c r="E5264" s="1734">
        <v>40.520000000000003</v>
      </c>
      <c r="F5264" s="1043"/>
      <c r="G5264" s="1550"/>
    </row>
    <row r="5265" spans="1:7" ht="12.75" customHeight="1">
      <c r="A5265" s="1667">
        <v>44094</v>
      </c>
      <c r="B5265" s="816" t="str">
        <f>TiposLancamentos!B10</f>
        <v>Distr. Água Municipal</v>
      </c>
      <c r="C5265" s="1769" t="s">
        <v>7423</v>
      </c>
      <c r="D5265" s="1736"/>
      <c r="E5265" s="1734">
        <v>56.11</v>
      </c>
      <c r="F5265" s="1043"/>
      <c r="G5265" s="1550"/>
    </row>
    <row r="5266" spans="1:7" ht="12.75" customHeight="1">
      <c r="A5266" s="1667">
        <v>44094</v>
      </c>
      <c r="B5266" s="816" t="str">
        <f>TiposLancamentos!B11</f>
        <v>Coleta Municipal Lixo</v>
      </c>
      <c r="C5266" s="1769" t="s">
        <v>7424</v>
      </c>
      <c r="D5266" s="1736"/>
      <c r="E5266" s="1734">
        <v>42.33</v>
      </c>
      <c r="F5266" s="1043"/>
      <c r="G5266" s="1550"/>
    </row>
    <row r="5267" spans="1:7" ht="12.75" customHeight="1">
      <c r="A5267" s="1667">
        <v>44094</v>
      </c>
      <c r="B5267" s="816" t="str">
        <f>TiposLancamentos!B8</f>
        <v>Aluguel</v>
      </c>
      <c r="C5267" s="1769" t="s">
        <v>7425</v>
      </c>
      <c r="D5267" s="1736"/>
      <c r="E5267" s="1734">
        <v>8</v>
      </c>
      <c r="F5267" s="1043"/>
      <c r="G5267" s="1550"/>
    </row>
    <row r="5268" spans="1:7" ht="12.75" customHeight="1">
      <c r="A5268" s="1750">
        <v>44094</v>
      </c>
      <c r="B5268" s="818" t="str">
        <f>TiposLancamentos!B9</f>
        <v>Condominio</v>
      </c>
      <c r="C5268" s="1743" t="s">
        <v>7427</v>
      </c>
      <c r="D5268" s="1737"/>
      <c r="E5268" s="1668">
        <v>616.37</v>
      </c>
      <c r="F5268" s="1291">
        <v>2163.33</v>
      </c>
      <c r="G5268" s="1550"/>
    </row>
    <row r="5269" spans="1:7" ht="12.75" customHeight="1">
      <c r="A5269" s="1754">
        <v>44095</v>
      </c>
      <c r="B5269" s="125" t="str">
        <f>TiposLancamentos!B6</f>
        <v>Energia Eletrica</v>
      </c>
      <c r="C5269" s="1040" t="s">
        <v>7710</v>
      </c>
      <c r="D5269" s="1736"/>
      <c r="E5269" s="1043">
        <v>248.63</v>
      </c>
      <c r="F5269" s="1043"/>
      <c r="G5269" s="1550"/>
    </row>
    <row r="5270" spans="1:7" ht="12.75" customHeight="1">
      <c r="A5270" s="1754">
        <v>44096</v>
      </c>
      <c r="B5270" s="125" t="str">
        <f>TiposLancamentos!B5</f>
        <v>Supermercado</v>
      </c>
      <c r="C5270" s="1040" t="s">
        <v>7711</v>
      </c>
      <c r="D5270" s="1736"/>
      <c r="E5270" s="1043">
        <v>153.82</v>
      </c>
      <c r="F5270" s="1043"/>
      <c r="G5270" s="1550"/>
    </row>
    <row r="5271" spans="1:7" ht="12.75" customHeight="1">
      <c r="A5271" s="1754">
        <v>44096</v>
      </c>
      <c r="B5271" s="125" t="str">
        <f>TiposLancamentos!B24</f>
        <v>Estacionamentos</v>
      </c>
      <c r="C5271" s="1040" t="s">
        <v>7712</v>
      </c>
      <c r="D5271" s="1736"/>
      <c r="E5271" s="1043">
        <v>15</v>
      </c>
      <c r="F5271" s="1043"/>
      <c r="G5271" s="1550"/>
    </row>
    <row r="5272" spans="1:7" ht="12.75" customHeight="1">
      <c r="A5272" s="1754">
        <v>44098</v>
      </c>
      <c r="B5272" s="125" t="str">
        <f>TiposLancamentos!B16</f>
        <v>Cristiane</v>
      </c>
      <c r="C5272" s="1040" t="s">
        <v>7713</v>
      </c>
      <c r="D5272" s="1736"/>
      <c r="E5272" s="1043">
        <v>57.96</v>
      </c>
      <c r="F5272" s="1043"/>
      <c r="G5272" s="1550"/>
    </row>
    <row r="5273" spans="1:7" ht="12.75" customHeight="1">
      <c r="A5273" s="1754">
        <v>44100</v>
      </c>
      <c r="B5273" s="125" t="str">
        <f>TiposLancamentos!B24</f>
        <v>Estacionamentos</v>
      </c>
      <c r="C5273" s="1040" t="s">
        <v>2014</v>
      </c>
      <c r="D5273" s="1736"/>
      <c r="E5273" s="1043">
        <v>8</v>
      </c>
      <c r="F5273" s="1043"/>
      <c r="G5273" s="1550"/>
    </row>
    <row r="5274" spans="1:7" ht="12.75" customHeight="1">
      <c r="A5274" s="1754">
        <v>44100</v>
      </c>
      <c r="B5274" s="125" t="str">
        <f>TiposLancamentos!B19</f>
        <v>Restaurantes</v>
      </c>
      <c r="C5274" s="1040" t="s">
        <v>7714</v>
      </c>
      <c r="D5274" s="1736"/>
      <c r="E5274" s="1043">
        <v>133.65</v>
      </c>
      <c r="F5274" s="1043"/>
      <c r="G5274" s="1550"/>
    </row>
    <row r="5275" spans="1:7" ht="12.75" customHeight="1">
      <c r="A5275" s="1754">
        <v>44101</v>
      </c>
      <c r="B5275" s="125" t="str">
        <f>TiposLancamentos!B5</f>
        <v>Supermercado</v>
      </c>
      <c r="C5275" s="1040" t="s">
        <v>7715</v>
      </c>
      <c r="D5275" s="1736"/>
      <c r="E5275" s="1043">
        <v>258.08999999999997</v>
      </c>
      <c r="F5275" s="1043"/>
      <c r="G5275" s="1550"/>
    </row>
    <row r="5276" spans="1:7" ht="12.75" customHeight="1">
      <c r="A5276" s="1754">
        <v>44101</v>
      </c>
      <c r="B5276" s="125" t="str">
        <f>TiposLancamentos!B5</f>
        <v>Supermercado</v>
      </c>
      <c r="C5276" s="1040" t="s">
        <v>7716</v>
      </c>
      <c r="D5276" s="1736"/>
      <c r="E5276" s="1043">
        <v>14.18</v>
      </c>
      <c r="F5276" s="1043"/>
      <c r="G5276" s="1550"/>
    </row>
    <row r="5277" spans="1:7" ht="12.75" customHeight="1">
      <c r="A5277" s="1754">
        <v>44102</v>
      </c>
      <c r="B5277" s="125" t="str">
        <f>TiposLancamentos!B98</f>
        <v>Restituições</v>
      </c>
      <c r="C5277" s="1040" t="s">
        <v>7601</v>
      </c>
      <c r="D5277" s="1736">
        <v>1800</v>
      </c>
      <c r="E5277" s="1043"/>
      <c r="F5277" s="1043"/>
      <c r="G5277" s="1550"/>
    </row>
    <row r="5278" spans="1:7" ht="12.75" customHeight="1">
      <c r="A5278" s="1754">
        <v>44103</v>
      </c>
      <c r="B5278" s="125" t="str">
        <f>TiposLancamentos!B19</f>
        <v>Restaurantes</v>
      </c>
      <c r="C5278" s="1040" t="s">
        <v>7717</v>
      </c>
      <c r="D5278" s="1736"/>
      <c r="E5278" s="1043">
        <v>27.9</v>
      </c>
      <c r="F5278" s="1043"/>
      <c r="G5278" s="1550"/>
    </row>
    <row r="5279" spans="1:7" ht="12.75" customHeight="1">
      <c r="A5279" s="1754">
        <v>44103</v>
      </c>
      <c r="B5279" s="125" t="str">
        <f>TiposLancamentos!B19</f>
        <v>Restaurantes</v>
      </c>
      <c r="C5279" s="1040" t="s">
        <v>7718</v>
      </c>
      <c r="D5279" s="1736"/>
      <c r="E5279" s="1043">
        <v>35</v>
      </c>
      <c r="F5279" s="1043"/>
      <c r="G5279" s="1550"/>
    </row>
    <row r="5280" spans="1:7" ht="12.75" customHeight="1">
      <c r="A5280" s="1754">
        <v>44103</v>
      </c>
      <c r="B5280" s="125" t="str">
        <f>TiposLancamentos!B16</f>
        <v>Cristiane</v>
      </c>
      <c r="C5280" s="1040" t="s">
        <v>7719</v>
      </c>
      <c r="D5280" s="1736"/>
      <c r="E5280" s="1043">
        <v>239.99</v>
      </c>
      <c r="F5280" s="1043"/>
      <c r="G5280" s="1550"/>
    </row>
    <row r="5281" spans="1:7" ht="12.75" customHeight="1">
      <c r="A5281" s="1754">
        <v>44103</v>
      </c>
      <c r="B5281" s="125" t="str">
        <f>TiposLancamentos!B16</f>
        <v>Cristiane</v>
      </c>
      <c r="C5281" s="1040" t="s">
        <v>7720</v>
      </c>
      <c r="D5281" s="1736"/>
      <c r="E5281" s="1043">
        <v>14.9</v>
      </c>
      <c r="F5281" s="1043"/>
      <c r="G5281" s="1550"/>
    </row>
    <row r="5282" spans="1:7" ht="12.75" customHeight="1">
      <c r="A5282" s="1754">
        <v>44103</v>
      </c>
      <c r="B5282" s="125" t="str">
        <f>TiposLancamentos!B13</f>
        <v>Moradia</v>
      </c>
      <c r="C5282" s="1040" t="s">
        <v>7721</v>
      </c>
      <c r="D5282" s="1736"/>
      <c r="E5282" s="1043">
        <v>212.06</v>
      </c>
      <c r="F5282" s="1043"/>
      <c r="G5282" s="1550"/>
    </row>
    <row r="5283" spans="1:7" ht="12.75" customHeight="1" thickBot="1">
      <c r="A5283" s="1754">
        <v>44104</v>
      </c>
      <c r="B5283" s="125" t="str">
        <f>TiposLancamentos!B14</f>
        <v>Gás de cozinha</v>
      </c>
      <c r="C5283" s="1040" t="s">
        <v>7722</v>
      </c>
      <c r="D5283" s="1736"/>
      <c r="E5283" s="1043">
        <v>48.94</v>
      </c>
      <c r="F5283" s="1043"/>
      <c r="G5283" s="1550"/>
    </row>
    <row r="5284" spans="1:7" ht="12.75" customHeight="1">
      <c r="A5284" s="1834"/>
      <c r="B5284" s="977"/>
      <c r="C5284" s="1854" t="s">
        <v>7723</v>
      </c>
      <c r="D5284" s="1823"/>
      <c r="E5284" s="1821"/>
      <c r="F5284" s="1821"/>
      <c r="G5284" s="1895"/>
    </row>
    <row r="5285" spans="1:7" ht="12.75" customHeight="1">
      <c r="A5285" s="1754">
        <v>44105</v>
      </c>
      <c r="B5285" s="125" t="str">
        <f>TiposLancamentos!B15</f>
        <v>Cartões de Crédito</v>
      </c>
      <c r="C5285" s="1040" t="s">
        <v>7393</v>
      </c>
      <c r="D5285" s="1736"/>
      <c r="E5285" s="1043">
        <v>1699.27</v>
      </c>
      <c r="F5285" s="1043"/>
      <c r="G5285" s="1550"/>
    </row>
    <row r="5286" spans="1:7" ht="12.75" customHeight="1">
      <c r="A5286" s="1754">
        <v>44105</v>
      </c>
      <c r="B5286" s="125" t="str">
        <f>TiposLancamentos!B15</f>
        <v>Cartões de Crédito</v>
      </c>
      <c r="C5286" s="1040" t="s">
        <v>7333</v>
      </c>
      <c r="D5286" s="1736"/>
      <c r="E5286" s="1043">
        <v>120.34</v>
      </c>
      <c r="F5286" s="1043"/>
      <c r="G5286" s="1550"/>
    </row>
    <row r="5287" spans="1:7" ht="12.75" customHeight="1">
      <c r="A5287" s="1754">
        <v>44105</v>
      </c>
      <c r="B5287" s="125" t="str">
        <f>TiposLancamentos!B4</f>
        <v>Taxas Bancarias</v>
      </c>
      <c r="C5287" s="1040" t="s">
        <v>7681</v>
      </c>
      <c r="D5287" s="1736"/>
      <c r="E5287" s="1043">
        <v>5</v>
      </c>
      <c r="F5287" s="1043"/>
      <c r="G5287" s="1550"/>
    </row>
    <row r="5288" spans="1:7" ht="12.75" customHeight="1">
      <c r="A5288" s="1754">
        <v>44105</v>
      </c>
      <c r="B5288" s="125" t="str">
        <f>TiposLancamentos!B5</f>
        <v>Supermercado</v>
      </c>
      <c r="C5288" s="1040" t="s">
        <v>7724</v>
      </c>
      <c r="D5288" s="1736"/>
      <c r="E5288" s="1043">
        <v>139.75</v>
      </c>
      <c r="F5288" s="1043"/>
      <c r="G5288" s="1550"/>
    </row>
    <row r="5289" spans="1:7" ht="12.75" customHeight="1">
      <c r="A5289" s="1754">
        <v>44105</v>
      </c>
      <c r="B5289" s="125" t="str">
        <f>TiposLancamentos!B56</f>
        <v>Farmácia</v>
      </c>
      <c r="C5289" s="1040" t="s">
        <v>7725</v>
      </c>
      <c r="D5289" s="1736"/>
      <c r="E5289" s="1043">
        <v>25.79</v>
      </c>
      <c r="F5289" s="1043"/>
      <c r="G5289" s="1550"/>
    </row>
    <row r="5290" spans="1:7" ht="12.75" customHeight="1">
      <c r="A5290" s="1754">
        <v>44105</v>
      </c>
      <c r="B5290" s="125" t="str">
        <f>TiposLancamentos!B20</f>
        <v>Saques</v>
      </c>
      <c r="C5290" s="1040" t="s">
        <v>7726</v>
      </c>
      <c r="D5290" s="1736"/>
      <c r="E5290" s="1043">
        <v>40</v>
      </c>
      <c r="F5290" s="1043"/>
      <c r="G5290" s="1550"/>
    </row>
    <row r="5291" spans="1:7" ht="12.75" customHeight="1">
      <c r="A5291" s="1754">
        <v>44105</v>
      </c>
      <c r="B5291" s="125" t="str">
        <f>TiposLancamentos!B4</f>
        <v>Taxas Bancarias</v>
      </c>
      <c r="C5291" s="1040" t="s">
        <v>7727</v>
      </c>
      <c r="D5291" s="1736"/>
      <c r="E5291" s="1043">
        <v>45</v>
      </c>
      <c r="F5291" s="1043"/>
      <c r="G5291" s="1550"/>
    </row>
    <row r="5292" spans="1:7" ht="12.75" customHeight="1">
      <c r="A5292" s="1754">
        <v>44106</v>
      </c>
      <c r="B5292" s="125" t="str">
        <f>TiposLancamentos!B5</f>
        <v>Supermercado</v>
      </c>
      <c r="C5292" s="1040" t="s">
        <v>7724</v>
      </c>
      <c r="D5292" s="1736"/>
      <c r="E5292" s="1043">
        <v>114.26</v>
      </c>
      <c r="F5292" s="1043"/>
      <c r="G5292" s="1550"/>
    </row>
    <row r="5293" spans="1:7" ht="12.75" customHeight="1">
      <c r="A5293" s="1754">
        <v>44107</v>
      </c>
      <c r="B5293" s="125" t="str">
        <f>TiposLancamentos!B56</f>
        <v>Farmácia</v>
      </c>
      <c r="C5293" s="1040" t="s">
        <v>7728</v>
      </c>
      <c r="D5293" s="1736"/>
      <c r="E5293" s="1043">
        <v>65.09</v>
      </c>
      <c r="F5293" s="1043"/>
      <c r="G5293" s="1550"/>
    </row>
    <row r="5294" spans="1:7" ht="12.75" customHeight="1">
      <c r="A5294" s="1754">
        <v>44107</v>
      </c>
      <c r="B5294" s="125" t="str">
        <f>TiposLancamentos!B16</f>
        <v>Cristiane</v>
      </c>
      <c r="C5294" s="1040" t="s">
        <v>7729</v>
      </c>
      <c r="D5294" s="1736"/>
      <c r="E5294" s="1043">
        <v>139.41</v>
      </c>
      <c r="F5294" s="1043"/>
      <c r="G5294" s="1550"/>
    </row>
    <row r="5295" spans="1:7" ht="12.75" customHeight="1">
      <c r="A5295" s="1754">
        <v>44107</v>
      </c>
      <c r="B5295" s="125" t="str">
        <f>TiposLancamentos!B5</f>
        <v>Supermercado</v>
      </c>
      <c r="C5295" s="1040" t="s">
        <v>7730</v>
      </c>
      <c r="D5295" s="1736"/>
      <c r="E5295" s="1043">
        <v>6.98</v>
      </c>
      <c r="F5295" s="1043"/>
      <c r="G5295" s="1550"/>
    </row>
    <row r="5296" spans="1:7" ht="12.75" customHeight="1">
      <c r="A5296" s="1754">
        <v>44107</v>
      </c>
      <c r="B5296" s="125" t="str">
        <f>TiposLancamentos!B19</f>
        <v>Restaurantes</v>
      </c>
      <c r="C5296" s="1040" t="s">
        <v>7731</v>
      </c>
      <c r="D5296" s="1736"/>
      <c r="E5296" s="1043">
        <v>27.8</v>
      </c>
      <c r="F5296" s="1043"/>
      <c r="G5296" s="1550"/>
    </row>
    <row r="5297" spans="1:7" ht="12.75" customHeight="1">
      <c r="A5297" s="1754">
        <v>44109</v>
      </c>
      <c r="B5297" s="125" t="str">
        <f>TiposLancamentos!B88</f>
        <v>Ford Ecosport XLT</v>
      </c>
      <c r="C5297" s="1040" t="s">
        <v>7732</v>
      </c>
      <c r="D5297" s="1736"/>
      <c r="E5297" s="1043">
        <v>121.62</v>
      </c>
      <c r="F5297" s="1043"/>
      <c r="G5297" s="1550"/>
    </row>
    <row r="5298" spans="1:7" ht="12.75" customHeight="1">
      <c r="A5298" s="1754">
        <v>44109</v>
      </c>
      <c r="B5298" s="125" t="str">
        <f>TiposLancamentos!B23</f>
        <v>P208 GRIFFE 1.6 AUT BUSINESS</v>
      </c>
      <c r="C5298" s="1040" t="s">
        <v>7733</v>
      </c>
      <c r="D5298" s="1736"/>
      <c r="E5298" s="1043">
        <v>101.27</v>
      </c>
      <c r="F5298" s="1043"/>
      <c r="G5298" s="1550"/>
    </row>
    <row r="5299" spans="1:7" ht="12.75" customHeight="1">
      <c r="A5299" s="1754">
        <v>44109</v>
      </c>
      <c r="B5299" s="125" t="str">
        <f>TiposLancamentos!B17</f>
        <v>GATO</v>
      </c>
      <c r="C5299" s="1040" t="s">
        <v>7734</v>
      </c>
      <c r="D5299" s="1736"/>
      <c r="E5299" s="1043">
        <v>193.78</v>
      </c>
      <c r="F5299" s="1043"/>
      <c r="G5299" s="1550"/>
    </row>
    <row r="5300" spans="1:7" ht="12.75" customHeight="1">
      <c r="A5300" s="1754">
        <v>44109</v>
      </c>
      <c r="B5300" s="125" t="str">
        <f>TiposLancamentos!B19</f>
        <v>Restaurantes</v>
      </c>
      <c r="C5300" s="1040" t="s">
        <v>5869</v>
      </c>
      <c r="D5300" s="1736"/>
      <c r="E5300" s="1043">
        <v>18</v>
      </c>
      <c r="F5300" s="1043"/>
      <c r="G5300" s="1550"/>
    </row>
    <row r="5301" spans="1:7" ht="12.75" customHeight="1">
      <c r="A5301" s="1754">
        <v>44109</v>
      </c>
      <c r="B5301" s="125" t="str">
        <f>TiposLancamentos!B4</f>
        <v>Taxas Bancarias</v>
      </c>
      <c r="C5301" s="1040" t="s">
        <v>5707</v>
      </c>
      <c r="D5301" s="1736"/>
      <c r="E5301" s="1043">
        <v>1.69</v>
      </c>
      <c r="F5301" s="1043"/>
      <c r="G5301" s="1550"/>
    </row>
    <row r="5302" spans="1:7" ht="12.75" customHeight="1">
      <c r="A5302" s="1754">
        <v>44110</v>
      </c>
      <c r="B5302" s="125" t="str">
        <f>TiposLancamentos!B56</f>
        <v>Farmácia</v>
      </c>
      <c r="C5302" s="1040" t="s">
        <v>7735</v>
      </c>
      <c r="D5302" s="1736"/>
      <c r="E5302" s="1043">
        <v>54.77</v>
      </c>
      <c r="F5302" s="1043"/>
      <c r="G5302" s="1550"/>
    </row>
    <row r="5303" spans="1:7" ht="12.75" customHeight="1">
      <c r="A5303" s="1754">
        <v>44110</v>
      </c>
      <c r="B5303" s="125" t="str">
        <f>TiposLancamentos!B5</f>
        <v>Supermercado</v>
      </c>
      <c r="C5303" s="1040" t="s">
        <v>7736</v>
      </c>
      <c r="D5303" s="1736"/>
      <c r="E5303" s="1043">
        <v>15</v>
      </c>
      <c r="F5303" s="1043"/>
      <c r="G5303" s="1550"/>
    </row>
    <row r="5304" spans="1:7" ht="12.75" customHeight="1">
      <c r="A5304" s="1754">
        <v>44110</v>
      </c>
      <c r="B5304" s="125" t="str">
        <f>TiposLancamentos!B24</f>
        <v>Estacionamentos</v>
      </c>
      <c r="C5304" s="1040" t="s">
        <v>7737</v>
      </c>
      <c r="D5304" s="1736"/>
      <c r="E5304" s="1043">
        <v>15</v>
      </c>
      <c r="F5304" s="1043"/>
      <c r="G5304" s="1550"/>
    </row>
    <row r="5305" spans="1:7" ht="12.75" customHeight="1">
      <c r="A5305" s="1754">
        <v>44111</v>
      </c>
      <c r="B5305" s="125" t="str">
        <f>TiposLancamentos!B19</f>
        <v>Restaurantes</v>
      </c>
      <c r="C5305" s="1040" t="s">
        <v>7738</v>
      </c>
      <c r="D5305" s="1736"/>
      <c r="E5305" s="1043">
        <v>69.8</v>
      </c>
      <c r="F5305" s="1043"/>
      <c r="G5305" s="1550"/>
    </row>
    <row r="5306" spans="1:7" ht="12.75" customHeight="1">
      <c r="A5306" s="1754">
        <v>44111</v>
      </c>
      <c r="B5306" s="125" t="str">
        <f>TiposLancamentos!B71</f>
        <v>Itens Pessoais</v>
      </c>
      <c r="C5306" s="1040" t="s">
        <v>7739</v>
      </c>
      <c r="D5306" s="1736"/>
      <c r="E5306" s="1043">
        <v>20</v>
      </c>
      <c r="F5306" s="1043"/>
      <c r="G5306" s="1550"/>
    </row>
    <row r="5307" spans="1:7" ht="12.75" customHeight="1">
      <c r="A5307" s="1666">
        <v>44111</v>
      </c>
      <c r="B5307" s="817" t="str">
        <f>TiposLancamentos!B16</f>
        <v>Cristiane</v>
      </c>
      <c r="C5307" s="1742" t="s">
        <v>7739</v>
      </c>
      <c r="D5307" s="1735"/>
      <c r="E5307" s="1733">
        <f>F5308-E5308</f>
        <v>55</v>
      </c>
      <c r="F5307" s="1346"/>
      <c r="G5307" s="1550"/>
    </row>
    <row r="5308" spans="1:7" ht="12.75" customHeight="1">
      <c r="A5308" s="1750">
        <v>44111</v>
      </c>
      <c r="B5308" s="818" t="str">
        <f>TiposLancamentos!B71</f>
        <v>Itens Pessoais</v>
      </c>
      <c r="C5308" s="1743" t="s">
        <v>7739</v>
      </c>
      <c r="D5308" s="1737"/>
      <c r="E5308" s="1668">
        <v>30</v>
      </c>
      <c r="F5308" s="1291">
        <v>85</v>
      </c>
      <c r="G5308" s="1550"/>
    </row>
    <row r="5309" spans="1:7" ht="12.75" customHeight="1">
      <c r="A5309" s="1754">
        <v>44111</v>
      </c>
      <c r="B5309" s="125" t="str">
        <f>TiposLancamentos!B24</f>
        <v>Estacionamentos</v>
      </c>
      <c r="C5309" s="1040" t="s">
        <v>2014</v>
      </c>
      <c r="D5309" s="1736"/>
      <c r="E5309" s="1043">
        <v>11</v>
      </c>
      <c r="F5309" s="1043"/>
      <c r="G5309" s="1550"/>
    </row>
    <row r="5310" spans="1:7" ht="12.75" customHeight="1">
      <c r="A5310" s="1754">
        <v>44111</v>
      </c>
      <c r="B5310" s="125" t="str">
        <f>TiposLancamentos!B19</f>
        <v>Restaurantes</v>
      </c>
      <c r="C5310" s="1040" t="s">
        <v>6565</v>
      </c>
      <c r="D5310" s="1736"/>
      <c r="E5310" s="1043">
        <v>41.74</v>
      </c>
      <c r="F5310" s="1043"/>
      <c r="G5310" s="1550"/>
    </row>
    <row r="5311" spans="1:7" ht="12.75" customHeight="1">
      <c r="A5311" s="1754">
        <v>44112</v>
      </c>
      <c r="B5311" s="125" t="str">
        <f>TiposLancamentos!B22</f>
        <v>Combustivel</v>
      </c>
      <c r="C5311" s="1040" t="s">
        <v>1880</v>
      </c>
      <c r="D5311" s="1736"/>
      <c r="E5311" s="1043">
        <v>200</v>
      </c>
      <c r="F5311" s="1043"/>
      <c r="G5311" s="1550"/>
    </row>
    <row r="5312" spans="1:7" ht="12.75" customHeight="1">
      <c r="A5312" s="1754">
        <v>44112</v>
      </c>
      <c r="B5312" s="125" t="str">
        <f>TiposLancamentos!B5</f>
        <v>Supermercado</v>
      </c>
      <c r="C5312" s="1040" t="s">
        <v>7740</v>
      </c>
      <c r="D5312" s="1736"/>
      <c r="E5312" s="1043">
        <v>14.3</v>
      </c>
      <c r="F5312" s="1043"/>
      <c r="G5312" s="1550"/>
    </row>
    <row r="5313" spans="1:7" ht="12.75" customHeight="1">
      <c r="A5313" s="1754">
        <v>44112</v>
      </c>
      <c r="B5313" s="125" t="str">
        <f>TiposLancamentos!B17</f>
        <v>GATO</v>
      </c>
      <c r="C5313" s="1040" t="s">
        <v>2026</v>
      </c>
      <c r="D5313" s="1736"/>
      <c r="E5313" s="1043">
        <v>11.8</v>
      </c>
      <c r="F5313" s="1043"/>
      <c r="G5313" s="1550"/>
    </row>
    <row r="5314" spans="1:7" ht="12.75" customHeight="1">
      <c r="A5314" s="1754">
        <v>44113</v>
      </c>
      <c r="B5314" s="125" t="str">
        <f>TiposLancamentos!B19</f>
        <v>Restaurantes</v>
      </c>
      <c r="C5314" s="1040" t="s">
        <v>7741</v>
      </c>
      <c r="D5314" s="1736"/>
      <c r="E5314" s="1043">
        <v>20.7</v>
      </c>
      <c r="F5314" s="1043"/>
      <c r="G5314" s="1550"/>
    </row>
    <row r="5315" spans="1:7" ht="12.75" customHeight="1">
      <c r="A5315" s="1754">
        <v>44113</v>
      </c>
      <c r="B5315" s="125" t="str">
        <f>TiposLancamentos!B19</f>
        <v>Restaurantes</v>
      </c>
      <c r="C5315" s="1040" t="s">
        <v>7742</v>
      </c>
      <c r="D5315" s="1736"/>
      <c r="E5315" s="1043">
        <v>33.5</v>
      </c>
      <c r="F5315" s="1043"/>
      <c r="G5315" s="1550"/>
    </row>
    <row r="5316" spans="1:7" ht="12.75" customHeight="1">
      <c r="A5316" s="1754">
        <v>44113</v>
      </c>
      <c r="B5316" s="125" t="str">
        <f>TiposLancamentos!B5</f>
        <v>Supermercado</v>
      </c>
      <c r="C5316" s="1040" t="s">
        <v>7743</v>
      </c>
      <c r="D5316" s="1736"/>
      <c r="E5316" s="1043">
        <v>23.12</v>
      </c>
      <c r="F5316" s="1043"/>
      <c r="G5316" s="1550"/>
    </row>
    <row r="5317" spans="1:7" ht="12.75" customHeight="1">
      <c r="A5317" s="1754">
        <v>44116</v>
      </c>
      <c r="B5317" s="125" t="str">
        <f>TiposLancamentos!B22</f>
        <v>Combustivel</v>
      </c>
      <c r="C5317" s="1040" t="s">
        <v>1880</v>
      </c>
      <c r="D5317" s="1736"/>
      <c r="E5317" s="1043">
        <v>102.62</v>
      </c>
      <c r="F5317" s="1043"/>
      <c r="G5317" s="1550"/>
    </row>
    <row r="5318" spans="1:7" ht="12.75" customHeight="1">
      <c r="A5318" s="1754">
        <v>44116</v>
      </c>
      <c r="B5318" s="125" t="str">
        <f>TiposLancamentos!B19</f>
        <v>Restaurantes</v>
      </c>
      <c r="C5318" s="1040" t="s">
        <v>7744</v>
      </c>
      <c r="D5318" s="1736"/>
      <c r="E5318" s="1043">
        <v>27</v>
      </c>
      <c r="F5318" s="1043"/>
      <c r="G5318" s="1550"/>
    </row>
    <row r="5319" spans="1:7" ht="12.75" customHeight="1">
      <c r="A5319" s="1754">
        <v>44117</v>
      </c>
      <c r="B5319" s="125" t="str">
        <f>TiposLancamentos!B5</f>
        <v>Supermercado</v>
      </c>
      <c r="C5319" s="1040" t="s">
        <v>7745</v>
      </c>
      <c r="D5319" s="1736"/>
      <c r="E5319" s="1043">
        <v>19.989999999999998</v>
      </c>
      <c r="F5319" s="1043"/>
      <c r="G5319" s="1550"/>
    </row>
    <row r="5320" spans="1:7" ht="12.75" customHeight="1">
      <c r="A5320" s="1754">
        <v>44117</v>
      </c>
      <c r="B5320" s="125" t="str">
        <f>TiposLancamentos!B19</f>
        <v>Restaurantes</v>
      </c>
      <c r="C5320" s="1040" t="s">
        <v>7746</v>
      </c>
      <c r="D5320" s="1736"/>
      <c r="E5320" s="1043">
        <v>27</v>
      </c>
      <c r="F5320" s="1043"/>
      <c r="G5320" s="1550"/>
    </row>
    <row r="5321" spans="1:7" ht="12.75" customHeight="1">
      <c r="A5321" s="1754">
        <v>44117</v>
      </c>
      <c r="B5321" s="125" t="str">
        <f>TiposLancamentos!B5</f>
        <v>Supermercado</v>
      </c>
      <c r="C5321" s="1040" t="s">
        <v>7747</v>
      </c>
      <c r="D5321" s="1736"/>
      <c r="E5321" s="1043">
        <v>195.2</v>
      </c>
      <c r="F5321" s="1043"/>
      <c r="G5321" s="1550"/>
    </row>
    <row r="5322" spans="1:7" ht="12.75" customHeight="1">
      <c r="A5322" s="1754">
        <v>44118</v>
      </c>
      <c r="B5322" s="125" t="str">
        <f>TiposLancamentos!B16</f>
        <v>Cristiane</v>
      </c>
      <c r="C5322" s="1040" t="s">
        <v>7748</v>
      </c>
      <c r="D5322" s="1736"/>
      <c r="E5322" s="1043">
        <v>96.78</v>
      </c>
      <c r="F5322" s="1043"/>
      <c r="G5322" s="1550"/>
    </row>
    <row r="5323" spans="1:7" ht="12.75" customHeight="1">
      <c r="A5323" s="1754">
        <v>44118</v>
      </c>
      <c r="B5323" s="125" t="str">
        <f>TiposLancamentos!B60</f>
        <v>Correio</v>
      </c>
      <c r="C5323" s="1040" t="s">
        <v>7749</v>
      </c>
      <c r="D5323" s="1736"/>
      <c r="E5323" s="1043">
        <v>29.35</v>
      </c>
      <c r="F5323" s="1043"/>
      <c r="G5323" s="1550"/>
    </row>
    <row r="5324" spans="1:7" ht="12.75" customHeight="1">
      <c r="A5324" s="1754">
        <v>44118</v>
      </c>
      <c r="B5324" s="125" t="str">
        <f>TiposLancamentos!B24</f>
        <v>Estacionamentos</v>
      </c>
      <c r="C5324" s="1040" t="s">
        <v>3253</v>
      </c>
      <c r="D5324" s="1736"/>
      <c r="E5324" s="1043">
        <v>12</v>
      </c>
      <c r="F5324" s="1043"/>
      <c r="G5324" s="1550"/>
    </row>
    <row r="5325" spans="1:7" ht="12.75" customHeight="1">
      <c r="A5325" s="1754">
        <v>44118</v>
      </c>
      <c r="B5325" s="125" t="str">
        <f>TiposLancamentos!B5</f>
        <v>Supermercado</v>
      </c>
      <c r="C5325" s="1040" t="s">
        <v>7750</v>
      </c>
      <c r="D5325" s="1736"/>
      <c r="E5325" s="1043">
        <v>32.56</v>
      </c>
      <c r="F5325" s="1043"/>
      <c r="G5325" s="1550"/>
    </row>
    <row r="5326" spans="1:7" ht="12.75" customHeight="1">
      <c r="A5326" s="1754">
        <v>44119</v>
      </c>
      <c r="B5326" s="125" t="str">
        <f>TiposLancamentos!B95</f>
        <v>Salarios</v>
      </c>
      <c r="C5326" s="1040" t="s">
        <v>7694</v>
      </c>
      <c r="D5326" s="1736">
        <v>7303.22</v>
      </c>
      <c r="E5326" s="1043"/>
      <c r="F5326" s="1043"/>
      <c r="G5326" s="1550"/>
    </row>
    <row r="5327" spans="1:7" ht="12.75" customHeight="1">
      <c r="A5327" s="1666">
        <v>44119</v>
      </c>
      <c r="B5327" s="817" t="str">
        <f>TiposLancamentos!B33</f>
        <v>Pedágios</v>
      </c>
      <c r="C5327" s="1742" t="s">
        <v>5392</v>
      </c>
      <c r="D5327" s="1735"/>
      <c r="E5327" s="1733">
        <f>F5329-(E5328+E5329)</f>
        <v>179.38</v>
      </c>
      <c r="F5327" s="1290"/>
      <c r="G5327" s="1550"/>
    </row>
    <row r="5328" spans="1:7" ht="12.75" customHeight="1">
      <c r="A5328" s="1667">
        <v>44119</v>
      </c>
      <c r="B5328" s="816" t="str">
        <f>TiposLancamentos!B24</f>
        <v>Estacionamentos</v>
      </c>
      <c r="C5328" s="1769" t="s">
        <v>7366</v>
      </c>
      <c r="D5328" s="1736"/>
      <c r="E5328" s="1734">
        <v>10</v>
      </c>
      <c r="F5328" s="1043"/>
      <c r="G5328" s="1550"/>
    </row>
    <row r="5329" spans="1:7" ht="12.75" customHeight="1">
      <c r="A5329" s="1750">
        <v>44119</v>
      </c>
      <c r="B5329" s="818" t="str">
        <f>TiposLancamentos!B24</f>
        <v>Estacionamentos</v>
      </c>
      <c r="C5329" s="1743" t="s">
        <v>6297</v>
      </c>
      <c r="D5329" s="1737"/>
      <c r="E5329" s="1668">
        <v>10</v>
      </c>
      <c r="F5329" s="1347">
        <v>199.38</v>
      </c>
      <c r="G5329" s="1550"/>
    </row>
    <row r="5330" spans="1:7" ht="12.75" customHeight="1">
      <c r="A5330" s="1754">
        <v>44119</v>
      </c>
      <c r="B5330" s="125"/>
      <c r="C5330" s="1040" t="s">
        <v>7341</v>
      </c>
      <c r="D5330" s="1736"/>
      <c r="E5330" s="1043"/>
      <c r="F5330" s="1043"/>
      <c r="G5330" s="1550"/>
    </row>
    <row r="5331" spans="1:7" ht="12.75" customHeight="1">
      <c r="A5331" s="1666">
        <v>44119</v>
      </c>
      <c r="B5331" s="817" t="str">
        <f>TiposLancamentos!B35</f>
        <v>Tv à Cabo</v>
      </c>
      <c r="C5331" s="1742" t="s">
        <v>5834</v>
      </c>
      <c r="D5331" s="1735"/>
      <c r="E5331" s="1733">
        <v>85</v>
      </c>
      <c r="F5331" s="1290"/>
      <c r="G5331" s="1550"/>
    </row>
    <row r="5332" spans="1:7" ht="12.75" customHeight="1">
      <c r="A5332" s="1667">
        <v>44119</v>
      </c>
      <c r="B5332" s="816" t="str">
        <f>TiposLancamentos!B3</f>
        <v>Internet</v>
      </c>
      <c r="C5332" s="1769" t="s">
        <v>5835</v>
      </c>
      <c r="D5332" s="1736"/>
      <c r="E5332" s="1734">
        <v>85</v>
      </c>
      <c r="F5332" s="1043"/>
      <c r="G5332" s="1550"/>
    </row>
    <row r="5333" spans="1:7" ht="12.75" customHeight="1">
      <c r="A5333" s="1750">
        <v>44119</v>
      </c>
      <c r="B5333" s="818" t="str">
        <f>TiposLancamentos!B2</f>
        <v>Telefonia</v>
      </c>
      <c r="C5333" s="1743" t="s">
        <v>7210</v>
      </c>
      <c r="D5333" s="1737"/>
      <c r="E5333" s="1668">
        <v>0</v>
      </c>
      <c r="F5333" s="1291">
        <v>170</v>
      </c>
      <c r="G5333" s="1550"/>
    </row>
    <row r="5334" spans="1:7" ht="12.75" customHeight="1">
      <c r="A5334" s="1754">
        <v>44119</v>
      </c>
      <c r="B5334" s="125" t="str">
        <f>TiposLancamentos!B2</f>
        <v>Telefonia</v>
      </c>
      <c r="C5334" s="1770" t="s">
        <v>7368</v>
      </c>
      <c r="D5334" s="1736"/>
      <c r="E5334" s="1043">
        <v>73.989999999999995</v>
      </c>
      <c r="F5334" s="1043"/>
      <c r="G5334" s="1550"/>
    </row>
    <row r="5335" spans="1:7" ht="12.75" customHeight="1">
      <c r="A5335" s="1754">
        <v>44119</v>
      </c>
      <c r="B5335" s="125" t="str">
        <f>TiposLancamentos!B73</f>
        <v>Cursos</v>
      </c>
      <c r="C5335" s="1040" t="s">
        <v>7751</v>
      </c>
      <c r="D5335" s="1736"/>
      <c r="E5335" s="1043">
        <v>900</v>
      </c>
      <c r="F5335" s="1043"/>
      <c r="G5335" s="1550"/>
    </row>
    <row r="5336" spans="1:7" ht="12.75" customHeight="1">
      <c r="A5336" s="1754">
        <v>44120</v>
      </c>
      <c r="B5336" s="125" t="str">
        <f>TiposLancamentos!B46</f>
        <v>Maçonaria</v>
      </c>
      <c r="C5336" s="1040" t="s">
        <v>7752</v>
      </c>
      <c r="D5336" s="1736"/>
      <c r="E5336" s="1043">
        <v>180</v>
      </c>
      <c r="F5336" s="1043"/>
      <c r="G5336" s="1550"/>
    </row>
    <row r="5337" spans="1:7" ht="12.75" customHeight="1">
      <c r="A5337" s="1754">
        <v>44120</v>
      </c>
      <c r="B5337" s="125" t="str">
        <f>TiposLancamentos!B23</f>
        <v>P208 GRIFFE 1.6 AUT BUSINESS</v>
      </c>
      <c r="C5337" s="1040" t="s">
        <v>7753</v>
      </c>
      <c r="D5337" s="1736"/>
      <c r="E5337" s="1043">
        <v>70</v>
      </c>
      <c r="F5337" s="1043"/>
      <c r="G5337" s="1550"/>
    </row>
    <row r="5338" spans="1:7" ht="12.75" customHeight="1">
      <c r="A5338" s="1754">
        <v>44121</v>
      </c>
      <c r="B5338" s="125" t="str">
        <f>TiposLancamentos!B19</f>
        <v>Restaurantes</v>
      </c>
      <c r="C5338" s="1040" t="s">
        <v>7754</v>
      </c>
      <c r="D5338" s="1736"/>
      <c r="E5338" s="1043">
        <v>30.3</v>
      </c>
      <c r="F5338" s="1043"/>
      <c r="G5338" s="1550"/>
    </row>
    <row r="5339" spans="1:7" ht="12.75" customHeight="1">
      <c r="A5339" s="1754">
        <v>44122</v>
      </c>
      <c r="B5339" s="125" t="str">
        <f>TiposLancamentos!B19</f>
        <v>Restaurantes</v>
      </c>
      <c r="C5339" s="1040" t="s">
        <v>7755</v>
      </c>
      <c r="D5339" s="1736"/>
      <c r="E5339" s="1043">
        <v>133.80000000000001</v>
      </c>
      <c r="F5339" s="1043"/>
      <c r="G5339" s="1550"/>
    </row>
    <row r="5340" spans="1:7" ht="12.75" customHeight="1">
      <c r="A5340" s="1666">
        <v>44124</v>
      </c>
      <c r="B5340" s="817" t="str">
        <f>TiposLancamentos!B8</f>
        <v>Aluguel</v>
      </c>
      <c r="C5340" s="1742" t="s">
        <v>7756</v>
      </c>
      <c r="D5340" s="1735"/>
      <c r="E5340" s="1733">
        <f>F5345-SUM(E5341:E5345)</f>
        <v>1399.9999999999998</v>
      </c>
      <c r="F5340" s="1346"/>
      <c r="G5340" s="1550"/>
    </row>
    <row r="5341" spans="1:7" ht="12.75" customHeight="1">
      <c r="A5341" s="1667">
        <v>44124</v>
      </c>
      <c r="B5341" s="816" t="str">
        <f>TiposLancamentos!B12</f>
        <v>IPTU</v>
      </c>
      <c r="C5341" s="1769" t="s">
        <v>7757</v>
      </c>
      <c r="D5341" s="1736"/>
      <c r="E5341" s="1734">
        <v>40.520000000000003</v>
      </c>
      <c r="F5341" s="1043"/>
      <c r="G5341" s="1550"/>
    </row>
    <row r="5342" spans="1:7" ht="12.75" customHeight="1">
      <c r="A5342" s="1667">
        <v>44124</v>
      </c>
      <c r="B5342" s="816" t="str">
        <f>TiposLancamentos!B10</f>
        <v>Distr. Água Municipal</v>
      </c>
      <c r="C5342" s="1769" t="s">
        <v>7423</v>
      </c>
      <c r="D5342" s="1736"/>
      <c r="E5342" s="1734">
        <v>55.25</v>
      </c>
      <c r="F5342" s="1043"/>
      <c r="G5342" s="1550"/>
    </row>
    <row r="5343" spans="1:7" ht="12.75" customHeight="1">
      <c r="A5343" s="1667">
        <v>44124</v>
      </c>
      <c r="B5343" s="816" t="str">
        <f>TiposLancamentos!B11</f>
        <v>Coleta Municipal Lixo</v>
      </c>
      <c r="C5343" s="1769" t="s">
        <v>7424</v>
      </c>
      <c r="D5343" s="1736"/>
      <c r="E5343" s="1734">
        <v>42.33</v>
      </c>
      <c r="F5343" s="1043"/>
      <c r="G5343" s="1550"/>
    </row>
    <row r="5344" spans="1:7" ht="12.75" customHeight="1">
      <c r="A5344" s="1667">
        <v>44124</v>
      </c>
      <c r="B5344" s="816" t="str">
        <f>TiposLancamentos!B8</f>
        <v>Aluguel</v>
      </c>
      <c r="C5344" s="1769" t="s">
        <v>7425</v>
      </c>
      <c r="D5344" s="1736"/>
      <c r="E5344" s="1734">
        <v>8</v>
      </c>
      <c r="F5344" s="1043"/>
      <c r="G5344" s="1550"/>
    </row>
    <row r="5345" spans="1:7" ht="12.75" customHeight="1">
      <c r="A5345" s="1750">
        <v>44124</v>
      </c>
      <c r="B5345" s="818" t="str">
        <f>TiposLancamentos!B9</f>
        <v>Condominio</v>
      </c>
      <c r="C5345" s="1743" t="s">
        <v>7427</v>
      </c>
      <c r="D5345" s="1737"/>
      <c r="E5345" s="1668">
        <v>616.37</v>
      </c>
      <c r="F5345" s="1291">
        <v>2162.4699999999998</v>
      </c>
      <c r="G5345" s="1550"/>
    </row>
    <row r="5346" spans="1:7" ht="12.75" customHeight="1">
      <c r="A5346" s="1754">
        <v>44124</v>
      </c>
      <c r="B5346" s="125" t="str">
        <f>TiposLancamentos!B5</f>
        <v>Supermercado</v>
      </c>
      <c r="C5346" s="1040" t="s">
        <v>7758</v>
      </c>
      <c r="D5346" s="1736"/>
      <c r="E5346" s="1043">
        <v>63.84</v>
      </c>
      <c r="F5346" s="1043"/>
      <c r="G5346" s="1550"/>
    </row>
    <row r="5347" spans="1:7" ht="12.75" customHeight="1">
      <c r="A5347" s="1754">
        <v>44124</v>
      </c>
      <c r="B5347" s="125" t="str">
        <f>TiposLancamentos!B24</f>
        <v>Estacionamentos</v>
      </c>
      <c r="C5347" s="1040" t="s">
        <v>7759</v>
      </c>
      <c r="D5347" s="1736"/>
      <c r="E5347" s="1043">
        <v>15</v>
      </c>
      <c r="F5347" s="1043"/>
      <c r="G5347" s="1550"/>
    </row>
    <row r="5348" spans="1:7" ht="12.75" customHeight="1">
      <c r="A5348" s="1754">
        <v>44124</v>
      </c>
      <c r="B5348" s="125" t="str">
        <f>TiposLancamentos!B19</f>
        <v>Restaurantes</v>
      </c>
      <c r="C5348" s="1040" t="s">
        <v>7760</v>
      </c>
      <c r="D5348" s="1736"/>
      <c r="E5348" s="1043">
        <v>28.6</v>
      </c>
      <c r="F5348" s="1043"/>
      <c r="G5348" s="1550"/>
    </row>
    <row r="5349" spans="1:7" ht="12.75" customHeight="1">
      <c r="A5349" s="1754">
        <v>44125</v>
      </c>
      <c r="B5349" s="125" t="str">
        <f>TiposLancamentos!B56</f>
        <v>Farmácia</v>
      </c>
      <c r="C5349" s="1040" t="s">
        <v>7761</v>
      </c>
      <c r="D5349" s="1736"/>
      <c r="E5349" s="1043">
        <v>139.46</v>
      </c>
      <c r="F5349" s="1043"/>
      <c r="G5349" s="1550"/>
    </row>
    <row r="5350" spans="1:7" ht="12.75" customHeight="1">
      <c r="A5350" s="1754">
        <v>44125</v>
      </c>
      <c r="B5350" s="125" t="str">
        <f>TiposLancamentos!B13</f>
        <v>Moradia</v>
      </c>
      <c r="C5350" s="1040" t="s">
        <v>7762</v>
      </c>
      <c r="D5350" s="1736"/>
      <c r="E5350" s="1043">
        <v>17</v>
      </c>
      <c r="F5350" s="1043"/>
      <c r="G5350" s="1550"/>
    </row>
    <row r="5351" spans="1:7" ht="12.75" customHeight="1">
      <c r="A5351" s="1754">
        <v>44125</v>
      </c>
      <c r="B5351" s="125" t="str">
        <f>TiposLancamentos!B6</f>
        <v>Energia Eletrica</v>
      </c>
      <c r="C5351" s="1040" t="s">
        <v>7763</v>
      </c>
      <c r="D5351" s="1736"/>
      <c r="E5351" s="1043">
        <v>245.99</v>
      </c>
      <c r="F5351" s="1043"/>
      <c r="G5351" s="1550"/>
    </row>
    <row r="5352" spans="1:7" ht="12.75" customHeight="1">
      <c r="A5352" s="1754">
        <v>44125</v>
      </c>
      <c r="B5352" s="125" t="str">
        <f>TiposLancamentos!B19</f>
        <v>Restaurantes</v>
      </c>
      <c r="C5352" s="1040" t="s">
        <v>7764</v>
      </c>
      <c r="D5352" s="1736"/>
      <c r="E5352" s="1043">
        <v>23</v>
      </c>
      <c r="F5352" s="1043"/>
      <c r="G5352" s="1550"/>
    </row>
    <row r="5353" spans="1:7" ht="12.75" customHeight="1">
      <c r="A5353" s="1754">
        <v>44125</v>
      </c>
      <c r="B5353" s="125" t="str">
        <f>TiposLancamentos!B97</f>
        <v>Deposito Terc.</v>
      </c>
      <c r="C5353" s="1040" t="s">
        <v>7765</v>
      </c>
      <c r="D5353" s="1736">
        <v>208</v>
      </c>
      <c r="E5353" s="1043"/>
      <c r="F5353" s="1043"/>
      <c r="G5353" s="1550"/>
    </row>
    <row r="5354" spans="1:7" ht="12.75" customHeight="1">
      <c r="A5354" s="1754">
        <v>44126</v>
      </c>
      <c r="B5354" s="125" t="str">
        <f>TiposLancamentos!B19</f>
        <v>Restaurantes</v>
      </c>
      <c r="C5354" s="1040" t="s">
        <v>7764</v>
      </c>
      <c r="D5354" s="1736"/>
      <c r="E5354" s="1043">
        <v>23</v>
      </c>
      <c r="F5354" s="1043"/>
      <c r="G5354" s="1550"/>
    </row>
    <row r="5355" spans="1:7" ht="12.75" customHeight="1">
      <c r="A5355" s="1754">
        <v>44127</v>
      </c>
      <c r="B5355" s="125" t="str">
        <f>TiposLancamentos!B19</f>
        <v>Restaurantes</v>
      </c>
      <c r="C5355" s="1040" t="s">
        <v>7764</v>
      </c>
      <c r="D5355" s="1736"/>
      <c r="E5355" s="1043">
        <v>35.5</v>
      </c>
      <c r="F5355" s="1043"/>
      <c r="G5355" s="1550"/>
    </row>
    <row r="5356" spans="1:7" ht="12.75" customHeight="1">
      <c r="A5356" s="1754">
        <v>44128</v>
      </c>
      <c r="B5356" s="125" t="str">
        <f>TiposLancamentos!B19</f>
        <v>Restaurantes</v>
      </c>
      <c r="C5356" s="1040" t="s">
        <v>7766</v>
      </c>
      <c r="D5356" s="1736"/>
      <c r="E5356" s="1043">
        <v>27.9</v>
      </c>
      <c r="F5356" s="1043"/>
      <c r="G5356" s="1550"/>
    </row>
    <row r="5357" spans="1:7" ht="12.75" customHeight="1">
      <c r="A5357" s="1754">
        <v>44128</v>
      </c>
      <c r="B5357" s="125" t="str">
        <f>TiposLancamentos!B5</f>
        <v>Supermercado</v>
      </c>
      <c r="C5357" s="1040" t="s">
        <v>7767</v>
      </c>
      <c r="D5357" s="1736"/>
      <c r="E5357" s="1043">
        <v>30.83</v>
      </c>
      <c r="F5357" s="1043"/>
      <c r="G5357" s="1550"/>
    </row>
    <row r="5358" spans="1:7" ht="12.75" customHeight="1">
      <c r="A5358" s="1754">
        <v>44130</v>
      </c>
      <c r="B5358" s="125" t="str">
        <f>TiposLancamentos!B22</f>
        <v>Combustivel</v>
      </c>
      <c r="C5358" s="1040" t="s">
        <v>1880</v>
      </c>
      <c r="D5358" s="1736"/>
      <c r="E5358" s="1043">
        <v>100</v>
      </c>
      <c r="F5358" s="1043"/>
      <c r="G5358" s="1550"/>
    </row>
    <row r="5359" spans="1:7" ht="12.75" customHeight="1">
      <c r="A5359" s="1754">
        <v>44130</v>
      </c>
      <c r="B5359" s="125" t="str">
        <f>TiposLancamentos!B19</f>
        <v>Restaurantes</v>
      </c>
      <c r="C5359" s="1040" t="s">
        <v>7768</v>
      </c>
      <c r="D5359" s="1736"/>
      <c r="E5359" s="1043">
        <v>70.13</v>
      </c>
      <c r="F5359" s="1043"/>
      <c r="G5359" s="1550"/>
    </row>
    <row r="5360" spans="1:7" ht="12.75" customHeight="1">
      <c r="A5360" s="1754">
        <v>44130</v>
      </c>
      <c r="B5360" s="125" t="str">
        <f>TiposLancamentos!B13</f>
        <v>Moradia</v>
      </c>
      <c r="C5360" s="1040" t="s">
        <v>7769</v>
      </c>
      <c r="D5360" s="1736"/>
      <c r="E5360" s="1043">
        <v>22.97</v>
      </c>
      <c r="F5360" s="1043"/>
      <c r="G5360" s="1550"/>
    </row>
    <row r="5361" spans="1:7" ht="12.75" customHeight="1">
      <c r="A5361" s="1754">
        <v>44131</v>
      </c>
      <c r="B5361" s="125" t="str">
        <f>TiposLancamentos!B44</f>
        <v>Academia</v>
      </c>
      <c r="C5361" s="1040" t="s">
        <v>7770</v>
      </c>
      <c r="D5361" s="1736"/>
      <c r="E5361" s="1043">
        <v>30.9</v>
      </c>
      <c r="F5361" s="1043"/>
      <c r="G5361" s="1550"/>
    </row>
    <row r="5362" spans="1:7" ht="12.75" customHeight="1">
      <c r="A5362" s="1754">
        <v>44131</v>
      </c>
      <c r="B5362" s="125" t="str">
        <f>TiposLancamentos!B24</f>
        <v>Estacionamentos</v>
      </c>
      <c r="C5362" s="1040" t="s">
        <v>7490</v>
      </c>
      <c r="D5362" s="1736"/>
      <c r="E5362" s="1043">
        <v>8</v>
      </c>
      <c r="F5362" s="1043"/>
      <c r="G5362" s="1550"/>
    </row>
    <row r="5363" spans="1:7" ht="12.75" customHeight="1">
      <c r="A5363" s="1754">
        <v>44131</v>
      </c>
      <c r="B5363" s="125" t="str">
        <f>TiposLancamentos!B5</f>
        <v>Supermercado</v>
      </c>
      <c r="C5363" s="1040" t="s">
        <v>7771</v>
      </c>
      <c r="D5363" s="1736"/>
      <c r="E5363" s="1043">
        <v>261.25</v>
      </c>
      <c r="F5363" s="1043"/>
      <c r="G5363" s="1550"/>
    </row>
    <row r="5364" spans="1:7" ht="12.75" customHeight="1">
      <c r="A5364" s="1754">
        <v>44133</v>
      </c>
      <c r="B5364" s="125" t="str">
        <f>TiposLancamentos!B69</f>
        <v>Consertos</v>
      </c>
      <c r="C5364" s="1040" t="s">
        <v>7772</v>
      </c>
      <c r="D5364" s="1736"/>
      <c r="E5364" s="1043">
        <v>540</v>
      </c>
      <c r="F5364" s="1043"/>
      <c r="G5364" s="1550"/>
    </row>
    <row r="5365" spans="1:7" ht="12.75" customHeight="1">
      <c r="A5365" s="1754">
        <v>44134</v>
      </c>
      <c r="B5365" s="125" t="str">
        <f>TiposLancamentos!B103</f>
        <v>Juros_Corr. Poupança</v>
      </c>
      <c r="C5365" s="1040" t="s">
        <v>7341</v>
      </c>
      <c r="D5365" s="1736">
        <v>0.01</v>
      </c>
      <c r="E5365" s="1043"/>
      <c r="F5365" s="1043"/>
      <c r="G5365" s="1550"/>
    </row>
    <row r="5366" spans="1:7" ht="12.75" customHeight="1">
      <c r="A5366" s="1754">
        <v>44134</v>
      </c>
      <c r="B5366" s="125" t="str">
        <f>TiposLancamentos!B19</f>
        <v>Restaurantes</v>
      </c>
      <c r="C5366" s="1040" t="s">
        <v>7773</v>
      </c>
      <c r="D5366" s="1736"/>
      <c r="E5366" s="1043">
        <v>270.39</v>
      </c>
      <c r="F5366" s="1043"/>
      <c r="G5366" s="1550"/>
    </row>
    <row r="5367" spans="1:7" ht="12.75" customHeight="1">
      <c r="A5367" s="1754">
        <v>44134</v>
      </c>
      <c r="B5367" s="125" t="str">
        <f>TiposLancamentos!B19</f>
        <v>Restaurantes</v>
      </c>
      <c r="C5367" s="1040" t="s">
        <v>7774</v>
      </c>
      <c r="D5367" s="1736"/>
      <c r="E5367" s="1043">
        <v>90.47</v>
      </c>
      <c r="F5367" s="1043"/>
      <c r="G5367" s="1550"/>
    </row>
    <row r="5368" spans="1:7" ht="12.75" customHeight="1">
      <c r="A5368" s="1754">
        <v>44134</v>
      </c>
      <c r="B5368" s="125" t="str">
        <f>TiposLancamentos!B19</f>
        <v>Restaurantes</v>
      </c>
      <c r="C5368" s="1040" t="s">
        <v>7775</v>
      </c>
      <c r="D5368" s="1736"/>
      <c r="E5368" s="1043">
        <v>22.8</v>
      </c>
      <c r="F5368" s="1043"/>
      <c r="G5368" s="1550"/>
    </row>
    <row r="5369" spans="1:7" ht="12.75" customHeight="1">
      <c r="A5369" s="1754">
        <v>44134</v>
      </c>
      <c r="B5369" s="125" t="str">
        <f>TiposLancamentos!B16</f>
        <v>Cristiane</v>
      </c>
      <c r="C5369" s="1040" t="s">
        <v>5872</v>
      </c>
      <c r="D5369" s="1736"/>
      <c r="E5369" s="1043">
        <v>105.72</v>
      </c>
      <c r="F5369" s="1043"/>
      <c r="G5369" s="1550"/>
    </row>
    <row r="5370" spans="1:7" ht="12.75" customHeight="1">
      <c r="A5370" s="1754">
        <v>44134</v>
      </c>
      <c r="B5370" s="125" t="str">
        <f>TiposLancamentos!B5</f>
        <v>Supermercado</v>
      </c>
      <c r="C5370" s="1040" t="s">
        <v>7667</v>
      </c>
      <c r="D5370" s="1736"/>
      <c r="E5370" s="1043">
        <v>167.95</v>
      </c>
      <c r="F5370" s="1043"/>
      <c r="G5370" s="1550"/>
    </row>
    <row r="5371" spans="1:7" ht="12.75" customHeight="1">
      <c r="A5371" s="1754">
        <v>44135</v>
      </c>
      <c r="B5371" s="125" t="str">
        <f>TiposLancamentos!B19</f>
        <v>Restaurantes</v>
      </c>
      <c r="C5371" s="1040" t="s">
        <v>7776</v>
      </c>
      <c r="D5371" s="1736"/>
      <c r="E5371" s="1043">
        <v>115.28</v>
      </c>
      <c r="F5371" s="1043"/>
      <c r="G5371" s="1550"/>
    </row>
    <row r="5372" spans="1:7" ht="12.75" customHeight="1" thickBot="1">
      <c r="A5372" s="1754">
        <v>44135</v>
      </c>
      <c r="B5372" s="125" t="str">
        <f>TiposLancamentos!B19</f>
        <v>Restaurantes</v>
      </c>
      <c r="C5372" s="1040" t="s">
        <v>7777</v>
      </c>
      <c r="D5372" s="1736"/>
      <c r="E5372" s="1043">
        <v>20.5</v>
      </c>
      <c r="F5372" s="1043"/>
      <c r="G5372" s="1550"/>
    </row>
    <row r="5373" spans="1:7" ht="12.75" customHeight="1">
      <c r="A5373" s="1834"/>
      <c r="B5373" s="977"/>
      <c r="C5373" s="1854" t="s">
        <v>7778</v>
      </c>
      <c r="D5373" s="1823"/>
      <c r="E5373" s="1821"/>
      <c r="F5373" s="1821"/>
      <c r="G5373" s="1895"/>
    </row>
    <row r="5374" spans="1:7" ht="12.75" customHeight="1">
      <c r="A5374" s="1754">
        <v>44136</v>
      </c>
      <c r="B5374" s="125" t="str">
        <f>B5371</f>
        <v>Restaurantes</v>
      </c>
      <c r="C5374" s="1040" t="s">
        <v>7779</v>
      </c>
      <c r="D5374" s="1736"/>
      <c r="E5374" s="1043">
        <v>64.099999999999994</v>
      </c>
      <c r="F5374" s="1043"/>
      <c r="G5374" s="1550"/>
    </row>
    <row r="5375" spans="1:7" ht="12.75" customHeight="1">
      <c r="A5375" s="1754">
        <v>44138</v>
      </c>
      <c r="B5375" s="125" t="str">
        <f>TiposLancamentos!B96</f>
        <v>Resg.Poup.</v>
      </c>
      <c r="C5375" s="1040" t="s">
        <v>7780</v>
      </c>
      <c r="D5375" s="1736">
        <v>4002.45</v>
      </c>
      <c r="E5375" s="1043"/>
      <c r="F5375" s="1043"/>
      <c r="G5375" s="1550"/>
    </row>
    <row r="5376" spans="1:7" ht="12.75" customHeight="1">
      <c r="A5376" s="1754">
        <v>44138</v>
      </c>
      <c r="B5376" s="125" t="str">
        <f>TiposLancamentos!B15</f>
        <v>Cartões de Crédito</v>
      </c>
      <c r="C5376" s="1040" t="s">
        <v>7781</v>
      </c>
      <c r="D5376" s="1736"/>
      <c r="E5376" s="1043">
        <v>2580.46</v>
      </c>
      <c r="F5376" s="1043"/>
      <c r="G5376" s="1550"/>
    </row>
    <row r="5377" spans="1:7" ht="12.75" customHeight="1">
      <c r="A5377" s="1754">
        <v>44138</v>
      </c>
      <c r="B5377" s="125" t="str">
        <f>TiposLancamentos!B15</f>
        <v>Cartões de Crédito</v>
      </c>
      <c r="C5377" s="1040" t="s">
        <v>7333</v>
      </c>
      <c r="D5377" s="1736"/>
      <c r="E5377" s="1043">
        <v>1015.36</v>
      </c>
      <c r="F5377" s="1043"/>
      <c r="G5377" s="1550"/>
    </row>
    <row r="5378" spans="1:7" ht="12.75" customHeight="1">
      <c r="A5378" s="1754">
        <v>44138</v>
      </c>
      <c r="B5378" s="125" t="str">
        <f>TiposLancamentos!B14</f>
        <v>Gás de cozinha</v>
      </c>
      <c r="C5378" s="1040" t="s">
        <v>7782</v>
      </c>
      <c r="D5378" s="1736"/>
      <c r="E5378" s="1043">
        <v>34.46</v>
      </c>
      <c r="F5378" s="1043"/>
      <c r="G5378" s="1550"/>
    </row>
    <row r="5379" spans="1:7" ht="12.75" customHeight="1">
      <c r="A5379" s="1754">
        <v>44138</v>
      </c>
      <c r="B5379" s="125" t="str">
        <f>TiposLancamentos!B5</f>
        <v>Supermercado</v>
      </c>
      <c r="C5379" s="1040" t="s">
        <v>7783</v>
      </c>
      <c r="D5379" s="1736"/>
      <c r="E5379" s="1043">
        <v>86.75</v>
      </c>
      <c r="F5379" s="1043"/>
      <c r="G5379" s="1550"/>
    </row>
    <row r="5380" spans="1:7" ht="12.75" customHeight="1">
      <c r="A5380" s="1754">
        <v>44139</v>
      </c>
      <c r="B5380" s="125" t="str">
        <f>TiposLancamentos!B19</f>
        <v>Restaurantes</v>
      </c>
      <c r="C5380" s="1040" t="s">
        <v>7784</v>
      </c>
      <c r="D5380" s="1736"/>
      <c r="E5380" s="1043">
        <v>125.18</v>
      </c>
      <c r="F5380" s="1043"/>
      <c r="G5380" s="1550"/>
    </row>
    <row r="5381" spans="1:7" ht="12.75" customHeight="1">
      <c r="A5381" s="1754">
        <v>44139</v>
      </c>
      <c r="B5381" s="125" t="str">
        <f>TiposLancamentos!B56</f>
        <v>Farmácia</v>
      </c>
      <c r="C5381" s="1040" t="s">
        <v>7785</v>
      </c>
      <c r="D5381" s="1736"/>
      <c r="E5381" s="1043">
        <v>152.08000000000001</v>
      </c>
      <c r="F5381" s="1043"/>
      <c r="G5381" s="1550"/>
    </row>
    <row r="5382" spans="1:7" ht="12.75" customHeight="1">
      <c r="A5382" s="1754">
        <v>44139</v>
      </c>
      <c r="B5382" s="125" t="str">
        <f>TiposLancamentos!B19</f>
        <v>Restaurantes</v>
      </c>
      <c r="C5382" s="1040" t="s">
        <v>7786</v>
      </c>
      <c r="D5382" s="1736"/>
      <c r="E5382" s="1043">
        <v>34</v>
      </c>
      <c r="F5382" s="1043"/>
      <c r="G5382" s="1550"/>
    </row>
    <row r="5383" spans="1:7" ht="12.75" customHeight="1">
      <c r="A5383" s="1754">
        <v>44140</v>
      </c>
      <c r="B5383" s="125" t="str">
        <f>TiposLancamentos!B4</f>
        <v>Taxas Bancarias</v>
      </c>
      <c r="C5383" s="1040" t="s">
        <v>7681</v>
      </c>
      <c r="D5383" s="1736"/>
      <c r="E5383" s="1043">
        <v>5.25</v>
      </c>
      <c r="F5383" s="1043"/>
      <c r="G5383" s="1550"/>
    </row>
    <row r="5384" spans="1:7" ht="12.75" customHeight="1">
      <c r="A5384" s="1754">
        <v>44140</v>
      </c>
      <c r="B5384" s="125" t="str">
        <f>TiposLancamentos!B4</f>
        <v>Taxas Bancarias</v>
      </c>
      <c r="C5384" s="1040" t="s">
        <v>7787</v>
      </c>
      <c r="D5384" s="1736"/>
      <c r="E5384" s="1043">
        <v>45</v>
      </c>
      <c r="F5384" s="1043"/>
      <c r="G5384" s="1550"/>
    </row>
    <row r="5385" spans="1:7" ht="12.75" customHeight="1">
      <c r="A5385" s="1754">
        <v>44140</v>
      </c>
      <c r="B5385" s="125" t="str">
        <f>TiposLancamentos!B5</f>
        <v>Supermercado</v>
      </c>
      <c r="C5385" s="1040" t="s">
        <v>7788</v>
      </c>
      <c r="D5385" s="1736"/>
      <c r="E5385" s="1043">
        <v>119.43</v>
      </c>
      <c r="F5385" s="1043"/>
      <c r="G5385" s="1550"/>
    </row>
    <row r="5386" spans="1:7" ht="12.75" customHeight="1">
      <c r="A5386" s="1754">
        <v>44140</v>
      </c>
      <c r="B5386" s="125" t="str">
        <f>TiposLancamentos!B4</f>
        <v>Taxas Bancarias</v>
      </c>
      <c r="C5386" s="1040" t="s">
        <v>7789</v>
      </c>
      <c r="D5386" s="1736"/>
      <c r="E5386" s="1043">
        <v>2</v>
      </c>
      <c r="F5386" s="1043"/>
      <c r="G5386" s="1550"/>
    </row>
    <row r="5387" spans="1:7" ht="12.75" customHeight="1">
      <c r="A5387" s="1754">
        <v>44140</v>
      </c>
      <c r="B5387" s="125" t="str">
        <f>TiposLancamentos!B4</f>
        <v>Taxas Bancarias</v>
      </c>
      <c r="C5387" s="1040" t="s">
        <v>5707</v>
      </c>
      <c r="D5387" s="1736"/>
      <c r="E5387" s="1043">
        <v>9.0500000000000007</v>
      </c>
      <c r="F5387" s="1043"/>
      <c r="G5387" s="1550"/>
    </row>
    <row r="5388" spans="1:7" ht="12.75" customHeight="1">
      <c r="A5388" s="1754">
        <v>44142</v>
      </c>
      <c r="B5388" s="125" t="str">
        <f>TiposLancamentos!B19</f>
        <v>Restaurantes</v>
      </c>
      <c r="C5388" s="1040" t="s">
        <v>7790</v>
      </c>
      <c r="D5388" s="1736"/>
      <c r="E5388" s="1043">
        <v>64.33</v>
      </c>
      <c r="F5388" s="1043"/>
      <c r="G5388" s="1550"/>
    </row>
    <row r="5389" spans="1:7" ht="12.75" customHeight="1">
      <c r="A5389" s="1754">
        <v>44142</v>
      </c>
      <c r="B5389" s="125" t="str">
        <f>TiposLancamentos!B19</f>
        <v>Restaurantes</v>
      </c>
      <c r="C5389" s="1040" t="s">
        <v>7595</v>
      </c>
      <c r="D5389" s="1736"/>
      <c r="E5389" s="1043">
        <v>22.8</v>
      </c>
      <c r="F5389" s="1043"/>
      <c r="G5389" s="1550"/>
    </row>
    <row r="5390" spans="1:7" ht="12.75" customHeight="1">
      <c r="A5390" s="1754">
        <v>44142</v>
      </c>
      <c r="B5390" s="125" t="str">
        <f>TiposLancamentos!B24</f>
        <v>Estacionamentos</v>
      </c>
      <c r="C5390" s="1040" t="s">
        <v>3253</v>
      </c>
      <c r="D5390" s="1736"/>
      <c r="E5390" s="1043">
        <v>12</v>
      </c>
      <c r="F5390" s="1043"/>
      <c r="G5390" s="1550"/>
    </row>
    <row r="5391" spans="1:7" ht="12.75" customHeight="1">
      <c r="A5391" s="1754">
        <v>44143</v>
      </c>
      <c r="B5391" s="125" t="str">
        <f>TiposLancamentos!B22</f>
        <v>Combustivel</v>
      </c>
      <c r="C5391" s="1040" t="s">
        <v>2001</v>
      </c>
      <c r="D5391" s="1736"/>
      <c r="E5391" s="1043">
        <v>70</v>
      </c>
      <c r="F5391" s="1043"/>
      <c r="G5391" s="1550"/>
    </row>
    <row r="5392" spans="1:7" ht="12.75" customHeight="1">
      <c r="A5392" s="1754">
        <v>44143</v>
      </c>
      <c r="B5392" s="125" t="str">
        <f>TiposLancamentos!B19</f>
        <v>Restaurantes</v>
      </c>
      <c r="C5392" s="1040" t="s">
        <v>7791</v>
      </c>
      <c r="D5392" s="1736"/>
      <c r="E5392" s="1043">
        <v>136.72999999999999</v>
      </c>
      <c r="F5392" s="1043"/>
      <c r="G5392" s="1550"/>
    </row>
    <row r="5393" spans="1:7" ht="12.75" customHeight="1">
      <c r="A5393" s="1754">
        <v>44143</v>
      </c>
      <c r="B5393" s="125" t="str">
        <f>TiposLancamentos!B5</f>
        <v>Supermercado</v>
      </c>
      <c r="C5393" s="1040" t="s">
        <v>3618</v>
      </c>
      <c r="D5393" s="1736"/>
      <c r="E5393" s="1043">
        <v>24.44</v>
      </c>
      <c r="F5393" s="1043"/>
      <c r="G5393" s="1550"/>
    </row>
    <row r="5394" spans="1:7" ht="12.75" customHeight="1">
      <c r="A5394" s="1754">
        <v>44145</v>
      </c>
      <c r="B5394" s="125" t="str">
        <f>TiposLancamentos!B5</f>
        <v>Supermercado</v>
      </c>
      <c r="C5394" s="1040" t="s">
        <v>7783</v>
      </c>
      <c r="D5394" s="1736"/>
      <c r="E5394" s="1043">
        <v>231.44</v>
      </c>
      <c r="F5394" s="1043"/>
      <c r="G5394" s="1550"/>
    </row>
    <row r="5395" spans="1:7" ht="12.75" customHeight="1">
      <c r="A5395" s="1754">
        <v>44145</v>
      </c>
      <c r="B5395" s="125" t="str">
        <f>TiposLancamentos!B24</f>
        <v>Estacionamentos</v>
      </c>
      <c r="C5395" s="1040" t="s">
        <v>1898</v>
      </c>
      <c r="D5395" s="1736"/>
      <c r="E5395" s="1043">
        <v>15</v>
      </c>
      <c r="F5395" s="1043"/>
      <c r="G5395" s="1550"/>
    </row>
    <row r="5396" spans="1:7" ht="12.75" customHeight="1">
      <c r="A5396" s="1754">
        <v>44145</v>
      </c>
      <c r="B5396" s="125" t="str">
        <f>TiposLancamentos!B19</f>
        <v>Restaurantes</v>
      </c>
      <c r="C5396" s="1040" t="s">
        <v>1967</v>
      </c>
      <c r="D5396" s="1736"/>
      <c r="E5396" s="1043">
        <v>24.2</v>
      </c>
      <c r="F5396" s="1043"/>
      <c r="G5396" s="1550"/>
    </row>
    <row r="5397" spans="1:7" ht="12.75" customHeight="1">
      <c r="A5397" s="1754">
        <v>44146</v>
      </c>
      <c r="B5397" s="125" t="str">
        <f>TiposLancamentos!B19</f>
        <v>Restaurantes</v>
      </c>
      <c r="C5397" s="1040" t="s">
        <v>7792</v>
      </c>
      <c r="D5397" s="1736"/>
      <c r="E5397" s="1043">
        <v>41.9</v>
      </c>
      <c r="F5397" s="1043"/>
      <c r="G5397" s="1550"/>
    </row>
    <row r="5398" spans="1:7" ht="12.75" customHeight="1">
      <c r="A5398" s="1754">
        <v>44146</v>
      </c>
      <c r="B5398" s="125" t="str">
        <f>TiposLancamentos!B19</f>
        <v>Restaurantes</v>
      </c>
      <c r="C5398" s="1040" t="s">
        <v>7793</v>
      </c>
      <c r="D5398" s="1736"/>
      <c r="E5398" s="1043">
        <v>52</v>
      </c>
      <c r="F5398" s="1043"/>
      <c r="G5398" s="1550"/>
    </row>
    <row r="5399" spans="1:7" ht="12.75" customHeight="1">
      <c r="A5399" s="1754">
        <v>44146</v>
      </c>
      <c r="B5399" s="125" t="str">
        <f>TiposLancamentos!B24</f>
        <v>Estacionamentos</v>
      </c>
      <c r="C5399" s="1040" t="s">
        <v>3309</v>
      </c>
      <c r="D5399" s="1736"/>
      <c r="E5399" s="1043">
        <v>30</v>
      </c>
      <c r="F5399" s="1043"/>
      <c r="G5399" s="1550"/>
    </row>
    <row r="5400" spans="1:7" ht="12.75" customHeight="1">
      <c r="A5400" s="1754">
        <v>44147</v>
      </c>
      <c r="B5400" s="125" t="str">
        <f>TiposLancamentos!B19</f>
        <v>Restaurantes</v>
      </c>
      <c r="C5400" s="1040" t="s">
        <v>7447</v>
      </c>
      <c r="D5400" s="1736"/>
      <c r="E5400" s="1043">
        <v>15.5</v>
      </c>
      <c r="F5400" s="1043"/>
      <c r="G5400" s="1550"/>
    </row>
    <row r="5401" spans="1:7" ht="12.75" customHeight="1">
      <c r="A5401" s="1754">
        <v>44148</v>
      </c>
      <c r="B5401" s="125" t="str">
        <f>TiposLancamentos!B95</f>
        <v>Salarios</v>
      </c>
      <c r="C5401" s="1040" t="s">
        <v>7694</v>
      </c>
      <c r="D5401" s="1736">
        <v>7303.22</v>
      </c>
      <c r="E5401" s="1043"/>
      <c r="F5401" s="1043"/>
      <c r="G5401" s="1550"/>
    </row>
    <row r="5402" spans="1:7" ht="12.75" customHeight="1">
      <c r="A5402" s="1754">
        <v>44149</v>
      </c>
      <c r="B5402" s="125" t="str">
        <f>TiposLancamentos!B71</f>
        <v>Itens Pessoais</v>
      </c>
      <c r="C5402" s="1040" t="s">
        <v>7794</v>
      </c>
      <c r="D5402" s="1736"/>
      <c r="E5402" s="1043">
        <v>16.02</v>
      </c>
      <c r="F5402" s="1043"/>
      <c r="G5402" s="1550"/>
    </row>
    <row r="5403" spans="1:7" ht="12.75" customHeight="1">
      <c r="A5403" s="1754">
        <v>44149</v>
      </c>
      <c r="B5403" s="125" t="str">
        <f>TiposLancamentos!B19</f>
        <v>Restaurantes</v>
      </c>
      <c r="C5403" s="1040" t="s">
        <v>7657</v>
      </c>
      <c r="D5403" s="1736"/>
      <c r="E5403" s="1043">
        <v>24</v>
      </c>
      <c r="F5403" s="1043"/>
      <c r="G5403" s="1550"/>
    </row>
    <row r="5404" spans="1:7" ht="12.75" customHeight="1">
      <c r="A5404" s="1754">
        <v>44149</v>
      </c>
      <c r="B5404" s="125" t="str">
        <f>TiposLancamentos!B13</f>
        <v>Moradia</v>
      </c>
      <c r="C5404" s="1040" t="s">
        <v>3785</v>
      </c>
      <c r="D5404" s="1736"/>
      <c r="E5404" s="1043">
        <v>28</v>
      </c>
      <c r="F5404" s="1043"/>
      <c r="G5404" s="1550"/>
    </row>
    <row r="5405" spans="1:7" ht="12.75" customHeight="1">
      <c r="A5405" s="1754">
        <v>44149</v>
      </c>
      <c r="B5405" s="125" t="str">
        <f>TiposLancamentos!B24</f>
        <v>Estacionamentos</v>
      </c>
      <c r="C5405" s="1040" t="s">
        <v>3253</v>
      </c>
      <c r="D5405" s="1736"/>
      <c r="E5405" s="1043">
        <v>8</v>
      </c>
      <c r="F5405" s="1043"/>
      <c r="G5405" s="1550"/>
    </row>
    <row r="5406" spans="1:7" ht="12.75" customHeight="1">
      <c r="A5406" s="1754">
        <v>44149</v>
      </c>
      <c r="B5406" s="125" t="str">
        <f>TiposLancamentos!B19</f>
        <v>Restaurantes</v>
      </c>
      <c r="C5406" s="1040" t="s">
        <v>7447</v>
      </c>
      <c r="D5406" s="1736"/>
      <c r="E5406" s="1043">
        <v>14</v>
      </c>
      <c r="F5406" s="1043"/>
      <c r="G5406" s="1550"/>
    </row>
    <row r="5407" spans="1:7" ht="12.75" customHeight="1">
      <c r="A5407" s="1754">
        <v>44149</v>
      </c>
      <c r="B5407" s="125" t="str">
        <f>TiposLancamentos!B19</f>
        <v>Restaurantes</v>
      </c>
      <c r="C5407" s="1040" t="s">
        <v>7447</v>
      </c>
      <c r="D5407" s="1736"/>
      <c r="E5407" s="1043">
        <v>21.5</v>
      </c>
      <c r="F5407" s="1043"/>
      <c r="G5407" s="1550"/>
    </row>
    <row r="5408" spans="1:7" ht="12.75" customHeight="1">
      <c r="A5408" s="1754">
        <v>44150</v>
      </c>
      <c r="B5408" s="125" t="str">
        <f>TiposLancamentos!B22</f>
        <v>Combustivel</v>
      </c>
      <c r="C5408" s="1040" t="s">
        <v>7795</v>
      </c>
      <c r="D5408" s="1736"/>
      <c r="E5408" s="1043">
        <v>70</v>
      </c>
      <c r="F5408" s="1043"/>
      <c r="G5408" s="1550"/>
    </row>
    <row r="5409" spans="1:7" ht="12.75" customHeight="1">
      <c r="A5409" s="1754">
        <v>44150</v>
      </c>
      <c r="B5409" s="125" t="str">
        <f>TiposLancamentos!B19</f>
        <v>Restaurantes</v>
      </c>
      <c r="C5409" s="1040" t="s">
        <v>7796</v>
      </c>
      <c r="D5409" s="1736"/>
      <c r="E5409" s="1043">
        <v>131.44999999999999</v>
      </c>
      <c r="F5409" s="1043"/>
      <c r="G5409" s="1550"/>
    </row>
    <row r="5410" spans="1:7" ht="12.75" customHeight="1">
      <c r="A5410" s="1754">
        <v>44150</v>
      </c>
      <c r="B5410" s="125" t="str">
        <f>TiposLancamentos!B5</f>
        <v>Supermercado</v>
      </c>
      <c r="C5410" s="1040" t="s">
        <v>7797</v>
      </c>
      <c r="D5410" s="1736"/>
      <c r="E5410" s="1043">
        <v>232.86</v>
      </c>
      <c r="F5410" s="1043"/>
      <c r="G5410" s="1550"/>
    </row>
    <row r="5411" spans="1:7" ht="12.75" customHeight="1">
      <c r="A5411" s="1666">
        <v>44151</v>
      </c>
      <c r="B5411" s="817" t="str">
        <f>TiposLancamentos!B33</f>
        <v>Pedágios</v>
      </c>
      <c r="C5411" s="1742" t="s">
        <v>5392</v>
      </c>
      <c r="D5411" s="1735"/>
      <c r="E5411" s="1733">
        <f>F5413-(E5412+E5413)</f>
        <v>179.38</v>
      </c>
      <c r="F5411" s="1290"/>
      <c r="G5411" s="1550"/>
    </row>
    <row r="5412" spans="1:7" ht="12.75" customHeight="1">
      <c r="A5412" s="1667">
        <v>44151</v>
      </c>
      <c r="B5412" s="816" t="str">
        <f>TiposLancamentos!B24</f>
        <v>Estacionamentos</v>
      </c>
      <c r="C5412" s="1769" t="s">
        <v>7366</v>
      </c>
      <c r="D5412" s="1736"/>
      <c r="E5412" s="1734">
        <v>58</v>
      </c>
      <c r="F5412" s="1043"/>
      <c r="G5412" s="1550"/>
    </row>
    <row r="5413" spans="1:7" ht="12.75" customHeight="1">
      <c r="A5413" s="1750">
        <v>44151</v>
      </c>
      <c r="B5413" s="818" t="str">
        <f>TiposLancamentos!B24</f>
        <v>Estacionamentos</v>
      </c>
      <c r="C5413" s="1743" t="s">
        <v>6297</v>
      </c>
      <c r="D5413" s="1737"/>
      <c r="E5413" s="1668">
        <v>11</v>
      </c>
      <c r="F5413" s="1347">
        <v>248.38</v>
      </c>
      <c r="G5413" s="1550"/>
    </row>
    <row r="5414" spans="1:7" ht="12.75" customHeight="1">
      <c r="A5414" s="1754">
        <v>44151</v>
      </c>
      <c r="B5414" s="125" t="str">
        <f>TiposLancamentos!B103</f>
        <v>Juros_Corr. Poupança</v>
      </c>
      <c r="C5414" s="1040" t="s">
        <v>7341</v>
      </c>
      <c r="D5414" s="1736">
        <v>0</v>
      </c>
      <c r="E5414" s="1043">
        <v>0</v>
      </c>
      <c r="F5414" s="1043"/>
      <c r="G5414" s="1550"/>
    </row>
    <row r="5415" spans="1:7" ht="12.75" customHeight="1">
      <c r="A5415" s="1666">
        <v>44151</v>
      </c>
      <c r="B5415" s="817" t="str">
        <f>TiposLancamentos!B35</f>
        <v>Tv à Cabo</v>
      </c>
      <c r="C5415" s="1742" t="s">
        <v>5834</v>
      </c>
      <c r="D5415" s="1735"/>
      <c r="E5415" s="1733">
        <v>85</v>
      </c>
      <c r="F5415" s="1290"/>
      <c r="G5415" s="1550"/>
    </row>
    <row r="5416" spans="1:7" ht="12.75" customHeight="1">
      <c r="A5416" s="1667">
        <v>44151</v>
      </c>
      <c r="B5416" s="816" t="str">
        <f>TiposLancamentos!B3</f>
        <v>Internet</v>
      </c>
      <c r="C5416" s="1769" t="s">
        <v>5835</v>
      </c>
      <c r="D5416" s="1736"/>
      <c r="E5416" s="1734">
        <v>85</v>
      </c>
      <c r="F5416" s="1043"/>
      <c r="G5416" s="1550"/>
    </row>
    <row r="5417" spans="1:7" ht="12.75" customHeight="1">
      <c r="A5417" s="1750">
        <v>44151</v>
      </c>
      <c r="B5417" s="818" t="str">
        <f>TiposLancamentos!B2</f>
        <v>Telefonia</v>
      </c>
      <c r="C5417" s="1743" t="s">
        <v>7210</v>
      </c>
      <c r="D5417" s="1737"/>
      <c r="E5417" s="1668">
        <v>0</v>
      </c>
      <c r="F5417" s="1291">
        <v>170</v>
      </c>
      <c r="G5417" s="1550"/>
    </row>
    <row r="5418" spans="1:7" ht="12.75" customHeight="1">
      <c r="A5418" s="1754">
        <v>44151</v>
      </c>
      <c r="B5418" s="125" t="str">
        <f>TiposLancamentos!B2</f>
        <v>Telefonia</v>
      </c>
      <c r="C5418" s="1770" t="s">
        <v>7368</v>
      </c>
      <c r="D5418" s="1736"/>
      <c r="E5418" s="1043">
        <v>109.99</v>
      </c>
      <c r="F5418" s="1043"/>
      <c r="G5418" s="1550"/>
    </row>
    <row r="5419" spans="1:7" ht="12.75" customHeight="1">
      <c r="A5419" s="1754">
        <v>44151</v>
      </c>
      <c r="B5419" s="125" t="str">
        <f>TiposLancamentos!B46</f>
        <v>Maçonaria</v>
      </c>
      <c r="C5419" s="1040" t="s">
        <v>7798</v>
      </c>
      <c r="D5419" s="1736"/>
      <c r="E5419" s="1043">
        <v>180</v>
      </c>
      <c r="F5419" s="1043"/>
      <c r="G5419" s="1550"/>
    </row>
    <row r="5420" spans="1:7" ht="12.75" customHeight="1">
      <c r="A5420" s="1754">
        <v>44151</v>
      </c>
      <c r="B5420" s="125" t="str">
        <f>TiposLancamentos!B17</f>
        <v>GATO</v>
      </c>
      <c r="C5420" s="1040" t="s">
        <v>2026</v>
      </c>
      <c r="D5420" s="1736"/>
      <c r="E5420" s="1043">
        <v>11.8</v>
      </c>
      <c r="F5420" s="1043"/>
      <c r="G5420" s="1550"/>
    </row>
    <row r="5421" spans="1:7" ht="12.75" customHeight="1">
      <c r="A5421" s="1754">
        <v>44151</v>
      </c>
      <c r="B5421" s="125" t="str">
        <f>TiposLancamentos!B20</f>
        <v>Saques</v>
      </c>
      <c r="C5421" s="1040" t="s">
        <v>4325</v>
      </c>
      <c r="D5421" s="1736"/>
      <c r="E5421" s="1043">
        <v>40</v>
      </c>
      <c r="F5421" s="1043"/>
      <c r="G5421" s="1550"/>
    </row>
    <row r="5422" spans="1:7" ht="12.75" customHeight="1">
      <c r="A5422" s="1754">
        <v>44151</v>
      </c>
      <c r="B5422" s="125" t="str">
        <f>TiposLancamentos!B19</f>
        <v>Restaurantes</v>
      </c>
      <c r="C5422" s="1040" t="s">
        <v>7447</v>
      </c>
      <c r="D5422" s="1736"/>
      <c r="E5422" s="1043">
        <v>10</v>
      </c>
      <c r="F5422" s="1043"/>
      <c r="G5422" s="1550"/>
    </row>
    <row r="5423" spans="1:7" ht="12.75" customHeight="1">
      <c r="A5423" s="1754">
        <v>44152</v>
      </c>
      <c r="B5423" s="125" t="str">
        <f>TiposLancamentos!B26</f>
        <v>LIVROS</v>
      </c>
      <c r="C5423" s="1040" t="s">
        <v>7799</v>
      </c>
      <c r="D5423" s="1736"/>
      <c r="E5423" s="1043">
        <v>155.6</v>
      </c>
      <c r="F5423" s="1043"/>
      <c r="G5423" s="1550"/>
    </row>
    <row r="5424" spans="1:7" ht="12.75" customHeight="1">
      <c r="A5424" s="1754">
        <v>44153</v>
      </c>
      <c r="B5424" s="125" t="str">
        <f>TiposLancamentos!B19</f>
        <v>Restaurantes</v>
      </c>
      <c r="C5424" s="1040" t="s">
        <v>7800</v>
      </c>
      <c r="D5424" s="1736"/>
      <c r="E5424" s="1043">
        <v>35</v>
      </c>
      <c r="F5424" s="1043"/>
      <c r="G5424" s="1550"/>
    </row>
    <row r="5425" spans="1:7" ht="12.75" customHeight="1">
      <c r="A5425" s="1754">
        <v>44153</v>
      </c>
      <c r="B5425" s="125" t="str">
        <f>TiposLancamentos!B67</f>
        <v>Lavanderia</v>
      </c>
      <c r="C5425" s="1040" t="s">
        <v>7403</v>
      </c>
      <c r="D5425" s="1736"/>
      <c r="E5425" s="1043">
        <v>51</v>
      </c>
      <c r="F5425" s="1043"/>
      <c r="G5425" s="1550"/>
    </row>
    <row r="5426" spans="1:7" ht="12.75" customHeight="1">
      <c r="A5426" s="1754">
        <v>44153</v>
      </c>
      <c r="B5426" s="125" t="str">
        <f>TiposLancamentos!B16</f>
        <v>Cristiane</v>
      </c>
      <c r="C5426" s="1040" t="s">
        <v>7801</v>
      </c>
      <c r="D5426" s="1736"/>
      <c r="E5426" s="1043">
        <v>179.38</v>
      </c>
      <c r="F5426" s="1043"/>
      <c r="G5426" s="1550"/>
    </row>
    <row r="5427" spans="1:7" ht="12.75" customHeight="1">
      <c r="A5427" s="1754">
        <v>44154</v>
      </c>
      <c r="B5427" s="125" t="str">
        <f>TiposLancamentos!B5</f>
        <v>Supermercado</v>
      </c>
      <c r="C5427" s="1040" t="s">
        <v>7802</v>
      </c>
      <c r="D5427" s="1736"/>
      <c r="E5427" s="1043">
        <v>186.25</v>
      </c>
      <c r="F5427" s="1043"/>
      <c r="G5427" s="1550"/>
    </row>
    <row r="5428" spans="1:7" ht="12.75" customHeight="1">
      <c r="A5428" s="1666">
        <v>44155</v>
      </c>
      <c r="B5428" s="817" t="str">
        <f>TiposLancamentos!B8</f>
        <v>Aluguel</v>
      </c>
      <c r="C5428" s="1742" t="s">
        <v>7803</v>
      </c>
      <c r="D5428" s="1735"/>
      <c r="E5428" s="1733">
        <f>F5433-SUM(E5429:E5433)</f>
        <v>1400</v>
      </c>
      <c r="F5428" s="1346"/>
      <c r="G5428" s="1550"/>
    </row>
    <row r="5429" spans="1:7" ht="12.75" customHeight="1">
      <c r="A5429" s="1667">
        <v>44155</v>
      </c>
      <c r="B5429" s="816" t="str">
        <f>TiposLancamentos!B12</f>
        <v>IPTU</v>
      </c>
      <c r="C5429" s="1769" t="s">
        <v>7804</v>
      </c>
      <c r="D5429" s="1736"/>
      <c r="E5429" s="1734">
        <v>40.520000000000003</v>
      </c>
      <c r="F5429" s="1043"/>
      <c r="G5429" s="1550"/>
    </row>
    <row r="5430" spans="1:7" ht="12.75" customHeight="1">
      <c r="A5430" s="1667">
        <v>44155</v>
      </c>
      <c r="B5430" s="816" t="str">
        <f>TiposLancamentos!B10</f>
        <v>Distr. Água Municipal</v>
      </c>
      <c r="C5430" s="1769" t="s">
        <v>7423</v>
      </c>
      <c r="D5430" s="1736"/>
      <c r="E5430" s="1734">
        <v>56.09</v>
      </c>
      <c r="F5430" s="1043"/>
      <c r="G5430" s="1550"/>
    </row>
    <row r="5431" spans="1:7" ht="12.75" customHeight="1">
      <c r="A5431" s="1667">
        <v>44155</v>
      </c>
      <c r="B5431" s="816" t="str">
        <f>TiposLancamentos!B11</f>
        <v>Coleta Municipal Lixo</v>
      </c>
      <c r="C5431" s="1769" t="s">
        <v>7424</v>
      </c>
      <c r="D5431" s="1736"/>
      <c r="E5431" s="1734">
        <v>41.13</v>
      </c>
      <c r="F5431" s="1043"/>
      <c r="G5431" s="1550"/>
    </row>
    <row r="5432" spans="1:7" ht="12.75" customHeight="1">
      <c r="A5432" s="1667">
        <v>44155</v>
      </c>
      <c r="B5432" s="816" t="str">
        <f>TiposLancamentos!B8</f>
        <v>Aluguel</v>
      </c>
      <c r="C5432" s="1769" t="s">
        <v>7425</v>
      </c>
      <c r="D5432" s="1736"/>
      <c r="E5432" s="1734">
        <v>8</v>
      </c>
      <c r="F5432" s="1043"/>
      <c r="G5432" s="1550"/>
    </row>
    <row r="5433" spans="1:7" ht="12.75" customHeight="1">
      <c r="A5433" s="1750">
        <v>44155</v>
      </c>
      <c r="B5433" s="818" t="str">
        <f>TiposLancamentos!B9</f>
        <v>Condominio</v>
      </c>
      <c r="C5433" s="1743" t="s">
        <v>7427</v>
      </c>
      <c r="D5433" s="1737"/>
      <c r="E5433" s="1668">
        <v>616.37</v>
      </c>
      <c r="F5433" s="1291">
        <v>2162.11</v>
      </c>
      <c r="G5433" s="1550"/>
    </row>
    <row r="5434" spans="1:7" ht="12.75" customHeight="1">
      <c r="A5434" s="1754">
        <v>44156</v>
      </c>
      <c r="B5434" s="125" t="str">
        <f>TiposLancamentos!B19</f>
        <v>Restaurantes</v>
      </c>
      <c r="C5434" s="1040" t="s">
        <v>7805</v>
      </c>
      <c r="D5434" s="1736"/>
      <c r="E5434" s="1043">
        <v>210.43</v>
      </c>
      <c r="F5434" s="1043"/>
      <c r="G5434" s="1550"/>
    </row>
    <row r="5435" spans="1:7" ht="12.75" customHeight="1">
      <c r="A5435" s="1754">
        <v>44156</v>
      </c>
      <c r="B5435" s="125" t="str">
        <f>TiposLancamentos!B57</f>
        <v>Informática</v>
      </c>
      <c r="C5435" s="1040" t="s">
        <v>7806</v>
      </c>
      <c r="D5435" s="1736"/>
      <c r="E5435" s="1043">
        <v>128.94999999999999</v>
      </c>
      <c r="F5435" s="1043"/>
      <c r="G5435" s="1550"/>
    </row>
    <row r="5436" spans="1:7" ht="12.75" customHeight="1">
      <c r="A5436" s="1754">
        <v>44157</v>
      </c>
      <c r="B5436" s="125" t="str">
        <f>TiposLancamentos!B19</f>
        <v>Restaurantes</v>
      </c>
      <c r="C5436" s="1040" t="s">
        <v>7800</v>
      </c>
      <c r="D5436" s="1736"/>
      <c r="E5436" s="1043">
        <v>41</v>
      </c>
      <c r="F5436" s="1043"/>
      <c r="G5436" s="1550"/>
    </row>
    <row r="5437" spans="1:7" ht="12.75" customHeight="1">
      <c r="A5437" s="1754">
        <v>44157</v>
      </c>
      <c r="B5437" s="125" t="str">
        <f>B5434</f>
        <v>Restaurantes</v>
      </c>
      <c r="C5437" s="1040" t="s">
        <v>7068</v>
      </c>
      <c r="D5437" s="1736"/>
      <c r="E5437" s="1043">
        <v>20.94</v>
      </c>
      <c r="F5437" s="1043"/>
      <c r="G5437" s="1550"/>
    </row>
    <row r="5438" spans="1:7" ht="12.75" customHeight="1">
      <c r="A5438" s="1754">
        <v>44158</v>
      </c>
      <c r="B5438" s="125" t="str">
        <f>TiposLancamentos!B6</f>
        <v>Energia Eletrica</v>
      </c>
      <c r="C5438" s="1040" t="s">
        <v>7807</v>
      </c>
      <c r="D5438" s="1736"/>
      <c r="E5438" s="1043">
        <v>210.6</v>
      </c>
      <c r="F5438" s="1043"/>
      <c r="G5438" s="1550"/>
    </row>
    <row r="5439" spans="1:7" ht="12.75" customHeight="1">
      <c r="A5439" s="1754">
        <v>44158</v>
      </c>
      <c r="B5439" s="125" t="str">
        <f>TiposLancamentos!B5</f>
        <v>Supermercado</v>
      </c>
      <c r="C5439" s="1040" t="s">
        <v>7808</v>
      </c>
      <c r="D5439" s="1736"/>
      <c r="E5439" s="1043">
        <v>119.31</v>
      </c>
      <c r="F5439" s="1043"/>
      <c r="G5439" s="1550"/>
    </row>
    <row r="5440" spans="1:7" ht="12.75" customHeight="1">
      <c r="A5440" s="1754">
        <v>44158</v>
      </c>
      <c r="B5440" s="125" t="str">
        <f>TiposLancamentos!B56</f>
        <v>Farmácia</v>
      </c>
      <c r="C5440" s="1040" t="s">
        <v>7809</v>
      </c>
      <c r="D5440" s="1736"/>
      <c r="E5440" s="1043">
        <v>146.38999999999999</v>
      </c>
      <c r="F5440" s="1043"/>
      <c r="G5440" s="1550"/>
    </row>
    <row r="5441" spans="1:7" ht="12.75" customHeight="1">
      <c r="A5441" s="1754">
        <v>44158</v>
      </c>
      <c r="B5441" s="125" t="str">
        <f>TiposLancamentos!B19</f>
        <v>Restaurantes</v>
      </c>
      <c r="C5441" s="1040" t="s">
        <v>7810</v>
      </c>
      <c r="D5441" s="1736"/>
      <c r="E5441" s="1043">
        <v>37.1</v>
      </c>
      <c r="F5441" s="1043"/>
      <c r="G5441" s="1550"/>
    </row>
    <row r="5442" spans="1:7" ht="12.75" customHeight="1">
      <c r="A5442" s="1754">
        <v>44159</v>
      </c>
      <c r="B5442" s="125" t="str">
        <f>TiposLancamentos!B22</f>
        <v>Combustivel</v>
      </c>
      <c r="C5442" s="1040" t="s">
        <v>7811</v>
      </c>
      <c r="D5442" s="1736"/>
      <c r="E5442" s="1043">
        <v>190</v>
      </c>
      <c r="F5442" s="1043"/>
      <c r="G5442" s="1550"/>
    </row>
    <row r="5443" spans="1:7" ht="12.75" customHeight="1">
      <c r="A5443" s="1754">
        <v>44163</v>
      </c>
      <c r="B5443" s="125" t="str">
        <f>TiposLancamentos!B16</f>
        <v>Cristiane</v>
      </c>
      <c r="C5443" s="1040" t="s">
        <v>7812</v>
      </c>
      <c r="D5443" s="1736"/>
      <c r="E5443" s="1043">
        <v>48.69</v>
      </c>
      <c r="F5443" s="1043"/>
      <c r="G5443" s="1550"/>
    </row>
    <row r="5444" spans="1:7" ht="12.75" customHeight="1">
      <c r="A5444" s="1754">
        <v>44164</v>
      </c>
      <c r="B5444" s="125" t="str">
        <f>TiposLancamentos!B19</f>
        <v>Restaurantes</v>
      </c>
      <c r="C5444" s="1040" t="s">
        <v>7813</v>
      </c>
      <c r="D5444" s="1736"/>
      <c r="E5444" s="1043">
        <v>23.9</v>
      </c>
      <c r="F5444" s="1043"/>
      <c r="G5444" s="1550"/>
    </row>
    <row r="5445" spans="1:7" ht="12.75" customHeight="1">
      <c r="A5445" s="1754">
        <v>44165</v>
      </c>
      <c r="B5445" s="125" t="str">
        <f>TiposLancamentos!B22</f>
        <v>Combustivel</v>
      </c>
      <c r="C5445" s="1040" t="s">
        <v>7814</v>
      </c>
      <c r="D5445" s="1736"/>
      <c r="E5445" s="1043">
        <v>130.59</v>
      </c>
      <c r="F5445" s="1043"/>
      <c r="G5445" s="1550"/>
    </row>
    <row r="5446" spans="1:7" ht="12.75" customHeight="1" thickBot="1">
      <c r="A5446" s="1754">
        <v>44165</v>
      </c>
      <c r="B5446" s="125" t="str">
        <f>TiposLancamentos!B19</f>
        <v>Restaurantes</v>
      </c>
      <c r="C5446" s="1040" t="s">
        <v>2912</v>
      </c>
      <c r="D5446" s="1736"/>
      <c r="E5446" s="1043">
        <v>16</v>
      </c>
      <c r="F5446" s="1043"/>
      <c r="G5446" s="1550"/>
    </row>
    <row r="5447" spans="1:7" ht="12.75" customHeight="1">
      <c r="A5447" s="1834"/>
      <c r="B5447" s="977"/>
      <c r="C5447" s="1854" t="s">
        <v>7815</v>
      </c>
      <c r="D5447" s="1823"/>
      <c r="E5447" s="1821"/>
      <c r="F5447" s="1821"/>
      <c r="G5447" s="1895"/>
    </row>
    <row r="5448" spans="1:7" ht="12.75" customHeight="1">
      <c r="A5448" s="1754">
        <v>44166</v>
      </c>
      <c r="B5448" s="125" t="str">
        <f>TiposLancamentos!B15</f>
        <v>Cartões de Crédito</v>
      </c>
      <c r="C5448" s="1040" t="s">
        <v>7781</v>
      </c>
      <c r="D5448" s="1736"/>
      <c r="E5448" s="1043">
        <v>3791.24</v>
      </c>
      <c r="F5448" s="1043"/>
      <c r="G5448" s="1550"/>
    </row>
    <row r="5449" spans="1:7" ht="12.75" customHeight="1">
      <c r="A5449" s="1754">
        <v>44166</v>
      </c>
      <c r="B5449" s="125" t="str">
        <f>TiposLancamentos!B15</f>
        <v>Cartões de Crédito</v>
      </c>
      <c r="C5449" s="1040" t="s">
        <v>7333</v>
      </c>
      <c r="D5449" s="1736"/>
      <c r="E5449" s="1043">
        <v>641.84</v>
      </c>
      <c r="F5449" s="1043"/>
      <c r="G5449" s="1550"/>
    </row>
    <row r="5450" spans="1:7" ht="12.75" customHeight="1">
      <c r="A5450" s="1754">
        <v>44166</v>
      </c>
      <c r="B5450" s="125" t="str">
        <f>TiposLancamentos!B14</f>
        <v>Gás de cozinha</v>
      </c>
      <c r="C5450" s="1040" t="s">
        <v>7782</v>
      </c>
      <c r="D5450" s="1736"/>
      <c r="E5450" s="1043">
        <v>34.21</v>
      </c>
      <c r="F5450" s="1043"/>
      <c r="G5450" s="1550"/>
    </row>
    <row r="5451" spans="1:7" ht="12.75" customHeight="1">
      <c r="A5451" s="1754">
        <v>44166</v>
      </c>
      <c r="B5451" s="125" t="str">
        <f>TiposLancamentos!B69</f>
        <v>Consertos</v>
      </c>
      <c r="C5451" s="1040" t="s">
        <v>7816</v>
      </c>
      <c r="D5451" s="1736"/>
      <c r="E5451" s="1043">
        <v>562.5</v>
      </c>
      <c r="F5451" s="1043"/>
      <c r="G5451" s="1550"/>
    </row>
    <row r="5452" spans="1:7" ht="12.75" customHeight="1">
      <c r="A5452" s="1754">
        <v>44166</v>
      </c>
      <c r="B5452" s="125" t="str">
        <f>TiposLancamentos!B20</f>
        <v>Saques</v>
      </c>
      <c r="C5452" s="1040" t="s">
        <v>4368</v>
      </c>
      <c r="D5452" s="1736"/>
      <c r="E5452" s="1043">
        <v>40</v>
      </c>
      <c r="F5452" s="1043"/>
      <c r="G5452" s="1550"/>
    </row>
    <row r="5453" spans="1:7" ht="12.75" customHeight="1">
      <c r="A5453" s="1754">
        <v>44166</v>
      </c>
      <c r="B5453" s="125" t="str">
        <f>TiposLancamentos!B5</f>
        <v>Supermercado</v>
      </c>
      <c r="C5453" s="1040" t="s">
        <v>7817</v>
      </c>
      <c r="D5453" s="1736"/>
      <c r="E5453" s="1043">
        <v>287.88</v>
      </c>
      <c r="F5453" s="1043"/>
      <c r="G5453" s="1550"/>
    </row>
    <row r="5454" spans="1:7" ht="12.75" customHeight="1">
      <c r="A5454" s="1754">
        <v>44166</v>
      </c>
      <c r="B5454" s="125" t="str">
        <f>TiposLancamentos!B96</f>
        <v>Resg.Poup.</v>
      </c>
      <c r="C5454" s="1040" t="s">
        <v>7780</v>
      </c>
      <c r="D5454" s="1736">
        <v>4096.12</v>
      </c>
      <c r="E5454" s="1043"/>
      <c r="F5454" s="1043"/>
      <c r="G5454" s="1550"/>
    </row>
    <row r="5455" spans="1:7" ht="12.75" customHeight="1">
      <c r="A5455" s="1754">
        <v>44166</v>
      </c>
      <c r="B5455" s="125" t="str">
        <f>TiposLancamentos!B103</f>
        <v>Juros_Corr. Poupança</v>
      </c>
      <c r="C5455" s="1040" t="s">
        <v>7818</v>
      </c>
      <c r="D5455" s="1736">
        <v>0.01</v>
      </c>
      <c r="E5455" s="1043"/>
      <c r="F5455" s="1043"/>
      <c r="G5455" s="1550"/>
    </row>
    <row r="5456" spans="1:7" ht="12.75" customHeight="1">
      <c r="A5456" s="1754">
        <v>44167</v>
      </c>
      <c r="B5456" s="125" t="str">
        <f>TiposLancamentos!B71</f>
        <v>Itens Pessoais</v>
      </c>
      <c r="C5456" s="1040" t="s">
        <v>7819</v>
      </c>
      <c r="D5456" s="1736"/>
      <c r="E5456" s="1043">
        <v>30.9</v>
      </c>
      <c r="F5456" s="1043"/>
      <c r="G5456" s="1550"/>
    </row>
    <row r="5457" spans="1:7" ht="12.75" customHeight="1">
      <c r="A5457" s="1754">
        <v>44167</v>
      </c>
      <c r="B5457" s="125" t="str">
        <f>TiposLancamentos!B17</f>
        <v>GATO</v>
      </c>
      <c r="C5457" s="1040" t="s">
        <v>7820</v>
      </c>
      <c r="D5457" s="1736"/>
      <c r="E5457" s="1043">
        <v>39.799999999999997</v>
      </c>
      <c r="F5457" s="1043"/>
      <c r="G5457" s="1550"/>
    </row>
    <row r="5458" spans="1:7" ht="12.75" customHeight="1">
      <c r="A5458" s="1754">
        <v>44167</v>
      </c>
      <c r="B5458" s="125" t="str">
        <f>TiposLancamentos!B19</f>
        <v>Restaurantes</v>
      </c>
      <c r="C5458" s="1040" t="s">
        <v>7821</v>
      </c>
      <c r="D5458" s="1736"/>
      <c r="E5458" s="1043">
        <v>28.72</v>
      </c>
      <c r="F5458" s="1043"/>
      <c r="G5458" s="1550"/>
    </row>
    <row r="5459" spans="1:7" ht="12.75" customHeight="1">
      <c r="A5459" s="1754">
        <v>44167</v>
      </c>
      <c r="B5459" s="125" t="str">
        <f>TiposLancamentos!B71</f>
        <v>Itens Pessoais</v>
      </c>
      <c r="C5459" s="1040" t="s">
        <v>7822</v>
      </c>
      <c r="D5459" s="1736"/>
      <c r="E5459" s="1043">
        <v>6</v>
      </c>
      <c r="F5459" s="1043"/>
      <c r="G5459" s="1550"/>
    </row>
    <row r="5460" spans="1:7" ht="12.75" customHeight="1">
      <c r="A5460" s="1754">
        <v>44167</v>
      </c>
      <c r="B5460" s="125" t="str">
        <f>TiposLancamentos!B4</f>
        <v>Taxas Bancarias</v>
      </c>
      <c r="C5460" s="1040" t="s">
        <v>7681</v>
      </c>
      <c r="D5460" s="1736"/>
      <c r="E5460" s="1043">
        <v>5.25</v>
      </c>
      <c r="F5460" s="1043"/>
      <c r="G5460" s="1550"/>
    </row>
    <row r="5461" spans="1:7" ht="12.75" customHeight="1">
      <c r="A5461" s="1754">
        <v>44167</v>
      </c>
      <c r="B5461" s="125" t="str">
        <f>TiposLancamentos!B4</f>
        <v>Taxas Bancarias</v>
      </c>
      <c r="C5461" s="1040" t="s">
        <v>7823</v>
      </c>
      <c r="D5461" s="1736"/>
      <c r="E5461" s="1043">
        <v>45</v>
      </c>
      <c r="F5461" s="1043"/>
      <c r="G5461" s="1550"/>
    </row>
    <row r="5462" spans="1:7" ht="12.75" customHeight="1">
      <c r="A5462" s="1754">
        <v>44169</v>
      </c>
      <c r="B5462" s="125" t="str">
        <f>TiposLancamentos!B5</f>
        <v>Supermercado</v>
      </c>
      <c r="C5462" s="1040" t="s">
        <v>7824</v>
      </c>
      <c r="D5462" s="1736"/>
      <c r="E5462" s="1043">
        <v>199.81</v>
      </c>
      <c r="F5462" s="1043"/>
      <c r="G5462" s="1550"/>
    </row>
    <row r="5463" spans="1:7" ht="12.75" customHeight="1">
      <c r="A5463" s="1754">
        <v>44170</v>
      </c>
      <c r="B5463" s="125" t="str">
        <f>TiposLancamentos!B19</f>
        <v>Restaurantes</v>
      </c>
      <c r="C5463" s="1040" t="s">
        <v>7825</v>
      </c>
      <c r="D5463" s="1736"/>
      <c r="E5463" s="1043">
        <v>58</v>
      </c>
      <c r="F5463" s="1043"/>
      <c r="G5463" s="1550"/>
    </row>
    <row r="5464" spans="1:7" ht="12.75" customHeight="1">
      <c r="A5464" s="1754">
        <v>44171</v>
      </c>
      <c r="B5464" s="125" t="str">
        <f>TiposLancamentos!B19</f>
        <v>Restaurantes</v>
      </c>
      <c r="C5464" s="1040" t="s">
        <v>7826</v>
      </c>
      <c r="D5464" s="1736"/>
      <c r="E5464" s="1043">
        <v>74</v>
      </c>
      <c r="F5464" s="1043"/>
      <c r="G5464" s="1550"/>
    </row>
    <row r="5465" spans="1:7" ht="12.75" customHeight="1">
      <c r="A5465" s="1754">
        <v>44172</v>
      </c>
      <c r="B5465" s="125" t="str">
        <f>TiposLancamentos!B19</f>
        <v>Restaurantes</v>
      </c>
      <c r="C5465" s="1040" t="s">
        <v>7827</v>
      </c>
      <c r="D5465" s="1736"/>
      <c r="E5465" s="1043">
        <v>109.56</v>
      </c>
      <c r="F5465" s="1043"/>
      <c r="G5465" s="1550"/>
    </row>
    <row r="5466" spans="1:7" ht="12.75" customHeight="1">
      <c r="A5466" s="1754">
        <v>44172</v>
      </c>
      <c r="B5466" s="125" t="str">
        <f>TiposLancamentos!B71</f>
        <v>Itens Pessoais</v>
      </c>
      <c r="C5466" s="1040" t="s">
        <v>7828</v>
      </c>
      <c r="D5466" s="1736"/>
      <c r="E5466" s="1043">
        <v>25</v>
      </c>
      <c r="F5466" s="1043"/>
      <c r="G5466" s="1550"/>
    </row>
    <row r="5467" spans="1:7" ht="12.75" customHeight="1">
      <c r="A5467" s="1754">
        <v>44172</v>
      </c>
      <c r="B5467" s="125" t="str">
        <f>TiposLancamentos!B19</f>
        <v>Restaurantes</v>
      </c>
      <c r="C5467" s="1040" t="s">
        <v>3680</v>
      </c>
      <c r="D5467" s="1736"/>
      <c r="E5467" s="1043">
        <v>23.14</v>
      </c>
      <c r="F5467" s="1043"/>
      <c r="G5467" s="1550"/>
    </row>
    <row r="5468" spans="1:7" ht="12.75" customHeight="1">
      <c r="A5468" s="1754">
        <v>44172</v>
      </c>
      <c r="B5468" s="125" t="str">
        <f>TiposLancamentos!B24</f>
        <v>Estacionamentos</v>
      </c>
      <c r="C5468" s="1040" t="s">
        <v>2014</v>
      </c>
      <c r="D5468" s="1736"/>
      <c r="E5468" s="1043">
        <v>14</v>
      </c>
      <c r="F5468" s="1043"/>
      <c r="G5468" s="1550"/>
    </row>
    <row r="5469" spans="1:7" ht="12.75" customHeight="1">
      <c r="A5469" s="1754">
        <v>44172</v>
      </c>
      <c r="B5469" s="125" t="str">
        <f>TiposLancamentos!B5</f>
        <v>Supermercado</v>
      </c>
      <c r="C5469" s="1040" t="s">
        <v>7829</v>
      </c>
      <c r="D5469" s="1736"/>
      <c r="E5469" s="1043">
        <v>34.9</v>
      </c>
      <c r="F5469" s="1043"/>
      <c r="G5469" s="1550"/>
    </row>
    <row r="5470" spans="1:7" ht="12.75" customHeight="1">
      <c r="A5470" s="1754">
        <v>44172</v>
      </c>
      <c r="B5470" s="125" t="str">
        <f>TiposLancamentos!B56</f>
        <v>Farmácia</v>
      </c>
      <c r="C5470" s="1040" t="s">
        <v>7830</v>
      </c>
      <c r="D5470" s="1736"/>
      <c r="E5470" s="1043">
        <v>69.489999999999995</v>
      </c>
      <c r="F5470" s="1043"/>
      <c r="G5470" s="1550"/>
    </row>
    <row r="5471" spans="1:7" ht="12.75" customHeight="1">
      <c r="A5471" s="1754">
        <v>44172</v>
      </c>
      <c r="B5471" s="125" t="str">
        <f>TiposLancamentos!B4</f>
        <v>Taxas Bancarias</v>
      </c>
      <c r="C5471" s="1040" t="s">
        <v>5690</v>
      </c>
      <c r="D5471" s="1736"/>
      <c r="E5471" s="1043">
        <v>15.34</v>
      </c>
      <c r="F5471" s="1043"/>
      <c r="G5471" s="1550"/>
    </row>
    <row r="5472" spans="1:7" ht="12.75" customHeight="1">
      <c r="A5472" s="1754">
        <v>44173</v>
      </c>
      <c r="B5472" s="125" t="str">
        <f>TiposLancamentos!B4</f>
        <v>Taxas Bancarias</v>
      </c>
      <c r="C5472" s="1040" t="s">
        <v>7831</v>
      </c>
      <c r="D5472" s="1736"/>
      <c r="E5472" s="1043">
        <v>2</v>
      </c>
      <c r="F5472" s="1043"/>
      <c r="G5472" s="1550"/>
    </row>
    <row r="5473" spans="1:7" ht="12.75" customHeight="1">
      <c r="A5473" s="1754">
        <v>44174</v>
      </c>
      <c r="B5473" s="125" t="str">
        <f>TiposLancamentos!B72</f>
        <v>Presentes</v>
      </c>
      <c r="C5473" s="1040" t="s">
        <v>7832</v>
      </c>
      <c r="D5473" s="1736"/>
      <c r="E5473" s="1043">
        <v>206.68</v>
      </c>
      <c r="F5473" s="1043"/>
      <c r="G5473" s="1550"/>
    </row>
    <row r="5474" spans="1:7" ht="12.75" customHeight="1">
      <c r="A5474" s="1754">
        <v>44174</v>
      </c>
      <c r="B5474" s="125" t="str">
        <f>TiposLancamentos!B19</f>
        <v>Restaurantes</v>
      </c>
      <c r="C5474" s="1040" t="s">
        <v>7833</v>
      </c>
      <c r="D5474" s="1736"/>
      <c r="E5474" s="1043">
        <v>83.51</v>
      </c>
      <c r="F5474" s="1043"/>
      <c r="G5474" s="1550"/>
    </row>
    <row r="5475" spans="1:7" ht="12.75" customHeight="1">
      <c r="A5475" s="1754">
        <v>44174</v>
      </c>
      <c r="B5475" s="125" t="str">
        <f>TiposLancamentos!B29</f>
        <v>Mangá</v>
      </c>
      <c r="C5475" s="1040" t="s">
        <v>7834</v>
      </c>
      <c r="D5475" s="1736"/>
      <c r="E5475" s="1043">
        <v>19.899999999999999</v>
      </c>
      <c r="F5475" s="1043"/>
      <c r="G5475" s="1550"/>
    </row>
    <row r="5476" spans="1:7" ht="12.75" customHeight="1">
      <c r="A5476" s="1754">
        <v>44174</v>
      </c>
      <c r="B5476" s="125" t="str">
        <f>TiposLancamentos!B56</f>
        <v>Farmácia</v>
      </c>
      <c r="C5476" s="1040" t="s">
        <v>7835</v>
      </c>
      <c r="D5476" s="1736"/>
      <c r="E5476" s="1043">
        <v>99.25</v>
      </c>
      <c r="F5476" s="1043"/>
      <c r="G5476" s="1550"/>
    </row>
    <row r="5477" spans="1:7" ht="12.75" customHeight="1">
      <c r="A5477" s="1754">
        <v>44174</v>
      </c>
      <c r="B5477" s="125" t="str">
        <f>TiposLancamentos!B69</f>
        <v>Consertos</v>
      </c>
      <c r="C5477" s="1040" t="s">
        <v>7836</v>
      </c>
      <c r="D5477" s="1736"/>
      <c r="E5477" s="1043">
        <v>15</v>
      </c>
      <c r="F5477" s="1043"/>
      <c r="G5477" s="1550"/>
    </row>
    <row r="5478" spans="1:7" ht="12.75" customHeight="1">
      <c r="A5478" s="1754">
        <v>44174</v>
      </c>
      <c r="B5478" s="125" t="str">
        <f>TiposLancamentos!B19</f>
        <v>Restaurantes</v>
      </c>
      <c r="C5478" s="1040" t="s">
        <v>7837</v>
      </c>
      <c r="D5478" s="1736"/>
      <c r="E5478" s="1043">
        <v>22</v>
      </c>
      <c r="F5478" s="1043"/>
      <c r="G5478" s="1550"/>
    </row>
    <row r="5479" spans="1:7" ht="12.75" customHeight="1">
      <c r="A5479" s="1754">
        <v>44177</v>
      </c>
      <c r="B5479" s="125" t="str">
        <f>TiposLancamentos!B19</f>
        <v>Restaurantes</v>
      </c>
      <c r="C5479" s="1040" t="s">
        <v>7838</v>
      </c>
      <c r="D5479" s="1736"/>
      <c r="E5479" s="1043">
        <v>207.1</v>
      </c>
      <c r="F5479" s="1043"/>
      <c r="G5479" s="1550"/>
    </row>
    <row r="5480" spans="1:7" ht="12.75" customHeight="1">
      <c r="A5480" s="1754">
        <v>44177</v>
      </c>
      <c r="B5480" s="125" t="str">
        <f>TiposLancamentos!B71</f>
        <v>Itens Pessoais</v>
      </c>
      <c r="C5480" s="1040" t="s">
        <v>7839</v>
      </c>
      <c r="D5480" s="1736"/>
      <c r="E5480" s="1043">
        <v>200</v>
      </c>
      <c r="F5480" s="1043"/>
      <c r="G5480" s="1550"/>
    </row>
    <row r="5481" spans="1:7" ht="12.75" customHeight="1">
      <c r="A5481" s="1754">
        <v>44178</v>
      </c>
      <c r="B5481" s="125" t="str">
        <f>TiposLancamentos!B5</f>
        <v>Supermercado</v>
      </c>
      <c r="C5481" s="1040" t="s">
        <v>6981</v>
      </c>
      <c r="D5481" s="1736"/>
      <c r="E5481" s="1043">
        <v>24.49</v>
      </c>
      <c r="F5481" s="1043"/>
      <c r="G5481" s="1550"/>
    </row>
    <row r="5482" spans="1:7" ht="12.75" customHeight="1">
      <c r="A5482" s="1754">
        <v>44178</v>
      </c>
      <c r="B5482" s="125" t="str">
        <f>TiposLancamentos!B5</f>
        <v>Supermercado</v>
      </c>
      <c r="C5482" s="1040" t="s">
        <v>7840</v>
      </c>
      <c r="D5482" s="1736"/>
      <c r="E5482" s="1043">
        <v>28.42</v>
      </c>
      <c r="F5482" s="1043"/>
      <c r="G5482" s="1550"/>
    </row>
    <row r="5483" spans="1:7" ht="12.75" customHeight="1">
      <c r="A5483" s="1754">
        <v>44180</v>
      </c>
      <c r="B5483" s="125" t="str">
        <f>TiposLancamentos!B95</f>
        <v>Salarios</v>
      </c>
      <c r="C5483" s="1040" t="s">
        <v>7694</v>
      </c>
      <c r="D5483" s="1736">
        <v>7303.22</v>
      </c>
      <c r="E5483" s="1043"/>
      <c r="F5483" s="1043"/>
      <c r="G5483" s="1550"/>
    </row>
    <row r="5484" spans="1:7" ht="12.75" customHeight="1">
      <c r="A5484" s="1666">
        <v>44180</v>
      </c>
      <c r="B5484" s="817" t="str">
        <f>TiposLancamentos!B33</f>
        <v>Pedágios</v>
      </c>
      <c r="C5484" s="1742" t="s">
        <v>5392</v>
      </c>
      <c r="D5484" s="1735"/>
      <c r="E5484" s="1733">
        <f>F5486-(E5485+E5486)</f>
        <v>179.38</v>
      </c>
      <c r="F5484" s="1290"/>
      <c r="G5484" s="1550"/>
    </row>
    <row r="5485" spans="1:7" ht="12.75" customHeight="1">
      <c r="A5485" s="1667">
        <v>44180</v>
      </c>
      <c r="B5485" s="816" t="str">
        <f>TiposLancamentos!B24</f>
        <v>Estacionamentos</v>
      </c>
      <c r="C5485" s="1769" t="s">
        <v>7366</v>
      </c>
      <c r="D5485" s="1736"/>
      <c r="E5485" s="1734">
        <v>20</v>
      </c>
      <c r="F5485" s="1043"/>
      <c r="G5485" s="1550"/>
    </row>
    <row r="5486" spans="1:7" ht="12.75" customHeight="1">
      <c r="A5486" s="1750">
        <v>44180</v>
      </c>
      <c r="B5486" s="818" t="str">
        <f>TiposLancamentos!B24</f>
        <v>Estacionamentos</v>
      </c>
      <c r="C5486" s="1743" t="s">
        <v>6297</v>
      </c>
      <c r="D5486" s="1737"/>
      <c r="E5486" s="1668">
        <v>36</v>
      </c>
      <c r="F5486" s="1347">
        <v>235.38</v>
      </c>
      <c r="G5486" s="1550"/>
    </row>
    <row r="5487" spans="1:7" ht="12.75" customHeight="1">
      <c r="A5487" s="1754">
        <v>44180</v>
      </c>
      <c r="B5487" s="125"/>
      <c r="C5487" s="1040" t="s">
        <v>7341</v>
      </c>
      <c r="D5487" s="1736">
        <v>0</v>
      </c>
      <c r="E5487" s="1043"/>
      <c r="F5487" s="1043"/>
      <c r="G5487" s="1550"/>
    </row>
    <row r="5488" spans="1:7" ht="12.75" customHeight="1">
      <c r="A5488" s="1666">
        <v>44180</v>
      </c>
      <c r="B5488" s="817" t="str">
        <f>TiposLancamentos!B35</f>
        <v>Tv à Cabo</v>
      </c>
      <c r="C5488" s="1742" t="s">
        <v>5834</v>
      </c>
      <c r="D5488" s="1735"/>
      <c r="E5488" s="1733">
        <f>(150.17-19.95)</f>
        <v>130.22</v>
      </c>
      <c r="F5488" s="1290"/>
      <c r="G5488" s="1550"/>
    </row>
    <row r="5489" spans="1:7" ht="12.75" customHeight="1">
      <c r="A5489" s="1667">
        <v>44180</v>
      </c>
      <c r="B5489" s="816" t="str">
        <f>TiposLancamentos!B3</f>
        <v>Internet</v>
      </c>
      <c r="C5489" s="1769" t="s">
        <v>5835</v>
      </c>
      <c r="D5489" s="1736"/>
      <c r="E5489" s="1734">
        <v>128.32</v>
      </c>
      <c r="F5489" s="1043"/>
      <c r="G5489" s="1550"/>
    </row>
    <row r="5490" spans="1:7" ht="12.75" customHeight="1">
      <c r="A5490" s="1750">
        <v>44180</v>
      </c>
      <c r="B5490" s="818" t="str">
        <f>TiposLancamentos!B2</f>
        <v>Telefonia</v>
      </c>
      <c r="C5490" s="1743" t="s">
        <v>7210</v>
      </c>
      <c r="D5490" s="1737"/>
      <c r="E5490" s="1668">
        <v>0</v>
      </c>
      <c r="F5490" s="1291">
        <v>258.54000000000002</v>
      </c>
      <c r="G5490" s="1550"/>
    </row>
    <row r="5491" spans="1:7" ht="12.75" customHeight="1">
      <c r="A5491" s="1754">
        <v>44180</v>
      </c>
      <c r="B5491" s="125" t="str">
        <f>TiposLancamentos!B2</f>
        <v>Telefonia</v>
      </c>
      <c r="C5491" s="1770" t="s">
        <v>7368</v>
      </c>
      <c r="D5491" s="1736"/>
      <c r="E5491" s="1043">
        <v>235.78</v>
      </c>
      <c r="F5491" s="1043"/>
      <c r="G5491" s="1550"/>
    </row>
    <row r="5492" spans="1:7" ht="12.75" customHeight="1">
      <c r="A5492" s="1754">
        <v>44180</v>
      </c>
      <c r="B5492" s="125" t="str">
        <f>TiposLancamentos!B19</f>
        <v>Restaurantes</v>
      </c>
      <c r="C5492" s="1040" t="s">
        <v>7800</v>
      </c>
      <c r="D5492" s="1736"/>
      <c r="E5492" s="1043">
        <v>34</v>
      </c>
      <c r="F5492" s="1043"/>
      <c r="G5492" s="1550"/>
    </row>
    <row r="5493" spans="1:7" ht="12.75" customHeight="1">
      <c r="A5493" s="1754">
        <v>44181</v>
      </c>
      <c r="B5493" s="125" t="str">
        <f>TiposLancamentos!B46</f>
        <v>Maçonaria</v>
      </c>
      <c r="C5493" s="1040" t="s">
        <v>7841</v>
      </c>
      <c r="D5493" s="1736"/>
      <c r="E5493" s="1043">
        <v>180</v>
      </c>
      <c r="F5493" s="1043"/>
      <c r="G5493" s="1550"/>
    </row>
    <row r="5494" spans="1:7" ht="12.75" customHeight="1">
      <c r="A5494" s="1754">
        <v>44181</v>
      </c>
      <c r="B5494" s="125" t="str">
        <f>TiposLancamentos!B5</f>
        <v>Supermercado</v>
      </c>
      <c r="C5494" s="1040" t="s">
        <v>7842</v>
      </c>
      <c r="D5494" s="1736"/>
      <c r="E5494" s="1043">
        <v>411.3</v>
      </c>
      <c r="F5494" s="1043"/>
      <c r="G5494" s="1550"/>
    </row>
    <row r="5495" spans="1:7" ht="12.75" customHeight="1">
      <c r="A5495" s="1754">
        <v>44183</v>
      </c>
      <c r="B5495" s="125" t="str">
        <f>TiposLancamentos!B19</f>
        <v>Restaurantes</v>
      </c>
      <c r="C5495" s="1040" t="s">
        <v>7843</v>
      </c>
      <c r="D5495" s="1736"/>
      <c r="E5495" s="1043">
        <v>91.52</v>
      </c>
      <c r="F5495" s="1043"/>
      <c r="G5495" s="1550"/>
    </row>
    <row r="5496" spans="1:7" ht="12.75" customHeight="1">
      <c r="A5496" s="1754">
        <v>44183</v>
      </c>
      <c r="B5496" s="125" t="str">
        <f>TiposLancamentos!B70</f>
        <v>Vestuário</v>
      </c>
      <c r="C5496" s="1040" t="s">
        <v>7844</v>
      </c>
      <c r="D5496" s="1736"/>
      <c r="E5496" s="1043">
        <v>89.94</v>
      </c>
      <c r="F5496" s="1043"/>
      <c r="G5496" s="1550"/>
    </row>
    <row r="5497" spans="1:7" ht="12.75" customHeight="1">
      <c r="A5497" s="1754">
        <v>44183</v>
      </c>
      <c r="B5497" s="125" t="str">
        <f>TiposLancamentos!B13</f>
        <v>Moradia</v>
      </c>
      <c r="C5497" s="1040" t="s">
        <v>7845</v>
      </c>
      <c r="D5497" s="1736"/>
      <c r="E5497" s="1043">
        <v>29.9</v>
      </c>
      <c r="F5497" s="1043"/>
      <c r="G5497" s="1550"/>
    </row>
    <row r="5498" spans="1:7" ht="12.75" customHeight="1">
      <c r="A5498" s="1754">
        <v>44183</v>
      </c>
      <c r="B5498" s="125" t="str">
        <f>TiposLancamentos!B19</f>
        <v>Restaurantes</v>
      </c>
      <c r="C5498" s="1040" t="s">
        <v>7846</v>
      </c>
      <c r="D5498" s="1736"/>
      <c r="E5498" s="1043">
        <v>24</v>
      </c>
      <c r="F5498" s="1043"/>
      <c r="G5498" s="1550"/>
    </row>
    <row r="5499" spans="1:7" ht="12.75" customHeight="1">
      <c r="A5499" s="1754">
        <v>44184</v>
      </c>
      <c r="B5499" s="125" t="str">
        <f>TiposLancamentos!B19</f>
        <v>Restaurantes</v>
      </c>
      <c r="C5499" s="1040" t="s">
        <v>7847</v>
      </c>
      <c r="D5499" s="1736"/>
      <c r="E5499" s="1043">
        <v>156.63999999999999</v>
      </c>
      <c r="F5499" s="1043"/>
      <c r="G5499" s="1550"/>
    </row>
    <row r="5500" spans="1:7" ht="12.75" customHeight="1">
      <c r="A5500" s="1754">
        <v>44184</v>
      </c>
      <c r="B5500" s="125" t="str">
        <f>TiposLancamentos!B19</f>
        <v>Restaurantes</v>
      </c>
      <c r="C5500" s="1040" t="s">
        <v>7848</v>
      </c>
      <c r="D5500" s="1736"/>
      <c r="E5500" s="1043">
        <v>18.920000000000002</v>
      </c>
      <c r="F5500" s="1043"/>
      <c r="G5500" s="1550"/>
    </row>
    <row r="5501" spans="1:7" ht="12.75" customHeight="1">
      <c r="A5501" s="1754">
        <v>44184</v>
      </c>
      <c r="B5501" s="125" t="str">
        <f>TiposLancamentos!B5</f>
        <v>Supermercado</v>
      </c>
      <c r="C5501" s="1040" t="s">
        <v>7849</v>
      </c>
      <c r="D5501" s="1736"/>
      <c r="E5501" s="1043">
        <v>142.03</v>
      </c>
      <c r="F5501" s="1043"/>
      <c r="G5501" s="1550"/>
    </row>
    <row r="5502" spans="1:7" ht="12.75" customHeight="1">
      <c r="A5502" s="1754">
        <v>44184</v>
      </c>
      <c r="B5502" s="125" t="str">
        <f>TiposLancamentos!B56</f>
        <v>Farmácia</v>
      </c>
      <c r="C5502" s="1040" t="s">
        <v>7850</v>
      </c>
      <c r="D5502" s="1736"/>
      <c r="E5502" s="1043">
        <v>22</v>
      </c>
      <c r="F5502" s="1043"/>
      <c r="G5502" s="1550"/>
    </row>
    <row r="5503" spans="1:7" ht="12.75" customHeight="1">
      <c r="A5503" s="1666">
        <v>44186</v>
      </c>
      <c r="B5503" s="817" t="str">
        <f>TiposLancamentos!B8</f>
        <v>Aluguel</v>
      </c>
      <c r="C5503" s="1742" t="s">
        <v>7851</v>
      </c>
      <c r="D5503" s="1735"/>
      <c r="E5503" s="1733">
        <f>F5508-SUM(E5504:E5508)</f>
        <v>1400</v>
      </c>
      <c r="F5503" s="1346"/>
      <c r="G5503" s="1550"/>
    </row>
    <row r="5504" spans="1:7" ht="12.75" customHeight="1">
      <c r="A5504" s="1667">
        <v>44186</v>
      </c>
      <c r="B5504" s="816" t="str">
        <f>TiposLancamentos!B12</f>
        <v>IPTU</v>
      </c>
      <c r="C5504" s="1769" t="s">
        <v>7852</v>
      </c>
      <c r="D5504" s="1736"/>
      <c r="E5504" s="1734">
        <v>40.520000000000003</v>
      </c>
      <c r="F5504" s="1043"/>
      <c r="G5504" s="1550"/>
    </row>
    <row r="5505" spans="1:7" ht="12.75" customHeight="1">
      <c r="A5505" s="1667">
        <v>44186</v>
      </c>
      <c r="B5505" s="816" t="str">
        <f>TiposLancamentos!B10</f>
        <v>Distr. Água Municipal</v>
      </c>
      <c r="C5505" s="1769" t="s">
        <v>7423</v>
      </c>
      <c r="D5505" s="1736"/>
      <c r="E5505" s="1734">
        <v>39.94</v>
      </c>
      <c r="F5505" s="1043"/>
      <c r="G5505" s="1550"/>
    </row>
    <row r="5506" spans="1:7" ht="12.75" customHeight="1">
      <c r="A5506" s="1667">
        <v>44186</v>
      </c>
      <c r="B5506" s="816" t="str">
        <f>TiposLancamentos!B11</f>
        <v>Coleta Municipal Lixo</v>
      </c>
      <c r="C5506" s="1769" t="s">
        <v>7424</v>
      </c>
      <c r="D5506" s="1736"/>
      <c r="E5506" s="1734">
        <v>41.13</v>
      </c>
      <c r="F5506" s="1043"/>
      <c r="G5506" s="1550"/>
    </row>
    <row r="5507" spans="1:7" ht="12.75" customHeight="1">
      <c r="A5507" s="1667">
        <v>44186</v>
      </c>
      <c r="B5507" s="816" t="str">
        <f>TiposLancamentos!B8</f>
        <v>Aluguel</v>
      </c>
      <c r="C5507" s="1769" t="s">
        <v>7425</v>
      </c>
      <c r="D5507" s="1736"/>
      <c r="E5507" s="1734">
        <v>8</v>
      </c>
      <c r="F5507" s="1043"/>
      <c r="G5507" s="1550"/>
    </row>
    <row r="5508" spans="1:7" ht="12.75" customHeight="1">
      <c r="A5508" s="1750">
        <v>44186</v>
      </c>
      <c r="B5508" s="818" t="str">
        <f>TiposLancamentos!B9</f>
        <v>Condominio</v>
      </c>
      <c r="C5508" s="1743" t="s">
        <v>7427</v>
      </c>
      <c r="D5508" s="1737"/>
      <c r="E5508" s="1668">
        <v>616.37</v>
      </c>
      <c r="F5508" s="1291">
        <v>2145.96</v>
      </c>
      <c r="G5508" s="1550"/>
    </row>
    <row r="5509" spans="1:7" ht="12.75" customHeight="1">
      <c r="A5509" s="1754">
        <v>44186</v>
      </c>
      <c r="B5509" s="125" t="str">
        <f>TiposLancamentos!B6</f>
        <v>Energia Eletrica</v>
      </c>
      <c r="C5509" s="1040" t="s">
        <v>7853</v>
      </c>
      <c r="D5509" s="1736"/>
      <c r="E5509" s="1043">
        <v>244.09</v>
      </c>
      <c r="F5509" s="1043"/>
      <c r="G5509" s="1550"/>
    </row>
    <row r="5510" spans="1:7" ht="12.75" customHeight="1">
      <c r="A5510" s="1754">
        <v>44186</v>
      </c>
      <c r="B5510" s="125" t="str">
        <f>TiposLancamentos!B19</f>
        <v>Restaurantes</v>
      </c>
      <c r="C5510" s="1040" t="s">
        <v>7854</v>
      </c>
      <c r="D5510" s="1736"/>
      <c r="E5510" s="1043">
        <v>246.34</v>
      </c>
      <c r="F5510" s="1043"/>
      <c r="G5510" s="1550"/>
    </row>
    <row r="5511" spans="1:7" ht="12.75" customHeight="1">
      <c r="A5511" s="1754">
        <v>44187</v>
      </c>
      <c r="B5511" s="125" t="str">
        <f>TiposLancamentos!B72</f>
        <v>Presentes</v>
      </c>
      <c r="C5511" s="1040" t="s">
        <v>7855</v>
      </c>
      <c r="D5511" s="1736"/>
      <c r="E5511" s="1043">
        <v>142</v>
      </c>
      <c r="F5511" s="1043"/>
      <c r="G5511" s="1550"/>
    </row>
    <row r="5512" spans="1:7" ht="12.75" customHeight="1">
      <c r="A5512" s="1754">
        <v>44187</v>
      </c>
      <c r="B5512" s="125" t="str">
        <f>TiposLancamentos!B17</f>
        <v>GATO</v>
      </c>
      <c r="C5512" s="1040" t="s">
        <v>7856</v>
      </c>
      <c r="D5512" s="1736"/>
      <c r="E5512" s="1043">
        <v>4.99</v>
      </c>
      <c r="F5512" s="1043"/>
      <c r="G5512" s="1550"/>
    </row>
    <row r="5513" spans="1:7" ht="12.75" customHeight="1">
      <c r="A5513" s="1754">
        <v>44187</v>
      </c>
      <c r="B5513" s="125" t="str">
        <f>TiposLancamentos!B56</f>
        <v>Farmácia</v>
      </c>
      <c r="C5513" s="1040" t="s">
        <v>7857</v>
      </c>
      <c r="D5513" s="1736"/>
      <c r="E5513" s="1043">
        <v>156.41</v>
      </c>
      <c r="F5513" s="1043"/>
      <c r="G5513" s="1550"/>
    </row>
    <row r="5514" spans="1:7" ht="12.75" customHeight="1">
      <c r="A5514" s="1754">
        <v>44187</v>
      </c>
      <c r="B5514" s="125" t="str">
        <f>TiposLancamentos!B17</f>
        <v>GATO</v>
      </c>
      <c r="C5514" s="1040" t="s">
        <v>7858</v>
      </c>
      <c r="D5514" s="1736"/>
      <c r="E5514" s="1043">
        <v>184.8</v>
      </c>
      <c r="F5514" s="1043"/>
      <c r="G5514" s="1550"/>
    </row>
    <row r="5515" spans="1:7" ht="12.75" customHeight="1">
      <c r="A5515" s="1754">
        <v>44188</v>
      </c>
      <c r="B5515" s="125" t="str">
        <f>TiposLancamentos!B22</f>
        <v>Combustivel</v>
      </c>
      <c r="C5515" s="1040" t="s">
        <v>7859</v>
      </c>
      <c r="D5515" s="1736"/>
      <c r="E5515" s="1043">
        <v>207.44</v>
      </c>
      <c r="F5515" s="1043"/>
      <c r="G5515" s="1550"/>
    </row>
    <row r="5516" spans="1:7" ht="12.75" customHeight="1">
      <c r="A5516" s="1754">
        <v>44188</v>
      </c>
      <c r="B5516" s="125" t="str">
        <f>TiposLancamentos!B19</f>
        <v>Restaurantes</v>
      </c>
      <c r="C5516" s="1040" t="s">
        <v>7860</v>
      </c>
      <c r="D5516" s="1736"/>
      <c r="E5516" s="1043">
        <v>43.5</v>
      </c>
      <c r="F5516" s="1043"/>
      <c r="G5516" s="1550"/>
    </row>
    <row r="5517" spans="1:7" ht="12.75" customHeight="1">
      <c r="A5517" s="1754">
        <v>44189</v>
      </c>
      <c r="B5517" s="125" t="str">
        <f>TiposLancamentos!B69</f>
        <v>Consertos</v>
      </c>
      <c r="C5517" s="1040" t="s">
        <v>7861</v>
      </c>
      <c r="D5517" s="1736"/>
      <c r="E5517" s="1043">
        <v>39.99</v>
      </c>
      <c r="F5517" s="1043"/>
      <c r="G5517" s="1550"/>
    </row>
    <row r="5518" spans="1:7" ht="12.75" customHeight="1">
      <c r="A5518" s="1754">
        <v>44189</v>
      </c>
      <c r="B5518" s="125" t="str">
        <f>TiposLancamentos!B16</f>
        <v>Cristiane</v>
      </c>
      <c r="C5518" s="1040" t="s">
        <v>7862</v>
      </c>
      <c r="D5518" s="1736"/>
      <c r="E5518" s="1043">
        <v>20</v>
      </c>
      <c r="F5518" s="1043"/>
      <c r="G5518" s="1550"/>
    </row>
    <row r="5519" spans="1:7" ht="12.75" customHeight="1">
      <c r="A5519" s="1754">
        <v>44189</v>
      </c>
      <c r="B5519" s="125" t="str">
        <f>TiposLancamentos!B16</f>
        <v>Cristiane</v>
      </c>
      <c r="C5519" s="1040" t="s">
        <v>7863</v>
      </c>
      <c r="D5519" s="1736"/>
      <c r="E5519" s="1043">
        <v>60.09</v>
      </c>
      <c r="F5519" s="1043"/>
      <c r="G5519" s="1550"/>
    </row>
    <row r="5520" spans="1:7" ht="12.75" customHeight="1">
      <c r="A5520" s="1754">
        <v>44191</v>
      </c>
      <c r="B5520" s="125" t="str">
        <f>TiposLancamentos!B16</f>
        <v>Cristiane</v>
      </c>
      <c r="C5520" s="1040" t="s">
        <v>7864</v>
      </c>
      <c r="D5520" s="1736"/>
      <c r="E5520" s="1043">
        <v>32.11</v>
      </c>
      <c r="F5520" s="1043"/>
      <c r="G5520" s="1550"/>
    </row>
    <row r="5521" spans="1:7" ht="12.75" customHeight="1">
      <c r="A5521" s="1754">
        <v>44191</v>
      </c>
      <c r="B5521" s="125" t="str">
        <f>TiposLancamentos!B16</f>
        <v>Cristiane</v>
      </c>
      <c r="C5521" s="1040" t="s">
        <v>7865</v>
      </c>
      <c r="D5521" s="1736"/>
      <c r="E5521" s="1043">
        <v>19.989999999999998</v>
      </c>
      <c r="F5521" s="1043"/>
      <c r="G5521" s="1550"/>
    </row>
    <row r="5522" spans="1:7" ht="12.75" customHeight="1">
      <c r="A5522" s="1754">
        <v>44191</v>
      </c>
      <c r="B5522" s="125" t="str">
        <f>TiposLancamentos!B13</f>
        <v>Moradia</v>
      </c>
      <c r="C5522" s="1040" t="s">
        <v>7866</v>
      </c>
      <c r="D5522" s="1736"/>
      <c r="E5522" s="1043">
        <v>7.99</v>
      </c>
      <c r="F5522" s="1043"/>
      <c r="G5522" s="1550"/>
    </row>
    <row r="5523" spans="1:7" ht="12.75" customHeight="1">
      <c r="A5523" s="1754">
        <v>44191</v>
      </c>
      <c r="B5523" s="125" t="str">
        <f>TiposLancamentos!B5</f>
        <v>Supermercado</v>
      </c>
      <c r="C5523" s="1040" t="s">
        <v>7867</v>
      </c>
      <c r="D5523" s="1736"/>
      <c r="E5523" s="1043">
        <v>63.21</v>
      </c>
      <c r="F5523" s="1043"/>
      <c r="G5523" s="1550"/>
    </row>
    <row r="5524" spans="1:7" ht="12.75" customHeight="1">
      <c r="A5524" s="1754">
        <v>44192</v>
      </c>
      <c r="B5524" s="125" t="str">
        <f>TiposLancamentos!B56</f>
        <v>Farmácia</v>
      </c>
      <c r="C5524" s="1040" t="s">
        <v>7868</v>
      </c>
      <c r="D5524" s="1736"/>
      <c r="E5524" s="1043">
        <v>16.98</v>
      </c>
      <c r="F5524" s="1043"/>
      <c r="G5524" s="1550"/>
    </row>
    <row r="5525" spans="1:7" ht="12.75" customHeight="1">
      <c r="A5525" s="1754">
        <v>44193</v>
      </c>
      <c r="B5525" s="125" t="str">
        <f>TiposLancamentos!B5</f>
        <v>Supermercado</v>
      </c>
      <c r="C5525" s="1040" t="s">
        <v>7869</v>
      </c>
      <c r="D5525" s="1736"/>
      <c r="E5525" s="1043">
        <v>165.22</v>
      </c>
      <c r="F5525" s="1043"/>
      <c r="G5525" s="1550"/>
    </row>
    <row r="5526" spans="1:7" ht="12.75" customHeight="1">
      <c r="A5526" s="1754">
        <v>44193</v>
      </c>
      <c r="B5526" s="125" t="str">
        <f>TiposLancamentos!B71</f>
        <v>Itens Pessoais</v>
      </c>
      <c r="C5526" s="1040" t="s">
        <v>7870</v>
      </c>
      <c r="D5526" s="1736"/>
      <c r="E5526" s="1043">
        <v>23</v>
      </c>
      <c r="F5526" s="1043"/>
      <c r="G5526" s="1550"/>
    </row>
    <row r="5527" spans="1:7" ht="12.75" customHeight="1">
      <c r="A5527" s="1754">
        <v>44194</v>
      </c>
      <c r="B5527" s="125" t="str">
        <f>TiposLancamentos!B5</f>
        <v>Supermercado</v>
      </c>
      <c r="C5527" s="1040" t="s">
        <v>7871</v>
      </c>
      <c r="D5527" s="1736"/>
      <c r="E5527" s="1043">
        <v>6.05</v>
      </c>
      <c r="F5527" s="1043"/>
      <c r="G5527" s="1550"/>
    </row>
    <row r="5528" spans="1:7" ht="12.75" customHeight="1">
      <c r="A5528" s="1754">
        <v>44194</v>
      </c>
      <c r="B5528" s="125" t="str">
        <f>TiposLancamentos!B16</f>
        <v>Cristiane</v>
      </c>
      <c r="C5528" s="1040" t="s">
        <v>7872</v>
      </c>
      <c r="D5528" s="1736"/>
      <c r="E5528" s="1043">
        <v>269.8</v>
      </c>
      <c r="F5528" s="1043"/>
      <c r="G5528" s="1550"/>
    </row>
    <row r="5529" spans="1:7" ht="12.75" customHeight="1">
      <c r="A5529" s="1754">
        <v>44194</v>
      </c>
      <c r="B5529" s="125" t="str">
        <f>TiposLancamentos!B71</f>
        <v>Itens Pessoais</v>
      </c>
      <c r="C5529" s="1040" t="s">
        <v>7873</v>
      </c>
      <c r="D5529" s="1736"/>
      <c r="E5529" s="1043">
        <v>25.8</v>
      </c>
      <c r="F5529" s="1043"/>
      <c r="G5529" s="1550"/>
    </row>
    <row r="5530" spans="1:7" ht="12.75" customHeight="1">
      <c r="A5530" s="1754">
        <v>44195</v>
      </c>
      <c r="B5530" s="125" t="str">
        <f>TiposLancamentos!B16</f>
        <v>Cristiane</v>
      </c>
      <c r="C5530" s="1040" t="s">
        <v>7874</v>
      </c>
      <c r="D5530" s="1736"/>
      <c r="E5530" s="1043">
        <v>195</v>
      </c>
      <c r="F5530" s="1043"/>
      <c r="G5530" s="1550"/>
    </row>
    <row r="5531" spans="1:7" ht="12.75" customHeight="1">
      <c r="A5531" s="1754">
        <v>44195</v>
      </c>
      <c r="B5531" s="125" t="str">
        <f>TiposLancamentos!B16</f>
        <v>Cristiane</v>
      </c>
      <c r="C5531" s="1040" t="s">
        <v>7875</v>
      </c>
      <c r="D5531" s="1736"/>
      <c r="E5531" s="1043">
        <v>34.4</v>
      </c>
      <c r="F5531" s="1043"/>
      <c r="G5531" s="1550"/>
    </row>
    <row r="5532" spans="1:7" ht="12.75" customHeight="1">
      <c r="A5532" s="1754">
        <v>44195</v>
      </c>
      <c r="B5532" s="125" t="str">
        <f>TiposLancamentos!B5</f>
        <v>Supermercado</v>
      </c>
      <c r="C5532" s="1040" t="s">
        <v>7876</v>
      </c>
      <c r="D5532" s="1736"/>
      <c r="E5532" s="1043">
        <v>154.58000000000001</v>
      </c>
      <c r="F5532" s="1043"/>
      <c r="G5532" s="1550"/>
    </row>
    <row r="5533" spans="1:7" ht="12.75" customHeight="1">
      <c r="A5533" s="1754">
        <v>44195</v>
      </c>
      <c r="B5533" s="125" t="str">
        <f>B5530</f>
        <v>Cristiane</v>
      </c>
      <c r="C5533" s="1040" t="s">
        <v>7877</v>
      </c>
      <c r="D5533" s="1736"/>
      <c r="E5533" s="1043">
        <v>23</v>
      </c>
      <c r="F5533" s="1043"/>
      <c r="G5533" s="1550"/>
    </row>
    <row r="5534" spans="1:7" ht="12.75" customHeight="1" thickBot="1">
      <c r="A5534" s="1754">
        <v>44196</v>
      </c>
      <c r="B5534" s="125" t="str">
        <f>TiposLancamentos!B13</f>
        <v>Moradia</v>
      </c>
      <c r="C5534" s="1040" t="s">
        <v>7878</v>
      </c>
      <c r="D5534" s="1736"/>
      <c r="E5534" s="1043">
        <v>560</v>
      </c>
      <c r="F5534" s="1043"/>
      <c r="G5534" s="1550"/>
    </row>
    <row r="5535" spans="1:7" ht="12.75" customHeight="1">
      <c r="A5535" s="1834"/>
      <c r="B5535" s="977"/>
      <c r="C5535" s="1854" t="s">
        <v>7879</v>
      </c>
      <c r="D5535" s="1823"/>
      <c r="E5535" s="1821"/>
      <c r="F5535" s="1821"/>
      <c r="G5535" s="1895"/>
    </row>
    <row r="5536" spans="1:7" ht="12.75" customHeight="1">
      <c r="A5536" s="1754">
        <v>44198</v>
      </c>
      <c r="B5536" s="125" t="str">
        <f>TiposLancamentos!B5</f>
        <v>Supermercado</v>
      </c>
      <c r="C5536" s="1040" t="s">
        <v>7880</v>
      </c>
      <c r="D5536" s="1736"/>
      <c r="E5536" s="1043">
        <v>76.66</v>
      </c>
      <c r="F5536" s="1043"/>
      <c r="G5536" s="1550"/>
    </row>
    <row r="5537" spans="1:7" ht="12.75" customHeight="1">
      <c r="A5537" s="1754">
        <v>44200</v>
      </c>
      <c r="B5537" s="125" t="str">
        <f>TiposLancamentos!B18</f>
        <v>Alimentacao</v>
      </c>
      <c r="C5537" s="1040" t="s">
        <v>7881</v>
      </c>
      <c r="D5537" s="1736"/>
      <c r="E5537" s="1043">
        <v>12</v>
      </c>
      <c r="F5537" s="1043"/>
      <c r="G5537" s="1550"/>
    </row>
    <row r="5538" spans="1:7" ht="12.75" customHeight="1">
      <c r="A5538" s="1754">
        <v>44200</v>
      </c>
      <c r="B5538" s="125" t="str">
        <f>TiposLancamentos!B16</f>
        <v>Cristiane</v>
      </c>
      <c r="C5538" s="1040" t="s">
        <v>7882</v>
      </c>
      <c r="D5538" s="1736"/>
      <c r="E5538" s="1043">
        <v>31.55</v>
      </c>
      <c r="F5538" s="1043"/>
      <c r="G5538" s="1550"/>
    </row>
    <row r="5539" spans="1:7" ht="12.75" customHeight="1">
      <c r="A5539" s="1754">
        <v>44200</v>
      </c>
      <c r="B5539" s="125" t="str">
        <f>TiposLancamentos!B16</f>
        <v>Cristiane</v>
      </c>
      <c r="C5539" s="1040" t="s">
        <v>7883</v>
      </c>
      <c r="D5539" s="1736"/>
      <c r="E5539" s="1043">
        <v>34.9</v>
      </c>
      <c r="F5539" s="1043"/>
      <c r="G5539" s="1550"/>
    </row>
    <row r="5540" spans="1:7" ht="12.75" customHeight="1">
      <c r="A5540" s="1754">
        <v>44200</v>
      </c>
      <c r="B5540" s="125" t="str">
        <f>TiposLancamentos!B4</f>
        <v>Taxas Bancarias</v>
      </c>
      <c r="C5540" s="1040" t="s">
        <v>5339</v>
      </c>
      <c r="D5540" s="1736"/>
      <c r="E5540" s="1043">
        <v>8.15</v>
      </c>
      <c r="F5540" s="1043"/>
      <c r="G5540" s="1550"/>
    </row>
    <row r="5541" spans="1:7" ht="12.75" customHeight="1">
      <c r="A5541" s="1754">
        <v>44200</v>
      </c>
      <c r="B5541" s="125" t="str">
        <f>TiposLancamentos!B4</f>
        <v>Taxas Bancarias</v>
      </c>
      <c r="C5541" s="1040" t="s">
        <v>5707</v>
      </c>
      <c r="D5541" s="1736"/>
      <c r="E5541" s="1043">
        <v>55.79</v>
      </c>
      <c r="F5541" s="1043"/>
      <c r="G5541" s="1550"/>
    </row>
    <row r="5542" spans="1:7" ht="12.75" customHeight="1">
      <c r="A5542" s="1754">
        <v>44201</v>
      </c>
      <c r="B5542" s="125" t="str">
        <f>TiposLancamentos!B4</f>
        <v>Taxas Bancarias</v>
      </c>
      <c r="C5542" s="1040" t="s">
        <v>7884</v>
      </c>
      <c r="D5542" s="1736"/>
      <c r="E5542" s="1043">
        <v>5.25</v>
      </c>
      <c r="F5542" s="1043"/>
      <c r="G5542" s="1550"/>
    </row>
    <row r="5543" spans="1:7" ht="12.75" customHeight="1">
      <c r="A5543" s="1754">
        <v>44201</v>
      </c>
      <c r="B5543" s="125" t="str">
        <f>TiposLancamentos!B4</f>
        <v>Taxas Bancarias</v>
      </c>
      <c r="C5543" s="1040" t="s">
        <v>7885</v>
      </c>
      <c r="D5543" s="1736"/>
      <c r="E5543" s="1043">
        <v>45</v>
      </c>
      <c r="F5543" s="1043"/>
      <c r="G5543" s="1550"/>
    </row>
    <row r="5544" spans="1:7" ht="12.75" customHeight="1">
      <c r="A5544" s="1754">
        <v>44202</v>
      </c>
      <c r="B5544" s="125" t="str">
        <f>TiposLancamentos!B22</f>
        <v>Combustivel</v>
      </c>
      <c r="C5544" s="1040" t="s">
        <v>7886</v>
      </c>
      <c r="D5544" s="1736"/>
      <c r="E5544" s="1043">
        <v>138.02000000000001</v>
      </c>
      <c r="F5544" s="1043"/>
      <c r="G5544" s="1550"/>
    </row>
    <row r="5545" spans="1:7" ht="12.75" customHeight="1">
      <c r="A5545" s="1754">
        <v>44202</v>
      </c>
      <c r="B5545" s="125" t="str">
        <f>TiposLancamentos!B19</f>
        <v>Restaurantes</v>
      </c>
      <c r="C5545" s="1040" t="s">
        <v>7887</v>
      </c>
      <c r="D5545" s="1736"/>
      <c r="E5545" s="1043">
        <v>30.9</v>
      </c>
      <c r="F5545" s="1043"/>
      <c r="G5545" s="1550"/>
    </row>
    <row r="5546" spans="1:7" ht="12.75" customHeight="1">
      <c r="A5546" s="1754">
        <v>44202</v>
      </c>
      <c r="B5546" s="125" t="str">
        <f>TiposLancamentos!B105</f>
        <v>Transf. Bco</v>
      </c>
      <c r="C5546" s="1040" t="s">
        <v>7888</v>
      </c>
      <c r="D5546" s="1736">
        <v>2480</v>
      </c>
      <c r="E5546" s="1043"/>
      <c r="F5546" s="1043"/>
      <c r="G5546" s="1550"/>
    </row>
    <row r="5547" spans="1:7" ht="12.75" customHeight="1">
      <c r="A5547" s="1754">
        <v>44202</v>
      </c>
      <c r="B5547" s="125" t="str">
        <f>TiposLancamentos!B4</f>
        <v>Taxas Bancarias</v>
      </c>
      <c r="C5547" s="1040" t="s">
        <v>4858</v>
      </c>
      <c r="D5547" s="1736"/>
      <c r="E5547" s="1043">
        <v>3.6</v>
      </c>
      <c r="F5547" s="1043"/>
      <c r="G5547" s="1550"/>
    </row>
    <row r="5548" spans="1:7" ht="12.75" customHeight="1">
      <c r="A5548" s="1754">
        <v>44202</v>
      </c>
      <c r="B5548" s="125" t="str">
        <f>TiposLancamentos!B103</f>
        <v>Juros_Corr. Poupança</v>
      </c>
      <c r="C5548" s="1040" t="s">
        <v>7889</v>
      </c>
      <c r="D5548" s="1736">
        <v>0.02</v>
      </c>
      <c r="E5548" s="1043"/>
      <c r="F5548" s="1662" t="s">
        <v>11</v>
      </c>
      <c r="G5548" s="1550"/>
    </row>
    <row r="5549" spans="1:7" ht="12.75" customHeight="1">
      <c r="A5549" s="1754">
        <v>44203</v>
      </c>
      <c r="B5549" s="125" t="str">
        <f>TiposLancamentos!B5</f>
        <v>Supermercado</v>
      </c>
      <c r="C5549" s="1040" t="s">
        <v>7667</v>
      </c>
      <c r="D5549" s="1736"/>
      <c r="E5549" s="1043">
        <v>336.57</v>
      </c>
      <c r="F5549" s="1043"/>
      <c r="G5549" s="1550"/>
    </row>
    <row r="5550" spans="1:7" ht="12.75" customHeight="1">
      <c r="A5550" s="1754">
        <v>44205</v>
      </c>
      <c r="B5550" s="125" t="str">
        <f>TiposLancamentos!B5</f>
        <v>Supermercado</v>
      </c>
      <c r="C5550" s="1040" t="s">
        <v>7068</v>
      </c>
      <c r="D5550" s="1736"/>
      <c r="E5550" s="1043">
        <v>61.5</v>
      </c>
      <c r="F5550" s="1043"/>
      <c r="G5550" s="1550"/>
    </row>
    <row r="5551" spans="1:7" ht="12.75" customHeight="1">
      <c r="A5551" s="1754">
        <v>44207</v>
      </c>
      <c r="B5551" s="125" t="str">
        <f>TiposLancamentos!B16</f>
        <v>Cristiane</v>
      </c>
      <c r="C5551" s="1040" t="s">
        <v>7890</v>
      </c>
      <c r="D5551" s="1736"/>
      <c r="E5551" s="1043">
        <v>10.199999999999999</v>
      </c>
      <c r="F5551" s="1043"/>
      <c r="G5551" s="1550"/>
    </row>
    <row r="5552" spans="1:7" ht="12.75" customHeight="1">
      <c r="A5552" s="1754">
        <v>44207</v>
      </c>
      <c r="B5552" s="125" t="str">
        <f>TiposLancamentos!B20</f>
        <v>Saques</v>
      </c>
      <c r="C5552" s="1040" t="s">
        <v>4368</v>
      </c>
      <c r="D5552" s="1736"/>
      <c r="E5552" s="1043">
        <v>80</v>
      </c>
      <c r="F5552" s="1043"/>
      <c r="G5552" s="1550"/>
    </row>
    <row r="5553" spans="1:7" ht="12.75" customHeight="1">
      <c r="A5553" s="1754">
        <v>44210</v>
      </c>
      <c r="B5553" s="125" t="str">
        <f>TiposLancamentos!B95</f>
        <v>Salarios</v>
      </c>
      <c r="C5553" s="1040" t="s">
        <v>7694</v>
      </c>
      <c r="D5553" s="1736">
        <v>7303.22</v>
      </c>
      <c r="E5553" s="1043"/>
      <c r="F5553" s="1043"/>
      <c r="G5553" s="1550"/>
    </row>
    <row r="5554" spans="1:7" ht="12.75" customHeight="1">
      <c r="A5554" s="1754">
        <v>44210</v>
      </c>
      <c r="B5554" s="125" t="str">
        <f>TiposLancamentos!B5</f>
        <v>Supermercado</v>
      </c>
      <c r="C5554" s="1040" t="s">
        <v>7891</v>
      </c>
      <c r="D5554" s="1736"/>
      <c r="E5554" s="1043">
        <v>51.92</v>
      </c>
      <c r="F5554" s="1043"/>
      <c r="G5554" s="1550"/>
    </row>
    <row r="5555" spans="1:7" ht="12.75" customHeight="1">
      <c r="A5555" s="1666">
        <v>44211</v>
      </c>
      <c r="B5555" s="817" t="str">
        <f>TiposLancamentos!B33</f>
        <v>Pedágios</v>
      </c>
      <c r="C5555" s="1742" t="s">
        <v>5392</v>
      </c>
      <c r="D5555" s="1735"/>
      <c r="E5555" s="1733">
        <f>F5557-(E5556+E5557)</f>
        <v>181.78</v>
      </c>
      <c r="F5555" s="1290"/>
      <c r="G5555" s="1550"/>
    </row>
    <row r="5556" spans="1:7" ht="12.75" customHeight="1">
      <c r="A5556" s="1667">
        <v>44211</v>
      </c>
      <c r="B5556" s="816" t="str">
        <f>TiposLancamentos!B24</f>
        <v>Estacionamentos</v>
      </c>
      <c r="C5556" s="1769" t="s">
        <v>7366</v>
      </c>
      <c r="D5556" s="1736"/>
      <c r="E5556" s="1734">
        <v>21</v>
      </c>
      <c r="F5556" s="1043"/>
      <c r="G5556" s="1550"/>
    </row>
    <row r="5557" spans="1:7" ht="12.75" customHeight="1" thickBot="1">
      <c r="A5557" s="1750">
        <v>44211</v>
      </c>
      <c r="B5557" s="818" t="str">
        <f>TiposLancamentos!B24</f>
        <v>Estacionamentos</v>
      </c>
      <c r="C5557" s="1743" t="s">
        <v>6297</v>
      </c>
      <c r="D5557" s="1737"/>
      <c r="E5557" s="1668">
        <v>0</v>
      </c>
      <c r="F5557" s="1347">
        <v>202.78</v>
      </c>
      <c r="G5557" s="1550"/>
    </row>
    <row r="5558" spans="1:7" ht="12.75" customHeight="1">
      <c r="A5558" s="1834">
        <v>44211</v>
      </c>
      <c r="B5558" s="977"/>
      <c r="C5558" s="1854" t="s">
        <v>7341</v>
      </c>
      <c r="D5558" s="1823">
        <v>0</v>
      </c>
      <c r="E5558" s="1821"/>
      <c r="F5558" s="1042"/>
      <c r="G5558" s="1655"/>
    </row>
    <row r="5559" spans="1:7" ht="12.75" customHeight="1">
      <c r="A5559" s="1666">
        <v>44211</v>
      </c>
      <c r="B5559" s="817" t="str">
        <f>TiposLancamentos!B35</f>
        <v>Tv à Cabo</v>
      </c>
      <c r="C5559" s="1742" t="s">
        <v>5834</v>
      </c>
      <c r="D5559" s="1735"/>
      <c r="E5559" s="1733">
        <f>F5561-(E5560+E5561)</f>
        <v>104.94999999999999</v>
      </c>
      <c r="F5559" s="1290"/>
      <c r="G5559" s="1550"/>
    </row>
    <row r="5560" spans="1:7" ht="12.75" customHeight="1">
      <c r="A5560" s="1667">
        <v>44211</v>
      </c>
      <c r="B5560" s="816" t="str">
        <f>TiposLancamentos!B3</f>
        <v>Internet</v>
      </c>
      <c r="C5560" s="1769" t="s">
        <v>5835</v>
      </c>
      <c r="D5560" s="1736"/>
      <c r="E5560" s="1734">
        <v>134.99</v>
      </c>
      <c r="F5560" s="1043"/>
      <c r="G5560" s="1550"/>
    </row>
    <row r="5561" spans="1:7" ht="12.75" customHeight="1">
      <c r="A5561" s="1750">
        <v>44211</v>
      </c>
      <c r="B5561" s="818" t="str">
        <f>TiposLancamentos!B2</f>
        <v>Telefonia</v>
      </c>
      <c r="C5561" s="1743" t="s">
        <v>7210</v>
      </c>
      <c r="D5561" s="1737"/>
      <c r="E5561" s="1668">
        <v>0</v>
      </c>
      <c r="F5561" s="1291">
        <v>239.94</v>
      </c>
      <c r="G5561" s="1550"/>
    </row>
    <row r="5562" spans="1:7" ht="12.75" customHeight="1">
      <c r="A5562" s="1754">
        <v>44211</v>
      </c>
      <c r="B5562" s="125" t="str">
        <f>TiposLancamentos!B2</f>
        <v>Telefonia</v>
      </c>
      <c r="C5562" s="1770" t="s">
        <v>7368</v>
      </c>
      <c r="D5562" s="1736"/>
      <c r="E5562" s="1043">
        <v>109.99</v>
      </c>
      <c r="F5562" s="1043"/>
      <c r="G5562" s="1550"/>
    </row>
    <row r="5563" spans="1:7" ht="12.75" customHeight="1">
      <c r="A5563" s="1754">
        <v>44211</v>
      </c>
      <c r="B5563" s="125" t="str">
        <f>TiposLancamentos!B23</f>
        <v>P208 GRIFFE 1.6 AUT BUSINESS</v>
      </c>
      <c r="C5563" s="1040" t="s">
        <v>7892</v>
      </c>
      <c r="D5563" s="1736"/>
      <c r="E5563" s="1043">
        <v>704.21</v>
      </c>
      <c r="F5563" s="1043"/>
      <c r="G5563" s="1550"/>
    </row>
    <row r="5564" spans="1:7" ht="12.75" customHeight="1">
      <c r="A5564" s="1754">
        <v>44212</v>
      </c>
      <c r="B5564" s="125" t="str">
        <f>TiposLancamentos!B19</f>
        <v>Restaurantes</v>
      </c>
      <c r="C5564" s="1040" t="s">
        <v>7657</v>
      </c>
      <c r="D5564" s="1736"/>
      <c r="E5564" s="1043">
        <v>41</v>
      </c>
      <c r="F5564" s="1043"/>
      <c r="G5564" s="1550"/>
    </row>
    <row r="5565" spans="1:7" ht="12.75" customHeight="1">
      <c r="A5565" s="1666">
        <v>44212</v>
      </c>
      <c r="B5565" s="817" t="str">
        <f>TiposLancamentos!B56</f>
        <v>Farmácia</v>
      </c>
      <c r="C5565" s="1742" t="s">
        <v>7893</v>
      </c>
      <c r="D5565" s="1735"/>
      <c r="E5565" s="1733">
        <v>61</v>
      </c>
      <c r="F5565" s="1346"/>
      <c r="G5565" s="1550"/>
    </row>
    <row r="5566" spans="1:7" ht="12.75" customHeight="1">
      <c r="A5566" s="1750">
        <v>44212</v>
      </c>
      <c r="B5566" s="818" t="str">
        <f>TiposLancamentos!B16</f>
        <v>Cristiane</v>
      </c>
      <c r="C5566" s="1743" t="s">
        <v>4232</v>
      </c>
      <c r="D5566" s="1737"/>
      <c r="E5566" s="1668">
        <f>F5566-E5565</f>
        <v>80.09</v>
      </c>
      <c r="F5566" s="1291">
        <v>141.09</v>
      </c>
      <c r="G5566" s="1550"/>
    </row>
    <row r="5567" spans="1:7" ht="12.75" customHeight="1">
      <c r="A5567" s="1754">
        <v>44212</v>
      </c>
      <c r="B5567" s="125" t="str">
        <f>TiposLancamentos!B19</f>
        <v>Restaurantes</v>
      </c>
      <c r="C5567" s="1040" t="s">
        <v>7894</v>
      </c>
      <c r="D5567" s="1736"/>
      <c r="E5567" s="1043">
        <v>23.7</v>
      </c>
      <c r="F5567" s="1043"/>
      <c r="G5567" s="1550"/>
    </row>
    <row r="5568" spans="1:7" ht="12.75" customHeight="1">
      <c r="A5568" s="1754">
        <v>44212</v>
      </c>
      <c r="B5568" s="125" t="str">
        <f>TiposLancamentos!B24</f>
        <v>Estacionamentos</v>
      </c>
      <c r="C5568" s="1040" t="s">
        <v>3398</v>
      </c>
      <c r="D5568" s="1736"/>
      <c r="E5568" s="1043">
        <v>12</v>
      </c>
      <c r="F5568" s="1043"/>
      <c r="G5568" s="1550"/>
    </row>
    <row r="5569" spans="1:7" ht="12.75" customHeight="1">
      <c r="A5569" s="1754">
        <v>44212</v>
      </c>
      <c r="B5569" s="125" t="str">
        <f>TiposLancamentos!B5</f>
        <v>Supermercado</v>
      </c>
      <c r="C5569" s="1040" t="s">
        <v>7842</v>
      </c>
      <c r="D5569" s="1736"/>
      <c r="E5569" s="1043">
        <v>537.45000000000005</v>
      </c>
      <c r="F5569" s="1043"/>
      <c r="G5569" s="1550"/>
    </row>
    <row r="5570" spans="1:7" ht="12.75" customHeight="1">
      <c r="A5570" s="1754">
        <v>44214</v>
      </c>
      <c r="B5570" s="125" t="str">
        <f>TiposLancamentos!B46</f>
        <v>Maçonaria</v>
      </c>
      <c r="C5570" s="1040" t="s">
        <v>7895</v>
      </c>
      <c r="D5570" s="1736"/>
      <c r="E5570" s="1043">
        <v>180</v>
      </c>
      <c r="F5570" s="1043"/>
      <c r="G5570" s="1550"/>
    </row>
    <row r="5571" spans="1:7" ht="12.75" customHeight="1">
      <c r="A5571" s="1754">
        <v>44215</v>
      </c>
      <c r="B5571" s="125" t="str">
        <f>TiposLancamentos!B19</f>
        <v>Restaurantes</v>
      </c>
      <c r="C5571" s="1040" t="s">
        <v>2150</v>
      </c>
      <c r="D5571" s="1736"/>
      <c r="E5571" s="1043">
        <v>17</v>
      </c>
      <c r="F5571" s="1043"/>
      <c r="G5571" s="1550"/>
    </row>
    <row r="5572" spans="1:7" ht="12.75" customHeight="1">
      <c r="A5572" s="1754">
        <v>44216</v>
      </c>
      <c r="B5572" s="125" t="str">
        <f>TiposLancamentos!B103</f>
        <v>Juros_Corr. Poupança</v>
      </c>
      <c r="C5572" s="1040" t="s">
        <v>7889</v>
      </c>
      <c r="D5572" s="1736">
        <v>0.01</v>
      </c>
      <c r="E5572" s="1043"/>
      <c r="F5572" s="1043"/>
      <c r="G5572" s="1550"/>
    </row>
    <row r="5573" spans="1:7" ht="12.75" customHeight="1">
      <c r="A5573" s="1666">
        <v>44216</v>
      </c>
      <c r="B5573" s="817" t="str">
        <f>TiposLancamentos!B8</f>
        <v>Aluguel</v>
      </c>
      <c r="C5573" s="1742" t="s">
        <v>7896</v>
      </c>
      <c r="D5573" s="1735"/>
      <c r="E5573" s="1733">
        <f>F5578-SUM(E5574:E5578)</f>
        <v>1400</v>
      </c>
      <c r="F5573" s="1346"/>
      <c r="G5573" s="1550"/>
    </row>
    <row r="5574" spans="1:7" ht="12.75" customHeight="1">
      <c r="A5574" s="1667">
        <v>44216</v>
      </c>
      <c r="B5574" s="816" t="str">
        <f>TiposLancamentos!B12</f>
        <v>IPTU</v>
      </c>
      <c r="C5574" s="1769" t="s">
        <v>7897</v>
      </c>
      <c r="D5574" s="1736"/>
      <c r="E5574" s="1734">
        <v>40.520000000000003</v>
      </c>
      <c r="F5574" s="1043"/>
      <c r="G5574" s="1550"/>
    </row>
    <row r="5575" spans="1:7" ht="12.75" customHeight="1">
      <c r="A5575" s="1667">
        <v>44216</v>
      </c>
      <c r="B5575" s="816" t="str">
        <f>TiposLancamentos!B10</f>
        <v>Distr. Água Municipal</v>
      </c>
      <c r="C5575" s="1769" t="s">
        <v>7423</v>
      </c>
      <c r="D5575" s="1736"/>
      <c r="E5575" s="1734">
        <v>42.46</v>
      </c>
      <c r="F5575" s="1043"/>
      <c r="G5575" s="1550"/>
    </row>
    <row r="5576" spans="1:7" ht="12.75" customHeight="1">
      <c r="A5576" s="1667">
        <v>44216</v>
      </c>
      <c r="B5576" s="816" t="str">
        <f>TiposLancamentos!B11</f>
        <v>Coleta Municipal Lixo</v>
      </c>
      <c r="C5576" s="1769" t="s">
        <v>7424</v>
      </c>
      <c r="D5576" s="1736"/>
      <c r="E5576" s="1734">
        <v>41.13</v>
      </c>
      <c r="F5576" s="1043"/>
      <c r="G5576" s="1550"/>
    </row>
    <row r="5577" spans="1:7" ht="12.75" customHeight="1">
      <c r="A5577" s="1667">
        <v>44216</v>
      </c>
      <c r="B5577" s="816" t="str">
        <f>TiposLancamentos!B8</f>
        <v>Aluguel</v>
      </c>
      <c r="C5577" s="1769" t="s">
        <v>7425</v>
      </c>
      <c r="D5577" s="1736"/>
      <c r="E5577" s="1734">
        <v>8</v>
      </c>
      <c r="F5577" s="1043"/>
      <c r="G5577" s="1550"/>
    </row>
    <row r="5578" spans="1:7" ht="12.75" customHeight="1">
      <c r="A5578" s="1750">
        <v>44216</v>
      </c>
      <c r="B5578" s="818" t="str">
        <f>TiposLancamentos!B9</f>
        <v>Condominio</v>
      </c>
      <c r="C5578" s="1743" t="s">
        <v>7427</v>
      </c>
      <c r="D5578" s="1737"/>
      <c r="E5578" s="1668">
        <v>616.37</v>
      </c>
      <c r="F5578" s="1291">
        <v>2148.48</v>
      </c>
      <c r="G5578" s="1550"/>
    </row>
    <row r="5579" spans="1:7" ht="12.75" customHeight="1">
      <c r="A5579" s="1754">
        <v>44217</v>
      </c>
      <c r="B5579" s="125" t="str">
        <f>TiposLancamentos!B28</f>
        <v>ComicBook</v>
      </c>
      <c r="C5579" s="1040" t="s">
        <v>7898</v>
      </c>
      <c r="D5579" s="1736"/>
      <c r="E5579" s="1043">
        <v>52.9</v>
      </c>
      <c r="F5579" s="1043"/>
      <c r="G5579" s="1550"/>
    </row>
    <row r="5580" spans="1:7" ht="12.75" customHeight="1">
      <c r="A5580" s="1754">
        <v>44217</v>
      </c>
      <c r="B5580" s="125" t="str">
        <f>TiposLancamentos!B5</f>
        <v>Supermercado</v>
      </c>
      <c r="C5580" s="1040" t="s">
        <v>7899</v>
      </c>
      <c r="D5580" s="1736"/>
      <c r="E5580" s="1043">
        <v>55.84</v>
      </c>
      <c r="F5580" s="1043"/>
      <c r="G5580" s="1550"/>
    </row>
    <row r="5581" spans="1:7" ht="12.75" customHeight="1">
      <c r="A5581" s="1754">
        <v>44218</v>
      </c>
      <c r="B5581" s="125" t="str">
        <f>TiposLancamentos!B6</f>
        <v>Energia Eletrica</v>
      </c>
      <c r="C5581" s="1040" t="s">
        <v>7900</v>
      </c>
      <c r="D5581" s="1736"/>
      <c r="E5581" s="1043">
        <v>140.25</v>
      </c>
      <c r="F5581" s="1043"/>
      <c r="G5581" s="1550"/>
    </row>
    <row r="5582" spans="1:7" ht="12.75" customHeight="1">
      <c r="A5582" s="1754">
        <v>44218</v>
      </c>
      <c r="B5582" s="125" t="str">
        <f>TiposLancamentos!B24</f>
        <v>Estacionamentos</v>
      </c>
      <c r="C5582" s="1040" t="s">
        <v>7901</v>
      </c>
      <c r="D5582" s="1736"/>
      <c r="E5582" s="1043">
        <v>22</v>
      </c>
      <c r="F5582" s="1043"/>
      <c r="G5582" s="1550"/>
    </row>
    <row r="5583" spans="1:7" ht="12.75" customHeight="1">
      <c r="A5583" s="1754">
        <v>44218</v>
      </c>
      <c r="B5583" s="125" t="str">
        <f>TiposLancamentos!B16</f>
        <v>Cristiane</v>
      </c>
      <c r="C5583" s="1040" t="s">
        <v>7902</v>
      </c>
      <c r="D5583" s="1736"/>
      <c r="E5583" s="1043">
        <v>24.38</v>
      </c>
      <c r="F5583" s="1043"/>
      <c r="G5583" s="1550"/>
    </row>
    <row r="5584" spans="1:7" ht="12.75" customHeight="1">
      <c r="A5584" s="1754">
        <v>44219</v>
      </c>
      <c r="B5584" s="125" t="str">
        <f>TiposLancamentos!B19</f>
        <v>Restaurantes</v>
      </c>
      <c r="C5584" s="1040" t="s">
        <v>7508</v>
      </c>
      <c r="D5584" s="1736"/>
      <c r="E5584" s="1043">
        <v>57.4</v>
      </c>
      <c r="F5584" s="1043"/>
      <c r="G5584" s="1550"/>
    </row>
    <row r="5585" spans="1:7" ht="12.75" customHeight="1">
      <c r="A5585" s="1754">
        <v>44219</v>
      </c>
      <c r="B5585" s="125" t="str">
        <f>TiposLancamentos!B16</f>
        <v>Cristiane</v>
      </c>
      <c r="C5585" s="1040" t="s">
        <v>7903</v>
      </c>
      <c r="D5585" s="1736"/>
      <c r="E5585" s="1043">
        <v>103.3</v>
      </c>
      <c r="F5585" s="1043"/>
      <c r="G5585" s="1550"/>
    </row>
    <row r="5586" spans="1:7" ht="12.75" customHeight="1">
      <c r="A5586" s="1754">
        <v>44219</v>
      </c>
      <c r="B5586" s="125" t="str">
        <f>TiposLancamentos!B19</f>
        <v>Restaurantes</v>
      </c>
      <c r="C5586" s="1040" t="s">
        <v>4790</v>
      </c>
      <c r="D5586" s="1736"/>
      <c r="E5586" s="1043">
        <v>15</v>
      </c>
      <c r="F5586" s="1043"/>
      <c r="G5586" s="1550"/>
    </row>
    <row r="5587" spans="1:7" ht="12.75" customHeight="1">
      <c r="A5587" s="1754">
        <v>44219</v>
      </c>
      <c r="B5587" s="125" t="str">
        <f>TiposLancamentos!B24</f>
        <v>Estacionamentos</v>
      </c>
      <c r="C5587" s="1040" t="s">
        <v>3398</v>
      </c>
      <c r="D5587" s="1736"/>
      <c r="E5587" s="1043">
        <v>11</v>
      </c>
      <c r="F5587" s="1043"/>
      <c r="G5587" s="1550"/>
    </row>
    <row r="5588" spans="1:7" ht="12.75" customHeight="1">
      <c r="A5588" s="1754">
        <v>44220</v>
      </c>
      <c r="B5588" s="125" t="str">
        <f>TiposLancamentos!B5</f>
        <v>Supermercado</v>
      </c>
      <c r="C5588" s="1040" t="s">
        <v>7904</v>
      </c>
      <c r="D5588" s="1736"/>
      <c r="E5588" s="1043">
        <v>312.55</v>
      </c>
      <c r="F5588" s="1043"/>
      <c r="G5588" s="1550"/>
    </row>
    <row r="5589" spans="1:7" ht="12.75" customHeight="1">
      <c r="A5589" s="1754">
        <v>44220</v>
      </c>
      <c r="B5589" s="125" t="str">
        <f>TiposLancamentos!B16</f>
        <v>Cristiane</v>
      </c>
      <c r="C5589" s="1040" t="s">
        <v>6052</v>
      </c>
      <c r="D5589" s="1736"/>
      <c r="E5589" s="1043">
        <v>34.229999999999997</v>
      </c>
      <c r="F5589" s="1043"/>
      <c r="G5589" s="1550"/>
    </row>
    <row r="5590" spans="1:7" ht="12.75" customHeight="1">
      <c r="A5590" s="1754">
        <v>44220</v>
      </c>
      <c r="B5590" s="125" t="str">
        <f>TiposLancamentos!B103</f>
        <v>Juros_Corr. Poupança</v>
      </c>
      <c r="C5590" s="1040" t="s">
        <v>7889</v>
      </c>
      <c r="D5590" s="1736">
        <v>0.01</v>
      </c>
      <c r="E5590" s="1043"/>
      <c r="F5590" s="1043"/>
      <c r="G5590" s="1550"/>
    </row>
    <row r="5591" spans="1:7" ht="12.75" customHeight="1">
      <c r="A5591" s="1754">
        <v>44221</v>
      </c>
      <c r="B5591" s="125" t="str">
        <f>TiposLancamentos!B13</f>
        <v>Moradia</v>
      </c>
      <c r="C5591" s="1040" t="s">
        <v>7905</v>
      </c>
      <c r="D5591" s="1736"/>
      <c r="E5591" s="1043">
        <v>24</v>
      </c>
      <c r="F5591" s="1043"/>
      <c r="G5591" s="1550"/>
    </row>
    <row r="5592" spans="1:7" ht="12.75" customHeight="1">
      <c r="A5592" s="1754">
        <v>44222</v>
      </c>
      <c r="B5592" s="125" t="str">
        <f>TiposLancamentos!B17</f>
        <v>GATO</v>
      </c>
      <c r="C5592" s="1040" t="s">
        <v>1925</v>
      </c>
      <c r="D5592" s="1736"/>
      <c r="E5592" s="1043">
        <v>11.8</v>
      </c>
      <c r="F5592" s="1043"/>
      <c r="G5592" s="1550"/>
    </row>
    <row r="5593" spans="1:7" ht="12.75" customHeight="1">
      <c r="A5593" s="1754">
        <v>44225</v>
      </c>
      <c r="B5593" s="125" t="str">
        <f>TiposLancamentos!B19</f>
        <v>Restaurantes</v>
      </c>
      <c r="C5593" s="1040" t="s">
        <v>7508</v>
      </c>
      <c r="D5593" s="1736"/>
      <c r="E5593" s="1043">
        <v>66.400000000000006</v>
      </c>
      <c r="F5593" s="1043"/>
      <c r="G5593" s="1550"/>
    </row>
    <row r="5594" spans="1:7" ht="12.75" customHeight="1">
      <c r="A5594" s="1754">
        <v>44225</v>
      </c>
      <c r="B5594" s="125" t="str">
        <f>TiposLancamentos!B16</f>
        <v>Cristiane</v>
      </c>
      <c r="C5594" s="1040" t="s">
        <v>7906</v>
      </c>
      <c r="D5594" s="1736"/>
      <c r="E5594" s="1043">
        <v>174</v>
      </c>
      <c r="F5594" s="1043"/>
      <c r="G5594" s="1550"/>
    </row>
    <row r="5595" spans="1:7" ht="12.75" customHeight="1">
      <c r="A5595" s="1754">
        <v>44225</v>
      </c>
      <c r="B5595" s="125" t="str">
        <f>TiposLancamentos!B16</f>
        <v>Cristiane</v>
      </c>
      <c r="C5595" s="1040" t="s">
        <v>7907</v>
      </c>
      <c r="D5595" s="1736"/>
      <c r="E5595" s="1043">
        <v>37.39</v>
      </c>
      <c r="F5595" s="1043"/>
      <c r="G5595" s="1550"/>
    </row>
    <row r="5596" spans="1:7" ht="12.75" customHeight="1">
      <c r="A5596" s="1754">
        <v>44225</v>
      </c>
      <c r="B5596" s="125" t="str">
        <f>TiposLancamentos!B19</f>
        <v>Restaurantes</v>
      </c>
      <c r="C5596" s="1040" t="s">
        <v>3484</v>
      </c>
      <c r="D5596" s="1736"/>
      <c r="E5596" s="1043">
        <v>15</v>
      </c>
      <c r="F5596" s="1043"/>
      <c r="G5596" s="1550"/>
    </row>
    <row r="5597" spans="1:7" ht="12.75" customHeight="1">
      <c r="A5597" s="1754">
        <v>44225</v>
      </c>
      <c r="B5597" s="125" t="str">
        <f>TiposLancamentos!B19</f>
        <v>Restaurantes</v>
      </c>
      <c r="C5597" s="1040" t="s">
        <v>3484</v>
      </c>
      <c r="D5597" s="1736"/>
      <c r="E5597" s="1043">
        <v>7</v>
      </c>
      <c r="F5597" s="1043"/>
      <c r="G5597" s="1550"/>
    </row>
    <row r="5598" spans="1:7" ht="12.75" customHeight="1">
      <c r="A5598" s="1754">
        <v>44225</v>
      </c>
      <c r="B5598" s="125" t="str">
        <f>TiposLancamentos!B71</f>
        <v>Itens Pessoais</v>
      </c>
      <c r="C5598" s="1040" t="s">
        <v>3762</v>
      </c>
      <c r="D5598" s="1736"/>
      <c r="E5598" s="1043">
        <v>25</v>
      </c>
      <c r="F5598" s="1043"/>
      <c r="G5598" s="1550"/>
    </row>
    <row r="5599" spans="1:7" ht="12.75" customHeight="1">
      <c r="A5599" s="1754">
        <v>44225</v>
      </c>
      <c r="B5599" s="125" t="str">
        <f>TiposLancamentos!B24</f>
        <v>Estacionamentos</v>
      </c>
      <c r="C5599" s="1040" t="s">
        <v>3253</v>
      </c>
      <c r="D5599" s="1736"/>
      <c r="E5599" s="1043">
        <v>14</v>
      </c>
      <c r="F5599" s="1043"/>
      <c r="G5599" s="1550"/>
    </row>
    <row r="5600" spans="1:7" ht="12.75" customHeight="1">
      <c r="A5600" s="1754">
        <v>44225</v>
      </c>
      <c r="B5600" s="125" t="str">
        <f>TiposLancamentos!B19</f>
        <v>Restaurantes</v>
      </c>
      <c r="C5600" s="1040" t="s">
        <v>7908</v>
      </c>
      <c r="D5600" s="1736"/>
      <c r="E5600" s="1043">
        <v>57</v>
      </c>
      <c r="F5600" s="1043"/>
      <c r="G5600" s="1550"/>
    </row>
    <row r="5601" spans="1:7" ht="12.75" customHeight="1">
      <c r="A5601" s="1754">
        <v>44226</v>
      </c>
      <c r="B5601" s="125" t="str">
        <f>TiposLancamentos!B5</f>
        <v>Supermercado</v>
      </c>
      <c r="C5601" s="1040" t="s">
        <v>7909</v>
      </c>
      <c r="D5601" s="1736"/>
      <c r="E5601" s="1043">
        <v>94.17</v>
      </c>
      <c r="F5601" s="1043"/>
      <c r="G5601" s="1550"/>
    </row>
    <row r="5602" spans="1:7" ht="12.75" customHeight="1">
      <c r="A5602" s="1754">
        <v>44227</v>
      </c>
      <c r="B5602" s="125" t="str">
        <f>TiposLancamentos!B19</f>
        <v>Restaurantes</v>
      </c>
      <c r="C5602" s="1040" t="s">
        <v>7910</v>
      </c>
      <c r="D5602" s="1736"/>
      <c r="E5602" s="1043">
        <v>51.68</v>
      </c>
      <c r="F5602" s="1043"/>
      <c r="G5602" s="1550"/>
    </row>
    <row r="5603" spans="1:7" ht="12.75" customHeight="1">
      <c r="A5603" s="1754">
        <v>44227</v>
      </c>
      <c r="B5603" s="125" t="str">
        <f>TiposLancamentos!B5</f>
        <v>Supermercado</v>
      </c>
      <c r="C5603" s="1040" t="s">
        <v>7911</v>
      </c>
      <c r="D5603" s="1736"/>
      <c r="E5603" s="1043">
        <v>26.26</v>
      </c>
      <c r="F5603" s="1043"/>
      <c r="G5603" s="1550"/>
    </row>
    <row r="5604" spans="1:7" ht="12.75" customHeight="1" thickBot="1">
      <c r="A5604" s="1754">
        <v>44227</v>
      </c>
      <c r="B5604" s="125" t="str">
        <f>TiposLancamentos!B56</f>
        <v>Farmácia</v>
      </c>
      <c r="C5604" s="1040" t="s">
        <v>6118</v>
      </c>
      <c r="D5604" s="1736"/>
      <c r="E5604" s="1043">
        <v>123.88</v>
      </c>
      <c r="F5604" s="1043"/>
      <c r="G5604" s="1550"/>
    </row>
    <row r="5605" spans="1:7" ht="12.75" customHeight="1">
      <c r="A5605" s="1834"/>
      <c r="B5605" s="977"/>
      <c r="C5605" s="1854" t="s">
        <v>7912</v>
      </c>
      <c r="D5605" s="1823"/>
      <c r="E5605" s="1821"/>
      <c r="F5605" s="1821"/>
      <c r="G5605" s="1895"/>
    </row>
    <row r="5606" spans="1:7" ht="12.75" customHeight="1">
      <c r="A5606" s="1754">
        <v>44228</v>
      </c>
      <c r="B5606" s="125" t="str">
        <f>TiposLancamentos!B15</f>
        <v>Cartões de Crédito</v>
      </c>
      <c r="C5606" s="1040" t="s">
        <v>7781</v>
      </c>
      <c r="D5606" s="1736"/>
      <c r="E5606" s="1043">
        <v>3407.13</v>
      </c>
      <c r="F5606" s="1043"/>
      <c r="G5606" s="1550"/>
    </row>
    <row r="5607" spans="1:7" ht="12.75" customHeight="1">
      <c r="A5607" s="1754">
        <v>44228</v>
      </c>
      <c r="B5607" s="125" t="str">
        <f>TiposLancamentos!B15</f>
        <v>Cartões de Crédito</v>
      </c>
      <c r="C5607" s="1040" t="s">
        <v>7333</v>
      </c>
      <c r="D5607" s="1736"/>
      <c r="E5607" s="1043">
        <v>583.94000000000005</v>
      </c>
      <c r="F5607" s="1043"/>
      <c r="G5607" s="1550"/>
    </row>
    <row r="5608" spans="1:7" ht="12.75" customHeight="1">
      <c r="A5608" s="1754">
        <v>44228</v>
      </c>
      <c r="B5608" s="125" t="str">
        <f>TiposLancamentos!B15</f>
        <v>Cartões de Crédito</v>
      </c>
      <c r="C5608" s="1040" t="s">
        <v>6427</v>
      </c>
      <c r="D5608" s="1736"/>
      <c r="E5608" s="1043">
        <v>15.99</v>
      </c>
      <c r="F5608" s="1043"/>
      <c r="G5608" s="1550"/>
    </row>
    <row r="5609" spans="1:7" ht="12.75" customHeight="1">
      <c r="A5609" s="1754">
        <v>44228</v>
      </c>
      <c r="B5609" s="125" t="str">
        <f>TiposLancamentos!B14</f>
        <v>Gás de cozinha</v>
      </c>
      <c r="C5609" s="1740" t="s">
        <v>7913</v>
      </c>
      <c r="D5609" s="1736"/>
      <c r="E5609" s="1043">
        <v>28.11</v>
      </c>
      <c r="F5609" s="1043"/>
      <c r="G5609" s="1550"/>
    </row>
    <row r="5610" spans="1:7" ht="12.75" customHeight="1">
      <c r="A5610" s="1754">
        <v>44228</v>
      </c>
      <c r="B5610" s="125" t="str">
        <f>TiposLancamentos!B96</f>
        <v>Resg.Poup.</v>
      </c>
      <c r="C5610" s="1040" t="s">
        <v>7914</v>
      </c>
      <c r="D5610" s="1736">
        <v>3006.81</v>
      </c>
      <c r="E5610" s="1043"/>
      <c r="F5610" s="1043"/>
      <c r="G5610" s="1550"/>
    </row>
    <row r="5611" spans="1:7" ht="12.75" customHeight="1">
      <c r="A5611" s="1754">
        <v>44228</v>
      </c>
      <c r="B5611" s="125" t="str">
        <f>TiposLancamentos!B103</f>
        <v>Juros_Corr. Poupança</v>
      </c>
      <c r="C5611" s="1040" t="s">
        <v>7889</v>
      </c>
      <c r="D5611" s="1736">
        <v>0.01</v>
      </c>
      <c r="E5611" s="1043"/>
      <c r="F5611" s="1043"/>
      <c r="G5611" s="1550"/>
    </row>
    <row r="5612" spans="1:7" ht="12.75" customHeight="1">
      <c r="A5612" s="1754">
        <v>44228</v>
      </c>
      <c r="B5612" s="125" t="str">
        <f>TiposLancamentos!B4</f>
        <v>Taxas Bancarias</v>
      </c>
      <c r="C5612" s="1040" t="s">
        <v>7915</v>
      </c>
      <c r="D5612" s="1736"/>
      <c r="E5612" s="1043">
        <v>1.82</v>
      </c>
      <c r="F5612" s="1043"/>
      <c r="G5612" s="1550"/>
    </row>
    <row r="5613" spans="1:7" ht="12.75" customHeight="1">
      <c r="A5613" s="1754">
        <v>44229</v>
      </c>
      <c r="B5613" s="125" t="str">
        <f>TiposLancamentos!B5</f>
        <v>Supermercado</v>
      </c>
      <c r="C5613" s="1040" t="s">
        <v>7916</v>
      </c>
      <c r="D5613" s="1736"/>
      <c r="E5613" s="1043">
        <v>279.22000000000003</v>
      </c>
      <c r="F5613" s="1043"/>
      <c r="G5613" s="1550"/>
    </row>
    <row r="5614" spans="1:7" ht="12.75" customHeight="1">
      <c r="A5614" s="1754">
        <v>44229</v>
      </c>
      <c r="B5614" s="125" t="str">
        <f>TiposLancamentos!B4</f>
        <v>Taxas Bancarias</v>
      </c>
      <c r="C5614" s="1040" t="s">
        <v>7884</v>
      </c>
      <c r="D5614" s="1736"/>
      <c r="E5614" s="1043">
        <v>5.25</v>
      </c>
      <c r="F5614" s="1043"/>
      <c r="G5614" s="1550"/>
    </row>
    <row r="5615" spans="1:7" ht="12.75" customHeight="1">
      <c r="A5615" s="1754">
        <v>44229</v>
      </c>
      <c r="B5615" s="125" t="str">
        <f>TiposLancamentos!B4</f>
        <v>Taxas Bancarias</v>
      </c>
      <c r="C5615" s="1040" t="s">
        <v>7917</v>
      </c>
      <c r="D5615" s="1736"/>
      <c r="E5615" s="1043">
        <v>46.65</v>
      </c>
      <c r="F5615" s="1043"/>
      <c r="G5615" s="1550"/>
    </row>
    <row r="5616" spans="1:7" ht="12.75" customHeight="1">
      <c r="A5616" s="1754">
        <v>44230</v>
      </c>
      <c r="B5616" s="125" t="str">
        <f>TiposLancamentos!B19</f>
        <v>Restaurantes</v>
      </c>
      <c r="C5616" s="1040" t="s">
        <v>7918</v>
      </c>
      <c r="D5616" s="1736"/>
      <c r="E5616" s="1043">
        <v>20</v>
      </c>
      <c r="F5616" s="1043"/>
      <c r="G5616" s="1550"/>
    </row>
    <row r="5617" spans="1:7" ht="12.75" customHeight="1">
      <c r="A5617" s="1754">
        <v>44231</v>
      </c>
      <c r="B5617" s="125" t="str">
        <f>TiposLancamentos!B5</f>
        <v>Supermercado</v>
      </c>
      <c r="C5617" s="1040" t="s">
        <v>7919</v>
      </c>
      <c r="D5617" s="1736"/>
      <c r="E5617" s="1043">
        <v>121.13</v>
      </c>
      <c r="F5617" s="1043"/>
      <c r="G5617" s="1550"/>
    </row>
    <row r="5618" spans="1:7" ht="12.75" customHeight="1">
      <c r="A5618" s="1754">
        <v>44232</v>
      </c>
      <c r="B5618" s="125" t="str">
        <f>TiposLancamentos!B4</f>
        <v>Taxas Bancarias</v>
      </c>
      <c r="C5618" s="1040" t="s">
        <v>5707</v>
      </c>
      <c r="D5618" s="1736"/>
      <c r="E5618" s="1043">
        <v>7.91</v>
      </c>
      <c r="F5618" s="1043"/>
      <c r="G5618" s="1550"/>
    </row>
    <row r="5619" spans="1:7" ht="12.75" customHeight="1">
      <c r="A5619" s="1754">
        <v>44233</v>
      </c>
      <c r="B5619" s="125" t="str">
        <f>TiposLancamentos!B19</f>
        <v>Restaurantes</v>
      </c>
      <c r="C5619" s="1040" t="s">
        <v>7920</v>
      </c>
      <c r="D5619" s="1736"/>
      <c r="E5619" s="1043">
        <v>73</v>
      </c>
      <c r="F5619" s="1043"/>
      <c r="G5619" s="1550"/>
    </row>
    <row r="5620" spans="1:7" ht="12.75" customHeight="1">
      <c r="A5620" s="1754">
        <v>44233</v>
      </c>
      <c r="B5620" s="125" t="str">
        <f>TiposLancamentos!B56</f>
        <v>Farmácia</v>
      </c>
      <c r="C5620" s="1040" t="s">
        <v>7921</v>
      </c>
      <c r="D5620" s="1736"/>
      <c r="E5620" s="1043">
        <v>34.29</v>
      </c>
      <c r="F5620" s="1043"/>
      <c r="G5620" s="1550"/>
    </row>
    <row r="5621" spans="1:7" ht="12.75" customHeight="1">
      <c r="A5621" s="1754">
        <v>44233</v>
      </c>
      <c r="B5621" s="125" t="str">
        <f>TiposLancamentos!B16</f>
        <v>Cristiane</v>
      </c>
      <c r="C5621" s="1040" t="s">
        <v>7922</v>
      </c>
      <c r="D5621" s="1736"/>
      <c r="E5621" s="1043">
        <v>63.35</v>
      </c>
      <c r="F5621" s="1043"/>
      <c r="G5621" s="1550"/>
    </row>
    <row r="5622" spans="1:7" ht="12.75" customHeight="1">
      <c r="A5622" s="1754">
        <v>44233</v>
      </c>
      <c r="B5622" s="125" t="str">
        <f>TiposLancamentos!B19</f>
        <v>Restaurantes</v>
      </c>
      <c r="C5622" s="1040" t="s">
        <v>4790</v>
      </c>
      <c r="D5622" s="1736"/>
      <c r="E5622" s="1043">
        <v>17</v>
      </c>
      <c r="F5622" s="1043"/>
      <c r="G5622" s="1550"/>
    </row>
    <row r="5623" spans="1:7" ht="12.75" customHeight="1">
      <c r="A5623" s="1754">
        <v>44233</v>
      </c>
      <c r="B5623" s="125" t="str">
        <f>TiposLancamentos!B24</f>
        <v>Estacionamentos</v>
      </c>
      <c r="C5623" s="1040" t="s">
        <v>2014</v>
      </c>
      <c r="D5623" s="1736"/>
      <c r="E5623" s="1043">
        <v>11</v>
      </c>
      <c r="F5623" s="1043"/>
      <c r="G5623" s="1550"/>
    </row>
    <row r="5624" spans="1:7" ht="12.75" customHeight="1">
      <c r="A5624" s="1754">
        <v>44234</v>
      </c>
      <c r="B5624" s="125" t="str">
        <f>B5617</f>
        <v>Supermercado</v>
      </c>
      <c r="C5624" s="1040" t="s">
        <v>7923</v>
      </c>
      <c r="D5624" s="1736"/>
      <c r="E5624" s="1043">
        <v>8.7799999999999994</v>
      </c>
      <c r="F5624" s="1043"/>
      <c r="G5624" s="1550"/>
    </row>
    <row r="5625" spans="1:7" ht="12.75" customHeight="1">
      <c r="A5625" s="1754">
        <v>44235</v>
      </c>
      <c r="B5625" s="125" t="str">
        <f>TiposLancamentos!B16</f>
        <v>Cristiane</v>
      </c>
      <c r="C5625" s="1040" t="s">
        <v>7924</v>
      </c>
      <c r="D5625" s="1736"/>
      <c r="E5625" s="1043">
        <v>300</v>
      </c>
      <c r="F5625" s="1043"/>
      <c r="G5625" s="1550"/>
    </row>
    <row r="5626" spans="1:7" ht="12.75" customHeight="1">
      <c r="A5626" s="1754">
        <v>44235</v>
      </c>
      <c r="B5626" s="125" t="str">
        <f>TiposLancamentos!B24</f>
        <v>Estacionamentos</v>
      </c>
      <c r="C5626" s="1040" t="s">
        <v>7925</v>
      </c>
      <c r="D5626" s="1736"/>
      <c r="E5626" s="1043">
        <v>12</v>
      </c>
      <c r="F5626" s="1043"/>
      <c r="G5626" s="1550"/>
    </row>
    <row r="5627" spans="1:7" ht="12.75" customHeight="1">
      <c r="A5627" s="1754">
        <v>44235</v>
      </c>
      <c r="B5627" s="125" t="str">
        <f>TiposLancamentos!B19</f>
        <v>Restaurantes</v>
      </c>
      <c r="C5627" s="1040" t="s">
        <v>7926</v>
      </c>
      <c r="D5627" s="1736"/>
      <c r="E5627" s="1043">
        <v>84.7</v>
      </c>
      <c r="F5627" s="1043"/>
      <c r="G5627" s="1550"/>
    </row>
    <row r="5628" spans="1:7" ht="12.75" customHeight="1">
      <c r="A5628" s="1754">
        <v>44235</v>
      </c>
      <c r="B5628" s="125" t="str">
        <f>TiposLancamentos!B4</f>
        <v>Taxas Bancarias</v>
      </c>
      <c r="C5628" s="1040" t="s">
        <v>7927</v>
      </c>
      <c r="D5628" s="1736"/>
      <c r="E5628" s="1043">
        <v>2</v>
      </c>
      <c r="F5628" s="1043"/>
      <c r="G5628" s="1550"/>
    </row>
    <row r="5629" spans="1:7" ht="12.75" customHeight="1">
      <c r="A5629" s="1754">
        <v>44236</v>
      </c>
      <c r="B5629" s="125" t="str">
        <f>TiposLancamentos!B19</f>
        <v>Restaurantes</v>
      </c>
      <c r="C5629" s="1040" t="s">
        <v>7928</v>
      </c>
      <c r="D5629" s="1736"/>
      <c r="E5629" s="1043">
        <v>18</v>
      </c>
      <c r="F5629" s="1043"/>
      <c r="G5629" s="1550"/>
    </row>
    <row r="5630" spans="1:7" ht="12.75" customHeight="1">
      <c r="A5630" s="1754">
        <v>44237</v>
      </c>
      <c r="B5630" s="125" t="str">
        <f>TiposLancamentos!B5</f>
        <v>Supermercado</v>
      </c>
      <c r="C5630" s="1040" t="s">
        <v>2567</v>
      </c>
      <c r="D5630" s="1736"/>
      <c r="E5630" s="1043">
        <v>338.61</v>
      </c>
      <c r="F5630" s="1043"/>
      <c r="G5630" s="1550"/>
    </row>
    <row r="5631" spans="1:7" ht="12.75" customHeight="1">
      <c r="A5631" s="1754">
        <v>44238</v>
      </c>
      <c r="B5631" s="125" t="str">
        <f>TiposLancamentos!B13</f>
        <v>Moradia</v>
      </c>
      <c r="C5631" s="1040" t="s">
        <v>7929</v>
      </c>
      <c r="D5631" s="1736"/>
      <c r="E5631" s="1043">
        <v>24</v>
      </c>
      <c r="F5631" s="1043"/>
      <c r="G5631" s="1550"/>
    </row>
    <row r="5632" spans="1:7" ht="12.75" customHeight="1">
      <c r="A5632" s="1754">
        <v>44239</v>
      </c>
      <c r="B5632" s="125" t="str">
        <f>TiposLancamentos!B95</f>
        <v>Salarios</v>
      </c>
      <c r="C5632" s="1040" t="s">
        <v>7694</v>
      </c>
      <c r="D5632" s="1736">
        <v>7303.22</v>
      </c>
      <c r="E5632" s="1043"/>
      <c r="F5632" s="1043"/>
      <c r="G5632" s="1550"/>
    </row>
    <row r="5633" spans="1:7" ht="12.75" customHeight="1">
      <c r="A5633" s="1754">
        <v>44240</v>
      </c>
      <c r="B5633" s="125" t="str">
        <f>TiposLancamentos!B19</f>
        <v>Restaurantes</v>
      </c>
      <c r="C5633" s="1040" t="s">
        <v>7930</v>
      </c>
      <c r="D5633" s="1736"/>
      <c r="E5633" s="1043">
        <v>12.5</v>
      </c>
      <c r="F5633" s="1043"/>
      <c r="G5633" s="1550"/>
    </row>
    <row r="5634" spans="1:7" ht="12.75" customHeight="1">
      <c r="A5634" s="1754">
        <v>44240</v>
      </c>
      <c r="B5634" s="125" t="str">
        <f>TiposLancamentos!B19</f>
        <v>Restaurantes</v>
      </c>
      <c r="C5634" s="1040" t="s">
        <v>7931</v>
      </c>
      <c r="D5634" s="1736"/>
      <c r="E5634" s="1043">
        <v>164.67</v>
      </c>
      <c r="F5634" s="1043"/>
      <c r="G5634" s="1550"/>
    </row>
    <row r="5635" spans="1:7" ht="12.75" customHeight="1">
      <c r="A5635" s="1754">
        <v>44240</v>
      </c>
      <c r="B5635" s="125" t="str">
        <f>TiposLancamentos!B16</f>
        <v>Cristiane</v>
      </c>
      <c r="C5635" s="1040" t="s">
        <v>6900</v>
      </c>
      <c r="D5635" s="1736"/>
      <c r="E5635" s="1043">
        <v>251.71</v>
      </c>
      <c r="F5635" s="1043"/>
      <c r="G5635" s="1550"/>
    </row>
    <row r="5636" spans="1:7" ht="12.75" customHeight="1">
      <c r="A5636" s="1754">
        <v>44240</v>
      </c>
      <c r="B5636" s="125" t="str">
        <f>TiposLancamentos!B19</f>
        <v>Restaurantes</v>
      </c>
      <c r="C5636" s="1040" t="s">
        <v>7930</v>
      </c>
      <c r="D5636" s="1736"/>
      <c r="E5636" s="1043">
        <v>29</v>
      </c>
      <c r="F5636" s="1043"/>
      <c r="G5636" s="1550"/>
    </row>
    <row r="5637" spans="1:7" ht="12.75" customHeight="1">
      <c r="A5637" s="1754">
        <v>44240</v>
      </c>
      <c r="B5637" s="125" t="str">
        <f>TiposLancamentos!B22</f>
        <v>Combustivel</v>
      </c>
      <c r="C5637" s="1040" t="s">
        <v>7814</v>
      </c>
      <c r="D5637" s="1736"/>
      <c r="E5637" s="1043">
        <v>50</v>
      </c>
      <c r="F5637" s="1043"/>
      <c r="G5637" s="1550"/>
    </row>
    <row r="5638" spans="1:7" ht="12.75" customHeight="1">
      <c r="A5638" s="1754">
        <v>44240</v>
      </c>
      <c r="B5638" s="125" t="str">
        <f>TiposLancamentos!B5</f>
        <v>Supermercado</v>
      </c>
      <c r="C5638" s="1040" t="s">
        <v>7842</v>
      </c>
      <c r="D5638" s="1736"/>
      <c r="E5638" s="1043">
        <v>207.58</v>
      </c>
      <c r="F5638" s="1043"/>
      <c r="G5638" s="1550"/>
    </row>
    <row r="5639" spans="1:7" ht="12.75" customHeight="1">
      <c r="A5639" s="1754">
        <v>44242</v>
      </c>
      <c r="B5639" s="125" t="str">
        <f>TiposLancamentos!B23</f>
        <v>P208 GRIFFE 1.6 AUT BUSINESS</v>
      </c>
      <c r="C5639" s="1040" t="s">
        <v>7932</v>
      </c>
      <c r="D5639" s="1736"/>
      <c r="E5639" s="1043">
        <v>704.21</v>
      </c>
      <c r="F5639" s="1043"/>
      <c r="G5639" s="1550"/>
    </row>
    <row r="5640" spans="1:7" ht="12.75" customHeight="1">
      <c r="A5640" s="1666">
        <v>44242</v>
      </c>
      <c r="B5640" s="817" t="str">
        <f>TiposLancamentos!B33</f>
        <v>Pedágios</v>
      </c>
      <c r="C5640" s="1742" t="s">
        <v>5392</v>
      </c>
      <c r="D5640" s="1735"/>
      <c r="E5640" s="1733">
        <f>F5642-(E5641+E5642)</f>
        <v>30.5</v>
      </c>
      <c r="F5640" s="1290"/>
      <c r="G5640" s="1550"/>
    </row>
    <row r="5641" spans="1:7" ht="12.75" customHeight="1">
      <c r="A5641" s="1667">
        <v>44242</v>
      </c>
      <c r="B5641" s="816" t="str">
        <f>TiposLancamentos!B24</f>
        <v>Estacionamentos</v>
      </c>
      <c r="C5641" s="1769" t="s">
        <v>7366</v>
      </c>
      <c r="D5641" s="1736"/>
      <c r="E5641" s="1734">
        <v>0</v>
      </c>
      <c r="F5641" s="1043"/>
      <c r="G5641" s="1550"/>
    </row>
    <row r="5642" spans="1:7" ht="12.75" customHeight="1">
      <c r="A5642" s="1750">
        <v>44242</v>
      </c>
      <c r="B5642" s="818" t="str">
        <f>TiposLancamentos!B24</f>
        <v>Estacionamentos</v>
      </c>
      <c r="C5642" s="1743" t="s">
        <v>6297</v>
      </c>
      <c r="D5642" s="1737"/>
      <c r="E5642" s="1668">
        <v>0</v>
      </c>
      <c r="F5642" s="1347">
        <v>30.5</v>
      </c>
      <c r="G5642" s="1550"/>
    </row>
    <row r="5643" spans="1:7" ht="12.75" customHeight="1">
      <c r="A5643" s="1754">
        <v>44242</v>
      </c>
      <c r="B5643" s="125" t="str">
        <f>TiposLancamentos!B103</f>
        <v>Juros_Corr. Poupança</v>
      </c>
      <c r="C5643" s="1040" t="s">
        <v>7341</v>
      </c>
      <c r="D5643" s="1736">
        <v>0</v>
      </c>
      <c r="E5643" s="1043"/>
      <c r="F5643" s="1043"/>
      <c r="G5643" s="1550"/>
    </row>
    <row r="5644" spans="1:7" ht="12.75" customHeight="1">
      <c r="A5644" s="1754">
        <v>44242</v>
      </c>
      <c r="B5644" s="125" t="str">
        <f>TiposLancamentos!B2</f>
        <v>Telefonia</v>
      </c>
      <c r="C5644" s="1770" t="s">
        <v>7368</v>
      </c>
      <c r="D5644" s="1736"/>
      <c r="E5644" s="1043">
        <v>109.99</v>
      </c>
      <c r="F5644" s="1043"/>
      <c r="G5644" s="1550"/>
    </row>
    <row r="5645" spans="1:7" ht="12.75" customHeight="1">
      <c r="A5645" s="1754">
        <v>44244</v>
      </c>
      <c r="B5645" s="125" t="str">
        <f>TiposLancamentos!B2</f>
        <v>Telefonia</v>
      </c>
      <c r="C5645" s="1040" t="s">
        <v>7933</v>
      </c>
      <c r="D5645" s="1736"/>
      <c r="E5645" s="1043">
        <v>49.99</v>
      </c>
      <c r="F5645" s="1043"/>
      <c r="G5645" s="1550"/>
    </row>
    <row r="5646" spans="1:7" ht="12.75" customHeight="1">
      <c r="A5646" s="1754">
        <v>44244</v>
      </c>
      <c r="B5646" s="125" t="str">
        <f>TiposLancamentos!B46</f>
        <v>Maçonaria</v>
      </c>
      <c r="C5646" s="1040" t="s">
        <v>7934</v>
      </c>
      <c r="D5646" s="1736"/>
      <c r="E5646" s="1043">
        <v>180</v>
      </c>
      <c r="F5646" s="1043"/>
      <c r="G5646" s="1550"/>
    </row>
    <row r="5647" spans="1:7" ht="12.75" customHeight="1">
      <c r="A5647" s="1754">
        <v>44244</v>
      </c>
      <c r="B5647" s="125" t="str">
        <f>TiposLancamentos!B19</f>
        <v>Restaurantes</v>
      </c>
      <c r="C5647" s="1040" t="s">
        <v>7935</v>
      </c>
      <c r="D5647" s="1736"/>
      <c r="E5647" s="1043">
        <v>101.97</v>
      </c>
      <c r="F5647" s="1043"/>
      <c r="G5647" s="1550"/>
    </row>
    <row r="5648" spans="1:7" ht="12.75" customHeight="1">
      <c r="A5648" s="1754">
        <v>44244</v>
      </c>
      <c r="B5648" s="125" t="str">
        <f>TiposLancamentos!B56</f>
        <v>Farmácia</v>
      </c>
      <c r="C5648" s="1040" t="s">
        <v>7936</v>
      </c>
      <c r="D5648" s="1736"/>
      <c r="E5648" s="1043">
        <v>50.26</v>
      </c>
      <c r="F5648" s="1043"/>
      <c r="G5648" s="1550"/>
    </row>
    <row r="5649" spans="1:7" ht="12.75" customHeight="1">
      <c r="A5649" s="1754">
        <v>44245</v>
      </c>
      <c r="B5649" s="125" t="str">
        <f>TiposLancamentos!B5</f>
        <v>Supermercado</v>
      </c>
      <c r="C5649" s="1040" t="s">
        <v>1943</v>
      </c>
      <c r="D5649" s="1736"/>
      <c r="E5649" s="1043">
        <v>181.49</v>
      </c>
      <c r="F5649" s="1043"/>
      <c r="G5649" s="1550"/>
    </row>
    <row r="5650" spans="1:7" ht="12.75" customHeight="1">
      <c r="A5650" s="1754">
        <v>44246</v>
      </c>
      <c r="B5650" s="125" t="str">
        <f>TiposLancamentos!B16</f>
        <v>Cristiane</v>
      </c>
      <c r="C5650" s="1040" t="s">
        <v>7937</v>
      </c>
      <c r="D5650" s="1736"/>
      <c r="E5650" s="1043">
        <v>277</v>
      </c>
      <c r="F5650" s="1043"/>
      <c r="G5650" s="1550"/>
    </row>
    <row r="5651" spans="1:7" ht="12.75" customHeight="1">
      <c r="A5651" s="1754">
        <v>44246</v>
      </c>
      <c r="B5651" s="125" t="str">
        <f>TiposLancamentos!B19</f>
        <v>Restaurantes</v>
      </c>
      <c r="C5651" s="1040" t="s">
        <v>7938</v>
      </c>
      <c r="D5651" s="1736"/>
      <c r="E5651" s="1043">
        <v>76.349999999999994</v>
      </c>
      <c r="F5651" s="1043"/>
      <c r="G5651" s="1550"/>
    </row>
    <row r="5652" spans="1:7" ht="12.75" customHeight="1">
      <c r="A5652" s="1754">
        <v>44246</v>
      </c>
      <c r="B5652" s="125" t="str">
        <f>TiposLancamentos!B57</f>
        <v>Informática</v>
      </c>
      <c r="C5652" s="1040" t="s">
        <v>7939</v>
      </c>
      <c r="D5652" s="1736"/>
      <c r="E5652" s="1043">
        <v>59.7</v>
      </c>
      <c r="F5652" s="1043"/>
      <c r="G5652" s="1550"/>
    </row>
    <row r="5653" spans="1:7" ht="12.75" customHeight="1">
      <c r="A5653" s="1754">
        <v>44246</v>
      </c>
      <c r="B5653" s="125" t="str">
        <f>TiposLancamentos!B19</f>
        <v>Restaurantes</v>
      </c>
      <c r="C5653" s="1040" t="s">
        <v>7940</v>
      </c>
      <c r="D5653" s="1736"/>
      <c r="E5653" s="1043">
        <v>37.1</v>
      </c>
      <c r="F5653" s="1043"/>
      <c r="G5653" s="1550"/>
    </row>
    <row r="5654" spans="1:7" ht="12.75" customHeight="1">
      <c r="A5654" s="1754">
        <v>44246</v>
      </c>
      <c r="B5654" s="125" t="str">
        <f>TiposLancamentos!B16</f>
        <v>Cristiane</v>
      </c>
      <c r="C5654" s="1040" t="s">
        <v>7941</v>
      </c>
      <c r="D5654" s="1736"/>
      <c r="E5654" s="1043">
        <v>33.96</v>
      </c>
      <c r="F5654" s="1043"/>
      <c r="G5654" s="1550"/>
    </row>
    <row r="5655" spans="1:7" ht="12.75" customHeight="1">
      <c r="A5655" s="1754">
        <v>44247</v>
      </c>
      <c r="B5655" s="125" t="str">
        <f>TiposLancamentos!B19</f>
        <v>Restaurantes</v>
      </c>
      <c r="C5655" s="1040" t="s">
        <v>7942</v>
      </c>
      <c r="D5655" s="1736"/>
      <c r="E5655" s="1043">
        <v>44.21</v>
      </c>
      <c r="F5655" s="1043"/>
      <c r="G5655" s="1550"/>
    </row>
    <row r="5656" spans="1:7" ht="12.75" customHeight="1">
      <c r="A5656" s="1754">
        <v>44247</v>
      </c>
      <c r="B5656" s="125" t="str">
        <f>TiposLancamentos!B24</f>
        <v>Estacionamentos</v>
      </c>
      <c r="C5656" s="1040" t="s">
        <v>3398</v>
      </c>
      <c r="D5656" s="1736"/>
      <c r="E5656" s="1043">
        <v>8</v>
      </c>
      <c r="F5656" s="1043"/>
      <c r="G5656" s="1550"/>
    </row>
    <row r="5657" spans="1:7" ht="12.75" customHeight="1">
      <c r="A5657" s="1754">
        <v>44247</v>
      </c>
      <c r="B5657" s="125" t="str">
        <f>TiposLancamentos!B5</f>
        <v>Supermercado</v>
      </c>
      <c r="C5657" s="1040" t="s">
        <v>7943</v>
      </c>
      <c r="D5657" s="1736"/>
      <c r="E5657" s="1043">
        <v>15.8</v>
      </c>
      <c r="F5657" s="1043"/>
      <c r="G5657" s="1550"/>
    </row>
    <row r="5658" spans="1:7" ht="12.75" customHeight="1">
      <c r="A5658" s="1754">
        <v>44248</v>
      </c>
      <c r="B5658" s="125" t="str">
        <f>TiposLancamentos!B19</f>
        <v>Restaurantes</v>
      </c>
      <c r="C5658" s="1040" t="s">
        <v>7944</v>
      </c>
      <c r="D5658" s="1736"/>
      <c r="E5658" s="1043">
        <v>172.68</v>
      </c>
      <c r="F5658" s="1043"/>
      <c r="G5658" s="1550"/>
    </row>
    <row r="5659" spans="1:7" ht="12.75" customHeight="1">
      <c r="A5659" s="1754">
        <v>44248</v>
      </c>
      <c r="B5659" s="125" t="str">
        <f>TiposLancamentos!B19</f>
        <v>Restaurantes</v>
      </c>
      <c r="C5659" s="1040" t="s">
        <v>7945</v>
      </c>
      <c r="D5659" s="1736"/>
      <c r="E5659" s="1043">
        <v>34</v>
      </c>
      <c r="F5659" s="1043"/>
      <c r="G5659" s="1550"/>
    </row>
    <row r="5660" spans="1:7" ht="12.75" customHeight="1">
      <c r="A5660" s="1754">
        <v>44248</v>
      </c>
      <c r="B5660" s="125" t="str">
        <f>TiposLancamentos!B19</f>
        <v>Restaurantes</v>
      </c>
      <c r="C5660" s="1040" t="s">
        <v>7946</v>
      </c>
      <c r="D5660" s="1736"/>
      <c r="E5660" s="1043">
        <v>13</v>
      </c>
      <c r="F5660" s="1043"/>
      <c r="G5660" s="1550"/>
    </row>
    <row r="5661" spans="1:7" ht="12.75" customHeight="1">
      <c r="A5661" s="1754">
        <v>44249</v>
      </c>
      <c r="B5661" s="125" t="str">
        <f>TiposLancamentos!B17</f>
        <v>GATO</v>
      </c>
      <c r="C5661" s="1040" t="s">
        <v>7947</v>
      </c>
      <c r="D5661" s="1736"/>
      <c r="E5661" s="1043">
        <v>11.8</v>
      </c>
      <c r="F5661" s="1043"/>
      <c r="G5661" s="1550"/>
    </row>
    <row r="5662" spans="1:7" ht="12.75" customHeight="1">
      <c r="A5662" s="1754">
        <v>44249</v>
      </c>
      <c r="B5662" s="125" t="str">
        <f>TiposLancamentos!B6</f>
        <v>Energia Eletrica</v>
      </c>
      <c r="C5662" s="1040" t="s">
        <v>7948</v>
      </c>
      <c r="D5662" s="1736"/>
      <c r="E5662" s="1043">
        <v>237.72</v>
      </c>
      <c r="F5662" s="1043"/>
      <c r="G5662" s="1550"/>
    </row>
    <row r="5663" spans="1:7" ht="12.75" customHeight="1">
      <c r="A5663" s="1666">
        <v>44249</v>
      </c>
      <c r="B5663" s="817" t="str">
        <f>TiposLancamentos!B8</f>
        <v>Aluguel</v>
      </c>
      <c r="C5663" s="1742" t="s">
        <v>7949</v>
      </c>
      <c r="D5663" s="1735"/>
      <c r="E5663" s="1846">
        <f>F5668-(SUM(E5664:E5668))</f>
        <v>1400</v>
      </c>
      <c r="F5663" s="1346"/>
      <c r="G5663" s="1550"/>
    </row>
    <row r="5664" spans="1:7" ht="12.75" customHeight="1">
      <c r="A5664" s="1667">
        <v>44249</v>
      </c>
      <c r="B5664" s="816" t="str">
        <f>TiposLancamentos!B12</f>
        <v>IPTU</v>
      </c>
      <c r="C5664" s="1769" t="s">
        <v>7950</v>
      </c>
      <c r="D5664" s="1736"/>
      <c r="E5664" s="1734">
        <v>40.520000000000003</v>
      </c>
      <c r="F5664" s="1043"/>
      <c r="G5664" s="1550"/>
    </row>
    <row r="5665" spans="1:7" ht="12.75" customHeight="1">
      <c r="A5665" s="1667">
        <v>44249</v>
      </c>
      <c r="B5665" s="816" t="str">
        <f>TiposLancamentos!B10</f>
        <v>Distr. Água Municipal</v>
      </c>
      <c r="C5665" s="1769" t="s">
        <v>7423</v>
      </c>
      <c r="D5665" s="1736"/>
      <c r="E5665" s="1734">
        <v>42.46</v>
      </c>
      <c r="F5665" s="1043"/>
      <c r="G5665" s="1550"/>
    </row>
    <row r="5666" spans="1:7" ht="12.75" customHeight="1">
      <c r="A5666" s="1667">
        <v>44249</v>
      </c>
      <c r="B5666" s="816" t="str">
        <f>TiposLancamentos!B11</f>
        <v>Coleta Municipal Lixo</v>
      </c>
      <c r="C5666" s="1769" t="s">
        <v>7424</v>
      </c>
      <c r="D5666" s="1736"/>
      <c r="E5666" s="1734">
        <v>41.13</v>
      </c>
      <c r="F5666" s="1043"/>
      <c r="G5666" s="1550"/>
    </row>
    <row r="5667" spans="1:7" ht="12.75" customHeight="1">
      <c r="A5667" s="1667">
        <v>44249</v>
      </c>
      <c r="B5667" s="816" t="str">
        <f>TiposLancamentos!B8</f>
        <v>Aluguel</v>
      </c>
      <c r="C5667" s="1769" t="s">
        <v>7425</v>
      </c>
      <c r="D5667" s="1736"/>
      <c r="E5667" s="1734">
        <v>8</v>
      </c>
      <c r="F5667" s="1043"/>
      <c r="G5667" s="1550"/>
    </row>
    <row r="5668" spans="1:7" ht="12.75" customHeight="1">
      <c r="A5668" s="1750">
        <v>44249</v>
      </c>
      <c r="B5668" s="818" t="str">
        <f>TiposLancamentos!B9</f>
        <v>Condominio</v>
      </c>
      <c r="C5668" s="1743" t="s">
        <v>7427</v>
      </c>
      <c r="D5668" s="1737"/>
      <c r="E5668" s="1668">
        <v>616.37</v>
      </c>
      <c r="F5668" s="1291">
        <v>2148.48</v>
      </c>
      <c r="G5668" s="1550"/>
    </row>
    <row r="5669" spans="1:7" ht="12.75" customHeight="1">
      <c r="A5669" s="1666">
        <v>44250</v>
      </c>
      <c r="B5669" s="817" t="str">
        <f>TiposLancamentos!B35</f>
        <v>Tv à Cabo</v>
      </c>
      <c r="C5669" s="1742" t="s">
        <v>5834</v>
      </c>
      <c r="D5669" s="1735"/>
      <c r="E5669" s="1733">
        <f>F5671-(E5670+E5671)</f>
        <v>107.66</v>
      </c>
      <c r="F5669" s="1290"/>
      <c r="G5669" s="1550"/>
    </row>
    <row r="5670" spans="1:7" ht="12.75" customHeight="1">
      <c r="A5670" s="1667">
        <v>44250</v>
      </c>
      <c r="B5670" s="816" t="str">
        <f>TiposLancamentos!B3</f>
        <v>Internet</v>
      </c>
      <c r="C5670" s="1769" t="s">
        <v>5835</v>
      </c>
      <c r="D5670" s="1736"/>
      <c r="E5670" s="1734">
        <v>134.99</v>
      </c>
      <c r="F5670" s="1043"/>
      <c r="G5670" s="1550"/>
    </row>
    <row r="5671" spans="1:7" ht="12.75" customHeight="1">
      <c r="A5671" s="1750">
        <v>44250</v>
      </c>
      <c r="B5671" s="818" t="str">
        <f>TiposLancamentos!B2</f>
        <v>Telefonia</v>
      </c>
      <c r="C5671" s="1743" t="s">
        <v>7210</v>
      </c>
      <c r="D5671" s="1737"/>
      <c r="E5671" s="1668">
        <v>0</v>
      </c>
      <c r="F5671" s="1291">
        <v>242.65</v>
      </c>
      <c r="G5671" s="1550"/>
    </row>
    <row r="5672" spans="1:7" ht="12.75" customHeight="1">
      <c r="A5672" s="1754">
        <v>44251</v>
      </c>
      <c r="B5672" s="125" t="str">
        <f>TiposLancamentos!B19</f>
        <v>Restaurantes</v>
      </c>
      <c r="C5672" s="1040" t="s">
        <v>7508</v>
      </c>
      <c r="D5672" s="1736"/>
      <c r="E5672" s="1043">
        <v>59.4</v>
      </c>
      <c r="F5672" s="1043"/>
      <c r="G5672" s="1550"/>
    </row>
    <row r="5673" spans="1:7" ht="12.75" customHeight="1">
      <c r="A5673" s="1754">
        <v>44251</v>
      </c>
      <c r="B5673" s="125" t="str">
        <f>TiposLancamentos!B19</f>
        <v>Restaurantes</v>
      </c>
      <c r="C5673" s="1040" t="s">
        <v>3692</v>
      </c>
      <c r="D5673" s="1736"/>
      <c r="E5673" s="1043">
        <v>14.52</v>
      </c>
      <c r="F5673" s="1043"/>
      <c r="G5673" s="1550"/>
    </row>
    <row r="5674" spans="1:7" ht="12.75" customHeight="1">
      <c r="A5674" s="1754">
        <v>44251</v>
      </c>
      <c r="B5674" s="125" t="str">
        <f>TiposLancamentos!B24</f>
        <v>Estacionamentos</v>
      </c>
      <c r="C5674" s="1040" t="s">
        <v>7490</v>
      </c>
      <c r="D5674" s="1736"/>
      <c r="E5674" s="1043">
        <v>11</v>
      </c>
      <c r="F5674" s="1043"/>
      <c r="G5674" s="1550"/>
    </row>
    <row r="5675" spans="1:7" ht="12.75" customHeight="1">
      <c r="A5675" s="1754">
        <v>44251</v>
      </c>
      <c r="B5675" s="125" t="str">
        <f>TiposLancamentos!B5</f>
        <v>Supermercado</v>
      </c>
      <c r="C5675" s="1040" t="s">
        <v>7068</v>
      </c>
      <c r="D5675" s="1736"/>
      <c r="E5675" s="1043">
        <v>26.91</v>
      </c>
      <c r="F5675" s="1043"/>
      <c r="G5675" s="1550"/>
    </row>
    <row r="5676" spans="1:7" ht="12.75" customHeight="1">
      <c r="A5676" s="1754">
        <v>44251</v>
      </c>
      <c r="B5676" s="125" t="str">
        <f>TiposLancamentos!B22</f>
        <v>Combustivel</v>
      </c>
      <c r="C5676" s="1040" t="s">
        <v>7951</v>
      </c>
      <c r="D5676" s="1736"/>
      <c r="E5676" s="1043">
        <v>50</v>
      </c>
      <c r="F5676" s="1043"/>
      <c r="G5676" s="1550"/>
    </row>
    <row r="5677" spans="1:7" ht="12.75" customHeight="1">
      <c r="A5677" s="1754">
        <v>44252</v>
      </c>
      <c r="B5677" s="125" t="str">
        <f>TiposLancamentos!B5</f>
        <v>Supermercado</v>
      </c>
      <c r="C5677" s="1040" t="s">
        <v>7952</v>
      </c>
      <c r="D5677" s="1736"/>
      <c r="E5677" s="1043">
        <v>73.31</v>
      </c>
      <c r="F5677" s="1043"/>
      <c r="G5677" s="1550"/>
    </row>
    <row r="5678" spans="1:7" ht="12.75" customHeight="1" thickBot="1">
      <c r="A5678" s="1754">
        <v>44253</v>
      </c>
      <c r="B5678" s="125" t="str">
        <f>TiposLancamentos!B103</f>
        <v>Juros_Corr. Poupança</v>
      </c>
      <c r="C5678" s="1040" t="s">
        <v>7889</v>
      </c>
      <c r="D5678" s="1736">
        <v>0.01</v>
      </c>
      <c r="E5678" s="1043"/>
      <c r="F5678" s="1043"/>
      <c r="G5678" s="1550"/>
    </row>
    <row r="5679" spans="1:7" ht="12.75" customHeight="1">
      <c r="A5679" s="1834"/>
      <c r="B5679" s="977"/>
      <c r="C5679" s="1854" t="s">
        <v>7953</v>
      </c>
      <c r="D5679" s="1823"/>
      <c r="E5679" s="1821"/>
      <c r="F5679" s="1821"/>
      <c r="G5679" s="1895"/>
    </row>
    <row r="5680" spans="1:7" ht="12.75" customHeight="1">
      <c r="A5680" s="1754">
        <v>44256</v>
      </c>
      <c r="B5680" s="125" t="str">
        <f>TiposLancamentos!B105</f>
        <v>Transf. Bco</v>
      </c>
      <c r="C5680" s="1040" t="s">
        <v>7954</v>
      </c>
      <c r="D5680" s="1736">
        <v>110</v>
      </c>
      <c r="E5680" s="1043"/>
      <c r="F5680" s="1043"/>
      <c r="G5680" s="1550"/>
    </row>
    <row r="5681" spans="1:7" ht="12.75" customHeight="1">
      <c r="A5681" s="1754">
        <v>44256</v>
      </c>
      <c r="B5681" s="125" t="str">
        <f>TiposLancamentos!B15</f>
        <v>Cartões de Crédito</v>
      </c>
      <c r="C5681" s="1040" t="s">
        <v>7781</v>
      </c>
      <c r="D5681" s="1736"/>
      <c r="E5681" s="1043">
        <v>3821.32</v>
      </c>
      <c r="F5681" s="1043"/>
      <c r="G5681" s="1550"/>
    </row>
    <row r="5682" spans="1:7" ht="12.75" customHeight="1">
      <c r="A5682" s="1754">
        <v>44256</v>
      </c>
      <c r="B5682" s="125" t="str">
        <f>TiposLancamentos!B15</f>
        <v>Cartões de Crédito</v>
      </c>
      <c r="C5682" s="1040" t="s">
        <v>7333</v>
      </c>
      <c r="D5682" s="1736"/>
      <c r="E5682" s="1043">
        <v>811.1</v>
      </c>
      <c r="F5682" s="1043"/>
      <c r="G5682" s="1550"/>
    </row>
    <row r="5683" spans="1:7" ht="12.75" customHeight="1">
      <c r="A5683" s="1754">
        <v>44256</v>
      </c>
      <c r="B5683" s="125" t="str">
        <f>TiposLancamentos!B15</f>
        <v>Cartões de Crédito</v>
      </c>
      <c r="C5683" s="1040" t="s">
        <v>6427</v>
      </c>
      <c r="D5683" s="1736"/>
      <c r="E5683" s="1043">
        <v>0</v>
      </c>
      <c r="F5683" s="1043"/>
      <c r="G5683" s="1550"/>
    </row>
    <row r="5684" spans="1:7" ht="12.75" customHeight="1">
      <c r="A5684" s="1754">
        <v>44256</v>
      </c>
      <c r="B5684" s="125" t="str">
        <f>TiposLancamentos!B14</f>
        <v>Gás de cozinha</v>
      </c>
      <c r="C5684" s="1740" t="s">
        <v>7955</v>
      </c>
      <c r="D5684" s="1736"/>
      <c r="E5684" s="1043">
        <v>40.28</v>
      </c>
      <c r="F5684" s="1043"/>
      <c r="G5684" s="1550"/>
    </row>
    <row r="5685" spans="1:7" ht="12.75" customHeight="1">
      <c r="A5685" s="1754">
        <v>44256</v>
      </c>
      <c r="B5685" s="125" t="str">
        <f>TiposLancamentos!B72</f>
        <v>Presentes</v>
      </c>
      <c r="C5685" s="1740" t="s">
        <v>7956</v>
      </c>
      <c r="D5685" s="1736"/>
      <c r="E5685" s="1043">
        <v>14.72</v>
      </c>
      <c r="F5685" s="1043"/>
      <c r="G5685" s="1550"/>
    </row>
    <row r="5686" spans="1:7" ht="12.75" customHeight="1">
      <c r="A5686" s="1754">
        <v>44256</v>
      </c>
      <c r="B5686" s="125" t="str">
        <f>TiposLancamentos!B4</f>
        <v>Taxas Bancarias</v>
      </c>
      <c r="C5686" s="1740" t="s">
        <v>4858</v>
      </c>
      <c r="D5686" s="1736"/>
      <c r="E5686" s="1043">
        <v>4.9000000000000004</v>
      </c>
      <c r="F5686" s="1043"/>
      <c r="G5686" s="1550"/>
    </row>
    <row r="5687" spans="1:7" ht="12.75" customHeight="1">
      <c r="A5687" s="1754">
        <v>44257</v>
      </c>
      <c r="B5687" s="125" t="str">
        <f>TiposLancamentos!B96</f>
        <v>Resg.Poup.</v>
      </c>
      <c r="C5687" s="1040" t="s">
        <v>7914</v>
      </c>
      <c r="D5687" s="1736">
        <v>4544.3100000000004</v>
      </c>
      <c r="E5687" s="1043"/>
      <c r="F5687" s="1043"/>
      <c r="G5687" s="1550"/>
    </row>
    <row r="5688" spans="1:7" ht="12.75" customHeight="1">
      <c r="A5688" s="1754">
        <v>44257</v>
      </c>
      <c r="B5688" s="125" t="str">
        <f>TiposLancamentos!B4</f>
        <v>Taxas Bancarias</v>
      </c>
      <c r="C5688" s="1040" t="s">
        <v>7884</v>
      </c>
      <c r="D5688" s="1736"/>
      <c r="E5688" s="1043">
        <v>5.25</v>
      </c>
      <c r="F5688" s="1043"/>
      <c r="G5688" s="1550"/>
    </row>
    <row r="5689" spans="1:7" ht="12.75" customHeight="1">
      <c r="A5689" s="1754">
        <v>44257</v>
      </c>
      <c r="B5689" s="125" t="str">
        <f>TiposLancamentos!B4</f>
        <v>Taxas Bancarias</v>
      </c>
      <c r="C5689" s="1040" t="s">
        <v>7957</v>
      </c>
      <c r="D5689" s="1736"/>
      <c r="E5689" s="1043">
        <v>46.65</v>
      </c>
      <c r="F5689" s="1043"/>
      <c r="G5689" s="1550"/>
    </row>
    <row r="5690" spans="1:7" ht="12.75" customHeight="1">
      <c r="A5690" s="1754">
        <v>44258</v>
      </c>
      <c r="B5690" s="125" t="str">
        <f>TiposLancamentos!B13</f>
        <v>Moradia</v>
      </c>
      <c r="C5690" s="1040" t="s">
        <v>7958</v>
      </c>
      <c r="D5690" s="1736"/>
      <c r="E5690" s="1043">
        <v>24</v>
      </c>
      <c r="F5690" s="1043"/>
      <c r="G5690" s="1550"/>
    </row>
    <row r="5691" spans="1:7" ht="12.75" customHeight="1">
      <c r="A5691" s="1754">
        <v>44259</v>
      </c>
      <c r="B5691" s="125" t="str">
        <f>TiposLancamentos!B19</f>
        <v>Restaurantes</v>
      </c>
      <c r="C5691" s="1040" t="s">
        <v>7784</v>
      </c>
      <c r="D5691" s="1736"/>
      <c r="E5691" s="1043">
        <v>128.69999999999999</v>
      </c>
      <c r="F5691" s="1043"/>
      <c r="G5691" s="1550"/>
    </row>
    <row r="5692" spans="1:7" ht="12.75" customHeight="1">
      <c r="A5692" s="1754">
        <v>44259</v>
      </c>
      <c r="B5692" s="125" t="str">
        <f>TiposLancamentos!B19</f>
        <v>Restaurantes</v>
      </c>
      <c r="C5692" s="1040" t="s">
        <v>7959</v>
      </c>
      <c r="D5692" s="1736"/>
      <c r="E5692" s="1043">
        <v>25.17</v>
      </c>
      <c r="F5692" s="1043"/>
      <c r="G5692" s="1550"/>
    </row>
    <row r="5693" spans="1:7" ht="12.75" customHeight="1">
      <c r="A5693" s="1754">
        <v>44260</v>
      </c>
      <c r="B5693" s="125" t="str">
        <f>TiposLancamentos!B56</f>
        <v>Farmácia</v>
      </c>
      <c r="C5693" s="1040" t="s">
        <v>7960</v>
      </c>
      <c r="D5693" s="1736"/>
      <c r="E5693" s="1043">
        <v>446.96</v>
      </c>
      <c r="F5693" s="1043"/>
      <c r="G5693" s="1550"/>
    </row>
    <row r="5694" spans="1:7" ht="12.75" customHeight="1">
      <c r="A5694" s="1754">
        <v>44260</v>
      </c>
      <c r="B5694" s="125" t="str">
        <f>TiposLancamentos!B5</f>
        <v>Supermercado</v>
      </c>
      <c r="C5694" s="1040" t="s">
        <v>7961</v>
      </c>
      <c r="D5694" s="1736"/>
      <c r="E5694" s="1043">
        <v>177.98</v>
      </c>
      <c r="F5694" s="1043"/>
      <c r="G5694" s="1550"/>
    </row>
    <row r="5695" spans="1:7" ht="12.75" customHeight="1">
      <c r="A5695" s="1754">
        <v>44260</v>
      </c>
      <c r="B5695" s="125" t="str">
        <f>TiposLancamentos!B4</f>
        <v>Taxas Bancarias</v>
      </c>
      <c r="C5695" s="1040" t="s">
        <v>5707</v>
      </c>
      <c r="D5695" s="1736"/>
      <c r="E5695" s="1043">
        <v>35.03</v>
      </c>
      <c r="F5695" s="1043"/>
      <c r="G5695" s="1550"/>
    </row>
    <row r="5696" spans="1:7" ht="12.75" customHeight="1">
      <c r="A5696" s="1754">
        <v>44260</v>
      </c>
      <c r="B5696" s="125" t="str">
        <f>TiposLancamentos!B4</f>
        <v>Taxas Bancarias</v>
      </c>
      <c r="C5696" s="1040" t="s">
        <v>7962</v>
      </c>
      <c r="D5696" s="1736"/>
      <c r="E5696" s="1043">
        <v>2.1800000000000002</v>
      </c>
      <c r="F5696" s="1043"/>
      <c r="G5696" s="1550"/>
    </row>
    <row r="5697" spans="1:7" ht="12.75" customHeight="1">
      <c r="A5697" s="1754">
        <v>44264</v>
      </c>
      <c r="B5697" s="125" t="str">
        <f>TiposLancamentos!B5</f>
        <v>Supermercado</v>
      </c>
      <c r="C5697" s="1040" t="s">
        <v>7963</v>
      </c>
      <c r="D5697" s="1736"/>
      <c r="E5697" s="1043">
        <v>8.5</v>
      </c>
      <c r="F5697" s="1043"/>
      <c r="G5697" s="1550"/>
    </row>
    <row r="5698" spans="1:7" ht="12.75" customHeight="1">
      <c r="A5698" s="1754">
        <v>44266</v>
      </c>
      <c r="B5698" s="125" t="str">
        <f>TiposLancamentos!B88</f>
        <v>Ford Ecosport XLT</v>
      </c>
      <c r="C5698" s="1040" t="s">
        <v>7964</v>
      </c>
      <c r="D5698" s="1736"/>
      <c r="E5698" s="1043">
        <v>1099.22</v>
      </c>
      <c r="F5698" s="1043"/>
      <c r="G5698" s="1550"/>
    </row>
    <row r="5699" spans="1:7" ht="12.75" customHeight="1">
      <c r="A5699" s="1754">
        <v>44267</v>
      </c>
      <c r="B5699" s="125" t="str">
        <f>TiposLancamentos!B56</f>
        <v>Farmácia</v>
      </c>
      <c r="C5699" s="1040" t="s">
        <v>7965</v>
      </c>
      <c r="D5699" s="1736"/>
      <c r="E5699" s="1043">
        <v>11.04</v>
      </c>
      <c r="F5699" s="1043"/>
      <c r="G5699" s="1550"/>
    </row>
    <row r="5700" spans="1:7" ht="12.75" customHeight="1">
      <c r="A5700" s="1754">
        <v>44267</v>
      </c>
      <c r="B5700" s="125" t="str">
        <f>TiposLancamentos!B5</f>
        <v>Supermercado</v>
      </c>
      <c r="C5700" s="1040" t="s">
        <v>7904</v>
      </c>
      <c r="D5700" s="1736"/>
      <c r="E5700" s="1043">
        <v>390.46</v>
      </c>
      <c r="F5700" s="1043"/>
      <c r="G5700" s="1550"/>
    </row>
    <row r="5701" spans="1:7" ht="12.75" customHeight="1">
      <c r="A5701" s="1754">
        <v>44269</v>
      </c>
      <c r="B5701" s="125" t="str">
        <f>TiposLancamentos!B22</f>
        <v>Combustivel</v>
      </c>
      <c r="C5701" s="1040" t="s">
        <v>7966</v>
      </c>
      <c r="D5701" s="1736"/>
      <c r="E5701" s="1043">
        <v>70</v>
      </c>
      <c r="F5701" s="1043"/>
      <c r="G5701" s="1550"/>
    </row>
    <row r="5702" spans="1:7" ht="12.75" customHeight="1">
      <c r="A5702" s="1754">
        <v>44269</v>
      </c>
      <c r="B5702" s="125" t="str">
        <f>TiposLancamentos!B5</f>
        <v>Supermercado</v>
      </c>
      <c r="C5702" s="1040" t="s">
        <v>7967</v>
      </c>
      <c r="D5702" s="1736"/>
      <c r="E5702" s="1043">
        <v>77.010000000000005</v>
      </c>
      <c r="F5702" s="1043"/>
      <c r="G5702" s="1550"/>
    </row>
    <row r="5703" spans="1:7" ht="12.75" customHeight="1">
      <c r="A5703" s="1754">
        <v>44270</v>
      </c>
      <c r="B5703" s="125" t="str">
        <f>TiposLancamentos!B95</f>
        <v>Salarios</v>
      </c>
      <c r="C5703" s="1040" t="s">
        <v>7694</v>
      </c>
      <c r="D5703" s="1736">
        <v>7303.22</v>
      </c>
      <c r="E5703" s="1043"/>
      <c r="F5703" s="1043"/>
      <c r="G5703" s="1550"/>
    </row>
    <row r="5704" spans="1:7" ht="12.75" customHeight="1">
      <c r="A5704" s="1666">
        <v>44270</v>
      </c>
      <c r="B5704" s="817" t="str">
        <f>TiposLancamentos!B33</f>
        <v>Pedágios</v>
      </c>
      <c r="C5704" s="1742" t="s">
        <v>5392</v>
      </c>
      <c r="D5704" s="1735"/>
      <c r="E5704" s="1733">
        <f>F5706-(E5705+E5706)</f>
        <v>30.5</v>
      </c>
      <c r="F5704" s="1290"/>
      <c r="G5704" s="1550"/>
    </row>
    <row r="5705" spans="1:7" ht="12.75" customHeight="1">
      <c r="A5705" s="1667">
        <v>44270</v>
      </c>
      <c r="B5705" s="816" t="str">
        <f>TiposLancamentos!B24</f>
        <v>Estacionamentos</v>
      </c>
      <c r="C5705" s="1769" t="s">
        <v>7366</v>
      </c>
      <c r="D5705" s="1736"/>
      <c r="E5705" s="1734">
        <v>68</v>
      </c>
      <c r="F5705" s="1043"/>
      <c r="G5705" s="1550"/>
    </row>
    <row r="5706" spans="1:7" ht="12.75" customHeight="1">
      <c r="A5706" s="1750">
        <v>44270</v>
      </c>
      <c r="B5706" s="818" t="str">
        <f>TiposLancamentos!B24</f>
        <v>Estacionamentos</v>
      </c>
      <c r="C5706" s="1743" t="s">
        <v>6297</v>
      </c>
      <c r="D5706" s="1737"/>
      <c r="E5706" s="1668">
        <v>0</v>
      </c>
      <c r="F5706" s="1347">
        <v>98.5</v>
      </c>
      <c r="G5706" s="1550"/>
    </row>
    <row r="5707" spans="1:7" ht="12.75" customHeight="1">
      <c r="A5707" s="1754">
        <v>44270</v>
      </c>
      <c r="B5707" s="125"/>
      <c r="C5707" s="1040" t="s">
        <v>7341</v>
      </c>
      <c r="D5707" s="1736">
        <v>0</v>
      </c>
      <c r="E5707" s="1043"/>
      <c r="F5707" s="1043"/>
      <c r="G5707" s="1550"/>
    </row>
    <row r="5708" spans="1:7" ht="12.75" customHeight="1">
      <c r="A5708" s="1666">
        <v>44270</v>
      </c>
      <c r="B5708" s="817" t="str">
        <f>TiposLancamentos!B35</f>
        <v>Tv à Cabo</v>
      </c>
      <c r="C5708" s="1742" t="s">
        <v>5834</v>
      </c>
      <c r="D5708" s="1735"/>
      <c r="E5708" s="1733">
        <f>F5710-(E5709+E5710)</f>
        <v>97.019999999999982</v>
      </c>
      <c r="F5708" s="1290"/>
      <c r="G5708" s="1550"/>
    </row>
    <row r="5709" spans="1:7" ht="12.75" customHeight="1">
      <c r="A5709" s="1667">
        <v>44270</v>
      </c>
      <c r="B5709" s="816" t="str">
        <f>TiposLancamentos!B3</f>
        <v>Internet</v>
      </c>
      <c r="C5709" s="1769" t="s">
        <v>5835</v>
      </c>
      <c r="D5709" s="1736"/>
      <c r="E5709" s="1734">
        <v>134.99</v>
      </c>
      <c r="F5709" s="1043"/>
      <c r="G5709" s="1550"/>
    </row>
    <row r="5710" spans="1:7" ht="12.75" customHeight="1">
      <c r="A5710" s="1750">
        <v>44270</v>
      </c>
      <c r="B5710" s="818" t="str">
        <f>TiposLancamentos!B2</f>
        <v>Telefonia</v>
      </c>
      <c r="C5710" s="1743" t="s">
        <v>7210</v>
      </c>
      <c r="D5710" s="1737"/>
      <c r="E5710" s="1668">
        <v>0</v>
      </c>
      <c r="F5710" s="1291">
        <v>232.01</v>
      </c>
      <c r="G5710" s="1550"/>
    </row>
    <row r="5711" spans="1:7" ht="12.75" customHeight="1">
      <c r="A5711" s="1754">
        <v>44270</v>
      </c>
      <c r="B5711" s="125" t="str">
        <f>TiposLancamentos!B60</f>
        <v>Correio</v>
      </c>
      <c r="C5711" s="1040" t="s">
        <v>7968</v>
      </c>
      <c r="D5711" s="1736"/>
      <c r="E5711" s="1043">
        <v>221.32</v>
      </c>
      <c r="F5711" s="1043"/>
      <c r="G5711" s="1550"/>
    </row>
    <row r="5712" spans="1:7" ht="12.75" customHeight="1">
      <c r="A5712" s="1754">
        <v>44270</v>
      </c>
      <c r="B5712" s="125" t="str">
        <f>TiposLancamentos!B23</f>
        <v>P208 GRIFFE 1.6 AUT BUSINESS</v>
      </c>
      <c r="C5712" s="1040" t="s">
        <v>7969</v>
      </c>
      <c r="D5712" s="1736"/>
      <c r="E5712" s="1043">
        <v>98.91</v>
      </c>
      <c r="F5712" s="1043"/>
      <c r="G5712" s="1550"/>
    </row>
    <row r="5713" spans="1:7" ht="12.75" customHeight="1">
      <c r="A5713" s="1754">
        <v>44271</v>
      </c>
      <c r="B5713" s="125" t="str">
        <f>TiposLancamentos!B46</f>
        <v>Maçonaria</v>
      </c>
      <c r="C5713" s="1040" t="s">
        <v>7970</v>
      </c>
      <c r="D5713" s="1736"/>
      <c r="E5713" s="1043">
        <v>180</v>
      </c>
      <c r="F5713" s="1043"/>
      <c r="G5713" s="1550"/>
    </row>
    <row r="5714" spans="1:7" ht="12.75" customHeight="1">
      <c r="A5714" s="1754">
        <v>44272</v>
      </c>
      <c r="B5714" s="125" t="str">
        <f>TiposLancamentos!B5</f>
        <v>Supermercado</v>
      </c>
      <c r="C5714" s="1040" t="s">
        <v>7919</v>
      </c>
      <c r="D5714" s="1736"/>
      <c r="E5714" s="1043">
        <v>136.63999999999999</v>
      </c>
      <c r="F5714" s="1043"/>
      <c r="G5714" s="1550"/>
    </row>
    <row r="5715" spans="1:7" ht="12.75" customHeight="1">
      <c r="A5715" s="1754">
        <v>44272</v>
      </c>
      <c r="B5715" s="125" t="str">
        <f>TiposLancamentos!B56</f>
        <v>Farmácia</v>
      </c>
      <c r="C5715" s="1040" t="s">
        <v>7971</v>
      </c>
      <c r="D5715" s="1736"/>
      <c r="E5715" s="1043">
        <v>39.729999999999997</v>
      </c>
      <c r="F5715" s="1043"/>
      <c r="G5715" s="1550"/>
    </row>
    <row r="5716" spans="1:7" ht="12.75" customHeight="1">
      <c r="A5716" s="1754">
        <v>44272</v>
      </c>
      <c r="B5716" s="125" t="str">
        <f>TiposLancamentos!B2</f>
        <v>Telefonia</v>
      </c>
      <c r="C5716" s="1040" t="s">
        <v>7933</v>
      </c>
      <c r="D5716" s="1736"/>
      <c r="E5716" s="1043">
        <v>49.99</v>
      </c>
      <c r="F5716" s="1043"/>
      <c r="G5716" s="1550"/>
    </row>
    <row r="5717" spans="1:7" ht="12.75" customHeight="1">
      <c r="A5717" s="1754">
        <v>44275</v>
      </c>
      <c r="B5717" s="125" t="str">
        <f>TiposLancamentos!B17</f>
        <v>GATO</v>
      </c>
      <c r="C5717" s="1040" t="s">
        <v>6059</v>
      </c>
      <c r="D5717" s="1736"/>
      <c r="E5717" s="1043">
        <v>167.9</v>
      </c>
      <c r="F5717" s="1043"/>
      <c r="G5717" s="1550"/>
    </row>
    <row r="5718" spans="1:7" ht="12.75" customHeight="1">
      <c r="A5718" s="1754">
        <v>44275</v>
      </c>
      <c r="B5718" s="125" t="str">
        <f>TiposLancamentos!B5</f>
        <v>Supermercado</v>
      </c>
      <c r="C5718" s="1040" t="s">
        <v>7972</v>
      </c>
      <c r="D5718" s="1736"/>
      <c r="E5718" s="1043">
        <v>217.95</v>
      </c>
      <c r="F5718" s="1043"/>
      <c r="G5718" s="1550"/>
    </row>
    <row r="5719" spans="1:7" ht="12.75" customHeight="1">
      <c r="A5719" s="1754">
        <v>44276</v>
      </c>
      <c r="B5719" s="125" t="str">
        <f>TiposLancamentos!B5</f>
        <v>Supermercado</v>
      </c>
      <c r="C5719" s="1040" t="s">
        <v>7667</v>
      </c>
      <c r="D5719" s="1736"/>
      <c r="E5719" s="1043">
        <v>43.11</v>
      </c>
      <c r="F5719" s="1043"/>
      <c r="G5719" s="1550"/>
    </row>
    <row r="5720" spans="1:7" ht="12.75" customHeight="1">
      <c r="A5720" s="1666">
        <v>44275</v>
      </c>
      <c r="B5720" s="817" t="str">
        <f>TiposLancamentos!B8</f>
        <v>Aluguel</v>
      </c>
      <c r="C5720" s="1742" t="s">
        <v>7973</v>
      </c>
      <c r="D5720" s="1735"/>
      <c r="E5720" s="1733">
        <f>F5725-SUM(E5721:E5725)</f>
        <v>1400</v>
      </c>
      <c r="F5720" s="1346"/>
      <c r="G5720" s="1550"/>
    </row>
    <row r="5721" spans="1:7" ht="12.75" customHeight="1">
      <c r="A5721" s="1667">
        <v>44275</v>
      </c>
      <c r="B5721" s="816" t="str">
        <f>TiposLancamentos!B12</f>
        <v>IPTU</v>
      </c>
      <c r="C5721" s="1769" t="s">
        <v>7974</v>
      </c>
      <c r="D5721" s="1736"/>
      <c r="E5721" s="1734">
        <v>0</v>
      </c>
      <c r="F5721" s="1043"/>
      <c r="G5721" s="1550"/>
    </row>
    <row r="5722" spans="1:7" ht="12.75" customHeight="1">
      <c r="A5722" s="1667">
        <v>44275</v>
      </c>
      <c r="B5722" s="816" t="str">
        <f>TiposLancamentos!B10</f>
        <v>Distr. Água Municipal</v>
      </c>
      <c r="C5722" s="1769" t="s">
        <v>7423</v>
      </c>
      <c r="D5722" s="1736"/>
      <c r="E5722" s="1734">
        <v>42.46</v>
      </c>
      <c r="F5722" s="1043"/>
      <c r="G5722" s="1550"/>
    </row>
    <row r="5723" spans="1:7" ht="12.75" customHeight="1">
      <c r="A5723" s="1667">
        <v>44275</v>
      </c>
      <c r="B5723" s="816" t="str">
        <f>TiposLancamentos!B11</f>
        <v>Coleta Municipal Lixo</v>
      </c>
      <c r="C5723" s="1769" t="s">
        <v>7424</v>
      </c>
      <c r="D5723" s="1736"/>
      <c r="E5723" s="1734">
        <v>41.13</v>
      </c>
      <c r="F5723" s="1043"/>
      <c r="G5723" s="1550"/>
    </row>
    <row r="5724" spans="1:7" ht="12.75" customHeight="1">
      <c r="A5724" s="1667">
        <v>44275</v>
      </c>
      <c r="B5724" s="816" t="str">
        <f>TiposLancamentos!B8</f>
        <v>Aluguel</v>
      </c>
      <c r="C5724" s="1769" t="s">
        <v>7425</v>
      </c>
      <c r="D5724" s="1736"/>
      <c r="E5724" s="1734">
        <v>8</v>
      </c>
      <c r="F5724" s="1043"/>
      <c r="G5724" s="1550"/>
    </row>
    <row r="5725" spans="1:7" ht="12.75" customHeight="1">
      <c r="A5725" s="1750">
        <v>44275</v>
      </c>
      <c r="B5725" s="818" t="str">
        <f>TiposLancamentos!B9</f>
        <v>Condominio</v>
      </c>
      <c r="C5725" s="1743" t="s">
        <v>7427</v>
      </c>
      <c r="D5725" s="1737"/>
      <c r="E5725" s="1668">
        <v>616.37</v>
      </c>
      <c r="F5725" s="1291">
        <v>2107.96</v>
      </c>
      <c r="G5725" s="1550"/>
    </row>
    <row r="5726" spans="1:7" ht="12.75" customHeight="1">
      <c r="A5726" s="1754">
        <v>44277</v>
      </c>
      <c r="B5726" s="125" t="str">
        <f>TiposLancamentos!B6</f>
        <v>Energia Eletrica</v>
      </c>
      <c r="C5726" s="1040" t="s">
        <v>7975</v>
      </c>
      <c r="D5726" s="1736"/>
      <c r="E5726" s="1043">
        <v>240.03</v>
      </c>
      <c r="F5726" s="1043"/>
      <c r="G5726" s="1550"/>
    </row>
    <row r="5727" spans="1:7" ht="12.75" customHeight="1">
      <c r="A5727" s="1754">
        <v>44278</v>
      </c>
      <c r="B5727" s="125" t="str">
        <f>TiposLancamentos!B17</f>
        <v>GATO</v>
      </c>
      <c r="C5727" s="1040" t="s">
        <v>7976</v>
      </c>
      <c r="D5727" s="1736"/>
      <c r="E5727" s="1043">
        <v>11.8</v>
      </c>
      <c r="F5727" s="1043"/>
      <c r="G5727" s="1550"/>
    </row>
    <row r="5728" spans="1:7" ht="12.75" customHeight="1">
      <c r="A5728" s="1754">
        <v>44278</v>
      </c>
      <c r="B5728" s="125" t="str">
        <f>TiposLancamentos!B103</f>
        <v>Juros_Corr. Poupança</v>
      </c>
      <c r="C5728" s="1040" t="s">
        <v>7889</v>
      </c>
      <c r="D5728" s="1736">
        <v>0.02</v>
      </c>
      <c r="E5728" s="1043"/>
      <c r="F5728" s="1043"/>
      <c r="G5728" s="1550"/>
    </row>
    <row r="5729" spans="1:7" ht="12.75" customHeight="1">
      <c r="A5729" s="1754">
        <v>44279</v>
      </c>
      <c r="B5729" s="125" t="str">
        <f>TiposLancamentos!B13</f>
        <v>Moradia</v>
      </c>
      <c r="C5729" s="1040" t="s">
        <v>7977</v>
      </c>
      <c r="D5729" s="1736"/>
      <c r="E5729" s="1043">
        <v>24</v>
      </c>
      <c r="F5729" s="1043"/>
      <c r="G5729" s="1550"/>
    </row>
    <row r="5730" spans="1:7" ht="12.75" customHeight="1">
      <c r="A5730" s="1754">
        <v>44279</v>
      </c>
      <c r="B5730" s="125" t="str">
        <f>TiposLancamentos!B5</f>
        <v>Supermercado</v>
      </c>
      <c r="C5730" s="1040" t="s">
        <v>7842</v>
      </c>
      <c r="D5730" s="1736"/>
      <c r="E5730" s="1043">
        <v>275.5</v>
      </c>
      <c r="F5730" s="1043"/>
      <c r="G5730" s="1550"/>
    </row>
    <row r="5731" spans="1:7" ht="12.75" customHeight="1">
      <c r="A5731" s="1754">
        <v>44279</v>
      </c>
      <c r="B5731" s="125" t="str">
        <f>TiposLancamentos!B56</f>
        <v>Farmácia</v>
      </c>
      <c r="C5731" s="1040" t="s">
        <v>7978</v>
      </c>
      <c r="D5731" s="1736"/>
      <c r="E5731" s="1043">
        <v>39.799999999999997</v>
      </c>
      <c r="F5731" s="1043"/>
      <c r="G5731" s="1550"/>
    </row>
    <row r="5732" spans="1:7" ht="12.75" customHeight="1">
      <c r="A5732" s="1754">
        <v>44280</v>
      </c>
      <c r="B5732" s="125" t="str">
        <f>TiposLancamentos!B5</f>
        <v>Supermercado</v>
      </c>
      <c r="C5732" s="1040" t="s">
        <v>7979</v>
      </c>
      <c r="D5732" s="1736"/>
      <c r="E5732" s="1043">
        <v>6.9</v>
      </c>
      <c r="F5732" s="1043"/>
      <c r="G5732" s="1550"/>
    </row>
    <row r="5733" spans="1:7" ht="12.75" customHeight="1">
      <c r="A5733" s="1754">
        <v>44282</v>
      </c>
      <c r="B5733" s="125" t="str">
        <f>TiposLancamentos!B5</f>
        <v>Supermercado</v>
      </c>
      <c r="C5733" s="1040" t="s">
        <v>7980</v>
      </c>
      <c r="D5733" s="1736"/>
      <c r="E5733" s="1043">
        <v>39.340000000000003</v>
      </c>
      <c r="F5733" s="1043"/>
      <c r="G5733" s="1550"/>
    </row>
    <row r="5734" spans="1:7" ht="12.75" customHeight="1">
      <c r="A5734" s="1754">
        <v>44283</v>
      </c>
      <c r="B5734" s="125" t="str">
        <f>TiposLancamentos!B5</f>
        <v>Supermercado</v>
      </c>
      <c r="C5734" s="1040" t="s">
        <v>7981</v>
      </c>
      <c r="D5734" s="1736"/>
      <c r="E5734" s="1043">
        <v>99.76</v>
      </c>
      <c r="F5734" s="1043"/>
      <c r="G5734" s="1550"/>
    </row>
    <row r="5735" spans="1:7" ht="12.75" customHeight="1">
      <c r="A5735" s="1754">
        <v>44283</v>
      </c>
      <c r="B5735" s="125" t="str">
        <f>TiposLancamentos!B5</f>
        <v>Supermercado</v>
      </c>
      <c r="C5735" s="1040" t="s">
        <v>7982</v>
      </c>
      <c r="D5735" s="1736"/>
      <c r="E5735" s="1043">
        <v>17.559999999999999</v>
      </c>
      <c r="F5735" s="1043"/>
      <c r="G5735" s="1550"/>
    </row>
    <row r="5736" spans="1:7" ht="12.75" customHeight="1">
      <c r="A5736" s="1754">
        <v>44285</v>
      </c>
      <c r="B5736" s="125" t="str">
        <f>TiposLancamentos!B5</f>
        <v>Supermercado</v>
      </c>
      <c r="C5736" s="1040" t="s">
        <v>7982</v>
      </c>
      <c r="D5736" s="1736"/>
      <c r="E5736" s="1043">
        <v>12.48</v>
      </c>
      <c r="F5736" s="1043"/>
      <c r="G5736" s="1550"/>
    </row>
    <row r="5737" spans="1:7" ht="12.75" customHeight="1" thickBot="1">
      <c r="A5737" s="1754">
        <v>44286</v>
      </c>
      <c r="B5737" s="125" t="str">
        <f>TiposLancamentos!B5</f>
        <v>Supermercado</v>
      </c>
      <c r="C5737" s="1040" t="s">
        <v>7982</v>
      </c>
      <c r="D5737" s="1736"/>
      <c r="E5737" s="1043">
        <v>21.4</v>
      </c>
      <c r="F5737" s="1043"/>
      <c r="G5737" s="1550"/>
    </row>
    <row r="5738" spans="1:7" ht="12.75" customHeight="1">
      <c r="A5738" s="1834"/>
      <c r="B5738" s="977"/>
      <c r="C5738" s="1854" t="s">
        <v>1597</v>
      </c>
      <c r="D5738" s="1823"/>
      <c r="E5738" s="1821"/>
      <c r="F5738" s="1821"/>
      <c r="G5738" s="1895"/>
    </row>
    <row r="5739" spans="1:7" ht="12.75" customHeight="1">
      <c r="A5739" s="1754">
        <v>44287</v>
      </c>
      <c r="B5739" s="125" t="str">
        <f>TiposLancamentos!B14</f>
        <v>Gás de cozinha</v>
      </c>
      <c r="C5739" s="1040" t="s">
        <v>7496</v>
      </c>
      <c r="D5739" s="1736"/>
      <c r="E5739" s="1043">
        <v>47.91</v>
      </c>
      <c r="F5739" s="1043"/>
      <c r="G5739" s="1550"/>
    </row>
    <row r="5740" spans="1:7" ht="12.75" customHeight="1">
      <c r="A5740" s="1754">
        <v>44287</v>
      </c>
      <c r="B5740" s="125" t="str">
        <f>TiposLancamentos!B5</f>
        <v>Supermercado</v>
      </c>
      <c r="C5740" s="1040" t="s">
        <v>7068</v>
      </c>
      <c r="D5740" s="1736"/>
      <c r="E5740" s="1043">
        <v>68.67</v>
      </c>
      <c r="F5740" s="1043"/>
      <c r="G5740" s="1550"/>
    </row>
    <row r="5741" spans="1:7" ht="12.75" customHeight="1">
      <c r="A5741" s="1754">
        <v>44287</v>
      </c>
      <c r="B5741" s="125" t="str">
        <f>TiposLancamentos!B4</f>
        <v>Taxas Bancarias</v>
      </c>
      <c r="C5741" s="1040" t="s">
        <v>4858</v>
      </c>
      <c r="D5741" s="1736"/>
      <c r="E5741" s="1043">
        <v>23.34</v>
      </c>
      <c r="F5741" s="1043"/>
      <c r="G5741" s="1550"/>
    </row>
    <row r="5742" spans="1:7" ht="12.75" customHeight="1">
      <c r="A5742" s="1754">
        <v>44288</v>
      </c>
      <c r="B5742" s="125" t="str">
        <f>TiposLancamentos!B5</f>
        <v>Supermercado</v>
      </c>
      <c r="C5742" s="1040" t="s">
        <v>7983</v>
      </c>
      <c r="D5742" s="1736"/>
      <c r="E5742" s="1043">
        <v>238.38</v>
      </c>
      <c r="F5742" s="1043"/>
      <c r="G5742" s="1550"/>
    </row>
    <row r="5743" spans="1:7" ht="12.75" customHeight="1">
      <c r="A5743" s="1754">
        <v>44288</v>
      </c>
      <c r="B5743" s="125" t="str">
        <f>TiposLancamentos!B56</f>
        <v>Farmácia</v>
      </c>
      <c r="C5743" s="1040" t="s">
        <v>6052</v>
      </c>
      <c r="D5743" s="1736"/>
      <c r="E5743" s="1043">
        <v>78.83</v>
      </c>
      <c r="F5743" s="1043"/>
      <c r="G5743" s="1550"/>
    </row>
    <row r="5744" spans="1:7" ht="12.75" customHeight="1">
      <c r="A5744" s="1754">
        <v>44290</v>
      </c>
      <c r="B5744" s="125" t="str">
        <f>TiposLancamentos!B5</f>
        <v>Supermercado</v>
      </c>
      <c r="C5744" s="1040" t="s">
        <v>7842</v>
      </c>
      <c r="D5744" s="1736"/>
      <c r="E5744" s="1043">
        <v>282.39</v>
      </c>
      <c r="F5744" s="1043"/>
      <c r="G5744" s="1550"/>
    </row>
    <row r="5745" spans="1:7" ht="12.75" customHeight="1">
      <c r="A5745" s="1754">
        <v>44291</v>
      </c>
      <c r="B5745" s="125" t="str">
        <f>TiposLancamentos!B56</f>
        <v>Farmácia</v>
      </c>
      <c r="C5745" s="1040" t="s">
        <v>7984</v>
      </c>
      <c r="D5745" s="1736"/>
      <c r="E5745" s="1043">
        <v>120</v>
      </c>
      <c r="F5745" s="1043"/>
      <c r="G5745" s="1550"/>
    </row>
    <row r="5746" spans="1:7" ht="12.75" customHeight="1">
      <c r="A5746" s="1754">
        <v>44291</v>
      </c>
      <c r="B5746" s="125" t="str">
        <f>TiposLancamentos!B4</f>
        <v>Taxas Bancarias</v>
      </c>
      <c r="C5746" s="1040" t="s">
        <v>7884</v>
      </c>
      <c r="D5746" s="1736"/>
      <c r="E5746" s="1043">
        <v>5.25</v>
      </c>
      <c r="F5746" s="1043"/>
      <c r="G5746" s="1550"/>
    </row>
    <row r="5747" spans="1:7" ht="12.75" customHeight="1">
      <c r="A5747" s="1754">
        <v>44291</v>
      </c>
      <c r="B5747" s="125" t="str">
        <f>TiposLancamentos!B4</f>
        <v>Taxas Bancarias</v>
      </c>
      <c r="C5747" s="1040" t="s">
        <v>7985</v>
      </c>
      <c r="D5747" s="1736"/>
      <c r="E5747" s="1043">
        <v>46.65</v>
      </c>
      <c r="F5747" s="1043"/>
      <c r="G5747" s="1550"/>
    </row>
    <row r="5748" spans="1:7" ht="12.75" customHeight="1">
      <c r="A5748" s="1754">
        <v>44291</v>
      </c>
      <c r="B5748" s="125" t="str">
        <f>TiposLancamentos!B103</f>
        <v>Juros_Corr. Poupança</v>
      </c>
      <c r="C5748" s="1040" t="s">
        <v>7889</v>
      </c>
      <c r="D5748" s="1736">
        <v>0</v>
      </c>
      <c r="E5748" s="1043">
        <v>0</v>
      </c>
      <c r="F5748" s="1043"/>
      <c r="G5748" s="1550"/>
    </row>
    <row r="5749" spans="1:7" ht="12.75" customHeight="1">
      <c r="A5749" s="1754">
        <v>44291</v>
      </c>
      <c r="B5749" s="125" t="str">
        <f>TiposLancamentos!B4</f>
        <v>Taxas Bancarias</v>
      </c>
      <c r="C5749" s="1040" t="s">
        <v>5707</v>
      </c>
      <c r="D5749" s="1736"/>
      <c r="E5749" s="1043">
        <v>16.28</v>
      </c>
      <c r="F5749" s="1043"/>
      <c r="G5749" s="1550"/>
    </row>
    <row r="5750" spans="1:7" ht="12.75" customHeight="1">
      <c r="A5750" s="1754">
        <v>44292</v>
      </c>
      <c r="B5750" s="125" t="str">
        <f>TiposLancamentos!B4</f>
        <v>Taxas Bancarias</v>
      </c>
      <c r="C5750" s="1040" t="s">
        <v>7986</v>
      </c>
      <c r="D5750" s="1736"/>
      <c r="E5750" s="1043">
        <v>2</v>
      </c>
      <c r="F5750" s="1043"/>
      <c r="G5750" s="1550"/>
    </row>
    <row r="5751" spans="1:7" ht="12.75" customHeight="1">
      <c r="A5751" s="1754">
        <v>44294</v>
      </c>
      <c r="B5751" s="125" t="str">
        <f>TiposLancamentos!B5</f>
        <v>Supermercado</v>
      </c>
      <c r="C5751" s="1040" t="s">
        <v>7987</v>
      </c>
      <c r="D5751" s="1736"/>
      <c r="E5751" s="1043">
        <v>12.89</v>
      </c>
      <c r="F5751" s="1043"/>
      <c r="G5751" s="1550"/>
    </row>
    <row r="5752" spans="1:7" ht="12.75" customHeight="1">
      <c r="A5752" s="1754">
        <v>44295</v>
      </c>
      <c r="B5752" s="125" t="str">
        <f>TiposLancamentos!B5</f>
        <v>Supermercado</v>
      </c>
      <c r="C5752" s="1040" t="s">
        <v>7667</v>
      </c>
      <c r="D5752" s="1736"/>
      <c r="E5752" s="1043">
        <v>434.07</v>
      </c>
      <c r="F5752" s="1043"/>
      <c r="G5752" s="1550"/>
    </row>
    <row r="5753" spans="1:7" ht="12.75" customHeight="1">
      <c r="A5753" s="1754">
        <v>44297</v>
      </c>
      <c r="B5753" s="125" t="str">
        <f>TiposLancamentos!B69</f>
        <v>Consertos</v>
      </c>
      <c r="C5753" s="1040" t="s">
        <v>7988</v>
      </c>
      <c r="D5753" s="1736"/>
      <c r="E5753" s="1043">
        <v>22.5</v>
      </c>
      <c r="F5753" s="1043"/>
      <c r="G5753" s="1550"/>
    </row>
    <row r="5754" spans="1:7" ht="12.75" customHeight="1">
      <c r="A5754" s="1754">
        <v>44297</v>
      </c>
      <c r="B5754" s="125" t="str">
        <f>TiposLancamentos!B5</f>
        <v>Supermercado</v>
      </c>
      <c r="C5754" s="1040" t="s">
        <v>7989</v>
      </c>
      <c r="D5754" s="1736"/>
      <c r="E5754" s="1043">
        <v>199.19</v>
      </c>
      <c r="F5754" s="1043"/>
      <c r="G5754" s="1550"/>
    </row>
    <row r="5755" spans="1:7" ht="12.75" customHeight="1">
      <c r="A5755" s="1754">
        <v>44299</v>
      </c>
      <c r="B5755" s="125" t="str">
        <f>TiposLancamentos!B56</f>
        <v>Farmácia</v>
      </c>
      <c r="C5755" s="1040" t="s">
        <v>7990</v>
      </c>
      <c r="D5755" s="1736"/>
      <c r="E5755" s="1043">
        <v>42.63</v>
      </c>
      <c r="F5755" s="1043"/>
      <c r="G5755" s="1550"/>
    </row>
    <row r="5756" spans="1:7" ht="12.75" customHeight="1">
      <c r="A5756" s="1754">
        <v>44301</v>
      </c>
      <c r="B5756" s="125" t="str">
        <f>TiposLancamentos!B95</f>
        <v>Salarios</v>
      </c>
      <c r="C5756" s="1040" t="s">
        <v>7694</v>
      </c>
      <c r="D5756" s="1736">
        <v>7303.22</v>
      </c>
      <c r="E5756" s="1043"/>
      <c r="F5756" s="1043"/>
      <c r="G5756" s="1550"/>
    </row>
    <row r="5757" spans="1:7" ht="12.75" customHeight="1">
      <c r="A5757" s="1666">
        <v>44301</v>
      </c>
      <c r="B5757" s="817" t="str">
        <f>TiposLancamentos!B33</f>
        <v>Pedágios</v>
      </c>
      <c r="C5757" s="1742" t="s">
        <v>5392</v>
      </c>
      <c r="D5757" s="1735"/>
      <c r="E5757" s="1733">
        <f>F5759-(E5758+E5759)</f>
        <v>30.5</v>
      </c>
      <c r="F5757" s="1290"/>
      <c r="G5757" s="1550"/>
    </row>
    <row r="5758" spans="1:7" ht="12.75" customHeight="1">
      <c r="A5758" s="1667">
        <v>44301</v>
      </c>
      <c r="B5758" s="816" t="str">
        <f>TiposLancamentos!B24</f>
        <v>Estacionamentos</v>
      </c>
      <c r="C5758" s="1769" t="s">
        <v>7366</v>
      </c>
      <c r="D5758" s="1736"/>
      <c r="E5758" s="1734">
        <v>7</v>
      </c>
      <c r="F5758" s="1043"/>
      <c r="G5758" s="1550"/>
    </row>
    <row r="5759" spans="1:7" ht="12.75" customHeight="1">
      <c r="A5759" s="1750">
        <v>44301</v>
      </c>
      <c r="B5759" s="818" t="str">
        <f>TiposLancamentos!B24</f>
        <v>Estacionamentos</v>
      </c>
      <c r="C5759" s="1743" t="s">
        <v>6297</v>
      </c>
      <c r="D5759" s="1737"/>
      <c r="E5759" s="1668">
        <v>0</v>
      </c>
      <c r="F5759" s="1347">
        <v>37.5</v>
      </c>
      <c r="G5759" s="1550"/>
    </row>
    <row r="5760" spans="1:7" ht="12.75" customHeight="1">
      <c r="A5760" s="1754">
        <v>44301</v>
      </c>
      <c r="B5760" s="125" t="str">
        <f>TiposLancamentos!B103</f>
        <v>Juros_Corr. Poupança</v>
      </c>
      <c r="C5760" s="1040" t="s">
        <v>7341</v>
      </c>
      <c r="D5760" s="1736">
        <v>0</v>
      </c>
      <c r="E5760" s="1043"/>
      <c r="F5760" s="1043"/>
      <c r="G5760" s="1550"/>
    </row>
    <row r="5761" spans="1:7" ht="12.75" customHeight="1">
      <c r="A5761" s="1666">
        <v>44301</v>
      </c>
      <c r="B5761" s="817" t="str">
        <f>TiposLancamentos!B35</f>
        <v>Tv à Cabo</v>
      </c>
      <c r="C5761" s="1742" t="s">
        <v>5834</v>
      </c>
      <c r="D5761" s="1735"/>
      <c r="E5761" s="1733">
        <f>F5763-(E5762+E5763)</f>
        <v>127.61000000000001</v>
      </c>
      <c r="F5761" s="1290"/>
      <c r="G5761" s="1550"/>
    </row>
    <row r="5762" spans="1:7" ht="12.75" customHeight="1">
      <c r="A5762" s="1667">
        <v>44301</v>
      </c>
      <c r="B5762" s="816" t="str">
        <f>TiposLancamentos!B3</f>
        <v>Internet</v>
      </c>
      <c r="C5762" s="1769" t="s">
        <v>5835</v>
      </c>
      <c r="D5762" s="1736"/>
      <c r="E5762" s="1734">
        <v>134.99</v>
      </c>
      <c r="F5762" s="1043"/>
      <c r="G5762" s="1550"/>
    </row>
    <row r="5763" spans="1:7" ht="12.75" customHeight="1">
      <c r="A5763" s="1750">
        <v>44301</v>
      </c>
      <c r="B5763" s="818" t="str">
        <f>TiposLancamentos!B2</f>
        <v>Telefonia</v>
      </c>
      <c r="C5763" s="1743" t="s">
        <v>7210</v>
      </c>
      <c r="D5763" s="1737"/>
      <c r="E5763" s="1668">
        <v>0</v>
      </c>
      <c r="F5763" s="1291">
        <v>262.60000000000002</v>
      </c>
      <c r="G5763" s="1550"/>
    </row>
    <row r="5764" spans="1:7" ht="12.75" customHeight="1">
      <c r="A5764" s="1754">
        <v>44302</v>
      </c>
      <c r="B5764" s="125" t="str">
        <f>TiposLancamentos!B46</f>
        <v>Maçonaria</v>
      </c>
      <c r="C5764" s="1040" t="s">
        <v>7991</v>
      </c>
      <c r="D5764" s="1736"/>
      <c r="E5764" s="1043">
        <v>180</v>
      </c>
      <c r="F5764" s="1043"/>
      <c r="G5764" s="1550"/>
    </row>
    <row r="5765" spans="1:7" ht="12.75" customHeight="1">
      <c r="A5765" s="1754">
        <v>44302</v>
      </c>
      <c r="B5765" s="125" t="str">
        <f>TiposLancamentos!B59</f>
        <v>Documentos</v>
      </c>
      <c r="C5765" s="1040" t="s">
        <v>7992</v>
      </c>
      <c r="D5765" s="1736"/>
      <c r="E5765" s="1043">
        <v>670.54</v>
      </c>
      <c r="F5765" s="1043"/>
      <c r="G5765" s="1550"/>
    </row>
    <row r="5766" spans="1:7" ht="12.75" customHeight="1">
      <c r="A5766" s="1754">
        <v>44302</v>
      </c>
      <c r="B5766" s="125" t="str">
        <f>TiposLancamentos!B16</f>
        <v>Cristiane</v>
      </c>
      <c r="C5766" s="1040" t="s">
        <v>7993</v>
      </c>
      <c r="D5766" s="1736"/>
      <c r="E5766" s="1043">
        <v>140</v>
      </c>
      <c r="F5766" s="1043"/>
      <c r="G5766" s="1550"/>
    </row>
    <row r="5767" spans="1:7" ht="12.75" customHeight="1">
      <c r="A5767" s="1754">
        <v>44303</v>
      </c>
      <c r="B5767" s="125" t="str">
        <f>TiposLancamentos!B2</f>
        <v>Telefonia</v>
      </c>
      <c r="C5767" s="1040" t="s">
        <v>7933</v>
      </c>
      <c r="D5767" s="1736"/>
      <c r="E5767" s="1043">
        <v>49.99</v>
      </c>
      <c r="F5767" s="1043"/>
      <c r="G5767" s="1550"/>
    </row>
    <row r="5768" spans="1:7" ht="12.75" customHeight="1">
      <c r="A5768" s="1754">
        <v>44303</v>
      </c>
      <c r="B5768" s="125" t="str">
        <f>TiposLancamentos!B19</f>
        <v>Restaurantes</v>
      </c>
      <c r="C5768" s="1040" t="s">
        <v>7994</v>
      </c>
      <c r="D5768" s="1736"/>
      <c r="E5768" s="1043">
        <v>20</v>
      </c>
      <c r="F5768" s="1043"/>
      <c r="G5768" s="1550"/>
    </row>
    <row r="5769" spans="1:7" ht="12.75" customHeight="1">
      <c r="A5769" s="1754">
        <v>44303</v>
      </c>
      <c r="B5769" s="125" t="str">
        <f>TiposLancamentos!B24</f>
        <v>Estacionamentos</v>
      </c>
      <c r="C5769" s="1040" t="s">
        <v>3398</v>
      </c>
      <c r="D5769" s="1736"/>
      <c r="E5769" s="1043">
        <v>8</v>
      </c>
      <c r="F5769" s="1043"/>
      <c r="G5769" s="1550"/>
    </row>
    <row r="5770" spans="1:7" ht="12.75" customHeight="1">
      <c r="A5770" s="1754">
        <v>44303</v>
      </c>
      <c r="B5770" s="125" t="str">
        <f>TiposLancamentos!B19</f>
        <v>Restaurantes</v>
      </c>
      <c r="C5770" s="1040" t="s">
        <v>7995</v>
      </c>
      <c r="D5770" s="1736"/>
      <c r="E5770" s="1043">
        <v>75</v>
      </c>
      <c r="F5770" s="1043"/>
      <c r="G5770" s="1550"/>
    </row>
    <row r="5771" spans="1:7" ht="12.75" customHeight="1">
      <c r="A5771" s="1754">
        <v>44304</v>
      </c>
      <c r="B5771" s="125" t="str">
        <f>TiposLancamentos!B17</f>
        <v>GATO</v>
      </c>
      <c r="C5771" s="1040" t="s">
        <v>7996</v>
      </c>
      <c r="D5771" s="1736"/>
      <c r="E5771" s="1043">
        <v>58.99</v>
      </c>
      <c r="F5771" s="1043"/>
      <c r="G5771" s="1550"/>
    </row>
    <row r="5772" spans="1:7" ht="12.75" customHeight="1">
      <c r="A5772" s="1754">
        <v>44304</v>
      </c>
      <c r="B5772" s="125" t="str">
        <f>TiposLancamentos!B17</f>
        <v>GATO</v>
      </c>
      <c r="C5772" s="1040" t="s">
        <v>7997</v>
      </c>
      <c r="D5772" s="1736"/>
      <c r="E5772" s="1043">
        <v>11.98</v>
      </c>
      <c r="F5772" s="1043"/>
      <c r="G5772" s="1550"/>
    </row>
    <row r="5773" spans="1:7" ht="12.75" customHeight="1">
      <c r="A5773" s="1754">
        <v>44304</v>
      </c>
      <c r="B5773" s="125" t="str">
        <f>TiposLancamentos!B5</f>
        <v>Supermercado</v>
      </c>
      <c r="C5773" s="1040" t="s">
        <v>3682</v>
      </c>
      <c r="D5773" s="1736"/>
      <c r="E5773" s="1043">
        <v>15.79</v>
      </c>
      <c r="F5773" s="1043"/>
      <c r="G5773" s="1550"/>
    </row>
    <row r="5774" spans="1:7" ht="12.75" customHeight="1">
      <c r="A5774" s="1754">
        <v>44305</v>
      </c>
      <c r="B5774" s="125" t="str">
        <f>TiposLancamentos!B13</f>
        <v>Moradia</v>
      </c>
      <c r="C5774" s="1040" t="s">
        <v>7998</v>
      </c>
      <c r="D5774" s="1736"/>
      <c r="E5774" s="1043">
        <v>24</v>
      </c>
      <c r="F5774" s="1043"/>
      <c r="G5774" s="1550"/>
    </row>
    <row r="5775" spans="1:7" ht="12.75" customHeight="1">
      <c r="A5775" s="1754">
        <v>44305</v>
      </c>
      <c r="B5775" s="125" t="str">
        <f>TiposLancamentos!B16</f>
        <v>Cristiane</v>
      </c>
      <c r="C5775" s="1040" t="s">
        <v>7999</v>
      </c>
      <c r="D5775" s="1736"/>
      <c r="E5775" s="1043">
        <v>200</v>
      </c>
      <c r="F5775" s="1043"/>
      <c r="G5775" s="1550"/>
    </row>
    <row r="5776" spans="1:7" ht="12.75" customHeight="1">
      <c r="A5776" s="1666">
        <v>44306</v>
      </c>
      <c r="B5776" s="817" t="str">
        <f>TiposLancamentos!B8</f>
        <v>Aluguel</v>
      </c>
      <c r="C5776" s="1742" t="s">
        <v>8000</v>
      </c>
      <c r="D5776" s="1735"/>
      <c r="E5776" s="1733">
        <f>F5782-(E5777+E5782+E5781+E5778+E5779+E5780)</f>
        <v>1400.0000000000002</v>
      </c>
      <c r="F5776" s="1346"/>
      <c r="G5776" s="1550"/>
    </row>
    <row r="5777" spans="1:7" ht="12.75" customHeight="1">
      <c r="A5777" s="1667">
        <v>44306</v>
      </c>
      <c r="B5777" s="816" t="str">
        <f>TiposLancamentos!B12</f>
        <v>IPTU</v>
      </c>
      <c r="C5777" s="1769" t="s">
        <v>8001</v>
      </c>
      <c r="D5777" s="1736"/>
      <c r="E5777" s="1734">
        <f>40.52*2</f>
        <v>81.040000000000006</v>
      </c>
      <c r="F5777" s="1043"/>
      <c r="G5777" s="1550"/>
    </row>
    <row r="5778" spans="1:7" ht="12.75" customHeight="1">
      <c r="A5778" s="1667">
        <v>44306</v>
      </c>
      <c r="B5778" s="816" t="str">
        <f>TiposLancamentos!B10</f>
        <v>Distr. Água Municipal</v>
      </c>
      <c r="C5778" s="1769" t="s">
        <v>7423</v>
      </c>
      <c r="D5778" s="1736"/>
      <c r="E5778" s="1734">
        <v>57.79</v>
      </c>
      <c r="F5778" s="1043"/>
      <c r="G5778" s="1550"/>
    </row>
    <row r="5779" spans="1:7" ht="12.75" customHeight="1">
      <c r="A5779" s="1667">
        <v>44306</v>
      </c>
      <c r="B5779" s="816" t="str">
        <f>TiposLancamentos!B11</f>
        <v>Coleta Municipal Lixo</v>
      </c>
      <c r="C5779" s="1769" t="s">
        <v>7424</v>
      </c>
      <c r="D5779" s="1736"/>
      <c r="E5779" s="1734">
        <v>41.13</v>
      </c>
      <c r="F5779" s="1043"/>
      <c r="G5779" s="1550"/>
    </row>
    <row r="5780" spans="1:7" ht="12.75" customHeight="1">
      <c r="A5780" s="1667">
        <v>44306</v>
      </c>
      <c r="B5780" s="816" t="str">
        <f>TiposLancamentos!B8</f>
        <v>Aluguel</v>
      </c>
      <c r="C5780" s="1769" t="s">
        <v>7425</v>
      </c>
      <c r="D5780" s="1736"/>
      <c r="E5780" s="1734">
        <v>8</v>
      </c>
      <c r="F5780" s="1043"/>
      <c r="G5780" s="1550"/>
    </row>
    <row r="5781" spans="1:7" ht="12.75" customHeight="1">
      <c r="A5781" s="1667">
        <v>44306</v>
      </c>
      <c r="B5781" s="816" t="str">
        <f>TiposLancamentos!B34</f>
        <v>Seguros</v>
      </c>
      <c r="C5781" s="1769" t="s">
        <v>8002</v>
      </c>
      <c r="D5781" s="1736"/>
      <c r="E5781" s="1734">
        <v>101.99</v>
      </c>
      <c r="F5781" s="1043"/>
      <c r="G5781" s="1550"/>
    </row>
    <row r="5782" spans="1:7" ht="12.75" customHeight="1">
      <c r="A5782" s="1750">
        <v>44306</v>
      </c>
      <c r="B5782" s="818" t="str">
        <f>TiposLancamentos!B9</f>
        <v>Condominio</v>
      </c>
      <c r="C5782" s="1743" t="s">
        <v>7427</v>
      </c>
      <c r="D5782" s="1737"/>
      <c r="E5782" s="1668">
        <v>616.37</v>
      </c>
      <c r="F5782" s="1291">
        <v>2306.3200000000002</v>
      </c>
      <c r="G5782" s="1550"/>
    </row>
    <row r="5783" spans="1:7" ht="12.75" customHeight="1">
      <c r="A5783" s="1754">
        <v>44302</v>
      </c>
      <c r="B5783" s="125" t="str">
        <f>TiposLancamentos!B19</f>
        <v>Restaurantes</v>
      </c>
      <c r="C5783" s="1040" t="s">
        <v>8003</v>
      </c>
      <c r="D5783" s="1736"/>
      <c r="E5783" s="1043">
        <v>16</v>
      </c>
      <c r="F5783" s="1043"/>
      <c r="G5783" s="1550"/>
    </row>
    <row r="5784" spans="1:7" ht="12.75" customHeight="1">
      <c r="A5784" s="1754">
        <v>44307</v>
      </c>
      <c r="B5784" s="125" t="str">
        <f>TiposLancamentos!B19</f>
        <v>Restaurantes</v>
      </c>
      <c r="C5784" s="1040" t="s">
        <v>8004</v>
      </c>
      <c r="D5784" s="1736"/>
      <c r="E5784" s="1043">
        <v>144.66999999999999</v>
      </c>
      <c r="F5784" s="1043"/>
      <c r="G5784" s="1550"/>
    </row>
    <row r="5785" spans="1:7" ht="12.75" customHeight="1">
      <c r="A5785" s="1754">
        <v>44307</v>
      </c>
      <c r="B5785" s="125" t="str">
        <f>TiposLancamentos!B19</f>
        <v>Restaurantes</v>
      </c>
      <c r="C5785" s="1040" t="s">
        <v>8005</v>
      </c>
      <c r="D5785" s="1736"/>
      <c r="E5785" s="1043">
        <v>47</v>
      </c>
      <c r="F5785" s="1043"/>
      <c r="G5785" s="1550"/>
    </row>
    <row r="5786" spans="1:7" ht="12.75" customHeight="1">
      <c r="A5786" s="1754">
        <v>44308</v>
      </c>
      <c r="B5786" s="125" t="str">
        <f>TiposLancamentos!B6</f>
        <v>Energia Eletrica</v>
      </c>
      <c r="C5786" s="1040" t="s">
        <v>8006</v>
      </c>
      <c r="D5786" s="1736"/>
      <c r="E5786" s="1043">
        <v>258.37</v>
      </c>
      <c r="F5786" s="1043"/>
      <c r="G5786" s="1550"/>
    </row>
    <row r="5787" spans="1:7" ht="12.75" customHeight="1">
      <c r="A5787" s="1754">
        <v>44308</v>
      </c>
      <c r="B5787" s="125" t="str">
        <f>TiposLancamentos!B56</f>
        <v>Farmácia</v>
      </c>
      <c r="C5787" s="1040" t="s">
        <v>8007</v>
      </c>
      <c r="D5787" s="1736"/>
      <c r="E5787" s="1043">
        <v>123.7</v>
      </c>
      <c r="F5787" s="1043"/>
      <c r="G5787" s="1550"/>
    </row>
    <row r="5788" spans="1:7" ht="12.75" customHeight="1">
      <c r="A5788" s="1754">
        <v>44308</v>
      </c>
      <c r="B5788" s="125" t="str">
        <f>TiposLancamentos!B5</f>
        <v>Supermercado</v>
      </c>
      <c r="C5788" s="1040" t="s">
        <v>8008</v>
      </c>
      <c r="D5788" s="1736"/>
      <c r="E5788" s="1043">
        <v>310.29000000000002</v>
      </c>
      <c r="F5788" s="1043"/>
      <c r="G5788" s="1550"/>
    </row>
    <row r="5789" spans="1:7" ht="12.75" customHeight="1">
      <c r="A5789" s="1754">
        <v>44310</v>
      </c>
      <c r="B5789" s="125" t="str">
        <f>TiposLancamentos!B22</f>
        <v>Combustivel</v>
      </c>
      <c r="C5789" s="1040" t="s">
        <v>1880</v>
      </c>
      <c r="D5789" s="1736"/>
      <c r="E5789" s="1043">
        <v>100</v>
      </c>
      <c r="F5789" s="1043"/>
      <c r="G5789" s="1550"/>
    </row>
    <row r="5790" spans="1:7" ht="12.75" customHeight="1">
      <c r="A5790" s="1754">
        <v>44310</v>
      </c>
      <c r="B5790" s="125" t="str">
        <f>TiposLancamentos!B19</f>
        <v>Restaurantes</v>
      </c>
      <c r="C5790" s="1040" t="s">
        <v>7995</v>
      </c>
      <c r="D5790" s="1736"/>
      <c r="E5790" s="1043">
        <v>80.2</v>
      </c>
      <c r="F5790" s="1043"/>
      <c r="G5790" s="1550"/>
    </row>
    <row r="5791" spans="1:7" ht="12.75" customHeight="1">
      <c r="A5791" s="1754">
        <v>44310</v>
      </c>
      <c r="B5791" s="125" t="str">
        <f>TiposLancamentos!B19</f>
        <v>Restaurantes</v>
      </c>
      <c r="C5791" s="1040" t="s">
        <v>8009</v>
      </c>
      <c r="D5791" s="1736"/>
      <c r="E5791" s="1043">
        <v>9.4</v>
      </c>
      <c r="F5791" s="1043"/>
      <c r="G5791" s="1550"/>
    </row>
    <row r="5792" spans="1:7" ht="12.75" customHeight="1">
      <c r="A5792" s="1754">
        <v>44311</v>
      </c>
      <c r="B5792" s="125" t="str">
        <f>TiposLancamentos!B17</f>
        <v>GATO</v>
      </c>
      <c r="C5792" s="1040" t="s">
        <v>1925</v>
      </c>
      <c r="D5792" s="1736"/>
      <c r="E5792" s="1043">
        <v>11.8</v>
      </c>
      <c r="F5792" s="1043"/>
      <c r="G5792" s="1550"/>
    </row>
    <row r="5793" spans="1:7" ht="12.75" customHeight="1">
      <c r="A5793" s="1754">
        <v>44311</v>
      </c>
      <c r="B5793" s="125" t="str">
        <f>TiposLancamentos!B5</f>
        <v>Supermercado</v>
      </c>
      <c r="C5793" s="1040" t="s">
        <v>2061</v>
      </c>
      <c r="D5793" s="1736"/>
      <c r="E5793" s="1043">
        <v>146.38</v>
      </c>
      <c r="F5793" s="1043"/>
      <c r="G5793" s="1550"/>
    </row>
    <row r="5794" spans="1:7" ht="12.75" customHeight="1">
      <c r="A5794" s="1754">
        <v>44311</v>
      </c>
      <c r="B5794" s="125" t="str">
        <f>TiposLancamentos!B56</f>
        <v>Farmácia</v>
      </c>
      <c r="C5794" s="1040" t="s">
        <v>8010</v>
      </c>
      <c r="D5794" s="1736"/>
      <c r="E5794" s="1043">
        <v>83.09</v>
      </c>
      <c r="F5794" s="1043"/>
      <c r="G5794" s="1550"/>
    </row>
    <row r="5795" spans="1:7" ht="12.75" customHeight="1">
      <c r="A5795" s="1754">
        <v>44313</v>
      </c>
      <c r="B5795" s="125" t="str">
        <f>TiposLancamentos!B16</f>
        <v>Cristiane</v>
      </c>
      <c r="C5795" s="1040" t="s">
        <v>6052</v>
      </c>
      <c r="D5795" s="1736"/>
      <c r="E5795" s="1043">
        <v>20.99</v>
      </c>
      <c r="F5795" s="1043"/>
      <c r="G5795" s="1550"/>
    </row>
    <row r="5796" spans="1:7" ht="12.75" customHeight="1">
      <c r="A5796" s="1754">
        <v>44313</v>
      </c>
      <c r="B5796" s="125" t="str">
        <f>TiposLancamentos!B16</f>
        <v>Cristiane</v>
      </c>
      <c r="C5796" s="1040" t="s">
        <v>3398</v>
      </c>
      <c r="D5796" s="1736"/>
      <c r="E5796" s="1043">
        <v>5</v>
      </c>
      <c r="F5796" s="1043"/>
      <c r="G5796" s="1550"/>
    </row>
    <row r="5797" spans="1:7" ht="12.75" customHeight="1">
      <c r="A5797" s="1754">
        <v>44313</v>
      </c>
      <c r="B5797" s="125" t="str">
        <f>TiposLancamentos!B19</f>
        <v>Restaurantes</v>
      </c>
      <c r="C5797" s="1040" t="s">
        <v>8011</v>
      </c>
      <c r="D5797" s="1736"/>
      <c r="E5797" s="1043">
        <v>24</v>
      </c>
      <c r="F5797" s="1043"/>
      <c r="G5797" s="1550"/>
    </row>
    <row r="5798" spans="1:7" ht="12.75" customHeight="1">
      <c r="A5798" s="1754">
        <v>44314</v>
      </c>
      <c r="B5798" s="125" t="str">
        <f>TiposLancamentos!B103</f>
        <v>Juros_Corr. Poupança</v>
      </c>
      <c r="C5798" s="1040" t="s">
        <v>7889</v>
      </c>
      <c r="D5798" s="1736">
        <v>0.01</v>
      </c>
      <c r="E5798" s="1043"/>
      <c r="F5798" s="1043"/>
      <c r="G5798" s="1550"/>
    </row>
    <row r="5799" spans="1:7" ht="12.75" customHeight="1">
      <c r="A5799" s="1754">
        <v>44315</v>
      </c>
      <c r="B5799" s="125" t="str">
        <f>TiposLancamentos!B5</f>
        <v>Supermercado</v>
      </c>
      <c r="C5799" s="1040" t="s">
        <v>8012</v>
      </c>
      <c r="D5799" s="1736"/>
      <c r="E5799" s="1043">
        <v>7.5</v>
      </c>
      <c r="F5799" s="1043"/>
      <c r="G5799" s="1550"/>
    </row>
    <row r="5800" spans="1:7" ht="12.75" customHeight="1" thickBot="1">
      <c r="A5800" s="1754">
        <v>44315</v>
      </c>
      <c r="B5800" s="125" t="str">
        <f>TiposLancamentos!B5</f>
        <v>Supermercado</v>
      </c>
      <c r="C5800" s="1040" t="s">
        <v>8013</v>
      </c>
      <c r="D5800" s="1736"/>
      <c r="E5800" s="1043">
        <v>22</v>
      </c>
      <c r="F5800" s="1043"/>
      <c r="G5800" s="1550"/>
    </row>
    <row r="5801" spans="1:7" ht="12.75" customHeight="1">
      <c r="A5801" s="1834"/>
      <c r="B5801" s="977"/>
      <c r="C5801" s="1854" t="s">
        <v>1598</v>
      </c>
      <c r="D5801" s="1823"/>
      <c r="E5801" s="1821"/>
      <c r="F5801" s="1821"/>
      <c r="G5801" s="1895"/>
    </row>
    <row r="5802" spans="1:7" ht="12.75" customHeight="1">
      <c r="A5802" s="1754">
        <v>44317</v>
      </c>
      <c r="B5802" s="125" t="str">
        <f>TiposLancamentos!B5</f>
        <v>Supermercado</v>
      </c>
      <c r="C5802" s="1040" t="s">
        <v>8012</v>
      </c>
      <c r="D5802" s="1736"/>
      <c r="E5802" s="1043">
        <v>16</v>
      </c>
      <c r="F5802" s="1043"/>
      <c r="G5802" s="1550"/>
    </row>
    <row r="5803" spans="1:7" ht="12.75" customHeight="1">
      <c r="A5803" s="1754">
        <v>44317</v>
      </c>
      <c r="B5803" s="125" t="str">
        <f>TiposLancamentos!B19</f>
        <v>Restaurantes</v>
      </c>
      <c r="C5803" s="1040" t="s">
        <v>8014</v>
      </c>
      <c r="D5803" s="1736"/>
      <c r="E5803" s="1661">
        <v>75.53</v>
      </c>
      <c r="F5803" s="1043"/>
      <c r="G5803" s="1550"/>
    </row>
    <row r="5804" spans="1:7" ht="12.75" customHeight="1">
      <c r="A5804" s="1754">
        <v>44318</v>
      </c>
      <c r="B5804" s="125" t="str">
        <f>TiposLancamentos!B5</f>
        <v>Supermercado</v>
      </c>
      <c r="C5804" s="1040" t="s">
        <v>8015</v>
      </c>
      <c r="D5804" s="1736"/>
      <c r="E5804" s="1043">
        <v>348.18</v>
      </c>
      <c r="F5804" s="1043"/>
      <c r="G5804" s="1550"/>
    </row>
    <row r="5805" spans="1:7" ht="12.75" customHeight="1">
      <c r="A5805" s="1754">
        <v>44318</v>
      </c>
      <c r="B5805" s="125" t="str">
        <f>TiposLancamentos!B15</f>
        <v>Cartões de Crédito</v>
      </c>
      <c r="C5805" s="1040" t="s">
        <v>7781</v>
      </c>
      <c r="D5805" s="1736"/>
      <c r="E5805" s="1043">
        <v>3099.92</v>
      </c>
      <c r="F5805" s="1043"/>
      <c r="G5805" s="1550"/>
    </row>
    <row r="5806" spans="1:7" ht="12.75" customHeight="1">
      <c r="A5806" s="1754">
        <v>44318</v>
      </c>
      <c r="B5806" s="125" t="str">
        <f>TiposLancamentos!B15</f>
        <v>Cartões de Crédito</v>
      </c>
      <c r="C5806" s="1040" t="s">
        <v>7333</v>
      </c>
      <c r="D5806" s="1736"/>
      <c r="E5806" s="1043">
        <v>742.51</v>
      </c>
      <c r="F5806" s="1043"/>
      <c r="G5806" s="1550"/>
    </row>
    <row r="5807" spans="1:7" ht="12.75" customHeight="1">
      <c r="A5807" s="1754">
        <v>44318</v>
      </c>
      <c r="B5807" s="125" t="str">
        <f>TiposLancamentos!B15</f>
        <v>Cartões de Crédito</v>
      </c>
      <c r="C5807" s="1040" t="s">
        <v>8016</v>
      </c>
      <c r="D5807" s="1736"/>
      <c r="E5807" s="1043">
        <v>129.04</v>
      </c>
      <c r="F5807" s="1043"/>
      <c r="G5807" s="1550"/>
    </row>
    <row r="5808" spans="1:7" ht="12.75" customHeight="1">
      <c r="A5808" s="1754">
        <v>44318</v>
      </c>
      <c r="B5808" s="125" t="str">
        <f>TiposLancamentos!B14</f>
        <v>Gás de cozinha</v>
      </c>
      <c r="C5808" s="1040" t="s">
        <v>7496</v>
      </c>
      <c r="D5808" s="1736"/>
      <c r="E5808" s="1043">
        <v>61.58</v>
      </c>
      <c r="F5808" s="1043"/>
      <c r="G5808" s="1550"/>
    </row>
    <row r="5809" spans="1:7" ht="12.75" customHeight="1">
      <c r="A5809" s="1754">
        <v>44318</v>
      </c>
      <c r="B5809" s="125" t="str">
        <f>B5804</f>
        <v>Supermercado</v>
      </c>
      <c r="C5809" s="1040" t="s">
        <v>8017</v>
      </c>
      <c r="D5809" s="1736"/>
      <c r="E5809" s="1043">
        <v>2.87</v>
      </c>
      <c r="F5809" s="1043"/>
      <c r="G5809" s="1550"/>
    </row>
    <row r="5810" spans="1:7" ht="12.75" customHeight="1">
      <c r="A5810" s="1754">
        <v>44319</v>
      </c>
      <c r="B5810" s="125" t="str">
        <f>B5812</f>
        <v>Taxas Bancarias</v>
      </c>
      <c r="C5810" s="1040" t="s">
        <v>4858</v>
      </c>
      <c r="D5810" s="1736"/>
      <c r="E5810" s="1043">
        <v>4.16</v>
      </c>
      <c r="F5810" s="1043"/>
      <c r="G5810" s="1550"/>
    </row>
    <row r="5811" spans="1:7" ht="12.75" customHeight="1">
      <c r="A5811" s="1754">
        <v>44320</v>
      </c>
      <c r="B5811" s="125" t="str">
        <f>TiposLancamentos!B4</f>
        <v>Taxas Bancarias</v>
      </c>
      <c r="C5811" s="1040" t="s">
        <v>8018</v>
      </c>
      <c r="D5811" s="1736"/>
      <c r="E5811" s="1043">
        <v>46.65</v>
      </c>
      <c r="F5811" s="1043"/>
      <c r="G5811" s="1550"/>
    </row>
    <row r="5812" spans="1:7" ht="12.75" customHeight="1">
      <c r="A5812" s="1754">
        <v>44320</v>
      </c>
      <c r="B5812" s="125" t="str">
        <f>TiposLancamentos!B4</f>
        <v>Taxas Bancarias</v>
      </c>
      <c r="C5812" s="1040" t="s">
        <v>7681</v>
      </c>
      <c r="D5812" s="1736"/>
      <c r="E5812" s="1043">
        <v>5.5</v>
      </c>
      <c r="F5812" s="1043"/>
      <c r="G5812" s="1550"/>
    </row>
    <row r="5813" spans="1:7" ht="12.75" customHeight="1">
      <c r="A5813" s="1754">
        <v>44321</v>
      </c>
      <c r="B5813" s="125" t="str">
        <f>TiposLancamentos!B5</f>
        <v>Supermercado</v>
      </c>
      <c r="C5813" s="1040" t="s">
        <v>8019</v>
      </c>
      <c r="D5813" s="1736"/>
      <c r="E5813" s="1043">
        <v>175.37</v>
      </c>
      <c r="F5813" s="1043"/>
      <c r="G5813" s="1550"/>
    </row>
    <row r="5814" spans="1:7" ht="12.75" customHeight="1">
      <c r="A5814" s="1754">
        <v>44321</v>
      </c>
      <c r="B5814" s="125" t="str">
        <f>TiposLancamentos!B56</f>
        <v>Farmácia</v>
      </c>
      <c r="C5814" s="1040" t="s">
        <v>8020</v>
      </c>
      <c r="D5814" s="1736"/>
      <c r="E5814" s="1043">
        <v>18.09</v>
      </c>
      <c r="F5814" s="1043"/>
      <c r="G5814" s="1550"/>
    </row>
    <row r="5815" spans="1:7" ht="12.75" customHeight="1">
      <c r="A5815" s="1754">
        <v>44321</v>
      </c>
      <c r="B5815" s="125" t="str">
        <f>TiposLancamentos!B4</f>
        <v>Taxas Bancarias</v>
      </c>
      <c r="C5815" s="1040" t="s">
        <v>5707</v>
      </c>
      <c r="D5815" s="1736"/>
      <c r="E5815" s="1043">
        <v>46.4</v>
      </c>
      <c r="F5815" s="1043"/>
      <c r="G5815" s="1550"/>
    </row>
    <row r="5816" spans="1:7" ht="12.75" customHeight="1">
      <c r="A5816" s="1754">
        <v>44322</v>
      </c>
      <c r="B5816" s="125" t="str">
        <f>TiposLancamentos!B16</f>
        <v>Cristiane</v>
      </c>
      <c r="C5816" s="1040" t="s">
        <v>8021</v>
      </c>
      <c r="D5816" s="1736"/>
      <c r="E5816" s="1043">
        <v>105.63</v>
      </c>
      <c r="F5816" s="1043"/>
      <c r="G5816" s="1550"/>
    </row>
    <row r="5817" spans="1:7" ht="12.75" customHeight="1">
      <c r="A5817" s="1754">
        <v>44322</v>
      </c>
      <c r="B5817" s="125" t="str">
        <f>TiposLancamentos!B19</f>
        <v>Restaurantes</v>
      </c>
      <c r="C5817" s="1040" t="s">
        <v>8022</v>
      </c>
      <c r="D5817" s="1736"/>
      <c r="E5817" s="1043">
        <v>46</v>
      </c>
      <c r="F5817" s="1043"/>
      <c r="G5817" s="1550"/>
    </row>
    <row r="5818" spans="1:7" ht="12.75" customHeight="1">
      <c r="A5818" s="1754">
        <v>44322</v>
      </c>
      <c r="B5818" s="125" t="str">
        <f>TiposLancamentos!B19</f>
        <v>Restaurantes</v>
      </c>
      <c r="C5818" s="1040" t="s">
        <v>1917</v>
      </c>
      <c r="D5818" s="1736"/>
      <c r="E5818" s="1043">
        <v>24.17</v>
      </c>
      <c r="F5818" s="1043"/>
      <c r="G5818" s="1550"/>
    </row>
    <row r="5819" spans="1:7" ht="12.75" customHeight="1">
      <c r="A5819" s="1754">
        <v>44322</v>
      </c>
      <c r="B5819" s="125" t="str">
        <f>TiposLancamentos!B24</f>
        <v>Estacionamentos</v>
      </c>
      <c r="C5819" s="1040" t="s">
        <v>2014</v>
      </c>
      <c r="D5819" s="1736"/>
      <c r="E5819" s="1043">
        <v>11</v>
      </c>
      <c r="F5819" s="1043"/>
      <c r="G5819" s="1550"/>
    </row>
    <row r="5820" spans="1:7" ht="12.75" customHeight="1">
      <c r="A5820" s="1754">
        <v>44322</v>
      </c>
      <c r="B5820" s="125" t="str">
        <f>TiposLancamentos!B4</f>
        <v>Taxas Bancarias</v>
      </c>
      <c r="C5820" s="1040" t="s">
        <v>7986</v>
      </c>
      <c r="D5820" s="1736"/>
      <c r="E5820" s="1043">
        <v>2.9</v>
      </c>
      <c r="F5820" s="1043"/>
      <c r="G5820" s="1550"/>
    </row>
    <row r="5821" spans="1:7" ht="12.75" customHeight="1">
      <c r="A5821" s="1754">
        <v>44323</v>
      </c>
      <c r="B5821" s="125" t="str">
        <f>TiposLancamentos!B16</f>
        <v>Cristiane</v>
      </c>
      <c r="C5821" s="1040" t="s">
        <v>8023</v>
      </c>
      <c r="D5821" s="1736"/>
      <c r="E5821" s="1043">
        <v>68.2</v>
      </c>
      <c r="F5821" s="1043"/>
      <c r="G5821" s="1550"/>
    </row>
    <row r="5822" spans="1:7" ht="12.75" customHeight="1">
      <c r="A5822" s="1754">
        <v>44323</v>
      </c>
      <c r="B5822" s="125" t="str">
        <f>TiposLancamentos!B24</f>
        <v>Estacionamentos</v>
      </c>
      <c r="C5822" s="1040" t="s">
        <v>8024</v>
      </c>
      <c r="D5822" s="1736"/>
      <c r="E5822" s="1043">
        <v>10</v>
      </c>
      <c r="F5822" s="1043"/>
      <c r="G5822" s="1550"/>
    </row>
    <row r="5823" spans="1:7" ht="12.75" customHeight="1">
      <c r="A5823" s="1754">
        <v>44323</v>
      </c>
      <c r="B5823" s="125" t="str">
        <f>TiposLancamentos!B19</f>
        <v>Restaurantes</v>
      </c>
      <c r="C5823" s="1040" t="s">
        <v>8025</v>
      </c>
      <c r="D5823" s="1736"/>
      <c r="E5823" s="1043">
        <v>54</v>
      </c>
      <c r="F5823" s="1043"/>
      <c r="G5823" s="1550"/>
    </row>
    <row r="5824" spans="1:7" ht="12.75" customHeight="1">
      <c r="A5824" s="1754">
        <v>44323</v>
      </c>
      <c r="B5824" s="125" t="str">
        <f>B5826</f>
        <v>Supermercado</v>
      </c>
      <c r="C5824" s="1040" t="s">
        <v>8026</v>
      </c>
      <c r="D5824" s="1736"/>
      <c r="E5824" s="1043">
        <v>166.94</v>
      </c>
      <c r="F5824" s="1043"/>
      <c r="G5824" s="1550"/>
    </row>
    <row r="5825" spans="1:7" ht="12.75" customHeight="1">
      <c r="A5825" s="1754">
        <v>44325</v>
      </c>
      <c r="B5825" s="125" t="str">
        <f>TiposLancamentos!B19</f>
        <v>Restaurantes</v>
      </c>
      <c r="C5825" s="1040" t="s">
        <v>8027</v>
      </c>
      <c r="D5825" s="1736"/>
      <c r="E5825" s="1043">
        <v>38.47</v>
      </c>
      <c r="F5825" s="1043"/>
      <c r="G5825" s="1550"/>
    </row>
    <row r="5826" spans="1:7" ht="12.75" customHeight="1">
      <c r="A5826" s="1754">
        <v>44325</v>
      </c>
      <c r="B5826" s="125" t="str">
        <f>TiposLancamentos!B5</f>
        <v>Supermercado</v>
      </c>
      <c r="C5826" s="1040" t="s">
        <v>8012</v>
      </c>
      <c r="D5826" s="1736"/>
      <c r="E5826" s="1043">
        <v>24.7</v>
      </c>
      <c r="F5826" s="1043"/>
      <c r="G5826" s="1550"/>
    </row>
    <row r="5827" spans="1:7" ht="12.75" customHeight="1">
      <c r="A5827" s="1754">
        <v>44329</v>
      </c>
      <c r="B5827" s="125" t="str">
        <f>TiposLancamentos!B5</f>
        <v>Supermercado</v>
      </c>
      <c r="C5827" s="1040" t="s">
        <v>8028</v>
      </c>
      <c r="D5827" s="1736"/>
      <c r="E5827" s="1043">
        <v>141.54</v>
      </c>
      <c r="F5827" s="1043"/>
      <c r="G5827" s="1550"/>
    </row>
    <row r="5828" spans="1:7" ht="12.75" customHeight="1">
      <c r="A5828" s="1754">
        <v>44330</v>
      </c>
      <c r="B5828" s="125" t="str">
        <f>TiposLancamentos!B95</f>
        <v>Salarios</v>
      </c>
      <c r="C5828" s="1040" t="s">
        <v>7694</v>
      </c>
      <c r="D5828" s="1736">
        <v>7303.22</v>
      </c>
      <c r="E5828" s="1043"/>
      <c r="F5828" s="1043"/>
      <c r="G5828" s="1550"/>
    </row>
    <row r="5829" spans="1:7" ht="12.75" customHeight="1">
      <c r="A5829" s="1754">
        <v>44330</v>
      </c>
      <c r="B5829" s="125" t="str">
        <f>TiposLancamentos!B13</f>
        <v>Moradia</v>
      </c>
      <c r="C5829" s="1040" t="s">
        <v>8029</v>
      </c>
      <c r="D5829" s="1736"/>
      <c r="E5829" s="1043">
        <v>12</v>
      </c>
      <c r="F5829" s="1043"/>
      <c r="G5829" s="1550"/>
    </row>
    <row r="5830" spans="1:7" ht="12.75" customHeight="1">
      <c r="A5830" s="1754">
        <v>44330</v>
      </c>
      <c r="B5830" s="125" t="str">
        <f>TiposLancamentos!B52</f>
        <v>Multas</v>
      </c>
      <c r="C5830" s="1040" t="s">
        <v>8030</v>
      </c>
      <c r="D5830" s="1736"/>
      <c r="E5830" s="1043">
        <v>234.77</v>
      </c>
      <c r="F5830" s="1043"/>
      <c r="G5830" s="1550"/>
    </row>
    <row r="5831" spans="1:7" ht="12.75" customHeight="1">
      <c r="A5831" s="1754">
        <v>44330</v>
      </c>
      <c r="B5831" s="125" t="str">
        <f>TiposLancamentos!B105</f>
        <v>Transf. Bco</v>
      </c>
      <c r="C5831" s="1040" t="s">
        <v>8031</v>
      </c>
      <c r="D5831" s="1736"/>
      <c r="E5831" s="1043">
        <v>554.70000000000005</v>
      </c>
      <c r="F5831" s="1043"/>
      <c r="G5831" s="1550"/>
    </row>
    <row r="5832" spans="1:7" ht="12.75" customHeight="1">
      <c r="A5832" s="1754">
        <v>44330</v>
      </c>
      <c r="B5832" s="125" t="str">
        <f>TiposLancamentos!B5</f>
        <v>Supermercado</v>
      </c>
      <c r="C5832" s="1040" t="s">
        <v>8032</v>
      </c>
      <c r="D5832" s="1736"/>
      <c r="E5832" s="1043">
        <v>8.19</v>
      </c>
      <c r="F5832" s="1043"/>
      <c r="G5832" s="1550"/>
    </row>
    <row r="5833" spans="1:7" ht="12.75" customHeight="1">
      <c r="A5833" s="1754">
        <v>44331</v>
      </c>
      <c r="B5833" s="125" t="str">
        <f>TiposLancamentos!B71</f>
        <v>Itens Pessoais</v>
      </c>
      <c r="C5833" s="1040" t="s">
        <v>8033</v>
      </c>
      <c r="D5833" s="1736"/>
      <c r="E5833" s="1043">
        <v>25</v>
      </c>
      <c r="F5833" s="1043"/>
      <c r="G5833" s="1550"/>
    </row>
    <row r="5834" spans="1:7" ht="12.75" customHeight="1">
      <c r="A5834" s="1754">
        <v>44331</v>
      </c>
      <c r="B5834" s="125" t="str">
        <f>TiposLancamentos!B19</f>
        <v>Restaurantes</v>
      </c>
      <c r="C5834" s="1040" t="s">
        <v>8034</v>
      </c>
      <c r="D5834" s="1736"/>
      <c r="E5834" s="1043">
        <v>24.26</v>
      </c>
      <c r="F5834" s="1043"/>
      <c r="G5834" s="1550"/>
    </row>
    <row r="5835" spans="1:7" ht="12.75" customHeight="1">
      <c r="A5835" s="1754">
        <v>44331</v>
      </c>
      <c r="B5835" s="125" t="str">
        <f>TiposLancamentos!B19</f>
        <v>Restaurantes</v>
      </c>
      <c r="C5835" s="1040" t="s">
        <v>8035</v>
      </c>
      <c r="D5835" s="1736"/>
      <c r="E5835" s="1043">
        <v>33</v>
      </c>
      <c r="F5835" s="1043"/>
      <c r="G5835" s="1550"/>
    </row>
    <row r="5836" spans="1:7" ht="12.75" customHeight="1">
      <c r="A5836" s="1754">
        <v>44331</v>
      </c>
      <c r="B5836" s="125" t="str">
        <f>TiposLancamentos!B17</f>
        <v>GATO</v>
      </c>
      <c r="C5836" s="1040" t="s">
        <v>8036</v>
      </c>
      <c r="D5836" s="1736"/>
      <c r="E5836" s="1043">
        <v>9.49</v>
      </c>
      <c r="F5836" s="1043"/>
      <c r="G5836" s="1550"/>
    </row>
    <row r="5837" spans="1:7" ht="12.75" customHeight="1">
      <c r="A5837" s="1754">
        <v>44331</v>
      </c>
      <c r="B5837" s="125" t="str">
        <f>TiposLancamentos!B24</f>
        <v>Estacionamentos</v>
      </c>
      <c r="C5837" s="1040" t="s">
        <v>3398</v>
      </c>
      <c r="D5837" s="1736"/>
      <c r="E5837" s="1043">
        <v>12</v>
      </c>
      <c r="F5837" s="1043"/>
      <c r="G5837" s="1550"/>
    </row>
    <row r="5838" spans="1:7" ht="12.75" customHeight="1">
      <c r="A5838" s="1754">
        <v>44331</v>
      </c>
      <c r="B5838" s="125" t="str">
        <f>TiposLancamentos!B5</f>
        <v>Supermercado</v>
      </c>
      <c r="C5838" s="1040" t="s">
        <v>7904</v>
      </c>
      <c r="D5838" s="1736"/>
      <c r="E5838" s="1043">
        <v>131.06</v>
      </c>
      <c r="F5838" s="1043"/>
      <c r="G5838" s="1550"/>
    </row>
    <row r="5839" spans="1:7" ht="12.75" customHeight="1">
      <c r="A5839" s="1754">
        <v>44332</v>
      </c>
      <c r="B5839" s="125" t="str">
        <f>TiposLancamentos!B19</f>
        <v>Restaurantes</v>
      </c>
      <c r="C5839" s="1040" t="s">
        <v>8037</v>
      </c>
      <c r="D5839" s="1736"/>
      <c r="E5839" s="1043">
        <v>128.15</v>
      </c>
      <c r="F5839" s="1043"/>
      <c r="G5839" s="1550"/>
    </row>
    <row r="5840" spans="1:7" ht="12.75" customHeight="1">
      <c r="A5840" s="1666">
        <v>44332</v>
      </c>
      <c r="B5840" s="817" t="str">
        <f>TiposLancamentos!B71</f>
        <v>Itens Pessoais</v>
      </c>
      <c r="C5840" s="1742" t="s">
        <v>8038</v>
      </c>
      <c r="D5840" s="1735"/>
      <c r="E5840" s="1733">
        <v>79.900000000000006</v>
      </c>
      <c r="F5840" s="1346"/>
      <c r="G5840" s="1550"/>
    </row>
    <row r="5841" spans="1:7" ht="12.75" customHeight="1">
      <c r="A5841" s="1750">
        <v>44332</v>
      </c>
      <c r="B5841" s="818" t="str">
        <f>TiposLancamentos!B16</f>
        <v>Cristiane</v>
      </c>
      <c r="C5841" s="1743" t="s">
        <v>8039</v>
      </c>
      <c r="D5841" s="1737"/>
      <c r="E5841" s="1668">
        <f>F5841-E5840</f>
        <v>29.899999999999991</v>
      </c>
      <c r="F5841" s="1291">
        <v>109.8</v>
      </c>
      <c r="G5841" s="1550"/>
    </row>
    <row r="5842" spans="1:7" ht="12.75" customHeight="1">
      <c r="A5842" s="1754">
        <v>44332</v>
      </c>
      <c r="B5842" s="125" t="str">
        <f>TiposLancamentos!B19</f>
        <v>Restaurantes</v>
      </c>
      <c r="C5842" s="1040" t="s">
        <v>8040</v>
      </c>
      <c r="D5842" s="1736"/>
      <c r="E5842" s="1043">
        <v>38.4</v>
      </c>
      <c r="F5842" s="1043"/>
      <c r="G5842" s="1550"/>
    </row>
    <row r="5843" spans="1:7" ht="12.75" customHeight="1">
      <c r="A5843" s="1666">
        <v>44333</v>
      </c>
      <c r="B5843" s="817" t="str">
        <f>TiposLancamentos!B33</f>
        <v>Pedágios</v>
      </c>
      <c r="C5843" s="1742" t="s">
        <v>5392</v>
      </c>
      <c r="D5843" s="1735"/>
      <c r="E5843" s="1733">
        <f>F5845-(E5844+E5845)</f>
        <v>30.5</v>
      </c>
      <c r="F5843" s="1290"/>
      <c r="G5843" s="1550"/>
    </row>
    <row r="5844" spans="1:7" ht="12.75" customHeight="1">
      <c r="A5844" s="1667">
        <v>44333</v>
      </c>
      <c r="B5844" s="816" t="str">
        <f>TiposLancamentos!B24</f>
        <v>Estacionamentos</v>
      </c>
      <c r="C5844" s="1769" t="s">
        <v>7366</v>
      </c>
      <c r="D5844" s="1736"/>
      <c r="E5844" s="1734"/>
      <c r="F5844" s="1043"/>
      <c r="G5844" s="1550"/>
    </row>
    <row r="5845" spans="1:7" ht="12.75" customHeight="1">
      <c r="A5845" s="1750">
        <v>44333</v>
      </c>
      <c r="B5845" s="818" t="str">
        <f>TiposLancamentos!B24</f>
        <v>Estacionamentos</v>
      </c>
      <c r="C5845" s="1743" t="s">
        <v>6297</v>
      </c>
      <c r="D5845" s="1737"/>
      <c r="E5845" s="1668">
        <v>0</v>
      </c>
      <c r="F5845" s="1347">
        <v>30.5</v>
      </c>
      <c r="G5845" s="1550"/>
    </row>
    <row r="5846" spans="1:7" ht="12.75" customHeight="1">
      <c r="A5846" s="1754">
        <v>44333</v>
      </c>
      <c r="B5846" s="125"/>
      <c r="C5846" s="1040" t="s">
        <v>7341</v>
      </c>
      <c r="D5846" s="1736">
        <v>0</v>
      </c>
      <c r="E5846" s="1043"/>
      <c r="F5846" s="1043"/>
      <c r="G5846" s="1550"/>
    </row>
    <row r="5847" spans="1:7" ht="12.75" customHeight="1">
      <c r="A5847" s="1666">
        <v>44333</v>
      </c>
      <c r="B5847" s="817" t="str">
        <f>TiposLancamentos!B35</f>
        <v>Tv à Cabo</v>
      </c>
      <c r="C5847" s="1742" t="s">
        <v>5834</v>
      </c>
      <c r="D5847" s="1735"/>
      <c r="E5847" s="1733">
        <f>F5849-(E5848+E5849)</f>
        <v>127.61000000000001</v>
      </c>
      <c r="F5847" s="1290"/>
      <c r="G5847" s="1550"/>
    </row>
    <row r="5848" spans="1:7" ht="12.75" customHeight="1">
      <c r="A5848" s="1667">
        <v>44333</v>
      </c>
      <c r="B5848" s="816" t="str">
        <f>TiposLancamentos!B3</f>
        <v>Internet</v>
      </c>
      <c r="C5848" s="1769" t="s">
        <v>5835</v>
      </c>
      <c r="D5848" s="1736"/>
      <c r="E5848" s="1734">
        <v>134.99</v>
      </c>
      <c r="F5848" s="1043"/>
      <c r="G5848" s="1550"/>
    </row>
    <row r="5849" spans="1:7" ht="12.75" customHeight="1">
      <c r="A5849" s="1750">
        <v>44333</v>
      </c>
      <c r="B5849" s="818" t="str">
        <f>TiposLancamentos!B2</f>
        <v>Telefonia</v>
      </c>
      <c r="C5849" s="1743" t="s">
        <v>7210</v>
      </c>
      <c r="D5849" s="1737"/>
      <c r="E5849" s="1668">
        <v>0</v>
      </c>
      <c r="F5849" s="1291">
        <v>262.60000000000002</v>
      </c>
      <c r="G5849" s="1550"/>
    </row>
    <row r="5850" spans="1:7" ht="12.75" customHeight="1">
      <c r="A5850" s="1754">
        <v>44333</v>
      </c>
      <c r="B5850" s="125" t="str">
        <f>TiposLancamentos!B46</f>
        <v>Maçonaria</v>
      </c>
      <c r="C5850" s="1040" t="s">
        <v>8041</v>
      </c>
      <c r="D5850" s="1736"/>
      <c r="E5850" s="1043">
        <v>180</v>
      </c>
      <c r="F5850" s="1043"/>
      <c r="G5850" s="1550"/>
    </row>
    <row r="5851" spans="1:7" ht="12.75" customHeight="1">
      <c r="A5851" s="1754">
        <v>44333</v>
      </c>
      <c r="B5851" s="125" t="str">
        <f>TiposLancamentos!B2</f>
        <v>Telefonia</v>
      </c>
      <c r="C5851" s="1040" t="s">
        <v>7933</v>
      </c>
      <c r="D5851" s="1736"/>
      <c r="E5851" s="1043">
        <v>49.99</v>
      </c>
      <c r="F5851" s="1043"/>
      <c r="G5851" s="1550"/>
    </row>
    <row r="5852" spans="1:7" ht="12.75" customHeight="1">
      <c r="A5852" s="1754">
        <v>44333</v>
      </c>
      <c r="B5852" s="125" t="str">
        <f>TiposLancamentos!B56</f>
        <v>Farmácia</v>
      </c>
      <c r="C5852" s="1040" t="s">
        <v>8042</v>
      </c>
      <c r="D5852" s="1736"/>
      <c r="E5852" s="1043">
        <v>173.31</v>
      </c>
      <c r="F5852" s="1043"/>
      <c r="G5852" s="1550"/>
    </row>
    <row r="5853" spans="1:7" ht="12.75" customHeight="1">
      <c r="A5853" s="1754">
        <v>44333</v>
      </c>
      <c r="B5853" s="125" t="str">
        <f>TiposLancamentos!B71</f>
        <v>Itens Pessoais</v>
      </c>
      <c r="C5853" s="1040" t="s">
        <v>8043</v>
      </c>
      <c r="D5853" s="1736"/>
      <c r="E5853" s="1043">
        <v>20.09</v>
      </c>
      <c r="F5853" s="1043"/>
      <c r="G5853" s="1550"/>
    </row>
    <row r="5854" spans="1:7" ht="12.75" customHeight="1">
      <c r="A5854" s="1754">
        <v>44333</v>
      </c>
      <c r="B5854" s="125" t="str">
        <f>TiposLancamentos!B19</f>
        <v>Restaurantes</v>
      </c>
      <c r="C5854" s="1040" t="s">
        <v>8044</v>
      </c>
      <c r="D5854" s="1736"/>
      <c r="E5854" s="1043">
        <v>29.9</v>
      </c>
      <c r="F5854" s="1043"/>
      <c r="G5854" s="1550"/>
    </row>
    <row r="5855" spans="1:7" ht="12.75" customHeight="1">
      <c r="A5855" s="1754">
        <v>44333</v>
      </c>
      <c r="B5855" s="125" t="str">
        <f>TiposLancamentos!B102</f>
        <v>ESTORNO</v>
      </c>
      <c r="C5855" s="1040" t="s">
        <v>8045</v>
      </c>
      <c r="D5855" s="1736">
        <v>15.99</v>
      </c>
      <c r="E5855" s="1043"/>
      <c r="F5855" s="1043"/>
      <c r="G5855" s="1550"/>
    </row>
    <row r="5856" spans="1:7" ht="12.75" customHeight="1">
      <c r="A5856" s="1754">
        <v>44334</v>
      </c>
      <c r="B5856" s="125" t="str">
        <f>TiposLancamentos!B19</f>
        <v>Restaurantes</v>
      </c>
      <c r="C5856" s="1040" t="s">
        <v>8046</v>
      </c>
      <c r="D5856" s="1736"/>
      <c r="E5856" s="1043">
        <v>32</v>
      </c>
      <c r="F5856" s="1043"/>
      <c r="G5856" s="1550"/>
    </row>
    <row r="5857" spans="1:7" ht="12.75" customHeight="1">
      <c r="A5857" s="1754">
        <v>44335</v>
      </c>
      <c r="B5857" s="125" t="str">
        <f>TiposLancamentos!B5</f>
        <v>Supermercado</v>
      </c>
      <c r="C5857" s="1040" t="s">
        <v>8047</v>
      </c>
      <c r="D5857" s="1736"/>
      <c r="E5857" s="1043">
        <v>16.29</v>
      </c>
      <c r="F5857" s="1043"/>
      <c r="G5857" s="1550"/>
    </row>
    <row r="5858" spans="1:7" ht="12.75" customHeight="1">
      <c r="A5858" s="1754">
        <v>44336</v>
      </c>
      <c r="B5858" s="125" t="str">
        <f>B5856</f>
        <v>Restaurantes</v>
      </c>
      <c r="C5858" s="1040" t="s">
        <v>8048</v>
      </c>
      <c r="D5858" s="1736"/>
      <c r="E5858" s="1043">
        <v>85.48</v>
      </c>
      <c r="F5858" s="1043"/>
      <c r="G5858" s="1550"/>
    </row>
    <row r="5859" spans="1:7" ht="12.75" customHeight="1">
      <c r="A5859" s="1754">
        <v>44336</v>
      </c>
      <c r="B5859" s="125" t="str">
        <f>B5856</f>
        <v>Restaurantes</v>
      </c>
      <c r="C5859" s="1040" t="s">
        <v>8049</v>
      </c>
      <c r="D5859" s="1736"/>
      <c r="E5859" s="1043">
        <v>28.5</v>
      </c>
      <c r="F5859" s="1043"/>
      <c r="G5859" s="1550"/>
    </row>
    <row r="5860" spans="1:7" ht="12.75" customHeight="1">
      <c r="A5860" s="1666">
        <v>44336</v>
      </c>
      <c r="B5860" s="817" t="str">
        <f>TiposLancamentos!B8</f>
        <v>Aluguel</v>
      </c>
      <c r="C5860" s="1742" t="s">
        <v>8050</v>
      </c>
      <c r="D5860" s="1735"/>
      <c r="E5860" s="1733">
        <f>F5865-(E5861+E5865+E5862+E5863+E5864)</f>
        <v>1400</v>
      </c>
      <c r="F5860" s="1346"/>
      <c r="G5860" s="1550"/>
    </row>
    <row r="5861" spans="1:7" ht="12.75" customHeight="1">
      <c r="A5861" s="1667">
        <v>44336</v>
      </c>
      <c r="B5861" s="816" t="str">
        <f>TiposLancamentos!B12</f>
        <v>IPTU</v>
      </c>
      <c r="C5861" s="1769" t="s">
        <v>8051</v>
      </c>
      <c r="D5861" s="1736"/>
      <c r="E5861" s="1734">
        <v>0</v>
      </c>
      <c r="F5861" s="1043"/>
      <c r="G5861" s="1550"/>
    </row>
    <row r="5862" spans="1:7" ht="12.75" customHeight="1">
      <c r="A5862" s="1667">
        <v>44336</v>
      </c>
      <c r="B5862" s="816" t="str">
        <f>TiposLancamentos!B10</f>
        <v>Distr. Água Municipal</v>
      </c>
      <c r="C5862" s="1769" t="s">
        <v>7423</v>
      </c>
      <c r="D5862" s="1736"/>
      <c r="E5862" s="1734">
        <v>51.02</v>
      </c>
      <c r="F5862" s="1043"/>
      <c r="G5862" s="1550"/>
    </row>
    <row r="5863" spans="1:7" ht="12.75" customHeight="1">
      <c r="A5863" s="1667">
        <v>44336</v>
      </c>
      <c r="B5863" s="816" t="str">
        <f>TiposLancamentos!B11</f>
        <v>Coleta Municipal Lixo</v>
      </c>
      <c r="C5863" s="1769" t="s">
        <v>7424</v>
      </c>
      <c r="D5863" s="1736"/>
      <c r="E5863" s="1734">
        <v>44.36</v>
      </c>
      <c r="F5863" s="1043"/>
      <c r="G5863" s="1550"/>
    </row>
    <row r="5864" spans="1:7" ht="12.75" customHeight="1">
      <c r="A5864" s="1667">
        <v>44336</v>
      </c>
      <c r="B5864" s="816" t="str">
        <f>TiposLancamentos!B8</f>
        <v>Aluguel</v>
      </c>
      <c r="C5864" s="1769" t="s">
        <v>7425</v>
      </c>
      <c r="D5864" s="1736"/>
      <c r="E5864" s="1734">
        <v>8</v>
      </c>
      <c r="F5864" s="1043"/>
      <c r="G5864" s="1550"/>
    </row>
    <row r="5865" spans="1:7" ht="12.75" customHeight="1">
      <c r="A5865" s="1750">
        <v>44336</v>
      </c>
      <c r="B5865" s="818" t="str">
        <f>TiposLancamentos!B9</f>
        <v>Condominio</v>
      </c>
      <c r="C5865" s="1743" t="s">
        <v>7427</v>
      </c>
      <c r="D5865" s="1737"/>
      <c r="E5865" s="1668">
        <v>616.37</v>
      </c>
      <c r="F5865" s="1291">
        <v>2119.75</v>
      </c>
      <c r="G5865" s="1550"/>
    </row>
    <row r="5866" spans="1:7" ht="12.75" customHeight="1">
      <c r="A5866" s="1754">
        <v>44337</v>
      </c>
      <c r="B5866" s="125" t="str">
        <f>TiposLancamentos!B6</f>
        <v>Energia Eletrica</v>
      </c>
      <c r="C5866" s="1040" t="s">
        <v>8052</v>
      </c>
      <c r="D5866" s="1736"/>
      <c r="E5866" s="1043">
        <v>227.21</v>
      </c>
      <c r="F5866" s="1043"/>
      <c r="G5866" s="1550"/>
    </row>
    <row r="5867" spans="1:7" ht="12.75" customHeight="1">
      <c r="A5867" s="1754">
        <v>44337</v>
      </c>
      <c r="B5867" s="125" t="str">
        <f>TiposLancamentos!B5</f>
        <v>Supermercado</v>
      </c>
      <c r="C5867" s="1040" t="s">
        <v>8053</v>
      </c>
      <c r="D5867" s="1736"/>
      <c r="E5867" s="1043">
        <v>29.9</v>
      </c>
      <c r="F5867" s="1043"/>
      <c r="G5867" s="1550"/>
    </row>
    <row r="5868" spans="1:7" ht="12.75" customHeight="1">
      <c r="A5868" s="1754">
        <v>44338</v>
      </c>
      <c r="B5868" s="125" t="str">
        <f>TiposLancamentos!B22</f>
        <v>Combustivel</v>
      </c>
      <c r="C5868" s="1040" t="s">
        <v>1880</v>
      </c>
      <c r="D5868" s="1736"/>
      <c r="E5868" s="1043">
        <v>150</v>
      </c>
      <c r="F5868" s="1043"/>
      <c r="G5868" s="1550"/>
    </row>
    <row r="5869" spans="1:7" ht="12.75" customHeight="1">
      <c r="A5869" s="1754">
        <v>44338</v>
      </c>
      <c r="B5869" s="125" t="str">
        <f>TiposLancamentos!B71</f>
        <v>Itens Pessoais</v>
      </c>
      <c r="C5869" s="1040" t="s">
        <v>8054</v>
      </c>
      <c r="D5869" s="1736"/>
      <c r="E5869" s="1043">
        <v>10</v>
      </c>
      <c r="F5869" s="1043"/>
      <c r="G5869" s="1550"/>
    </row>
    <row r="5870" spans="1:7" ht="12.75" customHeight="1">
      <c r="A5870" s="1754">
        <v>44338</v>
      </c>
      <c r="B5870" s="125" t="str">
        <f>TiposLancamentos!B19</f>
        <v>Restaurantes</v>
      </c>
      <c r="C5870" s="1040" t="s">
        <v>6151</v>
      </c>
      <c r="D5870" s="1736"/>
      <c r="E5870" s="1043">
        <v>114.18</v>
      </c>
      <c r="F5870" s="1043"/>
      <c r="G5870" s="1550"/>
    </row>
    <row r="5871" spans="1:7" ht="12.75" customHeight="1">
      <c r="A5871" s="1754">
        <v>44338</v>
      </c>
      <c r="B5871" s="125" t="str">
        <f>TiposLancamentos!B19</f>
        <v>Restaurantes</v>
      </c>
      <c r="C5871" s="1040" t="s">
        <v>8055</v>
      </c>
      <c r="D5871" s="1736"/>
      <c r="E5871" s="1043">
        <v>24.39</v>
      </c>
      <c r="F5871" s="1043"/>
      <c r="G5871" s="1550"/>
    </row>
    <row r="5872" spans="1:7" ht="12.75" customHeight="1">
      <c r="A5872" s="1754">
        <v>44310</v>
      </c>
      <c r="B5872" s="125" t="str">
        <f>TiposLancamentos!B24</f>
        <v>Estacionamentos</v>
      </c>
      <c r="C5872" s="1040" t="s">
        <v>8056</v>
      </c>
      <c r="D5872" s="1736"/>
      <c r="E5872" s="1043">
        <v>11</v>
      </c>
      <c r="F5872" s="1043"/>
      <c r="G5872" s="1550"/>
    </row>
    <row r="5873" spans="1:7" ht="12.75" customHeight="1">
      <c r="A5873" s="1754">
        <v>44338</v>
      </c>
      <c r="B5873" s="125" t="str">
        <f>TiposLancamentos!B16</f>
        <v>Cristiane</v>
      </c>
      <c r="C5873" s="1040" t="s">
        <v>6052</v>
      </c>
      <c r="D5873" s="1736"/>
      <c r="E5873" s="1043">
        <v>36.82</v>
      </c>
      <c r="F5873" s="1043"/>
      <c r="G5873" s="1550"/>
    </row>
    <row r="5874" spans="1:7" ht="12.75" customHeight="1">
      <c r="A5874" s="1754">
        <v>44339</v>
      </c>
      <c r="B5874" s="125" t="str">
        <f>TiposLancamentos!B19</f>
        <v>Restaurantes</v>
      </c>
      <c r="C5874" s="1040" t="s">
        <v>8057</v>
      </c>
      <c r="D5874" s="1736"/>
      <c r="E5874" s="1043">
        <v>157.84</v>
      </c>
      <c r="F5874" s="1043"/>
      <c r="G5874" s="1550"/>
    </row>
    <row r="5875" spans="1:7" ht="12.75" customHeight="1">
      <c r="A5875" s="1754">
        <v>44339</v>
      </c>
      <c r="B5875" s="125" t="str">
        <f>TiposLancamentos!B5</f>
        <v>Supermercado</v>
      </c>
      <c r="C5875" s="1040" t="s">
        <v>8026</v>
      </c>
      <c r="D5875" s="1736"/>
      <c r="E5875" s="1043">
        <v>270.11</v>
      </c>
      <c r="F5875" s="1043"/>
      <c r="G5875" s="1550"/>
    </row>
    <row r="5876" spans="1:7" ht="12.75" customHeight="1">
      <c r="A5876" s="1754">
        <v>44340</v>
      </c>
      <c r="B5876" s="125" t="str">
        <f>TiposLancamentos!B13</f>
        <v>Moradia</v>
      </c>
      <c r="C5876" s="1040" t="s">
        <v>8058</v>
      </c>
      <c r="D5876" s="1736"/>
      <c r="E5876" s="1043">
        <v>12</v>
      </c>
      <c r="F5876" s="1043"/>
      <c r="G5876" s="1550"/>
    </row>
    <row r="5877" spans="1:7" ht="12.75" customHeight="1">
      <c r="A5877" s="1754">
        <v>44340</v>
      </c>
      <c r="B5877" s="125" t="str">
        <f>TiposLancamentos!B19</f>
        <v>Restaurantes</v>
      </c>
      <c r="C5877" s="1040" t="s">
        <v>8059</v>
      </c>
      <c r="D5877" s="1736"/>
      <c r="E5877" s="1043">
        <v>130.52000000000001</v>
      </c>
      <c r="F5877" s="1043"/>
      <c r="G5877" s="1550"/>
    </row>
    <row r="5878" spans="1:7" ht="12.75" customHeight="1">
      <c r="A5878" s="1754">
        <v>44341</v>
      </c>
      <c r="B5878" s="125" t="str">
        <f>TiposLancamentos!B5</f>
        <v>Supermercado</v>
      </c>
      <c r="C5878" s="1040" t="s">
        <v>8012</v>
      </c>
      <c r="D5878" s="1736"/>
      <c r="E5878" s="1043">
        <v>12.48</v>
      </c>
      <c r="F5878" s="1043"/>
      <c r="G5878" s="1550"/>
    </row>
    <row r="5879" spans="1:7" ht="12.75" customHeight="1">
      <c r="A5879" s="1754">
        <v>44342</v>
      </c>
      <c r="B5879" s="125" t="str">
        <f>TiposLancamentos!B5</f>
        <v>Supermercado</v>
      </c>
      <c r="C5879" s="1040" t="s">
        <v>8060</v>
      </c>
      <c r="D5879" s="1736"/>
      <c r="E5879" s="1043">
        <v>19.39</v>
      </c>
      <c r="F5879" s="1043"/>
      <c r="G5879" s="1550"/>
    </row>
    <row r="5880" spans="1:7" ht="12.75" customHeight="1">
      <c r="A5880" s="1754">
        <v>44341</v>
      </c>
      <c r="B5880" s="125" t="str">
        <f>TiposLancamentos!B13</f>
        <v>Moradia</v>
      </c>
      <c r="C5880" s="1040" t="s">
        <v>8061</v>
      </c>
      <c r="D5880" s="1736"/>
      <c r="E5880" s="1043">
        <v>12</v>
      </c>
      <c r="F5880" s="1043"/>
      <c r="G5880" s="1550"/>
    </row>
    <row r="5881" spans="1:7" ht="12.75" customHeight="1">
      <c r="A5881" s="1754">
        <v>44345</v>
      </c>
      <c r="B5881" s="125" t="str">
        <f>TiposLancamentos!B19</f>
        <v>Restaurantes</v>
      </c>
      <c r="C5881" s="1040" t="s">
        <v>8062</v>
      </c>
      <c r="D5881" s="1736"/>
      <c r="E5881" s="1043">
        <v>18.899999999999999</v>
      </c>
      <c r="F5881" s="1043"/>
      <c r="G5881" s="1550"/>
    </row>
    <row r="5882" spans="1:7" ht="12.75" customHeight="1">
      <c r="A5882" s="1754">
        <v>44345</v>
      </c>
      <c r="B5882" s="125" t="str">
        <f>TiposLancamentos!B19</f>
        <v>Restaurantes</v>
      </c>
      <c r="C5882" s="1040" t="s">
        <v>3642</v>
      </c>
      <c r="D5882" s="1736"/>
      <c r="E5882" s="1043">
        <v>31</v>
      </c>
      <c r="F5882" s="1043"/>
      <c r="G5882" s="1550"/>
    </row>
    <row r="5883" spans="1:7" ht="12.75" customHeight="1">
      <c r="A5883" s="1754">
        <v>44345</v>
      </c>
      <c r="B5883" s="125" t="str">
        <f>TiposLancamentos!B24</f>
        <v>Estacionamentos</v>
      </c>
      <c r="C5883" s="1040" t="s">
        <v>3398</v>
      </c>
      <c r="D5883" s="1736"/>
      <c r="E5883" s="1043">
        <v>11</v>
      </c>
      <c r="F5883" s="1043"/>
      <c r="G5883" s="1550"/>
    </row>
    <row r="5884" spans="1:7" ht="12.75" customHeight="1">
      <c r="A5884" s="1754">
        <v>44345</v>
      </c>
      <c r="B5884" s="125" t="str">
        <f>TiposLancamentos!B19</f>
        <v>Restaurantes</v>
      </c>
      <c r="C5884" s="1040" t="s">
        <v>8063</v>
      </c>
      <c r="D5884" s="1736"/>
      <c r="E5884" s="1043">
        <v>235.42</v>
      </c>
      <c r="F5884" s="1043"/>
      <c r="G5884" s="1550"/>
    </row>
    <row r="5885" spans="1:7" ht="12.75" customHeight="1">
      <c r="A5885" s="1754">
        <v>44346</v>
      </c>
      <c r="B5885" s="125" t="str">
        <f>TiposLancamentos!B5</f>
        <v>Supermercado</v>
      </c>
      <c r="C5885" s="1040" t="s">
        <v>7961</v>
      </c>
      <c r="D5885" s="1736"/>
      <c r="E5885" s="1043">
        <v>233.21</v>
      </c>
      <c r="F5885" s="1043"/>
      <c r="G5885" s="1550"/>
    </row>
    <row r="5886" spans="1:7" ht="12.75" customHeight="1">
      <c r="A5886" s="1754">
        <v>44347</v>
      </c>
      <c r="B5886" s="125" t="str">
        <f>TiposLancamentos!B14</f>
        <v>Gás de cozinha</v>
      </c>
      <c r="C5886" s="1040" t="s">
        <v>7722</v>
      </c>
      <c r="D5886" s="1736"/>
      <c r="E5886" s="1043">
        <v>41.42</v>
      </c>
      <c r="F5886" s="1043"/>
      <c r="G5886" s="1550"/>
    </row>
    <row r="5887" spans="1:7" ht="12.75" customHeight="1" thickBot="1">
      <c r="A5887" s="1754">
        <v>44347</v>
      </c>
      <c r="B5887" s="125" t="str">
        <f>TiposLancamentos!B95</f>
        <v>Salarios</v>
      </c>
      <c r="C5887" s="1040" t="s">
        <v>8064</v>
      </c>
      <c r="D5887" s="1736">
        <v>6464.82</v>
      </c>
      <c r="E5887" s="1043"/>
      <c r="F5887" s="1043"/>
      <c r="G5887" s="1550"/>
    </row>
    <row r="5888" spans="1:7" ht="12.75" customHeight="1">
      <c r="A5888" s="1834"/>
      <c r="B5888" s="977"/>
      <c r="C5888" s="1854" t="s">
        <v>8065</v>
      </c>
      <c r="D5888" s="1823"/>
      <c r="E5888" s="1821"/>
      <c r="F5888" s="1821"/>
      <c r="G5888" s="1895"/>
    </row>
    <row r="5889" spans="1:7" ht="12.75" customHeight="1">
      <c r="A5889" s="1754">
        <v>44348</v>
      </c>
      <c r="B5889" s="125" t="str">
        <f>TiposLancamentos!B15</f>
        <v>Cartões de Crédito</v>
      </c>
      <c r="C5889" s="1040" t="s">
        <v>7781</v>
      </c>
      <c r="D5889" s="1736"/>
      <c r="E5889" s="1043">
        <v>1876.17</v>
      </c>
      <c r="F5889" s="1043"/>
      <c r="G5889" s="1550"/>
    </row>
    <row r="5890" spans="1:7" ht="12.75" customHeight="1">
      <c r="A5890" s="1754">
        <v>44348</v>
      </c>
      <c r="B5890" s="125" t="str">
        <f>TiposLancamentos!B15</f>
        <v>Cartões de Crédito</v>
      </c>
      <c r="C5890" s="1040" t="s">
        <v>7333</v>
      </c>
      <c r="D5890" s="1736"/>
      <c r="E5890" s="1043">
        <v>714.49</v>
      </c>
      <c r="F5890" s="1043"/>
      <c r="G5890" s="1550"/>
    </row>
    <row r="5891" spans="1:7" ht="12.75" customHeight="1">
      <c r="A5891" s="1754">
        <v>44348</v>
      </c>
      <c r="B5891" s="125" t="str">
        <f>TiposLancamentos!B15</f>
        <v>Cartões de Crédito</v>
      </c>
      <c r="C5891" s="1040" t="s">
        <v>8016</v>
      </c>
      <c r="D5891" s="1736"/>
      <c r="E5891" s="1043">
        <v>1055.6099999999999</v>
      </c>
      <c r="F5891" s="1043"/>
      <c r="G5891" s="1550"/>
    </row>
    <row r="5892" spans="1:7" ht="12.75" customHeight="1">
      <c r="A5892" s="1754">
        <v>44348</v>
      </c>
      <c r="B5892" s="125" t="str">
        <f>TiposLancamentos!B17</f>
        <v>GATO</v>
      </c>
      <c r="C5892" s="1040" t="s">
        <v>1925</v>
      </c>
      <c r="D5892" s="1736"/>
      <c r="E5892" s="1043">
        <v>11.8</v>
      </c>
      <c r="F5892" s="1043"/>
      <c r="G5892" s="1550"/>
    </row>
    <row r="5893" spans="1:7" ht="12.75" customHeight="1">
      <c r="A5893" s="1754">
        <v>44348</v>
      </c>
      <c r="B5893" s="125" t="str">
        <f>TiposLancamentos!B19</f>
        <v>Restaurantes</v>
      </c>
      <c r="C5893" s="1040" t="s">
        <v>7800</v>
      </c>
      <c r="D5893" s="1736"/>
      <c r="E5893" s="1043">
        <v>36</v>
      </c>
      <c r="F5893" s="1043"/>
      <c r="G5893" s="1550"/>
    </row>
    <row r="5894" spans="1:7" ht="12.75" customHeight="1">
      <c r="A5894" s="1754">
        <v>44348</v>
      </c>
      <c r="B5894" s="125" t="str">
        <f>TiposLancamentos!B5</f>
        <v>Supermercado</v>
      </c>
      <c r="C5894" s="1040" t="s">
        <v>8066</v>
      </c>
      <c r="D5894" s="1736"/>
      <c r="E5894" s="1043">
        <v>24.7</v>
      </c>
      <c r="F5894" s="1043"/>
      <c r="G5894" s="1550"/>
    </row>
    <row r="5895" spans="1:7" ht="12.75" customHeight="1">
      <c r="A5895" s="1754">
        <v>44348</v>
      </c>
      <c r="B5895" s="125" t="str">
        <f>TiposLancamentos!B4</f>
        <v>Taxas Bancarias</v>
      </c>
      <c r="C5895" s="1040" t="s">
        <v>4858</v>
      </c>
      <c r="D5895" s="1736"/>
      <c r="E5895" s="1043">
        <v>34.31</v>
      </c>
      <c r="F5895" s="1043"/>
      <c r="G5895" s="1550"/>
    </row>
    <row r="5896" spans="1:7" ht="12.75" customHeight="1">
      <c r="A5896" s="1754">
        <v>44349</v>
      </c>
      <c r="B5896" s="125" t="str">
        <f>TiposLancamentos!B4</f>
        <v>Taxas Bancarias</v>
      </c>
      <c r="C5896" s="1040" t="s">
        <v>8067</v>
      </c>
      <c r="D5896" s="1736"/>
      <c r="E5896" s="1043">
        <v>5.5</v>
      </c>
      <c r="F5896" s="1043"/>
      <c r="G5896" s="1550"/>
    </row>
    <row r="5897" spans="1:7" ht="12.75" customHeight="1">
      <c r="A5897" s="1754">
        <v>44349</v>
      </c>
      <c r="B5897" s="125" t="str">
        <f>TiposLancamentos!B5</f>
        <v>Supermercado</v>
      </c>
      <c r="C5897" s="1040" t="s">
        <v>8012</v>
      </c>
      <c r="D5897" s="1736"/>
      <c r="E5897" s="1043">
        <v>17.8</v>
      </c>
      <c r="F5897" s="1043"/>
      <c r="G5897" s="1550"/>
    </row>
    <row r="5898" spans="1:7" ht="12.75" customHeight="1">
      <c r="A5898" s="1754">
        <v>44350</v>
      </c>
      <c r="B5898" s="125" t="str">
        <f>TiposLancamentos!B19</f>
        <v>Restaurantes</v>
      </c>
      <c r="C5898" s="1040" t="s">
        <v>8068</v>
      </c>
      <c r="D5898" s="1736"/>
      <c r="E5898" s="1043">
        <v>12.8</v>
      </c>
      <c r="F5898" s="1043"/>
      <c r="G5898" s="1550"/>
    </row>
    <row r="5899" spans="1:7" ht="12.75" customHeight="1">
      <c r="A5899" s="1754">
        <v>44350</v>
      </c>
      <c r="B5899" s="125" t="str">
        <f>TiposLancamentos!B56</f>
        <v>Farmácia</v>
      </c>
      <c r="C5899" s="1040" t="s">
        <v>8069</v>
      </c>
      <c r="D5899" s="1736"/>
      <c r="E5899" s="1043">
        <v>100.22</v>
      </c>
      <c r="F5899" s="1043"/>
      <c r="G5899" s="1550"/>
    </row>
    <row r="5900" spans="1:7" ht="12.75" customHeight="1">
      <c r="A5900" s="1754">
        <v>44350</v>
      </c>
      <c r="B5900" s="125" t="str">
        <f>TiposLancamentos!B19</f>
        <v>Restaurantes</v>
      </c>
      <c r="C5900" s="1040" t="s">
        <v>7508</v>
      </c>
      <c r="D5900" s="1736"/>
      <c r="E5900" s="1043">
        <v>66.400000000000006</v>
      </c>
      <c r="F5900" s="1043"/>
      <c r="G5900" s="1550"/>
    </row>
    <row r="5901" spans="1:7" ht="12.75" customHeight="1">
      <c r="A5901" s="1754">
        <v>44350</v>
      </c>
      <c r="B5901" s="125" t="str">
        <f>TiposLancamentos!B24</f>
        <v>Estacionamentos</v>
      </c>
      <c r="C5901" s="1040" t="s">
        <v>2014</v>
      </c>
      <c r="D5901" s="1736"/>
      <c r="E5901" s="1043">
        <v>11</v>
      </c>
      <c r="F5901" s="1043"/>
      <c r="G5901" s="1550"/>
    </row>
    <row r="5902" spans="1:7" ht="12.75" customHeight="1">
      <c r="A5902" s="1754">
        <v>44350</v>
      </c>
      <c r="B5902" s="125" t="str">
        <f>TiposLancamentos!B19</f>
        <v>Restaurantes</v>
      </c>
      <c r="C5902" s="1040" t="s">
        <v>8070</v>
      </c>
      <c r="D5902" s="1736"/>
      <c r="E5902" s="1043">
        <v>18.62</v>
      </c>
      <c r="F5902" s="1043"/>
      <c r="G5902" s="1550"/>
    </row>
    <row r="5903" spans="1:7" ht="12.75" customHeight="1">
      <c r="A5903" s="1754">
        <v>44351</v>
      </c>
      <c r="B5903" s="125" t="str">
        <f>TiposLancamentos!B5</f>
        <v>Supermercado</v>
      </c>
      <c r="C5903" s="1040" t="s">
        <v>2061</v>
      </c>
      <c r="D5903" s="1736"/>
      <c r="E5903" s="1043">
        <v>217.01</v>
      </c>
      <c r="F5903" s="1043"/>
      <c r="G5903" s="1550"/>
    </row>
    <row r="5904" spans="1:7" ht="12.75" customHeight="1">
      <c r="A5904" s="1754">
        <v>44353</v>
      </c>
      <c r="B5904" s="125" t="str">
        <f>TiposLancamentos!B22</f>
        <v>Combustivel</v>
      </c>
      <c r="C5904" s="1040" t="s">
        <v>8071</v>
      </c>
      <c r="D5904" s="1736"/>
      <c r="E5904" s="1043">
        <v>100</v>
      </c>
      <c r="F5904" s="1043"/>
      <c r="G5904" s="1550"/>
    </row>
    <row r="5905" spans="1:7" ht="12.75" customHeight="1">
      <c r="A5905" s="1754">
        <v>44353</v>
      </c>
      <c r="B5905" s="125" t="str">
        <f>TiposLancamentos!B19</f>
        <v>Restaurantes</v>
      </c>
      <c r="C5905" s="1040" t="s">
        <v>8072</v>
      </c>
      <c r="D5905" s="1736"/>
      <c r="E5905" s="1043">
        <v>189.2</v>
      </c>
      <c r="F5905" s="1043"/>
      <c r="G5905" s="1550"/>
    </row>
    <row r="5906" spans="1:7" ht="12.75" customHeight="1">
      <c r="A5906" s="1754">
        <v>44353</v>
      </c>
      <c r="B5906" s="125" t="str">
        <f>TiposLancamentos!B17</f>
        <v>GATO</v>
      </c>
      <c r="C5906" s="1040" t="s">
        <v>8073</v>
      </c>
      <c r="D5906" s="1736"/>
      <c r="E5906" s="1043">
        <v>4.49</v>
      </c>
      <c r="F5906" s="1043"/>
      <c r="G5906" s="1550"/>
    </row>
    <row r="5907" spans="1:7" ht="12.75" customHeight="1">
      <c r="A5907" s="1754">
        <v>44353</v>
      </c>
      <c r="B5907" s="125" t="str">
        <f>TiposLancamentos!B19</f>
        <v>Restaurantes</v>
      </c>
      <c r="C5907" s="1040" t="s">
        <v>8074</v>
      </c>
      <c r="D5907" s="1736"/>
      <c r="E5907" s="1043">
        <v>34.4</v>
      </c>
      <c r="F5907" s="1043"/>
      <c r="G5907" s="1550"/>
    </row>
    <row r="5908" spans="1:7" ht="12.75" customHeight="1">
      <c r="A5908" s="1754">
        <v>44354</v>
      </c>
      <c r="B5908" s="125" t="str">
        <f>TiposLancamentos!B4</f>
        <v>Taxas Bancarias</v>
      </c>
      <c r="C5908" s="1040" t="s">
        <v>5707</v>
      </c>
      <c r="D5908" s="1736"/>
      <c r="E5908" s="1043">
        <v>184.01</v>
      </c>
      <c r="F5908" s="1043"/>
      <c r="G5908" s="1550"/>
    </row>
    <row r="5909" spans="1:7" ht="12.75" customHeight="1">
      <c r="A5909" s="1754">
        <v>44356</v>
      </c>
      <c r="B5909" s="125" t="str">
        <f>TiposLancamentos!B5</f>
        <v>Supermercado</v>
      </c>
      <c r="C5909" s="1040" t="s">
        <v>8012</v>
      </c>
      <c r="D5909" s="1736"/>
      <c r="E5909" s="1043">
        <v>7.5</v>
      </c>
      <c r="F5909" s="1043"/>
      <c r="G5909" s="1550"/>
    </row>
    <row r="5910" spans="1:7" ht="12.75" customHeight="1">
      <c r="A5910" s="1754">
        <v>44357</v>
      </c>
      <c r="B5910" s="125" t="str">
        <f>TiposLancamentos!B17</f>
        <v>GATO</v>
      </c>
      <c r="C5910" s="1040" t="s">
        <v>8075</v>
      </c>
      <c r="D5910" s="1736"/>
      <c r="E5910" s="1043">
        <v>162.29</v>
      </c>
      <c r="F5910" s="1043"/>
      <c r="G5910" s="1550"/>
    </row>
    <row r="5911" spans="1:7" ht="12.75" customHeight="1">
      <c r="A5911" s="1754">
        <v>44358</v>
      </c>
      <c r="B5911" s="125" t="str">
        <f>TiposLancamentos!B13</f>
        <v>Moradia</v>
      </c>
      <c r="C5911" s="1040" t="s">
        <v>3524</v>
      </c>
      <c r="D5911" s="1736"/>
      <c r="E5911" s="1043">
        <v>12</v>
      </c>
      <c r="F5911" s="1043"/>
      <c r="G5911" s="1550"/>
    </row>
    <row r="5912" spans="1:7" ht="12.75" customHeight="1">
      <c r="A5912" s="1754">
        <v>44359</v>
      </c>
      <c r="B5912" s="125" t="str">
        <f>TiposLancamentos!B56</f>
        <v>Farmácia</v>
      </c>
      <c r="C5912" s="1040" t="s">
        <v>8076</v>
      </c>
      <c r="D5912" s="1736"/>
      <c r="E5912" s="1043">
        <v>128.05000000000001</v>
      </c>
      <c r="F5912" s="1043"/>
      <c r="G5912" s="1550"/>
    </row>
    <row r="5913" spans="1:7" ht="12.75" customHeight="1">
      <c r="A5913" s="1754">
        <v>44361</v>
      </c>
      <c r="B5913" s="125" t="str">
        <f>TiposLancamentos!B60</f>
        <v>Correio</v>
      </c>
      <c r="C5913" s="1040" t="s">
        <v>8077</v>
      </c>
      <c r="D5913" s="1736"/>
      <c r="E5913" s="1043">
        <v>22.5</v>
      </c>
      <c r="F5913" s="1043"/>
      <c r="G5913" s="1550"/>
    </row>
    <row r="5914" spans="1:7" ht="12.75" customHeight="1">
      <c r="A5914" s="1754">
        <v>44362</v>
      </c>
      <c r="B5914" s="125" t="str">
        <f>TiposLancamentos!B95</f>
        <v>Salarios</v>
      </c>
      <c r="C5914" s="1040" t="s">
        <v>8078</v>
      </c>
      <c r="D5914" s="1736">
        <v>4720</v>
      </c>
      <c r="E5914" s="1043"/>
      <c r="F5914" s="1043"/>
      <c r="G5914" s="1550"/>
    </row>
    <row r="5915" spans="1:7" ht="12.75" customHeight="1">
      <c r="A5915" s="1754">
        <v>44362</v>
      </c>
      <c r="B5915" s="125" t="str">
        <f>TiposLancamentos!B95</f>
        <v>Salarios</v>
      </c>
      <c r="C5915" s="1040" t="s">
        <v>7694</v>
      </c>
      <c r="D5915" s="1736">
        <v>6812.08</v>
      </c>
      <c r="E5915" s="1043"/>
      <c r="F5915" s="1043"/>
      <c r="G5915" s="1550"/>
    </row>
    <row r="5916" spans="1:7" ht="12.75" customHeight="1">
      <c r="A5916" s="1754">
        <v>44362</v>
      </c>
      <c r="B5916" s="125" t="str">
        <f>TiposLancamentos!B105</f>
        <v>Transf. Bco</v>
      </c>
      <c r="C5916" s="1040" t="s">
        <v>8079</v>
      </c>
      <c r="D5916" s="1736"/>
      <c r="E5916" s="1043">
        <v>574</v>
      </c>
      <c r="F5916" s="1043"/>
      <c r="G5916" s="1550"/>
    </row>
    <row r="5917" spans="1:7" ht="12.75" customHeight="1">
      <c r="A5917" s="1666">
        <v>44362</v>
      </c>
      <c r="B5917" s="817" t="str">
        <f>TiposLancamentos!B33</f>
        <v>Pedágios</v>
      </c>
      <c r="C5917" s="1742" t="s">
        <v>5392</v>
      </c>
      <c r="D5917" s="1735"/>
      <c r="E5917" s="1733">
        <f>F5919-(E5918+E5919)</f>
        <v>30.5</v>
      </c>
      <c r="F5917" s="1290"/>
      <c r="G5917" s="1550"/>
    </row>
    <row r="5918" spans="1:7" ht="12.75" customHeight="1">
      <c r="A5918" s="1667">
        <v>44362</v>
      </c>
      <c r="B5918" s="816" t="str">
        <f>TiposLancamentos!B24</f>
        <v>Estacionamentos</v>
      </c>
      <c r="C5918" s="1769" t="s">
        <v>7366</v>
      </c>
      <c r="D5918" s="1736"/>
      <c r="E5918" s="1734">
        <v>52</v>
      </c>
      <c r="F5918" s="1043"/>
      <c r="G5918" s="1550"/>
    </row>
    <row r="5919" spans="1:7" ht="12.75" customHeight="1">
      <c r="A5919" s="1750">
        <v>44362</v>
      </c>
      <c r="B5919" s="818" t="str">
        <f>TiposLancamentos!B24</f>
        <v>Estacionamentos</v>
      </c>
      <c r="C5919" s="1743" t="s">
        <v>6297</v>
      </c>
      <c r="D5919" s="1737"/>
      <c r="E5919" s="1668">
        <v>0</v>
      </c>
      <c r="F5919" s="1347">
        <v>82.5</v>
      </c>
      <c r="G5919" s="1550"/>
    </row>
    <row r="5920" spans="1:7" ht="12.75" customHeight="1">
      <c r="A5920" s="1754">
        <v>44362</v>
      </c>
      <c r="B5920" s="125"/>
      <c r="C5920" s="1040" t="s">
        <v>7341</v>
      </c>
      <c r="D5920" s="1736">
        <v>0</v>
      </c>
      <c r="E5920" s="1043"/>
      <c r="F5920" s="1043"/>
      <c r="G5920" s="1550"/>
    </row>
    <row r="5921" spans="1:7" ht="12.75" customHeight="1">
      <c r="A5921" s="1666">
        <v>44362</v>
      </c>
      <c r="B5921" s="817" t="str">
        <f>TiposLancamentos!B35</f>
        <v>Tv à Cabo</v>
      </c>
      <c r="C5921" s="1742" t="s">
        <v>5834</v>
      </c>
      <c r="D5921" s="1735"/>
      <c r="E5921" s="1733">
        <f>F5923-(E5922+E5923)</f>
        <v>127.61000000000001</v>
      </c>
      <c r="F5921" s="1290"/>
      <c r="G5921" s="1550"/>
    </row>
    <row r="5922" spans="1:7" ht="12.75" customHeight="1">
      <c r="A5922" s="1667">
        <v>44362</v>
      </c>
      <c r="B5922" s="816" t="str">
        <f>TiposLancamentos!B3</f>
        <v>Internet</v>
      </c>
      <c r="C5922" s="1769" t="s">
        <v>5835</v>
      </c>
      <c r="D5922" s="1736"/>
      <c r="E5922" s="1734">
        <v>134.99</v>
      </c>
      <c r="F5922" s="1043"/>
      <c r="G5922" s="1550"/>
    </row>
    <row r="5923" spans="1:7" ht="12.75" customHeight="1">
      <c r="A5923" s="1750">
        <v>44362</v>
      </c>
      <c r="B5923" s="818" t="str">
        <f>TiposLancamentos!B2</f>
        <v>Telefonia</v>
      </c>
      <c r="C5923" s="1743" t="s">
        <v>7210</v>
      </c>
      <c r="D5923" s="1737"/>
      <c r="E5923" s="1668">
        <v>0</v>
      </c>
      <c r="F5923" s="1291">
        <v>262.60000000000002</v>
      </c>
      <c r="G5923" s="1550"/>
    </row>
    <row r="5924" spans="1:7" ht="12.75" customHeight="1">
      <c r="A5924" s="1754">
        <v>44362</v>
      </c>
      <c r="B5924" s="125" t="str">
        <f>TiposLancamentos!B17</f>
        <v>GATO</v>
      </c>
      <c r="C5924" s="1040" t="s">
        <v>8080</v>
      </c>
      <c r="D5924" s="1736"/>
      <c r="E5924" s="1043">
        <v>63.81</v>
      </c>
      <c r="F5924" s="1043"/>
      <c r="G5924" s="1550"/>
    </row>
    <row r="5925" spans="1:7" ht="12.75" customHeight="1">
      <c r="A5925" s="1754">
        <v>44362</v>
      </c>
      <c r="B5925" s="125" t="str">
        <f>TiposLancamentos!B5</f>
        <v>Supermercado</v>
      </c>
      <c r="C5925" s="1040" t="s">
        <v>1943</v>
      </c>
      <c r="D5925" s="1736"/>
      <c r="E5925" s="1043">
        <v>380.34</v>
      </c>
      <c r="F5925" s="1043"/>
      <c r="G5925" s="1550"/>
    </row>
    <row r="5926" spans="1:7" ht="12.75" customHeight="1">
      <c r="A5926" s="1754">
        <v>44362</v>
      </c>
      <c r="B5926" s="125" t="str">
        <f>TiposLancamentos!B69</f>
        <v>Consertos</v>
      </c>
      <c r="C5926" s="1040" t="s">
        <v>8081</v>
      </c>
      <c r="D5926" s="1736"/>
      <c r="E5926" s="1043">
        <v>750</v>
      </c>
      <c r="F5926" s="1043"/>
      <c r="G5926" s="1550"/>
    </row>
    <row r="5927" spans="1:7" ht="12.75" customHeight="1">
      <c r="A5927" s="1754">
        <v>44363</v>
      </c>
      <c r="B5927" s="125" t="str">
        <f>TiposLancamentos!B46</f>
        <v>Maçonaria</v>
      </c>
      <c r="C5927" s="1040" t="s">
        <v>8082</v>
      </c>
      <c r="D5927" s="1736"/>
      <c r="E5927" s="1043">
        <v>180</v>
      </c>
      <c r="F5927" s="1043"/>
      <c r="G5927" s="1550"/>
    </row>
    <row r="5928" spans="1:7" ht="12.75" customHeight="1">
      <c r="A5928" s="1754">
        <v>44364</v>
      </c>
      <c r="B5928" s="125" t="str">
        <f>TiposLancamentos!B2</f>
        <v>Telefonia</v>
      </c>
      <c r="C5928" s="1040" t="s">
        <v>7933</v>
      </c>
      <c r="D5928" s="1736"/>
      <c r="E5928" s="1043">
        <v>49.99</v>
      </c>
      <c r="F5928" s="1043"/>
      <c r="G5928" s="1550"/>
    </row>
    <row r="5929" spans="1:7" ht="12.75" customHeight="1">
      <c r="A5929" s="1754">
        <v>44365</v>
      </c>
      <c r="B5929" s="125" t="str">
        <f>TiposLancamentos!B13</f>
        <v>Moradia</v>
      </c>
      <c r="C5929" s="1040" t="s">
        <v>8083</v>
      </c>
      <c r="D5929" s="1736"/>
      <c r="E5929" s="1043">
        <v>198</v>
      </c>
      <c r="F5929" s="1043"/>
      <c r="G5929" s="1550"/>
    </row>
    <row r="5930" spans="1:7" ht="12.75" customHeight="1">
      <c r="A5930" s="1666">
        <v>44365</v>
      </c>
      <c r="B5930" s="817" t="str">
        <f>TiposLancamentos!B57</f>
        <v>Informática</v>
      </c>
      <c r="C5930" s="1742" t="s">
        <v>8084</v>
      </c>
      <c r="D5930" s="1735"/>
      <c r="E5930" s="1733">
        <f>F5931-E5931</f>
        <v>264.87</v>
      </c>
      <c r="F5930" s="1346"/>
      <c r="G5930" s="1550"/>
    </row>
    <row r="5931" spans="1:7" ht="12.75" customHeight="1">
      <c r="A5931" s="1750">
        <v>44365</v>
      </c>
      <c r="B5931" s="818" t="str">
        <f>TiposLancamentos!B26</f>
        <v>LIVROS</v>
      </c>
      <c r="C5931" s="1743" t="s">
        <v>8085</v>
      </c>
      <c r="D5931" s="1737"/>
      <c r="E5931" s="1668">
        <v>59</v>
      </c>
      <c r="F5931" s="1291">
        <v>323.87</v>
      </c>
      <c r="G5931" s="1550"/>
    </row>
    <row r="5932" spans="1:7" ht="12.75" customHeight="1">
      <c r="A5932" s="1754">
        <v>44366</v>
      </c>
      <c r="B5932" s="125" t="str">
        <f>TiposLancamentos!B71</f>
        <v>Itens Pessoais</v>
      </c>
      <c r="C5932" s="1040" t="s">
        <v>8086</v>
      </c>
      <c r="D5932" s="1736"/>
      <c r="E5932" s="1043">
        <v>25</v>
      </c>
      <c r="F5932" s="1043"/>
      <c r="G5932" s="1550"/>
    </row>
    <row r="5933" spans="1:7" ht="12.75" customHeight="1">
      <c r="A5933" s="1754">
        <v>44366</v>
      </c>
      <c r="B5933" s="125" t="str">
        <f>TiposLancamentos!B19</f>
        <v>Restaurantes</v>
      </c>
      <c r="C5933" s="1040" t="s">
        <v>8087</v>
      </c>
      <c r="D5933" s="1736"/>
      <c r="E5933" s="1043">
        <v>49</v>
      </c>
      <c r="F5933" s="1043"/>
      <c r="G5933" s="1550"/>
    </row>
    <row r="5934" spans="1:7" ht="12.75" customHeight="1">
      <c r="A5934" s="1754">
        <v>44366</v>
      </c>
      <c r="B5934" s="125" t="str">
        <f>TiposLancamentos!B5</f>
        <v>Supermercado</v>
      </c>
      <c r="C5934" s="1040" t="s">
        <v>8088</v>
      </c>
      <c r="D5934" s="1736"/>
      <c r="E5934" s="1043">
        <v>35.979999999999997</v>
      </c>
      <c r="F5934" s="1043"/>
      <c r="G5934" s="1550"/>
    </row>
    <row r="5935" spans="1:7" ht="12.75" customHeight="1">
      <c r="A5935" s="1754">
        <v>44366</v>
      </c>
      <c r="B5935" s="125" t="str">
        <f>TiposLancamentos!B19</f>
        <v>Restaurantes</v>
      </c>
      <c r="C5935" s="1040" t="s">
        <v>8089</v>
      </c>
      <c r="D5935" s="1736"/>
      <c r="E5935" s="1043">
        <v>22.78</v>
      </c>
      <c r="F5935" s="1043"/>
      <c r="G5935" s="1550"/>
    </row>
    <row r="5936" spans="1:7" ht="12.75" customHeight="1">
      <c r="A5936" s="1754">
        <v>44366</v>
      </c>
      <c r="B5936" s="125" t="str">
        <f>TiposLancamentos!B24</f>
        <v>Estacionamentos</v>
      </c>
      <c r="C5936" s="1040" t="s">
        <v>3398</v>
      </c>
      <c r="D5936" s="1736"/>
      <c r="E5936" s="1043">
        <v>12</v>
      </c>
      <c r="F5936" s="1043"/>
      <c r="G5936" s="1550"/>
    </row>
    <row r="5937" spans="1:7" ht="12.75" customHeight="1">
      <c r="A5937" s="1754">
        <v>44366</v>
      </c>
      <c r="B5937" s="125" t="str">
        <f>TiposLancamentos!B5</f>
        <v>Supermercado</v>
      </c>
      <c r="C5937" s="1040" t="s">
        <v>2097</v>
      </c>
      <c r="D5937" s="1736"/>
      <c r="E5937" s="1043">
        <v>235.28</v>
      </c>
      <c r="F5937" s="1043"/>
      <c r="G5937" s="1550"/>
    </row>
    <row r="5938" spans="1:7" ht="12.75" customHeight="1">
      <c r="A5938" s="1754">
        <v>44367</v>
      </c>
      <c r="B5938" s="125" t="str">
        <f>TiposLancamentos!B5</f>
        <v>Supermercado</v>
      </c>
      <c r="C5938" s="1040" t="s">
        <v>8027</v>
      </c>
      <c r="D5938" s="1736"/>
      <c r="E5938" s="1043">
        <v>20.83</v>
      </c>
      <c r="F5938" s="1043"/>
      <c r="G5938" s="1550"/>
    </row>
    <row r="5939" spans="1:7" ht="12.75" customHeight="1">
      <c r="A5939" s="1666">
        <v>44367</v>
      </c>
      <c r="B5939" s="817" t="str">
        <f>B5937</f>
        <v>Supermercado</v>
      </c>
      <c r="C5939" s="1742" t="s">
        <v>8090</v>
      </c>
      <c r="D5939" s="1735"/>
      <c r="E5939" s="1733">
        <f>F5940-E5940</f>
        <v>8.43</v>
      </c>
      <c r="F5939" s="1346"/>
      <c r="G5939" s="1550"/>
    </row>
    <row r="5940" spans="1:7" ht="12.75" customHeight="1">
      <c r="A5940" s="1750">
        <v>44367</v>
      </c>
      <c r="B5940" s="818" t="str">
        <f>TiposLancamentos!B56</f>
        <v>Farmácia</v>
      </c>
      <c r="C5940" s="1743" t="s">
        <v>8091</v>
      </c>
      <c r="D5940" s="1737"/>
      <c r="E5940" s="1668">
        <f>32</f>
        <v>32</v>
      </c>
      <c r="F5940" s="1291">
        <v>40.43</v>
      </c>
      <c r="G5940" s="1550"/>
    </row>
    <row r="5941" spans="1:7" ht="12.75" customHeight="1">
      <c r="A5941" s="1666">
        <v>44368</v>
      </c>
      <c r="B5941" s="817" t="str">
        <f>TiposLancamentos!B8</f>
        <v>Aluguel</v>
      </c>
      <c r="C5941" s="1742" t="s">
        <v>8092</v>
      </c>
      <c r="D5941" s="1735"/>
      <c r="E5941" s="1733">
        <f>F5946-(E5942+E5946+E5943+E5944+E5945)</f>
        <v>1399.9999999999998</v>
      </c>
      <c r="F5941" s="1346"/>
      <c r="G5941" s="1550"/>
    </row>
    <row r="5942" spans="1:7" ht="12.75" customHeight="1">
      <c r="A5942" s="1667">
        <v>44368</v>
      </c>
      <c r="B5942" s="816" t="str">
        <f>TiposLancamentos!B12</f>
        <v>IPTU</v>
      </c>
      <c r="C5942" s="1769" t="s">
        <v>8093</v>
      </c>
      <c r="D5942" s="1736"/>
      <c r="E5942" s="1734">
        <v>0</v>
      </c>
      <c r="F5942" s="1043"/>
      <c r="G5942" s="1550"/>
    </row>
    <row r="5943" spans="1:7" ht="12.75" customHeight="1">
      <c r="A5943" s="1667">
        <v>44368</v>
      </c>
      <c r="B5943" s="816" t="str">
        <f>TiposLancamentos!B10</f>
        <v>Distr. Água Municipal</v>
      </c>
      <c r="C5943" s="1769" t="s">
        <v>7423</v>
      </c>
      <c r="D5943" s="1736"/>
      <c r="E5943" s="1734">
        <v>75.489999999999995</v>
      </c>
      <c r="F5943" s="1043"/>
      <c r="G5943" s="1550"/>
    </row>
    <row r="5944" spans="1:7" ht="12.75" customHeight="1">
      <c r="A5944" s="1667">
        <v>44368</v>
      </c>
      <c r="B5944" s="816" t="str">
        <f>TiposLancamentos!B11</f>
        <v>Coleta Municipal Lixo</v>
      </c>
      <c r="C5944" s="1769" t="s">
        <v>7424</v>
      </c>
      <c r="D5944" s="1736"/>
      <c r="E5944" s="1734">
        <v>44.36</v>
      </c>
      <c r="F5944" s="1043"/>
      <c r="G5944" s="1550"/>
    </row>
    <row r="5945" spans="1:7" ht="12.75" customHeight="1">
      <c r="A5945" s="1667">
        <v>44368</v>
      </c>
      <c r="B5945" s="816" t="str">
        <f>TiposLancamentos!B8</f>
        <v>Aluguel</v>
      </c>
      <c r="C5945" s="1769" t="s">
        <v>7425</v>
      </c>
      <c r="D5945" s="1736"/>
      <c r="E5945" s="1734">
        <v>8</v>
      </c>
      <c r="F5945" s="1043"/>
      <c r="G5945" s="1550"/>
    </row>
    <row r="5946" spans="1:7" ht="12.75" customHeight="1">
      <c r="A5946" s="1750">
        <v>44368</v>
      </c>
      <c r="B5946" s="818" t="str">
        <f>TiposLancamentos!B9</f>
        <v>Condominio</v>
      </c>
      <c r="C5946" s="1743" t="s">
        <v>7427</v>
      </c>
      <c r="D5946" s="1737"/>
      <c r="E5946" s="1668">
        <v>616.37</v>
      </c>
      <c r="F5946" s="1291">
        <v>2144.2199999999998</v>
      </c>
      <c r="G5946" s="1550"/>
    </row>
    <row r="5947" spans="1:7" ht="12.75" customHeight="1">
      <c r="A5947" s="1754">
        <v>44368</v>
      </c>
      <c r="B5947" s="125" t="str">
        <f>TiposLancamentos!B6</f>
        <v>Energia Eletrica</v>
      </c>
      <c r="C5947" s="1040" t="s">
        <v>8094</v>
      </c>
      <c r="D5947" s="1736"/>
      <c r="E5947" s="1043">
        <v>257.25</v>
      </c>
      <c r="F5947" s="1043"/>
      <c r="G5947" s="1550"/>
    </row>
    <row r="5948" spans="1:7" ht="12.75" customHeight="1">
      <c r="A5948" s="1754">
        <v>44369</v>
      </c>
      <c r="B5948" s="125" t="str">
        <f>TiposLancamentos!B103</f>
        <v>Juros_Corr. Poupança</v>
      </c>
      <c r="C5948" s="1040" t="s">
        <v>7889</v>
      </c>
      <c r="D5948" s="1736">
        <v>0.02</v>
      </c>
      <c r="E5948" s="1043"/>
      <c r="F5948" s="1043"/>
      <c r="G5948" s="1550"/>
    </row>
    <row r="5949" spans="1:7" ht="12.75" customHeight="1">
      <c r="A5949" s="1754">
        <v>44370</v>
      </c>
      <c r="B5949" s="125" t="str">
        <f>TiposLancamentos!B46</f>
        <v>Maçonaria</v>
      </c>
      <c r="C5949" s="1040" t="s">
        <v>8095</v>
      </c>
      <c r="D5949" s="1736"/>
      <c r="E5949" s="1043">
        <v>80</v>
      </c>
      <c r="F5949" s="1043"/>
      <c r="G5949" s="1550"/>
    </row>
    <row r="5950" spans="1:7" ht="12.75" customHeight="1">
      <c r="A5950" s="1754">
        <v>44370</v>
      </c>
      <c r="B5950" s="125" t="str">
        <f>TiposLancamentos!B72</f>
        <v>Presentes</v>
      </c>
      <c r="C5950" s="1040" t="s">
        <v>8096</v>
      </c>
      <c r="D5950" s="1736"/>
      <c r="E5950" s="1043">
        <v>169.01</v>
      </c>
      <c r="F5950" s="1043"/>
      <c r="G5950" s="1550"/>
    </row>
    <row r="5951" spans="1:7" ht="12.75" customHeight="1">
      <c r="A5951" s="1754">
        <v>44370</v>
      </c>
      <c r="B5951" s="125" t="str">
        <f>TiposLancamentos!B19</f>
        <v>Restaurantes</v>
      </c>
      <c r="C5951" s="1040" t="s">
        <v>7843</v>
      </c>
      <c r="D5951" s="1736"/>
      <c r="E5951" s="1043">
        <v>167.42</v>
      </c>
      <c r="F5951" s="1043"/>
      <c r="G5951" s="1550"/>
    </row>
    <row r="5952" spans="1:7" ht="12.75" customHeight="1">
      <c r="A5952" s="1754">
        <v>44370</v>
      </c>
      <c r="B5952" s="125" t="str">
        <f>TiposLancamentos!B56</f>
        <v>Farmácia</v>
      </c>
      <c r="C5952" s="1040" t="s">
        <v>8097</v>
      </c>
      <c r="D5952" s="1736"/>
      <c r="E5952" s="1043">
        <v>37.229999999999997</v>
      </c>
      <c r="F5952" s="1043"/>
      <c r="G5952" s="1550"/>
    </row>
    <row r="5953" spans="1:7" ht="12.75" customHeight="1">
      <c r="A5953" s="1754">
        <v>44372</v>
      </c>
      <c r="B5953" s="125" t="str">
        <f>TiposLancamentos!B103</f>
        <v>Juros_Corr. Poupança</v>
      </c>
      <c r="C5953" s="1040" t="s">
        <v>7889</v>
      </c>
      <c r="D5953" s="1736">
        <v>0.02</v>
      </c>
      <c r="E5953" s="1043"/>
      <c r="F5953" s="1043"/>
      <c r="G5953" s="1550"/>
    </row>
    <row r="5954" spans="1:7" ht="12.75" customHeight="1">
      <c r="A5954" s="1754">
        <v>44372</v>
      </c>
      <c r="B5954" s="125" t="str">
        <f>TiposLancamentos!B13</f>
        <v>Moradia</v>
      </c>
      <c r="C5954" s="1040" t="s">
        <v>8098</v>
      </c>
      <c r="D5954" s="1736"/>
      <c r="E5954" s="1043">
        <v>12</v>
      </c>
      <c r="F5954" s="1043"/>
      <c r="G5954" s="1550"/>
    </row>
    <row r="5955" spans="1:7" ht="12.75" customHeight="1">
      <c r="A5955" s="1666">
        <v>44373</v>
      </c>
      <c r="B5955" s="817" t="str">
        <f>TiposLancamentos!B70</f>
        <v>Vestuário</v>
      </c>
      <c r="C5955" s="1742" t="s">
        <v>8099</v>
      </c>
      <c r="D5955" s="1735"/>
      <c r="E5955" s="1733">
        <v>280</v>
      </c>
      <c r="F5955" s="1346"/>
      <c r="G5955" s="1550"/>
    </row>
    <row r="5956" spans="1:7" ht="12.75" customHeight="1">
      <c r="A5956" s="1750">
        <v>44373</v>
      </c>
      <c r="B5956" s="818" t="str">
        <f>TiposLancamentos!B16</f>
        <v>Cristiane</v>
      </c>
      <c r="C5956" s="1743" t="s">
        <v>8100</v>
      </c>
      <c r="D5956" s="1737"/>
      <c r="E5956" s="1668">
        <f>F5956-E5955</f>
        <v>347</v>
      </c>
      <c r="F5956" s="1291">
        <v>627</v>
      </c>
      <c r="G5956" s="1550"/>
    </row>
    <row r="5957" spans="1:7" ht="12.75" customHeight="1">
      <c r="A5957" s="1754">
        <v>44373</v>
      </c>
      <c r="B5957" s="125" t="str">
        <f>TiposLancamentos!B19</f>
        <v>Restaurantes</v>
      </c>
      <c r="C5957" s="1040" t="s">
        <v>7657</v>
      </c>
      <c r="D5957" s="1736"/>
      <c r="E5957" s="1043">
        <v>36</v>
      </c>
      <c r="F5957" s="1043"/>
      <c r="G5957" s="1550"/>
    </row>
    <row r="5958" spans="1:7" ht="12.75" customHeight="1">
      <c r="A5958" s="1754">
        <v>44373</v>
      </c>
      <c r="B5958" s="125" t="str">
        <f>TiposLancamentos!B17</f>
        <v>GATO</v>
      </c>
      <c r="C5958" s="1040" t="s">
        <v>8101</v>
      </c>
      <c r="D5958" s="1736"/>
      <c r="E5958" s="1043">
        <v>9.49</v>
      </c>
      <c r="F5958" s="1043"/>
      <c r="G5958" s="1550"/>
    </row>
    <row r="5959" spans="1:7" ht="12.75" customHeight="1">
      <c r="A5959" s="1754">
        <v>44373</v>
      </c>
      <c r="B5959" s="125" t="str">
        <f>TiposLancamentos!B24</f>
        <v>Estacionamentos</v>
      </c>
      <c r="C5959" s="1040" t="s">
        <v>2014</v>
      </c>
      <c r="D5959" s="1736"/>
      <c r="E5959" s="1043">
        <v>12</v>
      </c>
      <c r="F5959" s="1043"/>
      <c r="G5959" s="1550"/>
    </row>
    <row r="5960" spans="1:7" ht="12.75" customHeight="1">
      <c r="A5960" s="1754">
        <v>44373</v>
      </c>
      <c r="B5960" s="125" t="str">
        <f>TiposLancamentos!B24</f>
        <v>Estacionamentos</v>
      </c>
      <c r="C5960" s="1040" t="s">
        <v>8102</v>
      </c>
      <c r="D5960" s="1736"/>
      <c r="E5960" s="1043">
        <v>22</v>
      </c>
      <c r="F5960" s="1043"/>
      <c r="G5960" s="1550"/>
    </row>
    <row r="5961" spans="1:7" ht="12.75" customHeight="1">
      <c r="A5961" s="1754">
        <v>44374</v>
      </c>
      <c r="B5961" s="125" t="str">
        <f>TiposLancamentos!B19</f>
        <v>Restaurantes</v>
      </c>
      <c r="C5961" s="1040" t="s">
        <v>8103</v>
      </c>
      <c r="D5961" s="1736"/>
      <c r="E5961" s="1043">
        <v>156.52000000000001</v>
      </c>
      <c r="F5961" s="1043"/>
      <c r="G5961" s="1550"/>
    </row>
    <row r="5962" spans="1:7" ht="12.75" customHeight="1">
      <c r="A5962" s="1754">
        <v>44374</v>
      </c>
      <c r="B5962" s="125" t="str">
        <f>TiposLancamentos!B71</f>
        <v>Itens Pessoais</v>
      </c>
      <c r="C5962" s="1040" t="s">
        <v>8104</v>
      </c>
      <c r="D5962" s="1736"/>
      <c r="E5962" s="1043">
        <v>43.8</v>
      </c>
      <c r="F5962" s="1043"/>
      <c r="G5962" s="1550"/>
    </row>
    <row r="5963" spans="1:7" ht="12.75" customHeight="1">
      <c r="A5963" s="1754">
        <v>44374</v>
      </c>
      <c r="B5963" s="125" t="str">
        <f>TiposLancamentos!B19</f>
        <v>Restaurantes</v>
      </c>
      <c r="C5963" s="1040" t="s">
        <v>8105</v>
      </c>
      <c r="D5963" s="1736"/>
      <c r="E5963" s="1043">
        <v>22.5</v>
      </c>
      <c r="F5963" s="1043"/>
      <c r="G5963" s="1550"/>
    </row>
    <row r="5964" spans="1:7" ht="12.75" customHeight="1">
      <c r="A5964" s="1754">
        <v>44374</v>
      </c>
      <c r="B5964" s="125" t="str">
        <f>TiposLancamentos!B5</f>
        <v>Supermercado</v>
      </c>
      <c r="C5964" s="1040" t="s">
        <v>8012</v>
      </c>
      <c r="D5964" s="1736"/>
      <c r="E5964" s="1043">
        <v>30.7</v>
      </c>
      <c r="F5964" s="1043"/>
      <c r="G5964" s="1550"/>
    </row>
    <row r="5965" spans="1:7" ht="12.75" customHeight="1">
      <c r="A5965" s="1754">
        <v>44375</v>
      </c>
      <c r="B5965" s="125" t="str">
        <f>TiposLancamentos!B5</f>
        <v>Supermercado</v>
      </c>
      <c r="C5965" s="1040" t="s">
        <v>8106</v>
      </c>
      <c r="D5965" s="1736"/>
      <c r="E5965" s="1043">
        <v>30.64</v>
      </c>
      <c r="F5965" s="1043"/>
      <c r="G5965" s="1550"/>
    </row>
    <row r="5966" spans="1:7" ht="12.75" customHeight="1">
      <c r="A5966" s="1754">
        <v>44375</v>
      </c>
      <c r="B5966" s="125" t="str">
        <f>TiposLancamentos!B103</f>
        <v>Juros_Corr. Poupança</v>
      </c>
      <c r="C5966" s="1040" t="s">
        <v>7341</v>
      </c>
      <c r="D5966" s="1736">
        <v>0.01</v>
      </c>
      <c r="E5966" s="1043"/>
      <c r="F5966" s="1043"/>
      <c r="G5966" s="1550"/>
    </row>
    <row r="5967" spans="1:7" ht="12.75" customHeight="1">
      <c r="A5967" s="1754">
        <v>44377</v>
      </c>
      <c r="B5967" s="125" t="str">
        <f>TiposLancamentos!B95</f>
        <v>Salarios</v>
      </c>
      <c r="C5967" s="1040" t="s">
        <v>8107</v>
      </c>
      <c r="D5967" s="1736">
        <v>3933.33</v>
      </c>
      <c r="E5967" s="1043"/>
      <c r="F5967" s="1043"/>
      <c r="G5967" s="1550"/>
    </row>
    <row r="5968" spans="1:7" ht="12.75" customHeight="1">
      <c r="A5968" s="1754">
        <v>44377</v>
      </c>
      <c r="B5968" s="125" t="str">
        <f>TiposLancamentos!B95</f>
        <v>Salarios</v>
      </c>
      <c r="C5968" s="1040" t="s">
        <v>8064</v>
      </c>
      <c r="D5968" s="1736">
        <v>4349.88</v>
      </c>
      <c r="E5968" s="1043"/>
      <c r="F5968" s="1043"/>
      <c r="G5968" s="1550"/>
    </row>
    <row r="5969" spans="1:7" ht="12.75" customHeight="1">
      <c r="A5969" s="1754">
        <v>44377</v>
      </c>
      <c r="B5969" s="125" t="str">
        <f>TiposLancamentos!B5</f>
        <v>Supermercado</v>
      </c>
      <c r="C5969" s="1040" t="s">
        <v>8108</v>
      </c>
      <c r="D5969" s="1736"/>
      <c r="E5969" s="1043">
        <v>358.75</v>
      </c>
      <c r="F5969" s="1043"/>
      <c r="G5969" s="1550"/>
    </row>
    <row r="5970" spans="1:7" ht="12.75" customHeight="1">
      <c r="A5970" s="1754">
        <v>44377</v>
      </c>
      <c r="B5970" s="125" t="str">
        <f>TiposLancamentos!B59</f>
        <v>Documentos</v>
      </c>
      <c r="C5970" s="1040" t="s">
        <v>8109</v>
      </c>
      <c r="D5970" s="1736"/>
      <c r="E5970" s="1043">
        <v>670</v>
      </c>
      <c r="F5970" s="1043"/>
      <c r="G5970" s="1550"/>
    </row>
    <row r="5971" spans="1:7" ht="12.75" customHeight="1" thickBot="1">
      <c r="A5971" s="1754">
        <v>44377</v>
      </c>
      <c r="B5971" s="125" t="str">
        <f>B5969</f>
        <v>Supermercado</v>
      </c>
      <c r="C5971" s="1040" t="s">
        <v>2437</v>
      </c>
      <c r="D5971" s="1736"/>
      <c r="E5971" s="1043">
        <v>16.38</v>
      </c>
      <c r="F5971" s="1043"/>
      <c r="G5971" s="1550"/>
    </row>
    <row r="5972" spans="1:7" ht="12.75" customHeight="1">
      <c r="A5972" s="1834"/>
      <c r="B5972" s="977"/>
      <c r="C5972" s="1854" t="s">
        <v>8110</v>
      </c>
      <c r="D5972" s="1823"/>
      <c r="E5972" s="1821"/>
      <c r="F5972" s="1821"/>
      <c r="G5972" s="1895"/>
    </row>
    <row r="5973" spans="1:7" ht="12.75" customHeight="1">
      <c r="A5973" s="1754">
        <v>44378</v>
      </c>
      <c r="B5973" s="125" t="str">
        <f>TiposLancamentos!B15</f>
        <v>Cartões de Crédito</v>
      </c>
      <c r="C5973" s="1040" t="s">
        <v>7781</v>
      </c>
      <c r="D5973" s="1736"/>
      <c r="E5973" s="1043">
        <v>1659.01</v>
      </c>
      <c r="F5973" s="1043"/>
      <c r="G5973" s="1550"/>
    </row>
    <row r="5974" spans="1:7" ht="12.75" customHeight="1">
      <c r="A5974" s="1754">
        <v>44378</v>
      </c>
      <c r="B5974" s="125" t="str">
        <f>TiposLancamentos!B15</f>
        <v>Cartões de Crédito</v>
      </c>
      <c r="C5974" s="1040" t="s">
        <v>7333</v>
      </c>
      <c r="D5974" s="1736"/>
      <c r="E5974" s="1043">
        <v>261.11</v>
      </c>
      <c r="F5974" s="1043"/>
      <c r="G5974" s="1550"/>
    </row>
    <row r="5975" spans="1:7" ht="12.75" customHeight="1">
      <c r="A5975" s="1754">
        <v>44378</v>
      </c>
      <c r="B5975" s="125" t="str">
        <f>TiposLancamentos!B15</f>
        <v>Cartões de Crédito</v>
      </c>
      <c r="C5975" s="1040" t="s">
        <v>8016</v>
      </c>
      <c r="D5975" s="1736"/>
      <c r="E5975" s="1043">
        <v>907.5</v>
      </c>
      <c r="F5975" s="1043"/>
      <c r="G5975" s="1550"/>
    </row>
    <row r="5976" spans="1:7" ht="12.75" customHeight="1">
      <c r="A5976" s="1754">
        <v>44378</v>
      </c>
      <c r="B5976" s="125" t="str">
        <f>TiposLancamentos!B14</f>
        <v>Gás de cozinha</v>
      </c>
      <c r="C5976" s="1040" t="s">
        <v>7722</v>
      </c>
      <c r="D5976" s="1736"/>
      <c r="E5976" s="1043">
        <v>44.17</v>
      </c>
      <c r="F5976" s="1043"/>
      <c r="G5976" s="1550"/>
    </row>
    <row r="5977" spans="1:7" ht="12.75" customHeight="1">
      <c r="A5977" s="1754">
        <v>44379</v>
      </c>
      <c r="B5977" s="125" t="str">
        <f>TiposLancamentos!B4</f>
        <v>Taxas Bancarias</v>
      </c>
      <c r="C5977" s="1040" t="s">
        <v>6343</v>
      </c>
      <c r="D5977" s="1736"/>
      <c r="E5977" s="1043">
        <v>9.23</v>
      </c>
      <c r="F5977" s="1043"/>
      <c r="G5977" s="1550"/>
    </row>
    <row r="5978" spans="1:7" ht="12.75" customHeight="1">
      <c r="A5978" s="1754">
        <v>44379</v>
      </c>
      <c r="B5978" s="125" t="str">
        <f>TiposLancamentos!B19</f>
        <v>Restaurantes</v>
      </c>
      <c r="C5978" s="1040" t="s">
        <v>8111</v>
      </c>
      <c r="D5978" s="1736"/>
      <c r="E5978" s="1043">
        <v>154.33000000000001</v>
      </c>
      <c r="F5978" s="1043"/>
      <c r="G5978" s="1550"/>
    </row>
    <row r="5979" spans="1:7" ht="12.75" customHeight="1">
      <c r="A5979" s="1754">
        <v>44379</v>
      </c>
      <c r="B5979" s="125" t="str">
        <f>TiposLancamentos!B5</f>
        <v>Supermercado</v>
      </c>
      <c r="C5979" s="1040" t="s">
        <v>8112</v>
      </c>
      <c r="D5979" s="1736"/>
      <c r="E5979" s="1043">
        <v>27.14</v>
      </c>
      <c r="F5979" s="1043"/>
      <c r="G5979" s="1550"/>
    </row>
    <row r="5980" spans="1:7" ht="12.75" customHeight="1">
      <c r="A5980" s="1754">
        <v>44379</v>
      </c>
      <c r="B5980" s="125" t="str">
        <f>TiposLancamentos!B24</f>
        <v>Estacionamentos</v>
      </c>
      <c r="C5980" s="1040" t="s">
        <v>8113</v>
      </c>
      <c r="D5980" s="1736"/>
      <c r="E5980" s="1043">
        <v>10</v>
      </c>
      <c r="F5980" s="1043"/>
      <c r="G5980" s="1550"/>
    </row>
    <row r="5981" spans="1:7" ht="12.75" customHeight="1">
      <c r="A5981" s="1754">
        <v>44379</v>
      </c>
      <c r="B5981" s="125" t="str">
        <f>TiposLancamentos!B17</f>
        <v>GATO</v>
      </c>
      <c r="C5981" s="1040" t="s">
        <v>5201</v>
      </c>
      <c r="D5981" s="1736"/>
      <c r="E5981" s="1043">
        <v>11.8</v>
      </c>
      <c r="F5981" s="1043"/>
      <c r="G5981" s="1550"/>
    </row>
    <row r="5982" spans="1:7" ht="12.75" customHeight="1">
      <c r="A5982" s="1754">
        <v>44379</v>
      </c>
      <c r="B5982" s="125" t="str">
        <f>TiposLancamentos!B4</f>
        <v>Taxas Bancarias</v>
      </c>
      <c r="C5982" s="1040" t="s">
        <v>7681</v>
      </c>
      <c r="D5982" s="1736"/>
      <c r="E5982" s="1043">
        <v>5.5</v>
      </c>
      <c r="F5982" s="1043"/>
      <c r="G5982" s="1550"/>
    </row>
    <row r="5983" spans="1:7" ht="12.75" customHeight="1">
      <c r="A5983" s="1754">
        <v>44380</v>
      </c>
      <c r="B5983" s="125" t="str">
        <f>TiposLancamentos!B105</f>
        <v>Transf. Bco</v>
      </c>
      <c r="C5983" s="1040" t="s">
        <v>8114</v>
      </c>
      <c r="D5983" s="1736"/>
      <c r="E5983" s="1043">
        <v>0.01</v>
      </c>
      <c r="F5983" s="1043"/>
      <c r="G5983" s="1550"/>
    </row>
    <row r="5984" spans="1:7" ht="12.75" customHeight="1">
      <c r="A5984" s="1754">
        <v>44380</v>
      </c>
      <c r="B5984" s="125" t="str">
        <f>TiposLancamentos!B19</f>
        <v>Restaurantes</v>
      </c>
      <c r="C5984" s="1040" t="s">
        <v>8115</v>
      </c>
      <c r="D5984" s="1736"/>
      <c r="E5984" s="1043">
        <v>21.1</v>
      </c>
      <c r="F5984" s="1043"/>
      <c r="G5984" s="1550"/>
    </row>
    <row r="5985" spans="1:7" ht="12.75" customHeight="1">
      <c r="A5985" s="1754">
        <v>44380</v>
      </c>
      <c r="B5985" s="125" t="str">
        <f>TiposLancamentos!B70</f>
        <v>Vestuário</v>
      </c>
      <c r="C5985" s="1040" t="s">
        <v>8116</v>
      </c>
      <c r="D5985" s="1736"/>
      <c r="E5985" s="1043">
        <v>44.99</v>
      </c>
      <c r="F5985" s="1043"/>
      <c r="G5985" s="1550"/>
    </row>
    <row r="5986" spans="1:7" ht="12.75" customHeight="1">
      <c r="A5986" s="1754">
        <v>44380</v>
      </c>
      <c r="B5986" s="125" t="str">
        <f>TiposLancamentos!B19</f>
        <v>Restaurantes</v>
      </c>
      <c r="C5986" s="1040" t="s">
        <v>8117</v>
      </c>
      <c r="D5986" s="1736"/>
      <c r="E5986" s="1043">
        <v>82.6</v>
      </c>
      <c r="F5986" s="1043"/>
      <c r="G5986" s="1550"/>
    </row>
    <row r="5987" spans="1:7" ht="12.75" customHeight="1">
      <c r="A5987" s="1754">
        <v>44380</v>
      </c>
      <c r="B5987" s="125" t="str">
        <f>TiposLancamentos!B19</f>
        <v>Restaurantes</v>
      </c>
      <c r="C5987" s="1040" t="s">
        <v>8118</v>
      </c>
      <c r="D5987" s="1736"/>
      <c r="E5987" s="1043">
        <v>9.4</v>
      </c>
      <c r="F5987" s="1043"/>
      <c r="G5987" s="1550"/>
    </row>
    <row r="5988" spans="1:7" ht="12.75" customHeight="1">
      <c r="A5988" s="1754">
        <v>44381</v>
      </c>
      <c r="B5988" s="125" t="str">
        <f>TiposLancamentos!B5</f>
        <v>Supermercado</v>
      </c>
      <c r="C5988" s="1040" t="s">
        <v>8119</v>
      </c>
      <c r="D5988" s="1736"/>
      <c r="E5988" s="1043">
        <v>260.58999999999997</v>
      </c>
      <c r="F5988" s="1043"/>
      <c r="G5988" s="1550"/>
    </row>
    <row r="5989" spans="1:7" ht="12.75" customHeight="1">
      <c r="A5989" s="1754">
        <v>44381</v>
      </c>
      <c r="B5989" s="125" t="str">
        <f>TiposLancamentos!B56</f>
        <v>Farmácia</v>
      </c>
      <c r="C5989" s="1040" t="s">
        <v>8120</v>
      </c>
      <c r="D5989" s="1736"/>
      <c r="E5989" s="1043">
        <v>176.9</v>
      </c>
      <c r="F5989" s="1043"/>
      <c r="G5989" s="1550"/>
    </row>
    <row r="5990" spans="1:7" ht="12.75" customHeight="1">
      <c r="A5990" s="1754">
        <v>44381</v>
      </c>
      <c r="B5990" s="125" t="str">
        <f>TiposLancamentos!B5</f>
        <v>Supermercado</v>
      </c>
      <c r="C5990" s="1040" t="s">
        <v>8121</v>
      </c>
      <c r="D5990" s="1736"/>
      <c r="E5990" s="1043">
        <v>5.98</v>
      </c>
      <c r="F5990" s="1043"/>
      <c r="G5990" s="1550"/>
    </row>
    <row r="5991" spans="1:7" ht="12.75" customHeight="1">
      <c r="A5991" s="1754">
        <v>44381</v>
      </c>
      <c r="B5991" s="125" t="str">
        <f>B5979</f>
        <v>Supermercado</v>
      </c>
      <c r="C5991" s="1040" t="s">
        <v>8122</v>
      </c>
      <c r="D5991" s="1736"/>
      <c r="E5991" s="1043">
        <v>24.16</v>
      </c>
      <c r="F5991" s="1043"/>
      <c r="G5991" s="1550"/>
    </row>
    <row r="5992" spans="1:7" ht="12.75" customHeight="1">
      <c r="A5992" s="1754">
        <v>44382</v>
      </c>
      <c r="B5992" s="125" t="str">
        <f>TiposLancamentos!B103</f>
        <v>Juros_Corr. Poupança</v>
      </c>
      <c r="C5992" s="1040" t="s">
        <v>7341</v>
      </c>
      <c r="D5992" s="1736">
        <v>0.02</v>
      </c>
      <c r="E5992" s="1043"/>
      <c r="F5992" s="1043"/>
      <c r="G5992" s="1550"/>
    </row>
    <row r="5993" spans="1:7" ht="12.75" customHeight="1">
      <c r="A5993" s="1754">
        <v>44383</v>
      </c>
      <c r="B5993" s="125" t="str">
        <f>TiposLancamentos!B4</f>
        <v>Taxas Bancarias</v>
      </c>
      <c r="C5993" s="1040" t="s">
        <v>5754</v>
      </c>
      <c r="D5993" s="1736"/>
      <c r="E5993" s="1043">
        <v>42.79</v>
      </c>
      <c r="F5993" s="1043"/>
      <c r="G5993" s="1550"/>
    </row>
    <row r="5994" spans="1:7" ht="12.75" customHeight="1">
      <c r="A5994" s="1754">
        <v>44385</v>
      </c>
      <c r="B5994" s="125" t="str">
        <f>TiposLancamentos!B5</f>
        <v>Supermercado</v>
      </c>
      <c r="C5994" s="1040" t="s">
        <v>8123</v>
      </c>
      <c r="D5994" s="1736"/>
      <c r="E5994" s="1043">
        <v>34.840000000000003</v>
      </c>
      <c r="F5994" s="1043"/>
      <c r="G5994" s="1550"/>
    </row>
    <row r="5995" spans="1:7" ht="12.75" customHeight="1">
      <c r="A5995" s="1754">
        <v>44386</v>
      </c>
      <c r="B5995" s="125" t="str">
        <f>TiposLancamentos!B13</f>
        <v>Moradia</v>
      </c>
      <c r="C5995" s="1040" t="s">
        <v>8124</v>
      </c>
      <c r="D5995" s="1736"/>
      <c r="E5995" s="1043">
        <v>12</v>
      </c>
      <c r="F5995" s="1043"/>
      <c r="G5995" s="1550"/>
    </row>
    <row r="5996" spans="1:7" ht="12.75" customHeight="1">
      <c r="A5996" s="1754">
        <v>44386</v>
      </c>
      <c r="B5996" s="125" t="str">
        <f>TiposLancamentos!B103</f>
        <v>Juros_Corr. Poupança</v>
      </c>
      <c r="C5996" s="1040" t="s">
        <v>7341</v>
      </c>
      <c r="D5996" s="1736">
        <v>0.02</v>
      </c>
      <c r="E5996" s="1043"/>
      <c r="F5996" s="1043"/>
      <c r="G5996" s="1550"/>
    </row>
    <row r="5997" spans="1:7" ht="12.75" customHeight="1">
      <c r="A5997" s="1754">
        <v>44386</v>
      </c>
      <c r="B5997" s="125" t="str">
        <f>TiposLancamentos!B19</f>
        <v>Restaurantes</v>
      </c>
      <c r="C5997" s="1040" t="s">
        <v>8125</v>
      </c>
      <c r="D5997" s="1736"/>
      <c r="E5997" s="1043">
        <v>224.18</v>
      </c>
      <c r="F5997" s="1043"/>
      <c r="G5997" s="1550"/>
    </row>
    <row r="5998" spans="1:7" ht="12.75" customHeight="1">
      <c r="A5998" s="1754">
        <v>44386</v>
      </c>
      <c r="B5998" s="125" t="str">
        <f>TiposLancamentos!B19</f>
        <v>Restaurantes</v>
      </c>
      <c r="C5998" s="1040" t="s">
        <v>8126</v>
      </c>
      <c r="D5998" s="1736"/>
      <c r="E5998" s="1043">
        <v>34</v>
      </c>
      <c r="F5998" s="1043"/>
      <c r="G5998" s="1550"/>
    </row>
    <row r="5999" spans="1:7" ht="12.75" customHeight="1">
      <c r="A5999" s="1754">
        <v>44386</v>
      </c>
      <c r="B5999" s="125" t="str">
        <f>TiposLancamentos!B16</f>
        <v>Cristiane</v>
      </c>
      <c r="C5999" s="1040" t="s">
        <v>8127</v>
      </c>
      <c r="D5999" s="1736"/>
      <c r="E5999" s="1043">
        <v>68.95</v>
      </c>
      <c r="F5999" s="1043"/>
      <c r="G5999" s="1550"/>
    </row>
    <row r="6000" spans="1:7" ht="12.75" customHeight="1">
      <c r="A6000" s="1754">
        <v>44387</v>
      </c>
      <c r="B6000" s="125" t="str">
        <f>TiposLancamentos!B22</f>
        <v>Combustivel</v>
      </c>
      <c r="C6000" s="1040" t="s">
        <v>8128</v>
      </c>
      <c r="D6000" s="1736"/>
      <c r="E6000" s="1043">
        <v>150</v>
      </c>
      <c r="F6000" s="1043"/>
      <c r="G6000" s="1550"/>
    </row>
    <row r="6001" spans="1:7" ht="12.75" customHeight="1">
      <c r="A6001" s="1754">
        <v>44387</v>
      </c>
      <c r="B6001" s="125" t="str">
        <f>TiposLancamentos!B24</f>
        <v>Estacionamentos</v>
      </c>
      <c r="C6001" s="1040" t="s">
        <v>8129</v>
      </c>
      <c r="D6001" s="1736"/>
      <c r="E6001" s="1043">
        <v>14</v>
      </c>
      <c r="F6001" s="1043"/>
      <c r="G6001" s="1550"/>
    </row>
    <row r="6002" spans="1:7" ht="12.75" customHeight="1">
      <c r="A6002" s="1754">
        <v>44387</v>
      </c>
      <c r="B6002" s="125" t="str">
        <f>TiposLancamentos!B19</f>
        <v>Restaurantes</v>
      </c>
      <c r="C6002" s="1040" t="s">
        <v>8130</v>
      </c>
      <c r="D6002" s="1736"/>
      <c r="E6002" s="1043">
        <v>136.51</v>
      </c>
      <c r="F6002" s="1043"/>
      <c r="G6002" s="1550"/>
    </row>
    <row r="6003" spans="1:7" ht="12.75" customHeight="1">
      <c r="A6003" s="1754">
        <v>44387</v>
      </c>
      <c r="B6003" s="125" t="str">
        <f>TiposLancamentos!B19</f>
        <v>Restaurantes</v>
      </c>
      <c r="C6003" s="1040" t="s">
        <v>8131</v>
      </c>
      <c r="D6003" s="1736"/>
      <c r="E6003" s="1043">
        <v>19.28</v>
      </c>
      <c r="F6003" s="1043"/>
      <c r="G6003" s="1550"/>
    </row>
    <row r="6004" spans="1:7" ht="12.75" customHeight="1">
      <c r="A6004" s="1754">
        <v>44387</v>
      </c>
      <c r="B6004" s="125" t="str">
        <f>TiposLancamentos!B24</f>
        <v>Estacionamentos</v>
      </c>
      <c r="C6004" s="1040" t="s">
        <v>7490</v>
      </c>
      <c r="D6004" s="1736"/>
      <c r="E6004" s="1043">
        <v>11</v>
      </c>
      <c r="F6004" s="1043"/>
      <c r="G6004" s="1550"/>
    </row>
    <row r="6005" spans="1:7" ht="12.75" customHeight="1">
      <c r="A6005" s="1754">
        <v>44388</v>
      </c>
      <c r="B6005" s="125" t="str">
        <f>TiposLancamentos!B19</f>
        <v>Restaurantes</v>
      </c>
      <c r="C6005" s="1040" t="s">
        <v>8132</v>
      </c>
      <c r="D6005" s="1736"/>
      <c r="E6005" s="1043">
        <v>32</v>
      </c>
      <c r="F6005" s="1043"/>
      <c r="G6005" s="1550"/>
    </row>
    <row r="6006" spans="1:7" ht="12.75" customHeight="1">
      <c r="A6006" s="1754">
        <v>44388</v>
      </c>
      <c r="B6006" s="125" t="str">
        <f>TiposLancamentos!B5</f>
        <v>Supermercado</v>
      </c>
      <c r="C6006" s="1040" t="s">
        <v>8133</v>
      </c>
      <c r="D6006" s="1736"/>
      <c r="E6006" s="1043">
        <v>346.06</v>
      </c>
      <c r="F6006" s="1043"/>
      <c r="G6006" s="1550"/>
    </row>
    <row r="6007" spans="1:7" ht="12.75" customHeight="1">
      <c r="A6007" s="1754">
        <v>44389</v>
      </c>
      <c r="B6007" s="125" t="str">
        <f>TiposLancamentos!B5</f>
        <v>Supermercado</v>
      </c>
      <c r="C6007" s="1040" t="s">
        <v>8134</v>
      </c>
      <c r="D6007" s="1736"/>
      <c r="E6007" s="1043">
        <v>5.58</v>
      </c>
      <c r="F6007" s="1043"/>
      <c r="G6007" s="1550"/>
    </row>
    <row r="6008" spans="1:7" ht="12.75" customHeight="1">
      <c r="A6008" s="1754">
        <v>44389</v>
      </c>
      <c r="B6008" s="125" t="str">
        <f>TiposLancamentos!B103</f>
        <v>Juros_Corr. Poupança</v>
      </c>
      <c r="C6008" s="1040" t="s">
        <v>7341</v>
      </c>
      <c r="D6008" s="1736">
        <v>0.01</v>
      </c>
      <c r="E6008" s="1043"/>
      <c r="F6008" s="1043"/>
      <c r="G6008" s="1550"/>
    </row>
    <row r="6009" spans="1:7" ht="12.75" customHeight="1">
      <c r="A6009" s="1754">
        <v>44390</v>
      </c>
      <c r="B6009" s="125" t="str">
        <f>TiposLancamentos!B56</f>
        <v>Farmácia</v>
      </c>
      <c r="C6009" s="1040" t="s">
        <v>8135</v>
      </c>
      <c r="D6009" s="1736"/>
      <c r="E6009" s="1043">
        <v>20.78</v>
      </c>
      <c r="F6009" s="1043"/>
      <c r="G6009" s="1550"/>
    </row>
    <row r="6010" spans="1:7" ht="12.75" customHeight="1">
      <c r="A6010" s="1754">
        <v>44390</v>
      </c>
      <c r="B6010" s="125" t="str">
        <f>TiposLancamentos!B56</f>
        <v>Farmácia</v>
      </c>
      <c r="C6010" s="1040" t="s">
        <v>8136</v>
      </c>
      <c r="D6010" s="1736"/>
      <c r="E6010" s="1043">
        <v>27.28</v>
      </c>
      <c r="F6010" s="1043"/>
      <c r="G6010" s="1550"/>
    </row>
    <row r="6011" spans="1:7" ht="12.75" customHeight="1">
      <c r="A6011" s="1754">
        <v>44391</v>
      </c>
      <c r="B6011" s="125" t="str">
        <f>TiposLancamentos!B5</f>
        <v>Supermercado</v>
      </c>
      <c r="C6011" s="1040" t="s">
        <v>8137</v>
      </c>
      <c r="D6011" s="1736"/>
      <c r="E6011" s="1043">
        <v>161.96</v>
      </c>
      <c r="F6011" s="1043"/>
      <c r="G6011" s="1550"/>
    </row>
    <row r="6012" spans="1:7" ht="12.75" customHeight="1">
      <c r="A6012" s="1754">
        <v>44392</v>
      </c>
      <c r="B6012" s="125" t="str">
        <f>TiposLancamentos!B95</f>
        <v>Salarios</v>
      </c>
      <c r="C6012" s="1040" t="s">
        <v>8078</v>
      </c>
      <c r="D6012" s="1736">
        <v>4720</v>
      </c>
      <c r="E6012" s="1043"/>
      <c r="F6012" s="1043"/>
      <c r="G6012" s="1550"/>
    </row>
    <row r="6013" spans="1:7" ht="12.75" customHeight="1">
      <c r="A6013" s="1754">
        <v>44392</v>
      </c>
      <c r="B6013" s="125" t="str">
        <f>TiposLancamentos!B105</f>
        <v>Transf. Bco</v>
      </c>
      <c r="C6013" s="1040" t="s">
        <v>8079</v>
      </c>
      <c r="D6013" s="1736"/>
      <c r="E6013" s="1043">
        <v>574</v>
      </c>
      <c r="F6013" s="1043"/>
      <c r="G6013" s="1550"/>
    </row>
    <row r="6014" spans="1:7" ht="12.75" customHeight="1">
      <c r="A6014" s="1666">
        <v>44392</v>
      </c>
      <c r="B6014" s="817" t="str">
        <f>TiposLancamentos!B33</f>
        <v>Pedágios</v>
      </c>
      <c r="C6014" s="1742" t="s">
        <v>5392</v>
      </c>
      <c r="D6014" s="1735"/>
      <c r="E6014" s="1733">
        <f>F6016-(E6015+E6016)</f>
        <v>30.5</v>
      </c>
      <c r="F6014" s="1290"/>
      <c r="G6014" s="1550"/>
    </row>
    <row r="6015" spans="1:7" ht="12.75" customHeight="1">
      <c r="A6015" s="1667">
        <v>44392</v>
      </c>
      <c r="B6015" s="816" t="str">
        <f>TiposLancamentos!B24</f>
        <v>Estacionamentos</v>
      </c>
      <c r="C6015" s="1769" t="s">
        <v>7366</v>
      </c>
      <c r="D6015" s="1736"/>
      <c r="E6015" s="1734">
        <v>0</v>
      </c>
      <c r="F6015" s="1043"/>
      <c r="G6015" s="1550"/>
    </row>
    <row r="6016" spans="1:7" ht="12.75" customHeight="1">
      <c r="A6016" s="1750">
        <v>44392</v>
      </c>
      <c r="B6016" s="818" t="str">
        <f>TiposLancamentos!B24</f>
        <v>Estacionamentos</v>
      </c>
      <c r="C6016" s="1743" t="s">
        <v>6297</v>
      </c>
      <c r="D6016" s="1737"/>
      <c r="E6016" s="1668">
        <v>20</v>
      </c>
      <c r="F6016" s="1347">
        <v>50.5</v>
      </c>
      <c r="G6016" s="1550"/>
    </row>
    <row r="6017" spans="1:7" ht="12.75" customHeight="1">
      <c r="A6017" s="1754">
        <v>44392</v>
      </c>
      <c r="B6017" s="125" t="str">
        <f>TiposLancamentos!B103</f>
        <v>Juros_Corr. Poupança</v>
      </c>
      <c r="C6017" s="1040" t="s">
        <v>7341</v>
      </c>
      <c r="D6017" s="1736"/>
      <c r="E6017" s="1043"/>
      <c r="F6017" s="1043"/>
      <c r="G6017" s="1550"/>
    </row>
    <row r="6018" spans="1:7" ht="12.75" customHeight="1">
      <c r="A6018" s="1666">
        <v>44392</v>
      </c>
      <c r="B6018" s="817" t="str">
        <f>TiposLancamentos!B35</f>
        <v>Tv à Cabo</v>
      </c>
      <c r="C6018" s="1742" t="s">
        <v>5834</v>
      </c>
      <c r="D6018" s="1735"/>
      <c r="E6018" s="1733">
        <f>F6020-(E6019+E6020)</f>
        <v>127.61000000000001</v>
      </c>
      <c r="F6018" s="1290"/>
      <c r="G6018" s="1550"/>
    </row>
    <row r="6019" spans="1:7" ht="12.75" customHeight="1">
      <c r="A6019" s="1667">
        <v>44392</v>
      </c>
      <c r="B6019" s="816" t="str">
        <f>TiposLancamentos!B3</f>
        <v>Internet</v>
      </c>
      <c r="C6019" s="1769" t="s">
        <v>5835</v>
      </c>
      <c r="D6019" s="1736"/>
      <c r="E6019" s="1734">
        <v>134.99</v>
      </c>
      <c r="F6019" s="1043"/>
      <c r="G6019" s="1550"/>
    </row>
    <row r="6020" spans="1:7" ht="12.75" customHeight="1">
      <c r="A6020" s="1750">
        <v>44392</v>
      </c>
      <c r="B6020" s="818" t="str">
        <f>TiposLancamentos!B2</f>
        <v>Telefonia</v>
      </c>
      <c r="C6020" s="1743" t="s">
        <v>7210</v>
      </c>
      <c r="D6020" s="1737"/>
      <c r="E6020" s="1668">
        <v>0</v>
      </c>
      <c r="F6020" s="1291">
        <v>262.60000000000002</v>
      </c>
      <c r="G6020" s="1550"/>
    </row>
    <row r="6021" spans="1:7" ht="12.75" customHeight="1">
      <c r="A6021" s="1754">
        <v>44392</v>
      </c>
      <c r="B6021" s="125" t="str">
        <f>TiposLancamentos!B97</f>
        <v>Deposito Terc.</v>
      </c>
      <c r="C6021" s="1040" t="s">
        <v>8138</v>
      </c>
      <c r="D6021" s="1736">
        <v>537.28</v>
      </c>
      <c r="E6021" s="1043"/>
      <c r="F6021" s="1043"/>
      <c r="G6021" s="1550"/>
    </row>
    <row r="6022" spans="1:7" ht="12.75" customHeight="1">
      <c r="A6022" s="1754">
        <v>44392</v>
      </c>
      <c r="B6022" s="125" t="str">
        <f>TiposLancamentos!B34</f>
        <v>Seguros</v>
      </c>
      <c r="C6022" s="1040" t="s">
        <v>8139</v>
      </c>
      <c r="D6022" s="1736"/>
      <c r="E6022" s="1043">
        <v>1074.57</v>
      </c>
      <c r="F6022" s="1043"/>
      <c r="G6022" s="1550"/>
    </row>
    <row r="6023" spans="1:7" ht="12.75" customHeight="1">
      <c r="A6023" s="1754">
        <v>44393</v>
      </c>
      <c r="B6023" s="125" t="str">
        <f>TiposLancamentos!B46</f>
        <v>Maçonaria</v>
      </c>
      <c r="C6023" s="1040" t="s">
        <v>8140</v>
      </c>
      <c r="D6023" s="1736"/>
      <c r="E6023" s="1043">
        <v>180</v>
      </c>
      <c r="F6023" s="1043"/>
      <c r="G6023" s="1550"/>
    </row>
    <row r="6024" spans="1:7" ht="12.75" customHeight="1">
      <c r="A6024" s="1754">
        <v>44393</v>
      </c>
      <c r="B6024" s="125" t="str">
        <f>TiposLancamentos!B46</f>
        <v>Maçonaria</v>
      </c>
      <c r="C6024" s="1040" t="s">
        <v>8141</v>
      </c>
      <c r="D6024" s="1736"/>
      <c r="E6024" s="1043">
        <v>80</v>
      </c>
      <c r="F6024" s="1043"/>
      <c r="G6024" s="1550"/>
    </row>
    <row r="6025" spans="1:7" ht="12.75" customHeight="1">
      <c r="A6025" s="1754">
        <v>44393</v>
      </c>
      <c r="B6025" s="125" t="str">
        <f>TiposLancamentos!B105</f>
        <v>Transf. Bco</v>
      </c>
      <c r="C6025" s="1040" t="s">
        <v>8142</v>
      </c>
      <c r="D6025" s="1736"/>
      <c r="E6025" s="1043">
        <v>710.6</v>
      </c>
      <c r="F6025" s="1043"/>
      <c r="G6025" s="1550"/>
    </row>
    <row r="6026" spans="1:7" ht="12.75" customHeight="1">
      <c r="A6026" s="1754">
        <v>44393</v>
      </c>
      <c r="B6026" s="125" t="str">
        <f>TiposLancamentos!B103</f>
        <v>Juros_Corr. Poupança</v>
      </c>
      <c r="C6026" s="1040" t="s">
        <v>7341</v>
      </c>
      <c r="D6026" s="1736">
        <v>0.02</v>
      </c>
      <c r="E6026" s="1043"/>
      <c r="F6026" s="1043"/>
      <c r="G6026" s="1550"/>
    </row>
    <row r="6027" spans="1:7" ht="12.75" customHeight="1">
      <c r="A6027" s="1754">
        <v>44394</v>
      </c>
      <c r="B6027" s="125" t="str">
        <f>TiposLancamentos!B19</f>
        <v>Restaurantes</v>
      </c>
      <c r="C6027" s="1040" t="s">
        <v>8143</v>
      </c>
      <c r="D6027" s="1736"/>
      <c r="E6027" s="1043">
        <v>46</v>
      </c>
      <c r="F6027" s="1043"/>
      <c r="G6027" s="1550"/>
    </row>
    <row r="6028" spans="1:7" ht="12.75" customHeight="1">
      <c r="A6028" s="1754">
        <v>44394</v>
      </c>
      <c r="B6028" s="125" t="str">
        <f>TiposLancamentos!B19</f>
        <v>Restaurantes</v>
      </c>
      <c r="C6028" s="1040" t="s">
        <v>8055</v>
      </c>
      <c r="D6028" s="1736"/>
      <c r="E6028" s="1043">
        <v>13.3</v>
      </c>
      <c r="F6028" s="1043"/>
      <c r="G6028" s="1550"/>
    </row>
    <row r="6029" spans="1:7" ht="12.75" customHeight="1">
      <c r="A6029" s="1754">
        <v>44394</v>
      </c>
      <c r="B6029" s="125" t="str">
        <f>TiposLancamentos!B24</f>
        <v>Estacionamentos</v>
      </c>
      <c r="C6029" s="1040" t="s">
        <v>3398</v>
      </c>
      <c r="D6029" s="1736"/>
      <c r="E6029" s="1043">
        <v>11</v>
      </c>
      <c r="F6029" s="1043"/>
      <c r="G6029" s="1550"/>
    </row>
    <row r="6030" spans="1:7" ht="12.75" customHeight="1">
      <c r="A6030" s="1754">
        <v>44395</v>
      </c>
      <c r="B6030" s="125" t="str">
        <f>TiposLancamentos!B19</f>
        <v>Restaurantes</v>
      </c>
      <c r="C6030" s="1040" t="s">
        <v>8144</v>
      </c>
      <c r="D6030" s="1736"/>
      <c r="E6030" s="1043">
        <v>172.14</v>
      </c>
      <c r="F6030" s="1043"/>
      <c r="G6030" s="1550"/>
    </row>
    <row r="6031" spans="1:7" ht="12.75" customHeight="1">
      <c r="A6031" s="1754">
        <v>44395</v>
      </c>
      <c r="B6031" s="125" t="str">
        <f>TiposLancamentos!B5</f>
        <v>Supermercado</v>
      </c>
      <c r="C6031" s="1040" t="s">
        <v>8145</v>
      </c>
      <c r="D6031" s="1736"/>
      <c r="E6031" s="1043">
        <v>39.700000000000003</v>
      </c>
      <c r="F6031" s="1043"/>
      <c r="G6031" s="1550"/>
    </row>
    <row r="6032" spans="1:7" ht="12.75" customHeight="1">
      <c r="A6032" s="1754">
        <v>44395</v>
      </c>
      <c r="B6032" s="125" t="str">
        <f>TiposLancamentos!B5</f>
        <v>Supermercado</v>
      </c>
      <c r="C6032" s="1040" t="s">
        <v>8145</v>
      </c>
      <c r="D6032" s="1736"/>
      <c r="E6032" s="1043">
        <v>9.9</v>
      </c>
      <c r="F6032" s="1043"/>
      <c r="G6032" s="1550"/>
    </row>
    <row r="6033" spans="1:7" ht="12.75" customHeight="1">
      <c r="A6033" s="1754">
        <v>44396</v>
      </c>
      <c r="B6033" s="125" t="str">
        <f>TiposLancamentos!B103</f>
        <v>Juros_Corr. Poupança</v>
      </c>
      <c r="C6033" s="1040" t="s">
        <v>7341</v>
      </c>
      <c r="D6033" s="1736">
        <v>0.02</v>
      </c>
      <c r="E6033" s="1043"/>
      <c r="F6033" s="1043"/>
      <c r="G6033" s="1550"/>
    </row>
    <row r="6034" spans="1:7" ht="12.75" customHeight="1">
      <c r="A6034" s="1754">
        <v>44396</v>
      </c>
      <c r="B6034" s="125" t="str">
        <f>TiposLancamentos!B2</f>
        <v>Telefonia</v>
      </c>
      <c r="C6034" s="1040" t="s">
        <v>7933</v>
      </c>
      <c r="D6034" s="1736"/>
      <c r="E6034" s="1043">
        <v>49.99</v>
      </c>
      <c r="F6034" s="1043"/>
      <c r="G6034" s="1550"/>
    </row>
    <row r="6035" spans="1:7" ht="12.75" customHeight="1">
      <c r="A6035" s="1754">
        <v>44396</v>
      </c>
      <c r="B6035" s="125" t="str">
        <f>TiposLancamentos!B5</f>
        <v>Supermercado</v>
      </c>
      <c r="C6035" s="1040" t="s">
        <v>8146</v>
      </c>
      <c r="D6035" s="1736"/>
      <c r="E6035" s="1043">
        <v>26.37</v>
      </c>
      <c r="F6035" s="1043"/>
      <c r="G6035" s="1550"/>
    </row>
    <row r="6036" spans="1:7" ht="12.75" customHeight="1">
      <c r="A6036" s="1666">
        <v>44397</v>
      </c>
      <c r="B6036" s="817" t="str">
        <f>TiposLancamentos!B8</f>
        <v>Aluguel</v>
      </c>
      <c r="C6036" s="1742" t="s">
        <v>8147</v>
      </c>
      <c r="D6036" s="1735"/>
      <c r="E6036" s="1733">
        <f>F6041-(E6037+E6041+E6038+E6039+E6040)</f>
        <v>1399.9999999999998</v>
      </c>
      <c r="F6036" s="1346"/>
      <c r="G6036" s="1550"/>
    </row>
    <row r="6037" spans="1:7" ht="12.75" customHeight="1">
      <c r="A6037" s="1667">
        <v>44397</v>
      </c>
      <c r="B6037" s="816" t="str">
        <f>TiposLancamentos!B12</f>
        <v>IPTU</v>
      </c>
      <c r="C6037" s="1769" t="s">
        <v>8148</v>
      </c>
      <c r="D6037" s="1736"/>
      <c r="E6037" s="1734">
        <v>54.02</v>
      </c>
      <c r="F6037" s="1043"/>
      <c r="G6037" s="1550"/>
    </row>
    <row r="6038" spans="1:7" ht="12.75" customHeight="1">
      <c r="A6038" s="1667">
        <v>44397</v>
      </c>
      <c r="B6038" s="816" t="str">
        <f>TiposLancamentos!B10</f>
        <v>Distr. Água Municipal</v>
      </c>
      <c r="C6038" s="1769" t="s">
        <v>7423</v>
      </c>
      <c r="D6038" s="1736"/>
      <c r="E6038" s="1734">
        <v>75.489999999999995</v>
      </c>
      <c r="F6038" s="1043"/>
      <c r="G6038" s="1550"/>
    </row>
    <row r="6039" spans="1:7" ht="12.75" customHeight="1">
      <c r="A6039" s="1667">
        <v>44397</v>
      </c>
      <c r="B6039" s="816" t="str">
        <f>TiposLancamentos!B11</f>
        <v>Coleta Municipal Lixo</v>
      </c>
      <c r="C6039" s="1769" t="s">
        <v>7424</v>
      </c>
      <c r="D6039" s="1736"/>
      <c r="E6039" s="1734">
        <v>44.36</v>
      </c>
      <c r="F6039" s="1043"/>
      <c r="G6039" s="1550"/>
    </row>
    <row r="6040" spans="1:7" ht="12.75" customHeight="1">
      <c r="A6040" s="1667">
        <v>44397</v>
      </c>
      <c r="B6040" s="816" t="str">
        <f>TiposLancamentos!B8</f>
        <v>Aluguel</v>
      </c>
      <c r="C6040" s="1769" t="s">
        <v>7425</v>
      </c>
      <c r="D6040" s="1736"/>
      <c r="E6040" s="1734">
        <v>8</v>
      </c>
      <c r="F6040" s="1043"/>
      <c r="G6040" s="1550"/>
    </row>
    <row r="6041" spans="1:7" ht="12.75" customHeight="1">
      <c r="A6041" s="1750">
        <v>44397</v>
      </c>
      <c r="B6041" s="818" t="str">
        <f>TiposLancamentos!B9</f>
        <v>Condominio</v>
      </c>
      <c r="C6041" s="1743" t="s">
        <v>7427</v>
      </c>
      <c r="D6041" s="1737"/>
      <c r="E6041" s="1668">
        <v>616.37</v>
      </c>
      <c r="F6041" s="1291">
        <v>2198.2399999999998</v>
      </c>
      <c r="G6041" s="1550"/>
    </row>
    <row r="6042" spans="1:7" ht="12.75" customHeight="1">
      <c r="A6042" s="1754">
        <v>44398</v>
      </c>
      <c r="B6042" s="125" t="str">
        <f>TiposLancamentos!B103</f>
        <v>Juros_Corr. Poupança</v>
      </c>
      <c r="C6042" s="1040" t="s">
        <v>7341</v>
      </c>
      <c r="D6042" s="1736">
        <v>0.02</v>
      </c>
      <c r="E6042" s="1043"/>
      <c r="F6042" s="1043"/>
      <c r="G6042" s="1550"/>
    </row>
    <row r="6043" spans="1:7" ht="12.75" customHeight="1">
      <c r="A6043" s="1754">
        <v>44398</v>
      </c>
      <c r="B6043" s="125" t="str">
        <f>TiposLancamentos!B6</f>
        <v>Energia Eletrica</v>
      </c>
      <c r="C6043" s="1040" t="s">
        <v>8149</v>
      </c>
      <c r="D6043" s="1736"/>
      <c r="E6043" s="1043">
        <v>280.95999999999998</v>
      </c>
      <c r="F6043" s="1043"/>
      <c r="G6043" s="1550"/>
    </row>
    <row r="6044" spans="1:7" ht="12.75" customHeight="1">
      <c r="A6044" s="1754">
        <v>44399</v>
      </c>
      <c r="B6044" s="125" t="str">
        <f>TiposLancamentos!B60</f>
        <v>Correio</v>
      </c>
      <c r="C6044" s="1040" t="s">
        <v>8150</v>
      </c>
      <c r="D6044" s="1736"/>
      <c r="E6044" s="1043">
        <v>22.5</v>
      </c>
      <c r="F6044" s="1043"/>
      <c r="G6044" s="1550"/>
    </row>
    <row r="6045" spans="1:7" ht="12.75" customHeight="1">
      <c r="A6045" s="1754">
        <v>44399</v>
      </c>
      <c r="B6045" s="125" t="str">
        <f>TiposLancamentos!B16</f>
        <v>Cristiane</v>
      </c>
      <c r="C6045" s="1040" t="s">
        <v>3509</v>
      </c>
      <c r="D6045" s="1736"/>
      <c r="E6045" s="1043">
        <v>69.95</v>
      </c>
      <c r="F6045" s="1043"/>
      <c r="G6045" s="1550"/>
    </row>
    <row r="6046" spans="1:7" ht="12.75" customHeight="1">
      <c r="A6046" s="1754">
        <v>44399</v>
      </c>
      <c r="B6046" s="125" t="str">
        <f>TiposLancamentos!B17</f>
        <v>GATO</v>
      </c>
      <c r="C6046" s="1040" t="s">
        <v>2026</v>
      </c>
      <c r="D6046" s="1736"/>
      <c r="E6046" s="1043">
        <v>11.8</v>
      </c>
      <c r="F6046" s="1043"/>
      <c r="G6046" s="1550"/>
    </row>
    <row r="6047" spans="1:7" ht="12.75" customHeight="1">
      <c r="A6047" s="1754">
        <v>44399</v>
      </c>
      <c r="B6047" s="125" t="str">
        <f>TiposLancamentos!B103</f>
        <v>Juros_Corr. Poupança</v>
      </c>
      <c r="C6047" s="1040" t="s">
        <v>7341</v>
      </c>
      <c r="D6047" s="1736">
        <v>0.02</v>
      </c>
      <c r="E6047" s="1043"/>
      <c r="F6047" s="1043"/>
      <c r="G6047" s="1550"/>
    </row>
    <row r="6048" spans="1:7" ht="12.75" customHeight="1">
      <c r="A6048" s="1754">
        <v>44399</v>
      </c>
      <c r="B6048" s="125" t="str">
        <f>TiposLancamentos!B19</f>
        <v>Restaurantes</v>
      </c>
      <c r="C6048" s="1040" t="s">
        <v>8151</v>
      </c>
      <c r="D6048" s="1736"/>
      <c r="E6048" s="1043">
        <v>296.58</v>
      </c>
      <c r="F6048" s="1043"/>
      <c r="G6048" s="1550"/>
    </row>
    <row r="6049" spans="1:7" ht="12.75" customHeight="1">
      <c r="A6049" s="1754">
        <v>44400</v>
      </c>
      <c r="B6049" s="125" t="str">
        <f>TiposLancamentos!B97</f>
        <v>Deposito Terc.</v>
      </c>
      <c r="C6049" s="1040" t="s">
        <v>8152</v>
      </c>
      <c r="D6049" s="1736">
        <v>22.5</v>
      </c>
      <c r="E6049" s="1043"/>
      <c r="F6049" s="1043"/>
      <c r="G6049" s="1550"/>
    </row>
    <row r="6050" spans="1:7" ht="12.75" customHeight="1">
      <c r="A6050" s="1754">
        <v>44401</v>
      </c>
      <c r="B6050" s="125" t="str">
        <f>TiposLancamentos!B16</f>
        <v>Cristiane</v>
      </c>
      <c r="C6050" s="1040" t="s">
        <v>8153</v>
      </c>
      <c r="D6050" s="1736"/>
      <c r="E6050" s="1043">
        <v>80</v>
      </c>
      <c r="F6050" s="1043"/>
      <c r="G6050" s="1550"/>
    </row>
    <row r="6051" spans="1:7" ht="12.75" customHeight="1">
      <c r="A6051" s="1754">
        <v>44401</v>
      </c>
      <c r="B6051" s="125" t="str">
        <f>B6048</f>
        <v>Restaurantes</v>
      </c>
      <c r="C6051" s="1040" t="s">
        <v>8154</v>
      </c>
      <c r="D6051" s="1736"/>
      <c r="E6051" s="1043">
        <v>18.3</v>
      </c>
      <c r="F6051" s="1043"/>
      <c r="G6051" s="1550"/>
    </row>
    <row r="6052" spans="1:7" ht="12.75" customHeight="1">
      <c r="A6052" s="1754">
        <v>44401</v>
      </c>
      <c r="B6052" s="125" t="str">
        <f>TiposLancamentos!B71</f>
        <v>Itens Pessoais</v>
      </c>
      <c r="C6052" s="1040" t="s">
        <v>8155</v>
      </c>
      <c r="D6052" s="1736"/>
      <c r="E6052" s="1043">
        <v>25</v>
      </c>
      <c r="F6052" s="1043"/>
      <c r="G6052" s="1550"/>
    </row>
    <row r="6053" spans="1:7" ht="12.75" customHeight="1">
      <c r="A6053" s="1754">
        <v>44401</v>
      </c>
      <c r="B6053" s="125" t="str">
        <f>TiposLancamentos!B16</f>
        <v>Cristiane</v>
      </c>
      <c r="C6053" s="1040" t="s">
        <v>8156</v>
      </c>
      <c r="D6053" s="1736"/>
      <c r="E6053" s="1043">
        <v>18</v>
      </c>
      <c r="F6053" s="1043"/>
      <c r="G6053" s="1550"/>
    </row>
    <row r="6054" spans="1:7" ht="12.75" customHeight="1">
      <c r="A6054" s="1754">
        <v>44401</v>
      </c>
      <c r="B6054" s="125" t="str">
        <f>TiposLancamentos!B24</f>
        <v>Estacionamentos</v>
      </c>
      <c r="C6054" s="1040" t="s">
        <v>8157</v>
      </c>
      <c r="D6054" s="1736"/>
      <c r="E6054" s="1043">
        <v>11</v>
      </c>
      <c r="F6054" s="1043"/>
      <c r="G6054" s="1550"/>
    </row>
    <row r="6055" spans="1:7" ht="12.75" customHeight="1">
      <c r="A6055" s="1754">
        <v>44401</v>
      </c>
      <c r="B6055" s="125" t="str">
        <f>TiposLancamentos!B19</f>
        <v>Restaurantes</v>
      </c>
      <c r="C6055" s="1040" t="s">
        <v>8158</v>
      </c>
      <c r="D6055" s="1736"/>
      <c r="E6055" s="1043">
        <v>75</v>
      </c>
      <c r="F6055" s="1043"/>
      <c r="G6055" s="1550"/>
    </row>
    <row r="6056" spans="1:7" ht="12.75" customHeight="1">
      <c r="A6056" s="1754">
        <v>44401</v>
      </c>
      <c r="B6056" s="125" t="str">
        <f>TiposLancamentos!B56</f>
        <v>Farmácia</v>
      </c>
      <c r="C6056" s="1040" t="s">
        <v>8159</v>
      </c>
      <c r="D6056" s="1736"/>
      <c r="E6056" s="1043">
        <v>27.77</v>
      </c>
      <c r="F6056" s="1043"/>
      <c r="G6056" s="1550"/>
    </row>
    <row r="6057" spans="1:7" ht="12.75" customHeight="1">
      <c r="A6057" s="1754">
        <v>44401</v>
      </c>
      <c r="B6057" s="125" t="str">
        <f>TiposLancamentos!B5</f>
        <v>Supermercado</v>
      </c>
      <c r="C6057" s="1040" t="s">
        <v>8012</v>
      </c>
      <c r="D6057" s="1736"/>
      <c r="E6057" s="1043">
        <v>24.29</v>
      </c>
      <c r="F6057" s="1043"/>
      <c r="G6057" s="1550"/>
    </row>
    <row r="6058" spans="1:7" ht="12.75" customHeight="1">
      <c r="A6058" s="1754">
        <v>44401</v>
      </c>
      <c r="B6058" s="125" t="str">
        <f>TiposLancamentos!B103</f>
        <v>Juros_Corr. Poupança</v>
      </c>
      <c r="C6058" s="1040" t="s">
        <v>7341</v>
      </c>
      <c r="D6058" s="1736">
        <v>0.02</v>
      </c>
      <c r="E6058" s="1043"/>
      <c r="F6058" s="1043"/>
      <c r="G6058" s="1550"/>
    </row>
    <row r="6059" spans="1:7" ht="12.75" customHeight="1">
      <c r="A6059" s="1754">
        <v>44402</v>
      </c>
      <c r="B6059" s="125" t="str">
        <f>TiposLancamentos!B5</f>
        <v>Supermercado</v>
      </c>
      <c r="C6059" s="1040" t="s">
        <v>8160</v>
      </c>
      <c r="D6059" s="1736"/>
      <c r="E6059" s="1043">
        <v>480.48</v>
      </c>
      <c r="F6059" s="1043"/>
      <c r="G6059" s="1550"/>
    </row>
    <row r="6060" spans="1:7" ht="12.75" customHeight="1">
      <c r="A6060" s="1754">
        <v>44402</v>
      </c>
      <c r="B6060" s="125" t="str">
        <f>TiposLancamentos!B19</f>
        <v>Restaurantes</v>
      </c>
      <c r="C6060" s="1040" t="s">
        <v>8161</v>
      </c>
      <c r="D6060" s="1736"/>
      <c r="E6060" s="1043">
        <v>11</v>
      </c>
      <c r="F6060" s="1043"/>
      <c r="G6060" s="1550"/>
    </row>
    <row r="6061" spans="1:7" ht="12.75" customHeight="1">
      <c r="A6061" s="1754">
        <v>44402</v>
      </c>
      <c r="B6061" s="125" t="str">
        <f>TiposLancamentos!B19</f>
        <v>Restaurantes</v>
      </c>
      <c r="C6061" s="1040" t="s">
        <v>8132</v>
      </c>
      <c r="D6061" s="1736"/>
      <c r="E6061" s="1043">
        <v>27</v>
      </c>
      <c r="F6061" s="1043"/>
      <c r="G6061" s="1550"/>
    </row>
    <row r="6062" spans="1:7" ht="12.75" customHeight="1">
      <c r="A6062" s="1666">
        <v>44402</v>
      </c>
      <c r="B6062" s="817" t="str">
        <f>TiposLancamentos!B16</f>
        <v>Cristiane</v>
      </c>
      <c r="C6062" s="1742" t="s">
        <v>8162</v>
      </c>
      <c r="D6062" s="1735"/>
      <c r="E6062" s="1733">
        <f>F6063-E6063</f>
        <v>73.95</v>
      </c>
      <c r="F6062" s="1346"/>
      <c r="G6062" s="1550"/>
    </row>
    <row r="6063" spans="1:7" ht="12.75" customHeight="1">
      <c r="A6063" s="1750">
        <v>44402</v>
      </c>
      <c r="B6063" s="818" t="str">
        <f>TiposLancamentos!B56</f>
        <v>Farmácia</v>
      </c>
      <c r="C6063" s="1743" t="s">
        <v>8163</v>
      </c>
      <c r="D6063" s="1737"/>
      <c r="E6063" s="1668">
        <f>(60.36-27.51)</f>
        <v>32.849999999999994</v>
      </c>
      <c r="F6063" s="1291">
        <v>106.8</v>
      </c>
      <c r="G6063" s="1550"/>
    </row>
    <row r="6064" spans="1:7" ht="12.75" customHeight="1">
      <c r="A6064" s="1754">
        <v>44403</v>
      </c>
      <c r="B6064" s="125" t="str">
        <f>TiposLancamentos!B13</f>
        <v>Moradia</v>
      </c>
      <c r="C6064" s="1040" t="s">
        <v>3682</v>
      </c>
      <c r="D6064" s="1736"/>
      <c r="E6064" s="1043">
        <v>24</v>
      </c>
      <c r="F6064" s="1043"/>
      <c r="G6064" s="1550"/>
    </row>
    <row r="6065" spans="1:7" ht="12.75" customHeight="1">
      <c r="A6065" s="1754">
        <v>44405</v>
      </c>
      <c r="B6065" s="125" t="str">
        <f>TiposLancamentos!B5</f>
        <v>Supermercado</v>
      </c>
      <c r="C6065" s="1040" t="s">
        <v>7904</v>
      </c>
      <c r="D6065" s="1736"/>
      <c r="E6065" s="1043">
        <v>242.14</v>
      </c>
      <c r="F6065" s="1043"/>
      <c r="G6065" s="1550"/>
    </row>
    <row r="6066" spans="1:7" ht="12.75" customHeight="1">
      <c r="A6066" s="1754">
        <v>44407</v>
      </c>
      <c r="B6066" s="125" t="str">
        <f>TiposLancamentos!B95</f>
        <v>Salarios</v>
      </c>
      <c r="C6066" s="1040" t="s">
        <v>8064</v>
      </c>
      <c r="D6066" s="1736">
        <v>3659.47</v>
      </c>
      <c r="E6066" s="1043"/>
      <c r="F6066" s="1043"/>
      <c r="G6066" s="1550"/>
    </row>
    <row r="6067" spans="1:7" ht="12.75" customHeight="1">
      <c r="A6067" s="1754">
        <v>44407</v>
      </c>
      <c r="B6067" s="125" t="str">
        <f>TiposLancamentos!B103</f>
        <v>Juros_Corr. Poupança</v>
      </c>
      <c r="C6067" s="1040" t="s">
        <v>7341</v>
      </c>
      <c r="D6067" s="1736">
        <v>0.02</v>
      </c>
      <c r="E6067" s="1043"/>
      <c r="F6067" s="1043"/>
      <c r="G6067" s="1550"/>
    </row>
    <row r="6068" spans="1:7" ht="12.75" customHeight="1">
      <c r="A6068" s="1754">
        <v>44407</v>
      </c>
      <c r="B6068" s="125" t="str">
        <f>TiposLancamentos!B56</f>
        <v>Farmácia</v>
      </c>
      <c r="C6068" s="1040" t="s">
        <v>8164</v>
      </c>
      <c r="D6068" s="1736"/>
      <c r="E6068" s="1043">
        <v>132.53</v>
      </c>
      <c r="F6068" s="1043"/>
      <c r="G6068" s="1550"/>
    </row>
    <row r="6069" spans="1:7" ht="12.75" customHeight="1">
      <c r="A6069" s="1754">
        <v>44407</v>
      </c>
      <c r="B6069" s="125" t="str">
        <f>TiposLancamentos!B46</f>
        <v>Maçonaria</v>
      </c>
      <c r="C6069" s="1040" t="s">
        <v>8165</v>
      </c>
      <c r="D6069" s="1736"/>
      <c r="E6069" s="1043">
        <v>100</v>
      </c>
      <c r="F6069" s="1043"/>
      <c r="G6069" s="1550"/>
    </row>
    <row r="6070" spans="1:7" ht="12.75" customHeight="1">
      <c r="A6070" s="1754">
        <v>44408</v>
      </c>
      <c r="B6070" s="125" t="str">
        <f>TiposLancamentos!B16</f>
        <v>Cristiane</v>
      </c>
      <c r="C6070" s="1040" t="s">
        <v>8166</v>
      </c>
      <c r="D6070" s="1736"/>
      <c r="E6070" s="1043">
        <v>174.99</v>
      </c>
      <c r="F6070" s="1043"/>
      <c r="G6070" s="1550"/>
    </row>
    <row r="6071" spans="1:7" ht="12.75" customHeight="1">
      <c r="A6071" s="1754">
        <v>44408</v>
      </c>
      <c r="B6071" s="125" t="str">
        <f>TiposLancamentos!B19</f>
        <v>Restaurantes</v>
      </c>
      <c r="C6071" s="1040" t="s">
        <v>3960</v>
      </c>
      <c r="D6071" s="1736"/>
      <c r="E6071" s="1043">
        <v>63.45</v>
      </c>
      <c r="F6071" s="1043"/>
      <c r="G6071" s="1550"/>
    </row>
    <row r="6072" spans="1:7" ht="12.75" customHeight="1" thickBot="1">
      <c r="A6072" s="1754">
        <v>44408</v>
      </c>
      <c r="B6072" s="125" t="str">
        <f>TiposLancamentos!B24</f>
        <v>Estacionamentos</v>
      </c>
      <c r="C6072" s="1040" t="s">
        <v>8167</v>
      </c>
      <c r="D6072" s="1736"/>
      <c r="E6072" s="1043">
        <v>11</v>
      </c>
      <c r="F6072" s="1043"/>
      <c r="G6072" s="1550"/>
    </row>
    <row r="6073" spans="1:7" ht="12.75" customHeight="1">
      <c r="A6073" s="1834"/>
      <c r="B6073" s="977"/>
      <c r="C6073" s="1854" t="s">
        <v>8168</v>
      </c>
      <c r="D6073" s="1823"/>
      <c r="E6073" s="1821"/>
      <c r="F6073" s="1821"/>
      <c r="G6073" s="1895"/>
    </row>
    <row r="6074" spans="1:7" ht="12.75" customHeight="1">
      <c r="A6074" s="1754">
        <v>44409</v>
      </c>
      <c r="B6074" s="125" t="str">
        <f>TiposLancamentos!B19</f>
        <v>Restaurantes</v>
      </c>
      <c r="C6074" s="1040" t="s">
        <v>7784</v>
      </c>
      <c r="D6074" s="1736"/>
      <c r="E6074" s="1043">
        <v>131.44999999999999</v>
      </c>
      <c r="F6074" s="1043"/>
      <c r="G6074" s="1550"/>
    </row>
    <row r="6075" spans="1:7" ht="12.75" customHeight="1">
      <c r="A6075" s="1754">
        <v>44409</v>
      </c>
      <c r="B6075" s="125" t="str">
        <f>TiposLancamentos!B19</f>
        <v>Restaurantes</v>
      </c>
      <c r="C6075" s="1040" t="s">
        <v>8169</v>
      </c>
      <c r="D6075" s="1736"/>
      <c r="E6075" s="1043">
        <v>21.8</v>
      </c>
      <c r="F6075" s="1043"/>
      <c r="G6075" s="1550"/>
    </row>
    <row r="6076" spans="1:7" ht="12.75" customHeight="1">
      <c r="A6076" s="1754">
        <v>44410</v>
      </c>
      <c r="B6076" s="125" t="str">
        <f>TiposLancamentos!B15</f>
        <v>Cartões de Crédito</v>
      </c>
      <c r="C6076" s="1040" t="s">
        <v>7781</v>
      </c>
      <c r="D6076" s="1736"/>
      <c r="E6076" s="1043">
        <v>1416.97</v>
      </c>
      <c r="F6076" s="1043"/>
      <c r="G6076" s="1550"/>
    </row>
    <row r="6077" spans="1:7" ht="12.75" customHeight="1">
      <c r="A6077" s="1754">
        <v>44410</v>
      </c>
      <c r="B6077" s="125" t="str">
        <f>TiposLancamentos!B15</f>
        <v>Cartões de Crédito</v>
      </c>
      <c r="C6077" s="1040" t="s">
        <v>7333</v>
      </c>
      <c r="D6077" s="1736"/>
      <c r="E6077" s="1043">
        <v>261.11</v>
      </c>
      <c r="F6077" s="1043"/>
      <c r="G6077" s="1550"/>
    </row>
    <row r="6078" spans="1:7" ht="12.75" customHeight="1">
      <c r="A6078" s="1754">
        <v>44410</v>
      </c>
      <c r="B6078" s="125" t="str">
        <f>TiposLancamentos!B15</f>
        <v>Cartões de Crédito</v>
      </c>
      <c r="C6078" s="1040" t="s">
        <v>8016</v>
      </c>
      <c r="D6078" s="1736"/>
      <c r="E6078" s="1043">
        <v>48.6</v>
      </c>
      <c r="F6078" s="1043"/>
      <c r="G6078" s="1550"/>
    </row>
    <row r="6079" spans="1:7" ht="12.75" customHeight="1">
      <c r="A6079" s="1754">
        <v>44410</v>
      </c>
      <c r="B6079" s="125" t="str">
        <f>TiposLancamentos!B14</f>
        <v>Gás de cozinha</v>
      </c>
      <c r="C6079" s="1040" t="s">
        <v>7722</v>
      </c>
      <c r="D6079" s="1736"/>
      <c r="E6079" s="1043">
        <v>45.32</v>
      </c>
      <c r="F6079" s="1043"/>
      <c r="G6079" s="1550"/>
    </row>
    <row r="6080" spans="1:7" ht="12.75" customHeight="1">
      <c r="A6080" s="1754">
        <v>44410</v>
      </c>
      <c r="B6080" s="125" t="str">
        <f>TiposLancamentos!B103</f>
        <v>Juros_Corr. Poupança</v>
      </c>
      <c r="C6080" s="1040" t="s">
        <v>7341</v>
      </c>
      <c r="D6080" s="1736">
        <v>0.02</v>
      </c>
      <c r="E6080" s="1043"/>
      <c r="F6080" s="1043"/>
      <c r="G6080" s="1550"/>
    </row>
    <row r="6081" spans="1:7" ht="12.75" customHeight="1">
      <c r="A6081" s="1754">
        <v>44410</v>
      </c>
      <c r="B6081" s="125" t="str">
        <f>TiposLancamentos!B97</f>
        <v>Deposito Terc.</v>
      </c>
      <c r="C6081" s="1040" t="s">
        <v>8170</v>
      </c>
      <c r="D6081" s="1736">
        <v>120</v>
      </c>
      <c r="E6081" s="1043"/>
      <c r="F6081" s="1043"/>
      <c r="G6081" s="1550"/>
    </row>
    <row r="6082" spans="1:7" ht="12.75" customHeight="1">
      <c r="A6082" s="1754">
        <v>44410</v>
      </c>
      <c r="B6082" s="125" t="str">
        <f>TiposLancamentos!B19</f>
        <v>Restaurantes</v>
      </c>
      <c r="C6082" s="1040" t="s">
        <v>8171</v>
      </c>
      <c r="D6082" s="1736"/>
      <c r="E6082" s="1043">
        <v>88.5</v>
      </c>
      <c r="F6082" s="1043"/>
      <c r="G6082" s="1550"/>
    </row>
    <row r="6083" spans="1:7" ht="12.75" customHeight="1">
      <c r="A6083" s="1754">
        <v>44411</v>
      </c>
      <c r="B6083" s="125" t="str">
        <f>TiposLancamentos!B4</f>
        <v>Taxas Bancarias</v>
      </c>
      <c r="C6083" s="1040" t="s">
        <v>8067</v>
      </c>
      <c r="D6083" s="1736"/>
      <c r="E6083" s="1043">
        <v>5.5</v>
      </c>
      <c r="F6083" s="1043"/>
      <c r="G6083" s="1550"/>
    </row>
    <row r="6084" spans="1:7" ht="12.75" customHeight="1">
      <c r="A6084" s="1754">
        <v>44411</v>
      </c>
      <c r="B6084" s="125" t="str">
        <f>TiposLancamentos!B32</f>
        <v>Clinicas e tratamentos</v>
      </c>
      <c r="C6084" s="1040" t="s">
        <v>8172</v>
      </c>
      <c r="D6084" s="1736"/>
      <c r="E6084" s="1043">
        <v>150</v>
      </c>
      <c r="F6084" s="1043"/>
      <c r="G6084" s="1550"/>
    </row>
    <row r="6085" spans="1:7" ht="12.75" customHeight="1">
      <c r="A6085" s="1754">
        <v>44414</v>
      </c>
      <c r="B6085" s="125" t="str">
        <f>TiposLancamentos!B19</f>
        <v>Restaurantes</v>
      </c>
      <c r="C6085" s="1040" t="s">
        <v>8173</v>
      </c>
      <c r="D6085" s="1736"/>
      <c r="E6085" s="1043">
        <v>37.9</v>
      </c>
      <c r="F6085" s="1043"/>
      <c r="G6085" s="1550"/>
    </row>
    <row r="6086" spans="1:7" ht="12.75" customHeight="1">
      <c r="A6086" s="1754">
        <v>44415</v>
      </c>
      <c r="B6086" s="125" t="str">
        <f>TiposLancamentos!B19</f>
        <v>Restaurantes</v>
      </c>
      <c r="C6086" s="1040" t="s">
        <v>8174</v>
      </c>
      <c r="D6086" s="1736"/>
      <c r="E6086" s="1043">
        <v>48.6</v>
      </c>
      <c r="F6086" s="1043"/>
      <c r="G6086" s="1550"/>
    </row>
    <row r="6087" spans="1:7" ht="12.75" customHeight="1">
      <c r="A6087" s="1754">
        <v>44416</v>
      </c>
      <c r="B6087" s="125" t="str">
        <f>TiposLancamentos!B5</f>
        <v>Supermercado</v>
      </c>
      <c r="C6087" s="1040" t="s">
        <v>7909</v>
      </c>
      <c r="D6087" s="1736"/>
      <c r="E6087" s="1043">
        <v>144.13</v>
      </c>
      <c r="F6087" s="1043"/>
      <c r="G6087" s="1550"/>
    </row>
    <row r="6088" spans="1:7" ht="12.75" customHeight="1">
      <c r="A6088" s="1754">
        <v>44417</v>
      </c>
      <c r="B6088" s="125" t="str">
        <f>TiposLancamentos!B32</f>
        <v>Clinicas e tratamentos</v>
      </c>
      <c r="C6088" s="1040" t="s">
        <v>8172</v>
      </c>
      <c r="D6088" s="1736"/>
      <c r="E6088" s="1043">
        <v>150</v>
      </c>
      <c r="F6088" s="1043"/>
      <c r="G6088" s="1550"/>
    </row>
    <row r="6089" spans="1:7" ht="12.75" customHeight="1">
      <c r="A6089" s="1754">
        <v>44418</v>
      </c>
      <c r="B6089" s="125" t="str">
        <f>TiposLancamentos!B19</f>
        <v>Restaurantes</v>
      </c>
      <c r="C6089" s="1040" t="s">
        <v>8175</v>
      </c>
      <c r="D6089" s="1736"/>
      <c r="E6089" s="1043">
        <v>79.8</v>
      </c>
      <c r="F6089" s="1043"/>
      <c r="G6089" s="1550"/>
    </row>
    <row r="6090" spans="1:7" ht="12.75" customHeight="1">
      <c r="A6090" s="1754">
        <v>44418</v>
      </c>
      <c r="B6090" s="125" t="str">
        <f>TiposLancamentos!B5</f>
        <v>Supermercado</v>
      </c>
      <c r="C6090" s="1040" t="s">
        <v>8012</v>
      </c>
      <c r="D6090" s="1736"/>
      <c r="E6090" s="1043">
        <v>9.9</v>
      </c>
      <c r="F6090" s="1043"/>
      <c r="G6090" s="1550"/>
    </row>
    <row r="6091" spans="1:7" ht="12.75" customHeight="1">
      <c r="A6091" s="1754">
        <v>44420</v>
      </c>
      <c r="B6091" s="125" t="str">
        <f>TiposLancamentos!B19</f>
        <v>Restaurantes</v>
      </c>
      <c r="C6091" s="1040" t="s">
        <v>8171</v>
      </c>
      <c r="D6091" s="1736"/>
      <c r="E6091" s="1043">
        <v>64</v>
      </c>
      <c r="F6091" s="1043"/>
      <c r="G6091" s="1550"/>
    </row>
    <row r="6092" spans="1:7" ht="12.75" customHeight="1">
      <c r="A6092" s="1754">
        <v>44420</v>
      </c>
      <c r="B6092" s="125" t="str">
        <f>TiposLancamentos!B103</f>
        <v>Juros_Corr. Poupança</v>
      </c>
      <c r="C6092" s="1040" t="s">
        <v>7341</v>
      </c>
      <c r="D6092" s="1736">
        <v>0.02</v>
      </c>
      <c r="E6092" s="1043"/>
      <c r="F6092" s="1043"/>
      <c r="G6092" s="1550"/>
    </row>
    <row r="6093" spans="1:7" ht="12.75" customHeight="1">
      <c r="A6093" s="1754">
        <v>44421</v>
      </c>
      <c r="B6093" s="125" t="str">
        <f>TiposLancamentos!B95</f>
        <v>Salarios</v>
      </c>
      <c r="C6093" s="1040" t="s">
        <v>8078</v>
      </c>
      <c r="D6093" s="1736">
        <v>4720</v>
      </c>
      <c r="E6093" s="1043"/>
      <c r="F6093" s="1043"/>
      <c r="G6093" s="1550"/>
    </row>
    <row r="6094" spans="1:7" ht="12.75" customHeight="1">
      <c r="A6094" s="1754">
        <v>44421</v>
      </c>
      <c r="B6094" s="125" t="str">
        <f>TiposLancamentos!B19</f>
        <v>Restaurantes</v>
      </c>
      <c r="C6094" s="1040" t="s">
        <v>8176</v>
      </c>
      <c r="D6094" s="1736"/>
      <c r="E6094" s="1043">
        <v>56</v>
      </c>
      <c r="F6094" s="1043"/>
      <c r="G6094" s="1550"/>
    </row>
    <row r="6095" spans="1:7" ht="12.75" customHeight="1">
      <c r="A6095" s="1754">
        <v>44421</v>
      </c>
      <c r="B6095" s="125" t="str">
        <f>TiposLancamentos!B5</f>
        <v>Supermercado</v>
      </c>
      <c r="C6095" s="1040" t="s">
        <v>8177</v>
      </c>
      <c r="D6095" s="1736"/>
      <c r="E6095" s="1043">
        <v>313.39</v>
      </c>
      <c r="F6095" s="1043"/>
      <c r="G6095" s="1550"/>
    </row>
    <row r="6096" spans="1:7" ht="12.75" customHeight="1">
      <c r="A6096" s="1666">
        <v>44421</v>
      </c>
      <c r="B6096" s="817" t="str">
        <f>TiposLancamentos!B16</f>
        <v>Cristiane</v>
      </c>
      <c r="C6096" s="1742" t="s">
        <v>8178</v>
      </c>
      <c r="D6096" s="1735"/>
      <c r="E6096" s="1733">
        <f>F6097-E6097</f>
        <v>36.720000000000006</v>
      </c>
      <c r="F6096" s="1346"/>
      <c r="G6096" s="1550"/>
    </row>
    <row r="6097" spans="1:7" ht="12.75" customHeight="1">
      <c r="A6097" s="1750">
        <v>44421</v>
      </c>
      <c r="B6097" s="818" t="str">
        <f>TiposLancamentos!B56</f>
        <v>Farmácia</v>
      </c>
      <c r="C6097" s="1743" t="s">
        <v>8179</v>
      </c>
      <c r="D6097" s="1737"/>
      <c r="E6097" s="1668">
        <v>55.9</v>
      </c>
      <c r="F6097" s="1291">
        <v>92.62</v>
      </c>
      <c r="G6097" s="1550"/>
    </row>
    <row r="6098" spans="1:7" ht="12.75" customHeight="1">
      <c r="A6098" s="1754">
        <v>44422</v>
      </c>
      <c r="B6098" s="125" t="str">
        <f>TiposLancamentos!B19</f>
        <v>Restaurantes</v>
      </c>
      <c r="C6098" s="1040" t="s">
        <v>8180</v>
      </c>
      <c r="D6098" s="1736"/>
      <c r="E6098" s="1043">
        <v>24.5</v>
      </c>
      <c r="F6098" s="1043"/>
      <c r="G6098" s="1550"/>
    </row>
    <row r="6099" spans="1:7" ht="12.75" customHeight="1">
      <c r="A6099" s="1754">
        <v>44422</v>
      </c>
      <c r="B6099" s="125" t="str">
        <f>TiposLancamentos!B71</f>
        <v>Itens Pessoais</v>
      </c>
      <c r="C6099" s="1040" t="s">
        <v>8181</v>
      </c>
      <c r="D6099" s="1736"/>
      <c r="E6099" s="1043">
        <v>23.98</v>
      </c>
      <c r="F6099" s="1043"/>
      <c r="G6099" s="1550"/>
    </row>
    <row r="6100" spans="1:7" ht="12.75" customHeight="1">
      <c r="A6100" s="1754">
        <v>44422</v>
      </c>
      <c r="B6100" s="125" t="str">
        <f>TiposLancamentos!B69</f>
        <v>Consertos</v>
      </c>
      <c r="C6100" s="1040" t="s">
        <v>8182</v>
      </c>
      <c r="D6100" s="1736"/>
      <c r="E6100" s="1043">
        <v>30</v>
      </c>
      <c r="F6100" s="1043"/>
      <c r="G6100" s="1550"/>
    </row>
    <row r="6101" spans="1:7" ht="12.75" customHeight="1">
      <c r="A6101" s="1666">
        <v>44422</v>
      </c>
      <c r="B6101" s="817" t="str">
        <f>TiposLancamentos!B13</f>
        <v>Moradia</v>
      </c>
      <c r="C6101" s="1742" t="s">
        <v>8183</v>
      </c>
      <c r="D6101" s="1735"/>
      <c r="E6101" s="1733">
        <f>F6102-E6102</f>
        <v>80.48</v>
      </c>
      <c r="F6101" s="1346"/>
      <c r="G6101" s="1550"/>
    </row>
    <row r="6102" spans="1:7" ht="12.75" customHeight="1">
      <c r="A6102" s="1750">
        <v>44422</v>
      </c>
      <c r="B6102" s="818" t="str">
        <f>TiposLancamentos!B62</f>
        <v>Papelaria</v>
      </c>
      <c r="C6102" s="1743" t="s">
        <v>8184</v>
      </c>
      <c r="D6102" s="1737"/>
      <c r="E6102" s="1668">
        <v>22.5</v>
      </c>
      <c r="F6102" s="1291">
        <v>102.98</v>
      </c>
      <c r="G6102" s="1550"/>
    </row>
    <row r="6103" spans="1:7" ht="12.75" customHeight="1">
      <c r="A6103" s="1754">
        <v>44422</v>
      </c>
      <c r="B6103" s="125" t="str">
        <f>TiposLancamentos!B19</f>
        <v>Restaurantes</v>
      </c>
      <c r="C6103" s="1040" t="s">
        <v>8185</v>
      </c>
      <c r="D6103" s="1736"/>
      <c r="E6103" s="1043">
        <v>47.9</v>
      </c>
      <c r="F6103" s="1043"/>
      <c r="G6103" s="1550"/>
    </row>
    <row r="6104" spans="1:7" ht="12.75" customHeight="1">
      <c r="A6104" s="1754">
        <v>44422</v>
      </c>
      <c r="B6104" s="125" t="str">
        <f>TiposLancamentos!B24</f>
        <v>Estacionamentos</v>
      </c>
      <c r="C6104" s="1040" t="s">
        <v>3253</v>
      </c>
      <c r="D6104" s="1736"/>
      <c r="E6104" s="1043">
        <v>11</v>
      </c>
      <c r="F6104" s="1043"/>
      <c r="G6104" s="1550"/>
    </row>
    <row r="6105" spans="1:7" ht="12.75" customHeight="1">
      <c r="A6105" s="1754">
        <v>44422</v>
      </c>
      <c r="B6105" s="125" t="str">
        <f>B6092</f>
        <v>Juros_Corr. Poupança</v>
      </c>
      <c r="C6105" s="1040" t="s">
        <v>7341</v>
      </c>
      <c r="D6105" s="1736">
        <v>0.01</v>
      </c>
      <c r="E6105" s="1043"/>
      <c r="F6105" s="1043"/>
      <c r="G6105" s="1550"/>
    </row>
    <row r="6106" spans="1:7" ht="12.75" customHeight="1">
      <c r="A6106" s="1754">
        <v>44423</v>
      </c>
      <c r="B6106" s="125" t="str">
        <f>TiposLancamentos!B19</f>
        <v>Restaurantes</v>
      </c>
      <c r="C6106" s="1040" t="s">
        <v>8186</v>
      </c>
      <c r="D6106" s="1736"/>
      <c r="E6106" s="1043">
        <v>169.84</v>
      </c>
      <c r="F6106" s="1043"/>
      <c r="G6106" s="1550"/>
    </row>
    <row r="6107" spans="1:7" ht="12.75" customHeight="1">
      <c r="A6107" s="1754">
        <v>44423</v>
      </c>
      <c r="B6107" s="125" t="str">
        <f>TiposLancamentos!B19</f>
        <v>Restaurantes</v>
      </c>
      <c r="C6107" s="1040" t="s">
        <v>8187</v>
      </c>
      <c r="D6107" s="1736"/>
      <c r="E6107" s="1043">
        <v>21</v>
      </c>
      <c r="F6107" s="1043"/>
      <c r="G6107" s="1550"/>
    </row>
    <row r="6108" spans="1:7" ht="12.75" customHeight="1">
      <c r="A6108" s="1666">
        <v>44424</v>
      </c>
      <c r="B6108" s="817" t="str">
        <f>TiposLancamentos!B33</f>
        <v>Pedágios</v>
      </c>
      <c r="C6108" s="1742" t="s">
        <v>5392</v>
      </c>
      <c r="D6108" s="1735"/>
      <c r="E6108" s="1733">
        <f>F6110-(E6109+E6110)</f>
        <v>60.980000000000004</v>
      </c>
      <c r="F6108" s="1290"/>
      <c r="G6108" s="1550"/>
    </row>
    <row r="6109" spans="1:7" ht="12.75" customHeight="1">
      <c r="A6109" s="1667">
        <v>44424</v>
      </c>
      <c r="B6109" s="816" t="str">
        <f>TiposLancamentos!B24</f>
        <v>Estacionamentos</v>
      </c>
      <c r="C6109" s="1769" t="s">
        <v>7366</v>
      </c>
      <c r="D6109" s="1736"/>
      <c r="E6109" s="1734">
        <v>11</v>
      </c>
      <c r="F6109" s="1043"/>
      <c r="G6109" s="1550"/>
    </row>
    <row r="6110" spans="1:7" ht="12.75" customHeight="1">
      <c r="A6110" s="1750">
        <v>44424</v>
      </c>
      <c r="B6110" s="818" t="str">
        <f>TiposLancamentos!B24</f>
        <v>Estacionamentos</v>
      </c>
      <c r="C6110" s="1743" t="s">
        <v>6297</v>
      </c>
      <c r="D6110" s="1737"/>
      <c r="E6110" s="1668">
        <v>42</v>
      </c>
      <c r="F6110" s="1347">
        <v>113.98</v>
      </c>
      <c r="G6110" s="1550"/>
    </row>
    <row r="6111" spans="1:7" ht="12.75" customHeight="1">
      <c r="A6111" s="1754">
        <v>44424</v>
      </c>
      <c r="B6111" s="125" t="str">
        <f>B6105</f>
        <v>Juros_Corr. Poupança</v>
      </c>
      <c r="C6111" s="1040" t="s">
        <v>7341</v>
      </c>
      <c r="D6111" s="1736">
        <v>0.01</v>
      </c>
      <c r="E6111" s="1043"/>
      <c r="F6111" s="1043"/>
      <c r="G6111" s="1550"/>
    </row>
    <row r="6112" spans="1:7" ht="12.75" customHeight="1">
      <c r="A6112" s="1666">
        <v>44424</v>
      </c>
      <c r="B6112" s="817" t="str">
        <f>TiposLancamentos!B35</f>
        <v>Tv à Cabo</v>
      </c>
      <c r="C6112" s="1742" t="s">
        <v>5834</v>
      </c>
      <c r="D6112" s="1735"/>
      <c r="E6112" s="1733">
        <f>F6114-(E6113+E6114)</f>
        <v>136.28999999999996</v>
      </c>
      <c r="F6112" s="1290"/>
      <c r="G6112" s="1550"/>
    </row>
    <row r="6113" spans="1:7" ht="12.75" customHeight="1">
      <c r="A6113" s="1667">
        <v>44424</v>
      </c>
      <c r="B6113" s="816" t="str">
        <f>TiposLancamentos!B3</f>
        <v>Internet</v>
      </c>
      <c r="C6113" s="1769" t="s">
        <v>5835</v>
      </c>
      <c r="D6113" s="1736"/>
      <c r="E6113" s="1734">
        <v>134.99</v>
      </c>
      <c r="F6113" s="1043"/>
      <c r="G6113" s="1550"/>
    </row>
    <row r="6114" spans="1:7" ht="12.75" customHeight="1">
      <c r="A6114" s="1750">
        <v>44423</v>
      </c>
      <c r="B6114" s="818" t="str">
        <f>TiposLancamentos!B2</f>
        <v>Telefonia</v>
      </c>
      <c r="C6114" s="1743" t="s">
        <v>7210</v>
      </c>
      <c r="D6114" s="1737"/>
      <c r="E6114" s="1668">
        <v>0</v>
      </c>
      <c r="F6114" s="1291">
        <v>271.27999999999997</v>
      </c>
      <c r="G6114" s="1550"/>
    </row>
    <row r="6115" spans="1:7" ht="12.75" customHeight="1">
      <c r="A6115" s="1754">
        <v>44424</v>
      </c>
      <c r="B6115" s="125" t="str">
        <f>TiposLancamentos!B46</f>
        <v>Maçonaria</v>
      </c>
      <c r="C6115" s="1040" t="s">
        <v>8188</v>
      </c>
      <c r="D6115" s="1736"/>
      <c r="E6115" s="1043">
        <v>180</v>
      </c>
      <c r="F6115" s="1043"/>
      <c r="G6115" s="1550"/>
    </row>
    <row r="6116" spans="1:7" ht="12.75" customHeight="1">
      <c r="A6116" s="1754">
        <v>44424</v>
      </c>
      <c r="B6116" s="125" t="str">
        <f>TiposLancamentos!B13</f>
        <v>Moradia</v>
      </c>
      <c r="C6116" s="1040" t="s">
        <v>3682</v>
      </c>
      <c r="D6116" s="1736"/>
      <c r="E6116" s="1043">
        <v>24</v>
      </c>
      <c r="F6116" s="1043"/>
      <c r="G6116" s="1550"/>
    </row>
    <row r="6117" spans="1:7" ht="12.75" customHeight="1">
      <c r="A6117" s="1754">
        <v>44424</v>
      </c>
      <c r="B6117" s="125" t="str">
        <f>TiposLancamentos!B19</f>
        <v>Restaurantes</v>
      </c>
      <c r="C6117" s="1040" t="s">
        <v>8189</v>
      </c>
      <c r="D6117" s="1736"/>
      <c r="E6117" s="1043">
        <v>49.35</v>
      </c>
      <c r="F6117" s="1043"/>
      <c r="G6117" s="1550"/>
    </row>
    <row r="6118" spans="1:7" ht="12.75" customHeight="1">
      <c r="A6118" s="1754">
        <v>44425</v>
      </c>
      <c r="B6118" s="125" t="str">
        <f>TiposLancamentos!B32</f>
        <v>Clinicas e tratamentos</v>
      </c>
      <c r="C6118" s="1040" t="s">
        <v>8172</v>
      </c>
      <c r="D6118" s="1736"/>
      <c r="E6118" s="1043">
        <v>150</v>
      </c>
      <c r="F6118" s="1043"/>
      <c r="G6118" s="1550"/>
    </row>
    <row r="6119" spans="1:7" ht="12.75" customHeight="1">
      <c r="A6119" s="1754">
        <v>44425</v>
      </c>
      <c r="B6119" s="125" t="str">
        <f>TiposLancamentos!B2</f>
        <v>Telefonia</v>
      </c>
      <c r="C6119" s="1040" t="s">
        <v>7933</v>
      </c>
      <c r="D6119" s="1736"/>
      <c r="E6119" s="1043">
        <v>55.99</v>
      </c>
      <c r="F6119" s="1043"/>
      <c r="G6119" s="1550"/>
    </row>
    <row r="6120" spans="1:7" ht="12.75" customHeight="1">
      <c r="A6120" s="1666">
        <v>44426</v>
      </c>
      <c r="B6120" s="817" t="str">
        <f>TiposLancamentos!B56</f>
        <v>Farmácia</v>
      </c>
      <c r="C6120" s="1742" t="s">
        <v>8190</v>
      </c>
      <c r="D6120" s="1735"/>
      <c r="E6120" s="1733">
        <v>20.27</v>
      </c>
      <c r="F6120" s="1346"/>
      <c r="G6120" s="1550"/>
    </row>
    <row r="6121" spans="1:7" ht="12.75" customHeight="1">
      <c r="A6121" s="1750">
        <v>44426</v>
      </c>
      <c r="B6121" s="818" t="str">
        <f>TiposLancamentos!B16</f>
        <v>Cristiane</v>
      </c>
      <c r="C6121" s="1743" t="s">
        <v>8191</v>
      </c>
      <c r="D6121" s="1737"/>
      <c r="E6121" s="1668">
        <f>F6121-E6120</f>
        <v>14.989999999999998</v>
      </c>
      <c r="F6121" s="1291">
        <v>35.26</v>
      </c>
      <c r="G6121" s="1550"/>
    </row>
    <row r="6122" spans="1:7" ht="12.75" customHeight="1">
      <c r="A6122" s="1754">
        <v>44426</v>
      </c>
      <c r="B6122" s="125" t="str">
        <f>TiposLancamentos!B19</f>
        <v>Restaurantes</v>
      </c>
      <c r="C6122" s="1040" t="s">
        <v>8192</v>
      </c>
      <c r="D6122" s="1736"/>
      <c r="E6122" s="1043">
        <v>54.5</v>
      </c>
      <c r="F6122" s="1043"/>
      <c r="G6122" s="1550"/>
    </row>
    <row r="6123" spans="1:7" ht="12.75" customHeight="1">
      <c r="A6123" s="1754">
        <v>44427</v>
      </c>
      <c r="B6123" s="125" t="str">
        <f>B6111</f>
        <v>Juros_Corr. Poupança</v>
      </c>
      <c r="C6123" s="1040" t="str">
        <f>C6111</f>
        <v>REND PAGO APLIC AUT APR</v>
      </c>
      <c r="D6123" s="1736">
        <v>0.05</v>
      </c>
      <c r="E6123" s="1043"/>
      <c r="F6123" s="1043"/>
      <c r="G6123" s="1550"/>
    </row>
    <row r="6124" spans="1:7" ht="12.75" customHeight="1">
      <c r="A6124" s="1666">
        <v>44428</v>
      </c>
      <c r="B6124" s="817" t="str">
        <f>TiposLancamentos!B8</f>
        <v>Aluguel</v>
      </c>
      <c r="C6124" s="1742" t="s">
        <v>8193</v>
      </c>
      <c r="D6124" s="1735"/>
      <c r="E6124" s="1733">
        <f>F6129-(E6125+E6129+E6126+E6127+E6128)</f>
        <v>1400.0000000000002</v>
      </c>
      <c r="F6124" s="1346"/>
      <c r="G6124" s="1550"/>
    </row>
    <row r="6125" spans="1:7" ht="12.75" customHeight="1">
      <c r="A6125" s="1667">
        <v>44428</v>
      </c>
      <c r="B6125" s="816" t="str">
        <f>TiposLancamentos!B12</f>
        <v>IPTU</v>
      </c>
      <c r="C6125" s="1769" t="s">
        <v>8194</v>
      </c>
      <c r="D6125" s="1736"/>
      <c r="E6125" s="1734">
        <v>54.02</v>
      </c>
      <c r="F6125" s="1043"/>
      <c r="G6125" s="1550"/>
    </row>
    <row r="6126" spans="1:7" ht="12.75" customHeight="1">
      <c r="A6126" s="1667">
        <v>44428</v>
      </c>
      <c r="B6126" s="816" t="str">
        <f>TiposLancamentos!B10</f>
        <v>Distr. Água Municipal</v>
      </c>
      <c r="C6126" s="1769" t="s">
        <v>7423</v>
      </c>
      <c r="D6126" s="1736"/>
      <c r="E6126" s="1734">
        <v>67.05</v>
      </c>
      <c r="F6126" s="1043"/>
      <c r="G6126" s="1550"/>
    </row>
    <row r="6127" spans="1:7" ht="12.75" customHeight="1">
      <c r="A6127" s="1667">
        <v>44428</v>
      </c>
      <c r="B6127" s="816" t="str">
        <f>TiposLancamentos!B11</f>
        <v>Coleta Municipal Lixo</v>
      </c>
      <c r="C6127" s="1769" t="s">
        <v>7424</v>
      </c>
      <c r="D6127" s="1736"/>
      <c r="E6127" s="1734">
        <v>44.36</v>
      </c>
      <c r="F6127" s="1043"/>
      <c r="G6127" s="1550"/>
    </row>
    <row r="6128" spans="1:7" ht="12.75" customHeight="1">
      <c r="A6128" s="1667">
        <v>44428</v>
      </c>
      <c r="B6128" s="816" t="str">
        <f>TiposLancamentos!B8</f>
        <v>Aluguel</v>
      </c>
      <c r="C6128" s="1769" t="s">
        <v>7425</v>
      </c>
      <c r="D6128" s="1736"/>
      <c r="E6128" s="1734">
        <v>8</v>
      </c>
      <c r="F6128" s="1043"/>
      <c r="G6128" s="1550"/>
    </row>
    <row r="6129" spans="1:7" ht="12.75" customHeight="1">
      <c r="A6129" s="1750">
        <v>44428</v>
      </c>
      <c r="B6129" s="818" t="str">
        <f>TiposLancamentos!B9</f>
        <v>Condominio</v>
      </c>
      <c r="C6129" s="1743" t="s">
        <v>7427</v>
      </c>
      <c r="D6129" s="1737"/>
      <c r="E6129" s="1668">
        <v>616.37</v>
      </c>
      <c r="F6129" s="1291">
        <v>2189.8000000000002</v>
      </c>
      <c r="G6129" s="1550"/>
    </row>
    <row r="6130" spans="1:7" ht="12.75" customHeight="1">
      <c r="A6130" s="1754">
        <v>44428</v>
      </c>
      <c r="B6130" s="125" t="str">
        <f>TiposLancamentos!B32</f>
        <v>Clinicas e tratamentos</v>
      </c>
      <c r="C6130" s="1040" t="s">
        <v>8195</v>
      </c>
      <c r="D6130" s="1736"/>
      <c r="E6130" s="1043">
        <v>400</v>
      </c>
      <c r="F6130" s="1043"/>
      <c r="G6130" s="1550"/>
    </row>
    <row r="6131" spans="1:7" ht="12.75" customHeight="1">
      <c r="A6131" s="1754">
        <v>44428</v>
      </c>
      <c r="B6131" s="125" t="str">
        <f>TiposLancamentos!B56</f>
        <v>Farmácia</v>
      </c>
      <c r="C6131" s="1040" t="s">
        <v>8196</v>
      </c>
      <c r="D6131" s="1736"/>
      <c r="E6131" s="1043">
        <v>184.1</v>
      </c>
      <c r="F6131" s="1043"/>
      <c r="G6131" s="1550"/>
    </row>
    <row r="6132" spans="1:7" ht="12.75" customHeight="1">
      <c r="A6132" s="1754">
        <v>44428</v>
      </c>
      <c r="B6132" s="125" t="str">
        <f>TiposLancamentos!B19</f>
        <v>Restaurantes</v>
      </c>
      <c r="C6132" s="1040" t="s">
        <v>8197</v>
      </c>
      <c r="D6132" s="1736"/>
      <c r="E6132" s="1043">
        <v>88.5</v>
      </c>
      <c r="F6132" s="1043"/>
      <c r="G6132" s="1550"/>
    </row>
    <row r="6133" spans="1:7" ht="12.75" customHeight="1">
      <c r="A6133" s="1754">
        <v>44429</v>
      </c>
      <c r="B6133" s="125" t="str">
        <f>TiposLancamentos!B46</f>
        <v>Maçonaria</v>
      </c>
      <c r="C6133" s="1040" t="s">
        <v>8198</v>
      </c>
      <c r="D6133" s="1736"/>
      <c r="E6133" s="1043">
        <v>100</v>
      </c>
      <c r="F6133" s="1043"/>
      <c r="G6133" s="1550"/>
    </row>
    <row r="6134" spans="1:7" ht="12.75" customHeight="1">
      <c r="A6134" s="1754">
        <v>44429</v>
      </c>
      <c r="B6134" s="125" t="str">
        <f>TiposLancamentos!B19</f>
        <v>Restaurantes</v>
      </c>
      <c r="C6134" s="1040" t="s">
        <v>8199</v>
      </c>
      <c r="D6134" s="1736"/>
      <c r="E6134" s="1043">
        <v>63</v>
      </c>
      <c r="F6134" s="1043"/>
      <c r="G6134" s="1550"/>
    </row>
    <row r="6135" spans="1:7" ht="12.75" customHeight="1">
      <c r="A6135" s="1754">
        <v>44429</v>
      </c>
      <c r="B6135" s="125" t="str">
        <f>TiposLancamentos!B5</f>
        <v>Supermercado</v>
      </c>
      <c r="C6135" s="1040" t="s">
        <v>7981</v>
      </c>
      <c r="D6135" s="1736"/>
      <c r="E6135" s="1043">
        <v>50.92</v>
      </c>
      <c r="F6135" s="1043"/>
      <c r="G6135" s="1550"/>
    </row>
    <row r="6136" spans="1:7" ht="12.75" customHeight="1">
      <c r="A6136" s="1754">
        <v>44429</v>
      </c>
      <c r="B6136" s="125" t="str">
        <f>TiposLancamentos!B16</f>
        <v>Cristiane</v>
      </c>
      <c r="C6136" s="1040" t="s">
        <v>5190</v>
      </c>
      <c r="D6136" s="1736"/>
      <c r="E6136" s="1043">
        <v>346.69</v>
      </c>
      <c r="F6136" s="1043"/>
      <c r="G6136" s="1550"/>
    </row>
    <row r="6137" spans="1:7" ht="12.75" customHeight="1">
      <c r="A6137" s="1754">
        <v>44429</v>
      </c>
      <c r="B6137" s="125" t="str">
        <f>TiposLancamentos!B16</f>
        <v>Cristiane</v>
      </c>
      <c r="C6137" s="1040" t="s">
        <v>8200</v>
      </c>
      <c r="D6137" s="1736">
        <v>346</v>
      </c>
      <c r="E6137" s="1043"/>
      <c r="F6137" s="1043"/>
      <c r="G6137" s="1550"/>
    </row>
    <row r="6138" spans="1:7" ht="12.75" customHeight="1">
      <c r="A6138" s="1754">
        <v>44430</v>
      </c>
      <c r="B6138" s="125" t="str">
        <f>TiposLancamentos!B22</f>
        <v>Combustivel</v>
      </c>
      <c r="C6138" s="1040" t="s">
        <v>1918</v>
      </c>
      <c r="D6138" s="1736"/>
      <c r="E6138" s="1043">
        <v>100</v>
      </c>
      <c r="F6138" s="1043"/>
      <c r="G6138" s="1550"/>
    </row>
    <row r="6139" spans="1:7" ht="12.75" customHeight="1">
      <c r="A6139" s="1754">
        <v>44430</v>
      </c>
      <c r="B6139" s="125" t="str">
        <f>TiposLancamentos!B5</f>
        <v>Supermercado</v>
      </c>
      <c r="C6139" s="1040" t="s">
        <v>8201</v>
      </c>
      <c r="D6139" s="1736"/>
      <c r="E6139" s="1043">
        <v>232.95</v>
      </c>
      <c r="F6139" s="1043"/>
      <c r="G6139" s="1550"/>
    </row>
    <row r="6140" spans="1:7" ht="12.75" customHeight="1">
      <c r="A6140" s="1754">
        <v>44430</v>
      </c>
      <c r="B6140" s="125" t="str">
        <f>TiposLancamentos!B17</f>
        <v>GATO</v>
      </c>
      <c r="C6140" s="1040" t="s">
        <v>8202</v>
      </c>
      <c r="D6140" s="1736"/>
      <c r="E6140" s="1043">
        <v>22.99</v>
      </c>
      <c r="F6140" s="1043"/>
      <c r="G6140" s="1550"/>
    </row>
    <row r="6141" spans="1:7" ht="12.75" customHeight="1">
      <c r="A6141" s="1754">
        <v>44431</v>
      </c>
      <c r="B6141" s="125" t="str">
        <f>TiposLancamentos!B24</f>
        <v>Estacionamentos</v>
      </c>
      <c r="C6141" s="1040" t="s">
        <v>8203</v>
      </c>
      <c r="D6141" s="1736"/>
      <c r="E6141" s="1043">
        <v>15</v>
      </c>
      <c r="F6141" s="1043"/>
      <c r="G6141" s="1550"/>
    </row>
    <row r="6142" spans="1:7" ht="12.75" customHeight="1">
      <c r="A6142" s="1754">
        <v>44431</v>
      </c>
      <c r="B6142" s="125" t="str">
        <f>TiposLancamentos!B6</f>
        <v>Energia Eletrica</v>
      </c>
      <c r="C6142" s="1040" t="s">
        <v>8149</v>
      </c>
      <c r="D6142" s="1736"/>
      <c r="E6142" s="1043">
        <v>310.69</v>
      </c>
      <c r="F6142" s="1043"/>
      <c r="G6142" s="1550"/>
    </row>
    <row r="6143" spans="1:7" ht="12.75" customHeight="1">
      <c r="A6143" s="1754">
        <v>44431</v>
      </c>
      <c r="B6143" s="125" t="str">
        <f>B6123</f>
        <v>Juros_Corr. Poupança</v>
      </c>
      <c r="C6143" s="1040" t="str">
        <f>C6123</f>
        <v>REND PAGO APLIC AUT APR</v>
      </c>
      <c r="D6143" s="1736">
        <v>0.02</v>
      </c>
      <c r="E6143" s="1043"/>
      <c r="F6143" s="1043"/>
      <c r="G6143" s="1550"/>
    </row>
    <row r="6144" spans="1:7" ht="12.75" customHeight="1">
      <c r="A6144" s="1754">
        <v>44432</v>
      </c>
      <c r="B6144" s="125" t="str">
        <f>TiposLancamentos!B16</f>
        <v>Cristiane</v>
      </c>
      <c r="C6144" s="1040" t="s">
        <v>8204</v>
      </c>
      <c r="D6144" s="1736"/>
      <c r="E6144" s="1043">
        <v>248.8</v>
      </c>
      <c r="F6144" s="1043"/>
      <c r="G6144" s="1550"/>
    </row>
    <row r="6145" spans="1:7" ht="12.75" customHeight="1">
      <c r="A6145" s="1754">
        <v>44432</v>
      </c>
      <c r="B6145" s="125" t="str">
        <f>TiposLancamentos!B5</f>
        <v>Supermercado</v>
      </c>
      <c r="C6145" s="1040" t="s">
        <v>8205</v>
      </c>
      <c r="D6145" s="1736"/>
      <c r="E6145" s="1043">
        <v>14.03</v>
      </c>
      <c r="F6145" s="1043"/>
      <c r="G6145" s="1550"/>
    </row>
    <row r="6146" spans="1:7" ht="12.75" customHeight="1">
      <c r="A6146" s="1754">
        <v>44433</v>
      </c>
      <c r="B6146" s="125" t="str">
        <f>TiposLancamentos!B19</f>
        <v>Restaurantes</v>
      </c>
      <c r="C6146" s="1040" t="s">
        <v>8206</v>
      </c>
      <c r="D6146" s="1736"/>
      <c r="E6146" s="1043">
        <v>85.7</v>
      </c>
      <c r="F6146" s="1043"/>
      <c r="G6146" s="1550"/>
    </row>
    <row r="6147" spans="1:7" ht="12.75" customHeight="1">
      <c r="A6147" s="1754">
        <v>44433</v>
      </c>
      <c r="B6147" s="125" t="str">
        <f>TiposLancamentos!B5</f>
        <v>Supermercado</v>
      </c>
      <c r="C6147" s="1040" t="s">
        <v>8207</v>
      </c>
      <c r="D6147" s="1736"/>
      <c r="E6147" s="1043">
        <v>6.9</v>
      </c>
      <c r="F6147" s="1043"/>
      <c r="G6147" s="1550"/>
    </row>
    <row r="6148" spans="1:7" ht="12.75" customHeight="1">
      <c r="A6148" s="1754">
        <v>44433</v>
      </c>
      <c r="B6148" s="125" t="str">
        <f>TiposLancamentos!B19</f>
        <v>Restaurantes</v>
      </c>
      <c r="C6148" s="1040" t="s">
        <v>8208</v>
      </c>
      <c r="D6148" s="1736"/>
      <c r="E6148" s="1043">
        <v>270.05</v>
      </c>
      <c r="F6148" s="1043"/>
      <c r="G6148" s="1550"/>
    </row>
    <row r="6149" spans="1:7" ht="12.75" customHeight="1">
      <c r="A6149" s="1754">
        <v>44434</v>
      </c>
      <c r="B6149" s="125" t="str">
        <f>TiposLancamentos!B98</f>
        <v>Restituições</v>
      </c>
      <c r="C6149" s="1040" t="s">
        <v>8209</v>
      </c>
      <c r="D6149" s="1736">
        <v>79.2</v>
      </c>
      <c r="E6149" s="1043"/>
      <c r="F6149" s="1043"/>
      <c r="G6149" s="1550"/>
    </row>
    <row r="6150" spans="1:7" ht="12.75" customHeight="1">
      <c r="A6150" s="1754">
        <v>44434</v>
      </c>
      <c r="B6150" s="125" t="str">
        <f>TiposLancamentos!B32</f>
        <v>Clinicas e tratamentos</v>
      </c>
      <c r="C6150" s="1040" t="s">
        <v>8172</v>
      </c>
      <c r="D6150" s="1736"/>
      <c r="E6150" s="1043">
        <v>150</v>
      </c>
      <c r="F6150" s="1043"/>
      <c r="G6150" s="1550"/>
    </row>
    <row r="6151" spans="1:7" ht="12.75" customHeight="1">
      <c r="A6151" s="1754">
        <v>44434</v>
      </c>
      <c r="B6151" s="125" t="str">
        <f>TiposLancamentos!B5</f>
        <v>Supermercado</v>
      </c>
      <c r="C6151" s="1040" t="s">
        <v>8210</v>
      </c>
      <c r="D6151" s="1736"/>
      <c r="E6151" s="1043">
        <v>219.23</v>
      </c>
      <c r="F6151" s="1043"/>
      <c r="G6151" s="1550"/>
    </row>
    <row r="6152" spans="1:7" ht="12.75" customHeight="1">
      <c r="A6152" s="1754">
        <v>44434</v>
      </c>
      <c r="B6152" s="125" t="str">
        <f>TiposLancamentos!B19</f>
        <v>Restaurantes</v>
      </c>
      <c r="C6152" s="1040" t="s">
        <v>8211</v>
      </c>
      <c r="D6152" s="1736"/>
      <c r="E6152" s="1043">
        <v>123.35</v>
      </c>
      <c r="F6152" s="1043"/>
      <c r="G6152" s="1550"/>
    </row>
    <row r="6153" spans="1:7" ht="12.75" customHeight="1">
      <c r="A6153" s="1754">
        <v>44434</v>
      </c>
      <c r="B6153" s="125" t="str">
        <f>B6143</f>
        <v>Juros_Corr. Poupança</v>
      </c>
      <c r="C6153" s="1040" t="str">
        <f>C6143</f>
        <v>REND PAGO APLIC AUT APR</v>
      </c>
      <c r="D6153" s="1736">
        <v>0.02</v>
      </c>
      <c r="E6153" s="1043"/>
      <c r="F6153" s="1043"/>
      <c r="G6153" s="1550"/>
    </row>
    <row r="6154" spans="1:7" ht="12.75" customHeight="1">
      <c r="A6154" s="1754">
        <v>44435</v>
      </c>
      <c r="B6154" s="125" t="str">
        <f>TiposLancamentos!B13</f>
        <v>Moradia</v>
      </c>
      <c r="C6154" s="1040" t="s">
        <v>3524</v>
      </c>
      <c r="D6154" s="1736"/>
      <c r="E6154" s="1043">
        <v>12</v>
      </c>
      <c r="F6154" s="1043"/>
      <c r="G6154" s="1550"/>
    </row>
    <row r="6155" spans="1:7" ht="12.75" customHeight="1">
      <c r="A6155" s="1754">
        <v>44436</v>
      </c>
      <c r="B6155" s="125" t="str">
        <f>TiposLancamentos!B16</f>
        <v>Cristiane</v>
      </c>
      <c r="C6155" s="1040" t="s">
        <v>8212</v>
      </c>
      <c r="D6155" s="1736"/>
      <c r="E6155" s="1043">
        <v>289</v>
      </c>
      <c r="F6155" s="1043"/>
      <c r="G6155" s="1550"/>
    </row>
    <row r="6156" spans="1:7" ht="12.75" customHeight="1">
      <c r="A6156" s="1754">
        <v>44436</v>
      </c>
      <c r="B6156" s="125" t="str">
        <f>TiposLancamentos!B71</f>
        <v>Itens Pessoais</v>
      </c>
      <c r="C6156" s="1040" t="s">
        <v>8213</v>
      </c>
      <c r="D6156" s="1736"/>
      <c r="E6156" s="1043">
        <v>25</v>
      </c>
      <c r="F6156" s="1043"/>
      <c r="G6156" s="1550"/>
    </row>
    <row r="6157" spans="1:7" ht="12.75" customHeight="1">
      <c r="A6157" s="1754">
        <v>44436</v>
      </c>
      <c r="B6157" s="125" t="str">
        <f>TiposLancamentos!B24</f>
        <v>Estacionamentos</v>
      </c>
      <c r="C6157" s="1040" t="s">
        <v>7490</v>
      </c>
      <c r="D6157" s="1736"/>
      <c r="E6157" s="1043">
        <v>8</v>
      </c>
      <c r="F6157" s="1043"/>
      <c r="G6157" s="1550"/>
    </row>
    <row r="6158" spans="1:7" ht="12.75" customHeight="1">
      <c r="A6158" s="1754">
        <v>44436</v>
      </c>
      <c r="B6158" s="125" t="str">
        <f>TiposLancamentos!B19</f>
        <v>Restaurantes</v>
      </c>
      <c r="C6158" s="1040" t="s">
        <v>8214</v>
      </c>
      <c r="D6158" s="1736"/>
      <c r="E6158" s="1043">
        <v>100.8</v>
      </c>
      <c r="F6158" s="1043"/>
      <c r="G6158" s="1550"/>
    </row>
    <row r="6159" spans="1:7" ht="12.75" customHeight="1">
      <c r="A6159" s="1754">
        <v>44436</v>
      </c>
      <c r="B6159" s="125" t="str">
        <f>TiposLancamentos!B16</f>
        <v>Cristiane</v>
      </c>
      <c r="C6159" s="1040" t="s">
        <v>8215</v>
      </c>
      <c r="D6159" s="1736"/>
      <c r="E6159" s="1043">
        <v>153.22</v>
      </c>
      <c r="F6159" s="1043"/>
      <c r="G6159" s="1550"/>
    </row>
    <row r="6160" spans="1:7" ht="12.75" customHeight="1">
      <c r="A6160" s="1754">
        <v>44436</v>
      </c>
      <c r="B6160" s="125" t="str">
        <f>TiposLancamentos!B16</f>
        <v>Cristiane</v>
      </c>
      <c r="C6160" s="1040" t="s">
        <v>8216</v>
      </c>
      <c r="D6160" s="1736"/>
      <c r="E6160" s="1043">
        <v>159.5</v>
      </c>
      <c r="F6160" s="1043"/>
      <c r="G6160" s="1550"/>
    </row>
    <row r="6161" spans="1:7" ht="12.75" customHeight="1">
      <c r="A6161" s="1754">
        <v>44436</v>
      </c>
      <c r="B6161" s="125" t="str">
        <f>TiposLancamentos!B16</f>
        <v>Cristiane</v>
      </c>
      <c r="C6161" s="1040" t="s">
        <v>8217</v>
      </c>
      <c r="D6161" s="1736"/>
      <c r="E6161" s="1043">
        <v>25.98</v>
      </c>
      <c r="F6161" s="1043"/>
      <c r="G6161" s="1550"/>
    </row>
    <row r="6162" spans="1:7" ht="12.75" customHeight="1">
      <c r="A6162" s="1754">
        <v>44438</v>
      </c>
      <c r="B6162" s="125" t="str">
        <f>TiposLancamentos!B19</f>
        <v>Restaurantes</v>
      </c>
      <c r="C6162" s="1040" t="s">
        <v>8218</v>
      </c>
      <c r="D6162" s="1736"/>
      <c r="E6162" s="1043">
        <v>85.86</v>
      </c>
      <c r="F6162" s="1043"/>
      <c r="G6162" s="1550"/>
    </row>
    <row r="6163" spans="1:7" ht="12.75" customHeight="1">
      <c r="A6163" s="1754">
        <v>44439</v>
      </c>
      <c r="B6163" s="125" t="str">
        <f>TiposLancamentos!B95</f>
        <v>Salarios</v>
      </c>
      <c r="C6163" s="1040" t="s">
        <v>8064</v>
      </c>
      <c r="D6163" s="1736">
        <v>3659.47</v>
      </c>
      <c r="E6163" s="1043"/>
      <c r="F6163" s="1043"/>
      <c r="G6163" s="1550"/>
    </row>
    <row r="6164" spans="1:7" ht="12.75" customHeight="1" thickBot="1">
      <c r="A6164" s="1754">
        <v>44439</v>
      </c>
      <c r="B6164" s="125" t="str">
        <f>TiposLancamentos!B17</f>
        <v>GATO</v>
      </c>
      <c r="C6164" s="1040" t="s">
        <v>6059</v>
      </c>
      <c r="D6164" s="1736"/>
      <c r="E6164" s="1043">
        <v>164.09</v>
      </c>
      <c r="F6164" s="1043"/>
      <c r="G6164" s="1550"/>
    </row>
    <row r="6165" spans="1:7" ht="12.75" customHeight="1">
      <c r="A6165" s="1834"/>
      <c r="B6165" s="977"/>
      <c r="C6165" s="1854" t="s">
        <v>8219</v>
      </c>
      <c r="D6165" s="1823"/>
      <c r="E6165" s="1821"/>
      <c r="F6165" s="1821"/>
      <c r="G6165" s="1895"/>
    </row>
    <row r="6166" spans="1:7" ht="12.75" customHeight="1">
      <c r="A6166" s="1754">
        <v>44440</v>
      </c>
      <c r="B6166" s="125" t="str">
        <f>TiposLancamentos!B15</f>
        <v>Cartões de Crédito</v>
      </c>
      <c r="C6166" s="1040" t="s">
        <v>7781</v>
      </c>
      <c r="D6166" s="1736"/>
      <c r="E6166" s="1043">
        <v>1409.69</v>
      </c>
      <c r="F6166" s="1043"/>
      <c r="G6166" s="1550"/>
    </row>
    <row r="6167" spans="1:7" ht="12.75" customHeight="1">
      <c r="A6167" s="1754">
        <v>44440</v>
      </c>
      <c r="B6167" s="125" t="str">
        <f>TiposLancamentos!B15</f>
        <v>Cartões de Crédito</v>
      </c>
      <c r="C6167" s="1040" t="s">
        <v>8016</v>
      </c>
      <c r="D6167" s="1736"/>
      <c r="E6167" s="1043">
        <v>99.9</v>
      </c>
      <c r="F6167" s="1043"/>
      <c r="G6167" s="1550"/>
    </row>
    <row r="6168" spans="1:7" ht="12.75" customHeight="1">
      <c r="A6168" s="1754">
        <v>44440</v>
      </c>
      <c r="B6168" s="125" t="str">
        <f>TiposLancamentos!B14</f>
        <v>Gás de cozinha</v>
      </c>
      <c r="C6168" s="1040" t="s">
        <v>7722</v>
      </c>
      <c r="D6168" s="1736"/>
      <c r="E6168" s="1043">
        <v>41.61</v>
      </c>
      <c r="F6168" s="1043"/>
      <c r="G6168" s="1550"/>
    </row>
    <row r="6169" spans="1:7" ht="12.75" customHeight="1">
      <c r="A6169" s="1754">
        <v>44440</v>
      </c>
      <c r="B6169" s="125" t="str">
        <f>B6153</f>
        <v>Juros_Corr. Poupança</v>
      </c>
      <c r="C6169" s="1040" t="str">
        <f>C6153</f>
        <v>REND PAGO APLIC AUT APR</v>
      </c>
      <c r="D6169" s="1736">
        <v>0.01</v>
      </c>
      <c r="E6169" s="1043"/>
      <c r="F6169" s="1043"/>
      <c r="G6169" s="1550"/>
    </row>
    <row r="6170" spans="1:7" ht="12.75" customHeight="1">
      <c r="A6170" s="1754">
        <v>44440</v>
      </c>
      <c r="B6170" s="125" t="str">
        <f>TiposLancamentos!B16</f>
        <v>Cristiane</v>
      </c>
      <c r="C6170" s="1040" t="s">
        <v>8220</v>
      </c>
      <c r="D6170" s="1736"/>
      <c r="E6170" s="1043">
        <v>85</v>
      </c>
      <c r="F6170" s="1043"/>
      <c r="G6170" s="1550"/>
    </row>
    <row r="6171" spans="1:7" ht="12.75" customHeight="1">
      <c r="A6171" s="1754">
        <v>44441</v>
      </c>
      <c r="B6171" s="125" t="str">
        <f>TiposLancamentos!B5</f>
        <v>Supermercado</v>
      </c>
      <c r="C6171" s="1040" t="s">
        <v>7842</v>
      </c>
      <c r="D6171" s="1736"/>
      <c r="E6171" s="1043">
        <v>185.49</v>
      </c>
      <c r="F6171" s="1043"/>
      <c r="G6171" s="1550"/>
    </row>
    <row r="6172" spans="1:7" ht="12.75" customHeight="1">
      <c r="A6172" s="1754">
        <v>44441</v>
      </c>
      <c r="B6172" s="125" t="str">
        <f>TiposLancamentos!B4</f>
        <v>Taxas Bancarias</v>
      </c>
      <c r="C6172" s="1040" t="s">
        <v>7681</v>
      </c>
      <c r="D6172" s="1736"/>
      <c r="E6172" s="1043">
        <v>5.5</v>
      </c>
      <c r="F6172" s="1043"/>
      <c r="G6172" s="1550"/>
    </row>
    <row r="6173" spans="1:7" ht="12.75" customHeight="1">
      <c r="A6173" s="1754">
        <v>44442</v>
      </c>
      <c r="B6173" s="125" t="str">
        <f>TiposLancamentos!B98</f>
        <v>Restituições</v>
      </c>
      <c r="C6173" s="1040" t="s">
        <v>8221</v>
      </c>
      <c r="D6173" s="1736">
        <v>176</v>
      </c>
      <c r="E6173" s="1043"/>
      <c r="F6173" s="1043"/>
      <c r="G6173" s="1550"/>
    </row>
    <row r="6174" spans="1:7" ht="12.75" customHeight="1">
      <c r="A6174" s="1754">
        <v>44442</v>
      </c>
      <c r="B6174" s="125" t="str">
        <f>TiposLancamentos!B69</f>
        <v>Consertos</v>
      </c>
      <c r="C6174" s="1040" t="s">
        <v>8222</v>
      </c>
      <c r="D6174" s="1736"/>
      <c r="E6174" s="1043">
        <v>772.5</v>
      </c>
      <c r="F6174" s="1043"/>
      <c r="G6174" s="1550"/>
    </row>
    <row r="6175" spans="1:7" ht="12.75" customHeight="1">
      <c r="A6175" s="1754">
        <v>44442</v>
      </c>
      <c r="B6175" s="125" t="str">
        <f>TiposLancamentos!B16</f>
        <v>Cristiane</v>
      </c>
      <c r="C6175" s="1040" t="s">
        <v>8223</v>
      </c>
      <c r="D6175" s="1736"/>
      <c r="E6175" s="1043">
        <v>202</v>
      </c>
      <c r="F6175" s="1043"/>
      <c r="G6175" s="1550"/>
    </row>
    <row r="6176" spans="1:7" ht="12.75" customHeight="1">
      <c r="A6176" s="1754">
        <v>44443</v>
      </c>
      <c r="B6176" s="125" t="str">
        <f>TiposLancamentos!B5</f>
        <v>Supermercado</v>
      </c>
      <c r="C6176" s="1040" t="s">
        <v>8224</v>
      </c>
      <c r="D6176" s="1736"/>
      <c r="E6176" s="1043">
        <v>20.52</v>
      </c>
      <c r="F6176" s="1043"/>
      <c r="G6176" s="1550"/>
    </row>
    <row r="6177" spans="1:7" ht="12.75" customHeight="1">
      <c r="A6177" s="1754">
        <v>44443</v>
      </c>
      <c r="B6177" s="125" t="str">
        <f>TiposLancamentos!B5</f>
        <v>Supermercado</v>
      </c>
      <c r="C6177" s="1040" t="s">
        <v>8225</v>
      </c>
      <c r="D6177" s="1736"/>
      <c r="E6177" s="1043">
        <v>51</v>
      </c>
      <c r="F6177" s="1043"/>
      <c r="G6177" s="1550"/>
    </row>
    <row r="6178" spans="1:7" ht="12.75" customHeight="1">
      <c r="A6178" s="1754">
        <v>44443</v>
      </c>
      <c r="B6178" s="125" t="str">
        <f>TiposLancamentos!B5</f>
        <v>Supermercado</v>
      </c>
      <c r="C6178" s="1040" t="s">
        <v>8145</v>
      </c>
      <c r="D6178" s="1736"/>
      <c r="E6178" s="1043">
        <v>6.9</v>
      </c>
      <c r="F6178" s="1043"/>
      <c r="G6178" s="1550"/>
    </row>
    <row r="6179" spans="1:7" ht="12.75" customHeight="1">
      <c r="A6179" s="1754">
        <v>44443</v>
      </c>
      <c r="B6179" s="125" t="str">
        <f>B6150</f>
        <v>Clinicas e tratamentos</v>
      </c>
      <c r="C6179" s="1040" t="s">
        <v>8172</v>
      </c>
      <c r="D6179" s="1736"/>
      <c r="E6179" s="1043">
        <v>150</v>
      </c>
      <c r="F6179" s="1043"/>
      <c r="G6179" s="1550"/>
    </row>
    <row r="6180" spans="1:7" ht="12.75" customHeight="1">
      <c r="A6180" s="1754">
        <v>44443</v>
      </c>
      <c r="B6180" s="125" t="str">
        <f>TiposLancamentos!B70</f>
        <v>Vestuário</v>
      </c>
      <c r="C6180" s="1040" t="s">
        <v>8226</v>
      </c>
      <c r="D6180" s="1736"/>
      <c r="E6180" s="1043">
        <v>45</v>
      </c>
      <c r="F6180" s="1043"/>
      <c r="G6180" s="1550"/>
    </row>
    <row r="6181" spans="1:7" ht="12.75" customHeight="1">
      <c r="A6181" s="1754">
        <v>44443</v>
      </c>
      <c r="B6181" s="125" t="str">
        <f>TiposLancamentos!B16</f>
        <v>Cristiane</v>
      </c>
      <c r="C6181" s="1040" t="s">
        <v>8227</v>
      </c>
      <c r="D6181" s="1736"/>
      <c r="E6181" s="1043">
        <v>19.95</v>
      </c>
      <c r="F6181" s="1043"/>
      <c r="G6181" s="1550"/>
    </row>
    <row r="6182" spans="1:7" ht="12.75" customHeight="1">
      <c r="A6182" s="1754">
        <v>44443</v>
      </c>
      <c r="B6182" s="125" t="str">
        <f>TiposLancamentos!B56</f>
        <v>Farmácia</v>
      </c>
      <c r="C6182" s="1040" t="s">
        <v>6118</v>
      </c>
      <c r="D6182" s="1736"/>
      <c r="E6182" s="1043">
        <v>113.21</v>
      </c>
      <c r="F6182" s="1043"/>
      <c r="G6182" s="1550"/>
    </row>
    <row r="6183" spans="1:7" ht="12.75" customHeight="1">
      <c r="A6183" s="1754">
        <v>44443</v>
      </c>
      <c r="B6183" s="125" t="str">
        <f>TiposLancamentos!B19</f>
        <v>Restaurantes</v>
      </c>
      <c r="C6183" s="1040" t="s">
        <v>3680</v>
      </c>
      <c r="D6183" s="1736"/>
      <c r="E6183" s="1043">
        <v>24.92</v>
      </c>
      <c r="F6183" s="1043"/>
      <c r="G6183" s="1550"/>
    </row>
    <row r="6184" spans="1:7" ht="12.75" customHeight="1">
      <c r="A6184" s="1754">
        <v>44443</v>
      </c>
      <c r="B6184" s="125" t="str">
        <f>TiposLancamentos!B24</f>
        <v>Estacionamentos</v>
      </c>
      <c r="C6184" s="1040" t="s">
        <v>3398</v>
      </c>
      <c r="D6184" s="1736"/>
      <c r="E6184" s="1043">
        <v>8</v>
      </c>
      <c r="F6184" s="1043"/>
      <c r="G6184" s="1550"/>
    </row>
    <row r="6185" spans="1:7" ht="12.75" customHeight="1">
      <c r="A6185" s="1754">
        <v>44444</v>
      </c>
      <c r="B6185" s="125" t="str">
        <f>TiposLancamentos!B19</f>
        <v>Restaurantes</v>
      </c>
      <c r="C6185" s="1040" t="s">
        <v>8228</v>
      </c>
      <c r="D6185" s="1736"/>
      <c r="E6185" s="1043">
        <v>179.52</v>
      </c>
      <c r="F6185" s="1043"/>
      <c r="G6185" s="1550"/>
    </row>
    <row r="6186" spans="1:7" ht="12.75" customHeight="1">
      <c r="A6186" s="1754">
        <v>44445</v>
      </c>
      <c r="B6186" s="125" t="str">
        <f>B6169</f>
        <v>Juros_Corr. Poupança</v>
      </c>
      <c r="C6186" s="1040" t="str">
        <f>C6169</f>
        <v>REND PAGO APLIC AUT APR</v>
      </c>
      <c r="D6186" s="1736">
        <v>0.01</v>
      </c>
      <c r="E6186" s="1043"/>
      <c r="F6186" s="1043"/>
      <c r="G6186" s="1550"/>
    </row>
    <row r="6187" spans="1:7" ht="12.75" customHeight="1">
      <c r="A6187" s="1754">
        <v>44445</v>
      </c>
      <c r="B6187" s="125" t="str">
        <f>TiposLancamentos!B5</f>
        <v>Supermercado</v>
      </c>
      <c r="C6187" s="1040" t="s">
        <v>7981</v>
      </c>
      <c r="D6187" s="1736"/>
      <c r="E6187" s="1043">
        <v>55.04</v>
      </c>
      <c r="F6187" s="1043"/>
      <c r="G6187" s="1550"/>
    </row>
    <row r="6188" spans="1:7" ht="12.75" customHeight="1">
      <c r="A6188" s="1754">
        <v>44447</v>
      </c>
      <c r="B6188" s="125" t="str">
        <f>TiposLancamentos!B5</f>
        <v>Supermercado</v>
      </c>
      <c r="C6188" s="1040" t="s">
        <v>1884</v>
      </c>
      <c r="D6188" s="1736"/>
      <c r="E6188" s="1043">
        <v>8.5</v>
      </c>
      <c r="F6188" s="1043"/>
      <c r="G6188" s="1550"/>
    </row>
    <row r="6189" spans="1:7" ht="12.75" customHeight="1">
      <c r="A6189" s="1754">
        <v>44447</v>
      </c>
      <c r="B6189" s="125" t="str">
        <f>TiposLancamentos!B5</f>
        <v>Supermercado</v>
      </c>
      <c r="C6189" s="1040" t="s">
        <v>8229</v>
      </c>
      <c r="D6189" s="1736"/>
      <c r="E6189" s="1043">
        <v>151.61000000000001</v>
      </c>
      <c r="F6189" s="1043"/>
      <c r="G6189" s="1550"/>
    </row>
    <row r="6190" spans="1:7" ht="12.75" customHeight="1">
      <c r="A6190" s="1754">
        <v>44447</v>
      </c>
      <c r="B6190" s="125" t="str">
        <f>TiposLancamentos!B22</f>
        <v>Combustivel</v>
      </c>
      <c r="C6190" s="1040" t="s">
        <v>8230</v>
      </c>
      <c r="D6190" s="1736"/>
      <c r="E6190" s="1043">
        <v>150</v>
      </c>
      <c r="F6190" s="1043"/>
      <c r="G6190" s="1550"/>
    </row>
    <row r="6191" spans="1:7" ht="12.75" customHeight="1">
      <c r="A6191" s="1754">
        <v>44449</v>
      </c>
      <c r="B6191" s="125" t="str">
        <f>TiposLancamentos!B13</f>
        <v>Moradia</v>
      </c>
      <c r="C6191" s="1040" t="s">
        <v>8231</v>
      </c>
      <c r="D6191" s="1736"/>
      <c r="E6191" s="1043">
        <v>12</v>
      </c>
      <c r="F6191" s="1043"/>
      <c r="G6191" s="1550"/>
    </row>
    <row r="6192" spans="1:7" ht="12.75" customHeight="1">
      <c r="A6192" s="1754">
        <v>44449</v>
      </c>
      <c r="B6192" s="125" t="str">
        <f>TiposLancamentos!B22</f>
        <v>Combustivel</v>
      </c>
      <c r="C6192" s="1040" t="s">
        <v>1880</v>
      </c>
      <c r="D6192" s="1736"/>
      <c r="E6192" s="1043">
        <v>150</v>
      </c>
      <c r="F6192" s="1043"/>
      <c r="G6192" s="1550"/>
    </row>
    <row r="6193" spans="1:7" ht="12.75" customHeight="1">
      <c r="A6193" s="1754">
        <v>44450</v>
      </c>
      <c r="B6193" s="125" t="str">
        <f>TiposLancamentos!B32</f>
        <v>Clinicas e tratamentos</v>
      </c>
      <c r="C6193" s="1040" t="s">
        <v>8172</v>
      </c>
      <c r="D6193" s="1736"/>
      <c r="E6193" s="1043">
        <v>150</v>
      </c>
      <c r="F6193" s="1043"/>
      <c r="G6193" s="1550"/>
    </row>
    <row r="6194" spans="1:7" ht="12.75" customHeight="1">
      <c r="A6194" s="1754">
        <v>44450</v>
      </c>
      <c r="B6194" s="125" t="str">
        <f>TiposLancamentos!B74</f>
        <v>Noite</v>
      </c>
      <c r="C6194" s="1040" t="s">
        <v>8232</v>
      </c>
      <c r="D6194" s="1736"/>
      <c r="E6194" s="1043">
        <v>115.92</v>
      </c>
      <c r="F6194" s="1043"/>
      <c r="G6194" s="1550"/>
    </row>
    <row r="6195" spans="1:7" ht="12.75" customHeight="1">
      <c r="A6195" s="1754">
        <v>44451</v>
      </c>
      <c r="B6195" s="125" t="str">
        <f>TiposLancamentos!B19</f>
        <v>Restaurantes</v>
      </c>
      <c r="C6195" s="1040" t="s">
        <v>8233</v>
      </c>
      <c r="D6195" s="1736"/>
      <c r="E6195" s="1043">
        <v>96.47</v>
      </c>
      <c r="F6195" s="1043"/>
      <c r="G6195" s="1550"/>
    </row>
    <row r="6196" spans="1:7" ht="12.75" customHeight="1">
      <c r="A6196" s="1754">
        <v>44452</v>
      </c>
      <c r="B6196" s="125" t="str">
        <f>TiposLancamentos!B5</f>
        <v>Supermercado</v>
      </c>
      <c r="C6196" s="1040" t="s">
        <v>8012</v>
      </c>
      <c r="D6196" s="1736"/>
      <c r="E6196" s="1043">
        <v>8.5</v>
      </c>
      <c r="F6196" s="1043"/>
      <c r="G6196" s="1550"/>
    </row>
    <row r="6197" spans="1:7" ht="12.75" customHeight="1">
      <c r="A6197" s="1754">
        <v>44453</v>
      </c>
      <c r="B6197" s="125" t="str">
        <f>TiposLancamentos!B5</f>
        <v>Supermercado</v>
      </c>
      <c r="C6197" s="1040" t="s">
        <v>8012</v>
      </c>
      <c r="D6197" s="1736"/>
      <c r="E6197" s="1043">
        <v>29.3</v>
      </c>
      <c r="F6197" s="1043"/>
      <c r="G6197" s="1550"/>
    </row>
    <row r="6198" spans="1:7" ht="12.75" customHeight="1">
      <c r="A6198" s="1754">
        <v>44454</v>
      </c>
      <c r="B6198" s="125" t="str">
        <f>TiposLancamentos!B24</f>
        <v>Estacionamentos</v>
      </c>
      <c r="C6198" s="1040" t="s">
        <v>8234</v>
      </c>
      <c r="D6198" s="1736"/>
      <c r="E6198" s="1043">
        <v>15</v>
      </c>
      <c r="F6198" s="1043"/>
      <c r="G6198" s="1550"/>
    </row>
    <row r="6199" spans="1:7" ht="12.75" customHeight="1">
      <c r="A6199" s="1754">
        <v>44454</v>
      </c>
      <c r="B6199" s="125" t="str">
        <f>TiposLancamentos!B5</f>
        <v>Supermercado</v>
      </c>
      <c r="C6199" s="1040" t="s">
        <v>7904</v>
      </c>
      <c r="D6199" s="1736"/>
      <c r="E6199" s="1043">
        <v>232.93</v>
      </c>
      <c r="F6199" s="1043"/>
      <c r="G6199" s="1550"/>
    </row>
    <row r="6200" spans="1:7" ht="12.75" customHeight="1">
      <c r="A6200" s="1754">
        <v>44454</v>
      </c>
      <c r="B6200" s="125" t="str">
        <f>TiposLancamentos!B95</f>
        <v>Salarios</v>
      </c>
      <c r="C6200" s="1040" t="s">
        <v>8078</v>
      </c>
      <c r="D6200" s="1736">
        <v>4720</v>
      </c>
      <c r="E6200" s="1043"/>
      <c r="F6200" s="1043"/>
      <c r="G6200" s="1550"/>
    </row>
    <row r="6201" spans="1:7" ht="12.75" customHeight="1">
      <c r="A6201" s="1666">
        <v>44454</v>
      </c>
      <c r="B6201" s="817" t="str">
        <f>TiposLancamentos!B33</f>
        <v>Pedágios</v>
      </c>
      <c r="C6201" s="1742" t="s">
        <v>5392</v>
      </c>
      <c r="D6201" s="1735"/>
      <c r="E6201" s="1733">
        <f>F6203-(E6202+E6203)</f>
        <v>68.8</v>
      </c>
      <c r="F6201" s="1290"/>
      <c r="G6201" s="1550"/>
    </row>
    <row r="6202" spans="1:7" ht="12.75" customHeight="1">
      <c r="A6202" s="1667">
        <v>44454</v>
      </c>
      <c r="B6202" s="816" t="str">
        <f>TiposLancamentos!B24</f>
        <v>Estacionamentos</v>
      </c>
      <c r="C6202" s="1769" t="s">
        <v>7366</v>
      </c>
      <c r="D6202" s="1736"/>
      <c r="E6202" s="1734">
        <v>35</v>
      </c>
      <c r="F6202" s="1043"/>
      <c r="G6202" s="1550"/>
    </row>
    <row r="6203" spans="1:7" ht="12.75" customHeight="1">
      <c r="A6203" s="1750">
        <v>44454</v>
      </c>
      <c r="B6203" s="818" t="str">
        <f>TiposLancamentos!B24</f>
        <v>Estacionamentos</v>
      </c>
      <c r="C6203" s="1743" t="s">
        <v>6297</v>
      </c>
      <c r="D6203" s="1737"/>
      <c r="E6203" s="1668">
        <v>11</v>
      </c>
      <c r="F6203" s="1347">
        <v>114.8</v>
      </c>
      <c r="G6203" s="1550"/>
    </row>
    <row r="6204" spans="1:7" ht="12.75" customHeight="1">
      <c r="A6204" s="1754">
        <v>44454</v>
      </c>
      <c r="B6204" s="125"/>
      <c r="C6204" s="1040" t="s">
        <v>7341</v>
      </c>
      <c r="D6204" s="1736">
        <v>0</v>
      </c>
      <c r="E6204" s="1043"/>
      <c r="F6204" s="1043"/>
      <c r="G6204" s="1550"/>
    </row>
    <row r="6205" spans="1:7" ht="12.75" customHeight="1">
      <c r="A6205" s="1666">
        <v>44454</v>
      </c>
      <c r="B6205" s="817" t="str">
        <f>TiposLancamentos!B35</f>
        <v>Tv à Cabo</v>
      </c>
      <c r="C6205" s="1742" t="s">
        <v>5834</v>
      </c>
      <c r="D6205" s="1735"/>
      <c r="E6205" s="1733">
        <f>F6207-(E6206+E6207)</f>
        <v>136.28999999999996</v>
      </c>
      <c r="F6205" s="1290"/>
      <c r="G6205" s="1550"/>
    </row>
    <row r="6206" spans="1:7" ht="12.75" customHeight="1">
      <c r="A6206" s="1667">
        <v>44454</v>
      </c>
      <c r="B6206" s="816" t="str">
        <f>TiposLancamentos!B3</f>
        <v>Internet</v>
      </c>
      <c r="C6206" s="1769" t="s">
        <v>5835</v>
      </c>
      <c r="D6206" s="1736"/>
      <c r="E6206" s="1734">
        <v>134.99</v>
      </c>
      <c r="F6206" s="1043"/>
      <c r="G6206" s="1550"/>
    </row>
    <row r="6207" spans="1:7" ht="12.75" customHeight="1">
      <c r="A6207" s="1750">
        <v>44454</v>
      </c>
      <c r="B6207" s="818" t="str">
        <f>TiposLancamentos!B2</f>
        <v>Telefonia</v>
      </c>
      <c r="C6207" s="1743" t="s">
        <v>7210</v>
      </c>
      <c r="D6207" s="1737"/>
      <c r="E6207" s="1668">
        <v>0</v>
      </c>
      <c r="F6207" s="1291">
        <v>271.27999999999997</v>
      </c>
      <c r="G6207" s="1550"/>
    </row>
    <row r="6208" spans="1:7" ht="12.75" customHeight="1">
      <c r="A6208" s="1754">
        <v>44455</v>
      </c>
      <c r="B6208" s="125" t="str">
        <f>TiposLancamentos!B46</f>
        <v>Maçonaria</v>
      </c>
      <c r="C6208" s="1040" t="s">
        <v>8235</v>
      </c>
      <c r="D6208" s="1736"/>
      <c r="E6208" s="1043">
        <v>180</v>
      </c>
      <c r="F6208" s="1043"/>
      <c r="G6208" s="1550"/>
    </row>
    <row r="6209" spans="1:7" ht="12.75" customHeight="1">
      <c r="A6209" s="1754">
        <v>44455</v>
      </c>
      <c r="B6209" s="125" t="str">
        <f>TiposLancamentos!B46</f>
        <v>Maçonaria</v>
      </c>
      <c r="C6209" s="1040" t="s">
        <v>8236</v>
      </c>
      <c r="D6209" s="1736"/>
      <c r="E6209" s="1043">
        <v>100</v>
      </c>
      <c r="F6209" s="1043"/>
      <c r="G6209" s="1550"/>
    </row>
    <row r="6210" spans="1:7" ht="12.75" customHeight="1">
      <c r="A6210" s="1754">
        <v>44456</v>
      </c>
      <c r="B6210" s="125" t="str">
        <f>TiposLancamentos!B2</f>
        <v>Telefonia</v>
      </c>
      <c r="C6210" s="1040" t="s">
        <v>8237</v>
      </c>
      <c r="D6210" s="1736"/>
      <c r="E6210" s="1043">
        <v>55.99</v>
      </c>
      <c r="F6210" s="1043"/>
      <c r="G6210" s="1550"/>
    </row>
    <row r="6211" spans="1:7" ht="12.75" customHeight="1">
      <c r="A6211" s="1754">
        <v>44456</v>
      </c>
      <c r="B6211" s="125" t="str">
        <f>TiposLancamentos!B17</f>
        <v>GATO</v>
      </c>
      <c r="C6211" s="1040" t="s">
        <v>1925</v>
      </c>
      <c r="D6211" s="1736"/>
      <c r="E6211" s="1043">
        <v>29.48</v>
      </c>
      <c r="F6211" s="1043"/>
      <c r="G6211" s="1550"/>
    </row>
    <row r="6212" spans="1:7" ht="12.75" customHeight="1">
      <c r="A6212" s="1754">
        <v>44456</v>
      </c>
      <c r="B6212" s="125" t="str">
        <f>TiposLancamentos!B16</f>
        <v>Cristiane</v>
      </c>
      <c r="C6212" s="1040" t="s">
        <v>8238</v>
      </c>
      <c r="D6212" s="1736"/>
      <c r="E6212" s="1043">
        <v>18</v>
      </c>
      <c r="F6212" s="1043"/>
      <c r="G6212" s="1550"/>
    </row>
    <row r="6213" spans="1:7" ht="12.75" customHeight="1">
      <c r="A6213" s="1754">
        <v>44456</v>
      </c>
      <c r="B6213" s="125" t="str">
        <f>TiposLancamentos!B16</f>
        <v>Cristiane</v>
      </c>
      <c r="C6213" s="1040" t="s">
        <v>7490</v>
      </c>
      <c r="D6213" s="1736"/>
      <c r="E6213" s="1043">
        <v>11</v>
      </c>
      <c r="F6213" s="1043"/>
      <c r="G6213" s="1550"/>
    </row>
    <row r="6214" spans="1:7" ht="12.75" customHeight="1">
      <c r="A6214" s="1754">
        <v>44456</v>
      </c>
      <c r="B6214" s="125" t="str">
        <f>TiposLancamentos!B5</f>
        <v>Supermercado</v>
      </c>
      <c r="C6214" s="1040" t="s">
        <v>7904</v>
      </c>
      <c r="D6214" s="1736"/>
      <c r="E6214" s="1043">
        <v>124.36</v>
      </c>
      <c r="F6214" s="1043"/>
      <c r="G6214" s="1550"/>
    </row>
    <row r="6215" spans="1:7" ht="12.75" customHeight="1">
      <c r="A6215" s="1754">
        <v>44456</v>
      </c>
      <c r="B6215" s="125" t="str">
        <f>TiposLancamentos!B24</f>
        <v>Estacionamentos</v>
      </c>
      <c r="C6215" s="1040" t="s">
        <v>8239</v>
      </c>
      <c r="D6215" s="1736"/>
      <c r="E6215" s="1043">
        <v>10</v>
      </c>
      <c r="F6215" s="1043"/>
      <c r="G6215" s="1550"/>
    </row>
    <row r="6216" spans="1:7" ht="12.75" customHeight="1">
      <c r="A6216" s="1754">
        <v>44456</v>
      </c>
      <c r="B6216" s="125" t="str">
        <f>TiposLancamentos!B74</f>
        <v>Noite</v>
      </c>
      <c r="C6216" s="1040" t="s">
        <v>8240</v>
      </c>
      <c r="D6216" s="1736"/>
      <c r="E6216" s="1043">
        <v>145.82</v>
      </c>
      <c r="F6216" s="1043"/>
      <c r="G6216" s="1550"/>
    </row>
    <row r="6217" spans="1:7" ht="12.75" customHeight="1">
      <c r="A6217" s="1754">
        <v>44457</v>
      </c>
      <c r="B6217" s="125" t="str">
        <f>TiposLancamentos!B32</f>
        <v>Clinicas e tratamentos</v>
      </c>
      <c r="C6217" s="1040" t="s">
        <v>8172</v>
      </c>
      <c r="D6217" s="1736"/>
      <c r="E6217" s="1043">
        <v>150</v>
      </c>
      <c r="F6217" s="1043"/>
      <c r="G6217" s="1550"/>
    </row>
    <row r="6218" spans="1:7" ht="12.75" customHeight="1">
      <c r="A6218" s="1754">
        <v>44457</v>
      </c>
      <c r="B6218" s="125" t="str">
        <f>TiposLancamentos!B13</f>
        <v>Moradia</v>
      </c>
      <c r="C6218" s="1040" t="s">
        <v>3682</v>
      </c>
      <c r="D6218" s="1736"/>
      <c r="E6218" s="1043">
        <v>12</v>
      </c>
      <c r="F6218" s="1043"/>
      <c r="G6218" s="1550"/>
    </row>
    <row r="6219" spans="1:7" ht="12.75" customHeight="1">
      <c r="A6219" s="1754">
        <v>44458</v>
      </c>
      <c r="B6219" s="125" t="str">
        <f>TiposLancamentos!B5</f>
        <v>Supermercado</v>
      </c>
      <c r="C6219" s="1040" t="s">
        <v>7904</v>
      </c>
      <c r="D6219" s="1736"/>
      <c r="E6219" s="1043">
        <v>124.86</v>
      </c>
      <c r="F6219" s="1043"/>
      <c r="G6219" s="1550"/>
    </row>
    <row r="6220" spans="1:7" ht="12.75" customHeight="1">
      <c r="A6220" s="1754">
        <v>44458</v>
      </c>
      <c r="B6220" s="125" t="str">
        <f>TiposLancamentos!B19</f>
        <v>Restaurantes</v>
      </c>
      <c r="C6220" s="1040" t="s">
        <v>8241</v>
      </c>
      <c r="D6220" s="1736"/>
      <c r="E6220" s="1043">
        <v>16.5</v>
      </c>
      <c r="F6220" s="1043"/>
      <c r="G6220" s="1550"/>
    </row>
    <row r="6221" spans="1:7" ht="12.75" customHeight="1">
      <c r="A6221" s="1754">
        <v>44458</v>
      </c>
      <c r="B6221" s="125" t="str">
        <f>TiposLancamentos!B56</f>
        <v>Farmácia</v>
      </c>
      <c r="C6221" s="1040" t="s">
        <v>8242</v>
      </c>
      <c r="D6221" s="1736"/>
      <c r="E6221" s="1043">
        <v>75.14</v>
      </c>
      <c r="F6221" s="1043"/>
      <c r="G6221" s="1550"/>
    </row>
    <row r="6222" spans="1:7" ht="12.75" customHeight="1">
      <c r="A6222" s="1666">
        <v>44459</v>
      </c>
      <c r="B6222" s="817" t="str">
        <f>TiposLancamentos!B8</f>
        <v>Aluguel</v>
      </c>
      <c r="C6222" s="1742" t="s">
        <v>8243</v>
      </c>
      <c r="D6222" s="1735"/>
      <c r="E6222" s="1733">
        <f>F6227-(E6223+E6227+E6224+E6225+E6226)</f>
        <v>1400</v>
      </c>
      <c r="F6222" s="1346"/>
      <c r="G6222" s="1550"/>
    </row>
    <row r="6223" spans="1:7" ht="12.75" customHeight="1">
      <c r="A6223" s="1667">
        <v>44459</v>
      </c>
      <c r="B6223" s="816" t="str">
        <f>TiposLancamentos!B12</f>
        <v>IPTU</v>
      </c>
      <c r="C6223" s="1769" t="s">
        <v>8244</v>
      </c>
      <c r="D6223" s="1736"/>
      <c r="E6223" s="1734">
        <v>54.02</v>
      </c>
      <c r="F6223" s="1043"/>
      <c r="G6223" s="1550"/>
    </row>
    <row r="6224" spans="1:7" ht="12.75" customHeight="1">
      <c r="A6224" s="1667">
        <v>44459</v>
      </c>
      <c r="B6224" s="816" t="str">
        <f>TiposLancamentos!B10</f>
        <v>Distr. Água Municipal</v>
      </c>
      <c r="C6224" s="1769" t="s">
        <v>7423</v>
      </c>
      <c r="D6224" s="1736"/>
      <c r="E6224" s="1734">
        <v>67.39</v>
      </c>
      <c r="F6224" s="1043"/>
      <c r="G6224" s="1550"/>
    </row>
    <row r="6225" spans="1:7" ht="12.75" customHeight="1">
      <c r="A6225" s="1667">
        <v>44459</v>
      </c>
      <c r="B6225" s="816" t="str">
        <f>TiposLancamentos!B11</f>
        <v>Coleta Municipal Lixo</v>
      </c>
      <c r="C6225" s="1769" t="s">
        <v>7424</v>
      </c>
      <c r="D6225" s="1736"/>
      <c r="E6225" s="1734">
        <v>44.36</v>
      </c>
      <c r="F6225" s="1043"/>
      <c r="G6225" s="1550"/>
    </row>
    <row r="6226" spans="1:7" ht="12.75" customHeight="1">
      <c r="A6226" s="1667">
        <v>44459</v>
      </c>
      <c r="B6226" s="816" t="str">
        <f>TiposLancamentos!B8</f>
        <v>Aluguel</v>
      </c>
      <c r="C6226" s="1769" t="s">
        <v>7425</v>
      </c>
      <c r="D6226" s="1736"/>
      <c r="E6226" s="1734">
        <v>8</v>
      </c>
      <c r="F6226" s="1043"/>
      <c r="G6226" s="1550"/>
    </row>
    <row r="6227" spans="1:7" ht="12.75" customHeight="1">
      <c r="A6227" s="1750">
        <v>44459</v>
      </c>
      <c r="B6227" s="818" t="str">
        <f>TiposLancamentos!B9</f>
        <v>Condominio</v>
      </c>
      <c r="C6227" s="1743" t="s">
        <v>7427</v>
      </c>
      <c r="D6227" s="1737"/>
      <c r="E6227" s="1668">
        <v>616.37</v>
      </c>
      <c r="F6227" s="1291">
        <v>2190.14</v>
      </c>
      <c r="G6227" s="1550"/>
    </row>
    <row r="6228" spans="1:7" ht="12.75" customHeight="1">
      <c r="A6228" s="1754">
        <v>44460</v>
      </c>
      <c r="B6228" s="125" t="str">
        <f>TiposLancamentos!B6</f>
        <v>Energia Eletrica</v>
      </c>
      <c r="C6228" s="1040" t="s">
        <v>8245</v>
      </c>
      <c r="D6228" s="1736"/>
      <c r="E6228" s="1043">
        <v>278.20999999999998</v>
      </c>
      <c r="F6228" s="1043"/>
      <c r="G6228" s="1550"/>
    </row>
    <row r="6229" spans="1:7" ht="12.75" customHeight="1">
      <c r="A6229" s="1754">
        <v>44460</v>
      </c>
      <c r="B6229" s="125" t="str">
        <f>TiposLancamentos!B24</f>
        <v>Estacionamentos</v>
      </c>
      <c r="C6229" s="1040" t="s">
        <v>8246</v>
      </c>
      <c r="D6229" s="1736"/>
      <c r="E6229" s="1043">
        <v>15</v>
      </c>
      <c r="F6229" s="1043"/>
      <c r="G6229" s="1550"/>
    </row>
    <row r="6230" spans="1:7" ht="12.75" customHeight="1">
      <c r="A6230" s="1754">
        <v>44461</v>
      </c>
      <c r="B6230" s="125" t="str">
        <f>TiposLancamentos!B80</f>
        <v>Mudanças</v>
      </c>
      <c r="C6230" s="1040" t="s">
        <v>8247</v>
      </c>
      <c r="D6230" s="1736"/>
      <c r="E6230" s="1043">
        <v>50</v>
      </c>
      <c r="F6230" s="1043"/>
      <c r="G6230" s="1550"/>
    </row>
    <row r="6231" spans="1:7" ht="12.75" customHeight="1">
      <c r="A6231" s="1754">
        <v>44461</v>
      </c>
      <c r="B6231" s="125" t="str">
        <f>TiposLancamentos!B5</f>
        <v>Supermercado</v>
      </c>
      <c r="C6231" s="1040" t="s">
        <v>7909</v>
      </c>
      <c r="D6231" s="1736"/>
      <c r="E6231" s="1043">
        <v>42.24</v>
      </c>
      <c r="F6231" s="1043"/>
      <c r="G6231" s="1550"/>
    </row>
    <row r="6232" spans="1:7" ht="12.75" customHeight="1">
      <c r="A6232" s="1754">
        <v>44461</v>
      </c>
      <c r="B6232" s="125" t="str">
        <f>TiposLancamentos!B56</f>
        <v>Farmácia</v>
      </c>
      <c r="C6232" s="1040" t="s">
        <v>8196</v>
      </c>
      <c r="D6232" s="1736"/>
      <c r="E6232" s="1043">
        <v>184.1</v>
      </c>
      <c r="F6232" s="1043"/>
      <c r="G6232" s="1550"/>
    </row>
    <row r="6233" spans="1:7" ht="12.75" customHeight="1">
      <c r="A6233" s="1754">
        <v>44463</v>
      </c>
      <c r="B6233" s="125" t="str">
        <f>TiposLancamentos!B13</f>
        <v>Moradia</v>
      </c>
      <c r="C6233" s="1040" t="s">
        <v>4625</v>
      </c>
      <c r="D6233" s="1736"/>
      <c r="E6233" s="1043">
        <v>12</v>
      </c>
      <c r="F6233" s="1043"/>
      <c r="G6233" s="1550"/>
    </row>
    <row r="6234" spans="1:7" ht="12.75" customHeight="1">
      <c r="A6234" s="1754">
        <v>44464</v>
      </c>
      <c r="B6234" s="125" t="str">
        <f>TiposLancamentos!B32</f>
        <v>Clinicas e tratamentos</v>
      </c>
      <c r="C6234" s="1040" t="s">
        <v>8172</v>
      </c>
      <c r="D6234" s="1736"/>
      <c r="E6234" s="1043">
        <v>150</v>
      </c>
      <c r="F6234" s="1043"/>
      <c r="G6234" s="1550"/>
    </row>
    <row r="6235" spans="1:7" ht="12.75" customHeight="1">
      <c r="A6235" s="1754">
        <v>44465</v>
      </c>
      <c r="B6235" s="125" t="str">
        <f>TiposLancamentos!B19</f>
        <v>Restaurantes</v>
      </c>
      <c r="C6235" s="1040" t="s">
        <v>8248</v>
      </c>
      <c r="D6235" s="1736"/>
      <c r="E6235" s="1043">
        <v>225.77</v>
      </c>
      <c r="F6235" s="1043"/>
      <c r="G6235" s="1550"/>
    </row>
    <row r="6236" spans="1:7" ht="12.75" customHeight="1">
      <c r="A6236" s="1754">
        <v>44465</v>
      </c>
      <c r="B6236" s="125" t="str">
        <f>TiposLancamentos!B19</f>
        <v>Restaurantes</v>
      </c>
      <c r="C6236" s="1040" t="s">
        <v>8249</v>
      </c>
      <c r="D6236" s="1736"/>
      <c r="E6236" s="1043">
        <v>36.5</v>
      </c>
      <c r="F6236" s="1043"/>
      <c r="G6236" s="1550"/>
    </row>
    <row r="6237" spans="1:7" ht="12.75" customHeight="1">
      <c r="A6237" s="1754">
        <v>44467</v>
      </c>
      <c r="B6237" s="125" t="str">
        <f>TiposLancamentos!B5</f>
        <v>Supermercado</v>
      </c>
      <c r="C6237" s="1040" t="s">
        <v>8066</v>
      </c>
      <c r="D6237" s="1736"/>
      <c r="E6237" s="1043">
        <v>19.8</v>
      </c>
      <c r="F6237" s="1043"/>
      <c r="G6237" s="1550"/>
    </row>
    <row r="6238" spans="1:7" ht="12.75" customHeight="1">
      <c r="A6238" s="1754">
        <v>44467</v>
      </c>
      <c r="B6238" s="125" t="str">
        <f>TiposLancamentos!B5</f>
        <v>Supermercado</v>
      </c>
      <c r="C6238" s="1040" t="s">
        <v>8250</v>
      </c>
      <c r="D6238" s="1736"/>
      <c r="E6238" s="1043">
        <v>13.49</v>
      </c>
      <c r="F6238" s="1043"/>
      <c r="G6238" s="1550"/>
    </row>
    <row r="6239" spans="1:7" ht="12.75" customHeight="1" thickBot="1">
      <c r="A6239" s="1754">
        <v>44469</v>
      </c>
      <c r="B6239" s="125" t="str">
        <f>TiposLancamentos!B95</f>
        <v>Salarios</v>
      </c>
      <c r="C6239" s="1040" t="s">
        <v>8064</v>
      </c>
      <c r="D6239" s="1736">
        <v>3659.47</v>
      </c>
      <c r="E6239" s="1043"/>
      <c r="F6239" s="1043"/>
      <c r="G6239" s="1550"/>
    </row>
    <row r="6240" spans="1:7" ht="12.75" customHeight="1">
      <c r="A6240" s="1834"/>
      <c r="B6240" s="977"/>
      <c r="C6240" s="1854" t="s">
        <v>8251</v>
      </c>
      <c r="D6240" s="1823"/>
      <c r="E6240" s="1821"/>
      <c r="F6240" s="1821"/>
      <c r="G6240" s="1895"/>
    </row>
    <row r="6241" spans="1:7" ht="12.75" customHeight="1">
      <c r="A6241" s="1754">
        <v>44470</v>
      </c>
      <c r="B6241" s="125" t="str">
        <f>TiposLancamentos!B15</f>
        <v>Cartões de Crédito</v>
      </c>
      <c r="C6241" s="1040" t="s">
        <v>7781</v>
      </c>
      <c r="D6241" s="1736"/>
      <c r="E6241" s="1043">
        <v>1125.6600000000001</v>
      </c>
      <c r="F6241" s="1043"/>
      <c r="G6241" s="1550"/>
    </row>
    <row r="6242" spans="1:7" ht="12.75" customHeight="1">
      <c r="A6242" s="1754">
        <v>44470</v>
      </c>
      <c r="B6242" s="125" t="str">
        <f>TiposLancamentos!B15</f>
        <v>Cartões de Crédito</v>
      </c>
      <c r="C6242" s="1040" t="s">
        <v>8016</v>
      </c>
      <c r="D6242" s="1736"/>
      <c r="E6242" s="1043">
        <v>403.87</v>
      </c>
      <c r="F6242" s="1043"/>
      <c r="G6242" s="1550"/>
    </row>
    <row r="6243" spans="1:7" ht="12.75" customHeight="1">
      <c r="A6243" s="1754">
        <v>44470</v>
      </c>
      <c r="B6243" s="125" t="str">
        <f>TiposLancamentos!B15</f>
        <v>Cartões de Crédito</v>
      </c>
      <c r="C6243" s="1040" t="s">
        <v>8252</v>
      </c>
      <c r="D6243" s="1736"/>
      <c r="E6243" s="1043">
        <v>48.85</v>
      </c>
      <c r="F6243" s="1043"/>
      <c r="G6243" s="1550"/>
    </row>
    <row r="6244" spans="1:7" ht="12.75" customHeight="1">
      <c r="A6244" s="1754">
        <v>44470</v>
      </c>
      <c r="B6244" s="125" t="str">
        <f>TiposLancamentos!B14</f>
        <v>Gás de cozinha</v>
      </c>
      <c r="C6244" s="1040" t="s">
        <v>7722</v>
      </c>
      <c r="D6244" s="1736"/>
      <c r="E6244" s="1043">
        <v>41.55</v>
      </c>
      <c r="F6244" s="1043"/>
      <c r="G6244" s="1550"/>
    </row>
    <row r="6245" spans="1:7" ht="12.75" customHeight="1">
      <c r="A6245" s="1754">
        <v>44470</v>
      </c>
      <c r="B6245" s="125" t="str">
        <f>TiposLancamentos!B105</f>
        <v>Transf. Bco</v>
      </c>
      <c r="C6245" s="1040" t="s">
        <v>8253</v>
      </c>
      <c r="D6245" s="1736">
        <v>3786.98</v>
      </c>
      <c r="E6245" s="1043"/>
      <c r="F6245" s="1043"/>
      <c r="G6245" s="1550"/>
    </row>
    <row r="6246" spans="1:7" ht="12.75" customHeight="1">
      <c r="A6246" s="1754">
        <v>44470</v>
      </c>
      <c r="B6246" s="125" t="str">
        <f>TiposLancamentos!B16</f>
        <v>Cristiane</v>
      </c>
      <c r="C6246" s="1040" t="s">
        <v>8254</v>
      </c>
      <c r="D6246" s="1736"/>
      <c r="E6246" s="1043">
        <v>3690</v>
      </c>
      <c r="F6246" s="1043"/>
      <c r="G6246" s="1550"/>
    </row>
    <row r="6247" spans="1:7" ht="12.75" customHeight="1">
      <c r="A6247" s="1754">
        <v>44470</v>
      </c>
      <c r="B6247" s="125" t="str">
        <f>TiposLancamentos!B5</f>
        <v>Supermercado</v>
      </c>
      <c r="C6247" s="1040" t="s">
        <v>8255</v>
      </c>
      <c r="D6247" s="1736"/>
      <c r="E6247" s="1043">
        <v>13.99</v>
      </c>
      <c r="F6247" s="1043"/>
      <c r="G6247" s="1550"/>
    </row>
    <row r="6248" spans="1:7" ht="12.75" customHeight="1">
      <c r="A6248" s="1754">
        <v>44471</v>
      </c>
      <c r="B6248" s="125" t="str">
        <f>TiposLancamentos!B16</f>
        <v>Cristiane</v>
      </c>
      <c r="C6248" s="1040" t="s">
        <v>8256</v>
      </c>
      <c r="D6248" s="1736"/>
      <c r="E6248" s="1043">
        <v>104.94</v>
      </c>
      <c r="F6248" s="1043"/>
      <c r="G6248" s="1550"/>
    </row>
    <row r="6249" spans="1:7" ht="12.75" customHeight="1">
      <c r="A6249" s="1754">
        <v>44471</v>
      </c>
      <c r="B6249" s="125" t="str">
        <f>TiposLancamentos!B16</f>
        <v>Cristiane</v>
      </c>
      <c r="C6249" s="1040" t="s">
        <v>8257</v>
      </c>
      <c r="D6249" s="1736"/>
      <c r="E6249" s="1043">
        <v>69.900000000000006</v>
      </c>
      <c r="F6249" s="1043"/>
      <c r="G6249" s="1550"/>
    </row>
    <row r="6250" spans="1:7" ht="12.75" customHeight="1">
      <c r="A6250" s="1754">
        <v>44471</v>
      </c>
      <c r="B6250" s="125" t="str">
        <f>TiposLancamentos!B19</f>
        <v>Restaurantes</v>
      </c>
      <c r="C6250" s="1040" t="s">
        <v>7511</v>
      </c>
      <c r="D6250" s="1736"/>
      <c r="E6250" s="1043">
        <v>29.12</v>
      </c>
      <c r="F6250" s="1043"/>
      <c r="G6250" s="1550"/>
    </row>
    <row r="6251" spans="1:7" ht="12.75" customHeight="1">
      <c r="A6251" s="1754">
        <v>44471</v>
      </c>
      <c r="B6251" s="125" t="str">
        <f>TiposLancamentos!B71</f>
        <v>Itens Pessoais</v>
      </c>
      <c r="C6251" s="1040" t="s">
        <v>8258</v>
      </c>
      <c r="D6251" s="1736"/>
      <c r="E6251" s="1043">
        <v>12.5</v>
      </c>
      <c r="F6251" s="1043"/>
      <c r="G6251" s="1550"/>
    </row>
    <row r="6252" spans="1:7" ht="12.75" customHeight="1">
      <c r="A6252" s="1754">
        <v>44471</v>
      </c>
      <c r="B6252" s="125" t="str">
        <f>TiposLancamentos!B23</f>
        <v>P208 GRIFFE 1.6 AUT BUSINESS</v>
      </c>
      <c r="C6252" s="1040" t="s">
        <v>8259</v>
      </c>
      <c r="D6252" s="1736"/>
      <c r="E6252" s="1043">
        <v>38</v>
      </c>
      <c r="F6252" s="1043"/>
      <c r="G6252" s="1550"/>
    </row>
    <row r="6253" spans="1:7" ht="12.75" customHeight="1">
      <c r="A6253" s="1754">
        <v>44471</v>
      </c>
      <c r="B6253" s="125" t="str">
        <f>TiposLancamentos!B4</f>
        <v>Taxas Bancarias</v>
      </c>
      <c r="C6253" s="1040" t="s">
        <v>7206</v>
      </c>
      <c r="D6253" s="1736"/>
      <c r="E6253" s="1043">
        <v>3.85</v>
      </c>
      <c r="F6253" s="1043"/>
      <c r="G6253" s="1550"/>
    </row>
    <row r="6254" spans="1:7" ht="12.75" customHeight="1">
      <c r="A6254" s="1754">
        <v>44471</v>
      </c>
      <c r="B6254" s="125" t="str">
        <f>TiposLancamentos!B32</f>
        <v>Clinicas e tratamentos</v>
      </c>
      <c r="C6254" s="1040" t="s">
        <v>8172</v>
      </c>
      <c r="D6254" s="1736"/>
      <c r="E6254" s="1043">
        <v>150</v>
      </c>
      <c r="F6254" s="1043"/>
      <c r="G6254" s="1550"/>
    </row>
    <row r="6255" spans="1:7" ht="12.75" customHeight="1">
      <c r="A6255" s="1754">
        <v>44471</v>
      </c>
      <c r="B6255" s="125" t="str">
        <f>TiposLancamentos!B5</f>
        <v>Supermercado</v>
      </c>
      <c r="C6255" s="1040" t="s">
        <v>8260</v>
      </c>
      <c r="D6255" s="1736"/>
      <c r="E6255" s="1043">
        <v>5.49</v>
      </c>
      <c r="F6255" s="1043"/>
      <c r="G6255" s="1550"/>
    </row>
    <row r="6256" spans="1:7" ht="12.75" customHeight="1">
      <c r="A6256" s="1754">
        <v>44472</v>
      </c>
      <c r="B6256" s="125" t="str">
        <f>TiposLancamentos!B17</f>
        <v>GATO</v>
      </c>
      <c r="C6256" s="1040" t="s">
        <v>8261</v>
      </c>
      <c r="D6256" s="1736"/>
      <c r="E6256" s="1043">
        <v>136.97999999999999</v>
      </c>
      <c r="F6256" s="1043"/>
      <c r="G6256" s="1550"/>
    </row>
    <row r="6257" spans="1:7" ht="12.75" customHeight="1">
      <c r="A6257" s="1754">
        <v>44472</v>
      </c>
      <c r="B6257" s="125" t="str">
        <f>TiposLancamentos!B19</f>
        <v>Restaurantes</v>
      </c>
      <c r="C6257" s="1040" t="s">
        <v>8262</v>
      </c>
      <c r="D6257" s="1736"/>
      <c r="E6257" s="1043">
        <v>111.42</v>
      </c>
      <c r="F6257" s="1043"/>
      <c r="G6257" s="1550"/>
    </row>
    <row r="6258" spans="1:7" ht="12.75" customHeight="1">
      <c r="A6258" s="1754">
        <v>44472</v>
      </c>
      <c r="B6258" s="125" t="str">
        <f>TiposLancamentos!B5</f>
        <v>Supermercado</v>
      </c>
      <c r="C6258" s="1040" t="s">
        <v>8263</v>
      </c>
      <c r="D6258" s="1736"/>
      <c r="E6258" s="1043">
        <v>9</v>
      </c>
      <c r="F6258" s="1043"/>
      <c r="G6258" s="1550"/>
    </row>
    <row r="6259" spans="1:7" ht="12.75" customHeight="1">
      <c r="A6259" s="1754">
        <v>44472</v>
      </c>
      <c r="B6259" s="125" t="str">
        <f>TiposLancamentos!B5</f>
        <v>Supermercado</v>
      </c>
      <c r="C6259" s="1040" t="s">
        <v>8119</v>
      </c>
      <c r="D6259" s="1736"/>
      <c r="E6259" s="1043">
        <v>365.25</v>
      </c>
      <c r="F6259" s="1043"/>
      <c r="G6259" s="1550"/>
    </row>
    <row r="6260" spans="1:7" ht="12.75" customHeight="1">
      <c r="A6260" s="1754">
        <v>44472</v>
      </c>
      <c r="B6260" s="125" t="str">
        <f>TiposLancamentos!B56</f>
        <v>Farmácia</v>
      </c>
      <c r="C6260" s="1040" t="s">
        <v>8264</v>
      </c>
      <c r="D6260" s="1736"/>
      <c r="E6260" s="1043">
        <v>33.270000000000003</v>
      </c>
      <c r="F6260" s="1043"/>
      <c r="G6260" s="1550"/>
    </row>
    <row r="6261" spans="1:7" ht="12.75" customHeight="1">
      <c r="A6261" s="1754">
        <v>44474</v>
      </c>
      <c r="B6261" s="125" t="str">
        <f>TiposLancamentos!B4</f>
        <v>Taxas Bancarias</v>
      </c>
      <c r="C6261" s="1040" t="s">
        <v>7681</v>
      </c>
      <c r="D6261" s="1736"/>
      <c r="E6261" s="1043">
        <v>5.5</v>
      </c>
      <c r="F6261" s="1043"/>
      <c r="G6261" s="1550"/>
    </row>
    <row r="6262" spans="1:7" ht="12.75" customHeight="1">
      <c r="A6262" s="1754">
        <v>44474</v>
      </c>
      <c r="B6262" s="125" t="str">
        <f>TiposLancamentos!B22</f>
        <v>Combustivel</v>
      </c>
      <c r="C6262" s="1040" t="s">
        <v>1880</v>
      </c>
      <c r="D6262" s="1736"/>
      <c r="E6262" s="1043">
        <v>150</v>
      </c>
      <c r="F6262" s="1043"/>
      <c r="G6262" s="1550"/>
    </row>
    <row r="6263" spans="1:7" ht="12.75" customHeight="1">
      <c r="A6263" s="1754">
        <v>44474</v>
      </c>
      <c r="B6263" s="125" t="str">
        <f>TiposLancamentos!B19</f>
        <v>Restaurantes</v>
      </c>
      <c r="C6263" s="1040" t="s">
        <v>8265</v>
      </c>
      <c r="D6263" s="1736"/>
      <c r="E6263" s="1043">
        <v>47</v>
      </c>
      <c r="F6263" s="1043"/>
      <c r="G6263" s="1550"/>
    </row>
    <row r="6264" spans="1:7" ht="12.75" customHeight="1">
      <c r="A6264" s="1754">
        <v>44474</v>
      </c>
      <c r="B6264" s="125" t="str">
        <f>TiposLancamentos!B24</f>
        <v>Estacionamentos</v>
      </c>
      <c r="C6264" s="1040" t="s">
        <v>8266</v>
      </c>
      <c r="D6264" s="1736"/>
      <c r="E6264" s="1043">
        <v>15</v>
      </c>
      <c r="F6264" s="1043"/>
      <c r="G6264" s="1550"/>
    </row>
    <row r="6265" spans="1:7" ht="12.75" customHeight="1">
      <c r="A6265" s="1754">
        <v>44474</v>
      </c>
      <c r="B6265" s="125" t="str">
        <f>TiposLancamentos!B4</f>
        <v>Taxas Bancarias</v>
      </c>
      <c r="C6265" s="1040" t="s">
        <v>5707</v>
      </c>
      <c r="D6265" s="1736"/>
      <c r="E6265" s="1043">
        <v>10.62</v>
      </c>
      <c r="F6265" s="1043"/>
      <c r="G6265" s="1550"/>
    </row>
    <row r="6266" spans="1:7" ht="12.75" customHeight="1">
      <c r="A6266" s="1754">
        <v>44475</v>
      </c>
      <c r="B6266" s="125" t="str">
        <f>TiposLancamentos!B56</f>
        <v>Farmácia</v>
      </c>
      <c r="C6266" s="1040" t="s">
        <v>8267</v>
      </c>
      <c r="D6266" s="1736"/>
      <c r="E6266" s="1043">
        <v>26.29</v>
      </c>
      <c r="F6266" s="1043"/>
      <c r="G6266" s="1550"/>
    </row>
    <row r="6267" spans="1:7" ht="12.75" customHeight="1">
      <c r="A6267" s="1754">
        <v>44476</v>
      </c>
      <c r="B6267" s="125" t="str">
        <f>TiposLancamentos!B19</f>
        <v>Restaurantes</v>
      </c>
      <c r="C6267" s="1040" t="s">
        <v>8268</v>
      </c>
      <c r="D6267" s="1736"/>
      <c r="E6267" s="1043">
        <v>40</v>
      </c>
      <c r="F6267" s="1043"/>
      <c r="G6267" s="1550"/>
    </row>
    <row r="6268" spans="1:7" ht="12.75" customHeight="1">
      <c r="A6268" s="1754">
        <v>44476</v>
      </c>
      <c r="B6268" s="125" t="str">
        <f>TiposLancamentos!B5</f>
        <v>Supermercado</v>
      </c>
      <c r="C6268" s="1040" t="s">
        <v>1884</v>
      </c>
      <c r="D6268" s="1736"/>
      <c r="E6268" s="1043">
        <v>13.07</v>
      </c>
      <c r="F6268" s="1043"/>
      <c r="G6268" s="1550"/>
    </row>
    <row r="6269" spans="1:7" ht="12.75" customHeight="1">
      <c r="A6269" s="1754">
        <v>44477</v>
      </c>
      <c r="B6269" s="125" t="str">
        <f>TiposLancamentos!B13</f>
        <v>Moradia</v>
      </c>
      <c r="C6269" s="1040" t="s">
        <v>8269</v>
      </c>
      <c r="D6269" s="1736"/>
      <c r="E6269" s="1043">
        <v>12</v>
      </c>
      <c r="F6269" s="1043"/>
      <c r="G6269" s="1550"/>
    </row>
    <row r="6270" spans="1:7" ht="12.75" customHeight="1">
      <c r="A6270" s="1754">
        <v>44477</v>
      </c>
      <c r="B6270" s="125" t="str">
        <f>TiposLancamentos!B98</f>
        <v>Restituições</v>
      </c>
      <c r="C6270" s="1040" t="s">
        <v>8270</v>
      </c>
      <c r="D6270" s="1736">
        <v>176</v>
      </c>
      <c r="E6270" s="1043"/>
      <c r="F6270" s="1043"/>
      <c r="G6270" s="1550"/>
    </row>
    <row r="6271" spans="1:7" ht="12.75" customHeight="1">
      <c r="A6271" s="1754">
        <v>44478</v>
      </c>
      <c r="B6271" s="125" t="str">
        <f>TiposLancamentos!B16</f>
        <v>Cristiane</v>
      </c>
      <c r="C6271" s="1040" t="s">
        <v>8271</v>
      </c>
      <c r="D6271" s="1736"/>
      <c r="E6271" s="1043">
        <v>325</v>
      </c>
      <c r="F6271" s="1043"/>
      <c r="G6271" s="1550"/>
    </row>
    <row r="6272" spans="1:7" ht="12.75" customHeight="1">
      <c r="A6272" s="1754">
        <v>44478</v>
      </c>
      <c r="B6272" s="125" t="str">
        <f>TiposLancamentos!B19</f>
        <v>Restaurantes</v>
      </c>
      <c r="C6272" s="1040" t="s">
        <v>8272</v>
      </c>
      <c r="D6272" s="1736"/>
      <c r="E6272" s="1043">
        <v>109.91</v>
      </c>
      <c r="F6272" s="1043"/>
      <c r="G6272" s="1550"/>
    </row>
    <row r="6273" spans="1:7" ht="12.75" customHeight="1">
      <c r="A6273" s="1754">
        <v>44478</v>
      </c>
      <c r="B6273" s="125" t="str">
        <f>TiposLancamentos!B5</f>
        <v>Supermercado</v>
      </c>
      <c r="C6273" s="1040" t="s">
        <v>1884</v>
      </c>
      <c r="D6273" s="1736"/>
      <c r="E6273" s="1043">
        <v>35.89</v>
      </c>
      <c r="F6273" s="1043"/>
      <c r="G6273" s="1550"/>
    </row>
    <row r="6274" spans="1:7" ht="12.75" customHeight="1">
      <c r="A6274" s="1754">
        <v>44479</v>
      </c>
      <c r="B6274" s="125" t="str">
        <f>TiposLancamentos!B19</f>
        <v>Restaurantes</v>
      </c>
      <c r="C6274" s="1040" t="s">
        <v>8273</v>
      </c>
      <c r="D6274" s="1736"/>
      <c r="E6274" s="1043">
        <v>28.3</v>
      </c>
      <c r="F6274" s="1043"/>
      <c r="G6274" s="1550"/>
    </row>
    <row r="6275" spans="1:7" ht="12.75" customHeight="1">
      <c r="A6275" s="1754">
        <v>44479</v>
      </c>
      <c r="B6275" s="125" t="str">
        <f>TiposLancamentos!B5</f>
        <v>Supermercado</v>
      </c>
      <c r="C6275" s="1040" t="s">
        <v>8274</v>
      </c>
      <c r="D6275" s="1736"/>
      <c r="E6275" s="1043">
        <v>86.05</v>
      </c>
      <c r="F6275" s="1043"/>
      <c r="G6275" s="1550"/>
    </row>
    <row r="6276" spans="1:7" ht="12.75" customHeight="1">
      <c r="A6276" s="1754">
        <v>44479</v>
      </c>
      <c r="B6276" s="125" t="str">
        <f>TiposLancamentos!B5</f>
        <v>Supermercado</v>
      </c>
      <c r="C6276" s="1040" t="s">
        <v>8275</v>
      </c>
      <c r="D6276" s="1736"/>
      <c r="E6276" s="1043">
        <v>6</v>
      </c>
      <c r="F6276" s="1043"/>
      <c r="G6276" s="1550"/>
    </row>
    <row r="6277" spans="1:7" ht="12.75" customHeight="1">
      <c r="A6277" s="1754">
        <v>44480</v>
      </c>
      <c r="B6277" s="125" t="str">
        <f>TiposLancamentos!B19</f>
        <v>Restaurantes</v>
      </c>
      <c r="C6277" s="1040" t="s">
        <v>8276</v>
      </c>
      <c r="D6277" s="1736"/>
      <c r="E6277" s="1043">
        <v>88.5</v>
      </c>
      <c r="F6277" s="1043"/>
      <c r="G6277" s="1550"/>
    </row>
    <row r="6278" spans="1:7" ht="12.75" customHeight="1">
      <c r="A6278" s="1754">
        <v>44481</v>
      </c>
      <c r="B6278" s="125" t="str">
        <f>TiposLancamentos!B16</f>
        <v>Cristiane</v>
      </c>
      <c r="C6278" s="1040" t="s">
        <v>8277</v>
      </c>
      <c r="D6278" s="1736"/>
      <c r="E6278" s="1043">
        <v>6</v>
      </c>
      <c r="F6278" s="1043"/>
      <c r="G6278" s="1550"/>
    </row>
    <row r="6279" spans="1:7" ht="12.75" customHeight="1">
      <c r="A6279" s="1754">
        <v>44481</v>
      </c>
      <c r="B6279" s="125" t="str">
        <f>TiposLancamentos!B5</f>
        <v>Supermercado</v>
      </c>
      <c r="C6279" s="1040" t="s">
        <v>7904</v>
      </c>
      <c r="D6279" s="1736"/>
      <c r="E6279" s="1043">
        <v>138.21</v>
      </c>
      <c r="F6279" s="1043"/>
      <c r="G6279" s="1550"/>
    </row>
    <row r="6280" spans="1:7" ht="12.75" customHeight="1">
      <c r="A6280" s="1754">
        <v>44482</v>
      </c>
      <c r="B6280" s="125" t="str">
        <f>TiposLancamentos!B67</f>
        <v>Lavanderia</v>
      </c>
      <c r="C6280" s="1040" t="s">
        <v>8278</v>
      </c>
      <c r="D6280" s="1736"/>
      <c r="E6280" s="1043">
        <v>72</v>
      </c>
      <c r="F6280" s="1043"/>
      <c r="G6280" s="1550"/>
    </row>
    <row r="6281" spans="1:7" ht="12.75" customHeight="1">
      <c r="A6281" s="1754">
        <v>44482</v>
      </c>
      <c r="B6281" s="125" t="str">
        <f>TiposLancamentos!B56</f>
        <v>Farmácia</v>
      </c>
      <c r="C6281" s="1040" t="s">
        <v>8279</v>
      </c>
      <c r="D6281" s="1736"/>
      <c r="E6281" s="1043">
        <v>25.49</v>
      </c>
      <c r="F6281" s="1043"/>
      <c r="G6281" s="1550"/>
    </row>
    <row r="6282" spans="1:7" ht="12.75" customHeight="1">
      <c r="A6282" s="1754">
        <v>44482</v>
      </c>
      <c r="B6282" s="125" t="str">
        <f>TiposLancamentos!B56</f>
        <v>Farmácia</v>
      </c>
      <c r="C6282" s="1040" t="s">
        <v>8280</v>
      </c>
      <c r="D6282" s="1736"/>
      <c r="E6282" s="1043">
        <v>1.68</v>
      </c>
      <c r="F6282" s="1043"/>
      <c r="G6282" s="1550"/>
    </row>
    <row r="6283" spans="1:7" ht="12.75" customHeight="1">
      <c r="A6283" s="1754">
        <v>44482</v>
      </c>
      <c r="B6283" s="125" t="str">
        <f>TiposLancamentos!B19</f>
        <v>Restaurantes</v>
      </c>
      <c r="C6283" s="1040" t="s">
        <v>7800</v>
      </c>
      <c r="D6283" s="1736"/>
      <c r="E6283" s="1043">
        <v>38</v>
      </c>
      <c r="F6283" s="1043"/>
      <c r="G6283" s="1550"/>
    </row>
    <row r="6284" spans="1:7" ht="12.75" customHeight="1">
      <c r="A6284" s="1754">
        <v>44483</v>
      </c>
      <c r="B6284" s="125" t="str">
        <f>TiposLancamentos!B5</f>
        <v>Supermercado</v>
      </c>
      <c r="C6284" s="1040" t="s">
        <v>8281</v>
      </c>
      <c r="D6284" s="1736"/>
      <c r="E6284" s="1043">
        <v>40.86</v>
      </c>
      <c r="F6284" s="1043"/>
      <c r="G6284" s="1550"/>
    </row>
    <row r="6285" spans="1:7" ht="12.75" customHeight="1">
      <c r="A6285" s="1754">
        <v>44484</v>
      </c>
      <c r="B6285" s="125" t="str">
        <f>TiposLancamentos!B95</f>
        <v>Salarios</v>
      </c>
      <c r="C6285" s="1040" t="s">
        <v>8078</v>
      </c>
      <c r="D6285" s="1736">
        <v>4720</v>
      </c>
      <c r="E6285" s="1043"/>
      <c r="F6285" s="1043"/>
      <c r="G6285" s="1550"/>
    </row>
    <row r="6286" spans="1:7" ht="12.75" customHeight="1">
      <c r="A6286" s="1754">
        <v>44484</v>
      </c>
      <c r="B6286" s="125" t="str">
        <f>TiposLancamentos!B19</f>
        <v>Restaurantes</v>
      </c>
      <c r="C6286" s="1040" t="s">
        <v>8282</v>
      </c>
      <c r="D6286" s="1736"/>
      <c r="E6286" s="1043">
        <v>72.98</v>
      </c>
      <c r="F6286" s="1043"/>
      <c r="G6286" s="1550"/>
    </row>
    <row r="6287" spans="1:7" ht="12.75" customHeight="1">
      <c r="A6287" s="1666">
        <v>44484</v>
      </c>
      <c r="B6287" s="817" t="str">
        <f>TiposLancamentos!B33</f>
        <v>Pedágios</v>
      </c>
      <c r="C6287" s="1742" t="s">
        <v>5392</v>
      </c>
      <c r="D6287" s="1735"/>
      <c r="E6287" s="1733">
        <f>F6289-(E6288+E6289)</f>
        <v>68.8</v>
      </c>
      <c r="F6287" s="1290"/>
      <c r="G6287" s="1550"/>
    </row>
    <row r="6288" spans="1:7" ht="12.75" customHeight="1">
      <c r="A6288" s="1667">
        <v>44484</v>
      </c>
      <c r="B6288" s="816" t="str">
        <f>TiposLancamentos!B24</f>
        <v>Estacionamentos</v>
      </c>
      <c r="C6288" s="1769" t="s">
        <v>7366</v>
      </c>
      <c r="D6288" s="1736"/>
      <c r="E6288" s="1734">
        <v>33</v>
      </c>
      <c r="F6288" s="1043"/>
      <c r="G6288" s="1550"/>
    </row>
    <row r="6289" spans="1:7" ht="12.75" customHeight="1">
      <c r="A6289" s="1750">
        <v>44484</v>
      </c>
      <c r="B6289" s="818" t="str">
        <f>TiposLancamentos!B24</f>
        <v>Estacionamentos</v>
      </c>
      <c r="C6289" s="1743" t="s">
        <v>6297</v>
      </c>
      <c r="D6289" s="1737"/>
      <c r="E6289" s="1668">
        <v>0</v>
      </c>
      <c r="F6289" s="1347">
        <v>101.8</v>
      </c>
      <c r="G6289" s="1550"/>
    </row>
    <row r="6290" spans="1:7" ht="12.75" customHeight="1">
      <c r="A6290" s="1754">
        <v>44484</v>
      </c>
      <c r="B6290" s="125"/>
      <c r="C6290" s="1040" t="s">
        <v>7341</v>
      </c>
      <c r="D6290" s="1736">
        <v>0</v>
      </c>
      <c r="E6290" s="1043"/>
      <c r="F6290" s="1043"/>
      <c r="G6290" s="1550"/>
    </row>
    <row r="6291" spans="1:7" ht="12.75" customHeight="1">
      <c r="A6291" s="1666">
        <v>44484</v>
      </c>
      <c r="B6291" s="817" t="str">
        <f>TiposLancamentos!B35</f>
        <v>Tv à Cabo</v>
      </c>
      <c r="C6291" s="1742" t="s">
        <v>5834</v>
      </c>
      <c r="D6291" s="1735"/>
      <c r="E6291" s="1733">
        <f>F6293-(E6292+E6293)</f>
        <v>136.28999999999996</v>
      </c>
      <c r="F6291" s="1290"/>
      <c r="G6291" s="1550"/>
    </row>
    <row r="6292" spans="1:7" ht="12.75" customHeight="1">
      <c r="A6292" s="1667">
        <v>44484</v>
      </c>
      <c r="B6292" s="816" t="str">
        <f>TiposLancamentos!B3</f>
        <v>Internet</v>
      </c>
      <c r="C6292" s="1769" t="s">
        <v>5835</v>
      </c>
      <c r="D6292" s="1736"/>
      <c r="E6292" s="1734">
        <v>134.99</v>
      </c>
      <c r="F6292" s="1043"/>
      <c r="G6292" s="1550"/>
    </row>
    <row r="6293" spans="1:7" ht="12.75" customHeight="1">
      <c r="A6293" s="1750">
        <v>44484</v>
      </c>
      <c r="B6293" s="818" t="str">
        <f>TiposLancamentos!B2</f>
        <v>Telefonia</v>
      </c>
      <c r="C6293" s="1743" t="s">
        <v>7210</v>
      </c>
      <c r="D6293" s="1737"/>
      <c r="E6293" s="1668">
        <v>0</v>
      </c>
      <c r="F6293" s="1291">
        <v>271.27999999999997</v>
      </c>
      <c r="G6293" s="1550"/>
    </row>
    <row r="6294" spans="1:7" ht="12.75" customHeight="1">
      <c r="A6294" s="1754">
        <v>44485</v>
      </c>
      <c r="B6294" s="125" t="str">
        <f>TiposLancamentos!B46</f>
        <v>Maçonaria</v>
      </c>
      <c r="C6294" s="1040" t="s">
        <v>8283</v>
      </c>
      <c r="D6294" s="1736"/>
      <c r="E6294" s="1043">
        <v>180</v>
      </c>
      <c r="F6294" s="1043"/>
      <c r="G6294" s="1550"/>
    </row>
    <row r="6295" spans="1:7" ht="12.75" customHeight="1">
      <c r="A6295" s="1754">
        <v>44485</v>
      </c>
      <c r="B6295" s="125" t="str">
        <f>TiposLancamentos!B46</f>
        <v>Maçonaria</v>
      </c>
      <c r="C6295" s="1040" t="s">
        <v>8284</v>
      </c>
      <c r="D6295" s="1736"/>
      <c r="E6295" s="1043">
        <v>100</v>
      </c>
      <c r="F6295" s="1043"/>
      <c r="G6295" s="1550"/>
    </row>
    <row r="6296" spans="1:7" ht="12.75" customHeight="1">
      <c r="A6296" s="1754">
        <v>44486</v>
      </c>
      <c r="B6296" s="125" t="str">
        <f>TiposLancamentos!B2</f>
        <v>Telefonia</v>
      </c>
      <c r="C6296" s="1040" t="s">
        <v>8237</v>
      </c>
      <c r="D6296" s="1736"/>
      <c r="E6296" s="1043">
        <v>55.99</v>
      </c>
      <c r="F6296" s="1043"/>
      <c r="G6296" s="1550"/>
    </row>
    <row r="6297" spans="1:7" ht="12.75" customHeight="1">
      <c r="A6297" s="1754">
        <v>44485</v>
      </c>
      <c r="B6297" s="125" t="str">
        <f>TiposLancamentos!B32</f>
        <v>Clinicas e tratamentos</v>
      </c>
      <c r="C6297" s="1040" t="s">
        <v>8172</v>
      </c>
      <c r="D6297" s="1736"/>
      <c r="E6297" s="1043">
        <v>150</v>
      </c>
      <c r="F6297" s="1043"/>
      <c r="G6297" s="1550"/>
    </row>
    <row r="6298" spans="1:7" ht="12.75" customHeight="1">
      <c r="A6298" s="1754">
        <v>44485</v>
      </c>
      <c r="B6298" s="125" t="str">
        <f>TiposLancamentos!B19</f>
        <v>Restaurantes</v>
      </c>
      <c r="C6298" s="1040" t="s">
        <v>8285</v>
      </c>
      <c r="D6298" s="1736"/>
      <c r="E6298" s="1043">
        <v>75</v>
      </c>
      <c r="F6298" s="1043"/>
      <c r="G6298" s="1550"/>
    </row>
    <row r="6299" spans="1:7" ht="12.75" customHeight="1">
      <c r="A6299" s="1754">
        <v>44485</v>
      </c>
      <c r="B6299" s="125" t="str">
        <f>TiposLancamentos!B5</f>
        <v>Supermercado</v>
      </c>
      <c r="C6299" s="1040" t="s">
        <v>7981</v>
      </c>
      <c r="D6299" s="1736"/>
      <c r="E6299" s="1043">
        <v>39.21</v>
      </c>
      <c r="F6299" s="1043"/>
      <c r="G6299" s="1550"/>
    </row>
    <row r="6300" spans="1:7" ht="12.75" customHeight="1">
      <c r="A6300" s="1754">
        <v>44485</v>
      </c>
      <c r="B6300" s="125" t="str">
        <f>TiposLancamentos!B19</f>
        <v>Restaurantes</v>
      </c>
      <c r="C6300" s="1040" t="s">
        <v>8286</v>
      </c>
      <c r="D6300" s="1736"/>
      <c r="E6300" s="1043">
        <v>193.6</v>
      </c>
      <c r="F6300" s="1043"/>
      <c r="G6300" s="1550"/>
    </row>
    <row r="6301" spans="1:7" ht="12.75" customHeight="1">
      <c r="A6301" s="1754">
        <v>44486</v>
      </c>
      <c r="B6301" s="125" t="str">
        <f>B6300</f>
        <v>Restaurantes</v>
      </c>
      <c r="C6301" s="1040" t="s">
        <v>8287</v>
      </c>
      <c r="D6301" s="1736"/>
      <c r="E6301" s="1043">
        <v>114.18</v>
      </c>
      <c r="F6301" s="1043"/>
      <c r="G6301" s="1550"/>
    </row>
    <row r="6302" spans="1:7" ht="12.75" customHeight="1">
      <c r="A6302" s="1754">
        <v>44486</v>
      </c>
      <c r="B6302" s="125" t="str">
        <f>B6300</f>
        <v>Restaurantes</v>
      </c>
      <c r="C6302" s="1040" t="s">
        <v>8288</v>
      </c>
      <c r="D6302" s="1736"/>
      <c r="E6302" s="1043">
        <v>49.9</v>
      </c>
      <c r="F6302" s="1043"/>
      <c r="G6302" s="1550"/>
    </row>
    <row r="6303" spans="1:7" ht="12.75" customHeight="1">
      <c r="A6303" s="1754">
        <v>44486</v>
      </c>
      <c r="B6303" s="125" t="str">
        <f>TiposLancamentos!B16</f>
        <v>Cristiane</v>
      </c>
      <c r="C6303" s="1040" t="s">
        <v>8289</v>
      </c>
      <c r="D6303" s="1736"/>
      <c r="E6303" s="1043">
        <v>59.99</v>
      </c>
      <c r="F6303" s="1043"/>
      <c r="G6303" s="1550"/>
    </row>
    <row r="6304" spans="1:7" ht="12.75" customHeight="1">
      <c r="A6304" s="1754">
        <v>44487</v>
      </c>
      <c r="B6304" s="125" t="str">
        <f>TiposLancamentos!B5</f>
        <v>Supermercado</v>
      </c>
      <c r="C6304" s="1040" t="s">
        <v>1884</v>
      </c>
      <c r="D6304" s="1736"/>
      <c r="E6304" s="1043">
        <v>14.48</v>
      </c>
      <c r="F6304" s="1043"/>
      <c r="G6304" s="1550"/>
    </row>
    <row r="6305" spans="1:7" ht="12.75" customHeight="1">
      <c r="A6305" s="1754">
        <v>44488</v>
      </c>
      <c r="B6305" s="125" t="str">
        <f>TiposLancamentos!B22</f>
        <v>Combustivel</v>
      </c>
      <c r="C6305" s="1040" t="s">
        <v>8290</v>
      </c>
      <c r="D6305" s="1736"/>
      <c r="E6305" s="1043">
        <v>100</v>
      </c>
      <c r="F6305" s="1043"/>
      <c r="G6305" s="1550"/>
    </row>
    <row r="6306" spans="1:7" ht="12.75" customHeight="1">
      <c r="A6306" s="1754">
        <v>44488</v>
      </c>
      <c r="B6306" s="125" t="str">
        <f>TiposLancamentos!B5</f>
        <v>Supermercado</v>
      </c>
      <c r="C6306" s="1040" t="s">
        <v>8291</v>
      </c>
      <c r="D6306" s="1736"/>
      <c r="E6306" s="1043">
        <v>50.25</v>
      </c>
      <c r="F6306" s="1043"/>
      <c r="G6306" s="1550"/>
    </row>
    <row r="6307" spans="1:7" ht="12.75" customHeight="1">
      <c r="A6307" s="1754">
        <v>44488</v>
      </c>
      <c r="B6307" s="125" t="str">
        <f>TiposLancamentos!B13</f>
        <v>Moradia</v>
      </c>
      <c r="C6307" s="1040" t="s">
        <v>4150</v>
      </c>
      <c r="D6307" s="1736"/>
      <c r="E6307" s="1043">
        <v>24</v>
      </c>
      <c r="F6307" s="1043"/>
      <c r="G6307" s="1550"/>
    </row>
    <row r="6308" spans="1:7" ht="12.75" customHeight="1">
      <c r="A6308" s="1754">
        <v>44488</v>
      </c>
      <c r="B6308" s="125" t="str">
        <f>TiposLancamentos!B5</f>
        <v>Supermercado</v>
      </c>
      <c r="C6308" s="1040" t="s">
        <v>8292</v>
      </c>
      <c r="D6308" s="1736"/>
      <c r="E6308" s="1043">
        <v>8.9</v>
      </c>
      <c r="F6308" s="1043"/>
      <c r="G6308" s="1550"/>
    </row>
    <row r="6309" spans="1:7" ht="12.75" customHeight="1">
      <c r="A6309" s="1754">
        <v>44488</v>
      </c>
      <c r="B6309" s="125" t="str">
        <f>TiposLancamentos!B19</f>
        <v>Restaurantes</v>
      </c>
      <c r="C6309" s="1040" t="s">
        <v>8293</v>
      </c>
      <c r="D6309" s="1736"/>
      <c r="E6309" s="1043">
        <v>39.6</v>
      </c>
      <c r="F6309" s="1043"/>
      <c r="G6309" s="1550"/>
    </row>
    <row r="6310" spans="1:7" ht="12.75" customHeight="1">
      <c r="A6310" s="1754">
        <v>44488</v>
      </c>
      <c r="B6310" s="125" t="str">
        <f>TiposLancamentos!B24</f>
        <v>Estacionamentos</v>
      </c>
      <c r="C6310" s="1040" t="s">
        <v>8294</v>
      </c>
      <c r="D6310" s="1736"/>
      <c r="E6310" s="1043">
        <v>15</v>
      </c>
      <c r="F6310" s="1043"/>
      <c r="G6310" s="1550"/>
    </row>
    <row r="6311" spans="1:7" ht="12.75" customHeight="1">
      <c r="A6311" s="1666">
        <v>44489</v>
      </c>
      <c r="B6311" s="817" t="str">
        <f>TiposLancamentos!B8</f>
        <v>Aluguel</v>
      </c>
      <c r="C6311" s="1742" t="s">
        <v>8295</v>
      </c>
      <c r="D6311" s="1735"/>
      <c r="E6311" s="1733">
        <f>F6316-(E6312+E6316+E6313+E6314+E6315)</f>
        <v>1400</v>
      </c>
      <c r="F6311" s="1346"/>
      <c r="G6311" s="1550"/>
    </row>
    <row r="6312" spans="1:7" ht="12.75" customHeight="1">
      <c r="A6312" s="1667">
        <v>44489</v>
      </c>
      <c r="B6312" s="816" t="str">
        <f>TiposLancamentos!B12</f>
        <v>IPTU</v>
      </c>
      <c r="C6312" s="1769" t="s">
        <v>8296</v>
      </c>
      <c r="D6312" s="1736"/>
      <c r="E6312" s="1734">
        <v>54.2</v>
      </c>
      <c r="F6312" s="1043"/>
      <c r="G6312" s="1550"/>
    </row>
    <row r="6313" spans="1:7" ht="12.75" customHeight="1">
      <c r="A6313" s="1667">
        <v>44489</v>
      </c>
      <c r="B6313" s="816" t="str">
        <f>TiposLancamentos!B10</f>
        <v>Distr. Água Municipal</v>
      </c>
      <c r="C6313" s="1769" t="s">
        <v>7423</v>
      </c>
      <c r="D6313" s="1736"/>
      <c r="E6313" s="1734">
        <v>58</v>
      </c>
      <c r="F6313" s="1043"/>
      <c r="G6313" s="1550"/>
    </row>
    <row r="6314" spans="1:7" ht="12.75" customHeight="1">
      <c r="A6314" s="1667">
        <v>44489</v>
      </c>
      <c r="B6314" s="816" t="str">
        <f>TiposLancamentos!B11</f>
        <v>Coleta Municipal Lixo</v>
      </c>
      <c r="C6314" s="1769" t="s">
        <v>7424</v>
      </c>
      <c r="D6314" s="1736"/>
      <c r="E6314" s="1734">
        <v>44.38</v>
      </c>
      <c r="F6314" s="1043"/>
      <c r="G6314" s="1550"/>
    </row>
    <row r="6315" spans="1:7" ht="12.75" customHeight="1">
      <c r="A6315" s="1667">
        <v>44489</v>
      </c>
      <c r="B6315" s="816" t="str">
        <f>TiposLancamentos!B8</f>
        <v>Aluguel</v>
      </c>
      <c r="C6315" s="1769" t="s">
        <v>7425</v>
      </c>
      <c r="D6315" s="1736"/>
      <c r="E6315" s="1734">
        <v>8</v>
      </c>
      <c r="F6315" s="1043"/>
      <c r="G6315" s="1550"/>
    </row>
    <row r="6316" spans="1:7" ht="12.75" customHeight="1">
      <c r="A6316" s="1750">
        <v>44489</v>
      </c>
      <c r="B6316" s="818" t="str">
        <f>TiposLancamentos!B9</f>
        <v>Condominio</v>
      </c>
      <c r="C6316" s="1743" t="s">
        <v>7427</v>
      </c>
      <c r="D6316" s="1737"/>
      <c r="E6316" s="1668">
        <v>616.16999999999996</v>
      </c>
      <c r="F6316" s="1291">
        <v>2180.75</v>
      </c>
      <c r="G6316" s="1550"/>
    </row>
    <row r="6317" spans="1:7" ht="12.75" customHeight="1">
      <c r="A6317" s="1754">
        <v>44489</v>
      </c>
      <c r="B6317" s="125" t="str">
        <f>TiposLancamentos!B5</f>
        <v>Supermercado</v>
      </c>
      <c r="C6317" s="1040" t="s">
        <v>1884</v>
      </c>
      <c r="D6317" s="1736"/>
      <c r="E6317" s="1043">
        <v>26.88</v>
      </c>
      <c r="F6317" s="1043"/>
      <c r="G6317" s="1550"/>
    </row>
    <row r="6318" spans="1:7" ht="12.75" customHeight="1">
      <c r="A6318" s="1754">
        <v>44489</v>
      </c>
      <c r="B6318" s="125" t="str">
        <f>TiposLancamentos!B98</f>
        <v>Restituições</v>
      </c>
      <c r="C6318" s="1040" t="s">
        <v>8297</v>
      </c>
      <c r="D6318" s="1736">
        <v>67.77</v>
      </c>
      <c r="E6318" s="1043"/>
      <c r="F6318" s="1043"/>
      <c r="G6318" s="1550"/>
    </row>
    <row r="6319" spans="1:7" ht="12.75" customHeight="1">
      <c r="A6319" s="1754">
        <v>44489</v>
      </c>
      <c r="B6319" s="125" t="str">
        <f>TiposLancamentos!B103</f>
        <v>Juros_Corr. Poupança</v>
      </c>
      <c r="C6319" s="1040" t="str">
        <f>C6186</f>
        <v>REND PAGO APLIC AUT APR</v>
      </c>
      <c r="D6319" s="1736">
        <v>0.01</v>
      </c>
      <c r="E6319" s="1043"/>
      <c r="F6319" s="1043"/>
      <c r="G6319" s="1550"/>
    </row>
    <row r="6320" spans="1:7" ht="12.75" customHeight="1">
      <c r="A6320" s="1754">
        <v>44490</v>
      </c>
      <c r="B6320" s="125" t="str">
        <f>TiposLancamentos!B6</f>
        <v>Energia Eletrica</v>
      </c>
      <c r="C6320" s="1040" t="s">
        <v>8298</v>
      </c>
      <c r="D6320" s="1736"/>
      <c r="E6320" s="1043">
        <v>337.58</v>
      </c>
      <c r="F6320" s="1043"/>
      <c r="G6320" s="1550"/>
    </row>
    <row r="6321" spans="1:7" ht="12.75" customHeight="1">
      <c r="A6321" s="1754">
        <v>44490</v>
      </c>
      <c r="B6321" s="125" t="str">
        <f>TiposLancamentos!B19</f>
        <v>Restaurantes</v>
      </c>
      <c r="C6321" s="1040" t="s">
        <v>8299</v>
      </c>
      <c r="D6321" s="1736"/>
      <c r="E6321" s="1043">
        <v>76.099999999999994</v>
      </c>
      <c r="F6321" s="1043"/>
      <c r="G6321" s="1550"/>
    </row>
    <row r="6322" spans="1:7" ht="12.75" customHeight="1">
      <c r="A6322" s="1754">
        <v>44490</v>
      </c>
      <c r="B6322" s="125" t="str">
        <f>TiposLancamentos!B19</f>
        <v>Restaurantes</v>
      </c>
      <c r="C6322" s="1040" t="s">
        <v>8300</v>
      </c>
      <c r="D6322" s="1736"/>
      <c r="E6322" s="1043">
        <v>32.840000000000003</v>
      </c>
      <c r="F6322" s="1043"/>
      <c r="G6322" s="1550"/>
    </row>
    <row r="6323" spans="1:7" ht="12.75" customHeight="1">
      <c r="A6323" s="1754">
        <v>44491</v>
      </c>
      <c r="B6323" s="125" t="str">
        <f>TiposLancamentos!B19</f>
        <v>Restaurantes</v>
      </c>
      <c r="C6323" s="1040" t="s">
        <v>8301</v>
      </c>
      <c r="D6323" s="1736"/>
      <c r="E6323" s="1043">
        <v>105.39</v>
      </c>
      <c r="F6323" s="1043"/>
      <c r="G6323" s="1550"/>
    </row>
    <row r="6324" spans="1:7" ht="12.75" customHeight="1">
      <c r="A6324" s="1754">
        <v>44491</v>
      </c>
      <c r="B6324" s="125" t="str">
        <f>TiposLancamentos!B5</f>
        <v>Supermercado</v>
      </c>
      <c r="C6324" s="1040" t="s">
        <v>8302</v>
      </c>
      <c r="D6324" s="1736"/>
      <c r="E6324" s="1043">
        <v>31.58</v>
      </c>
      <c r="F6324" s="1043"/>
      <c r="G6324" s="1550"/>
    </row>
    <row r="6325" spans="1:7" ht="12.75" customHeight="1">
      <c r="A6325" s="1754">
        <v>44491</v>
      </c>
      <c r="B6325" s="125" t="str">
        <f>TiposLancamentos!B72</f>
        <v>Presentes</v>
      </c>
      <c r="C6325" s="1040" t="s">
        <v>8303</v>
      </c>
      <c r="D6325" s="1736"/>
      <c r="E6325" s="1043">
        <v>20</v>
      </c>
      <c r="F6325" s="1043"/>
      <c r="G6325" s="1550"/>
    </row>
    <row r="6326" spans="1:7" ht="12.75" customHeight="1">
      <c r="A6326" s="1754">
        <v>44492</v>
      </c>
      <c r="B6326" s="125" t="str">
        <f>TiposLancamentos!B17</f>
        <v>GATO</v>
      </c>
      <c r="C6326" s="1040" t="s">
        <v>8304</v>
      </c>
      <c r="D6326" s="1736"/>
      <c r="E6326" s="1043">
        <v>29.9</v>
      </c>
      <c r="F6326" s="1043"/>
      <c r="G6326" s="1550"/>
    </row>
    <row r="6327" spans="1:7" ht="12.75" customHeight="1">
      <c r="A6327" s="1754">
        <v>44492</v>
      </c>
      <c r="B6327" s="125" t="str">
        <f>TiposLancamentos!B32</f>
        <v>Clinicas e tratamentos</v>
      </c>
      <c r="C6327" s="1040" t="s">
        <v>8172</v>
      </c>
      <c r="D6327" s="1736"/>
      <c r="E6327" s="1043">
        <v>150</v>
      </c>
      <c r="F6327" s="1043"/>
      <c r="G6327" s="1550"/>
    </row>
    <row r="6328" spans="1:7" ht="12.75" customHeight="1">
      <c r="A6328" s="1754">
        <v>44492</v>
      </c>
      <c r="B6328" s="125" t="str">
        <f>TiposLancamentos!B19</f>
        <v>Restaurantes</v>
      </c>
      <c r="C6328" s="1040" t="s">
        <v>8305</v>
      </c>
      <c r="D6328" s="1736"/>
      <c r="E6328" s="1043">
        <v>78.790000000000006</v>
      </c>
      <c r="F6328" s="1043"/>
      <c r="G6328" s="1550"/>
    </row>
    <row r="6329" spans="1:7" ht="12.75" customHeight="1">
      <c r="A6329" s="1754">
        <v>44492</v>
      </c>
      <c r="B6329" s="125" t="str">
        <f>TiposLancamentos!B5</f>
        <v>Supermercado</v>
      </c>
      <c r="C6329" s="1040" t="s">
        <v>8306</v>
      </c>
      <c r="D6329" s="1736"/>
      <c r="E6329" s="1043">
        <v>17.79</v>
      </c>
      <c r="F6329" s="1043"/>
      <c r="G6329" s="1550"/>
    </row>
    <row r="6330" spans="1:7" ht="12.75" customHeight="1">
      <c r="A6330" s="1754">
        <v>44493</v>
      </c>
      <c r="B6330" s="125" t="str">
        <f>TiposLancamentos!B5</f>
        <v>Supermercado</v>
      </c>
      <c r="C6330" s="1040" t="s">
        <v>7981</v>
      </c>
      <c r="D6330" s="1736"/>
      <c r="E6330" s="1043">
        <v>151.69</v>
      </c>
      <c r="F6330" s="1043"/>
      <c r="G6330" s="1550"/>
    </row>
    <row r="6331" spans="1:7" ht="12.75" customHeight="1">
      <c r="A6331" s="1754">
        <v>44493</v>
      </c>
      <c r="B6331" s="125" t="str">
        <f>TiposLancamentos!B56</f>
        <v>Farmácia</v>
      </c>
      <c r="C6331" s="1040" t="s">
        <v>8307</v>
      </c>
      <c r="D6331" s="1736"/>
      <c r="E6331" s="1043">
        <v>192</v>
      </c>
      <c r="F6331" s="1043"/>
      <c r="G6331" s="1550"/>
    </row>
    <row r="6332" spans="1:7" ht="12.75" customHeight="1">
      <c r="A6332" s="1754">
        <v>44495</v>
      </c>
      <c r="B6332" s="125" t="str">
        <f>TiposLancamentos!B5</f>
        <v>Supermercado</v>
      </c>
      <c r="C6332" s="1040" t="s">
        <v>1884</v>
      </c>
      <c r="D6332" s="1736"/>
      <c r="E6332" s="1043">
        <v>12</v>
      </c>
      <c r="F6332" s="1043"/>
      <c r="G6332" s="1550"/>
    </row>
    <row r="6333" spans="1:7" ht="12.75" customHeight="1">
      <c r="A6333" s="1754">
        <v>44495</v>
      </c>
      <c r="B6333" s="125" t="str">
        <f>TiposLancamentos!B19</f>
        <v>Restaurantes</v>
      </c>
      <c r="C6333" s="1040" t="s">
        <v>1967</v>
      </c>
      <c r="D6333" s="1736"/>
      <c r="E6333" s="1043">
        <v>51.3</v>
      </c>
      <c r="F6333" s="1043"/>
      <c r="G6333" s="1550"/>
    </row>
    <row r="6334" spans="1:7" ht="12.75" customHeight="1">
      <c r="A6334" s="1754">
        <v>44495</v>
      </c>
      <c r="B6334" s="125" t="str">
        <f>TiposLancamentos!B5</f>
        <v>Supermercado</v>
      </c>
      <c r="C6334" s="1040" t="s">
        <v>7842</v>
      </c>
      <c r="D6334" s="1736"/>
      <c r="E6334" s="1043">
        <v>306.88</v>
      </c>
      <c r="F6334" s="1043"/>
      <c r="G6334" s="1550"/>
    </row>
    <row r="6335" spans="1:7" ht="12.75" customHeight="1">
      <c r="A6335" s="1754">
        <v>44495</v>
      </c>
      <c r="B6335" s="125" t="str">
        <f>TiposLancamentos!B24</f>
        <v>Estacionamentos</v>
      </c>
      <c r="C6335" s="1040" t="s">
        <v>8308</v>
      </c>
      <c r="D6335" s="1736"/>
      <c r="E6335" s="1043">
        <v>15</v>
      </c>
      <c r="F6335" s="1043"/>
      <c r="G6335" s="1550"/>
    </row>
    <row r="6336" spans="1:7" ht="12.75" customHeight="1">
      <c r="A6336" s="1754">
        <v>44496</v>
      </c>
      <c r="B6336" s="125" t="str">
        <f>TiposLancamentos!B19</f>
        <v>Restaurantes</v>
      </c>
      <c r="C6336" s="1040" t="s">
        <v>8309</v>
      </c>
      <c r="D6336" s="1736"/>
      <c r="E6336" s="1043">
        <v>51.05</v>
      </c>
      <c r="F6336" s="1043"/>
      <c r="G6336" s="1550"/>
    </row>
    <row r="6337" spans="1:7" ht="12.75" customHeight="1">
      <c r="A6337" s="1754">
        <v>44497</v>
      </c>
      <c r="B6337" s="125" t="str">
        <f>TiposLancamentos!B19</f>
        <v>Restaurantes</v>
      </c>
      <c r="C6337" s="1040" t="s">
        <v>8310</v>
      </c>
      <c r="D6337" s="1736"/>
      <c r="E6337" s="1043">
        <v>80.78</v>
      </c>
      <c r="F6337" s="1043"/>
      <c r="G6337" s="1550"/>
    </row>
    <row r="6338" spans="1:7" ht="12.75" customHeight="1">
      <c r="A6338" s="1754">
        <v>44497</v>
      </c>
      <c r="B6338" s="125" t="str">
        <f>TiposLancamentos!B56</f>
        <v>Farmácia</v>
      </c>
      <c r="C6338" s="1040" t="s">
        <v>8311</v>
      </c>
      <c r="D6338" s="1736"/>
      <c r="E6338" s="1043">
        <v>153.84</v>
      </c>
      <c r="F6338" s="1043"/>
      <c r="G6338" s="1550"/>
    </row>
    <row r="6339" spans="1:7" ht="12.75" customHeight="1">
      <c r="A6339" s="1754">
        <v>44498</v>
      </c>
      <c r="B6339" s="125" t="str">
        <f>TiposLancamentos!B95</f>
        <v>Salarios</v>
      </c>
      <c r="C6339" s="1040" t="s">
        <v>8064</v>
      </c>
      <c r="D6339" s="1736">
        <v>3545.85</v>
      </c>
      <c r="E6339" s="1043"/>
      <c r="F6339" s="1043"/>
      <c r="G6339" s="1550"/>
    </row>
    <row r="6340" spans="1:7" ht="12.75" customHeight="1">
      <c r="A6340" s="1754">
        <v>44498</v>
      </c>
      <c r="B6340" s="125" t="str">
        <f>TiposLancamentos!B19</f>
        <v>Restaurantes</v>
      </c>
      <c r="C6340" s="1040" t="s">
        <v>8312</v>
      </c>
      <c r="D6340" s="1736"/>
      <c r="E6340" s="1043">
        <v>38</v>
      </c>
      <c r="F6340" s="1043"/>
      <c r="G6340" s="1550"/>
    </row>
    <row r="6341" spans="1:7" ht="12.75" customHeight="1">
      <c r="A6341" s="1754">
        <v>44498</v>
      </c>
      <c r="B6341" s="125" t="str">
        <f>TiposLancamentos!B13</f>
        <v>Moradia</v>
      </c>
      <c r="C6341" s="1040" t="s">
        <v>8313</v>
      </c>
      <c r="D6341" s="1736"/>
      <c r="E6341" s="1043">
        <v>12</v>
      </c>
      <c r="F6341" s="1043"/>
      <c r="G6341" s="1550"/>
    </row>
    <row r="6342" spans="1:7" ht="12.75" customHeight="1">
      <c r="A6342" s="1754">
        <v>44498</v>
      </c>
      <c r="B6342" s="125" t="str">
        <f>TiposLancamentos!B19</f>
        <v>Restaurantes</v>
      </c>
      <c r="C6342" s="1040" t="s">
        <v>8314</v>
      </c>
      <c r="D6342" s="1736"/>
      <c r="E6342" s="1043">
        <v>96.8</v>
      </c>
      <c r="F6342" s="1043"/>
      <c r="G6342" s="1550"/>
    </row>
    <row r="6343" spans="1:7" ht="12.75" customHeight="1">
      <c r="A6343" s="1754">
        <v>44499</v>
      </c>
      <c r="B6343" s="125" t="str">
        <f>TiposLancamentos!B19</f>
        <v>Restaurantes</v>
      </c>
      <c r="C6343" s="1040" t="s">
        <v>8315</v>
      </c>
      <c r="D6343" s="1736"/>
      <c r="E6343" s="1043">
        <v>123.86</v>
      </c>
      <c r="F6343" s="1043"/>
      <c r="G6343" s="1550"/>
    </row>
    <row r="6344" spans="1:7" ht="12.75" customHeight="1">
      <c r="A6344" s="1754">
        <v>44499</v>
      </c>
      <c r="B6344" s="125" t="str">
        <f>TiposLancamentos!B13</f>
        <v>Moradia</v>
      </c>
      <c r="C6344" s="1040" t="s">
        <v>3785</v>
      </c>
      <c r="D6344" s="1736"/>
      <c r="E6344" s="1043">
        <v>54</v>
      </c>
      <c r="F6344" s="1043"/>
      <c r="G6344" s="1550"/>
    </row>
    <row r="6345" spans="1:7" ht="12.75" customHeight="1">
      <c r="A6345" s="1754">
        <v>44499</v>
      </c>
      <c r="B6345" s="125" t="str">
        <f>TiposLancamentos!B19</f>
        <v>Restaurantes</v>
      </c>
      <c r="C6345" s="1040" t="s">
        <v>8316</v>
      </c>
      <c r="D6345" s="1736"/>
      <c r="E6345" s="1043">
        <v>33.700000000000003</v>
      </c>
      <c r="F6345" s="1043"/>
      <c r="G6345" s="1550"/>
    </row>
    <row r="6346" spans="1:7" ht="12.75" customHeight="1">
      <c r="A6346" s="1754">
        <v>44499</v>
      </c>
      <c r="B6346" s="125" t="str">
        <f>TiposLancamentos!B5</f>
        <v>Supermercado</v>
      </c>
      <c r="C6346" s="1040" t="s">
        <v>1884</v>
      </c>
      <c r="D6346" s="1736"/>
      <c r="E6346" s="1043">
        <v>24.49</v>
      </c>
      <c r="F6346" s="1043"/>
      <c r="G6346" s="1550"/>
    </row>
    <row r="6347" spans="1:7" ht="12.75" customHeight="1">
      <c r="A6347" s="1754">
        <v>44499</v>
      </c>
      <c r="B6347" s="125" t="str">
        <f>TiposLancamentos!B74</f>
        <v>Noite</v>
      </c>
      <c r="C6347" s="1040" t="s">
        <v>8317</v>
      </c>
      <c r="D6347" s="1736"/>
      <c r="E6347" s="1043">
        <v>84</v>
      </c>
      <c r="F6347" s="1043"/>
      <c r="G6347" s="1550"/>
    </row>
    <row r="6348" spans="1:7" ht="12.75" customHeight="1">
      <c r="A6348" s="1754">
        <v>44500</v>
      </c>
      <c r="B6348" s="125" t="str">
        <f>TiposLancamentos!B22</f>
        <v>Combustivel</v>
      </c>
      <c r="C6348" s="1040" t="s">
        <v>1880</v>
      </c>
      <c r="D6348" s="1736"/>
      <c r="E6348" s="1043">
        <v>100</v>
      </c>
      <c r="F6348" s="1043"/>
      <c r="G6348" s="1550"/>
    </row>
    <row r="6349" spans="1:7" ht="12.75" customHeight="1">
      <c r="A6349" s="1754">
        <v>44500</v>
      </c>
      <c r="B6349" s="125" t="str">
        <f>TiposLancamentos!B19</f>
        <v>Restaurantes</v>
      </c>
      <c r="C6349" s="1040" t="s">
        <v>8318</v>
      </c>
      <c r="D6349" s="1736"/>
      <c r="E6349" s="1043">
        <v>100</v>
      </c>
      <c r="F6349" s="1043"/>
      <c r="G6349" s="1550"/>
    </row>
    <row r="6350" spans="1:7" ht="12.75" customHeight="1">
      <c r="A6350" s="1754">
        <v>44500</v>
      </c>
      <c r="B6350" s="125" t="str">
        <f>TiposLancamentos!B24</f>
        <v>Estacionamentos</v>
      </c>
      <c r="C6350" s="1040" t="s">
        <v>3617</v>
      </c>
      <c r="D6350" s="1736"/>
      <c r="E6350" s="1043">
        <v>15</v>
      </c>
      <c r="F6350" s="1043"/>
      <c r="G6350" s="1550"/>
    </row>
    <row r="6351" spans="1:7" ht="12.75" customHeight="1">
      <c r="A6351" s="1754">
        <v>44500</v>
      </c>
      <c r="B6351" s="125" t="str">
        <f>TiposLancamentos!B19</f>
        <v>Restaurantes</v>
      </c>
      <c r="C6351" s="1040" t="s">
        <v>8319</v>
      </c>
      <c r="D6351" s="1736"/>
      <c r="E6351" s="1043">
        <v>51.34</v>
      </c>
      <c r="F6351" s="1043"/>
      <c r="G6351" s="1550"/>
    </row>
    <row r="6352" spans="1:7" ht="12.75" customHeight="1" thickBot="1">
      <c r="A6352" s="1754">
        <v>44500</v>
      </c>
      <c r="B6352" s="125" t="str">
        <f>TiposLancamentos!B19</f>
        <v>Restaurantes</v>
      </c>
      <c r="C6352" s="1040" t="s">
        <v>8320</v>
      </c>
      <c r="D6352" s="1736"/>
      <c r="E6352" s="1043">
        <v>21.8</v>
      </c>
      <c r="F6352" s="1043"/>
      <c r="G6352" s="1550"/>
    </row>
    <row r="6353" spans="1:7" ht="12.75" customHeight="1">
      <c r="A6353" s="1834"/>
      <c r="B6353" s="977"/>
      <c r="C6353" s="1854" t="s">
        <v>1604</v>
      </c>
      <c r="D6353" s="1823"/>
      <c r="E6353" s="1821"/>
      <c r="F6353" s="1821"/>
      <c r="G6353" s="1895"/>
    </row>
    <row r="6354" spans="1:7" ht="12.75" customHeight="1">
      <c r="A6354" s="1754">
        <v>44501</v>
      </c>
      <c r="B6354" s="125" t="str">
        <f>TiposLancamentos!B15</f>
        <v>Cartões de Crédito</v>
      </c>
      <c r="C6354" s="1040" t="s">
        <v>7781</v>
      </c>
      <c r="D6354" s="1736"/>
      <c r="E6354" s="1043">
        <v>1524.98</v>
      </c>
      <c r="F6354" s="1043"/>
      <c r="G6354" s="1550"/>
    </row>
    <row r="6355" spans="1:7" ht="12.75" customHeight="1">
      <c r="A6355" s="1754">
        <v>44501</v>
      </c>
      <c r="B6355" s="125" t="str">
        <f>TiposLancamentos!B15</f>
        <v>Cartões de Crédito</v>
      </c>
      <c r="C6355" s="1040" t="s">
        <v>8016</v>
      </c>
      <c r="D6355" s="1736"/>
      <c r="E6355" s="1043">
        <v>644.41</v>
      </c>
      <c r="F6355" s="1043"/>
      <c r="G6355" s="1550"/>
    </row>
    <row r="6356" spans="1:7" ht="12.75" customHeight="1">
      <c r="A6356" s="1754">
        <v>44501</v>
      </c>
      <c r="B6356" s="125" t="str">
        <f>TiposLancamentos!B15</f>
        <v>Cartões de Crédito</v>
      </c>
      <c r="C6356" s="1040" t="s">
        <v>8252</v>
      </c>
      <c r="D6356" s="1736"/>
      <c r="E6356" s="1043">
        <v>48.85</v>
      </c>
      <c r="F6356" s="1043"/>
      <c r="G6356" s="1550"/>
    </row>
    <row r="6357" spans="1:7" ht="12.75" customHeight="1">
      <c r="A6357" s="1754">
        <v>44502</v>
      </c>
      <c r="B6357" s="125" t="str">
        <f>TiposLancamentos!B16</f>
        <v>Cristiane</v>
      </c>
      <c r="C6357" s="1040" t="s">
        <v>8321</v>
      </c>
      <c r="D6357" s="1736"/>
      <c r="E6357" s="1043">
        <v>10</v>
      </c>
      <c r="F6357" s="1043"/>
      <c r="G6357" s="1550"/>
    </row>
    <row r="6358" spans="1:7" ht="12.75" customHeight="1">
      <c r="A6358" s="1754">
        <v>44502</v>
      </c>
      <c r="B6358" s="125" t="str">
        <f>TiposLancamentos!B5</f>
        <v>Supermercado</v>
      </c>
      <c r="C6358" s="1040" t="s">
        <v>8322</v>
      </c>
      <c r="D6358" s="1736"/>
      <c r="E6358" s="1043">
        <v>12.19</v>
      </c>
      <c r="F6358" s="1043"/>
      <c r="G6358" s="1550"/>
    </row>
    <row r="6359" spans="1:7" ht="12.75" customHeight="1">
      <c r="A6359" s="1754">
        <v>44503</v>
      </c>
      <c r="B6359" s="125" t="str">
        <f>TiposLancamentos!B14</f>
        <v>Gás de cozinha</v>
      </c>
      <c r="C6359" s="1040" t="s">
        <v>7722</v>
      </c>
      <c r="D6359" s="1736"/>
      <c r="E6359" s="1043">
        <v>44.81</v>
      </c>
      <c r="F6359" s="1043"/>
      <c r="G6359" s="1550"/>
    </row>
    <row r="6360" spans="1:7" ht="12.75" customHeight="1">
      <c r="A6360" s="1754">
        <v>44503</v>
      </c>
      <c r="B6360" s="125" t="str">
        <f>TiposLancamentos!B4</f>
        <v>Taxas Bancarias</v>
      </c>
      <c r="C6360" s="1040" t="s">
        <v>4858</v>
      </c>
      <c r="D6360" s="1736"/>
      <c r="E6360" s="1043">
        <v>9.81</v>
      </c>
      <c r="F6360" s="1043"/>
      <c r="G6360" s="1550"/>
    </row>
    <row r="6361" spans="1:7" ht="12.75" customHeight="1">
      <c r="A6361" s="1754">
        <v>44503</v>
      </c>
      <c r="B6361" s="125" t="str">
        <f>TiposLancamentos!B4</f>
        <v>Taxas Bancarias</v>
      </c>
      <c r="C6361" s="1040" t="s">
        <v>8323</v>
      </c>
      <c r="D6361" s="1736"/>
      <c r="E6361" s="1043">
        <v>5.7</v>
      </c>
      <c r="F6361" s="1043"/>
      <c r="G6361" s="1550"/>
    </row>
    <row r="6362" spans="1:7" ht="12.75" customHeight="1">
      <c r="A6362" s="1754">
        <v>44503</v>
      </c>
      <c r="B6362" s="125" t="str">
        <f>TiposLancamentos!B5</f>
        <v>Supermercado</v>
      </c>
      <c r="C6362" s="1040" t="s">
        <v>8324</v>
      </c>
      <c r="D6362" s="1736"/>
      <c r="E6362" s="1043">
        <v>66</v>
      </c>
      <c r="F6362" s="1043"/>
      <c r="G6362" s="1550"/>
    </row>
    <row r="6363" spans="1:7" ht="12.75" customHeight="1">
      <c r="A6363" s="1754">
        <v>44503</v>
      </c>
      <c r="B6363" s="125" t="str">
        <f>TiposLancamentos!B5</f>
        <v>Supermercado</v>
      </c>
      <c r="C6363" s="1040" t="s">
        <v>8325</v>
      </c>
      <c r="D6363" s="1736"/>
      <c r="E6363" s="1043">
        <v>26.44</v>
      </c>
      <c r="F6363" s="1043"/>
      <c r="G6363" s="1550"/>
    </row>
    <row r="6364" spans="1:7" ht="12.75" customHeight="1">
      <c r="A6364" s="1754">
        <v>44503</v>
      </c>
      <c r="B6364" s="125" t="str">
        <f>TiposLancamentos!B16</f>
        <v>Cristiane</v>
      </c>
      <c r="C6364" s="1040" t="s">
        <v>8326</v>
      </c>
      <c r="D6364" s="1736"/>
      <c r="E6364" s="1043">
        <v>35.49</v>
      </c>
      <c r="F6364" s="1043"/>
      <c r="G6364" s="1550"/>
    </row>
    <row r="6365" spans="1:7" ht="12.75" customHeight="1">
      <c r="A6365" s="1754">
        <v>44505</v>
      </c>
      <c r="B6365" s="125" t="str">
        <f>TiposLancamentos!B5</f>
        <v>Supermercado</v>
      </c>
      <c r="C6365" s="1040" t="s">
        <v>1884</v>
      </c>
      <c r="D6365" s="1736"/>
      <c r="E6365" s="1043">
        <v>5.73</v>
      </c>
      <c r="F6365" s="1043"/>
      <c r="G6365" s="1550"/>
    </row>
    <row r="6366" spans="1:7" ht="12.75" customHeight="1">
      <c r="A6366" s="1754">
        <v>44505</v>
      </c>
      <c r="B6366" s="125" t="str">
        <f>TiposLancamentos!B4</f>
        <v>Taxas Bancarias</v>
      </c>
      <c r="C6366" s="1040" t="s">
        <v>5754</v>
      </c>
      <c r="D6366" s="1736"/>
      <c r="E6366" s="1043">
        <v>43.58</v>
      </c>
      <c r="F6366" s="1043"/>
      <c r="G6366" s="1550"/>
    </row>
    <row r="6367" spans="1:7" ht="12.75" customHeight="1">
      <c r="A6367" s="1754">
        <v>44506</v>
      </c>
      <c r="B6367" s="125" t="str">
        <f>TiposLancamentos!B32</f>
        <v>Clinicas e tratamentos</v>
      </c>
      <c r="C6367" s="1040" t="s">
        <v>8172</v>
      </c>
      <c r="D6367" s="1736"/>
      <c r="E6367" s="1043">
        <v>150</v>
      </c>
      <c r="F6367" s="1043"/>
      <c r="G6367" s="1550"/>
    </row>
    <row r="6368" spans="1:7" ht="12.75" customHeight="1">
      <c r="A6368" s="1754">
        <v>44506</v>
      </c>
      <c r="B6368" s="125" t="str">
        <f>TiposLancamentos!B71</f>
        <v>Itens Pessoais</v>
      </c>
      <c r="C6368" s="1040" t="s">
        <v>8327</v>
      </c>
      <c r="D6368" s="1736"/>
      <c r="E6368" s="1043">
        <v>25</v>
      </c>
      <c r="F6368" s="1043"/>
      <c r="G6368" s="1550"/>
    </row>
    <row r="6369" spans="1:7" ht="12.75" customHeight="1">
      <c r="A6369" s="1754">
        <v>44506</v>
      </c>
      <c r="B6369" s="125" t="str">
        <f>TiposLancamentos!B19</f>
        <v>Restaurantes</v>
      </c>
      <c r="C6369" s="1040" t="s">
        <v>8328</v>
      </c>
      <c r="D6369" s="1736"/>
      <c r="E6369" s="1043">
        <v>154.11000000000001</v>
      </c>
      <c r="F6369" s="1043"/>
      <c r="G6369" s="1550"/>
    </row>
    <row r="6370" spans="1:7" ht="12.75" customHeight="1">
      <c r="A6370" s="1754">
        <v>44506</v>
      </c>
      <c r="B6370" s="125" t="str">
        <f>B6368</f>
        <v>Itens Pessoais</v>
      </c>
      <c r="C6370" s="1040" t="s">
        <v>8329</v>
      </c>
      <c r="D6370" s="1736"/>
      <c r="E6370" s="1043">
        <v>30</v>
      </c>
      <c r="F6370" s="1043"/>
      <c r="G6370" s="1550"/>
    </row>
    <row r="6371" spans="1:7" ht="12.75" customHeight="1">
      <c r="A6371" s="1754">
        <v>44506</v>
      </c>
      <c r="B6371" s="125" t="str">
        <f>B6369</f>
        <v>Restaurantes</v>
      </c>
      <c r="C6371" s="1040" t="s">
        <v>8330</v>
      </c>
      <c r="D6371" s="1736"/>
      <c r="E6371" s="1043">
        <v>29.3</v>
      </c>
      <c r="F6371" s="1043"/>
      <c r="G6371" s="1550"/>
    </row>
    <row r="6372" spans="1:7" ht="12.75" customHeight="1">
      <c r="A6372" s="1754">
        <v>44506</v>
      </c>
      <c r="B6372" s="125" t="str">
        <f>TiposLancamentos!B24</f>
        <v>Estacionamentos</v>
      </c>
      <c r="C6372" s="1040" t="s">
        <v>7490</v>
      </c>
      <c r="D6372" s="1736"/>
      <c r="E6372" s="1043">
        <v>11</v>
      </c>
      <c r="F6372" s="1043"/>
      <c r="G6372" s="1550"/>
    </row>
    <row r="6373" spans="1:7" ht="12.75" customHeight="1">
      <c r="A6373" s="1754">
        <v>44507</v>
      </c>
      <c r="B6373" s="125" t="str">
        <f>TiposLancamentos!B5</f>
        <v>Supermercado</v>
      </c>
      <c r="C6373" s="1040" t="s">
        <v>8331</v>
      </c>
      <c r="D6373" s="1736"/>
      <c r="E6373" s="1043">
        <v>26.74</v>
      </c>
      <c r="F6373" s="1043"/>
      <c r="G6373" s="1550"/>
    </row>
    <row r="6374" spans="1:7" ht="12.75" customHeight="1">
      <c r="A6374" s="1754">
        <v>44507</v>
      </c>
      <c r="B6374" s="125" t="str">
        <f>TiposLancamentos!B19</f>
        <v>Restaurantes</v>
      </c>
      <c r="C6374" s="1040" t="s">
        <v>8332</v>
      </c>
      <c r="D6374" s="1736"/>
      <c r="E6374" s="1043">
        <v>84.5</v>
      </c>
      <c r="F6374" s="1043"/>
      <c r="G6374" s="1550"/>
    </row>
    <row r="6375" spans="1:7" ht="12.75" customHeight="1">
      <c r="A6375" s="1754">
        <v>44507</v>
      </c>
      <c r="B6375" s="125" t="str">
        <f>TiposLancamentos!B5</f>
        <v>Supermercado</v>
      </c>
      <c r="C6375" s="1040" t="s">
        <v>8333</v>
      </c>
      <c r="D6375" s="1736"/>
      <c r="E6375" s="1043">
        <v>6.9</v>
      </c>
      <c r="F6375" s="1043"/>
      <c r="G6375" s="1550"/>
    </row>
    <row r="6376" spans="1:7" ht="12.75" customHeight="1">
      <c r="A6376" s="1754">
        <v>44508</v>
      </c>
      <c r="B6376" s="125" t="str">
        <f>B6375</f>
        <v>Supermercado</v>
      </c>
      <c r="C6376" s="1040" t="s">
        <v>8137</v>
      </c>
      <c r="D6376" s="1736"/>
      <c r="E6376" s="1043">
        <v>224.05</v>
      </c>
      <c r="F6376" s="1043"/>
      <c r="G6376" s="1550"/>
    </row>
    <row r="6377" spans="1:7" ht="12.75" customHeight="1">
      <c r="A6377" s="1754">
        <v>44509</v>
      </c>
      <c r="B6377" s="125" t="str">
        <f>TiposLancamentos!B19</f>
        <v>Restaurantes</v>
      </c>
      <c r="C6377" s="1040" t="s">
        <v>1967</v>
      </c>
      <c r="D6377" s="1736"/>
      <c r="E6377" s="1043">
        <v>47.3</v>
      </c>
      <c r="F6377" s="1043"/>
      <c r="G6377" s="1550"/>
    </row>
    <row r="6378" spans="1:7" ht="12.75" customHeight="1">
      <c r="A6378" s="1754">
        <v>44509</v>
      </c>
      <c r="B6378" s="125" t="str">
        <f>TiposLancamentos!B24</f>
        <v>Estacionamentos</v>
      </c>
      <c r="C6378" s="1040" t="s">
        <v>8294</v>
      </c>
      <c r="D6378" s="1736"/>
      <c r="E6378" s="1043">
        <v>15</v>
      </c>
      <c r="F6378" s="1043"/>
      <c r="G6378" s="1550"/>
    </row>
    <row r="6379" spans="1:7" ht="12.75" customHeight="1">
      <c r="A6379" s="1754">
        <v>44510</v>
      </c>
      <c r="B6379" s="125" t="str">
        <f>TiposLancamentos!B5</f>
        <v>Supermercado</v>
      </c>
      <c r="C6379" s="1040" t="s">
        <v>1884</v>
      </c>
      <c r="D6379" s="1736"/>
      <c r="E6379" s="1043">
        <v>28.98</v>
      </c>
      <c r="F6379" s="1043"/>
      <c r="G6379" s="1550"/>
    </row>
    <row r="6380" spans="1:7" ht="12.75" customHeight="1">
      <c r="A6380" s="1754">
        <v>44511</v>
      </c>
      <c r="B6380" s="125" t="str">
        <f>TiposLancamentos!B72</f>
        <v>Presentes</v>
      </c>
      <c r="C6380" s="1040" t="s">
        <v>8334</v>
      </c>
      <c r="D6380" s="1736"/>
      <c r="E6380" s="1043">
        <v>384</v>
      </c>
      <c r="F6380" s="1043"/>
      <c r="G6380" s="1550"/>
    </row>
    <row r="6381" spans="1:7" ht="12.75" customHeight="1">
      <c r="A6381" s="1754">
        <v>44512</v>
      </c>
      <c r="B6381" s="125" t="str">
        <f>TiposLancamentos!B95</f>
        <v>Salarios</v>
      </c>
      <c r="C6381" s="1040" t="s">
        <v>8078</v>
      </c>
      <c r="D6381" s="1736">
        <v>4720</v>
      </c>
      <c r="E6381" s="1043"/>
      <c r="F6381" s="1043"/>
      <c r="G6381" s="1550"/>
    </row>
    <row r="6382" spans="1:7" ht="12.75" customHeight="1">
      <c r="A6382" s="1754">
        <v>44512</v>
      </c>
      <c r="B6382" s="125" t="str">
        <f>TiposLancamentos!B46</f>
        <v>Maçonaria</v>
      </c>
      <c r="C6382" s="1040" t="s">
        <v>8335</v>
      </c>
      <c r="D6382" s="1736"/>
      <c r="E6382" s="1043">
        <v>32</v>
      </c>
      <c r="F6382" s="1043"/>
      <c r="G6382" s="1550"/>
    </row>
    <row r="6383" spans="1:7" ht="12.75" customHeight="1">
      <c r="A6383" s="1754">
        <v>44512</v>
      </c>
      <c r="B6383" s="125" t="str">
        <f>TiposLancamentos!B13</f>
        <v>Moradia</v>
      </c>
      <c r="C6383" s="1040" t="s">
        <v>8313</v>
      </c>
      <c r="D6383" s="1736"/>
      <c r="E6383" s="1043">
        <v>12</v>
      </c>
      <c r="F6383" s="1043"/>
      <c r="G6383" s="1550"/>
    </row>
    <row r="6384" spans="1:7" ht="12.75" customHeight="1">
      <c r="A6384" s="1754">
        <v>44512</v>
      </c>
      <c r="B6384" s="125" t="str">
        <f>TiposLancamentos!B32</f>
        <v>Clinicas e tratamentos</v>
      </c>
      <c r="C6384" s="1040" t="s">
        <v>8195</v>
      </c>
      <c r="D6384" s="1736"/>
      <c r="E6384" s="1043">
        <v>400</v>
      </c>
      <c r="F6384" s="1043"/>
      <c r="G6384" s="1550"/>
    </row>
    <row r="6385" spans="1:7" ht="12.75" customHeight="1">
      <c r="A6385" s="1754">
        <v>44512</v>
      </c>
      <c r="B6385" s="125" t="str">
        <f>TiposLancamentos!B22</f>
        <v>Combustivel</v>
      </c>
      <c r="C6385" s="1040" t="s">
        <v>8336</v>
      </c>
      <c r="D6385" s="1736"/>
      <c r="E6385" s="1043">
        <v>341.77</v>
      </c>
      <c r="F6385" s="1043"/>
      <c r="G6385" s="1550"/>
    </row>
    <row r="6386" spans="1:7" ht="12.75" customHeight="1">
      <c r="A6386" s="1754">
        <v>44512</v>
      </c>
      <c r="B6386" s="125" t="str">
        <f>TiposLancamentos!B17</f>
        <v>GATO</v>
      </c>
      <c r="C6386" s="1040" t="s">
        <v>2026</v>
      </c>
      <c r="D6386" s="1736"/>
      <c r="E6386" s="1043">
        <v>16.62</v>
      </c>
      <c r="F6386" s="1043"/>
      <c r="G6386" s="1550"/>
    </row>
    <row r="6387" spans="1:7" ht="12.75" customHeight="1">
      <c r="A6387" s="1754">
        <v>44512</v>
      </c>
      <c r="B6387" s="125" t="str">
        <f>TiposLancamentos!B19</f>
        <v>Restaurantes</v>
      </c>
      <c r="C6387" s="1040" t="s">
        <v>8337</v>
      </c>
      <c r="D6387" s="1736"/>
      <c r="E6387" s="1043">
        <v>79.8</v>
      </c>
      <c r="F6387" s="1043"/>
      <c r="G6387" s="1550"/>
    </row>
    <row r="6388" spans="1:7" ht="12.75" customHeight="1">
      <c r="A6388" s="1754">
        <v>44513</v>
      </c>
      <c r="B6388" s="125" t="str">
        <f>TiposLancamentos!B19</f>
        <v>Restaurantes</v>
      </c>
      <c r="C6388" s="1040" t="s">
        <v>8338</v>
      </c>
      <c r="D6388" s="1736"/>
      <c r="E6388" s="1043">
        <v>38.4</v>
      </c>
      <c r="F6388" s="1043"/>
      <c r="G6388" s="1550"/>
    </row>
    <row r="6389" spans="1:7" ht="12.75" customHeight="1">
      <c r="A6389" s="1754">
        <v>44513</v>
      </c>
      <c r="B6389" s="125" t="str">
        <f>TiposLancamentos!B19</f>
        <v>Restaurantes</v>
      </c>
      <c r="C6389" s="1040" t="s">
        <v>8339</v>
      </c>
      <c r="D6389" s="1736"/>
      <c r="E6389" s="1043">
        <v>7.9</v>
      </c>
      <c r="F6389" s="1043"/>
      <c r="G6389" s="1550"/>
    </row>
    <row r="6390" spans="1:7" ht="12.75" customHeight="1">
      <c r="A6390" s="1754">
        <v>44513</v>
      </c>
      <c r="B6390" s="125" t="str">
        <f>TiposLancamentos!B16</f>
        <v>Cristiane</v>
      </c>
      <c r="C6390" s="1040" t="s">
        <v>8340</v>
      </c>
      <c r="D6390" s="1736"/>
      <c r="E6390" s="1043">
        <v>222.49</v>
      </c>
      <c r="F6390" s="1043"/>
      <c r="G6390" s="1550"/>
    </row>
    <row r="6391" spans="1:7" ht="12.75" customHeight="1">
      <c r="A6391" s="1754">
        <v>44515</v>
      </c>
      <c r="B6391" s="125" t="str">
        <f>B6385</f>
        <v>Combustivel</v>
      </c>
      <c r="C6391" s="1040" t="s">
        <v>8341</v>
      </c>
      <c r="D6391" s="1736"/>
      <c r="E6391" s="1043">
        <v>136.80000000000001</v>
      </c>
      <c r="F6391" s="1043"/>
      <c r="G6391" s="1550"/>
    </row>
    <row r="6392" spans="1:7" ht="12.75" customHeight="1">
      <c r="A6392" s="1754">
        <v>44515</v>
      </c>
      <c r="B6392" s="125" t="str">
        <f>TiposLancamentos!B19</f>
        <v>Restaurantes</v>
      </c>
      <c r="C6392" s="1040" t="s">
        <v>8342</v>
      </c>
      <c r="D6392" s="1736"/>
      <c r="E6392" s="1043">
        <v>33.299999999999997</v>
      </c>
      <c r="F6392" s="1043"/>
      <c r="G6392" s="1550"/>
    </row>
    <row r="6393" spans="1:7" ht="12.75" customHeight="1">
      <c r="A6393" s="1754">
        <v>44515</v>
      </c>
      <c r="B6393" s="125" t="str">
        <f>TiposLancamentos!B19</f>
        <v>Restaurantes</v>
      </c>
      <c r="C6393" s="1040" t="s">
        <v>8343</v>
      </c>
      <c r="D6393" s="1736"/>
      <c r="E6393" s="1043">
        <v>90.4</v>
      </c>
      <c r="F6393" s="1043"/>
      <c r="G6393" s="1550"/>
    </row>
    <row r="6394" spans="1:7" ht="12.75" customHeight="1">
      <c r="A6394" s="1754">
        <v>44515</v>
      </c>
      <c r="B6394" s="125" t="str">
        <f>TiposLancamentos!B5</f>
        <v>Supermercado</v>
      </c>
      <c r="C6394" s="1040" t="s">
        <v>7829</v>
      </c>
      <c r="D6394" s="1736"/>
      <c r="E6394" s="1043">
        <v>232.43</v>
      </c>
      <c r="F6394" s="1043"/>
      <c r="G6394" s="1550"/>
    </row>
    <row r="6395" spans="1:7" ht="12.75" customHeight="1">
      <c r="A6395" s="1666">
        <v>44515</v>
      </c>
      <c r="B6395" s="817" t="str">
        <f>TiposLancamentos!B33</f>
        <v>Pedágios</v>
      </c>
      <c r="C6395" s="1742" t="s">
        <v>5392</v>
      </c>
      <c r="D6395" s="1735"/>
      <c r="E6395" s="1733">
        <f>F6397-(E6396+E6397)</f>
        <v>68.8</v>
      </c>
      <c r="F6395" s="1290"/>
      <c r="G6395" s="1550"/>
    </row>
    <row r="6396" spans="1:7" ht="12.75" customHeight="1">
      <c r="A6396" s="1667">
        <v>44515</v>
      </c>
      <c r="B6396" s="816" t="str">
        <f>TiposLancamentos!B24</f>
        <v>Estacionamentos</v>
      </c>
      <c r="C6396" s="1769" t="s">
        <v>7366</v>
      </c>
      <c r="D6396" s="1736"/>
      <c r="E6396" s="1734">
        <v>23</v>
      </c>
      <c r="F6396" s="1043"/>
      <c r="G6396" s="1550"/>
    </row>
    <row r="6397" spans="1:7" ht="12.75" customHeight="1">
      <c r="A6397" s="1750">
        <v>44515</v>
      </c>
      <c r="B6397" s="818" t="str">
        <f>TiposLancamentos!B24</f>
        <v>Estacionamentos</v>
      </c>
      <c r="C6397" s="1743" t="s">
        <v>6297</v>
      </c>
      <c r="D6397" s="1737"/>
      <c r="E6397" s="1668">
        <v>0</v>
      </c>
      <c r="F6397" s="1347">
        <v>91.8</v>
      </c>
      <c r="G6397" s="1550"/>
    </row>
    <row r="6398" spans="1:7" ht="12.75" customHeight="1">
      <c r="A6398" s="1754">
        <v>44515</v>
      </c>
      <c r="B6398" s="125"/>
      <c r="C6398" s="1040" t="s">
        <v>7341</v>
      </c>
      <c r="D6398" s="1736">
        <v>0</v>
      </c>
      <c r="E6398" s="1043"/>
      <c r="F6398" s="1043"/>
      <c r="G6398" s="1550"/>
    </row>
    <row r="6399" spans="1:7" ht="12.75" customHeight="1">
      <c r="A6399" s="1666">
        <v>44515</v>
      </c>
      <c r="B6399" s="817" t="str">
        <f>TiposLancamentos!B35</f>
        <v>Tv à Cabo</v>
      </c>
      <c r="C6399" s="1742" t="s">
        <v>5834</v>
      </c>
      <c r="D6399" s="1735"/>
      <c r="E6399" s="1733">
        <f>F6401-(E6400+E6401)</f>
        <v>136.28999999999996</v>
      </c>
      <c r="F6399" s="1290"/>
      <c r="G6399" s="1550"/>
    </row>
    <row r="6400" spans="1:7" ht="12.75" customHeight="1">
      <c r="A6400" s="1667">
        <v>44515</v>
      </c>
      <c r="B6400" s="816" t="str">
        <f>TiposLancamentos!B3</f>
        <v>Internet</v>
      </c>
      <c r="C6400" s="1769" t="s">
        <v>5835</v>
      </c>
      <c r="D6400" s="1736"/>
      <c r="E6400" s="1734">
        <v>134.99</v>
      </c>
      <c r="F6400" s="1043"/>
      <c r="G6400" s="1550"/>
    </row>
    <row r="6401" spans="1:7" ht="12.75" customHeight="1">
      <c r="A6401" s="1750">
        <v>44515</v>
      </c>
      <c r="B6401" s="818" t="str">
        <f>TiposLancamentos!B2</f>
        <v>Telefonia</v>
      </c>
      <c r="C6401" s="1743" t="s">
        <v>7210</v>
      </c>
      <c r="D6401" s="1737"/>
      <c r="E6401" s="1668">
        <v>0</v>
      </c>
      <c r="F6401" s="1291">
        <v>271.27999999999997</v>
      </c>
      <c r="G6401" s="1550"/>
    </row>
    <row r="6402" spans="1:7" ht="12.75" customHeight="1">
      <c r="A6402" s="1754">
        <v>44516</v>
      </c>
      <c r="B6402" s="125" t="str">
        <f>TiposLancamentos!B46</f>
        <v>Maçonaria</v>
      </c>
      <c r="C6402" s="1040" t="s">
        <v>8344</v>
      </c>
      <c r="D6402" s="1736"/>
      <c r="E6402" s="1043">
        <v>180</v>
      </c>
      <c r="F6402" s="1043"/>
      <c r="G6402" s="1550"/>
    </row>
    <row r="6403" spans="1:7" ht="12.75" customHeight="1">
      <c r="A6403" s="1754">
        <v>44516</v>
      </c>
      <c r="B6403" s="125" t="str">
        <f>TiposLancamentos!B46</f>
        <v>Maçonaria</v>
      </c>
      <c r="C6403" s="1040" t="s">
        <v>8345</v>
      </c>
      <c r="D6403" s="1736"/>
      <c r="E6403" s="1043">
        <v>200</v>
      </c>
      <c r="F6403" s="1043"/>
      <c r="G6403" s="1550"/>
    </row>
    <row r="6404" spans="1:7" ht="12.75" customHeight="1">
      <c r="A6404" s="1754">
        <v>44516</v>
      </c>
      <c r="B6404" s="125" t="str">
        <f>TiposLancamentos!B98</f>
        <v>Restituições</v>
      </c>
      <c r="C6404" s="1040" t="s">
        <v>8346</v>
      </c>
      <c r="D6404" s="1736">
        <v>176</v>
      </c>
      <c r="E6404" s="1043"/>
      <c r="F6404" s="1043"/>
      <c r="G6404" s="1550"/>
    </row>
    <row r="6405" spans="1:7" ht="12.75" customHeight="1">
      <c r="A6405" s="1754">
        <v>44517</v>
      </c>
      <c r="B6405" s="125" t="str">
        <f>TiposLancamentos!B19</f>
        <v>Restaurantes</v>
      </c>
      <c r="C6405" s="1040" t="s">
        <v>8347</v>
      </c>
      <c r="D6405" s="1736"/>
      <c r="E6405" s="1043">
        <v>43.71</v>
      </c>
      <c r="F6405" s="1043"/>
      <c r="G6405" s="1550"/>
    </row>
    <row r="6406" spans="1:7" ht="12.75" customHeight="1">
      <c r="A6406" s="1754">
        <v>44517</v>
      </c>
      <c r="B6406" s="125" t="str">
        <f>TiposLancamentos!B2</f>
        <v>Telefonia</v>
      </c>
      <c r="C6406" s="1040" t="s">
        <v>8237</v>
      </c>
      <c r="D6406" s="1736"/>
      <c r="E6406" s="1043">
        <v>55.99</v>
      </c>
      <c r="F6406" s="1043"/>
      <c r="G6406" s="1550"/>
    </row>
    <row r="6407" spans="1:7" ht="12.75" customHeight="1">
      <c r="A6407" s="1754">
        <v>44518</v>
      </c>
      <c r="B6407" s="125" t="str">
        <f>TiposLancamentos!B5</f>
        <v>Supermercado</v>
      </c>
      <c r="C6407" s="1040" t="s">
        <v>2153</v>
      </c>
      <c r="D6407" s="1736"/>
      <c r="E6407" s="1043">
        <v>5.99</v>
      </c>
      <c r="F6407" s="1043"/>
      <c r="G6407" s="1550"/>
    </row>
    <row r="6408" spans="1:7" ht="12.75" customHeight="1">
      <c r="A6408" s="1754">
        <v>44519</v>
      </c>
      <c r="B6408" s="125" t="str">
        <f>TiposLancamentos!B19</f>
        <v>Restaurantes</v>
      </c>
      <c r="C6408" s="1040" t="s">
        <v>8348</v>
      </c>
      <c r="D6408" s="1736"/>
      <c r="E6408" s="1043">
        <v>38</v>
      </c>
      <c r="F6408" s="1043"/>
      <c r="G6408" s="1550"/>
    </row>
    <row r="6409" spans="1:7" ht="12.75" customHeight="1">
      <c r="A6409" s="1754">
        <v>44520</v>
      </c>
      <c r="B6409" s="125" t="str">
        <f>TiposLancamentos!B19</f>
        <v>Restaurantes</v>
      </c>
      <c r="C6409" s="1040" t="s">
        <v>8349</v>
      </c>
      <c r="D6409" s="1736"/>
      <c r="E6409" s="1043">
        <v>57</v>
      </c>
      <c r="F6409" s="1043"/>
      <c r="G6409" s="1550"/>
    </row>
    <row r="6410" spans="1:7" ht="12.75" customHeight="1">
      <c r="A6410" s="1754">
        <v>44520</v>
      </c>
      <c r="B6410" s="125" t="str">
        <f>TiposLancamentos!B19</f>
        <v>Restaurantes</v>
      </c>
      <c r="C6410" s="1040" t="s">
        <v>8350</v>
      </c>
      <c r="D6410" s="1736"/>
      <c r="E6410" s="1043">
        <v>22.81</v>
      </c>
      <c r="F6410" s="1043"/>
      <c r="G6410" s="1550"/>
    </row>
    <row r="6411" spans="1:7" ht="12.75" customHeight="1">
      <c r="A6411" s="1754">
        <v>44520</v>
      </c>
      <c r="B6411" s="125" t="str">
        <f>TiposLancamentos!B24</f>
        <v>Estacionamentos</v>
      </c>
      <c r="C6411" s="1040" t="s">
        <v>7490</v>
      </c>
      <c r="D6411" s="1736"/>
      <c r="E6411" s="1043">
        <v>13</v>
      </c>
      <c r="F6411" s="1043"/>
      <c r="G6411" s="1550"/>
    </row>
    <row r="6412" spans="1:7" ht="12.75" customHeight="1">
      <c r="A6412" s="1754">
        <v>44520</v>
      </c>
      <c r="B6412" s="125" t="str">
        <f>TiposLancamentos!B5</f>
        <v>Supermercado</v>
      </c>
      <c r="C6412" s="1040" t="s">
        <v>1884</v>
      </c>
      <c r="D6412" s="1736"/>
      <c r="E6412" s="1043">
        <v>23.97</v>
      </c>
      <c r="F6412" s="1043"/>
      <c r="G6412" s="1550"/>
    </row>
    <row r="6413" spans="1:7" ht="12.75" customHeight="1">
      <c r="A6413" s="1754">
        <v>44521</v>
      </c>
      <c r="B6413" s="125" t="str">
        <f>TiposLancamentos!B5</f>
        <v>Supermercado</v>
      </c>
      <c r="C6413" s="1040" t="s">
        <v>2061</v>
      </c>
      <c r="D6413" s="1736"/>
      <c r="E6413" s="1043">
        <v>397.74</v>
      </c>
      <c r="F6413" s="1043"/>
      <c r="G6413" s="1550"/>
    </row>
    <row r="6414" spans="1:7" ht="12.75" customHeight="1">
      <c r="A6414" s="1754">
        <v>44521</v>
      </c>
      <c r="B6414" s="125" t="str">
        <f>TiposLancamentos!B19</f>
        <v>Restaurantes</v>
      </c>
      <c r="C6414" s="1040" t="s">
        <v>8351</v>
      </c>
      <c r="D6414" s="1736"/>
      <c r="E6414" s="1043">
        <v>22</v>
      </c>
      <c r="F6414" s="1043"/>
      <c r="G6414" s="1550"/>
    </row>
    <row r="6415" spans="1:7" ht="12.75" customHeight="1">
      <c r="A6415" s="1754">
        <v>44521</v>
      </c>
      <c r="B6415" s="125" t="str">
        <f>TiposLancamentos!B17</f>
        <v>GATO</v>
      </c>
      <c r="C6415" s="1040" t="s">
        <v>8352</v>
      </c>
      <c r="D6415" s="1736"/>
      <c r="E6415" s="1043">
        <v>159.29</v>
      </c>
      <c r="F6415" s="1043"/>
      <c r="G6415" s="1550"/>
    </row>
    <row r="6416" spans="1:7" ht="12.75" customHeight="1">
      <c r="A6416" s="1754">
        <v>44522</v>
      </c>
      <c r="B6416" s="125" t="str">
        <f>TiposLancamentos!B6</f>
        <v>Energia Eletrica</v>
      </c>
      <c r="C6416" s="1040" t="s">
        <v>8353</v>
      </c>
      <c r="D6416" s="1736"/>
      <c r="E6416" s="1661">
        <v>314.41000000000003</v>
      </c>
      <c r="F6416" s="1043"/>
      <c r="G6416" s="1550"/>
    </row>
    <row r="6417" spans="1:7" ht="12.75" customHeight="1">
      <c r="A6417" s="1666">
        <v>44520</v>
      </c>
      <c r="B6417" s="817" t="str">
        <f>TiposLancamentos!B8</f>
        <v>Aluguel</v>
      </c>
      <c r="C6417" s="1742" t="s">
        <v>8354</v>
      </c>
      <c r="D6417" s="1735"/>
      <c r="E6417" s="1733">
        <f>F6422-(E6418+E6422+E6419+E6420+E6421)</f>
        <v>1523.27</v>
      </c>
      <c r="F6417" s="1346"/>
      <c r="G6417" s="1550"/>
    </row>
    <row r="6418" spans="1:7" ht="12.75" customHeight="1">
      <c r="A6418" s="1667">
        <v>44520</v>
      </c>
      <c r="B6418" s="816" t="str">
        <f>TiposLancamentos!B12</f>
        <v>IPTU</v>
      </c>
      <c r="C6418" s="1769" t="s">
        <v>8355</v>
      </c>
      <c r="D6418" s="1736"/>
      <c r="E6418" s="1734">
        <v>54.02</v>
      </c>
      <c r="F6418" s="1043"/>
      <c r="G6418" s="1550"/>
    </row>
    <row r="6419" spans="1:7" ht="12.75" customHeight="1">
      <c r="A6419" s="1667">
        <v>44520</v>
      </c>
      <c r="B6419" s="816" t="str">
        <f>TiposLancamentos!B10</f>
        <v>Distr. Água Municipal</v>
      </c>
      <c r="C6419" s="1769" t="s">
        <v>8356</v>
      </c>
      <c r="D6419" s="1736"/>
      <c r="E6419" s="1734">
        <v>142.38</v>
      </c>
      <c r="F6419" s="1043"/>
      <c r="G6419" s="1550"/>
    </row>
    <row r="6420" spans="1:7" ht="12.75" customHeight="1">
      <c r="A6420" s="1667">
        <v>44520</v>
      </c>
      <c r="B6420" s="816" t="str">
        <f>TiposLancamentos!B11</f>
        <v>Coleta Municipal Lixo</v>
      </c>
      <c r="C6420" s="1769" t="s">
        <v>7424</v>
      </c>
      <c r="D6420" s="1736"/>
      <c r="E6420" s="1734">
        <v>44.36</v>
      </c>
      <c r="F6420" s="1043"/>
      <c r="G6420" s="1550"/>
    </row>
    <row r="6421" spans="1:7" ht="12.75" customHeight="1">
      <c r="A6421" s="1667">
        <v>44520</v>
      </c>
      <c r="B6421" s="816" t="str">
        <f>TiposLancamentos!B8</f>
        <v>Aluguel</v>
      </c>
      <c r="C6421" s="1769" t="s">
        <v>7425</v>
      </c>
      <c r="D6421" s="1736"/>
      <c r="E6421" s="1734">
        <v>8</v>
      </c>
      <c r="F6421" s="1043"/>
      <c r="G6421" s="1550"/>
    </row>
    <row r="6422" spans="1:7" ht="12.75" customHeight="1">
      <c r="A6422" s="1750">
        <v>44520</v>
      </c>
      <c r="B6422" s="818" t="str">
        <f>TiposLancamentos!B9</f>
        <v>Condominio</v>
      </c>
      <c r="C6422" s="1743" t="s">
        <v>7427</v>
      </c>
      <c r="D6422" s="1737"/>
      <c r="E6422" s="1668">
        <v>616.37</v>
      </c>
      <c r="F6422" s="1291">
        <v>2388.4</v>
      </c>
      <c r="G6422" s="1550"/>
    </row>
    <row r="6423" spans="1:7" ht="12.75" customHeight="1">
      <c r="A6423" s="1754">
        <v>44522</v>
      </c>
      <c r="B6423" s="125" t="str">
        <f>TiposLancamentos!B24</f>
        <v>Estacionamentos</v>
      </c>
      <c r="C6423" s="1040" t="s">
        <v>8357</v>
      </c>
      <c r="D6423" s="1736"/>
      <c r="E6423" s="1043">
        <v>13</v>
      </c>
      <c r="F6423" s="1043"/>
      <c r="G6423" s="1550"/>
    </row>
    <row r="6424" spans="1:7" ht="12.75" customHeight="1">
      <c r="A6424" s="1754">
        <v>44523</v>
      </c>
      <c r="B6424" s="125" t="str">
        <f>TiposLancamentos!B98</f>
        <v>Restituições</v>
      </c>
      <c r="C6424" s="1040" t="s">
        <v>8358</v>
      </c>
      <c r="D6424" s="1736">
        <v>79.2</v>
      </c>
      <c r="E6424" s="1043"/>
      <c r="F6424" s="1043"/>
      <c r="G6424" s="1550"/>
    </row>
    <row r="6425" spans="1:7" ht="12.75" customHeight="1">
      <c r="A6425" s="1754">
        <v>44523</v>
      </c>
      <c r="B6425" s="125" t="str">
        <f>TiposLancamentos!B19</f>
        <v>Restaurantes</v>
      </c>
      <c r="C6425" s="1040" t="s">
        <v>8359</v>
      </c>
      <c r="D6425" s="1736"/>
      <c r="E6425" s="1043">
        <v>53.09</v>
      </c>
      <c r="F6425" s="1043"/>
      <c r="G6425" s="1550"/>
    </row>
    <row r="6426" spans="1:7" ht="12.75" customHeight="1">
      <c r="A6426" s="1754">
        <v>44523</v>
      </c>
      <c r="B6426" s="125" t="str">
        <f>TiposLancamentos!B5</f>
        <v>Supermercado</v>
      </c>
      <c r="C6426" s="1040" t="s">
        <v>8360</v>
      </c>
      <c r="D6426" s="1736"/>
      <c r="E6426" s="1043">
        <v>3.84</v>
      </c>
      <c r="F6426" s="1043"/>
      <c r="G6426" s="1550"/>
    </row>
    <row r="6427" spans="1:7" ht="12.75" customHeight="1">
      <c r="A6427" s="1754">
        <v>44523</v>
      </c>
      <c r="B6427" s="125" t="str">
        <f>TiposLancamentos!B64</f>
        <v>Viagens</v>
      </c>
      <c r="C6427" s="1040" t="s">
        <v>8361</v>
      </c>
      <c r="D6427" s="1736"/>
      <c r="E6427" s="1043">
        <v>252.6</v>
      </c>
      <c r="F6427" s="1043"/>
      <c r="G6427" s="1550"/>
    </row>
    <row r="6428" spans="1:7" ht="12.75" customHeight="1">
      <c r="A6428" s="1754">
        <v>44523</v>
      </c>
      <c r="B6428" s="125" t="str">
        <f>TiposLancamentos!B19</f>
        <v>Restaurantes</v>
      </c>
      <c r="C6428" s="1040" t="s">
        <v>1967</v>
      </c>
      <c r="D6428" s="1736"/>
      <c r="E6428" s="1043">
        <v>19.8</v>
      </c>
      <c r="F6428" s="1043"/>
      <c r="G6428" s="1550"/>
    </row>
    <row r="6429" spans="1:7" ht="12.75" customHeight="1">
      <c r="A6429" s="1754">
        <v>44523</v>
      </c>
      <c r="B6429" s="125" t="str">
        <f>TiposLancamentos!B24</f>
        <v>Estacionamentos</v>
      </c>
      <c r="C6429" s="1040" t="s">
        <v>8362</v>
      </c>
      <c r="D6429" s="1736"/>
      <c r="E6429" s="1043">
        <v>15</v>
      </c>
      <c r="F6429" s="1043"/>
      <c r="G6429" s="1550"/>
    </row>
    <row r="6430" spans="1:7" ht="12.75" customHeight="1">
      <c r="A6430" s="1754">
        <v>44524</v>
      </c>
      <c r="B6430" s="125" t="str">
        <f>TiposLancamentos!B98</f>
        <v>Restituições</v>
      </c>
      <c r="C6430" s="1040" t="s">
        <v>8363</v>
      </c>
      <c r="D6430" s="1736">
        <v>208</v>
      </c>
      <c r="E6430" s="1043"/>
      <c r="F6430" s="1043"/>
      <c r="G6430" s="1550"/>
    </row>
    <row r="6431" spans="1:7" ht="12.75" customHeight="1">
      <c r="A6431" s="1754">
        <v>44524</v>
      </c>
      <c r="B6431" s="125" t="str">
        <f>TiposLancamentos!B46</f>
        <v>Maçonaria</v>
      </c>
      <c r="C6431" s="1040" t="s">
        <v>8364</v>
      </c>
      <c r="D6431" s="1736"/>
      <c r="E6431" s="1043">
        <v>100</v>
      </c>
      <c r="F6431" s="1043"/>
      <c r="G6431" s="1550"/>
    </row>
    <row r="6432" spans="1:7" ht="12.75" customHeight="1">
      <c r="A6432" s="1754">
        <v>44524</v>
      </c>
      <c r="B6432" s="125" t="str">
        <f>B6428</f>
        <v>Restaurantes</v>
      </c>
      <c r="C6432" s="1040" t="s">
        <v>8365</v>
      </c>
      <c r="D6432" s="1736"/>
      <c r="E6432" s="1043">
        <v>46.84</v>
      </c>
      <c r="F6432" s="1043"/>
      <c r="G6432" s="1550"/>
    </row>
    <row r="6433" spans="1:7" ht="12.75" customHeight="1">
      <c r="A6433" s="1754">
        <v>44524</v>
      </c>
      <c r="B6433" s="125" t="str">
        <f>TiposLancamentos!B56</f>
        <v>Farmácia</v>
      </c>
      <c r="C6433" s="1040" t="s">
        <v>8366</v>
      </c>
      <c r="D6433" s="1736"/>
      <c r="E6433" s="1043">
        <v>184.1</v>
      </c>
      <c r="F6433" s="1043"/>
      <c r="G6433" s="1550"/>
    </row>
    <row r="6434" spans="1:7" ht="12.75" customHeight="1">
      <c r="A6434" s="1754">
        <v>44524</v>
      </c>
      <c r="B6434" s="125" t="str">
        <f>TiposLancamentos!B24</f>
        <v>Estacionamentos</v>
      </c>
      <c r="C6434" s="1040" t="s">
        <v>8367</v>
      </c>
      <c r="D6434" s="1736"/>
      <c r="E6434" s="1043">
        <v>15</v>
      </c>
      <c r="F6434" s="1043"/>
      <c r="G6434" s="1550"/>
    </row>
    <row r="6435" spans="1:7" ht="12.75" customHeight="1">
      <c r="A6435" s="1754">
        <v>44524</v>
      </c>
      <c r="B6435" s="125" t="str">
        <f>TiposLancamentos!B5</f>
        <v>Supermercado</v>
      </c>
      <c r="C6435" s="1040" t="s">
        <v>7829</v>
      </c>
      <c r="D6435" s="1736"/>
      <c r="E6435" s="1043">
        <v>130.69</v>
      </c>
      <c r="F6435" s="1043"/>
      <c r="G6435" s="1550"/>
    </row>
    <row r="6436" spans="1:7" ht="12.75" customHeight="1">
      <c r="A6436" s="1754">
        <v>44525</v>
      </c>
      <c r="B6436" s="125" t="str">
        <f>TiposLancamentos!B56</f>
        <v>Farmácia</v>
      </c>
      <c r="C6436" s="1040" t="s">
        <v>8368</v>
      </c>
      <c r="D6436" s="1736"/>
      <c r="E6436" s="1043">
        <v>48</v>
      </c>
      <c r="F6436" s="1043"/>
      <c r="G6436" s="1550"/>
    </row>
    <row r="6437" spans="1:7" ht="12.75" customHeight="1">
      <c r="A6437" s="1754">
        <v>44525</v>
      </c>
      <c r="B6437" s="125" t="str">
        <f>TiposLancamentos!B5</f>
        <v>Supermercado</v>
      </c>
      <c r="C6437" s="1040" t="s">
        <v>1884</v>
      </c>
      <c r="D6437" s="1736"/>
      <c r="E6437" s="1043">
        <v>21.79</v>
      </c>
      <c r="F6437" s="1043"/>
      <c r="G6437" s="1550"/>
    </row>
    <row r="6438" spans="1:7" ht="12.75" customHeight="1">
      <c r="A6438" s="1754">
        <v>44526</v>
      </c>
      <c r="B6438" s="125" t="str">
        <f>TiposLancamentos!B13</f>
        <v>Moradia</v>
      </c>
      <c r="C6438" s="1040" t="s">
        <v>8369</v>
      </c>
      <c r="D6438" s="1736"/>
      <c r="E6438" s="1043">
        <v>12</v>
      </c>
      <c r="F6438" s="1043"/>
      <c r="G6438" s="1550"/>
    </row>
    <row r="6439" spans="1:7" ht="12.75" customHeight="1">
      <c r="A6439" s="1754">
        <v>44526</v>
      </c>
      <c r="B6439" s="125" t="str">
        <f>TiposLancamentos!B19</f>
        <v>Restaurantes</v>
      </c>
      <c r="C6439" s="1040" t="s">
        <v>8370</v>
      </c>
      <c r="D6439" s="1736"/>
      <c r="E6439" s="1043">
        <v>60.61</v>
      </c>
      <c r="F6439" s="1043"/>
      <c r="G6439" s="1550"/>
    </row>
    <row r="6440" spans="1:7" ht="12.75" customHeight="1">
      <c r="A6440" s="1754">
        <v>44527</v>
      </c>
      <c r="B6440" s="125" t="str">
        <f>TiposLancamentos!B32</f>
        <v>Clinicas e tratamentos</v>
      </c>
      <c r="C6440" s="1040" t="s">
        <v>8172</v>
      </c>
      <c r="D6440" s="1736"/>
      <c r="E6440" s="1043">
        <v>150</v>
      </c>
      <c r="F6440" s="1043"/>
      <c r="G6440" s="1550"/>
    </row>
    <row r="6441" spans="1:7" ht="12.75" customHeight="1">
      <c r="A6441" s="1754">
        <v>44527</v>
      </c>
      <c r="B6441" s="125" t="str">
        <f>TiposLancamentos!B19</f>
        <v>Restaurantes</v>
      </c>
      <c r="C6441" s="1040" t="s">
        <v>8371</v>
      </c>
      <c r="D6441" s="1736"/>
      <c r="E6441" s="1043">
        <v>109</v>
      </c>
      <c r="F6441" s="1043"/>
      <c r="G6441" s="1550"/>
    </row>
    <row r="6442" spans="1:7" ht="12.75" customHeight="1">
      <c r="A6442" s="1754">
        <v>44527</v>
      </c>
      <c r="B6442" s="125" t="str">
        <f>TiposLancamentos!B24</f>
        <v>Estacionamentos</v>
      </c>
      <c r="C6442" s="1040" t="s">
        <v>8372</v>
      </c>
      <c r="D6442" s="1736"/>
      <c r="E6442" s="1043">
        <v>15</v>
      </c>
      <c r="F6442" s="1043"/>
      <c r="G6442" s="1550"/>
    </row>
    <row r="6443" spans="1:7" ht="12.75" customHeight="1">
      <c r="A6443" s="1754">
        <v>44527</v>
      </c>
      <c r="B6443" s="125" t="str">
        <f>TiposLancamentos!B5</f>
        <v>Supermercado</v>
      </c>
      <c r="C6443" s="1040" t="s">
        <v>2153</v>
      </c>
      <c r="D6443" s="1736"/>
      <c r="E6443" s="1043">
        <v>17.3</v>
      </c>
      <c r="F6443" s="1043"/>
      <c r="G6443" s="1550"/>
    </row>
    <row r="6444" spans="1:7" ht="12.75" customHeight="1">
      <c r="A6444" s="1754">
        <v>44529</v>
      </c>
      <c r="B6444" s="125" t="str">
        <f>B6442</f>
        <v>Estacionamentos</v>
      </c>
      <c r="C6444" s="1040" t="s">
        <v>2183</v>
      </c>
      <c r="D6444" s="1736"/>
      <c r="E6444" s="1043">
        <v>3</v>
      </c>
      <c r="F6444" s="1043"/>
      <c r="G6444" s="1550"/>
    </row>
    <row r="6445" spans="1:7" ht="12.75" customHeight="1">
      <c r="A6445" s="1754">
        <v>44530</v>
      </c>
      <c r="B6445" s="125" t="str">
        <f>TiposLancamentos!B95</f>
        <v>Salarios</v>
      </c>
      <c r="C6445" s="1040" t="s">
        <v>8064</v>
      </c>
      <c r="D6445" s="1736">
        <v>3355.63</v>
      </c>
      <c r="E6445" s="1043"/>
      <c r="F6445" s="1043"/>
      <c r="G6445" s="1550"/>
    </row>
    <row r="6446" spans="1:7" ht="12.75" customHeight="1" thickBot="1">
      <c r="A6446" s="1754">
        <v>44530</v>
      </c>
      <c r="B6446" s="125" t="str">
        <f>TiposLancamentos!B5</f>
        <v>Supermercado</v>
      </c>
      <c r="C6446" s="1040" t="s">
        <v>1884</v>
      </c>
      <c r="D6446" s="1736"/>
      <c r="E6446" s="1043">
        <v>11.8</v>
      </c>
      <c r="F6446" s="1043"/>
      <c r="G6446" s="1550"/>
    </row>
    <row r="6447" spans="1:7" ht="12.75" customHeight="1">
      <c r="A6447" s="1834"/>
      <c r="B6447" s="977"/>
      <c r="C6447" s="1854" t="s">
        <v>1605</v>
      </c>
      <c r="D6447" s="1823"/>
      <c r="E6447" s="1821"/>
      <c r="F6447" s="1821"/>
      <c r="G6447" s="1895"/>
    </row>
    <row r="6448" spans="1:7" ht="12.75" customHeight="1">
      <c r="A6448" s="1754">
        <v>44531</v>
      </c>
      <c r="B6448" s="125" t="str">
        <f>TiposLancamentos!B15</f>
        <v>Cartões de Crédito</v>
      </c>
      <c r="C6448" s="1040" t="s">
        <v>7781</v>
      </c>
      <c r="D6448" s="1736"/>
      <c r="E6448" s="1043">
        <v>1624.49</v>
      </c>
      <c r="F6448" s="1043"/>
      <c r="G6448" s="1550"/>
    </row>
    <row r="6449" spans="1:7" ht="12.75" customHeight="1">
      <c r="A6449" s="1754">
        <v>44531</v>
      </c>
      <c r="B6449" s="125" t="str">
        <f>TiposLancamentos!B15</f>
        <v>Cartões de Crédito</v>
      </c>
      <c r="C6449" s="1040" t="s">
        <v>8016</v>
      </c>
      <c r="D6449" s="1736"/>
      <c r="E6449" s="1043">
        <v>302.70999999999998</v>
      </c>
      <c r="F6449" s="1043"/>
      <c r="G6449" s="1550"/>
    </row>
    <row r="6450" spans="1:7" ht="12.75" customHeight="1">
      <c r="A6450" s="1754">
        <v>44531</v>
      </c>
      <c r="B6450" s="125" t="str">
        <f>TiposLancamentos!B15</f>
        <v>Cartões de Crédito</v>
      </c>
      <c r="C6450" s="1040" t="s">
        <v>8252</v>
      </c>
      <c r="D6450" s="1736"/>
      <c r="E6450" s="1043">
        <v>48.85</v>
      </c>
      <c r="F6450" s="1043"/>
      <c r="G6450" s="1550"/>
    </row>
    <row r="6451" spans="1:7" ht="12.75" customHeight="1">
      <c r="A6451" s="1754">
        <v>44531</v>
      </c>
      <c r="B6451" s="125" t="str">
        <f>TiposLancamentos!B88</f>
        <v>Ford Ecosport XLT</v>
      </c>
      <c r="C6451" s="1040" t="s">
        <v>8373</v>
      </c>
      <c r="D6451" s="1736"/>
      <c r="E6451" s="1043">
        <v>50</v>
      </c>
      <c r="F6451" s="1043"/>
      <c r="G6451" s="1550"/>
    </row>
    <row r="6452" spans="1:7" ht="12.75" customHeight="1">
      <c r="A6452" s="1754">
        <v>44531</v>
      </c>
      <c r="B6452" s="125" t="str">
        <f>TiposLancamentos!B16</f>
        <v>Cristiane</v>
      </c>
      <c r="C6452" s="1040" t="s">
        <v>8374</v>
      </c>
      <c r="D6452" s="1736">
        <v>50</v>
      </c>
      <c r="E6452" s="1043"/>
      <c r="F6452" s="1043"/>
      <c r="G6452" s="1550"/>
    </row>
    <row r="6453" spans="1:7" ht="12.75" customHeight="1">
      <c r="A6453" s="1754">
        <v>44531</v>
      </c>
      <c r="B6453" s="125" t="str">
        <f>TiposLancamentos!B4</f>
        <v>Taxas Bancarias</v>
      </c>
      <c r="C6453" s="1040" t="s">
        <v>4858</v>
      </c>
      <c r="D6453" s="1736"/>
      <c r="E6453" s="1043">
        <v>33.270000000000003</v>
      </c>
      <c r="F6453" s="1043"/>
      <c r="G6453" s="1550"/>
    </row>
    <row r="6454" spans="1:7" ht="12.75" customHeight="1">
      <c r="A6454" s="1754">
        <v>44532</v>
      </c>
      <c r="B6454" s="125" t="str">
        <f>TiposLancamentos!B14</f>
        <v>Gás de cozinha</v>
      </c>
      <c r="C6454" s="1040" t="s">
        <v>7722</v>
      </c>
      <c r="D6454" s="1736"/>
      <c r="E6454" s="1043">
        <v>42.14</v>
      </c>
      <c r="F6454" s="1043"/>
      <c r="G6454" s="1550"/>
    </row>
    <row r="6455" spans="1:7" ht="12.75" customHeight="1">
      <c r="A6455" s="1754">
        <v>44532</v>
      </c>
      <c r="B6455" s="125" t="str">
        <f>TiposLancamentos!B4</f>
        <v>Taxas Bancarias</v>
      </c>
      <c r="C6455" s="1040" t="s">
        <v>7394</v>
      </c>
      <c r="D6455" s="1736"/>
      <c r="E6455" s="1043">
        <v>5.7</v>
      </c>
      <c r="F6455" s="1043"/>
      <c r="G6455" s="1550"/>
    </row>
    <row r="6456" spans="1:7" ht="12.75" customHeight="1">
      <c r="A6456" s="1754">
        <v>44533</v>
      </c>
      <c r="B6456" s="125" t="str">
        <f>TiposLancamentos!B19</f>
        <v>Restaurantes</v>
      </c>
      <c r="C6456" s="1040" t="s">
        <v>8375</v>
      </c>
      <c r="D6456" s="1736"/>
      <c r="E6456" s="1043">
        <v>38</v>
      </c>
      <c r="F6456" s="1043"/>
      <c r="G6456" s="1550"/>
    </row>
    <row r="6457" spans="1:7" ht="12.75" customHeight="1">
      <c r="A6457" s="1754">
        <v>44534</v>
      </c>
      <c r="B6457" s="125" t="str">
        <f>TiposLancamentos!B64</f>
        <v>Viagens</v>
      </c>
      <c r="C6457" s="1040" t="s">
        <v>8376</v>
      </c>
      <c r="D6457" s="1736"/>
      <c r="E6457" s="1043">
        <v>40.700000000000003</v>
      </c>
      <c r="F6457" s="1043"/>
      <c r="G6457" s="1550"/>
    </row>
    <row r="6458" spans="1:7" ht="12.75" customHeight="1">
      <c r="A6458" s="1754">
        <v>44534</v>
      </c>
      <c r="B6458" s="125" t="str">
        <f>TiposLancamentos!B5</f>
        <v>Supermercado</v>
      </c>
      <c r="C6458" s="1040" t="s">
        <v>2153</v>
      </c>
      <c r="D6458" s="1736"/>
      <c r="E6458" s="1043">
        <v>15.8</v>
      </c>
      <c r="F6458" s="1043"/>
      <c r="G6458" s="1550"/>
    </row>
    <row r="6459" spans="1:7" ht="12.75" customHeight="1">
      <c r="A6459" s="1754">
        <v>44534</v>
      </c>
      <c r="B6459" s="125" t="str">
        <f>TiposLancamentos!B19</f>
        <v>Restaurantes</v>
      </c>
      <c r="C6459" s="1040" t="s">
        <v>8377</v>
      </c>
      <c r="D6459" s="1736"/>
      <c r="E6459" s="1043">
        <v>93.77</v>
      </c>
      <c r="F6459" s="1043"/>
      <c r="G6459" s="1550"/>
    </row>
    <row r="6460" spans="1:7" ht="12.75" customHeight="1">
      <c r="A6460" s="1754">
        <v>44534</v>
      </c>
      <c r="B6460" s="125" t="str">
        <f>TiposLancamentos!B5</f>
        <v>Supermercado</v>
      </c>
      <c r="C6460" s="1040" t="s">
        <v>2153</v>
      </c>
      <c r="D6460" s="1736"/>
      <c r="E6460" s="1043">
        <v>10.9</v>
      </c>
      <c r="F6460" s="1043"/>
      <c r="G6460" s="1550"/>
    </row>
    <row r="6461" spans="1:7" ht="12.75" customHeight="1">
      <c r="A6461" s="1754">
        <v>44535</v>
      </c>
      <c r="B6461" s="125" t="str">
        <f>TiposLancamentos!B19</f>
        <v>Restaurantes</v>
      </c>
      <c r="C6461" s="1040" t="s">
        <v>8378</v>
      </c>
      <c r="D6461" s="1736"/>
      <c r="E6461" s="1043">
        <v>79.5</v>
      </c>
      <c r="F6461" s="1043"/>
      <c r="G6461" s="1550"/>
    </row>
    <row r="6462" spans="1:7" ht="12.75" customHeight="1">
      <c r="A6462" s="1754">
        <v>44535</v>
      </c>
      <c r="B6462" s="125" t="str">
        <f>TiposLancamentos!B5</f>
        <v>Supermercado</v>
      </c>
      <c r="C6462" s="1040" t="s">
        <v>2437</v>
      </c>
      <c r="D6462" s="1736"/>
      <c r="E6462" s="1043">
        <v>16.489999999999998</v>
      </c>
      <c r="F6462" s="1043"/>
      <c r="G6462" s="1550"/>
    </row>
    <row r="6463" spans="1:7" ht="12.75" customHeight="1">
      <c r="A6463" s="1754">
        <v>44536</v>
      </c>
      <c r="B6463" s="125" t="str">
        <f>TiposLancamentos!B4</f>
        <v>Taxas Bancarias</v>
      </c>
      <c r="C6463" s="1040" t="s">
        <v>5707</v>
      </c>
      <c r="D6463" s="1736"/>
      <c r="E6463" s="1043">
        <v>188.05</v>
      </c>
      <c r="F6463" s="1043"/>
      <c r="G6463" s="1550"/>
    </row>
    <row r="6464" spans="1:7" ht="12.75" customHeight="1">
      <c r="A6464" s="1754">
        <v>44536</v>
      </c>
      <c r="B6464" s="125" t="str">
        <f>TiposLancamentos!B5</f>
        <v>Supermercado</v>
      </c>
      <c r="C6464" s="1040" t="s">
        <v>5000</v>
      </c>
      <c r="D6464" s="1736"/>
      <c r="E6464" s="1043">
        <v>255.88</v>
      </c>
      <c r="F6464" s="1043"/>
      <c r="G6464" s="1550"/>
    </row>
    <row r="6465" spans="1:7" ht="12.75" customHeight="1">
      <c r="A6465" s="1754">
        <v>44536</v>
      </c>
      <c r="B6465" s="125" t="str">
        <f>B6462</f>
        <v>Supermercado</v>
      </c>
      <c r="C6465" s="1040" t="s">
        <v>8379</v>
      </c>
      <c r="D6465" s="1736"/>
      <c r="E6465" s="1043">
        <v>3.65</v>
      </c>
      <c r="F6465" s="1043"/>
      <c r="G6465" s="1550"/>
    </row>
    <row r="6466" spans="1:7" ht="12.75" customHeight="1">
      <c r="A6466" s="1754">
        <v>44537</v>
      </c>
      <c r="B6466" s="125" t="str">
        <f>TiposLancamentos!B17</f>
        <v>GATO</v>
      </c>
      <c r="C6466" s="1040" t="s">
        <v>8380</v>
      </c>
      <c r="D6466" s="1736"/>
      <c r="E6466" s="1043">
        <v>20</v>
      </c>
      <c r="F6466" s="1043"/>
      <c r="G6466" s="1550"/>
    </row>
    <row r="6467" spans="1:7" ht="12.75" customHeight="1">
      <c r="A6467" s="1754">
        <v>44537</v>
      </c>
      <c r="B6467" s="125" t="str">
        <f>TiposLancamentos!B24</f>
        <v>Estacionamentos</v>
      </c>
      <c r="C6467" s="1040" t="s">
        <v>8381</v>
      </c>
      <c r="D6467" s="1736"/>
      <c r="E6467" s="1043">
        <v>274</v>
      </c>
      <c r="F6467" s="1043"/>
      <c r="G6467" s="1550"/>
    </row>
    <row r="6468" spans="1:7" ht="12.75" customHeight="1">
      <c r="A6468" s="1754">
        <v>44537</v>
      </c>
      <c r="B6468" s="125" t="str">
        <f>TiposLancamentos!B5</f>
        <v>Supermercado</v>
      </c>
      <c r="C6468" s="1040" t="s">
        <v>8382</v>
      </c>
      <c r="D6468" s="1736"/>
      <c r="E6468" s="1043">
        <v>10.9</v>
      </c>
      <c r="F6468" s="1043"/>
      <c r="G6468" s="1550"/>
    </row>
    <row r="6469" spans="1:7" ht="12.75" customHeight="1">
      <c r="A6469" s="1754">
        <v>44537</v>
      </c>
      <c r="B6469" s="125" t="str">
        <f>TiposLancamentos!B24</f>
        <v>Estacionamentos</v>
      </c>
      <c r="C6469" s="1040" t="s">
        <v>8383</v>
      </c>
      <c r="D6469" s="1736"/>
      <c r="E6469" s="1043">
        <v>7</v>
      </c>
      <c r="F6469" s="1043"/>
      <c r="G6469" s="1550"/>
    </row>
    <row r="6470" spans="1:7" ht="12.75" customHeight="1">
      <c r="A6470" s="1754">
        <v>44540</v>
      </c>
      <c r="B6470" s="125" t="str">
        <f>TiposLancamentos!B19</f>
        <v>Restaurantes</v>
      </c>
      <c r="C6470" s="1040" t="s">
        <v>8384</v>
      </c>
      <c r="D6470" s="1736"/>
      <c r="E6470" s="1043">
        <v>46.84</v>
      </c>
      <c r="F6470" s="1043"/>
      <c r="G6470" s="1550"/>
    </row>
    <row r="6471" spans="1:7" ht="12.75" customHeight="1">
      <c r="A6471" s="1754">
        <v>44540</v>
      </c>
      <c r="B6471" s="125" t="str">
        <f>TiposLancamentos!B13</f>
        <v>Moradia</v>
      </c>
      <c r="C6471" s="1040" t="s">
        <v>3718</v>
      </c>
      <c r="D6471" s="1736"/>
      <c r="E6471" s="1043">
        <v>12</v>
      </c>
      <c r="F6471" s="1043"/>
      <c r="G6471" s="1550"/>
    </row>
    <row r="6472" spans="1:7" ht="12.75" customHeight="1">
      <c r="A6472" s="1754">
        <v>44541</v>
      </c>
      <c r="B6472" s="125" t="str">
        <f>TiposLancamentos!B22</f>
        <v>Combustivel</v>
      </c>
      <c r="C6472" s="1040" t="s">
        <v>8385</v>
      </c>
      <c r="D6472" s="1736"/>
      <c r="E6472" s="1043">
        <v>278.2</v>
      </c>
      <c r="F6472" s="1043"/>
      <c r="G6472" s="1550"/>
    </row>
    <row r="6473" spans="1:7" ht="12.75" customHeight="1">
      <c r="A6473" s="1754">
        <v>44541</v>
      </c>
      <c r="B6473" s="125" t="str">
        <f>TiposLancamentos!B19</f>
        <v>Restaurantes</v>
      </c>
      <c r="C6473" s="1040" t="s">
        <v>8386</v>
      </c>
      <c r="D6473" s="1736"/>
      <c r="E6473" s="1043">
        <v>48.6</v>
      </c>
      <c r="F6473" s="1043"/>
      <c r="G6473" s="1550"/>
    </row>
    <row r="6474" spans="1:7" ht="12.75" customHeight="1">
      <c r="A6474" s="1754">
        <v>44541</v>
      </c>
      <c r="B6474" s="125" t="str">
        <f>TiposLancamentos!B5</f>
        <v>Supermercado</v>
      </c>
      <c r="C6474" s="1040" t="s">
        <v>8387</v>
      </c>
      <c r="D6474" s="1736"/>
      <c r="E6474" s="1043">
        <v>165.72</v>
      </c>
      <c r="F6474" s="1043"/>
      <c r="G6474" s="1550"/>
    </row>
    <row r="6475" spans="1:7" ht="12.75" customHeight="1">
      <c r="A6475" s="1754">
        <v>44541</v>
      </c>
      <c r="B6475" s="125" t="str">
        <f>TiposLancamentos!B64</f>
        <v>Viagens</v>
      </c>
      <c r="C6475" s="1040" t="s">
        <v>8388</v>
      </c>
      <c r="D6475" s="1736"/>
      <c r="E6475" s="1043">
        <v>257.7</v>
      </c>
      <c r="F6475" s="1043"/>
      <c r="G6475" s="1550"/>
    </row>
    <row r="6476" spans="1:7" ht="12.75" customHeight="1">
      <c r="A6476" s="1754">
        <v>44541</v>
      </c>
      <c r="B6476" s="125" t="str">
        <f>TiposLancamentos!B19</f>
        <v>Restaurantes</v>
      </c>
      <c r="C6476" s="1040" t="s">
        <v>8389</v>
      </c>
      <c r="D6476" s="1736"/>
      <c r="E6476" s="1043">
        <v>32.200000000000003</v>
      </c>
      <c r="F6476" s="1043"/>
      <c r="G6476" s="1550"/>
    </row>
    <row r="6477" spans="1:7" ht="12.75" customHeight="1">
      <c r="A6477" s="1754">
        <v>44541</v>
      </c>
      <c r="B6477" s="125" t="str">
        <f>TiposLancamentos!B19</f>
        <v>Restaurantes</v>
      </c>
      <c r="C6477" s="1040" t="s">
        <v>8390</v>
      </c>
      <c r="D6477" s="1736"/>
      <c r="E6477" s="1043">
        <v>68.400000000000006</v>
      </c>
      <c r="F6477" s="1043"/>
      <c r="G6477" s="1550"/>
    </row>
    <row r="6478" spans="1:7" ht="12.75" customHeight="1">
      <c r="A6478" s="1754">
        <v>44545</v>
      </c>
      <c r="B6478" s="125" t="str">
        <f>TiposLancamentos!B95</f>
        <v>Salarios</v>
      </c>
      <c r="C6478" s="1040" t="s">
        <v>8078</v>
      </c>
      <c r="D6478" s="1736">
        <v>4720</v>
      </c>
      <c r="E6478" s="1043"/>
      <c r="F6478" s="1043"/>
      <c r="G6478" s="1550"/>
    </row>
    <row r="6479" spans="1:7" ht="12.75" customHeight="1">
      <c r="A6479" s="1666">
        <v>44545</v>
      </c>
      <c r="B6479" s="817" t="str">
        <f>TiposLancamentos!B33</f>
        <v>Pedágios</v>
      </c>
      <c r="C6479" s="1742" t="s">
        <v>5392</v>
      </c>
      <c r="D6479" s="1735"/>
      <c r="E6479" s="1733">
        <f>F6481-(E6480+E6481)</f>
        <v>199.4</v>
      </c>
      <c r="F6479" s="1290"/>
      <c r="G6479" s="1550"/>
    </row>
    <row r="6480" spans="1:7" ht="12.75" customHeight="1">
      <c r="A6480" s="1667">
        <v>44545</v>
      </c>
      <c r="B6480" s="816" t="str">
        <f>TiposLancamentos!B24</f>
        <v>Estacionamentos</v>
      </c>
      <c r="C6480" s="1769" t="s">
        <v>7366</v>
      </c>
      <c r="D6480" s="1736"/>
      <c r="E6480" s="1734">
        <v>0</v>
      </c>
      <c r="F6480" s="1043"/>
      <c r="G6480" s="1550"/>
    </row>
    <row r="6481" spans="1:7" ht="12.75" customHeight="1">
      <c r="A6481" s="1750">
        <v>44545</v>
      </c>
      <c r="B6481" s="818" t="str">
        <f>TiposLancamentos!B24</f>
        <v>Estacionamentos</v>
      </c>
      <c r="C6481" s="1743" t="s">
        <v>6297</v>
      </c>
      <c r="D6481" s="1737"/>
      <c r="E6481" s="1668">
        <v>0</v>
      </c>
      <c r="F6481" s="1347">
        <v>199.4</v>
      </c>
      <c r="G6481" s="1550"/>
    </row>
    <row r="6482" spans="1:7" ht="12.75" customHeight="1">
      <c r="A6482" s="1754">
        <v>44545</v>
      </c>
      <c r="B6482" s="125"/>
      <c r="C6482" s="1040" t="s">
        <v>7341</v>
      </c>
      <c r="D6482" s="1736">
        <v>0</v>
      </c>
      <c r="E6482" s="1043"/>
      <c r="F6482" s="1043"/>
      <c r="G6482" s="1550"/>
    </row>
    <row r="6483" spans="1:7" ht="12.75" customHeight="1">
      <c r="A6483" s="1666">
        <v>44545</v>
      </c>
      <c r="B6483" s="817" t="str">
        <f>TiposLancamentos!B35</f>
        <v>Tv à Cabo</v>
      </c>
      <c r="C6483" s="1742" t="s">
        <v>5834</v>
      </c>
      <c r="D6483" s="1735"/>
      <c r="E6483" s="1733">
        <f>F6485-(E6484+E6485)</f>
        <v>136.28999999999996</v>
      </c>
      <c r="F6483" s="1290"/>
      <c r="G6483" s="1550"/>
    </row>
    <row r="6484" spans="1:7" ht="12.75" customHeight="1">
      <c r="A6484" s="1667">
        <v>44545</v>
      </c>
      <c r="B6484" s="816" t="str">
        <f>TiposLancamentos!B3</f>
        <v>Internet</v>
      </c>
      <c r="C6484" s="1769" t="s">
        <v>5835</v>
      </c>
      <c r="D6484" s="1736"/>
      <c r="E6484" s="1734">
        <v>134.99</v>
      </c>
      <c r="F6484" s="1043"/>
      <c r="G6484" s="1550"/>
    </row>
    <row r="6485" spans="1:7" ht="12.75" customHeight="1">
      <c r="A6485" s="1750">
        <v>44545</v>
      </c>
      <c r="B6485" s="818" t="str">
        <f>TiposLancamentos!B2</f>
        <v>Telefonia</v>
      </c>
      <c r="C6485" s="1743" t="s">
        <v>7210</v>
      </c>
      <c r="D6485" s="1737"/>
      <c r="E6485" s="1668">
        <v>0</v>
      </c>
      <c r="F6485" s="1291">
        <v>271.27999999999997</v>
      </c>
      <c r="G6485" s="1550"/>
    </row>
    <row r="6486" spans="1:7" ht="12.6" customHeight="1">
      <c r="A6486" s="1754">
        <v>44546</v>
      </c>
      <c r="B6486" s="125" t="str">
        <f>TiposLancamentos!B46</f>
        <v>Maçonaria</v>
      </c>
      <c r="C6486" s="1040" t="s">
        <v>8391</v>
      </c>
      <c r="D6486" s="1736"/>
      <c r="E6486" s="1043">
        <v>180</v>
      </c>
      <c r="F6486" s="1043"/>
      <c r="G6486" s="1550"/>
    </row>
    <row r="6487" spans="1:7" ht="12.75" customHeight="1">
      <c r="A6487" s="1754">
        <v>44547</v>
      </c>
      <c r="B6487" s="125" t="str">
        <f>TiposLancamentos!B2</f>
        <v>Telefonia</v>
      </c>
      <c r="C6487" s="1040" t="s">
        <v>8237</v>
      </c>
      <c r="D6487" s="1736"/>
      <c r="E6487" s="1043">
        <v>55.99</v>
      </c>
      <c r="F6487" s="1043"/>
      <c r="G6487" s="1550"/>
    </row>
    <row r="6488" spans="1:7" ht="12.75" customHeight="1">
      <c r="A6488" s="1754">
        <v>44547</v>
      </c>
      <c r="B6488" s="125" t="str">
        <f>TiposLancamentos!B5</f>
        <v>Supermercado</v>
      </c>
      <c r="C6488" s="1040" t="s">
        <v>1943</v>
      </c>
      <c r="D6488" s="1736"/>
      <c r="E6488" s="1043">
        <v>56.13</v>
      </c>
      <c r="F6488" s="1043"/>
      <c r="G6488" s="1550"/>
    </row>
    <row r="6489" spans="1:7" ht="12.75" customHeight="1">
      <c r="A6489" s="1754">
        <v>44548</v>
      </c>
      <c r="B6489" s="125" t="str">
        <f>TiposLancamentos!B22</f>
        <v>Combustivel</v>
      </c>
      <c r="C6489" s="1040" t="s">
        <v>7795</v>
      </c>
      <c r="D6489" s="1736"/>
      <c r="E6489" s="1043">
        <v>70</v>
      </c>
      <c r="F6489" s="1043"/>
      <c r="G6489" s="1550"/>
    </row>
    <row r="6490" spans="1:7" ht="12.75" customHeight="1">
      <c r="A6490" s="1754">
        <v>44548</v>
      </c>
      <c r="B6490" s="125" t="str">
        <f>TiposLancamentos!B56</f>
        <v>Farmácia</v>
      </c>
      <c r="C6490" s="1040" t="s">
        <v>8392</v>
      </c>
      <c r="D6490" s="1736"/>
      <c r="E6490" s="1043">
        <v>32.979999999999997</v>
      </c>
      <c r="F6490" s="1043"/>
      <c r="G6490" s="1550"/>
    </row>
    <row r="6491" spans="1:7" ht="12.75" customHeight="1">
      <c r="A6491" s="1754">
        <v>44548</v>
      </c>
      <c r="B6491" s="125" t="str">
        <f>TiposLancamentos!B56</f>
        <v>Farmácia</v>
      </c>
      <c r="C6491" s="1040" t="s">
        <v>8393</v>
      </c>
      <c r="D6491" s="1736"/>
      <c r="E6491" s="1043">
        <v>41.19</v>
      </c>
      <c r="F6491" s="1043"/>
      <c r="G6491" s="1550"/>
    </row>
    <row r="6492" spans="1:7" ht="12.75" customHeight="1">
      <c r="A6492" s="1754">
        <v>44548</v>
      </c>
      <c r="B6492" s="125" t="str">
        <f>TiposLancamentos!B19</f>
        <v>Restaurantes</v>
      </c>
      <c r="C6492" s="1040" t="s">
        <v>3692</v>
      </c>
      <c r="D6492" s="1736"/>
      <c r="E6492" s="1043">
        <v>18.989999999999998</v>
      </c>
      <c r="F6492" s="1043"/>
      <c r="G6492" s="1550"/>
    </row>
    <row r="6493" spans="1:7" ht="12.75" customHeight="1">
      <c r="A6493" s="1754">
        <v>44548</v>
      </c>
      <c r="B6493" s="125" t="str">
        <f>TiposLancamentos!B24</f>
        <v>Estacionamentos</v>
      </c>
      <c r="C6493" s="1040" t="s">
        <v>7490</v>
      </c>
      <c r="D6493" s="1736"/>
      <c r="E6493" s="1043">
        <v>13</v>
      </c>
      <c r="F6493" s="1043"/>
      <c r="G6493" s="1550"/>
    </row>
    <row r="6494" spans="1:7" ht="12.75" customHeight="1">
      <c r="A6494" s="1754">
        <v>44548</v>
      </c>
      <c r="B6494" s="125" t="str">
        <f>B6492</f>
        <v>Restaurantes</v>
      </c>
      <c r="C6494" s="1040" t="s">
        <v>8394</v>
      </c>
      <c r="D6494" s="1736"/>
      <c r="E6494" s="1043">
        <v>48.89</v>
      </c>
      <c r="F6494" s="1043"/>
      <c r="G6494" s="1550"/>
    </row>
    <row r="6495" spans="1:7" ht="12.75" customHeight="1">
      <c r="A6495" s="1754">
        <v>44549</v>
      </c>
      <c r="B6495" s="125" t="str">
        <f>TiposLancamentos!B17</f>
        <v>GATO</v>
      </c>
      <c r="C6495" s="1040" t="s">
        <v>1925</v>
      </c>
      <c r="D6495" s="1736"/>
      <c r="E6495" s="1043">
        <v>16.62</v>
      </c>
      <c r="F6495" s="1043"/>
      <c r="G6495" s="1550"/>
    </row>
    <row r="6496" spans="1:7" ht="12.75" customHeight="1">
      <c r="A6496" s="1754">
        <v>44549</v>
      </c>
      <c r="B6496" s="125" t="str">
        <f>TiposLancamentos!B19</f>
        <v>Restaurantes</v>
      </c>
      <c r="C6496" s="1040" t="s">
        <v>8395</v>
      </c>
      <c r="D6496" s="1736"/>
      <c r="E6496" s="1043">
        <v>47.8</v>
      </c>
      <c r="F6496" s="1043"/>
      <c r="G6496" s="1550"/>
    </row>
    <row r="6497" spans="1:7" ht="12.75" customHeight="1">
      <c r="A6497" s="1754">
        <v>44550</v>
      </c>
      <c r="B6497" s="125" t="str">
        <f>TiposLancamentos!B95</f>
        <v>Salarios</v>
      </c>
      <c r="C6497" s="1040" t="s">
        <v>8396</v>
      </c>
      <c r="D6497" s="1736">
        <v>2146.3200000000002</v>
      </c>
      <c r="E6497" s="1043"/>
      <c r="F6497" s="1043"/>
      <c r="G6497" s="1550"/>
    </row>
    <row r="6498" spans="1:7" ht="12.75" customHeight="1">
      <c r="A6498" s="1666">
        <v>44550</v>
      </c>
      <c r="B6498" s="817" t="str">
        <f>TiposLancamentos!B8</f>
        <v>Aluguel</v>
      </c>
      <c r="C6498" s="1742" t="s">
        <v>8397</v>
      </c>
      <c r="D6498" s="1735"/>
      <c r="E6498" s="1733">
        <f>F6503-(E6499+E6503+E6500+E6501+E6502)</f>
        <v>1400</v>
      </c>
      <c r="F6498" s="1346"/>
      <c r="G6498" s="1550"/>
    </row>
    <row r="6499" spans="1:7" ht="12.75" customHeight="1">
      <c r="A6499" s="1667">
        <v>44550</v>
      </c>
      <c r="B6499" s="816" t="str">
        <f>TiposLancamentos!B12</f>
        <v>IPTU</v>
      </c>
      <c r="C6499" s="1769" t="s">
        <v>8398</v>
      </c>
      <c r="D6499" s="1736"/>
      <c r="E6499" s="1734">
        <v>54.02</v>
      </c>
      <c r="F6499" s="1043"/>
      <c r="G6499" s="1550"/>
    </row>
    <row r="6500" spans="1:7" ht="12.75" customHeight="1">
      <c r="A6500" s="1667">
        <v>44550</v>
      </c>
      <c r="B6500" s="816" t="str">
        <f>TiposLancamentos!B10</f>
        <v>Distr. Água Municipal</v>
      </c>
      <c r="C6500" s="1769" t="s">
        <v>7423</v>
      </c>
      <c r="D6500" s="1736"/>
      <c r="E6500" s="1734">
        <v>80.88</v>
      </c>
      <c r="F6500" s="1043"/>
      <c r="G6500" s="1550"/>
    </row>
    <row r="6501" spans="1:7" ht="12.75" customHeight="1">
      <c r="A6501" s="1667">
        <v>44550</v>
      </c>
      <c r="B6501" s="816" t="str">
        <f>TiposLancamentos!B11</f>
        <v>Coleta Municipal Lixo</v>
      </c>
      <c r="C6501" s="1769" t="s">
        <v>7424</v>
      </c>
      <c r="D6501" s="1736"/>
      <c r="E6501" s="1734">
        <v>44.36</v>
      </c>
      <c r="F6501" s="1043"/>
      <c r="G6501" s="1550"/>
    </row>
    <row r="6502" spans="1:7" ht="12.75" customHeight="1">
      <c r="A6502" s="1667">
        <v>44550</v>
      </c>
      <c r="B6502" s="816" t="str">
        <f>TiposLancamentos!B8</f>
        <v>Aluguel</v>
      </c>
      <c r="C6502" s="1769" t="s">
        <v>7425</v>
      </c>
      <c r="D6502" s="1736"/>
      <c r="E6502" s="1734">
        <v>8</v>
      </c>
      <c r="F6502" s="1043"/>
      <c r="G6502" s="1550"/>
    </row>
    <row r="6503" spans="1:7" ht="12.75" customHeight="1">
      <c r="A6503" s="1750">
        <v>44550</v>
      </c>
      <c r="B6503" s="818" t="str">
        <f>TiposLancamentos!B9</f>
        <v>Condominio</v>
      </c>
      <c r="C6503" s="1743" t="s">
        <v>7427</v>
      </c>
      <c r="D6503" s="1737"/>
      <c r="E6503" s="1668">
        <v>616.37</v>
      </c>
      <c r="F6503" s="1291">
        <v>2203.63</v>
      </c>
      <c r="G6503" s="1550"/>
    </row>
    <row r="6504" spans="1:7" ht="12.75" customHeight="1">
      <c r="A6504" s="1754">
        <v>44550</v>
      </c>
      <c r="B6504" s="125" t="str">
        <f>TiposLancamentos!B19</f>
        <v>Restaurantes</v>
      </c>
      <c r="C6504" s="1040" t="s">
        <v>8399</v>
      </c>
      <c r="D6504" s="1736"/>
      <c r="E6504" s="1043">
        <v>81.5</v>
      </c>
      <c r="F6504" s="1043"/>
      <c r="G6504" s="1550"/>
    </row>
    <row r="6505" spans="1:7" ht="12.75" customHeight="1">
      <c r="A6505" s="1754">
        <v>44550</v>
      </c>
      <c r="B6505" s="125" t="str">
        <f>TiposLancamentos!B5</f>
        <v>Supermercado</v>
      </c>
      <c r="C6505" s="1040" t="s">
        <v>8400</v>
      </c>
      <c r="D6505" s="1736"/>
      <c r="E6505" s="1043">
        <v>16.89</v>
      </c>
      <c r="F6505" s="1043"/>
      <c r="G6505" s="1550"/>
    </row>
    <row r="6506" spans="1:7" ht="12.75" customHeight="1">
      <c r="A6506" s="1754">
        <v>44551</v>
      </c>
      <c r="B6506" s="125" t="str">
        <f>TiposLancamentos!B6</f>
        <v>Energia Eletrica</v>
      </c>
      <c r="C6506" s="1040" t="s">
        <v>8401</v>
      </c>
      <c r="D6506" s="1736"/>
      <c r="E6506" s="1043">
        <v>325.35000000000002</v>
      </c>
      <c r="F6506" s="1043"/>
      <c r="G6506" s="1550"/>
    </row>
    <row r="6507" spans="1:7" ht="12.75" customHeight="1">
      <c r="A6507" s="1754">
        <v>44551</v>
      </c>
      <c r="B6507" s="125" t="str">
        <f>TiposLancamentos!B19</f>
        <v>Restaurantes</v>
      </c>
      <c r="C6507" s="1040" t="s">
        <v>8402</v>
      </c>
      <c r="D6507" s="1736"/>
      <c r="E6507" s="1043">
        <v>308</v>
      </c>
      <c r="F6507" s="1043"/>
      <c r="G6507" s="1550"/>
    </row>
    <row r="6508" spans="1:7" ht="12.75" customHeight="1">
      <c r="A6508" s="1754">
        <v>44553</v>
      </c>
      <c r="B6508" s="125" t="str">
        <f>TiposLancamentos!B19</f>
        <v>Restaurantes</v>
      </c>
      <c r="C6508" s="1040" t="s">
        <v>8403</v>
      </c>
      <c r="D6508" s="1736"/>
      <c r="E6508" s="1043">
        <v>111.45</v>
      </c>
      <c r="F6508" s="1043"/>
      <c r="G6508" s="1550"/>
    </row>
    <row r="6509" spans="1:7" ht="12.75" customHeight="1">
      <c r="A6509" s="1754">
        <v>44554</v>
      </c>
      <c r="B6509" s="125" t="str">
        <f>TiposLancamentos!B13</f>
        <v>Moradia</v>
      </c>
      <c r="C6509" s="1040" t="s">
        <v>8404</v>
      </c>
      <c r="D6509" s="1736"/>
      <c r="E6509" s="1043">
        <v>12</v>
      </c>
      <c r="F6509" s="1043"/>
      <c r="G6509" s="1550"/>
    </row>
    <row r="6510" spans="1:7" ht="12.75" customHeight="1">
      <c r="A6510" s="1754">
        <v>44554</v>
      </c>
      <c r="B6510" s="125" t="str">
        <f>TiposLancamentos!B16</f>
        <v>Cristiane</v>
      </c>
      <c r="C6510" s="1040" t="s">
        <v>2014</v>
      </c>
      <c r="D6510" s="1736"/>
      <c r="E6510" s="1043">
        <v>13</v>
      </c>
      <c r="F6510" s="1043"/>
      <c r="G6510" s="1550"/>
    </row>
    <row r="6511" spans="1:7" ht="12.75" customHeight="1">
      <c r="A6511" s="1754">
        <v>44554</v>
      </c>
      <c r="B6511" s="125" t="str">
        <f>TiposLancamentos!B56</f>
        <v>Farmácia</v>
      </c>
      <c r="C6511" s="1040" t="s">
        <v>8405</v>
      </c>
      <c r="D6511" s="1736"/>
      <c r="E6511" s="1043">
        <v>182.47</v>
      </c>
      <c r="F6511" s="1043"/>
      <c r="G6511" s="1550"/>
    </row>
    <row r="6512" spans="1:7" ht="12.75" customHeight="1">
      <c r="A6512" s="1754">
        <v>44554</v>
      </c>
      <c r="B6512" s="125" t="str">
        <f>TiposLancamentos!B5</f>
        <v>Supermercado</v>
      </c>
      <c r="C6512" s="1040" t="s">
        <v>7538</v>
      </c>
      <c r="D6512" s="1736"/>
      <c r="E6512" s="1043">
        <v>33.06</v>
      </c>
      <c r="F6512" s="1043"/>
      <c r="G6512" s="1550"/>
    </row>
    <row r="6513" spans="1:7" ht="12.75" customHeight="1">
      <c r="A6513" s="1754">
        <v>44555</v>
      </c>
      <c r="B6513" s="125" t="str">
        <f>TiposLancamentos!B19</f>
        <v>Restaurantes</v>
      </c>
      <c r="C6513" s="1040" t="s">
        <v>8406</v>
      </c>
      <c r="D6513" s="1736"/>
      <c r="E6513" s="1043">
        <v>86</v>
      </c>
      <c r="F6513" s="1043"/>
      <c r="G6513" s="1550"/>
    </row>
    <row r="6514" spans="1:7" ht="12.75" customHeight="1">
      <c r="A6514" s="1754">
        <v>44556</v>
      </c>
      <c r="B6514" s="125" t="str">
        <f>TiposLancamentos!B22</f>
        <v>Combustivel</v>
      </c>
      <c r="C6514" s="1040" t="s">
        <v>8407</v>
      </c>
      <c r="D6514" s="1736"/>
      <c r="E6514" s="1043">
        <v>224.93</v>
      </c>
      <c r="F6514" s="1043"/>
      <c r="G6514" s="1550"/>
    </row>
    <row r="6515" spans="1:7" ht="12.75" customHeight="1">
      <c r="A6515" s="1754">
        <v>44556</v>
      </c>
      <c r="B6515" s="125" t="str">
        <f>TiposLancamentos!B19</f>
        <v>Restaurantes</v>
      </c>
      <c r="C6515" s="1040" t="s">
        <v>8408</v>
      </c>
      <c r="D6515" s="1736"/>
      <c r="E6515" s="1043">
        <v>38.200000000000003</v>
      </c>
      <c r="F6515" s="1043"/>
      <c r="G6515" s="1550"/>
    </row>
    <row r="6516" spans="1:7" ht="12.75" customHeight="1">
      <c r="A6516" s="1754">
        <v>44558</v>
      </c>
      <c r="B6516" s="125" t="str">
        <f>TiposLancamentos!B14</f>
        <v>Gás de cozinha</v>
      </c>
      <c r="C6516" s="1040" t="s">
        <v>8409</v>
      </c>
      <c r="D6516" s="1736"/>
      <c r="E6516" s="1043">
        <v>36.24</v>
      </c>
      <c r="F6516" s="1043"/>
      <c r="G6516" s="1550"/>
    </row>
    <row r="6517" spans="1:7" ht="12.75" customHeight="1">
      <c r="A6517" s="1754">
        <v>44558</v>
      </c>
      <c r="B6517" s="125" t="str">
        <f>TiposLancamentos!B19</f>
        <v>Restaurantes</v>
      </c>
      <c r="C6517" s="1040" t="s">
        <v>8410</v>
      </c>
      <c r="D6517" s="1736"/>
      <c r="E6517" s="1043">
        <v>33</v>
      </c>
      <c r="F6517" s="1043"/>
      <c r="G6517" s="1550"/>
    </row>
    <row r="6518" spans="1:7" ht="12.75" customHeight="1">
      <c r="A6518" s="1754">
        <v>44559</v>
      </c>
      <c r="B6518" s="125" t="str">
        <f>TiposLancamentos!B16</f>
        <v>Cristiane</v>
      </c>
      <c r="C6518" s="1040" t="s">
        <v>8411</v>
      </c>
      <c r="D6518" s="1736"/>
      <c r="E6518" s="1043">
        <v>49.4</v>
      </c>
      <c r="F6518" s="1043"/>
      <c r="G6518" s="1550"/>
    </row>
    <row r="6519" spans="1:7" ht="12.75" customHeight="1">
      <c r="A6519" s="1754">
        <v>44559</v>
      </c>
      <c r="B6519" s="125" t="str">
        <f>TiposLancamentos!B13</f>
        <v>Moradia</v>
      </c>
      <c r="C6519" s="1040" t="s">
        <v>7866</v>
      </c>
      <c r="D6519" s="1736"/>
      <c r="E6519" s="1043">
        <v>18</v>
      </c>
      <c r="F6519" s="1043"/>
      <c r="G6519" s="1550"/>
    </row>
    <row r="6520" spans="1:7" ht="12.75" customHeight="1">
      <c r="A6520" s="1754">
        <v>44559</v>
      </c>
      <c r="B6520" s="125" t="str">
        <f>TiposLancamentos!B19</f>
        <v>Restaurantes</v>
      </c>
      <c r="C6520" s="1040" t="s">
        <v>8412</v>
      </c>
      <c r="D6520" s="1736"/>
      <c r="E6520" s="1043">
        <v>48</v>
      </c>
      <c r="F6520" s="1043"/>
      <c r="G6520" s="1550"/>
    </row>
    <row r="6521" spans="1:7" ht="12.75" customHeight="1">
      <c r="A6521" s="1754">
        <v>44559</v>
      </c>
      <c r="B6521" s="125" t="str">
        <f>TiposLancamentos!B5</f>
        <v>Supermercado</v>
      </c>
      <c r="C6521" s="1040" t="s">
        <v>8413</v>
      </c>
      <c r="D6521" s="1736"/>
      <c r="E6521" s="1043">
        <v>67.78</v>
      </c>
      <c r="F6521" s="1043"/>
      <c r="G6521" s="1550"/>
    </row>
    <row r="6522" spans="1:7" ht="12.75" customHeight="1">
      <c r="A6522" s="1754">
        <v>44560</v>
      </c>
      <c r="B6522" s="125" t="str">
        <f>TiposLancamentos!B16</f>
        <v>Cristiane</v>
      </c>
      <c r="C6522" s="1040" t="s">
        <v>8414</v>
      </c>
      <c r="D6522" s="1736"/>
      <c r="E6522" s="1043">
        <v>30.15</v>
      </c>
      <c r="F6522" s="1043"/>
      <c r="G6522" s="1550"/>
    </row>
    <row r="6523" spans="1:7" ht="12.75" customHeight="1">
      <c r="A6523" s="1754">
        <v>44560</v>
      </c>
      <c r="B6523" s="125" t="str">
        <f>TiposLancamentos!B95</f>
        <v>Salarios</v>
      </c>
      <c r="C6523" s="1040" t="s">
        <v>8064</v>
      </c>
      <c r="D6523" s="1736">
        <v>3607.21</v>
      </c>
      <c r="E6523" s="1043"/>
      <c r="F6523" s="1043"/>
      <c r="G6523" s="1550"/>
    </row>
    <row r="6524" spans="1:7" ht="12.75" customHeight="1">
      <c r="A6524" s="1754">
        <v>44561</v>
      </c>
      <c r="B6524" s="125" t="str">
        <f>B6518</f>
        <v>Cristiane</v>
      </c>
      <c r="C6524" s="1040" t="s">
        <v>8415</v>
      </c>
      <c r="D6524" s="1736"/>
      <c r="E6524" s="1043">
        <v>59.81</v>
      </c>
      <c r="F6524" s="1043"/>
      <c r="G6524" s="1550"/>
    </row>
    <row r="6525" spans="1:7" ht="12.75" customHeight="1">
      <c r="A6525" s="1754">
        <v>44561</v>
      </c>
      <c r="B6525" s="125" t="str">
        <f>TiposLancamentos!B5</f>
        <v>Supermercado</v>
      </c>
      <c r="C6525" s="1040" t="s">
        <v>8416</v>
      </c>
      <c r="D6525" s="1736"/>
      <c r="E6525" s="1043">
        <v>46.75</v>
      </c>
      <c r="F6525" s="1043"/>
      <c r="G6525" s="1550"/>
    </row>
    <row r="6526" spans="1:7" ht="12.75" customHeight="1" thickBot="1">
      <c r="A6526" s="1754">
        <v>44561</v>
      </c>
      <c r="B6526" s="125" t="str">
        <f>B6520</f>
        <v>Restaurantes</v>
      </c>
      <c r="C6526" s="1040" t="s">
        <v>8417</v>
      </c>
      <c r="D6526" s="1736"/>
      <c r="E6526" s="1043">
        <v>5.5</v>
      </c>
      <c r="F6526" s="1043"/>
      <c r="G6526" s="1550"/>
    </row>
    <row r="6527" spans="1:7" ht="12.75" customHeight="1">
      <c r="A6527" s="1834"/>
      <c r="B6527" s="977"/>
      <c r="C6527" s="1854" t="s">
        <v>1606</v>
      </c>
      <c r="D6527" s="1823"/>
      <c r="E6527" s="1821"/>
      <c r="F6527" s="1821"/>
      <c r="G6527" s="1895"/>
    </row>
    <row r="6528" spans="1:7" ht="12.75" customHeight="1">
      <c r="A6528" s="1754">
        <v>44563</v>
      </c>
      <c r="B6528" s="125" t="str">
        <f>TiposLancamentos!B5</f>
        <v>Supermercado</v>
      </c>
      <c r="C6528" s="1040" t="s">
        <v>8418</v>
      </c>
      <c r="D6528" s="1736"/>
      <c r="E6528" s="1043">
        <v>40.590000000000003</v>
      </c>
      <c r="F6528" s="1043"/>
      <c r="G6528" s="1550"/>
    </row>
    <row r="6529" spans="1:7" ht="12.75" customHeight="1">
      <c r="A6529" s="1754">
        <v>44563</v>
      </c>
      <c r="B6529" s="125" t="str">
        <f>TiposLancamentos!B5</f>
        <v>Supermercado</v>
      </c>
      <c r="C6529" s="1040" t="s">
        <v>8419</v>
      </c>
      <c r="D6529" s="1736"/>
      <c r="E6529" s="1043">
        <v>12.85</v>
      </c>
      <c r="F6529" s="1043"/>
      <c r="G6529" s="1550"/>
    </row>
    <row r="6530" spans="1:7" ht="12.75" customHeight="1">
      <c r="A6530" s="1754">
        <v>44563</v>
      </c>
      <c r="B6530" s="125" t="str">
        <f>TiposLancamentos!B22</f>
        <v>Combustivel</v>
      </c>
      <c r="C6530" s="1040" t="s">
        <v>8420</v>
      </c>
      <c r="D6530" s="1736"/>
      <c r="E6530" s="1043">
        <v>299.49</v>
      </c>
      <c r="F6530" s="1043"/>
      <c r="G6530" s="1550"/>
    </row>
    <row r="6531" spans="1:7" ht="12.75" customHeight="1">
      <c r="A6531" s="1754">
        <v>44564</v>
      </c>
      <c r="B6531" s="125" t="str">
        <f>TiposLancamentos!B15</f>
        <v>Cartões de Crédito</v>
      </c>
      <c r="C6531" s="1040" t="s">
        <v>7781</v>
      </c>
      <c r="D6531" s="1736"/>
      <c r="E6531" s="1043">
        <v>1966.78</v>
      </c>
      <c r="F6531" s="1043"/>
      <c r="G6531" s="1550"/>
    </row>
    <row r="6532" spans="1:7" ht="12.75" customHeight="1">
      <c r="A6532" s="1754">
        <v>44564</v>
      </c>
      <c r="B6532" s="125" t="str">
        <f>TiposLancamentos!B15</f>
        <v>Cartões de Crédito</v>
      </c>
      <c r="C6532" s="1040" t="s">
        <v>8016</v>
      </c>
      <c r="D6532" s="1736"/>
      <c r="E6532" s="1043">
        <v>440.6</v>
      </c>
      <c r="F6532" s="1043"/>
      <c r="G6532" s="1550"/>
    </row>
    <row r="6533" spans="1:7" ht="12.75" customHeight="1">
      <c r="A6533" s="1754">
        <v>44564</v>
      </c>
      <c r="B6533" s="125" t="str">
        <f>TiposLancamentos!B15</f>
        <v>Cartões de Crédito</v>
      </c>
      <c r="C6533" s="1040" t="s">
        <v>8252</v>
      </c>
      <c r="D6533" s="1736"/>
      <c r="E6533" s="1043">
        <v>76.75</v>
      </c>
      <c r="F6533" s="1043"/>
      <c r="G6533" s="1550"/>
    </row>
    <row r="6534" spans="1:7" ht="12.75" customHeight="1">
      <c r="A6534" s="1754">
        <v>44564</v>
      </c>
      <c r="B6534" s="125" t="str">
        <f>TiposLancamentos!B17</f>
        <v>GATO</v>
      </c>
      <c r="C6534" s="1040" t="s">
        <v>8421</v>
      </c>
      <c r="D6534" s="1736"/>
      <c r="E6534" s="1043">
        <v>120</v>
      </c>
      <c r="F6534" s="1043"/>
      <c r="G6534" s="1550"/>
    </row>
    <row r="6535" spans="1:7" ht="12.75" customHeight="1">
      <c r="A6535" s="1754">
        <v>44564</v>
      </c>
      <c r="B6535" s="125" t="str">
        <f>TiposLancamentos!B56</f>
        <v>Farmácia</v>
      </c>
      <c r="C6535" s="1040" t="s">
        <v>8422</v>
      </c>
      <c r="D6535" s="1736"/>
      <c r="E6535" s="1043">
        <v>32.83</v>
      </c>
      <c r="F6535" s="1043"/>
      <c r="G6535" s="1550"/>
    </row>
    <row r="6536" spans="1:7" ht="12.75" customHeight="1">
      <c r="A6536" s="1754">
        <v>44565</v>
      </c>
      <c r="B6536" s="125" t="str">
        <f>TiposLancamentos!B4</f>
        <v>Taxas Bancarias</v>
      </c>
      <c r="C6536" s="1040" t="s">
        <v>5707</v>
      </c>
      <c r="D6536" s="1736"/>
      <c r="E6536" s="1043">
        <v>228.64</v>
      </c>
      <c r="F6536" s="1043"/>
      <c r="G6536" s="1550"/>
    </row>
    <row r="6537" spans="1:7" ht="12.75" customHeight="1">
      <c r="A6537" s="1754">
        <v>44565</v>
      </c>
      <c r="B6537" s="125" t="str">
        <f>TiposLancamentos!B4</f>
        <v>Taxas Bancarias</v>
      </c>
      <c r="C6537" s="1040" t="s">
        <v>4858</v>
      </c>
      <c r="D6537" s="1736"/>
      <c r="E6537" s="1043">
        <v>34.24</v>
      </c>
      <c r="F6537" s="1043"/>
      <c r="G6537" s="1550"/>
    </row>
    <row r="6538" spans="1:7" ht="12.75" customHeight="1">
      <c r="A6538" s="1754">
        <v>44565</v>
      </c>
      <c r="B6538" s="125" t="str">
        <f>TiposLancamentos!B4</f>
        <v>Taxas Bancarias</v>
      </c>
      <c r="C6538" s="1040" t="s">
        <v>7681</v>
      </c>
      <c r="D6538" s="1736"/>
      <c r="E6538" s="1043">
        <v>5.7</v>
      </c>
      <c r="F6538" s="1043"/>
      <c r="G6538" s="1550"/>
    </row>
    <row r="6539" spans="1:7" ht="12.75" customHeight="1">
      <c r="A6539" s="1754">
        <v>44569</v>
      </c>
      <c r="B6539" s="125" t="str">
        <f>TiposLancamentos!B19</f>
        <v>Restaurantes</v>
      </c>
      <c r="C6539" s="1040" t="s">
        <v>8423</v>
      </c>
      <c r="D6539" s="1736"/>
      <c r="E6539" s="1043">
        <v>35</v>
      </c>
      <c r="F6539" s="1043"/>
      <c r="G6539" s="1550"/>
    </row>
    <row r="6540" spans="1:7" ht="12.75" customHeight="1">
      <c r="A6540" s="1754">
        <v>44570</v>
      </c>
      <c r="B6540" s="125" t="str">
        <f>TiposLancamentos!B19</f>
        <v>Restaurantes</v>
      </c>
      <c r="C6540" s="1040" t="s">
        <v>8424</v>
      </c>
      <c r="D6540" s="1736"/>
      <c r="E6540" s="1043">
        <v>172.14</v>
      </c>
      <c r="F6540" s="1043"/>
      <c r="G6540" s="1550"/>
    </row>
    <row r="6541" spans="1:7" ht="12.75" customHeight="1">
      <c r="A6541" s="1754">
        <v>44570</v>
      </c>
      <c r="B6541" s="125" t="str">
        <f>TiposLancamentos!B19</f>
        <v>Restaurantes</v>
      </c>
      <c r="C6541" s="1040" t="s">
        <v>8425</v>
      </c>
      <c r="D6541" s="1736"/>
      <c r="E6541" s="1043">
        <v>36</v>
      </c>
      <c r="F6541" s="1043"/>
      <c r="G6541" s="1550"/>
    </row>
    <row r="6542" spans="1:7" ht="12.75" customHeight="1">
      <c r="A6542" s="1754">
        <v>44570</v>
      </c>
      <c r="B6542" s="125" t="str">
        <f>TiposLancamentos!B5</f>
        <v>Supermercado</v>
      </c>
      <c r="C6542" s="1040" t="s">
        <v>8210</v>
      </c>
      <c r="D6542" s="1736"/>
      <c r="E6542" s="1043">
        <v>90.35</v>
      </c>
      <c r="F6542" s="1043"/>
      <c r="G6542" s="1550"/>
    </row>
    <row r="6543" spans="1:7" ht="12.75" customHeight="1">
      <c r="A6543" s="1754">
        <v>44571</v>
      </c>
      <c r="B6543" s="125" t="str">
        <f>B6542</f>
        <v>Supermercado</v>
      </c>
      <c r="C6543" s="1040" t="s">
        <v>8426</v>
      </c>
      <c r="D6543" s="1736"/>
      <c r="E6543" s="1043">
        <v>74.12</v>
      </c>
      <c r="F6543" s="1043"/>
      <c r="G6543" s="1550"/>
    </row>
    <row r="6544" spans="1:7" ht="12.75" customHeight="1">
      <c r="A6544" s="1754">
        <v>44574</v>
      </c>
      <c r="B6544" s="125" t="str">
        <f>TiposLancamentos!B67</f>
        <v>Lavanderia</v>
      </c>
      <c r="C6544" s="1040" t="s">
        <v>8427</v>
      </c>
      <c r="D6544" s="1736"/>
      <c r="E6544" s="1043">
        <v>74</v>
      </c>
      <c r="F6544" s="1043"/>
      <c r="G6544" s="1550"/>
    </row>
    <row r="6545" spans="1:7" ht="12.75" customHeight="1">
      <c r="A6545" s="1754">
        <v>44574</v>
      </c>
      <c r="B6545" s="125" t="str">
        <f>TiposLancamentos!B5</f>
        <v>Supermercado</v>
      </c>
      <c r="C6545" s="1040" t="s">
        <v>8428</v>
      </c>
      <c r="D6545" s="1736"/>
      <c r="E6545" s="1043">
        <v>32.700000000000003</v>
      </c>
      <c r="F6545" s="1043"/>
      <c r="G6545" s="1550"/>
    </row>
    <row r="6546" spans="1:7" ht="12.75" customHeight="1">
      <c r="A6546" s="1754">
        <v>44574</v>
      </c>
      <c r="B6546" s="125" t="str">
        <f>TiposLancamentos!B56</f>
        <v>Farmácia</v>
      </c>
      <c r="C6546" s="1040" t="s">
        <v>8429</v>
      </c>
      <c r="D6546" s="1736"/>
      <c r="E6546" s="1043">
        <v>1.68</v>
      </c>
      <c r="F6546" s="1043"/>
      <c r="G6546" s="1550"/>
    </row>
    <row r="6547" spans="1:7" ht="12.75" customHeight="1">
      <c r="A6547" s="1754">
        <v>44574</v>
      </c>
      <c r="B6547" s="125" t="str">
        <f>TiposLancamentos!B56</f>
        <v>Farmácia</v>
      </c>
      <c r="C6547" s="1040" t="s">
        <v>7577</v>
      </c>
      <c r="D6547" s="1736"/>
      <c r="E6547" s="1043">
        <v>15.69</v>
      </c>
      <c r="F6547" s="1043"/>
      <c r="G6547" s="1550"/>
    </row>
    <row r="6548" spans="1:7" ht="12.75" customHeight="1">
      <c r="A6548" s="1754">
        <v>44575</v>
      </c>
      <c r="B6548" s="125" t="str">
        <f>TiposLancamentos!B13</f>
        <v>Moradia</v>
      </c>
      <c r="C6548" s="1040" t="s">
        <v>8430</v>
      </c>
      <c r="D6548" s="1736"/>
      <c r="E6548" s="1043">
        <v>13</v>
      </c>
      <c r="F6548" s="1043"/>
      <c r="G6548" s="1550"/>
    </row>
    <row r="6549" spans="1:7" ht="12.75" customHeight="1">
      <c r="A6549" s="1754">
        <v>44575</v>
      </c>
      <c r="B6549" s="125" t="str">
        <f>TiposLancamentos!B95</f>
        <v>Salarios</v>
      </c>
      <c r="C6549" s="1040" t="s">
        <v>8078</v>
      </c>
      <c r="D6549" s="1736">
        <v>4720</v>
      </c>
      <c r="E6549" s="1043"/>
      <c r="F6549" s="1043"/>
      <c r="G6549" s="1550"/>
    </row>
    <row r="6550" spans="1:7" ht="12.75" customHeight="1">
      <c r="A6550" s="1754">
        <v>44576</v>
      </c>
      <c r="B6550" s="125" t="str">
        <f>TiposLancamentos!B17</f>
        <v>GATO</v>
      </c>
      <c r="C6550" s="1040" t="s">
        <v>1925</v>
      </c>
      <c r="D6550" s="1736"/>
      <c r="E6550" s="1043">
        <v>30.6</v>
      </c>
      <c r="F6550" s="1043"/>
      <c r="G6550" s="1550"/>
    </row>
    <row r="6551" spans="1:7" ht="12.75" customHeight="1">
      <c r="A6551" s="1754">
        <v>44576</v>
      </c>
      <c r="B6551" s="125" t="str">
        <f>TiposLancamentos!B19</f>
        <v>Restaurantes</v>
      </c>
      <c r="C6551" s="1040" t="s">
        <v>8431</v>
      </c>
      <c r="D6551" s="1736"/>
      <c r="E6551" s="1043">
        <v>137.94</v>
      </c>
      <c r="F6551" s="1043"/>
      <c r="G6551" s="1550"/>
    </row>
    <row r="6552" spans="1:7" ht="12.75" customHeight="1">
      <c r="A6552" s="1754">
        <v>44576</v>
      </c>
      <c r="B6552" s="125" t="str">
        <f>TiposLancamentos!B19</f>
        <v>Restaurantes</v>
      </c>
      <c r="C6552" s="1040" t="s">
        <v>8432</v>
      </c>
      <c r="D6552" s="1736"/>
      <c r="E6552" s="1043">
        <v>25.61</v>
      </c>
      <c r="F6552" s="1043"/>
      <c r="G6552" s="1550"/>
    </row>
    <row r="6553" spans="1:7" ht="12.75" customHeight="1">
      <c r="A6553" s="1754">
        <v>44576</v>
      </c>
      <c r="B6553" s="125" t="str">
        <f>TiposLancamentos!B24</f>
        <v>Estacionamentos</v>
      </c>
      <c r="C6553" s="1040" t="s">
        <v>3253</v>
      </c>
      <c r="D6553" s="1736"/>
      <c r="E6553" s="1043">
        <v>13</v>
      </c>
      <c r="F6553" s="1043"/>
      <c r="G6553" s="1550"/>
    </row>
    <row r="6554" spans="1:7" ht="12.75" customHeight="1">
      <c r="A6554" s="1754">
        <v>44577</v>
      </c>
      <c r="B6554" s="125" t="str">
        <f>TiposLancamentos!B19</f>
        <v>Restaurantes</v>
      </c>
      <c r="C6554" s="1040" t="s">
        <v>8433</v>
      </c>
      <c r="D6554" s="1736"/>
      <c r="E6554" s="1043">
        <v>153.44999999999999</v>
      </c>
      <c r="F6554" s="1043"/>
      <c r="G6554" s="1550"/>
    </row>
    <row r="6555" spans="1:7" ht="12.75" customHeight="1">
      <c r="A6555" s="1666">
        <v>44577</v>
      </c>
      <c r="B6555" s="817" t="str">
        <f>TiposLancamentos!B28</f>
        <v>ComicBook</v>
      </c>
      <c r="C6555" s="1742" t="s">
        <v>8434</v>
      </c>
      <c r="D6555" s="1735"/>
      <c r="E6555" s="1733">
        <v>52.9</v>
      </c>
      <c r="F6555" s="1663"/>
      <c r="G6555" s="1550"/>
    </row>
    <row r="6556" spans="1:7" ht="12.75" customHeight="1">
      <c r="A6556" s="1750">
        <v>44577</v>
      </c>
      <c r="B6556" s="818" t="str">
        <f>TiposLancamentos!B28</f>
        <v>ComicBook</v>
      </c>
      <c r="C6556" s="1743" t="s">
        <v>8435</v>
      </c>
      <c r="D6556" s="1737"/>
      <c r="E6556" s="1668">
        <f>F6556-E6555</f>
        <v>62.9</v>
      </c>
      <c r="F6556" s="1347">
        <v>115.8</v>
      </c>
      <c r="G6556" s="1550"/>
    </row>
    <row r="6557" spans="1:7" ht="12.75" customHeight="1">
      <c r="A6557" s="1754">
        <v>44577</v>
      </c>
      <c r="B6557" s="125"/>
      <c r="C6557" s="1040" t="s">
        <v>1868</v>
      </c>
      <c r="D6557" s="1736">
        <v>0</v>
      </c>
      <c r="E6557" s="1043">
        <v>0</v>
      </c>
      <c r="F6557" s="1043"/>
      <c r="G6557" s="1550"/>
    </row>
    <row r="6558" spans="1:7" ht="12.75" customHeight="1">
      <c r="A6558" s="1666">
        <v>44576</v>
      </c>
      <c r="B6558" s="817" t="str">
        <f>TiposLancamentos!B33</f>
        <v>Pedágios</v>
      </c>
      <c r="C6558" s="1742" t="s">
        <v>5392</v>
      </c>
      <c r="D6558" s="1735"/>
      <c r="E6558" s="1733">
        <f>F6560-(E6559+E6560)</f>
        <v>300.77999999999997</v>
      </c>
      <c r="F6558" s="1290"/>
      <c r="G6558" s="1550"/>
    </row>
    <row r="6559" spans="1:7" ht="12.75" customHeight="1">
      <c r="A6559" s="1667">
        <v>44576</v>
      </c>
      <c r="B6559" s="816" t="str">
        <f>TiposLancamentos!B24</f>
        <v>Estacionamentos</v>
      </c>
      <c r="C6559" s="1769" t="s">
        <v>7366</v>
      </c>
      <c r="D6559" s="1736"/>
      <c r="E6559" s="1734">
        <v>0</v>
      </c>
      <c r="F6559" s="1043"/>
      <c r="G6559" s="1550"/>
    </row>
    <row r="6560" spans="1:7" ht="12.75" customHeight="1">
      <c r="A6560" s="1750">
        <v>44576</v>
      </c>
      <c r="B6560" s="818" t="str">
        <f>TiposLancamentos!B24</f>
        <v>Estacionamentos</v>
      </c>
      <c r="C6560" s="1743" t="s">
        <v>6297</v>
      </c>
      <c r="D6560" s="1737"/>
      <c r="E6560" s="1668">
        <v>0</v>
      </c>
      <c r="F6560" s="1347">
        <v>300.77999999999997</v>
      </c>
      <c r="G6560" s="1550"/>
    </row>
    <row r="6561" spans="1:7" ht="12.75" customHeight="1">
      <c r="A6561" s="1754">
        <v>44576</v>
      </c>
      <c r="B6561" s="125"/>
      <c r="C6561" s="1040" t="s">
        <v>7341</v>
      </c>
      <c r="D6561" s="1736">
        <v>0</v>
      </c>
      <c r="E6561" s="1043"/>
      <c r="F6561" s="1043"/>
      <c r="G6561" s="1550"/>
    </row>
    <row r="6562" spans="1:7" ht="12.75" customHeight="1">
      <c r="A6562" s="1666">
        <v>44576</v>
      </c>
      <c r="B6562" s="817" t="str">
        <f>TiposLancamentos!B35</f>
        <v>Tv à Cabo</v>
      </c>
      <c r="C6562" s="1742" t="s">
        <v>5834</v>
      </c>
      <c r="D6562" s="1735"/>
      <c r="E6562" s="1733">
        <f>F6564-(E6563+E6564)</f>
        <v>136.28999999999996</v>
      </c>
      <c r="F6562" s="1290"/>
      <c r="G6562" s="1550"/>
    </row>
    <row r="6563" spans="1:7" ht="12.75" customHeight="1">
      <c r="A6563" s="1667">
        <v>44576</v>
      </c>
      <c r="B6563" s="816" t="str">
        <f>TiposLancamentos!B3</f>
        <v>Internet</v>
      </c>
      <c r="C6563" s="1769" t="s">
        <v>5835</v>
      </c>
      <c r="D6563" s="1736"/>
      <c r="E6563" s="1734">
        <v>134.99</v>
      </c>
      <c r="F6563" s="1043"/>
      <c r="G6563" s="1550"/>
    </row>
    <row r="6564" spans="1:7" ht="12.75" customHeight="1">
      <c r="A6564" s="1750">
        <v>44576</v>
      </c>
      <c r="B6564" s="818" t="str">
        <f>TiposLancamentos!B2</f>
        <v>Telefonia</v>
      </c>
      <c r="C6564" s="1743" t="s">
        <v>7210</v>
      </c>
      <c r="D6564" s="1737"/>
      <c r="E6564" s="1668">
        <v>0</v>
      </c>
      <c r="F6564" s="1291">
        <v>271.27999999999997</v>
      </c>
      <c r="G6564" s="1550"/>
    </row>
    <row r="6565" spans="1:7" ht="12.75" customHeight="1">
      <c r="A6565" s="1754">
        <v>44577</v>
      </c>
      <c r="B6565" s="125" t="str">
        <f>TiposLancamentos!B46</f>
        <v>Maçonaria</v>
      </c>
      <c r="C6565" s="1040" t="s">
        <v>8436</v>
      </c>
      <c r="D6565" s="1736"/>
      <c r="E6565" s="1043">
        <v>200</v>
      </c>
      <c r="F6565" s="1043"/>
      <c r="G6565" s="1550"/>
    </row>
    <row r="6566" spans="1:7" ht="12.75" customHeight="1">
      <c r="A6566" s="1754">
        <v>44578</v>
      </c>
      <c r="B6566" s="125" t="str">
        <f>TiposLancamentos!B2</f>
        <v>Telefonia</v>
      </c>
      <c r="C6566" s="1040" t="s">
        <v>8237</v>
      </c>
      <c r="D6566" s="1736"/>
      <c r="E6566" s="1043">
        <v>55.99</v>
      </c>
      <c r="F6566" s="1043"/>
      <c r="G6566" s="1550"/>
    </row>
    <row r="6567" spans="1:7" ht="12.75" customHeight="1">
      <c r="A6567" s="1754">
        <v>44579</v>
      </c>
      <c r="B6567" s="125" t="str">
        <f>TiposLancamentos!B5</f>
        <v>Supermercado</v>
      </c>
      <c r="C6567" s="1040" t="s">
        <v>1884</v>
      </c>
      <c r="D6567" s="1736"/>
      <c r="E6567" s="1043">
        <v>8.9</v>
      </c>
      <c r="F6567" s="1043"/>
      <c r="G6567" s="1550"/>
    </row>
    <row r="6568" spans="1:7" ht="12.75" customHeight="1">
      <c r="A6568" s="1754">
        <v>44579</v>
      </c>
      <c r="B6568" s="125" t="str">
        <f>TiposLancamentos!B19</f>
        <v>Restaurantes</v>
      </c>
      <c r="C6568" s="1040" t="s">
        <v>8437</v>
      </c>
      <c r="D6568" s="1736"/>
      <c r="E6568" s="1043">
        <v>82.56</v>
      </c>
      <c r="F6568" s="1043"/>
      <c r="G6568" s="1550"/>
    </row>
    <row r="6569" spans="1:7" ht="12.75" customHeight="1">
      <c r="A6569" s="1754">
        <v>44579</v>
      </c>
      <c r="B6569" s="125" t="str">
        <f>TiposLancamentos!B77</f>
        <v>Esporádico</v>
      </c>
      <c r="C6569" s="1040" t="s">
        <v>8438</v>
      </c>
      <c r="D6569" s="1736"/>
      <c r="E6569" s="1043">
        <v>1</v>
      </c>
      <c r="F6569" s="1043"/>
      <c r="G6569" s="1550"/>
    </row>
    <row r="6570" spans="1:7" ht="12.75" customHeight="1">
      <c r="A6570" s="1754">
        <v>44579</v>
      </c>
      <c r="B6570" s="125" t="str">
        <f>TiposLancamentos!B19</f>
        <v>Restaurantes</v>
      </c>
      <c r="C6570" s="1040" t="s">
        <v>8439</v>
      </c>
      <c r="D6570" s="1736"/>
      <c r="E6570" s="1043">
        <v>36</v>
      </c>
      <c r="F6570" s="1043"/>
      <c r="G6570" s="1550"/>
    </row>
    <row r="6571" spans="1:7" ht="12.75" customHeight="1">
      <c r="A6571" s="1754">
        <v>44580</v>
      </c>
      <c r="B6571" s="125" t="str">
        <f>TiposLancamentos!B56</f>
        <v>Farmácia</v>
      </c>
      <c r="C6571" s="1040" t="s">
        <v>8440</v>
      </c>
      <c r="D6571" s="1736"/>
      <c r="E6571" s="1043">
        <v>35.44</v>
      </c>
      <c r="F6571" s="1043"/>
      <c r="G6571" s="1550"/>
    </row>
    <row r="6572" spans="1:7" ht="12.75" customHeight="1">
      <c r="A6572" s="1754">
        <v>44580</v>
      </c>
      <c r="B6572" s="125" t="str">
        <f>TiposLancamentos!B5</f>
        <v>Supermercado</v>
      </c>
      <c r="C6572" s="1040" t="s">
        <v>7538</v>
      </c>
      <c r="D6572" s="1736"/>
      <c r="E6572" s="1043">
        <v>65.02</v>
      </c>
      <c r="F6572" s="1043"/>
      <c r="G6572" s="1550"/>
    </row>
    <row r="6573" spans="1:7" ht="12.75" customHeight="1">
      <c r="A6573" s="1754">
        <v>44580</v>
      </c>
      <c r="B6573" s="125" t="str">
        <f>TiposLancamentos!B19</f>
        <v>Restaurantes</v>
      </c>
      <c r="C6573" s="1040" t="s">
        <v>8441</v>
      </c>
      <c r="D6573" s="1736"/>
      <c r="E6573" s="1043">
        <v>40</v>
      </c>
      <c r="F6573" s="1043"/>
      <c r="G6573" s="1550"/>
    </row>
    <row r="6574" spans="1:7" ht="12.75" customHeight="1">
      <c r="A6574" s="1666">
        <v>44581</v>
      </c>
      <c r="B6574" s="817" t="str">
        <f>TiposLancamentos!B8</f>
        <v>Aluguel</v>
      </c>
      <c r="C6574" s="1742" t="s">
        <v>8442</v>
      </c>
      <c r="D6574" s="1735"/>
      <c r="E6574" s="1733">
        <f>F6579-(E6575+E6579+E6576+E6577+E6578)</f>
        <v>1400</v>
      </c>
      <c r="F6574" s="1346"/>
      <c r="G6574" s="1550"/>
    </row>
    <row r="6575" spans="1:7" ht="12.75" customHeight="1">
      <c r="A6575" s="1667">
        <v>44581</v>
      </c>
      <c r="B6575" s="816" t="str">
        <f>TiposLancamentos!B12</f>
        <v>IPTU</v>
      </c>
      <c r="C6575" s="1769" t="s">
        <v>8443</v>
      </c>
      <c r="D6575" s="1736"/>
      <c r="E6575" s="1734">
        <v>34.5</v>
      </c>
      <c r="F6575" s="1043"/>
      <c r="G6575" s="1550"/>
    </row>
    <row r="6576" spans="1:7" ht="12.75" customHeight="1">
      <c r="A6576" s="1667">
        <v>44581</v>
      </c>
      <c r="B6576" s="816" t="str">
        <f>TiposLancamentos!B10</f>
        <v>Distr. Água Municipal</v>
      </c>
      <c r="C6576" s="1769" t="s">
        <v>7423</v>
      </c>
      <c r="D6576" s="1736"/>
      <c r="E6576" s="1734">
        <v>80.88</v>
      </c>
      <c r="F6576" s="1043"/>
      <c r="G6576" s="1550"/>
    </row>
    <row r="6577" spans="1:7" ht="12.75" customHeight="1">
      <c r="A6577" s="1667">
        <v>44581</v>
      </c>
      <c r="B6577" s="816" t="str">
        <f>TiposLancamentos!B11</f>
        <v>Coleta Municipal Lixo</v>
      </c>
      <c r="C6577" s="1769" t="s">
        <v>7424</v>
      </c>
      <c r="D6577" s="1736"/>
      <c r="E6577" s="1734">
        <v>44.36</v>
      </c>
      <c r="F6577" s="1043"/>
      <c r="G6577" s="1550"/>
    </row>
    <row r="6578" spans="1:7" ht="12.75" customHeight="1">
      <c r="A6578" s="1667">
        <v>44581</v>
      </c>
      <c r="B6578" s="816" t="str">
        <f>TiposLancamentos!B8</f>
        <v>Aluguel</v>
      </c>
      <c r="C6578" s="1769" t="s">
        <v>7425</v>
      </c>
      <c r="D6578" s="1736"/>
      <c r="E6578" s="1734">
        <v>8</v>
      </c>
      <c r="F6578" s="1043"/>
      <c r="G6578" s="1550"/>
    </row>
    <row r="6579" spans="1:7" ht="12.75" customHeight="1">
      <c r="A6579" s="1750">
        <v>44581</v>
      </c>
      <c r="B6579" s="818" t="str">
        <f>TiposLancamentos!B9</f>
        <v>Condominio</v>
      </c>
      <c r="C6579" s="1743" t="s">
        <v>7427</v>
      </c>
      <c r="D6579" s="1737"/>
      <c r="E6579" s="1668">
        <v>616.37</v>
      </c>
      <c r="F6579" s="1291">
        <v>2184.11</v>
      </c>
      <c r="G6579" s="1550"/>
    </row>
    <row r="6580" spans="1:7" ht="12.75" customHeight="1">
      <c r="A6580" s="1754">
        <v>44581</v>
      </c>
      <c r="B6580" s="125" t="str">
        <f>TiposLancamentos!B5</f>
        <v>Supermercado</v>
      </c>
      <c r="C6580" s="1040" t="s">
        <v>8444</v>
      </c>
      <c r="D6580" s="1736"/>
      <c r="E6580" s="1043">
        <v>390.6</v>
      </c>
      <c r="F6580" s="1043"/>
      <c r="G6580" s="1550"/>
    </row>
    <row r="6581" spans="1:7" ht="12.75" customHeight="1">
      <c r="A6581" s="1754">
        <v>44582</v>
      </c>
      <c r="B6581" s="125" t="str">
        <f>TiposLancamentos!B6</f>
        <v>Energia Eletrica</v>
      </c>
      <c r="C6581" s="1040" t="s">
        <v>8445</v>
      </c>
      <c r="D6581" s="1736"/>
      <c r="E6581" s="1043">
        <v>244.89</v>
      </c>
      <c r="F6581" s="1043"/>
      <c r="G6581" s="1550"/>
    </row>
    <row r="6582" spans="1:7" ht="12.75" customHeight="1">
      <c r="A6582" s="1754">
        <v>44582</v>
      </c>
      <c r="B6582" s="125" t="str">
        <f xml:space="preserve"> TiposLancamentos!B13</f>
        <v>Moradia</v>
      </c>
      <c r="C6582" s="1040" t="s">
        <v>3682</v>
      </c>
      <c r="D6582" s="1736"/>
      <c r="E6582" s="1043">
        <v>13</v>
      </c>
      <c r="F6582" s="1043"/>
      <c r="G6582" s="1550"/>
    </row>
    <row r="6583" spans="1:7" ht="12.75" customHeight="1">
      <c r="A6583" s="1754">
        <v>44582</v>
      </c>
      <c r="B6583" s="125" t="str">
        <f>TiposLancamentos!B19</f>
        <v>Restaurantes</v>
      </c>
      <c r="C6583" s="1040" t="s">
        <v>8446</v>
      </c>
      <c r="D6583" s="1736"/>
      <c r="E6583" s="1043">
        <v>88.55</v>
      </c>
      <c r="F6583" s="1043"/>
      <c r="G6583" s="1550"/>
    </row>
    <row r="6584" spans="1:7" ht="12.75" customHeight="1">
      <c r="A6584" s="1754">
        <v>44582</v>
      </c>
      <c r="B6584" s="125" t="str">
        <f>TiposLancamentos!B5</f>
        <v>Supermercado</v>
      </c>
      <c r="C6584" s="1040" t="s">
        <v>1884</v>
      </c>
      <c r="D6584" s="1736"/>
      <c r="E6584" s="1043">
        <v>23.3</v>
      </c>
      <c r="F6584" s="1043"/>
      <c r="G6584" s="1550"/>
    </row>
    <row r="6585" spans="1:7" ht="12.75" customHeight="1">
      <c r="A6585" s="1754">
        <v>44583</v>
      </c>
      <c r="B6585" s="125" t="str">
        <f>TiposLancamentos!B32</f>
        <v>Clinicas e tratamentos</v>
      </c>
      <c r="C6585" s="1040" t="s">
        <v>8172</v>
      </c>
      <c r="D6585" s="1736"/>
      <c r="E6585" s="1043">
        <v>187.5</v>
      </c>
      <c r="F6585" s="1043"/>
      <c r="G6585" s="1550"/>
    </row>
    <row r="6586" spans="1:7" ht="12.75" customHeight="1">
      <c r="A6586" s="1754">
        <v>44583</v>
      </c>
      <c r="B6586" s="125" t="str">
        <f>TiposLancamentos!B19</f>
        <v>Restaurantes</v>
      </c>
      <c r="C6586" s="1040" t="s">
        <v>8447</v>
      </c>
      <c r="D6586" s="1736"/>
      <c r="E6586" s="1043">
        <v>81.5</v>
      </c>
      <c r="F6586" s="1043"/>
      <c r="G6586" s="1550"/>
    </row>
    <row r="6587" spans="1:7" ht="12.75" customHeight="1">
      <c r="A6587" s="1754">
        <v>44584</v>
      </c>
      <c r="B6587" s="125" t="str">
        <f>TiposLancamentos!B5</f>
        <v>Supermercado</v>
      </c>
      <c r="C6587" s="1040" t="s">
        <v>8448</v>
      </c>
      <c r="D6587" s="1736"/>
      <c r="E6587" s="1043">
        <v>40.76</v>
      </c>
      <c r="F6587" s="1043"/>
      <c r="G6587" s="1550"/>
    </row>
    <row r="6588" spans="1:7" ht="12.75" customHeight="1">
      <c r="A6588" s="1754">
        <v>44584</v>
      </c>
      <c r="B6588" s="125" t="str">
        <f>TiposLancamentos!B5</f>
        <v>Supermercado</v>
      </c>
      <c r="C6588" s="1040" t="s">
        <v>8449</v>
      </c>
      <c r="D6588" s="1736"/>
      <c r="E6588" s="1043">
        <v>23.8</v>
      </c>
      <c r="F6588" s="1043"/>
      <c r="G6588" s="1550"/>
    </row>
    <row r="6589" spans="1:7" ht="12.75" customHeight="1">
      <c r="A6589" s="1754">
        <v>44586</v>
      </c>
      <c r="B6589" s="125" t="str">
        <f>TiposLancamentos!B19</f>
        <v>Restaurantes</v>
      </c>
      <c r="C6589" s="1040" t="s">
        <v>8450</v>
      </c>
      <c r="D6589" s="1736"/>
      <c r="E6589" s="1043">
        <v>84.6</v>
      </c>
      <c r="F6589" s="1043"/>
      <c r="G6589" s="1550"/>
    </row>
    <row r="6590" spans="1:7" ht="12.75" customHeight="1">
      <c r="A6590" s="1754">
        <v>44586</v>
      </c>
      <c r="B6590" s="125" t="str">
        <f>TiposLancamentos!B19</f>
        <v>Restaurantes</v>
      </c>
      <c r="C6590" s="1040" t="s">
        <v>8451</v>
      </c>
      <c r="D6590" s="1736"/>
      <c r="E6590" s="1043">
        <v>28.9</v>
      </c>
      <c r="F6590" s="1043"/>
      <c r="G6590" s="1550"/>
    </row>
    <row r="6591" spans="1:7" ht="12.75" customHeight="1">
      <c r="A6591" s="1754">
        <v>44587</v>
      </c>
      <c r="B6591" s="125" t="str">
        <f>TiposLancamentos!B5</f>
        <v>Supermercado</v>
      </c>
      <c r="C6591" s="1040" t="s">
        <v>1884</v>
      </c>
      <c r="D6591" s="1736"/>
      <c r="E6591" s="1043">
        <v>8.9</v>
      </c>
      <c r="F6591" s="1043"/>
      <c r="G6591" s="1550"/>
    </row>
    <row r="6592" spans="1:7" ht="12.75" customHeight="1">
      <c r="A6592" s="1754">
        <v>44587</v>
      </c>
      <c r="B6592" s="125" t="str">
        <f>TiposLancamentos!B5</f>
        <v>Supermercado</v>
      </c>
      <c r="C6592" s="1040" t="s">
        <v>8452</v>
      </c>
      <c r="D6592" s="1736"/>
      <c r="E6592" s="1043">
        <v>12.87</v>
      </c>
      <c r="F6592" s="1043"/>
      <c r="G6592" s="1550"/>
    </row>
    <row r="6593" spans="1:7" ht="12.75" customHeight="1">
      <c r="A6593" s="1754">
        <v>44588</v>
      </c>
      <c r="B6593" s="125" t="str">
        <f>TiposLancamentos!B19</f>
        <v>Restaurantes</v>
      </c>
      <c r="C6593" s="1040" t="s">
        <v>8291</v>
      </c>
      <c r="D6593" s="1736"/>
      <c r="E6593" s="1043">
        <v>70.739999999999995</v>
      </c>
      <c r="F6593" s="1043"/>
      <c r="G6593" s="1550"/>
    </row>
    <row r="6594" spans="1:7" ht="12.75" customHeight="1">
      <c r="A6594" s="1754">
        <v>44588</v>
      </c>
      <c r="B6594" s="125" t="str">
        <f>TiposLancamentos!B16</f>
        <v>Cristiane</v>
      </c>
      <c r="C6594" s="1040" t="s">
        <v>8453</v>
      </c>
      <c r="D6594" s="1736"/>
      <c r="E6594" s="1043">
        <v>129.6</v>
      </c>
      <c r="F6594" s="1043"/>
      <c r="G6594" s="1550"/>
    </row>
    <row r="6595" spans="1:7" ht="12.75" customHeight="1">
      <c r="A6595" s="1754">
        <v>44589</v>
      </c>
      <c r="B6595" s="125" t="str">
        <f>TiposLancamentos!B19</f>
        <v>Restaurantes</v>
      </c>
      <c r="C6595" s="1040" t="s">
        <v>8291</v>
      </c>
      <c r="D6595" s="1736"/>
      <c r="E6595" s="1043">
        <v>79.06</v>
      </c>
      <c r="F6595" s="1043"/>
      <c r="G6595" s="1550"/>
    </row>
    <row r="6596" spans="1:7" ht="12.75" customHeight="1">
      <c r="A6596" s="1754">
        <v>44589</v>
      </c>
      <c r="B6596" s="125" t="str">
        <f>TiposLancamentos!B32</f>
        <v>Clinicas e tratamentos</v>
      </c>
      <c r="C6596" s="1040" t="s">
        <v>8195</v>
      </c>
      <c r="D6596" s="1736"/>
      <c r="E6596" s="1043">
        <v>400</v>
      </c>
      <c r="F6596" s="1043"/>
      <c r="G6596" s="1550"/>
    </row>
    <row r="6597" spans="1:7" ht="12.75" customHeight="1">
      <c r="A6597" s="1754">
        <v>44589</v>
      </c>
      <c r="B6597" s="125" t="str">
        <f>TiposLancamentos!B56</f>
        <v>Farmácia</v>
      </c>
      <c r="C6597" s="1040" t="s">
        <v>8454</v>
      </c>
      <c r="D6597" s="1736"/>
      <c r="E6597" s="1043">
        <v>77.400000000000006</v>
      </c>
      <c r="F6597" s="1043"/>
      <c r="G6597" s="1550"/>
    </row>
    <row r="6598" spans="1:7" ht="12.75" customHeight="1">
      <c r="A6598" s="1754">
        <v>44589</v>
      </c>
      <c r="B6598" s="125" t="str">
        <f>TiposLancamentos!B5</f>
        <v>Supermercado</v>
      </c>
      <c r="C6598" s="1040" t="s">
        <v>8455</v>
      </c>
      <c r="D6598" s="1736"/>
      <c r="E6598" s="1043">
        <v>46.13</v>
      </c>
      <c r="F6598" s="1043"/>
      <c r="G6598" s="1550"/>
    </row>
    <row r="6599" spans="1:7" ht="12.75" customHeight="1">
      <c r="A6599" s="1754">
        <v>44590</v>
      </c>
      <c r="B6599" s="125" t="str">
        <f>TiposLancamentos!B19</f>
        <v>Restaurantes</v>
      </c>
      <c r="C6599" s="1040" t="s">
        <v>8332</v>
      </c>
      <c r="D6599" s="1736"/>
      <c r="E6599" s="1043">
        <v>91.5</v>
      </c>
      <c r="F6599" s="1043"/>
      <c r="G6599" s="1550"/>
    </row>
    <row r="6600" spans="1:7" ht="12.75" customHeight="1">
      <c r="A6600" s="1754">
        <v>44590</v>
      </c>
      <c r="B6600" s="125" t="str">
        <f>TiposLancamentos!B5</f>
        <v>Supermercado</v>
      </c>
      <c r="C6600" s="1040" t="s">
        <v>8456</v>
      </c>
      <c r="D6600" s="1736"/>
      <c r="E6600" s="1043">
        <v>10.9</v>
      </c>
      <c r="F6600" s="1043"/>
      <c r="G6600" s="1550"/>
    </row>
    <row r="6601" spans="1:7" ht="12.75" customHeight="1">
      <c r="A6601" s="1754">
        <v>44591</v>
      </c>
      <c r="B6601" s="125" t="str">
        <f>TiposLancamentos!B5</f>
        <v>Supermercado</v>
      </c>
      <c r="C6601" s="1040" t="s">
        <v>8457</v>
      </c>
      <c r="D6601" s="1736"/>
      <c r="E6601" s="1043">
        <v>151.27000000000001</v>
      </c>
      <c r="F6601" s="1043"/>
      <c r="G6601" s="1550"/>
    </row>
    <row r="6602" spans="1:7" ht="12.75" customHeight="1">
      <c r="A6602" s="1754">
        <v>44591</v>
      </c>
      <c r="B6602" s="125" t="str">
        <f>TiposLancamentos!B19</f>
        <v>Restaurantes</v>
      </c>
      <c r="C6602" s="1040" t="s">
        <v>8458</v>
      </c>
      <c r="D6602" s="1736"/>
      <c r="E6602" s="1043">
        <v>13</v>
      </c>
      <c r="F6602" s="1043"/>
      <c r="G6602" s="1550"/>
    </row>
    <row r="6603" spans="1:7" ht="12.75" customHeight="1" thickBot="1">
      <c r="A6603" s="1754">
        <v>44592</v>
      </c>
      <c r="B6603" s="125" t="str">
        <f>TiposLancamentos!B95</f>
        <v>Salarios</v>
      </c>
      <c r="C6603" s="1040" t="s">
        <v>8064</v>
      </c>
      <c r="D6603" s="1736">
        <v>4000.64</v>
      </c>
      <c r="E6603" s="1043"/>
      <c r="F6603" s="1043"/>
      <c r="G6603" s="1550"/>
    </row>
    <row r="6604" spans="1:7" ht="12.75" customHeight="1">
      <c r="A6604" s="1834"/>
      <c r="B6604" s="977"/>
      <c r="C6604" s="1854" t="s">
        <v>1607</v>
      </c>
      <c r="D6604" s="1823"/>
      <c r="E6604" s="1821"/>
      <c r="F6604" s="1821"/>
      <c r="G6604" s="1895"/>
    </row>
    <row r="6605" spans="1:7" ht="12.75" customHeight="1">
      <c r="A6605" s="1754">
        <v>44593</v>
      </c>
      <c r="B6605" s="125" t="str">
        <f>TiposLancamentos!B15</f>
        <v>Cartões de Crédito</v>
      </c>
      <c r="C6605" s="1040" t="s">
        <v>7781</v>
      </c>
      <c r="D6605" s="1736"/>
      <c r="E6605" s="1043">
        <v>1861.32</v>
      </c>
      <c r="F6605" s="1043"/>
      <c r="G6605" s="1550"/>
    </row>
    <row r="6606" spans="1:7" ht="12.75" customHeight="1">
      <c r="A6606" s="1754">
        <v>44593</v>
      </c>
      <c r="B6606" s="125" t="str">
        <f>TiposLancamentos!B15</f>
        <v>Cartões de Crédito</v>
      </c>
      <c r="C6606" s="1040" t="s">
        <v>8016</v>
      </c>
      <c r="D6606" s="1736"/>
      <c r="E6606" s="1043">
        <v>271.93</v>
      </c>
      <c r="F6606" s="1043"/>
      <c r="G6606" s="1550"/>
    </row>
    <row r="6607" spans="1:7" ht="12.75" customHeight="1">
      <c r="A6607" s="1754">
        <v>44593</v>
      </c>
      <c r="B6607" s="125" t="str">
        <f>TiposLancamentos!B15</f>
        <v>Cartões de Crédito</v>
      </c>
      <c r="C6607" s="1040" t="s">
        <v>8252</v>
      </c>
      <c r="D6607" s="1736"/>
      <c r="E6607" s="1043">
        <v>76.75</v>
      </c>
      <c r="F6607" s="1043"/>
      <c r="G6607" s="1550"/>
    </row>
    <row r="6608" spans="1:7" ht="12.75" customHeight="1">
      <c r="A6608" s="1754">
        <v>44593</v>
      </c>
      <c r="B6608" s="125" t="str">
        <f>TiposLancamentos!B14</f>
        <v>Gás de cozinha</v>
      </c>
      <c r="C6608" s="1040" t="s">
        <v>8459</v>
      </c>
      <c r="D6608" s="1736"/>
      <c r="E6608" s="1043">
        <v>49</v>
      </c>
      <c r="F6608" s="1043"/>
      <c r="G6608" s="1550"/>
    </row>
    <row r="6609" spans="1:7" ht="12.75" customHeight="1">
      <c r="A6609" s="1754">
        <v>44593</v>
      </c>
      <c r="B6609" s="125" t="str">
        <f>TiposLancamentos!B19</f>
        <v>Restaurantes</v>
      </c>
      <c r="C6609" s="1040" t="s">
        <v>8460</v>
      </c>
      <c r="D6609" s="1736"/>
      <c r="E6609" s="1043">
        <v>36</v>
      </c>
      <c r="F6609" s="1043"/>
      <c r="G6609" s="1550"/>
    </row>
    <row r="6610" spans="1:7" ht="12.75" customHeight="1">
      <c r="A6610" s="1754">
        <v>44593</v>
      </c>
      <c r="B6610" s="125" t="str">
        <f>TiposLancamentos!B5</f>
        <v>Supermercado</v>
      </c>
      <c r="C6610" s="1040" t="s">
        <v>1884</v>
      </c>
      <c r="D6610" s="1736"/>
      <c r="E6610" s="1043">
        <v>20</v>
      </c>
      <c r="F6610" s="1043"/>
      <c r="G6610" s="1550"/>
    </row>
    <row r="6611" spans="1:7" ht="12.75" customHeight="1">
      <c r="A6611" s="1754">
        <v>44594</v>
      </c>
      <c r="B6611" s="125" t="str">
        <f>TiposLancamentos!B19</f>
        <v>Restaurantes</v>
      </c>
      <c r="C6611" s="1040" t="s">
        <v>8461</v>
      </c>
      <c r="D6611" s="1736"/>
      <c r="E6611" s="1043">
        <v>20</v>
      </c>
      <c r="F6611" s="1043"/>
      <c r="G6611" s="1550"/>
    </row>
    <row r="6612" spans="1:7" ht="12.75" customHeight="1">
      <c r="A6612" s="1754">
        <v>44594</v>
      </c>
      <c r="B6612" s="125" t="str">
        <f>TiposLancamentos!B4</f>
        <v>Taxas Bancarias</v>
      </c>
      <c r="C6612" s="1040" t="s">
        <v>4858</v>
      </c>
      <c r="D6612" s="1736"/>
      <c r="E6612" s="1043">
        <v>38.74</v>
      </c>
      <c r="F6612" s="1043"/>
      <c r="G6612" s="1550"/>
    </row>
    <row r="6613" spans="1:7" ht="12.75" customHeight="1">
      <c r="A6613" s="1754">
        <v>44594</v>
      </c>
      <c r="B6613" s="125" t="str">
        <f>TiposLancamentos!B17</f>
        <v>GATO</v>
      </c>
      <c r="C6613" s="1040" t="s">
        <v>8462</v>
      </c>
      <c r="D6613" s="1736"/>
      <c r="E6613" s="1043">
        <v>16.62</v>
      </c>
      <c r="F6613" s="1043"/>
      <c r="G6613" s="1550"/>
    </row>
    <row r="6614" spans="1:7" ht="12.75" customHeight="1">
      <c r="A6614" s="1754">
        <v>44594</v>
      </c>
      <c r="B6614" s="125" t="str">
        <f>TiposLancamentos!B5</f>
        <v>Supermercado</v>
      </c>
      <c r="C6614" s="1040" t="s">
        <v>1884</v>
      </c>
      <c r="D6614" s="1736"/>
      <c r="E6614" s="1043">
        <v>5.99</v>
      </c>
      <c r="F6614" s="1043"/>
      <c r="G6614" s="1550"/>
    </row>
    <row r="6615" spans="1:7" ht="12.75" customHeight="1">
      <c r="A6615" s="1754">
        <v>44594</v>
      </c>
      <c r="B6615" s="125" t="str">
        <f>TiposLancamentos!B4</f>
        <v>Taxas Bancarias</v>
      </c>
      <c r="C6615" s="1040" t="s">
        <v>8463</v>
      </c>
      <c r="D6615" s="1736"/>
      <c r="E6615" s="1043">
        <v>5.7</v>
      </c>
      <c r="F6615" s="1043"/>
      <c r="G6615" s="1550"/>
    </row>
    <row r="6616" spans="1:7" ht="12.75" customHeight="1">
      <c r="A6616" s="1754">
        <v>44596</v>
      </c>
      <c r="B6616" s="125" t="str">
        <f>TiposLancamentos!B13</f>
        <v>Moradia</v>
      </c>
      <c r="C6616" s="1040" t="s">
        <v>8464</v>
      </c>
      <c r="D6616" s="1736"/>
      <c r="E6616" s="1043">
        <v>13</v>
      </c>
      <c r="F6616" s="1043"/>
      <c r="G6616" s="1550"/>
    </row>
    <row r="6617" spans="1:7" ht="12.75" customHeight="1">
      <c r="A6617" s="1754">
        <v>44596</v>
      </c>
      <c r="B6617" s="125" t="str">
        <f>TiposLancamentos!B74</f>
        <v>Noite</v>
      </c>
      <c r="C6617" s="1040" t="s">
        <v>8465</v>
      </c>
      <c r="D6617" s="1736"/>
      <c r="E6617" s="1043">
        <v>109</v>
      </c>
      <c r="F6617" s="1043"/>
      <c r="G6617" s="1550"/>
    </row>
    <row r="6618" spans="1:7" ht="12.75" customHeight="1">
      <c r="A6618" s="1754">
        <v>44597</v>
      </c>
      <c r="B6618" s="125" t="str">
        <f>TiposLancamentos!B19</f>
        <v>Restaurantes</v>
      </c>
      <c r="C6618" s="1040" t="s">
        <v>8466</v>
      </c>
      <c r="D6618" s="1736"/>
      <c r="E6618" s="1043">
        <v>137.06</v>
      </c>
      <c r="F6618" s="1043"/>
      <c r="G6618" s="1550"/>
    </row>
    <row r="6619" spans="1:7" ht="12.75" customHeight="1">
      <c r="A6619" s="1754">
        <v>44597</v>
      </c>
      <c r="B6619" s="125" t="str">
        <f>TiposLancamentos!B71</f>
        <v>Itens Pessoais</v>
      </c>
      <c r="C6619" s="1040" t="s">
        <v>8467</v>
      </c>
      <c r="D6619" s="1736"/>
      <c r="E6619" s="1043">
        <v>34.97</v>
      </c>
      <c r="F6619" s="1043"/>
      <c r="G6619" s="1550"/>
    </row>
    <row r="6620" spans="1:7" ht="12.75" customHeight="1">
      <c r="A6620" s="1754">
        <v>44597</v>
      </c>
      <c r="B6620" s="125" t="str">
        <f>TiposLancamentos!B19</f>
        <v>Restaurantes</v>
      </c>
      <c r="C6620" s="1040" t="s">
        <v>8468</v>
      </c>
      <c r="D6620" s="1736"/>
      <c r="E6620" s="1043">
        <v>23.52</v>
      </c>
      <c r="F6620" s="1043"/>
      <c r="G6620" s="1550"/>
    </row>
    <row r="6621" spans="1:7" ht="12.75" customHeight="1">
      <c r="A6621" s="1754">
        <v>44597</v>
      </c>
      <c r="B6621" s="125" t="str">
        <f>TiposLancamentos!B24</f>
        <v>Estacionamentos</v>
      </c>
      <c r="C6621" s="1040" t="s">
        <v>8469</v>
      </c>
      <c r="D6621" s="1736"/>
      <c r="E6621" s="1043">
        <v>13</v>
      </c>
      <c r="F6621" s="1043"/>
      <c r="G6621" s="1550"/>
    </row>
    <row r="6622" spans="1:7" ht="12.75" customHeight="1">
      <c r="A6622" s="1754">
        <v>44597</v>
      </c>
      <c r="B6622" s="125" t="str">
        <f>TiposLancamentos!B32</f>
        <v>Clinicas e tratamentos</v>
      </c>
      <c r="C6622" s="1040" t="s">
        <v>8172</v>
      </c>
      <c r="D6622" s="1736"/>
      <c r="E6622" s="1043">
        <v>187.5</v>
      </c>
      <c r="F6622" s="1043"/>
      <c r="G6622" s="1550"/>
    </row>
    <row r="6623" spans="1:7" ht="12.75" customHeight="1">
      <c r="A6623" s="1754">
        <v>44599</v>
      </c>
      <c r="B6623" s="125" t="str">
        <f>TiposLancamentos!B98</f>
        <v>Restituições</v>
      </c>
      <c r="C6623" s="1040" t="s">
        <v>8470</v>
      </c>
      <c r="D6623" s="1736">
        <v>79.2</v>
      </c>
      <c r="E6623" s="1043"/>
      <c r="F6623" s="1043"/>
      <c r="G6623" s="1550"/>
    </row>
    <row r="6624" spans="1:7" ht="12.75" customHeight="1">
      <c r="A6624" s="1754">
        <v>44599</v>
      </c>
      <c r="B6624" s="125" t="str">
        <f>TiposLancamentos!B4</f>
        <v>Taxas Bancarias</v>
      </c>
      <c r="C6624" s="1040" t="s">
        <v>5690</v>
      </c>
      <c r="D6624" s="1736"/>
      <c r="E6624" s="1043">
        <v>232.87</v>
      </c>
      <c r="F6624" s="1043"/>
      <c r="G6624" s="1550"/>
    </row>
    <row r="6625" spans="1:7" ht="12.75" customHeight="1">
      <c r="A6625" s="1754">
        <v>44600</v>
      </c>
      <c r="B6625" s="125" t="str">
        <f>TiposLancamentos!B19</f>
        <v>Restaurantes</v>
      </c>
      <c r="C6625" s="1040" t="s">
        <v>8471</v>
      </c>
      <c r="D6625" s="1736"/>
      <c r="E6625" s="1043">
        <v>36</v>
      </c>
      <c r="F6625" s="1043"/>
      <c r="G6625" s="1550"/>
    </row>
    <row r="6626" spans="1:7" ht="12.75" customHeight="1">
      <c r="A6626" s="1754">
        <v>44600</v>
      </c>
      <c r="B6626" s="125" t="str">
        <f>TiposLancamentos!B19</f>
        <v>Restaurantes</v>
      </c>
      <c r="C6626" s="1040" t="s">
        <v>8472</v>
      </c>
      <c r="D6626" s="1736"/>
      <c r="E6626" s="1043">
        <v>18</v>
      </c>
      <c r="F6626" s="1043"/>
      <c r="G6626" s="1550"/>
    </row>
    <row r="6627" spans="1:7" ht="12.75" customHeight="1">
      <c r="A6627" s="1754">
        <v>44603</v>
      </c>
      <c r="B6627" s="125" t="str">
        <f>TiposLancamentos!B32</f>
        <v>Clinicas e tratamentos</v>
      </c>
      <c r="C6627" s="1040" t="s">
        <v>8172</v>
      </c>
      <c r="D6627" s="1736"/>
      <c r="E6627" s="1043">
        <v>187.5</v>
      </c>
      <c r="F6627" s="1043"/>
      <c r="G6627" s="1550"/>
    </row>
    <row r="6628" spans="1:7" ht="12.75" customHeight="1">
      <c r="A6628" s="1754">
        <v>44604</v>
      </c>
      <c r="B6628" s="125" t="str">
        <f>TiposLancamentos!B22</f>
        <v>Combustivel</v>
      </c>
      <c r="C6628" s="1040" t="s">
        <v>7859</v>
      </c>
      <c r="D6628" s="1736"/>
      <c r="E6628" s="1043">
        <v>100</v>
      </c>
      <c r="F6628" s="1043"/>
      <c r="G6628" s="1550"/>
    </row>
    <row r="6629" spans="1:7" ht="12.75" customHeight="1">
      <c r="A6629" s="1754">
        <v>44604</v>
      </c>
      <c r="B6629" s="125" t="str">
        <f>TiposLancamentos!B19</f>
        <v>Restaurantes</v>
      </c>
      <c r="C6629" s="1040" t="s">
        <v>8473</v>
      </c>
      <c r="D6629" s="1736"/>
      <c r="E6629" s="1043">
        <v>37.5</v>
      </c>
      <c r="F6629" s="1043"/>
      <c r="G6629" s="1550"/>
    </row>
    <row r="6630" spans="1:7" ht="12.75" customHeight="1">
      <c r="A6630" s="1666">
        <v>44604</v>
      </c>
      <c r="B6630" s="817" t="str">
        <f>TiposLancamentos!B56</f>
        <v>Farmácia</v>
      </c>
      <c r="C6630" s="1742" t="s">
        <v>8474</v>
      </c>
      <c r="D6630" s="1735"/>
      <c r="E6630" s="1733">
        <v>170.34</v>
      </c>
      <c r="F6630" s="1663"/>
      <c r="G6630" s="1550"/>
    </row>
    <row r="6631" spans="1:7" ht="12.75" customHeight="1">
      <c r="A6631" s="1750">
        <v>44604</v>
      </c>
      <c r="B6631" s="818" t="str">
        <f>TiposLancamentos!B16</f>
        <v>Cristiane</v>
      </c>
      <c r="C6631" s="1743" t="s">
        <v>6715</v>
      </c>
      <c r="D6631" s="1737"/>
      <c r="E6631" s="1668">
        <f>F6631-E6630</f>
        <v>43.009999999999991</v>
      </c>
      <c r="F6631" s="1347">
        <v>213.35</v>
      </c>
      <c r="G6631" s="1550"/>
    </row>
    <row r="6632" spans="1:7" ht="12.75" customHeight="1">
      <c r="A6632" s="1754">
        <v>44604</v>
      </c>
      <c r="B6632" s="125" t="str">
        <f>TiposLancamentos!B24</f>
        <v>Estacionamentos</v>
      </c>
      <c r="C6632" s="1040" t="s">
        <v>7490</v>
      </c>
      <c r="D6632" s="1736"/>
      <c r="E6632" s="1043">
        <v>13</v>
      </c>
      <c r="F6632" s="1043"/>
      <c r="G6632" s="1550"/>
    </row>
    <row r="6633" spans="1:7" ht="12.75" customHeight="1">
      <c r="A6633" s="1754">
        <v>44604</v>
      </c>
      <c r="B6633" s="125" t="str">
        <f>TiposLancamentos!B19</f>
        <v>Restaurantes</v>
      </c>
      <c r="C6633" s="1040" t="s">
        <v>8475</v>
      </c>
      <c r="D6633" s="1736"/>
      <c r="E6633" s="1043">
        <v>74.599999999999994</v>
      </c>
      <c r="F6633" s="1043"/>
      <c r="G6633" s="1550"/>
    </row>
    <row r="6634" spans="1:7" ht="12.75" customHeight="1">
      <c r="A6634" s="1754">
        <v>44605</v>
      </c>
      <c r="B6634" s="125" t="str">
        <f>TiposLancamentos!B5</f>
        <v>Supermercado</v>
      </c>
      <c r="C6634" s="1040" t="s">
        <v>8476</v>
      </c>
      <c r="D6634" s="1736"/>
      <c r="E6634" s="1043">
        <v>160.24</v>
      </c>
      <c r="F6634" s="1043"/>
      <c r="G6634" s="1550"/>
    </row>
    <row r="6635" spans="1:7" ht="12.75" customHeight="1">
      <c r="A6635" s="1754">
        <v>44606</v>
      </c>
      <c r="B6635" s="125" t="str">
        <f>TiposLancamentos!B88</f>
        <v>Ford Ecosport XLT</v>
      </c>
      <c r="C6635" s="1040" t="s">
        <v>8477</v>
      </c>
      <c r="D6635" s="1736"/>
      <c r="E6635" s="1043">
        <v>218.87</v>
      </c>
      <c r="F6635" s="1043"/>
      <c r="G6635" s="1550"/>
    </row>
    <row r="6636" spans="1:7" ht="12.75" customHeight="1">
      <c r="A6636" s="1754">
        <v>44607</v>
      </c>
      <c r="B6636" s="125" t="str">
        <f>TiposLancamentos!B95</f>
        <v>Salarios</v>
      </c>
      <c r="C6636" s="1040" t="s">
        <v>8078</v>
      </c>
      <c r="D6636" s="1736">
        <v>5040.0200000000004</v>
      </c>
      <c r="E6636" s="1043"/>
      <c r="F6636" s="1043"/>
      <c r="G6636" s="1550"/>
    </row>
    <row r="6637" spans="1:7" ht="12.75" customHeight="1">
      <c r="A6637" s="1754">
        <v>44607</v>
      </c>
      <c r="B6637" s="125"/>
      <c r="C6637" s="1040" t="s">
        <v>1868</v>
      </c>
      <c r="D6637" s="1736">
        <v>0</v>
      </c>
      <c r="E6637" s="1043">
        <v>0</v>
      </c>
      <c r="F6637" s="1043"/>
      <c r="G6637" s="1550"/>
    </row>
    <row r="6638" spans="1:7" ht="12.75" customHeight="1">
      <c r="A6638" s="1666">
        <v>44607</v>
      </c>
      <c r="B6638" s="817" t="str">
        <f>TiposLancamentos!B33</f>
        <v>Pedágios</v>
      </c>
      <c r="C6638" s="1742" t="s">
        <v>5392</v>
      </c>
      <c r="D6638" s="1735"/>
      <c r="E6638" s="1733">
        <f>F6640-(E6639+E6640)</f>
        <v>68.8</v>
      </c>
      <c r="F6638" s="1290"/>
      <c r="G6638" s="1550"/>
    </row>
    <row r="6639" spans="1:7" ht="12.75" customHeight="1">
      <c r="A6639" s="1667">
        <v>44607</v>
      </c>
      <c r="B6639" s="816" t="str">
        <f>TiposLancamentos!B24</f>
        <v>Estacionamentos</v>
      </c>
      <c r="C6639" s="1769" t="s">
        <v>7366</v>
      </c>
      <c r="D6639" s="1736"/>
      <c r="E6639" s="1734">
        <v>22</v>
      </c>
      <c r="F6639" s="1043"/>
      <c r="G6639" s="1550"/>
    </row>
    <row r="6640" spans="1:7" ht="12.75" customHeight="1">
      <c r="A6640" s="1750">
        <v>44607</v>
      </c>
      <c r="B6640" s="818" t="str">
        <f>TiposLancamentos!B24</f>
        <v>Estacionamentos</v>
      </c>
      <c r="C6640" s="1743" t="s">
        <v>6297</v>
      </c>
      <c r="D6640" s="1737"/>
      <c r="E6640" s="1668">
        <v>12</v>
      </c>
      <c r="F6640" s="1347">
        <v>102.8</v>
      </c>
      <c r="G6640" s="1550"/>
    </row>
    <row r="6641" spans="1:7" ht="12.75" customHeight="1">
      <c r="A6641" s="1754">
        <v>44607</v>
      </c>
      <c r="B6641" s="125"/>
      <c r="C6641" s="1040" t="s">
        <v>7341</v>
      </c>
      <c r="D6641" s="1736">
        <v>0</v>
      </c>
      <c r="E6641" s="1043"/>
      <c r="F6641" s="1043"/>
      <c r="G6641" s="1550"/>
    </row>
    <row r="6642" spans="1:7" ht="12.75" customHeight="1">
      <c r="A6642" s="1754">
        <v>44607</v>
      </c>
      <c r="B6642" s="125"/>
      <c r="C6642" s="1040" t="s">
        <v>1868</v>
      </c>
      <c r="D6642" s="1736">
        <v>0</v>
      </c>
      <c r="E6642" s="1043">
        <v>0</v>
      </c>
      <c r="F6642" s="1043"/>
      <c r="G6642" s="1550"/>
    </row>
    <row r="6643" spans="1:7" ht="12.75" customHeight="1">
      <c r="A6643" s="1666">
        <v>44607</v>
      </c>
      <c r="B6643" s="817" t="str">
        <f>TiposLancamentos!B35</f>
        <v>Tv à Cabo</v>
      </c>
      <c r="C6643" s="1742" t="s">
        <v>5834</v>
      </c>
      <c r="D6643" s="1735"/>
      <c r="E6643" s="1733">
        <f>F6645-(E6644+E6645)</f>
        <v>136.28999999999996</v>
      </c>
      <c r="F6643" s="1290"/>
      <c r="G6643" s="1550"/>
    </row>
    <row r="6644" spans="1:7" ht="12.75" customHeight="1">
      <c r="A6644" s="1667">
        <v>44607</v>
      </c>
      <c r="B6644" s="816" t="str">
        <f>TiposLancamentos!B3</f>
        <v>Internet</v>
      </c>
      <c r="C6644" s="1769" t="s">
        <v>5835</v>
      </c>
      <c r="D6644" s="1736"/>
      <c r="E6644" s="1734">
        <v>134.99</v>
      </c>
      <c r="F6644" s="1043"/>
      <c r="G6644" s="1550"/>
    </row>
    <row r="6645" spans="1:7" ht="12.75" customHeight="1">
      <c r="A6645" s="1750">
        <v>44607</v>
      </c>
      <c r="B6645" s="818" t="str">
        <f>TiposLancamentos!B2</f>
        <v>Telefonia</v>
      </c>
      <c r="C6645" s="1743" t="s">
        <v>7210</v>
      </c>
      <c r="D6645" s="1737"/>
      <c r="E6645" s="1668">
        <v>0</v>
      </c>
      <c r="F6645" s="1291">
        <v>271.27999999999997</v>
      </c>
      <c r="G6645" s="1550"/>
    </row>
    <row r="6646" spans="1:7" ht="12.75" customHeight="1">
      <c r="A6646" s="1754">
        <v>44607</v>
      </c>
      <c r="B6646" s="125" t="str">
        <f>TiposLancamentos!B17</f>
        <v>GATO</v>
      </c>
      <c r="C6646" s="1040" t="s">
        <v>8478</v>
      </c>
      <c r="D6646" s="1736"/>
      <c r="E6646" s="1043">
        <v>159.29</v>
      </c>
      <c r="F6646" s="1043"/>
      <c r="G6646" s="1550"/>
    </row>
    <row r="6647" spans="1:7" ht="12.75" customHeight="1">
      <c r="A6647" s="1754">
        <v>44608</v>
      </c>
      <c r="B6647" s="125" t="str">
        <f>TiposLancamentos!B46</f>
        <v>Maçonaria</v>
      </c>
      <c r="C6647" s="1040" t="s">
        <v>8479</v>
      </c>
      <c r="D6647" s="1736"/>
      <c r="E6647" s="1043">
        <v>200</v>
      </c>
      <c r="F6647" s="1043"/>
      <c r="G6647" s="1550"/>
    </row>
    <row r="6648" spans="1:7" ht="12.75" customHeight="1">
      <c r="A6648" s="1754">
        <v>44609</v>
      </c>
      <c r="B6648" s="125" t="str">
        <f>TiposLancamentos!B2</f>
        <v>Telefonia</v>
      </c>
      <c r="C6648" s="1040" t="s">
        <v>8237</v>
      </c>
      <c r="D6648" s="1736"/>
      <c r="E6648" s="1043">
        <v>55.99</v>
      </c>
      <c r="F6648" s="1043"/>
      <c r="G6648" s="1550"/>
    </row>
    <row r="6649" spans="1:7" ht="12.75" customHeight="1">
      <c r="A6649" s="1754">
        <v>44610</v>
      </c>
      <c r="B6649" s="125" t="str">
        <f>TiposLancamentos!B23</f>
        <v>P208 GRIFFE 1.6 AUT BUSINESS</v>
      </c>
      <c r="C6649" s="1040" t="s">
        <v>8480</v>
      </c>
      <c r="D6649" s="1736"/>
      <c r="E6649" s="1043">
        <v>483.74</v>
      </c>
      <c r="F6649" s="1043"/>
      <c r="G6649" s="1550"/>
    </row>
    <row r="6650" spans="1:7" ht="12.75" customHeight="1">
      <c r="A6650" s="1754">
        <v>44610</v>
      </c>
      <c r="B6650" s="125" t="str">
        <f>TiposLancamentos!B13</f>
        <v>Moradia</v>
      </c>
      <c r="C6650" s="1040" t="s">
        <v>8481</v>
      </c>
      <c r="D6650" s="1736"/>
      <c r="E6650" s="1043">
        <v>13</v>
      </c>
      <c r="F6650" s="1043"/>
      <c r="G6650" s="1550"/>
    </row>
    <row r="6651" spans="1:7" ht="12.75" customHeight="1">
      <c r="A6651" s="1754">
        <v>44610</v>
      </c>
      <c r="B6651" s="125" t="str">
        <f>TiposLancamentos!B32</f>
        <v>Clinicas e tratamentos</v>
      </c>
      <c r="C6651" s="1040" t="s">
        <v>8172</v>
      </c>
      <c r="D6651" s="1736"/>
      <c r="E6651" s="1043">
        <v>187.5</v>
      </c>
      <c r="F6651" s="1043"/>
      <c r="G6651" s="1550"/>
    </row>
    <row r="6652" spans="1:7" ht="12.75" customHeight="1">
      <c r="A6652" s="1754">
        <v>44610</v>
      </c>
      <c r="B6652" s="125" t="str">
        <f>TiposLancamentos!B19</f>
        <v>Restaurantes</v>
      </c>
      <c r="C6652" s="1040" t="s">
        <v>8482</v>
      </c>
      <c r="D6652" s="1736"/>
      <c r="E6652" s="1043">
        <v>64.790000000000006</v>
      </c>
      <c r="F6652" s="1043"/>
      <c r="G6652" s="1550"/>
    </row>
    <row r="6653" spans="1:7" ht="12.75" customHeight="1">
      <c r="A6653" s="1754">
        <v>44611</v>
      </c>
      <c r="B6653" s="125" t="str">
        <f>TiposLancamentos!B19</f>
        <v>Restaurantes</v>
      </c>
      <c r="C6653" s="1040" t="s">
        <v>8483</v>
      </c>
      <c r="D6653" s="1736"/>
      <c r="E6653" s="1043">
        <v>206.03</v>
      </c>
      <c r="F6653" s="1043"/>
      <c r="G6653" s="1550"/>
    </row>
    <row r="6654" spans="1:7" ht="12.75" customHeight="1">
      <c r="A6654" s="1666">
        <v>44613</v>
      </c>
      <c r="B6654" s="817" t="str">
        <f>TiposLancamentos!B8</f>
        <v>Aluguel</v>
      </c>
      <c r="C6654" s="1742" t="s">
        <v>8484</v>
      </c>
      <c r="D6654" s="1735"/>
      <c r="E6654" s="1733">
        <f>F6660-(E6655+E6660+E6656+E6657+E6659+E6658)</f>
        <v>1400</v>
      </c>
      <c r="F6654" s="1346"/>
      <c r="G6654" s="1550"/>
    </row>
    <row r="6655" spans="1:7" ht="12.75" customHeight="1">
      <c r="A6655" s="1667">
        <v>44613</v>
      </c>
      <c r="B6655" s="816" t="str">
        <f>TiposLancamentos!B12</f>
        <v>IPTU</v>
      </c>
      <c r="C6655" s="1769" t="s">
        <v>8485</v>
      </c>
      <c r="D6655" s="1736"/>
      <c r="E6655" s="1734">
        <v>34.5</v>
      </c>
      <c r="F6655" s="1043"/>
      <c r="G6655" s="1550"/>
    </row>
    <row r="6656" spans="1:7" ht="12.75" customHeight="1">
      <c r="A6656" s="1667">
        <v>44613</v>
      </c>
      <c r="B6656" s="816" t="str">
        <f>TiposLancamentos!B10</f>
        <v>Distr. Água Municipal</v>
      </c>
      <c r="C6656" s="1769" t="s">
        <v>7423</v>
      </c>
      <c r="D6656" s="1736"/>
      <c r="E6656" s="1734">
        <v>47.59</v>
      </c>
      <c r="F6656" s="1043"/>
      <c r="G6656" s="1550"/>
    </row>
    <row r="6657" spans="1:7" ht="12.75" customHeight="1">
      <c r="A6657" s="1667">
        <v>44613</v>
      </c>
      <c r="B6657" s="816" t="str">
        <f>TiposLancamentos!B11</f>
        <v>Coleta Municipal Lixo</v>
      </c>
      <c r="C6657" s="1769" t="s">
        <v>7424</v>
      </c>
      <c r="D6657" s="1736"/>
      <c r="E6657" s="1734">
        <v>44.36</v>
      </c>
      <c r="F6657" s="1043"/>
      <c r="G6657" s="1550"/>
    </row>
    <row r="6658" spans="1:7" ht="12.75" customHeight="1">
      <c r="A6658" s="1667">
        <v>44613</v>
      </c>
      <c r="B6658" s="816" t="str">
        <f>TiposLancamentos!B10</f>
        <v>Distr. Água Municipal</v>
      </c>
      <c r="C6658" s="1769" t="s">
        <v>8486</v>
      </c>
      <c r="D6658" s="1736"/>
      <c r="E6658" s="1734">
        <v>26.28</v>
      </c>
      <c r="F6658" s="1043"/>
      <c r="G6658" s="1550"/>
    </row>
    <row r="6659" spans="1:7" ht="12.75" customHeight="1">
      <c r="A6659" s="1667">
        <v>44613</v>
      </c>
      <c r="B6659" s="816" t="str">
        <f>TiposLancamentos!B8</f>
        <v>Aluguel</v>
      </c>
      <c r="C6659" s="1769" t="s">
        <v>7425</v>
      </c>
      <c r="D6659" s="1736"/>
      <c r="E6659" s="1734">
        <v>8</v>
      </c>
      <c r="F6659" s="1043"/>
      <c r="G6659" s="1550"/>
    </row>
    <row r="6660" spans="1:7" ht="12.75" customHeight="1">
      <c r="A6660" s="1750">
        <v>44613</v>
      </c>
      <c r="B6660" s="818" t="str">
        <f>TiposLancamentos!B9</f>
        <v>Condominio</v>
      </c>
      <c r="C6660" s="1743" t="s">
        <v>7427</v>
      </c>
      <c r="D6660" s="1737"/>
      <c r="E6660" s="1668">
        <v>616.37</v>
      </c>
      <c r="F6660" s="1291">
        <v>2177.1</v>
      </c>
      <c r="G6660" s="1550"/>
    </row>
    <row r="6661" spans="1:7" ht="12.75" customHeight="1">
      <c r="A6661" s="1754">
        <v>44613</v>
      </c>
      <c r="B6661" s="125" t="str">
        <f>TiposLancamentos!B6</f>
        <v>Energia Eletrica</v>
      </c>
      <c r="C6661" s="1040" t="s">
        <v>8487</v>
      </c>
      <c r="D6661" s="1736"/>
      <c r="E6661" s="1043">
        <v>294.86</v>
      </c>
      <c r="F6661" s="1043"/>
      <c r="G6661" s="1550"/>
    </row>
    <row r="6662" spans="1:7" ht="12.75" customHeight="1">
      <c r="A6662" s="1754">
        <v>44613</v>
      </c>
      <c r="B6662" s="125" t="str">
        <f>TiposLancamentos!B5</f>
        <v>Supermercado</v>
      </c>
      <c r="C6662" s="1040" t="s">
        <v>7904</v>
      </c>
      <c r="D6662" s="1736"/>
      <c r="E6662" s="1043">
        <v>94.74</v>
      </c>
      <c r="F6662" s="1043"/>
      <c r="G6662" s="1550"/>
    </row>
    <row r="6663" spans="1:7" ht="12.75" customHeight="1">
      <c r="A6663" s="1754">
        <v>44614</v>
      </c>
      <c r="B6663" s="125" t="str">
        <f>TiposLancamentos!B13</f>
        <v>Moradia</v>
      </c>
      <c r="C6663" s="1040" t="s">
        <v>8488</v>
      </c>
      <c r="D6663" s="1736"/>
      <c r="E6663" s="1043">
        <v>324.66000000000003</v>
      </c>
      <c r="F6663" s="1043"/>
      <c r="G6663" s="1550"/>
    </row>
    <row r="6664" spans="1:7" ht="12.75" customHeight="1">
      <c r="A6664" s="1754">
        <v>44614</v>
      </c>
      <c r="B6664" s="125" t="str">
        <f>TiposLancamentos!B19</f>
        <v>Restaurantes</v>
      </c>
      <c r="C6664" s="1040" t="s">
        <v>8489</v>
      </c>
      <c r="D6664" s="1736"/>
      <c r="E6664" s="1043">
        <v>94</v>
      </c>
      <c r="F6664" s="1043"/>
      <c r="G6664" s="1550"/>
    </row>
    <row r="6665" spans="1:7" ht="12.75" customHeight="1">
      <c r="A6665" s="1754">
        <v>44614</v>
      </c>
      <c r="B6665" s="125" t="str">
        <f>TiposLancamentos!B19</f>
        <v>Restaurantes</v>
      </c>
      <c r="C6665" s="1040" t="s">
        <v>8490</v>
      </c>
      <c r="D6665" s="1736"/>
      <c r="E6665" s="1043">
        <v>38</v>
      </c>
      <c r="F6665" s="1043"/>
      <c r="G6665" s="1550"/>
    </row>
    <row r="6666" spans="1:7" ht="12.75" customHeight="1">
      <c r="A6666" s="1754">
        <v>44614</v>
      </c>
      <c r="B6666" s="125" t="str">
        <f>TiposLancamentos!B72</f>
        <v>Presentes</v>
      </c>
      <c r="C6666" s="1040" t="s">
        <v>8491</v>
      </c>
      <c r="D6666" s="1736"/>
      <c r="E6666" s="1043">
        <v>228</v>
      </c>
      <c r="F6666" s="1043"/>
      <c r="G6666" s="1550"/>
    </row>
    <row r="6667" spans="1:7" ht="12.75" customHeight="1">
      <c r="A6667" s="1754">
        <v>44615</v>
      </c>
      <c r="B6667" s="125" t="str">
        <f>TiposLancamentos!B17</f>
        <v>GATO</v>
      </c>
      <c r="C6667" s="1040" t="s">
        <v>8492</v>
      </c>
      <c r="D6667" s="1736"/>
      <c r="E6667" s="1043">
        <v>81.81</v>
      </c>
      <c r="F6667" s="1043"/>
      <c r="G6667" s="1550"/>
    </row>
    <row r="6668" spans="1:7" ht="12.75" customHeight="1">
      <c r="A6668" s="1754">
        <v>44616</v>
      </c>
      <c r="B6668" s="125" t="str">
        <f>TiposLancamentos!B19</f>
        <v>Restaurantes</v>
      </c>
      <c r="C6668" s="1040" t="s">
        <v>8493</v>
      </c>
      <c r="D6668" s="1736"/>
      <c r="E6668" s="1043">
        <v>76.78</v>
      </c>
      <c r="F6668" s="1043"/>
      <c r="G6668" s="1550"/>
    </row>
    <row r="6669" spans="1:7" ht="12.75" customHeight="1">
      <c r="A6669" s="1754">
        <v>44616</v>
      </c>
      <c r="B6669" s="125" t="str">
        <f>TiposLancamentos!B5</f>
        <v>Supermercado</v>
      </c>
      <c r="C6669" s="1040" t="s">
        <v>8494</v>
      </c>
      <c r="D6669" s="1736"/>
      <c r="E6669" s="1043">
        <v>42.33</v>
      </c>
      <c r="F6669" s="1043"/>
      <c r="G6669" s="1550"/>
    </row>
    <row r="6670" spans="1:7" ht="12.75" customHeight="1">
      <c r="A6670" s="1754">
        <v>44617</v>
      </c>
      <c r="B6670" s="125" t="str">
        <f>TiposLancamentos!B95</f>
        <v>Salarios</v>
      </c>
      <c r="C6670" s="1040" t="s">
        <v>8064</v>
      </c>
      <c r="D6670" s="1736">
        <v>3812.61</v>
      </c>
      <c r="E6670" s="1043"/>
      <c r="F6670" s="1043"/>
      <c r="G6670" s="1550"/>
    </row>
    <row r="6671" spans="1:7" ht="12.75" customHeight="1">
      <c r="A6671" s="1754">
        <v>44617</v>
      </c>
      <c r="B6671" s="125" t="str">
        <f>TiposLancamentos!B19</f>
        <v>Restaurantes</v>
      </c>
      <c r="C6671" s="1040" t="s">
        <v>8495</v>
      </c>
      <c r="D6671" s="1736"/>
      <c r="E6671" s="1043">
        <v>40.33</v>
      </c>
      <c r="F6671" s="1043"/>
      <c r="G6671" s="1550"/>
    </row>
    <row r="6672" spans="1:7" ht="12.75" customHeight="1">
      <c r="A6672" s="1754">
        <v>44617</v>
      </c>
      <c r="B6672" s="125" t="str">
        <f>TiposLancamentos!B22</f>
        <v>Combustivel</v>
      </c>
      <c r="C6672" s="1040" t="s">
        <v>8496</v>
      </c>
      <c r="D6672" s="1736"/>
      <c r="E6672" s="1043">
        <v>243.25</v>
      </c>
      <c r="F6672" s="1043"/>
      <c r="G6672" s="1550"/>
    </row>
    <row r="6673" spans="1:7" ht="12.75" customHeight="1">
      <c r="A6673" s="1754">
        <v>44617</v>
      </c>
      <c r="B6673" s="125" t="str">
        <f>TiposLancamentos!B71</f>
        <v>Itens Pessoais</v>
      </c>
      <c r="C6673" s="1040" t="s">
        <v>3590</v>
      </c>
      <c r="D6673" s="1736"/>
      <c r="E6673" s="1043">
        <v>30</v>
      </c>
      <c r="F6673" s="1043"/>
      <c r="G6673" s="1550"/>
    </row>
    <row r="6674" spans="1:7" ht="12.75" customHeight="1">
      <c r="A6674" s="1754">
        <v>44617</v>
      </c>
      <c r="B6674" s="125" t="str">
        <f>TiposLancamentos!B16</f>
        <v>Cristiane</v>
      </c>
      <c r="C6674" s="1040" t="s">
        <v>8497</v>
      </c>
      <c r="D6674" s="1736"/>
      <c r="E6674" s="1043">
        <v>15</v>
      </c>
      <c r="F6674" s="1043"/>
      <c r="G6674" s="1550"/>
    </row>
    <row r="6675" spans="1:7" ht="12.75" customHeight="1">
      <c r="A6675" s="1754">
        <v>44617</v>
      </c>
      <c r="B6675" s="125" t="str">
        <f>TiposLancamentos!B19</f>
        <v>Restaurantes</v>
      </c>
      <c r="C6675" s="1040" t="s">
        <v>8498</v>
      </c>
      <c r="D6675" s="1736"/>
      <c r="E6675" s="1043">
        <v>18</v>
      </c>
      <c r="F6675" s="1043"/>
      <c r="G6675" s="1550"/>
    </row>
    <row r="6676" spans="1:7" ht="12.75" customHeight="1">
      <c r="A6676" s="1754">
        <v>44617</v>
      </c>
      <c r="B6676" s="125" t="str">
        <f>TiposLancamentos!B23</f>
        <v>P208 GRIFFE 1.6 AUT BUSINESS</v>
      </c>
      <c r="C6676" s="1040" t="s">
        <v>7620</v>
      </c>
      <c r="D6676" s="1736"/>
      <c r="E6676" s="1043">
        <v>40</v>
      </c>
      <c r="F6676" s="1043"/>
      <c r="G6676" s="1550"/>
    </row>
    <row r="6677" spans="1:7" ht="12.75" customHeight="1">
      <c r="A6677" s="1754">
        <v>44617</v>
      </c>
      <c r="B6677" s="125" t="str">
        <f>TiposLancamentos!B16</f>
        <v>Cristiane</v>
      </c>
      <c r="C6677" s="1040" t="s">
        <v>8499</v>
      </c>
      <c r="D6677" s="1736"/>
      <c r="E6677" s="1043">
        <v>74.599999999999994</v>
      </c>
      <c r="F6677" s="1043"/>
      <c r="G6677" s="1550"/>
    </row>
    <row r="6678" spans="1:7" ht="12.75" customHeight="1">
      <c r="A6678" s="1754">
        <v>44618</v>
      </c>
      <c r="B6678" s="125" t="str">
        <f>TiposLancamentos!B19</f>
        <v>Restaurantes</v>
      </c>
      <c r="C6678" s="1040" t="s">
        <v>7741</v>
      </c>
      <c r="D6678" s="1736"/>
      <c r="E6678" s="1043">
        <v>38.4</v>
      </c>
      <c r="F6678" s="1043"/>
      <c r="G6678" s="1550"/>
    </row>
    <row r="6679" spans="1:7" ht="12.75" customHeight="1">
      <c r="A6679" s="1754">
        <v>44618</v>
      </c>
      <c r="B6679" s="125" t="str">
        <f>TiposLancamentos!B19</f>
        <v>Restaurantes</v>
      </c>
      <c r="C6679" s="1040" t="s">
        <v>8500</v>
      </c>
      <c r="D6679" s="1736"/>
      <c r="E6679" s="1043">
        <v>24.9</v>
      </c>
      <c r="F6679" s="1043"/>
      <c r="G6679" s="1550"/>
    </row>
    <row r="6680" spans="1:7" ht="12.75" customHeight="1">
      <c r="A6680" s="1754">
        <v>44618</v>
      </c>
      <c r="B6680" s="125" t="str">
        <f>B6681</f>
        <v>Supermercado</v>
      </c>
      <c r="C6680" s="1040" t="s">
        <v>8501</v>
      </c>
      <c r="D6680" s="1736"/>
      <c r="E6680" s="1043">
        <v>32</v>
      </c>
      <c r="F6680" s="1043"/>
      <c r="G6680" s="1550"/>
    </row>
    <row r="6681" spans="1:7" ht="12.75" customHeight="1" thickBot="1">
      <c r="A6681" s="1754">
        <v>44619</v>
      </c>
      <c r="B6681" s="125" t="str">
        <f>B6669</f>
        <v>Supermercado</v>
      </c>
      <c r="C6681" s="1040" t="s">
        <v>8502</v>
      </c>
      <c r="D6681" s="1736"/>
      <c r="E6681" s="1043">
        <v>152.79</v>
      </c>
      <c r="F6681" s="1043"/>
      <c r="G6681" s="1550"/>
    </row>
    <row r="6682" spans="1:7" ht="12.75" customHeight="1">
      <c r="A6682" s="1834"/>
      <c r="B6682" s="977"/>
      <c r="C6682" s="1854" t="s">
        <v>1608</v>
      </c>
      <c r="D6682" s="1823"/>
      <c r="E6682" s="1821"/>
      <c r="F6682" s="1821"/>
      <c r="G6682" s="1895"/>
    </row>
    <row r="6683" spans="1:7" ht="12.75" customHeight="1">
      <c r="A6683" s="1754">
        <v>44621</v>
      </c>
      <c r="B6683" s="125" t="str">
        <f>TiposLancamentos!B22</f>
        <v>Combustivel</v>
      </c>
      <c r="C6683" s="1040" t="s">
        <v>8071</v>
      </c>
      <c r="D6683" s="1736"/>
      <c r="E6683" s="1043">
        <v>163.08000000000001</v>
      </c>
      <c r="F6683" s="1043"/>
      <c r="G6683" s="1550"/>
    </row>
    <row r="6684" spans="1:7" ht="12.75" customHeight="1">
      <c r="A6684" s="1754">
        <v>44621</v>
      </c>
      <c r="B6684" s="125" t="str">
        <f>TiposLancamentos!B19</f>
        <v>Restaurantes</v>
      </c>
      <c r="C6684" s="1040" t="s">
        <v>8503</v>
      </c>
      <c r="D6684" s="1736"/>
      <c r="E6684" s="1043">
        <v>33.299999999999997</v>
      </c>
      <c r="F6684" s="1043"/>
      <c r="G6684" s="1550"/>
    </row>
    <row r="6685" spans="1:7" ht="12.75" customHeight="1">
      <c r="A6685" s="1754">
        <v>44621</v>
      </c>
      <c r="B6685" s="125" t="str">
        <f>TiposLancamentos!B19</f>
        <v>Restaurantes</v>
      </c>
      <c r="C6685" s="1040" t="s">
        <v>8504</v>
      </c>
      <c r="D6685" s="1736"/>
      <c r="E6685" s="1043">
        <v>33.700000000000003</v>
      </c>
      <c r="F6685" s="1043"/>
      <c r="G6685" s="1550"/>
    </row>
    <row r="6686" spans="1:7" ht="12.75" customHeight="1">
      <c r="A6686" s="1754">
        <v>44621</v>
      </c>
      <c r="B6686" s="125" t="str">
        <f>TiposLancamentos!B19</f>
        <v>Restaurantes</v>
      </c>
      <c r="C6686" s="1040" t="s">
        <v>8505</v>
      </c>
      <c r="D6686" s="1736"/>
      <c r="E6686" s="1043">
        <v>68</v>
      </c>
      <c r="F6686" s="1043"/>
      <c r="G6686" s="1550"/>
    </row>
    <row r="6687" spans="1:7" ht="12.75" customHeight="1">
      <c r="A6687" s="1754">
        <v>44622</v>
      </c>
      <c r="B6687" s="125" t="str">
        <f>TiposLancamentos!B15</f>
        <v>Cartões de Crédito</v>
      </c>
      <c r="C6687" s="1040" t="s">
        <v>7781</v>
      </c>
      <c r="D6687" s="1736"/>
      <c r="E6687" s="1043">
        <v>1810.4</v>
      </c>
      <c r="F6687" s="1043"/>
      <c r="G6687" s="1550"/>
    </row>
    <row r="6688" spans="1:7" ht="12.75" customHeight="1">
      <c r="A6688" s="1754">
        <v>44622</v>
      </c>
      <c r="B6688" s="125" t="str">
        <f>TiposLancamentos!B15</f>
        <v>Cartões de Crédito</v>
      </c>
      <c r="C6688" s="1040" t="s">
        <v>8016</v>
      </c>
      <c r="D6688" s="1736"/>
      <c r="E6688" s="1043">
        <v>129.88</v>
      </c>
      <c r="F6688" s="1043"/>
      <c r="G6688" s="1550"/>
    </row>
    <row r="6689" spans="1:7" ht="12.75" customHeight="1">
      <c r="A6689" s="1754">
        <v>44622</v>
      </c>
      <c r="B6689" s="125" t="str">
        <f>TiposLancamentos!B15</f>
        <v>Cartões de Crédito</v>
      </c>
      <c r="C6689" s="1040" t="s">
        <v>8252</v>
      </c>
      <c r="D6689" s="1736"/>
      <c r="E6689" s="1043">
        <v>196.73</v>
      </c>
      <c r="F6689" s="1043"/>
      <c r="G6689" s="1550"/>
    </row>
    <row r="6690" spans="1:7" ht="12.75" customHeight="1">
      <c r="A6690" s="1754">
        <v>44622</v>
      </c>
      <c r="B6690" s="125" t="str">
        <f>TiposLancamentos!B14</f>
        <v>Gás de cozinha</v>
      </c>
      <c r="C6690" s="1040" t="s">
        <v>8506</v>
      </c>
      <c r="D6690" s="1736"/>
      <c r="E6690" s="1043">
        <v>49.12</v>
      </c>
      <c r="F6690" s="1043"/>
      <c r="G6690" s="1550"/>
    </row>
    <row r="6691" spans="1:7" ht="12.75" customHeight="1">
      <c r="A6691" s="1754">
        <v>44622</v>
      </c>
      <c r="B6691" s="125" t="str">
        <f>TiposLancamentos!B24</f>
        <v>Estacionamentos</v>
      </c>
      <c r="C6691" s="1040" t="s">
        <v>8507</v>
      </c>
      <c r="D6691" s="1736"/>
      <c r="E6691" s="1043">
        <v>7</v>
      </c>
      <c r="F6691" s="1043"/>
      <c r="G6691" s="1550"/>
    </row>
    <row r="6692" spans="1:7" ht="12.75" customHeight="1">
      <c r="A6692" s="1754">
        <v>44622</v>
      </c>
      <c r="B6692" s="125" t="str">
        <f>TiposLancamentos!B19</f>
        <v>Restaurantes</v>
      </c>
      <c r="C6692" s="1040" t="s">
        <v>8508</v>
      </c>
      <c r="D6692" s="1736"/>
      <c r="E6692" s="1043">
        <v>255.98</v>
      </c>
      <c r="F6692" s="1043"/>
      <c r="G6692" s="1550"/>
    </row>
    <row r="6693" spans="1:7" ht="12.75" customHeight="1">
      <c r="A6693" s="1754">
        <v>44623</v>
      </c>
      <c r="B6693" s="125" t="str">
        <f>TiposLancamentos!B5</f>
        <v>Supermercado</v>
      </c>
      <c r="C6693" s="1040" t="s">
        <v>8509</v>
      </c>
      <c r="D6693" s="1736"/>
      <c r="E6693" s="1043">
        <v>10.9</v>
      </c>
      <c r="F6693" s="1043"/>
      <c r="G6693" s="1550"/>
    </row>
    <row r="6694" spans="1:7" ht="12.75" customHeight="1">
      <c r="A6694" s="1754">
        <v>44623</v>
      </c>
      <c r="B6694" s="125" t="str">
        <f>TiposLancamentos!B4</f>
        <v>Taxas Bancarias</v>
      </c>
      <c r="C6694" s="1040" t="s">
        <v>4858</v>
      </c>
      <c r="D6694" s="1736"/>
      <c r="E6694" s="1043">
        <v>40.86</v>
      </c>
      <c r="F6694" s="1043"/>
      <c r="G6694" s="1550"/>
    </row>
    <row r="6695" spans="1:7" ht="12.75" customHeight="1">
      <c r="A6695" s="1754">
        <v>44624</v>
      </c>
      <c r="B6695" s="125" t="str">
        <f>TiposLancamentos!B19</f>
        <v>Restaurantes</v>
      </c>
      <c r="C6695" s="1040" t="s">
        <v>8510</v>
      </c>
      <c r="D6695" s="1736"/>
      <c r="E6695" s="1043">
        <v>40</v>
      </c>
      <c r="F6695" s="1043"/>
      <c r="G6695" s="1550"/>
    </row>
    <row r="6696" spans="1:7" ht="12.75" customHeight="1">
      <c r="A6696" s="1754">
        <v>44624</v>
      </c>
      <c r="B6696" s="125" t="str">
        <f>TiposLancamentos!B13</f>
        <v>Moradia</v>
      </c>
      <c r="C6696" s="1040" t="s">
        <v>8511</v>
      </c>
      <c r="D6696" s="1736"/>
      <c r="E6696" s="1043">
        <v>13</v>
      </c>
      <c r="F6696" s="1043"/>
      <c r="G6696" s="1550"/>
    </row>
    <row r="6697" spans="1:7" ht="12.75" customHeight="1">
      <c r="A6697" s="1754">
        <v>44624</v>
      </c>
      <c r="B6697" s="125" t="str">
        <f>TiposLancamentos!B5</f>
        <v>Supermercado</v>
      </c>
      <c r="C6697" s="1040" t="s">
        <v>7842</v>
      </c>
      <c r="D6697" s="1736"/>
      <c r="E6697" s="1043">
        <v>179.5</v>
      </c>
      <c r="F6697" s="1043"/>
      <c r="G6697" s="1550"/>
    </row>
    <row r="6698" spans="1:7" ht="12.75" customHeight="1">
      <c r="A6698" s="1754">
        <v>44624</v>
      </c>
      <c r="B6698" s="125" t="str">
        <f>TiposLancamentos!B32</f>
        <v>Clinicas e tratamentos</v>
      </c>
      <c r="C6698" s="1040" t="s">
        <v>8172</v>
      </c>
      <c r="D6698" s="1736"/>
      <c r="E6698" s="1043">
        <v>187.5</v>
      </c>
      <c r="F6698" s="1043"/>
      <c r="G6698" s="1550"/>
    </row>
    <row r="6699" spans="1:7" ht="12.75" customHeight="1">
      <c r="A6699" s="1754">
        <v>44624</v>
      </c>
      <c r="B6699" s="125" t="str">
        <f>TiposLancamentos!B4</f>
        <v>Taxas Bancarias</v>
      </c>
      <c r="C6699" s="1040" t="s">
        <v>8463</v>
      </c>
      <c r="D6699" s="1736"/>
      <c r="E6699" s="1043">
        <v>5.7</v>
      </c>
      <c r="F6699" s="1043"/>
      <c r="G6699" s="1550"/>
    </row>
    <row r="6700" spans="1:7" ht="12.75" customHeight="1">
      <c r="A6700" s="1754">
        <v>44625</v>
      </c>
      <c r="B6700" s="125" t="str">
        <f>TiposLancamentos!B19</f>
        <v>Restaurantes</v>
      </c>
      <c r="C6700" s="1040" t="s">
        <v>8512</v>
      </c>
      <c r="D6700" s="1736"/>
      <c r="E6700" s="1043">
        <v>169.29</v>
      </c>
      <c r="F6700" s="1043"/>
      <c r="G6700" s="1550"/>
    </row>
    <row r="6701" spans="1:7" ht="12.75" customHeight="1">
      <c r="A6701" s="1754">
        <v>44625</v>
      </c>
      <c r="B6701" s="125" t="str">
        <f>TiposLancamentos!B19</f>
        <v>Restaurantes</v>
      </c>
      <c r="C6701" s="1040" t="s">
        <v>8513</v>
      </c>
      <c r="D6701" s="1736"/>
      <c r="E6701" s="1043">
        <v>33</v>
      </c>
      <c r="F6701" s="1043"/>
      <c r="G6701" s="1550"/>
    </row>
    <row r="6702" spans="1:7" ht="12.75" customHeight="1">
      <c r="A6702" s="1754">
        <v>44626</v>
      </c>
      <c r="B6702" s="125" t="str">
        <f>TiposLancamentos!B19</f>
        <v>Restaurantes</v>
      </c>
      <c r="C6702" s="1040" t="s">
        <v>8514</v>
      </c>
      <c r="D6702" s="1736"/>
      <c r="E6702" s="1043">
        <v>142.12</v>
      </c>
      <c r="F6702" s="1043"/>
      <c r="G6702" s="1550"/>
    </row>
    <row r="6703" spans="1:7" ht="12.75" customHeight="1">
      <c r="A6703" s="1754">
        <v>44627</v>
      </c>
      <c r="B6703" s="125" t="str">
        <f>TiposLancamentos!B4</f>
        <v>Taxas Bancarias</v>
      </c>
      <c r="C6703" s="1040" t="s">
        <v>5690</v>
      </c>
      <c r="D6703" s="1736"/>
      <c r="E6703" s="1043">
        <v>280.33</v>
      </c>
      <c r="F6703" s="1043"/>
      <c r="G6703" s="1550"/>
    </row>
    <row r="6704" spans="1:7" ht="12.75" customHeight="1">
      <c r="A6704" s="1754">
        <v>44628</v>
      </c>
      <c r="B6704" s="125" t="str">
        <f>TiposLancamentos!B24</f>
        <v>Estacionamentos</v>
      </c>
      <c r="C6704" s="1040" t="s">
        <v>8515</v>
      </c>
      <c r="D6704" s="1736"/>
      <c r="E6704" s="1043">
        <v>15</v>
      </c>
      <c r="F6704" s="1043"/>
      <c r="G6704" s="1550"/>
    </row>
    <row r="6705" spans="1:7" ht="12.75" customHeight="1">
      <c r="A6705" s="1754">
        <v>44628</v>
      </c>
      <c r="B6705" s="125" t="str">
        <f>TiposLancamentos!B4</f>
        <v>Taxas Bancarias</v>
      </c>
      <c r="C6705" s="1040" t="s">
        <v>8516</v>
      </c>
      <c r="D6705" s="1736"/>
      <c r="E6705" s="1043">
        <v>17.52</v>
      </c>
      <c r="F6705" s="1043"/>
      <c r="G6705" s="1550"/>
    </row>
    <row r="6706" spans="1:7" ht="12.75" customHeight="1">
      <c r="A6706" s="1754">
        <v>44630</v>
      </c>
      <c r="B6706" s="125" t="str">
        <f>TiposLancamentos!B46</f>
        <v>Maçonaria</v>
      </c>
      <c r="C6706" s="1040" t="s">
        <v>8517</v>
      </c>
      <c r="D6706" s="1736"/>
      <c r="E6706" s="1043">
        <v>200</v>
      </c>
      <c r="F6706" s="1043"/>
      <c r="G6706" s="1550"/>
    </row>
    <row r="6707" spans="1:7" ht="12.75" customHeight="1">
      <c r="A6707" s="1754">
        <v>44630</v>
      </c>
      <c r="B6707" s="125" t="str">
        <f>TiposLancamentos!B5</f>
        <v>Supermercado</v>
      </c>
      <c r="C6707" s="1040" t="s">
        <v>8518</v>
      </c>
      <c r="D6707" s="1736"/>
      <c r="E6707" s="1043">
        <v>78.150000000000006</v>
      </c>
      <c r="F6707" s="1043"/>
      <c r="G6707" s="1550"/>
    </row>
    <row r="6708" spans="1:7" ht="12.75" customHeight="1">
      <c r="A6708" s="1754">
        <v>44630</v>
      </c>
      <c r="B6708" s="125" t="str">
        <f>TiposLancamentos!B56</f>
        <v>Farmácia</v>
      </c>
      <c r="C6708" s="1040" t="s">
        <v>8519</v>
      </c>
      <c r="D6708" s="1736"/>
      <c r="E6708" s="1043">
        <v>134.11000000000001</v>
      </c>
      <c r="F6708" s="1043"/>
      <c r="G6708" s="1550"/>
    </row>
    <row r="6709" spans="1:7" ht="12.75" customHeight="1">
      <c r="A6709" s="1754">
        <v>44631</v>
      </c>
      <c r="B6709" s="125" t="str">
        <f>TiposLancamentos!B24</f>
        <v>Estacionamentos</v>
      </c>
      <c r="C6709" s="1040" t="s">
        <v>8520</v>
      </c>
      <c r="D6709" s="1736"/>
      <c r="E6709" s="1043">
        <v>23</v>
      </c>
      <c r="F6709" s="1043"/>
      <c r="G6709" s="1550"/>
    </row>
    <row r="6710" spans="1:7" ht="12.75" customHeight="1">
      <c r="A6710" s="1754">
        <v>44631</v>
      </c>
      <c r="B6710" s="125" t="str">
        <f>TiposLancamentos!B13</f>
        <v>Moradia</v>
      </c>
      <c r="C6710" s="1040" t="s">
        <v>8521</v>
      </c>
      <c r="D6710" s="1736"/>
      <c r="E6710" s="1043">
        <v>13</v>
      </c>
      <c r="F6710" s="1043"/>
      <c r="G6710" s="1550"/>
    </row>
    <row r="6711" spans="1:7" ht="12.75" customHeight="1">
      <c r="A6711" s="1754">
        <v>44631</v>
      </c>
      <c r="B6711" s="125" t="str">
        <f>TiposLancamentos!B32</f>
        <v>Clinicas e tratamentos</v>
      </c>
      <c r="C6711" s="1040" t="s">
        <v>8172</v>
      </c>
      <c r="D6711" s="1736"/>
      <c r="E6711" s="1043">
        <v>187.5</v>
      </c>
      <c r="F6711" s="1043"/>
      <c r="G6711" s="1550"/>
    </row>
    <row r="6712" spans="1:7" ht="12.75" customHeight="1">
      <c r="A6712" s="1754">
        <v>44632</v>
      </c>
      <c r="B6712" s="125" t="str">
        <f>TiposLancamentos!B5</f>
        <v>Supermercado</v>
      </c>
      <c r="C6712" s="1040" t="s">
        <v>8522</v>
      </c>
      <c r="D6712" s="1736"/>
      <c r="E6712" s="1043">
        <v>90.44</v>
      </c>
      <c r="F6712" s="1043"/>
      <c r="G6712" s="1550"/>
    </row>
    <row r="6713" spans="1:7" ht="12.75" customHeight="1">
      <c r="A6713" s="1754">
        <v>44632</v>
      </c>
      <c r="B6713" s="125" t="str">
        <f>TiposLancamentos!B19</f>
        <v>Restaurantes</v>
      </c>
      <c r="C6713" s="1040" t="s">
        <v>8523</v>
      </c>
      <c r="D6713" s="1736"/>
      <c r="E6713" s="1043">
        <v>62</v>
      </c>
      <c r="F6713" s="1043"/>
      <c r="G6713" s="1550"/>
    </row>
    <row r="6714" spans="1:7" ht="12.75" customHeight="1">
      <c r="A6714" s="1754">
        <v>44632</v>
      </c>
      <c r="B6714" s="125" t="str">
        <f>TiposLancamentos!B5</f>
        <v>Supermercado</v>
      </c>
      <c r="C6714" s="1040" t="s">
        <v>8509</v>
      </c>
      <c r="D6714" s="1736"/>
      <c r="E6714" s="1043">
        <v>18.39</v>
      </c>
      <c r="F6714" s="1043"/>
      <c r="G6714" s="1550"/>
    </row>
    <row r="6715" spans="1:7" ht="12.75" customHeight="1">
      <c r="A6715" s="1754">
        <v>44633</v>
      </c>
      <c r="B6715" s="125" t="str">
        <f>TiposLancamentos!B19</f>
        <v>Restaurantes</v>
      </c>
      <c r="C6715" s="1040" t="s">
        <v>8406</v>
      </c>
      <c r="D6715" s="1736"/>
      <c r="E6715" s="1043">
        <v>88</v>
      </c>
      <c r="F6715" s="1043"/>
      <c r="G6715" s="1550"/>
    </row>
    <row r="6716" spans="1:7" ht="12.75" customHeight="1">
      <c r="A6716" s="1754">
        <v>44634</v>
      </c>
      <c r="B6716" s="125" t="str">
        <f>TiposLancamentos!B13</f>
        <v>Moradia</v>
      </c>
      <c r="C6716" s="1040" t="s">
        <v>8524</v>
      </c>
      <c r="D6716" s="1736"/>
      <c r="E6716" s="1043">
        <v>205.04</v>
      </c>
      <c r="F6716" s="1043"/>
      <c r="G6716" s="1550"/>
    </row>
    <row r="6717" spans="1:7" ht="12.75" customHeight="1">
      <c r="A6717" s="1754">
        <v>44634</v>
      </c>
      <c r="B6717" s="125" t="str">
        <f>TiposLancamentos!B56</f>
        <v>Farmácia</v>
      </c>
      <c r="C6717" s="1040" t="s">
        <v>8474</v>
      </c>
      <c r="D6717" s="1736"/>
      <c r="E6717" s="1043">
        <v>180.99</v>
      </c>
      <c r="F6717" s="1043"/>
      <c r="G6717" s="1550"/>
    </row>
    <row r="6718" spans="1:7" ht="12.75" customHeight="1">
      <c r="A6718" s="1754">
        <v>44634</v>
      </c>
      <c r="B6718" s="125" t="str">
        <f>TiposLancamentos!B16</f>
        <v>Cristiane</v>
      </c>
      <c r="C6718" s="1040" t="s">
        <v>8525</v>
      </c>
      <c r="D6718" s="1736"/>
      <c r="E6718" s="1043">
        <v>19.8</v>
      </c>
      <c r="F6718" s="1043"/>
      <c r="G6718" s="1550"/>
    </row>
    <row r="6719" spans="1:7" ht="12.75" customHeight="1">
      <c r="A6719" s="1754">
        <v>44635</v>
      </c>
      <c r="B6719" s="125" t="str">
        <f>TiposLancamentos!B95</f>
        <v>Salarios</v>
      </c>
      <c r="C6719" s="1040" t="s">
        <v>8078</v>
      </c>
      <c r="D6719" s="1736">
        <v>5040.0200000000004</v>
      </c>
      <c r="E6719" s="1043"/>
      <c r="F6719" s="1043"/>
      <c r="G6719" s="1550"/>
    </row>
    <row r="6720" spans="1:7" ht="12.75" customHeight="1">
      <c r="A6720" s="1754">
        <v>44635</v>
      </c>
      <c r="B6720" s="125"/>
      <c r="C6720" s="1040" t="s">
        <v>1868</v>
      </c>
      <c r="D6720" s="1736">
        <v>0</v>
      </c>
      <c r="E6720" s="1043">
        <v>0</v>
      </c>
      <c r="F6720" s="1043"/>
      <c r="G6720" s="1550"/>
    </row>
    <row r="6721" spans="1:7" ht="12.75" customHeight="1">
      <c r="A6721" s="1666">
        <v>44635</v>
      </c>
      <c r="B6721" s="817" t="str">
        <f>TiposLancamentos!B33</f>
        <v>Pedágios</v>
      </c>
      <c r="C6721" s="1742" t="s">
        <v>5392</v>
      </c>
      <c r="D6721" s="1735"/>
      <c r="E6721" s="1733">
        <f>F6723-(E6722+E6723)</f>
        <v>199.4</v>
      </c>
      <c r="F6721" s="1290"/>
      <c r="G6721" s="1550"/>
    </row>
    <row r="6722" spans="1:7" ht="12.75" customHeight="1">
      <c r="A6722" s="1667">
        <v>44635</v>
      </c>
      <c r="B6722" s="816" t="str">
        <f>TiposLancamentos!B24</f>
        <v>Estacionamentos</v>
      </c>
      <c r="C6722" s="1769" t="s">
        <v>7366</v>
      </c>
      <c r="D6722" s="1736"/>
      <c r="E6722" s="1734">
        <v>23</v>
      </c>
      <c r="F6722" s="1043"/>
      <c r="G6722" s="1550"/>
    </row>
    <row r="6723" spans="1:7" ht="12.75" customHeight="1">
      <c r="A6723" s="1750">
        <v>44635</v>
      </c>
      <c r="B6723" s="818" t="str">
        <f>TiposLancamentos!B24</f>
        <v>Estacionamentos</v>
      </c>
      <c r="C6723" s="1743" t="s">
        <v>6297</v>
      </c>
      <c r="D6723" s="1737"/>
      <c r="E6723" s="1668">
        <v>23</v>
      </c>
      <c r="F6723" s="1347">
        <v>245.4</v>
      </c>
      <c r="G6723" s="1550"/>
    </row>
    <row r="6724" spans="1:7" ht="12.75" customHeight="1">
      <c r="A6724" s="1754">
        <v>44635</v>
      </c>
      <c r="B6724" s="125"/>
      <c r="C6724" s="1040" t="s">
        <v>7341</v>
      </c>
      <c r="D6724" s="1736">
        <v>0</v>
      </c>
      <c r="E6724" s="1043"/>
      <c r="F6724" s="1043"/>
      <c r="G6724" s="1550"/>
    </row>
    <row r="6725" spans="1:7" ht="12.75" customHeight="1">
      <c r="A6725" s="1754">
        <v>44635</v>
      </c>
      <c r="B6725" s="125"/>
      <c r="C6725" s="1040" t="s">
        <v>1868</v>
      </c>
      <c r="D6725" s="1736">
        <v>0</v>
      </c>
      <c r="E6725" s="1043">
        <v>0</v>
      </c>
      <c r="F6725" s="1043"/>
      <c r="G6725" s="1550"/>
    </row>
    <row r="6726" spans="1:7" ht="12.75" customHeight="1">
      <c r="A6726" s="1666">
        <v>44635</v>
      </c>
      <c r="B6726" s="817" t="str">
        <f>TiposLancamentos!B35</f>
        <v>Tv à Cabo</v>
      </c>
      <c r="C6726" s="1742" t="s">
        <v>5834</v>
      </c>
      <c r="D6726" s="1735"/>
      <c r="E6726" s="1733">
        <f>F6728-(E6727+E6728)</f>
        <v>136.28999999999996</v>
      </c>
      <c r="F6726" s="1290"/>
      <c r="G6726" s="1550"/>
    </row>
    <row r="6727" spans="1:7" ht="12.75" customHeight="1">
      <c r="A6727" s="1667">
        <v>44635</v>
      </c>
      <c r="B6727" s="816" t="str">
        <f>TiposLancamentos!B3</f>
        <v>Internet</v>
      </c>
      <c r="C6727" s="1769" t="s">
        <v>5835</v>
      </c>
      <c r="D6727" s="1736"/>
      <c r="E6727" s="1734">
        <v>134.99</v>
      </c>
      <c r="F6727" s="1043"/>
      <c r="G6727" s="1550"/>
    </row>
    <row r="6728" spans="1:7" ht="12.75" customHeight="1">
      <c r="A6728" s="1750">
        <v>44635</v>
      </c>
      <c r="B6728" s="818" t="str">
        <f>TiposLancamentos!B2</f>
        <v>Telefonia</v>
      </c>
      <c r="C6728" s="1743" t="s">
        <v>7210</v>
      </c>
      <c r="D6728" s="1737"/>
      <c r="E6728" s="1668">
        <v>0</v>
      </c>
      <c r="F6728" s="1291">
        <v>271.27999999999997</v>
      </c>
      <c r="G6728" s="1550"/>
    </row>
    <row r="6729" spans="1:7" ht="12.75" customHeight="1">
      <c r="A6729" s="1754">
        <v>44635</v>
      </c>
      <c r="B6729" s="125" t="str">
        <f>TiposLancamentos!B88</f>
        <v>Ford Ecosport XLT</v>
      </c>
      <c r="C6729" s="1040" t="s">
        <v>8526</v>
      </c>
      <c r="D6729" s="1736"/>
      <c r="E6729" s="1043">
        <v>1042.8599999999999</v>
      </c>
      <c r="F6729" s="1043"/>
      <c r="G6729" s="1550"/>
    </row>
    <row r="6730" spans="1:7" ht="12.75" customHeight="1">
      <c r="A6730" s="1754">
        <v>44635</v>
      </c>
      <c r="B6730" s="125" t="str">
        <f>TiposLancamentos!B69</f>
        <v>Consertos</v>
      </c>
      <c r="C6730" s="1040" t="s">
        <v>8527</v>
      </c>
      <c r="D6730" s="1736"/>
      <c r="E6730" s="1043">
        <v>150</v>
      </c>
      <c r="F6730" s="1043"/>
      <c r="G6730" s="1550"/>
    </row>
    <row r="6731" spans="1:7" ht="12.75" customHeight="1">
      <c r="A6731" s="1754">
        <v>44635</v>
      </c>
      <c r="B6731" s="125" t="str">
        <f>TiposLancamentos!B24</f>
        <v>Estacionamentos</v>
      </c>
      <c r="C6731" s="1040" t="s">
        <v>8528</v>
      </c>
      <c r="D6731" s="1736"/>
      <c r="E6731" s="1043">
        <v>15</v>
      </c>
      <c r="F6731" s="1043"/>
      <c r="G6731" s="1550"/>
    </row>
    <row r="6732" spans="1:7" ht="12.75" customHeight="1">
      <c r="A6732" s="1754">
        <v>44636</v>
      </c>
      <c r="B6732" s="125" t="str">
        <f>TiposLancamentos!B69</f>
        <v>Consertos</v>
      </c>
      <c r="C6732" s="1040" t="s">
        <v>8529</v>
      </c>
      <c r="D6732" s="1736"/>
      <c r="E6732" s="1043">
        <v>200</v>
      </c>
      <c r="F6732" s="1043"/>
      <c r="G6732" s="1550"/>
    </row>
    <row r="6733" spans="1:7" ht="12.75" customHeight="1">
      <c r="A6733" s="1754">
        <v>44636</v>
      </c>
      <c r="B6733" s="125" t="str">
        <f>TiposLancamentos!B5</f>
        <v>Supermercado</v>
      </c>
      <c r="C6733" s="1040" t="s">
        <v>7904</v>
      </c>
      <c r="D6733" s="1736"/>
      <c r="E6733" s="1043">
        <v>166.24</v>
      </c>
      <c r="F6733" s="1043"/>
      <c r="G6733" s="1550"/>
    </row>
    <row r="6734" spans="1:7" ht="12.75" customHeight="1">
      <c r="A6734" s="1754">
        <v>44636</v>
      </c>
      <c r="B6734" s="125" t="str">
        <f>TiposLancamentos!B24</f>
        <v>Estacionamentos</v>
      </c>
      <c r="C6734" s="1040" t="s">
        <v>8530</v>
      </c>
      <c r="D6734" s="1736"/>
      <c r="E6734" s="1043">
        <v>15</v>
      </c>
      <c r="F6734" s="1043"/>
      <c r="G6734" s="1550"/>
    </row>
    <row r="6735" spans="1:7" ht="12.75" customHeight="1">
      <c r="A6735" s="1754">
        <v>44637</v>
      </c>
      <c r="B6735" s="125" t="str">
        <f>TiposLancamentos!B19</f>
        <v>Restaurantes</v>
      </c>
      <c r="C6735" s="1040" t="s">
        <v>8531</v>
      </c>
      <c r="D6735" s="1736"/>
      <c r="E6735" s="1043">
        <v>55.5</v>
      </c>
      <c r="F6735" s="1043"/>
      <c r="G6735" s="1550"/>
    </row>
    <row r="6736" spans="1:7" ht="12.75" customHeight="1">
      <c r="A6736" s="1754">
        <v>44637</v>
      </c>
      <c r="B6736" s="125" t="str">
        <f>TiposLancamentos!B24</f>
        <v>Estacionamentos</v>
      </c>
      <c r="C6736" s="1040" t="s">
        <v>8530</v>
      </c>
      <c r="D6736" s="1736"/>
      <c r="E6736" s="1043">
        <v>10</v>
      </c>
      <c r="F6736" s="1043"/>
      <c r="G6736" s="1550"/>
    </row>
    <row r="6737" spans="1:7" ht="12.75" customHeight="1">
      <c r="A6737" s="1754">
        <v>44637</v>
      </c>
      <c r="B6737" s="125" t="str">
        <f>B6733</f>
        <v>Supermercado</v>
      </c>
      <c r="C6737" s="1040" t="s">
        <v>8532</v>
      </c>
      <c r="D6737" s="1736"/>
      <c r="E6737" s="1043">
        <v>32.950000000000003</v>
      </c>
      <c r="F6737" s="1043"/>
      <c r="G6737" s="1550"/>
    </row>
    <row r="6738" spans="1:7" ht="12.75" customHeight="1">
      <c r="A6738" s="1754">
        <v>44637</v>
      </c>
      <c r="B6738" s="125" t="str">
        <f>TiposLancamentos!B2</f>
        <v>Telefonia</v>
      </c>
      <c r="C6738" s="1040" t="s">
        <v>8237</v>
      </c>
      <c r="D6738" s="1736"/>
      <c r="E6738" s="1043">
        <v>55.99</v>
      </c>
      <c r="F6738" s="1043"/>
      <c r="G6738" s="1550"/>
    </row>
    <row r="6739" spans="1:7" ht="12.75" customHeight="1">
      <c r="A6739" s="1754">
        <v>44638</v>
      </c>
      <c r="B6739" s="125" t="str">
        <f>TiposLancamentos!B13</f>
        <v>Moradia</v>
      </c>
      <c r="C6739" s="1040" t="s">
        <v>8533</v>
      </c>
      <c r="D6739" s="1736"/>
      <c r="E6739" s="1043">
        <v>14</v>
      </c>
      <c r="F6739" s="1043"/>
      <c r="G6739" s="1550"/>
    </row>
    <row r="6740" spans="1:7" ht="12.75" customHeight="1">
      <c r="A6740" s="1754">
        <v>44638</v>
      </c>
      <c r="B6740" s="125" t="str">
        <f>TiposLancamentos!B5</f>
        <v>Supermercado</v>
      </c>
      <c r="C6740" s="1040" t="s">
        <v>8534</v>
      </c>
      <c r="D6740" s="1736"/>
      <c r="E6740" s="1043">
        <v>23.8</v>
      </c>
      <c r="F6740" s="1043"/>
      <c r="G6740" s="1550"/>
    </row>
    <row r="6741" spans="1:7" ht="12.75" customHeight="1">
      <c r="A6741" s="1754">
        <v>44638</v>
      </c>
      <c r="B6741" s="125" t="str">
        <f>TiposLancamentos!B19</f>
        <v>Restaurantes</v>
      </c>
      <c r="C6741" s="1040" t="s">
        <v>8535</v>
      </c>
      <c r="D6741" s="1736"/>
      <c r="E6741" s="1043">
        <v>62</v>
      </c>
      <c r="F6741" s="1043"/>
      <c r="G6741" s="1550"/>
    </row>
    <row r="6742" spans="1:7" ht="12.75" customHeight="1">
      <c r="A6742" s="1754">
        <v>44638</v>
      </c>
      <c r="B6742" s="125" t="str">
        <f>TiposLancamentos!B5</f>
        <v>Supermercado</v>
      </c>
      <c r="C6742" s="1040" t="s">
        <v>8536</v>
      </c>
      <c r="D6742" s="1736"/>
      <c r="E6742" s="1043">
        <v>10.9</v>
      </c>
      <c r="F6742" s="1043"/>
      <c r="G6742" s="1550"/>
    </row>
    <row r="6743" spans="1:7" ht="12.75" customHeight="1">
      <c r="A6743" s="1754">
        <v>44639</v>
      </c>
      <c r="B6743" s="125" t="str">
        <f>TiposLancamentos!B5</f>
        <v>Supermercado</v>
      </c>
      <c r="C6743" s="1040" t="s">
        <v>8537</v>
      </c>
      <c r="D6743" s="1736"/>
      <c r="E6743" s="1043">
        <v>2.97</v>
      </c>
      <c r="F6743" s="1043"/>
      <c r="G6743" s="1550"/>
    </row>
    <row r="6744" spans="1:7" ht="12.75" customHeight="1">
      <c r="A6744" s="1754">
        <v>44640</v>
      </c>
      <c r="B6744" s="125" t="str">
        <f>TiposLancamentos!B19</f>
        <v>Restaurantes</v>
      </c>
      <c r="C6744" s="1040" t="s">
        <v>8538</v>
      </c>
      <c r="D6744" s="1736"/>
      <c r="E6744" s="1043">
        <v>224.57</v>
      </c>
      <c r="F6744" s="1043"/>
      <c r="G6744" s="1550"/>
    </row>
    <row r="6745" spans="1:7" ht="12.75" customHeight="1">
      <c r="A6745" s="1754">
        <v>44640</v>
      </c>
      <c r="B6745" s="125" t="str">
        <f>TiposLancamentos!B19</f>
        <v>Restaurantes</v>
      </c>
      <c r="C6745" s="1040" t="s">
        <v>8539</v>
      </c>
      <c r="D6745" s="1736"/>
      <c r="E6745" s="1043">
        <v>30</v>
      </c>
      <c r="F6745" s="1043"/>
      <c r="G6745" s="1550"/>
    </row>
    <row r="6746" spans="1:7" ht="12.75" customHeight="1">
      <c r="A6746" s="1754">
        <v>44640</v>
      </c>
      <c r="B6746" s="125" t="str">
        <f>TiposLancamentos!B19</f>
        <v>Restaurantes</v>
      </c>
      <c r="C6746" s="1040" t="s">
        <v>8540</v>
      </c>
      <c r="D6746" s="1736"/>
      <c r="E6746" s="1043">
        <v>14</v>
      </c>
      <c r="F6746" s="1043"/>
      <c r="G6746" s="1550"/>
    </row>
    <row r="6747" spans="1:7" ht="12.75" customHeight="1">
      <c r="A6747" s="1754">
        <v>44641</v>
      </c>
      <c r="B6747" s="125" t="str">
        <f>TiposLancamentos!B6</f>
        <v>Energia Eletrica</v>
      </c>
      <c r="C6747" s="1040" t="s">
        <v>8541</v>
      </c>
      <c r="D6747" s="1736"/>
      <c r="E6747" s="1043">
        <v>285.35000000000002</v>
      </c>
      <c r="F6747" s="1043"/>
      <c r="G6747" s="1550"/>
    </row>
    <row r="6748" spans="1:7" ht="12.75" customHeight="1">
      <c r="A6748" s="1754">
        <v>44642</v>
      </c>
      <c r="B6748" s="125" t="str">
        <f>TiposLancamentos!B19</f>
        <v>Restaurantes</v>
      </c>
      <c r="C6748" s="1040" t="s">
        <v>8542</v>
      </c>
      <c r="D6748" s="1736"/>
      <c r="E6748" s="1043">
        <v>48.89</v>
      </c>
      <c r="F6748" s="1043"/>
      <c r="G6748" s="1550"/>
    </row>
    <row r="6749" spans="1:7" ht="12.75" customHeight="1">
      <c r="A6749" s="1754">
        <v>44642</v>
      </c>
      <c r="B6749" s="125" t="str">
        <f>TiposLancamentos!B69</f>
        <v>Consertos</v>
      </c>
      <c r="C6749" s="1040" t="s">
        <v>8543</v>
      </c>
      <c r="D6749" s="1736"/>
      <c r="E6749" s="1043">
        <v>180</v>
      </c>
      <c r="F6749" s="1043"/>
      <c r="G6749" s="1550"/>
    </row>
    <row r="6750" spans="1:7" ht="12.75" customHeight="1">
      <c r="A6750" s="1666">
        <v>44643</v>
      </c>
      <c r="B6750" s="817" t="str">
        <f>TiposLancamentos!B8</f>
        <v>Aluguel</v>
      </c>
      <c r="C6750" s="1742" t="s">
        <v>8544</v>
      </c>
      <c r="D6750" s="1735"/>
      <c r="E6750" s="1733">
        <f>F6755-(E6751+E6755+E6752+E6754+E6753)</f>
        <v>1434.5</v>
      </c>
      <c r="F6750" s="1346"/>
      <c r="G6750" s="1550"/>
    </row>
    <row r="6751" spans="1:7" ht="12.75" customHeight="1">
      <c r="A6751" s="1667">
        <v>44643</v>
      </c>
      <c r="B6751" s="816" t="str">
        <f>TiposLancamentos!B12</f>
        <v>IPTU</v>
      </c>
      <c r="C6751" s="1769" t="s">
        <v>8545</v>
      </c>
      <c r="D6751" s="1736"/>
      <c r="E6751" s="1734"/>
      <c r="F6751" s="1043"/>
      <c r="G6751" s="1550"/>
    </row>
    <row r="6752" spans="1:7" ht="12.75" customHeight="1">
      <c r="A6752" s="1667">
        <v>44643</v>
      </c>
      <c r="B6752" s="816" t="str">
        <f>TiposLancamentos!B10</f>
        <v>Distr. Água Municipal</v>
      </c>
      <c r="C6752" s="1769" t="s">
        <v>7423</v>
      </c>
      <c r="D6752" s="1736"/>
      <c r="E6752" s="1734">
        <v>47.59</v>
      </c>
      <c r="F6752" s="1043"/>
      <c r="G6752" s="1550"/>
    </row>
    <row r="6753" spans="1:7" ht="12.75" customHeight="1">
      <c r="A6753" s="1667">
        <v>44643</v>
      </c>
      <c r="B6753" s="816" t="str">
        <f>TiposLancamentos!B11</f>
        <v>Coleta Municipal Lixo</v>
      </c>
      <c r="C6753" s="1769" t="s">
        <v>7424</v>
      </c>
      <c r="D6753" s="1736"/>
      <c r="E6753" s="1734">
        <v>44.36</v>
      </c>
      <c r="F6753" s="1043"/>
      <c r="G6753" s="1550"/>
    </row>
    <row r="6754" spans="1:7" ht="12.75" customHeight="1">
      <c r="A6754" s="1667">
        <v>44643</v>
      </c>
      <c r="B6754" s="816" t="str">
        <f>TiposLancamentos!B8</f>
        <v>Aluguel</v>
      </c>
      <c r="C6754" s="1769" t="s">
        <v>7425</v>
      </c>
      <c r="D6754" s="1736"/>
      <c r="E6754" s="1734">
        <v>8</v>
      </c>
      <c r="F6754" s="1043"/>
      <c r="G6754" s="1550"/>
    </row>
    <row r="6755" spans="1:7" ht="12.75" customHeight="1">
      <c r="A6755" s="1750">
        <v>44643</v>
      </c>
      <c r="B6755" s="818" t="str">
        <f>TiposLancamentos!B9</f>
        <v>Condominio</v>
      </c>
      <c r="C6755" s="1743" t="s">
        <v>7427</v>
      </c>
      <c r="D6755" s="1737"/>
      <c r="E6755" s="1668">
        <v>616.37</v>
      </c>
      <c r="F6755" s="1291">
        <v>2150.8200000000002</v>
      </c>
      <c r="G6755" s="1550"/>
    </row>
    <row r="6756" spans="1:7" ht="12.75" customHeight="1">
      <c r="A6756" s="1754">
        <v>44643</v>
      </c>
      <c r="B6756" s="125" t="str">
        <f>TiposLancamentos!B19</f>
        <v>Restaurantes</v>
      </c>
      <c r="C6756" s="1040" t="s">
        <v>8546</v>
      </c>
      <c r="D6756" s="1736"/>
      <c r="E6756" s="1043">
        <v>20</v>
      </c>
      <c r="F6756" s="1040"/>
      <c r="G6756" s="1550"/>
    </row>
    <row r="6757" spans="1:7" ht="12.75" customHeight="1">
      <c r="A6757" s="1754">
        <v>44643</v>
      </c>
      <c r="B6757" s="125" t="str">
        <f>TiposLancamentos!B24</f>
        <v>Estacionamentos</v>
      </c>
      <c r="C6757" s="1040" t="s">
        <v>8547</v>
      </c>
      <c r="D6757" s="1736"/>
      <c r="E6757" s="1043">
        <v>15</v>
      </c>
      <c r="F6757" s="1040"/>
      <c r="G6757" s="1550"/>
    </row>
    <row r="6758" spans="1:7" ht="12.75" customHeight="1">
      <c r="A6758" s="1754">
        <v>44643</v>
      </c>
      <c r="B6758" s="125" t="str">
        <f>TiposLancamentos!B5</f>
        <v>Supermercado</v>
      </c>
      <c r="C6758" s="1040" t="s">
        <v>1884</v>
      </c>
      <c r="D6758" s="1736"/>
      <c r="E6758" s="1043">
        <v>32.700000000000003</v>
      </c>
      <c r="F6758" s="1040"/>
      <c r="G6758" s="1550"/>
    </row>
    <row r="6759" spans="1:7" ht="12.75" customHeight="1">
      <c r="A6759" s="1754">
        <v>44644</v>
      </c>
      <c r="B6759" s="125" t="str">
        <f>TiposLancamentos!B5</f>
        <v>Supermercado</v>
      </c>
      <c r="C6759" s="1040" t="s">
        <v>8548</v>
      </c>
      <c r="D6759" s="1736"/>
      <c r="E6759" s="1043">
        <v>206.84</v>
      </c>
      <c r="F6759" s="1040"/>
      <c r="G6759" s="1550"/>
    </row>
    <row r="6760" spans="1:7" ht="12.75" customHeight="1">
      <c r="A6760" s="1754">
        <v>44646</v>
      </c>
      <c r="B6760" s="125" t="str">
        <f>TiposLancamentos!B24</f>
        <v>Estacionamentos</v>
      </c>
      <c r="C6760" s="1040" t="s">
        <v>3398</v>
      </c>
      <c r="D6760" s="1736"/>
      <c r="E6760" s="1043">
        <v>13</v>
      </c>
      <c r="F6760" s="1040"/>
      <c r="G6760" s="1550"/>
    </row>
    <row r="6761" spans="1:7" ht="12.75" customHeight="1">
      <c r="A6761" s="1754">
        <v>44646</v>
      </c>
      <c r="B6761" s="125" t="str">
        <f>TiposLancamentos!B19</f>
        <v>Restaurantes</v>
      </c>
      <c r="C6761" s="1040" t="s">
        <v>8549</v>
      </c>
      <c r="D6761" s="1736"/>
      <c r="E6761" s="1043">
        <v>151.55000000000001</v>
      </c>
      <c r="F6761" s="1040"/>
      <c r="G6761" s="1550"/>
    </row>
    <row r="6762" spans="1:7" ht="12.75" customHeight="1">
      <c r="A6762" s="1754">
        <v>44646</v>
      </c>
      <c r="B6762" s="125" t="str">
        <f>TiposLancamentos!B24</f>
        <v>Estacionamentos</v>
      </c>
      <c r="C6762" s="1040" t="s">
        <v>8550</v>
      </c>
      <c r="D6762" s="1736"/>
      <c r="E6762" s="1043">
        <v>15</v>
      </c>
      <c r="F6762" s="1040"/>
      <c r="G6762" s="1550"/>
    </row>
    <row r="6763" spans="1:7" ht="12.75" customHeight="1">
      <c r="A6763" s="1754">
        <v>44647</v>
      </c>
      <c r="B6763" s="125" t="str">
        <f>TiposLancamentos!B17</f>
        <v>GATO</v>
      </c>
      <c r="C6763" s="1040" t="s">
        <v>1925</v>
      </c>
      <c r="D6763" s="1736"/>
      <c r="E6763" s="1043">
        <v>16.62</v>
      </c>
      <c r="F6763" s="1040"/>
      <c r="G6763" s="1550"/>
    </row>
    <row r="6764" spans="1:7" ht="12.75" customHeight="1">
      <c r="A6764" s="1754">
        <v>44647</v>
      </c>
      <c r="B6764" s="125" t="str">
        <f>TiposLancamentos!B19</f>
        <v>Restaurantes</v>
      </c>
      <c r="C6764" s="1040" t="s">
        <v>8551</v>
      </c>
      <c r="D6764" s="1736"/>
      <c r="E6764" s="1043">
        <v>191.07</v>
      </c>
      <c r="F6764" s="1040"/>
      <c r="G6764" s="1550"/>
    </row>
    <row r="6765" spans="1:7" ht="12.75" customHeight="1">
      <c r="A6765" s="1754">
        <v>44647</v>
      </c>
      <c r="B6765" s="125" t="str">
        <f>TiposLancamentos!B19</f>
        <v>Restaurantes</v>
      </c>
      <c r="C6765" s="1040" t="s">
        <v>8552</v>
      </c>
      <c r="D6765" s="1736"/>
      <c r="E6765" s="1043">
        <v>30</v>
      </c>
      <c r="F6765" s="1040"/>
      <c r="G6765" s="1550"/>
    </row>
    <row r="6766" spans="1:7" ht="12.75" customHeight="1">
      <c r="A6766" s="1754">
        <v>44647</v>
      </c>
      <c r="B6766" s="125" t="str">
        <f>TiposLancamentos!B71</f>
        <v>Itens Pessoais</v>
      </c>
      <c r="C6766" s="1040" t="s">
        <v>8553</v>
      </c>
      <c r="D6766" s="1736"/>
      <c r="E6766" s="1043">
        <v>18.2</v>
      </c>
      <c r="F6766" s="1040"/>
      <c r="G6766" s="1550"/>
    </row>
    <row r="6767" spans="1:7" ht="12.75" customHeight="1">
      <c r="A6767" s="1754">
        <v>44647</v>
      </c>
      <c r="B6767" s="125" t="str">
        <f>TiposLancamentos!B19</f>
        <v>Restaurantes</v>
      </c>
      <c r="C6767" s="1040" t="s">
        <v>8554</v>
      </c>
      <c r="D6767" s="1736"/>
      <c r="E6767" s="1043">
        <v>62</v>
      </c>
      <c r="F6767" s="1040"/>
      <c r="G6767" s="1550"/>
    </row>
    <row r="6768" spans="1:7" ht="12.75" customHeight="1">
      <c r="A6768" s="1754">
        <v>44648</v>
      </c>
      <c r="B6768" s="125" t="str">
        <f>TiposLancamentos!B16</f>
        <v>Cristiane</v>
      </c>
      <c r="C6768" s="1040" t="s">
        <v>8555</v>
      </c>
      <c r="D6768" s="1736"/>
      <c r="E6768" s="1043">
        <v>41.38</v>
      </c>
      <c r="F6768" s="1040"/>
      <c r="G6768" s="1550"/>
    </row>
    <row r="6769" spans="1:7" ht="12.75" customHeight="1">
      <c r="A6769" s="1754">
        <v>44648</v>
      </c>
      <c r="B6769" s="125" t="str">
        <f>TiposLancamentos!B24</f>
        <v>Estacionamentos</v>
      </c>
      <c r="C6769" s="1040" t="s">
        <v>8547</v>
      </c>
      <c r="D6769" s="1736"/>
      <c r="E6769" s="1043">
        <v>7</v>
      </c>
      <c r="F6769" s="1040"/>
      <c r="G6769" s="1550"/>
    </row>
    <row r="6770" spans="1:7" ht="12.75" customHeight="1">
      <c r="A6770" s="1754">
        <v>44649</v>
      </c>
      <c r="B6770" s="125" t="str">
        <f>TiposLancamentos!B5</f>
        <v>Supermercado</v>
      </c>
      <c r="C6770" s="1040" t="s">
        <v>8012</v>
      </c>
      <c r="D6770" s="1736"/>
      <c r="E6770" s="1043">
        <v>7.99</v>
      </c>
      <c r="F6770" s="1040"/>
      <c r="G6770" s="1550"/>
    </row>
    <row r="6771" spans="1:7" ht="12.75" customHeight="1">
      <c r="A6771" s="1754">
        <v>44649</v>
      </c>
      <c r="B6771" s="125" t="str">
        <f>TiposLancamentos!B19</f>
        <v>Restaurantes</v>
      </c>
      <c r="C6771" s="1040" t="s">
        <v>1967</v>
      </c>
      <c r="D6771" s="1736"/>
      <c r="E6771" s="1043">
        <v>28.6</v>
      </c>
      <c r="F6771" s="1040"/>
      <c r="G6771" s="1550"/>
    </row>
    <row r="6772" spans="1:7" ht="12.75" customHeight="1">
      <c r="A6772" s="1754">
        <v>44649</v>
      </c>
      <c r="B6772" s="125" t="str">
        <f>TiposLancamentos!B5</f>
        <v>Supermercado</v>
      </c>
      <c r="C6772" s="1040" t="s">
        <v>7667</v>
      </c>
      <c r="D6772" s="1736"/>
      <c r="E6772" s="1043">
        <v>196.12</v>
      </c>
      <c r="F6772" s="1040"/>
      <c r="G6772" s="1550"/>
    </row>
    <row r="6773" spans="1:7" ht="12.75" customHeight="1">
      <c r="A6773" s="1754">
        <v>44649</v>
      </c>
      <c r="B6773" s="125" t="str">
        <f>TiposLancamentos!B56</f>
        <v>Farmácia</v>
      </c>
      <c r="C6773" s="1040" t="s">
        <v>8556</v>
      </c>
      <c r="D6773" s="1736"/>
      <c r="E6773" s="1043">
        <v>20.9</v>
      </c>
      <c r="F6773" s="1040"/>
      <c r="G6773" s="1550"/>
    </row>
    <row r="6774" spans="1:7" ht="12.75" customHeight="1">
      <c r="A6774" s="1754">
        <v>44649</v>
      </c>
      <c r="B6774" s="125" t="str">
        <f>TiposLancamentos!B24</f>
        <v>Estacionamentos</v>
      </c>
      <c r="C6774" s="1040" t="s">
        <v>8557</v>
      </c>
      <c r="D6774" s="1736"/>
      <c r="E6774" s="1043">
        <v>15</v>
      </c>
      <c r="F6774" s="1040"/>
      <c r="G6774" s="1550"/>
    </row>
    <row r="6775" spans="1:7" ht="12.75" customHeight="1">
      <c r="A6775" s="1754">
        <v>44651</v>
      </c>
      <c r="B6775" s="125" t="str">
        <f>TiposLancamentos!B95</f>
        <v>Salarios</v>
      </c>
      <c r="C6775" s="1040" t="s">
        <v>8064</v>
      </c>
      <c r="D6775" s="1736">
        <v>3692.37</v>
      </c>
      <c r="E6775" s="1043"/>
      <c r="F6775" s="1040"/>
      <c r="G6775" s="1550"/>
    </row>
    <row r="6776" spans="1:7" ht="12.75" customHeight="1" thickBot="1">
      <c r="A6776" s="1754">
        <v>44651</v>
      </c>
      <c r="B6776" s="125" t="str">
        <f>TiposLancamentos!B14</f>
        <v>Gás de cozinha</v>
      </c>
      <c r="C6776" s="1040" t="s">
        <v>8558</v>
      </c>
      <c r="D6776" s="1736"/>
      <c r="E6776" s="1043">
        <v>44.38</v>
      </c>
      <c r="F6776" s="1040"/>
      <c r="G6776" s="1550"/>
    </row>
    <row r="6777" spans="1:7" ht="12.75" customHeight="1">
      <c r="A6777" s="1834"/>
      <c r="B6777" s="977"/>
      <c r="C6777" s="1854" t="s">
        <v>1609</v>
      </c>
      <c r="D6777" s="1823"/>
      <c r="E6777" s="1821"/>
      <c r="F6777" s="1821"/>
      <c r="G6777" s="1895"/>
    </row>
    <row r="6778" spans="1:7" ht="12.75" customHeight="1">
      <c r="A6778" s="1754">
        <v>44652</v>
      </c>
      <c r="B6778" s="125" t="str">
        <f>TiposLancamentos!B15</f>
        <v>Cartões de Crédito</v>
      </c>
      <c r="C6778" s="1040" t="s">
        <v>7781</v>
      </c>
      <c r="D6778" s="1736"/>
      <c r="E6778" s="1043">
        <v>1933.48</v>
      </c>
      <c r="F6778" s="1040"/>
      <c r="G6778" s="1550"/>
    </row>
    <row r="6779" spans="1:7" ht="12.75" customHeight="1">
      <c r="A6779" s="1754">
        <v>44652</v>
      </c>
      <c r="B6779" s="125" t="str">
        <f>TiposLancamentos!B15</f>
        <v>Cartões de Crédito</v>
      </c>
      <c r="C6779" s="1040" t="s">
        <v>8016</v>
      </c>
      <c r="D6779" s="1736"/>
      <c r="E6779" s="1043">
        <v>136.02000000000001</v>
      </c>
      <c r="F6779" s="1040"/>
      <c r="G6779" s="1550"/>
    </row>
    <row r="6780" spans="1:7" ht="12.75" customHeight="1">
      <c r="A6780" s="1754">
        <v>44652</v>
      </c>
      <c r="B6780" s="125" t="str">
        <f>TiposLancamentos!B15</f>
        <v>Cartões de Crédito</v>
      </c>
      <c r="C6780" s="1040" t="s">
        <v>8252</v>
      </c>
      <c r="D6780" s="1736"/>
      <c r="E6780" s="1043">
        <v>99.42</v>
      </c>
      <c r="F6780" s="1040"/>
      <c r="G6780" s="1550"/>
    </row>
    <row r="6781" spans="1:7" ht="12.75" customHeight="1">
      <c r="A6781" s="1754">
        <v>44653</v>
      </c>
      <c r="B6781" s="125" t="str">
        <f>TiposLancamentos!B13</f>
        <v>Moradia</v>
      </c>
      <c r="C6781" s="1040" t="s">
        <v>8559</v>
      </c>
      <c r="D6781" s="1736"/>
      <c r="E6781" s="1043">
        <v>139</v>
      </c>
      <c r="F6781" s="1040"/>
      <c r="G6781" s="1550"/>
    </row>
    <row r="6782" spans="1:7" ht="12.75" customHeight="1">
      <c r="A6782" s="1754">
        <v>44653</v>
      </c>
      <c r="B6782" s="125" t="str">
        <f>TiposLancamentos!B24</f>
        <v>Estacionamentos</v>
      </c>
      <c r="C6782" s="1040" t="s">
        <v>3398</v>
      </c>
      <c r="D6782" s="1736"/>
      <c r="E6782" s="1043">
        <v>13</v>
      </c>
      <c r="F6782" s="1040"/>
      <c r="G6782" s="1550"/>
    </row>
    <row r="6783" spans="1:7" ht="12.75" customHeight="1">
      <c r="A6783" s="1754">
        <v>44653</v>
      </c>
      <c r="B6783" s="125" t="str">
        <f>TiposLancamentos!B19</f>
        <v>Restaurantes</v>
      </c>
      <c r="C6783" s="1040" t="s">
        <v>8560</v>
      </c>
      <c r="D6783" s="1736"/>
      <c r="E6783" s="1043">
        <v>62</v>
      </c>
      <c r="F6783" s="1040"/>
      <c r="G6783" s="1550"/>
    </row>
    <row r="6784" spans="1:7" ht="12.75" customHeight="1">
      <c r="A6784" s="1754">
        <v>44655</v>
      </c>
      <c r="B6784" s="125" t="str">
        <f>TiposLancamentos!B32</f>
        <v>Clinicas e tratamentos</v>
      </c>
      <c r="C6784" s="1040" t="s">
        <v>8561</v>
      </c>
      <c r="D6784" s="1736"/>
      <c r="E6784" s="1043">
        <v>187.5</v>
      </c>
      <c r="F6784" s="1040"/>
      <c r="G6784" s="1550"/>
    </row>
    <row r="6785" spans="1:7" ht="12.75" customHeight="1">
      <c r="A6785" s="1754">
        <v>44655</v>
      </c>
      <c r="B6785" s="125" t="str">
        <f>TiposLancamentos!B4</f>
        <v>Taxas Bancarias</v>
      </c>
      <c r="C6785" s="1040" t="s">
        <v>5339</v>
      </c>
      <c r="D6785" s="1736"/>
      <c r="E6785" s="1043">
        <v>53.89</v>
      </c>
      <c r="F6785" s="1040"/>
      <c r="G6785" s="1550"/>
    </row>
    <row r="6786" spans="1:7" ht="12.75" customHeight="1">
      <c r="A6786" s="1754">
        <v>44655</v>
      </c>
      <c r="B6786" s="125" t="str">
        <f>TiposLancamentos!B24</f>
        <v>Estacionamentos</v>
      </c>
      <c r="C6786" s="1040" t="s">
        <v>8562</v>
      </c>
      <c r="D6786" s="1736"/>
      <c r="E6786" s="1043">
        <v>5</v>
      </c>
      <c r="F6786" s="1040"/>
      <c r="G6786" s="1550"/>
    </row>
    <row r="6787" spans="1:7" ht="12.75" customHeight="1">
      <c r="A6787" s="1754">
        <v>44655</v>
      </c>
      <c r="B6787" s="125" t="str">
        <f>TiposLancamentos!B4</f>
        <v>Taxas Bancarias</v>
      </c>
      <c r="C6787" s="1040" t="s">
        <v>8563</v>
      </c>
      <c r="D6787" s="1736"/>
      <c r="E6787" s="1043">
        <v>5.7</v>
      </c>
      <c r="F6787" s="1040"/>
      <c r="G6787" s="1550"/>
    </row>
    <row r="6788" spans="1:7" ht="12.75" customHeight="1">
      <c r="A6788" s="1754">
        <v>44656</v>
      </c>
      <c r="B6788" s="125" t="str">
        <f>TiposLancamentos!B59</f>
        <v>Documentos</v>
      </c>
      <c r="C6788" s="1040" t="s">
        <v>8564</v>
      </c>
      <c r="D6788" s="1736"/>
      <c r="E6788" s="1043">
        <v>380</v>
      </c>
      <c r="F6788" s="1040"/>
      <c r="G6788" s="1550"/>
    </row>
    <row r="6789" spans="1:7" ht="12.75" customHeight="1">
      <c r="A6789" s="1754">
        <v>44656</v>
      </c>
      <c r="B6789" s="125" t="str">
        <f>TiposLancamentos!B24</f>
        <v>Estacionamentos</v>
      </c>
      <c r="C6789" s="1040" t="s">
        <v>8565</v>
      </c>
      <c r="D6789" s="1736"/>
      <c r="E6789" s="1043">
        <v>18</v>
      </c>
      <c r="F6789" s="1040"/>
      <c r="G6789" s="1550"/>
    </row>
    <row r="6790" spans="1:7" ht="12.75" customHeight="1">
      <c r="A6790" s="1754">
        <v>44656</v>
      </c>
      <c r="B6790" s="125" t="str">
        <f>TiposLancamentos!B4</f>
        <v>Taxas Bancarias</v>
      </c>
      <c r="C6790" s="1040" t="s">
        <v>5707</v>
      </c>
      <c r="D6790" s="1736"/>
      <c r="E6790" s="1043">
        <v>522.59</v>
      </c>
      <c r="F6790" s="1040"/>
      <c r="G6790" s="1550"/>
    </row>
    <row r="6791" spans="1:7" ht="12.75" customHeight="1">
      <c r="A6791" s="1754">
        <v>44656</v>
      </c>
      <c r="B6791" s="125" t="str">
        <f>TiposLancamentos!B4</f>
        <v>Taxas Bancarias</v>
      </c>
      <c r="C6791" s="1040" t="s">
        <v>8566</v>
      </c>
      <c r="D6791" s="1736"/>
      <c r="E6791" s="1043">
        <v>33.75</v>
      </c>
      <c r="F6791" s="1040"/>
      <c r="G6791" s="1550"/>
    </row>
    <row r="6792" spans="1:7" ht="12.75" customHeight="1">
      <c r="A6792" s="1754">
        <v>44657</v>
      </c>
      <c r="B6792" s="125" t="str">
        <f>TiposLancamentos!B13</f>
        <v>Moradia</v>
      </c>
      <c r="C6792" s="1040" t="s">
        <v>8567</v>
      </c>
      <c r="D6792" s="1736"/>
      <c r="E6792" s="1043">
        <v>14</v>
      </c>
      <c r="F6792" s="1040"/>
      <c r="G6792" s="1550"/>
    </row>
    <row r="6793" spans="1:7" ht="12.75" customHeight="1">
      <c r="A6793" s="1754">
        <v>44660</v>
      </c>
      <c r="B6793" s="125" t="str">
        <f>TiposLancamentos!B16</f>
        <v>Cristiane</v>
      </c>
      <c r="C6793" s="1040" t="s">
        <v>8568</v>
      </c>
      <c r="D6793" s="1736"/>
      <c r="E6793" s="1043">
        <v>104</v>
      </c>
      <c r="F6793" s="1040"/>
      <c r="G6793" s="1550"/>
    </row>
    <row r="6794" spans="1:7" ht="12.75" customHeight="1">
      <c r="A6794" s="1754">
        <v>44660</v>
      </c>
      <c r="B6794" s="125" t="str">
        <f>TiposLancamentos!B16</f>
        <v>Cristiane</v>
      </c>
      <c r="C6794" s="1040" t="s">
        <v>8569</v>
      </c>
      <c r="D6794" s="1736"/>
      <c r="E6794" s="1043">
        <v>54.93</v>
      </c>
      <c r="F6794" s="1040"/>
      <c r="G6794" s="1550"/>
    </row>
    <row r="6795" spans="1:7" ht="12.75" customHeight="1">
      <c r="A6795" s="1754">
        <v>44660</v>
      </c>
      <c r="B6795" s="125" t="str">
        <f>TiposLancamentos!B19</f>
        <v>Restaurantes</v>
      </c>
      <c r="C6795" s="1040" t="s">
        <v>8570</v>
      </c>
      <c r="D6795" s="1736"/>
      <c r="E6795" s="1043">
        <v>18</v>
      </c>
      <c r="F6795" s="1040"/>
      <c r="G6795" s="1550"/>
    </row>
    <row r="6796" spans="1:7" ht="12.75" customHeight="1">
      <c r="A6796" s="1754">
        <v>44660</v>
      </c>
      <c r="B6796" s="125" t="str">
        <f>TiposLancamentos!B19</f>
        <v>Restaurantes</v>
      </c>
      <c r="C6796" s="1040" t="s">
        <v>2014</v>
      </c>
      <c r="D6796" s="1736"/>
      <c r="E6796" s="1043">
        <v>13</v>
      </c>
      <c r="F6796" s="1040"/>
      <c r="G6796" s="1550"/>
    </row>
    <row r="6797" spans="1:7" ht="12.75" customHeight="1">
      <c r="A6797" s="1754">
        <v>44661</v>
      </c>
      <c r="B6797" s="125" t="str">
        <f>TiposLancamentos!B19</f>
        <v>Restaurantes</v>
      </c>
      <c r="C6797" s="1040" t="s">
        <v>8571</v>
      </c>
      <c r="D6797" s="1736"/>
      <c r="E6797" s="1043">
        <v>150</v>
      </c>
      <c r="F6797" s="1040"/>
      <c r="G6797" s="1550"/>
    </row>
    <row r="6798" spans="1:7" ht="12.75" customHeight="1">
      <c r="A6798" s="1754">
        <v>44661</v>
      </c>
      <c r="B6798" s="125" t="str">
        <f>TiposLancamentos!B19</f>
        <v>Restaurantes</v>
      </c>
      <c r="C6798" s="1040" t="s">
        <v>8572</v>
      </c>
      <c r="D6798" s="1736"/>
      <c r="E6798" s="1043">
        <v>37</v>
      </c>
      <c r="F6798" s="1040"/>
      <c r="G6798" s="1550"/>
    </row>
    <row r="6799" spans="1:7" ht="12.75" customHeight="1">
      <c r="A6799" s="1754">
        <v>44662</v>
      </c>
      <c r="B6799" s="125" t="str">
        <f>TiposLancamentos!B46</f>
        <v>Maçonaria</v>
      </c>
      <c r="C6799" s="1040" t="s">
        <v>8573</v>
      </c>
      <c r="D6799" s="1736"/>
      <c r="E6799" s="1043">
        <v>200</v>
      </c>
      <c r="F6799" s="1043"/>
      <c r="G6799" s="1550"/>
    </row>
    <row r="6800" spans="1:7" ht="12.75" customHeight="1">
      <c r="A6800" s="1754">
        <v>44662</v>
      </c>
      <c r="B6800" s="125" t="str">
        <f>TiposLancamentos!B5</f>
        <v>Supermercado</v>
      </c>
      <c r="C6800" s="1040" t="s">
        <v>8574</v>
      </c>
      <c r="D6800" s="1736"/>
      <c r="E6800" s="1043">
        <v>7.99</v>
      </c>
      <c r="F6800" s="1043"/>
      <c r="G6800" s="1550"/>
    </row>
    <row r="6801" spans="1:7" ht="12.75" customHeight="1">
      <c r="A6801" s="1754">
        <v>44663</v>
      </c>
      <c r="B6801" s="125" t="str">
        <f>TiposLancamentos!B5</f>
        <v>Supermercado</v>
      </c>
      <c r="C6801" s="1040" t="s">
        <v>7904</v>
      </c>
      <c r="D6801" s="1736"/>
      <c r="E6801" s="1043">
        <v>207.56</v>
      </c>
      <c r="F6801" s="1043"/>
      <c r="G6801" s="1550"/>
    </row>
    <row r="6802" spans="1:7" ht="12.75" customHeight="1">
      <c r="A6802" s="1754">
        <v>44664</v>
      </c>
      <c r="B6802" s="125" t="str">
        <f>TiposLancamentos!B19</f>
        <v>Restaurantes</v>
      </c>
      <c r="C6802" s="1040" t="s">
        <v>8575</v>
      </c>
      <c r="D6802" s="1736"/>
      <c r="E6802" s="1043">
        <v>77.8</v>
      </c>
      <c r="F6802" s="1043"/>
      <c r="G6802" s="1550"/>
    </row>
    <row r="6803" spans="1:7" ht="12.75" customHeight="1">
      <c r="A6803" s="1754">
        <v>44665</v>
      </c>
      <c r="B6803" s="125" t="str">
        <f>TiposLancamentos!B95</f>
        <v>Salarios</v>
      </c>
      <c r="C6803" s="1040" t="s">
        <v>8078</v>
      </c>
      <c r="D6803" s="1736">
        <v>5040.0200000000004</v>
      </c>
      <c r="E6803" s="1043"/>
      <c r="F6803" s="1043"/>
      <c r="G6803" s="1550"/>
    </row>
    <row r="6804" spans="1:7" ht="12.75" customHeight="1">
      <c r="A6804" s="1754">
        <v>44667</v>
      </c>
      <c r="B6804" s="125" t="str">
        <f>B6801</f>
        <v>Supermercado</v>
      </c>
      <c r="C6804" s="1040" t="s">
        <v>8576</v>
      </c>
      <c r="D6804" s="1736"/>
      <c r="E6804" s="1043">
        <v>28.49</v>
      </c>
      <c r="F6804" s="1043"/>
      <c r="G6804" s="1550"/>
    </row>
    <row r="6805" spans="1:7" ht="12.75" customHeight="1">
      <c r="A6805" s="1754">
        <v>44667</v>
      </c>
      <c r="B6805" s="125" t="str">
        <f>TiposLancamentos!B56</f>
        <v>Farmácia</v>
      </c>
      <c r="C6805" s="1040" t="s">
        <v>8474</v>
      </c>
      <c r="D6805" s="1736"/>
      <c r="E6805" s="1043">
        <v>188.89</v>
      </c>
      <c r="F6805" s="1043"/>
      <c r="G6805" s="1550"/>
    </row>
    <row r="6806" spans="1:7" ht="12.75" customHeight="1">
      <c r="A6806" s="1754">
        <v>44667</v>
      </c>
      <c r="B6806" s="125" t="str">
        <f>TiposLancamentos!B56</f>
        <v>Farmácia</v>
      </c>
      <c r="C6806" s="1040" t="s">
        <v>8577</v>
      </c>
      <c r="D6806" s="1736"/>
      <c r="E6806" s="1043">
        <v>1.86</v>
      </c>
      <c r="F6806" s="1043"/>
      <c r="G6806" s="1550"/>
    </row>
    <row r="6807" spans="1:7" ht="12.75" customHeight="1">
      <c r="A6807" s="1754">
        <v>44668</v>
      </c>
      <c r="B6807" s="125" t="str">
        <f>TiposLancamentos!B5</f>
        <v>Supermercado</v>
      </c>
      <c r="C6807" s="1040" t="s">
        <v>7527</v>
      </c>
      <c r="D6807" s="1736"/>
      <c r="E6807" s="1043">
        <v>94.93</v>
      </c>
      <c r="F6807" s="1043"/>
      <c r="G6807" s="1550"/>
    </row>
    <row r="6808" spans="1:7" ht="12.75" customHeight="1">
      <c r="A6808" s="1754">
        <v>44665</v>
      </c>
      <c r="B6808" s="125"/>
      <c r="C6808" s="1040" t="s">
        <v>1868</v>
      </c>
      <c r="D6808" s="1736">
        <v>0</v>
      </c>
      <c r="E6808" s="1043">
        <v>0</v>
      </c>
      <c r="F6808" s="1043"/>
      <c r="G6808" s="1550"/>
    </row>
    <row r="6809" spans="1:7" ht="12.75" customHeight="1">
      <c r="A6809" s="1666">
        <v>44669</v>
      </c>
      <c r="B6809" s="817" t="str">
        <f>TiposLancamentos!B33</f>
        <v>Pedágios</v>
      </c>
      <c r="C6809" s="1742" t="s">
        <v>5392</v>
      </c>
      <c r="D6809" s="1735">
        <v>0</v>
      </c>
      <c r="E6809" s="1733">
        <f>F6811-(E6810+E6811)</f>
        <v>68.8</v>
      </c>
      <c r="F6809" s="1290"/>
      <c r="G6809" s="1550"/>
    </row>
    <row r="6810" spans="1:7" ht="12.75" customHeight="1">
      <c r="A6810" s="1667">
        <v>44669</v>
      </c>
      <c r="B6810" s="816" t="str">
        <f>TiposLancamentos!B24</f>
        <v>Estacionamentos</v>
      </c>
      <c r="C6810" s="1769" t="s">
        <v>7366</v>
      </c>
      <c r="D6810" s="1736"/>
      <c r="E6810" s="1734">
        <v>23</v>
      </c>
      <c r="F6810" s="1043"/>
      <c r="G6810" s="1550"/>
    </row>
    <row r="6811" spans="1:7" ht="12.75" customHeight="1">
      <c r="A6811" s="1750">
        <v>44669</v>
      </c>
      <c r="B6811" s="818" t="str">
        <f>TiposLancamentos!B24</f>
        <v>Estacionamentos</v>
      </c>
      <c r="C6811" s="1743" t="s">
        <v>6297</v>
      </c>
      <c r="D6811" s="1737"/>
      <c r="E6811" s="1668">
        <v>0</v>
      </c>
      <c r="F6811" s="1347">
        <v>91.8</v>
      </c>
      <c r="G6811" s="1550"/>
    </row>
    <row r="6812" spans="1:7" ht="12.75" customHeight="1">
      <c r="A6812" s="1754">
        <v>44669</v>
      </c>
      <c r="B6812" s="125"/>
      <c r="C6812" s="1040" t="s">
        <v>7341</v>
      </c>
      <c r="D6812" s="1736">
        <v>0</v>
      </c>
      <c r="E6812" s="1043"/>
      <c r="F6812" s="1043"/>
      <c r="G6812" s="1550"/>
    </row>
    <row r="6813" spans="1:7" ht="12.75" customHeight="1">
      <c r="A6813" s="1754">
        <v>44669</v>
      </c>
      <c r="B6813" s="125"/>
      <c r="C6813" s="1040" t="s">
        <v>1868</v>
      </c>
      <c r="D6813" s="1736">
        <v>0</v>
      </c>
      <c r="E6813" s="1043">
        <v>0</v>
      </c>
      <c r="F6813" s="1043"/>
      <c r="G6813" s="1550"/>
    </row>
    <row r="6814" spans="1:7" ht="12.75" customHeight="1">
      <c r="A6814" s="1666">
        <v>44669</v>
      </c>
      <c r="B6814" s="817" t="str">
        <f>TiposLancamentos!B35</f>
        <v>Tv à Cabo</v>
      </c>
      <c r="C6814" s="1742" t="s">
        <v>5834</v>
      </c>
      <c r="D6814" s="1735"/>
      <c r="E6814" s="1733">
        <f>F6816-(E6815+E6816)</f>
        <v>136.28999999999996</v>
      </c>
      <c r="F6814" s="1290"/>
      <c r="G6814" s="1550"/>
    </row>
    <row r="6815" spans="1:7" ht="12.75" customHeight="1">
      <c r="A6815" s="1667">
        <v>44669</v>
      </c>
      <c r="B6815" s="816" t="str">
        <f>TiposLancamentos!B3</f>
        <v>Internet</v>
      </c>
      <c r="C6815" s="1769" t="s">
        <v>5835</v>
      </c>
      <c r="D6815" s="1736"/>
      <c r="E6815" s="1734">
        <v>134.99</v>
      </c>
      <c r="F6815" s="1043"/>
      <c r="G6815" s="1550"/>
    </row>
    <row r="6816" spans="1:7" ht="12.75" customHeight="1">
      <c r="A6816" s="1750">
        <v>44669</v>
      </c>
      <c r="B6816" s="818" t="str">
        <f>TiposLancamentos!B2</f>
        <v>Telefonia</v>
      </c>
      <c r="C6816" s="1743" t="s">
        <v>7210</v>
      </c>
      <c r="D6816" s="1737"/>
      <c r="E6816" s="1668">
        <v>0</v>
      </c>
      <c r="F6816" s="1291">
        <v>271.27999999999997</v>
      </c>
      <c r="G6816" s="1550"/>
    </row>
    <row r="6817" spans="1:7" ht="12.75" customHeight="1">
      <c r="A6817" s="1754">
        <v>44669</v>
      </c>
      <c r="B6817" s="125" t="str">
        <f>TiposLancamentos!B2</f>
        <v>Telefonia</v>
      </c>
      <c r="C6817" s="1040" t="s">
        <v>8237</v>
      </c>
      <c r="D6817" s="1736"/>
      <c r="E6817" s="1043">
        <v>55.99</v>
      </c>
      <c r="F6817" s="1043"/>
      <c r="G6817" s="1550"/>
    </row>
    <row r="6818" spans="1:7" ht="12.75" customHeight="1">
      <c r="A6818" s="1754">
        <v>44669</v>
      </c>
      <c r="B6818" s="125" t="str">
        <f>TiposLancamentos!B22</f>
        <v>Combustivel</v>
      </c>
      <c r="C6818" s="1040" t="s">
        <v>6718</v>
      </c>
      <c r="D6818" s="1736"/>
      <c r="E6818" s="1043">
        <v>50</v>
      </c>
      <c r="F6818" s="1043"/>
      <c r="G6818" s="1550"/>
    </row>
    <row r="6819" spans="1:7" ht="12.75" customHeight="1">
      <c r="A6819" s="1754">
        <v>44670</v>
      </c>
      <c r="B6819" s="125" t="str">
        <f>TiposLancamentos!B46</f>
        <v>Maçonaria</v>
      </c>
      <c r="C6819" s="1040" t="s">
        <v>8578</v>
      </c>
      <c r="D6819" s="1736"/>
      <c r="E6819" s="1043">
        <v>110</v>
      </c>
      <c r="F6819" s="1043"/>
      <c r="G6819" s="1550"/>
    </row>
    <row r="6820" spans="1:7" ht="12.75" customHeight="1">
      <c r="A6820" s="1754">
        <v>44670</v>
      </c>
      <c r="B6820" s="125" t="str">
        <f>TiposLancamentos!B19</f>
        <v>Restaurantes</v>
      </c>
      <c r="C6820" s="1040" t="s">
        <v>8579</v>
      </c>
      <c r="D6820" s="1736"/>
      <c r="E6820" s="1043">
        <v>59.02</v>
      </c>
      <c r="F6820" s="1043"/>
      <c r="G6820" s="1550"/>
    </row>
    <row r="6821" spans="1:7" ht="12.75" customHeight="1">
      <c r="A6821" s="1754">
        <v>44670</v>
      </c>
      <c r="B6821" s="125" t="str">
        <f>TiposLancamentos!B19</f>
        <v>Restaurantes</v>
      </c>
      <c r="C6821" s="1040" t="s">
        <v>1967</v>
      </c>
      <c r="D6821" s="1736"/>
      <c r="E6821" s="1043">
        <v>40.700000000000003</v>
      </c>
      <c r="F6821" s="1043"/>
      <c r="G6821" s="1550"/>
    </row>
    <row r="6822" spans="1:7" ht="12.75" customHeight="1">
      <c r="A6822" s="1754">
        <v>44670</v>
      </c>
      <c r="B6822" s="125" t="str">
        <f>TiposLancamentos!B24</f>
        <v>Estacionamentos</v>
      </c>
      <c r="C6822" s="1040" t="s">
        <v>8580</v>
      </c>
      <c r="D6822" s="1736"/>
      <c r="E6822" s="1043">
        <v>10</v>
      </c>
      <c r="F6822" s="1043"/>
      <c r="G6822" s="1550"/>
    </row>
    <row r="6823" spans="1:7" ht="12.75" customHeight="1">
      <c r="A6823" s="1666">
        <v>44671</v>
      </c>
      <c r="B6823" s="817" t="str">
        <f>TiposLancamentos!B8</f>
        <v>Aluguel</v>
      </c>
      <c r="C6823" s="1742" t="s">
        <v>8581</v>
      </c>
      <c r="D6823" s="1735"/>
      <c r="E6823" s="1733">
        <f>F6828-(E6824+E6828+E6825+E6826+E6827)</f>
        <v>1404.71</v>
      </c>
      <c r="F6823" s="1346"/>
      <c r="G6823" s="1550"/>
    </row>
    <row r="6824" spans="1:7" ht="12.75" customHeight="1">
      <c r="A6824" s="1667">
        <v>44671</v>
      </c>
      <c r="B6824" s="816" t="str">
        <f>TiposLancamentos!B12</f>
        <v>IPTU</v>
      </c>
      <c r="C6824" s="1769" t="s">
        <v>8582</v>
      </c>
      <c r="D6824" s="1736"/>
      <c r="E6824" s="1734">
        <v>34.5</v>
      </c>
      <c r="F6824" s="1043"/>
      <c r="G6824" s="1550"/>
    </row>
    <row r="6825" spans="1:7" ht="12.75" customHeight="1">
      <c r="A6825" s="1667">
        <v>44671</v>
      </c>
      <c r="B6825" s="816" t="str">
        <f>TiposLancamentos!B10</f>
        <v>Distr. Água Municipal</v>
      </c>
      <c r="C6825" s="1769" t="s">
        <v>7423</v>
      </c>
      <c r="D6825" s="1736"/>
      <c r="E6825" s="1734">
        <v>55.21</v>
      </c>
      <c r="F6825" s="1043"/>
      <c r="G6825" s="1550"/>
    </row>
    <row r="6826" spans="1:7" ht="12.75" customHeight="1">
      <c r="A6826" s="1667">
        <v>44671</v>
      </c>
      <c r="B6826" s="816" t="str">
        <f>TiposLancamentos!B11</f>
        <v>Coleta Municipal Lixo</v>
      </c>
      <c r="C6826" s="1769" t="s">
        <v>7424</v>
      </c>
      <c r="D6826" s="1736"/>
      <c r="E6826" s="1734">
        <v>44.36</v>
      </c>
      <c r="F6826" s="1043"/>
      <c r="G6826" s="1550"/>
    </row>
    <row r="6827" spans="1:7" ht="12.75" customHeight="1">
      <c r="A6827" s="1667">
        <v>44671</v>
      </c>
      <c r="B6827" s="816" t="str">
        <f>TiposLancamentos!B8</f>
        <v>Aluguel</v>
      </c>
      <c r="C6827" s="1769" t="s">
        <v>7425</v>
      </c>
      <c r="D6827" s="1736"/>
      <c r="E6827" s="1734">
        <v>8</v>
      </c>
      <c r="F6827" s="1043"/>
      <c r="G6827" s="1550"/>
    </row>
    <row r="6828" spans="1:7" ht="12.75" customHeight="1">
      <c r="A6828" s="1750">
        <v>44671</v>
      </c>
      <c r="B6828" s="818" t="str">
        <f>TiposLancamentos!B9</f>
        <v>Condominio</v>
      </c>
      <c r="C6828" s="1743" t="s">
        <v>7427</v>
      </c>
      <c r="D6828" s="1737"/>
      <c r="E6828" s="1668">
        <v>616.37</v>
      </c>
      <c r="F6828" s="1291">
        <v>2163.15</v>
      </c>
      <c r="G6828" s="1550"/>
    </row>
    <row r="6829" spans="1:7" ht="12.75" customHeight="1">
      <c r="A6829" s="1754">
        <v>44671</v>
      </c>
      <c r="B6829" s="125" t="str">
        <f>TiposLancamentos!B67</f>
        <v>Lavanderia</v>
      </c>
      <c r="C6829" s="1040" t="s">
        <v>8583</v>
      </c>
      <c r="D6829" s="1736"/>
      <c r="E6829" s="1043">
        <v>64</v>
      </c>
      <c r="F6829" s="1043"/>
      <c r="G6829" s="1550"/>
    </row>
    <row r="6830" spans="1:7" ht="12.75" customHeight="1">
      <c r="A6830" s="1754">
        <v>44671</v>
      </c>
      <c r="B6830" s="125" t="str">
        <f>TiposLancamentos!B19</f>
        <v>Restaurantes</v>
      </c>
      <c r="C6830" s="1040" t="s">
        <v>8584</v>
      </c>
      <c r="D6830" s="1736"/>
      <c r="E6830" s="1043">
        <v>65.540000000000006</v>
      </c>
      <c r="F6830" s="1043"/>
      <c r="G6830" s="1550"/>
    </row>
    <row r="6831" spans="1:7" ht="12.75" customHeight="1">
      <c r="A6831" s="1754">
        <v>44672</v>
      </c>
      <c r="B6831" s="125" t="str">
        <f>TiposLancamentos!B19</f>
        <v>Restaurantes</v>
      </c>
      <c r="C6831" s="1040" t="s">
        <v>7419</v>
      </c>
      <c r="D6831" s="1736"/>
      <c r="E6831" s="1043">
        <v>175.34</v>
      </c>
      <c r="F6831" s="1043"/>
      <c r="G6831" s="1550"/>
    </row>
    <row r="6832" spans="1:7" ht="12.75" customHeight="1">
      <c r="A6832" s="1754">
        <v>44672</v>
      </c>
      <c r="B6832" s="125" t="str">
        <f>TiposLancamentos!B19</f>
        <v>Restaurantes</v>
      </c>
      <c r="C6832" s="1040" t="s">
        <v>8585</v>
      </c>
      <c r="D6832" s="1736"/>
      <c r="E6832" s="1043">
        <v>26</v>
      </c>
      <c r="F6832" s="1043"/>
      <c r="G6832" s="1550"/>
    </row>
    <row r="6833" spans="1:7" ht="12.75" customHeight="1">
      <c r="A6833" s="1754">
        <v>44673</v>
      </c>
      <c r="B6833" s="125" t="str">
        <f>TiposLancamentos!B6</f>
        <v>Energia Eletrica</v>
      </c>
      <c r="C6833" s="1040" t="s">
        <v>8586</v>
      </c>
      <c r="D6833" s="1736"/>
      <c r="E6833" s="1043">
        <v>313.76</v>
      </c>
      <c r="F6833" s="1043"/>
      <c r="G6833" s="1550"/>
    </row>
    <row r="6834" spans="1:7" ht="12.75" customHeight="1">
      <c r="A6834" s="1754">
        <v>44673</v>
      </c>
      <c r="B6834" s="125" t="str">
        <f>TiposLancamentos!B69</f>
        <v>Consertos</v>
      </c>
      <c r="C6834" s="1040" t="s">
        <v>8587</v>
      </c>
      <c r="D6834" s="1736"/>
      <c r="E6834" s="1043">
        <v>95</v>
      </c>
      <c r="F6834" s="1043"/>
      <c r="G6834" s="1550"/>
    </row>
    <row r="6835" spans="1:7" ht="12.75" customHeight="1">
      <c r="A6835" s="1754">
        <v>44673</v>
      </c>
      <c r="B6835" s="125" t="str">
        <f>TiposLancamentos!B19</f>
        <v>Restaurantes</v>
      </c>
      <c r="C6835" s="1040" t="s">
        <v>8588</v>
      </c>
      <c r="D6835" s="1736"/>
      <c r="E6835" s="1043">
        <v>52.99</v>
      </c>
      <c r="F6835" s="1043"/>
      <c r="G6835" s="1550"/>
    </row>
    <row r="6836" spans="1:7" ht="12.75" customHeight="1">
      <c r="A6836" s="1754">
        <v>44673</v>
      </c>
      <c r="B6836" s="125" t="str">
        <f>TiposLancamentos!B13</f>
        <v>Moradia</v>
      </c>
      <c r="C6836" s="1040" t="s">
        <v>8589</v>
      </c>
      <c r="D6836" s="1736"/>
      <c r="E6836" s="1043">
        <v>14</v>
      </c>
      <c r="F6836" s="1043"/>
      <c r="G6836" s="1550"/>
    </row>
    <row r="6837" spans="1:7" ht="12.75" customHeight="1">
      <c r="A6837" s="1754">
        <v>44674</v>
      </c>
      <c r="B6837" s="125" t="str">
        <f>TiposLancamentos!B32</f>
        <v>Clinicas e tratamentos</v>
      </c>
      <c r="C6837" s="1040" t="s">
        <v>8590</v>
      </c>
      <c r="D6837" s="1736"/>
      <c r="E6837" s="1043">
        <v>187.5</v>
      </c>
      <c r="F6837" s="1043"/>
      <c r="G6837" s="1550"/>
    </row>
    <row r="6838" spans="1:7" ht="12.75" customHeight="1">
      <c r="A6838" s="1754">
        <v>44674</v>
      </c>
      <c r="B6838" s="125" t="str">
        <f>TiposLancamentos!B16</f>
        <v>Cristiane</v>
      </c>
      <c r="C6838" s="1040" t="s">
        <v>8591</v>
      </c>
      <c r="D6838" s="1736"/>
      <c r="E6838" s="1043">
        <v>223</v>
      </c>
      <c r="F6838" s="1043"/>
      <c r="G6838" s="1550"/>
    </row>
    <row r="6839" spans="1:7" ht="12.75" customHeight="1">
      <c r="A6839" s="1754">
        <v>44674</v>
      </c>
      <c r="B6839" s="125" t="str">
        <f>TiposLancamentos!B71</f>
        <v>Itens Pessoais</v>
      </c>
      <c r="C6839" s="1040" t="s">
        <v>8592</v>
      </c>
      <c r="D6839" s="1736"/>
      <c r="E6839" s="1043">
        <v>30</v>
      </c>
      <c r="F6839" s="1043"/>
      <c r="G6839" s="1550"/>
    </row>
    <row r="6840" spans="1:7" ht="12.75" customHeight="1">
      <c r="A6840" s="1754">
        <v>44674</v>
      </c>
      <c r="B6840" s="125" t="str">
        <f>TiposLancamentos!B19</f>
        <v>Restaurantes</v>
      </c>
      <c r="C6840" s="1040" t="s">
        <v>8130</v>
      </c>
      <c r="D6840" s="1736"/>
      <c r="E6840" s="1043">
        <v>143.33000000000001</v>
      </c>
      <c r="F6840" s="1043"/>
      <c r="G6840" s="1550"/>
    </row>
    <row r="6841" spans="1:7" ht="12.75" customHeight="1">
      <c r="A6841" s="1666">
        <v>44674</v>
      </c>
      <c r="B6841" s="817" t="str">
        <f>TiposLancamentos!B16</f>
        <v>Cristiane</v>
      </c>
      <c r="C6841" s="1742" t="s">
        <v>8593</v>
      </c>
      <c r="D6841" s="1735"/>
      <c r="E6841" s="1733">
        <f>F6842-E6842</f>
        <v>85.1</v>
      </c>
      <c r="F6841" s="1346"/>
      <c r="G6841" s="1550"/>
    </row>
    <row r="6842" spans="1:7" ht="12.75" customHeight="1">
      <c r="A6842" s="1750">
        <v>44674</v>
      </c>
      <c r="B6842" s="818" t="str">
        <f>TiposLancamentos!B57</f>
        <v>Informática</v>
      </c>
      <c r="C6842" s="1743" t="s">
        <v>8594</v>
      </c>
      <c r="D6842" s="1737"/>
      <c r="E6842" s="1668">
        <v>19.899999999999999</v>
      </c>
      <c r="F6842" s="1291">
        <v>105</v>
      </c>
      <c r="G6842" s="1550"/>
    </row>
    <row r="6843" spans="1:7" ht="12.75" customHeight="1">
      <c r="A6843" s="1754">
        <v>44674</v>
      </c>
      <c r="B6843" s="125" t="str">
        <f>TiposLancamentos!B16</f>
        <v>Cristiane</v>
      </c>
      <c r="C6843" s="1040" t="s">
        <v>8595</v>
      </c>
      <c r="D6843" s="1736"/>
      <c r="E6843" s="1043">
        <v>129</v>
      </c>
      <c r="F6843" s="1043"/>
      <c r="G6843" s="1550"/>
    </row>
    <row r="6844" spans="1:7" ht="12.75" customHeight="1">
      <c r="A6844" s="1754">
        <v>44674</v>
      </c>
      <c r="B6844" s="125" t="str">
        <f>TiposLancamentos!B19</f>
        <v>Restaurantes</v>
      </c>
      <c r="C6844" s="1040" t="s">
        <v>8596</v>
      </c>
      <c r="D6844" s="1736"/>
      <c r="E6844" s="1043">
        <v>18</v>
      </c>
      <c r="F6844" s="1043"/>
      <c r="G6844" s="1550"/>
    </row>
    <row r="6845" spans="1:7" ht="12.75" customHeight="1">
      <c r="A6845" s="1754">
        <v>44674</v>
      </c>
      <c r="B6845" s="125" t="str">
        <f>TiposLancamentos!B19</f>
        <v>Restaurantes</v>
      </c>
      <c r="C6845" s="1040" t="s">
        <v>8597</v>
      </c>
      <c r="D6845" s="1736"/>
      <c r="E6845" s="1043">
        <v>73</v>
      </c>
      <c r="F6845" s="1043"/>
      <c r="G6845" s="1550"/>
    </row>
    <row r="6846" spans="1:7" ht="12.75" customHeight="1">
      <c r="A6846" s="1754">
        <v>44674</v>
      </c>
      <c r="B6846" s="125" t="str">
        <f>TiposLancamentos!B5</f>
        <v>Supermercado</v>
      </c>
      <c r="C6846" s="1040" t="s">
        <v>8012</v>
      </c>
      <c r="D6846" s="1736"/>
      <c r="E6846" s="1043">
        <v>11.9</v>
      </c>
      <c r="F6846" s="1043"/>
      <c r="G6846" s="1550"/>
    </row>
    <row r="6847" spans="1:7" ht="12.75" customHeight="1">
      <c r="A6847" s="1754">
        <v>44675</v>
      </c>
      <c r="B6847" s="125" t="str">
        <f>TiposLancamentos!B5</f>
        <v>Supermercado</v>
      </c>
      <c r="C6847" s="1040" t="s">
        <v>8598</v>
      </c>
      <c r="D6847" s="1736"/>
      <c r="E6847" s="1043">
        <v>596.24</v>
      </c>
      <c r="F6847" s="1043"/>
      <c r="G6847" s="1550"/>
    </row>
    <row r="6848" spans="1:7" ht="12.75" customHeight="1">
      <c r="A6848" s="1754">
        <v>44676</v>
      </c>
      <c r="B6848" s="125" t="str">
        <f>TiposLancamentos!B19</f>
        <v>Restaurantes</v>
      </c>
      <c r="C6848" s="1040" t="s">
        <v>8599</v>
      </c>
      <c r="D6848" s="1736"/>
      <c r="E6848" s="1043">
        <v>43.27</v>
      </c>
      <c r="F6848" s="1043"/>
      <c r="G6848" s="1550"/>
    </row>
    <row r="6849" spans="1:7" ht="12.75" customHeight="1">
      <c r="A6849" s="1754">
        <v>44677</v>
      </c>
      <c r="B6849" s="125" t="str">
        <f>TiposLancamentos!B5</f>
        <v>Supermercado</v>
      </c>
      <c r="C6849" s="1040" t="s">
        <v>1884</v>
      </c>
      <c r="D6849" s="1736"/>
      <c r="E6849" s="1043">
        <v>7.99</v>
      </c>
      <c r="F6849" s="1043"/>
      <c r="G6849" s="1550"/>
    </row>
    <row r="6850" spans="1:7" ht="12.75" customHeight="1">
      <c r="A6850" s="1754">
        <v>44678</v>
      </c>
      <c r="B6850" s="125" t="str">
        <f>TiposLancamentos!B19</f>
        <v>Restaurantes</v>
      </c>
      <c r="C6850" s="1040" t="s">
        <v>8600</v>
      </c>
      <c r="D6850" s="1736"/>
      <c r="E6850" s="1043">
        <v>97.17</v>
      </c>
      <c r="F6850" s="1043"/>
      <c r="G6850" s="1550"/>
    </row>
    <row r="6851" spans="1:7" ht="12.75" customHeight="1">
      <c r="A6851" s="1754">
        <v>44678</v>
      </c>
      <c r="B6851" s="125" t="str">
        <f>TiposLancamentos!B24</f>
        <v>Estacionamentos</v>
      </c>
      <c r="C6851" s="1040" t="s">
        <v>2183</v>
      </c>
      <c r="D6851" s="1736"/>
      <c r="E6851" s="1043">
        <v>7</v>
      </c>
      <c r="F6851" s="1043"/>
      <c r="G6851" s="1550"/>
    </row>
    <row r="6852" spans="1:7" ht="12.75" customHeight="1">
      <c r="A6852" s="1754">
        <v>44678</v>
      </c>
      <c r="B6852" s="125" t="str">
        <f>TiposLancamentos!B5</f>
        <v>Supermercado</v>
      </c>
      <c r="C6852" s="1040" t="s">
        <v>8601</v>
      </c>
      <c r="D6852" s="1736"/>
      <c r="E6852" s="1043">
        <v>70.849999999999994</v>
      </c>
      <c r="F6852" s="1043"/>
      <c r="G6852" s="1550"/>
    </row>
    <row r="6853" spans="1:7" ht="12.75" customHeight="1">
      <c r="A6853" s="1754">
        <v>44680</v>
      </c>
      <c r="B6853" s="125" t="str">
        <f>TiposLancamentos!B95</f>
        <v>Salarios</v>
      </c>
      <c r="C6853" s="1040" t="s">
        <v>8064</v>
      </c>
      <c r="D6853" s="1736">
        <v>3790.57</v>
      </c>
      <c r="E6853" s="1043"/>
      <c r="F6853" s="1043"/>
      <c r="G6853" s="1550"/>
    </row>
    <row r="6854" spans="1:7" ht="12.75" customHeight="1">
      <c r="A6854" s="1754">
        <v>44680</v>
      </c>
      <c r="B6854" s="125" t="str">
        <f>TiposLancamentos!B19</f>
        <v>Restaurantes</v>
      </c>
      <c r="C6854" s="1040" t="s">
        <v>8597</v>
      </c>
      <c r="D6854" s="1736"/>
      <c r="E6854" s="1043">
        <v>85</v>
      </c>
      <c r="F6854" s="1043"/>
      <c r="G6854" s="1550"/>
    </row>
    <row r="6855" spans="1:7" ht="12.75" customHeight="1">
      <c r="A6855" s="1754">
        <v>44680</v>
      </c>
      <c r="B6855" s="125" t="str">
        <f>TiposLancamentos!B17</f>
        <v>GATO</v>
      </c>
      <c r="C6855" s="1040" t="s">
        <v>8602</v>
      </c>
      <c r="D6855" s="1736"/>
      <c r="E6855" s="1043">
        <v>22.31</v>
      </c>
      <c r="F6855" s="1043"/>
      <c r="G6855" s="1550"/>
    </row>
    <row r="6856" spans="1:7" ht="12.75" customHeight="1">
      <c r="A6856" s="1754">
        <v>44681</v>
      </c>
      <c r="B6856" s="125" t="str">
        <f>TiposLancamentos!B13</f>
        <v>Moradia</v>
      </c>
      <c r="C6856" s="1040" t="s">
        <v>8589</v>
      </c>
      <c r="D6856" s="1736"/>
      <c r="E6856" s="1043">
        <v>14</v>
      </c>
      <c r="F6856" s="1043"/>
      <c r="G6856" s="1550"/>
    </row>
    <row r="6857" spans="1:7" ht="12.75" customHeight="1">
      <c r="A6857" s="1754">
        <v>44681</v>
      </c>
      <c r="B6857" s="125" t="str">
        <f>TiposLancamentos!B32</f>
        <v>Clinicas e tratamentos</v>
      </c>
      <c r="C6857" s="1040" t="s">
        <v>8603</v>
      </c>
      <c r="D6857" s="1736"/>
      <c r="E6857" s="1043">
        <v>187.5</v>
      </c>
      <c r="F6857" s="1043"/>
      <c r="G6857" s="1550"/>
    </row>
    <row r="6858" spans="1:7" ht="12.75" customHeight="1" thickBot="1">
      <c r="A6858" s="1754">
        <v>44681</v>
      </c>
      <c r="B6858" s="125" t="str">
        <f>TiposLancamentos!B19</f>
        <v>Restaurantes</v>
      </c>
      <c r="C6858" s="1040" t="s">
        <v>8604</v>
      </c>
      <c r="D6858" s="1736"/>
      <c r="E6858" s="1043">
        <v>74</v>
      </c>
      <c r="F6858" s="1043"/>
      <c r="G6858" s="1550"/>
    </row>
    <row r="6859" spans="1:7" ht="12.75" customHeight="1">
      <c r="A6859" s="1834"/>
      <c r="B6859" s="977"/>
      <c r="C6859" s="1854" t="s">
        <v>1610</v>
      </c>
      <c r="D6859" s="1823"/>
      <c r="E6859" s="1821"/>
      <c r="F6859" s="1821"/>
      <c r="G6859" s="1895"/>
    </row>
    <row r="6860" spans="1:7" ht="12.75" customHeight="1">
      <c r="A6860" s="1754">
        <v>44682</v>
      </c>
      <c r="B6860" s="125" t="str">
        <f>TiposLancamentos!B19</f>
        <v>Restaurantes</v>
      </c>
      <c r="C6860" s="1040" t="s">
        <v>8605</v>
      </c>
      <c r="D6860" s="1736"/>
      <c r="E6860" s="1043">
        <v>313.01</v>
      </c>
      <c r="F6860" s="1043"/>
      <c r="G6860" s="1550"/>
    </row>
    <row r="6861" spans="1:7" ht="12.75" customHeight="1">
      <c r="A6861" s="1754">
        <v>44683</v>
      </c>
      <c r="B6861" s="125" t="str">
        <f>TiposLancamentos!B15</f>
        <v>Cartões de Crédito</v>
      </c>
      <c r="C6861" s="1040" t="s">
        <v>7781</v>
      </c>
      <c r="D6861" s="1736"/>
      <c r="E6861" s="1043">
        <v>1017.45</v>
      </c>
      <c r="F6861" s="1043"/>
      <c r="G6861" s="1550"/>
    </row>
    <row r="6862" spans="1:7" ht="12.75" customHeight="1">
      <c r="A6862" s="1754">
        <v>44683</v>
      </c>
      <c r="B6862" s="125" t="str">
        <f>TiposLancamentos!B15</f>
        <v>Cartões de Crédito</v>
      </c>
      <c r="C6862" s="1040" t="s">
        <v>8016</v>
      </c>
      <c r="D6862" s="1736"/>
      <c r="E6862" s="1043">
        <v>497.61</v>
      </c>
      <c r="F6862" s="1043"/>
      <c r="G6862" s="1550"/>
    </row>
    <row r="6863" spans="1:7" ht="12.75" customHeight="1">
      <c r="A6863" s="1754">
        <v>44683</v>
      </c>
      <c r="B6863" s="125" t="str">
        <f>TiposLancamentos!B15</f>
        <v>Cartões de Crédito</v>
      </c>
      <c r="C6863" s="1040" t="s">
        <v>8252</v>
      </c>
      <c r="D6863" s="1736"/>
      <c r="E6863" s="1043">
        <v>76.75</v>
      </c>
      <c r="F6863" s="1043"/>
      <c r="G6863" s="1550"/>
    </row>
    <row r="6864" spans="1:7" ht="12.75" customHeight="1">
      <c r="A6864" s="1754">
        <v>44683</v>
      </c>
      <c r="B6864" s="125" t="str">
        <f>TiposLancamentos!B14</f>
        <v>Gás de cozinha</v>
      </c>
      <c r="C6864" s="1040" t="s">
        <v>8606</v>
      </c>
      <c r="D6864" s="1736"/>
      <c r="E6864" s="1043">
        <v>49.43</v>
      </c>
      <c r="F6864" s="1043"/>
      <c r="G6864" s="1550"/>
    </row>
    <row r="6865" spans="1:7" ht="12.75" customHeight="1">
      <c r="A6865" s="1754">
        <v>44684</v>
      </c>
      <c r="B6865" s="125" t="str">
        <f>TiposLancamentos!B22</f>
        <v>Combustivel</v>
      </c>
      <c r="C6865" s="1040" t="s">
        <v>1880</v>
      </c>
      <c r="D6865" s="1736"/>
      <c r="E6865" s="1043">
        <v>100</v>
      </c>
      <c r="F6865" s="1043"/>
      <c r="G6865" s="1550"/>
    </row>
    <row r="6866" spans="1:7" ht="12.75" customHeight="1">
      <c r="A6866" s="1754">
        <v>44684</v>
      </c>
      <c r="B6866" s="125" t="str">
        <f>TiposLancamentos!B24</f>
        <v>Estacionamentos</v>
      </c>
      <c r="C6866" s="1040" t="s">
        <v>8607</v>
      </c>
      <c r="D6866" s="1736"/>
      <c r="E6866" s="1043">
        <v>12</v>
      </c>
      <c r="F6866" s="1043"/>
      <c r="G6866" s="1550"/>
    </row>
    <row r="6867" spans="1:7" ht="12.75" customHeight="1">
      <c r="A6867" s="1754">
        <v>44686</v>
      </c>
      <c r="B6867" s="125" t="str">
        <f>TiposLancamentos!B32</f>
        <v>Clinicas e tratamentos</v>
      </c>
      <c r="C6867" s="1040" t="s">
        <v>8195</v>
      </c>
      <c r="D6867" s="1736"/>
      <c r="E6867" s="1043">
        <v>400</v>
      </c>
      <c r="F6867" s="1043"/>
      <c r="G6867" s="1550"/>
    </row>
    <row r="6868" spans="1:7" ht="12.75" customHeight="1">
      <c r="A6868" s="1754">
        <v>44686</v>
      </c>
      <c r="B6868" s="125" t="str">
        <f>TiposLancamentos!B32</f>
        <v>Clinicas e tratamentos</v>
      </c>
      <c r="C6868" s="1040" t="s">
        <v>8195</v>
      </c>
      <c r="D6868" s="1736"/>
      <c r="E6868" s="1043">
        <v>50</v>
      </c>
      <c r="F6868" s="1043"/>
      <c r="G6868" s="1550"/>
    </row>
    <row r="6869" spans="1:7" ht="12.75" customHeight="1">
      <c r="A6869" s="1754">
        <v>44686</v>
      </c>
      <c r="B6869" s="125" t="str">
        <f>TiposLancamentos!B4</f>
        <v>Taxas Bancarias</v>
      </c>
      <c r="C6869" s="1040" t="s">
        <v>5690</v>
      </c>
      <c r="D6869" s="1736"/>
      <c r="E6869" s="1043">
        <v>674.09</v>
      </c>
      <c r="F6869" s="1043"/>
      <c r="G6869" s="1550"/>
    </row>
    <row r="6870" spans="1:7" ht="12.75" customHeight="1">
      <c r="A6870" s="1754">
        <v>44686</v>
      </c>
      <c r="B6870" s="125" t="str">
        <f>TiposLancamentos!B4</f>
        <v>Taxas Bancarias</v>
      </c>
      <c r="C6870" s="1040" t="s">
        <v>8608</v>
      </c>
      <c r="D6870" s="1736"/>
      <c r="E6870" s="1043">
        <v>42.13</v>
      </c>
      <c r="F6870" s="1043"/>
      <c r="G6870" s="1550"/>
    </row>
    <row r="6871" spans="1:7" ht="12.75" customHeight="1">
      <c r="A6871" s="1754">
        <v>44686</v>
      </c>
      <c r="B6871" s="125" t="str">
        <f>TiposLancamentos!B4</f>
        <v>Taxas Bancarias</v>
      </c>
      <c r="C6871" s="1040" t="s">
        <v>4858</v>
      </c>
      <c r="D6871" s="1736"/>
      <c r="E6871" s="1043">
        <v>57.89</v>
      </c>
      <c r="F6871" s="1043"/>
      <c r="G6871" s="1550"/>
    </row>
    <row r="6872" spans="1:7" ht="12.75" customHeight="1">
      <c r="A6872" s="1754">
        <v>44686</v>
      </c>
      <c r="B6872" s="125" t="str">
        <f>TiposLancamentos!B4</f>
        <v>Taxas Bancarias</v>
      </c>
      <c r="C6872" s="1040" t="s">
        <v>8463</v>
      </c>
      <c r="D6872" s="1736"/>
      <c r="E6872" s="1043">
        <v>5.9</v>
      </c>
      <c r="F6872" s="1043"/>
      <c r="G6872" s="1550"/>
    </row>
    <row r="6873" spans="1:7" ht="12.75" customHeight="1">
      <c r="A6873" s="1754">
        <v>44688</v>
      </c>
      <c r="B6873" s="125" t="str">
        <f>TiposLancamentos!B19</f>
        <v>Restaurantes</v>
      </c>
      <c r="C6873" s="1040" t="s">
        <v>8609</v>
      </c>
      <c r="D6873" s="1736"/>
      <c r="E6873" s="1043">
        <v>64</v>
      </c>
      <c r="F6873" s="1043"/>
      <c r="G6873" s="1550"/>
    </row>
    <row r="6874" spans="1:7" ht="12.75" customHeight="1">
      <c r="A6874" s="1754">
        <v>44689</v>
      </c>
      <c r="B6874" s="125" t="str">
        <f>TiposLancamentos!B5</f>
        <v>Supermercado</v>
      </c>
      <c r="C6874" s="1040" t="s">
        <v>7527</v>
      </c>
      <c r="D6874" s="1736"/>
      <c r="E6874" s="1043">
        <v>33.1</v>
      </c>
      <c r="F6874" s="1043"/>
      <c r="G6874" s="1550"/>
    </row>
    <row r="6875" spans="1:7" ht="12.75" customHeight="1">
      <c r="A6875" s="1754">
        <v>44690</v>
      </c>
      <c r="B6875" s="125" t="str">
        <f>TiposLancamentos!B32</f>
        <v>Clinicas e tratamentos</v>
      </c>
      <c r="C6875" s="1040" t="s">
        <v>8610</v>
      </c>
      <c r="D6875" s="1736"/>
      <c r="E6875" s="1043">
        <v>187.5</v>
      </c>
      <c r="F6875" s="1043"/>
      <c r="G6875" s="1550"/>
    </row>
    <row r="6876" spans="1:7" ht="12.75" customHeight="1">
      <c r="A6876" s="1754">
        <v>44691</v>
      </c>
      <c r="B6876" s="125" t="str">
        <f>TiposLancamentos!B46</f>
        <v>Maçonaria</v>
      </c>
      <c r="C6876" s="1040" t="s">
        <v>8611</v>
      </c>
      <c r="D6876" s="1736"/>
      <c r="E6876" s="1043">
        <v>200</v>
      </c>
      <c r="F6876" s="1043"/>
      <c r="G6876" s="1550"/>
    </row>
    <row r="6877" spans="1:7" ht="12.75" customHeight="1">
      <c r="A6877" s="1754">
        <v>44691</v>
      </c>
      <c r="B6877" s="125" t="str">
        <f>TiposLancamentos!B24</f>
        <v>Estacionamentos</v>
      </c>
      <c r="C6877" s="1040" t="s">
        <v>8612</v>
      </c>
      <c r="D6877" s="1736"/>
      <c r="E6877" s="1043">
        <v>13</v>
      </c>
      <c r="F6877" s="1043"/>
      <c r="G6877" s="1550"/>
    </row>
    <row r="6878" spans="1:7" ht="12.75" customHeight="1">
      <c r="A6878" s="1754">
        <v>44691</v>
      </c>
      <c r="B6878" s="125" t="str">
        <f>TiposLancamentos!B19</f>
        <v>Restaurantes</v>
      </c>
      <c r="C6878" s="1040" t="s">
        <v>1967</v>
      </c>
      <c r="D6878" s="1736"/>
      <c r="E6878" s="1043">
        <v>40.700000000000003</v>
      </c>
      <c r="F6878" s="1043"/>
      <c r="G6878" s="1550"/>
    </row>
    <row r="6879" spans="1:7" ht="12.75" customHeight="1">
      <c r="A6879" s="1754">
        <v>44694</v>
      </c>
      <c r="B6879" s="125" t="str">
        <f>TiposLancamentos!B95</f>
        <v>Salarios</v>
      </c>
      <c r="C6879" s="1040" t="s">
        <v>8078</v>
      </c>
      <c r="D6879" s="1736">
        <v>5040.0200000000004</v>
      </c>
      <c r="E6879" s="1043"/>
      <c r="F6879" s="1043"/>
      <c r="G6879" s="1550"/>
    </row>
    <row r="6880" spans="1:7" ht="12.75" customHeight="1">
      <c r="A6880" s="1754">
        <v>44694</v>
      </c>
      <c r="B6880" s="125" t="str">
        <f>TiposLancamentos!B13</f>
        <v>Moradia</v>
      </c>
      <c r="C6880" s="1040" t="s">
        <v>3682</v>
      </c>
      <c r="D6880" s="1736"/>
      <c r="E6880" s="1043">
        <v>14</v>
      </c>
      <c r="F6880" s="1043"/>
      <c r="G6880" s="1550"/>
    </row>
    <row r="6881" spans="1:7" ht="12.75" customHeight="1">
      <c r="A6881" s="1754">
        <v>44694</v>
      </c>
      <c r="B6881" s="125" t="str">
        <f>TiposLancamentos!B17</f>
        <v>GATO</v>
      </c>
      <c r="C6881" s="1040" t="s">
        <v>8613</v>
      </c>
      <c r="D6881" s="1736"/>
      <c r="E6881" s="1043">
        <v>187.99</v>
      </c>
      <c r="F6881" s="1043"/>
      <c r="G6881" s="1550"/>
    </row>
    <row r="6882" spans="1:7" ht="12.75" customHeight="1">
      <c r="A6882" s="1754">
        <v>44694</v>
      </c>
      <c r="B6882" s="125" t="str">
        <f>B6875</f>
        <v>Clinicas e tratamentos</v>
      </c>
      <c r="C6882" s="1040" t="s">
        <v>8614</v>
      </c>
      <c r="D6882" s="1736"/>
      <c r="E6882" s="1043">
        <v>187.5</v>
      </c>
      <c r="F6882" s="1043"/>
      <c r="G6882" s="1550"/>
    </row>
    <row r="6883" spans="1:7" ht="12.75" customHeight="1">
      <c r="A6883" s="1754">
        <v>44694</v>
      </c>
      <c r="B6883" s="125" t="str">
        <f>TiposLancamentos!B19</f>
        <v>Restaurantes</v>
      </c>
      <c r="C6883" s="1040" t="s">
        <v>8609</v>
      </c>
      <c r="D6883" s="1736"/>
      <c r="E6883" s="1043">
        <v>64</v>
      </c>
      <c r="F6883" s="1043"/>
      <c r="G6883" s="1550"/>
    </row>
    <row r="6884" spans="1:7" ht="12.75" customHeight="1">
      <c r="A6884" s="1754">
        <v>44695</v>
      </c>
      <c r="B6884" s="125" t="str">
        <f>TiposLancamentos!B19</f>
        <v>Restaurantes</v>
      </c>
      <c r="C6884" s="1040" t="s">
        <v>8615</v>
      </c>
      <c r="D6884" s="1736"/>
      <c r="E6884" s="1043">
        <v>124.3</v>
      </c>
      <c r="F6884" s="1043"/>
      <c r="G6884" s="1550"/>
    </row>
    <row r="6885" spans="1:7" ht="12.75" customHeight="1">
      <c r="A6885" s="1754">
        <v>44695</v>
      </c>
      <c r="B6885" s="125" t="str">
        <f>TiposLancamentos!B56</f>
        <v>Farmácia</v>
      </c>
      <c r="C6885" s="1040" t="s">
        <v>8616</v>
      </c>
      <c r="D6885" s="1736"/>
      <c r="E6885" s="1043">
        <v>147.53</v>
      </c>
      <c r="F6885" s="1043"/>
      <c r="G6885" s="1550"/>
    </row>
    <row r="6886" spans="1:7" ht="12.75" customHeight="1">
      <c r="A6886" s="1754">
        <v>44695</v>
      </c>
      <c r="B6886" s="125" t="str">
        <f>TiposLancamentos!B19</f>
        <v>Restaurantes</v>
      </c>
      <c r="C6886" s="1040" t="s">
        <v>8617</v>
      </c>
      <c r="D6886" s="1736"/>
      <c r="E6886" s="1043">
        <v>44</v>
      </c>
      <c r="F6886" s="1043"/>
      <c r="G6886" s="1550"/>
    </row>
    <row r="6887" spans="1:7" ht="12.75" customHeight="1">
      <c r="A6887" s="1754">
        <v>44696</v>
      </c>
      <c r="B6887" s="125" t="str">
        <f>TiposLancamentos!B5</f>
        <v>Supermercado</v>
      </c>
      <c r="C6887" s="1040" t="s">
        <v>7527</v>
      </c>
      <c r="D6887" s="1736"/>
      <c r="E6887" s="1043">
        <v>123.3</v>
      </c>
      <c r="F6887" s="1043"/>
      <c r="G6887" s="1550"/>
    </row>
    <row r="6888" spans="1:7" ht="12.75" customHeight="1">
      <c r="A6888" s="1754">
        <v>44696</v>
      </c>
      <c r="B6888" s="125" t="str">
        <f>TiposLancamentos!B5</f>
        <v>Supermercado</v>
      </c>
      <c r="C6888" s="1040" t="s">
        <v>8618</v>
      </c>
      <c r="D6888" s="1736"/>
      <c r="E6888" s="1043">
        <v>131.33000000000001</v>
      </c>
      <c r="F6888" s="1043"/>
      <c r="G6888" s="1550"/>
    </row>
    <row r="6889" spans="1:7" ht="12.75" customHeight="1">
      <c r="A6889" s="1754">
        <v>44697</v>
      </c>
      <c r="B6889" s="125"/>
      <c r="C6889" s="1040" t="s">
        <v>1868</v>
      </c>
      <c r="D6889" s="1736">
        <v>0</v>
      </c>
      <c r="E6889" s="1043">
        <v>0</v>
      </c>
      <c r="F6889" s="1043"/>
      <c r="G6889" s="1550"/>
    </row>
    <row r="6890" spans="1:7" ht="12.75" customHeight="1">
      <c r="A6890" s="1666">
        <v>44697</v>
      </c>
      <c r="B6890" s="817" t="str">
        <f>TiposLancamentos!B33</f>
        <v>Pedágios</v>
      </c>
      <c r="C6890" s="1742" t="s">
        <v>5392</v>
      </c>
      <c r="D6890" s="1735">
        <v>0</v>
      </c>
      <c r="E6890" s="1733">
        <f>F6892-(E6891+E6892)</f>
        <v>68.8</v>
      </c>
      <c r="F6890" s="1290"/>
      <c r="G6890" s="1550"/>
    </row>
    <row r="6891" spans="1:7" ht="12.75" customHeight="1">
      <c r="A6891" s="1667">
        <v>44697</v>
      </c>
      <c r="B6891" s="816" t="str">
        <f>TiposLancamentos!B24</f>
        <v>Estacionamentos</v>
      </c>
      <c r="C6891" s="1769" t="s">
        <v>7366</v>
      </c>
      <c r="D6891" s="1736"/>
      <c r="E6891" s="1734">
        <v>12</v>
      </c>
      <c r="F6891" s="1043"/>
      <c r="G6891" s="1550"/>
    </row>
    <row r="6892" spans="1:7" ht="12.75" customHeight="1">
      <c r="A6892" s="1750">
        <v>44697</v>
      </c>
      <c r="B6892" s="818" t="str">
        <f>TiposLancamentos!B24</f>
        <v>Estacionamentos</v>
      </c>
      <c r="C6892" s="1743" t="s">
        <v>6297</v>
      </c>
      <c r="D6892" s="1737"/>
      <c r="E6892" s="1668">
        <v>0</v>
      </c>
      <c r="F6892" s="1347">
        <v>80.8</v>
      </c>
      <c r="G6892" s="1550"/>
    </row>
    <row r="6893" spans="1:7" ht="12.75" customHeight="1">
      <c r="A6893" s="1754">
        <v>44697</v>
      </c>
      <c r="B6893" s="125"/>
      <c r="C6893" s="1040" t="s">
        <v>7341</v>
      </c>
      <c r="D6893" s="1736">
        <v>0</v>
      </c>
      <c r="E6893" s="1043"/>
      <c r="F6893" s="1043"/>
      <c r="G6893" s="1550"/>
    </row>
    <row r="6894" spans="1:7" ht="12.75" customHeight="1">
      <c r="A6894" s="1754">
        <v>44697</v>
      </c>
      <c r="B6894" s="125"/>
      <c r="C6894" s="1040" t="s">
        <v>1868</v>
      </c>
      <c r="D6894" s="1736">
        <v>0</v>
      </c>
      <c r="E6894" s="1043">
        <v>0</v>
      </c>
      <c r="F6894" s="1043"/>
      <c r="G6894" s="1550"/>
    </row>
    <row r="6895" spans="1:7" ht="12.75" customHeight="1">
      <c r="A6895" s="1666">
        <v>44697</v>
      </c>
      <c r="B6895" s="817" t="str">
        <f>TiposLancamentos!B35</f>
        <v>Tv à Cabo</v>
      </c>
      <c r="C6895" s="1742" t="s">
        <v>5834</v>
      </c>
      <c r="D6895" s="1735"/>
      <c r="E6895" s="1733">
        <f>F6897-(E6896+E6897)</f>
        <v>136.28999999999996</v>
      </c>
      <c r="F6895" s="1290"/>
      <c r="G6895" s="1550"/>
    </row>
    <row r="6896" spans="1:7" ht="12.75" customHeight="1">
      <c r="A6896" s="1667">
        <v>44697</v>
      </c>
      <c r="B6896" s="816" t="str">
        <f>TiposLancamentos!B3</f>
        <v>Internet</v>
      </c>
      <c r="C6896" s="1769" t="s">
        <v>5835</v>
      </c>
      <c r="D6896" s="1736"/>
      <c r="E6896" s="1734">
        <v>134.99</v>
      </c>
      <c r="F6896" s="1043"/>
      <c r="G6896" s="1550"/>
    </row>
    <row r="6897" spans="1:7" ht="12.75" customHeight="1">
      <c r="A6897" s="1750">
        <v>44697</v>
      </c>
      <c r="B6897" s="818" t="str">
        <f>TiposLancamentos!B2</f>
        <v>Telefonia</v>
      </c>
      <c r="C6897" s="1743" t="s">
        <v>7210</v>
      </c>
      <c r="D6897" s="1737"/>
      <c r="E6897" s="1668">
        <v>0</v>
      </c>
      <c r="F6897" s="1291">
        <v>271.27999999999997</v>
      </c>
      <c r="G6897" s="1550"/>
    </row>
    <row r="6898" spans="1:7" ht="12.75" customHeight="1">
      <c r="A6898" s="1754">
        <v>44698</v>
      </c>
      <c r="B6898" s="125" t="str">
        <f>TiposLancamentos!B2</f>
        <v>Telefonia</v>
      </c>
      <c r="C6898" s="1040" t="s">
        <v>8619</v>
      </c>
      <c r="D6898" s="1736"/>
      <c r="E6898" s="1043">
        <v>55.99</v>
      </c>
      <c r="F6898" s="1043"/>
      <c r="G6898" s="1550"/>
    </row>
    <row r="6899" spans="1:7" ht="12.75" customHeight="1">
      <c r="A6899" s="1754">
        <v>44698</v>
      </c>
      <c r="B6899" s="125" t="str">
        <f>TiposLancamentos!B22</f>
        <v>Combustivel</v>
      </c>
      <c r="C6899" s="1040" t="s">
        <v>8620</v>
      </c>
      <c r="D6899" s="1736"/>
      <c r="E6899" s="1043">
        <v>100</v>
      </c>
      <c r="F6899" s="1043"/>
      <c r="G6899" s="1550"/>
    </row>
    <row r="6900" spans="1:7" ht="12.75" customHeight="1">
      <c r="A6900" s="1754">
        <v>44699</v>
      </c>
      <c r="B6900" s="125" t="str">
        <f>TiposLancamentos!B67</f>
        <v>Lavanderia</v>
      </c>
      <c r="C6900" s="1040" t="s">
        <v>8621</v>
      </c>
      <c r="D6900" s="1736"/>
      <c r="E6900" s="1043">
        <v>124</v>
      </c>
      <c r="F6900" s="1043"/>
      <c r="G6900" s="1550"/>
    </row>
    <row r="6901" spans="1:7" ht="12.75" customHeight="1">
      <c r="A6901" s="1754">
        <v>44669</v>
      </c>
      <c r="B6901" s="125" t="str">
        <f>TiposLancamentos!B19</f>
        <v>Restaurantes</v>
      </c>
      <c r="C6901" s="1040" t="s">
        <v>8622</v>
      </c>
      <c r="D6901" s="1736"/>
      <c r="E6901" s="1043">
        <v>74.010000000000005</v>
      </c>
      <c r="F6901" s="1043"/>
      <c r="G6901" s="1550"/>
    </row>
    <row r="6902" spans="1:7" ht="12.75" customHeight="1">
      <c r="A6902" s="1666">
        <v>44701</v>
      </c>
      <c r="B6902" s="817" t="str">
        <f>TiposLancamentos!B8</f>
        <v>Aluguel</v>
      </c>
      <c r="C6902" s="1742" t="s">
        <v>8623</v>
      </c>
      <c r="D6902" s="1735"/>
      <c r="E6902" s="1733">
        <f>F6907-(E6903+E6907+E6904+E6905+E6906)</f>
        <v>1760.6000000000001</v>
      </c>
      <c r="F6902" s="1346"/>
      <c r="G6902" s="1550"/>
    </row>
    <row r="6903" spans="1:7" ht="12.75" customHeight="1">
      <c r="A6903" s="1667">
        <v>44701</v>
      </c>
      <c r="B6903" s="816" t="str">
        <f>TiposLancamentos!B12</f>
        <v>IPTU</v>
      </c>
      <c r="C6903" s="1769" t="s">
        <v>8624</v>
      </c>
      <c r="D6903" s="1736"/>
      <c r="E6903" s="1734">
        <v>34.5</v>
      </c>
      <c r="F6903" s="1043"/>
      <c r="G6903" s="1550"/>
    </row>
    <row r="6904" spans="1:7" ht="12.75" customHeight="1">
      <c r="A6904" s="1667">
        <v>44701</v>
      </c>
      <c r="B6904" s="816" t="str">
        <f>TiposLancamentos!B10</f>
        <v>Distr. Água Municipal</v>
      </c>
      <c r="C6904" s="1769" t="s">
        <v>7423</v>
      </c>
      <c r="D6904" s="1736"/>
      <c r="E6904" s="1734">
        <v>60.2</v>
      </c>
      <c r="F6904" s="1043"/>
      <c r="G6904" s="1550"/>
    </row>
    <row r="6905" spans="1:7" ht="12.75" customHeight="1">
      <c r="A6905" s="1667">
        <v>44701</v>
      </c>
      <c r="B6905" s="816" t="str">
        <f>TiposLancamentos!B11</f>
        <v>Coleta Municipal Lixo</v>
      </c>
      <c r="C6905" s="1769" t="s">
        <v>7424</v>
      </c>
      <c r="D6905" s="1736"/>
      <c r="E6905" s="1734">
        <v>44.36</v>
      </c>
      <c r="F6905" s="1043"/>
      <c r="G6905" s="1550"/>
    </row>
    <row r="6906" spans="1:7" ht="12.75" customHeight="1">
      <c r="A6906" s="1667">
        <v>44701</v>
      </c>
      <c r="B6906" s="816" t="str">
        <f>TiposLancamentos!B8</f>
        <v>Aluguel</v>
      </c>
      <c r="C6906" s="1769" t="s">
        <v>7425</v>
      </c>
      <c r="D6906" s="1736"/>
      <c r="E6906" s="1734">
        <v>8</v>
      </c>
      <c r="F6906" s="1043"/>
      <c r="G6906" s="1550"/>
    </row>
    <row r="6907" spans="1:7" ht="12.75" customHeight="1">
      <c r="A6907" s="1750">
        <v>44701</v>
      </c>
      <c r="B6907" s="818" t="str">
        <f>TiposLancamentos!B9</f>
        <v>Condominio</v>
      </c>
      <c r="C6907" s="1743" t="s">
        <v>7427</v>
      </c>
      <c r="D6907" s="1737"/>
      <c r="E6907" s="1668">
        <v>616.37</v>
      </c>
      <c r="F6907" s="1291">
        <v>2524.0300000000002</v>
      </c>
      <c r="G6907" s="1550"/>
    </row>
    <row r="6908" spans="1:7" ht="12.75" customHeight="1">
      <c r="A6908" s="1754">
        <v>44701</v>
      </c>
      <c r="B6908" s="125" t="str">
        <f>TiposLancamentos!B32</f>
        <v>Clinicas e tratamentos</v>
      </c>
      <c r="C6908" s="1040" t="s">
        <v>8625</v>
      </c>
      <c r="D6908" s="1736"/>
      <c r="E6908" s="1043">
        <v>187.5</v>
      </c>
      <c r="F6908" s="1043"/>
      <c r="G6908" s="1550"/>
    </row>
    <row r="6909" spans="1:7" ht="12.75" customHeight="1">
      <c r="A6909" s="1754">
        <v>44701</v>
      </c>
      <c r="B6909" s="125" t="str">
        <f>TiposLancamentos!B13</f>
        <v>Moradia</v>
      </c>
      <c r="C6909" s="1040" t="s">
        <v>8626</v>
      </c>
      <c r="D6909" s="1736"/>
      <c r="E6909" s="1043">
        <v>61.97</v>
      </c>
      <c r="F6909" s="1043"/>
      <c r="G6909" s="1550"/>
    </row>
    <row r="6910" spans="1:7" ht="12.75" customHeight="1">
      <c r="A6910" s="1754">
        <v>44701</v>
      </c>
      <c r="B6910" s="125" t="str">
        <f>TiposLancamentos!B56</f>
        <v>Farmácia</v>
      </c>
      <c r="C6910" s="1040" t="s">
        <v>8627</v>
      </c>
      <c r="D6910" s="1736"/>
      <c r="E6910" s="1043">
        <v>315.88</v>
      </c>
      <c r="F6910" s="1043">
        <f>E6910/2</f>
        <v>157.94</v>
      </c>
      <c r="G6910" s="1550"/>
    </row>
    <row r="6911" spans="1:7" ht="12.75" customHeight="1">
      <c r="A6911" s="1754">
        <v>44702</v>
      </c>
      <c r="B6911" s="125" t="str">
        <f>TiposLancamentos!B71</f>
        <v>Itens Pessoais</v>
      </c>
      <c r="C6911" s="1040" t="s">
        <v>8628</v>
      </c>
      <c r="D6911" s="1736"/>
      <c r="E6911" s="1043">
        <v>30</v>
      </c>
      <c r="F6911" s="1043"/>
      <c r="G6911" s="1550"/>
    </row>
    <row r="6912" spans="1:7" ht="12.75" customHeight="1">
      <c r="A6912" s="1754">
        <v>44702</v>
      </c>
      <c r="B6912" s="125" t="str">
        <f>TiposLancamentos!B19</f>
        <v>Restaurantes</v>
      </c>
      <c r="C6912" s="1040" t="s">
        <v>8468</v>
      </c>
      <c r="D6912" s="1736"/>
      <c r="E6912" s="1043">
        <v>25.5</v>
      </c>
      <c r="F6912" s="1043"/>
      <c r="G6912" s="1550"/>
    </row>
    <row r="6913" spans="1:7" ht="12.75" customHeight="1">
      <c r="A6913" s="1754">
        <v>44702</v>
      </c>
      <c r="B6913" s="125" t="str">
        <f>TiposLancamentos!B23</f>
        <v>P208 GRIFFE 1.6 AUT BUSINESS</v>
      </c>
      <c r="C6913" s="1040" t="s">
        <v>7620</v>
      </c>
      <c r="D6913" s="1736"/>
      <c r="E6913" s="1043">
        <v>40</v>
      </c>
      <c r="F6913" s="1043"/>
      <c r="G6913" s="1550"/>
    </row>
    <row r="6914" spans="1:7" ht="12.75" customHeight="1">
      <c r="A6914" s="1754">
        <v>44704</v>
      </c>
      <c r="B6914" s="125" t="str">
        <f>TiposLancamentos!B6</f>
        <v>Energia Eletrica</v>
      </c>
      <c r="C6914" s="1040" t="s">
        <v>8629</v>
      </c>
      <c r="D6914" s="1736"/>
      <c r="E6914" s="1043">
        <v>273.33</v>
      </c>
      <c r="F6914" s="1043"/>
      <c r="G6914" s="1550"/>
    </row>
    <row r="6915" spans="1:7" ht="12.75" customHeight="1">
      <c r="A6915" s="1754">
        <v>44705</v>
      </c>
      <c r="B6915" s="125" t="str">
        <f>TiposLancamentos!B19</f>
        <v>Restaurantes</v>
      </c>
      <c r="C6915" s="1040" t="s">
        <v>8630</v>
      </c>
      <c r="D6915" s="1736"/>
      <c r="E6915" s="1043">
        <v>100.34</v>
      </c>
      <c r="F6915" s="1043"/>
      <c r="G6915" s="1550"/>
    </row>
    <row r="6916" spans="1:7" ht="12.75" customHeight="1">
      <c r="A6916" s="1754">
        <v>44706</v>
      </c>
      <c r="B6916" s="125" t="str">
        <f>TiposLancamentos!B19</f>
        <v>Restaurantes</v>
      </c>
      <c r="C6916" s="1040" t="s">
        <v>8631</v>
      </c>
      <c r="D6916" s="1736"/>
      <c r="E6916" s="1043">
        <v>30</v>
      </c>
      <c r="F6916" s="1043"/>
      <c r="G6916" s="1550"/>
    </row>
    <row r="6917" spans="1:7" ht="12.75" customHeight="1">
      <c r="A6917" s="1754">
        <v>44707</v>
      </c>
      <c r="B6917" s="125" t="str">
        <f>B6916</f>
        <v>Restaurantes</v>
      </c>
      <c r="C6917" s="1040" t="s">
        <v>8632</v>
      </c>
      <c r="D6917" s="1736"/>
      <c r="E6917" s="1043">
        <v>65.900000000000006</v>
      </c>
      <c r="F6917" s="1043"/>
      <c r="G6917" s="1550"/>
    </row>
    <row r="6918" spans="1:7" ht="12.75" customHeight="1">
      <c r="A6918" s="1754">
        <v>44708</v>
      </c>
      <c r="B6918" s="125" t="str">
        <f>TiposLancamentos!B32</f>
        <v>Clinicas e tratamentos</v>
      </c>
      <c r="C6918" s="1040" t="s">
        <v>8633</v>
      </c>
      <c r="D6918" s="1736"/>
      <c r="E6918" s="1043">
        <v>187.5</v>
      </c>
      <c r="F6918" s="1043"/>
      <c r="G6918" s="1550"/>
    </row>
    <row r="6919" spans="1:7" ht="12.75" customHeight="1">
      <c r="A6919" s="1754">
        <v>44709</v>
      </c>
      <c r="B6919" s="125" t="str">
        <f>TiposLancamentos!B19</f>
        <v>Restaurantes</v>
      </c>
      <c r="C6919" s="1040" t="s">
        <v>8634</v>
      </c>
      <c r="D6919" s="1736"/>
      <c r="E6919" s="1043">
        <v>76</v>
      </c>
      <c r="F6919" s="1043"/>
      <c r="G6919" s="1550"/>
    </row>
    <row r="6920" spans="1:7" ht="12.75" customHeight="1">
      <c r="A6920" s="1754">
        <v>44709</v>
      </c>
      <c r="B6920" s="125" t="str">
        <f>TiposLancamentos!B5</f>
        <v>Supermercado</v>
      </c>
      <c r="C6920" s="1040" t="s">
        <v>8635</v>
      </c>
      <c r="D6920" s="1736"/>
      <c r="E6920" s="1043">
        <v>449.34</v>
      </c>
      <c r="F6920" s="1043"/>
      <c r="G6920" s="1550"/>
    </row>
    <row r="6921" spans="1:7" ht="12.75" customHeight="1">
      <c r="A6921" s="1754">
        <v>44710</v>
      </c>
      <c r="B6921" s="125" t="str">
        <f>TiposLancamentos!B13</f>
        <v>Moradia</v>
      </c>
      <c r="C6921" s="1040" t="s">
        <v>8636</v>
      </c>
      <c r="D6921" s="1736"/>
      <c r="E6921" s="1043">
        <v>32.25</v>
      </c>
      <c r="F6921" s="1043"/>
      <c r="G6921" s="1550"/>
    </row>
    <row r="6922" spans="1:7" ht="12.75" customHeight="1">
      <c r="A6922" s="1754">
        <v>44710</v>
      </c>
      <c r="B6922" s="125" t="str">
        <f>TiposLancamentos!B5</f>
        <v>Supermercado</v>
      </c>
      <c r="C6922" s="1040" t="s">
        <v>1884</v>
      </c>
      <c r="D6922" s="1736"/>
      <c r="E6922" s="1043">
        <v>15.89</v>
      </c>
      <c r="F6922" s="1043"/>
      <c r="G6922" s="1550"/>
    </row>
    <row r="6923" spans="1:7" ht="12.75" customHeight="1">
      <c r="A6923" s="1754">
        <v>44710</v>
      </c>
      <c r="B6923" s="125" t="str">
        <f>TiposLancamentos!B19</f>
        <v>Restaurantes</v>
      </c>
      <c r="C6923" s="1040" t="s">
        <v>8637</v>
      </c>
      <c r="D6923" s="1736"/>
      <c r="E6923" s="1043">
        <v>68</v>
      </c>
      <c r="F6923" s="1043"/>
      <c r="G6923" s="1550"/>
    </row>
    <row r="6924" spans="1:7" ht="12.75" customHeight="1">
      <c r="A6924" s="1754">
        <v>44712</v>
      </c>
      <c r="B6924" s="125" t="str">
        <f>TiposLancamentos!B95</f>
        <v>Salarios</v>
      </c>
      <c r="C6924" s="1040" t="s">
        <v>8064</v>
      </c>
      <c r="D6924" s="1736">
        <v>3635.45</v>
      </c>
      <c r="E6924" s="1043"/>
      <c r="F6924" s="1043"/>
      <c r="G6924" s="1550"/>
    </row>
    <row r="6925" spans="1:7" ht="12.75" customHeight="1">
      <c r="A6925" s="1754">
        <v>44712</v>
      </c>
      <c r="B6925" s="125" t="str">
        <f>TiposLancamentos!B105</f>
        <v>Transf. Bco</v>
      </c>
      <c r="C6925" s="1040" t="s">
        <v>8638</v>
      </c>
      <c r="D6925" s="1736">
        <v>11000</v>
      </c>
      <c r="E6925" s="1043"/>
      <c r="F6925" s="1043"/>
      <c r="G6925" s="1550"/>
    </row>
    <row r="6926" spans="1:7" ht="12.75" customHeight="1">
      <c r="A6926" s="1754">
        <v>44711</v>
      </c>
      <c r="B6926" s="125" t="str">
        <f>TiposLancamentos!B19</f>
        <v>Restaurantes</v>
      </c>
      <c r="C6926" s="1040" t="s">
        <v>8639</v>
      </c>
      <c r="D6926" s="1736"/>
      <c r="E6926" s="1043">
        <v>144.26</v>
      </c>
      <c r="F6926" s="1043"/>
      <c r="G6926" s="1550"/>
    </row>
    <row r="6927" spans="1:7" ht="12.75" customHeight="1" thickBot="1">
      <c r="A6927" s="1754">
        <v>44711</v>
      </c>
      <c r="B6927" s="125" t="str">
        <f>TiposLancamentos!B30</f>
        <v>Cinema</v>
      </c>
      <c r="C6927" s="1040" t="s">
        <v>8640</v>
      </c>
      <c r="D6927" s="1736"/>
      <c r="E6927" s="1043">
        <v>61</v>
      </c>
      <c r="F6927" s="1043"/>
      <c r="G6927" s="1550"/>
    </row>
    <row r="6928" spans="1:7" ht="12.75" customHeight="1">
      <c r="A6928" s="1834"/>
      <c r="B6928" s="977"/>
      <c r="C6928" s="1854" t="s">
        <v>1611</v>
      </c>
      <c r="D6928" s="1823"/>
      <c r="E6928" s="1821"/>
      <c r="F6928" s="1821"/>
      <c r="G6928" s="1895"/>
    </row>
    <row r="6929" spans="1:7" ht="12.75" customHeight="1">
      <c r="A6929" s="1754">
        <v>44713</v>
      </c>
      <c r="B6929" s="125" t="str">
        <f>TiposLancamentos!B15</f>
        <v>Cartões de Crédito</v>
      </c>
      <c r="C6929" s="1040" t="s">
        <v>7781</v>
      </c>
      <c r="D6929" s="1736"/>
      <c r="E6929" s="1043">
        <v>1348</v>
      </c>
      <c r="F6929" s="1043"/>
      <c r="G6929" s="1550"/>
    </row>
    <row r="6930" spans="1:7" ht="12.75" customHeight="1">
      <c r="A6930" s="1754">
        <v>44713</v>
      </c>
      <c r="B6930" s="125" t="str">
        <f>TiposLancamentos!B15</f>
        <v>Cartões de Crédito</v>
      </c>
      <c r="C6930" s="1040" t="s">
        <v>8016</v>
      </c>
      <c r="D6930" s="1736"/>
      <c r="E6930" s="1043">
        <v>275.23</v>
      </c>
      <c r="F6930" s="1043"/>
      <c r="G6930" s="1550"/>
    </row>
    <row r="6931" spans="1:7" ht="12.75" customHeight="1">
      <c r="A6931" s="1754">
        <v>44713</v>
      </c>
      <c r="B6931" s="125" t="str">
        <f>TiposLancamentos!B15</f>
        <v>Cartões de Crédito</v>
      </c>
      <c r="C6931" s="1040" t="s">
        <v>8252</v>
      </c>
      <c r="D6931" s="1736"/>
      <c r="E6931" s="1043">
        <v>152.68</v>
      </c>
      <c r="F6931" s="1043"/>
      <c r="G6931" s="1550"/>
    </row>
    <row r="6932" spans="1:7" ht="12.75" customHeight="1">
      <c r="A6932" s="1754">
        <v>44713</v>
      </c>
      <c r="B6932" s="125" t="str">
        <f>TiposLancamentos!B14</f>
        <v>Gás de cozinha</v>
      </c>
      <c r="C6932" s="1040" t="s">
        <v>8641</v>
      </c>
      <c r="D6932" s="1736"/>
      <c r="E6932" s="1043">
        <v>54.51</v>
      </c>
      <c r="F6932" s="1043"/>
      <c r="G6932" s="1550"/>
    </row>
    <row r="6933" spans="1:7" ht="12.75" customHeight="1">
      <c r="A6933" s="1754">
        <v>44714</v>
      </c>
      <c r="B6933" s="125" t="str">
        <f>TiposLancamentos!B4</f>
        <v>Taxas Bancarias</v>
      </c>
      <c r="C6933" s="1040" t="s">
        <v>4858</v>
      </c>
      <c r="D6933" s="1736"/>
      <c r="E6933" s="1043">
        <v>60.79</v>
      </c>
      <c r="F6933" s="1043"/>
      <c r="G6933" s="1550"/>
    </row>
    <row r="6934" spans="1:7" ht="12.75" customHeight="1">
      <c r="A6934" s="1754">
        <v>44714</v>
      </c>
      <c r="B6934" s="125" t="str">
        <f>TiposLancamentos!B17</f>
        <v>GATO</v>
      </c>
      <c r="C6934" s="1040" t="s">
        <v>8642</v>
      </c>
      <c r="D6934" s="1736"/>
      <c r="E6934" s="1043">
        <v>30.6</v>
      </c>
      <c r="F6934" s="1043"/>
      <c r="G6934" s="1550"/>
    </row>
    <row r="6935" spans="1:7" ht="12.75" customHeight="1">
      <c r="A6935" s="1754">
        <v>44714</v>
      </c>
      <c r="B6935" s="125" t="str">
        <f>TiposLancamentos!B4</f>
        <v>Taxas Bancarias</v>
      </c>
      <c r="C6935" s="1040" t="s">
        <v>8563</v>
      </c>
      <c r="D6935" s="1736"/>
      <c r="E6935" s="1043">
        <v>5.9</v>
      </c>
      <c r="F6935" s="1043"/>
      <c r="G6935" s="1550"/>
    </row>
    <row r="6936" spans="1:7" ht="12.75" customHeight="1">
      <c r="A6936" s="1754">
        <v>44715</v>
      </c>
      <c r="B6936" s="125" t="str">
        <f>TiposLancamentos!B32</f>
        <v>Clinicas e tratamentos</v>
      </c>
      <c r="C6936" s="1040" t="s">
        <v>8643</v>
      </c>
      <c r="D6936" s="1736"/>
      <c r="E6936" s="1043">
        <v>187.5</v>
      </c>
      <c r="F6936" s="1043"/>
      <c r="G6936" s="1550"/>
    </row>
    <row r="6937" spans="1:7" ht="12.75" customHeight="1">
      <c r="A6937" s="1754">
        <v>44716</v>
      </c>
      <c r="B6937" s="125" t="str">
        <f>TiposLancamentos!B22</f>
        <v>Combustivel</v>
      </c>
      <c r="C6937" s="1040" t="s">
        <v>8644</v>
      </c>
      <c r="D6937" s="1736"/>
      <c r="E6937" s="1043">
        <v>100</v>
      </c>
      <c r="F6937" s="1043"/>
      <c r="G6937" s="1550"/>
    </row>
    <row r="6938" spans="1:7" ht="12.75" customHeight="1">
      <c r="A6938" s="1754">
        <v>44716</v>
      </c>
      <c r="B6938" s="125" t="str">
        <f>TiposLancamentos!B62</f>
        <v>Papelaria</v>
      </c>
      <c r="C6938" s="1040" t="s">
        <v>8645</v>
      </c>
      <c r="D6938" s="1736"/>
      <c r="E6938" s="1043">
        <v>56</v>
      </c>
      <c r="F6938" s="1043"/>
      <c r="G6938" s="1550"/>
    </row>
    <row r="6939" spans="1:7" ht="12.75" customHeight="1">
      <c r="A6939" s="1754">
        <v>44716</v>
      </c>
      <c r="B6939" s="125" t="str">
        <f>TiposLancamentos!B71</f>
        <v>Itens Pessoais</v>
      </c>
      <c r="C6939" s="1040" t="s">
        <v>8646</v>
      </c>
      <c r="D6939" s="1736"/>
      <c r="E6939" s="1043">
        <v>80</v>
      </c>
      <c r="F6939" s="1043"/>
      <c r="G6939" s="1550"/>
    </row>
    <row r="6940" spans="1:7" ht="12.75" customHeight="1">
      <c r="A6940" s="1754">
        <v>44716</v>
      </c>
      <c r="B6940" s="125" t="str">
        <f>TiposLancamentos!B71</f>
        <v>Itens Pessoais</v>
      </c>
      <c r="C6940" s="1040" t="s">
        <v>8647</v>
      </c>
      <c r="D6940" s="1736"/>
      <c r="E6940" s="1043">
        <v>25</v>
      </c>
      <c r="F6940" s="1043"/>
      <c r="G6940" s="1550"/>
    </row>
    <row r="6941" spans="1:7" ht="12.75" customHeight="1">
      <c r="A6941" s="1754">
        <v>44717</v>
      </c>
      <c r="B6941" s="125" t="str">
        <f>TiposLancamentos!B19</f>
        <v>Restaurantes</v>
      </c>
      <c r="C6941" s="1040" t="s">
        <v>8648</v>
      </c>
      <c r="D6941" s="1736"/>
      <c r="E6941" s="1043">
        <v>160.43</v>
      </c>
      <c r="F6941" s="1043"/>
      <c r="G6941" s="1550"/>
    </row>
    <row r="6942" spans="1:7" ht="12.75" customHeight="1">
      <c r="A6942" s="1754">
        <v>44717</v>
      </c>
      <c r="B6942" s="125" t="str">
        <f>TiposLancamentos!B19</f>
        <v>Restaurantes</v>
      </c>
      <c r="C6942" s="1040" t="s">
        <v>8649</v>
      </c>
      <c r="D6942" s="1736"/>
      <c r="E6942" s="1043">
        <v>36</v>
      </c>
      <c r="F6942" s="1043"/>
      <c r="G6942" s="1550"/>
    </row>
    <row r="6943" spans="1:7" ht="12.6" customHeight="1">
      <c r="A6943" s="1754">
        <v>44718</v>
      </c>
      <c r="B6943" s="125" t="str">
        <f>TiposLancamentos!B4</f>
        <v>Taxas Bancarias</v>
      </c>
      <c r="C6943" s="1040" t="s">
        <v>8650</v>
      </c>
      <c r="D6943" s="1736"/>
      <c r="E6943" s="1043">
        <v>636.02</v>
      </c>
      <c r="F6943" s="1043"/>
      <c r="G6943" s="1550"/>
    </row>
    <row r="6944" spans="1:7" ht="12.6" customHeight="1">
      <c r="A6944" s="1754">
        <v>44719</v>
      </c>
      <c r="B6944" s="125" t="str">
        <f>TiposLancamentos!B16</f>
        <v>Cristiane</v>
      </c>
      <c r="C6944" s="1040" t="s">
        <v>8651</v>
      </c>
      <c r="D6944" s="1736"/>
      <c r="E6944" s="1043">
        <v>140</v>
      </c>
      <c r="F6944" s="1043"/>
      <c r="G6944" s="1550"/>
    </row>
    <row r="6945" spans="1:7" ht="12.6" customHeight="1">
      <c r="A6945" s="1754">
        <v>44719</v>
      </c>
      <c r="B6945" s="125" t="str">
        <f>TiposLancamentos!B19</f>
        <v>Restaurantes</v>
      </c>
      <c r="C6945" s="1040" t="s">
        <v>1967</v>
      </c>
      <c r="D6945" s="1736"/>
      <c r="E6945" s="1043">
        <v>40.700000000000003</v>
      </c>
      <c r="F6945" s="1043"/>
      <c r="G6945" s="1550"/>
    </row>
    <row r="6946" spans="1:7" ht="12.75" customHeight="1">
      <c r="A6946" s="1754">
        <v>44719</v>
      </c>
      <c r="B6946" s="125" t="str">
        <f>TiposLancamentos!B4</f>
        <v>Taxas Bancarias</v>
      </c>
      <c r="C6946" s="1040" t="s">
        <v>8652</v>
      </c>
      <c r="D6946" s="1736"/>
      <c r="E6946" s="1043">
        <v>41.08</v>
      </c>
      <c r="F6946" s="1043"/>
      <c r="G6946" s="1550"/>
    </row>
    <row r="6947" spans="1:7" ht="12.75" customHeight="1">
      <c r="A6947" s="1754">
        <v>44722</v>
      </c>
      <c r="B6947" s="125" t="str">
        <f>TiposLancamentos!B46</f>
        <v>Maçonaria</v>
      </c>
      <c r="C6947" s="1040" t="s">
        <v>8653</v>
      </c>
      <c r="D6947" s="1736"/>
      <c r="E6947" s="1043">
        <v>200</v>
      </c>
      <c r="F6947" s="1043"/>
      <c r="G6947" s="1550"/>
    </row>
    <row r="6948" spans="1:7" ht="12.75" customHeight="1">
      <c r="A6948" s="1754">
        <v>44723</v>
      </c>
      <c r="B6948" s="125" t="str">
        <f>TiposLancamentos!B5</f>
        <v>Supermercado</v>
      </c>
      <c r="C6948" s="1040" t="s">
        <v>7527</v>
      </c>
      <c r="D6948" s="1736"/>
      <c r="E6948" s="1043">
        <v>229.17</v>
      </c>
      <c r="F6948" s="1043"/>
      <c r="G6948" s="1550"/>
    </row>
    <row r="6949" spans="1:7" ht="12.75" customHeight="1">
      <c r="A6949" s="1754">
        <v>44723</v>
      </c>
      <c r="B6949" s="125" t="str">
        <f>TiposLancamentos!B19</f>
        <v>Restaurantes</v>
      </c>
      <c r="C6949" s="1040" t="s">
        <v>8609</v>
      </c>
      <c r="D6949" s="1736"/>
      <c r="E6949" s="1043">
        <v>68</v>
      </c>
      <c r="F6949" s="1043"/>
      <c r="G6949" s="1550"/>
    </row>
    <row r="6950" spans="1:7" ht="12.75" customHeight="1">
      <c r="A6950" s="1754">
        <v>44724</v>
      </c>
      <c r="B6950" s="125" t="str">
        <f>TiposLancamentos!B19</f>
        <v>Restaurantes</v>
      </c>
      <c r="C6950" s="1040" t="s">
        <v>8654</v>
      </c>
      <c r="D6950" s="1736"/>
      <c r="E6950" s="1043">
        <v>237.71</v>
      </c>
      <c r="F6950" s="1043"/>
      <c r="G6950" s="1550"/>
    </row>
    <row r="6951" spans="1:7" ht="12.75" customHeight="1">
      <c r="A6951" s="1754">
        <v>44724</v>
      </c>
      <c r="B6951" s="125" t="str">
        <f>TiposLancamentos!B19</f>
        <v>Restaurantes</v>
      </c>
      <c r="C6951" s="1040" t="s">
        <v>8655</v>
      </c>
      <c r="D6951" s="1736"/>
      <c r="E6951" s="1043">
        <v>100.7</v>
      </c>
      <c r="F6951" s="1043"/>
      <c r="G6951" s="1550"/>
    </row>
    <row r="6952" spans="1:7" ht="12.75" customHeight="1">
      <c r="A6952" s="1754">
        <v>44726</v>
      </c>
      <c r="B6952" s="125" t="str">
        <f>TiposLancamentos!B46</f>
        <v>Maçonaria</v>
      </c>
      <c r="C6952" s="1040" t="s">
        <v>8656</v>
      </c>
      <c r="D6952" s="1736"/>
      <c r="E6952" s="1043">
        <v>500</v>
      </c>
      <c r="F6952" s="1043"/>
      <c r="G6952" s="1550"/>
    </row>
    <row r="6953" spans="1:7" ht="12.75" customHeight="1">
      <c r="A6953" s="1754">
        <v>44726</v>
      </c>
      <c r="B6953" s="125" t="str">
        <f>TiposLancamentos!B56</f>
        <v>Farmácia</v>
      </c>
      <c r="C6953" s="1040" t="s">
        <v>8657</v>
      </c>
      <c r="D6953" s="1736"/>
      <c r="E6953" s="1043">
        <v>19.64</v>
      </c>
      <c r="F6953" s="1043"/>
      <c r="G6953" s="1550"/>
    </row>
    <row r="6954" spans="1:7" ht="12.75" customHeight="1">
      <c r="A6954" s="1754">
        <v>44726</v>
      </c>
      <c r="B6954" s="125" t="str">
        <f>TiposLancamentos!B16</f>
        <v>Cristiane</v>
      </c>
      <c r="C6954" s="1040" t="s">
        <v>8658</v>
      </c>
      <c r="D6954" s="1736"/>
      <c r="E6954" s="1043">
        <v>25.8</v>
      </c>
      <c r="F6954" s="1043"/>
      <c r="G6954" s="1550"/>
    </row>
    <row r="6955" spans="1:7" ht="12.75" customHeight="1">
      <c r="A6955" s="1754">
        <v>44726</v>
      </c>
      <c r="B6955" s="125" t="str">
        <f>TiposLancamentos!B19</f>
        <v>Restaurantes</v>
      </c>
      <c r="C6955" s="1040" t="s">
        <v>8659</v>
      </c>
      <c r="D6955" s="1736"/>
      <c r="E6955" s="1043">
        <v>31.89</v>
      </c>
      <c r="F6955" s="1043"/>
      <c r="G6955" s="1550"/>
    </row>
    <row r="6956" spans="1:7" ht="12.75" customHeight="1">
      <c r="A6956" s="1754">
        <v>44727</v>
      </c>
      <c r="B6956" s="125" t="str">
        <f>TiposLancamentos!B95</f>
        <v>Salarios</v>
      </c>
      <c r="C6956" s="1040" t="s">
        <v>8078</v>
      </c>
      <c r="D6956" s="1736">
        <v>5040.0200000000004</v>
      </c>
      <c r="E6956" s="1043"/>
      <c r="F6956" s="1043"/>
      <c r="G6956" s="1550"/>
    </row>
    <row r="6957" spans="1:7" ht="12.75" customHeight="1">
      <c r="A6957" s="1754">
        <v>44727</v>
      </c>
      <c r="B6957" s="125"/>
      <c r="C6957" s="1040" t="s">
        <v>1868</v>
      </c>
      <c r="D6957" s="1736">
        <v>0</v>
      </c>
      <c r="E6957" s="1043">
        <v>0</v>
      </c>
      <c r="F6957" s="1043"/>
      <c r="G6957" s="1550"/>
    </row>
    <row r="6958" spans="1:7" ht="12.75" customHeight="1">
      <c r="A6958" s="1666">
        <v>44727</v>
      </c>
      <c r="B6958" s="817" t="str">
        <f>TiposLancamentos!B35</f>
        <v>Tv à Cabo</v>
      </c>
      <c r="C6958" s="1742" t="s">
        <v>5834</v>
      </c>
      <c r="D6958" s="1735"/>
      <c r="E6958" s="1733">
        <f>F6960-(E6959+E6960)</f>
        <v>136.21999999999997</v>
      </c>
      <c r="F6958" s="1290"/>
      <c r="G6958" s="1550"/>
    </row>
    <row r="6959" spans="1:7" ht="12.75" customHeight="1">
      <c r="A6959" s="1667">
        <v>44727</v>
      </c>
      <c r="B6959" s="816" t="str">
        <f>TiposLancamentos!B3</f>
        <v>Internet</v>
      </c>
      <c r="C6959" s="1769" t="s">
        <v>5835</v>
      </c>
      <c r="D6959" s="1736"/>
      <c r="E6959" s="1734">
        <v>134.99</v>
      </c>
      <c r="F6959" s="1043"/>
      <c r="G6959" s="1550"/>
    </row>
    <row r="6960" spans="1:7" ht="12.75" customHeight="1">
      <c r="A6960" s="1750">
        <v>44727</v>
      </c>
      <c r="B6960" s="818" t="str">
        <f>TiposLancamentos!B2</f>
        <v>Telefonia</v>
      </c>
      <c r="C6960" s="1743" t="s">
        <v>7210</v>
      </c>
      <c r="D6960" s="1737"/>
      <c r="E6960" s="1668">
        <v>0</v>
      </c>
      <c r="F6960" s="1291">
        <v>271.20999999999998</v>
      </c>
      <c r="G6960" s="1550"/>
    </row>
    <row r="6961" spans="1:7" ht="12.75" customHeight="1">
      <c r="A6961" s="1754">
        <v>44727</v>
      </c>
      <c r="B6961" s="125"/>
      <c r="C6961" s="1040" t="s">
        <v>7341</v>
      </c>
      <c r="D6961" s="1736">
        <v>0</v>
      </c>
      <c r="E6961" s="1043"/>
      <c r="F6961" s="1043"/>
      <c r="G6961" s="1550"/>
    </row>
    <row r="6962" spans="1:7" ht="12.75" customHeight="1">
      <c r="A6962" s="1754">
        <v>44727</v>
      </c>
      <c r="B6962" s="125"/>
      <c r="C6962" s="1040" t="s">
        <v>1868</v>
      </c>
      <c r="D6962" s="1736">
        <v>0</v>
      </c>
      <c r="E6962" s="1043">
        <v>0</v>
      </c>
      <c r="F6962" s="1043"/>
      <c r="G6962" s="1550"/>
    </row>
    <row r="6963" spans="1:7" ht="12.75" customHeight="1">
      <c r="A6963" s="1666">
        <v>44727</v>
      </c>
      <c r="B6963" s="817" t="str">
        <f>TiposLancamentos!B33</f>
        <v>Pedágios</v>
      </c>
      <c r="C6963" s="1742" t="s">
        <v>5392</v>
      </c>
      <c r="D6963" s="1735">
        <v>0</v>
      </c>
      <c r="E6963" s="1733">
        <f>F6965-(E6964+E6965)</f>
        <v>68.8</v>
      </c>
      <c r="F6963" s="1290"/>
      <c r="G6963" s="1550"/>
    </row>
    <row r="6964" spans="1:7" ht="12.75" customHeight="1">
      <c r="A6964" s="1667">
        <v>44727</v>
      </c>
      <c r="B6964" s="816" t="str">
        <f>TiposLancamentos!B24</f>
        <v>Estacionamentos</v>
      </c>
      <c r="C6964" s="1769" t="s">
        <v>7366</v>
      </c>
      <c r="D6964" s="1736"/>
      <c r="E6964" s="1734">
        <v>17</v>
      </c>
      <c r="F6964" s="1043"/>
      <c r="G6964" s="1550"/>
    </row>
    <row r="6965" spans="1:7" ht="12.75" customHeight="1">
      <c r="A6965" s="1750">
        <v>44727</v>
      </c>
      <c r="B6965" s="818" t="str">
        <f>TiposLancamentos!B24</f>
        <v>Estacionamentos</v>
      </c>
      <c r="C6965" s="1743" t="s">
        <v>6297</v>
      </c>
      <c r="D6965" s="1737"/>
      <c r="E6965" s="1668">
        <v>11</v>
      </c>
      <c r="F6965" s="1347">
        <v>96.8</v>
      </c>
      <c r="G6965" s="1550"/>
    </row>
    <row r="6966" spans="1:7" ht="12.75" customHeight="1">
      <c r="A6966" s="1754">
        <v>44727</v>
      </c>
      <c r="B6966" s="125"/>
      <c r="C6966" s="1040" t="s">
        <v>1868</v>
      </c>
      <c r="D6966" s="1736">
        <v>0</v>
      </c>
      <c r="E6966" s="1043">
        <v>0</v>
      </c>
      <c r="F6966" s="1040"/>
      <c r="G6966" s="1550"/>
    </row>
    <row r="6967" spans="1:7" ht="12.75" customHeight="1">
      <c r="A6967" s="1754">
        <v>44727</v>
      </c>
      <c r="B6967" s="125" t="str">
        <f>TiposLancamentos!B105</f>
        <v>Transf. Bco</v>
      </c>
      <c r="C6967" s="1040" t="s">
        <v>8660</v>
      </c>
      <c r="D6967" s="1736">
        <v>0</v>
      </c>
      <c r="E6967" s="1043">
        <v>702</v>
      </c>
      <c r="F6967" s="1043"/>
      <c r="G6967" s="1550"/>
    </row>
    <row r="6968" spans="1:7" ht="12.75" customHeight="1">
      <c r="A6968" s="1754">
        <v>44728</v>
      </c>
      <c r="B6968" s="125" t="str">
        <f>TiposLancamentos!B19</f>
        <v>Restaurantes</v>
      </c>
      <c r="C6968" s="1040" t="s">
        <v>8661</v>
      </c>
      <c r="D6968" s="1736"/>
      <c r="E6968" s="1043">
        <v>197.78</v>
      </c>
      <c r="F6968" s="1043"/>
      <c r="G6968" s="1550"/>
    </row>
    <row r="6969" spans="1:7" ht="12.75" customHeight="1">
      <c r="A6969" s="1754">
        <v>44728</v>
      </c>
      <c r="B6969" s="125" t="str">
        <f>TiposLancamentos!B56</f>
        <v>Farmácia</v>
      </c>
      <c r="C6969" s="1040" t="s">
        <v>8662</v>
      </c>
      <c r="D6969" s="1736"/>
      <c r="E6969" s="1043">
        <v>35.89</v>
      </c>
      <c r="F6969" s="1043"/>
      <c r="G6969" s="1550"/>
    </row>
    <row r="6970" spans="1:7" ht="12.75" customHeight="1">
      <c r="A6970" s="1754">
        <v>44728</v>
      </c>
      <c r="B6970" s="125" t="str">
        <f>TiposLancamentos!B19</f>
        <v>Restaurantes</v>
      </c>
      <c r="C6970" s="1040" t="s">
        <v>8663</v>
      </c>
      <c r="D6970" s="1736"/>
      <c r="E6970" s="1043">
        <v>39.9</v>
      </c>
      <c r="F6970" s="1043"/>
      <c r="G6970" s="1550"/>
    </row>
    <row r="6971" spans="1:7" ht="12.75" customHeight="1">
      <c r="A6971" s="1754">
        <v>44729</v>
      </c>
      <c r="B6971" s="125" t="str">
        <f>TiposLancamentos!B5</f>
        <v>Supermercado</v>
      </c>
      <c r="C6971" s="1040" t="s">
        <v>8664</v>
      </c>
      <c r="D6971" s="1736"/>
      <c r="E6971" s="1043">
        <v>9.9</v>
      </c>
      <c r="F6971" s="1043"/>
      <c r="G6971" s="1550"/>
    </row>
    <row r="6972" spans="1:7" ht="12.75" customHeight="1">
      <c r="A6972" s="1754">
        <v>44729</v>
      </c>
      <c r="B6972" s="125" t="str">
        <f>TiposLancamentos!B2</f>
        <v>Telefonia</v>
      </c>
      <c r="C6972" s="1040" t="s">
        <v>8619</v>
      </c>
      <c r="D6972" s="1736"/>
      <c r="E6972" s="1043">
        <v>55.99</v>
      </c>
      <c r="F6972" s="1043"/>
      <c r="G6972" s="1550"/>
    </row>
    <row r="6973" spans="1:7" ht="12.75" customHeight="1">
      <c r="A6973" s="1754">
        <v>44729</v>
      </c>
      <c r="B6973" s="125" t="str">
        <f>TiposLancamentos!B32</f>
        <v>Clinicas e tratamentos</v>
      </c>
      <c r="C6973" s="1040" t="s">
        <v>8665</v>
      </c>
      <c r="D6973" s="1736"/>
      <c r="E6973" s="1043">
        <v>187.5</v>
      </c>
      <c r="F6973" s="1043"/>
      <c r="G6973" s="1550"/>
    </row>
    <row r="6974" spans="1:7" ht="12.75" customHeight="1">
      <c r="A6974" s="1754">
        <v>44730</v>
      </c>
      <c r="B6974" s="125" t="str">
        <f>TiposLancamentos!B19</f>
        <v>Restaurantes</v>
      </c>
      <c r="C6974" s="1040" t="s">
        <v>8666</v>
      </c>
      <c r="D6974" s="1736"/>
      <c r="E6974" s="1043">
        <v>70</v>
      </c>
      <c r="F6974" s="1043"/>
      <c r="G6974" s="1550"/>
    </row>
    <row r="6975" spans="1:7" ht="12.75" customHeight="1">
      <c r="A6975" s="1754">
        <v>44730</v>
      </c>
      <c r="B6975" s="125" t="str">
        <f>TiposLancamentos!B5</f>
        <v>Supermercado</v>
      </c>
      <c r="C6975" s="1040" t="s">
        <v>1943</v>
      </c>
      <c r="D6975" s="1736"/>
      <c r="E6975" s="1043">
        <v>153.85</v>
      </c>
      <c r="F6975" s="1043"/>
      <c r="G6975" s="1550"/>
    </row>
    <row r="6976" spans="1:7" ht="12.75" customHeight="1">
      <c r="A6976" s="1666">
        <v>44732</v>
      </c>
      <c r="B6976" s="817" t="str">
        <f>TiposLancamentos!B8</f>
        <v>Aluguel</v>
      </c>
      <c r="C6976" s="1742" t="s">
        <v>8667</v>
      </c>
      <c r="D6976" s="1735"/>
      <c r="E6976" s="1733">
        <f>F6981-(E6977+E6981+E6978+E6979+E6980)</f>
        <v>1611.2600000000002</v>
      </c>
      <c r="F6976" s="1346"/>
      <c r="G6976" s="1550"/>
    </row>
    <row r="6977" spans="1:7" ht="12.75" customHeight="1">
      <c r="A6977" s="1667">
        <v>44732</v>
      </c>
      <c r="B6977" s="816" t="str">
        <f>TiposLancamentos!B12</f>
        <v>IPTU</v>
      </c>
      <c r="C6977" s="1769" t="s">
        <v>8668</v>
      </c>
      <c r="D6977" s="1736"/>
      <c r="E6977" s="1734">
        <v>34.5</v>
      </c>
      <c r="F6977" s="1043"/>
      <c r="G6977" s="1550"/>
    </row>
    <row r="6978" spans="1:7" ht="12.75" customHeight="1">
      <c r="A6978" s="1667">
        <v>44732</v>
      </c>
      <c r="B6978" s="816" t="str">
        <f>TiposLancamentos!B10</f>
        <v>Distr. Água Municipal</v>
      </c>
      <c r="C6978" s="1769" t="s">
        <v>7423</v>
      </c>
      <c r="D6978" s="1736"/>
      <c r="E6978" s="1734">
        <f>56.62</f>
        <v>56.62</v>
      </c>
      <c r="F6978" s="1043"/>
      <c r="G6978" s="1550"/>
    </row>
    <row r="6979" spans="1:7" ht="12.75" customHeight="1">
      <c r="A6979" s="1667">
        <v>44732</v>
      </c>
      <c r="B6979" s="816" t="str">
        <f>TiposLancamentos!B11</f>
        <v>Coleta Municipal Lixo</v>
      </c>
      <c r="C6979" s="1769" t="s">
        <v>7424</v>
      </c>
      <c r="D6979" s="1736"/>
      <c r="E6979" s="1734">
        <v>44.36</v>
      </c>
      <c r="F6979" s="1043"/>
      <c r="G6979" s="1550"/>
    </row>
    <row r="6980" spans="1:7" ht="12.75" customHeight="1">
      <c r="A6980" s="1667">
        <v>44732</v>
      </c>
      <c r="B6980" s="816" t="str">
        <f>TiposLancamentos!B8</f>
        <v>Aluguel</v>
      </c>
      <c r="C6980" s="1769" t="s">
        <v>7425</v>
      </c>
      <c r="D6980" s="1736"/>
      <c r="E6980" s="1734">
        <v>8</v>
      </c>
      <c r="F6980" s="1043"/>
      <c r="G6980" s="1550"/>
    </row>
    <row r="6981" spans="1:7" ht="12.75" customHeight="1">
      <c r="A6981" s="1750">
        <v>44732</v>
      </c>
      <c r="B6981" s="818" t="str">
        <f>TiposLancamentos!B9</f>
        <v>Condominio</v>
      </c>
      <c r="C6981" s="1743" t="s">
        <v>7427</v>
      </c>
      <c r="D6981" s="1737"/>
      <c r="E6981" s="1668">
        <v>616.37</v>
      </c>
      <c r="F6981" s="1291">
        <v>2371.11</v>
      </c>
      <c r="G6981" s="1550"/>
    </row>
    <row r="6982" spans="1:7" ht="12.75" customHeight="1">
      <c r="A6982" s="1754">
        <v>44732</v>
      </c>
      <c r="B6982" s="125" t="str">
        <f>TiposLancamentos!B103</f>
        <v>Juros_Corr. Poupança</v>
      </c>
      <c r="C6982" s="1040" t="s">
        <v>8669</v>
      </c>
      <c r="D6982" s="1736">
        <v>0.01</v>
      </c>
      <c r="E6982" s="1043"/>
      <c r="F6982" s="1043"/>
      <c r="G6982" s="1550"/>
    </row>
    <row r="6983" spans="1:7" ht="12.75" customHeight="1">
      <c r="A6983" s="1754">
        <v>44733</v>
      </c>
      <c r="B6983" s="125" t="str">
        <f>TiposLancamentos!B6</f>
        <v>Energia Eletrica</v>
      </c>
      <c r="C6983" s="1040" t="s">
        <v>8670</v>
      </c>
      <c r="D6983" s="1736"/>
      <c r="E6983" s="1043">
        <v>266.67</v>
      </c>
      <c r="F6983" s="1043"/>
      <c r="G6983" s="1550"/>
    </row>
    <row r="6984" spans="1:7" ht="12.75" customHeight="1">
      <c r="A6984" s="1754">
        <v>44733</v>
      </c>
      <c r="B6984" s="125" t="str">
        <f>TiposLancamentos!B71</f>
        <v>Itens Pessoais</v>
      </c>
      <c r="C6984" s="1040" t="s">
        <v>8671</v>
      </c>
      <c r="D6984" s="1736"/>
      <c r="E6984" s="1043">
        <v>35</v>
      </c>
      <c r="F6984" s="1043"/>
      <c r="G6984" s="1550"/>
    </row>
    <row r="6985" spans="1:7" ht="12.75" customHeight="1">
      <c r="A6985" s="1754">
        <v>44733</v>
      </c>
      <c r="B6985" s="125" t="str">
        <f>TiposLancamentos!B22</f>
        <v>Combustivel</v>
      </c>
      <c r="C6985" s="1040" t="s">
        <v>1880</v>
      </c>
      <c r="D6985" s="1736"/>
      <c r="E6985" s="1043">
        <v>100</v>
      </c>
      <c r="F6985" s="1043"/>
      <c r="G6985" s="1550"/>
    </row>
    <row r="6986" spans="1:7" ht="12.75" customHeight="1">
      <c r="A6986" s="1754">
        <v>44733</v>
      </c>
      <c r="B6986" s="125" t="str">
        <f>TiposLancamentos!B24</f>
        <v>Estacionamentos</v>
      </c>
      <c r="C6986" s="1040" t="s">
        <v>1898</v>
      </c>
      <c r="D6986" s="1736"/>
      <c r="E6986" s="1043">
        <v>13</v>
      </c>
      <c r="F6986" s="1043"/>
      <c r="G6986" s="1550"/>
    </row>
    <row r="6987" spans="1:7" ht="12.75" customHeight="1">
      <c r="A6987" s="1754">
        <v>44733</v>
      </c>
      <c r="B6987" s="125" t="str">
        <f>TiposLancamentos!B56</f>
        <v>Farmácia</v>
      </c>
      <c r="C6987" s="1040" t="s">
        <v>6118</v>
      </c>
      <c r="D6987" s="1736"/>
      <c r="E6987" s="1043">
        <v>125.54</v>
      </c>
      <c r="F6987" s="1043"/>
      <c r="G6987" s="1550"/>
    </row>
    <row r="6988" spans="1:7" ht="12.75" customHeight="1">
      <c r="A6988" s="1754">
        <v>44733</v>
      </c>
      <c r="B6988" s="125" t="str">
        <f>TiposLancamentos!B19</f>
        <v>Restaurantes</v>
      </c>
      <c r="C6988" s="1040" t="s">
        <v>1967</v>
      </c>
      <c r="D6988" s="1736"/>
      <c r="E6988" s="1043">
        <v>40.700000000000003</v>
      </c>
      <c r="F6988" s="1043"/>
      <c r="G6988" s="1550"/>
    </row>
    <row r="6989" spans="1:7" ht="12.75" customHeight="1">
      <c r="A6989" s="1754">
        <v>44734</v>
      </c>
      <c r="B6989" s="125" t="str">
        <f>TiposLancamentos!B5</f>
        <v>Supermercado</v>
      </c>
      <c r="C6989" s="1040" t="s">
        <v>8672</v>
      </c>
      <c r="D6989" s="1736"/>
      <c r="E6989" s="1043">
        <v>108.17</v>
      </c>
      <c r="F6989" s="1043"/>
      <c r="G6989" s="1550"/>
    </row>
    <row r="6990" spans="1:7" ht="12.75" customHeight="1">
      <c r="A6990" s="1754">
        <v>44736</v>
      </c>
      <c r="B6990" s="125" t="str">
        <f>TiposLancamentos!B24</f>
        <v>Estacionamentos</v>
      </c>
      <c r="C6990" s="1040" t="s">
        <v>1898</v>
      </c>
      <c r="D6990" s="1736"/>
      <c r="E6990" s="1043">
        <v>13</v>
      </c>
      <c r="F6990" s="1043"/>
      <c r="G6990" s="1550"/>
    </row>
    <row r="6991" spans="1:7" ht="12.75" customHeight="1">
      <c r="A6991" s="1754">
        <v>44736</v>
      </c>
      <c r="B6991" s="125" t="str">
        <f>TiposLancamentos!B19</f>
        <v>Restaurantes</v>
      </c>
      <c r="C6991" s="1040" t="s">
        <v>1967</v>
      </c>
      <c r="D6991" s="1736"/>
      <c r="E6991" s="1043">
        <v>18.7</v>
      </c>
      <c r="F6991" s="1043"/>
      <c r="G6991" s="1550"/>
    </row>
    <row r="6992" spans="1:7" ht="12.75" customHeight="1">
      <c r="A6992" s="1754">
        <v>44736</v>
      </c>
      <c r="B6992" s="125" t="str">
        <f>TiposLancamentos!B5</f>
        <v>Supermercado</v>
      </c>
      <c r="C6992" s="1040" t="s">
        <v>8536</v>
      </c>
      <c r="D6992" s="1736"/>
      <c r="E6992" s="1043">
        <v>7.49</v>
      </c>
      <c r="F6992" s="1043"/>
      <c r="G6992" s="1550"/>
    </row>
    <row r="6993" spans="1:7" ht="12.75" customHeight="1">
      <c r="A6993" s="1754">
        <v>44737</v>
      </c>
      <c r="B6993" s="125" t="str">
        <f>TiposLancamentos!B19</f>
        <v>Restaurantes</v>
      </c>
      <c r="C6993" s="1040" t="s">
        <v>8673</v>
      </c>
      <c r="D6993" s="1736"/>
      <c r="E6993" s="1043">
        <v>129.49</v>
      </c>
      <c r="F6993" s="1043"/>
      <c r="G6993" s="1550"/>
    </row>
    <row r="6994" spans="1:7" ht="12.75" customHeight="1">
      <c r="A6994" s="1754">
        <v>44737</v>
      </c>
      <c r="B6994" s="125" t="str">
        <f>TiposLancamentos!B19</f>
        <v>Restaurantes</v>
      </c>
      <c r="C6994" s="1040" t="s">
        <v>8609</v>
      </c>
      <c r="D6994" s="1736"/>
      <c r="E6994" s="1043">
        <v>68</v>
      </c>
      <c r="F6994" s="1043"/>
      <c r="G6994" s="1550"/>
    </row>
    <row r="6995" spans="1:7" ht="12.75" customHeight="1">
      <c r="A6995" s="1754">
        <v>44737</v>
      </c>
      <c r="B6995" s="125" t="str">
        <f>TiposLancamentos!B5</f>
        <v>Supermercado</v>
      </c>
      <c r="C6995" s="1040" t="s">
        <v>8674</v>
      </c>
      <c r="D6995" s="1736"/>
      <c r="E6995" s="1043">
        <v>11.9</v>
      </c>
      <c r="F6995" s="1043"/>
      <c r="G6995" s="1550"/>
    </row>
    <row r="6996" spans="1:7" ht="12.75" customHeight="1">
      <c r="A6996" s="1754">
        <v>44738</v>
      </c>
      <c r="B6996" s="125" t="str">
        <f>TiposLancamentos!B5</f>
        <v>Supermercado</v>
      </c>
      <c r="C6996" s="1040" t="s">
        <v>7538</v>
      </c>
      <c r="D6996" s="1736"/>
      <c r="E6996" s="1043">
        <v>221.77</v>
      </c>
      <c r="F6996" s="1043"/>
      <c r="G6996" s="1550"/>
    </row>
    <row r="6997" spans="1:7" ht="12.75" customHeight="1">
      <c r="A6997" s="1754">
        <v>44741</v>
      </c>
      <c r="B6997" s="125" t="str">
        <f>TiposLancamentos!B19</f>
        <v>Restaurantes</v>
      </c>
      <c r="C6997" s="1040" t="s">
        <v>8205</v>
      </c>
      <c r="D6997" s="1736"/>
      <c r="E6997" s="1043">
        <v>52.07</v>
      </c>
      <c r="F6997" s="1043"/>
      <c r="G6997" s="1550"/>
    </row>
    <row r="6998" spans="1:7" ht="12.75" customHeight="1">
      <c r="A6998" s="1754">
        <v>44741</v>
      </c>
      <c r="B6998" s="125" t="str">
        <f>TiposLancamentos!B19</f>
        <v>Restaurantes</v>
      </c>
      <c r="C6998" s="1040" t="s">
        <v>8205</v>
      </c>
      <c r="D6998" s="1736"/>
      <c r="E6998" s="1043">
        <v>35.49</v>
      </c>
      <c r="F6998" s="1043"/>
      <c r="G6998" s="1550"/>
    </row>
    <row r="6999" spans="1:7" ht="12.75" customHeight="1">
      <c r="A6999" s="1754">
        <v>44741</v>
      </c>
      <c r="B6999" s="125" t="str">
        <f>TiposLancamentos!B19</f>
        <v>Restaurantes</v>
      </c>
      <c r="C6999" s="1040" t="s">
        <v>8675</v>
      </c>
      <c r="D6999" s="1736"/>
      <c r="E6999" s="1043">
        <v>81</v>
      </c>
      <c r="F6999" s="1043"/>
      <c r="G6999" s="1550"/>
    </row>
    <row r="7000" spans="1:7" ht="12.75" customHeight="1">
      <c r="A7000" s="1754">
        <v>44741</v>
      </c>
      <c r="B7000" s="125" t="str">
        <f>TiposLancamentos!B19</f>
        <v>Restaurantes</v>
      </c>
      <c r="C7000" s="1040" t="s">
        <v>8676</v>
      </c>
      <c r="D7000" s="1736"/>
      <c r="E7000" s="1043">
        <v>38</v>
      </c>
      <c r="F7000" s="1043"/>
      <c r="G7000" s="1550"/>
    </row>
    <row r="7001" spans="1:7" ht="12.75" customHeight="1">
      <c r="A7001" s="1754">
        <v>44742</v>
      </c>
      <c r="B7001" s="125" t="str">
        <f>TiposLancamentos!B95</f>
        <v>Salarios</v>
      </c>
      <c r="C7001" s="1040" t="s">
        <v>8064</v>
      </c>
      <c r="D7001" s="1736">
        <v>3730.3</v>
      </c>
      <c r="E7001" s="1043"/>
      <c r="F7001" s="1043"/>
      <c r="G7001" s="1550"/>
    </row>
    <row r="7002" spans="1:7" ht="12.75" customHeight="1" thickBot="1">
      <c r="A7002" s="1754">
        <v>44742</v>
      </c>
      <c r="B7002" s="125" t="str">
        <f>TiposLancamentos!B95</f>
        <v>Salarios</v>
      </c>
      <c r="C7002" s="1040" t="s">
        <v>8107</v>
      </c>
      <c r="D7002" s="1736">
        <v>6300.02</v>
      </c>
      <c r="E7002" s="1043"/>
      <c r="F7002" s="1043"/>
      <c r="G7002" s="1550"/>
    </row>
    <row r="7003" spans="1:7" ht="12.75" customHeight="1">
      <c r="A7003" s="1834"/>
      <c r="B7003" s="977"/>
      <c r="C7003" s="1854" t="s">
        <v>1612</v>
      </c>
      <c r="D7003" s="1823"/>
      <c r="E7003" s="1821"/>
      <c r="F7003" s="1821"/>
      <c r="G7003" s="1895"/>
    </row>
    <row r="7004" spans="1:7" ht="12.75" customHeight="1">
      <c r="A7004" s="1754">
        <v>44743</v>
      </c>
      <c r="B7004" s="125" t="str">
        <f>TiposLancamentos!B15</f>
        <v>Cartões de Crédito</v>
      </c>
      <c r="C7004" s="1040" t="s">
        <v>7781</v>
      </c>
      <c r="D7004" s="1736"/>
      <c r="E7004" s="1043">
        <v>1679.86</v>
      </c>
      <c r="F7004" s="1043"/>
      <c r="G7004" s="1550"/>
    </row>
    <row r="7005" spans="1:7" ht="12.75" customHeight="1">
      <c r="A7005" s="1754">
        <v>44743</v>
      </c>
      <c r="B7005" s="125" t="str">
        <f>TiposLancamentos!B15</f>
        <v>Cartões de Crédito</v>
      </c>
      <c r="C7005" s="1040" t="s">
        <v>8016</v>
      </c>
      <c r="D7005" s="1736"/>
      <c r="E7005" s="1043">
        <v>376.8</v>
      </c>
      <c r="F7005" s="1043"/>
      <c r="G7005" s="1550"/>
    </row>
    <row r="7006" spans="1:7" ht="12.75" customHeight="1">
      <c r="A7006" s="1754">
        <v>44743</v>
      </c>
      <c r="B7006" s="125" t="str">
        <f>TiposLancamentos!B15</f>
        <v>Cartões de Crédito</v>
      </c>
      <c r="C7006" s="1040" t="s">
        <v>8252</v>
      </c>
      <c r="D7006" s="1736"/>
      <c r="E7006" s="1043">
        <v>76.75</v>
      </c>
      <c r="F7006" s="1043"/>
      <c r="G7006" s="1550"/>
    </row>
    <row r="7007" spans="1:7" ht="12.75" customHeight="1">
      <c r="A7007" s="1754">
        <v>44743</v>
      </c>
      <c r="B7007" s="125" t="str">
        <f>TiposLancamentos!B15</f>
        <v>Cartões de Crédito</v>
      </c>
      <c r="C7007" s="1040" t="s">
        <v>8677</v>
      </c>
      <c r="D7007" s="1736"/>
      <c r="E7007" s="1043">
        <v>90.8</v>
      </c>
      <c r="F7007" s="1043"/>
      <c r="G7007" s="1550"/>
    </row>
    <row r="7008" spans="1:7" ht="12.75" customHeight="1">
      <c r="A7008" s="1754">
        <v>44743</v>
      </c>
      <c r="B7008" s="125" t="str">
        <f>TiposLancamentos!B46</f>
        <v>Maçonaria</v>
      </c>
      <c r="C7008" s="1040" t="s">
        <v>8678</v>
      </c>
      <c r="D7008" s="1736"/>
      <c r="E7008" s="1043">
        <v>200</v>
      </c>
      <c r="F7008" s="1043"/>
      <c r="G7008" s="1550"/>
    </row>
    <row r="7009" spans="1:7" ht="12.75" customHeight="1">
      <c r="A7009" s="1754">
        <v>44744</v>
      </c>
      <c r="B7009" s="125" t="str">
        <f>TiposLancamentos!B16</f>
        <v>Cristiane</v>
      </c>
      <c r="C7009" s="1040" t="s">
        <v>8679</v>
      </c>
      <c r="D7009" s="1736"/>
      <c r="E7009" s="1043">
        <v>229.8</v>
      </c>
      <c r="F7009" s="1043"/>
      <c r="G7009" s="1550"/>
    </row>
    <row r="7010" spans="1:7" ht="12.75" customHeight="1">
      <c r="A7010" s="1754">
        <v>44744</v>
      </c>
      <c r="B7010" s="125" t="str">
        <f>TiposLancamentos!B16</f>
        <v>Cristiane</v>
      </c>
      <c r="C7010" s="1040" t="s">
        <v>8680</v>
      </c>
      <c r="D7010" s="1736"/>
      <c r="E7010" s="1043">
        <v>163.25</v>
      </c>
      <c r="F7010" s="1043"/>
      <c r="G7010" s="1550"/>
    </row>
    <row r="7011" spans="1:7" ht="12.75" customHeight="1">
      <c r="A7011" s="1754">
        <v>44744</v>
      </c>
      <c r="B7011" s="125" t="str">
        <f>TiposLancamentos!B19</f>
        <v>Restaurantes</v>
      </c>
      <c r="C7011" s="1040" t="s">
        <v>8681</v>
      </c>
      <c r="D7011" s="1736"/>
      <c r="E7011" s="1043">
        <v>64</v>
      </c>
      <c r="F7011" s="1043"/>
      <c r="G7011" s="1550"/>
    </row>
    <row r="7012" spans="1:7" ht="12.75" customHeight="1">
      <c r="A7012" s="1754">
        <v>44744</v>
      </c>
      <c r="B7012" s="125" t="str">
        <f>TiposLancamentos!B13</f>
        <v>Moradia</v>
      </c>
      <c r="C7012" s="1040" t="s">
        <v>8682</v>
      </c>
      <c r="D7012" s="1736"/>
      <c r="E7012" s="1043">
        <v>108.13</v>
      </c>
      <c r="F7012" s="1043"/>
      <c r="G7012" s="1550"/>
    </row>
    <row r="7013" spans="1:7" ht="12.75" customHeight="1">
      <c r="A7013" s="1754">
        <v>44744</v>
      </c>
      <c r="B7013" s="125" t="str">
        <f>TiposLancamentos!B16</f>
        <v>Cristiane</v>
      </c>
      <c r="C7013" s="1040" t="s">
        <v>8683</v>
      </c>
      <c r="D7013" s="1736"/>
      <c r="E7013" s="1043">
        <v>235.8</v>
      </c>
      <c r="F7013" s="1043"/>
      <c r="G7013" s="1550"/>
    </row>
    <row r="7014" spans="1:7" ht="12.75" customHeight="1">
      <c r="A7014" s="1754">
        <v>44744</v>
      </c>
      <c r="B7014" s="125" t="str">
        <f>TiposLancamentos!B19</f>
        <v>Restaurantes</v>
      </c>
      <c r="C7014" s="1040" t="s">
        <v>8684</v>
      </c>
      <c r="D7014" s="1736"/>
      <c r="E7014" s="1043">
        <v>34</v>
      </c>
      <c r="F7014" s="1043"/>
      <c r="G7014" s="1550"/>
    </row>
    <row r="7015" spans="1:7" ht="12.75" customHeight="1">
      <c r="A7015" s="1754">
        <v>44744</v>
      </c>
      <c r="B7015" s="125" t="str">
        <f>TiposLancamentos!B5</f>
        <v>Supermercado</v>
      </c>
      <c r="C7015" s="1040" t="s">
        <v>1884</v>
      </c>
      <c r="D7015" s="1736"/>
      <c r="E7015" s="1043">
        <v>6.79</v>
      </c>
      <c r="F7015" s="1043"/>
      <c r="G7015" s="1550"/>
    </row>
    <row r="7016" spans="1:7" ht="12.75" customHeight="1">
      <c r="A7016" s="1754">
        <v>44745</v>
      </c>
      <c r="B7016" s="125" t="str">
        <f>TiposLancamentos!B5</f>
        <v>Supermercado</v>
      </c>
      <c r="C7016" s="1040" t="s">
        <v>1884</v>
      </c>
      <c r="D7016" s="1736"/>
      <c r="E7016" s="1043">
        <v>27.48</v>
      </c>
      <c r="F7016" s="1043"/>
      <c r="G7016" s="1550"/>
    </row>
    <row r="7017" spans="1:7" ht="12.75" customHeight="1">
      <c r="A7017" s="1754">
        <v>44745</v>
      </c>
      <c r="B7017" s="125" t="str">
        <f>TiposLancamentos!B16</f>
        <v>Cristiane</v>
      </c>
      <c r="C7017" s="1040" t="s">
        <v>8685</v>
      </c>
      <c r="D7017" s="1736"/>
      <c r="E7017" s="1043">
        <v>168</v>
      </c>
      <c r="F7017" s="1043"/>
      <c r="G7017" s="1550"/>
    </row>
    <row r="7018" spans="1:7" ht="12.75" customHeight="1">
      <c r="A7018" s="1754">
        <v>44745</v>
      </c>
      <c r="B7018" s="125" t="str">
        <f>TiposLancamentos!B19</f>
        <v>Restaurantes</v>
      </c>
      <c r="C7018" s="1040" t="s">
        <v>8686</v>
      </c>
      <c r="D7018" s="1736"/>
      <c r="E7018" s="1043">
        <v>68</v>
      </c>
      <c r="F7018" s="1043"/>
      <c r="G7018" s="1550"/>
    </row>
    <row r="7019" spans="1:7" ht="12.75" customHeight="1">
      <c r="A7019" s="1754">
        <v>44746</v>
      </c>
      <c r="B7019" s="125" t="str">
        <f>TiposLancamentos!B4</f>
        <v>Taxas Bancarias</v>
      </c>
      <c r="C7019" s="1040" t="s">
        <v>4858</v>
      </c>
      <c r="D7019" s="1736"/>
      <c r="E7019" s="1043">
        <v>21.81</v>
      </c>
      <c r="F7019" s="1043"/>
      <c r="G7019" s="1550"/>
    </row>
    <row r="7020" spans="1:7" ht="12.75" customHeight="1">
      <c r="A7020" s="1754">
        <v>44746</v>
      </c>
      <c r="B7020" s="125" t="str">
        <f>TiposLancamentos!B14</f>
        <v>Gás de cozinha</v>
      </c>
      <c r="C7020" s="1040" t="s">
        <v>8687</v>
      </c>
      <c r="D7020" s="1736"/>
      <c r="E7020" s="1043">
        <v>48.68</v>
      </c>
      <c r="F7020" s="1043"/>
      <c r="G7020" s="1550"/>
    </row>
    <row r="7021" spans="1:7" ht="12.75" customHeight="1">
      <c r="A7021" s="1754">
        <v>44746</v>
      </c>
      <c r="B7021" s="125" t="str">
        <f>TiposLancamentos!B5</f>
        <v>Supermercado</v>
      </c>
      <c r="C7021" s="1040" t="s">
        <v>7842</v>
      </c>
      <c r="D7021" s="1736"/>
      <c r="E7021" s="1043">
        <v>165.37</v>
      </c>
      <c r="F7021" s="1043"/>
      <c r="G7021" s="1550"/>
    </row>
    <row r="7022" spans="1:7" ht="12.75" customHeight="1">
      <c r="A7022" s="1754">
        <v>44746</v>
      </c>
      <c r="B7022" s="125" t="str">
        <f>TiposLancamentos!B13</f>
        <v>Moradia</v>
      </c>
      <c r="C7022" s="1040" t="s">
        <v>3524</v>
      </c>
      <c r="D7022" s="1736"/>
      <c r="E7022" s="1043">
        <v>28</v>
      </c>
      <c r="F7022" s="1043"/>
      <c r="G7022" s="1550"/>
    </row>
    <row r="7023" spans="1:7" ht="12.75" customHeight="1">
      <c r="A7023" s="1754">
        <v>44746</v>
      </c>
      <c r="B7023" s="125" t="str">
        <f>TiposLancamentos!B4</f>
        <v>Taxas Bancarias</v>
      </c>
      <c r="C7023" s="1040" t="s">
        <v>7681</v>
      </c>
      <c r="D7023" s="1736"/>
      <c r="E7023" s="1043">
        <v>5.9</v>
      </c>
      <c r="F7023" s="1043"/>
      <c r="G7023" s="1550"/>
    </row>
    <row r="7024" spans="1:7" ht="12.75" customHeight="1">
      <c r="A7024" s="1754">
        <v>44747</v>
      </c>
      <c r="B7024" s="125" t="str">
        <f>TiposLancamentos!B22</f>
        <v>Combustivel</v>
      </c>
      <c r="C7024" s="1040" t="s">
        <v>1918</v>
      </c>
      <c r="D7024" s="1736"/>
      <c r="E7024" s="1043">
        <v>50</v>
      </c>
      <c r="F7024" s="1043"/>
      <c r="G7024" s="1550"/>
    </row>
    <row r="7025" spans="1:7" ht="12.75" customHeight="1">
      <c r="A7025" s="1754">
        <v>44747</v>
      </c>
      <c r="B7025" s="125" t="str">
        <f>TiposLancamentos!B16</f>
        <v>Cristiane</v>
      </c>
      <c r="C7025" s="1040" t="s">
        <v>8688</v>
      </c>
      <c r="D7025" s="1736"/>
      <c r="E7025" s="1043">
        <v>189.9</v>
      </c>
      <c r="F7025" s="1043"/>
      <c r="G7025" s="1550"/>
    </row>
    <row r="7026" spans="1:7" ht="12.75" customHeight="1">
      <c r="A7026" s="1754">
        <v>44748</v>
      </c>
      <c r="B7026" s="125" t="str">
        <f>TiposLancamentos!B4</f>
        <v>Taxas Bancarias</v>
      </c>
      <c r="C7026" s="1040" t="s">
        <v>8689</v>
      </c>
      <c r="D7026" s="1736"/>
      <c r="E7026" s="1043">
        <v>6.47</v>
      </c>
      <c r="F7026" s="1043"/>
      <c r="G7026" s="1550"/>
    </row>
    <row r="7027" spans="1:7" ht="12.75" customHeight="1">
      <c r="A7027" s="1754">
        <v>44748</v>
      </c>
      <c r="B7027" s="125" t="str">
        <f>TiposLancamentos!B4</f>
        <v>Taxas Bancarias</v>
      </c>
      <c r="C7027" s="1040" t="s">
        <v>5707</v>
      </c>
      <c r="D7027" s="1736"/>
      <c r="E7027" s="1043">
        <v>103.54</v>
      </c>
      <c r="F7027" s="1043"/>
      <c r="G7027" s="1550"/>
    </row>
    <row r="7028" spans="1:7" ht="12.75" customHeight="1">
      <c r="A7028" s="1754">
        <v>44749</v>
      </c>
      <c r="B7028" s="125" t="str">
        <f>TiposLancamentos!B16</f>
        <v>Cristiane</v>
      </c>
      <c r="C7028" s="1040" t="s">
        <v>8690</v>
      </c>
      <c r="D7028" s="1736"/>
      <c r="E7028" s="1043">
        <v>9.7899999999999991</v>
      </c>
      <c r="F7028" s="1043"/>
      <c r="G7028" s="1550"/>
    </row>
    <row r="7029" spans="1:7" ht="12.75" customHeight="1">
      <c r="A7029" s="1754">
        <v>44750</v>
      </c>
      <c r="B7029" s="125" t="str">
        <f>TiposLancamentos!B16</f>
        <v>Cristiane</v>
      </c>
      <c r="C7029" s="1040" t="s">
        <v>8691</v>
      </c>
      <c r="D7029" s="1736"/>
      <c r="E7029" s="1043">
        <v>49.17</v>
      </c>
      <c r="F7029" s="1043"/>
      <c r="G7029" s="1550"/>
    </row>
    <row r="7030" spans="1:7" ht="12.75" customHeight="1">
      <c r="A7030" s="1754">
        <v>44751</v>
      </c>
      <c r="B7030" s="125" t="str">
        <f>TiposLancamentos!B19</f>
        <v>Restaurantes</v>
      </c>
      <c r="C7030" s="1040" t="s">
        <v>8692</v>
      </c>
      <c r="D7030" s="1736"/>
      <c r="E7030" s="1043">
        <v>182.82</v>
      </c>
      <c r="F7030" s="1043"/>
      <c r="G7030" s="1550"/>
    </row>
    <row r="7031" spans="1:7" ht="12.75" customHeight="1">
      <c r="A7031" s="1754">
        <v>44751</v>
      </c>
      <c r="B7031" s="125" t="str">
        <f>TiposLancamentos!B19</f>
        <v>Restaurantes</v>
      </c>
      <c r="C7031" s="1040" t="s">
        <v>8693</v>
      </c>
      <c r="D7031" s="1736"/>
      <c r="E7031" s="1043">
        <v>49</v>
      </c>
      <c r="F7031" s="1043"/>
      <c r="G7031" s="1550"/>
    </row>
    <row r="7032" spans="1:7" ht="12.75" customHeight="1">
      <c r="A7032" s="1754">
        <v>44752</v>
      </c>
      <c r="B7032" s="125" t="str">
        <f>TiposLancamentos!B22</f>
        <v>Combustivel</v>
      </c>
      <c r="C7032" s="1040" t="s">
        <v>8694</v>
      </c>
      <c r="D7032" s="1736"/>
      <c r="E7032" s="1043">
        <v>150</v>
      </c>
      <c r="F7032" s="1043"/>
      <c r="G7032" s="1550"/>
    </row>
    <row r="7033" spans="1:7" ht="12.75" customHeight="1">
      <c r="A7033" s="1754">
        <v>44752</v>
      </c>
      <c r="B7033" s="125" t="str">
        <f>TiposLancamentos!B19</f>
        <v>Restaurantes</v>
      </c>
      <c r="C7033" s="1040" t="s">
        <v>8695</v>
      </c>
      <c r="D7033" s="1736"/>
      <c r="E7033" s="1043">
        <v>73.08</v>
      </c>
      <c r="F7033" s="1043"/>
      <c r="G7033" s="1550"/>
    </row>
    <row r="7034" spans="1:7" ht="12.75" customHeight="1">
      <c r="A7034" s="1754">
        <v>44752</v>
      </c>
      <c r="B7034" s="125" t="str">
        <f>TiposLancamentos!B16</f>
        <v>Cristiane</v>
      </c>
      <c r="C7034" s="1040" t="s">
        <v>6052</v>
      </c>
      <c r="D7034" s="1736"/>
      <c r="E7034" s="1043">
        <v>31.79</v>
      </c>
      <c r="F7034" s="1043"/>
      <c r="G7034" s="1550"/>
    </row>
    <row r="7035" spans="1:7" ht="12.75" customHeight="1">
      <c r="A7035" s="1754">
        <v>44753</v>
      </c>
      <c r="B7035" s="125" t="str">
        <f>TiposLancamentos!B46</f>
        <v>Maçonaria</v>
      </c>
      <c r="C7035" s="1040" t="s">
        <v>8696</v>
      </c>
      <c r="D7035" s="1736"/>
      <c r="E7035" s="1043">
        <v>200</v>
      </c>
      <c r="F7035" s="1043"/>
      <c r="G7035" s="1550"/>
    </row>
    <row r="7036" spans="1:7" ht="12.75" customHeight="1">
      <c r="A7036" s="1754">
        <v>44753</v>
      </c>
      <c r="B7036" s="125" t="str">
        <f>TiposLancamentos!B103</f>
        <v>Juros_Corr. Poupança</v>
      </c>
      <c r="C7036" s="1040" t="s">
        <v>8697</v>
      </c>
      <c r="D7036" s="1736">
        <v>7.0000000000000007E-2</v>
      </c>
      <c r="E7036" s="1043"/>
      <c r="F7036" s="1043"/>
      <c r="G7036" s="1550"/>
    </row>
    <row r="7037" spans="1:7" ht="12.75" customHeight="1">
      <c r="A7037" s="1754">
        <v>44754</v>
      </c>
      <c r="B7037" s="125" t="str">
        <f>TiposLancamentos!B5</f>
        <v>Supermercado</v>
      </c>
      <c r="C7037" s="1040" t="s">
        <v>7961</v>
      </c>
      <c r="D7037" s="1736"/>
      <c r="E7037" s="1043">
        <v>220.68</v>
      </c>
      <c r="F7037" s="1043"/>
      <c r="G7037" s="1550"/>
    </row>
    <row r="7038" spans="1:7" ht="12.75" customHeight="1">
      <c r="A7038" s="1754">
        <v>44754</v>
      </c>
      <c r="B7038" s="125" t="str">
        <f>TiposLancamentos!B95</f>
        <v>Salarios</v>
      </c>
      <c r="C7038" s="1040" t="s">
        <v>8698</v>
      </c>
      <c r="D7038" s="1736">
        <v>36014.870000000003</v>
      </c>
      <c r="E7038" s="1043"/>
      <c r="F7038" s="1043"/>
      <c r="G7038" s="1550"/>
    </row>
    <row r="7039" spans="1:7" ht="12.75" customHeight="1">
      <c r="A7039" s="1754">
        <v>44755</v>
      </c>
      <c r="B7039" s="125" t="str">
        <f>TiposLancamentos!B19</f>
        <v>Restaurantes</v>
      </c>
      <c r="C7039" s="1040" t="s">
        <v>8699</v>
      </c>
      <c r="D7039" s="1736"/>
      <c r="E7039" s="1043">
        <v>105.16</v>
      </c>
      <c r="F7039" s="1043"/>
      <c r="G7039" s="1550"/>
    </row>
    <row r="7040" spans="1:7" ht="12.75" customHeight="1">
      <c r="A7040" s="1754">
        <v>44755</v>
      </c>
      <c r="B7040" s="125" t="str">
        <f>TiposLancamentos!B24</f>
        <v>Estacionamentos</v>
      </c>
      <c r="C7040" s="1040" t="s">
        <v>2014</v>
      </c>
      <c r="D7040" s="1736"/>
      <c r="E7040" s="1043">
        <v>13</v>
      </c>
      <c r="F7040" s="1043"/>
      <c r="G7040" s="1550"/>
    </row>
    <row r="7041" spans="1:7" ht="12.75" customHeight="1">
      <c r="A7041" s="1754">
        <v>44755</v>
      </c>
      <c r="B7041" s="125" t="str">
        <f>TiposLancamentos!B103</f>
        <v>Juros_Corr. Poupança</v>
      </c>
      <c r="C7041" s="1040" t="s">
        <v>8697</v>
      </c>
      <c r="D7041" s="1736">
        <v>0.04</v>
      </c>
      <c r="E7041" s="1043"/>
      <c r="F7041" s="1043"/>
      <c r="G7041" s="1550"/>
    </row>
    <row r="7042" spans="1:7" ht="12.75" customHeight="1">
      <c r="A7042" s="1754">
        <v>44756</v>
      </c>
      <c r="B7042" s="125" t="str">
        <f>TiposLancamentos!B16</f>
        <v>Cristiane</v>
      </c>
      <c r="C7042" s="1040" t="s">
        <v>8700</v>
      </c>
      <c r="D7042" s="1736"/>
      <c r="E7042" s="1043">
        <v>124.81</v>
      </c>
      <c r="F7042" s="1043"/>
      <c r="G7042" s="1550"/>
    </row>
    <row r="7043" spans="1:7" ht="12.75" customHeight="1">
      <c r="A7043" s="1754">
        <v>44757</v>
      </c>
      <c r="B7043" s="125" t="str">
        <f>TiposLancamentos!B24</f>
        <v>Estacionamentos</v>
      </c>
      <c r="C7043" s="1040" t="s">
        <v>8701</v>
      </c>
      <c r="D7043" s="1736"/>
      <c r="E7043" s="1043">
        <v>17</v>
      </c>
      <c r="F7043" s="1043"/>
      <c r="G7043" s="1550"/>
    </row>
    <row r="7044" spans="1:7" ht="12.75" customHeight="1">
      <c r="A7044" s="1754">
        <v>44757</v>
      </c>
      <c r="B7044" s="125" t="str">
        <f>TiposLancamentos!B32</f>
        <v>Clinicas e tratamentos</v>
      </c>
      <c r="C7044" s="1040" t="s">
        <v>8702</v>
      </c>
      <c r="D7044" s="1736"/>
      <c r="E7044" s="1043">
        <v>187.5</v>
      </c>
      <c r="F7044" s="1043"/>
      <c r="G7044" s="1550"/>
    </row>
    <row r="7045" spans="1:7" ht="12.75" customHeight="1">
      <c r="A7045" s="1754">
        <v>44757</v>
      </c>
      <c r="B7045" s="125" t="str">
        <f>TiposLancamentos!B19</f>
        <v>Restaurantes</v>
      </c>
      <c r="C7045" s="1040" t="s">
        <v>8703</v>
      </c>
      <c r="D7045" s="1736"/>
      <c r="E7045" s="1043">
        <v>68</v>
      </c>
      <c r="F7045" s="1043"/>
      <c r="G7045" s="1550"/>
    </row>
    <row r="7046" spans="1:7" ht="12.75" customHeight="1">
      <c r="A7046" s="1754">
        <v>44757</v>
      </c>
      <c r="B7046" s="125"/>
      <c r="C7046" s="1040" t="s">
        <v>1868</v>
      </c>
      <c r="D7046" s="1736">
        <v>0</v>
      </c>
      <c r="E7046" s="1043">
        <v>0</v>
      </c>
      <c r="F7046" s="1043"/>
      <c r="G7046" s="1550"/>
    </row>
    <row r="7047" spans="1:7" ht="12.75" customHeight="1">
      <c r="A7047" s="1666">
        <v>44757</v>
      </c>
      <c r="B7047" s="817" t="str">
        <f>TiposLancamentos!B35</f>
        <v>Tv à Cabo</v>
      </c>
      <c r="C7047" s="1742" t="s">
        <v>5834</v>
      </c>
      <c r="D7047" s="1735"/>
      <c r="E7047" s="1733">
        <f>F7049-(E7048+E7049)</f>
        <v>136.28999999999996</v>
      </c>
      <c r="F7047" s="1290"/>
      <c r="G7047" s="1550"/>
    </row>
    <row r="7048" spans="1:7" ht="12.75" customHeight="1">
      <c r="A7048" s="1667">
        <v>44757</v>
      </c>
      <c r="B7048" s="816" t="str">
        <f>TiposLancamentos!B3</f>
        <v>Internet</v>
      </c>
      <c r="C7048" s="1769" t="s">
        <v>5835</v>
      </c>
      <c r="D7048" s="1736"/>
      <c r="E7048" s="1734">
        <v>134.99</v>
      </c>
      <c r="F7048" s="1043"/>
      <c r="G7048" s="1550"/>
    </row>
    <row r="7049" spans="1:7" ht="12.75" customHeight="1">
      <c r="A7049" s="1750">
        <v>44757</v>
      </c>
      <c r="B7049" s="818" t="str">
        <f>TiposLancamentos!B3</f>
        <v>Internet</v>
      </c>
      <c r="C7049" s="1743" t="s">
        <v>7210</v>
      </c>
      <c r="D7049" s="1737"/>
      <c r="E7049" s="1668">
        <v>0</v>
      </c>
      <c r="F7049" s="1291">
        <v>271.27999999999997</v>
      </c>
      <c r="G7049" s="1550"/>
    </row>
    <row r="7050" spans="1:7" ht="12.75" customHeight="1">
      <c r="A7050" s="1754">
        <v>44757</v>
      </c>
      <c r="B7050" s="125" t="str">
        <f>TiposLancamentos!B103</f>
        <v>Juros_Corr. Poupança</v>
      </c>
      <c r="C7050" s="1040" t="s">
        <v>7341</v>
      </c>
      <c r="D7050" s="1736">
        <v>0.11</v>
      </c>
      <c r="E7050" s="1043"/>
      <c r="F7050" s="1043"/>
      <c r="G7050" s="1550"/>
    </row>
    <row r="7051" spans="1:7" ht="12.75" customHeight="1">
      <c r="A7051" s="1754">
        <v>44757</v>
      </c>
      <c r="B7051" s="125"/>
      <c r="C7051" s="1040" t="s">
        <v>1868</v>
      </c>
      <c r="D7051" s="1736">
        <v>0</v>
      </c>
      <c r="E7051" s="1043">
        <v>0</v>
      </c>
      <c r="F7051" s="1043"/>
      <c r="G7051" s="1550"/>
    </row>
    <row r="7052" spans="1:7" ht="12.75" customHeight="1">
      <c r="A7052" s="1666">
        <v>44757</v>
      </c>
      <c r="B7052" s="817" t="str">
        <f>TiposLancamentos!B33</f>
        <v>Pedágios</v>
      </c>
      <c r="C7052" s="1742" t="s">
        <v>5392</v>
      </c>
      <c r="D7052" s="1735">
        <v>0</v>
      </c>
      <c r="E7052" s="1733">
        <f>F7054-(E7053+E7054)</f>
        <v>68.8</v>
      </c>
      <c r="F7052" s="1290"/>
      <c r="G7052" s="1550"/>
    </row>
    <row r="7053" spans="1:7" ht="12.75" customHeight="1">
      <c r="A7053" s="1667">
        <v>44757</v>
      </c>
      <c r="B7053" s="816" t="str">
        <f>TiposLancamentos!B24</f>
        <v>Estacionamentos</v>
      </c>
      <c r="C7053" s="1769" t="s">
        <v>7366</v>
      </c>
      <c r="D7053" s="1736"/>
      <c r="E7053" s="1734">
        <f>4*12</f>
        <v>48</v>
      </c>
      <c r="F7053" s="1043"/>
      <c r="G7053" s="1550"/>
    </row>
    <row r="7054" spans="1:7" ht="12.75" customHeight="1">
      <c r="A7054" s="1750">
        <v>44757</v>
      </c>
      <c r="B7054" s="818" t="str">
        <f>TiposLancamentos!B24</f>
        <v>Estacionamentos</v>
      </c>
      <c r="C7054" s="1743" t="s">
        <v>6297</v>
      </c>
      <c r="D7054" s="1737"/>
      <c r="E7054" s="1668">
        <v>0</v>
      </c>
      <c r="F7054" s="1347">
        <v>116.8</v>
      </c>
      <c r="G7054" s="1550"/>
    </row>
    <row r="7055" spans="1:7" ht="12.75" customHeight="1">
      <c r="A7055" s="1754">
        <v>44757</v>
      </c>
      <c r="B7055" s="125"/>
      <c r="C7055" s="1040" t="s">
        <v>1868</v>
      </c>
      <c r="D7055" s="1736">
        <v>0</v>
      </c>
      <c r="E7055" s="1043">
        <v>0</v>
      </c>
      <c r="F7055" s="1040"/>
      <c r="G7055" s="1550"/>
    </row>
    <row r="7056" spans="1:7" ht="12.75" customHeight="1">
      <c r="A7056" s="1754">
        <v>44758</v>
      </c>
      <c r="B7056" s="125" t="str">
        <f>TiposLancamentos!B23</f>
        <v>P208 GRIFFE 1.6 AUT BUSINESS</v>
      </c>
      <c r="C7056" s="1040" t="s">
        <v>8704</v>
      </c>
      <c r="D7056" s="1736"/>
      <c r="E7056" s="1043">
        <v>144.86000000000001</v>
      </c>
      <c r="F7056" s="1043"/>
      <c r="G7056" s="1550"/>
    </row>
    <row r="7057" spans="1:7" ht="12.75" customHeight="1">
      <c r="A7057" s="1754">
        <v>44758</v>
      </c>
      <c r="B7057" s="125" t="str">
        <f>TiposLancamentos!B88</f>
        <v>Ford Ecosport XLT</v>
      </c>
      <c r="C7057" s="1040" t="s">
        <v>8705</v>
      </c>
      <c r="D7057" s="1736"/>
      <c r="E7057" s="1043">
        <v>144.86000000000001</v>
      </c>
      <c r="F7057" s="1043"/>
      <c r="G7057" s="1550"/>
    </row>
    <row r="7058" spans="1:7" ht="12.75" customHeight="1">
      <c r="A7058" s="1754">
        <v>44758</v>
      </c>
      <c r="B7058" s="125" t="str">
        <f>TiposLancamentos!B19</f>
        <v>Restaurantes</v>
      </c>
      <c r="C7058" s="1040" t="s">
        <v>8706</v>
      </c>
      <c r="D7058" s="1736"/>
      <c r="E7058" s="1043">
        <v>101</v>
      </c>
      <c r="F7058" s="1043"/>
      <c r="G7058" s="1550"/>
    </row>
    <row r="7059" spans="1:7" ht="12.75" customHeight="1">
      <c r="A7059" s="1754">
        <v>44758</v>
      </c>
      <c r="B7059" s="125" t="str">
        <f>TiposLancamentos!B56</f>
        <v>Farmácia</v>
      </c>
      <c r="C7059" s="1040" t="s">
        <v>8707</v>
      </c>
      <c r="D7059" s="1736"/>
      <c r="E7059" s="1043">
        <v>205.98</v>
      </c>
      <c r="F7059" s="1043"/>
      <c r="G7059" s="1550"/>
    </row>
    <row r="7060" spans="1:7" ht="12.75" customHeight="1">
      <c r="A7060" s="1754">
        <v>44758</v>
      </c>
      <c r="B7060" s="125" t="str">
        <f>TiposLancamentos!B5</f>
        <v>Supermercado</v>
      </c>
      <c r="C7060" s="1040" t="s">
        <v>1943</v>
      </c>
      <c r="D7060" s="1736"/>
      <c r="E7060" s="1043">
        <v>92.32</v>
      </c>
      <c r="F7060" s="1043"/>
      <c r="G7060" s="1550"/>
    </row>
    <row r="7061" spans="1:7" ht="12.75" customHeight="1">
      <c r="A7061" s="1754">
        <v>44759</v>
      </c>
      <c r="B7061" s="125" t="str">
        <f>TiposLancamentos!B19</f>
        <v>Restaurantes</v>
      </c>
      <c r="C7061" s="1040" t="s">
        <v>8708</v>
      </c>
      <c r="D7061" s="1736"/>
      <c r="E7061" s="1043">
        <v>288.83</v>
      </c>
      <c r="F7061" s="1043"/>
      <c r="G7061" s="1550"/>
    </row>
    <row r="7062" spans="1:7" ht="12.75" customHeight="1">
      <c r="A7062" s="1754">
        <v>44759</v>
      </c>
      <c r="B7062" s="125" t="str">
        <f>TiposLancamentos!B71</f>
        <v>Itens Pessoais</v>
      </c>
      <c r="C7062" s="1040" t="s">
        <v>8709</v>
      </c>
      <c r="D7062" s="1736"/>
      <c r="E7062" s="1043">
        <v>850</v>
      </c>
      <c r="F7062" s="1043"/>
      <c r="G7062" s="1550"/>
    </row>
    <row r="7063" spans="1:7" ht="12.75" customHeight="1">
      <c r="A7063" s="1754">
        <v>44759</v>
      </c>
      <c r="B7063" s="125" t="str">
        <f>TiposLancamentos!B19</f>
        <v>Restaurantes</v>
      </c>
      <c r="C7063" s="1040" t="s">
        <v>8710</v>
      </c>
      <c r="D7063" s="1736"/>
      <c r="E7063" s="1043">
        <v>36.9</v>
      </c>
      <c r="F7063" s="1043"/>
      <c r="G7063" s="1550"/>
    </row>
    <row r="7064" spans="1:7" ht="12.75" customHeight="1">
      <c r="A7064" s="1754">
        <v>44759</v>
      </c>
      <c r="B7064" s="125" t="str">
        <f>TiposLancamentos!B2</f>
        <v>Telefonia</v>
      </c>
      <c r="C7064" s="1040" t="s">
        <v>8711</v>
      </c>
      <c r="D7064" s="1736"/>
      <c r="E7064" s="1043">
        <v>55.99</v>
      </c>
      <c r="F7064" s="1043"/>
      <c r="G7064" s="1550"/>
    </row>
    <row r="7065" spans="1:7" ht="12.75" customHeight="1">
      <c r="A7065" s="1666">
        <v>44760</v>
      </c>
      <c r="B7065" s="817" t="str">
        <f>TiposLancamentos!B70</f>
        <v>Vestuário</v>
      </c>
      <c r="C7065" s="1742" t="s">
        <v>8712</v>
      </c>
      <c r="D7065" s="1735"/>
      <c r="E7065" s="1733">
        <v>40.6</v>
      </c>
      <c r="F7065" s="1346"/>
      <c r="G7065" s="1550"/>
    </row>
    <row r="7066" spans="1:7" ht="12.75" customHeight="1">
      <c r="A7066" s="1750">
        <v>44760</v>
      </c>
      <c r="B7066" s="818" t="str">
        <f>TiposLancamentos!B16</f>
        <v>Cristiane</v>
      </c>
      <c r="C7066" s="1743" t="s">
        <v>8712</v>
      </c>
      <c r="D7066" s="1737"/>
      <c r="E7066" s="1668">
        <f>F7066/2</f>
        <v>40.6</v>
      </c>
      <c r="F7066" s="1291">
        <v>81.2</v>
      </c>
      <c r="G7066" s="1550"/>
    </row>
    <row r="7067" spans="1:7" ht="12.75" customHeight="1">
      <c r="A7067" s="1754">
        <v>44760</v>
      </c>
      <c r="B7067" s="125" t="str">
        <f>TiposLancamentos!B70</f>
        <v>Vestuário</v>
      </c>
      <c r="C7067" s="1040" t="s">
        <v>8713</v>
      </c>
      <c r="D7067" s="1736"/>
      <c r="E7067" s="1043">
        <v>87.64</v>
      </c>
      <c r="F7067" s="1043"/>
      <c r="G7067" s="1550"/>
    </row>
    <row r="7068" spans="1:7" ht="12.75" customHeight="1">
      <c r="A7068" s="1754">
        <v>44761</v>
      </c>
      <c r="B7068" s="125" t="str">
        <f>TiposLancamentos!B105</f>
        <v>Transf. Bco</v>
      </c>
      <c r="C7068" s="1040" t="s">
        <v>8714</v>
      </c>
      <c r="D7068" s="1736"/>
      <c r="E7068" s="1043">
        <v>197.21</v>
      </c>
      <c r="F7068" s="1043"/>
      <c r="G7068" s="1550"/>
    </row>
    <row r="7069" spans="1:7" ht="12.75" customHeight="1">
      <c r="A7069" s="1666">
        <v>44761</v>
      </c>
      <c r="B7069" s="817" t="str">
        <f>TiposLancamentos!B67</f>
        <v>Lavanderia</v>
      </c>
      <c r="C7069" s="1742" t="s">
        <v>8715</v>
      </c>
      <c r="D7069" s="1735"/>
      <c r="E7069" s="1733">
        <f>F7070-E7070</f>
        <v>158</v>
      </c>
      <c r="F7069" s="1346"/>
      <c r="G7069" s="1550"/>
    </row>
    <row r="7070" spans="1:7" ht="12.75" customHeight="1">
      <c r="A7070" s="1750">
        <v>44761</v>
      </c>
      <c r="B7070" s="818" t="str">
        <f>TiposLancamentos!B16</f>
        <v>Cristiane</v>
      </c>
      <c r="C7070" s="1743" t="s">
        <v>8716</v>
      </c>
      <c r="D7070" s="1737"/>
      <c r="E7070" s="1668">
        <v>48</v>
      </c>
      <c r="F7070" s="1291">
        <v>206</v>
      </c>
      <c r="G7070" s="1550"/>
    </row>
    <row r="7071" spans="1:7" ht="12.75" customHeight="1">
      <c r="A7071" s="1754">
        <v>44761</v>
      </c>
      <c r="B7071" s="125" t="str">
        <f>TiposLancamentos!B19</f>
        <v>Restaurantes</v>
      </c>
      <c r="C7071" s="1040" t="s">
        <v>8717</v>
      </c>
      <c r="D7071" s="1736"/>
      <c r="E7071" s="1043">
        <v>68</v>
      </c>
      <c r="F7071" s="1043"/>
      <c r="G7071" s="1550"/>
    </row>
    <row r="7072" spans="1:7" ht="12.75" customHeight="1">
      <c r="A7072" s="1754">
        <v>44761</v>
      </c>
      <c r="B7072" s="125" t="str">
        <f>TiposLancamentos!B5</f>
        <v>Supermercado</v>
      </c>
      <c r="C7072" s="1040" t="s">
        <v>8718</v>
      </c>
      <c r="D7072" s="1736"/>
      <c r="E7072" s="1043">
        <v>13.47</v>
      </c>
      <c r="F7072" s="1043"/>
      <c r="G7072" s="1550"/>
    </row>
    <row r="7073" spans="1:7" ht="12.75" customHeight="1">
      <c r="A7073" s="1754">
        <v>44762</v>
      </c>
      <c r="B7073" s="125" t="str">
        <f>TiposLancamentos!B103</f>
        <v>Juros_Corr. Poupança</v>
      </c>
      <c r="C7073" s="1040" t="s">
        <v>8697</v>
      </c>
      <c r="D7073" s="1736">
        <v>0.28000000000000003</v>
      </c>
      <c r="E7073" s="1043"/>
      <c r="F7073" s="1043"/>
      <c r="G7073" s="1550"/>
    </row>
    <row r="7074" spans="1:7" ht="12.75" customHeight="1">
      <c r="A7074" s="1666">
        <v>44762</v>
      </c>
      <c r="B7074" s="817" t="str">
        <f>TiposLancamentos!B8</f>
        <v>Aluguel</v>
      </c>
      <c r="C7074" s="1742" t="s">
        <v>8719</v>
      </c>
      <c r="D7074" s="1735"/>
      <c r="E7074" s="1733">
        <f>F7079-(E7075+E7079+E7076+E7077+E7078)</f>
        <v>1611.2599999999998</v>
      </c>
      <c r="F7074" s="1346"/>
      <c r="G7074" s="1550"/>
    </row>
    <row r="7075" spans="1:7" ht="12.75" customHeight="1">
      <c r="A7075" s="1667">
        <v>44762</v>
      </c>
      <c r="B7075" s="816" t="str">
        <f>TiposLancamentos!B12</f>
        <v>IPTU</v>
      </c>
      <c r="C7075" s="1769" t="s">
        <v>8720</v>
      </c>
      <c r="D7075" s="1736"/>
      <c r="E7075" s="1734">
        <v>34.5</v>
      </c>
      <c r="F7075" s="1043"/>
      <c r="G7075" s="1550"/>
    </row>
    <row r="7076" spans="1:7" ht="12.75" customHeight="1">
      <c r="A7076" s="1667">
        <v>44762</v>
      </c>
      <c r="B7076" s="816" t="str">
        <f>TiposLancamentos!B10</f>
        <v>Distr. Água Municipal</v>
      </c>
      <c r="C7076" s="1769" t="s">
        <v>7423</v>
      </c>
      <c r="D7076" s="1736"/>
      <c r="E7076" s="1734">
        <v>65.92</v>
      </c>
      <c r="F7076" s="1043"/>
      <c r="G7076" s="1550"/>
    </row>
    <row r="7077" spans="1:7" ht="12.75" customHeight="1">
      <c r="A7077" s="1667">
        <v>44762</v>
      </c>
      <c r="B7077" s="816" t="str">
        <f>TiposLancamentos!B11</f>
        <v>Coleta Municipal Lixo</v>
      </c>
      <c r="C7077" s="1769" t="s">
        <v>7424</v>
      </c>
      <c r="D7077" s="1736"/>
      <c r="E7077" s="1734">
        <v>44.36</v>
      </c>
      <c r="F7077" s="1043"/>
      <c r="G7077" s="1550"/>
    </row>
    <row r="7078" spans="1:7" ht="12.75" customHeight="1">
      <c r="A7078" s="1667">
        <v>44762</v>
      </c>
      <c r="B7078" s="816" t="str">
        <f>TiposLancamentos!B8</f>
        <v>Aluguel</v>
      </c>
      <c r="C7078" s="1769" t="s">
        <v>7425</v>
      </c>
      <c r="D7078" s="1736"/>
      <c r="E7078" s="1734">
        <v>8</v>
      </c>
      <c r="F7078" s="1043"/>
      <c r="G7078" s="1550"/>
    </row>
    <row r="7079" spans="1:7" ht="12.75" customHeight="1">
      <c r="A7079" s="1750">
        <v>44762</v>
      </c>
      <c r="B7079" s="818" t="str">
        <f>TiposLancamentos!B9</f>
        <v>Condominio</v>
      </c>
      <c r="C7079" s="1743" t="s">
        <v>7427</v>
      </c>
      <c r="D7079" s="1737"/>
      <c r="E7079" s="1668">
        <v>616.37</v>
      </c>
      <c r="F7079" s="1291">
        <v>2380.41</v>
      </c>
      <c r="G7079" s="1550"/>
    </row>
    <row r="7080" spans="1:7" ht="12.75" customHeight="1">
      <c r="A7080" s="1754">
        <v>44762</v>
      </c>
      <c r="B7080" s="125" t="str">
        <f>TiposLancamentos!B19</f>
        <v>Restaurantes</v>
      </c>
      <c r="C7080" s="1040" t="s">
        <v>8721</v>
      </c>
      <c r="D7080" s="1736"/>
      <c r="E7080" s="1043">
        <v>67.25</v>
      </c>
      <c r="F7080" s="1043"/>
      <c r="G7080" s="1550"/>
    </row>
    <row r="7081" spans="1:7" ht="12.75" customHeight="1">
      <c r="A7081" s="1754">
        <v>44762</v>
      </c>
      <c r="B7081" s="125" t="str">
        <f>TiposLancamentos!B19</f>
        <v>Restaurantes</v>
      </c>
      <c r="C7081" s="1040" t="s">
        <v>8722</v>
      </c>
      <c r="D7081" s="1736"/>
      <c r="E7081" s="1043">
        <v>17.5</v>
      </c>
      <c r="F7081" s="1043"/>
      <c r="G7081" s="1550"/>
    </row>
    <row r="7082" spans="1:7" ht="12.75" customHeight="1">
      <c r="A7082" s="1754">
        <v>44762</v>
      </c>
      <c r="B7082" s="125" t="str">
        <f>TiposLancamentos!B69</f>
        <v>Consertos</v>
      </c>
      <c r="C7082" s="1040" t="s">
        <v>8723</v>
      </c>
      <c r="D7082" s="1736"/>
      <c r="E7082" s="1043">
        <v>220</v>
      </c>
      <c r="F7082" s="1043"/>
      <c r="G7082" s="1550"/>
    </row>
    <row r="7083" spans="1:7" ht="12.75" customHeight="1">
      <c r="A7083" s="1754">
        <v>44763</v>
      </c>
      <c r="B7083" s="125" t="str">
        <f>TiposLancamentos!B6</f>
        <v>Energia Eletrica</v>
      </c>
      <c r="C7083" s="1040" t="s">
        <v>8724</v>
      </c>
      <c r="D7083" s="1736"/>
      <c r="E7083" s="1043">
        <v>281.45</v>
      </c>
      <c r="F7083" s="1043"/>
      <c r="G7083" s="1550"/>
    </row>
    <row r="7084" spans="1:7" ht="12.75" customHeight="1">
      <c r="A7084" s="1754">
        <v>44763</v>
      </c>
      <c r="B7084" s="125" t="str">
        <f>TiposLancamentos!B34</f>
        <v>Seguros</v>
      </c>
      <c r="C7084" s="1040" t="s">
        <v>8725</v>
      </c>
      <c r="D7084" s="1736"/>
      <c r="E7084" s="1043">
        <v>1467.89</v>
      </c>
      <c r="F7084" s="1043"/>
      <c r="G7084" s="1550"/>
    </row>
    <row r="7085" spans="1:7" ht="12.75" customHeight="1">
      <c r="A7085" s="1754">
        <v>44763</v>
      </c>
      <c r="B7085" s="125" t="str">
        <f>TiposLancamentos!B19</f>
        <v>Restaurantes</v>
      </c>
      <c r="C7085" s="1040" t="s">
        <v>8309</v>
      </c>
      <c r="D7085" s="1736"/>
      <c r="E7085" s="1043">
        <v>44.28</v>
      </c>
      <c r="F7085" s="1043"/>
      <c r="G7085" s="1550"/>
    </row>
    <row r="7086" spans="1:7" ht="12.75" customHeight="1">
      <c r="A7086" s="1754">
        <v>44763</v>
      </c>
      <c r="B7086" s="125" t="str">
        <f>TiposLancamentos!B71</f>
        <v>Itens Pessoais</v>
      </c>
      <c r="C7086" s="1040" t="s">
        <v>8726</v>
      </c>
      <c r="D7086" s="1736"/>
      <c r="E7086" s="1043">
        <v>35</v>
      </c>
      <c r="F7086" s="1043"/>
      <c r="G7086" s="1550"/>
    </row>
    <row r="7087" spans="1:7" ht="12.75" customHeight="1">
      <c r="A7087" s="1754">
        <v>44763</v>
      </c>
      <c r="B7087" s="125" t="str">
        <f>TiposLancamentos!B103</f>
        <v>Juros_Corr. Poupança</v>
      </c>
      <c r="C7087" s="1040" t="s">
        <v>8697</v>
      </c>
      <c r="D7087" s="1736">
        <v>0.11</v>
      </c>
      <c r="E7087" s="1043"/>
      <c r="F7087" s="1043"/>
      <c r="G7087" s="1550"/>
    </row>
    <row r="7088" spans="1:7" ht="12.75" customHeight="1">
      <c r="A7088" s="1754">
        <v>44763</v>
      </c>
      <c r="B7088" s="125" t="str">
        <f>TiposLancamentos!B105</f>
        <v>Transf. Bco</v>
      </c>
      <c r="C7088" s="1040" t="s">
        <v>8714</v>
      </c>
      <c r="D7088" s="1736"/>
      <c r="E7088" s="1043">
        <v>14999.99</v>
      </c>
      <c r="F7088" s="1043"/>
      <c r="G7088" s="1550"/>
    </row>
    <row r="7089" spans="1:7" ht="12.75" customHeight="1">
      <c r="A7089" s="1754">
        <v>44763</v>
      </c>
      <c r="B7089" s="125" t="str">
        <f>TiposLancamentos!B19</f>
        <v>Restaurantes</v>
      </c>
      <c r="C7089" s="1040" t="s">
        <v>8609</v>
      </c>
      <c r="D7089" s="1736"/>
      <c r="E7089" s="1043">
        <v>68</v>
      </c>
      <c r="F7089" s="1043"/>
      <c r="G7089" s="1550"/>
    </row>
    <row r="7090" spans="1:7" ht="12.75" customHeight="1">
      <c r="A7090" s="1754">
        <v>44763</v>
      </c>
      <c r="B7090" s="125" t="str">
        <f>TiposLancamentos!B5</f>
        <v>Supermercado</v>
      </c>
      <c r="C7090" s="1040" t="s">
        <v>1884</v>
      </c>
      <c r="D7090" s="1736"/>
      <c r="E7090" s="1043">
        <v>11.9</v>
      </c>
      <c r="F7090" s="1043"/>
      <c r="G7090" s="1550"/>
    </row>
    <row r="7091" spans="1:7" ht="12.75" customHeight="1">
      <c r="A7091" s="1754">
        <v>44764</v>
      </c>
      <c r="B7091" s="125" t="str">
        <f>TiposLancamentos!B105</f>
        <v>Transf. Bco</v>
      </c>
      <c r="C7091" s="1040" t="s">
        <v>8714</v>
      </c>
      <c r="D7091" s="1736"/>
      <c r="E7091" s="1043">
        <v>14999.99</v>
      </c>
      <c r="F7091" s="1043"/>
      <c r="G7091" s="1550"/>
    </row>
    <row r="7092" spans="1:7" ht="12.75" customHeight="1">
      <c r="A7092" s="1754">
        <v>44764</v>
      </c>
      <c r="B7092" s="125" t="str">
        <f>TiposLancamentos!B103</f>
        <v>Juros_Corr. Poupança</v>
      </c>
      <c r="C7092" s="1040" t="s">
        <v>8697</v>
      </c>
      <c r="D7092" s="1736">
        <v>0.11</v>
      </c>
      <c r="E7092" s="1043"/>
      <c r="F7092" s="1043"/>
      <c r="G7092" s="1550"/>
    </row>
    <row r="7093" spans="1:7" ht="12.75" customHeight="1">
      <c r="A7093" s="1754">
        <v>44764</v>
      </c>
      <c r="B7093" s="125" t="str">
        <f>TiposLancamentos!B24</f>
        <v>Estacionamentos</v>
      </c>
      <c r="C7093" s="1040" t="s">
        <v>8727</v>
      </c>
      <c r="D7093" s="1736"/>
      <c r="E7093" s="1043">
        <v>17</v>
      </c>
      <c r="F7093" s="1043"/>
      <c r="G7093" s="1550"/>
    </row>
    <row r="7094" spans="1:7" ht="12.75" customHeight="1">
      <c r="A7094" s="1754">
        <v>44764</v>
      </c>
      <c r="B7094" s="125" t="str">
        <f>TiposLancamentos!B5</f>
        <v>Supermercado</v>
      </c>
      <c r="C7094" s="1040" t="s">
        <v>8728</v>
      </c>
      <c r="D7094" s="1736"/>
      <c r="E7094" s="1043">
        <v>3.29</v>
      </c>
      <c r="F7094" s="1043"/>
      <c r="G7094" s="1550"/>
    </row>
    <row r="7095" spans="1:7" ht="12.75" customHeight="1">
      <c r="A7095" s="1754">
        <v>44765</v>
      </c>
      <c r="B7095" s="125" t="str">
        <f>TiposLancamentos!B5</f>
        <v>Supermercado</v>
      </c>
      <c r="C7095" s="1040" t="s">
        <v>1884</v>
      </c>
      <c r="D7095" s="1736"/>
      <c r="E7095" s="1043">
        <v>29.26</v>
      </c>
      <c r="F7095" s="1043"/>
      <c r="G7095" s="1550"/>
    </row>
    <row r="7096" spans="1:7" ht="12.75" customHeight="1">
      <c r="A7096" s="1754">
        <v>44765</v>
      </c>
      <c r="B7096" s="125" t="str">
        <f>TiposLancamentos!B5</f>
        <v>Supermercado</v>
      </c>
      <c r="C7096" s="1040" t="s">
        <v>1884</v>
      </c>
      <c r="D7096" s="1736"/>
      <c r="E7096" s="1043">
        <v>12.68</v>
      </c>
      <c r="F7096" s="1043"/>
      <c r="G7096" s="1550"/>
    </row>
    <row r="7097" spans="1:7" ht="12.75" customHeight="1">
      <c r="A7097" s="1754">
        <v>44765</v>
      </c>
      <c r="B7097" s="125" t="str">
        <f>TiposLancamentos!B19</f>
        <v>Restaurantes</v>
      </c>
      <c r="C7097" s="1040" t="s">
        <v>8729</v>
      </c>
      <c r="D7097" s="1736"/>
      <c r="E7097" s="1043">
        <v>148.84</v>
      </c>
      <c r="F7097" s="1043"/>
      <c r="G7097" s="1550"/>
    </row>
    <row r="7098" spans="1:7" ht="12.75" customHeight="1">
      <c r="A7098" s="1754">
        <v>44765</v>
      </c>
      <c r="B7098" s="125" t="str">
        <f>TiposLancamentos!B105</f>
        <v>Transf. Bco</v>
      </c>
      <c r="C7098" s="1040" t="s">
        <v>8730</v>
      </c>
      <c r="D7098" s="1736">
        <v>140.97</v>
      </c>
      <c r="E7098" s="1043"/>
      <c r="F7098" s="1043"/>
      <c r="G7098" s="1550"/>
    </row>
    <row r="7099" spans="1:7" ht="12.75" customHeight="1" thickBot="1">
      <c r="A7099" s="1754">
        <v>44766</v>
      </c>
      <c r="B7099" s="125" t="str">
        <f>TiposLancamentos!B103</f>
        <v>Juros_Corr. Poupança</v>
      </c>
      <c r="C7099" s="1040" t="s">
        <v>8697</v>
      </c>
      <c r="D7099" s="1736">
        <v>0.08</v>
      </c>
      <c r="E7099" s="1043"/>
      <c r="F7099" s="1043"/>
      <c r="G7099" s="1550"/>
    </row>
    <row r="7100" spans="1:7" ht="12.75" customHeight="1">
      <c r="A7100" s="1834"/>
      <c r="B7100" s="977"/>
      <c r="C7100" s="1854" t="s">
        <v>1613</v>
      </c>
      <c r="D7100" s="1823"/>
      <c r="E7100" s="1821"/>
      <c r="F7100" s="1821"/>
      <c r="G7100" s="1895"/>
    </row>
    <row r="7101" spans="1:7" ht="12.75" customHeight="1">
      <c r="A7101" s="1754">
        <v>44775</v>
      </c>
      <c r="B7101" s="125" t="str">
        <f>TiposLancamentos!B4</f>
        <v>Taxas Bancarias</v>
      </c>
      <c r="C7101" s="1040" t="s">
        <v>7681</v>
      </c>
      <c r="D7101" s="1736"/>
      <c r="E7101" s="1043">
        <v>5.9</v>
      </c>
      <c r="F7101" s="1043"/>
      <c r="G7101" s="1550"/>
    </row>
    <row r="7102" spans="1:7" ht="12.75" customHeight="1">
      <c r="A7102" s="1754">
        <v>44787</v>
      </c>
      <c r="B7102" s="125" t="str">
        <f>TiposLancamentos!B105</f>
        <v>Transf. Bco</v>
      </c>
      <c r="C7102" s="1040" t="s">
        <v>8731</v>
      </c>
      <c r="D7102" s="1736">
        <v>383.8</v>
      </c>
      <c r="E7102" s="1043"/>
      <c r="F7102" s="1043"/>
      <c r="G7102" s="1550"/>
    </row>
    <row r="7103" spans="1:7" ht="12.75" customHeight="1">
      <c r="A7103" s="1754">
        <v>44788</v>
      </c>
      <c r="B7103" s="125"/>
      <c r="C7103" s="1040" t="s">
        <v>1868</v>
      </c>
      <c r="D7103" s="1736">
        <v>0</v>
      </c>
      <c r="E7103" s="1043">
        <v>0</v>
      </c>
      <c r="F7103" s="1043"/>
      <c r="G7103" s="1550"/>
    </row>
    <row r="7104" spans="1:7" ht="12.75" customHeight="1">
      <c r="A7104" s="1666">
        <v>44788</v>
      </c>
      <c r="B7104" s="817" t="str">
        <f>TiposLancamentos!B33</f>
        <v>Pedágios</v>
      </c>
      <c r="C7104" s="1742" t="s">
        <v>5392</v>
      </c>
      <c r="D7104" s="1735">
        <v>0</v>
      </c>
      <c r="E7104" s="1733">
        <f>F7106-(E7105+E7106)</f>
        <v>339.8</v>
      </c>
      <c r="F7104" s="1290"/>
      <c r="G7104" s="1550"/>
    </row>
    <row r="7105" spans="1:7" ht="12.75" customHeight="1">
      <c r="A7105" s="1667">
        <v>44788</v>
      </c>
      <c r="B7105" s="816" t="str">
        <f>TiposLancamentos!B24</f>
        <v>Estacionamentos</v>
      </c>
      <c r="C7105" s="1769" t="s">
        <v>7366</v>
      </c>
      <c r="D7105" s="1736"/>
      <c r="E7105" s="1734">
        <f>12+14+5</f>
        <v>31</v>
      </c>
      <c r="F7105" s="1043"/>
      <c r="G7105" s="1550"/>
    </row>
    <row r="7106" spans="1:7" ht="12.75" customHeight="1">
      <c r="A7106" s="1750">
        <v>44788</v>
      </c>
      <c r="B7106" s="818" t="str">
        <f>TiposLancamentos!B24</f>
        <v>Estacionamentos</v>
      </c>
      <c r="C7106" s="1743" t="s">
        <v>6297</v>
      </c>
      <c r="D7106" s="1737"/>
      <c r="E7106" s="1668">
        <v>13</v>
      </c>
      <c r="F7106" s="1347">
        <v>383.8</v>
      </c>
      <c r="G7106" s="1550"/>
    </row>
    <row r="7107" spans="1:7" ht="12.75" customHeight="1">
      <c r="A7107" s="1754">
        <v>44788</v>
      </c>
      <c r="B7107" s="125"/>
      <c r="C7107" s="1040" t="s">
        <v>1868</v>
      </c>
      <c r="D7107" s="1736">
        <v>0</v>
      </c>
      <c r="E7107" s="1043">
        <v>0</v>
      </c>
      <c r="F7107" s="1040"/>
      <c r="G7107" s="1550"/>
    </row>
    <row r="7108" spans="1:7" ht="12.75" customHeight="1">
      <c r="A7108" s="1754">
        <v>44792</v>
      </c>
      <c r="B7108" s="125" t="str">
        <f>TiposLancamentos!B95</f>
        <v>Salarios</v>
      </c>
      <c r="C7108" s="1040" t="s">
        <v>8732</v>
      </c>
      <c r="D7108" s="1736">
        <v>580.04999999999995</v>
      </c>
      <c r="E7108" s="1043"/>
      <c r="F7108" s="1043"/>
      <c r="G7108" s="1550"/>
    </row>
    <row r="7109" spans="1:7" ht="12.75" customHeight="1">
      <c r="A7109" s="1754">
        <v>44792</v>
      </c>
      <c r="B7109" s="125" t="str">
        <f>TiposLancamentos!B13</f>
        <v>Moradia</v>
      </c>
      <c r="C7109" s="1040" t="s">
        <v>8733</v>
      </c>
      <c r="D7109" s="1736"/>
      <c r="E7109" s="1043">
        <v>14</v>
      </c>
      <c r="F7109" s="1043"/>
      <c r="G7109" s="1550"/>
    </row>
    <row r="7110" spans="1:7" ht="12.75" customHeight="1">
      <c r="A7110" s="1754">
        <v>44792</v>
      </c>
      <c r="B7110" s="125" t="str">
        <f>TiposLancamentos!B5</f>
        <v>Supermercado</v>
      </c>
      <c r="C7110" s="1040" t="s">
        <v>1884</v>
      </c>
      <c r="D7110" s="1736"/>
      <c r="E7110" s="1043">
        <v>8.49</v>
      </c>
      <c r="F7110" s="1043"/>
      <c r="G7110" s="1550"/>
    </row>
    <row r="7111" spans="1:7" ht="12.75" customHeight="1">
      <c r="A7111" s="1754">
        <v>44793</v>
      </c>
      <c r="B7111" s="125" t="str">
        <f>TiposLancamentos!B19</f>
        <v>Restaurantes</v>
      </c>
      <c r="C7111" s="1040" t="s">
        <v>8734</v>
      </c>
      <c r="D7111" s="1736"/>
      <c r="E7111" s="1043">
        <v>23.5</v>
      </c>
      <c r="F7111" s="1043"/>
      <c r="G7111" s="1550"/>
    </row>
    <row r="7112" spans="1:7" ht="12.75" customHeight="1">
      <c r="A7112" s="1754">
        <v>44793</v>
      </c>
      <c r="B7112" s="125" t="str">
        <f>TiposLancamentos!B71</f>
        <v>Itens Pessoais</v>
      </c>
      <c r="C7112" s="1040" t="s">
        <v>8735</v>
      </c>
      <c r="D7112" s="1736"/>
      <c r="E7112" s="1043">
        <v>30</v>
      </c>
      <c r="F7112" s="1043"/>
      <c r="G7112" s="1550"/>
    </row>
    <row r="7113" spans="1:7" ht="12.75" customHeight="1">
      <c r="A7113" s="1754">
        <v>44793</v>
      </c>
      <c r="B7113" s="125" t="str">
        <f>TiposLancamentos!B24</f>
        <v>Estacionamentos</v>
      </c>
      <c r="C7113" s="1040" t="s">
        <v>2014</v>
      </c>
      <c r="D7113" s="1736"/>
      <c r="E7113" s="1043">
        <v>13</v>
      </c>
      <c r="F7113" s="1043"/>
      <c r="G7113" s="1550"/>
    </row>
    <row r="7114" spans="1:7" ht="12.75" customHeight="1">
      <c r="A7114" s="1754">
        <v>44793</v>
      </c>
      <c r="B7114" s="125" t="str">
        <f>TiposLancamentos!B22</f>
        <v>Combustivel</v>
      </c>
      <c r="C7114" s="1040" t="s">
        <v>8736</v>
      </c>
      <c r="D7114" s="1736"/>
      <c r="E7114" s="1043">
        <v>286.22000000000003</v>
      </c>
      <c r="F7114" s="1043"/>
      <c r="G7114" s="1550"/>
    </row>
    <row r="7115" spans="1:7" ht="12.75" customHeight="1">
      <c r="A7115" s="1754">
        <v>44793</v>
      </c>
      <c r="B7115" s="125" t="str">
        <f>TiposLancamentos!B5</f>
        <v>Supermercado</v>
      </c>
      <c r="C7115" s="1040" t="s">
        <v>1884</v>
      </c>
      <c r="D7115" s="1736"/>
      <c r="E7115" s="1043">
        <v>26.59</v>
      </c>
      <c r="F7115" s="1043"/>
      <c r="G7115" s="1550"/>
    </row>
    <row r="7116" spans="1:7" ht="12.75" customHeight="1">
      <c r="A7116" s="1754">
        <v>44794</v>
      </c>
      <c r="B7116" s="125" t="str">
        <f>TiposLancamentos!B19</f>
        <v>Restaurantes</v>
      </c>
      <c r="C7116" s="1040" t="s">
        <v>8737</v>
      </c>
      <c r="D7116" s="1736"/>
      <c r="E7116" s="1043">
        <v>36</v>
      </c>
      <c r="F7116" s="1043"/>
      <c r="G7116" s="1550"/>
    </row>
    <row r="7117" spans="1:7" ht="12.75" customHeight="1">
      <c r="A7117" s="1754">
        <v>44794</v>
      </c>
      <c r="B7117" s="125" t="str">
        <f>TiposLancamentos!B19</f>
        <v>Restaurantes</v>
      </c>
      <c r="C7117" s="1040" t="s">
        <v>8738</v>
      </c>
      <c r="D7117" s="1736"/>
      <c r="E7117" s="1043">
        <v>76</v>
      </c>
      <c r="F7117" s="1043"/>
      <c r="G7117" s="1550"/>
    </row>
    <row r="7118" spans="1:7" ht="12.75" customHeight="1">
      <c r="A7118" s="1754">
        <v>44794</v>
      </c>
      <c r="B7118" s="125" t="str">
        <f>TiposLancamentos!B19</f>
        <v>Restaurantes</v>
      </c>
      <c r="C7118" s="1040" t="s">
        <v>8737</v>
      </c>
      <c r="D7118" s="1736"/>
      <c r="E7118" s="1043">
        <v>38</v>
      </c>
      <c r="F7118" s="1043"/>
      <c r="G7118" s="1550"/>
    </row>
    <row r="7119" spans="1:7" ht="12.75" customHeight="1">
      <c r="A7119" s="1754">
        <v>44794</v>
      </c>
      <c r="B7119" s="125" t="str">
        <f>TiposLancamentos!B19</f>
        <v>Restaurantes</v>
      </c>
      <c r="C7119" s="1040" t="s">
        <v>8739</v>
      </c>
      <c r="D7119" s="1736"/>
      <c r="E7119" s="1043">
        <v>32</v>
      </c>
      <c r="F7119" s="1043"/>
      <c r="G7119" s="1550"/>
    </row>
    <row r="7120" spans="1:7" ht="12.75" customHeight="1">
      <c r="A7120" s="1754">
        <v>44794</v>
      </c>
      <c r="B7120" s="125" t="str">
        <f>TiposLancamentos!B19</f>
        <v>Restaurantes</v>
      </c>
      <c r="C7120" s="1040" t="s">
        <v>8740</v>
      </c>
      <c r="D7120" s="1736"/>
      <c r="E7120" s="1043">
        <v>22</v>
      </c>
      <c r="F7120" s="1043"/>
      <c r="G7120" s="1550"/>
    </row>
    <row r="7121" spans="1:7" ht="12.75" customHeight="1">
      <c r="A7121" s="1754">
        <v>44794</v>
      </c>
      <c r="B7121" s="125" t="str">
        <f>TiposLancamentos!B19</f>
        <v>Restaurantes</v>
      </c>
      <c r="C7121" s="1040" t="s">
        <v>8737</v>
      </c>
      <c r="D7121" s="1736"/>
      <c r="E7121" s="1043">
        <v>33</v>
      </c>
      <c r="F7121" s="1043"/>
      <c r="G7121" s="1550"/>
    </row>
    <row r="7122" spans="1:7" ht="12.75" customHeight="1">
      <c r="A7122" s="1754">
        <v>44794</v>
      </c>
      <c r="B7122" s="125" t="str">
        <f>TiposLancamentos!B19</f>
        <v>Restaurantes</v>
      </c>
      <c r="C7122" s="1040" t="s">
        <v>8741</v>
      </c>
      <c r="D7122" s="1736"/>
      <c r="E7122" s="1043">
        <v>27</v>
      </c>
      <c r="F7122" s="1043">
        <f>SUM(E7116:E7122)</f>
        <v>264</v>
      </c>
      <c r="G7122" s="1550"/>
    </row>
    <row r="7123" spans="1:7" ht="12.75" customHeight="1">
      <c r="A7123" s="1754">
        <v>44794</v>
      </c>
      <c r="B7123" s="125" t="str">
        <f>TiposLancamentos!B105</f>
        <v>Transf. Bco</v>
      </c>
      <c r="C7123" s="1040" t="s">
        <v>8742</v>
      </c>
      <c r="D7123" s="1736">
        <v>85.66</v>
      </c>
      <c r="E7123" s="1043"/>
      <c r="F7123" s="1043"/>
      <c r="G7123" s="1550"/>
    </row>
    <row r="7124" spans="1:7" ht="12.75" customHeight="1">
      <c r="A7124" s="1754">
        <v>44797</v>
      </c>
      <c r="B7124" s="125" t="str">
        <f>TiposLancamentos!B96</f>
        <v>Resg.Poup.</v>
      </c>
      <c r="C7124" s="1040" t="s">
        <v>6162</v>
      </c>
      <c r="D7124" s="1736">
        <v>30.2</v>
      </c>
      <c r="E7124" s="1043"/>
      <c r="F7124" s="1043"/>
      <c r="G7124" s="1550"/>
    </row>
    <row r="7125" spans="1:7" ht="12.75" customHeight="1">
      <c r="A7125" s="1754">
        <v>44797</v>
      </c>
      <c r="B7125" s="125" t="str">
        <f>TiposLancamentos!B19</f>
        <v>Restaurantes</v>
      </c>
      <c r="C7125" s="1040" t="s">
        <v>1962</v>
      </c>
      <c r="D7125" s="1736"/>
      <c r="E7125" s="1043">
        <v>23.9</v>
      </c>
      <c r="F7125" s="1043"/>
      <c r="G7125" s="1550"/>
    </row>
    <row r="7126" spans="1:7" ht="12.75" customHeight="1">
      <c r="A7126" s="1754">
        <v>44797</v>
      </c>
      <c r="B7126" s="125" t="str">
        <f>TiposLancamentos!B18</f>
        <v>Alimentacao</v>
      </c>
      <c r="C7126" s="1040" t="s">
        <v>8743</v>
      </c>
      <c r="D7126" s="1736"/>
      <c r="E7126" s="1043">
        <v>4.25</v>
      </c>
      <c r="F7126" s="1043"/>
      <c r="G7126" s="1550"/>
    </row>
    <row r="7127" spans="1:7" ht="12.75" customHeight="1" thickBot="1">
      <c r="A7127" s="1754">
        <v>44804</v>
      </c>
      <c r="B7127" s="125" t="str">
        <f>TiposLancamentos!B95</f>
        <v>Salarios</v>
      </c>
      <c r="C7127" s="1040" t="s">
        <v>8744</v>
      </c>
      <c r="D7127" s="1736">
        <v>5263.57</v>
      </c>
      <c r="E7127" s="1043"/>
      <c r="F7127" s="1043"/>
      <c r="G7127" s="1550"/>
    </row>
    <row r="7128" spans="1:7" ht="12.75" customHeight="1">
      <c r="A7128" s="1834"/>
      <c r="B7128" s="977"/>
      <c r="C7128" s="1854" t="s">
        <v>1614</v>
      </c>
      <c r="D7128" s="1823"/>
      <c r="E7128" s="1821"/>
      <c r="F7128" s="1821"/>
      <c r="G7128" s="1895"/>
    </row>
    <row r="7129" spans="1:7" ht="12.75" customHeight="1">
      <c r="A7129" s="1754">
        <v>44805</v>
      </c>
      <c r="B7129" s="125" t="str">
        <f>TiposLancamentos!B4</f>
        <v>Taxas Bancarias</v>
      </c>
      <c r="C7129" s="1040" t="s">
        <v>8745</v>
      </c>
      <c r="D7129" s="1736"/>
      <c r="E7129" s="1043">
        <v>5.9</v>
      </c>
      <c r="F7129" s="1043"/>
      <c r="G7129" s="1550"/>
    </row>
    <row r="7130" spans="1:7" ht="12.75" customHeight="1">
      <c r="A7130" s="1754">
        <v>44813</v>
      </c>
      <c r="B7130" s="125" t="str">
        <f>TiposLancamentos!B105</f>
        <v>Transf. Bco</v>
      </c>
      <c r="C7130" s="1040" t="s">
        <v>8714</v>
      </c>
      <c r="D7130" s="1736"/>
      <c r="E7130" s="1043">
        <v>5145</v>
      </c>
      <c r="F7130" s="1043"/>
      <c r="G7130" s="1550"/>
    </row>
    <row r="7131" spans="1:7" ht="12.75" customHeight="1">
      <c r="A7131" s="1754">
        <v>44813</v>
      </c>
      <c r="B7131" s="125" t="str">
        <f>TiposLancamentos!B103</f>
        <v>Juros_Corr. Poupança</v>
      </c>
      <c r="C7131" s="1040" t="s">
        <v>8697</v>
      </c>
      <c r="D7131" s="1736">
        <v>0.06</v>
      </c>
      <c r="E7131" s="1043"/>
      <c r="F7131" s="1043"/>
      <c r="G7131" s="1550"/>
    </row>
    <row r="7132" spans="1:7" ht="12.75" customHeight="1">
      <c r="A7132" s="1754">
        <v>44819</v>
      </c>
      <c r="B7132" s="125"/>
      <c r="C7132" s="1040" t="s">
        <v>1868</v>
      </c>
      <c r="D7132" s="1736">
        <v>0</v>
      </c>
      <c r="E7132" s="1043">
        <v>0</v>
      </c>
      <c r="F7132" s="1043"/>
      <c r="G7132" s="1550"/>
    </row>
    <row r="7133" spans="1:7" ht="12.75" customHeight="1">
      <c r="A7133" s="1666">
        <v>44819</v>
      </c>
      <c r="B7133" s="817" t="str">
        <f>TiposLancamentos!B33</f>
        <v>Pedágios</v>
      </c>
      <c r="C7133" s="1742" t="s">
        <v>5392</v>
      </c>
      <c r="D7133" s="1735">
        <v>0</v>
      </c>
      <c r="E7133" s="1733">
        <f>F7135-(E7134+E7135)</f>
        <v>75.72</v>
      </c>
      <c r="F7133" s="1290"/>
      <c r="G7133" s="1550"/>
    </row>
    <row r="7134" spans="1:7" ht="12.75" customHeight="1">
      <c r="A7134" s="1667">
        <v>44819</v>
      </c>
      <c r="B7134" s="816" t="str">
        <f>TiposLancamentos!B24</f>
        <v>Estacionamentos</v>
      </c>
      <c r="C7134" s="1769" t="s">
        <v>7366</v>
      </c>
      <c r="D7134" s="1736"/>
      <c r="E7134" s="1734">
        <v>27</v>
      </c>
      <c r="F7134" s="1043"/>
      <c r="G7134" s="1550"/>
    </row>
    <row r="7135" spans="1:7" ht="12.75" customHeight="1">
      <c r="A7135" s="1750">
        <v>44819</v>
      </c>
      <c r="B7135" s="818" t="str">
        <f>TiposLancamentos!B24</f>
        <v>Estacionamentos</v>
      </c>
      <c r="C7135" s="1743" t="s">
        <v>6297</v>
      </c>
      <c r="D7135" s="1737"/>
      <c r="E7135" s="1668">
        <v>12</v>
      </c>
      <c r="F7135" s="1347">
        <v>114.72</v>
      </c>
      <c r="G7135" s="1550"/>
    </row>
    <row r="7136" spans="1:7" ht="12.75" customHeight="1">
      <c r="A7136" s="1754">
        <v>44819</v>
      </c>
      <c r="B7136" s="125"/>
      <c r="C7136" s="1040" t="s">
        <v>1868</v>
      </c>
      <c r="D7136" s="1736">
        <v>0</v>
      </c>
      <c r="E7136" s="1043">
        <v>0</v>
      </c>
      <c r="F7136" s="1040"/>
      <c r="G7136" s="1550"/>
    </row>
    <row r="7137" spans="1:7" ht="12.75" customHeight="1">
      <c r="A7137" s="1754">
        <v>44826</v>
      </c>
      <c r="B7137" s="125" t="str">
        <f>TiposLancamentos!B5</f>
        <v>Supermercado</v>
      </c>
      <c r="C7137" s="1040" t="s">
        <v>2358</v>
      </c>
      <c r="D7137" s="1736"/>
      <c r="E7137" s="1043">
        <v>15.9</v>
      </c>
      <c r="F7137" s="1043"/>
      <c r="G7137" s="1550"/>
    </row>
    <row r="7138" spans="1:7" ht="12.75" customHeight="1">
      <c r="A7138" s="1754">
        <v>44827</v>
      </c>
      <c r="B7138" s="125" t="str">
        <f>TiposLancamentos!B17</f>
        <v>GATO</v>
      </c>
      <c r="C7138" s="1040" t="s">
        <v>8746</v>
      </c>
      <c r="D7138" s="1736"/>
      <c r="E7138" s="1043">
        <v>50</v>
      </c>
      <c r="F7138" s="1043"/>
      <c r="G7138" s="1550"/>
    </row>
    <row r="7139" spans="1:7" ht="12.75" customHeight="1">
      <c r="A7139" s="1754">
        <v>44834</v>
      </c>
      <c r="B7139" s="125" t="str">
        <f>B7127</f>
        <v>Salarios</v>
      </c>
      <c r="C7139" s="1040" t="s">
        <v>8744</v>
      </c>
      <c r="D7139" s="1736">
        <v>7427.32</v>
      </c>
      <c r="E7139" s="1043"/>
      <c r="F7139" s="1043"/>
      <c r="G7139" s="1550"/>
    </row>
    <row r="7140" spans="1:7" ht="12.75" customHeight="1" thickBot="1">
      <c r="A7140" s="1754">
        <v>44834</v>
      </c>
      <c r="B7140" s="125" t="str">
        <f>B7099</f>
        <v>Juros_Corr. Poupança</v>
      </c>
      <c r="C7140" s="1040" t="s">
        <v>8697</v>
      </c>
      <c r="D7140" s="1736">
        <v>0.02</v>
      </c>
      <c r="E7140" s="1043"/>
      <c r="F7140" s="1043"/>
      <c r="G7140" s="1550"/>
    </row>
    <row r="7141" spans="1:7" ht="12.75" customHeight="1">
      <c r="A7141" s="1834"/>
      <c r="B7141" s="977"/>
      <c r="C7141" s="1854" t="s">
        <v>1615</v>
      </c>
      <c r="D7141" s="1823"/>
      <c r="E7141" s="1821"/>
      <c r="F7141" s="1821"/>
      <c r="G7141" s="1895"/>
    </row>
    <row r="7142" spans="1:7" ht="12.75" customHeight="1">
      <c r="A7142" s="1754">
        <v>44836</v>
      </c>
      <c r="B7142" s="125" t="str">
        <f>TiposLancamentos!B105</f>
        <v>Transf. Bco</v>
      </c>
      <c r="C7142" s="1040" t="s">
        <v>8714</v>
      </c>
      <c r="D7142" s="1736"/>
      <c r="E7142" s="1043">
        <v>7353.99</v>
      </c>
      <c r="F7142" s="1043"/>
      <c r="G7142" s="1550"/>
    </row>
    <row r="7143" spans="1:7" ht="12.75" customHeight="1">
      <c r="A7143" s="1754">
        <v>44836</v>
      </c>
      <c r="B7143" s="125" t="str">
        <f>B7140</f>
        <v>Juros_Corr. Poupança</v>
      </c>
      <c r="C7143" s="1040" t="str">
        <f>C7140</f>
        <v xml:space="preserve">Juros e correção no periodo </v>
      </c>
      <c r="D7143" s="1736">
        <v>0.01</v>
      </c>
      <c r="E7143" s="1043"/>
      <c r="F7143" s="1043"/>
      <c r="G7143" s="1550"/>
    </row>
    <row r="7144" spans="1:7" ht="12.75" customHeight="1">
      <c r="A7144" s="1754">
        <v>44837</v>
      </c>
      <c r="B7144" s="125" t="str">
        <f>TiposLancamentos!B4</f>
        <v>Taxas Bancarias</v>
      </c>
      <c r="C7144" s="1040" t="s">
        <v>8067</v>
      </c>
      <c r="D7144" s="1736"/>
      <c r="E7144" s="1043">
        <v>5.9</v>
      </c>
      <c r="F7144" s="1043"/>
      <c r="G7144" s="1550"/>
    </row>
    <row r="7145" spans="1:7" ht="12.75" customHeight="1">
      <c r="A7145" s="1754">
        <v>44837</v>
      </c>
      <c r="B7145" s="125" t="str">
        <f>TiposLancamentos!B4</f>
        <v>Taxas Bancarias</v>
      </c>
      <c r="C7145" s="1040" t="s">
        <v>8747</v>
      </c>
      <c r="D7145" s="1736"/>
      <c r="E7145" s="1043">
        <v>1.34</v>
      </c>
      <c r="F7145" s="1043"/>
      <c r="G7145" s="1550"/>
    </row>
    <row r="7146" spans="1:7" ht="12.75" customHeight="1">
      <c r="A7146" s="1754">
        <v>44837</v>
      </c>
      <c r="B7146" s="125" t="str">
        <f>TiposLancamentos!B4</f>
        <v>Taxas Bancarias</v>
      </c>
      <c r="C7146" s="1040" t="s">
        <v>4858</v>
      </c>
      <c r="D7146" s="1736"/>
      <c r="E7146" s="1043">
        <v>0.27</v>
      </c>
      <c r="F7146" s="1043"/>
      <c r="G7146" s="1550"/>
    </row>
    <row r="7147" spans="1:7" ht="12.75" customHeight="1">
      <c r="A7147" s="1754">
        <v>44850</v>
      </c>
      <c r="B7147" s="125" t="str">
        <f>TiposLancamentos!B105</f>
        <v>Transf. Bco</v>
      </c>
      <c r="C7147" s="1040" t="s">
        <v>8742</v>
      </c>
      <c r="D7147" s="1736">
        <v>230.31</v>
      </c>
      <c r="E7147" s="1043"/>
      <c r="F7147" s="1043"/>
      <c r="G7147" s="1550"/>
    </row>
    <row r="7148" spans="1:7" ht="12.75" customHeight="1">
      <c r="A7148" s="1754">
        <v>44851</v>
      </c>
      <c r="B7148" s="125"/>
      <c r="C7148" s="1040" t="s">
        <v>1868</v>
      </c>
      <c r="D7148" s="1736">
        <v>0</v>
      </c>
      <c r="E7148" s="1043">
        <v>0</v>
      </c>
      <c r="F7148" s="1043"/>
      <c r="G7148" s="1550"/>
    </row>
    <row r="7149" spans="1:7" ht="12.75" customHeight="1">
      <c r="A7149" s="1666">
        <v>44851</v>
      </c>
      <c r="B7149" s="817" t="str">
        <f>TiposLancamentos!B33</f>
        <v>Pedágios</v>
      </c>
      <c r="C7149" s="1742" t="s">
        <v>5392</v>
      </c>
      <c r="D7149" s="1735">
        <v>0</v>
      </c>
      <c r="E7149" s="1733">
        <f>F7151-(E7150+E7151)</f>
        <v>206.32</v>
      </c>
      <c r="F7149" s="1290"/>
      <c r="G7149" s="1550"/>
    </row>
    <row r="7150" spans="1:7" ht="12.75" customHeight="1">
      <c r="A7150" s="1667">
        <v>44851</v>
      </c>
      <c r="B7150" s="816" t="str">
        <f>TiposLancamentos!B24</f>
        <v>Estacionamentos</v>
      </c>
      <c r="C7150" s="1769" t="s">
        <v>7366</v>
      </c>
      <c r="D7150" s="1736"/>
      <c r="E7150" s="1734">
        <v>0</v>
      </c>
      <c r="F7150" s="1043"/>
      <c r="G7150" s="1550"/>
    </row>
    <row r="7151" spans="1:7" ht="12.75" customHeight="1">
      <c r="A7151" s="1750">
        <v>44851</v>
      </c>
      <c r="B7151" s="818" t="str">
        <f>TiposLancamentos!B24</f>
        <v>Estacionamentos</v>
      </c>
      <c r="C7151" s="1743" t="s">
        <v>6297</v>
      </c>
      <c r="D7151" s="1737"/>
      <c r="E7151" s="1668">
        <v>24</v>
      </c>
      <c r="F7151" s="1347">
        <v>230.32</v>
      </c>
      <c r="G7151" s="1550"/>
    </row>
    <row r="7152" spans="1:7" ht="12.75" customHeight="1">
      <c r="A7152" s="1754">
        <v>44851</v>
      </c>
      <c r="B7152" s="125"/>
      <c r="C7152" s="1040" t="s">
        <v>1868</v>
      </c>
      <c r="D7152" s="1736">
        <v>0</v>
      </c>
      <c r="E7152" s="1043">
        <v>0</v>
      </c>
      <c r="F7152" s="1040"/>
      <c r="G7152" s="1550"/>
    </row>
    <row r="7153" spans="1:7" ht="12.75" customHeight="1">
      <c r="A7153" s="1754">
        <v>44865</v>
      </c>
      <c r="B7153" s="125" t="str">
        <f>TiposLancamentos!B95</f>
        <v>Salarios</v>
      </c>
      <c r="C7153" s="1040" t="s">
        <v>8744</v>
      </c>
      <c r="D7153" s="1736">
        <v>9251.17</v>
      </c>
      <c r="E7153" s="1043"/>
      <c r="F7153" s="1043"/>
      <c r="G7153" s="1550"/>
    </row>
    <row r="7154" spans="1:7" ht="12.75" customHeight="1" thickBot="1">
      <c r="A7154" s="1754">
        <v>44865</v>
      </c>
      <c r="B7154" s="125" t="str">
        <f>TiposLancamentos!B105</f>
        <v>Transf. Bco</v>
      </c>
      <c r="C7154" s="1040" t="s">
        <v>8714</v>
      </c>
      <c r="D7154" s="1736"/>
      <c r="E7154" s="1043">
        <v>9245.27</v>
      </c>
      <c r="F7154" s="1043"/>
      <c r="G7154" s="1550"/>
    </row>
    <row r="7155" spans="1:7" ht="12.75" customHeight="1">
      <c r="A7155" s="1834"/>
      <c r="B7155" s="977"/>
      <c r="C7155" s="1854" t="s">
        <v>1616</v>
      </c>
      <c r="D7155" s="1823"/>
      <c r="E7155" s="1821"/>
      <c r="F7155" s="1821"/>
      <c r="G7155" s="1895"/>
    </row>
    <row r="7156" spans="1:7" ht="12.75" customHeight="1">
      <c r="A7156" s="1754">
        <v>44879</v>
      </c>
      <c r="B7156" s="125" t="str">
        <f>TiposLancamentos!B97</f>
        <v>Deposito Terc.</v>
      </c>
      <c r="C7156" s="1040" t="s">
        <v>8748</v>
      </c>
      <c r="D7156" s="1736">
        <v>1892</v>
      </c>
      <c r="E7156" s="1043"/>
      <c r="F7156" s="1043"/>
      <c r="G7156" s="1550"/>
    </row>
    <row r="7157" spans="1:7" ht="12.75" customHeight="1">
      <c r="A7157" s="1754">
        <v>44880</v>
      </c>
      <c r="B7157" s="125"/>
      <c r="C7157" s="1040" t="s">
        <v>1868</v>
      </c>
      <c r="D7157" s="1736">
        <v>0</v>
      </c>
      <c r="E7157" s="1043">
        <v>0</v>
      </c>
      <c r="F7157" s="1043"/>
      <c r="G7157" s="1550"/>
    </row>
    <row r="7158" spans="1:7" ht="12.75" customHeight="1">
      <c r="A7158" s="1666">
        <v>44880</v>
      </c>
      <c r="B7158" s="817" t="str">
        <f>TiposLancamentos!B33</f>
        <v>Pedágios</v>
      </c>
      <c r="C7158" s="1742" t="s">
        <v>5392</v>
      </c>
      <c r="D7158" s="1735">
        <v>0</v>
      </c>
      <c r="E7158" s="1733">
        <f>F7160-(E7159+E7160)</f>
        <v>75.72</v>
      </c>
      <c r="F7158" s="1290"/>
      <c r="G7158" s="1550"/>
    </row>
    <row r="7159" spans="1:7" ht="12.75" customHeight="1">
      <c r="A7159" s="1667">
        <v>44880</v>
      </c>
      <c r="B7159" s="816" t="str">
        <f>TiposLancamentos!B24</f>
        <v>Estacionamentos</v>
      </c>
      <c r="C7159" s="1769" t="s">
        <v>7366</v>
      </c>
      <c r="D7159" s="1736"/>
      <c r="E7159" s="1734">
        <v>39</v>
      </c>
      <c r="F7159" s="1043"/>
      <c r="G7159" s="1550"/>
    </row>
    <row r="7160" spans="1:7" ht="12.75" customHeight="1">
      <c r="A7160" s="1750">
        <v>44880</v>
      </c>
      <c r="B7160" s="818" t="str">
        <f>TiposLancamentos!B24</f>
        <v>Estacionamentos</v>
      </c>
      <c r="C7160" s="1743" t="s">
        <v>6297</v>
      </c>
      <c r="D7160" s="1737"/>
      <c r="E7160" s="1668">
        <v>38</v>
      </c>
      <c r="F7160" s="1347">
        <v>152.72</v>
      </c>
      <c r="G7160" s="1550"/>
    </row>
    <row r="7161" spans="1:7" ht="12.75" customHeight="1">
      <c r="A7161" s="1754">
        <v>44880</v>
      </c>
      <c r="B7161" s="125"/>
      <c r="C7161" s="1040" t="s">
        <v>1868</v>
      </c>
      <c r="D7161" s="1736">
        <v>0</v>
      </c>
      <c r="E7161" s="1043">
        <v>0</v>
      </c>
      <c r="F7161" s="1040"/>
      <c r="G7161" s="1550"/>
    </row>
    <row r="7162" spans="1:7" ht="12.75" customHeight="1">
      <c r="A7162" s="1754">
        <v>44881</v>
      </c>
      <c r="B7162" s="125" t="str">
        <f>TiposLancamentos!B105</f>
        <v>Transf. Bco</v>
      </c>
      <c r="C7162" s="1040" t="s">
        <v>8742</v>
      </c>
      <c r="D7162" s="1736">
        <v>754.82</v>
      </c>
      <c r="E7162" s="1043"/>
      <c r="F7162" s="1043"/>
      <c r="G7162" s="1550"/>
    </row>
    <row r="7163" spans="1:7" ht="12.75" customHeight="1">
      <c r="A7163" s="1754">
        <v>44881</v>
      </c>
      <c r="B7163" s="125" t="str">
        <f>TiposLancamentos!B100</f>
        <v>Emprestimos</v>
      </c>
      <c r="C7163" s="1040" t="s">
        <v>8749</v>
      </c>
      <c r="D7163" s="1736"/>
      <c r="E7163" s="1043">
        <v>2500</v>
      </c>
      <c r="F7163" s="1043"/>
      <c r="G7163" s="1550"/>
    </row>
    <row r="7164" spans="1:7" ht="12.75" customHeight="1">
      <c r="A7164" s="1754">
        <v>44886</v>
      </c>
      <c r="B7164" s="125" t="str">
        <f>TiposLancamentos!B105</f>
        <v>Transf. Bco</v>
      </c>
      <c r="C7164" s="1040" t="s">
        <v>8750</v>
      </c>
      <c r="D7164" s="1736">
        <v>2381.0300000000002</v>
      </c>
      <c r="E7164" s="1043"/>
      <c r="F7164" s="1043"/>
      <c r="G7164" s="1550"/>
    </row>
    <row r="7165" spans="1:7" ht="12.75" customHeight="1">
      <c r="A7165" s="1754">
        <v>44886</v>
      </c>
      <c r="B7165" s="125" t="str">
        <f>TiposLancamentos!B105</f>
        <v>Transf. Bco</v>
      </c>
      <c r="C7165" s="1040" t="s">
        <v>8750</v>
      </c>
      <c r="D7165" s="1736">
        <v>8.14</v>
      </c>
      <c r="E7165" s="1043"/>
      <c r="F7165" s="1043"/>
      <c r="G7165" s="1550"/>
    </row>
    <row r="7166" spans="1:7" ht="12.6" customHeight="1">
      <c r="A7166" s="1754">
        <v>44886</v>
      </c>
      <c r="B7166" s="125" t="str">
        <f>TiposLancamentos!B105</f>
        <v>Transf. Bco</v>
      </c>
      <c r="C7166" s="1040" t="s">
        <v>8750</v>
      </c>
      <c r="D7166" s="1736">
        <v>282.19</v>
      </c>
      <c r="E7166" s="1043"/>
      <c r="F7166" s="1043"/>
      <c r="G7166" s="1550"/>
    </row>
    <row r="7167" spans="1:7" ht="12.75" customHeight="1">
      <c r="A7167" s="1754">
        <v>44887</v>
      </c>
      <c r="B7167" s="116"/>
      <c r="C7167" s="1040" t="s">
        <v>1868</v>
      </c>
      <c r="D7167" s="1736">
        <v>0</v>
      </c>
      <c r="E7167" s="1043">
        <v>0</v>
      </c>
      <c r="F7167" s="1043"/>
      <c r="G7167" s="1550"/>
    </row>
    <row r="7168" spans="1:7" ht="12.75" customHeight="1">
      <c r="A7168" s="1666">
        <v>44887</v>
      </c>
      <c r="B7168" s="817" t="str">
        <f>TiposLancamentos!B8</f>
        <v>Aluguel</v>
      </c>
      <c r="C7168" s="1742" t="s">
        <v>8751</v>
      </c>
      <c r="D7168" s="1735"/>
      <c r="E7168" s="1733">
        <f>F7173-(E7173+E7172+E7171+E7170+E7169)</f>
        <v>1611.26</v>
      </c>
      <c r="F7168" s="1346"/>
      <c r="G7168" s="1550"/>
    </row>
    <row r="7169" spans="1:7" ht="12.75" customHeight="1">
      <c r="A7169" s="1667">
        <v>44887</v>
      </c>
      <c r="B7169" s="816" t="str">
        <f>TiposLancamentos!B12</f>
        <v>IPTU</v>
      </c>
      <c r="C7169" s="1769" t="s">
        <v>8752</v>
      </c>
      <c r="D7169" s="1736"/>
      <c r="E7169" s="1734">
        <v>34.5</v>
      </c>
      <c r="F7169" s="1043"/>
      <c r="G7169" s="1550"/>
    </row>
    <row r="7170" spans="1:7" ht="12.75" customHeight="1">
      <c r="A7170" s="1667">
        <v>44887</v>
      </c>
      <c r="B7170" s="816" t="str">
        <f>TiposLancamentos!B10</f>
        <v>Distr. Água Municipal</v>
      </c>
      <c r="C7170" s="1769" t="s">
        <v>7423</v>
      </c>
      <c r="D7170" s="1736"/>
      <c r="E7170" s="1734">
        <v>74.680000000000007</v>
      </c>
      <c r="F7170" s="1043"/>
      <c r="G7170" s="1550"/>
    </row>
    <row r="7171" spans="1:7" ht="12.75" customHeight="1">
      <c r="A7171" s="1667">
        <v>44887</v>
      </c>
      <c r="B7171" s="816" t="str">
        <f>TiposLancamentos!B11</f>
        <v>Coleta Municipal Lixo</v>
      </c>
      <c r="C7171" s="1769" t="s">
        <v>7424</v>
      </c>
      <c r="D7171" s="1736"/>
      <c r="E7171" s="1734">
        <v>44.36</v>
      </c>
      <c r="F7171" s="1043"/>
      <c r="G7171" s="1550"/>
    </row>
    <row r="7172" spans="1:7" ht="12.75" customHeight="1">
      <c r="A7172" s="1667">
        <v>44887</v>
      </c>
      <c r="B7172" s="816" t="str">
        <f>TiposLancamentos!B8</f>
        <v>Aluguel</v>
      </c>
      <c r="C7172" s="1769" t="s">
        <v>7425</v>
      </c>
      <c r="D7172" s="1736"/>
      <c r="E7172" s="1734">
        <v>8</v>
      </c>
      <c r="F7172" s="1043"/>
      <c r="G7172" s="1550"/>
    </row>
    <row r="7173" spans="1:7" ht="12.75" customHeight="1">
      <c r="A7173" s="1750">
        <v>44887</v>
      </c>
      <c r="B7173" s="818" t="str">
        <f>TiposLancamentos!B9</f>
        <v>Condominio</v>
      </c>
      <c r="C7173" s="1743" t="s">
        <v>7427</v>
      </c>
      <c r="D7173" s="1737"/>
      <c r="E7173" s="1668">
        <v>616.37</v>
      </c>
      <c r="F7173" s="1291">
        <v>2389.17</v>
      </c>
      <c r="G7173" s="1550"/>
    </row>
    <row r="7174" spans="1:7" ht="12.75" customHeight="1">
      <c r="A7174" s="1754">
        <v>44887</v>
      </c>
      <c r="B7174" s="116"/>
      <c r="C7174" s="1040" t="s">
        <v>1868</v>
      </c>
      <c r="D7174" s="1736">
        <v>0</v>
      </c>
      <c r="E7174" s="1043">
        <v>0</v>
      </c>
      <c r="F7174" s="1043"/>
      <c r="G7174" s="1550"/>
    </row>
    <row r="7175" spans="1:7" ht="12.75" customHeight="1">
      <c r="A7175" s="1754">
        <v>44887</v>
      </c>
      <c r="B7175" s="125" t="str">
        <f>TiposLancamentos!B24</f>
        <v>Estacionamentos</v>
      </c>
      <c r="C7175" s="1040" t="s">
        <v>8753</v>
      </c>
      <c r="D7175" s="1736"/>
      <c r="E7175" s="1043">
        <v>10</v>
      </c>
      <c r="F7175" s="1043"/>
      <c r="G7175" s="1550"/>
    </row>
    <row r="7176" spans="1:7" ht="12.75" customHeight="1">
      <c r="A7176" s="1754">
        <v>44887</v>
      </c>
      <c r="B7176" s="125" t="str">
        <f>TiposLancamentos!B22</f>
        <v>Combustivel</v>
      </c>
      <c r="C7176" s="1040" t="s">
        <v>8754</v>
      </c>
      <c r="D7176" s="1736"/>
      <c r="E7176" s="1043">
        <v>100</v>
      </c>
      <c r="F7176" s="1043"/>
      <c r="G7176" s="1550"/>
    </row>
    <row r="7177" spans="1:7" ht="12.75" customHeight="1">
      <c r="A7177" s="1754">
        <v>44887</v>
      </c>
      <c r="B7177" s="125" t="str">
        <f>TiposLancamentos!B24</f>
        <v>Estacionamentos</v>
      </c>
      <c r="C7177" s="1740" t="s">
        <v>8755</v>
      </c>
      <c r="D7177" s="1736"/>
      <c r="E7177" s="1043">
        <v>15</v>
      </c>
      <c r="F7177" s="1043"/>
      <c r="G7177" s="1550"/>
    </row>
    <row r="7178" spans="1:7" ht="12.75" customHeight="1">
      <c r="A7178" s="1754">
        <v>44887</v>
      </c>
      <c r="B7178" s="125" t="str">
        <f>TiposLancamentos!B19</f>
        <v>Restaurantes</v>
      </c>
      <c r="C7178" s="1040" t="s">
        <v>1967</v>
      </c>
      <c r="D7178" s="1736"/>
      <c r="E7178" s="1043">
        <v>28.6</v>
      </c>
      <c r="F7178" s="1043"/>
      <c r="G7178" s="1550"/>
    </row>
    <row r="7179" spans="1:7" ht="12.75" customHeight="1">
      <c r="A7179" s="1754">
        <v>44888</v>
      </c>
      <c r="B7179" s="125" t="str">
        <f>TiposLancamentos!B19</f>
        <v>Restaurantes</v>
      </c>
      <c r="C7179" s="1040" t="s">
        <v>8756</v>
      </c>
      <c r="D7179" s="1736"/>
      <c r="E7179" s="1043">
        <v>30.3</v>
      </c>
      <c r="F7179" s="1043"/>
      <c r="G7179" s="1550"/>
    </row>
    <row r="7180" spans="1:7" ht="12.75" customHeight="1">
      <c r="A7180" s="1754">
        <v>44888</v>
      </c>
      <c r="B7180" s="125" t="str">
        <f>TiposLancamentos!B5</f>
        <v>Supermercado</v>
      </c>
      <c r="C7180" s="1040" t="s">
        <v>8757</v>
      </c>
      <c r="D7180" s="1736"/>
      <c r="E7180" s="1043">
        <v>60</v>
      </c>
      <c r="F7180" s="1043"/>
      <c r="G7180" s="1550"/>
    </row>
    <row r="7181" spans="1:7" ht="12.75" customHeight="1">
      <c r="A7181" s="1754">
        <v>44888</v>
      </c>
      <c r="B7181" s="125" t="str">
        <f>TiposLancamentos!B24</f>
        <v>Estacionamentos</v>
      </c>
      <c r="C7181" s="1040" t="s">
        <v>8753</v>
      </c>
      <c r="D7181" s="1736"/>
      <c r="E7181" s="1043">
        <v>10</v>
      </c>
      <c r="F7181" s="1043"/>
      <c r="G7181" s="1550"/>
    </row>
    <row r="7182" spans="1:7" ht="12.75" customHeight="1">
      <c r="A7182" s="1754">
        <v>44889</v>
      </c>
      <c r="B7182" s="125" t="str">
        <f>TiposLancamentos!B5</f>
        <v>Supermercado</v>
      </c>
      <c r="C7182" s="1040" t="s">
        <v>8758</v>
      </c>
      <c r="D7182" s="1736"/>
      <c r="E7182" s="1043">
        <v>48.26</v>
      </c>
      <c r="F7182" s="1043"/>
      <c r="G7182" s="1550"/>
    </row>
    <row r="7183" spans="1:7" ht="12.75" customHeight="1">
      <c r="A7183" s="1754">
        <v>44889</v>
      </c>
      <c r="B7183" s="125" t="str">
        <f>TiposLancamentos!B19</f>
        <v>Restaurantes</v>
      </c>
      <c r="C7183" s="1040" t="s">
        <v>8759</v>
      </c>
      <c r="D7183" s="1736"/>
      <c r="E7183" s="1043">
        <v>80.8</v>
      </c>
      <c r="F7183" s="1043"/>
      <c r="G7183" s="1550"/>
    </row>
    <row r="7184" spans="1:7" ht="12.75" customHeight="1">
      <c r="A7184" s="1754">
        <v>44889</v>
      </c>
      <c r="B7184" s="125" t="str">
        <f>TiposLancamentos!B5</f>
        <v>Supermercado</v>
      </c>
      <c r="C7184" s="1040" t="s">
        <v>8760</v>
      </c>
      <c r="D7184" s="1736"/>
      <c r="E7184" s="1043">
        <v>12.9</v>
      </c>
      <c r="F7184" s="1043"/>
      <c r="G7184" s="1550"/>
    </row>
    <row r="7185" spans="1:7" ht="12.75" customHeight="1">
      <c r="A7185" s="1754">
        <v>44890</v>
      </c>
      <c r="B7185" s="125" t="str">
        <f>TiposLancamentos!B5</f>
        <v>Supermercado</v>
      </c>
      <c r="C7185" s="1040" t="s">
        <v>1884</v>
      </c>
      <c r="D7185" s="1736"/>
      <c r="E7185" s="1043">
        <v>10.98</v>
      </c>
      <c r="F7185" s="1043"/>
      <c r="G7185" s="1550"/>
    </row>
    <row r="7186" spans="1:7" ht="12.75" customHeight="1">
      <c r="A7186" s="1754">
        <v>44890</v>
      </c>
      <c r="B7186" s="125" t="str">
        <f>TiposLancamentos!B5</f>
        <v>Supermercado</v>
      </c>
      <c r="C7186" s="1040" t="s">
        <v>8761</v>
      </c>
      <c r="D7186" s="1736"/>
      <c r="E7186" s="1043">
        <v>102.79</v>
      </c>
      <c r="F7186" s="1043"/>
      <c r="G7186" s="1550"/>
    </row>
    <row r="7187" spans="1:7" ht="12.75" customHeight="1">
      <c r="A7187" s="1754">
        <v>44891</v>
      </c>
      <c r="B7187" s="125" t="str">
        <f>TiposLancamentos!B5</f>
        <v>Supermercado</v>
      </c>
      <c r="C7187" s="1040" t="s">
        <v>8762</v>
      </c>
      <c r="D7187" s="1736"/>
      <c r="E7187" s="1043">
        <v>311.7</v>
      </c>
      <c r="F7187" s="1043"/>
      <c r="G7187" s="1550"/>
    </row>
    <row r="7188" spans="1:7" ht="12.75" customHeight="1">
      <c r="A7188" s="1754">
        <v>44891</v>
      </c>
      <c r="B7188" s="125" t="str">
        <f>TiposLancamentos!B56</f>
        <v>Farmácia</v>
      </c>
      <c r="C7188" s="1040" t="s">
        <v>8763</v>
      </c>
      <c r="D7188" s="1736"/>
      <c r="E7188" s="1043">
        <v>27.98</v>
      </c>
      <c r="F7188" s="1043"/>
      <c r="G7188" s="1550"/>
    </row>
    <row r="7189" spans="1:7" ht="12.75" customHeight="1">
      <c r="A7189" s="1754">
        <v>44891</v>
      </c>
      <c r="B7189" s="125" t="str">
        <f>TiposLancamentos!B19</f>
        <v>Restaurantes</v>
      </c>
      <c r="C7189" s="1040" t="s">
        <v>8764</v>
      </c>
      <c r="D7189" s="1736"/>
      <c r="E7189" s="1043">
        <v>81</v>
      </c>
      <c r="F7189" s="1043"/>
      <c r="G7189" s="1550"/>
    </row>
    <row r="7190" spans="1:7" ht="12.75" customHeight="1">
      <c r="A7190" s="1754">
        <v>44891</v>
      </c>
      <c r="B7190" s="125" t="str">
        <f>TiposLancamentos!B13</f>
        <v>Moradia</v>
      </c>
      <c r="C7190" s="1040" t="s">
        <v>8765</v>
      </c>
      <c r="D7190" s="1736"/>
      <c r="E7190" s="1043">
        <v>389</v>
      </c>
      <c r="F7190" s="1043"/>
      <c r="G7190" s="1550"/>
    </row>
    <row r="7191" spans="1:7" ht="12.75" customHeight="1">
      <c r="A7191" s="1754">
        <v>44891</v>
      </c>
      <c r="B7191" s="125" t="str">
        <f>TiposLancamentos!B19</f>
        <v>Restaurantes</v>
      </c>
      <c r="C7191" s="1040" t="s">
        <v>8766</v>
      </c>
      <c r="D7191" s="1736"/>
      <c r="E7191" s="1043">
        <v>48</v>
      </c>
      <c r="F7191" s="1043"/>
      <c r="G7191" s="1550"/>
    </row>
    <row r="7192" spans="1:7" ht="12.75" customHeight="1">
      <c r="A7192" s="1754">
        <v>44891</v>
      </c>
      <c r="B7192" s="125" t="str">
        <f>TiposLancamentos!B24</f>
        <v>Estacionamentos</v>
      </c>
      <c r="C7192" s="1040" t="s">
        <v>3398</v>
      </c>
      <c r="D7192" s="1736"/>
      <c r="E7192" s="1043">
        <v>13</v>
      </c>
      <c r="F7192" s="1043"/>
      <c r="G7192" s="1550"/>
    </row>
    <row r="7193" spans="1:7" ht="12.75" customHeight="1">
      <c r="A7193" s="1754">
        <v>44892</v>
      </c>
      <c r="B7193" s="125" t="str">
        <f>B7191</f>
        <v>Restaurantes</v>
      </c>
      <c r="C7193" s="1040" t="s">
        <v>8767</v>
      </c>
      <c r="D7193" s="1736"/>
      <c r="E7193" s="1043">
        <v>102.5</v>
      </c>
      <c r="F7193" s="1043"/>
      <c r="G7193" s="1550"/>
    </row>
    <row r="7194" spans="1:7" ht="12.75" customHeight="1">
      <c r="A7194" s="1754">
        <v>44894</v>
      </c>
      <c r="B7194" s="125" t="str">
        <f>TiposLancamentos!B22</f>
        <v>Combustivel</v>
      </c>
      <c r="C7194" s="1040" t="s">
        <v>1880</v>
      </c>
      <c r="D7194" s="1736"/>
      <c r="E7194" s="1043">
        <v>150.47</v>
      </c>
      <c r="F7194" s="1043"/>
      <c r="G7194" s="1550"/>
    </row>
    <row r="7195" spans="1:7" ht="12" customHeight="1">
      <c r="A7195" s="1754">
        <v>44894</v>
      </c>
      <c r="B7195" s="125" t="str">
        <f>TiposLancamentos!B24</f>
        <v>Estacionamentos</v>
      </c>
      <c r="C7195" s="1040" t="s">
        <v>8753</v>
      </c>
      <c r="D7195" s="1736"/>
      <c r="E7195" s="1043">
        <v>10</v>
      </c>
      <c r="F7195" s="1043"/>
      <c r="G7195" s="1550"/>
    </row>
    <row r="7196" spans="1:7" ht="12.75" customHeight="1">
      <c r="A7196" s="1754">
        <v>44895</v>
      </c>
      <c r="B7196" s="125" t="str">
        <f>TiposLancamentos!B95</f>
        <v>Salarios</v>
      </c>
      <c r="C7196" s="1040" t="s">
        <v>8744</v>
      </c>
      <c r="D7196" s="1736">
        <v>10067.26</v>
      </c>
      <c r="E7196" s="1043"/>
      <c r="F7196" s="1043"/>
      <c r="G7196" s="1550"/>
    </row>
    <row r="7197" spans="1:7" ht="12.75" customHeight="1">
      <c r="A7197" s="1754">
        <v>44895</v>
      </c>
      <c r="B7197" s="125" t="str">
        <f>TiposLancamentos!B46</f>
        <v>Maçonaria</v>
      </c>
      <c r="C7197" s="1040" t="s">
        <v>8768</v>
      </c>
      <c r="D7197" s="1736"/>
      <c r="E7197" s="1043">
        <v>230</v>
      </c>
      <c r="F7197" s="1043"/>
      <c r="G7197" s="1550"/>
    </row>
    <row r="7198" spans="1:7" ht="12.75" customHeight="1">
      <c r="A7198" s="1754">
        <v>44895</v>
      </c>
      <c r="B7198" s="125" t="str">
        <f>TiposLancamentos!B24</f>
        <v>Estacionamentos</v>
      </c>
      <c r="C7198" s="1040" t="s">
        <v>8769</v>
      </c>
      <c r="D7198" s="1736"/>
      <c r="E7198" s="1043">
        <v>10</v>
      </c>
      <c r="F7198" s="1043"/>
      <c r="G7198" s="1550"/>
    </row>
    <row r="7199" spans="1:7" ht="12.75" customHeight="1">
      <c r="A7199" s="1754">
        <v>44895</v>
      </c>
      <c r="B7199" s="125" t="str">
        <f>TiposLancamentos!B5</f>
        <v>Supermercado</v>
      </c>
      <c r="C7199" s="1040" t="s">
        <v>8770</v>
      </c>
      <c r="D7199" s="1736"/>
      <c r="E7199" s="1043">
        <v>89.94</v>
      </c>
      <c r="F7199" s="1043"/>
      <c r="G7199" s="1550"/>
    </row>
    <row r="7200" spans="1:7" ht="12.75" customHeight="1" thickBot="1">
      <c r="A7200" s="1754">
        <v>44895</v>
      </c>
      <c r="B7200" s="125" t="str">
        <f>TiposLancamentos!B19</f>
        <v>Restaurantes</v>
      </c>
      <c r="C7200" s="1040" t="s">
        <v>8771</v>
      </c>
      <c r="D7200" s="1736"/>
      <c r="E7200" s="1043">
        <v>76</v>
      </c>
      <c r="F7200" s="1043"/>
      <c r="G7200" s="1550"/>
    </row>
    <row r="7201" spans="1:7" ht="12.75" customHeight="1">
      <c r="A7201" s="1834"/>
      <c r="B7201" s="977"/>
      <c r="C7201" s="1854" t="s">
        <v>1617</v>
      </c>
      <c r="D7201" s="1823"/>
      <c r="E7201" s="1821"/>
      <c r="F7201" s="1821"/>
      <c r="G7201" s="1895"/>
    </row>
    <row r="7202" spans="1:7" ht="12.75" customHeight="1">
      <c r="A7202" s="1754">
        <v>44896</v>
      </c>
      <c r="B7202" s="125" t="str">
        <f>TiposLancamentos!B15</f>
        <v>Cartões de Crédito</v>
      </c>
      <c r="C7202" s="1040" t="s">
        <v>8016</v>
      </c>
      <c r="D7202" s="1736"/>
      <c r="E7202" s="1043">
        <v>289.91000000000003</v>
      </c>
      <c r="F7202" s="1043"/>
      <c r="G7202" s="1550"/>
    </row>
    <row r="7203" spans="1:7" ht="12.75" customHeight="1">
      <c r="A7203" s="1754">
        <v>44896</v>
      </c>
      <c r="B7203" s="125" t="str">
        <f>TiposLancamentos!B15</f>
        <v>Cartões de Crédito</v>
      </c>
      <c r="C7203" s="1040" t="s">
        <v>8252</v>
      </c>
      <c r="D7203" s="1736"/>
      <c r="E7203" s="1043">
        <v>703.22</v>
      </c>
      <c r="F7203" s="1043"/>
      <c r="G7203" s="1550"/>
    </row>
    <row r="7204" spans="1:7" ht="12.75" customHeight="1">
      <c r="A7204" s="1754">
        <v>44896</v>
      </c>
      <c r="B7204" s="125" t="str">
        <f>TiposLancamentos!B15</f>
        <v>Cartões de Crédito</v>
      </c>
      <c r="C7204" s="1040" t="s">
        <v>8772</v>
      </c>
      <c r="D7204" s="1736"/>
      <c r="E7204" s="1043">
        <v>41.14</v>
      </c>
      <c r="F7204" s="1043"/>
      <c r="G7204" s="1550"/>
    </row>
    <row r="7205" spans="1:7" ht="12.75" customHeight="1">
      <c r="A7205" s="1754">
        <v>44896</v>
      </c>
      <c r="B7205" s="125" t="str">
        <f>TiposLancamentos!B15</f>
        <v>Cartões de Crédito</v>
      </c>
      <c r="C7205" s="1040" t="s">
        <v>8773</v>
      </c>
      <c r="D7205" s="1736"/>
      <c r="E7205" s="1043">
        <v>1899.94</v>
      </c>
      <c r="F7205" s="1043"/>
      <c r="G7205" s="1550"/>
    </row>
    <row r="7206" spans="1:7" ht="12.75" customHeight="1">
      <c r="A7206" s="1754">
        <v>44896</v>
      </c>
      <c r="B7206" s="125" t="str">
        <f>TiposLancamentos!B14</f>
        <v>Gás de cozinha</v>
      </c>
      <c r="C7206" s="1040" t="s">
        <v>7496</v>
      </c>
      <c r="D7206" s="1736"/>
      <c r="E7206" s="1043">
        <v>63.19</v>
      </c>
      <c r="F7206" s="1043"/>
      <c r="G7206" s="1550"/>
    </row>
    <row r="7207" spans="1:7" ht="12.75" customHeight="1">
      <c r="A7207" s="1754">
        <v>44896</v>
      </c>
      <c r="B7207" s="125" t="str">
        <f>TiposLancamentos!B24</f>
        <v>Estacionamentos</v>
      </c>
      <c r="C7207" s="1040" t="s">
        <v>8753</v>
      </c>
      <c r="D7207" s="1736"/>
      <c r="E7207" s="1043">
        <v>10</v>
      </c>
      <c r="F7207" s="1043"/>
      <c r="G7207" s="1550"/>
    </row>
    <row r="7208" spans="1:7" ht="12.75" customHeight="1">
      <c r="A7208" s="1754">
        <v>44897</v>
      </c>
      <c r="B7208" s="125" t="str">
        <f>TiposLancamentos!B105</f>
        <v>Transf. Bco</v>
      </c>
      <c r="C7208" s="1040" t="s">
        <v>8714</v>
      </c>
      <c r="D7208" s="1736"/>
      <c r="E7208" s="1043">
        <v>3099.71</v>
      </c>
      <c r="F7208" s="1043"/>
      <c r="G7208" s="1550"/>
    </row>
    <row r="7209" spans="1:7" ht="12.75" customHeight="1">
      <c r="A7209" s="1754">
        <v>44897</v>
      </c>
      <c r="B7209" s="125" t="str">
        <f>TiposLancamentos!B103</f>
        <v>Juros_Corr. Poupança</v>
      </c>
      <c r="C7209" s="1040" t="s">
        <v>8774</v>
      </c>
      <c r="D7209" s="1736">
        <v>0.02</v>
      </c>
      <c r="E7209" s="1043"/>
      <c r="F7209" s="1043"/>
      <c r="G7209" s="1550"/>
    </row>
    <row r="7210" spans="1:7" ht="12.75" customHeight="1">
      <c r="A7210" s="1754">
        <v>44897</v>
      </c>
      <c r="B7210" s="125" t="str">
        <f>TiposLancamentos!B4</f>
        <v>Taxas Bancarias</v>
      </c>
      <c r="C7210" s="1040" t="s">
        <v>5996</v>
      </c>
      <c r="D7210" s="1736"/>
      <c r="E7210" s="1043">
        <v>5.43</v>
      </c>
      <c r="F7210" s="1043"/>
      <c r="G7210" s="1550"/>
    </row>
    <row r="7211" spans="1:7" ht="12.75" customHeight="1">
      <c r="A7211" s="1754">
        <v>44897</v>
      </c>
      <c r="B7211" s="125" t="str">
        <f>TiposLancamentos!B4</f>
        <v>Taxas Bancarias</v>
      </c>
      <c r="C7211" s="1040" t="s">
        <v>8775</v>
      </c>
      <c r="D7211" s="1736"/>
      <c r="E7211" s="1043">
        <v>5.9</v>
      </c>
      <c r="F7211" s="1043"/>
      <c r="G7211" s="1550"/>
    </row>
    <row r="7212" spans="1:7" ht="12.75" customHeight="1">
      <c r="A7212" s="1754">
        <v>44897</v>
      </c>
      <c r="B7212" s="125" t="str">
        <f>TiposLancamentos!B13</f>
        <v>Moradia</v>
      </c>
      <c r="C7212" s="1040" t="s">
        <v>8733</v>
      </c>
      <c r="D7212" s="1736"/>
      <c r="E7212" s="1043">
        <v>14</v>
      </c>
      <c r="F7212" s="1043"/>
      <c r="G7212" s="1550"/>
    </row>
    <row r="7213" spans="1:7" ht="12.75" customHeight="1">
      <c r="A7213" s="1754">
        <v>44897</v>
      </c>
      <c r="B7213" s="125" t="str">
        <f>TiposLancamentos!B37</f>
        <v>Playstation 3</v>
      </c>
      <c r="C7213" s="1858" t="s">
        <v>8776</v>
      </c>
      <c r="D7213" s="1736"/>
      <c r="E7213" s="1043">
        <v>195.8</v>
      </c>
      <c r="F7213" s="1043"/>
      <c r="G7213" s="1550"/>
    </row>
    <row r="7214" spans="1:7" ht="12.75" customHeight="1">
      <c r="A7214" s="1754">
        <v>44899</v>
      </c>
      <c r="B7214" s="125" t="str">
        <f>TiposLancamentos!B5</f>
        <v>Supermercado</v>
      </c>
      <c r="C7214" s="1040" t="s">
        <v>8777</v>
      </c>
      <c r="D7214" s="1736"/>
      <c r="E7214" s="1043">
        <v>182.49</v>
      </c>
      <c r="F7214" s="1043"/>
      <c r="G7214" s="1550"/>
    </row>
    <row r="7215" spans="1:7" ht="12.75" customHeight="1">
      <c r="A7215" s="1754">
        <v>44900</v>
      </c>
      <c r="B7215" s="125" t="str">
        <f>TiposLancamentos!B4</f>
        <v>Taxas Bancarias</v>
      </c>
      <c r="C7215" s="1040" t="s">
        <v>8778</v>
      </c>
      <c r="D7215" s="1736"/>
      <c r="E7215" s="1043">
        <v>12.2</v>
      </c>
      <c r="F7215" s="1043"/>
      <c r="G7215" s="1550"/>
    </row>
    <row r="7216" spans="1:7" ht="12.75" customHeight="1">
      <c r="A7216" s="1754">
        <v>44900</v>
      </c>
      <c r="B7216" s="125" t="str">
        <f>TiposLancamentos!B88</f>
        <v>Ford Ecosport XLT</v>
      </c>
      <c r="C7216" s="1040" t="s">
        <v>8779</v>
      </c>
      <c r="D7216" s="1736"/>
      <c r="E7216" s="1043">
        <v>96</v>
      </c>
      <c r="F7216" s="1043"/>
      <c r="G7216" s="1550"/>
    </row>
    <row r="7217" spans="1:7" ht="12.75" customHeight="1">
      <c r="A7217" s="1754">
        <v>44901</v>
      </c>
      <c r="B7217" s="125" t="str">
        <f>TiposLancamentos!B4</f>
        <v>Taxas Bancarias</v>
      </c>
      <c r="C7217" s="1040" t="s">
        <v>7789</v>
      </c>
      <c r="D7217" s="1736"/>
      <c r="E7217" s="1043">
        <v>2</v>
      </c>
      <c r="F7217" s="1043"/>
      <c r="G7217" s="1550"/>
    </row>
    <row r="7218" spans="1:7" ht="12.75" customHeight="1">
      <c r="A7218" s="1754">
        <v>44901</v>
      </c>
      <c r="B7218" s="125" t="str">
        <f>TiposLancamentos!B19</f>
        <v>Restaurantes</v>
      </c>
      <c r="C7218" s="1040" t="s">
        <v>8472</v>
      </c>
      <c r="D7218" s="1736"/>
      <c r="E7218" s="1043">
        <v>40</v>
      </c>
      <c r="F7218" s="1043"/>
      <c r="G7218" s="1550"/>
    </row>
    <row r="7219" spans="1:7" ht="12.75" customHeight="1">
      <c r="A7219" s="1754">
        <v>44902</v>
      </c>
      <c r="B7219" s="125" t="str">
        <f>TiposLancamentos!B24</f>
        <v>Estacionamentos</v>
      </c>
      <c r="C7219" s="1040" t="s">
        <v>8753</v>
      </c>
      <c r="D7219" s="1736"/>
      <c r="E7219" s="1043">
        <v>10</v>
      </c>
      <c r="F7219" s="1043"/>
      <c r="G7219" s="1550"/>
    </row>
    <row r="7220" spans="1:7" ht="12.75" customHeight="1">
      <c r="A7220" s="1754">
        <v>44902</v>
      </c>
      <c r="B7220" s="125" t="str">
        <f>TiposLancamentos!B17</f>
        <v>GATO</v>
      </c>
      <c r="C7220" s="1040" t="s">
        <v>8780</v>
      </c>
      <c r="D7220" s="1736"/>
      <c r="E7220" s="1043">
        <v>33</v>
      </c>
      <c r="F7220" s="1043"/>
      <c r="G7220" s="1550"/>
    </row>
    <row r="7221" spans="1:7" ht="12.75" customHeight="1">
      <c r="A7221" s="1754">
        <v>44903</v>
      </c>
      <c r="B7221" s="125" t="str">
        <f>TiposLancamentos!B22</f>
        <v>Combustivel</v>
      </c>
      <c r="C7221" s="1040" t="s">
        <v>8781</v>
      </c>
      <c r="D7221" s="1736"/>
      <c r="E7221" s="1043">
        <v>150</v>
      </c>
      <c r="F7221" s="1043"/>
      <c r="G7221" s="1550"/>
    </row>
    <row r="7222" spans="1:7" ht="12.75" customHeight="1">
      <c r="A7222" s="1754">
        <v>44903</v>
      </c>
      <c r="B7222" s="125" t="str">
        <f>TiposLancamentos!B19</f>
        <v>Restaurantes</v>
      </c>
      <c r="C7222" s="1040" t="s">
        <v>8782</v>
      </c>
      <c r="D7222" s="1736"/>
      <c r="E7222" s="1043">
        <v>16.7</v>
      </c>
      <c r="F7222" s="1043"/>
      <c r="G7222" s="1550"/>
    </row>
    <row r="7223" spans="1:7" ht="12.75" customHeight="1">
      <c r="A7223" s="1754">
        <v>44903</v>
      </c>
      <c r="B7223" s="125" t="str">
        <f>TiposLancamentos!B24</f>
        <v>Estacionamentos</v>
      </c>
      <c r="C7223" s="1040" t="s">
        <v>8753</v>
      </c>
      <c r="D7223" s="1736"/>
      <c r="E7223" s="1043">
        <v>10</v>
      </c>
      <c r="F7223" s="1043"/>
      <c r="G7223" s="1550"/>
    </row>
    <row r="7224" spans="1:7" ht="12.75" customHeight="1">
      <c r="A7224" s="1754">
        <v>44903</v>
      </c>
      <c r="B7224" s="125" t="str">
        <f>TiposLancamentos!B103</f>
        <v>Juros_Corr. Poupança</v>
      </c>
      <c r="C7224" s="1040" t="s">
        <v>8774</v>
      </c>
      <c r="D7224" s="1736">
        <v>0.03</v>
      </c>
      <c r="E7224" s="1043"/>
      <c r="F7224" s="1043"/>
      <c r="G7224" s="1550"/>
    </row>
    <row r="7225" spans="1:7" ht="12.75" customHeight="1">
      <c r="A7225" s="1754">
        <v>44904</v>
      </c>
      <c r="B7225" s="125" t="str">
        <f>TiposLancamentos!B13</f>
        <v>Moradia</v>
      </c>
      <c r="C7225" s="1040" t="s">
        <v>8783</v>
      </c>
      <c r="D7225" s="1736"/>
      <c r="E7225" s="1043">
        <v>14</v>
      </c>
      <c r="F7225" s="1043"/>
      <c r="G7225" s="1550"/>
    </row>
    <row r="7226" spans="1:7" ht="12.75" customHeight="1">
      <c r="A7226" s="1754">
        <v>44904</v>
      </c>
      <c r="B7226" s="125" t="str">
        <f>TiposLancamentos!B105</f>
        <v>Transf. Bco</v>
      </c>
      <c r="C7226" s="1040" t="s">
        <v>8784</v>
      </c>
      <c r="D7226" s="1736"/>
      <c r="E7226" s="1043">
        <v>0.93</v>
      </c>
      <c r="F7226" s="1043"/>
      <c r="G7226" s="1550"/>
    </row>
    <row r="7227" spans="1:7" ht="12.75" customHeight="1">
      <c r="A7227" s="1754">
        <v>44904</v>
      </c>
      <c r="B7227" s="125" t="str">
        <f>TiposLancamentos!B24</f>
        <v>Estacionamentos</v>
      </c>
      <c r="C7227" s="1040" t="s">
        <v>8785</v>
      </c>
      <c r="D7227" s="1736"/>
      <c r="E7227" s="1043">
        <v>15</v>
      </c>
      <c r="F7227" s="1043"/>
      <c r="G7227" s="1550"/>
    </row>
    <row r="7228" spans="1:7" ht="12.75" customHeight="1">
      <c r="A7228" s="1754">
        <v>44904</v>
      </c>
      <c r="B7228" s="125" t="str">
        <f>TiposLancamentos!B19</f>
        <v>Restaurantes</v>
      </c>
      <c r="C7228" s="1040" t="s">
        <v>1967</v>
      </c>
      <c r="D7228" s="1736"/>
      <c r="E7228" s="1043">
        <v>18.7</v>
      </c>
      <c r="F7228" s="1043"/>
      <c r="G7228" s="1550"/>
    </row>
    <row r="7229" spans="1:7" ht="12.75" customHeight="1">
      <c r="A7229" s="1754">
        <v>44905</v>
      </c>
      <c r="B7229" s="125" t="str">
        <f>TiposLancamentos!B67</f>
        <v>Lavanderia</v>
      </c>
      <c r="C7229" s="1040" t="s">
        <v>8786</v>
      </c>
      <c r="D7229" s="1736"/>
      <c r="E7229" s="1043">
        <v>64</v>
      </c>
      <c r="F7229" s="1043"/>
      <c r="G7229" s="1550"/>
    </row>
    <row r="7230" spans="1:7" ht="12.75" customHeight="1">
      <c r="A7230" s="1754">
        <v>44905</v>
      </c>
      <c r="B7230" s="125" t="str">
        <f>TiposLancamentos!B46</f>
        <v>Maçonaria</v>
      </c>
      <c r="C7230" s="1040" t="s">
        <v>8787</v>
      </c>
      <c r="D7230" s="1736"/>
      <c r="E7230" s="1043">
        <v>200</v>
      </c>
      <c r="F7230" s="1043"/>
      <c r="G7230" s="1550"/>
    </row>
    <row r="7231" spans="1:7" ht="12.75" customHeight="1">
      <c r="A7231" s="1754">
        <v>44905</v>
      </c>
      <c r="B7231" s="125" t="str">
        <f>TiposLancamentos!B19</f>
        <v>Restaurantes</v>
      </c>
      <c r="C7231" s="1040" t="s">
        <v>8788</v>
      </c>
      <c r="D7231" s="1736"/>
      <c r="E7231" s="1043">
        <v>76</v>
      </c>
      <c r="F7231" s="1043"/>
      <c r="G7231" s="1550"/>
    </row>
    <row r="7232" spans="1:7" ht="12.75" customHeight="1">
      <c r="A7232" s="1754">
        <v>44906</v>
      </c>
      <c r="B7232" s="125" t="str">
        <f>TiposLancamentos!B5</f>
        <v>Supermercado</v>
      </c>
      <c r="C7232" s="1040" t="s">
        <v>8789</v>
      </c>
      <c r="D7232" s="1736"/>
      <c r="E7232" s="1043">
        <v>353.19</v>
      </c>
      <c r="F7232" s="1043"/>
      <c r="G7232" s="1550"/>
    </row>
    <row r="7233" spans="1:7" ht="12.75" customHeight="1">
      <c r="A7233" s="1666">
        <v>44907</v>
      </c>
      <c r="B7233" s="817" t="str">
        <f>TiposLancamentos!B37</f>
        <v>Playstation 3</v>
      </c>
      <c r="C7233" s="1742" t="s">
        <v>8790</v>
      </c>
      <c r="D7233" s="1735"/>
      <c r="E7233" s="1733">
        <v>73.989999999999995</v>
      </c>
      <c r="F7233" s="1346"/>
      <c r="G7233" s="1550"/>
    </row>
    <row r="7234" spans="1:7" ht="12.75" customHeight="1">
      <c r="A7234" s="1750">
        <v>44907</v>
      </c>
      <c r="B7234" s="818" t="str">
        <f>TiposLancamentos!B37</f>
        <v>Playstation 3</v>
      </c>
      <c r="C7234" s="1743" t="s">
        <v>8791</v>
      </c>
      <c r="D7234" s="1737"/>
      <c r="E7234" s="1668">
        <f>F7234/2</f>
        <v>73.989999999999995</v>
      </c>
      <c r="F7234" s="1291">
        <v>147.97999999999999</v>
      </c>
      <c r="G7234" s="1550"/>
    </row>
    <row r="7235" spans="1:7" ht="12.75" customHeight="1">
      <c r="A7235" s="1754">
        <v>44907</v>
      </c>
      <c r="B7235" s="125" t="str">
        <f>TiposLancamentos!B24</f>
        <v>Estacionamentos</v>
      </c>
      <c r="C7235" s="1040" t="s">
        <v>8753</v>
      </c>
      <c r="D7235" s="1736"/>
      <c r="E7235" s="1043">
        <v>10</v>
      </c>
      <c r="F7235" s="1043"/>
      <c r="G7235" s="1550"/>
    </row>
    <row r="7236" spans="1:7" ht="12.75" customHeight="1">
      <c r="A7236" s="1754">
        <v>44907</v>
      </c>
      <c r="B7236" s="125" t="str">
        <f>TiposLancamentos!B103</f>
        <v>Juros_Corr. Poupança</v>
      </c>
      <c r="C7236" s="1040" t="s">
        <v>8774</v>
      </c>
      <c r="D7236" s="1736">
        <v>0.02</v>
      </c>
      <c r="E7236" s="1043"/>
      <c r="F7236" s="1043"/>
      <c r="G7236" s="1550"/>
    </row>
    <row r="7237" spans="1:7" ht="12.75" customHeight="1">
      <c r="A7237" s="1754">
        <v>44909</v>
      </c>
      <c r="B7237" s="125" t="str">
        <f>TiposLancamentos!B65</f>
        <v>Taxi</v>
      </c>
      <c r="C7237" s="1040" t="s">
        <v>8792</v>
      </c>
      <c r="D7237" s="1736"/>
      <c r="E7237" s="1043">
        <v>16.95</v>
      </c>
      <c r="F7237" s="1043"/>
      <c r="G7237" s="1550"/>
    </row>
    <row r="7238" spans="1:7" ht="12.75" customHeight="1">
      <c r="A7238" s="1754">
        <v>44909</v>
      </c>
      <c r="B7238" s="125" t="str">
        <f>TiposLancamentos!B65</f>
        <v>Taxi</v>
      </c>
      <c r="C7238" s="1040" t="s">
        <v>8793</v>
      </c>
      <c r="D7238" s="1736"/>
      <c r="E7238" s="1043">
        <v>26.98</v>
      </c>
      <c r="F7238" s="1043"/>
      <c r="G7238" s="1550"/>
    </row>
    <row r="7239" spans="1:7" ht="12.75" customHeight="1">
      <c r="A7239" s="1754">
        <v>44909</v>
      </c>
      <c r="B7239" s="125" t="str">
        <f>TiposLancamentos!B24</f>
        <v>Estacionamentos</v>
      </c>
      <c r="C7239" s="1040" t="s">
        <v>8753</v>
      </c>
      <c r="D7239" s="1736"/>
      <c r="E7239" s="1043">
        <v>10</v>
      </c>
      <c r="F7239" s="1043"/>
      <c r="G7239" s="1550"/>
    </row>
    <row r="7240" spans="1:7" ht="12.75" customHeight="1">
      <c r="A7240" s="1754">
        <v>44910</v>
      </c>
      <c r="B7240" s="125" t="str">
        <f>TiposLancamentos!B56</f>
        <v>Farmácia</v>
      </c>
      <c r="C7240" s="1040" t="s">
        <v>8794</v>
      </c>
      <c r="D7240" s="1736"/>
      <c r="E7240" s="1043">
        <v>161.35</v>
      </c>
      <c r="F7240" s="1043"/>
      <c r="G7240" s="1550"/>
    </row>
    <row r="7241" spans="1:7" ht="12.75" customHeight="1">
      <c r="A7241" s="1754">
        <v>44910</v>
      </c>
      <c r="B7241" s="125" t="str">
        <f>TiposLancamentos!B22</f>
        <v>Combustivel</v>
      </c>
      <c r="C7241" s="1040" t="s">
        <v>8795</v>
      </c>
      <c r="D7241" s="1736"/>
      <c r="E7241" s="1043">
        <v>100</v>
      </c>
      <c r="F7241" s="1043"/>
      <c r="G7241" s="1550"/>
    </row>
    <row r="7242" spans="1:7" ht="12.75" customHeight="1">
      <c r="A7242" s="1754">
        <v>44910</v>
      </c>
      <c r="B7242" s="125" t="str">
        <f>TiposLancamentos!B16</f>
        <v>Cristiane</v>
      </c>
      <c r="C7242" s="1040" t="s">
        <v>8796</v>
      </c>
      <c r="D7242" s="1736">
        <v>100.16</v>
      </c>
      <c r="E7242" s="1043"/>
      <c r="F7242" s="1043"/>
      <c r="G7242" s="1550"/>
    </row>
    <row r="7243" spans="1:7" ht="12.75" customHeight="1">
      <c r="A7243" s="1754">
        <v>44910</v>
      </c>
      <c r="B7243" s="125" t="str">
        <f>TiposLancamentos!B24</f>
        <v>Estacionamentos</v>
      </c>
      <c r="C7243" s="1040" t="s">
        <v>8753</v>
      </c>
      <c r="D7243" s="1736"/>
      <c r="E7243" s="1043">
        <v>10</v>
      </c>
      <c r="F7243" s="1043"/>
      <c r="G7243" s="1550"/>
    </row>
    <row r="7244" spans="1:7" ht="12.75" customHeight="1">
      <c r="A7244" s="1754">
        <v>44910</v>
      </c>
      <c r="B7244" s="116"/>
      <c r="C7244" s="1040" t="s">
        <v>1868</v>
      </c>
      <c r="D7244" s="1736">
        <v>0</v>
      </c>
      <c r="E7244" s="1043">
        <v>0</v>
      </c>
      <c r="F7244" s="1664"/>
      <c r="G7244" s="1550"/>
    </row>
    <row r="7245" spans="1:7" ht="12.75" customHeight="1">
      <c r="A7245" s="1666">
        <v>44910</v>
      </c>
      <c r="B7245" s="817" t="str">
        <f>TiposLancamentos!B35</f>
        <v>Tv à Cabo</v>
      </c>
      <c r="C7245" s="1742" t="s">
        <v>5834</v>
      </c>
      <c r="D7245" s="1735"/>
      <c r="E7245" s="1733">
        <f>F7247-(E7246+E7247)</f>
        <v>147.34999999999997</v>
      </c>
      <c r="F7245" s="1290"/>
      <c r="G7245" s="1550"/>
    </row>
    <row r="7246" spans="1:7" ht="12.75" customHeight="1">
      <c r="A7246" s="1667">
        <v>44910</v>
      </c>
      <c r="B7246" s="816" t="str">
        <f>TiposLancamentos!B3</f>
        <v>Internet</v>
      </c>
      <c r="C7246" s="1769" t="s">
        <v>5835</v>
      </c>
      <c r="D7246" s="1736"/>
      <c r="E7246" s="1734">
        <v>143.43</v>
      </c>
      <c r="F7246" s="1043"/>
      <c r="G7246" s="1550"/>
    </row>
    <row r="7247" spans="1:7" ht="12.75" customHeight="1">
      <c r="A7247" s="1750">
        <v>44910</v>
      </c>
      <c r="B7247" s="818" t="str">
        <f>TiposLancamentos!B2</f>
        <v>Telefonia</v>
      </c>
      <c r="C7247" s="1743" t="s">
        <v>7210</v>
      </c>
      <c r="D7247" s="1737"/>
      <c r="E7247" s="1668">
        <v>0</v>
      </c>
      <c r="F7247" s="1291">
        <v>290.77999999999997</v>
      </c>
      <c r="G7247" s="1550"/>
    </row>
    <row r="7248" spans="1:7" ht="12.75" customHeight="1">
      <c r="A7248" s="1754">
        <v>44910</v>
      </c>
      <c r="B7248" s="116"/>
      <c r="C7248" s="1040" t="s">
        <v>1868</v>
      </c>
      <c r="D7248" s="1736">
        <v>0</v>
      </c>
      <c r="E7248" s="1043">
        <v>0</v>
      </c>
      <c r="F7248" s="1656"/>
      <c r="G7248" s="1550"/>
    </row>
    <row r="7249" spans="1:7" ht="12.75" customHeight="1">
      <c r="A7249" s="1666">
        <v>44910</v>
      </c>
      <c r="B7249" s="817" t="str">
        <f>TiposLancamentos!B33</f>
        <v>Pedágios</v>
      </c>
      <c r="C7249" s="1742" t="s">
        <v>5392</v>
      </c>
      <c r="D7249" s="1735">
        <v>0</v>
      </c>
      <c r="E7249" s="1733">
        <f>F7251-(E7250+E7251)</f>
        <v>75.72</v>
      </c>
      <c r="F7249" s="1290"/>
      <c r="G7249" s="1550"/>
    </row>
    <row r="7250" spans="1:7" ht="12.75" customHeight="1">
      <c r="A7250" s="1667">
        <v>44910</v>
      </c>
      <c r="B7250" s="816" t="str">
        <f>TiposLancamentos!B24</f>
        <v>Estacionamentos</v>
      </c>
      <c r="C7250" s="1769" t="s">
        <v>7366</v>
      </c>
      <c r="D7250" s="1736"/>
      <c r="E7250" s="1734">
        <v>13</v>
      </c>
      <c r="F7250" s="1043"/>
      <c r="G7250" s="1550"/>
    </row>
    <row r="7251" spans="1:7" ht="12.75" customHeight="1">
      <c r="A7251" s="1750">
        <v>44910</v>
      </c>
      <c r="B7251" s="818" t="str">
        <f>TiposLancamentos!B24</f>
        <v>Estacionamentos</v>
      </c>
      <c r="C7251" s="1743" t="s">
        <v>6297</v>
      </c>
      <c r="D7251" s="1737"/>
      <c r="E7251" s="1668">
        <v>0</v>
      </c>
      <c r="F7251" s="1347">
        <v>88.72</v>
      </c>
      <c r="G7251" s="1550"/>
    </row>
    <row r="7252" spans="1:7" ht="12.75" customHeight="1">
      <c r="A7252" s="1754">
        <v>44910</v>
      </c>
      <c r="B7252" s="116"/>
      <c r="C7252" s="1040" t="s">
        <v>1868</v>
      </c>
      <c r="D7252" s="1736">
        <v>0</v>
      </c>
      <c r="E7252" s="1043">
        <v>0</v>
      </c>
      <c r="F7252" s="1043"/>
      <c r="G7252" s="1550"/>
    </row>
    <row r="7253" spans="1:7" ht="12.75" customHeight="1">
      <c r="A7253" s="1754">
        <v>44910</v>
      </c>
      <c r="B7253" s="125" t="str">
        <f>TiposLancamentos!B2</f>
        <v>Telefonia</v>
      </c>
      <c r="C7253" s="1040" t="s">
        <v>8797</v>
      </c>
      <c r="D7253" s="1736"/>
      <c r="E7253" s="1043">
        <v>59.8</v>
      </c>
      <c r="F7253" s="1043"/>
      <c r="G7253" s="1550"/>
    </row>
    <row r="7254" spans="1:7" ht="12.75" customHeight="1">
      <c r="A7254" s="1754">
        <v>44911</v>
      </c>
      <c r="B7254" s="125" t="str">
        <f>TiposLancamentos!B19</f>
        <v>Restaurantes</v>
      </c>
      <c r="C7254" s="1040" t="s">
        <v>8798</v>
      </c>
      <c r="D7254" s="1736"/>
      <c r="E7254" s="1043">
        <v>111.38</v>
      </c>
      <c r="F7254" s="1043"/>
      <c r="G7254" s="1550"/>
    </row>
    <row r="7255" spans="1:7" ht="12.75" customHeight="1">
      <c r="A7255" s="1754">
        <v>44912</v>
      </c>
      <c r="B7255" s="125" t="str">
        <f>TiposLancamentos!B98</f>
        <v>Restituições</v>
      </c>
      <c r="C7255" s="1040" t="s">
        <v>8799</v>
      </c>
      <c r="D7255" s="1736">
        <v>147.97999999999999</v>
      </c>
      <c r="E7255" s="1043"/>
      <c r="F7255" s="1043"/>
      <c r="G7255" s="1550"/>
    </row>
    <row r="7256" spans="1:7" ht="12.75" customHeight="1">
      <c r="A7256" s="1754">
        <v>44912</v>
      </c>
      <c r="B7256" s="125" t="str">
        <f>TiposLancamentos!B19</f>
        <v>Restaurantes</v>
      </c>
      <c r="C7256" s="1040" t="s">
        <v>8800</v>
      </c>
      <c r="D7256" s="1736"/>
      <c r="E7256" s="1043">
        <v>35.64</v>
      </c>
      <c r="F7256" s="1043"/>
      <c r="G7256" s="1550"/>
    </row>
    <row r="7257" spans="1:7" ht="12.75" customHeight="1">
      <c r="A7257" s="1754">
        <v>44912</v>
      </c>
      <c r="B7257" s="125" t="str">
        <f>TiposLancamentos!B24</f>
        <v>Estacionamentos</v>
      </c>
      <c r="C7257" s="1040" t="s">
        <v>2014</v>
      </c>
      <c r="D7257" s="1736"/>
      <c r="E7257" s="1043">
        <v>13</v>
      </c>
      <c r="F7257" s="1043"/>
      <c r="G7257" s="1550"/>
    </row>
    <row r="7258" spans="1:7" ht="12.75" customHeight="1">
      <c r="A7258" s="1754">
        <v>44912</v>
      </c>
      <c r="B7258" s="125" t="str">
        <f>TiposLancamentos!B5</f>
        <v>Supermercado</v>
      </c>
      <c r="C7258" s="1040" t="s">
        <v>8801</v>
      </c>
      <c r="D7258" s="1736"/>
      <c r="E7258" s="1043">
        <v>322.38</v>
      </c>
      <c r="F7258" s="1043"/>
      <c r="G7258" s="1550"/>
    </row>
    <row r="7259" spans="1:7" ht="12.75" customHeight="1">
      <c r="A7259" s="1754">
        <v>44912</v>
      </c>
      <c r="B7259" s="125" t="str">
        <f>TiposLancamentos!B17</f>
        <v>GATO</v>
      </c>
      <c r="C7259" s="1040" t="s">
        <v>8802</v>
      </c>
      <c r="D7259" s="1736"/>
      <c r="E7259" s="1043">
        <v>129.44999999999999</v>
      </c>
      <c r="F7259" s="1043"/>
      <c r="G7259" s="1550"/>
    </row>
    <row r="7260" spans="1:7" ht="12.75" customHeight="1">
      <c r="A7260" s="1754">
        <v>44912</v>
      </c>
      <c r="B7260" s="125" t="str">
        <f>TiposLancamentos!B19</f>
        <v>Restaurantes</v>
      </c>
      <c r="C7260" s="1040" t="s">
        <v>8686</v>
      </c>
      <c r="D7260" s="1736"/>
      <c r="E7260" s="1043">
        <v>76</v>
      </c>
      <c r="F7260" s="1043"/>
      <c r="G7260" s="1550"/>
    </row>
    <row r="7261" spans="1:7" ht="12.75" customHeight="1">
      <c r="A7261" s="1754">
        <v>44913</v>
      </c>
      <c r="B7261" s="125" t="str">
        <f>TiposLancamentos!B19</f>
        <v>Restaurantes</v>
      </c>
      <c r="C7261" s="1040" t="s">
        <v>8803</v>
      </c>
      <c r="D7261" s="1736"/>
      <c r="E7261" s="1043">
        <v>132.44</v>
      </c>
      <c r="F7261" s="1043"/>
      <c r="G7261" s="1550"/>
    </row>
    <row r="7262" spans="1:7" ht="12.75" customHeight="1">
      <c r="A7262" s="1754">
        <v>44914</v>
      </c>
      <c r="B7262" s="125" t="str">
        <f>TiposLancamentos!B2</f>
        <v>Telefonia</v>
      </c>
      <c r="C7262" s="1040" t="s">
        <v>8804</v>
      </c>
      <c r="D7262" s="1736"/>
      <c r="E7262" s="1043">
        <v>66.400000000000006</v>
      </c>
      <c r="F7262" s="1043"/>
      <c r="G7262" s="1550"/>
    </row>
    <row r="7263" spans="1:7" ht="12.75" customHeight="1">
      <c r="A7263" s="1754">
        <v>44914</v>
      </c>
      <c r="B7263" s="125" t="str">
        <f>TiposLancamentos!B5</f>
        <v>Supermercado</v>
      </c>
      <c r="C7263" s="1040" t="s">
        <v>1884</v>
      </c>
      <c r="D7263" s="1736"/>
      <c r="E7263" s="1043">
        <v>37.369999999999997</v>
      </c>
      <c r="F7263" s="1043"/>
      <c r="G7263" s="1550"/>
    </row>
    <row r="7264" spans="1:7" ht="12.75" customHeight="1">
      <c r="A7264" s="1754">
        <v>44915</v>
      </c>
      <c r="B7264" s="125" t="str">
        <f>TiposLancamentos!B95</f>
        <v>Salarios</v>
      </c>
      <c r="C7264" s="1040" t="s">
        <v>8805</v>
      </c>
      <c r="D7264" s="1736">
        <v>1541.13</v>
      </c>
      <c r="E7264" s="1043"/>
      <c r="F7264" s="1043"/>
      <c r="G7264" s="1550"/>
    </row>
    <row r="7265" spans="1:7" ht="12.75" customHeight="1">
      <c r="A7265" s="1754">
        <v>44916</v>
      </c>
      <c r="B7265" s="125" t="str">
        <f>TiposLancamentos!B6</f>
        <v>Energia Eletrica</v>
      </c>
      <c r="C7265" s="1040" t="s">
        <v>8806</v>
      </c>
      <c r="D7265" s="1736"/>
      <c r="E7265" s="1043">
        <v>301.37</v>
      </c>
      <c r="F7265" s="1043"/>
      <c r="G7265" s="1550"/>
    </row>
    <row r="7266" spans="1:7" ht="12.75" customHeight="1">
      <c r="A7266" s="1754">
        <v>44917</v>
      </c>
      <c r="B7266" s="125" t="str">
        <f>TiposLancamentos!B22</f>
        <v>Combustivel</v>
      </c>
      <c r="C7266" s="1040" t="s">
        <v>8807</v>
      </c>
      <c r="D7266" s="1736"/>
      <c r="E7266" s="1043">
        <v>203.09</v>
      </c>
      <c r="F7266" s="1043"/>
      <c r="G7266" s="1550"/>
    </row>
    <row r="7267" spans="1:7" ht="12.75" customHeight="1">
      <c r="A7267" s="1754">
        <v>44917</v>
      </c>
      <c r="B7267" s="125" t="str">
        <f>TiposLancamentos!B5</f>
        <v>Supermercado</v>
      </c>
      <c r="C7267" s="1040" t="s">
        <v>8808</v>
      </c>
      <c r="D7267" s="1736"/>
      <c r="E7267" s="1043">
        <v>203.1</v>
      </c>
      <c r="F7267" s="1043"/>
      <c r="G7267" s="1550"/>
    </row>
    <row r="7268" spans="1:7" ht="12.75" customHeight="1">
      <c r="A7268" s="1754">
        <v>44917</v>
      </c>
      <c r="B7268" s="125" t="str">
        <f>TiposLancamentos!B56</f>
        <v>Farmácia</v>
      </c>
      <c r="C7268" s="1040" t="s">
        <v>8809</v>
      </c>
      <c r="D7268" s="1736"/>
      <c r="E7268" s="1043">
        <v>16.350000000000001</v>
      </c>
      <c r="F7268" s="1043"/>
      <c r="G7268" s="1550"/>
    </row>
    <row r="7269" spans="1:7" ht="12.75" customHeight="1">
      <c r="A7269" s="1754">
        <v>44918</v>
      </c>
      <c r="B7269" s="125" t="str">
        <f>TiposLancamentos!B70</f>
        <v>Vestuário</v>
      </c>
      <c r="C7269" s="1040" t="s">
        <v>8810</v>
      </c>
      <c r="D7269" s="1736"/>
      <c r="E7269" s="1043">
        <v>75.16</v>
      </c>
      <c r="F7269" s="1043"/>
      <c r="G7269" s="1550"/>
    </row>
    <row r="7270" spans="1:7" ht="12.75" customHeight="1">
      <c r="A7270" s="1754">
        <v>44918</v>
      </c>
      <c r="B7270" s="125" t="str">
        <f>TiposLancamentos!B17</f>
        <v>GATO</v>
      </c>
      <c r="C7270" s="1040" t="s">
        <v>8811</v>
      </c>
      <c r="D7270" s="1736"/>
      <c r="E7270" s="1043">
        <v>11</v>
      </c>
      <c r="F7270" s="1043"/>
      <c r="G7270" s="1550"/>
    </row>
    <row r="7271" spans="1:7" ht="12.75" customHeight="1">
      <c r="A7271" s="1754">
        <v>44918</v>
      </c>
      <c r="B7271" s="125" t="str">
        <f>TiposLancamentos!B56</f>
        <v>Farmácia</v>
      </c>
      <c r="C7271" s="1040" t="s">
        <v>8812</v>
      </c>
      <c r="D7271" s="1736"/>
      <c r="E7271" s="1043">
        <v>48.95</v>
      </c>
      <c r="F7271" s="1043"/>
      <c r="G7271" s="1550"/>
    </row>
    <row r="7272" spans="1:7" ht="12.75" customHeight="1">
      <c r="A7272" s="1754">
        <v>44922</v>
      </c>
      <c r="B7272" s="125" t="str">
        <f>TiposLancamentos!B5</f>
        <v>Supermercado</v>
      </c>
      <c r="C7272" s="1040" t="s">
        <v>8813</v>
      </c>
      <c r="D7272" s="1736"/>
      <c r="E7272" s="1043">
        <v>80.290000000000006</v>
      </c>
      <c r="F7272" s="1043"/>
      <c r="G7272" s="1550"/>
    </row>
    <row r="7273" spans="1:7" ht="12.75" customHeight="1">
      <c r="A7273" s="1754">
        <v>44925</v>
      </c>
      <c r="B7273" s="125" t="str">
        <f>TiposLancamentos!B95</f>
        <v>Salarios</v>
      </c>
      <c r="C7273" s="1040" t="s">
        <v>8744</v>
      </c>
      <c r="D7273" s="1736">
        <v>7855.68</v>
      </c>
      <c r="E7273" s="1043"/>
      <c r="F7273" s="1043"/>
      <c r="G7273" s="1550"/>
    </row>
    <row r="7274" spans="1:7" ht="12.75" customHeight="1">
      <c r="A7274" s="1754">
        <v>44926</v>
      </c>
      <c r="B7274" s="125" t="str">
        <f>TiposLancamentos!B17</f>
        <v>GATO</v>
      </c>
      <c r="C7274" s="1040" t="s">
        <v>8814</v>
      </c>
      <c r="D7274" s="1736"/>
      <c r="E7274" s="1043">
        <v>7.25</v>
      </c>
      <c r="F7274" s="1043"/>
      <c r="G7274" s="1550"/>
    </row>
    <row r="7275" spans="1:7" ht="12.75" customHeight="1">
      <c r="A7275" s="1754">
        <v>44926</v>
      </c>
      <c r="B7275" s="125" t="str">
        <f>TiposLancamentos!B22</f>
        <v>Combustivel</v>
      </c>
      <c r="C7275" s="1040" t="s">
        <v>8815</v>
      </c>
      <c r="D7275" s="1736"/>
      <c r="E7275" s="1043">
        <v>148.61000000000001</v>
      </c>
      <c r="F7275" s="1043"/>
      <c r="G7275" s="1550"/>
    </row>
    <row r="7276" spans="1:7" ht="12.75" customHeight="1">
      <c r="A7276" s="1754">
        <v>44926</v>
      </c>
      <c r="B7276" s="125" t="str">
        <f>TiposLancamentos!B5</f>
        <v>Supermercado</v>
      </c>
      <c r="C7276" s="1040" t="s">
        <v>8816</v>
      </c>
      <c r="D7276" s="1736"/>
      <c r="E7276" s="1043">
        <v>289.39999999999998</v>
      </c>
      <c r="F7276" s="1043"/>
      <c r="G7276" s="1550"/>
    </row>
    <row r="7277" spans="1:7" ht="12.75" customHeight="1" thickBot="1">
      <c r="A7277" s="1754">
        <v>44926</v>
      </c>
      <c r="B7277" s="125" t="str">
        <f>TiposLancamentos!B5</f>
        <v>Supermercado</v>
      </c>
      <c r="C7277" s="1040" t="s">
        <v>8817</v>
      </c>
      <c r="D7277" s="1736"/>
      <c r="E7277" s="1043">
        <v>25</v>
      </c>
      <c r="F7277" s="1043"/>
      <c r="G7277" s="1550"/>
    </row>
    <row r="7278" spans="1:7" ht="12.75" customHeight="1">
      <c r="A7278" s="1834"/>
      <c r="B7278" s="977"/>
      <c r="C7278" s="1854" t="s">
        <v>1618</v>
      </c>
      <c r="D7278" s="1823"/>
      <c r="E7278" s="1821"/>
      <c r="F7278" s="1821"/>
      <c r="G7278" s="1895"/>
    </row>
    <row r="7279" spans="1:7" ht="12.75" customHeight="1">
      <c r="A7279" s="1754">
        <v>44928</v>
      </c>
      <c r="B7279" s="125" t="str">
        <f>TiposLancamentos!B15</f>
        <v>Cartões de Crédito</v>
      </c>
      <c r="C7279" s="1040" t="s">
        <v>8016</v>
      </c>
      <c r="D7279" s="1736"/>
      <c r="E7279" s="1043">
        <v>436.65</v>
      </c>
      <c r="F7279" s="1043"/>
      <c r="G7279" s="1550"/>
    </row>
    <row r="7280" spans="1:7" ht="12.75" customHeight="1">
      <c r="A7280" s="1754">
        <v>44928</v>
      </c>
      <c r="B7280" s="125" t="str">
        <f>TiposLancamentos!B15</f>
        <v>Cartões de Crédito</v>
      </c>
      <c r="C7280" s="1040" t="s">
        <v>8252</v>
      </c>
      <c r="D7280" s="1736"/>
      <c r="E7280" s="1043">
        <v>401.97</v>
      </c>
      <c r="F7280" s="1043"/>
      <c r="G7280" s="1550"/>
    </row>
    <row r="7281" spans="1:7" ht="12.75" customHeight="1">
      <c r="A7281" s="1754">
        <v>44928</v>
      </c>
      <c r="B7281" s="125" t="str">
        <f>TiposLancamentos!B15</f>
        <v>Cartões de Crédito</v>
      </c>
      <c r="C7281" s="1040" t="s">
        <v>8772</v>
      </c>
      <c r="D7281" s="1736"/>
      <c r="E7281" s="1043">
        <v>2703.55</v>
      </c>
      <c r="F7281" s="1043"/>
      <c r="G7281" s="1550"/>
    </row>
    <row r="7282" spans="1:7" ht="12.75" customHeight="1">
      <c r="A7282" s="1754">
        <v>44928</v>
      </c>
      <c r="B7282" s="125" t="str">
        <f>TiposLancamentos!B15</f>
        <v>Cartões de Crédito</v>
      </c>
      <c r="C7282" s="1040" t="s">
        <v>8773</v>
      </c>
      <c r="D7282" s="1736"/>
      <c r="E7282" s="1043">
        <v>56.46</v>
      </c>
      <c r="F7282" s="1043"/>
      <c r="G7282" s="1550"/>
    </row>
    <row r="7283" spans="1:7" ht="12.75" customHeight="1">
      <c r="A7283" s="1754">
        <v>44928</v>
      </c>
      <c r="B7283" s="125" t="str">
        <f>TiposLancamentos!B14</f>
        <v>Gás de cozinha</v>
      </c>
      <c r="C7283" s="1040" t="s">
        <v>7496</v>
      </c>
      <c r="D7283" s="1736"/>
      <c r="E7283" s="1043">
        <v>66.069999999999993</v>
      </c>
      <c r="F7283" s="1043"/>
      <c r="G7283" s="1550"/>
    </row>
    <row r="7284" spans="1:7" ht="12.75" customHeight="1">
      <c r="A7284" s="1754">
        <v>44928</v>
      </c>
      <c r="B7284" s="125" t="str">
        <f>TiposLancamentos!B105</f>
        <v>Transf. Bco</v>
      </c>
      <c r="C7284" s="1040" t="s">
        <v>8714</v>
      </c>
      <c r="D7284" s="1736"/>
      <c r="E7284" s="1043">
        <v>2200</v>
      </c>
      <c r="F7284" s="1043"/>
      <c r="G7284" s="1550"/>
    </row>
    <row r="7285" spans="1:7" ht="12.75" customHeight="1">
      <c r="A7285" s="1754">
        <v>44929</v>
      </c>
      <c r="B7285" s="125" t="str">
        <f>TiposLancamentos!B4</f>
        <v>Taxas Bancarias</v>
      </c>
      <c r="C7285" s="1040" t="s">
        <v>7206</v>
      </c>
      <c r="D7285" s="1736"/>
      <c r="E7285" s="1043">
        <v>4.9800000000000004</v>
      </c>
      <c r="F7285" s="1043"/>
      <c r="G7285" s="1550"/>
    </row>
    <row r="7286" spans="1:7" ht="12.75" customHeight="1">
      <c r="A7286" s="1754">
        <v>44929</v>
      </c>
      <c r="B7286" s="125" t="str">
        <f>TiposLancamentos!B103</f>
        <v>Juros_Corr. Poupança</v>
      </c>
      <c r="C7286" s="1040" t="s">
        <v>8774</v>
      </c>
      <c r="D7286" s="1736">
        <v>0.03</v>
      </c>
      <c r="E7286" s="1043"/>
      <c r="F7286" s="1043"/>
      <c r="G7286" s="1550"/>
    </row>
    <row r="7287" spans="1:7" ht="12.75" customHeight="1">
      <c r="A7287" s="1754">
        <v>44929</v>
      </c>
      <c r="B7287" s="125" t="str">
        <f>TiposLancamentos!B4</f>
        <v>Taxas Bancarias</v>
      </c>
      <c r="C7287" s="1040" t="s">
        <v>7681</v>
      </c>
      <c r="D7287" s="1736"/>
      <c r="E7287" s="1043">
        <v>5.9</v>
      </c>
      <c r="F7287" s="1043"/>
      <c r="G7287" s="1550"/>
    </row>
    <row r="7288" spans="1:7" ht="12.75" customHeight="1">
      <c r="A7288" s="1754">
        <v>44931</v>
      </c>
      <c r="B7288" s="125" t="str">
        <f>TiposLancamentos!B4</f>
        <v>Taxas Bancarias</v>
      </c>
      <c r="C7288" s="1040" t="s">
        <v>8818</v>
      </c>
      <c r="D7288" s="1736"/>
      <c r="E7288" s="1043">
        <v>8.8000000000000007</v>
      </c>
      <c r="F7288" s="1043"/>
      <c r="G7288" s="1550"/>
    </row>
    <row r="7289" spans="1:7" ht="12.75" customHeight="1">
      <c r="A7289" s="1754">
        <v>44932</v>
      </c>
      <c r="B7289" s="125" t="str">
        <f>TiposLancamentos!B4</f>
        <v>Taxas Bancarias</v>
      </c>
      <c r="C7289" s="1040" t="s">
        <v>7789</v>
      </c>
      <c r="D7289" s="1736"/>
      <c r="E7289" s="1043">
        <v>2</v>
      </c>
      <c r="F7289" s="1043"/>
      <c r="G7289" s="1550"/>
    </row>
    <row r="7290" spans="1:7" ht="12.75" customHeight="1">
      <c r="A7290" s="1754">
        <v>44933</v>
      </c>
      <c r="B7290" s="125" t="str">
        <f>TiposLancamentos!B71</f>
        <v>Itens Pessoais</v>
      </c>
      <c r="C7290" s="1040" t="s">
        <v>8819</v>
      </c>
      <c r="D7290" s="1736"/>
      <c r="E7290" s="1043">
        <v>30</v>
      </c>
      <c r="F7290" s="1043"/>
      <c r="G7290" s="1550"/>
    </row>
    <row r="7291" spans="1:7" ht="12.75" customHeight="1">
      <c r="A7291" s="1754">
        <v>44933</v>
      </c>
      <c r="B7291" s="125" t="str">
        <f>TiposLancamentos!B57</f>
        <v>Informática</v>
      </c>
      <c r="C7291" s="1040" t="s">
        <v>8820</v>
      </c>
      <c r="D7291" s="1736"/>
      <c r="E7291" s="1043">
        <v>21.96</v>
      </c>
      <c r="F7291" s="1043"/>
      <c r="G7291" s="1550"/>
    </row>
    <row r="7292" spans="1:7" ht="12.75" customHeight="1">
      <c r="A7292" s="1754">
        <v>44933</v>
      </c>
      <c r="B7292" s="125" t="str">
        <f>TiposLancamentos!B24</f>
        <v>Estacionamentos</v>
      </c>
      <c r="C7292" s="1040" t="s">
        <v>2014</v>
      </c>
      <c r="D7292" s="1736"/>
      <c r="E7292" s="1043">
        <v>9</v>
      </c>
      <c r="F7292" s="1043"/>
      <c r="G7292" s="1550"/>
    </row>
    <row r="7293" spans="1:7" ht="12.75" customHeight="1">
      <c r="A7293" s="1754">
        <v>44935</v>
      </c>
      <c r="B7293" s="125" t="str">
        <f>TiposLancamentos!B13</f>
        <v>Moradia</v>
      </c>
      <c r="C7293" s="1040" t="s">
        <v>8821</v>
      </c>
      <c r="D7293" s="1736"/>
      <c r="E7293" s="1043">
        <v>14</v>
      </c>
      <c r="F7293" s="1043"/>
      <c r="G7293" s="1550"/>
    </row>
    <row r="7294" spans="1:7" ht="12.75" customHeight="1">
      <c r="A7294" s="1754">
        <v>44935</v>
      </c>
      <c r="B7294" s="125" t="str">
        <f>TiposLancamentos!B103</f>
        <v>Juros_Corr. Poupança</v>
      </c>
      <c r="C7294" s="1040" t="s">
        <v>8774</v>
      </c>
      <c r="D7294" s="1736">
        <v>0.02</v>
      </c>
      <c r="E7294" s="1043"/>
      <c r="F7294" s="1043"/>
      <c r="G7294" s="1550"/>
    </row>
    <row r="7295" spans="1:7" ht="12.75" customHeight="1">
      <c r="A7295" s="1754">
        <v>44936</v>
      </c>
      <c r="B7295" s="125" t="str">
        <f>TiposLancamentos!B46</f>
        <v>Maçonaria</v>
      </c>
      <c r="C7295" s="1040" t="s">
        <v>8822</v>
      </c>
      <c r="D7295" s="1736"/>
      <c r="E7295" s="1043">
        <v>210</v>
      </c>
      <c r="F7295" s="1043"/>
      <c r="G7295" s="1550"/>
    </row>
    <row r="7296" spans="1:7" ht="12.75" customHeight="1">
      <c r="A7296" s="1754">
        <v>44936</v>
      </c>
      <c r="B7296" s="125" t="str">
        <f>TiposLancamentos!B59</f>
        <v>Documentos</v>
      </c>
      <c r="C7296" s="1040" t="s">
        <v>8823</v>
      </c>
      <c r="D7296" s="1736"/>
      <c r="E7296" s="1043">
        <v>22.3</v>
      </c>
      <c r="F7296" s="1043"/>
      <c r="G7296" s="1550"/>
    </row>
    <row r="7297" spans="1:7" ht="12.75" customHeight="1">
      <c r="A7297" s="1754">
        <v>44937</v>
      </c>
      <c r="B7297" s="125" t="str">
        <f>TiposLancamentos!B103</f>
        <v>Juros_Corr. Poupança</v>
      </c>
      <c r="C7297" s="1040" t="s">
        <v>8774</v>
      </c>
      <c r="D7297" s="1736">
        <v>0.01</v>
      </c>
      <c r="E7297" s="1043"/>
      <c r="F7297" s="1043"/>
      <c r="G7297" s="1550"/>
    </row>
    <row r="7298" spans="1:7" ht="12.75" customHeight="1">
      <c r="A7298" s="1754">
        <v>44937</v>
      </c>
      <c r="B7298" s="125" t="str">
        <f>TiposLancamentos!B19</f>
        <v>Restaurantes</v>
      </c>
      <c r="C7298" s="1040" t="s">
        <v>8824</v>
      </c>
      <c r="D7298" s="1736"/>
      <c r="E7298" s="1043">
        <v>70</v>
      </c>
      <c r="F7298" s="1043"/>
      <c r="G7298" s="1550"/>
    </row>
    <row r="7299" spans="1:7" ht="12.75" customHeight="1">
      <c r="A7299" s="1754">
        <v>44939</v>
      </c>
      <c r="B7299" s="125" t="str">
        <f>TiposLancamentos!B88</f>
        <v>Ford Ecosport XLT</v>
      </c>
      <c r="C7299" s="1040" t="s">
        <v>8825</v>
      </c>
      <c r="D7299" s="1736"/>
      <c r="E7299" s="1043">
        <v>248.19</v>
      </c>
      <c r="F7299" s="1043">
        <f>E7299*5</f>
        <v>1240.95</v>
      </c>
      <c r="G7299" s="1550"/>
    </row>
    <row r="7300" spans="1:7" ht="12.75" customHeight="1">
      <c r="A7300" s="1754">
        <v>44940</v>
      </c>
      <c r="B7300" s="125" t="str">
        <f>TiposLancamentos!B19</f>
        <v>Restaurantes</v>
      </c>
      <c r="C7300" s="1040" t="s">
        <v>8826</v>
      </c>
      <c r="D7300" s="1736"/>
      <c r="E7300" s="1043">
        <v>53.89</v>
      </c>
      <c r="F7300" s="1043"/>
      <c r="G7300" s="1550"/>
    </row>
    <row r="7301" spans="1:7" ht="12.75" customHeight="1">
      <c r="A7301" s="1754">
        <v>44941</v>
      </c>
      <c r="B7301" s="116"/>
      <c r="C7301" s="1040" t="s">
        <v>1868</v>
      </c>
      <c r="D7301" s="1736">
        <v>0</v>
      </c>
      <c r="E7301" s="1043">
        <v>0</v>
      </c>
      <c r="F7301" s="1664"/>
      <c r="G7301" s="1550"/>
    </row>
    <row r="7302" spans="1:7" ht="12.75" customHeight="1">
      <c r="A7302" s="1666">
        <v>44941</v>
      </c>
      <c r="B7302" s="817" t="str">
        <f>TiposLancamentos!B35</f>
        <v>Tv à Cabo</v>
      </c>
      <c r="C7302" s="1742" t="s">
        <v>5834</v>
      </c>
      <c r="D7302" s="1735"/>
      <c r="E7302" s="1733">
        <f>F7304-(E7303+E7304)</f>
        <v>147.34999999999997</v>
      </c>
      <c r="F7302" s="1290"/>
      <c r="G7302" s="1550"/>
    </row>
    <row r="7303" spans="1:7" ht="12.75" customHeight="1">
      <c r="A7303" s="1667">
        <v>44941</v>
      </c>
      <c r="B7303" s="816" t="str">
        <f>TiposLancamentos!B3</f>
        <v>Internet</v>
      </c>
      <c r="C7303" s="1769" t="s">
        <v>5835</v>
      </c>
      <c r="D7303" s="1736"/>
      <c r="E7303" s="1734">
        <v>143.43</v>
      </c>
      <c r="F7303" s="1043"/>
      <c r="G7303" s="1550"/>
    </row>
    <row r="7304" spans="1:7" ht="12.75" customHeight="1">
      <c r="A7304" s="1750">
        <v>44941</v>
      </c>
      <c r="B7304" s="818" t="str">
        <f>TiposLancamentos!B2</f>
        <v>Telefonia</v>
      </c>
      <c r="C7304" s="1743" t="s">
        <v>7210</v>
      </c>
      <c r="D7304" s="1737"/>
      <c r="E7304" s="1668">
        <v>0</v>
      </c>
      <c r="F7304" s="1291">
        <v>290.77999999999997</v>
      </c>
      <c r="G7304" s="1550"/>
    </row>
    <row r="7305" spans="1:7" ht="12.75" customHeight="1">
      <c r="A7305" s="1754">
        <v>44941</v>
      </c>
      <c r="B7305" s="116"/>
      <c r="C7305" s="1040" t="s">
        <v>1868</v>
      </c>
      <c r="D7305" s="1736">
        <v>0</v>
      </c>
      <c r="E7305" s="1043">
        <v>0</v>
      </c>
      <c r="F7305" s="1656"/>
      <c r="G7305" s="1550"/>
    </row>
    <row r="7306" spans="1:7" ht="12.75" customHeight="1">
      <c r="A7306" s="1666">
        <v>44941</v>
      </c>
      <c r="B7306" s="817" t="str">
        <f>TiposLancamentos!B33</f>
        <v>Pedágios</v>
      </c>
      <c r="C7306" s="1742" t="s">
        <v>5392</v>
      </c>
      <c r="D7306" s="1735">
        <v>0</v>
      </c>
      <c r="E7306" s="1733">
        <f>F7308-(E7307+E7308)</f>
        <v>221.52</v>
      </c>
      <c r="F7306" s="1290"/>
      <c r="G7306" s="1550"/>
    </row>
    <row r="7307" spans="1:7" ht="12.75" customHeight="1">
      <c r="A7307" s="1667">
        <v>44941</v>
      </c>
      <c r="B7307" s="816" t="str">
        <f>TiposLancamentos!B24</f>
        <v>Estacionamentos</v>
      </c>
      <c r="C7307" s="1769" t="s">
        <v>7366</v>
      </c>
      <c r="D7307" s="1736"/>
      <c r="E7307" s="1734">
        <v>0</v>
      </c>
      <c r="F7307" s="1043"/>
      <c r="G7307" s="1550"/>
    </row>
    <row r="7308" spans="1:7" ht="12.75" customHeight="1">
      <c r="A7308" s="1750">
        <v>44941</v>
      </c>
      <c r="B7308" s="818" t="str">
        <f>TiposLancamentos!B24</f>
        <v>Estacionamentos</v>
      </c>
      <c r="C7308" s="1743" t="s">
        <v>6297</v>
      </c>
      <c r="D7308" s="1737"/>
      <c r="E7308" s="1668">
        <v>0</v>
      </c>
      <c r="F7308" s="1347">
        <v>221.52</v>
      </c>
      <c r="G7308" s="1550"/>
    </row>
    <row r="7309" spans="1:7" ht="12.75" customHeight="1">
      <c r="A7309" s="1754">
        <v>44941</v>
      </c>
      <c r="B7309" s="116"/>
      <c r="C7309" s="1040" t="s">
        <v>1868</v>
      </c>
      <c r="D7309" s="1736">
        <v>0</v>
      </c>
      <c r="E7309" s="1043">
        <v>0</v>
      </c>
      <c r="F7309" s="1043"/>
      <c r="G7309" s="1550"/>
    </row>
    <row r="7310" spans="1:7" ht="12.75" customHeight="1">
      <c r="A7310" s="1754">
        <v>44941</v>
      </c>
      <c r="B7310" s="125" t="str">
        <f>TiposLancamentos!B2</f>
        <v>Telefonia</v>
      </c>
      <c r="C7310" s="1040" t="s">
        <v>8797</v>
      </c>
      <c r="D7310" s="1736"/>
      <c r="E7310" s="1043">
        <v>54.88</v>
      </c>
      <c r="F7310" s="1043"/>
      <c r="G7310" s="1550"/>
    </row>
    <row r="7311" spans="1:7" ht="12.75" customHeight="1">
      <c r="A7311" s="1754">
        <v>44941</v>
      </c>
      <c r="B7311" s="125" t="str">
        <f>TiposLancamentos!B2</f>
        <v>Telefonia</v>
      </c>
      <c r="C7311" s="1040" t="s">
        <v>8827</v>
      </c>
      <c r="D7311" s="1736"/>
      <c r="E7311" s="1043">
        <v>54.88</v>
      </c>
      <c r="F7311" s="1043"/>
      <c r="G7311" s="1550"/>
    </row>
    <row r="7312" spans="1:7" ht="12.75" customHeight="1">
      <c r="A7312" s="1754">
        <v>44944</v>
      </c>
      <c r="B7312" s="125" t="str">
        <f>TiposLancamentos!B103</f>
        <v>Juros_Corr. Poupança</v>
      </c>
      <c r="C7312" s="1040" t="s">
        <v>8774</v>
      </c>
      <c r="D7312" s="1736">
        <v>0.01</v>
      </c>
      <c r="E7312" s="1043"/>
      <c r="F7312" s="1043"/>
      <c r="G7312" s="1550"/>
    </row>
    <row r="7313" spans="1:7" ht="12.75" customHeight="1">
      <c r="A7313" s="1754">
        <v>44944</v>
      </c>
      <c r="B7313" s="125" t="str">
        <f>TiposLancamentos!B5</f>
        <v>Supermercado</v>
      </c>
      <c r="C7313" s="1040" t="s">
        <v>8026</v>
      </c>
      <c r="D7313" s="1736"/>
      <c r="E7313" s="1043">
        <v>202.99</v>
      </c>
      <c r="F7313" s="1043"/>
      <c r="G7313" s="1550"/>
    </row>
    <row r="7314" spans="1:7" ht="12.75" customHeight="1">
      <c r="A7314" s="1754">
        <v>44946</v>
      </c>
      <c r="B7314" s="125" t="str">
        <f>TiposLancamentos!B105</f>
        <v>Transf. Bco</v>
      </c>
      <c r="C7314" s="1040" t="s">
        <v>8828</v>
      </c>
      <c r="D7314" s="1736">
        <v>1568.68</v>
      </c>
      <c r="E7314" s="1043"/>
      <c r="F7314" s="1043"/>
      <c r="G7314" s="1550"/>
    </row>
    <row r="7315" spans="1:7" ht="12.75" customHeight="1">
      <c r="A7315" s="1666">
        <v>44946</v>
      </c>
      <c r="B7315" s="817" t="str">
        <f>TiposLancamentos!B8</f>
        <v>Aluguel</v>
      </c>
      <c r="C7315" s="1742" t="s">
        <v>8829</v>
      </c>
      <c r="D7315" s="1735"/>
      <c r="E7315" s="1733">
        <f>F7319-(E7316+E7319+E7317+E7318)</f>
        <v>1548.84</v>
      </c>
      <c r="F7315" s="1346"/>
      <c r="G7315" s="1550"/>
    </row>
    <row r="7316" spans="1:7" ht="12.75" customHeight="1">
      <c r="A7316" s="1667">
        <v>44946</v>
      </c>
      <c r="B7316" s="816" t="str">
        <f>TiposLancamentos!B12</f>
        <v>IPTU</v>
      </c>
      <c r="C7316" s="1769" t="s">
        <v>8830</v>
      </c>
      <c r="D7316" s="1736"/>
      <c r="E7316" s="1734">
        <v>54.57</v>
      </c>
      <c r="F7316" s="1043"/>
      <c r="G7316" s="1550"/>
    </row>
    <row r="7317" spans="1:7" ht="12.75" customHeight="1">
      <c r="A7317" s="1667">
        <v>44946</v>
      </c>
      <c r="B7317" s="816" t="str">
        <f>TiposLancamentos!B10</f>
        <v>Distr. Água Municipal</v>
      </c>
      <c r="C7317" s="1769" t="s">
        <v>7423</v>
      </c>
      <c r="D7317" s="1736"/>
      <c r="E7317" s="1734">
        <v>90.09</v>
      </c>
      <c r="F7317" s="1043"/>
      <c r="G7317" s="1550"/>
    </row>
    <row r="7318" spans="1:7" ht="12.75" customHeight="1">
      <c r="A7318" s="1667">
        <v>44946</v>
      </c>
      <c r="B7318" s="816" t="str">
        <f>TiposLancamentos!B11</f>
        <v>Coleta Municipal Lixo</v>
      </c>
      <c r="C7318" s="1769" t="s">
        <v>7424</v>
      </c>
      <c r="D7318" s="1736"/>
      <c r="E7318" s="1734">
        <v>44.36</v>
      </c>
      <c r="F7318" s="1043"/>
      <c r="G7318" s="1550"/>
    </row>
    <row r="7319" spans="1:7" ht="12.75" customHeight="1">
      <c r="A7319" s="1750">
        <v>44946</v>
      </c>
      <c r="B7319" s="818" t="str">
        <f>TiposLancamentos!B9</f>
        <v>Condominio</v>
      </c>
      <c r="C7319" s="1743" t="s">
        <v>7427</v>
      </c>
      <c r="D7319" s="1737"/>
      <c r="E7319" s="1668">
        <v>616.37</v>
      </c>
      <c r="F7319" s="1291">
        <v>2354.23</v>
      </c>
      <c r="G7319" s="1550"/>
    </row>
    <row r="7320" spans="1:7" ht="12.75" customHeight="1">
      <c r="A7320" s="1754">
        <v>44946</v>
      </c>
      <c r="B7320" s="125" t="str">
        <f>TiposLancamentos!B19</f>
        <v>Restaurantes</v>
      </c>
      <c r="C7320" s="1040" t="s">
        <v>8609</v>
      </c>
      <c r="D7320" s="1736"/>
      <c r="E7320" s="1043">
        <v>76</v>
      </c>
      <c r="F7320" s="1043"/>
      <c r="G7320" s="1550"/>
    </row>
    <row r="7321" spans="1:7" ht="12.75" customHeight="1">
      <c r="A7321" s="1754">
        <v>44947</v>
      </c>
      <c r="B7321" s="125" t="str">
        <f>TiposLancamentos!B24</f>
        <v>Estacionamentos</v>
      </c>
      <c r="C7321" s="1040" t="s">
        <v>2014</v>
      </c>
      <c r="D7321" s="1736"/>
      <c r="E7321" s="1043">
        <v>13</v>
      </c>
      <c r="F7321" s="1043"/>
      <c r="G7321" s="1550"/>
    </row>
    <row r="7322" spans="1:7" ht="12.75" customHeight="1">
      <c r="A7322" s="1754">
        <v>44947</v>
      </c>
      <c r="B7322" s="125" t="str">
        <f>TiposLancamentos!B19</f>
        <v>Restaurantes</v>
      </c>
      <c r="C7322" s="1040" t="s">
        <v>8831</v>
      </c>
      <c r="D7322" s="1736"/>
      <c r="E7322" s="1043">
        <v>20</v>
      </c>
      <c r="F7322" s="1043"/>
      <c r="G7322" s="1550"/>
    </row>
    <row r="7323" spans="1:7" ht="12.75" customHeight="1">
      <c r="A7323" s="1754">
        <v>44947</v>
      </c>
      <c r="B7323" s="125" t="str">
        <f>TiposLancamentos!B5</f>
        <v>Supermercado</v>
      </c>
      <c r="C7323" s="1040" t="s">
        <v>1884</v>
      </c>
      <c r="D7323" s="1736"/>
      <c r="E7323" s="1043">
        <v>6.97</v>
      </c>
      <c r="F7323" s="1043"/>
      <c r="G7323" s="1550"/>
    </row>
    <row r="7324" spans="1:7" ht="12.75" customHeight="1">
      <c r="A7324" s="1754">
        <v>44948</v>
      </c>
      <c r="B7324" s="125" t="str">
        <f>TiposLancamentos!B5</f>
        <v>Supermercado</v>
      </c>
      <c r="C7324" s="1040" t="s">
        <v>1884</v>
      </c>
      <c r="D7324" s="1736"/>
      <c r="E7324" s="1043">
        <v>23.69</v>
      </c>
      <c r="F7324" s="1043"/>
      <c r="G7324" s="1550"/>
    </row>
    <row r="7325" spans="1:7" ht="12.75" customHeight="1">
      <c r="A7325" s="1754">
        <v>44948</v>
      </c>
      <c r="B7325" s="125" t="str">
        <f>TiposLancamentos!B5</f>
        <v>Supermercado</v>
      </c>
      <c r="C7325" s="1040" t="s">
        <v>1884</v>
      </c>
      <c r="D7325" s="1736"/>
      <c r="E7325" s="1043">
        <v>10.98</v>
      </c>
      <c r="F7325" s="1043"/>
      <c r="G7325" s="1550"/>
    </row>
    <row r="7326" spans="1:7" ht="12.75" customHeight="1">
      <c r="A7326" s="1754">
        <v>44949</v>
      </c>
      <c r="B7326" s="125" t="str">
        <f>TiposLancamentos!B6</f>
        <v>Energia Eletrica</v>
      </c>
      <c r="C7326" s="1040" t="s">
        <v>8832</v>
      </c>
      <c r="D7326" s="1736"/>
      <c r="E7326" s="1043">
        <v>200.07</v>
      </c>
      <c r="F7326" s="1043"/>
      <c r="G7326" s="1550"/>
    </row>
    <row r="7327" spans="1:7" ht="12.75" customHeight="1">
      <c r="A7327" s="1754">
        <v>44949</v>
      </c>
      <c r="B7327" s="125" t="str">
        <f>TiposLancamentos!B24</f>
        <v>Estacionamentos</v>
      </c>
      <c r="C7327" s="1040" t="s">
        <v>8753</v>
      </c>
      <c r="D7327" s="1736"/>
      <c r="E7327" s="1043">
        <v>10</v>
      </c>
      <c r="F7327" s="1043"/>
      <c r="G7327" s="1550"/>
    </row>
    <row r="7328" spans="1:7" ht="12.75" customHeight="1">
      <c r="A7328" s="1754">
        <v>44949</v>
      </c>
      <c r="B7328" s="125" t="str">
        <f>TiposLancamentos!B56</f>
        <v>Farmácia</v>
      </c>
      <c r="C7328" s="1040" t="s">
        <v>8833</v>
      </c>
      <c r="D7328" s="1736"/>
      <c r="E7328" s="1043">
        <v>339.2</v>
      </c>
      <c r="F7328" s="1043"/>
      <c r="G7328" s="1550"/>
    </row>
    <row r="7329" spans="1:7" ht="12.75" customHeight="1">
      <c r="A7329" s="1754">
        <v>44949</v>
      </c>
      <c r="B7329" s="125" t="str">
        <f>TiposLancamentos!B5</f>
        <v>Supermercado</v>
      </c>
      <c r="C7329" s="1040" t="s">
        <v>2437</v>
      </c>
      <c r="D7329" s="1736"/>
      <c r="E7329" s="1043">
        <v>12.39</v>
      </c>
      <c r="F7329" s="1043"/>
      <c r="G7329" s="1550"/>
    </row>
    <row r="7330" spans="1:7" ht="12.75" customHeight="1">
      <c r="A7330" s="1754">
        <v>44950</v>
      </c>
      <c r="B7330" s="125" t="str">
        <f>TiposLancamentos!B65</f>
        <v>Taxi</v>
      </c>
      <c r="C7330" s="1040" t="s">
        <v>8834</v>
      </c>
      <c r="D7330" s="1736"/>
      <c r="E7330" s="1043">
        <v>29.93</v>
      </c>
      <c r="F7330" s="1043"/>
      <c r="G7330" s="1550"/>
    </row>
    <row r="7331" spans="1:7" ht="12.75" customHeight="1">
      <c r="A7331" s="1754">
        <v>44953</v>
      </c>
      <c r="B7331" s="125" t="str">
        <f>TiposLancamentos!B13</f>
        <v>Moradia</v>
      </c>
      <c r="C7331" s="1040" t="s">
        <v>3682</v>
      </c>
      <c r="D7331" s="1736"/>
      <c r="E7331" s="1043">
        <v>14</v>
      </c>
      <c r="F7331" s="1043"/>
      <c r="G7331" s="1550"/>
    </row>
    <row r="7332" spans="1:7" ht="12.75" customHeight="1">
      <c r="A7332" s="1754">
        <v>44953</v>
      </c>
      <c r="B7332" s="125" t="str">
        <f>TiposLancamentos!B19</f>
        <v>Restaurantes</v>
      </c>
      <c r="C7332" s="1040" t="s">
        <v>8609</v>
      </c>
      <c r="D7332" s="1736"/>
      <c r="E7332" s="1043">
        <v>74</v>
      </c>
      <c r="F7332" s="1043"/>
      <c r="G7332" s="1550"/>
    </row>
    <row r="7333" spans="1:7" ht="12.75" customHeight="1">
      <c r="A7333" s="1754">
        <v>44955</v>
      </c>
      <c r="B7333" s="125" t="str">
        <f>TiposLancamentos!B5</f>
        <v>Supermercado</v>
      </c>
      <c r="C7333" s="1040" t="s">
        <v>2097</v>
      </c>
      <c r="D7333" s="1736"/>
      <c r="E7333" s="1043">
        <v>278.83</v>
      </c>
      <c r="F7333" s="1043"/>
      <c r="G7333" s="1550"/>
    </row>
    <row r="7334" spans="1:7" ht="12.75" customHeight="1">
      <c r="A7334" s="1754">
        <v>44955</v>
      </c>
      <c r="B7334" s="125" t="str">
        <f>TiposLancamentos!B56</f>
        <v>Farmácia</v>
      </c>
      <c r="C7334" s="1040" t="s">
        <v>8835</v>
      </c>
      <c r="D7334" s="1736"/>
      <c r="E7334" s="1043">
        <v>7.97</v>
      </c>
      <c r="F7334" s="1043"/>
      <c r="G7334" s="1550"/>
    </row>
    <row r="7335" spans="1:7" ht="12.75" customHeight="1">
      <c r="A7335" s="1754">
        <v>44955</v>
      </c>
      <c r="B7335" s="125" t="str">
        <f>TiposLancamentos!B17</f>
        <v>GATO</v>
      </c>
      <c r="C7335" s="1040" t="s">
        <v>8836</v>
      </c>
      <c r="D7335" s="1736"/>
      <c r="E7335" s="1043">
        <v>163.88</v>
      </c>
      <c r="F7335" s="1043"/>
      <c r="G7335" s="1550"/>
    </row>
    <row r="7336" spans="1:7" ht="12.75" customHeight="1">
      <c r="A7336" s="1754">
        <v>44957</v>
      </c>
      <c r="B7336" s="125" t="str">
        <f>TiposLancamentos!B22</f>
        <v>Combustivel</v>
      </c>
      <c r="C7336" s="1040" t="s">
        <v>7578</v>
      </c>
      <c r="D7336" s="1736"/>
      <c r="E7336" s="1043">
        <v>50</v>
      </c>
      <c r="F7336" s="1043"/>
      <c r="G7336" s="1550"/>
    </row>
    <row r="7337" spans="1:7" ht="12.75" customHeight="1">
      <c r="A7337" s="1754">
        <v>44957</v>
      </c>
      <c r="B7337" s="125" t="str">
        <f>B7273</f>
        <v>Salarios</v>
      </c>
      <c r="C7337" s="1040" t="s">
        <v>8744</v>
      </c>
      <c r="D7337" s="1736">
        <v>7601.22</v>
      </c>
      <c r="E7337" s="1043"/>
      <c r="F7337" s="1043"/>
      <c r="G7337" s="1550"/>
    </row>
    <row r="7338" spans="1:7" ht="12.75" customHeight="1">
      <c r="A7338" s="1754">
        <v>44957</v>
      </c>
      <c r="B7338" s="125" t="str">
        <f>TiposLancamentos!B98</f>
        <v>Restituições</v>
      </c>
      <c r="C7338" s="1040" t="s">
        <v>8837</v>
      </c>
      <c r="D7338" s="1736">
        <v>2700</v>
      </c>
      <c r="E7338" s="1043"/>
      <c r="F7338" s="1043"/>
      <c r="G7338" s="1550"/>
    </row>
    <row r="7339" spans="1:7" ht="12.75" customHeight="1" thickBot="1">
      <c r="A7339" s="1754">
        <v>44957</v>
      </c>
      <c r="B7339" s="125" t="str">
        <f>TiposLancamentos!B19</f>
        <v>Restaurantes</v>
      </c>
      <c r="C7339" s="1040" t="s">
        <v>8838</v>
      </c>
      <c r="D7339" s="1736"/>
      <c r="E7339" s="1043">
        <v>98.4</v>
      </c>
      <c r="F7339" s="1043"/>
      <c r="G7339" s="1550"/>
    </row>
    <row r="7340" spans="1:7" ht="12.75" customHeight="1">
      <c r="A7340" s="1834"/>
      <c r="B7340" s="977"/>
      <c r="C7340" s="1854" t="s">
        <v>1619</v>
      </c>
      <c r="D7340" s="1823"/>
      <c r="E7340" s="1821"/>
      <c r="F7340" s="1821"/>
      <c r="G7340" s="1895"/>
    </row>
    <row r="7341" spans="1:7" ht="12.75" customHeight="1">
      <c r="A7341" s="1754">
        <v>44958</v>
      </c>
      <c r="B7341" s="125" t="str">
        <f>TiposLancamentos!B15</f>
        <v>Cartões de Crédito</v>
      </c>
      <c r="C7341" s="1040" t="s">
        <v>8016</v>
      </c>
      <c r="D7341" s="1736"/>
      <c r="E7341" s="1043">
        <v>829.63</v>
      </c>
      <c r="F7341" s="1043"/>
      <c r="G7341" s="1550"/>
    </row>
    <row r="7342" spans="1:7" ht="12.75" customHeight="1">
      <c r="A7342" s="1754">
        <v>44958</v>
      </c>
      <c r="B7342" s="125" t="str">
        <f>TiposLancamentos!B15</f>
        <v>Cartões de Crédito</v>
      </c>
      <c r="C7342" s="1040" t="s">
        <v>8252</v>
      </c>
      <c r="D7342" s="1736"/>
      <c r="E7342" s="1043">
        <v>650.23</v>
      </c>
      <c r="F7342" s="1043"/>
      <c r="G7342" s="1550"/>
    </row>
    <row r="7343" spans="1:7" ht="12.75" customHeight="1">
      <c r="A7343" s="1754">
        <v>44958</v>
      </c>
      <c r="B7343" s="125" t="str">
        <f>TiposLancamentos!B15</f>
        <v>Cartões de Crédito</v>
      </c>
      <c r="C7343" s="1040" t="s">
        <v>8772</v>
      </c>
      <c r="D7343" s="1736"/>
      <c r="E7343" s="1661">
        <v>2336.4299999999998</v>
      </c>
      <c r="F7343" s="1043"/>
      <c r="G7343" s="1550"/>
    </row>
    <row r="7344" spans="1:7" ht="12.75" customHeight="1">
      <c r="A7344" s="1754">
        <v>44958</v>
      </c>
      <c r="B7344" s="125" t="str">
        <f>TiposLancamentos!B15</f>
        <v>Cartões de Crédito</v>
      </c>
      <c r="C7344" s="1040" t="s">
        <v>8773</v>
      </c>
      <c r="D7344" s="1736"/>
      <c r="E7344" s="1043">
        <v>0</v>
      </c>
      <c r="F7344" s="1043"/>
      <c r="G7344" s="1550"/>
    </row>
    <row r="7345" spans="1:7" ht="12.75" customHeight="1">
      <c r="A7345" s="1754">
        <v>44958</v>
      </c>
      <c r="B7345" s="125" t="str">
        <f>TiposLancamentos!B14</f>
        <v>Gás de cozinha</v>
      </c>
      <c r="C7345" s="1040" t="s">
        <v>7496</v>
      </c>
      <c r="D7345" s="1736"/>
      <c r="E7345" s="1043">
        <v>27.67</v>
      </c>
      <c r="F7345" s="1043"/>
      <c r="G7345" s="1550"/>
    </row>
    <row r="7346" spans="1:7" ht="12.75" customHeight="1">
      <c r="A7346" s="1754">
        <v>44958</v>
      </c>
      <c r="B7346" s="125" t="str">
        <f>TiposLancamentos!B105</f>
        <v>Transf. Bco</v>
      </c>
      <c r="C7346" s="1040" t="s">
        <v>8839</v>
      </c>
      <c r="D7346" s="1736"/>
      <c r="E7346" s="1043">
        <v>710.54</v>
      </c>
      <c r="F7346" s="1043"/>
      <c r="G7346" s="1550"/>
    </row>
    <row r="7347" spans="1:7" ht="12.75" customHeight="1">
      <c r="A7347" s="1754">
        <v>44959</v>
      </c>
      <c r="B7347" s="125" t="str">
        <f>TiposLancamentos!B56</f>
        <v>Farmácia</v>
      </c>
      <c r="C7347" s="1040" t="s">
        <v>6118</v>
      </c>
      <c r="D7347" s="1736"/>
      <c r="E7347" s="1043">
        <v>125.54</v>
      </c>
      <c r="F7347" s="1043"/>
      <c r="G7347" s="1550"/>
    </row>
    <row r="7348" spans="1:7" ht="12.75" customHeight="1">
      <c r="A7348" s="1754">
        <v>44959</v>
      </c>
      <c r="B7348" s="125" t="str">
        <f>TiposLancamentos!B4</f>
        <v>Taxas Bancarias</v>
      </c>
      <c r="C7348" s="1040" t="s">
        <v>7206</v>
      </c>
      <c r="D7348" s="1736"/>
      <c r="E7348" s="1043">
        <v>10.72</v>
      </c>
      <c r="F7348" s="1043"/>
      <c r="G7348" s="1550"/>
    </row>
    <row r="7349" spans="1:7" ht="12.75" customHeight="1">
      <c r="A7349" s="1754">
        <v>44959</v>
      </c>
      <c r="B7349" s="125" t="str">
        <f>TiposLancamentos!B19</f>
        <v>Restaurantes</v>
      </c>
      <c r="C7349" s="1040" t="s">
        <v>8840</v>
      </c>
      <c r="D7349" s="1736"/>
      <c r="E7349" s="1043">
        <v>83</v>
      </c>
      <c r="F7349" s="1043"/>
      <c r="G7349" s="1550"/>
    </row>
    <row r="7350" spans="1:7" ht="12.75" customHeight="1">
      <c r="A7350" s="1754">
        <v>44960</v>
      </c>
      <c r="B7350" s="125" t="str">
        <f>TiposLancamentos!B13</f>
        <v>Moradia</v>
      </c>
      <c r="C7350" s="1040" t="s">
        <v>3682</v>
      </c>
      <c r="D7350" s="1736"/>
      <c r="E7350" s="1043">
        <v>16</v>
      </c>
      <c r="F7350" s="1043"/>
      <c r="G7350" s="1550"/>
    </row>
    <row r="7351" spans="1:7" ht="12.75" customHeight="1">
      <c r="A7351" s="1754">
        <v>44960</v>
      </c>
      <c r="B7351" s="125" t="str">
        <f>TiposLancamentos!B4</f>
        <v>Taxas Bancarias</v>
      </c>
      <c r="C7351" s="1040" t="s">
        <v>7681</v>
      </c>
      <c r="D7351" s="1736"/>
      <c r="E7351" s="1043">
        <v>5.9</v>
      </c>
      <c r="F7351" s="1043"/>
      <c r="G7351" s="1550"/>
    </row>
    <row r="7352" spans="1:7" ht="12.75" customHeight="1">
      <c r="A7352" s="1754">
        <v>44961</v>
      </c>
      <c r="B7352" s="125" t="str">
        <f>TiposLancamentos!B19</f>
        <v>Restaurantes</v>
      </c>
      <c r="C7352" s="1040" t="s">
        <v>8841</v>
      </c>
      <c r="D7352" s="1736"/>
      <c r="E7352" s="1043">
        <v>48</v>
      </c>
      <c r="F7352" s="1043"/>
      <c r="G7352" s="1550"/>
    </row>
    <row r="7353" spans="1:7" ht="12.75" customHeight="1">
      <c r="A7353" s="1754">
        <v>44961</v>
      </c>
      <c r="B7353" s="125" t="str">
        <f>TiposLancamentos!B57</f>
        <v>Informática</v>
      </c>
      <c r="C7353" s="1040" t="s">
        <v>8842</v>
      </c>
      <c r="D7353" s="1736"/>
      <c r="E7353" s="1043">
        <v>64.930000000000007</v>
      </c>
      <c r="F7353" s="1043"/>
      <c r="G7353" s="1550"/>
    </row>
    <row r="7354" spans="1:7" ht="12.75" customHeight="1">
      <c r="A7354" s="1666">
        <v>44961</v>
      </c>
      <c r="B7354" s="817" t="str">
        <f>TiposLancamentos!B70</f>
        <v>Vestuário</v>
      </c>
      <c r="C7354" s="1742" t="s">
        <v>8843</v>
      </c>
      <c r="D7354" s="1735"/>
      <c r="E7354" s="1733">
        <f>(6*31.99)</f>
        <v>191.94</v>
      </c>
      <c r="F7354" s="1346"/>
      <c r="G7354" s="1550"/>
    </row>
    <row r="7355" spans="1:7" ht="12.75" customHeight="1">
      <c r="A7355" s="1750">
        <v>44961</v>
      </c>
      <c r="B7355" s="818" t="str">
        <f>TiposLancamentos!B18</f>
        <v>Alimentacao</v>
      </c>
      <c r="C7355" s="1743" t="s">
        <v>8844</v>
      </c>
      <c r="D7355" s="1737"/>
      <c r="E7355" s="1668">
        <f>F7355-E7354</f>
        <v>18.97999999999999</v>
      </c>
      <c r="F7355" s="1291">
        <v>210.92</v>
      </c>
      <c r="G7355" s="1550"/>
    </row>
    <row r="7356" spans="1:7" ht="12.75" customHeight="1">
      <c r="A7356" s="1754">
        <v>44961</v>
      </c>
      <c r="B7356" s="125" t="str">
        <f>TiposLancamentos!B24</f>
        <v>Estacionamentos</v>
      </c>
      <c r="C7356" s="1040" t="s">
        <v>7490</v>
      </c>
      <c r="D7356" s="1736"/>
      <c r="E7356" s="1043">
        <v>13</v>
      </c>
      <c r="F7356" s="1043"/>
      <c r="G7356" s="1550"/>
    </row>
    <row r="7357" spans="1:7" ht="12.75" customHeight="1">
      <c r="A7357" s="1754">
        <v>44961</v>
      </c>
      <c r="B7357" s="125" t="str">
        <f>TiposLancamentos!B74</f>
        <v>Noite</v>
      </c>
      <c r="C7357" s="1040" t="s">
        <v>8845</v>
      </c>
      <c r="D7357" s="1736"/>
      <c r="E7357" s="1043">
        <v>102</v>
      </c>
      <c r="F7357" s="1043"/>
      <c r="G7357" s="1550"/>
    </row>
    <row r="7358" spans="1:7" ht="12.75" customHeight="1">
      <c r="A7358" s="1666">
        <v>44961</v>
      </c>
      <c r="B7358" s="817" t="str">
        <f>TiposLancamentos!B57</f>
        <v>Informática</v>
      </c>
      <c r="C7358" s="1742" t="s">
        <v>8846</v>
      </c>
      <c r="D7358" s="1735"/>
      <c r="E7358" s="1733">
        <v>41.87</v>
      </c>
      <c r="F7358" s="1346"/>
      <c r="G7358" s="1550"/>
    </row>
    <row r="7359" spans="1:7" ht="12.75" customHeight="1">
      <c r="A7359" s="1750">
        <v>44961</v>
      </c>
      <c r="B7359" s="818" t="str">
        <f>TiposLancamentos!B57</f>
        <v>Informática</v>
      </c>
      <c r="C7359" s="1743" t="s">
        <v>8847</v>
      </c>
      <c r="D7359" s="1737"/>
      <c r="E7359" s="1668">
        <f>F7359-E7358</f>
        <v>61.110000000000007</v>
      </c>
      <c r="F7359" s="1291">
        <v>102.98</v>
      </c>
      <c r="G7359" s="1550"/>
    </row>
    <row r="7360" spans="1:7" ht="12.75" customHeight="1">
      <c r="A7360" s="1754">
        <v>44962</v>
      </c>
      <c r="B7360" s="125" t="str">
        <f>TiposLancamentos!B19</f>
        <v>Restaurantes</v>
      </c>
      <c r="C7360" s="1040" t="s">
        <v>8609</v>
      </c>
      <c r="D7360" s="1736"/>
      <c r="E7360" s="1043">
        <v>76</v>
      </c>
      <c r="F7360" s="1043"/>
      <c r="G7360" s="1550"/>
    </row>
    <row r="7361" spans="1:7" ht="12.75" customHeight="1">
      <c r="A7361" s="1754">
        <v>44963</v>
      </c>
      <c r="B7361" s="125" t="str">
        <f>TiposLancamentos!B4</f>
        <v>Taxas Bancarias</v>
      </c>
      <c r="C7361" s="1040" t="s">
        <v>8818</v>
      </c>
      <c r="D7361" s="1736"/>
      <c r="E7361" s="1043">
        <v>50.07</v>
      </c>
      <c r="F7361" s="1043"/>
      <c r="G7361" s="1550"/>
    </row>
    <row r="7362" spans="1:7" ht="12.75" customHeight="1">
      <c r="A7362" s="1754">
        <v>44963</v>
      </c>
      <c r="B7362" s="125" t="str">
        <f>TiposLancamentos!B103</f>
        <v>Juros_Corr. Poupança</v>
      </c>
      <c r="C7362" s="1040" t="s">
        <v>7341</v>
      </c>
      <c r="D7362" s="1736">
        <v>0.03</v>
      </c>
      <c r="E7362" s="1043"/>
      <c r="F7362" s="1043"/>
      <c r="G7362" s="1550"/>
    </row>
    <row r="7363" spans="1:7" ht="12.75" customHeight="1">
      <c r="A7363" s="1754">
        <v>44964</v>
      </c>
      <c r="B7363" s="125" t="str">
        <f>TiposLancamentos!B57</f>
        <v>Informática</v>
      </c>
      <c r="C7363" s="1040" t="s">
        <v>8848</v>
      </c>
      <c r="D7363" s="1736"/>
      <c r="E7363" s="1043">
        <v>56.78</v>
      </c>
      <c r="F7363" s="1043"/>
      <c r="G7363" s="1550"/>
    </row>
    <row r="7364" spans="1:7" ht="12.75" customHeight="1">
      <c r="A7364" s="1754">
        <v>44964</v>
      </c>
      <c r="B7364" s="125" t="str">
        <f>TiposLancamentos!B4</f>
        <v>Taxas Bancarias</v>
      </c>
      <c r="C7364" s="1040" t="s">
        <v>7789</v>
      </c>
      <c r="D7364" s="1736"/>
      <c r="E7364" s="1043">
        <v>3.23</v>
      </c>
      <c r="F7364" s="1043"/>
      <c r="G7364" s="1550"/>
    </row>
    <row r="7365" spans="1:7" ht="12.75" customHeight="1">
      <c r="A7365" s="1754">
        <v>44965</v>
      </c>
      <c r="B7365" s="125" t="str">
        <f>TiposLancamentos!B71</f>
        <v>Itens Pessoais</v>
      </c>
      <c r="C7365" s="1040" t="s">
        <v>8849</v>
      </c>
      <c r="D7365" s="1736"/>
      <c r="E7365" s="1043">
        <v>46.8</v>
      </c>
      <c r="F7365" s="1043"/>
      <c r="G7365" s="1550"/>
    </row>
    <row r="7366" spans="1:7" ht="12.75" customHeight="1">
      <c r="A7366" s="1754">
        <v>44965</v>
      </c>
      <c r="B7366" s="125" t="str">
        <f>TiposLancamentos!B103</f>
        <v>Juros_Corr. Poupança</v>
      </c>
      <c r="C7366" s="1040" t="s">
        <v>7341</v>
      </c>
      <c r="D7366" s="1736">
        <v>0.01</v>
      </c>
      <c r="E7366" s="1043"/>
      <c r="F7366" s="1043"/>
      <c r="G7366" s="1550"/>
    </row>
    <row r="7367" spans="1:7" ht="12.75" customHeight="1">
      <c r="A7367" s="1754">
        <v>44967</v>
      </c>
      <c r="B7367" s="125" t="str">
        <f>TiposLancamentos!B46</f>
        <v>Maçonaria</v>
      </c>
      <c r="C7367" s="1040" t="s">
        <v>8850</v>
      </c>
      <c r="D7367" s="1736"/>
      <c r="E7367" s="1043">
        <v>210</v>
      </c>
      <c r="F7367" s="1043"/>
      <c r="G7367" s="1550"/>
    </row>
    <row r="7368" spans="1:7" ht="12.75" customHeight="1">
      <c r="A7368" s="1754">
        <v>44967</v>
      </c>
      <c r="B7368" s="125" t="str">
        <f>TiposLancamentos!B57</f>
        <v>Informática</v>
      </c>
      <c r="C7368" s="1040" t="s">
        <v>8851</v>
      </c>
      <c r="D7368" s="1736"/>
      <c r="E7368" s="1043">
        <v>58.9</v>
      </c>
      <c r="F7368" s="1043"/>
      <c r="G7368" s="1550"/>
    </row>
    <row r="7369" spans="1:7" ht="12.75" customHeight="1">
      <c r="A7369" s="1754">
        <v>44968</v>
      </c>
      <c r="B7369" s="125" t="str">
        <f>TiposLancamentos!B57</f>
        <v>Informática</v>
      </c>
      <c r="C7369" s="1040" t="s">
        <v>8852</v>
      </c>
      <c r="D7369" s="1736"/>
      <c r="E7369" s="1043">
        <v>37.979999999999997</v>
      </c>
      <c r="F7369" s="1043"/>
      <c r="G7369" s="1550"/>
    </row>
    <row r="7370" spans="1:7" ht="12.75" customHeight="1">
      <c r="A7370" s="1754">
        <v>44968</v>
      </c>
      <c r="B7370" s="125" t="str">
        <f>TiposLancamentos!B19</f>
        <v>Restaurantes</v>
      </c>
      <c r="C7370" s="1040" t="s">
        <v>8853</v>
      </c>
      <c r="D7370" s="1736"/>
      <c r="E7370" s="1043">
        <v>31.64</v>
      </c>
      <c r="F7370" s="1043"/>
      <c r="G7370" s="1550"/>
    </row>
    <row r="7371" spans="1:7" ht="12.75" customHeight="1">
      <c r="A7371" s="1754">
        <v>44968</v>
      </c>
      <c r="B7371" s="125" t="str">
        <f>TiposLancamentos!B19</f>
        <v>Restaurantes</v>
      </c>
      <c r="C7371" s="1040" t="s">
        <v>8854</v>
      </c>
      <c r="D7371" s="1736"/>
      <c r="E7371" s="1043">
        <v>111.38</v>
      </c>
      <c r="F7371" s="1043"/>
      <c r="G7371" s="1550"/>
    </row>
    <row r="7372" spans="1:7" ht="12.75" customHeight="1">
      <c r="A7372" s="1754">
        <v>44969</v>
      </c>
      <c r="B7372" s="125" t="str">
        <f>TiposLancamentos!B5</f>
        <v>Supermercado</v>
      </c>
      <c r="C7372" s="1040" t="s">
        <v>2437</v>
      </c>
      <c r="D7372" s="1736"/>
      <c r="E7372" s="1043">
        <v>14.58</v>
      </c>
      <c r="F7372" s="1043"/>
      <c r="G7372" s="1550"/>
    </row>
    <row r="7373" spans="1:7" ht="12.75" customHeight="1">
      <c r="A7373" s="1754">
        <v>44969</v>
      </c>
      <c r="B7373" s="125" t="str">
        <f>TiposLancamentos!B19</f>
        <v>Restaurantes</v>
      </c>
      <c r="C7373" s="1040" t="s">
        <v>8855</v>
      </c>
      <c r="D7373" s="1736"/>
      <c r="E7373" s="1043">
        <v>94.4</v>
      </c>
      <c r="F7373" s="1043"/>
      <c r="G7373" s="1550"/>
    </row>
    <row r="7374" spans="1:7" ht="12.75" customHeight="1">
      <c r="A7374" s="1754">
        <v>44970</v>
      </c>
      <c r="B7374" s="125" t="str">
        <f>TiposLancamentos!B103</f>
        <v>Juros_Corr. Poupança</v>
      </c>
      <c r="C7374" s="1040" t="s">
        <v>7341</v>
      </c>
      <c r="D7374" s="1736">
        <v>0.01</v>
      </c>
      <c r="E7374" s="1043"/>
      <c r="F7374" s="1043"/>
      <c r="G7374" s="1550"/>
    </row>
    <row r="7375" spans="1:7" ht="12.75" customHeight="1">
      <c r="A7375" s="1754">
        <v>44970</v>
      </c>
      <c r="B7375" s="125" t="str">
        <f>TiposLancamentos!B88</f>
        <v>Ford Ecosport XLT</v>
      </c>
      <c r="C7375" s="1040" t="s">
        <v>8856</v>
      </c>
      <c r="D7375" s="1736"/>
      <c r="E7375" s="1043">
        <v>248.19</v>
      </c>
      <c r="F7375" s="1043"/>
      <c r="G7375" s="1550"/>
    </row>
    <row r="7376" spans="1:7" ht="12.75" customHeight="1">
      <c r="A7376" s="1754">
        <v>44970</v>
      </c>
      <c r="B7376" s="125" t="str">
        <f>TiposLancamentos!B103</f>
        <v>Juros_Corr. Poupança</v>
      </c>
      <c r="C7376" s="1040" t="s">
        <v>7341</v>
      </c>
      <c r="D7376" s="1736">
        <v>0.03</v>
      </c>
      <c r="E7376" s="1043"/>
      <c r="F7376" s="1043"/>
      <c r="G7376" s="1550"/>
    </row>
    <row r="7377" spans="1:7" ht="12.75" customHeight="1">
      <c r="A7377" s="1754">
        <v>44970</v>
      </c>
      <c r="B7377" s="125" t="str">
        <f>TiposLancamentos!B5</f>
        <v>Supermercado</v>
      </c>
      <c r="C7377" s="1040" t="s">
        <v>7538</v>
      </c>
      <c r="D7377" s="1736"/>
      <c r="E7377" s="1043">
        <v>173.61</v>
      </c>
      <c r="F7377" s="1043"/>
      <c r="G7377" s="1550"/>
    </row>
    <row r="7378" spans="1:7" ht="12.75" customHeight="1">
      <c r="A7378" s="1754">
        <v>44970</v>
      </c>
      <c r="B7378" s="125" t="str">
        <f>TiposLancamentos!B56</f>
        <v>Farmácia</v>
      </c>
      <c r="C7378" s="1040" t="s">
        <v>8857</v>
      </c>
      <c r="D7378" s="1736"/>
      <c r="E7378" s="1043">
        <v>114.11</v>
      </c>
      <c r="F7378" s="1043"/>
      <c r="G7378" s="1550"/>
    </row>
    <row r="7379" spans="1:7" ht="12.75" customHeight="1">
      <c r="A7379" s="1754">
        <v>44971</v>
      </c>
      <c r="B7379" s="125" t="str">
        <f>TiposLancamentos!B22</f>
        <v>Combustivel</v>
      </c>
      <c r="C7379" s="1040" t="s">
        <v>8736</v>
      </c>
      <c r="D7379" s="1736"/>
      <c r="E7379" s="1043">
        <v>50</v>
      </c>
      <c r="F7379" s="1043"/>
      <c r="G7379" s="1550"/>
    </row>
    <row r="7380" spans="1:7" ht="12.75" customHeight="1">
      <c r="A7380" s="1754">
        <v>44971</v>
      </c>
      <c r="B7380" s="125" t="str">
        <f>TiposLancamentos!B24</f>
        <v>Estacionamentos</v>
      </c>
      <c r="C7380" s="1040" t="s">
        <v>1898</v>
      </c>
      <c r="D7380" s="1736"/>
      <c r="E7380" s="1043">
        <v>15</v>
      </c>
      <c r="F7380" s="1043"/>
      <c r="G7380" s="1550"/>
    </row>
    <row r="7381" spans="1:7" ht="12.75" customHeight="1">
      <c r="A7381" s="1754">
        <v>44972</v>
      </c>
      <c r="B7381" s="125" t="str">
        <f>TiposLancamentos!B71</f>
        <v>Itens Pessoais</v>
      </c>
      <c r="C7381" s="1040" t="s">
        <v>8858</v>
      </c>
      <c r="D7381" s="1736"/>
      <c r="E7381" s="1043">
        <v>15</v>
      </c>
      <c r="F7381" s="1043"/>
      <c r="G7381" s="1550"/>
    </row>
    <row r="7382" spans="1:7" ht="12.75" customHeight="1">
      <c r="A7382" s="1754">
        <v>44972</v>
      </c>
      <c r="B7382" s="116"/>
      <c r="C7382" s="1040" t="s">
        <v>1868</v>
      </c>
      <c r="D7382" s="1736">
        <v>0</v>
      </c>
      <c r="E7382" s="1043">
        <v>0</v>
      </c>
      <c r="F7382" s="1664"/>
      <c r="G7382" s="1550"/>
    </row>
    <row r="7383" spans="1:7" ht="12.75" customHeight="1">
      <c r="A7383" s="1666">
        <v>44972</v>
      </c>
      <c r="B7383" s="817" t="str">
        <f>TiposLancamentos!B35</f>
        <v>Tv à Cabo</v>
      </c>
      <c r="C7383" s="1742" t="s">
        <v>5834</v>
      </c>
      <c r="D7383" s="1735"/>
      <c r="E7383" s="1733">
        <f>F7385-(E7384+E7385)</f>
        <v>144.18</v>
      </c>
      <c r="F7383" s="1290"/>
      <c r="G7383" s="1550"/>
    </row>
    <row r="7384" spans="1:7" ht="12.75" customHeight="1">
      <c r="A7384" s="1667">
        <v>44972</v>
      </c>
      <c r="B7384" s="816" t="str">
        <f>TiposLancamentos!B3</f>
        <v>Internet</v>
      </c>
      <c r="C7384" s="1769" t="s">
        <v>5835</v>
      </c>
      <c r="D7384" s="1736"/>
      <c r="E7384" s="1734">
        <v>143.43</v>
      </c>
      <c r="F7384" s="1043"/>
      <c r="G7384" s="1550"/>
    </row>
    <row r="7385" spans="1:7" ht="12.75" customHeight="1">
      <c r="A7385" s="1750">
        <v>44972</v>
      </c>
      <c r="B7385" s="818" t="str">
        <f>TiposLancamentos!B2</f>
        <v>Telefonia</v>
      </c>
      <c r="C7385" s="1743" t="s">
        <v>7210</v>
      </c>
      <c r="D7385" s="1737"/>
      <c r="E7385" s="1668">
        <v>0</v>
      </c>
      <c r="F7385" s="1291">
        <v>287.61</v>
      </c>
      <c r="G7385" s="1550"/>
    </row>
    <row r="7386" spans="1:7" ht="12.75" customHeight="1">
      <c r="A7386" s="1754">
        <v>44972</v>
      </c>
      <c r="B7386" s="116"/>
      <c r="C7386" s="1040" t="s">
        <v>1868</v>
      </c>
      <c r="D7386" s="1736">
        <v>0</v>
      </c>
      <c r="E7386" s="1043">
        <v>0</v>
      </c>
      <c r="F7386" s="1656"/>
      <c r="G7386" s="1550"/>
    </row>
    <row r="7387" spans="1:7" ht="12.75" customHeight="1">
      <c r="A7387" s="1666">
        <v>44972</v>
      </c>
      <c r="B7387" s="817" t="str">
        <f>TiposLancamentos!B33</f>
        <v>Pedágios</v>
      </c>
      <c r="C7387" s="1742" t="s">
        <v>5392</v>
      </c>
      <c r="D7387" s="1735">
        <v>0</v>
      </c>
      <c r="E7387" s="1733">
        <f>F7389-(E7388+E7389)</f>
        <v>75.72</v>
      </c>
      <c r="F7387" s="1290"/>
      <c r="G7387" s="1550"/>
    </row>
    <row r="7388" spans="1:7" ht="12.75" customHeight="1">
      <c r="A7388" s="1667">
        <v>44972</v>
      </c>
      <c r="B7388" s="816" t="str">
        <f>TiposLancamentos!B24</f>
        <v>Estacionamentos</v>
      </c>
      <c r="C7388" s="1769" t="s">
        <v>7366</v>
      </c>
      <c r="D7388" s="1736"/>
      <c r="E7388" s="1734">
        <v>0</v>
      </c>
      <c r="F7388" s="1043"/>
      <c r="G7388" s="1550"/>
    </row>
    <row r="7389" spans="1:7" ht="12.75" customHeight="1">
      <c r="A7389" s="1750">
        <v>44972</v>
      </c>
      <c r="B7389" s="818" t="str">
        <f>TiposLancamentos!B24</f>
        <v>Estacionamentos</v>
      </c>
      <c r="C7389" s="1743" t="s">
        <v>6297</v>
      </c>
      <c r="D7389" s="1737"/>
      <c r="E7389" s="1668">
        <v>0</v>
      </c>
      <c r="F7389" s="1347">
        <v>75.72</v>
      </c>
      <c r="G7389" s="1550"/>
    </row>
    <row r="7390" spans="1:7" ht="12.75" customHeight="1">
      <c r="A7390" s="1754">
        <v>44972</v>
      </c>
      <c r="B7390" s="116"/>
      <c r="C7390" s="1040" t="s">
        <v>1868</v>
      </c>
      <c r="D7390" s="1736">
        <v>0</v>
      </c>
      <c r="E7390" s="1043">
        <v>0</v>
      </c>
      <c r="F7390" s="1043"/>
      <c r="G7390" s="1550"/>
    </row>
    <row r="7391" spans="1:7" ht="12.75" customHeight="1">
      <c r="A7391" s="1754">
        <v>44972</v>
      </c>
      <c r="B7391" s="125" t="str">
        <f>TiposLancamentos!B2</f>
        <v>Telefonia</v>
      </c>
      <c r="C7391" s="1040" t="s">
        <v>8797</v>
      </c>
      <c r="D7391" s="1736"/>
      <c r="E7391" s="1043">
        <v>0</v>
      </c>
      <c r="F7391" s="1043"/>
      <c r="G7391" s="1550"/>
    </row>
    <row r="7392" spans="1:7" ht="12.75" customHeight="1">
      <c r="A7392" s="1754">
        <v>44972</v>
      </c>
      <c r="B7392" s="125" t="str">
        <f>TiposLancamentos!B103</f>
        <v>Juros_Corr. Poupança</v>
      </c>
      <c r="C7392" s="1040" t="s">
        <v>7341</v>
      </c>
      <c r="D7392" s="1736">
        <v>0.01</v>
      </c>
      <c r="E7392" s="1043"/>
      <c r="F7392" s="1043"/>
      <c r="G7392" s="1550"/>
    </row>
    <row r="7393" spans="1:7" ht="12.75" customHeight="1">
      <c r="A7393" s="1754">
        <v>44973</v>
      </c>
      <c r="B7393" s="125" t="str">
        <f>TiposLancamentos!B103</f>
        <v>Juros_Corr. Poupança</v>
      </c>
      <c r="C7393" s="1040" t="s">
        <v>7341</v>
      </c>
      <c r="D7393" s="1736">
        <v>0.02</v>
      </c>
      <c r="E7393" s="1043"/>
      <c r="F7393" s="1043"/>
      <c r="G7393" s="1550"/>
    </row>
    <row r="7394" spans="1:7" ht="12.75" customHeight="1">
      <c r="A7394" s="1754">
        <v>44974</v>
      </c>
      <c r="B7394" s="125" t="str">
        <f>TiposLancamentos!B95</f>
        <v>Salarios</v>
      </c>
      <c r="C7394" s="1040" t="s">
        <v>8859</v>
      </c>
      <c r="D7394" s="1736">
        <v>10818.1</v>
      </c>
      <c r="E7394" s="1043"/>
      <c r="F7394" s="1043"/>
      <c r="G7394" s="1550"/>
    </row>
    <row r="7395" spans="1:7" ht="12.75" customHeight="1">
      <c r="A7395" s="1754">
        <v>44975</v>
      </c>
      <c r="B7395" s="125" t="str">
        <f>TiposLancamentos!B19</f>
        <v>Restaurantes</v>
      </c>
      <c r="C7395" s="1040" t="s">
        <v>8860</v>
      </c>
      <c r="D7395" s="1736"/>
      <c r="E7395" s="1043">
        <v>25</v>
      </c>
      <c r="F7395" s="1043"/>
      <c r="G7395" s="1550"/>
    </row>
    <row r="7396" spans="1:7" ht="12.75" customHeight="1">
      <c r="A7396" s="1754">
        <v>44975</v>
      </c>
      <c r="B7396" s="125" t="str">
        <f>TiposLancamentos!B71</f>
        <v>Itens Pessoais</v>
      </c>
      <c r="C7396" s="1040" t="s">
        <v>8861</v>
      </c>
      <c r="D7396" s="1736"/>
      <c r="E7396" s="1043">
        <v>30</v>
      </c>
      <c r="F7396" s="1043"/>
      <c r="G7396" s="1550"/>
    </row>
    <row r="7397" spans="1:7" ht="12.75" customHeight="1">
      <c r="A7397" s="1754">
        <v>44975</v>
      </c>
      <c r="B7397" s="125" t="str">
        <f>TiposLancamentos!B24</f>
        <v>Estacionamentos</v>
      </c>
      <c r="C7397" s="1040" t="s">
        <v>3398</v>
      </c>
      <c r="D7397" s="1736"/>
      <c r="E7397" s="1043">
        <v>13</v>
      </c>
      <c r="F7397" s="1043"/>
      <c r="G7397" s="1550"/>
    </row>
    <row r="7398" spans="1:7" ht="12.75" customHeight="1">
      <c r="A7398" s="1754">
        <v>44975</v>
      </c>
      <c r="B7398" s="125" t="str">
        <f>TiposLancamentos!B19</f>
        <v>Restaurantes</v>
      </c>
      <c r="C7398" s="1040" t="s">
        <v>8767</v>
      </c>
      <c r="D7398" s="1736"/>
      <c r="E7398" s="1043">
        <v>90.5</v>
      </c>
      <c r="F7398" s="1043"/>
      <c r="G7398" s="1550"/>
    </row>
    <row r="7399" spans="1:7" ht="12.75" customHeight="1">
      <c r="A7399" s="1754">
        <v>44976</v>
      </c>
      <c r="B7399" s="125" t="str">
        <f>TiposLancamentos!B5</f>
        <v>Supermercado</v>
      </c>
      <c r="C7399" s="1040" t="s">
        <v>8862</v>
      </c>
      <c r="D7399" s="1736"/>
      <c r="E7399" s="1043">
        <v>373.28</v>
      </c>
      <c r="F7399" s="1043"/>
      <c r="G7399" s="1550"/>
    </row>
    <row r="7400" spans="1:7" ht="12.75" customHeight="1">
      <c r="A7400" s="1754">
        <v>44976</v>
      </c>
      <c r="B7400" s="125" t="str">
        <f>TiposLancamentos!B56</f>
        <v>Farmácia</v>
      </c>
      <c r="C7400" s="1040" t="s">
        <v>8863</v>
      </c>
      <c r="D7400" s="1736"/>
      <c r="E7400" s="1043">
        <v>18.38</v>
      </c>
      <c r="F7400" s="1043"/>
      <c r="G7400" s="1550"/>
    </row>
    <row r="7401" spans="1:7" ht="12.75" customHeight="1">
      <c r="A7401" s="1754">
        <v>44977</v>
      </c>
      <c r="B7401" s="125"/>
      <c r="C7401" s="1040" t="s">
        <v>1868</v>
      </c>
      <c r="D7401" s="1736"/>
      <c r="E7401" s="1043"/>
      <c r="F7401" s="1043"/>
      <c r="G7401" s="1550"/>
    </row>
    <row r="7402" spans="1:7" ht="12.75" customHeight="1">
      <c r="A7402" s="1666">
        <v>44977</v>
      </c>
      <c r="B7402" s="817" t="str">
        <f>TiposLancamentos!B8</f>
        <v>Aluguel</v>
      </c>
      <c r="C7402" s="1742" t="s">
        <v>8864</v>
      </c>
      <c r="D7402" s="1735"/>
      <c r="E7402" s="1733">
        <f>F7406-(E7403+E7406+E7404+E7405)</f>
        <v>1540.8399999999997</v>
      </c>
      <c r="F7402" s="1346"/>
      <c r="G7402" s="1550"/>
    </row>
    <row r="7403" spans="1:7" ht="12.75" customHeight="1">
      <c r="A7403" s="1667">
        <v>44977</v>
      </c>
      <c r="B7403" s="816" t="str">
        <f>TiposLancamentos!B12</f>
        <v>IPTU</v>
      </c>
      <c r="C7403" s="1769" t="s">
        <v>8865</v>
      </c>
      <c r="D7403" s="1736"/>
      <c r="E7403" s="1734">
        <v>54.57</v>
      </c>
      <c r="F7403" s="1043"/>
      <c r="G7403" s="1550"/>
    </row>
    <row r="7404" spans="1:7" ht="12.75" customHeight="1">
      <c r="A7404" s="1667">
        <v>44977</v>
      </c>
      <c r="B7404" s="816" t="str">
        <f>TiposLancamentos!B10</f>
        <v>Distr. Água Municipal</v>
      </c>
      <c r="C7404" s="1769" t="s">
        <v>7423</v>
      </c>
      <c r="D7404" s="1736"/>
      <c r="E7404" s="1734">
        <v>61.81</v>
      </c>
      <c r="F7404" s="1043"/>
      <c r="G7404" s="1550"/>
    </row>
    <row r="7405" spans="1:7" ht="12.75" customHeight="1">
      <c r="A7405" s="1667">
        <v>44977</v>
      </c>
      <c r="B7405" s="816" t="str">
        <f>TiposLancamentos!B11</f>
        <v>Coleta Municipal Lixo</v>
      </c>
      <c r="C7405" s="1769" t="s">
        <v>7424</v>
      </c>
      <c r="D7405" s="1736"/>
      <c r="E7405" s="1734">
        <v>44.36</v>
      </c>
      <c r="F7405" s="1043"/>
      <c r="G7405" s="1550"/>
    </row>
    <row r="7406" spans="1:7" ht="12.75" customHeight="1">
      <c r="A7406" s="1750">
        <v>44977</v>
      </c>
      <c r="B7406" s="818" t="str">
        <f>TiposLancamentos!B9</f>
        <v>Condominio</v>
      </c>
      <c r="C7406" s="1743" t="s">
        <v>7427</v>
      </c>
      <c r="D7406" s="1737"/>
      <c r="E7406" s="1668">
        <v>616.37</v>
      </c>
      <c r="F7406" s="1291">
        <v>2317.9499999999998</v>
      </c>
      <c r="G7406" s="1550"/>
    </row>
    <row r="7407" spans="1:7" ht="12.75" customHeight="1">
      <c r="A7407" s="1754">
        <v>44977</v>
      </c>
      <c r="B7407" s="125"/>
      <c r="C7407" s="1040" t="s">
        <v>1868</v>
      </c>
      <c r="D7407" s="1736"/>
      <c r="E7407" s="1043"/>
      <c r="F7407" s="1043"/>
      <c r="G7407" s="1550"/>
    </row>
    <row r="7408" spans="1:7" ht="12.75" customHeight="1">
      <c r="A7408" s="1754">
        <v>44977</v>
      </c>
      <c r="B7408" s="125" t="str">
        <f>TiposLancamentos!B19</f>
        <v>Restaurantes</v>
      </c>
      <c r="C7408" s="1040" t="s">
        <v>7419</v>
      </c>
      <c r="D7408" s="1736"/>
      <c r="E7408" s="1043">
        <v>65.78</v>
      </c>
      <c r="F7408" s="1043"/>
      <c r="G7408" s="1550"/>
    </row>
    <row r="7409" spans="1:7" ht="12.75" customHeight="1">
      <c r="A7409" s="1754">
        <v>44977</v>
      </c>
      <c r="B7409" s="125" t="str">
        <f>TiposLancamentos!B24</f>
        <v>Estacionamentos</v>
      </c>
      <c r="C7409" s="1040" t="s">
        <v>8866</v>
      </c>
      <c r="D7409" s="1736"/>
      <c r="E7409" s="1043">
        <v>12</v>
      </c>
      <c r="F7409" s="1043"/>
      <c r="G7409" s="1550"/>
    </row>
    <row r="7410" spans="1:7" ht="12.75" customHeight="1">
      <c r="A7410" s="1754">
        <v>44977</v>
      </c>
      <c r="B7410" s="125" t="str">
        <f>TiposLancamentos!B19</f>
        <v>Restaurantes</v>
      </c>
      <c r="C7410" s="1040" t="s">
        <v>8867</v>
      </c>
      <c r="D7410" s="1736"/>
      <c r="E7410" s="1043">
        <v>141.61000000000001</v>
      </c>
      <c r="F7410" s="1043"/>
      <c r="G7410" s="1550"/>
    </row>
    <row r="7411" spans="1:7" ht="12.75" customHeight="1">
      <c r="A7411" s="1754">
        <v>44979</v>
      </c>
      <c r="B7411" s="125" t="str">
        <f>TiposLancamentos!B6</f>
        <v>Energia Eletrica</v>
      </c>
      <c r="C7411" s="1040" t="s">
        <v>8868</v>
      </c>
      <c r="D7411" s="1736"/>
      <c r="E7411" s="1043">
        <v>265.54000000000002</v>
      </c>
      <c r="F7411" s="1043"/>
      <c r="G7411" s="1550"/>
    </row>
    <row r="7412" spans="1:7" ht="12.75" customHeight="1">
      <c r="A7412" s="1754">
        <v>44980</v>
      </c>
      <c r="B7412" s="125" t="str">
        <f>TiposLancamentos!B103</f>
        <v>Juros_Corr. Poupança</v>
      </c>
      <c r="C7412" s="1040" t="s">
        <v>7341</v>
      </c>
      <c r="D7412" s="1736">
        <v>0.04</v>
      </c>
      <c r="E7412" s="1043"/>
      <c r="F7412" s="1043"/>
      <c r="G7412" s="1550"/>
    </row>
    <row r="7413" spans="1:7" ht="12.75" customHeight="1">
      <c r="A7413" s="1754">
        <v>44980</v>
      </c>
      <c r="B7413" s="125" t="str">
        <f>TiposLancamentos!B22</f>
        <v>Combustivel</v>
      </c>
      <c r="C7413" s="1040" t="s">
        <v>7814</v>
      </c>
      <c r="D7413" s="1736"/>
      <c r="E7413" s="1043">
        <v>50</v>
      </c>
      <c r="F7413" s="1043"/>
      <c r="G7413" s="1550"/>
    </row>
    <row r="7414" spans="1:7" ht="12.75" customHeight="1">
      <c r="A7414" s="1754">
        <v>44980</v>
      </c>
      <c r="B7414" s="125" t="str">
        <f>TiposLancamentos!B103</f>
        <v>Juros_Corr. Poupança</v>
      </c>
      <c r="C7414" s="1040" t="s">
        <v>7341</v>
      </c>
      <c r="D7414" s="1736">
        <v>0.02</v>
      </c>
      <c r="E7414" s="1043"/>
      <c r="F7414" s="1043"/>
      <c r="G7414" s="1550"/>
    </row>
    <row r="7415" spans="1:7" ht="12.75" customHeight="1">
      <c r="A7415" s="1754">
        <v>44980</v>
      </c>
      <c r="B7415" s="125" t="str">
        <f>TiposLancamentos!B17</f>
        <v>GATO</v>
      </c>
      <c r="C7415" s="1040" t="s">
        <v>8869</v>
      </c>
      <c r="D7415" s="1736"/>
      <c r="E7415" s="1043">
        <v>31.48</v>
      </c>
      <c r="F7415" s="1043"/>
      <c r="G7415" s="1550"/>
    </row>
    <row r="7416" spans="1:7" ht="12.75" customHeight="1">
      <c r="A7416" s="1754">
        <v>44980</v>
      </c>
      <c r="B7416" s="125" t="str">
        <f>TiposLancamentos!B19</f>
        <v>Restaurantes</v>
      </c>
      <c r="C7416" s="1040" t="s">
        <v>8870</v>
      </c>
      <c r="D7416" s="1736"/>
      <c r="E7416" s="1043">
        <v>130</v>
      </c>
      <c r="F7416" s="1043"/>
      <c r="G7416" s="1550"/>
    </row>
    <row r="7417" spans="1:7" ht="12.75" customHeight="1">
      <c r="A7417" s="1754">
        <v>44981</v>
      </c>
      <c r="B7417" s="125" t="str">
        <f>TiposLancamentos!B13</f>
        <v>Moradia</v>
      </c>
      <c r="C7417" s="1040" t="s">
        <v>8871</v>
      </c>
      <c r="D7417" s="1736"/>
      <c r="E7417" s="1043">
        <v>15</v>
      </c>
      <c r="F7417" s="1043"/>
      <c r="G7417" s="1550"/>
    </row>
    <row r="7418" spans="1:7" ht="12.75" customHeight="1">
      <c r="A7418" s="1754">
        <v>44981</v>
      </c>
      <c r="B7418" s="125" t="str">
        <f>TiposLancamentos!B19</f>
        <v>Restaurantes</v>
      </c>
      <c r="C7418" s="1040" t="s">
        <v>8609</v>
      </c>
      <c r="D7418" s="1736"/>
      <c r="E7418" s="1043">
        <v>115</v>
      </c>
      <c r="F7418" s="1043"/>
      <c r="G7418" s="1550"/>
    </row>
    <row r="7419" spans="1:7" ht="12.75" customHeight="1">
      <c r="A7419" s="1754">
        <v>44982</v>
      </c>
      <c r="B7419" s="125" t="str">
        <f>TiposLancamentos!B19</f>
        <v>Restaurantes</v>
      </c>
      <c r="C7419" s="1040" t="s">
        <v>8872</v>
      </c>
      <c r="D7419" s="1736"/>
      <c r="E7419" s="1043">
        <v>161.69999999999999</v>
      </c>
      <c r="F7419" s="1043"/>
      <c r="G7419" s="1550"/>
    </row>
    <row r="7420" spans="1:7" ht="12.75" customHeight="1">
      <c r="A7420" s="1754">
        <v>44982</v>
      </c>
      <c r="B7420" s="125" t="str">
        <f>TiposLancamentos!B16</f>
        <v>Cristiane</v>
      </c>
      <c r="C7420" s="1040" t="s">
        <v>8873</v>
      </c>
      <c r="D7420" s="1736"/>
      <c r="E7420" s="1043">
        <v>99.8</v>
      </c>
      <c r="F7420" s="1043"/>
      <c r="G7420" s="1550"/>
    </row>
    <row r="7421" spans="1:7" ht="12.75" customHeight="1">
      <c r="A7421" s="1754">
        <v>44982</v>
      </c>
      <c r="B7421" s="125" t="str">
        <f>TiposLancamentos!B19</f>
        <v>Restaurantes</v>
      </c>
      <c r="C7421" s="1040" t="s">
        <v>8874</v>
      </c>
      <c r="D7421" s="1736"/>
      <c r="E7421" s="1043">
        <v>32.700000000000003</v>
      </c>
      <c r="F7421" s="1043"/>
      <c r="G7421" s="1550"/>
    </row>
    <row r="7422" spans="1:7" ht="12.75" customHeight="1">
      <c r="A7422" s="1754">
        <v>44982</v>
      </c>
      <c r="B7422" s="125" t="str">
        <f>TiposLancamentos!B24</f>
        <v>Estacionamentos</v>
      </c>
      <c r="C7422" s="1040" t="s">
        <v>7466</v>
      </c>
      <c r="D7422" s="1736"/>
      <c r="E7422" s="1043">
        <v>25</v>
      </c>
      <c r="F7422" s="1043"/>
      <c r="G7422" s="1550"/>
    </row>
    <row r="7423" spans="1:7" ht="12.75" customHeight="1">
      <c r="A7423" s="1754">
        <v>44984</v>
      </c>
      <c r="B7423" s="125" t="str">
        <f>TiposLancamentos!B56</f>
        <v>Farmácia</v>
      </c>
      <c r="C7423" s="1040" t="s">
        <v>8875</v>
      </c>
      <c r="D7423" s="1736"/>
      <c r="E7423" s="1043">
        <v>68.58</v>
      </c>
      <c r="F7423" s="1043"/>
      <c r="G7423" s="1550"/>
    </row>
    <row r="7424" spans="1:7" ht="12.75" customHeight="1">
      <c r="A7424" s="1754">
        <v>44984</v>
      </c>
      <c r="B7424" s="125" t="str">
        <f>TiposLancamentos!B17</f>
        <v>GATO</v>
      </c>
      <c r="C7424" s="1040" t="s">
        <v>8876</v>
      </c>
      <c r="D7424" s="1736"/>
      <c r="E7424" s="1043">
        <v>68.81</v>
      </c>
      <c r="F7424" s="1043"/>
      <c r="G7424" s="1550"/>
    </row>
    <row r="7425" spans="1:7" ht="12.75" customHeight="1">
      <c r="A7425" s="1754">
        <v>44984</v>
      </c>
      <c r="B7425" s="125" t="str">
        <f>TiposLancamentos!B19</f>
        <v>Restaurantes</v>
      </c>
      <c r="C7425" s="1040" t="s">
        <v>8877</v>
      </c>
      <c r="D7425" s="1736"/>
      <c r="E7425" s="1043">
        <v>27.09</v>
      </c>
      <c r="F7425" s="1043"/>
      <c r="G7425" s="1550"/>
    </row>
    <row r="7426" spans="1:7" ht="12.75" customHeight="1">
      <c r="A7426" s="1754">
        <v>44984</v>
      </c>
      <c r="B7426" s="125" t="str">
        <f>TiposLancamentos!B19</f>
        <v>Restaurantes</v>
      </c>
      <c r="C7426" s="1040" t="s">
        <v>8878</v>
      </c>
      <c r="D7426" s="1736"/>
      <c r="E7426" s="1043">
        <v>6.5</v>
      </c>
      <c r="F7426" s="1043"/>
      <c r="G7426" s="1550"/>
    </row>
    <row r="7427" spans="1:7" ht="12.75" customHeight="1">
      <c r="A7427" s="1754">
        <v>44984</v>
      </c>
      <c r="B7427" s="125" t="str">
        <f>TiposLancamentos!B103</f>
        <v>Juros_Corr. Poupança</v>
      </c>
      <c r="C7427" s="1040" t="s">
        <v>7341</v>
      </c>
      <c r="D7427" s="1736">
        <v>0.05</v>
      </c>
      <c r="E7427" s="1043"/>
      <c r="F7427" s="1043"/>
      <c r="G7427" s="1550"/>
    </row>
    <row r="7428" spans="1:7" ht="12.75" customHeight="1">
      <c r="A7428" s="1754">
        <v>44985</v>
      </c>
      <c r="B7428" s="125" t="str">
        <f>B7273</f>
        <v>Salarios</v>
      </c>
      <c r="C7428" s="1040" t="s">
        <v>8744</v>
      </c>
      <c r="D7428" s="1736">
        <v>7768.33</v>
      </c>
      <c r="E7428" s="1043"/>
      <c r="F7428" s="1043"/>
      <c r="G7428" s="1550"/>
    </row>
    <row r="7429" spans="1:7" ht="12.75" customHeight="1">
      <c r="A7429" s="1754">
        <v>44985</v>
      </c>
      <c r="B7429" s="125" t="str">
        <f>TiposLancamentos!B19</f>
        <v>Restaurantes</v>
      </c>
      <c r="C7429" s="1040" t="s">
        <v>8879</v>
      </c>
      <c r="D7429" s="1736"/>
      <c r="E7429" s="1043">
        <v>76</v>
      </c>
      <c r="F7429" s="1043"/>
      <c r="G7429" s="1550"/>
    </row>
    <row r="7430" spans="1:7" ht="12.75" customHeight="1" thickBot="1">
      <c r="A7430" s="1754">
        <v>44985</v>
      </c>
      <c r="B7430" s="125" t="str">
        <f>TiposLancamentos!B103</f>
        <v>Juros_Corr. Poupança</v>
      </c>
      <c r="C7430" s="1040" t="s">
        <v>7341</v>
      </c>
      <c r="D7430" s="1736">
        <v>0.03</v>
      </c>
      <c r="E7430" s="1043"/>
      <c r="F7430" s="1043"/>
      <c r="G7430" s="1550"/>
    </row>
    <row r="7431" spans="1:7" ht="12.75" customHeight="1">
      <c r="A7431" s="1834"/>
      <c r="B7431" s="977"/>
      <c r="C7431" s="1854" t="s">
        <v>1620</v>
      </c>
      <c r="D7431" s="1823"/>
      <c r="E7431" s="1821"/>
      <c r="F7431" s="1821"/>
      <c r="G7431" s="1895"/>
    </row>
    <row r="7432" spans="1:7" ht="12.75" customHeight="1">
      <c r="A7432" s="1754">
        <v>44986</v>
      </c>
      <c r="B7432" s="125" t="str">
        <f>TiposLancamentos!B15</f>
        <v>Cartões de Crédito</v>
      </c>
      <c r="C7432" s="1040" t="s">
        <v>8016</v>
      </c>
      <c r="D7432" s="1736"/>
      <c r="E7432" s="1043">
        <v>201.33</v>
      </c>
      <c r="F7432" s="1043"/>
      <c r="G7432" s="1550"/>
    </row>
    <row r="7433" spans="1:7" ht="12.75" customHeight="1">
      <c r="A7433" s="1754">
        <v>44986</v>
      </c>
      <c r="B7433" s="125" t="str">
        <f>TiposLancamentos!B15</f>
        <v>Cartões de Crédito</v>
      </c>
      <c r="C7433" s="1040" t="s">
        <v>8252</v>
      </c>
      <c r="D7433" s="1736"/>
      <c r="E7433" s="1043">
        <v>3582.9</v>
      </c>
      <c r="F7433" s="1043"/>
      <c r="G7433" s="1550"/>
    </row>
    <row r="7434" spans="1:7" ht="12.75" customHeight="1">
      <c r="A7434" s="1754">
        <v>44986</v>
      </c>
      <c r="B7434" s="125" t="str">
        <f>TiposLancamentos!B15</f>
        <v>Cartões de Crédito</v>
      </c>
      <c r="C7434" s="1040" t="s">
        <v>8772</v>
      </c>
      <c r="D7434" s="1736"/>
      <c r="E7434" s="1661">
        <v>1927.42</v>
      </c>
      <c r="F7434" s="1043"/>
      <c r="G7434" s="1550"/>
    </row>
    <row r="7435" spans="1:7" ht="12.75" customHeight="1">
      <c r="A7435" s="1754">
        <v>44986</v>
      </c>
      <c r="B7435" s="125" t="str">
        <f>TiposLancamentos!B15</f>
        <v>Cartões de Crédito</v>
      </c>
      <c r="C7435" s="1040" t="s">
        <v>8880</v>
      </c>
      <c r="D7435" s="1736"/>
      <c r="E7435" s="1661">
        <v>128.80000000000001</v>
      </c>
      <c r="F7435" s="1043"/>
      <c r="G7435" s="1550"/>
    </row>
    <row r="7436" spans="1:7" ht="12.75" customHeight="1">
      <c r="A7436" s="1754">
        <v>44986</v>
      </c>
      <c r="B7436" s="125" t="str">
        <f>TiposLancamentos!B15</f>
        <v>Cartões de Crédito</v>
      </c>
      <c r="C7436" s="1040" t="s">
        <v>8773</v>
      </c>
      <c r="D7436" s="1736"/>
      <c r="E7436" s="1043">
        <v>0</v>
      </c>
      <c r="F7436" s="1043"/>
      <c r="G7436" s="1550"/>
    </row>
    <row r="7437" spans="1:7" ht="12.75" customHeight="1">
      <c r="A7437" s="1754">
        <v>44986</v>
      </c>
      <c r="B7437" s="125" t="str">
        <f>TiposLancamentos!B105</f>
        <v>Transf. Bco</v>
      </c>
      <c r="C7437" s="1040" t="s">
        <v>8839</v>
      </c>
      <c r="D7437" s="1736"/>
      <c r="E7437" s="1043">
        <v>710.54</v>
      </c>
      <c r="F7437" s="1043"/>
      <c r="G7437" s="1550"/>
    </row>
    <row r="7438" spans="1:7" ht="12.75" customHeight="1">
      <c r="A7438" s="1754">
        <v>44986</v>
      </c>
      <c r="B7438" s="125" t="str">
        <f>TiposLancamentos!B102</f>
        <v>ESTORNO</v>
      </c>
      <c r="C7438" s="1040" t="s">
        <v>8880</v>
      </c>
      <c r="D7438" s="1736">
        <v>128.80000000000001</v>
      </c>
      <c r="E7438" s="1043"/>
      <c r="F7438" s="1043"/>
      <c r="G7438" s="1550"/>
    </row>
    <row r="7439" spans="1:7" ht="12.75" customHeight="1">
      <c r="A7439" s="1754">
        <v>44986</v>
      </c>
      <c r="B7439" s="125" t="str">
        <f>TiposLancamentos!B103</f>
        <v>Juros_Corr. Poupança</v>
      </c>
      <c r="C7439" s="1040" t="s">
        <v>7341</v>
      </c>
      <c r="D7439" s="1736">
        <v>0.02</v>
      </c>
      <c r="E7439" s="1043"/>
      <c r="F7439" s="1043"/>
      <c r="G7439" s="1550"/>
    </row>
    <row r="7440" spans="1:7" ht="12.75" customHeight="1">
      <c r="A7440" s="1754">
        <v>44987</v>
      </c>
      <c r="B7440" s="125" t="str">
        <f>TiposLancamentos!B14</f>
        <v>Gás de cozinha</v>
      </c>
      <c r="C7440" s="1040" t="s">
        <v>7496</v>
      </c>
      <c r="D7440" s="1736"/>
      <c r="E7440" s="1043">
        <v>54.07</v>
      </c>
      <c r="F7440" s="1043">
        <v>54.07</v>
      </c>
      <c r="G7440" s="1550"/>
    </row>
    <row r="7441" spans="1:7" ht="12.75" customHeight="1">
      <c r="A7441" s="1754">
        <v>44987</v>
      </c>
      <c r="B7441" s="125" t="str">
        <f>TiposLancamentos!B4</f>
        <v>Taxas Bancarias</v>
      </c>
      <c r="C7441" s="1040" t="s">
        <v>7681</v>
      </c>
      <c r="D7441" s="1736"/>
      <c r="E7441" s="1043">
        <v>5.9</v>
      </c>
      <c r="F7441" s="1043"/>
      <c r="G7441" s="1550"/>
    </row>
    <row r="7442" spans="1:7" ht="12.75" customHeight="1">
      <c r="A7442" s="1754">
        <v>44988</v>
      </c>
      <c r="B7442" s="125" t="str">
        <f>TiposLancamentos!B66</f>
        <v>Faxineira</v>
      </c>
      <c r="C7442" s="1040" t="s">
        <v>8881</v>
      </c>
      <c r="D7442" s="1736"/>
      <c r="E7442" s="1043">
        <v>210</v>
      </c>
      <c r="F7442" s="1043"/>
      <c r="G7442" s="1550"/>
    </row>
    <row r="7443" spans="1:7" ht="12.75" customHeight="1">
      <c r="A7443" s="1754">
        <v>44988</v>
      </c>
      <c r="B7443" s="125" t="str">
        <f>TiposLancamentos!B103</f>
        <v>Juros_Corr. Poupança</v>
      </c>
      <c r="C7443" s="1040" t="s">
        <v>7341</v>
      </c>
      <c r="D7443" s="1736">
        <v>0.04</v>
      </c>
      <c r="E7443" s="1043"/>
      <c r="F7443" s="1043"/>
      <c r="G7443" s="1550"/>
    </row>
    <row r="7444" spans="1:7" ht="12.75" customHeight="1">
      <c r="A7444" s="1754">
        <v>44989</v>
      </c>
      <c r="B7444" s="125" t="str">
        <f>TiposLancamentos!B19</f>
        <v>Restaurantes</v>
      </c>
      <c r="C7444" s="1040" t="s">
        <v>8882</v>
      </c>
      <c r="D7444" s="1736"/>
      <c r="E7444" s="1043">
        <v>129.58000000000001</v>
      </c>
      <c r="F7444" s="1043"/>
      <c r="G7444" s="1550"/>
    </row>
    <row r="7445" spans="1:7" ht="12.75" customHeight="1">
      <c r="A7445" s="1754">
        <v>44990</v>
      </c>
      <c r="B7445" s="125" t="str">
        <f>TiposLancamentos!B17</f>
        <v>GATO</v>
      </c>
      <c r="C7445" s="1040" t="s">
        <v>8883</v>
      </c>
      <c r="D7445" s="1736"/>
      <c r="E7445" s="1043">
        <v>144.97</v>
      </c>
      <c r="F7445" s="1043"/>
      <c r="G7445" s="1550"/>
    </row>
    <row r="7446" spans="1:7" ht="12.75" customHeight="1">
      <c r="A7446" s="1754">
        <v>44990</v>
      </c>
      <c r="B7446" s="125" t="str">
        <f>TiposLancamentos!B19</f>
        <v>Restaurantes</v>
      </c>
      <c r="C7446" s="1040" t="s">
        <v>8884</v>
      </c>
      <c r="D7446" s="1736"/>
      <c r="E7446" s="1043">
        <v>98.3</v>
      </c>
      <c r="F7446" s="1043"/>
      <c r="G7446" s="1550"/>
    </row>
    <row r="7447" spans="1:7" ht="12.75" customHeight="1">
      <c r="A7447" s="1754">
        <v>44992</v>
      </c>
      <c r="B7447" s="125" t="str">
        <f>TiposLancamentos!B36</f>
        <v>Playstation 2</v>
      </c>
      <c r="C7447" s="1040" t="s">
        <v>8885</v>
      </c>
      <c r="D7447" s="1736"/>
      <c r="E7447" s="1043">
        <v>615</v>
      </c>
      <c r="F7447" s="1043"/>
      <c r="G7447" s="1550"/>
    </row>
    <row r="7448" spans="1:7" ht="12.75" customHeight="1">
      <c r="A7448" s="1754">
        <v>44992</v>
      </c>
      <c r="B7448" s="125" t="str">
        <f>TiposLancamentos!B22</f>
        <v>Combustivel</v>
      </c>
      <c r="C7448" s="1040" t="s">
        <v>8886</v>
      </c>
      <c r="D7448" s="1736"/>
      <c r="E7448" s="1043">
        <v>150</v>
      </c>
      <c r="F7448" s="1043"/>
      <c r="G7448" s="1550"/>
    </row>
    <row r="7449" spans="1:7" ht="12.75" customHeight="1">
      <c r="A7449" s="1754">
        <v>44992</v>
      </c>
      <c r="B7449" s="125" t="str">
        <f>TiposLancamentos!B24</f>
        <v>Estacionamentos</v>
      </c>
      <c r="C7449" s="1040" t="s">
        <v>8887</v>
      </c>
      <c r="D7449" s="1736"/>
      <c r="E7449" s="1043">
        <v>15</v>
      </c>
      <c r="F7449" s="1043"/>
      <c r="G7449" s="1550"/>
    </row>
    <row r="7450" spans="1:7" ht="12.75" customHeight="1">
      <c r="A7450" s="1754">
        <v>44992</v>
      </c>
      <c r="B7450" s="125" t="str">
        <f>TiposLancamentos!B19</f>
        <v>Restaurantes</v>
      </c>
      <c r="C7450" s="1040" t="s">
        <v>1967</v>
      </c>
      <c r="D7450" s="1736"/>
      <c r="E7450" s="1043">
        <v>28.6</v>
      </c>
      <c r="F7450" s="1043"/>
      <c r="G7450" s="1550"/>
    </row>
    <row r="7451" spans="1:7" ht="12.75" customHeight="1">
      <c r="A7451" s="1754">
        <v>44992</v>
      </c>
      <c r="B7451" s="125" t="str">
        <f>TiposLancamentos!B103</f>
        <v>Juros_Corr. Poupança</v>
      </c>
      <c r="C7451" s="1040" t="s">
        <v>7341</v>
      </c>
      <c r="D7451" s="1736">
        <v>0.06</v>
      </c>
      <c r="E7451" s="1043"/>
      <c r="F7451" s="1043"/>
      <c r="G7451" s="1550"/>
    </row>
    <row r="7452" spans="1:7" ht="12.75" customHeight="1">
      <c r="A7452" s="1754">
        <v>44993</v>
      </c>
      <c r="B7452" s="125" t="str">
        <f>TiposLancamentos!B36</f>
        <v>Playstation 2</v>
      </c>
      <c r="C7452" s="1040" t="s">
        <v>8888</v>
      </c>
      <c r="D7452" s="1736"/>
      <c r="E7452" s="1043">
        <v>120</v>
      </c>
      <c r="F7452" s="1043"/>
      <c r="G7452" s="1550"/>
    </row>
    <row r="7453" spans="1:7" ht="12.75" customHeight="1">
      <c r="A7453" s="1754">
        <v>44994</v>
      </c>
      <c r="B7453" s="125" t="str">
        <f>TiposLancamentos!B56</f>
        <v>Farmácia</v>
      </c>
      <c r="C7453" s="1040" t="s">
        <v>8833</v>
      </c>
      <c r="D7453" s="1736"/>
      <c r="E7453" s="1043">
        <v>353.24</v>
      </c>
      <c r="F7453" s="1043"/>
      <c r="G7453" s="1550"/>
    </row>
    <row r="7454" spans="1:7" ht="12.75" customHeight="1">
      <c r="A7454" s="1754">
        <v>44995</v>
      </c>
      <c r="B7454" s="125" t="str">
        <f>TiposLancamentos!B46</f>
        <v>Maçonaria</v>
      </c>
      <c r="C7454" s="1040" t="s">
        <v>8889</v>
      </c>
      <c r="D7454" s="1736"/>
      <c r="E7454" s="1043">
        <v>210</v>
      </c>
      <c r="F7454" s="1043"/>
      <c r="G7454" s="1550"/>
    </row>
    <row r="7455" spans="1:7" ht="12.6" customHeight="1">
      <c r="A7455" s="1666">
        <v>44995</v>
      </c>
      <c r="B7455" s="817" t="str">
        <f>TiposLancamentos!B36</f>
        <v>Playstation 2</v>
      </c>
      <c r="C7455" s="1742" t="s">
        <v>8890</v>
      </c>
      <c r="D7455" s="1735"/>
      <c r="E7455" s="1733">
        <v>16.2</v>
      </c>
      <c r="F7455" s="1346"/>
      <c r="G7455" s="1550"/>
    </row>
    <row r="7456" spans="1:7" ht="12.6" customHeight="1">
      <c r="A7456" s="1667">
        <v>44995</v>
      </c>
      <c r="B7456" s="816" t="str">
        <f>TiposLancamentos!B36</f>
        <v>Playstation 2</v>
      </c>
      <c r="C7456" s="1769" t="s">
        <v>8891</v>
      </c>
      <c r="D7456" s="1736"/>
      <c r="E7456" s="1734">
        <v>20.7</v>
      </c>
      <c r="F7456" s="1043"/>
      <c r="G7456" s="1550"/>
    </row>
    <row r="7457" spans="1:7" ht="12.6" customHeight="1">
      <c r="A7457" s="1667">
        <v>44995</v>
      </c>
      <c r="B7457" s="816" t="str">
        <f>TiposLancamentos!B36</f>
        <v>Playstation 2</v>
      </c>
      <c r="C7457" s="1769" t="s">
        <v>8892</v>
      </c>
      <c r="D7457" s="1736"/>
      <c r="E7457" s="1734">
        <v>44.8</v>
      </c>
      <c r="F7457" s="1043"/>
      <c r="G7457" s="1550"/>
    </row>
    <row r="7458" spans="1:7" ht="12.6" customHeight="1">
      <c r="A7458" s="1667">
        <v>44995</v>
      </c>
      <c r="B7458" s="816" t="str">
        <f>TiposLancamentos!B36</f>
        <v>Playstation 2</v>
      </c>
      <c r="C7458" s="1769" t="s">
        <v>8893</v>
      </c>
      <c r="D7458" s="1736"/>
      <c r="E7458" s="1734">
        <v>129.9</v>
      </c>
      <c r="F7458" s="1043">
        <f>SUM(E7455:E7458)</f>
        <v>211.6</v>
      </c>
      <c r="G7458" s="1550"/>
    </row>
    <row r="7459" spans="1:7" ht="12.6" customHeight="1">
      <c r="A7459" s="1750">
        <v>44995</v>
      </c>
      <c r="B7459" s="818" t="str">
        <f>TiposLancamentos!B36</f>
        <v>Playstation 2</v>
      </c>
      <c r="C7459" s="1743" t="s">
        <v>8894</v>
      </c>
      <c r="D7459" s="1737"/>
      <c r="E7459" s="1668">
        <f>F7459-F7458</f>
        <v>44.989999999999981</v>
      </c>
      <c r="F7459" s="1665">
        <v>256.58999999999997</v>
      </c>
      <c r="G7459" s="1550"/>
    </row>
    <row r="7460" spans="1:7" ht="12.75" customHeight="1">
      <c r="A7460" s="1754">
        <v>44995</v>
      </c>
      <c r="B7460" s="125" t="str">
        <f>TiposLancamentos!B16</f>
        <v>Cristiane</v>
      </c>
      <c r="C7460" s="1040" t="s">
        <v>3420</v>
      </c>
      <c r="D7460" s="1736"/>
      <c r="E7460" s="1043">
        <v>35</v>
      </c>
      <c r="F7460" s="1043"/>
      <c r="G7460" s="1550"/>
    </row>
    <row r="7461" spans="1:7" ht="12.75" customHeight="1">
      <c r="A7461" s="1754">
        <v>44995</v>
      </c>
      <c r="B7461" s="125" t="str">
        <f>TiposLancamentos!B69</f>
        <v>Consertos</v>
      </c>
      <c r="C7461" s="1040" t="s">
        <v>8895</v>
      </c>
      <c r="D7461" s="1736"/>
      <c r="E7461" s="1043">
        <v>50</v>
      </c>
      <c r="F7461" s="1043"/>
      <c r="G7461" s="1550"/>
    </row>
    <row r="7462" spans="1:7" ht="12.75" customHeight="1">
      <c r="A7462" s="1754">
        <v>44995</v>
      </c>
      <c r="B7462" s="125" t="str">
        <f>TiposLancamentos!B5</f>
        <v>Supermercado</v>
      </c>
      <c r="C7462" s="1040" t="s">
        <v>8896</v>
      </c>
      <c r="D7462" s="1736"/>
      <c r="E7462" s="1043">
        <v>196.21</v>
      </c>
      <c r="F7462" s="1043"/>
      <c r="G7462" s="1550"/>
    </row>
    <row r="7463" spans="1:7" ht="12.75" customHeight="1">
      <c r="A7463" s="1754">
        <v>44995</v>
      </c>
      <c r="B7463" s="125" t="str">
        <f>TiposLancamentos!B103</f>
        <v>Juros_Corr. Poupança</v>
      </c>
      <c r="C7463" s="1040" t="s">
        <v>7341</v>
      </c>
      <c r="D7463" s="1736">
        <v>0.05</v>
      </c>
      <c r="E7463" s="1043"/>
      <c r="F7463" s="1043"/>
      <c r="G7463" s="1550"/>
    </row>
    <row r="7464" spans="1:7" ht="12.75" customHeight="1">
      <c r="A7464" s="1754">
        <v>44996</v>
      </c>
      <c r="B7464" s="125" t="str">
        <f>TiposLancamentos!B36</f>
        <v>Playstation 2</v>
      </c>
      <c r="C7464" s="1040" t="s">
        <v>8897</v>
      </c>
      <c r="D7464" s="1736"/>
      <c r="E7464" s="1043">
        <v>38.89</v>
      </c>
      <c r="F7464" s="1043"/>
      <c r="G7464" s="1550"/>
    </row>
    <row r="7465" spans="1:7" ht="12.75" customHeight="1">
      <c r="A7465" s="1754">
        <v>44996</v>
      </c>
      <c r="B7465" s="125" t="str">
        <f>TiposLancamentos!B19</f>
        <v>Restaurantes</v>
      </c>
      <c r="C7465" s="1040" t="s">
        <v>8898</v>
      </c>
      <c r="D7465" s="1736"/>
      <c r="E7465" s="1043">
        <v>144.30000000000001</v>
      </c>
      <c r="F7465" s="1043"/>
      <c r="G7465" s="1550"/>
    </row>
    <row r="7466" spans="1:7" ht="12.75" customHeight="1">
      <c r="A7466" s="1754">
        <v>44998</v>
      </c>
      <c r="B7466" s="125" t="str">
        <f>TiposLancamentos!B103</f>
        <v>Juros_Corr. Poupança</v>
      </c>
      <c r="C7466" s="1040" t="s">
        <v>7341</v>
      </c>
      <c r="D7466" s="1736">
        <v>0.03</v>
      </c>
      <c r="E7466" s="1043"/>
      <c r="F7466" s="1043"/>
      <c r="G7466" s="1550"/>
    </row>
    <row r="7467" spans="1:7" ht="12.75" customHeight="1">
      <c r="A7467" s="1754">
        <v>44997</v>
      </c>
      <c r="B7467" s="125" t="str">
        <f>TiposLancamentos!B5</f>
        <v>Supermercado</v>
      </c>
      <c r="C7467" s="1040" t="s">
        <v>8899</v>
      </c>
      <c r="D7467" s="1736"/>
      <c r="E7467" s="1043">
        <v>83.73</v>
      </c>
      <c r="F7467" s="1043"/>
      <c r="G7467" s="1550"/>
    </row>
    <row r="7468" spans="1:7" ht="12.75" customHeight="1">
      <c r="A7468" s="1754">
        <v>44997</v>
      </c>
      <c r="B7468" s="125" t="str">
        <f>TiposLancamentos!B16</f>
        <v>Cristiane</v>
      </c>
      <c r="C7468" s="1040" t="s">
        <v>3420</v>
      </c>
      <c r="D7468" s="1736"/>
      <c r="E7468" s="1043">
        <v>216.25</v>
      </c>
      <c r="F7468" s="1043"/>
      <c r="G7468" s="1550"/>
    </row>
    <row r="7469" spans="1:7" ht="12.75" customHeight="1">
      <c r="A7469" s="1754">
        <v>44998</v>
      </c>
      <c r="B7469" s="125" t="str">
        <f>TiposLancamentos!B102</f>
        <v>ESTORNO</v>
      </c>
      <c r="C7469" s="1040" t="s">
        <v>8900</v>
      </c>
      <c r="D7469" s="1736">
        <v>144.30000000000001</v>
      </c>
      <c r="E7469" s="1043"/>
      <c r="F7469" s="1043"/>
      <c r="G7469" s="1550"/>
    </row>
    <row r="7470" spans="1:7" ht="12.75" customHeight="1">
      <c r="A7470" s="1754">
        <v>44998</v>
      </c>
      <c r="B7470" s="125" t="str">
        <f>TiposLancamentos!B103</f>
        <v>Juros_Corr. Poupança</v>
      </c>
      <c r="C7470" s="1040" t="s">
        <v>7341</v>
      </c>
      <c r="D7470" s="1736">
        <v>0.12</v>
      </c>
      <c r="E7470" s="1043"/>
      <c r="F7470" s="1043"/>
      <c r="G7470" s="1550"/>
    </row>
    <row r="7471" spans="1:7" ht="12.75" customHeight="1">
      <c r="A7471" s="1754">
        <v>44998</v>
      </c>
      <c r="B7471" s="125" t="str">
        <f>TiposLancamentos!B88</f>
        <v>Ford Ecosport XLT</v>
      </c>
      <c r="C7471" s="1040" t="s">
        <v>8901</v>
      </c>
      <c r="D7471" s="1736"/>
      <c r="E7471" s="1043">
        <v>248.19</v>
      </c>
      <c r="F7471" s="1043"/>
      <c r="G7471" s="1550"/>
    </row>
    <row r="7472" spans="1:7" ht="12.75" customHeight="1">
      <c r="A7472" s="1754">
        <v>44999</v>
      </c>
      <c r="B7472" s="125" t="str">
        <f>TiposLancamentos!B24</f>
        <v>Estacionamentos</v>
      </c>
      <c r="C7472" s="1040" t="s">
        <v>8753</v>
      </c>
      <c r="D7472" s="1736"/>
      <c r="E7472" s="1043">
        <v>10</v>
      </c>
      <c r="F7472" s="1043"/>
      <c r="G7472" s="1550"/>
    </row>
    <row r="7473" spans="1:7" ht="12.75" customHeight="1">
      <c r="A7473" s="1754">
        <v>44999</v>
      </c>
      <c r="B7473" s="125" t="str">
        <f>TiposLancamentos!B24</f>
        <v>Estacionamentos</v>
      </c>
      <c r="C7473" s="1040" t="s">
        <v>1898</v>
      </c>
      <c r="D7473" s="1736"/>
      <c r="E7473" s="1043">
        <v>15</v>
      </c>
      <c r="F7473" s="1043"/>
      <c r="G7473" s="1550"/>
    </row>
    <row r="7474" spans="1:7" ht="12.75" customHeight="1">
      <c r="A7474" s="1754">
        <v>44999</v>
      </c>
      <c r="B7474" s="125" t="str">
        <f>TiposLancamentos!B15</f>
        <v>Cartões de Crédito</v>
      </c>
      <c r="C7474" s="1040" t="s">
        <v>8902</v>
      </c>
      <c r="D7474" s="1736"/>
      <c r="E7474" s="1043">
        <v>19.32</v>
      </c>
      <c r="F7474" s="1043"/>
      <c r="G7474" s="1550"/>
    </row>
    <row r="7475" spans="1:7" ht="12.75" customHeight="1">
      <c r="A7475" s="1754">
        <v>45000</v>
      </c>
      <c r="B7475" s="116"/>
      <c r="C7475" s="1040" t="s">
        <v>1868</v>
      </c>
      <c r="D7475" s="1736">
        <v>0</v>
      </c>
      <c r="E7475" s="1043">
        <v>0</v>
      </c>
      <c r="F7475" s="1664"/>
      <c r="G7475" s="1550"/>
    </row>
    <row r="7476" spans="1:7" ht="12.75" customHeight="1">
      <c r="A7476" s="1666">
        <v>45000</v>
      </c>
      <c r="B7476" s="817" t="str">
        <f>TiposLancamentos!B35</f>
        <v>Tv à Cabo</v>
      </c>
      <c r="C7476" s="1742" t="s">
        <v>5834</v>
      </c>
      <c r="D7476" s="1735"/>
      <c r="E7476" s="1733">
        <f>F7478-(E7477+E7478)</f>
        <v>124.23000000000002</v>
      </c>
      <c r="F7476" s="1290"/>
      <c r="G7476" s="1550"/>
    </row>
    <row r="7477" spans="1:7" ht="12.75" customHeight="1">
      <c r="A7477" s="1667">
        <v>45000</v>
      </c>
      <c r="B7477" s="816" t="str">
        <f>TiposLancamentos!B3</f>
        <v>Internet</v>
      </c>
      <c r="C7477" s="1769" t="s">
        <v>5835</v>
      </c>
      <c r="D7477" s="1736"/>
      <c r="E7477" s="1734">
        <v>143.43</v>
      </c>
      <c r="F7477" s="1043"/>
      <c r="G7477" s="1550"/>
    </row>
    <row r="7478" spans="1:7" ht="12.75" customHeight="1">
      <c r="A7478" s="1750">
        <v>45000</v>
      </c>
      <c r="B7478" s="818" t="str">
        <f>TiposLancamentos!B2</f>
        <v>Telefonia</v>
      </c>
      <c r="C7478" s="1743" t="s">
        <v>7210</v>
      </c>
      <c r="D7478" s="1737"/>
      <c r="E7478" s="1668">
        <v>0</v>
      </c>
      <c r="F7478" s="1291">
        <v>267.66000000000003</v>
      </c>
      <c r="G7478" s="1550"/>
    </row>
    <row r="7479" spans="1:7" ht="12.75" customHeight="1">
      <c r="A7479" s="1754">
        <v>45000</v>
      </c>
      <c r="B7479" s="116"/>
      <c r="C7479" s="1040" t="s">
        <v>1868</v>
      </c>
      <c r="D7479" s="1736">
        <v>0</v>
      </c>
      <c r="E7479" s="1043">
        <v>0</v>
      </c>
      <c r="F7479" s="1043"/>
      <c r="G7479" s="1550"/>
    </row>
    <row r="7480" spans="1:7" ht="12.75" customHeight="1">
      <c r="A7480" s="1754">
        <v>45000</v>
      </c>
      <c r="B7480" s="125" t="str">
        <f>TiposLancamentos!B2</f>
        <v>Telefonia</v>
      </c>
      <c r="C7480" s="1040" t="s">
        <v>8797</v>
      </c>
      <c r="D7480" s="1736"/>
      <c r="E7480" s="1043">
        <v>59.89</v>
      </c>
      <c r="F7480" s="1043"/>
      <c r="G7480" s="1550"/>
    </row>
    <row r="7481" spans="1:7" ht="12.75" customHeight="1">
      <c r="A7481" s="1754">
        <v>45000</v>
      </c>
      <c r="B7481" s="125" t="str">
        <f>TiposLancamentos!B103</f>
        <v>Juros_Corr. Poupança</v>
      </c>
      <c r="C7481" s="1040" t="s">
        <v>7341</v>
      </c>
      <c r="D7481" s="1736">
        <v>0.03</v>
      </c>
      <c r="E7481" s="1043"/>
      <c r="F7481" s="1043"/>
      <c r="G7481" s="1550"/>
    </row>
    <row r="7482" spans="1:7" ht="12.75" customHeight="1">
      <c r="A7482" s="1754">
        <v>45000</v>
      </c>
      <c r="B7482" s="125" t="str">
        <f>TiposLancamentos!B19</f>
        <v>Restaurantes</v>
      </c>
      <c r="C7482" s="1040" t="s">
        <v>8903</v>
      </c>
      <c r="D7482" s="1736"/>
      <c r="E7482" s="1043">
        <v>143.6</v>
      </c>
      <c r="F7482" s="1043"/>
      <c r="G7482" s="1550"/>
    </row>
    <row r="7483" spans="1:7" ht="12.75" customHeight="1">
      <c r="A7483" s="1754">
        <v>45001</v>
      </c>
      <c r="B7483" s="125" t="str">
        <f>TiposLancamentos!B46</f>
        <v>Maçonaria</v>
      </c>
      <c r="C7483" s="1040" t="s">
        <v>8904</v>
      </c>
      <c r="D7483" s="1736"/>
      <c r="E7483" s="1043">
        <v>110</v>
      </c>
      <c r="F7483" s="1043"/>
      <c r="G7483" s="1550"/>
    </row>
    <row r="7484" spans="1:7" ht="12.75" customHeight="1">
      <c r="A7484" s="1754">
        <v>45001</v>
      </c>
      <c r="B7484" s="125" t="str">
        <f>TiposLancamentos!B19</f>
        <v>Restaurantes</v>
      </c>
      <c r="C7484" s="1040" t="s">
        <v>7338</v>
      </c>
      <c r="D7484" s="1736"/>
      <c r="E7484" s="1043">
        <v>23.7</v>
      </c>
      <c r="F7484" s="1043"/>
      <c r="G7484" s="1550"/>
    </row>
    <row r="7485" spans="1:7" ht="12.75" customHeight="1">
      <c r="A7485" s="1754">
        <v>45001</v>
      </c>
      <c r="B7485" s="125" t="str">
        <f>TiposLancamentos!B19</f>
        <v>Restaurantes</v>
      </c>
      <c r="C7485" s="1040" t="s">
        <v>8905</v>
      </c>
      <c r="D7485" s="1736"/>
      <c r="E7485" s="1043">
        <v>98.3</v>
      </c>
      <c r="F7485" s="1043"/>
      <c r="G7485" s="1550"/>
    </row>
    <row r="7486" spans="1:7" ht="12.75" customHeight="1">
      <c r="A7486" s="1754">
        <v>45002</v>
      </c>
      <c r="B7486" s="125" t="str">
        <f>TiposLancamentos!B13</f>
        <v>Moradia</v>
      </c>
      <c r="C7486" s="1040" t="s">
        <v>8906</v>
      </c>
      <c r="D7486" s="1736"/>
      <c r="E7486" s="1043">
        <v>15</v>
      </c>
      <c r="F7486" s="1043"/>
      <c r="G7486" s="1550"/>
    </row>
    <row r="7487" spans="1:7" ht="12.75" customHeight="1">
      <c r="A7487" s="1754">
        <v>45002</v>
      </c>
      <c r="B7487" s="125" t="str">
        <f>TiposLancamentos!B19</f>
        <v>Restaurantes</v>
      </c>
      <c r="C7487" s="1040" t="s">
        <v>8686</v>
      </c>
      <c r="D7487" s="1736"/>
      <c r="E7487" s="1043">
        <v>78</v>
      </c>
      <c r="F7487" s="1043"/>
      <c r="G7487" s="1550"/>
    </row>
    <row r="7488" spans="1:7" ht="12.75" customHeight="1">
      <c r="A7488" s="1754">
        <v>45002</v>
      </c>
      <c r="B7488" s="125" t="str">
        <f>TiposLancamentos!B103</f>
        <v>Juros_Corr. Poupança</v>
      </c>
      <c r="C7488" s="1040" t="s">
        <v>7341</v>
      </c>
      <c r="D7488" s="1736">
        <v>0.08</v>
      </c>
      <c r="E7488" s="1043"/>
      <c r="F7488" s="1043"/>
      <c r="G7488" s="1550"/>
    </row>
    <row r="7489" spans="1:7" ht="12.75" customHeight="1">
      <c r="A7489" s="1754">
        <v>45003</v>
      </c>
      <c r="B7489" s="125" t="str">
        <f>TiposLancamentos!B19</f>
        <v>Restaurantes</v>
      </c>
      <c r="C7489" s="1040" t="s">
        <v>8907</v>
      </c>
      <c r="D7489" s="1736"/>
      <c r="E7489" s="1043">
        <v>35.4</v>
      </c>
      <c r="F7489" s="1043"/>
      <c r="G7489" s="1550"/>
    </row>
    <row r="7490" spans="1:7" ht="12.75" customHeight="1">
      <c r="A7490" s="1754">
        <v>45003</v>
      </c>
      <c r="B7490" s="125" t="str">
        <f>TiposLancamentos!B13</f>
        <v>Moradia</v>
      </c>
      <c r="C7490" s="1040" t="s">
        <v>8908</v>
      </c>
      <c r="D7490" s="1736"/>
      <c r="E7490" s="1043">
        <v>699</v>
      </c>
      <c r="F7490" s="1043"/>
      <c r="G7490" s="1550"/>
    </row>
    <row r="7491" spans="1:7" ht="12.75" customHeight="1">
      <c r="A7491" s="1754">
        <v>45003</v>
      </c>
      <c r="B7491" s="125" t="str">
        <f>TiposLancamentos!B36</f>
        <v>Playstation 2</v>
      </c>
      <c r="C7491" s="1040" t="s">
        <v>8909</v>
      </c>
      <c r="D7491" s="1736"/>
      <c r="E7491" s="1043">
        <v>30</v>
      </c>
      <c r="F7491" s="1043"/>
      <c r="G7491" s="1550"/>
    </row>
    <row r="7492" spans="1:7" ht="12.75" customHeight="1">
      <c r="A7492" s="1666">
        <v>45003</v>
      </c>
      <c r="B7492" s="817" t="str">
        <f>TiposLancamentos!B36</f>
        <v>Playstation 2</v>
      </c>
      <c r="C7492" s="1742" t="s">
        <v>8910</v>
      </c>
      <c r="D7492" s="1735"/>
      <c r="E7492" s="1733">
        <v>11.99</v>
      </c>
      <c r="F7492" s="1346"/>
      <c r="G7492" s="1550"/>
    </row>
    <row r="7493" spans="1:7" ht="12.75" customHeight="1">
      <c r="A7493" s="1667">
        <v>45003</v>
      </c>
      <c r="B7493" s="816" t="str">
        <f>TiposLancamentos!B71</f>
        <v>Itens Pessoais</v>
      </c>
      <c r="C7493" s="1769" t="s">
        <v>8911</v>
      </c>
      <c r="D7493" s="1736"/>
      <c r="E7493" s="1734">
        <v>9.99</v>
      </c>
      <c r="F7493" s="1043"/>
      <c r="G7493" s="1550"/>
    </row>
    <row r="7494" spans="1:7" ht="12.75" customHeight="1">
      <c r="A7494" s="1750">
        <v>45003</v>
      </c>
      <c r="B7494" s="818" t="str">
        <f>TiposLancamentos!B16</f>
        <v>Cristiane</v>
      </c>
      <c r="C7494" s="1743" t="s">
        <v>8912</v>
      </c>
      <c r="D7494" s="1737"/>
      <c r="E7494" s="1668">
        <v>52.07</v>
      </c>
      <c r="F7494" s="1291">
        <f>SUM(E7492:E7494)</f>
        <v>74.05</v>
      </c>
      <c r="G7494" s="1550"/>
    </row>
    <row r="7495" spans="1:7" ht="12.75" customHeight="1">
      <c r="A7495" s="1754">
        <v>45003</v>
      </c>
      <c r="B7495" s="125" t="str">
        <f>TiposLancamentos!B19</f>
        <v>Restaurantes</v>
      </c>
      <c r="C7495" s="1040" t="s">
        <v>7419</v>
      </c>
      <c r="D7495" s="1736"/>
      <c r="E7495" s="1043">
        <v>152.9</v>
      </c>
      <c r="F7495" s="1043"/>
      <c r="G7495" s="1550"/>
    </row>
    <row r="7496" spans="1:7" ht="12.75" customHeight="1">
      <c r="A7496" s="1754">
        <v>45003</v>
      </c>
      <c r="B7496" s="125" t="str">
        <f>TiposLancamentos!B16</f>
        <v>Cristiane</v>
      </c>
      <c r="C7496" s="1040" t="s">
        <v>8913</v>
      </c>
      <c r="D7496" s="1736"/>
      <c r="E7496" s="1043">
        <v>28.97</v>
      </c>
      <c r="F7496" s="1043"/>
      <c r="G7496" s="1550"/>
    </row>
    <row r="7497" spans="1:7" ht="12.75" customHeight="1">
      <c r="A7497" s="1754">
        <v>45004</v>
      </c>
      <c r="B7497" s="125" t="str">
        <f>TiposLancamentos!B19</f>
        <v>Restaurantes</v>
      </c>
      <c r="C7497" s="1040" t="s">
        <v>7406</v>
      </c>
      <c r="D7497" s="1736"/>
      <c r="E7497" s="1043">
        <v>201.08</v>
      </c>
      <c r="F7497" s="1043"/>
      <c r="G7497" s="1550"/>
    </row>
    <row r="7498" spans="1:7" ht="12.75" customHeight="1">
      <c r="A7498" s="1754">
        <v>45004</v>
      </c>
      <c r="B7498" s="125" t="str">
        <f>TiposLancamentos!B24</f>
        <v>Estacionamentos</v>
      </c>
      <c r="C7498" s="1040" t="s">
        <v>8914</v>
      </c>
      <c r="D7498" s="1736"/>
      <c r="E7498" s="1043">
        <v>12</v>
      </c>
      <c r="F7498" s="1043"/>
      <c r="G7498" s="1550"/>
    </row>
    <row r="7499" spans="1:7" ht="12.75" customHeight="1">
      <c r="A7499" s="1754">
        <v>45004</v>
      </c>
      <c r="B7499" s="125" t="str">
        <f>TiposLancamentos!B5</f>
        <v>Supermercado</v>
      </c>
      <c r="C7499" s="1040" t="s">
        <v>8915</v>
      </c>
      <c r="D7499" s="1736"/>
      <c r="E7499" s="1043">
        <v>31.68</v>
      </c>
      <c r="F7499" s="1043"/>
      <c r="G7499" s="1550"/>
    </row>
    <row r="7500" spans="1:7" ht="12.75" customHeight="1">
      <c r="A7500" s="1754">
        <v>45004</v>
      </c>
      <c r="B7500" s="125" t="str">
        <f>TiposLancamentos!B5</f>
        <v>Supermercado</v>
      </c>
      <c r="C7500" s="1040" t="s">
        <v>8916</v>
      </c>
      <c r="D7500" s="1736"/>
      <c r="E7500" s="1043">
        <v>73.87</v>
      </c>
      <c r="F7500" s="1043"/>
      <c r="G7500" s="1550"/>
    </row>
    <row r="7501" spans="1:7" ht="12.75" customHeight="1">
      <c r="A7501" s="1754">
        <v>45005</v>
      </c>
      <c r="B7501" s="125"/>
      <c r="C7501" s="1040" t="s">
        <v>1868</v>
      </c>
      <c r="D7501" s="1736"/>
      <c r="E7501" s="1043"/>
      <c r="F7501" s="1043"/>
      <c r="G7501" s="1550"/>
    </row>
    <row r="7502" spans="1:7" ht="12.75" customHeight="1">
      <c r="A7502" s="1666">
        <v>45005</v>
      </c>
      <c r="B7502" s="817" t="str">
        <f>TiposLancamentos!B8</f>
        <v>Aluguel</v>
      </c>
      <c r="C7502" s="1742" t="s">
        <v>8917</v>
      </c>
      <c r="D7502" s="1735"/>
      <c r="E7502" s="1733">
        <f>F7506-(E7503+E7506+E7504+E7505)</f>
        <v>1540.84</v>
      </c>
      <c r="F7502" s="1346"/>
      <c r="G7502" s="1550"/>
    </row>
    <row r="7503" spans="1:7" ht="12.75" customHeight="1">
      <c r="A7503" s="1667">
        <v>45005</v>
      </c>
      <c r="B7503" s="816" t="str">
        <f>TiposLancamentos!B12</f>
        <v>IPTU</v>
      </c>
      <c r="C7503" s="1769" t="s">
        <v>8918</v>
      </c>
      <c r="D7503" s="1736"/>
      <c r="E7503" s="1734">
        <v>54.57</v>
      </c>
      <c r="F7503" s="1043"/>
      <c r="G7503" s="1550"/>
    </row>
    <row r="7504" spans="1:7" ht="12.75" customHeight="1">
      <c r="A7504" s="1667">
        <v>45005</v>
      </c>
      <c r="B7504" s="816" t="str">
        <f>TiposLancamentos!B11</f>
        <v>Coleta Municipal Lixo</v>
      </c>
      <c r="C7504" s="1769" t="s">
        <v>7424</v>
      </c>
      <c r="D7504" s="1736"/>
      <c r="E7504" s="1734">
        <v>44.36</v>
      </c>
      <c r="F7504" s="1043"/>
      <c r="G7504" s="1550"/>
    </row>
    <row r="7505" spans="1:7" ht="12.75" customHeight="1">
      <c r="A7505" s="1667">
        <v>45005</v>
      </c>
      <c r="B7505" s="816" t="str">
        <f>TiposLancamentos!B10</f>
        <v>Distr. Água Municipal</v>
      </c>
      <c r="C7505" s="1769" t="s">
        <v>7423</v>
      </c>
      <c r="D7505" s="1736"/>
      <c r="E7505" s="1734">
        <v>64.19</v>
      </c>
      <c r="F7505" s="1043"/>
      <c r="G7505" s="1550"/>
    </row>
    <row r="7506" spans="1:7" ht="12.75" customHeight="1">
      <c r="A7506" s="1750">
        <v>45005</v>
      </c>
      <c r="B7506" s="818" t="str">
        <f>TiposLancamentos!B9</f>
        <v>Condominio</v>
      </c>
      <c r="C7506" s="1743" t="s">
        <v>7427</v>
      </c>
      <c r="D7506" s="1737"/>
      <c r="E7506" s="1668">
        <v>616.37</v>
      </c>
      <c r="F7506" s="1291">
        <v>2320.33</v>
      </c>
      <c r="G7506" s="1550"/>
    </row>
    <row r="7507" spans="1:7" ht="12.75" customHeight="1">
      <c r="A7507" s="1754">
        <v>45005</v>
      </c>
      <c r="B7507" s="125"/>
      <c r="C7507" s="1040" t="s">
        <v>1868</v>
      </c>
      <c r="D7507" s="1736"/>
      <c r="E7507" s="1043"/>
      <c r="F7507" s="1043"/>
      <c r="G7507" s="1550"/>
    </row>
    <row r="7508" spans="1:7" ht="12.75" customHeight="1">
      <c r="A7508" s="1754">
        <v>45005</v>
      </c>
      <c r="B7508" s="125" t="str">
        <f>TiposLancamentos!B13</f>
        <v>Moradia</v>
      </c>
      <c r="C7508" s="1040" t="s">
        <v>8919</v>
      </c>
      <c r="D7508" s="1736"/>
      <c r="E7508" s="1043">
        <v>60.3</v>
      </c>
      <c r="F7508" s="1043"/>
      <c r="G7508" s="1550"/>
    </row>
    <row r="7509" spans="1:7" ht="12.75" customHeight="1">
      <c r="A7509" s="1754">
        <v>45005</v>
      </c>
      <c r="B7509" s="125" t="str">
        <f>TiposLancamentos!B36</f>
        <v>Playstation 2</v>
      </c>
      <c r="C7509" s="1040" t="s">
        <v>8920</v>
      </c>
      <c r="D7509" s="1736"/>
      <c r="E7509" s="1043">
        <v>45.05</v>
      </c>
      <c r="F7509" s="1043"/>
      <c r="G7509" s="1550"/>
    </row>
    <row r="7510" spans="1:7" ht="12.75" customHeight="1">
      <c r="A7510" s="1754">
        <v>45005</v>
      </c>
      <c r="B7510" s="125" t="str">
        <f>TiposLancamentos!B103</f>
        <v>Juros_Corr. Poupança</v>
      </c>
      <c r="C7510" s="1040" t="s">
        <v>7341</v>
      </c>
      <c r="D7510" s="1736">
        <v>0.03</v>
      </c>
      <c r="E7510" s="1043"/>
      <c r="F7510" s="1043"/>
      <c r="G7510" s="1550"/>
    </row>
    <row r="7511" spans="1:7" ht="12.75" customHeight="1">
      <c r="A7511" s="1754">
        <v>45006</v>
      </c>
      <c r="B7511" s="125" t="str">
        <f>TiposLancamentos!B103</f>
        <v>Juros_Corr. Poupança</v>
      </c>
      <c r="C7511" s="1040" t="s">
        <v>7341</v>
      </c>
      <c r="D7511" s="1736">
        <v>0.05</v>
      </c>
      <c r="E7511" s="1043"/>
      <c r="F7511" s="1043"/>
      <c r="G7511" s="1550"/>
    </row>
    <row r="7512" spans="1:7" ht="12.75" customHeight="1">
      <c r="A7512" s="1754">
        <v>45006</v>
      </c>
      <c r="B7512" s="125" t="str">
        <f>TiposLancamentos!B6</f>
        <v>Energia Eletrica</v>
      </c>
      <c r="C7512" s="1040" t="s">
        <v>8921</v>
      </c>
      <c r="D7512" s="1736"/>
      <c r="E7512" s="1043">
        <v>284.25</v>
      </c>
      <c r="F7512" s="1043"/>
      <c r="G7512" s="1550"/>
    </row>
    <row r="7513" spans="1:7" ht="12.75" customHeight="1">
      <c r="A7513" s="1754">
        <v>45006</v>
      </c>
      <c r="B7513" s="125" t="str">
        <f>TiposLancamentos!B24</f>
        <v>Estacionamentos</v>
      </c>
      <c r="C7513" s="1040" t="s">
        <v>1898</v>
      </c>
      <c r="D7513" s="1736"/>
      <c r="E7513" s="1043">
        <v>15</v>
      </c>
      <c r="F7513" s="1043"/>
      <c r="G7513" s="1550"/>
    </row>
    <row r="7514" spans="1:7" ht="12.75" customHeight="1">
      <c r="A7514" s="1754">
        <v>45006</v>
      </c>
      <c r="B7514" s="125" t="str">
        <f>TiposLancamentos!B19</f>
        <v>Restaurantes</v>
      </c>
      <c r="C7514" s="1040" t="s">
        <v>1967</v>
      </c>
      <c r="D7514" s="1736"/>
      <c r="E7514" s="1043">
        <v>51.7</v>
      </c>
      <c r="F7514" s="1043"/>
      <c r="G7514" s="1550"/>
    </row>
    <row r="7515" spans="1:7" ht="12.75" customHeight="1">
      <c r="A7515" s="1754">
        <v>45007</v>
      </c>
      <c r="B7515" s="125" t="str">
        <f>TiposLancamentos!B103</f>
        <v>Juros_Corr. Poupança</v>
      </c>
      <c r="C7515" s="1040" t="s">
        <v>7341</v>
      </c>
      <c r="D7515" s="1736">
        <v>0.02</v>
      </c>
      <c r="E7515" s="1043"/>
      <c r="F7515" s="1043"/>
      <c r="G7515" s="1550"/>
    </row>
    <row r="7516" spans="1:7" ht="12.75" customHeight="1">
      <c r="A7516" s="1754">
        <v>45008</v>
      </c>
      <c r="B7516" s="125" t="str">
        <f>TiposLancamentos!B19</f>
        <v>Restaurantes</v>
      </c>
      <c r="C7516" s="1040" t="s">
        <v>8922</v>
      </c>
      <c r="D7516" s="1736"/>
      <c r="E7516" s="1043">
        <v>55.7</v>
      </c>
      <c r="F7516" s="1043"/>
      <c r="G7516" s="1550"/>
    </row>
    <row r="7517" spans="1:7" ht="12.75" customHeight="1">
      <c r="A7517" s="1754">
        <v>45009</v>
      </c>
      <c r="B7517" s="125" t="str">
        <f>TiposLancamentos!B56</f>
        <v>Farmácia</v>
      </c>
      <c r="C7517" s="1040" t="s">
        <v>8923</v>
      </c>
      <c r="D7517" s="1736"/>
      <c r="E7517" s="1043">
        <v>6.98</v>
      </c>
      <c r="F7517" s="1043"/>
      <c r="G7517" s="1550"/>
    </row>
    <row r="7518" spans="1:7" ht="12.75" customHeight="1">
      <c r="A7518" s="1754">
        <v>45009</v>
      </c>
      <c r="B7518" s="125" t="str">
        <f>TiposLancamentos!B19</f>
        <v>Restaurantes</v>
      </c>
      <c r="C7518" s="1040" t="s">
        <v>8686</v>
      </c>
      <c r="D7518" s="1736"/>
      <c r="E7518" s="1043">
        <v>76</v>
      </c>
      <c r="F7518" s="1043"/>
      <c r="G7518" s="1550"/>
    </row>
    <row r="7519" spans="1:7" ht="12.75" customHeight="1">
      <c r="A7519" s="1754">
        <v>45009</v>
      </c>
      <c r="B7519" s="125" t="str">
        <f>TiposLancamentos!B5</f>
        <v>Supermercado</v>
      </c>
      <c r="C7519" s="1040" t="s">
        <v>1884</v>
      </c>
      <c r="D7519" s="1736"/>
      <c r="E7519" s="1043">
        <v>14.58</v>
      </c>
      <c r="F7519" s="1043"/>
      <c r="G7519" s="1550"/>
    </row>
    <row r="7520" spans="1:7" ht="12.75" customHeight="1">
      <c r="A7520" s="1754">
        <v>45010</v>
      </c>
      <c r="B7520" s="125" t="str">
        <f>TiposLancamentos!B71</f>
        <v>Itens Pessoais</v>
      </c>
      <c r="C7520" s="1040" t="s">
        <v>1951</v>
      </c>
      <c r="D7520" s="1736"/>
      <c r="E7520" s="1043">
        <v>30</v>
      </c>
      <c r="F7520" s="1043"/>
      <c r="G7520" s="1550"/>
    </row>
    <row r="7521" spans="1:7" ht="12.75" customHeight="1">
      <c r="A7521" s="1754">
        <v>45010</v>
      </c>
      <c r="B7521" s="125" t="str">
        <f>TiposLancamentos!B16</f>
        <v>Cristiane</v>
      </c>
      <c r="C7521" s="1040" t="s">
        <v>8924</v>
      </c>
      <c r="D7521" s="1736"/>
      <c r="E7521" s="1043">
        <v>30</v>
      </c>
      <c r="F7521" s="1043"/>
      <c r="G7521" s="1550"/>
    </row>
    <row r="7522" spans="1:7" ht="12.75" customHeight="1">
      <c r="A7522" s="1754">
        <v>45010</v>
      </c>
      <c r="B7522" s="125" t="str">
        <f>TiposLancamentos!B24</f>
        <v>Estacionamentos</v>
      </c>
      <c r="C7522" s="1040" t="s">
        <v>2014</v>
      </c>
      <c r="D7522" s="1736"/>
      <c r="E7522" s="1043">
        <v>13</v>
      </c>
      <c r="F7522" s="1043"/>
      <c r="G7522" s="1550"/>
    </row>
    <row r="7523" spans="1:7" ht="12.75" customHeight="1">
      <c r="A7523" s="1754">
        <v>45010</v>
      </c>
      <c r="B7523" s="125" t="str">
        <f>TiposLancamentos!B5</f>
        <v>Supermercado</v>
      </c>
      <c r="C7523" s="1040" t="s">
        <v>8925</v>
      </c>
      <c r="D7523" s="1736"/>
      <c r="E7523" s="1043">
        <v>4.9000000000000004</v>
      </c>
      <c r="F7523" s="1043"/>
      <c r="G7523" s="1550"/>
    </row>
    <row r="7524" spans="1:7" ht="12.75" customHeight="1">
      <c r="A7524" s="1754">
        <v>45010</v>
      </c>
      <c r="B7524" s="125" t="str">
        <f>TiposLancamentos!B5</f>
        <v>Supermercado</v>
      </c>
      <c r="C7524" s="1040" t="s">
        <v>8926</v>
      </c>
      <c r="D7524" s="1736"/>
      <c r="E7524" s="1043">
        <v>51.62</v>
      </c>
      <c r="F7524" s="1043"/>
      <c r="G7524" s="1550"/>
    </row>
    <row r="7525" spans="1:7" ht="12.75" customHeight="1">
      <c r="A7525" s="1754">
        <v>45010</v>
      </c>
      <c r="B7525" s="125" t="str">
        <f>TiposLancamentos!B5</f>
        <v>Supermercado</v>
      </c>
      <c r="C7525" s="1040" t="s">
        <v>8925</v>
      </c>
      <c r="D7525" s="1736"/>
      <c r="E7525" s="1043">
        <v>45.46</v>
      </c>
      <c r="F7525" s="1043"/>
      <c r="G7525" s="1550"/>
    </row>
    <row r="7526" spans="1:7" ht="12.75" customHeight="1">
      <c r="A7526" s="1754">
        <v>45014</v>
      </c>
      <c r="B7526" s="125" t="str">
        <f>TiposLancamentos!B5</f>
        <v>Supermercado</v>
      </c>
      <c r="C7526" s="1040" t="s">
        <v>1884</v>
      </c>
      <c r="D7526" s="1736"/>
      <c r="E7526" s="1043">
        <v>8.2899999999999991</v>
      </c>
      <c r="F7526" s="1043"/>
      <c r="G7526" s="1550"/>
    </row>
    <row r="7527" spans="1:7" ht="12.75" customHeight="1">
      <c r="A7527" s="1754">
        <v>45016</v>
      </c>
      <c r="B7527" s="125" t="str">
        <f>TiposLancamentos!B95</f>
        <v>Salarios</v>
      </c>
      <c r="C7527" s="1040" t="s">
        <v>8744</v>
      </c>
      <c r="D7527" s="1736">
        <v>7805.85</v>
      </c>
      <c r="E7527" s="1043"/>
      <c r="F7527" s="1043"/>
      <c r="G7527" s="1550"/>
    </row>
    <row r="7528" spans="1:7" ht="12.75" customHeight="1" thickBot="1">
      <c r="A7528" s="1754">
        <v>45016</v>
      </c>
      <c r="B7528" s="125" t="str">
        <f>TiposLancamentos!B19</f>
        <v>Restaurantes</v>
      </c>
      <c r="C7528" s="1040" t="s">
        <v>8771</v>
      </c>
      <c r="D7528" s="1736"/>
      <c r="E7528" s="1043">
        <v>76</v>
      </c>
      <c r="F7528" s="1043"/>
      <c r="G7528" s="1550"/>
    </row>
    <row r="7529" spans="1:7" ht="12.75" customHeight="1">
      <c r="A7529" s="1834"/>
      <c r="B7529" s="977"/>
      <c r="C7529" s="1854" t="s">
        <v>1621</v>
      </c>
      <c r="D7529" s="1823"/>
      <c r="E7529" s="1821"/>
      <c r="F7529" s="1821"/>
      <c r="G7529" s="1895"/>
    </row>
    <row r="7530" spans="1:7" ht="12.75" customHeight="1">
      <c r="A7530" s="1754">
        <v>45017</v>
      </c>
      <c r="B7530" s="125" t="str">
        <f>TiposLancamentos!B19</f>
        <v>Restaurantes</v>
      </c>
      <c r="C7530" s="1040" t="s">
        <v>7406</v>
      </c>
      <c r="D7530" s="1736"/>
      <c r="E7530" s="1043">
        <v>208.89</v>
      </c>
      <c r="F7530" s="1043"/>
      <c r="G7530" s="1550"/>
    </row>
    <row r="7531" spans="1:7" ht="12.75" customHeight="1">
      <c r="A7531" s="1754">
        <v>45017</v>
      </c>
      <c r="B7531" s="125" t="str">
        <f>TiposLancamentos!B19</f>
        <v>Restaurantes</v>
      </c>
      <c r="C7531" s="1040" t="s">
        <v>8927</v>
      </c>
      <c r="D7531" s="1736"/>
      <c r="E7531" s="1043">
        <v>32</v>
      </c>
      <c r="F7531" s="1043"/>
      <c r="G7531" s="1550"/>
    </row>
    <row r="7532" spans="1:7" ht="12.75" customHeight="1">
      <c r="A7532" s="1754">
        <v>45017</v>
      </c>
      <c r="B7532" s="125" t="str">
        <f>TiposLancamentos!B24</f>
        <v>Estacionamentos</v>
      </c>
      <c r="C7532" s="1040" t="s">
        <v>8928</v>
      </c>
      <c r="D7532" s="1736"/>
      <c r="E7532" s="1043">
        <v>12</v>
      </c>
      <c r="F7532" s="1043"/>
      <c r="G7532" s="1550"/>
    </row>
    <row r="7533" spans="1:7" ht="12.75" customHeight="1">
      <c r="A7533" s="1754">
        <v>45018</v>
      </c>
      <c r="B7533" s="125" t="str">
        <f>TiposLancamentos!B15</f>
        <v>Cartões de Crédito</v>
      </c>
      <c r="C7533" s="1040" t="s">
        <v>8016</v>
      </c>
      <c r="D7533" s="1736"/>
      <c r="E7533" s="1043">
        <v>100.27</v>
      </c>
      <c r="F7533" s="1043"/>
      <c r="G7533" s="1550"/>
    </row>
    <row r="7534" spans="1:7" ht="12.75" customHeight="1">
      <c r="A7534" s="1754">
        <v>45018</v>
      </c>
      <c r="B7534" s="125" t="str">
        <f>TiposLancamentos!B15</f>
        <v>Cartões de Crédito</v>
      </c>
      <c r="C7534" s="1040" t="s">
        <v>8252</v>
      </c>
      <c r="D7534" s="1736"/>
      <c r="E7534" s="1043">
        <v>136.85</v>
      </c>
      <c r="F7534" s="1043"/>
      <c r="G7534" s="1550"/>
    </row>
    <row r="7535" spans="1:7" ht="12.75" customHeight="1">
      <c r="A7535" s="1754">
        <v>45018</v>
      </c>
      <c r="B7535" s="125" t="str">
        <f>TiposLancamentos!B15</f>
        <v>Cartões de Crédito</v>
      </c>
      <c r="C7535" s="1040" t="s">
        <v>8772</v>
      </c>
      <c r="D7535" s="1736"/>
      <c r="E7535" s="1043">
        <v>1914.65</v>
      </c>
      <c r="F7535" s="1043"/>
      <c r="G7535" s="1550"/>
    </row>
    <row r="7536" spans="1:7" ht="12.75" customHeight="1">
      <c r="A7536" s="1754">
        <v>45018</v>
      </c>
      <c r="B7536" s="125" t="str">
        <f>TiposLancamentos!B15</f>
        <v>Cartões de Crédito</v>
      </c>
      <c r="C7536" s="1040" t="s">
        <v>8880</v>
      </c>
      <c r="D7536" s="1736"/>
      <c r="E7536" s="1043">
        <v>129.44999999999999</v>
      </c>
      <c r="F7536" s="1043"/>
      <c r="G7536" s="1550"/>
    </row>
    <row r="7537" spans="1:7" ht="12.75" customHeight="1">
      <c r="A7537" s="1754">
        <v>45018</v>
      </c>
      <c r="B7537" s="125" t="str">
        <f>TiposLancamentos!B15</f>
        <v>Cartões de Crédito</v>
      </c>
      <c r="C7537" s="1040" t="s">
        <v>8773</v>
      </c>
      <c r="D7537" s="1736"/>
      <c r="E7537" s="1043">
        <v>0</v>
      </c>
      <c r="F7537" s="1043"/>
      <c r="G7537" s="1550"/>
    </row>
    <row r="7538" spans="1:7" ht="12.75" customHeight="1">
      <c r="A7538" s="1754">
        <v>45018</v>
      </c>
      <c r="B7538" s="125" t="str">
        <f>TiposLancamentos!B105</f>
        <v>Transf. Bco</v>
      </c>
      <c r="C7538" s="1040" t="s">
        <v>8839</v>
      </c>
      <c r="D7538" s="1736"/>
      <c r="E7538" s="1043">
        <v>710.54</v>
      </c>
      <c r="F7538" s="1043"/>
      <c r="G7538" s="1550"/>
    </row>
    <row r="7539" spans="1:7" ht="12.75" customHeight="1">
      <c r="A7539" s="1754">
        <v>45018</v>
      </c>
      <c r="B7539" s="125" t="str">
        <f>TiposLancamentos!B14</f>
        <v>Gás de cozinha</v>
      </c>
      <c r="C7539" s="1040" t="s">
        <v>7496</v>
      </c>
      <c r="D7539" s="1736"/>
      <c r="E7539" s="1043">
        <v>68.709999999999994</v>
      </c>
      <c r="F7539" s="1043"/>
      <c r="G7539" s="1550"/>
    </row>
    <row r="7540" spans="1:7" ht="12.75" customHeight="1">
      <c r="A7540" s="1754">
        <v>45018</v>
      </c>
      <c r="B7540" s="125" t="str">
        <f>TiposLancamentos!B103</f>
        <v>Juros_Corr. Poupança</v>
      </c>
      <c r="C7540" s="1040" t="s">
        <v>7341</v>
      </c>
      <c r="D7540" s="1736">
        <v>0.01</v>
      </c>
      <c r="E7540" s="1043"/>
      <c r="F7540" s="1043"/>
      <c r="G7540" s="1550"/>
    </row>
    <row r="7541" spans="1:7" ht="12.75" customHeight="1">
      <c r="A7541" s="1754">
        <v>45018</v>
      </c>
      <c r="B7541" s="125" t="str">
        <f>TiposLancamentos!B4</f>
        <v>Taxas Bancarias</v>
      </c>
      <c r="C7541" s="1040" t="s">
        <v>7681</v>
      </c>
      <c r="D7541" s="1736"/>
      <c r="E7541" s="1043">
        <v>5.9</v>
      </c>
      <c r="F7541" s="1043"/>
      <c r="G7541" s="1550"/>
    </row>
    <row r="7542" spans="1:7" ht="12.75" customHeight="1">
      <c r="A7542" s="1754">
        <v>45020</v>
      </c>
      <c r="B7542" s="125" t="str">
        <f>TiposLancamentos!B13</f>
        <v>Moradia</v>
      </c>
      <c r="C7542" s="1040" t="s">
        <v>8929</v>
      </c>
      <c r="D7542" s="1736"/>
      <c r="E7542" s="1043">
        <v>15</v>
      </c>
      <c r="F7542" s="1043"/>
      <c r="G7542" s="1550"/>
    </row>
    <row r="7543" spans="1:7" ht="12.75" customHeight="1">
      <c r="A7543" s="1754">
        <v>45020</v>
      </c>
      <c r="B7543" s="125" t="str">
        <f>TiposLancamentos!B17</f>
        <v>GATO</v>
      </c>
      <c r="C7543" s="1040" t="s">
        <v>8478</v>
      </c>
      <c r="D7543" s="1736"/>
      <c r="E7543" s="1043">
        <v>173.46</v>
      </c>
      <c r="F7543" s="1043"/>
      <c r="G7543" s="1550"/>
    </row>
    <row r="7544" spans="1:7" ht="12.75" customHeight="1">
      <c r="A7544" s="1754">
        <v>45020</v>
      </c>
      <c r="B7544" s="125" t="str">
        <f>TiposLancamentos!B19</f>
        <v>Restaurantes</v>
      </c>
      <c r="C7544" s="1040" t="s">
        <v>8930</v>
      </c>
      <c r="D7544" s="1736"/>
      <c r="E7544" s="1043">
        <v>100</v>
      </c>
      <c r="F7544" s="1043"/>
      <c r="G7544" s="1550"/>
    </row>
    <row r="7545" spans="1:7" ht="12.75" customHeight="1">
      <c r="A7545" s="1754">
        <v>45020</v>
      </c>
      <c r="B7545" s="125" t="str">
        <f>TiposLancamentos!B24</f>
        <v>Estacionamentos</v>
      </c>
      <c r="C7545" s="1040" t="s">
        <v>8887</v>
      </c>
      <c r="D7545" s="1736"/>
      <c r="E7545" s="1043">
        <v>15</v>
      </c>
      <c r="F7545" s="1043"/>
      <c r="G7545" s="1550"/>
    </row>
    <row r="7546" spans="1:7" ht="12.75" customHeight="1">
      <c r="A7546" s="1754">
        <v>45020</v>
      </c>
      <c r="B7546" s="125" t="str">
        <f>TiposLancamentos!B19</f>
        <v>Restaurantes</v>
      </c>
      <c r="C7546" s="1040" t="s">
        <v>1967</v>
      </c>
      <c r="D7546" s="1736"/>
      <c r="E7546" s="1043">
        <v>42.9</v>
      </c>
      <c r="F7546" s="1043"/>
      <c r="G7546" s="1550"/>
    </row>
    <row r="7547" spans="1:7" ht="12.75" customHeight="1">
      <c r="A7547" s="1754">
        <v>45021</v>
      </c>
      <c r="B7547" s="125" t="str">
        <f>TiposLancamentos!B17</f>
        <v>GATO</v>
      </c>
      <c r="C7547" s="1040" t="s">
        <v>8931</v>
      </c>
      <c r="D7547" s="1736"/>
      <c r="E7547" s="1043">
        <v>70.39</v>
      </c>
      <c r="F7547" s="1043"/>
      <c r="G7547" s="1550"/>
    </row>
    <row r="7548" spans="1:7" ht="12.75" customHeight="1">
      <c r="A7548" s="1754">
        <v>45021</v>
      </c>
      <c r="B7548" s="125" t="str">
        <f>TiposLancamentos!B5</f>
        <v>Supermercado</v>
      </c>
      <c r="C7548" s="1040" t="s">
        <v>1884</v>
      </c>
      <c r="D7548" s="1736"/>
      <c r="E7548" s="1043">
        <v>53.89</v>
      </c>
      <c r="F7548" s="1043"/>
      <c r="G7548" s="1550"/>
    </row>
    <row r="7549" spans="1:7" ht="12.75" customHeight="1">
      <c r="A7549" s="1754">
        <v>45021</v>
      </c>
      <c r="B7549" s="125" t="str">
        <f>TiposLancamentos!B103</f>
        <v>Juros_Corr. Poupança</v>
      </c>
      <c r="C7549" s="1040" t="s">
        <v>7341</v>
      </c>
      <c r="D7549" s="1736">
        <v>0.03</v>
      </c>
      <c r="E7549" s="1043"/>
      <c r="F7549" s="1043"/>
      <c r="G7549" s="1550"/>
    </row>
    <row r="7550" spans="1:7" ht="12.75" customHeight="1">
      <c r="A7550" s="1754">
        <v>45022</v>
      </c>
      <c r="B7550" s="125" t="str">
        <f>TiposLancamentos!B5</f>
        <v>Supermercado</v>
      </c>
      <c r="C7550" s="1040" t="s">
        <v>8932</v>
      </c>
      <c r="D7550" s="1736"/>
      <c r="E7550" s="1043">
        <v>57.5</v>
      </c>
      <c r="F7550" s="1043"/>
      <c r="G7550" s="1550"/>
    </row>
    <row r="7551" spans="1:7" ht="12.75" customHeight="1">
      <c r="A7551" s="1754">
        <v>45022</v>
      </c>
      <c r="B7551" s="125" t="str">
        <f>TiposLancamentos!B36</f>
        <v>Playstation 2</v>
      </c>
      <c r="C7551" s="1040" t="s">
        <v>8933</v>
      </c>
      <c r="D7551" s="1736"/>
      <c r="E7551" s="1043">
        <v>42.87</v>
      </c>
      <c r="F7551" s="1043"/>
      <c r="G7551" s="1550"/>
    </row>
    <row r="7552" spans="1:7" ht="12.75" customHeight="1">
      <c r="A7552" s="1754">
        <v>45022</v>
      </c>
      <c r="B7552" s="125" t="str">
        <f>TiposLancamentos!B19</f>
        <v>Restaurantes</v>
      </c>
      <c r="C7552" s="1040" t="s">
        <v>8934</v>
      </c>
      <c r="D7552" s="1736"/>
      <c r="E7552" s="1043">
        <v>140.30000000000001</v>
      </c>
      <c r="F7552" s="1043"/>
      <c r="G7552" s="1550"/>
    </row>
    <row r="7553" spans="1:7" ht="12.75" customHeight="1">
      <c r="A7553" s="1754">
        <v>45023</v>
      </c>
      <c r="B7553" s="125" t="str">
        <f>TiposLancamentos!B5</f>
        <v>Supermercado</v>
      </c>
      <c r="C7553" s="1040" t="s">
        <v>7538</v>
      </c>
      <c r="D7553" s="1736"/>
      <c r="E7553" s="1043">
        <v>187.37</v>
      </c>
      <c r="F7553" s="1043"/>
      <c r="G7553" s="1550"/>
    </row>
    <row r="7554" spans="1:7" ht="12.75" customHeight="1">
      <c r="A7554" s="1754">
        <v>45024</v>
      </c>
      <c r="B7554" s="125" t="str">
        <f>TiposLancamentos!B57</f>
        <v>Informática</v>
      </c>
      <c r="C7554" s="1040" t="s">
        <v>8935</v>
      </c>
      <c r="D7554" s="1736"/>
      <c r="E7554" s="1043">
        <v>42.4</v>
      </c>
      <c r="F7554" s="1043"/>
      <c r="G7554" s="1550"/>
    </row>
    <row r="7555" spans="1:7" ht="12.75" customHeight="1">
      <c r="A7555" s="1754">
        <v>45024</v>
      </c>
      <c r="B7555" s="125" t="str">
        <f>TiposLancamentos!B19</f>
        <v>Restaurantes</v>
      </c>
      <c r="C7555" s="1040" t="s">
        <v>8936</v>
      </c>
      <c r="D7555" s="1736"/>
      <c r="E7555" s="1043">
        <v>204.29</v>
      </c>
      <c r="F7555" s="1043"/>
      <c r="G7555" s="1550"/>
    </row>
    <row r="7556" spans="1:7" ht="12.75" customHeight="1">
      <c r="A7556" s="1754">
        <v>45024</v>
      </c>
      <c r="B7556" s="125" t="str">
        <f>TiposLancamentos!B24</f>
        <v>Estacionamentos</v>
      </c>
      <c r="C7556" s="1040" t="s">
        <v>8937</v>
      </c>
      <c r="D7556" s="1736"/>
      <c r="E7556" s="1043">
        <v>12</v>
      </c>
      <c r="F7556" s="1043"/>
      <c r="G7556" s="1550"/>
    </row>
    <row r="7557" spans="1:7" ht="12.75" customHeight="1">
      <c r="A7557" s="1754">
        <v>45025</v>
      </c>
      <c r="B7557" s="125" t="str">
        <f>TiposLancamentos!B5</f>
        <v>Supermercado</v>
      </c>
      <c r="C7557" s="1040" t="s">
        <v>8938</v>
      </c>
      <c r="D7557" s="1736"/>
      <c r="E7557" s="1043">
        <v>359.98</v>
      </c>
      <c r="F7557" s="1043"/>
      <c r="G7557" s="1550"/>
    </row>
    <row r="7558" spans="1:7" ht="12.75" customHeight="1">
      <c r="A7558" s="1754">
        <v>45026</v>
      </c>
      <c r="B7558" s="125" t="str">
        <f>TiposLancamentos!B46</f>
        <v>Maçonaria</v>
      </c>
      <c r="C7558" s="1040" t="s">
        <v>8939</v>
      </c>
      <c r="D7558" s="1736"/>
      <c r="E7558" s="1043">
        <v>210</v>
      </c>
      <c r="F7558" s="1043"/>
      <c r="G7558" s="1550"/>
    </row>
    <row r="7559" spans="1:7" ht="12.75" customHeight="1">
      <c r="A7559" s="1754">
        <v>45026</v>
      </c>
      <c r="B7559" s="125" t="str">
        <f>TiposLancamentos!B52</f>
        <v>Multas</v>
      </c>
      <c r="C7559" s="1040" t="s">
        <v>8940</v>
      </c>
      <c r="D7559" s="1736"/>
      <c r="E7559" s="1043">
        <v>234.78</v>
      </c>
      <c r="F7559" s="1043"/>
      <c r="G7559" s="1550"/>
    </row>
    <row r="7560" spans="1:7" ht="12.75" customHeight="1">
      <c r="A7560" s="1754">
        <v>45027</v>
      </c>
      <c r="B7560" s="125" t="str">
        <f>TiposLancamentos!B103</f>
        <v>Juros_Corr. Poupança</v>
      </c>
      <c r="C7560" s="1040" t="s">
        <v>7341</v>
      </c>
      <c r="D7560" s="1736">
        <v>0.03</v>
      </c>
      <c r="E7560" s="1043"/>
      <c r="F7560" s="1043"/>
      <c r="G7560" s="1550"/>
    </row>
    <row r="7561" spans="1:7" ht="12.75" customHeight="1">
      <c r="A7561" s="1754">
        <v>45027</v>
      </c>
      <c r="B7561" s="125" t="str">
        <f>TiposLancamentos!B24</f>
        <v>Estacionamentos</v>
      </c>
      <c r="C7561" s="1040" t="s">
        <v>1898</v>
      </c>
      <c r="D7561" s="1736"/>
      <c r="E7561" s="1043">
        <v>15</v>
      </c>
      <c r="F7561" s="1043"/>
      <c r="G7561" s="1550"/>
    </row>
    <row r="7562" spans="1:7" ht="12.75" customHeight="1">
      <c r="A7562" s="1754">
        <v>45028</v>
      </c>
      <c r="B7562" s="125" t="str">
        <f>TiposLancamentos!B56</f>
        <v>Farmácia</v>
      </c>
      <c r="C7562" s="1040" t="s">
        <v>8941</v>
      </c>
      <c r="D7562" s="1736"/>
      <c r="E7562" s="1043">
        <v>26.39</v>
      </c>
      <c r="F7562" s="1043"/>
      <c r="G7562" s="1550"/>
    </row>
    <row r="7563" spans="1:7" ht="12.75" customHeight="1">
      <c r="A7563" s="1754">
        <v>45028</v>
      </c>
      <c r="B7563" s="125" t="str">
        <f>TiposLancamentos!B103</f>
        <v>Juros_Corr. Poupança</v>
      </c>
      <c r="C7563" s="1040" t="s">
        <v>7341</v>
      </c>
      <c r="D7563" s="1736">
        <v>0.02</v>
      </c>
      <c r="E7563" s="1043"/>
      <c r="F7563" s="1043"/>
      <c r="G7563" s="1550"/>
    </row>
    <row r="7564" spans="1:7" ht="12.75" customHeight="1">
      <c r="A7564" s="1754">
        <v>45029</v>
      </c>
      <c r="B7564" s="125" t="str">
        <f>TiposLancamentos!B88</f>
        <v>Ford Ecosport XLT</v>
      </c>
      <c r="C7564" s="1040" t="s">
        <v>8942</v>
      </c>
      <c r="D7564" s="1736"/>
      <c r="E7564" s="1043">
        <v>248.19</v>
      </c>
      <c r="F7564" s="1043"/>
      <c r="G7564" s="1550"/>
    </row>
    <row r="7565" spans="1:7" ht="12.75" customHeight="1">
      <c r="A7565" s="1754">
        <v>45029</v>
      </c>
      <c r="B7565" s="125" t="str">
        <f>TiposLancamentos!B36</f>
        <v>Playstation 2</v>
      </c>
      <c r="C7565" s="1040" t="s">
        <v>8943</v>
      </c>
      <c r="D7565" s="1736"/>
      <c r="E7565" s="1043">
        <v>22.78</v>
      </c>
      <c r="F7565" s="1043"/>
      <c r="G7565" s="1550"/>
    </row>
    <row r="7566" spans="1:7" ht="12.75" customHeight="1">
      <c r="A7566" s="1754">
        <v>45030</v>
      </c>
      <c r="B7566" s="125" t="str">
        <f>TiposLancamentos!B103</f>
        <v>Juros_Corr. Poupança</v>
      </c>
      <c r="C7566" s="1040" t="s">
        <v>7341</v>
      </c>
      <c r="D7566" s="1736">
        <v>0.02</v>
      </c>
      <c r="E7566" s="1043"/>
      <c r="F7566" s="1043"/>
      <c r="G7566" s="1550"/>
    </row>
    <row r="7567" spans="1:7" ht="12.75" customHeight="1">
      <c r="A7567" s="1754">
        <v>45030</v>
      </c>
      <c r="B7567" s="125" t="str">
        <f>TiposLancamentos!B13</f>
        <v>Moradia</v>
      </c>
      <c r="C7567" s="1040" t="s">
        <v>8733</v>
      </c>
      <c r="D7567" s="1736"/>
      <c r="E7567" s="1043">
        <v>15</v>
      </c>
      <c r="F7567" s="1043"/>
      <c r="G7567" s="1550"/>
    </row>
    <row r="7568" spans="1:7" ht="12.75" customHeight="1">
      <c r="A7568" s="1666">
        <v>45031</v>
      </c>
      <c r="B7568" s="817" t="str">
        <f>TiposLancamentos!B16</f>
        <v>Cristiane</v>
      </c>
      <c r="C7568" s="1742" t="s">
        <v>8944</v>
      </c>
      <c r="D7568" s="1735"/>
      <c r="E7568" s="1733">
        <f>F7569-E7569</f>
        <v>51.269999999999996</v>
      </c>
      <c r="F7568" s="1346"/>
      <c r="G7568" s="1550"/>
    </row>
    <row r="7569" spans="1:7" ht="12.75" customHeight="1">
      <c r="A7569" s="1750">
        <v>45031</v>
      </c>
      <c r="B7569" s="818" t="str">
        <f>TiposLancamentos!B71</f>
        <v>Itens Pessoais</v>
      </c>
      <c r="C7569" s="1743" t="s">
        <v>8945</v>
      </c>
      <c r="D7569" s="1737"/>
      <c r="E7569" s="1668">
        <v>13.19</v>
      </c>
      <c r="F7569" s="1291">
        <v>64.459999999999994</v>
      </c>
      <c r="G7569" s="1550"/>
    </row>
    <row r="7570" spans="1:7" ht="12.75" customHeight="1">
      <c r="A7570" s="1754">
        <v>45031</v>
      </c>
      <c r="B7570" s="125" t="str">
        <f>TiposLancamentos!B36</f>
        <v>Playstation 2</v>
      </c>
      <c r="C7570" s="1040" t="s">
        <v>8946</v>
      </c>
      <c r="D7570" s="1736"/>
      <c r="E7570" s="1043">
        <v>9.98</v>
      </c>
      <c r="F7570" s="1043"/>
      <c r="G7570" s="1550"/>
    </row>
    <row r="7571" spans="1:7" ht="12.75" customHeight="1">
      <c r="A7571" s="1754">
        <v>45031</v>
      </c>
      <c r="B7571" s="125" t="str">
        <f>TiposLancamentos!B19</f>
        <v>Restaurantes</v>
      </c>
      <c r="C7571" s="1040" t="s">
        <v>8947</v>
      </c>
      <c r="D7571" s="1736"/>
      <c r="E7571" s="1043">
        <v>42</v>
      </c>
      <c r="F7571" s="1043"/>
      <c r="G7571" s="1550"/>
    </row>
    <row r="7572" spans="1:7" ht="12.75" customHeight="1">
      <c r="A7572" s="1754">
        <v>45031</v>
      </c>
      <c r="B7572" s="125" t="str">
        <f>TiposLancamentos!B19</f>
        <v>Restaurantes</v>
      </c>
      <c r="C7572" s="1040" t="s">
        <v>8948</v>
      </c>
      <c r="D7572" s="1736"/>
      <c r="E7572" s="1043">
        <v>30</v>
      </c>
      <c r="F7572" s="1043"/>
      <c r="G7572" s="1550"/>
    </row>
    <row r="7573" spans="1:7" ht="12.75" customHeight="1">
      <c r="A7573" s="1754">
        <v>45031</v>
      </c>
      <c r="B7573" s="125" t="str">
        <f>TiposLancamentos!B19</f>
        <v>Restaurantes</v>
      </c>
      <c r="C7573" s="1040" t="s">
        <v>8948</v>
      </c>
      <c r="D7573" s="1736"/>
      <c r="E7573" s="1043">
        <v>15</v>
      </c>
      <c r="F7573" s="1043"/>
      <c r="G7573" s="1550"/>
    </row>
    <row r="7574" spans="1:7" ht="12.75" customHeight="1">
      <c r="A7574" s="1754">
        <v>45031</v>
      </c>
      <c r="B7574" s="125" t="str">
        <f>TiposLancamentos!B19</f>
        <v>Restaurantes</v>
      </c>
      <c r="C7574" s="1040" t="s">
        <v>8948</v>
      </c>
      <c r="D7574" s="1736"/>
      <c r="E7574" s="1043">
        <v>15</v>
      </c>
      <c r="F7574" s="1043"/>
      <c r="G7574" s="1550"/>
    </row>
    <row r="7575" spans="1:7" ht="12.75" customHeight="1">
      <c r="A7575" s="1754">
        <v>45031</v>
      </c>
      <c r="B7575" s="125" t="str">
        <f>TiposLancamentos!B19</f>
        <v>Restaurantes</v>
      </c>
      <c r="C7575" s="1040" t="s">
        <v>8948</v>
      </c>
      <c r="D7575" s="1736"/>
      <c r="E7575" s="1043">
        <v>20</v>
      </c>
      <c r="F7575" s="1043"/>
      <c r="G7575" s="1550"/>
    </row>
    <row r="7576" spans="1:7" ht="12.75" customHeight="1">
      <c r="A7576" s="1754">
        <v>45031</v>
      </c>
      <c r="B7576" s="125" t="str">
        <f>TiposLancamentos!B19</f>
        <v>Restaurantes</v>
      </c>
      <c r="C7576" s="1040" t="s">
        <v>8949</v>
      </c>
      <c r="D7576" s="1736"/>
      <c r="E7576" s="1043">
        <v>25</v>
      </c>
      <c r="F7576" s="1043"/>
      <c r="G7576" s="1550"/>
    </row>
    <row r="7577" spans="1:7" ht="12.75" customHeight="1">
      <c r="A7577" s="1754">
        <v>45031</v>
      </c>
      <c r="B7577" s="125" t="str">
        <f>TiposLancamentos!B19</f>
        <v>Restaurantes</v>
      </c>
      <c r="C7577" s="1040" t="s">
        <v>8950</v>
      </c>
      <c r="D7577" s="1736"/>
      <c r="E7577" s="1043">
        <v>16</v>
      </c>
      <c r="F7577" s="1043"/>
      <c r="G7577" s="1550"/>
    </row>
    <row r="7578" spans="1:7" ht="12.75" customHeight="1">
      <c r="A7578" s="1754">
        <v>45031</v>
      </c>
      <c r="B7578" s="125" t="str">
        <f>TiposLancamentos!B19</f>
        <v>Restaurantes</v>
      </c>
      <c r="C7578" s="1040" t="s">
        <v>8853</v>
      </c>
      <c r="D7578" s="1736"/>
      <c r="E7578" s="1043">
        <v>23.96</v>
      </c>
      <c r="F7578" s="1043"/>
      <c r="G7578" s="1550"/>
    </row>
    <row r="7579" spans="1:7" ht="12.75" customHeight="1">
      <c r="A7579" s="1754">
        <v>45031</v>
      </c>
      <c r="B7579" s="125" t="str">
        <f>TiposLancamentos!B24</f>
        <v>Estacionamentos</v>
      </c>
      <c r="C7579" s="1040" t="s">
        <v>2014</v>
      </c>
      <c r="D7579" s="1736"/>
      <c r="E7579" s="1043">
        <v>17</v>
      </c>
      <c r="F7579" s="1043"/>
      <c r="G7579" s="1550"/>
    </row>
    <row r="7580" spans="1:7" ht="12.75" customHeight="1">
      <c r="A7580" s="1754">
        <v>45031</v>
      </c>
      <c r="B7580" s="125" t="str">
        <f>TiposLancamentos!B5</f>
        <v>Supermercado</v>
      </c>
      <c r="C7580" s="1040" t="s">
        <v>2097</v>
      </c>
      <c r="D7580" s="1736"/>
      <c r="E7580" s="1043">
        <v>487.86</v>
      </c>
      <c r="F7580" s="1043"/>
      <c r="G7580" s="1550"/>
    </row>
    <row r="7581" spans="1:7" ht="12.75" customHeight="1">
      <c r="A7581" s="1754">
        <v>45032</v>
      </c>
      <c r="B7581" s="116"/>
      <c r="C7581" s="1040" t="s">
        <v>1868</v>
      </c>
      <c r="D7581" s="1736">
        <v>0</v>
      </c>
      <c r="E7581" s="1043">
        <v>0</v>
      </c>
      <c r="F7581" s="1664"/>
      <c r="G7581" s="1550"/>
    </row>
    <row r="7582" spans="1:7" ht="12.75" customHeight="1">
      <c r="A7582" s="1666">
        <v>45032</v>
      </c>
      <c r="B7582" s="817" t="str">
        <f>TiposLancamentos!B35</f>
        <v>Tv à Cabo</v>
      </c>
      <c r="C7582" s="1742" t="s">
        <v>5834</v>
      </c>
      <c r="D7582" s="1735"/>
      <c r="E7582" s="1733">
        <f>F7584-(E7583+E7584)</f>
        <v>104.28</v>
      </c>
      <c r="F7582" s="1290"/>
      <c r="G7582" s="1550"/>
    </row>
    <row r="7583" spans="1:7" ht="12.75" customHeight="1">
      <c r="A7583" s="1667">
        <v>45032</v>
      </c>
      <c r="B7583" s="816" t="str">
        <f>TiposLancamentos!B3</f>
        <v>Internet</v>
      </c>
      <c r="C7583" s="1769" t="s">
        <v>5835</v>
      </c>
      <c r="D7583" s="1736"/>
      <c r="E7583" s="1734">
        <v>143.43</v>
      </c>
      <c r="F7583" s="1043"/>
      <c r="G7583" s="1550"/>
    </row>
    <row r="7584" spans="1:7" ht="12.75" customHeight="1">
      <c r="A7584" s="1750">
        <v>45032</v>
      </c>
      <c r="B7584" s="818" t="str">
        <f>TiposLancamentos!B2</f>
        <v>Telefonia</v>
      </c>
      <c r="C7584" s="1743" t="s">
        <v>7210</v>
      </c>
      <c r="D7584" s="1737"/>
      <c r="E7584" s="1668">
        <v>0</v>
      </c>
      <c r="F7584" s="1291">
        <v>247.71</v>
      </c>
      <c r="G7584" s="1550"/>
    </row>
    <row r="7585" spans="1:7" ht="12.75" customHeight="1">
      <c r="A7585" s="1754">
        <v>45032</v>
      </c>
      <c r="B7585" s="116"/>
      <c r="C7585" s="1040" t="s">
        <v>1868</v>
      </c>
      <c r="D7585" s="1736">
        <v>0</v>
      </c>
      <c r="E7585" s="1043">
        <v>0</v>
      </c>
      <c r="F7585" s="1043"/>
      <c r="G7585" s="1550"/>
    </row>
    <row r="7586" spans="1:7" ht="12.75" customHeight="1">
      <c r="A7586" s="1754">
        <v>45032</v>
      </c>
      <c r="B7586" s="125" t="str">
        <f>TiposLancamentos!B2</f>
        <v>Telefonia</v>
      </c>
      <c r="C7586" s="1040" t="s">
        <v>8797</v>
      </c>
      <c r="D7586" s="1736"/>
      <c r="E7586" s="1043">
        <v>59.89</v>
      </c>
      <c r="F7586" s="1043"/>
      <c r="G7586" s="1550"/>
    </row>
    <row r="7587" spans="1:7" ht="12.75" customHeight="1">
      <c r="A7587" s="1754">
        <v>45032</v>
      </c>
      <c r="B7587" s="125" t="str">
        <f>TiposLancamentos!B19</f>
        <v>Restaurantes</v>
      </c>
      <c r="C7587" s="1040" t="s">
        <v>8771</v>
      </c>
      <c r="D7587" s="1736"/>
      <c r="E7587" s="1043">
        <v>78</v>
      </c>
      <c r="F7587" s="1043"/>
      <c r="G7587" s="1550"/>
    </row>
    <row r="7588" spans="1:7" ht="12.75" customHeight="1">
      <c r="A7588" s="1754">
        <v>45034</v>
      </c>
      <c r="B7588" s="125" t="str">
        <f>TiposLancamentos!B17</f>
        <v>GATO</v>
      </c>
      <c r="C7588" s="1040" t="s">
        <v>8951</v>
      </c>
      <c r="D7588" s="1736"/>
      <c r="E7588" s="1043">
        <v>30.78</v>
      </c>
      <c r="F7588" s="1043"/>
      <c r="G7588" s="1550"/>
    </row>
    <row r="7589" spans="1:7" ht="12.75" customHeight="1">
      <c r="A7589" s="1754">
        <v>45034</v>
      </c>
      <c r="B7589" s="125" t="str">
        <f>TiposLancamentos!B24</f>
        <v>Estacionamentos</v>
      </c>
      <c r="C7589" s="1040" t="s">
        <v>8952</v>
      </c>
      <c r="D7589" s="1736"/>
      <c r="E7589" s="1043">
        <v>15</v>
      </c>
      <c r="F7589" s="1043"/>
      <c r="G7589" s="1550"/>
    </row>
    <row r="7590" spans="1:7" ht="12.75" customHeight="1">
      <c r="A7590" s="1754">
        <v>45034</v>
      </c>
      <c r="B7590" s="125" t="str">
        <f>TiposLancamentos!B19</f>
        <v>Restaurantes</v>
      </c>
      <c r="C7590" s="1040" t="s">
        <v>1967</v>
      </c>
      <c r="D7590" s="1736"/>
      <c r="E7590" s="1043">
        <v>45.1</v>
      </c>
      <c r="F7590" s="1043"/>
      <c r="G7590" s="1550"/>
    </row>
    <row r="7591" spans="1:7" ht="12.75" customHeight="1">
      <c r="A7591" s="1754">
        <v>45034</v>
      </c>
      <c r="B7591" s="125" t="str">
        <f>TiposLancamentos!B103</f>
        <v>Juros_Corr. Poupança</v>
      </c>
      <c r="C7591" s="1040" t="s">
        <v>7341</v>
      </c>
      <c r="D7591" s="1736">
        <v>0.03</v>
      </c>
      <c r="E7591" s="1043"/>
      <c r="F7591" s="1043"/>
      <c r="G7591" s="1550"/>
    </row>
    <row r="7592" spans="1:7" ht="12.75" customHeight="1">
      <c r="A7592" s="1754">
        <v>45036</v>
      </c>
      <c r="B7592" s="125"/>
      <c r="C7592" s="1040" t="s">
        <v>1868</v>
      </c>
      <c r="D7592" s="1736"/>
      <c r="E7592" s="1043"/>
      <c r="F7592" s="1043"/>
      <c r="G7592" s="1550"/>
    </row>
    <row r="7593" spans="1:7" ht="12.75" customHeight="1">
      <c r="A7593" s="1666">
        <v>45036</v>
      </c>
      <c r="B7593" s="817" t="str">
        <f>TiposLancamentos!B8</f>
        <v>Aluguel</v>
      </c>
      <c r="C7593" s="1742" t="s">
        <v>8953</v>
      </c>
      <c r="D7593" s="1735"/>
      <c r="E7593" s="1733">
        <f>F7598-SUM(E7594:E7598)</f>
        <v>1631.85</v>
      </c>
      <c r="F7593" s="1346"/>
      <c r="G7593" s="1550"/>
    </row>
    <row r="7594" spans="1:7" ht="12.75" customHeight="1">
      <c r="A7594" s="1667">
        <v>45036</v>
      </c>
      <c r="B7594" s="816" t="str">
        <f>TiposLancamentos!B12</f>
        <v>IPTU</v>
      </c>
      <c r="C7594" s="1769" t="s">
        <v>8954</v>
      </c>
      <c r="D7594" s="1736"/>
      <c r="E7594" s="1734">
        <v>54.57</v>
      </c>
      <c r="F7594" s="1043"/>
      <c r="G7594" s="1550"/>
    </row>
    <row r="7595" spans="1:7" ht="12.75" customHeight="1">
      <c r="A7595" s="1667">
        <v>45036</v>
      </c>
      <c r="B7595" s="816" t="str">
        <f>TiposLancamentos!B10</f>
        <v>Distr. Água Municipal</v>
      </c>
      <c r="C7595" s="1769" t="s">
        <v>7423</v>
      </c>
      <c r="D7595" s="1736"/>
      <c r="E7595" s="1734">
        <v>69.239999999999995</v>
      </c>
      <c r="F7595" s="1043"/>
      <c r="G7595" s="1550"/>
    </row>
    <row r="7596" spans="1:7" ht="12.75" customHeight="1">
      <c r="A7596" s="1667">
        <v>45036</v>
      </c>
      <c r="B7596" s="816" t="str">
        <f>TiposLancamentos!B11</f>
        <v>Coleta Municipal Lixo</v>
      </c>
      <c r="C7596" s="1769" t="s">
        <v>7424</v>
      </c>
      <c r="D7596" s="1736"/>
      <c r="E7596" s="1734">
        <v>44.36</v>
      </c>
      <c r="F7596" s="1043"/>
      <c r="G7596" s="1550"/>
    </row>
    <row r="7597" spans="1:7" ht="12.75" customHeight="1">
      <c r="A7597" s="1667">
        <v>45036</v>
      </c>
      <c r="B7597" s="816" t="str">
        <f>TiposLancamentos!B8</f>
        <v>Aluguel</v>
      </c>
      <c r="C7597" s="1769" t="s">
        <v>8955</v>
      </c>
      <c r="D7597" s="1736"/>
      <c r="E7597" s="1734">
        <v>8</v>
      </c>
      <c r="F7597" s="1043"/>
      <c r="G7597" s="1550"/>
    </row>
    <row r="7598" spans="1:7" ht="12.75" customHeight="1">
      <c r="A7598" s="1750">
        <v>45036</v>
      </c>
      <c r="B7598" s="818" t="str">
        <f>TiposLancamentos!B9</f>
        <v>Condominio</v>
      </c>
      <c r="C7598" s="1743" t="s">
        <v>7427</v>
      </c>
      <c r="D7598" s="1737"/>
      <c r="E7598" s="1668">
        <v>616.37</v>
      </c>
      <c r="F7598" s="1291">
        <v>2424.39</v>
      </c>
      <c r="G7598" s="1550"/>
    </row>
    <row r="7599" spans="1:7" ht="12.75" customHeight="1">
      <c r="A7599" s="1754"/>
      <c r="B7599" s="125"/>
      <c r="C7599" s="1040" t="s">
        <v>1868</v>
      </c>
      <c r="D7599" s="1736"/>
      <c r="E7599" s="1043"/>
      <c r="F7599" s="1043"/>
      <c r="G7599" s="1550"/>
    </row>
    <row r="7600" spans="1:7" ht="12.75" customHeight="1">
      <c r="A7600" s="1666">
        <v>45038</v>
      </c>
      <c r="B7600" s="817" t="str">
        <f>TiposLancamentos!B37</f>
        <v>Playstation 3</v>
      </c>
      <c r="C7600" s="1742" t="s">
        <v>8956</v>
      </c>
      <c r="D7600" s="1735"/>
      <c r="E7600" s="1733">
        <v>50</v>
      </c>
      <c r="F7600" s="1346"/>
      <c r="G7600" s="1550"/>
    </row>
    <row r="7601" spans="1:7" ht="12.75" customHeight="1">
      <c r="A7601" s="1750">
        <v>45038</v>
      </c>
      <c r="B7601" s="818" t="str">
        <f>TiposLancamentos!B37</f>
        <v>Playstation 3</v>
      </c>
      <c r="C7601" s="1743" t="s">
        <v>8957</v>
      </c>
      <c r="D7601" s="1737"/>
      <c r="E7601" s="1668">
        <v>50</v>
      </c>
      <c r="F7601" s="1291">
        <v>100</v>
      </c>
      <c r="G7601" s="1550"/>
    </row>
    <row r="7602" spans="1:7" ht="12.75" customHeight="1">
      <c r="A7602" s="1754">
        <v>45038</v>
      </c>
      <c r="B7602" s="125" t="str">
        <f>TiposLancamentos!B19</f>
        <v>Restaurantes</v>
      </c>
      <c r="C7602" s="1040" t="s">
        <v>8958</v>
      </c>
      <c r="D7602" s="1736"/>
      <c r="E7602" s="1043">
        <v>142.41499999999999</v>
      </c>
      <c r="F7602" s="1043"/>
      <c r="G7602" s="1550"/>
    </row>
    <row r="7603" spans="1:7" ht="12.75" customHeight="1">
      <c r="A7603" s="1754">
        <v>45038</v>
      </c>
      <c r="B7603" s="125" t="str">
        <f>TiposLancamentos!B19</f>
        <v>Restaurantes</v>
      </c>
      <c r="C7603" s="1040" t="s">
        <v>8473</v>
      </c>
      <c r="D7603" s="1736"/>
      <c r="E7603" s="1043">
        <v>38</v>
      </c>
      <c r="F7603" s="1043"/>
      <c r="G7603" s="1550"/>
    </row>
    <row r="7604" spans="1:7" ht="12.75" customHeight="1">
      <c r="A7604" s="1754">
        <v>45038</v>
      </c>
      <c r="B7604" s="125" t="str">
        <f>TiposLancamentos!B24</f>
        <v>Estacionamentos</v>
      </c>
      <c r="C7604" s="1040" t="s">
        <v>2014</v>
      </c>
      <c r="D7604" s="1736"/>
      <c r="E7604" s="1043">
        <v>11</v>
      </c>
      <c r="F7604" s="1043"/>
      <c r="G7604" s="1550"/>
    </row>
    <row r="7605" spans="1:7" ht="12.75" customHeight="1">
      <c r="A7605" s="1754">
        <v>45039</v>
      </c>
      <c r="B7605" s="125" t="str">
        <f>TiposLancamentos!B19</f>
        <v>Restaurantes</v>
      </c>
      <c r="C7605" s="1040" t="s">
        <v>8959</v>
      </c>
      <c r="D7605" s="1736"/>
      <c r="E7605" s="1043">
        <v>78</v>
      </c>
      <c r="F7605" s="1043"/>
      <c r="G7605" s="1550"/>
    </row>
    <row r="7606" spans="1:7" ht="12.75" customHeight="1">
      <c r="A7606" s="1754">
        <v>45040</v>
      </c>
      <c r="B7606" s="125" t="str">
        <f>TiposLancamentos!B6</f>
        <v>Energia Eletrica</v>
      </c>
      <c r="C7606" s="1040" t="s">
        <v>8960</v>
      </c>
      <c r="D7606" s="1736"/>
      <c r="E7606" s="1043">
        <v>267.76</v>
      </c>
      <c r="F7606" s="1043"/>
      <c r="G7606" s="1550"/>
    </row>
    <row r="7607" spans="1:7" ht="12.75" customHeight="1">
      <c r="A7607" s="1754">
        <v>45040</v>
      </c>
      <c r="B7607" s="125" t="str">
        <f>TiposLancamentos!B16</f>
        <v>Cristiane</v>
      </c>
      <c r="C7607" s="1040" t="s">
        <v>6052</v>
      </c>
      <c r="D7607" s="1736"/>
      <c r="E7607" s="1043">
        <v>22.99</v>
      </c>
      <c r="F7607" s="1043"/>
      <c r="G7607" s="1550"/>
    </row>
    <row r="7608" spans="1:7" ht="12.75" customHeight="1">
      <c r="A7608" s="1754">
        <v>45041</v>
      </c>
      <c r="B7608" s="125" t="str">
        <f>TiposLancamentos!B71</f>
        <v>Itens Pessoais</v>
      </c>
      <c r="C7608" s="1040" t="s">
        <v>8961</v>
      </c>
      <c r="D7608" s="1736"/>
      <c r="E7608" s="1043">
        <v>30</v>
      </c>
      <c r="F7608" s="1043"/>
      <c r="G7608" s="1550"/>
    </row>
    <row r="7609" spans="1:7" ht="12.75" customHeight="1">
      <c r="A7609" s="1754">
        <v>45041</v>
      </c>
      <c r="B7609" s="125" t="str">
        <f>TiposLancamentos!B22</f>
        <v>Combustivel</v>
      </c>
      <c r="C7609" s="1040" t="s">
        <v>8962</v>
      </c>
      <c r="D7609" s="1736"/>
      <c r="E7609" s="1043">
        <v>100</v>
      </c>
      <c r="F7609" s="1043"/>
      <c r="G7609" s="1550"/>
    </row>
    <row r="7610" spans="1:7" ht="12.75" customHeight="1">
      <c r="A7610" s="1754">
        <v>45041</v>
      </c>
      <c r="B7610" s="125" t="str">
        <f>TiposLancamentos!B24</f>
        <v>Estacionamentos</v>
      </c>
      <c r="C7610" s="1040" t="s">
        <v>1898</v>
      </c>
      <c r="D7610" s="1736"/>
      <c r="E7610" s="1043">
        <v>15</v>
      </c>
      <c r="F7610" s="1043"/>
      <c r="G7610" s="1550"/>
    </row>
    <row r="7611" spans="1:7" ht="12.75" customHeight="1">
      <c r="A7611" s="1754">
        <v>45043</v>
      </c>
      <c r="B7611" s="125" t="str">
        <f>TiposLancamentos!B19</f>
        <v>Restaurantes</v>
      </c>
      <c r="C7611" s="1040" t="s">
        <v>8963</v>
      </c>
      <c r="D7611" s="1736"/>
      <c r="E7611" s="1043">
        <v>98.3</v>
      </c>
      <c r="F7611" s="1043"/>
      <c r="G7611" s="1550"/>
    </row>
    <row r="7612" spans="1:7" ht="12.75" customHeight="1">
      <c r="A7612" s="1754">
        <v>45044</v>
      </c>
      <c r="B7612" s="125" t="str">
        <f>TiposLancamentos!B22</f>
        <v>Combustivel</v>
      </c>
      <c r="C7612" s="1040" t="s">
        <v>8964</v>
      </c>
      <c r="D7612" s="1736"/>
      <c r="E7612" s="1043">
        <v>206.54</v>
      </c>
      <c r="F7612" s="1043"/>
      <c r="G7612" s="1550"/>
    </row>
    <row r="7613" spans="1:7" ht="12.75" customHeight="1">
      <c r="A7613" s="1754">
        <v>45044</v>
      </c>
      <c r="B7613" s="125" t="str">
        <f>TiposLancamentos!B95</f>
        <v>Salarios</v>
      </c>
      <c r="C7613" s="1040" t="s">
        <v>8744</v>
      </c>
      <c r="D7613" s="1736">
        <v>7790.55</v>
      </c>
      <c r="E7613" s="1043"/>
      <c r="F7613" s="1043"/>
      <c r="G7613" s="1550"/>
    </row>
    <row r="7614" spans="1:7" ht="12.75" customHeight="1">
      <c r="A7614" s="1754">
        <v>45045</v>
      </c>
      <c r="B7614" s="125" t="str">
        <f>TiposLancamentos!B17</f>
        <v>GATO</v>
      </c>
      <c r="C7614" s="1040" t="s">
        <v>8965</v>
      </c>
      <c r="D7614" s="1736"/>
      <c r="E7614" s="1043">
        <v>81.900000000000006</v>
      </c>
      <c r="F7614" s="1043"/>
      <c r="G7614" s="1550"/>
    </row>
    <row r="7615" spans="1:7" ht="12.75" customHeight="1" thickBot="1">
      <c r="A7615" s="1754">
        <v>45046</v>
      </c>
      <c r="B7615" s="125" t="str">
        <f>TiposLancamentos!B5</f>
        <v>Supermercado</v>
      </c>
      <c r="C7615" s="1040" t="s">
        <v>8966</v>
      </c>
      <c r="D7615" s="1736"/>
      <c r="E7615" s="1043">
        <v>265.27999999999997</v>
      </c>
      <c r="F7615" s="1043"/>
      <c r="G7615" s="1550"/>
    </row>
    <row r="7616" spans="1:7" ht="12.75" customHeight="1">
      <c r="A7616" s="1834"/>
      <c r="B7616" s="977"/>
      <c r="C7616" s="1854" t="s">
        <v>1622</v>
      </c>
      <c r="D7616" s="1823"/>
      <c r="E7616" s="1821"/>
      <c r="F7616" s="1821"/>
      <c r="G7616" s="1895"/>
    </row>
    <row r="7617" spans="1:7" ht="12.75" customHeight="1">
      <c r="A7617" s="1754">
        <v>45047</v>
      </c>
      <c r="B7617" s="125" t="str">
        <f>TiposLancamentos!B22</f>
        <v>Combustivel</v>
      </c>
      <c r="C7617" s="1040" t="s">
        <v>1918</v>
      </c>
      <c r="D7617" s="1736"/>
      <c r="E7617" s="1043">
        <v>158.44999999999999</v>
      </c>
      <c r="F7617" s="1043"/>
      <c r="G7617" s="1550"/>
    </row>
    <row r="7618" spans="1:7" ht="12.75" customHeight="1">
      <c r="A7618" s="1754">
        <v>45047</v>
      </c>
      <c r="B7618" s="125" t="str">
        <f>TiposLancamentos!B19</f>
        <v>Restaurantes</v>
      </c>
      <c r="C7618" s="1040" t="s">
        <v>8967</v>
      </c>
      <c r="D7618" s="1736"/>
      <c r="E7618" s="1043">
        <v>80</v>
      </c>
      <c r="F7618" s="1043"/>
      <c r="G7618" s="1550"/>
    </row>
    <row r="7619" spans="1:7" ht="12.75" customHeight="1">
      <c r="A7619" s="1754">
        <v>45047</v>
      </c>
      <c r="B7619" s="125" t="str">
        <f>TiposLancamentos!B15</f>
        <v>Cartões de Crédito</v>
      </c>
      <c r="C7619" s="1040" t="s">
        <v>8016</v>
      </c>
      <c r="D7619" s="1736"/>
      <c r="E7619" s="1043">
        <v>614.37</v>
      </c>
      <c r="F7619" s="1043"/>
      <c r="G7619" s="1550"/>
    </row>
    <row r="7620" spans="1:7" ht="12.75" customHeight="1">
      <c r="A7620" s="1754">
        <v>45047</v>
      </c>
      <c r="B7620" s="125" t="str">
        <f>TiposLancamentos!B15</f>
        <v>Cartões de Crédito</v>
      </c>
      <c r="C7620" s="1040" t="s">
        <v>8252</v>
      </c>
      <c r="D7620" s="1736"/>
      <c r="E7620" s="1043">
        <v>236.75</v>
      </c>
      <c r="F7620" s="1043"/>
      <c r="G7620" s="1550"/>
    </row>
    <row r="7621" spans="1:7" ht="12.75" customHeight="1">
      <c r="A7621" s="1754">
        <v>45047</v>
      </c>
      <c r="B7621" s="125" t="str">
        <f>TiposLancamentos!B15</f>
        <v>Cartões de Crédito</v>
      </c>
      <c r="C7621" s="1040" t="s">
        <v>8772</v>
      </c>
      <c r="D7621" s="1736"/>
      <c r="E7621" s="1043">
        <v>1280.0999999999999</v>
      </c>
      <c r="F7621" s="1043"/>
      <c r="G7621" s="1550"/>
    </row>
    <row r="7622" spans="1:7" ht="12.75" customHeight="1">
      <c r="A7622" s="1754">
        <v>45047</v>
      </c>
      <c r="B7622" s="125" t="str">
        <f>TiposLancamentos!B15</f>
        <v>Cartões de Crédito</v>
      </c>
      <c r="C7622" s="1040" t="s">
        <v>8880</v>
      </c>
      <c r="D7622" s="1736"/>
      <c r="E7622" s="1043">
        <v>563.71</v>
      </c>
      <c r="F7622" s="1043"/>
      <c r="G7622" s="1550"/>
    </row>
    <row r="7623" spans="1:7" ht="12.75" customHeight="1">
      <c r="A7623" s="1754">
        <v>45047</v>
      </c>
      <c r="B7623" s="125" t="str">
        <f>TiposLancamentos!B15</f>
        <v>Cartões de Crédito</v>
      </c>
      <c r="C7623" s="1040" t="s">
        <v>8773</v>
      </c>
      <c r="D7623" s="1736"/>
      <c r="E7623" s="1043">
        <v>0</v>
      </c>
      <c r="F7623" s="1043"/>
      <c r="G7623" s="1550"/>
    </row>
    <row r="7624" spans="1:7" ht="12.75" customHeight="1">
      <c r="A7624" s="1754">
        <v>45047</v>
      </c>
      <c r="B7624" s="125" t="str">
        <f>TiposLancamentos!B105</f>
        <v>Transf. Bco</v>
      </c>
      <c r="C7624" s="1040" t="s">
        <v>8839</v>
      </c>
      <c r="D7624" s="1736"/>
      <c r="E7624" s="1043">
        <v>685.78</v>
      </c>
      <c r="F7624" s="1043"/>
      <c r="G7624" s="1550"/>
    </row>
    <row r="7625" spans="1:7" ht="12.75" customHeight="1">
      <c r="A7625" s="1754">
        <v>45047</v>
      </c>
      <c r="B7625" s="125" t="str">
        <f>TiposLancamentos!B14</f>
        <v>Gás de cozinha</v>
      </c>
      <c r="C7625" s="1040" t="s">
        <v>7496</v>
      </c>
      <c r="D7625" s="1736"/>
      <c r="E7625" s="1043">
        <v>59.54</v>
      </c>
      <c r="F7625" s="1043"/>
      <c r="G7625" s="1550"/>
    </row>
    <row r="7626" spans="1:7" ht="12.75" customHeight="1">
      <c r="A7626" s="1754">
        <v>45048</v>
      </c>
      <c r="B7626" s="125" t="str">
        <f>TiposLancamentos!B24</f>
        <v>Estacionamentos</v>
      </c>
      <c r="C7626" s="1040" t="s">
        <v>8968</v>
      </c>
      <c r="D7626" s="1736"/>
      <c r="E7626" s="1043">
        <v>5</v>
      </c>
      <c r="F7626" s="1043"/>
      <c r="G7626" s="1550"/>
    </row>
    <row r="7627" spans="1:7" ht="12.75" customHeight="1">
      <c r="A7627" s="1754">
        <v>45048</v>
      </c>
      <c r="B7627" s="125" t="str">
        <f>TiposLancamentos!B20</f>
        <v>Saques</v>
      </c>
      <c r="C7627" s="1040" t="s">
        <v>4368</v>
      </c>
      <c r="D7627" s="1736"/>
      <c r="E7627" s="1043">
        <v>100</v>
      </c>
      <c r="F7627" s="1043"/>
      <c r="G7627" s="1550"/>
    </row>
    <row r="7628" spans="1:7" ht="12.75" customHeight="1">
      <c r="A7628" s="1754">
        <v>45048</v>
      </c>
      <c r="B7628" s="125" t="str">
        <f>TiposLancamentos!B20</f>
        <v>Saques</v>
      </c>
      <c r="C7628" s="1040" t="s">
        <v>4368</v>
      </c>
      <c r="D7628" s="1736"/>
      <c r="E7628" s="1043">
        <v>50</v>
      </c>
      <c r="F7628" s="1043"/>
      <c r="G7628" s="1550"/>
    </row>
    <row r="7629" spans="1:7" ht="12.75" customHeight="1">
      <c r="A7629" s="1754">
        <v>45048</v>
      </c>
      <c r="B7629" s="125" t="str">
        <f>TiposLancamentos!B56</f>
        <v>Farmácia</v>
      </c>
      <c r="C7629" s="1040" t="s">
        <v>8969</v>
      </c>
      <c r="D7629" s="1736"/>
      <c r="E7629" s="1043">
        <v>414.79</v>
      </c>
      <c r="F7629" s="1043"/>
      <c r="G7629" s="1550"/>
    </row>
    <row r="7630" spans="1:7" ht="12.75" customHeight="1">
      <c r="A7630" s="1754">
        <v>45048</v>
      </c>
      <c r="B7630" s="125" t="str">
        <f>TiposLancamentos!B24</f>
        <v>Estacionamentos</v>
      </c>
      <c r="C7630" s="1040" t="s">
        <v>8968</v>
      </c>
      <c r="D7630" s="1736"/>
      <c r="E7630" s="1043">
        <v>1</v>
      </c>
      <c r="F7630" s="1043"/>
      <c r="G7630" s="1550"/>
    </row>
    <row r="7631" spans="1:7" ht="12.75" customHeight="1">
      <c r="A7631" s="1754">
        <v>45048</v>
      </c>
      <c r="B7631" s="125" t="str">
        <f>TiposLancamentos!B56</f>
        <v>Farmácia</v>
      </c>
      <c r="C7631" s="1040" t="s">
        <v>8970</v>
      </c>
      <c r="D7631" s="1736"/>
      <c r="E7631" s="1043">
        <v>16.600000000000001</v>
      </c>
      <c r="F7631" s="1043"/>
      <c r="G7631" s="1550"/>
    </row>
    <row r="7632" spans="1:7" ht="12.75" customHeight="1">
      <c r="A7632" s="1754">
        <v>45049</v>
      </c>
      <c r="B7632" s="125" t="str">
        <f>TiposLancamentos!B4</f>
        <v>Taxas Bancarias</v>
      </c>
      <c r="C7632" s="1040" t="s">
        <v>4858</v>
      </c>
      <c r="D7632" s="1736"/>
      <c r="E7632" s="1043">
        <v>10.54</v>
      </c>
      <c r="F7632" s="1043"/>
      <c r="G7632" s="1550"/>
    </row>
    <row r="7633" spans="1:7" ht="12.75" customHeight="1">
      <c r="A7633" s="1754">
        <v>45049</v>
      </c>
      <c r="B7633" s="125" t="str">
        <f>TiposLancamentos!B4</f>
        <v>Taxas Bancarias</v>
      </c>
      <c r="C7633" s="1040" t="s">
        <v>8971</v>
      </c>
      <c r="D7633" s="1736"/>
      <c r="E7633" s="1043">
        <v>5.9</v>
      </c>
      <c r="F7633" s="1043"/>
      <c r="G7633" s="1550"/>
    </row>
    <row r="7634" spans="1:7" ht="12.75" customHeight="1">
      <c r="A7634" s="1754">
        <v>45049</v>
      </c>
      <c r="B7634" s="125" t="str">
        <f>TiposLancamentos!B103</f>
        <v>Juros_Corr. Poupança</v>
      </c>
      <c r="C7634" s="1040" t="s">
        <v>7341</v>
      </c>
      <c r="D7634" s="1736">
        <v>0.01</v>
      </c>
      <c r="E7634" s="1043"/>
      <c r="F7634" s="1043"/>
      <c r="G7634" s="1550"/>
    </row>
    <row r="7635" spans="1:7" ht="12.75" customHeight="1">
      <c r="A7635" s="1754">
        <v>45050</v>
      </c>
      <c r="B7635" s="125" t="str">
        <f>TiposLancamentos!B37</f>
        <v>Playstation 3</v>
      </c>
      <c r="C7635" s="1040" t="s">
        <v>8972</v>
      </c>
      <c r="D7635" s="1736"/>
      <c r="E7635" s="1043">
        <v>75.5</v>
      </c>
      <c r="F7635" s="1043"/>
      <c r="G7635" s="1550"/>
    </row>
    <row r="7636" spans="1:7" ht="12.75" customHeight="1">
      <c r="A7636" s="1754">
        <v>45050</v>
      </c>
      <c r="B7636" s="125" t="str">
        <f>TiposLancamentos!B13</f>
        <v>Moradia</v>
      </c>
      <c r="C7636" s="1040" t="s">
        <v>8973</v>
      </c>
      <c r="D7636" s="1736"/>
      <c r="E7636" s="1043">
        <v>104.6</v>
      </c>
      <c r="F7636" s="1043"/>
      <c r="G7636" s="1550"/>
    </row>
    <row r="7637" spans="1:7" ht="12.75" customHeight="1">
      <c r="A7637" s="1754">
        <v>45050</v>
      </c>
      <c r="B7637" s="125" t="str">
        <f>TiposLancamentos!B36</f>
        <v>Playstation 2</v>
      </c>
      <c r="C7637" s="1040" t="s">
        <v>8974</v>
      </c>
      <c r="D7637" s="1736"/>
      <c r="E7637" s="1043">
        <v>15</v>
      </c>
      <c r="F7637" s="1043"/>
      <c r="G7637" s="1550"/>
    </row>
    <row r="7638" spans="1:7" ht="12.75" customHeight="1">
      <c r="A7638" s="1754">
        <v>45051</v>
      </c>
      <c r="B7638" s="125" t="str">
        <f>TiposLancamentos!B105</f>
        <v>Transf. Bco</v>
      </c>
      <c r="C7638" s="1040" t="s">
        <v>8975</v>
      </c>
      <c r="D7638" s="1736">
        <v>700</v>
      </c>
      <c r="E7638" s="1043"/>
      <c r="F7638" s="1043"/>
      <c r="G7638" s="1550"/>
    </row>
    <row r="7639" spans="1:7" ht="12.75" customHeight="1">
      <c r="A7639" s="1754">
        <v>45051</v>
      </c>
      <c r="B7639" s="125" t="str">
        <f>TiposLancamentos!B13</f>
        <v>Moradia</v>
      </c>
      <c r="C7639" s="1040" t="s">
        <v>3524</v>
      </c>
      <c r="D7639" s="1736"/>
      <c r="E7639" s="1043">
        <v>15</v>
      </c>
      <c r="F7639" s="1043"/>
      <c r="G7639" s="1550"/>
    </row>
    <row r="7640" spans="1:7" ht="12.75" customHeight="1">
      <c r="A7640" s="1754">
        <v>45051</v>
      </c>
      <c r="B7640" s="125" t="str">
        <f>TiposLancamentos!B19</f>
        <v>Restaurantes</v>
      </c>
      <c r="C7640" s="1040" t="s">
        <v>8686</v>
      </c>
      <c r="D7640" s="1736"/>
      <c r="E7640" s="1043">
        <v>78</v>
      </c>
      <c r="F7640" s="1043"/>
      <c r="G7640" s="1550"/>
    </row>
    <row r="7641" spans="1:7" ht="12.75" customHeight="1">
      <c r="A7641" s="1754">
        <v>45051</v>
      </c>
      <c r="B7641" s="125" t="str">
        <f>TiposLancamentos!B4</f>
        <v>Taxas Bancarias</v>
      </c>
      <c r="C7641" s="1040" t="s">
        <v>8778</v>
      </c>
      <c r="D7641" s="1736"/>
      <c r="E7641" s="1043">
        <v>45.76</v>
      </c>
      <c r="F7641" s="1043"/>
      <c r="G7641" s="1550"/>
    </row>
    <row r="7642" spans="1:7" ht="12.75" customHeight="1">
      <c r="A7642" s="1754">
        <v>45052</v>
      </c>
      <c r="B7642" s="125" t="str">
        <f>TiposLancamentos!B5</f>
        <v>Supermercado</v>
      </c>
      <c r="C7642" s="1040" t="s">
        <v>1884</v>
      </c>
      <c r="D7642" s="1736"/>
      <c r="E7642" s="1043">
        <v>43.15</v>
      </c>
      <c r="F7642" s="1043"/>
      <c r="G7642" s="1550"/>
    </row>
    <row r="7643" spans="1:7" ht="12.75" customHeight="1">
      <c r="A7643" s="1754">
        <v>45052</v>
      </c>
      <c r="B7643" s="125" t="str">
        <f>TiposLancamentos!B19</f>
        <v>Restaurantes</v>
      </c>
      <c r="C7643" s="1040" t="s">
        <v>8976</v>
      </c>
      <c r="D7643" s="1736"/>
      <c r="E7643" s="1043">
        <v>99.89</v>
      </c>
      <c r="F7643" s="1043"/>
      <c r="G7643" s="1550"/>
    </row>
    <row r="7644" spans="1:7" ht="12.75" customHeight="1">
      <c r="A7644" s="1754">
        <v>45053</v>
      </c>
      <c r="B7644" s="125" t="str">
        <f>TiposLancamentos!B19</f>
        <v>Restaurantes</v>
      </c>
      <c r="C7644" s="1040" t="s">
        <v>8977</v>
      </c>
      <c r="D7644" s="1736"/>
      <c r="E7644" s="1043">
        <v>182.27</v>
      </c>
      <c r="F7644" s="1043"/>
      <c r="G7644" s="1550"/>
    </row>
    <row r="7645" spans="1:7" ht="12.75" customHeight="1">
      <c r="A7645" s="1754">
        <v>45053</v>
      </c>
      <c r="B7645" s="125" t="str">
        <f>TiposLancamentos!B56</f>
        <v>Farmácia</v>
      </c>
      <c r="C7645" s="1040" t="s">
        <v>8978</v>
      </c>
      <c r="D7645" s="1736"/>
      <c r="E7645" s="1043">
        <v>235.88</v>
      </c>
      <c r="F7645" s="1043"/>
      <c r="G7645" s="1550"/>
    </row>
    <row r="7646" spans="1:7" ht="12.75" customHeight="1">
      <c r="A7646" s="1754">
        <v>45053</v>
      </c>
      <c r="B7646" s="125" t="str">
        <f>TiposLancamentos!B24</f>
        <v>Estacionamentos</v>
      </c>
      <c r="C7646" s="1040" t="s">
        <v>8979</v>
      </c>
      <c r="D7646" s="1736"/>
      <c r="E7646" s="1043">
        <v>12</v>
      </c>
      <c r="F7646" s="1043"/>
      <c r="G7646" s="1550"/>
    </row>
    <row r="7647" spans="1:7" ht="12.75" customHeight="1">
      <c r="A7647" s="1754">
        <v>45054</v>
      </c>
      <c r="B7647" s="125" t="str">
        <f>TiposLancamentos!B4</f>
        <v>Taxas Bancarias</v>
      </c>
      <c r="C7647" s="1040" t="s">
        <v>8980</v>
      </c>
      <c r="D7647" s="1736"/>
      <c r="E7647" s="1043">
        <v>2.86</v>
      </c>
      <c r="F7647" s="1043"/>
      <c r="G7647" s="1550"/>
    </row>
    <row r="7648" spans="1:7" ht="12.75" customHeight="1">
      <c r="A7648" s="1754">
        <v>45055</v>
      </c>
      <c r="B7648" s="125" t="str">
        <f>TiposLancamentos!B17</f>
        <v>GATO</v>
      </c>
      <c r="C7648" s="1040" t="s">
        <v>8981</v>
      </c>
      <c r="D7648" s="1736"/>
      <c r="E7648" s="1043">
        <v>149.47</v>
      </c>
      <c r="F7648" s="1043"/>
      <c r="G7648" s="1550"/>
    </row>
    <row r="7649" spans="1:7" ht="12.75" customHeight="1">
      <c r="A7649" s="1754">
        <v>45056</v>
      </c>
      <c r="B7649" s="125" t="str">
        <f>TiposLancamentos!B46</f>
        <v>Maçonaria</v>
      </c>
      <c r="C7649" s="1040" t="s">
        <v>8982</v>
      </c>
      <c r="D7649" s="1736"/>
      <c r="E7649" s="1043">
        <v>210</v>
      </c>
      <c r="F7649" s="1043"/>
      <c r="G7649" s="1550"/>
    </row>
    <row r="7650" spans="1:7" ht="12.75" customHeight="1">
      <c r="A7650" s="1754">
        <v>45058</v>
      </c>
      <c r="B7650" s="125" t="str">
        <f>TiposLancamentos!B13</f>
        <v>Moradia</v>
      </c>
      <c r="C7650" s="1040" t="s">
        <v>8983</v>
      </c>
      <c r="D7650" s="1736"/>
      <c r="E7650" s="1043">
        <v>15</v>
      </c>
      <c r="F7650" s="1043"/>
      <c r="G7650" s="1550"/>
    </row>
    <row r="7651" spans="1:7" ht="12.75" customHeight="1">
      <c r="A7651" s="1754">
        <v>45058</v>
      </c>
      <c r="B7651" s="125" t="str">
        <f>TiposLancamentos!B56</f>
        <v>Farmácia</v>
      </c>
      <c r="C7651" s="1040" t="s">
        <v>8984</v>
      </c>
      <c r="D7651" s="1736"/>
      <c r="E7651" s="1043">
        <v>71.209999999999994</v>
      </c>
      <c r="F7651" s="1043"/>
      <c r="G7651" s="1550"/>
    </row>
    <row r="7652" spans="1:7" ht="12.75" customHeight="1">
      <c r="A7652" s="1754">
        <v>45058</v>
      </c>
      <c r="B7652" s="125" t="str">
        <f>TiposLancamentos!B88</f>
        <v>Ford Ecosport XLT</v>
      </c>
      <c r="C7652" s="1040" t="s">
        <v>8985</v>
      </c>
      <c r="D7652" s="1736"/>
      <c r="E7652" s="1043">
        <v>248.19</v>
      </c>
      <c r="F7652" s="1043"/>
      <c r="G7652" s="1550"/>
    </row>
    <row r="7653" spans="1:7" ht="12.75" customHeight="1">
      <c r="A7653" s="1666">
        <v>45059</v>
      </c>
      <c r="B7653" s="817" t="str">
        <f>TiposLancamentos!B37</f>
        <v>Playstation 3</v>
      </c>
      <c r="C7653" s="1742" t="s">
        <v>8986</v>
      </c>
      <c r="D7653" s="1735"/>
      <c r="E7653" s="1733">
        <v>0.03</v>
      </c>
      <c r="F7653" s="1666"/>
      <c r="G7653" s="1550"/>
    </row>
    <row r="7654" spans="1:7" ht="12.75" customHeight="1">
      <c r="A7654" s="1667">
        <v>45059</v>
      </c>
      <c r="B7654" s="816" t="str">
        <f>TiposLancamentos!B37</f>
        <v>Playstation 3</v>
      </c>
      <c r="C7654" s="1769" t="s">
        <v>8987</v>
      </c>
      <c r="D7654" s="1736"/>
      <c r="E7654" s="1734">
        <v>70</v>
      </c>
      <c r="F7654" s="1667"/>
      <c r="G7654" s="1550"/>
    </row>
    <row r="7655" spans="1:7" ht="12.75" customHeight="1">
      <c r="A7655" s="1667">
        <v>45059</v>
      </c>
      <c r="B7655" s="816" t="str">
        <f>TiposLancamentos!B37</f>
        <v>Playstation 3</v>
      </c>
      <c r="C7655" s="1769" t="s">
        <v>8988</v>
      </c>
      <c r="D7655" s="1736"/>
      <c r="E7655" s="1734">
        <v>120</v>
      </c>
      <c r="F7655" s="1667"/>
      <c r="G7655" s="1550"/>
    </row>
    <row r="7656" spans="1:7" ht="12.75" customHeight="1">
      <c r="A7656" s="1667">
        <v>45059</v>
      </c>
      <c r="B7656" s="816" t="str">
        <f>TiposLancamentos!B37</f>
        <v>Playstation 3</v>
      </c>
      <c r="C7656" s="1769" t="s">
        <v>8989</v>
      </c>
      <c r="D7656" s="1736"/>
      <c r="E7656" s="1734">
        <v>70</v>
      </c>
      <c r="F7656" s="1667"/>
      <c r="G7656" s="1550"/>
    </row>
    <row r="7657" spans="1:7" ht="12.75" customHeight="1">
      <c r="A7657" s="1667">
        <v>45059</v>
      </c>
      <c r="B7657" s="816" t="str">
        <f>TiposLancamentos!B37</f>
        <v>Playstation 3</v>
      </c>
      <c r="C7657" s="1769" t="s">
        <v>8990</v>
      </c>
      <c r="D7657" s="1736"/>
      <c r="E7657" s="1734">
        <v>70</v>
      </c>
      <c r="F7657" s="1667"/>
      <c r="G7657" s="1550"/>
    </row>
    <row r="7658" spans="1:7" ht="12.75" customHeight="1">
      <c r="A7658" s="1667">
        <v>45059</v>
      </c>
      <c r="B7658" s="816" t="str">
        <f>TiposLancamentos!B37</f>
        <v>Playstation 3</v>
      </c>
      <c r="C7658" s="1769" t="s">
        <v>8991</v>
      </c>
      <c r="D7658" s="1736"/>
      <c r="E7658" s="1734">
        <v>49.99</v>
      </c>
      <c r="F7658" s="1667"/>
      <c r="G7658" s="1550"/>
    </row>
    <row r="7659" spans="1:7" ht="12.75" customHeight="1">
      <c r="A7659" s="1667">
        <v>45059</v>
      </c>
      <c r="B7659" s="816" t="str">
        <f>TiposLancamentos!B37</f>
        <v>Playstation 3</v>
      </c>
      <c r="C7659" s="1769" t="s">
        <v>8992</v>
      </c>
      <c r="D7659" s="1736"/>
      <c r="E7659" s="1734">
        <v>49.99</v>
      </c>
      <c r="F7659" s="1667"/>
      <c r="G7659" s="1550"/>
    </row>
    <row r="7660" spans="1:7" ht="12.75" customHeight="1">
      <c r="A7660" s="1750">
        <v>45059</v>
      </c>
      <c r="B7660" s="818" t="str">
        <f>TiposLancamentos!B37</f>
        <v>Playstation 3</v>
      </c>
      <c r="C7660" s="1743" t="s">
        <v>8993</v>
      </c>
      <c r="D7660" s="1737"/>
      <c r="E7660" s="1668">
        <v>49.99</v>
      </c>
      <c r="F7660" s="1668">
        <f>SUM(E7653:E7660)</f>
        <v>480</v>
      </c>
      <c r="G7660" s="1550"/>
    </row>
    <row r="7661" spans="1:7" ht="12.75" customHeight="1">
      <c r="A7661" s="1754">
        <v>45059</v>
      </c>
      <c r="B7661" s="125" t="str">
        <f>TiposLancamentos!B13</f>
        <v>Moradia</v>
      </c>
      <c r="C7661" s="1040" t="s">
        <v>8994</v>
      </c>
      <c r="D7661" s="1736"/>
      <c r="E7661" s="1043">
        <v>42.9</v>
      </c>
      <c r="F7661" s="1043"/>
      <c r="G7661" s="1550"/>
    </row>
    <row r="7662" spans="1:7" ht="12.75" customHeight="1">
      <c r="A7662" s="1754">
        <v>45059</v>
      </c>
      <c r="B7662" s="125" t="str">
        <f>TiposLancamentos!B16</f>
        <v>Cristiane</v>
      </c>
      <c r="C7662" s="1040" t="s">
        <v>8995</v>
      </c>
      <c r="D7662" s="1736"/>
      <c r="E7662" s="1043">
        <v>64.760000000000005</v>
      </c>
      <c r="F7662" s="1043"/>
      <c r="G7662" s="1550"/>
    </row>
    <row r="7663" spans="1:7" ht="12.75" customHeight="1">
      <c r="A7663" s="1754">
        <v>45059</v>
      </c>
      <c r="B7663" s="125" t="str">
        <f>TiposLancamentos!B13</f>
        <v>Moradia</v>
      </c>
      <c r="C7663" s="1040" t="s">
        <v>8996</v>
      </c>
      <c r="D7663" s="1736"/>
      <c r="E7663" s="1043">
        <v>49.99</v>
      </c>
      <c r="F7663" s="1043"/>
      <c r="G7663" s="1550"/>
    </row>
    <row r="7664" spans="1:7" ht="12.75" customHeight="1">
      <c r="A7664" s="1754">
        <v>45059</v>
      </c>
      <c r="B7664" s="125" t="str">
        <f>TiposLancamentos!B57</f>
        <v>Informática</v>
      </c>
      <c r="C7664" s="1040" t="s">
        <v>8997</v>
      </c>
      <c r="D7664" s="1736"/>
      <c r="E7664" s="1043">
        <v>80</v>
      </c>
      <c r="F7664" s="1043"/>
      <c r="G7664" s="1550"/>
    </row>
    <row r="7665" spans="1:7" ht="12.75" customHeight="1">
      <c r="A7665" s="1754">
        <v>45059</v>
      </c>
      <c r="B7665" s="125" t="str">
        <f>TiposLancamentos!B19</f>
        <v>Restaurantes</v>
      </c>
      <c r="C7665" s="1040" t="s">
        <v>8998</v>
      </c>
      <c r="D7665" s="1736"/>
      <c r="E7665" s="1043">
        <v>20</v>
      </c>
      <c r="F7665" s="1043"/>
      <c r="G7665" s="1550"/>
    </row>
    <row r="7666" spans="1:7" ht="12.75" customHeight="1">
      <c r="A7666" s="1754">
        <v>45059</v>
      </c>
      <c r="B7666" s="125" t="str">
        <f>TiposLancamentos!B24</f>
        <v>Estacionamentos</v>
      </c>
      <c r="C7666" s="1040" t="s">
        <v>3253</v>
      </c>
      <c r="D7666" s="1736"/>
      <c r="E7666" s="1043">
        <v>17</v>
      </c>
      <c r="F7666" s="1043"/>
      <c r="G7666" s="1550"/>
    </row>
    <row r="7667" spans="1:7" ht="12.75" customHeight="1">
      <c r="A7667" s="1754">
        <v>45059</v>
      </c>
      <c r="B7667" s="125" t="str">
        <f>B7665</f>
        <v>Restaurantes</v>
      </c>
      <c r="C7667" s="1040" t="s">
        <v>8999</v>
      </c>
      <c r="D7667" s="1736"/>
      <c r="E7667" s="1043">
        <v>58.6</v>
      </c>
      <c r="F7667" s="1043"/>
      <c r="G7667" s="1550"/>
    </row>
    <row r="7668" spans="1:7" ht="12.75" customHeight="1">
      <c r="A7668" s="1754">
        <v>45060</v>
      </c>
      <c r="B7668" s="125" t="str">
        <f>TiposLancamentos!B5</f>
        <v>Supermercado</v>
      </c>
      <c r="C7668" s="1040" t="s">
        <v>9000</v>
      </c>
      <c r="D7668" s="1736"/>
      <c r="E7668" s="1043">
        <v>469.28</v>
      </c>
      <c r="F7668" s="1043"/>
      <c r="G7668" s="1550"/>
    </row>
    <row r="7669" spans="1:7" ht="12.75" customHeight="1">
      <c r="A7669" s="1754">
        <v>45061</v>
      </c>
      <c r="B7669" s="116"/>
      <c r="C7669" s="1040" t="s">
        <v>1868</v>
      </c>
      <c r="D7669" s="1736">
        <v>0</v>
      </c>
      <c r="E7669" s="1043">
        <v>0</v>
      </c>
      <c r="F7669" s="1664"/>
      <c r="G7669" s="1550"/>
    </row>
    <row r="7670" spans="1:7" ht="12.75" customHeight="1">
      <c r="A7670" s="1666">
        <v>45061</v>
      </c>
      <c r="B7670" s="817" t="str">
        <f>TiposLancamentos!B35</f>
        <v>Tv à Cabo</v>
      </c>
      <c r="C7670" s="1742" t="s">
        <v>5834</v>
      </c>
      <c r="D7670" s="1735"/>
      <c r="E7670" s="1733">
        <f>F7672-(E7671+E7672)</f>
        <v>104.28</v>
      </c>
      <c r="F7670" s="1290"/>
      <c r="G7670" s="1550"/>
    </row>
    <row r="7671" spans="1:7" ht="12.75" customHeight="1">
      <c r="A7671" s="1667">
        <v>45061</v>
      </c>
      <c r="B7671" s="816" t="str">
        <f>TiposLancamentos!B3</f>
        <v>Internet</v>
      </c>
      <c r="C7671" s="1769" t="s">
        <v>5835</v>
      </c>
      <c r="D7671" s="1736"/>
      <c r="E7671" s="1734">
        <v>143.43</v>
      </c>
      <c r="F7671" s="1043"/>
      <c r="G7671" s="1550"/>
    </row>
    <row r="7672" spans="1:7" ht="12.75" customHeight="1">
      <c r="A7672" s="1750">
        <v>45061</v>
      </c>
      <c r="B7672" s="818" t="str">
        <f>TiposLancamentos!B2</f>
        <v>Telefonia</v>
      </c>
      <c r="C7672" s="1743" t="s">
        <v>7210</v>
      </c>
      <c r="D7672" s="1737"/>
      <c r="E7672" s="1668">
        <v>0</v>
      </c>
      <c r="F7672" s="1291">
        <v>247.71</v>
      </c>
      <c r="G7672" s="1550"/>
    </row>
    <row r="7673" spans="1:7" ht="12.75" customHeight="1">
      <c r="A7673" s="1754">
        <v>45061</v>
      </c>
      <c r="B7673" s="116"/>
      <c r="C7673" s="1040" t="s">
        <v>1868</v>
      </c>
      <c r="D7673" s="1736">
        <v>0</v>
      </c>
      <c r="E7673" s="1043">
        <v>0</v>
      </c>
      <c r="F7673" s="1043"/>
      <c r="G7673" s="1550"/>
    </row>
    <row r="7674" spans="1:7" ht="12.75" customHeight="1">
      <c r="A7674" s="1754">
        <v>45061</v>
      </c>
      <c r="B7674" s="125" t="str">
        <f>TiposLancamentos!B2</f>
        <v>Telefonia</v>
      </c>
      <c r="C7674" s="1040" t="s">
        <v>8797</v>
      </c>
      <c r="D7674" s="1736"/>
      <c r="E7674" s="1043">
        <v>59.89</v>
      </c>
      <c r="F7674" s="1043"/>
      <c r="G7674" s="1550"/>
    </row>
    <row r="7675" spans="1:7" ht="12.75" customHeight="1">
      <c r="A7675" s="1754">
        <v>45061</v>
      </c>
      <c r="B7675" s="125" t="str">
        <f>TiposLancamentos!B19</f>
        <v>Restaurantes</v>
      </c>
      <c r="C7675" s="1040" t="s">
        <v>9001</v>
      </c>
      <c r="D7675" s="1736"/>
      <c r="E7675" s="1043">
        <v>112.4</v>
      </c>
      <c r="F7675" s="1043"/>
      <c r="G7675" s="1550"/>
    </row>
    <row r="7676" spans="1:7" ht="12.75" customHeight="1">
      <c r="A7676" s="1754">
        <v>45066</v>
      </c>
      <c r="B7676" s="125" t="str">
        <f>TiposLancamentos!B19</f>
        <v>Restaurantes</v>
      </c>
      <c r="C7676" s="1040" t="s">
        <v>9001</v>
      </c>
      <c r="D7676" s="1736"/>
      <c r="E7676" s="1043">
        <v>140.30000000000001</v>
      </c>
      <c r="F7676" s="1043"/>
      <c r="G7676" s="1550"/>
    </row>
    <row r="7677" spans="1:7" ht="12.75" customHeight="1">
      <c r="A7677" s="1754">
        <v>45067</v>
      </c>
      <c r="B7677" s="125" t="str">
        <f>TiposLancamentos!B19</f>
        <v>Restaurantes</v>
      </c>
      <c r="C7677" s="1040" t="s">
        <v>9002</v>
      </c>
      <c r="D7677" s="1736"/>
      <c r="E7677" s="1043">
        <v>80</v>
      </c>
      <c r="F7677" s="1043"/>
      <c r="G7677" s="1550"/>
    </row>
    <row r="7678" spans="1:7" ht="12.75" customHeight="1">
      <c r="A7678" s="1754">
        <v>45067</v>
      </c>
      <c r="B7678" s="125" t="str">
        <f>TiposLancamentos!B19</f>
        <v>Restaurantes</v>
      </c>
      <c r="C7678" s="1040" t="s">
        <v>9003</v>
      </c>
      <c r="D7678" s="1736"/>
      <c r="E7678" s="1043">
        <v>118</v>
      </c>
      <c r="F7678" s="1043"/>
      <c r="G7678" s="1550"/>
    </row>
    <row r="7679" spans="1:7" ht="12.75" customHeight="1">
      <c r="A7679" s="1754">
        <v>45067</v>
      </c>
      <c r="B7679" s="125" t="str">
        <f>TiposLancamentos!B19</f>
        <v>Restaurantes</v>
      </c>
      <c r="C7679" s="1040" t="s">
        <v>9002</v>
      </c>
      <c r="D7679" s="1736"/>
      <c r="E7679" s="1043">
        <v>40</v>
      </c>
      <c r="F7679" s="1043"/>
      <c r="G7679" s="1550"/>
    </row>
    <row r="7680" spans="1:7" ht="12.75" customHeight="1">
      <c r="A7680" s="1754">
        <v>45067</v>
      </c>
      <c r="B7680" s="125" t="str">
        <f>TiposLancamentos!B19</f>
        <v>Restaurantes</v>
      </c>
      <c r="C7680" s="1040" t="s">
        <v>9004</v>
      </c>
      <c r="D7680" s="1736"/>
      <c r="E7680" s="1043">
        <v>18</v>
      </c>
      <c r="F7680" s="1043"/>
      <c r="G7680" s="1550"/>
    </row>
    <row r="7681" spans="1:7" ht="12.75" customHeight="1">
      <c r="A7681" s="1754">
        <v>45067</v>
      </c>
      <c r="B7681" s="125" t="str">
        <f>TiposLancamentos!B70</f>
        <v>Vestuário</v>
      </c>
      <c r="C7681" s="1040" t="s">
        <v>9005</v>
      </c>
      <c r="D7681" s="1736"/>
      <c r="E7681" s="1043">
        <v>50</v>
      </c>
      <c r="F7681" s="1043"/>
      <c r="G7681" s="1550"/>
    </row>
    <row r="7682" spans="1:7" ht="12.75" customHeight="1">
      <c r="A7682" s="1754">
        <v>45068</v>
      </c>
      <c r="B7682" s="125"/>
      <c r="C7682" s="1040" t="s">
        <v>1868</v>
      </c>
      <c r="D7682" s="1736"/>
      <c r="E7682" s="1043"/>
      <c r="F7682" s="1043"/>
      <c r="G7682" s="1550"/>
    </row>
    <row r="7683" spans="1:7" ht="12.75" customHeight="1">
      <c r="A7683" s="1666">
        <v>45068</v>
      </c>
      <c r="B7683" s="817" t="str">
        <f>TiposLancamentos!B8</f>
        <v>Aluguel</v>
      </c>
      <c r="C7683" s="1742" t="s">
        <v>9006</v>
      </c>
      <c r="D7683" s="1735"/>
      <c r="E7683" s="1733">
        <f>F7689-SUM(E7684:E7689)</f>
        <v>1631.75</v>
      </c>
      <c r="F7683" s="1346"/>
      <c r="G7683" s="1550"/>
    </row>
    <row r="7684" spans="1:7" ht="12.75" customHeight="1">
      <c r="A7684" s="1667">
        <v>45068</v>
      </c>
      <c r="B7684" s="816" t="str">
        <f>TiposLancamentos!B12</f>
        <v>IPTU</v>
      </c>
      <c r="C7684" s="1769" t="s">
        <v>9007</v>
      </c>
      <c r="D7684" s="1736"/>
      <c r="E7684" s="1734">
        <v>34.5</v>
      </c>
      <c r="F7684" s="1043"/>
      <c r="G7684" s="1550"/>
    </row>
    <row r="7685" spans="1:7" ht="12.75" customHeight="1">
      <c r="A7685" s="1667">
        <v>45068</v>
      </c>
      <c r="B7685" s="816" t="str">
        <f>TiposLancamentos!B10</f>
        <v>Distr. Água Municipal</v>
      </c>
      <c r="C7685" s="1769" t="s">
        <v>7423</v>
      </c>
      <c r="D7685" s="1736"/>
      <c r="E7685" s="1734">
        <v>69.239999999999995</v>
      </c>
      <c r="F7685" s="1043"/>
      <c r="G7685" s="1550"/>
    </row>
    <row r="7686" spans="1:7" ht="12.75" customHeight="1">
      <c r="A7686" s="1667">
        <v>45068</v>
      </c>
      <c r="B7686" s="816" t="str">
        <f>TiposLancamentos!B11</f>
        <v>Coleta Municipal Lixo</v>
      </c>
      <c r="C7686" s="1769" t="s">
        <v>7424</v>
      </c>
      <c r="D7686" s="1736"/>
      <c r="E7686" s="1734">
        <v>44.36</v>
      </c>
      <c r="F7686" s="1043"/>
      <c r="G7686" s="1550"/>
    </row>
    <row r="7687" spans="1:7" ht="12.75" customHeight="1">
      <c r="A7687" s="1667">
        <v>45068</v>
      </c>
      <c r="B7687" s="816" t="str">
        <f>TiposLancamentos!B34</f>
        <v>Seguros</v>
      </c>
      <c r="C7687" s="1769" t="s">
        <v>9008</v>
      </c>
      <c r="D7687" s="1736"/>
      <c r="E7687" s="1734">
        <v>97.37</v>
      </c>
      <c r="F7687" s="1043"/>
      <c r="G7687" s="1550"/>
    </row>
    <row r="7688" spans="1:7" ht="12.75" customHeight="1">
      <c r="A7688" s="1667">
        <v>45068</v>
      </c>
      <c r="B7688" s="816" t="str">
        <f>TiposLancamentos!B8</f>
        <v>Aluguel</v>
      </c>
      <c r="C7688" s="1769" t="s">
        <v>8955</v>
      </c>
      <c r="D7688" s="1736"/>
      <c r="E7688" s="1734">
        <v>8</v>
      </c>
      <c r="F7688" s="1043"/>
      <c r="G7688" s="1550"/>
    </row>
    <row r="7689" spans="1:7" ht="12.75" customHeight="1">
      <c r="A7689" s="1750">
        <v>45068</v>
      </c>
      <c r="B7689" s="818" t="str">
        <f>TiposLancamentos!B9</f>
        <v>Condominio</v>
      </c>
      <c r="C7689" s="1743" t="s">
        <v>7427</v>
      </c>
      <c r="D7689" s="1737"/>
      <c r="E7689" s="1668">
        <v>616.37</v>
      </c>
      <c r="F7689" s="1291">
        <v>2501.59</v>
      </c>
      <c r="G7689" s="1550"/>
    </row>
    <row r="7690" spans="1:7" ht="12.75" customHeight="1">
      <c r="A7690" s="1754"/>
      <c r="B7690" s="125"/>
      <c r="C7690" s="1040" t="s">
        <v>1868</v>
      </c>
      <c r="D7690" s="1736"/>
      <c r="E7690" s="1043"/>
      <c r="F7690" s="1043"/>
      <c r="G7690" s="1550"/>
    </row>
    <row r="7691" spans="1:7" ht="12.75" customHeight="1">
      <c r="A7691" s="1754">
        <v>45068</v>
      </c>
      <c r="B7691" s="125" t="str">
        <f>TiposLancamentos!B6</f>
        <v>Energia Eletrica</v>
      </c>
      <c r="C7691" s="1040" t="s">
        <v>9009</v>
      </c>
      <c r="D7691" s="1736"/>
      <c r="E7691" s="1043">
        <v>247.87</v>
      </c>
      <c r="F7691" s="1043"/>
      <c r="G7691" s="1550"/>
    </row>
    <row r="7692" spans="1:7" ht="12.75" customHeight="1">
      <c r="A7692" s="1754">
        <v>45068</v>
      </c>
      <c r="B7692" s="125" t="str">
        <f>TiposLancamentos!B13</f>
        <v>Moradia</v>
      </c>
      <c r="C7692" s="1040" t="s">
        <v>9010</v>
      </c>
      <c r="D7692" s="1736"/>
      <c r="E7692" s="1043">
        <v>96.4</v>
      </c>
      <c r="F7692" s="1043"/>
      <c r="G7692" s="1550"/>
    </row>
    <row r="7693" spans="1:7" ht="12.75" customHeight="1">
      <c r="A7693" s="1754">
        <v>45069</v>
      </c>
      <c r="B7693" s="125" t="str">
        <f>TiposLancamentos!B71</f>
        <v>Itens Pessoais</v>
      </c>
      <c r="C7693" s="1040" t="s">
        <v>9011</v>
      </c>
      <c r="D7693" s="1736"/>
      <c r="E7693" s="1043">
        <v>30</v>
      </c>
      <c r="F7693" s="1043"/>
      <c r="G7693" s="1550"/>
    </row>
    <row r="7694" spans="1:7" ht="12.75" customHeight="1">
      <c r="A7694" s="1754">
        <v>45069</v>
      </c>
      <c r="B7694" s="125" t="str">
        <f>TiposLancamentos!B24</f>
        <v>Estacionamentos</v>
      </c>
      <c r="C7694" s="1040" t="s">
        <v>1898</v>
      </c>
      <c r="D7694" s="1736"/>
      <c r="E7694" s="1043">
        <v>15</v>
      </c>
      <c r="F7694" s="1043"/>
      <c r="G7694" s="1550"/>
    </row>
    <row r="7695" spans="1:7" ht="12.75" customHeight="1">
      <c r="A7695" s="1754">
        <v>45069</v>
      </c>
      <c r="B7695" s="125" t="str">
        <f>TiposLancamentos!B19</f>
        <v>Restaurantes</v>
      </c>
      <c r="C7695" s="1040" t="s">
        <v>1967</v>
      </c>
      <c r="D7695" s="1736"/>
      <c r="E7695" s="1043">
        <v>44</v>
      </c>
      <c r="F7695" s="1043"/>
      <c r="G7695" s="1550"/>
    </row>
    <row r="7696" spans="1:7" ht="12.75" customHeight="1">
      <c r="A7696" s="1754">
        <v>45072</v>
      </c>
      <c r="B7696" s="125" t="str">
        <f>TiposLancamentos!B81</f>
        <v>Ferramentas gerais</v>
      </c>
      <c r="C7696" s="1040" t="s">
        <v>9012</v>
      </c>
      <c r="D7696" s="1736"/>
      <c r="E7696" s="1043">
        <v>11.4</v>
      </c>
      <c r="F7696" s="1043"/>
      <c r="G7696" s="1550"/>
    </row>
    <row r="7697" spans="1:7" ht="12.75" customHeight="1">
      <c r="A7697" s="1754">
        <v>45072</v>
      </c>
      <c r="B7697" s="125" t="str">
        <f>TiposLancamentos!B36</f>
        <v>Playstation 2</v>
      </c>
      <c r="C7697" s="1040" t="s">
        <v>9013</v>
      </c>
      <c r="D7697" s="1736"/>
      <c r="E7697" s="1043">
        <v>43.52</v>
      </c>
      <c r="F7697" s="1043"/>
      <c r="G7697" s="1550"/>
    </row>
    <row r="7698" spans="1:7" ht="12.75" customHeight="1">
      <c r="A7698" s="1754">
        <v>45072</v>
      </c>
      <c r="B7698" s="125" t="str">
        <f>TiposLancamentos!B19</f>
        <v>Restaurantes</v>
      </c>
      <c r="C7698" s="1040" t="s">
        <v>8855</v>
      </c>
      <c r="D7698" s="1736"/>
      <c r="E7698" s="1043">
        <v>46.7</v>
      </c>
      <c r="F7698" s="1043"/>
      <c r="G7698" s="1550"/>
    </row>
    <row r="7699" spans="1:7" ht="12.75" customHeight="1">
      <c r="A7699" s="1754">
        <v>45073</v>
      </c>
      <c r="B7699" s="125" t="str">
        <f>TiposLancamentos!B22</f>
        <v>Combustivel</v>
      </c>
      <c r="C7699" s="1040" t="s">
        <v>9014</v>
      </c>
      <c r="D7699" s="1736"/>
      <c r="E7699" s="1043">
        <v>50</v>
      </c>
      <c r="F7699" s="1043"/>
      <c r="G7699" s="1550"/>
    </row>
    <row r="7700" spans="1:7" ht="12.75" customHeight="1">
      <c r="A7700" s="1666">
        <v>45073</v>
      </c>
      <c r="B7700" s="817" t="str">
        <f>TiposLancamentos!B37</f>
        <v>Playstation 3</v>
      </c>
      <c r="C7700" s="1742" t="s">
        <v>9015</v>
      </c>
      <c r="D7700" s="1735"/>
      <c r="E7700" s="1733">
        <v>70</v>
      </c>
      <c r="F7700" s="1346"/>
      <c r="G7700" s="1550"/>
    </row>
    <row r="7701" spans="1:7" ht="12.75" customHeight="1">
      <c r="A7701" s="1750">
        <v>45073</v>
      </c>
      <c r="B7701" s="818" t="str">
        <f>TiposLancamentos!B37</f>
        <v>Playstation 3</v>
      </c>
      <c r="C7701" s="1743" t="s">
        <v>9016</v>
      </c>
      <c r="D7701" s="1737"/>
      <c r="E7701" s="1668">
        <v>100</v>
      </c>
      <c r="F7701" s="1291">
        <f>SUM(E7700:E7701)</f>
        <v>170</v>
      </c>
      <c r="G7701" s="1550"/>
    </row>
    <row r="7702" spans="1:7" ht="12.75" customHeight="1">
      <c r="A7702" s="1754">
        <v>45073</v>
      </c>
      <c r="B7702" s="125" t="str">
        <f>TiposLancamentos!B19</f>
        <v>Restaurantes</v>
      </c>
      <c r="C7702" s="1040" t="s">
        <v>7994</v>
      </c>
      <c r="D7702" s="1736"/>
      <c r="E7702" s="1043">
        <v>46</v>
      </c>
      <c r="F7702" s="1043"/>
      <c r="G7702" s="1550"/>
    </row>
    <row r="7703" spans="1:7" ht="12.75" customHeight="1">
      <c r="A7703" s="1754">
        <v>45073</v>
      </c>
      <c r="B7703" s="125" t="str">
        <f>B7694</f>
        <v>Estacionamentos</v>
      </c>
      <c r="C7703" s="1040" t="s">
        <v>2014</v>
      </c>
      <c r="D7703" s="1736"/>
      <c r="E7703" s="1043">
        <v>13</v>
      </c>
      <c r="F7703" s="1043"/>
      <c r="G7703" s="1550"/>
    </row>
    <row r="7704" spans="1:7" ht="12.75" customHeight="1">
      <c r="A7704" s="1754">
        <v>45073</v>
      </c>
      <c r="B7704" s="125" t="str">
        <f>TiposLancamentos!B5</f>
        <v>Supermercado</v>
      </c>
      <c r="C7704" s="1040" t="s">
        <v>9017</v>
      </c>
      <c r="D7704" s="1736"/>
      <c r="E7704" s="1043">
        <v>9.68</v>
      </c>
      <c r="F7704" s="1043"/>
      <c r="G7704" s="1550"/>
    </row>
    <row r="7705" spans="1:7" ht="12.75" customHeight="1">
      <c r="A7705" s="1754">
        <v>45073</v>
      </c>
      <c r="B7705" s="125" t="str">
        <f>TiposLancamentos!B5</f>
        <v>Supermercado</v>
      </c>
      <c r="C7705" s="1040" t="s">
        <v>9017</v>
      </c>
      <c r="D7705" s="1736"/>
      <c r="E7705" s="1043">
        <v>26.18</v>
      </c>
      <c r="F7705" s="1043"/>
      <c r="G7705" s="1550"/>
    </row>
    <row r="7706" spans="1:7" ht="12.75" customHeight="1">
      <c r="A7706" s="1754">
        <v>45073</v>
      </c>
      <c r="B7706" s="125" t="str">
        <f>TiposLancamentos!B5</f>
        <v>Supermercado</v>
      </c>
      <c r="C7706" s="1040" t="s">
        <v>9017</v>
      </c>
      <c r="D7706" s="1736"/>
      <c r="E7706" s="1043">
        <v>8.2899999999999991</v>
      </c>
      <c r="F7706" s="1043"/>
      <c r="G7706" s="1550"/>
    </row>
    <row r="7707" spans="1:7" ht="12.75" customHeight="1">
      <c r="A7707" s="1754">
        <v>45074</v>
      </c>
      <c r="B7707" s="125" t="str">
        <f>TiposLancamentos!B19</f>
        <v>Restaurantes</v>
      </c>
      <c r="C7707" s="1040" t="s">
        <v>9018</v>
      </c>
      <c r="D7707" s="1736"/>
      <c r="E7707" s="1043">
        <v>14</v>
      </c>
      <c r="F7707" s="1043"/>
      <c r="G7707" s="1550"/>
    </row>
    <row r="7708" spans="1:7" ht="12.75" customHeight="1">
      <c r="A7708" s="1754">
        <v>45074</v>
      </c>
      <c r="B7708" s="125" t="str">
        <f>TiposLancamentos!B19</f>
        <v>Restaurantes</v>
      </c>
      <c r="C7708" s="1040" t="s">
        <v>8609</v>
      </c>
      <c r="D7708" s="1736"/>
      <c r="E7708" s="1043">
        <v>78</v>
      </c>
      <c r="F7708" s="1043"/>
      <c r="G7708" s="1550"/>
    </row>
    <row r="7709" spans="1:7" ht="12.75" customHeight="1">
      <c r="A7709" s="1666">
        <v>45075</v>
      </c>
      <c r="B7709" s="817" t="str">
        <f>TiposLancamentos!B37</f>
        <v>Playstation 3</v>
      </c>
      <c r="C7709" s="1742" t="s">
        <v>9019</v>
      </c>
      <c r="D7709" s="1735"/>
      <c r="E7709" s="1733">
        <v>100</v>
      </c>
      <c r="F7709" s="1346"/>
      <c r="G7709" s="1550"/>
    </row>
    <row r="7710" spans="1:7" ht="12.75" customHeight="1">
      <c r="A7710" s="1750">
        <v>45075</v>
      </c>
      <c r="B7710" s="818" t="str">
        <f>TiposLancamentos!B60</f>
        <v>Correio</v>
      </c>
      <c r="C7710" s="1743" t="s">
        <v>9019</v>
      </c>
      <c r="D7710" s="1737"/>
      <c r="E7710" s="1668">
        <v>21.99</v>
      </c>
      <c r="F7710" s="1291">
        <f>SUM(E7709:E7710)</f>
        <v>121.99</v>
      </c>
      <c r="G7710" s="1550"/>
    </row>
    <row r="7711" spans="1:7" ht="12.75" customHeight="1">
      <c r="A7711" s="1754">
        <v>45075</v>
      </c>
      <c r="B7711" s="125" t="str">
        <f>TiposLancamentos!B5</f>
        <v>Supermercado</v>
      </c>
      <c r="C7711" s="1040" t="s">
        <v>9017</v>
      </c>
      <c r="D7711" s="1736"/>
      <c r="E7711" s="1043">
        <v>7.99</v>
      </c>
      <c r="F7711" s="1043"/>
      <c r="G7711" s="1550"/>
    </row>
    <row r="7712" spans="1:7" ht="12.75" customHeight="1">
      <c r="A7712" s="1754">
        <v>45075</v>
      </c>
      <c r="B7712" s="125" t="str">
        <f>TiposLancamentos!B5</f>
        <v>Supermercado</v>
      </c>
      <c r="C7712" s="1040" t="s">
        <v>9017</v>
      </c>
      <c r="D7712" s="1736"/>
      <c r="E7712" s="1043">
        <v>17.88</v>
      </c>
      <c r="F7712" s="1043"/>
      <c r="G7712" s="1550"/>
    </row>
    <row r="7713" spans="1:7" ht="12.75" customHeight="1">
      <c r="A7713" s="1754">
        <v>45077</v>
      </c>
      <c r="B7713" s="125" t="str">
        <f>TiposLancamentos!B14</f>
        <v>Gás de cozinha</v>
      </c>
      <c r="C7713" s="1040" t="s">
        <v>9020</v>
      </c>
      <c r="D7713" s="1736"/>
      <c r="E7713" s="1043">
        <v>48.71</v>
      </c>
      <c r="F7713" s="1043"/>
      <c r="G7713" s="1550"/>
    </row>
    <row r="7714" spans="1:7" ht="12.75" customHeight="1" thickBot="1">
      <c r="A7714" s="1754">
        <v>45077</v>
      </c>
      <c r="B7714" s="125" t="str">
        <f>TiposLancamentos!B95</f>
        <v>Salarios</v>
      </c>
      <c r="C7714" s="1040" t="s">
        <v>9021</v>
      </c>
      <c r="D7714" s="1736">
        <v>7720.61</v>
      </c>
      <c r="E7714" s="1043"/>
      <c r="F7714" s="1043"/>
      <c r="G7714" s="1550"/>
    </row>
    <row r="7715" spans="1:7" ht="12.75" customHeight="1">
      <c r="A7715" s="1834"/>
      <c r="B7715" s="977"/>
      <c r="C7715" s="1854" t="s">
        <v>1623</v>
      </c>
      <c r="D7715" s="1823"/>
      <c r="E7715" s="1821"/>
      <c r="F7715" s="1821"/>
      <c r="G7715" s="1895"/>
    </row>
    <row r="7716" spans="1:7" ht="12.75" customHeight="1">
      <c r="A7716" s="1754">
        <v>45078</v>
      </c>
      <c r="B7716" s="125" t="str">
        <f>TiposLancamentos!B105</f>
        <v>Transf. Bco</v>
      </c>
      <c r="C7716" s="1040" t="s">
        <v>9022</v>
      </c>
      <c r="D7716" s="1736">
        <v>6091.02</v>
      </c>
      <c r="E7716" s="1043"/>
      <c r="F7716" s="1043"/>
      <c r="G7716" s="1550"/>
    </row>
    <row r="7717" spans="1:7" ht="12.75" customHeight="1">
      <c r="A7717" s="1754">
        <v>45078</v>
      </c>
      <c r="B7717" s="125" t="str">
        <f>TiposLancamentos!B15</f>
        <v>Cartões de Crédito</v>
      </c>
      <c r="C7717" s="1040" t="s">
        <v>8016</v>
      </c>
      <c r="D7717" s="1736"/>
      <c r="E7717" s="1043">
        <v>417.03</v>
      </c>
      <c r="F7717" s="1043"/>
      <c r="G7717" s="1550"/>
    </row>
    <row r="7718" spans="1:7" ht="12.75" customHeight="1">
      <c r="A7718" s="1754">
        <v>45078</v>
      </c>
      <c r="B7718" s="125" t="str">
        <f>TiposLancamentos!B15</f>
        <v>Cartões de Crédito</v>
      </c>
      <c r="C7718" s="1040" t="s">
        <v>8252</v>
      </c>
      <c r="D7718" s="1736"/>
      <c r="E7718" s="1043">
        <v>535.92999999999995</v>
      </c>
      <c r="F7718" s="1043"/>
      <c r="G7718" s="1550"/>
    </row>
    <row r="7719" spans="1:7" ht="12.75" customHeight="1">
      <c r="A7719" s="1754">
        <v>45078</v>
      </c>
      <c r="B7719" s="125" t="str">
        <f>TiposLancamentos!B15</f>
        <v>Cartões de Crédito</v>
      </c>
      <c r="C7719" s="1040" t="s">
        <v>8772</v>
      </c>
      <c r="D7719" s="1736"/>
      <c r="E7719" s="1043">
        <v>979.47</v>
      </c>
      <c r="F7719" s="1043"/>
      <c r="G7719" s="1550"/>
    </row>
    <row r="7720" spans="1:7" ht="12.75" customHeight="1">
      <c r="A7720" s="1754">
        <v>45078</v>
      </c>
      <c r="B7720" s="125" t="str">
        <f>TiposLancamentos!B15</f>
        <v>Cartões de Crédito</v>
      </c>
      <c r="C7720" s="1040" t="s">
        <v>8880</v>
      </c>
      <c r="D7720" s="1736"/>
      <c r="E7720" s="1043">
        <v>1279.8399999999999</v>
      </c>
      <c r="F7720" s="1043"/>
      <c r="G7720" s="1550"/>
    </row>
    <row r="7721" spans="1:7" ht="12.75" customHeight="1">
      <c r="A7721" s="1754">
        <v>45078</v>
      </c>
      <c r="B7721" s="125" t="str">
        <f>TiposLancamentos!B15</f>
        <v>Cartões de Crédito</v>
      </c>
      <c r="C7721" s="1040" t="s">
        <v>8773</v>
      </c>
      <c r="D7721" s="1736"/>
      <c r="E7721" s="1043">
        <v>0</v>
      </c>
      <c r="F7721" s="1043"/>
      <c r="G7721" s="1550"/>
    </row>
    <row r="7722" spans="1:7" ht="12.75" customHeight="1">
      <c r="A7722" s="1754">
        <v>45078</v>
      </c>
      <c r="B7722" s="125" t="str">
        <f>TiposLancamentos!B105</f>
        <v>Transf. Bco</v>
      </c>
      <c r="C7722" s="1040" t="s">
        <v>8714</v>
      </c>
      <c r="D7722" s="1736"/>
      <c r="E7722" s="1043">
        <v>697.99</v>
      </c>
      <c r="F7722" s="1043"/>
      <c r="G7722" s="1550"/>
    </row>
    <row r="7723" spans="1:7" ht="12.75" customHeight="1">
      <c r="A7723" s="1754">
        <v>45078</v>
      </c>
      <c r="B7723" s="125" t="str">
        <f>TiposLancamentos!B37</f>
        <v>Playstation 3</v>
      </c>
      <c r="C7723" s="1040" t="s">
        <v>9023</v>
      </c>
      <c r="D7723" s="1736"/>
      <c r="E7723" s="1043">
        <v>190</v>
      </c>
      <c r="F7723" s="1043"/>
      <c r="G7723" s="1550"/>
    </row>
    <row r="7724" spans="1:7" ht="12.75" customHeight="1">
      <c r="A7724" s="1754">
        <v>45078</v>
      </c>
      <c r="B7724" s="125" t="str">
        <f>TiposLancamentos!B17</f>
        <v>GATO</v>
      </c>
      <c r="C7724" s="1040" t="s">
        <v>9024</v>
      </c>
      <c r="D7724" s="1736"/>
      <c r="E7724" s="1043">
        <v>56.46</v>
      </c>
      <c r="F7724" s="1043"/>
      <c r="G7724" s="1550"/>
    </row>
    <row r="7725" spans="1:7" ht="12.75" customHeight="1">
      <c r="A7725" s="1666">
        <v>45078</v>
      </c>
      <c r="B7725" s="817" t="str">
        <f>TiposLancamentos!B37</f>
        <v>Playstation 3</v>
      </c>
      <c r="C7725" s="1742" t="s">
        <v>9025</v>
      </c>
      <c r="D7725" s="1735"/>
      <c r="E7725" s="1733">
        <v>167.9</v>
      </c>
      <c r="F7725" s="1346"/>
      <c r="G7725" s="1550"/>
    </row>
    <row r="7726" spans="1:7" ht="12.75" customHeight="1">
      <c r="A7726" s="1750">
        <v>45078</v>
      </c>
      <c r="B7726" s="818" t="str">
        <f>TiposLancamentos!B60</f>
        <v>Correio</v>
      </c>
      <c r="C7726" s="1743" t="s">
        <v>9026</v>
      </c>
      <c r="D7726" s="1737"/>
      <c r="E7726" s="1668">
        <v>9.9</v>
      </c>
      <c r="F7726" s="1291">
        <f>SUM(E7725:E7726)</f>
        <v>177.8</v>
      </c>
      <c r="G7726" s="1550"/>
    </row>
    <row r="7727" spans="1:7" ht="12.75" customHeight="1">
      <c r="A7727" s="1754"/>
      <c r="B7727" s="125"/>
      <c r="C7727" s="1040" t="s">
        <v>1868</v>
      </c>
      <c r="D7727" s="1736"/>
      <c r="E7727" s="1043"/>
      <c r="F7727" s="1043"/>
      <c r="G7727" s="1550"/>
    </row>
    <row r="7728" spans="1:7" ht="12.75" customHeight="1">
      <c r="A7728" s="1666">
        <v>45078</v>
      </c>
      <c r="B7728" s="817" t="str">
        <f>TiposLancamentos!B17</f>
        <v>GATO</v>
      </c>
      <c r="C7728" s="1742" t="s">
        <v>9027</v>
      </c>
      <c r="D7728" s="1735"/>
      <c r="E7728" s="1733">
        <v>59.89</v>
      </c>
      <c r="F7728" s="1346"/>
      <c r="G7728" s="1550"/>
    </row>
    <row r="7729" spans="1:7" ht="12.75" customHeight="1">
      <c r="A7729" s="1750">
        <v>45078</v>
      </c>
      <c r="B7729" s="818" t="str">
        <f>TiposLancamentos!B60</f>
        <v>Correio</v>
      </c>
      <c r="C7729" s="1743" t="s">
        <v>9028</v>
      </c>
      <c r="D7729" s="1737"/>
      <c r="E7729" s="1668">
        <v>15.5</v>
      </c>
      <c r="F7729" s="1291">
        <f>SUM(E7728:E7729)</f>
        <v>75.39</v>
      </c>
      <c r="G7729" s="1550"/>
    </row>
    <row r="7730" spans="1:7" ht="12.75" customHeight="1">
      <c r="A7730" s="1754">
        <v>45079</v>
      </c>
      <c r="B7730" s="125" t="str">
        <f>TiposLancamentos!B4</f>
        <v>Taxas Bancarias</v>
      </c>
      <c r="C7730" s="1040" t="s">
        <v>7206</v>
      </c>
      <c r="D7730" s="1736"/>
      <c r="E7730" s="1043">
        <v>28.8</v>
      </c>
      <c r="F7730" s="1043"/>
      <c r="G7730" s="1550"/>
    </row>
    <row r="7731" spans="1:7" ht="12.75" customHeight="1">
      <c r="A7731" s="1754">
        <v>44987</v>
      </c>
      <c r="B7731" s="125" t="str">
        <f>TiposLancamentos!B102</f>
        <v>ESTORNO</v>
      </c>
      <c r="C7731" s="1040" t="s">
        <v>9025</v>
      </c>
      <c r="D7731" s="1736">
        <v>177.8</v>
      </c>
      <c r="E7731" s="1043"/>
      <c r="F7731" s="1043"/>
      <c r="G7731" s="1550"/>
    </row>
    <row r="7732" spans="1:7" ht="12.75" customHeight="1">
      <c r="A7732" s="1666">
        <v>45079</v>
      </c>
      <c r="B7732" s="817" t="str">
        <f>TiposLancamentos!B37</f>
        <v>Playstation 3</v>
      </c>
      <c r="C7732" s="1742" t="s">
        <v>9025</v>
      </c>
      <c r="D7732" s="1735"/>
      <c r="E7732" s="1733">
        <v>119</v>
      </c>
      <c r="F7732" s="1346"/>
      <c r="G7732" s="1550"/>
    </row>
    <row r="7733" spans="1:7" ht="12.75" customHeight="1">
      <c r="A7733" s="1750">
        <v>45079</v>
      </c>
      <c r="B7733" s="818" t="str">
        <f>TiposLancamentos!B60</f>
        <v>Correio</v>
      </c>
      <c r="C7733" s="1743" t="s">
        <v>9026</v>
      </c>
      <c r="D7733" s="1737"/>
      <c r="E7733" s="1668">
        <v>17.8</v>
      </c>
      <c r="F7733" s="1291">
        <f>SUM(E7732:E7733)</f>
        <v>136.80000000000001</v>
      </c>
      <c r="G7733" s="1550"/>
    </row>
    <row r="7734" spans="1:7" ht="12.75" customHeight="1">
      <c r="A7734" s="1754">
        <v>45079</v>
      </c>
      <c r="B7734" s="125" t="str">
        <f>TiposLancamentos!B13</f>
        <v>Moradia</v>
      </c>
      <c r="C7734" s="1040" t="s">
        <v>8313</v>
      </c>
      <c r="D7734" s="1736"/>
      <c r="E7734" s="1043">
        <v>15</v>
      </c>
      <c r="F7734" s="1043"/>
      <c r="G7734" s="1550"/>
    </row>
    <row r="7735" spans="1:7" ht="12.75" customHeight="1">
      <c r="A7735" s="1754">
        <v>45079</v>
      </c>
      <c r="B7735" s="125" t="str">
        <f>TiposLancamentos!B4</f>
        <v>Taxas Bancarias</v>
      </c>
      <c r="C7735" s="1040" t="s">
        <v>8745</v>
      </c>
      <c r="D7735" s="1736"/>
      <c r="E7735" s="1043">
        <v>5.9</v>
      </c>
      <c r="F7735" s="1043"/>
      <c r="G7735" s="1550"/>
    </row>
    <row r="7736" spans="1:7" ht="12.75" customHeight="1">
      <c r="A7736" s="1754">
        <v>45080</v>
      </c>
      <c r="B7736" s="125" t="str">
        <f>TiposLancamentos!B19</f>
        <v>Restaurantes</v>
      </c>
      <c r="C7736" s="1040" t="s">
        <v>9029</v>
      </c>
      <c r="D7736" s="1736"/>
      <c r="E7736" s="1043">
        <v>101.35</v>
      </c>
      <c r="F7736" s="1043"/>
      <c r="G7736" s="1550"/>
    </row>
    <row r="7737" spans="1:7" ht="12.75" customHeight="1">
      <c r="A7737" s="1754">
        <v>45080</v>
      </c>
      <c r="B7737" s="125" t="str">
        <f>TiposLancamentos!B5</f>
        <v>Supermercado</v>
      </c>
      <c r="C7737" s="1040" t="s">
        <v>1943</v>
      </c>
      <c r="D7737" s="1736"/>
      <c r="E7737" s="1043">
        <v>94.46</v>
      </c>
      <c r="F7737" s="1043"/>
      <c r="G7737" s="1550"/>
    </row>
    <row r="7738" spans="1:7" ht="12.75" customHeight="1">
      <c r="A7738" s="1754">
        <v>45081</v>
      </c>
      <c r="B7738" s="125" t="str">
        <f>TiposLancamentos!B17</f>
        <v>GATO</v>
      </c>
      <c r="C7738" s="1040" t="s">
        <v>9030</v>
      </c>
      <c r="D7738" s="1736"/>
      <c r="E7738" s="1043">
        <v>153.49</v>
      </c>
      <c r="F7738" s="1043"/>
      <c r="G7738" s="1550"/>
    </row>
    <row r="7739" spans="1:7" ht="12.75" customHeight="1">
      <c r="A7739" s="1754">
        <v>45082</v>
      </c>
      <c r="B7739" s="125" t="str">
        <f>TiposLancamentos!B103</f>
        <v>Juros_Corr. Poupança</v>
      </c>
      <c r="C7739" s="1040" t="s">
        <v>7341</v>
      </c>
      <c r="D7739" s="1736">
        <v>0.02</v>
      </c>
      <c r="E7739" s="1043"/>
      <c r="F7739" s="1043"/>
      <c r="G7739" s="1550"/>
    </row>
    <row r="7740" spans="1:7" ht="12.75" customHeight="1">
      <c r="A7740" s="1754">
        <v>45082</v>
      </c>
      <c r="B7740" s="125" t="str">
        <f>TiposLancamentos!B60</f>
        <v>Correio</v>
      </c>
      <c r="C7740" s="1040" t="s">
        <v>9031</v>
      </c>
      <c r="D7740" s="1736"/>
      <c r="E7740" s="1043">
        <v>44.6</v>
      </c>
      <c r="F7740" s="1043"/>
      <c r="G7740" s="1550"/>
    </row>
    <row r="7741" spans="1:7" ht="12.75" customHeight="1">
      <c r="A7741" s="1754">
        <v>45082</v>
      </c>
      <c r="B7741" s="125" t="str">
        <f>TiposLancamentos!B60</f>
        <v>Correio</v>
      </c>
      <c r="C7741" s="1040" t="s">
        <v>9032</v>
      </c>
      <c r="D7741" s="1736"/>
      <c r="E7741" s="1043">
        <v>30.21</v>
      </c>
      <c r="F7741" s="1043"/>
      <c r="G7741" s="1550"/>
    </row>
    <row r="7742" spans="1:7" ht="12.75" customHeight="1">
      <c r="A7742" s="1754">
        <v>45082</v>
      </c>
      <c r="B7742" s="125" t="str">
        <f>TiposLancamentos!B4</f>
        <v>Taxas Bancarias</v>
      </c>
      <c r="C7742" s="1040" t="s">
        <v>8778</v>
      </c>
      <c r="D7742" s="1736"/>
      <c r="E7742" s="1043">
        <v>192.9</v>
      </c>
      <c r="F7742" s="1043"/>
      <c r="G7742" s="1550"/>
    </row>
    <row r="7743" spans="1:7" ht="12.75" customHeight="1">
      <c r="A7743" s="1754">
        <v>45083</v>
      </c>
      <c r="B7743" s="116"/>
      <c r="C7743" s="1040" t="s">
        <v>1868</v>
      </c>
      <c r="D7743" s="1736">
        <v>0</v>
      </c>
      <c r="E7743" s="1043">
        <v>0</v>
      </c>
      <c r="F7743" s="1664"/>
      <c r="G7743" s="1550"/>
    </row>
    <row r="7744" spans="1:7" ht="12.75" customHeight="1">
      <c r="A7744" s="1666">
        <v>45083</v>
      </c>
      <c r="B7744" s="817" t="str">
        <f>TiposLancamentos!B35</f>
        <v>Tv à Cabo</v>
      </c>
      <c r="C7744" s="1742" t="s">
        <v>5834</v>
      </c>
      <c r="D7744" s="1735"/>
      <c r="E7744" s="1733">
        <f>F7746-(E7745+E7746)</f>
        <v>104.28</v>
      </c>
      <c r="F7744" s="1290"/>
      <c r="G7744" s="1550"/>
    </row>
    <row r="7745" spans="1:7" ht="12.75" customHeight="1">
      <c r="A7745" s="1667">
        <v>45083</v>
      </c>
      <c r="B7745" s="816" t="str">
        <f>TiposLancamentos!B3</f>
        <v>Internet</v>
      </c>
      <c r="C7745" s="1769" t="s">
        <v>5835</v>
      </c>
      <c r="D7745" s="1736"/>
      <c r="E7745" s="1734">
        <v>143.43</v>
      </c>
      <c r="F7745" s="1043"/>
      <c r="G7745" s="1550"/>
    </row>
    <row r="7746" spans="1:7" ht="12.75" customHeight="1">
      <c r="A7746" s="1750">
        <v>45083</v>
      </c>
      <c r="B7746" s="818" t="str">
        <f>TiposLancamentos!B2</f>
        <v>Telefonia</v>
      </c>
      <c r="C7746" s="1743" t="s">
        <v>7210</v>
      </c>
      <c r="D7746" s="1737"/>
      <c r="E7746" s="1668">
        <v>0</v>
      </c>
      <c r="F7746" s="1291">
        <v>247.71</v>
      </c>
      <c r="G7746" s="1550"/>
    </row>
    <row r="7747" spans="1:7" ht="12.75" customHeight="1">
      <c r="A7747" s="1754">
        <v>45083</v>
      </c>
      <c r="B7747" s="116"/>
      <c r="C7747" s="1040" t="s">
        <v>1868</v>
      </c>
      <c r="D7747" s="1736">
        <v>0</v>
      </c>
      <c r="E7747" s="1043">
        <v>0</v>
      </c>
      <c r="F7747" s="1043"/>
      <c r="G7747" s="1550"/>
    </row>
    <row r="7748" spans="1:7" ht="12.75" customHeight="1">
      <c r="A7748" s="1754">
        <v>45083</v>
      </c>
      <c r="B7748" s="125" t="str">
        <f>TiposLancamentos!B24</f>
        <v>Estacionamentos</v>
      </c>
      <c r="C7748" s="1040" t="s">
        <v>9033</v>
      </c>
      <c r="D7748" s="1736"/>
      <c r="E7748" s="1043">
        <v>15</v>
      </c>
      <c r="F7748" s="1043"/>
      <c r="G7748" s="1550"/>
    </row>
    <row r="7749" spans="1:7" ht="12.75" customHeight="1">
      <c r="A7749" s="1754">
        <v>45083</v>
      </c>
      <c r="B7749" s="125" t="str">
        <f>TiposLancamentos!B4</f>
        <v>Taxas Bancarias</v>
      </c>
      <c r="C7749" s="1040" t="s">
        <v>9034</v>
      </c>
      <c r="D7749" s="1736"/>
      <c r="E7749" s="1043">
        <v>12.46</v>
      </c>
      <c r="F7749" s="1043"/>
      <c r="G7749" s="1550"/>
    </row>
    <row r="7750" spans="1:7" ht="12.75" customHeight="1">
      <c r="A7750" s="1754">
        <v>45084</v>
      </c>
      <c r="B7750" s="125" t="str">
        <f>TiposLancamentos!B46</f>
        <v>Maçonaria</v>
      </c>
      <c r="C7750" s="1040" t="s">
        <v>9035</v>
      </c>
      <c r="D7750" s="1736"/>
      <c r="E7750" s="1043">
        <v>40</v>
      </c>
      <c r="F7750" s="1043"/>
      <c r="G7750" s="1550"/>
    </row>
    <row r="7751" spans="1:7" ht="12.75" customHeight="1">
      <c r="A7751" s="1754">
        <v>45085</v>
      </c>
      <c r="B7751" s="125" t="str">
        <f>TiposLancamentos!B19</f>
        <v>Restaurantes</v>
      </c>
      <c r="C7751" s="1040" t="s">
        <v>9036</v>
      </c>
      <c r="D7751" s="1736"/>
      <c r="E7751" s="1043">
        <v>215.82</v>
      </c>
      <c r="F7751" s="1043"/>
      <c r="G7751" s="1550"/>
    </row>
    <row r="7752" spans="1:7" ht="12.75" customHeight="1">
      <c r="A7752" s="1754">
        <v>45085</v>
      </c>
      <c r="B7752" s="125" t="str">
        <f>TiposLancamentos!B13</f>
        <v>Moradia</v>
      </c>
      <c r="C7752" s="1040" t="s">
        <v>9037</v>
      </c>
      <c r="D7752" s="1736"/>
      <c r="E7752" s="1043">
        <v>52.9</v>
      </c>
      <c r="F7752" s="1043"/>
      <c r="G7752" s="1550"/>
    </row>
    <row r="7753" spans="1:7" ht="12.75" customHeight="1">
      <c r="A7753" s="1754">
        <v>45086</v>
      </c>
      <c r="B7753" s="125" t="str">
        <f>TiposLancamentos!B103</f>
        <v>Juros_Corr. Poupança</v>
      </c>
      <c r="C7753" s="1040" t="s">
        <v>7341</v>
      </c>
      <c r="D7753" s="1736">
        <v>0.02</v>
      </c>
      <c r="E7753" s="1043"/>
      <c r="F7753" s="1043"/>
      <c r="G7753" s="1550"/>
    </row>
    <row r="7754" spans="1:7" ht="12.75" customHeight="1">
      <c r="A7754" s="1754">
        <v>45087</v>
      </c>
      <c r="B7754" s="125" t="str">
        <f>TiposLancamentos!B19</f>
        <v>Restaurantes</v>
      </c>
      <c r="C7754" s="1040" t="s">
        <v>8686</v>
      </c>
      <c r="D7754" s="1736"/>
      <c r="E7754" s="1043">
        <v>78</v>
      </c>
      <c r="F7754" s="1043"/>
      <c r="G7754" s="1550"/>
    </row>
    <row r="7755" spans="1:7" ht="12.75" customHeight="1">
      <c r="A7755" s="1754">
        <v>45088</v>
      </c>
      <c r="B7755" s="125" t="str">
        <f>TiposLancamentos!B19</f>
        <v>Restaurantes</v>
      </c>
      <c r="C7755" s="1040" t="s">
        <v>9038</v>
      </c>
      <c r="D7755" s="1736"/>
      <c r="E7755" s="1043">
        <v>297.44</v>
      </c>
      <c r="F7755" s="1043"/>
      <c r="G7755" s="1550"/>
    </row>
    <row r="7756" spans="1:7" ht="12.75" customHeight="1">
      <c r="A7756" s="1754">
        <v>45088</v>
      </c>
      <c r="B7756" s="125" t="str">
        <f>TiposLancamentos!B24</f>
        <v>Estacionamentos</v>
      </c>
      <c r="C7756" s="1040" t="s">
        <v>9039</v>
      </c>
      <c r="D7756" s="1736"/>
      <c r="E7756" s="1043">
        <v>12</v>
      </c>
      <c r="F7756" s="1043"/>
      <c r="G7756" s="1550"/>
    </row>
    <row r="7757" spans="1:7" ht="12.75" customHeight="1">
      <c r="A7757" s="1754">
        <v>45088</v>
      </c>
      <c r="B7757" s="125" t="str">
        <f>TiposLancamentos!B5</f>
        <v>Supermercado</v>
      </c>
      <c r="C7757" s="1040" t="s">
        <v>9040</v>
      </c>
      <c r="D7757" s="1736"/>
      <c r="E7757" s="1043">
        <v>322.41000000000003</v>
      </c>
      <c r="F7757" s="1043"/>
      <c r="G7757" s="1550"/>
    </row>
    <row r="7758" spans="1:7" ht="12.75" customHeight="1">
      <c r="A7758" s="1754">
        <v>45089</v>
      </c>
      <c r="B7758" s="125" t="str">
        <f>TiposLancamentos!B46</f>
        <v>Maçonaria</v>
      </c>
      <c r="C7758" s="1040" t="s">
        <v>9041</v>
      </c>
      <c r="D7758" s="1736"/>
      <c r="E7758" s="1043">
        <v>210</v>
      </c>
      <c r="F7758" s="1043"/>
      <c r="G7758" s="1550"/>
    </row>
    <row r="7759" spans="1:7" ht="12.75" customHeight="1">
      <c r="A7759" s="1754">
        <v>45089</v>
      </c>
      <c r="B7759" s="125" t="str">
        <f>TiposLancamentos!B105</f>
        <v>Transf. Bco</v>
      </c>
      <c r="C7759" s="1040" t="s">
        <v>8975</v>
      </c>
      <c r="D7759" s="1736">
        <v>700</v>
      </c>
      <c r="E7759" s="1043"/>
      <c r="F7759" s="1043"/>
      <c r="G7759" s="1550"/>
    </row>
    <row r="7760" spans="1:7" ht="12.75" customHeight="1">
      <c r="A7760" s="1754">
        <v>45090</v>
      </c>
      <c r="B7760" s="125" t="str">
        <f>TiposLancamentos!B22</f>
        <v>Combustivel</v>
      </c>
      <c r="C7760" s="1040" t="s">
        <v>7859</v>
      </c>
      <c r="D7760" s="1736"/>
      <c r="E7760" s="1043">
        <v>100</v>
      </c>
      <c r="F7760" s="1043"/>
      <c r="G7760" s="1550"/>
    </row>
    <row r="7761" spans="1:7" ht="12.75" customHeight="1">
      <c r="A7761" s="1754">
        <v>45090</v>
      </c>
      <c r="B7761" s="125" t="str">
        <f>TiposLancamentos!B56</f>
        <v>Farmácia</v>
      </c>
      <c r="C7761" s="1040" t="s">
        <v>9042</v>
      </c>
      <c r="D7761" s="1736"/>
      <c r="E7761" s="1043">
        <v>109.13</v>
      </c>
      <c r="F7761" s="1043"/>
      <c r="G7761" s="1550"/>
    </row>
    <row r="7762" spans="1:7" ht="12.75" customHeight="1">
      <c r="A7762" s="1754">
        <v>45090</v>
      </c>
      <c r="B7762" s="125" t="str">
        <f>TiposLancamentos!B24</f>
        <v>Estacionamentos</v>
      </c>
      <c r="C7762" s="1040" t="s">
        <v>2423</v>
      </c>
      <c r="D7762" s="1736"/>
      <c r="E7762" s="1043">
        <v>15</v>
      </c>
      <c r="F7762" s="1043"/>
      <c r="G7762" s="1550"/>
    </row>
    <row r="7763" spans="1:7" ht="12.75" customHeight="1">
      <c r="A7763" s="1754">
        <v>45090</v>
      </c>
      <c r="B7763" s="125" t="str">
        <f>TiposLancamentos!B19</f>
        <v>Restaurantes</v>
      </c>
      <c r="C7763" s="1040" t="s">
        <v>1967</v>
      </c>
      <c r="D7763" s="1736"/>
      <c r="E7763" s="1043">
        <v>44</v>
      </c>
      <c r="F7763" s="1043"/>
      <c r="G7763" s="1550"/>
    </row>
    <row r="7764" spans="1:7" ht="12.75" customHeight="1">
      <c r="A7764" s="1754">
        <v>45090</v>
      </c>
      <c r="B7764" s="125" t="str">
        <f>TiposLancamentos!B103</f>
        <v>Juros_Corr. Poupança</v>
      </c>
      <c r="C7764" s="1040" t="s">
        <v>7341</v>
      </c>
      <c r="D7764" s="1736">
        <v>0.01</v>
      </c>
      <c r="E7764" s="1043"/>
      <c r="F7764" s="1043"/>
      <c r="G7764" s="1550"/>
    </row>
    <row r="7765" spans="1:7" ht="12.75" customHeight="1">
      <c r="A7765" s="1754">
        <v>45091</v>
      </c>
      <c r="B7765" s="125" t="str">
        <f>TiposLancamentos!B103</f>
        <v>Juros_Corr. Poupança</v>
      </c>
      <c r="C7765" s="1040" t="s">
        <v>7341</v>
      </c>
      <c r="D7765" s="1736">
        <v>0.03</v>
      </c>
      <c r="E7765" s="1043"/>
      <c r="F7765" s="1043"/>
      <c r="G7765" s="1550"/>
    </row>
    <row r="7766" spans="1:7" ht="12.75" customHeight="1">
      <c r="A7766" s="1754">
        <v>45092</v>
      </c>
      <c r="B7766" s="125" t="str">
        <f>TiposLancamentos!B2</f>
        <v>Telefonia</v>
      </c>
      <c r="C7766" s="1040" t="s">
        <v>8797</v>
      </c>
      <c r="D7766" s="1736"/>
      <c r="E7766" s="1043">
        <v>59.89</v>
      </c>
      <c r="F7766" s="1043"/>
      <c r="G7766" s="1550"/>
    </row>
    <row r="7767" spans="1:7" ht="12.75" customHeight="1">
      <c r="A7767" s="1754">
        <v>45093</v>
      </c>
      <c r="B7767" s="125" t="str">
        <f>TiposLancamentos!B103</f>
        <v>Juros_Corr. Poupança</v>
      </c>
      <c r="C7767" s="1040" t="s">
        <v>7341</v>
      </c>
      <c r="D7767" s="1736">
        <v>0.01</v>
      </c>
      <c r="E7767" s="1043"/>
      <c r="F7767" s="1043"/>
      <c r="G7767" s="1550"/>
    </row>
    <row r="7768" spans="1:7" ht="12.75" customHeight="1">
      <c r="A7768" s="1754">
        <v>45094</v>
      </c>
      <c r="B7768" s="125" t="str">
        <f>TiposLancamentos!B19</f>
        <v>Restaurantes</v>
      </c>
      <c r="C7768" s="1040" t="s">
        <v>9043</v>
      </c>
      <c r="D7768" s="1736"/>
      <c r="E7768" s="1043">
        <v>116.6</v>
      </c>
      <c r="F7768" s="1043"/>
      <c r="G7768" s="1550"/>
    </row>
    <row r="7769" spans="1:7" ht="12.75" customHeight="1">
      <c r="A7769" s="1754">
        <v>45094</v>
      </c>
      <c r="B7769" s="125" t="str">
        <f>TiposLancamentos!B24</f>
        <v>Estacionamentos</v>
      </c>
      <c r="C7769" s="1040" t="s">
        <v>2014</v>
      </c>
      <c r="D7769" s="1736"/>
      <c r="E7769" s="1043">
        <v>9</v>
      </c>
      <c r="F7769" s="1043"/>
      <c r="G7769" s="1550"/>
    </row>
    <row r="7770" spans="1:7" ht="12.75" customHeight="1">
      <c r="A7770" s="1754">
        <v>45094</v>
      </c>
      <c r="B7770" s="125" t="str">
        <f>TiposLancamentos!B19</f>
        <v>Restaurantes</v>
      </c>
      <c r="C7770" s="1040" t="s">
        <v>9044</v>
      </c>
      <c r="D7770" s="1736"/>
      <c r="E7770" s="1043">
        <v>94.4</v>
      </c>
      <c r="F7770" s="1043"/>
      <c r="G7770" s="1550"/>
    </row>
    <row r="7771" spans="1:7" ht="12.75" customHeight="1">
      <c r="A7771" s="1754">
        <v>45095</v>
      </c>
      <c r="B7771" s="125" t="str">
        <f>TiposLancamentos!B19</f>
        <v>Restaurantes</v>
      </c>
      <c r="C7771" s="1040" t="s">
        <v>9045</v>
      </c>
      <c r="D7771" s="1736"/>
      <c r="E7771" s="1043">
        <v>212.82</v>
      </c>
      <c r="F7771" s="1043"/>
      <c r="G7771" s="1550"/>
    </row>
    <row r="7772" spans="1:7" ht="12.75" customHeight="1">
      <c r="A7772" s="1754">
        <v>45096</v>
      </c>
      <c r="B7772" s="125" t="str">
        <f>TiposLancamentos!B13</f>
        <v>Moradia</v>
      </c>
      <c r="C7772" s="1040" t="s">
        <v>9046</v>
      </c>
      <c r="D7772" s="1736"/>
      <c r="E7772" s="1043">
        <v>14</v>
      </c>
      <c r="F7772" s="1043"/>
      <c r="G7772" s="1550"/>
    </row>
    <row r="7773" spans="1:7" ht="12.75" customHeight="1">
      <c r="A7773" s="1754">
        <v>45096</v>
      </c>
      <c r="B7773" s="125" t="str">
        <f>TiposLancamentos!B103</f>
        <v>Juros_Corr. Poupança</v>
      </c>
      <c r="C7773" s="1040" t="s">
        <v>7341</v>
      </c>
      <c r="D7773" s="1736">
        <v>0.02</v>
      </c>
      <c r="E7773" s="1043"/>
      <c r="F7773" s="1043"/>
      <c r="G7773" s="1550"/>
    </row>
    <row r="7774" spans="1:7" ht="12.75" customHeight="1">
      <c r="A7774" s="1754">
        <v>45097</v>
      </c>
      <c r="B7774" s="125"/>
      <c r="C7774" s="1040" t="s">
        <v>1868</v>
      </c>
      <c r="D7774" s="1736"/>
      <c r="E7774" s="1043"/>
      <c r="F7774" s="1043"/>
      <c r="G7774" s="1550"/>
    </row>
    <row r="7775" spans="1:7" ht="12.75" customHeight="1">
      <c r="A7775" s="1666">
        <v>45097</v>
      </c>
      <c r="B7775" s="817" t="str">
        <f>TiposLancamentos!B8</f>
        <v>Aluguel</v>
      </c>
      <c r="C7775" s="1742" t="s">
        <v>9047</v>
      </c>
      <c r="D7775" s="1735"/>
      <c r="E7775" s="1733">
        <f>F7781-SUM(E7776:E7781)</f>
        <v>1540.8400000000001</v>
      </c>
      <c r="F7775" s="1346"/>
      <c r="G7775" s="1550"/>
    </row>
    <row r="7776" spans="1:7" ht="12.75" customHeight="1">
      <c r="A7776" s="1667">
        <v>45097</v>
      </c>
      <c r="B7776" s="816" t="str">
        <f>TiposLancamentos!B12</f>
        <v>IPTU</v>
      </c>
      <c r="C7776" s="1769" t="s">
        <v>9048</v>
      </c>
      <c r="D7776" s="1736"/>
      <c r="E7776" s="1734">
        <v>34.5</v>
      </c>
      <c r="F7776" s="1043"/>
      <c r="G7776" s="1550"/>
    </row>
    <row r="7777" spans="1:7" ht="12.75" customHeight="1">
      <c r="A7777" s="1667">
        <v>45097</v>
      </c>
      <c r="B7777" s="816" t="str">
        <f>TiposLancamentos!B10</f>
        <v>Distr. Água Municipal</v>
      </c>
      <c r="C7777" s="1769" t="s">
        <v>7423</v>
      </c>
      <c r="D7777" s="1736"/>
      <c r="E7777" s="1734">
        <v>72.31</v>
      </c>
      <c r="F7777" s="1043"/>
      <c r="G7777" s="1550"/>
    </row>
    <row r="7778" spans="1:7" ht="12.75" customHeight="1">
      <c r="A7778" s="1667">
        <v>45097</v>
      </c>
      <c r="B7778" s="816" t="str">
        <f>TiposLancamentos!B11</f>
        <v>Coleta Municipal Lixo</v>
      </c>
      <c r="C7778" s="1769" t="s">
        <v>7424</v>
      </c>
      <c r="D7778" s="1736"/>
      <c r="E7778" s="1734">
        <v>44.36</v>
      </c>
      <c r="F7778" s="1043"/>
      <c r="G7778" s="1550"/>
    </row>
    <row r="7779" spans="1:7" ht="12.75" customHeight="1">
      <c r="A7779" s="1667">
        <v>45097</v>
      </c>
      <c r="B7779" s="816" t="str">
        <f>TiposLancamentos!B34</f>
        <v>Seguros</v>
      </c>
      <c r="C7779" s="1769" t="s">
        <v>9008</v>
      </c>
      <c r="D7779" s="1736"/>
      <c r="E7779" s="1734">
        <v>0</v>
      </c>
      <c r="F7779" s="1043"/>
      <c r="G7779" s="1550"/>
    </row>
    <row r="7780" spans="1:7" ht="12.75" customHeight="1">
      <c r="A7780" s="1667">
        <v>45097</v>
      </c>
      <c r="B7780" s="816" t="str">
        <f>TiposLancamentos!B8</f>
        <v>Aluguel</v>
      </c>
      <c r="C7780" s="1769" t="s">
        <v>8955</v>
      </c>
      <c r="D7780" s="1736"/>
      <c r="E7780" s="1734">
        <v>8</v>
      </c>
      <c r="F7780" s="1043"/>
      <c r="G7780" s="1550"/>
    </row>
    <row r="7781" spans="1:7" ht="12.75" customHeight="1">
      <c r="A7781" s="1750">
        <v>45097</v>
      </c>
      <c r="B7781" s="818" t="str">
        <f>TiposLancamentos!B9</f>
        <v>Condominio</v>
      </c>
      <c r="C7781" s="1743" t="s">
        <v>7427</v>
      </c>
      <c r="D7781" s="1737"/>
      <c r="E7781" s="1668">
        <v>616.37</v>
      </c>
      <c r="F7781" s="1291">
        <v>2316.38</v>
      </c>
      <c r="G7781" s="1550"/>
    </row>
    <row r="7782" spans="1:7" ht="12.75" customHeight="1">
      <c r="A7782" s="1754"/>
      <c r="B7782" s="125"/>
      <c r="C7782" s="1040" t="s">
        <v>1868</v>
      </c>
      <c r="D7782" s="1736"/>
      <c r="E7782" s="1043"/>
      <c r="F7782" s="1043"/>
      <c r="G7782" s="1550"/>
    </row>
    <row r="7783" spans="1:7" ht="12.75" customHeight="1">
      <c r="A7783" s="1754">
        <v>45097</v>
      </c>
      <c r="B7783" s="125" t="str">
        <f>TiposLancamentos!B103</f>
        <v>Juros_Corr. Poupança</v>
      </c>
      <c r="C7783" s="1040" t="s">
        <v>7341</v>
      </c>
      <c r="D7783" s="1736">
        <v>0.02</v>
      </c>
      <c r="E7783" s="1043"/>
      <c r="F7783" s="1043"/>
      <c r="G7783" s="1550"/>
    </row>
    <row r="7784" spans="1:7" ht="12.75" customHeight="1">
      <c r="A7784" s="1754">
        <v>45097</v>
      </c>
      <c r="B7784" s="125" t="str">
        <f>TiposLancamentos!B24</f>
        <v>Estacionamentos</v>
      </c>
      <c r="C7784" s="1040" t="s">
        <v>1898</v>
      </c>
      <c r="D7784" s="1736"/>
      <c r="E7784" s="1043">
        <v>15</v>
      </c>
      <c r="F7784" s="1043"/>
      <c r="G7784" s="1550"/>
    </row>
    <row r="7785" spans="1:7" ht="12.75" customHeight="1">
      <c r="A7785" s="1754">
        <v>45097</v>
      </c>
      <c r="B7785" s="125" t="str">
        <f>TiposLancamentos!B19</f>
        <v>Restaurantes</v>
      </c>
      <c r="C7785" s="1040" t="s">
        <v>1967</v>
      </c>
      <c r="D7785" s="1736"/>
      <c r="E7785" s="1043">
        <v>20.9</v>
      </c>
      <c r="F7785" s="1043"/>
      <c r="G7785" s="1550"/>
    </row>
    <row r="7786" spans="1:7" ht="12.75" customHeight="1">
      <c r="A7786" s="1754">
        <v>45098</v>
      </c>
      <c r="B7786" s="125" t="str">
        <f>TiposLancamentos!B6</f>
        <v>Energia Eletrica</v>
      </c>
      <c r="C7786" s="1040" t="s">
        <v>9049</v>
      </c>
      <c r="D7786" s="1736"/>
      <c r="E7786" s="1043">
        <v>307.94</v>
      </c>
      <c r="F7786" s="1043"/>
      <c r="G7786" s="1550"/>
    </row>
    <row r="7787" spans="1:7" ht="12.75" customHeight="1">
      <c r="A7787" s="1754">
        <v>45100</v>
      </c>
      <c r="B7787" s="125" t="str">
        <f>TiposLancamentos!B13</f>
        <v>Moradia</v>
      </c>
      <c r="C7787" s="1040" t="s">
        <v>9050</v>
      </c>
      <c r="D7787" s="1736"/>
      <c r="E7787" s="1043">
        <v>16</v>
      </c>
      <c r="F7787" s="1043"/>
      <c r="G7787" s="1550"/>
    </row>
    <row r="7788" spans="1:7" ht="12.75" customHeight="1">
      <c r="A7788" s="1754">
        <v>45100</v>
      </c>
      <c r="B7788" s="125" t="str">
        <f>TiposLancamentos!B19</f>
        <v>Restaurantes</v>
      </c>
      <c r="C7788" s="1040" t="s">
        <v>9044</v>
      </c>
      <c r="D7788" s="1736"/>
      <c r="E7788" s="1043">
        <v>89.5</v>
      </c>
      <c r="F7788" s="1043"/>
      <c r="G7788" s="1550"/>
    </row>
    <row r="7789" spans="1:7" ht="12.75" customHeight="1">
      <c r="A7789" s="1754">
        <v>45101</v>
      </c>
      <c r="B7789" s="125" t="str">
        <f>TiposLancamentos!B5</f>
        <v>Supermercado</v>
      </c>
      <c r="C7789" s="1040" t="s">
        <v>1943</v>
      </c>
      <c r="D7789" s="1736"/>
      <c r="E7789" s="1043">
        <v>94.1</v>
      </c>
      <c r="F7789" s="1043"/>
      <c r="G7789" s="1550"/>
    </row>
    <row r="7790" spans="1:7" ht="12.75" customHeight="1">
      <c r="A7790" s="1754">
        <v>45102</v>
      </c>
      <c r="B7790" s="125" t="str">
        <f>TiposLancamentos!B5</f>
        <v>Supermercado</v>
      </c>
      <c r="C7790" s="1040" t="s">
        <v>1884</v>
      </c>
      <c r="D7790" s="1736"/>
      <c r="E7790" s="1043">
        <v>32.57</v>
      </c>
      <c r="F7790" s="1043"/>
      <c r="G7790" s="1550"/>
    </row>
    <row r="7791" spans="1:7" ht="12.75" customHeight="1">
      <c r="A7791" s="1754">
        <v>45102</v>
      </c>
      <c r="B7791" s="125" t="str">
        <f>TiposLancamentos!B19</f>
        <v>Restaurantes</v>
      </c>
      <c r="C7791" s="1040" t="s">
        <v>9051</v>
      </c>
      <c r="D7791" s="1736"/>
      <c r="E7791" s="1043">
        <v>155.1</v>
      </c>
      <c r="F7791" s="1043"/>
      <c r="G7791" s="1550"/>
    </row>
    <row r="7792" spans="1:7" ht="12.75" customHeight="1">
      <c r="A7792" s="1666">
        <v>45102</v>
      </c>
      <c r="B7792" s="817" t="str">
        <f>TiposLancamentos!B56</f>
        <v>Farmácia</v>
      </c>
      <c r="C7792" s="1742" t="s">
        <v>9052</v>
      </c>
      <c r="D7792" s="1735"/>
      <c r="E7792" s="1733">
        <v>27.5</v>
      </c>
      <c r="F7792" s="1290"/>
      <c r="G7792" s="1550"/>
    </row>
    <row r="7793" spans="1:7" ht="12.75" customHeight="1">
      <c r="A7793" s="1667">
        <v>45102</v>
      </c>
      <c r="B7793" s="816" t="str">
        <f>TiposLancamentos!B71</f>
        <v>Itens Pessoais</v>
      </c>
      <c r="C7793" s="1769" t="s">
        <v>9053</v>
      </c>
      <c r="D7793" s="1736"/>
      <c r="E7793" s="1734">
        <v>19.89</v>
      </c>
      <c r="F7793" s="1043"/>
      <c r="G7793" s="1550"/>
    </row>
    <row r="7794" spans="1:7" ht="12.75" customHeight="1">
      <c r="A7794" s="1750">
        <v>45102</v>
      </c>
      <c r="B7794" s="818" t="str">
        <f>TiposLancamentos!B16</f>
        <v>Cristiane</v>
      </c>
      <c r="C7794" s="1743" t="s">
        <v>9054</v>
      </c>
      <c r="D7794" s="1737"/>
      <c r="E7794" s="1668">
        <f>78.33-47.39</f>
        <v>30.939999999999998</v>
      </c>
      <c r="F7794" s="1291">
        <v>78.33</v>
      </c>
      <c r="G7794" s="1550"/>
    </row>
    <row r="7795" spans="1:7" ht="12.75" customHeight="1">
      <c r="A7795" s="1754">
        <v>45102</v>
      </c>
      <c r="B7795" s="125" t="str">
        <f>TiposLancamentos!B5</f>
        <v>Supermercado</v>
      </c>
      <c r="C7795" s="1040" t="s">
        <v>9055</v>
      </c>
      <c r="D7795" s="1736"/>
      <c r="E7795" s="1043">
        <v>34.9</v>
      </c>
      <c r="F7795" s="1043"/>
      <c r="G7795" s="1550"/>
    </row>
    <row r="7796" spans="1:7" ht="12.75" customHeight="1">
      <c r="A7796" s="1754">
        <v>45104</v>
      </c>
      <c r="B7796" s="125" t="str">
        <f>TiposLancamentos!B71</f>
        <v>Itens Pessoais</v>
      </c>
      <c r="C7796" s="1040" t="s">
        <v>2035</v>
      </c>
      <c r="D7796" s="1736"/>
      <c r="E7796" s="1043">
        <v>30</v>
      </c>
      <c r="F7796" s="1043"/>
      <c r="G7796" s="1550"/>
    </row>
    <row r="7797" spans="1:7" ht="12.75" customHeight="1">
      <c r="A7797" s="1754">
        <v>45106</v>
      </c>
      <c r="B7797" s="125" t="str">
        <f>TiposLancamentos!B56</f>
        <v>Farmácia</v>
      </c>
      <c r="C7797" s="1040" t="s">
        <v>9056</v>
      </c>
      <c r="D7797" s="1736"/>
      <c r="E7797" s="1043">
        <v>50.3</v>
      </c>
      <c r="F7797" s="1043"/>
      <c r="G7797" s="1550"/>
    </row>
    <row r="7798" spans="1:7" ht="12.75" customHeight="1">
      <c r="A7798" s="1754">
        <v>45106</v>
      </c>
      <c r="B7798" s="125" t="str">
        <f>TiposLancamentos!B19</f>
        <v>Restaurantes</v>
      </c>
      <c r="C7798" s="1040" t="s">
        <v>9057</v>
      </c>
      <c r="D7798" s="1736"/>
      <c r="E7798" s="1043">
        <v>54.91</v>
      </c>
      <c r="F7798" s="1043"/>
      <c r="G7798" s="1550"/>
    </row>
    <row r="7799" spans="1:7" ht="12.75" customHeight="1">
      <c r="A7799" s="1754">
        <v>45106</v>
      </c>
      <c r="B7799" s="125" t="str">
        <f>TiposLancamentos!B19</f>
        <v>Restaurantes</v>
      </c>
      <c r="C7799" s="1040" t="s">
        <v>9058</v>
      </c>
      <c r="D7799" s="1736"/>
      <c r="E7799" s="1043">
        <v>119.4</v>
      </c>
      <c r="F7799" s="1043"/>
      <c r="G7799" s="1550"/>
    </row>
    <row r="7800" spans="1:7" ht="12.75" customHeight="1">
      <c r="A7800" s="1754">
        <v>45106</v>
      </c>
      <c r="B7800" s="125" t="str">
        <f>TiposLancamentos!B5</f>
        <v>Supermercado</v>
      </c>
      <c r="C7800" s="1040" t="s">
        <v>1884</v>
      </c>
      <c r="D7800" s="1736"/>
      <c r="E7800" s="1043">
        <v>12.39</v>
      </c>
      <c r="F7800" s="1043"/>
      <c r="G7800" s="1550"/>
    </row>
    <row r="7801" spans="1:7" ht="12.75" customHeight="1">
      <c r="A7801" s="1754">
        <v>45107</v>
      </c>
      <c r="B7801" s="125" t="str">
        <f>TiposLancamentos!B95</f>
        <v>Salarios</v>
      </c>
      <c r="C7801" s="1040" t="s">
        <v>9021</v>
      </c>
      <c r="D7801" s="1736">
        <v>7811.1</v>
      </c>
      <c r="E7801" s="1043"/>
      <c r="F7801" s="1043"/>
      <c r="G7801" s="1550"/>
    </row>
    <row r="7802" spans="1:7" ht="12.75" customHeight="1">
      <c r="A7802" s="1754">
        <v>45107</v>
      </c>
      <c r="B7802" s="125" t="str">
        <f>TiposLancamentos!B5</f>
        <v>Supermercado</v>
      </c>
      <c r="C7802" s="1040" t="s">
        <v>9059</v>
      </c>
      <c r="D7802" s="1736"/>
      <c r="E7802" s="1043">
        <v>35</v>
      </c>
      <c r="F7802" s="1043"/>
      <c r="G7802" s="1550"/>
    </row>
    <row r="7803" spans="1:7" ht="12.75" customHeight="1" thickBot="1">
      <c r="A7803" s="1754">
        <v>45107</v>
      </c>
      <c r="B7803" s="125" t="str">
        <f>TiposLancamentos!B105</f>
        <v>Transf. Bco</v>
      </c>
      <c r="C7803" s="1040" t="s">
        <v>9060</v>
      </c>
      <c r="D7803" s="1736"/>
      <c r="E7803" s="1043">
        <v>29.7</v>
      </c>
      <c r="F7803" s="1043"/>
      <c r="G7803" s="1550"/>
    </row>
    <row r="7804" spans="1:7" ht="12.75" customHeight="1">
      <c r="A7804" s="1834"/>
      <c r="B7804" s="977"/>
      <c r="C7804" s="1854" t="s">
        <v>1624</v>
      </c>
      <c r="D7804" s="1823"/>
      <c r="E7804" s="1821"/>
      <c r="F7804" s="1821"/>
      <c r="G7804" s="1895"/>
    </row>
    <row r="7805" spans="1:7" ht="12.75" customHeight="1">
      <c r="A7805" s="1754">
        <v>45108</v>
      </c>
      <c r="B7805" s="125" t="str">
        <f>TiposLancamentos!B105</f>
        <v>Transf. Bco</v>
      </c>
      <c r="C7805" s="1040" t="s">
        <v>9061</v>
      </c>
      <c r="D7805" s="1736"/>
      <c r="E7805" s="1043">
        <v>697.58</v>
      </c>
      <c r="F7805" s="1043"/>
      <c r="G7805" s="1550"/>
    </row>
    <row r="7806" spans="1:7" ht="12.75" customHeight="1">
      <c r="A7806" s="1754">
        <v>45108</v>
      </c>
      <c r="B7806" s="125" t="str">
        <f>TiposLancamentos!B105</f>
        <v>Transf. Bco</v>
      </c>
      <c r="C7806" s="1040" t="s">
        <v>9060</v>
      </c>
      <c r="D7806" s="1736"/>
      <c r="E7806" s="1043">
        <v>172</v>
      </c>
      <c r="F7806" s="1043"/>
      <c r="G7806" s="1550"/>
    </row>
    <row r="7807" spans="1:7" ht="12.75" customHeight="1">
      <c r="A7807" s="1754">
        <v>45108</v>
      </c>
      <c r="B7807" s="125" t="str">
        <f>TiposLancamentos!B105</f>
        <v>Transf. Bco</v>
      </c>
      <c r="C7807" s="1040" t="s">
        <v>9061</v>
      </c>
      <c r="D7807" s="1736"/>
      <c r="E7807" s="1043">
        <v>378.41</v>
      </c>
      <c r="F7807" s="1043"/>
      <c r="G7807" s="1550"/>
    </row>
    <row r="7808" spans="1:7" ht="12.75" customHeight="1">
      <c r="A7808" s="1754">
        <v>45108</v>
      </c>
      <c r="B7808" s="125" t="str">
        <f>TiposLancamentos!B15</f>
        <v>Cartões de Crédito</v>
      </c>
      <c r="C7808" s="1040" t="s">
        <v>8016</v>
      </c>
      <c r="D7808" s="1736"/>
      <c r="E7808" s="1043">
        <v>368.26</v>
      </c>
      <c r="F7808" s="1043"/>
      <c r="G7808" s="1550"/>
    </row>
    <row r="7809" spans="1:7" ht="12.75" customHeight="1">
      <c r="A7809" s="1754">
        <v>45108</v>
      </c>
      <c r="B7809" s="125" t="str">
        <f>TiposLancamentos!B15</f>
        <v>Cartões de Crédito</v>
      </c>
      <c r="C7809" s="1040" t="s">
        <v>8772</v>
      </c>
      <c r="D7809" s="1736"/>
      <c r="E7809" s="1043">
        <v>1112.06</v>
      </c>
      <c r="F7809" s="1043"/>
      <c r="G7809" s="1550"/>
    </row>
    <row r="7810" spans="1:7" ht="12.75" customHeight="1">
      <c r="A7810" s="1754">
        <v>45108</v>
      </c>
      <c r="B7810" s="125" t="str">
        <f>TiposLancamentos!B14</f>
        <v>Gás de cozinha</v>
      </c>
      <c r="C7810" s="1040" t="s">
        <v>9020</v>
      </c>
      <c r="D7810" s="1736"/>
      <c r="E7810" s="1043">
        <v>59.41</v>
      </c>
      <c r="F7810" s="1043"/>
      <c r="G7810" s="1550"/>
    </row>
    <row r="7811" spans="1:7" ht="12.75" customHeight="1">
      <c r="A7811" s="1754">
        <v>45109</v>
      </c>
      <c r="B7811" s="125" t="str">
        <f>TiposLancamentos!B37</f>
        <v>Playstation 3</v>
      </c>
      <c r="C7811" s="1040" t="s">
        <v>9062</v>
      </c>
      <c r="D7811" s="1736"/>
      <c r="E7811" s="1043">
        <v>100</v>
      </c>
      <c r="F7811" s="1043"/>
      <c r="G7811" s="1550"/>
    </row>
    <row r="7812" spans="1:7" ht="12.75" customHeight="1">
      <c r="A7812" s="1754">
        <v>45109</v>
      </c>
      <c r="B7812" s="125" t="str">
        <f>TiposLancamentos!B17</f>
        <v>GATO</v>
      </c>
      <c r="C7812" s="1040" t="s">
        <v>9063</v>
      </c>
      <c r="D7812" s="1736"/>
      <c r="E7812" s="1043">
        <v>159.1</v>
      </c>
      <c r="F7812" s="1043"/>
      <c r="G7812" s="1550"/>
    </row>
    <row r="7813" spans="1:7" ht="12.75" customHeight="1">
      <c r="A7813" s="1754">
        <v>45109</v>
      </c>
      <c r="B7813" s="125" t="str">
        <f>TiposLancamentos!B19</f>
        <v>Restaurantes</v>
      </c>
      <c r="C7813" s="1040" t="s">
        <v>9064</v>
      </c>
      <c r="D7813" s="1736"/>
      <c r="E7813" s="1043">
        <v>89.5</v>
      </c>
      <c r="F7813" s="1043"/>
      <c r="G7813" s="1550"/>
    </row>
    <row r="7814" spans="1:7" ht="12.75" customHeight="1">
      <c r="A7814" s="1754">
        <v>45109</v>
      </c>
      <c r="B7814" s="125" t="str">
        <f>TiposLancamentos!B103</f>
        <v>Juros_Corr. Poupança</v>
      </c>
      <c r="C7814" s="1040" t="s">
        <v>7341</v>
      </c>
      <c r="D7814" s="1736">
        <v>0.02</v>
      </c>
      <c r="E7814" s="1043"/>
      <c r="F7814" s="1043"/>
      <c r="G7814" s="1550"/>
    </row>
    <row r="7815" spans="1:7" ht="12.75" customHeight="1">
      <c r="A7815" s="1754">
        <v>45111</v>
      </c>
      <c r="B7815" s="125" t="str">
        <f>TiposLancamentos!B4</f>
        <v>Taxas Bancarias</v>
      </c>
      <c r="C7815" s="1040" t="s">
        <v>7681</v>
      </c>
      <c r="D7815" s="1736"/>
      <c r="E7815" s="1043">
        <v>5.9</v>
      </c>
      <c r="F7815" s="1043"/>
      <c r="G7815" s="1550"/>
    </row>
    <row r="7816" spans="1:7" ht="12.75" customHeight="1">
      <c r="A7816" s="1754">
        <v>45111</v>
      </c>
      <c r="B7816" s="125" t="str">
        <f>TiposLancamentos!B19</f>
        <v>Restaurantes</v>
      </c>
      <c r="C7816" s="1040" t="s">
        <v>9065</v>
      </c>
      <c r="D7816" s="1736"/>
      <c r="E7816" s="1043">
        <v>88.7</v>
      </c>
      <c r="F7816" s="1043"/>
      <c r="G7816" s="1550"/>
    </row>
    <row r="7817" spans="1:7" ht="12.75" customHeight="1">
      <c r="A7817" s="1754">
        <v>45111</v>
      </c>
      <c r="B7817" s="125" t="str">
        <f>TiposLancamentos!B4</f>
        <v>Taxas Bancarias</v>
      </c>
      <c r="C7817" s="1040" t="s">
        <v>4858</v>
      </c>
      <c r="D7817" s="1736"/>
      <c r="E7817" s="1043">
        <v>10.73</v>
      </c>
      <c r="F7817" s="1043"/>
      <c r="G7817" s="1550"/>
    </row>
    <row r="7818" spans="1:7" ht="12.75" customHeight="1">
      <c r="A7818" s="1754">
        <v>45112</v>
      </c>
      <c r="B7818" s="125" t="str">
        <f>TiposLancamentos!B56</f>
        <v>Farmácia</v>
      </c>
      <c r="C7818" s="1040" t="s">
        <v>6118</v>
      </c>
      <c r="D7818" s="1736"/>
      <c r="E7818" s="1043">
        <v>132.58000000000001</v>
      </c>
      <c r="F7818" s="1043"/>
      <c r="G7818" s="1550"/>
    </row>
    <row r="7819" spans="1:7" ht="12.75" customHeight="1">
      <c r="A7819" s="1754">
        <v>45113</v>
      </c>
      <c r="B7819" s="125" t="str">
        <f>TiposLancamentos!B4</f>
        <v>Taxas Bancarias</v>
      </c>
      <c r="C7819" s="1040" t="s">
        <v>8778</v>
      </c>
      <c r="D7819" s="1736"/>
      <c r="E7819" s="1043">
        <v>58.43</v>
      </c>
      <c r="F7819" s="1043"/>
      <c r="G7819" s="1550"/>
    </row>
    <row r="7820" spans="1:7" ht="12.75" customHeight="1">
      <c r="A7820" s="1754">
        <v>45113</v>
      </c>
      <c r="B7820" s="125" t="str">
        <f>TiposLancamentos!B4</f>
        <v>Taxas Bancarias</v>
      </c>
      <c r="C7820" s="1040" t="s">
        <v>9066</v>
      </c>
      <c r="D7820" s="1736"/>
      <c r="E7820" s="1043">
        <v>3.65</v>
      </c>
      <c r="F7820" s="1043"/>
      <c r="G7820" s="1550"/>
    </row>
    <row r="7821" spans="1:7" ht="12.75" customHeight="1">
      <c r="A7821" s="1754">
        <v>45114</v>
      </c>
      <c r="B7821" s="125" t="str">
        <f>TiposLancamentos!B5</f>
        <v>Supermercado</v>
      </c>
      <c r="C7821" s="1040" t="s">
        <v>1884</v>
      </c>
      <c r="D7821" s="1736"/>
      <c r="E7821" s="1043">
        <v>5.19</v>
      </c>
      <c r="F7821" s="1043"/>
      <c r="G7821" s="1550"/>
    </row>
    <row r="7822" spans="1:7" ht="12.75" customHeight="1">
      <c r="A7822" s="1754">
        <v>45114</v>
      </c>
      <c r="B7822" s="125" t="str">
        <f>TiposLancamentos!B13</f>
        <v>Moradia</v>
      </c>
      <c r="C7822" s="1040" t="s">
        <v>9067</v>
      </c>
      <c r="D7822" s="1736"/>
      <c r="E7822" s="1043">
        <v>15</v>
      </c>
      <c r="F7822" s="1043"/>
      <c r="G7822" s="1550"/>
    </row>
    <row r="7823" spans="1:7" ht="12.75" customHeight="1">
      <c r="A7823" s="1754">
        <v>45114</v>
      </c>
      <c r="B7823" s="125" t="str">
        <f>TiposLancamentos!B5</f>
        <v>Supermercado</v>
      </c>
      <c r="C7823" s="1040" t="s">
        <v>2153</v>
      </c>
      <c r="D7823" s="1736"/>
      <c r="E7823" s="1043">
        <v>15.38</v>
      </c>
      <c r="F7823" s="1043"/>
      <c r="G7823" s="1550"/>
    </row>
    <row r="7824" spans="1:7" ht="12.75" customHeight="1">
      <c r="A7824" s="1754">
        <v>45114</v>
      </c>
      <c r="B7824" s="125" t="str">
        <f>TiposLancamentos!B19</f>
        <v>Restaurantes</v>
      </c>
      <c r="C7824" s="1040" t="s">
        <v>9068</v>
      </c>
      <c r="D7824" s="1736"/>
      <c r="E7824" s="1043">
        <v>119.4</v>
      </c>
      <c r="F7824" s="1043"/>
      <c r="G7824" s="1550"/>
    </row>
    <row r="7825" spans="1:7" ht="12.75" customHeight="1">
      <c r="A7825" s="1754">
        <v>45115</v>
      </c>
      <c r="B7825" s="125" t="str">
        <f>TiposLancamentos!B19</f>
        <v>Restaurantes</v>
      </c>
      <c r="C7825" s="1040" t="s">
        <v>9069</v>
      </c>
      <c r="D7825" s="1736"/>
      <c r="E7825" s="1043">
        <v>107.4</v>
      </c>
      <c r="F7825" s="1043"/>
      <c r="G7825" s="1550"/>
    </row>
    <row r="7826" spans="1:7" ht="12.75" customHeight="1">
      <c r="A7826" s="1754">
        <v>45115</v>
      </c>
      <c r="B7826" s="125" t="str">
        <f>TiposLancamentos!B19</f>
        <v>Restaurantes</v>
      </c>
      <c r="C7826" s="1040" t="s">
        <v>9069</v>
      </c>
      <c r="D7826" s="1736"/>
      <c r="E7826" s="1043">
        <v>9.6</v>
      </c>
      <c r="F7826" s="1043"/>
      <c r="G7826" s="1550"/>
    </row>
    <row r="7827" spans="1:7" ht="12.75" customHeight="1">
      <c r="A7827" s="1754">
        <v>45115</v>
      </c>
      <c r="B7827" s="125" t="str">
        <f>TiposLancamentos!B56</f>
        <v>Farmácia</v>
      </c>
      <c r="C7827" s="1040" t="s">
        <v>8196</v>
      </c>
      <c r="D7827" s="1736"/>
      <c r="E7827" s="1043">
        <v>378.33</v>
      </c>
      <c r="F7827" s="1043"/>
      <c r="G7827" s="1550"/>
    </row>
    <row r="7828" spans="1:7" ht="12.75" customHeight="1">
      <c r="A7828" s="1754">
        <v>45115</v>
      </c>
      <c r="B7828" s="125" t="str">
        <f>TiposLancamentos!B19</f>
        <v>Restaurantes</v>
      </c>
      <c r="C7828" s="1040" t="s">
        <v>9070</v>
      </c>
      <c r="D7828" s="1736"/>
      <c r="E7828" s="1043">
        <v>43.53</v>
      </c>
      <c r="F7828" s="1043"/>
      <c r="G7828" s="1550"/>
    </row>
    <row r="7829" spans="1:7" ht="12.75" customHeight="1">
      <c r="A7829" s="1754">
        <v>45116</v>
      </c>
      <c r="B7829" s="125" t="str">
        <f>TiposLancamentos!B19</f>
        <v>Restaurantes</v>
      </c>
      <c r="C7829" s="1040" t="s">
        <v>9071</v>
      </c>
      <c r="D7829" s="1736"/>
      <c r="E7829" s="1043">
        <v>137.41999999999999</v>
      </c>
      <c r="F7829" s="1043"/>
      <c r="G7829" s="1550"/>
    </row>
    <row r="7830" spans="1:7" ht="12.75" customHeight="1">
      <c r="A7830" s="1754">
        <v>45116</v>
      </c>
      <c r="B7830" s="125" t="str">
        <f>TiposLancamentos!B5</f>
        <v>Supermercado</v>
      </c>
      <c r="C7830" s="1040" t="s">
        <v>9072</v>
      </c>
      <c r="D7830" s="1736"/>
      <c r="E7830" s="1043">
        <v>193.29</v>
      </c>
      <c r="F7830" s="1043"/>
      <c r="G7830" s="1550"/>
    </row>
    <row r="7831" spans="1:7" ht="12.75" customHeight="1">
      <c r="A7831" s="1754">
        <v>45116</v>
      </c>
      <c r="B7831" s="125" t="str">
        <f>TiposLancamentos!B16</f>
        <v>Cristiane</v>
      </c>
      <c r="C7831" s="1040" t="s">
        <v>9073</v>
      </c>
      <c r="D7831" s="1736"/>
      <c r="E7831" s="1043">
        <v>40.56</v>
      </c>
      <c r="F7831" s="1043"/>
      <c r="G7831" s="1550"/>
    </row>
    <row r="7832" spans="1:7" ht="12.75" customHeight="1">
      <c r="A7832" s="1754">
        <v>45117</v>
      </c>
      <c r="B7832" s="125" t="str">
        <f>TiposLancamentos!B103</f>
        <v>Juros_Corr. Poupança</v>
      </c>
      <c r="C7832" s="1040" t="s">
        <v>7341</v>
      </c>
      <c r="D7832" s="1736">
        <v>0.01</v>
      </c>
      <c r="E7832" s="1043"/>
      <c r="F7832" s="1043"/>
      <c r="G7832" s="1550"/>
    </row>
    <row r="7833" spans="1:7" ht="12.75" customHeight="1">
      <c r="A7833" s="1754">
        <v>45117</v>
      </c>
      <c r="B7833" s="125" t="str">
        <f>TiposLancamentos!B16</f>
        <v>Cristiane</v>
      </c>
      <c r="C7833" s="1040" t="s">
        <v>6052</v>
      </c>
      <c r="D7833" s="1736"/>
      <c r="E7833" s="1043">
        <v>12.08</v>
      </c>
      <c r="F7833" s="1043"/>
      <c r="G7833" s="1550"/>
    </row>
    <row r="7834" spans="1:7" ht="12.75" customHeight="1">
      <c r="A7834" s="1754">
        <v>45117</v>
      </c>
      <c r="B7834" s="125" t="str">
        <f>TiposLancamentos!B103</f>
        <v>Juros_Corr. Poupança</v>
      </c>
      <c r="C7834" s="1040" t="s">
        <v>7341</v>
      </c>
      <c r="D7834" s="1736">
        <v>0.02</v>
      </c>
      <c r="E7834" s="1043"/>
      <c r="F7834" s="1043"/>
      <c r="G7834" s="1550"/>
    </row>
    <row r="7835" spans="1:7" ht="12.75" customHeight="1">
      <c r="A7835" s="1754">
        <v>45119</v>
      </c>
      <c r="B7835" s="125" t="str">
        <f>TiposLancamentos!B103</f>
        <v>Juros_Corr. Poupança</v>
      </c>
      <c r="C7835" s="1040" t="s">
        <v>7341</v>
      </c>
      <c r="D7835" s="1736">
        <v>0.01</v>
      </c>
      <c r="E7835" s="1043"/>
      <c r="F7835" s="1043"/>
      <c r="G7835" s="1550"/>
    </row>
    <row r="7836" spans="1:7" ht="12.75" customHeight="1">
      <c r="A7836" s="1754">
        <v>45119</v>
      </c>
      <c r="B7836" s="125" t="str">
        <f>TiposLancamentos!B19</f>
        <v>Restaurantes</v>
      </c>
      <c r="C7836" s="1040" t="s">
        <v>9074</v>
      </c>
      <c r="D7836" s="1736"/>
      <c r="E7836" s="1043">
        <v>21</v>
      </c>
      <c r="F7836" s="1043"/>
      <c r="G7836" s="1550"/>
    </row>
    <row r="7837" spans="1:7" ht="12.75" customHeight="1">
      <c r="A7837" s="1754">
        <v>45121</v>
      </c>
      <c r="B7837" s="125" t="str">
        <f>TiposLancamentos!B19</f>
        <v>Restaurantes</v>
      </c>
      <c r="C7837" s="1040" t="s">
        <v>8609</v>
      </c>
      <c r="D7837" s="1736"/>
      <c r="E7837" s="1043">
        <v>78</v>
      </c>
      <c r="F7837" s="1043"/>
      <c r="G7837" s="1550"/>
    </row>
    <row r="7838" spans="1:7" ht="12.75" customHeight="1">
      <c r="A7838" s="1754">
        <v>45122</v>
      </c>
      <c r="B7838" s="125" t="str">
        <f>TiposLancamentos!B19</f>
        <v>Restaurantes</v>
      </c>
      <c r="C7838" s="1040" t="s">
        <v>9075</v>
      </c>
      <c r="D7838" s="1736"/>
      <c r="E7838" s="1043">
        <v>91.5</v>
      </c>
      <c r="F7838" s="1043"/>
      <c r="G7838" s="1550"/>
    </row>
    <row r="7839" spans="1:7" ht="12.75" customHeight="1">
      <c r="A7839" s="1754">
        <v>45122</v>
      </c>
      <c r="B7839" s="125" t="str">
        <f>TiposLancamentos!B5</f>
        <v>Supermercado</v>
      </c>
      <c r="C7839" s="1040" t="s">
        <v>9076</v>
      </c>
      <c r="D7839" s="1736"/>
      <c r="E7839" s="1043">
        <v>123.89</v>
      </c>
      <c r="F7839" s="1043"/>
      <c r="G7839" s="1550"/>
    </row>
    <row r="7840" spans="1:7" ht="12.75" customHeight="1">
      <c r="A7840" s="1754">
        <v>45122</v>
      </c>
      <c r="B7840" s="116"/>
      <c r="C7840" s="1040" t="s">
        <v>1868</v>
      </c>
      <c r="D7840" s="1736">
        <v>0</v>
      </c>
      <c r="E7840" s="1043">
        <v>0</v>
      </c>
      <c r="F7840" s="1664"/>
      <c r="G7840" s="1550"/>
    </row>
    <row r="7841" spans="1:7" ht="12.75" customHeight="1">
      <c r="A7841" s="1666">
        <v>45122</v>
      </c>
      <c r="B7841" s="817" t="str">
        <f>TiposLancamentos!B35</f>
        <v>Tv à Cabo</v>
      </c>
      <c r="C7841" s="1742" t="s">
        <v>5834</v>
      </c>
      <c r="D7841" s="1735"/>
      <c r="E7841" s="1733">
        <f>F7843-(E7842+E7843)</f>
        <v>110.16000000000003</v>
      </c>
      <c r="F7841" s="1290"/>
      <c r="G7841" s="1550"/>
    </row>
    <row r="7842" spans="1:7" ht="12.75" customHeight="1">
      <c r="A7842" s="1667">
        <v>45122</v>
      </c>
      <c r="B7842" s="816" t="str">
        <f>TiposLancamentos!B3</f>
        <v>Internet</v>
      </c>
      <c r="C7842" s="1769" t="s">
        <v>5835</v>
      </c>
      <c r="D7842" s="1736"/>
      <c r="E7842" s="1734">
        <v>143.32</v>
      </c>
      <c r="F7842" s="1043"/>
      <c r="G7842" s="1550"/>
    </row>
    <row r="7843" spans="1:7" ht="12.75" customHeight="1">
      <c r="A7843" s="1750">
        <v>45122</v>
      </c>
      <c r="B7843" s="818" t="str">
        <f>TiposLancamentos!B2</f>
        <v>Telefonia</v>
      </c>
      <c r="C7843" s="1743" t="s">
        <v>7210</v>
      </c>
      <c r="D7843" s="1737"/>
      <c r="E7843" s="1668">
        <v>6.75</v>
      </c>
      <c r="F7843" s="1291">
        <v>260.23</v>
      </c>
      <c r="G7843" s="1550"/>
    </row>
    <row r="7844" spans="1:7" ht="12.75" customHeight="1">
      <c r="A7844" s="1754">
        <v>45122</v>
      </c>
      <c r="B7844" s="116"/>
      <c r="C7844" s="1040" t="s">
        <v>1868</v>
      </c>
      <c r="D7844" s="1736"/>
      <c r="E7844" s="1043"/>
      <c r="F7844" s="1043"/>
      <c r="G7844" s="1550"/>
    </row>
    <row r="7845" spans="1:7" ht="12.75" customHeight="1">
      <c r="A7845" s="1754">
        <v>45092</v>
      </c>
      <c r="B7845" s="125" t="str">
        <f>TiposLancamentos!B2</f>
        <v>Telefonia</v>
      </c>
      <c r="C7845" s="1040" t="s">
        <v>8797</v>
      </c>
      <c r="D7845" s="1736"/>
      <c r="E7845" s="1043">
        <v>59.89</v>
      </c>
      <c r="F7845" s="1043"/>
      <c r="G7845" s="1550"/>
    </row>
    <row r="7846" spans="1:7" ht="12.75" customHeight="1">
      <c r="A7846" s="1754">
        <v>45124</v>
      </c>
      <c r="B7846" s="125" t="str">
        <f>TiposLancamentos!B103</f>
        <v>Juros_Corr. Poupança</v>
      </c>
      <c r="C7846" s="1040" t="s">
        <v>7341</v>
      </c>
      <c r="D7846" s="1736">
        <v>0.02</v>
      </c>
      <c r="E7846" s="1043"/>
      <c r="F7846" s="1043"/>
      <c r="G7846" s="1550"/>
    </row>
    <row r="7847" spans="1:7" ht="12.75" customHeight="1">
      <c r="A7847" s="1754"/>
      <c r="B7847" s="125"/>
      <c r="C7847" s="1040" t="s">
        <v>1868</v>
      </c>
      <c r="D7847" s="1736"/>
      <c r="E7847" s="1043"/>
      <c r="F7847" s="1043"/>
      <c r="G7847" s="1550"/>
    </row>
    <row r="7848" spans="1:7" ht="12.75" customHeight="1">
      <c r="A7848" s="1666">
        <v>45127</v>
      </c>
      <c r="B7848" s="817" t="str">
        <f>TiposLancamentos!B8</f>
        <v>Aluguel</v>
      </c>
      <c r="C7848" s="1742" t="s">
        <v>9047</v>
      </c>
      <c r="D7848" s="1735"/>
      <c r="E7848" s="1733">
        <f>F7855-SUM(E7849:E7855)</f>
        <v>1631.7500000000002</v>
      </c>
      <c r="F7848" s="1346"/>
      <c r="G7848" s="1550"/>
    </row>
    <row r="7849" spans="1:7" ht="12.75" customHeight="1">
      <c r="A7849" s="1667">
        <v>45127</v>
      </c>
      <c r="B7849" s="816" t="str">
        <f>TiposLancamentos!B8</f>
        <v>Aluguel</v>
      </c>
      <c r="C7849" s="1769" t="s">
        <v>9077</v>
      </c>
      <c r="D7849" s="1736"/>
      <c r="E7849" s="1734">
        <v>89.31</v>
      </c>
      <c r="F7849" s="1043"/>
      <c r="G7849" s="1550"/>
    </row>
    <row r="7850" spans="1:7" ht="12.75" customHeight="1">
      <c r="A7850" s="1667">
        <v>45127</v>
      </c>
      <c r="B7850" s="816" t="str">
        <f>TiposLancamentos!B12</f>
        <v>IPTU</v>
      </c>
      <c r="C7850" s="1769" t="s">
        <v>9048</v>
      </c>
      <c r="D7850" s="1736"/>
      <c r="E7850" s="1734">
        <v>34.5</v>
      </c>
      <c r="F7850" s="1043"/>
      <c r="G7850" s="1550"/>
    </row>
    <row r="7851" spans="1:7" ht="12.75" customHeight="1">
      <c r="A7851" s="1667">
        <v>45127</v>
      </c>
      <c r="B7851" s="816" t="str">
        <f>TiposLancamentos!B10</f>
        <v>Distr. Água Municipal</v>
      </c>
      <c r="C7851" s="1769" t="s">
        <v>7423</v>
      </c>
      <c r="D7851" s="1736"/>
      <c r="E7851" s="1734">
        <v>96.01</v>
      </c>
      <c r="F7851" s="1043"/>
      <c r="G7851" s="1550"/>
    </row>
    <row r="7852" spans="1:7" ht="12.75" customHeight="1">
      <c r="A7852" s="1667">
        <v>45127</v>
      </c>
      <c r="B7852" s="816" t="str">
        <f>TiposLancamentos!B11</f>
        <v>Coleta Municipal Lixo</v>
      </c>
      <c r="C7852" s="1769" t="s">
        <v>7424</v>
      </c>
      <c r="D7852" s="1736"/>
      <c r="E7852" s="1734">
        <v>44.36</v>
      </c>
      <c r="F7852" s="1043"/>
      <c r="G7852" s="1550"/>
    </row>
    <row r="7853" spans="1:7" ht="12.75" customHeight="1">
      <c r="A7853" s="1667">
        <v>45127</v>
      </c>
      <c r="B7853" s="816" t="str">
        <f>TiposLancamentos!B34</f>
        <v>Seguros</v>
      </c>
      <c r="C7853" s="1769" t="s">
        <v>9008</v>
      </c>
      <c r="D7853" s="1736"/>
      <c r="E7853" s="1734">
        <v>0</v>
      </c>
      <c r="F7853" s="1043"/>
      <c r="G7853" s="1550"/>
    </row>
    <row r="7854" spans="1:7" ht="12.75" customHeight="1">
      <c r="A7854" s="1667">
        <v>45127</v>
      </c>
      <c r="B7854" s="816" t="str">
        <f>TiposLancamentos!B8</f>
        <v>Aluguel</v>
      </c>
      <c r="C7854" s="1769" t="s">
        <v>8955</v>
      </c>
      <c r="D7854" s="1736"/>
      <c r="E7854" s="1734">
        <v>8</v>
      </c>
      <c r="F7854" s="1043"/>
      <c r="G7854" s="1550"/>
    </row>
    <row r="7855" spans="1:7" ht="12.75" customHeight="1">
      <c r="A7855" s="1750">
        <v>45127</v>
      </c>
      <c r="B7855" s="818" t="str">
        <f>TiposLancamentos!B9</f>
        <v>Condominio</v>
      </c>
      <c r="C7855" s="1743" t="s">
        <v>7427</v>
      </c>
      <c r="D7855" s="1737"/>
      <c r="E7855" s="1668">
        <v>616.37</v>
      </c>
      <c r="F7855" s="1291">
        <v>2520.3000000000002</v>
      </c>
      <c r="G7855" s="1550"/>
    </row>
    <row r="7856" spans="1:7" ht="12.75" customHeight="1">
      <c r="A7856" s="1754"/>
      <c r="B7856" s="125"/>
      <c r="C7856" s="1040" t="s">
        <v>1868</v>
      </c>
      <c r="D7856" s="1736"/>
      <c r="E7856" s="1043"/>
      <c r="F7856" s="1043"/>
      <c r="G7856" s="1550"/>
    </row>
    <row r="7857" spans="1:7" ht="12.75" customHeight="1">
      <c r="A7857" s="1754">
        <v>45127</v>
      </c>
      <c r="B7857" s="125" t="str">
        <f>TiposLancamentos!B19</f>
        <v>Restaurantes</v>
      </c>
      <c r="C7857" s="1859" t="s">
        <v>9078</v>
      </c>
      <c r="D7857" s="1736"/>
      <c r="E7857" s="1043">
        <v>61.89</v>
      </c>
      <c r="F7857" s="1043"/>
      <c r="G7857" s="1550"/>
    </row>
    <row r="7858" spans="1:7" ht="12.75" customHeight="1">
      <c r="A7858" s="1754">
        <v>45127</v>
      </c>
      <c r="B7858" s="125" t="str">
        <f>TiposLancamentos!B5</f>
        <v>Supermercado</v>
      </c>
      <c r="C7858" s="1040" t="s">
        <v>8718</v>
      </c>
      <c r="D7858" s="1736"/>
      <c r="E7858" s="1043">
        <v>15.18</v>
      </c>
      <c r="F7858" s="1043"/>
      <c r="G7858" s="1550"/>
    </row>
    <row r="7859" spans="1:7" ht="12.75" customHeight="1">
      <c r="A7859" s="1754">
        <v>45127</v>
      </c>
      <c r="B7859" s="125" t="str">
        <f>TiposLancamentos!B19</f>
        <v>Restaurantes</v>
      </c>
      <c r="C7859" s="1040" t="s">
        <v>9079</v>
      </c>
      <c r="D7859" s="1736"/>
      <c r="E7859" s="1043">
        <v>55.89</v>
      </c>
      <c r="F7859" s="1043"/>
      <c r="G7859" s="1550"/>
    </row>
    <row r="7860" spans="1:7" ht="12.75" customHeight="1">
      <c r="A7860" s="1754">
        <v>45128</v>
      </c>
      <c r="B7860" s="125" t="str">
        <f>TiposLancamentos!B6</f>
        <v>Energia Eletrica</v>
      </c>
      <c r="C7860" s="1040" t="s">
        <v>9080</v>
      </c>
      <c r="D7860" s="1736"/>
      <c r="E7860" s="1043">
        <v>186.47</v>
      </c>
      <c r="F7860" s="1043"/>
      <c r="G7860" s="1550"/>
    </row>
    <row r="7861" spans="1:7" ht="12.75" customHeight="1">
      <c r="A7861" s="1754">
        <v>45128</v>
      </c>
      <c r="B7861" s="125" t="str">
        <f>TiposLancamentos!B22</f>
        <v>Combustivel</v>
      </c>
      <c r="C7861" s="1040" t="s">
        <v>9081</v>
      </c>
      <c r="D7861" s="1736"/>
      <c r="E7861" s="1043">
        <v>100</v>
      </c>
      <c r="F7861" s="1043"/>
      <c r="G7861" s="1550"/>
    </row>
    <row r="7862" spans="1:7" ht="12.75" customHeight="1">
      <c r="A7862" s="1754">
        <v>45128</v>
      </c>
      <c r="B7862" s="125" t="str">
        <f>TiposLancamentos!B5</f>
        <v>Supermercado</v>
      </c>
      <c r="C7862" s="1040" t="s">
        <v>9082</v>
      </c>
      <c r="D7862" s="1736"/>
      <c r="E7862" s="1043">
        <v>14</v>
      </c>
      <c r="F7862" s="1043"/>
      <c r="G7862" s="1550"/>
    </row>
    <row r="7863" spans="1:7" ht="12.75" customHeight="1">
      <c r="A7863" s="1754">
        <v>45128</v>
      </c>
      <c r="B7863" s="125" t="str">
        <f>TiposLancamentos!B19</f>
        <v>Restaurantes</v>
      </c>
      <c r="C7863" s="1040" t="s">
        <v>9083</v>
      </c>
      <c r="D7863" s="1736"/>
      <c r="E7863" s="1043">
        <v>76.59</v>
      </c>
      <c r="F7863" s="1043"/>
      <c r="G7863" s="1550"/>
    </row>
    <row r="7864" spans="1:7" ht="12.75" customHeight="1">
      <c r="A7864" s="1754">
        <v>45128</v>
      </c>
      <c r="B7864" s="125" t="str">
        <f>TiposLancamentos!B17</f>
        <v>GATO</v>
      </c>
      <c r="C7864" s="1040" t="s">
        <v>9084</v>
      </c>
      <c r="D7864" s="1736"/>
      <c r="E7864" s="1043">
        <v>38.47</v>
      </c>
      <c r="F7864" s="1043"/>
      <c r="G7864" s="1550"/>
    </row>
    <row r="7865" spans="1:7" ht="12.75" customHeight="1">
      <c r="A7865" s="1754">
        <v>45128</v>
      </c>
      <c r="B7865" s="125" t="str">
        <f>TiposLancamentos!B13</f>
        <v>Moradia</v>
      </c>
      <c r="C7865" s="1040" t="s">
        <v>2703</v>
      </c>
      <c r="D7865" s="1736"/>
      <c r="E7865" s="1043">
        <v>15</v>
      </c>
      <c r="F7865" s="1043"/>
      <c r="G7865" s="1550"/>
    </row>
    <row r="7866" spans="1:7" ht="12.75" customHeight="1">
      <c r="A7866" s="1754">
        <v>45128</v>
      </c>
      <c r="B7866" s="125" t="str">
        <f>TiposLancamentos!B5</f>
        <v>Supermercado</v>
      </c>
      <c r="C7866" s="1040" t="s">
        <v>1884</v>
      </c>
      <c r="D7866" s="1736"/>
      <c r="E7866" s="1043">
        <v>44.07</v>
      </c>
      <c r="F7866" s="1043"/>
      <c r="G7866" s="1550"/>
    </row>
    <row r="7867" spans="1:7" ht="12.75" customHeight="1">
      <c r="A7867" s="1754">
        <v>45128</v>
      </c>
      <c r="B7867" s="125" t="str">
        <f>TiposLancamentos!B5</f>
        <v>Supermercado</v>
      </c>
      <c r="C7867" s="1040" t="s">
        <v>1884</v>
      </c>
      <c r="D7867" s="1736"/>
      <c r="E7867" s="1043">
        <v>5.49</v>
      </c>
      <c r="F7867" s="1043"/>
      <c r="G7867" s="1550"/>
    </row>
    <row r="7868" spans="1:7" ht="12.75" customHeight="1">
      <c r="A7868" s="1754">
        <v>45128</v>
      </c>
      <c r="B7868" s="125" t="str">
        <f>TiposLancamentos!B102</f>
        <v>ESTORNO</v>
      </c>
      <c r="C7868" s="1040" t="s">
        <v>9078</v>
      </c>
      <c r="D7868" s="1736">
        <v>61.89</v>
      </c>
      <c r="E7868" s="1043"/>
      <c r="F7868" s="1043"/>
      <c r="G7868" s="1550"/>
    </row>
    <row r="7869" spans="1:7" ht="12.75" customHeight="1">
      <c r="A7869" s="1754">
        <v>45129</v>
      </c>
      <c r="B7869" s="125" t="str">
        <f>TiposLancamentos!B19</f>
        <v>Restaurantes</v>
      </c>
      <c r="C7869" s="1040" t="s">
        <v>9085</v>
      </c>
      <c r="D7869" s="1736"/>
      <c r="E7869" s="1043">
        <v>95.04</v>
      </c>
      <c r="F7869" s="1043"/>
      <c r="G7869" s="1550"/>
    </row>
    <row r="7870" spans="1:7" ht="12.75" customHeight="1">
      <c r="A7870" s="1754">
        <v>45129</v>
      </c>
      <c r="B7870" s="125" t="str">
        <f>TiposLancamentos!B19</f>
        <v>Restaurantes</v>
      </c>
      <c r="C7870" s="1040" t="s">
        <v>9086</v>
      </c>
      <c r="D7870" s="1736"/>
      <c r="E7870" s="1043">
        <v>39.950000000000003</v>
      </c>
      <c r="F7870" s="1043"/>
      <c r="G7870" s="1550"/>
    </row>
    <row r="7871" spans="1:7" ht="12.75" customHeight="1">
      <c r="A7871" s="1754">
        <v>45129</v>
      </c>
      <c r="B7871" s="125" t="str">
        <f>TiposLancamentos!B24</f>
        <v>Estacionamentos</v>
      </c>
      <c r="C7871" s="1040" t="s">
        <v>3398</v>
      </c>
      <c r="D7871" s="1736"/>
      <c r="E7871" s="1043">
        <v>17</v>
      </c>
      <c r="F7871" s="1043"/>
      <c r="G7871" s="1550"/>
    </row>
    <row r="7872" spans="1:7" ht="12.75" customHeight="1">
      <c r="A7872" s="1754">
        <v>45130</v>
      </c>
      <c r="B7872" s="125" t="str">
        <f>TiposLancamentos!B5</f>
        <v>Supermercado</v>
      </c>
      <c r="C7872" s="1040" t="s">
        <v>9087</v>
      </c>
      <c r="D7872" s="1736"/>
      <c r="E7872" s="1043">
        <v>320.3</v>
      </c>
      <c r="F7872" s="1043"/>
      <c r="G7872" s="1550"/>
    </row>
    <row r="7873" spans="1:7" ht="12.75" customHeight="1" thickBot="1">
      <c r="A7873" s="1754">
        <v>45138</v>
      </c>
      <c r="B7873" s="125" t="str">
        <f>TiposLancamentos!B95</f>
        <v>Salarios</v>
      </c>
      <c r="C7873" s="1040" t="s">
        <v>9021</v>
      </c>
      <c r="D7873" s="1736">
        <v>7692.4</v>
      </c>
      <c r="E7873" s="1043"/>
      <c r="F7873" s="1043"/>
      <c r="G7873" s="1550"/>
    </row>
    <row r="7874" spans="1:7" ht="12.75" customHeight="1">
      <c r="A7874" s="1834"/>
      <c r="B7874" s="977"/>
      <c r="C7874" s="1854" t="s">
        <v>1625</v>
      </c>
      <c r="D7874" s="1823"/>
      <c r="E7874" s="1821"/>
      <c r="F7874" s="1821"/>
      <c r="G7874" s="1895"/>
    </row>
    <row r="7875" spans="1:7" ht="12.75" customHeight="1">
      <c r="A7875" s="1754">
        <v>45139</v>
      </c>
      <c r="B7875" s="125" t="str">
        <f>TiposLancamentos!B105</f>
        <v>Transf. Bco</v>
      </c>
      <c r="C7875" s="1040" t="s">
        <v>8714</v>
      </c>
      <c r="D7875" s="1736"/>
      <c r="E7875" s="1043">
        <v>176.26</v>
      </c>
      <c r="F7875" s="1043"/>
      <c r="G7875" s="1550"/>
    </row>
    <row r="7876" spans="1:7" ht="12.75" customHeight="1">
      <c r="A7876" s="1754">
        <v>45139</v>
      </c>
      <c r="B7876" s="125" t="str">
        <f>TiposLancamentos!B15</f>
        <v>Cartões de Crédito</v>
      </c>
      <c r="C7876" s="1040" t="s">
        <v>8016</v>
      </c>
      <c r="D7876" s="1736"/>
      <c r="E7876" s="1043">
        <v>722.05</v>
      </c>
      <c r="F7876" s="1043"/>
      <c r="G7876" s="1550"/>
    </row>
    <row r="7877" spans="1:7" ht="12.75" customHeight="1">
      <c r="A7877" s="1754">
        <v>45139</v>
      </c>
      <c r="B7877" s="125" t="str">
        <f>TiposLancamentos!B15</f>
        <v>Cartões de Crédito</v>
      </c>
      <c r="C7877" s="1040" t="s">
        <v>8772</v>
      </c>
      <c r="D7877" s="1736"/>
      <c r="E7877" s="1043">
        <v>910.18</v>
      </c>
      <c r="F7877" s="1043"/>
      <c r="G7877" s="1550"/>
    </row>
    <row r="7878" spans="1:7" ht="12.75" customHeight="1">
      <c r="A7878" s="1754">
        <v>45139</v>
      </c>
      <c r="B7878" s="125" t="str">
        <f>TiposLancamentos!B15</f>
        <v>Cartões de Crédito</v>
      </c>
      <c r="C7878" s="1040" t="s">
        <v>8880</v>
      </c>
      <c r="D7878" s="1736"/>
      <c r="E7878" s="1043">
        <v>32.5</v>
      </c>
      <c r="F7878" s="1043" t="s">
        <v>9088</v>
      </c>
      <c r="G7878" s="1550"/>
    </row>
    <row r="7879" spans="1:7" ht="12.75" customHeight="1">
      <c r="A7879" s="1754">
        <v>45139</v>
      </c>
      <c r="B7879" s="125" t="str">
        <f>TiposLancamentos!B5</f>
        <v>Supermercado</v>
      </c>
      <c r="C7879" s="1040" t="s">
        <v>9089</v>
      </c>
      <c r="D7879" s="1736"/>
      <c r="E7879" s="1043">
        <v>44.72</v>
      </c>
      <c r="F7879" s="1043"/>
      <c r="G7879" s="1550"/>
    </row>
    <row r="7880" spans="1:7" ht="12.75" customHeight="1">
      <c r="A7880" s="1754">
        <v>45139</v>
      </c>
      <c r="B7880" s="125" t="str">
        <f>TiposLancamentos!B66</f>
        <v>Faxineira</v>
      </c>
      <c r="C7880" s="1040" t="s">
        <v>9090</v>
      </c>
      <c r="D7880" s="1736"/>
      <c r="E7880" s="1043">
        <v>200</v>
      </c>
      <c r="F7880" s="1043"/>
      <c r="G7880" s="1550"/>
    </row>
    <row r="7881" spans="1:7" ht="12.75" customHeight="1">
      <c r="A7881" s="1666">
        <v>45139</v>
      </c>
      <c r="B7881" s="817" t="str">
        <f>TiposLancamentos!B24</f>
        <v>Estacionamentos</v>
      </c>
      <c r="C7881" s="1742" t="s">
        <v>8887</v>
      </c>
      <c r="D7881" s="1735"/>
      <c r="E7881" s="1733">
        <v>18</v>
      </c>
      <c r="F7881" s="1290"/>
      <c r="G7881" s="1550"/>
    </row>
    <row r="7882" spans="1:7" ht="12.75" customHeight="1">
      <c r="A7882" s="1750">
        <v>45139</v>
      </c>
      <c r="B7882" s="818" t="str">
        <f>TiposLancamentos!B23</f>
        <v>P208 GRIFFE 1.6 AUT BUSINESS</v>
      </c>
      <c r="C7882" s="1743" t="s">
        <v>9091</v>
      </c>
      <c r="D7882" s="1737"/>
      <c r="E7882" s="1668">
        <v>50</v>
      </c>
      <c r="F7882" s="1291">
        <f>SUM(E7881:E7882)</f>
        <v>68</v>
      </c>
      <c r="G7882" s="1550"/>
    </row>
    <row r="7883" spans="1:7" ht="12.75" customHeight="1">
      <c r="A7883" s="1754">
        <v>45139</v>
      </c>
      <c r="B7883" s="125" t="str">
        <f>TiposLancamentos!B19</f>
        <v>Restaurantes</v>
      </c>
      <c r="C7883" s="1040" t="s">
        <v>1967</v>
      </c>
      <c r="D7883" s="1736"/>
      <c r="E7883" s="1043">
        <v>48.4</v>
      </c>
      <c r="F7883" s="1043"/>
      <c r="G7883" s="1550"/>
    </row>
    <row r="7884" spans="1:7" ht="12.75" customHeight="1">
      <c r="A7884" s="1754">
        <v>45139</v>
      </c>
      <c r="B7884" s="125" t="str">
        <f>TiposLancamentos!B4</f>
        <v>Taxas Bancarias</v>
      </c>
      <c r="C7884" s="1040" t="s">
        <v>4858</v>
      </c>
      <c r="D7884" s="1736"/>
      <c r="E7884" s="1043">
        <v>15.62</v>
      </c>
      <c r="F7884" s="1043"/>
      <c r="G7884" s="1550"/>
    </row>
    <row r="7885" spans="1:7" ht="12.75" customHeight="1">
      <c r="A7885" s="1666">
        <v>45140</v>
      </c>
      <c r="B7885" s="817" t="str">
        <f>TiposLancamentos!B37</f>
        <v>Playstation 3</v>
      </c>
      <c r="C7885" s="1742" t="s">
        <v>9092</v>
      </c>
      <c r="D7885" s="1735"/>
      <c r="E7885" s="1733">
        <v>150</v>
      </c>
      <c r="F7885" s="1290"/>
      <c r="G7885" s="1550"/>
    </row>
    <row r="7886" spans="1:7" ht="12.75" customHeight="1">
      <c r="A7886" s="1667">
        <v>45140</v>
      </c>
      <c r="B7886" s="816" t="str">
        <f>TiposLancamentos!B37</f>
        <v>Playstation 3</v>
      </c>
      <c r="C7886" s="1769" t="s">
        <v>9093</v>
      </c>
      <c r="D7886" s="1736"/>
      <c r="E7886" s="1734">
        <v>150</v>
      </c>
      <c r="F7886" s="1043"/>
      <c r="G7886" s="1550"/>
    </row>
    <row r="7887" spans="1:7" ht="12.75" customHeight="1">
      <c r="A7887" s="1750">
        <v>45140</v>
      </c>
      <c r="B7887" s="818" t="str">
        <f>TiposLancamentos!B60</f>
        <v>Correio</v>
      </c>
      <c r="C7887" s="1743" t="s">
        <v>9094</v>
      </c>
      <c r="D7887" s="1737"/>
      <c r="E7887" s="1668">
        <v>27</v>
      </c>
      <c r="F7887" s="1291"/>
      <c r="G7887" s="1550"/>
    </row>
    <row r="7888" spans="1:7" ht="12.75" customHeight="1">
      <c r="A7888" s="1754">
        <v>45140</v>
      </c>
      <c r="B7888" s="125" t="str">
        <f>TiposLancamentos!B4</f>
        <v>Taxas Bancarias</v>
      </c>
      <c r="C7888" s="1040" t="s">
        <v>7681</v>
      </c>
      <c r="D7888" s="1736"/>
      <c r="E7888" s="1043">
        <v>5.9</v>
      </c>
      <c r="F7888" s="1043"/>
      <c r="G7888" s="1550"/>
    </row>
    <row r="7889" spans="1:7" ht="12.6" customHeight="1">
      <c r="A7889" s="1754">
        <v>45140</v>
      </c>
      <c r="B7889" s="125" t="str">
        <f>TiposLancamentos!B103</f>
        <v>Juros_Corr. Poupança</v>
      </c>
      <c r="C7889" s="1040" t="s">
        <v>7341</v>
      </c>
      <c r="D7889" s="1736">
        <v>0.01</v>
      </c>
      <c r="E7889" s="1043"/>
      <c r="F7889" s="1043"/>
      <c r="G7889" s="1550"/>
    </row>
    <row r="7890" spans="1:7" ht="12.75" customHeight="1">
      <c r="A7890" s="1666">
        <v>45019</v>
      </c>
      <c r="B7890" s="1862" t="str">
        <f>TiposLancamentos!B16</f>
        <v>Cristiane</v>
      </c>
      <c r="C7890" s="1744" t="s">
        <v>9095</v>
      </c>
      <c r="D7890" s="1735"/>
      <c r="E7890" s="1733">
        <v>113.55</v>
      </c>
      <c r="F7890" s="1613"/>
      <c r="G7890" s="1550"/>
    </row>
    <row r="7891" spans="1:7" ht="12.75" customHeight="1">
      <c r="A7891" s="1750">
        <v>45019</v>
      </c>
      <c r="B7891" s="1863" t="str">
        <f>TiposLancamentos!B56</f>
        <v>Farmácia</v>
      </c>
      <c r="C7891" s="1746" t="s">
        <v>8429</v>
      </c>
      <c r="D7891" s="1737"/>
      <c r="E7891" s="1668">
        <v>8.01</v>
      </c>
      <c r="F7891" s="1518">
        <f>SUM(E7890:E7891)</f>
        <v>121.56</v>
      </c>
      <c r="G7891" s="1550"/>
    </row>
    <row r="7892" spans="1:7" ht="12.75" customHeight="1">
      <c r="A7892" s="1754">
        <v>45019</v>
      </c>
      <c r="B7892" s="125" t="str">
        <f>TiposLancamentos!B19</f>
        <v>Restaurantes</v>
      </c>
      <c r="C7892" s="1040" t="s">
        <v>9096</v>
      </c>
      <c r="D7892" s="1736"/>
      <c r="E7892" s="1043">
        <v>186.45</v>
      </c>
      <c r="F7892" s="1043"/>
      <c r="G7892" s="1550"/>
    </row>
    <row r="7893" spans="1:7" ht="12.75" customHeight="1">
      <c r="A7893" s="1754">
        <v>45019</v>
      </c>
      <c r="B7893" s="125" t="str">
        <f>TiposLancamentos!B24</f>
        <v>Estacionamentos</v>
      </c>
      <c r="C7893" s="1040" t="s">
        <v>9097</v>
      </c>
      <c r="D7893" s="1736"/>
      <c r="E7893" s="1043">
        <v>12</v>
      </c>
      <c r="F7893" s="1043"/>
      <c r="G7893" s="1550"/>
    </row>
    <row r="7894" spans="1:7" ht="12.75" customHeight="1">
      <c r="A7894" s="1754">
        <v>45142</v>
      </c>
      <c r="B7894" s="125" t="str">
        <f>TiposLancamentos!B16</f>
        <v>Cristiane</v>
      </c>
      <c r="C7894" s="1040" t="s">
        <v>9098</v>
      </c>
      <c r="D7894" s="1736"/>
      <c r="E7894" s="1043">
        <v>39.9</v>
      </c>
      <c r="F7894" s="1043"/>
      <c r="G7894" s="1550"/>
    </row>
    <row r="7895" spans="1:7" ht="12.75" customHeight="1">
      <c r="A7895" s="1754">
        <v>45142</v>
      </c>
      <c r="B7895" s="125" t="str">
        <f>TiposLancamentos!B13</f>
        <v>Moradia</v>
      </c>
      <c r="C7895" s="1040" t="s">
        <v>9099</v>
      </c>
      <c r="D7895" s="1736"/>
      <c r="E7895" s="1043">
        <v>15</v>
      </c>
      <c r="F7895" s="1043"/>
      <c r="G7895" s="1550"/>
    </row>
    <row r="7896" spans="1:7" ht="12.75" customHeight="1">
      <c r="A7896" s="1754">
        <v>45142</v>
      </c>
      <c r="B7896" s="125" t="str">
        <f>TiposLancamentos!B19</f>
        <v>Restaurantes</v>
      </c>
      <c r="C7896" s="1040" t="s">
        <v>8686</v>
      </c>
      <c r="D7896" s="1736"/>
      <c r="E7896" s="1043">
        <v>78</v>
      </c>
      <c r="F7896" s="1043"/>
      <c r="G7896" s="1550"/>
    </row>
    <row r="7897" spans="1:7" ht="12.75" customHeight="1">
      <c r="A7897" s="1754">
        <v>45143</v>
      </c>
      <c r="B7897" s="125" t="str">
        <f>TiposLancamentos!B19</f>
        <v>Restaurantes</v>
      </c>
      <c r="C7897" s="1040" t="s">
        <v>9100</v>
      </c>
      <c r="D7897" s="1736"/>
      <c r="E7897" s="1043">
        <v>20</v>
      </c>
      <c r="F7897" s="1043"/>
      <c r="G7897" s="1550"/>
    </row>
    <row r="7898" spans="1:7" ht="12.75" customHeight="1">
      <c r="A7898" s="1754">
        <v>45143</v>
      </c>
      <c r="B7898" s="125" t="str">
        <f>TiposLancamentos!B19</f>
        <v>Restaurantes</v>
      </c>
      <c r="C7898" s="1040" t="s">
        <v>9101</v>
      </c>
      <c r="D7898" s="1736"/>
      <c r="E7898" s="1043">
        <v>45</v>
      </c>
      <c r="F7898" s="1043"/>
      <c r="G7898" s="1550"/>
    </row>
    <row r="7899" spans="1:7" ht="12.75" customHeight="1">
      <c r="A7899" s="1666">
        <v>45143</v>
      </c>
      <c r="B7899" s="817" t="str">
        <f>TiposLancamentos!B38</f>
        <v>Playstation 4</v>
      </c>
      <c r="C7899" s="1742" t="s">
        <v>9102</v>
      </c>
      <c r="D7899" s="1735"/>
      <c r="E7899" s="1733">
        <v>105</v>
      </c>
      <c r="F7899" s="1290"/>
      <c r="G7899" s="1550"/>
    </row>
    <row r="7900" spans="1:7" ht="12.75" customHeight="1">
      <c r="A7900" s="1667">
        <v>45143</v>
      </c>
      <c r="B7900" s="816" t="str">
        <f>TiposLancamentos!B41</f>
        <v>PSP Slim 3k</v>
      </c>
      <c r="C7900" s="1769" t="s">
        <v>9103</v>
      </c>
      <c r="D7900" s="1736"/>
      <c r="E7900" s="1734">
        <v>29.9</v>
      </c>
      <c r="F7900" s="1043"/>
      <c r="G7900" s="1550"/>
    </row>
    <row r="7901" spans="1:7" ht="12.75" customHeight="1">
      <c r="A7901" s="1750">
        <v>45143</v>
      </c>
      <c r="B7901" s="818" t="str">
        <f>TiposLancamentos!B60</f>
        <v>Correio</v>
      </c>
      <c r="C7901" s="1743" t="s">
        <v>9104</v>
      </c>
      <c r="D7901" s="1737"/>
      <c r="E7901" s="1668">
        <v>15.8</v>
      </c>
      <c r="F7901" s="1291">
        <f>SUM(E7899:E7901)</f>
        <v>150.70000000000002</v>
      </c>
      <c r="G7901" s="1550"/>
    </row>
    <row r="7902" spans="1:7" ht="12.75" customHeight="1">
      <c r="A7902" s="1754"/>
      <c r="B7902" s="125"/>
      <c r="C7902" s="1040" t="s">
        <v>1868</v>
      </c>
      <c r="D7902" s="1736"/>
      <c r="E7902" s="1043"/>
      <c r="F7902" s="1043"/>
      <c r="G7902" s="1550"/>
    </row>
    <row r="7903" spans="1:7" ht="12.75" customHeight="1">
      <c r="A7903" s="1754">
        <v>45143</v>
      </c>
      <c r="B7903" s="125" t="str">
        <f>TiposLancamentos!B19</f>
        <v>Restaurantes</v>
      </c>
      <c r="C7903" s="1040" t="s">
        <v>1934</v>
      </c>
      <c r="D7903" s="1736"/>
      <c r="E7903" s="1043">
        <v>47.7</v>
      </c>
      <c r="F7903" s="1043"/>
      <c r="G7903" s="1550"/>
    </row>
    <row r="7904" spans="1:7" ht="12.75" customHeight="1">
      <c r="A7904" s="1754">
        <v>45144</v>
      </c>
      <c r="B7904" s="125" t="str">
        <f>TiposLancamentos!B19</f>
        <v>Restaurantes</v>
      </c>
      <c r="C7904" s="1040" t="s">
        <v>9105</v>
      </c>
      <c r="D7904" s="1736"/>
      <c r="E7904" s="1043">
        <v>91.5</v>
      </c>
      <c r="F7904" s="1043"/>
      <c r="G7904" s="1550"/>
    </row>
    <row r="7905" spans="1:7" ht="12.75" customHeight="1">
      <c r="A7905" s="1754">
        <v>45145</v>
      </c>
      <c r="B7905" s="125" t="str">
        <f>TiposLancamentos!B4</f>
        <v>Taxas Bancarias</v>
      </c>
      <c r="C7905" s="1040" t="s">
        <v>8778</v>
      </c>
      <c r="D7905" s="1736"/>
      <c r="E7905" s="1043">
        <v>77.150000000000006</v>
      </c>
      <c r="F7905" s="1043"/>
      <c r="G7905" s="1550"/>
    </row>
    <row r="7906" spans="1:7" ht="12.75" customHeight="1">
      <c r="A7906" s="1754">
        <v>45145</v>
      </c>
      <c r="B7906" s="125" t="str">
        <f>TiposLancamentos!B4</f>
        <v>Taxas Bancarias</v>
      </c>
      <c r="C7906" s="1040" t="s">
        <v>9106</v>
      </c>
      <c r="D7906" s="1736"/>
      <c r="E7906" s="1043">
        <v>4.9800000000000004</v>
      </c>
      <c r="F7906" s="1043"/>
      <c r="G7906" s="1550"/>
    </row>
    <row r="7907" spans="1:7" ht="12.75" customHeight="1">
      <c r="A7907" s="1754">
        <v>45145</v>
      </c>
      <c r="B7907" s="125" t="str">
        <f>TiposLancamentos!B103</f>
        <v>Juros_Corr. Poupança</v>
      </c>
      <c r="C7907" s="1040" t="s">
        <v>7341</v>
      </c>
      <c r="D7907" s="1736">
        <v>0.02</v>
      </c>
      <c r="E7907" s="1043"/>
      <c r="F7907" s="1043"/>
      <c r="G7907" s="1550"/>
    </row>
    <row r="7908" spans="1:7" ht="12.75" customHeight="1">
      <c r="A7908" s="1754">
        <v>45146</v>
      </c>
      <c r="B7908" s="125" t="str">
        <f>TiposLancamentos!B14</f>
        <v>Gás de cozinha</v>
      </c>
      <c r="C7908" s="1040" t="s">
        <v>9107</v>
      </c>
      <c r="D7908" s="1736"/>
      <c r="E7908" s="1043">
        <v>60.02</v>
      </c>
      <c r="F7908" s="1043"/>
      <c r="G7908" s="1550"/>
    </row>
    <row r="7909" spans="1:7" ht="12.75" customHeight="1">
      <c r="A7909" s="1754">
        <v>45149</v>
      </c>
      <c r="B7909" s="125" t="str">
        <f>TiposLancamentos!B19</f>
        <v>Restaurantes</v>
      </c>
      <c r="C7909" s="1040" t="s">
        <v>9108</v>
      </c>
      <c r="D7909" s="1736"/>
      <c r="E7909" s="1043">
        <v>145.91999999999999</v>
      </c>
      <c r="F7909" s="1043"/>
      <c r="G7909" s="1550"/>
    </row>
    <row r="7910" spans="1:7" ht="12.75" customHeight="1">
      <c r="A7910" s="1754">
        <v>45149</v>
      </c>
      <c r="B7910" s="125" t="str">
        <f>TiposLancamentos!B19</f>
        <v>Restaurantes</v>
      </c>
      <c r="C7910" s="1040" t="s">
        <v>9109</v>
      </c>
      <c r="D7910" s="1736"/>
      <c r="E7910" s="1043">
        <v>122.41</v>
      </c>
      <c r="F7910" s="1043"/>
      <c r="G7910" s="1550"/>
    </row>
    <row r="7911" spans="1:7" ht="12.75" customHeight="1">
      <c r="A7911" s="1754">
        <v>45150</v>
      </c>
      <c r="B7911" s="125" t="str">
        <f>TiposLancamentos!B41</f>
        <v>PSP Slim 3k</v>
      </c>
      <c r="C7911" s="1040" t="s">
        <v>9110</v>
      </c>
      <c r="D7911" s="1736"/>
      <c r="E7911" s="1043">
        <v>80</v>
      </c>
      <c r="F7911" s="1043"/>
      <c r="G7911" s="1550"/>
    </row>
    <row r="7912" spans="1:7" ht="12.75" customHeight="1">
      <c r="A7912" s="1754">
        <v>45150</v>
      </c>
      <c r="B7912" s="125" t="str">
        <f>TiposLancamentos!B19</f>
        <v>Restaurantes</v>
      </c>
      <c r="C7912" s="1040" t="s">
        <v>9111</v>
      </c>
      <c r="D7912" s="1736"/>
      <c r="E7912" s="1043">
        <v>95.64</v>
      </c>
      <c r="F7912" s="1043"/>
      <c r="G7912" s="1550"/>
    </row>
    <row r="7913" spans="1:7" ht="12.75" customHeight="1">
      <c r="A7913" s="1754">
        <v>45150</v>
      </c>
      <c r="B7913" s="125" t="str">
        <f>TiposLancamentos!B56</f>
        <v>Farmácia</v>
      </c>
      <c r="C7913" s="1040" t="s">
        <v>9112</v>
      </c>
      <c r="D7913" s="1736"/>
      <c r="E7913" s="1043">
        <v>151.38</v>
      </c>
      <c r="F7913" s="1043"/>
      <c r="G7913" s="1550"/>
    </row>
    <row r="7914" spans="1:7" ht="12.75" customHeight="1">
      <c r="A7914" s="1754">
        <v>45150</v>
      </c>
      <c r="B7914" s="125" t="str">
        <f>B7912</f>
        <v>Restaurantes</v>
      </c>
      <c r="C7914" s="1040" t="s">
        <v>9113</v>
      </c>
      <c r="D7914" s="1736"/>
      <c r="E7914" s="1043">
        <v>28.36</v>
      </c>
      <c r="F7914" s="1043"/>
      <c r="G7914" s="1550"/>
    </row>
    <row r="7915" spans="1:7" ht="12.75" customHeight="1">
      <c r="A7915" s="1754">
        <v>45150</v>
      </c>
      <c r="B7915" s="125" t="str">
        <f>TiposLancamentos!B24</f>
        <v>Estacionamentos</v>
      </c>
      <c r="C7915" s="1040" t="s">
        <v>3398</v>
      </c>
      <c r="D7915" s="1736"/>
      <c r="E7915" s="1043">
        <v>13</v>
      </c>
      <c r="F7915" s="1043"/>
      <c r="G7915" s="1550"/>
    </row>
    <row r="7916" spans="1:7" ht="12.75" customHeight="1">
      <c r="A7916" s="1754">
        <v>45151</v>
      </c>
      <c r="B7916" s="125" t="str">
        <f>TiposLancamentos!B19</f>
        <v>Restaurantes</v>
      </c>
      <c r="C7916" s="1040" t="s">
        <v>8686</v>
      </c>
      <c r="D7916" s="1736"/>
      <c r="E7916" s="1043">
        <v>72</v>
      </c>
      <c r="F7916" s="1043"/>
      <c r="G7916" s="1550"/>
    </row>
    <row r="7917" spans="1:7" ht="12.75" customHeight="1">
      <c r="A7917" s="1754">
        <v>45152</v>
      </c>
      <c r="B7917" s="125" t="str">
        <f>TiposLancamentos!B103</f>
        <v>Juros_Corr. Poupança</v>
      </c>
      <c r="C7917" s="1040" t="s">
        <v>7341</v>
      </c>
      <c r="D7917" s="1736">
        <v>0.02</v>
      </c>
      <c r="E7917" s="1043"/>
      <c r="F7917" s="1043"/>
      <c r="G7917" s="1550"/>
    </row>
    <row r="7918" spans="1:7" ht="12.75" customHeight="1">
      <c r="A7918" s="1754">
        <v>45153</v>
      </c>
      <c r="B7918" s="125" t="str">
        <f>TiposLancamentos!B46</f>
        <v>Maçonaria</v>
      </c>
      <c r="C7918" s="1040" t="s">
        <v>9114</v>
      </c>
      <c r="D7918" s="1736"/>
      <c r="E7918" s="1043">
        <v>210</v>
      </c>
      <c r="F7918" s="1043"/>
      <c r="G7918" s="1550"/>
    </row>
    <row r="7919" spans="1:7" ht="12.75" customHeight="1">
      <c r="A7919" s="1754">
        <v>45153</v>
      </c>
      <c r="B7919" s="116"/>
      <c r="C7919" s="1040" t="s">
        <v>1868</v>
      </c>
      <c r="D7919" s="1736">
        <v>0</v>
      </c>
      <c r="E7919" s="1043">
        <v>0</v>
      </c>
      <c r="F7919" s="1664"/>
      <c r="G7919" s="1550"/>
    </row>
    <row r="7920" spans="1:7" ht="12.75" customHeight="1">
      <c r="A7920" s="1666">
        <v>45153</v>
      </c>
      <c r="B7920" s="817" t="str">
        <f>TiposLancamentos!B35</f>
        <v>Tv à Cabo</v>
      </c>
      <c r="C7920" s="1742" t="s">
        <v>5834</v>
      </c>
      <c r="D7920" s="1735"/>
      <c r="E7920" s="1733">
        <f>F7922-(E7921+E7922)</f>
        <v>110.28</v>
      </c>
      <c r="F7920" s="1290"/>
      <c r="G7920" s="1550"/>
    </row>
    <row r="7921" spans="1:7" ht="12.75" customHeight="1">
      <c r="A7921" s="1667">
        <v>45153</v>
      </c>
      <c r="B7921" s="816" t="str">
        <f>TiposLancamentos!B3</f>
        <v>Internet</v>
      </c>
      <c r="C7921" s="1769" t="s">
        <v>5835</v>
      </c>
      <c r="D7921" s="1736"/>
      <c r="E7921" s="1734">
        <v>143.43</v>
      </c>
      <c r="F7921" s="1043"/>
      <c r="G7921" s="1550"/>
    </row>
    <row r="7922" spans="1:7" ht="12.75" customHeight="1">
      <c r="A7922" s="1750">
        <v>45153</v>
      </c>
      <c r="B7922" s="818" t="str">
        <f>TiposLancamentos!B2</f>
        <v>Telefonia</v>
      </c>
      <c r="C7922" s="1743" t="s">
        <v>7210</v>
      </c>
      <c r="D7922" s="1737"/>
      <c r="E7922" s="1668">
        <v>0</v>
      </c>
      <c r="F7922" s="1291">
        <v>253.71</v>
      </c>
      <c r="G7922" s="1550"/>
    </row>
    <row r="7923" spans="1:7" ht="12.75" customHeight="1">
      <c r="A7923" s="1754">
        <v>45153</v>
      </c>
      <c r="B7923" s="116"/>
      <c r="C7923" s="1040" t="s">
        <v>1868</v>
      </c>
      <c r="D7923" s="1736">
        <v>0</v>
      </c>
      <c r="E7923" s="1043"/>
      <c r="F7923" s="1043"/>
      <c r="G7923" s="1550"/>
    </row>
    <row r="7924" spans="1:7" ht="12.75" customHeight="1">
      <c r="A7924" s="1754">
        <v>45153</v>
      </c>
      <c r="B7924" s="125" t="str">
        <f>TiposLancamentos!B2</f>
        <v>Telefonia</v>
      </c>
      <c r="C7924" s="1040" t="s">
        <v>8797</v>
      </c>
      <c r="D7924" s="1736"/>
      <c r="E7924" s="1043">
        <v>59.89</v>
      </c>
      <c r="F7924" s="1043"/>
      <c r="G7924" s="1550"/>
    </row>
    <row r="7925" spans="1:7" ht="12.75" customHeight="1">
      <c r="A7925" s="1754">
        <v>45153</v>
      </c>
      <c r="B7925" s="125" t="str">
        <f>TiposLancamentos!B67</f>
        <v>Lavanderia</v>
      </c>
      <c r="C7925" s="1040" t="s">
        <v>9115</v>
      </c>
      <c r="D7925" s="1736"/>
      <c r="E7925" s="1043">
        <v>48</v>
      </c>
      <c r="F7925" s="1043"/>
      <c r="G7925" s="1550"/>
    </row>
    <row r="7926" spans="1:7" ht="12.75" customHeight="1">
      <c r="A7926" s="1754">
        <v>45153</v>
      </c>
      <c r="B7926" s="125" t="str">
        <f>TiposLancamentos!B22</f>
        <v>Combustivel</v>
      </c>
      <c r="C7926" s="1040" t="s">
        <v>8886</v>
      </c>
      <c r="D7926" s="1736"/>
      <c r="E7926" s="1043">
        <v>100</v>
      </c>
      <c r="F7926" s="1043"/>
      <c r="G7926" s="1550"/>
    </row>
    <row r="7927" spans="1:7" ht="12.75" customHeight="1">
      <c r="A7927" s="1754">
        <v>45153</v>
      </c>
      <c r="B7927" s="125" t="str">
        <f>TiposLancamentos!B24</f>
        <v>Estacionamentos</v>
      </c>
      <c r="C7927" s="1040" t="s">
        <v>8952</v>
      </c>
      <c r="D7927" s="1736"/>
      <c r="E7927" s="1043">
        <v>18</v>
      </c>
      <c r="F7927" s="1043"/>
      <c r="G7927" s="1550"/>
    </row>
    <row r="7928" spans="1:7" ht="12.75" customHeight="1">
      <c r="A7928" s="1754">
        <v>45153</v>
      </c>
      <c r="B7928" s="125" t="str">
        <f>TiposLancamentos!B19</f>
        <v>Restaurantes</v>
      </c>
      <c r="C7928" s="1040" t="s">
        <v>1967</v>
      </c>
      <c r="D7928" s="1736"/>
      <c r="E7928" s="1043">
        <v>48.4</v>
      </c>
      <c r="F7928" s="1043"/>
      <c r="G7928" s="1550"/>
    </row>
    <row r="7929" spans="1:7" ht="12.75" customHeight="1">
      <c r="A7929" s="1754">
        <v>45123</v>
      </c>
      <c r="B7929" s="125" t="str">
        <f>TiposLancamentos!B19</f>
        <v>Restaurantes</v>
      </c>
      <c r="C7929" s="1040" t="s">
        <v>9116</v>
      </c>
      <c r="D7929" s="1736"/>
      <c r="E7929" s="1043">
        <v>71</v>
      </c>
      <c r="F7929" s="1043"/>
      <c r="G7929" s="1550"/>
    </row>
    <row r="7930" spans="1:7" ht="12.75" customHeight="1">
      <c r="A7930" s="1754">
        <v>45157</v>
      </c>
      <c r="B7930" s="125" t="str">
        <f>TiposLancamentos!B57</f>
        <v>Informática</v>
      </c>
      <c r="C7930" s="1040" t="s">
        <v>9117</v>
      </c>
      <c r="D7930" s="1736"/>
      <c r="E7930" s="1043">
        <v>25</v>
      </c>
      <c r="F7930" s="1043"/>
      <c r="G7930" s="1550"/>
    </row>
    <row r="7931" spans="1:7" ht="12.75" customHeight="1">
      <c r="A7931" s="1754">
        <v>45157</v>
      </c>
      <c r="B7931" s="125" t="str">
        <f>TiposLancamentos!B19</f>
        <v>Restaurantes</v>
      </c>
      <c r="C7931" s="1040" t="s">
        <v>3680</v>
      </c>
      <c r="D7931" s="1736"/>
      <c r="E7931" s="1043">
        <v>16</v>
      </c>
      <c r="F7931" s="1043"/>
      <c r="G7931" s="1550"/>
    </row>
    <row r="7932" spans="1:7" ht="12.75" customHeight="1">
      <c r="A7932" s="1754">
        <v>45157</v>
      </c>
      <c r="B7932" s="125" t="str">
        <f>TiposLancamentos!B24</f>
        <v>Estacionamentos</v>
      </c>
      <c r="C7932" s="1040" t="s">
        <v>3398</v>
      </c>
      <c r="D7932" s="1736"/>
      <c r="E7932" s="1043">
        <v>9</v>
      </c>
      <c r="F7932" s="1043"/>
      <c r="G7932" s="1550"/>
    </row>
    <row r="7933" spans="1:7" ht="12.75" customHeight="1">
      <c r="A7933" s="1754">
        <v>45157</v>
      </c>
      <c r="B7933" s="125" t="str">
        <f>TiposLancamentos!B19</f>
        <v>Restaurantes</v>
      </c>
      <c r="C7933" s="1040" t="s">
        <v>1923</v>
      </c>
      <c r="D7933" s="1736"/>
      <c r="E7933" s="1043">
        <v>47.7</v>
      </c>
      <c r="F7933" s="1043"/>
      <c r="G7933" s="1550"/>
    </row>
    <row r="7934" spans="1:7" ht="12.75" customHeight="1">
      <c r="A7934" s="1754">
        <v>45158</v>
      </c>
      <c r="B7934" s="125" t="str">
        <f>TiposLancamentos!B56</f>
        <v>Farmácia</v>
      </c>
      <c r="C7934" s="1040" t="s">
        <v>9118</v>
      </c>
      <c r="D7934" s="1736"/>
      <c r="E7934" s="1043">
        <v>66.84</v>
      </c>
      <c r="F7934" s="1043"/>
      <c r="G7934" s="1550"/>
    </row>
    <row r="7935" spans="1:7" ht="12.75" customHeight="1">
      <c r="A7935" s="1754">
        <v>45158</v>
      </c>
      <c r="B7935" s="125" t="str">
        <f>TiposLancamentos!B5</f>
        <v>Supermercado</v>
      </c>
      <c r="C7935" s="1040" t="s">
        <v>9119</v>
      </c>
      <c r="D7935" s="1736"/>
      <c r="E7935" s="1043">
        <v>40.4</v>
      </c>
      <c r="F7935" s="1043"/>
      <c r="G7935" s="1550"/>
    </row>
    <row r="7936" spans="1:7" ht="12.75" customHeight="1">
      <c r="A7936" s="1754"/>
      <c r="B7936" s="125"/>
      <c r="C7936" s="1040" t="s">
        <v>1868</v>
      </c>
      <c r="D7936" s="1736"/>
      <c r="E7936" s="1043"/>
      <c r="F7936" s="1043"/>
      <c r="G7936" s="1550"/>
    </row>
    <row r="7937" spans="1:7" ht="12.75" customHeight="1">
      <c r="A7937" s="1666">
        <v>45159</v>
      </c>
      <c r="B7937" s="817" t="str">
        <f>TiposLancamentos!B8</f>
        <v>Aluguel</v>
      </c>
      <c r="C7937" s="1742" t="s">
        <v>9047</v>
      </c>
      <c r="D7937" s="1735"/>
      <c r="E7937" s="1733">
        <f>F7942-SUM(E7938:E7942)</f>
        <v>1631.75</v>
      </c>
      <c r="F7937" s="1346"/>
      <c r="G7937" s="1550"/>
    </row>
    <row r="7938" spans="1:7" ht="12.75" customHeight="1">
      <c r="A7938" s="1667">
        <v>45159</v>
      </c>
      <c r="B7938" s="816" t="str">
        <f>TiposLancamentos!B12</f>
        <v>IPTU</v>
      </c>
      <c r="C7938" s="1769" t="s">
        <v>9048</v>
      </c>
      <c r="D7938" s="1736"/>
      <c r="E7938" s="1734">
        <v>34.5</v>
      </c>
      <c r="F7938" s="1043"/>
      <c r="G7938" s="1550"/>
    </row>
    <row r="7939" spans="1:7" ht="12.75" customHeight="1">
      <c r="A7939" s="1667">
        <v>45159</v>
      </c>
      <c r="B7939" s="816" t="str">
        <f>TiposLancamentos!B10</f>
        <v>Distr. Água Municipal</v>
      </c>
      <c r="C7939" s="1769" t="s">
        <v>7423</v>
      </c>
      <c r="D7939" s="1736"/>
      <c r="E7939" s="1734">
        <v>66.540000000000006</v>
      </c>
      <c r="F7939" s="1043"/>
      <c r="G7939" s="1550"/>
    </row>
    <row r="7940" spans="1:7" ht="12.75" customHeight="1">
      <c r="A7940" s="1667">
        <v>45159</v>
      </c>
      <c r="B7940" s="816" t="str">
        <f>TiposLancamentos!B11</f>
        <v>Coleta Municipal Lixo</v>
      </c>
      <c r="C7940" s="1769" t="s">
        <v>7424</v>
      </c>
      <c r="D7940" s="1736"/>
      <c r="E7940" s="1734">
        <v>44.36</v>
      </c>
      <c r="F7940" s="1043"/>
      <c r="G7940" s="1550"/>
    </row>
    <row r="7941" spans="1:7" ht="12.75" customHeight="1">
      <c r="A7941" s="1667">
        <v>45159</v>
      </c>
      <c r="B7941" s="816" t="str">
        <f>TiposLancamentos!B8</f>
        <v>Aluguel</v>
      </c>
      <c r="C7941" s="1769" t="s">
        <v>8955</v>
      </c>
      <c r="D7941" s="1736"/>
      <c r="E7941" s="1734">
        <v>8</v>
      </c>
      <c r="F7941" s="1043"/>
      <c r="G7941" s="1550"/>
    </row>
    <row r="7942" spans="1:7" ht="12.75" customHeight="1">
      <c r="A7942" s="1750">
        <v>45159</v>
      </c>
      <c r="B7942" s="818" t="str">
        <f>TiposLancamentos!B9</f>
        <v>Condominio</v>
      </c>
      <c r="C7942" s="1743" t="s">
        <v>7427</v>
      </c>
      <c r="D7942" s="1737"/>
      <c r="E7942" s="1668">
        <v>616.37</v>
      </c>
      <c r="F7942" s="1291">
        <v>2401.52</v>
      </c>
      <c r="G7942" s="1550"/>
    </row>
    <row r="7943" spans="1:7" ht="12.75" customHeight="1">
      <c r="A7943" s="1754"/>
      <c r="B7943" s="125"/>
      <c r="C7943" s="1040" t="s">
        <v>1868</v>
      </c>
      <c r="D7943" s="1736"/>
      <c r="E7943" s="1043"/>
      <c r="F7943" s="1043"/>
      <c r="G7943" s="1550"/>
    </row>
    <row r="7944" spans="1:7" ht="12.75" customHeight="1">
      <c r="A7944" s="1754">
        <v>45159</v>
      </c>
      <c r="B7944" s="125" t="str">
        <f>TiposLancamentos!B6</f>
        <v>Energia Eletrica</v>
      </c>
      <c r="C7944" s="1040" t="s">
        <v>9120</v>
      </c>
      <c r="D7944" s="1736"/>
      <c r="E7944" s="1043">
        <v>187.26</v>
      </c>
      <c r="F7944" s="1043"/>
      <c r="G7944" s="1550"/>
    </row>
    <row r="7945" spans="1:7" ht="12.75" customHeight="1">
      <c r="A7945" s="1754">
        <v>45159</v>
      </c>
      <c r="B7945" s="125" t="str">
        <f>TiposLancamentos!B19</f>
        <v>Restaurantes</v>
      </c>
      <c r="C7945" s="1040" t="s">
        <v>9121</v>
      </c>
      <c r="D7945" s="1736"/>
      <c r="E7945" s="1043">
        <v>82.2</v>
      </c>
      <c r="F7945" s="1043"/>
      <c r="G7945" s="1550"/>
    </row>
    <row r="7946" spans="1:7" ht="12.75" customHeight="1">
      <c r="A7946" s="1754">
        <v>45161</v>
      </c>
      <c r="B7946" s="125" t="str">
        <f>TiposLancamentos!B19</f>
        <v>Restaurantes</v>
      </c>
      <c r="C7946" s="1040" t="s">
        <v>9122</v>
      </c>
      <c r="D7946" s="1736"/>
      <c r="E7946" s="1043">
        <v>96.4</v>
      </c>
      <c r="F7946" s="1043"/>
      <c r="G7946" s="1550"/>
    </row>
    <row r="7947" spans="1:7" ht="12.75" customHeight="1">
      <c r="A7947" s="1754">
        <v>45163</v>
      </c>
      <c r="B7947" s="125" t="str">
        <f>TiposLancamentos!B13</f>
        <v>Moradia</v>
      </c>
      <c r="C7947" s="1040" t="s">
        <v>3682</v>
      </c>
      <c r="D7947" s="1736"/>
      <c r="E7947" s="1043">
        <v>15</v>
      </c>
      <c r="F7947" s="1043"/>
      <c r="G7947" s="1550"/>
    </row>
    <row r="7948" spans="1:7" ht="12.75" customHeight="1">
      <c r="A7948" s="1754">
        <v>45163</v>
      </c>
      <c r="B7948" s="125" t="str">
        <f>TiposLancamentos!B19</f>
        <v>Restaurantes</v>
      </c>
      <c r="C7948" s="1040" t="s">
        <v>9123</v>
      </c>
      <c r="D7948" s="1736"/>
      <c r="E7948" s="1043">
        <v>103.89</v>
      </c>
      <c r="F7948" s="1043"/>
      <c r="G7948" s="1550"/>
    </row>
    <row r="7949" spans="1:7" ht="12.75" customHeight="1">
      <c r="A7949" s="1754">
        <v>45164</v>
      </c>
      <c r="B7949" s="125" t="str">
        <f>TiposLancamentos!B37</f>
        <v>Playstation 3</v>
      </c>
      <c r="C7949" s="1040" t="s">
        <v>9124</v>
      </c>
      <c r="D7949" s="1736"/>
      <c r="E7949" s="1043">
        <v>50</v>
      </c>
      <c r="F7949" s="1043"/>
      <c r="G7949" s="1550"/>
    </row>
    <row r="7950" spans="1:7" ht="12.75" customHeight="1">
      <c r="A7950" s="1754">
        <v>45164</v>
      </c>
      <c r="B7950" s="125" t="str">
        <f>TiposLancamentos!B16</f>
        <v>Cristiane</v>
      </c>
      <c r="C7950" s="1040" t="s">
        <v>9125</v>
      </c>
      <c r="D7950" s="1736"/>
      <c r="E7950" s="1043">
        <v>20</v>
      </c>
      <c r="F7950" s="1043"/>
      <c r="G7950" s="1550"/>
    </row>
    <row r="7951" spans="1:7" ht="12.75" customHeight="1">
      <c r="A7951" s="1754">
        <v>45164</v>
      </c>
      <c r="B7951" s="125" t="str">
        <f>TiposLancamentos!B24</f>
        <v>Estacionamentos</v>
      </c>
      <c r="C7951" s="1040" t="s">
        <v>2014</v>
      </c>
      <c r="D7951" s="1736"/>
      <c r="E7951" s="1043">
        <v>13</v>
      </c>
      <c r="F7951" s="1043"/>
      <c r="G7951" s="1550"/>
    </row>
    <row r="7952" spans="1:7" ht="12.75" customHeight="1">
      <c r="A7952" s="1754">
        <v>45165</v>
      </c>
      <c r="B7952" s="125" t="str">
        <f>TiposLancamentos!B19</f>
        <v>Restaurantes</v>
      </c>
      <c r="C7952" s="1040" t="s">
        <v>9126</v>
      </c>
      <c r="D7952" s="1736"/>
      <c r="E7952" s="1043">
        <v>114.4</v>
      </c>
      <c r="F7952" s="1043"/>
      <c r="G7952" s="1550"/>
    </row>
    <row r="7953" spans="1:7" ht="12.75" customHeight="1">
      <c r="A7953" s="1754">
        <v>45166</v>
      </c>
      <c r="B7953" s="125" t="str">
        <f>TiposLancamentos!B40</f>
        <v>PS Vita Slim 2k</v>
      </c>
      <c r="C7953" s="1040" t="s">
        <v>9127</v>
      </c>
      <c r="D7953" s="1736"/>
      <c r="E7953" s="1043">
        <v>110</v>
      </c>
      <c r="F7953" s="1043"/>
      <c r="G7953" s="1550"/>
    </row>
    <row r="7954" spans="1:7" ht="12.75" customHeight="1">
      <c r="A7954" s="1754">
        <v>45167</v>
      </c>
      <c r="B7954" s="125" t="str">
        <f>TiposLancamentos!B88</f>
        <v>Ford Ecosport XLT</v>
      </c>
      <c r="C7954" s="1040" t="s">
        <v>9128</v>
      </c>
      <c r="D7954" s="1736"/>
      <c r="E7954" s="1043">
        <v>155.22999999999999</v>
      </c>
      <c r="F7954" s="1043"/>
      <c r="G7954" s="1550"/>
    </row>
    <row r="7955" spans="1:7" ht="12.75" customHeight="1">
      <c r="A7955" s="1754">
        <v>45169</v>
      </c>
      <c r="B7955" s="125" t="str">
        <f>TiposLancamentos!B95</f>
        <v>Salarios</v>
      </c>
      <c r="C7955" s="1040" t="s">
        <v>9021</v>
      </c>
      <c r="D7955" s="1736">
        <v>7757.64</v>
      </c>
      <c r="E7955" s="1043"/>
      <c r="F7955" s="1043"/>
      <c r="G7955" s="1550"/>
    </row>
    <row r="7956" spans="1:7" ht="12.75" customHeight="1">
      <c r="A7956" s="1754">
        <v>45169</v>
      </c>
      <c r="B7956" s="125" t="str">
        <f>TiposLancamentos!B52</f>
        <v>Multas</v>
      </c>
      <c r="C7956" s="1040" t="s">
        <v>9129</v>
      </c>
      <c r="D7956" s="1736"/>
      <c r="E7956" s="1043">
        <v>104.13</v>
      </c>
      <c r="F7956" s="1043"/>
      <c r="G7956" s="1550"/>
    </row>
    <row r="7957" spans="1:7" ht="12.75" customHeight="1" thickBot="1">
      <c r="A7957" s="1754">
        <v>45169</v>
      </c>
      <c r="B7957" s="125" t="str">
        <f>TiposLancamentos!B60</f>
        <v>Correio</v>
      </c>
      <c r="C7957" s="1040" t="s">
        <v>9130</v>
      </c>
      <c r="D7957" s="1736"/>
      <c r="E7957" s="1043">
        <v>27.3</v>
      </c>
      <c r="F7957" s="1043"/>
      <c r="G7957" s="1550"/>
    </row>
    <row r="7958" spans="1:7" ht="12.75" customHeight="1">
      <c r="A7958" s="1834"/>
      <c r="B7958" s="977"/>
      <c r="C7958" s="1854" t="s">
        <v>1626</v>
      </c>
      <c r="D7958" s="1823"/>
      <c r="E7958" s="1821"/>
      <c r="F7958" s="1821"/>
      <c r="G7958" s="1895"/>
    </row>
    <row r="7959" spans="1:7" ht="12.75" customHeight="1">
      <c r="A7959" s="1754">
        <v>45170</v>
      </c>
      <c r="B7959" s="125" t="str">
        <f>TiposLancamentos!B105</f>
        <v>Transf. Bco</v>
      </c>
      <c r="C7959" s="1040" t="s">
        <v>8714</v>
      </c>
      <c r="D7959" s="1736"/>
      <c r="E7959" s="1043">
        <v>697.99</v>
      </c>
      <c r="F7959" s="1043"/>
      <c r="G7959" s="1550"/>
    </row>
    <row r="7960" spans="1:7" ht="12.75" customHeight="1">
      <c r="A7960" s="1754">
        <v>45170</v>
      </c>
      <c r="B7960" s="125" t="str">
        <f>TiposLancamentos!B15</f>
        <v>Cartões de Crédito</v>
      </c>
      <c r="C7960" s="1040" t="s">
        <v>8016</v>
      </c>
      <c r="D7960" s="1736"/>
      <c r="E7960" s="1043">
        <v>568.78</v>
      </c>
      <c r="F7960" s="1043"/>
      <c r="G7960" s="1550"/>
    </row>
    <row r="7961" spans="1:7" ht="12.75" customHeight="1">
      <c r="A7961" s="1754">
        <v>45170</v>
      </c>
      <c r="B7961" s="125" t="str">
        <f>TiposLancamentos!B15</f>
        <v>Cartões de Crédito</v>
      </c>
      <c r="C7961" s="1040" t="s">
        <v>8772</v>
      </c>
      <c r="D7961" s="1736"/>
      <c r="E7961" s="1043">
        <v>1001.29</v>
      </c>
      <c r="F7961" s="1043"/>
      <c r="G7961" s="1550"/>
    </row>
    <row r="7962" spans="1:7" ht="12.75" customHeight="1">
      <c r="A7962" s="1754">
        <v>45170</v>
      </c>
      <c r="B7962" s="125" t="str">
        <f>TiposLancamentos!B15</f>
        <v>Cartões de Crédito</v>
      </c>
      <c r="C7962" s="1040" t="s">
        <v>9131</v>
      </c>
      <c r="D7962" s="1736"/>
      <c r="E7962" s="1043">
        <v>2897.96</v>
      </c>
      <c r="F7962" s="1043"/>
      <c r="G7962" s="1550"/>
    </row>
    <row r="7963" spans="1:7" ht="12.75" customHeight="1">
      <c r="A7963" s="1754">
        <v>45170</v>
      </c>
      <c r="B7963" s="125" t="str">
        <f>TiposLancamentos!B14</f>
        <v>Gás de cozinha</v>
      </c>
      <c r="C7963" s="1040" t="s">
        <v>9132</v>
      </c>
      <c r="D7963" s="1736"/>
      <c r="E7963" s="1043">
        <v>45.02</v>
      </c>
      <c r="F7963" s="1043"/>
      <c r="G7963" s="1550"/>
    </row>
    <row r="7964" spans="1:7" ht="12.75" customHeight="1">
      <c r="A7964" s="1754">
        <v>45170</v>
      </c>
      <c r="B7964" s="125" t="str">
        <f>TiposLancamentos!B19</f>
        <v>Restaurantes</v>
      </c>
      <c r="C7964" s="1040" t="s">
        <v>1934</v>
      </c>
      <c r="D7964" s="1736"/>
      <c r="E7964" s="1043">
        <v>97.4</v>
      </c>
      <c r="F7964" s="1043"/>
      <c r="G7964" s="1550"/>
    </row>
    <row r="7965" spans="1:7" ht="12.75" customHeight="1">
      <c r="A7965" s="1754">
        <v>45170</v>
      </c>
      <c r="B7965" s="125" t="str">
        <f>TiposLancamentos!B103</f>
        <v>Juros_Corr. Poupança</v>
      </c>
      <c r="C7965" s="1040" t="s">
        <v>7341</v>
      </c>
      <c r="D7965" s="1736">
        <v>0.01</v>
      </c>
      <c r="E7965" s="1043"/>
      <c r="F7965" s="1043"/>
      <c r="G7965" s="1550"/>
    </row>
    <row r="7966" spans="1:7" ht="12.75" customHeight="1">
      <c r="A7966" s="1754">
        <v>45171</v>
      </c>
      <c r="B7966" s="125" t="str">
        <f>TiposLancamentos!B19</f>
        <v>Restaurantes</v>
      </c>
      <c r="C7966" s="1040" t="s">
        <v>9133</v>
      </c>
      <c r="D7966" s="1736"/>
      <c r="E7966" s="1043">
        <v>96.16</v>
      </c>
      <c r="F7966" s="1043"/>
      <c r="G7966" s="1550"/>
    </row>
    <row r="7967" spans="1:7" ht="12.75" customHeight="1">
      <c r="A7967" s="1754">
        <v>45171</v>
      </c>
      <c r="B7967" s="125" t="str">
        <f>TiposLancamentos!B19</f>
        <v>Restaurantes</v>
      </c>
      <c r="C7967" s="1040" t="s">
        <v>9134</v>
      </c>
      <c r="D7967" s="1736"/>
      <c r="E7967" s="1043">
        <v>28</v>
      </c>
      <c r="F7967" s="1043"/>
      <c r="G7967" s="1550"/>
    </row>
    <row r="7968" spans="1:7" ht="12.75" customHeight="1">
      <c r="A7968" s="1754">
        <v>45171</v>
      </c>
      <c r="B7968" s="125" t="str">
        <f>TiposLancamentos!B24</f>
        <v>Estacionamentos</v>
      </c>
      <c r="C7968" s="1040" t="s">
        <v>2014</v>
      </c>
      <c r="D7968" s="1736"/>
      <c r="E7968" s="1043">
        <v>13</v>
      </c>
      <c r="F7968" s="1043"/>
      <c r="G7968" s="1550"/>
    </row>
    <row r="7969" spans="1:7" ht="12.75" customHeight="1">
      <c r="A7969" s="1754">
        <v>45173</v>
      </c>
      <c r="B7969" s="125" t="str">
        <f>TiposLancamentos!B4</f>
        <v>Taxas Bancarias</v>
      </c>
      <c r="C7969" s="1040" t="s">
        <v>9135</v>
      </c>
      <c r="D7969" s="1736"/>
      <c r="E7969" s="1043">
        <v>19.600000000000001</v>
      </c>
      <c r="F7969" s="1043"/>
      <c r="G7969" s="1550"/>
    </row>
    <row r="7970" spans="1:7" ht="12.75" customHeight="1">
      <c r="A7970" s="1754">
        <v>45173</v>
      </c>
      <c r="B7970" s="125" t="str">
        <f>TiposLancamentos!B4</f>
        <v>Taxas Bancarias</v>
      </c>
      <c r="C7970" s="1040" t="s">
        <v>8745</v>
      </c>
      <c r="D7970" s="1736"/>
      <c r="E7970" s="1043">
        <v>5.9</v>
      </c>
      <c r="F7970" s="1043"/>
      <c r="G7970" s="1550"/>
    </row>
    <row r="7971" spans="1:7" ht="12.75" customHeight="1">
      <c r="A7971" s="1754">
        <v>45172</v>
      </c>
      <c r="B7971" s="125" t="str">
        <f>TiposLancamentos!B24</f>
        <v>Estacionamentos</v>
      </c>
      <c r="C7971" s="1040" t="s">
        <v>9136</v>
      </c>
      <c r="D7971" s="1736"/>
      <c r="E7971" s="1043">
        <v>20</v>
      </c>
      <c r="F7971" s="1043"/>
      <c r="G7971" s="1550"/>
    </row>
    <row r="7972" spans="1:7" ht="12.75" customHeight="1">
      <c r="A7972" s="1754">
        <v>45174</v>
      </c>
      <c r="B7972" s="125" t="str">
        <f>TiposLancamentos!B24</f>
        <v>Estacionamentos</v>
      </c>
      <c r="C7972" s="1040" t="s">
        <v>2423</v>
      </c>
      <c r="D7972" s="1736"/>
      <c r="E7972" s="1043">
        <v>18</v>
      </c>
      <c r="F7972" s="1043"/>
      <c r="G7972" s="1550"/>
    </row>
    <row r="7973" spans="1:7" ht="12.75" customHeight="1">
      <c r="A7973" s="1754">
        <v>45174</v>
      </c>
      <c r="B7973" s="125" t="str">
        <f>TiposLancamentos!B4</f>
        <v>Taxas Bancarias</v>
      </c>
      <c r="C7973" s="1040" t="s">
        <v>8778</v>
      </c>
      <c r="D7973" s="1736"/>
      <c r="E7973" s="1043">
        <v>142.97</v>
      </c>
      <c r="F7973" s="1043"/>
      <c r="G7973" s="1550"/>
    </row>
    <row r="7974" spans="1:7" ht="12.75" customHeight="1">
      <c r="A7974" s="1754">
        <v>45175</v>
      </c>
      <c r="B7974" s="125" t="str">
        <f>TiposLancamentos!B19</f>
        <v>Restaurantes</v>
      </c>
      <c r="C7974" s="1040" t="s">
        <v>9137</v>
      </c>
      <c r="D7974" s="1736"/>
      <c r="E7974" s="1043">
        <v>114.4</v>
      </c>
      <c r="F7974" s="1043"/>
      <c r="G7974" s="1550"/>
    </row>
    <row r="7975" spans="1:7" ht="12.75" customHeight="1">
      <c r="A7975" s="1754">
        <v>45175</v>
      </c>
      <c r="B7975" s="125" t="str">
        <f>TiposLancamentos!B4</f>
        <v>Taxas Bancarias</v>
      </c>
      <c r="C7975" s="1040" t="s">
        <v>9138</v>
      </c>
      <c r="D7975" s="1736"/>
      <c r="E7975" s="1043">
        <v>9.23</v>
      </c>
      <c r="F7975" s="1043"/>
      <c r="G7975" s="1550"/>
    </row>
    <row r="7976" spans="1:7" ht="12.75" customHeight="1">
      <c r="A7976" s="1754">
        <v>45176</v>
      </c>
      <c r="B7976" s="125" t="str">
        <f>TiposLancamentos!B19</f>
        <v>Restaurantes</v>
      </c>
      <c r="C7976" s="1040" t="s">
        <v>9139</v>
      </c>
      <c r="D7976" s="1736"/>
      <c r="E7976" s="1043">
        <v>72</v>
      </c>
      <c r="F7976" s="1043"/>
      <c r="G7976" s="1550"/>
    </row>
    <row r="7977" spans="1:7" ht="12.75" customHeight="1">
      <c r="A7977" s="1754">
        <v>45176</v>
      </c>
      <c r="B7977" s="125" t="str">
        <f>TiposLancamentos!B5</f>
        <v>Supermercado</v>
      </c>
      <c r="C7977" s="1040" t="s">
        <v>9140</v>
      </c>
      <c r="D7977" s="1736"/>
      <c r="E7977" s="1043">
        <v>195.06</v>
      </c>
      <c r="F7977" s="1043"/>
      <c r="G7977" s="1550"/>
    </row>
    <row r="7978" spans="1:7" ht="12.75" customHeight="1">
      <c r="A7978" s="1754">
        <v>45176</v>
      </c>
      <c r="B7978" s="125" t="str">
        <f>TiposLancamentos!B16</f>
        <v>Cristiane</v>
      </c>
      <c r="C7978" s="1040" t="s">
        <v>6052</v>
      </c>
      <c r="D7978" s="1736"/>
      <c r="E7978" s="1043">
        <v>46.08</v>
      </c>
      <c r="F7978" s="1043"/>
      <c r="G7978" s="1550"/>
    </row>
    <row r="7979" spans="1:7" ht="12.75" customHeight="1">
      <c r="A7979" s="1754">
        <v>45177</v>
      </c>
      <c r="B7979" s="125" t="str">
        <f>TiposLancamentos!B5</f>
        <v>Supermercado</v>
      </c>
      <c r="C7979" s="1040" t="s">
        <v>1884</v>
      </c>
      <c r="D7979" s="1736"/>
      <c r="E7979" s="1043">
        <v>25.87</v>
      </c>
      <c r="F7979" s="1043"/>
      <c r="G7979" s="1550"/>
    </row>
    <row r="7980" spans="1:7" ht="12.75" customHeight="1">
      <c r="A7980" s="1754">
        <v>45178</v>
      </c>
      <c r="B7980" s="125" t="str">
        <f>TiposLancamentos!B19</f>
        <v>Restaurantes</v>
      </c>
      <c r="C7980" s="1040" t="s">
        <v>9141</v>
      </c>
      <c r="D7980" s="1736"/>
      <c r="E7980" s="1043">
        <v>85.5</v>
      </c>
      <c r="F7980" s="1043"/>
      <c r="G7980" s="1550"/>
    </row>
    <row r="7981" spans="1:7" ht="12.75" customHeight="1">
      <c r="A7981" s="1754">
        <v>45179</v>
      </c>
      <c r="B7981" s="125" t="str">
        <f>TiposLancamentos!B5</f>
        <v>Supermercado</v>
      </c>
      <c r="C7981" s="1040" t="s">
        <v>2097</v>
      </c>
      <c r="D7981" s="1736"/>
      <c r="E7981" s="1043">
        <v>297.24</v>
      </c>
      <c r="F7981" s="1043"/>
      <c r="G7981" s="1550"/>
    </row>
    <row r="7982" spans="1:7" ht="12.75" customHeight="1">
      <c r="A7982" s="1754">
        <v>45180</v>
      </c>
      <c r="B7982" s="125" t="str">
        <f>TiposLancamentos!B46</f>
        <v>Maçonaria</v>
      </c>
      <c r="C7982" s="1040" t="s">
        <v>9142</v>
      </c>
      <c r="D7982" s="1736"/>
      <c r="E7982" s="1043">
        <v>210</v>
      </c>
      <c r="F7982" s="1043"/>
      <c r="G7982" s="1550"/>
    </row>
    <row r="7983" spans="1:7" ht="12.75" customHeight="1">
      <c r="A7983" s="1754">
        <v>45182</v>
      </c>
      <c r="B7983" s="125" t="str">
        <f>TiposLancamentos!B24</f>
        <v>Estacionamentos</v>
      </c>
      <c r="C7983" s="1040" t="s">
        <v>9143</v>
      </c>
      <c r="D7983" s="1736"/>
      <c r="E7983" s="1043">
        <v>18</v>
      </c>
      <c r="F7983" s="1043"/>
      <c r="G7983" s="1550"/>
    </row>
    <row r="7984" spans="1:7" ht="12.75" customHeight="1">
      <c r="A7984" s="1754">
        <v>45182</v>
      </c>
      <c r="B7984" s="125" t="str">
        <f>TiposLancamentos!B22</f>
        <v>Combustivel</v>
      </c>
      <c r="C7984" s="1040" t="s">
        <v>7795</v>
      </c>
      <c r="D7984" s="1736"/>
      <c r="E7984" s="1043">
        <v>100</v>
      </c>
      <c r="F7984" s="1043"/>
      <c r="G7984" s="1550"/>
    </row>
    <row r="7985" spans="1:7" ht="12.75" customHeight="1">
      <c r="A7985" s="1754">
        <v>45183</v>
      </c>
      <c r="B7985" s="125" t="str">
        <f>TiposLancamentos!B19</f>
        <v>Restaurantes</v>
      </c>
      <c r="C7985" s="1040" t="s">
        <v>9144</v>
      </c>
      <c r="D7985" s="1736"/>
      <c r="E7985" s="1043">
        <v>62.89</v>
      </c>
      <c r="F7985" s="1043"/>
      <c r="G7985" s="1550"/>
    </row>
    <row r="7986" spans="1:7" ht="12.75" customHeight="1">
      <c r="A7986" s="1754">
        <v>45184</v>
      </c>
      <c r="B7986" s="116"/>
      <c r="C7986" s="1040" t="s">
        <v>1868</v>
      </c>
      <c r="D7986" s="1736">
        <v>0</v>
      </c>
      <c r="E7986" s="1043">
        <v>0</v>
      </c>
      <c r="F7986" s="1664"/>
      <c r="G7986" s="1550"/>
    </row>
    <row r="7987" spans="1:7" ht="12.75" customHeight="1">
      <c r="A7987" s="1666">
        <v>45184</v>
      </c>
      <c r="B7987" s="817" t="str">
        <f>TiposLancamentos!B35</f>
        <v>Tv à Cabo</v>
      </c>
      <c r="C7987" s="1742" t="s">
        <v>5834</v>
      </c>
      <c r="D7987" s="1735"/>
      <c r="E7987" s="1733">
        <f>F7989-(E7988+E7989)</f>
        <v>108.41</v>
      </c>
      <c r="F7987" s="1290"/>
      <c r="G7987" s="1550"/>
    </row>
    <row r="7988" spans="1:7" ht="12.75" customHeight="1">
      <c r="A7988" s="1667">
        <v>45184</v>
      </c>
      <c r="B7988" s="816" t="str">
        <f>TiposLancamentos!B3</f>
        <v>Internet</v>
      </c>
      <c r="C7988" s="1769" t="s">
        <v>5835</v>
      </c>
      <c r="D7988" s="1736"/>
      <c r="E7988" s="1734">
        <v>143.43</v>
      </c>
      <c r="F7988" s="1043"/>
      <c r="G7988" s="1550"/>
    </row>
    <row r="7989" spans="1:7" ht="12.75" customHeight="1">
      <c r="A7989" s="1750">
        <v>45184</v>
      </c>
      <c r="B7989" s="818" t="str">
        <f>TiposLancamentos!B2</f>
        <v>Telefonia</v>
      </c>
      <c r="C7989" s="1743" t="s">
        <v>7210</v>
      </c>
      <c r="D7989" s="1737"/>
      <c r="E7989" s="1668">
        <v>0</v>
      </c>
      <c r="F7989" s="1291">
        <v>251.84</v>
      </c>
      <c r="G7989" s="1550"/>
    </row>
    <row r="7990" spans="1:7" ht="12.75" customHeight="1">
      <c r="A7990" s="1754">
        <v>45184</v>
      </c>
      <c r="B7990" s="116"/>
      <c r="C7990" s="1040" t="s">
        <v>1868</v>
      </c>
      <c r="D7990" s="1736">
        <v>0</v>
      </c>
      <c r="E7990" s="1043"/>
      <c r="F7990" s="1043"/>
      <c r="G7990" s="1550"/>
    </row>
    <row r="7991" spans="1:7" ht="12.75" customHeight="1">
      <c r="A7991" s="1754">
        <v>45184</v>
      </c>
      <c r="B7991" s="125" t="str">
        <f>TiposLancamentos!B2</f>
        <v>Telefonia</v>
      </c>
      <c r="C7991" s="1040" t="s">
        <v>8797</v>
      </c>
      <c r="D7991" s="1736"/>
      <c r="E7991" s="1043">
        <v>59.89</v>
      </c>
      <c r="F7991" s="1043"/>
      <c r="G7991" s="1550"/>
    </row>
    <row r="7992" spans="1:7" ht="12.75" customHeight="1">
      <c r="A7992" s="1754">
        <v>45184</v>
      </c>
      <c r="B7992" s="125" t="str">
        <f>TiposLancamentos!B13</f>
        <v>Moradia</v>
      </c>
      <c r="C7992" s="1040" t="s">
        <v>9145</v>
      </c>
      <c r="D7992" s="1736"/>
      <c r="E7992" s="1043">
        <v>15</v>
      </c>
      <c r="F7992" s="1043"/>
      <c r="G7992" s="1550"/>
    </row>
    <row r="7993" spans="1:7" ht="12.75" customHeight="1">
      <c r="A7993" s="1754">
        <v>45186</v>
      </c>
      <c r="B7993" s="125" t="str">
        <f>TiposLancamentos!B5</f>
        <v>Supermercado</v>
      </c>
      <c r="C7993" s="1040" t="s">
        <v>2061</v>
      </c>
      <c r="D7993" s="1736"/>
      <c r="E7993" s="1043">
        <v>156.97</v>
      </c>
      <c r="F7993" s="1043"/>
      <c r="G7993" s="1550"/>
    </row>
    <row r="7994" spans="1:7" ht="12.75" customHeight="1">
      <c r="A7994" s="1754">
        <v>45186</v>
      </c>
      <c r="B7994" s="125" t="str">
        <f>TiposLancamentos!B19</f>
        <v>Restaurantes</v>
      </c>
      <c r="C7994" s="1040" t="s">
        <v>9146</v>
      </c>
      <c r="D7994" s="1736"/>
      <c r="E7994" s="1043">
        <v>90.5</v>
      </c>
      <c r="F7994" s="1043"/>
      <c r="G7994" s="1550"/>
    </row>
    <row r="7995" spans="1:7" ht="12.75" customHeight="1">
      <c r="A7995" s="1754">
        <v>45188</v>
      </c>
      <c r="B7995" s="125" t="str">
        <f>TiposLancamentos!B19</f>
        <v>Restaurantes</v>
      </c>
      <c r="C7995" s="1040" t="s">
        <v>8887</v>
      </c>
      <c r="D7995" s="1736"/>
      <c r="E7995" s="1043">
        <v>18</v>
      </c>
      <c r="F7995" s="1043"/>
      <c r="G7995" s="1550"/>
    </row>
    <row r="7996" spans="1:7" ht="12.75" customHeight="1">
      <c r="A7996" s="1754">
        <v>45188</v>
      </c>
      <c r="B7996" s="125" t="str">
        <f>TiposLancamentos!B56</f>
        <v>Farmácia</v>
      </c>
      <c r="C7996" s="1040" t="s">
        <v>9147</v>
      </c>
      <c r="D7996" s="1736"/>
      <c r="E7996" s="1043">
        <v>10</v>
      </c>
      <c r="F7996" s="1043"/>
      <c r="G7996" s="1550"/>
    </row>
    <row r="7997" spans="1:7" ht="12.75" customHeight="1">
      <c r="A7997" s="1754"/>
      <c r="B7997" s="125"/>
      <c r="C7997" s="1040" t="s">
        <v>1868</v>
      </c>
      <c r="D7997" s="1736"/>
      <c r="E7997" s="1043"/>
      <c r="F7997" s="1043"/>
      <c r="G7997" s="1550"/>
    </row>
    <row r="7998" spans="1:7" ht="12.75" customHeight="1">
      <c r="A7998" s="1666">
        <v>45189</v>
      </c>
      <c r="B7998" s="817" t="str">
        <f>TiposLancamentos!B8</f>
        <v>Aluguel</v>
      </c>
      <c r="C7998" s="1742" t="s">
        <v>9047</v>
      </c>
      <c r="D7998" s="1735"/>
      <c r="E7998" s="1733">
        <f>F8003-SUM(E7999:E8003)</f>
        <v>1631.75</v>
      </c>
      <c r="F7998" s="1346"/>
      <c r="G7998" s="1550"/>
    </row>
    <row r="7999" spans="1:7" ht="12.75" customHeight="1">
      <c r="A7999" s="1667">
        <v>45189</v>
      </c>
      <c r="B7999" s="816" t="str">
        <f>TiposLancamentos!B12</f>
        <v>IPTU</v>
      </c>
      <c r="C7999" s="1769" t="s">
        <v>9048</v>
      </c>
      <c r="D7999" s="1736"/>
      <c r="E7999" s="1734">
        <v>0</v>
      </c>
      <c r="F7999" s="1043"/>
      <c r="G7999" s="1550"/>
    </row>
    <row r="8000" spans="1:7" ht="12.75" customHeight="1">
      <c r="A8000" s="1667">
        <v>45189</v>
      </c>
      <c r="B8000" s="816" t="str">
        <f>TiposLancamentos!B10</f>
        <v>Distr. Água Municipal</v>
      </c>
      <c r="C8000" s="1769" t="s">
        <v>7423</v>
      </c>
      <c r="D8000" s="1736"/>
      <c r="E8000" s="1734">
        <v>0</v>
      </c>
      <c r="F8000" s="1043"/>
      <c r="G8000" s="1550"/>
    </row>
    <row r="8001" spans="1:7" ht="12.75" customHeight="1">
      <c r="A8001" s="1667">
        <v>45189</v>
      </c>
      <c r="B8001" s="816" t="str">
        <f>TiposLancamentos!B11</f>
        <v>Coleta Municipal Lixo</v>
      </c>
      <c r="C8001" s="1769" t="s">
        <v>7424</v>
      </c>
      <c r="D8001" s="1736"/>
      <c r="E8001" s="1734">
        <v>0</v>
      </c>
      <c r="F8001" s="1043"/>
      <c r="G8001" s="1550"/>
    </row>
    <row r="8002" spans="1:7" ht="12.75" customHeight="1">
      <c r="A8002" s="1667">
        <v>45189</v>
      </c>
      <c r="B8002" s="816" t="str">
        <f>TiposLancamentos!B8</f>
        <v>Aluguel</v>
      </c>
      <c r="C8002" s="1769" t="s">
        <v>8955</v>
      </c>
      <c r="D8002" s="1736"/>
      <c r="E8002" s="1734">
        <v>8</v>
      </c>
      <c r="F8002" s="1043"/>
      <c r="G8002" s="1550"/>
    </row>
    <row r="8003" spans="1:7" ht="12.75" customHeight="1">
      <c r="A8003" s="1750">
        <v>45189</v>
      </c>
      <c r="B8003" s="818" t="str">
        <f>TiposLancamentos!B9</f>
        <v>Condominio</v>
      </c>
      <c r="C8003" s="1743" t="s">
        <v>7427</v>
      </c>
      <c r="D8003" s="1737"/>
      <c r="E8003" s="1668">
        <v>616.37</v>
      </c>
      <c r="F8003" s="1291">
        <v>2256.12</v>
      </c>
      <c r="G8003" s="1550"/>
    </row>
    <row r="8004" spans="1:7" ht="12.75" customHeight="1">
      <c r="A8004" s="1754"/>
      <c r="B8004" s="125"/>
      <c r="C8004" s="1040" t="s">
        <v>1868</v>
      </c>
      <c r="D8004" s="1736"/>
      <c r="E8004" s="1043"/>
      <c r="F8004" s="1043"/>
      <c r="G8004" s="1550"/>
    </row>
    <row r="8005" spans="1:7" ht="12.75" customHeight="1">
      <c r="A8005" s="1754">
        <v>45190</v>
      </c>
      <c r="B8005" s="125" t="str">
        <f>TiposLancamentos!B6</f>
        <v>Energia Eletrica</v>
      </c>
      <c r="C8005" s="1040" t="s">
        <v>9148</v>
      </c>
      <c r="D8005" s="1736"/>
      <c r="E8005" s="1043">
        <v>204.74</v>
      </c>
      <c r="F8005" s="1043"/>
      <c r="G8005" s="1550"/>
    </row>
    <row r="8006" spans="1:7" ht="12.75" customHeight="1">
      <c r="A8006" s="1754">
        <v>45190</v>
      </c>
      <c r="B8006" s="125" t="str">
        <f>TiposLancamentos!B19</f>
        <v>Restaurantes</v>
      </c>
      <c r="C8006" s="1040" t="s">
        <v>9149</v>
      </c>
      <c r="D8006" s="1736"/>
      <c r="E8006" s="1043">
        <v>77.2</v>
      </c>
      <c r="F8006" s="1043"/>
      <c r="G8006" s="1550"/>
    </row>
    <row r="8007" spans="1:7" ht="12.75" customHeight="1">
      <c r="A8007" s="1754">
        <v>45192</v>
      </c>
      <c r="B8007" s="125" t="str">
        <f>TiposLancamentos!B19</f>
        <v>Restaurantes</v>
      </c>
      <c r="C8007" s="1040" t="s">
        <v>9085</v>
      </c>
      <c r="D8007" s="1736"/>
      <c r="E8007" s="1043">
        <v>105.15</v>
      </c>
      <c r="F8007" s="1043"/>
      <c r="G8007" s="1550"/>
    </row>
    <row r="8008" spans="1:7" ht="12.75" customHeight="1">
      <c r="A8008" s="1754">
        <v>45192</v>
      </c>
      <c r="B8008" s="125" t="str">
        <f>TiposLancamentos!B19</f>
        <v>Restaurantes</v>
      </c>
      <c r="C8008" s="1040" t="s">
        <v>9150</v>
      </c>
      <c r="D8008" s="1736"/>
      <c r="E8008" s="1043">
        <v>37</v>
      </c>
      <c r="F8008" s="1043"/>
      <c r="G8008" s="1550"/>
    </row>
    <row r="8009" spans="1:7" ht="12.75" customHeight="1">
      <c r="A8009" s="1754">
        <v>45192</v>
      </c>
      <c r="B8009" s="125" t="str">
        <f>TiposLancamentos!B24</f>
        <v>Estacionamentos</v>
      </c>
      <c r="C8009" s="1040" t="s">
        <v>2014</v>
      </c>
      <c r="D8009" s="1736"/>
      <c r="E8009" s="1043">
        <v>13</v>
      </c>
      <c r="F8009" s="1043"/>
      <c r="G8009" s="1550"/>
    </row>
    <row r="8010" spans="1:7" ht="12.75" customHeight="1">
      <c r="A8010" s="1754">
        <v>45192</v>
      </c>
      <c r="B8010" s="125" t="str">
        <f>TiposLancamentos!B5</f>
        <v>Supermercado</v>
      </c>
      <c r="C8010" s="1040" t="s">
        <v>2061</v>
      </c>
      <c r="D8010" s="1736"/>
      <c r="E8010" s="1043">
        <v>352.29</v>
      </c>
      <c r="F8010" s="1043"/>
      <c r="G8010" s="1550"/>
    </row>
    <row r="8011" spans="1:7" ht="12.75" customHeight="1">
      <c r="A8011" s="1754">
        <v>45198</v>
      </c>
      <c r="B8011" s="125" t="str">
        <f>TiposLancamentos!B95</f>
        <v>Salarios</v>
      </c>
      <c r="C8011" s="1040" t="s">
        <v>9021</v>
      </c>
      <c r="D8011" s="1736">
        <v>7826.51</v>
      </c>
      <c r="E8011" s="1043"/>
      <c r="F8011" s="1043"/>
      <c r="G8011" s="1550"/>
    </row>
    <row r="8012" spans="1:7" ht="12.75" customHeight="1">
      <c r="A8012" s="1754">
        <v>45199</v>
      </c>
      <c r="B8012" s="125" t="str">
        <f>TiposLancamentos!B71</f>
        <v>Itens Pessoais</v>
      </c>
      <c r="C8012" s="1040" t="s">
        <v>9151</v>
      </c>
      <c r="D8012" s="1736"/>
      <c r="E8012" s="1043">
        <v>30</v>
      </c>
      <c r="F8012" s="1043"/>
      <c r="G8012" s="1550"/>
    </row>
    <row r="8013" spans="1:7" ht="12.75" customHeight="1">
      <c r="A8013" s="1754">
        <v>45199</v>
      </c>
      <c r="B8013" s="125" t="str">
        <f>TiposLancamentos!B56</f>
        <v>Farmácia</v>
      </c>
      <c r="C8013" s="1040" t="s">
        <v>9152</v>
      </c>
      <c r="D8013" s="1736"/>
      <c r="E8013" s="1043">
        <v>22.2</v>
      </c>
      <c r="F8013" s="1043"/>
      <c r="G8013" s="1550"/>
    </row>
    <row r="8014" spans="1:7" ht="12.75" customHeight="1" thickBot="1">
      <c r="A8014" s="1754">
        <v>45199</v>
      </c>
      <c r="B8014" s="125" t="str">
        <f>TiposLancamentos!B19</f>
        <v>Restaurantes</v>
      </c>
      <c r="C8014" s="1040" t="s">
        <v>1907</v>
      </c>
      <c r="D8014" s="1736"/>
      <c r="E8014" s="1043">
        <v>90.5</v>
      </c>
      <c r="F8014" s="1043"/>
      <c r="G8014" s="1550"/>
    </row>
    <row r="8015" spans="1:7" ht="12.75" customHeight="1">
      <c r="A8015" s="1834"/>
      <c r="B8015" s="977"/>
      <c r="C8015" s="1854" t="s">
        <v>1627</v>
      </c>
      <c r="D8015" s="1823"/>
      <c r="E8015" s="1821"/>
      <c r="F8015" s="1821"/>
      <c r="G8015" s="1895"/>
    </row>
    <row r="8016" spans="1:7" ht="12.75" customHeight="1">
      <c r="A8016" s="1754">
        <v>45200</v>
      </c>
      <c r="B8016" s="125" t="str">
        <f>TiposLancamentos!B15</f>
        <v>Cartões de Crédito</v>
      </c>
      <c r="C8016" s="1040" t="s">
        <v>8016</v>
      </c>
      <c r="D8016" s="1736"/>
      <c r="E8016" s="1043">
        <v>1667.76</v>
      </c>
      <c r="F8016" s="1043"/>
      <c r="G8016" s="1550"/>
    </row>
    <row r="8017" spans="1:7" ht="12.75" customHeight="1">
      <c r="A8017" s="1754">
        <v>45200</v>
      </c>
      <c r="B8017" s="125" t="str">
        <f>TiposLancamentos!B15</f>
        <v>Cartões de Crédito</v>
      </c>
      <c r="C8017" s="1040" t="s">
        <v>8772</v>
      </c>
      <c r="D8017" s="1736"/>
      <c r="E8017" s="1043">
        <v>1243.1099999999999</v>
      </c>
      <c r="F8017" s="1043"/>
      <c r="G8017" s="1550"/>
    </row>
    <row r="8018" spans="1:7" ht="12.75" customHeight="1">
      <c r="A8018" s="1754">
        <v>45200</v>
      </c>
      <c r="B8018" s="125" t="str">
        <f>TiposLancamentos!B15</f>
        <v>Cartões de Crédito</v>
      </c>
      <c r="C8018" s="1040" t="s">
        <v>9153</v>
      </c>
      <c r="D8018" s="1736"/>
      <c r="E8018" s="1043">
        <v>1326.85</v>
      </c>
      <c r="F8018" s="1043"/>
      <c r="G8018" s="1550"/>
    </row>
    <row r="8019" spans="1:7" ht="12.75" customHeight="1">
      <c r="A8019" s="1754">
        <v>45200</v>
      </c>
      <c r="B8019" s="125" t="str">
        <f>TiposLancamentos!B14</f>
        <v>Gás de cozinha</v>
      </c>
      <c r="C8019" s="1040" t="s">
        <v>9132</v>
      </c>
      <c r="D8019" s="1736"/>
      <c r="E8019" s="1043">
        <v>70.67</v>
      </c>
      <c r="F8019" s="1043"/>
      <c r="G8019" s="1550"/>
    </row>
    <row r="8020" spans="1:7" ht="12.75" customHeight="1">
      <c r="A8020" s="1754">
        <v>45201</v>
      </c>
      <c r="B8020" s="125" t="str">
        <f>TiposLancamentos!B13</f>
        <v>Moradia</v>
      </c>
      <c r="C8020" s="1040" t="s">
        <v>9154</v>
      </c>
      <c r="D8020" s="1736"/>
      <c r="E8020" s="1043">
        <v>15</v>
      </c>
      <c r="F8020" s="1043"/>
      <c r="G8020" s="1550"/>
    </row>
    <row r="8021" spans="1:7" ht="12.75" customHeight="1">
      <c r="A8021" s="1754">
        <v>45201</v>
      </c>
      <c r="B8021" s="125" t="str">
        <f>TiposLancamentos!B56</f>
        <v>Farmácia</v>
      </c>
      <c r="C8021" s="1040" t="s">
        <v>9155</v>
      </c>
      <c r="D8021" s="1736"/>
      <c r="E8021" s="1043">
        <v>40.880000000000003</v>
      </c>
      <c r="F8021" s="1043"/>
      <c r="G8021" s="1550"/>
    </row>
    <row r="8022" spans="1:7" ht="12.75" customHeight="1">
      <c r="A8022" s="1754">
        <v>45202</v>
      </c>
      <c r="B8022" s="125" t="str">
        <f>TiposLancamentos!B24</f>
        <v>Estacionamentos</v>
      </c>
      <c r="C8022" s="1040" t="s">
        <v>8887</v>
      </c>
      <c r="D8022" s="1736"/>
      <c r="E8022" s="1043">
        <v>18</v>
      </c>
      <c r="F8022" s="1043"/>
      <c r="G8022" s="1550"/>
    </row>
    <row r="8023" spans="1:7" ht="12.75" customHeight="1">
      <c r="A8023" s="1754">
        <v>45202</v>
      </c>
      <c r="B8023" s="125" t="str">
        <f>TiposLancamentos!B19</f>
        <v>Restaurantes</v>
      </c>
      <c r="C8023" s="1040" t="s">
        <v>1967</v>
      </c>
      <c r="D8023" s="1736"/>
      <c r="E8023" s="1043">
        <v>48.4</v>
      </c>
      <c r="F8023" s="1043"/>
      <c r="G8023" s="1550"/>
    </row>
    <row r="8024" spans="1:7" ht="12.75" customHeight="1">
      <c r="A8024" s="1754">
        <v>45202</v>
      </c>
      <c r="B8024" s="125" t="str">
        <f>TiposLancamentos!B4</f>
        <v>Taxas Bancarias</v>
      </c>
      <c r="C8024" s="1040" t="s">
        <v>7681</v>
      </c>
      <c r="D8024" s="1736"/>
      <c r="E8024" s="1043">
        <v>5.9</v>
      </c>
      <c r="F8024" s="1043"/>
      <c r="G8024" s="1550"/>
    </row>
    <row r="8025" spans="1:7" ht="12.75" customHeight="1">
      <c r="A8025" s="1754">
        <v>45202</v>
      </c>
      <c r="B8025" s="125" t="str">
        <f>TiposLancamentos!B4</f>
        <v>Taxas Bancarias</v>
      </c>
      <c r="C8025" s="1040" t="s">
        <v>4858</v>
      </c>
      <c r="D8025" s="1736"/>
      <c r="E8025" s="1043">
        <v>36.85</v>
      </c>
      <c r="F8025" s="1043"/>
      <c r="G8025" s="1550"/>
    </row>
    <row r="8026" spans="1:7" ht="12.75" customHeight="1">
      <c r="A8026" s="1754">
        <v>45204</v>
      </c>
      <c r="B8026" s="125" t="str">
        <f>TiposLancamentos!B4</f>
        <v>Taxas Bancarias</v>
      </c>
      <c r="C8026" s="1040" t="s">
        <v>8778</v>
      </c>
      <c r="D8026" s="1736"/>
      <c r="E8026" s="1043">
        <v>354.39</v>
      </c>
      <c r="F8026" s="1043"/>
      <c r="G8026" s="1550"/>
    </row>
    <row r="8027" spans="1:7" ht="12.75" customHeight="1">
      <c r="A8027" s="1754">
        <v>45204</v>
      </c>
      <c r="B8027" s="125" t="str">
        <f>TiposLancamentos!B4</f>
        <v>Taxas Bancarias</v>
      </c>
      <c r="C8027" s="1040" t="s">
        <v>9156</v>
      </c>
      <c r="D8027" s="1736"/>
      <c r="E8027" s="1043">
        <v>22.14</v>
      </c>
      <c r="F8027" s="1043"/>
      <c r="G8027" s="1550"/>
    </row>
    <row r="8028" spans="1:7" ht="12.75" customHeight="1">
      <c r="A8028" s="1754">
        <v>45205</v>
      </c>
      <c r="B8028" s="125" t="str">
        <f>TiposLancamentos!B13</f>
        <v>Moradia</v>
      </c>
      <c r="C8028" s="1040" t="s">
        <v>3682</v>
      </c>
      <c r="D8028" s="1736"/>
      <c r="E8028" s="1043">
        <v>15</v>
      </c>
      <c r="F8028" s="1043"/>
      <c r="G8028" s="1550"/>
    </row>
    <row r="8029" spans="1:7" ht="12.75" customHeight="1">
      <c r="A8029" s="1666">
        <v>45206</v>
      </c>
      <c r="B8029" s="817" t="str">
        <f>TiposLancamentos!B36</f>
        <v>Playstation 2</v>
      </c>
      <c r="C8029" s="1742" t="s">
        <v>9157</v>
      </c>
      <c r="D8029" s="1735"/>
      <c r="E8029" s="1733">
        <f>F8030-E8030</f>
        <v>68.599999999999994</v>
      </c>
      <c r="F8029" s="1290"/>
      <c r="G8029" s="1550"/>
    </row>
    <row r="8030" spans="1:7" ht="12.75" customHeight="1">
      <c r="A8030" s="1750">
        <v>45206</v>
      </c>
      <c r="B8030" s="818" t="str">
        <f>TiposLancamentos!B18</f>
        <v>Alimentacao</v>
      </c>
      <c r="C8030" s="1743" t="s">
        <v>9158</v>
      </c>
      <c r="D8030" s="1737"/>
      <c r="E8030" s="1668">
        <f>3.8*4</f>
        <v>15.2</v>
      </c>
      <c r="F8030" s="1291">
        <v>83.8</v>
      </c>
      <c r="G8030" s="1550"/>
    </row>
    <row r="8031" spans="1:7" ht="12.75" customHeight="1">
      <c r="A8031" s="1754">
        <v>45206</v>
      </c>
      <c r="B8031" s="125" t="str">
        <f>TiposLancamentos!B5</f>
        <v>Supermercado</v>
      </c>
      <c r="C8031" s="1040" t="s">
        <v>1884</v>
      </c>
      <c r="D8031" s="1736"/>
      <c r="E8031" s="1043">
        <v>23.75</v>
      </c>
      <c r="F8031" s="1043"/>
      <c r="G8031" s="1550"/>
    </row>
    <row r="8032" spans="1:7" ht="12.75" customHeight="1">
      <c r="A8032" s="1754">
        <v>45206</v>
      </c>
      <c r="B8032" s="125" t="str">
        <f>TiposLancamentos!B19</f>
        <v>Restaurantes</v>
      </c>
      <c r="C8032" s="1040" t="s">
        <v>9159</v>
      </c>
      <c r="D8032" s="1736"/>
      <c r="E8032" s="1043">
        <v>72.2</v>
      </c>
      <c r="F8032" s="1043"/>
      <c r="G8032" s="1550"/>
    </row>
    <row r="8033" spans="1:7" ht="12.75" customHeight="1">
      <c r="A8033" s="1754">
        <v>45206</v>
      </c>
      <c r="B8033" s="125" t="str">
        <f>TiposLancamentos!B5</f>
        <v>Supermercado</v>
      </c>
      <c r="C8033" s="1040" t="s">
        <v>1884</v>
      </c>
      <c r="D8033" s="1736"/>
      <c r="E8033" s="1043">
        <v>23.75</v>
      </c>
      <c r="F8033" s="1043"/>
      <c r="G8033" s="1550"/>
    </row>
    <row r="8034" spans="1:7" ht="12.75" customHeight="1">
      <c r="A8034" s="1754">
        <v>45206</v>
      </c>
      <c r="B8034" s="125" t="str">
        <f>TiposLancamentos!B19</f>
        <v>Restaurantes</v>
      </c>
      <c r="C8034" s="1040" t="s">
        <v>9160</v>
      </c>
      <c r="D8034" s="1736"/>
      <c r="E8034" s="1043">
        <v>90.5</v>
      </c>
      <c r="F8034" s="1043"/>
      <c r="G8034" s="1550"/>
    </row>
    <row r="8035" spans="1:7" ht="12.75" customHeight="1">
      <c r="A8035" s="1754">
        <v>45208</v>
      </c>
      <c r="B8035" s="125" t="str">
        <f>TiposLancamentos!B17</f>
        <v>GATO</v>
      </c>
      <c r="C8035" s="1040" t="s">
        <v>9161</v>
      </c>
      <c r="D8035" s="1736"/>
      <c r="E8035" s="1043">
        <v>25.8</v>
      </c>
      <c r="F8035" s="1043"/>
      <c r="G8035" s="1550"/>
    </row>
    <row r="8036" spans="1:7" ht="12.75" customHeight="1">
      <c r="A8036" s="1754">
        <v>45208</v>
      </c>
      <c r="B8036" s="125" t="str">
        <f>TiposLancamentos!B56</f>
        <v>Farmácia</v>
      </c>
      <c r="C8036" s="1040" t="s">
        <v>9162</v>
      </c>
      <c r="D8036" s="1736"/>
      <c r="E8036" s="1043">
        <v>29.49</v>
      </c>
      <c r="F8036" s="1043"/>
      <c r="G8036" s="1550"/>
    </row>
    <row r="8037" spans="1:7" ht="12.75" customHeight="1">
      <c r="A8037" s="1754">
        <v>45208</v>
      </c>
      <c r="B8037" s="125" t="str">
        <f>TiposLancamentos!B17</f>
        <v>GATO</v>
      </c>
      <c r="C8037" s="1040" t="s">
        <v>9163</v>
      </c>
      <c r="D8037" s="1736"/>
      <c r="E8037" s="1043">
        <v>14.99</v>
      </c>
      <c r="F8037" s="1043"/>
      <c r="G8037" s="1550"/>
    </row>
    <row r="8038" spans="1:7" ht="12.75" customHeight="1">
      <c r="A8038" s="1754">
        <v>45208</v>
      </c>
      <c r="B8038" s="125" t="str">
        <f>TiposLancamentos!B102</f>
        <v>ESTORNO</v>
      </c>
      <c r="C8038" s="1040" t="s">
        <v>9159</v>
      </c>
      <c r="D8038" s="1736">
        <v>72.2</v>
      </c>
      <c r="E8038" s="1043"/>
      <c r="F8038" s="1043"/>
      <c r="G8038" s="1550"/>
    </row>
    <row r="8039" spans="1:7" ht="12.75" customHeight="1">
      <c r="A8039" s="1754">
        <v>45209</v>
      </c>
      <c r="B8039" s="125" t="str">
        <f>TiposLancamentos!B24</f>
        <v>Estacionamentos</v>
      </c>
      <c r="C8039" s="1040" t="s">
        <v>8887</v>
      </c>
      <c r="D8039" s="1736"/>
      <c r="E8039" s="1043">
        <v>18</v>
      </c>
      <c r="F8039" s="1043"/>
      <c r="G8039" s="1550"/>
    </row>
    <row r="8040" spans="1:7" ht="12.75" customHeight="1">
      <c r="A8040" s="1754">
        <v>45209</v>
      </c>
      <c r="B8040" s="125" t="str">
        <f>TiposLancamentos!B19</f>
        <v>Restaurantes</v>
      </c>
      <c r="C8040" s="1040" t="s">
        <v>1967</v>
      </c>
      <c r="D8040" s="1736"/>
      <c r="E8040" s="1043">
        <v>44</v>
      </c>
      <c r="F8040" s="1043"/>
      <c r="G8040" s="1550"/>
    </row>
    <row r="8041" spans="1:7" ht="12.75" customHeight="1">
      <c r="A8041" s="1754">
        <v>45209</v>
      </c>
      <c r="B8041" s="125" t="str">
        <f>TiposLancamentos!B22</f>
        <v>Combustivel</v>
      </c>
      <c r="C8041" s="1040" t="s">
        <v>9164</v>
      </c>
      <c r="D8041" s="1736"/>
      <c r="E8041" s="1043">
        <v>100</v>
      </c>
      <c r="F8041" s="1043"/>
      <c r="G8041" s="1550"/>
    </row>
    <row r="8042" spans="1:7" ht="12.75" customHeight="1">
      <c r="A8042" s="1666">
        <v>45210</v>
      </c>
      <c r="B8042" s="817" t="str">
        <f>TiposLancamentos!B56</f>
        <v>Farmácia</v>
      </c>
      <c r="C8042" s="1742" t="s">
        <v>6118</v>
      </c>
      <c r="D8042" s="1735"/>
      <c r="E8042" s="1733">
        <f>F8043-E8043</f>
        <v>132.66999999999999</v>
      </c>
      <c r="F8042" s="1290"/>
      <c r="G8042" s="1550"/>
    </row>
    <row r="8043" spans="1:7" ht="12.75" customHeight="1">
      <c r="A8043" s="1750">
        <v>45210</v>
      </c>
      <c r="B8043" s="818" t="str">
        <f>TiposLancamentos!B56</f>
        <v>Farmácia</v>
      </c>
      <c r="C8043" s="1743" t="s">
        <v>9165</v>
      </c>
      <c r="D8043" s="1737"/>
      <c r="E8043" s="1668">
        <v>9.9</v>
      </c>
      <c r="F8043" s="1291">
        <v>142.57</v>
      </c>
      <c r="G8043" s="1550"/>
    </row>
    <row r="8044" spans="1:7" ht="12.75" customHeight="1">
      <c r="A8044" s="1754">
        <v>45215</v>
      </c>
      <c r="B8044" s="116"/>
      <c r="C8044" s="1040" t="s">
        <v>1868</v>
      </c>
      <c r="D8044" s="1736">
        <v>0</v>
      </c>
      <c r="E8044" s="1043">
        <v>0</v>
      </c>
      <c r="F8044" s="1664"/>
      <c r="G8044" s="1550"/>
    </row>
    <row r="8045" spans="1:7" ht="12.75" customHeight="1">
      <c r="A8045" s="1666">
        <v>45215</v>
      </c>
      <c r="B8045" s="817" t="str">
        <f>TiposLancamentos!B35</f>
        <v>Tv à Cabo</v>
      </c>
      <c r="C8045" s="1742" t="s">
        <v>5834</v>
      </c>
      <c r="D8045" s="1735"/>
      <c r="E8045" s="1733">
        <f>F8047-(E8046+E8047)</f>
        <v>105.34</v>
      </c>
      <c r="F8045" s="1290"/>
      <c r="G8045" s="1550"/>
    </row>
    <row r="8046" spans="1:7" ht="12.75" customHeight="1">
      <c r="A8046" s="1667">
        <v>45215</v>
      </c>
      <c r="B8046" s="816" t="str">
        <f>TiposLancamentos!B3</f>
        <v>Internet</v>
      </c>
      <c r="C8046" s="1769" t="s">
        <v>5835</v>
      </c>
      <c r="D8046" s="1736"/>
      <c r="E8046" s="1734">
        <v>143.43</v>
      </c>
      <c r="F8046" s="1043"/>
      <c r="G8046" s="1550"/>
    </row>
    <row r="8047" spans="1:7" ht="12.75" customHeight="1">
      <c r="A8047" s="1750">
        <v>45215</v>
      </c>
      <c r="B8047" s="818" t="str">
        <f>TiposLancamentos!B2</f>
        <v>Telefonia</v>
      </c>
      <c r="C8047" s="1743" t="s">
        <v>7210</v>
      </c>
      <c r="D8047" s="1737"/>
      <c r="E8047" s="1668">
        <v>0</v>
      </c>
      <c r="F8047" s="1291">
        <v>248.77</v>
      </c>
      <c r="G8047" s="1550"/>
    </row>
    <row r="8048" spans="1:7" ht="12.75" customHeight="1">
      <c r="A8048" s="1754">
        <v>45215</v>
      </c>
      <c r="B8048" s="116"/>
      <c r="C8048" s="1040" t="s">
        <v>1868</v>
      </c>
      <c r="D8048" s="1736">
        <v>0</v>
      </c>
      <c r="E8048" s="1043"/>
      <c r="F8048" s="1043"/>
      <c r="G8048" s="1550"/>
    </row>
    <row r="8049" spans="1:7" ht="12.75" customHeight="1">
      <c r="A8049" s="1754">
        <v>45215</v>
      </c>
      <c r="B8049" s="125" t="str">
        <f>TiposLancamentos!B2</f>
        <v>Telefonia</v>
      </c>
      <c r="C8049" s="1040" t="s">
        <v>8797</v>
      </c>
      <c r="D8049" s="1736"/>
      <c r="E8049" s="1043">
        <v>59.89</v>
      </c>
      <c r="F8049" s="1043"/>
      <c r="G8049" s="1550"/>
    </row>
    <row r="8050" spans="1:7" ht="12.75" customHeight="1">
      <c r="A8050" s="1754"/>
      <c r="B8050" s="125"/>
      <c r="C8050" s="1040" t="s">
        <v>1868</v>
      </c>
      <c r="D8050" s="1736"/>
      <c r="E8050" s="1043"/>
      <c r="F8050" s="1043"/>
      <c r="G8050" s="1550"/>
    </row>
    <row r="8051" spans="1:7" ht="12.75" customHeight="1">
      <c r="A8051" s="1666">
        <v>45219</v>
      </c>
      <c r="B8051" s="817" t="str">
        <f>TiposLancamentos!B8</f>
        <v>Aluguel</v>
      </c>
      <c r="C8051" s="1742" t="s">
        <v>9047</v>
      </c>
      <c r="D8051" s="1735"/>
      <c r="E8051" s="1733">
        <f>F8056-SUM(E8052:E8056)</f>
        <v>1631.85</v>
      </c>
      <c r="F8051" s="1346"/>
      <c r="G8051" s="1550"/>
    </row>
    <row r="8052" spans="1:7" ht="12.75" customHeight="1">
      <c r="A8052" s="1667">
        <v>45219</v>
      </c>
      <c r="B8052" s="816" t="str">
        <f>TiposLancamentos!B12</f>
        <v>IPTU</v>
      </c>
      <c r="C8052" s="1769" t="s">
        <v>9048</v>
      </c>
      <c r="D8052" s="1736"/>
      <c r="E8052" s="1734">
        <f>34.5*2</f>
        <v>69</v>
      </c>
      <c r="F8052" s="1043"/>
      <c r="G8052" s="1550"/>
    </row>
    <row r="8053" spans="1:7" ht="12.75" customHeight="1">
      <c r="A8053" s="1667">
        <v>45219</v>
      </c>
      <c r="B8053" s="816" t="str">
        <f>TiposLancamentos!B10</f>
        <v>Distr. Água Municipal</v>
      </c>
      <c r="C8053" s="1769" t="s">
        <v>7423</v>
      </c>
      <c r="D8053" s="1736"/>
      <c r="E8053" s="1734">
        <f>66.54*2</f>
        <v>133.08000000000001</v>
      </c>
      <c r="F8053" s="1043"/>
      <c r="G8053" s="1550"/>
    </row>
    <row r="8054" spans="1:7" ht="12.75" customHeight="1">
      <c r="A8054" s="1667">
        <v>45219</v>
      </c>
      <c r="B8054" s="816" t="str">
        <f>TiposLancamentos!B11</f>
        <v>Coleta Municipal Lixo</v>
      </c>
      <c r="C8054" s="1769" t="s">
        <v>7424</v>
      </c>
      <c r="D8054" s="1736"/>
      <c r="E8054" s="1734">
        <f>44.36*2</f>
        <v>88.72</v>
      </c>
      <c r="F8054" s="1043"/>
      <c r="G8054" s="1550"/>
    </row>
    <row r="8055" spans="1:7" ht="12.75" customHeight="1">
      <c r="A8055" s="1667">
        <v>45219</v>
      </c>
      <c r="B8055" s="816" t="str">
        <f>TiposLancamentos!B8</f>
        <v>Aluguel</v>
      </c>
      <c r="C8055" s="1769" t="s">
        <v>8955</v>
      </c>
      <c r="D8055" s="1736"/>
      <c r="E8055" s="1734">
        <v>8</v>
      </c>
      <c r="F8055" s="1043"/>
      <c r="G8055" s="1550"/>
    </row>
    <row r="8056" spans="1:7" ht="12.75" customHeight="1">
      <c r="A8056" s="1750">
        <v>45219</v>
      </c>
      <c r="B8056" s="818" t="str">
        <f>TiposLancamentos!B9</f>
        <v>Condominio</v>
      </c>
      <c r="C8056" s="1743" t="s">
        <v>7427</v>
      </c>
      <c r="D8056" s="1737"/>
      <c r="E8056" s="1668">
        <v>616.37</v>
      </c>
      <c r="F8056" s="1291">
        <v>2547.02</v>
      </c>
      <c r="G8056" s="1550"/>
    </row>
    <row r="8057" spans="1:7" ht="12.75" customHeight="1">
      <c r="A8057" s="1754"/>
      <c r="B8057" s="125"/>
      <c r="C8057" s="1040" t="s">
        <v>1868</v>
      </c>
      <c r="D8057" s="1736"/>
      <c r="E8057" s="1043"/>
      <c r="F8057" s="1043"/>
      <c r="G8057" s="1550"/>
    </row>
    <row r="8058" spans="1:7" ht="12.75" customHeight="1">
      <c r="A8058" s="1754">
        <v>45219</v>
      </c>
      <c r="B8058" s="125" t="str">
        <f>TiposLancamentos!B13</f>
        <v>Moradia</v>
      </c>
      <c r="C8058" s="1040" t="s">
        <v>9166</v>
      </c>
      <c r="D8058" s="1736"/>
      <c r="E8058" s="1043">
        <v>15</v>
      </c>
      <c r="F8058" s="1043"/>
      <c r="G8058" s="1550"/>
    </row>
    <row r="8059" spans="1:7" ht="12.75" customHeight="1">
      <c r="A8059" s="1754">
        <v>45219</v>
      </c>
      <c r="B8059" s="125" t="str">
        <f>TiposLancamentos!B19</f>
        <v>Restaurantes</v>
      </c>
      <c r="C8059" s="1040" t="s">
        <v>9167</v>
      </c>
      <c r="D8059" s="1736"/>
      <c r="E8059" s="1043">
        <v>68.790000000000006</v>
      </c>
      <c r="F8059" s="1043"/>
      <c r="G8059" s="1550"/>
    </row>
    <row r="8060" spans="1:7" ht="12.75" customHeight="1">
      <c r="A8060" s="1754">
        <v>45219</v>
      </c>
      <c r="B8060" s="125" t="str">
        <f>TiposLancamentos!B19</f>
        <v>Restaurantes</v>
      </c>
      <c r="C8060" s="1040" t="s">
        <v>9168</v>
      </c>
      <c r="D8060" s="1736"/>
      <c r="E8060" s="1043">
        <v>85.6</v>
      </c>
      <c r="F8060" s="1043"/>
      <c r="G8060" s="1550"/>
    </row>
    <row r="8061" spans="1:7" ht="12.75" customHeight="1">
      <c r="A8061" s="1754">
        <v>45220</v>
      </c>
      <c r="B8061" s="125" t="str">
        <f>TiposLancamentos!B19</f>
        <v>Restaurantes</v>
      </c>
      <c r="C8061" s="1040" t="s">
        <v>9169</v>
      </c>
      <c r="D8061" s="1736"/>
      <c r="E8061" s="1043">
        <v>82.9</v>
      </c>
      <c r="F8061" s="1043"/>
      <c r="G8061" s="1550"/>
    </row>
    <row r="8062" spans="1:7" ht="12.75" customHeight="1">
      <c r="A8062" s="1754">
        <v>45222</v>
      </c>
      <c r="B8062" s="125" t="str">
        <f>TiposLancamentos!B6</f>
        <v>Energia Eletrica</v>
      </c>
      <c r="C8062" s="1040" t="s">
        <v>9170</v>
      </c>
      <c r="D8062" s="1736"/>
      <c r="E8062" s="1043">
        <v>196.26</v>
      </c>
      <c r="F8062" s="1043"/>
      <c r="G8062" s="1550"/>
    </row>
    <row r="8063" spans="1:7" ht="12.75" customHeight="1">
      <c r="A8063" s="1754">
        <v>45223</v>
      </c>
      <c r="B8063" s="125" t="str">
        <f>TiposLancamentos!B19</f>
        <v>Restaurantes</v>
      </c>
      <c r="C8063" s="1040" t="s">
        <v>9171</v>
      </c>
      <c r="D8063" s="1736">
        <v>59.22</v>
      </c>
      <c r="E8063" s="1043"/>
      <c r="F8063" s="1043"/>
      <c r="G8063" s="1550"/>
    </row>
    <row r="8064" spans="1:7" ht="12.75" customHeight="1">
      <c r="A8064" s="1754">
        <v>45230</v>
      </c>
      <c r="B8064" s="125" t="str">
        <f>TiposLancamentos!B95</f>
        <v>Salarios</v>
      </c>
      <c r="C8064" s="1040" t="s">
        <v>9021</v>
      </c>
      <c r="D8064" s="1736">
        <v>8797.7999999999993</v>
      </c>
      <c r="E8064" s="1043"/>
      <c r="F8064" s="1043"/>
      <c r="G8064" s="1550"/>
    </row>
    <row r="8065" spans="1:7" ht="12.75" customHeight="1" thickBot="1">
      <c r="A8065" s="1754">
        <v>45230</v>
      </c>
      <c r="B8065" s="125" t="str">
        <f>TiposLancamentos!B16</f>
        <v>Cristiane</v>
      </c>
      <c r="C8065" s="1040" t="s">
        <v>9172</v>
      </c>
      <c r="D8065" s="1736"/>
      <c r="E8065" s="1043">
        <v>59.22</v>
      </c>
      <c r="F8065" s="1043"/>
      <c r="G8065" s="1550"/>
    </row>
    <row r="8066" spans="1:7" ht="12.75" customHeight="1">
      <c r="A8066" s="1834"/>
      <c r="B8066" s="977"/>
      <c r="C8066" s="1854" t="s">
        <v>1628</v>
      </c>
      <c r="D8066" s="1823"/>
      <c r="E8066" s="1821"/>
      <c r="F8066" s="1821"/>
      <c r="G8066" s="1895"/>
    </row>
    <row r="8067" spans="1:7" ht="12.75" customHeight="1">
      <c r="A8067" s="1754">
        <v>45231</v>
      </c>
      <c r="B8067" s="125" t="str">
        <f>TiposLancamentos!B15</f>
        <v>Cartões de Crédito</v>
      </c>
      <c r="C8067" s="1040" t="s">
        <v>8016</v>
      </c>
      <c r="D8067" s="1736"/>
      <c r="E8067" s="1043">
        <v>1000.75</v>
      </c>
      <c r="F8067" s="1043"/>
      <c r="G8067" s="1550"/>
    </row>
    <row r="8068" spans="1:7" ht="12.75" customHeight="1">
      <c r="A8068" s="1754">
        <v>45231</v>
      </c>
      <c r="B8068" s="125" t="str">
        <f>TiposLancamentos!B15</f>
        <v>Cartões de Crédito</v>
      </c>
      <c r="C8068" s="1040" t="s">
        <v>8772</v>
      </c>
      <c r="D8068" s="1736"/>
      <c r="E8068" s="1043">
        <v>1341.47</v>
      </c>
      <c r="F8068" s="1043"/>
      <c r="G8068" s="1550"/>
    </row>
    <row r="8069" spans="1:7" ht="12.75" customHeight="1">
      <c r="A8069" s="1754">
        <v>45231</v>
      </c>
      <c r="B8069" s="125" t="str">
        <f>TiposLancamentos!B15</f>
        <v>Cartões de Crédito</v>
      </c>
      <c r="C8069" s="1040" t="s">
        <v>9153</v>
      </c>
      <c r="D8069" s="1736"/>
      <c r="E8069" s="1043">
        <v>1590.05</v>
      </c>
      <c r="F8069" s="1043"/>
      <c r="G8069" s="1550"/>
    </row>
    <row r="8070" spans="1:7" ht="12.75" customHeight="1">
      <c r="A8070" s="1754">
        <v>45231</v>
      </c>
      <c r="B8070" s="125" t="str">
        <f>TiposLancamentos!B15</f>
        <v>Cartões de Crédito</v>
      </c>
      <c r="C8070" s="1040" t="s">
        <v>9173</v>
      </c>
      <c r="D8070" s="1736"/>
      <c r="E8070" s="1043">
        <v>230.85</v>
      </c>
      <c r="F8070" s="1043"/>
      <c r="G8070" s="1550"/>
    </row>
    <row r="8071" spans="1:7" ht="12.75" customHeight="1">
      <c r="A8071" s="1754">
        <v>45231</v>
      </c>
      <c r="B8071" s="125" t="str">
        <f>TiposLancamentos!B15</f>
        <v>Cartões de Crédito</v>
      </c>
      <c r="C8071" s="1040" t="s">
        <v>9174</v>
      </c>
      <c r="D8071" s="1736"/>
      <c r="E8071" s="1043">
        <v>400.99</v>
      </c>
      <c r="F8071" s="1043"/>
      <c r="G8071" s="1550"/>
    </row>
    <row r="8072" spans="1:7" ht="12.75" customHeight="1">
      <c r="A8072" s="1754">
        <v>45231</v>
      </c>
      <c r="B8072" s="125" t="str">
        <f>TiposLancamentos!B15</f>
        <v>Cartões de Crédito</v>
      </c>
      <c r="C8072" s="1040" t="s">
        <v>9175</v>
      </c>
      <c r="D8072" s="1736"/>
      <c r="E8072" s="1043">
        <v>150</v>
      </c>
      <c r="F8072" s="1043"/>
      <c r="G8072" s="1550"/>
    </row>
    <row r="8073" spans="1:7" ht="12.75" customHeight="1">
      <c r="A8073" s="1754">
        <v>45231</v>
      </c>
      <c r="B8073" s="125" t="str">
        <f>TiposLancamentos!B14</f>
        <v>Gás de cozinha</v>
      </c>
      <c r="C8073" s="1040" t="s">
        <v>9132</v>
      </c>
      <c r="D8073" s="1736"/>
      <c r="E8073" s="1043">
        <v>59.69</v>
      </c>
      <c r="F8073" s="1043"/>
      <c r="G8073" s="1550"/>
    </row>
    <row r="8074" spans="1:7" ht="12.75" customHeight="1">
      <c r="A8074" s="1754">
        <v>45231</v>
      </c>
      <c r="B8074" s="125" t="str">
        <f>TiposLancamentos!B46</f>
        <v>Maçonaria</v>
      </c>
      <c r="C8074" s="1040" t="s">
        <v>9176</v>
      </c>
      <c r="D8074" s="1736"/>
      <c r="E8074" s="1043">
        <v>600</v>
      </c>
      <c r="F8074" s="1043"/>
      <c r="G8074" s="1550"/>
    </row>
    <row r="8075" spans="1:7" ht="12.75" customHeight="1">
      <c r="A8075" s="1754">
        <v>45233</v>
      </c>
      <c r="B8075" s="125" t="str">
        <f>TiposLancamentos!B13</f>
        <v>Moradia</v>
      </c>
      <c r="C8075" s="1040" t="s">
        <v>9177</v>
      </c>
      <c r="D8075" s="1736"/>
      <c r="E8075" s="1043">
        <v>15</v>
      </c>
      <c r="F8075" s="1043"/>
      <c r="G8075" s="1550"/>
    </row>
    <row r="8076" spans="1:7" ht="12.75" customHeight="1">
      <c r="A8076" s="1754">
        <v>45233</v>
      </c>
      <c r="B8076" s="125" t="str">
        <f>TiposLancamentos!B4</f>
        <v>Taxas Bancarias</v>
      </c>
      <c r="C8076" s="1040" t="s">
        <v>4858</v>
      </c>
      <c r="D8076" s="1736"/>
      <c r="E8076" s="1043">
        <v>45.5</v>
      </c>
      <c r="F8076" s="1043"/>
      <c r="G8076" s="1550"/>
    </row>
    <row r="8077" spans="1:7" ht="12.75" customHeight="1">
      <c r="A8077" s="1754">
        <v>45233</v>
      </c>
      <c r="B8077" s="125" t="str">
        <f>TiposLancamentos!B4</f>
        <v>Taxas Bancarias</v>
      </c>
      <c r="C8077" s="1040" t="s">
        <v>7681</v>
      </c>
      <c r="D8077" s="1736"/>
      <c r="E8077" s="1043">
        <v>5.9</v>
      </c>
      <c r="F8077" s="1043"/>
      <c r="G8077" s="1550"/>
    </row>
    <row r="8078" spans="1:7" ht="12.75" customHeight="1">
      <c r="A8078" s="1754">
        <v>45235</v>
      </c>
      <c r="B8078" s="125" t="str">
        <f>TiposLancamentos!B24</f>
        <v>Estacionamentos</v>
      </c>
      <c r="C8078" s="1040" t="s">
        <v>4783</v>
      </c>
      <c r="D8078" s="1736"/>
      <c r="E8078" s="1043">
        <v>30</v>
      </c>
      <c r="F8078" s="1043"/>
      <c r="G8078" s="1550"/>
    </row>
    <row r="8079" spans="1:7" ht="12.75" customHeight="1">
      <c r="A8079" s="1754">
        <v>45235</v>
      </c>
      <c r="B8079" s="125" t="str">
        <f>TiposLancamentos!B19</f>
        <v>Restaurantes</v>
      </c>
      <c r="C8079" s="1040" t="s">
        <v>9178</v>
      </c>
      <c r="D8079" s="1736"/>
      <c r="E8079" s="1043">
        <v>73</v>
      </c>
      <c r="F8079" s="1043"/>
      <c r="G8079" s="1550"/>
    </row>
    <row r="8080" spans="1:7" ht="12.75" customHeight="1">
      <c r="A8080" s="1754">
        <v>45237</v>
      </c>
      <c r="B8080" s="125" t="str">
        <f>TiposLancamentos!B24</f>
        <v>Estacionamentos</v>
      </c>
      <c r="C8080" s="1040" t="s">
        <v>9179</v>
      </c>
      <c r="D8080" s="1736"/>
      <c r="E8080" s="1043">
        <v>14</v>
      </c>
      <c r="F8080" s="1043"/>
      <c r="G8080" s="1550"/>
    </row>
    <row r="8081" spans="1:7" ht="12.75" customHeight="1">
      <c r="A8081" s="1754">
        <v>45237</v>
      </c>
      <c r="B8081" s="125" t="str">
        <f>TiposLancamentos!B4</f>
        <v>Taxas Bancarias</v>
      </c>
      <c r="C8081" s="1040" t="s">
        <v>8778</v>
      </c>
      <c r="D8081" s="1736"/>
      <c r="E8081" s="1043">
        <v>462.44</v>
      </c>
      <c r="F8081" s="1043"/>
      <c r="G8081" s="1550"/>
    </row>
    <row r="8082" spans="1:7" ht="12.75" customHeight="1">
      <c r="A8082" s="1754">
        <v>45237</v>
      </c>
      <c r="B8082" s="125" t="str">
        <f>TiposLancamentos!B4</f>
        <v>Taxas Bancarias</v>
      </c>
      <c r="C8082" s="1040" t="s">
        <v>9180</v>
      </c>
      <c r="D8082" s="1736"/>
      <c r="E8082" s="1043">
        <v>29.87</v>
      </c>
      <c r="F8082" s="1043"/>
      <c r="G8082" s="1550"/>
    </row>
    <row r="8083" spans="1:7" ht="12.75" customHeight="1">
      <c r="A8083" s="1754">
        <v>45244</v>
      </c>
      <c r="B8083" s="125" t="str">
        <f>TiposLancamentos!B32</f>
        <v>Clinicas e tratamentos</v>
      </c>
      <c r="C8083" s="1040" t="s">
        <v>9181</v>
      </c>
      <c r="D8083" s="1736"/>
      <c r="E8083" s="1043">
        <v>500</v>
      </c>
      <c r="F8083" s="1043"/>
      <c r="G8083" s="1550"/>
    </row>
    <row r="8084" spans="1:7" ht="12.75" customHeight="1">
      <c r="A8084" s="1754"/>
      <c r="B8084" s="116"/>
      <c r="C8084" s="1040" t="s">
        <v>1868</v>
      </c>
      <c r="D8084" s="1736">
        <v>0</v>
      </c>
      <c r="E8084" s="1043">
        <v>0</v>
      </c>
      <c r="F8084" s="1664"/>
      <c r="G8084" s="1550"/>
    </row>
    <row r="8085" spans="1:7" ht="12.75" customHeight="1">
      <c r="A8085" s="1666">
        <v>45246</v>
      </c>
      <c r="B8085" s="817" t="str">
        <f>TiposLancamentos!B35</f>
        <v>Tv à Cabo</v>
      </c>
      <c r="C8085" s="1742" t="s">
        <v>5834</v>
      </c>
      <c r="D8085" s="1735"/>
      <c r="E8085" s="1733">
        <f>F8087-(E8086+E8087)</f>
        <v>64.34</v>
      </c>
      <c r="F8085" s="1290"/>
      <c r="G8085" s="1550"/>
    </row>
    <row r="8086" spans="1:7" ht="12.75" customHeight="1">
      <c r="A8086" s="1667">
        <v>45246</v>
      </c>
      <c r="B8086" s="816" t="str">
        <f>TiposLancamentos!B3</f>
        <v>Internet</v>
      </c>
      <c r="C8086" s="1769" t="s">
        <v>5835</v>
      </c>
      <c r="D8086" s="1736"/>
      <c r="E8086" s="1734">
        <v>87.43</v>
      </c>
      <c r="F8086" s="1043"/>
      <c r="G8086" s="1550"/>
    </row>
    <row r="8087" spans="1:7" ht="12.75" customHeight="1">
      <c r="A8087" s="1750">
        <v>45246</v>
      </c>
      <c r="B8087" s="818" t="str">
        <f>TiposLancamentos!B2</f>
        <v>Telefonia</v>
      </c>
      <c r="C8087" s="1743" t="s">
        <v>7210</v>
      </c>
      <c r="D8087" s="1737"/>
      <c r="E8087" s="1668">
        <v>9.32</v>
      </c>
      <c r="F8087" s="1291">
        <v>161.09</v>
      </c>
      <c r="G8087" s="1550"/>
    </row>
    <row r="8088" spans="1:7" ht="12.75" customHeight="1">
      <c r="A8088" s="1754">
        <v>45246</v>
      </c>
      <c r="B8088" s="116"/>
      <c r="C8088" s="1040" t="s">
        <v>1868</v>
      </c>
      <c r="D8088" s="1736">
        <v>0</v>
      </c>
      <c r="E8088" s="1043"/>
      <c r="F8088" s="1043"/>
      <c r="G8088" s="1550"/>
    </row>
    <row r="8089" spans="1:7" ht="12.75" customHeight="1">
      <c r="A8089" s="1754">
        <v>45246</v>
      </c>
      <c r="B8089" s="125" t="str">
        <f>TiposLancamentos!B2</f>
        <v>Telefonia</v>
      </c>
      <c r="C8089" s="1040" t="s">
        <v>8797</v>
      </c>
      <c r="D8089" s="1736"/>
      <c r="E8089" s="1043">
        <v>59.89</v>
      </c>
      <c r="F8089" s="1043"/>
      <c r="G8089" s="1550"/>
    </row>
    <row r="8090" spans="1:7" ht="12.75" customHeight="1">
      <c r="A8090" s="1754">
        <v>45247</v>
      </c>
      <c r="B8090" s="125" t="str">
        <f>TiposLancamentos!B13</f>
        <v>Moradia</v>
      </c>
      <c r="C8090" s="1040" t="s">
        <v>9182</v>
      </c>
      <c r="D8090" s="1736"/>
      <c r="E8090" s="1043">
        <v>15</v>
      </c>
      <c r="F8090" s="1043"/>
      <c r="G8090" s="1550"/>
    </row>
    <row r="8091" spans="1:7" ht="12.75" customHeight="1">
      <c r="A8091" s="1754"/>
      <c r="B8091" s="125"/>
      <c r="C8091" s="1040" t="s">
        <v>1868</v>
      </c>
      <c r="D8091" s="1736"/>
      <c r="E8091" s="1043"/>
      <c r="F8091" s="1043"/>
      <c r="G8091" s="1550"/>
    </row>
    <row r="8092" spans="1:7" ht="12.75" customHeight="1">
      <c r="A8092" s="1666">
        <v>45250</v>
      </c>
      <c r="B8092" s="817" t="str">
        <f>TiposLancamentos!B8</f>
        <v>Aluguel</v>
      </c>
      <c r="C8092" s="1742" t="s">
        <v>9047</v>
      </c>
      <c r="D8092" s="1735"/>
      <c r="E8092" s="1733">
        <f>F8097-SUM(E8093:E8097)</f>
        <v>1631.75</v>
      </c>
      <c r="F8092" s="1346"/>
      <c r="G8092" s="1550"/>
    </row>
    <row r="8093" spans="1:7" ht="12.75" customHeight="1">
      <c r="A8093" s="1667">
        <v>45250</v>
      </c>
      <c r="B8093" s="816" t="str">
        <f>TiposLancamentos!B12</f>
        <v>IPTU</v>
      </c>
      <c r="C8093" s="1769" t="s">
        <v>9048</v>
      </c>
      <c r="D8093" s="1736"/>
      <c r="E8093" s="1734">
        <v>34.5</v>
      </c>
      <c r="F8093" s="1043"/>
      <c r="G8093" s="1550"/>
    </row>
    <row r="8094" spans="1:7" ht="12.75" customHeight="1">
      <c r="A8094" s="1667">
        <v>45250</v>
      </c>
      <c r="B8094" s="816" t="str">
        <f>TiposLancamentos!B10</f>
        <v>Distr. Água Municipal</v>
      </c>
      <c r="C8094" s="1769" t="s">
        <v>7423</v>
      </c>
      <c r="D8094" s="1736"/>
      <c r="E8094" s="1734">
        <v>66.540000000000006</v>
      </c>
      <c r="F8094" s="1043"/>
      <c r="G8094" s="1550"/>
    </row>
    <row r="8095" spans="1:7" ht="12.75" customHeight="1">
      <c r="A8095" s="1667">
        <v>45250</v>
      </c>
      <c r="B8095" s="816" t="str">
        <f>TiposLancamentos!B11</f>
        <v>Coleta Municipal Lixo</v>
      </c>
      <c r="C8095" s="1769" t="s">
        <v>7424</v>
      </c>
      <c r="D8095" s="1736"/>
      <c r="E8095" s="1734">
        <v>44.36</v>
      </c>
      <c r="F8095" s="1043"/>
      <c r="G8095" s="1550"/>
    </row>
    <row r="8096" spans="1:7" ht="12.75" customHeight="1">
      <c r="A8096" s="1667">
        <v>45250</v>
      </c>
      <c r="B8096" s="816" t="str">
        <f>TiposLancamentos!B8</f>
        <v>Aluguel</v>
      </c>
      <c r="C8096" s="1769" t="s">
        <v>8955</v>
      </c>
      <c r="D8096" s="1736"/>
      <c r="E8096" s="1734">
        <v>8</v>
      </c>
      <c r="F8096" s="1043"/>
      <c r="G8096" s="1550"/>
    </row>
    <row r="8097" spans="1:7" ht="12.75" customHeight="1">
      <c r="A8097" s="1750">
        <v>45250</v>
      </c>
      <c r="B8097" s="818" t="str">
        <f>TiposLancamentos!B9</f>
        <v>Condominio</v>
      </c>
      <c r="C8097" s="1743" t="s">
        <v>7427</v>
      </c>
      <c r="D8097" s="1737"/>
      <c r="E8097" s="1668">
        <v>616.37</v>
      </c>
      <c r="F8097" s="1291">
        <v>2401.52</v>
      </c>
      <c r="G8097" s="1550"/>
    </row>
    <row r="8098" spans="1:7" ht="12.75" customHeight="1">
      <c r="A8098" s="1754"/>
      <c r="B8098" s="125"/>
      <c r="C8098" s="1040" t="s">
        <v>1868</v>
      </c>
      <c r="D8098" s="1736"/>
      <c r="E8098" s="1043"/>
      <c r="F8098" s="1043"/>
      <c r="G8098" s="1550"/>
    </row>
    <row r="8099" spans="1:7" ht="12.75" customHeight="1">
      <c r="A8099" s="1754">
        <v>45251</v>
      </c>
      <c r="B8099" s="125" t="str">
        <f>TiposLancamentos!B6</f>
        <v>Energia Eletrica</v>
      </c>
      <c r="C8099" s="1040" t="s">
        <v>9183</v>
      </c>
      <c r="D8099" s="1736"/>
      <c r="E8099" s="1043">
        <v>235.22</v>
      </c>
      <c r="F8099" s="1043"/>
      <c r="G8099" s="1550"/>
    </row>
    <row r="8100" spans="1:7" ht="12.75" customHeight="1">
      <c r="A8100" s="1754">
        <v>45255</v>
      </c>
      <c r="B8100" s="125" t="str">
        <f>TiposLancamentos!B24</f>
        <v>Estacionamentos</v>
      </c>
      <c r="C8100" s="1040" t="s">
        <v>9184</v>
      </c>
      <c r="D8100" s="1736"/>
      <c r="E8100" s="1043">
        <v>9</v>
      </c>
      <c r="F8100" s="1043"/>
      <c r="G8100" s="1550"/>
    </row>
    <row r="8101" spans="1:7" ht="12.75" customHeight="1">
      <c r="A8101" s="1754">
        <v>45255</v>
      </c>
      <c r="B8101" s="125" t="str">
        <f>TiposLancamentos!B71</f>
        <v>Itens Pessoais</v>
      </c>
      <c r="C8101" s="1040" t="s">
        <v>9185</v>
      </c>
      <c r="D8101" s="1736"/>
      <c r="E8101" s="1043">
        <v>30</v>
      </c>
      <c r="F8101" s="1043"/>
      <c r="G8101" s="1550"/>
    </row>
    <row r="8102" spans="1:7" ht="12.75" customHeight="1">
      <c r="A8102" s="1754">
        <v>45255</v>
      </c>
      <c r="B8102" s="125" t="str">
        <f>TiposLancamentos!B16</f>
        <v>Cristiane</v>
      </c>
      <c r="C8102" s="1040" t="s">
        <v>9186</v>
      </c>
      <c r="D8102" s="1736"/>
      <c r="E8102" s="1043">
        <v>60</v>
      </c>
      <c r="F8102" s="1043">
        <f>SUM(E8101:E8102)</f>
        <v>90</v>
      </c>
      <c r="G8102" s="1550"/>
    </row>
    <row r="8103" spans="1:7" ht="12.75" customHeight="1">
      <c r="A8103" s="1754">
        <v>45257</v>
      </c>
      <c r="B8103" s="125" t="str">
        <f>TiposLancamentos!B13</f>
        <v>Moradia</v>
      </c>
      <c r="C8103" s="1040" t="s">
        <v>9067</v>
      </c>
      <c r="D8103" s="1736"/>
      <c r="E8103" s="1043">
        <v>30</v>
      </c>
      <c r="F8103" s="1043"/>
      <c r="G8103" s="1550"/>
    </row>
    <row r="8104" spans="1:7" ht="12.75" customHeight="1" thickBot="1">
      <c r="A8104" s="1754">
        <v>45260</v>
      </c>
      <c r="B8104" s="125" t="str">
        <f>TiposLancamentos!B95</f>
        <v>Salarios</v>
      </c>
      <c r="C8104" s="1040" t="s">
        <v>9021</v>
      </c>
      <c r="D8104" s="1736">
        <v>13120.5</v>
      </c>
      <c r="E8104" s="1043"/>
      <c r="F8104" s="1043"/>
      <c r="G8104" s="1550"/>
    </row>
    <row r="8105" spans="1:7" ht="12.75" customHeight="1">
      <c r="A8105" s="1834"/>
      <c r="B8105" s="977"/>
      <c r="C8105" s="1854" t="s">
        <v>1629</v>
      </c>
      <c r="D8105" s="1823"/>
      <c r="E8105" s="1821"/>
      <c r="F8105" s="1821"/>
      <c r="G8105" s="1895"/>
    </row>
    <row r="8106" spans="1:7" ht="12.75" customHeight="1">
      <c r="A8106" s="1754">
        <v>45261</v>
      </c>
      <c r="B8106" s="125" t="str">
        <f>TiposLancamentos!B15</f>
        <v>Cartões de Crédito</v>
      </c>
      <c r="C8106" s="1040" t="s">
        <v>8016</v>
      </c>
      <c r="D8106" s="1736"/>
      <c r="E8106" s="1043">
        <v>3688.67</v>
      </c>
      <c r="F8106" s="1043"/>
      <c r="G8106" s="1550"/>
    </row>
    <row r="8107" spans="1:7" ht="12.75" customHeight="1">
      <c r="A8107" s="1754">
        <v>45261</v>
      </c>
      <c r="B8107" s="125" t="str">
        <f>TiposLancamentos!B15</f>
        <v>Cartões de Crédito</v>
      </c>
      <c r="C8107" s="1040" t="s">
        <v>8772</v>
      </c>
      <c r="D8107" s="1736"/>
      <c r="E8107" s="1043">
        <v>1761.52</v>
      </c>
      <c r="F8107" s="1043"/>
      <c r="G8107" s="1550"/>
    </row>
    <row r="8108" spans="1:7" ht="12.75" customHeight="1">
      <c r="A8108" s="1754">
        <v>45261</v>
      </c>
      <c r="B8108" s="125" t="str">
        <f>TiposLancamentos!B15</f>
        <v>Cartões de Crédito</v>
      </c>
      <c r="C8108" s="1040" t="s">
        <v>9153</v>
      </c>
      <c r="D8108" s="1736"/>
      <c r="E8108" s="1043">
        <v>2215.1799999999998</v>
      </c>
      <c r="F8108" s="1043"/>
      <c r="G8108" s="1550"/>
    </row>
    <row r="8109" spans="1:7" ht="12.75" customHeight="1">
      <c r="A8109" s="1754">
        <v>45261</v>
      </c>
      <c r="B8109" s="125" t="str">
        <f>TiposLancamentos!B15</f>
        <v>Cartões de Crédito</v>
      </c>
      <c r="C8109" s="1040" t="s">
        <v>9173</v>
      </c>
      <c r="D8109" s="1736"/>
      <c r="E8109" s="1043">
        <v>0</v>
      </c>
      <c r="F8109" s="1043"/>
      <c r="G8109" s="1550"/>
    </row>
    <row r="8110" spans="1:7" ht="12.75" customHeight="1">
      <c r="A8110" s="1754">
        <v>45261</v>
      </c>
      <c r="B8110" s="125" t="str">
        <f>TiposLancamentos!B15</f>
        <v>Cartões de Crédito</v>
      </c>
      <c r="C8110" s="1040" t="s">
        <v>9174</v>
      </c>
      <c r="D8110" s="1736"/>
      <c r="E8110" s="1043">
        <v>92</v>
      </c>
      <c r="F8110" s="1043"/>
      <c r="G8110" s="1550"/>
    </row>
    <row r="8111" spans="1:7" ht="12.75" customHeight="1">
      <c r="A8111" s="1754">
        <v>45261</v>
      </c>
      <c r="B8111" s="125" t="str">
        <f>TiposLancamentos!B15</f>
        <v>Cartões de Crédito</v>
      </c>
      <c r="C8111" s="1040" t="s">
        <v>9175</v>
      </c>
      <c r="D8111" s="1736"/>
      <c r="E8111" s="1043">
        <v>50</v>
      </c>
      <c r="F8111" s="1043"/>
      <c r="G8111" s="1550"/>
    </row>
    <row r="8112" spans="1:7" ht="12.75" customHeight="1">
      <c r="A8112" s="1754">
        <v>45261</v>
      </c>
      <c r="B8112" s="125" t="str">
        <f>TiposLancamentos!B14</f>
        <v>Gás de cozinha</v>
      </c>
      <c r="C8112" s="1040" t="s">
        <v>9132</v>
      </c>
      <c r="D8112" s="1736"/>
      <c r="E8112" s="1043">
        <v>59.66</v>
      </c>
      <c r="F8112" s="1043"/>
      <c r="G8112" s="1550"/>
    </row>
    <row r="8113" spans="1:7" ht="12.75" customHeight="1">
      <c r="A8113" s="1754">
        <v>45262</v>
      </c>
      <c r="B8113" s="125" t="str">
        <f>TiposLancamentos!B24</f>
        <v>Estacionamentos</v>
      </c>
      <c r="C8113" s="1040" t="s">
        <v>3398</v>
      </c>
      <c r="D8113" s="1736"/>
      <c r="E8113" s="1043">
        <v>13</v>
      </c>
      <c r="F8113" s="1043"/>
      <c r="G8113" s="1550"/>
    </row>
    <row r="8114" spans="1:7" ht="12.75" customHeight="1">
      <c r="A8114" s="1754">
        <v>45264</v>
      </c>
      <c r="B8114" s="125" t="str">
        <f>TiposLancamentos!B4</f>
        <v>Taxas Bancarias</v>
      </c>
      <c r="C8114" s="1040" t="s">
        <v>4858</v>
      </c>
      <c r="D8114" s="1736"/>
      <c r="E8114" s="1043">
        <v>49.82</v>
      </c>
      <c r="F8114" s="1043"/>
      <c r="G8114" s="1550"/>
    </row>
    <row r="8115" spans="1:7" ht="12.75" customHeight="1">
      <c r="A8115" s="1754">
        <v>45264</v>
      </c>
      <c r="B8115" s="125" t="str">
        <f>TiposLancamentos!B46</f>
        <v>Maçonaria</v>
      </c>
      <c r="C8115" s="1040" t="s">
        <v>9187</v>
      </c>
      <c r="D8115" s="1736"/>
      <c r="E8115" s="1043">
        <v>340</v>
      </c>
      <c r="F8115" s="1043"/>
      <c r="G8115" s="1550"/>
    </row>
    <row r="8116" spans="1:7" ht="12.75" customHeight="1">
      <c r="A8116" s="1754">
        <v>45264</v>
      </c>
      <c r="B8116" s="125" t="str">
        <f>TiposLancamentos!B4</f>
        <v>Taxas Bancarias</v>
      </c>
      <c r="C8116" s="1040" t="s">
        <v>7681</v>
      </c>
      <c r="D8116" s="1736"/>
      <c r="E8116" s="1043">
        <v>5.9</v>
      </c>
      <c r="F8116" s="1043"/>
      <c r="G8116" s="1550"/>
    </row>
    <row r="8117" spans="1:7" ht="12.75" customHeight="1">
      <c r="A8117" s="1754">
        <v>45265</v>
      </c>
      <c r="B8117" s="125" t="str">
        <f>TiposLancamentos!B4</f>
        <v>Taxas Bancarias</v>
      </c>
      <c r="C8117" s="1040" t="s">
        <v>8778</v>
      </c>
      <c r="D8117" s="1736"/>
      <c r="E8117" s="1043">
        <v>511.96</v>
      </c>
      <c r="F8117" s="1043"/>
      <c r="G8117" s="1550"/>
    </row>
    <row r="8118" spans="1:7" ht="12.75" customHeight="1">
      <c r="A8118" s="1754">
        <v>45266</v>
      </c>
      <c r="B8118" s="125" t="str">
        <f>TiposLancamentos!B4</f>
        <v>Taxas Bancarias</v>
      </c>
      <c r="C8118" s="1040" t="s">
        <v>9188</v>
      </c>
      <c r="D8118" s="1736"/>
      <c r="E8118" s="1043">
        <v>31.99</v>
      </c>
      <c r="F8118" s="1043"/>
      <c r="G8118" s="1550"/>
    </row>
    <row r="8119" spans="1:7" ht="12.75" customHeight="1">
      <c r="A8119" s="1754">
        <v>45268</v>
      </c>
      <c r="B8119" s="125" t="str">
        <f>TiposLancamentos!B13</f>
        <v>Moradia</v>
      </c>
      <c r="C8119" s="1040" t="s">
        <v>9166</v>
      </c>
      <c r="D8119" s="1736"/>
      <c r="E8119" s="1043">
        <v>15</v>
      </c>
      <c r="F8119" s="1043"/>
      <c r="G8119" s="1550"/>
    </row>
    <row r="8120" spans="1:7" ht="12.75" customHeight="1">
      <c r="A8120" s="1754">
        <v>45269</v>
      </c>
      <c r="B8120" s="125" t="str">
        <f>TiposLancamentos!B24</f>
        <v>Estacionamentos</v>
      </c>
      <c r="C8120" s="1040" t="s">
        <v>2186</v>
      </c>
      <c r="D8120" s="1736"/>
      <c r="E8120" s="1043">
        <v>13</v>
      </c>
      <c r="F8120" s="1043"/>
      <c r="G8120" s="1550"/>
    </row>
    <row r="8121" spans="1:7" ht="12.75" customHeight="1">
      <c r="A8121" s="1754">
        <v>45271</v>
      </c>
      <c r="B8121" s="125" t="str">
        <f>TiposLancamentos!B13</f>
        <v>Moradia</v>
      </c>
      <c r="C8121" s="1040" t="s">
        <v>9189</v>
      </c>
      <c r="D8121" s="1736"/>
      <c r="E8121" s="1043">
        <v>150</v>
      </c>
      <c r="F8121" s="1043"/>
      <c r="G8121" s="1550"/>
    </row>
    <row r="8122" spans="1:7" ht="12.75" customHeight="1">
      <c r="A8122" s="1754"/>
      <c r="B8122" s="116"/>
      <c r="C8122" s="1040" t="s">
        <v>1868</v>
      </c>
      <c r="D8122" s="1736">
        <v>0</v>
      </c>
      <c r="E8122" s="1043">
        <v>0</v>
      </c>
      <c r="F8122" s="1664"/>
      <c r="G8122" s="1550"/>
    </row>
    <row r="8123" spans="1:7" ht="12.75" customHeight="1">
      <c r="A8123" s="1666">
        <v>45275</v>
      </c>
      <c r="B8123" s="817" t="str">
        <f>TiposLancamentos!B35</f>
        <v>Tv à Cabo</v>
      </c>
      <c r="C8123" s="1742" t="s">
        <v>5834</v>
      </c>
      <c r="D8123" s="1735"/>
      <c r="E8123" s="1733">
        <f>F8125-(E8124+E8125)</f>
        <v>71.359999999999985</v>
      </c>
      <c r="F8123" s="1290"/>
      <c r="G8123" s="1550"/>
    </row>
    <row r="8124" spans="1:7" ht="12.75" customHeight="1">
      <c r="A8124" s="1667">
        <v>45275</v>
      </c>
      <c r="B8124" s="816" t="str">
        <f>TiposLancamentos!B3</f>
        <v>Internet</v>
      </c>
      <c r="C8124" s="1769" t="s">
        <v>5835</v>
      </c>
      <c r="D8124" s="1736"/>
      <c r="E8124" s="1734">
        <v>87.43</v>
      </c>
      <c r="F8124" s="1043"/>
      <c r="G8124" s="1550"/>
    </row>
    <row r="8125" spans="1:7" ht="12.75" customHeight="1">
      <c r="A8125" s="1750">
        <v>45275</v>
      </c>
      <c r="B8125" s="818" t="str">
        <f>TiposLancamentos!B2</f>
        <v>Telefonia</v>
      </c>
      <c r="C8125" s="1743" t="s">
        <v>7210</v>
      </c>
      <c r="D8125" s="1737"/>
      <c r="E8125" s="1668">
        <v>0</v>
      </c>
      <c r="F8125" s="1291">
        <v>158.79</v>
      </c>
      <c r="G8125" s="1550"/>
    </row>
    <row r="8126" spans="1:7" ht="12.75" customHeight="1">
      <c r="A8126" s="1754">
        <v>45275</v>
      </c>
      <c r="B8126" s="116"/>
      <c r="C8126" s="1040" t="s">
        <v>1868</v>
      </c>
      <c r="D8126" s="1736">
        <v>0</v>
      </c>
      <c r="E8126" s="1043"/>
      <c r="F8126" s="1043"/>
      <c r="G8126" s="1550"/>
    </row>
    <row r="8127" spans="1:7" ht="12.75" customHeight="1">
      <c r="A8127" s="1754">
        <v>45275</v>
      </c>
      <c r="B8127" s="125" t="str">
        <f>TiposLancamentos!B2</f>
        <v>Telefonia</v>
      </c>
      <c r="C8127" s="1040" t="s">
        <v>8797</v>
      </c>
      <c r="D8127" s="1736"/>
      <c r="E8127" s="1043">
        <v>65.5</v>
      </c>
      <c r="F8127" s="1043"/>
      <c r="G8127" s="1550"/>
    </row>
    <row r="8128" spans="1:7" ht="12.75" customHeight="1">
      <c r="A8128" s="1754">
        <v>45275</v>
      </c>
      <c r="B8128" s="125" t="str">
        <f>TiposLancamentos!B13</f>
        <v>Moradia</v>
      </c>
      <c r="C8128" s="1040" t="s">
        <v>9190</v>
      </c>
      <c r="D8128" s="1736"/>
      <c r="E8128" s="1043">
        <v>15</v>
      </c>
      <c r="F8128" s="1043"/>
      <c r="G8128" s="1550"/>
    </row>
    <row r="8129" spans="1:7" ht="12.75" customHeight="1">
      <c r="A8129" s="1754">
        <v>45278</v>
      </c>
      <c r="B8129" s="125" t="str">
        <f>TiposLancamentos!B46</f>
        <v>Maçonaria</v>
      </c>
      <c r="C8129" s="1040" t="s">
        <v>9191</v>
      </c>
      <c r="D8129" s="1736"/>
      <c r="E8129" s="1847">
        <v>210</v>
      </c>
      <c r="F8129" s="1043"/>
      <c r="G8129" s="1550"/>
    </row>
    <row r="8130" spans="1:7" ht="12.75" customHeight="1">
      <c r="A8130" s="1754">
        <v>45280</v>
      </c>
      <c r="B8130" s="125" t="str">
        <f>TiposLancamentos!B95</f>
        <v>Salarios</v>
      </c>
      <c r="C8130" s="1040" t="s">
        <v>9192</v>
      </c>
      <c r="D8130" s="1736">
        <v>2686.31</v>
      </c>
      <c r="E8130" s="1043"/>
      <c r="F8130" s="1043"/>
      <c r="G8130" s="1550"/>
    </row>
    <row r="8131" spans="1:7" ht="12.75" customHeight="1">
      <c r="A8131" s="1754"/>
      <c r="B8131" s="125"/>
      <c r="C8131" s="1040" t="s">
        <v>1868</v>
      </c>
      <c r="D8131" s="1736"/>
      <c r="E8131" s="1043"/>
      <c r="F8131" s="1043"/>
      <c r="G8131" s="1550"/>
    </row>
    <row r="8132" spans="1:7" ht="12.75" customHeight="1">
      <c r="A8132" s="1666">
        <v>45280</v>
      </c>
      <c r="B8132" s="817" t="str">
        <f>TiposLancamentos!B8</f>
        <v>Aluguel</v>
      </c>
      <c r="C8132" s="1742" t="s">
        <v>9047</v>
      </c>
      <c r="D8132" s="1735"/>
      <c r="E8132" s="1733">
        <f>F8137-SUM(E8133:E8137)</f>
        <v>1631.75</v>
      </c>
      <c r="F8132" s="1346"/>
      <c r="G8132" s="1550"/>
    </row>
    <row r="8133" spans="1:7" ht="12.75" customHeight="1">
      <c r="A8133" s="1667">
        <v>45280</v>
      </c>
      <c r="B8133" s="816" t="str">
        <f>TiposLancamentos!B12</f>
        <v>IPTU</v>
      </c>
      <c r="C8133" s="1769" t="s">
        <v>9048</v>
      </c>
      <c r="D8133" s="1736"/>
      <c r="E8133" s="1734">
        <v>34.5</v>
      </c>
      <c r="F8133" s="1043"/>
      <c r="G8133" s="1550"/>
    </row>
    <row r="8134" spans="1:7" ht="12.75" customHeight="1">
      <c r="A8134" s="1667">
        <v>45280</v>
      </c>
      <c r="B8134" s="816" t="str">
        <f>TiposLancamentos!B10</f>
        <v>Distr. Água Municipal</v>
      </c>
      <c r="C8134" s="1769" t="s">
        <v>7423</v>
      </c>
      <c r="D8134" s="1736"/>
      <c r="E8134" s="1734">
        <v>66.540000000000006</v>
      </c>
      <c r="F8134" s="1043"/>
      <c r="G8134" s="1550"/>
    </row>
    <row r="8135" spans="1:7" ht="12.75" customHeight="1">
      <c r="A8135" s="1667">
        <v>45280</v>
      </c>
      <c r="B8135" s="816" t="str">
        <f>TiposLancamentos!B11</f>
        <v>Coleta Municipal Lixo</v>
      </c>
      <c r="C8135" s="1769" t="s">
        <v>7424</v>
      </c>
      <c r="D8135" s="1736"/>
      <c r="E8135" s="1734">
        <v>44.36</v>
      </c>
      <c r="F8135" s="1043"/>
      <c r="G8135" s="1550"/>
    </row>
    <row r="8136" spans="1:7" ht="12.75" customHeight="1">
      <c r="A8136" s="1667">
        <v>45280</v>
      </c>
      <c r="B8136" s="816" t="str">
        <f>TiposLancamentos!B8</f>
        <v>Aluguel</v>
      </c>
      <c r="C8136" s="1769" t="s">
        <v>8955</v>
      </c>
      <c r="D8136" s="1736"/>
      <c r="E8136" s="1734">
        <v>8</v>
      </c>
      <c r="F8136" s="1043"/>
      <c r="G8136" s="1550"/>
    </row>
    <row r="8137" spans="1:7" ht="12.75" customHeight="1">
      <c r="A8137" s="1750">
        <v>45280</v>
      </c>
      <c r="B8137" s="818" t="str">
        <f>TiposLancamentos!B9</f>
        <v>Condominio</v>
      </c>
      <c r="C8137" s="1743" t="s">
        <v>7427</v>
      </c>
      <c r="D8137" s="1737"/>
      <c r="E8137" s="1668">
        <v>616.37</v>
      </c>
      <c r="F8137" s="1291">
        <v>2401.52</v>
      </c>
      <c r="G8137" s="1550"/>
    </row>
    <row r="8138" spans="1:7" ht="12.75" customHeight="1">
      <c r="A8138" s="1754"/>
      <c r="B8138" s="125"/>
      <c r="C8138" s="1040" t="s">
        <v>1868</v>
      </c>
      <c r="D8138" s="1736"/>
      <c r="E8138" s="1043"/>
      <c r="F8138" s="1043"/>
      <c r="G8138" s="1550"/>
    </row>
    <row r="8139" spans="1:7" ht="12.75" customHeight="1">
      <c r="A8139" s="1666">
        <v>45280</v>
      </c>
      <c r="B8139" s="817" t="str">
        <f>TiposLancamentos!B37</f>
        <v>Playstation 3</v>
      </c>
      <c r="C8139" s="1742" t="s">
        <v>9193</v>
      </c>
      <c r="D8139" s="1735"/>
      <c r="E8139" s="1733">
        <v>0</v>
      </c>
      <c r="F8139" s="1290"/>
      <c r="G8139" s="1550"/>
    </row>
    <row r="8140" spans="1:7" ht="12.75" customHeight="1">
      <c r="A8140" s="1667">
        <v>45280</v>
      </c>
      <c r="B8140" s="816" t="str">
        <f>TiposLancamentos!B37</f>
        <v>Playstation 3</v>
      </c>
      <c r="C8140" s="1769" t="s">
        <v>9194</v>
      </c>
      <c r="D8140" s="1736"/>
      <c r="E8140" s="1734">
        <v>0</v>
      </c>
      <c r="F8140" s="1458"/>
      <c r="G8140" s="1550"/>
    </row>
    <row r="8141" spans="1:7" ht="12.75" customHeight="1">
      <c r="A8141" s="1667">
        <v>45280</v>
      </c>
      <c r="B8141" s="816" t="str">
        <f>TiposLancamentos!B37</f>
        <v>Playstation 3</v>
      </c>
      <c r="C8141" s="1769" t="s">
        <v>9195</v>
      </c>
      <c r="D8141" s="1736"/>
      <c r="E8141" s="1734">
        <v>0</v>
      </c>
      <c r="F8141" s="1043"/>
      <c r="G8141" s="1550"/>
    </row>
    <row r="8142" spans="1:7" ht="12.75" customHeight="1">
      <c r="A8142" s="1750">
        <v>45280</v>
      </c>
      <c r="B8142" s="818" t="str">
        <f>TiposLancamentos!B37</f>
        <v>Playstation 3</v>
      </c>
      <c r="C8142" s="1743" t="s">
        <v>9196</v>
      </c>
      <c r="D8142" s="1737"/>
      <c r="E8142" s="1668">
        <v>400</v>
      </c>
      <c r="F8142" s="1291"/>
      <c r="G8142" s="1550"/>
    </row>
    <row r="8143" spans="1:7" ht="12.75" customHeight="1">
      <c r="A8143" s="1754"/>
      <c r="B8143" s="125"/>
      <c r="C8143" s="1040" t="s">
        <v>1868</v>
      </c>
      <c r="D8143" s="1736"/>
      <c r="E8143" s="1043"/>
      <c r="F8143" s="1043"/>
      <c r="G8143" s="1550"/>
    </row>
    <row r="8144" spans="1:7" ht="12.75" customHeight="1">
      <c r="A8144" s="1754">
        <v>45281</v>
      </c>
      <c r="B8144" s="125" t="str">
        <f>TiposLancamentos!B6</f>
        <v>Energia Eletrica</v>
      </c>
      <c r="C8144" s="1040" t="s">
        <v>9197</v>
      </c>
      <c r="D8144" s="1736"/>
      <c r="E8144" s="1043">
        <v>135.44999999999999</v>
      </c>
      <c r="F8144" s="1043"/>
      <c r="G8144" s="1550"/>
    </row>
    <row r="8145" spans="1:7" ht="12.75" customHeight="1">
      <c r="A8145" s="1754">
        <v>45287</v>
      </c>
      <c r="B8145" s="125" t="str">
        <f>TiposLancamentos!B24</f>
        <v>Estacionamentos</v>
      </c>
      <c r="C8145" s="1040" t="s">
        <v>2186</v>
      </c>
      <c r="D8145" s="1736"/>
      <c r="E8145" s="1043">
        <v>20</v>
      </c>
      <c r="F8145" s="1043"/>
      <c r="G8145" s="1550"/>
    </row>
    <row r="8146" spans="1:7" ht="12.75" customHeight="1">
      <c r="A8146" s="1754">
        <v>45288</v>
      </c>
      <c r="B8146" s="125" t="str">
        <f>TiposLancamentos!B95</f>
        <v>Salarios</v>
      </c>
      <c r="C8146" s="1040" t="s">
        <v>9021</v>
      </c>
      <c r="D8146" s="1736">
        <v>7824.71</v>
      </c>
      <c r="E8146" s="1043"/>
      <c r="F8146" s="1043"/>
      <c r="G8146" s="1550"/>
    </row>
    <row r="8147" spans="1:7" ht="12.75" customHeight="1">
      <c r="A8147" s="1754">
        <v>45289</v>
      </c>
      <c r="B8147" s="125" t="str">
        <f>TiposLancamentos!B17</f>
        <v>GATO</v>
      </c>
      <c r="C8147" s="1040" t="s">
        <v>8478</v>
      </c>
      <c r="D8147" s="1736"/>
      <c r="E8147" s="1043">
        <v>142.49</v>
      </c>
      <c r="F8147" s="1043"/>
      <c r="G8147" s="1550"/>
    </row>
    <row r="8148" spans="1:7" ht="12.75" customHeight="1">
      <c r="A8148" s="1754">
        <v>45289</v>
      </c>
      <c r="B8148" s="125" t="str">
        <f>TiposLancamentos!B19</f>
        <v>Restaurantes</v>
      </c>
      <c r="C8148" s="1040" t="s">
        <v>9144</v>
      </c>
      <c r="D8148" s="1736"/>
      <c r="E8148" s="1043">
        <v>64.89</v>
      </c>
      <c r="F8148" s="1043"/>
      <c r="G8148" s="1550"/>
    </row>
    <row r="8149" spans="1:7" ht="12.75" customHeight="1">
      <c r="A8149" s="1754">
        <v>45289</v>
      </c>
      <c r="B8149" s="116" t="str">
        <f>TiposLancamentos!B13</f>
        <v>Moradia</v>
      </c>
      <c r="C8149" s="1740" t="s">
        <v>3682</v>
      </c>
      <c r="D8149" s="1736"/>
      <c r="E8149" s="1043">
        <v>15</v>
      </c>
      <c r="F8149" s="1043"/>
      <c r="G8149" s="1550"/>
    </row>
    <row r="8150" spans="1:7" ht="12.75" customHeight="1">
      <c r="A8150" s="1754">
        <v>45290</v>
      </c>
      <c r="B8150" s="125" t="str">
        <f>TiposLancamentos!B19</f>
        <v>Restaurantes</v>
      </c>
      <c r="C8150" s="1040" t="s">
        <v>3055</v>
      </c>
      <c r="D8150" s="1736"/>
      <c r="E8150" s="1043">
        <v>68</v>
      </c>
      <c r="F8150" s="1043"/>
      <c r="G8150" s="1550"/>
    </row>
    <row r="8151" spans="1:7" ht="12.75" customHeight="1">
      <c r="A8151" s="1754">
        <v>45290</v>
      </c>
      <c r="B8151" s="125" t="str">
        <f>TiposLancamentos!B57</f>
        <v>Informática</v>
      </c>
      <c r="C8151" s="1040" t="s">
        <v>9198</v>
      </c>
      <c r="D8151" s="1736"/>
      <c r="E8151" s="1043">
        <v>25</v>
      </c>
      <c r="F8151" s="1043"/>
      <c r="G8151" s="1550"/>
    </row>
    <row r="8152" spans="1:7" ht="12.75" customHeight="1" thickBot="1">
      <c r="A8152" s="1754">
        <v>45290</v>
      </c>
      <c r="B8152" s="125" t="str">
        <f>TiposLancamentos!B5</f>
        <v>Supermercado</v>
      </c>
      <c r="C8152" s="1040" t="s">
        <v>9199</v>
      </c>
      <c r="D8152" s="1736"/>
      <c r="E8152" s="1043">
        <v>36.76</v>
      </c>
      <c r="F8152" s="1043"/>
      <c r="G8152" s="1550"/>
    </row>
    <row r="8153" spans="1:7" ht="12.75" customHeight="1">
      <c r="A8153" s="1834"/>
      <c r="B8153" s="977"/>
      <c r="C8153" s="1854" t="s">
        <v>1630</v>
      </c>
      <c r="D8153" s="1823"/>
      <c r="E8153" s="1821"/>
      <c r="F8153" s="1821"/>
      <c r="G8153" s="1895"/>
    </row>
    <row r="8154" spans="1:7" ht="12.75" customHeight="1">
      <c r="A8154" s="1754">
        <v>45292</v>
      </c>
      <c r="B8154" s="125" t="str">
        <f>TiposLancamentos!B15</f>
        <v>Cartões de Crédito</v>
      </c>
      <c r="C8154" s="1040" t="s">
        <v>8016</v>
      </c>
      <c r="D8154" s="1736"/>
      <c r="E8154" s="1043">
        <v>2477.27</v>
      </c>
      <c r="F8154" s="1043"/>
      <c r="G8154" s="1550"/>
    </row>
    <row r="8155" spans="1:7" ht="12.75" customHeight="1">
      <c r="A8155" s="1754">
        <v>45292</v>
      </c>
      <c r="B8155" s="125" t="str">
        <f>TiposLancamentos!B15</f>
        <v>Cartões de Crédito</v>
      </c>
      <c r="C8155" s="1040" t="s">
        <v>8772</v>
      </c>
      <c r="D8155" s="1736"/>
      <c r="E8155" s="1043">
        <v>1249.1400000000001</v>
      </c>
      <c r="F8155" s="1043"/>
      <c r="G8155" s="1550"/>
    </row>
    <row r="8156" spans="1:7" ht="12.75" customHeight="1">
      <c r="A8156" s="1754">
        <v>45293</v>
      </c>
      <c r="B8156" s="125" t="str">
        <f>TiposLancamentos!B15</f>
        <v>Cartões de Crédito</v>
      </c>
      <c r="C8156" s="1040" t="s">
        <v>9153</v>
      </c>
      <c r="D8156" s="1736"/>
      <c r="E8156" s="1043">
        <v>1796.65</v>
      </c>
      <c r="F8156" s="1043"/>
      <c r="G8156" s="1550"/>
    </row>
    <row r="8157" spans="1:7" ht="12.75" customHeight="1">
      <c r="A8157" s="1754">
        <v>45292</v>
      </c>
      <c r="B8157" s="125" t="str">
        <f>TiposLancamentos!B15</f>
        <v>Cartões de Crédito</v>
      </c>
      <c r="C8157" s="1040" t="s">
        <v>9173</v>
      </c>
      <c r="D8157" s="1736"/>
      <c r="E8157" s="1043">
        <v>3849.13</v>
      </c>
      <c r="F8157" s="1043"/>
      <c r="G8157" s="1550"/>
    </row>
    <row r="8158" spans="1:7" ht="12.75" customHeight="1">
      <c r="A8158" s="1754">
        <v>45292</v>
      </c>
      <c r="B8158" s="125" t="str">
        <f>TiposLancamentos!B15</f>
        <v>Cartões de Crédito</v>
      </c>
      <c r="C8158" s="1040" t="s">
        <v>9174</v>
      </c>
      <c r="D8158" s="1736"/>
      <c r="E8158" s="1043">
        <v>260.77</v>
      </c>
      <c r="F8158" s="1043"/>
      <c r="G8158" s="1550"/>
    </row>
    <row r="8159" spans="1:7" ht="12.75" customHeight="1">
      <c r="A8159" s="1754">
        <v>45292</v>
      </c>
      <c r="B8159" s="125" t="str">
        <f>TiposLancamentos!B15</f>
        <v>Cartões de Crédito</v>
      </c>
      <c r="C8159" s="1040" t="s">
        <v>9175</v>
      </c>
      <c r="D8159" s="1736"/>
      <c r="E8159" s="1043">
        <v>150</v>
      </c>
      <c r="F8159" s="1043"/>
      <c r="G8159" s="1550"/>
    </row>
    <row r="8160" spans="1:7" ht="12.75" customHeight="1">
      <c r="A8160" s="1754">
        <v>45292</v>
      </c>
      <c r="B8160" s="125" t="str">
        <f>TiposLancamentos!B14</f>
        <v>Gás de cozinha</v>
      </c>
      <c r="C8160" s="1040" t="s">
        <v>9132</v>
      </c>
      <c r="D8160" s="1736"/>
      <c r="E8160" s="1043">
        <v>55.14</v>
      </c>
      <c r="F8160" s="1043"/>
      <c r="G8160" s="1550"/>
    </row>
    <row r="8161" spans="1:7" ht="12.75" customHeight="1">
      <c r="A8161" s="1754">
        <v>45293</v>
      </c>
      <c r="B8161" s="125" t="str">
        <f>TiposLancamentos!B103</f>
        <v>Juros_Corr. Poupança</v>
      </c>
      <c r="C8161" s="1040" t="s">
        <v>7341</v>
      </c>
      <c r="D8161" s="1736">
        <v>0.01</v>
      </c>
      <c r="E8161" s="1043"/>
      <c r="F8161" s="1043"/>
      <c r="G8161" s="1550"/>
    </row>
    <row r="8162" spans="1:7" ht="12.75" customHeight="1">
      <c r="A8162" s="1754">
        <v>45294</v>
      </c>
      <c r="B8162" s="125" t="str">
        <f>TiposLancamentos!B4</f>
        <v>Taxas Bancarias</v>
      </c>
      <c r="C8162" s="1040" t="s">
        <v>4858</v>
      </c>
      <c r="D8162" s="1736"/>
      <c r="E8162" s="1043">
        <v>32.130000000000003</v>
      </c>
      <c r="F8162" s="1043"/>
      <c r="G8162" s="1550"/>
    </row>
    <row r="8163" spans="1:7" ht="12.75" customHeight="1">
      <c r="A8163" s="1754">
        <v>45294</v>
      </c>
      <c r="B8163" s="125" t="str">
        <f>TiposLancamentos!B4</f>
        <v>Taxas Bancarias</v>
      </c>
      <c r="C8163" s="1040" t="s">
        <v>7681</v>
      </c>
      <c r="D8163" s="1736"/>
      <c r="E8163" s="1043">
        <v>5.9</v>
      </c>
      <c r="F8163" s="1043"/>
      <c r="G8163" s="1550"/>
    </row>
    <row r="8164" spans="1:7" ht="12.75" customHeight="1">
      <c r="A8164" s="1666">
        <v>45293</v>
      </c>
      <c r="B8164" s="817" t="str">
        <f>TiposLancamentos!B38</f>
        <v>Playstation 4</v>
      </c>
      <c r="C8164" s="1742" t="s">
        <v>9200</v>
      </c>
      <c r="D8164" s="1735"/>
      <c r="E8164" s="1733">
        <v>90</v>
      </c>
      <c r="F8164" s="1290"/>
      <c r="G8164" s="1550"/>
    </row>
    <row r="8165" spans="1:7" ht="12.75" customHeight="1">
      <c r="A8165" s="1667">
        <v>45293</v>
      </c>
      <c r="B8165" s="816" t="str">
        <f>TiposLancamentos!B38</f>
        <v>Playstation 4</v>
      </c>
      <c r="C8165" s="1769" t="s">
        <v>9201</v>
      </c>
      <c r="D8165" s="1736"/>
      <c r="E8165" s="1734">
        <v>90</v>
      </c>
      <c r="F8165" s="1043"/>
      <c r="G8165" s="1550"/>
    </row>
    <row r="8166" spans="1:7" ht="12.75" customHeight="1">
      <c r="A8166" s="1750">
        <v>45293</v>
      </c>
      <c r="B8166" s="818" t="str">
        <f>TiposLancamentos!B60</f>
        <v>Correio</v>
      </c>
      <c r="C8166" s="1743" t="s">
        <v>9202</v>
      </c>
      <c r="D8166" s="1737"/>
      <c r="E8166" s="1668">
        <v>21</v>
      </c>
      <c r="F8166" s="1291">
        <f>SUM(E8164:E8166)</f>
        <v>201</v>
      </c>
      <c r="G8166" s="1550"/>
    </row>
    <row r="8167" spans="1:7" ht="12.75" customHeight="1">
      <c r="A8167" s="1754">
        <v>45296</v>
      </c>
      <c r="B8167" s="125" t="str">
        <f>TiposLancamentos!B13</f>
        <v>Moradia</v>
      </c>
      <c r="C8167" s="1040" t="s">
        <v>8783</v>
      </c>
      <c r="D8167" s="1736"/>
      <c r="E8167" s="1043">
        <v>15</v>
      </c>
      <c r="F8167" s="1043"/>
      <c r="G8167" s="1550"/>
    </row>
    <row r="8168" spans="1:7" ht="12.75" customHeight="1">
      <c r="A8168" s="1754">
        <v>45296</v>
      </c>
      <c r="B8168" s="125" t="str">
        <f>TiposLancamentos!B4</f>
        <v>Taxas Bancarias</v>
      </c>
      <c r="C8168" s="1040" t="s">
        <v>8778</v>
      </c>
      <c r="D8168" s="1736"/>
      <c r="E8168" s="1043">
        <v>404.44</v>
      </c>
      <c r="F8168" s="1043"/>
      <c r="G8168" s="1550"/>
    </row>
    <row r="8169" spans="1:7" ht="12.75" customHeight="1">
      <c r="A8169" s="1754">
        <v>45299</v>
      </c>
      <c r="B8169" s="125" t="str">
        <f>TiposLancamentos!B4</f>
        <v>Taxas Bancarias</v>
      </c>
      <c r="C8169" s="1040" t="s">
        <v>9203</v>
      </c>
      <c r="D8169" s="1736"/>
      <c r="E8169" s="1043">
        <v>26.12</v>
      </c>
      <c r="F8169" s="1043"/>
      <c r="G8169" s="1550"/>
    </row>
    <row r="8170" spans="1:7" ht="12.75" customHeight="1">
      <c r="A8170" s="1754">
        <v>45302</v>
      </c>
      <c r="B8170" s="125" t="str">
        <f>TiposLancamentos!B5</f>
        <v>Supermercado</v>
      </c>
      <c r="C8170" s="1040" t="s">
        <v>8274</v>
      </c>
      <c r="D8170" s="1736"/>
      <c r="E8170" s="1043">
        <v>147.01</v>
      </c>
      <c r="F8170" s="1043"/>
      <c r="G8170" s="1550"/>
    </row>
    <row r="8171" spans="1:7" ht="12.75" customHeight="1">
      <c r="A8171" s="1754">
        <v>45303</v>
      </c>
      <c r="B8171" s="125" t="str">
        <f>TiposLancamentos!B13</f>
        <v>Moradia</v>
      </c>
      <c r="C8171" s="1040" t="s">
        <v>9204</v>
      </c>
      <c r="D8171" s="1736"/>
      <c r="E8171" s="1043">
        <v>16</v>
      </c>
      <c r="F8171" s="1043"/>
      <c r="G8171" s="1550"/>
    </row>
    <row r="8172" spans="1:7" ht="12.75" customHeight="1">
      <c r="A8172" s="1754">
        <v>45304</v>
      </c>
      <c r="B8172" s="125" t="str">
        <f>TiposLancamentos!B24</f>
        <v>Estacionamentos</v>
      </c>
      <c r="C8172" s="1040" t="s">
        <v>2186</v>
      </c>
      <c r="D8172" s="1736"/>
      <c r="E8172" s="1043">
        <v>13</v>
      </c>
      <c r="F8172" s="1043"/>
      <c r="G8172" s="1550"/>
    </row>
    <row r="8173" spans="1:7" ht="12.75" customHeight="1">
      <c r="A8173" s="1754">
        <v>45306</v>
      </c>
      <c r="B8173" s="125" t="str">
        <f>TiposLancamentos!B88</f>
        <v>Ford Ecosport XLT</v>
      </c>
      <c r="C8173" s="1040" t="s">
        <v>9205</v>
      </c>
      <c r="D8173" s="1736"/>
      <c r="E8173" s="1043">
        <v>226.23</v>
      </c>
      <c r="F8173" s="1043"/>
      <c r="G8173" s="1550"/>
    </row>
    <row r="8174" spans="1:7" ht="12.75" customHeight="1">
      <c r="A8174" s="1754">
        <v>45306</v>
      </c>
      <c r="B8174" s="125" t="str">
        <f>TiposLancamentos!B46</f>
        <v>Maçonaria</v>
      </c>
      <c r="C8174" s="1040" t="s">
        <v>9206</v>
      </c>
      <c r="D8174" s="1736"/>
      <c r="E8174" s="1043">
        <v>210</v>
      </c>
      <c r="F8174" s="1043"/>
      <c r="G8174" s="1550"/>
    </row>
    <row r="8175" spans="1:7" ht="12.75" customHeight="1">
      <c r="A8175" s="1754"/>
      <c r="B8175" s="116"/>
      <c r="C8175" s="1040" t="s">
        <v>1868</v>
      </c>
      <c r="D8175" s="1736">
        <v>0</v>
      </c>
      <c r="E8175" s="1043"/>
      <c r="F8175" s="1664"/>
      <c r="G8175" s="1550"/>
    </row>
    <row r="8176" spans="1:7" ht="12.75" customHeight="1">
      <c r="A8176" s="1666">
        <v>45306</v>
      </c>
      <c r="B8176" s="817" t="str">
        <f>TiposLancamentos!B35</f>
        <v>Tv à Cabo</v>
      </c>
      <c r="C8176" s="1742" t="s">
        <v>5834</v>
      </c>
      <c r="D8176" s="1735"/>
      <c r="E8176" s="1733">
        <f>F8178-(E8177+E8178)</f>
        <v>71.359999999999985</v>
      </c>
      <c r="F8176" s="1290"/>
      <c r="G8176" s="1550"/>
    </row>
    <row r="8177" spans="1:7" ht="12.75" customHeight="1">
      <c r="A8177" s="1667">
        <v>45306</v>
      </c>
      <c r="B8177" s="816" t="str">
        <f>TiposLancamentos!B3</f>
        <v>Internet</v>
      </c>
      <c r="C8177" s="1769" t="s">
        <v>5835</v>
      </c>
      <c r="D8177" s="1736"/>
      <c r="E8177" s="1734">
        <v>87.43</v>
      </c>
      <c r="F8177" s="1043"/>
      <c r="G8177" s="1550"/>
    </row>
    <row r="8178" spans="1:7" ht="12.75" customHeight="1">
      <c r="A8178" s="1750">
        <v>45306</v>
      </c>
      <c r="B8178" s="818" t="str">
        <f>TiposLancamentos!B2</f>
        <v>Telefonia</v>
      </c>
      <c r="C8178" s="1743" t="s">
        <v>7210</v>
      </c>
      <c r="D8178" s="1737"/>
      <c r="E8178" s="1668">
        <v>0</v>
      </c>
      <c r="F8178" s="1291">
        <v>158.79</v>
      </c>
      <c r="G8178" s="1550"/>
    </row>
    <row r="8179" spans="1:7" ht="12.75" customHeight="1">
      <c r="A8179" s="1754">
        <v>45306</v>
      </c>
      <c r="B8179" s="116"/>
      <c r="C8179" s="1040" t="s">
        <v>1868</v>
      </c>
      <c r="D8179" s="1736">
        <v>0</v>
      </c>
      <c r="E8179" s="1043"/>
      <c r="F8179" s="1043"/>
      <c r="G8179" s="1550"/>
    </row>
    <row r="8180" spans="1:7" ht="12.75" customHeight="1">
      <c r="A8180" s="1754">
        <v>45306</v>
      </c>
      <c r="B8180" s="125" t="str">
        <f>TiposLancamentos!B2</f>
        <v>Telefonia</v>
      </c>
      <c r="C8180" s="1040" t="s">
        <v>8797</v>
      </c>
      <c r="D8180" s="1736"/>
      <c r="E8180" s="1043">
        <v>65.5</v>
      </c>
      <c r="F8180" s="1043"/>
      <c r="G8180" s="1550"/>
    </row>
    <row r="8181" spans="1:7" ht="12.75" customHeight="1">
      <c r="A8181" s="1754">
        <v>45307</v>
      </c>
      <c r="B8181" s="125" t="str">
        <f>TiposLancamentos!B36</f>
        <v>Playstation 2</v>
      </c>
      <c r="C8181" s="1040" t="s">
        <v>9207</v>
      </c>
      <c r="D8181" s="1736"/>
      <c r="E8181" s="1043">
        <v>280</v>
      </c>
      <c r="F8181" s="1043"/>
      <c r="G8181" s="1550"/>
    </row>
    <row r="8182" spans="1:7" ht="12.75" customHeight="1">
      <c r="A8182" s="1754">
        <v>45310</v>
      </c>
      <c r="B8182" s="125" t="str">
        <f>TiposLancamentos!B13</f>
        <v>Moradia</v>
      </c>
      <c r="C8182" s="1040" t="s">
        <v>9204</v>
      </c>
      <c r="D8182" s="1736"/>
      <c r="E8182" s="1043">
        <v>16</v>
      </c>
      <c r="F8182" s="1043"/>
      <c r="G8182" s="1550"/>
    </row>
    <row r="8183" spans="1:7" ht="12.75" customHeight="1">
      <c r="A8183" s="1754">
        <v>45313</v>
      </c>
      <c r="B8183" s="125" t="str">
        <f>TiposLancamentos!B54</f>
        <v>Metro</v>
      </c>
      <c r="C8183" s="1040" t="s">
        <v>9208</v>
      </c>
      <c r="D8183" s="1736"/>
      <c r="E8183" s="1043">
        <v>10</v>
      </c>
      <c r="F8183" s="1043"/>
      <c r="G8183" s="1550"/>
    </row>
    <row r="8184" spans="1:7" ht="12.75" customHeight="1">
      <c r="A8184" s="1754"/>
      <c r="B8184" s="125"/>
      <c r="C8184" s="1040" t="s">
        <v>1868</v>
      </c>
      <c r="D8184" s="1736"/>
      <c r="E8184" s="1043"/>
      <c r="F8184" s="1043"/>
      <c r="G8184" s="1550"/>
    </row>
    <row r="8185" spans="1:7" ht="12.75" customHeight="1">
      <c r="A8185" s="1666">
        <v>45313</v>
      </c>
      <c r="B8185" s="817" t="str">
        <f>TiposLancamentos!B8</f>
        <v>Aluguel</v>
      </c>
      <c r="C8185" s="1742" t="s">
        <v>9047</v>
      </c>
      <c r="D8185" s="1735"/>
      <c r="E8185" s="1733">
        <f>F8190-SUM(E8186:E8190)</f>
        <v>1631.75</v>
      </c>
      <c r="F8185" s="1346"/>
      <c r="G8185" s="1550"/>
    </row>
    <row r="8186" spans="1:7" ht="12.75" customHeight="1">
      <c r="A8186" s="1667">
        <v>45313</v>
      </c>
      <c r="B8186" s="816" t="str">
        <f>TiposLancamentos!B12</f>
        <v>IPTU</v>
      </c>
      <c r="C8186" s="1769" t="s">
        <v>9048</v>
      </c>
      <c r="D8186" s="1736"/>
      <c r="E8186" s="1734">
        <v>34.5</v>
      </c>
      <c r="F8186" s="1043"/>
      <c r="G8186" s="1550"/>
    </row>
    <row r="8187" spans="1:7" ht="12.75" customHeight="1">
      <c r="A8187" s="1667">
        <v>45313</v>
      </c>
      <c r="B8187" s="816" t="str">
        <f>TiposLancamentos!B10</f>
        <v>Distr. Água Municipal</v>
      </c>
      <c r="C8187" s="1769" t="s">
        <v>7423</v>
      </c>
      <c r="D8187" s="1736"/>
      <c r="E8187" s="1734">
        <v>66.540000000000006</v>
      </c>
      <c r="F8187" s="1043"/>
      <c r="G8187" s="1550"/>
    </row>
    <row r="8188" spans="1:7" ht="12.75" customHeight="1">
      <c r="A8188" s="1667">
        <v>45313</v>
      </c>
      <c r="B8188" s="816" t="str">
        <f>TiposLancamentos!B11</f>
        <v>Coleta Municipal Lixo</v>
      </c>
      <c r="C8188" s="1769" t="s">
        <v>7424</v>
      </c>
      <c r="D8188" s="1736"/>
      <c r="E8188" s="1734">
        <v>44.36</v>
      </c>
      <c r="F8188" s="1043"/>
      <c r="G8188" s="1550"/>
    </row>
    <row r="8189" spans="1:7" ht="12.75" customHeight="1">
      <c r="A8189" s="1667">
        <v>45313</v>
      </c>
      <c r="B8189" s="816" t="str">
        <f>TiposLancamentos!B8</f>
        <v>Aluguel</v>
      </c>
      <c r="C8189" s="1769" t="s">
        <v>8955</v>
      </c>
      <c r="D8189" s="1736"/>
      <c r="E8189" s="1734">
        <v>8</v>
      </c>
      <c r="F8189" s="1043"/>
      <c r="G8189" s="1550"/>
    </row>
    <row r="8190" spans="1:7" ht="12.75" customHeight="1">
      <c r="A8190" s="1750">
        <v>45313</v>
      </c>
      <c r="B8190" s="818" t="str">
        <f>TiposLancamentos!B9</f>
        <v>Condominio</v>
      </c>
      <c r="C8190" s="1743" t="s">
        <v>7427</v>
      </c>
      <c r="D8190" s="1737"/>
      <c r="E8190" s="1668">
        <v>616.37</v>
      </c>
      <c r="F8190" s="1291">
        <v>2401.52</v>
      </c>
      <c r="G8190" s="1550"/>
    </row>
    <row r="8191" spans="1:7" ht="12.75" customHeight="1">
      <c r="A8191" s="1754"/>
      <c r="B8191" s="125"/>
      <c r="C8191" s="1040" t="s">
        <v>1868</v>
      </c>
      <c r="D8191" s="1736"/>
      <c r="E8191" s="1043"/>
      <c r="F8191" s="1043"/>
      <c r="G8191" s="1550"/>
    </row>
    <row r="8192" spans="1:7" ht="12.75" customHeight="1">
      <c r="A8192" s="1754">
        <v>45313</v>
      </c>
      <c r="B8192" s="125" t="str">
        <f>TiposLancamentos!B6</f>
        <v>Energia Eletrica</v>
      </c>
      <c r="C8192" s="1040" t="s">
        <v>9209</v>
      </c>
      <c r="D8192" s="1736"/>
      <c r="E8192" s="1043">
        <v>198.44</v>
      </c>
      <c r="F8192" s="1043"/>
      <c r="G8192" s="1550"/>
    </row>
    <row r="8193" spans="1:7" ht="12.75" customHeight="1">
      <c r="A8193" s="1754">
        <v>45320</v>
      </c>
      <c r="B8193" s="125" t="str">
        <f>TiposLancamentos!B60</f>
        <v>Correio</v>
      </c>
      <c r="C8193" s="1040" t="s">
        <v>9210</v>
      </c>
      <c r="D8193" s="1736"/>
      <c r="E8193" s="1043">
        <v>23.86</v>
      </c>
      <c r="F8193" s="1043"/>
      <c r="G8193" s="1550"/>
    </row>
    <row r="8194" spans="1:7" ht="12.75" customHeight="1" thickBot="1">
      <c r="A8194" s="1754">
        <v>45322</v>
      </c>
      <c r="B8194" s="125" t="str">
        <f>TiposLancamentos!B95</f>
        <v>Salarios</v>
      </c>
      <c r="C8194" s="1040" t="s">
        <v>9021</v>
      </c>
      <c r="D8194" s="1736">
        <v>7988.37</v>
      </c>
      <c r="E8194" s="1043"/>
      <c r="F8194" s="1043"/>
      <c r="G8194" s="1550"/>
    </row>
    <row r="8195" spans="1:7" ht="12.75" customHeight="1">
      <c r="A8195" s="1834"/>
      <c r="B8195" s="977"/>
      <c r="C8195" s="1854" t="s">
        <v>1631</v>
      </c>
      <c r="D8195" s="1823"/>
      <c r="E8195" s="1821"/>
      <c r="F8195" s="1821"/>
      <c r="G8195" s="1895"/>
    </row>
    <row r="8196" spans="1:7" ht="12.75" customHeight="1">
      <c r="A8196" s="1754">
        <v>45323</v>
      </c>
      <c r="B8196" s="125" t="str">
        <f>TiposLancamentos!B15</f>
        <v>Cartões de Crédito</v>
      </c>
      <c r="C8196" s="1040" t="s">
        <v>8016</v>
      </c>
      <c r="D8196" s="1736"/>
      <c r="E8196" s="1043">
        <v>3006.87</v>
      </c>
      <c r="F8196" s="1043"/>
      <c r="G8196" s="1550"/>
    </row>
    <row r="8197" spans="1:7" ht="12.75" customHeight="1">
      <c r="A8197" s="1754">
        <v>45323</v>
      </c>
      <c r="B8197" s="125" t="str">
        <f>TiposLancamentos!B15</f>
        <v>Cartões de Crédito</v>
      </c>
      <c r="C8197" s="1040" t="s">
        <v>8772</v>
      </c>
      <c r="D8197" s="1736"/>
      <c r="E8197" s="1043">
        <v>1213.8599999999999</v>
      </c>
      <c r="F8197" s="1043"/>
      <c r="G8197" s="1550"/>
    </row>
    <row r="8198" spans="1:7" ht="12.75" customHeight="1">
      <c r="A8198" s="1754">
        <v>45323</v>
      </c>
      <c r="B8198" s="125" t="str">
        <f>TiposLancamentos!B15</f>
        <v>Cartões de Crédito</v>
      </c>
      <c r="C8198" s="1040" t="s">
        <v>9153</v>
      </c>
      <c r="D8198" s="1736"/>
      <c r="E8198" s="1043">
        <v>1654.38</v>
      </c>
      <c r="F8198" s="1043"/>
      <c r="G8198" s="1550"/>
    </row>
    <row r="8199" spans="1:7" ht="12.75" customHeight="1">
      <c r="A8199" s="1754">
        <v>45323</v>
      </c>
      <c r="B8199" s="125" t="str">
        <f>TiposLancamentos!B15</f>
        <v>Cartões de Crédito</v>
      </c>
      <c r="C8199" s="1040" t="s">
        <v>9173</v>
      </c>
      <c r="D8199" s="1736"/>
      <c r="E8199" s="1043">
        <v>557.44000000000005</v>
      </c>
      <c r="F8199" s="1043"/>
      <c r="G8199" s="1550"/>
    </row>
    <row r="8200" spans="1:7" ht="12.75" customHeight="1">
      <c r="A8200" s="1754">
        <v>45323</v>
      </c>
      <c r="B8200" s="125" t="str">
        <f>TiposLancamentos!B15</f>
        <v>Cartões de Crédito</v>
      </c>
      <c r="C8200" s="1040" t="s">
        <v>9174</v>
      </c>
      <c r="D8200" s="1736"/>
      <c r="E8200" s="1043">
        <v>178.2</v>
      </c>
      <c r="F8200" s="1043"/>
      <c r="G8200" s="1550"/>
    </row>
    <row r="8201" spans="1:7" ht="12.75" customHeight="1">
      <c r="A8201" s="1754">
        <v>45323</v>
      </c>
      <c r="B8201" s="125" t="str">
        <f>TiposLancamentos!B15</f>
        <v>Cartões de Crédito</v>
      </c>
      <c r="C8201" s="1040" t="s">
        <v>9175</v>
      </c>
      <c r="D8201" s="1736"/>
      <c r="E8201" s="1043">
        <v>50</v>
      </c>
      <c r="F8201" s="1043"/>
      <c r="G8201" s="1550"/>
    </row>
    <row r="8202" spans="1:7" ht="12.75" customHeight="1">
      <c r="A8202" s="1754">
        <v>45323</v>
      </c>
      <c r="B8202" s="125" t="str">
        <f>TiposLancamentos!B14</f>
        <v>Gás de cozinha</v>
      </c>
      <c r="C8202" s="1040" t="s">
        <v>9132</v>
      </c>
      <c r="D8202" s="1736"/>
      <c r="E8202" s="1043">
        <v>107.46</v>
      </c>
      <c r="F8202" s="1043"/>
      <c r="G8202" s="1550"/>
    </row>
    <row r="8203" spans="1:7" ht="12.75" customHeight="1">
      <c r="A8203" s="1754">
        <v>45323</v>
      </c>
      <c r="B8203" s="125" t="str">
        <f>TiposLancamentos!B4</f>
        <v>Taxas Bancarias</v>
      </c>
      <c r="C8203" s="1040" t="s">
        <v>7681</v>
      </c>
      <c r="D8203" s="1736"/>
      <c r="E8203" s="1043">
        <v>5.9</v>
      </c>
      <c r="F8203" s="1043"/>
      <c r="G8203" s="1550"/>
    </row>
    <row r="8204" spans="1:7" ht="12.75" customHeight="1">
      <c r="A8204" s="1754">
        <v>45324</v>
      </c>
      <c r="B8204" s="125" t="str">
        <f>TiposLancamentos!B4</f>
        <v>Taxas Bancarias</v>
      </c>
      <c r="C8204" s="1040" t="s">
        <v>4858</v>
      </c>
      <c r="D8204" s="1736"/>
      <c r="E8204" s="1043">
        <v>71.33</v>
      </c>
      <c r="F8204" s="1043"/>
      <c r="G8204" s="1550"/>
    </row>
    <row r="8205" spans="1:7" ht="12.75" customHeight="1">
      <c r="A8205" s="1754">
        <v>45327</v>
      </c>
      <c r="B8205" s="125" t="str">
        <f>TiposLancamentos!B4</f>
        <v>Taxas Bancarias</v>
      </c>
      <c r="C8205" s="1040" t="s">
        <v>8778</v>
      </c>
      <c r="D8205" s="1736"/>
      <c r="E8205" s="1043">
        <v>815.65</v>
      </c>
      <c r="F8205" s="1043"/>
      <c r="G8205" s="1550"/>
    </row>
    <row r="8206" spans="1:7" ht="12.75" customHeight="1">
      <c r="A8206" s="1754">
        <v>45328</v>
      </c>
      <c r="B8206" s="125" t="str">
        <f>TiposLancamentos!B4</f>
        <v>Taxas Bancarias</v>
      </c>
      <c r="C8206" s="1040" t="s">
        <v>9211</v>
      </c>
      <c r="D8206" s="1736"/>
      <c r="E8206" s="1043">
        <v>52.69</v>
      </c>
      <c r="F8206" s="1043"/>
      <c r="G8206" s="1550"/>
    </row>
    <row r="8207" spans="1:7" ht="12.75" customHeight="1">
      <c r="A8207" s="1754">
        <v>45331</v>
      </c>
      <c r="B8207" s="125" t="str">
        <f>TiposLancamentos!B95</f>
        <v>Salarios</v>
      </c>
      <c r="C8207" s="1040" t="s">
        <v>9212</v>
      </c>
      <c r="D8207" s="1736">
        <v>24393.7</v>
      </c>
      <c r="E8207" s="1043"/>
      <c r="F8207" s="1043"/>
      <c r="G8207" s="1550"/>
    </row>
    <row r="8208" spans="1:7" ht="12.75" customHeight="1">
      <c r="A8208" s="1754">
        <v>45331</v>
      </c>
      <c r="B8208" s="125" t="str">
        <f>TiposLancamentos!B105</f>
        <v>Transf. Bco</v>
      </c>
      <c r="C8208" s="1040" t="s">
        <v>9213</v>
      </c>
      <c r="D8208" s="1736"/>
      <c r="E8208" s="1043">
        <v>10850.95</v>
      </c>
      <c r="F8208" s="1043"/>
      <c r="G8208" s="1550"/>
    </row>
    <row r="8209" spans="1:7" ht="12.75" customHeight="1">
      <c r="A8209" s="1754">
        <v>45332</v>
      </c>
      <c r="B8209" s="125" t="str">
        <f>TiposLancamentos!B13</f>
        <v>Moradia</v>
      </c>
      <c r="C8209" s="1040" t="s">
        <v>9214</v>
      </c>
      <c r="D8209" s="1736"/>
      <c r="E8209" s="1043">
        <v>73.97</v>
      </c>
      <c r="F8209" s="1043"/>
      <c r="G8209" s="1550"/>
    </row>
    <row r="8210" spans="1:7" ht="12.75" customHeight="1">
      <c r="A8210" s="1754">
        <v>45332</v>
      </c>
      <c r="B8210" s="125" t="str">
        <f>TiposLancamentos!B24</f>
        <v>Estacionamentos</v>
      </c>
      <c r="C8210" s="1040" t="s">
        <v>3398</v>
      </c>
      <c r="D8210" s="1736"/>
      <c r="E8210" s="1043">
        <v>9</v>
      </c>
      <c r="F8210" s="1043"/>
      <c r="G8210" s="1550"/>
    </row>
    <row r="8211" spans="1:7" ht="12.75" customHeight="1">
      <c r="A8211" s="1754">
        <v>45332</v>
      </c>
      <c r="B8211" s="125" t="str">
        <f>TiposLancamentos!B72</f>
        <v>Presentes</v>
      </c>
      <c r="C8211" s="1040" t="s">
        <v>9215</v>
      </c>
      <c r="D8211" s="1736"/>
      <c r="E8211" s="1043">
        <v>242</v>
      </c>
      <c r="F8211" s="1043"/>
      <c r="G8211" s="1550"/>
    </row>
    <row r="8212" spans="1:7" ht="12.75" customHeight="1">
      <c r="A8212" s="1754">
        <v>45332</v>
      </c>
      <c r="B8212" s="125" t="str">
        <f>TiposLancamentos!B19</f>
        <v>Restaurantes</v>
      </c>
      <c r="C8212" s="1040" t="s">
        <v>8666</v>
      </c>
      <c r="D8212" s="1736"/>
      <c r="E8212" s="1043">
        <v>76.45</v>
      </c>
      <c r="F8212" s="1043"/>
      <c r="G8212" s="1550"/>
    </row>
    <row r="8213" spans="1:7" ht="12.75" customHeight="1">
      <c r="A8213" s="1754">
        <v>45332</v>
      </c>
      <c r="B8213" s="125" t="str">
        <f>TiposLancamentos!B22</f>
        <v>Combustivel</v>
      </c>
      <c r="C8213" s="1040" t="s">
        <v>9216</v>
      </c>
      <c r="D8213" s="1736"/>
      <c r="E8213" s="1043">
        <v>238.85</v>
      </c>
      <c r="F8213" s="1043"/>
      <c r="G8213" s="1550"/>
    </row>
    <row r="8214" spans="1:7" ht="12.75" customHeight="1">
      <c r="A8214" s="1754">
        <v>45332</v>
      </c>
      <c r="B8214" s="125" t="str">
        <f>TiposLancamentos!B17</f>
        <v>GATO</v>
      </c>
      <c r="C8214" s="1040" t="s">
        <v>9217</v>
      </c>
      <c r="D8214" s="1736"/>
      <c r="E8214" s="1043">
        <v>43.45</v>
      </c>
      <c r="F8214" s="1043"/>
      <c r="G8214" s="1550"/>
    </row>
    <row r="8215" spans="1:7" ht="12.75" customHeight="1">
      <c r="A8215" s="1754">
        <v>45332</v>
      </c>
      <c r="B8215" s="125" t="str">
        <f>TiposLancamentos!B56</f>
        <v>Farmácia</v>
      </c>
      <c r="C8215" s="1040" t="s">
        <v>9218</v>
      </c>
      <c r="D8215" s="1736"/>
      <c r="E8215" s="1043">
        <v>142.88</v>
      </c>
      <c r="F8215" s="1043"/>
      <c r="G8215" s="1550"/>
    </row>
    <row r="8216" spans="1:7" ht="12.75" customHeight="1">
      <c r="A8216" s="1754">
        <v>45333</v>
      </c>
      <c r="B8216" s="125" t="str">
        <f>TiposLancamentos!B5</f>
        <v>Supermercado</v>
      </c>
      <c r="C8216" s="1040" t="s">
        <v>9219</v>
      </c>
      <c r="D8216" s="1736"/>
      <c r="E8216" s="1043">
        <v>21</v>
      </c>
      <c r="F8216" s="1043"/>
      <c r="G8216" s="1550"/>
    </row>
    <row r="8217" spans="1:7" ht="12.75" customHeight="1">
      <c r="A8217" s="1754">
        <v>45333</v>
      </c>
      <c r="B8217" s="125" t="str">
        <f>TiposLancamentos!B19</f>
        <v>Restaurantes</v>
      </c>
      <c r="C8217" s="1040" t="s">
        <v>9220</v>
      </c>
      <c r="D8217" s="1736"/>
      <c r="E8217" s="1043">
        <v>134</v>
      </c>
      <c r="F8217" s="1043"/>
      <c r="G8217" s="1550"/>
    </row>
    <row r="8218" spans="1:7" ht="12.75" customHeight="1">
      <c r="A8218" s="1754">
        <v>45335</v>
      </c>
      <c r="B8218" s="125" t="str">
        <f>TiposLancamentos!B5</f>
        <v>Supermercado</v>
      </c>
      <c r="C8218" s="1040" t="s">
        <v>9221</v>
      </c>
      <c r="D8218" s="1736"/>
      <c r="E8218" s="1043">
        <v>205.33</v>
      </c>
      <c r="F8218" s="1043"/>
      <c r="G8218" s="1550"/>
    </row>
    <row r="8219" spans="1:7" ht="12.75" customHeight="1">
      <c r="A8219" s="1754">
        <v>45335</v>
      </c>
      <c r="B8219" s="125" t="str">
        <f>TiposLancamentos!B22</f>
        <v>Combustivel</v>
      </c>
      <c r="C8219" s="1040" t="s">
        <v>9222</v>
      </c>
      <c r="D8219" s="1736"/>
      <c r="E8219" s="1043">
        <v>149.46</v>
      </c>
      <c r="F8219" s="1043"/>
      <c r="G8219" s="1550"/>
    </row>
    <row r="8220" spans="1:7" ht="12.75" customHeight="1">
      <c r="A8220" s="1754">
        <v>45335</v>
      </c>
      <c r="B8220" s="125" t="str">
        <f>TiposLancamentos!B19</f>
        <v>Restaurantes</v>
      </c>
      <c r="C8220" s="1040" t="s">
        <v>9223</v>
      </c>
      <c r="D8220" s="1736"/>
      <c r="E8220" s="1043">
        <v>91</v>
      </c>
      <c r="F8220" s="1043"/>
      <c r="G8220" s="1550"/>
    </row>
    <row r="8221" spans="1:7" ht="12.75" customHeight="1">
      <c r="A8221" s="1754">
        <v>45336</v>
      </c>
      <c r="B8221" s="125" t="str">
        <f>TiposLancamentos!B103</f>
        <v>Juros_Corr. Poupança</v>
      </c>
      <c r="C8221" s="1040" t="s">
        <v>7341</v>
      </c>
      <c r="D8221" s="1736">
        <v>0</v>
      </c>
      <c r="E8221" s="1043"/>
      <c r="F8221" s="1043"/>
      <c r="G8221" s="1550"/>
    </row>
    <row r="8222" spans="1:7" ht="12.75" customHeight="1">
      <c r="A8222" s="1754">
        <v>45336</v>
      </c>
      <c r="B8222" s="125" t="str">
        <f>TiposLancamentos!B19</f>
        <v>Restaurantes</v>
      </c>
      <c r="C8222" s="1040" t="s">
        <v>9224</v>
      </c>
      <c r="D8222" s="1736"/>
      <c r="E8222" s="1043">
        <v>61</v>
      </c>
      <c r="F8222" s="1043"/>
      <c r="G8222" s="1550"/>
    </row>
    <row r="8223" spans="1:7" ht="12.75" customHeight="1">
      <c r="A8223" s="1754">
        <v>45337</v>
      </c>
      <c r="B8223" s="125" t="str">
        <f>TiposLancamentos!B105</f>
        <v>Transf. Bco</v>
      </c>
      <c r="C8223" s="1040" t="s">
        <v>9225</v>
      </c>
      <c r="D8223" s="1736">
        <v>488.38</v>
      </c>
      <c r="E8223" s="1043"/>
      <c r="F8223" s="1043"/>
      <c r="G8223" s="1550"/>
    </row>
    <row r="8224" spans="1:7" ht="12.75" customHeight="1">
      <c r="A8224" s="1754">
        <v>45337</v>
      </c>
      <c r="B8224" s="125" t="str">
        <f>TiposLancamentos!B88</f>
        <v>Ford Ecosport XLT</v>
      </c>
      <c r="C8224" s="1040" t="s">
        <v>9226</v>
      </c>
      <c r="D8224" s="1736"/>
      <c r="E8224" s="1043">
        <v>226.23</v>
      </c>
      <c r="F8224" s="1043"/>
      <c r="G8224" s="1550"/>
    </row>
    <row r="8225" spans="1:7" ht="12.75" customHeight="1">
      <c r="A8225" s="1754"/>
      <c r="B8225" s="116"/>
      <c r="C8225" s="1040" t="s">
        <v>1868</v>
      </c>
      <c r="D8225" s="1736">
        <v>0</v>
      </c>
      <c r="E8225" s="1043"/>
      <c r="F8225" s="1664"/>
      <c r="G8225" s="1550"/>
    </row>
    <row r="8226" spans="1:7" ht="12.75" customHeight="1">
      <c r="A8226" s="1666">
        <v>45337</v>
      </c>
      <c r="B8226" s="817" t="str">
        <f>TiposLancamentos!B35</f>
        <v>Tv à Cabo</v>
      </c>
      <c r="C8226" s="1742" t="s">
        <v>5834</v>
      </c>
      <c r="D8226" s="1735"/>
      <c r="E8226" s="1733">
        <f>F8228-(E8227+E8228)</f>
        <v>101.36000000000001</v>
      </c>
      <c r="F8226" s="1290"/>
      <c r="G8226" s="1550"/>
    </row>
    <row r="8227" spans="1:7" ht="12.75" customHeight="1">
      <c r="A8227" s="1667">
        <v>45337</v>
      </c>
      <c r="B8227" s="816" t="str">
        <f>TiposLancamentos!B3</f>
        <v>Internet</v>
      </c>
      <c r="C8227" s="1769" t="s">
        <v>5835</v>
      </c>
      <c r="D8227" s="1736"/>
      <c r="E8227" s="1734">
        <v>86.82</v>
      </c>
      <c r="F8227" s="1043"/>
      <c r="G8227" s="1550"/>
    </row>
    <row r="8228" spans="1:7" ht="12.75" customHeight="1">
      <c r="A8228" s="1750">
        <v>45337</v>
      </c>
      <c r="B8228" s="818" t="str">
        <f>TiposLancamentos!B2</f>
        <v>Telefonia</v>
      </c>
      <c r="C8228" s="1743" t="s">
        <v>7210</v>
      </c>
      <c r="D8228" s="1737"/>
      <c r="E8228" s="1668">
        <v>0</v>
      </c>
      <c r="F8228" s="1291">
        <v>188.18</v>
      </c>
      <c r="G8228" s="1550"/>
    </row>
    <row r="8229" spans="1:7" ht="12.75" customHeight="1">
      <c r="A8229" s="1754">
        <v>45337</v>
      </c>
      <c r="B8229" s="116"/>
      <c r="C8229" s="1040" t="s">
        <v>1868</v>
      </c>
      <c r="D8229" s="1736">
        <v>0</v>
      </c>
      <c r="E8229" s="1043"/>
      <c r="F8229" s="1043"/>
      <c r="G8229" s="1550"/>
    </row>
    <row r="8230" spans="1:7" ht="12.75" customHeight="1">
      <c r="A8230" s="1754">
        <v>45350</v>
      </c>
      <c r="B8230" s="125" t="str">
        <f>TiposLancamentos!B95</f>
        <v>Salarios</v>
      </c>
      <c r="C8230" s="1040" t="s">
        <v>9227</v>
      </c>
      <c r="D8230" s="1736">
        <v>17.53</v>
      </c>
      <c r="E8230" s="1043"/>
      <c r="F8230" s="1043"/>
      <c r="G8230" s="1550"/>
    </row>
    <row r="8231" spans="1:7" ht="12.75" customHeight="1">
      <c r="A8231" s="1754">
        <v>45351</v>
      </c>
      <c r="B8231" s="125" t="str">
        <f>TiposLancamentos!B95</f>
        <v>Salarios</v>
      </c>
      <c r="C8231" s="1040" t="s">
        <v>9227</v>
      </c>
      <c r="D8231" s="1736">
        <v>8021.36</v>
      </c>
      <c r="E8231" s="1043"/>
      <c r="F8231" s="1043"/>
      <c r="G8231" s="1550"/>
    </row>
    <row r="8232" spans="1:7" ht="12.75" customHeight="1">
      <c r="A8232" s="1754">
        <v>45351</v>
      </c>
      <c r="B8232" s="125" t="str">
        <f>TiposLancamentos!B105</f>
        <v>Transf. Bco</v>
      </c>
      <c r="C8232" s="1040" t="s">
        <v>9228</v>
      </c>
      <c r="D8232" s="1736"/>
      <c r="E8232" s="1043">
        <v>8000</v>
      </c>
      <c r="F8232" s="1043"/>
      <c r="G8232" s="1550"/>
    </row>
    <row r="8233" spans="1:7" ht="12.75" customHeight="1" thickBot="1">
      <c r="A8233" s="1754">
        <v>45351</v>
      </c>
      <c r="B8233" s="125" t="str">
        <f>TiposLancamentos!B105</f>
        <v>Transf. Bco</v>
      </c>
      <c r="C8233" s="1040" t="s">
        <v>9229</v>
      </c>
      <c r="D8233" s="1736">
        <v>4.24</v>
      </c>
      <c r="E8233" s="1043"/>
      <c r="F8233" s="1043"/>
      <c r="G8233" s="1550"/>
    </row>
    <row r="8234" spans="1:7" ht="12.75" customHeight="1">
      <c r="A8234" s="1834"/>
      <c r="B8234" s="977"/>
      <c r="C8234" s="1854" t="s">
        <v>1632</v>
      </c>
      <c r="D8234" s="1823"/>
      <c r="E8234" s="1821"/>
      <c r="F8234" s="1821"/>
      <c r="G8234" s="1895"/>
    </row>
    <row r="8235" spans="1:7" ht="12.75" customHeight="1">
      <c r="A8235" s="1754">
        <v>45352</v>
      </c>
      <c r="B8235" s="125" t="str">
        <f>TiposLancamentos!B4</f>
        <v>Taxas Bancarias</v>
      </c>
      <c r="C8235" s="1040" t="s">
        <v>4858</v>
      </c>
      <c r="D8235" s="1736"/>
      <c r="E8235" s="1043">
        <v>37.24</v>
      </c>
      <c r="F8235" s="1043"/>
      <c r="G8235" s="1550"/>
    </row>
    <row r="8236" spans="1:7" ht="12.75" customHeight="1">
      <c r="A8236" s="1754">
        <v>45356</v>
      </c>
      <c r="B8236" s="125" t="str">
        <f>TiposLancamentos!B4</f>
        <v>Taxas Bancarias</v>
      </c>
      <c r="C8236" s="1040" t="s">
        <v>7681</v>
      </c>
      <c r="D8236" s="1736"/>
      <c r="E8236" s="1043">
        <v>5.9</v>
      </c>
      <c r="F8236" s="1043"/>
      <c r="G8236" s="1550"/>
    </row>
    <row r="8237" spans="1:7" ht="12.75" customHeight="1">
      <c r="A8237" s="1754">
        <v>45356</v>
      </c>
      <c r="B8237" s="125" t="str">
        <f>TiposLancamentos!B105</f>
        <v>Transf. Bco</v>
      </c>
      <c r="C8237" s="1040" t="s">
        <v>8742</v>
      </c>
      <c r="D8237" s="1736">
        <v>0.02</v>
      </c>
      <c r="E8237" s="1043"/>
      <c r="F8237" s="1043"/>
      <c r="G8237" s="1550"/>
    </row>
    <row r="8238" spans="1:7" ht="12.75" customHeight="1">
      <c r="A8238" s="1754">
        <v>45356</v>
      </c>
      <c r="B8238" s="125" t="str">
        <f>TiposLancamentos!B4</f>
        <v>Taxas Bancarias</v>
      </c>
      <c r="C8238" s="1040" t="s">
        <v>8778</v>
      </c>
      <c r="D8238" s="1736"/>
      <c r="E8238" s="1043">
        <v>204.21</v>
      </c>
      <c r="F8238" s="1043"/>
      <c r="G8238" s="1550"/>
    </row>
    <row r="8239" spans="1:7" ht="12.75" customHeight="1">
      <c r="A8239" s="1754">
        <v>45357</v>
      </c>
      <c r="B8239" s="125" t="str">
        <f>TiposLancamentos!B105</f>
        <v>Transf. Bco</v>
      </c>
      <c r="C8239" s="1040" t="s">
        <v>9230</v>
      </c>
      <c r="D8239" s="1736">
        <v>204.2</v>
      </c>
      <c r="E8239" s="1043"/>
      <c r="F8239" s="1043"/>
      <c r="G8239" s="1550"/>
    </row>
    <row r="8240" spans="1:7" ht="12.75" customHeight="1">
      <c r="A8240" s="1754">
        <v>45358</v>
      </c>
      <c r="B8240" s="125" t="str">
        <f>TiposLancamentos!B4</f>
        <v>Taxas Bancarias</v>
      </c>
      <c r="C8240" s="1040" t="s">
        <v>9231</v>
      </c>
      <c r="D8240" s="1736"/>
      <c r="E8240" s="1043">
        <v>12.34</v>
      </c>
      <c r="F8240" s="1043"/>
      <c r="G8240" s="1550"/>
    </row>
    <row r="8241" spans="1:7" ht="12.75" customHeight="1">
      <c r="A8241" s="1754">
        <v>45358</v>
      </c>
      <c r="B8241" s="125" t="str">
        <f>TiposLancamentos!B105</f>
        <v>Transf. Bco</v>
      </c>
      <c r="C8241" s="1040" t="s">
        <v>9230</v>
      </c>
      <c r="D8241" s="1736">
        <v>12.34</v>
      </c>
      <c r="E8241" s="1043"/>
      <c r="F8241" s="1043"/>
      <c r="G8241" s="1550"/>
    </row>
    <row r="8242" spans="1:7" ht="12.75" customHeight="1">
      <c r="A8242" s="1754">
        <v>45366</v>
      </c>
      <c r="B8242" s="125" t="str">
        <f>TiposLancamentos!B105</f>
        <v>Transf. Bco</v>
      </c>
      <c r="C8242" s="1040" t="s">
        <v>9225</v>
      </c>
      <c r="D8242" s="1736">
        <v>415.03</v>
      </c>
      <c r="E8242" s="1043"/>
      <c r="F8242" s="1043"/>
      <c r="G8242" s="1550"/>
    </row>
    <row r="8243" spans="1:7" ht="12.75" customHeight="1">
      <c r="A8243" s="1754">
        <v>45366</v>
      </c>
      <c r="B8243" s="125" t="str">
        <f>TiposLancamentos!B88</f>
        <v>Ford Ecosport XLT</v>
      </c>
      <c r="C8243" s="1040" t="s">
        <v>9232</v>
      </c>
      <c r="D8243" s="1736"/>
      <c r="E8243" s="1043">
        <v>226.23</v>
      </c>
      <c r="F8243" s="1043"/>
      <c r="G8243" s="1550"/>
    </row>
    <row r="8244" spans="1:7" ht="12.75" customHeight="1">
      <c r="A8244" s="1754"/>
      <c r="B8244" s="116"/>
      <c r="C8244" s="1040" t="s">
        <v>1868</v>
      </c>
      <c r="D8244" s="1736">
        <v>0</v>
      </c>
      <c r="E8244" s="1043"/>
      <c r="F8244" s="1664"/>
      <c r="G8244" s="1550"/>
    </row>
    <row r="8245" spans="1:7" ht="12.75" customHeight="1">
      <c r="A8245" s="1666">
        <v>45366</v>
      </c>
      <c r="B8245" s="817" t="str">
        <f>TiposLancamentos!B35</f>
        <v>Tv à Cabo</v>
      </c>
      <c r="C8245" s="1742" t="s">
        <v>5834</v>
      </c>
      <c r="D8245" s="1735"/>
      <c r="E8245" s="1733">
        <f>F8247-(E8246+E8247)</f>
        <v>101.35999999999999</v>
      </c>
      <c r="F8245" s="1290"/>
      <c r="G8245" s="1550"/>
    </row>
    <row r="8246" spans="1:7" ht="12.75" customHeight="1">
      <c r="A8246" s="1667">
        <v>45366</v>
      </c>
      <c r="B8246" s="816" t="str">
        <f>TiposLancamentos!B3</f>
        <v>Internet</v>
      </c>
      <c r="C8246" s="1769" t="s">
        <v>5835</v>
      </c>
      <c r="D8246" s="1736"/>
      <c r="E8246" s="1734">
        <v>87.43</v>
      </c>
      <c r="F8246" s="1043"/>
      <c r="G8246" s="1550"/>
    </row>
    <row r="8247" spans="1:7" ht="12.75" customHeight="1">
      <c r="A8247" s="1750">
        <v>45366</v>
      </c>
      <c r="B8247" s="818" t="str">
        <f>TiposLancamentos!B2</f>
        <v>Telefonia</v>
      </c>
      <c r="C8247" s="1743" t="s">
        <v>7210</v>
      </c>
      <c r="D8247" s="1737"/>
      <c r="E8247" s="1668">
        <v>0</v>
      </c>
      <c r="F8247" s="1291">
        <v>188.79</v>
      </c>
      <c r="G8247" s="1550"/>
    </row>
    <row r="8248" spans="1:7" ht="12.75" customHeight="1">
      <c r="A8248" s="1754">
        <v>45366</v>
      </c>
      <c r="B8248" s="116"/>
      <c r="C8248" s="1040" t="s">
        <v>1868</v>
      </c>
      <c r="D8248" s="1736">
        <v>0</v>
      </c>
      <c r="E8248" s="1043"/>
      <c r="F8248" s="1043"/>
      <c r="G8248" s="1550"/>
    </row>
    <row r="8249" spans="1:7" ht="12.75" customHeight="1">
      <c r="A8249" s="1754">
        <v>45379</v>
      </c>
      <c r="B8249" s="125" t="str">
        <f>TiposLancamentos!B95</f>
        <v>Salarios</v>
      </c>
      <c r="C8249" s="1040" t="s">
        <v>9227</v>
      </c>
      <c r="D8249" s="1736">
        <v>7667.33</v>
      </c>
      <c r="E8249" s="1043"/>
      <c r="F8249" s="1043"/>
      <c r="G8249" s="1550"/>
    </row>
    <row r="8250" spans="1:7" ht="12.75" customHeight="1">
      <c r="A8250" s="1666">
        <v>45381</v>
      </c>
      <c r="B8250" s="817" t="str">
        <f>TiposLancamentos!B36</f>
        <v>Playstation 2</v>
      </c>
      <c r="C8250" s="1742" t="s">
        <v>9233</v>
      </c>
      <c r="D8250" s="1735"/>
      <c r="E8250" s="1733">
        <f>99.9/2</f>
        <v>49.95</v>
      </c>
      <c r="F8250" s="1290"/>
      <c r="G8250" s="1550"/>
    </row>
    <row r="8251" spans="1:7" ht="12.75" customHeight="1">
      <c r="A8251" s="1667">
        <v>45381</v>
      </c>
      <c r="B8251" s="816" t="str">
        <f>TiposLancamentos!B37</f>
        <v>Playstation 3</v>
      </c>
      <c r="C8251" s="1769" t="s">
        <v>9234</v>
      </c>
      <c r="D8251" s="1736"/>
      <c r="E8251" s="1734">
        <f>59.9/2</f>
        <v>29.95</v>
      </c>
      <c r="F8251" s="1043"/>
      <c r="G8251" s="1550"/>
    </row>
    <row r="8252" spans="1:7" ht="12.75" customHeight="1">
      <c r="A8252" s="1750">
        <v>45381</v>
      </c>
      <c r="B8252" s="818" t="str">
        <f>TiposLancamentos!B38</f>
        <v>Playstation 4</v>
      </c>
      <c r="C8252" s="1743" t="s">
        <v>9235</v>
      </c>
      <c r="D8252" s="1737"/>
      <c r="E8252" s="1668">
        <f>79.9/2</f>
        <v>39.950000000000003</v>
      </c>
      <c r="F8252" s="1291">
        <f>SUM(E8250:E8252)</f>
        <v>119.85000000000001</v>
      </c>
      <c r="G8252" s="1550"/>
    </row>
    <row r="8253" spans="1:7" ht="12.75" customHeight="1" thickBot="1">
      <c r="A8253" s="1754">
        <v>45382</v>
      </c>
      <c r="B8253" s="125" t="str">
        <f>TiposLancamentos!B5</f>
        <v>Supermercado</v>
      </c>
      <c r="C8253" s="1040" t="s">
        <v>9236</v>
      </c>
      <c r="D8253" s="1736"/>
      <c r="E8253" s="1043">
        <v>321.60000000000002</v>
      </c>
      <c r="F8253" s="1043"/>
      <c r="G8253" s="1550"/>
    </row>
    <row r="8254" spans="1:7" ht="12.75" customHeight="1">
      <c r="A8254" s="1834"/>
      <c r="B8254" s="977"/>
      <c r="C8254" s="1854" t="s">
        <v>1633</v>
      </c>
      <c r="D8254" s="1823"/>
      <c r="E8254" s="1821"/>
      <c r="F8254" s="1821"/>
      <c r="G8254" s="1895"/>
    </row>
    <row r="8255" spans="1:7" ht="12.75" customHeight="1">
      <c r="A8255" s="1754">
        <v>45383</v>
      </c>
      <c r="B8255" s="116" t="str">
        <f>TiposLancamentos!B15</f>
        <v>Cartões de Crédito</v>
      </c>
      <c r="C8255" s="1040" t="s">
        <v>8016</v>
      </c>
      <c r="D8255" s="1736"/>
      <c r="E8255" s="1043">
        <v>522.52</v>
      </c>
      <c r="F8255" s="1043"/>
      <c r="G8255" s="1550"/>
    </row>
    <row r="8256" spans="1:7" ht="12.75" customHeight="1">
      <c r="A8256" s="1754">
        <v>45383</v>
      </c>
      <c r="B8256" s="116" t="str">
        <f>TiposLancamentos!B15</f>
        <v>Cartões de Crédito</v>
      </c>
      <c r="C8256" s="1040" t="s">
        <v>9175</v>
      </c>
      <c r="D8256" s="1736"/>
      <c r="E8256" s="1043">
        <v>0</v>
      </c>
      <c r="F8256" s="1043"/>
      <c r="G8256" s="1550"/>
    </row>
    <row r="8257" spans="1:7" ht="12.75" customHeight="1">
      <c r="A8257" s="1754">
        <v>45383</v>
      </c>
      <c r="B8257" s="116" t="str">
        <f>TiposLancamentos!B15</f>
        <v>Cartões de Crédito</v>
      </c>
      <c r="C8257" s="1040" t="s">
        <v>9174</v>
      </c>
      <c r="D8257" s="1736"/>
      <c r="E8257" s="1043">
        <v>0</v>
      </c>
      <c r="F8257" s="1043"/>
      <c r="G8257" s="1550"/>
    </row>
    <row r="8258" spans="1:7" ht="12.75" customHeight="1">
      <c r="A8258" s="1754">
        <v>45383</v>
      </c>
      <c r="B8258" s="116" t="str">
        <f>TiposLancamentos!B15</f>
        <v>Cartões de Crédito</v>
      </c>
      <c r="C8258" s="1040" t="s">
        <v>9173</v>
      </c>
      <c r="D8258" s="1736"/>
      <c r="E8258" s="1043">
        <v>413.7</v>
      </c>
      <c r="F8258" s="1043"/>
      <c r="G8258" s="1550"/>
    </row>
    <row r="8259" spans="1:7" ht="12.75" customHeight="1">
      <c r="A8259" s="1754">
        <v>45383</v>
      </c>
      <c r="B8259" s="116" t="str">
        <f>TiposLancamentos!B15</f>
        <v>Cartões de Crédito</v>
      </c>
      <c r="C8259" s="1040" t="s">
        <v>9237</v>
      </c>
      <c r="D8259" s="1736"/>
      <c r="E8259" s="1043">
        <v>1327.6</v>
      </c>
      <c r="F8259" s="1043"/>
      <c r="G8259" s="1550"/>
    </row>
    <row r="8260" spans="1:7" ht="12.75" customHeight="1">
      <c r="A8260" s="1754">
        <v>45383</v>
      </c>
      <c r="B8260" s="116" t="str">
        <f>TiposLancamentos!B15</f>
        <v>Cartões de Crédito</v>
      </c>
      <c r="C8260" s="1040" t="s">
        <v>9238</v>
      </c>
      <c r="D8260" s="1736"/>
      <c r="E8260" s="1043">
        <v>1418.5</v>
      </c>
      <c r="F8260" s="1043"/>
      <c r="G8260" s="1550"/>
    </row>
    <row r="8261" spans="1:7" ht="12.75" customHeight="1">
      <c r="A8261" s="1754">
        <v>45383</v>
      </c>
      <c r="B8261" s="116" t="str">
        <f>TiposLancamentos!B14</f>
        <v>Gás de cozinha</v>
      </c>
      <c r="C8261" s="1040" t="s">
        <v>9132</v>
      </c>
      <c r="D8261" s="1736"/>
      <c r="E8261" s="1043">
        <v>44.86</v>
      </c>
      <c r="F8261" s="1043"/>
      <c r="G8261" s="1550"/>
    </row>
    <row r="8262" spans="1:7" ht="12.75" customHeight="1">
      <c r="A8262" s="1754">
        <v>45383</v>
      </c>
      <c r="B8262" s="116" t="str">
        <f>TiposLancamentos!B103</f>
        <v>Juros_Corr. Poupança</v>
      </c>
      <c r="C8262" s="1040" t="s">
        <v>9239</v>
      </c>
      <c r="D8262" s="1736">
        <v>0.01</v>
      </c>
      <c r="E8262" s="1043"/>
      <c r="F8262" s="1043"/>
      <c r="G8262" s="1550"/>
    </row>
    <row r="8263" spans="1:7" ht="12.75" customHeight="1">
      <c r="A8263" s="1754">
        <v>45384</v>
      </c>
      <c r="B8263" s="116" t="str">
        <f>TiposLancamentos!B4</f>
        <v>Taxas Bancarias</v>
      </c>
      <c r="C8263" s="1040" t="s">
        <v>8745</v>
      </c>
      <c r="D8263" s="1736"/>
      <c r="E8263" s="1043">
        <v>5.9</v>
      </c>
      <c r="F8263" s="1043"/>
      <c r="G8263" s="1550"/>
    </row>
    <row r="8264" spans="1:7" ht="12.75" customHeight="1">
      <c r="A8264" s="1754">
        <v>45384</v>
      </c>
      <c r="B8264" s="116" t="str">
        <f>TiposLancamentos!B4</f>
        <v>Taxas Bancarias</v>
      </c>
      <c r="C8264" s="1040" t="s">
        <v>4858</v>
      </c>
      <c r="D8264" s="1736"/>
      <c r="E8264" s="1043">
        <v>0.78</v>
      </c>
      <c r="F8264" s="1043"/>
      <c r="G8264" s="1550"/>
    </row>
    <row r="8265" spans="1:7" ht="12.75" customHeight="1">
      <c r="A8265" s="1754">
        <v>45385</v>
      </c>
      <c r="B8265" s="116" t="str">
        <f>TiposLancamentos!B103</f>
        <v>Juros_Corr. Poupança</v>
      </c>
      <c r="C8265" s="1040" t="s">
        <v>9239</v>
      </c>
      <c r="D8265" s="1736">
        <v>0.02</v>
      </c>
      <c r="E8265" s="1043"/>
      <c r="F8265" s="1043"/>
      <c r="G8265" s="1550"/>
    </row>
    <row r="8266" spans="1:7" ht="12.75" customHeight="1">
      <c r="A8266" s="1754">
        <v>45385</v>
      </c>
      <c r="B8266" s="116" t="str">
        <f>TiposLancamentos!B46</f>
        <v>Maçonaria</v>
      </c>
      <c r="C8266" s="1740" t="s">
        <v>9240</v>
      </c>
      <c r="D8266" s="1736"/>
      <c r="E8266" s="1043">
        <v>120</v>
      </c>
      <c r="F8266" s="1043"/>
      <c r="G8266" s="1550"/>
    </row>
    <row r="8267" spans="1:7" ht="12.75" customHeight="1">
      <c r="A8267" s="1754">
        <v>45385</v>
      </c>
      <c r="B8267" s="125" t="str">
        <f>TiposLancamentos!B105</f>
        <v>Transf. Bco</v>
      </c>
      <c r="C8267" s="1040" t="s">
        <v>9241</v>
      </c>
      <c r="D8267" s="1736"/>
      <c r="E8267" s="1043">
        <v>2440</v>
      </c>
      <c r="F8267" s="1043"/>
      <c r="G8267" s="1550"/>
    </row>
    <row r="8268" spans="1:7" ht="12.75" customHeight="1">
      <c r="A8268" s="1754">
        <v>45386</v>
      </c>
      <c r="B8268" s="125" t="str">
        <f>TiposLancamentos!B105</f>
        <v>Transf. Bco</v>
      </c>
      <c r="C8268" s="1040" t="s">
        <v>9242</v>
      </c>
      <c r="D8268" s="1736"/>
      <c r="E8268" s="1043">
        <v>157.96</v>
      </c>
      <c r="F8268" s="1043"/>
      <c r="G8268" s="1550"/>
    </row>
    <row r="8269" spans="1:7" ht="12.75" customHeight="1">
      <c r="A8269" s="1754">
        <v>45387</v>
      </c>
      <c r="B8269" s="125" t="str">
        <f>TiposLancamentos!B103</f>
        <v>Juros_Corr. Poupança</v>
      </c>
      <c r="C8269" s="1040" t="s">
        <v>9239</v>
      </c>
      <c r="D8269" s="1736">
        <v>0.01</v>
      </c>
      <c r="E8269" s="1043"/>
      <c r="F8269" s="1043"/>
      <c r="G8269" s="1550"/>
    </row>
    <row r="8270" spans="1:7" ht="12.75" customHeight="1">
      <c r="A8270" s="1754">
        <v>45387</v>
      </c>
      <c r="B8270" s="125" t="str">
        <f>TiposLancamentos!B13</f>
        <v>Moradia</v>
      </c>
      <c r="C8270" s="1040" t="s">
        <v>9243</v>
      </c>
      <c r="D8270" s="1736"/>
      <c r="E8270" s="1043">
        <v>16</v>
      </c>
      <c r="F8270" s="1043"/>
      <c r="G8270" s="1550"/>
    </row>
    <row r="8271" spans="1:7" ht="12.75" customHeight="1">
      <c r="A8271" s="1754">
        <v>45387</v>
      </c>
      <c r="B8271" s="125" t="str">
        <f>TiposLancamentos!B4</f>
        <v>Taxas Bancarias</v>
      </c>
      <c r="C8271" s="1040" t="s">
        <v>8778</v>
      </c>
      <c r="D8271" s="1736"/>
      <c r="E8271" s="1043">
        <v>0.78</v>
      </c>
      <c r="F8271" s="1043"/>
      <c r="G8271" s="1550"/>
    </row>
    <row r="8272" spans="1:7" ht="12.75" customHeight="1">
      <c r="A8272" s="1754">
        <v>45388</v>
      </c>
      <c r="B8272" s="125" t="str">
        <f>TiposLancamentos!B24</f>
        <v>Estacionamentos</v>
      </c>
      <c r="C8272" s="1040" t="s">
        <v>3408</v>
      </c>
      <c r="D8272" s="1736"/>
      <c r="E8272" s="1043">
        <v>18</v>
      </c>
      <c r="F8272" s="1043"/>
      <c r="G8272" s="1550"/>
    </row>
    <row r="8273" spans="1:7" ht="12.6" customHeight="1">
      <c r="A8273" s="1754">
        <v>45388</v>
      </c>
      <c r="B8273" s="125" t="str">
        <f>TiposLancamentos!B16</f>
        <v>Cristiane</v>
      </c>
      <c r="C8273" s="1040" t="s">
        <v>9244</v>
      </c>
      <c r="D8273" s="1736"/>
      <c r="E8273" s="1043">
        <v>179.55</v>
      </c>
      <c r="F8273" s="1043"/>
      <c r="G8273" s="1550"/>
    </row>
    <row r="8274" spans="1:7" ht="12.75" customHeight="1">
      <c r="A8274" s="1754">
        <v>45388</v>
      </c>
      <c r="B8274" s="125" t="str">
        <f>TiposLancamentos!B5</f>
        <v>Supermercado</v>
      </c>
      <c r="C8274" s="1040" t="s">
        <v>9245</v>
      </c>
      <c r="D8274" s="1736"/>
      <c r="E8274" s="1043">
        <v>145.11000000000001</v>
      </c>
      <c r="F8274" s="1043"/>
      <c r="G8274" s="1550"/>
    </row>
    <row r="8275" spans="1:7" ht="12.75" customHeight="1">
      <c r="A8275" s="1754">
        <v>45391</v>
      </c>
      <c r="B8275" s="125" t="str">
        <f>TiposLancamentos!B24</f>
        <v>Estacionamentos</v>
      </c>
      <c r="C8275" s="1040" t="s">
        <v>9246</v>
      </c>
      <c r="D8275" s="1736"/>
      <c r="E8275" s="1043">
        <v>20</v>
      </c>
      <c r="F8275" s="1043"/>
      <c r="G8275" s="1550"/>
    </row>
    <row r="8276" spans="1:7" ht="12.75" customHeight="1">
      <c r="A8276" s="1754">
        <v>45394</v>
      </c>
      <c r="B8276" s="125" t="str">
        <f>TiposLancamentos!B13</f>
        <v>Moradia</v>
      </c>
      <c r="C8276" s="1040" t="s">
        <v>9247</v>
      </c>
      <c r="D8276" s="1736"/>
      <c r="E8276" s="1043">
        <v>16</v>
      </c>
      <c r="F8276" s="1043"/>
      <c r="G8276" s="1550"/>
    </row>
    <row r="8277" spans="1:7" ht="12.75" customHeight="1">
      <c r="A8277" s="1754">
        <v>45395</v>
      </c>
      <c r="B8277" s="125" t="str">
        <f>TiposLancamentos!B24</f>
        <v>Estacionamentos</v>
      </c>
      <c r="C8277" s="1040" t="s">
        <v>2014</v>
      </c>
      <c r="D8277" s="1736"/>
      <c r="E8277" s="1043">
        <v>13</v>
      </c>
      <c r="F8277" s="1043"/>
      <c r="G8277" s="1550"/>
    </row>
    <row r="8278" spans="1:7" ht="12.75" customHeight="1">
      <c r="A8278" s="1754">
        <v>45396</v>
      </c>
      <c r="B8278" s="125" t="str">
        <f>TiposLancamentos!B103</f>
        <v>Juros_Corr. Poupança</v>
      </c>
      <c r="C8278" s="1040" t="s">
        <v>9239</v>
      </c>
      <c r="D8278" s="1736">
        <v>0.01</v>
      </c>
      <c r="E8278" s="1043"/>
      <c r="F8278" s="1043"/>
      <c r="G8278" s="1550"/>
    </row>
    <row r="8279" spans="1:7" ht="12.75" customHeight="1">
      <c r="A8279" s="1754">
        <v>45397</v>
      </c>
      <c r="B8279" s="125" t="str">
        <f>TiposLancamentos!B46</f>
        <v>Maçonaria</v>
      </c>
      <c r="C8279" s="1740" t="s">
        <v>9248</v>
      </c>
      <c r="D8279" s="1736"/>
      <c r="E8279" s="1043">
        <v>210</v>
      </c>
      <c r="F8279" s="1043"/>
      <c r="G8279" s="1550"/>
    </row>
    <row r="8280" spans="1:7" ht="12.75" customHeight="1">
      <c r="A8280" s="1754"/>
      <c r="B8280" s="116"/>
      <c r="C8280" s="1040" t="s">
        <v>1868</v>
      </c>
      <c r="D8280" s="1736">
        <v>0</v>
      </c>
      <c r="E8280" s="1043"/>
      <c r="F8280" s="1664"/>
      <c r="G8280" s="1550"/>
    </row>
    <row r="8281" spans="1:7" ht="12.75" customHeight="1">
      <c r="A8281" s="1666">
        <v>45397</v>
      </c>
      <c r="B8281" s="817" t="str">
        <f>TiposLancamentos!B35</f>
        <v>Tv à Cabo</v>
      </c>
      <c r="C8281" s="1742" t="s">
        <v>5834</v>
      </c>
      <c r="D8281" s="1735"/>
      <c r="E8281" s="1733">
        <f>F8283-(E8282+E8283)</f>
        <v>101.35999999999999</v>
      </c>
      <c r="F8281" s="1290"/>
      <c r="G8281" s="1550"/>
    </row>
    <row r="8282" spans="1:7" ht="12.75" customHeight="1">
      <c r="A8282" s="1667">
        <v>45397</v>
      </c>
      <c r="B8282" s="816" t="str">
        <f>TiposLancamentos!B3</f>
        <v>Internet</v>
      </c>
      <c r="C8282" s="1769" t="s">
        <v>5835</v>
      </c>
      <c r="D8282" s="1736"/>
      <c r="E8282" s="1734">
        <v>87.43</v>
      </c>
      <c r="F8282" s="1043"/>
      <c r="G8282" s="1550"/>
    </row>
    <row r="8283" spans="1:7" ht="12.75" customHeight="1">
      <c r="A8283" s="1750">
        <v>45397</v>
      </c>
      <c r="B8283" s="818" t="str">
        <f>TiposLancamentos!B3</f>
        <v>Internet</v>
      </c>
      <c r="C8283" s="1743" t="s">
        <v>7210</v>
      </c>
      <c r="D8283" s="1737"/>
      <c r="E8283" s="1668">
        <v>0</v>
      </c>
      <c r="F8283" s="1291">
        <v>188.79</v>
      </c>
      <c r="G8283" s="1550"/>
    </row>
    <row r="8284" spans="1:7" ht="12.75" customHeight="1">
      <c r="A8284" s="1754">
        <v>45397</v>
      </c>
      <c r="B8284" s="116"/>
      <c r="C8284" s="1040" t="s">
        <v>1868</v>
      </c>
      <c r="D8284" s="1736">
        <v>0</v>
      </c>
      <c r="E8284" s="1043"/>
      <c r="F8284" s="1043"/>
      <c r="G8284" s="1550"/>
    </row>
    <row r="8285" spans="1:7" ht="12" customHeight="1">
      <c r="A8285" s="1754">
        <v>45397</v>
      </c>
      <c r="B8285" s="125" t="str">
        <f>TiposLancamentos!B2</f>
        <v>Telefonia</v>
      </c>
      <c r="C8285" s="1040" t="s">
        <v>8797</v>
      </c>
      <c r="D8285" s="1736"/>
      <c r="E8285" s="1043">
        <v>65.5</v>
      </c>
      <c r="F8285" s="1043"/>
      <c r="G8285" s="1550"/>
    </row>
    <row r="8286" spans="1:7" ht="12.75" customHeight="1">
      <c r="A8286" s="1754">
        <v>45397</v>
      </c>
      <c r="B8286" s="125" t="str">
        <f>TiposLancamentos!B88</f>
        <v>Ford Ecosport XLT</v>
      </c>
      <c r="C8286" s="1040" t="s">
        <v>9249</v>
      </c>
      <c r="D8286" s="1736"/>
      <c r="E8286" s="1043">
        <v>226.23</v>
      </c>
      <c r="F8286" s="1043"/>
      <c r="G8286" s="1550"/>
    </row>
    <row r="8287" spans="1:7" ht="12.75" customHeight="1">
      <c r="A8287" s="1754">
        <v>45401</v>
      </c>
      <c r="B8287" s="125" t="str">
        <f>TiposLancamentos!B13</f>
        <v>Moradia</v>
      </c>
      <c r="C8287" s="1040" t="s">
        <v>9250</v>
      </c>
      <c r="D8287" s="1736"/>
      <c r="E8287" s="1043">
        <v>16</v>
      </c>
      <c r="F8287" s="1043"/>
      <c r="G8287" s="1550"/>
    </row>
    <row r="8288" spans="1:7" ht="12.75" customHeight="1">
      <c r="A8288" s="1754">
        <v>45403</v>
      </c>
      <c r="B8288" s="125" t="str">
        <f>TiposLancamentos!B6</f>
        <v>Energia Eletrica</v>
      </c>
      <c r="C8288" s="1040" t="s">
        <v>9251</v>
      </c>
      <c r="D8288" s="1736"/>
      <c r="E8288" s="1043">
        <v>159.54</v>
      </c>
      <c r="F8288" s="1043"/>
      <c r="G8288" s="1550"/>
    </row>
    <row r="8289" spans="1:7" ht="12.75" customHeight="1">
      <c r="A8289" s="1754">
        <v>45412</v>
      </c>
      <c r="B8289" s="125" t="str">
        <f>TiposLancamentos!B22</f>
        <v>Combustivel</v>
      </c>
      <c r="C8289" s="1040" t="s">
        <v>9252</v>
      </c>
      <c r="D8289" s="1736"/>
      <c r="E8289" s="1043">
        <v>276.7</v>
      </c>
      <c r="F8289" s="1043"/>
      <c r="G8289" s="1550"/>
    </row>
    <row r="8290" spans="1:7" ht="12.75" customHeight="1">
      <c r="A8290" s="1754">
        <v>45412</v>
      </c>
      <c r="B8290" s="125" t="str">
        <f>TiposLancamentos!B24</f>
        <v>Estacionamentos</v>
      </c>
      <c r="C8290" s="1040" t="s">
        <v>1898</v>
      </c>
      <c r="D8290" s="1736"/>
      <c r="E8290" s="1043">
        <v>20</v>
      </c>
      <c r="F8290" s="1043"/>
      <c r="G8290" s="1550"/>
    </row>
    <row r="8291" spans="1:7" ht="12.75" customHeight="1">
      <c r="A8291" s="1754">
        <v>45412</v>
      </c>
      <c r="B8291" s="125" t="str">
        <f>TiposLancamentos!B19</f>
        <v>Restaurantes</v>
      </c>
      <c r="C8291" s="1040" t="s">
        <v>6565</v>
      </c>
      <c r="D8291" s="1736"/>
      <c r="E8291" s="1043">
        <v>83.86</v>
      </c>
      <c r="F8291" s="1043"/>
      <c r="G8291" s="1550"/>
    </row>
    <row r="8292" spans="1:7" ht="12.75" customHeight="1" thickBot="1">
      <c r="A8292" s="1754">
        <v>45412</v>
      </c>
      <c r="B8292" s="125" t="str">
        <f>TiposLancamentos!B95</f>
        <v>Salarios</v>
      </c>
      <c r="C8292" s="1040" t="s">
        <v>9227</v>
      </c>
      <c r="D8292" s="1736">
        <v>8021.36</v>
      </c>
      <c r="E8292" s="1043"/>
      <c r="F8292" s="1043"/>
      <c r="G8292" s="1550"/>
    </row>
    <row r="8293" spans="1:7" ht="12.75" customHeight="1">
      <c r="A8293" s="1834"/>
      <c r="B8293" s="977"/>
      <c r="C8293" s="1854" t="s">
        <v>1634</v>
      </c>
      <c r="D8293" s="1823"/>
      <c r="E8293" s="1821"/>
      <c r="F8293" s="1821"/>
      <c r="G8293" s="1895"/>
    </row>
    <row r="8294" spans="1:7" ht="12.75" customHeight="1">
      <c r="A8294" s="1754">
        <v>45413</v>
      </c>
      <c r="B8294" s="125" t="str">
        <f>TiposLancamentos!B5</f>
        <v>Supermercado</v>
      </c>
      <c r="C8294" s="1040" t="s">
        <v>9219</v>
      </c>
      <c r="D8294" s="1736"/>
      <c r="E8294" s="1043">
        <v>22</v>
      </c>
      <c r="F8294" s="1043"/>
      <c r="G8294" s="1550"/>
    </row>
    <row r="8295" spans="1:7" ht="12.75" customHeight="1">
      <c r="A8295" s="1754">
        <v>45414</v>
      </c>
      <c r="B8295" s="125" t="str">
        <f>TiposLancamentos!B103</f>
        <v>Juros_Corr. Poupança</v>
      </c>
      <c r="C8295" s="1040" t="s">
        <v>9239</v>
      </c>
      <c r="D8295" s="1736">
        <v>0.01</v>
      </c>
      <c r="E8295" s="1043"/>
      <c r="F8295" s="1043"/>
      <c r="G8295" s="1550"/>
    </row>
    <row r="8296" spans="1:7" ht="12.75" customHeight="1">
      <c r="A8296" s="1754">
        <v>45414</v>
      </c>
      <c r="B8296" s="125" t="str">
        <f>TiposLancamentos!B15</f>
        <v>Cartões de Crédito</v>
      </c>
      <c r="C8296" s="1040" t="s">
        <v>8016</v>
      </c>
      <c r="D8296" s="1736"/>
      <c r="E8296" s="1043">
        <v>2322.58</v>
      </c>
      <c r="F8296" s="1043"/>
      <c r="G8296" s="1550"/>
    </row>
    <row r="8297" spans="1:7" ht="12.75" customHeight="1">
      <c r="A8297" s="1754">
        <v>45414</v>
      </c>
      <c r="B8297" s="125" t="str">
        <f>TiposLancamentos!B15</f>
        <v>Cartões de Crédito</v>
      </c>
      <c r="C8297" s="1040" t="s">
        <v>9175</v>
      </c>
      <c r="D8297" s="1736"/>
      <c r="E8297" s="1043">
        <v>50</v>
      </c>
      <c r="F8297" s="1043"/>
      <c r="G8297" s="1550"/>
    </row>
    <row r="8298" spans="1:7" ht="12.75" customHeight="1">
      <c r="A8298" s="1754">
        <v>45414</v>
      </c>
      <c r="B8298" s="125" t="str">
        <f>TiposLancamentos!B15</f>
        <v>Cartões de Crédito</v>
      </c>
      <c r="C8298" s="1040" t="s">
        <v>9174</v>
      </c>
      <c r="D8298" s="1736"/>
      <c r="E8298" s="1043">
        <v>57.04</v>
      </c>
      <c r="F8298" s="1043"/>
      <c r="G8298" s="1550"/>
    </row>
    <row r="8299" spans="1:7" ht="12.75" customHeight="1">
      <c r="A8299" s="1754">
        <v>45414</v>
      </c>
      <c r="B8299" s="125" t="str">
        <f>TiposLancamentos!B15</f>
        <v>Cartões de Crédito</v>
      </c>
      <c r="C8299" s="1040" t="s">
        <v>9173</v>
      </c>
      <c r="D8299" s="1736"/>
      <c r="E8299" s="1043">
        <v>1084.21</v>
      </c>
      <c r="F8299" s="1043"/>
      <c r="G8299" s="1550"/>
    </row>
    <row r="8300" spans="1:7" ht="12.75" customHeight="1">
      <c r="A8300" s="1754">
        <v>45414</v>
      </c>
      <c r="B8300" s="125" t="str">
        <f>TiposLancamentos!B15</f>
        <v>Cartões de Crédito</v>
      </c>
      <c r="C8300" s="1040" t="s">
        <v>9237</v>
      </c>
      <c r="D8300" s="1736"/>
      <c r="E8300" s="1043">
        <v>1327.6</v>
      </c>
      <c r="F8300" s="1043"/>
      <c r="G8300" s="1550"/>
    </row>
    <row r="8301" spans="1:7" ht="12.75" customHeight="1">
      <c r="A8301" s="1754">
        <v>45414</v>
      </c>
      <c r="B8301" s="125" t="str">
        <f>TiposLancamentos!B15</f>
        <v>Cartões de Crédito</v>
      </c>
      <c r="C8301" s="1040" t="s">
        <v>9238</v>
      </c>
      <c r="D8301" s="1736"/>
      <c r="E8301" s="1043">
        <v>1586.61</v>
      </c>
      <c r="F8301" s="1043"/>
      <c r="G8301" s="1550"/>
    </row>
    <row r="8302" spans="1:7" ht="12.75" customHeight="1">
      <c r="A8302" s="1754">
        <v>45414</v>
      </c>
      <c r="B8302" s="125" t="str">
        <f>TiposLancamentos!B14</f>
        <v>Gás de cozinha</v>
      </c>
      <c r="C8302" s="1040" t="s">
        <v>9132</v>
      </c>
      <c r="D8302" s="1736"/>
      <c r="E8302" s="1043">
        <v>50.22</v>
      </c>
      <c r="F8302" s="1043"/>
      <c r="G8302" s="1550"/>
    </row>
    <row r="8303" spans="1:7" ht="12.75" customHeight="1">
      <c r="A8303" s="1754">
        <v>45415</v>
      </c>
      <c r="B8303" s="125" t="str">
        <f>TiposLancamentos!B16</f>
        <v>Cristiane</v>
      </c>
      <c r="C8303" s="1040" t="s">
        <v>9253</v>
      </c>
      <c r="D8303" s="1736"/>
      <c r="E8303" s="1043">
        <v>60</v>
      </c>
      <c r="F8303" s="1043"/>
      <c r="G8303" s="1550"/>
    </row>
    <row r="8304" spans="1:7" ht="12.75" customHeight="1">
      <c r="A8304" s="1754">
        <v>45415</v>
      </c>
      <c r="B8304" s="125" t="str">
        <f>TiposLancamentos!B4</f>
        <v>Taxas Bancarias</v>
      </c>
      <c r="C8304" s="1040" t="s">
        <v>4858</v>
      </c>
      <c r="D8304" s="1736"/>
      <c r="E8304" s="1043">
        <v>2.41</v>
      </c>
      <c r="F8304" s="1043"/>
      <c r="G8304" s="1550"/>
    </row>
    <row r="8305" spans="1:7" ht="12.75" customHeight="1">
      <c r="A8305" s="1754">
        <v>45415</v>
      </c>
      <c r="B8305" s="125" t="str">
        <f>TiposLancamentos!B4</f>
        <v>Taxas Bancarias</v>
      </c>
      <c r="C8305" s="1040" t="s">
        <v>9254</v>
      </c>
      <c r="D8305" s="1736"/>
      <c r="E8305" s="1043">
        <v>5.9</v>
      </c>
      <c r="F8305" s="1043"/>
      <c r="G8305" s="1550"/>
    </row>
    <row r="8306" spans="1:7" ht="12.75" customHeight="1">
      <c r="A8306" s="1754">
        <v>45416</v>
      </c>
      <c r="B8306" s="125" t="str">
        <f>TiposLancamentos!B16</f>
        <v>Cristiane</v>
      </c>
      <c r="C8306" s="1040" t="s">
        <v>9255</v>
      </c>
      <c r="D8306" s="1736"/>
      <c r="E8306" s="1043">
        <v>17.8</v>
      </c>
      <c r="F8306" s="1043"/>
      <c r="G8306" s="1550"/>
    </row>
    <row r="8307" spans="1:7" ht="12.75" customHeight="1">
      <c r="A8307" s="1754">
        <v>45418</v>
      </c>
      <c r="B8307" s="125" t="str">
        <f>TiposLancamentos!B103</f>
        <v>Juros_Corr. Poupança</v>
      </c>
      <c r="C8307" s="1040" t="s">
        <v>9239</v>
      </c>
      <c r="D8307" s="1736">
        <v>0.02</v>
      </c>
      <c r="E8307" s="1043"/>
      <c r="F8307" s="1043"/>
      <c r="G8307" s="1550"/>
    </row>
    <row r="8308" spans="1:7" ht="12.75" customHeight="1">
      <c r="A8308" s="1754">
        <v>45418</v>
      </c>
      <c r="B8308" s="125" t="str">
        <f>TiposLancamentos!B4</f>
        <v>Taxas Bancarias</v>
      </c>
      <c r="C8308" s="1040" t="s">
        <v>8778</v>
      </c>
      <c r="D8308" s="1736"/>
      <c r="E8308" s="1043">
        <v>19.54</v>
      </c>
      <c r="F8308" s="1043"/>
      <c r="G8308" s="1550"/>
    </row>
    <row r="8309" spans="1:7" ht="12.75" customHeight="1">
      <c r="A8309" s="1754">
        <v>45419</v>
      </c>
      <c r="B8309" s="125" t="str">
        <f>TiposLancamentos!B4</f>
        <v>Taxas Bancarias</v>
      </c>
      <c r="C8309" s="1040" t="s">
        <v>9256</v>
      </c>
      <c r="D8309" s="1736"/>
      <c r="E8309" s="1043">
        <v>2</v>
      </c>
      <c r="F8309" s="1043"/>
      <c r="G8309" s="1550"/>
    </row>
    <row r="8310" spans="1:7" ht="12.75" customHeight="1">
      <c r="A8310" s="1754">
        <v>45421</v>
      </c>
      <c r="B8310" s="125" t="str">
        <f>TiposLancamentos!B77</f>
        <v>Esporádico</v>
      </c>
      <c r="C8310" s="1040" t="s">
        <v>9257</v>
      </c>
      <c r="D8310" s="1736"/>
      <c r="E8310" s="1043">
        <v>100</v>
      </c>
      <c r="F8310" s="1043"/>
      <c r="G8310" s="1550"/>
    </row>
    <row r="8311" spans="1:7" ht="12.75" customHeight="1">
      <c r="A8311" s="1754">
        <v>45422</v>
      </c>
      <c r="B8311" s="125" t="str">
        <f>TiposLancamentos!B69</f>
        <v>Consertos</v>
      </c>
      <c r="C8311" s="1040" t="s">
        <v>9258</v>
      </c>
      <c r="D8311" s="1736"/>
      <c r="E8311" s="1043">
        <v>150</v>
      </c>
      <c r="F8311" s="1043"/>
      <c r="G8311" s="1550"/>
    </row>
    <row r="8312" spans="1:7" ht="12.75" customHeight="1">
      <c r="A8312" s="1754">
        <v>45422</v>
      </c>
      <c r="B8312" s="125" t="str">
        <f>TiposLancamentos!B13</f>
        <v>Moradia</v>
      </c>
      <c r="C8312" s="1040" t="s">
        <v>8906</v>
      </c>
      <c r="D8312" s="1736"/>
      <c r="E8312" s="1043">
        <v>16</v>
      </c>
      <c r="F8312" s="1043"/>
      <c r="G8312" s="1550"/>
    </row>
    <row r="8313" spans="1:7" ht="12.75" customHeight="1">
      <c r="A8313" s="1754">
        <v>45423</v>
      </c>
      <c r="B8313" s="125" t="str">
        <f>TiposLancamentos!B36</f>
        <v>Playstation 2</v>
      </c>
      <c r="C8313" s="1040" t="s">
        <v>7866</v>
      </c>
      <c r="D8313" s="1736"/>
      <c r="E8313" s="1043">
        <v>13.99</v>
      </c>
      <c r="F8313" s="1043"/>
      <c r="G8313" s="1550"/>
    </row>
    <row r="8314" spans="1:7" ht="12.75" customHeight="1">
      <c r="A8314" s="1754">
        <v>45423</v>
      </c>
      <c r="B8314" s="125" t="str">
        <f>TiposLancamentos!B24</f>
        <v>Estacionamentos</v>
      </c>
      <c r="C8314" s="1040" t="s">
        <v>7490</v>
      </c>
      <c r="D8314" s="1736"/>
      <c r="E8314" s="1043">
        <v>13</v>
      </c>
      <c r="F8314" s="1043"/>
      <c r="G8314" s="1550"/>
    </row>
    <row r="8315" spans="1:7" ht="12.75" customHeight="1">
      <c r="A8315" s="1754">
        <v>45423</v>
      </c>
      <c r="B8315" s="125" t="str">
        <f>TiposLancamentos!B5</f>
        <v>Supermercado</v>
      </c>
      <c r="C8315" s="1040" t="s">
        <v>1884</v>
      </c>
      <c r="D8315" s="1736"/>
      <c r="E8315" s="1043">
        <v>19.87</v>
      </c>
      <c r="F8315" s="1043"/>
      <c r="G8315" s="1550"/>
    </row>
    <row r="8316" spans="1:7" ht="12.75" customHeight="1">
      <c r="A8316" s="1754">
        <v>45426</v>
      </c>
      <c r="B8316" s="125" t="str">
        <f>TiposLancamentos!B24</f>
        <v>Estacionamentos</v>
      </c>
      <c r="C8316" s="1040" t="s">
        <v>1898</v>
      </c>
      <c r="D8316" s="1736"/>
      <c r="E8316" s="1043">
        <v>20</v>
      </c>
      <c r="F8316" s="1043"/>
      <c r="G8316" s="1550"/>
    </row>
    <row r="8317" spans="1:7" ht="12.75" customHeight="1">
      <c r="A8317" s="1754"/>
      <c r="B8317" s="116"/>
      <c r="C8317" s="1040" t="s">
        <v>1868</v>
      </c>
      <c r="D8317" s="1736">
        <v>0</v>
      </c>
      <c r="E8317" s="1043"/>
      <c r="F8317" s="1664"/>
      <c r="G8317" s="1550"/>
    </row>
    <row r="8318" spans="1:7" ht="12.75" customHeight="1">
      <c r="A8318" s="1666">
        <v>45427</v>
      </c>
      <c r="B8318" s="817" t="str">
        <f>TiposLancamentos!B35</f>
        <v>Tv à Cabo</v>
      </c>
      <c r="C8318" s="1742" t="s">
        <v>5834</v>
      </c>
      <c r="D8318" s="1735"/>
      <c r="E8318" s="1733">
        <f>F8320-(E8319+E8320)</f>
        <v>101.35999999999999</v>
      </c>
      <c r="F8318" s="1290"/>
      <c r="G8318" s="1550"/>
    </row>
    <row r="8319" spans="1:7" ht="12.75" customHeight="1">
      <c r="A8319" s="1667">
        <v>45427</v>
      </c>
      <c r="B8319" s="816" t="str">
        <f>TiposLancamentos!B3</f>
        <v>Internet</v>
      </c>
      <c r="C8319" s="1769" t="s">
        <v>5835</v>
      </c>
      <c r="D8319" s="1736"/>
      <c r="E8319" s="1734">
        <v>87.43</v>
      </c>
      <c r="F8319" s="1043"/>
      <c r="G8319" s="1550"/>
    </row>
    <row r="8320" spans="1:7" ht="12.75" customHeight="1">
      <c r="A8320" s="1750">
        <v>45427</v>
      </c>
      <c r="B8320" s="818" t="str">
        <f>TiposLancamentos!B2</f>
        <v>Telefonia</v>
      </c>
      <c r="C8320" s="1743" t="s">
        <v>7210</v>
      </c>
      <c r="D8320" s="1737"/>
      <c r="E8320" s="1668">
        <v>0</v>
      </c>
      <c r="F8320" s="1291">
        <v>188.79</v>
      </c>
      <c r="G8320" s="1550"/>
    </row>
    <row r="8321" spans="1:7" ht="12.75" customHeight="1">
      <c r="A8321" s="1754">
        <v>45427</v>
      </c>
      <c r="B8321" s="116"/>
      <c r="C8321" s="1040" t="s">
        <v>1868</v>
      </c>
      <c r="D8321" s="1736">
        <v>0</v>
      </c>
      <c r="E8321" s="1043"/>
      <c r="F8321" s="1043"/>
      <c r="G8321" s="1550"/>
    </row>
    <row r="8322" spans="1:7" ht="12.75" customHeight="1">
      <c r="A8322" s="1754">
        <v>45427</v>
      </c>
      <c r="B8322" s="125" t="str">
        <f>TiposLancamentos!B88</f>
        <v>Ford Ecosport XLT</v>
      </c>
      <c r="C8322" s="1040" t="s">
        <v>9259</v>
      </c>
      <c r="D8322" s="1736"/>
      <c r="E8322" s="1043">
        <v>226.23</v>
      </c>
      <c r="F8322" s="1043"/>
      <c r="G8322" s="1550"/>
    </row>
    <row r="8323" spans="1:7" ht="12.75" customHeight="1">
      <c r="A8323" s="1754">
        <v>45427</v>
      </c>
      <c r="B8323" s="125" t="str">
        <f>TiposLancamentos!B2</f>
        <v>Telefonia</v>
      </c>
      <c r="C8323" s="1040" t="s">
        <v>8797</v>
      </c>
      <c r="D8323" s="1736"/>
      <c r="E8323" s="1043">
        <v>65.5</v>
      </c>
      <c r="F8323" s="1043"/>
      <c r="G8323" s="1550"/>
    </row>
    <row r="8324" spans="1:7" ht="12.75" customHeight="1">
      <c r="A8324" s="1754">
        <v>45429</v>
      </c>
      <c r="B8324" s="125" t="str">
        <f>TiposLancamentos!B46</f>
        <v>Maçonaria</v>
      </c>
      <c r="C8324" s="1040" t="s">
        <v>9260</v>
      </c>
      <c r="D8324" s="1736"/>
      <c r="E8324" s="1043">
        <v>210</v>
      </c>
      <c r="F8324" s="1043"/>
      <c r="G8324" s="1550"/>
    </row>
    <row r="8325" spans="1:7" ht="12.75" customHeight="1">
      <c r="A8325" s="1754">
        <v>45429</v>
      </c>
      <c r="B8325" s="125" t="str">
        <f>TiposLancamentos!B13</f>
        <v>Moradia</v>
      </c>
      <c r="C8325" s="1040" t="s">
        <v>8733</v>
      </c>
      <c r="D8325" s="1736"/>
      <c r="E8325" s="1043">
        <v>16</v>
      </c>
      <c r="F8325" s="1043"/>
      <c r="G8325" s="1550"/>
    </row>
    <row r="8326" spans="1:7" ht="12.75" customHeight="1">
      <c r="A8326" s="1754">
        <v>45431</v>
      </c>
      <c r="B8326" s="125" t="str">
        <f>TiposLancamentos!B24</f>
        <v>Estacionamentos</v>
      </c>
      <c r="C8326" s="1040" t="s">
        <v>9261</v>
      </c>
      <c r="D8326" s="1736"/>
      <c r="E8326" s="1043">
        <v>7</v>
      </c>
      <c r="F8326" s="1043"/>
      <c r="G8326" s="1550"/>
    </row>
    <row r="8327" spans="1:7" ht="12.75" customHeight="1">
      <c r="A8327" s="1754"/>
      <c r="B8327" s="125"/>
      <c r="C8327" s="1040" t="s">
        <v>1868</v>
      </c>
      <c r="D8327" s="1736"/>
      <c r="E8327" s="1043"/>
      <c r="F8327" s="1664"/>
      <c r="G8327" s="1550"/>
    </row>
    <row r="8328" spans="1:7" ht="12.75" customHeight="1">
      <c r="A8328" s="1666">
        <v>45432</v>
      </c>
      <c r="B8328" s="1862" t="str">
        <f>TiposLancamentos!B8</f>
        <v>Aluguel</v>
      </c>
      <c r="C8328" s="1744" t="s">
        <v>9047</v>
      </c>
      <c r="D8328" s="1735"/>
      <c r="E8328" s="1733">
        <f>F8334-SUM(E8329:E8334)</f>
        <v>1631.75</v>
      </c>
      <c r="F8328" s="1613"/>
      <c r="G8328" s="1550"/>
    </row>
    <row r="8329" spans="1:7" ht="12.75" customHeight="1">
      <c r="A8329" s="1667">
        <v>45432</v>
      </c>
      <c r="B8329" s="1864" t="str">
        <f>TiposLancamentos!B12</f>
        <v>IPTU</v>
      </c>
      <c r="C8329" s="1745" t="s">
        <v>9048</v>
      </c>
      <c r="D8329" s="1736"/>
      <c r="E8329" s="1734">
        <v>62.93</v>
      </c>
      <c r="F8329" s="1656"/>
      <c r="G8329" s="1550"/>
    </row>
    <row r="8330" spans="1:7" ht="12.75" customHeight="1">
      <c r="A8330" s="1667">
        <v>45432</v>
      </c>
      <c r="B8330" s="1864" t="str">
        <f>TiposLancamentos!B10</f>
        <v>Distr. Água Municipal</v>
      </c>
      <c r="C8330" s="1745" t="s">
        <v>7423</v>
      </c>
      <c r="D8330" s="1736"/>
      <c r="E8330" s="1734">
        <v>49.32</v>
      </c>
      <c r="F8330" s="1656">
        <v>2591.6999999999998</v>
      </c>
      <c r="G8330" s="1550"/>
    </row>
    <row r="8331" spans="1:7" ht="12.75" customHeight="1">
      <c r="A8331" s="1667">
        <v>45432</v>
      </c>
      <c r="B8331" s="1864" t="str">
        <f>TiposLancamentos!B34</f>
        <v>Seguros</v>
      </c>
      <c r="C8331" s="1745" t="s">
        <v>9262</v>
      </c>
      <c r="D8331" s="1736"/>
      <c r="E8331" s="1734">
        <v>157.94999999999999</v>
      </c>
      <c r="F8331" s="1656"/>
      <c r="G8331" s="1550"/>
    </row>
    <row r="8332" spans="1:7" ht="12.75" customHeight="1">
      <c r="A8332" s="1667">
        <v>45432</v>
      </c>
      <c r="B8332" s="1864" t="str">
        <f>TiposLancamentos!B11</f>
        <v>Coleta Municipal Lixo</v>
      </c>
      <c r="C8332" s="1745" t="s">
        <v>7424</v>
      </c>
      <c r="D8332" s="1736"/>
      <c r="E8332" s="1734">
        <v>67.23</v>
      </c>
      <c r="F8332" s="1656"/>
      <c r="G8332" s="1550"/>
    </row>
    <row r="8333" spans="1:7" ht="12.75" customHeight="1">
      <c r="A8333" s="1667">
        <v>45432</v>
      </c>
      <c r="B8333" s="1864" t="str">
        <f>TiposLancamentos!B8</f>
        <v>Aluguel</v>
      </c>
      <c r="C8333" s="1745" t="s">
        <v>8955</v>
      </c>
      <c r="D8333" s="1736"/>
      <c r="E8333" s="1734">
        <v>8</v>
      </c>
      <c r="F8333" s="1656"/>
      <c r="G8333" s="1550"/>
    </row>
    <row r="8334" spans="1:7" ht="12.75" customHeight="1">
      <c r="A8334" s="1750">
        <v>45432</v>
      </c>
      <c r="B8334" s="1863" t="str">
        <f>TiposLancamentos!B9</f>
        <v>Condominio</v>
      </c>
      <c r="C8334" s="1746" t="s">
        <v>7427</v>
      </c>
      <c r="D8334" s="1737"/>
      <c r="E8334" s="1668">
        <v>775.36</v>
      </c>
      <c r="F8334" s="1518">
        <v>2752.54</v>
      </c>
      <c r="G8334" s="1550"/>
    </row>
    <row r="8335" spans="1:7" ht="12.75" customHeight="1">
      <c r="A8335" s="1754"/>
      <c r="B8335" s="125"/>
      <c r="C8335" s="1040" t="s">
        <v>1868</v>
      </c>
      <c r="D8335" s="1736"/>
      <c r="E8335" s="1043"/>
      <c r="F8335" s="1613"/>
      <c r="G8335" s="1550"/>
    </row>
    <row r="8336" spans="1:7" ht="12.75" customHeight="1">
      <c r="A8336" s="1754">
        <v>45433</v>
      </c>
      <c r="B8336" s="125" t="str">
        <f>TiposLancamentos!B6</f>
        <v>Energia Eletrica</v>
      </c>
      <c r="C8336" s="1040" t="s">
        <v>9263</v>
      </c>
      <c r="D8336" s="1736"/>
      <c r="E8336" s="1043">
        <v>162.30000000000001</v>
      </c>
      <c r="F8336" s="1043"/>
      <c r="G8336" s="1550"/>
    </row>
    <row r="8337" spans="1:7" ht="12.75" customHeight="1">
      <c r="A8337" s="1754">
        <v>45433</v>
      </c>
      <c r="B8337" s="125" t="str">
        <f>TiposLancamentos!B24</f>
        <v>Estacionamentos</v>
      </c>
      <c r="C8337" s="1040" t="s">
        <v>9264</v>
      </c>
      <c r="D8337" s="1736"/>
      <c r="E8337" s="1043">
        <v>91</v>
      </c>
      <c r="F8337" s="1043"/>
      <c r="G8337" s="1550"/>
    </row>
    <row r="8338" spans="1:7" ht="12.75" customHeight="1">
      <c r="A8338" s="1754">
        <v>45436</v>
      </c>
      <c r="B8338" s="125" t="str">
        <f>TiposLancamentos!B13</f>
        <v>Moradia</v>
      </c>
      <c r="C8338" s="1040" t="s">
        <v>9265</v>
      </c>
      <c r="D8338" s="1736"/>
      <c r="E8338" s="1043">
        <v>16</v>
      </c>
      <c r="F8338" s="1043"/>
      <c r="G8338" s="1550"/>
    </row>
    <row r="8339" spans="1:7" ht="12.75" customHeight="1">
      <c r="A8339" s="1754">
        <v>45437</v>
      </c>
      <c r="B8339" s="125" t="str">
        <f>TiposLancamentos!B5</f>
        <v>Supermercado</v>
      </c>
      <c r="C8339" s="1040" t="s">
        <v>9266</v>
      </c>
      <c r="D8339" s="1736"/>
      <c r="E8339" s="1043">
        <v>235.32</v>
      </c>
      <c r="F8339" s="1043"/>
      <c r="G8339" s="1550"/>
    </row>
    <row r="8340" spans="1:7" ht="12.75" customHeight="1">
      <c r="A8340" s="1754">
        <v>45442</v>
      </c>
      <c r="B8340" s="125" t="str">
        <f>TiposLancamentos!B24</f>
        <v>Estacionamentos</v>
      </c>
      <c r="C8340" s="1040" t="s">
        <v>9267</v>
      </c>
      <c r="D8340" s="1736"/>
      <c r="E8340" s="1043">
        <v>6</v>
      </c>
      <c r="F8340" s="1043"/>
      <c r="G8340" s="1550"/>
    </row>
    <row r="8341" spans="1:7" ht="12.75" customHeight="1" thickBot="1">
      <c r="A8341" s="1754">
        <v>45443</v>
      </c>
      <c r="B8341" s="125" t="str">
        <f>TiposLancamentos!B95</f>
        <v>Salarios</v>
      </c>
      <c r="C8341" s="1040" t="s">
        <v>9227</v>
      </c>
      <c r="D8341" s="1736">
        <v>8021.36</v>
      </c>
      <c r="E8341" s="1043"/>
      <c r="F8341" s="1043"/>
      <c r="G8341" s="1550"/>
    </row>
    <row r="8342" spans="1:7" ht="12.75" customHeight="1">
      <c r="A8342" s="1834"/>
      <c r="B8342" s="977"/>
      <c r="C8342" s="1854" t="s">
        <v>1635</v>
      </c>
      <c r="D8342" s="1823"/>
      <c r="E8342" s="1821"/>
      <c r="F8342" s="1821"/>
      <c r="G8342" s="1895"/>
    </row>
    <row r="8343" spans="1:7" ht="12.75" customHeight="1">
      <c r="A8343" s="1754">
        <v>45444</v>
      </c>
      <c r="B8343" s="125" t="str">
        <f>TiposLancamentos!B18</f>
        <v>Alimentacao</v>
      </c>
      <c r="C8343" s="1040" t="s">
        <v>9268</v>
      </c>
      <c r="D8343" s="1736"/>
      <c r="E8343" s="1043">
        <v>101.7</v>
      </c>
      <c r="F8343" s="1043"/>
      <c r="G8343" s="1550"/>
    </row>
    <row r="8344" spans="1:7" ht="12.75" customHeight="1">
      <c r="A8344" s="1754">
        <v>45445</v>
      </c>
      <c r="B8344" s="125" t="str">
        <f>TiposLancamentos!B15</f>
        <v>Cartões de Crédito</v>
      </c>
      <c r="C8344" s="1040" t="s">
        <v>8016</v>
      </c>
      <c r="D8344" s="1736"/>
      <c r="E8344" s="1043">
        <v>4226.9799999999996</v>
      </c>
      <c r="F8344" s="1043"/>
      <c r="G8344" s="1550"/>
    </row>
    <row r="8345" spans="1:7" ht="12.75" customHeight="1">
      <c r="A8345" s="1754">
        <v>45445</v>
      </c>
      <c r="B8345" s="125" t="str">
        <f>TiposLancamentos!B15</f>
        <v>Cartões de Crédito</v>
      </c>
      <c r="C8345" s="1040" t="s">
        <v>9175</v>
      </c>
      <c r="D8345" s="1736"/>
      <c r="E8345" s="1043">
        <v>150</v>
      </c>
      <c r="F8345" s="1043"/>
      <c r="G8345" s="1550"/>
    </row>
    <row r="8346" spans="1:7" ht="12.75" customHeight="1">
      <c r="A8346" s="1754">
        <v>45445</v>
      </c>
      <c r="B8346" s="125" t="str">
        <f>TiposLancamentos!B15</f>
        <v>Cartões de Crédito</v>
      </c>
      <c r="C8346" s="1040" t="s">
        <v>9174</v>
      </c>
      <c r="D8346" s="1736"/>
      <c r="E8346" s="1043">
        <v>144.9</v>
      </c>
      <c r="F8346" s="1043"/>
      <c r="G8346" s="1550"/>
    </row>
    <row r="8347" spans="1:7" ht="12.75" customHeight="1">
      <c r="A8347" s="1754">
        <v>45445</v>
      </c>
      <c r="B8347" s="125" t="str">
        <f>TiposLancamentos!B15</f>
        <v>Cartões de Crédito</v>
      </c>
      <c r="C8347" s="1040" t="s">
        <v>9173</v>
      </c>
      <c r="D8347" s="1736"/>
      <c r="E8347" s="1043">
        <v>1059.8499999999999</v>
      </c>
      <c r="F8347" s="1043"/>
      <c r="G8347" s="1550"/>
    </row>
    <row r="8348" spans="1:7" ht="12.75" customHeight="1">
      <c r="A8348" s="1754">
        <v>45445</v>
      </c>
      <c r="B8348" s="125" t="str">
        <f>TiposLancamentos!B15</f>
        <v>Cartões de Crédito</v>
      </c>
      <c r="C8348" s="1040" t="s">
        <v>9237</v>
      </c>
      <c r="D8348" s="1736"/>
      <c r="E8348" s="1043">
        <v>1153.55</v>
      </c>
      <c r="F8348" s="1043"/>
      <c r="G8348" s="1550"/>
    </row>
    <row r="8349" spans="1:7" ht="12.75" customHeight="1">
      <c r="A8349" s="1754">
        <v>45445</v>
      </c>
      <c r="B8349" s="125" t="str">
        <f>TiposLancamentos!B15</f>
        <v>Cartões de Crédito</v>
      </c>
      <c r="C8349" s="1040" t="s">
        <v>9238</v>
      </c>
      <c r="D8349" s="1736"/>
      <c r="E8349" s="1043">
        <v>1258.94</v>
      </c>
      <c r="F8349" s="1043"/>
      <c r="G8349" s="1550"/>
    </row>
    <row r="8350" spans="1:7" ht="12.75" customHeight="1">
      <c r="A8350" s="1754">
        <v>45445</v>
      </c>
      <c r="B8350" s="125" t="str">
        <f>TiposLancamentos!B14</f>
        <v>Gás de cozinha</v>
      </c>
      <c r="C8350" s="1040" t="s">
        <v>9132</v>
      </c>
      <c r="D8350" s="1736"/>
      <c r="E8350" s="1043">
        <v>45.05</v>
      </c>
      <c r="F8350" s="1043"/>
      <c r="G8350" s="1550"/>
    </row>
    <row r="8351" spans="1:7" ht="12.75" customHeight="1">
      <c r="A8351" s="1754">
        <v>45447</v>
      </c>
      <c r="B8351" s="125" t="str">
        <f>TiposLancamentos!B4</f>
        <v>Taxas Bancarias</v>
      </c>
      <c r="C8351" s="1040" t="s">
        <v>4858</v>
      </c>
      <c r="D8351" s="1736"/>
      <c r="E8351" s="1043">
        <v>17.73</v>
      </c>
      <c r="F8351" s="1043"/>
      <c r="G8351" s="1550"/>
    </row>
    <row r="8352" spans="1:7" ht="12.75" customHeight="1">
      <c r="A8352" s="1754">
        <v>45447</v>
      </c>
      <c r="B8352" s="125" t="str">
        <f>TiposLancamentos!B4</f>
        <v>Taxas Bancarias</v>
      </c>
      <c r="C8352" s="1040" t="s">
        <v>9254</v>
      </c>
      <c r="D8352" s="1736"/>
      <c r="E8352" s="1043">
        <v>5.9</v>
      </c>
      <c r="F8352" s="1043"/>
      <c r="G8352" s="1550"/>
    </row>
    <row r="8353" spans="1:7" ht="12.75" customHeight="1">
      <c r="A8353" s="1754">
        <v>45448</v>
      </c>
      <c r="B8353" s="125" t="str">
        <f>TiposLancamentos!B4</f>
        <v>Taxas Bancarias</v>
      </c>
      <c r="C8353" s="1040" t="s">
        <v>9269</v>
      </c>
      <c r="D8353" s="1736"/>
      <c r="E8353" s="1043">
        <v>143.04</v>
      </c>
      <c r="F8353" s="1043"/>
      <c r="G8353" s="1550"/>
    </row>
    <row r="8354" spans="1:7" ht="12.75" customHeight="1">
      <c r="A8354" s="1754">
        <v>45449</v>
      </c>
      <c r="B8354" s="125" t="str">
        <f>TiposLancamentos!B4</f>
        <v>Taxas Bancarias</v>
      </c>
      <c r="C8354" s="1040" t="s">
        <v>9270</v>
      </c>
      <c r="D8354" s="1736"/>
      <c r="E8354" s="1043">
        <v>9.24</v>
      </c>
      <c r="F8354" s="1043"/>
      <c r="G8354" s="1550"/>
    </row>
    <row r="8355" spans="1:7" ht="12.75" customHeight="1">
      <c r="A8355" s="1754">
        <v>45454</v>
      </c>
      <c r="B8355" s="125" t="str">
        <f>TiposLancamentos!B46</f>
        <v>Maçonaria</v>
      </c>
      <c r="C8355" s="1040" t="s">
        <v>9271</v>
      </c>
      <c r="D8355" s="1736"/>
      <c r="E8355" s="1043">
        <v>240</v>
      </c>
      <c r="F8355" s="1043"/>
      <c r="G8355" s="1550"/>
    </row>
    <row r="8356" spans="1:7" ht="12.75" customHeight="1">
      <c r="A8356" s="1754">
        <v>45454</v>
      </c>
      <c r="B8356" s="125" t="str">
        <f>TiposLancamentos!B77</f>
        <v>Esporádico</v>
      </c>
      <c r="C8356" s="1040" t="s">
        <v>9272</v>
      </c>
      <c r="D8356" s="1736"/>
      <c r="E8356" s="1043">
        <v>20</v>
      </c>
      <c r="F8356" s="1043"/>
      <c r="G8356" s="1550"/>
    </row>
    <row r="8357" spans="1:7" ht="12.75" customHeight="1">
      <c r="A8357" s="1754">
        <v>45456</v>
      </c>
      <c r="B8357" s="125" t="str">
        <f>TiposLancamentos!B46</f>
        <v>Maçonaria</v>
      </c>
      <c r="C8357" s="1040" t="s">
        <v>9273</v>
      </c>
      <c r="D8357" s="1736"/>
      <c r="E8357" s="1043">
        <v>210</v>
      </c>
      <c r="F8357" s="1043"/>
      <c r="G8357" s="1550"/>
    </row>
    <row r="8358" spans="1:7" ht="12.75" customHeight="1">
      <c r="A8358" s="1754">
        <v>45457</v>
      </c>
      <c r="B8358" s="125" t="str">
        <f>TiposLancamentos!B13</f>
        <v>Moradia</v>
      </c>
      <c r="C8358" s="1040" t="s">
        <v>9274</v>
      </c>
      <c r="D8358" s="1736"/>
      <c r="E8358" s="1043">
        <v>16</v>
      </c>
      <c r="F8358" s="1043"/>
      <c r="G8358" s="1550"/>
    </row>
    <row r="8359" spans="1:7" ht="12.75" customHeight="1">
      <c r="A8359" s="1754"/>
      <c r="B8359" s="116"/>
      <c r="C8359" s="1040" t="s">
        <v>1868</v>
      </c>
      <c r="D8359" s="1736">
        <v>0</v>
      </c>
      <c r="E8359" s="1043"/>
      <c r="F8359" s="1664"/>
      <c r="G8359" s="1550"/>
    </row>
    <row r="8360" spans="1:7" ht="12.75" customHeight="1">
      <c r="A8360" s="1666">
        <v>45458</v>
      </c>
      <c r="B8360" s="817" t="str">
        <f>TiposLancamentos!B35</f>
        <v>Tv à Cabo</v>
      </c>
      <c r="C8360" s="1742" t="s">
        <v>5834</v>
      </c>
      <c r="D8360" s="1735"/>
      <c r="E8360" s="1733">
        <f>F8362-(E8361+E8362)</f>
        <v>101.35999999999999</v>
      </c>
      <c r="F8360" s="1290"/>
      <c r="G8360" s="1550"/>
    </row>
    <row r="8361" spans="1:7" ht="12.75" customHeight="1">
      <c r="A8361" s="1667">
        <v>45458</v>
      </c>
      <c r="B8361" s="816" t="str">
        <f>TiposLancamentos!B3</f>
        <v>Internet</v>
      </c>
      <c r="C8361" s="1769" t="s">
        <v>5835</v>
      </c>
      <c r="D8361" s="1736"/>
      <c r="E8361" s="1734">
        <v>87.43</v>
      </c>
      <c r="F8361" s="1043"/>
      <c r="G8361" s="1550"/>
    </row>
    <row r="8362" spans="1:7" ht="12.75" customHeight="1">
      <c r="A8362" s="1750">
        <v>45458</v>
      </c>
      <c r="B8362" s="818" t="str">
        <f>TiposLancamentos!B2</f>
        <v>Telefonia</v>
      </c>
      <c r="C8362" s="1743" t="s">
        <v>7210</v>
      </c>
      <c r="D8362" s="1737"/>
      <c r="E8362" s="1668">
        <v>0</v>
      </c>
      <c r="F8362" s="1291">
        <v>188.79</v>
      </c>
      <c r="G8362" s="1550"/>
    </row>
    <row r="8363" spans="1:7" ht="12.75" customHeight="1">
      <c r="A8363" s="1754">
        <v>45458</v>
      </c>
      <c r="B8363" s="116"/>
      <c r="C8363" s="1040" t="s">
        <v>1868</v>
      </c>
      <c r="D8363" s="1736">
        <v>0</v>
      </c>
      <c r="E8363" s="1043"/>
      <c r="F8363" s="1043"/>
      <c r="G8363" s="1550"/>
    </row>
    <row r="8364" spans="1:7" ht="12.75" customHeight="1">
      <c r="A8364" s="1754">
        <v>45458</v>
      </c>
      <c r="B8364" s="125" t="str">
        <f>TiposLancamentos!B2</f>
        <v>Telefonia</v>
      </c>
      <c r="C8364" s="1040" t="s">
        <v>8797</v>
      </c>
      <c r="D8364" s="1736"/>
      <c r="E8364" s="1043">
        <v>65.5</v>
      </c>
      <c r="F8364" s="1043"/>
      <c r="G8364" s="1550"/>
    </row>
    <row r="8365" spans="1:7" ht="12.75" customHeight="1">
      <c r="A8365" s="1754">
        <v>45460</v>
      </c>
      <c r="B8365" s="125" t="str">
        <f>TiposLancamentos!B5</f>
        <v>Supermercado</v>
      </c>
      <c r="C8365" s="1040" t="s">
        <v>7535</v>
      </c>
      <c r="D8365" s="1736"/>
      <c r="E8365" s="1043">
        <v>145.99</v>
      </c>
      <c r="F8365" s="1043"/>
      <c r="G8365" s="1550"/>
    </row>
    <row r="8366" spans="1:7" ht="12.75" customHeight="1">
      <c r="A8366" s="1754">
        <v>45463</v>
      </c>
      <c r="B8366" s="125" t="str">
        <f>TiposLancamentos!B18</f>
        <v>Alimentacao</v>
      </c>
      <c r="C8366" s="1040" t="s">
        <v>9275</v>
      </c>
      <c r="D8366" s="1736"/>
      <c r="E8366" s="1043">
        <v>100</v>
      </c>
      <c r="F8366" s="1043"/>
      <c r="G8366" s="1550"/>
    </row>
    <row r="8367" spans="1:7" ht="12.75" customHeight="1">
      <c r="A8367" s="1754"/>
      <c r="B8367" s="125"/>
      <c r="C8367" s="1040" t="s">
        <v>1868</v>
      </c>
      <c r="D8367" s="1736"/>
      <c r="E8367" s="1043"/>
      <c r="F8367" s="1664"/>
      <c r="G8367" s="1550"/>
    </row>
    <row r="8368" spans="1:7" ht="12.75" customHeight="1">
      <c r="A8368" s="1666">
        <v>45463</v>
      </c>
      <c r="B8368" s="1862" t="str">
        <f>TiposLancamentos!B8</f>
        <v>Aluguel</v>
      </c>
      <c r="C8368" s="1744" t="s">
        <v>9047</v>
      </c>
      <c r="D8368" s="1735"/>
      <c r="E8368" s="1733">
        <f>F8374-SUM(E8369:E8374)</f>
        <v>1631.75</v>
      </c>
      <c r="F8368" s="1613"/>
      <c r="G8368" s="1550"/>
    </row>
    <row r="8369" spans="1:7" ht="12.75" customHeight="1">
      <c r="A8369" s="1667">
        <v>45463</v>
      </c>
      <c r="B8369" s="1864" t="str">
        <f>TiposLancamentos!B12</f>
        <v>IPTU</v>
      </c>
      <c r="C8369" s="1745" t="s">
        <v>9048</v>
      </c>
      <c r="D8369" s="1736"/>
      <c r="E8369" s="1734">
        <v>62.93</v>
      </c>
      <c r="F8369" s="1656"/>
      <c r="G8369" s="1550"/>
    </row>
    <row r="8370" spans="1:7" ht="12.75" customHeight="1">
      <c r="A8370" s="1667">
        <v>45463</v>
      </c>
      <c r="B8370" s="1864" t="str">
        <f>TiposLancamentos!B10</f>
        <v>Distr. Água Municipal</v>
      </c>
      <c r="C8370" s="1745" t="s">
        <v>7423</v>
      </c>
      <c r="D8370" s="1736"/>
      <c r="E8370" s="1734">
        <v>49.79</v>
      </c>
      <c r="F8370" s="1656"/>
      <c r="G8370" s="1550"/>
    </row>
    <row r="8371" spans="1:7" ht="12.75" customHeight="1">
      <c r="A8371" s="1667">
        <v>45463</v>
      </c>
      <c r="B8371" s="1864" t="str">
        <f>TiposLancamentos!B34</f>
        <v>Seguros</v>
      </c>
      <c r="C8371" s="1745" t="s">
        <v>9262</v>
      </c>
      <c r="D8371" s="1736"/>
      <c r="E8371" s="1734">
        <v>0</v>
      </c>
      <c r="F8371" s="1656"/>
      <c r="G8371" s="1550"/>
    </row>
    <row r="8372" spans="1:7" ht="12.75" customHeight="1">
      <c r="A8372" s="1667">
        <v>45463</v>
      </c>
      <c r="B8372" s="1864" t="str">
        <f>TiposLancamentos!B11</f>
        <v>Coleta Municipal Lixo</v>
      </c>
      <c r="C8372" s="1745" t="s">
        <v>7424</v>
      </c>
      <c r="D8372" s="1736"/>
      <c r="E8372" s="1734">
        <v>67.23</v>
      </c>
      <c r="F8372" s="1656"/>
      <c r="G8372" s="1550"/>
    </row>
    <row r="8373" spans="1:7" ht="12.75" customHeight="1">
      <c r="A8373" s="1667">
        <v>45463</v>
      </c>
      <c r="B8373" s="1864" t="str">
        <f>TiposLancamentos!B8</f>
        <v>Aluguel</v>
      </c>
      <c r="C8373" s="1745" t="s">
        <v>8955</v>
      </c>
      <c r="D8373" s="1736"/>
      <c r="E8373" s="1734">
        <v>8</v>
      </c>
      <c r="F8373" s="1656"/>
      <c r="G8373" s="1550"/>
    </row>
    <row r="8374" spans="1:7" ht="12.75" customHeight="1">
      <c r="A8374" s="1750">
        <v>45463</v>
      </c>
      <c r="B8374" s="1863" t="str">
        <f>TiposLancamentos!B9</f>
        <v>Condominio</v>
      </c>
      <c r="C8374" s="1746" t="s">
        <v>7427</v>
      </c>
      <c r="D8374" s="1737"/>
      <c r="E8374" s="1668">
        <v>775.36</v>
      </c>
      <c r="F8374" s="1518">
        <v>2595.06</v>
      </c>
      <c r="G8374" s="1550"/>
    </row>
    <row r="8375" spans="1:7" ht="12.75" customHeight="1">
      <c r="A8375" s="1754"/>
      <c r="B8375" s="125"/>
      <c r="C8375" s="1040" t="s">
        <v>1868</v>
      </c>
      <c r="D8375" s="1736"/>
      <c r="E8375" s="1043"/>
      <c r="F8375" s="1613"/>
      <c r="G8375" s="1550"/>
    </row>
    <row r="8376" spans="1:7" ht="12.75" customHeight="1">
      <c r="A8376" s="1754">
        <v>45464</v>
      </c>
      <c r="B8376" s="125" t="str">
        <f>TiposLancamentos!B6</f>
        <v>Energia Eletrica</v>
      </c>
      <c r="C8376" s="1040" t="s">
        <v>9276</v>
      </c>
      <c r="D8376" s="1736"/>
      <c r="E8376" s="1043">
        <v>174.23</v>
      </c>
      <c r="F8376" s="1043"/>
      <c r="G8376" s="1550"/>
    </row>
    <row r="8377" spans="1:7" ht="12.6" customHeight="1">
      <c r="A8377" s="1754">
        <v>45464</v>
      </c>
      <c r="B8377" s="125" t="str">
        <f>TiposLancamentos!B46</f>
        <v>Maçonaria</v>
      </c>
      <c r="C8377" s="1040" t="s">
        <v>9274</v>
      </c>
      <c r="D8377" s="1736"/>
      <c r="E8377" s="1043">
        <v>16</v>
      </c>
      <c r="F8377" s="1043"/>
      <c r="G8377" s="1550"/>
    </row>
    <row r="8378" spans="1:7" ht="12.6" customHeight="1">
      <c r="A8378" s="1754">
        <v>45468</v>
      </c>
      <c r="B8378" s="125" t="str">
        <f>TiposLancamentos!B36</f>
        <v>Playstation 2</v>
      </c>
      <c r="C8378" s="1040" t="s">
        <v>9277</v>
      </c>
      <c r="D8378" s="1736"/>
      <c r="E8378" s="1043">
        <v>120</v>
      </c>
      <c r="F8378" s="1043"/>
      <c r="G8378" s="1550"/>
    </row>
    <row r="8379" spans="1:7" ht="12.6" customHeight="1">
      <c r="A8379" s="1754">
        <v>45470</v>
      </c>
      <c r="B8379" s="125" t="str">
        <f>TiposLancamentos!B95</f>
        <v>Salarios</v>
      </c>
      <c r="C8379" s="1040" t="s">
        <v>6183</v>
      </c>
      <c r="D8379" s="1736">
        <v>11850.85</v>
      </c>
      <c r="E8379" s="1043"/>
      <c r="F8379" s="1043"/>
      <c r="G8379" s="1550"/>
    </row>
    <row r="8380" spans="1:7" ht="12.6" customHeight="1">
      <c r="A8380" s="1754">
        <v>45471</v>
      </c>
      <c r="B8380" s="125" t="str">
        <f>TiposLancamentos!B95</f>
        <v>Salarios</v>
      </c>
      <c r="C8380" s="1040" t="s">
        <v>9227</v>
      </c>
      <c r="D8380" s="1736">
        <v>8021.36</v>
      </c>
      <c r="E8380" s="1043"/>
      <c r="F8380" s="1043"/>
      <c r="G8380" s="1550"/>
    </row>
    <row r="8381" spans="1:7" ht="12.6" customHeight="1">
      <c r="A8381" s="1754">
        <v>45471</v>
      </c>
      <c r="B8381" s="125" t="str">
        <f>TiposLancamentos!B46</f>
        <v>Maçonaria</v>
      </c>
      <c r="C8381" s="1040" t="s">
        <v>9274</v>
      </c>
      <c r="D8381" s="1736"/>
      <c r="E8381" s="1043">
        <v>16</v>
      </c>
      <c r="F8381" s="1043"/>
      <c r="G8381" s="1550"/>
    </row>
    <row r="8382" spans="1:7" ht="12.6" customHeight="1">
      <c r="A8382" s="1754">
        <v>45472</v>
      </c>
      <c r="B8382" s="125" t="str">
        <f>TiposLancamentos!B36</f>
        <v>Playstation 2</v>
      </c>
      <c r="C8382" s="1040" t="s">
        <v>9278</v>
      </c>
      <c r="D8382" s="1736"/>
      <c r="E8382" s="1043">
        <v>160</v>
      </c>
      <c r="F8382" s="1043"/>
      <c r="G8382" s="1550"/>
    </row>
    <row r="8383" spans="1:7" ht="12.6" customHeight="1">
      <c r="A8383" s="1754">
        <v>45472</v>
      </c>
      <c r="B8383" s="125" t="str">
        <f>TiposLancamentos!B56</f>
        <v>Farmácia</v>
      </c>
      <c r="C8383" s="1040" t="s">
        <v>9279</v>
      </c>
      <c r="D8383" s="1736"/>
      <c r="E8383" s="1043">
        <v>326</v>
      </c>
      <c r="F8383" s="1043"/>
      <c r="G8383" s="1550"/>
    </row>
    <row r="8384" spans="1:7" ht="12.6" customHeight="1">
      <c r="A8384" s="1754">
        <v>45472</v>
      </c>
      <c r="B8384" s="125" t="str">
        <f>TiposLancamentos!B5</f>
        <v>Supermercado</v>
      </c>
      <c r="C8384" s="1040" t="s">
        <v>9280</v>
      </c>
      <c r="D8384" s="1736"/>
      <c r="E8384" s="1043">
        <v>151.75</v>
      </c>
      <c r="F8384" s="1043"/>
      <c r="G8384" s="1550"/>
    </row>
    <row r="8385" spans="1:7" ht="12.6" customHeight="1" thickBot="1">
      <c r="A8385" s="1754">
        <v>45472</v>
      </c>
      <c r="B8385" s="125" t="str">
        <f>TiposLancamentos!B19</f>
        <v>Restaurantes</v>
      </c>
      <c r="C8385" s="1040" t="s">
        <v>8351</v>
      </c>
      <c r="D8385" s="1736"/>
      <c r="E8385" s="1043">
        <v>7.9</v>
      </c>
      <c r="F8385" s="1043"/>
      <c r="G8385" s="1550"/>
    </row>
    <row r="8386" spans="1:7" ht="12.75" customHeight="1">
      <c r="A8386" s="1834"/>
      <c r="B8386" s="977"/>
      <c r="C8386" s="1854" t="s">
        <v>1636</v>
      </c>
      <c r="D8386" s="1823"/>
      <c r="E8386" s="1821"/>
      <c r="F8386" s="1821"/>
      <c r="G8386" s="1895"/>
    </row>
    <row r="8387" spans="1:7" ht="12.75" customHeight="1">
      <c r="A8387" s="1754">
        <v>45474</v>
      </c>
      <c r="B8387" s="125" t="str">
        <f>TiposLancamentos!B15</f>
        <v>Cartões de Crédito</v>
      </c>
      <c r="C8387" s="1040" t="s">
        <v>8016</v>
      </c>
      <c r="D8387" s="1736"/>
      <c r="E8387" s="1043">
        <v>2919.15</v>
      </c>
      <c r="F8387" s="1043"/>
      <c r="G8387" s="1550"/>
    </row>
    <row r="8388" spans="1:7" ht="12.75" customHeight="1">
      <c r="A8388" s="1754">
        <v>45474</v>
      </c>
      <c r="B8388" s="125" t="str">
        <f>TiposLancamentos!B15</f>
        <v>Cartões de Crédito</v>
      </c>
      <c r="C8388" s="1040" t="s">
        <v>9175</v>
      </c>
      <c r="D8388" s="1736"/>
      <c r="E8388" s="1043">
        <v>0</v>
      </c>
      <c r="F8388" s="1043"/>
      <c r="G8388" s="1550"/>
    </row>
    <row r="8389" spans="1:7" ht="12.75" customHeight="1">
      <c r="A8389" s="1754">
        <v>45474</v>
      </c>
      <c r="B8389" s="125" t="str">
        <f>TiposLancamentos!B15</f>
        <v>Cartões de Crédito</v>
      </c>
      <c r="C8389" s="1040" t="s">
        <v>9174</v>
      </c>
      <c r="D8389" s="1736"/>
      <c r="E8389" s="1043">
        <v>0</v>
      </c>
      <c r="F8389" s="1043"/>
      <c r="G8389" s="1550"/>
    </row>
    <row r="8390" spans="1:7" ht="12.75" customHeight="1">
      <c r="A8390" s="1754">
        <v>45474</v>
      </c>
      <c r="B8390" s="125" t="str">
        <f>TiposLancamentos!B15</f>
        <v>Cartões de Crédito</v>
      </c>
      <c r="C8390" s="1040" t="s">
        <v>9173</v>
      </c>
      <c r="D8390" s="1736"/>
      <c r="E8390" s="1043">
        <v>1324.85</v>
      </c>
      <c r="F8390" s="1043"/>
      <c r="G8390" s="1550"/>
    </row>
    <row r="8391" spans="1:7" ht="12.75" customHeight="1">
      <c r="A8391" s="1754">
        <v>45474</v>
      </c>
      <c r="B8391" s="125" t="str">
        <f>TiposLancamentos!B15</f>
        <v>Cartões de Crédito</v>
      </c>
      <c r="C8391" s="1040" t="s">
        <v>9237</v>
      </c>
      <c r="D8391" s="1736"/>
      <c r="E8391" s="1043">
        <v>957.01</v>
      </c>
      <c r="F8391" s="1043"/>
      <c r="G8391" s="1550"/>
    </row>
    <row r="8392" spans="1:7" ht="12.75" customHeight="1">
      <c r="A8392" s="1754">
        <v>45474</v>
      </c>
      <c r="B8392" s="125" t="str">
        <f>TiposLancamentos!B15</f>
        <v>Cartões de Crédito</v>
      </c>
      <c r="C8392" s="1040" t="s">
        <v>8252</v>
      </c>
      <c r="D8392" s="1736"/>
      <c r="E8392" s="1043">
        <v>1214.8</v>
      </c>
      <c r="F8392" s="1043"/>
      <c r="G8392" s="1550"/>
    </row>
    <row r="8393" spans="1:7" ht="12.75" customHeight="1">
      <c r="A8393" s="1754">
        <v>45474</v>
      </c>
      <c r="B8393" s="125" t="str">
        <f>TiposLancamentos!B14</f>
        <v>Gás de cozinha</v>
      </c>
      <c r="C8393" s="1040" t="s">
        <v>9132</v>
      </c>
      <c r="D8393" s="1736"/>
      <c r="E8393" s="1043">
        <v>50.79</v>
      </c>
      <c r="F8393" s="1043"/>
      <c r="G8393" s="1550"/>
    </row>
    <row r="8394" spans="1:7" ht="12.75" customHeight="1">
      <c r="A8394" s="1666">
        <v>45475</v>
      </c>
      <c r="B8394" s="1862" t="str">
        <f>TiposLancamentos!B37</f>
        <v>Playstation 3</v>
      </c>
      <c r="C8394" s="1744" t="s">
        <v>9281</v>
      </c>
      <c r="D8394" s="1735"/>
      <c r="E8394" s="1733">
        <v>45.41</v>
      </c>
      <c r="F8394" s="1613"/>
      <c r="G8394" s="1550"/>
    </row>
    <row r="8395" spans="1:7" ht="12.75" customHeight="1">
      <c r="A8395" s="1667">
        <v>45475</v>
      </c>
      <c r="B8395" s="1864" t="str">
        <f>TiposLancamentos!B37</f>
        <v>Playstation 3</v>
      </c>
      <c r="C8395" s="1745" t="s">
        <v>9282</v>
      </c>
      <c r="D8395" s="1736"/>
      <c r="E8395" s="1734">
        <v>35.409999999999997</v>
      </c>
      <c r="F8395" s="1656"/>
      <c r="G8395" s="1550"/>
    </row>
    <row r="8396" spans="1:7" ht="12.75" customHeight="1">
      <c r="A8396" s="1750">
        <v>45475</v>
      </c>
      <c r="B8396" s="1863" t="str">
        <f>TiposLancamentos!B60</f>
        <v>Correio</v>
      </c>
      <c r="C8396" s="1746" t="s">
        <v>9283</v>
      </c>
      <c r="D8396" s="1737"/>
      <c r="E8396" s="1668">
        <v>14.01</v>
      </c>
      <c r="F8396" s="1518">
        <f>SUM(E8394:E8396)</f>
        <v>94.83</v>
      </c>
      <c r="G8396" s="1550"/>
    </row>
    <row r="8397" spans="1:7" ht="12.75" customHeight="1">
      <c r="A8397" s="1754"/>
      <c r="B8397" s="125"/>
      <c r="C8397" s="1040" t="s">
        <v>1947</v>
      </c>
      <c r="D8397" s="1736"/>
      <c r="E8397" s="1043"/>
      <c r="F8397" s="1043"/>
      <c r="G8397" s="1550"/>
    </row>
    <row r="8398" spans="1:7" ht="12.75" customHeight="1">
      <c r="A8398" s="1666">
        <v>45475</v>
      </c>
      <c r="B8398" s="1862" t="str">
        <f>TiposLancamentos!B38</f>
        <v>Playstation 4</v>
      </c>
      <c r="C8398" s="1744" t="s">
        <v>9284</v>
      </c>
      <c r="D8398" s="1735"/>
      <c r="E8398" s="1733">
        <v>78.709999999999994</v>
      </c>
      <c r="F8398" s="1613"/>
      <c r="G8398" s="1550"/>
    </row>
    <row r="8399" spans="1:7" ht="12.75" customHeight="1">
      <c r="A8399" s="1750">
        <v>45475</v>
      </c>
      <c r="B8399" s="1863" t="str">
        <f>TiposLancamentos!B60</f>
        <v>Correio</v>
      </c>
      <c r="C8399" s="1746" t="s">
        <v>9285</v>
      </c>
      <c r="D8399" s="1737"/>
      <c r="E8399" s="1668">
        <v>9.9</v>
      </c>
      <c r="F8399" s="1518">
        <f>SUM(E8398:E8399)</f>
        <v>88.61</v>
      </c>
      <c r="G8399" s="1550"/>
    </row>
    <row r="8400" spans="1:7" ht="12.75" customHeight="1">
      <c r="A8400" s="1754">
        <v>45475</v>
      </c>
      <c r="B8400" s="125" t="str">
        <f>TiposLancamentos!B4</f>
        <v>Taxas Bancarias</v>
      </c>
      <c r="C8400" s="1040" t="s">
        <v>4858</v>
      </c>
      <c r="D8400" s="1736"/>
      <c r="E8400" s="1043">
        <v>40.82</v>
      </c>
      <c r="F8400" s="1043"/>
      <c r="G8400" s="1550"/>
    </row>
    <row r="8401" spans="1:7" ht="12.75" customHeight="1">
      <c r="A8401" s="1754">
        <v>45448</v>
      </c>
      <c r="B8401" s="125" t="str">
        <f>TiposLancamentos!B103</f>
        <v>Juros_Corr. Poupança</v>
      </c>
      <c r="C8401" s="1040" t="s">
        <v>9239</v>
      </c>
      <c r="D8401" s="1736">
        <v>0.03</v>
      </c>
      <c r="E8401" s="1043"/>
      <c r="F8401" s="1043"/>
      <c r="G8401" s="1550"/>
    </row>
    <row r="8402" spans="1:7" ht="12.75" customHeight="1">
      <c r="A8402" s="1754">
        <v>45448</v>
      </c>
      <c r="B8402" s="125" t="str">
        <f>TiposLancamentos!B4</f>
        <v>Taxas Bancarias</v>
      </c>
      <c r="C8402" s="1040" t="s">
        <v>9269</v>
      </c>
      <c r="D8402" s="1736"/>
      <c r="E8402" s="1043">
        <v>320.7</v>
      </c>
      <c r="F8402" s="1043"/>
      <c r="G8402" s="1550"/>
    </row>
    <row r="8403" spans="1:7" ht="12.75" customHeight="1">
      <c r="A8403" s="1754">
        <v>45479</v>
      </c>
      <c r="B8403" s="125" t="str">
        <f>TiposLancamentos!B67</f>
        <v>Lavanderia</v>
      </c>
      <c r="C8403" s="1040" t="s">
        <v>1950</v>
      </c>
      <c r="D8403" s="1736"/>
      <c r="E8403" s="1043">
        <v>66</v>
      </c>
      <c r="F8403" s="1043"/>
      <c r="G8403" s="1550"/>
    </row>
    <row r="8404" spans="1:7" ht="12.75" customHeight="1">
      <c r="A8404" s="1666">
        <v>45479</v>
      </c>
      <c r="B8404" s="1862" t="str">
        <f>TiposLancamentos!B38</f>
        <v>Playstation 4</v>
      </c>
      <c r="C8404" s="1744" t="s">
        <v>9286</v>
      </c>
      <c r="D8404" s="1735"/>
      <c r="E8404" s="1733">
        <v>100</v>
      </c>
      <c r="F8404" s="1613"/>
      <c r="G8404" s="1550"/>
    </row>
    <row r="8405" spans="1:7" ht="12.75" customHeight="1">
      <c r="A8405" s="1750">
        <v>45479</v>
      </c>
      <c r="B8405" s="1863" t="str">
        <f>TiposLancamentos!B38</f>
        <v>Playstation 4</v>
      </c>
      <c r="C8405" s="1746" t="s">
        <v>9287</v>
      </c>
      <c r="D8405" s="1737"/>
      <c r="E8405" s="1668">
        <v>150</v>
      </c>
      <c r="F8405" s="1518">
        <f>SUM(E8404:E8405)</f>
        <v>250</v>
      </c>
      <c r="G8405" s="1550"/>
    </row>
    <row r="8406" spans="1:7" ht="12.75" customHeight="1">
      <c r="A8406" s="1754">
        <v>45479</v>
      </c>
      <c r="B8406" s="125" t="str">
        <f>TiposLancamentos!B16</f>
        <v>Cristiane</v>
      </c>
      <c r="C8406" s="1040" t="s">
        <v>9288</v>
      </c>
      <c r="D8406" s="1736"/>
      <c r="E8406" s="1043">
        <v>60</v>
      </c>
      <c r="F8406" s="1043"/>
      <c r="G8406" s="1550"/>
    </row>
    <row r="8407" spans="1:7" ht="12.75" customHeight="1">
      <c r="A8407" s="1754">
        <v>45479</v>
      </c>
      <c r="B8407" s="125" t="str">
        <f>TiposLancamentos!B70</f>
        <v>Vestuário</v>
      </c>
      <c r="C8407" s="1040" t="s">
        <v>9289</v>
      </c>
      <c r="D8407" s="1736"/>
      <c r="E8407" s="1043">
        <v>89.9</v>
      </c>
      <c r="F8407" s="1043"/>
      <c r="G8407" s="1550"/>
    </row>
    <row r="8408" spans="1:7" ht="12.75" customHeight="1">
      <c r="A8408" s="1754">
        <v>45479</v>
      </c>
      <c r="B8408" s="125" t="str">
        <f>TiposLancamentos!B23</f>
        <v>P208 GRIFFE 1.6 AUT BUSINESS</v>
      </c>
      <c r="C8408" s="1040" t="s">
        <v>7620</v>
      </c>
      <c r="D8408" s="1736"/>
      <c r="E8408" s="1043">
        <v>55</v>
      </c>
      <c r="F8408" s="1043"/>
      <c r="G8408" s="1550"/>
    </row>
    <row r="8409" spans="1:7" ht="12.75" customHeight="1">
      <c r="A8409" s="1666">
        <v>45479</v>
      </c>
      <c r="B8409" s="1862" t="str">
        <f>TiposLancamentos!B16</f>
        <v>Cristiane</v>
      </c>
      <c r="C8409" s="1744" t="s">
        <v>9290</v>
      </c>
      <c r="D8409" s="1735"/>
      <c r="E8409" s="1733">
        <v>28</v>
      </c>
      <c r="F8409" s="1613"/>
      <c r="G8409" s="1550"/>
    </row>
    <row r="8410" spans="1:7" ht="12.75" customHeight="1">
      <c r="A8410" s="1750">
        <v>45479</v>
      </c>
      <c r="B8410" s="1863" t="str">
        <f>TiposLancamentos!B60</f>
        <v>Correio</v>
      </c>
      <c r="C8410" s="1746" t="s">
        <v>9291</v>
      </c>
      <c r="D8410" s="1737"/>
      <c r="E8410" s="1668">
        <v>16.399999999999999</v>
      </c>
      <c r="F8410" s="1518">
        <f>SUM(E8409:E8410)</f>
        <v>44.4</v>
      </c>
      <c r="G8410" s="1550"/>
    </row>
    <row r="8411" spans="1:7" ht="12.75" customHeight="1">
      <c r="A8411" s="1754">
        <v>45479</v>
      </c>
      <c r="B8411" s="125" t="str">
        <f>TiposLancamentos!B22</f>
        <v>Combustivel</v>
      </c>
      <c r="C8411" s="1040" t="s">
        <v>9292</v>
      </c>
      <c r="D8411" s="1736"/>
      <c r="E8411" s="1043">
        <v>50</v>
      </c>
      <c r="F8411" s="1043"/>
      <c r="G8411" s="1550"/>
    </row>
    <row r="8412" spans="1:7" ht="12.75" customHeight="1">
      <c r="A8412" s="1754">
        <v>45479</v>
      </c>
      <c r="B8412" s="125" t="str">
        <f>TiposLancamentos!B75</f>
        <v>Shows</v>
      </c>
      <c r="C8412" s="1040" t="s">
        <v>9293</v>
      </c>
      <c r="D8412" s="1736"/>
      <c r="E8412" s="1043">
        <v>30</v>
      </c>
      <c r="F8412" s="1043"/>
      <c r="G8412" s="1550"/>
    </row>
    <row r="8413" spans="1:7" ht="12.75" customHeight="1">
      <c r="A8413" s="1754">
        <v>45480</v>
      </c>
      <c r="B8413" s="125" t="str">
        <f>TiposLancamentos!B36</f>
        <v>Playstation 2</v>
      </c>
      <c r="C8413" s="1040" t="s">
        <v>9294</v>
      </c>
      <c r="D8413" s="1736"/>
      <c r="E8413" s="1043">
        <v>160</v>
      </c>
      <c r="F8413" s="1043"/>
      <c r="G8413" s="1550"/>
    </row>
    <row r="8414" spans="1:7" ht="12.75" customHeight="1">
      <c r="A8414" s="1754">
        <v>45480</v>
      </c>
      <c r="B8414" s="125" t="str">
        <f>TiposLancamentos!B38</f>
        <v>Playstation 4</v>
      </c>
      <c r="C8414" s="1040" t="s">
        <v>9295</v>
      </c>
      <c r="D8414" s="1736"/>
      <c r="E8414" s="1043">
        <v>60</v>
      </c>
      <c r="F8414" s="1043"/>
      <c r="G8414" s="1550"/>
    </row>
    <row r="8415" spans="1:7" ht="12.75" customHeight="1">
      <c r="A8415" s="1666">
        <v>45480</v>
      </c>
      <c r="B8415" s="1862" t="str">
        <f>TiposLancamentos!B39</f>
        <v>Playstation 5</v>
      </c>
      <c r="C8415" s="1744" t="s">
        <v>9296</v>
      </c>
      <c r="D8415" s="1735"/>
      <c r="E8415" s="1733">
        <f>F8416-E8416</f>
        <v>170</v>
      </c>
      <c r="F8415" s="1613"/>
      <c r="G8415" s="1550"/>
    </row>
    <row r="8416" spans="1:7" ht="12.75" customHeight="1">
      <c r="A8416" s="1750">
        <v>45480</v>
      </c>
      <c r="B8416" s="1863" t="str">
        <f>TiposLancamentos!B38</f>
        <v>Playstation 4</v>
      </c>
      <c r="C8416" s="1746" t="s">
        <v>9297</v>
      </c>
      <c r="D8416" s="1737"/>
      <c r="E8416" s="1668">
        <v>50</v>
      </c>
      <c r="F8416" s="1518">
        <v>220</v>
      </c>
      <c r="G8416" s="1550"/>
    </row>
    <row r="8417" spans="1:7" ht="12.75" customHeight="1">
      <c r="A8417" s="1754">
        <v>45480</v>
      </c>
      <c r="B8417" s="125" t="str">
        <f>TiposLancamentos!B38</f>
        <v>Playstation 4</v>
      </c>
      <c r="C8417" s="1040" t="s">
        <v>9298</v>
      </c>
      <c r="D8417" s="1736"/>
      <c r="E8417" s="1043">
        <v>150</v>
      </c>
      <c r="F8417" s="1043"/>
      <c r="G8417" s="1550"/>
    </row>
    <row r="8418" spans="1:7" ht="12.75" customHeight="1">
      <c r="A8418" s="1754">
        <v>45480</v>
      </c>
      <c r="B8418" s="125" t="str">
        <f>TiposLancamentos!B37</f>
        <v>Playstation 3</v>
      </c>
      <c r="C8418" s="1040" t="s">
        <v>9299</v>
      </c>
      <c r="D8418" s="1736"/>
      <c r="E8418" s="1043">
        <v>150</v>
      </c>
      <c r="F8418" s="1043"/>
      <c r="G8418" s="1550"/>
    </row>
    <row r="8419" spans="1:7" ht="12.75" customHeight="1">
      <c r="A8419" s="1754">
        <v>45480</v>
      </c>
      <c r="B8419" s="125" t="str">
        <f>TiposLancamentos!B5</f>
        <v>Supermercado</v>
      </c>
      <c r="C8419" s="1040" t="s">
        <v>9300</v>
      </c>
      <c r="D8419" s="1736"/>
      <c r="E8419" s="1043">
        <v>115.1</v>
      </c>
      <c r="F8419" s="1043"/>
      <c r="G8419" s="1550"/>
    </row>
    <row r="8420" spans="1:7" ht="12.75" customHeight="1">
      <c r="A8420" s="1754">
        <v>45480</v>
      </c>
      <c r="B8420" s="125" t="str">
        <f>TiposLancamentos!B17</f>
        <v>GATO</v>
      </c>
      <c r="C8420" s="1040" t="s">
        <v>9301</v>
      </c>
      <c r="D8420" s="1736"/>
      <c r="E8420" s="1043">
        <v>106.57</v>
      </c>
      <c r="F8420" s="1043"/>
      <c r="G8420" s="1550"/>
    </row>
    <row r="8421" spans="1:7" ht="12.75" customHeight="1">
      <c r="A8421" s="1754">
        <v>45481</v>
      </c>
      <c r="B8421" s="125" t="str">
        <f>TiposLancamentos!B4</f>
        <v>Taxas Bancarias</v>
      </c>
      <c r="C8421" s="1040" t="s">
        <v>9302</v>
      </c>
      <c r="D8421" s="1736"/>
      <c r="E8421" s="1043">
        <v>20.04</v>
      </c>
      <c r="F8421" s="1043"/>
      <c r="G8421" s="1550"/>
    </row>
    <row r="8422" spans="1:7" ht="12.75" customHeight="1">
      <c r="A8422" s="1754">
        <v>45483</v>
      </c>
      <c r="B8422" s="125" t="str">
        <f>TiposLancamentos!B17</f>
        <v>GATO</v>
      </c>
      <c r="C8422" s="1040" t="s">
        <v>9084</v>
      </c>
      <c r="D8422" s="1736"/>
      <c r="E8422" s="1043">
        <v>36.950000000000003</v>
      </c>
      <c r="F8422" s="1043"/>
      <c r="G8422" s="1550"/>
    </row>
    <row r="8423" spans="1:7" ht="12.75" customHeight="1">
      <c r="A8423" s="1666">
        <v>45453</v>
      </c>
      <c r="B8423" s="1862" t="str">
        <f>TiposLancamentos!B16</f>
        <v>Cristiane</v>
      </c>
      <c r="C8423" s="1744" t="s">
        <v>9303</v>
      </c>
      <c r="D8423" s="1735"/>
      <c r="E8423" s="1733">
        <v>49.9</v>
      </c>
      <c r="F8423" s="1613"/>
      <c r="G8423" s="1550"/>
    </row>
    <row r="8424" spans="1:7" ht="12.75" customHeight="1">
      <c r="A8424" s="1750">
        <v>45453</v>
      </c>
      <c r="B8424" s="1863" t="str">
        <f>TiposLancamentos!B60</f>
        <v>Correio</v>
      </c>
      <c r="C8424" s="1746" t="s">
        <v>9304</v>
      </c>
      <c r="D8424" s="1737"/>
      <c r="E8424" s="1668">
        <f>F8424-E8423</f>
        <v>13.910000000000004</v>
      </c>
      <c r="F8424" s="1518">
        <v>63.81</v>
      </c>
      <c r="G8424" s="1550"/>
    </row>
    <row r="8425" spans="1:7" ht="12.75" customHeight="1">
      <c r="A8425" s="1754">
        <v>45484</v>
      </c>
      <c r="B8425" s="125" t="str">
        <f>TiposLancamentos!B19</f>
        <v>Restaurantes</v>
      </c>
      <c r="C8425" s="1040" t="s">
        <v>9305</v>
      </c>
      <c r="D8425" s="1736"/>
      <c r="E8425" s="1043">
        <v>65.89</v>
      </c>
      <c r="F8425" s="1043"/>
      <c r="G8425" s="1550"/>
    </row>
    <row r="8426" spans="1:7" ht="12.75" customHeight="1">
      <c r="A8426" s="1754">
        <v>45485</v>
      </c>
      <c r="B8426" s="125" t="str">
        <f>TiposLancamentos!B103</f>
        <v>Juros_Corr. Poupança</v>
      </c>
      <c r="C8426" s="1040" t="s">
        <v>9239</v>
      </c>
      <c r="D8426" s="1736">
        <v>0.06</v>
      </c>
      <c r="E8426" s="1043"/>
      <c r="F8426" s="1043"/>
      <c r="G8426" s="1550"/>
    </row>
    <row r="8427" spans="1:7" ht="12.75" customHeight="1">
      <c r="A8427" s="1754">
        <v>45485</v>
      </c>
      <c r="B8427" s="125" t="str">
        <f>TiposLancamentos!B13</f>
        <v>Moradia</v>
      </c>
      <c r="C8427" s="1040" t="s">
        <v>8733</v>
      </c>
      <c r="D8427" s="1736"/>
      <c r="E8427" s="1043">
        <v>16</v>
      </c>
      <c r="F8427" s="1043"/>
      <c r="G8427" s="1550"/>
    </row>
    <row r="8428" spans="1:7" ht="12.75" customHeight="1">
      <c r="A8428" s="1666">
        <v>45486</v>
      </c>
      <c r="B8428" s="1862" t="str">
        <f>TiposLancamentos!B70</f>
        <v>Vestuário</v>
      </c>
      <c r="C8428" s="1744" t="s">
        <v>9306</v>
      </c>
      <c r="D8428" s="1735"/>
      <c r="E8428" s="1733">
        <f>F8429-E8429</f>
        <v>71.910000000000011</v>
      </c>
      <c r="F8428" s="1613"/>
      <c r="G8428" s="1550"/>
    </row>
    <row r="8429" spans="1:7" ht="12.75" customHeight="1">
      <c r="A8429" s="1750">
        <v>45486</v>
      </c>
      <c r="B8429" s="1863" t="str">
        <f>TiposLancamentos!B60</f>
        <v>Correio</v>
      </c>
      <c r="C8429" s="1746" t="s">
        <v>9307</v>
      </c>
      <c r="D8429" s="1737"/>
      <c r="E8429" s="1668">
        <v>10.38</v>
      </c>
      <c r="F8429" s="1518">
        <v>82.29</v>
      </c>
      <c r="G8429" s="1550"/>
    </row>
    <row r="8430" spans="1:7" ht="12.75" customHeight="1">
      <c r="A8430" s="1754">
        <v>45486</v>
      </c>
      <c r="B8430" s="125" t="str">
        <f>TiposLancamentos!B38</f>
        <v>Playstation 4</v>
      </c>
      <c r="C8430" s="1040" t="s">
        <v>9308</v>
      </c>
      <c r="D8430" s="1736"/>
      <c r="E8430" s="1043">
        <v>150</v>
      </c>
      <c r="F8430" s="1043"/>
      <c r="G8430" s="1550"/>
    </row>
    <row r="8431" spans="1:7" ht="12.75" customHeight="1">
      <c r="A8431" s="1754">
        <v>45486</v>
      </c>
      <c r="B8431" s="125" t="str">
        <f>TiposLancamentos!B36</f>
        <v>Playstation 2</v>
      </c>
      <c r="C8431" s="1040" t="s">
        <v>9309</v>
      </c>
      <c r="D8431" s="1736"/>
      <c r="E8431" s="1043">
        <v>140</v>
      </c>
      <c r="F8431" s="1043"/>
      <c r="G8431" s="1550"/>
    </row>
    <row r="8432" spans="1:7" ht="12.75" customHeight="1">
      <c r="A8432" s="1754">
        <v>45486</v>
      </c>
      <c r="B8432" s="125" t="str">
        <f>TiposLancamentos!B5</f>
        <v>Supermercado</v>
      </c>
      <c r="C8432" s="1040" t="s">
        <v>2567</v>
      </c>
      <c r="D8432" s="1736"/>
      <c r="E8432" s="1043">
        <v>132.541</v>
      </c>
      <c r="F8432" s="1043"/>
      <c r="G8432" s="1550"/>
    </row>
    <row r="8433" spans="1:7" ht="12.75" customHeight="1">
      <c r="A8433" s="1754">
        <v>45486</v>
      </c>
      <c r="B8433" s="125" t="str">
        <f>TiposLancamentos!B19</f>
        <v>Restaurantes</v>
      </c>
      <c r="C8433" s="1040" t="s">
        <v>9310</v>
      </c>
      <c r="D8433" s="1736"/>
      <c r="E8433" s="1043">
        <v>14</v>
      </c>
      <c r="F8433" s="1043"/>
      <c r="G8433" s="1550"/>
    </row>
    <row r="8434" spans="1:7" ht="12.75" customHeight="1">
      <c r="A8434" s="1666">
        <v>45486</v>
      </c>
      <c r="B8434" s="1862" t="str">
        <f>TiposLancamentos!B70</f>
        <v>Vestuário</v>
      </c>
      <c r="C8434" s="1744" t="s">
        <v>9311</v>
      </c>
      <c r="D8434" s="1735"/>
      <c r="E8434" s="1733">
        <f>F8435-E8435</f>
        <v>69.03</v>
      </c>
      <c r="F8434" s="1613"/>
      <c r="G8434" s="1550"/>
    </row>
    <row r="8435" spans="1:7" ht="12.75" customHeight="1">
      <c r="A8435" s="1750">
        <v>45486</v>
      </c>
      <c r="B8435" s="1863" t="str">
        <f>TiposLancamentos!B60</f>
        <v>Correio</v>
      </c>
      <c r="C8435" s="1746" t="s">
        <v>9307</v>
      </c>
      <c r="D8435" s="1737"/>
      <c r="E8435" s="1668">
        <v>15</v>
      </c>
      <c r="F8435" s="1518">
        <v>84.03</v>
      </c>
      <c r="G8435" s="1550"/>
    </row>
    <row r="8436" spans="1:7" ht="12.75" customHeight="1">
      <c r="A8436" s="1754"/>
      <c r="B8436" s="116"/>
      <c r="C8436" s="1040" t="s">
        <v>1868</v>
      </c>
      <c r="D8436" s="1736">
        <v>0</v>
      </c>
      <c r="E8436" s="1043"/>
      <c r="F8436" s="1664"/>
      <c r="G8436" s="1550"/>
    </row>
    <row r="8437" spans="1:7" ht="12.75" customHeight="1">
      <c r="A8437" s="1666">
        <v>45488</v>
      </c>
      <c r="B8437" s="817" t="str">
        <f>TiposLancamentos!B35</f>
        <v>Tv à Cabo</v>
      </c>
      <c r="C8437" s="1742" t="s">
        <v>5834</v>
      </c>
      <c r="D8437" s="1735"/>
      <c r="E8437" s="1733">
        <f>F8439-(E8438+E8439)</f>
        <v>101.35999999999999</v>
      </c>
      <c r="F8437" s="1290"/>
      <c r="G8437" s="1550"/>
    </row>
    <row r="8438" spans="1:7" ht="12.75" customHeight="1">
      <c r="A8438" s="1868">
        <v>45488</v>
      </c>
      <c r="B8438" s="816" t="str">
        <f>TiposLancamentos!B3</f>
        <v>Internet</v>
      </c>
      <c r="C8438" s="1769" t="s">
        <v>5835</v>
      </c>
      <c r="D8438" s="1736"/>
      <c r="E8438" s="1734">
        <v>87.43</v>
      </c>
      <c r="F8438" s="1043"/>
      <c r="G8438" s="1550"/>
    </row>
    <row r="8439" spans="1:7" ht="12.75" customHeight="1">
      <c r="A8439" s="1750">
        <v>45488</v>
      </c>
      <c r="B8439" s="818" t="str">
        <f>TiposLancamentos!B2</f>
        <v>Telefonia</v>
      </c>
      <c r="C8439" s="1743" t="s">
        <v>7210</v>
      </c>
      <c r="D8439" s="1737"/>
      <c r="E8439" s="1668">
        <v>0</v>
      </c>
      <c r="F8439" s="1291">
        <v>188.79</v>
      </c>
      <c r="G8439" s="1550"/>
    </row>
    <row r="8440" spans="1:7" ht="12.75" customHeight="1">
      <c r="A8440" s="1754">
        <v>45488</v>
      </c>
      <c r="B8440" s="116"/>
      <c r="C8440" s="1040" t="s">
        <v>1868</v>
      </c>
      <c r="D8440" s="1736">
        <v>0</v>
      </c>
      <c r="E8440" s="1043"/>
      <c r="F8440" s="1043"/>
      <c r="G8440" s="1550"/>
    </row>
    <row r="8441" spans="1:7" ht="12.75" customHeight="1">
      <c r="A8441" s="1754">
        <v>45488</v>
      </c>
      <c r="B8441" s="125" t="str">
        <f>TiposLancamentos!B2</f>
        <v>Telefonia</v>
      </c>
      <c r="C8441" s="1040" t="s">
        <v>8797</v>
      </c>
      <c r="D8441" s="1736"/>
      <c r="E8441" s="1043">
        <v>65.5</v>
      </c>
      <c r="F8441" s="1043"/>
      <c r="G8441" s="1550"/>
    </row>
    <row r="8442" spans="1:7" ht="12.75" customHeight="1">
      <c r="A8442" s="1754">
        <v>45488</v>
      </c>
      <c r="B8442" s="125" t="str">
        <f>TiposLancamentos!B19</f>
        <v>Restaurantes</v>
      </c>
      <c r="C8442" s="1040" t="s">
        <v>9312</v>
      </c>
      <c r="D8442" s="1736"/>
      <c r="E8442" s="1043">
        <v>40</v>
      </c>
      <c r="F8442" s="1043"/>
      <c r="G8442" s="1550"/>
    </row>
    <row r="8443" spans="1:7" ht="12.75" customHeight="1">
      <c r="A8443" s="1754">
        <v>45488</v>
      </c>
      <c r="B8443" s="125" t="str">
        <f>TiposLancamentos!B71</f>
        <v>Itens Pessoais</v>
      </c>
      <c r="C8443" s="1040" t="s">
        <v>9313</v>
      </c>
      <c r="D8443" s="1736"/>
      <c r="E8443" s="1043">
        <v>480</v>
      </c>
      <c r="F8443" s="1043"/>
      <c r="G8443" s="1550"/>
    </row>
    <row r="8444" spans="1:7" ht="12.75" customHeight="1">
      <c r="A8444" s="1754">
        <v>45489</v>
      </c>
      <c r="B8444" s="125" t="str">
        <f>TiposLancamentos!B23</f>
        <v>P208 GRIFFE 1.6 AUT BUSINESS</v>
      </c>
      <c r="C8444" s="1040" t="s">
        <v>9314</v>
      </c>
      <c r="D8444" s="1736"/>
      <c r="E8444" s="1043">
        <v>420</v>
      </c>
      <c r="F8444" s="1043"/>
      <c r="G8444" s="1550"/>
    </row>
    <row r="8445" spans="1:7" ht="12.75" customHeight="1">
      <c r="A8445" s="1754">
        <v>45489</v>
      </c>
      <c r="B8445" s="125" t="str">
        <f>TiposLancamentos!B22</f>
        <v>Combustivel</v>
      </c>
      <c r="C8445" s="1040" t="s">
        <v>9315</v>
      </c>
      <c r="D8445" s="1736"/>
      <c r="E8445" s="1043">
        <v>100</v>
      </c>
      <c r="F8445" s="1043"/>
      <c r="G8445" s="1550"/>
    </row>
    <row r="8446" spans="1:7" ht="12.75" customHeight="1">
      <c r="A8446" s="1754">
        <v>45489</v>
      </c>
      <c r="B8446" s="125" t="str">
        <f>TiposLancamentos!B19</f>
        <v>Restaurantes</v>
      </c>
      <c r="C8446" s="1040" t="s">
        <v>9316</v>
      </c>
      <c r="D8446" s="1736"/>
      <c r="E8446" s="1043">
        <v>52.5</v>
      </c>
      <c r="F8446" s="1043"/>
      <c r="G8446" s="1550"/>
    </row>
    <row r="8447" spans="1:7" ht="12.75" customHeight="1">
      <c r="A8447" s="1754">
        <v>45489</v>
      </c>
      <c r="B8447" s="125" t="str">
        <f>TiposLancamentos!B17</f>
        <v>GATO</v>
      </c>
      <c r="C8447" s="1040" t="s">
        <v>7448</v>
      </c>
      <c r="D8447" s="1736"/>
      <c r="E8447" s="1043">
        <v>145.44</v>
      </c>
      <c r="F8447" s="1043"/>
      <c r="G8447" s="1550"/>
    </row>
    <row r="8448" spans="1:7" ht="12.75" customHeight="1">
      <c r="A8448" s="1754">
        <v>45489</v>
      </c>
      <c r="B8448" s="125" t="str">
        <f>TiposLancamentos!B103</f>
        <v>Juros_Corr. Poupança</v>
      </c>
      <c r="C8448" s="1040" t="s">
        <v>9239</v>
      </c>
      <c r="D8448" s="1736">
        <v>0.04</v>
      </c>
      <c r="E8448" s="1043"/>
      <c r="F8448" s="1043"/>
      <c r="G8448" s="1550"/>
    </row>
    <row r="8449" spans="1:7" ht="12.75" customHeight="1">
      <c r="A8449" s="1754">
        <v>45490</v>
      </c>
      <c r="B8449" s="125" t="str">
        <f>TiposLancamentos!B46</f>
        <v>Maçonaria</v>
      </c>
      <c r="C8449" s="1040" t="s">
        <v>9317</v>
      </c>
      <c r="D8449" s="1736"/>
      <c r="E8449" s="1043">
        <v>210</v>
      </c>
      <c r="F8449" s="1043"/>
      <c r="G8449" s="1550"/>
    </row>
    <row r="8450" spans="1:7" ht="12.75" customHeight="1">
      <c r="A8450" s="1754">
        <v>45490</v>
      </c>
      <c r="B8450" s="125" t="str">
        <f>TiposLancamentos!B69</f>
        <v>Consertos</v>
      </c>
      <c r="C8450" s="1040" t="s">
        <v>9318</v>
      </c>
      <c r="D8450" s="1736"/>
      <c r="E8450" s="1043">
        <v>200</v>
      </c>
      <c r="F8450" s="1043"/>
      <c r="G8450" s="1550"/>
    </row>
    <row r="8451" spans="1:7" ht="12.75" customHeight="1">
      <c r="A8451" s="1754">
        <v>45491</v>
      </c>
      <c r="B8451" s="125" t="str">
        <f>TiposLancamentos!B69</f>
        <v>Consertos</v>
      </c>
      <c r="C8451" s="1040" t="s">
        <v>9319</v>
      </c>
      <c r="D8451" s="1736"/>
      <c r="E8451" s="1043">
        <v>11.5</v>
      </c>
      <c r="F8451" s="1043"/>
      <c r="G8451" s="1550"/>
    </row>
    <row r="8452" spans="1:7" ht="12.75" customHeight="1">
      <c r="A8452" s="1754">
        <v>45491</v>
      </c>
      <c r="B8452" s="125" t="str">
        <f>TiposLancamentos!B13</f>
        <v>Moradia</v>
      </c>
      <c r="C8452" s="1040" t="s">
        <v>9320</v>
      </c>
      <c r="D8452" s="1736"/>
      <c r="E8452" s="1043">
        <v>13</v>
      </c>
      <c r="F8452" s="1043"/>
      <c r="G8452" s="1550"/>
    </row>
    <row r="8453" spans="1:7" ht="12.75" customHeight="1">
      <c r="A8453" s="1754">
        <v>45491</v>
      </c>
      <c r="B8453" s="125" t="str">
        <f>TiposLancamentos!B69</f>
        <v>Consertos</v>
      </c>
      <c r="C8453" s="1040" t="s">
        <v>9321</v>
      </c>
      <c r="D8453" s="1736"/>
      <c r="E8453" s="1043">
        <v>2</v>
      </c>
      <c r="F8453" s="1043"/>
      <c r="G8453" s="1550"/>
    </row>
    <row r="8454" spans="1:7" ht="12.75" customHeight="1">
      <c r="A8454" s="1754">
        <v>45492</v>
      </c>
      <c r="B8454" s="125" t="str">
        <f>TiposLancamentos!B103</f>
        <v>Juros_Corr. Poupança</v>
      </c>
      <c r="C8454" s="1040" t="s">
        <v>9239</v>
      </c>
      <c r="D8454" s="1736">
        <v>0.01</v>
      </c>
      <c r="E8454" s="1043"/>
      <c r="F8454" s="1043"/>
      <c r="G8454" s="1550"/>
    </row>
    <row r="8455" spans="1:7" ht="12.75" customHeight="1">
      <c r="A8455" s="1754">
        <v>45494</v>
      </c>
      <c r="B8455" s="125" t="str">
        <f>TiposLancamentos!B5</f>
        <v>Supermercado</v>
      </c>
      <c r="C8455" s="1040" t="s">
        <v>8015</v>
      </c>
      <c r="D8455" s="1736"/>
      <c r="E8455" s="1043">
        <v>207.96</v>
      </c>
      <c r="F8455" s="1043"/>
      <c r="G8455" s="1550"/>
    </row>
    <row r="8456" spans="1:7" ht="12.75" customHeight="1">
      <c r="A8456" s="1754">
        <v>45494</v>
      </c>
      <c r="B8456" s="125" t="str">
        <f>TiposLancamentos!B5</f>
        <v>Supermercado</v>
      </c>
      <c r="C8456" s="1040" t="s">
        <v>9322</v>
      </c>
      <c r="D8456" s="1736"/>
      <c r="E8456" s="1043">
        <v>21</v>
      </c>
      <c r="F8456" s="1043"/>
      <c r="G8456" s="1550"/>
    </row>
    <row r="8457" spans="1:7" ht="12.75" customHeight="1">
      <c r="A8457" s="1754"/>
      <c r="B8457" s="125"/>
      <c r="C8457" s="1040" t="s">
        <v>1868</v>
      </c>
      <c r="D8457" s="1736"/>
      <c r="E8457" s="1043"/>
      <c r="F8457" s="1664"/>
      <c r="G8457" s="1550"/>
    </row>
    <row r="8458" spans="1:7" ht="12.75" customHeight="1">
      <c r="A8458" s="1666">
        <v>45493</v>
      </c>
      <c r="B8458" s="1862" t="str">
        <f>TiposLancamentos!B8</f>
        <v>Aluguel</v>
      </c>
      <c r="C8458" s="1744" t="s">
        <v>9047</v>
      </c>
      <c r="D8458" s="1735"/>
      <c r="E8458" s="1733">
        <f>F8464-SUM(E8459:E8464)</f>
        <v>1631.75</v>
      </c>
      <c r="F8458" s="1613"/>
      <c r="G8458" s="1550"/>
    </row>
    <row r="8459" spans="1:7" ht="12.75" customHeight="1">
      <c r="A8459" s="1667">
        <v>45493</v>
      </c>
      <c r="B8459" s="1864" t="str">
        <f>TiposLancamentos!B12</f>
        <v>IPTU</v>
      </c>
      <c r="C8459" s="1745" t="s">
        <v>9048</v>
      </c>
      <c r="D8459" s="1736"/>
      <c r="E8459" s="1734">
        <v>62.93</v>
      </c>
      <c r="F8459" s="1656"/>
      <c r="G8459" s="1550"/>
    </row>
    <row r="8460" spans="1:7" ht="12.75" customHeight="1">
      <c r="A8460" s="1667">
        <v>45493</v>
      </c>
      <c r="B8460" s="1864" t="str">
        <f>TiposLancamentos!B10</f>
        <v>Distr. Água Municipal</v>
      </c>
      <c r="C8460" s="1745" t="s">
        <v>7423</v>
      </c>
      <c r="D8460" s="1736"/>
      <c r="E8460" s="1734">
        <v>49.79</v>
      </c>
      <c r="F8460" s="1656"/>
      <c r="G8460" s="1550"/>
    </row>
    <row r="8461" spans="1:7" ht="12.75" customHeight="1">
      <c r="A8461" s="1667">
        <v>45493</v>
      </c>
      <c r="B8461" s="1864" t="str">
        <f>TiposLancamentos!B34</f>
        <v>Seguros</v>
      </c>
      <c r="C8461" s="1745" t="s">
        <v>9262</v>
      </c>
      <c r="D8461" s="1736"/>
      <c r="E8461" s="1734">
        <v>0</v>
      </c>
      <c r="F8461" s="1656"/>
      <c r="G8461" s="1550"/>
    </row>
    <row r="8462" spans="1:7" ht="12.75" customHeight="1">
      <c r="A8462" s="1667">
        <v>45493</v>
      </c>
      <c r="B8462" s="1864" t="str">
        <f>TiposLancamentos!B11</f>
        <v>Coleta Municipal Lixo</v>
      </c>
      <c r="C8462" s="1745" t="s">
        <v>7424</v>
      </c>
      <c r="D8462" s="1736"/>
      <c r="E8462" s="1734">
        <v>67.23</v>
      </c>
      <c r="F8462" s="1656"/>
      <c r="G8462" s="1550"/>
    </row>
    <row r="8463" spans="1:7" ht="12.75" customHeight="1">
      <c r="A8463" s="1667">
        <v>45493</v>
      </c>
      <c r="B8463" s="1864" t="str">
        <f>TiposLancamentos!B8</f>
        <v>Aluguel</v>
      </c>
      <c r="C8463" s="1745" t="s">
        <v>8955</v>
      </c>
      <c r="D8463" s="1736"/>
      <c r="E8463" s="1734">
        <v>8</v>
      </c>
      <c r="F8463" s="1656"/>
      <c r="G8463" s="1550"/>
    </row>
    <row r="8464" spans="1:7" ht="12.75" customHeight="1">
      <c r="A8464" s="1750">
        <v>45493</v>
      </c>
      <c r="B8464" s="1863" t="str">
        <f>TiposLancamentos!B9</f>
        <v>Condominio</v>
      </c>
      <c r="C8464" s="1746" t="s">
        <v>7427</v>
      </c>
      <c r="D8464" s="1737"/>
      <c r="E8464" s="1668">
        <v>775.36</v>
      </c>
      <c r="F8464" s="1518">
        <v>2595.06</v>
      </c>
      <c r="G8464" s="1550"/>
    </row>
    <row r="8465" spans="1:7" ht="12.75" customHeight="1">
      <c r="A8465" s="1754"/>
      <c r="B8465" s="125"/>
      <c r="C8465" s="1040" t="s">
        <v>1868</v>
      </c>
      <c r="D8465" s="1736"/>
      <c r="E8465" s="1043"/>
      <c r="F8465" s="1613"/>
      <c r="G8465" s="1550"/>
    </row>
    <row r="8466" spans="1:7" ht="12.75" customHeight="1">
      <c r="A8466" s="1754">
        <v>45494</v>
      </c>
      <c r="B8466" s="125" t="str">
        <f>TiposLancamentos!B6</f>
        <v>Energia Eletrica</v>
      </c>
      <c r="C8466" s="1040" t="s">
        <v>9323</v>
      </c>
      <c r="D8466" s="1736"/>
      <c r="E8466" s="1043">
        <v>119.96</v>
      </c>
      <c r="F8466" s="1043"/>
      <c r="G8466" s="1550"/>
    </row>
    <row r="8467" spans="1:7" ht="12.75" customHeight="1">
      <c r="A8467" s="1754">
        <v>45495</v>
      </c>
      <c r="B8467" s="125" t="str">
        <f>TiposLancamentos!B16</f>
        <v>Cristiane</v>
      </c>
      <c r="C8467" s="1040" t="s">
        <v>9324</v>
      </c>
      <c r="D8467" s="1736"/>
      <c r="E8467" s="1043">
        <v>12.4</v>
      </c>
      <c r="F8467" s="1043"/>
      <c r="G8467" s="1550"/>
    </row>
    <row r="8468" spans="1:7" ht="12.75" customHeight="1">
      <c r="A8468" s="1754">
        <v>45496</v>
      </c>
      <c r="B8468" s="125" t="str">
        <f>TiposLancamentos!B69</f>
        <v>Consertos</v>
      </c>
      <c r="C8468" s="1040" t="s">
        <v>9325</v>
      </c>
      <c r="D8468" s="1736"/>
      <c r="E8468" s="1043">
        <v>150</v>
      </c>
      <c r="F8468" s="1043"/>
      <c r="G8468" s="1550"/>
    </row>
    <row r="8469" spans="1:7" ht="12.75" customHeight="1">
      <c r="A8469" s="1754">
        <v>45496</v>
      </c>
      <c r="B8469" s="125" t="str">
        <f>TiposLancamentos!B81</f>
        <v>Ferramentas gerais</v>
      </c>
      <c r="C8469" s="1040" t="s">
        <v>9326</v>
      </c>
      <c r="D8469" s="1736"/>
      <c r="E8469" s="1043">
        <v>8</v>
      </c>
      <c r="F8469" s="1043"/>
      <c r="G8469" s="1550"/>
    </row>
    <row r="8470" spans="1:7" ht="12.75" customHeight="1" thickBot="1">
      <c r="A8470" s="1754">
        <v>45504</v>
      </c>
      <c r="B8470" s="125" t="str">
        <f>TiposLancamentos!B95</f>
        <v>Salarios</v>
      </c>
      <c r="C8470" s="1040" t="s">
        <v>9227</v>
      </c>
      <c r="D8470" s="1736">
        <v>3994.33</v>
      </c>
      <c r="E8470" s="1043"/>
      <c r="F8470" s="1043"/>
      <c r="G8470" s="1550"/>
    </row>
    <row r="8471" spans="1:7" ht="12.75" customHeight="1">
      <c r="A8471" s="1834"/>
      <c r="B8471" s="977"/>
      <c r="C8471" s="1854" t="s">
        <v>9327</v>
      </c>
      <c r="D8471" s="1823"/>
      <c r="E8471" s="1821"/>
      <c r="F8471" s="1821"/>
      <c r="G8471" s="1895"/>
    </row>
    <row r="8472" spans="1:7" ht="12.75" customHeight="1">
      <c r="A8472" s="1754">
        <v>45505</v>
      </c>
      <c r="B8472" s="125" t="str">
        <f>TiposLancamentos!B15</f>
        <v>Cartões de Crédito</v>
      </c>
      <c r="C8472" s="1040" t="s">
        <v>8016</v>
      </c>
      <c r="D8472" s="1736"/>
      <c r="E8472" s="1043">
        <v>2702</v>
      </c>
      <c r="F8472" s="1043"/>
      <c r="G8472" s="1550"/>
    </row>
    <row r="8473" spans="1:7" ht="12.75" customHeight="1">
      <c r="A8473" s="1754">
        <v>45505</v>
      </c>
      <c r="B8473" s="125" t="str">
        <f>TiposLancamentos!B15</f>
        <v>Cartões de Crédito</v>
      </c>
      <c r="C8473" s="1040" t="s">
        <v>9175</v>
      </c>
      <c r="D8473" s="1736"/>
      <c r="E8473" s="1043">
        <v>100</v>
      </c>
      <c r="F8473" s="1043"/>
      <c r="G8473" s="1550"/>
    </row>
    <row r="8474" spans="1:7" ht="12.75" customHeight="1">
      <c r="A8474" s="1754">
        <v>45505</v>
      </c>
      <c r="B8474" s="125" t="str">
        <f>TiposLancamentos!B15</f>
        <v>Cartões de Crédito</v>
      </c>
      <c r="C8474" s="1040" t="s">
        <v>9174</v>
      </c>
      <c r="D8474" s="1736"/>
      <c r="E8474" s="1043">
        <v>0</v>
      </c>
      <c r="F8474" s="1043"/>
      <c r="G8474" s="1550"/>
    </row>
    <row r="8475" spans="1:7" ht="12.75" customHeight="1">
      <c r="A8475" s="1754">
        <v>45505</v>
      </c>
      <c r="B8475" s="125" t="str">
        <f>TiposLancamentos!B15</f>
        <v>Cartões de Crédito</v>
      </c>
      <c r="C8475" s="1040" t="s">
        <v>9173</v>
      </c>
      <c r="D8475" s="1736"/>
      <c r="E8475" s="1043">
        <v>866.22</v>
      </c>
      <c r="F8475" s="1043"/>
      <c r="G8475" s="1550"/>
    </row>
    <row r="8476" spans="1:7" ht="12.75" customHeight="1">
      <c r="A8476" s="1754">
        <v>45505</v>
      </c>
      <c r="B8476" s="125" t="str">
        <f>TiposLancamentos!B15</f>
        <v>Cartões de Crédito</v>
      </c>
      <c r="C8476" s="1040" t="s">
        <v>9237</v>
      </c>
      <c r="D8476" s="1736"/>
      <c r="E8476" s="1043">
        <v>1752.31</v>
      </c>
      <c r="F8476" s="1043"/>
      <c r="G8476" s="1550"/>
    </row>
    <row r="8477" spans="1:7" ht="12.75" customHeight="1">
      <c r="A8477" s="1754">
        <v>45505</v>
      </c>
      <c r="B8477" s="125" t="str">
        <f>TiposLancamentos!B15</f>
        <v>Cartões de Crédito</v>
      </c>
      <c r="C8477" s="1040" t="s">
        <v>8252</v>
      </c>
      <c r="D8477" s="1736"/>
      <c r="E8477" s="1043">
        <v>1818.94</v>
      </c>
      <c r="F8477" s="1043"/>
      <c r="G8477" s="1550"/>
    </row>
    <row r="8478" spans="1:7" ht="12.75" customHeight="1">
      <c r="A8478" s="1754">
        <v>45505</v>
      </c>
      <c r="B8478" s="125" t="str">
        <f>TiposLancamentos!B14</f>
        <v>Gás de cozinha</v>
      </c>
      <c r="C8478" s="1040" t="s">
        <v>9132</v>
      </c>
      <c r="D8478" s="1736"/>
      <c r="E8478" s="1043">
        <v>45.11</v>
      </c>
      <c r="F8478" s="1043"/>
      <c r="G8478" s="1550"/>
    </row>
    <row r="8479" spans="1:7" ht="12.75" customHeight="1">
      <c r="A8479" s="1754">
        <v>45506</v>
      </c>
      <c r="B8479" s="125" t="str">
        <f>TiposLancamentos!B13</f>
        <v>Moradia</v>
      </c>
      <c r="C8479" s="1040" t="s">
        <v>9328</v>
      </c>
      <c r="D8479" s="1736"/>
      <c r="E8479" s="1043">
        <v>16</v>
      </c>
      <c r="F8479" s="1043"/>
      <c r="G8479" s="1550"/>
    </row>
    <row r="8480" spans="1:7" ht="12.75" customHeight="1">
      <c r="A8480" s="1754">
        <v>45506</v>
      </c>
      <c r="B8480" s="125" t="str">
        <f>TiposLancamentos!B4</f>
        <v>Taxas Bancarias</v>
      </c>
      <c r="C8480" s="1040" t="s">
        <v>4858</v>
      </c>
      <c r="D8480" s="1736"/>
      <c r="E8480" s="1043">
        <v>14.63</v>
      </c>
      <c r="F8480" s="1043"/>
      <c r="G8480" s="1550"/>
    </row>
    <row r="8481" spans="1:7" ht="12.75" customHeight="1">
      <c r="A8481" s="1754">
        <v>45509</v>
      </c>
      <c r="B8481" s="125" t="str">
        <f>TiposLancamentos!B4</f>
        <v>Taxas Bancarias</v>
      </c>
      <c r="C8481" s="1040" t="s">
        <v>8778</v>
      </c>
      <c r="D8481" s="1736"/>
      <c r="E8481" s="1043">
        <v>142.9</v>
      </c>
      <c r="F8481" s="1043"/>
      <c r="G8481" s="1550"/>
    </row>
    <row r="8482" spans="1:7" ht="12.75" customHeight="1">
      <c r="A8482" s="1754">
        <v>45509</v>
      </c>
      <c r="B8482" s="125" t="str">
        <f>TiposLancamentos!B4</f>
        <v>Taxas Bancarias</v>
      </c>
      <c r="C8482" s="1040" t="s">
        <v>7681</v>
      </c>
      <c r="D8482" s="1736"/>
      <c r="E8482" s="1043">
        <v>5.9</v>
      </c>
      <c r="F8482" s="1043"/>
      <c r="G8482" s="1550"/>
    </row>
    <row r="8483" spans="1:7" ht="12.75" customHeight="1">
      <c r="A8483" s="1754">
        <v>45510</v>
      </c>
      <c r="B8483" s="125" t="str">
        <f>TiposLancamentos!B4</f>
        <v>Taxas Bancarias</v>
      </c>
      <c r="C8483" s="1040" t="s">
        <v>9329</v>
      </c>
      <c r="D8483" s="1736"/>
      <c r="E8483" s="1043">
        <v>9.23</v>
      </c>
      <c r="F8483" s="1043"/>
      <c r="G8483" s="1550"/>
    </row>
    <row r="8484" spans="1:7" ht="12.75" customHeight="1">
      <c r="A8484" s="1754">
        <v>45516</v>
      </c>
      <c r="B8484" s="125" t="str">
        <f>TiposLancamentos!B46</f>
        <v>Maçonaria</v>
      </c>
      <c r="C8484" s="1040" t="s">
        <v>9330</v>
      </c>
      <c r="D8484" s="1736"/>
      <c r="E8484" s="1043">
        <v>210</v>
      </c>
      <c r="F8484" s="1043"/>
      <c r="G8484" s="1550"/>
    </row>
    <row r="8485" spans="1:7" ht="12.75" customHeight="1">
      <c r="A8485" s="1754"/>
      <c r="B8485" s="116"/>
      <c r="C8485" s="1040" t="s">
        <v>1868</v>
      </c>
      <c r="D8485" s="1736">
        <v>0</v>
      </c>
      <c r="E8485" s="1043"/>
      <c r="F8485" s="1664"/>
      <c r="G8485" s="1550"/>
    </row>
    <row r="8486" spans="1:7" ht="12.75" customHeight="1">
      <c r="A8486" s="1666">
        <v>45519</v>
      </c>
      <c r="B8486" s="817" t="str">
        <f>TiposLancamentos!B35</f>
        <v>Tv à Cabo</v>
      </c>
      <c r="C8486" s="1742" t="s">
        <v>5834</v>
      </c>
      <c r="D8486" s="1735"/>
      <c r="E8486" s="1733">
        <f>F8488-(E8487+E8488)</f>
        <v>101.25999999999999</v>
      </c>
      <c r="F8486" s="1290"/>
      <c r="G8486" s="1550"/>
    </row>
    <row r="8487" spans="1:7" ht="12.75" customHeight="1">
      <c r="A8487" s="1868">
        <v>45519</v>
      </c>
      <c r="B8487" s="816" t="str">
        <f>TiposLancamentos!B3</f>
        <v>Internet</v>
      </c>
      <c r="C8487" s="1769" t="s">
        <v>5835</v>
      </c>
      <c r="D8487" s="1736"/>
      <c r="E8487" s="1734">
        <v>87.44</v>
      </c>
      <c r="F8487" s="1043"/>
      <c r="G8487" s="1550"/>
    </row>
    <row r="8488" spans="1:7" ht="12.75" customHeight="1">
      <c r="A8488" s="1750">
        <v>45519</v>
      </c>
      <c r="B8488" s="818" t="str">
        <f>TiposLancamentos!B2</f>
        <v>Telefonia</v>
      </c>
      <c r="C8488" s="1743" t="s">
        <v>7210</v>
      </c>
      <c r="D8488" s="1737"/>
      <c r="E8488" s="1668">
        <v>0</v>
      </c>
      <c r="F8488" s="1291">
        <v>188.7</v>
      </c>
      <c r="G8488" s="1550"/>
    </row>
    <row r="8489" spans="1:7" ht="12.75" customHeight="1">
      <c r="A8489" s="1754">
        <v>45519</v>
      </c>
      <c r="B8489" s="116"/>
      <c r="C8489" s="1040" t="s">
        <v>1868</v>
      </c>
      <c r="D8489" s="1736">
        <v>0</v>
      </c>
      <c r="E8489" s="1043"/>
      <c r="F8489" s="1043"/>
      <c r="G8489" s="1550"/>
    </row>
    <row r="8490" spans="1:7" ht="12.75" customHeight="1">
      <c r="A8490" s="1754">
        <v>45519</v>
      </c>
      <c r="B8490" s="125" t="str">
        <f>TiposLancamentos!B2</f>
        <v>Telefonia</v>
      </c>
      <c r="C8490" s="1040" t="s">
        <v>8797</v>
      </c>
      <c r="D8490" s="1736"/>
      <c r="E8490" s="1043">
        <v>68.650000000000006</v>
      </c>
      <c r="F8490" s="1043"/>
      <c r="G8490" s="1550"/>
    </row>
    <row r="8491" spans="1:7" ht="12.75" customHeight="1">
      <c r="A8491" s="1754"/>
      <c r="B8491" s="125"/>
      <c r="C8491" s="1040" t="s">
        <v>1868</v>
      </c>
      <c r="D8491" s="1736"/>
      <c r="E8491" s="1043"/>
      <c r="F8491" s="1664"/>
      <c r="G8491" s="1550"/>
    </row>
    <row r="8492" spans="1:7" ht="12.75" customHeight="1">
      <c r="A8492" s="1666">
        <v>45524</v>
      </c>
      <c r="B8492" s="1862" t="str">
        <f>TiposLancamentos!B8</f>
        <v>Aluguel</v>
      </c>
      <c r="C8492" s="1744" t="s">
        <v>9047</v>
      </c>
      <c r="D8492" s="1735"/>
      <c r="E8492" s="1733">
        <f>F8498-SUM(E8493:E8498)</f>
        <v>1631.75</v>
      </c>
      <c r="F8492" s="1613"/>
      <c r="G8492" s="1550"/>
    </row>
    <row r="8493" spans="1:7" ht="12.75" customHeight="1">
      <c r="A8493" s="1667">
        <v>45524</v>
      </c>
      <c r="B8493" s="1864" t="str">
        <f>TiposLancamentos!B12</f>
        <v>IPTU</v>
      </c>
      <c r="C8493" s="1745" t="s">
        <v>9048</v>
      </c>
      <c r="D8493" s="1736"/>
      <c r="E8493" s="1734">
        <v>62.93</v>
      </c>
      <c r="F8493" s="1656"/>
      <c r="G8493" s="1550"/>
    </row>
    <row r="8494" spans="1:7" ht="12.75" customHeight="1">
      <c r="A8494" s="1667">
        <v>45524</v>
      </c>
      <c r="B8494" s="1864" t="str">
        <f>TiposLancamentos!B10</f>
        <v>Distr. Água Municipal</v>
      </c>
      <c r="C8494" s="1745" t="s">
        <v>7423</v>
      </c>
      <c r="D8494" s="1736"/>
      <c r="E8494" s="1734">
        <v>49.79</v>
      </c>
      <c r="F8494" s="1656"/>
      <c r="G8494" s="1550"/>
    </row>
    <row r="8495" spans="1:7" ht="12.75" customHeight="1">
      <c r="A8495" s="1667">
        <v>45524</v>
      </c>
      <c r="B8495" s="1864" t="str">
        <f>TiposLancamentos!B34</f>
        <v>Seguros</v>
      </c>
      <c r="C8495" s="1745" t="s">
        <v>9262</v>
      </c>
      <c r="D8495" s="1736"/>
      <c r="E8495" s="1734">
        <v>0</v>
      </c>
      <c r="F8495" s="1656"/>
      <c r="G8495" s="1550"/>
    </row>
    <row r="8496" spans="1:7" ht="12.75" customHeight="1">
      <c r="A8496" s="1667">
        <v>45524</v>
      </c>
      <c r="B8496" s="1864" t="str">
        <f>TiposLancamentos!B11</f>
        <v>Coleta Municipal Lixo</v>
      </c>
      <c r="C8496" s="1745" t="s">
        <v>7424</v>
      </c>
      <c r="D8496" s="1736"/>
      <c r="E8496" s="1734">
        <v>67.23</v>
      </c>
      <c r="F8496" s="1656"/>
      <c r="G8496" s="1550"/>
    </row>
    <row r="8497" spans="1:7" ht="12.75" customHeight="1">
      <c r="A8497" s="1667">
        <v>45524</v>
      </c>
      <c r="B8497" s="1864" t="str">
        <f>TiposLancamentos!B8</f>
        <v>Aluguel</v>
      </c>
      <c r="C8497" s="1745" t="s">
        <v>8955</v>
      </c>
      <c r="D8497" s="1736"/>
      <c r="E8497" s="1734">
        <v>8</v>
      </c>
      <c r="F8497" s="1656"/>
      <c r="G8497" s="1550"/>
    </row>
    <row r="8498" spans="1:7" ht="12.75" customHeight="1">
      <c r="A8498" s="1750">
        <v>45524</v>
      </c>
      <c r="B8498" s="1863" t="str">
        <f>TiposLancamentos!B9</f>
        <v>Condominio</v>
      </c>
      <c r="C8498" s="1746" t="s">
        <v>7427</v>
      </c>
      <c r="D8498" s="1737"/>
      <c r="E8498" s="1668">
        <v>775.36</v>
      </c>
      <c r="F8498" s="1518">
        <v>2595.06</v>
      </c>
      <c r="G8498" s="1550"/>
    </row>
    <row r="8499" spans="1:7" ht="12.75" customHeight="1">
      <c r="A8499" s="1754"/>
      <c r="B8499" s="125"/>
      <c r="C8499" s="1040" t="s">
        <v>1868</v>
      </c>
      <c r="D8499" s="1736"/>
      <c r="E8499" s="1043"/>
      <c r="F8499" s="1613"/>
      <c r="G8499" s="1550"/>
    </row>
    <row r="8500" spans="1:7" ht="12.75" customHeight="1">
      <c r="A8500" s="1754">
        <v>45525</v>
      </c>
      <c r="B8500" s="125" t="str">
        <f>TiposLancamentos!B6</f>
        <v>Energia Eletrica</v>
      </c>
      <c r="C8500" s="1040" t="s">
        <v>9323</v>
      </c>
      <c r="D8500" s="1736"/>
      <c r="E8500" s="1043">
        <v>294.10000000000002</v>
      </c>
      <c r="F8500" s="1043"/>
      <c r="G8500" s="1550"/>
    </row>
    <row r="8501" spans="1:7" ht="12.75" customHeight="1">
      <c r="A8501" s="1754">
        <v>45532</v>
      </c>
      <c r="B8501" s="125" t="str">
        <f>TiposLancamentos!B88</f>
        <v>Ford Ecosport XLT</v>
      </c>
      <c r="C8501" s="1040" t="s">
        <v>9331</v>
      </c>
      <c r="D8501" s="1736"/>
      <c r="E8501" s="1043">
        <v>160.22</v>
      </c>
      <c r="F8501" s="1043"/>
      <c r="G8501" s="1550"/>
    </row>
    <row r="8502" spans="1:7" ht="12.75" customHeight="1">
      <c r="A8502" s="1754">
        <v>45532</v>
      </c>
      <c r="B8502" s="125" t="str">
        <f>TiposLancamentos!B88</f>
        <v>Ford Ecosport XLT</v>
      </c>
      <c r="C8502" s="1040" t="s">
        <v>9332</v>
      </c>
      <c r="D8502" s="1736"/>
      <c r="E8502" s="1043">
        <v>306.44</v>
      </c>
      <c r="F8502" s="1043">
        <f>SUM(E8501:E8502)</f>
        <v>466.65999999999997</v>
      </c>
      <c r="G8502" s="1550"/>
    </row>
    <row r="8503" spans="1:7" ht="12.75" customHeight="1">
      <c r="A8503" s="1754">
        <v>45534</v>
      </c>
      <c r="B8503" s="125" t="str">
        <f>TiposLancamentos!B95</f>
        <v>Salarios</v>
      </c>
      <c r="C8503" s="1040" t="s">
        <v>9227</v>
      </c>
      <c r="D8503" s="1736">
        <v>7109.2</v>
      </c>
      <c r="E8503" s="1043"/>
      <c r="F8503" s="1043"/>
      <c r="G8503" s="1550"/>
    </row>
    <row r="8504" spans="1:7" ht="12.75" customHeight="1" thickBot="1">
      <c r="A8504" s="1754"/>
      <c r="B8504" s="125"/>
      <c r="C8504" s="1040" t="s">
        <v>1868</v>
      </c>
      <c r="D8504" s="1736"/>
      <c r="E8504" s="1043"/>
      <c r="F8504" s="1043"/>
      <c r="G8504" s="1550"/>
    </row>
    <row r="8505" spans="1:7" ht="12.75" customHeight="1">
      <c r="A8505" s="1834"/>
      <c r="B8505" s="977"/>
      <c r="C8505" s="1854" t="s">
        <v>9333</v>
      </c>
      <c r="D8505" s="1823"/>
      <c r="E8505" s="1821"/>
      <c r="F8505" s="1821"/>
      <c r="G8505" s="1895"/>
    </row>
    <row r="8506" spans="1:7" ht="12.75" customHeight="1">
      <c r="A8506" s="1754">
        <v>45536</v>
      </c>
      <c r="B8506" s="125" t="str">
        <f>TiposLancamentos!B15</f>
        <v>Cartões de Crédito</v>
      </c>
      <c r="C8506" s="1040" t="s">
        <v>8016</v>
      </c>
      <c r="D8506" s="1736"/>
      <c r="E8506" s="1043">
        <v>5277.53</v>
      </c>
      <c r="F8506" s="1043"/>
      <c r="G8506" s="1550"/>
    </row>
    <row r="8507" spans="1:7" ht="12.75" customHeight="1">
      <c r="A8507" s="1754">
        <v>45536</v>
      </c>
      <c r="B8507" s="125" t="str">
        <f>TiposLancamentos!B15</f>
        <v>Cartões de Crédito</v>
      </c>
      <c r="C8507" s="1040" t="s">
        <v>9175</v>
      </c>
      <c r="D8507" s="1736"/>
      <c r="E8507" s="1043">
        <v>100</v>
      </c>
      <c r="F8507" s="1043"/>
      <c r="G8507" s="1550"/>
    </row>
    <row r="8508" spans="1:7" ht="12.75" customHeight="1">
      <c r="A8508" s="1754">
        <v>45536</v>
      </c>
      <c r="B8508" s="125" t="str">
        <f>TiposLancamentos!B15</f>
        <v>Cartões de Crédito</v>
      </c>
      <c r="C8508" s="1040" t="s">
        <v>9174</v>
      </c>
      <c r="D8508" s="1736"/>
      <c r="E8508" s="1043">
        <v>0</v>
      </c>
      <c r="F8508" s="1043"/>
      <c r="G8508" s="1550"/>
    </row>
    <row r="8509" spans="1:7" ht="12.75" customHeight="1">
      <c r="A8509" s="1754">
        <v>45536</v>
      </c>
      <c r="B8509" s="125" t="str">
        <f>TiposLancamentos!B15</f>
        <v>Cartões de Crédito</v>
      </c>
      <c r="C8509" s="1040" t="s">
        <v>9173</v>
      </c>
      <c r="D8509" s="1736"/>
      <c r="E8509" s="1043">
        <v>1310.56</v>
      </c>
      <c r="F8509" s="1043"/>
      <c r="G8509" s="1550"/>
    </row>
    <row r="8510" spans="1:7" ht="12.75" customHeight="1">
      <c r="A8510" s="1754">
        <v>45536</v>
      </c>
      <c r="B8510" s="125" t="str">
        <f>TiposLancamentos!B15</f>
        <v>Cartões de Crédito</v>
      </c>
      <c r="C8510" s="1040" t="s">
        <v>9237</v>
      </c>
      <c r="D8510" s="1736"/>
      <c r="E8510" s="1043">
        <v>1452.01</v>
      </c>
      <c r="F8510" s="1043"/>
      <c r="G8510" s="1550"/>
    </row>
    <row r="8511" spans="1:7" ht="12.75" customHeight="1">
      <c r="A8511" s="1754">
        <v>45536</v>
      </c>
      <c r="B8511" s="125" t="str">
        <f>TiposLancamentos!B15</f>
        <v>Cartões de Crédito</v>
      </c>
      <c r="C8511" s="1040" t="s">
        <v>8252</v>
      </c>
      <c r="D8511" s="1736"/>
      <c r="E8511" s="1043">
        <v>2677.46</v>
      </c>
      <c r="F8511" s="1043"/>
      <c r="G8511" s="1550"/>
    </row>
    <row r="8512" spans="1:7" ht="12.75" customHeight="1">
      <c r="A8512" s="1754">
        <v>45536</v>
      </c>
      <c r="B8512" s="125" t="str">
        <f>TiposLancamentos!B14</f>
        <v>Gás de cozinha</v>
      </c>
      <c r="C8512" s="1040" t="s">
        <v>9132</v>
      </c>
      <c r="D8512" s="1736"/>
      <c r="E8512" s="1043">
        <v>55.41</v>
      </c>
      <c r="F8512" s="1043"/>
      <c r="G8512" s="1550"/>
    </row>
    <row r="8513" spans="1:7" ht="12.75" customHeight="1">
      <c r="A8513" s="1754">
        <v>45538</v>
      </c>
      <c r="B8513" s="125" t="str">
        <f>TiposLancamentos!B4</f>
        <v>Taxas Bancarias</v>
      </c>
      <c r="C8513" s="1040" t="s">
        <v>6343</v>
      </c>
      <c r="D8513" s="1736"/>
      <c r="E8513" s="1043">
        <v>59.42</v>
      </c>
      <c r="F8513" s="1043"/>
      <c r="G8513" s="1550"/>
    </row>
    <row r="8514" spans="1:7" ht="12.75" customHeight="1">
      <c r="A8514" s="1754">
        <v>45538</v>
      </c>
      <c r="B8514" s="125" t="str">
        <f>TiposLancamentos!B4</f>
        <v>Taxas Bancarias</v>
      </c>
      <c r="C8514" s="1040" t="s">
        <v>8778</v>
      </c>
      <c r="D8514" s="1736"/>
      <c r="E8514" s="1043">
        <v>704.97</v>
      </c>
      <c r="F8514" s="1043"/>
      <c r="G8514" s="1550"/>
    </row>
    <row r="8515" spans="1:7" ht="12.75" customHeight="1">
      <c r="A8515" s="1754">
        <v>45538</v>
      </c>
      <c r="B8515" s="125" t="str">
        <f>TiposLancamentos!B4</f>
        <v>Taxas Bancarias</v>
      </c>
      <c r="C8515" s="1040" t="s">
        <v>9334</v>
      </c>
      <c r="D8515" s="1736"/>
      <c r="E8515" s="1043">
        <v>45.54</v>
      </c>
      <c r="F8515" s="1043"/>
      <c r="G8515" s="1550"/>
    </row>
    <row r="8516" spans="1:7" ht="12.75" customHeight="1">
      <c r="A8516" s="1754">
        <v>45545</v>
      </c>
      <c r="B8516" s="125" t="str">
        <f>TiposLancamentos!B46</f>
        <v>Maçonaria</v>
      </c>
      <c r="C8516" s="1040" t="s">
        <v>9335</v>
      </c>
      <c r="D8516" s="1736"/>
      <c r="E8516" s="1043">
        <v>210</v>
      </c>
      <c r="F8516" s="1043"/>
      <c r="G8516" s="1550"/>
    </row>
    <row r="8517" spans="1:7" ht="12.75" customHeight="1">
      <c r="A8517" s="1754"/>
      <c r="B8517" s="116"/>
      <c r="C8517" s="1040" t="s">
        <v>1868</v>
      </c>
      <c r="D8517" s="1736">
        <v>0</v>
      </c>
      <c r="E8517" s="1043"/>
      <c r="F8517" s="1664"/>
      <c r="G8517" s="1550"/>
    </row>
    <row r="8518" spans="1:7" ht="12.75" customHeight="1">
      <c r="A8518" s="1666">
        <v>45551</v>
      </c>
      <c r="B8518" s="817" t="str">
        <f>TiposLancamentos!B35</f>
        <v>Tv à Cabo</v>
      </c>
      <c r="C8518" s="1742" t="s">
        <v>5834</v>
      </c>
      <c r="D8518" s="1735"/>
      <c r="E8518" s="1733">
        <f>F8520-(E8519+E8520)</f>
        <v>101.35</v>
      </c>
      <c r="F8518" s="1290"/>
      <c r="G8518" s="1550"/>
    </row>
    <row r="8519" spans="1:7" ht="12.75" customHeight="1">
      <c r="A8519" s="1868">
        <v>45551</v>
      </c>
      <c r="B8519" s="816" t="str">
        <f>TiposLancamentos!B3</f>
        <v>Internet</v>
      </c>
      <c r="C8519" s="1769" t="s">
        <v>5835</v>
      </c>
      <c r="D8519" s="1736"/>
      <c r="E8519" s="1734">
        <v>87.44</v>
      </c>
      <c r="F8519" s="1043"/>
      <c r="G8519" s="1550"/>
    </row>
    <row r="8520" spans="1:7" ht="12.75" customHeight="1">
      <c r="A8520" s="1750">
        <v>45551</v>
      </c>
      <c r="B8520" s="818" t="str">
        <f>TiposLancamentos!B2</f>
        <v>Telefonia</v>
      </c>
      <c r="C8520" s="1743" t="s">
        <v>7210</v>
      </c>
      <c r="D8520" s="1737"/>
      <c r="E8520" s="1668">
        <v>0</v>
      </c>
      <c r="F8520" s="1291">
        <v>188.79</v>
      </c>
      <c r="G8520" s="1550"/>
    </row>
    <row r="8521" spans="1:7" ht="12.75" customHeight="1">
      <c r="A8521" s="1754">
        <v>45551</v>
      </c>
      <c r="B8521" s="116"/>
      <c r="C8521" s="1040" t="s">
        <v>1868</v>
      </c>
      <c r="D8521" s="1736">
        <v>0</v>
      </c>
      <c r="E8521" s="1043"/>
      <c r="F8521" s="1043"/>
      <c r="G8521" s="1550"/>
    </row>
    <row r="8522" spans="1:7" ht="12.75" customHeight="1">
      <c r="A8522" s="1754">
        <v>45551</v>
      </c>
      <c r="B8522" s="125" t="str">
        <f>TiposLancamentos!B2</f>
        <v>Telefonia</v>
      </c>
      <c r="C8522" s="1040" t="s">
        <v>8797</v>
      </c>
      <c r="D8522" s="1736"/>
      <c r="E8522" s="1043">
        <v>71.44</v>
      </c>
      <c r="F8522" s="1043"/>
      <c r="G8522" s="1550"/>
    </row>
    <row r="8523" spans="1:7" ht="12.75" customHeight="1">
      <c r="A8523" s="1754">
        <v>45555</v>
      </c>
      <c r="B8523" s="125" t="str">
        <f>TiposLancamentos!B95</f>
        <v>Salarios</v>
      </c>
      <c r="C8523" s="1040" t="s">
        <v>9227</v>
      </c>
      <c r="D8523" s="1736">
        <v>24992.23</v>
      </c>
      <c r="E8523" s="1043"/>
      <c r="F8523" s="1043"/>
      <c r="G8523" s="1550"/>
    </row>
    <row r="8524" spans="1:7" ht="12.75" customHeight="1">
      <c r="A8524" s="1754"/>
      <c r="B8524" s="125"/>
      <c r="C8524" s="1040" t="s">
        <v>1868</v>
      </c>
      <c r="D8524" s="1736"/>
      <c r="E8524" s="1043"/>
      <c r="F8524" s="1664"/>
      <c r="G8524" s="1550"/>
    </row>
    <row r="8525" spans="1:7" ht="12.75" customHeight="1">
      <c r="A8525" s="1666">
        <v>45555</v>
      </c>
      <c r="B8525" s="1862" t="str">
        <f>TiposLancamentos!B8</f>
        <v>Aluguel</v>
      </c>
      <c r="C8525" s="1744" t="s">
        <v>9047</v>
      </c>
      <c r="D8525" s="1735"/>
      <c r="E8525" s="1733">
        <f>F8531-SUM(E8526:E8531)</f>
        <v>1631.7499999999998</v>
      </c>
      <c r="F8525" s="1613"/>
      <c r="G8525" s="1550"/>
    </row>
    <row r="8526" spans="1:7" ht="12.75" customHeight="1">
      <c r="A8526" s="1667">
        <v>45555</v>
      </c>
      <c r="B8526" s="1864" t="str">
        <f>TiposLancamentos!B12</f>
        <v>IPTU</v>
      </c>
      <c r="C8526" s="1745" t="s">
        <v>9048</v>
      </c>
      <c r="D8526" s="1736"/>
      <c r="E8526" s="1734">
        <v>62.93</v>
      </c>
      <c r="F8526" s="1656"/>
      <c r="G8526" s="1550"/>
    </row>
    <row r="8527" spans="1:7" ht="12.75" customHeight="1">
      <c r="A8527" s="1667">
        <v>45555</v>
      </c>
      <c r="B8527" s="1864" t="str">
        <f>TiposLancamentos!B10</f>
        <v>Distr. Água Municipal</v>
      </c>
      <c r="C8527" s="1745" t="s">
        <v>7423</v>
      </c>
      <c r="D8527" s="1736"/>
      <c r="E8527" s="1734">
        <v>76.680000000000007</v>
      </c>
      <c r="F8527" s="1656"/>
      <c r="G8527" s="1550"/>
    </row>
    <row r="8528" spans="1:7" ht="12.75" customHeight="1">
      <c r="A8528" s="1667">
        <v>45555</v>
      </c>
      <c r="B8528" s="1864" t="str">
        <f>TiposLancamentos!B34</f>
        <v>Seguros</v>
      </c>
      <c r="C8528" s="1745" t="s">
        <v>9262</v>
      </c>
      <c r="D8528" s="1736"/>
      <c r="E8528" s="1734">
        <v>0</v>
      </c>
      <c r="F8528" s="1656"/>
      <c r="G8528" s="1550"/>
    </row>
    <row r="8529" spans="1:7" ht="12.75" customHeight="1">
      <c r="A8529" s="1667">
        <v>45555</v>
      </c>
      <c r="B8529" s="1864" t="str">
        <f>TiposLancamentos!B11</f>
        <v>Coleta Municipal Lixo</v>
      </c>
      <c r="C8529" s="1745" t="s">
        <v>7424</v>
      </c>
      <c r="D8529" s="1736"/>
      <c r="E8529" s="1734">
        <v>67.23</v>
      </c>
      <c r="F8529" s="1656"/>
      <c r="G8529" s="1550"/>
    </row>
    <row r="8530" spans="1:7" ht="12.75" customHeight="1">
      <c r="A8530" s="1667">
        <v>45555</v>
      </c>
      <c r="B8530" s="1864" t="str">
        <f>TiposLancamentos!B8</f>
        <v>Aluguel</v>
      </c>
      <c r="C8530" s="1745" t="s">
        <v>8955</v>
      </c>
      <c r="D8530" s="1736"/>
      <c r="E8530" s="1734">
        <v>8</v>
      </c>
      <c r="F8530" s="1656"/>
      <c r="G8530" s="1550"/>
    </row>
    <row r="8531" spans="1:7" ht="12.75" customHeight="1">
      <c r="A8531" s="1750">
        <v>45555</v>
      </c>
      <c r="B8531" s="1863" t="str">
        <f>TiposLancamentos!B9</f>
        <v>Condominio</v>
      </c>
      <c r="C8531" s="1746" t="s">
        <v>7427</v>
      </c>
      <c r="D8531" s="1737"/>
      <c r="E8531" s="1668">
        <v>775.36</v>
      </c>
      <c r="F8531" s="1518">
        <v>2621.95</v>
      </c>
      <c r="G8531" s="1550"/>
    </row>
    <row r="8532" spans="1:7" ht="12.75" customHeight="1">
      <c r="A8532" s="1754"/>
      <c r="B8532" s="125"/>
      <c r="C8532" s="1040" t="s">
        <v>1868</v>
      </c>
      <c r="D8532" s="1736"/>
      <c r="E8532" s="1043"/>
      <c r="F8532" s="1613"/>
      <c r="G8532" s="1550"/>
    </row>
    <row r="8533" spans="1:7" ht="12.75" customHeight="1">
      <c r="A8533" s="1754">
        <v>45555</v>
      </c>
      <c r="B8533" s="125" t="str">
        <f>TiposLancamentos!B105</f>
        <v>Transf. Bco</v>
      </c>
      <c r="C8533" s="1040" t="s">
        <v>9336</v>
      </c>
      <c r="D8533" s="1736"/>
      <c r="E8533" s="1043">
        <v>6800</v>
      </c>
      <c r="F8533" s="1656"/>
      <c r="G8533" s="1550"/>
    </row>
    <row r="8534" spans="1:7" ht="12.75" customHeight="1">
      <c r="A8534" s="1754">
        <v>45559</v>
      </c>
      <c r="B8534" s="125" t="str">
        <f>TiposLancamentos!B105</f>
        <v>Transf. Bco</v>
      </c>
      <c r="C8534" s="1040" t="s">
        <v>9337</v>
      </c>
      <c r="D8534" s="1736"/>
      <c r="E8534" s="1043">
        <v>0.93</v>
      </c>
      <c r="F8534" s="1656"/>
      <c r="G8534" s="1550"/>
    </row>
    <row r="8535" spans="1:7" ht="12.75" customHeight="1" thickBot="1">
      <c r="A8535" s="1754"/>
      <c r="B8535" s="125"/>
      <c r="C8535" s="1040" t="s">
        <v>1868</v>
      </c>
      <c r="D8535" s="1736"/>
      <c r="E8535" s="1043"/>
      <c r="F8535" s="1043"/>
      <c r="G8535" s="1550"/>
    </row>
    <row r="8536" spans="1:7" ht="12.75" customHeight="1">
      <c r="A8536" s="1834"/>
      <c r="B8536" s="977"/>
      <c r="C8536" s="1854" t="s">
        <v>1639</v>
      </c>
      <c r="D8536" s="1823"/>
      <c r="E8536" s="1821"/>
      <c r="F8536" s="1821"/>
      <c r="G8536" s="1895"/>
    </row>
    <row r="8537" spans="1:7" ht="12.75" customHeight="1">
      <c r="A8537" s="1754">
        <v>45566</v>
      </c>
      <c r="B8537" s="125" t="str">
        <f>TiposLancamentos!B105</f>
        <v>Transf. Bco</v>
      </c>
      <c r="C8537" s="1040" t="s">
        <v>9338</v>
      </c>
      <c r="D8537" s="1736">
        <v>1339.42</v>
      </c>
      <c r="E8537" s="1043"/>
      <c r="F8537" s="1043"/>
      <c r="G8537" s="1550"/>
    </row>
    <row r="8538" spans="1:7" ht="12.75" customHeight="1">
      <c r="A8538" s="1754">
        <v>45566</v>
      </c>
      <c r="B8538" s="116" t="s">
        <v>9339</v>
      </c>
      <c r="C8538" s="1040" t="s">
        <v>8252</v>
      </c>
      <c r="D8538" s="1736"/>
      <c r="E8538" s="1043">
        <v>2146.08</v>
      </c>
      <c r="F8538" s="1043"/>
      <c r="G8538" s="1550"/>
    </row>
    <row r="8539" spans="1:7" ht="12.75" customHeight="1">
      <c r="A8539" s="1754">
        <v>45566</v>
      </c>
      <c r="B8539" s="116" t="s">
        <v>9339</v>
      </c>
      <c r="C8539" s="1040" t="s">
        <v>9174</v>
      </c>
      <c r="D8539" s="1736"/>
      <c r="E8539" s="1043">
        <v>354.12</v>
      </c>
      <c r="F8539" s="1043"/>
      <c r="G8539" s="1550"/>
    </row>
    <row r="8540" spans="1:7" ht="12.75" customHeight="1">
      <c r="A8540" s="1754">
        <v>45566</v>
      </c>
      <c r="B8540" s="116" t="str">
        <f>TiposLancamentos!B14</f>
        <v>Gás de cozinha</v>
      </c>
      <c r="C8540" s="1040" t="s">
        <v>9132</v>
      </c>
      <c r="D8540" s="1736"/>
      <c r="E8540" s="1043">
        <v>54.11</v>
      </c>
      <c r="F8540" s="1043"/>
      <c r="G8540" s="1550"/>
    </row>
    <row r="8541" spans="1:7" ht="12.75" customHeight="1">
      <c r="A8541" s="1754">
        <v>45566</v>
      </c>
      <c r="B8541" s="116" t="s">
        <v>9339</v>
      </c>
      <c r="C8541" s="1040" t="s">
        <v>9175</v>
      </c>
      <c r="D8541" s="1736"/>
      <c r="E8541" s="1043">
        <v>50</v>
      </c>
      <c r="F8541" s="1043"/>
      <c r="G8541" s="1550"/>
    </row>
    <row r="8542" spans="1:7" ht="12.75" customHeight="1">
      <c r="A8542" s="1754">
        <v>45567</v>
      </c>
      <c r="B8542" s="125" t="str">
        <f>TiposLancamentos!B4</f>
        <v>Taxas Bancarias</v>
      </c>
      <c r="C8542" s="1040" t="s">
        <v>4858</v>
      </c>
      <c r="D8542" s="1736"/>
      <c r="E8542" s="1043">
        <v>68.790000000000006</v>
      </c>
      <c r="F8542" s="1043"/>
      <c r="G8542" s="1550"/>
    </row>
    <row r="8543" spans="1:7" ht="12.75" customHeight="1">
      <c r="A8543" s="1754">
        <v>45572</v>
      </c>
      <c r="B8543" s="125" t="str">
        <f>TiposLancamentos!B4</f>
        <v>Taxas Bancarias</v>
      </c>
      <c r="C8543" s="1040" t="s">
        <v>8778</v>
      </c>
      <c r="D8543" s="1736"/>
      <c r="E8543" s="1043">
        <v>632.69000000000005</v>
      </c>
      <c r="F8543" s="1043"/>
      <c r="G8543" s="1550"/>
    </row>
    <row r="8544" spans="1:7" ht="12.75" customHeight="1">
      <c r="A8544" s="1754">
        <v>45573</v>
      </c>
      <c r="B8544" s="125" t="str">
        <f>TiposLancamentos!B4</f>
        <v>Taxas Bancarias</v>
      </c>
      <c r="C8544" s="1040" t="s">
        <v>9340</v>
      </c>
      <c r="D8544" s="1736"/>
      <c r="E8544" s="1043">
        <v>39.54</v>
      </c>
      <c r="F8544" s="1043"/>
      <c r="G8544" s="1550"/>
    </row>
    <row r="8545" spans="1:7" ht="12.75" customHeight="1">
      <c r="A8545" s="1754">
        <v>45575</v>
      </c>
      <c r="B8545" s="125" t="str">
        <f>TiposLancamentos!B46</f>
        <v>Maçonaria</v>
      </c>
      <c r="C8545" s="1040" t="s">
        <v>9341</v>
      </c>
      <c r="D8545" s="1736"/>
      <c r="E8545" s="1043">
        <v>210</v>
      </c>
      <c r="F8545" s="1043"/>
      <c r="G8545" s="1550"/>
    </row>
    <row r="8546" spans="1:7" ht="12.75" customHeight="1">
      <c r="A8546" s="1754">
        <v>45576</v>
      </c>
      <c r="B8546" s="125" t="str">
        <f>TiposLancamentos!B60</f>
        <v>Correio</v>
      </c>
      <c r="C8546" s="1040" t="s">
        <v>9342</v>
      </c>
      <c r="D8546" s="1736"/>
      <c r="E8546" s="1043">
        <v>67.290000000000006</v>
      </c>
      <c r="F8546" s="1043"/>
      <c r="G8546" s="1550"/>
    </row>
    <row r="8547" spans="1:7">
      <c r="A8547" s="1754">
        <v>45576</v>
      </c>
      <c r="B8547" s="125" t="str">
        <f>TiposLancamentos!B13</f>
        <v>Moradia</v>
      </c>
      <c r="C8547" s="1040" t="s">
        <v>9343</v>
      </c>
      <c r="D8547" s="1736"/>
      <c r="E8547" s="1043">
        <v>16</v>
      </c>
      <c r="F8547" s="1043"/>
      <c r="G8547" s="1550"/>
    </row>
    <row r="8548" spans="1:7">
      <c r="A8548" s="1754">
        <v>45578</v>
      </c>
      <c r="B8548" s="125" t="str">
        <f>TiposLancamentos!B19</f>
        <v>Restaurantes</v>
      </c>
      <c r="C8548" s="1040" t="s">
        <v>9344</v>
      </c>
      <c r="D8548" s="1736"/>
      <c r="E8548" s="1043">
        <v>227.7</v>
      </c>
      <c r="F8548" s="1043"/>
      <c r="G8548" s="1550"/>
    </row>
    <row r="8549" spans="1:7">
      <c r="A8549" s="1754">
        <v>45578</v>
      </c>
      <c r="B8549" s="125" t="str">
        <f>TiposLancamentos!B24</f>
        <v>Estacionamentos</v>
      </c>
      <c r="C8549" s="1040" t="s">
        <v>9345</v>
      </c>
      <c r="D8549" s="1736"/>
      <c r="E8549" s="1043">
        <v>40</v>
      </c>
      <c r="F8549" s="1043"/>
      <c r="G8549" s="1550"/>
    </row>
    <row r="8550" spans="1:7">
      <c r="A8550" s="1754">
        <v>45579</v>
      </c>
      <c r="B8550" s="125" t="str">
        <f>TiposLancamentos!B60</f>
        <v>Correio</v>
      </c>
      <c r="C8550" s="1040" t="s">
        <v>9346</v>
      </c>
      <c r="D8550" s="1736"/>
      <c r="E8550" s="1043">
        <v>102.4</v>
      </c>
      <c r="F8550" s="1043"/>
      <c r="G8550" s="1550"/>
    </row>
    <row r="8551" spans="1:7" ht="12.75" customHeight="1">
      <c r="A8551" s="1754">
        <v>45580</v>
      </c>
      <c r="B8551" s="125" t="str">
        <f>TiposLancamentos!B105</f>
        <v>Transf. Bco</v>
      </c>
      <c r="C8551" s="1040" t="s">
        <v>9347</v>
      </c>
      <c r="D8551" s="1736">
        <v>5200</v>
      </c>
      <c r="E8551" s="1043"/>
      <c r="F8551" s="1043"/>
      <c r="G8551" s="1550"/>
    </row>
    <row r="8552" spans="1:7" ht="12.75" customHeight="1">
      <c r="A8552" s="1754">
        <v>45580</v>
      </c>
      <c r="B8552" s="116"/>
      <c r="C8552" s="1040" t="s">
        <v>1868</v>
      </c>
      <c r="D8552" s="1736">
        <v>0</v>
      </c>
      <c r="E8552" s="1043"/>
      <c r="F8552" s="1664"/>
      <c r="G8552" s="1550"/>
    </row>
    <row r="8553" spans="1:7" ht="12.75" customHeight="1">
      <c r="A8553" s="1666">
        <v>45580</v>
      </c>
      <c r="B8553" s="817" t="str">
        <f>TiposLancamentos!B35</f>
        <v>Tv à Cabo</v>
      </c>
      <c r="C8553" s="1742" t="s">
        <v>5834</v>
      </c>
      <c r="D8553" s="1735"/>
      <c r="E8553" s="1733">
        <f>F8555-(E8554+E8555)</f>
        <v>139.79999999999998</v>
      </c>
      <c r="F8553" s="1290"/>
      <c r="G8553" s="1550"/>
    </row>
    <row r="8554" spans="1:7" ht="12.75" customHeight="1">
      <c r="A8554" s="1868">
        <v>45580</v>
      </c>
      <c r="B8554" s="816" t="str">
        <f>TiposLancamentos!B3</f>
        <v>Internet</v>
      </c>
      <c r="C8554" s="1769" t="s">
        <v>5835</v>
      </c>
      <c r="D8554" s="1736"/>
      <c r="E8554" s="1734">
        <v>119.9</v>
      </c>
      <c r="F8554" s="1043"/>
      <c r="G8554" s="1550"/>
    </row>
    <row r="8555" spans="1:7" ht="12.75" customHeight="1">
      <c r="A8555" s="1750">
        <v>45580</v>
      </c>
      <c r="B8555" s="818" t="str">
        <f>TiposLancamentos!B2</f>
        <v>Telefonia</v>
      </c>
      <c r="C8555" s="1743" t="s">
        <v>7210</v>
      </c>
      <c r="D8555" s="1737"/>
      <c r="E8555" s="1668">
        <v>0</v>
      </c>
      <c r="F8555" s="1291">
        <v>259.7</v>
      </c>
      <c r="G8555" s="1550"/>
    </row>
    <row r="8556" spans="1:7" ht="12.75" customHeight="1">
      <c r="A8556" s="1754">
        <v>45580</v>
      </c>
      <c r="B8556" s="116"/>
      <c r="C8556" s="1040" t="s">
        <v>1868</v>
      </c>
      <c r="D8556" s="1736">
        <v>0</v>
      </c>
      <c r="E8556" s="1043"/>
      <c r="F8556" s="1043"/>
      <c r="G8556" s="1550"/>
    </row>
    <row r="8557" spans="1:7" ht="12.75" customHeight="1">
      <c r="A8557" s="1754">
        <v>45580</v>
      </c>
      <c r="B8557" s="125" t="str">
        <f>TiposLancamentos!B2</f>
        <v>Telefonia</v>
      </c>
      <c r="C8557" s="1040" t="s">
        <v>8797</v>
      </c>
      <c r="D8557" s="1736"/>
      <c r="E8557" s="1043">
        <v>71.44</v>
      </c>
      <c r="F8557" s="1043"/>
      <c r="G8557" s="1550"/>
    </row>
    <row r="8558" spans="1:7" ht="12.75" customHeight="1">
      <c r="A8558" s="1754">
        <v>45580</v>
      </c>
      <c r="B8558" s="125" t="str">
        <f>TiposLancamentos!B60</f>
        <v>Correio</v>
      </c>
      <c r="C8558" s="1040" t="s">
        <v>9348</v>
      </c>
      <c r="D8558" s="1736"/>
      <c r="E8558" s="1043">
        <v>51.45</v>
      </c>
      <c r="F8558" s="1043"/>
      <c r="G8558" s="1550"/>
    </row>
    <row r="8559" spans="1:7" ht="12.75" customHeight="1">
      <c r="A8559" s="1754">
        <v>45581</v>
      </c>
      <c r="B8559" s="125" t="str">
        <f>TiposLancamentos!B67</f>
        <v>Lavanderia</v>
      </c>
      <c r="C8559" s="1040" t="s">
        <v>1950</v>
      </c>
      <c r="D8559" s="1736"/>
      <c r="E8559" s="1043">
        <v>34</v>
      </c>
      <c r="F8559" s="1043"/>
      <c r="G8559" s="1550"/>
    </row>
    <row r="8560" spans="1:7" ht="12.75" customHeight="1">
      <c r="A8560" s="1754">
        <v>45583</v>
      </c>
      <c r="B8560" s="125" t="str">
        <f>TiposLancamentos!B103</f>
        <v>Juros_Corr. Poupança</v>
      </c>
      <c r="C8560" s="1040" t="s">
        <v>9349</v>
      </c>
      <c r="D8560" s="1736">
        <v>0.01</v>
      </c>
      <c r="E8560" s="1043"/>
      <c r="F8560" s="1043"/>
      <c r="G8560" s="1550"/>
    </row>
    <row r="8561" spans="1:7" ht="12.75" customHeight="1">
      <c r="A8561" s="1754"/>
      <c r="B8561" s="125"/>
      <c r="C8561" s="1040" t="s">
        <v>1868</v>
      </c>
      <c r="D8561" s="1736"/>
      <c r="E8561" s="1043"/>
      <c r="F8561" s="1664"/>
      <c r="G8561" s="1550"/>
    </row>
    <row r="8562" spans="1:7" ht="12.75" customHeight="1">
      <c r="A8562" s="1666">
        <v>45585</v>
      </c>
      <c r="B8562" s="1862" t="str">
        <f>TiposLancamentos!B8</f>
        <v>Aluguel</v>
      </c>
      <c r="C8562" s="1744" t="s">
        <v>9047</v>
      </c>
      <c r="D8562" s="1735"/>
      <c r="E8562" s="1733">
        <f>F8568-SUM(E8563:E8568)</f>
        <v>1631.7499999999998</v>
      </c>
      <c r="F8562" s="1613"/>
      <c r="G8562" s="1550"/>
    </row>
    <row r="8563" spans="1:7" ht="12.75" customHeight="1">
      <c r="A8563" s="1667">
        <v>45585</v>
      </c>
      <c r="B8563" s="1864" t="str">
        <f>TiposLancamentos!B12</f>
        <v>IPTU</v>
      </c>
      <c r="C8563" s="1745" t="s">
        <v>9048</v>
      </c>
      <c r="D8563" s="1736"/>
      <c r="E8563" s="1734">
        <v>62.93</v>
      </c>
      <c r="F8563" s="1656"/>
      <c r="G8563" s="1550"/>
    </row>
    <row r="8564" spans="1:7" ht="12.75" customHeight="1">
      <c r="A8564" s="1667">
        <v>45585</v>
      </c>
      <c r="B8564" s="1864" t="str">
        <f>TiposLancamentos!B10</f>
        <v>Distr. Água Municipal</v>
      </c>
      <c r="C8564" s="1745" t="s">
        <v>7423</v>
      </c>
      <c r="D8564" s="1736"/>
      <c r="E8564" s="1734">
        <v>76.680000000000007</v>
      </c>
      <c r="F8564" s="1656"/>
      <c r="G8564" s="1550"/>
    </row>
    <row r="8565" spans="1:7" ht="12.75" customHeight="1">
      <c r="A8565" s="1667">
        <v>45585</v>
      </c>
      <c r="B8565" s="1864" t="str">
        <f>TiposLancamentos!B34</f>
        <v>Seguros</v>
      </c>
      <c r="C8565" s="1745" t="s">
        <v>9262</v>
      </c>
      <c r="D8565" s="1736"/>
      <c r="E8565" s="1734">
        <v>0</v>
      </c>
      <c r="F8565" s="1656"/>
      <c r="G8565" s="1550"/>
    </row>
    <row r="8566" spans="1:7" ht="12.75" customHeight="1">
      <c r="A8566" s="1667">
        <v>45585</v>
      </c>
      <c r="B8566" s="1864" t="str">
        <f>TiposLancamentos!B11</f>
        <v>Coleta Municipal Lixo</v>
      </c>
      <c r="C8566" s="1745" t="s">
        <v>7424</v>
      </c>
      <c r="D8566" s="1736"/>
      <c r="E8566" s="1734">
        <v>67.23</v>
      </c>
      <c r="F8566" s="1656"/>
      <c r="G8566" s="1550"/>
    </row>
    <row r="8567" spans="1:7" ht="12.75" customHeight="1">
      <c r="A8567" s="1667">
        <v>45585</v>
      </c>
      <c r="B8567" s="1864" t="str">
        <f>TiposLancamentos!B8</f>
        <v>Aluguel</v>
      </c>
      <c r="C8567" s="1745" t="s">
        <v>8955</v>
      </c>
      <c r="D8567" s="1736"/>
      <c r="E8567" s="1734">
        <v>8</v>
      </c>
      <c r="F8567" s="1656"/>
      <c r="G8567" s="1550"/>
    </row>
    <row r="8568" spans="1:7" ht="12.75" customHeight="1">
      <c r="A8568" s="1750">
        <v>45585</v>
      </c>
      <c r="B8568" s="1863" t="str">
        <f>TiposLancamentos!B9</f>
        <v>Condominio</v>
      </c>
      <c r="C8568" s="1746" t="s">
        <v>7427</v>
      </c>
      <c r="D8568" s="1737"/>
      <c r="E8568" s="1668">
        <v>775.36</v>
      </c>
      <c r="F8568" s="1518">
        <v>2621.95</v>
      </c>
      <c r="G8568" s="1550"/>
    </row>
    <row r="8569" spans="1:7" ht="12.75" customHeight="1">
      <c r="A8569" s="1754"/>
      <c r="B8569" s="125"/>
      <c r="C8569" s="1040" t="s">
        <v>1868</v>
      </c>
      <c r="D8569" s="1736"/>
      <c r="E8569" s="1043"/>
      <c r="F8569" s="1613"/>
      <c r="G8569" s="1550"/>
    </row>
    <row r="8570" spans="1:7" ht="12.75" customHeight="1">
      <c r="A8570" s="1754">
        <v>45586</v>
      </c>
      <c r="B8570" s="116" t="str">
        <f>TiposLancamentos!B6</f>
        <v>Energia Eletrica</v>
      </c>
      <c r="C8570" s="1740" t="s">
        <v>9350</v>
      </c>
      <c r="D8570" s="1736"/>
      <c r="E8570" s="1043">
        <v>298.88</v>
      </c>
      <c r="F8570" s="1043"/>
      <c r="G8570" s="1550"/>
    </row>
    <row r="8571" spans="1:7" ht="12.75" customHeight="1">
      <c r="A8571" s="1666">
        <v>45588</v>
      </c>
      <c r="B8571" s="817" t="str">
        <f>TiposLancamentos!B16</f>
        <v>Cristiane</v>
      </c>
      <c r="C8571" s="1742" t="s">
        <v>9351</v>
      </c>
      <c r="D8571" s="1735"/>
      <c r="E8571" s="1733">
        <v>65</v>
      </c>
      <c r="F8571" s="1290"/>
      <c r="G8571" s="1550"/>
    </row>
    <row r="8572" spans="1:7" ht="12.75" customHeight="1">
      <c r="A8572" s="1750">
        <v>45588</v>
      </c>
      <c r="B8572" s="818" t="str">
        <f>TiposLancamentos!B60</f>
        <v>Correio</v>
      </c>
      <c r="C8572" s="1743" t="s">
        <v>9352</v>
      </c>
      <c r="D8572" s="1737"/>
      <c r="E8572" s="1668">
        <v>27</v>
      </c>
      <c r="F8572" s="1291">
        <f>SUM(E8571:E8572)</f>
        <v>92</v>
      </c>
      <c r="G8572" s="1550"/>
    </row>
    <row r="8573" spans="1:7" ht="12.75" customHeight="1">
      <c r="A8573" s="1754"/>
      <c r="B8573" s="116"/>
      <c r="C8573" s="1740" t="s">
        <v>1868</v>
      </c>
      <c r="D8573" s="1736"/>
      <c r="E8573" s="1043"/>
      <c r="F8573" s="1043"/>
      <c r="G8573" s="1550"/>
    </row>
    <row r="8574" spans="1:7" ht="12.75" customHeight="1">
      <c r="A8574" s="1754">
        <v>45593</v>
      </c>
      <c r="B8574" s="116" t="str">
        <f>TiposLancamentos!B23</f>
        <v>P208 GRIFFE 1.6 AUT BUSINESS</v>
      </c>
      <c r="C8574" s="1740" t="s">
        <v>9353</v>
      </c>
      <c r="D8574" s="1736"/>
      <c r="E8574" s="1043">
        <v>365.12</v>
      </c>
      <c r="F8574" s="1043"/>
      <c r="G8574" s="1550"/>
    </row>
    <row r="8575" spans="1:7" ht="12.75" customHeight="1">
      <c r="A8575" s="1754">
        <v>45594</v>
      </c>
      <c r="B8575" s="116" t="str">
        <f>TiposLancamentos!B72</f>
        <v>Presentes</v>
      </c>
      <c r="C8575" s="1740" t="s">
        <v>9354</v>
      </c>
      <c r="D8575" s="1736"/>
      <c r="E8575" s="1043">
        <v>10</v>
      </c>
      <c r="F8575" s="1043"/>
      <c r="G8575" s="1550"/>
    </row>
    <row r="8576" spans="1:7" ht="12.75" customHeight="1">
      <c r="A8576" s="1754">
        <v>45595</v>
      </c>
      <c r="B8576" s="116" t="str">
        <f>TiposLancamentos!B13</f>
        <v>Moradia</v>
      </c>
      <c r="C8576" s="1740" t="s">
        <v>9355</v>
      </c>
      <c r="D8576" s="1736"/>
      <c r="E8576" s="1043">
        <v>36</v>
      </c>
      <c r="F8576" s="1043"/>
      <c r="G8576" s="1550"/>
    </row>
    <row r="8577" spans="1:7" ht="12.75" customHeight="1">
      <c r="A8577" s="1666">
        <v>45595</v>
      </c>
      <c r="B8577" s="817" t="str">
        <f>TiposLancamentos!B36</f>
        <v>Playstation 2</v>
      </c>
      <c r="C8577" s="1742" t="s">
        <v>9356</v>
      </c>
      <c r="D8577" s="1735"/>
      <c r="E8577" s="1733">
        <v>110</v>
      </c>
      <c r="F8577" s="1290"/>
      <c r="G8577" s="1550"/>
    </row>
    <row r="8578" spans="1:7" ht="12.75" customHeight="1" thickBot="1">
      <c r="A8578" s="1750">
        <v>45595</v>
      </c>
      <c r="B8578" s="818" t="str">
        <f>TiposLancamentos!B60</f>
        <v>Correio</v>
      </c>
      <c r="C8578" s="1743" t="s">
        <v>9357</v>
      </c>
      <c r="D8578" s="1737"/>
      <c r="E8578" s="1668">
        <v>15</v>
      </c>
      <c r="F8578" s="1291">
        <f>SUM(E8577:E8578)</f>
        <v>125</v>
      </c>
      <c r="G8578" s="1550"/>
    </row>
    <row r="8579" spans="1:7" ht="12.75" customHeight="1">
      <c r="A8579" s="1834"/>
      <c r="B8579" s="977"/>
      <c r="C8579" s="1854" t="s">
        <v>9358</v>
      </c>
      <c r="D8579" s="1823"/>
      <c r="E8579" s="1821"/>
      <c r="F8579" s="1821"/>
      <c r="G8579" s="1895"/>
    </row>
    <row r="8580" spans="1:7" ht="12.75" customHeight="1">
      <c r="A8580" s="1754">
        <v>45597</v>
      </c>
      <c r="B8580" s="125" t="str">
        <f>TiposLancamentos!B105</f>
        <v>Transf. Bco</v>
      </c>
      <c r="C8580" s="1040" t="s">
        <v>9359</v>
      </c>
      <c r="D8580" s="1736">
        <v>3492.71</v>
      </c>
      <c r="E8580" s="1043"/>
      <c r="F8580" s="1043"/>
      <c r="G8580" s="1550"/>
    </row>
    <row r="8581" spans="1:7" ht="12.75" customHeight="1">
      <c r="A8581" s="1754">
        <v>45597</v>
      </c>
      <c r="B8581" s="116" t="str">
        <f>TiposLancamentos!B15</f>
        <v>Cartões de Crédito</v>
      </c>
      <c r="C8581" s="1040" t="s">
        <v>8016</v>
      </c>
      <c r="D8581" s="1736"/>
      <c r="E8581" s="1043">
        <v>3338.51</v>
      </c>
      <c r="F8581" s="1043"/>
      <c r="G8581" s="1550"/>
    </row>
    <row r="8582" spans="1:7" ht="12.75" customHeight="1">
      <c r="A8582" s="1754">
        <v>45597</v>
      </c>
      <c r="B8582" s="116" t="str">
        <f>TiposLancamentos!B15</f>
        <v>Cartões de Crédito</v>
      </c>
      <c r="C8582" s="1040" t="s">
        <v>9360</v>
      </c>
      <c r="D8582" s="1736"/>
      <c r="E8582" s="1043">
        <v>2441.4699999999998</v>
      </c>
      <c r="F8582" s="1043"/>
      <c r="G8582" s="1550"/>
    </row>
    <row r="8583" spans="1:7" ht="12.75" customHeight="1">
      <c r="A8583" s="1754">
        <v>45597</v>
      </c>
      <c r="B8583" s="116" t="str">
        <f>TiposLancamentos!B15</f>
        <v>Cartões de Crédito</v>
      </c>
      <c r="C8583" s="1040" t="s">
        <v>9361</v>
      </c>
      <c r="D8583" s="1736"/>
      <c r="E8583" s="1043">
        <v>2098.12</v>
      </c>
      <c r="F8583" s="1043"/>
      <c r="G8583" s="1550"/>
    </row>
    <row r="8584" spans="1:7" ht="12.75" customHeight="1">
      <c r="A8584" s="1754">
        <v>45597</v>
      </c>
      <c r="B8584" s="116" t="str">
        <f>TiposLancamentos!B15</f>
        <v>Cartões de Crédito</v>
      </c>
      <c r="C8584" s="1040" t="s">
        <v>8252</v>
      </c>
      <c r="D8584" s="1736"/>
      <c r="E8584" s="1043">
        <v>1420.85</v>
      </c>
      <c r="F8584" s="1043"/>
      <c r="G8584" s="1550"/>
    </row>
    <row r="8585" spans="1:7" ht="12.75" customHeight="1">
      <c r="A8585" s="1754">
        <v>45597</v>
      </c>
      <c r="B8585" s="116" t="str">
        <f>TiposLancamentos!B15</f>
        <v>Cartões de Crédito</v>
      </c>
      <c r="C8585" s="1040" t="s">
        <v>9174</v>
      </c>
      <c r="D8585" s="1736"/>
      <c r="E8585" s="1043">
        <v>0</v>
      </c>
      <c r="F8585" s="1043"/>
      <c r="G8585" s="1550"/>
    </row>
    <row r="8586" spans="1:7" ht="12.75" customHeight="1">
      <c r="A8586" s="1754">
        <v>45597</v>
      </c>
      <c r="B8586" s="116" t="str">
        <f>TiposLancamentos!B14</f>
        <v>Gás de cozinha</v>
      </c>
      <c r="C8586" s="1040" t="s">
        <v>9132</v>
      </c>
      <c r="D8586" s="1736"/>
      <c r="E8586" s="1043">
        <v>60.78</v>
      </c>
      <c r="F8586" s="1043"/>
      <c r="G8586" s="1550"/>
    </row>
    <row r="8587" spans="1:7" ht="12.75" customHeight="1">
      <c r="A8587" s="1754">
        <v>45597</v>
      </c>
      <c r="B8587" s="116" t="str">
        <f>TiposLancamentos!B15</f>
        <v>Cartões de Crédito</v>
      </c>
      <c r="C8587" s="1040" t="s">
        <v>9175</v>
      </c>
      <c r="D8587" s="1736"/>
      <c r="E8587" s="1043">
        <v>0</v>
      </c>
      <c r="F8587" s="1043"/>
      <c r="G8587" s="1550"/>
    </row>
    <row r="8588" spans="1:7" ht="12.75" customHeight="1">
      <c r="A8588" s="1754">
        <v>45598</v>
      </c>
      <c r="B8588" s="116" t="str">
        <f>TiposLancamentos!B37</f>
        <v>Playstation 3</v>
      </c>
      <c r="C8588" s="1040" t="s">
        <v>9362</v>
      </c>
      <c r="D8588" s="1736"/>
      <c r="E8588" s="1043">
        <v>108</v>
      </c>
      <c r="F8588" s="1043"/>
      <c r="G8588" s="1550"/>
    </row>
    <row r="8589" spans="1:7" ht="12.75" customHeight="1">
      <c r="A8589" s="1754">
        <v>45598</v>
      </c>
      <c r="B8589" s="116" t="str">
        <f>TiposLancamentos!B36</f>
        <v>Playstation 2</v>
      </c>
      <c r="C8589" s="1040" t="s">
        <v>9363</v>
      </c>
      <c r="D8589" s="1736"/>
      <c r="E8589" s="1043">
        <v>340</v>
      </c>
      <c r="F8589" s="1043"/>
      <c r="G8589" s="1550"/>
    </row>
    <row r="8590" spans="1:7" ht="12.75" customHeight="1">
      <c r="A8590" s="1754">
        <v>45598</v>
      </c>
      <c r="B8590" s="116" t="str">
        <f>TiposLancamentos!B36</f>
        <v>Playstation 2</v>
      </c>
      <c r="C8590" s="1040" t="s">
        <v>9364</v>
      </c>
      <c r="D8590" s="1736"/>
      <c r="E8590" s="1043">
        <v>117</v>
      </c>
      <c r="F8590" s="1043"/>
      <c r="G8590" s="1550"/>
    </row>
    <row r="8591" spans="1:7" ht="12.75" customHeight="1">
      <c r="A8591" s="1754">
        <v>45600</v>
      </c>
      <c r="B8591" s="116" t="str">
        <f>TiposLancamentos!B4</f>
        <v>Taxas Bancarias</v>
      </c>
      <c r="C8591" s="1040" t="s">
        <v>4858</v>
      </c>
      <c r="D8591" s="1736"/>
      <c r="E8591" s="1043">
        <v>18.600000000000001</v>
      </c>
      <c r="F8591" s="1043"/>
      <c r="G8591" s="1550"/>
    </row>
    <row r="8592" spans="1:7" ht="12.75" customHeight="1">
      <c r="A8592" s="1754">
        <v>45600</v>
      </c>
      <c r="B8592" s="116" t="str">
        <f>TiposLancamentos!B52</f>
        <v>Multas</v>
      </c>
      <c r="C8592" s="1040" t="s">
        <v>9365</v>
      </c>
      <c r="D8592" s="1736"/>
      <c r="E8592" s="1043">
        <v>234.77</v>
      </c>
      <c r="F8592" s="1043"/>
      <c r="G8592" s="1550"/>
    </row>
    <row r="8593" spans="1:7" ht="12.75" customHeight="1">
      <c r="A8593" s="1754">
        <v>45601</v>
      </c>
      <c r="B8593" s="116" t="str">
        <f>TiposLancamentos!B4</f>
        <v>Taxas Bancarias</v>
      </c>
      <c r="C8593" s="1040" t="s">
        <v>8778</v>
      </c>
      <c r="D8593" s="1736"/>
      <c r="E8593" s="1043">
        <v>145.69</v>
      </c>
      <c r="F8593" s="1043"/>
      <c r="G8593" s="1550"/>
    </row>
    <row r="8594" spans="1:7" ht="12.75" customHeight="1">
      <c r="A8594" s="1754">
        <v>45602</v>
      </c>
      <c r="B8594" s="116" t="str">
        <f>TiposLancamentos!B24</f>
        <v>Estacionamentos</v>
      </c>
      <c r="C8594" s="1040" t="s">
        <v>8507</v>
      </c>
      <c r="D8594" s="1736"/>
      <c r="E8594" s="1043">
        <v>12</v>
      </c>
      <c r="F8594" s="1043"/>
      <c r="G8594" s="1550"/>
    </row>
    <row r="8595" spans="1:7" ht="12.75" customHeight="1">
      <c r="A8595" s="1754">
        <v>45602</v>
      </c>
      <c r="B8595" s="116" t="str">
        <f>TiposLancamentos!B4</f>
        <v>Taxas Bancarias</v>
      </c>
      <c r="C8595" s="1040" t="s">
        <v>9366</v>
      </c>
      <c r="D8595" s="1736"/>
      <c r="E8595" s="1043">
        <v>9.41</v>
      </c>
      <c r="F8595" s="1043"/>
      <c r="G8595" s="1550"/>
    </row>
    <row r="8596" spans="1:7" ht="12.75" customHeight="1">
      <c r="A8596" s="1754">
        <v>45607</v>
      </c>
      <c r="B8596" s="125" t="str">
        <f>TiposLancamentos!B46</f>
        <v>Maçonaria</v>
      </c>
      <c r="C8596" s="1040" t="s">
        <v>9367</v>
      </c>
      <c r="D8596" s="1736"/>
      <c r="E8596" s="1043">
        <v>210</v>
      </c>
      <c r="F8596" s="1043"/>
      <c r="G8596" s="1550"/>
    </row>
    <row r="8597" spans="1:7" ht="12.75" customHeight="1">
      <c r="A8597" s="1754"/>
      <c r="B8597" s="116"/>
      <c r="C8597" s="1040" t="s">
        <v>1868</v>
      </c>
      <c r="D8597" s="1736"/>
      <c r="E8597" s="1043"/>
      <c r="F8597" s="1043"/>
      <c r="G8597" s="1550"/>
    </row>
    <row r="8598" spans="1:7" ht="12.75" customHeight="1">
      <c r="A8598" s="1666">
        <v>45607</v>
      </c>
      <c r="B8598" s="817" t="str">
        <f>TiposLancamentos!B41</f>
        <v>PSP Slim 3k</v>
      </c>
      <c r="C8598" s="1742" t="s">
        <v>9368</v>
      </c>
      <c r="D8598" s="1735"/>
      <c r="E8598" s="1733">
        <v>150</v>
      </c>
      <c r="F8598" s="1290"/>
      <c r="G8598" s="1550"/>
    </row>
    <row r="8599" spans="1:7" ht="12.75" customHeight="1">
      <c r="A8599" s="1750">
        <v>45607</v>
      </c>
      <c r="B8599" s="818" t="str">
        <f>TiposLancamentos!B60</f>
        <v>Correio</v>
      </c>
      <c r="C8599" s="1743" t="s">
        <v>9369</v>
      </c>
      <c r="D8599" s="1737"/>
      <c r="E8599" s="1668">
        <v>13</v>
      </c>
      <c r="F8599" s="1291">
        <f>SUM(E8598:E8599)</f>
        <v>163</v>
      </c>
      <c r="G8599" s="1550"/>
    </row>
    <row r="8600" spans="1:7" ht="12.75" customHeight="1">
      <c r="A8600" s="1754"/>
      <c r="B8600" s="116"/>
      <c r="C8600" s="1040" t="s">
        <v>1947</v>
      </c>
      <c r="D8600" s="1736"/>
      <c r="E8600" s="1043"/>
      <c r="F8600" s="1043"/>
      <c r="G8600" s="1550"/>
    </row>
    <row r="8601" spans="1:7" ht="12.75" customHeight="1">
      <c r="A8601" s="1754">
        <v>45608</v>
      </c>
      <c r="B8601" s="116" t="str">
        <f>TiposLancamentos!B13</f>
        <v>Moradia</v>
      </c>
      <c r="C8601" s="1040" t="s">
        <v>8906</v>
      </c>
      <c r="D8601" s="1736"/>
      <c r="E8601" s="1043">
        <v>18</v>
      </c>
      <c r="F8601" s="1043"/>
      <c r="G8601" s="1550"/>
    </row>
    <row r="8602" spans="1:7" ht="12.75" customHeight="1">
      <c r="A8602" s="1754">
        <v>45609</v>
      </c>
      <c r="B8602" s="116" t="str">
        <f>TiposLancamentos!B24</f>
        <v>Estacionamentos</v>
      </c>
      <c r="C8602" s="1040" t="s">
        <v>8507</v>
      </c>
      <c r="D8602" s="1736"/>
      <c r="E8602" s="1043">
        <v>10</v>
      </c>
      <c r="F8602" s="1043"/>
      <c r="G8602" s="1550"/>
    </row>
    <row r="8603" spans="1:7" ht="12.75" customHeight="1">
      <c r="A8603" s="1754">
        <v>45609</v>
      </c>
      <c r="B8603" s="116" t="str">
        <f>TiposLancamentos!B95</f>
        <v>Salarios</v>
      </c>
      <c r="C8603" s="1040" t="s">
        <v>9370</v>
      </c>
      <c r="D8603" s="1736">
        <v>430.24</v>
      </c>
      <c r="E8603" s="1043"/>
      <c r="F8603" s="1043"/>
      <c r="G8603" s="1550"/>
    </row>
    <row r="8604" spans="1:7" ht="12.75" customHeight="1">
      <c r="A8604" s="1754">
        <v>45611</v>
      </c>
      <c r="B8604" s="116" t="str">
        <f>TiposLancamentos!B5</f>
        <v>Supermercado</v>
      </c>
      <c r="C8604" s="1040" t="s">
        <v>9371</v>
      </c>
      <c r="D8604" s="1736"/>
      <c r="E8604" s="1043">
        <v>22</v>
      </c>
      <c r="F8604" s="1043"/>
      <c r="G8604" s="1550"/>
    </row>
    <row r="8605" spans="1:7" ht="12.75" customHeight="1">
      <c r="A8605" s="1754">
        <v>45612</v>
      </c>
      <c r="B8605" s="116" t="str">
        <f>TiposLancamentos!B5</f>
        <v>Supermercado</v>
      </c>
      <c r="C8605" s="1040" t="s">
        <v>9372</v>
      </c>
      <c r="D8605" s="1736"/>
      <c r="E8605" s="1043">
        <v>5.07</v>
      </c>
      <c r="F8605" s="1043"/>
      <c r="G8605" s="1550"/>
    </row>
    <row r="8606" spans="1:7" ht="12.75" customHeight="1">
      <c r="A8606" s="1754">
        <v>45612</v>
      </c>
      <c r="B8606" s="116" t="str">
        <f>TiposLancamentos!B18</f>
        <v>Alimentacao</v>
      </c>
      <c r="C8606" s="1040" t="s">
        <v>9373</v>
      </c>
      <c r="D8606" s="1736"/>
      <c r="E8606" s="1043">
        <v>2.5</v>
      </c>
      <c r="F8606" s="1043"/>
      <c r="G8606" s="1550"/>
    </row>
    <row r="8607" spans="1:7" ht="12.75" customHeight="1">
      <c r="A8607" s="1754">
        <v>45612</v>
      </c>
      <c r="B8607" s="116" t="str">
        <f>TiposLancamentos!B18</f>
        <v>Alimentacao</v>
      </c>
      <c r="C8607" s="1040" t="s">
        <v>6448</v>
      </c>
      <c r="D8607" s="1736"/>
      <c r="E8607" s="1043">
        <v>17.12</v>
      </c>
      <c r="F8607" s="1043"/>
      <c r="G8607" s="1550"/>
    </row>
    <row r="8608" spans="1:7" ht="12.75" customHeight="1">
      <c r="A8608" s="1754">
        <v>45613</v>
      </c>
      <c r="B8608" s="125" t="str">
        <f>TiposLancamentos!B2</f>
        <v>Telefonia</v>
      </c>
      <c r="C8608" s="1040" t="s">
        <v>8797</v>
      </c>
      <c r="D8608" s="1736"/>
      <c r="E8608" s="1043">
        <v>71.44</v>
      </c>
      <c r="F8608" s="1043"/>
      <c r="G8608" s="1550"/>
    </row>
    <row r="8609" spans="1:7" ht="12.75" customHeight="1">
      <c r="A8609" s="1754">
        <v>45613</v>
      </c>
      <c r="B8609" s="116" t="str">
        <f>TiposLancamentos!B105</f>
        <v>Transf. Bco</v>
      </c>
      <c r="C8609" s="1040" t="s">
        <v>9347</v>
      </c>
      <c r="D8609" s="1736">
        <v>5200</v>
      </c>
      <c r="E8609" s="1043"/>
      <c r="F8609" s="1043"/>
      <c r="G8609" s="1550"/>
    </row>
    <row r="8610" spans="1:7" ht="12.75" customHeight="1">
      <c r="A8610" s="1754">
        <v>45614</v>
      </c>
      <c r="B8610" s="116"/>
      <c r="C8610" s="1040" t="s">
        <v>1868</v>
      </c>
      <c r="D8610" s="1736">
        <v>0</v>
      </c>
      <c r="E8610" s="1043"/>
      <c r="F8610" s="1664"/>
      <c r="G8610" s="1550"/>
    </row>
    <row r="8611" spans="1:7" ht="12.75" customHeight="1">
      <c r="A8611" s="1666">
        <v>45614</v>
      </c>
      <c r="B8611" s="817" t="str">
        <f>TiposLancamentos!B35</f>
        <v>Tv à Cabo</v>
      </c>
      <c r="C8611" s="1742" t="s">
        <v>5834</v>
      </c>
      <c r="D8611" s="1735"/>
      <c r="E8611" s="1733">
        <f>F8613-(E8612+E8613)</f>
        <v>139.80000000000001</v>
      </c>
      <c r="F8611" s="1290"/>
      <c r="G8611" s="1550"/>
    </row>
    <row r="8612" spans="1:7" ht="12.75" customHeight="1">
      <c r="A8612" s="1868">
        <v>45614</v>
      </c>
      <c r="B8612" s="816" t="str">
        <f>TiposLancamentos!B3</f>
        <v>Internet</v>
      </c>
      <c r="C8612" s="1769" t="s">
        <v>5835</v>
      </c>
      <c r="D8612" s="1736"/>
      <c r="E8612" s="1734">
        <v>119.75</v>
      </c>
      <c r="F8612" s="1043"/>
      <c r="G8612" s="1550"/>
    </row>
    <row r="8613" spans="1:7" ht="12.75" customHeight="1">
      <c r="A8613" s="1750">
        <v>45614</v>
      </c>
      <c r="B8613" s="818" t="str">
        <f>TiposLancamentos!B2</f>
        <v>Telefonia</v>
      </c>
      <c r="C8613" s="1743" t="s">
        <v>7210</v>
      </c>
      <c r="D8613" s="1737"/>
      <c r="E8613" s="1668">
        <v>0</v>
      </c>
      <c r="F8613" s="1291">
        <v>259.55</v>
      </c>
      <c r="G8613" s="1550"/>
    </row>
    <row r="8614" spans="1:7" ht="12.75" customHeight="1">
      <c r="A8614" s="1754">
        <v>45614</v>
      </c>
      <c r="B8614" s="116"/>
      <c r="C8614" s="1040" t="s">
        <v>1868</v>
      </c>
      <c r="D8614" s="1736">
        <v>0</v>
      </c>
      <c r="E8614" s="1043"/>
      <c r="F8614" s="1043"/>
      <c r="G8614" s="1550"/>
    </row>
    <row r="8615" spans="1:7" ht="12.75" customHeight="1">
      <c r="A8615" s="1754">
        <v>45615</v>
      </c>
      <c r="B8615" s="116" t="str">
        <f>TiposLancamentos!B13</f>
        <v>Moradia</v>
      </c>
      <c r="C8615" s="1740" t="s">
        <v>9374</v>
      </c>
      <c r="D8615" s="1736"/>
      <c r="E8615" s="1043">
        <v>220</v>
      </c>
      <c r="F8615" s="1043"/>
      <c r="G8615" s="1550"/>
    </row>
    <row r="8616" spans="1:7">
      <c r="A8616" s="1754">
        <v>45615</v>
      </c>
      <c r="B8616" s="116" t="str">
        <f>TiposLancamentos!B72</f>
        <v>Presentes</v>
      </c>
      <c r="C8616" s="1740" t="s">
        <v>9375</v>
      </c>
      <c r="D8616" s="1736"/>
      <c r="E8616" s="1043">
        <v>50</v>
      </c>
      <c r="F8616" s="1043"/>
      <c r="G8616" s="1550"/>
    </row>
    <row r="8617" spans="1:7">
      <c r="A8617" s="1754">
        <v>45616</v>
      </c>
      <c r="B8617" s="116" t="str">
        <f>TiposLancamentos!B24</f>
        <v>Estacionamentos</v>
      </c>
      <c r="C8617" s="1740" t="s">
        <v>9376</v>
      </c>
      <c r="D8617" s="1736"/>
      <c r="E8617" s="1043">
        <v>10</v>
      </c>
      <c r="F8617" s="1043"/>
      <c r="G8617" s="1550"/>
    </row>
    <row r="8618" spans="1:7" ht="12.75" customHeight="1">
      <c r="A8618" s="1754"/>
      <c r="B8618" s="116"/>
      <c r="C8618" s="1740" t="s">
        <v>1868</v>
      </c>
      <c r="D8618" s="1736"/>
      <c r="E8618" s="1043"/>
      <c r="F8618" s="1664"/>
      <c r="G8618" s="1550"/>
    </row>
    <row r="8619" spans="1:7" ht="12.75" customHeight="1">
      <c r="A8619" s="1666">
        <v>45617</v>
      </c>
      <c r="B8619" s="1862" t="str">
        <f>TiposLancamentos!B8</f>
        <v>Aluguel</v>
      </c>
      <c r="C8619" s="1744" t="s">
        <v>9047</v>
      </c>
      <c r="D8619" s="1735"/>
      <c r="E8619" s="1733">
        <f>F8625-SUM(E8620:E8625)</f>
        <v>1631.75</v>
      </c>
      <c r="F8619" s="1613"/>
      <c r="G8619" s="1550"/>
    </row>
    <row r="8620" spans="1:7" ht="12.75" customHeight="1">
      <c r="A8620" s="1667">
        <v>45617</v>
      </c>
      <c r="B8620" s="1864" t="str">
        <f>TiposLancamentos!B12</f>
        <v>IPTU</v>
      </c>
      <c r="C8620" s="1745" t="s">
        <v>9048</v>
      </c>
      <c r="D8620" s="1736"/>
      <c r="E8620" s="1734">
        <v>62.93</v>
      </c>
      <c r="F8620" s="1656"/>
      <c r="G8620" s="1550"/>
    </row>
    <row r="8621" spans="1:7" ht="12.75" customHeight="1">
      <c r="A8621" s="1667">
        <v>45617</v>
      </c>
      <c r="B8621" s="1864" t="str">
        <f>TiposLancamentos!B10</f>
        <v>Distr. Água Municipal</v>
      </c>
      <c r="C8621" s="1745" t="s">
        <v>7423</v>
      </c>
      <c r="D8621" s="1736"/>
      <c r="E8621" s="1734">
        <v>75.92</v>
      </c>
      <c r="F8621" s="1656"/>
      <c r="G8621" s="1550"/>
    </row>
    <row r="8622" spans="1:7" ht="12.75" customHeight="1">
      <c r="A8622" s="1667">
        <v>45617</v>
      </c>
      <c r="B8622" s="1864" t="str">
        <f>TiposLancamentos!B34</f>
        <v>Seguros</v>
      </c>
      <c r="C8622" s="1745" t="s">
        <v>9262</v>
      </c>
      <c r="D8622" s="1736"/>
      <c r="E8622" s="1734">
        <v>0</v>
      </c>
      <c r="F8622" s="1656"/>
      <c r="G8622" s="1550"/>
    </row>
    <row r="8623" spans="1:7" ht="12.75" customHeight="1">
      <c r="A8623" s="1667">
        <v>45617</v>
      </c>
      <c r="B8623" s="1864" t="str">
        <f>TiposLancamentos!B11</f>
        <v>Coleta Municipal Lixo</v>
      </c>
      <c r="C8623" s="1745" t="s">
        <v>7424</v>
      </c>
      <c r="D8623" s="1736"/>
      <c r="E8623" s="1734">
        <v>67.23</v>
      </c>
      <c r="F8623" s="1656"/>
      <c r="G8623" s="1550"/>
    </row>
    <row r="8624" spans="1:7" ht="12.75" customHeight="1">
      <c r="A8624" s="1667">
        <v>45617</v>
      </c>
      <c r="B8624" s="1864" t="str">
        <f>TiposLancamentos!B8</f>
        <v>Aluguel</v>
      </c>
      <c r="C8624" s="1745" t="s">
        <v>8955</v>
      </c>
      <c r="D8624" s="1736"/>
      <c r="E8624" s="1734">
        <v>8</v>
      </c>
      <c r="F8624" s="1656"/>
      <c r="G8624" s="1550"/>
    </row>
    <row r="8625" spans="1:7" ht="12.75" customHeight="1">
      <c r="A8625" s="1750">
        <v>45617</v>
      </c>
      <c r="B8625" s="1863" t="str">
        <f>TiposLancamentos!B9</f>
        <v>Condominio</v>
      </c>
      <c r="C8625" s="1746" t="s">
        <v>7427</v>
      </c>
      <c r="D8625" s="1737"/>
      <c r="E8625" s="1668">
        <v>775.36</v>
      </c>
      <c r="F8625" s="1518">
        <v>2621.19</v>
      </c>
      <c r="G8625" s="1550"/>
    </row>
    <row r="8626" spans="1:7" ht="12.75" customHeight="1">
      <c r="A8626" s="1754"/>
      <c r="B8626" s="125"/>
      <c r="C8626" s="1040" t="s">
        <v>1868</v>
      </c>
      <c r="D8626" s="1736"/>
      <c r="E8626" s="1043"/>
      <c r="F8626" s="1613"/>
      <c r="G8626" s="1550"/>
    </row>
    <row r="8627" spans="1:7" ht="12.75" customHeight="1">
      <c r="A8627" s="1754">
        <v>45617</v>
      </c>
      <c r="B8627" s="116" t="str">
        <f>TiposLancamentos!B6</f>
        <v>Energia Eletrica</v>
      </c>
      <c r="C8627" s="1740" t="s">
        <v>9377</v>
      </c>
      <c r="D8627" s="1736"/>
      <c r="E8627" s="1043">
        <v>308.95999999999998</v>
      </c>
      <c r="F8627" s="1043"/>
      <c r="G8627" s="1550"/>
    </row>
    <row r="8628" spans="1:7" ht="12.75" customHeight="1">
      <c r="A8628" s="1754">
        <v>45618</v>
      </c>
      <c r="B8628" s="116" t="str">
        <f>TiposLancamentos!B13</f>
        <v>Moradia</v>
      </c>
      <c r="C8628" s="1740" t="s">
        <v>8733</v>
      </c>
      <c r="D8628" s="1736"/>
      <c r="E8628" s="1043">
        <v>17</v>
      </c>
      <c r="F8628" s="1043"/>
      <c r="G8628" s="1550"/>
    </row>
    <row r="8629" spans="1:7" ht="12.75" customHeight="1">
      <c r="A8629" s="1666">
        <v>45619</v>
      </c>
      <c r="B8629" s="817" t="str">
        <f>TiposLancamentos!B37</f>
        <v>Playstation 3</v>
      </c>
      <c r="C8629" s="1742" t="s">
        <v>9378</v>
      </c>
      <c r="D8629" s="1735"/>
      <c r="E8629" s="1733">
        <v>70</v>
      </c>
      <c r="F8629" s="1290"/>
      <c r="G8629" s="1550"/>
    </row>
    <row r="8630" spans="1:7" ht="12.75" customHeight="1">
      <c r="A8630" s="1750">
        <v>45619</v>
      </c>
      <c r="B8630" s="818" t="str">
        <f>TiposLancamentos!B37</f>
        <v>Playstation 3</v>
      </c>
      <c r="C8630" s="1743" t="s">
        <v>9379</v>
      </c>
      <c r="D8630" s="1737"/>
      <c r="E8630" s="1668">
        <v>70</v>
      </c>
      <c r="F8630" s="1291">
        <f>SUM(E8629:E8630)</f>
        <v>140</v>
      </c>
      <c r="G8630" s="1550"/>
    </row>
    <row r="8631" spans="1:7" ht="12.75" customHeight="1">
      <c r="A8631" s="1754">
        <v>45619</v>
      </c>
      <c r="B8631" s="116" t="str">
        <f>TiposLancamentos!B36</f>
        <v>Playstation 2</v>
      </c>
      <c r="C8631" s="1740" t="s">
        <v>9380</v>
      </c>
      <c r="D8631" s="1736"/>
      <c r="E8631" s="1043">
        <v>140</v>
      </c>
      <c r="F8631" s="1043"/>
      <c r="G8631" s="1550"/>
    </row>
    <row r="8632" spans="1:7" ht="12.75" customHeight="1">
      <c r="A8632" s="1754">
        <v>45619</v>
      </c>
      <c r="B8632" s="116" t="str">
        <f>TiposLancamentos!B36</f>
        <v>Playstation 2</v>
      </c>
      <c r="C8632" s="1740" t="s">
        <v>9381</v>
      </c>
      <c r="D8632" s="1736"/>
      <c r="E8632" s="1043">
        <v>60</v>
      </c>
      <c r="F8632" s="1043"/>
      <c r="G8632" s="1550"/>
    </row>
    <row r="8633" spans="1:7" ht="12.75" customHeight="1">
      <c r="A8633" s="1754">
        <v>45622</v>
      </c>
      <c r="B8633" s="116" t="str">
        <f>TiposLancamentos!B24</f>
        <v>Estacionamentos</v>
      </c>
      <c r="C8633" s="1740" t="s">
        <v>2183</v>
      </c>
      <c r="D8633" s="1736"/>
      <c r="E8633" s="1043">
        <v>14</v>
      </c>
      <c r="F8633" s="1043"/>
      <c r="G8633" s="1550"/>
    </row>
    <row r="8634" spans="1:7" ht="12.75" customHeight="1">
      <c r="A8634" s="1666">
        <v>45622</v>
      </c>
      <c r="B8634" s="817" t="str">
        <f>TiposLancamentos!B37</f>
        <v>Playstation 3</v>
      </c>
      <c r="C8634" s="1742" t="s">
        <v>9382</v>
      </c>
      <c r="D8634" s="1735"/>
      <c r="E8634" s="1733">
        <v>80</v>
      </c>
      <c r="F8634" s="1290"/>
      <c r="G8634" s="1550"/>
    </row>
    <row r="8635" spans="1:7" ht="12.75" customHeight="1">
      <c r="A8635" s="1750">
        <v>45622</v>
      </c>
      <c r="B8635" s="818" t="str">
        <f>TiposLancamentos!B60</f>
        <v>Correio</v>
      </c>
      <c r="C8635" s="1743" t="s">
        <v>9383</v>
      </c>
      <c r="D8635" s="1737"/>
      <c r="E8635" s="1668">
        <v>10</v>
      </c>
      <c r="F8635" s="1291">
        <f>SUM(E8634:E8635)</f>
        <v>90</v>
      </c>
      <c r="G8635" s="1550"/>
    </row>
    <row r="8636" spans="1:7" ht="12.75" customHeight="1">
      <c r="A8636" s="1754"/>
      <c r="B8636" s="116"/>
      <c r="C8636" s="1740" t="s">
        <v>1947</v>
      </c>
      <c r="D8636" s="1736"/>
      <c r="E8636" s="1043"/>
      <c r="F8636" s="1043"/>
      <c r="G8636" s="1550"/>
    </row>
    <row r="8637" spans="1:7" ht="12.75" customHeight="1">
      <c r="A8637" s="1754">
        <v>45622</v>
      </c>
      <c r="B8637" s="116" t="str">
        <f>TiposLancamentos!B32</f>
        <v>Clinicas e tratamentos</v>
      </c>
      <c r="C8637" s="1740" t="s">
        <v>9384</v>
      </c>
      <c r="D8637" s="1736"/>
      <c r="E8637" s="1043">
        <v>600</v>
      </c>
      <c r="F8637" s="1043"/>
      <c r="G8637" s="1550"/>
    </row>
    <row r="8638" spans="1:7" ht="12.75" customHeight="1">
      <c r="A8638" s="1754"/>
      <c r="B8638" s="116"/>
      <c r="C8638" s="1740" t="s">
        <v>1947</v>
      </c>
      <c r="D8638" s="1736"/>
      <c r="E8638" s="1043"/>
      <c r="F8638" s="1043"/>
      <c r="G8638" s="1550"/>
    </row>
    <row r="8639" spans="1:7" ht="12.75" customHeight="1">
      <c r="A8639" s="1666">
        <v>45624</v>
      </c>
      <c r="B8639" s="817" t="str">
        <f>TiposLancamentos!B41</f>
        <v>PSP Slim 3k</v>
      </c>
      <c r="C8639" s="1742" t="s">
        <v>9385</v>
      </c>
      <c r="D8639" s="1735"/>
      <c r="E8639" s="1733">
        <v>160</v>
      </c>
      <c r="F8639" s="1290"/>
      <c r="G8639" s="1550"/>
    </row>
    <row r="8640" spans="1:7" ht="12.75" customHeight="1">
      <c r="A8640" s="1750">
        <v>45624</v>
      </c>
      <c r="B8640" s="818" t="str">
        <f>TiposLancamentos!B60</f>
        <v>Correio</v>
      </c>
      <c r="C8640" s="1743" t="str">
        <f xml:space="preserve"> "Frete: " &amp; C8639</f>
        <v>Frete: Game: Dante´s Inferno PSP</v>
      </c>
      <c r="D8640" s="1737"/>
      <c r="E8640" s="1668">
        <v>12.06</v>
      </c>
      <c r="F8640" s="1291">
        <f>SUM(E8639:E8640)</f>
        <v>172.06</v>
      </c>
      <c r="G8640" s="1550"/>
    </row>
    <row r="8641" spans="1:7" ht="12.75" customHeight="1">
      <c r="A8641" s="1754"/>
      <c r="B8641" s="116"/>
      <c r="C8641" s="1740" t="s">
        <v>1947</v>
      </c>
      <c r="D8641" s="1736"/>
      <c r="E8641" s="1043"/>
      <c r="F8641" s="1043"/>
      <c r="G8641" s="1550"/>
    </row>
    <row r="8642" spans="1:7" ht="12.75" customHeight="1" thickBot="1">
      <c r="A8642" s="1754">
        <v>45625</v>
      </c>
      <c r="B8642" s="116" t="str">
        <f>TiposLancamentos!B13</f>
        <v>Moradia</v>
      </c>
      <c r="C8642" s="1740" t="s">
        <v>9386</v>
      </c>
      <c r="D8642" s="1736"/>
      <c r="E8642" s="1043">
        <v>17</v>
      </c>
      <c r="F8642" s="1043"/>
      <c r="G8642" s="1550"/>
    </row>
    <row r="8643" spans="1:7" ht="12.75" customHeight="1">
      <c r="A8643" s="1834"/>
      <c r="B8643" s="977"/>
      <c r="C8643" s="1854" t="s">
        <v>9387</v>
      </c>
      <c r="D8643" s="1823"/>
      <c r="E8643" s="1821"/>
      <c r="F8643" s="1821"/>
      <c r="G8643" s="1895"/>
    </row>
    <row r="8644" spans="1:7" ht="12.75" customHeight="1">
      <c r="A8644" s="1754">
        <v>45627</v>
      </c>
      <c r="B8644" s="116" t="str">
        <f>TiposLancamentos!B24</f>
        <v>Estacionamentos</v>
      </c>
      <c r="C8644" s="1740" t="s">
        <v>9388</v>
      </c>
      <c r="D8644" s="1736"/>
      <c r="E8644" s="1043">
        <v>50</v>
      </c>
      <c r="F8644" s="1043"/>
      <c r="G8644" s="1550"/>
    </row>
    <row r="8645" spans="1:7" ht="12.75" customHeight="1">
      <c r="A8645" s="1754">
        <v>45628</v>
      </c>
      <c r="B8645" s="125" t="str">
        <f>TiposLancamentos!B105</f>
        <v>Transf. Bco</v>
      </c>
      <c r="C8645" s="1040" t="s">
        <v>9359</v>
      </c>
      <c r="D8645" s="1736">
        <v>5664.62</v>
      </c>
      <c r="E8645" s="1043"/>
      <c r="F8645" s="1043"/>
      <c r="G8645" s="1550"/>
    </row>
    <row r="8646" spans="1:7" ht="12.75" customHeight="1">
      <c r="A8646" s="1754">
        <v>45628</v>
      </c>
      <c r="B8646" s="116" t="str">
        <f>TiposLancamentos!B15</f>
        <v>Cartões de Crédito</v>
      </c>
      <c r="C8646" s="1040" t="s">
        <v>8016</v>
      </c>
      <c r="D8646" s="1736"/>
      <c r="E8646" s="1043">
        <v>3449.09</v>
      </c>
      <c r="F8646" s="1043"/>
      <c r="G8646" s="1550"/>
    </row>
    <row r="8647" spans="1:7" ht="12.75" customHeight="1">
      <c r="A8647" s="1754">
        <v>45628</v>
      </c>
      <c r="B8647" s="116" t="str">
        <f>TiposLancamentos!B15</f>
        <v>Cartões de Crédito</v>
      </c>
      <c r="C8647" s="1040" t="s">
        <v>9361</v>
      </c>
      <c r="D8647" s="1736"/>
      <c r="E8647" s="1043">
        <v>2562.0700000000002</v>
      </c>
      <c r="F8647" s="1043"/>
      <c r="G8647" s="1550"/>
    </row>
    <row r="8648" spans="1:7" ht="12.75" customHeight="1">
      <c r="A8648" s="1754">
        <v>45628</v>
      </c>
      <c r="B8648" s="116" t="str">
        <f>TiposLancamentos!B15</f>
        <v>Cartões de Crédito</v>
      </c>
      <c r="C8648" s="1040" t="s">
        <v>9360</v>
      </c>
      <c r="D8648" s="1736"/>
      <c r="E8648" s="1043">
        <v>1948.53</v>
      </c>
      <c r="F8648" s="1043"/>
      <c r="G8648" s="1550"/>
    </row>
    <row r="8649" spans="1:7" ht="12.75" customHeight="1">
      <c r="A8649" s="1754">
        <v>45628</v>
      </c>
      <c r="B8649" s="116" t="str">
        <f>TiposLancamentos!B15</f>
        <v>Cartões de Crédito</v>
      </c>
      <c r="C8649" s="1040" t="s">
        <v>8252</v>
      </c>
      <c r="D8649" s="1736"/>
      <c r="E8649" s="1043">
        <v>1277.52</v>
      </c>
      <c r="F8649" s="1043"/>
      <c r="G8649" s="1550"/>
    </row>
    <row r="8650" spans="1:7" ht="12.75" customHeight="1">
      <c r="A8650" s="1754">
        <v>45628</v>
      </c>
      <c r="B8650" s="116" t="str">
        <f>TiposLancamentos!B15</f>
        <v>Cartões de Crédito</v>
      </c>
      <c r="C8650" s="1040" t="s">
        <v>9174</v>
      </c>
      <c r="D8650" s="1736"/>
      <c r="E8650" s="1043">
        <v>144</v>
      </c>
      <c r="F8650" s="1043"/>
      <c r="G8650" s="1550"/>
    </row>
    <row r="8651" spans="1:7" ht="12.75" customHeight="1">
      <c r="A8651" s="1754">
        <v>45628</v>
      </c>
      <c r="B8651" s="116" t="str">
        <f>TiposLancamentos!B14</f>
        <v>Gás de cozinha</v>
      </c>
      <c r="C8651" s="1040" t="s">
        <v>9132</v>
      </c>
      <c r="D8651" s="1736"/>
      <c r="E8651" s="1043">
        <v>71</v>
      </c>
      <c r="F8651" s="1043"/>
      <c r="G8651" s="1550"/>
    </row>
    <row r="8652" spans="1:7" ht="12.75" customHeight="1">
      <c r="A8652" s="1754">
        <v>45628</v>
      </c>
      <c r="B8652" s="116" t="str">
        <f>TiposLancamentos!B15</f>
        <v>Cartões de Crédito</v>
      </c>
      <c r="C8652" s="1040" t="s">
        <v>9175</v>
      </c>
      <c r="D8652" s="1736"/>
      <c r="E8652" s="1043">
        <v>0</v>
      </c>
      <c r="F8652" s="1043">
        <v>0</v>
      </c>
      <c r="G8652" s="1550"/>
    </row>
    <row r="8653" spans="1:7" ht="12.75" customHeight="1">
      <c r="A8653" s="1754">
        <v>45628</v>
      </c>
      <c r="B8653" s="116" t="str">
        <f>TiposLancamentos!B74</f>
        <v>Noite</v>
      </c>
      <c r="C8653" s="1740" t="s">
        <v>9389</v>
      </c>
      <c r="D8653" s="1736"/>
      <c r="E8653" s="1043">
        <v>240</v>
      </c>
      <c r="F8653" s="1043"/>
      <c r="G8653" s="1550"/>
    </row>
    <row r="8654" spans="1:7" ht="12.75" customHeight="1">
      <c r="A8654" s="1754">
        <v>45629</v>
      </c>
      <c r="B8654" s="116" t="str">
        <f>TiposLancamentos!B64</f>
        <v>Viagens</v>
      </c>
      <c r="C8654" s="1740" t="s">
        <v>9390</v>
      </c>
      <c r="D8654" s="1736"/>
      <c r="E8654" s="1043">
        <v>750</v>
      </c>
      <c r="F8654" s="1043"/>
      <c r="G8654" s="1550"/>
    </row>
    <row r="8655" spans="1:7" ht="12.75" customHeight="1">
      <c r="A8655" s="1754">
        <v>45629</v>
      </c>
      <c r="B8655" s="116" t="str">
        <f>TiposLancamentos!B4</f>
        <v>Taxas Bancarias</v>
      </c>
      <c r="C8655" s="1740" t="s">
        <v>9391</v>
      </c>
      <c r="D8655" s="1736"/>
      <c r="E8655" s="1043">
        <v>62.65</v>
      </c>
      <c r="F8655" s="1043"/>
      <c r="G8655" s="1550"/>
    </row>
    <row r="8656" spans="1:7" ht="12.75" customHeight="1">
      <c r="A8656" s="1754">
        <v>45631</v>
      </c>
      <c r="B8656" s="116" t="str">
        <f>TiposLancamentos!B4</f>
        <v>Taxas Bancarias</v>
      </c>
      <c r="C8656" s="1740" t="s">
        <v>9392</v>
      </c>
      <c r="D8656" s="1736"/>
      <c r="E8656" s="1043">
        <v>652.46</v>
      </c>
      <c r="F8656" s="1043"/>
      <c r="G8656" s="1550"/>
    </row>
    <row r="8657" spans="1:7" ht="12.75" customHeight="1">
      <c r="A8657" s="1754">
        <v>45632</v>
      </c>
      <c r="B8657" s="116" t="str">
        <f>TiposLancamentos!B4</f>
        <v>Taxas Bancarias</v>
      </c>
      <c r="C8657" s="1740" t="s">
        <v>9393</v>
      </c>
      <c r="D8657" s="1736"/>
      <c r="E8657" s="1043">
        <v>40.770000000000003</v>
      </c>
      <c r="F8657" s="1043"/>
      <c r="G8657" s="1550"/>
    </row>
    <row r="8658" spans="1:7" ht="12.75" customHeight="1">
      <c r="A8658" s="1666">
        <v>45633</v>
      </c>
      <c r="B8658" s="817" t="str">
        <f>TiposLancamentos!B37</f>
        <v>Playstation 3</v>
      </c>
      <c r="C8658" s="1742" t="s">
        <v>9394</v>
      </c>
      <c r="D8658" s="1735"/>
      <c r="E8658" s="1733">
        <v>50</v>
      </c>
      <c r="F8658" s="1290"/>
      <c r="G8658" s="1550"/>
    </row>
    <row r="8659" spans="1:7" ht="12.75" customHeight="1">
      <c r="A8659" s="1750">
        <v>45633</v>
      </c>
      <c r="B8659" s="818" t="str">
        <f>TiposLancamentos!B37</f>
        <v>Playstation 3</v>
      </c>
      <c r="C8659" s="1743" t="s">
        <v>9395</v>
      </c>
      <c r="D8659" s="1737"/>
      <c r="E8659" s="1668">
        <v>50</v>
      </c>
      <c r="F8659" s="1291">
        <f>SUM(E8658:E8659)</f>
        <v>100</v>
      </c>
      <c r="G8659" s="1550"/>
    </row>
    <row r="8660" spans="1:7" ht="12.75" customHeight="1">
      <c r="A8660" s="1754">
        <v>45633</v>
      </c>
      <c r="B8660" s="116" t="str">
        <f>TiposLancamentos!B36</f>
        <v>Playstation 2</v>
      </c>
      <c r="C8660" s="1740" t="s">
        <v>9396</v>
      </c>
      <c r="D8660" s="1736"/>
      <c r="E8660" s="1043">
        <v>170</v>
      </c>
      <c r="F8660" s="1043"/>
      <c r="G8660" s="1550"/>
    </row>
    <row r="8661" spans="1:7" ht="12.75" customHeight="1">
      <c r="A8661" s="1754">
        <v>45633</v>
      </c>
      <c r="B8661" s="116" t="str">
        <f>TiposLancamentos!B36</f>
        <v>Playstation 2</v>
      </c>
      <c r="C8661" s="1740" t="s">
        <v>9381</v>
      </c>
      <c r="D8661" s="1736"/>
      <c r="E8661" s="1043">
        <v>60</v>
      </c>
      <c r="F8661" s="1043"/>
      <c r="G8661" s="1550"/>
    </row>
    <row r="8662" spans="1:7" ht="12.75" customHeight="1">
      <c r="A8662" s="1754">
        <v>45637</v>
      </c>
      <c r="B8662" s="116" t="str">
        <f>TiposLancamentos!B24</f>
        <v>Estacionamentos</v>
      </c>
      <c r="C8662" s="1040" t="s">
        <v>9397</v>
      </c>
      <c r="D8662" s="1736"/>
      <c r="E8662" s="1043">
        <v>10</v>
      </c>
      <c r="F8662" s="1043"/>
      <c r="G8662" s="1550"/>
    </row>
    <row r="8663" spans="1:7" ht="12.75" customHeight="1">
      <c r="A8663" s="1754">
        <v>45640</v>
      </c>
      <c r="B8663" s="116" t="str">
        <f>TiposLancamentos!B71</f>
        <v>Itens Pessoais</v>
      </c>
      <c r="C8663" s="1740" t="s">
        <v>9398</v>
      </c>
      <c r="D8663" s="1736"/>
      <c r="E8663" s="1043">
        <v>90</v>
      </c>
      <c r="F8663" s="1043"/>
      <c r="G8663" s="1550"/>
    </row>
    <row r="8664" spans="1:7" ht="12.75" customHeight="1">
      <c r="A8664" s="1754">
        <v>45641</v>
      </c>
      <c r="B8664" s="116" t="str">
        <f>TiposLancamentos!B105</f>
        <v>Transf. Bco</v>
      </c>
      <c r="C8664" s="1040" t="s">
        <v>9399</v>
      </c>
      <c r="D8664" s="1736">
        <v>4201.57</v>
      </c>
      <c r="E8664" s="1043"/>
      <c r="F8664" s="1043"/>
      <c r="G8664" s="1550"/>
    </row>
    <row r="8665" spans="1:7" ht="12.75" customHeight="1">
      <c r="A8665" s="1754">
        <v>45641</v>
      </c>
      <c r="B8665" s="116"/>
      <c r="C8665" s="1040" t="s">
        <v>1868</v>
      </c>
      <c r="D8665" s="1736">
        <v>0</v>
      </c>
      <c r="E8665" s="1043"/>
      <c r="F8665" s="1664"/>
      <c r="G8665" s="1550"/>
    </row>
    <row r="8666" spans="1:7" ht="12.75" customHeight="1">
      <c r="A8666" s="1666">
        <v>45641</v>
      </c>
      <c r="B8666" s="817" t="str">
        <f>TiposLancamentos!B35</f>
        <v>Tv à Cabo</v>
      </c>
      <c r="C8666" s="1742" t="s">
        <v>5834</v>
      </c>
      <c r="D8666" s="1735"/>
      <c r="E8666" s="1733">
        <f>F8668-(E8667+E8668)</f>
        <v>139.94999999999999</v>
      </c>
      <c r="F8666" s="1290"/>
      <c r="G8666" s="1550"/>
    </row>
    <row r="8667" spans="1:7" ht="12.75" customHeight="1">
      <c r="A8667" s="1868">
        <v>45641</v>
      </c>
      <c r="B8667" s="816" t="str">
        <f>TiposLancamentos!B3</f>
        <v>Internet</v>
      </c>
      <c r="C8667" s="1769" t="s">
        <v>5835</v>
      </c>
      <c r="D8667" s="1736"/>
      <c r="E8667" s="1734">
        <v>119.75</v>
      </c>
      <c r="F8667" s="1043"/>
      <c r="G8667" s="1550"/>
    </row>
    <row r="8668" spans="1:7" ht="12.75" customHeight="1">
      <c r="A8668" s="1750">
        <v>45641</v>
      </c>
      <c r="B8668" s="818" t="str">
        <f>TiposLancamentos!B2</f>
        <v>Telefonia</v>
      </c>
      <c r="C8668" s="1743" t="s">
        <v>7210</v>
      </c>
      <c r="D8668" s="1737"/>
      <c r="E8668" s="1668">
        <v>0</v>
      </c>
      <c r="F8668" s="1291">
        <v>259.7</v>
      </c>
      <c r="G8668" s="1550"/>
    </row>
    <row r="8669" spans="1:7" ht="12.75" customHeight="1">
      <c r="A8669" s="1754">
        <v>45641</v>
      </c>
      <c r="B8669" s="116"/>
      <c r="C8669" s="1040" t="s">
        <v>1868</v>
      </c>
      <c r="D8669" s="1736">
        <v>0</v>
      </c>
      <c r="E8669" s="1043"/>
      <c r="F8669" s="1043"/>
      <c r="G8669" s="1550"/>
    </row>
    <row r="8670" spans="1:7" ht="12.75" customHeight="1">
      <c r="A8670" s="1754">
        <v>45644</v>
      </c>
      <c r="B8670" s="116" t="str">
        <f>TiposLancamentos!B32</f>
        <v>Clinicas e tratamentos</v>
      </c>
      <c r="C8670" s="1740" t="s">
        <v>9400</v>
      </c>
      <c r="D8670" s="1736"/>
      <c r="E8670" s="1043">
        <v>800</v>
      </c>
      <c r="F8670" s="1043"/>
      <c r="G8670" s="1550"/>
    </row>
    <row r="8671" spans="1:7" ht="12.75" customHeight="1">
      <c r="A8671" s="1754">
        <v>45645</v>
      </c>
      <c r="B8671" s="116" t="str">
        <f>TiposLancamentos!B69</f>
        <v>Consertos</v>
      </c>
      <c r="C8671" s="1740" t="s">
        <v>9401</v>
      </c>
      <c r="D8671" s="1736"/>
      <c r="E8671" s="1043">
        <v>180</v>
      </c>
      <c r="F8671" s="1043"/>
      <c r="G8671" s="1550"/>
    </row>
    <row r="8672" spans="1:7" ht="12.75" customHeight="1">
      <c r="A8672" s="1754"/>
      <c r="B8672" s="116"/>
      <c r="C8672" s="1740" t="s">
        <v>1868</v>
      </c>
      <c r="D8672" s="1736"/>
      <c r="E8672" s="1043"/>
      <c r="F8672" s="1664"/>
      <c r="G8672" s="1550"/>
    </row>
    <row r="8673" spans="1:7" ht="12.75" customHeight="1">
      <c r="A8673" s="1666">
        <v>45646</v>
      </c>
      <c r="B8673" s="1862" t="str">
        <f>TiposLancamentos!B8</f>
        <v>Aluguel</v>
      </c>
      <c r="C8673" s="1744" t="s">
        <v>9047</v>
      </c>
      <c r="D8673" s="1735"/>
      <c r="E8673" s="1733">
        <f>F8679-SUM(E8674:E8679)</f>
        <v>1631.75</v>
      </c>
      <c r="F8673" s="1613"/>
      <c r="G8673" s="1550"/>
    </row>
    <row r="8674" spans="1:7" ht="12.75" customHeight="1">
      <c r="A8674" s="1667">
        <v>45646</v>
      </c>
      <c r="B8674" s="1864" t="str">
        <f>TiposLancamentos!B12</f>
        <v>IPTU</v>
      </c>
      <c r="C8674" s="1745" t="s">
        <v>9048</v>
      </c>
      <c r="D8674" s="1736"/>
      <c r="E8674" s="1734">
        <v>62.93</v>
      </c>
      <c r="F8674" s="1656"/>
      <c r="G8674" s="1550"/>
    </row>
    <row r="8675" spans="1:7" ht="12.75" customHeight="1">
      <c r="A8675" s="1667">
        <v>45646</v>
      </c>
      <c r="B8675" s="1864" t="str">
        <f>TiposLancamentos!B10</f>
        <v>Distr. Água Municipal</v>
      </c>
      <c r="C8675" s="1745" t="s">
        <v>7423</v>
      </c>
      <c r="D8675" s="1736"/>
      <c r="E8675" s="1734">
        <v>75.92</v>
      </c>
      <c r="F8675" s="1656"/>
      <c r="G8675" s="1550"/>
    </row>
    <row r="8676" spans="1:7" ht="12.75" customHeight="1">
      <c r="A8676" s="1667">
        <v>45646</v>
      </c>
      <c r="B8676" s="1864" t="str">
        <f>TiposLancamentos!B34</f>
        <v>Seguros</v>
      </c>
      <c r="C8676" s="1745" t="s">
        <v>9262</v>
      </c>
      <c r="D8676" s="1736"/>
      <c r="E8676" s="1734">
        <v>0</v>
      </c>
      <c r="F8676" s="1656"/>
      <c r="G8676" s="1550"/>
    </row>
    <row r="8677" spans="1:7" ht="12.75" customHeight="1">
      <c r="A8677" s="1667">
        <v>45646</v>
      </c>
      <c r="B8677" s="1864" t="str">
        <f>TiposLancamentos!B11</f>
        <v>Coleta Municipal Lixo</v>
      </c>
      <c r="C8677" s="1745" t="s">
        <v>7424</v>
      </c>
      <c r="D8677" s="1736"/>
      <c r="E8677" s="1734">
        <v>67.23</v>
      </c>
      <c r="F8677" s="1656"/>
      <c r="G8677" s="1550"/>
    </row>
    <row r="8678" spans="1:7" ht="12.75" customHeight="1">
      <c r="A8678" s="1667">
        <v>45646</v>
      </c>
      <c r="B8678" s="1864" t="str">
        <f>TiposLancamentos!B8</f>
        <v>Aluguel</v>
      </c>
      <c r="C8678" s="1745" t="s">
        <v>8955</v>
      </c>
      <c r="D8678" s="1736"/>
      <c r="E8678" s="1734">
        <v>8</v>
      </c>
      <c r="F8678" s="1656"/>
      <c r="G8678" s="1550"/>
    </row>
    <row r="8679" spans="1:7" ht="12.75" customHeight="1">
      <c r="A8679" s="1750">
        <v>45646</v>
      </c>
      <c r="B8679" s="1863" t="str">
        <f>TiposLancamentos!B9</f>
        <v>Condominio</v>
      </c>
      <c r="C8679" s="1746" t="s">
        <v>7427</v>
      </c>
      <c r="D8679" s="1737"/>
      <c r="E8679" s="1668">
        <v>775.36</v>
      </c>
      <c r="F8679" s="1518">
        <v>2621.19</v>
      </c>
      <c r="G8679" s="1550"/>
    </row>
    <row r="8680" spans="1:7" ht="12.75" customHeight="1">
      <c r="A8680" s="1754"/>
      <c r="B8680" s="125"/>
      <c r="C8680" s="1040" t="s">
        <v>1868</v>
      </c>
      <c r="D8680" s="1736"/>
      <c r="E8680" s="1043"/>
      <c r="F8680" s="1613"/>
      <c r="G8680" s="1550"/>
    </row>
    <row r="8681" spans="1:7" ht="12.75" customHeight="1">
      <c r="A8681" s="1754">
        <v>45649</v>
      </c>
      <c r="B8681" s="116" t="str">
        <f>TiposLancamentos!B6</f>
        <v>Energia Eletrica</v>
      </c>
      <c r="C8681" s="1740" t="s">
        <v>9402</v>
      </c>
      <c r="D8681" s="1736"/>
      <c r="E8681" s="1043">
        <v>265.14999999999998</v>
      </c>
      <c r="F8681" s="1043"/>
      <c r="G8681" s="1550"/>
    </row>
    <row r="8682" spans="1:7" ht="12.75" customHeight="1">
      <c r="A8682" s="1754">
        <v>45649</v>
      </c>
      <c r="B8682" s="116" t="str">
        <f>TiposLancamentos!B105</f>
        <v>Transf. Bco</v>
      </c>
      <c r="C8682" s="1740" t="s">
        <v>9403</v>
      </c>
      <c r="D8682" s="1736">
        <v>4315.82</v>
      </c>
      <c r="E8682" s="1043"/>
      <c r="F8682" s="1043"/>
      <c r="G8682" s="1550"/>
    </row>
    <row r="8683" spans="1:7" ht="12.75" customHeight="1">
      <c r="A8683" s="1754">
        <v>45653</v>
      </c>
      <c r="B8683" s="116" t="str">
        <f>TiposLancamentos!B14</f>
        <v>Gás de cozinha</v>
      </c>
      <c r="C8683" s="1740" t="s">
        <v>9404</v>
      </c>
      <c r="D8683" s="1736"/>
      <c r="E8683" s="1043">
        <v>38.049999999999997</v>
      </c>
      <c r="F8683" s="1043"/>
      <c r="G8683" s="1550"/>
    </row>
    <row r="8684" spans="1:7" ht="12.75" customHeight="1" thickBot="1">
      <c r="A8684" s="1754">
        <v>45653</v>
      </c>
      <c r="B8684" s="116" t="str">
        <f>TiposLancamentos!B32</f>
        <v>Clinicas e tratamentos</v>
      </c>
      <c r="C8684" s="1740" t="s">
        <v>9405</v>
      </c>
      <c r="D8684" s="1736"/>
      <c r="E8684" s="1043">
        <v>100</v>
      </c>
      <c r="F8684" s="1043"/>
      <c r="G8684" s="1550"/>
    </row>
    <row r="8685" spans="1:7" ht="12.75" customHeight="1">
      <c r="A8685" s="1834"/>
      <c r="B8685" s="977"/>
      <c r="C8685" s="1854" t="s">
        <v>9406</v>
      </c>
      <c r="D8685" s="1823"/>
      <c r="E8685" s="1821"/>
      <c r="F8685" s="1821"/>
      <c r="G8685" s="1895"/>
    </row>
    <row r="8686" spans="1:7" ht="12.75" customHeight="1">
      <c r="A8686" s="1754">
        <v>45659</v>
      </c>
      <c r="B8686" s="116" t="str">
        <f>TiposLancamentos!B15</f>
        <v>Cartões de Crédito</v>
      </c>
      <c r="C8686" s="1040" t="s">
        <v>8016</v>
      </c>
      <c r="D8686" s="1736"/>
      <c r="E8686" s="1043">
        <v>6540.5</v>
      </c>
      <c r="F8686" s="1043"/>
      <c r="G8686" s="1550"/>
    </row>
    <row r="8687" spans="1:7" ht="12.75" customHeight="1">
      <c r="A8687" s="1754">
        <v>45659</v>
      </c>
      <c r="B8687" s="116" t="str">
        <f>TiposLancamentos!B15</f>
        <v>Cartões de Crédito</v>
      </c>
      <c r="C8687" s="1040" t="s">
        <v>9360</v>
      </c>
      <c r="D8687" s="1736"/>
      <c r="E8687" s="1043">
        <v>1919.55</v>
      </c>
      <c r="F8687" s="1043"/>
      <c r="G8687" s="1550"/>
    </row>
    <row r="8688" spans="1:7" ht="12.75" customHeight="1">
      <c r="A8688" s="1754">
        <v>45659</v>
      </c>
      <c r="B8688" s="116" t="str">
        <f>TiposLancamentos!B15</f>
        <v>Cartões de Crédito</v>
      </c>
      <c r="C8688" s="1040" t="s">
        <v>9361</v>
      </c>
      <c r="D8688" s="1736"/>
      <c r="E8688" s="1043">
        <v>1636.81</v>
      </c>
      <c r="F8688" s="1043"/>
      <c r="G8688" s="1550"/>
    </row>
    <row r="8689" spans="1:7" ht="12.75" customHeight="1">
      <c r="A8689" s="1754">
        <v>45659</v>
      </c>
      <c r="B8689" s="116" t="str">
        <f>TiposLancamentos!B15</f>
        <v>Cartões de Crédito</v>
      </c>
      <c r="C8689" s="1040" t="s">
        <v>8252</v>
      </c>
      <c r="D8689" s="1736"/>
      <c r="E8689" s="1043">
        <v>604.13</v>
      </c>
      <c r="F8689" s="1043"/>
      <c r="G8689" s="1550"/>
    </row>
    <row r="8690" spans="1:7" ht="12.75" customHeight="1">
      <c r="A8690" s="1754">
        <v>45659</v>
      </c>
      <c r="B8690" s="116" t="str">
        <f>TiposLancamentos!B15</f>
        <v>Cartões de Crédito</v>
      </c>
      <c r="C8690" s="1040" t="s">
        <v>9174</v>
      </c>
      <c r="D8690" s="1736"/>
      <c r="E8690" s="1043">
        <v>134.30000000000001</v>
      </c>
      <c r="F8690" s="1043"/>
      <c r="G8690" s="1550"/>
    </row>
    <row r="8691" spans="1:7" ht="12.75" customHeight="1">
      <c r="A8691" s="1754">
        <v>45659</v>
      </c>
      <c r="B8691" s="116" t="str">
        <f>TiposLancamentos!B15</f>
        <v>Cartões de Crédito</v>
      </c>
      <c r="C8691" s="1040" t="s">
        <v>9175</v>
      </c>
      <c r="D8691" s="1736"/>
      <c r="E8691" s="1043">
        <v>100</v>
      </c>
      <c r="F8691" s="1043"/>
      <c r="G8691" s="1550"/>
    </row>
    <row r="8692" spans="1:7" ht="12.75" customHeight="1">
      <c r="A8692" s="1754">
        <v>45660</v>
      </c>
      <c r="B8692" s="116" t="str">
        <f>TiposLancamentos!B4</f>
        <v>Taxas Bancarias</v>
      </c>
      <c r="C8692" s="1740" t="s">
        <v>6343</v>
      </c>
      <c r="D8692" s="1736"/>
      <c r="E8692" s="1043">
        <v>66.599999999999994</v>
      </c>
      <c r="F8692" s="1043"/>
      <c r="G8692" s="1550"/>
    </row>
    <row r="8693" spans="1:7" ht="12.75" customHeight="1">
      <c r="A8693" s="1754">
        <v>45663</v>
      </c>
      <c r="B8693" s="116" t="str">
        <f>TiposLancamentos!B4</f>
        <v>Taxas Bancarias</v>
      </c>
      <c r="C8693" s="1740" t="s">
        <v>8778</v>
      </c>
      <c r="D8693" s="1736"/>
      <c r="E8693" s="1043">
        <v>999.47</v>
      </c>
      <c r="F8693" s="1043"/>
      <c r="G8693" s="1550"/>
    </row>
    <row r="8694" spans="1:7" ht="12.75" customHeight="1">
      <c r="A8694" s="1754">
        <v>45664</v>
      </c>
      <c r="B8694" s="116" t="str">
        <f>TiposLancamentos!B4</f>
        <v>Taxas Bancarias</v>
      </c>
      <c r="C8694" s="1740" t="s">
        <v>9407</v>
      </c>
      <c r="D8694" s="1736"/>
      <c r="E8694" s="1043">
        <v>64.56</v>
      </c>
      <c r="F8694" s="1043"/>
      <c r="G8694" s="1550"/>
    </row>
    <row r="8695" spans="1:7" ht="12.75" customHeight="1">
      <c r="A8695" s="1754">
        <v>45665</v>
      </c>
      <c r="B8695" s="116" t="str">
        <f>TiposLancamentos!B105</f>
        <v>Transf. Bco</v>
      </c>
      <c r="C8695" s="1740" t="s">
        <v>9408</v>
      </c>
      <c r="D8695" s="1736">
        <v>30854.639999999999</v>
      </c>
      <c r="E8695" s="1043"/>
      <c r="F8695" s="1043"/>
      <c r="G8695" s="1550"/>
    </row>
    <row r="8696" spans="1:7" ht="12.75" customHeight="1">
      <c r="A8696" s="1754">
        <v>45665</v>
      </c>
      <c r="B8696" s="116" t="str">
        <f>TiposLancamentos!B105</f>
        <v>Transf. Bco</v>
      </c>
      <c r="C8696" s="1740" t="s">
        <v>9409</v>
      </c>
      <c r="D8696" s="1736"/>
      <c r="E8696" s="1043">
        <v>9135.33</v>
      </c>
      <c r="F8696" s="1043"/>
      <c r="G8696" s="1550"/>
    </row>
    <row r="8697" spans="1:7" ht="12.75" customHeight="1">
      <c r="A8697" s="1754">
        <v>45672</v>
      </c>
      <c r="B8697" s="116" t="str">
        <f>TiposLancamentos!B105</f>
        <v>Transf. Bco</v>
      </c>
      <c r="C8697" s="1740" t="s">
        <v>9410</v>
      </c>
      <c r="D8697" s="1736">
        <v>495.07</v>
      </c>
      <c r="E8697" s="1043"/>
      <c r="F8697" s="1043"/>
      <c r="G8697" s="1550"/>
    </row>
    <row r="8698" spans="1:7" ht="12.75" customHeight="1">
      <c r="A8698" s="1754">
        <v>45672</v>
      </c>
      <c r="B8698" s="116"/>
      <c r="C8698" s="1040" t="s">
        <v>1868</v>
      </c>
      <c r="D8698" s="1736">
        <v>0</v>
      </c>
      <c r="E8698" s="1043"/>
      <c r="F8698" s="1664"/>
      <c r="G8698" s="1550"/>
    </row>
    <row r="8699" spans="1:7" ht="12.75" customHeight="1">
      <c r="A8699" s="1666">
        <v>45672</v>
      </c>
      <c r="B8699" s="817" t="str">
        <f>TiposLancamentos!B35</f>
        <v>Tv à Cabo</v>
      </c>
      <c r="C8699" s="1742" t="s">
        <v>5834</v>
      </c>
      <c r="D8699" s="1735"/>
      <c r="E8699" s="1733">
        <f>F8701-(E8700+E8701)</f>
        <v>139.94999999999999</v>
      </c>
      <c r="F8699" s="1290"/>
      <c r="G8699" s="1550"/>
    </row>
    <row r="8700" spans="1:7" ht="12.75" customHeight="1">
      <c r="A8700" s="1868">
        <v>45672</v>
      </c>
      <c r="B8700" s="816" t="str">
        <f>TiposLancamentos!B3</f>
        <v>Internet</v>
      </c>
      <c r="C8700" s="1769" t="s">
        <v>5835</v>
      </c>
      <c r="D8700" s="1736"/>
      <c r="E8700" s="1734">
        <v>119.75</v>
      </c>
      <c r="F8700" s="1043"/>
      <c r="G8700" s="1550"/>
    </row>
    <row r="8701" spans="1:7" ht="12.75" customHeight="1">
      <c r="A8701" s="1750">
        <v>45672</v>
      </c>
      <c r="B8701" s="818" t="str">
        <f>TiposLancamentos!B2</f>
        <v>Telefonia</v>
      </c>
      <c r="C8701" s="1743" t="s">
        <v>7210</v>
      </c>
      <c r="D8701" s="1737"/>
      <c r="E8701" s="1668">
        <v>0</v>
      </c>
      <c r="F8701" s="1291">
        <v>259.7</v>
      </c>
      <c r="G8701" s="1550"/>
    </row>
    <row r="8702" spans="1:7" ht="12.75" customHeight="1">
      <c r="A8702" s="1754">
        <v>45672</v>
      </c>
      <c r="C8702" s="1040" t="s">
        <v>1868</v>
      </c>
      <c r="D8702" s="1736">
        <v>0</v>
      </c>
      <c r="E8702" s="1043"/>
      <c r="F8702" s="1043"/>
      <c r="G8702" s="1550"/>
    </row>
    <row r="8703" spans="1:7" ht="12.75" customHeight="1" thickBot="1">
      <c r="A8703" s="1754">
        <v>45672</v>
      </c>
      <c r="B8703" s="116" t="str">
        <f>TiposLancamentos!B88</f>
        <v>Ford Ecosport XLT</v>
      </c>
      <c r="C8703" s="1740" t="s">
        <v>9411</v>
      </c>
      <c r="D8703" s="1736"/>
      <c r="E8703" s="1043">
        <v>235.37</v>
      </c>
      <c r="F8703" s="1043">
        <v>1141.57</v>
      </c>
      <c r="G8703" s="1550"/>
    </row>
    <row r="8704" spans="1:7" ht="12.75" customHeight="1">
      <c r="A8704" s="1834"/>
      <c r="B8704" s="977"/>
      <c r="C8704" s="1854" t="s">
        <v>1643</v>
      </c>
      <c r="D8704" s="1823"/>
      <c r="E8704" s="1821"/>
      <c r="F8704" s="1821"/>
      <c r="G8704" s="1895"/>
    </row>
    <row r="8705" spans="1:7" ht="12.75" customHeight="1">
      <c r="A8705" s="1754">
        <v>45691</v>
      </c>
      <c r="B8705" s="125" t="str">
        <f>TiposLancamentos!B105</f>
        <v>Transf. Bco</v>
      </c>
      <c r="C8705" s="1040" t="s">
        <v>8742</v>
      </c>
      <c r="D8705" s="1736">
        <v>2972.46</v>
      </c>
      <c r="E8705" s="1043"/>
      <c r="F8705" s="1043"/>
      <c r="G8705" s="1550"/>
    </row>
    <row r="8706" spans="1:7" ht="12.75" customHeight="1">
      <c r="A8706" s="1754">
        <v>45691</v>
      </c>
      <c r="B8706" s="116" t="str">
        <f>TiposLancamentos!B105</f>
        <v>Transf. Bco</v>
      </c>
      <c r="C8706" s="1040" t="s">
        <v>9410</v>
      </c>
      <c r="D8706" s="1736">
        <v>834.93</v>
      </c>
      <c r="E8706" s="1043"/>
      <c r="F8706" s="1043"/>
      <c r="G8706" s="1550"/>
    </row>
    <row r="8707" spans="1:7" ht="12.75" customHeight="1">
      <c r="A8707" s="1754">
        <v>45691</v>
      </c>
      <c r="B8707" s="116" t="str">
        <f>TiposLancamentos!B15</f>
        <v>Cartões de Crédito</v>
      </c>
      <c r="C8707" s="1040" t="s">
        <v>8016</v>
      </c>
      <c r="D8707" s="1736"/>
      <c r="E8707" s="1043">
        <v>6784.63</v>
      </c>
      <c r="F8707" s="1043"/>
      <c r="G8707" s="1550"/>
    </row>
    <row r="8708" spans="1:7" ht="12.75" customHeight="1">
      <c r="A8708" s="1754">
        <v>45691</v>
      </c>
      <c r="B8708" s="116" t="str">
        <f>TiposLancamentos!B15</f>
        <v>Cartões de Crédito</v>
      </c>
      <c r="C8708" s="1770" t="s">
        <v>9361</v>
      </c>
      <c r="D8708" s="1736"/>
      <c r="E8708" s="1043">
        <v>2400.16</v>
      </c>
      <c r="F8708" s="1043"/>
      <c r="G8708" s="1550"/>
    </row>
    <row r="8709" spans="1:7" ht="12.75" customHeight="1">
      <c r="A8709" s="1754">
        <v>45691</v>
      </c>
      <c r="B8709" s="116" t="str">
        <f>TiposLancamentos!B15</f>
        <v>Cartões de Crédito</v>
      </c>
      <c r="C8709" s="1770" t="s">
        <v>8252</v>
      </c>
      <c r="D8709" s="1736"/>
      <c r="E8709" s="1043">
        <v>604.13</v>
      </c>
      <c r="F8709" s="1043"/>
      <c r="G8709" s="1550"/>
    </row>
    <row r="8710" spans="1:7" ht="12.75" customHeight="1">
      <c r="A8710" s="1754">
        <v>45691</v>
      </c>
      <c r="B8710" s="116" t="str">
        <f>TiposLancamentos!B15</f>
        <v>Cartões de Crédito</v>
      </c>
      <c r="C8710" s="1770" t="s">
        <v>9360</v>
      </c>
      <c r="D8710" s="1736"/>
      <c r="E8710" s="1043">
        <v>588.03</v>
      </c>
      <c r="F8710" s="1043"/>
      <c r="G8710" s="1550"/>
    </row>
    <row r="8711" spans="1:7" ht="12.75" customHeight="1">
      <c r="A8711" s="1754">
        <v>45691</v>
      </c>
      <c r="B8711" s="116" t="str">
        <f>TiposLancamentos!B15</f>
        <v>Cartões de Crédito</v>
      </c>
      <c r="C8711" s="1040" t="s">
        <v>9175</v>
      </c>
      <c r="D8711" s="1736"/>
      <c r="E8711" s="1043">
        <v>100</v>
      </c>
      <c r="F8711" s="1043"/>
      <c r="G8711" s="1550"/>
    </row>
    <row r="8712" spans="1:7" ht="12.75" customHeight="1">
      <c r="A8712" s="1754">
        <v>45691</v>
      </c>
      <c r="B8712" s="116" t="str">
        <f>TiposLancamentos!B15</f>
        <v>Cartões de Crédito</v>
      </c>
      <c r="C8712" s="1770" t="s">
        <v>9174</v>
      </c>
      <c r="D8712" s="1736"/>
      <c r="E8712" s="1043">
        <v>27.9</v>
      </c>
      <c r="F8712" s="1043"/>
      <c r="G8712" s="1550"/>
    </row>
    <row r="8713" spans="1:7" ht="12.75" customHeight="1">
      <c r="A8713" s="1754">
        <v>45691</v>
      </c>
      <c r="B8713" s="116" t="str">
        <f>TiposLancamentos!B14</f>
        <v>Gás de cozinha</v>
      </c>
      <c r="C8713" s="1770" t="s">
        <v>9132</v>
      </c>
      <c r="D8713" s="1736"/>
      <c r="E8713" s="1043">
        <v>96.55</v>
      </c>
      <c r="F8713" s="1043"/>
      <c r="G8713" s="1550"/>
    </row>
    <row r="8714" spans="1:7" ht="12.75" customHeight="1">
      <c r="A8714" s="1666">
        <v>45691</v>
      </c>
      <c r="B8714" s="817" t="str">
        <f>TiposLancamentos!B25</f>
        <v>CD_DVD_BD</v>
      </c>
      <c r="C8714" s="1742" t="s">
        <v>9412</v>
      </c>
      <c r="D8714" s="1735"/>
      <c r="E8714" s="1733">
        <v>58.3</v>
      </c>
      <c r="F8714" s="1290"/>
      <c r="G8714" s="1550"/>
    </row>
    <row r="8715" spans="1:7" ht="12.75" customHeight="1">
      <c r="A8715" s="1750">
        <v>45691</v>
      </c>
      <c r="B8715" s="818" t="str">
        <f>TiposLancamentos!B60</f>
        <v>Correio</v>
      </c>
      <c r="C8715" s="1743" t="s">
        <v>9413</v>
      </c>
      <c r="D8715" s="1737"/>
      <c r="E8715" s="1668">
        <v>7.18</v>
      </c>
      <c r="F8715" s="1291">
        <f>SUM(E8714:E8715)</f>
        <v>65.47999999999999</v>
      </c>
      <c r="G8715" s="1550"/>
    </row>
    <row r="8716" spans="1:7" ht="12.75" customHeight="1">
      <c r="A8716" s="1754">
        <v>45691</v>
      </c>
      <c r="B8716" s="116" t="str">
        <f>TiposLancamentos!B24</f>
        <v>Estacionamentos</v>
      </c>
      <c r="C8716" s="1740" t="s">
        <v>9414</v>
      </c>
      <c r="D8716" s="1736"/>
      <c r="E8716" s="1043">
        <v>9</v>
      </c>
      <c r="F8716" s="1043"/>
      <c r="G8716" s="1550"/>
    </row>
    <row r="8717" spans="1:7" ht="12.75" customHeight="1">
      <c r="A8717" s="1754">
        <v>45692</v>
      </c>
      <c r="B8717" s="116" t="str">
        <f>TiposLancamentos!B4</f>
        <v>Taxas Bancarias</v>
      </c>
      <c r="C8717" s="1740" t="s">
        <v>5996</v>
      </c>
      <c r="D8717" s="1736"/>
      <c r="E8717" s="1043">
        <v>56.95</v>
      </c>
      <c r="F8717" s="1043"/>
      <c r="G8717" s="1550"/>
    </row>
    <row r="8718" spans="1:7" ht="12.75" customHeight="1">
      <c r="A8718" s="1754">
        <v>45692</v>
      </c>
      <c r="B8718" s="116" t="str">
        <f>TiposLancamentos!B13</f>
        <v>Moradia</v>
      </c>
      <c r="C8718" s="1740" t="s">
        <v>9415</v>
      </c>
      <c r="D8718" s="1736"/>
      <c r="E8718" s="1043">
        <v>36</v>
      </c>
      <c r="F8718" s="1043"/>
      <c r="G8718" s="1550"/>
    </row>
    <row r="8719" spans="1:7" ht="12.75" customHeight="1">
      <c r="A8719" s="1754">
        <v>45693</v>
      </c>
      <c r="B8719" s="116" t="str">
        <f>TiposLancamentos!B102</f>
        <v>ESTORNO</v>
      </c>
      <c r="C8719" s="1740" t="s">
        <v>9416</v>
      </c>
      <c r="D8719" s="1736">
        <v>18</v>
      </c>
      <c r="E8719" s="1043"/>
      <c r="F8719" s="1043"/>
      <c r="G8719" s="1550"/>
    </row>
    <row r="8720" spans="1:7" ht="12.75" customHeight="1">
      <c r="A8720" s="1754">
        <v>45694</v>
      </c>
      <c r="B8720" s="116" t="str">
        <f>TiposLancamentos!B4</f>
        <v>Taxas Bancarias</v>
      </c>
      <c r="C8720" s="1740" t="s">
        <v>9392</v>
      </c>
      <c r="D8720" s="1736"/>
      <c r="E8720" s="1043">
        <v>207.96</v>
      </c>
      <c r="F8720" s="1043"/>
      <c r="G8720" s="1550"/>
    </row>
    <row r="8721" spans="1:7" ht="12.75" customHeight="1">
      <c r="A8721" s="1666">
        <v>45694</v>
      </c>
      <c r="B8721" s="817" t="str">
        <f>TiposLancamentos!B38</f>
        <v>Playstation 4</v>
      </c>
      <c r="C8721" s="1742" t="s">
        <v>9417</v>
      </c>
      <c r="D8721" s="1735"/>
      <c r="E8721" s="1733">
        <v>75</v>
      </c>
      <c r="F8721" s="1290"/>
      <c r="G8721" s="1550"/>
    </row>
    <row r="8722" spans="1:7" ht="12.75" customHeight="1">
      <c r="A8722" s="1750">
        <v>45694</v>
      </c>
      <c r="B8722" s="818" t="str">
        <f>TiposLancamentos!B60</f>
        <v>Correio</v>
      </c>
      <c r="C8722" s="1743" t="s">
        <v>9418</v>
      </c>
      <c r="D8722" s="1737"/>
      <c r="E8722" s="1668">
        <v>21</v>
      </c>
      <c r="F8722" s="1291">
        <f>SUM(E8721:E8722)</f>
        <v>96</v>
      </c>
      <c r="G8722" s="1550"/>
    </row>
    <row r="8723" spans="1:7" ht="12.75" customHeight="1">
      <c r="A8723" s="1754">
        <v>45694</v>
      </c>
      <c r="B8723" s="116" t="str">
        <f>B8720</f>
        <v>Taxas Bancarias</v>
      </c>
      <c r="C8723" s="1740" t="s">
        <v>9419</v>
      </c>
      <c r="D8723" s="1736"/>
      <c r="E8723" s="1043">
        <v>13.43</v>
      </c>
      <c r="F8723" s="1043"/>
      <c r="G8723" s="1550"/>
    </row>
    <row r="8724" spans="1:7" ht="12.75" customHeight="1">
      <c r="A8724" s="1754">
        <v>45695</v>
      </c>
      <c r="B8724" s="116" t="str">
        <f>TiposLancamentos!B13</f>
        <v>Moradia</v>
      </c>
      <c r="C8724" s="1740" t="s">
        <v>9420</v>
      </c>
      <c r="D8724" s="1736"/>
      <c r="E8724" s="1043">
        <v>17</v>
      </c>
      <c r="F8724" s="1043"/>
      <c r="G8724" s="1550"/>
    </row>
    <row r="8725" spans="1:7" ht="12.75" customHeight="1">
      <c r="A8725" s="1666">
        <v>45698</v>
      </c>
      <c r="B8725" s="817" t="str">
        <f>TiposLancamentos!B37</f>
        <v>Playstation 3</v>
      </c>
      <c r="C8725" s="1742" t="s">
        <v>9421</v>
      </c>
      <c r="D8725" s="1735"/>
      <c r="E8725" s="1733">
        <v>100</v>
      </c>
      <c r="F8725" s="1290"/>
      <c r="G8725" s="1550"/>
    </row>
    <row r="8726" spans="1:7" ht="12.75" customHeight="1">
      <c r="A8726" s="1750">
        <v>45698</v>
      </c>
      <c r="B8726" s="818" t="str">
        <f>TiposLancamentos!B60</f>
        <v>Correio</v>
      </c>
      <c r="C8726" s="1743" t="s">
        <v>9422</v>
      </c>
      <c r="D8726" s="1737"/>
      <c r="E8726" s="1668">
        <v>40</v>
      </c>
      <c r="F8726" s="1291">
        <f>SUM(E8725:E8726)</f>
        <v>140</v>
      </c>
      <c r="G8726" s="1550"/>
    </row>
    <row r="8727" spans="1:7" ht="12.75" customHeight="1">
      <c r="A8727" s="1754"/>
      <c r="B8727" s="116"/>
      <c r="C8727" s="1740" t="s">
        <v>9423</v>
      </c>
      <c r="D8727" s="1736"/>
      <c r="E8727" s="1043"/>
      <c r="F8727" s="1043"/>
      <c r="G8727" s="1550"/>
    </row>
    <row r="8728" spans="1:7" ht="12.75" customHeight="1">
      <c r="A8728" s="1754">
        <v>45700</v>
      </c>
      <c r="B8728" s="116" t="str">
        <f>TiposLancamentos!B102</f>
        <v>ESTORNO</v>
      </c>
      <c r="C8728" s="1740" t="s">
        <v>9421</v>
      </c>
      <c r="D8728" s="1736">
        <v>50</v>
      </c>
      <c r="E8728" s="1043"/>
      <c r="F8728" s="1043"/>
      <c r="G8728" s="1550"/>
    </row>
    <row r="8729" spans="1:7" ht="12.75" customHeight="1">
      <c r="A8729" s="1754">
        <v>45701</v>
      </c>
      <c r="B8729" s="116" t="str">
        <f>TiposLancamentos!B46</f>
        <v>Maçonaria</v>
      </c>
      <c r="C8729" s="1740" t="s">
        <v>9424</v>
      </c>
      <c r="D8729" s="1736"/>
      <c r="E8729" s="1043">
        <v>210</v>
      </c>
      <c r="F8729" s="1043"/>
      <c r="G8729" s="1550"/>
    </row>
    <row r="8730" spans="1:7" ht="12.75" customHeight="1">
      <c r="A8730" s="1754">
        <v>45702</v>
      </c>
      <c r="B8730" s="116" t="str">
        <f>TiposLancamentos!B19</f>
        <v>Restaurantes</v>
      </c>
      <c r="C8730" s="1740" t="s">
        <v>9425</v>
      </c>
      <c r="D8730" s="1736"/>
      <c r="E8730" s="1043">
        <v>56</v>
      </c>
      <c r="F8730" s="1043"/>
      <c r="G8730" s="1550"/>
    </row>
    <row r="8731" spans="1:7" ht="12.75" customHeight="1">
      <c r="A8731" s="1754">
        <v>45702</v>
      </c>
      <c r="B8731" s="116" t="str">
        <f>TiposLancamentos!B13</f>
        <v>Moradia</v>
      </c>
      <c r="C8731" s="1740" t="s">
        <v>8733</v>
      </c>
      <c r="D8731" s="1736"/>
      <c r="E8731" s="1043">
        <v>17</v>
      </c>
      <c r="F8731" s="1043"/>
      <c r="G8731" s="1550"/>
    </row>
    <row r="8732" spans="1:7" ht="12.75" customHeight="1">
      <c r="A8732" s="1754">
        <v>45705</v>
      </c>
      <c r="B8732" s="116" t="str">
        <f>TiposLancamentos!B2</f>
        <v>Telefonia</v>
      </c>
      <c r="C8732" s="1770" t="s">
        <v>9426</v>
      </c>
      <c r="D8732" s="1736"/>
      <c r="E8732" s="1043">
        <v>71.44</v>
      </c>
      <c r="F8732" s="1043"/>
      <c r="G8732" s="1550"/>
    </row>
    <row r="8733" spans="1:7" ht="12.75" customHeight="1">
      <c r="A8733" s="1754">
        <v>45705</v>
      </c>
      <c r="B8733" s="116" t="str">
        <f>TiposLancamentos!B88</f>
        <v>Ford Ecosport XLT</v>
      </c>
      <c r="C8733" s="1740" t="s">
        <v>9427</v>
      </c>
      <c r="D8733" s="1736"/>
      <c r="E8733" s="1043">
        <v>235.37</v>
      </c>
      <c r="F8733" s="1043">
        <v>1141.57</v>
      </c>
      <c r="G8733" s="1550"/>
    </row>
    <row r="8734" spans="1:7" ht="12.75" customHeight="1">
      <c r="A8734" s="1754">
        <v>45705</v>
      </c>
      <c r="B8734" s="116"/>
      <c r="C8734" s="1040" t="s">
        <v>1868</v>
      </c>
      <c r="D8734" s="1736">
        <v>0</v>
      </c>
      <c r="E8734" s="1043"/>
      <c r="F8734" s="1664"/>
      <c r="G8734" s="1550"/>
    </row>
    <row r="8735" spans="1:7" ht="12.75" customHeight="1">
      <c r="A8735" s="1666">
        <v>45705</v>
      </c>
      <c r="B8735" s="817" t="str">
        <f>TiposLancamentos!B35</f>
        <v>Tv à Cabo</v>
      </c>
      <c r="C8735" s="1742" t="s">
        <v>5834</v>
      </c>
      <c r="D8735" s="1735"/>
      <c r="E8735" s="1733">
        <f>F8737-(E8736+E8737)</f>
        <v>139.79999999999998</v>
      </c>
      <c r="F8735" s="1290"/>
      <c r="G8735" s="1550"/>
    </row>
    <row r="8736" spans="1:7" ht="12.75" customHeight="1">
      <c r="A8736" s="1868">
        <v>45705</v>
      </c>
      <c r="B8736" s="816" t="str">
        <f>TiposLancamentos!B3</f>
        <v>Internet</v>
      </c>
      <c r="C8736" s="1769" t="s">
        <v>5835</v>
      </c>
      <c r="D8736" s="1736"/>
      <c r="E8736" s="1734">
        <v>119.9</v>
      </c>
      <c r="F8736" s="1043"/>
      <c r="G8736" s="1550"/>
    </row>
    <row r="8737" spans="1:7" ht="12.75" customHeight="1">
      <c r="A8737" s="1750">
        <v>45705</v>
      </c>
      <c r="B8737" s="818" t="str">
        <f>TiposLancamentos!B2</f>
        <v>Telefonia</v>
      </c>
      <c r="C8737" s="1743" t="s">
        <v>7210</v>
      </c>
      <c r="D8737" s="1737"/>
      <c r="E8737" s="1668">
        <v>0</v>
      </c>
      <c r="F8737" s="1291">
        <v>259.7</v>
      </c>
      <c r="G8737" s="1550"/>
    </row>
    <row r="8738" spans="1:7" ht="12.75" customHeight="1">
      <c r="A8738" s="1754">
        <v>45705</v>
      </c>
      <c r="B8738" s="116"/>
      <c r="C8738" s="1740" t="s">
        <v>1868</v>
      </c>
      <c r="D8738" s="1736">
        <v>0</v>
      </c>
      <c r="E8738" s="1043"/>
      <c r="F8738" s="1043"/>
      <c r="G8738" s="1550"/>
    </row>
    <row r="8739" spans="1:7" ht="12.75" customHeight="1">
      <c r="A8739" s="1754">
        <v>45707</v>
      </c>
      <c r="B8739" s="116" t="str">
        <f>TiposLancamentos!B52</f>
        <v>Multas</v>
      </c>
      <c r="C8739" s="1740" t="s">
        <v>9428</v>
      </c>
      <c r="D8739" s="1736"/>
      <c r="E8739" s="1043">
        <v>296.39999999999998</v>
      </c>
      <c r="F8739" s="1027">
        <v>234.77</v>
      </c>
      <c r="G8739" s="1550"/>
    </row>
    <row r="8740" spans="1:7" ht="12.75" customHeight="1">
      <c r="A8740" s="1754"/>
      <c r="B8740" s="116"/>
      <c r="C8740" s="1740" t="s">
        <v>1868</v>
      </c>
      <c r="D8740" s="1736"/>
      <c r="E8740" s="1043"/>
      <c r="F8740" s="1027"/>
      <c r="G8740" s="1550"/>
    </row>
    <row r="8741" spans="1:7" ht="12.75" customHeight="1">
      <c r="A8741" s="1666">
        <v>45708</v>
      </c>
      <c r="B8741" s="1862" t="str">
        <f>TiposLancamentos!B8</f>
        <v>Aluguel</v>
      </c>
      <c r="C8741" s="1744" t="s">
        <v>9047</v>
      </c>
      <c r="D8741" s="1735"/>
      <c r="E8741" s="1733">
        <f>F8747-SUM(E8742:E8747)</f>
        <v>1738.4700000000003</v>
      </c>
      <c r="F8741" s="1613"/>
      <c r="G8741" s="1550"/>
    </row>
    <row r="8742" spans="1:7" ht="12.75" customHeight="1">
      <c r="A8742" s="1667">
        <v>45708</v>
      </c>
      <c r="B8742" s="1864" t="str">
        <f>TiposLancamentos!B9</f>
        <v>Condominio</v>
      </c>
      <c r="C8742" s="1745" t="s">
        <v>9429</v>
      </c>
      <c r="D8742" s="1736"/>
      <c r="E8742" s="1734">
        <v>775.36</v>
      </c>
      <c r="F8742" s="1656"/>
      <c r="G8742" s="1550"/>
    </row>
    <row r="8743" spans="1:7" ht="12.75" customHeight="1">
      <c r="A8743" s="1667">
        <v>45708</v>
      </c>
      <c r="B8743" s="1864" t="str">
        <f>TiposLancamentos!B10</f>
        <v>Distr. Água Municipal</v>
      </c>
      <c r="C8743" s="1745" t="s">
        <v>7423</v>
      </c>
      <c r="D8743" s="1736"/>
      <c r="E8743" s="1734">
        <v>75.92</v>
      </c>
      <c r="F8743" s="1656"/>
      <c r="G8743" s="1550"/>
    </row>
    <row r="8744" spans="1:7" ht="12.75" customHeight="1">
      <c r="A8744" s="1667">
        <v>45708</v>
      </c>
      <c r="B8744" s="1864" t="str">
        <f>TiposLancamentos!B11</f>
        <v>Coleta Municipal Lixo</v>
      </c>
      <c r="C8744" s="1745" t="s">
        <v>7424</v>
      </c>
      <c r="D8744" s="1736"/>
      <c r="E8744" s="1734">
        <v>67.23</v>
      </c>
      <c r="F8744" s="1656"/>
      <c r="G8744" s="1550"/>
    </row>
    <row r="8745" spans="1:7" ht="12.75" customHeight="1">
      <c r="A8745" s="1667">
        <v>45708</v>
      </c>
      <c r="B8745" s="1864" t="str">
        <f>TiposLancamentos!B12</f>
        <v>IPTU</v>
      </c>
      <c r="C8745" s="1745" t="s">
        <v>9048</v>
      </c>
      <c r="D8745" s="1736"/>
      <c r="E8745" s="1734">
        <v>65.92</v>
      </c>
      <c r="F8745" s="1656"/>
      <c r="G8745" s="1550"/>
    </row>
    <row r="8746" spans="1:7" ht="12.75" customHeight="1">
      <c r="A8746" s="1667">
        <v>45708</v>
      </c>
      <c r="B8746" s="1864" t="str">
        <f>TiposLancamentos!B8</f>
        <v>Aluguel</v>
      </c>
      <c r="C8746" s="1745" t="s">
        <v>8955</v>
      </c>
      <c r="D8746" s="1736"/>
      <c r="E8746" s="1734">
        <v>8</v>
      </c>
      <c r="F8746" s="1656"/>
      <c r="G8746" s="1550"/>
    </row>
    <row r="8747" spans="1:7" ht="12.75" customHeight="1">
      <c r="A8747" s="1750">
        <v>45708</v>
      </c>
      <c r="B8747" s="1863" t="str">
        <f>TiposLancamentos!B34</f>
        <v>Seguros</v>
      </c>
      <c r="C8747" s="1746" t="s">
        <v>9262</v>
      </c>
      <c r="D8747" s="1737"/>
      <c r="E8747" s="1668">
        <v>0</v>
      </c>
      <c r="F8747" s="1518">
        <v>2730.9</v>
      </c>
      <c r="G8747" s="1550"/>
    </row>
    <row r="8748" spans="1:7" ht="12.75" customHeight="1">
      <c r="A8748" s="1754"/>
      <c r="B8748" s="125"/>
      <c r="C8748" s="1040" t="s">
        <v>1868</v>
      </c>
      <c r="D8748" s="1736"/>
      <c r="E8748" s="1043"/>
      <c r="F8748" s="1656"/>
      <c r="G8748" s="1550"/>
    </row>
    <row r="8749" spans="1:7" ht="12.75" customHeight="1">
      <c r="A8749" s="1754">
        <v>45709</v>
      </c>
      <c r="B8749" s="116" t="str">
        <f>TiposLancamentos!B7</f>
        <v>Apto. Proprio 01</v>
      </c>
      <c r="C8749" s="1040" t="s">
        <v>9430</v>
      </c>
      <c r="D8749" s="1736"/>
      <c r="E8749" s="1043">
        <v>10000</v>
      </c>
      <c r="F8749" s="1043"/>
      <c r="G8749" s="1550"/>
    </row>
    <row r="8750" spans="1:7" ht="12.75" customHeight="1">
      <c r="A8750" s="1754">
        <v>45709</v>
      </c>
      <c r="B8750" s="116" t="str">
        <f>TiposLancamentos!B6</f>
        <v>Energia Eletrica</v>
      </c>
      <c r="C8750" s="1040" t="s">
        <v>9431</v>
      </c>
      <c r="D8750" s="1736"/>
      <c r="E8750" s="1043">
        <v>270.31</v>
      </c>
      <c r="F8750" s="1043"/>
      <c r="G8750" s="1550"/>
    </row>
    <row r="8751" spans="1:7" ht="12.75" customHeight="1">
      <c r="A8751" s="1754">
        <v>45710</v>
      </c>
      <c r="B8751" s="116" t="str">
        <f>TiposLancamentos!B37</f>
        <v>Playstation 3</v>
      </c>
      <c r="C8751" s="1040" t="s">
        <v>9432</v>
      </c>
      <c r="D8751" s="1736"/>
      <c r="E8751" s="1043">
        <v>230</v>
      </c>
      <c r="F8751" s="1043"/>
      <c r="G8751" s="1550"/>
    </row>
    <row r="8752" spans="1:7" ht="12.75" customHeight="1">
      <c r="A8752" s="1754">
        <v>45711</v>
      </c>
      <c r="B8752" s="116" t="str">
        <f>TiposLancamentos!B37</f>
        <v>Playstation 3</v>
      </c>
      <c r="C8752" s="1040" t="s">
        <v>9433</v>
      </c>
      <c r="D8752" s="1736"/>
      <c r="E8752" s="1043">
        <v>70</v>
      </c>
      <c r="F8752" s="1043"/>
      <c r="G8752" s="1550"/>
    </row>
    <row r="8753" spans="1:7" ht="12.75" customHeight="1">
      <c r="A8753" s="1754">
        <v>45712</v>
      </c>
      <c r="B8753" s="116" t="str">
        <f>TiposLancamentos!B24</f>
        <v>Estacionamentos</v>
      </c>
      <c r="C8753" s="1040" t="s">
        <v>9414</v>
      </c>
      <c r="D8753" s="1736"/>
      <c r="E8753" s="1043">
        <v>10</v>
      </c>
      <c r="F8753" s="1043"/>
      <c r="G8753" s="1550"/>
    </row>
    <row r="8754" spans="1:7" ht="12.75" customHeight="1">
      <c r="A8754" s="1754">
        <v>45716</v>
      </c>
      <c r="B8754" s="116" t="str">
        <f>TiposLancamentos!B105</f>
        <v>Transf. Bco</v>
      </c>
      <c r="C8754" s="1040" t="s">
        <v>9434</v>
      </c>
      <c r="D8754" s="1736"/>
      <c r="E8754" s="1043">
        <v>308.5</v>
      </c>
      <c r="F8754" s="1043"/>
      <c r="G8754" s="1550"/>
    </row>
    <row r="8755" spans="1:7" ht="12.75" customHeight="1" thickBot="1">
      <c r="A8755" s="1757">
        <v>45716</v>
      </c>
      <c r="B8755" s="1079" t="str">
        <f>TiposLancamentos!B13</f>
        <v>Moradia</v>
      </c>
      <c r="C8755" s="1711" t="s">
        <v>9435</v>
      </c>
      <c r="D8755" s="1738"/>
      <c r="E8755" s="1044">
        <v>17</v>
      </c>
      <c r="F8755" s="1044"/>
      <c r="G8755" s="1551"/>
    </row>
    <row r="8756" spans="1:7" ht="12.75" customHeight="1">
      <c r="A8756" s="1834"/>
      <c r="B8756" s="977"/>
      <c r="C8756" s="1854" t="s">
        <v>1644</v>
      </c>
      <c r="D8756" s="1823"/>
      <c r="E8756" s="1821"/>
      <c r="F8756" s="1821"/>
      <c r="G8756" s="1895"/>
    </row>
    <row r="8757" spans="1:7" ht="12.75" customHeight="1">
      <c r="A8757" s="1754">
        <v>45721</v>
      </c>
      <c r="B8757" s="116" t="str">
        <f>TiposLancamentos!B15</f>
        <v>Cartões de Crédito</v>
      </c>
      <c r="C8757" s="1040" t="s">
        <v>8016</v>
      </c>
      <c r="D8757" s="1736"/>
      <c r="E8757" s="1043">
        <v>3689.24</v>
      </c>
      <c r="F8757" s="1043"/>
      <c r="G8757" s="1550"/>
    </row>
    <row r="8758" spans="1:7" ht="12.75" customHeight="1">
      <c r="A8758" s="1754">
        <v>45721</v>
      </c>
      <c r="B8758" s="116" t="str">
        <f>TiposLancamentos!B15</f>
        <v>Cartões de Crédito</v>
      </c>
      <c r="C8758" s="1770" t="s">
        <v>9361</v>
      </c>
      <c r="D8758" s="1736"/>
      <c r="E8758" s="1043">
        <v>707.78</v>
      </c>
      <c r="F8758" s="1043"/>
      <c r="G8758" s="1550"/>
    </row>
    <row r="8759" spans="1:7" ht="12.75" customHeight="1">
      <c r="A8759" s="1754">
        <v>45721</v>
      </c>
      <c r="B8759" s="116" t="str">
        <f>TiposLancamentos!B15</f>
        <v>Cartões de Crédito</v>
      </c>
      <c r="C8759" s="1770" t="s">
        <v>8252</v>
      </c>
      <c r="D8759" s="1736"/>
      <c r="E8759" s="1043">
        <v>604.13</v>
      </c>
      <c r="F8759" s="1043"/>
      <c r="G8759" s="1550"/>
    </row>
    <row r="8760" spans="1:7" ht="12.75" customHeight="1">
      <c r="A8760" s="1754">
        <v>45721</v>
      </c>
      <c r="B8760" s="116" t="str">
        <f>TiposLancamentos!B15</f>
        <v>Cartões de Crédito</v>
      </c>
      <c r="C8760" s="1770" t="s">
        <v>9360</v>
      </c>
      <c r="D8760" s="1736"/>
      <c r="E8760" s="1043">
        <v>312.24</v>
      </c>
      <c r="F8760" s="1043"/>
      <c r="G8760" s="1550"/>
    </row>
    <row r="8761" spans="1:7" ht="12.75" customHeight="1">
      <c r="A8761" s="1754">
        <v>45721</v>
      </c>
      <c r="B8761" s="116" t="str">
        <f>TiposLancamentos!B15</f>
        <v>Cartões de Crédito</v>
      </c>
      <c r="C8761" s="1770" t="s">
        <v>9174</v>
      </c>
      <c r="D8761" s="1736"/>
      <c r="E8761" s="1043">
        <v>83.69</v>
      </c>
      <c r="F8761" s="1043"/>
      <c r="G8761" s="1550"/>
    </row>
    <row r="8762" spans="1:7" ht="12.75" customHeight="1">
      <c r="A8762" s="1754">
        <v>45721</v>
      </c>
      <c r="B8762" s="116" t="str">
        <f>TiposLancamentos!B15</f>
        <v>Cartões de Crédito</v>
      </c>
      <c r="C8762" s="1040" t="s">
        <v>9175</v>
      </c>
      <c r="D8762" s="1736"/>
      <c r="E8762" s="1043">
        <v>50</v>
      </c>
      <c r="F8762" s="1043"/>
      <c r="G8762" s="1550"/>
    </row>
    <row r="8763" spans="1:7" ht="12.75" customHeight="1">
      <c r="A8763" s="1754">
        <v>45721</v>
      </c>
      <c r="B8763" s="116" t="str">
        <f>TiposLancamentos!B14</f>
        <v>Gás de cozinha</v>
      </c>
      <c r="C8763" s="1770" t="s">
        <v>9132</v>
      </c>
      <c r="D8763" s="1736"/>
      <c r="E8763" s="1043">
        <v>62.33</v>
      </c>
      <c r="F8763" s="1043"/>
      <c r="G8763" s="1550"/>
    </row>
    <row r="8764" spans="1:7" ht="12.75" customHeight="1">
      <c r="A8764" s="1754">
        <v>45721</v>
      </c>
      <c r="B8764" s="116" t="str">
        <f>TiposLancamentos!B4</f>
        <v>Taxas Bancarias</v>
      </c>
      <c r="C8764" s="1040" t="s">
        <v>9436</v>
      </c>
      <c r="D8764" s="1736"/>
      <c r="E8764" s="1043">
        <v>1005.52</v>
      </c>
      <c r="F8764" s="1043"/>
      <c r="G8764" s="1550"/>
    </row>
    <row r="8765" spans="1:7" ht="12.75" customHeight="1">
      <c r="A8765" s="1754">
        <v>45722</v>
      </c>
      <c r="B8765" s="116" t="str">
        <f>TiposLancamentos!B4</f>
        <v>Taxas Bancarias</v>
      </c>
      <c r="C8765" s="1040" t="s">
        <v>4858</v>
      </c>
      <c r="D8765" s="1736"/>
      <c r="E8765" s="1043">
        <v>110.01</v>
      </c>
      <c r="F8765" s="1043"/>
      <c r="G8765" s="1550"/>
    </row>
    <row r="8766" spans="1:7" ht="12.75" customHeight="1">
      <c r="A8766" s="1754">
        <v>45722</v>
      </c>
      <c r="B8766" s="116" t="str">
        <f>TiposLancamentos!B4</f>
        <v>Taxas Bancarias</v>
      </c>
      <c r="C8766" s="1040" t="s">
        <v>9437</v>
      </c>
      <c r="D8766" s="1736"/>
      <c r="E8766" s="1043">
        <v>58.66</v>
      </c>
      <c r="F8766" s="1043"/>
      <c r="G8766" s="1550"/>
    </row>
    <row r="8767" spans="1:7" ht="12.75" customHeight="1">
      <c r="A8767" s="1754">
        <v>45733</v>
      </c>
      <c r="B8767" s="116"/>
      <c r="C8767" s="1040" t="s">
        <v>1868</v>
      </c>
      <c r="D8767" s="1736">
        <v>0</v>
      </c>
      <c r="E8767" s="1043"/>
      <c r="F8767" s="1664"/>
      <c r="G8767" s="1550"/>
    </row>
    <row r="8768" spans="1:7" ht="12.75" customHeight="1">
      <c r="A8768" s="1666">
        <v>45733</v>
      </c>
      <c r="B8768" s="817" t="str">
        <f>TiposLancamentos!B35</f>
        <v>Tv à Cabo</v>
      </c>
      <c r="C8768" s="1742" t="s">
        <v>5834</v>
      </c>
      <c r="D8768" s="1735"/>
      <c r="E8768" s="1733">
        <f>F8770-(E8769+E8770)</f>
        <v>139.79999999999998</v>
      </c>
      <c r="F8768" s="1290"/>
      <c r="G8768" s="1550"/>
    </row>
    <row r="8769" spans="1:7" ht="12.75" customHeight="1">
      <c r="A8769" s="1868">
        <v>45733</v>
      </c>
      <c r="B8769" s="816" t="str">
        <f>TiposLancamentos!B3</f>
        <v>Internet</v>
      </c>
      <c r="C8769" s="1769" t="s">
        <v>5835</v>
      </c>
      <c r="D8769" s="1736"/>
      <c r="E8769" s="1734">
        <v>119.9</v>
      </c>
      <c r="F8769" s="1043"/>
      <c r="G8769" s="1550"/>
    </row>
    <row r="8770" spans="1:7" ht="12.75" customHeight="1">
      <c r="A8770" s="1750">
        <v>45733</v>
      </c>
      <c r="B8770" s="818" t="str">
        <f>TiposLancamentos!B2</f>
        <v>Telefonia</v>
      </c>
      <c r="C8770" s="1743" t="s">
        <v>7210</v>
      </c>
      <c r="D8770" s="1737"/>
      <c r="E8770" s="1668">
        <v>0</v>
      </c>
      <c r="F8770" s="1291">
        <v>259.7</v>
      </c>
      <c r="G8770" s="1550"/>
    </row>
    <row r="8771" spans="1:7" ht="12.75" customHeight="1">
      <c r="A8771" s="1754">
        <v>45733</v>
      </c>
      <c r="B8771" s="116"/>
      <c r="C8771" s="1740" t="s">
        <v>1868</v>
      </c>
      <c r="D8771" s="1736">
        <v>0</v>
      </c>
      <c r="E8771" s="1043"/>
      <c r="F8771" s="1043"/>
      <c r="G8771" s="1550"/>
    </row>
    <row r="8772" spans="1:7" ht="12.75" customHeight="1" thickBot="1">
      <c r="A8772" s="1754">
        <v>45747</v>
      </c>
      <c r="B8772" s="116" t="str">
        <f>TiposLancamentos!B95</f>
        <v>Salarios</v>
      </c>
      <c r="C8772" s="1740" t="s">
        <v>9438</v>
      </c>
      <c r="D8772" s="1736">
        <v>16376.85</v>
      </c>
      <c r="E8772" s="1043"/>
      <c r="F8772" s="1043"/>
      <c r="G8772" s="1550"/>
    </row>
    <row r="8773" spans="1:7" ht="12.75" customHeight="1">
      <c r="A8773" s="1834"/>
      <c r="B8773" s="977"/>
      <c r="C8773" s="1854" t="s">
        <v>1645</v>
      </c>
      <c r="D8773" s="1823"/>
      <c r="E8773" s="1821"/>
      <c r="F8773" s="1821"/>
      <c r="G8773" s="1895"/>
    </row>
    <row r="8774" spans="1:7" ht="12.75" customHeight="1">
      <c r="A8774" s="1754">
        <v>45749</v>
      </c>
      <c r="B8774" s="116" t="str">
        <f>TiposLancamentos!B4</f>
        <v>Taxas Bancarias</v>
      </c>
      <c r="C8774" s="1740" t="s">
        <v>4858</v>
      </c>
      <c r="D8774" s="1736"/>
      <c r="E8774" s="1043">
        <v>96.44</v>
      </c>
      <c r="F8774" s="1043"/>
      <c r="G8774" s="1550"/>
    </row>
    <row r="8775" spans="1:7" ht="12.75" customHeight="1">
      <c r="A8775" s="1754">
        <v>45755</v>
      </c>
      <c r="B8775" s="116" t="s">
        <v>1674</v>
      </c>
      <c r="C8775" s="1740" t="s">
        <v>8778</v>
      </c>
      <c r="D8775" s="1736"/>
      <c r="E8775" s="1043">
        <v>2035.36</v>
      </c>
      <c r="F8775" s="1043"/>
      <c r="G8775" s="1550"/>
    </row>
    <row r="8776" spans="1:7" ht="12.75" customHeight="1">
      <c r="A8776" s="1754">
        <v>45756</v>
      </c>
      <c r="B8776" s="116" t="str">
        <f>TiposLancamentos!B105</f>
        <v>Transf. Bco</v>
      </c>
      <c r="C8776" s="1740" t="s">
        <v>9408</v>
      </c>
      <c r="D8776" s="1736">
        <v>12197.95</v>
      </c>
      <c r="E8776" s="1043"/>
      <c r="F8776" s="1043"/>
      <c r="G8776" s="1550"/>
    </row>
    <row r="8777" spans="1:7" ht="12.75" customHeight="1">
      <c r="A8777" s="1754">
        <v>45756</v>
      </c>
      <c r="B8777" s="116" t="str">
        <f>TiposLancamentos!B105</f>
        <v>Transf. Bco</v>
      </c>
      <c r="C8777" s="1740" t="s">
        <v>9439</v>
      </c>
      <c r="D8777" s="1736">
        <v>861.1</v>
      </c>
      <c r="E8777" s="1043"/>
      <c r="F8777" s="1043"/>
      <c r="G8777" s="1550"/>
    </row>
    <row r="8778" spans="1:7" ht="12.75" customHeight="1">
      <c r="A8778" s="1754">
        <v>45756</v>
      </c>
      <c r="B8778" s="116" t="str">
        <f>TiposLancamentos!B105</f>
        <v>Transf. Bco</v>
      </c>
      <c r="C8778" s="1740" t="s">
        <v>9440</v>
      </c>
      <c r="D8778" s="1736">
        <v>3750</v>
      </c>
      <c r="E8778" s="1043"/>
      <c r="F8778" s="1043"/>
      <c r="G8778" s="1550"/>
    </row>
    <row r="8779" spans="1:7" ht="12.75" customHeight="1">
      <c r="A8779" s="1754">
        <v>45756</v>
      </c>
      <c r="B8779" s="116" t="str">
        <f>TiposLancamentos!B7</f>
        <v>Apto. Proprio 01</v>
      </c>
      <c r="C8779" s="1740" t="s">
        <v>9441</v>
      </c>
      <c r="D8779" s="1736"/>
      <c r="E8779" s="1043">
        <v>1013.38</v>
      </c>
      <c r="F8779" s="1043"/>
      <c r="G8779" s="1550"/>
    </row>
    <row r="8780" spans="1:7" ht="12.75" customHeight="1">
      <c r="A8780" s="1754">
        <v>45756</v>
      </c>
      <c r="B8780" s="116" t="str">
        <f>TiposLancamentos!B105</f>
        <v>Transf. Bco</v>
      </c>
      <c r="C8780" s="1740" t="s">
        <v>9442</v>
      </c>
      <c r="D8780" s="1736"/>
      <c r="E8780" s="1043">
        <v>100</v>
      </c>
      <c r="F8780" s="1043"/>
      <c r="G8780" s="1550"/>
    </row>
    <row r="8781" spans="1:7" ht="12.75" customHeight="1">
      <c r="A8781" s="1754">
        <v>45757</v>
      </c>
      <c r="B8781" s="116" t="str">
        <f>TiposLancamentos!B7</f>
        <v>Apto. Proprio 01</v>
      </c>
      <c r="C8781" s="1740" t="s">
        <v>9443</v>
      </c>
      <c r="D8781" s="1736"/>
      <c r="E8781" s="1043">
        <v>2900.51</v>
      </c>
      <c r="F8781" s="1043"/>
      <c r="G8781" s="1550"/>
    </row>
    <row r="8782" spans="1:7" ht="12.75" customHeight="1">
      <c r="A8782" s="1754">
        <v>45757</v>
      </c>
      <c r="B8782" s="116" t="str">
        <f>TiposLancamentos!B105</f>
        <v>Transf. Bco</v>
      </c>
      <c r="C8782" s="1740" t="s">
        <v>9444</v>
      </c>
      <c r="D8782" s="1736">
        <v>7930.63</v>
      </c>
      <c r="E8782" s="1043"/>
      <c r="F8782" s="1043"/>
      <c r="G8782" s="1550"/>
    </row>
    <row r="8783" spans="1:7" ht="12.75" customHeight="1">
      <c r="A8783" s="1754">
        <v>45758</v>
      </c>
      <c r="B8783" s="116" t="str">
        <f>TiposLancamentos!B13</f>
        <v>Moradia</v>
      </c>
      <c r="C8783" s="1740" t="s">
        <v>8061</v>
      </c>
      <c r="D8783" s="1736"/>
      <c r="E8783" s="1043">
        <v>17</v>
      </c>
      <c r="F8783" s="1043"/>
      <c r="G8783" s="1550"/>
    </row>
    <row r="8784" spans="1:7" ht="12.75" customHeight="1">
      <c r="A8784" s="1754">
        <v>45758</v>
      </c>
      <c r="B8784" s="116" t="str">
        <f>TiposLancamentos!B5</f>
        <v>Supermercado</v>
      </c>
      <c r="C8784" s="1740" t="s">
        <v>1884</v>
      </c>
      <c r="D8784" s="1736"/>
      <c r="E8784" s="1043">
        <v>17.27</v>
      </c>
      <c r="F8784" s="1043"/>
      <c r="G8784" s="1550"/>
    </row>
    <row r="8785" spans="1:7" ht="12.75" customHeight="1">
      <c r="A8785" s="1754">
        <v>45759</v>
      </c>
      <c r="B8785" s="116" t="str">
        <f>TiposLancamentos!B32</f>
        <v>Clinicas e tratamentos</v>
      </c>
      <c r="C8785" s="1740" t="s">
        <v>9445</v>
      </c>
      <c r="D8785" s="1736"/>
      <c r="E8785" s="1043">
        <v>120</v>
      </c>
      <c r="F8785" s="1043"/>
      <c r="G8785" s="1550"/>
    </row>
    <row r="8786" spans="1:7" ht="12.75" customHeight="1">
      <c r="A8786" s="1754">
        <v>45759</v>
      </c>
      <c r="B8786" s="116" t="str">
        <f>TiposLancamentos!B19</f>
        <v>Restaurantes</v>
      </c>
      <c r="C8786" s="1740" t="s">
        <v>9446</v>
      </c>
      <c r="D8786" s="1736"/>
      <c r="E8786" s="1043">
        <v>47.5</v>
      </c>
      <c r="F8786" s="1043"/>
      <c r="G8786" s="1550"/>
    </row>
    <row r="8787" spans="1:7" ht="12.75" customHeight="1">
      <c r="A8787" s="1754">
        <v>45760</v>
      </c>
      <c r="B8787" s="116" t="str">
        <f>TiposLancamentos!B5</f>
        <v>Supermercado</v>
      </c>
      <c r="C8787" s="1740" t="s">
        <v>2153</v>
      </c>
      <c r="D8787" s="1736"/>
      <c r="E8787" s="1043">
        <v>8.1999999999999993</v>
      </c>
      <c r="F8787" s="1043"/>
      <c r="G8787" s="1550"/>
    </row>
    <row r="8788" spans="1:7" ht="12.75" customHeight="1">
      <c r="A8788" s="1754">
        <v>45760</v>
      </c>
      <c r="B8788" s="116" t="str">
        <f>TiposLancamentos!B19</f>
        <v>Restaurantes</v>
      </c>
      <c r="C8788" s="1740" t="s">
        <v>9447</v>
      </c>
      <c r="D8788" s="1736"/>
      <c r="E8788" s="1043">
        <v>53.7</v>
      </c>
      <c r="F8788" s="1043"/>
      <c r="G8788" s="1550"/>
    </row>
    <row r="8789" spans="1:7" ht="12.75" customHeight="1">
      <c r="A8789" s="1754">
        <v>45761</v>
      </c>
      <c r="B8789" s="116" t="str">
        <f>TiposLancamentos!B46</f>
        <v>Maçonaria</v>
      </c>
      <c r="C8789" s="1740" t="s">
        <v>9448</v>
      </c>
      <c r="D8789" s="1736"/>
      <c r="E8789" s="1043">
        <v>210</v>
      </c>
      <c r="F8789" s="1043"/>
      <c r="G8789" s="1550"/>
    </row>
    <row r="8790" spans="1:7" ht="12.75" customHeight="1">
      <c r="A8790" s="1754">
        <v>45761</v>
      </c>
      <c r="B8790" s="116" t="str">
        <f>TiposLancamentos!B5</f>
        <v>Supermercado</v>
      </c>
      <c r="C8790" s="1740" t="s">
        <v>9449</v>
      </c>
      <c r="D8790" s="1736"/>
      <c r="E8790" s="1043">
        <v>175.53</v>
      </c>
      <c r="F8790" s="1043"/>
      <c r="G8790" s="1550"/>
    </row>
    <row r="8791" spans="1:7" ht="12.75" customHeight="1">
      <c r="A8791" s="1754">
        <v>45761</v>
      </c>
      <c r="B8791" s="116" t="str">
        <f>TiposLancamentos!B103</f>
        <v>Juros_Corr. Poupança</v>
      </c>
      <c r="C8791" s="1740" t="s">
        <v>9450</v>
      </c>
      <c r="D8791" s="1736">
        <v>0.01</v>
      </c>
      <c r="E8791" s="1043"/>
      <c r="F8791" s="1043"/>
      <c r="G8791" s="1550"/>
    </row>
    <row r="8792" spans="1:7" ht="12.75" customHeight="1">
      <c r="A8792" s="1754">
        <v>45762</v>
      </c>
      <c r="B8792" s="116" t="str">
        <f>TiposLancamentos!B23</f>
        <v>P208 GRIFFE 1.6 AUT BUSINESS</v>
      </c>
      <c r="C8792" s="1740" t="s">
        <v>9451</v>
      </c>
      <c r="D8792" s="1736"/>
      <c r="E8792" s="1043">
        <v>600</v>
      </c>
      <c r="F8792" s="1043"/>
      <c r="G8792" s="1550"/>
    </row>
    <row r="8793" spans="1:7" ht="12.75" customHeight="1">
      <c r="A8793" s="1754">
        <v>45762</v>
      </c>
      <c r="B8793" s="116" t="str">
        <f>TiposLancamentos!B80</f>
        <v>Mudanças</v>
      </c>
      <c r="C8793" s="1740" t="s">
        <v>9452</v>
      </c>
      <c r="D8793" s="1736"/>
      <c r="E8793" s="1043">
        <v>200</v>
      </c>
      <c r="F8793" s="1043"/>
      <c r="G8793" s="1550"/>
    </row>
    <row r="8794" spans="1:7" ht="12.75" customHeight="1">
      <c r="A8794" s="1754">
        <v>45762</v>
      </c>
      <c r="B8794" s="116"/>
      <c r="C8794" s="1040" t="s">
        <v>1868</v>
      </c>
      <c r="D8794" s="1736">
        <v>0</v>
      </c>
      <c r="E8794" s="1043"/>
      <c r="F8794" s="1664"/>
      <c r="G8794" s="1550"/>
    </row>
    <row r="8795" spans="1:7" ht="12.75" customHeight="1">
      <c r="A8795" s="1666">
        <v>45762</v>
      </c>
      <c r="B8795" s="817" t="str">
        <f>TiposLancamentos!B35</f>
        <v>Tv à Cabo</v>
      </c>
      <c r="C8795" s="1742" t="s">
        <v>5834</v>
      </c>
      <c r="D8795" s="1735"/>
      <c r="E8795" s="1733">
        <f>F8797-(E8796+E8797)</f>
        <v>139.79999999999998</v>
      </c>
      <c r="F8795" s="1290"/>
      <c r="G8795" s="1550"/>
    </row>
    <row r="8796" spans="1:7" ht="12.75" customHeight="1">
      <c r="A8796" s="1868">
        <v>45762</v>
      </c>
      <c r="B8796" s="816" t="str">
        <f>TiposLancamentos!B3</f>
        <v>Internet</v>
      </c>
      <c r="C8796" s="1769" t="s">
        <v>5835</v>
      </c>
      <c r="D8796" s="1736"/>
      <c r="E8796" s="1734">
        <v>119.9</v>
      </c>
      <c r="F8796" s="1043"/>
      <c r="G8796" s="1550"/>
    </row>
    <row r="8797" spans="1:7" ht="12.75" customHeight="1">
      <c r="A8797" s="1750">
        <v>45762</v>
      </c>
      <c r="B8797" s="818" t="str">
        <f>TiposLancamentos!B2</f>
        <v>Telefonia</v>
      </c>
      <c r="C8797" s="1743" t="s">
        <v>7210</v>
      </c>
      <c r="D8797" s="1737"/>
      <c r="E8797" s="1668">
        <v>0</v>
      </c>
      <c r="F8797" s="1291">
        <v>259.7</v>
      </c>
      <c r="G8797" s="1550"/>
    </row>
    <row r="8798" spans="1:7" ht="12.75" customHeight="1">
      <c r="A8798" s="1754">
        <v>45762</v>
      </c>
      <c r="B8798" s="116"/>
      <c r="C8798" s="1740" t="s">
        <v>1868</v>
      </c>
      <c r="D8798" s="1736">
        <v>0</v>
      </c>
      <c r="F8798" s="1043"/>
      <c r="G8798" s="1550"/>
    </row>
    <row r="8799" spans="1:7" ht="12.75" customHeight="1">
      <c r="A8799" s="1754">
        <v>45762</v>
      </c>
      <c r="B8799" s="116" t="str">
        <f>TiposLancamentos!B2</f>
        <v>Telefonia</v>
      </c>
      <c r="C8799" s="1740" t="s">
        <v>9453</v>
      </c>
      <c r="D8799" s="1736"/>
      <c r="E8799" s="1043">
        <v>71.44</v>
      </c>
      <c r="F8799" s="1043"/>
      <c r="G8799" s="1550"/>
    </row>
    <row r="8800" spans="1:7" ht="12.75" customHeight="1">
      <c r="A8800" s="1754">
        <v>45762</v>
      </c>
      <c r="B8800" s="116" t="str">
        <f>TiposLancamentos!B22</f>
        <v>Combustivel</v>
      </c>
      <c r="C8800" s="1740" t="s">
        <v>9454</v>
      </c>
      <c r="D8800" s="1736"/>
      <c r="E8800" s="1043">
        <v>100</v>
      </c>
      <c r="F8800" s="1043"/>
      <c r="G8800" s="1550"/>
    </row>
    <row r="8801" spans="1:7" ht="12.75" customHeight="1">
      <c r="A8801" s="1754">
        <v>45762</v>
      </c>
      <c r="B8801" s="116" t="str">
        <f>TiposLancamentos!B19</f>
        <v>Restaurantes</v>
      </c>
      <c r="C8801" s="1740" t="s">
        <v>9455</v>
      </c>
      <c r="D8801" s="1736"/>
      <c r="E8801" s="1043">
        <v>37.4</v>
      </c>
      <c r="F8801" s="1043"/>
      <c r="G8801" s="1550"/>
    </row>
    <row r="8802" spans="1:7" ht="12.75" customHeight="1">
      <c r="A8802" s="1754">
        <v>45763</v>
      </c>
      <c r="B8802" s="116" t="str">
        <f>TiposLancamentos!B19</f>
        <v>Restaurantes</v>
      </c>
      <c r="C8802" s="1740" t="s">
        <v>9456</v>
      </c>
      <c r="D8802" s="1736"/>
      <c r="E8802" s="1043">
        <v>26</v>
      </c>
      <c r="F8802" s="1043"/>
      <c r="G8802" s="1550"/>
    </row>
    <row r="8803" spans="1:7" ht="12.75" customHeight="1">
      <c r="A8803" s="1754">
        <v>45763</v>
      </c>
      <c r="B8803" s="116" t="str">
        <f>TiposLancamentos!B5</f>
        <v>Supermercado</v>
      </c>
      <c r="C8803" s="1740" t="s">
        <v>2153</v>
      </c>
      <c r="D8803" s="1736"/>
      <c r="E8803" s="1043">
        <v>9.68</v>
      </c>
      <c r="F8803" s="1043"/>
      <c r="G8803" s="1550"/>
    </row>
    <row r="8804" spans="1:7" ht="12.75" customHeight="1">
      <c r="A8804" s="1754">
        <v>45764</v>
      </c>
      <c r="B8804" s="116" t="str">
        <f>TiposLancamentos!B19</f>
        <v>Restaurantes</v>
      </c>
      <c r="C8804" s="1740" t="s">
        <v>9456</v>
      </c>
      <c r="D8804" s="1736"/>
      <c r="E8804" s="1043">
        <v>52</v>
      </c>
      <c r="F8804" s="1043"/>
      <c r="G8804" s="1550"/>
    </row>
    <row r="8805" spans="1:7" ht="12.75" customHeight="1">
      <c r="A8805" s="1754">
        <v>45764</v>
      </c>
      <c r="B8805" s="116" t="str">
        <f>TiposLancamentos!B5</f>
        <v>Supermercado</v>
      </c>
      <c r="C8805" s="1740" t="s">
        <v>2153</v>
      </c>
      <c r="D8805" s="1736"/>
      <c r="E8805" s="1043">
        <v>11.99</v>
      </c>
      <c r="F8805" s="1043"/>
      <c r="G8805" s="1550"/>
    </row>
    <row r="8806" spans="1:7" ht="12.75" customHeight="1">
      <c r="A8806" s="1754">
        <v>45766</v>
      </c>
      <c r="B8806" s="116" t="str">
        <f>TiposLancamentos!B19</f>
        <v>Restaurantes</v>
      </c>
      <c r="C8806" s="1740" t="s">
        <v>9457</v>
      </c>
      <c r="D8806" s="1736"/>
      <c r="E8806" s="1043">
        <v>118.7</v>
      </c>
      <c r="F8806" s="1043"/>
      <c r="G8806" s="1550"/>
    </row>
    <row r="8807" spans="1:7" ht="12.75" customHeight="1">
      <c r="A8807" s="1754">
        <v>45766</v>
      </c>
      <c r="B8807" s="116" t="str">
        <f>TiposLancamentos!B19</f>
        <v>Restaurantes</v>
      </c>
      <c r="C8807" s="1740" t="s">
        <v>9458</v>
      </c>
      <c r="D8807" s="1736"/>
      <c r="E8807" s="1043">
        <v>27</v>
      </c>
      <c r="F8807" s="1043"/>
      <c r="G8807" s="1550"/>
    </row>
    <row r="8808" spans="1:7" ht="12.75" customHeight="1">
      <c r="A8808" s="1754">
        <v>45766</v>
      </c>
      <c r="B8808" s="116" t="str">
        <f>TiposLancamentos!B24</f>
        <v>Estacionamentos</v>
      </c>
      <c r="C8808" s="1740" t="s">
        <v>2014</v>
      </c>
      <c r="D8808" s="1736"/>
      <c r="E8808" s="1043">
        <v>15</v>
      </c>
      <c r="F8808" s="1043"/>
      <c r="G8808" s="1550"/>
    </row>
    <row r="8809" spans="1:7" ht="12.75" customHeight="1">
      <c r="A8809" s="1754">
        <v>45767</v>
      </c>
      <c r="B8809" s="116" t="str">
        <f>TiposLancamentos!B5</f>
        <v>Supermercado</v>
      </c>
      <c r="C8809" s="1740" t="s">
        <v>1884</v>
      </c>
      <c r="D8809" s="1736"/>
      <c r="E8809" s="1043">
        <v>7.99</v>
      </c>
      <c r="F8809" s="1043"/>
      <c r="G8809" s="1550"/>
    </row>
    <row r="8810" spans="1:7" ht="12.75" customHeight="1">
      <c r="A8810" s="1754">
        <v>45767</v>
      </c>
      <c r="B8810" s="116" t="str">
        <f>TiposLancamentos!B5</f>
        <v>Supermercado</v>
      </c>
      <c r="C8810" s="1740" t="s">
        <v>9459</v>
      </c>
      <c r="D8810" s="1736"/>
      <c r="E8810" s="1043">
        <v>49.98</v>
      </c>
      <c r="F8810" s="1043"/>
      <c r="G8810" s="1550"/>
    </row>
    <row r="8811" spans="1:7" ht="12.75" customHeight="1">
      <c r="A8811" s="1754">
        <v>45768</v>
      </c>
      <c r="B8811" s="116" t="str">
        <f>B8810</f>
        <v>Supermercado</v>
      </c>
      <c r="C8811" s="1740" t="s">
        <v>2061</v>
      </c>
      <c r="D8811" s="1736"/>
      <c r="E8811" s="1043">
        <v>170.52</v>
      </c>
      <c r="F8811" s="1043"/>
      <c r="G8811" s="1550"/>
    </row>
    <row r="8812" spans="1:7" ht="12.75" customHeight="1">
      <c r="A8812" s="1754"/>
      <c r="B8812" s="116"/>
      <c r="C8812" s="1740" t="s">
        <v>1868</v>
      </c>
      <c r="D8812" s="1736"/>
      <c r="E8812" s="1043"/>
      <c r="F8812" s="1656"/>
      <c r="G8812" s="1550"/>
    </row>
    <row r="8813" spans="1:7" ht="12.75" customHeight="1">
      <c r="A8813" s="1666">
        <v>45769</v>
      </c>
      <c r="B8813" s="1862" t="str">
        <f>TiposLancamentos!B8</f>
        <v>Aluguel</v>
      </c>
      <c r="C8813" s="1744" t="s">
        <v>9047</v>
      </c>
      <c r="D8813" s="1735"/>
      <c r="E8813" s="1733">
        <f>F8819-SUM(E8814:E8819)</f>
        <v>1738.4699999999998</v>
      </c>
      <c r="F8813" s="1613"/>
      <c r="G8813" s="1550"/>
    </row>
    <row r="8814" spans="1:7" ht="12.75" customHeight="1">
      <c r="A8814" s="1667">
        <v>45769</v>
      </c>
      <c r="B8814" s="1864" t="str">
        <f>TiposLancamentos!B9</f>
        <v>Condominio</v>
      </c>
      <c r="C8814" s="1745" t="s">
        <v>9429</v>
      </c>
      <c r="D8814" s="1736"/>
      <c r="E8814" s="1734">
        <v>850.28</v>
      </c>
      <c r="F8814" s="1656"/>
      <c r="G8814" s="1550"/>
    </row>
    <row r="8815" spans="1:7" ht="12.75" customHeight="1">
      <c r="A8815" s="1667">
        <v>45769</v>
      </c>
      <c r="B8815" s="1864" t="str">
        <f>TiposLancamentos!B10</f>
        <v>Distr. Água Municipal</v>
      </c>
      <c r="C8815" s="1745" t="s">
        <v>7423</v>
      </c>
      <c r="D8815" s="1736"/>
      <c r="E8815" s="1734">
        <v>75.92</v>
      </c>
      <c r="F8815" s="1656"/>
      <c r="G8815" s="1550"/>
    </row>
    <row r="8816" spans="1:7" ht="12.75" customHeight="1">
      <c r="A8816" s="1667">
        <v>45769</v>
      </c>
      <c r="B8816" s="1864" t="str">
        <f>TiposLancamentos!B11</f>
        <v>Coleta Municipal Lixo</v>
      </c>
      <c r="C8816" s="1745" t="s">
        <v>7424</v>
      </c>
      <c r="D8816" s="1736"/>
      <c r="E8816" s="1734">
        <v>75.319999999999993</v>
      </c>
      <c r="F8816" s="1656"/>
      <c r="G8816" s="1550"/>
    </row>
    <row r="8817" spans="1:7" ht="12.75" customHeight="1">
      <c r="A8817" s="1667">
        <v>45769</v>
      </c>
      <c r="B8817" s="1864" t="str">
        <f>TiposLancamentos!B12</f>
        <v>IPTU</v>
      </c>
      <c r="C8817" s="1745" t="s">
        <v>9048</v>
      </c>
      <c r="D8817" s="1736"/>
      <c r="E8817" s="1734">
        <v>65.92</v>
      </c>
      <c r="F8817" s="1656"/>
      <c r="G8817" s="1550"/>
    </row>
    <row r="8818" spans="1:7" ht="12.75" customHeight="1">
      <c r="A8818" s="1667">
        <v>45769</v>
      </c>
      <c r="B8818" s="1864" t="str">
        <f>TiposLancamentos!B8</f>
        <v>Aluguel</v>
      </c>
      <c r="C8818" s="1745" t="s">
        <v>8955</v>
      </c>
      <c r="D8818" s="1736"/>
      <c r="E8818" s="1734">
        <v>8</v>
      </c>
      <c r="F8818" s="1656"/>
      <c r="G8818" s="1550"/>
    </row>
    <row r="8819" spans="1:7" ht="12.75" customHeight="1">
      <c r="A8819" s="1750">
        <v>45769</v>
      </c>
      <c r="B8819" s="1863" t="str">
        <f>TiposLancamentos!B34</f>
        <v>Seguros</v>
      </c>
      <c r="C8819" s="1746" t="s">
        <v>9262</v>
      </c>
      <c r="D8819" s="1737"/>
      <c r="E8819" s="1668">
        <v>164.67</v>
      </c>
      <c r="F8819" s="1518">
        <v>2978.58</v>
      </c>
      <c r="G8819" s="1550"/>
    </row>
    <row r="8820" spans="1:7" ht="12.75" customHeight="1">
      <c r="A8820" s="1754"/>
      <c r="B8820" s="125"/>
      <c r="C8820" s="1040" t="s">
        <v>1868</v>
      </c>
      <c r="D8820" s="1736"/>
      <c r="E8820" s="1043"/>
      <c r="F8820" s="1656"/>
      <c r="G8820" s="1550"/>
    </row>
    <row r="8821" spans="1:7" ht="12.75" customHeight="1">
      <c r="A8821" s="1754">
        <v>45769</v>
      </c>
      <c r="B8821" s="116" t="str">
        <f>TiposLancamentos!B6</f>
        <v>Energia Eletrica</v>
      </c>
      <c r="C8821" s="1740" t="s">
        <v>9460</v>
      </c>
      <c r="D8821" s="1736"/>
      <c r="E8821" s="1043">
        <v>203.47</v>
      </c>
      <c r="F8821" s="1043"/>
      <c r="G8821" s="1550"/>
    </row>
    <row r="8822" spans="1:7" ht="12.75" customHeight="1">
      <c r="A8822" s="1754">
        <v>45769</v>
      </c>
      <c r="B8822" s="116" t="str">
        <f>TiposLancamentos!B103</f>
        <v>Juros_Corr. Poupança</v>
      </c>
      <c r="C8822" s="1740" t="s">
        <v>9450</v>
      </c>
      <c r="D8822" s="1736">
        <v>7.0000000000000007E-2</v>
      </c>
      <c r="E8822" s="1043"/>
      <c r="F8822" s="1043"/>
      <c r="G8822" s="1550"/>
    </row>
    <row r="8823" spans="1:7" ht="12.75" customHeight="1">
      <c r="A8823" s="1754">
        <v>45769</v>
      </c>
      <c r="B8823" s="116" t="str">
        <f>TiposLancamentos!B5</f>
        <v>Supermercado</v>
      </c>
      <c r="C8823" s="1740" t="s">
        <v>9461</v>
      </c>
      <c r="D8823" s="1736"/>
      <c r="E8823" s="1043">
        <v>38.68</v>
      </c>
      <c r="F8823" s="1043"/>
      <c r="G8823" s="1550"/>
    </row>
    <row r="8824" spans="1:7" ht="12.75" customHeight="1">
      <c r="A8824" s="1754">
        <v>45770</v>
      </c>
      <c r="B8824" s="116" t="str">
        <f>TiposLancamentos!B7</f>
        <v>Apto. Proprio 01</v>
      </c>
      <c r="C8824" s="1740" t="s">
        <v>9462</v>
      </c>
      <c r="D8824" s="1736"/>
      <c r="E8824" s="1043">
        <v>8435.9</v>
      </c>
      <c r="F8824" s="1043"/>
      <c r="G8824" s="1550"/>
    </row>
    <row r="8825" spans="1:7" ht="12.75" customHeight="1">
      <c r="A8825" s="1754">
        <v>45770</v>
      </c>
      <c r="B8825" s="116" t="str">
        <f>TiposLancamentos!B5</f>
        <v>Supermercado</v>
      </c>
      <c r="C8825" s="1740" t="s">
        <v>9463</v>
      </c>
      <c r="D8825" s="1736"/>
      <c r="E8825" s="1043">
        <v>11.08</v>
      </c>
      <c r="F8825" s="1043"/>
      <c r="G8825" s="1550"/>
    </row>
    <row r="8826" spans="1:7" ht="12.75" customHeight="1">
      <c r="A8826" s="1754">
        <v>45771</v>
      </c>
      <c r="B8826" s="116" t="str">
        <f>TiposLancamentos!B13</f>
        <v>Moradia</v>
      </c>
      <c r="C8826" s="1740" t="s">
        <v>9464</v>
      </c>
      <c r="D8826" s="1736"/>
      <c r="E8826" s="1043">
        <v>17</v>
      </c>
      <c r="F8826" s="1043"/>
      <c r="G8826" s="1550"/>
    </row>
    <row r="8827" spans="1:7" ht="12.75" customHeight="1">
      <c r="A8827" s="1754">
        <v>45773</v>
      </c>
      <c r="B8827" s="116" t="str">
        <f>TiposLancamentos!B32</f>
        <v>Clinicas e tratamentos</v>
      </c>
      <c r="C8827" s="1740" t="s">
        <v>9465</v>
      </c>
      <c r="D8827" s="1736"/>
      <c r="E8827" s="1043">
        <v>60</v>
      </c>
      <c r="F8827" s="1043"/>
      <c r="G8827" s="1550"/>
    </row>
    <row r="8828" spans="1:7" ht="12.75" customHeight="1">
      <c r="A8828" s="1754">
        <v>45773</v>
      </c>
      <c r="B8828" s="116" t="str">
        <f>TiposLancamentos!B77</f>
        <v>Esporádico</v>
      </c>
      <c r="C8828" s="1740" t="s">
        <v>9466</v>
      </c>
      <c r="D8828" s="1736"/>
      <c r="E8828" s="1043">
        <v>7</v>
      </c>
      <c r="F8828" s="1043"/>
      <c r="G8828" s="1550"/>
    </row>
    <row r="8829" spans="1:7" ht="12.75" customHeight="1">
      <c r="A8829" s="1754">
        <v>45773</v>
      </c>
      <c r="B8829" s="116" t="str">
        <f>TiposLancamentos!B24</f>
        <v>Estacionamentos</v>
      </c>
      <c r="C8829" s="1740" t="s">
        <v>2014</v>
      </c>
      <c r="D8829" s="1736"/>
      <c r="E8829" s="1043">
        <v>15</v>
      </c>
      <c r="F8829" s="1043"/>
      <c r="G8829" s="1550"/>
    </row>
    <row r="8830" spans="1:7" ht="12.75" customHeight="1">
      <c r="A8830" s="1754">
        <v>45775</v>
      </c>
      <c r="B8830" s="116" t="str">
        <f>TiposLancamentos!B7</f>
        <v>Apto. Proprio 01</v>
      </c>
      <c r="C8830" s="1740" t="s">
        <v>9467</v>
      </c>
      <c r="D8830" s="1736"/>
      <c r="E8830" s="1043">
        <v>3808.76</v>
      </c>
      <c r="F8830" s="1043"/>
      <c r="G8830" s="1550"/>
    </row>
    <row r="8831" spans="1:7" ht="12.75" customHeight="1">
      <c r="A8831" s="1754">
        <v>45775</v>
      </c>
      <c r="B8831" s="116" t="str">
        <f>TiposLancamentos!B19</f>
        <v>Restaurantes</v>
      </c>
      <c r="C8831" s="1740" t="s">
        <v>9468</v>
      </c>
      <c r="D8831" s="1736"/>
      <c r="E8831" s="1043">
        <v>26</v>
      </c>
      <c r="F8831" s="1043"/>
      <c r="G8831" s="1550"/>
    </row>
    <row r="8832" spans="1:7" ht="12.75" customHeight="1">
      <c r="A8832" s="1754">
        <v>45777</v>
      </c>
      <c r="B8832" s="116" t="str">
        <f>TiposLancamentos!B79</f>
        <v>Financiamento Banco</v>
      </c>
      <c r="C8832" s="1740" t="s">
        <v>9469</v>
      </c>
      <c r="D8832" s="1736">
        <v>23500</v>
      </c>
      <c r="E8832" s="1043"/>
      <c r="F8832" s="1043"/>
      <c r="G8832" s="1550"/>
    </row>
    <row r="8833" spans="1:7" ht="12.75" customHeight="1">
      <c r="A8833" s="1754">
        <v>45777</v>
      </c>
      <c r="B8833" s="116" t="str">
        <f>TiposLancamentos!B5</f>
        <v>Supermercado</v>
      </c>
      <c r="C8833" s="1740" t="s">
        <v>1884</v>
      </c>
      <c r="D8833" s="1736"/>
      <c r="E8833" s="1043">
        <v>4.59</v>
      </c>
      <c r="F8833" s="1043"/>
      <c r="G8833" s="1550"/>
    </row>
    <row r="8834" spans="1:7" ht="12.75" customHeight="1" thickBot="1">
      <c r="A8834" s="1754">
        <v>45777</v>
      </c>
      <c r="B8834" s="116" t="str">
        <f>TiposLancamentos!B19</f>
        <v>Restaurantes</v>
      </c>
      <c r="C8834" s="1740" t="s">
        <v>9470</v>
      </c>
      <c r="D8834" s="1736"/>
      <c r="E8834" s="1043">
        <v>102.5</v>
      </c>
      <c r="F8834" s="1043"/>
      <c r="G8834" s="1550"/>
    </row>
    <row r="8835" spans="1:7" ht="12.75" customHeight="1">
      <c r="A8835" s="1834"/>
      <c r="B8835" s="977"/>
      <c r="C8835" s="1854" t="s">
        <v>1646</v>
      </c>
      <c r="D8835" s="1823"/>
      <c r="E8835" s="1821"/>
      <c r="F8835" s="1821"/>
      <c r="G8835" s="1895"/>
    </row>
    <row r="8836" spans="1:7" ht="12.75" customHeight="1">
      <c r="A8836" s="884">
        <v>45778</v>
      </c>
      <c r="B8836" s="1748" t="str">
        <f>TiposLancamentos!B22</f>
        <v>Combustivel</v>
      </c>
      <c r="C8836" s="1203" t="s">
        <v>9471</v>
      </c>
      <c r="D8836" s="1736"/>
      <c r="E8836" s="1043">
        <v>100</v>
      </c>
      <c r="F8836" s="1043"/>
      <c r="G8836" s="1040"/>
    </row>
    <row r="8837" spans="1:7" ht="12.75" customHeight="1">
      <c r="A8837" s="884">
        <v>45778</v>
      </c>
      <c r="B8837" s="1748" t="str">
        <f>TiposLancamentos!B19</f>
        <v>Restaurantes</v>
      </c>
      <c r="C8837" s="1203" t="s">
        <v>9472</v>
      </c>
      <c r="D8837" s="1736"/>
      <c r="E8837" s="1043">
        <v>63.2</v>
      </c>
      <c r="F8837" s="1043"/>
      <c r="G8837" s="1040"/>
    </row>
    <row r="8838" spans="1:7" ht="12.75" customHeight="1">
      <c r="A8838" s="884">
        <v>45778</v>
      </c>
      <c r="B8838" s="1748" t="str">
        <f>TiposLancamentos!B5</f>
        <v>Supermercado</v>
      </c>
      <c r="C8838" s="1203" t="s">
        <v>9473</v>
      </c>
      <c r="D8838" s="1736"/>
      <c r="E8838" s="1043">
        <v>134.19</v>
      </c>
      <c r="F8838" s="1043"/>
      <c r="G8838" s="1040"/>
    </row>
    <row r="8839" spans="1:7" ht="12.75" customHeight="1">
      <c r="A8839" s="884">
        <v>45778</v>
      </c>
      <c r="B8839" s="1748" t="str">
        <f>TiposLancamentos!B15</f>
        <v>Cartões de Crédito</v>
      </c>
      <c r="C8839" s="1203" t="s">
        <v>8016</v>
      </c>
      <c r="D8839" s="1736"/>
      <c r="E8839" s="1043">
        <v>2599.58</v>
      </c>
      <c r="F8839" s="1043"/>
      <c r="G8839" s="1040"/>
    </row>
    <row r="8840" spans="1:7" ht="12.75" customHeight="1">
      <c r="A8840" s="884">
        <v>45778</v>
      </c>
      <c r="B8840" s="1748" t="str">
        <f>TiposLancamentos!B15</f>
        <v>Cartões de Crédito</v>
      </c>
      <c r="C8840" s="1203" t="s">
        <v>9361</v>
      </c>
      <c r="D8840" s="1736"/>
      <c r="E8840" s="1043">
        <v>875.48</v>
      </c>
      <c r="F8840" s="1043"/>
      <c r="G8840" s="1040"/>
    </row>
    <row r="8841" spans="1:7" ht="12.75" customHeight="1">
      <c r="A8841" s="884">
        <v>45778</v>
      </c>
      <c r="B8841" s="1748" t="str">
        <f>TiposLancamentos!B15</f>
        <v>Cartões de Crédito</v>
      </c>
      <c r="C8841" s="1203" t="s">
        <v>8252</v>
      </c>
      <c r="D8841" s="1736"/>
      <c r="E8841" s="1043">
        <v>604.13</v>
      </c>
      <c r="F8841" s="1043"/>
      <c r="G8841" s="1040"/>
    </row>
    <row r="8842" spans="1:7" ht="12.75" customHeight="1">
      <c r="A8842" s="884">
        <v>45778</v>
      </c>
      <c r="B8842" s="1748" t="str">
        <f>TiposLancamentos!B15</f>
        <v>Cartões de Crédito</v>
      </c>
      <c r="C8842" s="1203" t="s">
        <v>9174</v>
      </c>
      <c r="D8842" s="1736"/>
      <c r="E8842" s="1043">
        <v>27.9</v>
      </c>
      <c r="F8842" s="1043"/>
      <c r="G8842" s="1040"/>
    </row>
    <row r="8843" spans="1:7" ht="12.75" customHeight="1">
      <c r="A8843" s="884">
        <v>45778</v>
      </c>
      <c r="B8843" s="1748" t="str">
        <f>TiposLancamentos!B15</f>
        <v>Cartões de Crédito</v>
      </c>
      <c r="C8843" s="1203" t="s">
        <v>9175</v>
      </c>
      <c r="D8843" s="1736"/>
      <c r="E8843" s="1043">
        <v>0</v>
      </c>
      <c r="F8843" s="1043"/>
      <c r="G8843" s="1040"/>
    </row>
    <row r="8844" spans="1:7" ht="12.75" customHeight="1">
      <c r="A8844" s="884">
        <v>45778</v>
      </c>
      <c r="B8844" s="1748" t="str">
        <f>TiposLancamentos!B14</f>
        <v>Gás de cozinha</v>
      </c>
      <c r="C8844" s="1203" t="s">
        <v>9132</v>
      </c>
      <c r="D8844" s="1736"/>
      <c r="E8844" s="1043">
        <v>60.73</v>
      </c>
      <c r="F8844" s="1043"/>
      <c r="G8844" s="1040"/>
    </row>
    <row r="8845" spans="1:7" ht="12.75" customHeight="1">
      <c r="A8845" s="1754">
        <v>45779</v>
      </c>
      <c r="B8845" s="116" t="str">
        <f>TiposLancamentos!B98</f>
        <v>Restituições</v>
      </c>
      <c r="C8845" s="1740" t="s">
        <v>9474</v>
      </c>
      <c r="D8845" s="1736">
        <v>1619.84</v>
      </c>
      <c r="E8845" s="1043"/>
      <c r="F8845" s="1043"/>
      <c r="G8845" s="1550"/>
    </row>
    <row r="8846" spans="1:7" ht="12.75" customHeight="1">
      <c r="A8846" s="1754">
        <v>45779</v>
      </c>
      <c r="B8846" s="116" t="str">
        <f>TiposLancamentos!B19</f>
        <v>Restaurantes</v>
      </c>
      <c r="C8846" s="1740" t="s">
        <v>9475</v>
      </c>
      <c r="D8846" s="1736"/>
      <c r="E8846" s="1043">
        <v>53</v>
      </c>
      <c r="F8846" s="1043"/>
      <c r="G8846" s="1550"/>
    </row>
    <row r="8847" spans="1:7" ht="12.75" customHeight="1">
      <c r="A8847" s="1754">
        <v>45779</v>
      </c>
      <c r="B8847" s="116" t="str">
        <f>TiposLancamentos!B46</f>
        <v>Maçonaria</v>
      </c>
      <c r="C8847" s="1740" t="s">
        <v>9476</v>
      </c>
      <c r="D8847" s="1736"/>
      <c r="E8847" s="1043">
        <v>650</v>
      </c>
      <c r="F8847" s="1043"/>
      <c r="G8847" s="1550"/>
    </row>
    <row r="8848" spans="1:7" ht="12.75" customHeight="1">
      <c r="A8848" s="1754">
        <v>45780</v>
      </c>
      <c r="B8848" s="116" t="str">
        <f>TiposLancamentos!B19</f>
        <v>Restaurantes</v>
      </c>
      <c r="C8848" s="1740" t="s">
        <v>9477</v>
      </c>
      <c r="D8848" s="1736"/>
      <c r="E8848" s="1043">
        <v>36</v>
      </c>
      <c r="F8848" s="1043"/>
      <c r="G8848" s="1550"/>
    </row>
    <row r="8849" spans="1:7" ht="12.75" customHeight="1">
      <c r="A8849" s="1754">
        <v>45780</v>
      </c>
      <c r="B8849" s="116" t="str">
        <f>TiposLancamentos!B36</f>
        <v>Playstation 2</v>
      </c>
      <c r="C8849" s="1740" t="s">
        <v>9478</v>
      </c>
      <c r="D8849" s="1736"/>
      <c r="E8849" s="1043">
        <v>190</v>
      </c>
      <c r="F8849" s="1043"/>
      <c r="G8849" s="1550"/>
    </row>
    <row r="8850" spans="1:7" ht="12.75" customHeight="1">
      <c r="A8850" s="1754">
        <v>45780</v>
      </c>
      <c r="B8850" s="116" t="str">
        <f>TiposLancamentos!B36</f>
        <v>Playstation 2</v>
      </c>
      <c r="C8850" s="1740" t="s">
        <v>9479</v>
      </c>
      <c r="D8850" s="1736"/>
      <c r="E8850" s="1043">
        <v>155</v>
      </c>
      <c r="F8850" s="1043"/>
      <c r="G8850" s="1550"/>
    </row>
    <row r="8851" spans="1:7" ht="12.75" customHeight="1">
      <c r="A8851" s="1754">
        <v>45780</v>
      </c>
      <c r="B8851" s="116" t="str">
        <f>TiposLancamentos!B5</f>
        <v>Supermercado</v>
      </c>
      <c r="C8851" s="1740" t="s">
        <v>9480</v>
      </c>
      <c r="D8851" s="1736"/>
      <c r="E8851" s="1043">
        <v>176.84</v>
      </c>
      <c r="F8851" s="1043"/>
      <c r="G8851" s="1550"/>
    </row>
    <row r="8852" spans="1:7" ht="12.75" customHeight="1">
      <c r="A8852" s="1754">
        <v>45780</v>
      </c>
      <c r="B8852" s="116" t="str">
        <f>TiposLancamentos!B19</f>
        <v>Restaurantes</v>
      </c>
      <c r="C8852" s="1740" t="s">
        <v>9481</v>
      </c>
      <c r="D8852" s="1736"/>
      <c r="E8852" s="1043">
        <v>25.9</v>
      </c>
      <c r="F8852" s="1043"/>
      <c r="G8852" s="1550"/>
    </row>
    <row r="8853" spans="1:7" ht="12.75" customHeight="1">
      <c r="A8853" s="1754"/>
      <c r="B8853" s="116"/>
      <c r="C8853" s="1740" t="s">
        <v>1947</v>
      </c>
      <c r="D8853" s="1736"/>
      <c r="E8853" s="1043"/>
      <c r="F8853" s="1043"/>
      <c r="G8853" s="1550"/>
    </row>
    <row r="8854" spans="1:7" ht="12.75" customHeight="1">
      <c r="A8854" s="1666">
        <v>45780</v>
      </c>
      <c r="B8854" s="817" t="str">
        <f>TiposLancamentos!B56</f>
        <v>Farmácia</v>
      </c>
      <c r="C8854" s="1742" t="s">
        <v>9482</v>
      </c>
      <c r="D8854" s="1735"/>
      <c r="E8854" s="1733">
        <v>75.989999999999995</v>
      </c>
      <c r="F8854" s="1290"/>
      <c r="G8854" s="1550"/>
    </row>
    <row r="8855" spans="1:7" ht="12.75" customHeight="1">
      <c r="A8855" s="1868">
        <v>45780</v>
      </c>
      <c r="B8855" s="816" t="str">
        <f>TiposLancamentos!B56</f>
        <v>Farmácia</v>
      </c>
      <c r="C8855" s="1769" t="s">
        <v>9483</v>
      </c>
      <c r="D8855" s="1736"/>
      <c r="E8855" s="1734">
        <v>24.69</v>
      </c>
      <c r="F8855" s="1043"/>
      <c r="G8855" s="1550"/>
    </row>
    <row r="8856" spans="1:7" ht="12.75" customHeight="1">
      <c r="A8856" s="1750">
        <v>45780</v>
      </c>
      <c r="B8856" s="818" t="str">
        <f>TiposLancamentos!B59</f>
        <v>Documentos</v>
      </c>
      <c r="C8856" s="1743" t="s">
        <v>9484</v>
      </c>
      <c r="D8856" s="1737"/>
      <c r="E8856" s="1668">
        <v>7.9</v>
      </c>
      <c r="F8856" s="1291">
        <f>SUM(E8854:E8856)</f>
        <v>108.58</v>
      </c>
      <c r="G8856" s="1550"/>
    </row>
    <row r="8857" spans="1:7" ht="12.75" customHeight="1">
      <c r="A8857" s="1754"/>
      <c r="B8857" s="116"/>
      <c r="C8857" s="1740" t="s">
        <v>1947</v>
      </c>
      <c r="D8857" s="1736"/>
      <c r="E8857" s="1043"/>
      <c r="F8857" s="1043"/>
      <c r="G8857" s="1550"/>
    </row>
    <row r="8858" spans="1:7" ht="12.75" customHeight="1">
      <c r="A8858" s="1754">
        <v>45780</v>
      </c>
      <c r="B8858" s="116" t="str">
        <f>TiposLancamentos!B102</f>
        <v>ESTORNO</v>
      </c>
      <c r="C8858" s="1740" t="str">
        <f>C8855</f>
        <v>PIX: Ibuprofeno 600 MG 10 caps generico</v>
      </c>
      <c r="D8858" s="1736">
        <v>24.69</v>
      </c>
      <c r="E8858" s="1043"/>
      <c r="F8858" s="1043"/>
      <c r="G8858" s="1550"/>
    </row>
    <row r="8859" spans="1:7" ht="12.75" customHeight="1">
      <c r="A8859" s="1754">
        <v>45781</v>
      </c>
      <c r="B8859" s="116" t="str">
        <f>TiposLancamentos!B5</f>
        <v>Supermercado</v>
      </c>
      <c r="C8859" s="1740" t="s">
        <v>1884</v>
      </c>
      <c r="D8859" s="1736"/>
      <c r="E8859" s="1043">
        <v>16.97</v>
      </c>
      <c r="F8859" s="1043"/>
      <c r="G8859" s="1550"/>
    </row>
    <row r="8860" spans="1:7" ht="12.75" customHeight="1">
      <c r="A8860" s="1754">
        <v>45781</v>
      </c>
      <c r="B8860" s="116" t="str">
        <f>TiposLancamentos!B5</f>
        <v>Supermercado</v>
      </c>
      <c r="C8860" s="1740" t="s">
        <v>1884</v>
      </c>
      <c r="D8860" s="1736"/>
      <c r="E8860" s="1043">
        <v>3.99</v>
      </c>
      <c r="F8860" s="1043"/>
      <c r="G8860" s="1550"/>
    </row>
    <row r="8861" spans="1:7" ht="12.75" customHeight="1">
      <c r="A8861" s="1754">
        <v>45782</v>
      </c>
      <c r="B8861" s="116" t="str">
        <f>TiposLancamentos!B4</f>
        <v>Taxas Bancarias</v>
      </c>
      <c r="C8861" s="1740" t="s">
        <v>4858</v>
      </c>
      <c r="D8861" s="1736"/>
      <c r="E8861" s="1043">
        <v>67.27</v>
      </c>
      <c r="F8861" s="1043"/>
      <c r="G8861" s="1550"/>
    </row>
    <row r="8862" spans="1:7" ht="12.75" customHeight="1">
      <c r="A8862" s="1754">
        <v>45782</v>
      </c>
      <c r="B8862" s="116" t="str">
        <f>TiposLancamentos!B56</f>
        <v>Farmácia</v>
      </c>
      <c r="C8862" s="1740" t="s">
        <v>9485</v>
      </c>
      <c r="D8862" s="1736"/>
      <c r="E8862" s="1043">
        <v>25.99</v>
      </c>
      <c r="F8862" s="1043"/>
      <c r="G8862" s="1550"/>
    </row>
    <row r="8863" spans="1:7" ht="12.75" customHeight="1">
      <c r="A8863" s="1754">
        <v>45782</v>
      </c>
      <c r="B8863" s="116" t="str">
        <f>TiposLancamentos!B5</f>
        <v>Supermercado</v>
      </c>
      <c r="C8863" s="1740" t="s">
        <v>1884</v>
      </c>
      <c r="D8863" s="1736"/>
      <c r="E8863" s="1043">
        <v>6.49</v>
      </c>
      <c r="F8863" s="1043"/>
      <c r="G8863" s="1550"/>
    </row>
    <row r="8864" spans="1:7" ht="12.75" customHeight="1">
      <c r="A8864" s="1754">
        <v>45782</v>
      </c>
      <c r="B8864" s="116" t="str">
        <f>TiposLancamentos!B5</f>
        <v>Supermercado</v>
      </c>
      <c r="C8864" s="1740" t="s">
        <v>1884</v>
      </c>
      <c r="D8864" s="1736"/>
      <c r="E8864" s="1043">
        <v>10.039999999999999</v>
      </c>
      <c r="F8864" s="1043"/>
      <c r="G8864" s="1550"/>
    </row>
    <row r="8865" spans="1:7" ht="12.75" customHeight="1">
      <c r="A8865" s="1754">
        <v>45782</v>
      </c>
      <c r="B8865" s="116" t="str">
        <f>TiposLancamentos!B103</f>
        <v>Juros_Corr. Poupança</v>
      </c>
      <c r="C8865" s="1740" t="s">
        <v>9450</v>
      </c>
      <c r="D8865" s="1736">
        <v>0.04</v>
      </c>
      <c r="E8865" s="1043"/>
      <c r="F8865" s="1043"/>
      <c r="G8865" s="1550"/>
    </row>
    <row r="8866" spans="1:7" ht="12.75" customHeight="1">
      <c r="A8866" s="1754">
        <v>45782</v>
      </c>
      <c r="B8866" s="116" t="str">
        <f>TiposLancamentos!B4</f>
        <v>Taxas Bancarias</v>
      </c>
      <c r="C8866" s="1740" t="s">
        <v>8778</v>
      </c>
      <c r="D8866" s="1736"/>
      <c r="E8866" s="1043">
        <v>257.94</v>
      </c>
      <c r="F8866" s="1043"/>
      <c r="G8866" s="1550"/>
    </row>
    <row r="8867" spans="1:7" ht="12.75" customHeight="1">
      <c r="A8867" s="1754">
        <v>45783</v>
      </c>
      <c r="B8867" s="116" t="str">
        <f>TiposLancamentos!B5</f>
        <v>Supermercado</v>
      </c>
      <c r="C8867" s="1740" t="s">
        <v>1884</v>
      </c>
      <c r="D8867" s="1736"/>
      <c r="E8867" s="1043">
        <v>23.98</v>
      </c>
      <c r="F8867" s="1043"/>
      <c r="G8867" s="1550"/>
    </row>
    <row r="8868" spans="1:7" ht="12.75" customHeight="1">
      <c r="A8868" s="1754">
        <v>45783</v>
      </c>
      <c r="B8868" s="116" t="str">
        <f>TiposLancamentos!B24</f>
        <v>Estacionamentos</v>
      </c>
      <c r="C8868" s="1740" t="s">
        <v>1898</v>
      </c>
      <c r="D8868" s="1736"/>
      <c r="E8868" s="1043">
        <v>23</v>
      </c>
      <c r="F8868" s="1043"/>
      <c r="G8868" s="1550"/>
    </row>
    <row r="8869" spans="1:7" ht="12.75" customHeight="1">
      <c r="A8869" s="1754">
        <v>45783</v>
      </c>
      <c r="B8869" s="116" t="str">
        <f>TiposLancamentos!B5</f>
        <v>Supermercado</v>
      </c>
      <c r="C8869" s="1740" t="s">
        <v>9486</v>
      </c>
      <c r="D8869" s="1736"/>
      <c r="E8869" s="1043">
        <v>88.4</v>
      </c>
      <c r="F8869" s="1043"/>
      <c r="G8869" s="1550"/>
    </row>
    <row r="8870" spans="1:7" ht="12.75" customHeight="1">
      <c r="A8870" s="1754">
        <v>45783</v>
      </c>
      <c r="B8870" s="116" t="str">
        <f>TiposLancamentos!B4</f>
        <v>Taxas Bancarias</v>
      </c>
      <c r="C8870" s="1740" t="s">
        <v>9487</v>
      </c>
      <c r="D8870" s="1736"/>
      <c r="E8870" s="1043">
        <v>16.12</v>
      </c>
      <c r="F8870" s="1043"/>
      <c r="G8870" s="1550"/>
    </row>
    <row r="8871" spans="1:7" ht="12.75" customHeight="1">
      <c r="A8871" s="1754">
        <v>45783</v>
      </c>
      <c r="B8871" s="116" t="str">
        <f>TiposLancamentos!B103</f>
        <v>Juros_Corr. Poupança</v>
      </c>
      <c r="C8871" s="1740" t="s">
        <v>9450</v>
      </c>
      <c r="D8871" s="1736">
        <v>0.03</v>
      </c>
      <c r="E8871" s="1043"/>
      <c r="F8871" s="1043"/>
      <c r="G8871" s="1550"/>
    </row>
    <row r="8872" spans="1:7" ht="12.75" customHeight="1">
      <c r="A8872" s="1754">
        <v>45784</v>
      </c>
      <c r="B8872" s="116" t="str">
        <f>TiposLancamentos!B9</f>
        <v>Condominio</v>
      </c>
      <c r="C8872" s="1740" t="s">
        <v>9488</v>
      </c>
      <c r="D8872" s="1736"/>
      <c r="E8872" s="1043">
        <v>1252.07</v>
      </c>
      <c r="F8872" s="1043"/>
      <c r="G8872" s="1550"/>
    </row>
    <row r="8873" spans="1:7" ht="12.75" customHeight="1">
      <c r="A8873" s="1754">
        <v>45784</v>
      </c>
      <c r="B8873" s="116" t="str">
        <f>TiposLancamentos!B9</f>
        <v>Condominio</v>
      </c>
      <c r="C8873" s="1740" t="s">
        <v>9489</v>
      </c>
      <c r="D8873" s="1736"/>
      <c r="E8873" s="1043">
        <v>170</v>
      </c>
      <c r="F8873" s="1043"/>
      <c r="G8873" s="1550"/>
    </row>
    <row r="8874" spans="1:7" ht="12.75" customHeight="1">
      <c r="A8874" s="1754">
        <v>45785</v>
      </c>
      <c r="B8874" s="116" t="str">
        <f>TiposLancamentos!B95</f>
        <v>Salarios</v>
      </c>
      <c r="C8874" s="1740" t="s">
        <v>9490</v>
      </c>
      <c r="D8874" s="1736">
        <v>1780</v>
      </c>
      <c r="E8874" s="1043"/>
      <c r="F8874" s="1043"/>
      <c r="G8874" s="1550"/>
    </row>
    <row r="8875" spans="1:7" ht="12.75" customHeight="1">
      <c r="A8875" s="1754">
        <v>45785</v>
      </c>
      <c r="B8875" s="116" t="str">
        <f>TiposLancamentos!B105</f>
        <v>Transf. Bco</v>
      </c>
      <c r="C8875" s="1740" t="s">
        <v>9491</v>
      </c>
      <c r="D8875" s="1736"/>
      <c r="E8875" s="1043">
        <v>800.91</v>
      </c>
      <c r="F8875" s="1043"/>
      <c r="G8875" s="1550"/>
    </row>
    <row r="8876" spans="1:7" ht="12.75" customHeight="1">
      <c r="A8876" s="1754">
        <v>45785</v>
      </c>
      <c r="B8876" s="116" t="str">
        <f>TiposLancamentos!B5</f>
        <v>Supermercado</v>
      </c>
      <c r="C8876" s="1740" t="s">
        <v>1884</v>
      </c>
      <c r="D8876" s="1736"/>
      <c r="E8876" s="1043">
        <v>20.27</v>
      </c>
      <c r="F8876" s="1043"/>
      <c r="G8876" s="1550"/>
    </row>
    <row r="8877" spans="1:7" ht="12.75" customHeight="1">
      <c r="A8877" s="1754">
        <v>45785</v>
      </c>
      <c r="B8877" s="116" t="str">
        <f>TiposLancamentos!B24</f>
        <v>Estacionamentos</v>
      </c>
      <c r="C8877" s="1740" t="s">
        <v>1898</v>
      </c>
      <c r="D8877" s="1736"/>
      <c r="E8877" s="1043">
        <v>23</v>
      </c>
      <c r="F8877" s="1043"/>
      <c r="G8877" s="1550"/>
    </row>
    <row r="8878" spans="1:7" ht="12.75" customHeight="1">
      <c r="A8878" s="1754">
        <v>45785</v>
      </c>
      <c r="B8878" s="116" t="str">
        <f>TiposLancamentos!B5</f>
        <v>Supermercado</v>
      </c>
      <c r="C8878" s="1740" t="s">
        <v>9492</v>
      </c>
      <c r="D8878" s="1736"/>
      <c r="E8878" s="1043">
        <v>62.61</v>
      </c>
      <c r="F8878" s="1043"/>
      <c r="G8878" s="1550"/>
    </row>
    <row r="8879" spans="1:7" ht="12.75" customHeight="1">
      <c r="A8879" s="1754">
        <v>45785</v>
      </c>
      <c r="B8879" s="116" t="str">
        <f>TiposLancamentos!B5</f>
        <v>Supermercado</v>
      </c>
      <c r="C8879" s="1740" t="s">
        <v>9492</v>
      </c>
      <c r="D8879" s="1736"/>
      <c r="E8879" s="1043">
        <v>15.78</v>
      </c>
      <c r="F8879" s="1043"/>
      <c r="G8879" s="1550"/>
    </row>
    <row r="8880" spans="1:7" ht="12.75" customHeight="1">
      <c r="A8880" s="1754">
        <v>45786</v>
      </c>
      <c r="B8880" s="116" t="str">
        <f>TiposLancamentos!B13</f>
        <v>Moradia</v>
      </c>
      <c r="C8880" s="1740" t="s">
        <v>8906</v>
      </c>
      <c r="D8880" s="1736"/>
      <c r="E8880" s="1043">
        <v>17</v>
      </c>
      <c r="F8880" s="1043"/>
      <c r="G8880" s="1550"/>
    </row>
    <row r="8881" spans="1:7" ht="12.75" customHeight="1">
      <c r="A8881" s="1754">
        <v>45786</v>
      </c>
      <c r="B8881" s="116" t="str">
        <f>TiposLancamentos!B22</f>
        <v>Combustivel</v>
      </c>
      <c r="C8881" s="1740" t="s">
        <v>9493</v>
      </c>
      <c r="D8881" s="1736"/>
      <c r="E8881" s="1043">
        <v>100</v>
      </c>
      <c r="F8881" s="1043"/>
      <c r="G8881" s="1550"/>
    </row>
    <row r="8882" spans="1:7" ht="12.75" customHeight="1">
      <c r="A8882" s="1754">
        <v>45786</v>
      </c>
      <c r="B8882" s="116" t="str">
        <f>TiposLancamentos!B7</f>
        <v>Apto. Proprio 01</v>
      </c>
      <c r="C8882" s="1740" t="s">
        <v>9494</v>
      </c>
      <c r="D8882" s="1736"/>
      <c r="E8882" s="1043">
        <v>2770</v>
      </c>
      <c r="F8882" s="1043"/>
      <c r="G8882" s="1550"/>
    </row>
    <row r="8883" spans="1:7" ht="12.75" customHeight="1">
      <c r="A8883" s="1754">
        <v>45786</v>
      </c>
      <c r="B8883" s="116" t="str">
        <f>TiposLancamentos!B19</f>
        <v>Restaurantes</v>
      </c>
      <c r="C8883" s="1740" t="s">
        <v>9495</v>
      </c>
      <c r="D8883" s="1736"/>
      <c r="E8883" s="1043">
        <v>141.91999999999999</v>
      </c>
      <c r="F8883" s="1043"/>
      <c r="G8883" s="1550"/>
    </row>
    <row r="8884" spans="1:7" ht="12.75" customHeight="1">
      <c r="A8884" s="1754">
        <v>45786</v>
      </c>
      <c r="B8884" s="116" t="str">
        <f>TiposLancamentos!B24</f>
        <v>Estacionamentos</v>
      </c>
      <c r="C8884" s="1740" t="s">
        <v>9496</v>
      </c>
      <c r="D8884" s="1736"/>
      <c r="E8884" s="1043">
        <v>4</v>
      </c>
      <c r="F8884" s="1043"/>
      <c r="G8884" s="1550"/>
    </row>
    <row r="8885" spans="1:7" ht="12.75" customHeight="1">
      <c r="A8885" s="1754">
        <v>45786</v>
      </c>
      <c r="B8885" s="116" t="str">
        <f>TiposLancamentos!B103</f>
        <v>Juros_Corr. Poupança</v>
      </c>
      <c r="C8885" s="1740" t="s">
        <v>9450</v>
      </c>
      <c r="D8885" s="1736">
        <v>7.0000000000000007E-2</v>
      </c>
      <c r="E8885" s="1043"/>
      <c r="F8885" s="1043"/>
      <c r="G8885" s="1550"/>
    </row>
    <row r="8886" spans="1:7" ht="12.75" customHeight="1">
      <c r="A8886" s="1754">
        <v>45786</v>
      </c>
      <c r="B8886" s="116" t="str">
        <f>TiposLancamentos!B5</f>
        <v>Supermercado</v>
      </c>
      <c r="C8886" s="1740" t="s">
        <v>9497</v>
      </c>
      <c r="D8886" s="1736"/>
      <c r="E8886" s="1043">
        <v>25.97</v>
      </c>
      <c r="F8886" s="1043"/>
      <c r="G8886" s="1550"/>
    </row>
    <row r="8887" spans="1:7" ht="12.75" customHeight="1">
      <c r="A8887" s="1754">
        <v>45787</v>
      </c>
      <c r="B8887" s="116" t="str">
        <f>TiposLancamentos!B32</f>
        <v>Clinicas e tratamentos</v>
      </c>
      <c r="C8887" s="1740" t="s">
        <v>9498</v>
      </c>
      <c r="D8887" s="1736"/>
      <c r="E8887" s="1043">
        <v>60</v>
      </c>
      <c r="F8887" s="1043"/>
      <c r="G8887" s="1550"/>
    </row>
    <row r="8888" spans="1:7" ht="12.75" customHeight="1">
      <c r="A8888" s="1754">
        <v>45787</v>
      </c>
      <c r="B8888" s="116" t="str">
        <f>TiposLancamentos!B19</f>
        <v>Restaurantes</v>
      </c>
      <c r="C8888" s="1740" t="s">
        <v>9499</v>
      </c>
      <c r="D8888" s="1736"/>
      <c r="E8888" s="1043">
        <v>110.4</v>
      </c>
      <c r="F8888" s="1043"/>
      <c r="G8888" s="1550"/>
    </row>
    <row r="8889" spans="1:7" ht="12.75" customHeight="1">
      <c r="A8889" s="1754">
        <v>45787</v>
      </c>
      <c r="B8889" s="116" t="str">
        <f>TiposLancamentos!B19</f>
        <v>Restaurantes</v>
      </c>
      <c r="C8889" s="1740" t="s">
        <v>9500</v>
      </c>
      <c r="D8889" s="1736"/>
      <c r="E8889" s="1043">
        <v>80.709999999999994</v>
      </c>
      <c r="F8889" s="1043"/>
      <c r="G8889" s="1550"/>
    </row>
    <row r="8890" spans="1:7" ht="12.75" customHeight="1">
      <c r="A8890" s="1754">
        <v>45787</v>
      </c>
      <c r="B8890" s="116" t="str">
        <f>TiposLancamentos!B60</f>
        <v>Correio</v>
      </c>
      <c r="C8890" s="1740" t="s">
        <v>9501</v>
      </c>
      <c r="D8890" s="1736"/>
      <c r="E8890" s="1043">
        <v>150</v>
      </c>
      <c r="F8890" s="1043"/>
      <c r="G8890" s="1550"/>
    </row>
    <row r="8891" spans="1:7" ht="12.75" customHeight="1">
      <c r="A8891" s="1754"/>
      <c r="B8891" s="116"/>
      <c r="C8891" s="1740" t="s">
        <v>1947</v>
      </c>
      <c r="D8891" s="1736"/>
      <c r="E8891" s="1043"/>
      <c r="F8891" s="1043"/>
      <c r="G8891" s="1550"/>
    </row>
    <row r="8892" spans="1:7" ht="12.75" customHeight="1">
      <c r="A8892" s="1666">
        <v>45788</v>
      </c>
      <c r="B8892" s="817" t="str">
        <f>TiposLancamentos!B56</f>
        <v>Farmácia</v>
      </c>
      <c r="C8892" s="1742" t="s">
        <v>9502</v>
      </c>
      <c r="D8892" s="1735"/>
      <c r="E8892" s="1733">
        <v>127.91</v>
      </c>
      <c r="F8892" s="1290"/>
      <c r="G8892" s="1550"/>
    </row>
    <row r="8893" spans="1:7" ht="12.75" customHeight="1">
      <c r="A8893" s="1868">
        <v>45788</v>
      </c>
      <c r="B8893" s="816" t="str">
        <f>TiposLancamentos!B56</f>
        <v>Farmácia</v>
      </c>
      <c r="C8893" s="1769" t="s">
        <v>9503</v>
      </c>
      <c r="D8893" s="1736"/>
      <c r="E8893" s="1734">
        <v>18.190000000000001</v>
      </c>
      <c r="F8893" s="1043"/>
      <c r="G8893" s="1550"/>
    </row>
    <row r="8894" spans="1:7" ht="12.75" customHeight="1">
      <c r="A8894" s="1750">
        <v>45788</v>
      </c>
      <c r="B8894" s="818" t="str">
        <f>TiposLancamentos!B60</f>
        <v>Correio</v>
      </c>
      <c r="C8894" s="1743" t="s">
        <v>9504</v>
      </c>
      <c r="D8894" s="1737"/>
      <c r="E8894" s="1668">
        <v>7.9</v>
      </c>
      <c r="F8894" s="1291">
        <f>SUM(E8892:E8894)</f>
        <v>154</v>
      </c>
      <c r="G8894" s="1550"/>
    </row>
    <row r="8895" spans="1:7" ht="12.75" customHeight="1">
      <c r="A8895" s="1667"/>
      <c r="B8895" s="816"/>
      <c r="C8895" s="1740" t="s">
        <v>1947</v>
      </c>
      <c r="D8895" s="1736"/>
      <c r="E8895" s="1734"/>
      <c r="F8895" s="1458"/>
      <c r="G8895" s="1550"/>
    </row>
    <row r="8896" spans="1:7" ht="12.75" customHeight="1">
      <c r="A8896" s="1754">
        <v>45789</v>
      </c>
      <c r="B8896" s="116" t="str">
        <f>TiposLancamentos!B46</f>
        <v>Maçonaria</v>
      </c>
      <c r="C8896" s="1740" t="s">
        <v>9505</v>
      </c>
      <c r="D8896" s="1736"/>
      <c r="E8896" s="1043">
        <v>210</v>
      </c>
      <c r="F8896" s="1043"/>
      <c r="G8896" s="1550"/>
    </row>
    <row r="8897" spans="1:7" ht="12.75" customHeight="1">
      <c r="A8897" s="1754"/>
      <c r="B8897" s="116"/>
      <c r="C8897" s="1740" t="s">
        <v>1947</v>
      </c>
      <c r="D8897" s="1736"/>
      <c r="E8897" s="1043"/>
      <c r="F8897" s="1043"/>
      <c r="G8897" s="1550"/>
    </row>
    <row r="8898" spans="1:7" ht="12.75" customHeight="1">
      <c r="A8898" s="1666">
        <v>45789</v>
      </c>
      <c r="B8898" s="817" t="str">
        <f>TiposLancamentos!B37</f>
        <v>Playstation 3</v>
      </c>
      <c r="C8898" s="1742" t="s">
        <v>9506</v>
      </c>
      <c r="D8898" s="1735"/>
      <c r="E8898" s="1733">
        <v>139.9</v>
      </c>
      <c r="F8898" s="1290"/>
      <c r="G8898" s="1550"/>
    </row>
    <row r="8899" spans="1:7" ht="12.75" customHeight="1">
      <c r="A8899" s="1868">
        <v>45789</v>
      </c>
      <c r="B8899" s="816" t="str">
        <f>TiposLancamentos!B38</f>
        <v>Playstation 4</v>
      </c>
      <c r="C8899" s="1769" t="s">
        <v>9507</v>
      </c>
      <c r="D8899" s="1736"/>
      <c r="E8899" s="1734">
        <v>75</v>
      </c>
      <c r="F8899" s="1043"/>
      <c r="G8899" s="1550"/>
    </row>
    <row r="8900" spans="1:7" ht="12.75" customHeight="1">
      <c r="A8900" s="1750">
        <v>45789</v>
      </c>
      <c r="B8900" s="818" t="str">
        <f>TiposLancamentos!B60</f>
        <v>Correio</v>
      </c>
      <c r="C8900" s="1743" t="s">
        <v>9508</v>
      </c>
      <c r="D8900" s="1737"/>
      <c r="E8900" s="1668">
        <v>21</v>
      </c>
      <c r="F8900" s="1291">
        <f>SUM(E8898:E8900)</f>
        <v>235.9</v>
      </c>
      <c r="G8900" s="1550"/>
    </row>
    <row r="8901" spans="1:7" ht="12.75" customHeight="1">
      <c r="A8901" s="1667"/>
      <c r="B8901" s="816"/>
      <c r="C8901" s="1740" t="s">
        <v>1947</v>
      </c>
      <c r="D8901" s="1736"/>
      <c r="E8901" s="1734"/>
      <c r="F8901" s="1458"/>
      <c r="G8901" s="1550"/>
    </row>
    <row r="8902" spans="1:7" ht="12.75" customHeight="1">
      <c r="A8902" s="1754">
        <v>45789</v>
      </c>
      <c r="B8902" s="116" t="str">
        <f>TiposLancamentos!B5</f>
        <v>Supermercado</v>
      </c>
      <c r="C8902" s="1740" t="s">
        <v>1884</v>
      </c>
      <c r="D8902" s="1736"/>
      <c r="E8902" s="1043">
        <v>12.18</v>
      </c>
      <c r="F8902" s="1043"/>
      <c r="G8902" s="1550"/>
    </row>
    <row r="8903" spans="1:7" ht="12.75" customHeight="1">
      <c r="A8903" s="1754">
        <v>45789</v>
      </c>
      <c r="B8903" s="116" t="str">
        <f>TiposLancamentos!B103</f>
        <v>Juros_Corr. Poupança</v>
      </c>
      <c r="C8903" s="1740" t="s">
        <v>9450</v>
      </c>
      <c r="D8903" s="1736">
        <v>0.04</v>
      </c>
      <c r="E8903" s="1043"/>
      <c r="F8903" s="1043"/>
      <c r="G8903" s="1550"/>
    </row>
    <row r="8904" spans="1:7" ht="12.75" customHeight="1">
      <c r="A8904" s="1754">
        <v>45790</v>
      </c>
      <c r="B8904" s="116" t="str">
        <f>TiposLancamentos!B80</f>
        <v>Mudanças</v>
      </c>
      <c r="C8904" s="1740" t="s">
        <v>9509</v>
      </c>
      <c r="D8904" s="1736"/>
      <c r="E8904" s="1043">
        <v>150</v>
      </c>
      <c r="F8904" s="1043"/>
      <c r="G8904" s="1550"/>
    </row>
    <row r="8905" spans="1:7" ht="12.75" customHeight="1">
      <c r="A8905" s="1754">
        <v>45790</v>
      </c>
      <c r="B8905" s="116" t="str">
        <f>B8904</f>
        <v>Mudanças</v>
      </c>
      <c r="C8905" s="1740" t="s">
        <v>9510</v>
      </c>
      <c r="D8905" s="1736"/>
      <c r="E8905" s="135">
        <v>56</v>
      </c>
      <c r="F8905" s="1043"/>
      <c r="G8905" s="1550"/>
    </row>
    <row r="8906" spans="1:7" ht="12.75" customHeight="1">
      <c r="A8906" s="1754">
        <v>45790</v>
      </c>
      <c r="B8906" s="116" t="str">
        <f>B8904</f>
        <v>Mudanças</v>
      </c>
      <c r="C8906" s="1740" t="s">
        <v>9511</v>
      </c>
      <c r="D8906" s="1736"/>
      <c r="E8906" s="135">
        <v>21.6</v>
      </c>
      <c r="F8906" s="1043"/>
      <c r="G8906" s="1550"/>
    </row>
    <row r="8907" spans="1:7" ht="12.75" customHeight="1">
      <c r="A8907" s="1754">
        <v>45790</v>
      </c>
      <c r="B8907" s="116" t="str">
        <f>B8902</f>
        <v>Supermercado</v>
      </c>
      <c r="C8907" s="1740" t="s">
        <v>9512</v>
      </c>
      <c r="D8907" s="1736"/>
      <c r="E8907" s="135">
        <v>105.39</v>
      </c>
      <c r="F8907" s="1043"/>
      <c r="G8907" s="1550"/>
    </row>
    <row r="8908" spans="1:7" ht="12.75" customHeight="1">
      <c r="A8908" s="1754">
        <v>45790</v>
      </c>
      <c r="B8908" s="116" t="str">
        <f>TiposLancamentos!B19</f>
        <v>Restaurantes</v>
      </c>
      <c r="C8908" s="1740" t="s">
        <v>9513</v>
      </c>
      <c r="D8908" s="1736"/>
      <c r="E8908" s="135">
        <v>36</v>
      </c>
      <c r="F8908" s="1043"/>
      <c r="G8908" s="1550"/>
    </row>
    <row r="8909" spans="1:7" ht="12.75" customHeight="1">
      <c r="A8909" s="1754">
        <v>45790</v>
      </c>
      <c r="B8909" s="116" t="str">
        <f>TiposLancamentos!B17</f>
        <v>GATO</v>
      </c>
      <c r="C8909" s="1740" t="s">
        <v>9514</v>
      </c>
      <c r="D8909" s="1736"/>
      <c r="E8909" s="135">
        <v>170.81</v>
      </c>
      <c r="F8909" s="1043"/>
      <c r="G8909" s="1550"/>
    </row>
    <row r="8910" spans="1:7" ht="12.75" customHeight="1">
      <c r="A8910" s="1754">
        <v>45791</v>
      </c>
      <c r="B8910" s="116" t="str">
        <f>TiposLancamentos!B22</f>
        <v>Combustivel</v>
      </c>
      <c r="C8910" s="1740" t="s">
        <v>2455</v>
      </c>
      <c r="D8910" s="1736"/>
      <c r="E8910" s="135">
        <v>100</v>
      </c>
      <c r="F8910" s="1043"/>
      <c r="G8910" s="1550"/>
    </row>
    <row r="8911" spans="1:7" ht="12.75" customHeight="1">
      <c r="A8911" s="1754">
        <v>45791</v>
      </c>
      <c r="B8911" s="116" t="str">
        <f>TiposLancamentos!B19</f>
        <v>Restaurantes</v>
      </c>
      <c r="C8911" s="1740" t="s">
        <v>9515</v>
      </c>
      <c r="D8911" s="1736"/>
      <c r="E8911" s="135">
        <v>27.9</v>
      </c>
      <c r="F8911" s="1043"/>
      <c r="G8911" s="1550"/>
    </row>
    <row r="8912" spans="1:7" ht="12.75" customHeight="1">
      <c r="A8912" s="1754">
        <v>45791</v>
      </c>
      <c r="B8912" s="116" t="str">
        <f>TiposLancamentos!B17</f>
        <v>GATO</v>
      </c>
      <c r="C8912" s="1740" t="s">
        <v>9516</v>
      </c>
      <c r="D8912" s="1736"/>
      <c r="E8912" s="135">
        <v>7.44</v>
      </c>
      <c r="F8912" s="1043"/>
      <c r="G8912" s="1550"/>
    </row>
    <row r="8913" spans="1:7" ht="12.75" customHeight="1">
      <c r="A8913" s="1754">
        <v>45791</v>
      </c>
      <c r="B8913" s="116" t="str">
        <f>TiposLancamentos!B20</f>
        <v>Saques</v>
      </c>
      <c r="C8913" s="1740" t="s">
        <v>9517</v>
      </c>
      <c r="D8913" s="1736"/>
      <c r="E8913" s="135">
        <v>300</v>
      </c>
      <c r="F8913" s="1043"/>
      <c r="G8913" s="1550"/>
    </row>
    <row r="8914" spans="1:7" ht="12.75" customHeight="1">
      <c r="A8914" s="1754">
        <v>45791</v>
      </c>
      <c r="B8914" s="116" t="str">
        <f>TiposLancamentos!B5</f>
        <v>Supermercado</v>
      </c>
      <c r="C8914" s="1740" t="s">
        <v>9518</v>
      </c>
      <c r="D8914" s="1736"/>
      <c r="E8914" s="135">
        <v>6.79</v>
      </c>
      <c r="F8914" s="1043"/>
      <c r="G8914" s="1550"/>
    </row>
    <row r="8915" spans="1:7" ht="12.75" customHeight="1">
      <c r="A8915" s="1754">
        <v>45791</v>
      </c>
      <c r="B8915" s="116" t="str">
        <f>B8914</f>
        <v>Supermercado</v>
      </c>
      <c r="C8915" s="1740" t="s">
        <v>9519</v>
      </c>
      <c r="D8915" s="1736"/>
      <c r="E8915" s="135">
        <v>10.9</v>
      </c>
      <c r="F8915" s="1043"/>
      <c r="G8915" s="1550"/>
    </row>
    <row r="8916" spans="1:7" ht="12.75" customHeight="1">
      <c r="A8916" s="1754">
        <v>45791</v>
      </c>
      <c r="B8916" s="116" t="str">
        <f>B8906</f>
        <v>Mudanças</v>
      </c>
      <c r="C8916" s="1740" t="s">
        <v>9520</v>
      </c>
      <c r="D8916" s="1736"/>
      <c r="E8916" s="135">
        <v>1550</v>
      </c>
      <c r="F8916" s="1043"/>
      <c r="G8916" s="1550"/>
    </row>
    <row r="8917" spans="1:7" ht="12.75" customHeight="1">
      <c r="A8917" s="1754">
        <v>45791</v>
      </c>
      <c r="B8917" s="116" t="str">
        <f>TiposLancamentos!B19</f>
        <v>Restaurantes</v>
      </c>
      <c r="C8917" s="1740" t="s">
        <v>9521</v>
      </c>
      <c r="D8917" s="1736"/>
      <c r="E8917" s="135">
        <v>102.5</v>
      </c>
      <c r="F8917" s="1043"/>
      <c r="G8917" s="1550"/>
    </row>
    <row r="8918" spans="1:7" ht="12.75" customHeight="1">
      <c r="A8918" s="1754">
        <v>45791</v>
      </c>
      <c r="B8918" s="116" t="str">
        <f>TiposLancamentos!B103</f>
        <v>Juros_Corr. Poupança</v>
      </c>
      <c r="C8918" s="1740" t="s">
        <v>9450</v>
      </c>
      <c r="D8918" s="1736">
        <v>0.03</v>
      </c>
      <c r="E8918" s="135"/>
      <c r="F8918" s="1043"/>
      <c r="G8918" s="1550"/>
    </row>
    <row r="8919" spans="1:7" ht="12.75" customHeight="1">
      <c r="A8919" s="1754">
        <v>45792</v>
      </c>
      <c r="B8919" s="116" t="str">
        <f>TiposLancamentos!B12</f>
        <v>IPTU</v>
      </c>
      <c r="C8919" s="1740" t="s">
        <v>9522</v>
      </c>
      <c r="D8919" s="1736"/>
      <c r="E8919" s="135">
        <v>149.44999999999999</v>
      </c>
      <c r="F8919" s="1043"/>
      <c r="G8919" s="1550"/>
    </row>
    <row r="8920" spans="1:7" ht="12.75" customHeight="1">
      <c r="A8920" s="1754">
        <v>45792</v>
      </c>
      <c r="B8920" s="116" t="str">
        <f>TiposLancamentos!B2</f>
        <v>Telefonia</v>
      </c>
      <c r="C8920" s="1740" t="s">
        <v>9523</v>
      </c>
      <c r="D8920" s="1736"/>
      <c r="E8920" s="135">
        <v>71.44</v>
      </c>
      <c r="F8920" s="1043"/>
      <c r="G8920" s="1550"/>
    </row>
    <row r="8921" spans="1:7" ht="12.75" customHeight="1">
      <c r="A8921" s="1754">
        <v>45792</v>
      </c>
      <c r="B8921" s="116"/>
      <c r="C8921" s="1040" t="s">
        <v>1868</v>
      </c>
      <c r="D8921" s="1736">
        <v>0</v>
      </c>
      <c r="E8921" s="135"/>
      <c r="F8921" s="1664"/>
      <c r="G8921" s="1550"/>
    </row>
    <row r="8922" spans="1:7" ht="12.75" customHeight="1">
      <c r="A8922" s="1666">
        <v>45792</v>
      </c>
      <c r="B8922" s="817" t="str">
        <f>TiposLancamentos!B35</f>
        <v>Tv à Cabo</v>
      </c>
      <c r="C8922" s="1742" t="s">
        <v>5834</v>
      </c>
      <c r="D8922" s="1735"/>
      <c r="E8922" s="1733">
        <f>F8924-(E8923+E8924)</f>
        <v>139.68999999999997</v>
      </c>
      <c r="F8922" s="1290"/>
      <c r="G8922" s="1550"/>
    </row>
    <row r="8923" spans="1:7" ht="12.75" customHeight="1">
      <c r="A8923" s="1868">
        <v>45792</v>
      </c>
      <c r="B8923" s="816" t="str">
        <f>TiposLancamentos!B3</f>
        <v>Internet</v>
      </c>
      <c r="C8923" s="1769" t="s">
        <v>5835</v>
      </c>
      <c r="D8923" s="1736"/>
      <c r="E8923" s="1734">
        <v>119.9</v>
      </c>
      <c r="F8923" s="1043"/>
      <c r="G8923" s="1550"/>
    </row>
    <row r="8924" spans="1:7" ht="12.75" customHeight="1">
      <c r="A8924" s="1750">
        <v>45792</v>
      </c>
      <c r="B8924" s="818" t="str">
        <f>TiposLancamentos!B2</f>
        <v>Telefonia</v>
      </c>
      <c r="C8924" s="1743" t="s">
        <v>7210</v>
      </c>
      <c r="D8924" s="1737"/>
      <c r="E8924" s="1668">
        <v>0</v>
      </c>
      <c r="F8924" s="1291">
        <v>259.58999999999997</v>
      </c>
      <c r="G8924" s="1550"/>
    </row>
    <row r="8925" spans="1:7" ht="12.75" customHeight="1">
      <c r="A8925" s="1754">
        <v>45792</v>
      </c>
      <c r="B8925" s="116"/>
      <c r="C8925" s="1740" t="s">
        <v>1868</v>
      </c>
      <c r="D8925" s="1736">
        <v>0</v>
      </c>
      <c r="F8925" s="1043"/>
      <c r="G8925" s="1550"/>
    </row>
    <row r="8926" spans="1:7" ht="12.75" customHeight="1">
      <c r="A8926" s="1666">
        <v>45796</v>
      </c>
      <c r="B8926" s="817" t="str">
        <f>TiposLancamentos!B37</f>
        <v>Playstation 3</v>
      </c>
      <c r="C8926" s="1742" t="s">
        <v>9524</v>
      </c>
      <c r="D8926" s="1735"/>
      <c r="E8926" s="1733">
        <v>80</v>
      </c>
      <c r="F8926" s="1290"/>
      <c r="G8926" s="1550"/>
    </row>
    <row r="8927" spans="1:7" ht="12.75" customHeight="1">
      <c r="A8927" s="1868">
        <v>45796</v>
      </c>
      <c r="B8927" s="816" t="str">
        <f>TiposLancamentos!B37</f>
        <v>Playstation 3</v>
      </c>
      <c r="C8927" s="1769" t="s">
        <v>9525</v>
      </c>
      <c r="D8927" s="1736"/>
      <c r="E8927" s="1734">
        <v>90</v>
      </c>
      <c r="F8927" s="1043"/>
      <c r="G8927" s="1550"/>
    </row>
    <row r="8928" spans="1:7" ht="12.75" customHeight="1">
      <c r="A8928" s="1750">
        <v>45796</v>
      </c>
      <c r="B8928" s="818" t="str">
        <f>TiposLancamentos!B60</f>
        <v>Correio</v>
      </c>
      <c r="C8928" s="1743" t="s">
        <v>9526</v>
      </c>
      <c r="D8928" s="1737"/>
      <c r="E8928" s="1668">
        <v>21</v>
      </c>
      <c r="F8928" s="1291">
        <f>SUM(E8926:E8928)</f>
        <v>191</v>
      </c>
      <c r="G8928" s="1550"/>
    </row>
    <row r="8929" spans="1:7" ht="12.75" customHeight="1">
      <c r="A8929" s="1754"/>
      <c r="B8929" s="116"/>
      <c r="C8929" s="1740" t="s">
        <v>1868</v>
      </c>
      <c r="D8929" s="1736"/>
      <c r="E8929" s="1043"/>
      <c r="F8929" s="1656"/>
      <c r="G8929" s="1550"/>
    </row>
    <row r="8930" spans="1:7" ht="12.75" customHeight="1">
      <c r="A8930" s="1666">
        <v>45797</v>
      </c>
      <c r="B8930" s="817" t="str">
        <f>TiposLancamentos!B8</f>
        <v>Aluguel</v>
      </c>
      <c r="C8930" s="1744" t="s">
        <v>9047</v>
      </c>
      <c r="D8930" s="1735"/>
      <c r="E8930" s="1733">
        <f>F8936-SUM(E8931:E8936)</f>
        <v>1738.47</v>
      </c>
      <c r="F8930" s="1613"/>
      <c r="G8930" s="1550"/>
    </row>
    <row r="8931" spans="1:7" ht="12.75" customHeight="1">
      <c r="A8931" s="1667">
        <v>45797</v>
      </c>
      <c r="B8931" s="1864" t="str">
        <f>TiposLancamentos!B9</f>
        <v>Condominio</v>
      </c>
      <c r="C8931" s="1745" t="s">
        <v>9429</v>
      </c>
      <c r="D8931" s="1736"/>
      <c r="E8931" s="1734">
        <v>850.28</v>
      </c>
      <c r="F8931" s="1656"/>
      <c r="G8931" s="1550"/>
    </row>
    <row r="8932" spans="1:7" ht="12.75" customHeight="1">
      <c r="A8932" s="1667">
        <v>45797</v>
      </c>
      <c r="B8932" s="1864" t="str">
        <f>TiposLancamentos!B10</f>
        <v>Distr. Água Municipal</v>
      </c>
      <c r="C8932" s="1745" t="s">
        <v>7423</v>
      </c>
      <c r="D8932" s="1736"/>
      <c r="E8932" s="1734">
        <v>82.87</v>
      </c>
      <c r="F8932" s="1656"/>
      <c r="G8932" s="1550"/>
    </row>
    <row r="8933" spans="1:7" ht="12.75" customHeight="1">
      <c r="A8933" s="1667">
        <v>45797</v>
      </c>
      <c r="B8933" s="1864" t="str">
        <f>TiposLancamentos!B11</f>
        <v>Coleta Municipal Lixo</v>
      </c>
      <c r="C8933" s="1745" t="s">
        <v>7424</v>
      </c>
      <c r="D8933" s="1736"/>
      <c r="E8933" s="1734">
        <v>75.319999999999993</v>
      </c>
      <c r="F8933" s="1656"/>
      <c r="G8933" s="1550"/>
    </row>
    <row r="8934" spans="1:7" ht="12.75" customHeight="1">
      <c r="A8934" s="1667">
        <v>45797</v>
      </c>
      <c r="B8934" s="1864" t="str">
        <f>TiposLancamentos!B12</f>
        <v>IPTU</v>
      </c>
      <c r="C8934" s="1745" t="s">
        <v>9048</v>
      </c>
      <c r="D8934" s="1736"/>
      <c r="E8934" s="1734">
        <v>65.92</v>
      </c>
      <c r="F8934" s="1656"/>
      <c r="G8934" s="1550"/>
    </row>
    <row r="8935" spans="1:7" ht="12.75" customHeight="1">
      <c r="A8935" s="1667">
        <v>45797</v>
      </c>
      <c r="B8935" s="1864" t="str">
        <f>TiposLancamentos!B8</f>
        <v>Aluguel</v>
      </c>
      <c r="C8935" s="1745" t="s">
        <v>8955</v>
      </c>
      <c r="D8935" s="1736"/>
      <c r="E8935" s="1734">
        <v>8</v>
      </c>
      <c r="F8935" s="1656"/>
      <c r="G8935" s="1550"/>
    </row>
    <row r="8936" spans="1:7" ht="12.75" customHeight="1">
      <c r="A8936" s="1750">
        <v>45797</v>
      </c>
      <c r="B8936" s="1863" t="str">
        <f>TiposLancamentos!B34</f>
        <v>Seguros</v>
      </c>
      <c r="C8936" s="1746" t="s">
        <v>9262</v>
      </c>
      <c r="D8936" s="1737"/>
      <c r="E8936" s="1668">
        <v>0</v>
      </c>
      <c r="F8936" s="1518">
        <v>2820.86</v>
      </c>
      <c r="G8936" s="1550"/>
    </row>
    <row r="8937" spans="1:7" ht="12.75" customHeight="1">
      <c r="A8937" s="1754"/>
      <c r="B8937" s="125"/>
      <c r="C8937" s="1040" t="s">
        <v>1868</v>
      </c>
      <c r="D8937" s="1736"/>
      <c r="E8937" s="1043"/>
      <c r="F8937" s="1656"/>
      <c r="G8937" s="1550"/>
    </row>
    <row r="8938" spans="1:7" ht="12.75" customHeight="1">
      <c r="A8938" s="1754">
        <v>45798</v>
      </c>
      <c r="B8938" s="125" t="str">
        <f>TiposLancamentos!B13</f>
        <v>Moradia</v>
      </c>
      <c r="C8938" s="1040" t="s">
        <v>9527</v>
      </c>
      <c r="D8938" s="1736"/>
      <c r="E8938" s="1043">
        <v>75</v>
      </c>
      <c r="F8938" s="1656"/>
      <c r="G8938" s="1550"/>
    </row>
    <row r="8939" spans="1:7" ht="12.75" customHeight="1">
      <c r="A8939" s="1754">
        <v>45798</v>
      </c>
      <c r="B8939" s="116" t="str">
        <f>TiposLancamentos!B6</f>
        <v>Energia Eletrica</v>
      </c>
      <c r="C8939" s="1740" t="s">
        <v>9528</v>
      </c>
      <c r="D8939" s="1736"/>
      <c r="E8939" s="1043">
        <v>306.43</v>
      </c>
      <c r="F8939" s="1043"/>
      <c r="G8939" s="1550"/>
    </row>
    <row r="8940" spans="1:7" ht="12.75" customHeight="1">
      <c r="A8940" s="1754">
        <v>45800</v>
      </c>
      <c r="B8940" s="116" t="str">
        <f>TiposLancamentos!B16</f>
        <v>Cristiane</v>
      </c>
      <c r="C8940" s="1740" t="s">
        <v>9529</v>
      </c>
      <c r="D8940" s="1736"/>
      <c r="E8940" s="1043">
        <v>59</v>
      </c>
      <c r="F8940" s="1043"/>
      <c r="G8940" s="1550"/>
    </row>
    <row r="8941" spans="1:7" ht="12.75" customHeight="1">
      <c r="A8941" s="1754">
        <v>45801</v>
      </c>
      <c r="B8941" s="116" t="str">
        <f>TiposLancamentos!B32</f>
        <v>Clinicas e tratamentos</v>
      </c>
      <c r="C8941" s="1740" t="s">
        <v>9445</v>
      </c>
      <c r="D8941" s="1736"/>
      <c r="E8941" s="1043">
        <v>60</v>
      </c>
      <c r="F8941" s="1043"/>
      <c r="G8941" s="1550"/>
    </row>
    <row r="8942" spans="1:7" ht="12.75" customHeight="1">
      <c r="A8942" s="1754">
        <v>45803</v>
      </c>
      <c r="B8942" s="116" t="str">
        <f>TiposLancamentos!B95</f>
        <v>Salarios</v>
      </c>
      <c r="C8942" s="1740" t="s">
        <v>9530</v>
      </c>
      <c r="D8942" s="1736">
        <v>14200</v>
      </c>
      <c r="E8942" s="1043"/>
      <c r="F8942" s="1043"/>
      <c r="G8942" s="1550"/>
    </row>
    <row r="8943" spans="1:7" ht="12.75" customHeight="1">
      <c r="A8943" s="1754">
        <v>45803</v>
      </c>
      <c r="B8943" s="116"/>
      <c r="C8943" s="1740" t="s">
        <v>9531</v>
      </c>
      <c r="D8943" s="1736"/>
      <c r="E8943" s="1043"/>
      <c r="F8943" s="1043">
        <f>D8942*0.32</f>
        <v>4544</v>
      </c>
      <c r="G8943" s="1550"/>
    </row>
    <row r="8944" spans="1:7" ht="12.75" customHeight="1">
      <c r="A8944" s="1754">
        <v>45803</v>
      </c>
      <c r="B8944" s="116" t="str">
        <f>TiposLancamentos!B13</f>
        <v>Moradia</v>
      </c>
      <c r="C8944" s="1740" t="s">
        <v>9532</v>
      </c>
      <c r="D8944" s="1736"/>
      <c r="E8944" s="1043">
        <v>1000</v>
      </c>
      <c r="F8944" s="1043"/>
      <c r="G8944" s="1550"/>
    </row>
    <row r="8945" spans="1:7" ht="12.75" customHeight="1">
      <c r="A8945" s="1754">
        <v>45804</v>
      </c>
      <c r="B8945" s="116" t="str">
        <f>TiposLancamentos!B13</f>
        <v>Moradia</v>
      </c>
      <c r="C8945" s="1740" t="s">
        <v>9533</v>
      </c>
      <c r="D8945" s="1736"/>
      <c r="E8945" s="1043">
        <v>36</v>
      </c>
      <c r="F8945" s="1043"/>
      <c r="G8945" s="1550"/>
    </row>
    <row r="8946" spans="1:7" ht="12.75" customHeight="1">
      <c r="A8946" s="1754">
        <v>45804</v>
      </c>
      <c r="B8946" s="116" t="str">
        <f>TiposLancamentos!B7</f>
        <v>Apto. Proprio 01</v>
      </c>
      <c r="C8946" s="1740" t="s">
        <v>9534</v>
      </c>
      <c r="D8946" s="1736"/>
      <c r="E8946" s="1043">
        <v>870</v>
      </c>
      <c r="F8946" s="1043"/>
      <c r="G8946" s="1550"/>
    </row>
    <row r="8947" spans="1:7" ht="12.75" customHeight="1">
      <c r="A8947" s="1754">
        <v>45805</v>
      </c>
      <c r="B8947" s="116" t="str">
        <f>TiposLancamentos!B7</f>
        <v>Apto. Proprio 01</v>
      </c>
      <c r="C8947" s="1740" t="s">
        <v>9535</v>
      </c>
      <c r="D8947" s="1736"/>
      <c r="E8947" s="1043">
        <v>3626.77</v>
      </c>
      <c r="F8947" s="1043"/>
      <c r="G8947" s="1550"/>
    </row>
    <row r="8948" spans="1:7" ht="12.75" customHeight="1">
      <c r="A8948" s="1754">
        <v>45805</v>
      </c>
      <c r="B8948" s="116" t="str">
        <f>TiposLancamentos!B7</f>
        <v>Apto. Proprio 01</v>
      </c>
      <c r="C8948" s="1740" t="s">
        <v>9536</v>
      </c>
      <c r="D8948" s="1736"/>
      <c r="E8948" s="1043">
        <v>3</v>
      </c>
      <c r="F8948" s="1043"/>
      <c r="G8948" s="1550"/>
    </row>
    <row r="8949" spans="1:7" ht="12.75" customHeight="1">
      <c r="A8949" s="1754">
        <v>45807</v>
      </c>
      <c r="B8949" s="116" t="str">
        <f>TiposLancamentos!B5</f>
        <v>Supermercado</v>
      </c>
      <c r="C8949" s="1740" t="s">
        <v>9537</v>
      </c>
      <c r="D8949" s="1736"/>
      <c r="E8949" s="1043">
        <v>11.12</v>
      </c>
      <c r="F8949" s="1043"/>
      <c r="G8949" s="1550"/>
    </row>
    <row r="8950" spans="1:7" ht="12.75" customHeight="1">
      <c r="A8950" s="1754">
        <v>45807</v>
      </c>
      <c r="B8950" s="116" t="str">
        <f>TiposLancamentos!B43</f>
        <v>Imposto de Renda</v>
      </c>
      <c r="C8950" s="1740" t="s">
        <v>9538</v>
      </c>
      <c r="D8950" s="1736"/>
      <c r="E8950" s="1043">
        <v>807.48</v>
      </c>
      <c r="F8950" s="1043"/>
      <c r="G8950" s="1550"/>
    </row>
    <row r="8951" spans="1:7" ht="12.75" customHeight="1">
      <c r="A8951" s="1754">
        <v>45687</v>
      </c>
      <c r="B8951" s="116" t="str">
        <f>TiposLancamentos!B103</f>
        <v>Juros_Corr. Poupança</v>
      </c>
      <c r="C8951" s="1740" t="s">
        <v>9349</v>
      </c>
      <c r="D8951" s="1736">
        <v>0.01</v>
      </c>
      <c r="E8951" s="1043"/>
      <c r="F8951" s="1043"/>
      <c r="G8951" s="1550"/>
    </row>
    <row r="8952" spans="1:7" ht="12.75" customHeight="1" thickBot="1">
      <c r="A8952" s="1754">
        <v>45808</v>
      </c>
      <c r="B8952" s="116" t="str">
        <f>TiposLancamentos!B80</f>
        <v>Mudanças</v>
      </c>
      <c r="C8952" s="1740" t="s">
        <v>9539</v>
      </c>
      <c r="D8952" s="1736"/>
      <c r="E8952" s="1043">
        <v>300</v>
      </c>
      <c r="F8952" s="1043"/>
      <c r="G8952" s="1550"/>
    </row>
    <row r="8953" spans="1:7" ht="12.75" customHeight="1">
      <c r="A8953" s="1834"/>
      <c r="B8953" s="977"/>
      <c r="C8953" s="1854" t="s">
        <v>1647</v>
      </c>
      <c r="D8953" s="1823"/>
      <c r="E8953" s="1821"/>
      <c r="F8953" s="1821"/>
      <c r="G8953" s="1895"/>
    </row>
    <row r="8954" spans="1:7" ht="12.75" customHeight="1">
      <c r="A8954" s="884">
        <v>45810</v>
      </c>
      <c r="B8954" s="1748" t="str">
        <f>TiposLancamentos!B15</f>
        <v>Cartões de Crédito</v>
      </c>
      <c r="C8954" s="1203" t="s">
        <v>8016</v>
      </c>
      <c r="D8954" s="1736"/>
      <c r="E8954" s="1043">
        <v>3755.14</v>
      </c>
      <c r="F8954" s="1043"/>
      <c r="G8954" s="1550"/>
    </row>
    <row r="8955" spans="1:7" ht="12.75" customHeight="1">
      <c r="A8955" s="884">
        <v>45810</v>
      </c>
      <c r="B8955" s="1748" t="str">
        <f>TiposLancamentos!B15</f>
        <v>Cartões de Crédito</v>
      </c>
      <c r="C8955" s="1203" t="s">
        <v>8252</v>
      </c>
      <c r="D8955" s="1736"/>
      <c r="E8955" s="1043">
        <v>1608.63</v>
      </c>
      <c r="F8955" s="1043"/>
      <c r="G8955" s="1550"/>
    </row>
    <row r="8956" spans="1:7" ht="12.75" customHeight="1">
      <c r="A8956" s="884">
        <v>45810</v>
      </c>
      <c r="B8956" s="1748" t="str">
        <f>TiposLancamentos!B15</f>
        <v>Cartões de Crédito</v>
      </c>
      <c r="C8956" s="1203" t="s">
        <v>9361</v>
      </c>
      <c r="D8956" s="1736"/>
      <c r="E8956" s="1043">
        <v>1412.96</v>
      </c>
      <c r="F8956" s="1043"/>
      <c r="G8956" s="1550"/>
    </row>
    <row r="8957" spans="1:7" ht="12.75" customHeight="1">
      <c r="A8957" s="884">
        <v>45810</v>
      </c>
      <c r="B8957" s="1748" t="str">
        <f>TiposLancamentos!B15</f>
        <v>Cartões de Crédito</v>
      </c>
      <c r="C8957" s="1203" t="s">
        <v>9174</v>
      </c>
      <c r="D8957" s="1736"/>
      <c r="E8957" s="1043">
        <v>200.9</v>
      </c>
      <c r="F8957" s="1043"/>
      <c r="G8957" s="1550"/>
    </row>
    <row r="8958" spans="1:7" ht="12.75" customHeight="1">
      <c r="A8958" s="884">
        <v>45810</v>
      </c>
      <c r="B8958" s="1748" t="str">
        <f>TiposLancamentos!B15</f>
        <v>Cartões de Crédito</v>
      </c>
      <c r="C8958" s="1203" t="s">
        <v>9175</v>
      </c>
      <c r="D8958" s="1736"/>
      <c r="E8958" s="1043">
        <v>0</v>
      </c>
      <c r="F8958" s="1043"/>
      <c r="G8958" s="1550"/>
    </row>
    <row r="8959" spans="1:7" ht="12.75" customHeight="1">
      <c r="A8959" s="1754">
        <v>45810</v>
      </c>
      <c r="B8959" s="116" t="str">
        <f>TiposLancamentos!B14</f>
        <v>Gás de cozinha</v>
      </c>
      <c r="C8959" s="1740" t="s">
        <v>9540</v>
      </c>
      <c r="D8959" s="1736"/>
      <c r="E8959" s="135">
        <v>44.89</v>
      </c>
      <c r="F8959" s="1043"/>
      <c r="G8959" s="1550"/>
    </row>
    <row r="8960" spans="1:7" ht="12.75" customHeight="1">
      <c r="A8960" s="1754">
        <v>45811</v>
      </c>
      <c r="B8960" s="116" t="str">
        <f>TiposLancamentos!B6</f>
        <v>Energia Eletrica</v>
      </c>
      <c r="C8960" s="1740" t="s">
        <v>9541</v>
      </c>
      <c r="D8960" s="1736"/>
      <c r="E8960" s="135">
        <v>43.94</v>
      </c>
      <c r="F8960" s="1043"/>
      <c r="G8960" s="1550"/>
    </row>
    <row r="8961" spans="1:7" ht="12.75" customHeight="1">
      <c r="A8961" s="1754">
        <v>45810</v>
      </c>
      <c r="B8961" s="116" t="str">
        <f>TiposLancamentos!B103</f>
        <v>Juros_Corr. Poupança</v>
      </c>
      <c r="C8961" s="1740" t="s">
        <v>9542</v>
      </c>
      <c r="D8961" s="1736">
        <v>0.02</v>
      </c>
      <c r="E8961" s="135"/>
      <c r="F8961" s="1043"/>
      <c r="G8961" s="1550"/>
    </row>
    <row r="8962" spans="1:7" ht="12.75" customHeight="1">
      <c r="A8962" s="1754">
        <v>45811</v>
      </c>
      <c r="B8962" s="116" t="str">
        <f>TiposLancamentos!B4</f>
        <v>Taxas Bancarias</v>
      </c>
      <c r="C8962" s="1740" t="s">
        <v>9543</v>
      </c>
      <c r="D8962" s="1736"/>
      <c r="E8962" s="135">
        <v>20.75</v>
      </c>
      <c r="F8962" s="1043"/>
      <c r="G8962" s="1550"/>
    </row>
    <row r="8963" spans="1:7" ht="12.75" customHeight="1">
      <c r="A8963" s="1754">
        <v>45812</v>
      </c>
      <c r="B8963" s="116" t="str">
        <f>TiposLancamentos!B13</f>
        <v>Moradia</v>
      </c>
      <c r="C8963" s="1740" t="s">
        <v>9544</v>
      </c>
      <c r="D8963" s="1736"/>
      <c r="E8963" s="135">
        <v>1000</v>
      </c>
      <c r="F8963" s="1043"/>
      <c r="G8963" s="1550"/>
    </row>
    <row r="8964" spans="1:7" ht="12.75" customHeight="1">
      <c r="A8964" s="1754">
        <v>45813</v>
      </c>
      <c r="B8964" s="116" t="str">
        <f>TiposLancamentos!B4</f>
        <v>Taxas Bancarias</v>
      </c>
      <c r="C8964" s="1740" t="s">
        <v>8778</v>
      </c>
      <c r="D8964" s="1736"/>
      <c r="E8964" s="135">
        <v>128.38999999999999</v>
      </c>
      <c r="F8964" s="1043"/>
      <c r="G8964" s="1550"/>
    </row>
    <row r="8965" spans="1:7" ht="12.75" customHeight="1">
      <c r="A8965" s="1754">
        <v>45813</v>
      </c>
      <c r="B8965" s="116" t="str">
        <f>TiposLancamentos!B8</f>
        <v>Aluguel</v>
      </c>
      <c r="C8965" s="1740" t="s">
        <v>9545</v>
      </c>
      <c r="D8965" s="1736"/>
      <c r="E8965" s="135">
        <v>580</v>
      </c>
      <c r="F8965" s="1043"/>
      <c r="G8965" s="1550"/>
    </row>
    <row r="8966" spans="1:7" ht="12.75" customHeight="1">
      <c r="A8966" s="1754">
        <v>45814</v>
      </c>
      <c r="B8966" s="116" t="str">
        <f>TiposLancamentos!B95</f>
        <v>Salarios</v>
      </c>
      <c r="C8966" s="1740" t="s">
        <v>9490</v>
      </c>
      <c r="D8966" s="1736">
        <v>1780</v>
      </c>
      <c r="E8966" s="135"/>
      <c r="F8966" s="1043"/>
      <c r="G8966" s="1550"/>
    </row>
    <row r="8967" spans="1:7" ht="12.75" customHeight="1">
      <c r="A8967" s="1754">
        <v>45814</v>
      </c>
      <c r="B8967" s="116" t="str">
        <f>TiposLancamentos!B4</f>
        <v>Taxas Bancarias</v>
      </c>
      <c r="C8967" s="1740" t="s">
        <v>9546</v>
      </c>
      <c r="D8967" s="1736"/>
      <c r="E8967" s="135">
        <v>8.2899999999999991</v>
      </c>
      <c r="F8967" s="1043"/>
      <c r="G8967" s="1550"/>
    </row>
    <row r="8968" spans="1:7" ht="12.75" customHeight="1">
      <c r="A8968" s="1754">
        <v>45815</v>
      </c>
      <c r="B8968" s="116" t="str">
        <f>TiposLancamentos!B9</f>
        <v>Condominio</v>
      </c>
      <c r="C8968" s="1740" t="s">
        <v>9547</v>
      </c>
      <c r="D8968" s="1736"/>
      <c r="E8968" s="135">
        <v>1332.07</v>
      </c>
      <c r="F8968" s="1043"/>
      <c r="G8968" s="1550"/>
    </row>
    <row r="8969" spans="1:7" ht="12.75" customHeight="1">
      <c r="A8969" s="1754">
        <v>45815</v>
      </c>
      <c r="B8969" s="116" t="str">
        <f>TiposLancamentos!B9</f>
        <v>Condominio</v>
      </c>
      <c r="C8969" s="1740" t="s">
        <v>9548</v>
      </c>
      <c r="D8969" s="1736"/>
      <c r="E8969" s="135">
        <v>170</v>
      </c>
      <c r="F8969" s="1043"/>
      <c r="G8969" s="1550"/>
    </row>
    <row r="8970" spans="1:7" ht="12.75" customHeight="1">
      <c r="A8970" s="1754">
        <v>45818</v>
      </c>
      <c r="B8970" s="116" t="str">
        <f>TiposLancamentos!B46</f>
        <v>Maçonaria</v>
      </c>
      <c r="C8970" s="1740" t="s">
        <v>9549</v>
      </c>
      <c r="D8970" s="1736"/>
      <c r="E8970" s="135">
        <v>210</v>
      </c>
      <c r="F8970" s="1043"/>
      <c r="G8970" s="1550"/>
    </row>
    <row r="8971" spans="1:7" ht="12.75" customHeight="1">
      <c r="A8971" s="1754">
        <v>45822</v>
      </c>
      <c r="B8971" s="116" t="str">
        <f>TiposLancamentos!B60</f>
        <v>Correio</v>
      </c>
      <c r="C8971" s="1740" t="s">
        <v>9550</v>
      </c>
      <c r="D8971" s="1736"/>
      <c r="E8971" s="135">
        <v>24.2</v>
      </c>
      <c r="F8971" s="1043"/>
      <c r="G8971" s="1550"/>
    </row>
    <row r="8972" spans="1:7" ht="12.75" customHeight="1">
      <c r="A8972" s="1754">
        <v>45824</v>
      </c>
      <c r="B8972" s="116" t="str">
        <f>TiposLancamentos!B12</f>
        <v>IPTU</v>
      </c>
      <c r="C8972" s="1740" t="s">
        <v>9551</v>
      </c>
      <c r="D8972" s="1736"/>
      <c r="E8972" s="1043">
        <v>149.44999999999999</v>
      </c>
      <c r="F8972" s="1043"/>
      <c r="G8972" s="1550"/>
    </row>
    <row r="8973" spans="1:7" ht="12.75" customHeight="1">
      <c r="A8973" s="1754">
        <v>45824</v>
      </c>
      <c r="B8973" s="116" t="str">
        <f>TiposLancamentos!B2</f>
        <v>Telefonia</v>
      </c>
      <c r="C8973" s="1740" t="s">
        <v>9552</v>
      </c>
      <c r="D8973" s="1736"/>
      <c r="E8973" s="135">
        <v>71.44</v>
      </c>
      <c r="F8973" s="1043"/>
      <c r="G8973" s="1550"/>
    </row>
    <row r="8974" spans="1:7" ht="12.75" customHeight="1">
      <c r="A8974" s="1754">
        <v>45824</v>
      </c>
      <c r="B8974" s="116" t="str">
        <f>TiposLancamentos!B14</f>
        <v>Gás de cozinha</v>
      </c>
      <c r="C8974" s="1740" t="s">
        <v>9553</v>
      </c>
      <c r="D8974" s="1736"/>
      <c r="E8974" s="1043">
        <v>144.46</v>
      </c>
      <c r="F8974" s="1043"/>
      <c r="G8974" s="1550"/>
    </row>
    <row r="8975" spans="1:7" ht="12.75" customHeight="1">
      <c r="A8975" s="1754">
        <v>45824</v>
      </c>
      <c r="B8975" s="116"/>
      <c r="C8975" s="1040" t="s">
        <v>1868</v>
      </c>
      <c r="D8975" s="1736">
        <v>0</v>
      </c>
      <c r="E8975" s="135"/>
      <c r="F8975" s="1664"/>
      <c r="G8975" s="1550"/>
    </row>
    <row r="8976" spans="1:7" ht="12.75" customHeight="1">
      <c r="A8976" s="1666">
        <v>45824</v>
      </c>
      <c r="B8976" s="817" t="str">
        <f>TiposLancamentos!B35</f>
        <v>Tv à Cabo</v>
      </c>
      <c r="C8976" s="1742" t="s">
        <v>9554</v>
      </c>
      <c r="D8976" s="1735"/>
      <c r="E8976" s="1733">
        <f>F8978-(E8977+E8978)</f>
        <v>74.559999999999988</v>
      </c>
      <c r="F8976" s="1290"/>
      <c r="G8976" s="1550"/>
    </row>
    <row r="8977" spans="1:7" ht="12.75" customHeight="1">
      <c r="A8977" s="1868">
        <v>45824</v>
      </c>
      <c r="B8977" s="816" t="str">
        <f>TiposLancamentos!B3</f>
        <v>Internet</v>
      </c>
      <c r="C8977" s="1769" t="s">
        <v>9555</v>
      </c>
      <c r="D8977" s="1736"/>
      <c r="E8977" s="1734">
        <v>63.95</v>
      </c>
      <c r="F8977" s="1043"/>
      <c r="G8977" s="1550"/>
    </row>
    <row r="8978" spans="1:7" ht="12.75" customHeight="1">
      <c r="A8978" s="1750">
        <v>45824</v>
      </c>
      <c r="B8978" s="818" t="str">
        <f>TiposLancamentos!B2</f>
        <v>Telefonia</v>
      </c>
      <c r="C8978" s="1743" t="s">
        <v>9556</v>
      </c>
      <c r="D8978" s="1737"/>
      <c r="E8978" s="1668">
        <v>0</v>
      </c>
      <c r="F8978" s="1518">
        <v>138.51</v>
      </c>
      <c r="G8978" s="1550"/>
    </row>
    <row r="8979" spans="1:7" ht="12.75" customHeight="1">
      <c r="A8979" s="1754">
        <v>45824</v>
      </c>
      <c r="B8979" s="116"/>
      <c r="C8979" s="1740" t="s">
        <v>1868</v>
      </c>
      <c r="D8979" s="1736">
        <v>0</v>
      </c>
      <c r="F8979" s="1043"/>
      <c r="G8979" s="1550"/>
    </row>
    <row r="8980" spans="1:7" ht="12.75" customHeight="1">
      <c r="A8980" s="1666">
        <v>45824</v>
      </c>
      <c r="B8980" s="817" t="str">
        <f>TiposLancamentos!B35</f>
        <v>Tv à Cabo</v>
      </c>
      <c r="C8980" s="1742" t="s">
        <v>9557</v>
      </c>
      <c r="D8980" s="1735"/>
      <c r="E8980" s="1733">
        <f>F8982-(E8981+E8982)</f>
        <v>47.919999999999995</v>
      </c>
      <c r="F8980" s="1290"/>
      <c r="G8980" s="1550"/>
    </row>
    <row r="8981" spans="1:7" ht="12.75" customHeight="1">
      <c r="A8981" s="1868">
        <v>45824</v>
      </c>
      <c r="B8981" s="816" t="str">
        <f>TiposLancamentos!B3</f>
        <v>Internet</v>
      </c>
      <c r="C8981" s="1769" t="s">
        <v>9558</v>
      </c>
      <c r="D8981" s="1736"/>
      <c r="E8981" s="1734">
        <v>33.96</v>
      </c>
      <c r="F8981" s="1043"/>
      <c r="G8981" s="1550"/>
    </row>
    <row r="8982" spans="1:7" ht="12.75" customHeight="1">
      <c r="A8982" s="1750">
        <v>45824</v>
      </c>
      <c r="B8982" s="818" t="str">
        <f>TiposLancamentos!B2</f>
        <v>Telefonia</v>
      </c>
      <c r="C8982" s="1743" t="s">
        <v>9559</v>
      </c>
      <c r="D8982" s="1737"/>
      <c r="E8982" s="1668">
        <v>0</v>
      </c>
      <c r="F8982" s="1518">
        <v>81.88</v>
      </c>
      <c r="G8982" s="1550"/>
    </row>
    <row r="8983" spans="1:7" ht="12.75" customHeight="1">
      <c r="A8983" s="1754">
        <v>45824</v>
      </c>
      <c r="B8983" s="116"/>
      <c r="C8983" s="1740" t="s">
        <v>1868</v>
      </c>
      <c r="D8983" s="1736">
        <v>0</v>
      </c>
      <c r="F8983" s="1043"/>
      <c r="G8983" s="1550"/>
    </row>
    <row r="8984" spans="1:7" ht="12.75" customHeight="1">
      <c r="A8984" s="1754">
        <v>45825</v>
      </c>
      <c r="B8984" s="116" t="str">
        <f>TiposLancamentos!B2</f>
        <v>Telefonia</v>
      </c>
      <c r="C8984" s="1740" t="s">
        <v>9560</v>
      </c>
      <c r="D8984" s="1736"/>
      <c r="E8984" s="1043">
        <v>90.32</v>
      </c>
      <c r="F8984" s="1043"/>
      <c r="G8984" s="1550"/>
    </row>
    <row r="8985" spans="1:7" ht="12.75" customHeight="1">
      <c r="A8985" s="1754">
        <v>45826</v>
      </c>
      <c r="B8985" s="116" t="str">
        <f>TiposLancamentos!B69</f>
        <v>Consertos</v>
      </c>
      <c r="C8985" s="1740" t="s">
        <v>9561</v>
      </c>
      <c r="D8985" s="1736"/>
      <c r="E8985" s="1043">
        <v>170</v>
      </c>
      <c r="F8985" s="1043"/>
      <c r="G8985" s="1550"/>
    </row>
    <row r="8986" spans="1:7" ht="12.75" customHeight="1">
      <c r="A8986" s="1754">
        <v>45826</v>
      </c>
      <c r="B8986" s="116" t="str">
        <f>TiposLancamentos!B69</f>
        <v>Consertos</v>
      </c>
      <c r="C8986" s="1740" t="s">
        <v>9562</v>
      </c>
      <c r="D8986" s="1736"/>
      <c r="E8986" s="1043">
        <v>400</v>
      </c>
      <c r="F8986" s="1043"/>
      <c r="G8986" s="1550"/>
    </row>
    <row r="8987" spans="1:7" ht="12.75" customHeight="1">
      <c r="A8987" s="1754">
        <v>45829</v>
      </c>
      <c r="B8987" s="116" t="str">
        <f>TiposLancamentos!B24</f>
        <v>Estacionamentos</v>
      </c>
      <c r="C8987" s="1740" t="s">
        <v>9563</v>
      </c>
      <c r="D8987" s="1736"/>
      <c r="E8987" s="1043">
        <v>6.67</v>
      </c>
      <c r="F8987" s="1043"/>
      <c r="G8987" s="1550"/>
    </row>
    <row r="8988" spans="1:7" ht="12.75" customHeight="1">
      <c r="A8988" s="1754">
        <v>45830</v>
      </c>
      <c r="B8988" s="116" t="str">
        <f>TiposLancamentos!B7</f>
        <v>Apto. Proprio 01</v>
      </c>
      <c r="C8988" s="1740" t="s">
        <v>9564</v>
      </c>
      <c r="D8988" s="1736"/>
      <c r="E8988" s="1043">
        <v>1200</v>
      </c>
      <c r="F8988" s="1043"/>
      <c r="G8988" s="1550"/>
    </row>
    <row r="8989" spans="1:7" ht="12.75" customHeight="1">
      <c r="A8989" s="1754">
        <v>45831</v>
      </c>
      <c r="B8989" s="116" t="str">
        <f>TiposLancamentos!B6</f>
        <v>Energia Eletrica</v>
      </c>
      <c r="C8989" s="1740" t="s">
        <v>9565</v>
      </c>
      <c r="D8989" s="1736"/>
      <c r="E8989" s="1043">
        <v>117.8</v>
      </c>
      <c r="F8989" s="1043"/>
      <c r="G8989" s="1550"/>
    </row>
    <row r="8990" spans="1:7" ht="12.75" customHeight="1">
      <c r="A8990" s="1754">
        <v>45831</v>
      </c>
      <c r="B8990" s="116" t="str">
        <f>TiposLancamentos!B13</f>
        <v>Moradia</v>
      </c>
      <c r="C8990" s="1740" t="s">
        <v>9566</v>
      </c>
      <c r="D8990" s="1736"/>
      <c r="E8990" s="1043">
        <v>613</v>
      </c>
      <c r="F8990" s="1656"/>
      <c r="G8990" s="1550"/>
    </row>
    <row r="8991" spans="1:7" ht="12.75" customHeight="1">
      <c r="A8991" s="1754">
        <v>45832</v>
      </c>
      <c r="B8991" s="116" t="str">
        <f>TiposLancamentos!B13</f>
        <v>Moradia</v>
      </c>
      <c r="C8991" s="1740" t="s">
        <v>9567</v>
      </c>
      <c r="D8991" s="1736"/>
      <c r="E8991" s="1043">
        <v>36</v>
      </c>
      <c r="F8991" s="1656"/>
      <c r="G8991" s="1550"/>
    </row>
    <row r="8992" spans="1:7" ht="12.75" customHeight="1">
      <c r="A8992" s="1754">
        <v>45833</v>
      </c>
      <c r="B8992" s="116" t="str">
        <f>TiposLancamentos!B95</f>
        <v>Salarios</v>
      </c>
      <c r="C8992" s="1740" t="s">
        <v>9530</v>
      </c>
      <c r="D8992" s="1736">
        <v>13120</v>
      </c>
      <c r="E8992" s="1043"/>
      <c r="F8992" s="1656"/>
      <c r="G8992" s="1550"/>
    </row>
    <row r="8993" spans="1:7" ht="12.75" customHeight="1">
      <c r="A8993" s="1754">
        <v>45833</v>
      </c>
      <c r="B8993" s="116"/>
      <c r="C8993" s="1740" t="s">
        <v>9531</v>
      </c>
      <c r="D8993" s="1736"/>
      <c r="E8993" s="1043"/>
      <c r="F8993" s="1043">
        <v>4148.93</v>
      </c>
      <c r="G8993" s="1550"/>
    </row>
    <row r="8994" spans="1:7" ht="12.75" customHeight="1">
      <c r="A8994" s="1754">
        <v>45833</v>
      </c>
      <c r="B8994" s="125" t="str">
        <f>TiposLancamentos!B13</f>
        <v>Moradia</v>
      </c>
      <c r="C8994" s="1740" t="s">
        <v>9568</v>
      </c>
      <c r="D8994" s="1736"/>
      <c r="E8994" s="1043">
        <v>1200</v>
      </c>
      <c r="F8994" s="1656"/>
      <c r="G8994" s="1550"/>
    </row>
    <row r="8995" spans="1:7" ht="12.75" customHeight="1">
      <c r="A8995" s="1754"/>
      <c r="B8995" s="116"/>
      <c r="C8995" s="1740" t="s">
        <v>1868</v>
      </c>
      <c r="D8995" s="1736"/>
      <c r="E8995" s="1043"/>
      <c r="F8995" s="1656"/>
      <c r="G8995" s="1550"/>
    </row>
    <row r="8996" spans="1:7" ht="12.75" customHeight="1">
      <c r="A8996" s="1666">
        <v>45833</v>
      </c>
      <c r="B8996" s="817" t="str">
        <f>TiposLancamentos!B8</f>
        <v>Aluguel</v>
      </c>
      <c r="C8996" s="1744" t="s">
        <v>9569</v>
      </c>
      <c r="D8996" s="1735"/>
      <c r="E8996" s="1733">
        <f>F9002-SUM(E8997:E9002)</f>
        <v>1274.8800000000001</v>
      </c>
      <c r="F8996" s="1613"/>
      <c r="G8996" s="1550"/>
    </row>
    <row r="8997" spans="1:7" ht="12.75" customHeight="1">
      <c r="A8997" s="1868">
        <v>45833</v>
      </c>
      <c r="B8997" s="1864" t="str">
        <f>TiposLancamentos!B9</f>
        <v>Condominio</v>
      </c>
      <c r="C8997" s="1745" t="s">
        <v>9570</v>
      </c>
      <c r="D8997" s="1736"/>
      <c r="E8997" s="1734">
        <v>623.54</v>
      </c>
      <c r="F8997" s="1656"/>
      <c r="G8997" s="1550"/>
    </row>
    <row r="8998" spans="1:7" ht="12.75" customHeight="1">
      <c r="A8998" s="1667">
        <v>45833</v>
      </c>
      <c r="B8998" s="1864" t="str">
        <f>TiposLancamentos!B10</f>
        <v>Distr. Água Municipal</v>
      </c>
      <c r="C8998" s="1745" t="s">
        <v>9571</v>
      </c>
      <c r="D8998" s="1736"/>
      <c r="E8998" s="1734">
        <v>78.239999999999995</v>
      </c>
      <c r="F8998" s="1656"/>
      <c r="G8998" s="1550"/>
    </row>
    <row r="8999" spans="1:7" ht="12.75" customHeight="1">
      <c r="A8999" s="1667">
        <v>45833</v>
      </c>
      <c r="B8999" s="1864" t="str">
        <f>TiposLancamentos!B11</f>
        <v>Coleta Municipal Lixo</v>
      </c>
      <c r="C8999" s="1745" t="s">
        <v>9572</v>
      </c>
      <c r="D8999" s="1736"/>
      <c r="E8999" s="1734">
        <v>55.23</v>
      </c>
      <c r="F8999" s="1656"/>
      <c r="G8999" s="1550"/>
    </row>
    <row r="9000" spans="1:7" ht="12.75" customHeight="1">
      <c r="A9000" s="1667">
        <v>45833</v>
      </c>
      <c r="B9000" s="1864" t="str">
        <f>TiposLancamentos!B12</f>
        <v>IPTU</v>
      </c>
      <c r="C9000" s="1745" t="s">
        <v>9573</v>
      </c>
      <c r="D9000" s="1736"/>
      <c r="E9000" s="1734">
        <v>48.34</v>
      </c>
      <c r="F9000" s="1656"/>
      <c r="G9000" s="1550"/>
    </row>
    <row r="9001" spans="1:7" ht="12.75" customHeight="1">
      <c r="A9001" s="1868">
        <v>45833</v>
      </c>
      <c r="B9001" s="1864" t="str">
        <f>TiposLancamentos!B8</f>
        <v>Aluguel</v>
      </c>
      <c r="C9001" s="1745" t="s">
        <v>9574</v>
      </c>
      <c r="D9001" s="1736"/>
      <c r="E9001" s="1734">
        <v>8</v>
      </c>
      <c r="F9001" s="1656"/>
      <c r="G9001" s="1550"/>
    </row>
    <row r="9002" spans="1:7" ht="12.75" customHeight="1">
      <c r="A9002" s="1750">
        <v>45833</v>
      </c>
      <c r="B9002" s="1863" t="str">
        <f>TiposLancamentos!B34</f>
        <v>Seguros</v>
      </c>
      <c r="C9002" s="1746" t="s">
        <v>9575</v>
      </c>
      <c r="D9002" s="1737"/>
      <c r="E9002" s="1668">
        <v>0</v>
      </c>
      <c r="F9002" s="1518">
        <v>2088.23</v>
      </c>
      <c r="G9002" s="1550"/>
    </row>
    <row r="9003" spans="1:7" ht="12.75" customHeight="1">
      <c r="A9003" s="1754"/>
      <c r="B9003" s="125"/>
      <c r="C9003" s="1040" t="s">
        <v>1868</v>
      </c>
      <c r="D9003" s="1736"/>
      <c r="E9003" s="1043"/>
      <c r="F9003" s="1656"/>
      <c r="G9003" s="1550"/>
    </row>
    <row r="9004" spans="1:7" ht="12.75" customHeight="1">
      <c r="A9004" s="1754">
        <v>45838</v>
      </c>
      <c r="B9004" s="125" t="str">
        <f>TiposLancamentos!B103</f>
        <v>Juros_Corr. Poupança</v>
      </c>
      <c r="C9004" s="1040" t="s">
        <v>9576</v>
      </c>
      <c r="D9004" s="1736">
        <v>0.01</v>
      </c>
      <c r="E9004" s="135"/>
      <c r="F9004" s="1656"/>
      <c r="G9004" s="1550"/>
    </row>
    <row r="9005" spans="1:7" ht="12.75" customHeight="1" thickBot="1">
      <c r="A9005" s="1754">
        <v>45838</v>
      </c>
      <c r="B9005" s="125" t="str">
        <f>TiposLancamentos!B7</f>
        <v>Apto. Proprio 01</v>
      </c>
      <c r="C9005" s="1740" t="s">
        <v>9577</v>
      </c>
      <c r="D9005" s="1736"/>
      <c r="E9005" s="135">
        <v>3625.6</v>
      </c>
      <c r="F9005" s="1043"/>
      <c r="G9005" s="1550"/>
    </row>
    <row r="9006" spans="1:7" ht="12.75" customHeight="1">
      <c r="A9006" s="1834"/>
      <c r="B9006" s="977"/>
      <c r="C9006" s="1854" t="s">
        <v>1648</v>
      </c>
      <c r="D9006" s="1823"/>
      <c r="E9006" s="1821"/>
      <c r="F9006" s="1821"/>
      <c r="G9006" s="1895"/>
    </row>
    <row r="9007" spans="1:7" ht="12.75" customHeight="1">
      <c r="A9007" s="884">
        <v>45839</v>
      </c>
      <c r="B9007" s="1748" t="str">
        <f>TiposLancamentos!B15</f>
        <v>Cartões de Crédito</v>
      </c>
      <c r="C9007" s="1203" t="s">
        <v>8016</v>
      </c>
      <c r="D9007" s="1736"/>
      <c r="E9007" s="1043">
        <v>6117.83</v>
      </c>
      <c r="F9007" s="1043"/>
      <c r="G9007" s="1550"/>
    </row>
    <row r="9008" spans="1:7" ht="12.75" customHeight="1">
      <c r="A9008" s="884">
        <v>45839</v>
      </c>
      <c r="B9008" s="1748" t="str">
        <f>TiposLancamentos!B15</f>
        <v>Cartões de Crédito</v>
      </c>
      <c r="C9008" s="1203" t="s">
        <v>9361</v>
      </c>
      <c r="D9008" s="1736"/>
      <c r="E9008" s="1043">
        <v>2481.0100000000002</v>
      </c>
      <c r="F9008" s="1043"/>
      <c r="G9008" s="1550"/>
    </row>
    <row r="9009" spans="1:7" ht="12.75" customHeight="1">
      <c r="A9009" s="884">
        <v>45839</v>
      </c>
      <c r="B9009" s="1748" t="str">
        <f>TiposLancamentos!B15</f>
        <v>Cartões de Crédito</v>
      </c>
      <c r="C9009" s="1203" t="s">
        <v>8252</v>
      </c>
      <c r="D9009" s="1736"/>
      <c r="E9009" s="1043">
        <v>1796.55</v>
      </c>
      <c r="F9009" s="1043"/>
      <c r="G9009" s="1550"/>
    </row>
    <row r="9010" spans="1:7" ht="12.75" customHeight="1">
      <c r="A9010" s="884">
        <v>45839</v>
      </c>
      <c r="B9010" s="1748" t="str">
        <f>TiposLancamentos!B15</f>
        <v>Cartões de Crédito</v>
      </c>
      <c r="C9010" s="1203" t="s">
        <v>9174</v>
      </c>
      <c r="D9010" s="1736"/>
      <c r="E9010" s="1043">
        <v>182.32</v>
      </c>
      <c r="F9010" s="1043"/>
      <c r="G9010" s="1550"/>
    </row>
    <row r="9011" spans="1:7" ht="12.75" customHeight="1">
      <c r="A9011" s="884">
        <v>45839</v>
      </c>
      <c r="B9011" s="1748" t="str">
        <f>TiposLancamentos!B15</f>
        <v>Cartões de Crédito</v>
      </c>
      <c r="C9011" s="1203" t="s">
        <v>9175</v>
      </c>
      <c r="D9011" s="1736"/>
      <c r="E9011" s="1043">
        <v>50</v>
      </c>
      <c r="F9011" s="1043"/>
      <c r="G9011" s="1550"/>
    </row>
    <row r="9012" spans="1:7" ht="12" customHeight="1">
      <c r="A9012" s="884">
        <v>45840</v>
      </c>
      <c r="B9012" s="1748" t="str">
        <f>TiposLancamentos!B4</f>
        <v>Taxas Bancarias</v>
      </c>
      <c r="C9012" s="1203" t="s">
        <v>9578</v>
      </c>
      <c r="D9012" s="1736"/>
      <c r="E9012" s="1043">
        <v>64.959999999999994</v>
      </c>
      <c r="F9012" s="1043"/>
      <c r="G9012" s="1550"/>
    </row>
    <row r="9013" spans="1:7" ht="12.75" customHeight="1">
      <c r="A9013" s="884">
        <v>45841</v>
      </c>
      <c r="B9013" s="1748" t="str">
        <f>TiposLancamentos!B105</f>
        <v>Transf. Bco</v>
      </c>
      <c r="C9013" s="1203" t="s">
        <v>8714</v>
      </c>
      <c r="D9013" s="1736"/>
      <c r="E9013" s="1043">
        <v>442.61</v>
      </c>
      <c r="F9013" s="1043"/>
      <c r="G9013" s="1550"/>
    </row>
    <row r="9014" spans="1:7" ht="12.75" customHeight="1">
      <c r="A9014" s="884">
        <v>45841</v>
      </c>
      <c r="B9014" s="1748" t="str">
        <f>TiposLancamentos!B6</f>
        <v>Energia Eletrica</v>
      </c>
      <c r="C9014" s="1740" t="s">
        <v>9579</v>
      </c>
      <c r="D9014" s="1736"/>
      <c r="E9014" s="1043">
        <v>189.61</v>
      </c>
      <c r="F9014" s="1043"/>
      <c r="G9014" s="1550"/>
    </row>
    <row r="9015" spans="1:7" ht="12.75" customHeight="1">
      <c r="A9015" s="884">
        <v>45845</v>
      </c>
      <c r="B9015" s="1748" t="str">
        <f>TiposLancamentos!B95</f>
        <v>Salarios</v>
      </c>
      <c r="C9015" s="1740" t="s">
        <v>9490</v>
      </c>
      <c r="D9015" s="1736">
        <v>1780</v>
      </c>
      <c r="E9015" s="1043"/>
      <c r="F9015" s="1043"/>
      <c r="G9015" s="1550"/>
    </row>
    <row r="9016" spans="1:7" ht="12.75" customHeight="1">
      <c r="A9016" s="884">
        <v>45845</v>
      </c>
      <c r="B9016" s="1748" t="str">
        <f>TiposLancamentos!B8</f>
        <v>Aluguel</v>
      </c>
      <c r="C9016" s="1740" t="s">
        <v>9580</v>
      </c>
      <c r="D9016" s="1736"/>
      <c r="E9016" s="1043">
        <v>550</v>
      </c>
      <c r="F9016" s="1043"/>
      <c r="G9016" s="1550"/>
    </row>
    <row r="9017" spans="1:7" ht="12.75" customHeight="1">
      <c r="A9017" s="884">
        <v>45845</v>
      </c>
      <c r="B9017" s="1748" t="str">
        <f>TiposLancamentos!B9</f>
        <v>Condominio</v>
      </c>
      <c r="C9017" s="1740" t="s">
        <v>9581</v>
      </c>
      <c r="D9017" s="1736"/>
      <c r="E9017" s="1043">
        <v>1502.07</v>
      </c>
      <c r="F9017" s="1043"/>
      <c r="G9017" s="1550"/>
    </row>
    <row r="9018" spans="1:7" ht="12.75" customHeight="1">
      <c r="A9018" s="884">
        <v>45845</v>
      </c>
      <c r="B9018" s="1748" t="str">
        <f>TiposLancamentos!B9</f>
        <v>Condominio</v>
      </c>
      <c r="C9018" s="1740" t="s">
        <v>9582</v>
      </c>
      <c r="D9018" s="1736"/>
      <c r="E9018" s="1043">
        <v>0</v>
      </c>
      <c r="F9018" s="1043"/>
      <c r="G9018" s="1550"/>
    </row>
    <row r="9019" spans="1:7" ht="12.75" customHeight="1">
      <c r="A9019" s="884">
        <v>45845</v>
      </c>
      <c r="B9019" s="1748" t="str">
        <f>TiposLancamentos!B4</f>
        <v>Taxas Bancarias</v>
      </c>
      <c r="C9019" s="1740" t="s">
        <v>8778</v>
      </c>
      <c r="D9019" s="1736"/>
      <c r="E9019" s="1043">
        <v>551.85</v>
      </c>
      <c r="F9019" s="1043"/>
      <c r="G9019" s="1550"/>
    </row>
    <row r="9020" spans="1:7" ht="12.75" customHeight="1">
      <c r="A9020" s="884">
        <v>45846</v>
      </c>
      <c r="B9020" s="1748" t="str">
        <f>TiposLancamentos!B4</f>
        <v>Taxas Bancarias</v>
      </c>
      <c r="C9020" s="1740" t="s">
        <v>9583</v>
      </c>
      <c r="D9020" s="1736"/>
      <c r="E9020" s="1043">
        <v>34.49</v>
      </c>
      <c r="F9020" s="1043"/>
      <c r="G9020" s="1550"/>
    </row>
    <row r="9021" spans="1:7" ht="12.75" customHeight="1">
      <c r="A9021" s="884">
        <v>45852</v>
      </c>
      <c r="B9021" s="1748" t="str">
        <f>TiposLancamentos!B37</f>
        <v>Playstation 3</v>
      </c>
      <c r="C9021" s="1203" t="s">
        <v>9584</v>
      </c>
      <c r="D9021" s="1736"/>
      <c r="E9021" s="1043">
        <v>140</v>
      </c>
      <c r="F9021" s="1043"/>
      <c r="G9021" s="1550"/>
    </row>
    <row r="9022" spans="1:7" ht="12.75" customHeight="1">
      <c r="A9022" s="884">
        <v>45853</v>
      </c>
      <c r="B9022" s="1748" t="str">
        <f>TiposLancamentos!B12</f>
        <v>IPTU</v>
      </c>
      <c r="C9022" s="1203" t="s">
        <v>9585</v>
      </c>
      <c r="D9022" s="1736"/>
      <c r="E9022" s="1043">
        <v>149.44999999999999</v>
      </c>
      <c r="F9022" s="1043"/>
      <c r="G9022" s="1550"/>
    </row>
    <row r="9023" spans="1:7" ht="12.75" customHeight="1">
      <c r="A9023" s="884">
        <v>45853</v>
      </c>
      <c r="B9023" s="1748" t="str">
        <f>TiposLancamentos!B2</f>
        <v>Telefonia</v>
      </c>
      <c r="C9023" s="1740" t="s">
        <v>9586</v>
      </c>
      <c r="D9023" s="1736"/>
      <c r="E9023" s="1043">
        <v>77.61</v>
      </c>
      <c r="F9023" s="1043"/>
      <c r="G9023" s="1550"/>
    </row>
    <row r="9024" spans="1:7" ht="12.75" customHeight="1">
      <c r="A9024" s="1754">
        <v>45853</v>
      </c>
      <c r="B9024" s="116"/>
      <c r="C9024" s="1740" t="s">
        <v>1868</v>
      </c>
      <c r="D9024" s="1736">
        <v>0</v>
      </c>
      <c r="F9024" s="1043"/>
      <c r="G9024" s="1550"/>
    </row>
    <row r="9025" spans="1:7" ht="12.75" customHeight="1">
      <c r="A9025" s="1666">
        <v>45853</v>
      </c>
      <c r="B9025" s="817" t="str">
        <f>TiposLancamentos!B35</f>
        <v>Tv à Cabo</v>
      </c>
      <c r="C9025" s="1742" t="s">
        <v>9557</v>
      </c>
      <c r="D9025" s="1735"/>
      <c r="E9025" s="1733">
        <f>F9027-(E9026+E9027)</f>
        <v>119.79999999999998</v>
      </c>
      <c r="F9025" s="1290"/>
      <c r="G9025" s="1550"/>
    </row>
    <row r="9026" spans="1:7" ht="12.75" customHeight="1">
      <c r="A9026" s="1868">
        <v>45853</v>
      </c>
      <c r="B9026" s="816" t="str">
        <f>TiposLancamentos!B3</f>
        <v>Internet</v>
      </c>
      <c r="C9026" s="1769" t="s">
        <v>9558</v>
      </c>
      <c r="D9026" s="1736"/>
      <c r="E9026" s="1734">
        <v>84.9</v>
      </c>
      <c r="F9026" s="1043"/>
      <c r="G9026" s="1550"/>
    </row>
    <row r="9027" spans="1:7" ht="12.75" customHeight="1">
      <c r="A9027" s="1750">
        <v>45853</v>
      </c>
      <c r="B9027" s="818" t="str">
        <f>TiposLancamentos!B2</f>
        <v>Telefonia</v>
      </c>
      <c r="C9027" s="1743" t="s">
        <v>9559</v>
      </c>
      <c r="D9027" s="1737"/>
      <c r="E9027" s="1668">
        <v>0</v>
      </c>
      <c r="F9027" s="1518">
        <v>204.7</v>
      </c>
      <c r="G9027" s="1550"/>
    </row>
    <row r="9028" spans="1:7" ht="12.75" customHeight="1">
      <c r="A9028" s="1754">
        <v>45853</v>
      </c>
      <c r="B9028" s="116"/>
      <c r="C9028" s="1740" t="s">
        <v>1868</v>
      </c>
      <c r="D9028" s="1736">
        <v>0</v>
      </c>
      <c r="F9028" s="1043"/>
      <c r="G9028" s="1550"/>
    </row>
    <row r="9029" spans="1:7" ht="12.75" customHeight="1">
      <c r="A9029" s="884">
        <v>45854</v>
      </c>
      <c r="B9029" s="1748" t="str">
        <f>TiposLancamentos!B46</f>
        <v>Maçonaria</v>
      </c>
      <c r="C9029" s="1740" t="s">
        <v>9587</v>
      </c>
      <c r="D9029" s="1736"/>
      <c r="E9029" s="1043">
        <v>210</v>
      </c>
      <c r="F9029" s="1043"/>
      <c r="G9029" s="1550"/>
    </row>
    <row r="9030" spans="1:7" ht="12.75" customHeight="1">
      <c r="A9030" s="884">
        <v>45855</v>
      </c>
      <c r="B9030" s="1748" t="str">
        <f>TiposLancamentos!B3</f>
        <v>Internet</v>
      </c>
      <c r="C9030" s="1740" t="s">
        <v>9588</v>
      </c>
      <c r="D9030" s="1736"/>
      <c r="E9030" s="1043">
        <v>100</v>
      </c>
      <c r="F9030" s="1043"/>
      <c r="G9030" s="1550"/>
    </row>
    <row r="9031" spans="1:7" ht="12.75" customHeight="1">
      <c r="A9031" s="884">
        <v>45857</v>
      </c>
      <c r="B9031" s="1748" t="str">
        <f>TiposLancamentos!B7</f>
        <v>Apto. Proprio 01</v>
      </c>
      <c r="C9031" s="1203" t="s">
        <v>9589</v>
      </c>
      <c r="D9031" s="1736"/>
      <c r="E9031" s="1043">
        <v>30</v>
      </c>
      <c r="F9031" s="1043"/>
      <c r="G9031" s="1550"/>
    </row>
    <row r="9032" spans="1:7" ht="12.75" customHeight="1">
      <c r="A9032" s="884">
        <v>45859</v>
      </c>
      <c r="B9032" s="1748" t="str">
        <f>TiposLancamentos!B14</f>
        <v>Gás de cozinha</v>
      </c>
      <c r="C9032" s="1203" t="s">
        <v>9590</v>
      </c>
      <c r="D9032" s="1736"/>
      <c r="E9032" s="1043">
        <v>168.15</v>
      </c>
      <c r="F9032" s="1043"/>
      <c r="G9032" s="1550"/>
    </row>
    <row r="9033" spans="1:7" ht="12.75" customHeight="1">
      <c r="A9033" s="884">
        <v>45863</v>
      </c>
      <c r="B9033" s="1748" t="str">
        <f>TiposLancamentos!B95</f>
        <v>Salarios</v>
      </c>
      <c r="C9033" s="1740" t="s">
        <v>9530</v>
      </c>
      <c r="D9033" s="1736">
        <v>12400</v>
      </c>
      <c r="E9033" s="1043"/>
      <c r="F9033" s="1043"/>
      <c r="G9033" s="1550"/>
    </row>
    <row r="9034" spans="1:7" ht="12.75" customHeight="1">
      <c r="A9034" s="884">
        <v>45863</v>
      </c>
      <c r="B9034" s="1748"/>
      <c r="C9034" s="1740" t="s">
        <v>9531</v>
      </c>
      <c r="D9034" s="1736"/>
      <c r="E9034" s="1043"/>
      <c r="F9034" s="1043">
        <f>D9033*0.32</f>
        <v>3968</v>
      </c>
      <c r="G9034" s="1550"/>
    </row>
    <row r="9035" spans="1:7" ht="12.75" customHeight="1">
      <c r="A9035" s="884">
        <v>45866</v>
      </c>
      <c r="B9035" s="1748" t="str">
        <f>TiposLancamentos!B7</f>
        <v>Apto. Proprio 01</v>
      </c>
      <c r="C9035" s="1740" t="s">
        <v>9591</v>
      </c>
      <c r="D9035" s="1736"/>
      <c r="E9035" s="1043">
        <v>3624.26</v>
      </c>
      <c r="F9035" s="1043"/>
      <c r="G9035" s="1550"/>
    </row>
    <row r="9036" spans="1:7" ht="12.75" customHeight="1" thickBot="1">
      <c r="A9036" s="1754">
        <v>45868</v>
      </c>
      <c r="B9036" s="116" t="str">
        <f>TiposLancamentos!B13</f>
        <v>Moradia</v>
      </c>
      <c r="C9036" s="1740" t="s">
        <v>9592</v>
      </c>
      <c r="D9036" s="1736"/>
      <c r="E9036" s="1043">
        <v>18</v>
      </c>
      <c r="F9036" s="1043"/>
      <c r="G9036" s="1550"/>
    </row>
    <row r="9037" spans="1:7" ht="12.75" customHeight="1">
      <c r="A9037" s="1834"/>
      <c r="B9037" s="977"/>
      <c r="C9037" s="1854" t="s">
        <v>9593</v>
      </c>
      <c r="D9037" s="1823"/>
      <c r="E9037" s="1821"/>
      <c r="F9037" s="1821"/>
      <c r="G9037" s="1895"/>
    </row>
    <row r="9038" spans="1:7" ht="12.75" customHeight="1">
      <c r="A9038" s="884">
        <v>45870</v>
      </c>
      <c r="B9038" s="1748" t="str">
        <f>TiposLancamentos!B15</f>
        <v>Cartões de Crédito</v>
      </c>
      <c r="C9038" s="1740" t="s">
        <v>8016</v>
      </c>
      <c r="D9038" s="1736"/>
      <c r="E9038" s="1043">
        <v>5981.36</v>
      </c>
      <c r="F9038" s="1043"/>
      <c r="G9038" s="1550"/>
    </row>
    <row r="9039" spans="1:7" ht="12.75" customHeight="1">
      <c r="A9039" s="884">
        <v>45870</v>
      </c>
      <c r="B9039" s="1748" t="str">
        <f>TiposLancamentos!B15</f>
        <v>Cartões de Crédito</v>
      </c>
      <c r="C9039" s="1740" t="s">
        <v>9361</v>
      </c>
      <c r="D9039" s="1736"/>
      <c r="E9039" s="1043">
        <v>1677.69</v>
      </c>
      <c r="F9039" s="1043"/>
      <c r="G9039" s="1550"/>
    </row>
    <row r="9040" spans="1:7" ht="12.75" customHeight="1">
      <c r="A9040" s="884">
        <v>45870</v>
      </c>
      <c r="B9040" s="1748" t="str">
        <f>TiposLancamentos!B15</f>
        <v>Cartões de Crédito</v>
      </c>
      <c r="C9040" s="1740" t="s">
        <v>8252</v>
      </c>
      <c r="D9040" s="1736"/>
      <c r="E9040" s="1043">
        <v>1192.43</v>
      </c>
      <c r="F9040" s="1043"/>
      <c r="G9040" s="1550"/>
    </row>
    <row r="9041" spans="1:7" ht="12.75" customHeight="1">
      <c r="A9041" s="884">
        <v>45870</v>
      </c>
      <c r="B9041" s="1748" t="str">
        <f>TiposLancamentos!B15</f>
        <v>Cartões de Crédito</v>
      </c>
      <c r="C9041" s="1740" t="s">
        <v>9174</v>
      </c>
      <c r="D9041" s="1736"/>
      <c r="E9041" s="1043">
        <v>67.8</v>
      </c>
      <c r="F9041" s="1043"/>
      <c r="G9041" s="1550"/>
    </row>
    <row r="9042" spans="1:7" ht="12.75" customHeight="1">
      <c r="A9042" s="884">
        <v>45870</v>
      </c>
      <c r="B9042" s="1748" t="str">
        <f>TiposLancamentos!B15</f>
        <v>Cartões de Crédito</v>
      </c>
      <c r="C9042" s="1740" t="s">
        <v>9175</v>
      </c>
      <c r="D9042" s="1736"/>
      <c r="E9042" s="1043">
        <v>300</v>
      </c>
      <c r="F9042" s="1043"/>
      <c r="G9042" s="1550"/>
    </row>
    <row r="9043" spans="1:7" ht="12.75" customHeight="1">
      <c r="A9043" s="884">
        <v>45872</v>
      </c>
      <c r="B9043" s="1748" t="str">
        <f>TiposLancamentos!B37</f>
        <v>Playstation 3</v>
      </c>
      <c r="C9043" s="1740" t="s">
        <v>9594</v>
      </c>
      <c r="D9043" s="1736"/>
      <c r="E9043" s="1043">
        <v>60</v>
      </c>
      <c r="F9043" s="1043"/>
      <c r="G9043" s="1550"/>
    </row>
    <row r="9044" spans="1:7" ht="12.75" customHeight="1">
      <c r="A9044" s="884">
        <v>45872</v>
      </c>
      <c r="B9044" s="1748" t="str">
        <f>TiposLancamentos!B37</f>
        <v>Playstation 3</v>
      </c>
      <c r="C9044" s="1740" t="s">
        <v>9595</v>
      </c>
      <c r="D9044" s="1736"/>
      <c r="E9044" s="1043">
        <v>40</v>
      </c>
      <c r="F9044" s="1043"/>
      <c r="G9044" s="1550"/>
    </row>
    <row r="9045" spans="1:7" ht="12.75" customHeight="1">
      <c r="A9045" s="884">
        <v>45873</v>
      </c>
      <c r="B9045" s="1748" t="str">
        <f>TiposLancamentos!B4</f>
        <v>Taxas Bancarias</v>
      </c>
      <c r="C9045" s="1740" t="s">
        <v>9578</v>
      </c>
      <c r="D9045" s="1736"/>
      <c r="E9045" s="1043">
        <v>97.73</v>
      </c>
      <c r="F9045" s="1043"/>
      <c r="G9045" s="1550"/>
    </row>
    <row r="9046" spans="1:7" ht="12.75" customHeight="1">
      <c r="A9046" s="884">
        <v>45873</v>
      </c>
      <c r="B9046" s="1748" t="str">
        <f>TiposLancamentos!B6</f>
        <v>Energia Eletrica</v>
      </c>
      <c r="C9046" s="1740" t="s">
        <v>9596</v>
      </c>
      <c r="D9046" s="1736"/>
      <c r="E9046" s="1043">
        <v>245.82</v>
      </c>
      <c r="F9046" s="1043"/>
      <c r="G9046" s="1550"/>
    </row>
    <row r="9047" spans="1:7" ht="12.75" customHeight="1">
      <c r="A9047" s="884">
        <v>45872</v>
      </c>
      <c r="B9047" s="1748" t="str">
        <f>TiposLancamentos!B105</f>
        <v>Transf. Bco</v>
      </c>
      <c r="C9047" s="1740" t="s">
        <v>8714</v>
      </c>
      <c r="D9047" s="1736"/>
      <c r="E9047" s="1043">
        <v>462.33</v>
      </c>
      <c r="F9047" s="1043"/>
      <c r="G9047" s="1550"/>
    </row>
    <row r="9048" spans="1:7" ht="12.75" customHeight="1">
      <c r="A9048" s="884">
        <v>45873</v>
      </c>
      <c r="B9048" s="1748" t="str">
        <f>TiposLancamentos!B4</f>
        <v>Taxas Bancarias</v>
      </c>
      <c r="C9048" s="1740" t="s">
        <v>9597</v>
      </c>
      <c r="D9048" s="1736"/>
      <c r="E9048" s="1043">
        <v>55.7</v>
      </c>
      <c r="F9048" s="1043"/>
      <c r="G9048" s="1550"/>
    </row>
    <row r="9049" spans="1:7" ht="12.75" customHeight="1">
      <c r="A9049" s="884">
        <v>45874</v>
      </c>
      <c r="B9049" s="1748" t="str">
        <f>TiposLancamentos!B8</f>
        <v>Aluguel</v>
      </c>
      <c r="C9049" s="1740" t="s">
        <v>9598</v>
      </c>
      <c r="D9049" s="1736"/>
      <c r="E9049" s="1043">
        <v>550</v>
      </c>
      <c r="F9049" s="1043"/>
      <c r="G9049" s="1550"/>
    </row>
    <row r="9050" spans="1:7" ht="12.75" customHeight="1">
      <c r="A9050" s="884">
        <v>45874</v>
      </c>
      <c r="B9050" s="1748" t="str">
        <f>TiposLancamentos!B4</f>
        <v>Taxas Bancarias</v>
      </c>
      <c r="C9050" s="1740" t="s">
        <v>9599</v>
      </c>
      <c r="D9050" s="1736"/>
      <c r="E9050" s="1043">
        <v>1092.19</v>
      </c>
      <c r="F9050" s="1043"/>
      <c r="G9050" s="1550"/>
    </row>
    <row r="9051" spans="1:7" ht="12.75" customHeight="1">
      <c r="A9051" s="884">
        <v>45875</v>
      </c>
      <c r="B9051" s="1748" t="str">
        <f>TiposLancamentos!B23</f>
        <v>P208 GRIFFE 1.6 AUT BUSINESS</v>
      </c>
      <c r="C9051" s="1740" t="s">
        <v>9600</v>
      </c>
      <c r="D9051" s="1736"/>
      <c r="E9051" s="1043">
        <v>20</v>
      </c>
      <c r="F9051" s="1043"/>
      <c r="G9051" s="1550"/>
    </row>
    <row r="9052" spans="1:7" ht="12.75" customHeight="1">
      <c r="A9052" s="884">
        <v>45876</v>
      </c>
      <c r="B9052" s="1748" t="str">
        <f>TiposLancamentos!B95</f>
        <v>Salarios</v>
      </c>
      <c r="C9052" s="1740" t="s">
        <v>9490</v>
      </c>
      <c r="D9052" s="1736">
        <v>1780</v>
      </c>
      <c r="E9052" s="1043"/>
      <c r="F9052" s="1043"/>
      <c r="G9052" s="1550"/>
    </row>
    <row r="9053" spans="1:7" ht="12.75" customHeight="1">
      <c r="A9053" s="1754">
        <v>45876</v>
      </c>
      <c r="B9053" s="116" t="str">
        <f>TiposLancamentos!B4</f>
        <v>Taxas Bancarias</v>
      </c>
      <c r="C9053" s="1740" t="s">
        <v>9601</v>
      </c>
      <c r="D9053" s="1736"/>
      <c r="E9053" s="1043">
        <v>70.55</v>
      </c>
      <c r="F9053" s="1043"/>
      <c r="G9053" s="1550"/>
    </row>
    <row r="9054" spans="1:7" ht="12.75" customHeight="1">
      <c r="A9054" s="1754">
        <v>45876</v>
      </c>
      <c r="B9054" s="116" t="str">
        <f>TiposLancamentos!B9</f>
        <v>Condominio</v>
      </c>
      <c r="C9054" s="1740" t="s">
        <v>9602</v>
      </c>
      <c r="D9054" s="1736"/>
      <c r="E9054" s="1043">
        <v>1502.07</v>
      </c>
      <c r="F9054" s="1043"/>
      <c r="G9054" s="1550"/>
    </row>
    <row r="9055" spans="1:7" ht="12.75" customHeight="1">
      <c r="A9055" s="1754">
        <v>45876</v>
      </c>
      <c r="B9055" s="116" t="str">
        <f>TiposLancamentos!B9</f>
        <v>Condominio</v>
      </c>
      <c r="C9055" s="1740" t="s">
        <v>9603</v>
      </c>
      <c r="D9055" s="1736"/>
      <c r="E9055" s="1043">
        <v>0</v>
      </c>
      <c r="F9055" s="1043"/>
      <c r="G9055" s="1550"/>
    </row>
    <row r="9056" spans="1:7" ht="12.75" customHeight="1">
      <c r="A9056" s="1754">
        <v>45881</v>
      </c>
      <c r="B9056" s="116" t="str">
        <f>TiposLancamentos!B95</f>
        <v>Salarios</v>
      </c>
      <c r="C9056" s="1740" t="s">
        <v>9604</v>
      </c>
      <c r="D9056" s="1736">
        <v>700</v>
      </c>
      <c r="E9056" s="1043"/>
      <c r="F9056" s="1043"/>
      <c r="G9056" s="1550"/>
    </row>
    <row r="9057" spans="1:7" ht="12.75" customHeight="1">
      <c r="A9057" s="1754">
        <v>45881</v>
      </c>
      <c r="B9057" s="116" t="str">
        <f>TiposLancamentos!B46</f>
        <v>Maçonaria</v>
      </c>
      <c r="C9057" s="1740" t="s">
        <v>9605</v>
      </c>
      <c r="D9057" s="1736"/>
      <c r="E9057" s="1043">
        <v>210</v>
      </c>
      <c r="F9057" s="1043"/>
      <c r="G9057" s="1550"/>
    </row>
    <row r="9058" spans="1:7" ht="12.75" customHeight="1">
      <c r="A9058" s="884">
        <v>45883</v>
      </c>
      <c r="B9058" s="1748" t="str">
        <f>TiposLancamentos!B14</f>
        <v>Gás de cozinha</v>
      </c>
      <c r="C9058" s="1203" t="s">
        <v>9590</v>
      </c>
      <c r="D9058" s="1736"/>
      <c r="E9058" s="1043">
        <v>49.85</v>
      </c>
      <c r="F9058" s="1043"/>
      <c r="G9058" s="1550"/>
    </row>
    <row r="9059" spans="1:7" ht="12.75" customHeight="1">
      <c r="A9059" s="1754">
        <v>45884</v>
      </c>
      <c r="B9059" s="116" t="str">
        <f>TiposLancamentos!B12</f>
        <v>IPTU</v>
      </c>
      <c r="C9059" s="1740" t="s">
        <v>9606</v>
      </c>
      <c r="D9059" s="1736"/>
      <c r="E9059" s="1043">
        <v>149.44999999999999</v>
      </c>
      <c r="F9059" s="1043"/>
      <c r="G9059" s="1550"/>
    </row>
    <row r="9060" spans="1:7" ht="12.75" customHeight="1">
      <c r="A9060" s="884">
        <v>45884</v>
      </c>
      <c r="B9060" s="1748" t="str">
        <f>TiposLancamentos!B2</f>
        <v>Telefonia</v>
      </c>
      <c r="C9060" s="1740" t="s">
        <v>9607</v>
      </c>
      <c r="D9060" s="1736"/>
      <c r="E9060" s="1043">
        <v>77.61</v>
      </c>
      <c r="F9060" s="1043"/>
      <c r="G9060" s="1550"/>
    </row>
    <row r="9061" spans="1:7" ht="12.75" customHeight="1">
      <c r="A9061" s="1754">
        <v>45884</v>
      </c>
      <c r="B9061" s="116"/>
      <c r="C9061" s="1740" t="s">
        <v>1868</v>
      </c>
      <c r="D9061" s="1736">
        <v>0</v>
      </c>
      <c r="E9061" s="1043"/>
      <c r="F9061" s="1043"/>
      <c r="G9061" s="1550"/>
    </row>
    <row r="9062" spans="1:7" ht="12.75" customHeight="1">
      <c r="A9062" s="1666">
        <v>45884</v>
      </c>
      <c r="B9062" s="817" t="str">
        <f>TiposLancamentos!B35</f>
        <v>Tv à Cabo</v>
      </c>
      <c r="C9062" s="1742" t="s">
        <v>9557</v>
      </c>
      <c r="D9062" s="1735"/>
      <c r="E9062" s="1733">
        <f>F9064-(E9063+E9064)</f>
        <v>119.79999999999998</v>
      </c>
      <c r="F9062" s="1290"/>
      <c r="G9062" s="1550"/>
    </row>
    <row r="9063" spans="1:7" ht="12.75" customHeight="1">
      <c r="A9063" s="1868">
        <v>45884</v>
      </c>
      <c r="B9063" s="816" t="str">
        <f>TiposLancamentos!B3</f>
        <v>Internet</v>
      </c>
      <c r="C9063" s="1769" t="s">
        <v>9558</v>
      </c>
      <c r="D9063" s="1736"/>
      <c r="E9063" s="1734">
        <v>84.9</v>
      </c>
      <c r="F9063" s="1043"/>
      <c r="G9063" s="1550"/>
    </row>
    <row r="9064" spans="1:7" ht="12.75" customHeight="1">
      <c r="A9064" s="1750">
        <v>45884</v>
      </c>
      <c r="B9064" s="818" t="str">
        <f>TiposLancamentos!B2</f>
        <v>Telefonia</v>
      </c>
      <c r="C9064" s="1743" t="s">
        <v>9559</v>
      </c>
      <c r="D9064" s="1737"/>
      <c r="E9064" s="1668">
        <v>0</v>
      </c>
      <c r="F9064" s="1518">
        <v>204.7</v>
      </c>
      <c r="G9064" s="1550"/>
    </row>
    <row r="9065" spans="1:7" ht="12.75" customHeight="1">
      <c r="A9065" s="1754">
        <v>45884</v>
      </c>
      <c r="B9065" s="116"/>
      <c r="C9065" s="1740" t="s">
        <v>1868</v>
      </c>
      <c r="D9065" s="1736">
        <v>0</v>
      </c>
      <c r="F9065" s="1043"/>
      <c r="G9065" s="1550"/>
    </row>
    <row r="9066" spans="1:7" ht="12.75" customHeight="1">
      <c r="A9066" s="884">
        <v>45884</v>
      </c>
      <c r="B9066" s="1748" t="str">
        <f>TiposLancamentos!B3</f>
        <v>Internet</v>
      </c>
      <c r="C9066" s="1740" t="s">
        <v>9608</v>
      </c>
      <c r="D9066" s="1736"/>
      <c r="E9066" s="1043">
        <v>100</v>
      </c>
      <c r="F9066" s="1043"/>
      <c r="G9066" s="1550"/>
    </row>
    <row r="9067" spans="1:7" ht="12.75" customHeight="1">
      <c r="A9067" s="1754">
        <v>45884</v>
      </c>
      <c r="B9067" s="116" t="str">
        <f>TiposLancamentos!B13</f>
        <v>Moradia</v>
      </c>
      <c r="C9067" s="1740" t="s">
        <v>9415</v>
      </c>
      <c r="D9067" s="1736"/>
      <c r="E9067" s="1043">
        <v>36</v>
      </c>
      <c r="F9067" s="1043"/>
      <c r="G9067" s="1550"/>
    </row>
    <row r="9068" spans="1:7" ht="12.75" customHeight="1">
      <c r="A9068" s="884">
        <v>45888</v>
      </c>
      <c r="B9068" s="1748" t="str">
        <f>TiposLancamentos!B95</f>
        <v>Salarios</v>
      </c>
      <c r="C9068" s="1203" t="s">
        <v>9609</v>
      </c>
      <c r="D9068" s="1736">
        <v>700</v>
      </c>
      <c r="E9068" s="1043"/>
      <c r="F9068" s="1043"/>
      <c r="G9068" s="1550"/>
    </row>
    <row r="9069" spans="1:7" ht="12.75" customHeight="1">
      <c r="A9069" s="1754">
        <v>45894</v>
      </c>
      <c r="B9069" s="116" t="str">
        <f>TiposLancamentos!B95</f>
        <v>Salarios</v>
      </c>
      <c r="C9069" s="1740" t="s">
        <v>9530</v>
      </c>
      <c r="D9069" s="1736">
        <v>13840</v>
      </c>
      <c r="E9069" s="1043"/>
      <c r="F9069" s="1043"/>
      <c r="G9069" s="1550"/>
    </row>
    <row r="9070" spans="1:7" ht="12.75" customHeight="1">
      <c r="A9070" s="884">
        <v>45894</v>
      </c>
      <c r="B9070" s="1748"/>
      <c r="C9070" s="1740" t="s">
        <v>9531</v>
      </c>
      <c r="D9070" s="1736"/>
      <c r="E9070" s="1043"/>
      <c r="F9070" s="1043">
        <f>D9069*0.32</f>
        <v>4428.8</v>
      </c>
      <c r="G9070" s="1550"/>
    </row>
    <row r="9071" spans="1:7" ht="12.75" customHeight="1" thickBot="1">
      <c r="A9071" s="884">
        <v>45897</v>
      </c>
      <c r="B9071" s="1748" t="str">
        <f>TiposLancamentos!B7</f>
        <v>Apto. Proprio 01</v>
      </c>
      <c r="C9071" s="1740" t="s">
        <v>9610</v>
      </c>
      <c r="D9071" s="1736"/>
      <c r="E9071" s="1043">
        <v>3628.1</v>
      </c>
      <c r="F9071" s="1043"/>
      <c r="G9071" s="1550"/>
    </row>
    <row r="9072" spans="1:7" ht="12.75" customHeight="1">
      <c r="A9072" s="1834"/>
      <c r="B9072" s="977"/>
      <c r="C9072" s="1854" t="s">
        <v>9611</v>
      </c>
      <c r="D9072" s="1823"/>
      <c r="E9072" s="1821"/>
      <c r="F9072" s="1821"/>
      <c r="G9072" s="1895"/>
    </row>
    <row r="9073" spans="1:7" ht="12.75" customHeight="1">
      <c r="A9073" s="884">
        <v>45901</v>
      </c>
      <c r="B9073" s="1748" t="str">
        <f>TiposLancamentos!B15</f>
        <v>Cartões de Crédito</v>
      </c>
      <c r="C9073" s="1740" t="s">
        <v>8016</v>
      </c>
      <c r="D9073" s="1736"/>
      <c r="E9073" s="1043">
        <v>7189.72</v>
      </c>
      <c r="F9073" s="1043"/>
      <c r="G9073" s="1550"/>
    </row>
    <row r="9074" spans="1:7" ht="12.75" customHeight="1">
      <c r="A9074" s="884">
        <v>45901</v>
      </c>
      <c r="B9074" s="1748" t="str">
        <f>TiposLancamentos!B15</f>
        <v>Cartões de Crédito</v>
      </c>
      <c r="C9074" s="1740" t="s">
        <v>8252</v>
      </c>
      <c r="D9074" s="1736"/>
      <c r="E9074" s="1043">
        <v>1192.43</v>
      </c>
      <c r="F9074" s="1043"/>
      <c r="G9074" s="1550"/>
    </row>
    <row r="9075" spans="1:7" ht="12.75" customHeight="1">
      <c r="A9075" s="884">
        <v>45901</v>
      </c>
      <c r="B9075" s="1748" t="str">
        <f>TiposLancamentos!B15</f>
        <v>Cartões de Crédito</v>
      </c>
      <c r="C9075" s="1740" t="s">
        <v>9361</v>
      </c>
      <c r="D9075" s="1736"/>
      <c r="E9075" s="1043">
        <v>431.39</v>
      </c>
      <c r="F9075" s="1043"/>
      <c r="G9075" s="1550"/>
    </row>
    <row r="9076" spans="1:7" ht="12.75" customHeight="1">
      <c r="A9076" s="884">
        <v>45901</v>
      </c>
      <c r="B9076" s="1748" t="str">
        <f>TiposLancamentos!B15</f>
        <v>Cartões de Crédito</v>
      </c>
      <c r="C9076" s="1740" t="s">
        <v>9174</v>
      </c>
      <c r="D9076" s="1736"/>
      <c r="E9076" s="1043">
        <v>0</v>
      </c>
      <c r="F9076" s="1043"/>
      <c r="G9076" s="1550"/>
    </row>
    <row r="9077" spans="1:7" ht="12.75" customHeight="1">
      <c r="A9077" s="884">
        <v>45901</v>
      </c>
      <c r="B9077" s="1748" t="str">
        <f>TiposLancamentos!B15</f>
        <v>Cartões de Crédito</v>
      </c>
      <c r="C9077" s="1740" t="s">
        <v>9175</v>
      </c>
      <c r="D9077" s="1736"/>
      <c r="E9077" s="1043">
        <v>0</v>
      </c>
      <c r="F9077" s="1043"/>
      <c r="G9077" s="1550"/>
    </row>
    <row r="9078" spans="1:7" ht="12.75" customHeight="1">
      <c r="A9078" s="1754">
        <v>45901</v>
      </c>
      <c r="B9078" s="116" t="str">
        <f>TiposLancamentos!B46</f>
        <v>Maçonaria</v>
      </c>
      <c r="C9078" s="1740" t="s">
        <v>9612</v>
      </c>
      <c r="D9078" s="1736"/>
      <c r="E9078" s="1043">
        <v>84</v>
      </c>
      <c r="F9078" s="1043"/>
      <c r="G9078" s="1550"/>
    </row>
    <row r="9079" spans="1:7" ht="12.75" customHeight="1">
      <c r="A9079" s="1754">
        <v>45902</v>
      </c>
      <c r="B9079" s="116" t="str">
        <f>TiposLancamentos!B4</f>
        <v>Taxas Bancarias</v>
      </c>
      <c r="C9079" s="1740" t="s">
        <v>9578</v>
      </c>
      <c r="D9079" s="1736"/>
      <c r="E9079" s="1043">
        <v>101.92</v>
      </c>
      <c r="F9079" s="1043"/>
      <c r="G9079" s="1550"/>
    </row>
    <row r="9080" spans="1:7" ht="12.75" customHeight="1">
      <c r="A9080" s="1754">
        <v>45902</v>
      </c>
      <c r="B9080" s="116" t="str">
        <f>TiposLancamentos!B36</f>
        <v>Playstation 2</v>
      </c>
      <c r="C9080" s="1740" t="s">
        <v>9613</v>
      </c>
      <c r="D9080" s="1736"/>
      <c r="E9080" s="1043">
        <v>200</v>
      </c>
      <c r="F9080" s="1043"/>
      <c r="G9080" s="1550"/>
    </row>
    <row r="9081" spans="1:7" ht="12.75" customHeight="1">
      <c r="A9081" s="1754">
        <v>45903</v>
      </c>
      <c r="B9081" s="116" t="str">
        <f>TiposLancamentos!B6</f>
        <v>Energia Eletrica</v>
      </c>
      <c r="C9081" s="1740" t="s">
        <v>9614</v>
      </c>
      <c r="D9081" s="1736"/>
      <c r="E9081" s="1043">
        <v>269.73</v>
      </c>
      <c r="F9081" s="1043"/>
      <c r="G9081" s="1550"/>
    </row>
    <row r="9082" spans="1:7" ht="12.75" customHeight="1">
      <c r="A9082" s="1754">
        <v>45903</v>
      </c>
      <c r="B9082" s="116" t="str">
        <f>TiposLancamentos!B105</f>
        <v>Transf. Bco</v>
      </c>
      <c r="C9082" s="1740" t="s">
        <v>8714</v>
      </c>
      <c r="D9082" s="1736"/>
      <c r="E9082" s="1043">
        <v>466.31</v>
      </c>
      <c r="F9082" s="1043"/>
      <c r="G9082" s="1550"/>
    </row>
    <row r="9083" spans="1:7" ht="12.75" customHeight="1">
      <c r="A9083" s="1754">
        <v>45903</v>
      </c>
      <c r="B9083" s="116" t="str">
        <f>TiposLancamentos!B4</f>
        <v>Taxas Bancarias</v>
      </c>
      <c r="C9083" s="1740" t="s">
        <v>9615</v>
      </c>
      <c r="D9083" s="1736"/>
      <c r="E9083" s="1043">
        <v>55.7</v>
      </c>
      <c r="F9083" s="1043"/>
      <c r="G9083" s="1550"/>
    </row>
    <row r="9084" spans="1:7" ht="12.75" customHeight="1">
      <c r="A9084" s="1754">
        <v>45905</v>
      </c>
      <c r="B9084" s="116" t="str">
        <f>TiposLancamentos!B95</f>
        <v>Salarios</v>
      </c>
      <c r="C9084" s="1740" t="s">
        <v>9490</v>
      </c>
      <c r="D9084" s="1736">
        <v>1780</v>
      </c>
      <c r="E9084" s="1043"/>
      <c r="F9084" s="1043"/>
      <c r="G9084" s="1550"/>
    </row>
    <row r="9085" spans="1:7" ht="12.75" customHeight="1">
      <c r="A9085" s="1754">
        <v>45905</v>
      </c>
      <c r="B9085" s="116" t="str">
        <f>TiposLancamentos!B8</f>
        <v>Aluguel</v>
      </c>
      <c r="C9085" s="1740" t="s">
        <v>9616</v>
      </c>
      <c r="D9085" s="1736"/>
      <c r="E9085" s="1043">
        <v>550</v>
      </c>
      <c r="F9085" s="1043"/>
      <c r="G9085" s="1550"/>
    </row>
    <row r="9086" spans="1:7" ht="12.75" customHeight="1">
      <c r="A9086" s="1754">
        <v>45908</v>
      </c>
      <c r="B9086" s="116" t="str">
        <f>TiposLancamentos!B4</f>
        <v>Taxas Bancarias</v>
      </c>
      <c r="C9086" s="1740" t="s">
        <v>9599</v>
      </c>
      <c r="D9086" s="1736"/>
      <c r="E9086" s="1043">
        <v>1277.49</v>
      </c>
      <c r="F9086" s="1043"/>
      <c r="G9086" s="1550"/>
    </row>
    <row r="9087" spans="1:7" ht="12.75" customHeight="1">
      <c r="A9087" s="1754">
        <v>45908</v>
      </c>
      <c r="B9087" s="116" t="str">
        <f>TiposLancamentos!B9</f>
        <v>Condominio</v>
      </c>
      <c r="C9087" s="1740" t="s">
        <v>9617</v>
      </c>
      <c r="D9087" s="1736"/>
      <c r="E9087" s="1043">
        <v>1472.07</v>
      </c>
      <c r="F9087" s="1043"/>
      <c r="G9087" s="1550"/>
    </row>
    <row r="9088" spans="1:7" ht="12.75" customHeight="1">
      <c r="A9088" s="1754">
        <v>45908</v>
      </c>
      <c r="B9088" s="116" t="str">
        <f>TiposLancamentos!B13</f>
        <v>Moradia</v>
      </c>
      <c r="C9088" s="1740" t="s">
        <v>9618</v>
      </c>
      <c r="D9088" s="1736"/>
      <c r="E9088" s="1043">
        <v>36</v>
      </c>
      <c r="F9088" s="1043"/>
      <c r="G9088" s="1550"/>
    </row>
    <row r="9089" spans="1:7" ht="12.75" customHeight="1">
      <c r="A9089" s="1754">
        <v>45908</v>
      </c>
      <c r="B9089" s="116" t="str">
        <f>TiposLancamentos!B4</f>
        <v>Taxas Bancarias</v>
      </c>
      <c r="C9089" s="1740" t="s">
        <v>9619</v>
      </c>
      <c r="D9089" s="1736"/>
      <c r="E9089" s="1043">
        <v>82.52</v>
      </c>
      <c r="F9089" s="1043"/>
      <c r="G9089" s="1550"/>
    </row>
    <row r="9090" spans="1:7" ht="12.75" customHeight="1">
      <c r="A9090" s="1754">
        <v>45915</v>
      </c>
      <c r="B9090" s="116" t="str">
        <f>TiposLancamentos!B12</f>
        <v>IPTU</v>
      </c>
      <c r="C9090" s="1740" t="s">
        <v>9620</v>
      </c>
      <c r="D9090" s="1736"/>
      <c r="E9090" s="1043">
        <v>149.44999999999999</v>
      </c>
      <c r="F9090" s="1043"/>
      <c r="G9090" s="1550"/>
    </row>
    <row r="9091" spans="1:7" ht="12.75" customHeight="1">
      <c r="A9091" s="884">
        <v>45915</v>
      </c>
      <c r="B9091" s="1748" t="str">
        <f>TiposLancamentos!B2</f>
        <v>Telefonia</v>
      </c>
      <c r="C9091" s="1740" t="s">
        <v>9621</v>
      </c>
      <c r="D9091" s="1736"/>
      <c r="E9091" s="1043">
        <v>77.61</v>
      </c>
      <c r="F9091" s="1043"/>
      <c r="G9091" s="1550"/>
    </row>
    <row r="9092" spans="1:7" ht="12.75" customHeight="1">
      <c r="A9092" s="1754">
        <v>45915</v>
      </c>
      <c r="B9092" s="116"/>
      <c r="C9092" s="1740" t="s">
        <v>1868</v>
      </c>
      <c r="D9092" s="1736">
        <v>0</v>
      </c>
      <c r="E9092" s="1043"/>
      <c r="F9092" s="1043"/>
      <c r="G9092" s="1550"/>
    </row>
    <row r="9093" spans="1:7" ht="12.75" customHeight="1">
      <c r="A9093" s="1666">
        <v>45915</v>
      </c>
      <c r="B9093" s="817" t="str">
        <f>TiposLancamentos!B35</f>
        <v>Tv à Cabo</v>
      </c>
      <c r="C9093" s="1742" t="s">
        <v>9557</v>
      </c>
      <c r="D9093" s="1735"/>
      <c r="E9093" s="1733">
        <f>F9095-(E9094+E9095)</f>
        <v>119.79999999999998</v>
      </c>
      <c r="F9093" s="1290"/>
      <c r="G9093" s="1550"/>
    </row>
    <row r="9094" spans="1:7" ht="12.75" customHeight="1">
      <c r="A9094" s="1868">
        <v>45915</v>
      </c>
      <c r="B9094" s="816" t="str">
        <f>TiposLancamentos!B3</f>
        <v>Internet</v>
      </c>
      <c r="C9094" s="1769" t="s">
        <v>9558</v>
      </c>
      <c r="D9094" s="1736"/>
      <c r="E9094" s="1734">
        <v>84.9</v>
      </c>
      <c r="F9094" s="1043"/>
      <c r="G9094" s="1550"/>
    </row>
    <row r="9095" spans="1:7" ht="12.75" customHeight="1">
      <c r="A9095" s="1750">
        <v>45915</v>
      </c>
      <c r="B9095" s="818" t="str">
        <f>TiposLancamentos!B2</f>
        <v>Telefonia</v>
      </c>
      <c r="C9095" s="1743" t="s">
        <v>9559</v>
      </c>
      <c r="D9095" s="1737">
        <v>0</v>
      </c>
      <c r="E9095" s="1668">
        <v>0</v>
      </c>
      <c r="F9095" s="1518">
        <v>204.7</v>
      </c>
      <c r="G9095" s="1550"/>
    </row>
    <row r="9096" spans="1:7" ht="12.75" customHeight="1">
      <c r="A9096" s="1754">
        <v>45915</v>
      </c>
      <c r="B9096" s="116"/>
      <c r="C9096" s="1740" t="s">
        <v>1868</v>
      </c>
      <c r="D9096" s="1736">
        <v>0</v>
      </c>
      <c r="F9096" s="1043"/>
      <c r="G9096" s="1550"/>
    </row>
    <row r="9097" spans="1:7" ht="12.75" customHeight="1">
      <c r="A9097" s="1754">
        <v>45915</v>
      </c>
      <c r="B9097" s="116" t="str">
        <f>TiposLancamentos!B46</f>
        <v>Maçonaria</v>
      </c>
      <c r="C9097" s="1740" t="s">
        <v>9622</v>
      </c>
      <c r="D9097" s="1736"/>
      <c r="E9097" s="1043">
        <v>210</v>
      </c>
      <c r="F9097" s="1043"/>
      <c r="G9097" s="1550"/>
    </row>
    <row r="9098" spans="1:7" ht="12.75" customHeight="1">
      <c r="A9098" s="1754">
        <v>45915</v>
      </c>
      <c r="B9098" s="116" t="str">
        <f>TiposLancamentos!B38</f>
        <v>Playstation 4</v>
      </c>
      <c r="C9098" s="1740" t="s">
        <v>9623</v>
      </c>
      <c r="D9098" s="1736"/>
      <c r="E9098" s="1043">
        <v>300</v>
      </c>
      <c r="F9098" s="1043"/>
      <c r="G9098" s="1550"/>
    </row>
    <row r="9099" spans="1:7" ht="12.75" customHeight="1">
      <c r="A9099" s="1754">
        <v>45916</v>
      </c>
      <c r="B9099" s="116" t="str">
        <f>TiposLancamentos!B14</f>
        <v>Gás de cozinha</v>
      </c>
      <c r="C9099" s="1740" t="s">
        <v>9590</v>
      </c>
      <c r="D9099" s="1736"/>
      <c r="E9099" s="1043">
        <v>70.67</v>
      </c>
      <c r="F9099" s="1043"/>
      <c r="G9099" s="1550"/>
    </row>
    <row r="9100" spans="1:7" ht="12.75" customHeight="1">
      <c r="A9100" s="884">
        <v>45917</v>
      </c>
      <c r="B9100" s="1748" t="str">
        <f>TiposLancamentos!B3</f>
        <v>Internet</v>
      </c>
      <c r="C9100" s="1740" t="s">
        <v>9624</v>
      </c>
      <c r="D9100" s="1736"/>
      <c r="E9100" s="1043">
        <v>100</v>
      </c>
      <c r="F9100" s="1043"/>
      <c r="G9100" s="1550"/>
    </row>
    <row r="9101" spans="1:7" ht="12.75" customHeight="1">
      <c r="A9101" s="1754">
        <v>45917</v>
      </c>
      <c r="B9101" s="116" t="str">
        <f>TiposLancamentos!B60</f>
        <v>Correio</v>
      </c>
      <c r="C9101" s="1740" t="s">
        <v>9625</v>
      </c>
      <c r="D9101" s="1736"/>
      <c r="E9101" s="1043">
        <v>15</v>
      </c>
      <c r="F9101" s="1043"/>
      <c r="G9101" s="1550"/>
    </row>
    <row r="9102" spans="1:7" ht="12.75" customHeight="1">
      <c r="A9102" s="1754">
        <v>45918</v>
      </c>
      <c r="B9102" s="116" t="str">
        <f>TiposLancamentos!B95</f>
        <v>Salarios</v>
      </c>
      <c r="C9102" s="1740" t="s">
        <v>9626</v>
      </c>
      <c r="D9102" s="1736">
        <v>700</v>
      </c>
      <c r="E9102" s="1043"/>
      <c r="F9102" s="1043"/>
      <c r="G9102" s="1550"/>
    </row>
    <row r="9103" spans="1:7" ht="12.75" customHeight="1">
      <c r="A9103" s="1754">
        <v>45922</v>
      </c>
      <c r="B9103" s="116" t="str">
        <f>TiposLancamentos!B105</f>
        <v>Transf. Bco</v>
      </c>
      <c r="C9103" s="1740" t="s">
        <v>9627</v>
      </c>
      <c r="D9103" s="1736">
        <v>16</v>
      </c>
      <c r="E9103" s="1043"/>
      <c r="F9103" s="1043"/>
      <c r="G9103" s="1550"/>
    </row>
    <row r="9104" spans="1:7" ht="12.75" customHeight="1">
      <c r="A9104" s="1754">
        <v>45925</v>
      </c>
      <c r="B9104" s="116" t="str">
        <f>TiposLancamentos!B7</f>
        <v>Apto. Proprio 01</v>
      </c>
      <c r="C9104" s="1740" t="s">
        <v>9530</v>
      </c>
      <c r="D9104" s="1736">
        <v>13120</v>
      </c>
      <c r="E9104" s="1043"/>
      <c r="F9104" s="1043"/>
      <c r="G9104" s="1550"/>
    </row>
    <row r="9105" spans="1:7" ht="12.75" customHeight="1">
      <c r="A9105" s="884">
        <v>45925</v>
      </c>
      <c r="B9105" s="1748"/>
      <c r="C9105" s="1740" t="s">
        <v>9531</v>
      </c>
      <c r="D9105" s="1736"/>
      <c r="E9105" s="1043"/>
      <c r="F9105" s="1043">
        <f>D9104*0.32</f>
        <v>4198.3999999999996</v>
      </c>
      <c r="G9105" s="1550"/>
    </row>
    <row r="9106" spans="1:7" ht="12.75" customHeight="1" thickBot="1">
      <c r="A9106" s="884">
        <v>45928</v>
      </c>
      <c r="B9106" s="1748" t="str">
        <f>TiposLancamentos!B7</f>
        <v>Apto. Proprio 01</v>
      </c>
      <c r="C9106" s="1740" t="s">
        <v>9628</v>
      </c>
      <c r="D9106" s="1736"/>
      <c r="E9106" s="1043">
        <v>3626.89</v>
      </c>
      <c r="F9106" s="1043"/>
      <c r="G9106" s="1550"/>
    </row>
    <row r="9107" spans="1:7" ht="12.75" customHeight="1">
      <c r="A9107" s="1834"/>
      <c r="B9107" s="977"/>
      <c r="C9107" s="1854" t="s">
        <v>9629</v>
      </c>
      <c r="D9107" s="1823"/>
      <c r="E9107" s="1821"/>
      <c r="F9107" s="1821"/>
      <c r="G9107" s="1895"/>
    </row>
    <row r="9108" spans="1:7" ht="12.75" customHeight="1">
      <c r="A9108" s="884">
        <v>45931</v>
      </c>
      <c r="B9108" s="1748" t="str">
        <f>TiposLancamentos!B15</f>
        <v>Cartões de Crédito</v>
      </c>
      <c r="C9108" s="1740" t="s">
        <v>8016</v>
      </c>
      <c r="D9108" s="1736"/>
      <c r="E9108" s="1043">
        <v>4423.9399999999996</v>
      </c>
      <c r="F9108" s="1043"/>
      <c r="G9108" s="1550"/>
    </row>
    <row r="9109" spans="1:7" ht="12.75" customHeight="1">
      <c r="A9109" s="884">
        <v>45931</v>
      </c>
      <c r="B9109" s="1748" t="str">
        <f>TiposLancamentos!B15</f>
        <v>Cartões de Crédito</v>
      </c>
      <c r="C9109" s="1740" t="s">
        <v>9361</v>
      </c>
      <c r="D9109" s="1736"/>
      <c r="E9109" s="1043">
        <v>2532.4</v>
      </c>
      <c r="F9109" s="1043"/>
      <c r="G9109" s="1550"/>
    </row>
    <row r="9110" spans="1:7" ht="12.75" customHeight="1">
      <c r="A9110" s="884">
        <v>45931</v>
      </c>
      <c r="B9110" s="1748" t="str">
        <f>TiposLancamentos!B15</f>
        <v>Cartões de Crédito</v>
      </c>
      <c r="C9110" s="1740" t="s">
        <v>9175</v>
      </c>
      <c r="D9110" s="1736"/>
      <c r="E9110" s="1043">
        <v>1226.77</v>
      </c>
      <c r="F9110" s="1043"/>
      <c r="G9110" s="1550"/>
    </row>
    <row r="9111" spans="1:7" ht="12.75" customHeight="1">
      <c r="A9111" s="884">
        <v>45931</v>
      </c>
      <c r="B9111" s="1748" t="str">
        <f>TiposLancamentos!B15</f>
        <v>Cartões de Crédito</v>
      </c>
      <c r="C9111" s="1740" t="s">
        <v>8252</v>
      </c>
      <c r="D9111" s="1736"/>
      <c r="E9111" s="1043">
        <v>1192.43</v>
      </c>
      <c r="F9111" s="1043"/>
      <c r="G9111" s="1550"/>
    </row>
    <row r="9112" spans="1:7" ht="12.75" customHeight="1">
      <c r="A9112" s="884">
        <v>45931</v>
      </c>
      <c r="B9112" s="1748" t="str">
        <f>TiposLancamentos!B15</f>
        <v>Cartões de Crédito</v>
      </c>
      <c r="C9112" s="1740" t="s">
        <v>9174</v>
      </c>
      <c r="D9112" s="1736"/>
      <c r="E9112" s="1043">
        <v>0</v>
      </c>
      <c r="F9112" s="1043"/>
      <c r="G9112" s="1550"/>
    </row>
    <row r="9113" spans="1:7" ht="12.75" customHeight="1">
      <c r="A9113" s="1754">
        <v>45932</v>
      </c>
      <c r="B9113" s="116" t="str">
        <f>TiposLancamentos!B4</f>
        <v>Taxas Bancarias</v>
      </c>
      <c r="C9113" s="1740" t="s">
        <v>9578</v>
      </c>
      <c r="D9113" s="1736"/>
      <c r="E9113" s="1043">
        <v>105.15</v>
      </c>
      <c r="F9113" s="1043"/>
      <c r="G9113" s="1550"/>
    </row>
    <row r="9114" spans="1:7" ht="12.75" customHeight="1">
      <c r="A9114" s="1754">
        <v>45932</v>
      </c>
      <c r="B9114" s="116" t="str">
        <f>TiposLancamentos!B6</f>
        <v>Energia Eletrica</v>
      </c>
      <c r="C9114" s="1740" t="s">
        <v>9630</v>
      </c>
      <c r="D9114" s="1736"/>
      <c r="E9114" s="1043">
        <v>236.07</v>
      </c>
      <c r="F9114" s="1043"/>
      <c r="G9114" s="1550"/>
    </row>
    <row r="9115" spans="1:7" ht="12.75" customHeight="1">
      <c r="A9115" s="1754">
        <v>45932</v>
      </c>
      <c r="B9115" s="116" t="str">
        <f>TiposLancamentos!B105</f>
        <v>Transf. Bco</v>
      </c>
      <c r="C9115" s="1740" t="s">
        <v>9631</v>
      </c>
      <c r="D9115" s="1736">
        <v>9651.4599999999991</v>
      </c>
      <c r="E9115" s="1043"/>
      <c r="F9115" s="1043"/>
      <c r="G9115" s="1550"/>
    </row>
    <row r="9116" spans="1:7" ht="12.75" customHeight="1">
      <c r="A9116" s="1754">
        <v>45933</v>
      </c>
      <c r="B9116" s="116" t="str">
        <f>TiposLancamentos!B95</f>
        <v>Salarios</v>
      </c>
      <c r="C9116" s="1740" t="s">
        <v>9632</v>
      </c>
      <c r="D9116" s="1736">
        <v>700</v>
      </c>
      <c r="E9116" s="1043"/>
      <c r="F9116" s="1043"/>
      <c r="G9116" s="1550"/>
    </row>
    <row r="9117" spans="1:7" ht="12.75" customHeight="1">
      <c r="A9117" s="1754">
        <v>45936</v>
      </c>
      <c r="B9117" s="116" t="str">
        <f>TiposLancamentos!B8</f>
        <v>Aluguel</v>
      </c>
      <c r="C9117" s="1740" t="s">
        <v>9633</v>
      </c>
      <c r="D9117" s="1736"/>
      <c r="E9117" s="1043">
        <v>550</v>
      </c>
      <c r="F9117" s="1043"/>
      <c r="G9117" s="1550"/>
    </row>
    <row r="9118" spans="1:7" ht="12.75" customHeight="1">
      <c r="A9118" s="1754">
        <v>45936</v>
      </c>
      <c r="B9118" s="116" t="str">
        <f>TiposLancamentos!B4</f>
        <v>Taxas Bancarias</v>
      </c>
      <c r="C9118" s="1740" t="s">
        <v>9599</v>
      </c>
      <c r="D9118" s="1736"/>
      <c r="E9118" s="1043">
        <v>1375.99</v>
      </c>
      <c r="F9118" s="1043"/>
      <c r="G9118" s="1550"/>
    </row>
    <row r="9119" spans="1:7" ht="12.75" customHeight="1">
      <c r="A9119" s="1754">
        <v>45937</v>
      </c>
      <c r="B9119" s="116" t="str">
        <f>TiposLancamentos!B95</f>
        <v>Salarios</v>
      </c>
      <c r="C9119" s="1740" t="s">
        <v>9490</v>
      </c>
      <c r="D9119" s="1736">
        <v>1780</v>
      </c>
      <c r="E9119" s="1043"/>
      <c r="F9119" s="1043"/>
      <c r="G9119" s="1550"/>
    </row>
    <row r="9120" spans="1:7" ht="12.75" customHeight="1">
      <c r="A9120" s="1754">
        <v>45937</v>
      </c>
      <c r="B9120" s="116" t="str">
        <f>TiposLancamentos!B9</f>
        <v>Condominio</v>
      </c>
      <c r="C9120" s="1740" t="s">
        <v>9634</v>
      </c>
      <c r="D9120" s="1736"/>
      <c r="E9120" s="1043">
        <v>1472.07</v>
      </c>
      <c r="F9120" s="1043"/>
      <c r="G9120" s="1550"/>
    </row>
    <row r="9121" spans="1:7" ht="12.75" customHeight="1">
      <c r="A9121" s="1754">
        <v>45937</v>
      </c>
      <c r="B9121" s="116" t="str">
        <f>TiposLancamentos!B4</f>
        <v>Taxas Bancarias</v>
      </c>
      <c r="C9121" s="1740" t="s">
        <v>9635</v>
      </c>
      <c r="D9121" s="1736"/>
      <c r="E9121" s="1043">
        <v>0</v>
      </c>
      <c r="F9121" s="1043"/>
      <c r="G9121" s="1550"/>
    </row>
    <row r="9122" spans="1:7" ht="12.75" customHeight="1">
      <c r="A9122" s="1754">
        <v>45937</v>
      </c>
      <c r="B9122" s="116" t="str">
        <f>TiposLancamentos!B4</f>
        <v>Taxas Bancarias</v>
      </c>
      <c r="C9122" s="1740" t="s">
        <v>9636</v>
      </c>
      <c r="D9122" s="1736"/>
      <c r="E9122" s="1043">
        <v>85.99</v>
      </c>
      <c r="F9122" s="1043"/>
      <c r="G9122" s="1550"/>
    </row>
    <row r="9123" spans="1:7" ht="12.75" customHeight="1">
      <c r="A9123" s="1754">
        <v>45939</v>
      </c>
      <c r="B9123" s="116" t="str">
        <f>TiposLancamentos!B13</f>
        <v>Moradia</v>
      </c>
      <c r="C9123" s="1740" t="s">
        <v>8783</v>
      </c>
      <c r="D9123" s="1736"/>
      <c r="E9123" s="1043">
        <v>36</v>
      </c>
      <c r="F9123" s="1043"/>
      <c r="G9123" s="1550"/>
    </row>
    <row r="9124" spans="1:7" ht="12.75" customHeight="1">
      <c r="A9124" s="1666">
        <v>45940</v>
      </c>
      <c r="B9124" s="817" t="str">
        <f>TiposLancamentos!B37</f>
        <v>Playstation 3</v>
      </c>
      <c r="C9124" s="1742" t="s">
        <v>9637</v>
      </c>
      <c r="D9124" s="1735"/>
      <c r="E9124" s="1733">
        <v>220</v>
      </c>
      <c r="F9124" s="1290"/>
      <c r="G9124" s="1550"/>
    </row>
    <row r="9125" spans="1:7" ht="12.75" customHeight="1">
      <c r="A9125" s="1750">
        <v>45940</v>
      </c>
      <c r="B9125" s="818" t="str">
        <f>TiposLancamentos!B60</f>
        <v>Correio</v>
      </c>
      <c r="C9125" s="1743" t="s">
        <v>9637</v>
      </c>
      <c r="D9125" s="1737"/>
      <c r="E9125" s="1668">
        <v>15</v>
      </c>
      <c r="F9125" s="1518">
        <f>SUM(E9124:E9125)</f>
        <v>235</v>
      </c>
      <c r="G9125" s="1550"/>
    </row>
    <row r="9126" spans="1:7" ht="12.75" customHeight="1">
      <c r="A9126" s="1754">
        <v>45944</v>
      </c>
      <c r="B9126" s="116" t="str">
        <f>TiposLancamentos!B52</f>
        <v>Multas</v>
      </c>
      <c r="C9126" s="1740" t="s">
        <v>9638</v>
      </c>
      <c r="D9126" s="1736"/>
      <c r="E9126" s="1043">
        <v>133.04</v>
      </c>
      <c r="F9126" s="1043"/>
      <c r="G9126" s="1550"/>
    </row>
    <row r="9127" spans="1:7" ht="12.75" customHeight="1">
      <c r="A9127" s="1754">
        <v>45945</v>
      </c>
      <c r="B9127" s="116" t="str">
        <f>TiposLancamentos!B12</f>
        <v>IPTU</v>
      </c>
      <c r="C9127" s="1740" t="s">
        <v>9639</v>
      </c>
      <c r="D9127" s="1736"/>
      <c r="E9127" s="1043">
        <v>149.44999999999999</v>
      </c>
      <c r="F9127" s="1043"/>
      <c r="G9127" s="1550"/>
    </row>
    <row r="9128" spans="1:7" ht="12.75" customHeight="1">
      <c r="A9128" s="884">
        <v>45945</v>
      </c>
      <c r="B9128" s="1748" t="str">
        <f>TiposLancamentos!B2</f>
        <v>Telefonia</v>
      </c>
      <c r="C9128" s="1740" t="s">
        <v>9640</v>
      </c>
      <c r="D9128" s="1736"/>
      <c r="E9128" s="1043">
        <v>77.61</v>
      </c>
      <c r="F9128" s="1043"/>
      <c r="G9128" s="1550"/>
    </row>
    <row r="9129" spans="1:7" ht="12.75" customHeight="1">
      <c r="A9129" s="1754">
        <v>45945</v>
      </c>
      <c r="B9129" s="116"/>
      <c r="C9129" s="1740" t="s">
        <v>1868</v>
      </c>
      <c r="D9129" s="1736">
        <v>0</v>
      </c>
      <c r="E9129" s="1043"/>
      <c r="F9129" s="1043"/>
      <c r="G9129" s="1550"/>
    </row>
    <row r="9130" spans="1:7" ht="12.75" customHeight="1">
      <c r="A9130" s="1666">
        <v>45945</v>
      </c>
      <c r="B9130" s="817" t="str">
        <f>TiposLancamentos!B35</f>
        <v>Tv à Cabo</v>
      </c>
      <c r="C9130" s="1742" t="s">
        <v>9557</v>
      </c>
      <c r="D9130" s="1735"/>
      <c r="E9130" s="1733">
        <f>F9132-(E9131+E9132)</f>
        <v>119.79999999999998</v>
      </c>
      <c r="F9130" s="1290"/>
      <c r="G9130" s="1550"/>
    </row>
    <row r="9131" spans="1:7" ht="12.75" customHeight="1">
      <c r="A9131" s="1868">
        <v>45945</v>
      </c>
      <c r="B9131" s="816" t="str">
        <f>TiposLancamentos!B3</f>
        <v>Internet</v>
      </c>
      <c r="C9131" s="1769" t="s">
        <v>9558</v>
      </c>
      <c r="D9131" s="1736"/>
      <c r="E9131" s="1734">
        <v>84.9</v>
      </c>
      <c r="F9131" s="1043"/>
      <c r="G9131" s="1550"/>
    </row>
    <row r="9132" spans="1:7" ht="12.75" customHeight="1">
      <c r="A9132" s="1750">
        <v>45945</v>
      </c>
      <c r="B9132" s="818" t="str">
        <f>TiposLancamentos!B2</f>
        <v>Telefonia</v>
      </c>
      <c r="C9132" s="1743" t="s">
        <v>9559</v>
      </c>
      <c r="D9132" s="1737">
        <v>0</v>
      </c>
      <c r="E9132" s="1668">
        <v>0</v>
      </c>
      <c r="F9132" s="1518">
        <v>204.7</v>
      </c>
      <c r="G9132" s="1550"/>
    </row>
    <row r="9133" spans="1:7" ht="12.75" customHeight="1">
      <c r="A9133" s="1754">
        <v>45945</v>
      </c>
      <c r="B9133" s="116"/>
      <c r="C9133" s="1740" t="s">
        <v>1868</v>
      </c>
      <c r="D9133" s="1736">
        <v>0</v>
      </c>
      <c r="F9133" s="1043"/>
      <c r="G9133" s="1550"/>
    </row>
    <row r="9134" spans="1:7" ht="12.75" customHeight="1">
      <c r="A9134" s="1754">
        <v>45945</v>
      </c>
      <c r="B9134" s="116" t="str">
        <f>TiposLancamentos!B46</f>
        <v>Maçonaria</v>
      </c>
      <c r="C9134" s="1740" t="s">
        <v>9641</v>
      </c>
      <c r="D9134" s="1736"/>
      <c r="E9134" s="1043">
        <v>210</v>
      </c>
      <c r="F9134" s="1043"/>
      <c r="G9134" s="1550"/>
    </row>
    <row r="9135" spans="1:7" ht="12.75" customHeight="1">
      <c r="A9135" s="1754">
        <v>45945</v>
      </c>
      <c r="B9135" s="116" t="str">
        <f>TiposLancamentos!B23</f>
        <v>P208 GRIFFE 1.6 AUT BUSINESS</v>
      </c>
      <c r="C9135" s="1740" t="s">
        <v>9642</v>
      </c>
      <c r="D9135" s="1736"/>
      <c r="E9135" s="1043">
        <v>50</v>
      </c>
      <c r="F9135" s="1043"/>
      <c r="G9135" s="1550"/>
    </row>
    <row r="9136" spans="1:7" ht="12.75" customHeight="1">
      <c r="A9136" s="1754">
        <v>45946</v>
      </c>
      <c r="B9136" s="116" t="str">
        <f>TiposLancamentos!B14</f>
        <v>Gás de cozinha</v>
      </c>
      <c r="C9136" s="1740" t="s">
        <v>9590</v>
      </c>
      <c r="D9136" s="1736"/>
      <c r="E9136" s="1043">
        <v>56.44</v>
      </c>
      <c r="F9136" s="1043"/>
      <c r="G9136" s="1550"/>
    </row>
    <row r="9137" spans="1:7" ht="12.75" customHeight="1">
      <c r="A9137" s="1754">
        <v>45947</v>
      </c>
      <c r="B9137" s="116" t="str">
        <f>TiposLancamentos!B3</f>
        <v>Internet</v>
      </c>
      <c r="C9137" s="1740" t="s">
        <v>9643</v>
      </c>
      <c r="D9137" s="1736"/>
      <c r="E9137" s="1043">
        <v>100</v>
      </c>
      <c r="F9137" s="1043"/>
      <c r="G9137" s="1550"/>
    </row>
    <row r="9138" spans="1:7" ht="12.75" customHeight="1">
      <c r="A9138" s="1754">
        <v>45951</v>
      </c>
      <c r="B9138" s="116" t="str">
        <f>TiposLancamentos!B46</f>
        <v>Maçonaria</v>
      </c>
      <c r="C9138" s="1740" t="s">
        <v>9644</v>
      </c>
      <c r="D9138" s="1736"/>
      <c r="E9138" s="1043">
        <v>50</v>
      </c>
      <c r="F9138" s="1043"/>
      <c r="G9138" s="1550"/>
    </row>
    <row r="9139" spans="1:7" ht="12.75" customHeight="1">
      <c r="A9139" s="1754">
        <v>45957</v>
      </c>
      <c r="B9139" s="116" t="str">
        <f>TiposLancamentos!B95</f>
        <v>Salarios</v>
      </c>
      <c r="C9139" s="1740" t="s">
        <v>9530</v>
      </c>
      <c r="D9139" s="1736">
        <v>14380</v>
      </c>
      <c r="E9139" s="1043"/>
      <c r="F9139" s="1043"/>
      <c r="G9139" s="1550"/>
    </row>
    <row r="9140" spans="1:7" ht="12.75" customHeight="1">
      <c r="A9140" s="884">
        <v>45957</v>
      </c>
      <c r="B9140" s="1748"/>
      <c r="C9140" s="1740" t="s">
        <v>9531</v>
      </c>
      <c r="D9140" s="1736"/>
      <c r="E9140" s="1043"/>
      <c r="F9140" s="1043">
        <f>D9139*0.32</f>
        <v>4601.6000000000004</v>
      </c>
      <c r="G9140" s="1550"/>
    </row>
    <row r="9141" spans="1:7" ht="12.75" customHeight="1">
      <c r="A9141" s="884">
        <v>45957</v>
      </c>
      <c r="B9141" s="1748" t="str">
        <f>TiposLancamentos!B23</f>
        <v>P208 GRIFFE 1.6 AUT BUSINESS</v>
      </c>
      <c r="C9141" s="1740" t="s">
        <v>9645</v>
      </c>
      <c r="D9141" s="1736"/>
      <c r="E9141" s="1043">
        <v>167.74</v>
      </c>
      <c r="F9141" s="1043"/>
      <c r="G9141" s="1550"/>
    </row>
    <row r="9142" spans="1:7" ht="12.75" customHeight="1">
      <c r="A9142" s="884">
        <v>45957</v>
      </c>
      <c r="B9142" s="1748" t="str">
        <f>TiposLancamentos!B69</f>
        <v>Consertos</v>
      </c>
      <c r="C9142" s="1740" t="s">
        <v>9646</v>
      </c>
      <c r="D9142" s="1736"/>
      <c r="E9142" s="1043">
        <v>1000</v>
      </c>
      <c r="F9142" s="1043"/>
      <c r="G9142" s="1550"/>
    </row>
    <row r="9143" spans="1:7" ht="12.75" customHeight="1">
      <c r="A9143" s="884">
        <v>45957</v>
      </c>
      <c r="B9143" s="1748" t="str">
        <f>TiposLancamentos!B46</f>
        <v>Maçonaria</v>
      </c>
      <c r="C9143" s="1740" t="s">
        <v>9647</v>
      </c>
      <c r="D9143" s="1736"/>
      <c r="E9143" s="1043">
        <v>150</v>
      </c>
      <c r="F9143" s="1043"/>
      <c r="G9143" s="1550"/>
    </row>
    <row r="9144" spans="1:7" ht="12.75" customHeight="1" thickBot="1">
      <c r="A9144" s="884">
        <v>45958</v>
      </c>
      <c r="B9144" s="1748" t="str">
        <f>TiposLancamentos!B7</f>
        <v>Apto. Proprio 01</v>
      </c>
      <c r="C9144" s="1740" t="s">
        <v>9648</v>
      </c>
      <c r="D9144" s="1736"/>
      <c r="E9144" s="1043">
        <v>3625.58</v>
      </c>
      <c r="F9144" s="1043"/>
      <c r="G9144" s="1550"/>
    </row>
    <row r="9145" spans="1:7" ht="12.75" customHeight="1">
      <c r="A9145" s="1834"/>
      <c r="B9145" s="977"/>
      <c r="C9145" s="1854" t="s">
        <v>1652</v>
      </c>
      <c r="D9145" s="1823"/>
      <c r="E9145" s="1821"/>
      <c r="F9145" s="1821"/>
      <c r="G9145" s="1895"/>
    </row>
    <row r="9146" spans="1:7" ht="12.75" customHeight="1">
      <c r="A9146" s="884">
        <v>45964</v>
      </c>
      <c r="B9146" s="1748" t="str">
        <f>TiposLancamentos!B15</f>
        <v>Cartões de Crédito</v>
      </c>
      <c r="C9146" s="1740" t="s">
        <v>9175</v>
      </c>
      <c r="D9146" s="1736"/>
      <c r="E9146" s="1043">
        <v>6116.89</v>
      </c>
      <c r="F9146" s="1043"/>
      <c r="G9146" s="1550"/>
    </row>
    <row r="9147" spans="1:7" ht="12.75" customHeight="1">
      <c r="A9147" s="884">
        <v>45964</v>
      </c>
      <c r="B9147" s="1748" t="str">
        <f>TiposLancamentos!B15</f>
        <v>Cartões de Crédito</v>
      </c>
      <c r="C9147" s="1740" t="s">
        <v>8252</v>
      </c>
      <c r="D9147" s="1736"/>
      <c r="E9147" s="1043">
        <v>1630.43</v>
      </c>
      <c r="F9147" s="1043"/>
      <c r="G9147" s="1550"/>
    </row>
    <row r="9148" spans="1:7" ht="12.75" customHeight="1">
      <c r="A9148" s="884">
        <v>45964</v>
      </c>
      <c r="B9148" s="1748" t="str">
        <f>TiposLancamentos!B15</f>
        <v>Cartões de Crédito</v>
      </c>
      <c r="C9148" s="1740" t="s">
        <v>9361</v>
      </c>
      <c r="D9148" s="1736"/>
      <c r="E9148" s="1043">
        <v>994.87</v>
      </c>
      <c r="F9148" s="1043"/>
      <c r="G9148" s="1550"/>
    </row>
    <row r="9149" spans="1:7" ht="12.75" customHeight="1">
      <c r="A9149" s="884">
        <v>45964</v>
      </c>
      <c r="B9149" s="1748" t="str">
        <f>TiposLancamentos!B15</f>
        <v>Cartões de Crédito</v>
      </c>
      <c r="C9149" s="1740" t="s">
        <v>8016</v>
      </c>
      <c r="D9149" s="1736"/>
      <c r="E9149" s="1043">
        <v>667.96</v>
      </c>
      <c r="F9149" s="1043"/>
      <c r="G9149" s="1550"/>
    </row>
    <row r="9150" spans="1:7" ht="12.75" customHeight="1">
      <c r="A9150" s="884">
        <v>45964</v>
      </c>
      <c r="B9150" s="1748" t="str">
        <f>TiposLancamentos!B15</f>
        <v>Cartões de Crédito</v>
      </c>
      <c r="C9150" s="1740" t="s">
        <v>9174</v>
      </c>
      <c r="D9150" s="1736"/>
      <c r="E9150" s="1043">
        <v>0</v>
      </c>
      <c r="F9150" s="1043"/>
      <c r="G9150" s="1550"/>
    </row>
    <row r="9151" spans="1:7" ht="12.75" customHeight="1">
      <c r="A9151" s="1754">
        <v>45964</v>
      </c>
      <c r="B9151" s="116" t="str">
        <f>TiposLancamentos!B6</f>
        <v>Energia Eletrica</v>
      </c>
      <c r="C9151" s="1740" t="s">
        <v>9649</v>
      </c>
      <c r="D9151" s="1736"/>
      <c r="E9151" s="1043">
        <v>269.20999999999998</v>
      </c>
      <c r="F9151" s="1043"/>
      <c r="G9151" s="1550"/>
    </row>
    <row r="9152" spans="1:7" ht="12.75" customHeight="1">
      <c r="A9152" s="1754">
        <v>45965</v>
      </c>
      <c r="B9152" s="116" t="str">
        <f>TiposLancamentos!B4</f>
        <v>Taxas Bancarias</v>
      </c>
      <c r="C9152" s="1740" t="s">
        <v>9578</v>
      </c>
      <c r="D9152" s="1736"/>
      <c r="E9152" s="1043">
        <v>90</v>
      </c>
      <c r="F9152" s="1043"/>
      <c r="G9152" s="1550"/>
    </row>
    <row r="9153" spans="1:7" ht="12.75" customHeight="1">
      <c r="A9153" s="1754">
        <v>45966</v>
      </c>
      <c r="B9153" s="116" t="str">
        <f>TiposLancamentos!B8</f>
        <v>Aluguel</v>
      </c>
      <c r="C9153" s="1740" t="s">
        <v>9650</v>
      </c>
      <c r="D9153" s="1736"/>
      <c r="E9153" s="1043">
        <v>550</v>
      </c>
      <c r="F9153" s="1043"/>
      <c r="G9153" s="1550"/>
    </row>
    <row r="9154" spans="1:7" ht="12.75" customHeight="1">
      <c r="A9154" s="1754">
        <v>45966</v>
      </c>
      <c r="B9154" s="116" t="str">
        <f>TiposLancamentos!B4</f>
        <v>Taxas Bancarias</v>
      </c>
      <c r="C9154" s="1740" t="s">
        <v>9599</v>
      </c>
      <c r="D9154" s="1736"/>
      <c r="E9154" s="1043">
        <v>848.5</v>
      </c>
      <c r="F9154" s="1043"/>
      <c r="G9154" s="1550"/>
    </row>
    <row r="9155" spans="1:7" ht="12.75" customHeight="1">
      <c r="A9155" s="1754">
        <v>45968</v>
      </c>
      <c r="B9155" s="116" t="str">
        <f>TiposLancamentos!B95</f>
        <v>Salarios</v>
      </c>
      <c r="C9155" s="1740" t="s">
        <v>9490</v>
      </c>
      <c r="D9155" s="1736">
        <v>1780</v>
      </c>
      <c r="E9155" s="1043"/>
      <c r="F9155" s="1043"/>
      <c r="G9155" s="1550"/>
    </row>
    <row r="9156" spans="1:7" ht="12.75" customHeight="1">
      <c r="A9156" s="1754">
        <v>45968</v>
      </c>
      <c r="B9156" s="116" t="str">
        <f>TiposLancamentos!B9</f>
        <v>Condominio</v>
      </c>
      <c r="C9156" s="1740" t="s">
        <v>9651</v>
      </c>
      <c r="D9156" s="1736"/>
      <c r="E9156" s="1043">
        <v>1472.07</v>
      </c>
      <c r="F9156" s="1043"/>
      <c r="G9156" s="1550"/>
    </row>
    <row r="9157" spans="1:7" ht="12.75" customHeight="1">
      <c r="A9157" s="1754">
        <v>45968</v>
      </c>
      <c r="B9157" s="116" t="str">
        <f>TiposLancamentos!B4</f>
        <v>Taxas Bancarias</v>
      </c>
      <c r="C9157" s="1740" t="s">
        <v>9652</v>
      </c>
      <c r="D9157" s="1736"/>
      <c r="E9157" s="1043"/>
      <c r="F9157" s="1043"/>
      <c r="G9157" s="1550"/>
    </row>
    <row r="9158" spans="1:7" ht="12.75" customHeight="1">
      <c r="A9158" s="1754">
        <v>45968</v>
      </c>
      <c r="B9158" s="116" t="str">
        <f>TiposLancamentos!B4</f>
        <v>Taxas Bancarias</v>
      </c>
      <c r="C9158" s="1740" t="s">
        <v>9653</v>
      </c>
      <c r="D9158" s="1736"/>
      <c r="E9158" s="1043">
        <v>54.81</v>
      </c>
      <c r="F9158" s="1043"/>
      <c r="G9158" s="1550"/>
    </row>
    <row r="9159" spans="1:7" ht="12.75" customHeight="1">
      <c r="A9159" s="1754">
        <v>45978</v>
      </c>
      <c r="B9159" s="116" t="str">
        <f>TiposLancamentos!B12</f>
        <v>IPTU</v>
      </c>
      <c r="C9159" s="1740" t="s">
        <v>9654</v>
      </c>
      <c r="D9159" s="1736"/>
      <c r="E9159" s="1043">
        <v>149.44999999999999</v>
      </c>
      <c r="F9159" s="1043"/>
      <c r="G9159" s="1550"/>
    </row>
    <row r="9160" spans="1:7" ht="12.75" customHeight="1">
      <c r="A9160" s="1754">
        <v>45978</v>
      </c>
      <c r="B9160" s="116" t="str">
        <f>TiposLancamentos!B2</f>
        <v>Telefonia</v>
      </c>
      <c r="C9160" s="1740" t="s">
        <v>9655</v>
      </c>
      <c r="D9160" s="1736"/>
      <c r="E9160" s="1043">
        <v>77.61</v>
      </c>
      <c r="F9160" s="1043"/>
      <c r="G9160" s="1550"/>
    </row>
    <row r="9161" spans="1:7" ht="12.75" customHeight="1">
      <c r="A9161" s="1754">
        <v>45978</v>
      </c>
      <c r="B9161" s="116"/>
      <c r="C9161" s="1740" t="s">
        <v>1868</v>
      </c>
      <c r="D9161" s="1736">
        <v>0</v>
      </c>
      <c r="E9161" s="1043"/>
      <c r="F9161" s="1043"/>
      <c r="G9161" s="1550"/>
    </row>
    <row r="9162" spans="1:7" ht="12.75" customHeight="1">
      <c r="A9162" s="1666">
        <v>45978</v>
      </c>
      <c r="B9162" s="817" t="str">
        <f>TiposLancamentos!B35</f>
        <v>Tv à Cabo</v>
      </c>
      <c r="C9162" s="1742" t="s">
        <v>9557</v>
      </c>
      <c r="D9162" s="1735"/>
      <c r="E9162" s="1733">
        <f>F9164-(E9163+E9164)</f>
        <v>119.79999999999998</v>
      </c>
      <c r="F9162" s="1290"/>
      <c r="G9162" s="1550"/>
    </row>
    <row r="9163" spans="1:7" ht="12.75" customHeight="1">
      <c r="A9163" s="1868">
        <v>45978</v>
      </c>
      <c r="B9163" s="816" t="str">
        <f>TiposLancamentos!B3</f>
        <v>Internet</v>
      </c>
      <c r="C9163" s="1769" t="s">
        <v>9558</v>
      </c>
      <c r="D9163" s="1736"/>
      <c r="E9163" s="1734">
        <v>84.9</v>
      </c>
      <c r="F9163" s="1043"/>
      <c r="G9163" s="1550"/>
    </row>
    <row r="9164" spans="1:7" ht="12.75" customHeight="1">
      <c r="A9164" s="1750">
        <v>45978</v>
      </c>
      <c r="B9164" s="818" t="str">
        <f>TiposLancamentos!B2</f>
        <v>Telefonia</v>
      </c>
      <c r="C9164" s="1743" t="s">
        <v>9559</v>
      </c>
      <c r="D9164" s="1737">
        <v>0</v>
      </c>
      <c r="E9164" s="1668">
        <v>0</v>
      </c>
      <c r="F9164" s="1518">
        <v>204.7</v>
      </c>
      <c r="G9164" s="1550"/>
    </row>
    <row r="9165" spans="1:7" ht="12.75" customHeight="1">
      <c r="A9165" s="1754">
        <v>45978</v>
      </c>
      <c r="B9165" s="116"/>
      <c r="C9165" s="1740" t="s">
        <v>1868</v>
      </c>
      <c r="D9165" s="1736">
        <v>0</v>
      </c>
      <c r="F9165" s="1043"/>
      <c r="G9165" s="1550"/>
    </row>
    <row r="9166" spans="1:7" ht="12.75" customHeight="1">
      <c r="A9166" s="1754">
        <v>45978</v>
      </c>
      <c r="B9166" s="116" t="str">
        <f>TiposLancamentos!B46</f>
        <v>Maçonaria</v>
      </c>
      <c r="C9166" s="1740" t="s">
        <v>9656</v>
      </c>
      <c r="D9166" s="1736"/>
      <c r="E9166" s="1043">
        <v>210</v>
      </c>
      <c r="F9166" s="1043"/>
      <c r="G9166" s="1550"/>
    </row>
    <row r="9167" spans="1:7" ht="12.75" customHeight="1">
      <c r="A9167" s="1754">
        <v>45978</v>
      </c>
      <c r="B9167" s="116" t="str">
        <f>TiposLancamentos!B14</f>
        <v>Gás de cozinha</v>
      </c>
      <c r="C9167" s="1740" t="s">
        <v>9590</v>
      </c>
      <c r="D9167" s="1736"/>
      <c r="E9167" s="1043">
        <v>45.69</v>
      </c>
      <c r="F9167" s="1043"/>
      <c r="G9167" s="1550"/>
    </row>
    <row r="9168" spans="1:7" ht="12.75" customHeight="1">
      <c r="A9168" s="1754">
        <v>45978</v>
      </c>
      <c r="B9168" s="116" t="str">
        <f>TiposLancamentos!B3</f>
        <v>Internet</v>
      </c>
      <c r="C9168" s="1740" t="s">
        <v>9657</v>
      </c>
      <c r="D9168" s="1736"/>
      <c r="E9168" s="1043">
        <v>100</v>
      </c>
      <c r="F9168" s="1043"/>
      <c r="G9168" s="1550"/>
    </row>
    <row r="9169" spans="1:7" ht="12.75" customHeight="1">
      <c r="A9169" s="1754">
        <v>45979</v>
      </c>
      <c r="B9169" s="116" t="str">
        <f>TiposLancamentos!B71</f>
        <v>Itens Pessoais</v>
      </c>
      <c r="C9169" s="1740" t="s">
        <v>9658</v>
      </c>
      <c r="D9169" s="1736"/>
      <c r="E9169" s="1043">
        <v>40</v>
      </c>
      <c r="F9169" s="1043"/>
      <c r="G9169" s="1550"/>
    </row>
    <row r="9170" spans="1:7" ht="12.75" customHeight="1">
      <c r="A9170" s="1754">
        <v>45986</v>
      </c>
      <c r="B9170" s="116" t="str">
        <f>TiposLancamentos!B95</f>
        <v>Salarios</v>
      </c>
      <c r="C9170" s="1740" t="s">
        <v>9530</v>
      </c>
      <c r="D9170" s="1736">
        <v>13840</v>
      </c>
      <c r="E9170" s="1043"/>
      <c r="F9170" s="1043"/>
      <c r="G9170" s="1550"/>
    </row>
    <row r="9171" spans="1:7" ht="12.75" customHeight="1">
      <c r="A9171" s="884">
        <v>45986</v>
      </c>
      <c r="B9171" s="1748"/>
      <c r="C9171" s="1740" t="s">
        <v>9531</v>
      </c>
      <c r="D9171" s="1736"/>
      <c r="E9171" s="1043"/>
      <c r="F9171" s="1043">
        <f>D9170*0.32</f>
        <v>4428.8</v>
      </c>
      <c r="G9171" s="1550"/>
    </row>
    <row r="9172" spans="1:7" ht="12.75" customHeight="1">
      <c r="A9172" s="1754">
        <v>45986</v>
      </c>
      <c r="B9172" s="116" t="str">
        <f>TiposLancamentos!B46</f>
        <v>Maçonaria</v>
      </c>
      <c r="C9172" s="1740" t="s">
        <v>9659</v>
      </c>
      <c r="D9172" s="1736"/>
      <c r="E9172" s="1043">
        <v>650</v>
      </c>
      <c r="F9172" s="1043"/>
      <c r="G9172" s="1550"/>
    </row>
    <row r="9173" spans="1:7" ht="12.75" customHeight="1" thickBot="1">
      <c r="A9173" s="884">
        <v>45989</v>
      </c>
      <c r="B9173" s="1748" t="str">
        <f>TiposLancamentos!B7</f>
        <v>Apto. Proprio 01</v>
      </c>
      <c r="C9173" s="1740" t="s">
        <v>9660</v>
      </c>
      <c r="D9173" s="1736"/>
      <c r="E9173" s="1043">
        <v>3624.33</v>
      </c>
      <c r="F9173" s="1043"/>
      <c r="G9173" s="1550"/>
    </row>
    <row r="9174" spans="1:7" ht="12.75" customHeight="1">
      <c r="A9174" s="1834"/>
      <c r="B9174" s="977"/>
      <c r="C9174" s="1854" t="s">
        <v>1653</v>
      </c>
      <c r="D9174" s="1823"/>
      <c r="E9174" s="1821"/>
      <c r="F9174" s="1821"/>
      <c r="G9174" s="1895"/>
    </row>
    <row r="9175" spans="1:7" ht="12.75" customHeight="1">
      <c r="A9175" s="884">
        <v>45992</v>
      </c>
      <c r="B9175" s="1748" t="str">
        <f>TiposLancamentos!B15</f>
        <v>Cartões de Crédito</v>
      </c>
      <c r="C9175" s="1740" t="s">
        <v>9175</v>
      </c>
      <c r="D9175" s="1736"/>
      <c r="E9175" s="1043">
        <v>4769.78</v>
      </c>
      <c r="F9175" s="1043"/>
      <c r="G9175" s="1550"/>
    </row>
    <row r="9176" spans="1:7" ht="12.75" customHeight="1">
      <c r="A9176" s="884">
        <v>45992</v>
      </c>
      <c r="B9176" s="1748" t="str">
        <f>TiposLancamentos!B15</f>
        <v>Cartões de Crédito</v>
      </c>
      <c r="C9176" s="1740" t="s">
        <v>8252</v>
      </c>
      <c r="D9176" s="1736"/>
      <c r="E9176" s="1043">
        <v>1414.91</v>
      </c>
      <c r="F9176" s="1043"/>
      <c r="G9176" s="1550"/>
    </row>
    <row r="9177" spans="1:7" ht="12.75" customHeight="1">
      <c r="A9177" s="884">
        <v>45992</v>
      </c>
      <c r="B9177" s="1748" t="str">
        <f>TiposLancamentos!B15</f>
        <v>Cartões de Crédito</v>
      </c>
      <c r="C9177" s="1740" t="s">
        <v>9361</v>
      </c>
      <c r="D9177" s="1736"/>
      <c r="E9177" s="1043">
        <v>1201.24</v>
      </c>
      <c r="F9177" s="1043"/>
      <c r="G9177" s="1550"/>
    </row>
    <row r="9178" spans="1:7" ht="12.75" customHeight="1">
      <c r="A9178" s="884">
        <v>45992</v>
      </c>
      <c r="B9178" s="1748" t="str">
        <f>TiposLancamentos!B15</f>
        <v>Cartões de Crédito</v>
      </c>
      <c r="C9178" s="1740" t="s">
        <v>8016</v>
      </c>
      <c r="D9178" s="1736"/>
      <c r="E9178" s="1043">
        <v>559.4</v>
      </c>
      <c r="F9178" s="1043"/>
      <c r="G9178" s="1550"/>
    </row>
    <row r="9179" spans="1:7" ht="12.75" customHeight="1">
      <c r="A9179" s="884">
        <v>45992</v>
      </c>
      <c r="B9179" s="1748" t="str">
        <f>TiposLancamentos!B15</f>
        <v>Cartões de Crédito</v>
      </c>
      <c r="C9179" s="1740" t="s">
        <v>9174</v>
      </c>
      <c r="D9179" s="1736"/>
      <c r="E9179" s="1043">
        <v>0</v>
      </c>
      <c r="F9179" s="1043"/>
      <c r="G9179" s="1550"/>
    </row>
    <row r="9180" spans="1:7" ht="12.75" customHeight="1">
      <c r="A9180" s="1754">
        <v>45993</v>
      </c>
      <c r="B9180" s="116" t="str">
        <f>TiposLancamentos!B4</f>
        <v>Taxas Bancarias</v>
      </c>
      <c r="C9180" s="1740" t="s">
        <v>9578</v>
      </c>
      <c r="D9180" s="1736"/>
      <c r="E9180" s="1043">
        <v>89.24</v>
      </c>
      <c r="F9180" s="1043"/>
      <c r="G9180" s="1550"/>
    </row>
    <row r="9181" spans="1:7" ht="12.75" customHeight="1">
      <c r="A9181" s="1754">
        <v>45994</v>
      </c>
      <c r="B9181" s="116" t="str">
        <f>TiposLancamentos!B6</f>
        <v>Energia Eletrica</v>
      </c>
      <c r="C9181" s="1740" t="s">
        <v>9661</v>
      </c>
      <c r="D9181" s="1736"/>
      <c r="E9181" s="1043">
        <v>247.42</v>
      </c>
      <c r="F9181" s="1043"/>
      <c r="G9181" s="1550"/>
    </row>
    <row r="9182" spans="1:7" ht="12.75" customHeight="1">
      <c r="A9182" s="1754">
        <v>45996</v>
      </c>
      <c r="B9182" s="116" t="str">
        <f>TiposLancamentos!B95</f>
        <v>Salarios</v>
      </c>
      <c r="C9182" s="1740" t="s">
        <v>9490</v>
      </c>
      <c r="D9182" s="1736">
        <v>1780</v>
      </c>
      <c r="E9182" s="1043"/>
      <c r="F9182" s="1043"/>
      <c r="G9182" s="1550"/>
    </row>
    <row r="9183" spans="1:7" ht="12.75" customHeight="1">
      <c r="A9183" s="1754">
        <v>45996</v>
      </c>
      <c r="B9183" s="116" t="str">
        <f>TiposLancamentos!B8</f>
        <v>Aluguel</v>
      </c>
      <c r="C9183" s="1740" t="s">
        <v>9662</v>
      </c>
      <c r="D9183" s="1736"/>
      <c r="E9183" s="1043">
        <v>550</v>
      </c>
      <c r="F9183" s="1043"/>
      <c r="G9183" s="1550"/>
    </row>
    <row r="9184" spans="1:7" ht="12.75" customHeight="1">
      <c r="A9184" s="1754">
        <v>45996</v>
      </c>
      <c r="B9184" s="116" t="str">
        <f>TiposLancamentos!B4</f>
        <v>Taxas Bancarias</v>
      </c>
      <c r="C9184" s="1740" t="s">
        <v>9599</v>
      </c>
      <c r="D9184" s="1736"/>
      <c r="E9184" s="1043">
        <v>1014.05</v>
      </c>
      <c r="F9184" s="1043"/>
      <c r="G9184" s="1550"/>
    </row>
    <row r="9185" spans="1:7" ht="12.75" customHeight="1">
      <c r="A9185" s="1754">
        <v>45998</v>
      </c>
      <c r="B9185" s="1748" t="str">
        <f>TiposLancamentos!B16</f>
        <v>Cristiane</v>
      </c>
      <c r="C9185" s="1740" t="s">
        <v>9663</v>
      </c>
      <c r="D9185" s="51"/>
      <c r="E9185" s="1043">
        <v>100</v>
      </c>
      <c r="F9185" s="1043"/>
      <c r="G9185" s="1550"/>
    </row>
    <row r="9186" spans="1:7" ht="12.75" customHeight="1">
      <c r="A9186" s="1754">
        <v>45999</v>
      </c>
      <c r="B9186" s="116" t="str">
        <f>TiposLancamentos!B95</f>
        <v>Salarios</v>
      </c>
      <c r="C9186" s="1740" t="s">
        <v>9664</v>
      </c>
      <c r="D9186" s="1736">
        <v>700</v>
      </c>
      <c r="E9186" s="1043"/>
      <c r="F9186" s="1043"/>
      <c r="G9186" s="1550"/>
    </row>
    <row r="9187" spans="1:7" ht="12.75" customHeight="1">
      <c r="A9187" s="1754">
        <v>45999</v>
      </c>
      <c r="B9187" s="116" t="str">
        <f>TiposLancamentos!B9</f>
        <v>Condominio</v>
      </c>
      <c r="C9187" s="1740" t="s">
        <v>9665</v>
      </c>
      <c r="D9187" s="1736"/>
      <c r="E9187" s="1043">
        <v>1532.08</v>
      </c>
      <c r="F9187" s="1043"/>
      <c r="G9187" s="1550"/>
    </row>
    <row r="9188" spans="1:7" ht="12.75" customHeight="1">
      <c r="A9188" s="1754">
        <v>45999</v>
      </c>
      <c r="B9188" s="116" t="str">
        <f>TiposLancamentos!B16</f>
        <v>Cristiane</v>
      </c>
      <c r="C9188" s="1740" t="s">
        <v>9666</v>
      </c>
      <c r="D9188" s="1736"/>
      <c r="E9188" s="1043">
        <v>650</v>
      </c>
      <c r="F9188" s="1043"/>
      <c r="G9188" s="1550"/>
    </row>
    <row r="9189" spans="1:7" ht="12.75" customHeight="1">
      <c r="A9189" s="1754">
        <v>45999</v>
      </c>
      <c r="B9189" s="116" t="str">
        <f>TiposLancamentos!B4</f>
        <v>Taxas Bancarias</v>
      </c>
      <c r="C9189" s="1740" t="s">
        <v>9667</v>
      </c>
      <c r="D9189" s="1736"/>
      <c r="E9189" s="1043">
        <v>0</v>
      </c>
      <c r="F9189" s="1043"/>
      <c r="G9189" s="1550"/>
    </row>
    <row r="9190" spans="1:7" ht="12.75" customHeight="1">
      <c r="A9190" s="1754">
        <v>45999</v>
      </c>
      <c r="B9190" s="116" t="str">
        <f>TiposLancamentos!B4</f>
        <v>Taxas Bancarias</v>
      </c>
      <c r="C9190" s="1740" t="s">
        <v>9668</v>
      </c>
      <c r="D9190" s="1736"/>
      <c r="E9190" s="1043">
        <v>63.37</v>
      </c>
      <c r="F9190" s="1043"/>
      <c r="G9190" s="1550"/>
    </row>
    <row r="9191" spans="1:7" ht="12.75" customHeight="1">
      <c r="A9191" s="1754">
        <v>46006</v>
      </c>
      <c r="B9191" s="116" t="str">
        <f>TiposLancamentos!B2</f>
        <v>Telefonia</v>
      </c>
      <c r="C9191" s="1740" t="s">
        <v>9669</v>
      </c>
      <c r="D9191" s="1736"/>
      <c r="E9191" s="1043">
        <v>77.61</v>
      </c>
      <c r="F9191" s="1043"/>
      <c r="G9191" s="1550"/>
    </row>
    <row r="9192" spans="1:7" ht="12.75" customHeight="1">
      <c r="A9192" s="1754">
        <v>46006</v>
      </c>
      <c r="B9192" s="116"/>
      <c r="C9192" s="1740" t="s">
        <v>1868</v>
      </c>
      <c r="D9192" s="1736">
        <v>0</v>
      </c>
      <c r="E9192" s="1043"/>
      <c r="F9192" s="1043"/>
      <c r="G9192" s="1550"/>
    </row>
    <row r="9193" spans="1:7" ht="12.75" customHeight="1">
      <c r="A9193" s="1666">
        <v>46006</v>
      </c>
      <c r="B9193" s="817" t="str">
        <f>TiposLancamentos!B35</f>
        <v>Tv à Cabo</v>
      </c>
      <c r="C9193" s="1742" t="s">
        <v>9557</v>
      </c>
      <c r="D9193" s="1735"/>
      <c r="E9193" s="1733">
        <f>F9195-(E9194+E9195)</f>
        <v>119.79999999999998</v>
      </c>
      <c r="F9193" s="1290"/>
      <c r="G9193" s="1550"/>
    </row>
    <row r="9194" spans="1:7" ht="12.75" customHeight="1">
      <c r="A9194" s="1868">
        <v>46006</v>
      </c>
      <c r="B9194" s="816" t="str">
        <f>TiposLancamentos!B3</f>
        <v>Internet</v>
      </c>
      <c r="C9194" s="1769" t="s">
        <v>9558</v>
      </c>
      <c r="D9194" s="1736"/>
      <c r="E9194" s="1734">
        <v>84.9</v>
      </c>
      <c r="F9194" s="1043"/>
      <c r="G9194" s="1550"/>
    </row>
    <row r="9195" spans="1:7" ht="12.75" customHeight="1">
      <c r="A9195" s="1750">
        <v>46006</v>
      </c>
      <c r="B9195" s="818" t="str">
        <f>TiposLancamentos!B2</f>
        <v>Telefonia</v>
      </c>
      <c r="C9195" s="1743" t="s">
        <v>9559</v>
      </c>
      <c r="D9195" s="1737">
        <v>0</v>
      </c>
      <c r="E9195" s="1668">
        <v>0</v>
      </c>
      <c r="F9195" s="1518">
        <v>204.7</v>
      </c>
      <c r="G9195" s="1550"/>
    </row>
    <row r="9196" spans="1:7" ht="12.75" customHeight="1">
      <c r="A9196" s="1754">
        <v>46006</v>
      </c>
      <c r="B9196" s="116"/>
      <c r="C9196" s="1740" t="s">
        <v>1868</v>
      </c>
      <c r="D9196" s="1736">
        <v>0</v>
      </c>
      <c r="F9196" s="1043"/>
      <c r="G9196" s="1550"/>
    </row>
    <row r="9197" spans="1:7" ht="12.75" customHeight="1">
      <c r="A9197" s="1754">
        <v>46006</v>
      </c>
      <c r="B9197" s="116" t="str">
        <f>TiposLancamentos!B46</f>
        <v>Maçonaria</v>
      </c>
      <c r="C9197" s="1740" t="s">
        <v>9670</v>
      </c>
      <c r="D9197" s="1736"/>
      <c r="E9197" s="1043">
        <v>210</v>
      </c>
      <c r="F9197" s="1043"/>
      <c r="G9197" s="1550"/>
    </row>
    <row r="9198" spans="1:7" ht="12.75" customHeight="1">
      <c r="A9198" s="1754">
        <v>46007</v>
      </c>
      <c r="B9198" s="116" t="str">
        <f>TiposLancamentos!B14</f>
        <v>Gás de cozinha</v>
      </c>
      <c r="C9198" s="1740" t="s">
        <v>9590</v>
      </c>
      <c r="D9198" s="1736"/>
      <c r="E9198" s="1043">
        <v>51</v>
      </c>
      <c r="F9198" s="1043"/>
      <c r="G9198" s="1550"/>
    </row>
    <row r="9199" spans="1:7" ht="12.75" customHeight="1">
      <c r="A9199" s="1754">
        <v>46009</v>
      </c>
      <c r="B9199" s="116" t="str">
        <f>TiposLancamentos!B3</f>
        <v>Internet</v>
      </c>
      <c r="C9199" s="1740" t="s">
        <v>9671</v>
      </c>
      <c r="D9199" s="1736"/>
      <c r="E9199" s="1043">
        <v>100</v>
      </c>
      <c r="F9199" s="1043"/>
      <c r="G9199" s="1550"/>
    </row>
    <row r="9200" spans="1:7" ht="12.75" customHeight="1">
      <c r="A9200" s="1754">
        <v>46017</v>
      </c>
      <c r="B9200" s="116" t="str">
        <f>TiposLancamentos!B95</f>
        <v>Salarios</v>
      </c>
      <c r="C9200" s="1740" t="s">
        <v>9530</v>
      </c>
      <c r="D9200" s="1736">
        <v>12400</v>
      </c>
      <c r="E9200" s="1043"/>
      <c r="F9200" s="1043"/>
      <c r="G9200" s="1550"/>
    </row>
    <row r="9201" spans="1:7" ht="12.75" customHeight="1">
      <c r="A9201" s="1754">
        <v>46017</v>
      </c>
      <c r="B9201" s="116"/>
      <c r="C9201" s="1740" t="s">
        <v>9531</v>
      </c>
      <c r="D9201" s="1736"/>
      <c r="E9201" s="1043"/>
      <c r="F9201" s="1043">
        <f>D9200*0.32</f>
        <v>3968</v>
      </c>
      <c r="G9201" s="1550"/>
    </row>
    <row r="9202" spans="1:7" ht="12.75" customHeight="1">
      <c r="A9202" s="1754">
        <v>46018</v>
      </c>
      <c r="B9202" s="116" t="str">
        <f>TiposLancamentos!B24</f>
        <v>Estacionamentos</v>
      </c>
      <c r="C9202" s="1740" t="s">
        <v>9672</v>
      </c>
      <c r="D9202" s="1736"/>
      <c r="E9202" s="1043">
        <v>12</v>
      </c>
      <c r="F9202" s="1043"/>
      <c r="G9202" s="1550"/>
    </row>
    <row r="9203" spans="1:7" ht="12.75" customHeight="1">
      <c r="A9203" s="1754">
        <v>46020</v>
      </c>
      <c r="B9203" s="116" t="str">
        <f>TiposLancamentos!B7</f>
        <v>Apto. Proprio 01</v>
      </c>
      <c r="C9203" s="1740" t="s">
        <v>9673</v>
      </c>
      <c r="D9203" s="1736"/>
      <c r="E9203" s="1043">
        <v>3622.93</v>
      </c>
      <c r="F9203" s="1043"/>
      <c r="G9203" s="1550"/>
    </row>
    <row r="9204" spans="1:7" ht="12" customHeight="1">
      <c r="A9204" s="1754">
        <v>46020</v>
      </c>
      <c r="B9204" s="116" t="str">
        <f>TiposLancamentos!B71</f>
        <v>Itens Pessoais</v>
      </c>
      <c r="C9204" s="1740" t="s">
        <v>9674</v>
      </c>
      <c r="D9204" s="1736"/>
      <c r="E9204" s="1043">
        <v>35</v>
      </c>
      <c r="F9204" s="1043"/>
      <c r="G9204" s="1550"/>
    </row>
    <row r="9205" spans="1:7" ht="12" customHeight="1" thickBot="1">
      <c r="A9205" s="1754">
        <v>46020</v>
      </c>
      <c r="B9205" s="116" t="str">
        <f>TiposLancamentos!B24</f>
        <v>Estacionamentos</v>
      </c>
      <c r="C9205" s="1740" t="s">
        <v>9675</v>
      </c>
      <c r="D9205" s="1736"/>
      <c r="E9205" s="1043">
        <v>2.5</v>
      </c>
      <c r="F9205" s="1043"/>
      <c r="G9205" s="1550"/>
    </row>
    <row r="9206" spans="1:7" ht="12.75" customHeight="1">
      <c r="A9206" s="1834"/>
      <c r="B9206" s="977"/>
      <c r="C9206" s="1854" t="s">
        <v>1654</v>
      </c>
      <c r="D9206" s="1823"/>
      <c r="E9206" s="1821"/>
      <c r="F9206" s="1821"/>
      <c r="G9206" s="1895"/>
    </row>
    <row r="9207" spans="1:7" ht="12.75" customHeight="1">
      <c r="A9207" s="884">
        <v>46024</v>
      </c>
      <c r="B9207" s="1748" t="str">
        <f>TiposLancamentos!B15</f>
        <v>Cartões de Crédito</v>
      </c>
      <c r="C9207" s="1740" t="s">
        <v>9175</v>
      </c>
      <c r="D9207" s="1736"/>
      <c r="E9207" s="1043">
        <v>5248.73</v>
      </c>
      <c r="F9207" s="1043"/>
      <c r="G9207" s="1550"/>
    </row>
    <row r="9208" spans="1:7" ht="12.75" customHeight="1">
      <c r="A9208" s="884">
        <v>46024</v>
      </c>
      <c r="B9208" s="1748" t="str">
        <f>TiposLancamentos!B15</f>
        <v>Cartões de Crédito</v>
      </c>
      <c r="C9208" s="1740" t="s">
        <v>8252</v>
      </c>
      <c r="D9208" s="1736"/>
      <c r="E9208" s="1043">
        <v>1930.67</v>
      </c>
      <c r="F9208" s="1043"/>
      <c r="G9208" s="1550"/>
    </row>
    <row r="9209" spans="1:7" ht="12.75" customHeight="1">
      <c r="A9209" s="884">
        <v>46024</v>
      </c>
      <c r="B9209" s="1748" t="str">
        <f>TiposLancamentos!B15</f>
        <v>Cartões de Crédito</v>
      </c>
      <c r="C9209" s="1740" t="s">
        <v>9361</v>
      </c>
      <c r="D9209" s="1736"/>
      <c r="E9209" s="1043">
        <v>1651.25</v>
      </c>
      <c r="F9209" s="1043"/>
      <c r="G9209" s="1550"/>
    </row>
    <row r="9210" spans="1:7" ht="12.75" customHeight="1">
      <c r="A9210" s="884">
        <v>46024</v>
      </c>
      <c r="B9210" s="1748" t="str">
        <f>TiposLancamentos!B15</f>
        <v>Cartões de Crédito</v>
      </c>
      <c r="C9210" s="1740" t="s">
        <v>8016</v>
      </c>
      <c r="D9210" s="1736"/>
      <c r="E9210" s="1043">
        <v>246.9</v>
      </c>
      <c r="F9210" s="1043"/>
      <c r="G9210" s="1550"/>
    </row>
    <row r="9211" spans="1:7" ht="12.75" customHeight="1">
      <c r="A9211" s="884">
        <v>46024</v>
      </c>
      <c r="B9211" s="1748" t="str">
        <f>TiposLancamentos!B15</f>
        <v>Cartões de Crédito</v>
      </c>
      <c r="C9211" s="1740" t="s">
        <v>9174</v>
      </c>
      <c r="D9211" s="1736"/>
      <c r="E9211" s="1043">
        <v>0</v>
      </c>
      <c r="F9211" s="1043"/>
      <c r="G9211" s="1550"/>
    </row>
    <row r="9212" spans="1:7" ht="12.75" customHeight="1">
      <c r="A9212" s="884">
        <v>46027</v>
      </c>
      <c r="B9212" s="1748" t="str">
        <f>TiposLancamentos!B4</f>
        <v>Taxas Bancarias</v>
      </c>
      <c r="C9212" s="1740" t="s">
        <v>9578</v>
      </c>
      <c r="D9212" s="1736"/>
      <c r="E9212" s="1043">
        <v>88.83</v>
      </c>
      <c r="F9212" s="1043"/>
      <c r="G9212" s="1550"/>
    </row>
    <row r="9213" spans="1:7" ht="12.75" customHeight="1">
      <c r="A9213" s="1754">
        <v>46027</v>
      </c>
      <c r="B9213" s="116" t="str">
        <f>TiposLancamentos!B6</f>
        <v>Energia Eletrica</v>
      </c>
      <c r="C9213" s="1740" t="s">
        <v>9676</v>
      </c>
      <c r="D9213" s="1736"/>
      <c r="E9213" s="1043">
        <v>158.91999999999999</v>
      </c>
      <c r="F9213" s="1043"/>
      <c r="G9213" s="1550"/>
    </row>
    <row r="9214" spans="1:7" ht="12.75" customHeight="1">
      <c r="A9214" s="1754">
        <v>46027</v>
      </c>
      <c r="B9214" s="116" t="str">
        <f>TiposLancamentos!B8</f>
        <v>Aluguel</v>
      </c>
      <c r="C9214" s="1740" t="s">
        <v>9677</v>
      </c>
      <c r="D9214" s="1736"/>
      <c r="E9214" s="1043">
        <v>550</v>
      </c>
      <c r="F9214" s="1043"/>
      <c r="G9214" s="1550"/>
    </row>
    <row r="9215" spans="1:7" ht="12.75" customHeight="1">
      <c r="A9215" s="884">
        <v>46027</v>
      </c>
      <c r="B9215" s="1748" t="str">
        <f>TiposLancamentos!B36</f>
        <v>Playstation 2</v>
      </c>
      <c r="C9215" s="1740" t="s">
        <v>9678</v>
      </c>
      <c r="D9215" s="1736"/>
      <c r="E9215" s="1043">
        <v>115</v>
      </c>
      <c r="F9215" s="1043"/>
      <c r="G9215" s="1550"/>
    </row>
    <row r="9216" spans="1:7" ht="12.75" customHeight="1">
      <c r="A9216" s="1754">
        <v>46027</v>
      </c>
      <c r="B9216" s="116" t="str">
        <f>TiposLancamentos!B4</f>
        <v>Taxas Bancarias</v>
      </c>
      <c r="C9216" s="1740" t="s">
        <v>9599</v>
      </c>
      <c r="D9216" s="1736"/>
      <c r="E9216" s="1043">
        <v>1123.46</v>
      </c>
      <c r="F9216" s="1043"/>
      <c r="G9216" s="1550"/>
    </row>
    <row r="9217" spans="1:7" ht="12.75" customHeight="1">
      <c r="A9217" s="884">
        <v>46029</v>
      </c>
      <c r="B9217" s="1748" t="str">
        <f>TiposLancamentos!B9</f>
        <v>Condominio</v>
      </c>
      <c r="C9217" s="1740" t="s">
        <v>9679</v>
      </c>
      <c r="D9217" s="1736"/>
      <c r="E9217" s="1043">
        <v>1532.08</v>
      </c>
      <c r="F9217" s="1043"/>
      <c r="G9217" s="1550"/>
    </row>
    <row r="9218" spans="1:7" ht="12.75" customHeight="1">
      <c r="A9218" s="1754">
        <v>46030</v>
      </c>
      <c r="B9218" s="116" t="str">
        <f>TiposLancamentos!B4</f>
        <v>Taxas Bancarias</v>
      </c>
      <c r="C9218" s="1740" t="s">
        <v>9680</v>
      </c>
      <c r="D9218" s="1736"/>
      <c r="E9218" s="1043">
        <v>72.569999999999993</v>
      </c>
      <c r="F9218" s="1043"/>
      <c r="G9218" s="1550"/>
    </row>
    <row r="9219" spans="1:7" ht="12.75" customHeight="1">
      <c r="A9219" s="1754">
        <v>46030</v>
      </c>
      <c r="B9219" s="116" t="str">
        <f>TiposLancamentos!B95</f>
        <v>Salarios</v>
      </c>
      <c r="C9219" s="1740" t="s">
        <v>9490</v>
      </c>
      <c r="D9219" s="1736">
        <v>1780</v>
      </c>
      <c r="E9219" s="1043"/>
      <c r="F9219" s="1043"/>
      <c r="G9219" s="1550"/>
    </row>
    <row r="9220" spans="1:7" ht="12.75" customHeight="1">
      <c r="A9220" s="1754">
        <v>46030</v>
      </c>
      <c r="B9220" s="116" t="str">
        <f>TiposLancamentos!B4</f>
        <v>Taxas Bancarias</v>
      </c>
      <c r="C9220" s="1740" t="s">
        <v>9681</v>
      </c>
      <c r="D9220" s="1736"/>
      <c r="E9220" s="1043"/>
      <c r="F9220" s="1043"/>
      <c r="G9220" s="1550"/>
    </row>
    <row r="9221" spans="1:7" ht="12.75" customHeight="1">
      <c r="A9221" s="1754">
        <v>46037</v>
      </c>
      <c r="B9221" s="116" t="str">
        <f>TiposLancamentos!B14</f>
        <v>Gás de cozinha</v>
      </c>
      <c r="C9221" s="1740" t="s">
        <v>9590</v>
      </c>
      <c r="D9221" s="1736"/>
      <c r="E9221" s="1043">
        <v>40.369999999999997</v>
      </c>
      <c r="F9221" s="1043"/>
      <c r="G9221" s="1550"/>
    </row>
    <row r="9222" spans="1:7" ht="12.75" customHeight="1">
      <c r="A9222" s="1754">
        <v>46037</v>
      </c>
      <c r="B9222" s="116" t="str">
        <f>TiposLancamentos!B2</f>
        <v>Telefonia</v>
      </c>
      <c r="C9222" s="1740" t="s">
        <v>9682</v>
      </c>
      <c r="D9222" s="1736"/>
      <c r="E9222" s="1043">
        <v>77.61</v>
      </c>
      <c r="F9222" s="1043"/>
      <c r="G9222" s="1550"/>
    </row>
    <row r="9223" spans="1:7" ht="12.75" customHeight="1">
      <c r="A9223" s="1754">
        <v>46037</v>
      </c>
      <c r="B9223" s="116" t="str">
        <f>TiposLancamentos!B46</f>
        <v>Maçonaria</v>
      </c>
      <c r="C9223" s="1740" t="s">
        <v>9683</v>
      </c>
      <c r="D9223" s="1736"/>
      <c r="E9223" s="1043">
        <v>210</v>
      </c>
      <c r="F9223" s="1043"/>
      <c r="G9223" s="1550"/>
    </row>
    <row r="9224" spans="1:7" ht="12.75" customHeight="1">
      <c r="A9224" s="1754">
        <v>46037</v>
      </c>
      <c r="B9224" s="116"/>
      <c r="C9224" s="1740" t="s">
        <v>1868</v>
      </c>
      <c r="D9224" s="1736">
        <v>0</v>
      </c>
      <c r="E9224" s="1043"/>
      <c r="F9224" s="1043"/>
      <c r="G9224" s="1550"/>
    </row>
    <row r="9225" spans="1:7" ht="12.75" customHeight="1">
      <c r="A9225" s="1666">
        <v>46037</v>
      </c>
      <c r="B9225" s="817" t="str">
        <f>TiposLancamentos!B35</f>
        <v>Tv à Cabo</v>
      </c>
      <c r="C9225" s="1742" t="s">
        <v>9557</v>
      </c>
      <c r="D9225" s="1735"/>
      <c r="E9225" s="1733">
        <f>F9227-(E9226+E9227)</f>
        <v>119.79999999999998</v>
      </c>
      <c r="F9225" s="1290"/>
      <c r="G9225" s="1550"/>
    </row>
    <row r="9226" spans="1:7" ht="12.75" customHeight="1">
      <c r="A9226" s="1868">
        <v>46037</v>
      </c>
      <c r="B9226" s="816" t="str">
        <f>TiposLancamentos!B3</f>
        <v>Internet</v>
      </c>
      <c r="C9226" s="1769" t="s">
        <v>9558</v>
      </c>
      <c r="D9226" s="1736"/>
      <c r="E9226" s="1734">
        <v>84.9</v>
      </c>
      <c r="F9226" s="1043"/>
      <c r="G9226" s="1550"/>
    </row>
    <row r="9227" spans="1:7" ht="12.75" customHeight="1">
      <c r="A9227" s="1750">
        <v>46037</v>
      </c>
      <c r="B9227" s="818" t="str">
        <f>TiposLancamentos!B2</f>
        <v>Telefonia</v>
      </c>
      <c r="C9227" s="1743" t="s">
        <v>9559</v>
      </c>
      <c r="D9227" s="1737">
        <v>0</v>
      </c>
      <c r="E9227" s="1668">
        <v>0</v>
      </c>
      <c r="F9227" s="1518">
        <v>204.7</v>
      </c>
      <c r="G9227" s="1550"/>
    </row>
    <row r="9228" spans="1:7" ht="12.75" customHeight="1">
      <c r="A9228" s="1754">
        <v>46037</v>
      </c>
      <c r="B9228" s="116"/>
      <c r="C9228" s="1740" t="s">
        <v>1868</v>
      </c>
      <c r="D9228" s="1736">
        <v>0</v>
      </c>
      <c r="F9228" s="1043"/>
      <c r="G9228" s="1550"/>
    </row>
    <row r="9229" spans="1:7" ht="12.75" customHeight="1">
      <c r="A9229" s="1754">
        <v>46039</v>
      </c>
      <c r="B9229" s="116" t="str">
        <f>TiposLancamentos!B3</f>
        <v>Internet</v>
      </c>
      <c r="C9229" s="1740" t="s">
        <v>9684</v>
      </c>
      <c r="D9229" s="1736"/>
      <c r="E9229" s="1043">
        <v>110</v>
      </c>
      <c r="F9229" s="1043"/>
      <c r="G9229" s="1550"/>
    </row>
    <row r="9230" spans="1:7" ht="12.75" customHeight="1">
      <c r="A9230" s="1754">
        <v>46048</v>
      </c>
      <c r="B9230" s="116" t="str">
        <f>TiposLancamentos!B95</f>
        <v>Salarios</v>
      </c>
      <c r="C9230" s="1740" t="s">
        <v>9530</v>
      </c>
      <c r="D9230" s="1736">
        <v>13840</v>
      </c>
      <c r="E9230" s="1043"/>
      <c r="F9230" s="1043"/>
      <c r="G9230" s="1550"/>
    </row>
    <row r="9231" spans="1:7" ht="12.75" customHeight="1">
      <c r="A9231" s="1754">
        <v>46048</v>
      </c>
      <c r="B9231" s="116"/>
      <c r="C9231" s="1740" t="s">
        <v>9531</v>
      </c>
      <c r="D9231" s="1736"/>
      <c r="E9231" s="1043"/>
      <c r="F9231" s="1043">
        <f>D9230*0.32</f>
        <v>4428.8</v>
      </c>
      <c r="G9231" s="1550"/>
    </row>
    <row r="9232" spans="1:7" ht="12.75" customHeight="1">
      <c r="A9232" s="1754">
        <v>46050</v>
      </c>
      <c r="B9232" s="116" t="str">
        <f>TiposLancamentos!B7</f>
        <v>Apto. Proprio 01</v>
      </c>
      <c r="C9232" s="1740" t="s">
        <v>9685</v>
      </c>
      <c r="D9232" s="1736"/>
      <c r="E9232" s="1043">
        <v>3621.58</v>
      </c>
      <c r="F9232" s="1043"/>
      <c r="G9232" s="1550"/>
    </row>
    <row r="9233" spans="1:7" ht="12.75" customHeight="1" thickBot="1">
      <c r="A9233" s="1754">
        <v>46052</v>
      </c>
      <c r="B9233" s="116" t="str">
        <f>TiposLancamentos!B71</f>
        <v>Itens Pessoais</v>
      </c>
      <c r="C9233" s="1740" t="s">
        <v>9658</v>
      </c>
      <c r="D9233" s="1736"/>
      <c r="E9233" s="1043">
        <v>45</v>
      </c>
      <c r="F9233" s="1043"/>
      <c r="G9233" s="1550"/>
    </row>
    <row r="9234" spans="1:7" ht="12.75" customHeight="1">
      <c r="A9234" s="1834"/>
      <c r="B9234" s="977"/>
      <c r="C9234" s="1854" t="s">
        <v>2360</v>
      </c>
      <c r="D9234" s="1823"/>
      <c r="E9234" s="1821"/>
      <c r="F9234" s="1821"/>
      <c r="G9234" s="1895"/>
    </row>
    <row r="9235" spans="1:7" ht="12.75" customHeight="1">
      <c r="A9235" s="1754">
        <v>46055</v>
      </c>
      <c r="B9235" s="1748" t="str">
        <f>TiposLancamentos!B15</f>
        <v>Cartões de Crédito</v>
      </c>
      <c r="C9235" s="1740" t="s">
        <v>9175</v>
      </c>
      <c r="D9235" s="1736"/>
      <c r="E9235" s="1043">
        <v>4311.9316666666682</v>
      </c>
      <c r="F9235" s="1043"/>
      <c r="G9235" s="1550"/>
    </row>
    <row r="9236" spans="1:7" ht="12.75" customHeight="1">
      <c r="A9236" s="1754">
        <v>46055</v>
      </c>
      <c r="B9236" s="1748" t="str">
        <f>TiposLancamentos!B15</f>
        <v>Cartões de Crédito</v>
      </c>
      <c r="C9236" s="1740" t="s">
        <v>8252</v>
      </c>
      <c r="D9236" s="1736"/>
      <c r="E9236" s="1043">
        <v>1930.6633333333334</v>
      </c>
      <c r="F9236" s="1043"/>
      <c r="G9236" s="1550"/>
    </row>
    <row r="9237" spans="1:7" ht="12.75" customHeight="1">
      <c r="A9237" s="1754">
        <v>46055</v>
      </c>
      <c r="B9237" s="1748" t="str">
        <f>TiposLancamentos!B15</f>
        <v>Cartões de Crédito</v>
      </c>
      <c r="C9237" s="1740" t="s">
        <v>9361</v>
      </c>
      <c r="D9237" s="1736"/>
      <c r="E9237" s="1043">
        <v>1521.74</v>
      </c>
      <c r="F9237" s="1043"/>
      <c r="G9237" s="1550"/>
    </row>
    <row r="9238" spans="1:7" ht="12.75" customHeight="1">
      <c r="A9238" s="1754">
        <v>46055</v>
      </c>
      <c r="B9238" s="1748" t="str">
        <f>TiposLancamentos!B15</f>
        <v>Cartões de Crédito</v>
      </c>
      <c r="C9238" s="1740" t="s">
        <v>8016</v>
      </c>
      <c r="D9238" s="1736"/>
      <c r="E9238" s="1043">
        <v>0</v>
      </c>
      <c r="F9238" s="1043"/>
      <c r="G9238" s="1550"/>
    </row>
    <row r="9239" spans="1:7" ht="12.75" customHeight="1">
      <c r="A9239" s="884">
        <v>46055</v>
      </c>
      <c r="B9239" s="1748" t="str">
        <f>TiposLancamentos!B15</f>
        <v>Cartões de Crédito</v>
      </c>
      <c r="C9239" s="1740" t="s">
        <v>9174</v>
      </c>
      <c r="D9239" s="1736"/>
      <c r="E9239" s="1043">
        <v>0</v>
      </c>
      <c r="F9239" s="1043"/>
      <c r="G9239" s="1550"/>
    </row>
    <row r="9240" spans="1:7" ht="12.75" customHeight="1">
      <c r="A9240" s="1754">
        <v>46055</v>
      </c>
      <c r="B9240" s="116" t="str">
        <f>TiposLancamentos!B6</f>
        <v>Energia Eletrica</v>
      </c>
      <c r="C9240" s="1740" t="s">
        <v>9686</v>
      </c>
      <c r="D9240" s="1736"/>
      <c r="E9240" s="1043">
        <v>172.21</v>
      </c>
      <c r="F9240" s="1043"/>
      <c r="G9240" s="1550"/>
    </row>
    <row r="9241" spans="1:7" ht="12.75" customHeight="1">
      <c r="A9241" s="1754">
        <v>46056</v>
      </c>
      <c r="B9241" s="116" t="str">
        <f>TiposLancamentos!B4</f>
        <v>Taxas Bancarias</v>
      </c>
      <c r="C9241" s="1740" t="s">
        <v>9578</v>
      </c>
      <c r="D9241" s="1736"/>
      <c r="E9241" s="1043">
        <v>105.98</v>
      </c>
      <c r="F9241" s="1043"/>
      <c r="G9241" s="1550"/>
    </row>
    <row r="9242" spans="1:7" ht="12.75" customHeight="1">
      <c r="A9242" s="1754">
        <v>46059</v>
      </c>
      <c r="B9242" s="116" t="str">
        <f>TiposLancamentos!B4</f>
        <v>Taxas Bancarias</v>
      </c>
      <c r="C9242" s="1740" t="s">
        <v>9599</v>
      </c>
      <c r="D9242" s="1736"/>
      <c r="E9242" s="1043">
        <v>1301</v>
      </c>
      <c r="F9242" s="1043"/>
      <c r="G9242" s="1550"/>
    </row>
    <row r="9243" spans="1:7" ht="12.75" customHeight="1">
      <c r="A9243" s="1754">
        <v>46059</v>
      </c>
      <c r="B9243" s="116" t="str">
        <f>TiposLancamentos!B95</f>
        <v>Salarios</v>
      </c>
      <c r="C9243" s="1740" t="s">
        <v>9490</v>
      </c>
      <c r="D9243" s="1736">
        <v>1780</v>
      </c>
      <c r="E9243" s="1043"/>
      <c r="F9243" s="1043"/>
      <c r="G9243" s="1550"/>
    </row>
    <row r="9244" spans="1:7" ht="12.75" customHeight="1">
      <c r="A9244" s="1754">
        <v>46060</v>
      </c>
      <c r="B9244" s="116" t="str">
        <f>TiposLancamentos!B9</f>
        <v>Condominio</v>
      </c>
      <c r="C9244" s="1740" t="s">
        <v>9687</v>
      </c>
      <c r="D9244" s="1736"/>
      <c r="E9244" s="1043">
        <v>1532.08</v>
      </c>
      <c r="F9244" s="1043"/>
      <c r="G9244" s="1550"/>
    </row>
    <row r="9245" spans="1:7" ht="12.75" customHeight="1">
      <c r="A9245" s="1754">
        <v>46060</v>
      </c>
      <c r="B9245" s="116" t="str">
        <f>TiposLancamentos!B4</f>
        <v>Taxas Bancarias</v>
      </c>
      <c r="C9245" s="1740" t="s">
        <v>9688</v>
      </c>
      <c r="D9245" s="1736"/>
      <c r="E9245" s="1043">
        <v>84.04</v>
      </c>
      <c r="F9245" s="1043"/>
      <c r="G9245" s="1550"/>
    </row>
    <row r="9246" spans="1:7" ht="12.75" customHeight="1">
      <c r="A9246" s="1754">
        <v>46060</v>
      </c>
      <c r="B9246" s="116" t="str">
        <f>TiposLancamentos!B4</f>
        <v>Taxas Bancarias</v>
      </c>
      <c r="C9246" s="1740" t="s">
        <v>9689</v>
      </c>
      <c r="D9246" s="1736"/>
      <c r="E9246" s="1043">
        <v>0</v>
      </c>
      <c r="F9246" s="1043"/>
      <c r="G9246" s="1550"/>
    </row>
    <row r="9247" spans="1:7" ht="12.75" customHeight="1">
      <c r="A9247" s="1754">
        <v>46068</v>
      </c>
      <c r="B9247" s="116" t="str">
        <f>TiposLancamentos!B14</f>
        <v>Gás de cozinha</v>
      </c>
      <c r="C9247" s="1740" t="s">
        <v>9590</v>
      </c>
      <c r="D9247" s="1736"/>
      <c r="E9247" s="1043">
        <v>52.26</v>
      </c>
      <c r="F9247" s="1043"/>
      <c r="G9247" s="1550"/>
    </row>
    <row r="9248" spans="1:7" ht="12.75" customHeight="1">
      <c r="A9248" s="1754">
        <v>46068</v>
      </c>
      <c r="B9248" s="116" t="str">
        <f>TiposLancamentos!B2</f>
        <v>Telefonia</v>
      </c>
      <c r="C9248" s="1740" t="s">
        <v>9690</v>
      </c>
      <c r="D9248" s="1736"/>
      <c r="E9248" s="1043">
        <v>77.61</v>
      </c>
      <c r="F9248" s="1043"/>
      <c r="G9248" s="1550"/>
    </row>
    <row r="9249" spans="1:7" ht="12.75" customHeight="1">
      <c r="A9249" s="1754">
        <v>46068</v>
      </c>
      <c r="B9249" s="116" t="str">
        <f>TiposLancamentos!B46</f>
        <v>Maçonaria</v>
      </c>
      <c r="C9249" s="1740" t="s">
        <v>9691</v>
      </c>
      <c r="D9249" s="1736"/>
      <c r="E9249" s="1043">
        <v>210</v>
      </c>
      <c r="F9249" s="1043"/>
      <c r="G9249" s="1550"/>
    </row>
    <row r="9250" spans="1:7" ht="12.75" customHeight="1">
      <c r="A9250" s="1754">
        <v>46068</v>
      </c>
      <c r="B9250" s="116"/>
      <c r="C9250" s="1740" t="s">
        <v>1868</v>
      </c>
      <c r="D9250" s="1736">
        <v>0</v>
      </c>
      <c r="E9250" s="1043"/>
      <c r="F9250" s="1043"/>
      <c r="G9250" s="1550"/>
    </row>
    <row r="9251" spans="1:7" ht="12.75" customHeight="1">
      <c r="A9251" s="1666">
        <v>46068</v>
      </c>
      <c r="B9251" s="817" t="str">
        <f>TiposLancamentos!B35</f>
        <v>Tv à Cabo</v>
      </c>
      <c r="C9251" s="1742" t="s">
        <v>9692</v>
      </c>
      <c r="D9251" s="1735"/>
      <c r="E9251" s="1733">
        <f>F9253-(E9252+E9253)</f>
        <v>123.85</v>
      </c>
      <c r="F9251" s="1290"/>
      <c r="G9251" s="1550"/>
    </row>
    <row r="9252" spans="1:7" ht="12.75" customHeight="1">
      <c r="A9252" s="1868">
        <v>46068</v>
      </c>
      <c r="B9252" s="816" t="str">
        <f>TiposLancamentos!B3</f>
        <v>Internet</v>
      </c>
      <c r="C9252" s="1769" t="s">
        <v>9693</v>
      </c>
      <c r="D9252" s="1736"/>
      <c r="E9252" s="1734">
        <v>84.9</v>
      </c>
      <c r="F9252" s="1043"/>
      <c r="G9252" s="1550"/>
    </row>
    <row r="9253" spans="1:7" ht="12.75" customHeight="1">
      <c r="A9253" s="1750">
        <v>46068</v>
      </c>
      <c r="B9253" s="818" t="str">
        <f>TiposLancamentos!B2</f>
        <v>Telefonia</v>
      </c>
      <c r="C9253" s="1743" t="s">
        <v>9694</v>
      </c>
      <c r="D9253" s="1737">
        <v>0</v>
      </c>
      <c r="E9253" s="1668">
        <v>0</v>
      </c>
      <c r="F9253" s="1518">
        <v>208.75</v>
      </c>
      <c r="G9253" s="1550"/>
    </row>
    <row r="9254" spans="1:7" ht="12.75" customHeight="1">
      <c r="A9254" s="1754">
        <v>46068</v>
      </c>
      <c r="B9254" s="116"/>
      <c r="C9254" s="1740" t="s">
        <v>1868</v>
      </c>
      <c r="D9254" s="1736">
        <v>0</v>
      </c>
      <c r="F9254" s="1043"/>
      <c r="G9254" s="1550"/>
    </row>
    <row r="9255" spans="1:7" ht="12.75" customHeight="1">
      <c r="A9255" s="1754">
        <v>46068</v>
      </c>
      <c r="B9255" s="116" t="str">
        <f>TiposLancamentos!B12</f>
        <v>IPTU</v>
      </c>
      <c r="C9255" s="1740" t="s">
        <v>9695</v>
      </c>
      <c r="D9255" s="1736"/>
      <c r="E9255" s="1043">
        <v>164.4</v>
      </c>
      <c r="F9255" s="1043"/>
      <c r="G9255" s="1550"/>
    </row>
    <row r="9256" spans="1:7" ht="12.75" customHeight="1">
      <c r="A9256" s="1754">
        <v>46068</v>
      </c>
      <c r="B9256" s="116" t="str">
        <f>TiposLancamentos!B46</f>
        <v>Maçonaria</v>
      </c>
      <c r="C9256" s="1740" t="s">
        <v>9696</v>
      </c>
      <c r="D9256" s="1736"/>
      <c r="E9256" s="1043">
        <v>400</v>
      </c>
      <c r="F9256" s="1043"/>
      <c r="G9256" s="1550"/>
    </row>
    <row r="9257" spans="1:7" ht="12.75" customHeight="1">
      <c r="A9257" s="1754">
        <v>46071</v>
      </c>
      <c r="B9257" s="116" t="str">
        <f>TiposLancamentos!B3</f>
        <v>Internet</v>
      </c>
      <c r="C9257" s="1740" t="s">
        <v>9697</v>
      </c>
      <c r="D9257" s="1736"/>
      <c r="E9257" s="1043">
        <v>239.16</v>
      </c>
      <c r="F9257" s="1043"/>
      <c r="G9257" s="1550"/>
    </row>
    <row r="9258" spans="1:7" ht="12.75" customHeight="1">
      <c r="A9258" s="1754"/>
      <c r="B9258" s="116"/>
      <c r="C9258" s="1740" t="s">
        <v>1868</v>
      </c>
      <c r="D9258" s="1736"/>
      <c r="E9258" s="1043"/>
      <c r="F9258" s="1043"/>
      <c r="G9258" s="1550"/>
    </row>
    <row r="9259" spans="1:7" ht="12.75" customHeight="1">
      <c r="A9259" s="1666">
        <v>46068</v>
      </c>
      <c r="B9259" s="817" t="str">
        <f>TiposLancamentos!B35</f>
        <v>Tv à Cabo</v>
      </c>
      <c r="C9259" s="1742" t="s">
        <v>9698</v>
      </c>
      <c r="D9259" s="1735"/>
      <c r="E9259" s="1733">
        <f>F9261-(E9260+E9261)</f>
        <v>123.85</v>
      </c>
      <c r="F9259" s="1290"/>
      <c r="G9259" s="1550"/>
    </row>
    <row r="9260" spans="1:7" ht="12.75" customHeight="1">
      <c r="A9260" s="1868">
        <v>46068</v>
      </c>
      <c r="B9260" s="816" t="str">
        <f>TiposLancamentos!B3</f>
        <v>Internet</v>
      </c>
      <c r="C9260" s="1769" t="s">
        <v>9699</v>
      </c>
      <c r="D9260" s="1736"/>
      <c r="E9260" s="1734">
        <v>84.9</v>
      </c>
      <c r="F9260" s="1043"/>
      <c r="G9260" s="1550"/>
    </row>
    <row r="9261" spans="1:7" ht="12.75" customHeight="1">
      <c r="A9261" s="1750">
        <v>46068</v>
      </c>
      <c r="B9261" s="818" t="str">
        <f>TiposLancamentos!B2</f>
        <v>Telefonia</v>
      </c>
      <c r="C9261" s="1743" t="s">
        <v>9700</v>
      </c>
      <c r="D9261" s="1737">
        <v>0</v>
      </c>
      <c r="E9261" s="1668">
        <v>0</v>
      </c>
      <c r="F9261" s="1518">
        <v>208.75</v>
      </c>
      <c r="G9261" s="1550"/>
    </row>
    <row r="9262" spans="1:7" ht="12.75" customHeight="1">
      <c r="A9262" s="1754"/>
      <c r="B9262" s="116"/>
      <c r="C9262" s="1740" t="s">
        <v>1868</v>
      </c>
      <c r="D9262" s="1736"/>
      <c r="E9262" s="1043"/>
      <c r="F9262" s="1043"/>
      <c r="G9262" s="1550"/>
    </row>
    <row r="9263" spans="1:7" ht="12.75" customHeight="1">
      <c r="A9263" s="1754">
        <v>46077</v>
      </c>
      <c r="B9263" s="116" t="str">
        <f>TiposLancamentos!B54</f>
        <v>Metro</v>
      </c>
      <c r="C9263" s="1740" t="s">
        <v>9701</v>
      </c>
      <c r="D9263" s="1736"/>
      <c r="E9263" s="1043">
        <v>21.6</v>
      </c>
      <c r="F9263" s="1043">
        <f>E9263/4</f>
        <v>5.4</v>
      </c>
      <c r="G9263" s="1550"/>
    </row>
    <row r="9264" spans="1:7" ht="12.75" customHeight="1">
      <c r="A9264" s="1754">
        <v>46078</v>
      </c>
      <c r="B9264" s="116" t="str">
        <f>TiposLancamentos!B95</f>
        <v>Salarios</v>
      </c>
      <c r="C9264" s="1740" t="s">
        <v>9530</v>
      </c>
      <c r="D9264" s="1736">
        <v>13120</v>
      </c>
      <c r="E9264" s="1043"/>
      <c r="F9264" s="1043"/>
      <c r="G9264" s="1550"/>
    </row>
    <row r="9265" spans="1:7" ht="12.75" customHeight="1" thickBot="1">
      <c r="A9265" s="1754">
        <v>46078</v>
      </c>
      <c r="B9265" s="116"/>
      <c r="C9265" s="1740" t="s">
        <v>9531</v>
      </c>
      <c r="D9265" s="1736"/>
      <c r="E9265" s="1043"/>
      <c r="F9265" s="1043">
        <f>D9264*0.32</f>
        <v>4198.3999999999996</v>
      </c>
      <c r="G9265" s="1550"/>
    </row>
    <row r="9266" spans="1:7" ht="12.75" customHeight="1">
      <c r="A9266" s="1834"/>
      <c r="B9266" s="977"/>
      <c r="C9266" s="1854" t="s">
        <v>1656</v>
      </c>
      <c r="D9266" s="1823"/>
      <c r="E9266" s="1821"/>
      <c r="F9266" s="1821"/>
      <c r="G9266" s="1895"/>
    </row>
    <row r="9267" spans="1:7" ht="12.75" customHeight="1">
      <c r="A9267" s="1754">
        <v>46083</v>
      </c>
      <c r="B9267" s="116" t="str">
        <f>TiposLancamentos!B7</f>
        <v>Apto. Proprio 01</v>
      </c>
      <c r="C9267" s="1740" t="s">
        <v>9702</v>
      </c>
      <c r="D9267" s="1736"/>
      <c r="E9267" s="1043">
        <v>3631.8</v>
      </c>
      <c r="F9267" s="1043"/>
      <c r="G9267" s="1550"/>
    </row>
    <row r="9268" spans="1:7" ht="12.75" customHeight="1">
      <c r="A9268" s="1754">
        <v>46083</v>
      </c>
      <c r="B9268" s="1748" t="str">
        <f>TiposLancamentos!B15</f>
        <v>Cartões de Crédito</v>
      </c>
      <c r="C9268" s="1740" t="s">
        <v>9175</v>
      </c>
      <c r="D9268" s="1736"/>
      <c r="E9268" s="1043">
        <v>4449.71</v>
      </c>
      <c r="F9268" s="1043"/>
      <c r="G9268" s="1550"/>
    </row>
    <row r="9269" spans="1:7" ht="12.75" customHeight="1">
      <c r="A9269" s="1754">
        <v>46083</v>
      </c>
      <c r="B9269" s="1748" t="str">
        <f>TiposLancamentos!B15</f>
        <v>Cartões de Crédito</v>
      </c>
      <c r="C9269" s="1740" t="s">
        <v>8252</v>
      </c>
      <c r="D9269" s="1736"/>
      <c r="E9269" s="1043">
        <v>2121.7600000000002</v>
      </c>
      <c r="F9269" s="1043"/>
      <c r="G9269" s="1550"/>
    </row>
    <row r="9270" spans="1:7" ht="12.75" customHeight="1">
      <c r="A9270" s="1754">
        <v>46083</v>
      </c>
      <c r="B9270" s="1748" t="str">
        <f>TiposLancamentos!B15</f>
        <v>Cartões de Crédito</v>
      </c>
      <c r="C9270" s="1740" t="s">
        <v>9361</v>
      </c>
      <c r="D9270" s="1736"/>
      <c r="E9270" s="1043">
        <v>1248.44</v>
      </c>
      <c r="F9270" s="1043"/>
      <c r="G9270" s="1550"/>
    </row>
    <row r="9271" spans="1:7" ht="12.75" customHeight="1">
      <c r="A9271" s="1754">
        <v>46083</v>
      </c>
      <c r="B9271" s="1748" t="str">
        <f>TiposLancamentos!B15</f>
        <v>Cartões de Crédito</v>
      </c>
      <c r="C9271" s="1740" t="s">
        <v>8016</v>
      </c>
      <c r="D9271" s="1736"/>
      <c r="E9271" s="1043">
        <v>0</v>
      </c>
      <c r="F9271" s="1043">
        <v>0</v>
      </c>
      <c r="G9271" s="1550"/>
    </row>
    <row r="9272" spans="1:7" ht="12.75" customHeight="1">
      <c r="A9272" s="884">
        <v>46083</v>
      </c>
      <c r="B9272" s="1748" t="str">
        <f>TiposLancamentos!B15</f>
        <v>Cartões de Crédito</v>
      </c>
      <c r="C9272" s="1740" t="s">
        <v>9174</v>
      </c>
      <c r="D9272" s="1736"/>
      <c r="E9272" s="1043">
        <v>0</v>
      </c>
      <c r="F9272" s="1043">
        <v>0</v>
      </c>
      <c r="G9272" s="1550"/>
    </row>
    <row r="9273" spans="1:7" ht="12.75" customHeight="1">
      <c r="A9273" s="1754">
        <v>46083</v>
      </c>
      <c r="B9273" s="116" t="str">
        <f>TiposLancamentos!B6</f>
        <v>Energia Eletrica</v>
      </c>
      <c r="C9273" s="1740" t="s">
        <v>9703</v>
      </c>
      <c r="D9273" s="1736"/>
      <c r="E9273" s="1043">
        <v>216.46</v>
      </c>
      <c r="F9273" s="1043"/>
      <c r="G9273" s="1550"/>
    </row>
    <row r="9274" spans="1:7" ht="12.75" customHeight="1">
      <c r="A9274" s="1754">
        <v>46083</v>
      </c>
      <c r="B9274" s="116" t="str">
        <f>TiposLancamentos!B54</f>
        <v>Metro</v>
      </c>
      <c r="C9274" s="1740" t="s">
        <v>9704</v>
      </c>
      <c r="D9274" s="1736"/>
      <c r="E9274" s="1043">
        <f>F9263*3</f>
        <v>16.200000000000003</v>
      </c>
      <c r="F9274" s="1043"/>
      <c r="G9274" s="1550"/>
    </row>
    <row r="9275" spans="1:7" ht="12.75" customHeight="1">
      <c r="A9275" s="1754">
        <v>46084</v>
      </c>
      <c r="B9275" s="116" t="str">
        <f>TiposLancamentos!B4</f>
        <v>Taxas Bancarias</v>
      </c>
      <c r="C9275" s="1740" t="s">
        <v>9578</v>
      </c>
      <c r="D9275" s="1736"/>
      <c r="E9275" s="1043">
        <v>84.88</v>
      </c>
      <c r="F9275" s="1043"/>
      <c r="G9275" s="1550"/>
    </row>
    <row r="9276" spans="1:7" ht="12.75" customHeight="1">
      <c r="A9276" s="1754">
        <v>46086</v>
      </c>
      <c r="B9276" s="116" t="str">
        <f>TiposLancamentos!B4</f>
        <v>Taxas Bancarias</v>
      </c>
      <c r="C9276" s="1740" t="s">
        <v>9599</v>
      </c>
      <c r="D9276" s="1736"/>
      <c r="E9276" s="1043">
        <v>1335.52</v>
      </c>
      <c r="F9276" s="1043"/>
      <c r="G9276" s="1550"/>
    </row>
    <row r="9277" spans="1:7" ht="12.75" customHeight="1">
      <c r="A9277" s="1754">
        <v>46087</v>
      </c>
      <c r="B9277" s="116" t="str">
        <f>TiposLancamentos!B95</f>
        <v>Salarios</v>
      </c>
      <c r="C9277" s="1740" t="s">
        <v>9490</v>
      </c>
      <c r="D9277" s="1736">
        <v>1780</v>
      </c>
      <c r="E9277" s="1043"/>
      <c r="F9277" s="1043"/>
      <c r="G9277" s="1550"/>
    </row>
    <row r="9278" spans="1:7" ht="12.75" customHeight="1">
      <c r="A9278" s="1754">
        <v>46087</v>
      </c>
      <c r="B9278" s="116" t="str">
        <f>TiposLancamentos!B4</f>
        <v>Taxas Bancarias</v>
      </c>
      <c r="C9278" s="1740" t="s">
        <v>9705</v>
      </c>
      <c r="D9278" s="1736"/>
      <c r="E9278" s="1043">
        <v>77.91</v>
      </c>
      <c r="F9278" s="1043"/>
      <c r="G9278" s="1550"/>
    </row>
    <row r="9279" spans="1:7" ht="12.75" customHeight="1">
      <c r="A9279" s="1754">
        <v>46087</v>
      </c>
      <c r="B9279" s="116" t="str">
        <f>TiposLancamentos!B4</f>
        <v>Taxas Bancarias</v>
      </c>
      <c r="C9279" s="1740" t="s">
        <v>9706</v>
      </c>
      <c r="D9279" s="1736"/>
      <c r="E9279" s="1043">
        <v>0</v>
      </c>
      <c r="F9279" s="1043"/>
      <c r="G9279" s="1550"/>
    </row>
    <row r="9280" spans="1:7" ht="12.75" customHeight="1">
      <c r="A9280" s="1754">
        <v>46090</v>
      </c>
      <c r="B9280" s="116" t="str">
        <f>TiposLancamentos!B9</f>
        <v>Condominio</v>
      </c>
      <c r="C9280" s="1740" t="s">
        <v>9707</v>
      </c>
      <c r="D9280" s="1736"/>
      <c r="E9280" s="1043">
        <v>1532.08</v>
      </c>
      <c r="F9280" s="1043"/>
      <c r="G9280" s="1550"/>
    </row>
    <row r="9281" spans="1:7" ht="12.75" customHeight="1">
      <c r="A9281" s="1754">
        <v>46091</v>
      </c>
      <c r="B9281" s="116" t="str">
        <f>TiposLancamentos!B54</f>
        <v>Metro</v>
      </c>
      <c r="C9281" s="1740" t="s">
        <v>9708</v>
      </c>
      <c r="D9281" s="1736"/>
      <c r="E9281" s="1043">
        <v>21.6</v>
      </c>
      <c r="F9281" s="1043"/>
      <c r="G9281" s="1550"/>
    </row>
    <row r="9282" spans="1:7" ht="12.75" customHeight="1">
      <c r="A9282" s="1754">
        <v>46096</v>
      </c>
      <c r="B9282" s="116" t="str">
        <f>TiposLancamentos!B71</f>
        <v>Itens Pessoais</v>
      </c>
      <c r="C9282" s="1740" t="s">
        <v>9709</v>
      </c>
      <c r="D9282" s="1736"/>
      <c r="E9282" s="1043">
        <v>45</v>
      </c>
      <c r="F9282" s="1043"/>
      <c r="G9282" s="1550"/>
    </row>
    <row r="9283" spans="1:7" ht="12.75" customHeight="1">
      <c r="A9283" s="1754">
        <v>46096</v>
      </c>
      <c r="B9283" s="116" t="str">
        <f>TiposLancamentos!B12</f>
        <v>IPTU</v>
      </c>
      <c r="C9283" s="1740" t="s">
        <v>9710</v>
      </c>
      <c r="D9283" s="1736"/>
      <c r="E9283" s="1043">
        <v>164.4</v>
      </c>
      <c r="F9283" s="1043"/>
      <c r="G9283" s="1550"/>
    </row>
    <row r="9284" spans="1:7" ht="12.75" customHeight="1">
      <c r="A9284" s="1754">
        <v>46096</v>
      </c>
      <c r="B9284" s="116" t="str">
        <f>TiposLancamentos!B46</f>
        <v>Maçonaria</v>
      </c>
      <c r="C9284" s="1740" t="s">
        <v>9711</v>
      </c>
      <c r="D9284" s="1736"/>
      <c r="E9284" s="1043">
        <v>210</v>
      </c>
      <c r="F9284" s="1043"/>
      <c r="G9284" s="1550"/>
    </row>
    <row r="9285" spans="1:7" ht="12.75" customHeight="1">
      <c r="A9285" s="1754">
        <v>46096</v>
      </c>
      <c r="B9285" s="116"/>
      <c r="C9285" s="1740" t="s">
        <v>1868</v>
      </c>
      <c r="D9285" s="1736">
        <v>0</v>
      </c>
      <c r="E9285" s="1043"/>
      <c r="F9285" s="1043"/>
      <c r="G9285" s="1550"/>
    </row>
    <row r="9286" spans="1:7" ht="12.75" customHeight="1">
      <c r="A9286" s="1666">
        <v>46096</v>
      </c>
      <c r="B9286" s="817" t="str">
        <f>TiposLancamentos!B35</f>
        <v>Tv à Cabo</v>
      </c>
      <c r="C9286" s="1742" t="s">
        <v>9692</v>
      </c>
      <c r="D9286" s="1735"/>
      <c r="E9286" s="1733">
        <v>0</v>
      </c>
      <c r="F9286" s="1290"/>
      <c r="G9286" s="1550"/>
    </row>
    <row r="9287" spans="1:7" ht="12.75" customHeight="1">
      <c r="A9287" s="1868">
        <v>46096</v>
      </c>
      <c r="B9287" s="816" t="str">
        <f>TiposLancamentos!B3</f>
        <v>Internet</v>
      </c>
      <c r="C9287" s="1769" t="s">
        <v>9693</v>
      </c>
      <c r="D9287" s="1736"/>
      <c r="E9287" s="1734">
        <v>0</v>
      </c>
      <c r="F9287" s="1043"/>
      <c r="G9287" s="1550"/>
    </row>
    <row r="9288" spans="1:7" ht="12.75" customHeight="1">
      <c r="A9288" s="1868">
        <v>46096</v>
      </c>
      <c r="B9288" s="816" t="str">
        <f>TiposLancamentos!B2</f>
        <v>Telefonia</v>
      </c>
      <c r="C9288" s="1954" t="s">
        <v>9694</v>
      </c>
      <c r="D9288" s="1736"/>
      <c r="E9288" s="1734">
        <v>0</v>
      </c>
      <c r="F9288" s="1043"/>
      <c r="G9288" s="1550"/>
    </row>
    <row r="9289" spans="1:7" ht="12.75" customHeight="1">
      <c r="A9289" s="1750">
        <v>46096</v>
      </c>
      <c r="B9289" s="818" t="str">
        <f>TiposLancamentos!B2</f>
        <v>Telefonia</v>
      </c>
      <c r="C9289" s="1955" t="s">
        <v>9712</v>
      </c>
      <c r="D9289" s="1737">
        <v>0</v>
      </c>
      <c r="E9289" s="1668">
        <v>19.3</v>
      </c>
      <c r="F9289" s="1518">
        <f>SUM(E9286:E9289)</f>
        <v>19.3</v>
      </c>
      <c r="G9289" s="1550"/>
    </row>
    <row r="9290" spans="1:7" ht="12.75" customHeight="1">
      <c r="A9290" s="1754">
        <v>46096</v>
      </c>
      <c r="B9290" s="116"/>
      <c r="C9290" s="1740" t="s">
        <v>1868</v>
      </c>
      <c r="D9290" s="1736">
        <v>0</v>
      </c>
      <c r="F9290" s="1043"/>
      <c r="G9290" s="1550"/>
    </row>
    <row r="9291" spans="1:7" ht="12.75" customHeight="1">
      <c r="A9291" s="1754">
        <v>46100</v>
      </c>
      <c r="B9291" s="116" t="str">
        <f>TiposLancamentos!B54</f>
        <v>Metro</v>
      </c>
      <c r="C9291" s="1740" t="s">
        <v>9708</v>
      </c>
      <c r="D9291" s="1736"/>
      <c r="E9291" s="1043">
        <v>21.6</v>
      </c>
      <c r="F9291" s="1043"/>
      <c r="G9291" s="1550"/>
    </row>
    <row r="9292" spans="1:7" ht="12.75" customHeight="1">
      <c r="A9292" s="1754">
        <v>46102</v>
      </c>
      <c r="B9292" s="116" t="str">
        <f>TiposLancamentos!B24</f>
        <v>Estacionamentos</v>
      </c>
      <c r="C9292" s="1740" t="s">
        <v>9713</v>
      </c>
      <c r="D9292" s="1736"/>
      <c r="E9292" s="1043">
        <v>14</v>
      </c>
      <c r="F9292" s="1043"/>
      <c r="G9292" s="1550"/>
    </row>
    <row r="9293" spans="1:7" ht="12.75" customHeight="1">
      <c r="A9293" s="1754">
        <v>46106</v>
      </c>
      <c r="B9293" s="116" t="str">
        <f>TiposLancamentos!B95</f>
        <v>Salarios</v>
      </c>
      <c r="C9293" s="1740" t="s">
        <v>9530</v>
      </c>
      <c r="D9293" s="1736">
        <v>12400</v>
      </c>
      <c r="E9293" s="1043"/>
      <c r="F9293" s="1043"/>
      <c r="G9293" s="1550"/>
    </row>
    <row r="9294" spans="1:7" ht="12.75" customHeight="1">
      <c r="A9294" s="1754">
        <v>46106</v>
      </c>
      <c r="B9294" s="116"/>
      <c r="C9294" s="1740" t="s">
        <v>9531</v>
      </c>
      <c r="D9294" s="1736"/>
      <c r="E9294" s="1043"/>
      <c r="F9294" s="1043">
        <f>D9293*0.32</f>
        <v>3968</v>
      </c>
      <c r="G9294" s="1550"/>
    </row>
    <row r="9295" spans="1:7" ht="12.75" customHeight="1">
      <c r="A9295" s="1754">
        <v>46111</v>
      </c>
      <c r="B9295" s="116" t="str">
        <f>TiposLancamentos!B7</f>
        <v>Apto. Proprio 01</v>
      </c>
      <c r="C9295" s="1740" t="s">
        <v>9714</v>
      </c>
      <c r="D9295" s="1736"/>
      <c r="E9295" s="1043">
        <v>3630.3</v>
      </c>
      <c r="F9295" s="1043"/>
      <c r="G9295" s="1550"/>
    </row>
    <row r="9296" spans="1:7" ht="12.75" customHeight="1">
      <c r="A9296" s="1754">
        <v>46112</v>
      </c>
      <c r="B9296" s="116" t="str">
        <f>B9293</f>
        <v>Salarios</v>
      </c>
      <c r="C9296" s="1740" t="s">
        <v>9715</v>
      </c>
      <c r="D9296" s="1736">
        <v>700</v>
      </c>
      <c r="E9296" s="1043"/>
      <c r="F9296" s="1043"/>
      <c r="G9296" s="1550"/>
    </row>
    <row r="9297" spans="1:7" ht="12.75" customHeight="1">
      <c r="A9297" s="1754">
        <v>46112</v>
      </c>
      <c r="B9297" s="116" t="str">
        <f>TiposLancamentos!B14</f>
        <v>Gás de cozinha</v>
      </c>
      <c r="C9297" s="1740" t="s">
        <v>9716</v>
      </c>
      <c r="D9297" s="1736"/>
      <c r="E9297" s="1043">
        <v>52.25</v>
      </c>
      <c r="F9297" s="1043"/>
      <c r="G9297" s="1550"/>
    </row>
    <row r="9298" spans="1:7" ht="12.75" customHeight="1" thickBot="1">
      <c r="A9298" s="1754">
        <v>46112</v>
      </c>
      <c r="B9298" s="116" t="str">
        <f>TiposLancamentos!B54</f>
        <v>Metro</v>
      </c>
      <c r="C9298" s="1740" t="s">
        <v>9717</v>
      </c>
      <c r="D9298" s="1736"/>
      <c r="E9298" s="1043">
        <v>32.4</v>
      </c>
      <c r="F9298" s="1043"/>
      <c r="G9298" s="1550"/>
    </row>
    <row r="9299" spans="1:7" ht="12.75" customHeight="1">
      <c r="A9299" s="1834"/>
      <c r="B9299" s="977"/>
      <c r="C9299" s="1854" t="s">
        <v>1657</v>
      </c>
      <c r="D9299" s="1823"/>
      <c r="E9299" s="1821"/>
      <c r="F9299" s="1821"/>
      <c r="G9299" s="1895"/>
    </row>
    <row r="9300" spans="1:7" ht="12.75" customHeight="1">
      <c r="A9300" s="1754">
        <v>46113</v>
      </c>
      <c r="B9300" s="1748" t="str">
        <f>TiposLancamentos!B15</f>
        <v>Cartões de Crédito</v>
      </c>
      <c r="C9300" s="1740" t="s">
        <v>9175</v>
      </c>
      <c r="D9300" s="1736"/>
      <c r="E9300" s="1043">
        <v>4161.7</v>
      </c>
      <c r="F9300" s="1043">
        <v>0</v>
      </c>
      <c r="G9300" s="1550"/>
    </row>
    <row r="9301" spans="1:7" ht="12.75" customHeight="1">
      <c r="A9301" s="1754">
        <v>46113</v>
      </c>
      <c r="B9301" s="1748"/>
      <c r="C9301" s="1740" t="s">
        <v>9718</v>
      </c>
      <c r="D9301" s="1736"/>
      <c r="E9301" s="1043"/>
      <c r="F9301" s="1043">
        <v>7213.91</v>
      </c>
      <c r="G9301" s="1550"/>
    </row>
    <row r="9302" spans="1:7" ht="12.75" customHeight="1">
      <c r="A9302" s="1754">
        <v>46113</v>
      </c>
      <c r="B9302" s="1748" t="str">
        <f>TiposLancamentos!B15</f>
        <v>Cartões de Crédito</v>
      </c>
      <c r="C9302" s="1740" t="s">
        <v>9361</v>
      </c>
      <c r="D9302" s="1736"/>
      <c r="E9302" s="1043">
        <v>2123.46</v>
      </c>
      <c r="F9302" s="1043">
        <v>0</v>
      </c>
      <c r="G9302" s="1550"/>
    </row>
    <row r="9303" spans="1:7" ht="12.75" customHeight="1">
      <c r="A9303" s="1754">
        <v>46113</v>
      </c>
      <c r="B9303" s="1748" t="str">
        <f>TiposLancamentos!B15</f>
        <v>Cartões de Crédito</v>
      </c>
      <c r="C9303" s="1740" t="s">
        <v>8016</v>
      </c>
      <c r="D9303" s="1736"/>
      <c r="E9303" s="1043">
        <v>0</v>
      </c>
      <c r="F9303" s="1043">
        <v>0</v>
      </c>
      <c r="G9303" s="1550"/>
    </row>
    <row r="9304" spans="1:7" ht="12.75" customHeight="1">
      <c r="A9304" s="1754">
        <v>46113</v>
      </c>
      <c r="B9304" s="1748" t="str">
        <f>TiposLancamentos!B15</f>
        <v>Cartões de Crédito</v>
      </c>
      <c r="C9304" s="1740" t="s">
        <v>9174</v>
      </c>
      <c r="D9304" s="1736"/>
      <c r="E9304" s="1043">
        <v>0</v>
      </c>
      <c r="F9304" s="1043">
        <v>0</v>
      </c>
      <c r="G9304" s="1550"/>
    </row>
    <row r="9305" spans="1:7" ht="12.75" customHeight="1">
      <c r="A9305" s="1754">
        <v>46114</v>
      </c>
      <c r="B9305" s="116" t="str">
        <f>TiposLancamentos!B4</f>
        <v>Taxas Bancarias</v>
      </c>
      <c r="C9305" s="1740" t="s">
        <v>9578</v>
      </c>
      <c r="D9305" s="1736"/>
      <c r="E9305" s="1043">
        <v>113.53</v>
      </c>
      <c r="F9305" s="1043"/>
      <c r="G9305" s="1550"/>
    </row>
    <row r="9306" spans="1:7" ht="12.75" customHeight="1">
      <c r="A9306" s="1754">
        <v>46114</v>
      </c>
      <c r="B9306" s="116" t="str">
        <f>TiposLancamentos!B6</f>
        <v>Energia Eletrica</v>
      </c>
      <c r="C9306" s="1740" t="s">
        <v>9719</v>
      </c>
      <c r="D9306" s="1736"/>
      <c r="E9306" s="1043">
        <v>310.99</v>
      </c>
      <c r="F9306" s="1043"/>
      <c r="G9306" s="1550"/>
    </row>
    <row r="9307" spans="1:7" ht="12.75" customHeight="1">
      <c r="A9307" s="1754">
        <v>46118</v>
      </c>
      <c r="B9307" s="116" t="str">
        <f>TiposLancamentos!B4</f>
        <v>Taxas Bancarias</v>
      </c>
      <c r="C9307" s="1740" t="s">
        <v>9599</v>
      </c>
      <c r="D9307" s="1736"/>
      <c r="E9307" s="1043">
        <v>1357.8</v>
      </c>
      <c r="F9307" s="1043"/>
      <c r="G9307" s="1550"/>
    </row>
    <row r="9308" spans="1:7" ht="12.75" customHeight="1">
      <c r="A9308" s="1754">
        <v>46119</v>
      </c>
      <c r="B9308" s="116" t="str">
        <f>TiposLancamentos!B9</f>
        <v>Condominio</v>
      </c>
      <c r="C9308" s="1740" t="s">
        <v>9720</v>
      </c>
      <c r="D9308" s="1736"/>
      <c r="E9308" s="1043">
        <v>1532.08</v>
      </c>
      <c r="F9308" s="1043"/>
      <c r="G9308" s="1550"/>
    </row>
    <row r="9309" spans="1:7" ht="12.75" customHeight="1">
      <c r="A9309" s="1754">
        <v>46118</v>
      </c>
      <c r="B9309" s="116" t="str">
        <f>TiposLancamentos!B4</f>
        <v>Taxas Bancarias</v>
      </c>
      <c r="C9309" s="1740" t="s">
        <v>9721</v>
      </c>
      <c r="D9309" s="1736"/>
      <c r="E9309" s="1043">
        <v>87.71</v>
      </c>
      <c r="F9309" s="1043"/>
      <c r="G9309" s="1550"/>
    </row>
    <row r="9310" spans="1:7" ht="12.75" customHeight="1">
      <c r="A9310" s="1754">
        <v>46118</v>
      </c>
      <c r="B9310" s="116" t="str">
        <f>TiposLancamentos!B4</f>
        <v>Taxas Bancarias</v>
      </c>
      <c r="C9310" s="1740" t="s">
        <v>9722</v>
      </c>
      <c r="D9310" s="1736"/>
      <c r="E9310" s="1043"/>
      <c r="F9310" s="1043"/>
      <c r="G9310" s="1550"/>
    </row>
    <row r="9311" spans="1:7" ht="12.75" customHeight="1">
      <c r="A9311" s="1754">
        <v>46120</v>
      </c>
      <c r="B9311" s="116" t="str">
        <f>TiposLancamentos!B95</f>
        <v>Salarios</v>
      </c>
      <c r="C9311" s="1740" t="s">
        <v>9490</v>
      </c>
      <c r="D9311" s="1736">
        <v>1780</v>
      </c>
      <c r="E9311" s="1043"/>
      <c r="F9311" s="1043"/>
      <c r="G9311" s="1550"/>
    </row>
    <row r="9312" spans="1:7" ht="12.75" customHeight="1">
      <c r="A9312" s="1754">
        <v>46127</v>
      </c>
      <c r="B9312" s="116" t="str">
        <f>TiposLancamentos!B14</f>
        <v>Gás de cozinha</v>
      </c>
      <c r="C9312" s="1740" t="s">
        <v>9723</v>
      </c>
      <c r="D9312" s="1736"/>
      <c r="E9312" s="1043">
        <v>40.520000000000003</v>
      </c>
      <c r="F9312" s="1043"/>
      <c r="G9312" s="1550"/>
    </row>
    <row r="9313" spans="1:7" ht="12.75" customHeight="1">
      <c r="A9313" s="1754">
        <v>46127</v>
      </c>
      <c r="B9313" s="116" t="str">
        <f>TiposLancamentos!B46</f>
        <v>Maçonaria</v>
      </c>
      <c r="C9313" s="1740" t="s">
        <v>9724</v>
      </c>
      <c r="D9313" s="1736"/>
      <c r="E9313" s="1043">
        <v>210</v>
      </c>
      <c r="F9313" s="1043"/>
      <c r="G9313" s="1550"/>
    </row>
    <row r="9314" spans="1:7" ht="12.75" customHeight="1">
      <c r="A9314" s="1754">
        <v>46127</v>
      </c>
      <c r="B9314" s="116"/>
      <c r="C9314" s="1740" t="s">
        <v>1868</v>
      </c>
      <c r="D9314" s="1736">
        <v>0</v>
      </c>
      <c r="E9314" s="1043"/>
      <c r="F9314" s="1043"/>
      <c r="G9314" s="1550"/>
    </row>
    <row r="9315" spans="1:7" ht="12.75" customHeight="1">
      <c r="A9315" s="1666">
        <v>46127</v>
      </c>
      <c r="B9315" s="817" t="str">
        <f>TiposLancamentos!B35</f>
        <v>Tv à Cabo</v>
      </c>
      <c r="C9315" s="1742" t="s">
        <v>9692</v>
      </c>
      <c r="D9315" s="1735"/>
      <c r="E9315" s="1733">
        <v>100.8</v>
      </c>
      <c r="F9315" s="1290"/>
      <c r="G9315" s="1550"/>
    </row>
    <row r="9316" spans="1:7" ht="12.75" customHeight="1">
      <c r="A9316" s="1868">
        <v>46127</v>
      </c>
      <c r="B9316" s="816" t="str">
        <f>TiposLancamentos!B3</f>
        <v>Internet</v>
      </c>
      <c r="C9316" s="1769" t="s">
        <v>9693</v>
      </c>
      <c r="D9316" s="1736"/>
      <c r="E9316" s="1734">
        <v>74.349999999999994</v>
      </c>
      <c r="F9316" s="1043"/>
      <c r="G9316" s="1550"/>
    </row>
    <row r="9317" spans="1:7" ht="12.75" customHeight="1">
      <c r="A9317" s="1868">
        <v>46127</v>
      </c>
      <c r="B9317" s="816" t="str">
        <f>TiposLancamentos!B2</f>
        <v>Telefonia</v>
      </c>
      <c r="C9317" s="1954" t="s">
        <v>9694</v>
      </c>
      <c r="D9317" s="1736"/>
      <c r="E9317" s="1734">
        <v>0</v>
      </c>
      <c r="F9317" s="1043"/>
      <c r="G9317" s="1550"/>
    </row>
    <row r="9318" spans="1:7" ht="12.75" customHeight="1">
      <c r="A9318" s="1868">
        <v>46127</v>
      </c>
      <c r="B9318" s="816" t="str">
        <f>TiposLancamentos!B2</f>
        <v>Telefonia</v>
      </c>
      <c r="C9318" s="1954" t="s">
        <v>9725</v>
      </c>
      <c r="D9318" s="1736"/>
      <c r="E9318" s="1734">
        <v>34.9</v>
      </c>
      <c r="F9318" s="1043"/>
      <c r="G9318" s="1550"/>
    </row>
    <row r="9319" spans="1:7" ht="12.75" customHeight="1">
      <c r="A9319" s="1750">
        <v>46127</v>
      </c>
      <c r="B9319" s="818" t="str">
        <f>TiposLancamentos!B102</f>
        <v>ESTORNO</v>
      </c>
      <c r="C9319" s="1955" t="s">
        <v>9726</v>
      </c>
      <c r="D9319" s="1737">
        <v>43.35</v>
      </c>
      <c r="E9319" s="1668">
        <v>0</v>
      </c>
      <c r="F9319" s="1518">
        <f>SUM(E9315:E9319)-D9319</f>
        <v>166.7</v>
      </c>
      <c r="G9319" s="1550"/>
    </row>
    <row r="9320" spans="1:7" ht="12.75" customHeight="1">
      <c r="A9320" s="1754">
        <v>46127</v>
      </c>
      <c r="B9320" s="116"/>
      <c r="C9320" s="1740" t="s">
        <v>1868</v>
      </c>
      <c r="D9320" s="1736">
        <v>0</v>
      </c>
      <c r="F9320" s="1043"/>
      <c r="G9320" s="1550"/>
    </row>
    <row r="9321" spans="1:7" ht="12.75" customHeight="1">
      <c r="A9321" s="1754">
        <v>46128</v>
      </c>
      <c r="B9321" s="116" t="str">
        <f>TiposLancamentos!B46</f>
        <v>Maçonaria</v>
      </c>
      <c r="C9321" s="1740" t="s">
        <v>9727</v>
      </c>
      <c r="D9321" s="1736"/>
      <c r="E9321" s="1043">
        <v>50</v>
      </c>
      <c r="F9321" s="1043"/>
      <c r="G9321" s="1550"/>
    </row>
    <row r="9322" spans="1:7" ht="12.75" customHeight="1">
      <c r="A9322" s="1754">
        <v>46129</v>
      </c>
      <c r="B9322" s="116" t="str">
        <f>TiposLancamentos!B12</f>
        <v>IPTU</v>
      </c>
      <c r="C9322" s="1740" t="s">
        <v>9728</v>
      </c>
      <c r="D9322" s="1736"/>
      <c r="E9322" s="1043">
        <v>165.48</v>
      </c>
      <c r="F9322" s="1043"/>
      <c r="G9322" s="1550"/>
    </row>
    <row r="9323" spans="1:7" ht="12.75" customHeight="1">
      <c r="A9323" s="1754">
        <v>46139</v>
      </c>
      <c r="B9323" s="116" t="str">
        <f>TiposLancamentos!B95</f>
        <v>Salarios</v>
      </c>
      <c r="C9323" s="1740" t="s">
        <v>9530</v>
      </c>
      <c r="D9323" s="1736">
        <v>13840</v>
      </c>
      <c r="E9323" s="1043"/>
      <c r="F9323" s="1043"/>
      <c r="G9323" s="1550"/>
    </row>
    <row r="9324" spans="1:7" ht="12.75" customHeight="1">
      <c r="A9324" s="1754">
        <v>46139</v>
      </c>
      <c r="B9324" s="116"/>
      <c r="C9324" s="1740" t="s">
        <v>9531</v>
      </c>
      <c r="D9324" s="1736"/>
      <c r="E9324" s="1043"/>
      <c r="F9324" s="1043">
        <f>D9323*0.32</f>
        <v>4428.8</v>
      </c>
      <c r="G9324" s="1550"/>
    </row>
    <row r="9325" spans="1:7" ht="12.75" customHeight="1">
      <c r="A9325" s="1754">
        <v>46140</v>
      </c>
      <c r="B9325" s="116" t="str">
        <f>TiposLancamentos!B7</f>
        <v>Apto. Proprio 01</v>
      </c>
      <c r="C9325" s="1740" t="s">
        <v>9729</v>
      </c>
      <c r="D9325" s="1736"/>
      <c r="E9325" s="1043">
        <v>3627.66</v>
      </c>
      <c r="F9325" s="1043"/>
      <c r="G9325" s="1550"/>
    </row>
    <row r="9326" spans="1:7" ht="12.75" customHeight="1" thickBot="1">
      <c r="A9326" s="1754">
        <v>46140</v>
      </c>
      <c r="B9326" s="116" t="str">
        <f>TiposLancamentos!B71</f>
        <v>Itens Pessoais</v>
      </c>
      <c r="C9326" s="1740" t="s">
        <v>9730</v>
      </c>
      <c r="D9326" s="1736"/>
      <c r="E9326" s="1043">
        <v>45</v>
      </c>
      <c r="F9326" s="1043"/>
      <c r="G9326" s="1550"/>
    </row>
    <row r="9327" spans="1:7" ht="12.75" customHeight="1">
      <c r="A9327" s="1834"/>
      <c r="B9327" s="977"/>
      <c r="C9327" s="1854" t="s">
        <v>1658</v>
      </c>
      <c r="D9327" s="1823"/>
      <c r="E9327" s="1821"/>
      <c r="F9327" s="1821"/>
      <c r="G9327" s="1895"/>
    </row>
    <row r="9328" spans="1:7" ht="12.75" customHeight="1">
      <c r="A9328" s="1754">
        <v>46146</v>
      </c>
      <c r="B9328" s="1748" t="str">
        <f>TiposLancamentos!B15</f>
        <v>Cartões de Crédito</v>
      </c>
      <c r="C9328" s="1740" t="s">
        <v>9361</v>
      </c>
      <c r="D9328" s="1736"/>
      <c r="E9328" s="1043">
        <v>5481.56</v>
      </c>
      <c r="F9328" s="1043"/>
      <c r="G9328" s="1550"/>
    </row>
    <row r="9329" spans="1:7" ht="12.75" customHeight="1">
      <c r="A9329" s="1754">
        <v>46146</v>
      </c>
      <c r="B9329" s="1748" t="str">
        <f>TiposLancamentos!B15</f>
        <v>Cartões de Crédito</v>
      </c>
      <c r="C9329" s="1740" t="s">
        <v>8252</v>
      </c>
      <c r="D9329" s="1736"/>
      <c r="E9329" s="1043">
        <v>2531.61</v>
      </c>
      <c r="F9329" s="1043"/>
      <c r="G9329" s="1550"/>
    </row>
    <row r="9330" spans="1:7" ht="12.75" customHeight="1">
      <c r="A9330" s="1754">
        <v>46146</v>
      </c>
      <c r="B9330" s="1748" t="str">
        <f>TiposLancamentos!B15</f>
        <v>Cartões de Crédito</v>
      </c>
      <c r="C9330" s="1740" t="s">
        <v>9175</v>
      </c>
      <c r="D9330" s="1736"/>
      <c r="E9330" s="1043">
        <v>719.34</v>
      </c>
      <c r="F9330" s="1043"/>
      <c r="G9330" s="1550"/>
    </row>
    <row r="9331" spans="1:7" ht="12.75" customHeight="1">
      <c r="A9331" s="1754">
        <v>46146</v>
      </c>
      <c r="B9331" s="1748" t="str">
        <f>TiposLancamentos!B15</f>
        <v>Cartões de Crédito</v>
      </c>
      <c r="C9331" s="1740" t="s">
        <v>8016</v>
      </c>
      <c r="D9331" s="1736"/>
      <c r="E9331" s="1043">
        <v>0</v>
      </c>
      <c r="F9331" s="1043">
        <v>0</v>
      </c>
      <c r="G9331" s="1550"/>
    </row>
    <row r="9332" spans="1:7" ht="12.75" customHeight="1">
      <c r="A9332" s="1754">
        <v>46146</v>
      </c>
      <c r="B9332" s="1748" t="str">
        <f>TiposLancamentos!B15</f>
        <v>Cartões de Crédito</v>
      </c>
      <c r="C9332" s="1740" t="s">
        <v>9174</v>
      </c>
      <c r="D9332" s="1736"/>
      <c r="E9332" s="1043">
        <v>0</v>
      </c>
      <c r="F9332" s="1043">
        <v>0</v>
      </c>
      <c r="G9332" s="1550"/>
    </row>
    <row r="9333" spans="1:7" ht="12.75" customHeight="1">
      <c r="A9333" s="1754">
        <v>46147</v>
      </c>
      <c r="B9333" s="116" t="str">
        <f>TiposLancamentos!B4</f>
        <v>Taxas Bancarias</v>
      </c>
      <c r="C9333" s="1740" t="s">
        <v>9578</v>
      </c>
      <c r="D9333" s="1736"/>
      <c r="E9333" s="1043">
        <v>95.8</v>
      </c>
      <c r="F9333" s="1043"/>
      <c r="G9333" s="1550"/>
    </row>
    <row r="9334" spans="1:7" ht="12.75" customHeight="1">
      <c r="A9334" s="1754">
        <v>46147</v>
      </c>
      <c r="B9334" s="116" t="str">
        <f>TiposLancamentos!B6</f>
        <v>Energia Eletrica</v>
      </c>
      <c r="C9334" s="1740" t="s">
        <v>9719</v>
      </c>
      <c r="D9334" s="1736"/>
      <c r="E9334" s="1043">
        <v>126.09</v>
      </c>
      <c r="F9334" s="1043"/>
      <c r="G9334" s="1550"/>
    </row>
    <row r="9335" spans="1:7" ht="12.75" customHeight="1">
      <c r="A9335" s="1754">
        <v>46147</v>
      </c>
      <c r="B9335" s="116" t="str">
        <f>TiposLancamentos!B4</f>
        <v>Taxas Bancarias</v>
      </c>
      <c r="C9335" s="1740" t="s">
        <v>9599</v>
      </c>
      <c r="D9335" s="1736"/>
      <c r="E9335" s="1043">
        <v>1328.61</v>
      </c>
      <c r="F9335" s="1043"/>
      <c r="G9335" s="1550"/>
    </row>
    <row r="9336" spans="1:7" ht="12.75" customHeight="1">
      <c r="A9336" s="1754">
        <v>46148</v>
      </c>
      <c r="B9336" s="116" t="str">
        <f>TiposLancamentos!B4</f>
        <v>Taxas Bancarias</v>
      </c>
      <c r="C9336" s="1740" t="s">
        <v>9731</v>
      </c>
      <c r="D9336" s="1736"/>
      <c r="E9336" s="1043">
        <v>83.03</v>
      </c>
      <c r="F9336" s="1043"/>
      <c r="G9336" s="1550"/>
    </row>
    <row r="9337" spans="1:7" ht="12.75" customHeight="1">
      <c r="A9337" s="1754">
        <v>46149</v>
      </c>
      <c r="B9337" s="116"/>
      <c r="C9337" s="1740" t="s">
        <v>9732</v>
      </c>
      <c r="D9337" s="1736"/>
      <c r="E9337" s="1043">
        <v>0</v>
      </c>
      <c r="F9337" s="1043"/>
      <c r="G9337" s="1550"/>
    </row>
    <row r="9338" spans="1:7" ht="12.75" customHeight="1">
      <c r="A9338" s="1754">
        <v>46149</v>
      </c>
      <c r="B9338" s="116" t="str">
        <f>TiposLancamentos!B9</f>
        <v>Condominio</v>
      </c>
      <c r="C9338" s="1740" t="s">
        <v>9733</v>
      </c>
      <c r="D9338" s="1736"/>
      <c r="E9338" s="1043">
        <v>1532.08</v>
      </c>
      <c r="F9338" s="1043"/>
      <c r="G9338" s="1550"/>
    </row>
    <row r="9339" spans="1:7" ht="12.75" customHeight="1">
      <c r="A9339" s="1754">
        <v>46150</v>
      </c>
      <c r="B9339" s="116" t="str">
        <f>TiposLancamentos!B95</f>
        <v>Salarios</v>
      </c>
      <c r="C9339" s="1740" t="s">
        <v>9490</v>
      </c>
      <c r="D9339" s="1736">
        <v>1780</v>
      </c>
      <c r="E9339" s="1043"/>
      <c r="F9339" s="1043"/>
      <c r="G9339" s="1550"/>
    </row>
    <row r="9340" spans="1:7" ht="12.75" customHeight="1">
      <c r="A9340" s="1754">
        <v>46157</v>
      </c>
      <c r="B9340" s="116" t="str">
        <f>TiposLancamentos!B12</f>
        <v>IPTU</v>
      </c>
      <c r="C9340" s="1740" t="s">
        <v>9522</v>
      </c>
      <c r="D9340" s="1736"/>
      <c r="E9340" s="1043">
        <v>164.4</v>
      </c>
      <c r="F9340" s="1043"/>
      <c r="G9340" s="1550"/>
    </row>
    <row r="9341" spans="1:7" ht="12.75" customHeight="1">
      <c r="A9341" s="1754">
        <v>46157</v>
      </c>
      <c r="B9341" s="116" t="str">
        <f>TiposLancamentos!B46</f>
        <v>Maçonaria</v>
      </c>
      <c r="C9341" s="1740" t="s">
        <v>9734</v>
      </c>
      <c r="D9341" s="1736"/>
      <c r="E9341" s="1043">
        <v>210</v>
      </c>
      <c r="F9341" s="1043"/>
      <c r="G9341" s="1550"/>
    </row>
    <row r="9342" spans="1:7" ht="12.75" customHeight="1">
      <c r="A9342" s="1754">
        <v>46157</v>
      </c>
      <c r="B9342" s="116"/>
      <c r="C9342" s="1740" t="s">
        <v>1868</v>
      </c>
      <c r="D9342" s="1736">
        <v>0</v>
      </c>
      <c r="E9342" s="1043"/>
      <c r="F9342" s="1043"/>
      <c r="G9342" s="1550"/>
    </row>
    <row r="9343" spans="1:7" ht="12.75" customHeight="1">
      <c r="A9343" s="1666">
        <v>46157</v>
      </c>
      <c r="B9343" s="817" t="str">
        <f>TiposLancamentos!B35</f>
        <v>Tv à Cabo</v>
      </c>
      <c r="C9343" s="1742" t="s">
        <v>9692</v>
      </c>
      <c r="D9343" s="1735"/>
      <c r="E9343" s="1733">
        <v>100.8</v>
      </c>
      <c r="F9343" s="1290"/>
      <c r="G9343" s="1550"/>
    </row>
    <row r="9344" spans="1:7" ht="12.75" customHeight="1">
      <c r="A9344" s="1868">
        <v>46157</v>
      </c>
      <c r="B9344" s="816" t="str">
        <f>TiposLancamentos!B3</f>
        <v>Internet</v>
      </c>
      <c r="C9344" s="1769" t="s">
        <v>9693</v>
      </c>
      <c r="D9344" s="1736"/>
      <c r="E9344" s="1734">
        <v>74.900000000000006</v>
      </c>
      <c r="F9344" s="1043"/>
      <c r="G9344" s="1550"/>
    </row>
    <row r="9345" spans="1:7" ht="12.75" customHeight="1">
      <c r="A9345" s="1868">
        <v>46157</v>
      </c>
      <c r="B9345" s="816" t="str">
        <f>TiposLancamentos!B2</f>
        <v>Telefonia</v>
      </c>
      <c r="C9345" s="1954" t="s">
        <v>9694</v>
      </c>
      <c r="D9345" s="1736"/>
      <c r="E9345" s="1734">
        <v>0</v>
      </c>
      <c r="F9345" s="1043"/>
      <c r="G9345" s="1550"/>
    </row>
    <row r="9346" spans="1:7" ht="12.75" customHeight="1">
      <c r="A9346" s="1868">
        <v>46157</v>
      </c>
      <c r="B9346" s="816" t="str">
        <f>TiposLancamentos!B2</f>
        <v>Telefonia</v>
      </c>
      <c r="C9346" s="1954" t="s">
        <v>9735</v>
      </c>
      <c r="D9346" s="1736"/>
      <c r="E9346" s="1734">
        <v>34.9</v>
      </c>
      <c r="F9346" s="1043"/>
      <c r="G9346" s="1550"/>
    </row>
    <row r="9347" spans="1:7" ht="12.75" customHeight="1">
      <c r="A9347" s="1750">
        <v>46157</v>
      </c>
      <c r="B9347" s="818"/>
      <c r="C9347" s="1955" t="s">
        <v>9726</v>
      </c>
      <c r="D9347" s="1737">
        <v>0</v>
      </c>
      <c r="E9347" s="1668">
        <v>0</v>
      </c>
      <c r="F9347" s="1518">
        <f>SUM(E9343:E9347)-D9347</f>
        <v>210.6</v>
      </c>
      <c r="G9347" s="1550"/>
    </row>
    <row r="9348" spans="1:7" ht="12.75" customHeight="1">
      <c r="A9348" s="1754">
        <v>46157</v>
      </c>
      <c r="B9348" s="116"/>
      <c r="C9348" s="1740" t="s">
        <v>1868</v>
      </c>
      <c r="D9348" s="1736">
        <v>0</v>
      </c>
      <c r="F9348" s="1043"/>
      <c r="G9348" s="1550"/>
    </row>
    <row r="9349" spans="1:7" ht="12.75" customHeight="1">
      <c r="A9349" s="1754"/>
      <c r="B9349" s="116"/>
      <c r="C9349" s="1740"/>
      <c r="D9349" s="1736"/>
      <c r="E9349" s="1043"/>
      <c r="F9349" s="1043"/>
      <c r="G9349" s="1550"/>
    </row>
    <row r="9350" spans="1:7" ht="12.75" customHeight="1">
      <c r="A9350" s="1754"/>
      <c r="B9350" s="116"/>
      <c r="C9350" s="1740"/>
      <c r="D9350" s="1736"/>
      <c r="E9350" s="1043"/>
      <c r="F9350" s="1043"/>
      <c r="G9350" s="1550"/>
    </row>
    <row r="9351" spans="1:7" ht="12.75" customHeight="1">
      <c r="A9351" s="1754">
        <v>46159</v>
      </c>
      <c r="B9351" s="116"/>
      <c r="C9351" s="1740" t="s">
        <v>9736</v>
      </c>
      <c r="D9351" s="1736"/>
      <c r="E9351" s="1043"/>
      <c r="F9351" s="1043"/>
      <c r="G9351" s="1550"/>
    </row>
    <row r="9352" spans="1:7" ht="12.75" customHeight="1">
      <c r="A9352" s="1754"/>
      <c r="B9352" s="116"/>
      <c r="C9352" s="1740"/>
      <c r="D9352" s="1736"/>
      <c r="E9352" s="1043"/>
      <c r="F9352" s="1043"/>
      <c r="G9352" s="1550"/>
    </row>
    <row r="9353" spans="1:7" ht="12.75" customHeight="1">
      <c r="A9353" s="1754">
        <v>46140</v>
      </c>
      <c r="B9353" s="116"/>
      <c r="C9353" s="1740" t="s">
        <v>9737</v>
      </c>
      <c r="D9353" s="1736"/>
      <c r="E9353" s="1043"/>
      <c r="F9353" s="1043"/>
      <c r="G9353" s="1550"/>
    </row>
    <row r="9354" spans="1:7" ht="12.75" customHeight="1">
      <c r="A9354" s="1754"/>
      <c r="B9354" s="116"/>
      <c r="C9354" s="1740"/>
      <c r="D9354" s="1736"/>
      <c r="E9354" s="1043"/>
      <c r="F9354" s="1043"/>
      <c r="G9354" s="1550"/>
    </row>
    <row r="9355" spans="1:7" ht="12.75" customHeight="1">
      <c r="A9355" s="1754"/>
      <c r="B9355" s="116"/>
      <c r="C9355" s="1740"/>
      <c r="D9355" s="1736"/>
      <c r="E9355" s="1043"/>
      <c r="F9355" s="1043"/>
      <c r="G9355" s="1550"/>
    </row>
    <row r="9356" spans="1:7" ht="12.75" customHeight="1">
      <c r="A9356" s="1754"/>
      <c r="B9356" s="116"/>
      <c r="C9356" s="1740"/>
      <c r="D9356" s="1736"/>
      <c r="E9356" s="1043"/>
      <c r="F9356" s="1043"/>
      <c r="G9356" s="1550"/>
    </row>
    <row r="9357" spans="1:7" ht="12.75" customHeight="1">
      <c r="A9357" s="1754">
        <v>46167</v>
      </c>
      <c r="B9357" s="116"/>
      <c r="C9357" s="1740" t="s">
        <v>9530</v>
      </c>
      <c r="D9357" s="1736"/>
      <c r="E9357" s="1043"/>
      <c r="F9357" s="1043"/>
      <c r="G9357" s="1550"/>
    </row>
    <row r="9358" spans="1:7" ht="12.75" customHeight="1">
      <c r="A9358" s="1754">
        <v>46167</v>
      </c>
      <c r="B9358" s="116"/>
      <c r="C9358" s="1740" t="s">
        <v>9531</v>
      </c>
      <c r="D9358" s="1736"/>
      <c r="E9358" s="1043"/>
      <c r="F9358" s="1043"/>
      <c r="G9358" s="1550"/>
    </row>
    <row r="9359" spans="1:7" ht="12.75" customHeight="1">
      <c r="A9359" s="1754"/>
      <c r="B9359" s="116"/>
      <c r="C9359" s="1740"/>
      <c r="D9359" s="1736"/>
      <c r="E9359" s="1043"/>
      <c r="F9359" s="1043"/>
      <c r="G9359" s="1550"/>
    </row>
    <row r="9360" spans="1:7" ht="12.75" customHeight="1">
      <c r="A9360" s="1754">
        <v>46170</v>
      </c>
      <c r="B9360" s="116"/>
      <c r="C9360" s="1740" t="s">
        <v>9738</v>
      </c>
      <c r="D9360" s="1736"/>
      <c r="E9360" s="1043"/>
      <c r="F9360" s="1043"/>
      <c r="G9360" s="1550"/>
    </row>
    <row r="9361" spans="1:7" ht="12.75" customHeight="1">
      <c r="A9361" s="1754"/>
      <c r="B9361" s="116"/>
      <c r="C9361" s="1740"/>
      <c r="D9361" s="1736"/>
      <c r="E9361" s="1043"/>
      <c r="F9361" s="1043"/>
      <c r="G9361" s="1550"/>
    </row>
    <row r="9362" spans="1:7" ht="12.75" customHeight="1">
      <c r="A9362" s="1754"/>
      <c r="B9362" s="116"/>
      <c r="C9362" s="1740"/>
      <c r="D9362" s="1736"/>
      <c r="E9362" s="1043"/>
      <c r="F9362" s="1043"/>
      <c r="G9362" s="1550"/>
    </row>
    <row r="9363" spans="1:7" ht="12.75" customHeight="1">
      <c r="A9363" s="1754"/>
      <c r="B9363" s="116"/>
      <c r="C9363" s="1740"/>
      <c r="D9363" s="1736"/>
      <c r="E9363" s="1043"/>
      <c r="F9363" s="1043"/>
      <c r="G9363" s="1550"/>
    </row>
    <row r="9364" spans="1:7" ht="12.75" customHeight="1">
      <c r="A9364" s="1754"/>
      <c r="B9364" s="116"/>
      <c r="C9364" s="1740"/>
      <c r="D9364" s="1736"/>
      <c r="E9364" s="1043"/>
      <c r="F9364" s="1043"/>
      <c r="G9364" s="1550"/>
    </row>
    <row r="9365" spans="1:7">
      <c r="A9365" s="1869"/>
      <c r="B9365" s="1865"/>
      <c r="C9365" s="1853" t="s">
        <v>9739</v>
      </c>
      <c r="D9365" s="1853"/>
      <c r="E9365" s="1848"/>
      <c r="F9365" s="1848"/>
      <c r="G9365" s="1896"/>
    </row>
    <row r="9366" spans="1:7" ht="14.25" thickBot="1">
      <c r="A9366" s="1757"/>
      <c r="B9366" s="867"/>
      <c r="C9366" s="1711"/>
      <c r="D9366" s="1738"/>
      <c r="E9366" s="1044"/>
      <c r="F9366" s="1044"/>
      <c r="G9366" s="1551"/>
    </row>
    <row r="9367" spans="1:7">
      <c r="A9367" s="46"/>
      <c r="B9367" s="116"/>
      <c r="C9367" s="117"/>
      <c r="D9367" s="1199">
        <f>SUM(D2:D9366)</f>
        <v>1872690.9600000039</v>
      </c>
      <c r="E9367" s="1200">
        <f>SUM(E2:E9366)</f>
        <v>1892501.9109999998</v>
      </c>
      <c r="F9367" s="135"/>
    </row>
    <row r="9368" spans="1:7">
      <c r="A9368" s="119"/>
      <c r="B9368" s="120"/>
      <c r="C9368" s="184" t="s">
        <v>13</v>
      </c>
      <c r="D9368" s="200"/>
      <c r="E9368" s="35">
        <f>D9367-E9367</f>
        <v>-19810.950999995926</v>
      </c>
      <c r="F9368" s="135"/>
    </row>
    <row r="9369" spans="1:7">
      <c r="A9369" s="116"/>
      <c r="B9369" s="116"/>
      <c r="C9369" s="52" t="s">
        <v>9740</v>
      </c>
      <c r="D9369" s="171"/>
      <c r="E9369" s="35"/>
      <c r="F9369" s="135"/>
    </row>
    <row r="9370" spans="1:7">
      <c r="A9370" s="116"/>
      <c r="B9370" s="116"/>
      <c r="C9370" s="52" t="s">
        <v>9741</v>
      </c>
      <c r="D9370" s="171"/>
      <c r="E9370" s="35">
        <f>IF(E9369&lt;&gt;0,E9368-E9369,0)</f>
        <v>0</v>
      </c>
      <c r="F9370" s="135"/>
    </row>
    <row r="9371" spans="1:7">
      <c r="A9371" s="116"/>
      <c r="B9371" s="116"/>
      <c r="C9371" s="52" t="s">
        <v>14</v>
      </c>
      <c r="D9371" s="171"/>
      <c r="E9371" s="35">
        <v>33590</v>
      </c>
      <c r="F9371" s="135"/>
    </row>
    <row r="9372" spans="1:7">
      <c r="A9372" s="116"/>
      <c r="B9372" s="116"/>
      <c r="C9372" s="52" t="s">
        <v>9742</v>
      </c>
      <c r="D9372" s="171"/>
      <c r="E9372" s="35">
        <f>E9371+E9368</f>
        <v>13779.049000004074</v>
      </c>
      <c r="F9372" s="135"/>
    </row>
    <row r="9373" spans="1:7">
      <c r="A9373" s="116"/>
      <c r="B9373" s="116"/>
      <c r="C9373" s="52"/>
      <c r="D9373" s="51"/>
      <c r="E9373" s="64"/>
      <c r="F9373" s="135"/>
    </row>
    <row r="9374" spans="1:7">
      <c r="B9374" s="3" t="s">
        <v>9743</v>
      </c>
      <c r="D9374" s="66" t="s">
        <v>9744</v>
      </c>
      <c r="E9374" s="1052" t="s">
        <v>1311</v>
      </c>
    </row>
    <row r="9375" spans="1:7">
      <c r="B9375" s="201" t="s">
        <v>9745</v>
      </c>
      <c r="D9375" s="66"/>
      <c r="E9375" s="66"/>
    </row>
    <row r="9376" spans="1:7">
      <c r="D9376" s="25" t="s">
        <v>9746</v>
      </c>
      <c r="E9376" s="176">
        <v>9.9900000000000003E-2</v>
      </c>
    </row>
    <row r="9377" spans="4:5">
      <c r="D9377" s="25" t="s">
        <v>9747</v>
      </c>
      <c r="E9377" s="176"/>
    </row>
    <row r="9378" spans="4:5">
      <c r="D9378" s="25" t="s">
        <v>4858</v>
      </c>
      <c r="E9378" s="176">
        <v>7.3800000000000004E-2</v>
      </c>
    </row>
    <row r="9379" spans="4:5">
      <c r="D9379" s="25" t="s">
        <v>5065</v>
      </c>
      <c r="E9379" s="176">
        <v>0</v>
      </c>
    </row>
    <row r="9380" spans="4:5">
      <c r="D9380" s="25"/>
      <c r="E9380" s="34"/>
    </row>
    <row r="9381" spans="4:5">
      <c r="D9381" s="25" t="s">
        <v>9748</v>
      </c>
      <c r="E9381" s="34">
        <f>(IF(E9368&lt;0,(E9368*-1)*E9376,0))</f>
        <v>1979.1140048995931</v>
      </c>
    </row>
    <row r="9382" spans="4:5">
      <c r="D9382" s="25" t="s">
        <v>9749</v>
      </c>
      <c r="E9382" s="34">
        <f>IF(E9368&lt;0,(E9368*-1)*E9378,0)</f>
        <v>1462.0481837996995</v>
      </c>
    </row>
    <row r="9383" spans="4:5">
      <c r="D9383" s="25" t="s">
        <v>9750</v>
      </c>
      <c r="E9383" s="34">
        <f>IF(E9371&lt;0,(E9371*-1)*E9379,0)</f>
        <v>0</v>
      </c>
    </row>
    <row r="9384" spans="4:5">
      <c r="D9384" s="177" t="s">
        <v>9751</v>
      </c>
      <c r="E9384" s="178">
        <f>IF(E9371&lt;0,(E9371*-1)+E9381+E9382,0)</f>
        <v>0</v>
      </c>
    </row>
  </sheetData>
  <sheetProtection selectLockedCells="1" selectUnlockedCells="1"/>
  <sortState xmlns:xlrd2="http://schemas.microsoft.com/office/spreadsheetml/2017/richdata2" ref="A9146:F9150">
    <sortCondition descending="1" ref="F9146:F9150"/>
  </sortState>
  <conditionalFormatting sqref="E2 E8937:E8938 E8994">
    <cfRule type="cellIs" dxfId="475" priority="26" stopIfTrue="1" operator="lessThan">
      <formula>0</formula>
    </cfRule>
  </conditionalFormatting>
  <conditionalFormatting sqref="E10">
    <cfRule type="cellIs" dxfId="474" priority="27" stopIfTrue="1" operator="lessThan">
      <formula>0</formula>
    </cfRule>
  </conditionalFormatting>
  <conditionalFormatting sqref="E43">
    <cfRule type="cellIs" dxfId="473" priority="28" stopIfTrue="1" operator="lessThan">
      <formula>0</formula>
    </cfRule>
  </conditionalFormatting>
  <conditionalFormatting sqref="E71">
    <cfRule type="cellIs" dxfId="472" priority="29" stopIfTrue="1" operator="lessThan">
      <formula>0</formula>
    </cfRule>
  </conditionalFormatting>
  <conditionalFormatting sqref="E97">
    <cfRule type="cellIs" dxfId="471" priority="30" stopIfTrue="1" operator="lessThan">
      <formula>0</formula>
    </cfRule>
  </conditionalFormatting>
  <conditionalFormatting sqref="E126">
    <cfRule type="cellIs" dxfId="470" priority="31" stopIfTrue="1" operator="lessThan">
      <formula>0</formula>
    </cfRule>
  </conditionalFormatting>
  <conditionalFormatting sqref="E147">
    <cfRule type="cellIs" dxfId="469" priority="32" stopIfTrue="1" operator="lessThan">
      <formula>0</formula>
    </cfRule>
  </conditionalFormatting>
  <conditionalFormatting sqref="E175">
    <cfRule type="cellIs" dxfId="468" priority="33" stopIfTrue="1" operator="lessThan">
      <formula>0</formula>
    </cfRule>
  </conditionalFormatting>
  <conditionalFormatting sqref="E203">
    <cfRule type="cellIs" dxfId="467" priority="34" stopIfTrue="1" operator="lessThan">
      <formula>0</formula>
    </cfRule>
  </conditionalFormatting>
  <conditionalFormatting sqref="E269">
    <cfRule type="cellIs" dxfId="466" priority="35" stopIfTrue="1" operator="lessThan">
      <formula>0</formula>
    </cfRule>
  </conditionalFormatting>
  <conditionalFormatting sqref="E335">
    <cfRule type="cellIs" dxfId="465" priority="36" stopIfTrue="1" operator="lessThan">
      <formula>0</formula>
    </cfRule>
  </conditionalFormatting>
  <conditionalFormatting sqref="E393">
    <cfRule type="cellIs" dxfId="464" priority="37" stopIfTrue="1" operator="lessThan">
      <formula>0</formula>
    </cfRule>
  </conditionalFormatting>
  <conditionalFormatting sqref="E482">
    <cfRule type="cellIs" dxfId="463" priority="38" stopIfTrue="1" operator="lessThan">
      <formula>0</formula>
    </cfRule>
  </conditionalFormatting>
  <conditionalFormatting sqref="E544">
    <cfRule type="cellIs" dxfId="462" priority="39" stopIfTrue="1" operator="lessThan">
      <formula>0</formula>
    </cfRule>
  </conditionalFormatting>
  <conditionalFormatting sqref="E595">
    <cfRule type="cellIs" dxfId="461" priority="40" stopIfTrue="1" operator="lessThan">
      <formula>0</formula>
    </cfRule>
  </conditionalFormatting>
  <conditionalFormatting sqref="E632">
    <cfRule type="cellIs" dxfId="460" priority="41" stopIfTrue="1" operator="lessThan">
      <formula>0</formula>
    </cfRule>
  </conditionalFormatting>
  <conditionalFormatting sqref="E676">
    <cfRule type="cellIs" dxfId="459" priority="42" stopIfTrue="1" operator="lessThan">
      <formula>0</formula>
    </cfRule>
  </conditionalFormatting>
  <conditionalFormatting sqref="E723">
    <cfRule type="cellIs" dxfId="458" priority="43" stopIfTrue="1" operator="lessThan">
      <formula>0</formula>
    </cfRule>
  </conditionalFormatting>
  <conditionalFormatting sqref="E805">
    <cfRule type="cellIs" dxfId="457" priority="44" stopIfTrue="1" operator="lessThan">
      <formula>0</formula>
    </cfRule>
  </conditionalFormatting>
  <conditionalFormatting sqref="E871">
    <cfRule type="cellIs" dxfId="456" priority="45" stopIfTrue="1" operator="lessThan">
      <formula>0</formula>
    </cfRule>
  </conditionalFormatting>
  <conditionalFormatting sqref="E956">
    <cfRule type="cellIs" dxfId="455" priority="46" stopIfTrue="1" operator="lessThan">
      <formula>0</formula>
    </cfRule>
  </conditionalFormatting>
  <conditionalFormatting sqref="E1027">
    <cfRule type="cellIs" dxfId="454" priority="47" stopIfTrue="1" operator="lessThan">
      <formula>0</formula>
    </cfRule>
  </conditionalFormatting>
  <conditionalFormatting sqref="E1094">
    <cfRule type="cellIs" dxfId="453" priority="48" stopIfTrue="1" operator="lessThan">
      <formula>0</formula>
    </cfRule>
  </conditionalFormatting>
  <conditionalFormatting sqref="E1153">
    <cfRule type="cellIs" dxfId="452" priority="49" stopIfTrue="1" operator="lessThan">
      <formula>0</formula>
    </cfRule>
  </conditionalFormatting>
  <conditionalFormatting sqref="E1228">
    <cfRule type="cellIs" dxfId="451" priority="50" stopIfTrue="1" operator="lessThan">
      <formula>0</formula>
    </cfRule>
  </conditionalFormatting>
  <conditionalFormatting sqref="E1275">
    <cfRule type="cellIs" dxfId="450" priority="51" stopIfTrue="1" operator="lessThan">
      <formula>0</formula>
    </cfRule>
  </conditionalFormatting>
  <conditionalFormatting sqref="E1284">
    <cfRule type="cellIs" dxfId="449" priority="52" stopIfTrue="1" operator="lessThan">
      <formula>0</formula>
    </cfRule>
  </conditionalFormatting>
  <conditionalFormatting sqref="E1303">
    <cfRule type="cellIs" dxfId="448" priority="57" stopIfTrue="1" operator="lessThan">
      <formula>0</formula>
    </cfRule>
  </conditionalFormatting>
  <conditionalFormatting sqref="E1308">
    <cfRule type="cellIs" dxfId="447" priority="58" stopIfTrue="1" operator="lessThan">
      <formula>0</formula>
    </cfRule>
  </conditionalFormatting>
  <conditionalFormatting sqref="E1312">
    <cfRule type="cellIs" dxfId="446" priority="55" stopIfTrue="1" operator="lessThan">
      <formula>0</formula>
    </cfRule>
  </conditionalFormatting>
  <conditionalFormatting sqref="E1347">
    <cfRule type="cellIs" dxfId="445" priority="53" stopIfTrue="1" operator="lessThan">
      <formula>0</formula>
    </cfRule>
  </conditionalFormatting>
  <conditionalFormatting sqref="E1366:E1367 E5148:E5172 E7480:E7491 E7495:E7501 E7570:E7580 E7586:E7592 E7599 E7661:E7668 E7674:E7682 E7690:E7699 E7702:E7708 E7727 E7730:E7731 E7734:E7742 E7748:E7774 E7782:E7791 E7845:E7847 E7883:E7884 E7888:E7898 E7902:E7918 E7924:E7936 E7991:E7997 E8031:E8041 E8049:E8050 E8089:E8091 E8127:E8131 E8138 E8167:E8174 E8180:E8184 E8249 E8267:E8279 E8322:E8327 E8364:E8367 E8397 E8400:E8403 E8406:E8408 E8411:E8414 E8417:E8422 E8425:E8427 E8430:E8433 E8441:E8457 E8490:E8491 E8522:E8524 E8544:E8551 E8557:E8561 E8569">
    <cfRule type="cellIs" dxfId="444" priority="1182" stopIfTrue="1" operator="lessThan">
      <formula>0</formula>
    </cfRule>
  </conditionalFormatting>
  <conditionalFormatting sqref="E1386">
    <cfRule type="cellIs" dxfId="443" priority="56" stopIfTrue="1" operator="lessThan">
      <formula>0</formula>
    </cfRule>
  </conditionalFormatting>
  <conditionalFormatting sqref="E1396">
    <cfRule type="cellIs" dxfId="442" priority="54" stopIfTrue="1" operator="lessThan">
      <formula>0</formula>
    </cfRule>
  </conditionalFormatting>
  <conditionalFormatting sqref="E1399">
    <cfRule type="cellIs" dxfId="441" priority="62" stopIfTrue="1" operator="lessThan">
      <formula>0</formula>
    </cfRule>
  </conditionalFormatting>
  <conditionalFormatting sqref="E1401">
    <cfRule type="cellIs" dxfId="440" priority="64" stopIfTrue="1" operator="lessThan">
      <formula>0</formula>
    </cfRule>
  </conditionalFormatting>
  <conditionalFormatting sqref="E1409">
    <cfRule type="cellIs" dxfId="439" priority="65" stopIfTrue="1" operator="lessThan">
      <formula>0</formula>
    </cfRule>
  </conditionalFormatting>
  <conditionalFormatting sqref="E1414">
    <cfRule type="cellIs" dxfId="438" priority="66" stopIfTrue="1" operator="lessThan">
      <formula>0</formula>
    </cfRule>
  </conditionalFormatting>
  <conditionalFormatting sqref="E1420">
    <cfRule type="cellIs" dxfId="437" priority="68" stopIfTrue="1" operator="lessThan">
      <formula>0</formula>
    </cfRule>
  </conditionalFormatting>
  <conditionalFormatting sqref="E1423:E1424">
    <cfRule type="cellIs" dxfId="436" priority="63" stopIfTrue="1" operator="lessThan">
      <formula>0</formula>
    </cfRule>
  </conditionalFormatting>
  <conditionalFormatting sqref="E1427">
    <cfRule type="cellIs" dxfId="435" priority="70" stopIfTrue="1" operator="lessThan">
      <formula>0</formula>
    </cfRule>
  </conditionalFormatting>
  <conditionalFormatting sqref="E1434">
    <cfRule type="cellIs" dxfId="434" priority="72" stopIfTrue="1" operator="lessThan">
      <formula>0</formula>
    </cfRule>
  </conditionalFormatting>
  <conditionalFormatting sqref="E1440">
    <cfRule type="cellIs" dxfId="433" priority="73" stopIfTrue="1" operator="lessThan">
      <formula>0</formula>
    </cfRule>
  </conditionalFormatting>
  <conditionalFormatting sqref="E1462:E1469 E1602:E1603 E1790:E1792 E1795:E1797 E1800:E1803 E1812:E1817 E1842 E1929:E1932 E1937:E1950 E2010:E2033 E2075:E2095 E2176:E2180 E2183:E2199 E2216:E2222 E2226:E2242 E2274:E2290 E2294:E2298 E2412:E2424 E2428:E2434 E2437:E2448 E2488:E2496 E2500:E2502 E2554:E2559 E2599 E2684:E2688 E2691:E2696 E2699:E2711 E2748:E2749 E2754:E2758 E2802:E2804 E2825:E2833 E2836:E2843 E2855:E2867 E2944:E2952 E3013:E3014 E3018:E3020 E3024:E3036 E3076:E3105 E3113:E3127 E3131:E3132 E3135:E3137 E3212 E3216 E3220:E3223 E3310:E3312 E3316:E3323 E3401:E3411 E3479:E3482 E3486:E3494 E3587:E3600 E3679:E3682 E3782 E3958 E3962 E3966 E3970:E3989 E4019 E4023:E4030 E4064:E4066 E4070 E4111 E4222:E4223 E4227:E4228 E4232:E4236 E4265 E4269 E4305 E4309:E4312 E4351:E4352 E4394:E4399 E4426:E4427 E4433 E4490:E4494 E4502 E4530:E4531 E4635:E4644 E4721:E4729 E4736:E4740 E4807:E4810 E4911:E4912 E4919:E4922 E4959:E4963 E4970:E4972 E5066:E5080 E5567:E5572 E5842 E5932:E5938 E6042:E6061 E6098:E6100 E6103:E6107 E6122:E6123 E6557 E7067:E7068 E7071:E7073 E7176 E7178:E7180 E7182:E7197 E7235:E7243 E7310:E7314 E7356:E7357">
    <cfRule type="cellIs" dxfId="432" priority="1256" stopIfTrue="1" operator="lessThan">
      <formula>0</formula>
    </cfRule>
  </conditionalFormatting>
  <conditionalFormatting sqref="E1471:E1545">
    <cfRule type="cellIs" dxfId="431" priority="74" stopIfTrue="1" operator="lessThan">
      <formula>0</formula>
    </cfRule>
  </conditionalFormatting>
  <conditionalFormatting sqref="E1547:E1574">
    <cfRule type="cellIs" dxfId="430" priority="76" stopIfTrue="1" operator="lessThan">
      <formula>0</formula>
    </cfRule>
  </conditionalFormatting>
  <conditionalFormatting sqref="E1576:E1600">
    <cfRule type="cellIs" dxfId="429" priority="80" stopIfTrue="1" operator="lessThan">
      <formula>0</formula>
    </cfRule>
  </conditionalFormatting>
  <conditionalFormatting sqref="E1605:E1779">
    <cfRule type="cellIs" dxfId="428" priority="83" stopIfTrue="1" operator="lessThan">
      <formula>0</formula>
    </cfRule>
  </conditionalFormatting>
  <conditionalFormatting sqref="E1806:E1809">
    <cfRule type="cellIs" dxfId="427" priority="1248" stopIfTrue="1" operator="lessThan">
      <formula>0</formula>
    </cfRule>
  </conditionalFormatting>
  <conditionalFormatting sqref="E1820:E1839">
    <cfRule type="cellIs" dxfId="426" priority="105" stopIfTrue="1" operator="lessThan">
      <formula>0</formula>
    </cfRule>
  </conditionalFormatting>
  <conditionalFormatting sqref="E1846:E1856">
    <cfRule type="cellIs" dxfId="425" priority="1246" stopIfTrue="1" operator="lessThan">
      <formula>0</formula>
    </cfRule>
  </conditionalFormatting>
  <conditionalFormatting sqref="E1861:E1871">
    <cfRule type="cellIs" dxfId="424" priority="1244" stopIfTrue="1" operator="lessThan">
      <formula>0</formula>
    </cfRule>
  </conditionalFormatting>
  <conditionalFormatting sqref="E1874:E1923">
    <cfRule type="cellIs" dxfId="423" priority="106" stopIfTrue="1" operator="lessThan">
      <formula>0</formula>
    </cfRule>
  </conditionalFormatting>
  <conditionalFormatting sqref="E1953:E2004">
    <cfRule type="cellIs" dxfId="422" priority="108" stopIfTrue="1" operator="lessThan">
      <formula>0</formula>
    </cfRule>
  </conditionalFormatting>
  <conditionalFormatting sqref="E2036:E2068">
    <cfRule type="cellIs" dxfId="421" priority="107" stopIfTrue="1" operator="lessThan">
      <formula>0</formula>
    </cfRule>
  </conditionalFormatting>
  <conditionalFormatting sqref="E2098:E2135">
    <cfRule type="cellIs" dxfId="420" priority="109" stopIfTrue="1" operator="lessThan">
      <formula>0</formula>
    </cfRule>
  </conditionalFormatting>
  <conditionalFormatting sqref="E2142:E2173">
    <cfRule type="cellIs" dxfId="419" priority="1228" stopIfTrue="1" operator="lessThan">
      <formula>0</formula>
    </cfRule>
  </conditionalFormatting>
  <conditionalFormatting sqref="E2202:E2208">
    <cfRule type="cellIs" dxfId="418" priority="110" stopIfTrue="1" operator="lessThan">
      <formula>0</formula>
    </cfRule>
  </conditionalFormatting>
  <conditionalFormatting sqref="E2212:E2213">
    <cfRule type="cellIs" dxfId="417" priority="1224" stopIfTrue="1" operator="lessThan">
      <formula>0</formula>
    </cfRule>
  </conditionalFormatting>
  <conditionalFormatting sqref="E2245:E2270">
    <cfRule type="cellIs" dxfId="416" priority="111" stopIfTrue="1" operator="lessThan">
      <formula>0</formula>
    </cfRule>
  </conditionalFormatting>
  <conditionalFormatting sqref="E2301:E2342">
    <cfRule type="cellIs" dxfId="415" priority="112" stopIfTrue="1" operator="lessThan">
      <formula>0</formula>
    </cfRule>
  </conditionalFormatting>
  <conditionalFormatting sqref="E2349:E2362">
    <cfRule type="cellIs" dxfId="414" priority="1212" stopIfTrue="1" operator="lessThan">
      <formula>0</formula>
    </cfRule>
  </conditionalFormatting>
  <conditionalFormatting sqref="E2365:E2408">
    <cfRule type="cellIs" dxfId="413" priority="113" stopIfTrue="1" operator="lessThan">
      <formula>0</formula>
    </cfRule>
  </conditionalFormatting>
  <conditionalFormatting sqref="E2451:E2462">
    <cfRule type="cellIs" dxfId="412" priority="114" stopIfTrue="1" operator="lessThan">
      <formula>0</formula>
    </cfRule>
  </conditionalFormatting>
  <conditionalFormatting sqref="E2466:E2484">
    <cfRule type="cellIs" dxfId="411" priority="1200" stopIfTrue="1" operator="lessThan">
      <formula>0</formula>
    </cfRule>
  </conditionalFormatting>
  <conditionalFormatting sqref="E2505:E2536">
    <cfRule type="cellIs" dxfId="410" priority="115" stopIfTrue="1" operator="lessThan">
      <formula>0</formula>
    </cfRule>
  </conditionalFormatting>
  <conditionalFormatting sqref="E2543:E2550">
    <cfRule type="cellIs" dxfId="409" priority="1180" stopIfTrue="1" operator="lessThan">
      <formula>0</formula>
    </cfRule>
  </conditionalFormatting>
  <conditionalFormatting sqref="E2562:E2595">
    <cfRule type="cellIs" dxfId="408" priority="116" stopIfTrue="1" operator="lessThan">
      <formula>0</formula>
    </cfRule>
  </conditionalFormatting>
  <conditionalFormatting sqref="E2603:E2608">
    <cfRule type="cellIs" dxfId="407" priority="1174" stopIfTrue="1" operator="lessThan">
      <formula>0</formula>
    </cfRule>
  </conditionalFormatting>
  <conditionalFormatting sqref="E2612:E2643">
    <cfRule type="cellIs" dxfId="406" priority="117" stopIfTrue="1" operator="lessThan">
      <formula>0</formula>
    </cfRule>
  </conditionalFormatting>
  <conditionalFormatting sqref="E2647:E2678">
    <cfRule type="cellIs" dxfId="405" priority="118" stopIfTrue="1" operator="lessThan">
      <formula>0</formula>
    </cfRule>
  </conditionalFormatting>
  <conditionalFormatting sqref="E2715:E2744">
    <cfRule type="cellIs" dxfId="404" priority="119" stopIfTrue="1" operator="lessThan">
      <formula>0</formula>
    </cfRule>
  </conditionalFormatting>
  <conditionalFormatting sqref="E2762:E2795">
    <cfRule type="cellIs" dxfId="403" priority="120" stopIfTrue="1" operator="lessThan">
      <formula>0</formula>
    </cfRule>
  </conditionalFormatting>
  <conditionalFormatting sqref="E2808:E2822">
    <cfRule type="cellIs" dxfId="402" priority="121" stopIfTrue="1" operator="lessThan">
      <formula>0</formula>
    </cfRule>
  </conditionalFormatting>
  <conditionalFormatting sqref="E2847:E2851">
    <cfRule type="cellIs" dxfId="401" priority="1100" stopIfTrue="1" operator="lessThan">
      <formula>0</formula>
    </cfRule>
  </conditionalFormatting>
  <conditionalFormatting sqref="E2871:E2918">
    <cfRule type="cellIs" dxfId="400" priority="122" stopIfTrue="1" operator="lessThan">
      <formula>0</formula>
    </cfRule>
  </conditionalFormatting>
  <conditionalFormatting sqref="E2921:E2935">
    <cfRule type="cellIs" dxfId="399" priority="1088" stopIfTrue="1" operator="lessThan">
      <formula>0</formula>
    </cfRule>
  </conditionalFormatting>
  <conditionalFormatting sqref="E2939:E2940">
    <cfRule type="cellIs" dxfId="398" priority="1086" stopIfTrue="1" operator="lessThan">
      <formula>0</formula>
    </cfRule>
  </conditionalFormatting>
  <conditionalFormatting sqref="E2956:E3009">
    <cfRule type="cellIs" dxfId="397" priority="123" stopIfTrue="1" operator="lessThan">
      <formula>0</formula>
    </cfRule>
  </conditionalFormatting>
  <conditionalFormatting sqref="E3039:E3073">
    <cfRule type="cellIs" dxfId="396" priority="124" stopIfTrue="1" operator="lessThan">
      <formula>0</formula>
    </cfRule>
  </conditionalFormatting>
  <conditionalFormatting sqref="E3109:E3110">
    <cfRule type="cellIs" dxfId="395" priority="1078" stopIfTrue="1" operator="lessThan">
      <formula>0</formula>
    </cfRule>
  </conditionalFormatting>
  <conditionalFormatting sqref="E3140:E3209">
    <cfRule type="cellIs" dxfId="394" priority="125" stopIfTrue="1" operator="lessThan">
      <formula>0</formula>
    </cfRule>
  </conditionalFormatting>
  <conditionalFormatting sqref="E3226:E3236">
    <cfRule type="cellIs" dxfId="393" priority="1072" stopIfTrue="1" operator="lessThan">
      <formula>0</formula>
    </cfRule>
  </conditionalFormatting>
  <conditionalFormatting sqref="E3240:E3306">
    <cfRule type="cellIs" dxfId="392" priority="126" stopIfTrue="1" operator="lessThan">
      <formula>0</formula>
    </cfRule>
  </conditionalFormatting>
  <conditionalFormatting sqref="E3327:E3389">
    <cfRule type="cellIs" dxfId="391" priority="127" stopIfTrue="1" operator="lessThan">
      <formula>0</formula>
    </cfRule>
  </conditionalFormatting>
  <conditionalFormatting sqref="E3393:E3397">
    <cfRule type="cellIs" dxfId="390" priority="1048" stopIfTrue="1" operator="lessThan">
      <formula>0</formula>
    </cfRule>
  </conditionalFormatting>
  <conditionalFormatting sqref="E3415:E3475">
    <cfRule type="cellIs" dxfId="389" priority="128" stopIfTrue="1" operator="lessThan">
      <formula>0</formula>
    </cfRule>
  </conditionalFormatting>
  <conditionalFormatting sqref="E3498:E3577">
    <cfRule type="cellIs" dxfId="388" priority="129" stopIfTrue="1" operator="lessThan">
      <formula>0</formula>
    </cfRule>
  </conditionalFormatting>
  <conditionalFormatting sqref="E3581:E3583">
    <cfRule type="cellIs" dxfId="387" priority="1036" stopIfTrue="1" operator="lessThan">
      <formula>0</formula>
    </cfRule>
  </conditionalFormatting>
  <conditionalFormatting sqref="E3604:E3675">
    <cfRule type="cellIs" dxfId="386" priority="130" stopIfTrue="1" operator="lessThan">
      <formula>0</formula>
    </cfRule>
  </conditionalFormatting>
  <conditionalFormatting sqref="E3686:E3697">
    <cfRule type="cellIs" dxfId="385" priority="1026" stopIfTrue="1" operator="lessThan">
      <formula>0</formula>
    </cfRule>
  </conditionalFormatting>
  <conditionalFormatting sqref="E3701:E3742">
    <cfRule type="cellIs" dxfId="384" priority="1016" stopIfTrue="1" operator="lessThan">
      <formula>0</formula>
    </cfRule>
  </conditionalFormatting>
  <conditionalFormatting sqref="E3745:E3778">
    <cfRule type="cellIs" dxfId="383" priority="131" stopIfTrue="1" operator="lessThan">
      <formula>0</formula>
    </cfRule>
  </conditionalFormatting>
  <conditionalFormatting sqref="E3786:E3798">
    <cfRule type="cellIs" dxfId="382" priority="1010" stopIfTrue="1" operator="lessThan">
      <formula>0</formula>
    </cfRule>
  </conditionalFormatting>
  <conditionalFormatting sqref="E3802:E3871">
    <cfRule type="cellIs" dxfId="381" priority="132" stopIfTrue="1" operator="lessThan">
      <formula>0</formula>
    </cfRule>
  </conditionalFormatting>
  <conditionalFormatting sqref="E3875:E3876">
    <cfRule type="cellIs" dxfId="380" priority="988" stopIfTrue="1" operator="lessThan">
      <formula>0</formula>
    </cfRule>
  </conditionalFormatting>
  <conditionalFormatting sqref="E3880:E3883">
    <cfRule type="cellIs" dxfId="379" priority="986" stopIfTrue="1" operator="lessThan">
      <formula>0</formula>
    </cfRule>
  </conditionalFormatting>
  <conditionalFormatting sqref="E3887:E3907">
    <cfRule type="cellIs" dxfId="378" priority="133" stopIfTrue="1" operator="lessThan">
      <formula>0</formula>
    </cfRule>
  </conditionalFormatting>
  <conditionalFormatting sqref="E3911:E3912">
    <cfRule type="cellIs" dxfId="377" priority="972" stopIfTrue="1" operator="lessThan">
      <formula>0</formula>
    </cfRule>
  </conditionalFormatting>
  <conditionalFormatting sqref="E3916:E3919">
    <cfRule type="cellIs" dxfId="376" priority="966" stopIfTrue="1" operator="lessThan">
      <formula>0</formula>
    </cfRule>
  </conditionalFormatting>
  <conditionalFormatting sqref="E3923:E3955">
    <cfRule type="cellIs" dxfId="375" priority="134" stopIfTrue="1" operator="lessThan">
      <formula>0</formula>
    </cfRule>
  </conditionalFormatting>
  <conditionalFormatting sqref="E3992:E4015">
    <cfRule type="cellIs" dxfId="374" priority="135" stopIfTrue="1" operator="lessThan">
      <formula>0</formula>
    </cfRule>
  </conditionalFormatting>
  <conditionalFormatting sqref="E4034:E4060">
    <cfRule type="cellIs" dxfId="373" priority="136" stopIfTrue="1" operator="lessThan">
      <formula>0</formula>
    </cfRule>
  </conditionalFormatting>
  <conditionalFormatting sqref="E4074:E4107">
    <cfRule type="cellIs" dxfId="372" priority="137" stopIfTrue="1" operator="lessThan">
      <formula>0</formula>
    </cfRule>
  </conditionalFormatting>
  <conditionalFormatting sqref="E4115:E4116">
    <cfRule type="cellIs" dxfId="371" priority="944" stopIfTrue="1" operator="lessThan">
      <formula>0</formula>
    </cfRule>
  </conditionalFormatting>
  <conditionalFormatting sqref="E4120:E4175">
    <cfRule type="cellIs" dxfId="370" priority="138" stopIfTrue="1" operator="lessThan">
      <formula>0</formula>
    </cfRule>
  </conditionalFormatting>
  <conditionalFormatting sqref="E4179 E4183:E4188">
    <cfRule type="cellIs" dxfId="369" priority="934" stopIfTrue="1" operator="lessThan">
      <formula>0</formula>
    </cfRule>
  </conditionalFormatting>
  <conditionalFormatting sqref="E4192:E4218">
    <cfRule type="cellIs" dxfId="368" priority="139" stopIfTrue="1" operator="lessThan">
      <formula>0</formula>
    </cfRule>
  </conditionalFormatting>
  <conditionalFormatting sqref="E4239:E4261">
    <cfRule type="cellIs" dxfId="367" priority="140" stopIfTrue="1" operator="lessThan">
      <formula>0</formula>
    </cfRule>
  </conditionalFormatting>
  <conditionalFormatting sqref="E4273:E4301">
    <cfRule type="cellIs" dxfId="366" priority="141" stopIfTrue="1" operator="lessThan">
      <formula>0</formula>
    </cfRule>
  </conditionalFormatting>
  <conditionalFormatting sqref="E4316:E4342">
    <cfRule type="cellIs" dxfId="365" priority="142" stopIfTrue="1" operator="lessThan">
      <formula>0</formula>
    </cfRule>
  </conditionalFormatting>
  <conditionalFormatting sqref="E4346:E4347">
    <cfRule type="cellIs" dxfId="364" priority="910" stopIfTrue="1" operator="lessThan">
      <formula>0</formula>
    </cfRule>
  </conditionalFormatting>
  <conditionalFormatting sqref="E4356:E4385">
    <cfRule type="cellIs" dxfId="363" priority="143" stopIfTrue="1" operator="lessThan">
      <formula>0</formula>
    </cfRule>
  </conditionalFormatting>
  <conditionalFormatting sqref="E4389:E4390">
    <cfRule type="cellIs" dxfId="362" priority="904" stopIfTrue="1" operator="lessThan">
      <formula>0</formula>
    </cfRule>
  </conditionalFormatting>
  <conditionalFormatting sqref="E4403:E4422">
    <cfRule type="cellIs" dxfId="361" priority="144" stopIfTrue="1" operator="lessThan">
      <formula>0</formula>
    </cfRule>
  </conditionalFormatting>
  <conditionalFormatting sqref="E4437:E4453">
    <cfRule type="cellIs" dxfId="360" priority="145" stopIfTrue="1" operator="lessThan">
      <formula>0</formula>
    </cfRule>
  </conditionalFormatting>
  <conditionalFormatting sqref="E4457">
    <cfRule type="cellIs" dxfId="359" priority="896" stopIfTrue="1" operator="lessThan">
      <formula>0</formula>
    </cfRule>
  </conditionalFormatting>
  <conditionalFormatting sqref="E4461:E4462">
    <cfRule type="cellIs" dxfId="358" priority="886" stopIfTrue="1" operator="lessThan">
      <formula>0</formula>
    </cfRule>
  </conditionalFormatting>
  <conditionalFormatting sqref="E4466:E4487">
    <cfRule type="cellIs" dxfId="357" priority="146" stopIfTrue="1" operator="lessThan">
      <formula>0</formula>
    </cfRule>
  </conditionalFormatting>
  <conditionalFormatting sqref="E4498">
    <cfRule type="cellIs" dxfId="356" priority="876" stopIfTrue="1" operator="lessThan">
      <formula>0</formula>
    </cfRule>
  </conditionalFormatting>
  <conditionalFormatting sqref="E4506:E4521">
    <cfRule type="cellIs" dxfId="355" priority="147" stopIfTrue="1" operator="lessThan">
      <formula>0</formula>
    </cfRule>
  </conditionalFormatting>
  <conditionalFormatting sqref="E4525:E4526">
    <cfRule type="cellIs" dxfId="354" priority="866" stopIfTrue="1" operator="lessThan">
      <formula>0</formula>
    </cfRule>
  </conditionalFormatting>
  <conditionalFormatting sqref="E4535:E4632">
    <cfRule type="cellIs" dxfId="353" priority="148" stopIfTrue="1" operator="lessThan">
      <formula>0</formula>
    </cfRule>
  </conditionalFormatting>
  <conditionalFormatting sqref="E4648:E4650">
    <cfRule type="cellIs" dxfId="352" priority="830" stopIfTrue="1" operator="lessThan">
      <formula>0</formula>
    </cfRule>
  </conditionalFormatting>
  <conditionalFormatting sqref="E4654:E4712">
    <cfRule type="cellIs" dxfId="351" priority="161" stopIfTrue="1" operator="lessThan">
      <formula>0</formula>
    </cfRule>
  </conditionalFormatting>
  <conditionalFormatting sqref="E4716:E4717">
    <cfRule type="cellIs" dxfId="350" priority="820" stopIfTrue="1" operator="lessThan">
      <formula>0</formula>
    </cfRule>
  </conditionalFormatting>
  <conditionalFormatting sqref="E4743:E4786">
    <cfRule type="cellIs" dxfId="349" priority="153" stopIfTrue="1" operator="lessThan">
      <formula>0</formula>
    </cfRule>
  </conditionalFormatting>
  <conditionalFormatting sqref="E4790:E4791">
    <cfRule type="cellIs" dxfId="348" priority="812" stopIfTrue="1" operator="lessThan">
      <formula>0</formula>
    </cfRule>
  </conditionalFormatting>
  <conditionalFormatting sqref="E4795:E4804">
    <cfRule type="cellIs" dxfId="347" priority="816" stopIfTrue="1" operator="lessThan">
      <formula>0</formula>
    </cfRule>
  </conditionalFormatting>
  <conditionalFormatting sqref="E4818:E4864">
    <cfRule type="cellIs" dxfId="346" priority="156" stopIfTrue="1" operator="lessThan">
      <formula>0</formula>
    </cfRule>
  </conditionalFormatting>
  <conditionalFormatting sqref="E4868:E4869">
    <cfRule type="cellIs" dxfId="345" priority="802" stopIfTrue="1" operator="lessThan">
      <formula>0</formula>
    </cfRule>
  </conditionalFormatting>
  <conditionalFormatting sqref="E4873:E4874">
    <cfRule type="cellIs" dxfId="344" priority="806" stopIfTrue="1" operator="lessThan">
      <formula>0</formula>
    </cfRule>
  </conditionalFormatting>
  <conditionalFormatting sqref="E4881:E4903">
    <cfRule type="cellIs" dxfId="343" priority="154" stopIfTrue="1" operator="lessThan">
      <formula>0</formula>
    </cfRule>
  </conditionalFormatting>
  <conditionalFormatting sqref="E4907">
    <cfRule type="cellIs" dxfId="342" priority="792" stopIfTrue="1" operator="lessThan">
      <formula>0</formula>
    </cfRule>
  </conditionalFormatting>
  <conditionalFormatting sqref="E4925:E4955">
    <cfRule type="cellIs" dxfId="341" priority="165" stopIfTrue="1" operator="lessThan">
      <formula>0</formula>
    </cfRule>
  </conditionalFormatting>
  <conditionalFormatting sqref="E4976:E5005">
    <cfRule type="cellIs" dxfId="340" priority="166" stopIfTrue="1" operator="lessThan">
      <formula>0</formula>
    </cfRule>
  </conditionalFormatting>
  <conditionalFormatting sqref="E5009">
    <cfRule type="cellIs" dxfId="339" priority="774" stopIfTrue="1" operator="lessThan">
      <formula>0</formula>
    </cfRule>
  </conditionalFormatting>
  <conditionalFormatting sqref="E5013:E5024">
    <cfRule type="cellIs" dxfId="338" priority="768" stopIfTrue="1" operator="lessThan">
      <formula>0</formula>
    </cfRule>
  </conditionalFormatting>
  <conditionalFormatting sqref="E5031:E5063">
    <cfRule type="cellIs" dxfId="337" priority="167" stopIfTrue="1" operator="lessThan">
      <formula>0</formula>
    </cfRule>
  </conditionalFormatting>
  <conditionalFormatting sqref="E5084">
    <cfRule type="cellIs" dxfId="336" priority="752" stopIfTrue="1" operator="lessThan">
      <formula>0</formula>
    </cfRule>
  </conditionalFormatting>
  <conditionalFormatting sqref="E5088:E5103">
    <cfRule type="cellIs" dxfId="335" priority="748" stopIfTrue="1" operator="lessThan">
      <formula>0</formula>
    </cfRule>
  </conditionalFormatting>
  <conditionalFormatting sqref="E5110:E5145">
    <cfRule type="cellIs" dxfId="334" priority="168" stopIfTrue="1" operator="lessThan">
      <formula>0</formula>
    </cfRule>
  </conditionalFormatting>
  <conditionalFormatting sqref="E5176">
    <cfRule type="cellIs" dxfId="333" priority="740" stopIfTrue="1" operator="lessThan">
      <formula>0</formula>
    </cfRule>
  </conditionalFormatting>
  <conditionalFormatting sqref="E5180:E5187">
    <cfRule type="cellIs" dxfId="332" priority="734" stopIfTrue="1" operator="lessThan">
      <formula>0</formula>
    </cfRule>
  </conditionalFormatting>
  <conditionalFormatting sqref="E5194:E5238">
    <cfRule type="cellIs" dxfId="331" priority="169" stopIfTrue="1" operator="lessThan">
      <formula>0</formula>
    </cfRule>
  </conditionalFormatting>
  <conditionalFormatting sqref="E5242">
    <cfRule type="cellIs" dxfId="330" priority="724" stopIfTrue="1" operator="lessThan">
      <formula>0</formula>
    </cfRule>
  </conditionalFormatting>
  <conditionalFormatting sqref="E5246:E5262">
    <cfRule type="cellIs" dxfId="329" priority="718" stopIfTrue="1" operator="lessThan">
      <formula>0</formula>
    </cfRule>
  </conditionalFormatting>
  <conditionalFormatting sqref="E5269:E5306">
    <cfRule type="cellIs" dxfId="328" priority="173" stopIfTrue="1" operator="lessThan">
      <formula>0</formula>
    </cfRule>
  </conditionalFormatting>
  <conditionalFormatting sqref="E5309:E5326">
    <cfRule type="cellIs" dxfId="327" priority="712" stopIfTrue="1" operator="lessThan">
      <formula>0</formula>
    </cfRule>
  </conditionalFormatting>
  <conditionalFormatting sqref="E5330">
    <cfRule type="cellIs" dxfId="326" priority="710" stopIfTrue="1" operator="lessThan">
      <formula>0</formula>
    </cfRule>
  </conditionalFormatting>
  <conditionalFormatting sqref="E5334:E5339">
    <cfRule type="cellIs" dxfId="325" priority="706" stopIfTrue="1" operator="lessThan">
      <formula>0</formula>
    </cfRule>
  </conditionalFormatting>
  <conditionalFormatting sqref="E5346:E5410">
    <cfRule type="cellIs" dxfId="324" priority="174" stopIfTrue="1" operator="lessThan">
      <formula>0</formula>
    </cfRule>
  </conditionalFormatting>
  <conditionalFormatting sqref="E5414">
    <cfRule type="cellIs" dxfId="323" priority="696" stopIfTrue="1" operator="lessThan">
      <formula>0</formula>
    </cfRule>
  </conditionalFormatting>
  <conditionalFormatting sqref="E5418:E5427">
    <cfRule type="cellIs" dxfId="322" priority="688" stopIfTrue="1" operator="lessThan">
      <formula>0</formula>
    </cfRule>
  </conditionalFormatting>
  <conditionalFormatting sqref="E5434:E5483">
    <cfRule type="cellIs" dxfId="321" priority="171" stopIfTrue="1" operator="lessThan">
      <formula>0</formula>
    </cfRule>
  </conditionalFormatting>
  <conditionalFormatting sqref="E5487">
    <cfRule type="cellIs" dxfId="320" priority="678" stopIfTrue="1" operator="lessThan">
      <formula>0</formula>
    </cfRule>
  </conditionalFormatting>
  <conditionalFormatting sqref="E5491:E5502">
    <cfRule type="cellIs" dxfId="319" priority="676" stopIfTrue="1" operator="lessThan">
      <formula>0</formula>
    </cfRule>
  </conditionalFormatting>
  <conditionalFormatting sqref="E5509:E5554">
    <cfRule type="cellIs" dxfId="318" priority="176" stopIfTrue="1" operator="lessThan">
      <formula>0</formula>
    </cfRule>
  </conditionalFormatting>
  <conditionalFormatting sqref="E5558">
    <cfRule type="cellIs" dxfId="317" priority="178" stopIfTrue="1" operator="lessThan">
      <formula>0</formula>
    </cfRule>
  </conditionalFormatting>
  <conditionalFormatting sqref="E5562:E5564">
    <cfRule type="cellIs" dxfId="316" priority="666" stopIfTrue="1" operator="lessThan">
      <formula>0</formula>
    </cfRule>
  </conditionalFormatting>
  <conditionalFormatting sqref="E5579:E5639">
    <cfRule type="cellIs" dxfId="315" priority="170" stopIfTrue="1" operator="lessThan">
      <formula>0</formula>
    </cfRule>
  </conditionalFormatting>
  <conditionalFormatting sqref="E5643:E5662">
    <cfRule type="cellIs" dxfId="314" priority="656" stopIfTrue="1" operator="lessThan">
      <formula>0</formula>
    </cfRule>
  </conditionalFormatting>
  <conditionalFormatting sqref="E5669:E5703">
    <cfRule type="cellIs" dxfId="313" priority="179" stopIfTrue="1" operator="lessThan">
      <formula>0</formula>
    </cfRule>
  </conditionalFormatting>
  <conditionalFormatting sqref="E5707:E5719">
    <cfRule type="cellIs" dxfId="312" priority="640" stopIfTrue="1" operator="lessThan">
      <formula>0</formula>
    </cfRule>
  </conditionalFormatting>
  <conditionalFormatting sqref="E5726:E5756">
    <cfRule type="cellIs" dxfId="311" priority="177" stopIfTrue="1" operator="lessThan">
      <formula>0</formula>
    </cfRule>
  </conditionalFormatting>
  <conditionalFormatting sqref="E5760:E5775">
    <cfRule type="cellIs" dxfId="310" priority="622" stopIfTrue="1" operator="lessThan">
      <formula>0</formula>
    </cfRule>
  </conditionalFormatting>
  <conditionalFormatting sqref="E5783:E5839">
    <cfRule type="cellIs" dxfId="309" priority="180" stopIfTrue="1" operator="lessThan">
      <formula>0</formula>
    </cfRule>
  </conditionalFormatting>
  <conditionalFormatting sqref="E5846:E5859">
    <cfRule type="cellIs" dxfId="308" priority="608" stopIfTrue="1" operator="lessThan">
      <formula>0</formula>
    </cfRule>
  </conditionalFormatting>
  <conditionalFormatting sqref="E5866:E5916">
    <cfRule type="cellIs" dxfId="307" priority="181" stopIfTrue="1" operator="lessThan">
      <formula>0</formula>
    </cfRule>
  </conditionalFormatting>
  <conditionalFormatting sqref="E5920:E5929">
    <cfRule type="cellIs" dxfId="306" priority="598" stopIfTrue="1" operator="lessThan">
      <formula>0</formula>
    </cfRule>
  </conditionalFormatting>
  <conditionalFormatting sqref="E5947:E5954">
    <cfRule type="cellIs" dxfId="305" priority="596" stopIfTrue="1" operator="lessThan">
      <formula>0</formula>
    </cfRule>
  </conditionalFormatting>
  <conditionalFormatting sqref="E5957:E6013">
    <cfRule type="cellIs" dxfId="304" priority="182" stopIfTrue="1" operator="lessThan">
      <formula>0</formula>
    </cfRule>
  </conditionalFormatting>
  <conditionalFormatting sqref="E6017:E6035">
    <cfRule type="cellIs" dxfId="303" priority="586" stopIfTrue="1" operator="lessThan">
      <formula>0</formula>
    </cfRule>
  </conditionalFormatting>
  <conditionalFormatting sqref="E6064:E6095">
    <cfRule type="cellIs" dxfId="302" priority="183" stopIfTrue="1" operator="lessThan">
      <formula>0</formula>
    </cfRule>
  </conditionalFormatting>
  <conditionalFormatting sqref="E6111:E6119">
    <cfRule type="cellIs" dxfId="301" priority="576" stopIfTrue="1" operator="lessThan">
      <formula>0</formula>
    </cfRule>
  </conditionalFormatting>
  <conditionalFormatting sqref="E6130:E6200">
    <cfRule type="cellIs" dxfId="300" priority="184" stopIfTrue="1" operator="lessThan">
      <formula>0</formula>
    </cfRule>
  </conditionalFormatting>
  <conditionalFormatting sqref="E6204:E6221">
    <cfRule type="cellIs" dxfId="299" priority="566" stopIfTrue="1" operator="lessThan">
      <formula>0</formula>
    </cfRule>
  </conditionalFormatting>
  <conditionalFormatting sqref="E6228:E6286">
    <cfRule type="cellIs" dxfId="298" priority="185" stopIfTrue="1" operator="lessThan">
      <formula>0</formula>
    </cfRule>
  </conditionalFormatting>
  <conditionalFormatting sqref="E6290:E6310">
    <cfRule type="cellIs" dxfId="297" priority="548" stopIfTrue="1" operator="lessThan">
      <formula>0</formula>
    </cfRule>
  </conditionalFormatting>
  <conditionalFormatting sqref="E6317:E6394">
    <cfRule type="cellIs" dxfId="296" priority="186" stopIfTrue="1" operator="lessThan">
      <formula>0</formula>
    </cfRule>
  </conditionalFormatting>
  <conditionalFormatting sqref="E6398:E6416">
    <cfRule type="cellIs" dxfId="295" priority="536" stopIfTrue="1" operator="lessThan">
      <formula>0</formula>
    </cfRule>
  </conditionalFormatting>
  <conditionalFormatting sqref="E6423:E6478">
    <cfRule type="cellIs" dxfId="294" priority="187" stopIfTrue="1" operator="lessThan">
      <formula>0</formula>
    </cfRule>
  </conditionalFormatting>
  <conditionalFormatting sqref="E6482:E6497">
    <cfRule type="cellIs" dxfId="293" priority="522" stopIfTrue="1" operator="lessThan">
      <formula>0</formula>
    </cfRule>
  </conditionalFormatting>
  <conditionalFormatting sqref="E6504:E6554">
    <cfRule type="cellIs" dxfId="292" priority="188" stopIfTrue="1" operator="lessThan">
      <formula>0</formula>
    </cfRule>
  </conditionalFormatting>
  <conditionalFormatting sqref="E6561:E6573">
    <cfRule type="cellIs" dxfId="291" priority="504" stopIfTrue="1" operator="lessThan">
      <formula>0</formula>
    </cfRule>
  </conditionalFormatting>
  <conditionalFormatting sqref="E6580:E6629">
    <cfRule type="cellIs" dxfId="290" priority="189" stopIfTrue="1" operator="lessThan">
      <formula>0</formula>
    </cfRule>
  </conditionalFormatting>
  <conditionalFormatting sqref="E6632:E6637">
    <cfRule type="cellIs" dxfId="289" priority="482" stopIfTrue="1" operator="lessThan">
      <formula>0</formula>
    </cfRule>
  </conditionalFormatting>
  <conditionalFormatting sqref="E6641:E6653">
    <cfRule type="cellIs" dxfId="288" priority="476" stopIfTrue="1" operator="lessThan">
      <formula>0</formula>
    </cfRule>
  </conditionalFormatting>
  <conditionalFormatting sqref="E6661:E6720">
    <cfRule type="cellIs" dxfId="287" priority="190" stopIfTrue="1" operator="lessThan">
      <formula>0</formula>
    </cfRule>
  </conditionalFormatting>
  <conditionalFormatting sqref="E6724:E6749">
    <cfRule type="cellIs" dxfId="286" priority="442" stopIfTrue="1" operator="lessThan">
      <formula>0</formula>
    </cfRule>
  </conditionalFormatting>
  <conditionalFormatting sqref="E6756:E6808">
    <cfRule type="cellIs" dxfId="285" priority="191" stopIfTrue="1" operator="lessThan">
      <formula>0</formula>
    </cfRule>
  </conditionalFormatting>
  <conditionalFormatting sqref="E6812:E6822">
    <cfRule type="cellIs" dxfId="284" priority="412" stopIfTrue="1" operator="lessThan">
      <formula>0</formula>
    </cfRule>
  </conditionalFormatting>
  <conditionalFormatting sqref="E6829:E6840">
    <cfRule type="cellIs" dxfId="283" priority="410" stopIfTrue="1" operator="lessThan">
      <formula>0</formula>
    </cfRule>
  </conditionalFormatting>
  <conditionalFormatting sqref="E6843:E6889">
    <cfRule type="cellIs" dxfId="282" priority="192" stopIfTrue="1" operator="lessThan">
      <formula>0</formula>
    </cfRule>
  </conditionalFormatting>
  <conditionalFormatting sqref="E6893:E6901">
    <cfRule type="cellIs" dxfId="281" priority="394" stopIfTrue="1" operator="lessThan">
      <formula>0</formula>
    </cfRule>
  </conditionalFormatting>
  <conditionalFormatting sqref="E6908:E6962">
    <cfRule type="cellIs" dxfId="280" priority="193" stopIfTrue="1" operator="lessThan">
      <formula>0</formula>
    </cfRule>
  </conditionalFormatting>
  <conditionalFormatting sqref="E6966:E6975">
    <cfRule type="cellIs" dxfId="279" priority="352" stopIfTrue="1" operator="lessThan">
      <formula>0</formula>
    </cfRule>
  </conditionalFormatting>
  <conditionalFormatting sqref="E6982:E7051">
    <cfRule type="cellIs" dxfId="278" priority="194" stopIfTrue="1" operator="lessThan">
      <formula>0</formula>
    </cfRule>
  </conditionalFormatting>
  <conditionalFormatting sqref="E7055:E7064">
    <cfRule type="cellIs" dxfId="277" priority="336" stopIfTrue="1" operator="lessThan">
      <formula>0</formula>
    </cfRule>
  </conditionalFormatting>
  <conditionalFormatting sqref="E7080:E7103">
    <cfRule type="cellIs" dxfId="276" priority="195" stopIfTrue="1" operator="lessThan">
      <formula>0</formula>
    </cfRule>
  </conditionalFormatting>
  <conditionalFormatting sqref="E7107:E7132">
    <cfRule type="cellIs" dxfId="275" priority="198" stopIfTrue="1" operator="lessThan">
      <formula>0</formula>
    </cfRule>
  </conditionalFormatting>
  <conditionalFormatting sqref="E7136:E7148">
    <cfRule type="cellIs" dxfId="274" priority="196" stopIfTrue="1" operator="lessThan">
      <formula>0</formula>
    </cfRule>
  </conditionalFormatting>
  <conditionalFormatting sqref="E7152:E7157">
    <cfRule type="cellIs" dxfId="273" priority="200" stopIfTrue="1" operator="lessThan">
      <formula>0</formula>
    </cfRule>
  </conditionalFormatting>
  <conditionalFormatting sqref="E7161:E7166">
    <cfRule type="cellIs" dxfId="272" priority="288" stopIfTrue="1" operator="lessThan">
      <formula>0</formula>
    </cfRule>
  </conditionalFormatting>
  <conditionalFormatting sqref="E7199:E7232">
    <cfRule type="cellIs" dxfId="271" priority="201" stopIfTrue="1" operator="lessThan">
      <formula>0</formula>
    </cfRule>
  </conditionalFormatting>
  <conditionalFormatting sqref="E7253:E7300">
    <cfRule type="cellIs" dxfId="270" priority="197" stopIfTrue="1" operator="lessThan">
      <formula>0</formula>
    </cfRule>
  </conditionalFormatting>
  <conditionalFormatting sqref="E7320:E7353">
    <cfRule type="cellIs" dxfId="269" priority="202" stopIfTrue="1" operator="lessThan">
      <formula>0</formula>
    </cfRule>
  </conditionalFormatting>
  <conditionalFormatting sqref="E7360:E7381">
    <cfRule type="cellIs" dxfId="268" priority="270" stopIfTrue="1" operator="lessThan">
      <formula>0</formula>
    </cfRule>
  </conditionalFormatting>
  <conditionalFormatting sqref="E7391:E7401">
    <cfRule type="cellIs" dxfId="267" priority="274" stopIfTrue="1" operator="lessThan">
      <formula>0</formula>
    </cfRule>
  </conditionalFormatting>
  <conditionalFormatting sqref="E7407:E7454">
    <cfRule type="cellIs" dxfId="266" priority="204" stopIfTrue="1" operator="lessThan">
      <formula>0</formula>
    </cfRule>
  </conditionalFormatting>
  <conditionalFormatting sqref="E7460:E7474">
    <cfRule type="cellIs" dxfId="265" priority="251" stopIfTrue="1" operator="lessThan">
      <formula>0</formula>
    </cfRule>
  </conditionalFormatting>
  <conditionalFormatting sqref="E7507:E7567">
    <cfRule type="cellIs" dxfId="264" priority="203" stopIfTrue="1" operator="lessThan">
      <formula>0</formula>
    </cfRule>
  </conditionalFormatting>
  <conditionalFormatting sqref="E7602:E7652">
    <cfRule type="cellIs" dxfId="263" priority="205" stopIfTrue="1" operator="lessThan">
      <formula>0</formula>
    </cfRule>
  </conditionalFormatting>
  <conditionalFormatting sqref="E7711:E7724">
    <cfRule type="cellIs" dxfId="262" priority="206" stopIfTrue="1" operator="lessThan">
      <formula>0</formula>
    </cfRule>
  </conditionalFormatting>
  <conditionalFormatting sqref="E7795:E7839">
    <cfRule type="cellIs" dxfId="261" priority="207" stopIfTrue="1" operator="lessThan">
      <formula>0</formula>
    </cfRule>
  </conditionalFormatting>
  <conditionalFormatting sqref="E7856:E7880">
    <cfRule type="cellIs" dxfId="260" priority="208" stopIfTrue="1" operator="lessThan">
      <formula>0</formula>
    </cfRule>
  </conditionalFormatting>
  <conditionalFormatting sqref="E7943:E7985">
    <cfRule type="cellIs" dxfId="259" priority="209" stopIfTrue="1" operator="lessThan">
      <formula>0</formula>
    </cfRule>
  </conditionalFormatting>
  <conditionalFormatting sqref="E8004:E8028">
    <cfRule type="cellIs" dxfId="258" priority="210" stopIfTrue="1" operator="lessThan">
      <formula>0</formula>
    </cfRule>
  </conditionalFormatting>
  <conditionalFormatting sqref="E8057:E8083">
    <cfRule type="cellIs" dxfId="257" priority="211" stopIfTrue="1" operator="lessThan">
      <formula>0</formula>
    </cfRule>
  </conditionalFormatting>
  <conditionalFormatting sqref="E8098:E8121">
    <cfRule type="cellIs" dxfId="256" priority="212" stopIfTrue="1" operator="lessThan">
      <formula>0</formula>
    </cfRule>
  </conditionalFormatting>
  <conditionalFormatting sqref="E8143:E8163">
    <cfRule type="cellIs" dxfId="255" priority="213" stopIfTrue="1" operator="lessThan">
      <formula>0</formula>
    </cfRule>
  </conditionalFormatting>
  <conditionalFormatting sqref="E8191:E8224">
    <cfRule type="cellIs" dxfId="254" priority="214" stopIfTrue="1" operator="lessThan">
      <formula>0</formula>
    </cfRule>
  </conditionalFormatting>
  <conditionalFormatting sqref="E8230:E8243">
    <cfRule type="cellIs" dxfId="253" priority="215" stopIfTrue="1" operator="lessThan">
      <formula>0</formula>
    </cfRule>
  </conditionalFormatting>
  <conditionalFormatting sqref="E8253:E8254">
    <cfRule type="cellIs" dxfId="252" priority="216" stopIfTrue="1" operator="lessThan">
      <formula>0</formula>
    </cfRule>
  </conditionalFormatting>
  <conditionalFormatting sqref="E8285:E8316">
    <cfRule type="cellIs" dxfId="251" priority="217" stopIfTrue="1" operator="lessThan">
      <formula>0</formula>
    </cfRule>
  </conditionalFormatting>
  <conditionalFormatting sqref="E8335:E8358">
    <cfRule type="cellIs" dxfId="250" priority="218" stopIfTrue="1" operator="lessThan">
      <formula>0</formula>
    </cfRule>
  </conditionalFormatting>
  <conditionalFormatting sqref="E8375:E8393">
    <cfRule type="cellIs" dxfId="249" priority="219" stopIfTrue="1" operator="lessThan">
      <formula>0</formula>
    </cfRule>
  </conditionalFormatting>
  <conditionalFormatting sqref="E8465:E8484">
    <cfRule type="cellIs" dxfId="248" priority="223" stopIfTrue="1" operator="lessThan">
      <formula>0</formula>
    </cfRule>
  </conditionalFormatting>
  <conditionalFormatting sqref="E8499:E8516">
    <cfRule type="cellIs" dxfId="247" priority="220" stopIfTrue="1" operator="lessThan">
      <formula>0</formula>
    </cfRule>
  </conditionalFormatting>
  <conditionalFormatting sqref="E8532:E8537">
    <cfRule type="cellIs" dxfId="246" priority="221" stopIfTrue="1" operator="lessThan">
      <formula>0</formula>
    </cfRule>
  </conditionalFormatting>
  <conditionalFormatting sqref="E8579:E8580">
    <cfRule type="cellIs" dxfId="245" priority="222" stopIfTrue="1" operator="lessThan">
      <formula>0</formula>
    </cfRule>
  </conditionalFormatting>
  <conditionalFormatting sqref="E8596">
    <cfRule type="cellIs" dxfId="244" priority="240" stopIfTrue="1" operator="lessThan">
      <formula>0</formula>
    </cfRule>
  </conditionalFormatting>
  <conditionalFormatting sqref="E8608">
    <cfRule type="cellIs" dxfId="243" priority="239" stopIfTrue="1" operator="lessThan">
      <formula>0</formula>
    </cfRule>
  </conditionalFormatting>
  <conditionalFormatting sqref="E8626">
    <cfRule type="cellIs" dxfId="242" priority="238" stopIfTrue="1" operator="lessThan">
      <formula>0</formula>
    </cfRule>
  </conditionalFormatting>
  <conditionalFormatting sqref="E8643">
    <cfRule type="cellIs" dxfId="241" priority="237" stopIfTrue="1" operator="lessThan">
      <formula>0</formula>
    </cfRule>
  </conditionalFormatting>
  <conditionalFormatting sqref="E8645">
    <cfRule type="cellIs" dxfId="240" priority="236" stopIfTrue="1" operator="lessThan">
      <formula>0</formula>
    </cfRule>
  </conditionalFormatting>
  <conditionalFormatting sqref="E8680">
    <cfRule type="cellIs" dxfId="239" priority="24" stopIfTrue="1" operator="lessThan">
      <formula>0</formula>
    </cfRule>
  </conditionalFormatting>
  <conditionalFormatting sqref="E8685">
    <cfRule type="cellIs" dxfId="238" priority="23" stopIfTrue="1" operator="lessThan">
      <formula>0</formula>
    </cfRule>
  </conditionalFormatting>
  <conditionalFormatting sqref="E8704:E8705">
    <cfRule type="cellIs" dxfId="237" priority="21" stopIfTrue="1" operator="lessThan">
      <formula>0</formula>
    </cfRule>
  </conditionalFormatting>
  <conditionalFormatting sqref="E8748">
    <cfRule type="cellIs" dxfId="236" priority="20" stopIfTrue="1" operator="lessThan">
      <formula>0</formula>
    </cfRule>
  </conditionalFormatting>
  <conditionalFormatting sqref="E8756">
    <cfRule type="cellIs" dxfId="235" priority="19" stopIfTrue="1" operator="lessThan">
      <formula>0</formula>
    </cfRule>
  </conditionalFormatting>
  <conditionalFormatting sqref="E8773">
    <cfRule type="cellIs" dxfId="234" priority="18" stopIfTrue="1" operator="lessThan">
      <formula>0</formula>
    </cfRule>
  </conditionalFormatting>
  <conditionalFormatting sqref="E8820">
    <cfRule type="cellIs" dxfId="233" priority="17" stopIfTrue="1" operator="lessThan">
      <formula>0</formula>
    </cfRule>
  </conditionalFormatting>
  <conditionalFormatting sqref="E8835">
    <cfRule type="cellIs" dxfId="232" priority="16" stopIfTrue="1" operator="lessThan">
      <formula>0</formula>
    </cfRule>
  </conditionalFormatting>
  <conditionalFormatting sqref="E8953">
    <cfRule type="cellIs" dxfId="231" priority="14" stopIfTrue="1" operator="lessThan">
      <formula>0</formula>
    </cfRule>
  </conditionalFormatting>
  <conditionalFormatting sqref="E9003:E9006">
    <cfRule type="cellIs" dxfId="230" priority="13" stopIfTrue="1" operator="lessThan">
      <formula>0</formula>
    </cfRule>
  </conditionalFormatting>
  <conditionalFormatting sqref="E9037">
    <cfRule type="cellIs" dxfId="229" priority="11" stopIfTrue="1" operator="lessThan">
      <formula>0</formula>
    </cfRule>
  </conditionalFormatting>
  <conditionalFormatting sqref="E9072">
    <cfRule type="cellIs" dxfId="228" priority="10" stopIfTrue="1" operator="lessThan">
      <formula>0</formula>
    </cfRule>
  </conditionalFormatting>
  <conditionalFormatting sqref="E9107">
    <cfRule type="cellIs" dxfId="227" priority="9" stopIfTrue="1" operator="lessThan">
      <formula>0</formula>
    </cfRule>
  </conditionalFormatting>
  <conditionalFormatting sqref="E9145">
    <cfRule type="cellIs" dxfId="226" priority="7" stopIfTrue="1" operator="lessThan">
      <formula>0</formula>
    </cfRule>
  </conditionalFormatting>
  <conditionalFormatting sqref="E9174">
    <cfRule type="cellIs" dxfId="225" priority="6" stopIfTrue="1" operator="lessThan">
      <formula>0</formula>
    </cfRule>
  </conditionalFormatting>
  <conditionalFormatting sqref="E9206">
    <cfRule type="cellIs" dxfId="224" priority="5" stopIfTrue="1" operator="lessThan">
      <formula>0</formula>
    </cfRule>
  </conditionalFormatting>
  <conditionalFormatting sqref="E9234">
    <cfRule type="cellIs" dxfId="223" priority="4" stopIfTrue="1" operator="lessThan">
      <formula>0</formula>
    </cfRule>
  </conditionalFormatting>
  <conditionalFormatting sqref="E9266">
    <cfRule type="cellIs" dxfId="222" priority="3" stopIfTrue="1" operator="lessThan">
      <formula>0</formula>
    </cfRule>
  </conditionalFormatting>
  <conditionalFormatting sqref="E9299">
    <cfRule type="cellIs" dxfId="221" priority="2" stopIfTrue="1" operator="lessThan">
      <formula>0</formula>
    </cfRule>
  </conditionalFormatting>
  <conditionalFormatting sqref="E9327">
    <cfRule type="cellIs" dxfId="220" priority="1" stopIfTrue="1" operator="lessThan">
      <formula>0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3F83-1E0F-4843-BA6E-00ADA385D83D}">
  <sheetPr codeName="Planilha18"/>
  <dimension ref="A1:G804"/>
  <sheetViews>
    <sheetView zoomScaleNormal="100" workbookViewId="0">
      <pane xSplit="7" ySplit="1" topLeftCell="H733" activePane="bottomRight" state="frozen"/>
      <selection pane="bottomRight" activeCell="B765" sqref="B765"/>
      <selection pane="bottomLeft" activeCell="A2" sqref="A2"/>
      <selection pane="topRight" activeCell="H1" sqref="H1"/>
    </sheetView>
  </sheetViews>
  <sheetFormatPr defaultColWidth="9" defaultRowHeight="13.5"/>
  <cols>
    <col min="1" max="1" width="13.7109375" style="3" bestFit="1" customWidth="1"/>
    <col min="2" max="2" width="21.42578125" style="3" customWidth="1"/>
    <col min="3" max="3" width="48.42578125" style="3" customWidth="1"/>
    <col min="4" max="4" width="16" style="3" customWidth="1"/>
    <col min="5" max="5" width="17" style="221" customWidth="1"/>
    <col min="6" max="6" width="16" style="3" bestFit="1" customWidth="1"/>
    <col min="7" max="7" width="9" style="3" bestFit="1" customWidth="1"/>
    <col min="8" max="16384" width="9" style="3"/>
  </cols>
  <sheetData>
    <row r="1" spans="1:7" ht="14.25" thickBot="1">
      <c r="A1" s="1758" t="s">
        <v>0</v>
      </c>
      <c r="B1" s="1758" t="s">
        <v>1</v>
      </c>
      <c r="C1" s="1759" t="s">
        <v>2</v>
      </c>
      <c r="D1" s="1760" t="s">
        <v>3</v>
      </c>
      <c r="E1" s="1761" t="s">
        <v>4</v>
      </c>
      <c r="F1" s="1762" t="s">
        <v>5</v>
      </c>
      <c r="G1" s="1566" t="s">
        <v>6</v>
      </c>
    </row>
    <row r="2" spans="1:7">
      <c r="A2" s="1754"/>
      <c r="B2" s="1748"/>
      <c r="C2" s="1740" t="s">
        <v>9752</v>
      </c>
      <c r="D2" s="51"/>
      <c r="E2" s="1043"/>
      <c r="F2" s="1656"/>
    </row>
    <row r="3" spans="1:7">
      <c r="A3" s="1754">
        <v>44946</v>
      </c>
      <c r="B3" s="1748" t="str">
        <f>TiposLancamentos!B77</f>
        <v>Esporádico</v>
      </c>
      <c r="C3" s="1740" t="s">
        <v>8</v>
      </c>
      <c r="D3" s="51">
        <v>0.01</v>
      </c>
      <c r="E3" s="1043"/>
      <c r="F3" s="1656"/>
      <c r="G3" s="1152" t="s">
        <v>9</v>
      </c>
    </row>
    <row r="4" spans="1:7">
      <c r="A4" s="1754">
        <v>44946</v>
      </c>
      <c r="B4" s="1748" t="str">
        <f>TiposLancamentos!B78</f>
        <v>Diferenças</v>
      </c>
      <c r="C4" s="1740" t="s">
        <v>8</v>
      </c>
      <c r="D4" s="51"/>
      <c r="E4" s="1043">
        <v>0.01</v>
      </c>
      <c r="F4" s="1656"/>
      <c r="G4" s="1152" t="s">
        <v>9</v>
      </c>
    </row>
    <row r="5" spans="1:7">
      <c r="A5" s="1756"/>
      <c r="B5" s="1749"/>
      <c r="C5" s="1741" t="s">
        <v>10</v>
      </c>
      <c r="D5" s="375"/>
      <c r="E5" s="1690"/>
      <c r="F5" s="1690"/>
      <c r="G5" s="1094" t="s">
        <v>11</v>
      </c>
    </row>
    <row r="6" spans="1:7" ht="14.25" thickBot="1">
      <c r="A6" s="1757"/>
      <c r="B6" s="1755"/>
      <c r="C6" s="1771" t="s">
        <v>1868</v>
      </c>
      <c r="D6" s="869"/>
      <c r="E6" s="1044"/>
      <c r="F6" s="1691"/>
    </row>
    <row r="7" spans="1:7">
      <c r="A7" s="1754"/>
      <c r="B7" s="1748"/>
      <c r="C7" s="1740" t="s">
        <v>9753</v>
      </c>
      <c r="D7" s="51"/>
      <c r="E7" s="1043"/>
      <c r="F7" s="1656"/>
    </row>
    <row r="8" spans="1:7">
      <c r="A8" s="1754"/>
      <c r="B8" s="1748"/>
      <c r="C8" s="1740" t="s">
        <v>1868</v>
      </c>
      <c r="D8" s="51"/>
      <c r="E8" s="1043"/>
      <c r="F8" s="1656"/>
    </row>
    <row r="9" spans="1:7">
      <c r="A9" s="1754">
        <v>44968</v>
      </c>
      <c r="B9" s="1748" t="str">
        <f>TiposLancamentos!B19</f>
        <v>Restaurantes</v>
      </c>
      <c r="C9" s="1740" t="s">
        <v>7508</v>
      </c>
      <c r="D9" s="51"/>
      <c r="E9" s="1043">
        <v>78.8</v>
      </c>
      <c r="F9" s="1656"/>
      <c r="G9" s="1152" t="s">
        <v>9</v>
      </c>
    </row>
    <row r="10" spans="1:7">
      <c r="A10" s="1754">
        <v>44968</v>
      </c>
      <c r="B10" s="1748" t="str">
        <f>TiposLancamentos!B33</f>
        <v>Pedágios</v>
      </c>
      <c r="C10" s="1740" t="s">
        <v>9754</v>
      </c>
      <c r="D10" s="51"/>
      <c r="E10" s="1043">
        <v>50</v>
      </c>
      <c r="F10" s="1656"/>
      <c r="G10" s="1152" t="s">
        <v>9</v>
      </c>
    </row>
    <row r="11" spans="1:7">
      <c r="A11" s="1754"/>
      <c r="B11" s="1748"/>
      <c r="C11" s="1740" t="s">
        <v>1868</v>
      </c>
      <c r="D11" s="51"/>
      <c r="E11" s="1043"/>
      <c r="F11" s="1656"/>
    </row>
    <row r="12" spans="1:7">
      <c r="A12" s="1756"/>
      <c r="B12" s="1749"/>
      <c r="C12" s="1741" t="s">
        <v>10</v>
      </c>
      <c r="D12" s="375"/>
      <c r="E12" s="1690"/>
      <c r="F12" s="1690"/>
      <c r="G12" s="1094" t="s">
        <v>11</v>
      </c>
    </row>
    <row r="13" spans="1:7" ht="14.25" thickBot="1">
      <c r="A13" s="1754"/>
      <c r="B13" s="1748"/>
      <c r="C13" s="1740" t="s">
        <v>1868</v>
      </c>
      <c r="D13" s="51"/>
      <c r="E13" s="1043"/>
      <c r="F13" s="1656"/>
    </row>
    <row r="14" spans="1:7">
      <c r="A14" s="1814"/>
      <c r="B14" s="1809"/>
      <c r="C14" s="1801">
        <v>44986</v>
      </c>
      <c r="D14" s="1873"/>
      <c r="E14" s="1042"/>
      <c r="F14" s="1945">
        <f>SUM(E5:E12)</f>
        <v>128.80000000000001</v>
      </c>
    </row>
    <row r="15" spans="1:7">
      <c r="A15" s="1754">
        <v>44986</v>
      </c>
      <c r="B15" s="1748" t="str">
        <f>TiposLancamentos!B15</f>
        <v>Cartões de Crédito</v>
      </c>
      <c r="C15" s="1740" t="s">
        <v>1874</v>
      </c>
      <c r="D15" s="51">
        <v>128.80000000000001</v>
      </c>
      <c r="E15" s="1043"/>
      <c r="F15" s="1656"/>
      <c r="G15" s="1152" t="s">
        <v>9</v>
      </c>
    </row>
    <row r="16" spans="1:7">
      <c r="A16" s="1754">
        <v>44986</v>
      </c>
      <c r="B16" s="1748" t="str">
        <f>TiposLancamentos!B102</f>
        <v>ESTORNO</v>
      </c>
      <c r="C16" s="1740" t="s">
        <v>9755</v>
      </c>
      <c r="D16" s="51"/>
      <c r="E16" s="1043">
        <v>128.80000000000001</v>
      </c>
      <c r="F16" s="1656"/>
      <c r="G16" s="1152" t="s">
        <v>9</v>
      </c>
    </row>
    <row r="17" spans="1:7">
      <c r="A17" s="1754">
        <v>45000</v>
      </c>
      <c r="B17" s="1748" t="str">
        <f>TiposLancamentos!B15</f>
        <v>Cartões de Crédito</v>
      </c>
      <c r="C17" s="1740" t="s">
        <v>8902</v>
      </c>
      <c r="D17" s="51">
        <v>19.32</v>
      </c>
      <c r="E17" s="1043"/>
      <c r="F17" s="1656"/>
      <c r="G17" s="1152" t="s">
        <v>9</v>
      </c>
    </row>
    <row r="18" spans="1:7">
      <c r="A18" s="1754">
        <v>45008</v>
      </c>
      <c r="B18" s="1748" t="str">
        <f>TiposLancamentos!B4</f>
        <v>Taxas Bancarias</v>
      </c>
      <c r="C18" s="1740" t="s">
        <v>9756</v>
      </c>
      <c r="D18" s="51"/>
      <c r="E18" s="1043">
        <v>15.94</v>
      </c>
      <c r="F18" s="1656"/>
      <c r="G18" s="1152" t="s">
        <v>9</v>
      </c>
    </row>
    <row r="19" spans="1:7">
      <c r="A19" s="1754">
        <v>45008</v>
      </c>
      <c r="B19" s="1748" t="str">
        <f>TiposLancamentos!B4</f>
        <v>Taxas Bancarias</v>
      </c>
      <c r="C19" s="1740" t="s">
        <v>9757</v>
      </c>
      <c r="D19" s="51"/>
      <c r="E19" s="1043">
        <v>2.58</v>
      </c>
      <c r="F19" s="1656"/>
      <c r="G19" s="1152" t="s">
        <v>9</v>
      </c>
    </row>
    <row r="20" spans="1:7">
      <c r="A20" s="1754">
        <v>45008</v>
      </c>
      <c r="B20" s="1748" t="str">
        <f>TiposLancamentos!B4</f>
        <v>Taxas Bancarias</v>
      </c>
      <c r="C20" s="1740" t="s">
        <v>9758</v>
      </c>
      <c r="D20" s="51"/>
      <c r="E20" s="1043">
        <v>0.56000000000000005</v>
      </c>
      <c r="F20" s="1656"/>
      <c r="G20" s="1152" t="s">
        <v>9</v>
      </c>
    </row>
    <row r="21" spans="1:7">
      <c r="A21" s="1754">
        <v>45008</v>
      </c>
      <c r="B21" s="1748" t="str">
        <f>TiposLancamentos!B4</f>
        <v>Taxas Bancarias</v>
      </c>
      <c r="C21" s="1740" t="s">
        <v>9759</v>
      </c>
      <c r="D21" s="51"/>
      <c r="E21" s="1043">
        <v>0.89</v>
      </c>
      <c r="F21" s="1656">
        <f>SUM(E18:E21)</f>
        <v>19.97</v>
      </c>
      <c r="G21" s="1152" t="s">
        <v>9</v>
      </c>
    </row>
    <row r="22" spans="1:7">
      <c r="A22" s="1756"/>
      <c r="B22" s="1749"/>
      <c r="C22" s="1741" t="s">
        <v>10</v>
      </c>
      <c r="D22" s="375"/>
      <c r="E22" s="1690"/>
      <c r="F22" s="1690"/>
      <c r="G22" s="1094" t="s">
        <v>11</v>
      </c>
    </row>
    <row r="23" spans="1:7">
      <c r="A23" s="1754">
        <v>45011</v>
      </c>
      <c r="B23" s="1748" t="str">
        <f>TiposLancamentos!B5</f>
        <v>Supermercado</v>
      </c>
      <c r="C23" s="1740" t="s">
        <v>2153</v>
      </c>
      <c r="D23" s="51"/>
      <c r="E23" s="1043">
        <v>32.049999999999997</v>
      </c>
      <c r="F23" s="1656"/>
      <c r="G23" s="1152" t="s">
        <v>9</v>
      </c>
    </row>
    <row r="24" spans="1:7">
      <c r="A24" s="1754">
        <v>45013</v>
      </c>
      <c r="B24" s="1748" t="str">
        <f>TiposLancamentos!B5</f>
        <v>Supermercado</v>
      </c>
      <c r="C24" s="1740" t="s">
        <v>9087</v>
      </c>
      <c r="D24" s="51"/>
      <c r="E24" s="1043">
        <v>191.5</v>
      </c>
      <c r="F24" s="1656"/>
      <c r="G24" s="1152" t="s">
        <v>9</v>
      </c>
    </row>
    <row r="25" spans="1:7">
      <c r="A25" s="1754">
        <v>45013</v>
      </c>
      <c r="B25" s="1748" t="str">
        <f>TiposLancamentos!B19</f>
        <v>Restaurantes</v>
      </c>
      <c r="C25" s="1740" t="s">
        <v>9760</v>
      </c>
      <c r="D25" s="51"/>
      <c r="E25" s="1043">
        <v>154.1</v>
      </c>
      <c r="F25" s="1656"/>
      <c r="G25" s="1152" t="s">
        <v>9</v>
      </c>
    </row>
    <row r="26" spans="1:7" ht="14.25" thickBot="1">
      <c r="A26" s="1757">
        <v>45014</v>
      </c>
      <c r="B26" s="1755" t="str">
        <f>TiposLancamentos!B56</f>
        <v>Farmácia</v>
      </c>
      <c r="C26" s="1771" t="s">
        <v>6715</v>
      </c>
      <c r="D26" s="869"/>
      <c r="E26" s="1044">
        <v>185.28</v>
      </c>
      <c r="F26" s="1691"/>
      <c r="G26" s="1152" t="s">
        <v>9</v>
      </c>
    </row>
    <row r="27" spans="1:7">
      <c r="A27" s="1754"/>
      <c r="B27" s="1748"/>
      <c r="C27" s="1802">
        <v>45017</v>
      </c>
      <c r="D27" s="51"/>
      <c r="E27" s="1043"/>
      <c r="F27" s="1656">
        <f>SUM(E12:E22)-D17</f>
        <v>129.45000000000002</v>
      </c>
    </row>
    <row r="28" spans="1:7">
      <c r="A28" s="1754">
        <v>45018</v>
      </c>
      <c r="B28" s="1748" t="str">
        <f>TiposLancamentos!B15</f>
        <v>Cartões de Crédito</v>
      </c>
      <c r="C28" s="1740" t="s">
        <v>1874</v>
      </c>
      <c r="D28" s="51">
        <v>129.44999999999999</v>
      </c>
      <c r="E28" s="1043"/>
      <c r="F28" s="1656">
        <f>F27-F14</f>
        <v>0.65000000000000568</v>
      </c>
      <c r="G28" s="1152" t="s">
        <v>9</v>
      </c>
    </row>
    <row r="29" spans="1:7">
      <c r="A29" s="1754">
        <v>45039</v>
      </c>
      <c r="B29" s="1748" t="str">
        <f>TiposLancamentos!B4</f>
        <v>Taxas Bancarias</v>
      </c>
      <c r="C29" s="1740" t="s">
        <v>9761</v>
      </c>
      <c r="D29" s="51"/>
      <c r="E29" s="1043">
        <v>0.78</v>
      </c>
      <c r="F29" s="1656"/>
      <c r="G29" s="1152" t="s">
        <v>9</v>
      </c>
    </row>
    <row r="30" spans="1:7">
      <c r="A30" s="1756"/>
      <c r="B30" s="1749"/>
      <c r="C30" s="1741" t="s">
        <v>10</v>
      </c>
      <c r="D30" s="375"/>
      <c r="E30" s="1690"/>
      <c r="F30" s="1690"/>
      <c r="G30" s="1094" t="s">
        <v>11</v>
      </c>
    </row>
    <row r="31" spans="1:7">
      <c r="A31" s="1754">
        <v>45040</v>
      </c>
      <c r="B31" s="1748" t="str">
        <f>TiposLancamentos!B26</f>
        <v>LIVROS</v>
      </c>
      <c r="C31" s="1740" t="s">
        <v>9762</v>
      </c>
      <c r="D31" s="51"/>
      <c r="E31" s="1043">
        <v>330.31</v>
      </c>
      <c r="F31" s="1656"/>
      <c r="G31" s="1094" t="s">
        <v>11</v>
      </c>
    </row>
    <row r="32" spans="1:7">
      <c r="A32" s="1754">
        <v>45040</v>
      </c>
      <c r="B32" s="1748" t="str">
        <f>TiposLancamentos!B4</f>
        <v>Taxas Bancarias</v>
      </c>
      <c r="C32" s="1740" t="s">
        <v>9763</v>
      </c>
      <c r="D32" s="51"/>
      <c r="E32" s="1043">
        <v>17.760000000000002</v>
      </c>
      <c r="F32" s="1656"/>
      <c r="G32" s="1094" t="s">
        <v>11</v>
      </c>
    </row>
    <row r="33" spans="1:7">
      <c r="A33" s="1754">
        <v>45042</v>
      </c>
      <c r="B33" s="1748" t="str">
        <f>TiposLancamentos!B57</f>
        <v>Informática</v>
      </c>
      <c r="C33" s="1740" t="s">
        <v>9764</v>
      </c>
      <c r="D33" s="51"/>
      <c r="E33" s="1043">
        <v>74</v>
      </c>
      <c r="F33" s="1656"/>
      <c r="G33" s="1152" t="s">
        <v>9</v>
      </c>
    </row>
    <row r="34" spans="1:7">
      <c r="A34" s="1754">
        <v>45044</v>
      </c>
      <c r="B34" s="1748" t="str">
        <f>TiposLancamentos!B33</f>
        <v>Pedágios</v>
      </c>
      <c r="C34" s="1740" t="s">
        <v>9765</v>
      </c>
      <c r="D34" s="51"/>
      <c r="E34" s="1043">
        <v>50</v>
      </c>
      <c r="F34" s="1656"/>
      <c r="G34" s="1152" t="s">
        <v>9</v>
      </c>
    </row>
    <row r="35" spans="1:7" ht="14.25" thickBot="1">
      <c r="A35" s="1754">
        <v>45044</v>
      </c>
      <c r="B35" s="1748" t="str">
        <f>TiposLancamentos!B33</f>
        <v>Pedágios</v>
      </c>
      <c r="C35" s="1740" t="s">
        <v>9765</v>
      </c>
      <c r="D35" s="51"/>
      <c r="E35" s="1043">
        <v>50</v>
      </c>
      <c r="F35" s="1656"/>
      <c r="G35" s="1152" t="s">
        <v>9</v>
      </c>
    </row>
    <row r="36" spans="1:7">
      <c r="A36" s="1814"/>
      <c r="B36" s="1809"/>
      <c r="C36" s="1801">
        <v>45047</v>
      </c>
      <c r="D36" s="1873"/>
      <c r="E36" s="1042"/>
      <c r="F36" s="1945">
        <f>SUM(E22:E30)</f>
        <v>563.70999999999992</v>
      </c>
    </row>
    <row r="37" spans="1:7">
      <c r="A37" s="1754">
        <v>45047</v>
      </c>
      <c r="B37" s="1748" t="str">
        <f>TiposLancamentos!B33</f>
        <v>Pedágios</v>
      </c>
      <c r="C37" s="1740" t="s">
        <v>9765</v>
      </c>
      <c r="D37" s="51"/>
      <c r="E37" s="1043">
        <v>50</v>
      </c>
      <c r="F37" s="1656">
        <f>F36-F27</f>
        <v>434.25999999999988</v>
      </c>
      <c r="G37" s="1152" t="s">
        <v>9</v>
      </c>
    </row>
    <row r="38" spans="1:7">
      <c r="A38" s="1754">
        <v>45047</v>
      </c>
      <c r="B38" s="1748" t="str">
        <f>TiposLancamentos!B15</f>
        <v>Cartões de Crédito</v>
      </c>
      <c r="C38" s="1740" t="s">
        <v>1874</v>
      </c>
      <c r="D38" s="51">
        <v>563.71</v>
      </c>
      <c r="E38" s="1043"/>
      <c r="F38" s="1656"/>
      <c r="G38" s="1152" t="s">
        <v>9</v>
      </c>
    </row>
    <row r="39" spans="1:7">
      <c r="A39" s="1754">
        <v>45059</v>
      </c>
      <c r="B39" s="1748" t="str">
        <f>B32</f>
        <v>Taxas Bancarias</v>
      </c>
      <c r="C39" s="1740" t="s">
        <v>9766</v>
      </c>
      <c r="D39" s="51"/>
      <c r="E39" s="1043">
        <v>0</v>
      </c>
      <c r="F39" s="1656">
        <v>53</v>
      </c>
      <c r="G39" s="1094" t="s">
        <v>11</v>
      </c>
    </row>
    <row r="40" spans="1:7">
      <c r="A40" s="1754">
        <v>45063</v>
      </c>
      <c r="B40" s="1748" t="str">
        <f>TiposLancamentos!B24</f>
        <v>Estacionamentos</v>
      </c>
      <c r="C40" s="1740" t="s">
        <v>9765</v>
      </c>
      <c r="D40" s="51"/>
      <c r="E40" s="1043">
        <v>50</v>
      </c>
      <c r="F40" s="1656"/>
      <c r="G40" s="1152" t="s">
        <v>9</v>
      </c>
    </row>
    <row r="41" spans="1:7">
      <c r="A41" s="1754"/>
      <c r="B41" s="1748"/>
      <c r="C41" s="1740" t="s">
        <v>1868</v>
      </c>
      <c r="D41" s="51"/>
      <c r="E41" s="1043"/>
      <c r="F41" s="1656"/>
    </row>
    <row r="42" spans="1:7">
      <c r="A42" s="1666">
        <v>45068</v>
      </c>
      <c r="B42" s="1666" t="str">
        <f>TiposLancamentos!B37</f>
        <v>Playstation 3</v>
      </c>
      <c r="C42" s="1742" t="s">
        <v>9767</v>
      </c>
      <c r="D42" s="747"/>
      <c r="E42" s="1733">
        <v>64.44</v>
      </c>
      <c r="F42" s="1346"/>
      <c r="G42" s="1152" t="s">
        <v>9</v>
      </c>
    </row>
    <row r="43" spans="1:7">
      <c r="A43" s="1667">
        <v>45068</v>
      </c>
      <c r="B43" s="1667" t="str">
        <f>TiposLancamentos!B37</f>
        <v>Playstation 3</v>
      </c>
      <c r="C43" s="1769" t="s">
        <v>9768</v>
      </c>
      <c r="D43" s="51"/>
      <c r="E43" s="1734">
        <v>139.88999999999999</v>
      </c>
      <c r="F43" s="1043"/>
      <c r="G43" s="1152" t="s">
        <v>9</v>
      </c>
    </row>
    <row r="44" spans="1:7">
      <c r="A44" s="1667">
        <v>45068</v>
      </c>
      <c r="B44" s="1667" t="str">
        <f>TiposLancamentos!B37</f>
        <v>Playstation 3</v>
      </c>
      <c r="C44" s="1769" t="s">
        <v>9769</v>
      </c>
      <c r="D44" s="51"/>
      <c r="E44" s="1734">
        <v>69.900000000000006</v>
      </c>
      <c r="F44" s="1043"/>
      <c r="G44" s="1152" t="s">
        <v>9</v>
      </c>
    </row>
    <row r="45" spans="1:7">
      <c r="A45" s="1667">
        <v>45068</v>
      </c>
      <c r="B45" s="1667" t="str">
        <f>TiposLancamentos!B37</f>
        <v>Playstation 3</v>
      </c>
      <c r="C45" s="1769" t="s">
        <v>9770</v>
      </c>
      <c r="D45" s="51"/>
      <c r="E45" s="1734">
        <v>90.89</v>
      </c>
      <c r="F45" s="1043"/>
      <c r="G45" s="1152" t="s">
        <v>9</v>
      </c>
    </row>
    <row r="46" spans="1:7">
      <c r="A46" s="1667">
        <v>45068</v>
      </c>
      <c r="B46" s="1667" t="str">
        <f>TiposLancamentos!B37</f>
        <v>Playstation 3</v>
      </c>
      <c r="C46" s="1769" t="s">
        <v>9771</v>
      </c>
      <c r="D46" s="51"/>
      <c r="E46" s="1734">
        <v>101.9</v>
      </c>
      <c r="F46" s="1043">
        <f>SUM(E42:E46)</f>
        <v>467.02</v>
      </c>
      <c r="G46" s="1152" t="s">
        <v>9</v>
      </c>
    </row>
    <row r="47" spans="1:7">
      <c r="A47" s="1750">
        <v>45068</v>
      </c>
      <c r="B47" s="1750" t="str">
        <f>TiposLancamentos!B60</f>
        <v>Correio</v>
      </c>
      <c r="C47" s="1743" t="s">
        <v>9772</v>
      </c>
      <c r="D47" s="849"/>
      <c r="E47" s="1668">
        <f>F47-F46</f>
        <v>14.75</v>
      </c>
      <c r="F47" s="1665">
        <v>481.77</v>
      </c>
      <c r="G47" s="1152" t="s">
        <v>9</v>
      </c>
    </row>
    <row r="48" spans="1:7">
      <c r="A48" s="1754"/>
      <c r="B48" s="1748"/>
      <c r="C48" s="1740" t="s">
        <v>1868</v>
      </c>
      <c r="D48" s="51"/>
      <c r="E48" s="1043"/>
      <c r="F48" s="1656"/>
    </row>
    <row r="49" spans="1:7">
      <c r="A49" s="1754">
        <v>45069</v>
      </c>
      <c r="B49" s="1748" t="str">
        <f>TiposLancamentos!B33</f>
        <v>Pedágios</v>
      </c>
      <c r="C49" s="1740" t="s">
        <v>9773</v>
      </c>
      <c r="D49" s="51"/>
      <c r="E49" s="1043">
        <v>176</v>
      </c>
      <c r="F49" s="1656"/>
      <c r="G49" s="1152" t="s">
        <v>9</v>
      </c>
    </row>
    <row r="50" spans="1:7">
      <c r="A50" s="1756"/>
      <c r="B50" s="1749"/>
      <c r="C50" s="1741" t="s">
        <v>10</v>
      </c>
      <c r="D50" s="375"/>
      <c r="E50" s="1690"/>
      <c r="F50" s="1690"/>
      <c r="G50" s="1094" t="s">
        <v>11</v>
      </c>
    </row>
    <row r="51" spans="1:7" ht="14.25" thickBot="1">
      <c r="A51" s="1757"/>
      <c r="B51" s="1755"/>
      <c r="C51" s="1771" t="s">
        <v>1868</v>
      </c>
      <c r="D51" s="869"/>
      <c r="E51" s="1044"/>
      <c r="F51" s="1691"/>
    </row>
    <row r="52" spans="1:7">
      <c r="A52" s="1814"/>
      <c r="B52" s="1809"/>
      <c r="C52" s="1801">
        <v>45078</v>
      </c>
      <c r="D52" s="1873"/>
      <c r="E52" s="1042"/>
      <c r="F52" s="1945">
        <f>SUM(E30:E50)</f>
        <v>1279.8399999999999</v>
      </c>
    </row>
    <row r="53" spans="1:7">
      <c r="A53" s="1754">
        <v>45078</v>
      </c>
      <c r="B53" s="1748" t="str">
        <f>TiposLancamentos!B15</f>
        <v>Cartões de Crédito</v>
      </c>
      <c r="C53" s="1740" t="s">
        <v>1874</v>
      </c>
      <c r="D53" s="51">
        <v>1279.8399999999999</v>
      </c>
      <c r="E53" s="1043"/>
      <c r="F53" s="1656">
        <f>F52-F36</f>
        <v>716.13</v>
      </c>
    </row>
    <row r="54" spans="1:7">
      <c r="A54" s="1754"/>
      <c r="B54" s="1748"/>
      <c r="C54" s="1740" t="s">
        <v>1868</v>
      </c>
      <c r="D54" s="51"/>
      <c r="E54" s="1043"/>
      <c r="F54" s="1656"/>
    </row>
    <row r="55" spans="1:7" ht="14.25" thickBot="1">
      <c r="A55" s="1949"/>
      <c r="B55" s="1948"/>
      <c r="C55" s="1947" t="s">
        <v>10</v>
      </c>
      <c r="D55" s="1946"/>
      <c r="E55" s="1944"/>
      <c r="F55" s="1944"/>
      <c r="G55" s="1094" t="s">
        <v>11</v>
      </c>
    </row>
    <row r="56" spans="1:7">
      <c r="A56" s="1814"/>
      <c r="B56" s="1809"/>
      <c r="C56" s="1801">
        <v>45108</v>
      </c>
      <c r="D56" s="1873"/>
      <c r="E56" s="1042"/>
      <c r="F56" s="1945">
        <f>SUM(E50:E55)</f>
        <v>0</v>
      </c>
    </row>
    <row r="57" spans="1:7">
      <c r="A57" s="1754">
        <v>45110</v>
      </c>
      <c r="B57" s="1748" t="str">
        <f>TiposLancamentos!B57</f>
        <v>Informática</v>
      </c>
      <c r="C57" s="1740" t="s">
        <v>9774</v>
      </c>
      <c r="D57" s="51"/>
      <c r="E57" s="1043">
        <v>32.5</v>
      </c>
      <c r="F57" s="1656">
        <f>F56-F52</f>
        <v>-1279.8399999999999</v>
      </c>
      <c r="G57" s="1152" t="s">
        <v>9</v>
      </c>
    </row>
    <row r="58" spans="1:7">
      <c r="A58" s="1756"/>
      <c r="B58" s="1749"/>
      <c r="C58" s="1741" t="s">
        <v>10</v>
      </c>
      <c r="D58" s="375"/>
      <c r="E58" s="1690"/>
      <c r="F58" s="1690"/>
      <c r="G58" s="1094" t="s">
        <v>11</v>
      </c>
    </row>
    <row r="59" spans="1:7" ht="14.25" thickBot="1">
      <c r="A59" s="1757"/>
      <c r="B59" s="1755"/>
      <c r="C59" s="1771" t="s">
        <v>1868</v>
      </c>
      <c r="D59" s="869"/>
      <c r="E59" s="1044"/>
      <c r="F59" s="1691">
        <f>SUM(E55:E58)</f>
        <v>32.5</v>
      </c>
    </row>
    <row r="60" spans="1:7">
      <c r="A60" s="1814"/>
      <c r="B60" s="1809"/>
      <c r="C60" s="1799" t="s">
        <v>1625</v>
      </c>
      <c r="D60" s="1873"/>
      <c r="E60" s="1042"/>
      <c r="F60" s="1945">
        <f>SUM(E55:E58)</f>
        <v>32.5</v>
      </c>
    </row>
    <row r="61" spans="1:7">
      <c r="A61" s="1754">
        <v>45139</v>
      </c>
      <c r="B61" s="1748" t="str">
        <f>TiposLancamentos!B15</f>
        <v>Cartões de Crédito</v>
      </c>
      <c r="C61" s="1740" t="s">
        <v>1874</v>
      </c>
      <c r="D61" s="51">
        <v>32.5</v>
      </c>
      <c r="E61" s="1043"/>
      <c r="F61" s="1656">
        <f>F59-F56</f>
        <v>32.5</v>
      </c>
    </row>
    <row r="62" spans="1:7">
      <c r="A62" s="1756"/>
      <c r="B62" s="1749"/>
      <c r="C62" s="1741" t="s">
        <v>10</v>
      </c>
      <c r="D62" s="375"/>
      <c r="E62" s="1690"/>
      <c r="F62" s="1690"/>
      <c r="G62" s="1094" t="s">
        <v>11</v>
      </c>
    </row>
    <row r="63" spans="1:7">
      <c r="A63" s="1754">
        <v>45211</v>
      </c>
      <c r="B63" s="1748" t="str">
        <f>TiposLancamentos!B33</f>
        <v>Pedágios</v>
      </c>
      <c r="C63" s="1740" t="s">
        <v>9765</v>
      </c>
      <c r="D63" s="51"/>
      <c r="E63" s="1043">
        <v>50</v>
      </c>
      <c r="F63" s="1656"/>
      <c r="G63" s="1152" t="s">
        <v>9</v>
      </c>
    </row>
    <row r="64" spans="1:7">
      <c r="A64" s="1754">
        <v>45211</v>
      </c>
      <c r="B64" s="1748" t="str">
        <f>TiposLancamentos!B33</f>
        <v>Pedágios</v>
      </c>
      <c r="C64" s="1740" t="s">
        <v>9765</v>
      </c>
      <c r="D64" s="51"/>
      <c r="E64" s="1043">
        <v>50</v>
      </c>
      <c r="F64" s="1656"/>
      <c r="G64" s="1152" t="s">
        <v>9</v>
      </c>
    </row>
    <row r="65" spans="1:7">
      <c r="A65" s="1754">
        <v>45214</v>
      </c>
      <c r="B65" s="1748" t="str">
        <f>TiposLancamentos!B33</f>
        <v>Pedágios</v>
      </c>
      <c r="C65" s="1740" t="s">
        <v>9765</v>
      </c>
      <c r="D65" s="51"/>
      <c r="E65" s="1043">
        <v>50</v>
      </c>
      <c r="F65" s="1656"/>
      <c r="G65" s="1152" t="s">
        <v>9</v>
      </c>
    </row>
    <row r="66" spans="1:7">
      <c r="A66" s="1756"/>
      <c r="B66" s="1749"/>
      <c r="C66" s="1741" t="s">
        <v>10</v>
      </c>
      <c r="D66" s="375"/>
      <c r="E66" s="1690"/>
      <c r="F66" s="1690"/>
      <c r="G66" s="1094" t="s">
        <v>11</v>
      </c>
    </row>
    <row r="67" spans="1:7" ht="14.25" thickBot="1">
      <c r="A67" s="1757"/>
      <c r="B67" s="1755"/>
      <c r="C67" s="1771" t="s">
        <v>1868</v>
      </c>
      <c r="D67" s="869"/>
      <c r="E67" s="1044"/>
      <c r="F67" s="1691">
        <f>SUM(E66:E66)</f>
        <v>0</v>
      </c>
    </row>
    <row r="68" spans="1:7">
      <c r="A68" s="1814"/>
      <c r="B68" s="1809"/>
      <c r="C68" s="1799" t="s">
        <v>1628</v>
      </c>
      <c r="D68" s="1873"/>
      <c r="E68" s="1042"/>
      <c r="F68" s="1945">
        <f>SUM(E62:E66)</f>
        <v>150</v>
      </c>
    </row>
    <row r="69" spans="1:7">
      <c r="A69" s="1754">
        <v>45231</v>
      </c>
      <c r="B69" s="1748" t="str">
        <f>TiposLancamentos!B15</f>
        <v>Cartões de Crédito</v>
      </c>
      <c r="C69" s="1740" t="s">
        <v>1874</v>
      </c>
      <c r="D69" s="51">
        <v>150</v>
      </c>
      <c r="E69" s="1043"/>
      <c r="F69" s="1656"/>
      <c r="G69" s="1152" t="s">
        <v>9</v>
      </c>
    </row>
    <row r="70" spans="1:7">
      <c r="A70" s="1754">
        <v>45250</v>
      </c>
      <c r="B70" s="1748" t="str">
        <f>TiposLancamentos!B24</f>
        <v>Estacionamentos</v>
      </c>
      <c r="C70" s="1740" t="s">
        <v>9765</v>
      </c>
      <c r="D70" s="51"/>
      <c r="E70" s="1043">
        <v>50</v>
      </c>
      <c r="F70" s="1656"/>
      <c r="G70" s="1152" t="s">
        <v>9</v>
      </c>
    </row>
    <row r="71" spans="1:7">
      <c r="A71" s="1756"/>
      <c r="B71" s="1749"/>
      <c r="C71" s="1741" t="s">
        <v>10</v>
      </c>
      <c r="D71" s="375"/>
      <c r="E71" s="1690"/>
      <c r="F71" s="1690"/>
      <c r="G71" s="1094" t="s">
        <v>11</v>
      </c>
    </row>
    <row r="72" spans="1:7" ht="14.25" thickBot="1">
      <c r="A72" s="1757"/>
      <c r="B72" s="1755"/>
      <c r="C72" s="1771" t="s">
        <v>1868</v>
      </c>
      <c r="D72" s="869"/>
      <c r="E72" s="1044"/>
      <c r="F72" s="1691">
        <f>SUM(E71:E71)</f>
        <v>0</v>
      </c>
    </row>
    <row r="73" spans="1:7">
      <c r="A73" s="1814"/>
      <c r="B73" s="1809"/>
      <c r="C73" s="1799" t="s">
        <v>1629</v>
      </c>
      <c r="D73" s="1873"/>
      <c r="E73" s="1042"/>
      <c r="F73" s="1945">
        <f>SUM(E66:E71)</f>
        <v>50</v>
      </c>
    </row>
    <row r="74" spans="1:7">
      <c r="A74" s="1754">
        <v>45261</v>
      </c>
      <c r="B74" s="1748" t="str">
        <f>TiposLancamentos!B15</f>
        <v>Cartões de Crédito</v>
      </c>
      <c r="C74" s="1740" t="s">
        <v>1874</v>
      </c>
      <c r="D74" s="51">
        <v>50</v>
      </c>
      <c r="E74" s="1043"/>
      <c r="F74" s="1656">
        <f>F73-F68</f>
        <v>-100</v>
      </c>
      <c r="G74" s="1152" t="s">
        <v>9</v>
      </c>
    </row>
    <row r="75" spans="1:7">
      <c r="A75" s="1754">
        <v>45276</v>
      </c>
      <c r="B75" s="1748" t="str">
        <f>TiposLancamentos!B33</f>
        <v>Pedágios</v>
      </c>
      <c r="C75" s="1740" t="s">
        <v>9765</v>
      </c>
      <c r="D75" s="51"/>
      <c r="E75" s="1043">
        <v>50</v>
      </c>
      <c r="F75" s="1656"/>
      <c r="G75" s="1152" t="s">
        <v>9</v>
      </c>
    </row>
    <row r="76" spans="1:7">
      <c r="A76" s="1754">
        <v>45276</v>
      </c>
      <c r="B76" s="1748" t="str">
        <f>TiposLancamentos!B33</f>
        <v>Pedágios</v>
      </c>
      <c r="C76" s="1740" t="s">
        <v>9765</v>
      </c>
      <c r="D76" s="51"/>
      <c r="E76" s="1043">
        <v>50</v>
      </c>
      <c r="F76" s="1656"/>
      <c r="G76" s="1152" t="s">
        <v>9</v>
      </c>
    </row>
    <row r="77" spans="1:7">
      <c r="A77" s="1754">
        <v>45277</v>
      </c>
      <c r="B77" s="1748" t="str">
        <f>TiposLancamentos!B33</f>
        <v>Pedágios</v>
      </c>
      <c r="C77" s="1740" t="s">
        <v>9765</v>
      </c>
      <c r="D77" s="51"/>
      <c r="E77" s="1043">
        <v>50</v>
      </c>
      <c r="F77" s="1656"/>
      <c r="G77" s="1152" t="s">
        <v>9</v>
      </c>
    </row>
    <row r="78" spans="1:7">
      <c r="A78" s="1756"/>
      <c r="B78" s="1749"/>
      <c r="C78" s="1741" t="s">
        <v>10</v>
      </c>
      <c r="D78" s="375"/>
      <c r="E78" s="1690"/>
      <c r="F78" s="1690"/>
      <c r="G78" s="1094" t="s">
        <v>11</v>
      </c>
    </row>
    <row r="79" spans="1:7" ht="14.25" thickBot="1">
      <c r="A79" s="1754"/>
      <c r="B79" s="1748"/>
      <c r="C79" s="1740" t="s">
        <v>1868</v>
      </c>
      <c r="D79" s="51"/>
      <c r="E79" s="1043"/>
      <c r="F79" s="1656"/>
    </row>
    <row r="80" spans="1:7">
      <c r="A80" s="1814"/>
      <c r="B80" s="1809"/>
      <c r="C80" s="1799" t="s">
        <v>1630</v>
      </c>
      <c r="D80" s="1873"/>
      <c r="E80" s="1042"/>
      <c r="F80" s="1945">
        <f>SUM(E71:E78)</f>
        <v>150</v>
      </c>
    </row>
    <row r="81" spans="1:7">
      <c r="A81" s="1754">
        <v>45292</v>
      </c>
      <c r="B81" s="1748" t="str">
        <f>TiposLancamentos!B15</f>
        <v>Cartões de Crédito</v>
      </c>
      <c r="C81" s="1740" t="s">
        <v>1874</v>
      </c>
      <c r="D81" s="51">
        <v>150</v>
      </c>
      <c r="E81" s="1043"/>
      <c r="F81" s="1656">
        <f>F80-F73</f>
        <v>100</v>
      </c>
      <c r="G81" s="1152" t="s">
        <v>9</v>
      </c>
    </row>
    <row r="82" spans="1:7">
      <c r="A82" s="1754">
        <v>45297</v>
      </c>
      <c r="B82" s="1748" t="str">
        <f>TiposLancamentos!B24</f>
        <v>Estacionamentos</v>
      </c>
      <c r="C82" s="1740" t="s">
        <v>9765</v>
      </c>
      <c r="D82" s="51"/>
      <c r="E82" s="1043">
        <v>50</v>
      </c>
      <c r="F82" s="1656"/>
      <c r="G82" s="1152" t="s">
        <v>9</v>
      </c>
    </row>
    <row r="83" spans="1:7">
      <c r="A83" s="1756"/>
      <c r="B83" s="1749"/>
      <c r="C83" s="1741" t="s">
        <v>10</v>
      </c>
      <c r="D83" s="375"/>
      <c r="E83" s="1690"/>
      <c r="F83" s="1690"/>
      <c r="G83" s="1094" t="s">
        <v>11</v>
      </c>
    </row>
    <row r="84" spans="1:7">
      <c r="A84" s="1754">
        <v>45316</v>
      </c>
      <c r="B84" s="1748" t="str">
        <f>TiposLancamentos!B33</f>
        <v>Pedágios</v>
      </c>
      <c r="C84" s="1740" t="s">
        <v>9765</v>
      </c>
      <c r="D84" s="51"/>
      <c r="E84" s="1043">
        <v>50</v>
      </c>
      <c r="F84" s="1656"/>
      <c r="G84" s="1152" t="s">
        <v>9</v>
      </c>
    </row>
    <row r="85" spans="1:7">
      <c r="A85" s="1754">
        <v>45319</v>
      </c>
      <c r="B85" s="1748" t="str">
        <f>TiposLancamentos!B33</f>
        <v>Pedágios</v>
      </c>
      <c r="C85" s="1740" t="s">
        <v>9765</v>
      </c>
      <c r="D85" s="51"/>
      <c r="E85" s="1043">
        <v>50</v>
      </c>
      <c r="F85" s="1656"/>
      <c r="G85" s="1152" t="s">
        <v>9</v>
      </c>
    </row>
    <row r="86" spans="1:7" ht="14.25" thickBot="1">
      <c r="A86" s="1757">
        <v>45319</v>
      </c>
      <c r="B86" s="1755" t="str">
        <f>TiposLancamentos!B33</f>
        <v>Pedágios</v>
      </c>
      <c r="C86" s="1771" t="s">
        <v>9765</v>
      </c>
      <c r="D86" s="869"/>
      <c r="E86" s="1044">
        <v>50</v>
      </c>
      <c r="F86" s="1691"/>
      <c r="G86" s="1152" t="s">
        <v>9</v>
      </c>
    </row>
    <row r="87" spans="1:7">
      <c r="A87" s="1754"/>
      <c r="B87" s="1748"/>
      <c r="C87" s="1740" t="s">
        <v>1631</v>
      </c>
      <c r="D87" s="51"/>
      <c r="E87" s="1043"/>
      <c r="F87" s="1656">
        <f>SUM(E78:E83)</f>
        <v>50</v>
      </c>
    </row>
    <row r="88" spans="1:7">
      <c r="A88" s="1754">
        <v>45323</v>
      </c>
      <c r="B88" s="1748" t="str">
        <f>TiposLancamentos!B15</f>
        <v>Cartões de Crédito</v>
      </c>
      <c r="C88" s="1740" t="s">
        <v>1874</v>
      </c>
      <c r="D88" s="51">
        <v>50</v>
      </c>
      <c r="E88" s="1043"/>
      <c r="F88" s="1656">
        <f>F80-F87</f>
        <v>100</v>
      </c>
      <c r="G88" s="1152" t="s">
        <v>9</v>
      </c>
    </row>
    <row r="89" spans="1:7">
      <c r="A89" s="1754">
        <v>45333</v>
      </c>
      <c r="B89" s="1748" t="str">
        <f>TiposLancamentos!B33</f>
        <v>Pedágios</v>
      </c>
      <c r="C89" s="1740" t="s">
        <v>9765</v>
      </c>
      <c r="D89" s="51"/>
      <c r="E89" s="1043">
        <v>50</v>
      </c>
      <c r="F89" s="1656"/>
      <c r="G89" s="1152" t="s">
        <v>9</v>
      </c>
    </row>
    <row r="90" spans="1:7">
      <c r="A90" s="1754">
        <v>45333</v>
      </c>
      <c r="B90" s="1748" t="str">
        <f>TiposLancamentos!B33</f>
        <v>Pedágios</v>
      </c>
      <c r="C90" s="1740" t="s">
        <v>9765</v>
      </c>
      <c r="D90" s="51"/>
      <c r="E90" s="1043">
        <v>50</v>
      </c>
      <c r="F90" s="1656"/>
      <c r="G90" s="1152" t="s">
        <v>9</v>
      </c>
    </row>
    <row r="91" spans="1:7">
      <c r="A91" s="1754">
        <v>45336</v>
      </c>
      <c r="B91" s="1748" t="str">
        <f>TiposLancamentos!B33</f>
        <v>Pedágios</v>
      </c>
      <c r="C91" s="1740" t="s">
        <v>9765</v>
      </c>
      <c r="D91" s="51"/>
      <c r="E91" s="1043">
        <v>50</v>
      </c>
      <c r="F91" s="1656"/>
      <c r="G91" s="1152" t="s">
        <v>9</v>
      </c>
    </row>
    <row r="92" spans="1:7">
      <c r="A92" s="1756"/>
      <c r="B92" s="1749"/>
      <c r="C92" s="1741" t="s">
        <v>10</v>
      </c>
      <c r="D92" s="375"/>
      <c r="E92" s="1690"/>
      <c r="F92" s="1690"/>
      <c r="G92" s="1094" t="s">
        <v>11</v>
      </c>
    </row>
    <row r="93" spans="1:7" ht="14.25" thickBot="1">
      <c r="A93" s="1754"/>
      <c r="B93" s="1748"/>
      <c r="C93" s="1740" t="s">
        <v>1868</v>
      </c>
      <c r="D93" s="51"/>
      <c r="E93" s="1043"/>
      <c r="F93" s="1656"/>
    </row>
    <row r="94" spans="1:7">
      <c r="A94" s="1814"/>
      <c r="B94" s="1809"/>
      <c r="C94" s="1799" t="s">
        <v>1632</v>
      </c>
      <c r="D94" s="1873"/>
      <c r="E94" s="1042"/>
      <c r="F94" s="1945">
        <f>SUM(E83:E92)</f>
        <v>300</v>
      </c>
    </row>
    <row r="95" spans="1:7">
      <c r="A95" s="1754">
        <v>45352</v>
      </c>
      <c r="B95" s="1748" t="str">
        <f>TiposLancamentos!B15</f>
        <v>Cartões de Crédito</v>
      </c>
      <c r="C95" s="1740" t="s">
        <v>1874</v>
      </c>
      <c r="D95" s="51">
        <v>300</v>
      </c>
      <c r="E95" s="1043"/>
      <c r="F95" s="1656">
        <f>F94-F87</f>
        <v>250</v>
      </c>
    </row>
    <row r="96" spans="1:7">
      <c r="A96" s="1756"/>
      <c r="B96" s="1749"/>
      <c r="C96" s="1741" t="s">
        <v>10</v>
      </c>
      <c r="D96" s="375"/>
      <c r="E96" s="1690"/>
      <c r="F96" s="1690"/>
      <c r="G96" s="1094" t="s">
        <v>11</v>
      </c>
    </row>
    <row r="97" spans="1:7" ht="14.25" thickBot="1">
      <c r="A97" s="1757"/>
      <c r="B97" s="1755"/>
      <c r="C97" s="1771" t="s">
        <v>1868</v>
      </c>
      <c r="D97" s="869"/>
      <c r="E97" s="1044"/>
      <c r="F97" s="1691"/>
    </row>
    <row r="98" spans="1:7">
      <c r="A98" s="1754"/>
      <c r="B98" s="1748"/>
      <c r="C98" s="1740" t="s">
        <v>1633</v>
      </c>
      <c r="D98" s="51"/>
      <c r="E98" s="1043"/>
      <c r="F98" s="1656">
        <f>SUM(E92:E96)</f>
        <v>0</v>
      </c>
    </row>
    <row r="99" spans="1:7">
      <c r="A99" s="1754">
        <v>45383</v>
      </c>
      <c r="B99" s="1748" t="str">
        <f>TiposLancamentos!B15</f>
        <v>Cartões de Crédito</v>
      </c>
      <c r="C99" s="1740" t="s">
        <v>1874</v>
      </c>
      <c r="D99" s="51">
        <v>0</v>
      </c>
      <c r="E99" s="1043"/>
      <c r="F99" s="1656">
        <f>F98-F94</f>
        <v>-300</v>
      </c>
    </row>
    <row r="100" spans="1:7">
      <c r="A100" s="1754">
        <v>45403</v>
      </c>
      <c r="B100" s="1748" t="str">
        <f>TiposLancamentos!B33</f>
        <v>Pedágios</v>
      </c>
      <c r="C100" s="1740" t="s">
        <v>9775</v>
      </c>
      <c r="D100" s="51"/>
      <c r="E100" s="1043">
        <v>50</v>
      </c>
      <c r="F100" s="1656"/>
      <c r="G100" s="1152" t="s">
        <v>9</v>
      </c>
    </row>
    <row r="101" spans="1:7">
      <c r="A101" s="1756"/>
      <c r="B101" s="1749"/>
      <c r="C101" s="1741" t="s">
        <v>10</v>
      </c>
      <c r="D101" s="375"/>
      <c r="E101" s="1690"/>
      <c r="F101" s="1690"/>
      <c r="G101" s="1094" t="s">
        <v>11</v>
      </c>
    </row>
    <row r="102" spans="1:7">
      <c r="A102" s="1754"/>
      <c r="B102" s="1748"/>
      <c r="C102" s="1740" t="s">
        <v>1868</v>
      </c>
      <c r="D102" s="51"/>
      <c r="E102" s="1043"/>
      <c r="F102" s="1656"/>
    </row>
    <row r="103" spans="1:7">
      <c r="A103" s="1754"/>
      <c r="B103" s="1748"/>
      <c r="C103" s="1740" t="s">
        <v>1634</v>
      </c>
      <c r="D103" s="51"/>
      <c r="E103" s="1043"/>
      <c r="F103" s="1656">
        <f>SUM(E96:E101)</f>
        <v>50</v>
      </c>
    </row>
    <row r="104" spans="1:7">
      <c r="A104" s="1754">
        <v>45413</v>
      </c>
      <c r="B104" s="1748" t="str">
        <f>TiposLancamentos!B33</f>
        <v>Pedágios</v>
      </c>
      <c r="C104" s="1740" t="s">
        <v>9775</v>
      </c>
      <c r="D104" s="51"/>
      <c r="E104" s="1043">
        <v>50</v>
      </c>
      <c r="F104" s="1656"/>
      <c r="G104" s="1152" t="s">
        <v>9</v>
      </c>
    </row>
    <row r="105" spans="1:7">
      <c r="A105" s="1754">
        <v>45413</v>
      </c>
      <c r="B105" s="1748" t="str">
        <f>TiposLancamentos!B15</f>
        <v>Cartões de Crédito</v>
      </c>
      <c r="C105" s="1740" t="s">
        <v>1874</v>
      </c>
      <c r="D105" s="51">
        <v>50</v>
      </c>
      <c r="E105" s="1043"/>
      <c r="F105" s="1656">
        <f>F103-F98</f>
        <v>50</v>
      </c>
      <c r="G105" s="1152" t="s">
        <v>9</v>
      </c>
    </row>
    <row r="106" spans="1:7">
      <c r="A106" s="1754">
        <v>45417</v>
      </c>
      <c r="B106" s="1748" t="str">
        <f>TiposLancamentos!B33</f>
        <v>Pedágios</v>
      </c>
      <c r="C106" s="1740" t="s">
        <v>9775</v>
      </c>
      <c r="D106" s="51"/>
      <c r="E106" s="1043">
        <v>50</v>
      </c>
      <c r="F106" s="1656"/>
      <c r="G106" s="1152" t="s">
        <v>9</v>
      </c>
    </row>
    <row r="107" spans="1:7">
      <c r="A107" s="1754">
        <v>45417</v>
      </c>
      <c r="B107" s="1748" t="str">
        <f>TiposLancamentos!B33</f>
        <v>Pedágios</v>
      </c>
      <c r="C107" s="1740" t="s">
        <v>9775</v>
      </c>
      <c r="D107" s="51"/>
      <c r="E107" s="1043">
        <v>50</v>
      </c>
      <c r="F107" s="1656"/>
      <c r="G107" s="1152" t="s">
        <v>9</v>
      </c>
    </row>
    <row r="108" spans="1:7">
      <c r="A108" s="1756"/>
      <c r="B108" s="1749"/>
      <c r="C108" s="1741" t="s">
        <v>10</v>
      </c>
      <c r="D108" s="375"/>
      <c r="E108" s="1690"/>
      <c r="F108" s="1690"/>
      <c r="G108" s="1094" t="s">
        <v>11</v>
      </c>
    </row>
    <row r="109" spans="1:7" ht="14.25" thickBot="1">
      <c r="A109" s="1754"/>
      <c r="B109" s="1748"/>
      <c r="C109" s="1740" t="s">
        <v>1868</v>
      </c>
      <c r="D109" s="51"/>
      <c r="E109" s="1043"/>
      <c r="F109" s="1656"/>
    </row>
    <row r="110" spans="1:7">
      <c r="A110" s="1814"/>
      <c r="B110" s="1809"/>
      <c r="C110" s="1799" t="s">
        <v>1635</v>
      </c>
      <c r="D110" s="1873"/>
      <c r="E110" s="1042"/>
      <c r="F110" s="1945">
        <f>SUM(E101:E108)</f>
        <v>150</v>
      </c>
    </row>
    <row r="111" spans="1:7">
      <c r="A111" s="1754">
        <v>45445</v>
      </c>
      <c r="B111" s="1748" t="str">
        <f>TiposLancamentos!B15</f>
        <v>Cartões de Crédito</v>
      </c>
      <c r="C111" s="1740" t="s">
        <v>1874</v>
      </c>
      <c r="D111" s="51">
        <v>150</v>
      </c>
      <c r="E111" s="1043"/>
      <c r="F111" s="1656">
        <f>F110-F103</f>
        <v>100</v>
      </c>
      <c r="G111" s="1152" t="s">
        <v>9</v>
      </c>
    </row>
    <row r="112" spans="1:7">
      <c r="A112" s="1754"/>
      <c r="B112" s="1748"/>
      <c r="C112" s="1740" t="s">
        <v>1868</v>
      </c>
      <c r="D112" s="51"/>
      <c r="E112" s="1043"/>
      <c r="F112" s="1656"/>
    </row>
    <row r="113" spans="1:7">
      <c r="A113" s="1756"/>
      <c r="B113" s="1749"/>
      <c r="C113" s="1741" t="s">
        <v>10</v>
      </c>
      <c r="D113" s="375"/>
      <c r="E113" s="1690"/>
      <c r="F113" s="1690"/>
      <c r="G113" s="1094" t="s">
        <v>11</v>
      </c>
    </row>
    <row r="114" spans="1:7">
      <c r="A114" s="1754"/>
      <c r="B114" s="1748"/>
      <c r="C114" s="1740" t="s">
        <v>1868</v>
      </c>
      <c r="D114" s="51"/>
      <c r="E114" s="1043"/>
      <c r="F114" s="1656"/>
    </row>
    <row r="115" spans="1:7" ht="14.25" thickBot="1">
      <c r="A115" s="1754">
        <v>45466</v>
      </c>
      <c r="B115" s="1748" t="str">
        <f>TiposLancamentos!B33</f>
        <v>Pedágios</v>
      </c>
      <c r="C115" s="1740" t="s">
        <v>9776</v>
      </c>
      <c r="D115" s="51"/>
      <c r="E115" s="1043">
        <v>50</v>
      </c>
      <c r="F115" s="1656"/>
      <c r="G115" s="1152" t="s">
        <v>9</v>
      </c>
    </row>
    <row r="116" spans="1:7">
      <c r="A116" s="1814"/>
      <c r="B116" s="1809"/>
      <c r="C116" s="1799" t="s">
        <v>1636</v>
      </c>
      <c r="D116" s="1873"/>
      <c r="E116" s="1042"/>
      <c r="F116" s="1945">
        <f>SUM(E108:E113)</f>
        <v>0</v>
      </c>
    </row>
    <row r="117" spans="1:7">
      <c r="A117" s="1754">
        <v>45474</v>
      </c>
      <c r="B117" s="1748" t="str">
        <f>TiposLancamentos!B15</f>
        <v>Cartões de Crédito</v>
      </c>
      <c r="C117" s="1740" t="s">
        <v>1874</v>
      </c>
      <c r="D117" s="51">
        <v>0</v>
      </c>
      <c r="E117" s="1043"/>
      <c r="F117" s="1656"/>
    </row>
    <row r="118" spans="1:7">
      <c r="A118" s="1754">
        <v>45494</v>
      </c>
      <c r="B118" s="1748" t="str">
        <f>TiposLancamentos!B33</f>
        <v>Pedágios</v>
      </c>
      <c r="C118" s="1740" t="s">
        <v>9776</v>
      </c>
      <c r="D118" s="51"/>
      <c r="E118" s="1043">
        <v>50</v>
      </c>
      <c r="F118" s="1656"/>
      <c r="G118" s="1152" t="s">
        <v>9</v>
      </c>
    </row>
    <row r="119" spans="1:7">
      <c r="A119" s="1756"/>
      <c r="B119" s="1749"/>
      <c r="C119" s="1741" t="s">
        <v>10</v>
      </c>
      <c r="D119" s="375"/>
      <c r="E119" s="1690"/>
      <c r="F119" s="1690"/>
      <c r="G119" s="1094" t="s">
        <v>11</v>
      </c>
    </row>
    <row r="120" spans="1:7">
      <c r="A120" s="1754">
        <v>45497</v>
      </c>
      <c r="B120" s="1748" t="str">
        <f>TiposLancamentos!B33</f>
        <v>Pedágios</v>
      </c>
      <c r="C120" s="1740" t="s">
        <v>9776</v>
      </c>
      <c r="D120" s="51"/>
      <c r="E120" s="1043">
        <v>50</v>
      </c>
      <c r="F120" s="1656"/>
    </row>
    <row r="121" spans="1:7" ht="14.25" thickBot="1">
      <c r="A121" s="1754">
        <v>45497</v>
      </c>
      <c r="B121" s="1748" t="str">
        <f>TiposLancamentos!B33</f>
        <v>Pedágios</v>
      </c>
      <c r="C121" s="1740" t="s">
        <v>9776</v>
      </c>
      <c r="D121" s="51"/>
      <c r="E121" s="1043">
        <v>50</v>
      </c>
      <c r="F121" s="1656"/>
    </row>
    <row r="122" spans="1:7">
      <c r="A122" s="1814"/>
      <c r="B122" s="1809"/>
      <c r="C122" s="1799" t="s">
        <v>1637</v>
      </c>
      <c r="D122" s="1873"/>
      <c r="E122" s="1042"/>
      <c r="F122" s="1945">
        <f>SUM(E114:E119)</f>
        <v>100</v>
      </c>
      <c r="G122" s="1152" t="s">
        <v>9</v>
      </c>
    </row>
    <row r="123" spans="1:7">
      <c r="A123" s="1754">
        <v>45505</v>
      </c>
      <c r="B123" s="1748" t="str">
        <f>TiposLancamentos!B15</f>
        <v>Cartões de Crédito</v>
      </c>
      <c r="C123" s="1740" t="s">
        <v>1874</v>
      </c>
      <c r="D123" s="51">
        <v>100</v>
      </c>
      <c r="E123" s="1043"/>
      <c r="F123" s="1656"/>
    </row>
    <row r="124" spans="1:7">
      <c r="A124" s="1756"/>
      <c r="B124" s="1749"/>
      <c r="C124" s="1741" t="s">
        <v>10</v>
      </c>
      <c r="D124" s="375"/>
      <c r="E124" s="1690"/>
      <c r="F124" s="1690"/>
      <c r="G124" s="1094" t="s">
        <v>11</v>
      </c>
    </row>
    <row r="125" spans="1:7" ht="14.25" thickBot="1">
      <c r="A125" s="1757"/>
      <c r="B125" s="1755"/>
      <c r="C125" s="1771" t="s">
        <v>1868</v>
      </c>
      <c r="D125" s="869"/>
      <c r="E125" s="1044"/>
      <c r="F125" s="1691"/>
    </row>
    <row r="126" spans="1:7">
      <c r="A126" s="1754"/>
      <c r="B126" s="1748"/>
      <c r="C126" s="1740" t="s">
        <v>1638</v>
      </c>
      <c r="D126" s="51"/>
      <c r="E126" s="1043"/>
      <c r="F126" s="1656">
        <f>SUM(E119:E124)</f>
        <v>100</v>
      </c>
    </row>
    <row r="127" spans="1:7">
      <c r="A127" s="1754">
        <v>45536</v>
      </c>
      <c r="B127" s="1748" t="str">
        <f>TiposLancamentos!B15</f>
        <v>Cartões de Crédito</v>
      </c>
      <c r="C127" s="1740" t="s">
        <v>1874</v>
      </c>
      <c r="D127" s="51">
        <v>100</v>
      </c>
      <c r="E127" s="1043"/>
      <c r="F127" s="1656"/>
      <c r="G127" s="1152" t="s">
        <v>9</v>
      </c>
    </row>
    <row r="128" spans="1:7">
      <c r="A128" s="1754">
        <v>45551</v>
      </c>
      <c r="B128" s="1748" t="str">
        <f>TiposLancamentos!B33</f>
        <v>Pedágios</v>
      </c>
      <c r="C128" s="1740" t="s">
        <v>9776</v>
      </c>
      <c r="D128" s="51"/>
      <c r="E128" s="1043">
        <v>50</v>
      </c>
      <c r="F128" s="1656"/>
      <c r="G128" s="1152" t="s">
        <v>9</v>
      </c>
    </row>
    <row r="129" spans="1:7">
      <c r="A129" s="1756"/>
      <c r="B129" s="1749"/>
      <c r="C129" s="1741" t="s">
        <v>10</v>
      </c>
      <c r="D129" s="375"/>
      <c r="E129" s="1690"/>
      <c r="F129" s="1690"/>
      <c r="G129" s="1094" t="s">
        <v>11</v>
      </c>
    </row>
    <row r="130" spans="1:7" ht="14.25" thickBot="1">
      <c r="A130" s="1757"/>
      <c r="B130" s="1755"/>
      <c r="C130" s="1771" t="s">
        <v>1868</v>
      </c>
      <c r="D130" s="869"/>
      <c r="E130" s="1044"/>
      <c r="F130" s="1691"/>
    </row>
    <row r="131" spans="1:7">
      <c r="A131" s="1754"/>
      <c r="B131" s="1748"/>
      <c r="C131" s="1740" t="s">
        <v>1639</v>
      </c>
      <c r="D131" s="51"/>
      <c r="E131" s="1043"/>
      <c r="F131" s="1656">
        <f>SUM(E124:E129)</f>
        <v>50</v>
      </c>
    </row>
    <row r="132" spans="1:7">
      <c r="A132" s="1754">
        <v>45566</v>
      </c>
      <c r="B132" s="1748" t="str">
        <f>TiposLancamentos!B15</f>
        <v>Cartões de Crédito</v>
      </c>
      <c r="C132" s="1740" t="s">
        <v>1874</v>
      </c>
      <c r="D132" s="51">
        <v>50</v>
      </c>
      <c r="E132" s="1043"/>
      <c r="F132" s="1656"/>
      <c r="G132" s="1152" t="s">
        <v>9</v>
      </c>
    </row>
    <row r="133" spans="1:7">
      <c r="A133" s="1756"/>
      <c r="B133" s="1749"/>
      <c r="C133" s="1741" t="s">
        <v>10</v>
      </c>
      <c r="D133" s="375"/>
      <c r="E133" s="1690"/>
      <c r="F133" s="1690"/>
      <c r="G133" s="1094" t="s">
        <v>11</v>
      </c>
    </row>
    <row r="134" spans="1:7" ht="14.25" thickBot="1">
      <c r="A134" s="1757"/>
      <c r="B134" s="1755"/>
      <c r="C134" s="1771" t="s">
        <v>1868</v>
      </c>
      <c r="D134" s="869"/>
      <c r="E134" s="1044"/>
      <c r="F134" s="1691"/>
    </row>
    <row r="135" spans="1:7">
      <c r="A135" s="1754"/>
      <c r="B135" s="1748"/>
      <c r="C135" s="1740" t="s">
        <v>9777</v>
      </c>
      <c r="D135" s="51"/>
      <c r="E135" s="1043"/>
      <c r="F135" s="1656">
        <f>SUM(E129:E133)</f>
        <v>0</v>
      </c>
    </row>
    <row r="136" spans="1:7">
      <c r="A136" s="1754">
        <v>45597</v>
      </c>
      <c r="B136" s="1748" t="str">
        <f>TiposLancamentos!B15</f>
        <v>Cartões de Crédito</v>
      </c>
      <c r="C136" s="1740" t="s">
        <v>1874</v>
      </c>
      <c r="D136" s="51">
        <v>0</v>
      </c>
      <c r="E136" s="1043">
        <v>0</v>
      </c>
      <c r="F136" s="1656">
        <f>F135-F131</f>
        <v>-50</v>
      </c>
      <c r="G136" s="1152" t="s">
        <v>9</v>
      </c>
    </row>
    <row r="137" spans="1:7">
      <c r="A137" s="1756"/>
      <c r="B137" s="1749"/>
      <c r="C137" s="1741" t="s">
        <v>10</v>
      </c>
      <c r="D137" s="375"/>
      <c r="E137" s="1690"/>
      <c r="F137" s="1690"/>
      <c r="G137" s="1094" t="s">
        <v>11</v>
      </c>
    </row>
    <row r="138" spans="1:7" ht="14.25" thickBot="1">
      <c r="A138" s="1757"/>
      <c r="B138" s="1755"/>
      <c r="C138" s="1771" t="s">
        <v>1868</v>
      </c>
      <c r="D138" s="869"/>
      <c r="E138" s="1044"/>
      <c r="F138" s="1691"/>
    </row>
    <row r="139" spans="1:7">
      <c r="A139" s="1754"/>
      <c r="B139" s="1748"/>
      <c r="C139" s="1740" t="s">
        <v>1641</v>
      </c>
      <c r="D139" s="51"/>
      <c r="E139" s="1043"/>
      <c r="F139" s="1656">
        <f>SUM(E133:E137)</f>
        <v>0</v>
      </c>
    </row>
    <row r="140" spans="1:7">
      <c r="A140" s="1754">
        <v>45628</v>
      </c>
      <c r="B140" s="1748" t="str">
        <f>TiposLancamentos!B15</f>
        <v>Cartões de Crédito</v>
      </c>
      <c r="C140" s="1740" t="s">
        <v>1874</v>
      </c>
      <c r="D140" s="51">
        <v>0</v>
      </c>
      <c r="E140" s="1043">
        <v>0</v>
      </c>
      <c r="F140" s="1656">
        <f>F139-F135</f>
        <v>0</v>
      </c>
      <c r="G140" s="1152" t="s">
        <v>9</v>
      </c>
    </row>
    <row r="141" spans="1:7">
      <c r="A141" s="1754">
        <v>45642</v>
      </c>
      <c r="B141" s="1748" t="str">
        <f>TiposLancamentos!B33</f>
        <v>Pedágios</v>
      </c>
      <c r="C141" s="1740" t="s">
        <v>9776</v>
      </c>
      <c r="D141" s="51"/>
      <c r="E141" s="1043">
        <v>50</v>
      </c>
      <c r="F141" s="1656"/>
      <c r="G141" s="1152" t="s">
        <v>9</v>
      </c>
    </row>
    <row r="142" spans="1:7">
      <c r="A142" s="1754">
        <v>45650</v>
      </c>
      <c r="B142" s="1748" t="str">
        <f>TiposLancamentos!B33</f>
        <v>Pedágios</v>
      </c>
      <c r="C142" s="1740" t="s">
        <v>9776</v>
      </c>
      <c r="D142" s="51"/>
      <c r="E142" s="1043">
        <v>50</v>
      </c>
      <c r="F142" s="1656"/>
      <c r="G142" s="1152" t="s">
        <v>9</v>
      </c>
    </row>
    <row r="143" spans="1:7">
      <c r="A143" s="1756"/>
      <c r="B143" s="1749"/>
      <c r="C143" s="1741" t="s">
        <v>10</v>
      </c>
      <c r="D143" s="375"/>
      <c r="E143" s="1690"/>
      <c r="F143" s="1690"/>
      <c r="G143" s="1094" t="s">
        <v>11</v>
      </c>
    </row>
    <row r="144" spans="1:7">
      <c r="A144" s="1754">
        <v>45652</v>
      </c>
      <c r="B144" s="1748" t="str">
        <f>TiposLancamentos!B33</f>
        <v>Pedágios</v>
      </c>
      <c r="C144" s="1740" t="s">
        <v>9776</v>
      </c>
      <c r="D144" s="51"/>
      <c r="E144" s="1043">
        <v>50</v>
      </c>
      <c r="F144" s="1656"/>
      <c r="G144" s="1152" t="s">
        <v>9</v>
      </c>
    </row>
    <row r="145" spans="1:7" ht="14.25" thickBot="1">
      <c r="A145" s="1757"/>
      <c r="B145" s="1755"/>
      <c r="C145" s="1771" t="s">
        <v>1868</v>
      </c>
      <c r="D145" s="869"/>
      <c r="E145" s="1044"/>
      <c r="F145" s="1691"/>
    </row>
    <row r="146" spans="1:7">
      <c r="A146" s="1754"/>
      <c r="B146" s="1748"/>
      <c r="C146" s="1740" t="s">
        <v>9406</v>
      </c>
      <c r="D146" s="51"/>
      <c r="E146" s="1043"/>
      <c r="F146" s="1656">
        <f>SUM(E137:E142)</f>
        <v>100</v>
      </c>
    </row>
    <row r="147" spans="1:7">
      <c r="A147" s="1754">
        <v>45659</v>
      </c>
      <c r="B147" s="1748" t="str">
        <f>TiposLancamentos!B15</f>
        <v>Cartões de Crédito</v>
      </c>
      <c r="C147" s="1740" t="s">
        <v>1874</v>
      </c>
      <c r="D147" s="51">
        <v>100</v>
      </c>
      <c r="E147" s="1043">
        <v>0</v>
      </c>
      <c r="F147" s="1656">
        <f>F146-F139</f>
        <v>100</v>
      </c>
      <c r="G147" s="1152" t="s">
        <v>9</v>
      </c>
    </row>
    <row r="148" spans="1:7">
      <c r="A148" s="1754">
        <v>45660</v>
      </c>
      <c r="B148" s="1748" t="str">
        <f>TiposLancamentos!B33</f>
        <v>Pedágios</v>
      </c>
      <c r="C148" s="1740" t="s">
        <v>9776</v>
      </c>
      <c r="D148" s="51"/>
      <c r="E148" s="1043">
        <v>50</v>
      </c>
      <c r="F148" s="1656"/>
      <c r="G148" s="1152" t="s">
        <v>9</v>
      </c>
    </row>
    <row r="149" spans="1:7">
      <c r="A149" s="1756"/>
      <c r="B149" s="1749"/>
      <c r="C149" s="1741" t="s">
        <v>10</v>
      </c>
      <c r="D149" s="375"/>
      <c r="E149" s="1690"/>
      <c r="F149" s="1690"/>
      <c r="G149" s="1094" t="s">
        <v>11</v>
      </c>
    </row>
    <row r="150" spans="1:7">
      <c r="A150" s="1754">
        <v>45682</v>
      </c>
      <c r="B150" s="1748" t="str">
        <f>TiposLancamentos!B33</f>
        <v>Pedágios</v>
      </c>
      <c r="C150" s="1740" t="s">
        <v>9776</v>
      </c>
      <c r="D150" s="51"/>
      <c r="E150" s="1043">
        <v>50</v>
      </c>
      <c r="F150" s="1656"/>
      <c r="G150" s="1152" t="s">
        <v>9</v>
      </c>
    </row>
    <row r="151" spans="1:7" ht="14.25" thickBot="1">
      <c r="A151" s="1757"/>
      <c r="B151" s="1755"/>
      <c r="C151" s="1771" t="s">
        <v>1868</v>
      </c>
      <c r="D151" s="869"/>
      <c r="E151" s="1044"/>
      <c r="F151" s="1691"/>
    </row>
    <row r="152" spans="1:7">
      <c r="A152" s="1754"/>
      <c r="B152" s="1748"/>
      <c r="C152" s="1740" t="s">
        <v>9778</v>
      </c>
      <c r="D152" s="51"/>
      <c r="E152" s="1043"/>
      <c r="F152" s="1656">
        <f>SUM(E143:E149)</f>
        <v>100</v>
      </c>
    </row>
    <row r="153" spans="1:7">
      <c r="A153" s="1754">
        <v>45691</v>
      </c>
      <c r="B153" s="1748" t="str">
        <f>TiposLancamentos!B15</f>
        <v>Cartões de Crédito</v>
      </c>
      <c r="C153" s="1740" t="s">
        <v>1874</v>
      </c>
      <c r="D153" s="51">
        <v>100</v>
      </c>
      <c r="E153" s="1043">
        <v>0</v>
      </c>
      <c r="F153" s="1656">
        <f>F152-F146</f>
        <v>0</v>
      </c>
      <c r="G153" s="1152" t="s">
        <v>9</v>
      </c>
    </row>
    <row r="154" spans="1:7">
      <c r="A154" s="1756"/>
      <c r="B154" s="1749"/>
      <c r="C154" s="1741" t="s">
        <v>10</v>
      </c>
      <c r="D154" s="375"/>
      <c r="E154" s="1690"/>
      <c r="F154" s="1690"/>
      <c r="G154" s="1094" t="s">
        <v>11</v>
      </c>
    </row>
    <row r="155" spans="1:7" ht="14.25" thickBot="1">
      <c r="A155" s="1757"/>
      <c r="B155" s="1755"/>
      <c r="C155" s="1771" t="s">
        <v>1868</v>
      </c>
      <c r="D155" s="869"/>
      <c r="E155" s="1044"/>
      <c r="F155" s="1691"/>
    </row>
    <row r="156" spans="1:7">
      <c r="A156" s="1754"/>
      <c r="B156" s="1748"/>
      <c r="C156" s="1740" t="s">
        <v>1644</v>
      </c>
      <c r="D156" s="51"/>
      <c r="E156" s="1043"/>
      <c r="F156" s="1656">
        <f>SUM(E150:E154)</f>
        <v>50</v>
      </c>
    </row>
    <row r="157" spans="1:7">
      <c r="A157" s="1754">
        <v>45718</v>
      </c>
      <c r="B157" s="1748" t="str">
        <f>TiposLancamentos!B33</f>
        <v>Pedágios</v>
      </c>
      <c r="C157" s="1740" t="s">
        <v>9776</v>
      </c>
      <c r="D157" s="51"/>
      <c r="E157" s="1043">
        <v>50</v>
      </c>
      <c r="F157" s="1656"/>
      <c r="G157" s="1152" t="s">
        <v>9</v>
      </c>
    </row>
    <row r="158" spans="1:7">
      <c r="A158" s="1754">
        <v>45720</v>
      </c>
      <c r="B158" s="1748" t="str">
        <f>TiposLancamentos!B33</f>
        <v>Pedágios</v>
      </c>
      <c r="C158" s="1740" t="s">
        <v>9776</v>
      </c>
      <c r="D158" s="51"/>
      <c r="E158" s="1043">
        <v>50</v>
      </c>
      <c r="F158" s="1656"/>
      <c r="G158" s="1152" t="s">
        <v>9</v>
      </c>
    </row>
    <row r="159" spans="1:7">
      <c r="A159" s="1754">
        <v>45721</v>
      </c>
      <c r="B159" s="1748" t="str">
        <f>TiposLancamentos!B15</f>
        <v>Cartões de Crédito</v>
      </c>
      <c r="C159" s="1740" t="s">
        <v>1874</v>
      </c>
      <c r="D159" s="51">
        <v>50</v>
      </c>
      <c r="E159" s="1043"/>
      <c r="F159" s="1656"/>
      <c r="G159" s="1152" t="s">
        <v>9</v>
      </c>
    </row>
    <row r="160" spans="1:7">
      <c r="A160" s="1754">
        <v>45725</v>
      </c>
      <c r="B160" s="1748" t="str">
        <f>TiposLancamentos!B33</f>
        <v>Pedágios</v>
      </c>
      <c r="C160" s="1740" t="s">
        <v>9776</v>
      </c>
      <c r="D160" s="51"/>
      <c r="E160" s="1043">
        <v>50</v>
      </c>
      <c r="F160" s="1656"/>
      <c r="G160" s="1152" t="s">
        <v>9</v>
      </c>
    </row>
    <row r="161" spans="1:7">
      <c r="A161" s="1754">
        <v>45725</v>
      </c>
      <c r="B161" s="1748" t="str">
        <f>TiposLancamentos!B33</f>
        <v>Pedágios</v>
      </c>
      <c r="C161" s="1740" t="s">
        <v>9776</v>
      </c>
      <c r="D161" s="51"/>
      <c r="E161" s="1043">
        <v>50</v>
      </c>
      <c r="F161" s="1656"/>
      <c r="G161" s="1152" t="s">
        <v>9</v>
      </c>
    </row>
    <row r="162" spans="1:7">
      <c r="A162" s="1756"/>
      <c r="B162" s="1749"/>
      <c r="C162" s="1741" t="s">
        <v>10</v>
      </c>
      <c r="D162" s="375"/>
      <c r="E162" s="1690"/>
      <c r="F162" s="1690"/>
      <c r="G162" s="1094" t="s">
        <v>11</v>
      </c>
    </row>
    <row r="163" spans="1:7" ht="14.25" thickBot="1">
      <c r="A163" s="1757"/>
      <c r="B163" s="1755"/>
      <c r="C163" s="1771" t="s">
        <v>1868</v>
      </c>
      <c r="D163" s="869"/>
      <c r="E163" s="1044"/>
      <c r="F163" s="1691"/>
    </row>
    <row r="164" spans="1:7">
      <c r="A164" s="1754"/>
      <c r="B164" s="1748"/>
      <c r="C164" s="1802">
        <v>45748</v>
      </c>
      <c r="D164" s="51"/>
      <c r="E164" s="1043"/>
      <c r="F164" s="1656">
        <f>SUM(E154:E162)</f>
        <v>200</v>
      </c>
    </row>
    <row r="165" spans="1:7">
      <c r="A165" s="1754">
        <v>45748</v>
      </c>
      <c r="B165" s="1748" t="str">
        <f>TiposLancamentos!B15</f>
        <v>Cartões de Crédito</v>
      </c>
      <c r="C165" s="1740" t="s">
        <v>1874</v>
      </c>
      <c r="D165" s="51">
        <v>200</v>
      </c>
      <c r="E165" s="1043"/>
      <c r="F165" s="1656">
        <f>F164-F156</f>
        <v>150</v>
      </c>
      <c r="G165" s="1152" t="s">
        <v>9</v>
      </c>
    </row>
    <row r="166" spans="1:7">
      <c r="A166" s="1756"/>
      <c r="B166" s="1749"/>
      <c r="C166" s="1741" t="s">
        <v>10</v>
      </c>
      <c r="D166" s="375"/>
      <c r="E166" s="1690"/>
      <c r="F166" s="1690"/>
      <c r="G166" s="1094" t="s">
        <v>11</v>
      </c>
    </row>
    <row r="167" spans="1:7" ht="14.25" thickBot="1">
      <c r="A167" s="1757"/>
      <c r="B167" s="1755"/>
      <c r="C167" s="1771" t="s">
        <v>1868</v>
      </c>
      <c r="D167" s="869"/>
      <c r="E167" s="1044"/>
      <c r="F167" s="1691"/>
    </row>
    <row r="168" spans="1:7">
      <c r="A168" s="1754"/>
      <c r="B168" s="1748"/>
      <c r="C168" s="1802">
        <v>45778</v>
      </c>
      <c r="D168" s="51"/>
      <c r="E168" s="1043"/>
      <c r="F168" s="1656">
        <f>SUM(E162:E166)</f>
        <v>0</v>
      </c>
    </row>
    <row r="169" spans="1:7">
      <c r="A169" s="1754">
        <v>45779</v>
      </c>
      <c r="B169" s="1748" t="str">
        <f>TiposLancamentos!B15</f>
        <v>Cartões de Crédito</v>
      </c>
      <c r="C169" s="1740" t="s">
        <v>1874</v>
      </c>
      <c r="D169" s="51">
        <v>0</v>
      </c>
      <c r="E169" s="1043">
        <v>0</v>
      </c>
      <c r="F169" s="1656">
        <f>F168-F164</f>
        <v>-200</v>
      </c>
    </row>
    <row r="170" spans="1:7">
      <c r="A170" s="1756"/>
      <c r="B170" s="1749"/>
      <c r="C170" s="1741" t="s">
        <v>10</v>
      </c>
      <c r="D170" s="375"/>
      <c r="E170" s="1690"/>
      <c r="F170" s="1690"/>
      <c r="G170" s="1094" t="s">
        <v>11</v>
      </c>
    </row>
    <row r="171" spans="1:7">
      <c r="A171" s="1754">
        <v>45802</v>
      </c>
      <c r="B171" s="1748" t="str">
        <f>B161</f>
        <v>Pedágios</v>
      </c>
      <c r="C171" s="1740" t="s">
        <v>9776</v>
      </c>
      <c r="D171" s="51"/>
      <c r="E171" s="1043">
        <v>50</v>
      </c>
      <c r="F171" s="1656"/>
      <c r="G171" s="1152" t="s">
        <v>9</v>
      </c>
    </row>
    <row r="172" spans="1:7" ht="14.25" thickBot="1">
      <c r="A172" s="1757"/>
      <c r="B172" s="1755"/>
      <c r="C172" s="1771" t="s">
        <v>1868</v>
      </c>
      <c r="D172" s="869"/>
      <c r="E172" s="1044"/>
      <c r="F172" s="1691"/>
    </row>
    <row r="173" spans="1:7">
      <c r="A173" s="1754"/>
      <c r="B173" s="1748"/>
      <c r="C173" s="1802">
        <v>45809</v>
      </c>
      <c r="D173" s="51"/>
      <c r="E173" s="1043"/>
      <c r="F173" s="1656">
        <f>SUM(E166:E170)</f>
        <v>0</v>
      </c>
    </row>
    <row r="174" spans="1:7">
      <c r="A174" s="1754">
        <v>45809</v>
      </c>
      <c r="B174" s="1748" t="str">
        <f>TiposLancamentos!B15</f>
        <v>Cartões de Crédito</v>
      </c>
      <c r="C174" s="1740" t="s">
        <v>1874</v>
      </c>
      <c r="D174" s="51">
        <v>0</v>
      </c>
      <c r="E174" s="1043">
        <v>0</v>
      </c>
      <c r="F174" s="1656">
        <f>F173-F168</f>
        <v>0</v>
      </c>
    </row>
    <row r="175" spans="1:7">
      <c r="A175" s="1754"/>
      <c r="B175" s="1748"/>
      <c r="C175" s="1740" t="s">
        <v>1868</v>
      </c>
      <c r="D175" s="51"/>
      <c r="E175" s="1043"/>
      <c r="F175" s="1656"/>
    </row>
    <row r="176" spans="1:7">
      <c r="A176" s="1756"/>
      <c r="B176" s="1749"/>
      <c r="C176" s="1741" t="s">
        <v>10</v>
      </c>
      <c r="D176" s="375"/>
      <c r="E176" s="1690"/>
      <c r="F176" s="1690"/>
      <c r="G176" s="1094" t="s">
        <v>11</v>
      </c>
    </row>
    <row r="177" spans="1:7" ht="14.25" thickBot="1">
      <c r="A177" s="1757"/>
      <c r="B177" s="1755"/>
      <c r="C177" s="1771" t="s">
        <v>1868</v>
      </c>
      <c r="D177" s="869"/>
      <c r="E177" s="1044"/>
      <c r="F177" s="1691"/>
    </row>
    <row r="178" spans="1:7">
      <c r="A178" s="1754"/>
      <c r="B178" s="1748"/>
      <c r="C178" s="1802">
        <v>45839</v>
      </c>
      <c r="D178" s="51"/>
      <c r="E178" s="1043"/>
      <c r="F178" s="1656">
        <f>SUM(E170:E176)</f>
        <v>50</v>
      </c>
    </row>
    <row r="179" spans="1:7">
      <c r="A179" s="1754">
        <v>45839</v>
      </c>
      <c r="B179" s="1748" t="str">
        <f>TiposLancamentos!B15</f>
        <v>Cartões de Crédito</v>
      </c>
      <c r="C179" s="1740" t="s">
        <v>1874</v>
      </c>
      <c r="D179" s="51">
        <v>50</v>
      </c>
      <c r="E179" s="1043">
        <v>0</v>
      </c>
      <c r="F179" s="1656">
        <f>F178-F175</f>
        <v>50</v>
      </c>
      <c r="G179" s="1152" t="s">
        <v>9</v>
      </c>
    </row>
    <row r="180" spans="1:7">
      <c r="A180" s="1754">
        <v>45839</v>
      </c>
      <c r="B180" s="1748" t="str">
        <f>TiposLancamentos!B33</f>
        <v>Pedágios</v>
      </c>
      <c r="C180" s="1740" t="s">
        <v>9776</v>
      </c>
      <c r="D180" s="51"/>
      <c r="E180" s="1043">
        <v>50</v>
      </c>
      <c r="F180" s="1656"/>
      <c r="G180" s="1152" t="s">
        <v>9</v>
      </c>
    </row>
    <row r="181" spans="1:7">
      <c r="A181" s="1754">
        <v>45839</v>
      </c>
      <c r="B181" s="1748" t="str">
        <f>TiposLancamentos!B33</f>
        <v>Pedágios</v>
      </c>
      <c r="C181" s="1740" t="s">
        <v>9776</v>
      </c>
      <c r="D181" s="51"/>
      <c r="E181" s="1043">
        <v>50</v>
      </c>
      <c r="F181" s="1656"/>
      <c r="G181" s="1152" t="s">
        <v>9</v>
      </c>
    </row>
    <row r="182" spans="1:7">
      <c r="A182" s="1754">
        <v>45839</v>
      </c>
      <c r="B182" s="1748" t="str">
        <f>TiposLancamentos!B33</f>
        <v>Pedágios</v>
      </c>
      <c r="C182" s="1740" t="s">
        <v>9776</v>
      </c>
      <c r="D182" s="51"/>
      <c r="E182" s="1043">
        <v>50</v>
      </c>
      <c r="F182" s="1656"/>
      <c r="G182" s="1152" t="s">
        <v>9</v>
      </c>
    </row>
    <row r="183" spans="1:7">
      <c r="A183" s="1754">
        <v>45840</v>
      </c>
      <c r="B183" s="1748" t="str">
        <f>TiposLancamentos!B33</f>
        <v>Pedágios</v>
      </c>
      <c r="C183" s="1740" t="s">
        <v>9776</v>
      </c>
      <c r="D183" s="51"/>
      <c r="E183" s="1043">
        <v>50</v>
      </c>
      <c r="F183" s="1656"/>
      <c r="G183" s="1152" t="s">
        <v>9</v>
      </c>
    </row>
    <row r="184" spans="1:7">
      <c r="A184" s="1754">
        <v>45840</v>
      </c>
      <c r="B184" s="1748" t="str">
        <f>TiposLancamentos!B33</f>
        <v>Pedágios</v>
      </c>
      <c r="C184" s="1740" t="s">
        <v>9776</v>
      </c>
      <c r="D184" s="51"/>
      <c r="E184" s="1043">
        <v>50</v>
      </c>
      <c r="F184" s="1656"/>
      <c r="G184" s="1152" t="s">
        <v>9</v>
      </c>
    </row>
    <row r="185" spans="1:7">
      <c r="A185" s="1754">
        <v>45858</v>
      </c>
      <c r="B185" s="1748" t="str">
        <f>TiposLancamentos!B33</f>
        <v>Pedágios</v>
      </c>
      <c r="C185" s="1740" t="s">
        <v>9776</v>
      </c>
      <c r="D185" s="51"/>
      <c r="E185" s="1043">
        <v>50</v>
      </c>
      <c r="F185" s="1656"/>
      <c r="G185" s="1152" t="s">
        <v>9</v>
      </c>
    </row>
    <row r="186" spans="1:7">
      <c r="A186" s="1756"/>
      <c r="B186" s="1749"/>
      <c r="C186" s="1741" t="s">
        <v>10</v>
      </c>
      <c r="D186" s="375"/>
      <c r="E186" s="1690"/>
      <c r="F186" s="1690"/>
      <c r="G186" s="1094" t="s">
        <v>11</v>
      </c>
    </row>
    <row r="187" spans="1:7" ht="14.25" thickBot="1">
      <c r="A187" s="1757"/>
      <c r="B187" s="1755"/>
      <c r="C187" s="1771" t="s">
        <v>1868</v>
      </c>
      <c r="D187" s="869"/>
      <c r="E187" s="1044"/>
      <c r="F187" s="1691"/>
    </row>
    <row r="188" spans="1:7">
      <c r="A188" s="1754"/>
      <c r="B188" s="1748"/>
      <c r="C188" s="1740" t="s">
        <v>9593</v>
      </c>
      <c r="D188" s="51"/>
      <c r="E188" s="1043"/>
      <c r="F188" s="1656">
        <f>SUM(E177:E186)</f>
        <v>300</v>
      </c>
    </row>
    <row r="189" spans="1:7">
      <c r="A189" s="1754">
        <v>45870</v>
      </c>
      <c r="B189" s="1748" t="str">
        <f>TiposLancamentos!B15</f>
        <v>Cartões de Crédito</v>
      </c>
      <c r="C189" s="1740" t="s">
        <v>1874</v>
      </c>
      <c r="D189" s="51">
        <v>300</v>
      </c>
      <c r="E189" s="1043">
        <v>0</v>
      </c>
      <c r="F189" s="1656">
        <f>F188-F179</f>
        <v>250</v>
      </c>
      <c r="G189" s="1152" t="s">
        <v>9</v>
      </c>
    </row>
    <row r="190" spans="1:7">
      <c r="A190" s="1756"/>
      <c r="B190" s="1749"/>
      <c r="C190" s="1741" t="s">
        <v>10</v>
      </c>
      <c r="D190" s="375"/>
      <c r="E190" s="1690"/>
      <c r="F190" s="1690"/>
      <c r="G190" s="1094" t="s">
        <v>11</v>
      </c>
    </row>
    <row r="191" spans="1:7" ht="14.25" thickBot="1">
      <c r="A191" s="1757"/>
      <c r="B191" s="1755"/>
      <c r="C191" s="1771" t="s">
        <v>1868</v>
      </c>
      <c r="D191" s="869"/>
      <c r="E191" s="1044"/>
      <c r="F191" s="1691"/>
    </row>
    <row r="192" spans="1:7">
      <c r="A192" s="1754"/>
      <c r="B192" s="1748"/>
      <c r="C192" s="1740" t="s">
        <v>1650</v>
      </c>
      <c r="D192" s="51"/>
      <c r="E192" s="1043"/>
      <c r="F192" s="1656">
        <f>SUM(E186:E190)</f>
        <v>0</v>
      </c>
    </row>
    <row r="193" spans="1:7">
      <c r="A193" s="1754">
        <v>45901</v>
      </c>
      <c r="B193" s="1748" t="str">
        <f>TiposLancamentos!B15</f>
        <v>Cartões de Crédito</v>
      </c>
      <c r="C193" s="1740" t="s">
        <v>1874</v>
      </c>
      <c r="D193" s="51">
        <v>0</v>
      </c>
      <c r="E193" s="1043">
        <v>0</v>
      </c>
      <c r="F193" s="1656">
        <f>F192-F188</f>
        <v>-300</v>
      </c>
    </row>
    <row r="194" spans="1:7">
      <c r="A194" s="1754">
        <v>45916</v>
      </c>
      <c r="B194" s="1748" t="str">
        <f>TiposLancamentos!B19</f>
        <v>Restaurantes</v>
      </c>
      <c r="C194" s="1740" t="s">
        <v>2224</v>
      </c>
      <c r="D194" s="51"/>
      <c r="E194" s="1043">
        <v>40.68</v>
      </c>
      <c r="F194" s="1656"/>
      <c r="G194" s="1152" t="s">
        <v>9</v>
      </c>
    </row>
    <row r="195" spans="1:7">
      <c r="A195" s="1754">
        <v>45916</v>
      </c>
      <c r="B195" s="1748" t="str">
        <f>TiposLancamentos!B5</f>
        <v>Supermercado</v>
      </c>
      <c r="C195" s="1740" t="s">
        <v>9779</v>
      </c>
      <c r="D195" s="51"/>
      <c r="E195" s="1043">
        <v>172.55</v>
      </c>
      <c r="F195" s="1656"/>
      <c r="G195" s="1152" t="s">
        <v>9</v>
      </c>
    </row>
    <row r="196" spans="1:7">
      <c r="A196" s="1754">
        <v>45916</v>
      </c>
      <c r="B196" s="1748" t="str">
        <f>TiposLancamentos!B24</f>
        <v>Estacionamentos</v>
      </c>
      <c r="C196" s="1740" t="s">
        <v>1898</v>
      </c>
      <c r="D196" s="51"/>
      <c r="E196" s="1043">
        <v>23</v>
      </c>
      <c r="F196" s="1656"/>
      <c r="G196" s="1152" t="s">
        <v>9</v>
      </c>
    </row>
    <row r="197" spans="1:7">
      <c r="A197" s="1754">
        <v>45916</v>
      </c>
      <c r="B197" s="1748" t="str">
        <f>TiposLancamentos!B19</f>
        <v>Restaurantes</v>
      </c>
      <c r="C197" s="1740" t="s">
        <v>1967</v>
      </c>
      <c r="D197" s="51"/>
      <c r="E197" s="1043">
        <v>41.8</v>
      </c>
      <c r="F197" s="1656"/>
      <c r="G197" s="1152" t="s">
        <v>9</v>
      </c>
    </row>
    <row r="198" spans="1:7">
      <c r="A198" s="1754">
        <v>45917</v>
      </c>
      <c r="B198" s="1748" t="str">
        <f>TiposLancamentos!B19</f>
        <v>Restaurantes</v>
      </c>
      <c r="C198" s="1740" t="s">
        <v>2224</v>
      </c>
      <c r="D198" s="51"/>
      <c r="E198" s="1043">
        <v>41.93</v>
      </c>
      <c r="F198" s="1656"/>
      <c r="G198" s="1152" t="s">
        <v>9</v>
      </c>
    </row>
    <row r="199" spans="1:7">
      <c r="A199" s="1754">
        <v>45917</v>
      </c>
      <c r="B199" s="1748" t="str">
        <f>TiposLancamentos!B13</f>
        <v>Moradia</v>
      </c>
      <c r="C199" s="1740" t="s">
        <v>9780</v>
      </c>
      <c r="D199" s="51"/>
      <c r="E199" s="1043">
        <v>10</v>
      </c>
      <c r="F199" s="1656"/>
      <c r="G199" s="1152" t="s">
        <v>9</v>
      </c>
    </row>
    <row r="200" spans="1:7">
      <c r="A200" s="1754">
        <v>45918</v>
      </c>
      <c r="B200" s="1748" t="str">
        <f>TiposLancamentos!B19</f>
        <v>Restaurantes</v>
      </c>
      <c r="C200" s="1740" t="s">
        <v>2224</v>
      </c>
      <c r="D200" s="51"/>
      <c r="E200" s="1043">
        <v>81.88</v>
      </c>
      <c r="F200" s="1656"/>
      <c r="G200" s="1152" t="s">
        <v>9</v>
      </c>
    </row>
    <row r="201" spans="1:7">
      <c r="A201" s="1754">
        <v>45919</v>
      </c>
      <c r="B201" s="1748" t="str">
        <f>TiposLancamentos!B19</f>
        <v>Restaurantes</v>
      </c>
      <c r="C201" s="1740" t="s">
        <v>2224</v>
      </c>
      <c r="D201" s="51"/>
      <c r="E201" s="1043">
        <v>67.89</v>
      </c>
      <c r="F201" s="1656"/>
      <c r="G201" s="1152" t="s">
        <v>9</v>
      </c>
    </row>
    <row r="202" spans="1:7">
      <c r="A202" s="1754">
        <v>45919</v>
      </c>
      <c r="B202" s="1748" t="str">
        <f>TiposLancamentos!B5</f>
        <v>Supermercado</v>
      </c>
      <c r="C202" s="1740" t="s">
        <v>9779</v>
      </c>
      <c r="D202" s="51"/>
      <c r="E202" s="1043">
        <v>174.92</v>
      </c>
      <c r="F202" s="1656"/>
      <c r="G202" s="1152" t="s">
        <v>9</v>
      </c>
    </row>
    <row r="203" spans="1:7">
      <c r="A203" s="1818">
        <v>45920</v>
      </c>
      <c r="B203" s="1813" t="str">
        <f>TiposLancamentos!B19</f>
        <v>Restaurantes</v>
      </c>
      <c r="C203" s="1806" t="s">
        <v>9781</v>
      </c>
      <c r="D203" s="1797"/>
      <c r="E203" s="1791">
        <v>41.88</v>
      </c>
      <c r="F203" s="1787"/>
      <c r="G203" s="1152" t="s">
        <v>9</v>
      </c>
    </row>
    <row r="204" spans="1:7">
      <c r="A204" s="1754">
        <v>45920</v>
      </c>
      <c r="B204" s="1748" t="str">
        <f>TiposLancamentos!B5</f>
        <v>Supermercado</v>
      </c>
      <c r="C204" s="1740" t="s">
        <v>9782</v>
      </c>
      <c r="D204" s="51"/>
      <c r="E204" s="1043">
        <v>56.25</v>
      </c>
      <c r="F204" s="1656"/>
      <c r="G204" s="1152" t="s">
        <v>9</v>
      </c>
    </row>
    <row r="205" spans="1:7">
      <c r="A205" s="1754">
        <v>45921</v>
      </c>
      <c r="B205" s="1748" t="str">
        <f>TiposLancamentos!B19</f>
        <v>Restaurantes</v>
      </c>
      <c r="C205" s="1740" t="s">
        <v>9783</v>
      </c>
      <c r="D205" s="51"/>
      <c r="E205" s="1043">
        <v>157.30000000000001</v>
      </c>
      <c r="F205" s="1656"/>
      <c r="G205" s="1152" t="s">
        <v>9</v>
      </c>
    </row>
    <row r="206" spans="1:7">
      <c r="A206" s="1754">
        <v>45921</v>
      </c>
      <c r="B206" s="1748" t="str">
        <f>TiposLancamentos!B5</f>
        <v>Supermercado</v>
      </c>
      <c r="C206" s="1740" t="s">
        <v>9779</v>
      </c>
      <c r="D206" s="51"/>
      <c r="E206" s="1043">
        <v>128.38999999999999</v>
      </c>
      <c r="F206" s="1656"/>
      <c r="G206" s="1152" t="s">
        <v>9</v>
      </c>
    </row>
    <row r="207" spans="1:7">
      <c r="A207" s="1666">
        <v>45921</v>
      </c>
      <c r="B207" s="1666" t="str">
        <f>TiposLancamentos!B28</f>
        <v>ComicBook</v>
      </c>
      <c r="C207" s="1742" t="s">
        <v>9784</v>
      </c>
      <c r="D207" s="747"/>
      <c r="E207" s="1733">
        <v>89.8</v>
      </c>
      <c r="F207" s="1346"/>
      <c r="G207" s="1152" t="s">
        <v>9</v>
      </c>
    </row>
    <row r="208" spans="1:7">
      <c r="A208" s="1750">
        <v>45921</v>
      </c>
      <c r="B208" s="1750" t="str">
        <f>TiposLancamentos!B60</f>
        <v>Correio</v>
      </c>
      <c r="C208" s="1743" t="s">
        <v>9785</v>
      </c>
      <c r="D208" s="849"/>
      <c r="E208" s="1668">
        <v>10.69</v>
      </c>
      <c r="F208" s="1665">
        <f>SUM(E207:E208)</f>
        <v>100.49</v>
      </c>
      <c r="G208" s="1152" t="s">
        <v>9</v>
      </c>
    </row>
    <row r="209" spans="1:7">
      <c r="A209" s="1818">
        <v>45921</v>
      </c>
      <c r="B209" s="1813" t="str">
        <f>TiposLancamentos!B19</f>
        <v>Restaurantes</v>
      </c>
      <c r="C209" s="1806" t="s">
        <v>9786</v>
      </c>
      <c r="D209" s="1797"/>
      <c r="E209" s="1791">
        <v>55.87</v>
      </c>
      <c r="F209" s="1787"/>
      <c r="G209" s="1152" t="s">
        <v>9</v>
      </c>
    </row>
    <row r="210" spans="1:7">
      <c r="A210" s="1754">
        <v>45922</v>
      </c>
      <c r="B210" s="1748" t="str">
        <f>TiposLancamentos!B19</f>
        <v>Restaurantes</v>
      </c>
      <c r="C210" s="1740" t="s">
        <v>2224</v>
      </c>
      <c r="D210" s="51"/>
      <c r="E210" s="1043">
        <v>31.94</v>
      </c>
      <c r="F210" s="1656"/>
      <c r="G210" s="1152" t="s">
        <v>9</v>
      </c>
    </row>
    <row r="211" spans="1:7">
      <c r="A211" s="1756"/>
      <c r="B211" s="1749"/>
      <c r="C211" s="1741" t="s">
        <v>10</v>
      </c>
      <c r="D211" s="375"/>
      <c r="E211" s="1690"/>
      <c r="F211" s="1690"/>
      <c r="G211" s="1094" t="s">
        <v>11</v>
      </c>
    </row>
    <row r="212" spans="1:7">
      <c r="A212" s="1754">
        <v>45922</v>
      </c>
      <c r="B212" s="1748" t="str">
        <f>TiposLancamentos!B19</f>
        <v>Restaurantes</v>
      </c>
      <c r="C212" s="1740" t="s">
        <v>9787</v>
      </c>
      <c r="D212" s="51"/>
      <c r="E212" s="1043">
        <v>101.97</v>
      </c>
      <c r="F212" s="1656"/>
      <c r="G212" s="1152" t="s">
        <v>9</v>
      </c>
    </row>
    <row r="213" spans="1:7">
      <c r="A213" s="1754">
        <v>45923</v>
      </c>
      <c r="B213" s="1748" t="str">
        <f>TiposLancamentos!B45</f>
        <v>Online Services</v>
      </c>
      <c r="C213" s="1740" t="s">
        <v>9788</v>
      </c>
      <c r="D213" s="51"/>
      <c r="E213" s="1043">
        <v>5.9</v>
      </c>
      <c r="F213" s="1656"/>
      <c r="G213" s="1152" t="s">
        <v>9</v>
      </c>
    </row>
    <row r="214" spans="1:7">
      <c r="A214" s="1754">
        <v>45923</v>
      </c>
      <c r="B214" s="1748" t="str">
        <f>TiposLancamentos!B19</f>
        <v>Restaurantes</v>
      </c>
      <c r="C214" s="1740" t="s">
        <v>2224</v>
      </c>
      <c r="D214" s="51"/>
      <c r="E214" s="1043">
        <v>45.17</v>
      </c>
      <c r="F214" s="1656"/>
      <c r="G214" s="1152" t="s">
        <v>9</v>
      </c>
    </row>
    <row r="215" spans="1:7">
      <c r="A215" s="1754">
        <v>45923</v>
      </c>
      <c r="B215" s="1748" t="str">
        <f>TiposLancamentos!B24</f>
        <v>Estacionamentos</v>
      </c>
      <c r="C215" s="1740" t="s">
        <v>1898</v>
      </c>
      <c r="D215" s="51"/>
      <c r="E215" s="1043">
        <v>23</v>
      </c>
      <c r="F215" s="1656"/>
      <c r="G215" s="1152" t="s">
        <v>9</v>
      </c>
    </row>
    <row r="216" spans="1:7">
      <c r="A216" s="1754">
        <v>45923</v>
      </c>
      <c r="B216" s="1748" t="str">
        <f>TiposLancamentos!B19</f>
        <v>Restaurantes</v>
      </c>
      <c r="C216" s="1740" t="s">
        <v>1967</v>
      </c>
      <c r="D216" s="51"/>
      <c r="E216" s="1043">
        <v>48.9</v>
      </c>
      <c r="F216" s="1656"/>
      <c r="G216" s="1152" t="s">
        <v>9</v>
      </c>
    </row>
    <row r="217" spans="1:7">
      <c r="A217" s="1818">
        <v>45923</v>
      </c>
      <c r="B217" s="1813" t="str">
        <f>TiposLancamentos!B16</f>
        <v>Cristiane</v>
      </c>
      <c r="C217" s="1806" t="s">
        <v>9781</v>
      </c>
      <c r="D217" s="1797"/>
      <c r="E217" s="1791">
        <v>26.98</v>
      </c>
      <c r="F217" s="1787"/>
      <c r="G217" s="1152" t="s">
        <v>9</v>
      </c>
    </row>
    <row r="218" spans="1:7">
      <c r="A218" s="1754">
        <v>45924</v>
      </c>
      <c r="B218" s="1748" t="str">
        <f>TiposLancamentos!B19</f>
        <v>Restaurantes</v>
      </c>
      <c r="C218" s="1740" t="s">
        <v>2224</v>
      </c>
      <c r="D218" s="51"/>
      <c r="E218" s="1043">
        <v>42.94</v>
      </c>
      <c r="F218" s="1656"/>
      <c r="G218" s="1152" t="s">
        <v>9</v>
      </c>
    </row>
    <row r="219" spans="1:7">
      <c r="A219" s="1754">
        <v>45924</v>
      </c>
      <c r="B219" s="1748" t="str">
        <f>TiposLancamentos!B56</f>
        <v>Farmácia</v>
      </c>
      <c r="C219" s="1740" t="s">
        <v>9789</v>
      </c>
      <c r="D219" s="51"/>
      <c r="E219" s="1043">
        <v>54.23</v>
      </c>
      <c r="F219" s="1656"/>
      <c r="G219" s="1152" t="s">
        <v>9</v>
      </c>
    </row>
    <row r="220" spans="1:7">
      <c r="A220" s="1754">
        <v>45924</v>
      </c>
      <c r="B220" s="1748" t="str">
        <f>TiposLancamentos!B56</f>
        <v>Farmácia</v>
      </c>
      <c r="C220" s="1740" t="s">
        <v>9790</v>
      </c>
      <c r="D220" s="51"/>
      <c r="E220" s="1043">
        <v>9.4</v>
      </c>
      <c r="F220" s="1656"/>
      <c r="G220" s="1152" t="s">
        <v>9</v>
      </c>
    </row>
    <row r="221" spans="1:7">
      <c r="A221" s="1754">
        <v>45924</v>
      </c>
      <c r="B221" s="1748" t="str">
        <f>TiposLancamentos!B19</f>
        <v>Restaurantes</v>
      </c>
      <c r="C221" s="1740" t="s">
        <v>9787</v>
      </c>
      <c r="D221" s="51"/>
      <c r="E221" s="1043">
        <v>101.97</v>
      </c>
      <c r="F221" s="1656"/>
      <c r="G221" s="1152" t="s">
        <v>9</v>
      </c>
    </row>
    <row r="222" spans="1:7">
      <c r="A222" s="1754">
        <v>45925</v>
      </c>
      <c r="B222" s="1748" t="str">
        <f>TiposLancamentos!B19</f>
        <v>Restaurantes</v>
      </c>
      <c r="C222" s="1740" t="s">
        <v>9791</v>
      </c>
      <c r="D222" s="51"/>
      <c r="E222" s="1043">
        <v>89</v>
      </c>
      <c r="F222" s="1656"/>
      <c r="G222" s="1152" t="s">
        <v>9</v>
      </c>
    </row>
    <row r="223" spans="1:7">
      <c r="A223" s="1754">
        <v>45925</v>
      </c>
      <c r="B223" s="1748" t="str">
        <f>TiposLancamentos!B16</f>
        <v>Cristiane</v>
      </c>
      <c r="C223" s="1740" t="s">
        <v>9792</v>
      </c>
      <c r="D223" s="51"/>
      <c r="E223" s="1043">
        <v>12</v>
      </c>
      <c r="F223" s="1656"/>
      <c r="G223" s="1152" t="s">
        <v>9</v>
      </c>
    </row>
    <row r="224" spans="1:7">
      <c r="A224" s="1818">
        <v>45926</v>
      </c>
      <c r="B224" s="1813" t="str">
        <f>TiposLancamentos!B19</f>
        <v>Restaurantes</v>
      </c>
      <c r="C224" s="1806" t="s">
        <v>9786</v>
      </c>
      <c r="D224" s="1797"/>
      <c r="E224" s="1791">
        <v>91.97</v>
      </c>
      <c r="F224" s="1787"/>
      <c r="G224" s="1152" t="s">
        <v>9</v>
      </c>
    </row>
    <row r="225" spans="1:7">
      <c r="A225" s="1754">
        <v>45927</v>
      </c>
      <c r="B225" s="1748" t="str">
        <f>TiposLancamentos!B19</f>
        <v>Restaurantes</v>
      </c>
      <c r="C225" s="1740" t="s">
        <v>9793</v>
      </c>
      <c r="D225" s="51"/>
      <c r="E225" s="1043">
        <v>72.27</v>
      </c>
      <c r="F225" s="1656"/>
      <c r="G225" s="1152" t="s">
        <v>9</v>
      </c>
    </row>
    <row r="226" spans="1:7">
      <c r="A226" s="1754">
        <v>45927</v>
      </c>
      <c r="B226" s="1748" t="str">
        <f>TiposLancamentos!B37</f>
        <v>Playstation 3</v>
      </c>
      <c r="C226" s="1740" t="s">
        <v>9794</v>
      </c>
      <c r="D226" s="51"/>
      <c r="E226" s="1043">
        <v>180</v>
      </c>
      <c r="F226" s="1656"/>
      <c r="G226" s="1152" t="s">
        <v>9</v>
      </c>
    </row>
    <row r="227" spans="1:7">
      <c r="A227" s="1754">
        <v>45927</v>
      </c>
      <c r="B227" s="1748" t="str">
        <f>TiposLancamentos!B39</f>
        <v>Playstation 5</v>
      </c>
      <c r="C227" s="1740" t="s">
        <v>9795</v>
      </c>
      <c r="D227" s="51"/>
      <c r="E227" s="1043">
        <v>160</v>
      </c>
      <c r="F227" s="1656"/>
      <c r="G227" s="1152" t="s">
        <v>9</v>
      </c>
    </row>
    <row r="228" spans="1:7">
      <c r="A228" s="1754">
        <v>45927</v>
      </c>
      <c r="B228" s="1748" t="str">
        <f>TiposLancamentos!B5</f>
        <v>Supermercado</v>
      </c>
      <c r="C228" s="1740" t="s">
        <v>9779</v>
      </c>
      <c r="D228" s="51"/>
      <c r="E228" s="1043">
        <v>128.84</v>
      </c>
      <c r="F228" s="1656"/>
      <c r="G228" s="1152" t="s">
        <v>9</v>
      </c>
    </row>
    <row r="229" spans="1:7">
      <c r="A229" s="1754">
        <v>45928</v>
      </c>
      <c r="B229" s="1748" t="str">
        <f>TiposLancamentos!B45</f>
        <v>Online Services</v>
      </c>
      <c r="C229" s="1740" t="s">
        <v>2102</v>
      </c>
      <c r="D229" s="51"/>
      <c r="E229" s="1043">
        <v>29.9</v>
      </c>
      <c r="F229" s="1656"/>
      <c r="G229" s="1152" t="s">
        <v>9</v>
      </c>
    </row>
    <row r="230" spans="1:7">
      <c r="A230" s="1754">
        <v>45928</v>
      </c>
      <c r="B230" s="1748" t="str">
        <f>TiposLancamentos!B37</f>
        <v>Playstation 3</v>
      </c>
      <c r="C230" s="1740" t="s">
        <v>9796</v>
      </c>
      <c r="D230" s="51"/>
      <c r="E230" s="1043">
        <v>223.3</v>
      </c>
      <c r="F230" s="1656"/>
      <c r="G230" s="1152" t="s">
        <v>9</v>
      </c>
    </row>
    <row r="231" spans="1:7">
      <c r="A231" s="1754">
        <v>45928</v>
      </c>
      <c r="B231" s="1748" t="str">
        <f>TiposLancamentos!B5</f>
        <v>Supermercado</v>
      </c>
      <c r="C231" s="1740" t="s">
        <v>9797</v>
      </c>
      <c r="D231" s="51"/>
      <c r="E231" s="1043">
        <v>35.409999999999997</v>
      </c>
      <c r="F231" s="1656"/>
      <c r="G231" s="1152" t="s">
        <v>9</v>
      </c>
    </row>
    <row r="232" spans="1:7">
      <c r="A232" s="1754">
        <v>45929</v>
      </c>
      <c r="B232" s="1748" t="str">
        <f>TiposLancamentos!B45</f>
        <v>Online Services</v>
      </c>
      <c r="C232" s="1740" t="s">
        <v>9798</v>
      </c>
      <c r="D232" s="51"/>
      <c r="E232" s="1043">
        <v>26.9</v>
      </c>
      <c r="F232" s="1656"/>
      <c r="G232" s="1152" t="s">
        <v>9</v>
      </c>
    </row>
    <row r="233" spans="1:7">
      <c r="A233" s="1754">
        <v>45929</v>
      </c>
      <c r="B233" s="1748" t="str">
        <f>TiposLancamentos!B56</f>
        <v>Farmácia</v>
      </c>
      <c r="C233" s="1740" t="s">
        <v>2316</v>
      </c>
      <c r="D233" s="51"/>
      <c r="E233" s="1043">
        <v>69.209999999999994</v>
      </c>
      <c r="F233" s="1656"/>
      <c r="G233" s="1152" t="s">
        <v>9</v>
      </c>
    </row>
    <row r="234" spans="1:7">
      <c r="A234" s="1754">
        <v>45929</v>
      </c>
      <c r="B234" s="1748" t="str">
        <f>TiposLancamentos!B45</f>
        <v>Online Services</v>
      </c>
      <c r="C234" s="1740" t="s">
        <v>9799</v>
      </c>
      <c r="D234" s="51"/>
      <c r="E234" s="1043">
        <v>112.63</v>
      </c>
      <c r="F234" s="1656" t="s">
        <v>9800</v>
      </c>
      <c r="G234" s="1094" t="s">
        <v>11</v>
      </c>
    </row>
    <row r="235" spans="1:7">
      <c r="A235" s="1754">
        <v>45929</v>
      </c>
      <c r="B235" s="1748" t="str">
        <f>TiposLancamentos!B4</f>
        <v>Taxas Bancarias</v>
      </c>
      <c r="C235" s="1740" t="s">
        <v>9801</v>
      </c>
      <c r="D235" s="51"/>
      <c r="E235" s="1043">
        <v>3.94</v>
      </c>
      <c r="F235" s="1656"/>
      <c r="G235" s="1094" t="s">
        <v>11</v>
      </c>
    </row>
    <row r="236" spans="1:7">
      <c r="A236" s="1754">
        <v>45929</v>
      </c>
      <c r="B236" s="1748" t="str">
        <f>TiposLancamentos!B19</f>
        <v>Restaurantes</v>
      </c>
      <c r="C236" s="1740" t="s">
        <v>2224</v>
      </c>
      <c r="D236" s="51"/>
      <c r="E236" s="1043">
        <v>34.450000000000003</v>
      </c>
      <c r="F236" s="1656"/>
      <c r="G236" s="1152" t="s">
        <v>9</v>
      </c>
    </row>
    <row r="237" spans="1:7">
      <c r="A237" s="1754">
        <v>45929</v>
      </c>
      <c r="B237" s="1748" t="str">
        <f>TiposLancamentos!B5</f>
        <v>Supermercado</v>
      </c>
      <c r="C237" s="1740" t="s">
        <v>9802</v>
      </c>
      <c r="D237" s="51"/>
      <c r="E237" s="1043">
        <v>45.52</v>
      </c>
      <c r="F237" s="1656"/>
      <c r="G237" s="1152" t="s">
        <v>9</v>
      </c>
    </row>
    <row r="238" spans="1:7">
      <c r="A238" s="1754">
        <v>45929</v>
      </c>
      <c r="B238" s="1748" t="str">
        <f>TiposLancamentos!B56</f>
        <v>Farmácia</v>
      </c>
      <c r="C238" s="1740" t="s">
        <v>9803</v>
      </c>
      <c r="D238" s="51"/>
      <c r="E238" s="1043">
        <v>32.9</v>
      </c>
      <c r="F238" s="1656"/>
      <c r="G238" s="1152" t="s">
        <v>9</v>
      </c>
    </row>
    <row r="239" spans="1:7">
      <c r="A239" s="1754">
        <v>45930</v>
      </c>
      <c r="B239" s="1748" t="str">
        <f>TiposLancamentos!B45</f>
        <v>Online Services</v>
      </c>
      <c r="C239" s="1740" t="s">
        <v>9804</v>
      </c>
      <c r="D239" s="51"/>
      <c r="E239" s="1043">
        <v>5.95</v>
      </c>
      <c r="F239" s="1656"/>
      <c r="G239" s="1152" t="s">
        <v>9</v>
      </c>
    </row>
    <row r="240" spans="1:7">
      <c r="A240" s="1754">
        <v>45930</v>
      </c>
      <c r="B240" s="1748" t="str">
        <f>TiposLancamentos!B19</f>
        <v>Restaurantes</v>
      </c>
      <c r="C240" s="1740" t="s">
        <v>2224</v>
      </c>
      <c r="D240" s="51"/>
      <c r="E240" s="1043">
        <v>47.18</v>
      </c>
      <c r="F240" s="1656"/>
      <c r="G240" s="1152" t="s">
        <v>9</v>
      </c>
    </row>
    <row r="241" spans="1:7">
      <c r="A241" s="1754">
        <v>45930</v>
      </c>
      <c r="B241" s="1748" t="str">
        <f>TiposLancamentos!B24</f>
        <v>Estacionamentos</v>
      </c>
      <c r="C241" s="1740" t="s">
        <v>9805</v>
      </c>
      <c r="D241" s="51"/>
      <c r="E241" s="1043">
        <v>15</v>
      </c>
      <c r="F241" s="1656"/>
      <c r="G241" s="1152" t="s">
        <v>9</v>
      </c>
    </row>
    <row r="242" spans="1:7" ht="14.25" thickBot="1">
      <c r="A242" s="1757"/>
      <c r="B242" s="1755"/>
      <c r="C242" s="1771" t="s">
        <v>1868</v>
      </c>
      <c r="D242" s="869"/>
      <c r="E242" s="1044"/>
      <c r="F242" s="1691"/>
      <c r="G242" s="1152" t="s">
        <v>9</v>
      </c>
    </row>
    <row r="243" spans="1:7">
      <c r="A243" s="1754"/>
      <c r="B243" s="1748"/>
      <c r="C243" s="1740" t="s">
        <v>1651</v>
      </c>
      <c r="D243" s="51"/>
      <c r="E243" s="1043"/>
      <c r="F243" s="1656">
        <f>SUM(E186:E211)</f>
        <v>1226.7699999999998</v>
      </c>
      <c r="G243" s="1152" t="s">
        <v>9</v>
      </c>
    </row>
    <row r="244" spans="1:7">
      <c r="A244" s="1754">
        <v>45931</v>
      </c>
      <c r="B244" s="1748" t="str">
        <f>TiposLancamentos!B15</f>
        <v>Cartões de Crédito</v>
      </c>
      <c r="C244" s="1740" t="s">
        <v>1874</v>
      </c>
      <c r="D244" s="51">
        <v>1226.77</v>
      </c>
      <c r="E244" s="1043">
        <v>0</v>
      </c>
      <c r="F244" s="1656">
        <f>F243-F192</f>
        <v>1226.7699999999998</v>
      </c>
      <c r="G244" s="1152" t="s">
        <v>9</v>
      </c>
    </row>
    <row r="245" spans="1:7">
      <c r="A245" s="1754">
        <v>45931</v>
      </c>
      <c r="B245" s="1748" t="str">
        <f>TiposLancamentos!B45</f>
        <v>Online Services</v>
      </c>
      <c r="C245" s="1740" t="s">
        <v>2079</v>
      </c>
      <c r="D245" s="51"/>
      <c r="E245" s="1043">
        <v>31.9</v>
      </c>
      <c r="F245" s="1656"/>
      <c r="G245" s="1152" t="s">
        <v>9</v>
      </c>
    </row>
    <row r="246" spans="1:7">
      <c r="A246" s="1754">
        <v>45931</v>
      </c>
      <c r="B246" s="1748" t="str">
        <f>TiposLancamentos!B19</f>
        <v>Restaurantes</v>
      </c>
      <c r="C246" s="1740" t="s">
        <v>2224</v>
      </c>
      <c r="D246" s="51"/>
      <c r="E246" s="1043">
        <v>45.19</v>
      </c>
      <c r="F246" s="1656"/>
      <c r="G246" s="1152" t="s">
        <v>9</v>
      </c>
    </row>
    <row r="247" spans="1:7">
      <c r="A247" s="1754">
        <v>45931</v>
      </c>
      <c r="B247" s="1748" t="str">
        <f>TiposLancamentos!B16</f>
        <v>Cristiane</v>
      </c>
      <c r="C247" s="1740" t="s">
        <v>9806</v>
      </c>
      <c r="D247" s="51"/>
      <c r="E247" s="1043">
        <v>49.84</v>
      </c>
      <c r="F247" s="1656"/>
      <c r="G247" s="1152" t="s">
        <v>9</v>
      </c>
    </row>
    <row r="248" spans="1:7">
      <c r="A248" s="1754">
        <v>45932</v>
      </c>
      <c r="B248" s="1748" t="str">
        <f>TiposLancamentos!B19</f>
        <v>Restaurantes</v>
      </c>
      <c r="C248" s="1740" t="s">
        <v>9787</v>
      </c>
      <c r="D248" s="51"/>
      <c r="E248" s="1043">
        <v>101.97</v>
      </c>
      <c r="F248" s="1656"/>
      <c r="G248" s="1152" t="s">
        <v>9</v>
      </c>
    </row>
    <row r="249" spans="1:7">
      <c r="A249" s="1754">
        <v>45933</v>
      </c>
      <c r="B249" s="1748" t="str">
        <f>TiposLancamentos!B19</f>
        <v>Restaurantes</v>
      </c>
      <c r="C249" s="1740" t="s">
        <v>9807</v>
      </c>
      <c r="D249" s="51"/>
      <c r="E249" s="1043">
        <v>87</v>
      </c>
      <c r="F249" s="1656"/>
      <c r="G249" s="1152" t="s">
        <v>9</v>
      </c>
    </row>
    <row r="250" spans="1:7">
      <c r="A250" s="1754">
        <v>45933</v>
      </c>
      <c r="B250" s="1748" t="str">
        <f>TiposLancamentos!B19</f>
        <v>Restaurantes</v>
      </c>
      <c r="C250" s="1740" t="s">
        <v>2270</v>
      </c>
      <c r="D250" s="51"/>
      <c r="E250" s="1043">
        <v>19.899999999999999</v>
      </c>
      <c r="F250" s="1656"/>
      <c r="G250" s="1152" t="s">
        <v>9</v>
      </c>
    </row>
    <row r="251" spans="1:7">
      <c r="A251" s="1754">
        <v>45933</v>
      </c>
      <c r="B251" s="1748" t="str">
        <f>TiposLancamentos!B5</f>
        <v>Supermercado</v>
      </c>
      <c r="C251" s="1740" t="s">
        <v>9808</v>
      </c>
      <c r="D251" s="51"/>
      <c r="E251" s="1043">
        <v>70</v>
      </c>
      <c r="F251" s="1656"/>
      <c r="G251" s="1152" t="s">
        <v>9</v>
      </c>
    </row>
    <row r="252" spans="1:7">
      <c r="A252" s="1754">
        <v>45933</v>
      </c>
      <c r="B252" s="1748" t="str">
        <f>TiposLancamentos!B24</f>
        <v>Estacionamentos</v>
      </c>
      <c r="C252" s="1740" t="s">
        <v>2527</v>
      </c>
      <c r="D252" s="51"/>
      <c r="E252" s="1043">
        <v>25</v>
      </c>
      <c r="F252" s="1656"/>
      <c r="G252" s="1152" t="s">
        <v>9</v>
      </c>
    </row>
    <row r="253" spans="1:7">
      <c r="A253" s="1754">
        <v>45934</v>
      </c>
      <c r="B253" s="1748" t="str">
        <f>TiposLancamentos!B19</f>
        <v>Restaurantes</v>
      </c>
      <c r="C253" s="1740" t="s">
        <v>9809</v>
      </c>
      <c r="D253" s="51"/>
      <c r="E253" s="1043">
        <v>22</v>
      </c>
      <c r="F253" s="1656"/>
      <c r="G253" s="1152" t="s">
        <v>9</v>
      </c>
    </row>
    <row r="254" spans="1:7">
      <c r="A254" s="1754">
        <v>45934</v>
      </c>
      <c r="B254" s="1748" t="str">
        <f>TiposLancamentos!B19</f>
        <v>Restaurantes</v>
      </c>
      <c r="C254" s="1740" t="s">
        <v>9810</v>
      </c>
      <c r="D254" s="51"/>
      <c r="E254" s="1043">
        <v>55.5</v>
      </c>
      <c r="F254" s="1656"/>
      <c r="G254" s="1152" t="s">
        <v>9</v>
      </c>
    </row>
    <row r="255" spans="1:7">
      <c r="A255" s="1754">
        <v>45934</v>
      </c>
      <c r="B255" s="1748" t="str">
        <f>TiposLancamentos!B22</f>
        <v>Combustivel</v>
      </c>
      <c r="C255" s="1740" t="s">
        <v>2179</v>
      </c>
      <c r="D255" s="51"/>
      <c r="E255" s="1043">
        <v>150</v>
      </c>
      <c r="F255" s="1656"/>
      <c r="G255" s="1152" t="s">
        <v>9</v>
      </c>
    </row>
    <row r="256" spans="1:7">
      <c r="A256" s="1754">
        <v>45934</v>
      </c>
      <c r="B256" s="1748" t="str">
        <f>TiposLancamentos!B71</f>
        <v>Itens Pessoais</v>
      </c>
      <c r="C256" s="1740" t="s">
        <v>9151</v>
      </c>
      <c r="D256" s="51"/>
      <c r="E256" s="1043">
        <v>40</v>
      </c>
      <c r="F256" s="1656"/>
      <c r="G256" s="1152" t="s">
        <v>9</v>
      </c>
    </row>
    <row r="257" spans="1:7">
      <c r="A257" s="1754">
        <v>45934</v>
      </c>
      <c r="B257" s="1748" t="str">
        <f>TiposLancamentos!B19</f>
        <v>Restaurantes</v>
      </c>
      <c r="C257" s="1740" t="s">
        <v>9811</v>
      </c>
      <c r="D257" s="51"/>
      <c r="E257" s="1043">
        <v>92.97</v>
      </c>
      <c r="F257" s="1656"/>
      <c r="G257" s="1152" t="s">
        <v>9</v>
      </c>
    </row>
    <row r="258" spans="1:7">
      <c r="A258" s="1754">
        <v>45935</v>
      </c>
      <c r="B258" s="1748" t="str">
        <f>TiposLancamentos!B65</f>
        <v>Taxi</v>
      </c>
      <c r="C258" s="1740" t="s">
        <v>9812</v>
      </c>
      <c r="D258" s="51"/>
      <c r="E258" s="1043">
        <v>31.82</v>
      </c>
      <c r="F258" s="1656"/>
      <c r="G258" s="1152" t="s">
        <v>9</v>
      </c>
    </row>
    <row r="259" spans="1:7">
      <c r="A259" s="1754">
        <v>45935</v>
      </c>
      <c r="B259" s="1748" t="str">
        <f>TiposLancamentos!B19</f>
        <v>Restaurantes</v>
      </c>
      <c r="C259" s="1740" t="s">
        <v>9813</v>
      </c>
      <c r="D259" s="51"/>
      <c r="E259" s="1043">
        <v>50</v>
      </c>
      <c r="F259" s="1656"/>
      <c r="G259" s="1152" t="s">
        <v>9</v>
      </c>
    </row>
    <row r="260" spans="1:7">
      <c r="A260" s="1754">
        <v>45935</v>
      </c>
      <c r="B260" s="1748" t="str">
        <f>TiposLancamentos!B19</f>
        <v>Restaurantes</v>
      </c>
      <c r="C260" s="1740" t="s">
        <v>9813</v>
      </c>
      <c r="D260" s="51"/>
      <c r="E260" s="1043">
        <v>40</v>
      </c>
      <c r="F260" s="1656"/>
      <c r="G260" s="1152" t="s">
        <v>9</v>
      </c>
    </row>
    <row r="261" spans="1:7">
      <c r="A261" s="1754">
        <v>45935</v>
      </c>
      <c r="B261" s="1748" t="str">
        <f>TiposLancamentos!B77</f>
        <v>Esporádico</v>
      </c>
      <c r="C261" s="1740" t="s">
        <v>9814</v>
      </c>
      <c r="D261" s="51"/>
      <c r="E261" s="1043">
        <v>30</v>
      </c>
      <c r="F261" s="1656"/>
      <c r="G261" s="1152" t="s">
        <v>9</v>
      </c>
    </row>
    <row r="262" spans="1:7">
      <c r="A262" s="1754">
        <v>45935</v>
      </c>
      <c r="B262" s="1748" t="str">
        <f>TiposLancamentos!B5</f>
        <v>Supermercado</v>
      </c>
      <c r="C262" s="1740" t="s">
        <v>2414</v>
      </c>
      <c r="D262" s="51"/>
      <c r="E262" s="1043">
        <v>67.150000000000006</v>
      </c>
      <c r="F262" s="1656"/>
      <c r="G262" s="1152" t="s">
        <v>9</v>
      </c>
    </row>
    <row r="263" spans="1:7">
      <c r="A263" s="1754">
        <v>45937</v>
      </c>
      <c r="B263" s="1748" t="str">
        <f>TiposLancamentos!B45</f>
        <v>Online Services</v>
      </c>
      <c r="C263" s="1740" t="s">
        <v>9815</v>
      </c>
      <c r="D263" s="51"/>
      <c r="E263" s="1043">
        <v>1.9</v>
      </c>
      <c r="F263" s="1656"/>
      <c r="G263" s="1152" t="s">
        <v>9</v>
      </c>
    </row>
    <row r="264" spans="1:7">
      <c r="A264" s="1754">
        <v>45937</v>
      </c>
      <c r="B264" s="1748" t="str">
        <f>TiposLancamentos!B19</f>
        <v>Restaurantes</v>
      </c>
      <c r="C264" s="1740" t="s">
        <v>2224</v>
      </c>
      <c r="D264" s="51"/>
      <c r="E264" s="1043">
        <v>44.69</v>
      </c>
      <c r="F264" s="1656"/>
      <c r="G264" s="1152" t="s">
        <v>9</v>
      </c>
    </row>
    <row r="265" spans="1:7">
      <c r="A265" s="1754">
        <v>45937</v>
      </c>
      <c r="B265" s="1748" t="str">
        <f>TiposLancamentos!B56</f>
        <v>Farmácia</v>
      </c>
      <c r="C265" s="1740" t="s">
        <v>9816</v>
      </c>
      <c r="D265" s="51"/>
      <c r="E265" s="1043">
        <v>16.77</v>
      </c>
      <c r="F265" s="1656"/>
      <c r="G265" s="1152" t="s">
        <v>9</v>
      </c>
    </row>
    <row r="266" spans="1:7">
      <c r="A266" s="1754">
        <v>45937</v>
      </c>
      <c r="B266" s="1748" t="str">
        <f>TiposLancamentos!B24</f>
        <v>Estacionamentos</v>
      </c>
      <c r="C266" s="1740" t="s">
        <v>1898</v>
      </c>
      <c r="D266" s="51"/>
      <c r="E266" s="1043">
        <v>23</v>
      </c>
      <c r="F266" s="1656"/>
      <c r="G266" s="1152" t="s">
        <v>9</v>
      </c>
    </row>
    <row r="267" spans="1:7">
      <c r="A267" s="1754">
        <v>45937</v>
      </c>
      <c r="B267" s="1748" t="str">
        <f>TiposLancamentos!B19</f>
        <v>Restaurantes</v>
      </c>
      <c r="C267" s="1740" t="s">
        <v>1967</v>
      </c>
      <c r="D267" s="51"/>
      <c r="E267" s="1043">
        <v>24.2</v>
      </c>
      <c r="F267" s="1656"/>
      <c r="G267" s="1152" t="s">
        <v>9</v>
      </c>
    </row>
    <row r="268" spans="1:7">
      <c r="A268" s="1754">
        <v>45938</v>
      </c>
      <c r="B268" s="1748" t="str">
        <f>TiposLancamentos!B34</f>
        <v>Seguros</v>
      </c>
      <c r="C268" s="1740" t="s">
        <v>9817</v>
      </c>
      <c r="D268" s="51"/>
      <c r="E268" s="1043">
        <v>97.03</v>
      </c>
      <c r="F268" s="1656">
        <v>582.13</v>
      </c>
      <c r="G268" s="1152" t="s">
        <v>9</v>
      </c>
    </row>
    <row r="269" spans="1:7">
      <c r="A269" s="1754">
        <v>45938</v>
      </c>
      <c r="B269" s="1748" t="str">
        <f>TiposLancamentos!B19</f>
        <v>Restaurantes</v>
      </c>
      <c r="C269" s="1740" t="s">
        <v>9818</v>
      </c>
      <c r="D269" s="51"/>
      <c r="E269" s="1043">
        <v>58.8</v>
      </c>
      <c r="F269" s="1656"/>
      <c r="G269" s="1152" t="s">
        <v>9</v>
      </c>
    </row>
    <row r="270" spans="1:7">
      <c r="A270" s="1754">
        <v>45938</v>
      </c>
      <c r="B270" s="1748" t="str">
        <f>TiposLancamentos!B19</f>
        <v>Restaurantes</v>
      </c>
      <c r="C270" s="1740" t="s">
        <v>9819</v>
      </c>
      <c r="D270" s="51"/>
      <c r="E270" s="1043">
        <v>17.5</v>
      </c>
      <c r="F270" s="1656"/>
      <c r="G270" s="1152" t="s">
        <v>9</v>
      </c>
    </row>
    <row r="271" spans="1:7">
      <c r="A271" s="1754">
        <v>45938</v>
      </c>
      <c r="B271" s="1748" t="str">
        <f>TiposLancamentos!B71</f>
        <v>Itens Pessoais</v>
      </c>
      <c r="C271" s="1740" t="s">
        <v>9820</v>
      </c>
      <c r="D271" s="51"/>
      <c r="E271" s="1043">
        <v>120</v>
      </c>
      <c r="F271" s="1656"/>
      <c r="G271" s="1152" t="s">
        <v>9</v>
      </c>
    </row>
    <row r="272" spans="1:7">
      <c r="A272" s="1754">
        <v>45938</v>
      </c>
      <c r="B272" s="1748" t="str">
        <f>TiposLancamentos!B33</f>
        <v>Pedágios</v>
      </c>
      <c r="C272" s="1740" t="s">
        <v>9776</v>
      </c>
      <c r="D272" s="51"/>
      <c r="E272" s="1043">
        <v>50</v>
      </c>
      <c r="F272" s="1656"/>
      <c r="G272" s="1152" t="s">
        <v>9</v>
      </c>
    </row>
    <row r="273" spans="1:7">
      <c r="A273" s="1818">
        <v>45938</v>
      </c>
      <c r="B273" s="1813" t="str">
        <f>TiposLancamentos!B16</f>
        <v>Cristiane</v>
      </c>
      <c r="C273" s="1806" t="s">
        <v>9821</v>
      </c>
      <c r="D273" s="1797"/>
      <c r="E273" s="1791">
        <v>59.23</v>
      </c>
      <c r="F273" s="1787"/>
      <c r="G273" s="1152" t="s">
        <v>9</v>
      </c>
    </row>
    <row r="274" spans="1:7">
      <c r="A274" s="1754">
        <v>45938</v>
      </c>
      <c r="B274" s="1748" t="str">
        <f>TiposLancamentos!B19</f>
        <v>Restaurantes</v>
      </c>
      <c r="C274" s="1740" t="s">
        <v>9822</v>
      </c>
      <c r="D274" s="51"/>
      <c r="E274" s="1043">
        <v>97.79</v>
      </c>
      <c r="F274" s="1656"/>
      <c r="G274" s="1152" t="s">
        <v>9</v>
      </c>
    </row>
    <row r="275" spans="1:7">
      <c r="A275" s="1754">
        <v>45940</v>
      </c>
      <c r="B275" s="1748" t="str">
        <f>TiposLancamentos!B70</f>
        <v>Vestuário</v>
      </c>
      <c r="C275" s="1740" t="s">
        <v>9823</v>
      </c>
      <c r="D275" s="51"/>
      <c r="E275" s="1043">
        <v>269.98</v>
      </c>
      <c r="F275" s="1656"/>
      <c r="G275" s="1152" t="s">
        <v>9</v>
      </c>
    </row>
    <row r="276" spans="1:7">
      <c r="A276" s="1754">
        <v>45940</v>
      </c>
      <c r="B276" s="1748" t="str">
        <f>TiposLancamentos!B19</f>
        <v>Restaurantes</v>
      </c>
      <c r="C276" s="1740" t="s">
        <v>9824</v>
      </c>
      <c r="D276" s="51"/>
      <c r="E276" s="1043">
        <v>222</v>
      </c>
      <c r="F276" s="1656"/>
      <c r="G276" s="1152" t="s">
        <v>9</v>
      </c>
    </row>
    <row r="277" spans="1:7">
      <c r="A277" s="1754">
        <v>45941</v>
      </c>
      <c r="B277" s="1748" t="str">
        <f>TiposLancamentos!B24</f>
        <v>Estacionamentos</v>
      </c>
      <c r="C277" s="1740" t="s">
        <v>9825</v>
      </c>
      <c r="D277" s="51"/>
      <c r="E277" s="1043">
        <v>41.96</v>
      </c>
      <c r="F277" s="1656"/>
      <c r="G277" s="1152" t="s">
        <v>9</v>
      </c>
    </row>
    <row r="278" spans="1:7">
      <c r="A278" s="1754">
        <v>45942</v>
      </c>
      <c r="B278" s="1748" t="str">
        <f>TiposLancamentos!B19</f>
        <v>Restaurantes</v>
      </c>
      <c r="C278" s="1740" t="s">
        <v>9826</v>
      </c>
      <c r="D278" s="51"/>
      <c r="E278" s="1043">
        <v>127</v>
      </c>
      <c r="F278" s="1656"/>
      <c r="G278" s="1152" t="s">
        <v>9</v>
      </c>
    </row>
    <row r="279" spans="1:7">
      <c r="A279" s="1754">
        <v>45943</v>
      </c>
      <c r="B279" s="1748" t="str">
        <f>TiposLancamentos!B56</f>
        <v>Farmácia</v>
      </c>
      <c r="C279" s="1740" t="s">
        <v>9827</v>
      </c>
      <c r="D279" s="51"/>
      <c r="E279" s="1043">
        <v>121.52</v>
      </c>
      <c r="F279" s="1656"/>
      <c r="G279" s="1152" t="s">
        <v>9</v>
      </c>
    </row>
    <row r="280" spans="1:7">
      <c r="A280" s="1754">
        <v>45943</v>
      </c>
      <c r="B280" s="1748" t="str">
        <f>TiposLancamentos!B19</f>
        <v>Restaurantes</v>
      </c>
      <c r="C280" s="1740" t="s">
        <v>2224</v>
      </c>
      <c r="D280" s="51"/>
      <c r="E280" s="1043">
        <v>43.19</v>
      </c>
      <c r="F280" s="1656"/>
      <c r="G280" s="1152" t="s">
        <v>9</v>
      </c>
    </row>
    <row r="281" spans="1:7">
      <c r="A281" s="1754">
        <v>45944</v>
      </c>
      <c r="B281" s="1748" t="str">
        <f>TiposLancamentos!B24</f>
        <v>Estacionamentos</v>
      </c>
      <c r="C281" s="1740" t="s">
        <v>9828</v>
      </c>
      <c r="D281" s="51"/>
      <c r="E281" s="1043">
        <v>23</v>
      </c>
      <c r="F281" s="1656"/>
      <c r="G281" s="1152" t="s">
        <v>9</v>
      </c>
    </row>
    <row r="282" spans="1:7">
      <c r="A282" s="1754">
        <v>45944</v>
      </c>
      <c r="B282" s="1748" t="str">
        <f>TiposLancamentos!B19</f>
        <v>Restaurantes</v>
      </c>
      <c r="C282" s="1740" t="s">
        <v>1967</v>
      </c>
      <c r="D282" s="51"/>
      <c r="E282" s="1043">
        <v>37.4</v>
      </c>
      <c r="F282" s="1656"/>
      <c r="G282" s="1152" t="s">
        <v>9</v>
      </c>
    </row>
    <row r="283" spans="1:7">
      <c r="A283" s="1754">
        <v>45944</v>
      </c>
      <c r="B283" s="1748" t="str">
        <f>TiposLancamentos!B5</f>
        <v>Supermercado</v>
      </c>
      <c r="C283" s="1740" t="s">
        <v>1879</v>
      </c>
      <c r="D283" s="51"/>
      <c r="E283" s="1043">
        <v>55.71</v>
      </c>
      <c r="F283" s="1656"/>
      <c r="G283" s="1152" t="s">
        <v>9</v>
      </c>
    </row>
    <row r="284" spans="1:7">
      <c r="A284" s="1754">
        <v>45945</v>
      </c>
      <c r="B284" s="1748" t="str">
        <f>TiposLancamentos!B5</f>
        <v>Supermercado</v>
      </c>
      <c r="C284" s="1740" t="s">
        <v>2414</v>
      </c>
      <c r="D284" s="51"/>
      <c r="E284" s="1043">
        <v>75.08</v>
      </c>
      <c r="F284" s="1656"/>
      <c r="G284" s="1152" t="s">
        <v>9</v>
      </c>
    </row>
    <row r="285" spans="1:7">
      <c r="A285" s="1754">
        <v>45945</v>
      </c>
      <c r="B285" s="1748" t="str">
        <f>TiposLancamentos!B19</f>
        <v>Restaurantes</v>
      </c>
      <c r="C285" s="1740" t="s">
        <v>2224</v>
      </c>
      <c r="D285" s="51"/>
      <c r="E285" s="1043">
        <v>34.450000000000003</v>
      </c>
      <c r="F285" s="1656"/>
      <c r="G285" s="1152" t="s">
        <v>9</v>
      </c>
    </row>
    <row r="286" spans="1:7">
      <c r="A286" s="1754">
        <v>45946</v>
      </c>
      <c r="B286" s="1748" t="str">
        <f>TiposLancamentos!B19</f>
        <v>Restaurantes</v>
      </c>
      <c r="C286" s="1740" t="s">
        <v>2224</v>
      </c>
      <c r="D286" s="51"/>
      <c r="E286" s="1043">
        <v>49.18</v>
      </c>
      <c r="F286" s="1656"/>
      <c r="G286" s="1152" t="s">
        <v>9</v>
      </c>
    </row>
    <row r="287" spans="1:7">
      <c r="A287" s="1754">
        <v>45946</v>
      </c>
      <c r="B287" s="1748" t="str">
        <f>TiposLancamentos!B65</f>
        <v>Taxi</v>
      </c>
      <c r="C287" s="1740" t="s">
        <v>9829</v>
      </c>
      <c r="D287" s="51"/>
      <c r="E287" s="1043">
        <v>55.08</v>
      </c>
      <c r="F287" s="1656"/>
      <c r="G287" s="1152" t="s">
        <v>9</v>
      </c>
    </row>
    <row r="288" spans="1:7">
      <c r="A288" s="1754">
        <v>45946</v>
      </c>
      <c r="B288" s="1748" t="str">
        <f>TiposLancamentos!B22</f>
        <v>Combustivel</v>
      </c>
      <c r="C288" s="1740" t="s">
        <v>2179</v>
      </c>
      <c r="D288" s="51"/>
      <c r="E288" s="1043">
        <v>100</v>
      </c>
      <c r="F288" s="1656"/>
      <c r="G288" s="1152" t="s">
        <v>9</v>
      </c>
    </row>
    <row r="289" spans="1:7">
      <c r="A289" s="1754">
        <v>45946</v>
      </c>
      <c r="B289" s="1748" t="str">
        <f>TiposLancamentos!B19</f>
        <v>Restaurantes</v>
      </c>
      <c r="C289" s="1740" t="s">
        <v>1967</v>
      </c>
      <c r="D289" s="51"/>
      <c r="E289" s="1043">
        <v>31.9</v>
      </c>
      <c r="F289" s="1656"/>
      <c r="G289" s="1152" t="s">
        <v>9</v>
      </c>
    </row>
    <row r="290" spans="1:7">
      <c r="A290" s="1754">
        <v>45946</v>
      </c>
      <c r="B290" s="1748" t="str">
        <f>TiposLancamentos!B65</f>
        <v>Taxi</v>
      </c>
      <c r="C290" s="1740" t="s">
        <v>9830</v>
      </c>
      <c r="D290" s="51"/>
      <c r="E290" s="1043">
        <v>44.54</v>
      </c>
      <c r="F290" s="1656"/>
      <c r="G290" s="1152" t="s">
        <v>9</v>
      </c>
    </row>
    <row r="291" spans="1:7">
      <c r="A291" s="1818">
        <v>45947</v>
      </c>
      <c r="B291" s="1813" t="str">
        <f>TiposLancamentos!B19</f>
        <v>Restaurantes</v>
      </c>
      <c r="C291" s="1806" t="s">
        <v>9781</v>
      </c>
      <c r="D291" s="1797"/>
      <c r="E291" s="1791">
        <v>92.88</v>
      </c>
      <c r="F291" s="1787"/>
      <c r="G291" s="1152" t="s">
        <v>9</v>
      </c>
    </row>
    <row r="292" spans="1:7">
      <c r="A292" s="1818">
        <v>45947</v>
      </c>
      <c r="B292" s="1813" t="str">
        <f>TiposLancamentos!B19</f>
        <v>Restaurantes</v>
      </c>
      <c r="C292" s="1806" t="s">
        <v>9831</v>
      </c>
      <c r="D292" s="1797"/>
      <c r="E292" s="1791">
        <v>122.78</v>
      </c>
      <c r="F292" s="1787"/>
      <c r="G292" s="1152" t="s">
        <v>9</v>
      </c>
    </row>
    <row r="293" spans="1:7">
      <c r="A293" s="1754">
        <v>45948</v>
      </c>
      <c r="B293" s="1748" t="str">
        <f>TiposLancamentos!B34</f>
        <v>Seguros</v>
      </c>
      <c r="C293" s="1740" t="s">
        <v>9832</v>
      </c>
      <c r="D293" s="51"/>
      <c r="E293" s="1043">
        <v>277.02999999999997</v>
      </c>
      <c r="F293" s="1656">
        <v>1662.14</v>
      </c>
      <c r="G293" s="1152" t="s">
        <v>9</v>
      </c>
    </row>
    <row r="294" spans="1:7">
      <c r="A294" s="1754">
        <v>45948</v>
      </c>
      <c r="B294" s="1748" t="str">
        <f>TiposLancamentos!B19</f>
        <v>Restaurantes</v>
      </c>
      <c r="C294" s="1740" t="s">
        <v>7741</v>
      </c>
      <c r="D294" s="51"/>
      <c r="E294" s="1043">
        <v>74.5</v>
      </c>
      <c r="F294" s="1656"/>
      <c r="G294" s="1152" t="s">
        <v>9</v>
      </c>
    </row>
    <row r="295" spans="1:7">
      <c r="A295" s="1754">
        <v>45948</v>
      </c>
      <c r="B295" s="1748" t="str">
        <f>TiposLancamentos!B33</f>
        <v>Pedágios</v>
      </c>
      <c r="C295" s="1740" t="s">
        <v>9776</v>
      </c>
      <c r="D295" s="51"/>
      <c r="E295" s="1043">
        <v>50</v>
      </c>
      <c r="F295" s="1656"/>
      <c r="G295" s="1152" t="s">
        <v>9</v>
      </c>
    </row>
    <row r="296" spans="1:7">
      <c r="A296" s="1754">
        <v>45948</v>
      </c>
      <c r="B296" s="1748" t="str">
        <f>TiposLancamentos!B19</f>
        <v>Restaurantes</v>
      </c>
      <c r="C296" s="1740" t="s">
        <v>9833</v>
      </c>
      <c r="D296" s="51"/>
      <c r="E296" s="1043">
        <v>8.5</v>
      </c>
      <c r="F296" s="1656"/>
      <c r="G296" s="1152" t="s">
        <v>9</v>
      </c>
    </row>
    <row r="297" spans="1:7">
      <c r="A297" s="1754">
        <v>45948</v>
      </c>
      <c r="B297" s="1748" t="str">
        <f>TiposLancamentos!B33</f>
        <v>Pedágios</v>
      </c>
      <c r="C297" s="1740" t="s">
        <v>9776</v>
      </c>
      <c r="D297" s="51"/>
      <c r="E297" s="1043">
        <v>50</v>
      </c>
      <c r="F297" s="1656"/>
      <c r="G297" s="1152" t="s">
        <v>9</v>
      </c>
    </row>
    <row r="298" spans="1:7">
      <c r="A298" s="1666">
        <v>45949</v>
      </c>
      <c r="B298" s="1666" t="str">
        <f>TiposLancamentos!B56</f>
        <v>Farmácia</v>
      </c>
      <c r="C298" s="1742" t="s">
        <v>9834</v>
      </c>
      <c r="D298" s="747"/>
      <c r="E298" s="1733">
        <f>(4*4.04)+(2*1.55)</f>
        <v>19.260000000000002</v>
      </c>
      <c r="F298" s="1346"/>
      <c r="G298" s="1152" t="s">
        <v>9</v>
      </c>
    </row>
    <row r="299" spans="1:7">
      <c r="A299" s="1750">
        <v>45949</v>
      </c>
      <c r="B299" s="1750" t="str">
        <f>TiposLancamentos!B16</f>
        <v>Cristiane</v>
      </c>
      <c r="C299" s="1743" t="s">
        <v>9835</v>
      </c>
      <c r="D299" s="849"/>
      <c r="E299" s="1668">
        <f>F299-E298</f>
        <v>68.099999999999994</v>
      </c>
      <c r="F299" s="1665">
        <v>87.36</v>
      </c>
      <c r="G299" s="1152" t="s">
        <v>9</v>
      </c>
    </row>
    <row r="300" spans="1:7">
      <c r="A300" s="1754">
        <v>45949</v>
      </c>
      <c r="B300" s="1748" t="str">
        <f>TiposLancamentos!B19</f>
        <v>Restaurantes</v>
      </c>
      <c r="C300" s="1740" t="s">
        <v>9836</v>
      </c>
      <c r="D300" s="51"/>
      <c r="E300" s="1043">
        <v>44.5</v>
      </c>
      <c r="F300" s="1656"/>
      <c r="G300" s="1152" t="s">
        <v>9</v>
      </c>
    </row>
    <row r="301" spans="1:7">
      <c r="A301" s="1754">
        <v>45949</v>
      </c>
      <c r="B301" s="1748" t="str">
        <f>TiposLancamentos!B33</f>
        <v>Pedágios</v>
      </c>
      <c r="C301" s="1740" t="s">
        <v>9776</v>
      </c>
      <c r="D301" s="51"/>
      <c r="E301" s="1043">
        <v>50</v>
      </c>
      <c r="F301" s="1656"/>
      <c r="G301" s="1152" t="s">
        <v>9</v>
      </c>
    </row>
    <row r="302" spans="1:7">
      <c r="A302" s="1754">
        <v>45950</v>
      </c>
      <c r="B302" s="1748" t="str">
        <f>TiposLancamentos!B5</f>
        <v>Supermercado</v>
      </c>
      <c r="C302" s="1740" t="s">
        <v>2370</v>
      </c>
      <c r="D302" s="51"/>
      <c r="E302" s="1043">
        <v>114.11</v>
      </c>
      <c r="F302" s="1656"/>
      <c r="G302" s="1152" t="s">
        <v>9</v>
      </c>
    </row>
    <row r="303" spans="1:7">
      <c r="A303" s="1818">
        <v>45951</v>
      </c>
      <c r="B303" s="1813" t="str">
        <f>TiposLancamentos!B16</f>
        <v>Cristiane</v>
      </c>
      <c r="C303" s="1806" t="s">
        <v>2618</v>
      </c>
      <c r="D303" s="1797"/>
      <c r="E303" s="1791">
        <v>28.9</v>
      </c>
      <c r="F303" s="1787"/>
      <c r="G303" s="1152" t="s">
        <v>9</v>
      </c>
    </row>
    <row r="304" spans="1:7">
      <c r="A304" s="1666">
        <v>45952</v>
      </c>
      <c r="B304" s="1666" t="str">
        <f>TiposLancamentos!B56</f>
        <v>Farmácia</v>
      </c>
      <c r="C304" s="1742" t="s">
        <v>9837</v>
      </c>
      <c r="D304" s="747"/>
      <c r="E304" s="1733">
        <f>F305-E305</f>
        <v>198.60999999999999</v>
      </c>
      <c r="F304" s="1346"/>
      <c r="G304" s="1152" t="s">
        <v>9</v>
      </c>
    </row>
    <row r="305" spans="1:7">
      <c r="A305" s="1750">
        <v>45952</v>
      </c>
      <c r="B305" s="1750" t="str">
        <f>TiposLancamentos!B60</f>
        <v>Correio</v>
      </c>
      <c r="C305" s="1743" t="s">
        <v>9838</v>
      </c>
      <c r="D305" s="849"/>
      <c r="E305" s="1668">
        <v>7.9</v>
      </c>
      <c r="F305" s="1665">
        <v>206.51</v>
      </c>
      <c r="G305" s="1152" t="s">
        <v>9</v>
      </c>
    </row>
    <row r="306" spans="1:7">
      <c r="A306" s="1818">
        <v>45952</v>
      </c>
      <c r="B306" s="1813" t="str">
        <f>TiposLancamentos!B16</f>
        <v>Cristiane</v>
      </c>
      <c r="C306" s="1806" t="s">
        <v>2618</v>
      </c>
      <c r="D306" s="1797"/>
      <c r="E306" s="1791">
        <v>73.95</v>
      </c>
      <c r="F306" s="1787"/>
      <c r="G306" s="1152" t="s">
        <v>9</v>
      </c>
    </row>
    <row r="307" spans="1:7">
      <c r="A307" s="1754">
        <v>45953</v>
      </c>
      <c r="B307" s="1748" t="str">
        <f>TiposLancamentos!B45</f>
        <v>Online Services</v>
      </c>
      <c r="C307" s="1740" t="s">
        <v>9788</v>
      </c>
      <c r="D307" s="51"/>
      <c r="E307" s="1043">
        <v>5.9</v>
      </c>
      <c r="F307" s="1656"/>
      <c r="G307" s="1152" t="s">
        <v>9</v>
      </c>
    </row>
    <row r="308" spans="1:7">
      <c r="A308" s="1756"/>
      <c r="B308" s="1749"/>
      <c r="C308" s="1741" t="s">
        <v>10</v>
      </c>
      <c r="D308" s="375"/>
      <c r="E308" s="1690"/>
      <c r="F308" s="1690"/>
      <c r="G308" s="1094" t="s">
        <v>11</v>
      </c>
    </row>
    <row r="309" spans="1:7">
      <c r="A309" s="1818">
        <v>45954</v>
      </c>
      <c r="B309" s="1813" t="str">
        <f>TiposLancamentos!B5</f>
        <v>Supermercado</v>
      </c>
      <c r="C309" s="1806" t="s">
        <v>2414</v>
      </c>
      <c r="D309" s="1797"/>
      <c r="E309" s="1791">
        <v>122.5</v>
      </c>
      <c r="F309" s="1787"/>
      <c r="G309" s="1152" t="s">
        <v>9</v>
      </c>
    </row>
    <row r="310" spans="1:7">
      <c r="A310" s="1754">
        <v>45955</v>
      </c>
      <c r="B310" s="1748" t="str">
        <f>TiposLancamentos!B19</f>
        <v>Restaurantes</v>
      </c>
      <c r="C310" s="1740" t="s">
        <v>9839</v>
      </c>
      <c r="D310" s="51"/>
      <c r="E310" s="1043">
        <v>113.74</v>
      </c>
      <c r="F310" s="1656"/>
      <c r="G310" s="1152" t="s">
        <v>9</v>
      </c>
    </row>
    <row r="311" spans="1:7">
      <c r="A311" s="1818">
        <v>45955</v>
      </c>
      <c r="B311" s="1813" t="str">
        <f>TiposLancamentos!B16</f>
        <v>Cristiane</v>
      </c>
      <c r="C311" s="1806" t="s">
        <v>9840</v>
      </c>
      <c r="D311" s="1797"/>
      <c r="E311" s="1791">
        <v>65.45</v>
      </c>
      <c r="F311" s="1787"/>
      <c r="G311" s="1152" t="s">
        <v>9</v>
      </c>
    </row>
    <row r="312" spans="1:7">
      <c r="A312" s="1754">
        <v>45955</v>
      </c>
      <c r="B312" s="1748" t="str">
        <f>TiposLancamentos!B19</f>
        <v>Restaurantes</v>
      </c>
      <c r="C312" s="1740" t="s">
        <v>9841</v>
      </c>
      <c r="D312" s="51"/>
      <c r="E312" s="1043">
        <v>46.97</v>
      </c>
      <c r="F312" s="1656"/>
      <c r="G312" s="1152" t="s">
        <v>9</v>
      </c>
    </row>
    <row r="313" spans="1:7">
      <c r="A313" s="1818">
        <v>45956</v>
      </c>
      <c r="B313" s="1813" t="str">
        <f>TiposLancamentos!B19</f>
        <v>Restaurantes</v>
      </c>
      <c r="C313" s="1806" t="s">
        <v>9842</v>
      </c>
      <c r="D313" s="1797"/>
      <c r="E313" s="1791">
        <v>134.68</v>
      </c>
      <c r="F313" s="1787"/>
      <c r="G313" s="1152" t="s">
        <v>9</v>
      </c>
    </row>
    <row r="314" spans="1:7">
      <c r="A314" s="1754">
        <v>45956</v>
      </c>
      <c r="B314" s="1748" t="str">
        <f>TiposLancamentos!B5</f>
        <v>Supermercado</v>
      </c>
      <c r="C314" s="1740" t="s">
        <v>1943</v>
      </c>
      <c r="D314" s="51"/>
      <c r="E314" s="1043">
        <v>134.97</v>
      </c>
      <c r="F314" s="1656"/>
      <c r="G314" s="1152" t="s">
        <v>9</v>
      </c>
    </row>
    <row r="315" spans="1:7">
      <c r="A315" s="1818">
        <v>45957</v>
      </c>
      <c r="B315" s="1813" t="str">
        <f>TiposLancamentos!B22</f>
        <v>Combustivel</v>
      </c>
      <c r="C315" s="1806" t="s">
        <v>9843</v>
      </c>
      <c r="D315" s="1797"/>
      <c r="E315" s="1791">
        <v>150</v>
      </c>
      <c r="F315" s="1787"/>
      <c r="G315" s="1152" t="s">
        <v>9</v>
      </c>
    </row>
    <row r="316" spans="1:7">
      <c r="A316" s="1754">
        <v>45958</v>
      </c>
      <c r="B316" s="1748" t="str">
        <f>TiposLancamentos!B45</f>
        <v>Online Services</v>
      </c>
      <c r="C316" s="1740" t="s">
        <v>2102</v>
      </c>
      <c r="D316" s="51"/>
      <c r="E316" s="1043">
        <v>29.9</v>
      </c>
      <c r="F316" s="1656"/>
      <c r="G316" s="1152" t="s">
        <v>9</v>
      </c>
    </row>
    <row r="317" spans="1:7">
      <c r="A317" s="1754">
        <v>45958</v>
      </c>
      <c r="B317" s="1748" t="str">
        <f>TiposLancamentos!B19</f>
        <v>Restaurantes</v>
      </c>
      <c r="C317" s="1740" t="s">
        <v>2270</v>
      </c>
      <c r="D317" s="51"/>
      <c r="E317" s="1043">
        <v>26.9</v>
      </c>
      <c r="F317" s="1656"/>
      <c r="G317" s="1152" t="s">
        <v>9</v>
      </c>
    </row>
    <row r="318" spans="1:7">
      <c r="A318" s="1754">
        <v>45958</v>
      </c>
      <c r="B318" s="1748" t="str">
        <f>TiposLancamentos!B17</f>
        <v>GATO</v>
      </c>
      <c r="C318" s="1740" t="s">
        <v>1925</v>
      </c>
      <c r="D318" s="51"/>
      <c r="E318" s="1043">
        <v>30.5</v>
      </c>
      <c r="F318" s="1656"/>
      <c r="G318" s="1152" t="s">
        <v>9</v>
      </c>
    </row>
    <row r="319" spans="1:7">
      <c r="A319" s="1754">
        <v>45958</v>
      </c>
      <c r="B319" s="1748" t="str">
        <f>TiposLancamentos!B24</f>
        <v>Estacionamentos</v>
      </c>
      <c r="C319" s="1740" t="s">
        <v>1898</v>
      </c>
      <c r="D319" s="51"/>
      <c r="E319" s="1043">
        <v>23</v>
      </c>
      <c r="F319" s="1656"/>
      <c r="G319" s="1152" t="s">
        <v>9</v>
      </c>
    </row>
    <row r="320" spans="1:7">
      <c r="A320" s="1754">
        <v>45959</v>
      </c>
      <c r="B320" s="1748" t="str">
        <f>TiposLancamentos!B45</f>
        <v>Online Services</v>
      </c>
      <c r="C320" s="1740" t="s">
        <v>9798</v>
      </c>
      <c r="D320" s="51"/>
      <c r="E320" s="1043">
        <v>26.9</v>
      </c>
      <c r="F320" s="1656"/>
      <c r="G320" s="1152" t="s">
        <v>9</v>
      </c>
    </row>
    <row r="321" spans="1:7">
      <c r="A321" s="1754">
        <v>45959</v>
      </c>
      <c r="B321" s="1748" t="str">
        <f>TiposLancamentos!B19</f>
        <v>Restaurantes</v>
      </c>
      <c r="C321" s="1740" t="s">
        <v>2224</v>
      </c>
      <c r="D321" s="51"/>
      <c r="E321" s="1043">
        <v>35.19</v>
      </c>
      <c r="F321" s="1656"/>
      <c r="G321" s="1152" t="s">
        <v>9</v>
      </c>
    </row>
    <row r="322" spans="1:7">
      <c r="A322" s="1754">
        <v>45960</v>
      </c>
      <c r="B322" s="1748" t="str">
        <f>TiposLancamentos!B5</f>
        <v>Supermercado</v>
      </c>
      <c r="C322" s="1740" t="s">
        <v>9844</v>
      </c>
      <c r="D322" s="51"/>
      <c r="E322" s="1043">
        <v>64.33</v>
      </c>
      <c r="F322" s="1656"/>
      <c r="G322" s="1152" t="s">
        <v>9</v>
      </c>
    </row>
    <row r="323" spans="1:7">
      <c r="A323" s="1818">
        <v>45960</v>
      </c>
      <c r="B323" s="1813" t="str">
        <f>TiposLancamentos!B45</f>
        <v>Online Services</v>
      </c>
      <c r="C323" s="1806" t="s">
        <v>9804</v>
      </c>
      <c r="D323" s="1797"/>
      <c r="E323" s="1791">
        <v>5.95</v>
      </c>
      <c r="F323" s="1787"/>
      <c r="G323" s="1152" t="s">
        <v>9</v>
      </c>
    </row>
    <row r="324" spans="1:7" ht="14.25" thickBot="1">
      <c r="A324" s="1818">
        <v>45960</v>
      </c>
      <c r="B324" s="1813" t="str">
        <f>TiposLancamentos!B19</f>
        <v>Restaurantes</v>
      </c>
      <c r="C324" s="1806" t="s">
        <v>9831</v>
      </c>
      <c r="D324" s="1797"/>
      <c r="E324" s="1791">
        <v>121</v>
      </c>
      <c r="F324" s="1787"/>
      <c r="G324" s="1152" t="s">
        <v>9</v>
      </c>
    </row>
    <row r="325" spans="1:7">
      <c r="A325" s="1814"/>
      <c r="B325" s="1809"/>
      <c r="C325" s="1799" t="s">
        <v>1652</v>
      </c>
      <c r="D325" s="1873"/>
      <c r="E325" s="1042"/>
      <c r="F325" s="1945">
        <f>SUM(E211:E308)</f>
        <v>6116.8899999999985</v>
      </c>
    </row>
    <row r="326" spans="1:7">
      <c r="A326" s="1818">
        <v>45962</v>
      </c>
      <c r="B326" s="1813" t="str">
        <f>TiposLancamentos!B16</f>
        <v>Cristiane</v>
      </c>
      <c r="C326" s="1806" t="s">
        <v>6715</v>
      </c>
      <c r="D326" s="1797"/>
      <c r="E326" s="1791">
        <v>77.09</v>
      </c>
      <c r="F326" s="1787">
        <f>F325-F243</f>
        <v>4890.119999999999</v>
      </c>
      <c r="G326" s="1152" t="s">
        <v>9</v>
      </c>
    </row>
    <row r="327" spans="1:7">
      <c r="A327" s="1754">
        <v>45962</v>
      </c>
      <c r="B327" s="1748" t="str">
        <f>TiposLancamentos!B45</f>
        <v>Online Services</v>
      </c>
      <c r="C327" s="1740" t="s">
        <v>2079</v>
      </c>
      <c r="D327" s="51"/>
      <c r="E327" s="1043">
        <v>31.9</v>
      </c>
      <c r="F327" s="1656"/>
      <c r="G327" s="1152" t="s">
        <v>9</v>
      </c>
    </row>
    <row r="328" spans="1:7">
      <c r="A328" s="1754">
        <v>45962</v>
      </c>
      <c r="B328" s="1748" t="str">
        <f>TiposLancamentos!B19</f>
        <v>Restaurantes</v>
      </c>
      <c r="C328" s="1740" t="s">
        <v>9845</v>
      </c>
      <c r="D328" s="51"/>
      <c r="E328" s="1043">
        <v>85.98</v>
      </c>
      <c r="F328" s="1656"/>
      <c r="G328" s="1152" t="s">
        <v>9</v>
      </c>
    </row>
    <row r="329" spans="1:7">
      <c r="A329" s="1818">
        <v>45963</v>
      </c>
      <c r="B329" s="1813" t="str">
        <f>TiposLancamentos!B19</f>
        <v>Restaurantes</v>
      </c>
      <c r="C329" s="1806" t="s">
        <v>9846</v>
      </c>
      <c r="D329" s="1797"/>
      <c r="E329" s="1791">
        <v>123.78</v>
      </c>
      <c r="F329" s="1787"/>
      <c r="G329" s="1152" t="s">
        <v>9</v>
      </c>
    </row>
    <row r="330" spans="1:7">
      <c r="A330" s="1754">
        <v>45964</v>
      </c>
      <c r="B330" s="1748" t="str">
        <f>TiposLancamentos!B15</f>
        <v>Cartões de Crédito</v>
      </c>
      <c r="C330" s="1740" t="s">
        <v>1874</v>
      </c>
      <c r="D330" s="51">
        <v>6116.89</v>
      </c>
      <c r="E330" s="1043"/>
      <c r="F330" s="1656"/>
      <c r="G330" s="1152" t="s">
        <v>9</v>
      </c>
    </row>
    <row r="331" spans="1:7">
      <c r="A331" s="1666">
        <v>45964</v>
      </c>
      <c r="B331" s="1666" t="str">
        <f>TiposLancamentos!B28</f>
        <v>ComicBook</v>
      </c>
      <c r="C331" s="1742" t="s">
        <v>9847</v>
      </c>
      <c r="D331" s="747"/>
      <c r="E331" s="1733">
        <v>49.9</v>
      </c>
      <c r="F331" s="1346"/>
      <c r="G331" s="1152" t="s">
        <v>9</v>
      </c>
    </row>
    <row r="332" spans="1:7">
      <c r="A332" s="1750">
        <v>45964</v>
      </c>
      <c r="B332" s="1750" t="str">
        <f>TiposLancamentos!B60</f>
        <v>Correio</v>
      </c>
      <c r="C332" s="1743" t="s">
        <v>9848</v>
      </c>
      <c r="D332" s="849"/>
      <c r="E332" s="1668">
        <v>11.45</v>
      </c>
      <c r="F332" s="1665">
        <f>SUM(E331:E332)</f>
        <v>61.349999999999994</v>
      </c>
      <c r="G332" s="1152" t="s">
        <v>9</v>
      </c>
    </row>
    <row r="333" spans="1:7">
      <c r="A333" s="1754">
        <v>45964</v>
      </c>
      <c r="B333" s="1748" t="str">
        <f>TiposLancamentos!B19</f>
        <v>Restaurantes</v>
      </c>
      <c r="C333" s="1740" t="s">
        <v>2224</v>
      </c>
      <c r="D333" s="51"/>
      <c r="E333" s="1043">
        <v>37.69</v>
      </c>
      <c r="F333" s="1656"/>
      <c r="G333" s="1152" t="s">
        <v>9</v>
      </c>
    </row>
    <row r="334" spans="1:7">
      <c r="A334" s="1754">
        <v>45964</v>
      </c>
      <c r="B334" s="1748" t="str">
        <f>TiposLancamentos!B13</f>
        <v>Moradia</v>
      </c>
      <c r="C334" s="1740" t="s">
        <v>9849</v>
      </c>
      <c r="D334" s="51"/>
      <c r="E334" s="1043">
        <v>16</v>
      </c>
      <c r="F334" s="1656"/>
      <c r="G334" s="1152" t="s">
        <v>9</v>
      </c>
    </row>
    <row r="335" spans="1:7">
      <c r="A335" s="1754">
        <v>45964</v>
      </c>
      <c r="B335" s="1748" t="str">
        <f>TiposLancamentos!B5</f>
        <v>Supermercado</v>
      </c>
      <c r="C335" s="1740" t="s">
        <v>9850</v>
      </c>
      <c r="D335" s="51"/>
      <c r="E335" s="1043">
        <v>53.96</v>
      </c>
      <c r="F335" s="1656"/>
      <c r="G335" s="1152" t="s">
        <v>9</v>
      </c>
    </row>
    <row r="336" spans="1:7">
      <c r="A336" s="1818">
        <v>45964</v>
      </c>
      <c r="B336" s="1813" t="str">
        <f>TiposLancamentos!B16</f>
        <v>Cristiane</v>
      </c>
      <c r="C336" s="1806" t="s">
        <v>9851</v>
      </c>
      <c r="D336" s="1797"/>
      <c r="E336" s="1791">
        <v>35.979999999999997</v>
      </c>
      <c r="F336" s="1787"/>
      <c r="G336" s="1152" t="s">
        <v>9</v>
      </c>
    </row>
    <row r="337" spans="1:7">
      <c r="A337" s="1754">
        <v>45965</v>
      </c>
      <c r="B337" s="1748" t="str">
        <f>TiposLancamentos!B19</f>
        <v>Restaurantes</v>
      </c>
      <c r="C337" s="1740" t="s">
        <v>2270</v>
      </c>
      <c r="D337" s="51"/>
      <c r="E337" s="1043">
        <v>26.9</v>
      </c>
      <c r="F337" s="1656"/>
      <c r="G337" s="1152" t="s">
        <v>9</v>
      </c>
    </row>
    <row r="338" spans="1:7">
      <c r="A338" s="1754">
        <v>45965</v>
      </c>
      <c r="B338" s="1748" t="str">
        <f>TiposLancamentos!B5</f>
        <v>Supermercado</v>
      </c>
      <c r="C338" s="1740" t="s">
        <v>9852</v>
      </c>
      <c r="D338" s="51"/>
      <c r="E338" s="1043">
        <v>53.35</v>
      </c>
      <c r="F338" s="1656"/>
      <c r="G338" s="1152" t="s">
        <v>9</v>
      </c>
    </row>
    <row r="339" spans="1:7">
      <c r="A339" s="1754">
        <v>45965</v>
      </c>
      <c r="B339" s="1748" t="str">
        <f>TiposLancamentos!B24</f>
        <v>Estacionamentos</v>
      </c>
      <c r="C339" s="1740" t="s">
        <v>1898</v>
      </c>
      <c r="D339" s="51"/>
      <c r="E339" s="1043">
        <v>23</v>
      </c>
      <c r="F339" s="1656"/>
      <c r="G339" s="1152" t="s">
        <v>9</v>
      </c>
    </row>
    <row r="340" spans="1:7">
      <c r="A340" s="1754">
        <v>45965</v>
      </c>
      <c r="B340" s="1748" t="str">
        <f>TiposLancamentos!B19</f>
        <v>Restaurantes</v>
      </c>
      <c r="C340" s="1740" t="s">
        <v>1967</v>
      </c>
      <c r="D340" s="51"/>
      <c r="E340" s="1043">
        <v>45.1</v>
      </c>
      <c r="F340" s="1656"/>
      <c r="G340" s="1152" t="s">
        <v>9</v>
      </c>
    </row>
    <row r="341" spans="1:7">
      <c r="A341" s="1754">
        <v>45966</v>
      </c>
      <c r="B341" s="1748" t="str">
        <f>TiposLancamentos!B19</f>
        <v>Restaurantes</v>
      </c>
      <c r="C341" s="1740" t="s">
        <v>2224</v>
      </c>
      <c r="D341" s="51"/>
      <c r="E341" s="1043">
        <v>48.68</v>
      </c>
      <c r="F341" s="1656"/>
      <c r="G341" s="1152" t="s">
        <v>9</v>
      </c>
    </row>
    <row r="342" spans="1:7">
      <c r="A342" s="1818">
        <v>45966</v>
      </c>
      <c r="B342" s="1813" t="str">
        <f>TiposLancamentos!B19</f>
        <v>Restaurantes</v>
      </c>
      <c r="C342" s="1806" t="s">
        <v>9853</v>
      </c>
      <c r="D342" s="1797"/>
      <c r="E342" s="1791">
        <v>84.35</v>
      </c>
      <c r="F342" s="1787"/>
      <c r="G342" s="1152" t="s">
        <v>9</v>
      </c>
    </row>
    <row r="343" spans="1:7">
      <c r="A343" s="1754">
        <v>45967</v>
      </c>
      <c r="B343" s="1748" t="str">
        <f>TiposLancamentos!B19</f>
        <v>Restaurantes</v>
      </c>
      <c r="C343" s="1740" t="s">
        <v>9845</v>
      </c>
      <c r="D343" s="51"/>
      <c r="E343" s="1043">
        <v>101.97</v>
      </c>
      <c r="F343" s="1656"/>
      <c r="G343" s="1152" t="s">
        <v>9</v>
      </c>
    </row>
    <row r="344" spans="1:7">
      <c r="A344" s="1818">
        <v>45968</v>
      </c>
      <c r="B344" s="1813" t="str">
        <f>TiposLancamentos!B19</f>
        <v>Restaurantes</v>
      </c>
      <c r="C344" s="1806" t="s">
        <v>9854</v>
      </c>
      <c r="D344" s="1797"/>
      <c r="E344" s="1791">
        <v>76.39</v>
      </c>
      <c r="F344" s="1787"/>
      <c r="G344" s="1152" t="s">
        <v>9</v>
      </c>
    </row>
    <row r="345" spans="1:7">
      <c r="A345" s="1754">
        <v>45969</v>
      </c>
      <c r="B345" s="1748" t="str">
        <f>TiposLancamentos!B34</f>
        <v>Seguros</v>
      </c>
      <c r="C345" s="1740" t="s">
        <v>9855</v>
      </c>
      <c r="D345" s="51"/>
      <c r="E345" s="1043">
        <f>F345/6</f>
        <v>97.021666666666661</v>
      </c>
      <c r="F345" s="1656">
        <v>582.13</v>
      </c>
      <c r="G345" s="1152" t="s">
        <v>9</v>
      </c>
    </row>
    <row r="346" spans="1:7">
      <c r="A346" s="1754">
        <v>45969</v>
      </c>
      <c r="B346" s="1748" t="str">
        <f>TiposLancamentos!B5</f>
        <v>Supermercado</v>
      </c>
      <c r="C346" s="1740" t="s">
        <v>2414</v>
      </c>
      <c r="D346" s="51"/>
      <c r="E346" s="1043">
        <v>319.69</v>
      </c>
      <c r="F346" s="1656"/>
      <c r="G346" s="1152" t="s">
        <v>9</v>
      </c>
    </row>
    <row r="347" spans="1:7">
      <c r="A347" s="1754">
        <v>45969</v>
      </c>
      <c r="B347" s="1748" t="str">
        <f>TiposLancamentos!B19</f>
        <v>Restaurantes</v>
      </c>
      <c r="C347" s="1740" t="s">
        <v>9856</v>
      </c>
      <c r="D347" s="51"/>
      <c r="E347" s="1043">
        <v>88.64</v>
      </c>
      <c r="F347" s="1656"/>
      <c r="G347" s="1152" t="s">
        <v>9</v>
      </c>
    </row>
    <row r="348" spans="1:7">
      <c r="A348" s="1754">
        <v>45969</v>
      </c>
      <c r="B348" s="1748" t="str">
        <f>TiposLancamentos!B16</f>
        <v>Cristiane</v>
      </c>
      <c r="C348" s="1740" t="s">
        <v>9857</v>
      </c>
      <c r="D348" s="51"/>
      <c r="E348" s="1043">
        <v>21.75</v>
      </c>
      <c r="F348" s="1656"/>
      <c r="G348" s="1152" t="s">
        <v>9</v>
      </c>
    </row>
    <row r="349" spans="1:7">
      <c r="A349" s="1754">
        <v>45969</v>
      </c>
      <c r="B349" s="1748" t="str">
        <f>TiposLancamentos!B17</f>
        <v>GATO</v>
      </c>
      <c r="C349" s="1740" t="s">
        <v>9858</v>
      </c>
      <c r="D349" s="51"/>
      <c r="E349" s="1043">
        <v>39.78</v>
      </c>
      <c r="F349" s="1656"/>
      <c r="G349" s="1152" t="s">
        <v>9</v>
      </c>
    </row>
    <row r="350" spans="1:7">
      <c r="A350" s="1818">
        <v>45969</v>
      </c>
      <c r="B350" s="1813" t="str">
        <f>TiposLancamentos!B19</f>
        <v>Restaurantes</v>
      </c>
      <c r="C350" s="1806" t="s">
        <v>9859</v>
      </c>
      <c r="D350" s="1797"/>
      <c r="E350" s="1791">
        <v>124.79</v>
      </c>
      <c r="F350" s="1787"/>
      <c r="G350" s="1152" t="s">
        <v>9</v>
      </c>
    </row>
    <row r="351" spans="1:7">
      <c r="A351" s="1754">
        <v>45970</v>
      </c>
      <c r="B351" s="1748" t="str">
        <f>TiposLancamentos!B65</f>
        <v>Taxi</v>
      </c>
      <c r="C351" s="1740" t="s">
        <v>9860</v>
      </c>
      <c r="D351" s="51"/>
      <c r="E351" s="1043">
        <v>11.98</v>
      </c>
      <c r="F351" s="1656"/>
      <c r="G351" s="1152" t="s">
        <v>9</v>
      </c>
    </row>
    <row r="352" spans="1:7">
      <c r="A352" s="1754">
        <v>45970</v>
      </c>
      <c r="B352" s="1748" t="str">
        <f>TiposLancamentos!B19</f>
        <v>Restaurantes</v>
      </c>
      <c r="C352" s="1740" t="s">
        <v>9861</v>
      </c>
      <c r="D352" s="51"/>
      <c r="E352" s="1043">
        <v>68</v>
      </c>
      <c r="F352" s="1656"/>
      <c r="G352" s="1152" t="s">
        <v>9</v>
      </c>
    </row>
    <row r="353" spans="1:7">
      <c r="A353" s="1754">
        <v>45970</v>
      </c>
      <c r="B353" s="1748" t="str">
        <f>TiposLancamentos!B19</f>
        <v>Restaurantes</v>
      </c>
      <c r="C353" s="1740" t="s">
        <v>9862</v>
      </c>
      <c r="D353" s="51"/>
      <c r="E353" s="1043">
        <v>71.599999999999994</v>
      </c>
      <c r="F353" s="1656"/>
      <c r="G353" s="1152" t="s">
        <v>9</v>
      </c>
    </row>
    <row r="354" spans="1:7">
      <c r="A354" s="1754">
        <v>45970</v>
      </c>
      <c r="B354" s="1748" t="str">
        <f>TiposLancamentos!B65</f>
        <v>Taxi</v>
      </c>
      <c r="C354" s="1740" t="s">
        <v>2104</v>
      </c>
      <c r="D354" s="51"/>
      <c r="E354" s="1043">
        <v>12.97</v>
      </c>
      <c r="F354" s="1656"/>
      <c r="G354" s="1152" t="s">
        <v>9</v>
      </c>
    </row>
    <row r="355" spans="1:7">
      <c r="A355" s="1754">
        <v>45972</v>
      </c>
      <c r="B355" s="1748" t="str">
        <f>TiposLancamentos!B24</f>
        <v>Estacionamentos</v>
      </c>
      <c r="C355" s="1740" t="s">
        <v>1898</v>
      </c>
      <c r="D355" s="51"/>
      <c r="E355" s="1043">
        <v>23</v>
      </c>
      <c r="F355" s="1656"/>
      <c r="G355" s="1152" t="s">
        <v>9</v>
      </c>
    </row>
    <row r="356" spans="1:7">
      <c r="A356" s="1754">
        <v>45972</v>
      </c>
      <c r="B356" s="1748" t="str">
        <f>TiposLancamentos!B19</f>
        <v>Restaurantes</v>
      </c>
      <c r="C356" s="1740" t="s">
        <v>1967</v>
      </c>
      <c r="D356" s="51"/>
      <c r="E356" s="1043">
        <v>29.7</v>
      </c>
      <c r="F356" s="1656"/>
      <c r="G356" s="1152" t="s">
        <v>9</v>
      </c>
    </row>
    <row r="357" spans="1:7">
      <c r="A357" s="1754">
        <v>45973</v>
      </c>
      <c r="B357" s="1748" t="str">
        <f>TiposLancamentos!B19</f>
        <v>Restaurantes</v>
      </c>
      <c r="C357" s="1740" t="s">
        <v>2224</v>
      </c>
      <c r="D357" s="51"/>
      <c r="E357" s="1043">
        <v>72.38</v>
      </c>
      <c r="F357" s="1656"/>
      <c r="G357" s="1152" t="s">
        <v>9</v>
      </c>
    </row>
    <row r="358" spans="1:7">
      <c r="A358" s="1754">
        <v>45973</v>
      </c>
      <c r="B358" s="1748" t="str">
        <f>TiposLancamentos!B17</f>
        <v>GATO</v>
      </c>
      <c r="C358" s="1740" t="s">
        <v>9863</v>
      </c>
      <c r="D358" s="51"/>
      <c r="E358" s="1043">
        <v>36.46</v>
      </c>
      <c r="F358" s="1656"/>
      <c r="G358" s="1152" t="s">
        <v>9</v>
      </c>
    </row>
    <row r="359" spans="1:7">
      <c r="A359" s="1754">
        <v>45974</v>
      </c>
      <c r="B359" s="1748" t="str">
        <f>TiposLancamentos!B19</f>
        <v>Restaurantes</v>
      </c>
      <c r="C359" s="1740" t="s">
        <v>9787</v>
      </c>
      <c r="D359" s="51"/>
      <c r="E359" s="1043">
        <v>101.97</v>
      </c>
      <c r="F359" s="1656"/>
      <c r="G359" s="1152" t="s">
        <v>9</v>
      </c>
    </row>
    <row r="360" spans="1:7">
      <c r="A360" s="1818">
        <v>45975</v>
      </c>
      <c r="B360" s="1813" t="str">
        <f>TiposLancamentos!B13</f>
        <v>Moradia</v>
      </c>
      <c r="C360" s="1806" t="s">
        <v>9864</v>
      </c>
      <c r="D360" s="1797"/>
      <c r="E360" s="1791">
        <v>56.79</v>
      </c>
      <c r="F360" s="1787"/>
      <c r="G360" s="1152" t="s">
        <v>9</v>
      </c>
    </row>
    <row r="361" spans="1:7">
      <c r="A361" s="1754">
        <v>45976</v>
      </c>
      <c r="B361" s="1748" t="str">
        <f>TiposLancamentos!B19</f>
        <v>Restaurantes</v>
      </c>
      <c r="C361" s="1740" t="s">
        <v>9865</v>
      </c>
      <c r="D361" s="51"/>
      <c r="E361" s="1043">
        <v>22</v>
      </c>
      <c r="F361" s="1656"/>
      <c r="G361" s="1152" t="s">
        <v>9</v>
      </c>
    </row>
    <row r="362" spans="1:7">
      <c r="A362" s="1754">
        <v>45976</v>
      </c>
      <c r="B362" s="1748" t="str">
        <f>TiposLancamentos!B24</f>
        <v>Estacionamentos</v>
      </c>
      <c r="C362" s="1740" t="s">
        <v>9866</v>
      </c>
      <c r="D362" s="51"/>
      <c r="E362" s="1043">
        <v>20</v>
      </c>
      <c r="F362" s="1656"/>
      <c r="G362" s="1152" t="s">
        <v>9</v>
      </c>
    </row>
    <row r="363" spans="1:7">
      <c r="A363" s="1818">
        <v>45976</v>
      </c>
      <c r="B363" s="1813" t="str">
        <f>TiposLancamentos!B19</f>
        <v>Restaurantes</v>
      </c>
      <c r="C363" s="1806" t="s">
        <v>9867</v>
      </c>
      <c r="D363" s="1797"/>
      <c r="E363" s="1791">
        <v>101.85</v>
      </c>
      <c r="F363" s="1787"/>
      <c r="G363" s="1152" t="s">
        <v>9</v>
      </c>
    </row>
    <row r="364" spans="1:7">
      <c r="A364" s="1818">
        <v>45976</v>
      </c>
      <c r="B364" s="1813" t="str">
        <f>TiposLancamentos!B16</f>
        <v>Cristiane</v>
      </c>
      <c r="C364" s="1806" t="s">
        <v>9868</v>
      </c>
      <c r="D364" s="1797"/>
      <c r="E364" s="1791">
        <v>105.81</v>
      </c>
      <c r="F364" s="1787"/>
      <c r="G364" s="1152" t="s">
        <v>9</v>
      </c>
    </row>
    <row r="365" spans="1:7">
      <c r="A365" s="1754">
        <v>45977</v>
      </c>
      <c r="B365" s="1748" t="str">
        <f>TiposLancamentos!B19</f>
        <v>Restaurantes</v>
      </c>
      <c r="C365" s="1740" t="s">
        <v>9869</v>
      </c>
      <c r="D365" s="51"/>
      <c r="E365" s="1043">
        <v>143</v>
      </c>
      <c r="F365" s="1656"/>
      <c r="G365" s="1152" t="s">
        <v>9</v>
      </c>
    </row>
    <row r="366" spans="1:7">
      <c r="A366" s="1754">
        <v>45977</v>
      </c>
      <c r="B366" s="1748" t="str">
        <f>TiposLancamentos!B5</f>
        <v>Supermercado</v>
      </c>
      <c r="C366" s="1740" t="s">
        <v>2414</v>
      </c>
      <c r="D366" s="51"/>
      <c r="E366" s="1043">
        <v>191.29</v>
      </c>
      <c r="F366" s="1656"/>
      <c r="G366" s="1152" t="s">
        <v>9</v>
      </c>
    </row>
    <row r="367" spans="1:7">
      <c r="A367" s="1754">
        <v>45978</v>
      </c>
      <c r="B367" s="1748" t="str">
        <f>TiposLancamentos!B19</f>
        <v>Restaurantes</v>
      </c>
      <c r="C367" s="1740" t="s">
        <v>2224</v>
      </c>
      <c r="D367" s="51"/>
      <c r="E367" s="1043">
        <v>33.200000000000003</v>
      </c>
      <c r="F367" s="1656"/>
      <c r="G367" s="1152" t="s">
        <v>9</v>
      </c>
    </row>
    <row r="368" spans="1:7">
      <c r="A368" s="1818">
        <v>45978</v>
      </c>
      <c r="B368" s="1813" t="str">
        <f>TiposLancamentos!B22</f>
        <v>Combustivel</v>
      </c>
      <c r="C368" s="1806" t="s">
        <v>9870</v>
      </c>
      <c r="D368" s="1797"/>
      <c r="E368" s="1791">
        <v>120.94</v>
      </c>
      <c r="F368" s="1787"/>
      <c r="G368" s="1152" t="s">
        <v>9</v>
      </c>
    </row>
    <row r="369" spans="1:7">
      <c r="A369" s="1754">
        <v>45978</v>
      </c>
      <c r="B369" s="1748" t="str">
        <f>TiposLancamentos!B19</f>
        <v>Restaurantes</v>
      </c>
      <c r="C369" s="1740" t="s">
        <v>9845</v>
      </c>
      <c r="D369" s="51"/>
      <c r="E369" s="1043">
        <v>75.98</v>
      </c>
      <c r="F369" s="1656"/>
      <c r="G369" s="1152" t="s">
        <v>9</v>
      </c>
    </row>
    <row r="370" spans="1:7">
      <c r="A370" s="1754">
        <v>45979</v>
      </c>
      <c r="B370" s="1748" t="str">
        <f>TiposLancamentos!B34</f>
        <v>Seguros</v>
      </c>
      <c r="C370" s="1740" t="s">
        <v>9871</v>
      </c>
      <c r="D370" s="51"/>
      <c r="E370" s="1043">
        <v>277.02999999999997</v>
      </c>
      <c r="F370" s="1656">
        <v>1662.14</v>
      </c>
      <c r="G370" s="1152" t="s">
        <v>9</v>
      </c>
    </row>
    <row r="371" spans="1:7">
      <c r="A371" s="1754">
        <v>45979</v>
      </c>
      <c r="B371" s="1748" t="str">
        <f>TiposLancamentos!B19</f>
        <v>Restaurantes</v>
      </c>
      <c r="C371" s="1740" t="s">
        <v>2224</v>
      </c>
      <c r="D371" s="51"/>
      <c r="E371" s="1043">
        <v>44.44</v>
      </c>
      <c r="F371" s="1656"/>
      <c r="G371" s="1152" t="s">
        <v>9</v>
      </c>
    </row>
    <row r="372" spans="1:7">
      <c r="A372" s="1818">
        <v>45980</v>
      </c>
      <c r="B372" s="1813" t="str">
        <f>TiposLancamentos!B16</f>
        <v>Cristiane</v>
      </c>
      <c r="C372" s="1806" t="s">
        <v>2618</v>
      </c>
      <c r="D372" s="1797"/>
      <c r="E372" s="1791">
        <v>55.9</v>
      </c>
      <c r="F372" s="1787"/>
      <c r="G372" s="1152" t="s">
        <v>9</v>
      </c>
    </row>
    <row r="373" spans="1:7">
      <c r="A373" s="1754">
        <v>45981</v>
      </c>
      <c r="B373" s="1748" t="str">
        <f>TiposLancamentos!B19</f>
        <v>Restaurantes</v>
      </c>
      <c r="C373" s="1740" t="s">
        <v>9787</v>
      </c>
      <c r="D373" s="51"/>
      <c r="E373" s="1043">
        <v>86.99</v>
      </c>
      <c r="F373" s="1656"/>
      <c r="G373" s="1152" t="s">
        <v>9</v>
      </c>
    </row>
    <row r="374" spans="1:7">
      <c r="A374" s="1818">
        <v>45982</v>
      </c>
      <c r="B374" s="1813" t="str">
        <f>TiposLancamentos!B19</f>
        <v>Restaurantes</v>
      </c>
      <c r="C374" s="1806" t="s">
        <v>9872</v>
      </c>
      <c r="D374" s="1797"/>
      <c r="E374" s="1791">
        <v>73.39</v>
      </c>
      <c r="F374" s="1787"/>
      <c r="G374" s="1152" t="s">
        <v>9</v>
      </c>
    </row>
    <row r="375" spans="1:7">
      <c r="A375" s="1818">
        <v>45982</v>
      </c>
      <c r="B375" s="1813" t="str">
        <f>TiposLancamentos!B5</f>
        <v>Supermercado</v>
      </c>
      <c r="C375" s="1806" t="s">
        <v>9873</v>
      </c>
      <c r="D375" s="1797"/>
      <c r="E375" s="1791">
        <v>125.99</v>
      </c>
      <c r="F375" s="1787"/>
      <c r="G375" s="1152" t="s">
        <v>9</v>
      </c>
    </row>
    <row r="376" spans="1:7">
      <c r="A376" s="1756"/>
      <c r="B376" s="1749"/>
      <c r="C376" s="1741" t="s">
        <v>10</v>
      </c>
      <c r="D376" s="375"/>
      <c r="E376" s="1690"/>
      <c r="F376" s="1690"/>
      <c r="G376" s="1094" t="s">
        <v>11</v>
      </c>
    </row>
    <row r="377" spans="1:7">
      <c r="A377" s="1754">
        <v>45984</v>
      </c>
      <c r="B377" s="1748" t="str">
        <f>TiposLancamentos!B45</f>
        <v>Online Services</v>
      </c>
      <c r="C377" s="1740" t="s">
        <v>9788</v>
      </c>
      <c r="D377" s="51"/>
      <c r="E377" s="1043">
        <v>5.9</v>
      </c>
      <c r="F377" s="1656"/>
      <c r="G377" s="1152" t="s">
        <v>9</v>
      </c>
    </row>
    <row r="378" spans="1:7">
      <c r="A378" s="1754">
        <v>45985</v>
      </c>
      <c r="B378" s="1748" t="str">
        <f>TiposLancamentos!B56</f>
        <v>Farmácia</v>
      </c>
      <c r="C378" s="1740" t="s">
        <v>9874</v>
      </c>
      <c r="D378" s="51"/>
      <c r="E378" s="1043">
        <v>112.59</v>
      </c>
      <c r="F378" s="1656"/>
      <c r="G378" s="1152" t="s">
        <v>9</v>
      </c>
    </row>
    <row r="379" spans="1:7">
      <c r="A379" s="1754">
        <v>45985</v>
      </c>
      <c r="B379" s="1748" t="str">
        <f>TiposLancamentos!B19</f>
        <v>Restaurantes</v>
      </c>
      <c r="C379" s="1740" t="s">
        <v>2224</v>
      </c>
      <c r="D379" s="51"/>
      <c r="E379" s="1043">
        <v>39.68</v>
      </c>
      <c r="F379" s="1656"/>
      <c r="G379" s="1152" t="s">
        <v>9</v>
      </c>
    </row>
    <row r="380" spans="1:7">
      <c r="A380" s="1754">
        <v>45985</v>
      </c>
      <c r="B380" s="1748" t="str">
        <f>TiposLancamentos!B16</f>
        <v>Cristiane</v>
      </c>
      <c r="C380" s="1740" t="s">
        <v>9857</v>
      </c>
      <c r="D380" s="51"/>
      <c r="E380" s="1043">
        <v>14.5</v>
      </c>
      <c r="F380" s="1656"/>
      <c r="G380" s="1152" t="s">
        <v>9</v>
      </c>
    </row>
    <row r="381" spans="1:7">
      <c r="A381" s="1754">
        <v>45986</v>
      </c>
      <c r="B381" s="1748" t="str">
        <f>TiposLancamentos!B19</f>
        <v>Restaurantes</v>
      </c>
      <c r="C381" s="1740" t="s">
        <v>2224</v>
      </c>
      <c r="D381" s="51"/>
      <c r="E381" s="1043">
        <v>49.68</v>
      </c>
      <c r="F381" s="1656"/>
      <c r="G381" s="1152" t="s">
        <v>9</v>
      </c>
    </row>
    <row r="382" spans="1:7">
      <c r="A382" s="1754">
        <v>45986</v>
      </c>
      <c r="B382" s="1748" t="str">
        <f>TiposLancamentos!B65</f>
        <v>Taxi</v>
      </c>
      <c r="C382" s="1740" t="s">
        <v>9829</v>
      </c>
      <c r="D382" s="51"/>
      <c r="E382" s="1043">
        <v>45.98</v>
      </c>
      <c r="F382" s="1656"/>
      <c r="G382" s="1152" t="s">
        <v>9</v>
      </c>
    </row>
    <row r="383" spans="1:7">
      <c r="A383" s="1754">
        <v>45986</v>
      </c>
      <c r="B383" s="1748" t="str">
        <f>TiposLancamentos!B19</f>
        <v>Restaurantes</v>
      </c>
      <c r="C383" s="1740" t="s">
        <v>1967</v>
      </c>
      <c r="D383" s="51"/>
      <c r="E383" s="1043">
        <v>29.7</v>
      </c>
      <c r="F383" s="1656"/>
      <c r="G383" s="1152" t="s">
        <v>9</v>
      </c>
    </row>
    <row r="384" spans="1:7">
      <c r="A384" s="1754">
        <v>45986</v>
      </c>
      <c r="B384" s="1748" t="str">
        <f>TiposLancamentos!B19</f>
        <v>Restaurantes</v>
      </c>
      <c r="C384" s="1740" t="s">
        <v>9875</v>
      </c>
      <c r="D384" s="51"/>
      <c r="E384" s="1043">
        <v>77.61</v>
      </c>
      <c r="F384" s="1656"/>
      <c r="G384" s="1152" t="s">
        <v>9</v>
      </c>
    </row>
    <row r="385" spans="1:7" ht="14.25" customHeight="1">
      <c r="A385" s="1754">
        <v>45986</v>
      </c>
      <c r="B385" s="1748" t="str">
        <f>TiposLancamentos!B65</f>
        <v>Taxi</v>
      </c>
      <c r="C385" s="1740" t="s">
        <v>9876</v>
      </c>
      <c r="D385" s="51"/>
      <c r="E385" s="1043">
        <v>43.98</v>
      </c>
      <c r="F385" s="1656"/>
      <c r="G385" s="1152" t="s">
        <v>9</v>
      </c>
    </row>
    <row r="386" spans="1:7" ht="14.25" customHeight="1">
      <c r="A386" s="1754">
        <v>45986</v>
      </c>
      <c r="B386" s="1748" t="str">
        <f>TiposLancamentos!B4</f>
        <v>Taxas Bancarias</v>
      </c>
      <c r="C386" s="1740" t="s">
        <v>9877</v>
      </c>
      <c r="D386" s="51"/>
      <c r="E386" s="1043">
        <v>7.99</v>
      </c>
      <c r="F386" s="1656"/>
      <c r="G386" s="1152"/>
    </row>
    <row r="387" spans="1:7">
      <c r="A387" s="1818">
        <v>45987</v>
      </c>
      <c r="B387" s="1813" t="str">
        <f>TiposLancamentos!B16</f>
        <v>Cristiane</v>
      </c>
      <c r="C387" s="1806" t="s">
        <v>9878</v>
      </c>
      <c r="D387" s="1797"/>
      <c r="E387" s="1791">
        <v>35.99</v>
      </c>
      <c r="F387" s="1787"/>
      <c r="G387" s="1152" t="s">
        <v>9</v>
      </c>
    </row>
    <row r="388" spans="1:7">
      <c r="A388" s="1754">
        <v>45987</v>
      </c>
      <c r="B388" s="1748" t="str">
        <f>TiposLancamentos!B19</f>
        <v>Restaurantes</v>
      </c>
      <c r="C388" s="1740" t="s">
        <v>2224</v>
      </c>
      <c r="D388" s="51"/>
      <c r="E388" s="1043">
        <v>45.94</v>
      </c>
      <c r="F388" s="1656"/>
      <c r="G388" s="1152" t="s">
        <v>9</v>
      </c>
    </row>
    <row r="389" spans="1:7">
      <c r="A389" s="1754">
        <v>45987</v>
      </c>
      <c r="B389" s="1748" t="str">
        <f>TiposLancamentos!B17</f>
        <v>GATO</v>
      </c>
      <c r="C389" s="1740" t="s">
        <v>4878</v>
      </c>
      <c r="D389" s="51"/>
      <c r="E389" s="1043">
        <v>45.75</v>
      </c>
      <c r="F389" s="1656"/>
      <c r="G389" s="1152" t="s">
        <v>9</v>
      </c>
    </row>
    <row r="390" spans="1:7">
      <c r="A390" s="1818">
        <v>45987</v>
      </c>
      <c r="B390" s="1813" t="str">
        <f>TiposLancamentos!B16</f>
        <v>Cristiane</v>
      </c>
      <c r="C390" s="1806" t="s">
        <v>9879</v>
      </c>
      <c r="D390" s="1797"/>
      <c r="E390" s="1791">
        <v>42.45</v>
      </c>
      <c r="F390" s="1787"/>
      <c r="G390" s="1152" t="s">
        <v>9</v>
      </c>
    </row>
    <row r="391" spans="1:7">
      <c r="A391" s="1754">
        <v>45987</v>
      </c>
      <c r="B391" s="1748" t="str">
        <f>TiposLancamentos!B19</f>
        <v>Restaurantes</v>
      </c>
      <c r="C391" s="1740" t="s">
        <v>2224</v>
      </c>
      <c r="D391" s="51"/>
      <c r="E391" s="1043">
        <v>138.6</v>
      </c>
      <c r="F391" s="1656"/>
      <c r="G391" s="1152" t="s">
        <v>9</v>
      </c>
    </row>
    <row r="392" spans="1:7">
      <c r="A392" s="1754">
        <v>45988</v>
      </c>
      <c r="B392" s="1748" t="str">
        <f>TiposLancamentos!B19</f>
        <v>Restaurantes</v>
      </c>
      <c r="C392" s="1740" t="s">
        <v>2224</v>
      </c>
      <c r="D392" s="51"/>
      <c r="E392" s="1043">
        <v>26.95</v>
      </c>
      <c r="F392" s="1656"/>
      <c r="G392" s="1152" t="s">
        <v>9</v>
      </c>
    </row>
    <row r="393" spans="1:7">
      <c r="A393" s="1754">
        <v>45988</v>
      </c>
      <c r="B393" s="1748" t="str">
        <f>TiposLancamentos!B19</f>
        <v>Restaurantes</v>
      </c>
      <c r="C393" s="1740" t="s">
        <v>9880</v>
      </c>
      <c r="D393" s="51"/>
      <c r="E393" s="1043">
        <v>101.97</v>
      </c>
      <c r="F393" s="1656"/>
      <c r="G393" s="1152" t="s">
        <v>9</v>
      </c>
    </row>
    <row r="394" spans="1:7">
      <c r="A394" s="1754">
        <v>45989</v>
      </c>
      <c r="B394" s="1748" t="str">
        <f>TiposLancamentos!B45</f>
        <v>Online Services</v>
      </c>
      <c r="C394" s="1740" t="s">
        <v>2102</v>
      </c>
      <c r="D394" s="51"/>
      <c r="E394" s="1043">
        <v>29.9</v>
      </c>
      <c r="F394" s="1656"/>
      <c r="G394" s="1152" t="s">
        <v>9</v>
      </c>
    </row>
    <row r="395" spans="1:7">
      <c r="A395" s="1666">
        <v>45989</v>
      </c>
      <c r="B395" s="1666" t="str">
        <f>TiposLancamentos!B28</f>
        <v>ComicBook</v>
      </c>
      <c r="C395" s="1742" t="s">
        <v>9881</v>
      </c>
      <c r="D395" s="747"/>
      <c r="E395" s="1733">
        <v>33.68</v>
      </c>
      <c r="F395" s="1346"/>
      <c r="G395" s="1152" t="s">
        <v>9</v>
      </c>
    </row>
    <row r="396" spans="1:7">
      <c r="A396" s="1667">
        <v>45989</v>
      </c>
      <c r="B396" s="1667" t="str">
        <f>TiposLancamentos!B28</f>
        <v>ComicBook</v>
      </c>
      <c r="C396" s="1769" t="s">
        <v>9882</v>
      </c>
      <c r="D396" s="51"/>
      <c r="E396" s="1734">
        <v>29.52</v>
      </c>
      <c r="F396" s="1043"/>
      <c r="G396" s="1152" t="s">
        <v>9</v>
      </c>
    </row>
    <row r="397" spans="1:7">
      <c r="A397" s="1750">
        <v>45989</v>
      </c>
      <c r="B397" s="1750" t="str">
        <f>TiposLancamentos!B60</f>
        <v>Correio</v>
      </c>
      <c r="C397" s="1743" t="s">
        <v>2303</v>
      </c>
      <c r="D397" s="849"/>
      <c r="E397" s="1668">
        <v>14.89</v>
      </c>
      <c r="F397" s="1665">
        <f>SUM(E395:E397)</f>
        <v>78.09</v>
      </c>
      <c r="G397" s="1152" t="s">
        <v>9</v>
      </c>
    </row>
    <row r="398" spans="1:7">
      <c r="A398" s="1754">
        <v>45989</v>
      </c>
      <c r="B398" s="1748" t="str">
        <f>TiposLancamentos!B19</f>
        <v>Restaurantes</v>
      </c>
      <c r="C398" s="1740" t="s">
        <v>9883</v>
      </c>
      <c r="D398" s="51"/>
      <c r="E398" s="1043">
        <v>82.97</v>
      </c>
      <c r="F398" s="1656"/>
      <c r="G398" s="1152" t="s">
        <v>9</v>
      </c>
    </row>
    <row r="399" spans="1:7">
      <c r="A399" s="1754">
        <v>45990</v>
      </c>
      <c r="B399" s="1748" t="str">
        <f>TiposLancamentos!B45</f>
        <v>Online Services</v>
      </c>
      <c r="C399" s="1740" t="s">
        <v>9798</v>
      </c>
      <c r="D399" s="51"/>
      <c r="E399" s="1043">
        <v>26.9</v>
      </c>
      <c r="F399" s="1656"/>
      <c r="G399" s="1152" t="s">
        <v>9</v>
      </c>
    </row>
    <row r="400" spans="1:7">
      <c r="A400" s="1754">
        <v>45990</v>
      </c>
      <c r="B400" s="1748" t="str">
        <f>TiposLancamentos!B24</f>
        <v>Estacionamentos</v>
      </c>
      <c r="C400" s="1740" t="s">
        <v>9884</v>
      </c>
      <c r="D400" s="51"/>
      <c r="E400" s="1043">
        <v>6.67</v>
      </c>
      <c r="F400" s="1656"/>
      <c r="G400" s="1152" t="s">
        <v>9</v>
      </c>
    </row>
    <row r="401" spans="1:7">
      <c r="A401" s="1754">
        <v>45990</v>
      </c>
      <c r="B401" s="1748" t="str">
        <f>TiposLancamentos!B19</f>
        <v>Restaurantes</v>
      </c>
      <c r="C401" s="1740" t="s">
        <v>9885</v>
      </c>
      <c r="D401" s="51"/>
      <c r="E401" s="1043">
        <v>102.5</v>
      </c>
      <c r="F401" s="1656"/>
      <c r="G401" s="1152" t="s">
        <v>9</v>
      </c>
    </row>
    <row r="402" spans="1:7">
      <c r="A402" s="1818">
        <v>45991</v>
      </c>
      <c r="B402" s="1813" t="str">
        <f>TiposLancamentos!B45</f>
        <v>Online Services</v>
      </c>
      <c r="C402" s="1806" t="s">
        <v>9804</v>
      </c>
      <c r="D402" s="1797"/>
      <c r="E402" s="1791">
        <v>7.95</v>
      </c>
      <c r="F402" s="1787"/>
      <c r="G402" s="1152" t="s">
        <v>9</v>
      </c>
    </row>
    <row r="403" spans="1:7">
      <c r="A403" s="1818">
        <v>45991</v>
      </c>
      <c r="B403" s="1813" t="str">
        <f>TiposLancamentos!B19</f>
        <v>Restaurantes</v>
      </c>
      <c r="C403" s="1806" t="s">
        <v>9845</v>
      </c>
      <c r="D403" s="1797"/>
      <c r="E403" s="1791">
        <v>75.97</v>
      </c>
      <c r="F403" s="1787"/>
      <c r="G403" s="1152" t="s">
        <v>9</v>
      </c>
    </row>
    <row r="404" spans="1:7" ht="14.25" thickBot="1">
      <c r="A404" s="1757"/>
      <c r="B404" s="1755"/>
      <c r="C404" s="1771" t="s">
        <v>1868</v>
      </c>
      <c r="D404" s="869"/>
      <c r="E404" s="1044"/>
      <c r="F404" s="1691"/>
    </row>
    <row r="405" spans="1:7">
      <c r="A405" s="1754"/>
      <c r="B405" s="1748"/>
      <c r="C405" s="1740" t="s">
        <v>1653</v>
      </c>
      <c r="D405" s="51"/>
      <c r="E405" s="1043"/>
      <c r="F405" s="1656">
        <f>SUM(E308:E376)</f>
        <v>4769.7816666666649</v>
      </c>
    </row>
    <row r="406" spans="1:7">
      <c r="A406" s="1754">
        <v>45992</v>
      </c>
      <c r="B406" s="1748" t="str">
        <f>TiposLancamentos!B15</f>
        <v>Cartões de Crédito</v>
      </c>
      <c r="C406" s="1740" t="s">
        <v>1874</v>
      </c>
      <c r="D406" s="51">
        <v>4769.78</v>
      </c>
      <c r="E406" s="1043"/>
      <c r="F406" s="1656">
        <f>F405-F325</f>
        <v>-1347.1083333333336</v>
      </c>
      <c r="G406" s="1152" t="s">
        <v>9</v>
      </c>
    </row>
    <row r="407" spans="1:7">
      <c r="A407" s="1754">
        <v>45992</v>
      </c>
      <c r="B407" s="1748" t="str">
        <f>TiposLancamentos!B45</f>
        <v>Online Services</v>
      </c>
      <c r="C407" s="1740" t="s">
        <v>2079</v>
      </c>
      <c r="D407" s="51"/>
      <c r="E407" s="1043">
        <v>31.9</v>
      </c>
      <c r="F407" s="1656"/>
      <c r="G407" s="1152" t="s">
        <v>9</v>
      </c>
    </row>
    <row r="408" spans="1:7">
      <c r="A408" s="1754">
        <v>45992</v>
      </c>
      <c r="B408" s="1748" t="str">
        <f>TiposLancamentos!B19</f>
        <v>Restaurantes</v>
      </c>
      <c r="C408" s="1740" t="s">
        <v>2224</v>
      </c>
      <c r="D408" s="51"/>
      <c r="E408" s="1043">
        <v>33.68</v>
      </c>
      <c r="F408" s="1656"/>
      <c r="G408" s="1152" t="s">
        <v>9</v>
      </c>
    </row>
    <row r="409" spans="1:7">
      <c r="A409" s="1754">
        <v>45992</v>
      </c>
      <c r="B409" s="1748" t="str">
        <f>TiposLancamentos!B24</f>
        <v>Estacionamentos</v>
      </c>
      <c r="C409" s="1740" t="s">
        <v>9886</v>
      </c>
      <c r="D409" s="51"/>
      <c r="E409" s="1043">
        <v>23</v>
      </c>
      <c r="F409" s="1656"/>
      <c r="G409" s="1152" t="s">
        <v>9</v>
      </c>
    </row>
    <row r="410" spans="1:7">
      <c r="A410" s="1754">
        <v>45992</v>
      </c>
      <c r="B410" s="1748" t="str">
        <f>TiposLancamentos!B19</f>
        <v>Restaurantes</v>
      </c>
      <c r="C410" s="1740" t="s">
        <v>9887</v>
      </c>
      <c r="D410" s="51"/>
      <c r="E410" s="1043">
        <v>28.6</v>
      </c>
      <c r="F410" s="1656"/>
      <c r="G410" s="1152" t="s">
        <v>9</v>
      </c>
    </row>
    <row r="411" spans="1:7">
      <c r="A411" s="1754">
        <v>45993</v>
      </c>
      <c r="B411" s="1748" t="str">
        <f>TiposLancamentos!B19</f>
        <v>Restaurantes</v>
      </c>
      <c r="C411" s="1740" t="s">
        <v>2270</v>
      </c>
      <c r="D411" s="51"/>
      <c r="E411" s="1043">
        <v>37.799999999999997</v>
      </c>
      <c r="F411" s="1656"/>
      <c r="G411" s="1152" t="s">
        <v>9</v>
      </c>
    </row>
    <row r="412" spans="1:7">
      <c r="A412" s="1754">
        <v>45993</v>
      </c>
      <c r="B412" s="1748" t="str">
        <f>TiposLancamentos!B24</f>
        <v>Estacionamentos</v>
      </c>
      <c r="C412" s="1740" t="s">
        <v>1898</v>
      </c>
      <c r="D412" s="51"/>
      <c r="E412" s="1043">
        <v>23</v>
      </c>
      <c r="F412" s="1656"/>
      <c r="G412" s="1152" t="s">
        <v>9</v>
      </c>
    </row>
    <row r="413" spans="1:7">
      <c r="A413" s="1754">
        <v>45993</v>
      </c>
      <c r="B413" s="1748" t="str">
        <f>TiposLancamentos!B19</f>
        <v>Restaurantes</v>
      </c>
      <c r="C413" s="1740" t="s">
        <v>1967</v>
      </c>
      <c r="D413" s="51"/>
      <c r="E413" s="1043">
        <v>28.6</v>
      </c>
      <c r="F413" s="1656"/>
      <c r="G413" s="1152" t="s">
        <v>9</v>
      </c>
    </row>
    <row r="414" spans="1:7">
      <c r="A414" s="1818">
        <v>45993</v>
      </c>
      <c r="B414" s="1813" t="str">
        <f>TiposLancamentos!B16</f>
        <v>Cristiane</v>
      </c>
      <c r="C414" s="1806" t="s">
        <v>9888</v>
      </c>
      <c r="D414" s="1797"/>
      <c r="E414" s="1791">
        <v>101.84</v>
      </c>
      <c r="F414" s="1787"/>
      <c r="G414" s="1152" t="s">
        <v>9</v>
      </c>
    </row>
    <row r="415" spans="1:7">
      <c r="A415" s="1754">
        <v>45994</v>
      </c>
      <c r="B415" s="1748" t="str">
        <f>TiposLancamentos!B65</f>
        <v>Taxi</v>
      </c>
      <c r="C415" s="1740" t="s">
        <v>9889</v>
      </c>
      <c r="D415" s="51"/>
      <c r="E415" s="1043">
        <v>13.98</v>
      </c>
      <c r="F415" s="1656"/>
      <c r="G415" s="1152" t="s">
        <v>9</v>
      </c>
    </row>
    <row r="416" spans="1:7">
      <c r="A416" s="1754">
        <v>45994</v>
      </c>
      <c r="B416" s="1748" t="str">
        <f>TiposLancamentos!B19</f>
        <v>Restaurantes</v>
      </c>
      <c r="C416" s="1740" t="s">
        <v>2224</v>
      </c>
      <c r="D416" s="51"/>
      <c r="E416" s="1043">
        <v>31.94</v>
      </c>
      <c r="F416" s="1656"/>
      <c r="G416" s="1152" t="s">
        <v>9</v>
      </c>
    </row>
    <row r="417" spans="1:7">
      <c r="A417" s="1754">
        <v>45995</v>
      </c>
      <c r="B417" s="1748" t="str">
        <f>TiposLancamentos!B5</f>
        <v>Supermercado</v>
      </c>
      <c r="C417" s="1740" t="s">
        <v>9890</v>
      </c>
      <c r="D417" s="51"/>
      <c r="E417" s="1043">
        <v>40.07</v>
      </c>
      <c r="F417" s="1656"/>
      <c r="G417" s="1152" t="s">
        <v>9</v>
      </c>
    </row>
    <row r="418" spans="1:7">
      <c r="A418" s="1754">
        <v>45995</v>
      </c>
      <c r="B418" s="1748" t="str">
        <f>TiposLancamentos!B19</f>
        <v>Restaurantes</v>
      </c>
      <c r="C418" s="1740" t="s">
        <v>9891</v>
      </c>
      <c r="D418" s="51"/>
      <c r="E418" s="1043">
        <v>85.98</v>
      </c>
      <c r="F418" s="1656"/>
      <c r="G418" s="1152" t="s">
        <v>9</v>
      </c>
    </row>
    <row r="419" spans="1:7">
      <c r="A419" s="1754">
        <v>45995</v>
      </c>
      <c r="B419" s="1748" t="str">
        <f>TiposLancamentos!B65</f>
        <v>Taxi</v>
      </c>
      <c r="C419" s="1740" t="s">
        <v>2155</v>
      </c>
      <c r="D419" s="51"/>
      <c r="E419" s="1043">
        <v>12.97</v>
      </c>
      <c r="F419" s="1656"/>
      <c r="G419" s="1152" t="s">
        <v>9</v>
      </c>
    </row>
    <row r="420" spans="1:7">
      <c r="A420" s="1818">
        <v>45996</v>
      </c>
      <c r="B420" s="1813" t="str">
        <f>TiposLancamentos!B19</f>
        <v>Restaurantes</v>
      </c>
      <c r="C420" s="1806" t="s">
        <v>9892</v>
      </c>
      <c r="D420" s="1797"/>
      <c r="E420" s="1791">
        <v>36.229999999999997</v>
      </c>
      <c r="F420" s="1787"/>
      <c r="G420" s="1152" t="s">
        <v>9</v>
      </c>
    </row>
    <row r="421" spans="1:7">
      <c r="A421" s="1754">
        <v>45997</v>
      </c>
      <c r="B421" s="1748" t="str">
        <f>TiposLancamentos!B56</f>
        <v>Farmácia</v>
      </c>
      <c r="C421" s="1740" t="s">
        <v>9893</v>
      </c>
      <c r="D421" s="51"/>
      <c r="E421" s="1043">
        <v>167.29</v>
      </c>
      <c r="F421" s="1656"/>
      <c r="G421" s="1152" t="s">
        <v>9</v>
      </c>
    </row>
    <row r="422" spans="1:7">
      <c r="A422" s="1754">
        <v>45997</v>
      </c>
      <c r="B422" s="1748" t="str">
        <f>TiposLancamentos!B13</f>
        <v>Moradia</v>
      </c>
      <c r="C422" s="1740" t="s">
        <v>9894</v>
      </c>
      <c r="D422" s="51"/>
      <c r="E422" s="1043">
        <v>91.99</v>
      </c>
      <c r="F422" s="1656"/>
      <c r="G422" s="1152" t="s">
        <v>9</v>
      </c>
    </row>
    <row r="423" spans="1:7">
      <c r="A423" s="1754">
        <v>45997</v>
      </c>
      <c r="B423" s="1748" t="str">
        <f>TiposLancamentos!B19</f>
        <v>Restaurantes</v>
      </c>
      <c r="C423" s="1740" t="s">
        <v>9895</v>
      </c>
      <c r="D423" s="51"/>
      <c r="E423" s="1043">
        <v>61.5</v>
      </c>
      <c r="F423" s="1656"/>
      <c r="G423" s="1152" t="s">
        <v>9</v>
      </c>
    </row>
    <row r="424" spans="1:7">
      <c r="A424" s="1754">
        <v>45997</v>
      </c>
      <c r="B424" s="1748" t="str">
        <f>TiposLancamentos!B24</f>
        <v>Estacionamentos</v>
      </c>
      <c r="C424" s="1740" t="s">
        <v>9896</v>
      </c>
      <c r="D424" s="51"/>
      <c r="E424" s="1043">
        <v>25</v>
      </c>
      <c r="F424" s="1656"/>
      <c r="G424" s="1152" t="s">
        <v>9</v>
      </c>
    </row>
    <row r="425" spans="1:7">
      <c r="A425" s="1754">
        <v>45997</v>
      </c>
      <c r="B425" s="1748" t="str">
        <f>TiposLancamentos!B16</f>
        <v>Cristiane</v>
      </c>
      <c r="C425" s="1740" t="s">
        <v>9897</v>
      </c>
      <c r="D425" s="51"/>
      <c r="E425" s="1043">
        <v>11.9</v>
      </c>
      <c r="F425" s="1656"/>
      <c r="G425" s="1152" t="s">
        <v>9</v>
      </c>
    </row>
    <row r="426" spans="1:7">
      <c r="A426" s="1754">
        <v>45997</v>
      </c>
      <c r="B426" s="1748" t="str">
        <f>TiposLancamentos!B17</f>
        <v>GATO</v>
      </c>
      <c r="C426" s="1740" t="s">
        <v>9898</v>
      </c>
      <c r="D426" s="51"/>
      <c r="E426" s="1043">
        <v>93.44</v>
      </c>
      <c r="F426" s="1656"/>
      <c r="G426" s="1152" t="s">
        <v>9</v>
      </c>
    </row>
    <row r="427" spans="1:7">
      <c r="A427" s="1754">
        <v>45997</v>
      </c>
      <c r="B427" s="1748" t="str">
        <f>TiposLancamentos!B5</f>
        <v>Supermercado</v>
      </c>
      <c r="C427" s="1740" t="s">
        <v>2252</v>
      </c>
      <c r="D427" s="51"/>
      <c r="E427" s="1043">
        <v>31.65</v>
      </c>
      <c r="F427" s="1656"/>
      <c r="G427" s="1152" t="s">
        <v>9</v>
      </c>
    </row>
    <row r="428" spans="1:7">
      <c r="A428" s="1754">
        <v>45997</v>
      </c>
      <c r="B428" s="1748" t="str">
        <f>TiposLancamentos!B5</f>
        <v>Supermercado</v>
      </c>
      <c r="C428" s="1740" t="s">
        <v>9899</v>
      </c>
      <c r="D428" s="51"/>
      <c r="E428" s="1043">
        <v>55.08</v>
      </c>
      <c r="F428" s="1656"/>
      <c r="G428" s="1152" t="s">
        <v>9</v>
      </c>
    </row>
    <row r="429" spans="1:7">
      <c r="A429" s="1754">
        <v>45998</v>
      </c>
      <c r="B429" s="1748" t="str">
        <f>TiposLancamentos!B65</f>
        <v>Taxi</v>
      </c>
      <c r="C429" s="1740" t="s">
        <v>9900</v>
      </c>
      <c r="D429" s="51"/>
      <c r="E429" s="1043">
        <v>19.98</v>
      </c>
      <c r="F429" s="1656"/>
      <c r="G429" s="1152" t="s">
        <v>9</v>
      </c>
    </row>
    <row r="430" spans="1:7">
      <c r="A430" s="1754">
        <v>45998</v>
      </c>
      <c r="B430" s="1748" t="str">
        <f>TiposLancamentos!B19</f>
        <v>Restaurantes</v>
      </c>
      <c r="C430" s="1740" t="s">
        <v>9901</v>
      </c>
      <c r="D430" s="51"/>
      <c r="E430" s="1043">
        <v>351.57</v>
      </c>
      <c r="F430" s="1656"/>
      <c r="G430" s="1152" t="s">
        <v>9</v>
      </c>
    </row>
    <row r="431" spans="1:7">
      <c r="A431" s="1754">
        <v>45998</v>
      </c>
      <c r="B431" s="1748" t="str">
        <f>TiposLancamentos!B26</f>
        <v>LIVROS</v>
      </c>
      <c r="C431" s="1740" t="s">
        <v>9902</v>
      </c>
      <c r="D431" s="51"/>
      <c r="E431" s="1043">
        <v>70</v>
      </c>
      <c r="F431" s="1656"/>
      <c r="G431" s="1152" t="s">
        <v>9</v>
      </c>
    </row>
    <row r="432" spans="1:7">
      <c r="A432" s="1754">
        <v>45998</v>
      </c>
      <c r="B432" s="1748" t="str">
        <f>TiposLancamentos!B19</f>
        <v>Restaurantes</v>
      </c>
      <c r="C432" s="1740" t="s">
        <v>2934</v>
      </c>
      <c r="D432" s="51"/>
      <c r="E432" s="1043">
        <v>38</v>
      </c>
      <c r="F432" s="1656"/>
      <c r="G432" s="1152" t="s">
        <v>9</v>
      </c>
    </row>
    <row r="433" spans="1:7">
      <c r="A433" s="1754">
        <v>45998</v>
      </c>
      <c r="B433" s="1748" t="str">
        <f>TiposLancamentos!B65</f>
        <v>Taxi</v>
      </c>
      <c r="C433" s="1740" t="s">
        <v>2104</v>
      </c>
      <c r="D433" s="51"/>
      <c r="E433" s="1043">
        <v>17.97</v>
      </c>
      <c r="F433" s="1656"/>
      <c r="G433" s="1152" t="s">
        <v>9</v>
      </c>
    </row>
    <row r="434" spans="1:7">
      <c r="A434" s="1754">
        <v>45998</v>
      </c>
      <c r="B434" s="1748" t="str">
        <f>TiposLancamentos!B65</f>
        <v>Taxi</v>
      </c>
      <c r="C434" s="1740" t="s">
        <v>2155</v>
      </c>
      <c r="D434" s="51"/>
      <c r="E434" s="1043">
        <v>1</v>
      </c>
      <c r="F434" s="1656"/>
      <c r="G434" s="1152" t="s">
        <v>9</v>
      </c>
    </row>
    <row r="435" spans="1:7">
      <c r="A435" s="1754">
        <v>45999</v>
      </c>
      <c r="B435" s="1748" t="str">
        <f>TiposLancamentos!B34</f>
        <v>Seguros</v>
      </c>
      <c r="C435" s="1740" t="s">
        <v>9903</v>
      </c>
      <c r="D435" s="51"/>
      <c r="E435" s="1043">
        <f>F435/6</f>
        <v>97.021666666666661</v>
      </c>
      <c r="F435" s="1656">
        <v>582.13</v>
      </c>
      <c r="G435" s="1152" t="s">
        <v>9</v>
      </c>
    </row>
    <row r="436" spans="1:7">
      <c r="A436" s="1754">
        <v>45999</v>
      </c>
      <c r="B436" s="1748" t="str">
        <f>TiposLancamentos!B19</f>
        <v>Restaurantes</v>
      </c>
      <c r="C436" s="1740" t="s">
        <v>2224</v>
      </c>
      <c r="D436" s="51"/>
      <c r="E436" s="1043">
        <v>32.19</v>
      </c>
      <c r="F436" s="1656"/>
      <c r="G436" s="1152" t="s">
        <v>9</v>
      </c>
    </row>
    <row r="437" spans="1:7">
      <c r="A437" s="1754">
        <v>45999</v>
      </c>
      <c r="B437" s="1748" t="str">
        <f>TiposLancamentos!B5</f>
        <v>Supermercado</v>
      </c>
      <c r="C437" s="1740" t="s">
        <v>2414</v>
      </c>
      <c r="D437" s="51"/>
      <c r="E437" s="1043">
        <v>148.37</v>
      </c>
      <c r="F437" s="1656"/>
      <c r="G437" s="1152" t="s">
        <v>9</v>
      </c>
    </row>
    <row r="438" spans="1:7">
      <c r="A438" s="1818">
        <v>45999</v>
      </c>
      <c r="B438" s="1813" t="str">
        <f>TiposLancamentos!B16</f>
        <v>Cristiane</v>
      </c>
      <c r="C438" s="1806" t="s">
        <v>9904</v>
      </c>
      <c r="D438" s="1797"/>
      <c r="E438" s="1791">
        <v>31.85</v>
      </c>
      <c r="F438" s="1787"/>
      <c r="G438" s="1152" t="s">
        <v>9</v>
      </c>
    </row>
    <row r="439" spans="1:7">
      <c r="A439" s="1754">
        <v>45999</v>
      </c>
      <c r="B439" s="1748" t="str">
        <f>TiposLancamentos!B65</f>
        <v>Taxi</v>
      </c>
      <c r="C439" s="1740" t="s">
        <v>2155</v>
      </c>
      <c r="D439" s="51"/>
      <c r="E439" s="1043">
        <v>15.98</v>
      </c>
      <c r="F439" s="1656"/>
      <c r="G439" s="1152" t="s">
        <v>9</v>
      </c>
    </row>
    <row r="440" spans="1:7">
      <c r="A440" s="1754">
        <v>45999</v>
      </c>
      <c r="B440" s="1748" t="str">
        <f>TiposLancamentos!B65</f>
        <v>Taxi</v>
      </c>
      <c r="C440" s="1740" t="s">
        <v>2155</v>
      </c>
      <c r="D440" s="51"/>
      <c r="E440" s="1043">
        <v>1</v>
      </c>
      <c r="F440" s="1656"/>
      <c r="G440" s="1152" t="s">
        <v>9</v>
      </c>
    </row>
    <row r="441" spans="1:7">
      <c r="A441" s="1754">
        <v>46000</v>
      </c>
      <c r="B441" s="1748" t="str">
        <f>TiposLancamentos!B19</f>
        <v>Restaurantes</v>
      </c>
      <c r="C441" s="1740" t="s">
        <v>2270</v>
      </c>
      <c r="D441" s="51"/>
      <c r="E441" s="1043">
        <v>19.899999999999999</v>
      </c>
      <c r="F441" s="1656"/>
      <c r="G441" s="1152" t="s">
        <v>9</v>
      </c>
    </row>
    <row r="442" spans="1:7">
      <c r="A442" s="1818">
        <v>46000</v>
      </c>
      <c r="B442" s="1813" t="str">
        <f>TiposLancamentos!B5</f>
        <v>Supermercado</v>
      </c>
      <c r="C442" s="1806" t="s">
        <v>9905</v>
      </c>
      <c r="D442" s="1797"/>
      <c r="E442" s="1791">
        <v>92.94</v>
      </c>
      <c r="F442" s="1787"/>
      <c r="G442" s="1152" t="s">
        <v>9</v>
      </c>
    </row>
    <row r="443" spans="1:7">
      <c r="A443" s="1754">
        <v>46001</v>
      </c>
      <c r="B443" s="1748" t="str">
        <f>TiposLancamentos!B19</f>
        <v>Restaurantes</v>
      </c>
      <c r="C443" s="1740" t="s">
        <v>2224</v>
      </c>
      <c r="D443" s="51"/>
      <c r="E443" s="1043">
        <v>29.19</v>
      </c>
      <c r="F443" s="1656"/>
      <c r="G443" s="1152" t="s">
        <v>9</v>
      </c>
    </row>
    <row r="444" spans="1:7">
      <c r="A444" s="1818">
        <v>46001</v>
      </c>
      <c r="B444" s="1813" t="str">
        <f>TiposLancamentos!B16</f>
        <v>Cristiane</v>
      </c>
      <c r="C444" s="1806" t="s">
        <v>9906</v>
      </c>
      <c r="D444" s="1797"/>
      <c r="E444" s="1791">
        <v>69.17</v>
      </c>
      <c r="F444" s="1787"/>
      <c r="G444" s="1152" t="s">
        <v>9</v>
      </c>
    </row>
    <row r="445" spans="1:7">
      <c r="A445" s="1754">
        <v>46002</v>
      </c>
      <c r="B445" s="1748" t="str">
        <f>TiposLancamentos!B19</f>
        <v>Restaurantes</v>
      </c>
      <c r="C445" s="1740" t="s">
        <v>2224</v>
      </c>
      <c r="D445" s="51"/>
      <c r="E445" s="1043">
        <v>59.4</v>
      </c>
      <c r="F445" s="1656"/>
      <c r="G445" s="1152" t="s">
        <v>9</v>
      </c>
    </row>
    <row r="446" spans="1:7">
      <c r="A446" s="1754">
        <v>46003</v>
      </c>
      <c r="B446" s="1748" t="str">
        <f>TiposLancamentos!B22</f>
        <v>Combustivel</v>
      </c>
      <c r="C446" s="1740" t="s">
        <v>2179</v>
      </c>
      <c r="D446" s="51"/>
      <c r="E446" s="1043">
        <v>100</v>
      </c>
      <c r="F446" s="1656"/>
      <c r="G446" s="1152" t="s">
        <v>9</v>
      </c>
    </row>
    <row r="447" spans="1:7">
      <c r="A447" s="1754">
        <v>46003</v>
      </c>
      <c r="B447" s="1748" t="str">
        <f>TiposLancamentos!B19</f>
        <v>Restaurantes</v>
      </c>
      <c r="C447" s="1740" t="s">
        <v>9907</v>
      </c>
      <c r="D447" s="51"/>
      <c r="E447" s="1043">
        <v>112.9</v>
      </c>
      <c r="F447" s="1656"/>
      <c r="G447" s="1152" t="s">
        <v>9</v>
      </c>
    </row>
    <row r="448" spans="1:7">
      <c r="A448" s="1666">
        <v>46003</v>
      </c>
      <c r="B448" s="1666" t="str">
        <f>TiposLancamentos!B57</f>
        <v>Informática</v>
      </c>
      <c r="C448" s="1742" t="s">
        <v>9908</v>
      </c>
      <c r="D448" s="747"/>
      <c r="E448" s="1733">
        <f>38.7+0.98</f>
        <v>39.68</v>
      </c>
      <c r="F448" s="1346"/>
      <c r="G448" s="1152" t="s">
        <v>9</v>
      </c>
    </row>
    <row r="449" spans="1:7">
      <c r="A449" s="1667">
        <v>46003</v>
      </c>
      <c r="B449" s="1667" t="str">
        <f>TiposLancamentos!B57</f>
        <v>Informática</v>
      </c>
      <c r="C449" s="1769" t="s">
        <v>9909</v>
      </c>
      <c r="D449" s="51"/>
      <c r="E449" s="1734">
        <f>26.1+0.98</f>
        <v>27.080000000000002</v>
      </c>
      <c r="F449" s="1043"/>
      <c r="G449" s="1152" t="s">
        <v>9</v>
      </c>
    </row>
    <row r="450" spans="1:7">
      <c r="A450" s="1750">
        <v>46003</v>
      </c>
      <c r="B450" s="1750" t="str">
        <f>TiposLancamentos!B60</f>
        <v>Correio</v>
      </c>
      <c r="C450" s="1743" t="s">
        <v>9910</v>
      </c>
      <c r="D450" s="849"/>
      <c r="E450" s="1668">
        <v>4.99</v>
      </c>
      <c r="F450" s="1665">
        <f>SUM(E448:E450)</f>
        <v>71.75</v>
      </c>
      <c r="G450" s="1152" t="s">
        <v>9</v>
      </c>
    </row>
    <row r="451" spans="1:7">
      <c r="A451" s="1818">
        <v>46003</v>
      </c>
      <c r="B451" s="1813" t="str">
        <f>TiposLancamentos!B5</f>
        <v>Supermercado</v>
      </c>
      <c r="C451" s="1806" t="s">
        <v>9911</v>
      </c>
      <c r="D451" s="1797"/>
      <c r="E451" s="1791">
        <v>99.01</v>
      </c>
      <c r="F451" s="1787"/>
      <c r="G451" s="1152" t="s">
        <v>9</v>
      </c>
    </row>
    <row r="452" spans="1:7">
      <c r="A452" s="1818">
        <v>46003</v>
      </c>
      <c r="B452" s="1813" t="str">
        <f>TiposLancamentos!B5</f>
        <v>Supermercado</v>
      </c>
      <c r="C452" s="1806" t="s">
        <v>9912</v>
      </c>
      <c r="D452" s="1797"/>
      <c r="E452" s="1791">
        <v>17.87</v>
      </c>
      <c r="F452" s="1787"/>
      <c r="G452" s="1152" t="s">
        <v>9</v>
      </c>
    </row>
    <row r="453" spans="1:7">
      <c r="A453" s="1754">
        <v>46004</v>
      </c>
      <c r="B453" s="1748" t="str">
        <f>TiposLancamentos!B19</f>
        <v>Restaurantes</v>
      </c>
      <c r="C453" s="1740" t="s">
        <v>9913</v>
      </c>
      <c r="D453" s="51"/>
      <c r="E453" s="1043">
        <v>15</v>
      </c>
      <c r="F453" s="1656"/>
      <c r="G453" s="1152" t="s">
        <v>9</v>
      </c>
    </row>
    <row r="454" spans="1:7">
      <c r="A454" s="1666">
        <v>46004</v>
      </c>
      <c r="B454" s="1666" t="str">
        <f>TiposLancamentos!B37</f>
        <v>Playstation 3</v>
      </c>
      <c r="C454" s="1742" t="s">
        <v>9914</v>
      </c>
      <c r="D454" s="747"/>
      <c r="E454" s="1733">
        <v>100</v>
      </c>
      <c r="F454" s="1346"/>
      <c r="G454" s="1152" t="s">
        <v>9</v>
      </c>
    </row>
    <row r="455" spans="1:7">
      <c r="A455" s="1667">
        <v>46004</v>
      </c>
      <c r="B455" s="1667" t="str">
        <f>TiposLancamentos!B37</f>
        <v>Playstation 3</v>
      </c>
      <c r="C455" s="1769" t="s">
        <v>9915</v>
      </c>
      <c r="D455" s="51"/>
      <c r="E455" s="1734">
        <v>60</v>
      </c>
      <c r="F455" s="1043"/>
      <c r="G455" s="1152" t="s">
        <v>9</v>
      </c>
    </row>
    <row r="456" spans="1:7">
      <c r="A456" s="1667">
        <v>46004</v>
      </c>
      <c r="B456" s="1667" t="str">
        <f>TiposLancamentos!B37</f>
        <v>Playstation 3</v>
      </c>
      <c r="C456" s="1769" t="s">
        <v>9916</v>
      </c>
      <c r="D456" s="51"/>
      <c r="E456" s="1734">
        <v>60</v>
      </c>
      <c r="F456" s="1043"/>
      <c r="G456" s="1152" t="s">
        <v>9</v>
      </c>
    </row>
    <row r="457" spans="1:7">
      <c r="A457" s="1750">
        <v>46004</v>
      </c>
      <c r="B457" s="1750" t="str">
        <f>TiposLancamentos!B37</f>
        <v>Playstation 3</v>
      </c>
      <c r="C457" s="1743" t="s">
        <v>9917</v>
      </c>
      <c r="D457" s="849"/>
      <c r="E457" s="1668">
        <v>70</v>
      </c>
      <c r="F457" s="1665">
        <f>SUM(E454:E457)</f>
        <v>290</v>
      </c>
      <c r="G457" s="1152" t="s">
        <v>9</v>
      </c>
    </row>
    <row r="458" spans="1:7">
      <c r="A458" s="1754">
        <v>46004</v>
      </c>
      <c r="B458" s="1748" t="str">
        <f>TiposLancamentos!B19</f>
        <v>Restaurantes</v>
      </c>
      <c r="C458" s="1740" t="s">
        <v>9918</v>
      </c>
      <c r="D458" s="51"/>
      <c r="E458" s="1043">
        <v>39</v>
      </c>
      <c r="F458" s="1656"/>
      <c r="G458" s="1152" t="s">
        <v>9</v>
      </c>
    </row>
    <row r="459" spans="1:7">
      <c r="A459" s="1818">
        <v>46004</v>
      </c>
      <c r="B459" s="1813" t="str">
        <f>TiposLancamentos!B19</f>
        <v>Restaurantes</v>
      </c>
      <c r="C459" s="1806" t="s">
        <v>9919</v>
      </c>
      <c r="D459" s="1797"/>
      <c r="E459" s="1791">
        <v>50.8</v>
      </c>
      <c r="F459" s="1787"/>
      <c r="G459" s="1152" t="s">
        <v>9</v>
      </c>
    </row>
    <row r="460" spans="1:7">
      <c r="A460" s="1818">
        <v>46004</v>
      </c>
      <c r="B460" s="1813" t="str">
        <f>TiposLancamentos!B19</f>
        <v>Restaurantes</v>
      </c>
      <c r="C460" s="1806" t="s">
        <v>9920</v>
      </c>
      <c r="D460" s="1797"/>
      <c r="E460" s="1791">
        <v>123.49</v>
      </c>
      <c r="F460" s="1787"/>
      <c r="G460" s="1152" t="s">
        <v>9</v>
      </c>
    </row>
    <row r="461" spans="1:7">
      <c r="A461" s="1754">
        <v>46005</v>
      </c>
      <c r="B461" s="1748" t="str">
        <f>TiposLancamentos!B81</f>
        <v>Ferramentas gerais</v>
      </c>
      <c r="C461" s="1740" t="s">
        <v>9921</v>
      </c>
      <c r="D461" s="51"/>
      <c r="E461" s="1043">
        <v>26.65</v>
      </c>
      <c r="F461" s="1656"/>
      <c r="G461" s="1152" t="s">
        <v>9</v>
      </c>
    </row>
    <row r="462" spans="1:7">
      <c r="A462" s="1754">
        <v>46005</v>
      </c>
      <c r="B462" s="1748" t="str">
        <f>TiposLancamentos!B13</f>
        <v>Moradia</v>
      </c>
      <c r="C462" s="1740" t="s">
        <v>9922</v>
      </c>
      <c r="D462" s="51"/>
      <c r="E462" s="1043">
        <v>49.99</v>
      </c>
      <c r="F462" s="1656"/>
      <c r="G462" s="1152" t="s">
        <v>9</v>
      </c>
    </row>
    <row r="463" spans="1:7">
      <c r="A463" s="1754">
        <v>46005</v>
      </c>
      <c r="B463" s="1748" t="str">
        <f>TiposLancamentos!B5</f>
        <v>Supermercado</v>
      </c>
      <c r="C463" s="1740" t="s">
        <v>2414</v>
      </c>
      <c r="D463" s="51"/>
      <c r="E463" s="1043">
        <v>156.4</v>
      </c>
      <c r="F463" s="1656"/>
      <c r="G463" s="1152" t="s">
        <v>9</v>
      </c>
    </row>
    <row r="464" spans="1:7">
      <c r="A464" s="1754">
        <v>46006</v>
      </c>
      <c r="B464" s="1748" t="str">
        <f>TiposLancamentos!B19</f>
        <v>Restaurantes</v>
      </c>
      <c r="C464" s="1740" t="s">
        <v>2224</v>
      </c>
      <c r="D464" s="51"/>
      <c r="E464" s="1043">
        <v>31.94</v>
      </c>
      <c r="F464" s="1656"/>
      <c r="G464" s="1152" t="s">
        <v>9</v>
      </c>
    </row>
    <row r="465" spans="1:7">
      <c r="A465" s="1754">
        <v>46007</v>
      </c>
      <c r="B465" s="1748" t="str">
        <f>TiposLancamentos!B19</f>
        <v>Restaurantes</v>
      </c>
      <c r="C465" s="1740" t="s">
        <v>2270</v>
      </c>
      <c r="D465" s="51"/>
      <c r="E465" s="1043">
        <v>33.4</v>
      </c>
      <c r="F465" s="1656"/>
      <c r="G465" s="1152" t="s">
        <v>9</v>
      </c>
    </row>
    <row r="466" spans="1:7">
      <c r="A466" s="1754">
        <v>46007</v>
      </c>
      <c r="B466" s="1748" t="str">
        <f>TiposLancamentos!B19</f>
        <v>Restaurantes</v>
      </c>
      <c r="C466" s="1740" t="s">
        <v>9787</v>
      </c>
      <c r="D466" s="51"/>
      <c r="E466" s="1043">
        <v>85.98</v>
      </c>
      <c r="F466" s="1656"/>
      <c r="G466" s="1152" t="s">
        <v>9</v>
      </c>
    </row>
    <row r="467" spans="1:7">
      <c r="A467" s="1754">
        <v>46008</v>
      </c>
      <c r="B467" s="1748" t="str">
        <f>TiposLancamentos!B19</f>
        <v>Restaurantes</v>
      </c>
      <c r="C467" s="1740" t="s">
        <v>2224</v>
      </c>
      <c r="D467" s="51"/>
      <c r="E467" s="1043">
        <v>77.61</v>
      </c>
      <c r="F467" s="1656"/>
      <c r="G467" s="1152" t="s">
        <v>9</v>
      </c>
    </row>
    <row r="468" spans="1:7">
      <c r="A468" s="1754">
        <v>46008</v>
      </c>
      <c r="B468" s="1748" t="str">
        <f>TiposLancamentos!B56</f>
        <v>Farmácia</v>
      </c>
      <c r="C468" s="1740" t="s">
        <v>9923</v>
      </c>
      <c r="D468" s="51"/>
      <c r="E468" s="1043">
        <v>44.83</v>
      </c>
      <c r="F468" s="1656"/>
      <c r="G468" s="1152" t="s">
        <v>9</v>
      </c>
    </row>
    <row r="469" spans="1:7">
      <c r="A469" s="1754">
        <v>46009</v>
      </c>
      <c r="B469" s="1748" t="str">
        <f>TiposLancamentos!B34</f>
        <v>Seguros</v>
      </c>
      <c r="C469" s="1740" t="s">
        <v>9924</v>
      </c>
      <c r="D469" s="51"/>
      <c r="E469" s="1043">
        <v>277.02999999999997</v>
      </c>
      <c r="F469" s="1656">
        <v>1662.14</v>
      </c>
      <c r="G469" s="1152" t="s">
        <v>9</v>
      </c>
    </row>
    <row r="470" spans="1:7">
      <c r="A470" s="1754">
        <v>46012</v>
      </c>
      <c r="B470" s="1748" t="str">
        <f>TiposLancamentos!B33</f>
        <v>Pedágios</v>
      </c>
      <c r="C470" s="1740" t="s">
        <v>9925</v>
      </c>
      <c r="D470" s="51"/>
      <c r="E470" s="1043">
        <v>50</v>
      </c>
      <c r="F470" s="1656"/>
      <c r="G470" s="1152" t="s">
        <v>9</v>
      </c>
    </row>
    <row r="471" spans="1:7">
      <c r="A471" s="1754">
        <v>46012</v>
      </c>
      <c r="B471" s="1748" t="str">
        <f>TiposLancamentos!B33</f>
        <v>Pedágios</v>
      </c>
      <c r="C471" s="1740" t="s">
        <v>9925</v>
      </c>
      <c r="D471" s="51"/>
      <c r="E471" s="1043">
        <v>50</v>
      </c>
      <c r="F471" s="1656"/>
      <c r="G471" s="1152" t="s">
        <v>9</v>
      </c>
    </row>
    <row r="472" spans="1:7">
      <c r="A472" s="1754">
        <v>46014</v>
      </c>
      <c r="B472" s="1748" t="str">
        <f>TiposLancamentos!B45</f>
        <v>Online Services</v>
      </c>
      <c r="C472" s="1740" t="s">
        <v>9788</v>
      </c>
      <c r="D472" s="51"/>
      <c r="E472" s="1043">
        <v>5.9</v>
      </c>
      <c r="F472" s="1656"/>
      <c r="G472" s="1152" t="s">
        <v>9</v>
      </c>
    </row>
    <row r="473" spans="1:7">
      <c r="A473" s="1756"/>
      <c r="B473" s="1749"/>
      <c r="C473" s="1741" t="s">
        <v>10</v>
      </c>
      <c r="D473" s="375"/>
      <c r="E473" s="1690"/>
      <c r="F473" s="1690"/>
      <c r="G473" s="1094" t="s">
        <v>11</v>
      </c>
    </row>
    <row r="474" spans="1:7">
      <c r="A474" s="1754">
        <v>46016</v>
      </c>
      <c r="B474" s="1748" t="str">
        <f>TiposLancamentos!B4</f>
        <v>Taxas Bancarias</v>
      </c>
      <c r="C474" s="1740" t="s">
        <v>9877</v>
      </c>
      <c r="D474" s="51"/>
      <c r="E474" s="1043">
        <v>7.99</v>
      </c>
      <c r="F474" s="1656"/>
      <c r="G474" s="1152" t="s">
        <v>9</v>
      </c>
    </row>
    <row r="475" spans="1:7">
      <c r="A475" s="1754"/>
      <c r="B475" s="1748"/>
      <c r="C475" s="1740" t="s">
        <v>1868</v>
      </c>
      <c r="D475" s="51"/>
      <c r="E475" s="1043"/>
      <c r="F475" s="1656"/>
    </row>
    <row r="476" spans="1:7">
      <c r="A476" s="1666">
        <v>46016</v>
      </c>
      <c r="B476" s="1666" t="str">
        <f>TiposLancamentos!B56</f>
        <v>Farmácia</v>
      </c>
      <c r="C476" s="1742" t="s">
        <v>9926</v>
      </c>
      <c r="D476" s="747"/>
      <c r="E476" s="1733">
        <f>44.99+22.9</f>
        <v>67.89</v>
      </c>
      <c r="F476" s="1346"/>
      <c r="G476" s="1152" t="s">
        <v>9</v>
      </c>
    </row>
    <row r="477" spans="1:7">
      <c r="A477" s="1750">
        <v>46016</v>
      </c>
      <c r="B477" s="1750" t="str">
        <f>TiposLancamentos!B16</f>
        <v>Cristiane</v>
      </c>
      <c r="C477" s="1743" t="s">
        <v>9927</v>
      </c>
      <c r="D477" s="849"/>
      <c r="E477" s="1668">
        <f>F477-E476</f>
        <v>37.480000000000004</v>
      </c>
      <c r="F477" s="1665">
        <v>105.37</v>
      </c>
      <c r="G477" s="1152" t="s">
        <v>9</v>
      </c>
    </row>
    <row r="478" spans="1:7">
      <c r="A478" s="1754"/>
      <c r="B478" s="1748"/>
      <c r="C478" s="1740" t="s">
        <v>1868</v>
      </c>
      <c r="D478" s="51"/>
      <c r="E478" s="1043"/>
      <c r="F478" s="1656"/>
    </row>
    <row r="479" spans="1:7">
      <c r="A479" s="1666">
        <v>46017</v>
      </c>
      <c r="B479" s="1666" t="str">
        <f>TiposLancamentos!B70</f>
        <v>Vestuário</v>
      </c>
      <c r="C479" s="1742" t="s">
        <v>9928</v>
      </c>
      <c r="D479" s="747"/>
      <c r="E479" s="1733">
        <f>F480-E480</f>
        <v>230</v>
      </c>
      <c r="F479" s="1346">
        <f>E479/2</f>
        <v>115</v>
      </c>
      <c r="G479" s="1152" t="s">
        <v>9</v>
      </c>
    </row>
    <row r="480" spans="1:7">
      <c r="A480" s="1750">
        <v>46017</v>
      </c>
      <c r="B480" s="1750" t="str">
        <f>TiposLancamentos!B16</f>
        <v>Cristiane</v>
      </c>
      <c r="C480" s="1743" t="s">
        <v>9929</v>
      </c>
      <c r="D480" s="849"/>
      <c r="E480" s="1668">
        <v>150</v>
      </c>
      <c r="F480" s="1665">
        <v>380</v>
      </c>
      <c r="G480" s="1152" t="s">
        <v>9</v>
      </c>
    </row>
    <row r="481" spans="1:7">
      <c r="A481" s="1754">
        <v>46017</v>
      </c>
      <c r="B481" s="1748" t="str">
        <f>TiposLancamentos!B19</f>
        <v>Restaurantes</v>
      </c>
      <c r="C481" s="1740" t="s">
        <v>9930</v>
      </c>
      <c r="D481" s="51"/>
      <c r="E481" s="1043">
        <v>33</v>
      </c>
      <c r="F481" s="1656"/>
      <c r="G481" s="1152" t="s">
        <v>9</v>
      </c>
    </row>
    <row r="482" spans="1:7">
      <c r="A482" s="1754">
        <v>46017</v>
      </c>
      <c r="B482" s="1748" t="str">
        <f>TiposLancamentos!B5</f>
        <v>Supermercado</v>
      </c>
      <c r="C482" s="1740" t="s">
        <v>9931</v>
      </c>
      <c r="D482" s="51"/>
      <c r="E482" s="1043">
        <v>276.97000000000003</v>
      </c>
      <c r="F482" s="1656"/>
      <c r="G482" s="1152" t="s">
        <v>9</v>
      </c>
    </row>
    <row r="483" spans="1:7">
      <c r="A483" s="1754">
        <v>46017</v>
      </c>
      <c r="B483" s="1748" t="str">
        <f>TiposLancamentos!B19</f>
        <v>Restaurantes</v>
      </c>
      <c r="C483" s="1740" t="s">
        <v>9932</v>
      </c>
      <c r="D483" s="51"/>
      <c r="E483" s="1043">
        <v>71</v>
      </c>
      <c r="F483" s="1656"/>
      <c r="G483" s="1152" t="s">
        <v>9</v>
      </c>
    </row>
    <row r="484" spans="1:7">
      <c r="A484" s="1754">
        <v>46018</v>
      </c>
      <c r="B484" s="1748" t="str">
        <f>TiposLancamentos!B19</f>
        <v>Restaurantes</v>
      </c>
      <c r="C484" s="1740" t="s">
        <v>9933</v>
      </c>
      <c r="D484" s="51"/>
      <c r="E484" s="1043">
        <v>128.16999999999999</v>
      </c>
      <c r="F484" s="1656"/>
      <c r="G484" s="1152" t="s">
        <v>9</v>
      </c>
    </row>
    <row r="485" spans="1:7">
      <c r="A485" s="1754">
        <v>46018</v>
      </c>
      <c r="B485" s="1748" t="str">
        <f>TiposLancamentos!B19</f>
        <v>Restaurantes</v>
      </c>
      <c r="C485" s="1740" t="s">
        <v>9458</v>
      </c>
      <c r="D485" s="51"/>
      <c r="E485" s="1043">
        <v>24</v>
      </c>
      <c r="F485" s="1656"/>
      <c r="G485" s="1152" t="s">
        <v>9</v>
      </c>
    </row>
    <row r="486" spans="1:7">
      <c r="A486" s="1754">
        <v>46018</v>
      </c>
      <c r="B486" s="1748" t="str">
        <f>TiposLancamentos!B19</f>
        <v>Restaurantes</v>
      </c>
      <c r="C486" s="1740" t="s">
        <v>9934</v>
      </c>
      <c r="D486" s="51"/>
      <c r="E486" s="1043">
        <v>65.5</v>
      </c>
      <c r="F486" s="1656"/>
      <c r="G486" s="1152" t="s">
        <v>9</v>
      </c>
    </row>
    <row r="487" spans="1:7">
      <c r="A487" s="1754">
        <v>46019</v>
      </c>
      <c r="B487" s="1748" t="str">
        <f>TiposLancamentos!B45</f>
        <v>Online Services</v>
      </c>
      <c r="C487" s="1740" t="s">
        <v>2102</v>
      </c>
      <c r="D487" s="51"/>
      <c r="E487" s="1043">
        <v>29.9</v>
      </c>
      <c r="F487" s="1656"/>
      <c r="G487" s="1152" t="s">
        <v>9</v>
      </c>
    </row>
    <row r="488" spans="1:7">
      <c r="A488" s="1754">
        <v>46020</v>
      </c>
      <c r="B488" s="1748" t="str">
        <f>TiposLancamentos!B45</f>
        <v>Online Services</v>
      </c>
      <c r="C488" s="1740" t="s">
        <v>9798</v>
      </c>
      <c r="D488" s="51"/>
      <c r="E488" s="1043">
        <v>26.9</v>
      </c>
      <c r="F488" s="1656"/>
      <c r="G488" s="1152" t="s">
        <v>9</v>
      </c>
    </row>
    <row r="489" spans="1:7">
      <c r="A489" s="1754">
        <v>46020</v>
      </c>
      <c r="B489" s="1748" t="str">
        <f>TiposLancamentos!B56</f>
        <v>Farmácia</v>
      </c>
      <c r="C489" s="1740" t="s">
        <v>9935</v>
      </c>
      <c r="D489" s="51"/>
      <c r="E489" s="1043">
        <v>23.3</v>
      </c>
      <c r="F489" s="1656"/>
      <c r="G489" s="1152" t="s">
        <v>9</v>
      </c>
    </row>
    <row r="490" spans="1:7">
      <c r="A490" s="1818">
        <v>46021</v>
      </c>
      <c r="B490" s="1813" t="str">
        <f>TiposLancamentos!B45</f>
        <v>Online Services</v>
      </c>
      <c r="C490" s="1806" t="s">
        <v>9804</v>
      </c>
      <c r="D490" s="1797"/>
      <c r="E490" s="1791">
        <v>7.95</v>
      </c>
      <c r="F490" s="1787"/>
      <c r="G490" s="1152" t="s">
        <v>9</v>
      </c>
    </row>
    <row r="491" spans="1:7">
      <c r="A491" s="1754">
        <v>46021</v>
      </c>
      <c r="B491" s="1748" t="str">
        <f>TiposLancamentos!B19</f>
        <v>Restaurantes</v>
      </c>
      <c r="C491" s="1740" t="s">
        <v>9458</v>
      </c>
      <c r="D491" s="51"/>
      <c r="E491" s="1043">
        <v>28</v>
      </c>
      <c r="F491" s="1656"/>
      <c r="G491" s="1152" t="s">
        <v>9</v>
      </c>
    </row>
    <row r="492" spans="1:7">
      <c r="A492" s="1754">
        <v>46022</v>
      </c>
      <c r="B492" s="1748" t="str">
        <f>TiposLancamentos!B57</f>
        <v>Informática</v>
      </c>
      <c r="C492" s="1740" t="s">
        <v>9936</v>
      </c>
      <c r="D492" s="51"/>
      <c r="E492" s="1043">
        <v>94.66</v>
      </c>
      <c r="F492" s="1656"/>
      <c r="G492" s="1152" t="s">
        <v>9</v>
      </c>
    </row>
    <row r="493" spans="1:7">
      <c r="A493" s="1754">
        <v>46022</v>
      </c>
      <c r="B493" s="1748" t="str">
        <f>TiposLancamentos!B4</f>
        <v>Taxas Bancarias</v>
      </c>
      <c r="C493" s="1740" t="s">
        <v>9937</v>
      </c>
      <c r="D493" s="51"/>
      <c r="E493" s="1043">
        <v>3.31</v>
      </c>
      <c r="F493" s="1656"/>
      <c r="G493" s="1152" t="s">
        <v>9</v>
      </c>
    </row>
    <row r="494" spans="1:7" ht="14.25" thickBot="1">
      <c r="A494" s="1757"/>
      <c r="B494" s="1755"/>
      <c r="C494" s="1771" t="s">
        <v>1868</v>
      </c>
      <c r="D494" s="869"/>
      <c r="E494" s="1044"/>
      <c r="F494" s="1691"/>
    </row>
    <row r="495" spans="1:7">
      <c r="A495" s="1754"/>
      <c r="B495" s="1748"/>
      <c r="C495" s="1740" t="s">
        <v>1654</v>
      </c>
      <c r="D495" s="51"/>
      <c r="E495" s="1043"/>
      <c r="F495" s="1656">
        <f>SUM(E376:E473)</f>
        <v>5248.7316666666629</v>
      </c>
    </row>
    <row r="496" spans="1:7">
      <c r="A496" s="1754">
        <v>46023</v>
      </c>
      <c r="B496" s="1748" t="str">
        <f>B490</f>
        <v>Online Services</v>
      </c>
      <c r="C496" s="1740" t="s">
        <v>2079</v>
      </c>
      <c r="D496" s="51"/>
      <c r="E496" s="1043">
        <v>31.9</v>
      </c>
      <c r="F496" s="1656">
        <f>F495-F405</f>
        <v>478.949999999998</v>
      </c>
      <c r="G496" s="1152" t="s">
        <v>9</v>
      </c>
    </row>
    <row r="497" spans="1:7">
      <c r="A497" s="1754">
        <v>46024</v>
      </c>
      <c r="B497" s="1748" t="str">
        <f>TiposLancamentos!B22</f>
        <v>Combustivel</v>
      </c>
      <c r="C497" s="1740" t="s">
        <v>9938</v>
      </c>
      <c r="D497" s="51"/>
      <c r="E497" s="1043">
        <v>200</v>
      </c>
      <c r="F497" s="1656"/>
      <c r="G497" s="1152" t="s">
        <v>9</v>
      </c>
    </row>
    <row r="498" spans="1:7">
      <c r="A498" s="1754">
        <v>46024</v>
      </c>
      <c r="B498" s="1748" t="str">
        <f>TiposLancamentos!B19</f>
        <v>Restaurantes</v>
      </c>
      <c r="C498" s="1740" t="s">
        <v>9939</v>
      </c>
      <c r="D498" s="51"/>
      <c r="E498" s="1043">
        <v>45.5</v>
      </c>
      <c r="F498" s="1656"/>
      <c r="G498" s="1152" t="s">
        <v>9</v>
      </c>
    </row>
    <row r="499" spans="1:7">
      <c r="A499" s="1754">
        <v>46024</v>
      </c>
      <c r="B499" s="1748" t="str">
        <f>TiposLancamentos!B33</f>
        <v>Pedágios</v>
      </c>
      <c r="C499" s="1740" t="s">
        <v>9776</v>
      </c>
      <c r="D499" s="51"/>
      <c r="E499" s="1043">
        <v>50</v>
      </c>
      <c r="F499" s="1656"/>
      <c r="G499" s="1152" t="s">
        <v>9</v>
      </c>
    </row>
    <row r="500" spans="1:7">
      <c r="A500" s="1754">
        <v>46024</v>
      </c>
      <c r="B500" s="1748" t="str">
        <f>TiposLancamentos!B15</f>
        <v>Cartões de Crédito</v>
      </c>
      <c r="C500" s="1740" t="s">
        <v>1874</v>
      </c>
      <c r="D500" s="51">
        <v>5248.73</v>
      </c>
      <c r="E500" s="1043"/>
      <c r="F500" s="1656"/>
      <c r="G500" s="1152" t="s">
        <v>9</v>
      </c>
    </row>
    <row r="501" spans="1:7">
      <c r="A501" s="1754">
        <v>46024</v>
      </c>
      <c r="B501" s="1748" t="str">
        <f>TiposLancamentos!B19</f>
        <v>Restaurantes</v>
      </c>
      <c r="C501" s="1740" t="s">
        <v>9940</v>
      </c>
      <c r="D501" s="51"/>
      <c r="E501" s="1043">
        <v>120.09</v>
      </c>
      <c r="F501" s="1656"/>
      <c r="G501" s="1152" t="s">
        <v>9</v>
      </c>
    </row>
    <row r="502" spans="1:7">
      <c r="A502" s="1754">
        <v>46025</v>
      </c>
      <c r="B502" s="1748" t="str">
        <f>TiposLancamentos!B65</f>
        <v>Taxi</v>
      </c>
      <c r="C502" s="1740" t="s">
        <v>9941</v>
      </c>
      <c r="D502" s="51"/>
      <c r="E502" s="1043">
        <v>10.97</v>
      </c>
      <c r="F502" s="1656"/>
      <c r="G502" s="1152" t="s">
        <v>9</v>
      </c>
    </row>
    <row r="503" spans="1:7">
      <c r="A503" s="1754">
        <v>46025</v>
      </c>
      <c r="B503" s="1748" t="str">
        <f>TiposLancamentos!B19</f>
        <v>Restaurantes</v>
      </c>
      <c r="C503" s="1740" t="s">
        <v>9942</v>
      </c>
      <c r="D503" s="51"/>
      <c r="E503" s="1043">
        <v>118.32</v>
      </c>
      <c r="F503" s="1656"/>
      <c r="G503" s="1152" t="s">
        <v>9</v>
      </c>
    </row>
    <row r="504" spans="1:7">
      <c r="A504" s="1754">
        <v>46025</v>
      </c>
      <c r="B504" s="1748" t="str">
        <f>TiposLancamentos!B5</f>
        <v>Supermercado</v>
      </c>
      <c r="C504" s="1740" t="s">
        <v>2370</v>
      </c>
      <c r="D504" s="51"/>
      <c r="E504" s="1043">
        <v>142.43</v>
      </c>
      <c r="F504" s="1656"/>
      <c r="G504" s="1152" t="s">
        <v>9</v>
      </c>
    </row>
    <row r="505" spans="1:7">
      <c r="A505" s="1754">
        <v>46026</v>
      </c>
      <c r="B505" s="1748" t="str">
        <f>TiposLancamentos!B19</f>
        <v>Restaurantes</v>
      </c>
      <c r="C505" s="1740" t="s">
        <v>9895</v>
      </c>
      <c r="D505" s="51"/>
      <c r="E505" s="1043">
        <v>33</v>
      </c>
      <c r="F505" s="1656"/>
      <c r="G505" s="1152" t="s">
        <v>9</v>
      </c>
    </row>
    <row r="506" spans="1:7">
      <c r="A506" s="1754">
        <v>46026</v>
      </c>
      <c r="B506" s="1748" t="str">
        <f>TiposLancamentos!B5</f>
        <v>Supermercado</v>
      </c>
      <c r="C506" s="1740" t="s">
        <v>2414</v>
      </c>
      <c r="D506" s="51"/>
      <c r="E506" s="1043">
        <v>24.58</v>
      </c>
      <c r="F506" s="1656"/>
      <c r="G506" s="1152" t="s">
        <v>9</v>
      </c>
    </row>
    <row r="507" spans="1:7">
      <c r="A507" s="1754">
        <v>46027</v>
      </c>
      <c r="B507" s="1748" t="str">
        <f>TiposLancamentos!B19</f>
        <v>Restaurantes</v>
      </c>
      <c r="C507" s="1740" t="s">
        <v>2224</v>
      </c>
      <c r="D507" s="51"/>
      <c r="E507" s="1043">
        <v>35.69</v>
      </c>
      <c r="F507" s="1656"/>
      <c r="G507" s="1152" t="s">
        <v>9</v>
      </c>
    </row>
    <row r="508" spans="1:7">
      <c r="A508" s="1754">
        <v>46028</v>
      </c>
      <c r="B508" s="1748" t="str">
        <f>TiposLancamentos!B19</f>
        <v>Restaurantes</v>
      </c>
      <c r="C508" s="1740" t="s">
        <v>2270</v>
      </c>
      <c r="D508" s="51"/>
      <c r="E508" s="1043">
        <v>19.899999999999999</v>
      </c>
      <c r="F508" s="1656"/>
      <c r="G508" s="1152" t="s">
        <v>9</v>
      </c>
    </row>
    <row r="509" spans="1:7">
      <c r="A509" s="1754">
        <v>46028</v>
      </c>
      <c r="B509" s="1748" t="str">
        <f>TiposLancamentos!B5</f>
        <v>Supermercado</v>
      </c>
      <c r="C509" s="1740" t="s">
        <v>9844</v>
      </c>
      <c r="D509" s="51"/>
      <c r="E509" s="1043">
        <v>38.590000000000003</v>
      </c>
      <c r="F509" s="1656"/>
      <c r="G509" s="1152" t="s">
        <v>9</v>
      </c>
    </row>
    <row r="510" spans="1:7">
      <c r="A510" s="1754">
        <v>46029</v>
      </c>
      <c r="B510" s="1748" t="str">
        <f>TiposLancamentos!B19</f>
        <v>Restaurantes</v>
      </c>
      <c r="C510" s="1740" t="s">
        <v>2224</v>
      </c>
      <c r="D510" s="51"/>
      <c r="E510" s="1043">
        <v>39.799999999999997</v>
      </c>
      <c r="F510" s="1656"/>
      <c r="G510" s="1152" t="s">
        <v>9</v>
      </c>
    </row>
    <row r="511" spans="1:7">
      <c r="A511" s="1754">
        <v>46029</v>
      </c>
      <c r="B511" s="1748" t="str">
        <f>TiposLancamentos!B28</f>
        <v>ComicBook</v>
      </c>
      <c r="C511" s="1740" t="s">
        <v>9943</v>
      </c>
      <c r="D511" s="51"/>
      <c r="E511" s="1043">
        <v>54.9</v>
      </c>
      <c r="F511" s="1656"/>
      <c r="G511" s="1152" t="s">
        <v>9</v>
      </c>
    </row>
    <row r="512" spans="1:7">
      <c r="A512" s="1754">
        <v>46030</v>
      </c>
      <c r="B512" s="1748" t="str">
        <f>TiposLancamentos!B34</f>
        <v>Seguros</v>
      </c>
      <c r="C512" s="1740" t="s">
        <v>9944</v>
      </c>
      <c r="D512" s="51"/>
      <c r="E512" s="1043">
        <f>F512/6</f>
        <v>97.021666666666661</v>
      </c>
      <c r="F512" s="1656">
        <v>582.13</v>
      </c>
      <c r="G512" s="1152" t="s">
        <v>9</v>
      </c>
    </row>
    <row r="513" spans="1:7">
      <c r="A513" s="1754">
        <v>46030</v>
      </c>
      <c r="B513" s="1748" t="str">
        <f>TiposLancamentos!B19</f>
        <v>Restaurantes</v>
      </c>
      <c r="C513" s="1740" t="s">
        <v>2270</v>
      </c>
      <c r="D513" s="51"/>
      <c r="E513" s="1043">
        <v>19.899999999999999</v>
      </c>
      <c r="F513" s="1656"/>
      <c r="G513" s="1152" t="s">
        <v>9</v>
      </c>
    </row>
    <row r="514" spans="1:7">
      <c r="A514" s="1754">
        <v>46030</v>
      </c>
      <c r="B514" s="1748" t="str">
        <f>TiposLancamentos!B17</f>
        <v>GATO</v>
      </c>
      <c r="C514" s="1740" t="s">
        <v>9945</v>
      </c>
      <c r="D514" s="51"/>
      <c r="E514" s="1043">
        <v>140.68</v>
      </c>
      <c r="F514" s="1656"/>
      <c r="G514" s="1152" t="s">
        <v>9</v>
      </c>
    </row>
    <row r="515" spans="1:7">
      <c r="A515" s="1818">
        <v>46031</v>
      </c>
      <c r="B515" s="1813" t="str">
        <f>TiposLancamentos!B16</f>
        <v>Cristiane</v>
      </c>
      <c r="C515" s="1806" t="s">
        <v>9946</v>
      </c>
      <c r="D515" s="1797"/>
      <c r="E515" s="1791">
        <v>6.35</v>
      </c>
      <c r="F515" s="1787"/>
      <c r="G515" s="1152" t="s">
        <v>9</v>
      </c>
    </row>
    <row r="516" spans="1:7">
      <c r="A516" s="1754">
        <v>46031</v>
      </c>
      <c r="B516" s="1748" t="str">
        <f>TiposLancamentos!B19</f>
        <v>Restaurantes</v>
      </c>
      <c r="C516" s="1740" t="s">
        <v>2224</v>
      </c>
      <c r="D516" s="51"/>
      <c r="E516" s="1043">
        <v>28.82</v>
      </c>
      <c r="F516" s="1656"/>
      <c r="G516" s="1152" t="s">
        <v>9</v>
      </c>
    </row>
    <row r="517" spans="1:7">
      <c r="A517" s="1754">
        <v>46031</v>
      </c>
      <c r="B517" s="1748" t="str">
        <f>TiposLancamentos!B44</f>
        <v>Academia</v>
      </c>
      <c r="C517" s="1740" t="s">
        <v>9947</v>
      </c>
      <c r="D517" s="51"/>
      <c r="E517" s="1043">
        <v>115.99</v>
      </c>
      <c r="F517" s="1656"/>
      <c r="G517" s="1152" t="s">
        <v>9</v>
      </c>
    </row>
    <row r="518" spans="1:7">
      <c r="A518" s="1754">
        <v>46031</v>
      </c>
      <c r="B518" s="1748" t="str">
        <f>TiposLancamentos!B19</f>
        <v>Restaurantes</v>
      </c>
      <c r="C518" s="1740" t="s">
        <v>9853</v>
      </c>
      <c r="D518" s="51"/>
      <c r="E518" s="1043">
        <v>124.98</v>
      </c>
      <c r="F518" s="1656"/>
      <c r="G518" s="1152" t="s">
        <v>9</v>
      </c>
    </row>
    <row r="519" spans="1:7">
      <c r="A519" s="1754">
        <v>46032</v>
      </c>
      <c r="B519" s="1748" t="str">
        <f>TiposLancamentos!B7</f>
        <v>Apto. Proprio 01</v>
      </c>
      <c r="C519" s="1740" t="s">
        <v>9948</v>
      </c>
      <c r="D519" s="51"/>
      <c r="E519" s="1043">
        <v>7.2</v>
      </c>
      <c r="F519" s="1656"/>
      <c r="G519" s="1152" t="s">
        <v>9</v>
      </c>
    </row>
    <row r="520" spans="1:7">
      <c r="A520" s="1754">
        <v>46032</v>
      </c>
      <c r="B520" s="1748" t="str">
        <f>TiposLancamentos!B19</f>
        <v>Restaurantes</v>
      </c>
      <c r="C520" s="1740" t="s">
        <v>2224</v>
      </c>
      <c r="D520" s="51"/>
      <c r="E520" s="1043">
        <v>179.3</v>
      </c>
      <c r="F520" s="1656"/>
      <c r="G520" s="1152" t="s">
        <v>9</v>
      </c>
    </row>
    <row r="521" spans="1:7">
      <c r="A521" s="1818">
        <v>46032</v>
      </c>
      <c r="B521" s="1813" t="str">
        <f>TiposLancamentos!B13</f>
        <v>Moradia</v>
      </c>
      <c r="C521" s="1806" t="s">
        <v>9949</v>
      </c>
      <c r="D521" s="1797"/>
      <c r="E521" s="1791">
        <v>144.65</v>
      </c>
      <c r="F521" s="1787"/>
      <c r="G521" s="1152" t="s">
        <v>9</v>
      </c>
    </row>
    <row r="522" spans="1:7">
      <c r="A522" s="1754">
        <v>46032</v>
      </c>
      <c r="B522" s="1748" t="str">
        <f>TiposLancamentos!B7</f>
        <v>Apto. Proprio 01</v>
      </c>
      <c r="C522" s="1740" t="s">
        <v>9950</v>
      </c>
      <c r="D522" s="51"/>
      <c r="E522" s="1043">
        <v>42.46</v>
      </c>
      <c r="F522" s="1656"/>
      <c r="G522" s="1152" t="s">
        <v>9</v>
      </c>
    </row>
    <row r="523" spans="1:7">
      <c r="A523" s="1754">
        <v>46033</v>
      </c>
      <c r="B523" s="1748" t="str">
        <f>TiposLancamentos!B5</f>
        <v>Supermercado</v>
      </c>
      <c r="C523" s="1740" t="s">
        <v>9951</v>
      </c>
      <c r="D523" s="51"/>
      <c r="E523" s="1043">
        <v>170.03</v>
      </c>
      <c r="F523" s="1656"/>
      <c r="G523" s="1152" t="s">
        <v>9</v>
      </c>
    </row>
    <row r="524" spans="1:7">
      <c r="A524" s="1754">
        <v>46033</v>
      </c>
      <c r="B524" s="1748" t="str">
        <f>TiposLancamentos!B19</f>
        <v>Restaurantes</v>
      </c>
      <c r="C524" s="1740" t="s">
        <v>9952</v>
      </c>
      <c r="D524" s="51"/>
      <c r="E524" s="1043">
        <v>30</v>
      </c>
      <c r="F524" s="1656"/>
      <c r="G524" s="1152" t="s">
        <v>9</v>
      </c>
    </row>
    <row r="525" spans="1:7">
      <c r="A525" s="1754">
        <v>46034</v>
      </c>
      <c r="B525" s="1748" t="str">
        <f>TiposLancamentos!B19</f>
        <v>Restaurantes</v>
      </c>
      <c r="C525" s="1740" t="s">
        <v>2270</v>
      </c>
      <c r="D525" s="51"/>
      <c r="E525" s="1043">
        <v>19.899999999999999</v>
      </c>
      <c r="F525" s="1656"/>
      <c r="G525" s="1152" t="s">
        <v>9</v>
      </c>
    </row>
    <row r="526" spans="1:7">
      <c r="A526" s="1754">
        <v>46035</v>
      </c>
      <c r="B526" s="1748" t="str">
        <f>TiposLancamentos!B19</f>
        <v>Restaurantes</v>
      </c>
      <c r="C526" s="1740" t="s">
        <v>2224</v>
      </c>
      <c r="D526" s="51"/>
      <c r="E526" s="1043">
        <v>33.76</v>
      </c>
      <c r="F526" s="1656"/>
      <c r="G526" s="1152" t="s">
        <v>9</v>
      </c>
    </row>
    <row r="527" spans="1:7">
      <c r="A527" s="1754">
        <v>46036</v>
      </c>
      <c r="B527" s="1748" t="str">
        <f>TiposLancamentos!B19</f>
        <v>Restaurantes</v>
      </c>
      <c r="C527" s="1740" t="s">
        <v>2224</v>
      </c>
      <c r="D527" s="51"/>
      <c r="E527" s="1043">
        <v>41.45</v>
      </c>
      <c r="F527" s="1656"/>
      <c r="G527" s="1152" t="s">
        <v>9</v>
      </c>
    </row>
    <row r="528" spans="1:7">
      <c r="A528" s="1666">
        <v>46036</v>
      </c>
      <c r="B528" s="1666" t="str">
        <f>TiposLancamentos!B16</f>
        <v>Cristiane</v>
      </c>
      <c r="C528" s="1742" t="s">
        <v>9953</v>
      </c>
      <c r="D528" s="747"/>
      <c r="E528" s="1733">
        <f>F529-E529</f>
        <v>87.97999999999999</v>
      </c>
      <c r="F528" s="1346"/>
      <c r="G528" s="1152" t="s">
        <v>9</v>
      </c>
    </row>
    <row r="529" spans="1:7">
      <c r="A529" s="1750">
        <v>46036</v>
      </c>
      <c r="B529" s="1750" t="str">
        <f>TiposLancamentos!B60</f>
        <v>Correio</v>
      </c>
      <c r="C529" s="1743" t="s">
        <v>9838</v>
      </c>
      <c r="D529" s="849"/>
      <c r="E529" s="1668">
        <v>7.9</v>
      </c>
      <c r="F529" s="1665">
        <v>95.88</v>
      </c>
      <c r="G529" s="1152" t="s">
        <v>9</v>
      </c>
    </row>
    <row r="530" spans="1:7">
      <c r="A530" s="1754">
        <v>46037</v>
      </c>
      <c r="B530" s="1748" t="str">
        <f>TiposLancamentos!B19</f>
        <v>Restaurantes</v>
      </c>
      <c r="C530" s="1740" t="s">
        <v>2270</v>
      </c>
      <c r="D530" s="51"/>
      <c r="E530" s="1043">
        <v>19.899999999999999</v>
      </c>
      <c r="F530" s="1656"/>
      <c r="G530" s="1152" t="s">
        <v>9</v>
      </c>
    </row>
    <row r="531" spans="1:7">
      <c r="A531" s="1754">
        <v>46037</v>
      </c>
      <c r="B531" s="1748" t="str">
        <f>TiposLancamentos!B5</f>
        <v>Supermercado</v>
      </c>
      <c r="C531" s="1740" t="s">
        <v>9899</v>
      </c>
      <c r="D531" s="51"/>
      <c r="E531" s="1043">
        <v>26.8</v>
      </c>
      <c r="F531" s="1656"/>
      <c r="G531" s="1152" t="s">
        <v>9</v>
      </c>
    </row>
    <row r="532" spans="1:7">
      <c r="A532" s="1754">
        <v>46038</v>
      </c>
      <c r="B532" s="1748" t="str">
        <f>TiposLancamentos!B19</f>
        <v>Restaurantes</v>
      </c>
      <c r="C532" s="1740" t="s">
        <v>2224</v>
      </c>
      <c r="D532" s="51"/>
      <c r="E532" s="1043">
        <v>27.72</v>
      </c>
      <c r="F532" s="1656"/>
      <c r="G532" s="1152" t="s">
        <v>9</v>
      </c>
    </row>
    <row r="533" spans="1:7">
      <c r="A533" s="1754">
        <v>46038</v>
      </c>
      <c r="B533" s="1748" t="str">
        <f>TiposLancamentos!B19</f>
        <v>Restaurantes</v>
      </c>
      <c r="C533" s="1740" t="s">
        <v>9787</v>
      </c>
      <c r="D533" s="51"/>
      <c r="E533" s="1043">
        <v>85.98</v>
      </c>
      <c r="F533" s="1656"/>
      <c r="G533" s="1152" t="s">
        <v>9</v>
      </c>
    </row>
    <row r="534" spans="1:7">
      <c r="A534" s="1754">
        <v>46039</v>
      </c>
      <c r="B534" s="1748" t="str">
        <f>TiposLancamentos!B19</f>
        <v>Restaurantes</v>
      </c>
      <c r="C534" s="1740" t="s">
        <v>9853</v>
      </c>
      <c r="D534" s="51"/>
      <c r="E534" s="1043">
        <v>132.03</v>
      </c>
      <c r="F534" s="1656"/>
      <c r="G534" s="1152" t="s">
        <v>9</v>
      </c>
    </row>
    <row r="535" spans="1:7">
      <c r="A535" s="1754">
        <v>46040</v>
      </c>
      <c r="B535" s="1748" t="str">
        <f>TiposLancamentos!B34</f>
        <v>Seguros</v>
      </c>
      <c r="C535" s="1740" t="s">
        <v>9954</v>
      </c>
      <c r="D535" s="51"/>
      <c r="E535" s="1043">
        <v>277.02999999999997</v>
      </c>
      <c r="F535" s="1656">
        <v>1662.14</v>
      </c>
      <c r="G535" s="1152" t="s">
        <v>9</v>
      </c>
    </row>
    <row r="536" spans="1:7">
      <c r="A536" s="1818">
        <v>46043</v>
      </c>
      <c r="B536" s="1813" t="str">
        <f>TiposLancamentos!B5</f>
        <v>Supermercado</v>
      </c>
      <c r="C536" s="1806" t="s">
        <v>9899</v>
      </c>
      <c r="D536" s="1797"/>
      <c r="E536" s="1791">
        <v>76.31</v>
      </c>
      <c r="F536" s="1787"/>
      <c r="G536" s="1152" t="s">
        <v>9</v>
      </c>
    </row>
    <row r="537" spans="1:7">
      <c r="A537" s="1754">
        <v>46045</v>
      </c>
      <c r="B537" s="1748" t="str">
        <f>TiposLancamentos!B45</f>
        <v>Online Services</v>
      </c>
      <c r="C537" s="1740" t="s">
        <v>9788</v>
      </c>
      <c r="D537" s="51"/>
      <c r="E537" s="1043">
        <v>5.9</v>
      </c>
      <c r="F537" s="1656"/>
      <c r="G537" s="1152" t="s">
        <v>9</v>
      </c>
    </row>
    <row r="538" spans="1:7">
      <c r="A538" s="1754">
        <v>46045</v>
      </c>
      <c r="B538" s="1748" t="str">
        <f>TiposLancamentos!B16</f>
        <v>Cristiane</v>
      </c>
      <c r="C538" s="1740" t="s">
        <v>9955</v>
      </c>
      <c r="D538" s="51"/>
      <c r="E538" s="1043">
        <v>90.2</v>
      </c>
      <c r="F538" s="1656"/>
      <c r="G538" s="1152" t="s">
        <v>9</v>
      </c>
    </row>
    <row r="539" spans="1:7">
      <c r="A539" s="1756"/>
      <c r="B539" s="1749"/>
      <c r="C539" s="1741" t="s">
        <v>10</v>
      </c>
      <c r="D539" s="375"/>
      <c r="E539" s="1690"/>
      <c r="F539" s="1690"/>
      <c r="G539" s="1094" t="s">
        <v>11</v>
      </c>
    </row>
    <row r="540" spans="1:7">
      <c r="A540" s="1754">
        <v>46047</v>
      </c>
      <c r="B540" s="1748" t="str">
        <f>TiposLancamentos!B45</f>
        <v>Online Services</v>
      </c>
      <c r="C540" s="1740" t="s">
        <v>9877</v>
      </c>
      <c r="D540" s="51"/>
      <c r="E540" s="1043">
        <v>7.99</v>
      </c>
      <c r="F540" s="1656"/>
      <c r="G540" s="1152" t="s">
        <v>9</v>
      </c>
    </row>
    <row r="541" spans="1:7">
      <c r="A541" s="1754">
        <v>46047</v>
      </c>
      <c r="B541" s="1748" t="str">
        <f>TiposLancamentos!B19</f>
        <v>Restaurantes</v>
      </c>
      <c r="C541" s="1740" t="s">
        <v>9956</v>
      </c>
      <c r="D541" s="51"/>
      <c r="E541" s="1043">
        <v>242.23</v>
      </c>
      <c r="F541" s="1656"/>
      <c r="G541" s="1152" t="s">
        <v>9</v>
      </c>
    </row>
    <row r="542" spans="1:7">
      <c r="A542" s="1754">
        <v>46048</v>
      </c>
      <c r="B542" s="1748" t="str">
        <f>TiposLancamentos!B67</f>
        <v>Lavanderia</v>
      </c>
      <c r="C542" s="1740" t="s">
        <v>9957</v>
      </c>
      <c r="D542" s="51"/>
      <c r="E542" s="1043">
        <v>76</v>
      </c>
      <c r="F542" s="1656"/>
      <c r="G542" s="1152" t="s">
        <v>9</v>
      </c>
    </row>
    <row r="543" spans="1:7">
      <c r="A543" s="1754">
        <v>46048</v>
      </c>
      <c r="B543" s="1748" t="str">
        <f>TiposLancamentos!B19</f>
        <v>Restaurantes</v>
      </c>
      <c r="C543" s="1740" t="s">
        <v>2224</v>
      </c>
      <c r="D543" s="51"/>
      <c r="E543" s="1043">
        <v>34.590000000000003</v>
      </c>
      <c r="F543" s="1656"/>
      <c r="G543" s="1152" t="s">
        <v>9</v>
      </c>
    </row>
    <row r="544" spans="1:7">
      <c r="A544" s="1818">
        <v>46048</v>
      </c>
      <c r="B544" s="1813" t="str">
        <f>TiposLancamentos!B5</f>
        <v>Supermercado</v>
      </c>
      <c r="C544" s="1806" t="s">
        <v>9899</v>
      </c>
      <c r="D544" s="1797"/>
      <c r="E544" s="1791">
        <v>125.39</v>
      </c>
      <c r="F544" s="1787"/>
      <c r="G544" s="1152" t="s">
        <v>9</v>
      </c>
    </row>
    <row r="545" spans="1:7">
      <c r="A545" s="1818">
        <v>46049</v>
      </c>
      <c r="B545" s="1813" t="str">
        <f>TiposLancamentos!B16</f>
        <v>Cristiane</v>
      </c>
      <c r="C545" s="1806" t="s">
        <v>9946</v>
      </c>
      <c r="D545" s="1797"/>
      <c r="E545" s="1791">
        <v>6.35</v>
      </c>
      <c r="F545" s="1787"/>
      <c r="G545" s="1152" t="s">
        <v>9</v>
      </c>
    </row>
    <row r="546" spans="1:7">
      <c r="A546" s="1754">
        <v>46049</v>
      </c>
      <c r="B546" s="1748" t="str">
        <f>TiposLancamentos!B19</f>
        <v>Restaurantes</v>
      </c>
      <c r="C546" s="1740" t="s">
        <v>2270</v>
      </c>
      <c r="D546" s="51"/>
      <c r="E546" s="1043">
        <v>19.899999999999999</v>
      </c>
      <c r="F546" s="1656"/>
      <c r="G546" s="1152" t="s">
        <v>9</v>
      </c>
    </row>
    <row r="547" spans="1:7">
      <c r="A547" s="1754">
        <v>46050</v>
      </c>
      <c r="B547" s="1748" t="str">
        <f>TiposLancamentos!B45</f>
        <v>Online Services</v>
      </c>
      <c r="C547" s="1740" t="s">
        <v>2102</v>
      </c>
      <c r="D547" s="51"/>
      <c r="E547" s="1043">
        <v>29.9</v>
      </c>
      <c r="F547" s="1656"/>
      <c r="G547" s="1152" t="s">
        <v>9</v>
      </c>
    </row>
    <row r="548" spans="1:7">
      <c r="A548" s="1754">
        <v>46050</v>
      </c>
      <c r="B548" s="1748" t="str">
        <f>TiposLancamentos!B19</f>
        <v>Restaurantes</v>
      </c>
      <c r="C548" s="1740" t="s">
        <v>2224</v>
      </c>
      <c r="D548" s="51"/>
      <c r="E548" s="1043">
        <v>43.1</v>
      </c>
      <c r="F548" s="1656"/>
      <c r="G548" s="1152" t="s">
        <v>9</v>
      </c>
    </row>
    <row r="549" spans="1:7">
      <c r="A549" s="1754">
        <v>46050</v>
      </c>
      <c r="B549" s="1748" t="str">
        <f>TiposLancamentos!B5</f>
        <v>Supermercado</v>
      </c>
      <c r="C549" s="1740" t="s">
        <v>9958</v>
      </c>
      <c r="D549" s="51"/>
      <c r="E549" s="1043">
        <v>156.01</v>
      </c>
      <c r="F549" s="1656"/>
      <c r="G549" s="1152" t="s">
        <v>9</v>
      </c>
    </row>
    <row r="550" spans="1:7">
      <c r="A550" s="1754">
        <v>46050</v>
      </c>
      <c r="B550" s="1748" t="str">
        <f>TiposLancamentos!B5</f>
        <v>Supermercado</v>
      </c>
      <c r="C550" s="1740" t="s">
        <v>1884</v>
      </c>
      <c r="D550" s="51"/>
      <c r="E550" s="1043">
        <v>8.99</v>
      </c>
      <c r="F550" s="1656"/>
      <c r="G550" s="1152" t="s">
        <v>9</v>
      </c>
    </row>
    <row r="551" spans="1:7">
      <c r="A551" s="1754">
        <v>46051</v>
      </c>
      <c r="B551" s="1748" t="str">
        <f>TiposLancamentos!B45</f>
        <v>Online Services</v>
      </c>
      <c r="C551" s="1740" t="s">
        <v>9798</v>
      </c>
      <c r="D551" s="51"/>
      <c r="E551" s="1043">
        <v>26.9</v>
      </c>
      <c r="F551" s="1656"/>
      <c r="G551" s="1152" t="s">
        <v>9</v>
      </c>
    </row>
    <row r="552" spans="1:7">
      <c r="A552" s="1754">
        <v>46051</v>
      </c>
      <c r="B552" s="1748" t="str">
        <f>TiposLancamentos!B19</f>
        <v>Restaurantes</v>
      </c>
      <c r="C552" s="1740" t="s">
        <v>2270</v>
      </c>
      <c r="D552" s="51"/>
      <c r="E552" s="1043">
        <v>19.899999999999999</v>
      </c>
      <c r="F552" s="1656"/>
      <c r="G552" s="1152" t="s">
        <v>9</v>
      </c>
    </row>
    <row r="553" spans="1:7">
      <c r="A553" s="1818">
        <v>46051</v>
      </c>
      <c r="B553" s="1813" t="str">
        <f>TiposLancamentos!B16</f>
        <v>Cristiane</v>
      </c>
      <c r="C553" s="1806" t="s">
        <v>9946</v>
      </c>
      <c r="D553" s="1797"/>
      <c r="E553" s="1791">
        <v>6.35</v>
      </c>
      <c r="F553" s="1787"/>
      <c r="G553" s="1152" t="s">
        <v>9</v>
      </c>
    </row>
    <row r="554" spans="1:7">
      <c r="A554" s="1754">
        <v>46051</v>
      </c>
      <c r="B554" s="1748" t="str">
        <f>TiposLancamentos!B17</f>
        <v>GATO</v>
      </c>
      <c r="C554" s="1740" t="s">
        <v>2236</v>
      </c>
      <c r="D554" s="51"/>
      <c r="E554" s="1043">
        <v>135.97999999999999</v>
      </c>
      <c r="F554" s="1656"/>
      <c r="G554" s="1152" t="s">
        <v>9</v>
      </c>
    </row>
    <row r="555" spans="1:7">
      <c r="A555" s="1818">
        <v>46052</v>
      </c>
      <c r="B555" s="1813" t="str">
        <f>TiposLancamentos!B45</f>
        <v>Online Services</v>
      </c>
      <c r="C555" s="1806" t="s">
        <v>9804</v>
      </c>
      <c r="D555" s="1797"/>
      <c r="E555" s="1791">
        <v>7.95</v>
      </c>
      <c r="F555" s="1787"/>
      <c r="G555" s="1152" t="s">
        <v>9</v>
      </c>
    </row>
    <row r="556" spans="1:7">
      <c r="A556" s="1754">
        <v>46052</v>
      </c>
      <c r="B556" s="1748" t="str">
        <f>TiposLancamentos!B19</f>
        <v>Restaurantes</v>
      </c>
      <c r="C556" s="1740" t="s">
        <v>2224</v>
      </c>
      <c r="D556" s="51"/>
      <c r="E556" s="1043">
        <v>37.880000000000003</v>
      </c>
      <c r="F556" s="1656"/>
      <c r="G556" s="1152" t="s">
        <v>9</v>
      </c>
    </row>
    <row r="557" spans="1:7">
      <c r="A557" s="1666">
        <v>46052</v>
      </c>
      <c r="B557" s="1666" t="str">
        <f>TiposLancamentos!B71</f>
        <v>Itens Pessoais</v>
      </c>
      <c r="C557" s="1742" t="s">
        <v>9959</v>
      </c>
      <c r="D557" s="747"/>
      <c r="E557" s="1733">
        <f>105.98-15.9</f>
        <v>90.08</v>
      </c>
      <c r="F557" s="1346">
        <f>SUM(E557:E558)</f>
        <v>99.98</v>
      </c>
      <c r="G557" s="1152" t="s">
        <v>9</v>
      </c>
    </row>
    <row r="558" spans="1:7">
      <c r="A558" s="1750">
        <v>46052</v>
      </c>
      <c r="B558" s="1750" t="str">
        <f>TiposLancamentos!B60</f>
        <v>Correio</v>
      </c>
      <c r="C558" s="1743" t="s">
        <v>9960</v>
      </c>
      <c r="D558" s="849"/>
      <c r="E558" s="1668">
        <v>9.9</v>
      </c>
      <c r="F558" s="1665"/>
      <c r="G558" s="1152" t="s">
        <v>9</v>
      </c>
    </row>
    <row r="559" spans="1:7">
      <c r="A559" s="1754"/>
      <c r="B559" s="1748"/>
      <c r="C559" s="1740" t="s">
        <v>1868</v>
      </c>
      <c r="D559" s="51"/>
      <c r="E559" s="1043"/>
      <c r="F559" s="1656"/>
    </row>
    <row r="560" spans="1:7">
      <c r="A560" s="1818">
        <v>46052</v>
      </c>
      <c r="B560" s="1813" t="str">
        <f>TiposLancamentos!B19</f>
        <v>Restaurantes</v>
      </c>
      <c r="C560" s="1806" t="s">
        <v>9883</v>
      </c>
      <c r="D560" s="1797"/>
      <c r="E560" s="1791">
        <v>110.69</v>
      </c>
      <c r="F560" s="1787"/>
      <c r="G560" s="1152" t="s">
        <v>9</v>
      </c>
    </row>
    <row r="561" spans="1:7">
      <c r="A561" s="1754"/>
      <c r="B561" s="1748"/>
      <c r="C561" s="1740" t="s">
        <v>1868</v>
      </c>
      <c r="D561" s="51"/>
      <c r="E561" s="1043"/>
      <c r="F561" s="1656"/>
    </row>
    <row r="562" spans="1:7">
      <c r="A562" s="1666">
        <v>46053</v>
      </c>
      <c r="B562" s="1666" t="str">
        <f>TiposLancamentos!B28</f>
        <v>ComicBook</v>
      </c>
      <c r="C562" s="1742" t="s">
        <v>9961</v>
      </c>
      <c r="D562" s="747"/>
      <c r="E562" s="1733">
        <v>49.9</v>
      </c>
      <c r="F562" s="1346"/>
      <c r="G562" s="1152" t="s">
        <v>9</v>
      </c>
    </row>
    <row r="563" spans="1:7">
      <c r="A563" s="1667">
        <v>46053</v>
      </c>
      <c r="B563" s="1667" t="str">
        <f>TiposLancamentos!B28</f>
        <v>ComicBook</v>
      </c>
      <c r="C563" s="1769" t="s">
        <v>9962</v>
      </c>
      <c r="D563" s="51"/>
      <c r="E563" s="1734">
        <v>34.9</v>
      </c>
      <c r="F563" s="1043"/>
      <c r="G563" s="1152" t="s">
        <v>9</v>
      </c>
    </row>
    <row r="564" spans="1:7">
      <c r="A564" s="1667">
        <v>46053</v>
      </c>
      <c r="B564" s="1667" t="str">
        <f>TiposLancamentos!B28</f>
        <v>ComicBook</v>
      </c>
      <c r="C564" s="1769" t="s">
        <v>9963</v>
      </c>
      <c r="D564" s="51"/>
      <c r="E564" s="1734">
        <v>39.9</v>
      </c>
      <c r="F564" s="1043"/>
      <c r="G564" s="1152" t="s">
        <v>9</v>
      </c>
    </row>
    <row r="565" spans="1:7">
      <c r="A565" s="1667">
        <v>46053</v>
      </c>
      <c r="B565" s="1667" t="str">
        <f>TiposLancamentos!B28</f>
        <v>ComicBook</v>
      </c>
      <c r="C565" s="1769" t="s">
        <v>9964</v>
      </c>
      <c r="D565" s="51"/>
      <c r="E565" s="1734">
        <v>49.9</v>
      </c>
      <c r="F565" s="1043"/>
      <c r="G565" s="1152" t="s">
        <v>9</v>
      </c>
    </row>
    <row r="566" spans="1:7">
      <c r="A566" s="1667">
        <v>46053</v>
      </c>
      <c r="B566" s="1667" t="str">
        <f>TiposLancamentos!B28</f>
        <v>ComicBook</v>
      </c>
      <c r="C566" s="1769" t="s">
        <v>9965</v>
      </c>
      <c r="D566" s="51"/>
      <c r="E566" s="1734">
        <v>34.9</v>
      </c>
      <c r="F566" s="1043"/>
      <c r="G566" s="1152" t="s">
        <v>9</v>
      </c>
    </row>
    <row r="567" spans="1:7">
      <c r="A567" s="1750">
        <v>46053</v>
      </c>
      <c r="B567" s="1750" t="str">
        <f>TiposLancamentos!B60</f>
        <v>Correio</v>
      </c>
      <c r="C567" s="1743" t="s">
        <v>2303</v>
      </c>
      <c r="D567" s="849"/>
      <c r="E567" s="1668">
        <v>42.13</v>
      </c>
      <c r="F567" s="1665">
        <f>SUM(E562:E567)</f>
        <v>251.63</v>
      </c>
      <c r="G567" s="1152" t="s">
        <v>9</v>
      </c>
    </row>
    <row r="568" spans="1:7">
      <c r="A568" s="1754"/>
      <c r="B568" s="1748"/>
      <c r="C568" s="1740" t="s">
        <v>1868</v>
      </c>
      <c r="D568" s="51"/>
      <c r="E568" s="1043"/>
      <c r="F568" s="1656"/>
    </row>
    <row r="569" spans="1:7">
      <c r="A569" s="1754">
        <v>46053</v>
      </c>
      <c r="B569" s="1748" t="str">
        <f>TiposLancamentos!B19</f>
        <v>Restaurantes</v>
      </c>
      <c r="C569" s="1740" t="s">
        <v>9966</v>
      </c>
      <c r="D569" s="51"/>
      <c r="E569" s="1043">
        <v>143.44</v>
      </c>
      <c r="F569" s="1656"/>
      <c r="G569" s="1152" t="s">
        <v>9</v>
      </c>
    </row>
    <row r="570" spans="1:7">
      <c r="A570" s="1754">
        <v>46053</v>
      </c>
      <c r="B570" s="1748" t="str">
        <f>TiposLancamentos!B5</f>
        <v>Supermercado</v>
      </c>
      <c r="C570" s="1740" t="s">
        <v>2153</v>
      </c>
      <c r="D570" s="51"/>
      <c r="E570" s="1043">
        <v>50.69</v>
      </c>
      <c r="F570" s="1656"/>
      <c r="G570" s="1152" t="s">
        <v>9</v>
      </c>
    </row>
    <row r="571" spans="1:7" ht="14.25" thickBot="1">
      <c r="A571" s="1757"/>
      <c r="B571" s="1755"/>
      <c r="C571" s="1771" t="s">
        <v>1868</v>
      </c>
      <c r="D571" s="869"/>
      <c r="E571" s="1044"/>
      <c r="F571" s="1691"/>
    </row>
    <row r="572" spans="1:7">
      <c r="A572" s="1754"/>
      <c r="B572" s="1748"/>
      <c r="C572" s="1740" t="s">
        <v>2360</v>
      </c>
      <c r="D572" s="51"/>
      <c r="E572" s="1043"/>
      <c r="F572" s="1656">
        <f>SUM(E473:E539)</f>
        <v>4311.9316666666682</v>
      </c>
    </row>
    <row r="573" spans="1:7">
      <c r="A573" s="1754">
        <v>46054</v>
      </c>
      <c r="B573" s="1748" t="str">
        <f>TiposLancamentos!B45</f>
        <v>Online Services</v>
      </c>
      <c r="C573" s="1740" t="s">
        <v>2079</v>
      </c>
      <c r="D573" s="51"/>
      <c r="E573" s="1043">
        <v>31.9</v>
      </c>
      <c r="F573" s="1656">
        <f>F572-F495</f>
        <v>-936.79999999999472</v>
      </c>
      <c r="G573" s="1152" t="s">
        <v>9</v>
      </c>
    </row>
    <row r="574" spans="1:7">
      <c r="A574" s="1754">
        <v>46054</v>
      </c>
      <c r="B574" s="1748" t="str">
        <f>TiposLancamentos!B5</f>
        <v>Supermercado</v>
      </c>
      <c r="C574" s="1740" t="s">
        <v>2153</v>
      </c>
      <c r="D574" s="51"/>
      <c r="E574" s="1043">
        <v>33.700000000000003</v>
      </c>
      <c r="F574" s="1656"/>
      <c r="G574" s="1152" t="s">
        <v>9</v>
      </c>
    </row>
    <row r="575" spans="1:7">
      <c r="A575" s="1754">
        <v>46054</v>
      </c>
      <c r="B575" s="1748" t="str">
        <f>TiposLancamentos!B19</f>
        <v>Restaurantes</v>
      </c>
      <c r="C575" s="1740" t="s">
        <v>9787</v>
      </c>
      <c r="D575" s="51"/>
      <c r="E575" s="1043">
        <v>85.98</v>
      </c>
      <c r="F575" s="1656"/>
      <c r="G575" s="1152" t="s">
        <v>9</v>
      </c>
    </row>
    <row r="576" spans="1:7">
      <c r="A576" s="1754">
        <v>46055</v>
      </c>
      <c r="B576" s="1748" t="str">
        <f>TiposLancamentos!B15</f>
        <v>Cartões de Crédito</v>
      </c>
      <c r="C576" s="1740" t="s">
        <v>1874</v>
      </c>
      <c r="D576" s="51">
        <v>4311.93</v>
      </c>
      <c r="E576" s="1043"/>
      <c r="F576" s="1656"/>
      <c r="G576" s="1152" t="s">
        <v>9</v>
      </c>
    </row>
    <row r="577" spans="1:7">
      <c r="A577" s="1754">
        <v>46055</v>
      </c>
      <c r="B577" s="1748" t="str">
        <f>TiposLancamentos!B22</f>
        <v>Combustivel</v>
      </c>
      <c r="C577" s="1740" t="s">
        <v>9967</v>
      </c>
      <c r="D577" s="51"/>
      <c r="E577" s="1043">
        <v>150</v>
      </c>
      <c r="F577" s="1656"/>
      <c r="G577" s="1152" t="s">
        <v>9</v>
      </c>
    </row>
    <row r="578" spans="1:7">
      <c r="A578" s="1754">
        <v>46055</v>
      </c>
      <c r="B578" s="1748" t="str">
        <f>TiposLancamentos!B19</f>
        <v>Restaurantes</v>
      </c>
      <c r="C578" s="1740" t="s">
        <v>2224</v>
      </c>
      <c r="D578" s="51"/>
      <c r="E578" s="1043">
        <v>38.159999999999997</v>
      </c>
      <c r="F578" s="1656"/>
      <c r="G578" s="1152" t="s">
        <v>9</v>
      </c>
    </row>
    <row r="579" spans="1:7">
      <c r="A579" s="1754">
        <v>46055</v>
      </c>
      <c r="B579" s="1748" t="str">
        <f>TiposLancamentos!B24</f>
        <v>Estacionamentos</v>
      </c>
      <c r="C579" s="1740" t="s">
        <v>1898</v>
      </c>
      <c r="D579" s="51"/>
      <c r="E579" s="1043">
        <v>25</v>
      </c>
      <c r="F579" s="1656"/>
      <c r="G579" s="1152" t="s">
        <v>9</v>
      </c>
    </row>
    <row r="580" spans="1:7">
      <c r="A580" s="1818">
        <v>46056</v>
      </c>
      <c r="B580" s="1813" t="str">
        <f>TiposLancamentos!B16</f>
        <v>Cristiane</v>
      </c>
      <c r="C580" s="1806" t="s">
        <v>9968</v>
      </c>
      <c r="D580" s="1797"/>
      <c r="E580" s="1791">
        <v>139</v>
      </c>
      <c r="F580" s="1787"/>
      <c r="G580" s="1152" t="s">
        <v>9</v>
      </c>
    </row>
    <row r="581" spans="1:7">
      <c r="A581" s="1754">
        <v>46056</v>
      </c>
      <c r="B581" s="1748" t="str">
        <f>TiposLancamentos!B19</f>
        <v>Restaurantes</v>
      </c>
      <c r="C581" s="1740" t="s">
        <v>2224</v>
      </c>
      <c r="D581" s="51"/>
      <c r="E581" s="1043">
        <v>38.700000000000003</v>
      </c>
      <c r="F581" s="1656"/>
      <c r="G581" s="1152" t="s">
        <v>9</v>
      </c>
    </row>
    <row r="582" spans="1:7">
      <c r="A582" s="1754">
        <v>46056</v>
      </c>
      <c r="B582" s="1748" t="str">
        <f>TiposLancamentos!B5</f>
        <v>Supermercado</v>
      </c>
      <c r="C582" s="1740" t="s">
        <v>9969</v>
      </c>
      <c r="D582" s="51"/>
      <c r="E582" s="1043">
        <v>80.260000000000005</v>
      </c>
      <c r="F582" s="1656"/>
      <c r="G582" s="1152" t="s">
        <v>9</v>
      </c>
    </row>
    <row r="583" spans="1:7">
      <c r="A583" s="1754">
        <v>46056</v>
      </c>
      <c r="B583" s="1748" t="str">
        <f>TiposLancamentos!B65</f>
        <v>Taxi</v>
      </c>
      <c r="C583" s="1740" t="s">
        <v>9829</v>
      </c>
      <c r="D583" s="51"/>
      <c r="E583" s="1043">
        <v>37.979999999999997</v>
      </c>
      <c r="F583" s="1656"/>
      <c r="G583" s="1152" t="s">
        <v>9</v>
      </c>
    </row>
    <row r="584" spans="1:7">
      <c r="A584" s="1754">
        <v>46056</v>
      </c>
      <c r="B584" s="1748" t="str">
        <f>TiposLancamentos!B65</f>
        <v>Taxi</v>
      </c>
      <c r="C584" s="1740" t="s">
        <v>9970</v>
      </c>
      <c r="D584" s="51"/>
      <c r="E584" s="1043">
        <v>44.98</v>
      </c>
      <c r="F584" s="1656"/>
      <c r="G584" s="1152" t="s">
        <v>9</v>
      </c>
    </row>
    <row r="585" spans="1:7">
      <c r="A585" s="1754">
        <v>46057</v>
      </c>
      <c r="B585" s="1748" t="str">
        <f>TiposLancamentos!B19</f>
        <v>Restaurantes</v>
      </c>
      <c r="C585" s="1740" t="s">
        <v>2224</v>
      </c>
      <c r="D585" s="51"/>
      <c r="E585" s="1043">
        <v>32.39</v>
      </c>
      <c r="F585" s="1656"/>
      <c r="G585" s="1152" t="s">
        <v>9</v>
      </c>
    </row>
    <row r="586" spans="1:7">
      <c r="A586" s="1754">
        <v>46057</v>
      </c>
      <c r="B586" s="1748" t="str">
        <f>TiposLancamentos!B5</f>
        <v>Supermercado</v>
      </c>
      <c r="C586" s="1740" t="s">
        <v>2153</v>
      </c>
      <c r="D586" s="51"/>
      <c r="E586" s="1043">
        <v>11.98</v>
      </c>
      <c r="F586" s="1656"/>
      <c r="G586" s="1152" t="s">
        <v>9</v>
      </c>
    </row>
    <row r="587" spans="1:7">
      <c r="A587" s="1754">
        <v>46058</v>
      </c>
      <c r="B587" s="1748" t="str">
        <f>TiposLancamentos!B19</f>
        <v>Restaurantes</v>
      </c>
      <c r="C587" s="1740" t="s">
        <v>2270</v>
      </c>
      <c r="D587" s="51"/>
      <c r="E587" s="1043">
        <v>19.899999999999999</v>
      </c>
      <c r="F587" s="1656"/>
      <c r="G587" s="1152" t="s">
        <v>9</v>
      </c>
    </row>
    <row r="588" spans="1:7">
      <c r="A588" s="1754">
        <v>46058</v>
      </c>
      <c r="B588" s="1748" t="str">
        <f>TiposLancamentos!B56</f>
        <v>Farmácia</v>
      </c>
      <c r="C588" s="1740" t="s">
        <v>9971</v>
      </c>
      <c r="D588" s="51"/>
      <c r="E588" s="1043">
        <v>13.8</v>
      </c>
      <c r="F588" s="1656"/>
      <c r="G588" s="1152" t="s">
        <v>9</v>
      </c>
    </row>
    <row r="589" spans="1:7">
      <c r="A589" s="1754">
        <v>46058</v>
      </c>
      <c r="B589" s="1748" t="str">
        <f>TiposLancamentos!B5</f>
        <v>Supermercado</v>
      </c>
      <c r="C589" s="1740" t="s">
        <v>2153</v>
      </c>
      <c r="D589" s="51"/>
      <c r="E589" s="1043">
        <v>51.97</v>
      </c>
      <c r="F589" s="1656"/>
      <c r="G589" s="1152" t="s">
        <v>9</v>
      </c>
    </row>
    <row r="590" spans="1:7">
      <c r="A590" s="1754">
        <v>46059</v>
      </c>
      <c r="B590" s="1748" t="str">
        <f>TiposLancamentos!B19</f>
        <v>Restaurantes</v>
      </c>
      <c r="C590" s="1740" t="s">
        <v>2224</v>
      </c>
      <c r="D590" s="51"/>
      <c r="E590" s="1043">
        <v>27.18</v>
      </c>
      <c r="F590" s="1656"/>
      <c r="G590" s="1152" t="s">
        <v>9</v>
      </c>
    </row>
    <row r="591" spans="1:7">
      <c r="A591" s="1754">
        <v>46059</v>
      </c>
      <c r="B591" s="1748" t="str">
        <f>TiposLancamentos!B19</f>
        <v>Restaurantes</v>
      </c>
      <c r="C591" s="1740" t="s">
        <v>9940</v>
      </c>
      <c r="D591" s="51"/>
      <c r="E591" s="1043">
        <v>72.790000000000006</v>
      </c>
      <c r="F591" s="1656"/>
      <c r="G591" s="1152" t="s">
        <v>9</v>
      </c>
    </row>
    <row r="592" spans="1:7">
      <c r="A592" s="1754">
        <v>46060</v>
      </c>
      <c r="B592" s="1748" t="str">
        <f>TiposLancamentos!B19</f>
        <v>Restaurantes</v>
      </c>
      <c r="C592" s="1740" t="s">
        <v>9972</v>
      </c>
      <c r="D592" s="51"/>
      <c r="E592" s="1043">
        <v>63</v>
      </c>
      <c r="F592" s="1656"/>
      <c r="G592" s="1152" t="s">
        <v>9</v>
      </c>
    </row>
    <row r="593" spans="1:7">
      <c r="A593" s="1754">
        <v>46060</v>
      </c>
      <c r="B593" s="1748" t="str">
        <f>TiposLancamentos!B5</f>
        <v>Supermercado</v>
      </c>
      <c r="C593" s="1740" t="s">
        <v>9973</v>
      </c>
      <c r="D593" s="51"/>
      <c r="E593" s="1043">
        <v>162</v>
      </c>
      <c r="F593" s="1656"/>
      <c r="G593" s="1152" t="s">
        <v>9</v>
      </c>
    </row>
    <row r="594" spans="1:7">
      <c r="A594" s="1754">
        <v>46060</v>
      </c>
      <c r="B594" s="1748" t="str">
        <f>TiposLancamentos!B19</f>
        <v>Restaurantes</v>
      </c>
      <c r="C594" s="1740" t="s">
        <v>9974</v>
      </c>
      <c r="D594" s="51"/>
      <c r="E594" s="1043">
        <v>36.9</v>
      </c>
      <c r="F594" s="1656"/>
      <c r="G594" s="1152" t="s">
        <v>9</v>
      </c>
    </row>
    <row r="595" spans="1:7">
      <c r="A595" s="1666">
        <v>46060</v>
      </c>
      <c r="B595" s="1666" t="str">
        <f>TiposLancamentos!B71</f>
        <v>Itens Pessoais</v>
      </c>
      <c r="C595" s="1742" t="s">
        <v>9975</v>
      </c>
      <c r="D595" s="747"/>
      <c r="E595" s="1733">
        <v>45</v>
      </c>
      <c r="F595" s="1346"/>
      <c r="G595" s="1152" t="s">
        <v>9</v>
      </c>
    </row>
    <row r="596" spans="1:7">
      <c r="A596" s="1750">
        <v>46060</v>
      </c>
      <c r="B596" s="1750" t="str">
        <f>TiposLancamentos!B71</f>
        <v>Itens Pessoais</v>
      </c>
      <c r="C596" s="1743" t="s">
        <v>9976</v>
      </c>
      <c r="D596" s="849"/>
      <c r="E596" s="1668">
        <v>53.68</v>
      </c>
      <c r="F596" s="1665">
        <f>SUM(E595:E596)</f>
        <v>98.68</v>
      </c>
      <c r="G596" s="1152" t="s">
        <v>9</v>
      </c>
    </row>
    <row r="597" spans="1:7">
      <c r="A597" s="1754">
        <v>46060</v>
      </c>
      <c r="B597" s="1748" t="str">
        <f>TiposLancamentos!B5</f>
        <v>Supermercado</v>
      </c>
      <c r="C597" s="1740" t="s">
        <v>9850</v>
      </c>
      <c r="D597" s="51"/>
      <c r="E597" s="1043">
        <v>81.599999999999994</v>
      </c>
      <c r="F597" s="1656"/>
      <c r="G597" s="1152" t="s">
        <v>9</v>
      </c>
    </row>
    <row r="598" spans="1:7">
      <c r="A598" s="1754">
        <v>46061</v>
      </c>
      <c r="B598" s="1748" t="str">
        <f>TiposLancamentos!B19</f>
        <v>Restaurantes</v>
      </c>
      <c r="C598" s="1740" t="s">
        <v>9977</v>
      </c>
      <c r="D598" s="51"/>
      <c r="E598" s="1043">
        <v>209.05</v>
      </c>
      <c r="F598" s="1656"/>
      <c r="G598" s="1152" t="s">
        <v>9</v>
      </c>
    </row>
    <row r="599" spans="1:7">
      <c r="A599" s="1754">
        <v>46061</v>
      </c>
      <c r="B599" s="1748" t="str">
        <f>TiposLancamentos!B34</f>
        <v>Seguros</v>
      </c>
      <c r="C599" s="1740" t="s">
        <v>9978</v>
      </c>
      <c r="D599" s="51"/>
      <c r="E599" s="1043">
        <v>97.02</v>
      </c>
      <c r="F599" s="1656">
        <v>582.13</v>
      </c>
      <c r="G599" s="1152" t="s">
        <v>9</v>
      </c>
    </row>
    <row r="600" spans="1:7">
      <c r="A600" s="1666">
        <v>46061</v>
      </c>
      <c r="B600" s="1666" t="str">
        <f>TiposLancamentos!B71</f>
        <v>Itens Pessoais</v>
      </c>
      <c r="C600" s="1742" t="s">
        <v>9979</v>
      </c>
      <c r="D600" s="747"/>
      <c r="E600" s="1733">
        <v>46.88</v>
      </c>
      <c r="F600" s="1346"/>
      <c r="G600" s="1152" t="s">
        <v>9</v>
      </c>
    </row>
    <row r="601" spans="1:7">
      <c r="A601" s="1750">
        <v>46061</v>
      </c>
      <c r="B601" s="1750" t="str">
        <f>TiposLancamentos!B4</f>
        <v>Taxas Bancarias</v>
      </c>
      <c r="C601" s="1743" t="s">
        <v>9980</v>
      </c>
      <c r="D601" s="849"/>
      <c r="E601" s="1668">
        <v>20.93</v>
      </c>
      <c r="F601" s="1665">
        <f>SUM(E600:E601)</f>
        <v>67.81</v>
      </c>
      <c r="G601" s="1152" t="s">
        <v>9</v>
      </c>
    </row>
    <row r="602" spans="1:7">
      <c r="A602" s="1754">
        <v>46061</v>
      </c>
      <c r="B602" s="1748" t="str">
        <f>TiposLancamentos!B5</f>
        <v>Supermercado</v>
      </c>
      <c r="C602" s="1740" t="s">
        <v>2153</v>
      </c>
      <c r="D602" s="51"/>
      <c r="E602" s="1043">
        <v>4.5</v>
      </c>
      <c r="F602" s="1656"/>
      <c r="G602" s="1152" t="s">
        <v>9</v>
      </c>
    </row>
    <row r="603" spans="1:7">
      <c r="A603" s="1754">
        <v>46062</v>
      </c>
      <c r="B603" s="1748" t="str">
        <f>TiposLancamentos!B19</f>
        <v>Restaurantes</v>
      </c>
      <c r="C603" s="1740" t="s">
        <v>2224</v>
      </c>
      <c r="D603" s="51"/>
      <c r="E603" s="1043">
        <v>37.06</v>
      </c>
      <c r="F603" s="1656"/>
      <c r="G603" s="1152" t="s">
        <v>9</v>
      </c>
    </row>
    <row r="604" spans="1:7">
      <c r="A604" s="1754">
        <v>46062</v>
      </c>
      <c r="B604" s="1748" t="str">
        <f>TiposLancamentos!B5</f>
        <v>Supermercado</v>
      </c>
      <c r="C604" s="1740" t="s">
        <v>9981</v>
      </c>
      <c r="D604" s="51"/>
      <c r="E604" s="1043">
        <v>45.07</v>
      </c>
      <c r="F604" s="1656"/>
      <c r="G604" s="1152" t="s">
        <v>9</v>
      </c>
    </row>
    <row r="605" spans="1:7">
      <c r="A605" s="1754">
        <v>46062</v>
      </c>
      <c r="B605" s="1748" t="str">
        <f>TiposLancamentos!B44</f>
        <v>Academia</v>
      </c>
      <c r="C605" s="1740" t="s">
        <v>9947</v>
      </c>
      <c r="D605" s="51"/>
      <c r="E605" s="1043">
        <v>115.99</v>
      </c>
      <c r="F605" s="1656"/>
      <c r="G605" s="1152" t="s">
        <v>9</v>
      </c>
    </row>
    <row r="606" spans="1:7">
      <c r="A606" s="1754">
        <v>46062</v>
      </c>
      <c r="B606" s="1748" t="str">
        <f>TiposLancamentos!B45</f>
        <v>Online Services</v>
      </c>
      <c r="C606" s="1740" t="s">
        <v>9877</v>
      </c>
      <c r="D606" s="51"/>
      <c r="E606" s="1043">
        <v>7.99</v>
      </c>
      <c r="F606" s="1656"/>
      <c r="G606" s="1152" t="s">
        <v>9</v>
      </c>
    </row>
    <row r="607" spans="1:7">
      <c r="A607" s="1754">
        <v>46062</v>
      </c>
      <c r="B607" s="1748" t="str">
        <f>TiposLancamentos!B102</f>
        <v>ESTORNO</v>
      </c>
      <c r="C607" s="1740" t="s">
        <v>9877</v>
      </c>
      <c r="D607" s="51">
        <v>7.99</v>
      </c>
      <c r="E607" s="1043"/>
      <c r="F607" s="1656"/>
      <c r="G607" s="1152" t="s">
        <v>9</v>
      </c>
    </row>
    <row r="608" spans="1:7">
      <c r="A608" s="1754">
        <v>46062</v>
      </c>
      <c r="B608" s="1748" t="str">
        <f>TiposLancamentos!B102</f>
        <v>ESTORNO</v>
      </c>
      <c r="C608" s="1740" t="s">
        <v>9877</v>
      </c>
      <c r="D608" s="51">
        <v>7.99</v>
      </c>
      <c r="E608" s="1043"/>
      <c r="F608" s="1656"/>
      <c r="G608" s="1152" t="s">
        <v>9</v>
      </c>
    </row>
    <row r="609" spans="1:7">
      <c r="A609" s="1754">
        <v>46063</v>
      </c>
      <c r="B609" s="1748" t="str">
        <f>TiposLancamentos!B19</f>
        <v>Restaurantes</v>
      </c>
      <c r="C609" s="1740" t="s">
        <v>2270</v>
      </c>
      <c r="D609" s="51"/>
      <c r="E609" s="1043">
        <v>19.899999999999999</v>
      </c>
      <c r="F609" s="1656"/>
      <c r="G609" s="1152" t="s">
        <v>9</v>
      </c>
    </row>
    <row r="610" spans="1:7">
      <c r="A610" s="1754">
        <v>46063</v>
      </c>
      <c r="B610" s="1748" t="str">
        <f>TiposLancamentos!B17</f>
        <v>GATO</v>
      </c>
      <c r="C610" s="1740" t="s">
        <v>9982</v>
      </c>
      <c r="D610" s="51"/>
      <c r="E610" s="1043">
        <v>70.38</v>
      </c>
      <c r="F610" s="1656"/>
      <c r="G610" s="1152" t="s">
        <v>9</v>
      </c>
    </row>
    <row r="611" spans="1:7">
      <c r="A611" s="1754">
        <v>46063</v>
      </c>
      <c r="B611" s="1748" t="str">
        <f>TiposLancamentos!B24</f>
        <v>Estacionamentos</v>
      </c>
      <c r="C611" s="1740" t="s">
        <v>1898</v>
      </c>
      <c r="D611" s="51"/>
      <c r="E611" s="1043">
        <v>25</v>
      </c>
      <c r="F611" s="1656"/>
      <c r="G611" s="1152" t="s">
        <v>9</v>
      </c>
    </row>
    <row r="612" spans="1:7">
      <c r="A612" s="1754">
        <v>46064</v>
      </c>
      <c r="B612" s="1748" t="str">
        <f>TiposLancamentos!B19</f>
        <v>Restaurantes</v>
      </c>
      <c r="C612" s="1740" t="s">
        <v>2224</v>
      </c>
      <c r="D612" s="51"/>
      <c r="E612" s="1043">
        <v>36.21</v>
      </c>
      <c r="F612" s="1656"/>
      <c r="G612" s="1152" t="s">
        <v>9</v>
      </c>
    </row>
    <row r="613" spans="1:7">
      <c r="A613" s="1754">
        <v>46064</v>
      </c>
      <c r="B613" s="1748" t="str">
        <f>TiposLancamentos!B5</f>
        <v>Supermercado</v>
      </c>
      <c r="C613" s="1740" t="s">
        <v>1884</v>
      </c>
      <c r="D613" s="51"/>
      <c r="E613" s="1043">
        <v>16</v>
      </c>
      <c r="F613" s="1656"/>
      <c r="G613" s="1152" t="s">
        <v>9</v>
      </c>
    </row>
    <row r="614" spans="1:7">
      <c r="A614" s="1818">
        <v>46064</v>
      </c>
      <c r="B614" s="1813" t="str">
        <f>TiposLancamentos!B13</f>
        <v>Moradia</v>
      </c>
      <c r="C614" s="1806" t="s">
        <v>9806</v>
      </c>
      <c r="D614" s="1797"/>
      <c r="E614" s="1791">
        <v>74.849999999999994</v>
      </c>
      <c r="F614" s="1787"/>
      <c r="G614" s="1152" t="s">
        <v>9</v>
      </c>
    </row>
    <row r="615" spans="1:7">
      <c r="A615" s="1754">
        <v>46065</v>
      </c>
      <c r="B615" s="1748" t="str">
        <f>TiposLancamentos!B19</f>
        <v>Restaurantes</v>
      </c>
      <c r="C615" s="1740" t="s">
        <v>9983</v>
      </c>
      <c r="D615" s="51"/>
      <c r="E615" s="1043">
        <v>68</v>
      </c>
      <c r="F615" s="1656"/>
      <c r="G615" s="1152" t="s">
        <v>9</v>
      </c>
    </row>
    <row r="616" spans="1:7">
      <c r="A616" s="1754">
        <v>46065</v>
      </c>
      <c r="B616" s="1748" t="str">
        <f>TiposLancamentos!B19</f>
        <v>Restaurantes</v>
      </c>
      <c r="C616" s="1740" t="s">
        <v>9845</v>
      </c>
      <c r="D616" s="51"/>
      <c r="E616" s="1043">
        <v>85.98</v>
      </c>
      <c r="F616" s="1656"/>
      <c r="G616" s="1152" t="s">
        <v>9</v>
      </c>
    </row>
    <row r="617" spans="1:7">
      <c r="A617" s="1754">
        <v>46065</v>
      </c>
      <c r="B617" s="1748" t="str">
        <f>TiposLancamentos!B5</f>
        <v>Supermercado</v>
      </c>
      <c r="C617" s="1740" t="s">
        <v>1884</v>
      </c>
      <c r="D617" s="51"/>
      <c r="E617" s="1043">
        <v>11.99</v>
      </c>
      <c r="F617" s="1656"/>
      <c r="G617" s="1152" t="s">
        <v>9</v>
      </c>
    </row>
    <row r="618" spans="1:7">
      <c r="A618" s="1754">
        <v>46066</v>
      </c>
      <c r="B618" s="1748" t="str">
        <f>TiposLancamentos!B19</f>
        <v>Restaurantes</v>
      </c>
      <c r="C618" s="1740" t="s">
        <v>2270</v>
      </c>
      <c r="D618" s="51"/>
      <c r="E618" s="1043">
        <v>19.899999999999999</v>
      </c>
      <c r="F618" s="1656"/>
      <c r="G618" s="1152" t="s">
        <v>9</v>
      </c>
    </row>
    <row r="619" spans="1:7">
      <c r="A619" s="1754">
        <v>46069</v>
      </c>
      <c r="B619" s="1748" t="str">
        <f>TiposLancamentos!B17</f>
        <v>GATO</v>
      </c>
      <c r="C619" s="1740" t="s">
        <v>9984</v>
      </c>
      <c r="D619" s="51"/>
      <c r="E619" s="1043">
        <v>124.95</v>
      </c>
      <c r="F619" s="1656"/>
      <c r="G619" s="1152" t="s">
        <v>9</v>
      </c>
    </row>
    <row r="620" spans="1:7">
      <c r="A620" s="1754">
        <v>46071</v>
      </c>
      <c r="B620" s="1748" t="str">
        <f>TiposLancamentos!B34</f>
        <v>Seguros</v>
      </c>
      <c r="C620" s="1740" t="s">
        <v>9985</v>
      </c>
      <c r="D620" s="51"/>
      <c r="E620" s="1043">
        <v>277.02999999999997</v>
      </c>
      <c r="F620" s="1656">
        <v>1662.14</v>
      </c>
      <c r="G620" s="1152" t="s">
        <v>9</v>
      </c>
    </row>
    <row r="621" spans="1:7">
      <c r="A621" s="1818">
        <v>46072</v>
      </c>
      <c r="B621" s="1813" t="str">
        <f>TiposLancamentos!B16</f>
        <v>Cristiane</v>
      </c>
      <c r="C621" s="1806" t="s">
        <v>9946</v>
      </c>
      <c r="D621" s="1797"/>
      <c r="E621" s="1791">
        <v>6.35</v>
      </c>
      <c r="F621" s="1787"/>
      <c r="G621" s="1152" t="s">
        <v>9</v>
      </c>
    </row>
    <row r="622" spans="1:7">
      <c r="A622" s="1754">
        <v>46072</v>
      </c>
      <c r="B622" s="1748" t="str">
        <f>TiposLancamentos!B65</f>
        <v>Taxi</v>
      </c>
      <c r="C622" s="1740" t="s">
        <v>9986</v>
      </c>
      <c r="D622" s="51"/>
      <c r="E622" s="1043">
        <v>9.98</v>
      </c>
      <c r="F622" s="1656"/>
      <c r="G622" s="1152" t="s">
        <v>9</v>
      </c>
    </row>
    <row r="623" spans="1:7">
      <c r="A623" s="1754">
        <v>46072</v>
      </c>
      <c r="B623" s="1748" t="str">
        <f>TiposLancamentos!B65</f>
        <v>Taxi</v>
      </c>
      <c r="C623" s="1740" t="s">
        <v>9987</v>
      </c>
      <c r="D623" s="51"/>
      <c r="E623" s="1043">
        <v>14.99</v>
      </c>
      <c r="F623" s="1656"/>
      <c r="G623" s="1152" t="s">
        <v>9</v>
      </c>
    </row>
    <row r="624" spans="1:7">
      <c r="A624" s="1756"/>
      <c r="B624" s="1749"/>
      <c r="C624" s="1741" t="s">
        <v>10</v>
      </c>
      <c r="D624" s="375"/>
      <c r="E624" s="1690"/>
      <c r="F624" s="1690"/>
      <c r="G624" s="1094" t="s">
        <v>11</v>
      </c>
    </row>
    <row r="625" spans="1:7">
      <c r="A625" s="1754">
        <v>46074</v>
      </c>
      <c r="B625" s="1748" t="str">
        <f>TiposLancamentos!B33</f>
        <v>Pedágios</v>
      </c>
      <c r="C625" s="1740" t="s">
        <v>9776</v>
      </c>
      <c r="D625" s="51"/>
      <c r="E625" s="1043">
        <v>50</v>
      </c>
      <c r="F625" s="1656"/>
      <c r="G625" s="1152" t="s">
        <v>9</v>
      </c>
    </row>
    <row r="626" spans="1:7">
      <c r="A626" s="1754">
        <v>46074</v>
      </c>
      <c r="B626" s="1748" t="str">
        <f>TiposLancamentos!B33</f>
        <v>Pedágios</v>
      </c>
      <c r="C626" s="1740" t="s">
        <v>9776</v>
      </c>
      <c r="D626" s="51"/>
      <c r="E626" s="1043">
        <v>50</v>
      </c>
      <c r="F626" s="1656"/>
      <c r="G626" s="1152" t="s">
        <v>9</v>
      </c>
    </row>
    <row r="627" spans="1:7">
      <c r="A627" s="1754">
        <v>46075</v>
      </c>
      <c r="B627" s="1748" t="str">
        <f>TiposLancamentos!B5</f>
        <v>Supermercado</v>
      </c>
      <c r="C627" s="1740" t="s">
        <v>9988</v>
      </c>
      <c r="D627" s="51"/>
      <c r="E627" s="1043">
        <v>49.85</v>
      </c>
      <c r="F627" s="1656"/>
      <c r="G627" s="1152" t="s">
        <v>9</v>
      </c>
    </row>
    <row r="628" spans="1:7">
      <c r="A628" s="1754">
        <v>46075</v>
      </c>
      <c r="B628" s="1748" t="str">
        <f>TiposLancamentos!B22</f>
        <v>Combustivel</v>
      </c>
      <c r="C628" s="1740" t="s">
        <v>9989</v>
      </c>
      <c r="D628" s="51"/>
      <c r="E628" s="1043">
        <v>150</v>
      </c>
      <c r="F628" s="1656"/>
      <c r="G628" s="1152" t="s">
        <v>9</v>
      </c>
    </row>
    <row r="629" spans="1:7">
      <c r="A629" s="1754">
        <v>46075</v>
      </c>
      <c r="B629" s="1748" t="str">
        <f>TiposLancamentos!B19</f>
        <v>Restaurantes</v>
      </c>
      <c r="C629" s="1740" t="s">
        <v>9990</v>
      </c>
      <c r="D629" s="51"/>
      <c r="E629" s="1043">
        <v>28</v>
      </c>
      <c r="F629" s="1656"/>
      <c r="G629" s="1152" t="s">
        <v>9</v>
      </c>
    </row>
    <row r="630" spans="1:7">
      <c r="A630" s="1754">
        <v>46075</v>
      </c>
      <c r="B630" s="1748" t="str">
        <f>TiposLancamentos!B45</f>
        <v>Online Services</v>
      </c>
      <c r="C630" s="1740" t="s">
        <v>9877</v>
      </c>
      <c r="D630" s="51"/>
      <c r="E630" s="1043">
        <v>7.99</v>
      </c>
      <c r="F630" s="1656"/>
      <c r="G630" s="1152" t="s">
        <v>9</v>
      </c>
    </row>
    <row r="631" spans="1:7">
      <c r="A631" s="1754">
        <v>46076</v>
      </c>
      <c r="B631" s="1748" t="str">
        <f>TiposLancamentos!B19</f>
        <v>Restaurantes</v>
      </c>
      <c r="C631" s="1740" t="s">
        <v>9991</v>
      </c>
      <c r="D631" s="51"/>
      <c r="E631" s="1043">
        <v>41.27</v>
      </c>
      <c r="F631" s="1656"/>
      <c r="G631" s="1152" t="s">
        <v>9</v>
      </c>
    </row>
    <row r="632" spans="1:7">
      <c r="A632" s="1754">
        <v>46076</v>
      </c>
      <c r="B632" s="1748" t="str">
        <f>TiposLancamentos!B33</f>
        <v>Pedágios</v>
      </c>
      <c r="C632" s="1740" t="s">
        <v>9776</v>
      </c>
      <c r="D632" s="51"/>
      <c r="E632" s="1043"/>
      <c r="F632" s="1656">
        <v>50</v>
      </c>
    </row>
    <row r="633" spans="1:7">
      <c r="A633" s="1754">
        <v>46076</v>
      </c>
      <c r="B633" s="1748" t="str">
        <f>TiposLancamentos!B33</f>
        <v>Pedágios</v>
      </c>
      <c r="C633" s="1740" t="s">
        <v>9776</v>
      </c>
      <c r="D633" s="51"/>
      <c r="E633" s="1043">
        <v>50</v>
      </c>
      <c r="F633" s="1656"/>
      <c r="G633" s="1152" t="s">
        <v>9</v>
      </c>
    </row>
    <row r="634" spans="1:7">
      <c r="A634" s="1754">
        <v>46076</v>
      </c>
      <c r="B634" s="1748" t="str">
        <f>TiposLancamentos!B19</f>
        <v>Restaurantes</v>
      </c>
      <c r="C634" s="1740" t="s">
        <v>9992</v>
      </c>
      <c r="D634" s="51"/>
      <c r="E634" s="1043">
        <v>15</v>
      </c>
      <c r="F634" s="1656"/>
      <c r="G634" s="1152" t="s">
        <v>9</v>
      </c>
    </row>
    <row r="635" spans="1:7">
      <c r="A635" s="1754">
        <v>46076</v>
      </c>
      <c r="B635" s="1748" t="str">
        <f>TiposLancamentos!B45</f>
        <v>Online Services</v>
      </c>
      <c r="C635" s="1740" t="s">
        <v>9788</v>
      </c>
      <c r="D635" s="51"/>
      <c r="E635" s="1043">
        <v>5.9</v>
      </c>
      <c r="F635" s="1656"/>
      <c r="G635" s="1152" t="s">
        <v>9</v>
      </c>
    </row>
    <row r="636" spans="1:7">
      <c r="A636" s="1754">
        <v>46076</v>
      </c>
      <c r="B636" s="1748" t="str">
        <f>TiposLancamentos!B19</f>
        <v>Restaurantes</v>
      </c>
      <c r="C636" s="1740" t="s">
        <v>2270</v>
      </c>
      <c r="D636" s="51"/>
      <c r="E636" s="1043">
        <v>19.899999999999999</v>
      </c>
      <c r="F636" s="1656"/>
      <c r="G636" s="1152" t="s">
        <v>9</v>
      </c>
    </row>
    <row r="637" spans="1:7">
      <c r="A637" s="1754">
        <v>46076</v>
      </c>
      <c r="B637" s="1748" t="str">
        <f>TiposLancamentos!B56</f>
        <v>Farmácia</v>
      </c>
      <c r="C637" s="1740" t="s">
        <v>8135</v>
      </c>
      <c r="D637" s="51"/>
      <c r="E637" s="1043">
        <v>19.670000000000002</v>
      </c>
      <c r="F637" s="1656"/>
      <c r="G637" s="1152" t="s">
        <v>9</v>
      </c>
    </row>
    <row r="638" spans="1:7">
      <c r="A638" s="1754">
        <v>46077</v>
      </c>
      <c r="B638" s="1748" t="str">
        <f>TiposLancamentos!B65</f>
        <v>Taxi</v>
      </c>
      <c r="C638" s="1740" t="s">
        <v>9993</v>
      </c>
      <c r="D638" s="51"/>
      <c r="E638" s="1043">
        <v>10.98</v>
      </c>
      <c r="F638" s="1656"/>
      <c r="G638" s="1152" t="s">
        <v>9</v>
      </c>
    </row>
    <row r="639" spans="1:7">
      <c r="A639" s="1818">
        <v>46077</v>
      </c>
      <c r="B639" s="1813" t="str">
        <f>TiposLancamentos!B5</f>
        <v>Supermercado</v>
      </c>
      <c r="C639" s="1806" t="s">
        <v>1884</v>
      </c>
      <c r="D639" s="1797"/>
      <c r="E639" s="1791">
        <v>35.99</v>
      </c>
      <c r="F639" s="1787"/>
      <c r="G639" s="1152" t="s">
        <v>9</v>
      </c>
    </row>
    <row r="640" spans="1:7">
      <c r="A640" s="1754">
        <v>46078</v>
      </c>
      <c r="B640" s="1748" t="str">
        <f>TiposLancamentos!B65</f>
        <v>Taxi</v>
      </c>
      <c r="C640" s="1740" t="s">
        <v>9993</v>
      </c>
      <c r="D640" s="51"/>
      <c r="E640" s="1043">
        <v>10.98</v>
      </c>
      <c r="F640" s="1656"/>
      <c r="G640" s="1152" t="s">
        <v>9</v>
      </c>
    </row>
    <row r="641" spans="1:7">
      <c r="A641" s="1754">
        <v>46078</v>
      </c>
      <c r="B641" s="1748" t="str">
        <f>TiposLancamentos!B65</f>
        <v>Taxi</v>
      </c>
      <c r="C641" s="1740" t="s">
        <v>9994</v>
      </c>
      <c r="D641" s="51"/>
      <c r="E641" s="1043">
        <v>11.98</v>
      </c>
      <c r="F641" s="1656"/>
      <c r="G641" s="1152" t="s">
        <v>9</v>
      </c>
    </row>
    <row r="642" spans="1:7">
      <c r="A642" s="1754">
        <v>46079</v>
      </c>
      <c r="B642" s="1748" t="str">
        <f>TiposLancamentos!B5</f>
        <v>Supermercado</v>
      </c>
      <c r="C642" s="1740" t="s">
        <v>9995</v>
      </c>
      <c r="D642" s="51"/>
      <c r="E642" s="1043">
        <v>28.3</v>
      </c>
      <c r="F642" s="1656"/>
      <c r="G642" s="1152" t="s">
        <v>9</v>
      </c>
    </row>
    <row r="643" spans="1:7">
      <c r="A643" s="1754">
        <v>46079</v>
      </c>
      <c r="B643" s="1748" t="str">
        <f>TiposLancamentos!B19</f>
        <v>Restaurantes</v>
      </c>
      <c r="C643" s="1740" t="s">
        <v>2270</v>
      </c>
      <c r="D643" s="51"/>
      <c r="E643" s="1043">
        <v>19.899999999999999</v>
      </c>
      <c r="F643" s="1656"/>
      <c r="G643" s="1152" t="s">
        <v>9</v>
      </c>
    </row>
    <row r="644" spans="1:7">
      <c r="A644" s="1754">
        <v>46081</v>
      </c>
      <c r="B644" s="1748" t="str">
        <f>TiposLancamentos!B24</f>
        <v>Estacionamentos</v>
      </c>
      <c r="C644" s="1740" t="s">
        <v>9996</v>
      </c>
      <c r="D644" s="51"/>
      <c r="E644" s="1043">
        <v>6.95</v>
      </c>
      <c r="F644" s="1656"/>
      <c r="G644" s="1152" t="s">
        <v>9</v>
      </c>
    </row>
    <row r="645" spans="1:7">
      <c r="A645" s="1754">
        <v>46081</v>
      </c>
      <c r="B645" s="1748" t="str">
        <f>TiposLancamentos!B24</f>
        <v>Estacionamentos</v>
      </c>
      <c r="C645" s="1740" t="s">
        <v>9996</v>
      </c>
      <c r="D645" s="51"/>
      <c r="E645" s="1043">
        <v>6.95</v>
      </c>
      <c r="F645" s="1656"/>
      <c r="G645" s="1152" t="s">
        <v>9</v>
      </c>
    </row>
    <row r="646" spans="1:7">
      <c r="A646" s="1754">
        <v>46081</v>
      </c>
      <c r="B646" s="1748" t="str">
        <f>TiposLancamentos!B24</f>
        <v>Estacionamentos</v>
      </c>
      <c r="C646" s="1740" t="s">
        <v>9996</v>
      </c>
      <c r="D646" s="51"/>
      <c r="E646" s="1043">
        <v>6.95</v>
      </c>
      <c r="F646" s="1656"/>
      <c r="G646" s="1152" t="s">
        <v>9</v>
      </c>
    </row>
    <row r="647" spans="1:7">
      <c r="A647" s="1754">
        <v>46081</v>
      </c>
      <c r="B647" s="1748" t="str">
        <f>TiposLancamentos!B19</f>
        <v>Restaurantes</v>
      </c>
      <c r="C647" s="1740" t="s">
        <v>9997</v>
      </c>
      <c r="D647" s="51"/>
      <c r="E647" s="1043">
        <v>63</v>
      </c>
      <c r="F647" s="1656"/>
      <c r="G647" s="1152" t="s">
        <v>9</v>
      </c>
    </row>
    <row r="648" spans="1:7">
      <c r="A648" s="1754">
        <v>46081</v>
      </c>
      <c r="B648" s="1748" t="str">
        <f>TiposLancamentos!B65</f>
        <v>Taxi</v>
      </c>
      <c r="C648" s="1740" t="s">
        <v>9998</v>
      </c>
      <c r="D648" s="51"/>
      <c r="E648" s="1043">
        <v>16.989999999999998</v>
      </c>
      <c r="F648" s="1656"/>
      <c r="G648" s="1152" t="s">
        <v>9</v>
      </c>
    </row>
    <row r="649" spans="1:7">
      <c r="A649" s="1754">
        <v>46081</v>
      </c>
      <c r="B649" s="1748" t="str">
        <f>TiposLancamentos!B45</f>
        <v>Online Services</v>
      </c>
      <c r="C649" s="1740" t="s">
        <v>2102</v>
      </c>
      <c r="D649" s="51"/>
      <c r="E649" s="1043">
        <v>29.9</v>
      </c>
      <c r="F649" s="1656"/>
      <c r="G649" s="1152" t="s">
        <v>9</v>
      </c>
    </row>
    <row r="650" spans="1:7">
      <c r="A650" s="1754">
        <v>46081</v>
      </c>
      <c r="B650" s="1748" t="str">
        <f>TiposLancamentos!B45</f>
        <v>Online Services</v>
      </c>
      <c r="C650" s="1740" t="s">
        <v>9798</v>
      </c>
      <c r="D650" s="51"/>
      <c r="E650" s="1043">
        <v>26.9</v>
      </c>
      <c r="F650" s="1656"/>
      <c r="G650" s="1152" t="s">
        <v>9</v>
      </c>
    </row>
    <row r="651" spans="1:7">
      <c r="A651" s="1818">
        <v>46081</v>
      </c>
      <c r="B651" s="1813" t="str">
        <f>TiposLancamentos!B45</f>
        <v>Online Services</v>
      </c>
      <c r="C651" s="1806" t="s">
        <v>9804</v>
      </c>
      <c r="D651" s="1797"/>
      <c r="E651" s="1791">
        <v>7.95</v>
      </c>
      <c r="F651" s="1787"/>
      <c r="G651" s="1152" t="s">
        <v>9</v>
      </c>
    </row>
    <row r="652" spans="1:7" ht="14.25" thickBot="1">
      <c r="A652" s="1757"/>
      <c r="B652" s="1755"/>
      <c r="C652" s="1771" t="s">
        <v>1868</v>
      </c>
      <c r="D652" s="869"/>
      <c r="E652" s="1044"/>
      <c r="F652" s="1691"/>
    </row>
    <row r="653" spans="1:7">
      <c r="A653" s="1754"/>
      <c r="B653" s="1748"/>
      <c r="C653" s="1740" t="s">
        <v>1656</v>
      </c>
      <c r="D653" s="51"/>
      <c r="E653" s="1043"/>
      <c r="F653" s="1656">
        <f>SUM(E539:E624)-(D607+D608)</f>
        <v>4449.71</v>
      </c>
    </row>
    <row r="654" spans="1:7">
      <c r="A654" s="1754">
        <v>46082</v>
      </c>
      <c r="B654" s="1748" t="str">
        <f>TiposLancamentos!B45</f>
        <v>Online Services</v>
      </c>
      <c r="C654" s="1740" t="s">
        <v>2079</v>
      </c>
      <c r="D654" s="51"/>
      <c r="E654" s="1043">
        <v>31.9</v>
      </c>
      <c r="F654" s="1656">
        <f>F653-F572</f>
        <v>137.77833333333183</v>
      </c>
      <c r="G654" s="1152" t="s">
        <v>9</v>
      </c>
    </row>
    <row r="655" spans="1:7">
      <c r="A655" s="1754">
        <v>46082</v>
      </c>
      <c r="B655" s="1748" t="str">
        <f>TiposLancamentos!B5</f>
        <v>Supermercado</v>
      </c>
      <c r="C655" s="1740" t="s">
        <v>2153</v>
      </c>
      <c r="D655" s="51"/>
      <c r="E655" s="1043">
        <v>9.1999999999999993</v>
      </c>
      <c r="F655" s="1656"/>
      <c r="G655" s="1152" t="s">
        <v>9</v>
      </c>
    </row>
    <row r="656" spans="1:7">
      <c r="A656" s="1754">
        <v>46082</v>
      </c>
      <c r="B656" s="1748" t="str">
        <f>TiposLancamentos!B19</f>
        <v>Restaurantes</v>
      </c>
      <c r="C656" s="1740" t="s">
        <v>9999</v>
      </c>
      <c r="D656" s="51"/>
      <c r="E656" s="1043">
        <v>195.47</v>
      </c>
      <c r="F656" s="1656"/>
      <c r="G656" s="1152" t="s">
        <v>9</v>
      </c>
    </row>
    <row r="657" spans="1:7">
      <c r="A657" s="1754">
        <v>46082</v>
      </c>
      <c r="B657" s="1748" t="str">
        <f>TiposLancamentos!B5</f>
        <v>Supermercado</v>
      </c>
      <c r="C657" s="1740" t="s">
        <v>2153</v>
      </c>
      <c r="D657" s="51"/>
      <c r="E657" s="1043">
        <v>9.1999999999999993</v>
      </c>
      <c r="F657" s="1656"/>
      <c r="G657" s="1152" t="s">
        <v>9</v>
      </c>
    </row>
    <row r="658" spans="1:7">
      <c r="A658" s="1754">
        <v>46083</v>
      </c>
      <c r="B658" s="1748" t="str">
        <f>TiposLancamentos!B15</f>
        <v>Cartões de Crédito</v>
      </c>
      <c r="C658" s="1740" t="s">
        <v>1874</v>
      </c>
      <c r="D658" s="51">
        <v>4449.71</v>
      </c>
      <c r="E658" s="1043"/>
      <c r="F658" s="1656"/>
      <c r="G658" s="1152" t="s">
        <v>9</v>
      </c>
    </row>
    <row r="659" spans="1:7">
      <c r="A659" s="1754">
        <v>46083</v>
      </c>
      <c r="B659" s="1748" t="str">
        <f>TiposLancamentos!B19</f>
        <v>Restaurantes</v>
      </c>
      <c r="C659" s="1740" t="s">
        <v>2224</v>
      </c>
      <c r="D659" s="51"/>
      <c r="E659" s="1043">
        <v>29.37</v>
      </c>
      <c r="F659" s="1656"/>
      <c r="G659" s="1152" t="s">
        <v>9</v>
      </c>
    </row>
    <row r="660" spans="1:7">
      <c r="A660" s="1754">
        <v>46083</v>
      </c>
      <c r="B660" s="1748" t="str">
        <f>TiposLancamentos!B5</f>
        <v>Supermercado</v>
      </c>
      <c r="C660" s="1740" t="s">
        <v>10000</v>
      </c>
      <c r="D660" s="51"/>
      <c r="E660" s="1043">
        <v>101.16</v>
      </c>
      <c r="F660" s="1656"/>
      <c r="G660" s="1152" t="s">
        <v>9</v>
      </c>
    </row>
    <row r="661" spans="1:7">
      <c r="A661" s="1754">
        <v>46083</v>
      </c>
      <c r="B661" s="1748" t="str">
        <f>TiposLancamentos!B65</f>
        <v>Taxi</v>
      </c>
      <c r="C661" s="1740" t="s">
        <v>10001</v>
      </c>
      <c r="D661" s="51"/>
      <c r="E661" s="1043">
        <v>9.98</v>
      </c>
      <c r="F661" s="1656"/>
      <c r="G661" s="1152" t="s">
        <v>9</v>
      </c>
    </row>
    <row r="662" spans="1:7">
      <c r="A662" s="1666">
        <v>46083</v>
      </c>
      <c r="B662" s="1666" t="str">
        <f>TiposLancamentos!B56</f>
        <v>Farmácia</v>
      </c>
      <c r="C662" s="1742" t="s">
        <v>10002</v>
      </c>
      <c r="D662" s="747"/>
      <c r="E662" s="1733">
        <f>F663-E663</f>
        <v>118.32</v>
      </c>
      <c r="F662" s="1346"/>
      <c r="G662" s="1152" t="s">
        <v>9</v>
      </c>
    </row>
    <row r="663" spans="1:7">
      <c r="A663" s="1750">
        <v>46083</v>
      </c>
      <c r="B663" s="1750" t="str">
        <f>TiposLancamentos!B60</f>
        <v>Correio</v>
      </c>
      <c r="C663" s="1743" t="s">
        <v>10003</v>
      </c>
      <c r="D663" s="849"/>
      <c r="E663" s="1668">
        <v>7.9</v>
      </c>
      <c r="F663" s="1665">
        <v>126.22</v>
      </c>
      <c r="G663" s="1152" t="s">
        <v>9</v>
      </c>
    </row>
    <row r="664" spans="1:7">
      <c r="A664" s="1754">
        <v>46083</v>
      </c>
      <c r="B664" s="1748" t="str">
        <f>TiposLancamentos!B65</f>
        <v>Taxi</v>
      </c>
      <c r="C664" s="1740" t="s">
        <v>10004</v>
      </c>
      <c r="D664" s="51"/>
      <c r="E664" s="1043">
        <v>14.98</v>
      </c>
      <c r="F664" s="1656"/>
      <c r="G664" s="1152" t="s">
        <v>9</v>
      </c>
    </row>
    <row r="665" spans="1:7">
      <c r="A665" s="1754">
        <v>46084</v>
      </c>
      <c r="B665" s="1748" t="str">
        <f>TiposLancamentos!B65</f>
        <v>Taxi</v>
      </c>
      <c r="C665" s="1740" t="s">
        <v>10001</v>
      </c>
      <c r="D665" s="51"/>
      <c r="E665" s="1043">
        <v>9.98</v>
      </c>
      <c r="F665" s="1656"/>
      <c r="G665" s="1152" t="s">
        <v>9</v>
      </c>
    </row>
    <row r="666" spans="1:7">
      <c r="A666" s="1754">
        <v>46084</v>
      </c>
      <c r="B666" s="1748" t="str">
        <f>TiposLancamentos!B65</f>
        <v>Taxi</v>
      </c>
      <c r="C666" s="1740" t="s">
        <v>10004</v>
      </c>
      <c r="D666" s="51"/>
      <c r="E666" s="1043">
        <v>10.99</v>
      </c>
      <c r="F666" s="1656"/>
      <c r="G666" s="1152" t="s">
        <v>9</v>
      </c>
    </row>
    <row r="667" spans="1:7">
      <c r="A667" s="1754">
        <v>46084</v>
      </c>
      <c r="B667" s="1748" t="str">
        <f>TiposLancamentos!B5</f>
        <v>Supermercado</v>
      </c>
      <c r="C667" s="1740" t="s">
        <v>2153</v>
      </c>
      <c r="D667" s="51"/>
      <c r="E667" s="1043">
        <v>40.880000000000003</v>
      </c>
      <c r="F667" s="1656"/>
      <c r="G667" s="1152" t="s">
        <v>9</v>
      </c>
    </row>
    <row r="668" spans="1:7">
      <c r="A668" s="1754">
        <v>46085</v>
      </c>
      <c r="B668" s="1748" t="str">
        <f>TiposLancamentos!B19</f>
        <v>Restaurantes</v>
      </c>
      <c r="C668" s="1740" t="s">
        <v>2224</v>
      </c>
      <c r="D668" s="51"/>
      <c r="E668" s="1043">
        <v>33.49</v>
      </c>
      <c r="F668" s="1656"/>
      <c r="G668" s="1152" t="s">
        <v>9</v>
      </c>
    </row>
    <row r="669" spans="1:7">
      <c r="A669" s="1754">
        <v>46085</v>
      </c>
      <c r="B669" s="1748" t="str">
        <f>TiposLancamentos!B19</f>
        <v>Restaurantes</v>
      </c>
      <c r="C669" s="1740" t="s">
        <v>9787</v>
      </c>
      <c r="D669" s="51"/>
      <c r="E669" s="1043">
        <v>85.98</v>
      </c>
      <c r="F669" s="1656"/>
      <c r="G669" s="1152" t="s">
        <v>9</v>
      </c>
    </row>
    <row r="670" spans="1:7">
      <c r="A670" s="1754">
        <v>46086</v>
      </c>
      <c r="B670" s="1748" t="str">
        <f>TiposLancamentos!B19</f>
        <v>Restaurantes</v>
      </c>
      <c r="C670" s="1740" t="s">
        <v>2270</v>
      </c>
      <c r="D670" s="51"/>
      <c r="E670" s="1043">
        <v>41.92</v>
      </c>
      <c r="F670" s="1656"/>
      <c r="G670" s="1152" t="s">
        <v>9</v>
      </c>
    </row>
    <row r="671" spans="1:7">
      <c r="A671" s="1754">
        <v>46086</v>
      </c>
      <c r="B671" s="1748" t="str">
        <f>TiposLancamentos!B5</f>
        <v>Supermercado</v>
      </c>
      <c r="C671" s="1740" t="s">
        <v>2153</v>
      </c>
      <c r="D671" s="51"/>
      <c r="E671" s="1043">
        <v>29.49</v>
      </c>
      <c r="F671" s="1656"/>
      <c r="G671" s="1152" t="s">
        <v>9</v>
      </c>
    </row>
    <row r="672" spans="1:7">
      <c r="A672" s="1754">
        <v>46087</v>
      </c>
      <c r="B672" s="1748" t="str">
        <f>TiposLancamentos!B19</f>
        <v>Restaurantes</v>
      </c>
      <c r="C672" s="1740" t="s">
        <v>10005</v>
      </c>
      <c r="D672" s="51"/>
      <c r="E672" s="1043">
        <v>33.85</v>
      </c>
      <c r="F672" s="1656"/>
      <c r="G672" s="1152" t="s">
        <v>9</v>
      </c>
    </row>
    <row r="673" spans="1:7">
      <c r="A673" s="1754">
        <v>46088</v>
      </c>
      <c r="B673" s="1748" t="str">
        <f>TiposLancamentos!B17</f>
        <v>GATO</v>
      </c>
      <c r="C673" s="1740" t="s">
        <v>10006</v>
      </c>
      <c r="D673" s="51"/>
      <c r="E673" s="1043">
        <v>130.16</v>
      </c>
      <c r="F673" s="1656"/>
      <c r="G673" s="1152" t="s">
        <v>9</v>
      </c>
    </row>
    <row r="674" spans="1:7">
      <c r="A674" s="1754">
        <v>46088</v>
      </c>
      <c r="B674" s="1748" t="str">
        <f>TiposLancamentos!B5</f>
        <v>Supermercado</v>
      </c>
      <c r="C674" s="1740" t="s">
        <v>1884</v>
      </c>
      <c r="D674" s="51"/>
      <c r="E674" s="1043">
        <v>8.99</v>
      </c>
      <c r="F674" s="1656"/>
      <c r="G674" s="1152" t="s">
        <v>9</v>
      </c>
    </row>
    <row r="675" spans="1:7">
      <c r="A675" s="1666">
        <v>46088</v>
      </c>
      <c r="B675" s="1666" t="str">
        <f>TiposLancamentos!B39</f>
        <v>Playstation 5</v>
      </c>
      <c r="C675" s="1742" t="s">
        <v>10007</v>
      </c>
      <c r="D675" s="747"/>
      <c r="E675" s="1733">
        <v>57.54</v>
      </c>
      <c r="F675" s="1346"/>
      <c r="G675" s="1152" t="s">
        <v>9</v>
      </c>
    </row>
    <row r="676" spans="1:7">
      <c r="A676" s="1667">
        <v>46088</v>
      </c>
      <c r="B676" s="1667" t="str">
        <f>TiposLancamentos!B38</f>
        <v>Playstation 4</v>
      </c>
      <c r="C676" s="1769" t="s">
        <v>10007</v>
      </c>
      <c r="D676" s="51"/>
      <c r="E676" s="1734">
        <v>0</v>
      </c>
      <c r="F676" s="1043"/>
      <c r="G676" s="1152" t="s">
        <v>9</v>
      </c>
    </row>
    <row r="677" spans="1:7">
      <c r="A677" s="1750">
        <v>46088</v>
      </c>
      <c r="B677" s="1750" t="str">
        <f>TiposLancamentos!B4</f>
        <v>Taxas Bancarias</v>
      </c>
      <c r="C677" s="1743" t="s">
        <v>10008</v>
      </c>
      <c r="D677" s="849"/>
      <c r="E677" s="1668">
        <f>F677-E675</f>
        <v>1.9200000000000017</v>
      </c>
      <c r="F677" s="1665">
        <v>59.46</v>
      </c>
      <c r="G677" s="1152" t="s">
        <v>9</v>
      </c>
    </row>
    <row r="678" spans="1:7">
      <c r="A678" s="1754">
        <v>46088</v>
      </c>
      <c r="B678" s="1748" t="str">
        <f>TiposLancamentos!B19</f>
        <v>Restaurantes</v>
      </c>
      <c r="C678" s="1740" t="s">
        <v>10009</v>
      </c>
      <c r="D678" s="51"/>
      <c r="E678" s="1043">
        <v>108.69</v>
      </c>
      <c r="F678" s="1656"/>
      <c r="G678" s="1152" t="s">
        <v>9</v>
      </c>
    </row>
    <row r="679" spans="1:7">
      <c r="A679" s="1754">
        <v>46089</v>
      </c>
      <c r="B679" s="1748" t="str">
        <f>TiposLancamentos!B5</f>
        <v>Supermercado</v>
      </c>
      <c r="C679" s="1740" t="s">
        <v>2153</v>
      </c>
      <c r="D679" s="51"/>
      <c r="E679" s="1043">
        <v>9.1</v>
      </c>
      <c r="F679" s="1656"/>
      <c r="G679" s="1152" t="s">
        <v>9</v>
      </c>
    </row>
    <row r="680" spans="1:7">
      <c r="A680" s="1754">
        <v>46089</v>
      </c>
      <c r="B680" s="1748" t="str">
        <f>TiposLancamentos!B34</f>
        <v>Seguros</v>
      </c>
      <c r="C680" s="1740" t="s">
        <v>10010</v>
      </c>
      <c r="D680" s="51"/>
      <c r="E680" s="1043">
        <v>97.02</v>
      </c>
      <c r="F680" s="1656">
        <v>582.13</v>
      </c>
      <c r="G680" s="1152" t="s">
        <v>9</v>
      </c>
    </row>
    <row r="681" spans="1:7">
      <c r="A681" s="1666">
        <v>46089</v>
      </c>
      <c r="B681" s="1666" t="str">
        <f>TiposLancamentos!B71</f>
        <v>Itens Pessoais</v>
      </c>
      <c r="C681" s="1742" t="s">
        <v>10011</v>
      </c>
      <c r="D681" s="747"/>
      <c r="E681" s="1733">
        <v>42.45</v>
      </c>
      <c r="F681" s="1346"/>
      <c r="G681" s="1152" t="s">
        <v>9</v>
      </c>
    </row>
    <row r="682" spans="1:7">
      <c r="A682" s="1750">
        <v>46089</v>
      </c>
      <c r="B682" s="1750" t="str">
        <f>TiposLancamentos!B57</f>
        <v>Informática</v>
      </c>
      <c r="C682" s="1743" t="s">
        <v>10012</v>
      </c>
      <c r="D682" s="849"/>
      <c r="E682" s="1668">
        <v>19.07</v>
      </c>
      <c r="F682" s="1665">
        <f>SUM(E681:E682)</f>
        <v>61.52</v>
      </c>
      <c r="G682" s="1152" t="s">
        <v>9</v>
      </c>
    </row>
    <row r="683" spans="1:7">
      <c r="A683" s="1754">
        <v>46090</v>
      </c>
      <c r="B683" s="1748" t="str">
        <f>TiposLancamentos!B44</f>
        <v>Academia</v>
      </c>
      <c r="C683" s="1740" t="s">
        <v>9947</v>
      </c>
      <c r="D683" s="51"/>
      <c r="E683" s="1043">
        <v>115.99</v>
      </c>
      <c r="F683" s="1656"/>
      <c r="G683" s="1152" t="s">
        <v>9</v>
      </c>
    </row>
    <row r="684" spans="1:7">
      <c r="A684" s="1754">
        <v>46090</v>
      </c>
      <c r="B684" s="1748" t="str">
        <f>TiposLancamentos!B19</f>
        <v>Restaurantes</v>
      </c>
      <c r="C684" s="1740" t="s">
        <v>10013</v>
      </c>
      <c r="D684" s="51"/>
      <c r="E684" s="1043">
        <v>51.58</v>
      </c>
      <c r="F684" s="1656"/>
      <c r="G684" s="1152" t="s">
        <v>9</v>
      </c>
    </row>
    <row r="685" spans="1:7">
      <c r="A685" s="1754">
        <v>46091</v>
      </c>
      <c r="B685" s="1748" t="str">
        <f>TiposLancamentos!B19</f>
        <v>Restaurantes</v>
      </c>
      <c r="C685" s="1740" t="s">
        <v>2224</v>
      </c>
      <c r="D685" s="51"/>
      <c r="E685" s="1043">
        <v>38.43</v>
      </c>
      <c r="F685" s="1656"/>
      <c r="G685" s="1152" t="s">
        <v>9</v>
      </c>
    </row>
    <row r="686" spans="1:7">
      <c r="A686" s="1754">
        <v>46091</v>
      </c>
      <c r="B686" s="1748" t="str">
        <f>TiposLancamentos!B5</f>
        <v>Supermercado</v>
      </c>
      <c r="C686" s="1740" t="s">
        <v>2414</v>
      </c>
      <c r="D686" s="51"/>
      <c r="E686" s="1043">
        <v>93.84</v>
      </c>
      <c r="F686" s="1656"/>
      <c r="G686" s="1152" t="s">
        <v>9</v>
      </c>
    </row>
    <row r="687" spans="1:7">
      <c r="A687" s="1754">
        <v>46091</v>
      </c>
      <c r="B687" s="1748" t="str">
        <f>TiposLancamentos!B65</f>
        <v>Taxi</v>
      </c>
      <c r="C687" s="1740" t="s">
        <v>10001</v>
      </c>
      <c r="D687" s="51"/>
      <c r="E687" s="1043">
        <v>12.98</v>
      </c>
      <c r="F687" s="1656"/>
      <c r="G687" s="1152" t="s">
        <v>9</v>
      </c>
    </row>
    <row r="688" spans="1:7">
      <c r="A688" s="1754">
        <v>46091</v>
      </c>
      <c r="B688" s="1748" t="str">
        <f>TiposLancamentos!B65</f>
        <v>Taxi</v>
      </c>
      <c r="C688" s="1740" t="s">
        <v>10004</v>
      </c>
      <c r="D688" s="51"/>
      <c r="E688" s="1043">
        <v>13.03</v>
      </c>
      <c r="F688" s="1656"/>
      <c r="G688" s="1152" t="s">
        <v>9</v>
      </c>
    </row>
    <row r="689" spans="1:7">
      <c r="A689" s="1754">
        <v>46092</v>
      </c>
      <c r="B689" s="1748" t="str">
        <f>TiposLancamentos!B19</f>
        <v>Restaurantes</v>
      </c>
      <c r="C689" s="1740" t="s">
        <v>2224</v>
      </c>
      <c r="D689" s="51"/>
      <c r="E689" s="1043">
        <v>28.82</v>
      </c>
      <c r="F689" s="1656"/>
      <c r="G689" s="1152" t="s">
        <v>9</v>
      </c>
    </row>
    <row r="690" spans="1:7">
      <c r="A690" s="1754">
        <v>46092</v>
      </c>
      <c r="B690" s="1748" t="str">
        <f>TiposLancamentos!B19</f>
        <v>Restaurantes</v>
      </c>
      <c r="C690" s="1740" t="s">
        <v>9787</v>
      </c>
      <c r="D690" s="51"/>
      <c r="E690" s="1043">
        <v>85.98</v>
      </c>
      <c r="F690" s="1656"/>
      <c r="G690" s="1152" t="s">
        <v>9</v>
      </c>
    </row>
    <row r="691" spans="1:7">
      <c r="A691" s="1754">
        <v>46092</v>
      </c>
      <c r="B691" s="1748" t="str">
        <f>TiposLancamentos!B5</f>
        <v>Supermercado</v>
      </c>
      <c r="C691" s="1740" t="s">
        <v>1884</v>
      </c>
      <c r="D691" s="51"/>
      <c r="E691" s="1043">
        <v>9.5</v>
      </c>
      <c r="F691" s="1656"/>
      <c r="G691" s="1152" t="s">
        <v>9</v>
      </c>
    </row>
    <row r="692" spans="1:7">
      <c r="A692" s="1754">
        <v>46093</v>
      </c>
      <c r="B692" s="1748" t="str">
        <f>TiposLancamentos!B19</f>
        <v>Restaurantes</v>
      </c>
      <c r="C692" s="1740" t="s">
        <v>10014</v>
      </c>
      <c r="D692" s="51"/>
      <c r="E692" s="1043">
        <v>66.89</v>
      </c>
      <c r="F692" s="1656"/>
      <c r="G692" s="1152" t="s">
        <v>9</v>
      </c>
    </row>
    <row r="693" spans="1:7">
      <c r="A693" s="1754">
        <v>46094</v>
      </c>
      <c r="B693" s="1748" t="str">
        <f>TiposLancamentos!B19</f>
        <v>Restaurantes</v>
      </c>
      <c r="C693" s="1740" t="s">
        <v>2224</v>
      </c>
      <c r="D693" s="51"/>
      <c r="E693" s="1043">
        <v>23.61</v>
      </c>
      <c r="F693" s="1656"/>
      <c r="G693" s="1152" t="s">
        <v>9</v>
      </c>
    </row>
    <row r="694" spans="1:7">
      <c r="A694" s="1754">
        <v>46094</v>
      </c>
      <c r="B694" s="1748" t="str">
        <f>TiposLancamentos!B5</f>
        <v>Supermercado</v>
      </c>
      <c r="C694" s="1740" t="s">
        <v>10015</v>
      </c>
      <c r="D694" s="51"/>
      <c r="E694" s="1043">
        <v>99.05</v>
      </c>
      <c r="F694" s="1656"/>
      <c r="G694" s="1152" t="s">
        <v>9</v>
      </c>
    </row>
    <row r="695" spans="1:7">
      <c r="A695" s="1754">
        <v>46095</v>
      </c>
      <c r="B695" s="1748" t="str">
        <f>TiposLancamentos!B13</f>
        <v>Moradia</v>
      </c>
      <c r="C695" s="1740" t="s">
        <v>10016</v>
      </c>
      <c r="D695" s="51"/>
      <c r="E695" s="1043">
        <v>144.69</v>
      </c>
      <c r="F695" s="1656"/>
      <c r="G695" s="1152" t="s">
        <v>9</v>
      </c>
    </row>
    <row r="696" spans="1:7">
      <c r="A696" s="1754">
        <v>46095</v>
      </c>
      <c r="B696" s="1748" t="str">
        <f>TiposLancamentos!B19</f>
        <v>Restaurantes</v>
      </c>
      <c r="C696" s="1740" t="s">
        <v>10017</v>
      </c>
      <c r="D696" s="51"/>
      <c r="E696" s="1043">
        <v>175.01</v>
      </c>
      <c r="F696" s="1656"/>
      <c r="G696" s="1152" t="s">
        <v>9</v>
      </c>
    </row>
    <row r="697" spans="1:7">
      <c r="A697" s="1754">
        <v>46095</v>
      </c>
      <c r="B697" s="1748" t="str">
        <f>TiposLancamentos!B71</f>
        <v>Itens Pessoais</v>
      </c>
      <c r="C697" s="1740" t="s">
        <v>10018</v>
      </c>
      <c r="D697" s="51"/>
      <c r="E697" s="1043">
        <v>40</v>
      </c>
      <c r="F697" s="1656"/>
      <c r="G697" s="1152" t="s">
        <v>9</v>
      </c>
    </row>
    <row r="698" spans="1:7">
      <c r="A698" s="1754">
        <v>46095</v>
      </c>
      <c r="B698" s="1748" t="str">
        <f>TiposLancamentos!B16</f>
        <v>Cristiane</v>
      </c>
      <c r="C698" s="1740" t="s">
        <v>10019</v>
      </c>
      <c r="D698" s="51"/>
      <c r="E698" s="1043">
        <v>160.69999999999999</v>
      </c>
      <c r="F698" s="1656"/>
      <c r="G698" s="1152" t="s">
        <v>9</v>
      </c>
    </row>
    <row r="699" spans="1:7">
      <c r="A699" s="1754">
        <v>46095</v>
      </c>
      <c r="B699" s="1748" t="str">
        <f>TiposLancamentos!B5</f>
        <v>Supermercado</v>
      </c>
      <c r="C699" s="1740" t="s">
        <v>1884</v>
      </c>
      <c r="D699" s="51"/>
      <c r="E699" s="1043">
        <v>10.9</v>
      </c>
      <c r="F699" s="1656"/>
      <c r="G699" s="1152" t="s">
        <v>9</v>
      </c>
    </row>
    <row r="700" spans="1:7">
      <c r="A700" s="1754">
        <v>46095</v>
      </c>
      <c r="B700" s="1748" t="str">
        <f>TiposLancamentos!B56</f>
        <v>Farmácia</v>
      </c>
      <c r="C700" s="1740" t="s">
        <v>8135</v>
      </c>
      <c r="D700" s="51"/>
      <c r="E700" s="1043">
        <v>22.47</v>
      </c>
      <c r="F700" s="1656"/>
      <c r="G700" s="1152" t="s">
        <v>9</v>
      </c>
    </row>
    <row r="701" spans="1:7">
      <c r="A701" s="1754">
        <v>46096</v>
      </c>
      <c r="B701" s="1748" t="str">
        <f>TiposLancamentos!B5</f>
        <v>Supermercado</v>
      </c>
      <c r="C701" s="1740" t="s">
        <v>1884</v>
      </c>
      <c r="D701" s="51"/>
      <c r="E701" s="1043">
        <v>11.99</v>
      </c>
      <c r="F701" s="1656"/>
      <c r="G701" s="1152" t="s">
        <v>9</v>
      </c>
    </row>
    <row r="702" spans="1:7">
      <c r="A702" s="1754">
        <v>46097</v>
      </c>
      <c r="B702" s="1748" t="str">
        <f>TiposLancamentos!B13</f>
        <v>Moradia</v>
      </c>
      <c r="C702" s="1740" t="s">
        <v>10020</v>
      </c>
      <c r="D702" s="51"/>
      <c r="E702" s="1043">
        <v>99.9</v>
      </c>
      <c r="F702" s="1656"/>
      <c r="G702" s="1152" t="s">
        <v>9</v>
      </c>
    </row>
    <row r="703" spans="1:7">
      <c r="A703" s="1754">
        <v>46097</v>
      </c>
      <c r="B703" s="1748" t="str">
        <f>TiposLancamentos!B19</f>
        <v>Restaurantes</v>
      </c>
      <c r="C703" s="1740" t="s">
        <v>2270</v>
      </c>
      <c r="D703" s="51"/>
      <c r="E703" s="1043">
        <v>52.7</v>
      </c>
      <c r="F703" s="1656"/>
      <c r="G703" s="1152" t="s">
        <v>9</v>
      </c>
    </row>
    <row r="704" spans="1:7">
      <c r="A704" s="1754">
        <v>46098</v>
      </c>
      <c r="B704" s="1748" t="str">
        <f>TiposLancamentos!B19</f>
        <v>Restaurantes</v>
      </c>
      <c r="C704" s="1740" t="s">
        <v>2224</v>
      </c>
      <c r="D704" s="51"/>
      <c r="E704" s="1043">
        <v>43.92</v>
      </c>
      <c r="F704" s="1656"/>
      <c r="G704" s="1152" t="s">
        <v>9</v>
      </c>
    </row>
    <row r="705" spans="1:7">
      <c r="A705" s="1754">
        <v>46098</v>
      </c>
      <c r="B705" s="1748" t="str">
        <f>TiposLancamentos!B5</f>
        <v>Supermercado</v>
      </c>
      <c r="C705" s="1740" t="s">
        <v>2438</v>
      </c>
      <c r="D705" s="51"/>
      <c r="E705" s="1043">
        <v>152.72999999999999</v>
      </c>
      <c r="F705" s="1656"/>
      <c r="G705" s="1152" t="s">
        <v>9</v>
      </c>
    </row>
    <row r="706" spans="1:7">
      <c r="A706" s="1754">
        <v>46098</v>
      </c>
      <c r="B706" s="1748" t="str">
        <f>TiposLancamentos!B65</f>
        <v>Taxi</v>
      </c>
      <c r="C706" s="1740" t="s">
        <v>2383</v>
      </c>
      <c r="D706" s="51"/>
      <c r="E706" s="1043">
        <v>11.98</v>
      </c>
      <c r="F706" s="1656"/>
      <c r="G706" s="1152" t="s">
        <v>9</v>
      </c>
    </row>
    <row r="707" spans="1:7">
      <c r="A707" s="1754">
        <v>46098</v>
      </c>
      <c r="B707" s="1748" t="str">
        <f>TiposLancamentos!B65</f>
        <v>Taxi</v>
      </c>
      <c r="C707" s="1740" t="s">
        <v>2384</v>
      </c>
      <c r="D707" s="51"/>
      <c r="E707" s="1043">
        <v>12.97</v>
      </c>
      <c r="F707" s="1656"/>
      <c r="G707" s="1152" t="s">
        <v>9</v>
      </c>
    </row>
    <row r="708" spans="1:7">
      <c r="A708" s="1754">
        <v>45734</v>
      </c>
      <c r="B708" s="1748" t="str">
        <f>TiposLancamentos!B34</f>
        <v>Seguros</v>
      </c>
      <c r="C708" s="1740" t="s">
        <v>10021</v>
      </c>
      <c r="D708" s="51"/>
      <c r="E708" s="1043">
        <v>276.98</v>
      </c>
      <c r="F708" s="1656">
        <v>1662.14</v>
      </c>
      <c r="G708" s="1152" t="s">
        <v>9</v>
      </c>
    </row>
    <row r="709" spans="1:7">
      <c r="A709" s="1818">
        <v>45734</v>
      </c>
      <c r="B709" s="1813" t="str">
        <f>TiposLancamentos!B16</f>
        <v>Cristiane</v>
      </c>
      <c r="C709" s="1806" t="s">
        <v>10022</v>
      </c>
      <c r="D709" s="1797"/>
      <c r="E709" s="1791">
        <v>56.9</v>
      </c>
      <c r="F709" s="1787"/>
      <c r="G709" s="1152" t="s">
        <v>9</v>
      </c>
    </row>
    <row r="710" spans="1:7">
      <c r="A710" s="1818">
        <v>45734</v>
      </c>
      <c r="B710" s="1813" t="str">
        <f>TiposLancamentos!B16</f>
        <v>Cristiane</v>
      </c>
      <c r="C710" s="1806" t="s">
        <v>10023</v>
      </c>
      <c r="D710" s="1797"/>
      <c r="E710" s="1791">
        <v>123.72</v>
      </c>
      <c r="F710" s="1787"/>
      <c r="G710" s="1152" t="s">
        <v>9</v>
      </c>
    </row>
    <row r="711" spans="1:7">
      <c r="A711" s="1818">
        <v>46100</v>
      </c>
      <c r="B711" s="1813" t="str">
        <f>TiposLancamentos!B16</f>
        <v>Cristiane</v>
      </c>
      <c r="C711" s="1806" t="s">
        <v>2031</v>
      </c>
      <c r="D711" s="1797"/>
      <c r="E711" s="1791">
        <v>6.35</v>
      </c>
      <c r="F711" s="1787"/>
      <c r="G711" s="1152" t="s">
        <v>9</v>
      </c>
    </row>
    <row r="712" spans="1:7">
      <c r="A712" s="1818">
        <v>46101</v>
      </c>
      <c r="B712" s="1813" t="str">
        <f>TiposLancamentos!B16</f>
        <v>Cristiane</v>
      </c>
      <c r="C712" s="1806" t="s">
        <v>10024</v>
      </c>
      <c r="D712" s="1797"/>
      <c r="E712" s="1791">
        <v>39.9</v>
      </c>
      <c r="F712" s="1787"/>
      <c r="G712" s="1152" t="s">
        <v>9</v>
      </c>
    </row>
    <row r="713" spans="1:7">
      <c r="A713" s="1754">
        <v>46102</v>
      </c>
      <c r="B713" s="1748" t="str">
        <f>TiposLancamentos!B5</f>
        <v>Supermercado</v>
      </c>
      <c r="C713" s="1740" t="s">
        <v>10025</v>
      </c>
      <c r="D713" s="51"/>
      <c r="E713" s="1043">
        <v>11.99</v>
      </c>
      <c r="F713" s="1656"/>
      <c r="G713" s="1152" t="s">
        <v>9</v>
      </c>
    </row>
    <row r="714" spans="1:7">
      <c r="A714" s="1754">
        <v>46104</v>
      </c>
      <c r="B714" s="1748" t="str">
        <f>TiposLancamentos!B45</f>
        <v>Online Services</v>
      </c>
      <c r="C714" s="1740" t="s">
        <v>9788</v>
      </c>
      <c r="D714" s="51"/>
      <c r="E714" s="1043">
        <v>5.9</v>
      </c>
      <c r="F714" s="1656"/>
      <c r="G714" s="1152" t="s">
        <v>9</v>
      </c>
    </row>
    <row r="715" spans="1:7">
      <c r="A715" s="1756"/>
      <c r="B715" s="1749"/>
      <c r="C715" s="1741" t="s">
        <v>10</v>
      </c>
      <c r="D715" s="375"/>
      <c r="E715" s="1690"/>
      <c r="F715" s="1690"/>
      <c r="G715" s="1094" t="s">
        <v>11</v>
      </c>
    </row>
    <row r="716" spans="1:7">
      <c r="A716" s="1818">
        <v>46106</v>
      </c>
      <c r="B716" s="1813" t="str">
        <f>TiposLancamentos!B16</f>
        <v>Cristiane</v>
      </c>
      <c r="C716" s="1806" t="s">
        <v>2031</v>
      </c>
      <c r="D716" s="1797"/>
      <c r="E716" s="1791">
        <v>6.35</v>
      </c>
      <c r="F716" s="1787"/>
      <c r="G716" s="1152" t="s">
        <v>9</v>
      </c>
    </row>
    <row r="717" spans="1:7">
      <c r="A717" s="1818">
        <v>46106</v>
      </c>
      <c r="B717" s="1813" t="str">
        <f>TiposLancamentos!B16</f>
        <v>Cristiane</v>
      </c>
      <c r="C717" s="1806" t="s">
        <v>10026</v>
      </c>
      <c r="D717" s="1797"/>
      <c r="E717" s="1791">
        <v>33.9</v>
      </c>
      <c r="F717" s="1787"/>
      <c r="G717" s="1152" t="s">
        <v>9</v>
      </c>
    </row>
    <row r="718" spans="1:7">
      <c r="A718" s="1754">
        <v>46106</v>
      </c>
      <c r="B718" s="1748" t="str">
        <f>TiposLancamentos!B45</f>
        <v>Online Services</v>
      </c>
      <c r="C718" s="1740" t="s">
        <v>9877</v>
      </c>
      <c r="D718" s="51"/>
      <c r="E718" s="1043">
        <v>7.99</v>
      </c>
      <c r="F718" s="1656"/>
      <c r="G718" s="1152" t="s">
        <v>9</v>
      </c>
    </row>
    <row r="719" spans="1:7">
      <c r="A719" s="1818">
        <v>46108</v>
      </c>
      <c r="B719" s="1813" t="str">
        <f>TiposLancamentos!B16</f>
        <v>Cristiane</v>
      </c>
      <c r="C719" s="1806" t="s">
        <v>2031</v>
      </c>
      <c r="D719" s="1797"/>
      <c r="E719" s="1791">
        <v>6.35</v>
      </c>
      <c r="F719" s="1787"/>
      <c r="G719" s="1152" t="s">
        <v>9</v>
      </c>
    </row>
    <row r="720" spans="1:7">
      <c r="A720" s="1754">
        <v>46109</v>
      </c>
      <c r="B720" s="1748" t="str">
        <f>TiposLancamentos!B45</f>
        <v>Online Services</v>
      </c>
      <c r="C720" s="1740" t="s">
        <v>2102</v>
      </c>
      <c r="D720" s="51"/>
      <c r="E720" s="1043">
        <v>29.9</v>
      </c>
      <c r="F720" s="1656"/>
      <c r="G720" s="1152" t="s">
        <v>9</v>
      </c>
    </row>
    <row r="721" spans="1:7">
      <c r="A721" s="1754">
        <v>46110</v>
      </c>
      <c r="B721" s="1748" t="str">
        <f>TiposLancamentos!B45</f>
        <v>Online Services</v>
      </c>
      <c r="C721" s="1740" t="s">
        <v>2072</v>
      </c>
      <c r="D721" s="51"/>
      <c r="E721" s="1043">
        <v>26.9</v>
      </c>
      <c r="F721" s="1656"/>
      <c r="G721" s="1152" t="s">
        <v>9</v>
      </c>
    </row>
    <row r="722" spans="1:7">
      <c r="A722" s="1754">
        <v>46111</v>
      </c>
      <c r="B722" s="1748" t="str">
        <f>TiposLancamentos!B102</f>
        <v>ESTORNO</v>
      </c>
      <c r="C722" s="1740" t="s">
        <v>9877</v>
      </c>
      <c r="D722" s="51">
        <v>23.97</v>
      </c>
      <c r="E722" s="1043"/>
      <c r="F722" s="1656"/>
      <c r="G722" s="1152" t="s">
        <v>9</v>
      </c>
    </row>
    <row r="723" spans="1:7">
      <c r="A723" s="1818">
        <v>46111</v>
      </c>
      <c r="B723" s="1813" t="str">
        <f>TiposLancamentos!B45</f>
        <v>Online Services</v>
      </c>
      <c r="C723" s="1806" t="s">
        <v>9804</v>
      </c>
      <c r="D723" s="1797"/>
      <c r="E723" s="1791">
        <v>7.95</v>
      </c>
      <c r="F723" s="1787"/>
      <c r="G723" s="1152" t="s">
        <v>9</v>
      </c>
    </row>
    <row r="724" spans="1:7" ht="14.25" thickBot="1">
      <c r="A724" s="1757"/>
      <c r="B724" s="1755"/>
      <c r="C724" s="1771" t="s">
        <v>1868</v>
      </c>
      <c r="D724" s="869"/>
      <c r="E724" s="1044"/>
      <c r="F724" s="1691"/>
    </row>
    <row r="725" spans="1:7">
      <c r="A725" s="1754"/>
      <c r="B725" s="1748"/>
      <c r="C725" s="1740" t="s">
        <v>1657</v>
      </c>
      <c r="D725" s="51"/>
      <c r="E725" s="1043"/>
      <c r="F725" s="1656">
        <f>SUM(E624:E715)</f>
        <v>4161.7</v>
      </c>
    </row>
    <row r="726" spans="1:7">
      <c r="A726" s="1754">
        <v>46113</v>
      </c>
      <c r="B726" s="1748" t="str">
        <f>TiposLancamentos!B15</f>
        <v>Cartões de Crédito</v>
      </c>
      <c r="C726" s="1740" t="s">
        <v>1874</v>
      </c>
      <c r="D726" s="51">
        <v>4161.7</v>
      </c>
      <c r="E726" s="1043"/>
      <c r="F726" s="1656">
        <f>F725-F653</f>
        <v>-288.01000000000022</v>
      </c>
      <c r="G726" s="1152" t="s">
        <v>9</v>
      </c>
    </row>
    <row r="727" spans="1:7">
      <c r="A727" s="1754">
        <v>46113</v>
      </c>
      <c r="B727" s="1748" t="str">
        <f>TiposLancamentos!B45</f>
        <v>Online Services</v>
      </c>
      <c r="C727" s="1740" t="s">
        <v>2079</v>
      </c>
      <c r="D727" s="51"/>
      <c r="E727" s="1043">
        <v>31.9</v>
      </c>
      <c r="F727" s="1656"/>
      <c r="G727" s="1152" t="s">
        <v>9</v>
      </c>
    </row>
    <row r="728" spans="1:7">
      <c r="A728" s="1818">
        <v>46114</v>
      </c>
      <c r="B728" s="1813" t="str">
        <f>TiposLancamentos!B22</f>
        <v>Combustivel</v>
      </c>
      <c r="C728" s="1806" t="s">
        <v>10027</v>
      </c>
      <c r="D728" s="1797"/>
      <c r="E728" s="1791">
        <v>100</v>
      </c>
      <c r="F728" s="1787"/>
      <c r="G728" s="1152" t="s">
        <v>9</v>
      </c>
    </row>
    <row r="729" spans="1:7">
      <c r="A729" s="1818">
        <v>46119</v>
      </c>
      <c r="B729" s="1813" t="str">
        <f>TiposLancamentos!B22</f>
        <v>Combustivel</v>
      </c>
      <c r="C729" s="1806" t="s">
        <v>10027</v>
      </c>
      <c r="D729" s="1797"/>
      <c r="E729" s="1791">
        <v>150</v>
      </c>
      <c r="F729" s="1787"/>
      <c r="G729" s="1152" t="s">
        <v>9</v>
      </c>
    </row>
    <row r="730" spans="1:7">
      <c r="A730" s="1754">
        <v>46119</v>
      </c>
      <c r="B730" s="1748" t="str">
        <f>TiposLancamentos!B44</f>
        <v>Academia</v>
      </c>
      <c r="C730" s="1740" t="s">
        <v>9947</v>
      </c>
      <c r="D730" s="51"/>
      <c r="E730" s="1043">
        <v>115.99</v>
      </c>
      <c r="F730" s="1656"/>
      <c r="G730" s="1152" t="s">
        <v>9</v>
      </c>
    </row>
    <row r="731" spans="1:7">
      <c r="A731" s="1818">
        <v>46125</v>
      </c>
      <c r="B731" s="1813" t="str">
        <f>TiposLancamentos!B16</f>
        <v>Cristiane</v>
      </c>
      <c r="C731" s="1806" t="s">
        <v>3420</v>
      </c>
      <c r="D731" s="1797"/>
      <c r="E731" s="1791">
        <v>49.9</v>
      </c>
      <c r="F731" s="1787"/>
      <c r="G731" s="1152" t="s">
        <v>9</v>
      </c>
    </row>
    <row r="732" spans="1:7">
      <c r="A732" s="1818">
        <v>46129</v>
      </c>
      <c r="B732" s="1813" t="str">
        <f>TiposLancamentos!B16</f>
        <v>Cristiane</v>
      </c>
      <c r="C732" s="1806" t="s">
        <v>2618</v>
      </c>
      <c r="D732" s="1797"/>
      <c r="E732" s="1791">
        <v>50.45</v>
      </c>
      <c r="F732" s="1787"/>
      <c r="G732" s="1152" t="s">
        <v>9</v>
      </c>
    </row>
    <row r="733" spans="1:7">
      <c r="A733" s="1754">
        <v>46130</v>
      </c>
      <c r="B733" s="1748" t="str">
        <f>TiposLancamentos!B24</f>
        <v>Estacionamentos</v>
      </c>
      <c r="C733" s="1740" t="s">
        <v>10028</v>
      </c>
      <c r="D733" s="51"/>
      <c r="E733" s="1043">
        <v>51.6</v>
      </c>
      <c r="F733" s="1656"/>
      <c r="G733" s="1152" t="s">
        <v>9</v>
      </c>
    </row>
    <row r="734" spans="1:7">
      <c r="A734" s="1818">
        <v>46134</v>
      </c>
      <c r="B734" s="1813" t="str">
        <f>TiposLancamentos!B5</f>
        <v>Supermercado</v>
      </c>
      <c r="C734" s="1806" t="s">
        <v>10029</v>
      </c>
      <c r="D734" s="1797"/>
      <c r="E734" s="1791">
        <v>74.13</v>
      </c>
      <c r="F734" s="1787"/>
      <c r="G734" s="1152" t="s">
        <v>9</v>
      </c>
    </row>
    <row r="735" spans="1:7">
      <c r="A735" s="1756"/>
      <c r="B735" s="1749"/>
      <c r="C735" s="1741" t="s">
        <v>10</v>
      </c>
      <c r="D735" s="375"/>
      <c r="E735" s="1690"/>
      <c r="F735" s="1690"/>
      <c r="G735" s="1094" t="s">
        <v>11</v>
      </c>
    </row>
    <row r="736" spans="1:7">
      <c r="A736" s="1754">
        <v>46135</v>
      </c>
      <c r="B736" s="1748" t="str">
        <f>TiposLancamentos!B45</f>
        <v>Online Services</v>
      </c>
      <c r="C736" s="1740" t="s">
        <v>9788</v>
      </c>
      <c r="D736" s="51"/>
      <c r="E736" s="1043">
        <v>5.9</v>
      </c>
      <c r="F736" s="1656"/>
      <c r="G736" s="1152" t="s">
        <v>9</v>
      </c>
    </row>
    <row r="737" spans="1:7">
      <c r="A737" s="1818">
        <v>46135</v>
      </c>
      <c r="B737" s="1813" t="str">
        <f>TiposLancamentos!B16</f>
        <v>Cristiane</v>
      </c>
      <c r="C737" s="1806" t="s">
        <v>10030</v>
      </c>
      <c r="D737" s="1797"/>
      <c r="E737" s="1791">
        <v>23.9</v>
      </c>
      <c r="F737" s="1787"/>
      <c r="G737" s="1152" t="s">
        <v>9</v>
      </c>
    </row>
    <row r="738" spans="1:7">
      <c r="A738" s="1754">
        <v>46136</v>
      </c>
      <c r="B738" s="1748" t="str">
        <f>TiposLancamentos!B4</f>
        <v>Taxas Bancarias</v>
      </c>
      <c r="C738" s="1740" t="s">
        <v>10031</v>
      </c>
      <c r="D738" s="51"/>
      <c r="E738" s="1043">
        <v>7.99</v>
      </c>
      <c r="F738" s="1656"/>
      <c r="G738" s="1094" t="s">
        <v>11</v>
      </c>
    </row>
    <row r="739" spans="1:7">
      <c r="A739" s="1754">
        <v>46137</v>
      </c>
      <c r="B739" s="1748" t="str">
        <f>TiposLancamentos!B19</f>
        <v>Restaurantes</v>
      </c>
      <c r="C739" s="1740" t="s">
        <v>10032</v>
      </c>
      <c r="D739" s="51"/>
      <c r="E739" s="1043">
        <v>226.9</v>
      </c>
      <c r="F739" s="1656"/>
      <c r="G739" s="1152" t="s">
        <v>9</v>
      </c>
    </row>
    <row r="740" spans="1:7">
      <c r="A740" s="1754">
        <v>46137</v>
      </c>
      <c r="B740" s="1748" t="str">
        <f>TiposLancamentos!B5</f>
        <v>Supermercado</v>
      </c>
      <c r="C740" s="1740" t="s">
        <v>10033</v>
      </c>
      <c r="D740" s="51"/>
      <c r="E740" s="1043">
        <v>243.23</v>
      </c>
      <c r="F740" s="1656"/>
      <c r="G740" s="1152" t="s">
        <v>9</v>
      </c>
    </row>
    <row r="741" spans="1:7">
      <c r="A741" s="1754">
        <v>46138</v>
      </c>
      <c r="B741" s="1748" t="str">
        <f>TiposLancamentos!B19</f>
        <v>Restaurantes</v>
      </c>
      <c r="C741" s="1740" t="s">
        <v>10034</v>
      </c>
      <c r="D741" s="51"/>
      <c r="E741" s="1043">
        <v>189.23</v>
      </c>
      <c r="F741" s="1656"/>
      <c r="G741" s="1152" t="s">
        <v>9</v>
      </c>
    </row>
    <row r="742" spans="1:7">
      <c r="A742" s="1818">
        <v>46139</v>
      </c>
      <c r="B742" s="1813" t="str">
        <f>TiposLancamentos!B5</f>
        <v>Supermercado</v>
      </c>
      <c r="C742" s="1806" t="s">
        <v>10035</v>
      </c>
      <c r="D742" s="1797"/>
      <c r="E742" s="1791">
        <v>30.29</v>
      </c>
      <c r="F742" s="1787"/>
      <c r="G742" s="1152" t="s">
        <v>9</v>
      </c>
    </row>
    <row r="743" spans="1:7">
      <c r="A743" s="1754">
        <v>46140</v>
      </c>
      <c r="B743" s="1748" t="str">
        <f>TiposLancamentos!B45</f>
        <v>Online Services</v>
      </c>
      <c r="C743" s="1740" t="s">
        <v>2102</v>
      </c>
      <c r="D743" s="51"/>
      <c r="E743" s="1043">
        <v>29.9</v>
      </c>
      <c r="F743" s="1656"/>
      <c r="G743" s="1152" t="s">
        <v>9</v>
      </c>
    </row>
    <row r="744" spans="1:7">
      <c r="A744" s="1666">
        <v>46140</v>
      </c>
      <c r="B744" s="1666" t="str">
        <f>TiposLancamentos!B16</f>
        <v>Cristiane</v>
      </c>
      <c r="C744" s="1742" t="s">
        <v>10036</v>
      </c>
      <c r="D744" s="747"/>
      <c r="E744" s="1733">
        <v>138.37</v>
      </c>
      <c r="F744" s="1346"/>
      <c r="G744" s="1152" t="s">
        <v>9</v>
      </c>
    </row>
    <row r="745" spans="1:7">
      <c r="A745" s="1750">
        <v>46140</v>
      </c>
      <c r="B745" s="1750" t="str">
        <f>TiposLancamentos!B56</f>
        <v>Farmácia</v>
      </c>
      <c r="C745" s="1743" t="s">
        <v>10037</v>
      </c>
      <c r="D745" s="849"/>
      <c r="E745" s="1668">
        <v>89.9</v>
      </c>
      <c r="F745" s="1665">
        <f>SUM(E744:E745)</f>
        <v>228.27</v>
      </c>
      <c r="G745" s="1152" t="s">
        <v>9</v>
      </c>
    </row>
    <row r="746" spans="1:7">
      <c r="A746" s="1754">
        <v>46141</v>
      </c>
      <c r="B746" s="1748" t="str">
        <f>TiposLancamentos!B45</f>
        <v>Online Services</v>
      </c>
      <c r="C746" s="1740" t="s">
        <v>2072</v>
      </c>
      <c r="D746" s="51"/>
      <c r="E746" s="1043">
        <v>26.9</v>
      </c>
      <c r="F746" s="1656"/>
      <c r="G746" s="1152" t="s">
        <v>9</v>
      </c>
    </row>
    <row r="747" spans="1:7">
      <c r="A747" s="1818">
        <v>46142</v>
      </c>
      <c r="B747" s="1813" t="str">
        <f>TiposLancamentos!B45</f>
        <v>Online Services</v>
      </c>
      <c r="C747" s="1806" t="s">
        <v>9804</v>
      </c>
      <c r="D747" s="1797"/>
      <c r="E747" s="1791">
        <v>7.95</v>
      </c>
      <c r="F747" s="1787"/>
      <c r="G747" s="1152" t="s">
        <v>9</v>
      </c>
    </row>
    <row r="748" spans="1:7" ht="14.25" thickBot="1">
      <c r="A748" s="1754">
        <v>46142</v>
      </c>
      <c r="B748" s="1748" t="str">
        <f>TiposLancamentos!B19</f>
        <v>Restaurantes</v>
      </c>
      <c r="C748" s="1740" t="s">
        <v>10038</v>
      </c>
      <c r="D748" s="51"/>
      <c r="E748" s="1043">
        <v>85.97</v>
      </c>
      <c r="F748" s="1656"/>
      <c r="G748" s="1152" t="s">
        <v>9</v>
      </c>
    </row>
    <row r="749" spans="1:7">
      <c r="A749" s="1814"/>
      <c r="B749" s="1809"/>
      <c r="C749" s="1801" t="s">
        <v>10039</v>
      </c>
      <c r="D749" s="1873"/>
      <c r="E749" s="1042"/>
      <c r="F749" s="1945">
        <f>SUM(E715:E734)-D722</f>
        <v>719.34</v>
      </c>
    </row>
    <row r="750" spans="1:7">
      <c r="A750" s="1754">
        <v>46143</v>
      </c>
      <c r="B750" s="1748" t="str">
        <f>TiposLancamentos!B45</f>
        <v>Online Services</v>
      </c>
      <c r="C750" s="1740" t="s">
        <v>2079</v>
      </c>
      <c r="D750" s="51"/>
      <c r="E750" s="1043">
        <v>31.9</v>
      </c>
      <c r="F750" s="1656">
        <f>F749-F725</f>
        <v>-3442.3599999999997</v>
      </c>
      <c r="G750" s="1152" t="s">
        <v>9</v>
      </c>
    </row>
    <row r="751" spans="1:7">
      <c r="A751" s="1754">
        <v>46143</v>
      </c>
      <c r="B751" s="1748" t="str">
        <f>TiposLancamentos!B22</f>
        <v>Combustivel</v>
      </c>
      <c r="C751" s="1740" t="s">
        <v>10040</v>
      </c>
      <c r="D751" s="51"/>
      <c r="E751" s="1043">
        <v>200</v>
      </c>
      <c r="F751" s="1656"/>
      <c r="G751" s="1152" t="s">
        <v>9</v>
      </c>
    </row>
    <row r="752" spans="1:7">
      <c r="A752" s="1754">
        <v>46143</v>
      </c>
      <c r="B752" s="1748" t="str">
        <f>TiposLancamentos!B33</f>
        <v>Pedágios</v>
      </c>
      <c r="C752" s="1740" t="s">
        <v>9776</v>
      </c>
      <c r="D752" s="51"/>
      <c r="E752" s="1043">
        <v>50</v>
      </c>
      <c r="F752" s="1656"/>
      <c r="G752" s="1152" t="s">
        <v>9</v>
      </c>
    </row>
    <row r="753" spans="1:7">
      <c r="A753" s="1754">
        <v>46143</v>
      </c>
      <c r="B753" s="1748" t="str">
        <f>TiposLancamentos!B33</f>
        <v>Pedágios</v>
      </c>
      <c r="C753" s="1740" t="s">
        <v>9776</v>
      </c>
      <c r="D753" s="51"/>
      <c r="E753" s="1043">
        <v>50</v>
      </c>
      <c r="F753" s="1656"/>
      <c r="G753" s="1152" t="s">
        <v>9</v>
      </c>
    </row>
    <row r="754" spans="1:7">
      <c r="A754" s="1818">
        <v>46143</v>
      </c>
      <c r="B754" s="1813" t="str">
        <f>TiposLancamentos!B16</f>
        <v>Cristiane</v>
      </c>
      <c r="C754" s="1806" t="s">
        <v>10041</v>
      </c>
      <c r="D754" s="1797"/>
      <c r="E754" s="1791">
        <v>62.43</v>
      </c>
      <c r="F754" s="1787"/>
      <c r="G754" s="1152" t="s">
        <v>9</v>
      </c>
    </row>
    <row r="755" spans="1:7">
      <c r="A755" s="1754">
        <v>46144</v>
      </c>
      <c r="B755" s="1748" t="str">
        <f>TiposLancamentos!B5</f>
        <v>Supermercado</v>
      </c>
      <c r="C755" s="1740" t="s">
        <v>10042</v>
      </c>
      <c r="D755" s="51"/>
      <c r="E755" s="1043">
        <v>15.9</v>
      </c>
      <c r="F755" s="1656"/>
      <c r="G755" s="1152" t="s">
        <v>9</v>
      </c>
    </row>
    <row r="756" spans="1:7">
      <c r="A756" s="1754">
        <v>46144</v>
      </c>
      <c r="B756" s="1748" t="str">
        <f>TiposLancamentos!B72</f>
        <v>Presentes</v>
      </c>
      <c r="C756" s="1740" t="s">
        <v>10043</v>
      </c>
      <c r="D756" s="51"/>
      <c r="E756" s="1043">
        <v>22</v>
      </c>
      <c r="F756" s="1656"/>
      <c r="G756" s="1152" t="s">
        <v>9</v>
      </c>
    </row>
    <row r="757" spans="1:7">
      <c r="A757" s="1754">
        <v>46145</v>
      </c>
      <c r="B757" s="1748" t="str">
        <f>TiposLancamentos!B22</f>
        <v>Combustivel</v>
      </c>
      <c r="C757" s="1740" t="s">
        <v>10044</v>
      </c>
      <c r="D757" s="51"/>
      <c r="E757" s="1043">
        <v>200</v>
      </c>
      <c r="F757" s="1656"/>
      <c r="G757" s="1152" t="s">
        <v>9</v>
      </c>
    </row>
    <row r="758" spans="1:7">
      <c r="A758" s="1754">
        <v>46145</v>
      </c>
      <c r="B758" s="1748" t="str">
        <f>TiposLancamentos!B33</f>
        <v>Pedágios</v>
      </c>
      <c r="C758" s="1740" t="s">
        <v>9776</v>
      </c>
      <c r="D758" s="51"/>
      <c r="E758" s="1043">
        <v>50</v>
      </c>
      <c r="F758" s="1656"/>
      <c r="G758" s="1152" t="s">
        <v>9</v>
      </c>
    </row>
    <row r="759" spans="1:7">
      <c r="A759" s="1818">
        <v>46145</v>
      </c>
      <c r="B759" s="1813" t="str">
        <f>TiposLancamentos!B19</f>
        <v>Restaurantes</v>
      </c>
      <c r="C759" s="1806" t="s">
        <v>10045</v>
      </c>
      <c r="D759" s="1797"/>
      <c r="E759" s="1791">
        <v>116.45</v>
      </c>
      <c r="F759" s="1787"/>
      <c r="G759" s="1152" t="s">
        <v>9</v>
      </c>
    </row>
    <row r="760" spans="1:7">
      <c r="A760" s="1754">
        <v>46146</v>
      </c>
      <c r="B760" s="1748" t="str">
        <f>TiposLancamentos!B15</f>
        <v>Cartões de Crédito</v>
      </c>
      <c r="C760" s="1740" t="s">
        <v>1874</v>
      </c>
      <c r="D760" s="51">
        <v>719.34</v>
      </c>
      <c r="E760" s="1043"/>
      <c r="F760" s="1656"/>
      <c r="G760" s="1152" t="s">
        <v>9</v>
      </c>
    </row>
    <row r="761" spans="1:7">
      <c r="A761" s="1754">
        <v>46146</v>
      </c>
      <c r="B761" s="1748" t="str">
        <f>TiposLancamentos!B19</f>
        <v>Restaurantes</v>
      </c>
      <c r="C761" s="1740" t="s">
        <v>2224</v>
      </c>
      <c r="D761" s="51"/>
      <c r="E761" s="1043">
        <v>60.9</v>
      </c>
      <c r="F761" s="1656"/>
      <c r="G761" s="1152" t="s">
        <v>9</v>
      </c>
    </row>
    <row r="762" spans="1:7">
      <c r="A762" s="1754">
        <v>46146</v>
      </c>
      <c r="B762" s="1748" t="str">
        <f>TiposLancamentos!B5</f>
        <v>Supermercado</v>
      </c>
      <c r="C762" s="1740" t="s">
        <v>2437</v>
      </c>
      <c r="D762" s="51"/>
      <c r="E762" s="1043">
        <v>43.68</v>
      </c>
      <c r="F762" s="1656"/>
      <c r="G762" s="1152" t="s">
        <v>9</v>
      </c>
    </row>
    <row r="763" spans="1:7">
      <c r="A763" s="1754">
        <v>46147</v>
      </c>
      <c r="B763" s="1748" t="str">
        <f>TiposLancamentos!B65</f>
        <v>Taxi</v>
      </c>
      <c r="C763" s="1740" t="s">
        <v>9830</v>
      </c>
      <c r="D763" s="51"/>
      <c r="E763" s="1043">
        <v>12.99</v>
      </c>
      <c r="F763" s="1656"/>
      <c r="G763" s="1152" t="s">
        <v>9</v>
      </c>
    </row>
    <row r="764" spans="1:7">
      <c r="A764" s="1754">
        <v>46147</v>
      </c>
      <c r="B764" s="1748" t="str">
        <f>TiposLancamentos!B65</f>
        <v>Taxi</v>
      </c>
      <c r="C764" s="1740" t="s">
        <v>10046</v>
      </c>
      <c r="D764" s="51"/>
      <c r="E764" s="1043">
        <v>10.98</v>
      </c>
      <c r="F764" s="1656"/>
      <c r="G764" s="1152" t="s">
        <v>9</v>
      </c>
    </row>
    <row r="765" spans="1:7">
      <c r="A765" s="1754">
        <v>46147</v>
      </c>
      <c r="B765" s="1748" t="str">
        <f>TiposLancamentos!B16</f>
        <v>Cristiane</v>
      </c>
      <c r="C765" s="1740" t="s">
        <v>10047</v>
      </c>
      <c r="D765" s="51"/>
      <c r="E765" s="1043">
        <v>44.89</v>
      </c>
      <c r="F765" s="1656"/>
      <c r="G765" s="1152" t="s">
        <v>9</v>
      </c>
    </row>
    <row r="766" spans="1:7">
      <c r="A766" s="1754">
        <v>46151</v>
      </c>
      <c r="B766" s="1748" t="str">
        <f>TiposLancamentos!B44</f>
        <v>Academia</v>
      </c>
      <c r="C766" s="1740" t="s">
        <v>9947</v>
      </c>
      <c r="D766" s="51"/>
      <c r="E766" s="1043">
        <v>115.99</v>
      </c>
      <c r="F766" s="1656"/>
      <c r="G766" s="1152" t="s">
        <v>9</v>
      </c>
    </row>
    <row r="767" spans="1:7">
      <c r="A767" s="1754"/>
      <c r="B767" s="1748"/>
      <c r="C767" s="1740"/>
      <c r="D767" s="51"/>
      <c r="E767" s="1043"/>
      <c r="F767" s="1656"/>
    </row>
    <row r="768" spans="1:7">
      <c r="A768" s="1754"/>
      <c r="B768" s="1748"/>
      <c r="C768" s="1740"/>
      <c r="D768" s="51"/>
      <c r="E768" s="1043"/>
      <c r="F768" s="1656"/>
    </row>
    <row r="769" spans="1:7">
      <c r="A769" s="1754"/>
      <c r="B769" s="1748"/>
      <c r="C769" s="1740"/>
      <c r="D769" s="51"/>
      <c r="E769" s="1043"/>
      <c r="F769" s="1656"/>
    </row>
    <row r="770" spans="1:7">
      <c r="A770" s="1754"/>
      <c r="B770" s="1748"/>
      <c r="C770" s="1740"/>
      <c r="D770" s="51"/>
      <c r="E770" s="1043"/>
      <c r="F770" s="1656"/>
    </row>
    <row r="771" spans="1:7">
      <c r="A771" s="1754"/>
      <c r="B771" s="1748"/>
      <c r="C771" s="1740"/>
      <c r="D771" s="51"/>
      <c r="E771" s="1043"/>
      <c r="F771" s="1656"/>
    </row>
    <row r="772" spans="1:7">
      <c r="A772" s="1754"/>
      <c r="B772" s="1748"/>
      <c r="C772" s="1740"/>
      <c r="D772" s="51"/>
      <c r="E772" s="1043"/>
      <c r="F772" s="1656"/>
    </row>
    <row r="773" spans="1:7">
      <c r="A773" s="1754"/>
      <c r="B773" s="1748"/>
      <c r="C773" s="1740"/>
      <c r="D773" s="51"/>
      <c r="E773" s="1043"/>
      <c r="F773" s="1656"/>
    </row>
    <row r="774" spans="1:7">
      <c r="A774" s="1754"/>
      <c r="B774" s="1748"/>
      <c r="C774" s="1740"/>
      <c r="D774" s="51"/>
      <c r="E774" s="1043"/>
      <c r="F774" s="1656"/>
    </row>
    <row r="775" spans="1:7">
      <c r="A775" s="1756"/>
      <c r="B775" s="1749"/>
      <c r="C775" s="1741" t="s">
        <v>10</v>
      </c>
      <c r="D775" s="375"/>
      <c r="E775" s="1690"/>
      <c r="F775" s="1690"/>
      <c r="G775" s="1094" t="s">
        <v>11</v>
      </c>
    </row>
    <row r="776" spans="1:7">
      <c r="A776" s="1754"/>
      <c r="B776" s="1748"/>
      <c r="C776" s="1740"/>
      <c r="D776" s="51"/>
      <c r="E776" s="1043"/>
      <c r="F776" s="1656"/>
    </row>
    <row r="777" spans="1:7">
      <c r="A777" s="1754"/>
      <c r="B777" s="1748"/>
      <c r="C777" s="1740"/>
      <c r="D777" s="51"/>
      <c r="E777" s="1043"/>
      <c r="F777" s="1656"/>
    </row>
    <row r="778" spans="1:7" ht="14.25" thickBot="1">
      <c r="A778" s="1757"/>
      <c r="B778" s="1755"/>
      <c r="C778" s="1771" t="s">
        <v>1868</v>
      </c>
      <c r="D778" s="869"/>
      <c r="E778" s="1044"/>
      <c r="F778" s="1691"/>
    </row>
    <row r="779" spans="1:7">
      <c r="A779" s="1754"/>
      <c r="B779" s="1748"/>
      <c r="C779" s="1802" t="s">
        <v>10048</v>
      </c>
      <c r="D779" s="51"/>
      <c r="E779" s="1043"/>
      <c r="F779" s="1656">
        <f>SUM(E735:E775)</f>
        <v>2194.54</v>
      </c>
    </row>
    <row r="780" spans="1:7">
      <c r="A780" s="1754">
        <v>46174</v>
      </c>
      <c r="B780" s="1748"/>
      <c r="C780" s="1740" t="s">
        <v>1874</v>
      </c>
      <c r="D780" s="51"/>
      <c r="E780" s="1043"/>
      <c r="F780" s="1656">
        <f>F779-F749</f>
        <v>1475.1999999999998</v>
      </c>
      <c r="G780" s="1094" t="s">
        <v>11</v>
      </c>
    </row>
    <row r="781" spans="1:7">
      <c r="A781" s="1754"/>
      <c r="B781" s="1748"/>
      <c r="C781" s="1740"/>
      <c r="D781" s="51"/>
      <c r="E781" s="1043"/>
      <c r="F781" s="1656"/>
    </row>
    <row r="782" spans="1:7">
      <c r="A782" s="1754"/>
      <c r="B782" s="1748"/>
      <c r="C782" s="1740"/>
      <c r="D782" s="51"/>
      <c r="E782" s="1043"/>
      <c r="F782" s="1656"/>
    </row>
    <row r="783" spans="1:7">
      <c r="A783" s="1754"/>
      <c r="B783" s="1748"/>
      <c r="C783" s="1740"/>
      <c r="D783" s="51"/>
      <c r="E783" s="1043"/>
      <c r="F783" s="1656"/>
    </row>
    <row r="784" spans="1:7">
      <c r="A784" s="1756"/>
      <c r="B784" s="1749"/>
      <c r="C784" s="1741" t="s">
        <v>10</v>
      </c>
      <c r="D784" s="375"/>
      <c r="E784" s="1690"/>
      <c r="F784" s="1690"/>
      <c r="G784" s="1094" t="s">
        <v>11</v>
      </c>
    </row>
    <row r="785" spans="1:7">
      <c r="A785" s="1754"/>
      <c r="B785" s="1748"/>
      <c r="C785" s="1740"/>
      <c r="D785" s="51"/>
      <c r="E785" s="1043"/>
      <c r="F785" s="1656"/>
    </row>
    <row r="786" spans="1:7">
      <c r="A786" s="1754"/>
      <c r="B786" s="1748"/>
      <c r="C786" s="1740"/>
      <c r="D786" s="51"/>
      <c r="E786" s="1043"/>
      <c r="F786" s="1656"/>
    </row>
    <row r="787" spans="1:7" ht="14.25" thickBot="1">
      <c r="A787" s="1757"/>
      <c r="B787" s="1755"/>
      <c r="C787" s="1771" t="s">
        <v>1868</v>
      </c>
      <c r="D787" s="869"/>
      <c r="E787" s="1044"/>
      <c r="F787" s="1691"/>
    </row>
    <row r="788" spans="1:7">
      <c r="A788" s="1754"/>
      <c r="B788" s="1748"/>
      <c r="C788" s="1802" t="s">
        <v>10049</v>
      </c>
      <c r="D788" s="51"/>
      <c r="E788" s="1043"/>
      <c r="F788" s="1656">
        <f>SUM(E775:E784)</f>
        <v>0</v>
      </c>
    </row>
    <row r="789" spans="1:7">
      <c r="A789" s="1754">
        <v>46204</v>
      </c>
      <c r="B789" s="1748"/>
      <c r="C789" s="1740" t="s">
        <v>1874</v>
      </c>
      <c r="D789" s="51"/>
      <c r="E789" s="1043"/>
      <c r="F789" s="1656">
        <f>F788-F778</f>
        <v>0</v>
      </c>
      <c r="G789" s="1094" t="s">
        <v>11</v>
      </c>
    </row>
    <row r="790" spans="1:7">
      <c r="A790" s="1754"/>
      <c r="B790" s="1748"/>
      <c r="C790" s="1740"/>
      <c r="D790" s="51"/>
      <c r="E790" s="1043"/>
      <c r="F790" s="1656"/>
    </row>
    <row r="791" spans="1:7">
      <c r="A791" s="1754"/>
      <c r="B791" s="1748"/>
      <c r="C791" s="1740"/>
      <c r="D791" s="51"/>
      <c r="E791" s="1043"/>
      <c r="F791" s="1656"/>
    </row>
    <row r="792" spans="1:7">
      <c r="A792" s="1754"/>
      <c r="B792" s="1748"/>
      <c r="C792" s="1740"/>
      <c r="D792" s="51"/>
      <c r="E792" s="1043"/>
      <c r="F792" s="1656"/>
    </row>
    <row r="793" spans="1:7">
      <c r="A793" s="1754"/>
      <c r="B793" s="1748"/>
      <c r="C793" s="1740"/>
      <c r="D793" s="51"/>
      <c r="E793" s="1043"/>
      <c r="F793" s="1656"/>
    </row>
    <row r="794" spans="1:7">
      <c r="A794" s="1754"/>
      <c r="B794" s="1748"/>
      <c r="C794" s="1740"/>
      <c r="D794" s="51"/>
      <c r="E794" s="1043"/>
      <c r="F794" s="1656"/>
    </row>
    <row r="795" spans="1:7">
      <c r="A795" s="1754"/>
      <c r="B795" s="1748"/>
      <c r="C795" s="1740"/>
      <c r="D795" s="51"/>
      <c r="E795" s="1043"/>
      <c r="F795" s="1656"/>
    </row>
    <row r="796" spans="1:7">
      <c r="A796" s="1754"/>
      <c r="B796" s="1748"/>
      <c r="C796" s="1740"/>
      <c r="D796" s="51"/>
      <c r="E796" s="1043"/>
      <c r="F796" s="1656"/>
    </row>
    <row r="797" spans="1:7">
      <c r="A797" s="1754"/>
      <c r="B797" s="1748"/>
      <c r="C797" s="1740"/>
      <c r="D797" s="51"/>
      <c r="E797" s="1043"/>
      <c r="F797" s="1656"/>
    </row>
    <row r="798" spans="1:7">
      <c r="A798" s="1754"/>
      <c r="B798" s="1748"/>
      <c r="C798" s="1740"/>
      <c r="D798" s="51"/>
      <c r="E798" s="1043"/>
      <c r="F798" s="1656"/>
    </row>
    <row r="799" spans="1:7" ht="14.25" thickBot="1">
      <c r="A799" s="1757"/>
      <c r="B799" s="1755"/>
      <c r="C799" s="1041"/>
      <c r="D799" s="869"/>
      <c r="E799" s="1044"/>
      <c r="F799" s="1691"/>
      <c r="G799" s="1094" t="s">
        <v>11</v>
      </c>
    </row>
    <row r="800" spans="1:7">
      <c r="A800" s="46"/>
      <c r="B800" s="116"/>
      <c r="C800" s="117" t="s">
        <v>12</v>
      </c>
      <c r="D800" s="185">
        <f>SUM(D2:D799)</f>
        <v>35148.43</v>
      </c>
      <c r="E800" s="609">
        <f>SUM(E2:E799)</f>
        <v>37342.975000000093</v>
      </c>
      <c r="F800" s="224"/>
    </row>
    <row r="801" spans="1:6">
      <c r="A801" s="119"/>
      <c r="B801" s="120"/>
      <c r="C801" s="24" t="s">
        <v>13</v>
      </c>
      <c r="D801" s="177"/>
      <c r="E801" s="302">
        <f>D800-E800</f>
        <v>-2194.5450000000928</v>
      </c>
      <c r="F801" s="177"/>
    </row>
    <row r="802" spans="1:6">
      <c r="A802" s="65"/>
      <c r="B802" s="65"/>
    </row>
    <row r="803" spans="1:6">
      <c r="C803" s="23"/>
      <c r="D803" s="25" t="s">
        <v>14</v>
      </c>
      <c r="E803" s="303" t="s">
        <v>15</v>
      </c>
      <c r="F803" s="25" t="s">
        <v>16</v>
      </c>
    </row>
    <row r="804" spans="1:6">
      <c r="B804" s="77"/>
      <c r="C804" s="36"/>
      <c r="D804" s="60">
        <f>CARTOES!H23</f>
        <v>21400</v>
      </c>
      <c r="E804" s="34">
        <f>E801</f>
        <v>-2194.5450000000928</v>
      </c>
      <c r="F804" s="62">
        <f>D804+E804</f>
        <v>19205.454999999907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ilha14"/>
  <dimension ref="A1:G38"/>
  <sheetViews>
    <sheetView zoomScaleNormal="100" workbookViewId="0">
      <pane xSplit="7" ySplit="1" topLeftCell="H12" activePane="bottomRight" state="frozen"/>
      <selection pane="bottomRight" activeCell="C27" sqref="C27"/>
      <selection pane="bottomLeft" activeCell="A2" sqref="A2"/>
      <selection pane="topRight" activeCell="H1" sqref="H1"/>
    </sheetView>
  </sheetViews>
  <sheetFormatPr defaultColWidth="9" defaultRowHeight="13.5"/>
  <cols>
    <col min="1" max="1" width="13.7109375" style="3" bestFit="1" customWidth="1"/>
    <col min="2" max="2" width="21.42578125" style="3" customWidth="1"/>
    <col min="3" max="3" width="48.42578125" style="3" customWidth="1"/>
    <col min="4" max="4" width="16" style="3" customWidth="1"/>
    <col min="5" max="5" width="17" style="221" customWidth="1"/>
    <col min="6" max="6" width="16" style="3" bestFit="1" customWidth="1"/>
    <col min="7" max="7" width="8.42578125" style="3" customWidth="1"/>
    <col min="8" max="16384" width="9" style="3"/>
  </cols>
  <sheetData>
    <row r="1" spans="1:7">
      <c r="A1" s="1747" t="s">
        <v>0</v>
      </c>
      <c r="B1" s="1772" t="s">
        <v>1</v>
      </c>
      <c r="C1" s="1739" t="s">
        <v>2</v>
      </c>
      <c r="D1" s="1776" t="s">
        <v>3</v>
      </c>
      <c r="E1" s="1732" t="s">
        <v>4</v>
      </c>
      <c r="F1" s="1549" t="s">
        <v>5</v>
      </c>
      <c r="G1" s="1660" t="s">
        <v>6</v>
      </c>
    </row>
    <row r="2" spans="1:7">
      <c r="A2" s="1754">
        <v>44904</v>
      </c>
      <c r="B2" s="1773" t="str">
        <f>TiposLancamentos!B105</f>
        <v>Transf. Bco</v>
      </c>
      <c r="C2" s="1740" t="s">
        <v>10050</v>
      </c>
      <c r="D2" s="48">
        <v>0.93</v>
      </c>
      <c r="E2" s="1043"/>
      <c r="F2" s="1027"/>
      <c r="G2" s="1040"/>
    </row>
    <row r="3" spans="1:7">
      <c r="A3" s="1754">
        <v>44963</v>
      </c>
      <c r="B3" s="1773" t="str">
        <f>TiposLancamentos!B103</f>
        <v>Juros_Corr. Poupança</v>
      </c>
      <c r="C3" s="1740" t="s">
        <v>10051</v>
      </c>
      <c r="D3" s="48">
        <v>0.01</v>
      </c>
      <c r="E3" s="1043"/>
      <c r="F3" s="1027"/>
      <c r="G3" s="1040"/>
    </row>
    <row r="4" spans="1:7">
      <c r="A4" s="1754">
        <v>44981</v>
      </c>
      <c r="B4" s="1773" t="str">
        <f>TiposLancamentos!B103</f>
        <v>Juros_Corr. Poupança</v>
      </c>
      <c r="C4" s="1740" t="s">
        <v>10051</v>
      </c>
      <c r="D4" s="48">
        <v>0.01</v>
      </c>
      <c r="E4" s="1043"/>
      <c r="F4" s="1027"/>
      <c r="G4" s="1040"/>
    </row>
    <row r="5" spans="1:7">
      <c r="A5" s="1754">
        <v>44999</v>
      </c>
      <c r="B5" s="1773" t="str">
        <f>TiposLancamentos!B103</f>
        <v>Juros_Corr. Poupança</v>
      </c>
      <c r="C5" s="1740" t="s">
        <v>10051</v>
      </c>
      <c r="D5" s="48">
        <v>0.01</v>
      </c>
      <c r="E5" s="1043"/>
      <c r="F5" s="1027"/>
      <c r="G5" s="1040"/>
    </row>
    <row r="6" spans="1:7">
      <c r="A6" s="1754">
        <v>45027</v>
      </c>
      <c r="B6" s="1773" t="str">
        <f>TiposLancamentos!B103</f>
        <v>Juros_Corr. Poupança</v>
      </c>
      <c r="C6" s="1740" t="s">
        <v>10051</v>
      </c>
      <c r="D6" s="48">
        <v>0.01</v>
      </c>
      <c r="E6" s="1043"/>
      <c r="F6" s="1027"/>
      <c r="G6" s="1040"/>
    </row>
    <row r="7" spans="1:7">
      <c r="A7" s="1754">
        <v>45048</v>
      </c>
      <c r="B7" s="1773" t="str">
        <f>TiposLancamentos!B105</f>
        <v>Transf. Bco</v>
      </c>
      <c r="C7" s="1740" t="s">
        <v>8714</v>
      </c>
      <c r="D7" s="48"/>
      <c r="E7" s="1043">
        <v>0.04</v>
      </c>
      <c r="F7" s="1027"/>
      <c r="G7" s="1040"/>
    </row>
    <row r="8" spans="1:7">
      <c r="A8" s="1754">
        <v>45078</v>
      </c>
      <c r="B8" s="1773" t="str">
        <f>TiposLancamentos!B103</f>
        <v>Juros_Corr. Poupança</v>
      </c>
      <c r="C8" s="1740" t="s">
        <v>10051</v>
      </c>
      <c r="D8" s="48">
        <v>0.01</v>
      </c>
      <c r="E8" s="1043"/>
      <c r="F8" s="1027"/>
      <c r="G8" s="1040"/>
    </row>
    <row r="9" spans="1:7">
      <c r="A9" s="1754">
        <v>45106</v>
      </c>
      <c r="B9" s="1773" t="str">
        <f>TiposLancamentos!B103</f>
        <v>Juros_Corr. Poupança</v>
      </c>
      <c r="C9" s="1740" t="s">
        <v>10051</v>
      </c>
      <c r="D9" s="48">
        <v>0.01</v>
      </c>
      <c r="E9" s="1043"/>
      <c r="F9" s="1027"/>
      <c r="G9" s="1040"/>
    </row>
    <row r="10" spans="1:7">
      <c r="A10" s="1754">
        <v>45106</v>
      </c>
      <c r="B10" s="1773" t="str">
        <f>TiposLancamentos!B105</f>
        <v>Transf. Bco</v>
      </c>
      <c r="C10" s="1740" t="s">
        <v>10052</v>
      </c>
      <c r="D10" s="48"/>
      <c r="E10" s="1043">
        <v>0.02</v>
      </c>
      <c r="F10" s="1027"/>
      <c r="G10" s="1040"/>
    </row>
    <row r="11" spans="1:7">
      <c r="A11" s="1754">
        <v>45126</v>
      </c>
      <c r="B11" s="1773" t="str">
        <f>TiposLancamentos!B103</f>
        <v>Juros_Corr. Poupança</v>
      </c>
      <c r="C11" s="1740" t="s">
        <v>10051</v>
      </c>
      <c r="D11" s="48">
        <v>0.01</v>
      </c>
      <c r="E11" s="1043"/>
      <c r="F11" s="1027"/>
      <c r="G11" s="1040"/>
    </row>
    <row r="12" spans="1:7">
      <c r="A12" s="1754">
        <v>45126</v>
      </c>
      <c r="B12" s="1773" t="str">
        <f>TiposLancamentos!B105</f>
        <v>Transf. Bco</v>
      </c>
      <c r="C12" s="1740" t="s">
        <v>10053</v>
      </c>
      <c r="D12" s="48"/>
      <c r="E12" s="1043">
        <v>0.01</v>
      </c>
      <c r="F12" s="1027"/>
      <c r="G12" s="1040"/>
    </row>
    <row r="13" spans="1:7">
      <c r="A13" s="1754">
        <v>45180</v>
      </c>
      <c r="B13" s="1773" t="str">
        <f>TiposLancamentos!B103</f>
        <v>Juros_Corr. Poupança</v>
      </c>
      <c r="C13" s="1740" t="s">
        <v>10051</v>
      </c>
      <c r="D13" s="48">
        <v>0.02</v>
      </c>
      <c r="E13" s="1043"/>
      <c r="F13" s="1027"/>
      <c r="G13" s="1040"/>
    </row>
    <row r="14" spans="1:7">
      <c r="A14" s="1754">
        <v>45182</v>
      </c>
      <c r="B14" s="1773" t="str">
        <f>TiposLancamentos!B105</f>
        <v>Transf. Bco</v>
      </c>
      <c r="C14" s="1740" t="s">
        <v>10054</v>
      </c>
      <c r="D14" s="48">
        <v>11.83</v>
      </c>
      <c r="E14" s="1043"/>
      <c r="F14" s="1027"/>
      <c r="G14" s="1040"/>
    </row>
    <row r="15" spans="1:7">
      <c r="A15" s="1754">
        <v>45215</v>
      </c>
      <c r="B15" s="1773" t="str">
        <f>TiposLancamentos!B103</f>
        <v>Juros_Corr. Poupança</v>
      </c>
      <c r="C15" s="1740" t="s">
        <v>10051</v>
      </c>
      <c r="D15" s="48">
        <v>0.09</v>
      </c>
      <c r="E15" s="1043"/>
      <c r="F15" s="1027"/>
      <c r="G15" s="1040"/>
    </row>
    <row r="16" spans="1:7">
      <c r="A16" s="1754">
        <v>45244</v>
      </c>
      <c r="B16" s="1773" t="str">
        <f>TiposLancamentos!B105</f>
        <v>Transf. Bco</v>
      </c>
      <c r="C16" s="1740" t="s">
        <v>8714</v>
      </c>
      <c r="D16" s="48"/>
      <c r="E16" s="1043">
        <v>10</v>
      </c>
      <c r="F16" s="1027"/>
      <c r="G16" s="1040"/>
    </row>
    <row r="17" spans="1:7">
      <c r="A17" s="1754">
        <v>45264</v>
      </c>
      <c r="B17" s="1773" t="str">
        <f>TiposLancamentos!B105</f>
        <v>Transf. Bco</v>
      </c>
      <c r="C17" s="1740" t="s">
        <v>10055</v>
      </c>
      <c r="D17" s="48">
        <v>1.86</v>
      </c>
      <c r="E17" s="1043"/>
      <c r="F17" s="1027"/>
      <c r="G17" s="1040"/>
    </row>
    <row r="18" spans="1:7">
      <c r="A18" s="1754">
        <v>45264</v>
      </c>
      <c r="B18" s="1773" t="str">
        <f>TiposLancamentos!B105</f>
        <v>Transf. Bco</v>
      </c>
      <c r="C18" s="1740" t="s">
        <v>10056</v>
      </c>
      <c r="D18" s="48">
        <v>0.22</v>
      </c>
      <c r="E18" s="1043"/>
      <c r="F18" s="1027"/>
      <c r="G18" s="1040"/>
    </row>
    <row r="19" spans="1:7">
      <c r="A19" s="1754">
        <v>45264</v>
      </c>
      <c r="B19" s="1773" t="str">
        <f>TiposLancamentos!B105</f>
        <v>Transf. Bco</v>
      </c>
      <c r="C19" s="1740" t="s">
        <v>10056</v>
      </c>
      <c r="D19" s="48">
        <v>0.2</v>
      </c>
      <c r="E19" s="1043"/>
      <c r="F19" s="1027"/>
      <c r="G19" s="1040"/>
    </row>
    <row r="20" spans="1:7">
      <c r="A20" s="1754">
        <v>45267</v>
      </c>
      <c r="B20" s="1773" t="str">
        <f>TiposLancamentos!B105</f>
        <v>Transf. Bco</v>
      </c>
      <c r="C20" s="1740" t="s">
        <v>10057</v>
      </c>
      <c r="D20" s="48">
        <v>4.29</v>
      </c>
      <c r="E20" s="1043"/>
      <c r="F20" s="1027"/>
      <c r="G20" s="1040"/>
    </row>
    <row r="21" spans="1:7">
      <c r="A21" s="1754">
        <v>45294</v>
      </c>
      <c r="B21" s="1773" t="str">
        <f>TiposLancamentos!B105</f>
        <v>Transf. Bco</v>
      </c>
      <c r="C21" s="1040" t="s">
        <v>9242</v>
      </c>
      <c r="D21" s="48"/>
      <c r="E21" s="1043">
        <v>8.51</v>
      </c>
      <c r="F21" s="1027"/>
      <c r="G21" s="1040"/>
    </row>
    <row r="22" spans="1:7">
      <c r="A22" s="1754">
        <v>45665</v>
      </c>
      <c r="B22" s="1773" t="str">
        <f>TiposLancamentos!B105</f>
        <v>Transf. Bco</v>
      </c>
      <c r="C22" s="1040" t="s">
        <v>9242</v>
      </c>
      <c r="D22" s="48"/>
      <c r="E22" s="1043">
        <v>0.93</v>
      </c>
      <c r="F22" s="1027"/>
      <c r="G22" s="1040"/>
    </row>
    <row r="23" spans="1:7">
      <c r="A23" s="1754">
        <v>45856</v>
      </c>
      <c r="B23" s="1773" t="str">
        <f>TiposLancamentos!B105</f>
        <v>Transf. Bco</v>
      </c>
      <c r="C23" s="1740" t="s">
        <v>10058</v>
      </c>
      <c r="D23" s="48">
        <v>14.96</v>
      </c>
      <c r="E23" s="1043"/>
      <c r="F23" s="1027"/>
      <c r="G23" s="1040"/>
    </row>
    <row r="24" spans="1:7">
      <c r="A24" s="1754">
        <v>45856</v>
      </c>
      <c r="B24" s="1773" t="str">
        <f>TiposLancamentos!B105</f>
        <v>Transf. Bco</v>
      </c>
      <c r="C24" s="1740" t="s">
        <v>8714</v>
      </c>
      <c r="D24" s="48"/>
      <c r="E24" s="1043">
        <v>14.96</v>
      </c>
      <c r="F24" s="1027"/>
      <c r="G24" s="1040"/>
    </row>
    <row r="25" spans="1:7">
      <c r="A25" s="1754"/>
      <c r="B25" s="1773"/>
      <c r="C25" s="1740"/>
      <c r="D25" s="48"/>
      <c r="E25" s="1043"/>
      <c r="F25" s="1027"/>
      <c r="G25" s="1040"/>
    </row>
    <row r="26" spans="1:7">
      <c r="A26" s="1754"/>
      <c r="B26" s="1773"/>
      <c r="C26" s="1740"/>
      <c r="D26" s="48"/>
      <c r="E26" s="1043"/>
      <c r="F26" s="1027"/>
      <c r="G26" s="1040"/>
    </row>
    <row r="27" spans="1:7">
      <c r="A27" s="1754"/>
      <c r="B27" s="1773"/>
      <c r="C27" s="1740"/>
      <c r="D27" s="48"/>
      <c r="E27" s="1043"/>
      <c r="F27" s="1027"/>
      <c r="G27" s="1040"/>
    </row>
    <row r="28" spans="1:7" ht="14.25" thickBot="1">
      <c r="A28" s="1757"/>
      <c r="B28" s="1774"/>
      <c r="C28" s="1771"/>
      <c r="D28" s="1777"/>
      <c r="E28" s="1044"/>
      <c r="F28" s="1437"/>
      <c r="G28" s="1711"/>
    </row>
    <row r="29" spans="1:7" ht="14.25" thickBot="1">
      <c r="A29" s="1757"/>
      <c r="B29" s="1775"/>
      <c r="C29" s="1041"/>
      <c r="D29" s="1778"/>
      <c r="E29" s="1665"/>
      <c r="F29" s="1779"/>
      <c r="G29" s="1713" t="s">
        <v>11</v>
      </c>
    </row>
    <row r="30" spans="1:7" ht="14.25" thickBot="1">
      <c r="A30" s="46"/>
      <c r="B30" s="116"/>
      <c r="C30" s="117" t="s">
        <v>12</v>
      </c>
      <c r="D30" s="185">
        <f>SUM(D2:D29)</f>
        <v>34.47</v>
      </c>
      <c r="E30" s="1780">
        <f>SUM(E2:E29)</f>
        <v>34.47</v>
      </c>
      <c r="F30" s="301"/>
    </row>
    <row r="31" spans="1:7">
      <c r="A31" s="119"/>
      <c r="B31" s="120"/>
      <c r="C31" s="24" t="s">
        <v>13</v>
      </c>
      <c r="D31" s="177"/>
      <c r="E31" s="614">
        <f>D30-E30</f>
        <v>0</v>
      </c>
      <c r="F31" s="177"/>
    </row>
    <row r="32" spans="1:7">
      <c r="A32" s="65"/>
      <c r="B32" s="65"/>
      <c r="E32" s="35">
        <v>0</v>
      </c>
    </row>
    <row r="33" spans="1:6">
      <c r="A33" s="65"/>
      <c r="B33" s="65"/>
      <c r="E33" s="35">
        <f>IF(E32&lt;&gt;0,E31-E32,0)</f>
        <v>0</v>
      </c>
    </row>
    <row r="34" spans="1:6">
      <c r="A34" s="65"/>
      <c r="B34" s="65"/>
      <c r="E34" s="35">
        <v>0</v>
      </c>
    </row>
    <row r="35" spans="1:6">
      <c r="A35" s="65"/>
      <c r="B35" s="65"/>
      <c r="E35" s="35">
        <f>E34+E31</f>
        <v>0</v>
      </c>
    </row>
    <row r="36" spans="1:6">
      <c r="A36" s="65"/>
      <c r="B36" s="65"/>
    </row>
    <row r="37" spans="1:6">
      <c r="C37" s="23"/>
      <c r="D37" s="25" t="s">
        <v>14</v>
      </c>
      <c r="E37" s="303" t="s">
        <v>15</v>
      </c>
      <c r="F37" s="25" t="s">
        <v>16</v>
      </c>
    </row>
    <row r="38" spans="1:6">
      <c r="B38" s="77" t="s">
        <v>17</v>
      </c>
      <c r="C38" s="36"/>
      <c r="D38" s="60"/>
      <c r="E38" s="34">
        <f>E31</f>
        <v>0</v>
      </c>
      <c r="F38" s="62">
        <f>D38+E38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11"/>
  <dimension ref="A1:G367"/>
  <sheetViews>
    <sheetView workbookViewId="0">
      <pane xSplit="6" ySplit="1" topLeftCell="J333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" defaultRowHeight="13.5"/>
  <cols>
    <col min="1" max="1" width="13.7109375" style="3" bestFit="1" customWidth="1"/>
    <col min="2" max="2" width="21.42578125" style="3" customWidth="1"/>
    <col min="3" max="3" width="48.42578125" style="3" customWidth="1"/>
    <col min="4" max="4" width="16" style="3" customWidth="1"/>
    <col min="5" max="5" width="17" style="221" customWidth="1"/>
    <col min="6" max="6" width="17.28515625" style="3" bestFit="1" customWidth="1"/>
    <col min="7" max="7" width="8.42578125" style="3" customWidth="1"/>
    <col min="8" max="16384" width="9" style="3"/>
  </cols>
  <sheetData>
    <row r="1" spans="1:7" ht="14.25" thickBot="1">
      <c r="A1" s="1758" t="s">
        <v>0</v>
      </c>
      <c r="B1" s="1758" t="s">
        <v>1</v>
      </c>
      <c r="C1" s="1759" t="s">
        <v>2</v>
      </c>
      <c r="D1" s="1760" t="s">
        <v>3</v>
      </c>
      <c r="E1" s="1552" t="s">
        <v>4</v>
      </c>
      <c r="F1" s="1553" t="s">
        <v>5</v>
      </c>
      <c r="G1" s="1553" t="s">
        <v>6</v>
      </c>
    </row>
    <row r="2" spans="1:7">
      <c r="A2" s="1754">
        <v>44736</v>
      </c>
      <c r="B2" s="1748" t="str">
        <f>TiposLancamentos!B105</f>
        <v>Transf. Bco</v>
      </c>
      <c r="C2" s="1740" t="s">
        <v>10059</v>
      </c>
      <c r="D2" s="1736">
        <v>3.45</v>
      </c>
      <c r="E2" s="952"/>
      <c r="F2" s="1027"/>
      <c r="G2" s="1550"/>
    </row>
    <row r="3" spans="1:7">
      <c r="A3" s="1754">
        <v>44736</v>
      </c>
      <c r="B3" s="1748" t="str">
        <f>TiposLancamentos!B105</f>
        <v>Transf. Bco</v>
      </c>
      <c r="C3" s="1740" t="s">
        <v>10060</v>
      </c>
      <c r="D3" s="1736"/>
      <c r="E3" s="952">
        <v>2.52</v>
      </c>
      <c r="F3" s="1027"/>
      <c r="G3" s="1550"/>
    </row>
    <row r="4" spans="1:7">
      <c r="A4" s="1754">
        <v>44919</v>
      </c>
      <c r="B4" s="1748" t="str">
        <f>TiposLancamentos!B57</f>
        <v>Informática</v>
      </c>
      <c r="C4" s="1740" t="s">
        <v>10061</v>
      </c>
      <c r="D4" s="1736"/>
      <c r="E4" s="952">
        <v>0.93</v>
      </c>
      <c r="F4" s="1027"/>
      <c r="G4" s="1550"/>
    </row>
    <row r="5" spans="1:7">
      <c r="A5" s="1754">
        <v>45012</v>
      </c>
      <c r="B5" s="1748" t="str">
        <f>TiposLancamentos!B98</f>
        <v>Restituições</v>
      </c>
      <c r="C5" s="1740" t="s">
        <v>10062</v>
      </c>
      <c r="D5" s="1736">
        <v>0.68</v>
      </c>
      <c r="E5" s="952"/>
      <c r="F5" s="1027"/>
      <c r="G5" s="1550"/>
    </row>
    <row r="6" spans="1:7">
      <c r="A6" s="1754">
        <v>45012</v>
      </c>
      <c r="B6" s="1748" t="str">
        <f>TiposLancamentos!B98</f>
        <v>Restituições</v>
      </c>
      <c r="C6" s="1740" t="s">
        <v>10063</v>
      </c>
      <c r="D6" s="1736">
        <v>0.28000000000000003</v>
      </c>
      <c r="E6" s="952"/>
      <c r="F6" s="1027"/>
      <c r="G6" s="1550"/>
    </row>
    <row r="7" spans="1:7">
      <c r="A7" s="1754">
        <v>45106</v>
      </c>
      <c r="B7" s="1748" t="str">
        <f>TiposLancamentos!B105</f>
        <v>Transf. Bco</v>
      </c>
      <c r="C7" s="1740" t="s">
        <v>10064</v>
      </c>
      <c r="D7" s="1736">
        <v>0.02</v>
      </c>
      <c r="E7" s="952"/>
      <c r="F7" s="1027"/>
      <c r="G7" s="1550"/>
    </row>
    <row r="8" spans="1:7">
      <c r="A8" s="1754">
        <v>45107</v>
      </c>
      <c r="B8" s="1748" t="str">
        <f>TiposLancamentos!B105</f>
        <v>Transf. Bco</v>
      </c>
      <c r="C8" s="1740" t="s">
        <v>10065</v>
      </c>
      <c r="D8" s="1736">
        <v>29.7</v>
      </c>
      <c r="E8" s="952"/>
      <c r="F8" s="1027"/>
      <c r="G8" s="1550"/>
    </row>
    <row r="9" spans="1:7">
      <c r="A9" s="1666">
        <v>45107</v>
      </c>
      <c r="B9" s="1751" t="str">
        <f>TiposLancamentos!B57</f>
        <v>Informática</v>
      </c>
      <c r="C9" s="1744" t="s">
        <v>10066</v>
      </c>
      <c r="D9" s="1735"/>
      <c r="E9" s="920">
        <v>16.5</v>
      </c>
      <c r="F9" s="1614"/>
      <c r="G9" s="1550"/>
    </row>
    <row r="10" spans="1:7">
      <c r="A10" s="1750">
        <v>45107</v>
      </c>
      <c r="B10" s="1753" t="str">
        <f>TiposLancamentos!B60</f>
        <v>Correio</v>
      </c>
      <c r="C10" s="1746" t="s">
        <v>10067</v>
      </c>
      <c r="D10" s="1737"/>
      <c r="E10" s="922">
        <f>F10-E9</f>
        <v>13.2</v>
      </c>
      <c r="F10" s="1548">
        <v>29.7</v>
      </c>
      <c r="G10" s="1550"/>
    </row>
    <row r="11" spans="1:7">
      <c r="A11" s="1754">
        <v>45108</v>
      </c>
      <c r="B11" s="1748" t="str">
        <f>TiposLancamentos!B105</f>
        <v>Transf. Bco</v>
      </c>
      <c r="C11" s="1740" t="s">
        <v>10065</v>
      </c>
      <c r="D11" s="1736">
        <v>172</v>
      </c>
      <c r="E11" s="952"/>
      <c r="F11" s="1027"/>
      <c r="G11" s="1550"/>
    </row>
    <row r="12" spans="1:7">
      <c r="A12" s="1666">
        <v>45108</v>
      </c>
      <c r="B12" s="1751" t="str">
        <f>TiposLancamentos!B37</f>
        <v>Playstation 3</v>
      </c>
      <c r="C12" s="1744" t="s">
        <v>10068</v>
      </c>
      <c r="D12" s="1735"/>
      <c r="E12" s="920">
        <v>147</v>
      </c>
      <c r="F12" s="1614"/>
      <c r="G12" s="1550"/>
    </row>
    <row r="13" spans="1:7">
      <c r="A13" s="1750">
        <v>45108</v>
      </c>
      <c r="B13" s="1753" t="str">
        <f>TiposLancamentos!B60</f>
        <v>Correio</v>
      </c>
      <c r="C13" s="1746" t="s">
        <v>10067</v>
      </c>
      <c r="D13" s="1737"/>
      <c r="E13" s="922">
        <v>25</v>
      </c>
      <c r="F13" s="1548">
        <f>SUM(E12:E13)</f>
        <v>172</v>
      </c>
      <c r="G13" s="1550"/>
    </row>
    <row r="14" spans="1:7">
      <c r="A14" s="1754">
        <v>45110</v>
      </c>
      <c r="B14" s="1748" t="str">
        <f>TiposLancamentos!B105</f>
        <v>Transf. Bco</v>
      </c>
      <c r="C14" s="1740" t="s">
        <v>8730</v>
      </c>
      <c r="D14" s="1736">
        <v>700</v>
      </c>
      <c r="E14" s="952"/>
      <c r="F14" s="1027"/>
      <c r="G14" s="1550"/>
    </row>
    <row r="15" spans="1:7">
      <c r="A15" s="1666">
        <v>45111</v>
      </c>
      <c r="B15" s="1751" t="str">
        <f>TiposLancamentos!B36</f>
        <v>Playstation 2</v>
      </c>
      <c r="C15" s="1744" t="s">
        <v>10069</v>
      </c>
      <c r="D15" s="1735"/>
      <c r="E15" s="920">
        <v>114.25</v>
      </c>
      <c r="F15" s="1614"/>
      <c r="G15" s="1550"/>
    </row>
    <row r="16" spans="1:7">
      <c r="A16" s="1750">
        <v>45111</v>
      </c>
      <c r="B16" s="1753" t="str">
        <f>TiposLancamentos!B60</f>
        <v>Correio</v>
      </c>
      <c r="C16" s="1746" t="s">
        <v>10070</v>
      </c>
      <c r="D16" s="1737"/>
      <c r="E16" s="922">
        <v>42.13</v>
      </c>
      <c r="F16" s="1548">
        <f>SUM(E15:E16)</f>
        <v>156.38</v>
      </c>
      <c r="G16" s="1550"/>
    </row>
    <row r="17" spans="1:7">
      <c r="A17" s="1754">
        <v>45111</v>
      </c>
      <c r="B17" s="1748" t="str">
        <f>TiposLancamentos!B36</f>
        <v>Playstation 2</v>
      </c>
      <c r="C17" s="1740" t="s">
        <v>10071</v>
      </c>
      <c r="D17" s="1736"/>
      <c r="E17" s="952">
        <v>75.67</v>
      </c>
      <c r="F17" s="1027"/>
      <c r="G17" s="1550"/>
    </row>
    <row r="18" spans="1:7">
      <c r="A18" s="1666">
        <v>45116</v>
      </c>
      <c r="B18" s="1751" t="str">
        <f>TiposLancamentos!B37</f>
        <v>Playstation 3</v>
      </c>
      <c r="C18" s="1744" t="s">
        <v>10072</v>
      </c>
      <c r="D18" s="1735"/>
      <c r="E18" s="920">
        <v>81.5</v>
      </c>
      <c r="F18" s="1614"/>
      <c r="G18" s="1550"/>
    </row>
    <row r="19" spans="1:7">
      <c r="A19" s="1667">
        <v>45116</v>
      </c>
      <c r="B19" s="1752" t="str">
        <f>TiposLancamentos!B37</f>
        <v>Playstation 3</v>
      </c>
      <c r="C19" s="1745" t="s">
        <v>10073</v>
      </c>
      <c r="D19" s="1736"/>
      <c r="E19" s="931">
        <v>81.2</v>
      </c>
      <c r="F19" s="1027"/>
      <c r="G19" s="1550"/>
    </row>
    <row r="20" spans="1:7">
      <c r="A20" s="1750">
        <v>45116</v>
      </c>
      <c r="B20" s="1753" t="str">
        <f>TiposLancamentos!B60</f>
        <v>Correio</v>
      </c>
      <c r="C20" s="1746" t="s">
        <v>10074</v>
      </c>
      <c r="D20" s="1737"/>
      <c r="E20" s="922">
        <v>27.3</v>
      </c>
      <c r="F20" s="1548">
        <f>SUM(E18:E20)</f>
        <v>190</v>
      </c>
      <c r="G20" s="1550"/>
    </row>
    <row r="21" spans="1:7">
      <c r="A21" s="1754">
        <v>45117</v>
      </c>
      <c r="B21" s="1754" t="str">
        <f>TiposLancamentos!B46</f>
        <v>Maçonaria</v>
      </c>
      <c r="C21" s="1040" t="s">
        <v>10075</v>
      </c>
      <c r="D21" s="1736"/>
      <c r="E21" s="952">
        <v>210</v>
      </c>
      <c r="F21" s="1027"/>
      <c r="G21" s="1550"/>
    </row>
    <row r="22" spans="1:7">
      <c r="A22" s="1666">
        <v>45127</v>
      </c>
      <c r="B22" s="1751" t="str">
        <f>TiposLancamentos!B37</f>
        <v>Playstation 3</v>
      </c>
      <c r="C22" s="1744" t="s">
        <v>10076</v>
      </c>
      <c r="D22" s="1735"/>
      <c r="E22" s="920">
        <f>F23-E23</f>
        <v>43.030000000000008</v>
      </c>
      <c r="F22" s="1614"/>
      <c r="G22" s="1550"/>
    </row>
    <row r="23" spans="1:7">
      <c r="A23" s="1750">
        <v>45127</v>
      </c>
      <c r="B23" s="1753" t="str">
        <f>TiposLancamentos!B60</f>
        <v>Correio</v>
      </c>
      <c r="C23" s="1746" t="s">
        <v>10077</v>
      </c>
      <c r="D23" s="1737"/>
      <c r="E23" s="922">
        <v>25.9</v>
      </c>
      <c r="F23" s="1548">
        <v>68.930000000000007</v>
      </c>
      <c r="G23" s="1550"/>
    </row>
    <row r="24" spans="1:7">
      <c r="A24" s="1754">
        <v>45216</v>
      </c>
      <c r="B24" s="1748" t="str">
        <f>TiposLancamentos!B105</f>
        <v>Transf. Bco</v>
      </c>
      <c r="C24" s="1740" t="s">
        <v>8730</v>
      </c>
      <c r="D24" s="1736">
        <v>210</v>
      </c>
      <c r="E24" s="952"/>
      <c r="F24" s="1027"/>
      <c r="G24" s="1550"/>
    </row>
    <row r="25" spans="1:7">
      <c r="A25" s="1754">
        <v>45216</v>
      </c>
      <c r="B25" s="1748" t="str">
        <f>TiposLancamentos!B46</f>
        <v>Maçonaria</v>
      </c>
      <c r="C25" s="1040" t="s">
        <v>10078</v>
      </c>
      <c r="D25" s="1736"/>
      <c r="E25" s="952">
        <v>210</v>
      </c>
      <c r="F25" s="1027"/>
      <c r="G25" s="1550"/>
    </row>
    <row r="26" spans="1:7">
      <c r="A26" s="1754">
        <v>45267</v>
      </c>
      <c r="B26" s="1748" t="str">
        <f>TiposLancamentos!B16</f>
        <v>Cristiane</v>
      </c>
      <c r="C26" s="1740" t="s">
        <v>10079</v>
      </c>
      <c r="D26" s="1736">
        <v>68.45</v>
      </c>
      <c r="E26" s="952"/>
      <c r="F26" s="1027"/>
      <c r="G26" s="1550"/>
    </row>
    <row r="27" spans="1:7">
      <c r="A27" s="1666">
        <v>45267</v>
      </c>
      <c r="B27" s="1751" t="str">
        <f>TiposLancamentos!B57</f>
        <v>Informática</v>
      </c>
      <c r="C27" s="1744" t="s">
        <v>10080</v>
      </c>
      <c r="D27" s="1735"/>
      <c r="E27" s="920">
        <v>53.91</v>
      </c>
      <c r="F27" s="1614"/>
      <c r="G27" s="1550"/>
    </row>
    <row r="28" spans="1:7">
      <c r="A28" s="1750">
        <v>45267</v>
      </c>
      <c r="B28" s="1753" t="str">
        <f>TiposLancamentos!B60</f>
        <v>Correio</v>
      </c>
      <c r="C28" s="1746" t="s">
        <v>10081</v>
      </c>
      <c r="D28" s="1737"/>
      <c r="E28" s="922">
        <v>10.25</v>
      </c>
      <c r="F28" s="1548"/>
      <c r="G28" s="1550"/>
    </row>
    <row r="29" spans="1:7">
      <c r="A29" s="1754">
        <v>45267</v>
      </c>
      <c r="B29" s="1748" t="str">
        <f>TiposLancamentos!B105</f>
        <v>Transf. Bco</v>
      </c>
      <c r="C29" s="1740" t="s">
        <v>10082</v>
      </c>
      <c r="D29" s="1736"/>
      <c r="E29" s="952">
        <v>4.29</v>
      </c>
      <c r="F29" s="1027"/>
      <c r="G29" s="1550"/>
    </row>
    <row r="30" spans="1:7">
      <c r="A30" s="1754">
        <v>45294</v>
      </c>
      <c r="B30" s="1748" t="str">
        <f>TiposLancamentos!B105</f>
        <v>Transf. Bco</v>
      </c>
      <c r="C30" s="1740" t="s">
        <v>10083</v>
      </c>
      <c r="D30" s="1736">
        <v>108.83</v>
      </c>
      <c r="E30" s="952"/>
      <c r="F30" s="1027"/>
      <c r="G30" s="1550"/>
    </row>
    <row r="31" spans="1:7">
      <c r="A31" s="1754">
        <v>45294</v>
      </c>
      <c r="B31" s="1748" t="str">
        <f>TiposLancamentos!B105</f>
        <v>Transf. Bco</v>
      </c>
      <c r="C31" s="1740" t="s">
        <v>10084</v>
      </c>
      <c r="D31" s="1736">
        <v>8.51</v>
      </c>
      <c r="E31" s="952"/>
      <c r="F31" s="1027"/>
      <c r="G31" s="1550"/>
    </row>
    <row r="32" spans="1:7">
      <c r="A32" s="1754">
        <v>45294</v>
      </c>
      <c r="B32" s="1748" t="str">
        <f>TiposLancamentos!B105</f>
        <v>Transf. Bco</v>
      </c>
      <c r="C32" s="1740" t="s">
        <v>10085</v>
      </c>
      <c r="D32" s="1736">
        <v>130.6</v>
      </c>
      <c r="E32" s="952"/>
      <c r="F32" s="1027"/>
      <c r="G32" s="1550"/>
    </row>
    <row r="33" spans="1:7">
      <c r="A33" s="1666">
        <v>45295</v>
      </c>
      <c r="B33" s="1751" t="str">
        <f>TiposLancamentos!B81</f>
        <v>Ferramentas gerais</v>
      </c>
      <c r="C33" s="1744" t="s">
        <v>10086</v>
      </c>
      <c r="D33" s="1735"/>
      <c r="E33" s="920">
        <v>38.35</v>
      </c>
      <c r="F33" s="1614"/>
      <c r="G33" s="1550"/>
    </row>
    <row r="34" spans="1:7">
      <c r="A34" s="1750">
        <v>45295</v>
      </c>
      <c r="B34" s="1753" t="str">
        <f>TiposLancamentos!B60</f>
        <v>Correio</v>
      </c>
      <c r="C34" s="1746" t="s">
        <v>10087</v>
      </c>
      <c r="D34" s="1737"/>
      <c r="E34" s="922">
        <v>14.46</v>
      </c>
      <c r="F34" s="1548">
        <f>SUM(E33:E34)</f>
        <v>52.81</v>
      </c>
      <c r="G34" s="1550"/>
    </row>
    <row r="35" spans="1:7">
      <c r="A35" s="1754"/>
      <c r="B35" s="1748"/>
      <c r="C35" s="1740" t="s">
        <v>1947</v>
      </c>
      <c r="D35" s="1736"/>
      <c r="E35" s="952"/>
      <c r="F35" s="1027"/>
      <c r="G35" s="1550"/>
    </row>
    <row r="36" spans="1:7">
      <c r="A36" s="1666">
        <v>45295</v>
      </c>
      <c r="B36" s="1751" t="str">
        <f>TiposLancamentos!B37</f>
        <v>Playstation 3</v>
      </c>
      <c r="C36" s="1744" t="s">
        <v>10088</v>
      </c>
      <c r="D36" s="1735"/>
      <c r="E36" s="920">
        <v>163.9</v>
      </c>
      <c r="F36" s="1614"/>
      <c r="G36" s="1550"/>
    </row>
    <row r="37" spans="1:7">
      <c r="A37" s="1750">
        <v>45295</v>
      </c>
      <c r="B37" s="1753" t="str">
        <f>TiposLancamentos!B60</f>
        <v>Correio</v>
      </c>
      <c r="C37" s="1746" t="s">
        <v>10089</v>
      </c>
      <c r="D37" s="1737"/>
      <c r="E37" s="922">
        <v>19.8</v>
      </c>
      <c r="F37" s="1548">
        <f>SUM(E36:E37)</f>
        <v>183.70000000000002</v>
      </c>
      <c r="G37" s="1550"/>
    </row>
    <row r="38" spans="1:7">
      <c r="A38" s="1754"/>
      <c r="B38" s="1748"/>
      <c r="C38" s="1740" t="s">
        <v>1947</v>
      </c>
      <c r="D38" s="1736"/>
      <c r="E38" s="952"/>
      <c r="F38" s="1027"/>
      <c r="G38" s="1550"/>
    </row>
    <row r="39" spans="1:7">
      <c r="A39" s="1754">
        <v>45313</v>
      </c>
      <c r="B39" s="1748" t="str">
        <f>TiposLancamentos!B41</f>
        <v>PSP Slim 3k</v>
      </c>
      <c r="C39" s="1740" t="s">
        <v>10090</v>
      </c>
      <c r="D39" s="1736"/>
      <c r="E39" s="952">
        <v>11.55</v>
      </c>
      <c r="F39" s="1027"/>
      <c r="G39" s="1550"/>
    </row>
    <row r="40" spans="1:7">
      <c r="A40" s="1754">
        <v>45313</v>
      </c>
      <c r="B40" s="1748" t="str">
        <f>TiposLancamentos!B103</f>
        <v>Juros_Corr. Poupança</v>
      </c>
      <c r="C40" s="1740" t="s">
        <v>10091</v>
      </c>
      <c r="D40" s="1736">
        <v>0.12</v>
      </c>
      <c r="E40" s="952"/>
      <c r="F40" s="1027"/>
      <c r="G40" s="1550"/>
    </row>
    <row r="41" spans="1:7">
      <c r="A41" s="1754">
        <v>45324</v>
      </c>
      <c r="B41" s="1748" t="str">
        <f>TiposLancamentos!B105</f>
        <v>Transf. Bco</v>
      </c>
      <c r="C41" s="1740" t="s">
        <v>10085</v>
      </c>
      <c r="D41" s="1736">
        <v>5633.8</v>
      </c>
      <c r="E41" s="952"/>
      <c r="F41" s="1027"/>
      <c r="G41" s="1550"/>
    </row>
    <row r="42" spans="1:7">
      <c r="A42" s="1754">
        <v>45324</v>
      </c>
      <c r="B42" s="1748" t="str">
        <f>TiposLancamentos!B16</f>
        <v>Cristiane</v>
      </c>
      <c r="C42" s="1740" t="s">
        <v>10092</v>
      </c>
      <c r="D42" s="1736"/>
      <c r="E42" s="952">
        <v>4517.25</v>
      </c>
      <c r="F42" s="1027"/>
      <c r="G42" s="1550"/>
    </row>
    <row r="43" spans="1:7">
      <c r="A43" s="1754">
        <v>45324</v>
      </c>
      <c r="B43" s="1748" t="str">
        <f>TiposLancamentos!B13</f>
        <v>Moradia</v>
      </c>
      <c r="C43" s="1740" t="s">
        <v>8733</v>
      </c>
      <c r="D43" s="1736"/>
      <c r="E43" s="952">
        <v>16</v>
      </c>
      <c r="F43" s="1027"/>
      <c r="G43" s="1550"/>
    </row>
    <row r="44" spans="1:7">
      <c r="A44" s="1754">
        <v>45330</v>
      </c>
      <c r="B44" s="1748" t="str">
        <f>TiposLancamentos!B40</f>
        <v>PS Vita Slim 2k</v>
      </c>
      <c r="C44" s="1740" t="s">
        <v>10093</v>
      </c>
      <c r="D44" s="1736"/>
      <c r="E44" s="952">
        <v>350</v>
      </c>
      <c r="F44" s="1027"/>
      <c r="G44" s="1550"/>
    </row>
    <row r="45" spans="1:7">
      <c r="A45" s="1754">
        <v>45331</v>
      </c>
      <c r="B45" s="1748" t="str">
        <f>TiposLancamentos!B105</f>
        <v>Transf. Bco</v>
      </c>
      <c r="C45" s="1740" t="s">
        <v>10094</v>
      </c>
      <c r="D45" s="1736">
        <v>10850.95</v>
      </c>
      <c r="E45" s="952"/>
      <c r="F45" s="1027"/>
      <c r="G45" s="1550"/>
    </row>
    <row r="46" spans="1:7">
      <c r="A46" s="1754">
        <v>45331</v>
      </c>
      <c r="B46" s="1748" t="str">
        <f>TiposLancamentos!B13</f>
        <v>Moradia</v>
      </c>
      <c r="C46" s="1740" t="s">
        <v>8733</v>
      </c>
      <c r="D46" s="1736"/>
      <c r="E46" s="952">
        <v>16</v>
      </c>
      <c r="F46" s="1027"/>
      <c r="G46" s="1550"/>
    </row>
    <row r="47" spans="1:7">
      <c r="A47" s="1754">
        <v>45331</v>
      </c>
      <c r="B47" s="1748" t="str">
        <f>TiposLancamentos!B42</f>
        <v>PSP FAT 1K</v>
      </c>
      <c r="C47" s="1740" t="s">
        <v>10095</v>
      </c>
      <c r="D47" s="1736"/>
      <c r="E47" s="952">
        <v>475</v>
      </c>
      <c r="F47" s="1027"/>
      <c r="G47" s="1550"/>
    </row>
    <row r="48" spans="1:7">
      <c r="A48" s="1754">
        <v>45332</v>
      </c>
      <c r="B48" s="1748" t="str">
        <f>TiposLancamentos!B46</f>
        <v>Maçonaria</v>
      </c>
      <c r="C48" s="1740" t="s">
        <v>10096</v>
      </c>
      <c r="D48" s="1736"/>
      <c r="E48" s="952">
        <v>210</v>
      </c>
      <c r="F48" s="1027"/>
      <c r="G48" s="1550"/>
    </row>
    <row r="49" spans="1:7">
      <c r="A49" s="1754">
        <v>45336</v>
      </c>
      <c r="B49" s="1748" t="str">
        <f>TiposLancamentos!B103</f>
        <v>Juros_Corr. Poupança</v>
      </c>
      <c r="C49" s="1740" t="s">
        <v>7341</v>
      </c>
      <c r="D49" s="1736">
        <v>5.35</v>
      </c>
      <c r="E49" s="952"/>
      <c r="F49" s="1027"/>
      <c r="G49" s="1550"/>
    </row>
    <row r="50" spans="1:7">
      <c r="A50" s="1754">
        <v>45337</v>
      </c>
      <c r="B50" s="1748" t="str">
        <f>TiposLancamentos!B105</f>
        <v>Transf. Bco</v>
      </c>
      <c r="C50" s="1740" t="s">
        <v>10097</v>
      </c>
      <c r="D50" s="1736"/>
      <c r="E50" s="952">
        <v>488.38</v>
      </c>
      <c r="F50" s="1027"/>
      <c r="G50" s="1550"/>
    </row>
    <row r="51" spans="1:7">
      <c r="A51" s="1754">
        <v>45337</v>
      </c>
      <c r="B51" s="1754" t="str">
        <f>TiposLancamentos!B2</f>
        <v>Telefonia</v>
      </c>
      <c r="C51" s="1040" t="s">
        <v>8797</v>
      </c>
      <c r="D51" s="1736"/>
      <c r="E51" s="952">
        <v>65.5</v>
      </c>
      <c r="F51" s="1027"/>
      <c r="G51" s="1550"/>
    </row>
    <row r="52" spans="1:7">
      <c r="A52" s="1754">
        <v>45340</v>
      </c>
      <c r="B52" s="1748" t="str">
        <f>TiposLancamentos!B19</f>
        <v>Restaurantes</v>
      </c>
      <c r="C52" s="1740" t="s">
        <v>10098</v>
      </c>
      <c r="D52" s="1736"/>
      <c r="E52" s="952">
        <v>216.96</v>
      </c>
      <c r="F52" s="1027"/>
      <c r="G52" s="1550"/>
    </row>
    <row r="53" spans="1:7">
      <c r="A53" s="1754">
        <v>45340</v>
      </c>
      <c r="B53" s="1748" t="str">
        <f>TiposLancamentos!B5</f>
        <v>Supermercado</v>
      </c>
      <c r="C53" s="1740" t="s">
        <v>10099</v>
      </c>
      <c r="D53" s="1736"/>
      <c r="E53" s="952">
        <v>56.76</v>
      </c>
      <c r="F53" s="1027"/>
      <c r="G53" s="1550"/>
    </row>
    <row r="54" spans="1:7">
      <c r="A54" s="1754">
        <v>45341</v>
      </c>
      <c r="B54" s="1748" t="str">
        <f>TiposLancamentos!B103</f>
        <v>Juros_Corr. Poupança</v>
      </c>
      <c r="C54" s="1740" t="s">
        <v>7341</v>
      </c>
      <c r="D54" s="1736">
        <v>10.5</v>
      </c>
      <c r="E54" s="952"/>
      <c r="F54" s="1027"/>
      <c r="G54" s="1550"/>
    </row>
    <row r="55" spans="1:7">
      <c r="A55" s="1666">
        <v>45341</v>
      </c>
      <c r="B55" s="1751" t="str">
        <f>TiposLancamentos!B57</f>
        <v>Informática</v>
      </c>
      <c r="C55" s="1744" t="s">
        <v>10100</v>
      </c>
      <c r="D55" s="1735"/>
      <c r="E55" s="920">
        <v>39.94</v>
      </c>
      <c r="F55" s="1614"/>
      <c r="G55" s="1550"/>
    </row>
    <row r="56" spans="1:7">
      <c r="A56" s="1750">
        <v>45341</v>
      </c>
      <c r="B56" s="1753" t="str">
        <f>TiposLancamentos!B60</f>
        <v>Correio</v>
      </c>
      <c r="C56" s="1746" t="s">
        <v>10101</v>
      </c>
      <c r="D56" s="1737"/>
      <c r="E56" s="922">
        <f>F56-E55</f>
        <v>12.990000000000002</v>
      </c>
      <c r="F56" s="1548">
        <v>52.93</v>
      </c>
      <c r="G56" s="1550"/>
    </row>
    <row r="57" spans="1:7">
      <c r="A57" s="1754"/>
      <c r="B57" s="1754"/>
      <c r="C57" s="1040" t="s">
        <v>1868</v>
      </c>
      <c r="D57" s="1736"/>
      <c r="E57" s="952"/>
      <c r="F57" s="1027"/>
      <c r="G57" s="1550"/>
    </row>
    <row r="58" spans="1:7">
      <c r="A58" s="1666">
        <v>45342</v>
      </c>
      <c r="B58" s="1751" t="str">
        <f>TiposLancamentos!B8</f>
        <v>Aluguel</v>
      </c>
      <c r="C58" s="1744" t="s">
        <v>9047</v>
      </c>
      <c r="D58" s="1735"/>
      <c r="E58" s="920">
        <f>F64-SUM(E59:E64)</f>
        <v>1631.83</v>
      </c>
      <c r="F58" s="1614"/>
      <c r="G58" s="1550"/>
    </row>
    <row r="59" spans="1:7">
      <c r="A59" s="1667">
        <v>45342</v>
      </c>
      <c r="B59" s="1752" t="str">
        <f>TiposLancamentos!B12</f>
        <v>IPTU</v>
      </c>
      <c r="C59" s="1745" t="s">
        <v>9048</v>
      </c>
      <c r="D59" s="1736"/>
      <c r="E59" s="931">
        <v>62.93</v>
      </c>
      <c r="F59" s="1027"/>
      <c r="G59" s="1550"/>
    </row>
    <row r="60" spans="1:7">
      <c r="A60" s="1667">
        <v>45342</v>
      </c>
      <c r="B60" s="1752" t="str">
        <f>TiposLancamentos!B12</f>
        <v>IPTU</v>
      </c>
      <c r="C60" s="1745" t="s">
        <v>10102</v>
      </c>
      <c r="D60" s="1736"/>
      <c r="E60" s="931">
        <v>28.43</v>
      </c>
      <c r="F60" s="1027"/>
      <c r="G60" s="1550"/>
    </row>
    <row r="61" spans="1:7">
      <c r="A61" s="1667">
        <v>45342</v>
      </c>
      <c r="B61" s="1752" t="str">
        <f>TiposLancamentos!B10</f>
        <v>Distr. Água Municipal</v>
      </c>
      <c r="C61" s="1745" t="s">
        <v>7423</v>
      </c>
      <c r="D61" s="1736"/>
      <c r="E61" s="931">
        <v>76.69</v>
      </c>
      <c r="F61" s="1027"/>
      <c r="G61" s="1550"/>
    </row>
    <row r="62" spans="1:7">
      <c r="A62" s="1667">
        <v>45342</v>
      </c>
      <c r="B62" s="1752" t="str">
        <f>TiposLancamentos!B11</f>
        <v>Coleta Municipal Lixo</v>
      </c>
      <c r="C62" s="1745" t="s">
        <v>7424</v>
      </c>
      <c r="D62" s="1736"/>
      <c r="E62" s="931">
        <v>57.43</v>
      </c>
      <c r="F62" s="1027"/>
      <c r="G62" s="1550"/>
    </row>
    <row r="63" spans="1:7">
      <c r="A63" s="1667">
        <v>45342</v>
      </c>
      <c r="B63" s="1752" t="str">
        <f>TiposLancamentos!B8</f>
        <v>Aluguel</v>
      </c>
      <c r="C63" s="1745" t="s">
        <v>8955</v>
      </c>
      <c r="D63" s="1736"/>
      <c r="E63" s="931">
        <v>8</v>
      </c>
      <c r="F63" s="1027"/>
      <c r="G63" s="1027"/>
    </row>
    <row r="64" spans="1:7">
      <c r="A64" s="1750">
        <v>45342</v>
      </c>
      <c r="B64" s="1753" t="str">
        <f>TiposLancamentos!B9</f>
        <v>Condominio</v>
      </c>
      <c r="C64" s="1746" t="s">
        <v>7427</v>
      </c>
      <c r="D64" s="1737"/>
      <c r="E64" s="922">
        <v>616.37</v>
      </c>
      <c r="F64" s="1548">
        <v>2481.6799999999998</v>
      </c>
      <c r="G64" s="1550"/>
    </row>
    <row r="65" spans="1:7">
      <c r="A65" s="1754"/>
      <c r="B65" s="1754"/>
      <c r="C65" s="1040" t="s">
        <v>1868</v>
      </c>
      <c r="D65" s="1736"/>
      <c r="E65" s="952"/>
      <c r="F65" s="1027"/>
      <c r="G65" s="1550"/>
    </row>
    <row r="66" spans="1:7">
      <c r="A66" s="1754">
        <v>45342</v>
      </c>
      <c r="B66" s="1754" t="str">
        <f>TiposLancamentos!B24</f>
        <v>Estacionamentos</v>
      </c>
      <c r="C66" s="1040" t="s">
        <v>1898</v>
      </c>
      <c r="D66" s="1736"/>
      <c r="E66" s="952">
        <v>18</v>
      </c>
      <c r="F66" s="1027"/>
      <c r="G66" s="1550"/>
    </row>
    <row r="67" spans="1:7">
      <c r="A67" s="1754">
        <v>45343</v>
      </c>
      <c r="B67" s="1754" t="str">
        <f>TiposLancamentos!B56</f>
        <v>Farmácia</v>
      </c>
      <c r="C67" s="1040" t="s">
        <v>10103</v>
      </c>
      <c r="D67" s="1736"/>
      <c r="E67" s="952">
        <v>75.69</v>
      </c>
      <c r="F67" s="1027"/>
      <c r="G67" s="1550"/>
    </row>
    <row r="68" spans="1:7">
      <c r="A68" s="1754">
        <v>45343</v>
      </c>
      <c r="B68" s="1754" t="str">
        <f>TiposLancamentos!B6</f>
        <v>Energia Eletrica</v>
      </c>
      <c r="C68" s="1040" t="s">
        <v>10104</v>
      </c>
      <c r="D68" s="1736"/>
      <c r="E68" s="952">
        <v>160.63999999999999</v>
      </c>
      <c r="F68" s="1027"/>
      <c r="G68" s="1550"/>
    </row>
    <row r="69" spans="1:7">
      <c r="A69" s="1754">
        <v>45344</v>
      </c>
      <c r="B69" s="1748" t="str">
        <f>TiposLancamentos!B57</f>
        <v>Informática</v>
      </c>
      <c r="C69" s="1740" t="s">
        <v>10105</v>
      </c>
      <c r="D69" s="1736"/>
      <c r="E69" s="952">
        <v>815.28</v>
      </c>
      <c r="F69" s="1027"/>
      <c r="G69" s="1550"/>
    </row>
    <row r="70" spans="1:7">
      <c r="A70" s="1754">
        <v>45345</v>
      </c>
      <c r="B70" s="1748" t="str">
        <f>TiposLancamentos!B103</f>
        <v>Juros_Corr. Poupança</v>
      </c>
      <c r="C70" s="1740" t="s">
        <v>7341</v>
      </c>
      <c r="D70" s="1736">
        <v>7.64</v>
      </c>
      <c r="E70" s="952"/>
      <c r="F70" s="1027"/>
      <c r="G70" s="1550"/>
    </row>
    <row r="71" spans="1:7">
      <c r="A71" s="1754">
        <v>45345</v>
      </c>
      <c r="B71" s="1748" t="str">
        <f>TiposLancamentos!B13</f>
        <v>Moradia</v>
      </c>
      <c r="C71" s="1740" t="s">
        <v>10106</v>
      </c>
      <c r="D71" s="1736"/>
      <c r="E71" s="952">
        <v>16</v>
      </c>
      <c r="F71" s="1027"/>
      <c r="G71" s="1550"/>
    </row>
    <row r="72" spans="1:7">
      <c r="A72" s="1666">
        <v>45345</v>
      </c>
      <c r="B72" s="1751" t="str">
        <f>TiposLancamentos!B36</f>
        <v>Playstation 2</v>
      </c>
      <c r="C72" s="1744" t="s">
        <v>10107</v>
      </c>
      <c r="D72" s="1735"/>
      <c r="E72" s="920">
        <v>115.49</v>
      </c>
      <c r="F72" s="1614"/>
      <c r="G72" s="1550"/>
    </row>
    <row r="73" spans="1:7">
      <c r="A73" s="1750">
        <v>45345</v>
      </c>
      <c r="B73" s="1753" t="str">
        <f>TiposLancamentos!B60</f>
        <v>Correio</v>
      </c>
      <c r="C73" s="1746" t="s">
        <v>10108</v>
      </c>
      <c r="D73" s="1737"/>
      <c r="E73" s="922">
        <v>32.47</v>
      </c>
      <c r="F73" s="1548">
        <f>SUM(E72:E73)</f>
        <v>147.95999999999998</v>
      </c>
      <c r="G73" s="1550"/>
    </row>
    <row r="74" spans="1:7">
      <c r="A74" s="1754">
        <v>45345</v>
      </c>
      <c r="B74" s="1748" t="str">
        <f>TiposLancamentos!B17</f>
        <v>GATO</v>
      </c>
      <c r="C74" s="1740" t="s">
        <v>9084</v>
      </c>
      <c r="D74" s="1736"/>
      <c r="E74" s="952">
        <v>38.44</v>
      </c>
      <c r="F74" s="1027"/>
      <c r="G74" s="1550"/>
    </row>
    <row r="75" spans="1:7">
      <c r="A75" s="1754">
        <v>45346</v>
      </c>
      <c r="B75" s="1748" t="str">
        <f>TiposLancamentos!B5</f>
        <v>Supermercado</v>
      </c>
      <c r="C75" s="1740" t="s">
        <v>1942</v>
      </c>
      <c r="D75" s="1736"/>
      <c r="E75" s="952">
        <v>83.53</v>
      </c>
      <c r="F75" s="1027"/>
      <c r="G75" s="1550"/>
    </row>
    <row r="76" spans="1:7">
      <c r="A76" s="1754">
        <v>45347</v>
      </c>
      <c r="B76" s="1748" t="str">
        <f>TiposLancamentos!B5</f>
        <v>Supermercado</v>
      </c>
      <c r="C76" s="1740" t="s">
        <v>1884</v>
      </c>
      <c r="D76" s="1736"/>
      <c r="E76" s="952">
        <v>13.49</v>
      </c>
      <c r="F76" s="1027"/>
      <c r="G76" s="1550"/>
    </row>
    <row r="77" spans="1:7">
      <c r="A77" s="1754">
        <v>45347</v>
      </c>
      <c r="B77" s="1748" t="str">
        <f>TiposLancamentos!B5</f>
        <v>Supermercado</v>
      </c>
      <c r="C77" s="1740" t="s">
        <v>1884</v>
      </c>
      <c r="D77" s="1736"/>
      <c r="E77" s="952">
        <v>13.88</v>
      </c>
      <c r="F77" s="1027"/>
      <c r="G77" s="1550"/>
    </row>
    <row r="78" spans="1:7">
      <c r="A78" s="1754">
        <v>45347</v>
      </c>
      <c r="B78" s="1748" t="str">
        <f>TiposLancamentos!B5</f>
        <v>Supermercado</v>
      </c>
      <c r="C78" s="1740" t="s">
        <v>1884</v>
      </c>
      <c r="D78" s="1736"/>
      <c r="E78" s="952">
        <v>7.77</v>
      </c>
      <c r="F78" s="1027"/>
      <c r="G78" s="1550"/>
    </row>
    <row r="79" spans="1:7">
      <c r="A79" s="1754">
        <v>45348</v>
      </c>
      <c r="B79" s="1748" t="str">
        <f>TiposLancamentos!B19</f>
        <v>Restaurantes</v>
      </c>
      <c r="C79" s="1740" t="s">
        <v>10109</v>
      </c>
      <c r="D79" s="1736"/>
      <c r="E79" s="952">
        <v>10.5</v>
      </c>
      <c r="F79" s="1027"/>
      <c r="G79" s="1550"/>
    </row>
    <row r="80" spans="1:7">
      <c r="A80" s="1754">
        <v>45348</v>
      </c>
      <c r="B80" s="1748" t="str">
        <f>TiposLancamentos!B19</f>
        <v>Restaurantes</v>
      </c>
      <c r="C80" s="1740" t="s">
        <v>10110</v>
      </c>
      <c r="D80" s="1736"/>
      <c r="E80" s="952">
        <v>42.55</v>
      </c>
      <c r="F80" s="1027"/>
      <c r="G80" s="1550"/>
    </row>
    <row r="81" spans="1:7">
      <c r="A81" s="1754">
        <v>45348</v>
      </c>
      <c r="B81" s="1748" t="str">
        <f>TiposLancamentos!B13</f>
        <v>Moradia</v>
      </c>
      <c r="C81" s="1740" t="s">
        <v>10111</v>
      </c>
      <c r="D81" s="1736"/>
      <c r="E81" s="952">
        <v>34.200000000000003</v>
      </c>
      <c r="F81" s="1027"/>
      <c r="G81" s="1550"/>
    </row>
    <row r="82" spans="1:7">
      <c r="A82" s="1754">
        <v>45348</v>
      </c>
      <c r="B82" s="1748" t="str">
        <f>TiposLancamentos!B56</f>
        <v>Farmácia</v>
      </c>
      <c r="C82" s="1740" t="s">
        <v>10112</v>
      </c>
      <c r="D82" s="1736"/>
      <c r="E82" s="952">
        <v>329.01</v>
      </c>
      <c r="F82" s="1027"/>
      <c r="G82" s="1550"/>
    </row>
    <row r="83" spans="1:7">
      <c r="A83" s="1754">
        <v>45348</v>
      </c>
      <c r="B83" s="1748" t="str">
        <f>TiposLancamentos!B102</f>
        <v>ESTORNO</v>
      </c>
      <c r="C83" s="1740" t="s">
        <v>10112</v>
      </c>
      <c r="D83" s="1736">
        <v>329.01</v>
      </c>
      <c r="E83" s="952"/>
      <c r="F83" s="1027"/>
      <c r="G83" s="1550"/>
    </row>
    <row r="84" spans="1:7">
      <c r="A84" s="1754">
        <v>45348</v>
      </c>
      <c r="B84" s="1748" t="str">
        <f>TiposLancamentos!B56</f>
        <v>Farmácia</v>
      </c>
      <c r="C84" s="1740" t="s">
        <v>10113</v>
      </c>
      <c r="D84" s="1736"/>
      <c r="E84" s="952">
        <v>329.01</v>
      </c>
      <c r="F84" s="1027"/>
      <c r="G84" s="1550"/>
    </row>
    <row r="85" spans="1:7">
      <c r="A85" s="1666">
        <v>45348</v>
      </c>
      <c r="B85" s="1751" t="str">
        <f>TiposLancamentos!B56</f>
        <v>Farmácia</v>
      </c>
      <c r="C85" s="1744" t="s">
        <v>10114</v>
      </c>
      <c r="D85" s="1735"/>
      <c r="E85" s="920">
        <f>F86-E86</f>
        <v>19.25</v>
      </c>
      <c r="F85" s="1614"/>
      <c r="G85" s="1550"/>
    </row>
    <row r="86" spans="1:7">
      <c r="A86" s="1750">
        <v>45348</v>
      </c>
      <c r="B86" s="1753" t="str">
        <f>TiposLancamentos!B16</f>
        <v>Cristiane</v>
      </c>
      <c r="C86" s="1746" t="s">
        <v>10115</v>
      </c>
      <c r="D86" s="1737"/>
      <c r="E86" s="922">
        <f>14.9+19.6</f>
        <v>34.5</v>
      </c>
      <c r="F86" s="1548">
        <v>53.75</v>
      </c>
      <c r="G86" s="1550"/>
    </row>
    <row r="87" spans="1:7">
      <c r="A87" s="1754">
        <v>45349</v>
      </c>
      <c r="B87" s="1748" t="str">
        <f>TiposLancamentos!B13</f>
        <v>Moradia</v>
      </c>
      <c r="C87" s="1740" t="s">
        <v>10116</v>
      </c>
      <c r="D87" s="1736"/>
      <c r="E87" s="952">
        <v>200</v>
      </c>
      <c r="F87" s="1027"/>
      <c r="G87" s="1550"/>
    </row>
    <row r="88" spans="1:7">
      <c r="A88" s="1754">
        <v>45349</v>
      </c>
      <c r="B88" s="1748" t="str">
        <f>TiposLancamentos!B24</f>
        <v>Estacionamentos</v>
      </c>
      <c r="C88" s="1740" t="s">
        <v>8755</v>
      </c>
      <c r="D88" s="1736"/>
      <c r="E88" s="952">
        <v>18</v>
      </c>
      <c r="F88" s="1027"/>
      <c r="G88" s="1550"/>
    </row>
    <row r="89" spans="1:7">
      <c r="A89" s="1754">
        <v>45349</v>
      </c>
      <c r="B89" s="1748" t="str">
        <f>TiposLancamentos!B103</f>
        <v>Juros_Corr. Poupança</v>
      </c>
      <c r="C89" s="1740" t="s">
        <v>7341</v>
      </c>
      <c r="D89" s="1736">
        <v>6.17</v>
      </c>
      <c r="E89" s="952"/>
      <c r="F89" s="1027"/>
      <c r="G89" s="1550"/>
    </row>
    <row r="90" spans="1:7">
      <c r="A90" s="1754">
        <v>45350</v>
      </c>
      <c r="B90" s="1748" t="str">
        <f>TiposLancamentos!B24</f>
        <v>Estacionamentos</v>
      </c>
      <c r="C90" s="1740" t="s">
        <v>10117</v>
      </c>
      <c r="D90" s="1736"/>
      <c r="E90" s="952">
        <v>30</v>
      </c>
      <c r="F90" s="1027"/>
      <c r="G90" s="1550"/>
    </row>
    <row r="91" spans="1:7">
      <c r="A91" s="1754">
        <v>45350</v>
      </c>
      <c r="B91" s="1748" t="str">
        <f>TiposLancamentos!B103</f>
        <v>Juros_Corr. Poupança</v>
      </c>
      <c r="C91" s="1740" t="s">
        <v>7341</v>
      </c>
      <c r="D91" s="1736">
        <v>1.86</v>
      </c>
      <c r="E91" s="952"/>
      <c r="F91" s="1027"/>
      <c r="G91" s="1550"/>
    </row>
    <row r="92" spans="1:7">
      <c r="A92" s="1754">
        <v>45351</v>
      </c>
      <c r="B92" s="1748" t="str">
        <f>TiposLancamentos!B105</f>
        <v>Transf. Bco</v>
      </c>
      <c r="C92" s="1740" t="s">
        <v>10094</v>
      </c>
      <c r="D92" s="1736">
        <v>8000</v>
      </c>
      <c r="E92" s="952"/>
      <c r="F92" s="1027"/>
      <c r="G92" s="1550"/>
    </row>
    <row r="93" spans="1:7">
      <c r="A93" s="1754">
        <v>45351</v>
      </c>
      <c r="B93" s="1748" t="str">
        <f>TiposLancamentos!B105</f>
        <v>Transf. Bco</v>
      </c>
      <c r="C93" s="1740" t="s">
        <v>10118</v>
      </c>
      <c r="D93" s="1736"/>
      <c r="E93" s="952">
        <v>4.24</v>
      </c>
      <c r="F93" s="1027"/>
      <c r="G93" s="1550"/>
    </row>
    <row r="94" spans="1:7">
      <c r="A94" s="1754">
        <v>45351</v>
      </c>
      <c r="B94" s="1748" t="str">
        <f>TiposLancamentos!B103</f>
        <v>Juros_Corr. Poupança</v>
      </c>
      <c r="C94" s="1740" t="s">
        <v>7341</v>
      </c>
      <c r="D94" s="1736">
        <v>1.86</v>
      </c>
      <c r="E94" s="952"/>
      <c r="F94" s="1027"/>
      <c r="G94" s="1550"/>
    </row>
    <row r="95" spans="1:7">
      <c r="A95" s="1754">
        <v>45352</v>
      </c>
      <c r="B95" s="1748" t="str">
        <f>TiposLancamentos!B15</f>
        <v>Cartões de Crédito</v>
      </c>
      <c r="C95" s="1040" t="s">
        <v>8772</v>
      </c>
      <c r="D95" s="1736"/>
      <c r="E95" s="952">
        <v>961.31</v>
      </c>
      <c r="F95" s="1027"/>
      <c r="G95" s="1550"/>
    </row>
    <row r="96" spans="1:7">
      <c r="A96" s="1754">
        <v>45352</v>
      </c>
      <c r="B96" s="1748" t="str">
        <f>TiposLancamentos!B15</f>
        <v>Cartões de Crédito</v>
      </c>
      <c r="C96" s="1040" t="s">
        <v>9153</v>
      </c>
      <c r="D96" s="1736"/>
      <c r="E96" s="952">
        <v>1511.05</v>
      </c>
      <c r="F96" s="1027"/>
      <c r="G96" s="1550"/>
    </row>
    <row r="97" spans="1:7">
      <c r="A97" s="1754">
        <v>45352</v>
      </c>
      <c r="B97" s="1748" t="str">
        <f>TiposLancamentos!B15</f>
        <v>Cartões de Crédito</v>
      </c>
      <c r="C97" s="1040" t="s">
        <v>8016</v>
      </c>
      <c r="D97" s="1736"/>
      <c r="E97" s="952">
        <v>2393.08</v>
      </c>
      <c r="F97" s="1027"/>
      <c r="G97" s="1550"/>
    </row>
    <row r="98" spans="1:7">
      <c r="A98" s="1754">
        <v>45352</v>
      </c>
      <c r="B98" s="1748" t="str">
        <f>TiposLancamentos!B15</f>
        <v>Cartões de Crédito</v>
      </c>
      <c r="C98" s="1040" t="s">
        <v>9175</v>
      </c>
      <c r="D98" s="1736"/>
      <c r="E98" s="952">
        <v>300</v>
      </c>
      <c r="F98" s="1027"/>
      <c r="G98" s="1550"/>
    </row>
    <row r="99" spans="1:7">
      <c r="A99" s="1754">
        <v>45352</v>
      </c>
      <c r="B99" s="1748" t="str">
        <f>TiposLancamentos!B15</f>
        <v>Cartões de Crédito</v>
      </c>
      <c r="C99" s="1040" t="s">
        <v>9174</v>
      </c>
      <c r="D99" s="1736"/>
      <c r="E99" s="952">
        <v>90.05</v>
      </c>
      <c r="F99" s="1027"/>
      <c r="G99" s="1550"/>
    </row>
    <row r="100" spans="1:7">
      <c r="A100" s="1754">
        <v>45352</v>
      </c>
      <c r="B100" s="1748" t="str">
        <f>TiposLancamentos!B15</f>
        <v>Cartões de Crédito</v>
      </c>
      <c r="C100" s="1040" t="s">
        <v>9173</v>
      </c>
      <c r="D100" s="1736"/>
      <c r="E100" s="952">
        <v>1565.34</v>
      </c>
      <c r="F100" s="1027"/>
      <c r="G100" s="1550"/>
    </row>
    <row r="101" spans="1:7">
      <c r="A101" s="1754">
        <v>45352</v>
      </c>
      <c r="B101" s="1748" t="str">
        <f>TiposLancamentos!B14</f>
        <v>Gás de cozinha</v>
      </c>
      <c r="C101" s="1040" t="s">
        <v>9132</v>
      </c>
      <c r="D101" s="1736"/>
      <c r="E101" s="952">
        <v>50.81</v>
      </c>
      <c r="F101" s="1027"/>
      <c r="G101" s="1550"/>
    </row>
    <row r="102" spans="1:7">
      <c r="A102" s="1754">
        <v>45352</v>
      </c>
      <c r="B102" s="1748" t="str">
        <f>TiposLancamentos!B13</f>
        <v>Moradia</v>
      </c>
      <c r="C102" s="1740" t="s">
        <v>10106</v>
      </c>
      <c r="D102" s="1736"/>
      <c r="E102" s="952">
        <v>16</v>
      </c>
      <c r="F102" s="1027"/>
      <c r="G102" s="1550"/>
    </row>
    <row r="103" spans="1:7">
      <c r="A103" s="1666">
        <v>45354</v>
      </c>
      <c r="B103" s="1751" t="str">
        <f>TiposLancamentos!B37</f>
        <v>Playstation 3</v>
      </c>
      <c r="C103" s="1744" t="s">
        <v>10119</v>
      </c>
      <c r="D103" s="1735"/>
      <c r="E103" s="920">
        <v>35</v>
      </c>
      <c r="F103" s="1614"/>
      <c r="G103" s="1550"/>
    </row>
    <row r="104" spans="1:7">
      <c r="A104" s="1667">
        <v>45354</v>
      </c>
      <c r="B104" s="1752" t="str">
        <f>TiposLancamentos!B37</f>
        <v>Playstation 3</v>
      </c>
      <c r="C104" s="1745" t="s">
        <v>10120</v>
      </c>
      <c r="D104" s="1736"/>
      <c r="E104" s="931">
        <v>35</v>
      </c>
      <c r="F104" s="1027"/>
      <c r="G104" s="1550"/>
    </row>
    <row r="105" spans="1:7">
      <c r="A105" s="1750">
        <v>45354</v>
      </c>
      <c r="B105" s="1753" t="str">
        <f>TiposLancamentos!B60</f>
        <v>Correio</v>
      </c>
      <c r="C105" s="1746" t="s">
        <v>10121</v>
      </c>
      <c r="D105" s="1737"/>
      <c r="E105" s="922">
        <v>15</v>
      </c>
      <c r="F105" s="1548">
        <f>SUM(E103:E105)</f>
        <v>85</v>
      </c>
      <c r="G105" s="1550"/>
    </row>
    <row r="106" spans="1:7">
      <c r="A106" s="1754">
        <v>45355</v>
      </c>
      <c r="B106" s="1748" t="str">
        <f>TiposLancamentos!B56</f>
        <v>Farmácia</v>
      </c>
      <c r="C106" s="1740" t="s">
        <v>10122</v>
      </c>
      <c r="D106" s="1736"/>
      <c r="E106" s="952">
        <v>18.11</v>
      </c>
      <c r="F106" s="1027"/>
      <c r="G106" s="1550"/>
    </row>
    <row r="107" spans="1:7">
      <c r="A107" s="1754">
        <v>45355</v>
      </c>
      <c r="B107" s="1748" t="str">
        <f>TiposLancamentos!B103</f>
        <v>Juros_Corr. Poupança</v>
      </c>
      <c r="C107" s="1740" t="s">
        <v>7341</v>
      </c>
      <c r="D107" s="1736">
        <v>4.58</v>
      </c>
      <c r="E107" s="952"/>
      <c r="F107" s="1027"/>
      <c r="G107" s="1550"/>
    </row>
    <row r="108" spans="1:7">
      <c r="A108" s="1754">
        <v>45356</v>
      </c>
      <c r="B108" s="1748" t="str">
        <f>TiposLancamentos!B71</f>
        <v>Itens Pessoais</v>
      </c>
      <c r="C108" s="1740" t="s">
        <v>2035</v>
      </c>
      <c r="D108" s="1736"/>
      <c r="E108" s="952">
        <v>30</v>
      </c>
      <c r="F108" s="1027"/>
      <c r="G108" s="1550"/>
    </row>
    <row r="109" spans="1:7">
      <c r="A109" s="1754">
        <v>45356</v>
      </c>
      <c r="B109" s="1748" t="str">
        <f>TiposLancamentos!B24</f>
        <v>Estacionamentos</v>
      </c>
      <c r="C109" s="1740" t="s">
        <v>1898</v>
      </c>
      <c r="D109" s="1736"/>
      <c r="E109" s="952">
        <v>18</v>
      </c>
      <c r="F109" s="1027"/>
      <c r="G109" s="1550"/>
    </row>
    <row r="110" spans="1:7">
      <c r="A110" s="1754">
        <v>45356</v>
      </c>
      <c r="B110" s="1748" t="str">
        <f>TiposLancamentos!B19</f>
        <v>Restaurantes</v>
      </c>
      <c r="C110" s="1740" t="s">
        <v>1967</v>
      </c>
      <c r="D110" s="1736"/>
      <c r="E110" s="952">
        <v>48.4</v>
      </c>
      <c r="F110" s="1027"/>
      <c r="G110" s="1550"/>
    </row>
    <row r="111" spans="1:7">
      <c r="A111" s="1754">
        <v>45356</v>
      </c>
      <c r="B111" s="1748" t="str">
        <f>TiposLancamentos!B103</f>
        <v>Juros_Corr. Poupança</v>
      </c>
      <c r="C111" s="1740" t="s">
        <v>7341</v>
      </c>
      <c r="D111" s="1736">
        <v>4.41</v>
      </c>
      <c r="E111" s="952"/>
      <c r="F111" s="1027"/>
      <c r="G111" s="1550"/>
    </row>
    <row r="112" spans="1:7">
      <c r="A112" s="1754">
        <v>45357</v>
      </c>
      <c r="B112" s="1748" t="str">
        <f>TiposLancamentos!B105</f>
        <v>Transf. Bco</v>
      </c>
      <c r="C112" s="1740" t="s">
        <v>10118</v>
      </c>
      <c r="D112" s="1736"/>
      <c r="E112" s="952">
        <v>204.2</v>
      </c>
      <c r="F112" s="1027"/>
      <c r="G112" s="1550"/>
    </row>
    <row r="113" spans="1:7">
      <c r="A113" s="1754">
        <v>45357</v>
      </c>
      <c r="B113" s="1748" t="str">
        <f>TiposLancamentos!B5</f>
        <v>Supermercado</v>
      </c>
      <c r="C113" s="1740" t="s">
        <v>8274</v>
      </c>
      <c r="D113" s="1736"/>
      <c r="E113" s="952">
        <v>115.29</v>
      </c>
      <c r="F113" s="1027"/>
      <c r="G113" s="1550"/>
    </row>
    <row r="114" spans="1:7">
      <c r="A114" s="1754">
        <v>45357</v>
      </c>
      <c r="B114" s="1748" t="str">
        <f>TiposLancamentos!B103</f>
        <v>Juros_Corr. Poupança</v>
      </c>
      <c r="C114" s="1740" t="s">
        <v>7341</v>
      </c>
      <c r="D114" s="1736">
        <v>1.68</v>
      </c>
      <c r="E114" s="952"/>
      <c r="F114" s="1027"/>
      <c r="G114" s="1550"/>
    </row>
    <row r="115" spans="1:7">
      <c r="A115" s="1754">
        <v>45358</v>
      </c>
      <c r="B115" s="1748" t="str">
        <f>TiposLancamentos!B105</f>
        <v>Transf. Bco</v>
      </c>
      <c r="C115" s="1740" t="s">
        <v>10118</v>
      </c>
      <c r="D115" s="1736"/>
      <c r="E115" s="952">
        <v>12.34</v>
      </c>
      <c r="F115" s="1027"/>
      <c r="G115" s="1550"/>
    </row>
    <row r="116" spans="1:7" ht="13.9" customHeight="1">
      <c r="A116" s="1754">
        <v>45358</v>
      </c>
      <c r="B116" s="1748" t="str">
        <f>TiposLancamentos!B57</f>
        <v>Informática</v>
      </c>
      <c r="C116" s="1768" t="s">
        <v>10123</v>
      </c>
      <c r="D116" s="1736"/>
      <c r="E116" s="952">
        <v>1550</v>
      </c>
      <c r="F116" s="1027"/>
      <c r="G116" s="1550"/>
    </row>
    <row r="117" spans="1:7">
      <c r="A117" s="1666">
        <v>45358</v>
      </c>
      <c r="B117" s="1751" t="str">
        <f>TiposLancamentos!B37</f>
        <v>Playstation 3</v>
      </c>
      <c r="C117" s="1744" t="s">
        <v>10124</v>
      </c>
      <c r="D117" s="1735"/>
      <c r="E117" s="920">
        <v>89</v>
      </c>
      <c r="F117" s="1614"/>
      <c r="G117" s="1550"/>
    </row>
    <row r="118" spans="1:7">
      <c r="A118" s="1750">
        <v>45358</v>
      </c>
      <c r="B118" s="1753" t="str">
        <f>TiposLancamentos!B37</f>
        <v>Playstation 3</v>
      </c>
      <c r="C118" s="1746" t="s">
        <v>10125</v>
      </c>
      <c r="D118" s="1737"/>
      <c r="E118" s="922">
        <v>49</v>
      </c>
      <c r="F118" s="1548">
        <f>SUM(E117:E118)</f>
        <v>138</v>
      </c>
      <c r="G118" s="1550"/>
    </row>
    <row r="119" spans="1:7">
      <c r="A119" s="1754">
        <v>45330</v>
      </c>
      <c r="B119" s="1748" t="str">
        <f>TiposLancamentos!B88</f>
        <v>Ford Ecosport XLT</v>
      </c>
      <c r="C119" s="1740" t="s">
        <v>10126</v>
      </c>
      <c r="D119" s="1736"/>
      <c r="E119" s="952">
        <v>400</v>
      </c>
      <c r="F119" s="1027"/>
      <c r="G119" s="1550"/>
    </row>
    <row r="120" spans="1:7">
      <c r="A120" s="1754">
        <v>45330</v>
      </c>
      <c r="B120" s="1748" t="str">
        <f>TiposLancamentos!B13</f>
        <v>Moradia</v>
      </c>
      <c r="C120" s="1740" t="s">
        <v>10127</v>
      </c>
      <c r="D120" s="1736"/>
      <c r="E120" s="952">
        <v>16</v>
      </c>
      <c r="F120" s="1027"/>
      <c r="G120" s="1550"/>
    </row>
    <row r="121" spans="1:7">
      <c r="A121" s="1754">
        <v>45360</v>
      </c>
      <c r="B121" s="1748" t="str">
        <f>TiposLancamentos!B19</f>
        <v>Restaurantes</v>
      </c>
      <c r="C121" s="1740" t="s">
        <v>10128</v>
      </c>
      <c r="D121" s="1736"/>
      <c r="E121" s="952">
        <v>37</v>
      </c>
      <c r="F121" s="1027"/>
      <c r="G121" s="1550"/>
    </row>
    <row r="122" spans="1:7">
      <c r="A122" s="1754">
        <v>45361</v>
      </c>
      <c r="B122" s="1748" t="str">
        <f>TiposLancamentos!B56</f>
        <v>Farmácia</v>
      </c>
      <c r="C122" s="1740" t="s">
        <v>10129</v>
      </c>
      <c r="D122" s="1736"/>
      <c r="E122" s="952">
        <v>138.88999999999999</v>
      </c>
      <c r="F122" s="1027"/>
      <c r="G122" s="1550"/>
    </row>
    <row r="123" spans="1:7">
      <c r="A123" s="1754">
        <v>45361</v>
      </c>
      <c r="B123" s="1748" t="str">
        <f>TiposLancamentos!B5</f>
        <v>Supermercado</v>
      </c>
      <c r="C123" s="1740" t="s">
        <v>10130</v>
      </c>
      <c r="D123" s="1736"/>
      <c r="E123" s="952">
        <v>150.38999999999999</v>
      </c>
      <c r="F123" s="1027"/>
      <c r="G123" s="1550"/>
    </row>
    <row r="124" spans="1:7">
      <c r="A124" s="1754">
        <v>45362</v>
      </c>
      <c r="B124" s="1748" t="str">
        <f>TiposLancamentos!B17</f>
        <v>GATO</v>
      </c>
      <c r="C124" s="1740" t="s">
        <v>10131</v>
      </c>
      <c r="D124" s="1736"/>
      <c r="E124" s="952">
        <v>176.19</v>
      </c>
      <c r="F124" s="1027"/>
      <c r="G124" s="1550"/>
    </row>
    <row r="125" spans="1:7">
      <c r="A125" s="1754">
        <v>45362</v>
      </c>
      <c r="B125" s="1748" t="str">
        <f>TiposLancamentos!B103</f>
        <v>Juros_Corr. Poupança</v>
      </c>
      <c r="C125" s="1740" t="s">
        <v>7341</v>
      </c>
      <c r="D125" s="1736">
        <v>3.55</v>
      </c>
      <c r="E125" s="952"/>
      <c r="F125" s="1027"/>
      <c r="G125" s="1550"/>
    </row>
    <row r="126" spans="1:7">
      <c r="A126" s="1666">
        <v>45362</v>
      </c>
      <c r="B126" s="1751" t="str">
        <f>TiposLancamentos!B25</f>
        <v>CD_DVD_BD</v>
      </c>
      <c r="C126" s="1744" t="s">
        <v>10132</v>
      </c>
      <c r="D126" s="1735"/>
      <c r="E126" s="920">
        <v>39.5</v>
      </c>
      <c r="F126" s="1614"/>
      <c r="G126" s="1550"/>
    </row>
    <row r="127" spans="1:7">
      <c r="A127" s="1750">
        <v>45362</v>
      </c>
      <c r="B127" s="1753" t="str">
        <f>TiposLancamentos!B60</f>
        <v>Correio</v>
      </c>
      <c r="C127" s="1746" t="s">
        <v>10133</v>
      </c>
      <c r="D127" s="1737"/>
      <c r="E127" s="922">
        <v>14.55</v>
      </c>
      <c r="F127" s="1548">
        <f>SUM(E126:E127)</f>
        <v>54.05</v>
      </c>
      <c r="G127" s="1550"/>
    </row>
    <row r="128" spans="1:7">
      <c r="A128" s="1754">
        <v>45363</v>
      </c>
      <c r="B128" s="1748" t="str">
        <f>TiposLancamentos!B22</f>
        <v>Combustivel</v>
      </c>
      <c r="C128" s="1740" t="s">
        <v>10134</v>
      </c>
      <c r="D128" s="1736"/>
      <c r="E128" s="952">
        <v>150</v>
      </c>
      <c r="F128" s="1027"/>
      <c r="G128" s="1550"/>
    </row>
    <row r="129" spans="1:7">
      <c r="A129" s="1754">
        <v>45363</v>
      </c>
      <c r="B129" s="1748" t="str">
        <f>TiposLancamentos!B22</f>
        <v>Combustivel</v>
      </c>
      <c r="C129" s="1740" t="s">
        <v>10135</v>
      </c>
      <c r="D129" s="1736"/>
      <c r="E129" s="952">
        <v>100</v>
      </c>
      <c r="F129" s="1027"/>
      <c r="G129" s="1550"/>
    </row>
    <row r="130" spans="1:7">
      <c r="A130" s="1754">
        <v>45363</v>
      </c>
      <c r="B130" s="1748" t="str">
        <f>TiposLancamentos!B24</f>
        <v>Estacionamentos</v>
      </c>
      <c r="C130" s="1740" t="s">
        <v>9246</v>
      </c>
      <c r="D130" s="1736"/>
      <c r="E130" s="952">
        <v>18</v>
      </c>
      <c r="F130" s="1027"/>
      <c r="G130" s="1550"/>
    </row>
    <row r="131" spans="1:7">
      <c r="A131" s="1754">
        <v>45363</v>
      </c>
      <c r="B131" s="1748" t="str">
        <f>TiposLancamentos!B19</f>
        <v>Restaurantes</v>
      </c>
      <c r="C131" s="1740" t="s">
        <v>1967</v>
      </c>
      <c r="D131" s="1736"/>
      <c r="E131" s="952">
        <v>73.7</v>
      </c>
      <c r="F131" s="1027"/>
      <c r="G131" s="1550"/>
    </row>
    <row r="132" spans="1:7">
      <c r="A132" s="1754">
        <v>45364</v>
      </c>
      <c r="B132" s="1748" t="str">
        <f>TiposLancamentos!B60</f>
        <v>Correio</v>
      </c>
      <c r="C132" s="1740" t="s">
        <v>10136</v>
      </c>
      <c r="D132" s="1736"/>
      <c r="E132" s="952">
        <v>44.1</v>
      </c>
      <c r="F132" s="1027"/>
      <c r="G132" s="1550"/>
    </row>
    <row r="133" spans="1:7">
      <c r="A133" s="1754">
        <v>45364</v>
      </c>
      <c r="B133" s="1748" t="str">
        <f>TiposLancamentos!B46</f>
        <v>Maçonaria</v>
      </c>
      <c r="C133" s="1740" t="s">
        <v>10137</v>
      </c>
      <c r="D133" s="1736"/>
      <c r="E133" s="952">
        <v>210</v>
      </c>
      <c r="F133" s="1027"/>
      <c r="G133" s="1550"/>
    </row>
    <row r="134" spans="1:7">
      <c r="A134" s="1754">
        <v>45364</v>
      </c>
      <c r="B134" s="1748" t="str">
        <f>TiposLancamentos!B103</f>
        <v>Juros_Corr. Poupança</v>
      </c>
      <c r="C134" s="1740" t="s">
        <v>7341</v>
      </c>
      <c r="D134" s="1736">
        <v>3.3</v>
      </c>
      <c r="E134" s="952"/>
      <c r="F134" s="1027"/>
      <c r="G134" s="1550"/>
    </row>
    <row r="135" spans="1:7">
      <c r="A135" s="1754">
        <v>45366</v>
      </c>
      <c r="B135" s="1748" t="str">
        <f>TiposLancamentos!B2</f>
        <v>Telefonia</v>
      </c>
      <c r="C135" s="1040" t="s">
        <v>8797</v>
      </c>
      <c r="D135" s="1736"/>
      <c r="E135" s="952">
        <v>65.5</v>
      </c>
      <c r="F135" s="1027"/>
      <c r="G135" s="1550"/>
    </row>
    <row r="136" spans="1:7">
      <c r="A136" s="1754">
        <v>45366</v>
      </c>
      <c r="B136" s="1748" t="str">
        <f>TiposLancamentos!B105</f>
        <v>Transf. Bco</v>
      </c>
      <c r="C136" s="1740" t="s">
        <v>10138</v>
      </c>
      <c r="D136" s="1736"/>
      <c r="E136" s="952">
        <v>415.03</v>
      </c>
      <c r="F136" s="1027"/>
      <c r="G136" s="1550"/>
    </row>
    <row r="137" spans="1:7">
      <c r="A137" s="1754">
        <v>45367</v>
      </c>
      <c r="B137" s="1748" t="str">
        <f>TiposLancamentos!B19</f>
        <v>Restaurantes</v>
      </c>
      <c r="C137" s="1040" t="s">
        <v>9085</v>
      </c>
      <c r="D137" s="1736"/>
      <c r="E137" s="952">
        <v>101.96</v>
      </c>
      <c r="F137" s="1027"/>
      <c r="G137" s="1550"/>
    </row>
    <row r="138" spans="1:7">
      <c r="A138" s="1754">
        <v>45367</v>
      </c>
      <c r="B138" s="1748" t="str">
        <f>TiposLancamentos!B19</f>
        <v>Restaurantes</v>
      </c>
      <c r="C138" s="1040" t="s">
        <v>10139</v>
      </c>
      <c r="D138" s="1736"/>
      <c r="E138" s="952">
        <v>37</v>
      </c>
      <c r="F138" s="1027"/>
      <c r="G138" s="1550"/>
    </row>
    <row r="139" spans="1:7">
      <c r="A139" s="1754">
        <v>45368</v>
      </c>
      <c r="B139" s="1748" t="str">
        <f>TiposLancamentos!B5</f>
        <v>Supermercado</v>
      </c>
      <c r="C139" s="1040" t="s">
        <v>10140</v>
      </c>
      <c r="D139" s="1736"/>
      <c r="E139" s="952">
        <v>359.11</v>
      </c>
      <c r="F139" s="1027"/>
      <c r="G139" s="1550"/>
    </row>
    <row r="140" spans="1:7">
      <c r="A140" s="1754">
        <v>45369</v>
      </c>
      <c r="B140" s="1748" t="str">
        <f>TiposLancamentos!B13</f>
        <v>Moradia</v>
      </c>
      <c r="C140" s="1040" t="s">
        <v>8733</v>
      </c>
      <c r="D140" s="1736"/>
      <c r="E140" s="952">
        <v>16</v>
      </c>
      <c r="F140" s="1027"/>
      <c r="G140" s="1550"/>
    </row>
    <row r="141" spans="1:7">
      <c r="A141" s="1754">
        <v>45370</v>
      </c>
      <c r="B141" s="1748" t="str">
        <f>TiposLancamentos!B103</f>
        <v>Juros_Corr. Poupança</v>
      </c>
      <c r="C141" s="1740" t="s">
        <v>7341</v>
      </c>
      <c r="D141" s="1736">
        <v>2.98</v>
      </c>
      <c r="E141" s="952"/>
      <c r="F141" s="1027"/>
      <c r="G141" s="1550"/>
    </row>
    <row r="142" spans="1:7">
      <c r="A142" s="1754">
        <v>45371</v>
      </c>
      <c r="B142" s="1748" t="str">
        <f>TiposLancamentos!B105</f>
        <v>Transf. Bco</v>
      </c>
      <c r="C142" s="1040" t="s">
        <v>10141</v>
      </c>
      <c r="D142" s="1736">
        <v>1000</v>
      </c>
      <c r="E142" s="952"/>
      <c r="F142" s="1027"/>
      <c r="G142" s="1550"/>
    </row>
    <row r="143" spans="1:7">
      <c r="A143" s="1754"/>
      <c r="B143" s="1754"/>
      <c r="C143" s="1040" t="s">
        <v>1868</v>
      </c>
      <c r="D143" s="1736"/>
      <c r="E143" s="952"/>
      <c r="F143" s="1027"/>
      <c r="G143" s="1550"/>
    </row>
    <row r="144" spans="1:7">
      <c r="A144" s="1666">
        <v>45371</v>
      </c>
      <c r="B144" s="1751" t="str">
        <f>TiposLancamentos!B8</f>
        <v>Aluguel</v>
      </c>
      <c r="C144" s="1744" t="s">
        <v>9047</v>
      </c>
      <c r="D144" s="1735"/>
      <c r="E144" s="920">
        <f>F149-SUM(E145:E149)</f>
        <v>1631.7500000000002</v>
      </c>
      <c r="F144" s="1614"/>
      <c r="G144" s="1550"/>
    </row>
    <row r="145" spans="1:7">
      <c r="A145" s="1667">
        <v>45371</v>
      </c>
      <c r="B145" s="1752" t="str">
        <f>TiposLancamentos!B12</f>
        <v>IPTU</v>
      </c>
      <c r="C145" s="1745" t="s">
        <v>9048</v>
      </c>
      <c r="D145" s="1736"/>
      <c r="E145" s="931">
        <v>62.93</v>
      </c>
      <c r="F145" s="1027"/>
      <c r="G145" s="1550"/>
    </row>
    <row r="146" spans="1:7">
      <c r="A146" s="1667">
        <v>45371</v>
      </c>
      <c r="B146" s="1752" t="str">
        <f>TiposLancamentos!B10</f>
        <v>Distr. Água Municipal</v>
      </c>
      <c r="C146" s="1745" t="s">
        <v>7423</v>
      </c>
      <c r="D146" s="1736"/>
      <c r="E146" s="931">
        <v>52.73</v>
      </c>
      <c r="F146" s="1027"/>
      <c r="G146" s="1550"/>
    </row>
    <row r="147" spans="1:7">
      <c r="A147" s="1667">
        <v>45371</v>
      </c>
      <c r="B147" s="1752" t="str">
        <f>TiposLancamentos!B11</f>
        <v>Coleta Municipal Lixo</v>
      </c>
      <c r="C147" s="1745" t="s">
        <v>7424</v>
      </c>
      <c r="D147" s="1736"/>
      <c r="E147" s="931">
        <v>67.23</v>
      </c>
      <c r="F147" s="1027"/>
      <c r="G147" s="1550"/>
    </row>
    <row r="148" spans="1:7">
      <c r="A148" s="1667">
        <v>45371</v>
      </c>
      <c r="B148" s="1752" t="str">
        <f>TiposLancamentos!B8</f>
        <v>Aluguel</v>
      </c>
      <c r="C148" s="1745" t="s">
        <v>8955</v>
      </c>
      <c r="D148" s="1736"/>
      <c r="E148" s="931">
        <v>8</v>
      </c>
      <c r="F148" s="1027"/>
      <c r="G148" s="1550"/>
    </row>
    <row r="149" spans="1:7">
      <c r="A149" s="1750">
        <v>45371</v>
      </c>
      <c r="B149" s="1753" t="str">
        <f>TiposLancamentos!B9</f>
        <v>Condominio</v>
      </c>
      <c r="C149" s="1746" t="s">
        <v>7427</v>
      </c>
      <c r="D149" s="1737"/>
      <c r="E149" s="922">
        <v>616.37</v>
      </c>
      <c r="F149" s="1548">
        <v>2439.0100000000002</v>
      </c>
      <c r="G149" s="1550"/>
    </row>
    <row r="150" spans="1:7">
      <c r="A150" s="1754"/>
      <c r="B150" s="1754"/>
      <c r="C150" s="1040" t="s">
        <v>1868</v>
      </c>
      <c r="D150" s="1736"/>
      <c r="E150" s="952"/>
      <c r="F150" s="1027"/>
      <c r="G150" s="1550"/>
    </row>
    <row r="151" spans="1:7">
      <c r="A151" s="1754">
        <v>45371</v>
      </c>
      <c r="B151" s="1748" t="str">
        <f>TiposLancamentos!B103</f>
        <v>Juros_Corr. Poupança</v>
      </c>
      <c r="C151" s="1040" t="s">
        <v>7341</v>
      </c>
      <c r="D151" s="1736">
        <v>0.62</v>
      </c>
      <c r="E151" s="952"/>
      <c r="F151" s="1027"/>
      <c r="G151" s="1550"/>
    </row>
    <row r="152" spans="1:7">
      <c r="A152" s="1754">
        <v>45372</v>
      </c>
      <c r="B152" s="1748" t="str">
        <f>TiposLancamentos!B6</f>
        <v>Energia Eletrica</v>
      </c>
      <c r="C152" s="1740" t="s">
        <v>10142</v>
      </c>
      <c r="D152" s="1736"/>
      <c r="E152" s="952">
        <v>153.28</v>
      </c>
      <c r="F152" s="1027">
        <v>153.28</v>
      </c>
      <c r="G152" s="1550"/>
    </row>
    <row r="153" spans="1:7">
      <c r="A153" s="1666">
        <v>45372</v>
      </c>
      <c r="B153" s="1751" t="str">
        <f>TiposLancamentos!B37</f>
        <v>Playstation 3</v>
      </c>
      <c r="C153" s="1744" t="s">
        <v>10143</v>
      </c>
      <c r="D153" s="1735"/>
      <c r="E153" s="920">
        <v>85</v>
      </c>
      <c r="F153" s="1614"/>
      <c r="G153" s="1550"/>
    </row>
    <row r="154" spans="1:7">
      <c r="A154" s="1750">
        <v>45372</v>
      </c>
      <c r="B154" s="1753" t="str">
        <f>TiposLancamentos!B60</f>
        <v>Correio</v>
      </c>
      <c r="C154" s="1746" t="s">
        <v>10144</v>
      </c>
      <c r="D154" s="1737"/>
      <c r="E154" s="922">
        <v>15</v>
      </c>
      <c r="F154" s="1548">
        <f>SUM(E153:E154)</f>
        <v>100</v>
      </c>
      <c r="G154" s="1550"/>
    </row>
    <row r="155" spans="1:7">
      <c r="A155" s="1754">
        <v>45373</v>
      </c>
      <c r="B155" s="1748" t="str">
        <f>TiposLancamentos!B13</f>
        <v>Moradia</v>
      </c>
      <c r="C155" s="1040" t="s">
        <v>8733</v>
      </c>
      <c r="D155" s="1736"/>
      <c r="E155" s="952">
        <v>16</v>
      </c>
      <c r="F155" s="1027"/>
      <c r="G155" s="1550"/>
    </row>
    <row r="156" spans="1:7">
      <c r="A156" s="1754">
        <v>45373</v>
      </c>
      <c r="B156" s="1748" t="str">
        <f>TiposLancamentos!B22</f>
        <v>Combustivel</v>
      </c>
      <c r="C156" s="1740" t="s">
        <v>7814</v>
      </c>
      <c r="D156" s="1736"/>
      <c r="E156" s="952">
        <v>100</v>
      </c>
      <c r="F156" s="1027"/>
      <c r="G156" s="1550"/>
    </row>
    <row r="157" spans="1:7">
      <c r="A157" s="1754">
        <v>45385</v>
      </c>
      <c r="B157" s="1748" t="str">
        <f>TiposLancamentos!B105</f>
        <v>Transf. Bco</v>
      </c>
      <c r="C157" s="1740" t="s">
        <v>10145</v>
      </c>
      <c r="D157" s="1736">
        <v>2440</v>
      </c>
      <c r="E157" s="952"/>
      <c r="F157" s="1027"/>
      <c r="G157" s="1550"/>
    </row>
    <row r="158" spans="1:7">
      <c r="A158" s="1754">
        <v>45385</v>
      </c>
      <c r="B158" s="1748" t="str">
        <f>TiposLancamentos!B103</f>
        <v>Juros_Corr. Poupança</v>
      </c>
      <c r="C158" s="1740" t="s">
        <v>7341</v>
      </c>
      <c r="D158" s="1736">
        <v>0.11</v>
      </c>
      <c r="E158" s="952"/>
      <c r="F158" s="1027"/>
      <c r="G158" s="1550"/>
    </row>
    <row r="159" spans="1:7">
      <c r="A159" s="1754">
        <v>45386</v>
      </c>
      <c r="B159" s="1748" t="str">
        <f>TiposLancamentos!B105</f>
        <v>Transf. Bco</v>
      </c>
      <c r="C159" s="1740" t="s">
        <v>10145</v>
      </c>
      <c r="D159" s="1736">
        <v>157.96</v>
      </c>
      <c r="E159" s="952"/>
      <c r="F159" s="1027"/>
      <c r="G159" s="1550"/>
    </row>
    <row r="160" spans="1:7">
      <c r="A160" s="1754">
        <v>45387</v>
      </c>
      <c r="B160" s="1748" t="str">
        <f>TiposLancamentos!B103</f>
        <v>Juros_Corr. Poupança</v>
      </c>
      <c r="C160" s="1740" t="s">
        <v>7341</v>
      </c>
      <c r="D160" s="1736">
        <v>0.79</v>
      </c>
      <c r="E160" s="952"/>
      <c r="F160" s="1027"/>
      <c r="G160" s="1550"/>
    </row>
    <row r="161" spans="1:7">
      <c r="A161" s="1754">
        <v>45392</v>
      </c>
      <c r="B161" s="1748" t="str">
        <f>TiposLancamentos!B103</f>
        <v>Juros_Corr. Poupança</v>
      </c>
      <c r="C161" s="1740" t="s">
        <v>7341</v>
      </c>
      <c r="D161" s="1736">
        <v>2.54</v>
      </c>
      <c r="E161" s="952"/>
      <c r="F161" s="1027"/>
      <c r="G161" s="1550"/>
    </row>
    <row r="162" spans="1:7">
      <c r="A162" s="1754">
        <v>45397</v>
      </c>
      <c r="B162" s="1748" t="str">
        <f>TiposLancamentos!B103</f>
        <v>Juros_Corr. Poupança</v>
      </c>
      <c r="C162" s="1740" t="s">
        <v>7341</v>
      </c>
      <c r="D162" s="1736">
        <v>2.5499999999999998</v>
      </c>
      <c r="E162" s="952"/>
      <c r="F162" s="1027"/>
      <c r="G162" s="1550"/>
    </row>
    <row r="163" spans="1:7">
      <c r="A163" s="1754">
        <v>45401</v>
      </c>
      <c r="B163" s="1748" t="str">
        <f>TiposLancamentos!B103</f>
        <v>Juros_Corr. Poupança</v>
      </c>
      <c r="C163" s="1740" t="s">
        <v>7341</v>
      </c>
      <c r="D163" s="1736">
        <v>3.4</v>
      </c>
      <c r="E163" s="952"/>
      <c r="F163" s="1027"/>
      <c r="G163" s="1550"/>
    </row>
    <row r="164" spans="1:7">
      <c r="A164" s="1754">
        <v>45403</v>
      </c>
      <c r="B164" s="1748" t="str">
        <f>TiposLancamentos!B98</f>
        <v>Restituições</v>
      </c>
      <c r="C164" s="1740" t="s">
        <v>10146</v>
      </c>
      <c r="D164" s="1736">
        <v>30.13</v>
      </c>
      <c r="E164" s="952"/>
      <c r="F164" s="1027"/>
      <c r="G164" s="1550"/>
    </row>
    <row r="165" spans="1:7">
      <c r="A165" s="1754"/>
      <c r="B165" s="1754"/>
      <c r="C165" s="1040" t="s">
        <v>1868</v>
      </c>
      <c r="D165" s="1736"/>
      <c r="E165" s="952"/>
      <c r="F165" s="1027"/>
      <c r="G165" s="1550"/>
    </row>
    <row r="166" spans="1:7">
      <c r="A166" s="1666">
        <v>45403</v>
      </c>
      <c r="B166" s="1751" t="str">
        <f>TiposLancamentos!B8</f>
        <v>Aluguel</v>
      </c>
      <c r="C166" s="1744" t="s">
        <v>9047</v>
      </c>
      <c r="D166" s="1735"/>
      <c r="E166" s="920">
        <f>F171-SUM(E167:E171)</f>
        <v>1646.2599999999998</v>
      </c>
      <c r="F166" s="1614"/>
      <c r="G166" s="1550"/>
    </row>
    <row r="167" spans="1:7">
      <c r="A167" s="1667">
        <v>45403</v>
      </c>
      <c r="B167" s="1752" t="str">
        <f>TiposLancamentos!B12</f>
        <v>IPTU</v>
      </c>
      <c r="C167" s="1745" t="s">
        <v>9048</v>
      </c>
      <c r="D167" s="1736"/>
      <c r="E167" s="931">
        <v>62.93</v>
      </c>
      <c r="F167" s="1027"/>
      <c r="G167" s="1550"/>
    </row>
    <row r="168" spans="1:7">
      <c r="A168" s="1667">
        <v>45403</v>
      </c>
      <c r="B168" s="1752" t="str">
        <f>TiposLancamentos!B10</f>
        <v>Distr. Água Municipal</v>
      </c>
      <c r="C168" s="1745" t="s">
        <v>7423</v>
      </c>
      <c r="D168" s="1736"/>
      <c r="E168" s="931">
        <v>52.73</v>
      </c>
      <c r="F168" s="1027">
        <v>2591.6999999999998</v>
      </c>
      <c r="G168" s="1550"/>
    </row>
    <row r="169" spans="1:7">
      <c r="A169" s="1667">
        <v>45403</v>
      </c>
      <c r="B169" s="1752" t="str">
        <f>TiposLancamentos!B11</f>
        <v>Coleta Municipal Lixo</v>
      </c>
      <c r="C169" s="1745" t="s">
        <v>7424</v>
      </c>
      <c r="D169" s="1736"/>
      <c r="E169" s="931">
        <v>46.42</v>
      </c>
      <c r="F169" s="1027"/>
      <c r="G169" s="1550"/>
    </row>
    <row r="170" spans="1:7">
      <c r="A170" s="1667">
        <v>45403</v>
      </c>
      <c r="B170" s="1752" t="str">
        <f>TiposLancamentos!B8</f>
        <v>Aluguel</v>
      </c>
      <c r="C170" s="1745" t="s">
        <v>8955</v>
      </c>
      <c r="D170" s="1736"/>
      <c r="E170" s="931">
        <v>8</v>
      </c>
      <c r="F170" s="1027"/>
      <c r="G170" s="1550"/>
    </row>
    <row r="171" spans="1:7">
      <c r="A171" s="1750">
        <v>45403</v>
      </c>
      <c r="B171" s="1753" t="str">
        <f>TiposLancamentos!B9</f>
        <v>Condominio</v>
      </c>
      <c r="C171" s="1746" t="s">
        <v>7427</v>
      </c>
      <c r="D171" s="1737"/>
      <c r="E171" s="922">
        <v>775.36</v>
      </c>
      <c r="F171" s="1518">
        <v>2591.6999999999998</v>
      </c>
      <c r="G171" s="1550"/>
    </row>
    <row r="172" spans="1:7">
      <c r="A172" s="1754"/>
      <c r="B172" s="1754"/>
      <c r="C172" s="1040" t="s">
        <v>1868</v>
      </c>
      <c r="D172" s="1736"/>
      <c r="E172" s="952"/>
      <c r="F172" s="1027"/>
      <c r="G172" s="1550"/>
    </row>
    <row r="173" spans="1:7">
      <c r="A173" s="1666">
        <v>45403</v>
      </c>
      <c r="B173" s="1666" t="str">
        <f>TiposLancamentos!B57</f>
        <v>Informática</v>
      </c>
      <c r="C173" s="1742" t="s">
        <v>10147</v>
      </c>
      <c r="D173" s="1735"/>
      <c r="E173" s="920">
        <v>28.9</v>
      </c>
      <c r="F173" s="1290"/>
      <c r="G173" s="1550"/>
    </row>
    <row r="174" spans="1:7">
      <c r="A174" s="1750">
        <v>45403</v>
      </c>
      <c r="B174" s="1750" t="str">
        <f>TiposLancamentos!B60</f>
        <v>Correio</v>
      </c>
      <c r="C174" s="1743" t="s">
        <v>10148</v>
      </c>
      <c r="D174" s="1737"/>
      <c r="E174" s="922">
        <v>12</v>
      </c>
      <c r="F174" s="1518">
        <f>SUM(E173:E174)</f>
        <v>40.9</v>
      </c>
      <c r="G174" s="1550"/>
    </row>
    <row r="175" spans="1:7">
      <c r="A175" s="1754">
        <v>45404</v>
      </c>
      <c r="B175" s="1748" t="str">
        <f>TiposLancamentos!B103</f>
        <v>Juros_Corr. Poupança</v>
      </c>
      <c r="C175" s="1740" t="s">
        <v>7341</v>
      </c>
      <c r="D175" s="1736">
        <v>0.85</v>
      </c>
      <c r="E175" s="952"/>
      <c r="F175" s="1027"/>
      <c r="G175" s="1550"/>
    </row>
    <row r="176" spans="1:7">
      <c r="A176" s="1754">
        <v>45414</v>
      </c>
      <c r="B176" s="1748" t="str">
        <f>TiposLancamentos!B103</f>
        <v>Juros_Corr. Poupança</v>
      </c>
      <c r="C176" s="1740" t="s">
        <v>7341</v>
      </c>
      <c r="D176" s="1736">
        <v>0.02</v>
      </c>
      <c r="E176" s="952"/>
      <c r="F176" s="1027"/>
      <c r="G176" s="1550"/>
    </row>
    <row r="177" spans="1:7">
      <c r="A177" s="1754">
        <v>45425</v>
      </c>
      <c r="B177" s="1748" t="str">
        <f>TiposLancamentos!B103</f>
        <v>Juros_Corr. Poupança</v>
      </c>
      <c r="C177" s="1740" t="s">
        <v>7341</v>
      </c>
      <c r="D177" s="1736">
        <v>0.02</v>
      </c>
      <c r="E177" s="952"/>
      <c r="F177" s="1027"/>
      <c r="G177" s="1550"/>
    </row>
    <row r="178" spans="1:7">
      <c r="A178" s="1754">
        <v>45436</v>
      </c>
      <c r="B178" s="1748" t="str">
        <f>TiposLancamentos!B103</f>
        <v>Juros_Corr. Poupança</v>
      </c>
      <c r="C178" s="1740" t="s">
        <v>7341</v>
      </c>
      <c r="D178" s="1736">
        <v>0.02</v>
      </c>
      <c r="E178" s="952"/>
      <c r="F178" s="1027"/>
      <c r="G178" s="1550"/>
    </row>
    <row r="179" spans="1:7">
      <c r="A179" s="1754">
        <v>45460</v>
      </c>
      <c r="B179" s="1748" t="str">
        <f>TiposLancamentos!B103</f>
        <v>Juros_Corr. Poupança</v>
      </c>
      <c r="C179" s="1740" t="s">
        <v>7341</v>
      </c>
      <c r="D179" s="1736">
        <v>0.03</v>
      </c>
      <c r="E179" s="952"/>
      <c r="F179" s="1027"/>
      <c r="G179" s="1550"/>
    </row>
    <row r="180" spans="1:7">
      <c r="A180" s="1754">
        <v>45485</v>
      </c>
      <c r="B180" s="1748" t="str">
        <f>TiposLancamentos!B103</f>
        <v>Juros_Corr. Poupança</v>
      </c>
      <c r="C180" s="1740" t="s">
        <v>7341</v>
      </c>
      <c r="D180" s="1736">
        <v>0.05</v>
      </c>
      <c r="E180" s="952"/>
      <c r="F180" s="1027"/>
      <c r="G180" s="1550"/>
    </row>
    <row r="181" spans="1:7">
      <c r="A181" s="1754">
        <v>45503</v>
      </c>
      <c r="B181" s="1748" t="str">
        <f>TiposLancamentos!B103</f>
        <v>Juros_Corr. Poupança</v>
      </c>
      <c r="C181" s="1740" t="s">
        <v>7341</v>
      </c>
      <c r="D181" s="1736">
        <v>0.03</v>
      </c>
      <c r="E181" s="952"/>
      <c r="F181" s="1027"/>
      <c r="G181" s="1550"/>
    </row>
    <row r="182" spans="1:7">
      <c r="A182" s="1754">
        <v>45504</v>
      </c>
      <c r="B182" s="1748" t="str">
        <f>TiposLancamentos!B61</f>
        <v>Xerox</v>
      </c>
      <c r="C182" s="1740" t="s">
        <v>10149</v>
      </c>
      <c r="D182" s="1736"/>
      <c r="E182" s="952">
        <v>0.5</v>
      </c>
      <c r="F182" s="1027"/>
      <c r="G182" s="1550"/>
    </row>
    <row r="183" spans="1:7">
      <c r="A183" s="1754">
        <v>45525</v>
      </c>
      <c r="B183" s="1748" t="str">
        <f>TiposLancamentos!B103</f>
        <v>Juros_Corr. Poupança</v>
      </c>
      <c r="C183" s="1740" t="s">
        <v>7341</v>
      </c>
      <c r="D183" s="1736">
        <v>0.03</v>
      </c>
      <c r="E183" s="952"/>
      <c r="F183" s="1027"/>
      <c r="G183" s="1550"/>
    </row>
    <row r="184" spans="1:7">
      <c r="A184" s="1754">
        <v>45533</v>
      </c>
      <c r="B184" s="1748" t="str">
        <f>TiposLancamentos!B105</f>
        <v>Transf. Bco</v>
      </c>
      <c r="C184" s="1740" t="s">
        <v>10150</v>
      </c>
      <c r="D184" s="1736">
        <v>563.53</v>
      </c>
      <c r="E184" s="952"/>
      <c r="F184" s="1027"/>
      <c r="G184" s="1550"/>
    </row>
    <row r="185" spans="1:7">
      <c r="A185" s="1754">
        <v>45533</v>
      </c>
      <c r="B185" s="1748" t="str">
        <f>TiposLancamentos!B105</f>
        <v>Transf. Bco</v>
      </c>
      <c r="C185" s="1740" t="s">
        <v>8730</v>
      </c>
      <c r="D185" s="1736">
        <v>91.18</v>
      </c>
      <c r="E185" s="952"/>
      <c r="F185" s="1027"/>
      <c r="G185" s="1550"/>
    </row>
    <row r="186" spans="1:7">
      <c r="A186" s="1754">
        <v>45534</v>
      </c>
      <c r="B186" s="1748" t="str">
        <f>TiposLancamentos!B105</f>
        <v>Transf. Bco</v>
      </c>
      <c r="C186" s="1740" t="s">
        <v>10151</v>
      </c>
      <c r="D186" s="1736">
        <v>1116.97</v>
      </c>
      <c r="E186" s="952"/>
      <c r="F186" s="1027"/>
      <c r="G186" s="1550"/>
    </row>
    <row r="187" spans="1:7">
      <c r="A187" s="1754">
        <v>45534</v>
      </c>
      <c r="B187" s="1748" t="str">
        <f>TiposLancamentos!B105</f>
        <v>Transf. Bco</v>
      </c>
      <c r="C187" s="1740" t="s">
        <v>10150</v>
      </c>
      <c r="D187" s="1736">
        <v>193.65</v>
      </c>
      <c r="E187" s="952"/>
      <c r="F187" s="1027"/>
      <c r="G187" s="1550"/>
    </row>
    <row r="188" spans="1:7">
      <c r="A188" s="1754">
        <v>45534</v>
      </c>
      <c r="B188" s="1748" t="str">
        <f>TiposLancamentos!B13</f>
        <v>Moradia</v>
      </c>
      <c r="C188" s="1740" t="s">
        <v>8733</v>
      </c>
      <c r="D188" s="1736"/>
      <c r="E188" s="952">
        <v>16</v>
      </c>
      <c r="F188" s="1027"/>
      <c r="G188" s="1550"/>
    </row>
    <row r="189" spans="1:7">
      <c r="A189" s="1666">
        <v>45532</v>
      </c>
      <c r="B189" s="1666" t="str">
        <f>TiposLancamentos!B36</f>
        <v>Playstation 2</v>
      </c>
      <c r="C189" s="1742" t="s">
        <v>10152</v>
      </c>
      <c r="D189" s="1735"/>
      <c r="E189" s="920">
        <v>160</v>
      </c>
      <c r="F189" s="1290"/>
      <c r="G189" s="1550"/>
    </row>
    <row r="190" spans="1:7">
      <c r="A190" s="1750">
        <v>45532</v>
      </c>
      <c r="B190" s="1750" t="str">
        <f>TiposLancamentos!B60</f>
        <v>Correio</v>
      </c>
      <c r="C190" s="1743" t="s">
        <v>10153</v>
      </c>
      <c r="D190" s="1737"/>
      <c r="E190" s="922">
        <v>15</v>
      </c>
      <c r="F190" s="1518">
        <f>SUM(E189:E190)</f>
        <v>175</v>
      </c>
      <c r="G190" s="1550"/>
    </row>
    <row r="191" spans="1:7">
      <c r="A191" s="1754">
        <v>45537</v>
      </c>
      <c r="B191" s="1748" t="str">
        <f>TiposLancamentos!B105</f>
        <v>Transf. Bco</v>
      </c>
      <c r="C191" s="1740" t="s">
        <v>10150</v>
      </c>
      <c r="D191" s="1736">
        <v>6074.15</v>
      </c>
      <c r="E191" s="952"/>
      <c r="F191" s="1027"/>
      <c r="G191" s="1550"/>
    </row>
    <row r="192" spans="1:7">
      <c r="A192" s="1754">
        <v>45540</v>
      </c>
      <c r="B192" s="1748" t="str">
        <f>TiposLancamentos!B103</f>
        <v>Juros_Corr. Poupança</v>
      </c>
      <c r="C192" s="1740" t="str">
        <f>TiposLancamentos!B103</f>
        <v>Juros_Corr. Poupança</v>
      </c>
      <c r="D192" s="1736">
        <v>8.4499999999999993</v>
      </c>
      <c r="E192" s="952"/>
      <c r="F192" s="1027"/>
      <c r="G192" s="1550"/>
    </row>
    <row r="193" spans="1:7">
      <c r="A193" s="1754">
        <v>45541</v>
      </c>
      <c r="B193" s="1748" t="str">
        <f>TiposLancamentos!B105</f>
        <v>Transf. Bco</v>
      </c>
      <c r="C193" s="1740" t="s">
        <v>8714</v>
      </c>
      <c r="D193" s="1736"/>
      <c r="E193" s="952">
        <v>6023</v>
      </c>
      <c r="F193" s="1027"/>
      <c r="G193" s="1550"/>
    </row>
    <row r="194" spans="1:7">
      <c r="A194" s="1754">
        <v>45541</v>
      </c>
      <c r="B194" s="1748" t="str">
        <f>TiposLancamentos!B103</f>
        <v>Juros_Corr. Poupança</v>
      </c>
      <c r="C194" s="1740" t="s">
        <v>10154</v>
      </c>
      <c r="D194" s="1736">
        <v>2.5499999999999998</v>
      </c>
      <c r="E194" s="952"/>
      <c r="F194" s="1027"/>
      <c r="G194" s="1550"/>
    </row>
    <row r="195" spans="1:7">
      <c r="A195" s="1754">
        <v>45541</v>
      </c>
      <c r="B195" s="1748" t="str">
        <f>TiposLancamentos!B13</f>
        <v>Moradia</v>
      </c>
      <c r="C195" s="1740" t="s">
        <v>8733</v>
      </c>
      <c r="D195" s="1736"/>
      <c r="E195" s="952">
        <v>16</v>
      </c>
      <c r="F195" s="1027"/>
      <c r="G195" s="1550"/>
    </row>
    <row r="196" spans="1:7">
      <c r="A196" s="1754">
        <v>45545</v>
      </c>
      <c r="B196" s="1748" t="str">
        <f>TiposLancamentos!B24</f>
        <v>Estacionamentos</v>
      </c>
      <c r="C196" s="1740" t="s">
        <v>10155</v>
      </c>
      <c r="D196" s="1736"/>
      <c r="E196" s="952">
        <v>16</v>
      </c>
      <c r="F196" s="1027"/>
      <c r="G196" s="1550"/>
    </row>
    <row r="197" spans="1:7">
      <c r="A197" s="1754">
        <v>45546</v>
      </c>
      <c r="B197" s="1748" t="str">
        <f>TiposLancamentos!B103</f>
        <v>Juros_Corr. Poupança</v>
      </c>
      <c r="C197" s="1740" t="str">
        <f>TiposLancamentos!B103</f>
        <v>Juros_Corr. Poupança</v>
      </c>
      <c r="D197" s="1736">
        <v>1.78</v>
      </c>
      <c r="E197" s="952"/>
      <c r="F197" s="1027"/>
      <c r="G197" s="1550"/>
    </row>
    <row r="198" spans="1:7">
      <c r="A198" s="1754">
        <v>45546</v>
      </c>
      <c r="B198" s="1748" t="str">
        <f>TiposLancamentos!B105</f>
        <v>Transf. Bco</v>
      </c>
      <c r="C198" s="1740" t="s">
        <v>10156</v>
      </c>
      <c r="D198" s="1736"/>
      <c r="E198" s="952">
        <v>0.93</v>
      </c>
      <c r="F198" s="1027"/>
      <c r="G198" s="1550"/>
    </row>
    <row r="199" spans="1:7">
      <c r="A199" s="1754">
        <v>45548</v>
      </c>
      <c r="B199" s="1748" t="str">
        <f>TiposLancamentos!B103</f>
        <v>Juros_Corr. Poupança</v>
      </c>
      <c r="C199" s="1740" t="s">
        <v>10154</v>
      </c>
      <c r="D199" s="1736">
        <v>1.17</v>
      </c>
      <c r="E199" s="952"/>
      <c r="F199" s="1027"/>
      <c r="G199" s="1550"/>
    </row>
    <row r="200" spans="1:7">
      <c r="A200" s="1754">
        <v>45549</v>
      </c>
      <c r="B200" s="1748" t="str">
        <f>TiposLancamentos!B23</f>
        <v>P208 GRIFFE 1.6 AUT BUSINESS</v>
      </c>
      <c r="C200" s="1740" t="s">
        <v>10157</v>
      </c>
      <c r="D200" s="1736"/>
      <c r="E200" s="952">
        <v>50</v>
      </c>
      <c r="F200" s="1027"/>
      <c r="G200" s="1550"/>
    </row>
    <row r="201" spans="1:7">
      <c r="A201" s="1754">
        <v>45549</v>
      </c>
      <c r="B201" s="1748" t="str">
        <f>TiposLancamentos!B37</f>
        <v>Playstation 3</v>
      </c>
      <c r="C201" s="1740" t="s">
        <v>10158</v>
      </c>
      <c r="D201" s="1736"/>
      <c r="E201" s="952">
        <v>90</v>
      </c>
      <c r="F201" s="1027"/>
      <c r="G201" s="1550"/>
    </row>
    <row r="202" spans="1:7">
      <c r="A202" s="1666">
        <v>45549</v>
      </c>
      <c r="B202" s="1666" t="str">
        <f>TiposLancamentos!B38</f>
        <v>Playstation 4</v>
      </c>
      <c r="C202" s="1742" t="s">
        <v>10159</v>
      </c>
      <c r="D202" s="1735"/>
      <c r="E202" s="920">
        <v>80</v>
      </c>
      <c r="F202" s="1290"/>
      <c r="G202" s="1550"/>
    </row>
    <row r="203" spans="1:7">
      <c r="A203" s="1750">
        <v>45549</v>
      </c>
      <c r="B203" s="1750" t="str">
        <f>TiposLancamentos!B37</f>
        <v>Playstation 3</v>
      </c>
      <c r="C203" s="1743" t="s">
        <v>10160</v>
      </c>
      <c r="D203" s="1737"/>
      <c r="E203" s="922">
        <v>90</v>
      </c>
      <c r="F203" s="1518">
        <f>SUM(E202:E203)</f>
        <v>170</v>
      </c>
      <c r="G203" s="1550"/>
    </row>
    <row r="204" spans="1:7">
      <c r="A204" s="1666">
        <v>45549</v>
      </c>
      <c r="B204" s="1666" t="str">
        <f>TiposLancamentos!B36</f>
        <v>Playstation 2</v>
      </c>
      <c r="C204" s="1742" t="s">
        <v>10161</v>
      </c>
      <c r="D204" s="1735"/>
      <c r="E204" s="920">
        <v>110</v>
      </c>
      <c r="F204" s="1290"/>
      <c r="G204" s="1550"/>
    </row>
    <row r="205" spans="1:7">
      <c r="A205" s="1667">
        <v>45549</v>
      </c>
      <c r="B205" s="1667" t="str">
        <f>TiposLancamentos!B36</f>
        <v>Playstation 2</v>
      </c>
      <c r="C205" s="1769" t="s">
        <v>10162</v>
      </c>
      <c r="D205" s="1736"/>
      <c r="E205" s="931">
        <v>80</v>
      </c>
      <c r="F205" s="1458"/>
      <c r="G205" s="1550"/>
    </row>
    <row r="206" spans="1:7">
      <c r="A206" s="1667">
        <v>45549</v>
      </c>
      <c r="B206" s="1667" t="str">
        <f>TiposLancamentos!B36</f>
        <v>Playstation 2</v>
      </c>
      <c r="C206" s="1769" t="s">
        <v>10163</v>
      </c>
      <c r="D206" s="1736"/>
      <c r="E206" s="931">
        <v>160</v>
      </c>
      <c r="F206" s="1458"/>
      <c r="G206" s="1550"/>
    </row>
    <row r="207" spans="1:7">
      <c r="A207" s="1667">
        <v>45549</v>
      </c>
      <c r="B207" s="1667" t="str">
        <f>TiposLancamentos!B36</f>
        <v>Playstation 2</v>
      </c>
      <c r="C207" s="1769" t="s">
        <v>10164</v>
      </c>
      <c r="D207" s="1736"/>
      <c r="E207" s="931">
        <v>120</v>
      </c>
      <c r="F207" s="1458"/>
      <c r="G207" s="1550"/>
    </row>
    <row r="208" spans="1:7">
      <c r="A208" s="1750">
        <v>45549</v>
      </c>
      <c r="B208" s="1750" t="str">
        <f>TiposLancamentos!B36</f>
        <v>Playstation 2</v>
      </c>
      <c r="C208" s="1743" t="s">
        <v>10165</v>
      </c>
      <c r="D208" s="1737"/>
      <c r="E208" s="922">
        <v>30</v>
      </c>
      <c r="F208" s="1518">
        <f>SUM(E204:E208)</f>
        <v>500</v>
      </c>
      <c r="G208" s="1550"/>
    </row>
    <row r="209" spans="1:7">
      <c r="A209" s="1666">
        <v>45549</v>
      </c>
      <c r="B209" s="1666" t="str">
        <f>TiposLancamentos!B37</f>
        <v>Playstation 3</v>
      </c>
      <c r="C209" s="1742" t="s">
        <v>10166</v>
      </c>
      <c r="D209" s="1735"/>
      <c r="E209" s="920">
        <v>50</v>
      </c>
      <c r="F209" s="1290"/>
      <c r="G209" s="1550"/>
    </row>
    <row r="210" spans="1:7">
      <c r="A210" s="1667">
        <v>45549</v>
      </c>
      <c r="B210" s="1667" t="str">
        <f>TiposLancamentos!B37</f>
        <v>Playstation 3</v>
      </c>
      <c r="C210" s="1769" t="s">
        <v>10167</v>
      </c>
      <c r="D210" s="1736"/>
      <c r="E210" s="931">
        <v>50</v>
      </c>
      <c r="F210" s="1458"/>
      <c r="G210" s="1550"/>
    </row>
    <row r="211" spans="1:7">
      <c r="A211" s="1667">
        <v>45549</v>
      </c>
      <c r="B211" s="1667" t="str">
        <f>TiposLancamentos!B37</f>
        <v>Playstation 3</v>
      </c>
      <c r="C211" s="1769" t="s">
        <v>10168</v>
      </c>
      <c r="D211" s="1736"/>
      <c r="E211" s="931">
        <v>50</v>
      </c>
      <c r="F211" s="1458"/>
      <c r="G211" s="1550"/>
    </row>
    <row r="212" spans="1:7">
      <c r="A212" s="1667">
        <v>45549</v>
      </c>
      <c r="B212" s="1667" t="str">
        <f>TiposLancamentos!B37</f>
        <v>Playstation 3</v>
      </c>
      <c r="C212" s="1769" t="s">
        <v>10169</v>
      </c>
      <c r="D212" s="1736"/>
      <c r="E212" s="931">
        <v>50</v>
      </c>
      <c r="F212" s="1458"/>
      <c r="G212" s="1550"/>
    </row>
    <row r="213" spans="1:7">
      <c r="A213" s="1750">
        <v>45549</v>
      </c>
      <c r="B213" s="1750" t="str">
        <f>TiposLancamentos!B37</f>
        <v>Playstation 3</v>
      </c>
      <c r="C213" s="1743" t="s">
        <v>10170</v>
      </c>
      <c r="D213" s="1737"/>
      <c r="E213" s="922">
        <v>50</v>
      </c>
      <c r="F213" s="1518">
        <f>SUM(E209:E213)</f>
        <v>250</v>
      </c>
      <c r="G213" s="1550"/>
    </row>
    <row r="214" spans="1:7">
      <c r="A214" s="1754">
        <v>45549</v>
      </c>
      <c r="B214" s="1748" t="str">
        <f>TiposLancamentos!B36</f>
        <v>Playstation 2</v>
      </c>
      <c r="C214" s="1740" t="s">
        <v>10171</v>
      </c>
      <c r="D214" s="1736"/>
      <c r="E214" s="952">
        <v>260</v>
      </c>
      <c r="F214" s="1027"/>
      <c r="G214" s="1550"/>
    </row>
    <row r="215" spans="1:7">
      <c r="A215" s="1754">
        <v>45549</v>
      </c>
      <c r="B215" s="1748" t="str">
        <f>TiposLancamentos!B19</f>
        <v>Restaurantes</v>
      </c>
      <c r="C215" s="1740" t="s">
        <v>10172</v>
      </c>
      <c r="D215" s="1736"/>
      <c r="E215" s="952">
        <v>21</v>
      </c>
      <c r="F215" s="1027"/>
      <c r="G215" s="1550"/>
    </row>
    <row r="216" spans="1:7">
      <c r="A216" s="1754">
        <v>45549</v>
      </c>
      <c r="B216" s="1748" t="str">
        <f>TiposLancamentos!B19</f>
        <v>Restaurantes</v>
      </c>
      <c r="C216" s="1740" t="s">
        <v>10173</v>
      </c>
      <c r="D216" s="1736"/>
      <c r="E216" s="952">
        <v>9.5</v>
      </c>
      <c r="F216" s="1027"/>
      <c r="G216" s="1550"/>
    </row>
    <row r="217" spans="1:7">
      <c r="A217" s="1754">
        <v>45549</v>
      </c>
      <c r="B217" s="1748" t="str">
        <f>TiposLancamentos!B13</f>
        <v>Moradia</v>
      </c>
      <c r="C217" s="1740" t="s">
        <v>10174</v>
      </c>
      <c r="D217" s="1736"/>
      <c r="E217" s="952">
        <v>75</v>
      </c>
      <c r="F217" s="1027"/>
      <c r="G217" s="1550"/>
    </row>
    <row r="218" spans="1:7">
      <c r="A218" s="1754">
        <v>45551</v>
      </c>
      <c r="B218" s="1748" t="str">
        <f>TiposLancamentos!B24</f>
        <v>Estacionamentos</v>
      </c>
      <c r="C218" s="1740" t="s">
        <v>10175</v>
      </c>
      <c r="D218" s="1736"/>
      <c r="E218" s="952">
        <v>35</v>
      </c>
      <c r="F218" s="1027"/>
      <c r="G218" s="1550"/>
    </row>
    <row r="219" spans="1:7">
      <c r="A219" s="1754">
        <v>45553</v>
      </c>
      <c r="B219" s="1748" t="str">
        <f>TiposLancamentos!B103</f>
        <v>Juros_Corr. Poupança</v>
      </c>
      <c r="C219" s="1740" t="str">
        <f>TiposLancamentos!B103</f>
        <v>Juros_Corr. Poupança</v>
      </c>
      <c r="D219" s="1736">
        <v>0.81</v>
      </c>
      <c r="E219" s="952"/>
      <c r="F219" s="1027"/>
      <c r="G219" s="1550"/>
    </row>
    <row r="220" spans="1:7">
      <c r="A220" s="1754">
        <v>45555</v>
      </c>
      <c r="B220" s="1748" t="str">
        <f>TiposLancamentos!B105</f>
        <v>Transf. Bco</v>
      </c>
      <c r="C220" s="1740" t="s">
        <v>10145</v>
      </c>
      <c r="D220" s="1736">
        <v>6800</v>
      </c>
      <c r="E220" s="952"/>
      <c r="F220" s="1027"/>
      <c r="G220" s="1550"/>
    </row>
    <row r="221" spans="1:7">
      <c r="A221" s="1754">
        <v>45555</v>
      </c>
      <c r="B221" s="1748" t="str">
        <f>TiposLancamentos!B13</f>
        <v>Moradia</v>
      </c>
      <c r="C221" s="1740" t="s">
        <v>10176</v>
      </c>
      <c r="D221" s="1736"/>
      <c r="E221" s="952">
        <v>16</v>
      </c>
      <c r="F221" s="1027"/>
      <c r="G221" s="1550"/>
    </row>
    <row r="222" spans="1:7">
      <c r="A222" s="1754">
        <v>45555</v>
      </c>
      <c r="B222" s="1748" t="str">
        <f>TiposLancamentos!B16</f>
        <v>Cristiane</v>
      </c>
      <c r="C222" s="1740" t="s">
        <v>10177</v>
      </c>
      <c r="D222" s="1736"/>
      <c r="E222" s="952">
        <v>350</v>
      </c>
      <c r="F222" s="1027"/>
      <c r="G222" s="1550"/>
    </row>
    <row r="223" spans="1:7">
      <c r="A223" s="1754">
        <v>45557</v>
      </c>
      <c r="B223" s="1748" t="str">
        <f>TiposLancamentos!B5</f>
        <v>Supermercado</v>
      </c>
      <c r="C223" s="1740" t="s">
        <v>5551</v>
      </c>
      <c r="D223" s="1736"/>
      <c r="E223" s="952">
        <v>156.13999999999999</v>
      </c>
      <c r="F223" s="1027"/>
      <c r="G223" s="1550"/>
    </row>
    <row r="224" spans="1:7">
      <c r="A224" s="1754">
        <v>45557</v>
      </c>
      <c r="B224" s="1748" t="str">
        <f>TiposLancamentos!B5</f>
        <v>Supermercado</v>
      </c>
      <c r="C224" s="1740" t="s">
        <v>10178</v>
      </c>
      <c r="D224" s="1736"/>
      <c r="E224" s="952">
        <v>86.01</v>
      </c>
      <c r="F224" s="1027"/>
      <c r="G224" s="1550"/>
    </row>
    <row r="225" spans="1:7">
      <c r="A225" s="1754">
        <v>45558</v>
      </c>
      <c r="B225" s="1748" t="str">
        <f>TiposLancamentos!B6</f>
        <v>Energia Eletrica</v>
      </c>
      <c r="C225" s="1740" t="s">
        <v>10179</v>
      </c>
      <c r="D225" s="1736"/>
      <c r="E225" s="952">
        <v>274.39</v>
      </c>
      <c r="F225" s="1027"/>
      <c r="G225" s="1550"/>
    </row>
    <row r="226" spans="1:7">
      <c r="A226" s="1754">
        <v>45559</v>
      </c>
      <c r="B226" s="1748" t="str">
        <f>TiposLancamentos!B16</f>
        <v>Cristiane</v>
      </c>
      <c r="C226" s="1740" t="s">
        <v>10180</v>
      </c>
      <c r="D226" s="1736"/>
      <c r="E226" s="952">
        <v>469</v>
      </c>
      <c r="F226" s="1027"/>
      <c r="G226" s="1550"/>
    </row>
    <row r="227" spans="1:7">
      <c r="A227" s="1754">
        <v>45559</v>
      </c>
      <c r="B227" s="1748" t="str">
        <f>TiposLancamentos!B19</f>
        <v>Restaurantes</v>
      </c>
      <c r="C227" s="1740" t="s">
        <v>1967</v>
      </c>
      <c r="D227" s="1736"/>
      <c r="E227" s="952">
        <v>48.4</v>
      </c>
      <c r="F227" s="1027"/>
      <c r="G227" s="1550"/>
    </row>
    <row r="228" spans="1:7">
      <c r="A228" s="1754">
        <v>45561</v>
      </c>
      <c r="B228" s="1748" t="str">
        <f>TiposLancamentos!B103</f>
        <v>Juros_Corr. Poupança</v>
      </c>
      <c r="C228" s="1740" t="str">
        <f>TiposLancamentos!B103</f>
        <v>Juros_Corr. Poupança</v>
      </c>
      <c r="D228" s="1736">
        <v>8.41</v>
      </c>
      <c r="E228" s="952"/>
      <c r="F228" s="1027"/>
      <c r="G228" s="1550"/>
    </row>
    <row r="229" spans="1:7">
      <c r="A229" s="1754">
        <v>45561</v>
      </c>
      <c r="B229" s="1748" t="str">
        <f>TiposLancamentos!B105</f>
        <v>Transf. Bco</v>
      </c>
      <c r="C229" s="1740" t="s">
        <v>10181</v>
      </c>
      <c r="D229" s="1736">
        <v>150</v>
      </c>
      <c r="E229" s="952"/>
      <c r="F229" s="1027"/>
      <c r="G229" s="1550"/>
    </row>
    <row r="230" spans="1:7">
      <c r="A230" s="1754">
        <v>45562</v>
      </c>
      <c r="B230" s="1748" t="str">
        <f>TiposLancamentos!B13</f>
        <v>Moradia</v>
      </c>
      <c r="C230" s="1740" t="s">
        <v>10176</v>
      </c>
      <c r="D230" s="1736"/>
      <c r="E230" s="952">
        <v>16</v>
      </c>
      <c r="F230" s="1027"/>
      <c r="G230" s="1550"/>
    </row>
    <row r="231" spans="1:7">
      <c r="A231" s="1754">
        <v>45563</v>
      </c>
      <c r="B231" s="1748" t="str">
        <f>TiposLancamentos!B19</f>
        <v>Restaurantes</v>
      </c>
      <c r="C231" s="1740" t="s">
        <v>10182</v>
      </c>
      <c r="D231" s="1736"/>
      <c r="E231" s="952">
        <v>89.97</v>
      </c>
      <c r="F231" s="1027"/>
      <c r="G231" s="1550"/>
    </row>
    <row r="232" spans="1:7">
      <c r="A232" s="1754">
        <v>45563</v>
      </c>
      <c r="B232" s="1748" t="str">
        <f>TiposLancamentos!B24</f>
        <v>Estacionamentos</v>
      </c>
      <c r="C232" s="1740" t="s">
        <v>7490</v>
      </c>
      <c r="D232" s="1736"/>
      <c r="E232" s="952">
        <v>20</v>
      </c>
      <c r="F232" s="1027"/>
      <c r="G232" s="1550"/>
    </row>
    <row r="233" spans="1:7">
      <c r="A233" s="1754">
        <v>45565</v>
      </c>
      <c r="B233" s="1748" t="str">
        <f>TiposLancamentos!B105</f>
        <v>Transf. Bco</v>
      </c>
      <c r="C233" s="1740" t="s">
        <v>10181</v>
      </c>
      <c r="D233" s="1736">
        <v>4165.8900000000003</v>
      </c>
      <c r="E233" s="952"/>
      <c r="F233" s="1027"/>
      <c r="G233" s="1550"/>
    </row>
    <row r="234" spans="1:7">
      <c r="A234" s="1754">
        <v>45565</v>
      </c>
      <c r="B234" s="1748" t="str">
        <f>TiposLancamentos!B103</f>
        <v>Juros_Corr. Poupança</v>
      </c>
      <c r="C234" s="1740" t="str">
        <f>TiposLancamentos!B103</f>
        <v>Juros_Corr. Poupança</v>
      </c>
      <c r="D234" s="1736">
        <v>3.98</v>
      </c>
      <c r="E234" s="952"/>
      <c r="F234" s="1027"/>
      <c r="G234" s="1550"/>
    </row>
    <row r="235" spans="1:7">
      <c r="A235" s="1754">
        <v>45566</v>
      </c>
      <c r="B235" s="1748" t="str">
        <f>TiposLancamentos!B15</f>
        <v>Cartões de Crédito</v>
      </c>
      <c r="C235" s="1040" t="s">
        <v>8016</v>
      </c>
      <c r="D235" s="1736"/>
      <c r="E235" s="952">
        <v>3471.41</v>
      </c>
      <c r="F235" s="1027"/>
      <c r="G235" s="1550"/>
    </row>
    <row r="236" spans="1:7">
      <c r="A236" s="1754">
        <v>45566</v>
      </c>
      <c r="B236" s="1748" t="str">
        <f>TiposLancamentos!B15</f>
        <v>Cartões de Crédito</v>
      </c>
      <c r="C236" s="1040" t="s">
        <v>9361</v>
      </c>
      <c r="D236" s="1736"/>
      <c r="E236" s="952">
        <v>2712.64</v>
      </c>
      <c r="F236" s="1027"/>
      <c r="G236" s="1550"/>
    </row>
    <row r="237" spans="1:7">
      <c r="A237" s="1754">
        <v>45566</v>
      </c>
      <c r="B237" s="1748" t="str">
        <f>TiposLancamentos!B15</f>
        <v>Cartões de Crédito</v>
      </c>
      <c r="C237" s="1040" t="s">
        <v>9237</v>
      </c>
      <c r="D237" s="1736"/>
      <c r="E237" s="952">
        <v>2436.1999999999998</v>
      </c>
      <c r="F237" s="1027"/>
      <c r="G237" s="1550"/>
    </row>
    <row r="238" spans="1:7">
      <c r="A238" s="1754">
        <v>45566</v>
      </c>
      <c r="B238" s="1748" t="str">
        <f>TiposLancamentos!B105</f>
        <v>Transf. Bco</v>
      </c>
      <c r="C238" s="1040" t="s">
        <v>10097</v>
      </c>
      <c r="D238" s="1736"/>
      <c r="E238" s="952">
        <v>1339.42</v>
      </c>
      <c r="F238" s="1027"/>
      <c r="G238" s="1550"/>
    </row>
    <row r="239" spans="1:7">
      <c r="A239" s="1754">
        <v>45566</v>
      </c>
      <c r="B239" s="1748" t="str">
        <f>TiposLancamentos!B103</f>
        <v>Juros_Corr. Poupança</v>
      </c>
      <c r="C239" s="1040" t="str">
        <f>TiposLancamentos!B103</f>
        <v>Juros_Corr. Poupança</v>
      </c>
      <c r="D239" s="1736">
        <v>3.39</v>
      </c>
      <c r="E239" s="952"/>
      <c r="F239" s="1027"/>
      <c r="G239" s="1550"/>
    </row>
    <row r="240" spans="1:7">
      <c r="A240" s="1754">
        <v>45646</v>
      </c>
      <c r="B240" s="1748" t="str">
        <f>TiposLancamentos!B105</f>
        <v>Transf. Bco</v>
      </c>
      <c r="C240" s="1040" t="s">
        <v>9347</v>
      </c>
      <c r="D240" s="1736">
        <v>4313.29</v>
      </c>
      <c r="E240" s="952"/>
      <c r="F240" s="1027"/>
      <c r="G240" s="1550"/>
    </row>
    <row r="241" spans="1:7">
      <c r="A241" s="1754">
        <v>45649</v>
      </c>
      <c r="B241" s="1748" t="str">
        <f>TiposLancamentos!B105</f>
        <v>Transf. Bco</v>
      </c>
      <c r="C241" s="1040" t="s">
        <v>10183</v>
      </c>
      <c r="D241" s="1736">
        <v>0.93</v>
      </c>
      <c r="E241" s="952"/>
      <c r="F241" s="1027"/>
      <c r="G241" s="1550"/>
    </row>
    <row r="242" spans="1:7">
      <c r="A242" s="1754">
        <v>45649</v>
      </c>
      <c r="B242" s="1748" t="str">
        <f>TiposLancamentos!B105</f>
        <v>Transf. Bco</v>
      </c>
      <c r="C242" s="1040" t="s">
        <v>10184</v>
      </c>
      <c r="D242" s="1736"/>
      <c r="E242" s="952">
        <v>4315.82</v>
      </c>
      <c r="F242" s="1027"/>
      <c r="G242" s="1550"/>
    </row>
    <row r="243" spans="1:7">
      <c r="A243" s="1754">
        <v>45649</v>
      </c>
      <c r="B243" s="1748" t="str">
        <f>TiposLancamentos!B103</f>
        <v>Juros_Corr. Poupança</v>
      </c>
      <c r="C243" s="1040" t="str">
        <f>TiposLancamentos!B103</f>
        <v>Juros_Corr. Poupança</v>
      </c>
      <c r="D243" s="1736">
        <v>1.6</v>
      </c>
      <c r="E243" s="952"/>
      <c r="F243" s="1027"/>
      <c r="G243" s="1550"/>
    </row>
    <row r="244" spans="1:7">
      <c r="A244" s="1754">
        <v>45665</v>
      </c>
      <c r="B244" s="1748" t="str">
        <f>TiposLancamentos!B105</f>
        <v>Transf. Bco</v>
      </c>
      <c r="C244" s="1040" t="s">
        <v>10065</v>
      </c>
      <c r="D244" s="1736">
        <v>9135.33</v>
      </c>
      <c r="E244" s="952"/>
      <c r="F244" s="1027"/>
      <c r="G244" s="1550"/>
    </row>
    <row r="245" spans="1:7">
      <c r="A245" s="1754">
        <v>45665</v>
      </c>
      <c r="B245" s="1748" t="str">
        <f>TiposLancamentos!B105</f>
        <v>Transf. Bco</v>
      </c>
      <c r="C245" s="1740" t="s">
        <v>10185</v>
      </c>
      <c r="D245" s="1736">
        <v>0.93</v>
      </c>
      <c r="E245" s="952"/>
      <c r="F245" s="1027"/>
      <c r="G245" s="1550"/>
    </row>
    <row r="246" spans="1:7">
      <c r="A246" s="1754">
        <v>45665</v>
      </c>
      <c r="B246" s="1748" t="str">
        <f>TiposLancamentos!B105</f>
        <v>Transf. Bco</v>
      </c>
      <c r="C246" s="1740" t="s">
        <v>8730</v>
      </c>
      <c r="D246" s="1736">
        <v>0.96</v>
      </c>
      <c r="E246" s="952"/>
      <c r="F246" s="1027"/>
      <c r="G246" s="1550"/>
    </row>
    <row r="247" spans="1:7">
      <c r="A247" s="1754">
        <v>45665</v>
      </c>
      <c r="B247" s="1748" t="str">
        <f>TiposLancamentos!B69</f>
        <v>Consertos</v>
      </c>
      <c r="C247" s="1740" t="s">
        <v>10186</v>
      </c>
      <c r="D247" s="1736"/>
      <c r="E247" s="952">
        <v>70</v>
      </c>
      <c r="F247" s="1027"/>
      <c r="G247" s="1550"/>
    </row>
    <row r="248" spans="1:7">
      <c r="A248" s="1754">
        <v>45666</v>
      </c>
      <c r="B248" s="1748" t="str">
        <f>TiposLancamentos!B5</f>
        <v>Supermercado</v>
      </c>
      <c r="C248" s="1740" t="s">
        <v>10187</v>
      </c>
      <c r="D248" s="1736"/>
      <c r="E248" s="952">
        <v>73.739999999999995</v>
      </c>
      <c r="F248" s="1027"/>
      <c r="G248" s="1550"/>
    </row>
    <row r="249" spans="1:7">
      <c r="A249" s="1754">
        <v>45666</v>
      </c>
      <c r="B249" s="1748" t="str">
        <f>TiposLancamentos!B5</f>
        <v>Supermercado</v>
      </c>
      <c r="C249" s="1740" t="s">
        <v>1884</v>
      </c>
      <c r="D249" s="1736"/>
      <c r="E249" s="952">
        <v>31.8</v>
      </c>
      <c r="F249" s="1027"/>
      <c r="G249" s="1550"/>
    </row>
    <row r="250" spans="1:7">
      <c r="A250" s="1754">
        <v>45667</v>
      </c>
      <c r="B250" s="1748" t="str">
        <f>TiposLancamentos!B13</f>
        <v>Moradia</v>
      </c>
      <c r="C250" s="1740" t="s">
        <v>8733</v>
      </c>
      <c r="D250" s="1736"/>
      <c r="E250" s="952">
        <v>17</v>
      </c>
      <c r="F250" s="1027"/>
      <c r="G250" s="1550"/>
    </row>
    <row r="251" spans="1:7">
      <c r="A251" s="1754">
        <v>45667</v>
      </c>
      <c r="B251" s="1748" t="str">
        <f>TiposLancamentos!B19</f>
        <v>Restaurantes</v>
      </c>
      <c r="C251" s="1740" t="s">
        <v>10188</v>
      </c>
      <c r="D251" s="1736"/>
      <c r="E251" s="952">
        <v>97.5</v>
      </c>
      <c r="F251" s="1027"/>
      <c r="G251" s="1550"/>
    </row>
    <row r="252" spans="1:7">
      <c r="A252" s="1754">
        <v>45668</v>
      </c>
      <c r="B252" s="1748" t="str">
        <f>TiposLancamentos!B19</f>
        <v>Restaurantes</v>
      </c>
      <c r="C252" s="1740" t="s">
        <v>10189</v>
      </c>
      <c r="D252" s="1736"/>
      <c r="E252" s="952">
        <v>61.9</v>
      </c>
      <c r="F252" s="1027"/>
      <c r="G252" s="1550"/>
    </row>
    <row r="253" spans="1:7">
      <c r="A253" s="1754">
        <v>45670</v>
      </c>
      <c r="B253" s="1748" t="str">
        <f>TiposLancamentos!B46</f>
        <v>Maçonaria</v>
      </c>
      <c r="C253" s="1040" t="s">
        <v>10190</v>
      </c>
      <c r="D253" s="1736"/>
      <c r="E253" s="952">
        <v>210</v>
      </c>
      <c r="F253" s="1027"/>
      <c r="G253" s="1550"/>
    </row>
    <row r="254" spans="1:7">
      <c r="A254" s="1754">
        <v>45671</v>
      </c>
      <c r="B254" s="1748" t="str">
        <f>TiposLancamentos!B5</f>
        <v>Supermercado</v>
      </c>
      <c r="C254" s="1740" t="s">
        <v>2061</v>
      </c>
      <c r="D254" s="1736"/>
      <c r="E254" s="952">
        <v>106.91</v>
      </c>
      <c r="F254" s="1027"/>
      <c r="G254" s="1550"/>
    </row>
    <row r="255" spans="1:7">
      <c r="A255" s="1754">
        <v>45671</v>
      </c>
      <c r="B255" s="1748" t="str">
        <f>TiposLancamentos!B5</f>
        <v>Supermercado</v>
      </c>
      <c r="C255" s="1740" t="s">
        <v>1884</v>
      </c>
      <c r="D255" s="1736"/>
      <c r="E255" s="952">
        <v>13.35</v>
      </c>
      <c r="F255" s="1027"/>
      <c r="G255" s="1550"/>
    </row>
    <row r="256" spans="1:7">
      <c r="A256" s="1754">
        <v>45672</v>
      </c>
      <c r="B256" s="1748" t="str">
        <f>TiposLancamentos!B2</f>
        <v>Telefonia</v>
      </c>
      <c r="C256" s="1770" t="s">
        <v>10191</v>
      </c>
      <c r="D256" s="1736"/>
      <c r="E256" s="952">
        <v>71.44</v>
      </c>
      <c r="F256" s="1027"/>
      <c r="G256" s="1550"/>
    </row>
    <row r="257" spans="1:7">
      <c r="A257" s="1754">
        <v>45672</v>
      </c>
      <c r="B257" s="1748" t="str">
        <f>TiposLancamentos!B105</f>
        <v>Transf. Bco</v>
      </c>
      <c r="C257" s="1740" t="s">
        <v>10192</v>
      </c>
      <c r="D257" s="1736"/>
      <c r="E257" s="952">
        <v>495.07</v>
      </c>
      <c r="F257" s="1027"/>
      <c r="G257" s="1550"/>
    </row>
    <row r="258" spans="1:7">
      <c r="A258" s="1754">
        <v>45672</v>
      </c>
      <c r="B258" s="1748" t="str">
        <f>TiposLancamentos!B24</f>
        <v>Estacionamentos</v>
      </c>
      <c r="C258" s="1740" t="s">
        <v>9397</v>
      </c>
      <c r="D258" s="1736"/>
      <c r="E258" s="952">
        <v>10</v>
      </c>
      <c r="F258" s="1027"/>
      <c r="G258" s="1550"/>
    </row>
    <row r="259" spans="1:7">
      <c r="A259" s="1754">
        <v>45672</v>
      </c>
      <c r="B259" s="1748" t="str">
        <f>B255</f>
        <v>Supermercado</v>
      </c>
      <c r="C259" s="1740" t="s">
        <v>1884</v>
      </c>
      <c r="D259" s="1736"/>
      <c r="E259" s="952">
        <v>36.840000000000003</v>
      </c>
      <c r="F259" s="1027"/>
      <c r="G259" s="1550"/>
    </row>
    <row r="260" spans="1:7">
      <c r="A260" s="1754">
        <v>45672</v>
      </c>
      <c r="B260" s="1748" t="str">
        <f>TiposLancamentos!B5</f>
        <v>Supermercado</v>
      </c>
      <c r="C260" s="1740" t="s">
        <v>1884</v>
      </c>
      <c r="D260" s="1736"/>
      <c r="E260" s="952">
        <v>22.27</v>
      </c>
      <c r="F260" s="1027"/>
      <c r="G260" s="1550"/>
    </row>
    <row r="261" spans="1:7">
      <c r="A261" s="1754">
        <v>45673</v>
      </c>
      <c r="B261" s="1748" t="str">
        <f>TiposLancamentos!B73</f>
        <v>Cursos</v>
      </c>
      <c r="C261" s="1740" t="s">
        <v>10193</v>
      </c>
      <c r="D261" s="1736"/>
      <c r="E261" s="952">
        <v>297.89999999999998</v>
      </c>
      <c r="F261" s="1027"/>
      <c r="G261" s="1550"/>
    </row>
    <row r="262" spans="1:7">
      <c r="A262" s="1754">
        <v>45674</v>
      </c>
      <c r="B262" s="1748" t="str">
        <f>TiposLancamentos!B13</f>
        <v>Moradia</v>
      </c>
      <c r="C262" s="1740" t="s">
        <v>10194</v>
      </c>
      <c r="D262" s="1736"/>
      <c r="E262" s="952">
        <v>17</v>
      </c>
      <c r="F262" s="1027"/>
      <c r="G262" s="1550"/>
    </row>
    <row r="263" spans="1:7">
      <c r="A263" s="1754">
        <v>45674</v>
      </c>
      <c r="B263" s="1748" t="str">
        <f>TiposLancamentos!B71</f>
        <v>Itens Pessoais</v>
      </c>
      <c r="C263" s="1740" t="s">
        <v>2035</v>
      </c>
      <c r="D263" s="1736"/>
      <c r="E263" s="952">
        <v>40</v>
      </c>
      <c r="F263" s="1027"/>
      <c r="G263" s="1550"/>
    </row>
    <row r="264" spans="1:7">
      <c r="A264" s="1754">
        <v>45674</v>
      </c>
      <c r="B264" s="1748" t="str">
        <f>TiposLancamentos!B5</f>
        <v>Supermercado</v>
      </c>
      <c r="C264" s="1740" t="s">
        <v>1942</v>
      </c>
      <c r="D264" s="1736"/>
      <c r="E264" s="952">
        <v>16.38</v>
      </c>
      <c r="F264" s="1027"/>
      <c r="G264" s="1550"/>
    </row>
    <row r="265" spans="1:7">
      <c r="A265" s="1754">
        <v>45674</v>
      </c>
      <c r="B265" s="1748" t="str">
        <f>TiposLancamentos!B5</f>
        <v>Supermercado</v>
      </c>
      <c r="C265" s="1740" t="s">
        <v>10195</v>
      </c>
      <c r="D265" s="1736"/>
      <c r="E265" s="952">
        <v>77.540000000000006</v>
      </c>
      <c r="F265" s="1027"/>
      <c r="G265" s="1550"/>
    </row>
    <row r="266" spans="1:7">
      <c r="A266" s="1754">
        <v>45675</v>
      </c>
      <c r="B266" s="1748" t="str">
        <f>TiposLancamentos!B19</f>
        <v>Restaurantes</v>
      </c>
      <c r="C266" s="1740" t="s">
        <v>10196</v>
      </c>
      <c r="D266" s="1736"/>
      <c r="E266" s="952">
        <v>52.58</v>
      </c>
      <c r="F266" s="1027"/>
      <c r="G266" s="1550"/>
    </row>
    <row r="267" spans="1:7">
      <c r="A267" s="1754">
        <v>45675</v>
      </c>
      <c r="B267" s="1748" t="str">
        <f>TiposLancamentos!B18</f>
        <v>Alimentacao</v>
      </c>
      <c r="C267" s="1740" t="s">
        <v>10197</v>
      </c>
      <c r="D267" s="1736"/>
      <c r="E267" s="952">
        <v>8</v>
      </c>
      <c r="F267" s="1027"/>
      <c r="G267" s="1550"/>
    </row>
    <row r="268" spans="1:7">
      <c r="A268" s="1754">
        <v>45675</v>
      </c>
      <c r="B268" s="1748" t="str">
        <f>TiposLancamentos!B5</f>
        <v>Supermercado</v>
      </c>
      <c r="C268" s="1740" t="s">
        <v>10195</v>
      </c>
      <c r="D268" s="1736"/>
      <c r="E268" s="952">
        <v>110.66</v>
      </c>
      <c r="F268" s="1027"/>
      <c r="G268" s="1550"/>
    </row>
    <row r="269" spans="1:7">
      <c r="A269" s="1754">
        <v>45675</v>
      </c>
      <c r="B269" s="1748" t="str">
        <f>TiposLancamentos!B19</f>
        <v>Restaurantes</v>
      </c>
      <c r="C269" s="1740" t="s">
        <v>10198</v>
      </c>
      <c r="D269" s="1736"/>
      <c r="E269" s="952">
        <v>58.9</v>
      </c>
      <c r="F269" s="1027"/>
      <c r="G269" s="1550"/>
    </row>
    <row r="270" spans="1:7">
      <c r="A270" s="1754">
        <v>45676</v>
      </c>
      <c r="B270" s="1748" t="str">
        <f>TiposLancamentos!B5</f>
        <v>Supermercado</v>
      </c>
      <c r="C270" s="1740" t="s">
        <v>2097</v>
      </c>
      <c r="D270" s="1736"/>
      <c r="E270" s="952">
        <v>333.46</v>
      </c>
      <c r="F270" s="1027"/>
      <c r="G270" s="1550"/>
    </row>
    <row r="271" spans="1:7">
      <c r="A271" s="1754">
        <v>45676</v>
      </c>
      <c r="B271" s="1748" t="str">
        <f>TiposLancamentos!B5</f>
        <v>Supermercado</v>
      </c>
      <c r="C271" s="1740" t="s">
        <v>1884</v>
      </c>
      <c r="D271" s="1736"/>
      <c r="E271" s="952">
        <v>16.489999999999998</v>
      </c>
      <c r="F271" s="1027"/>
      <c r="G271" s="1550"/>
    </row>
    <row r="272" spans="1:7">
      <c r="A272" s="1754"/>
      <c r="B272" s="1748"/>
      <c r="C272" s="1740" t="s">
        <v>1868</v>
      </c>
      <c r="D272" s="1736"/>
      <c r="E272" s="952"/>
      <c r="F272" s="1664"/>
      <c r="G272" s="1550"/>
    </row>
    <row r="273" spans="1:7">
      <c r="A273" s="1666">
        <v>45677</v>
      </c>
      <c r="B273" s="1751" t="str">
        <f>TiposLancamentos!B8</f>
        <v>Aluguel</v>
      </c>
      <c r="C273" s="1744" t="s">
        <v>9047</v>
      </c>
      <c r="D273" s="1735"/>
      <c r="E273" s="920">
        <f>F279-SUM(E274:E279)</f>
        <v>1738.4700000000003</v>
      </c>
      <c r="F273" s="1613"/>
      <c r="G273" s="1550"/>
    </row>
    <row r="274" spans="1:7">
      <c r="A274" s="1667">
        <v>45677</v>
      </c>
      <c r="B274" s="1752" t="str">
        <f>TiposLancamentos!B9</f>
        <v>Condominio</v>
      </c>
      <c r="C274" s="1745" t="s">
        <v>9429</v>
      </c>
      <c r="D274" s="1736"/>
      <c r="E274" s="931">
        <v>775.36</v>
      </c>
      <c r="F274" s="1656"/>
      <c r="G274" s="1550"/>
    </row>
    <row r="275" spans="1:7">
      <c r="A275" s="1667">
        <v>45677</v>
      </c>
      <c r="B275" s="1752" t="str">
        <f>TiposLancamentos!B10</f>
        <v>Distr. Água Municipal</v>
      </c>
      <c r="C275" s="1745" t="s">
        <v>7423</v>
      </c>
      <c r="D275" s="1736"/>
      <c r="E275" s="931">
        <v>75.92</v>
      </c>
      <c r="F275" s="1656"/>
      <c r="G275" s="1550"/>
    </row>
    <row r="276" spans="1:7">
      <c r="A276" s="1667">
        <v>45677</v>
      </c>
      <c r="B276" s="1752" t="str">
        <f>TiposLancamentos!B11</f>
        <v>Coleta Municipal Lixo</v>
      </c>
      <c r="C276" s="1745" t="s">
        <v>7424</v>
      </c>
      <c r="D276" s="1736"/>
      <c r="E276" s="931">
        <v>67.23</v>
      </c>
      <c r="F276" s="1656"/>
      <c r="G276" s="1550"/>
    </row>
    <row r="277" spans="1:7">
      <c r="A277" s="1667">
        <v>45677</v>
      </c>
      <c r="B277" s="1752" t="str">
        <f>TiposLancamentos!B12</f>
        <v>IPTU</v>
      </c>
      <c r="C277" s="1745" t="s">
        <v>9048</v>
      </c>
      <c r="D277" s="1736"/>
      <c r="E277" s="931">
        <v>65.92</v>
      </c>
      <c r="F277" s="1656"/>
      <c r="G277" s="1550"/>
    </row>
    <row r="278" spans="1:7">
      <c r="A278" s="1667">
        <v>45677</v>
      </c>
      <c r="B278" s="1752" t="str">
        <f>TiposLancamentos!B8</f>
        <v>Aluguel</v>
      </c>
      <c r="C278" s="1745" t="s">
        <v>8955</v>
      </c>
      <c r="D278" s="1736"/>
      <c r="E278" s="931">
        <v>8</v>
      </c>
      <c r="F278" s="1656"/>
      <c r="G278" s="1550"/>
    </row>
    <row r="279" spans="1:7">
      <c r="A279" s="1750">
        <v>45677</v>
      </c>
      <c r="B279" s="1753" t="str">
        <f>TiposLancamentos!B34</f>
        <v>Seguros</v>
      </c>
      <c r="C279" s="1746" t="s">
        <v>9262</v>
      </c>
      <c r="D279" s="1737"/>
      <c r="E279" s="922">
        <v>0</v>
      </c>
      <c r="F279" s="1518">
        <v>2730.9</v>
      </c>
      <c r="G279" s="1550"/>
    </row>
    <row r="280" spans="1:7">
      <c r="A280" s="1754"/>
      <c r="B280" s="1754"/>
      <c r="C280" s="1040" t="s">
        <v>1868</v>
      </c>
      <c r="D280" s="1736"/>
      <c r="E280" s="952"/>
      <c r="F280" s="1656"/>
      <c r="G280" s="1550"/>
    </row>
    <row r="281" spans="1:7">
      <c r="A281" s="1754">
        <v>45677</v>
      </c>
      <c r="B281" s="1748" t="str">
        <f>TiposLancamentos!B73</f>
        <v>Cursos</v>
      </c>
      <c r="C281" s="1740" t="s">
        <v>10199</v>
      </c>
      <c r="D281" s="1736"/>
      <c r="E281" s="952">
        <v>49.7</v>
      </c>
      <c r="F281" s="1027"/>
      <c r="G281" s="1550"/>
    </row>
    <row r="282" spans="1:7">
      <c r="A282" s="1754">
        <v>45678</v>
      </c>
      <c r="B282" s="1748" t="str">
        <f>TiposLancamentos!B6</f>
        <v>Energia Eletrica</v>
      </c>
      <c r="C282" s="1740" t="s">
        <v>10200</v>
      </c>
      <c r="D282" s="1736"/>
      <c r="E282" s="952">
        <v>180.57</v>
      </c>
      <c r="F282" s="1027"/>
      <c r="G282" s="1550"/>
    </row>
    <row r="283" spans="1:7">
      <c r="A283" s="1754">
        <v>45678</v>
      </c>
      <c r="B283" s="1748" t="str">
        <f>TiposLancamentos!B5</f>
        <v>Supermercado</v>
      </c>
      <c r="C283" s="1740" t="s">
        <v>1884</v>
      </c>
      <c r="D283" s="1736"/>
      <c r="E283" s="952">
        <v>30.47</v>
      </c>
      <c r="F283" s="1027"/>
      <c r="G283" s="1550"/>
    </row>
    <row r="284" spans="1:7">
      <c r="A284" s="1754">
        <v>45679</v>
      </c>
      <c r="B284" s="1748" t="str">
        <f>TiposLancamentos!B24</f>
        <v>Estacionamentos</v>
      </c>
      <c r="C284" s="1740" t="s">
        <v>10201</v>
      </c>
      <c r="D284" s="1736"/>
      <c r="E284" s="952">
        <v>10</v>
      </c>
      <c r="F284" s="1027"/>
      <c r="G284" s="1550"/>
    </row>
    <row r="285" spans="1:7">
      <c r="A285" s="1754">
        <v>45679</v>
      </c>
      <c r="B285" s="1748" t="str">
        <f>TiposLancamentos!B5</f>
        <v>Supermercado</v>
      </c>
      <c r="C285" s="1740" t="s">
        <v>10195</v>
      </c>
      <c r="D285" s="1736"/>
      <c r="E285" s="952">
        <v>121.64</v>
      </c>
      <c r="F285" s="1027"/>
      <c r="G285" s="1550"/>
    </row>
    <row r="286" spans="1:7">
      <c r="A286" s="1754">
        <v>45679</v>
      </c>
      <c r="B286" s="1748" t="str">
        <f>TiposLancamentos!B19</f>
        <v>Restaurantes</v>
      </c>
      <c r="C286" s="1740" t="s">
        <v>10202</v>
      </c>
      <c r="D286" s="1736"/>
      <c r="E286" s="952">
        <v>80</v>
      </c>
      <c r="F286" s="1027"/>
      <c r="G286" s="1550"/>
    </row>
    <row r="287" spans="1:7">
      <c r="A287" s="1754">
        <v>45680</v>
      </c>
      <c r="B287" s="1748" t="str">
        <f>TiposLancamentos!B17</f>
        <v>GATO</v>
      </c>
      <c r="C287" s="1740" t="s">
        <v>2180</v>
      </c>
      <c r="D287" s="1736"/>
      <c r="E287" s="952">
        <v>137.58000000000001</v>
      </c>
      <c r="F287" s="1027"/>
      <c r="G287" s="1550"/>
    </row>
    <row r="288" spans="1:7">
      <c r="A288" s="1754"/>
      <c r="B288" s="1748"/>
      <c r="C288" s="1740" t="s">
        <v>1947</v>
      </c>
      <c r="D288" s="1736"/>
      <c r="E288" s="952"/>
      <c r="F288" s="1027"/>
      <c r="G288" s="1550"/>
    </row>
    <row r="289" spans="1:7">
      <c r="A289" s="1666">
        <v>45680</v>
      </c>
      <c r="B289" s="1666" t="str">
        <f>TiposLancamentos!B72</f>
        <v>Presentes</v>
      </c>
      <c r="C289" s="1742" t="s">
        <v>10203</v>
      </c>
      <c r="D289" s="1735"/>
      <c r="E289" s="920">
        <v>28.97</v>
      </c>
      <c r="F289" s="1290"/>
      <c r="G289" s="1550"/>
    </row>
    <row r="290" spans="1:7">
      <c r="A290" s="1750">
        <v>45680</v>
      </c>
      <c r="B290" s="1750" t="str">
        <f>TiposLancamentos!B60</f>
        <v>Correio</v>
      </c>
      <c r="C290" s="1743" t="s">
        <v>10204</v>
      </c>
      <c r="D290" s="1737"/>
      <c r="E290" s="922">
        <v>9.6199999999999992</v>
      </c>
      <c r="F290" s="1518">
        <f>SUM(E289:E290)</f>
        <v>38.589999999999996</v>
      </c>
      <c r="G290" s="1550"/>
    </row>
    <row r="291" spans="1:7">
      <c r="A291" s="1754"/>
      <c r="B291" s="1748"/>
      <c r="C291" s="1740" t="s">
        <v>1947</v>
      </c>
      <c r="D291" s="1736"/>
      <c r="E291" s="952"/>
      <c r="F291" s="1027"/>
      <c r="G291" s="1550"/>
    </row>
    <row r="292" spans="1:7">
      <c r="A292" s="1666">
        <v>45680</v>
      </c>
      <c r="B292" s="1666" t="str">
        <f>TiposLancamentos!B36</f>
        <v>Playstation 2</v>
      </c>
      <c r="C292" s="1742" t="s">
        <v>10205</v>
      </c>
      <c r="D292" s="1735"/>
      <c r="E292" s="920">
        <v>82.8</v>
      </c>
      <c r="F292" s="1290"/>
      <c r="G292" s="1550"/>
    </row>
    <row r="293" spans="1:7">
      <c r="A293" s="1667">
        <v>45680</v>
      </c>
      <c r="B293" s="1667" t="str">
        <f>TiposLancamentos!B4</f>
        <v>Taxas Bancarias</v>
      </c>
      <c r="C293" s="1769" t="s">
        <v>4858</v>
      </c>
      <c r="D293" s="1736"/>
      <c r="E293" s="931">
        <v>0.32</v>
      </c>
      <c r="F293" s="1458"/>
      <c r="G293" s="1550"/>
    </row>
    <row r="294" spans="1:7">
      <c r="A294" s="1667">
        <v>45680</v>
      </c>
      <c r="B294" s="1667" t="str">
        <f>TiposLancamentos!B4</f>
        <v>Taxas Bancarias</v>
      </c>
      <c r="C294" s="1769" t="s">
        <v>10206</v>
      </c>
      <c r="D294" s="1736"/>
      <c r="E294" s="931">
        <v>16.559999999999999</v>
      </c>
      <c r="F294" s="1458"/>
      <c r="G294" s="1550"/>
    </row>
    <row r="295" spans="1:7">
      <c r="A295" s="1750">
        <v>45680</v>
      </c>
      <c r="B295" s="1750" t="str">
        <f>TiposLancamentos!B4</f>
        <v>Taxas Bancarias</v>
      </c>
      <c r="C295" s="1743" t="s">
        <v>2399</v>
      </c>
      <c r="D295" s="1737"/>
      <c r="E295" s="922">
        <v>20.350000000000001</v>
      </c>
      <c r="F295" s="1518">
        <f>SUM(E292:E295)</f>
        <v>120.03</v>
      </c>
      <c r="G295" s="1550"/>
    </row>
    <row r="296" spans="1:7">
      <c r="A296" s="1754"/>
      <c r="B296" s="1748"/>
      <c r="C296" s="1740" t="s">
        <v>1947</v>
      </c>
      <c r="D296" s="1736"/>
      <c r="E296" s="952"/>
      <c r="F296" s="1027"/>
      <c r="G296" s="1550"/>
    </row>
    <row r="297" spans="1:7">
      <c r="A297" s="1754">
        <v>45680</v>
      </c>
      <c r="B297" s="1748" t="str">
        <f>TiposLancamentos!B13</f>
        <v>Moradia</v>
      </c>
      <c r="C297" s="1740" t="s">
        <v>10207</v>
      </c>
      <c r="D297" s="1736"/>
      <c r="E297" s="952">
        <v>139</v>
      </c>
      <c r="F297" s="1027"/>
      <c r="G297" s="1550"/>
    </row>
    <row r="298" spans="1:7">
      <c r="A298" s="1754">
        <v>45681</v>
      </c>
      <c r="B298" s="1748" t="str">
        <f>TiposLancamentos!B102</f>
        <v>ESTORNO</v>
      </c>
      <c r="C298" s="1740" t="s">
        <v>10208</v>
      </c>
      <c r="D298" s="1736"/>
      <c r="E298" s="952">
        <v>138</v>
      </c>
      <c r="F298" s="1027"/>
      <c r="G298" s="1550"/>
    </row>
    <row r="299" spans="1:7">
      <c r="A299" s="1754">
        <v>45681</v>
      </c>
      <c r="B299" s="1748" t="str">
        <f>TiposLancamentos!B5</f>
        <v>Supermercado</v>
      </c>
      <c r="C299" s="1740" t="s">
        <v>10209</v>
      </c>
      <c r="D299" s="1736"/>
      <c r="E299" s="952">
        <v>21.38</v>
      </c>
      <c r="F299" s="1027"/>
      <c r="G299" s="1550"/>
    </row>
    <row r="300" spans="1:7">
      <c r="A300" s="1754">
        <v>45682</v>
      </c>
      <c r="B300" s="1748" t="str">
        <f>TiposLancamentos!B19</f>
        <v>Restaurantes</v>
      </c>
      <c r="C300" s="1740" t="s">
        <v>10210</v>
      </c>
      <c r="D300" s="1736"/>
      <c r="E300" s="952">
        <v>20.399999999999999</v>
      </c>
      <c r="F300" s="1027"/>
      <c r="G300" s="1550"/>
    </row>
    <row r="301" spans="1:7">
      <c r="A301" s="1666">
        <v>45682</v>
      </c>
      <c r="B301" s="1666" t="str">
        <f>TiposLancamentos!B37</f>
        <v>Playstation 3</v>
      </c>
      <c r="C301" s="1742" t="s">
        <v>10211</v>
      </c>
      <c r="D301" s="1735"/>
      <c r="E301" s="920">
        <f>320/4</f>
        <v>80</v>
      </c>
      <c r="F301" s="1290"/>
      <c r="G301" s="1550"/>
    </row>
    <row r="302" spans="1:7">
      <c r="A302" s="1667">
        <v>45682</v>
      </c>
      <c r="B302" s="1667" t="str">
        <f>TiposLancamentos!B38</f>
        <v>Playstation 4</v>
      </c>
      <c r="C302" s="1769" t="s">
        <v>10212</v>
      </c>
      <c r="D302" s="1736"/>
      <c r="E302" s="931">
        <f>320/4</f>
        <v>80</v>
      </c>
      <c r="F302" s="1458"/>
      <c r="G302" s="1550"/>
    </row>
    <row r="303" spans="1:7">
      <c r="A303" s="1667">
        <v>45682</v>
      </c>
      <c r="B303" s="1667" t="str">
        <f>TiposLancamentos!B37</f>
        <v>Playstation 3</v>
      </c>
      <c r="C303" s="1769" t="s">
        <v>10213</v>
      </c>
      <c r="D303" s="1736"/>
      <c r="E303" s="931">
        <f>320/4</f>
        <v>80</v>
      </c>
      <c r="F303" s="1458"/>
      <c r="G303" s="1550"/>
    </row>
    <row r="304" spans="1:7">
      <c r="A304" s="1750">
        <v>45682</v>
      </c>
      <c r="B304" s="1750" t="str">
        <f>TiposLancamentos!B37</f>
        <v>Playstation 3</v>
      </c>
      <c r="C304" s="1743" t="s">
        <v>10214</v>
      </c>
      <c r="D304" s="1737"/>
      <c r="E304" s="922">
        <f>320/4</f>
        <v>80</v>
      </c>
      <c r="F304" s="1518">
        <f>SUM(E301:E304)</f>
        <v>320</v>
      </c>
      <c r="G304" s="1550"/>
    </row>
    <row r="305" spans="1:7">
      <c r="A305" s="1666">
        <v>45682</v>
      </c>
      <c r="B305" s="1666" t="str">
        <f>TiposLancamentos!B38</f>
        <v>Playstation 4</v>
      </c>
      <c r="C305" s="1742" t="s">
        <v>10215</v>
      </c>
      <c r="D305" s="1735"/>
      <c r="E305" s="920">
        <v>60</v>
      </c>
      <c r="F305" s="1290"/>
      <c r="G305" s="1550"/>
    </row>
    <row r="306" spans="1:7">
      <c r="A306" s="1750">
        <v>45682</v>
      </c>
      <c r="B306" s="1667" t="str">
        <f>TiposLancamentos!B37</f>
        <v>Playstation 3</v>
      </c>
      <c r="C306" s="1769" t="s">
        <v>10216</v>
      </c>
      <c r="D306" s="1736"/>
      <c r="E306" s="931">
        <v>40</v>
      </c>
      <c r="F306" s="1458"/>
      <c r="G306" s="1550"/>
    </row>
    <row r="307" spans="1:7">
      <c r="A307" s="1750">
        <v>45682</v>
      </c>
      <c r="B307" s="1750" t="str">
        <f>TiposLancamentos!B37</f>
        <v>Playstation 3</v>
      </c>
      <c r="C307" s="1743" t="s">
        <v>10217</v>
      </c>
      <c r="D307" s="1737"/>
      <c r="E307" s="922">
        <v>50</v>
      </c>
      <c r="F307" s="1518">
        <f>SUM(E305:E307)</f>
        <v>150</v>
      </c>
      <c r="G307" s="1550"/>
    </row>
    <row r="308" spans="1:7">
      <c r="A308" s="1754">
        <v>45682</v>
      </c>
      <c r="B308" s="1748" t="str">
        <f>TiposLancamentos!B37</f>
        <v>Playstation 3</v>
      </c>
      <c r="C308" s="1740" t="s">
        <v>10218</v>
      </c>
      <c r="D308" s="1736"/>
      <c r="E308" s="952">
        <v>60</v>
      </c>
      <c r="F308" s="1027"/>
      <c r="G308" s="1550"/>
    </row>
    <row r="309" spans="1:7">
      <c r="A309" s="1754">
        <v>45682</v>
      </c>
      <c r="B309" s="1748" t="str">
        <f>TiposLancamentos!B16</f>
        <v>Cristiane</v>
      </c>
      <c r="C309" s="1740" t="s">
        <v>10219</v>
      </c>
      <c r="D309" s="1736"/>
      <c r="E309" s="952">
        <v>39.94</v>
      </c>
      <c r="F309" s="1027"/>
      <c r="G309" s="1550"/>
    </row>
    <row r="310" spans="1:7">
      <c r="A310" s="1754">
        <v>45682</v>
      </c>
      <c r="B310" s="1748" t="str">
        <f>TiposLancamentos!B5</f>
        <v>Supermercado</v>
      </c>
      <c r="C310" s="1740" t="s">
        <v>10220</v>
      </c>
      <c r="D310" s="1736"/>
      <c r="E310" s="952">
        <v>150.26</v>
      </c>
      <c r="F310" s="1027"/>
      <c r="G310" s="1550"/>
    </row>
    <row r="311" spans="1:7">
      <c r="A311" s="1754">
        <v>45682</v>
      </c>
      <c r="B311" s="1748" t="str">
        <f>TiposLancamentos!B5</f>
        <v>Supermercado</v>
      </c>
      <c r="C311" s="1740" t="s">
        <v>1884</v>
      </c>
      <c r="D311" s="1736"/>
      <c r="E311" s="952">
        <v>9.9</v>
      </c>
      <c r="F311" s="1027"/>
      <c r="G311" s="1550"/>
    </row>
    <row r="312" spans="1:7">
      <c r="A312" s="1754">
        <v>45682</v>
      </c>
      <c r="B312" s="1748" t="str">
        <f>TiposLancamentos!B19</f>
        <v>Restaurantes</v>
      </c>
      <c r="C312" s="1740" t="s">
        <v>10221</v>
      </c>
      <c r="D312" s="1736"/>
      <c r="E312" s="952">
        <v>63.9</v>
      </c>
      <c r="F312" s="1027"/>
      <c r="G312" s="1550"/>
    </row>
    <row r="313" spans="1:7">
      <c r="A313" s="1754">
        <v>45683</v>
      </c>
      <c r="B313" s="1748" t="str">
        <f>TiposLancamentos!B5</f>
        <v>Supermercado</v>
      </c>
      <c r="C313" s="1740" t="s">
        <v>1884</v>
      </c>
      <c r="D313" s="1736"/>
      <c r="E313" s="952">
        <v>22.97</v>
      </c>
      <c r="F313" s="1027"/>
      <c r="G313" s="1550"/>
    </row>
    <row r="314" spans="1:7">
      <c r="A314" s="1754">
        <v>45683</v>
      </c>
      <c r="B314" s="1748" t="str">
        <f>TiposLancamentos!B5</f>
        <v>Supermercado</v>
      </c>
      <c r="C314" s="1740" t="s">
        <v>1884</v>
      </c>
      <c r="D314" s="1736"/>
      <c r="E314" s="952">
        <v>10.49</v>
      </c>
      <c r="F314" s="1027"/>
      <c r="G314" s="1550"/>
    </row>
    <row r="315" spans="1:7">
      <c r="A315" s="1754">
        <v>45684</v>
      </c>
      <c r="B315" s="1748" t="str">
        <f>TiposLancamentos!B5</f>
        <v>Supermercado</v>
      </c>
      <c r="C315" s="1740" t="s">
        <v>2097</v>
      </c>
      <c r="D315" s="1736"/>
      <c r="E315" s="952">
        <v>301.01</v>
      </c>
      <c r="F315" s="1027"/>
      <c r="G315" s="1550"/>
    </row>
    <row r="316" spans="1:7">
      <c r="A316" s="1754">
        <v>45686</v>
      </c>
      <c r="B316" s="1748" t="str">
        <f>TiposLancamentos!B60</f>
        <v>Correio</v>
      </c>
      <c r="C316" s="1740" t="s">
        <v>10222</v>
      </c>
      <c r="D316" s="1736"/>
      <c r="E316" s="952">
        <v>131.52000000000001</v>
      </c>
      <c r="F316" s="1027"/>
      <c r="G316" s="1550"/>
    </row>
    <row r="317" spans="1:7">
      <c r="A317" s="1754">
        <v>45686</v>
      </c>
      <c r="B317" s="1748" t="str">
        <f>TiposLancamentos!B19</f>
        <v>Restaurantes</v>
      </c>
      <c r="C317" s="1740" t="s">
        <v>10223</v>
      </c>
      <c r="D317" s="1736"/>
      <c r="E317" s="952">
        <v>50</v>
      </c>
      <c r="F317" s="1027"/>
      <c r="G317" s="1550"/>
    </row>
    <row r="318" spans="1:7">
      <c r="A318" s="1754">
        <v>45687</v>
      </c>
      <c r="B318" s="1748" t="str">
        <f>TiposLancamentos!B5</f>
        <v>Supermercado</v>
      </c>
      <c r="C318" s="1740" t="s">
        <v>10195</v>
      </c>
      <c r="D318" s="1736"/>
      <c r="E318" s="952">
        <v>76.900000000000006</v>
      </c>
      <c r="F318" s="1027"/>
      <c r="G318" s="1550"/>
    </row>
    <row r="319" spans="1:7">
      <c r="A319" s="1754">
        <v>45687</v>
      </c>
      <c r="B319" s="1748" t="str">
        <f>TiposLancamentos!B5</f>
        <v>Supermercado</v>
      </c>
      <c r="C319" s="1740" t="s">
        <v>1884</v>
      </c>
      <c r="D319" s="1736"/>
      <c r="E319" s="952">
        <v>30.59</v>
      </c>
      <c r="F319" s="1027"/>
      <c r="G319" s="1550"/>
    </row>
    <row r="320" spans="1:7">
      <c r="A320" s="1754">
        <v>45688</v>
      </c>
      <c r="B320" s="1748" t="str">
        <f>TiposLancamentos!B5</f>
        <v>Supermercado</v>
      </c>
      <c r="C320" s="1740" t="s">
        <v>1884</v>
      </c>
      <c r="D320" s="1736"/>
      <c r="E320" s="952">
        <v>26.97</v>
      </c>
      <c r="F320" s="1027"/>
      <c r="G320" s="1550"/>
    </row>
    <row r="321" spans="1:7">
      <c r="A321" s="1754">
        <v>45688</v>
      </c>
      <c r="B321" s="1748" t="str">
        <f>TiposLancamentos!B19</f>
        <v>Restaurantes</v>
      </c>
      <c r="C321" s="1740" t="s">
        <v>10223</v>
      </c>
      <c r="D321" s="1736"/>
      <c r="E321" s="952">
        <v>50</v>
      </c>
      <c r="F321" s="1027"/>
      <c r="G321" s="1550"/>
    </row>
    <row r="322" spans="1:7">
      <c r="A322" s="1754">
        <v>45689</v>
      </c>
      <c r="B322" s="1748" t="str">
        <f>TiposLancamentos!B56</f>
        <v>Farmácia</v>
      </c>
      <c r="C322" s="1740" t="s">
        <v>10224</v>
      </c>
      <c r="D322" s="1736"/>
      <c r="E322" s="952">
        <v>43.52</v>
      </c>
      <c r="F322" s="1027"/>
      <c r="G322" s="1550"/>
    </row>
    <row r="323" spans="1:7">
      <c r="A323" s="1754">
        <v>45689</v>
      </c>
      <c r="B323" s="1748" t="str">
        <f>TiposLancamentos!B70</f>
        <v>Vestuário</v>
      </c>
      <c r="C323" s="1740" t="s">
        <v>10225</v>
      </c>
      <c r="D323" s="1736"/>
      <c r="E323" s="952">
        <v>89.97</v>
      </c>
      <c r="F323" s="1027"/>
      <c r="G323" s="1550"/>
    </row>
    <row r="324" spans="1:7">
      <c r="A324" s="1754">
        <v>45689</v>
      </c>
      <c r="B324" s="1748" t="str">
        <f>TiposLancamentos!B24</f>
        <v>Estacionamentos</v>
      </c>
      <c r="C324" s="1740" t="s">
        <v>3398</v>
      </c>
      <c r="D324" s="1736"/>
      <c r="E324" s="952">
        <v>15</v>
      </c>
      <c r="F324" s="1027"/>
      <c r="G324" s="1550"/>
    </row>
    <row r="325" spans="1:7">
      <c r="A325" s="1754">
        <v>45689</v>
      </c>
      <c r="B325" s="1748" t="str">
        <f>TiposLancamentos!B5</f>
        <v>Supermercado</v>
      </c>
      <c r="C325" s="1740" t="s">
        <v>2171</v>
      </c>
      <c r="D325" s="1736"/>
      <c r="E325" s="952">
        <v>191.61</v>
      </c>
      <c r="F325" s="1027"/>
      <c r="G325" s="1550"/>
    </row>
    <row r="326" spans="1:7">
      <c r="A326" s="1666">
        <v>45689</v>
      </c>
      <c r="B326" s="1666" t="str">
        <f>TiposLancamentos!B37</f>
        <v>Playstation 3</v>
      </c>
      <c r="C326" s="1744" t="s">
        <v>10226</v>
      </c>
      <c r="D326" s="1735"/>
      <c r="E326" s="920">
        <v>190</v>
      </c>
      <c r="F326" s="1290"/>
      <c r="G326" s="1550"/>
    </row>
    <row r="327" spans="1:7">
      <c r="A327" s="1667">
        <v>45689</v>
      </c>
      <c r="B327" s="1667" t="str">
        <f>TiposLancamentos!B37</f>
        <v>Playstation 3</v>
      </c>
      <c r="C327" s="1769" t="s">
        <v>10227</v>
      </c>
      <c r="D327" s="1736"/>
      <c r="E327" s="931">
        <v>40</v>
      </c>
      <c r="F327" s="1458"/>
      <c r="G327" s="1550"/>
    </row>
    <row r="328" spans="1:7">
      <c r="A328" s="1750">
        <v>45689</v>
      </c>
      <c r="B328" s="1750" t="str">
        <f>TiposLancamentos!B60</f>
        <v>Correio</v>
      </c>
      <c r="C328" s="1743" t="s">
        <v>10228</v>
      </c>
      <c r="D328" s="1737"/>
      <c r="E328" s="922">
        <v>30</v>
      </c>
      <c r="F328" s="1518">
        <f>SUM(E326:E328)</f>
        <v>260</v>
      </c>
      <c r="G328" s="1550"/>
    </row>
    <row r="329" spans="1:7">
      <c r="A329" s="1754">
        <v>45689</v>
      </c>
      <c r="B329" s="1748" t="str">
        <f>TiposLancamentos!B19</f>
        <v>Restaurantes</v>
      </c>
      <c r="C329" s="1740" t="s">
        <v>10229</v>
      </c>
      <c r="D329" s="1736"/>
      <c r="E329" s="952">
        <v>69.900000000000006</v>
      </c>
      <c r="F329" s="1027"/>
      <c r="G329" s="1550"/>
    </row>
    <row r="330" spans="1:7">
      <c r="A330" s="1754">
        <v>45691</v>
      </c>
      <c r="B330" s="1748" t="str">
        <f>TiposLancamentos!B103</f>
        <v>Juros_Corr. Poupança</v>
      </c>
      <c r="C330" s="1740" t="s">
        <v>10230</v>
      </c>
      <c r="D330" s="1736">
        <v>27.15</v>
      </c>
      <c r="E330" s="952"/>
      <c r="F330" s="1027"/>
      <c r="G330" s="1550"/>
    </row>
    <row r="331" spans="1:7">
      <c r="A331" s="1754">
        <v>45691</v>
      </c>
      <c r="B331" s="1748" t="str">
        <f>TiposLancamentos!B105</f>
        <v>Transf. Bco</v>
      </c>
      <c r="C331" s="1740" t="s">
        <v>10097</v>
      </c>
      <c r="D331" s="1736"/>
      <c r="E331" s="952">
        <v>834.93</v>
      </c>
      <c r="F331" s="1027"/>
      <c r="G331" s="1550"/>
    </row>
    <row r="332" spans="1:7">
      <c r="A332" s="1754">
        <v>45731</v>
      </c>
      <c r="B332" s="1748" t="str">
        <f>TiposLancamentos!B105</f>
        <v>Transf. Bco</v>
      </c>
      <c r="C332" s="1740" t="s">
        <v>10059</v>
      </c>
      <c r="D332" s="1736">
        <v>697.71</v>
      </c>
      <c r="E332" s="952"/>
      <c r="F332" s="1027"/>
      <c r="G332" s="1550"/>
    </row>
    <row r="333" spans="1:7">
      <c r="A333" s="1754">
        <v>45672</v>
      </c>
      <c r="B333" s="1748" t="str">
        <f>TiposLancamentos!B105</f>
        <v>Transf. Bco</v>
      </c>
      <c r="C333" s="1740" t="s">
        <v>8742</v>
      </c>
      <c r="D333" s="1736">
        <v>0.01</v>
      </c>
      <c r="E333" s="952"/>
      <c r="F333" s="1027"/>
      <c r="G333" s="1550"/>
    </row>
    <row r="334" spans="1:7">
      <c r="A334" s="1754">
        <v>45672</v>
      </c>
      <c r="B334" s="1748" t="str">
        <f>TiposLancamentos!B105</f>
        <v>Transf. Bco</v>
      </c>
      <c r="C334" s="1740" t="s">
        <v>10231</v>
      </c>
      <c r="D334" s="1736"/>
      <c r="E334" s="952">
        <v>0.01</v>
      </c>
      <c r="F334" s="1027"/>
      <c r="G334" s="1550"/>
    </row>
    <row r="335" spans="1:7">
      <c r="A335" s="1754">
        <v>45736</v>
      </c>
      <c r="B335" s="1748" t="str">
        <f>TiposLancamentos!B98</f>
        <v>Restituições</v>
      </c>
      <c r="C335" s="1740" t="s">
        <v>10232</v>
      </c>
      <c r="D335" s="1736">
        <v>300</v>
      </c>
      <c r="E335" s="952"/>
      <c r="F335" s="1027"/>
      <c r="G335" s="1550"/>
    </row>
    <row r="336" spans="1:7">
      <c r="A336" s="1754">
        <v>45736</v>
      </c>
      <c r="B336" s="1748" t="str">
        <f>TiposLancamentos!B103</f>
        <v>Juros_Corr. Poupança</v>
      </c>
      <c r="C336" s="1740" t="s">
        <v>10230</v>
      </c>
      <c r="D336" s="1736">
        <v>0.8</v>
      </c>
      <c r="E336" s="952"/>
      <c r="F336" s="1027"/>
      <c r="G336" s="1550"/>
    </row>
    <row r="337" spans="1:7">
      <c r="A337" s="1754">
        <v>45736</v>
      </c>
      <c r="B337" s="1748" t="str">
        <f>TiposLancamentos!B105</f>
        <v>Transf. Bco</v>
      </c>
      <c r="C337" s="1740" t="s">
        <v>10233</v>
      </c>
      <c r="D337" s="1736">
        <v>1.51</v>
      </c>
      <c r="E337" s="952"/>
      <c r="F337" s="1027"/>
      <c r="G337" s="1550"/>
    </row>
    <row r="338" spans="1:7">
      <c r="A338" s="1754">
        <v>45742</v>
      </c>
      <c r="B338" s="1748" t="str">
        <f>TiposLancamentos!B105</f>
        <v>Transf. Bco</v>
      </c>
      <c r="C338" s="1740" t="s">
        <v>8742</v>
      </c>
      <c r="D338" s="1736">
        <v>349</v>
      </c>
      <c r="E338" s="952"/>
      <c r="F338" s="1027"/>
      <c r="G338" s="1550"/>
    </row>
    <row r="339" spans="1:7">
      <c r="A339" s="1666">
        <v>45745</v>
      </c>
      <c r="B339" s="1666" t="str">
        <f>TiposLancamentos!B37</f>
        <v>Playstation 3</v>
      </c>
      <c r="C339" s="1742" t="s">
        <v>10234</v>
      </c>
      <c r="D339" s="1735"/>
      <c r="E339" s="920">
        <v>60</v>
      </c>
      <c r="F339" s="1290"/>
      <c r="G339" s="1550"/>
    </row>
    <row r="340" spans="1:7">
      <c r="A340" s="1750">
        <v>45745</v>
      </c>
      <c r="B340" s="1750" t="str">
        <f>TiposLancamentos!B38</f>
        <v>Playstation 4</v>
      </c>
      <c r="C340" s="1743" t="s">
        <v>10235</v>
      </c>
      <c r="D340" s="1737"/>
      <c r="E340" s="922">
        <v>90</v>
      </c>
      <c r="F340" s="1518">
        <f>SUM(E339:E340)</f>
        <v>150</v>
      </c>
      <c r="G340" s="1550"/>
    </row>
    <row r="341" spans="1:7">
      <c r="A341" s="1666">
        <v>45745</v>
      </c>
      <c r="B341" s="1666" t="str">
        <f>TiposLancamentos!B37</f>
        <v>Playstation 3</v>
      </c>
      <c r="C341" s="1742" t="s">
        <v>10236</v>
      </c>
      <c r="D341" s="1735"/>
      <c r="E341" s="920">
        <v>40</v>
      </c>
      <c r="F341" s="1290"/>
      <c r="G341" s="1550"/>
    </row>
    <row r="342" spans="1:7">
      <c r="A342" s="1750">
        <v>45745</v>
      </c>
      <c r="B342" s="1750" t="str">
        <f>TiposLancamentos!B38</f>
        <v>Playstation 4</v>
      </c>
      <c r="C342" s="1743" t="s">
        <v>10237</v>
      </c>
      <c r="D342" s="1737"/>
      <c r="E342" s="922">
        <v>60</v>
      </c>
      <c r="F342" s="1518">
        <f>SUM(E341:E342)</f>
        <v>100</v>
      </c>
      <c r="G342" s="1550"/>
    </row>
    <row r="343" spans="1:7">
      <c r="A343" s="1754">
        <v>45745</v>
      </c>
      <c r="B343" s="1748" t="str">
        <f>TiposLancamentos!B36</f>
        <v>Playstation 2</v>
      </c>
      <c r="C343" s="1740" t="s">
        <v>10238</v>
      </c>
      <c r="D343" s="1736"/>
      <c r="E343" s="952">
        <v>120</v>
      </c>
      <c r="F343" s="1027"/>
      <c r="G343" s="1550"/>
    </row>
    <row r="344" spans="1:7">
      <c r="A344" s="1666">
        <v>45745</v>
      </c>
      <c r="B344" s="1666" t="str">
        <f>TiposLancamentos!B41</f>
        <v>PSP Slim 3k</v>
      </c>
      <c r="C344" s="1742" t="s">
        <v>10239</v>
      </c>
      <c r="D344" s="1735"/>
      <c r="E344" s="920">
        <v>15</v>
      </c>
      <c r="F344" s="1290"/>
      <c r="G344" s="1550"/>
    </row>
    <row r="345" spans="1:7">
      <c r="A345" s="1750">
        <v>45745</v>
      </c>
      <c r="B345" s="1750" t="str">
        <f>TiposLancamentos!B39</f>
        <v>Playstation 5</v>
      </c>
      <c r="C345" s="1743" t="s">
        <v>10240</v>
      </c>
      <c r="D345" s="1737"/>
      <c r="E345" s="922">
        <v>25</v>
      </c>
      <c r="F345" s="1518">
        <f>SUM(E344:E345)</f>
        <v>40</v>
      </c>
      <c r="G345" s="1550"/>
    </row>
    <row r="346" spans="1:7">
      <c r="A346" s="1666">
        <v>45745</v>
      </c>
      <c r="B346" s="1666" t="str">
        <f>TiposLancamentos!B37</f>
        <v>Playstation 3</v>
      </c>
      <c r="C346" s="1742" t="s">
        <v>10241</v>
      </c>
      <c r="D346" s="1735"/>
      <c r="E346" s="920">
        <v>51.49</v>
      </c>
      <c r="F346" s="1290"/>
      <c r="G346" s="1550"/>
    </row>
    <row r="347" spans="1:7">
      <c r="A347" s="1750">
        <v>45745</v>
      </c>
      <c r="B347" s="1750" t="str">
        <f>TiposLancamentos!B60</f>
        <v>Correio</v>
      </c>
      <c r="C347" s="1743" t="s">
        <v>9910</v>
      </c>
      <c r="D347" s="1737"/>
      <c r="E347" s="922">
        <v>11.8</v>
      </c>
      <c r="F347" s="1518">
        <f>SUM(E346:E347)</f>
        <v>63.290000000000006</v>
      </c>
      <c r="G347" s="1550"/>
    </row>
    <row r="348" spans="1:7">
      <c r="A348" s="1754">
        <v>45747</v>
      </c>
      <c r="B348" s="1748" t="str">
        <f>TiposLancamentos!B103</f>
        <v>Juros_Corr. Poupança</v>
      </c>
      <c r="C348" s="1740" t="s">
        <v>10154</v>
      </c>
      <c r="D348" s="1736">
        <v>3.36</v>
      </c>
      <c r="E348" s="952"/>
      <c r="F348" s="1027"/>
      <c r="G348" s="1550"/>
    </row>
    <row r="349" spans="1:7">
      <c r="A349" s="1754">
        <v>45754</v>
      </c>
      <c r="B349" s="1748" t="str">
        <f>TiposLancamentos!B54</f>
        <v>Metro</v>
      </c>
      <c r="C349" s="1740" t="s">
        <v>10242</v>
      </c>
      <c r="D349" s="1736"/>
      <c r="E349" s="952">
        <v>20.6</v>
      </c>
      <c r="F349" s="1027"/>
      <c r="G349" s="1550"/>
    </row>
    <row r="350" spans="1:7">
      <c r="A350" s="1754">
        <v>45756</v>
      </c>
      <c r="B350" s="1748" t="str">
        <f>TiposLancamentos!B103</f>
        <v>Juros_Corr. Poupança</v>
      </c>
      <c r="C350" s="1740" t="s">
        <v>10154</v>
      </c>
      <c r="D350" s="1736">
        <v>2.61</v>
      </c>
      <c r="E350" s="952"/>
      <c r="F350" s="1027"/>
      <c r="G350" s="1550"/>
    </row>
    <row r="351" spans="1:7">
      <c r="A351" s="1754">
        <v>45756</v>
      </c>
      <c r="B351" s="1748" t="str">
        <f>TiposLancamentos!B105</f>
        <v>Transf. Bco</v>
      </c>
      <c r="C351" s="1740" t="s">
        <v>10243</v>
      </c>
      <c r="D351" s="1736"/>
      <c r="E351" s="952">
        <v>861.1</v>
      </c>
      <c r="F351" s="1027"/>
      <c r="G351" s="1550"/>
    </row>
    <row r="352" spans="1:7">
      <c r="A352" s="1754"/>
      <c r="B352" s="1748"/>
      <c r="C352" s="1740"/>
      <c r="D352" s="1736"/>
      <c r="E352" s="952"/>
      <c r="F352" s="1027"/>
      <c r="G352" s="1550"/>
    </row>
    <row r="353" spans="1:7">
      <c r="A353" s="1754"/>
      <c r="B353" s="1748"/>
      <c r="C353" s="1740"/>
      <c r="D353" s="1736"/>
      <c r="E353" s="952"/>
      <c r="F353" s="1027"/>
      <c r="G353" s="1550"/>
    </row>
    <row r="354" spans="1:7">
      <c r="A354" s="1754"/>
      <c r="B354" s="1748"/>
      <c r="C354" s="1740"/>
      <c r="D354" s="1736"/>
      <c r="E354" s="952"/>
      <c r="F354" s="1027"/>
      <c r="G354" s="1550"/>
    </row>
    <row r="355" spans="1:7">
      <c r="A355" s="1754"/>
      <c r="B355" s="1748"/>
      <c r="C355" s="1740"/>
      <c r="D355" s="1736"/>
      <c r="E355" s="952"/>
      <c r="F355" s="1027"/>
      <c r="G355" s="1550"/>
    </row>
    <row r="356" spans="1:7">
      <c r="A356" s="1754"/>
      <c r="B356" s="1748"/>
      <c r="C356" s="1740"/>
      <c r="D356" s="1736"/>
      <c r="E356" s="952"/>
      <c r="F356" s="1027"/>
      <c r="G356" s="1550"/>
    </row>
    <row r="357" spans="1:7">
      <c r="A357" s="1754"/>
      <c r="B357" s="1748"/>
      <c r="C357" s="1740"/>
      <c r="D357" s="1736"/>
      <c r="E357" s="952"/>
      <c r="F357" s="1027"/>
      <c r="G357" s="1550"/>
    </row>
    <row r="358" spans="1:7" ht="14.25" thickBot="1">
      <c r="A358" s="1757"/>
      <c r="B358" s="1755"/>
      <c r="C358" s="1771"/>
      <c r="D358" s="1738"/>
      <c r="E358" s="1767"/>
      <c r="F358" s="1437"/>
      <c r="G358" s="1551"/>
    </row>
    <row r="359" spans="1:7" ht="14.25" thickBot="1">
      <c r="A359" s="1757"/>
      <c r="B359" s="1755"/>
      <c r="C359" s="1041"/>
      <c r="D359" s="1738"/>
      <c r="E359" s="1035"/>
      <c r="F359" s="905"/>
      <c r="G359" s="1547" t="s">
        <v>11</v>
      </c>
    </row>
    <row r="360" spans="1:7">
      <c r="A360" s="46"/>
      <c r="B360" s="116"/>
      <c r="C360" s="117" t="s">
        <v>12</v>
      </c>
      <c r="D360" s="185">
        <f>SUM(D2:D359)</f>
        <v>63960.530000000006</v>
      </c>
      <c r="E360" s="609">
        <f>SUM(E2:E359)</f>
        <v>63960.530000000006</v>
      </c>
      <c r="F360" s="224"/>
    </row>
    <row r="361" spans="1:7">
      <c r="A361" s="119"/>
      <c r="B361" s="120"/>
      <c r="C361" s="24" t="s">
        <v>13</v>
      </c>
      <c r="D361" s="177"/>
      <c r="E361" s="302">
        <f>D360-E360</f>
        <v>0</v>
      </c>
      <c r="F361" s="177"/>
    </row>
    <row r="362" spans="1:7">
      <c r="A362" s="65"/>
      <c r="B362" s="65"/>
      <c r="C362" s="52" t="s">
        <v>9740</v>
      </c>
      <c r="D362" s="171"/>
      <c r="E362" s="35">
        <v>0</v>
      </c>
    </row>
    <row r="363" spans="1:7">
      <c r="A363" s="65"/>
      <c r="B363" s="65"/>
      <c r="C363" s="52" t="s">
        <v>9741</v>
      </c>
      <c r="D363" s="171"/>
      <c r="E363" s="35">
        <f>IF(E362&lt;&gt;0,E361-E362,0)</f>
        <v>0</v>
      </c>
    </row>
    <row r="364" spans="1:7">
      <c r="A364" s="65"/>
      <c r="B364" s="65"/>
      <c r="C364" s="52" t="s">
        <v>14</v>
      </c>
      <c r="D364" s="171"/>
      <c r="E364" s="35">
        <v>0</v>
      </c>
    </row>
    <row r="365" spans="1:7">
      <c r="A365" s="65"/>
      <c r="B365" s="65"/>
      <c r="C365" s="52" t="s">
        <v>9742</v>
      </c>
      <c r="D365" s="171"/>
      <c r="E365" s="35">
        <f>E364+E361</f>
        <v>0</v>
      </c>
    </row>
    <row r="366" spans="1:7">
      <c r="C366" s="23"/>
      <c r="D366" s="25" t="s">
        <v>14</v>
      </c>
      <c r="E366" s="303" t="s">
        <v>15</v>
      </c>
      <c r="F366" s="25" t="s">
        <v>16</v>
      </c>
    </row>
    <row r="367" spans="1:7">
      <c r="B367" s="77" t="s">
        <v>17</v>
      </c>
      <c r="C367" s="36"/>
      <c r="D367" s="60"/>
      <c r="E367" s="34">
        <f>E361</f>
        <v>0</v>
      </c>
      <c r="F367" s="62">
        <f>D367+E367</f>
        <v>0</v>
      </c>
    </row>
  </sheetData>
  <sortState xmlns:xlrd2="http://schemas.microsoft.com/office/spreadsheetml/2017/richdata2" ref="A237:F244">
    <sortCondition descending="1" ref="F237:F244"/>
  </sortState>
  <conditionalFormatting sqref="E51 E65:E68">
    <cfRule type="cellIs" dxfId="219" priority="8" stopIfTrue="1" operator="lessThan">
      <formula>0</formula>
    </cfRule>
  </conditionalFormatting>
  <conditionalFormatting sqref="E57">
    <cfRule type="cellIs" dxfId="218" priority="7" stopIfTrue="1" operator="lessThan">
      <formula>0</formula>
    </cfRule>
  </conditionalFormatting>
  <conditionalFormatting sqref="E143">
    <cfRule type="cellIs" dxfId="217" priority="5" stopIfTrue="1" operator="lessThan">
      <formula>0</formula>
    </cfRule>
  </conditionalFormatting>
  <conditionalFormatting sqref="E150">
    <cfRule type="cellIs" dxfId="216" priority="6" stopIfTrue="1" operator="lessThan">
      <formula>0</formula>
    </cfRule>
  </conditionalFormatting>
  <conditionalFormatting sqref="E165">
    <cfRule type="cellIs" dxfId="215" priority="3" stopIfTrue="1" operator="lessThan">
      <formula>0</formula>
    </cfRule>
  </conditionalFormatting>
  <conditionalFormatting sqref="E172">
    <cfRule type="cellIs" dxfId="214" priority="4" stopIfTrue="1" operator="lessThan">
      <formula>0</formula>
    </cfRule>
  </conditionalFormatting>
  <conditionalFormatting sqref="E256">
    <cfRule type="cellIs" dxfId="213" priority="2" stopIfTrue="1" operator="lessThan">
      <formula>0</formula>
    </cfRule>
  </conditionalFormatting>
  <conditionalFormatting sqref="E280">
    <cfRule type="cellIs" dxfId="212" priority="1" stopIfTrue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ilha19"/>
  <dimension ref="A1:G199"/>
  <sheetViews>
    <sheetView workbookViewId="0">
      <pane xSplit="6" ySplit="1" topLeftCell="G162" activePane="bottomRight" state="frozen"/>
      <selection pane="bottomRight" activeCell="C175" sqref="C175"/>
      <selection pane="bottomLeft" activeCell="A2" sqref="A2"/>
      <selection pane="topRight" activeCell="G1" sqref="G1"/>
    </sheetView>
  </sheetViews>
  <sheetFormatPr defaultColWidth="9" defaultRowHeight="13.5"/>
  <cols>
    <col min="1" max="1" width="13.7109375" style="3" bestFit="1" customWidth="1"/>
    <col min="2" max="2" width="21.42578125" style="3" customWidth="1"/>
    <col min="3" max="3" width="48.42578125" style="3" customWidth="1"/>
    <col min="4" max="4" width="16" style="3" customWidth="1"/>
    <col min="5" max="5" width="17" style="221" customWidth="1"/>
    <col min="6" max="6" width="16" style="3" bestFit="1" customWidth="1"/>
    <col min="7" max="7" width="8.42578125" style="3" customWidth="1"/>
    <col min="8" max="16384" width="9" style="3"/>
  </cols>
  <sheetData>
    <row r="1" spans="1:7" ht="14.25" thickBot="1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6</v>
      </c>
    </row>
    <row r="2" spans="1:7">
      <c r="A2" s="1032"/>
      <c r="B2" s="1230"/>
      <c r="C2" s="906" t="s">
        <v>1611</v>
      </c>
      <c r="D2" s="896"/>
      <c r="E2" s="925"/>
      <c r="F2" s="898"/>
    </row>
    <row r="3" spans="1:7">
      <c r="A3" s="884">
        <v>44743</v>
      </c>
      <c r="B3" s="240" t="str">
        <f>TiposLancamentos!B78</f>
        <v>Diferenças</v>
      </c>
      <c r="C3" s="878" t="s">
        <v>1866</v>
      </c>
      <c r="D3" s="63">
        <v>0.01</v>
      </c>
      <c r="E3" s="231"/>
      <c r="F3" s="899"/>
      <c r="G3" s="1368" t="s">
        <v>9</v>
      </c>
    </row>
    <row r="4" spans="1:7">
      <c r="A4" s="884">
        <v>44744</v>
      </c>
      <c r="B4" s="240" t="str">
        <f>TiposLancamentos!B78</f>
        <v>Diferenças</v>
      </c>
      <c r="C4" s="878" t="s">
        <v>1867</v>
      </c>
      <c r="D4" s="63"/>
      <c r="E4" s="231">
        <v>0.01</v>
      </c>
      <c r="F4" s="899"/>
      <c r="G4" s="1368" t="s">
        <v>9</v>
      </c>
    </row>
    <row r="5" spans="1:7">
      <c r="A5" s="934"/>
      <c r="B5" s="243"/>
      <c r="C5" s="389" t="s">
        <v>10</v>
      </c>
      <c r="D5" s="146"/>
      <c r="E5" s="1190"/>
      <c r="F5" s="935"/>
      <c r="G5" s="1094" t="s">
        <v>11</v>
      </c>
    </row>
    <row r="6" spans="1:7" ht="14.25" thickBot="1">
      <c r="A6" s="884"/>
      <c r="B6" s="240"/>
      <c r="C6" s="878" t="s">
        <v>1868</v>
      </c>
      <c r="D6" s="63"/>
      <c r="E6" s="231"/>
      <c r="F6" s="899"/>
    </row>
    <row r="7" spans="1:7">
      <c r="A7" s="1032"/>
      <c r="B7" s="1230"/>
      <c r="C7" s="1092" t="s">
        <v>1627</v>
      </c>
      <c r="D7" s="896"/>
      <c r="E7" s="925"/>
      <c r="F7" s="898">
        <f>SUM(E2:E5)</f>
        <v>0.01</v>
      </c>
    </row>
    <row r="8" spans="1:7">
      <c r="A8" s="1681">
        <v>45203</v>
      </c>
      <c r="B8" s="822" t="str">
        <f>TiposLancamentos!B37</f>
        <v>Playstation 3</v>
      </c>
      <c r="C8" s="1396" t="s">
        <v>10244</v>
      </c>
      <c r="D8" s="747"/>
      <c r="E8" s="1139">
        <v>72</v>
      </c>
      <c r="F8" s="1454">
        <f>F7-F2</f>
        <v>0.01</v>
      </c>
      <c r="G8" s="1368" t="s">
        <v>9</v>
      </c>
    </row>
    <row r="9" spans="1:7">
      <c r="A9" s="1682">
        <v>45203</v>
      </c>
      <c r="B9" s="823" t="str">
        <f>TiposLancamentos!B60</f>
        <v>Correio</v>
      </c>
      <c r="C9" s="1448" t="s">
        <v>10244</v>
      </c>
      <c r="D9" s="849"/>
      <c r="E9" s="1141">
        <v>13.5</v>
      </c>
      <c r="F9" s="1456">
        <f>SUM(E8:E9)</f>
        <v>85.5</v>
      </c>
      <c r="G9" s="1368" t="s">
        <v>9</v>
      </c>
    </row>
    <row r="10" spans="1:7">
      <c r="A10" s="884">
        <v>45203</v>
      </c>
      <c r="B10" s="240" t="str">
        <f>TiposLancamentos!B38</f>
        <v>Playstation 4</v>
      </c>
      <c r="C10" s="878" t="s">
        <v>10245</v>
      </c>
      <c r="D10" s="63"/>
      <c r="E10" s="231">
        <v>149.02000000000001</v>
      </c>
      <c r="F10" s="899"/>
      <c r="G10" s="1368" t="s">
        <v>9</v>
      </c>
    </row>
    <row r="11" spans="1:7">
      <c r="A11" s="1681">
        <v>45203</v>
      </c>
      <c r="B11" s="822" t="str">
        <f>TiposLancamentos!B38</f>
        <v>Playstation 4</v>
      </c>
      <c r="C11" s="1396" t="s">
        <v>10246</v>
      </c>
      <c r="D11" s="747"/>
      <c r="E11" s="1139">
        <v>70.22</v>
      </c>
      <c r="F11" s="1454"/>
      <c r="G11" s="1368" t="s">
        <v>9</v>
      </c>
    </row>
    <row r="12" spans="1:7">
      <c r="A12" s="1682">
        <v>45203</v>
      </c>
      <c r="B12" s="823" t="str">
        <f>TiposLancamentos!B60</f>
        <v>Correio</v>
      </c>
      <c r="C12" s="1448" t="s">
        <v>10246</v>
      </c>
      <c r="D12" s="849"/>
      <c r="E12" s="1141">
        <v>13.52</v>
      </c>
      <c r="F12" s="1456">
        <f>SUM(E11:E12)</f>
        <v>83.74</v>
      </c>
      <c r="G12" s="1368" t="s">
        <v>9</v>
      </c>
    </row>
    <row r="13" spans="1:7">
      <c r="A13" s="1681">
        <v>45203</v>
      </c>
      <c r="B13" s="822" t="str">
        <f>TiposLancamentos!B37</f>
        <v>Playstation 3</v>
      </c>
      <c r="C13" s="1396" t="s">
        <v>10247</v>
      </c>
      <c r="D13" s="747"/>
      <c r="E13" s="1139">
        <v>69.209999999999994</v>
      </c>
      <c r="F13" s="1454"/>
      <c r="G13" s="1368" t="s">
        <v>9</v>
      </c>
    </row>
    <row r="14" spans="1:7">
      <c r="A14" s="1682">
        <v>45203</v>
      </c>
      <c r="B14" s="823" t="str">
        <f>TiposLancamentos!B60</f>
        <v>Correio</v>
      </c>
      <c r="C14" s="1448" t="s">
        <v>10247</v>
      </c>
      <c r="D14" s="849"/>
      <c r="E14" s="1141">
        <v>13.52</v>
      </c>
      <c r="F14" s="1456">
        <f>SUM(E13:E14)</f>
        <v>82.72999999999999</v>
      </c>
      <c r="G14" s="1368" t="s">
        <v>9</v>
      </c>
    </row>
    <row r="15" spans="1:7">
      <c r="A15" s="884"/>
      <c r="B15" s="240"/>
      <c r="C15" s="878" t="s">
        <v>1868</v>
      </c>
      <c r="D15" s="63"/>
      <c r="E15" s="231"/>
      <c r="F15" s="899"/>
    </row>
    <row r="16" spans="1:7">
      <c r="A16" s="934"/>
      <c r="B16" s="243"/>
      <c r="C16" s="389" t="s">
        <v>10</v>
      </c>
      <c r="D16" s="146"/>
      <c r="E16" s="1190"/>
      <c r="F16" s="935"/>
      <c r="G16" s="1094" t="s">
        <v>11</v>
      </c>
    </row>
    <row r="17" spans="1:7" ht="14.25" thickBot="1">
      <c r="A17" s="884"/>
      <c r="B17" s="240"/>
      <c r="C17" s="878" t="s">
        <v>1868</v>
      </c>
      <c r="D17" s="63"/>
      <c r="E17" s="231"/>
      <c r="F17" s="899"/>
    </row>
    <row r="18" spans="1:7">
      <c r="A18" s="1032"/>
      <c r="B18" s="1230"/>
      <c r="C18" s="1092" t="s">
        <v>1628</v>
      </c>
      <c r="D18" s="896"/>
      <c r="E18" s="925"/>
      <c r="F18" s="898">
        <f>SUM(E5:E16)</f>
        <v>400.98999999999995</v>
      </c>
    </row>
    <row r="19" spans="1:7">
      <c r="A19" s="884">
        <v>45231</v>
      </c>
      <c r="B19" s="240" t="str">
        <f>TiposLancamentos!B15</f>
        <v>Cartões de Crédito</v>
      </c>
      <c r="C19" s="878" t="s">
        <v>1874</v>
      </c>
      <c r="D19" s="63">
        <v>400.99</v>
      </c>
      <c r="E19" s="231"/>
      <c r="F19" s="899"/>
    </row>
    <row r="20" spans="1:7">
      <c r="A20" s="884">
        <v>45236</v>
      </c>
      <c r="B20" s="240" t="str">
        <f>TiposLancamentos!B13</f>
        <v>Moradia</v>
      </c>
      <c r="C20" s="878" t="s">
        <v>10248</v>
      </c>
      <c r="D20" s="63"/>
      <c r="E20" s="231">
        <v>92</v>
      </c>
      <c r="F20" s="899"/>
    </row>
    <row r="21" spans="1:7">
      <c r="A21" s="934"/>
      <c r="B21" s="243"/>
      <c r="C21" s="389" t="s">
        <v>10</v>
      </c>
      <c r="D21" s="146"/>
      <c r="E21" s="1190"/>
      <c r="F21" s="935"/>
      <c r="G21" s="1094" t="s">
        <v>11</v>
      </c>
    </row>
    <row r="22" spans="1:7" ht="14.25" thickBot="1">
      <c r="A22" s="884"/>
      <c r="B22" s="240"/>
      <c r="C22" s="878" t="s">
        <v>1868</v>
      </c>
      <c r="D22" s="63"/>
      <c r="E22" s="231"/>
      <c r="F22" s="899"/>
    </row>
    <row r="23" spans="1:7">
      <c r="A23" s="1032"/>
      <c r="B23" s="1230"/>
      <c r="C23" s="1092" t="s">
        <v>1629</v>
      </c>
      <c r="D23" s="896"/>
      <c r="E23" s="925"/>
      <c r="F23" s="898">
        <f>SUM(E16:E21)</f>
        <v>92</v>
      </c>
    </row>
    <row r="24" spans="1:7">
      <c r="A24" s="884">
        <v>45261</v>
      </c>
      <c r="B24" s="240" t="str">
        <f>TiposLancamentos!B15</f>
        <v>Cartões de Crédito</v>
      </c>
      <c r="C24" s="878" t="s">
        <v>1874</v>
      </c>
      <c r="D24" s="63">
        <v>92</v>
      </c>
      <c r="E24" s="231"/>
      <c r="F24" s="899">
        <f>F23-F18</f>
        <v>-308.98999999999995</v>
      </c>
      <c r="G24" s="1368" t="s">
        <v>9</v>
      </c>
    </row>
    <row r="25" spans="1:7">
      <c r="A25" s="884">
        <v>45263</v>
      </c>
      <c r="B25" s="240" t="str">
        <f>TiposLancamentos!B16</f>
        <v>Cristiane</v>
      </c>
      <c r="C25" s="878" t="s">
        <v>10249</v>
      </c>
      <c r="D25" s="63"/>
      <c r="E25" s="231">
        <v>63.9</v>
      </c>
      <c r="F25" s="899"/>
      <c r="G25" s="1368" t="s">
        <v>9</v>
      </c>
    </row>
    <row r="26" spans="1:7">
      <c r="A26" s="1681">
        <v>45265</v>
      </c>
      <c r="B26" s="822" t="str">
        <f>TiposLancamentos!B13</f>
        <v>Moradia</v>
      </c>
      <c r="C26" s="1396" t="s">
        <v>10250</v>
      </c>
      <c r="D26" s="747"/>
      <c r="E26" s="1139">
        <v>32.979999999999997</v>
      </c>
      <c r="F26" s="1454"/>
      <c r="G26" s="1368" t="s">
        <v>9</v>
      </c>
    </row>
    <row r="27" spans="1:7">
      <c r="A27" s="1682">
        <v>45265</v>
      </c>
      <c r="B27" s="823" t="str">
        <f>TiposLancamentos!B60</f>
        <v>Correio</v>
      </c>
      <c r="C27" s="1448" t="s">
        <v>10251</v>
      </c>
      <c r="D27" s="849"/>
      <c r="E27" s="1141">
        <v>12.99</v>
      </c>
      <c r="F27" s="1456">
        <f>SUM(E26:E27)</f>
        <v>45.97</v>
      </c>
      <c r="G27" s="1368" t="s">
        <v>9</v>
      </c>
    </row>
    <row r="28" spans="1:7">
      <c r="A28" s="884">
        <v>45267</v>
      </c>
      <c r="B28" s="240" t="str">
        <f>TiposLancamentos!B46</f>
        <v>Maçonaria</v>
      </c>
      <c r="C28" s="878" t="s">
        <v>10252</v>
      </c>
      <c r="D28" s="63"/>
      <c r="E28" s="231">
        <v>68.45</v>
      </c>
      <c r="F28" s="899"/>
      <c r="G28" s="1368" t="s">
        <v>9</v>
      </c>
    </row>
    <row r="29" spans="1:7">
      <c r="A29" s="1681">
        <v>45285</v>
      </c>
      <c r="B29" s="822" t="str">
        <f>TiposLancamentos!B16</f>
        <v>Cristiane</v>
      </c>
      <c r="C29" s="1396" t="s">
        <v>10253</v>
      </c>
      <c r="D29" s="747"/>
      <c r="E29" s="1139">
        <v>67.900000000000006</v>
      </c>
      <c r="F29" s="1454"/>
      <c r="G29" s="1368" t="s">
        <v>9</v>
      </c>
    </row>
    <row r="30" spans="1:7">
      <c r="A30" s="1682">
        <v>45285</v>
      </c>
      <c r="B30" s="823" t="str">
        <f>TiposLancamentos!B60</f>
        <v>Correio</v>
      </c>
      <c r="C30" s="1448" t="s">
        <v>10254</v>
      </c>
      <c r="D30" s="849"/>
      <c r="E30" s="1141">
        <f>F30-E29</f>
        <v>14.549999999999997</v>
      </c>
      <c r="F30" s="1456">
        <v>82.45</v>
      </c>
      <c r="G30" s="1368" t="s">
        <v>9</v>
      </c>
    </row>
    <row r="31" spans="1:7">
      <c r="A31" s="884"/>
      <c r="B31" s="240"/>
      <c r="C31" s="878" t="s">
        <v>1868</v>
      </c>
      <c r="D31" s="63"/>
      <c r="E31" s="231"/>
      <c r="F31" s="899"/>
    </row>
    <row r="32" spans="1:7">
      <c r="A32" s="934"/>
      <c r="B32" s="243"/>
      <c r="C32" s="389" t="s">
        <v>10</v>
      </c>
      <c r="D32" s="146"/>
      <c r="E32" s="1190"/>
      <c r="F32" s="935"/>
      <c r="G32" s="1094" t="s">
        <v>11</v>
      </c>
    </row>
    <row r="33" spans="1:7" ht="14.25" thickBot="1">
      <c r="A33" s="884"/>
      <c r="B33" s="240"/>
      <c r="C33" s="878" t="s">
        <v>1868</v>
      </c>
      <c r="D33" s="63"/>
      <c r="E33" s="231"/>
      <c r="F33" s="899"/>
    </row>
    <row r="34" spans="1:7">
      <c r="A34" s="1032"/>
      <c r="B34" s="1230"/>
      <c r="C34" s="906" t="s">
        <v>1630</v>
      </c>
      <c r="D34" s="896"/>
      <c r="E34" s="925"/>
      <c r="F34" s="898">
        <f>SUM(E21:E32)</f>
        <v>260.77</v>
      </c>
      <c r="G34" s="1368" t="s">
        <v>9</v>
      </c>
    </row>
    <row r="35" spans="1:7">
      <c r="A35" s="884">
        <v>45292</v>
      </c>
      <c r="B35" s="240" t="str">
        <f>TiposLancamentos!B15</f>
        <v>Cartões de Crédito</v>
      </c>
      <c r="C35" s="878" t="s">
        <v>1874</v>
      </c>
      <c r="D35" s="63">
        <v>260.77</v>
      </c>
      <c r="E35" s="231"/>
      <c r="F35" s="899">
        <f>F34-F23</f>
        <v>168.76999999999998</v>
      </c>
      <c r="G35" s="1368" t="s">
        <v>9</v>
      </c>
    </row>
    <row r="36" spans="1:7">
      <c r="A36" s="884">
        <v>45304</v>
      </c>
      <c r="B36" s="240" t="str">
        <f>TiposLancamentos!B72</f>
        <v>Presentes</v>
      </c>
      <c r="C36" s="878" t="s">
        <v>10255</v>
      </c>
      <c r="D36" s="63"/>
      <c r="E36" s="231">
        <v>178.2</v>
      </c>
      <c r="F36" s="899"/>
      <c r="G36" s="1094" t="s">
        <v>11</v>
      </c>
    </row>
    <row r="37" spans="1:7">
      <c r="A37" s="934"/>
      <c r="B37" s="243"/>
      <c r="C37" s="389" t="s">
        <v>10</v>
      </c>
      <c r="D37" s="146"/>
      <c r="E37" s="1190"/>
      <c r="F37" s="935"/>
      <c r="G37" s="1094" t="s">
        <v>11</v>
      </c>
    </row>
    <row r="38" spans="1:7" ht="14.25" thickBot="1">
      <c r="A38" s="885"/>
      <c r="B38" s="1232"/>
      <c r="C38" s="1120" t="s">
        <v>1868</v>
      </c>
      <c r="D38" s="903"/>
      <c r="E38" s="928"/>
      <c r="F38" s="905"/>
    </row>
    <row r="39" spans="1:7">
      <c r="A39" s="884"/>
      <c r="B39" s="240"/>
      <c r="C39" s="878" t="s">
        <v>1631</v>
      </c>
      <c r="D39" s="63"/>
      <c r="E39" s="231"/>
      <c r="F39" s="899">
        <f>SUM(E32:E37)</f>
        <v>178.2</v>
      </c>
    </row>
    <row r="40" spans="1:7">
      <c r="A40" s="884">
        <v>45323</v>
      </c>
      <c r="B40" s="240" t="str">
        <f>TiposLancamentos!B15</f>
        <v>Cartões de Crédito</v>
      </c>
      <c r="C40" s="878" t="s">
        <v>1874</v>
      </c>
      <c r="D40" s="63">
        <v>178.2</v>
      </c>
      <c r="E40" s="231"/>
      <c r="F40" s="899">
        <f>F39-F34</f>
        <v>-82.57</v>
      </c>
      <c r="G40" s="1368" t="s">
        <v>9</v>
      </c>
    </row>
    <row r="41" spans="1:7">
      <c r="A41" s="884">
        <v>45330</v>
      </c>
      <c r="B41" s="240" t="str">
        <f>TiposLancamentos!B5</f>
        <v>Supermercado</v>
      </c>
      <c r="C41" s="878" t="s">
        <v>10256</v>
      </c>
      <c r="D41" s="63"/>
      <c r="E41" s="231">
        <v>54.45</v>
      </c>
      <c r="F41" s="899"/>
      <c r="G41" s="1368" t="s">
        <v>9</v>
      </c>
    </row>
    <row r="42" spans="1:7">
      <c r="A42" s="884">
        <v>45330</v>
      </c>
      <c r="B42" s="240" t="str">
        <f>TiposLancamentos!B5</f>
        <v>Supermercado</v>
      </c>
      <c r="C42" s="878" t="s">
        <v>10257</v>
      </c>
      <c r="D42" s="63"/>
      <c r="E42" s="231">
        <v>35.6</v>
      </c>
      <c r="F42" s="899"/>
      <c r="G42" s="1368" t="s">
        <v>9</v>
      </c>
    </row>
    <row r="43" spans="1:7">
      <c r="A43" s="934"/>
      <c r="B43" s="243"/>
      <c r="C43" s="389" t="s">
        <v>10</v>
      </c>
      <c r="D43" s="146"/>
      <c r="E43" s="1190"/>
      <c r="F43" s="935"/>
      <c r="G43" s="1094" t="s">
        <v>11</v>
      </c>
    </row>
    <row r="44" spans="1:7" ht="14.25" thickBot="1">
      <c r="A44" s="885"/>
      <c r="B44" s="1232"/>
      <c r="C44" s="1120" t="s">
        <v>1868</v>
      </c>
      <c r="D44" s="903"/>
      <c r="E44" s="928"/>
      <c r="F44" s="905"/>
    </row>
    <row r="45" spans="1:7">
      <c r="A45" s="884"/>
      <c r="B45" s="240"/>
      <c r="C45" s="878" t="s">
        <v>1632</v>
      </c>
      <c r="D45" s="63"/>
      <c r="E45" s="231"/>
      <c r="F45" s="899">
        <f>SUM(E37:E43)</f>
        <v>90.050000000000011</v>
      </c>
    </row>
    <row r="46" spans="1:7">
      <c r="A46" s="884">
        <v>45352</v>
      </c>
      <c r="B46" s="240" t="str">
        <f>TiposLancamentos!B15</f>
        <v>Cartões de Crédito</v>
      </c>
      <c r="C46" s="878" t="s">
        <v>1874</v>
      </c>
      <c r="D46" s="63">
        <v>90.05</v>
      </c>
      <c r="E46" s="231"/>
      <c r="F46" s="899">
        <f>F45-F39</f>
        <v>-88.149999999999977</v>
      </c>
      <c r="G46" s="1368" t="s">
        <v>9</v>
      </c>
    </row>
    <row r="47" spans="1:7">
      <c r="A47" s="934"/>
      <c r="B47" s="243"/>
      <c r="C47" s="389" t="s">
        <v>10</v>
      </c>
      <c r="D47" s="146"/>
      <c r="E47" s="1190"/>
      <c r="F47" s="935"/>
      <c r="G47" s="1094" t="s">
        <v>11</v>
      </c>
    </row>
    <row r="48" spans="1:7" ht="14.25" thickBot="1">
      <c r="A48" s="885"/>
      <c r="B48" s="1232"/>
      <c r="C48" s="1120" t="s">
        <v>1868</v>
      </c>
      <c r="D48" s="903"/>
      <c r="E48" s="928"/>
      <c r="F48" s="905"/>
    </row>
    <row r="49" spans="1:7">
      <c r="A49" s="884"/>
      <c r="B49" s="240"/>
      <c r="C49" s="878" t="s">
        <v>1633</v>
      </c>
      <c r="D49" s="63"/>
      <c r="E49" s="231"/>
      <c r="F49" s="899">
        <f>SUM(E43:E47)</f>
        <v>0</v>
      </c>
    </row>
    <row r="50" spans="1:7">
      <c r="A50" s="884">
        <v>45383</v>
      </c>
      <c r="B50" s="240" t="str">
        <f>TiposLancamentos!B15</f>
        <v>Cartões de Crédito</v>
      </c>
      <c r="C50" s="878" t="s">
        <v>1874</v>
      </c>
      <c r="D50" s="63">
        <v>0</v>
      </c>
      <c r="E50" s="231"/>
      <c r="F50" s="899">
        <f>F49-F45</f>
        <v>-90.050000000000011</v>
      </c>
    </row>
    <row r="51" spans="1:7">
      <c r="A51" s="1681">
        <v>45385</v>
      </c>
      <c r="B51" s="822" t="str">
        <f>TiposLancamentos!B16</f>
        <v>Cristiane</v>
      </c>
      <c r="C51" s="1396" t="s">
        <v>10258</v>
      </c>
      <c r="D51" s="747"/>
      <c r="E51" s="1139">
        <v>42.49</v>
      </c>
      <c r="F51" s="1454"/>
      <c r="G51" s="1368" t="s">
        <v>9</v>
      </c>
    </row>
    <row r="52" spans="1:7">
      <c r="A52" s="1682">
        <v>45385</v>
      </c>
      <c r="B52" s="823" t="str">
        <f>TiposLancamentos!B60</f>
        <v>Correio</v>
      </c>
      <c r="C52" s="1448" t="s">
        <v>10258</v>
      </c>
      <c r="D52" s="849"/>
      <c r="E52" s="1141">
        <v>14.55</v>
      </c>
      <c r="F52" s="1456">
        <f>SUM(E51:E52)</f>
        <v>57.040000000000006</v>
      </c>
      <c r="G52" s="1368" t="s">
        <v>9</v>
      </c>
    </row>
    <row r="53" spans="1:7">
      <c r="A53" s="934"/>
      <c r="B53" s="243"/>
      <c r="C53" s="389" t="s">
        <v>10</v>
      </c>
      <c r="D53" s="146"/>
      <c r="E53" s="1190"/>
      <c r="F53" s="935"/>
      <c r="G53" s="1094" t="s">
        <v>11</v>
      </c>
    </row>
    <row r="54" spans="1:7" ht="14.25" thickBot="1">
      <c r="A54" s="885"/>
      <c r="B54" s="1232"/>
      <c r="C54" s="1120" t="s">
        <v>1868</v>
      </c>
      <c r="D54" s="903"/>
      <c r="E54" s="928"/>
      <c r="F54" s="905"/>
    </row>
    <row r="55" spans="1:7">
      <c r="A55" s="884"/>
      <c r="B55" s="240"/>
      <c r="C55" s="878" t="s">
        <v>1634</v>
      </c>
      <c r="D55" s="63"/>
      <c r="E55" s="231"/>
      <c r="F55" s="899">
        <f>SUM(E47:E53)</f>
        <v>57.040000000000006</v>
      </c>
    </row>
    <row r="56" spans="1:7">
      <c r="A56" s="884">
        <v>45413</v>
      </c>
      <c r="B56" s="240" t="str">
        <f>TiposLancamentos!B15</f>
        <v>Cartões de Crédito</v>
      </c>
      <c r="C56" s="878" t="s">
        <v>1874</v>
      </c>
      <c r="D56" s="63">
        <v>50</v>
      </c>
      <c r="E56" s="231"/>
      <c r="F56" s="899">
        <f>F55-F49</f>
        <v>57.040000000000006</v>
      </c>
      <c r="G56" s="1368" t="s">
        <v>9</v>
      </c>
    </row>
    <row r="57" spans="1:7">
      <c r="A57" s="884">
        <v>45432</v>
      </c>
      <c r="B57" s="240" t="str">
        <f>TiposLancamentos!B16</f>
        <v>Cristiane</v>
      </c>
      <c r="C57" s="878" t="s">
        <v>10259</v>
      </c>
      <c r="D57" s="63"/>
      <c r="E57" s="231">
        <v>144.9</v>
      </c>
      <c r="F57" s="899"/>
      <c r="G57" s="1368" t="s">
        <v>9</v>
      </c>
    </row>
    <row r="58" spans="1:7">
      <c r="A58" s="934"/>
      <c r="B58" s="243"/>
      <c r="C58" s="389" t="s">
        <v>10</v>
      </c>
      <c r="D58" s="146"/>
      <c r="E58" s="1190"/>
      <c r="F58" s="935"/>
      <c r="G58" s="1094" t="s">
        <v>11</v>
      </c>
    </row>
    <row r="59" spans="1:7" ht="14.25" thickBot="1">
      <c r="A59" s="885"/>
      <c r="B59" s="1232"/>
      <c r="C59" s="1120" t="s">
        <v>1868</v>
      </c>
      <c r="D59" s="903"/>
      <c r="E59" s="928"/>
      <c r="F59" s="905"/>
    </row>
    <row r="60" spans="1:7">
      <c r="A60" s="884"/>
      <c r="B60" s="240"/>
      <c r="C60" s="878" t="s">
        <v>1635</v>
      </c>
      <c r="D60" s="63"/>
      <c r="E60" s="231"/>
      <c r="F60" s="899">
        <f>SUM(E53:E58)</f>
        <v>144.9</v>
      </c>
    </row>
    <row r="61" spans="1:7">
      <c r="A61" s="884">
        <v>45445</v>
      </c>
      <c r="B61" s="240" t="str">
        <f>TiposLancamentos!B15</f>
        <v>Cartões de Crédito</v>
      </c>
      <c r="C61" s="878" t="s">
        <v>1874</v>
      </c>
      <c r="D61" s="63">
        <v>144.9</v>
      </c>
      <c r="E61" s="231"/>
      <c r="F61" s="899"/>
      <c r="G61" s="1368" t="s">
        <v>9</v>
      </c>
    </row>
    <row r="62" spans="1:7">
      <c r="A62" s="884"/>
      <c r="B62" s="240"/>
      <c r="C62" s="878" t="s">
        <v>1868</v>
      </c>
      <c r="D62" s="63"/>
      <c r="E62" s="231"/>
      <c r="F62" s="899"/>
    </row>
    <row r="63" spans="1:7">
      <c r="A63" s="934"/>
      <c r="B63" s="243"/>
      <c r="C63" s="389" t="s">
        <v>10</v>
      </c>
      <c r="D63" s="146"/>
      <c r="E63" s="1190"/>
      <c r="F63" s="935"/>
      <c r="G63" s="1094" t="s">
        <v>11</v>
      </c>
    </row>
    <row r="64" spans="1:7" ht="14.25" thickBot="1">
      <c r="A64" s="885"/>
      <c r="B64" s="1232"/>
      <c r="C64" s="1120" t="s">
        <v>1868</v>
      </c>
      <c r="D64" s="903"/>
      <c r="E64" s="928"/>
      <c r="F64" s="905"/>
    </row>
    <row r="65" spans="1:7">
      <c r="A65" s="884"/>
      <c r="B65" s="240"/>
      <c r="C65" s="878" t="s">
        <v>1636</v>
      </c>
      <c r="D65" s="63"/>
      <c r="E65" s="231"/>
      <c r="F65" s="899">
        <f>SUM(E58:E63)</f>
        <v>0</v>
      </c>
    </row>
    <row r="66" spans="1:7">
      <c r="A66" s="884">
        <v>45474</v>
      </c>
      <c r="B66" s="240" t="str">
        <f>TiposLancamentos!B15</f>
        <v>Cartões de Crédito</v>
      </c>
      <c r="C66" s="878" t="s">
        <v>1874</v>
      </c>
      <c r="D66" s="63">
        <v>0</v>
      </c>
      <c r="E66" s="231">
        <v>0</v>
      </c>
      <c r="F66" s="899"/>
      <c r="G66" s="1368" t="s">
        <v>9</v>
      </c>
    </row>
    <row r="67" spans="1:7">
      <c r="A67" s="934"/>
      <c r="B67" s="243"/>
      <c r="C67" s="389" t="s">
        <v>10</v>
      </c>
      <c r="D67" s="146"/>
      <c r="E67" s="1190"/>
      <c r="F67" s="935"/>
      <c r="G67" s="1094" t="s">
        <v>11</v>
      </c>
    </row>
    <row r="68" spans="1:7" ht="14.25" thickBot="1">
      <c r="A68" s="885"/>
      <c r="B68" s="1232"/>
      <c r="C68" s="1120" t="s">
        <v>1868</v>
      </c>
      <c r="D68" s="903"/>
      <c r="E68" s="928"/>
      <c r="F68" s="905"/>
    </row>
    <row r="69" spans="1:7">
      <c r="A69" s="884"/>
      <c r="B69" s="240"/>
      <c r="C69" s="878" t="s">
        <v>1637</v>
      </c>
      <c r="D69" s="63"/>
      <c r="E69" s="231"/>
      <c r="F69" s="899">
        <f>SUM(E63:E67)</f>
        <v>0</v>
      </c>
    </row>
    <row r="70" spans="1:7">
      <c r="A70" s="934"/>
      <c r="B70" s="243"/>
      <c r="C70" s="389" t="s">
        <v>10</v>
      </c>
      <c r="D70" s="146"/>
      <c r="E70" s="1190"/>
      <c r="F70" s="935"/>
      <c r="G70" s="1094" t="s">
        <v>11</v>
      </c>
    </row>
    <row r="71" spans="1:7" ht="14.25" thickBot="1">
      <c r="A71" s="885"/>
      <c r="B71" s="1232"/>
      <c r="C71" s="1120" t="s">
        <v>1868</v>
      </c>
      <c r="D71" s="903"/>
      <c r="E71" s="928"/>
      <c r="F71" s="905"/>
    </row>
    <row r="72" spans="1:7">
      <c r="A72" s="884"/>
      <c r="B72" s="240"/>
      <c r="C72" s="878" t="s">
        <v>1638</v>
      </c>
      <c r="D72" s="63"/>
      <c r="E72" s="231"/>
      <c r="F72" s="899">
        <f>SUM(E67:E70)</f>
        <v>0</v>
      </c>
    </row>
    <row r="73" spans="1:7">
      <c r="A73" s="884">
        <v>45542</v>
      </c>
      <c r="B73" s="240" t="str">
        <f>TiposLancamentos!B57</f>
        <v>Informática</v>
      </c>
      <c r="C73" s="878" t="s">
        <v>10260</v>
      </c>
      <c r="D73" s="63"/>
      <c r="E73" s="231">
        <v>220.15</v>
      </c>
      <c r="F73" s="899"/>
      <c r="G73" s="1368" t="s">
        <v>9</v>
      </c>
    </row>
    <row r="74" spans="1:7">
      <c r="A74" s="884">
        <v>45548</v>
      </c>
      <c r="B74" s="240" t="str">
        <f>TiposLancamentos!B16</f>
        <v>Cristiane</v>
      </c>
      <c r="C74" s="878" t="s">
        <v>10261</v>
      </c>
      <c r="D74" s="63"/>
      <c r="E74" s="231">
        <v>133.97</v>
      </c>
      <c r="F74" s="899"/>
      <c r="G74" s="1368" t="s">
        <v>9</v>
      </c>
    </row>
    <row r="75" spans="1:7">
      <c r="A75" s="934"/>
      <c r="B75" s="243"/>
      <c r="C75" s="389" t="s">
        <v>10</v>
      </c>
      <c r="D75" s="146"/>
      <c r="E75" s="1190"/>
      <c r="F75" s="935"/>
      <c r="G75" s="1094" t="s">
        <v>11</v>
      </c>
    </row>
    <row r="76" spans="1:7" ht="14.25" thickBot="1">
      <c r="A76" s="885"/>
      <c r="B76" s="1232"/>
      <c r="C76" s="1120" t="s">
        <v>1868</v>
      </c>
      <c r="D76" s="903"/>
      <c r="E76" s="928"/>
      <c r="F76" s="905"/>
    </row>
    <row r="77" spans="1:7">
      <c r="A77" s="884"/>
      <c r="B77" s="240"/>
      <c r="C77" s="878" t="s">
        <v>1639</v>
      </c>
      <c r="D77" s="63"/>
      <c r="E77" s="231"/>
      <c r="F77" s="899">
        <f>SUM(E70:E75)</f>
        <v>354.12</v>
      </c>
    </row>
    <row r="78" spans="1:7">
      <c r="A78" s="884">
        <v>45566</v>
      </c>
      <c r="B78" s="240" t="str">
        <f>TiposLancamentos!B15</f>
        <v>Cartões de Crédito</v>
      </c>
      <c r="C78" s="878" t="s">
        <v>1874</v>
      </c>
      <c r="D78" s="63">
        <v>354.12</v>
      </c>
      <c r="E78" s="231"/>
      <c r="F78" s="899"/>
    </row>
    <row r="79" spans="1:7">
      <c r="A79" s="934"/>
      <c r="B79" s="243"/>
      <c r="C79" s="389" t="s">
        <v>10</v>
      </c>
      <c r="D79" s="146"/>
      <c r="E79" s="1190"/>
      <c r="F79" s="935"/>
      <c r="G79" s="1094" t="s">
        <v>11</v>
      </c>
    </row>
    <row r="80" spans="1:7" ht="14.25" thickBot="1">
      <c r="A80" s="885"/>
      <c r="B80" s="1232"/>
      <c r="C80" s="1120" t="s">
        <v>1868</v>
      </c>
      <c r="D80" s="903"/>
      <c r="E80" s="928"/>
      <c r="F80" s="905"/>
    </row>
    <row r="81" spans="1:7">
      <c r="A81" s="884"/>
      <c r="B81" s="240"/>
      <c r="C81" s="878" t="s">
        <v>1640</v>
      </c>
      <c r="D81" s="63"/>
      <c r="E81" s="231"/>
      <c r="F81" s="899">
        <f>SUM(E76:E79)</f>
        <v>0</v>
      </c>
    </row>
    <row r="82" spans="1:7">
      <c r="A82" s="884">
        <v>45601</v>
      </c>
      <c r="B82" s="240" t="str">
        <f>TiposLancamentos!B78</f>
        <v>Diferenças</v>
      </c>
      <c r="C82" s="878" t="s">
        <v>10262</v>
      </c>
      <c r="D82" s="63">
        <v>7.04</v>
      </c>
      <c r="E82" s="231"/>
      <c r="F82" s="899">
        <f>F81-F77</f>
        <v>-354.12</v>
      </c>
      <c r="G82" s="1368" t="s">
        <v>9</v>
      </c>
    </row>
    <row r="83" spans="1:7">
      <c r="A83" s="884"/>
      <c r="B83" s="240"/>
      <c r="C83" s="878" t="s">
        <v>1947</v>
      </c>
      <c r="D83" s="63"/>
      <c r="E83" s="231"/>
      <c r="F83" s="899"/>
    </row>
    <row r="84" spans="1:7">
      <c r="A84" s="1681">
        <v>45621</v>
      </c>
      <c r="B84" s="822" t="str">
        <f>TiposLancamentos!B41</f>
        <v>PSP Slim 3k</v>
      </c>
      <c r="C84" s="1396" t="s">
        <v>10263</v>
      </c>
      <c r="D84" s="747"/>
      <c r="E84" s="1139">
        <v>115</v>
      </c>
      <c r="F84" s="1454"/>
      <c r="G84" s="1368" t="s">
        <v>9</v>
      </c>
    </row>
    <row r="85" spans="1:7">
      <c r="A85" s="1682">
        <v>45621</v>
      </c>
      <c r="B85" s="823" t="str">
        <f>TiposLancamentos!B60</f>
        <v>Correio</v>
      </c>
      <c r="C85" s="1448" t="s">
        <v>10263</v>
      </c>
      <c r="D85" s="849"/>
      <c r="E85" s="1141">
        <v>29</v>
      </c>
      <c r="F85" s="1456">
        <f>SUM(E84:E85)</f>
        <v>144</v>
      </c>
      <c r="G85" s="1368" t="s">
        <v>9</v>
      </c>
    </row>
    <row r="86" spans="1:7">
      <c r="A86" s="884"/>
      <c r="B86" s="240"/>
      <c r="C86" s="878" t="s">
        <v>1947</v>
      </c>
      <c r="D86" s="63"/>
      <c r="E86" s="231"/>
      <c r="F86" s="899"/>
    </row>
    <row r="87" spans="1:7">
      <c r="A87" s="934"/>
      <c r="B87" s="243"/>
      <c r="C87" s="389" t="s">
        <v>10</v>
      </c>
      <c r="D87" s="146"/>
      <c r="E87" s="1190"/>
      <c r="F87" s="935"/>
      <c r="G87" s="1094" t="s">
        <v>11</v>
      </c>
    </row>
    <row r="88" spans="1:7">
      <c r="A88" s="885"/>
      <c r="B88" s="1232"/>
      <c r="C88" s="1120" t="s">
        <v>1868</v>
      </c>
      <c r="D88" s="903"/>
      <c r="E88" s="928"/>
      <c r="F88" s="905"/>
    </row>
    <row r="89" spans="1:7">
      <c r="A89" s="884"/>
      <c r="B89" s="240"/>
      <c r="C89" s="878" t="s">
        <v>9387</v>
      </c>
      <c r="D89" s="63"/>
      <c r="E89" s="231"/>
      <c r="F89" s="899">
        <f>SUM(E79:E87)</f>
        <v>144</v>
      </c>
    </row>
    <row r="90" spans="1:7">
      <c r="A90" s="884">
        <v>45627</v>
      </c>
      <c r="B90" s="240" t="str">
        <f>TiposLancamentos!B45</f>
        <v>Online Services</v>
      </c>
      <c r="C90" s="878" t="s">
        <v>2079</v>
      </c>
      <c r="D90" s="63"/>
      <c r="E90" s="231">
        <v>27.9</v>
      </c>
      <c r="F90" s="899"/>
      <c r="G90" s="1368" t="s">
        <v>9</v>
      </c>
    </row>
    <row r="91" spans="1:7">
      <c r="A91" s="884">
        <v>45628</v>
      </c>
      <c r="B91" s="240" t="str">
        <f>TiposLancamentos!B15</f>
        <v>Cartões de Crédito</v>
      </c>
      <c r="C91" s="878" t="s">
        <v>1874</v>
      </c>
      <c r="D91" s="63">
        <v>144</v>
      </c>
      <c r="E91" s="231"/>
      <c r="F91" s="899"/>
      <c r="G91" s="1368" t="s">
        <v>9</v>
      </c>
    </row>
    <row r="92" spans="1:7">
      <c r="A92" s="884">
        <v>45628</v>
      </c>
      <c r="B92" s="240" t="str">
        <f>TiposLancamentos!B16</f>
        <v>Cristiane</v>
      </c>
      <c r="C92" s="878" t="s">
        <v>10264</v>
      </c>
      <c r="D92" s="63"/>
      <c r="E92" s="231">
        <v>106.4</v>
      </c>
      <c r="F92" s="899"/>
      <c r="G92" s="1368" t="s">
        <v>9</v>
      </c>
    </row>
    <row r="93" spans="1:7">
      <c r="A93" s="934"/>
      <c r="B93" s="243"/>
      <c r="C93" s="389" t="s">
        <v>10</v>
      </c>
      <c r="D93" s="146"/>
      <c r="E93" s="1190"/>
      <c r="F93" s="935"/>
      <c r="G93" s="1094" t="s">
        <v>11</v>
      </c>
    </row>
    <row r="94" spans="1:7" ht="14.25" thickBot="1">
      <c r="A94" s="885"/>
      <c r="B94" s="1232"/>
      <c r="C94" s="1120" t="s">
        <v>1868</v>
      </c>
      <c r="D94" s="903"/>
      <c r="E94" s="928"/>
      <c r="F94" s="905"/>
    </row>
    <row r="95" spans="1:7">
      <c r="A95" s="884"/>
      <c r="B95" s="240"/>
      <c r="C95" s="878" t="s">
        <v>9406</v>
      </c>
      <c r="D95" s="63"/>
      <c r="E95" s="231"/>
      <c r="F95" s="899">
        <f>SUM(E87:E93)</f>
        <v>134.30000000000001</v>
      </c>
    </row>
    <row r="96" spans="1:7">
      <c r="A96" s="884">
        <v>45658</v>
      </c>
      <c r="B96" s="240" t="str">
        <f>TiposLancamentos!B45</f>
        <v>Online Services</v>
      </c>
      <c r="C96" s="878" t="s">
        <v>2079</v>
      </c>
      <c r="D96" s="63"/>
      <c r="E96" s="231">
        <v>27.9</v>
      </c>
      <c r="F96" s="899"/>
      <c r="G96" s="1368" t="s">
        <v>9</v>
      </c>
    </row>
    <row r="97" spans="1:7">
      <c r="A97" s="884">
        <v>45659</v>
      </c>
      <c r="B97" s="240" t="str">
        <f>TiposLancamentos!B15</f>
        <v>Cartões de Crédito</v>
      </c>
      <c r="C97" s="878" t="s">
        <v>1874</v>
      </c>
      <c r="D97" s="63">
        <v>134.30000000000001</v>
      </c>
      <c r="E97" s="231"/>
      <c r="F97" s="899"/>
      <c r="G97" s="1368" t="s">
        <v>9</v>
      </c>
    </row>
    <row r="98" spans="1:7">
      <c r="A98" s="884">
        <v>45675</v>
      </c>
      <c r="B98" s="240" t="str">
        <f>TiposLancamentos!B72</f>
        <v>Presentes</v>
      </c>
      <c r="C98" s="878" t="s">
        <v>10265</v>
      </c>
      <c r="D98" s="63"/>
      <c r="E98" s="231">
        <v>138</v>
      </c>
      <c r="F98" s="899"/>
      <c r="G98" s="1368" t="s">
        <v>9</v>
      </c>
    </row>
    <row r="99" spans="1:7">
      <c r="A99" s="884">
        <v>45681</v>
      </c>
      <c r="B99" s="240" t="str">
        <f>TiposLancamentos!B102</f>
        <v>ESTORNO</v>
      </c>
      <c r="C99" s="878" t="s">
        <v>10265</v>
      </c>
      <c r="D99" s="63">
        <v>138</v>
      </c>
      <c r="E99" s="231"/>
      <c r="F99" s="899"/>
      <c r="G99" s="1368" t="s">
        <v>9</v>
      </c>
    </row>
    <row r="100" spans="1:7">
      <c r="A100" s="934"/>
      <c r="B100" s="243"/>
      <c r="C100" s="389" t="s">
        <v>10</v>
      </c>
      <c r="D100" s="146"/>
      <c r="E100" s="1190"/>
      <c r="F100" s="935"/>
      <c r="G100" s="1094" t="s">
        <v>11</v>
      </c>
    </row>
    <row r="101" spans="1:7">
      <c r="A101" s="884">
        <v>45688</v>
      </c>
      <c r="B101" s="240" t="str">
        <f>TiposLancamentos!B16</f>
        <v>Cristiane</v>
      </c>
      <c r="C101" s="878" t="s">
        <v>10266</v>
      </c>
      <c r="D101" s="63"/>
      <c r="E101" s="231">
        <v>55.79</v>
      </c>
      <c r="F101" s="899"/>
      <c r="G101" s="1368" t="s">
        <v>9</v>
      </c>
    </row>
    <row r="102" spans="1:7" ht="14.25" thickBot="1">
      <c r="A102" s="885"/>
      <c r="B102" s="1232"/>
      <c r="C102" s="1120" t="s">
        <v>1868</v>
      </c>
      <c r="D102" s="903"/>
      <c r="E102" s="928"/>
      <c r="F102" s="905"/>
    </row>
    <row r="103" spans="1:7">
      <c r="A103" s="884"/>
      <c r="B103" s="240"/>
      <c r="C103" s="878" t="s">
        <v>1643</v>
      </c>
      <c r="D103" s="63"/>
      <c r="E103" s="231"/>
      <c r="F103" s="899">
        <f>SUM(E93:E100)-D99</f>
        <v>27.900000000000006</v>
      </c>
    </row>
    <row r="104" spans="1:7">
      <c r="A104" s="884">
        <v>45689</v>
      </c>
      <c r="B104" s="240" t="str">
        <f>TiposLancamentos!B45</f>
        <v>Online Services</v>
      </c>
      <c r="C104" s="878" t="s">
        <v>2079</v>
      </c>
      <c r="D104" s="63"/>
      <c r="E104" s="231">
        <v>27.9</v>
      </c>
      <c r="F104" s="899"/>
      <c r="G104" s="1368" t="s">
        <v>9</v>
      </c>
    </row>
    <row r="105" spans="1:7">
      <c r="A105" s="884">
        <v>45691</v>
      </c>
      <c r="B105" s="240" t="str">
        <f>TiposLancamentos!B15</f>
        <v>Cartões de Crédito</v>
      </c>
      <c r="C105" s="878" t="s">
        <v>1874</v>
      </c>
      <c r="D105" s="63">
        <v>27.9</v>
      </c>
      <c r="E105" s="231"/>
      <c r="F105" s="899"/>
      <c r="G105" s="1368" t="s">
        <v>9</v>
      </c>
    </row>
    <row r="106" spans="1:7">
      <c r="A106" s="934"/>
      <c r="B106" s="243"/>
      <c r="C106" s="389" t="s">
        <v>10</v>
      </c>
      <c r="D106" s="146"/>
      <c r="E106" s="1190"/>
      <c r="F106" s="935"/>
      <c r="G106" s="1094" t="s">
        <v>11</v>
      </c>
    </row>
    <row r="107" spans="1:7" ht="14.25" thickBot="1">
      <c r="A107" s="885"/>
      <c r="B107" s="1232"/>
      <c r="C107" s="1120" t="s">
        <v>1868</v>
      </c>
      <c r="D107" s="903"/>
      <c r="E107" s="928"/>
      <c r="F107" s="905"/>
    </row>
    <row r="108" spans="1:7">
      <c r="A108" s="884"/>
      <c r="B108" s="240"/>
      <c r="C108" s="878" t="s">
        <v>1644</v>
      </c>
      <c r="D108" s="63"/>
      <c r="E108" s="231"/>
      <c r="F108" s="899">
        <f>SUM(E100:E106)</f>
        <v>83.69</v>
      </c>
    </row>
    <row r="109" spans="1:7">
      <c r="A109" s="884">
        <v>45717</v>
      </c>
      <c r="B109" s="240" t="str">
        <f>TiposLancamentos!B45</f>
        <v>Online Services</v>
      </c>
      <c r="C109" s="878" t="s">
        <v>2079</v>
      </c>
      <c r="D109" s="63"/>
      <c r="E109" s="231">
        <v>27.9</v>
      </c>
      <c r="F109" s="899"/>
      <c r="G109" s="1368" t="s">
        <v>9</v>
      </c>
    </row>
    <row r="110" spans="1:7">
      <c r="A110" s="884">
        <v>45721</v>
      </c>
      <c r="B110" s="240" t="str">
        <f>TiposLancamentos!B15</f>
        <v>Cartões de Crédito</v>
      </c>
      <c r="C110" s="878" t="s">
        <v>1874</v>
      </c>
      <c r="D110" s="63">
        <v>83.69</v>
      </c>
      <c r="E110" s="231"/>
      <c r="F110" s="899">
        <f>F108-F103</f>
        <v>55.789999999999992</v>
      </c>
      <c r="G110" s="1368" t="s">
        <v>9</v>
      </c>
    </row>
    <row r="111" spans="1:7">
      <c r="A111" s="934"/>
      <c r="B111" s="243"/>
      <c r="C111" s="389" t="s">
        <v>10</v>
      </c>
      <c r="D111" s="146"/>
      <c r="E111" s="1190"/>
      <c r="F111" s="935"/>
      <c r="G111" s="1094" t="s">
        <v>11</v>
      </c>
    </row>
    <row r="112" spans="1:7" ht="14.25" thickBot="1">
      <c r="A112" s="885"/>
      <c r="B112" s="1232"/>
      <c r="C112" s="1120" t="s">
        <v>1868</v>
      </c>
      <c r="D112" s="903"/>
      <c r="E112" s="928"/>
      <c r="F112" s="905"/>
    </row>
    <row r="113" spans="1:7">
      <c r="A113" s="884"/>
      <c r="B113" s="240"/>
      <c r="C113" s="878" t="s">
        <v>1645</v>
      </c>
      <c r="D113" s="63"/>
      <c r="E113" s="231"/>
      <c r="F113" s="899">
        <f>SUM(E106:E111)</f>
        <v>27.9</v>
      </c>
    </row>
    <row r="114" spans="1:7">
      <c r="A114" s="884">
        <v>45748</v>
      </c>
      <c r="B114" s="240" t="str">
        <f>TiposLancamentos!B15</f>
        <v>Cartões de Crédito</v>
      </c>
      <c r="C114" s="878" t="s">
        <v>1874</v>
      </c>
      <c r="D114" s="63">
        <v>27.9</v>
      </c>
      <c r="E114" s="231"/>
      <c r="F114" s="899">
        <f>F113-F108</f>
        <v>-55.79</v>
      </c>
      <c r="G114" s="1368" t="s">
        <v>9</v>
      </c>
    </row>
    <row r="115" spans="1:7">
      <c r="A115" s="884">
        <v>45748</v>
      </c>
      <c r="B115" s="240" t="str">
        <f>TiposLancamentos!B45</f>
        <v>Online Services</v>
      </c>
      <c r="C115" s="878" t="s">
        <v>2079</v>
      </c>
      <c r="D115" s="63"/>
      <c r="E115" s="231">
        <v>27.9</v>
      </c>
      <c r="F115" s="899"/>
      <c r="G115" s="1368" t="s">
        <v>9</v>
      </c>
    </row>
    <row r="116" spans="1:7">
      <c r="A116" s="934"/>
      <c r="B116" s="243"/>
      <c r="C116" s="389" t="s">
        <v>10</v>
      </c>
      <c r="D116" s="146"/>
      <c r="E116" s="1190"/>
      <c r="F116" s="935"/>
      <c r="G116" s="1094" t="s">
        <v>11</v>
      </c>
    </row>
    <row r="117" spans="1:7" ht="14.25" thickBot="1">
      <c r="A117" s="885"/>
      <c r="B117" s="1232"/>
      <c r="C117" s="1120" t="s">
        <v>1868</v>
      </c>
      <c r="D117" s="903"/>
      <c r="E117" s="928"/>
      <c r="F117" s="905"/>
    </row>
    <row r="118" spans="1:7">
      <c r="A118" s="884"/>
      <c r="B118" s="240"/>
      <c r="C118" s="878" t="s">
        <v>1646</v>
      </c>
      <c r="D118" s="63"/>
      <c r="E118" s="231"/>
      <c r="F118" s="899">
        <f>SUM(E111:E116)</f>
        <v>27.9</v>
      </c>
    </row>
    <row r="119" spans="1:7">
      <c r="A119" s="884">
        <v>45778</v>
      </c>
      <c r="B119" s="240" t="str">
        <f>TiposLancamentos!B15</f>
        <v>Cartões de Crédito</v>
      </c>
      <c r="C119" s="878" t="s">
        <v>1874</v>
      </c>
      <c r="D119" s="63">
        <v>27.9</v>
      </c>
      <c r="E119" s="231"/>
      <c r="F119" s="899">
        <f>F118-F113</f>
        <v>0</v>
      </c>
      <c r="G119" s="1368" t="s">
        <v>9</v>
      </c>
    </row>
    <row r="120" spans="1:7">
      <c r="A120" s="884">
        <v>45778</v>
      </c>
      <c r="B120" s="240" t="str">
        <f>TiposLancamentos!B45</f>
        <v>Online Services</v>
      </c>
      <c r="C120" s="878" t="s">
        <v>2079</v>
      </c>
      <c r="D120" s="63"/>
      <c r="E120" s="231">
        <v>27.9</v>
      </c>
      <c r="F120" s="899"/>
      <c r="G120" s="1368" t="s">
        <v>9</v>
      </c>
    </row>
    <row r="121" spans="1:7">
      <c r="A121" s="884">
        <v>45794</v>
      </c>
      <c r="B121" s="240" t="str">
        <f>TiposLancamentos!B13</f>
        <v>Moradia</v>
      </c>
      <c r="C121" s="878" t="s">
        <v>10267</v>
      </c>
      <c r="D121" s="63"/>
      <c r="E121" s="231">
        <v>173</v>
      </c>
      <c r="F121" s="899"/>
      <c r="G121" s="1368"/>
    </row>
    <row r="122" spans="1:7">
      <c r="A122" s="934"/>
      <c r="B122" s="243"/>
      <c r="C122" s="389" t="s">
        <v>10</v>
      </c>
      <c r="D122" s="146"/>
      <c r="E122" s="1190"/>
      <c r="F122" s="935"/>
      <c r="G122" s="1094" t="s">
        <v>11</v>
      </c>
    </row>
    <row r="123" spans="1:7" ht="14.25" thickBot="1">
      <c r="A123" s="885"/>
      <c r="B123" s="1232"/>
      <c r="C123" s="1120" t="s">
        <v>1868</v>
      </c>
      <c r="D123" s="903"/>
      <c r="E123" s="928"/>
      <c r="F123" s="905"/>
    </row>
    <row r="124" spans="1:7">
      <c r="A124" s="884"/>
      <c r="B124" s="240"/>
      <c r="C124" s="878" t="s">
        <v>1647</v>
      </c>
      <c r="D124" s="63"/>
      <c r="E124" s="231"/>
      <c r="F124" s="899">
        <f>SUM(E116:E122)</f>
        <v>200.9</v>
      </c>
    </row>
    <row r="125" spans="1:7">
      <c r="A125" s="884">
        <v>45809</v>
      </c>
      <c r="B125" s="240" t="str">
        <f>TiposLancamentos!B45</f>
        <v>Online Services</v>
      </c>
      <c r="C125" s="878" t="s">
        <v>2079</v>
      </c>
      <c r="D125" s="63"/>
      <c r="E125" s="231">
        <v>27.9</v>
      </c>
      <c r="F125" s="899">
        <f>F124-F118</f>
        <v>173</v>
      </c>
      <c r="G125" s="1368" t="s">
        <v>9</v>
      </c>
    </row>
    <row r="126" spans="1:7">
      <c r="A126" s="884">
        <v>45810</v>
      </c>
      <c r="B126" s="240" t="str">
        <f>TiposLancamentos!B15</f>
        <v>Cartões de Crédito</v>
      </c>
      <c r="C126" s="878" t="s">
        <v>1874</v>
      </c>
      <c r="D126" s="63">
        <v>200.9</v>
      </c>
      <c r="E126" s="231"/>
      <c r="F126" s="899"/>
      <c r="G126" s="1368" t="s">
        <v>9</v>
      </c>
    </row>
    <row r="127" spans="1:7">
      <c r="A127" s="1681">
        <v>45813</v>
      </c>
      <c r="B127" s="822" t="str">
        <f>TiposLancamentos!B13</f>
        <v>Moradia</v>
      </c>
      <c r="C127" s="1396" t="s">
        <v>10268</v>
      </c>
      <c r="D127" s="747"/>
      <c r="E127" s="1139">
        <v>16.53</v>
      </c>
      <c r="F127" s="1454"/>
      <c r="G127" s="1368">
        <v>1</v>
      </c>
    </row>
    <row r="128" spans="1:7">
      <c r="A128" s="1682">
        <v>45813</v>
      </c>
      <c r="B128" s="823" t="str">
        <f>TiposLancamentos!B60</f>
        <v>Correio</v>
      </c>
      <c r="C128" s="1448" t="str">
        <f>"Frete:" &amp; C127</f>
        <v>Frete:MercadoLivre.com.br: Refil Vela Filtro Compatível Lorenzetti Acqua Bella Vitale Cor Branco</v>
      </c>
      <c r="D128" s="849"/>
      <c r="E128" s="1141">
        <v>12.99</v>
      </c>
      <c r="F128" s="1456">
        <f>SUM(E127:E128)</f>
        <v>29.520000000000003</v>
      </c>
      <c r="G128" s="1368" t="s">
        <v>9</v>
      </c>
    </row>
    <row r="129" spans="1:7">
      <c r="A129" s="884">
        <v>45816</v>
      </c>
      <c r="B129" s="240" t="str">
        <f>TiposLancamentos!B57</f>
        <v>Informática</v>
      </c>
      <c r="C129" s="878" t="s">
        <v>10269</v>
      </c>
      <c r="D129" s="63"/>
      <c r="E129" s="231">
        <v>124.9</v>
      </c>
      <c r="F129" s="899"/>
      <c r="G129" s="1368" t="s">
        <v>9</v>
      </c>
    </row>
    <row r="130" spans="1:7">
      <c r="A130" s="934"/>
      <c r="B130" s="243"/>
      <c r="C130" s="389" t="s">
        <v>10</v>
      </c>
      <c r="D130" s="146"/>
      <c r="E130" s="1190"/>
      <c r="F130" s="935"/>
      <c r="G130" s="1094" t="s">
        <v>11</v>
      </c>
    </row>
    <row r="131" spans="1:7">
      <c r="A131" s="884">
        <v>45836</v>
      </c>
      <c r="B131" s="240" t="str">
        <f>TiposLancamentos!B13</f>
        <v>Moradia</v>
      </c>
      <c r="C131" s="878" t="s">
        <v>10270</v>
      </c>
      <c r="D131" s="63"/>
      <c r="E131" s="231">
        <v>39.9</v>
      </c>
      <c r="F131" s="899"/>
      <c r="G131" s="1368" t="s">
        <v>9</v>
      </c>
    </row>
    <row r="132" spans="1:7" ht="14.25" thickBot="1">
      <c r="A132" s="885"/>
      <c r="B132" s="1232"/>
      <c r="C132" s="1120" t="s">
        <v>1868</v>
      </c>
      <c r="D132" s="903"/>
      <c r="E132" s="928"/>
      <c r="F132" s="905"/>
    </row>
    <row r="133" spans="1:7">
      <c r="A133" s="884"/>
      <c r="B133" s="240"/>
      <c r="C133" s="878" t="s">
        <v>10271</v>
      </c>
      <c r="D133" s="63"/>
      <c r="E133" s="231"/>
      <c r="F133" s="899">
        <f>SUM(E124:E130)</f>
        <v>182.32</v>
      </c>
    </row>
    <row r="134" spans="1:7">
      <c r="A134" s="884">
        <v>45839</v>
      </c>
      <c r="B134" s="240" t="str">
        <f>TiposLancamentos!B45</f>
        <v>Online Services</v>
      </c>
      <c r="C134" s="878" t="s">
        <v>2079</v>
      </c>
      <c r="D134" s="63"/>
      <c r="E134" s="231">
        <v>27.9</v>
      </c>
      <c r="F134" s="899">
        <f>F133-F124</f>
        <v>-18.580000000000013</v>
      </c>
      <c r="G134" s="1368" t="s">
        <v>9</v>
      </c>
    </row>
    <row r="135" spans="1:7">
      <c r="A135" s="884">
        <v>45839</v>
      </c>
      <c r="B135" s="240" t="str">
        <f>TiposLancamentos!B15</f>
        <v>Cartões de Crédito</v>
      </c>
      <c r="C135" s="878" t="s">
        <v>1874</v>
      </c>
      <c r="D135" s="63">
        <v>182.32</v>
      </c>
      <c r="E135" s="231"/>
      <c r="F135" s="899"/>
      <c r="G135" s="1368" t="s">
        <v>9</v>
      </c>
    </row>
    <row r="136" spans="1:7">
      <c r="A136" s="934"/>
      <c r="B136" s="243"/>
      <c r="C136" s="389" t="s">
        <v>10</v>
      </c>
      <c r="D136" s="146"/>
      <c r="E136" s="1190"/>
      <c r="F136" s="935"/>
      <c r="G136" s="1094" t="s">
        <v>11</v>
      </c>
    </row>
    <row r="137" spans="1:7" ht="14.25" thickBot="1">
      <c r="A137" s="885"/>
      <c r="B137" s="1232"/>
      <c r="C137" s="1120" t="s">
        <v>1868</v>
      </c>
      <c r="D137" s="903"/>
      <c r="E137" s="928"/>
      <c r="F137" s="905"/>
    </row>
    <row r="138" spans="1:7">
      <c r="A138" s="884"/>
      <c r="B138" s="240"/>
      <c r="C138" s="878" t="s">
        <v>9593</v>
      </c>
      <c r="D138" s="63"/>
      <c r="E138" s="231"/>
      <c r="F138" s="899">
        <f>SUM(E130:E136)</f>
        <v>67.8</v>
      </c>
    </row>
    <row r="139" spans="1:7">
      <c r="A139" s="884">
        <v>45870</v>
      </c>
      <c r="B139" s="240" t="str">
        <f>TiposLancamentos!B15</f>
        <v>Cartões de Crédito</v>
      </c>
      <c r="C139" s="878" t="s">
        <v>1874</v>
      </c>
      <c r="D139" s="63">
        <v>67.8</v>
      </c>
      <c r="E139" s="231"/>
      <c r="F139" s="899">
        <f>F138-F133</f>
        <v>-114.52</v>
      </c>
      <c r="G139" s="1368" t="s">
        <v>9</v>
      </c>
    </row>
    <row r="140" spans="1:7">
      <c r="A140" s="934"/>
      <c r="B140" s="243"/>
      <c r="C140" s="389" t="s">
        <v>10</v>
      </c>
      <c r="D140" s="146"/>
      <c r="E140" s="1190"/>
      <c r="F140" s="935"/>
    </row>
    <row r="141" spans="1:7" ht="14.25" thickBot="1">
      <c r="A141" s="885"/>
      <c r="B141" s="1232"/>
      <c r="C141" s="1120" t="s">
        <v>1868</v>
      </c>
      <c r="D141" s="903"/>
      <c r="E141" s="928"/>
      <c r="F141" s="905"/>
    </row>
    <row r="142" spans="1:7">
      <c r="A142" s="884"/>
      <c r="B142" s="240"/>
      <c r="C142" s="878" t="s">
        <v>9611</v>
      </c>
      <c r="D142" s="63"/>
      <c r="E142" s="231"/>
      <c r="F142" s="899">
        <f>SUM(E136:E140)</f>
        <v>0</v>
      </c>
    </row>
    <row r="143" spans="1:7">
      <c r="A143" s="884">
        <v>45901</v>
      </c>
      <c r="B143" s="240"/>
      <c r="C143" s="878" t="s">
        <v>1874</v>
      </c>
      <c r="D143" s="63">
        <v>0</v>
      </c>
      <c r="E143" s="231"/>
      <c r="F143" s="899">
        <f>F142-F138</f>
        <v>-67.8</v>
      </c>
    </row>
    <row r="144" spans="1:7">
      <c r="A144" s="934"/>
      <c r="B144" s="243"/>
      <c r="C144" s="389" t="s">
        <v>10</v>
      </c>
      <c r="D144" s="146"/>
      <c r="E144" s="1190"/>
      <c r="F144" s="935"/>
    </row>
    <row r="145" spans="1:6" ht="14.25" thickBot="1">
      <c r="A145" s="885"/>
      <c r="B145" s="1232"/>
      <c r="C145" s="1120" t="s">
        <v>1868</v>
      </c>
      <c r="D145" s="903"/>
      <c r="E145" s="928"/>
      <c r="F145" s="905"/>
    </row>
    <row r="146" spans="1:6">
      <c r="A146" s="884"/>
      <c r="B146" s="240"/>
      <c r="C146" s="878" t="s">
        <v>1651</v>
      </c>
      <c r="D146" s="63"/>
      <c r="E146" s="231"/>
      <c r="F146" s="899">
        <f>SUM(E140:E144)</f>
        <v>0</v>
      </c>
    </row>
    <row r="147" spans="1:6">
      <c r="A147" s="884">
        <v>45931</v>
      </c>
      <c r="B147" s="240"/>
      <c r="C147" s="878" t="s">
        <v>1874</v>
      </c>
      <c r="D147" s="63">
        <v>0</v>
      </c>
      <c r="E147" s="231">
        <v>0</v>
      </c>
      <c r="F147" s="899">
        <f>F146-F142</f>
        <v>0</v>
      </c>
    </row>
    <row r="148" spans="1:6">
      <c r="A148" s="934"/>
      <c r="B148" s="243"/>
      <c r="C148" s="389" t="s">
        <v>10</v>
      </c>
      <c r="D148" s="146"/>
      <c r="E148" s="1190"/>
      <c r="F148" s="935"/>
    </row>
    <row r="149" spans="1:6" ht="14.25" thickBot="1">
      <c r="A149" s="885"/>
      <c r="B149" s="1232"/>
      <c r="C149" s="1120" t="s">
        <v>1868</v>
      </c>
      <c r="D149" s="903"/>
      <c r="E149" s="928"/>
      <c r="F149" s="905"/>
    </row>
    <row r="150" spans="1:6">
      <c r="A150" s="884"/>
      <c r="B150" s="240"/>
      <c r="C150" s="878" t="s">
        <v>10272</v>
      </c>
      <c r="D150" s="63"/>
      <c r="E150" s="231"/>
      <c r="F150" s="899">
        <f>SUM(E144:E148)</f>
        <v>0</v>
      </c>
    </row>
    <row r="151" spans="1:6">
      <c r="A151" s="884">
        <v>45964</v>
      </c>
      <c r="B151" s="240"/>
      <c r="C151" s="878" t="s">
        <v>1874</v>
      </c>
      <c r="D151" s="63">
        <v>0</v>
      </c>
      <c r="E151" s="231">
        <v>0</v>
      </c>
      <c r="F151" s="899">
        <f>F150-F146</f>
        <v>0</v>
      </c>
    </row>
    <row r="152" spans="1:6">
      <c r="A152" s="934"/>
      <c r="B152" s="243"/>
      <c r="C152" s="389" t="s">
        <v>10</v>
      </c>
      <c r="D152" s="146"/>
      <c r="E152" s="1190"/>
      <c r="F152" s="935"/>
    </row>
    <row r="153" spans="1:6" ht="14.25" thickBot="1">
      <c r="A153" s="885"/>
      <c r="B153" s="1232"/>
      <c r="C153" s="1120" t="s">
        <v>1868</v>
      </c>
      <c r="D153" s="903"/>
      <c r="E153" s="928"/>
      <c r="F153" s="905"/>
    </row>
    <row r="154" spans="1:6">
      <c r="A154" s="884"/>
      <c r="B154" s="240"/>
      <c r="C154" s="878" t="s">
        <v>1653</v>
      </c>
      <c r="D154" s="63"/>
      <c r="E154" s="231"/>
      <c r="F154" s="899">
        <f>SUM(E148:E152)</f>
        <v>0</v>
      </c>
    </row>
    <row r="155" spans="1:6">
      <c r="A155" s="884">
        <v>45992</v>
      </c>
      <c r="B155" s="240"/>
      <c r="C155" s="878" t="s">
        <v>1874</v>
      </c>
      <c r="D155" s="63">
        <v>0</v>
      </c>
      <c r="E155" s="231">
        <v>0</v>
      </c>
      <c r="F155" s="899">
        <f>F154-F150</f>
        <v>0</v>
      </c>
    </row>
    <row r="156" spans="1:6">
      <c r="A156" s="934"/>
      <c r="B156" s="243"/>
      <c r="C156" s="389" t="s">
        <v>10</v>
      </c>
      <c r="D156" s="146"/>
      <c r="E156" s="1190"/>
      <c r="F156" s="935"/>
    </row>
    <row r="157" spans="1:6" ht="14.25" thickBot="1">
      <c r="A157" s="885"/>
      <c r="B157" s="1232"/>
      <c r="C157" s="1120" t="s">
        <v>1868</v>
      </c>
      <c r="D157" s="903"/>
      <c r="E157" s="928"/>
      <c r="F157" s="905"/>
    </row>
    <row r="158" spans="1:6">
      <c r="A158" s="884"/>
      <c r="B158" s="240"/>
      <c r="C158" s="878" t="s">
        <v>10273</v>
      </c>
      <c r="D158" s="63"/>
      <c r="E158" s="231"/>
      <c r="F158" s="899">
        <f>SUM(E152:E156)</f>
        <v>0</v>
      </c>
    </row>
    <row r="159" spans="1:6">
      <c r="A159" s="884">
        <v>46023</v>
      </c>
      <c r="B159" s="240"/>
      <c r="C159" s="878" t="s">
        <v>1874</v>
      </c>
      <c r="D159" s="63">
        <v>0</v>
      </c>
      <c r="E159" s="231">
        <v>0</v>
      </c>
      <c r="F159" s="899">
        <f>F158-F155</f>
        <v>0</v>
      </c>
    </row>
    <row r="160" spans="1:6">
      <c r="A160" s="934"/>
      <c r="B160" s="243"/>
      <c r="C160" s="389" t="s">
        <v>10</v>
      </c>
      <c r="D160" s="146"/>
      <c r="E160" s="1190"/>
      <c r="F160" s="935"/>
    </row>
    <row r="161" spans="1:6" ht="14.25" thickBot="1">
      <c r="A161" s="885"/>
      <c r="B161" s="1232"/>
      <c r="C161" s="1120" t="s">
        <v>1868</v>
      </c>
      <c r="D161" s="903"/>
      <c r="E161" s="928"/>
      <c r="F161" s="905"/>
    </row>
    <row r="162" spans="1:6">
      <c r="A162" s="884"/>
      <c r="B162" s="240"/>
      <c r="C162" s="878" t="s">
        <v>2360</v>
      </c>
      <c r="D162" s="63"/>
      <c r="E162" s="231"/>
      <c r="F162" s="899">
        <f>SUM(E156:E160)</f>
        <v>0</v>
      </c>
    </row>
    <row r="163" spans="1:6">
      <c r="A163" s="884">
        <v>46055</v>
      </c>
      <c r="B163" s="240"/>
      <c r="C163" s="878" t="s">
        <v>1874</v>
      </c>
      <c r="D163" s="63">
        <v>0</v>
      </c>
      <c r="E163" s="231">
        <v>0</v>
      </c>
      <c r="F163" s="899">
        <f>F162-F159</f>
        <v>0</v>
      </c>
    </row>
    <row r="164" spans="1:6">
      <c r="A164" s="934"/>
      <c r="B164" s="243"/>
      <c r="C164" s="389" t="s">
        <v>10</v>
      </c>
      <c r="D164" s="146"/>
      <c r="E164" s="1190"/>
      <c r="F164" s="935"/>
    </row>
    <row r="165" spans="1:6" ht="14.25" thickBot="1">
      <c r="A165" s="885"/>
      <c r="B165" s="1232"/>
      <c r="C165" s="1120" t="s">
        <v>1868</v>
      </c>
      <c r="D165" s="903"/>
      <c r="E165" s="928"/>
      <c r="F165" s="905"/>
    </row>
    <row r="166" spans="1:6">
      <c r="A166" s="884"/>
      <c r="B166" s="240"/>
      <c r="C166" s="878" t="s">
        <v>1656</v>
      </c>
      <c r="D166" s="63"/>
      <c r="E166" s="231"/>
      <c r="F166" s="899">
        <f>SUM(E160:E164)</f>
        <v>0</v>
      </c>
    </row>
    <row r="167" spans="1:6">
      <c r="A167" s="884">
        <v>46083</v>
      </c>
      <c r="B167" s="240"/>
      <c r="C167" s="878" t="s">
        <v>1874</v>
      </c>
      <c r="D167" s="63">
        <v>0</v>
      </c>
      <c r="E167" s="231">
        <v>0</v>
      </c>
      <c r="F167" s="899">
        <f>F166-F163</f>
        <v>0</v>
      </c>
    </row>
    <row r="168" spans="1:6">
      <c r="A168" s="934"/>
      <c r="B168" s="243"/>
      <c r="C168" s="389" t="s">
        <v>10</v>
      </c>
      <c r="D168" s="146"/>
      <c r="E168" s="1190"/>
      <c r="F168" s="935"/>
    </row>
    <row r="169" spans="1:6" ht="14.25" thickBot="1">
      <c r="A169" s="885"/>
      <c r="B169" s="1232"/>
      <c r="C169" s="1120" t="s">
        <v>1868</v>
      </c>
      <c r="D169" s="903"/>
      <c r="E169" s="928"/>
      <c r="F169" s="905"/>
    </row>
    <row r="170" spans="1:6">
      <c r="A170" s="884"/>
      <c r="B170" s="240"/>
      <c r="C170" s="878" t="s">
        <v>10274</v>
      </c>
      <c r="D170" s="63"/>
      <c r="E170" s="231"/>
      <c r="F170" s="899">
        <f>SUM(E164:E168)</f>
        <v>0</v>
      </c>
    </row>
    <row r="171" spans="1:6">
      <c r="A171" s="884">
        <v>46113</v>
      </c>
      <c r="B171" s="240"/>
      <c r="C171" s="878" t="s">
        <v>1874</v>
      </c>
      <c r="D171" s="63">
        <v>0</v>
      </c>
      <c r="E171" s="231">
        <v>0</v>
      </c>
      <c r="F171" s="899">
        <f>F170-F167</f>
        <v>0</v>
      </c>
    </row>
    <row r="172" spans="1:6">
      <c r="A172" s="934"/>
      <c r="B172" s="243"/>
      <c r="C172" s="389" t="s">
        <v>10</v>
      </c>
      <c r="D172" s="146"/>
      <c r="E172" s="1190"/>
      <c r="F172" s="935"/>
    </row>
    <row r="173" spans="1:6" ht="14.25" thickBot="1">
      <c r="A173" s="885"/>
      <c r="B173" s="1232"/>
      <c r="C173" s="1120" t="s">
        <v>1868</v>
      </c>
      <c r="D173" s="903"/>
      <c r="E173" s="928"/>
      <c r="F173" s="905"/>
    </row>
    <row r="174" spans="1:6">
      <c r="A174" s="884"/>
      <c r="B174" s="240"/>
      <c r="C174" s="878" t="s">
        <v>1658</v>
      </c>
      <c r="D174" s="63"/>
      <c r="E174" s="231"/>
      <c r="F174" s="899">
        <f>SUM(E168:E172)</f>
        <v>0</v>
      </c>
    </row>
    <row r="175" spans="1:6">
      <c r="A175" s="884">
        <v>46143</v>
      </c>
      <c r="B175" s="240"/>
      <c r="C175" s="878" t="s">
        <v>1874</v>
      </c>
      <c r="D175" s="63">
        <v>0</v>
      </c>
      <c r="E175" s="231">
        <v>0</v>
      </c>
      <c r="F175" s="899">
        <f>F174-F171</f>
        <v>0</v>
      </c>
    </row>
    <row r="176" spans="1:6">
      <c r="A176" s="884"/>
      <c r="B176" s="240"/>
      <c r="C176" s="878"/>
      <c r="D176" s="63"/>
      <c r="E176" s="231"/>
      <c r="F176" s="899"/>
    </row>
    <row r="177" spans="1:7">
      <c r="A177" s="884"/>
      <c r="B177" s="240"/>
      <c r="C177" s="878"/>
      <c r="D177" s="63"/>
      <c r="E177" s="231"/>
      <c r="F177" s="899"/>
    </row>
    <row r="178" spans="1:7">
      <c r="A178" s="884"/>
      <c r="B178" s="240"/>
      <c r="C178" s="878"/>
      <c r="D178" s="63"/>
      <c r="E178" s="231"/>
      <c r="F178" s="899"/>
    </row>
    <row r="179" spans="1:7">
      <c r="A179" s="884"/>
      <c r="B179" s="240"/>
      <c r="C179" s="878"/>
      <c r="D179" s="63"/>
      <c r="E179" s="231"/>
      <c r="F179" s="899"/>
    </row>
    <row r="180" spans="1:7">
      <c r="A180" s="884"/>
      <c r="B180" s="240"/>
      <c r="C180" s="878"/>
      <c r="D180" s="63"/>
      <c r="E180" s="231"/>
      <c r="F180" s="899"/>
    </row>
    <row r="181" spans="1:7">
      <c r="A181" s="884"/>
      <c r="B181" s="240"/>
      <c r="C181" s="878"/>
      <c r="D181" s="63"/>
      <c r="E181" s="231"/>
      <c r="F181" s="899"/>
    </row>
    <row r="182" spans="1:7" ht="14.25" thickBot="1">
      <c r="A182" s="885"/>
      <c r="B182" s="1232"/>
      <c r="C182" s="902"/>
      <c r="D182" s="903"/>
      <c r="E182" s="928"/>
      <c r="F182" s="905"/>
      <c r="G182" s="1094" t="s">
        <v>11</v>
      </c>
    </row>
    <row r="183" spans="1:7">
      <c r="A183" s="46"/>
      <c r="B183" s="116"/>
      <c r="C183" s="117" t="s">
        <v>12</v>
      </c>
      <c r="D183" s="185">
        <f>SUM(D2:D182)</f>
        <v>2612.7900000000004</v>
      </c>
      <c r="E183" s="609">
        <f>SUM(E2:E182)</f>
        <v>2612.7900000000013</v>
      </c>
      <c r="F183" s="224"/>
    </row>
    <row r="184" spans="1:7">
      <c r="A184" s="119"/>
      <c r="B184" s="120"/>
      <c r="C184" s="24" t="s">
        <v>13</v>
      </c>
      <c r="D184" s="177"/>
      <c r="E184" s="302">
        <f>D183-E183</f>
        <v>0</v>
      </c>
      <c r="F184" s="177"/>
    </row>
    <row r="185" spans="1:7">
      <c r="A185" s="65"/>
      <c r="B185" s="65"/>
    </row>
    <row r="186" spans="1:7">
      <c r="C186" s="23"/>
      <c r="D186" s="25" t="s">
        <v>14</v>
      </c>
      <c r="E186" s="303" t="s">
        <v>15</v>
      </c>
      <c r="F186" s="25" t="s">
        <v>16</v>
      </c>
    </row>
    <row r="187" spans="1:7">
      <c r="B187" s="77" t="s">
        <v>17</v>
      </c>
      <c r="C187" s="36"/>
      <c r="D187" s="60">
        <f>CARTOES!H27</f>
        <v>25000</v>
      </c>
      <c r="E187" s="34">
        <f>E184</f>
        <v>0</v>
      </c>
      <c r="F187" s="62">
        <f>D187+E187</f>
        <v>25000</v>
      </c>
    </row>
    <row r="189" spans="1:7">
      <c r="F189" s="877"/>
    </row>
    <row r="199" spans="3:3">
      <c r="C199" s="771" t="s">
        <v>10275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ilha12"/>
  <dimension ref="A1:G826"/>
  <sheetViews>
    <sheetView zoomScaleNormal="100" workbookViewId="0">
      <pane xSplit="6" ySplit="1" topLeftCell="G800" activePane="bottomRight" state="frozen"/>
      <selection pane="bottomRight" activeCell="C807" sqref="C807"/>
      <selection pane="bottomLeft" activeCell="A2" sqref="A2"/>
      <selection pane="topRight" activeCell="G1" sqref="G1"/>
    </sheetView>
  </sheetViews>
  <sheetFormatPr defaultColWidth="9" defaultRowHeight="13.5"/>
  <cols>
    <col min="1" max="1" width="13.7109375" style="3" bestFit="1" customWidth="1"/>
    <col min="2" max="2" width="21.42578125" style="3" customWidth="1"/>
    <col min="3" max="3" width="58.7109375" style="3" bestFit="1" customWidth="1"/>
    <col min="4" max="4" width="16.7109375" style="3" bestFit="1" customWidth="1"/>
    <col min="5" max="5" width="17" style="221" customWidth="1"/>
    <col min="6" max="6" width="16" style="3" bestFit="1" customWidth="1"/>
    <col min="7" max="7" width="8.42578125" style="3" customWidth="1"/>
    <col min="8" max="16384" width="9" style="3"/>
  </cols>
  <sheetData>
    <row r="1" spans="1:7" ht="14.25" thickBot="1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6</v>
      </c>
    </row>
    <row r="2" spans="1:7">
      <c r="A2" s="1714"/>
      <c r="B2" s="1715"/>
      <c r="C2" s="1716" t="s">
        <v>7330</v>
      </c>
      <c r="D2" s="1717"/>
      <c r="E2" s="1718"/>
      <c r="F2" s="1718"/>
    </row>
    <row r="3" spans="1:7">
      <c r="A3" s="884">
        <v>43800</v>
      </c>
      <c r="B3" s="240" t="str">
        <f>TiposLancamentos!B77</f>
        <v>Esporádico</v>
      </c>
      <c r="C3" s="878" t="s">
        <v>8</v>
      </c>
      <c r="D3" s="63">
        <v>0.01</v>
      </c>
      <c r="E3" s="231"/>
      <c r="F3" s="899"/>
    </row>
    <row r="4" spans="1:7" ht="14.25" thickBot="1">
      <c r="A4" s="884">
        <v>43800</v>
      </c>
      <c r="B4" s="240" t="str">
        <f>TiposLancamentos!B78</f>
        <v>Diferenças</v>
      </c>
      <c r="C4" s="878" t="s">
        <v>10276</v>
      </c>
      <c r="D4" s="63"/>
      <c r="E4" s="231">
        <v>0.01</v>
      </c>
      <c r="F4" s="899"/>
    </row>
    <row r="5" spans="1:7">
      <c r="A5" s="1714"/>
      <c r="B5" s="1715"/>
      <c r="C5" s="1716" t="s">
        <v>7389</v>
      </c>
      <c r="D5" s="1717"/>
      <c r="E5" s="1718"/>
      <c r="F5" s="1718"/>
    </row>
    <row r="6" spans="1:7">
      <c r="A6" s="884">
        <v>43831</v>
      </c>
      <c r="B6" s="240" t="str">
        <f>TiposLancamentos!B77</f>
        <v>Esporádico</v>
      </c>
      <c r="C6" s="878" t="s">
        <v>10277</v>
      </c>
      <c r="D6" s="63">
        <v>0.01</v>
      </c>
      <c r="E6" s="865"/>
      <c r="F6" s="1027"/>
    </row>
    <row r="7" spans="1:7">
      <c r="A7" s="884">
        <v>43831</v>
      </c>
      <c r="B7" s="240" t="str">
        <f>TiposLancamentos!B78</f>
        <v>Diferenças</v>
      </c>
      <c r="C7" s="878" t="s">
        <v>10278</v>
      </c>
      <c r="D7" s="63"/>
      <c r="E7" s="865">
        <v>0.01</v>
      </c>
      <c r="F7" s="1027"/>
    </row>
    <row r="8" spans="1:7">
      <c r="A8" s="884">
        <v>44057</v>
      </c>
      <c r="B8" s="240" t="str">
        <f>TiposLancamentos!B99</f>
        <v>Venda de algo</v>
      </c>
      <c r="C8" s="878" t="s">
        <v>10279</v>
      </c>
      <c r="D8" s="63">
        <v>79.599999999999994</v>
      </c>
      <c r="E8" s="865"/>
      <c r="F8" s="1027"/>
    </row>
    <row r="9" spans="1:7">
      <c r="A9" s="884">
        <v>44141</v>
      </c>
      <c r="B9" s="240" t="str">
        <f>TiposLancamentos!B99</f>
        <v>Venda de algo</v>
      </c>
      <c r="C9" s="878" t="s">
        <v>10280</v>
      </c>
      <c r="D9" s="63">
        <v>24.26</v>
      </c>
      <c r="E9" s="865"/>
      <c r="F9" s="1027"/>
    </row>
    <row r="10" spans="1:7">
      <c r="A10" s="884">
        <v>44168</v>
      </c>
      <c r="B10" s="240" t="str">
        <f>TiposLancamentos!B71</f>
        <v>Itens Pessoais</v>
      </c>
      <c r="C10" s="878" t="s">
        <v>10281</v>
      </c>
      <c r="D10" s="63"/>
      <c r="E10" s="865">
        <v>44.99</v>
      </c>
      <c r="F10" s="1027"/>
    </row>
    <row r="11" spans="1:7">
      <c r="A11" s="884">
        <v>44169</v>
      </c>
      <c r="B11" s="240" t="str">
        <f>TiposLancamentos!B103</f>
        <v>Juros_Corr. Poupança</v>
      </c>
      <c r="C11" s="878" t="s">
        <v>4323</v>
      </c>
      <c r="D11" s="63">
        <v>0.39</v>
      </c>
      <c r="E11" s="865"/>
      <c r="F11" s="1027"/>
    </row>
    <row r="12" spans="1:7">
      <c r="A12" s="884">
        <v>44172</v>
      </c>
      <c r="B12" s="240" t="str">
        <f>TiposLancamentos!B60</f>
        <v>Correio</v>
      </c>
      <c r="C12" s="878" t="s">
        <v>10282</v>
      </c>
      <c r="D12" s="63"/>
      <c r="E12" s="865">
        <v>11.15</v>
      </c>
      <c r="F12" s="1027"/>
    </row>
    <row r="13" spans="1:7">
      <c r="A13" s="884">
        <v>44172</v>
      </c>
      <c r="B13" s="240" t="str">
        <f>TiposLancamentos!B98</f>
        <v>Restituições</v>
      </c>
      <c r="C13" s="878" t="s">
        <v>10283</v>
      </c>
      <c r="D13" s="63">
        <v>11.15</v>
      </c>
      <c r="E13" s="865"/>
      <c r="F13" s="1027"/>
    </row>
    <row r="14" spans="1:7">
      <c r="A14" s="884">
        <v>44186</v>
      </c>
      <c r="B14" s="240" t="str">
        <f>TiposLancamentos!B13</f>
        <v>Moradia</v>
      </c>
      <c r="C14" s="878" t="s">
        <v>4150</v>
      </c>
      <c r="D14" s="63"/>
      <c r="E14" s="865">
        <v>48</v>
      </c>
      <c r="F14" s="1027"/>
    </row>
    <row r="15" spans="1:7">
      <c r="A15" s="884">
        <v>44200</v>
      </c>
      <c r="B15" s="240" t="str">
        <f>TiposLancamentos!B100</f>
        <v>Emprestimos</v>
      </c>
      <c r="C15" s="878" t="s">
        <v>10284</v>
      </c>
      <c r="D15" s="63">
        <v>4700.04</v>
      </c>
      <c r="E15" s="865"/>
      <c r="F15" s="1027"/>
    </row>
    <row r="16" spans="1:7">
      <c r="A16" s="884">
        <v>44200</v>
      </c>
      <c r="B16" s="240" t="str">
        <f>TiposLancamentos!B15</f>
        <v>Cartões de Crédito</v>
      </c>
      <c r="C16" s="3" t="s">
        <v>7781</v>
      </c>
      <c r="D16" s="63"/>
      <c r="E16" s="865">
        <v>3898.02</v>
      </c>
      <c r="F16" s="1027"/>
    </row>
    <row r="17" spans="1:6">
      <c r="A17" s="884">
        <v>44200</v>
      </c>
      <c r="B17" s="240" t="str">
        <f>TiposLancamentos!B15</f>
        <v>Cartões de Crédito</v>
      </c>
      <c r="C17" s="3" t="s">
        <v>7333</v>
      </c>
      <c r="D17" s="63"/>
      <c r="E17" s="865">
        <v>760.31</v>
      </c>
      <c r="F17" s="1027"/>
    </row>
    <row r="18" spans="1:6">
      <c r="A18" s="884">
        <v>44200</v>
      </c>
      <c r="B18" s="240" t="str">
        <f>TiposLancamentos!B14</f>
        <v>Gás de cozinha</v>
      </c>
      <c r="C18" s="878" t="s">
        <v>10285</v>
      </c>
      <c r="D18" s="63"/>
      <c r="E18" s="865">
        <v>31.11</v>
      </c>
      <c r="F18" s="1027"/>
    </row>
    <row r="19" spans="1:6">
      <c r="A19" s="884">
        <v>44202</v>
      </c>
      <c r="B19" s="240" t="str">
        <f>TiposLancamentos!B96</f>
        <v>Resg.Poup.</v>
      </c>
      <c r="C19" s="878" t="s">
        <v>7780</v>
      </c>
      <c r="D19" s="63">
        <v>7040.73</v>
      </c>
      <c r="E19" s="865"/>
      <c r="F19" s="1027"/>
    </row>
    <row r="20" spans="1:6">
      <c r="A20" s="884">
        <v>44202</v>
      </c>
      <c r="B20" s="240" t="str">
        <f>TiposLancamentos!B99</f>
        <v>Venda de algo</v>
      </c>
      <c r="C20" s="878" t="s">
        <v>10286</v>
      </c>
      <c r="D20" s="63">
        <v>155</v>
      </c>
      <c r="E20" s="865"/>
      <c r="F20" s="1027"/>
    </row>
    <row r="21" spans="1:6">
      <c r="A21" s="884">
        <v>44202</v>
      </c>
      <c r="B21" s="240" t="str">
        <f>TiposLancamentos!B79</f>
        <v>Financiamento Banco</v>
      </c>
      <c r="C21" s="878" t="s">
        <v>10287</v>
      </c>
      <c r="D21" s="63"/>
      <c r="E21" s="865">
        <v>4735.96</v>
      </c>
      <c r="F21" s="1027"/>
    </row>
    <row r="22" spans="1:6">
      <c r="A22" s="884">
        <v>44202</v>
      </c>
      <c r="B22" s="240" t="str">
        <f>TiposLancamentos!B105</f>
        <v>Transf. Bco</v>
      </c>
      <c r="C22" s="878" t="s">
        <v>10288</v>
      </c>
      <c r="D22" s="63"/>
      <c r="E22" s="865">
        <v>2480</v>
      </c>
      <c r="F22" s="1027"/>
    </row>
    <row r="23" spans="1:6">
      <c r="A23" s="884">
        <v>44244</v>
      </c>
      <c r="B23" s="240" t="str">
        <f>TiposLancamentos!B99</f>
        <v>Venda de algo</v>
      </c>
      <c r="C23" s="878" t="s">
        <v>10289</v>
      </c>
      <c r="D23" s="63">
        <v>109.35</v>
      </c>
      <c r="E23" s="865"/>
      <c r="F23" s="1027"/>
    </row>
    <row r="24" spans="1:6">
      <c r="A24" s="884">
        <v>44256</v>
      </c>
      <c r="B24" s="240" t="str">
        <f>TiposLancamentos!B105</f>
        <v>Transf. Bco</v>
      </c>
      <c r="C24" s="878" t="s">
        <v>10290</v>
      </c>
      <c r="D24" s="63"/>
      <c r="E24" s="865">
        <v>110</v>
      </c>
      <c r="F24" s="1027"/>
    </row>
    <row r="25" spans="1:6">
      <c r="A25" s="884">
        <v>44287</v>
      </c>
      <c r="B25" s="240" t="str">
        <f>TiposLancamentos!B103</f>
        <v>Juros_Corr. Poupança</v>
      </c>
      <c r="C25" s="878" t="s">
        <v>4323</v>
      </c>
      <c r="D25" s="63">
        <v>0.03</v>
      </c>
      <c r="E25" s="865"/>
      <c r="F25" s="1027"/>
    </row>
    <row r="26" spans="1:6">
      <c r="A26" s="884">
        <v>44287</v>
      </c>
      <c r="B26" s="240" t="str">
        <f>TiposLancamentos!B100</f>
        <v>Emprestimos</v>
      </c>
      <c r="C26" s="878" t="s">
        <v>10291</v>
      </c>
      <c r="D26" s="63">
        <v>5500</v>
      </c>
      <c r="E26" s="865"/>
      <c r="F26" s="1027"/>
    </row>
    <row r="27" spans="1:6">
      <c r="A27" s="884">
        <v>44287</v>
      </c>
      <c r="B27" s="240" t="str">
        <f>TiposLancamentos!B15</f>
        <v>Cartões de Crédito</v>
      </c>
      <c r="C27" s="878" t="s">
        <v>7781</v>
      </c>
      <c r="D27" s="63"/>
      <c r="E27" s="865">
        <v>4228.3999999999996</v>
      </c>
      <c r="F27" s="1027"/>
    </row>
    <row r="28" spans="1:6">
      <c r="A28" s="884">
        <v>44287</v>
      </c>
      <c r="B28" s="240" t="str">
        <f>TiposLancamentos!B15</f>
        <v>Cartões de Crédito</v>
      </c>
      <c r="C28" s="878" t="s">
        <v>8252</v>
      </c>
      <c r="D28" s="63"/>
      <c r="E28" s="865">
        <v>1214.3499999999999</v>
      </c>
      <c r="F28" s="1027"/>
    </row>
    <row r="29" spans="1:6">
      <c r="A29" s="884">
        <v>44298</v>
      </c>
      <c r="B29" s="240" t="str">
        <f>TiposLancamentos!B72</f>
        <v>Presentes</v>
      </c>
      <c r="C29" s="878" t="s">
        <v>10292</v>
      </c>
      <c r="D29" s="63"/>
      <c r="E29" s="865">
        <v>40</v>
      </c>
      <c r="F29" s="1027"/>
    </row>
    <row r="30" spans="1:6">
      <c r="A30" s="884">
        <v>44330</v>
      </c>
      <c r="B30" s="240" t="str">
        <f>ItaU!B5831</f>
        <v>Transf. Bco</v>
      </c>
      <c r="C30" s="878" t="s">
        <v>10293</v>
      </c>
      <c r="D30" s="63">
        <v>554.70000000000005</v>
      </c>
      <c r="E30" s="865"/>
      <c r="F30" s="1027"/>
    </row>
    <row r="31" spans="1:6">
      <c r="A31" s="884">
        <v>44330</v>
      </c>
      <c r="B31" s="240" t="str">
        <f>TiposLancamentos!B103</f>
        <v>Juros_Corr. Poupança</v>
      </c>
      <c r="C31" s="878" t="s">
        <v>4323</v>
      </c>
      <c r="D31" s="63">
        <v>7.0000000000000007E-2</v>
      </c>
      <c r="E31" s="865"/>
      <c r="F31" s="1027"/>
    </row>
    <row r="32" spans="1:6">
      <c r="A32" s="884">
        <v>44333</v>
      </c>
      <c r="B32" s="240" t="str">
        <f>TiposLancamentos!B79</f>
        <v>Financiamento Banco</v>
      </c>
      <c r="C32" s="878" t="s">
        <v>10294</v>
      </c>
      <c r="D32" s="63"/>
      <c r="E32" s="865">
        <v>573.02</v>
      </c>
      <c r="F32" s="1027"/>
    </row>
    <row r="33" spans="1:6">
      <c r="A33" s="884">
        <v>44362</v>
      </c>
      <c r="B33" s="240" t="str">
        <f>ItaU!B5831</f>
        <v>Transf. Bco</v>
      </c>
      <c r="C33" s="878" t="s">
        <v>10293</v>
      </c>
      <c r="D33" s="63">
        <v>574</v>
      </c>
      <c r="E33" s="865"/>
      <c r="F33" s="1027"/>
    </row>
    <row r="34" spans="1:6">
      <c r="A34" s="884">
        <v>44362</v>
      </c>
      <c r="B34" s="240" t="str">
        <f>TiposLancamentos!B79</f>
        <v>Financiamento Banco</v>
      </c>
      <c r="C34" s="878" t="s">
        <v>10295</v>
      </c>
      <c r="D34" s="63"/>
      <c r="E34" s="865">
        <v>573.02</v>
      </c>
      <c r="F34" s="1027"/>
    </row>
    <row r="35" spans="1:6">
      <c r="A35" s="884">
        <v>44380</v>
      </c>
      <c r="B35" s="240" t="str">
        <f>B33</f>
        <v>Transf. Bco</v>
      </c>
      <c r="C35" s="878" t="s">
        <v>10296</v>
      </c>
      <c r="D35" s="63">
        <v>0.01</v>
      </c>
      <c r="E35" s="865"/>
      <c r="F35" s="1027"/>
    </row>
    <row r="36" spans="1:6">
      <c r="A36" s="884">
        <v>44380</v>
      </c>
      <c r="B36" s="240" t="str">
        <f>TiposLancamentos!B16</f>
        <v>Cristiane</v>
      </c>
      <c r="C36" s="878" t="s">
        <v>10297</v>
      </c>
      <c r="D36" s="63"/>
      <c r="E36" s="865">
        <v>0.01</v>
      </c>
      <c r="F36" s="1027"/>
    </row>
    <row r="37" spans="1:6">
      <c r="A37" s="884">
        <v>44392</v>
      </c>
      <c r="B37" s="240" t="str">
        <f>TiposLancamentos!B105</f>
        <v>Transf. Bco</v>
      </c>
      <c r="C37" s="878" t="s">
        <v>10293</v>
      </c>
      <c r="D37" s="63">
        <v>574</v>
      </c>
      <c r="E37" s="865"/>
      <c r="F37" s="1027"/>
    </row>
    <row r="38" spans="1:6">
      <c r="A38" s="884">
        <v>44392</v>
      </c>
      <c r="B38" s="240" t="str">
        <f>TiposLancamentos!B79</f>
        <v>Financiamento Banco</v>
      </c>
      <c r="C38" s="878" t="s">
        <v>10298</v>
      </c>
      <c r="D38" s="63"/>
      <c r="E38" s="865">
        <v>573.02</v>
      </c>
      <c r="F38" s="1027"/>
    </row>
    <row r="39" spans="1:6">
      <c r="A39" s="884">
        <v>44407</v>
      </c>
      <c r="B39" s="240" t="str">
        <f>TiposLancamentos!B98</f>
        <v>Restituições</v>
      </c>
      <c r="C39" s="878" t="s">
        <v>10299</v>
      </c>
      <c r="D39" s="63">
        <v>4650.75</v>
      </c>
      <c r="E39" s="865"/>
      <c r="F39" s="1027"/>
    </row>
    <row r="40" spans="1:6">
      <c r="A40" s="884">
        <v>44407</v>
      </c>
      <c r="B40" s="240" t="str">
        <f>TiposLancamentos!B103</f>
        <v>Juros_Corr. Poupança</v>
      </c>
      <c r="C40" s="878" t="s">
        <v>8669</v>
      </c>
      <c r="D40" s="63">
        <v>0.02</v>
      </c>
      <c r="E40" s="865"/>
      <c r="F40" s="1027"/>
    </row>
    <row r="41" spans="1:6">
      <c r="A41" s="884">
        <v>44407</v>
      </c>
      <c r="B41" s="240" t="str">
        <f>TiposLancamentos!B79</f>
        <v>Financiamento Banco</v>
      </c>
      <c r="C41" s="878" t="s">
        <v>10300</v>
      </c>
      <c r="D41" s="63"/>
      <c r="E41" s="865">
        <v>4524.01</v>
      </c>
      <c r="F41" s="1027"/>
    </row>
    <row r="42" spans="1:6">
      <c r="A42" s="884">
        <v>44440</v>
      </c>
      <c r="B42" s="240" t="str">
        <f>B40</f>
        <v>Juros_Corr. Poupança</v>
      </c>
      <c r="C42" s="878" t="s">
        <v>8669</v>
      </c>
      <c r="D42" s="63">
        <v>0.45</v>
      </c>
      <c r="E42" s="865"/>
      <c r="F42" s="1027"/>
    </row>
    <row r="43" spans="1:6">
      <c r="A43" s="884">
        <v>44440</v>
      </c>
      <c r="B43" s="240" t="str">
        <f>TiposLancamentos!B15</f>
        <v>Cartões de Crédito</v>
      </c>
      <c r="C43" s="3" t="s">
        <v>7333</v>
      </c>
      <c r="D43" s="63"/>
      <c r="E43" s="865">
        <v>126.85</v>
      </c>
      <c r="F43" s="1027"/>
    </row>
    <row r="44" spans="1:6">
      <c r="A44" s="884">
        <v>44644</v>
      </c>
      <c r="B44" s="240" t="str">
        <f>TiposLancamentos!B105</f>
        <v>Transf. Bco</v>
      </c>
      <c r="C44" s="878" t="s">
        <v>10301</v>
      </c>
      <c r="D44" s="63">
        <v>5334.64</v>
      </c>
      <c r="E44" s="865"/>
      <c r="F44" s="1027"/>
    </row>
    <row r="45" spans="1:6">
      <c r="A45" s="884">
        <v>44644</v>
      </c>
      <c r="B45" s="240" t="str">
        <f>B40</f>
        <v>Juros_Corr. Poupança</v>
      </c>
      <c r="C45" s="878" t="s">
        <v>8669</v>
      </c>
      <c r="D45" s="63">
        <v>0.09</v>
      </c>
      <c r="E45" s="865"/>
      <c r="F45" s="1027"/>
    </row>
    <row r="46" spans="1:6">
      <c r="A46" s="884">
        <v>44644</v>
      </c>
      <c r="B46" s="240" t="str">
        <f>TiposLancamentos!B32</f>
        <v>Clinicas e tratamentos</v>
      </c>
      <c r="C46" s="878" t="s">
        <v>10302</v>
      </c>
      <c r="D46" s="63"/>
      <c r="E46" s="865">
        <v>5100</v>
      </c>
      <c r="F46" s="1027"/>
    </row>
    <row r="47" spans="1:6">
      <c r="A47" s="884">
        <v>44644</v>
      </c>
      <c r="B47" s="240" t="str">
        <f>TiposLancamentos!B19</f>
        <v>Restaurantes</v>
      </c>
      <c r="C47" s="878" t="s">
        <v>10303</v>
      </c>
      <c r="D47" s="63"/>
      <c r="E47" s="865">
        <v>52.56</v>
      </c>
      <c r="F47" s="1027"/>
    </row>
    <row r="48" spans="1:6">
      <c r="A48" s="884">
        <v>44646</v>
      </c>
      <c r="B48" s="240" t="str">
        <f>B47</f>
        <v>Restaurantes</v>
      </c>
      <c r="C48" s="878" t="s">
        <v>7508</v>
      </c>
      <c r="D48" s="63"/>
      <c r="E48" s="865">
        <v>66</v>
      </c>
      <c r="F48" s="1027"/>
    </row>
    <row r="49" spans="1:6">
      <c r="A49" s="884">
        <v>44646</v>
      </c>
      <c r="B49" s="240" t="str">
        <f>TiposLancamentos!B105</f>
        <v>Transf. Bco</v>
      </c>
      <c r="C49" s="878" t="s">
        <v>10304</v>
      </c>
      <c r="D49" s="63"/>
      <c r="E49" s="865">
        <v>118.5</v>
      </c>
      <c r="F49" s="1027"/>
    </row>
    <row r="50" spans="1:6">
      <c r="A50" s="884">
        <v>44646</v>
      </c>
      <c r="B50" s="240" t="str">
        <f>TiposLancamentos!B105</f>
        <v>Transf. Bco</v>
      </c>
      <c r="C50" s="878" t="s">
        <v>10305</v>
      </c>
      <c r="D50" s="63">
        <v>118.5</v>
      </c>
      <c r="E50" s="865"/>
      <c r="F50" s="1027"/>
    </row>
    <row r="51" spans="1:6">
      <c r="A51" s="884">
        <v>44646</v>
      </c>
      <c r="B51" s="240" t="str">
        <f>TiposLancamentos!B22</f>
        <v>Combustivel</v>
      </c>
      <c r="C51" s="878" t="s">
        <v>1880</v>
      </c>
      <c r="D51" s="63"/>
      <c r="E51" s="865">
        <v>100</v>
      </c>
      <c r="F51" s="1027"/>
    </row>
    <row r="52" spans="1:6">
      <c r="A52" s="884">
        <v>44647</v>
      </c>
      <c r="B52" s="138" t="str">
        <f>TiposLancamentos!B5</f>
        <v>Supermercado</v>
      </c>
      <c r="C52" s="3" t="s">
        <v>10306</v>
      </c>
      <c r="D52" s="197"/>
      <c r="E52" s="865">
        <v>10.9</v>
      </c>
      <c r="F52" s="1027"/>
    </row>
    <row r="53" spans="1:6">
      <c r="A53" s="884">
        <v>44649</v>
      </c>
      <c r="B53" s="240" t="str">
        <f>TiposLancamentos!B77</f>
        <v>Esporádico</v>
      </c>
      <c r="C53" s="878" t="s">
        <v>10307</v>
      </c>
      <c r="D53" s="63"/>
      <c r="E53" s="865">
        <v>5</v>
      </c>
      <c r="F53" s="1027"/>
    </row>
    <row r="54" spans="1:6">
      <c r="A54" s="884">
        <v>44656</v>
      </c>
      <c r="B54" s="240" t="str">
        <f>TiposLancamentos!B98</f>
        <v>Restituições</v>
      </c>
      <c r="C54" s="878" t="s">
        <v>10308</v>
      </c>
      <c r="D54" s="63">
        <v>176</v>
      </c>
      <c r="E54" s="865"/>
      <c r="F54" s="1027"/>
    </row>
    <row r="55" spans="1:6">
      <c r="A55" s="884">
        <v>44656</v>
      </c>
      <c r="B55" s="240" t="str">
        <f>TiposLancamentos!B22</f>
        <v>Combustivel</v>
      </c>
      <c r="C55" s="878" t="s">
        <v>10309</v>
      </c>
      <c r="D55" s="63"/>
      <c r="E55" s="865">
        <v>170</v>
      </c>
      <c r="F55" s="1027"/>
    </row>
    <row r="56" spans="1:6">
      <c r="A56" s="884">
        <v>44657</v>
      </c>
      <c r="B56" s="240" t="str">
        <f>TiposLancamentos!B24</f>
        <v>Estacionamentos</v>
      </c>
      <c r="C56" s="878" t="s">
        <v>9414</v>
      </c>
      <c r="D56" s="63"/>
      <c r="E56" s="865">
        <v>7</v>
      </c>
      <c r="F56" s="1027"/>
    </row>
    <row r="57" spans="1:6">
      <c r="A57" s="884">
        <v>44663</v>
      </c>
      <c r="B57" s="240" t="str">
        <f>TiposLancamentos!B98</f>
        <v>Restituições</v>
      </c>
      <c r="C57" s="878" t="s">
        <v>10310</v>
      </c>
      <c r="D57" s="63">
        <v>88</v>
      </c>
      <c r="E57" s="865"/>
      <c r="F57" s="1027"/>
    </row>
    <row r="58" spans="1:6">
      <c r="A58" s="884">
        <v>44663</v>
      </c>
      <c r="B58" s="240" t="str">
        <f>TiposLancamentos!B19</f>
        <v>Restaurantes</v>
      </c>
      <c r="C58" s="878" t="s">
        <v>1967</v>
      </c>
      <c r="D58" s="63"/>
      <c r="E58" s="865">
        <v>50.6</v>
      </c>
      <c r="F58" s="1027"/>
    </row>
    <row r="59" spans="1:6">
      <c r="A59" s="884">
        <v>44663</v>
      </c>
      <c r="B59" s="240" t="str">
        <f>TiposLancamentos!B24</f>
        <v>Estacionamentos</v>
      </c>
      <c r="C59" s="878" t="s">
        <v>10311</v>
      </c>
      <c r="D59" s="63"/>
      <c r="E59" s="865">
        <v>18</v>
      </c>
      <c r="F59" s="1027"/>
    </row>
    <row r="60" spans="1:6">
      <c r="A60" s="884">
        <v>44664</v>
      </c>
      <c r="B60" s="240" t="str">
        <f>TiposLancamentos!B98</f>
        <v>Restituições</v>
      </c>
      <c r="C60" s="878" t="s">
        <v>10310</v>
      </c>
      <c r="D60" s="63">
        <v>44</v>
      </c>
      <c r="E60" s="865"/>
      <c r="F60" s="1027"/>
    </row>
    <row r="61" spans="1:6">
      <c r="A61" s="884">
        <v>44664</v>
      </c>
      <c r="B61" s="240" t="str">
        <f>B58</f>
        <v>Restaurantes</v>
      </c>
      <c r="C61" s="878" t="s">
        <v>10312</v>
      </c>
      <c r="D61" s="63"/>
      <c r="E61" s="865">
        <v>40</v>
      </c>
      <c r="F61" s="1027"/>
    </row>
    <row r="62" spans="1:6">
      <c r="A62" s="884">
        <v>44666</v>
      </c>
      <c r="B62" s="240" t="str">
        <f>TiposLancamentos!B5</f>
        <v>Supermercado</v>
      </c>
      <c r="C62" s="878" t="s">
        <v>2153</v>
      </c>
      <c r="D62" s="63"/>
      <c r="E62" s="865">
        <v>11.98</v>
      </c>
      <c r="F62" s="1027"/>
    </row>
    <row r="63" spans="1:6">
      <c r="A63" s="884">
        <v>44667</v>
      </c>
      <c r="B63" s="240" t="str">
        <f>TiposLancamentos!B5</f>
        <v>Supermercado</v>
      </c>
      <c r="C63" s="878" t="s">
        <v>1884</v>
      </c>
      <c r="D63" s="63"/>
      <c r="E63" s="865">
        <v>9.9</v>
      </c>
      <c r="F63" s="1027"/>
    </row>
    <row r="64" spans="1:6">
      <c r="A64" s="884">
        <v>44698</v>
      </c>
      <c r="B64" s="240" t="str">
        <f>TiposLancamentos!B98</f>
        <v>Restituições</v>
      </c>
      <c r="C64" s="878" t="s">
        <v>10310</v>
      </c>
      <c r="D64" s="63">
        <v>79.2</v>
      </c>
      <c r="E64" s="865"/>
      <c r="F64" s="1027"/>
    </row>
    <row r="65" spans="1:6">
      <c r="A65" s="884">
        <v>44698</v>
      </c>
      <c r="B65" s="240" t="str">
        <f>TiposLancamentos!B24</f>
        <v>Estacionamentos</v>
      </c>
      <c r="C65" s="878" t="s">
        <v>10313</v>
      </c>
      <c r="D65" s="63"/>
      <c r="E65" s="865">
        <v>13</v>
      </c>
      <c r="F65" s="1027"/>
    </row>
    <row r="66" spans="1:6">
      <c r="A66" s="884">
        <v>44700</v>
      </c>
      <c r="B66" s="240" t="str">
        <f>TiposLancamentos!B71</f>
        <v>Itens Pessoais</v>
      </c>
      <c r="C66" s="878" t="s">
        <v>10314</v>
      </c>
      <c r="D66" s="63"/>
      <c r="E66" s="865">
        <v>19.86</v>
      </c>
      <c r="F66" s="1027"/>
    </row>
    <row r="67" spans="1:6">
      <c r="A67" s="884">
        <v>44701</v>
      </c>
      <c r="B67" s="240" t="str">
        <f>TiposLancamentos!B98</f>
        <v>Restituições</v>
      </c>
      <c r="C67" s="878" t="s">
        <v>10310</v>
      </c>
      <c r="D67" s="63">
        <v>132</v>
      </c>
      <c r="E67" s="865"/>
      <c r="F67" s="1027"/>
    </row>
    <row r="68" spans="1:6">
      <c r="A68" s="884">
        <v>44701</v>
      </c>
      <c r="B68" s="240" t="str">
        <f>TiposLancamentos!B103</f>
        <v>Juros_Corr. Poupança</v>
      </c>
      <c r="C68" s="878" t="s">
        <v>8669</v>
      </c>
      <c r="D68" s="63">
        <v>0.06</v>
      </c>
      <c r="E68" s="865"/>
      <c r="F68" s="1027"/>
    </row>
    <row r="69" spans="1:6">
      <c r="A69" s="884">
        <v>44701</v>
      </c>
      <c r="B69" s="240" t="str">
        <f>TiposLancamentos!B19</f>
        <v>Restaurantes</v>
      </c>
      <c r="C69" s="878" t="s">
        <v>8584</v>
      </c>
      <c r="D69" s="63"/>
      <c r="E69" s="865">
        <v>97.68</v>
      </c>
      <c r="F69" s="1027"/>
    </row>
    <row r="70" spans="1:6">
      <c r="A70" s="884">
        <v>44701</v>
      </c>
      <c r="B70" s="240" t="str">
        <f>TiposLancamentos!B19</f>
        <v>Restaurantes</v>
      </c>
      <c r="C70" s="878" t="s">
        <v>10315</v>
      </c>
      <c r="D70" s="63"/>
      <c r="E70" s="865">
        <v>59.9</v>
      </c>
      <c r="F70" s="1027"/>
    </row>
    <row r="71" spans="1:6">
      <c r="A71" s="884">
        <v>44705</v>
      </c>
      <c r="B71" s="240" t="str">
        <f>TiposLancamentos!B24</f>
        <v>Estacionamentos</v>
      </c>
      <c r="C71" s="878" t="s">
        <v>8887</v>
      </c>
      <c r="D71" s="63"/>
      <c r="E71" s="865">
        <v>13</v>
      </c>
      <c r="F71" s="1027"/>
    </row>
    <row r="72" spans="1:6">
      <c r="A72" s="884">
        <v>44707</v>
      </c>
      <c r="B72" s="240" t="str">
        <f>TiposLancamentos!B98</f>
        <v>Restituições</v>
      </c>
      <c r="C72" s="878" t="s">
        <v>10310</v>
      </c>
      <c r="D72" s="63">
        <v>88</v>
      </c>
      <c r="E72" s="865"/>
      <c r="F72" s="1027"/>
    </row>
    <row r="73" spans="1:6">
      <c r="A73" s="884">
        <v>44707</v>
      </c>
      <c r="B73" s="240" t="str">
        <f>TiposLancamentos!B71</f>
        <v>Itens Pessoais</v>
      </c>
      <c r="C73" s="878" t="s">
        <v>10316</v>
      </c>
      <c r="D73" s="63"/>
      <c r="E73" s="865">
        <v>44.45</v>
      </c>
      <c r="F73" s="1027"/>
    </row>
    <row r="74" spans="1:6">
      <c r="A74" s="884">
        <v>44708</v>
      </c>
      <c r="B74" s="240" t="str">
        <f>TiposLancamentos!B13</f>
        <v>Moradia</v>
      </c>
      <c r="C74" s="878" t="s">
        <v>10317</v>
      </c>
      <c r="D74" s="63"/>
      <c r="E74" s="865">
        <v>14</v>
      </c>
      <c r="F74" s="1027"/>
    </row>
    <row r="75" spans="1:6">
      <c r="A75" s="884">
        <v>44710</v>
      </c>
      <c r="B75" s="240" t="str">
        <f>TiposLancamentos!B5</f>
        <v>Supermercado</v>
      </c>
      <c r="C75" s="878" t="s">
        <v>8177</v>
      </c>
      <c r="D75" s="63"/>
      <c r="E75" s="865">
        <v>26.9</v>
      </c>
      <c r="F75" s="1027"/>
    </row>
    <row r="76" spans="1:6">
      <c r="A76" s="884">
        <v>44712</v>
      </c>
      <c r="B76" s="240" t="str">
        <f>TiposLancamentos!B100</f>
        <v>Emprestimos</v>
      </c>
      <c r="C76" s="878" t="s">
        <v>10318</v>
      </c>
      <c r="D76" s="63">
        <v>11000</v>
      </c>
      <c r="E76" s="865"/>
      <c r="F76" s="1027"/>
    </row>
    <row r="77" spans="1:6">
      <c r="A77" s="884">
        <v>44712</v>
      </c>
      <c r="B77" s="240" t="str">
        <f>TiposLancamentos!B105</f>
        <v>Transf. Bco</v>
      </c>
      <c r="C77" s="878" t="s">
        <v>10097</v>
      </c>
      <c r="D77" s="63"/>
      <c r="E77" s="865">
        <v>11000</v>
      </c>
      <c r="F77" s="1027"/>
    </row>
    <row r="78" spans="1:6">
      <c r="A78" s="884">
        <v>44712</v>
      </c>
      <c r="B78" s="240" t="str">
        <f>TiposLancamentos!B103</f>
        <v>Juros_Corr. Poupança</v>
      </c>
      <c r="C78" s="878" t="s">
        <v>8669</v>
      </c>
      <c r="D78" s="63">
        <v>0.06</v>
      </c>
      <c r="E78" s="865"/>
      <c r="F78" s="1027"/>
    </row>
    <row r="79" spans="1:6">
      <c r="A79" s="884">
        <v>44715</v>
      </c>
      <c r="B79" s="240" t="str">
        <f>TiposLancamentos!B98</f>
        <v>Restituições</v>
      </c>
      <c r="C79" s="878" t="s">
        <v>10310</v>
      </c>
      <c r="D79" s="63">
        <v>88</v>
      </c>
      <c r="E79" s="865"/>
      <c r="F79" s="1027"/>
    </row>
    <row r="80" spans="1:6">
      <c r="A80" s="884">
        <v>44716</v>
      </c>
      <c r="B80" s="240" t="str">
        <f>TiposLancamentos!B19</f>
        <v>Restaurantes</v>
      </c>
      <c r="C80" s="878" t="s">
        <v>8131</v>
      </c>
      <c r="D80" s="63"/>
      <c r="E80" s="865">
        <v>14.5</v>
      </c>
      <c r="F80" s="1027"/>
    </row>
    <row r="81" spans="1:6">
      <c r="A81" s="884">
        <v>44716</v>
      </c>
      <c r="B81" s="240" t="str">
        <f>TiposLancamentos!B16</f>
        <v>Cristiane</v>
      </c>
      <c r="C81" s="878" t="s">
        <v>10319</v>
      </c>
      <c r="D81" s="63"/>
      <c r="E81" s="865">
        <v>22</v>
      </c>
      <c r="F81" s="1027"/>
    </row>
    <row r="82" spans="1:6">
      <c r="A82" s="884">
        <v>44716</v>
      </c>
      <c r="B82" s="240" t="str">
        <f>TiposLancamentos!B24</f>
        <v>Estacionamentos</v>
      </c>
      <c r="C82" s="878" t="s">
        <v>2014</v>
      </c>
      <c r="D82" s="63"/>
      <c r="E82" s="865">
        <v>13</v>
      </c>
      <c r="F82" s="1027"/>
    </row>
    <row r="83" spans="1:6">
      <c r="A83" s="884">
        <v>44719</v>
      </c>
      <c r="B83" s="240" t="str">
        <f>TiposLancamentos!B24</f>
        <v>Estacionamentos</v>
      </c>
      <c r="C83" s="878" t="s">
        <v>1898</v>
      </c>
      <c r="D83" s="63"/>
      <c r="E83" s="865">
        <v>13</v>
      </c>
      <c r="F83" s="1027"/>
    </row>
    <row r="84" spans="1:6">
      <c r="A84" s="884">
        <v>44719</v>
      </c>
      <c r="B84" s="240" t="str">
        <f>TiposLancamentos!B19</f>
        <v>Restaurantes</v>
      </c>
      <c r="C84" s="878" t="s">
        <v>1967</v>
      </c>
      <c r="D84" s="63"/>
      <c r="E84" s="865">
        <v>6.6</v>
      </c>
      <c r="F84" s="1027"/>
    </row>
    <row r="85" spans="1:6">
      <c r="A85" s="884">
        <v>44721</v>
      </c>
      <c r="B85" s="240" t="str">
        <f>TiposLancamentos!B5</f>
        <v>Supermercado</v>
      </c>
      <c r="C85" s="878" t="s">
        <v>2437</v>
      </c>
      <c r="D85" s="63"/>
      <c r="E85" s="865">
        <v>12.7</v>
      </c>
      <c r="F85" s="1027"/>
    </row>
    <row r="86" spans="1:6">
      <c r="A86" s="884">
        <v>44722</v>
      </c>
      <c r="B86" s="240" t="str">
        <f>TiposLancamentos!B13</f>
        <v>Moradia</v>
      </c>
      <c r="C86" s="878" t="s">
        <v>9067</v>
      </c>
      <c r="D86" s="63"/>
      <c r="E86" s="865">
        <v>14</v>
      </c>
      <c r="F86" s="1027"/>
    </row>
    <row r="87" spans="1:6">
      <c r="A87" s="884">
        <v>44723</v>
      </c>
      <c r="B87" s="240" t="str">
        <f>TiposLancamentos!B95</f>
        <v>Salarios</v>
      </c>
      <c r="C87" s="878" t="s">
        <v>10320</v>
      </c>
      <c r="D87" s="63">
        <v>1066.67</v>
      </c>
      <c r="E87" s="865"/>
      <c r="F87" s="1027"/>
    </row>
    <row r="88" spans="1:6">
      <c r="A88" s="884">
        <v>44723</v>
      </c>
      <c r="B88" s="240" t="str">
        <f>TiposLancamentos!B79</f>
        <v>Financiamento Banco</v>
      </c>
      <c r="C88" s="878" t="s">
        <v>10321</v>
      </c>
      <c r="D88" s="63"/>
      <c r="E88" s="865">
        <v>943.14</v>
      </c>
      <c r="F88" s="1027"/>
    </row>
    <row r="89" spans="1:6">
      <c r="A89" s="884">
        <v>44726</v>
      </c>
      <c r="B89" s="240" t="str">
        <f>TiposLancamentos!B22</f>
        <v>Combustivel</v>
      </c>
      <c r="C89" s="878" t="s">
        <v>10322</v>
      </c>
      <c r="D89" s="63"/>
      <c r="E89" s="865">
        <v>60</v>
      </c>
      <c r="F89" s="1027"/>
    </row>
    <row r="90" spans="1:6">
      <c r="A90" s="884">
        <v>44726</v>
      </c>
      <c r="B90" s="240" t="str">
        <f>TiposLancamentos!B24</f>
        <v>Estacionamentos</v>
      </c>
      <c r="C90" s="878" t="s">
        <v>1898</v>
      </c>
      <c r="D90" s="63"/>
      <c r="E90" s="865">
        <v>13</v>
      </c>
      <c r="F90" s="1027"/>
    </row>
    <row r="91" spans="1:6">
      <c r="A91" s="884">
        <v>44726</v>
      </c>
      <c r="B91" s="240" t="str">
        <f>TiposLancamentos!B19</f>
        <v>Restaurantes</v>
      </c>
      <c r="C91" s="878" t="s">
        <v>10323</v>
      </c>
      <c r="D91" s="63"/>
      <c r="E91" s="865">
        <v>6.6</v>
      </c>
      <c r="F91" s="1027"/>
    </row>
    <row r="92" spans="1:6">
      <c r="A92" s="884">
        <v>44726</v>
      </c>
      <c r="B92" s="240" t="str">
        <f>TiposLancamentos!B19</f>
        <v>Restaurantes</v>
      </c>
      <c r="C92" s="878" t="s">
        <v>10324</v>
      </c>
      <c r="D92" s="63"/>
      <c r="E92" s="865">
        <v>40.700000000000003</v>
      </c>
      <c r="F92" s="1027"/>
    </row>
    <row r="93" spans="1:6">
      <c r="A93" s="884">
        <v>44726</v>
      </c>
      <c r="B93" s="240" t="str">
        <f>TiposLancamentos!B103</f>
        <v>Juros_Corr. Poupança</v>
      </c>
      <c r="C93" s="878" t="s">
        <v>8669</v>
      </c>
      <c r="D93" s="63">
        <v>0.02</v>
      </c>
      <c r="E93" s="865"/>
      <c r="F93" s="1027"/>
    </row>
    <row r="94" spans="1:6">
      <c r="A94" s="884">
        <v>44727</v>
      </c>
      <c r="B94" s="240" t="str">
        <f>TiposLancamentos!B105</f>
        <v>Transf. Bco</v>
      </c>
      <c r="C94" s="878" t="s">
        <v>10325</v>
      </c>
      <c r="D94" s="63">
        <v>702</v>
      </c>
      <c r="E94" s="865">
        <v>0</v>
      </c>
      <c r="F94" s="1027"/>
    </row>
    <row r="95" spans="1:6">
      <c r="A95" s="884">
        <v>44729</v>
      </c>
      <c r="B95" s="240" t="str">
        <f>TiposLancamentos!B79</f>
        <v>Financiamento Banco</v>
      </c>
      <c r="C95" s="878" t="s">
        <v>10326</v>
      </c>
      <c r="D95" s="63"/>
      <c r="E95" s="865">
        <v>710.54</v>
      </c>
      <c r="F95" s="1027"/>
    </row>
    <row r="96" spans="1:6">
      <c r="A96" s="884">
        <v>44733</v>
      </c>
      <c r="B96" s="240" t="str">
        <f>TiposLancamentos!B103</f>
        <v>Juros_Corr. Poupança</v>
      </c>
      <c r="C96" s="878" t="s">
        <v>8669</v>
      </c>
      <c r="D96" s="63">
        <v>0.04</v>
      </c>
      <c r="E96" s="865"/>
      <c r="F96" s="1027"/>
    </row>
    <row r="97" spans="1:6">
      <c r="A97" s="884">
        <v>44733</v>
      </c>
      <c r="B97" s="240" t="str">
        <f>B79</f>
        <v>Restituições</v>
      </c>
      <c r="C97" s="878" t="s">
        <v>10327</v>
      </c>
      <c r="D97" s="63">
        <v>85.36</v>
      </c>
      <c r="E97" s="865"/>
      <c r="F97" s="1027"/>
    </row>
    <row r="98" spans="1:6">
      <c r="A98" s="884">
        <v>44733</v>
      </c>
      <c r="B98" s="240" t="str">
        <f>TiposLancamentos!B16</f>
        <v>Cristiane</v>
      </c>
      <c r="C98" s="878" t="s">
        <v>10328</v>
      </c>
      <c r="D98" s="63"/>
      <c r="E98" s="865">
        <v>85.36</v>
      </c>
      <c r="F98" s="1027"/>
    </row>
    <row r="99" spans="1:6">
      <c r="A99" s="884">
        <v>44736</v>
      </c>
      <c r="B99" s="240" t="str">
        <f>TiposLancamentos!B99</f>
        <v>Venda de algo</v>
      </c>
      <c r="C99" s="878" t="s">
        <v>10329</v>
      </c>
      <c r="D99" s="63">
        <v>500</v>
      </c>
      <c r="E99" s="865"/>
      <c r="F99" s="1027"/>
    </row>
    <row r="100" spans="1:6">
      <c r="A100" s="884">
        <v>44738</v>
      </c>
      <c r="B100" s="240" t="str">
        <f>TiposLancamentos!B79</f>
        <v>Financiamento Banco</v>
      </c>
      <c r="C100" s="878" t="s">
        <v>10330</v>
      </c>
      <c r="D100" s="63"/>
      <c r="E100" s="865">
        <v>344.47</v>
      </c>
      <c r="F100" s="1027"/>
    </row>
    <row r="101" spans="1:6">
      <c r="A101" s="884">
        <v>44739</v>
      </c>
      <c r="B101" s="240" t="str">
        <f>TiposLancamentos!B105</f>
        <v>Transf. Bco</v>
      </c>
      <c r="C101" s="878" t="s">
        <v>10331</v>
      </c>
      <c r="D101" s="63"/>
      <c r="E101" s="865">
        <v>155.19999999999999</v>
      </c>
      <c r="F101" s="1027"/>
    </row>
    <row r="102" spans="1:6">
      <c r="A102" s="884">
        <v>44742</v>
      </c>
      <c r="B102" s="240" t="str">
        <f>TiposLancamentos!B99</f>
        <v>Venda de algo</v>
      </c>
      <c r="C102" s="878" t="s">
        <v>10332</v>
      </c>
      <c r="D102" s="63">
        <v>1326.6</v>
      </c>
      <c r="E102" s="865"/>
      <c r="F102" s="1027"/>
    </row>
    <row r="103" spans="1:6" ht="14.25" thickBot="1">
      <c r="A103" s="885">
        <v>44742</v>
      </c>
      <c r="B103" s="1232" t="str">
        <f>TiposLancamentos!B105</f>
        <v>Transf. Bco</v>
      </c>
      <c r="C103" s="1120" t="s">
        <v>10333</v>
      </c>
      <c r="D103" s="903">
        <v>12.21</v>
      </c>
      <c r="E103" s="1439"/>
      <c r="F103" s="1027"/>
    </row>
    <row r="104" spans="1:6">
      <c r="A104" s="1714"/>
      <c r="B104" s="1715"/>
      <c r="C104" s="1716" t="s">
        <v>1612</v>
      </c>
      <c r="D104" s="1717"/>
      <c r="E104" s="1718"/>
      <c r="F104" s="1718"/>
    </row>
    <row r="105" spans="1:6">
      <c r="A105" s="884">
        <v>44743</v>
      </c>
      <c r="B105" s="240" t="str">
        <f>TiposLancamentos!B79</f>
        <v>Financiamento Banco</v>
      </c>
      <c r="C105" s="878" t="s">
        <v>10334</v>
      </c>
      <c r="D105" s="63"/>
      <c r="E105" s="865">
        <v>1119.73</v>
      </c>
      <c r="F105" s="1027"/>
    </row>
    <row r="106" spans="1:6">
      <c r="A106" s="884">
        <v>44749</v>
      </c>
      <c r="B106" s="240" t="str">
        <f>TiposLancamentos!B103</f>
        <v>Juros_Corr. Poupança</v>
      </c>
      <c r="C106" s="878" t="s">
        <v>8669</v>
      </c>
      <c r="D106" s="63">
        <v>0.13</v>
      </c>
      <c r="E106" s="865"/>
      <c r="F106" s="1027"/>
    </row>
    <row r="107" spans="1:6">
      <c r="A107" s="884">
        <v>44753</v>
      </c>
      <c r="B107" s="240" t="str">
        <f>TiposLancamentos!B95</f>
        <v>Salarios</v>
      </c>
      <c r="C107" s="878" t="s">
        <v>10320</v>
      </c>
      <c r="D107" s="63">
        <v>933.33</v>
      </c>
      <c r="E107" s="865"/>
      <c r="F107" s="1027"/>
    </row>
    <row r="108" spans="1:6">
      <c r="A108" s="884">
        <v>44754</v>
      </c>
      <c r="B108" s="240" t="str">
        <f>TiposLancamentos!B13</f>
        <v>Moradia</v>
      </c>
      <c r="C108" s="878" t="s">
        <v>10335</v>
      </c>
      <c r="D108" s="63"/>
      <c r="E108" s="865">
        <v>191.23</v>
      </c>
      <c r="F108" s="1027"/>
    </row>
    <row r="109" spans="1:6">
      <c r="A109" s="884">
        <v>44754</v>
      </c>
      <c r="B109" s="240" t="str">
        <f>TiposLancamentos!B13</f>
        <v>Moradia</v>
      </c>
      <c r="C109" s="878" t="s">
        <v>10336</v>
      </c>
      <c r="D109" s="63"/>
      <c r="E109" s="865">
        <v>38.4</v>
      </c>
      <c r="F109" s="1027"/>
    </row>
    <row r="110" spans="1:6">
      <c r="A110" s="884">
        <v>44761</v>
      </c>
      <c r="B110" s="240" t="str">
        <f>TiposLancamentos!B79</f>
        <v>Financiamento Banco</v>
      </c>
      <c r="C110" s="878" t="s">
        <v>10337</v>
      </c>
      <c r="D110" s="63"/>
      <c r="E110" s="865">
        <v>710.54</v>
      </c>
      <c r="F110" s="1027"/>
    </row>
    <row r="111" spans="1:6">
      <c r="A111" s="884">
        <v>44761</v>
      </c>
      <c r="B111" s="240" t="str">
        <f>TiposLancamentos!B103</f>
        <v>Juros_Corr. Poupança</v>
      </c>
      <c r="C111" s="878" t="s">
        <v>8669</v>
      </c>
      <c r="D111" s="63">
        <v>0.92</v>
      </c>
      <c r="E111" s="865"/>
      <c r="F111" s="1027"/>
    </row>
    <row r="112" spans="1:6">
      <c r="A112" s="884">
        <v>44761</v>
      </c>
      <c r="B112" s="240" t="str">
        <f>TiposLancamentos!B105</f>
        <v>Transf. Bco</v>
      </c>
      <c r="C112" s="878" t="s">
        <v>10145</v>
      </c>
      <c r="D112" s="63">
        <v>197.21</v>
      </c>
      <c r="E112" s="865"/>
      <c r="F112" s="1027"/>
    </row>
    <row r="113" spans="1:6">
      <c r="A113" s="884">
        <v>44761</v>
      </c>
      <c r="B113" s="240" t="str">
        <f>TiposLancamentos!B79</f>
        <v>Financiamento Banco</v>
      </c>
      <c r="C113" s="878" t="s">
        <v>10338</v>
      </c>
      <c r="D113" s="63"/>
      <c r="E113" s="865">
        <v>410.5</v>
      </c>
      <c r="F113" s="1027"/>
    </row>
    <row r="114" spans="1:6">
      <c r="A114" s="884">
        <v>44763</v>
      </c>
      <c r="B114" s="240" t="str">
        <f>TiposLancamentos!B105</f>
        <v>Transf. Bco</v>
      </c>
      <c r="C114" s="878" t="s">
        <v>10145</v>
      </c>
      <c r="D114" s="63">
        <v>14999.99</v>
      </c>
      <c r="E114" s="865"/>
      <c r="F114" s="1027"/>
    </row>
    <row r="115" spans="1:6">
      <c r="A115" s="884">
        <v>44764</v>
      </c>
      <c r="B115" s="240" t="str">
        <f>TiposLancamentos!B105</f>
        <v>Transf. Bco</v>
      </c>
      <c r="C115" s="878" t="s">
        <v>10145</v>
      </c>
      <c r="D115" s="63">
        <v>14999.99</v>
      </c>
      <c r="E115" s="865"/>
      <c r="F115" s="1027"/>
    </row>
    <row r="116" spans="1:6">
      <c r="A116" s="884">
        <v>44764</v>
      </c>
      <c r="B116" s="240" t="str">
        <f>TiposLancamentos!B22</f>
        <v>Combustivel</v>
      </c>
      <c r="C116" s="878" t="s">
        <v>10339</v>
      </c>
      <c r="D116" s="63"/>
      <c r="E116" s="865">
        <v>150</v>
      </c>
      <c r="F116" s="1027"/>
    </row>
    <row r="117" spans="1:6">
      <c r="A117" s="884">
        <v>44764</v>
      </c>
      <c r="B117" s="240" t="str">
        <f>TiposLancamentos!B19</f>
        <v>Restaurantes</v>
      </c>
      <c r="C117" s="878" t="s">
        <v>10340</v>
      </c>
      <c r="D117" s="63"/>
      <c r="E117" s="865">
        <v>259.60000000000002</v>
      </c>
      <c r="F117" s="1027"/>
    </row>
    <row r="118" spans="1:6">
      <c r="A118" s="884">
        <v>44765</v>
      </c>
      <c r="B118" s="240" t="str">
        <f>TiposLancamentos!B16</f>
        <v>Cristiane</v>
      </c>
      <c r="C118" s="878" t="s">
        <v>10341</v>
      </c>
      <c r="D118" s="63"/>
      <c r="E118" s="865">
        <v>600</v>
      </c>
      <c r="F118" s="1027"/>
    </row>
    <row r="119" spans="1:6">
      <c r="A119" s="884">
        <v>44765</v>
      </c>
      <c r="B119" s="240" t="str">
        <f>TiposLancamentos!B105</f>
        <v>Transf. Bco</v>
      </c>
      <c r="C119" s="878" t="s">
        <v>10342</v>
      </c>
      <c r="D119" s="63"/>
      <c r="E119" s="865">
        <v>140.97</v>
      </c>
      <c r="F119" s="1027"/>
    </row>
    <row r="120" spans="1:6">
      <c r="A120" s="884">
        <v>44766</v>
      </c>
      <c r="B120" s="240" t="str">
        <f>TiposLancamentos!B5</f>
        <v>Supermercado</v>
      </c>
      <c r="C120" s="878" t="s">
        <v>1884</v>
      </c>
      <c r="D120" s="63"/>
      <c r="E120" s="865">
        <v>54.29</v>
      </c>
      <c r="F120" s="1027"/>
    </row>
    <row r="121" spans="1:6">
      <c r="A121" s="884">
        <v>44766</v>
      </c>
      <c r="B121" s="240" t="str">
        <f>TiposLancamentos!B17</f>
        <v>GATO</v>
      </c>
      <c r="C121" s="878" t="s">
        <v>10343</v>
      </c>
      <c r="D121" s="63"/>
      <c r="E121" s="865">
        <v>30.6</v>
      </c>
      <c r="F121" s="1027"/>
    </row>
    <row r="122" spans="1:6">
      <c r="A122" s="884">
        <v>44766</v>
      </c>
      <c r="B122" s="240" t="str">
        <f>TiposLancamentos!B19</f>
        <v>Restaurantes</v>
      </c>
      <c r="C122" s="878" t="s">
        <v>10344</v>
      </c>
      <c r="D122" s="63"/>
      <c r="E122" s="865">
        <v>198.91</v>
      </c>
      <c r="F122" s="1027"/>
    </row>
    <row r="123" spans="1:6">
      <c r="A123" s="884">
        <v>44766</v>
      </c>
      <c r="B123" s="240" t="str">
        <f>TiposLancamentos!B19</f>
        <v>Restaurantes</v>
      </c>
      <c r="C123" s="878" t="s">
        <v>10345</v>
      </c>
      <c r="D123" s="63"/>
      <c r="E123" s="865">
        <v>36</v>
      </c>
      <c r="F123" s="1027"/>
    </row>
    <row r="124" spans="1:6">
      <c r="A124" s="884">
        <v>44766</v>
      </c>
      <c r="B124" s="240" t="str">
        <f>TiposLancamentos!B56</f>
        <v>Farmácia</v>
      </c>
      <c r="C124" s="878" t="s">
        <v>8833</v>
      </c>
      <c r="D124" s="63"/>
      <c r="E124" s="865">
        <v>332.46</v>
      </c>
      <c r="F124" s="1027">
        <f>E124/2</f>
        <v>166.23</v>
      </c>
    </row>
    <row r="125" spans="1:6">
      <c r="A125" s="884">
        <v>44766</v>
      </c>
      <c r="B125" s="240" t="str">
        <f>TiposLancamentos!B56</f>
        <v>Farmácia</v>
      </c>
      <c r="C125" s="878" t="s">
        <v>10346</v>
      </c>
      <c r="D125" s="63"/>
      <c r="E125" s="865">
        <v>8.31</v>
      </c>
      <c r="F125" s="1027"/>
    </row>
    <row r="126" spans="1:6">
      <c r="A126" s="884">
        <v>44766</v>
      </c>
      <c r="B126" s="240" t="str">
        <f>TiposLancamentos!B5</f>
        <v>Supermercado</v>
      </c>
      <c r="C126" s="878" t="s">
        <v>1884</v>
      </c>
      <c r="D126" s="63"/>
      <c r="E126" s="865">
        <v>10.87</v>
      </c>
      <c r="F126" s="1027"/>
    </row>
    <row r="127" spans="1:6">
      <c r="A127" s="884">
        <v>44767</v>
      </c>
      <c r="B127" s="240" t="str">
        <f>TiposLancamentos!B22</f>
        <v>Combustivel</v>
      </c>
      <c r="C127" s="878" t="s">
        <v>8290</v>
      </c>
      <c r="D127" s="63"/>
      <c r="E127" s="865">
        <v>200.07</v>
      </c>
      <c r="F127" s="1027"/>
    </row>
    <row r="128" spans="1:6">
      <c r="A128" s="884">
        <v>44767</v>
      </c>
      <c r="B128" s="240" t="str">
        <f>TiposLancamentos!B19</f>
        <v>Restaurantes</v>
      </c>
      <c r="C128" s="878" t="s">
        <v>10347</v>
      </c>
      <c r="D128" s="63"/>
      <c r="E128" s="865">
        <v>36.6</v>
      </c>
      <c r="F128" s="1027"/>
    </row>
    <row r="129" spans="1:6">
      <c r="A129" s="884">
        <v>44767</v>
      </c>
      <c r="B129" s="240" t="str">
        <f>TiposLancamentos!B19</f>
        <v>Restaurantes</v>
      </c>
      <c r="C129" s="878" t="s">
        <v>10348</v>
      </c>
      <c r="D129" s="63"/>
      <c r="E129" s="865">
        <v>24.2</v>
      </c>
      <c r="F129" s="1027"/>
    </row>
    <row r="130" spans="1:6">
      <c r="A130" s="884">
        <v>44767</v>
      </c>
      <c r="B130" s="240" t="str">
        <f>TiposLancamentos!B103</f>
        <v>Juros_Corr. Poupança</v>
      </c>
      <c r="C130" s="3" t="s">
        <v>8697</v>
      </c>
      <c r="D130" s="63">
        <v>2.13</v>
      </c>
      <c r="E130" s="865"/>
      <c r="F130" s="1027"/>
    </row>
    <row r="131" spans="1:6">
      <c r="A131" s="884">
        <v>44769</v>
      </c>
      <c r="B131" s="240" t="str">
        <f>TiposLancamentos!B19</f>
        <v>Restaurantes</v>
      </c>
      <c r="C131" s="878" t="s">
        <v>10349</v>
      </c>
      <c r="D131" s="63"/>
      <c r="E131" s="865">
        <v>58</v>
      </c>
      <c r="F131" s="1027"/>
    </row>
    <row r="132" spans="1:6">
      <c r="A132" s="884">
        <v>44770</v>
      </c>
      <c r="B132" s="240" t="str">
        <f>TiposLancamentos!B19</f>
        <v>Restaurantes</v>
      </c>
      <c r="C132" s="878" t="s">
        <v>10350</v>
      </c>
      <c r="D132" s="63"/>
      <c r="E132" s="865">
        <v>20.54</v>
      </c>
      <c r="F132" s="1027"/>
    </row>
    <row r="133" spans="1:6">
      <c r="A133" s="884">
        <v>44771</v>
      </c>
      <c r="B133" s="240" t="str">
        <f>TiposLancamentos!B13</f>
        <v>Moradia</v>
      </c>
      <c r="C133" s="878" t="s">
        <v>2703</v>
      </c>
      <c r="D133" s="63"/>
      <c r="E133" s="865">
        <v>14</v>
      </c>
      <c r="F133" s="1027"/>
    </row>
    <row r="134" spans="1:6">
      <c r="A134" s="884">
        <v>44772</v>
      </c>
      <c r="B134" s="240" t="str">
        <f>TiposLancamentos!B13</f>
        <v>Moradia</v>
      </c>
      <c r="C134" s="878" t="s">
        <v>10351</v>
      </c>
      <c r="D134" s="63"/>
      <c r="E134" s="865">
        <v>181.9</v>
      </c>
      <c r="F134" s="1027"/>
    </row>
    <row r="135" spans="1:6">
      <c r="A135" s="884">
        <v>44773</v>
      </c>
      <c r="B135" s="240" t="str">
        <f>TiposLancamentos!B22</f>
        <v>Combustivel</v>
      </c>
      <c r="C135" s="878" t="s">
        <v>10352</v>
      </c>
      <c r="D135" s="63"/>
      <c r="E135" s="865">
        <v>135.71</v>
      </c>
      <c r="F135" s="1027"/>
    </row>
    <row r="136" spans="1:6">
      <c r="A136" s="884">
        <v>44773</v>
      </c>
      <c r="B136" s="240" t="str">
        <f>TiposLancamentos!B19</f>
        <v>Restaurantes</v>
      </c>
      <c r="C136" s="878" t="s">
        <v>10353</v>
      </c>
      <c r="D136" s="63"/>
      <c r="E136" s="865">
        <v>25.7</v>
      </c>
      <c r="F136" s="1027"/>
    </row>
    <row r="137" spans="1:6">
      <c r="A137" s="884">
        <v>44773</v>
      </c>
      <c r="B137" s="240" t="str">
        <f>TiposLancamentos!B19</f>
        <v>Restaurantes</v>
      </c>
      <c r="C137" s="878" t="s">
        <v>10354</v>
      </c>
      <c r="D137" s="63"/>
      <c r="E137" s="865">
        <v>68</v>
      </c>
      <c r="F137" s="1027"/>
    </row>
    <row r="138" spans="1:6">
      <c r="A138" s="884">
        <v>44773</v>
      </c>
      <c r="B138" s="240" t="str">
        <f>TiposLancamentos!B5</f>
        <v>Supermercado</v>
      </c>
      <c r="C138" s="878" t="s">
        <v>10355</v>
      </c>
      <c r="D138" s="63"/>
      <c r="E138" s="865">
        <v>11.9</v>
      </c>
      <c r="F138" s="1027"/>
    </row>
    <row r="139" spans="1:6" ht="14.25" thickBot="1">
      <c r="A139" s="884">
        <v>44773</v>
      </c>
      <c r="B139" s="240" t="str">
        <f>TiposLancamentos!B103</f>
        <v>Juros_Corr. Poupança</v>
      </c>
      <c r="C139" s="3" t="s">
        <v>8697</v>
      </c>
      <c r="D139" s="63">
        <v>20.3</v>
      </c>
      <c r="E139" s="865"/>
      <c r="F139" s="1027"/>
    </row>
    <row r="140" spans="1:6">
      <c r="A140" s="1714"/>
      <c r="B140" s="1715"/>
      <c r="C140" s="1716" t="s">
        <v>1613</v>
      </c>
      <c r="D140" s="1717"/>
      <c r="E140" s="1718"/>
      <c r="F140" s="1718"/>
    </row>
    <row r="141" spans="1:6">
      <c r="A141" s="884">
        <v>44774</v>
      </c>
      <c r="B141" s="138" t="str">
        <f>TiposLancamentos!B15</f>
        <v>Cartões de Crédito</v>
      </c>
      <c r="C141" s="3" t="s">
        <v>7781</v>
      </c>
      <c r="D141" s="197"/>
      <c r="E141" s="857">
        <v>1505.74</v>
      </c>
      <c r="F141" s="1027"/>
    </row>
    <row r="142" spans="1:6">
      <c r="A142" s="884">
        <v>44774</v>
      </c>
      <c r="B142" s="138" t="str">
        <f>TiposLancamentos!B15</f>
        <v>Cartões de Crédito</v>
      </c>
      <c r="C142" s="3" t="s">
        <v>8016</v>
      </c>
      <c r="D142" s="197"/>
      <c r="E142" s="857">
        <v>646.04</v>
      </c>
      <c r="F142" s="1027"/>
    </row>
    <row r="143" spans="1:6">
      <c r="A143" s="884">
        <v>44774</v>
      </c>
      <c r="B143" s="138" t="str">
        <f>TiposLancamentos!B15</f>
        <v>Cartões de Crédito</v>
      </c>
      <c r="C143" s="3" t="s">
        <v>8252</v>
      </c>
      <c r="D143" s="197"/>
      <c r="E143" s="857">
        <v>391.05</v>
      </c>
      <c r="F143" s="1027"/>
    </row>
    <row r="144" spans="1:6">
      <c r="A144" s="884">
        <v>44774</v>
      </c>
      <c r="B144" s="138" t="str">
        <f>TiposLancamentos!B15</f>
        <v>Cartões de Crédito</v>
      </c>
      <c r="C144" s="3" t="s">
        <v>8677</v>
      </c>
      <c r="D144" s="197"/>
      <c r="E144" s="857">
        <v>0</v>
      </c>
      <c r="F144" s="1027"/>
    </row>
    <row r="145" spans="1:6">
      <c r="A145" s="884">
        <v>44774</v>
      </c>
      <c r="B145" s="240" t="str">
        <f>TiposLancamentos!B14</f>
        <v>Gás de cozinha</v>
      </c>
      <c r="C145" s="3" t="s">
        <v>8687</v>
      </c>
      <c r="D145" s="63"/>
      <c r="E145" s="865">
        <v>54.35</v>
      </c>
      <c r="F145" s="1027"/>
    </row>
    <row r="146" spans="1:6">
      <c r="A146" s="884">
        <v>44774</v>
      </c>
      <c r="B146" s="240" t="str">
        <f>TiposLancamentos!B103</f>
        <v>Juros_Corr. Poupança</v>
      </c>
      <c r="C146" s="3" t="s">
        <v>8697</v>
      </c>
      <c r="D146" s="63">
        <v>7.87</v>
      </c>
      <c r="E146" s="865"/>
      <c r="F146" s="1027"/>
    </row>
    <row r="147" spans="1:6">
      <c r="A147" s="884">
        <v>44775</v>
      </c>
      <c r="B147" s="240" t="str">
        <f>TiposLancamentos!B19</f>
        <v>Restaurantes</v>
      </c>
      <c r="C147" s="878" t="s">
        <v>10356</v>
      </c>
      <c r="D147" s="63"/>
      <c r="E147" s="865">
        <v>52.44</v>
      </c>
      <c r="F147" s="1027"/>
    </row>
    <row r="148" spans="1:6">
      <c r="A148" s="884">
        <v>44775</v>
      </c>
      <c r="B148" s="240" t="str">
        <f>TiposLancamentos!B19</f>
        <v>Restaurantes</v>
      </c>
      <c r="C148" s="878" t="s">
        <v>1967</v>
      </c>
      <c r="D148" s="63"/>
      <c r="E148" s="865">
        <v>42.9</v>
      </c>
      <c r="F148" s="1027"/>
    </row>
    <row r="149" spans="1:6">
      <c r="A149" s="884">
        <v>44775</v>
      </c>
      <c r="B149" s="240" t="str">
        <f>TiposLancamentos!B24</f>
        <v>Estacionamentos</v>
      </c>
      <c r="C149" s="878" t="s">
        <v>1898</v>
      </c>
      <c r="D149" s="63"/>
      <c r="E149" s="865">
        <v>15</v>
      </c>
      <c r="F149" s="1027"/>
    </row>
    <row r="150" spans="1:6">
      <c r="A150" s="884">
        <v>44776</v>
      </c>
      <c r="B150" s="240" t="str">
        <f>TiposLancamentos!B98</f>
        <v>Restituições</v>
      </c>
      <c r="C150" s="878" t="s">
        <v>10357</v>
      </c>
      <c r="D150" s="63">
        <v>183.84</v>
      </c>
      <c r="E150" s="865"/>
      <c r="F150" s="1027"/>
    </row>
    <row r="151" spans="1:6">
      <c r="A151" s="884">
        <v>44776</v>
      </c>
      <c r="B151" s="240" t="str">
        <f>TiposLancamentos!B5</f>
        <v>Supermercado</v>
      </c>
      <c r="C151" s="878" t="s">
        <v>1884</v>
      </c>
      <c r="D151" s="63"/>
      <c r="E151" s="865">
        <v>12.68</v>
      </c>
      <c r="F151" s="1027"/>
    </row>
    <row r="152" spans="1:6">
      <c r="A152" s="884">
        <v>44776</v>
      </c>
      <c r="B152" s="240" t="str">
        <f>TiposLancamentos!B103</f>
        <v>Juros_Corr. Poupança</v>
      </c>
      <c r="C152" s="3" t="s">
        <v>8697</v>
      </c>
      <c r="D152" s="63">
        <v>6.59</v>
      </c>
      <c r="E152" s="865"/>
      <c r="F152" s="1027"/>
    </row>
    <row r="153" spans="1:6">
      <c r="A153" s="884">
        <v>44776</v>
      </c>
      <c r="B153" s="240" t="str">
        <f>TiposLancamentos!B5</f>
        <v>Supermercado</v>
      </c>
      <c r="C153" s="3" t="s">
        <v>10358</v>
      </c>
      <c r="D153" s="63"/>
      <c r="E153" s="865">
        <v>13.94</v>
      </c>
      <c r="F153" s="1027"/>
    </row>
    <row r="154" spans="1:6">
      <c r="A154" s="884">
        <v>44777</v>
      </c>
      <c r="B154" s="240" t="str">
        <f>TiposLancamentos!B5</f>
        <v>Supermercado</v>
      </c>
      <c r="C154" s="3" t="s">
        <v>10359</v>
      </c>
      <c r="D154" s="63"/>
      <c r="E154" s="865">
        <v>26.9</v>
      </c>
      <c r="F154" s="1027"/>
    </row>
    <row r="155" spans="1:6">
      <c r="A155" s="884">
        <v>44777</v>
      </c>
      <c r="B155" s="240" t="str">
        <f>TiposLancamentos!B19</f>
        <v>Restaurantes</v>
      </c>
      <c r="C155" s="3" t="s">
        <v>10360</v>
      </c>
      <c r="D155" s="63"/>
      <c r="E155" s="865">
        <v>88.7</v>
      </c>
      <c r="F155" s="1027"/>
    </row>
    <row r="156" spans="1:6">
      <c r="A156" s="884">
        <v>44777</v>
      </c>
      <c r="B156" s="240" t="str">
        <f>TiposLancamentos!B5</f>
        <v>Supermercado</v>
      </c>
      <c r="C156" s="3" t="s">
        <v>8718</v>
      </c>
      <c r="D156" s="63"/>
      <c r="E156" s="865">
        <v>9.9</v>
      </c>
      <c r="F156" s="1027"/>
    </row>
    <row r="157" spans="1:6">
      <c r="A157" s="884">
        <v>44777</v>
      </c>
      <c r="B157" s="240" t="str">
        <f>TiposLancamentos!B103</f>
        <v>Juros_Corr. Poupança</v>
      </c>
      <c r="C157" s="3" t="s">
        <v>8697</v>
      </c>
      <c r="D157" s="63">
        <v>14.54</v>
      </c>
      <c r="E157" s="865"/>
      <c r="F157" s="1027"/>
    </row>
    <row r="158" spans="1:6">
      <c r="A158" s="884">
        <v>44778</v>
      </c>
      <c r="B158" s="240" t="str">
        <f>TiposLancamentos!B5</f>
        <v>Supermercado</v>
      </c>
      <c r="C158" s="3" t="s">
        <v>10361</v>
      </c>
      <c r="D158" s="63"/>
      <c r="E158" s="865">
        <v>36.409999999999997</v>
      </c>
      <c r="F158" s="1027"/>
    </row>
    <row r="159" spans="1:6">
      <c r="A159" s="884">
        <v>44778</v>
      </c>
      <c r="B159" s="240" t="str">
        <f>TiposLancamentos!B19</f>
        <v>Restaurantes</v>
      </c>
      <c r="C159" s="3" t="s">
        <v>10362</v>
      </c>
      <c r="D159" s="63"/>
      <c r="E159" s="865">
        <v>100.7</v>
      </c>
      <c r="F159" s="1027"/>
    </row>
    <row r="160" spans="1:6">
      <c r="A160" s="884">
        <v>44779</v>
      </c>
      <c r="B160" s="240" t="str">
        <f>TiposLancamentos!B5</f>
        <v>Supermercado</v>
      </c>
      <c r="C160" s="3" t="s">
        <v>1884</v>
      </c>
      <c r="D160" s="63"/>
      <c r="E160" s="865"/>
      <c r="F160" s="1027"/>
    </row>
    <row r="161" spans="1:6">
      <c r="A161" s="884">
        <v>44779</v>
      </c>
      <c r="B161" s="240" t="str">
        <f>TiposLancamentos!B19</f>
        <v>Restaurantes</v>
      </c>
      <c r="C161" s="3" t="s">
        <v>7784</v>
      </c>
      <c r="D161" s="63"/>
      <c r="E161" s="865">
        <v>150.04</v>
      </c>
      <c r="F161" s="1027"/>
    </row>
    <row r="162" spans="1:6">
      <c r="A162" s="884">
        <v>44779</v>
      </c>
      <c r="B162" s="240" t="str">
        <f>TiposLancamentos!B16</f>
        <v>Cristiane</v>
      </c>
      <c r="C162" s="3" t="s">
        <v>10363</v>
      </c>
      <c r="D162" s="63"/>
      <c r="E162" s="865">
        <v>579.88</v>
      </c>
      <c r="F162" s="1027"/>
    </row>
    <row r="163" spans="1:6">
      <c r="A163" s="884">
        <v>44779</v>
      </c>
      <c r="B163" s="240" t="str">
        <f>TiposLancamentos!B19</f>
        <v>Restaurantes</v>
      </c>
      <c r="C163" s="3" t="s">
        <v>10364</v>
      </c>
      <c r="D163" s="63"/>
      <c r="E163" s="865">
        <v>29.5</v>
      </c>
      <c r="F163" s="1027"/>
    </row>
    <row r="164" spans="1:6">
      <c r="A164" s="884">
        <v>44779</v>
      </c>
      <c r="B164" s="240" t="str">
        <f>TiposLancamentos!B5</f>
        <v>Supermercado</v>
      </c>
      <c r="C164" s="3" t="s">
        <v>8449</v>
      </c>
      <c r="D164" s="63"/>
      <c r="E164" s="865">
        <v>27.19</v>
      </c>
      <c r="F164" s="1027"/>
    </row>
    <row r="165" spans="1:6">
      <c r="A165" s="884">
        <v>44780</v>
      </c>
      <c r="B165" s="240" t="str">
        <f>TiposLancamentos!B5</f>
        <v>Supermercado</v>
      </c>
      <c r="C165" s="3" t="s">
        <v>10365</v>
      </c>
      <c r="D165" s="63"/>
      <c r="E165" s="865">
        <v>328.98</v>
      </c>
      <c r="F165" s="1027"/>
    </row>
    <row r="166" spans="1:6">
      <c r="A166" s="884">
        <v>44781</v>
      </c>
      <c r="B166" s="240" t="str">
        <f>TiposLancamentos!B103</f>
        <v>Juros_Corr. Poupança</v>
      </c>
      <c r="C166" s="3" t="s">
        <v>8697</v>
      </c>
      <c r="D166" s="63">
        <v>15.32</v>
      </c>
      <c r="E166" s="865"/>
      <c r="F166" s="1027"/>
    </row>
    <row r="167" spans="1:6">
      <c r="A167" s="884">
        <v>44781</v>
      </c>
      <c r="B167" s="240" t="str">
        <f>TiposLancamentos!B5</f>
        <v>Supermercado</v>
      </c>
      <c r="C167" s="3" t="s">
        <v>2153</v>
      </c>
      <c r="D167" s="63"/>
      <c r="E167" s="865">
        <v>7.99</v>
      </c>
      <c r="F167" s="1027"/>
    </row>
    <row r="168" spans="1:6">
      <c r="A168" s="884">
        <v>44781</v>
      </c>
      <c r="B168" s="240" t="str">
        <f>TiposLancamentos!B16</f>
        <v>Cristiane</v>
      </c>
      <c r="C168" s="3" t="s">
        <v>10366</v>
      </c>
      <c r="D168" s="63"/>
      <c r="E168" s="865">
        <v>36.89</v>
      </c>
      <c r="F168" s="1027"/>
    </row>
    <row r="169" spans="1:6">
      <c r="A169" s="884">
        <v>44782</v>
      </c>
      <c r="B169" s="240" t="str">
        <f>TiposLancamentos!B13</f>
        <v>Moradia</v>
      </c>
      <c r="C169" s="3" t="s">
        <v>3682</v>
      </c>
      <c r="D169" s="63"/>
      <c r="E169" s="865">
        <v>14</v>
      </c>
      <c r="F169" s="1027"/>
    </row>
    <row r="170" spans="1:6">
      <c r="A170" s="884">
        <v>44782</v>
      </c>
      <c r="B170" s="240" t="str">
        <f>TiposLancamentos!B5</f>
        <v>Supermercado</v>
      </c>
      <c r="C170" s="3" t="s">
        <v>8205</v>
      </c>
      <c r="D170" s="63"/>
      <c r="E170" s="865">
        <v>32.840000000000003</v>
      </c>
      <c r="F170" s="1027"/>
    </row>
    <row r="171" spans="1:6">
      <c r="A171" s="884">
        <v>44782</v>
      </c>
      <c r="B171" s="240" t="str">
        <f>TiposLancamentos!B56</f>
        <v>Farmácia</v>
      </c>
      <c r="C171" s="3" t="s">
        <v>10367</v>
      </c>
      <c r="D171" s="63"/>
      <c r="E171" s="865">
        <v>42.86</v>
      </c>
      <c r="F171" s="1027"/>
    </row>
    <row r="172" spans="1:6">
      <c r="A172" s="884">
        <v>44782</v>
      </c>
      <c r="B172" s="240" t="str">
        <f>TiposLancamentos!B5</f>
        <v>Supermercado</v>
      </c>
      <c r="C172" s="3" t="s">
        <v>1884</v>
      </c>
      <c r="D172" s="63"/>
      <c r="E172" s="865">
        <v>5.98</v>
      </c>
      <c r="F172" s="1027"/>
    </row>
    <row r="173" spans="1:6">
      <c r="A173" s="884">
        <v>44782</v>
      </c>
      <c r="B173" s="240" t="str">
        <f>TiposLancamentos!B103</f>
        <v>Juros_Corr. Poupança</v>
      </c>
      <c r="C173" s="3" t="s">
        <v>8697</v>
      </c>
      <c r="D173" s="63">
        <v>19.5</v>
      </c>
      <c r="E173" s="865"/>
      <c r="F173" s="1027"/>
    </row>
    <row r="174" spans="1:6">
      <c r="A174" s="884">
        <v>44783</v>
      </c>
      <c r="B174" s="240" t="str">
        <f>TiposLancamentos!B46</f>
        <v>Maçonaria</v>
      </c>
      <c r="C174" s="3" t="s">
        <v>10368</v>
      </c>
      <c r="D174" s="63"/>
      <c r="E174" s="865">
        <v>200</v>
      </c>
      <c r="F174" s="1027"/>
    </row>
    <row r="175" spans="1:6">
      <c r="A175" s="884">
        <v>44783</v>
      </c>
      <c r="B175" s="240" t="str">
        <f>TiposLancamentos!B16</f>
        <v>Cristiane</v>
      </c>
      <c r="C175" s="3" t="s">
        <v>10369</v>
      </c>
      <c r="D175" s="63"/>
      <c r="E175" s="865">
        <v>150</v>
      </c>
      <c r="F175" s="1027"/>
    </row>
    <row r="176" spans="1:6">
      <c r="A176" s="884">
        <v>44783</v>
      </c>
      <c r="B176" s="240" t="str">
        <f>TiposLancamentos!B5</f>
        <v>Supermercado</v>
      </c>
      <c r="C176" s="3" t="s">
        <v>8322</v>
      </c>
      <c r="D176" s="63"/>
      <c r="E176" s="865">
        <v>37.28</v>
      </c>
      <c r="F176" s="1027"/>
    </row>
    <row r="177" spans="1:6">
      <c r="A177" s="884">
        <v>44783</v>
      </c>
      <c r="B177" s="240" t="str">
        <f>TiposLancamentos!B19</f>
        <v>Restaurantes</v>
      </c>
      <c r="C177" s="3" t="s">
        <v>10370</v>
      </c>
      <c r="D177" s="63"/>
      <c r="E177" s="865">
        <v>78.8</v>
      </c>
      <c r="F177" s="1027"/>
    </row>
    <row r="178" spans="1:6">
      <c r="A178" s="884">
        <v>44783</v>
      </c>
      <c r="B178" s="240" t="str">
        <f>TiposLancamentos!B5</f>
        <v>Supermercado</v>
      </c>
      <c r="C178" s="3" t="s">
        <v>1884</v>
      </c>
      <c r="D178" s="63"/>
      <c r="E178" s="865">
        <v>11.9</v>
      </c>
      <c r="F178" s="1027"/>
    </row>
    <row r="179" spans="1:6">
      <c r="A179" s="884">
        <v>44784</v>
      </c>
      <c r="B179" s="240" t="str">
        <f>TiposLancamentos!B19</f>
        <v>Restaurantes</v>
      </c>
      <c r="C179" s="3" t="s">
        <v>10371</v>
      </c>
      <c r="D179" s="63"/>
      <c r="E179" s="865">
        <v>101.75</v>
      </c>
      <c r="F179" s="1027"/>
    </row>
    <row r="180" spans="1:6">
      <c r="A180" s="884">
        <v>44784</v>
      </c>
      <c r="B180" s="240" t="str">
        <f>TiposLancamentos!B5</f>
        <v>Supermercado</v>
      </c>
      <c r="C180" s="3" t="s">
        <v>8281</v>
      </c>
      <c r="D180" s="63"/>
      <c r="E180" s="865">
        <v>14.53</v>
      </c>
      <c r="F180" s="1027"/>
    </row>
    <row r="181" spans="1:6">
      <c r="A181" s="919">
        <v>44784</v>
      </c>
      <c r="B181" s="830" t="str">
        <f>TiposLancamentos!B16</f>
        <v>Cristiane</v>
      </c>
      <c r="C181" s="915" t="s">
        <v>10372</v>
      </c>
      <c r="D181" s="917"/>
      <c r="E181" s="920">
        <v>719.1</v>
      </c>
      <c r="F181" s="1346"/>
    </row>
    <row r="182" spans="1:6">
      <c r="A182" s="921">
        <v>44784</v>
      </c>
      <c r="B182" s="833" t="str">
        <f>TiposLancamentos!B81</f>
        <v>Ferramentas gerais</v>
      </c>
      <c r="C182" s="916" t="s">
        <v>10373</v>
      </c>
      <c r="D182" s="918"/>
      <c r="E182" s="922">
        <v>45.9</v>
      </c>
      <c r="F182" s="1291">
        <f>SUM(E181:E182)</f>
        <v>765</v>
      </c>
    </row>
    <row r="183" spans="1:6">
      <c r="A183" s="884">
        <v>44785</v>
      </c>
      <c r="B183" s="240" t="str">
        <f>TiposLancamentos!B32</f>
        <v>Clinicas e tratamentos</v>
      </c>
      <c r="C183" s="3" t="s">
        <v>10374</v>
      </c>
      <c r="D183" s="63"/>
      <c r="E183" s="865">
        <v>187.5</v>
      </c>
      <c r="F183" s="1027"/>
    </row>
    <row r="184" spans="1:6">
      <c r="A184" s="884">
        <v>44785</v>
      </c>
      <c r="B184" s="240" t="str">
        <f>TiposLancamentos!B103</f>
        <v>Juros_Corr. Poupança</v>
      </c>
      <c r="C184" s="3" t="s">
        <v>8697</v>
      </c>
      <c r="D184" s="63">
        <v>20.8</v>
      </c>
      <c r="E184" s="865"/>
      <c r="F184" s="1027"/>
    </row>
    <row r="185" spans="1:6">
      <c r="A185" s="884">
        <v>44785</v>
      </c>
      <c r="B185" s="240" t="str">
        <f>TiposLancamentos!B19</f>
        <v>Restaurantes</v>
      </c>
      <c r="C185" s="3" t="s">
        <v>10375</v>
      </c>
      <c r="D185" s="63"/>
      <c r="E185" s="865">
        <v>81.7</v>
      </c>
      <c r="F185" s="1027"/>
    </row>
    <row r="186" spans="1:6">
      <c r="A186" s="884">
        <v>44785</v>
      </c>
      <c r="B186" s="240" t="str">
        <f>TiposLancamentos!B5</f>
        <v>Supermercado</v>
      </c>
      <c r="C186" s="3" t="s">
        <v>1884</v>
      </c>
      <c r="D186" s="63"/>
      <c r="E186" s="865">
        <v>13.58</v>
      </c>
      <c r="F186" s="1027"/>
    </row>
    <row r="187" spans="1:6">
      <c r="A187" s="884">
        <v>44787</v>
      </c>
      <c r="B187" s="240" t="str">
        <f>TiposLancamentos!B19</f>
        <v>Restaurantes</v>
      </c>
      <c r="C187" s="3" t="s">
        <v>10376</v>
      </c>
      <c r="D187" s="63"/>
      <c r="E187" s="865">
        <v>275.86</v>
      </c>
      <c r="F187" s="1027"/>
    </row>
    <row r="188" spans="1:6">
      <c r="A188" s="884">
        <v>44787</v>
      </c>
      <c r="B188" s="240" t="str">
        <f>TiposLancamentos!B16</f>
        <v>Cristiane</v>
      </c>
      <c r="C188" s="3" t="s">
        <v>10377</v>
      </c>
      <c r="D188" s="63"/>
      <c r="E188" s="865">
        <v>63.1</v>
      </c>
      <c r="F188" s="1027"/>
    </row>
    <row r="189" spans="1:6">
      <c r="A189" s="884">
        <v>44787</v>
      </c>
      <c r="B189" s="240" t="str">
        <f>TiposLancamentos!B16</f>
        <v>Cristiane</v>
      </c>
      <c r="C189" s="3" t="s">
        <v>10378</v>
      </c>
      <c r="D189" s="63"/>
      <c r="E189" s="865">
        <v>50.3</v>
      </c>
      <c r="F189" s="1027"/>
    </row>
    <row r="190" spans="1:6">
      <c r="A190" s="919">
        <v>44787</v>
      </c>
      <c r="B190" s="830" t="str">
        <f>TiposLancamentos!B70</f>
        <v>Vestuário</v>
      </c>
      <c r="C190" s="915" t="s">
        <v>10379</v>
      </c>
      <c r="D190" s="917"/>
      <c r="E190" s="920">
        <v>712.7</v>
      </c>
      <c r="F190" s="1346"/>
    </row>
    <row r="191" spans="1:6">
      <c r="A191" s="921">
        <v>44787</v>
      </c>
      <c r="B191" s="833" t="str">
        <f>TiposLancamentos!B16</f>
        <v>Cristiane</v>
      </c>
      <c r="C191" s="916" t="s">
        <v>10380</v>
      </c>
      <c r="D191" s="918"/>
      <c r="E191" s="922">
        <f>F191-E190</f>
        <v>487.20000000000005</v>
      </c>
      <c r="F191" s="1291">
        <v>1199.9000000000001</v>
      </c>
    </row>
    <row r="192" spans="1:6">
      <c r="A192" s="884">
        <v>44787</v>
      </c>
      <c r="B192" s="240" t="str">
        <f>TiposLancamentos!B19</f>
        <v>Restaurantes</v>
      </c>
      <c r="C192" s="3" t="s">
        <v>10381</v>
      </c>
      <c r="D192" s="63"/>
      <c r="E192" s="865">
        <v>36.9</v>
      </c>
      <c r="F192" s="1027"/>
    </row>
    <row r="193" spans="1:6">
      <c r="A193" s="884">
        <v>44787</v>
      </c>
      <c r="B193" s="240" t="str">
        <f>TiposLancamentos!B105</f>
        <v>Transf. Bco</v>
      </c>
      <c r="C193" s="3" t="s">
        <v>10382</v>
      </c>
      <c r="D193" s="63"/>
      <c r="E193" s="865">
        <v>383.8</v>
      </c>
      <c r="F193" s="1027"/>
    </row>
    <row r="194" spans="1:6">
      <c r="A194" s="884">
        <v>44787</v>
      </c>
      <c r="B194" s="240" t="str">
        <f>TiposLancamentos!B103</f>
        <v>Juros_Corr. Poupança</v>
      </c>
      <c r="C194" s="3" t="s">
        <v>8697</v>
      </c>
      <c r="D194" s="63">
        <v>15.09</v>
      </c>
      <c r="E194" s="865"/>
      <c r="F194" s="1027"/>
    </row>
    <row r="195" spans="1:6">
      <c r="A195" s="884">
        <v>44787</v>
      </c>
      <c r="B195" s="240" t="str">
        <f>TiposLancamentos!B19</f>
        <v>Restaurantes</v>
      </c>
      <c r="C195" s="3" t="s">
        <v>8686</v>
      </c>
      <c r="D195" s="63"/>
      <c r="E195" s="865">
        <v>68</v>
      </c>
      <c r="F195" s="1027"/>
    </row>
    <row r="196" spans="1:6">
      <c r="A196" s="884">
        <v>44788</v>
      </c>
      <c r="B196" s="240" t="str">
        <f>TiposLancamentos!B19</f>
        <v>Restaurantes</v>
      </c>
      <c r="C196" s="3" t="s">
        <v>10383</v>
      </c>
      <c r="D196" s="63"/>
      <c r="E196" s="865">
        <v>38.5</v>
      </c>
      <c r="F196" s="1027"/>
    </row>
    <row r="197" spans="1:6">
      <c r="A197" s="884">
        <v>44788</v>
      </c>
      <c r="B197" s="240" t="str">
        <f>TiposLancamentos!B19</f>
        <v>Restaurantes</v>
      </c>
      <c r="C197" s="3" t="s">
        <v>10384</v>
      </c>
      <c r="D197" s="63"/>
      <c r="E197" s="865">
        <v>19.5</v>
      </c>
      <c r="F197" s="1027"/>
    </row>
    <row r="198" spans="1:6">
      <c r="A198" s="884">
        <v>44788</v>
      </c>
      <c r="B198" s="240" t="str">
        <f>TiposLancamentos!B24</f>
        <v>Estacionamentos</v>
      </c>
      <c r="C198" s="3" t="s">
        <v>10385</v>
      </c>
      <c r="D198" s="63"/>
      <c r="E198" s="865">
        <v>16</v>
      </c>
      <c r="F198" s="1027"/>
    </row>
    <row r="199" spans="1:6">
      <c r="A199" s="884">
        <v>44788</v>
      </c>
      <c r="B199" s="240" t="str">
        <f>TiposLancamentos!B17</f>
        <v>GATO</v>
      </c>
      <c r="C199" s="3" t="s">
        <v>7606</v>
      </c>
      <c r="D199" s="63"/>
      <c r="E199" s="865">
        <v>201.95</v>
      </c>
      <c r="F199" s="1027"/>
    </row>
    <row r="200" spans="1:6">
      <c r="A200" s="884">
        <v>44788</v>
      </c>
      <c r="B200" s="240" t="str">
        <f>TiposLancamentos!B5</f>
        <v>Supermercado</v>
      </c>
      <c r="C200" s="3" t="s">
        <v>1884</v>
      </c>
      <c r="D200" s="63"/>
      <c r="E200" s="865">
        <v>9.9</v>
      </c>
      <c r="F200" s="1027"/>
    </row>
    <row r="201" spans="1:6">
      <c r="A201" s="884">
        <v>44788</v>
      </c>
      <c r="B201" s="240"/>
      <c r="C201" s="3" t="s">
        <v>1868</v>
      </c>
      <c r="D201" s="63">
        <v>0</v>
      </c>
      <c r="E201" s="865">
        <v>0</v>
      </c>
      <c r="F201" s="1027"/>
    </row>
    <row r="202" spans="1:6">
      <c r="A202" s="919">
        <v>44788</v>
      </c>
      <c r="B202" s="830" t="str">
        <f>TiposLancamentos!B35</f>
        <v>Tv à Cabo</v>
      </c>
      <c r="C202" s="915" t="s">
        <v>5834</v>
      </c>
      <c r="D202" s="917"/>
      <c r="E202" s="920">
        <f>F204-(E203+E204)</f>
        <v>147.35</v>
      </c>
      <c r="F202" s="1290"/>
    </row>
    <row r="203" spans="1:6">
      <c r="A203" s="930">
        <v>44788</v>
      </c>
      <c r="B203" s="825" t="str">
        <f>TiposLancamentos!B3</f>
        <v>Internet</v>
      </c>
      <c r="C203" s="88" t="s">
        <v>5835</v>
      </c>
      <c r="D203" s="828"/>
      <c r="E203" s="931">
        <v>152.54</v>
      </c>
      <c r="F203" s="1043"/>
    </row>
    <row r="204" spans="1:6">
      <c r="A204" s="921">
        <v>44791</v>
      </c>
      <c r="B204" s="833" t="str">
        <f>TiposLancamentos!B2</f>
        <v>Telefonia</v>
      </c>
      <c r="C204" s="916" t="s">
        <v>7210</v>
      </c>
      <c r="D204" s="918"/>
      <c r="E204" s="922">
        <v>0</v>
      </c>
      <c r="F204" s="1291">
        <v>299.89</v>
      </c>
    </row>
    <row r="205" spans="1:6">
      <c r="A205" s="884">
        <v>44788</v>
      </c>
      <c r="B205" s="138"/>
      <c r="C205" s="3" t="s">
        <v>1868</v>
      </c>
      <c r="D205" s="197">
        <v>0</v>
      </c>
      <c r="E205" s="857">
        <v>0</v>
      </c>
      <c r="F205" s="1027"/>
    </row>
    <row r="206" spans="1:6">
      <c r="A206" s="884">
        <v>44789</v>
      </c>
      <c r="B206" s="240" t="str">
        <f>TiposLancamentos!B19</f>
        <v>Restaurantes</v>
      </c>
      <c r="C206" s="3" t="s">
        <v>10386</v>
      </c>
      <c r="D206" s="63"/>
      <c r="E206" s="865">
        <v>48.38</v>
      </c>
      <c r="F206" s="1027"/>
    </row>
    <row r="207" spans="1:6">
      <c r="A207" s="884">
        <v>44789</v>
      </c>
      <c r="B207" s="240" t="str">
        <f>TiposLancamentos!B24</f>
        <v>Estacionamentos</v>
      </c>
      <c r="C207" s="3" t="s">
        <v>10385</v>
      </c>
      <c r="D207" s="63"/>
      <c r="E207" s="865">
        <v>16</v>
      </c>
      <c r="F207" s="1027"/>
    </row>
    <row r="208" spans="1:6">
      <c r="A208" s="884">
        <v>44789</v>
      </c>
      <c r="B208" s="240" t="str">
        <f>TiposLancamentos!B24</f>
        <v>Estacionamentos</v>
      </c>
      <c r="C208" s="878" t="s">
        <v>1898</v>
      </c>
      <c r="D208" s="63"/>
      <c r="E208" s="865">
        <v>15</v>
      </c>
      <c r="F208" s="1027"/>
    </row>
    <row r="209" spans="1:6">
      <c r="A209" s="884">
        <v>44789</v>
      </c>
      <c r="B209" s="240" t="str">
        <f>TiposLancamentos!B19</f>
        <v>Restaurantes</v>
      </c>
      <c r="C209" s="3" t="s">
        <v>1967</v>
      </c>
      <c r="D209" s="63"/>
      <c r="E209" s="865">
        <v>42.9</v>
      </c>
      <c r="F209" s="1027"/>
    </row>
    <row r="210" spans="1:6">
      <c r="A210" s="884">
        <v>44789</v>
      </c>
      <c r="B210" s="240" t="str">
        <f>TiposLancamentos!B79</f>
        <v>Financiamento Banco</v>
      </c>
      <c r="C210" s="878" t="s">
        <v>10387</v>
      </c>
      <c r="D210" s="63"/>
      <c r="E210" s="865">
        <v>710.54</v>
      </c>
      <c r="F210" s="1027"/>
    </row>
    <row r="211" spans="1:6">
      <c r="A211" s="884">
        <v>44789</v>
      </c>
      <c r="B211" s="240" t="str">
        <f>TiposLancamentos!B95</f>
        <v>Salarios</v>
      </c>
      <c r="C211" s="878" t="s">
        <v>10320</v>
      </c>
      <c r="D211" s="63">
        <v>866.67</v>
      </c>
      <c r="E211" s="865"/>
      <c r="F211" s="1027"/>
    </row>
    <row r="212" spans="1:6">
      <c r="A212" s="884">
        <v>44789</v>
      </c>
      <c r="B212" s="240" t="str">
        <f>TiposLancamentos!B103</f>
        <v>Juros_Corr. Poupança</v>
      </c>
      <c r="C212" s="3" t="s">
        <v>8697</v>
      </c>
      <c r="D212" s="63">
        <v>5.56</v>
      </c>
      <c r="E212" s="865"/>
      <c r="F212" s="1027"/>
    </row>
    <row r="213" spans="1:6">
      <c r="A213" s="884">
        <v>44790</v>
      </c>
      <c r="B213" s="240" t="str">
        <f>TiposLancamentos!B5</f>
        <v>Supermercado</v>
      </c>
      <c r="C213" s="3" t="s">
        <v>10388</v>
      </c>
      <c r="D213" s="63"/>
      <c r="E213" s="865">
        <v>60</v>
      </c>
      <c r="F213" s="1027"/>
    </row>
    <row r="214" spans="1:6">
      <c r="A214" s="884">
        <v>44790</v>
      </c>
      <c r="B214" s="240" t="str">
        <f>TiposLancamentos!B19</f>
        <v>Restaurantes</v>
      </c>
      <c r="C214" s="3" t="s">
        <v>10389</v>
      </c>
      <c r="D214" s="63"/>
      <c r="E214" s="865">
        <v>23.9</v>
      </c>
      <c r="F214" s="1027"/>
    </row>
    <row r="215" spans="1:6">
      <c r="A215" s="884">
        <v>44790</v>
      </c>
      <c r="B215" s="240" t="str">
        <f>TiposLancamentos!B2</f>
        <v>Telefonia</v>
      </c>
      <c r="C215" s="3" t="s">
        <v>8804</v>
      </c>
      <c r="D215" s="63"/>
      <c r="E215" s="865">
        <v>61.99</v>
      </c>
      <c r="F215" s="1027"/>
    </row>
    <row r="216" spans="1:6">
      <c r="A216" s="884">
        <v>44790</v>
      </c>
      <c r="B216" s="240" t="str">
        <f>TiposLancamentos!B24</f>
        <v>Estacionamentos</v>
      </c>
      <c r="C216" s="3" t="s">
        <v>10385</v>
      </c>
      <c r="D216" s="63"/>
      <c r="E216" s="865">
        <v>16</v>
      </c>
      <c r="F216" s="1027"/>
    </row>
    <row r="217" spans="1:6">
      <c r="A217" s="884">
        <v>44790</v>
      </c>
      <c r="B217" s="240" t="str">
        <f>TiposLancamentos!B22</f>
        <v>Combustivel</v>
      </c>
      <c r="C217" s="1203" t="s">
        <v>10390</v>
      </c>
      <c r="D217" s="63"/>
      <c r="E217" s="865">
        <v>50</v>
      </c>
      <c r="F217" s="1027"/>
    </row>
    <row r="218" spans="1:6">
      <c r="A218" s="884">
        <v>44790</v>
      </c>
      <c r="B218" s="240" t="str">
        <f>TiposLancamentos!B5</f>
        <v>Supermercado</v>
      </c>
      <c r="C218" s="3" t="s">
        <v>1884</v>
      </c>
      <c r="D218" s="63"/>
      <c r="E218" s="865">
        <v>30.29</v>
      </c>
      <c r="F218" s="1027"/>
    </row>
    <row r="219" spans="1:6">
      <c r="A219" s="884">
        <v>44791</v>
      </c>
      <c r="B219" s="240" t="str">
        <f>TiposLancamentos!B98</f>
        <v>Restituições</v>
      </c>
      <c r="C219" s="3" t="s">
        <v>10391</v>
      </c>
      <c r="D219" s="63">
        <v>2107</v>
      </c>
      <c r="E219" s="865"/>
      <c r="F219" s="1027"/>
    </row>
    <row r="220" spans="1:6">
      <c r="A220" s="884">
        <v>44791</v>
      </c>
      <c r="B220" s="240" t="str">
        <f>TiposLancamentos!B19</f>
        <v>Restaurantes</v>
      </c>
      <c r="C220" s="3" t="s">
        <v>10386</v>
      </c>
      <c r="D220" s="63"/>
      <c r="E220" s="865">
        <v>50.99</v>
      </c>
      <c r="F220" s="1027"/>
    </row>
    <row r="221" spans="1:6">
      <c r="A221" s="884">
        <v>44791</v>
      </c>
      <c r="B221" s="240" t="str">
        <f>TiposLancamentos!B24</f>
        <v>Estacionamentos</v>
      </c>
      <c r="C221" s="3" t="s">
        <v>10385</v>
      </c>
      <c r="D221" s="63"/>
      <c r="E221" s="865">
        <v>16</v>
      </c>
      <c r="F221" s="1027"/>
    </row>
    <row r="222" spans="1:6">
      <c r="A222" s="884">
        <v>44791</v>
      </c>
      <c r="B222" s="240" t="str">
        <f>TiposLancamentos!B103</f>
        <v>Juros_Corr. Poupança</v>
      </c>
      <c r="C222" s="3" t="s">
        <v>8697</v>
      </c>
      <c r="D222" s="63">
        <v>22.51</v>
      </c>
      <c r="E222" s="865"/>
      <c r="F222" s="1027"/>
    </row>
    <row r="223" spans="1:6">
      <c r="A223" s="884">
        <v>44791</v>
      </c>
      <c r="B223" s="240" t="str">
        <f>TiposLancamentos!B5</f>
        <v>Supermercado</v>
      </c>
      <c r="C223" s="3" t="s">
        <v>8026</v>
      </c>
      <c r="D223" s="63"/>
      <c r="E223" s="865">
        <v>307.27</v>
      </c>
      <c r="F223" s="1027"/>
    </row>
    <row r="224" spans="1:6">
      <c r="A224" s="884">
        <v>44792</v>
      </c>
      <c r="B224" s="240" t="str">
        <f>TiposLancamentos!B103</f>
        <v>Juros_Corr. Poupança</v>
      </c>
      <c r="C224" s="3" t="s">
        <v>8697</v>
      </c>
      <c r="D224" s="63">
        <v>12.18</v>
      </c>
      <c r="E224" s="865"/>
      <c r="F224" s="1027"/>
    </row>
    <row r="225" spans="1:6">
      <c r="A225" s="884">
        <v>44792</v>
      </c>
      <c r="B225" s="240" t="str">
        <f>TiposLancamentos!B5</f>
        <v>Supermercado</v>
      </c>
      <c r="C225" s="3" t="s">
        <v>2156</v>
      </c>
      <c r="D225" s="63"/>
      <c r="E225" s="865">
        <v>13.8</v>
      </c>
      <c r="F225" s="1027"/>
    </row>
    <row r="226" spans="1:6">
      <c r="A226" s="884">
        <v>44794</v>
      </c>
      <c r="B226" s="240" t="str">
        <f>TiposLancamentos!B5</f>
        <v>Supermercado</v>
      </c>
      <c r="C226" s="3" t="s">
        <v>10392</v>
      </c>
      <c r="D226" s="63"/>
      <c r="E226" s="865">
        <v>21.99</v>
      </c>
      <c r="F226" s="1027"/>
    </row>
    <row r="227" spans="1:6">
      <c r="A227" s="884">
        <v>44794</v>
      </c>
      <c r="B227" s="240" t="str">
        <f>TiposLancamentos!B105</f>
        <v>Transf. Bco</v>
      </c>
      <c r="C227" s="3" t="s">
        <v>10097</v>
      </c>
      <c r="D227" s="63"/>
      <c r="E227" s="865">
        <v>85.66</v>
      </c>
      <c r="F227" s="1027"/>
    </row>
    <row r="228" spans="1:6">
      <c r="A228" s="884">
        <v>44795</v>
      </c>
      <c r="B228" s="240"/>
      <c r="C228" s="3" t="s">
        <v>1947</v>
      </c>
      <c r="D228" s="63">
        <v>0</v>
      </c>
      <c r="E228" s="865">
        <v>0</v>
      </c>
      <c r="F228" s="1027"/>
    </row>
    <row r="229" spans="1:6">
      <c r="A229" s="919">
        <v>44795</v>
      </c>
      <c r="B229" s="830" t="str">
        <f>TiposLancamentos!B8</f>
        <v>Aluguel</v>
      </c>
      <c r="C229" s="915" t="s">
        <v>10393</v>
      </c>
      <c r="D229" s="917"/>
      <c r="E229" s="920">
        <f>F234-(E230+E234+E231+E232+E233)</f>
        <v>1611.2600000000002</v>
      </c>
      <c r="F229" s="1346"/>
    </row>
    <row r="230" spans="1:6">
      <c r="A230" s="930">
        <v>44795</v>
      </c>
      <c r="B230" s="825" t="str">
        <f>TiposLancamentos!B12</f>
        <v>IPTU</v>
      </c>
      <c r="C230" s="88" t="s">
        <v>10394</v>
      </c>
      <c r="D230" s="828"/>
      <c r="E230" s="931">
        <v>34.5</v>
      </c>
      <c r="F230" s="1043"/>
    </row>
    <row r="231" spans="1:6">
      <c r="A231" s="930">
        <v>44795</v>
      </c>
      <c r="B231" s="825" t="str">
        <f>TiposLancamentos!B10</f>
        <v>Distr. Água Municipal</v>
      </c>
      <c r="C231" s="88" t="s">
        <v>7423</v>
      </c>
      <c r="D231" s="828"/>
      <c r="E231" s="931">
        <v>66.540000000000006</v>
      </c>
      <c r="F231" s="1043"/>
    </row>
    <row r="232" spans="1:6">
      <c r="A232" s="930">
        <v>44795</v>
      </c>
      <c r="B232" s="825" t="str">
        <f>TiposLancamentos!B11</f>
        <v>Coleta Municipal Lixo</v>
      </c>
      <c r="C232" s="88" t="s">
        <v>7424</v>
      </c>
      <c r="D232" s="828"/>
      <c r="E232" s="931">
        <v>44.36</v>
      </c>
      <c r="F232" s="1043"/>
    </row>
    <row r="233" spans="1:6">
      <c r="A233" s="930">
        <v>44795</v>
      </c>
      <c r="B233" s="825" t="str">
        <f>TiposLancamentos!B8</f>
        <v>Aluguel</v>
      </c>
      <c r="C233" s="88" t="s">
        <v>7425</v>
      </c>
      <c r="D233" s="828"/>
      <c r="E233" s="931">
        <v>8</v>
      </c>
      <c r="F233" s="1043"/>
    </row>
    <row r="234" spans="1:6">
      <c r="A234" s="921">
        <v>44795</v>
      </c>
      <c r="B234" s="833" t="str">
        <f>TiposLancamentos!B9</f>
        <v>Condominio</v>
      </c>
      <c r="C234" s="916" t="s">
        <v>7427</v>
      </c>
      <c r="D234" s="918"/>
      <c r="E234" s="922">
        <v>616.37</v>
      </c>
      <c r="F234" s="1291">
        <v>2381.0300000000002</v>
      </c>
    </row>
    <row r="235" spans="1:6">
      <c r="A235" s="884">
        <v>44795</v>
      </c>
      <c r="B235" s="240"/>
      <c r="C235" s="3" t="s">
        <v>1947</v>
      </c>
      <c r="D235" s="63">
        <v>0</v>
      </c>
      <c r="E235" s="865">
        <v>0</v>
      </c>
      <c r="F235" s="1027"/>
    </row>
    <row r="236" spans="1:6">
      <c r="A236" s="884">
        <v>44795</v>
      </c>
      <c r="B236" s="240" t="str">
        <f>TiposLancamentos!B19</f>
        <v>Restaurantes</v>
      </c>
      <c r="C236" s="3" t="s">
        <v>1962</v>
      </c>
      <c r="D236" s="63"/>
      <c r="E236" s="865">
        <v>21.99</v>
      </c>
      <c r="F236" s="1027"/>
    </row>
    <row r="237" spans="1:6">
      <c r="A237" s="884">
        <v>44795</v>
      </c>
      <c r="B237" s="240" t="str">
        <f>TiposLancamentos!B19</f>
        <v>Restaurantes</v>
      </c>
      <c r="C237" s="3" t="s">
        <v>10395</v>
      </c>
      <c r="D237" s="63"/>
      <c r="E237" s="865">
        <v>12.5</v>
      </c>
      <c r="F237" s="1027"/>
    </row>
    <row r="238" spans="1:6">
      <c r="A238" s="884">
        <v>44795</v>
      </c>
      <c r="B238" s="240" t="str">
        <f>TiposLancamentos!B24</f>
        <v>Estacionamentos</v>
      </c>
      <c r="C238" s="3" t="s">
        <v>10385</v>
      </c>
      <c r="D238" s="63"/>
      <c r="E238" s="865">
        <v>16</v>
      </c>
      <c r="F238" s="1027"/>
    </row>
    <row r="239" spans="1:6">
      <c r="A239" s="884">
        <v>44796</v>
      </c>
      <c r="B239" s="240" t="str">
        <f>TiposLancamentos!B17</f>
        <v>GATO</v>
      </c>
      <c r="C239" s="3" t="s">
        <v>8304</v>
      </c>
      <c r="D239" s="63"/>
      <c r="E239" s="865">
        <v>56.32</v>
      </c>
      <c r="F239" s="1027"/>
    </row>
    <row r="240" spans="1:6">
      <c r="A240" s="884">
        <v>44796</v>
      </c>
      <c r="B240" s="240" t="str">
        <f>TiposLancamentos!B19</f>
        <v>Restaurantes</v>
      </c>
      <c r="C240" s="3" t="s">
        <v>10396</v>
      </c>
      <c r="D240" s="63"/>
      <c r="E240" s="865">
        <v>23.9</v>
      </c>
      <c r="F240" s="1027"/>
    </row>
    <row r="241" spans="1:6">
      <c r="A241" s="884">
        <v>44796</v>
      </c>
      <c r="B241" s="240" t="str">
        <f>TiposLancamentos!B24</f>
        <v>Estacionamentos</v>
      </c>
      <c r="C241" s="3" t="s">
        <v>10385</v>
      </c>
      <c r="D241" s="63"/>
      <c r="E241" s="865">
        <v>16</v>
      </c>
      <c r="F241" s="1027"/>
    </row>
    <row r="242" spans="1:6">
      <c r="A242" s="884">
        <v>44796</v>
      </c>
      <c r="B242" s="240" t="str">
        <f>TiposLancamentos!B24</f>
        <v>Estacionamentos</v>
      </c>
      <c r="C242" s="878" t="s">
        <v>1898</v>
      </c>
      <c r="D242" s="63"/>
      <c r="E242" s="865">
        <v>15</v>
      </c>
      <c r="F242" s="1027"/>
    </row>
    <row r="243" spans="1:6">
      <c r="A243" s="884">
        <v>44796</v>
      </c>
      <c r="B243" s="240" t="str">
        <f>TiposLancamentos!B5</f>
        <v>Supermercado</v>
      </c>
      <c r="C243" s="3" t="s">
        <v>8548</v>
      </c>
      <c r="D243" s="63"/>
      <c r="E243" s="865">
        <v>258.49</v>
      </c>
      <c r="F243" s="1027"/>
    </row>
    <row r="244" spans="1:6">
      <c r="A244" s="884">
        <v>44796</v>
      </c>
      <c r="B244" s="240" t="str">
        <f>TiposLancamentos!B19</f>
        <v>Restaurantes</v>
      </c>
      <c r="C244" s="3" t="s">
        <v>10397</v>
      </c>
      <c r="D244" s="63"/>
      <c r="E244" s="865">
        <v>42.9</v>
      </c>
      <c r="F244" s="1027"/>
    </row>
    <row r="245" spans="1:6">
      <c r="A245" s="884">
        <v>44797</v>
      </c>
      <c r="B245" s="240" t="str">
        <f>B241</f>
        <v>Estacionamentos</v>
      </c>
      <c r="C245" s="3" t="s">
        <v>10385</v>
      </c>
      <c r="D245" s="63"/>
      <c r="E245" s="865">
        <v>16</v>
      </c>
      <c r="F245" s="1027"/>
    </row>
    <row r="246" spans="1:6">
      <c r="A246" s="884">
        <v>44797</v>
      </c>
      <c r="B246" s="240" t="str">
        <f>TiposLancamentos!B103</f>
        <v>Juros_Corr. Poupança</v>
      </c>
      <c r="C246" s="3" t="s">
        <v>8697</v>
      </c>
      <c r="D246" s="63">
        <v>27.54</v>
      </c>
      <c r="E246" s="865"/>
      <c r="F246" s="1027"/>
    </row>
    <row r="247" spans="1:6">
      <c r="A247" s="884">
        <v>44798</v>
      </c>
      <c r="B247" s="240" t="str">
        <f>B237</f>
        <v>Restaurantes</v>
      </c>
      <c r="C247" s="3" t="s">
        <v>10396</v>
      </c>
      <c r="D247" s="63"/>
      <c r="E247" s="865">
        <v>23.9</v>
      </c>
      <c r="F247" s="1027"/>
    </row>
    <row r="248" spans="1:6">
      <c r="A248" s="884">
        <v>44798</v>
      </c>
      <c r="B248" s="240" t="str">
        <f>TiposLancamentos!B16</f>
        <v>Cristiane</v>
      </c>
      <c r="C248" s="3" t="s">
        <v>10398</v>
      </c>
      <c r="D248" s="63"/>
      <c r="E248" s="865">
        <v>212</v>
      </c>
      <c r="F248" s="1027"/>
    </row>
    <row r="249" spans="1:6">
      <c r="A249" s="884">
        <v>44798</v>
      </c>
      <c r="B249" s="240" t="str">
        <f>B245</f>
        <v>Estacionamentos</v>
      </c>
      <c r="C249" s="3" t="s">
        <v>10385</v>
      </c>
      <c r="D249" s="63"/>
      <c r="E249" s="865">
        <v>16</v>
      </c>
      <c r="F249" s="1027"/>
    </row>
    <row r="250" spans="1:6">
      <c r="A250" s="884">
        <v>44798</v>
      </c>
      <c r="B250" s="240" t="str">
        <f>TiposLancamentos!B19</f>
        <v>Restaurantes</v>
      </c>
      <c r="C250" s="3" t="s">
        <v>10399</v>
      </c>
      <c r="D250" s="63"/>
      <c r="E250" s="865">
        <v>239.33</v>
      </c>
      <c r="F250" s="1027"/>
    </row>
    <row r="251" spans="1:6">
      <c r="A251" s="884">
        <v>44798</v>
      </c>
      <c r="B251" s="240" t="str">
        <f>TiposLancamentos!B5</f>
        <v>Supermercado</v>
      </c>
      <c r="C251" s="3" t="s">
        <v>10400</v>
      </c>
      <c r="D251" s="63"/>
      <c r="E251" s="865">
        <v>11.9</v>
      </c>
      <c r="F251" s="1027"/>
    </row>
    <row r="252" spans="1:6">
      <c r="A252" s="884">
        <v>44799</v>
      </c>
      <c r="B252" s="240" t="str">
        <f>TiposLancamentos!B17</f>
        <v>GATO</v>
      </c>
      <c r="C252" s="3" t="s">
        <v>10401</v>
      </c>
      <c r="D252" s="63"/>
      <c r="E252" s="865">
        <v>104.87</v>
      </c>
      <c r="F252" s="1027"/>
    </row>
    <row r="253" spans="1:6">
      <c r="A253" s="884">
        <v>44799</v>
      </c>
      <c r="B253" s="240" t="str">
        <f>TiposLancamentos!B32</f>
        <v>Clinicas e tratamentos</v>
      </c>
      <c r="C253" s="3" t="s">
        <v>10402</v>
      </c>
      <c r="D253" s="63"/>
      <c r="E253" s="865">
        <v>187.5</v>
      </c>
      <c r="F253" s="1027"/>
    </row>
    <row r="254" spans="1:6">
      <c r="A254" s="884">
        <v>44800</v>
      </c>
      <c r="B254" s="240" t="str">
        <f>TiposLancamentos!B17</f>
        <v>GATO</v>
      </c>
      <c r="C254" s="3" t="s">
        <v>10403</v>
      </c>
      <c r="D254" s="63"/>
      <c r="E254" s="865">
        <v>200</v>
      </c>
      <c r="F254" s="1027"/>
    </row>
    <row r="255" spans="1:6">
      <c r="A255" s="884">
        <v>44800</v>
      </c>
      <c r="B255" s="240" t="str">
        <f>B237</f>
        <v>Restaurantes</v>
      </c>
      <c r="C255" s="3" t="s">
        <v>10404</v>
      </c>
      <c r="D255" s="63"/>
      <c r="E255" s="865">
        <v>75</v>
      </c>
      <c r="F255" s="1027"/>
    </row>
    <row r="256" spans="1:6">
      <c r="A256" s="884">
        <v>44800</v>
      </c>
      <c r="B256" s="240" t="str">
        <f>TiposLancamentos!B5</f>
        <v>Supermercado</v>
      </c>
      <c r="C256" s="3" t="s">
        <v>1884</v>
      </c>
      <c r="D256" s="63"/>
      <c r="E256" s="865">
        <v>13.58</v>
      </c>
      <c r="F256" s="1027"/>
    </row>
    <row r="257" spans="1:6">
      <c r="A257" s="884">
        <v>44800</v>
      </c>
      <c r="B257" s="240" t="str">
        <f>TiposLancamentos!B5</f>
        <v>Supermercado</v>
      </c>
      <c r="C257" s="3" t="s">
        <v>10405</v>
      </c>
      <c r="D257" s="63"/>
      <c r="E257" s="865">
        <v>38.979999999999997</v>
      </c>
      <c r="F257" s="1027"/>
    </row>
    <row r="258" spans="1:6">
      <c r="A258" s="884">
        <v>44801</v>
      </c>
      <c r="B258" s="240" t="str">
        <f>TiposLancamentos!B5</f>
        <v>Supermercado</v>
      </c>
      <c r="C258" s="3" t="s">
        <v>10406</v>
      </c>
      <c r="D258" s="63"/>
      <c r="E258" s="865">
        <v>136.82</v>
      </c>
      <c r="F258" s="1027"/>
    </row>
    <row r="259" spans="1:6">
      <c r="A259" s="884">
        <v>44802</v>
      </c>
      <c r="B259" s="240" t="str">
        <f>TiposLancamentos!B19</f>
        <v>Restaurantes</v>
      </c>
      <c r="C259" s="3" t="s">
        <v>10396</v>
      </c>
      <c r="D259" s="63"/>
      <c r="E259" s="865">
        <v>23.9</v>
      </c>
      <c r="F259" s="1027"/>
    </row>
    <row r="260" spans="1:6">
      <c r="A260" s="884">
        <v>44802</v>
      </c>
      <c r="B260" s="240" t="str">
        <f>TiposLancamentos!B19</f>
        <v>Restaurantes</v>
      </c>
      <c r="C260" s="3" t="s">
        <v>10395</v>
      </c>
      <c r="D260" s="63"/>
      <c r="E260" s="865">
        <v>6.5</v>
      </c>
      <c r="F260" s="1027"/>
    </row>
    <row r="261" spans="1:6">
      <c r="A261" s="884">
        <v>44802</v>
      </c>
      <c r="B261" s="240" t="str">
        <f>TiposLancamentos!B24</f>
        <v>Estacionamentos</v>
      </c>
      <c r="C261" s="3" t="s">
        <v>10385</v>
      </c>
      <c r="D261" s="63"/>
      <c r="E261" s="865">
        <v>16</v>
      </c>
      <c r="F261" s="1027"/>
    </row>
    <row r="262" spans="1:6">
      <c r="A262" s="884">
        <v>44803</v>
      </c>
      <c r="B262" s="240" t="str">
        <f>TiposLancamentos!B17</f>
        <v>GATO</v>
      </c>
      <c r="C262" s="3" t="s">
        <v>10407</v>
      </c>
      <c r="D262" s="63"/>
      <c r="E262" s="865">
        <v>2000</v>
      </c>
      <c r="F262" s="1027"/>
    </row>
    <row r="263" spans="1:6">
      <c r="A263" s="884">
        <v>44803</v>
      </c>
      <c r="B263" s="240" t="str">
        <f>TiposLancamentos!B19</f>
        <v>Restaurantes</v>
      </c>
      <c r="C263" s="3" t="s">
        <v>1962</v>
      </c>
      <c r="D263" s="63"/>
      <c r="E263" s="865">
        <v>21.99</v>
      </c>
      <c r="F263" s="1027"/>
    </row>
    <row r="264" spans="1:6">
      <c r="A264" s="884">
        <v>44803</v>
      </c>
      <c r="B264" s="240" t="str">
        <f>TiposLancamentos!B19</f>
        <v>Restaurantes</v>
      </c>
      <c r="C264" s="3" t="s">
        <v>7343</v>
      </c>
      <c r="D264" s="63"/>
      <c r="E264" s="865">
        <v>25.1</v>
      </c>
      <c r="F264" s="1027"/>
    </row>
    <row r="265" spans="1:6">
      <c r="A265" s="884">
        <v>44803</v>
      </c>
      <c r="B265" s="240" t="str">
        <f>TiposLancamentos!B24</f>
        <v>Estacionamentos</v>
      </c>
      <c r="C265" s="3" t="s">
        <v>10385</v>
      </c>
      <c r="D265" s="63"/>
      <c r="E265" s="865">
        <v>16</v>
      </c>
      <c r="F265" s="1027"/>
    </row>
    <row r="266" spans="1:6">
      <c r="A266" s="884">
        <v>44803</v>
      </c>
      <c r="B266" s="240" t="str">
        <f>TiposLancamentos!B103</f>
        <v>Juros_Corr. Poupança</v>
      </c>
      <c r="C266" s="3" t="s">
        <v>8697</v>
      </c>
      <c r="D266" s="63">
        <v>27.08</v>
      </c>
      <c r="E266" s="865"/>
      <c r="F266" s="1027"/>
    </row>
    <row r="267" spans="1:6">
      <c r="A267" s="884">
        <v>44803</v>
      </c>
      <c r="B267" s="240" t="str">
        <f>TiposLancamentos!B17</f>
        <v>GATO</v>
      </c>
      <c r="C267" s="3" t="s">
        <v>10408</v>
      </c>
      <c r="D267" s="63"/>
      <c r="E267" s="865">
        <v>228.91</v>
      </c>
      <c r="F267" s="1027"/>
    </row>
    <row r="268" spans="1:6">
      <c r="A268" s="884">
        <v>44804</v>
      </c>
      <c r="B268" s="240" t="str">
        <f>TiposLancamentos!B98</f>
        <v>Restituições</v>
      </c>
      <c r="C268" s="3" t="s">
        <v>10409</v>
      </c>
      <c r="D268" s="63">
        <v>2026.45</v>
      </c>
      <c r="E268" s="865"/>
      <c r="F268" s="1027"/>
    </row>
    <row r="269" spans="1:6">
      <c r="A269" s="884">
        <v>44804</v>
      </c>
      <c r="B269" s="240" t="str">
        <f>TiposLancamentos!B22</f>
        <v>Combustivel</v>
      </c>
      <c r="C269" s="1203" t="s">
        <v>10390</v>
      </c>
      <c r="D269" s="63"/>
      <c r="E269" s="865">
        <v>120</v>
      </c>
      <c r="F269" s="1027"/>
    </row>
    <row r="270" spans="1:6">
      <c r="A270" s="884">
        <v>44804</v>
      </c>
      <c r="B270" s="240" t="str">
        <f>TiposLancamentos!B19</f>
        <v>Restaurantes</v>
      </c>
      <c r="C270" s="3" t="s">
        <v>1962</v>
      </c>
      <c r="D270" s="63"/>
      <c r="E270" s="865">
        <v>37.94</v>
      </c>
      <c r="F270" s="1027"/>
    </row>
    <row r="271" spans="1:6">
      <c r="A271" s="884">
        <v>44804</v>
      </c>
      <c r="B271" s="240" t="str">
        <f>TiposLancamentos!B19</f>
        <v>Restaurantes</v>
      </c>
      <c r="C271" s="3" t="s">
        <v>2025</v>
      </c>
      <c r="D271" s="63"/>
      <c r="E271" s="865">
        <v>9.8000000000000007</v>
      </c>
      <c r="F271" s="1027"/>
    </row>
    <row r="272" spans="1:6">
      <c r="A272" s="884">
        <v>44804</v>
      </c>
      <c r="B272" s="240" t="str">
        <f>TiposLancamentos!B24</f>
        <v>Estacionamentos</v>
      </c>
      <c r="C272" s="3" t="s">
        <v>8753</v>
      </c>
      <c r="D272" s="63"/>
      <c r="E272" s="865">
        <v>10</v>
      </c>
      <c r="F272" s="1027"/>
    </row>
    <row r="273" spans="1:6">
      <c r="A273" s="884">
        <v>44804</v>
      </c>
      <c r="B273" s="240" t="str">
        <f>TiposLancamentos!B14</f>
        <v>Gás de cozinha</v>
      </c>
      <c r="C273" s="3" t="s">
        <v>10410</v>
      </c>
      <c r="D273" s="63"/>
      <c r="E273" s="865">
        <v>63.84</v>
      </c>
      <c r="F273" s="1027"/>
    </row>
    <row r="274" spans="1:6" ht="14.25" thickBot="1">
      <c r="A274" s="884">
        <v>44804</v>
      </c>
      <c r="B274" s="240" t="str">
        <f>TiposLancamentos!B103</f>
        <v>Juros_Corr. Poupança</v>
      </c>
      <c r="C274" s="3" t="s">
        <v>8697</v>
      </c>
      <c r="D274" s="63">
        <v>5.6</v>
      </c>
      <c r="E274" s="865"/>
      <c r="F274" s="1027"/>
    </row>
    <row r="275" spans="1:6">
      <c r="A275" s="1714"/>
      <c r="B275" s="1715"/>
      <c r="C275" s="1716" t="s">
        <v>1614</v>
      </c>
      <c r="D275" s="1717"/>
      <c r="E275" s="1718"/>
      <c r="F275" s="1718"/>
    </row>
    <row r="276" spans="1:6">
      <c r="A276" s="884">
        <v>44805</v>
      </c>
      <c r="B276" s="138" t="str">
        <f>TiposLancamentos!B15</f>
        <v>Cartões de Crédito</v>
      </c>
      <c r="C276" s="3" t="s">
        <v>7781</v>
      </c>
      <c r="D276" s="197"/>
      <c r="E276" s="857">
        <v>1455.12</v>
      </c>
      <c r="F276" s="1027"/>
    </row>
    <row r="277" spans="1:6">
      <c r="A277" s="884">
        <v>44805</v>
      </c>
      <c r="B277" s="138" t="str">
        <f>TiposLancamentos!B15</f>
        <v>Cartões de Crédito</v>
      </c>
      <c r="C277" s="3" t="s">
        <v>8016</v>
      </c>
      <c r="D277" s="197"/>
      <c r="E277" s="857">
        <v>114.88</v>
      </c>
      <c r="F277" s="1027"/>
    </row>
    <row r="278" spans="1:6">
      <c r="A278" s="884">
        <v>44805</v>
      </c>
      <c r="B278" s="138" t="str">
        <f>TiposLancamentos!B15</f>
        <v>Cartões de Crédito</v>
      </c>
      <c r="C278" s="3" t="s">
        <v>8252</v>
      </c>
      <c r="D278" s="197"/>
      <c r="E278" s="857">
        <v>76.75</v>
      </c>
      <c r="F278" s="1027"/>
    </row>
    <row r="279" spans="1:6">
      <c r="A279" s="884">
        <v>44805</v>
      </c>
      <c r="B279" s="138" t="str">
        <f>TiposLancamentos!B15</f>
        <v>Cartões de Crédito</v>
      </c>
      <c r="C279" s="3" t="s">
        <v>8677</v>
      </c>
      <c r="D279" s="197"/>
      <c r="E279" s="857">
        <v>0</v>
      </c>
      <c r="F279" s="1027"/>
    </row>
    <row r="280" spans="1:6">
      <c r="A280" s="884">
        <v>44805</v>
      </c>
      <c r="B280" s="240" t="str">
        <f>TiposLancamentos!B19</f>
        <v>Restaurantes</v>
      </c>
      <c r="C280" s="3" t="s">
        <v>1962</v>
      </c>
      <c r="D280" s="63"/>
      <c r="E280" s="865">
        <v>32.9</v>
      </c>
      <c r="F280" s="1027"/>
    </row>
    <row r="281" spans="1:6">
      <c r="A281" s="884">
        <v>44805</v>
      </c>
      <c r="B281" s="240" t="str">
        <f>TiposLancamentos!B19</f>
        <v>Restaurantes</v>
      </c>
      <c r="C281" s="3" t="s">
        <v>10411</v>
      </c>
      <c r="D281" s="63"/>
      <c r="E281" s="865">
        <v>18.399999999999999</v>
      </c>
      <c r="F281" s="1027"/>
    </row>
    <row r="282" spans="1:6">
      <c r="A282" s="884">
        <v>44805</v>
      </c>
      <c r="B282" s="240" t="str">
        <f>TiposLancamentos!B24</f>
        <v>Estacionamentos</v>
      </c>
      <c r="C282" s="3" t="s">
        <v>8753</v>
      </c>
      <c r="D282" s="63"/>
      <c r="E282" s="865">
        <v>10</v>
      </c>
      <c r="F282" s="1027"/>
    </row>
    <row r="283" spans="1:6">
      <c r="A283" s="884">
        <v>44805</v>
      </c>
      <c r="B283" s="240" t="str">
        <f>B274</f>
        <v>Juros_Corr. Poupança</v>
      </c>
      <c r="C283" s="3" t="s">
        <v>8697</v>
      </c>
      <c r="D283" s="63">
        <v>5.64</v>
      </c>
      <c r="E283" s="865"/>
      <c r="F283" s="1027"/>
    </row>
    <row r="284" spans="1:6">
      <c r="A284" s="884">
        <v>44806</v>
      </c>
      <c r="B284" s="240" t="str">
        <f>TiposLancamentos!B19</f>
        <v>Restaurantes</v>
      </c>
      <c r="C284" s="3" t="s">
        <v>10412</v>
      </c>
      <c r="D284" s="63"/>
      <c r="E284" s="865">
        <v>77.709999999999994</v>
      </c>
      <c r="F284" s="1027"/>
    </row>
    <row r="285" spans="1:6">
      <c r="A285" s="884">
        <v>44806</v>
      </c>
      <c r="B285" s="240" t="str">
        <f>TiposLancamentos!B17</f>
        <v>GATO</v>
      </c>
      <c r="C285" s="3" t="s">
        <v>10413</v>
      </c>
      <c r="D285" s="63"/>
      <c r="E285" s="865">
        <v>350</v>
      </c>
      <c r="F285" s="1027"/>
    </row>
    <row r="286" spans="1:6">
      <c r="A286" s="884">
        <v>44806</v>
      </c>
      <c r="B286" s="240" t="str">
        <f>TiposLancamentos!B19</f>
        <v>Restaurantes</v>
      </c>
      <c r="C286" s="3" t="s">
        <v>10414</v>
      </c>
      <c r="D286" s="63"/>
      <c r="E286" s="865">
        <v>100.7</v>
      </c>
      <c r="F286" s="1027"/>
    </row>
    <row r="287" spans="1:6">
      <c r="A287" s="884">
        <v>44807</v>
      </c>
      <c r="B287" s="240" t="str">
        <f>TiposLancamentos!B19</f>
        <v>Restaurantes</v>
      </c>
      <c r="C287" s="3" t="s">
        <v>10415</v>
      </c>
      <c r="D287" s="63"/>
      <c r="E287" s="865">
        <v>56</v>
      </c>
      <c r="F287" s="1027"/>
    </row>
    <row r="288" spans="1:6">
      <c r="A288" s="884">
        <v>44807</v>
      </c>
      <c r="B288" s="240" t="str">
        <f>TiposLancamentos!B19</f>
        <v>Restaurantes</v>
      </c>
      <c r="C288" s="3" t="s">
        <v>10416</v>
      </c>
      <c r="D288" s="63"/>
      <c r="E288" s="865">
        <v>34.92</v>
      </c>
      <c r="F288" s="1027"/>
    </row>
    <row r="289" spans="1:6">
      <c r="A289" s="884">
        <v>44807</v>
      </c>
      <c r="B289" s="240" t="str">
        <f>TiposLancamentos!B56</f>
        <v>Farmácia</v>
      </c>
      <c r="C289" s="3" t="s">
        <v>10417</v>
      </c>
      <c r="D289" s="63"/>
      <c r="E289" s="865">
        <v>74.09</v>
      </c>
      <c r="F289" s="1027"/>
    </row>
    <row r="290" spans="1:6">
      <c r="A290" s="884">
        <v>44808</v>
      </c>
      <c r="B290" s="240" t="str">
        <f>TiposLancamentos!B19</f>
        <v>Restaurantes</v>
      </c>
      <c r="C290" s="3" t="s">
        <v>10418</v>
      </c>
      <c r="D290" s="63"/>
      <c r="E290" s="865">
        <v>17.2</v>
      </c>
      <c r="F290" s="1027"/>
    </row>
    <row r="291" spans="1:6">
      <c r="A291" s="884">
        <v>44809</v>
      </c>
      <c r="B291" s="240" t="str">
        <f>TiposLancamentos!B19</f>
        <v>Restaurantes</v>
      </c>
      <c r="C291" s="3" t="s">
        <v>10419</v>
      </c>
      <c r="D291" s="63"/>
      <c r="E291" s="865">
        <v>9.5</v>
      </c>
      <c r="F291" s="1027"/>
    </row>
    <row r="292" spans="1:6">
      <c r="A292" s="884">
        <v>44809</v>
      </c>
      <c r="B292" s="240" t="str">
        <f>TiposLancamentos!B19</f>
        <v>Restaurantes</v>
      </c>
      <c r="C292" s="3" t="s">
        <v>1962</v>
      </c>
      <c r="D292" s="63"/>
      <c r="E292" s="865">
        <v>25.9</v>
      </c>
      <c r="F292" s="1027"/>
    </row>
    <row r="293" spans="1:6">
      <c r="A293" s="884">
        <v>44809</v>
      </c>
      <c r="B293" s="240" t="str">
        <f>TiposLancamentos!B19</f>
        <v>Restaurantes</v>
      </c>
      <c r="C293" s="3" t="s">
        <v>10420</v>
      </c>
      <c r="D293" s="63"/>
      <c r="E293" s="865">
        <v>21</v>
      </c>
      <c r="F293" s="1027"/>
    </row>
    <row r="294" spans="1:6">
      <c r="A294" s="884">
        <v>44809</v>
      </c>
      <c r="B294" s="240" t="str">
        <f>B283</f>
        <v>Juros_Corr. Poupança</v>
      </c>
      <c r="C294" s="3" t="s">
        <v>8697</v>
      </c>
      <c r="D294" s="63">
        <v>11.03</v>
      </c>
      <c r="E294" s="865"/>
      <c r="F294" s="1027"/>
    </row>
    <row r="295" spans="1:6">
      <c r="A295" s="884">
        <v>44810</v>
      </c>
      <c r="B295" s="240" t="str">
        <f>TiposLancamentos!B5</f>
        <v>Supermercado</v>
      </c>
      <c r="C295" s="3" t="s">
        <v>1884</v>
      </c>
      <c r="D295" s="63"/>
      <c r="E295" s="865">
        <v>7.99</v>
      </c>
      <c r="F295" s="1027"/>
    </row>
    <row r="296" spans="1:6">
      <c r="A296" s="884">
        <v>44810</v>
      </c>
      <c r="B296" s="240" t="str">
        <f>TiposLancamentos!B22</f>
        <v>Combustivel</v>
      </c>
      <c r="C296" s="1203" t="s">
        <v>10390</v>
      </c>
      <c r="D296" s="63"/>
      <c r="E296" s="865">
        <v>120</v>
      </c>
      <c r="F296" s="1027"/>
    </row>
    <row r="297" spans="1:6">
      <c r="A297" s="884">
        <v>44810</v>
      </c>
      <c r="B297" s="240" t="str">
        <f>TiposLancamentos!B24</f>
        <v>Estacionamentos</v>
      </c>
      <c r="C297" s="3" t="s">
        <v>10421</v>
      </c>
      <c r="D297" s="63"/>
      <c r="E297" s="865">
        <v>15</v>
      </c>
      <c r="F297" s="1027"/>
    </row>
    <row r="298" spans="1:6">
      <c r="A298" s="884">
        <v>44810</v>
      </c>
      <c r="B298" s="240" t="str">
        <f>TiposLancamentos!B19</f>
        <v>Restaurantes</v>
      </c>
      <c r="C298" s="3" t="s">
        <v>10422</v>
      </c>
      <c r="D298" s="63"/>
      <c r="E298" s="865">
        <v>72</v>
      </c>
      <c r="F298" s="1027"/>
    </row>
    <row r="299" spans="1:6">
      <c r="A299" s="884">
        <v>44811</v>
      </c>
      <c r="B299" s="240" t="str">
        <f>TiposLancamentos!B6</f>
        <v>Energia Eletrica</v>
      </c>
      <c r="C299" s="3" t="s">
        <v>10423</v>
      </c>
      <c r="D299" s="63"/>
      <c r="E299" s="865">
        <v>254.4</v>
      </c>
      <c r="F299" s="1027"/>
    </row>
    <row r="300" spans="1:6">
      <c r="A300" s="884">
        <v>44812</v>
      </c>
      <c r="B300" s="240" t="str">
        <f>TiposLancamentos!B19</f>
        <v>Restaurantes</v>
      </c>
      <c r="C300" s="3" t="s">
        <v>10424</v>
      </c>
      <c r="D300" s="63"/>
      <c r="E300" s="865">
        <v>52.07</v>
      </c>
      <c r="F300" s="1027"/>
    </row>
    <row r="301" spans="1:6">
      <c r="A301" s="884">
        <v>44812</v>
      </c>
      <c r="B301" s="240" t="str">
        <f>TiposLancamentos!B19</f>
        <v>Restaurantes</v>
      </c>
      <c r="C301" s="3" t="s">
        <v>10425</v>
      </c>
      <c r="D301" s="63"/>
      <c r="E301" s="865">
        <v>6.5</v>
      </c>
      <c r="F301" s="1027"/>
    </row>
    <row r="302" spans="1:6">
      <c r="A302" s="884">
        <v>44812</v>
      </c>
      <c r="B302" s="240" t="str">
        <f>TiposLancamentos!B24</f>
        <v>Estacionamentos</v>
      </c>
      <c r="C302" s="3" t="s">
        <v>8753</v>
      </c>
      <c r="D302" s="63"/>
      <c r="E302" s="865">
        <v>10</v>
      </c>
      <c r="F302" s="1027"/>
    </row>
    <row r="303" spans="1:6">
      <c r="A303" s="884">
        <v>44812</v>
      </c>
      <c r="B303" s="240" t="str">
        <f>B283</f>
        <v>Juros_Corr. Poupança</v>
      </c>
      <c r="C303" s="3" t="s">
        <v>8697</v>
      </c>
      <c r="D303" s="63">
        <v>5.73</v>
      </c>
      <c r="E303" s="865"/>
      <c r="F303" s="1027"/>
    </row>
    <row r="304" spans="1:6">
      <c r="A304" s="884">
        <v>44813</v>
      </c>
      <c r="B304" s="240" t="str">
        <f>TiposLancamentos!B105</f>
        <v>Transf. Bco</v>
      </c>
      <c r="C304" s="3" t="s">
        <v>10145</v>
      </c>
      <c r="D304" s="63">
        <v>5145</v>
      </c>
      <c r="E304" s="865"/>
      <c r="F304" s="1027"/>
    </row>
    <row r="305" spans="1:6">
      <c r="A305" s="884">
        <v>44813</v>
      </c>
      <c r="B305" s="240" t="str">
        <f>TiposLancamentos!B13</f>
        <v>Moradia</v>
      </c>
      <c r="C305" s="3" t="s">
        <v>10426</v>
      </c>
      <c r="D305" s="63"/>
      <c r="E305" s="865">
        <v>14</v>
      </c>
      <c r="F305" s="1027"/>
    </row>
    <row r="306" spans="1:6">
      <c r="A306" s="884">
        <v>44813</v>
      </c>
      <c r="B306" s="240" t="str">
        <f>TiposLancamentos!B17</f>
        <v>GATO</v>
      </c>
      <c r="C306" s="3" t="s">
        <v>6738</v>
      </c>
      <c r="D306" s="63"/>
      <c r="E306" s="865">
        <v>70.47</v>
      </c>
      <c r="F306" s="1027"/>
    </row>
    <row r="307" spans="1:6">
      <c r="A307" s="884">
        <v>44813</v>
      </c>
      <c r="B307" s="240" t="str">
        <f>TiposLancamentos!B38</f>
        <v>Playstation 4</v>
      </c>
      <c r="C307" s="3" t="s">
        <v>10427</v>
      </c>
      <c r="D307" s="63"/>
      <c r="E307" s="865">
        <v>50</v>
      </c>
      <c r="F307" s="1027"/>
    </row>
    <row r="308" spans="1:6">
      <c r="A308" s="884">
        <v>44813</v>
      </c>
      <c r="B308" s="240" t="str">
        <f>TiposLancamentos!B19</f>
        <v>Restaurantes</v>
      </c>
      <c r="C308" s="3" t="s">
        <v>10428</v>
      </c>
      <c r="D308" s="63"/>
      <c r="E308" s="865">
        <v>53.85</v>
      </c>
      <c r="F308" s="1027"/>
    </row>
    <row r="309" spans="1:6">
      <c r="A309" s="884">
        <v>44813</v>
      </c>
      <c r="B309" s="240" t="str">
        <f>TiposLancamentos!B5</f>
        <v>Supermercado</v>
      </c>
      <c r="C309" s="3" t="s">
        <v>10429</v>
      </c>
      <c r="D309" s="63"/>
      <c r="E309" s="865">
        <v>222</v>
      </c>
      <c r="F309" s="1027"/>
    </row>
    <row r="310" spans="1:6">
      <c r="A310" s="884">
        <v>44813</v>
      </c>
      <c r="B310" s="240" t="str">
        <f>TiposLancamentos!B17</f>
        <v>GATO</v>
      </c>
      <c r="C310" s="3" t="s">
        <v>10430</v>
      </c>
      <c r="D310" s="63"/>
      <c r="E310" s="865">
        <v>50</v>
      </c>
      <c r="F310" s="1027"/>
    </row>
    <row r="311" spans="1:6">
      <c r="A311" s="884">
        <v>44813</v>
      </c>
      <c r="B311" s="240" t="str">
        <f>TiposLancamentos!B22</f>
        <v>Combustivel</v>
      </c>
      <c r="C311" s="3" t="s">
        <v>10431</v>
      </c>
      <c r="D311" s="63"/>
      <c r="E311" s="865">
        <v>127.94</v>
      </c>
      <c r="F311" s="1027"/>
    </row>
    <row r="312" spans="1:6">
      <c r="A312" s="884">
        <v>44814</v>
      </c>
      <c r="B312" s="240" t="str">
        <f>TiposLancamentos!B19</f>
        <v>Restaurantes</v>
      </c>
      <c r="C312" s="3" t="s">
        <v>7741</v>
      </c>
      <c r="D312" s="63"/>
      <c r="E312" s="865">
        <v>21.8</v>
      </c>
      <c r="F312" s="1027"/>
    </row>
    <row r="313" spans="1:6">
      <c r="A313" s="884">
        <v>44814</v>
      </c>
      <c r="B313" s="240" t="str">
        <f>TiposLancamentos!B19</f>
        <v>Restaurantes</v>
      </c>
      <c r="C313" s="3" t="s">
        <v>10432</v>
      </c>
      <c r="D313" s="63"/>
      <c r="E313" s="865">
        <v>49.1</v>
      </c>
      <c r="F313" s="1027"/>
    </row>
    <row r="314" spans="1:6">
      <c r="A314" s="884">
        <v>44815</v>
      </c>
      <c r="B314" s="240" t="str">
        <f>TiposLancamentos!B22</f>
        <v>Combustivel</v>
      </c>
      <c r="C314" s="3" t="s">
        <v>10433</v>
      </c>
      <c r="D314" s="63"/>
      <c r="E314" s="865">
        <v>113.97</v>
      </c>
      <c r="F314" s="1027"/>
    </row>
    <row r="315" spans="1:6">
      <c r="A315" s="884">
        <v>44815</v>
      </c>
      <c r="B315" s="240" t="str">
        <f>TiposLancamentos!B72</f>
        <v>Presentes</v>
      </c>
      <c r="C315" s="3" t="s">
        <v>10434</v>
      </c>
      <c r="D315" s="63"/>
      <c r="E315" s="865">
        <v>95.98</v>
      </c>
      <c r="F315" s="1027"/>
    </row>
    <row r="316" spans="1:6">
      <c r="A316" s="884">
        <v>44815</v>
      </c>
      <c r="B316" s="240" t="str">
        <f>TiposLancamentos!B19</f>
        <v>Restaurantes</v>
      </c>
      <c r="C316" s="3" t="s">
        <v>10435</v>
      </c>
      <c r="D316" s="63"/>
      <c r="E316" s="865">
        <v>29.4</v>
      </c>
      <c r="F316" s="1027"/>
    </row>
    <row r="317" spans="1:6">
      <c r="A317" s="884">
        <v>44815</v>
      </c>
      <c r="B317" s="240" t="str">
        <f>TiposLancamentos!B19</f>
        <v>Restaurantes</v>
      </c>
      <c r="C317" s="3" t="s">
        <v>1893</v>
      </c>
      <c r="D317" s="63"/>
      <c r="E317" s="865">
        <v>50.45</v>
      </c>
      <c r="F317" s="1027"/>
    </row>
    <row r="318" spans="1:6">
      <c r="A318" s="884">
        <v>44816</v>
      </c>
      <c r="B318" s="240" t="str">
        <f>B303</f>
        <v>Juros_Corr. Poupança</v>
      </c>
      <c r="C318" s="3" t="s">
        <v>8697</v>
      </c>
      <c r="D318" s="63">
        <v>5.26</v>
      </c>
      <c r="E318" s="865"/>
      <c r="F318" s="1027"/>
    </row>
    <row r="319" spans="1:6">
      <c r="A319" s="884">
        <v>44816</v>
      </c>
      <c r="B319" s="240" t="str">
        <f>TiposLancamentos!B46</f>
        <v>Maçonaria</v>
      </c>
      <c r="C319" s="3" t="s">
        <v>10436</v>
      </c>
      <c r="D319" s="63"/>
      <c r="E319" s="865">
        <v>200</v>
      </c>
      <c r="F319" s="1027"/>
    </row>
    <row r="320" spans="1:6">
      <c r="A320" s="884">
        <v>44816</v>
      </c>
      <c r="B320" s="240" t="str">
        <f>TiposLancamentos!B5</f>
        <v>Supermercado</v>
      </c>
      <c r="C320" s="3" t="s">
        <v>10437</v>
      </c>
      <c r="D320" s="63"/>
      <c r="E320" s="865">
        <v>27.9</v>
      </c>
      <c r="F320" s="1027"/>
    </row>
    <row r="321" spans="1:6">
      <c r="A321" s="884">
        <v>44816</v>
      </c>
      <c r="B321" s="240" t="str">
        <f>TiposLancamentos!B19</f>
        <v>Restaurantes</v>
      </c>
      <c r="C321" s="3" t="s">
        <v>10438</v>
      </c>
      <c r="D321" s="63"/>
      <c r="E321" s="865">
        <v>23.9</v>
      </c>
      <c r="F321" s="1027"/>
    </row>
    <row r="322" spans="1:6">
      <c r="A322" s="884">
        <v>44816</v>
      </c>
      <c r="B322" s="240" t="str">
        <f>TiposLancamentos!B24</f>
        <v>Estacionamentos</v>
      </c>
      <c r="C322" s="3" t="s">
        <v>8753</v>
      </c>
      <c r="D322" s="63"/>
      <c r="E322" s="865">
        <v>10</v>
      </c>
      <c r="F322" s="1027"/>
    </row>
    <row r="323" spans="1:6">
      <c r="A323" s="884">
        <v>44817</v>
      </c>
      <c r="B323" s="240" t="str">
        <f>TiposLancamentos!B19</f>
        <v>Restaurantes</v>
      </c>
      <c r="C323" s="3" t="s">
        <v>10439</v>
      </c>
      <c r="D323" s="63"/>
      <c r="E323" s="865">
        <v>49.13</v>
      </c>
      <c r="F323" s="1027"/>
    </row>
    <row r="324" spans="1:6">
      <c r="A324" s="884">
        <v>44817</v>
      </c>
      <c r="B324" s="240" t="str">
        <f>TiposLancamentos!B24</f>
        <v>Estacionamentos</v>
      </c>
      <c r="C324" s="3" t="s">
        <v>8753</v>
      </c>
      <c r="D324" s="63"/>
      <c r="E324" s="865">
        <v>10</v>
      </c>
      <c r="F324" s="1027"/>
    </row>
    <row r="325" spans="1:6">
      <c r="A325" s="884">
        <v>44817</v>
      </c>
      <c r="B325" s="240" t="str">
        <f>TiposLancamentos!B24</f>
        <v>Estacionamentos</v>
      </c>
      <c r="C325" s="878" t="s">
        <v>1898</v>
      </c>
      <c r="D325" s="63"/>
      <c r="E325" s="865">
        <v>15</v>
      </c>
      <c r="F325" s="1027"/>
    </row>
    <row r="326" spans="1:6">
      <c r="A326" s="884">
        <v>44817</v>
      </c>
      <c r="B326" s="240" t="str">
        <f>TiposLancamentos!B19</f>
        <v>Restaurantes</v>
      </c>
      <c r="C326" s="3" t="s">
        <v>1967</v>
      </c>
      <c r="D326" s="63"/>
      <c r="E326" s="865">
        <v>28.6</v>
      </c>
      <c r="F326" s="1027"/>
    </row>
    <row r="327" spans="1:6">
      <c r="A327" s="884">
        <v>44818</v>
      </c>
      <c r="B327" s="240" t="str">
        <f>TiposLancamentos!B22</f>
        <v>Combustivel</v>
      </c>
      <c r="C327" s="1203" t="s">
        <v>10390</v>
      </c>
      <c r="D327" s="63"/>
      <c r="E327" s="865">
        <v>150</v>
      </c>
      <c r="F327" s="1027"/>
    </row>
    <row r="328" spans="1:6">
      <c r="A328" s="884">
        <v>44818</v>
      </c>
      <c r="B328" s="240" t="str">
        <f>TiposLancamentos!B19</f>
        <v>Restaurantes</v>
      </c>
      <c r="C328" s="3" t="s">
        <v>10440</v>
      </c>
      <c r="D328" s="63"/>
      <c r="E328" s="865">
        <v>27.9</v>
      </c>
      <c r="F328" s="1027"/>
    </row>
    <row r="329" spans="1:6">
      <c r="A329" s="884">
        <v>44818</v>
      </c>
      <c r="B329" s="240" t="str">
        <f>TiposLancamentos!B19</f>
        <v>Restaurantes</v>
      </c>
      <c r="C329" s="3" t="s">
        <v>10441</v>
      </c>
      <c r="D329" s="63"/>
      <c r="E329" s="865">
        <v>19.5</v>
      </c>
      <c r="F329" s="1027"/>
    </row>
    <row r="330" spans="1:6">
      <c r="A330" s="884">
        <v>44818</v>
      </c>
      <c r="B330" s="240" t="str">
        <f>TiposLancamentos!B24</f>
        <v>Estacionamentos</v>
      </c>
      <c r="C330" s="3" t="s">
        <v>8753</v>
      </c>
      <c r="D330" s="63"/>
      <c r="E330" s="865">
        <v>10</v>
      </c>
      <c r="F330" s="1027"/>
    </row>
    <row r="331" spans="1:6">
      <c r="A331" s="884">
        <v>44818</v>
      </c>
      <c r="B331" s="240" t="str">
        <f>TiposLancamentos!B5</f>
        <v>Supermercado</v>
      </c>
      <c r="C331" s="3" t="s">
        <v>10442</v>
      </c>
      <c r="D331" s="63"/>
      <c r="E331" s="865">
        <v>7.24</v>
      </c>
      <c r="F331" s="1027"/>
    </row>
    <row r="332" spans="1:6">
      <c r="A332" s="884">
        <v>44819</v>
      </c>
      <c r="B332" s="240"/>
      <c r="C332" s="3" t="s">
        <v>1868</v>
      </c>
      <c r="D332" s="63">
        <v>0</v>
      </c>
      <c r="E332" s="865">
        <v>0</v>
      </c>
      <c r="F332" s="1027"/>
    </row>
    <row r="333" spans="1:6">
      <c r="A333" s="919">
        <v>44819</v>
      </c>
      <c r="B333" s="830" t="str">
        <f>TiposLancamentos!B35</f>
        <v>Tv à Cabo</v>
      </c>
      <c r="C333" s="915" t="s">
        <v>5834</v>
      </c>
      <c r="D333" s="917"/>
      <c r="E333" s="920">
        <f>F335-(E334+E335)</f>
        <v>147.35000000000002</v>
      </c>
      <c r="F333" s="1290"/>
    </row>
    <row r="334" spans="1:6">
      <c r="A334" s="930">
        <v>44819</v>
      </c>
      <c r="B334" s="825" t="str">
        <f>TiposLancamentos!B3</f>
        <v>Internet</v>
      </c>
      <c r="C334" s="88" t="s">
        <v>5835</v>
      </c>
      <c r="D334" s="828"/>
      <c r="E334" s="931">
        <v>152.54</v>
      </c>
      <c r="F334" s="1043"/>
    </row>
    <row r="335" spans="1:6">
      <c r="A335" s="921">
        <v>44819</v>
      </c>
      <c r="B335" s="833" t="str">
        <f>TiposLancamentos!B2</f>
        <v>Telefonia</v>
      </c>
      <c r="C335" s="916" t="s">
        <v>7210</v>
      </c>
      <c r="D335" s="918"/>
      <c r="E335" s="922">
        <v>6.1</v>
      </c>
      <c r="F335" s="1291">
        <v>305.99</v>
      </c>
    </row>
    <row r="336" spans="1:6">
      <c r="A336" s="884">
        <v>44819</v>
      </c>
      <c r="B336" s="138"/>
      <c r="C336" s="3" t="s">
        <v>1868</v>
      </c>
      <c r="D336" s="197">
        <v>0</v>
      </c>
      <c r="E336" s="857">
        <v>0</v>
      </c>
      <c r="F336" s="1027"/>
    </row>
    <row r="337" spans="1:6">
      <c r="A337" s="884">
        <v>44819</v>
      </c>
      <c r="B337" s="240" t="str">
        <f>B303</f>
        <v>Juros_Corr. Poupança</v>
      </c>
      <c r="C337" s="3" t="s">
        <v>8697</v>
      </c>
      <c r="D337" s="63">
        <v>16.510000000000002</v>
      </c>
      <c r="E337" s="865"/>
      <c r="F337" s="1027"/>
    </row>
    <row r="338" spans="1:6">
      <c r="A338" s="884">
        <v>44819</v>
      </c>
      <c r="B338" s="240" t="str">
        <f>TiposLancamentos!B19</f>
        <v>Restaurantes</v>
      </c>
      <c r="C338" s="3" t="s">
        <v>8281</v>
      </c>
      <c r="D338" s="63"/>
      <c r="E338" s="865">
        <v>91.48</v>
      </c>
      <c r="F338" s="1027"/>
    </row>
    <row r="339" spans="1:6">
      <c r="A339" s="884">
        <v>44819</v>
      </c>
      <c r="B339" s="240" t="str">
        <f>TiposLancamentos!B32</f>
        <v>Clinicas e tratamentos</v>
      </c>
      <c r="C339" s="3" t="s">
        <v>8195</v>
      </c>
      <c r="D339" s="63"/>
      <c r="E339" s="865">
        <v>450</v>
      </c>
      <c r="F339" s="1027"/>
    </row>
    <row r="340" spans="1:6">
      <c r="A340" s="884">
        <v>44819</v>
      </c>
      <c r="B340" s="240" t="str">
        <f>TiposLancamentos!B5</f>
        <v>Supermercado</v>
      </c>
      <c r="C340" s="3" t="s">
        <v>10443</v>
      </c>
      <c r="D340" s="63"/>
      <c r="E340" s="865">
        <v>52.34</v>
      </c>
      <c r="F340" s="1027"/>
    </row>
    <row r="341" spans="1:6">
      <c r="A341" s="884">
        <v>44819</v>
      </c>
      <c r="B341" s="240" t="str">
        <f>TiposLancamentos!B17</f>
        <v>GATO</v>
      </c>
      <c r="C341" s="3" t="s">
        <v>10444</v>
      </c>
      <c r="D341" s="63"/>
      <c r="E341" s="865">
        <v>240</v>
      </c>
      <c r="F341" s="1027"/>
    </row>
    <row r="342" spans="1:6">
      <c r="A342" s="884">
        <v>44819</v>
      </c>
      <c r="B342" s="240" t="str">
        <f>TiposLancamentos!B19</f>
        <v>Restaurantes</v>
      </c>
      <c r="C342" s="3" t="s">
        <v>10445</v>
      </c>
      <c r="D342" s="63"/>
      <c r="E342" s="865">
        <v>74.8</v>
      </c>
      <c r="F342" s="1027"/>
    </row>
    <row r="343" spans="1:6">
      <c r="A343" s="884">
        <v>44819</v>
      </c>
      <c r="B343" s="240" t="str">
        <f>TiposLancamentos!B5</f>
        <v>Supermercado</v>
      </c>
      <c r="C343" s="3" t="s">
        <v>8449</v>
      </c>
      <c r="D343" s="63"/>
      <c r="E343" s="865">
        <v>12.9</v>
      </c>
      <c r="F343" s="1027"/>
    </row>
    <row r="344" spans="1:6">
      <c r="A344" s="884">
        <v>44819</v>
      </c>
      <c r="B344" s="240" t="str">
        <f>B210</f>
        <v>Financiamento Banco</v>
      </c>
      <c r="C344" s="878" t="s">
        <v>10446</v>
      </c>
      <c r="D344" s="63"/>
      <c r="E344" s="865">
        <v>710.8</v>
      </c>
      <c r="F344" s="1027"/>
    </row>
    <row r="345" spans="1:6">
      <c r="A345" s="884">
        <v>44821</v>
      </c>
      <c r="B345" s="240" t="str">
        <f>TiposLancamentos!B19</f>
        <v>Restaurantes</v>
      </c>
      <c r="C345" s="3" t="s">
        <v>10447</v>
      </c>
      <c r="D345" s="63"/>
      <c r="E345" s="865">
        <v>16</v>
      </c>
      <c r="F345" s="1027"/>
    </row>
    <row r="346" spans="1:6">
      <c r="A346" s="884">
        <v>44821</v>
      </c>
      <c r="B346" s="240" t="str">
        <f>TiposLancamentos!B24</f>
        <v>Estacionamentos</v>
      </c>
      <c r="C346" s="3" t="s">
        <v>2014</v>
      </c>
      <c r="D346" s="63"/>
      <c r="E346" s="865">
        <v>13</v>
      </c>
      <c r="F346" s="1027"/>
    </row>
    <row r="347" spans="1:6">
      <c r="A347" s="884">
        <v>44821</v>
      </c>
      <c r="B347" s="240" t="str">
        <f>TiposLancamentos!B19</f>
        <v>Restaurantes</v>
      </c>
      <c r="C347" s="3" t="s">
        <v>10448</v>
      </c>
      <c r="D347" s="63"/>
      <c r="E347" s="865">
        <v>86</v>
      </c>
      <c r="F347" s="1027"/>
    </row>
    <row r="348" spans="1:6">
      <c r="A348" s="884">
        <v>44821</v>
      </c>
      <c r="B348" s="240" t="str">
        <f>TiposLancamentos!B5</f>
        <v>Supermercado</v>
      </c>
      <c r="C348" s="3" t="s">
        <v>1943</v>
      </c>
      <c r="D348" s="63"/>
      <c r="E348" s="865">
        <v>92.47</v>
      </c>
      <c r="F348" s="1027"/>
    </row>
    <row r="349" spans="1:6">
      <c r="A349" s="884">
        <v>44821</v>
      </c>
      <c r="B349" s="240" t="str">
        <f>TiposLancamentos!B16</f>
        <v>Cristiane</v>
      </c>
      <c r="C349" s="3" t="s">
        <v>3785</v>
      </c>
      <c r="D349" s="63"/>
      <c r="E349" s="865">
        <v>24</v>
      </c>
      <c r="F349" s="1027"/>
    </row>
    <row r="350" spans="1:6">
      <c r="A350" s="884">
        <v>44822</v>
      </c>
      <c r="B350" s="240" t="str">
        <f>TiposLancamentos!B19</f>
        <v>Restaurantes</v>
      </c>
      <c r="C350" s="3" t="s">
        <v>8767</v>
      </c>
      <c r="D350" s="63"/>
      <c r="E350" s="865">
        <v>95.4</v>
      </c>
      <c r="F350" s="1027"/>
    </row>
    <row r="351" spans="1:6">
      <c r="A351" s="884">
        <v>44823</v>
      </c>
      <c r="B351" s="240" t="str">
        <f>TiposLancamentos!B98</f>
        <v>Restituições</v>
      </c>
      <c r="C351" s="3" t="s">
        <v>10449</v>
      </c>
      <c r="D351" s="63">
        <v>2107</v>
      </c>
      <c r="E351" s="865"/>
      <c r="F351" s="1027"/>
    </row>
    <row r="352" spans="1:6">
      <c r="A352" s="884">
        <v>44823</v>
      </c>
      <c r="B352" s="240" t="str">
        <f>TiposLancamentos!B19</f>
        <v>Restaurantes</v>
      </c>
      <c r="C352" s="3" t="s">
        <v>10450</v>
      </c>
      <c r="D352" s="63"/>
      <c r="E352" s="865">
        <v>9.5</v>
      </c>
      <c r="F352" s="1027"/>
    </row>
    <row r="353" spans="1:6">
      <c r="A353" s="884">
        <v>44823</v>
      </c>
      <c r="B353" s="240" t="str">
        <f>TiposLancamentos!B19</f>
        <v>Restaurantes</v>
      </c>
      <c r="C353" s="3" t="s">
        <v>10451</v>
      </c>
      <c r="D353" s="63"/>
      <c r="E353" s="865">
        <v>29.3</v>
      </c>
      <c r="F353" s="1027"/>
    </row>
    <row r="354" spans="1:6">
      <c r="A354" s="884">
        <v>44823</v>
      </c>
      <c r="B354" s="240" t="str">
        <f>TiposLancamentos!B34</f>
        <v>Seguros</v>
      </c>
      <c r="C354" s="3" t="s">
        <v>10452</v>
      </c>
      <c r="D354" s="63"/>
      <c r="E354" s="865">
        <v>1991.61</v>
      </c>
      <c r="F354" s="1027"/>
    </row>
    <row r="355" spans="1:6">
      <c r="A355" s="884">
        <v>44823</v>
      </c>
      <c r="B355" s="240" t="str">
        <f>B337</f>
        <v>Juros_Corr. Poupança</v>
      </c>
      <c r="C355" s="3" t="s">
        <v>8697</v>
      </c>
      <c r="D355" s="63">
        <v>11.43</v>
      </c>
      <c r="E355" s="865"/>
      <c r="F355" s="1027"/>
    </row>
    <row r="356" spans="1:6">
      <c r="A356" s="884">
        <v>44823</v>
      </c>
      <c r="B356" s="240" t="str">
        <f>TiposLancamentos!B24</f>
        <v>Estacionamentos</v>
      </c>
      <c r="C356" s="3" t="s">
        <v>8753</v>
      </c>
      <c r="D356" s="63"/>
      <c r="E356" s="865">
        <v>10</v>
      </c>
      <c r="F356" s="1027"/>
    </row>
    <row r="357" spans="1:6">
      <c r="A357" s="884">
        <v>44824</v>
      </c>
      <c r="B357" s="240" t="str">
        <f>TiposLancamentos!B19</f>
        <v>Restaurantes</v>
      </c>
      <c r="C357" s="3" t="s">
        <v>10453</v>
      </c>
      <c r="D357" s="63"/>
      <c r="E357" s="865">
        <v>12.5</v>
      </c>
      <c r="F357" s="1027"/>
    </row>
    <row r="358" spans="1:6">
      <c r="A358" s="919">
        <v>44824</v>
      </c>
      <c r="B358" s="830" t="str">
        <f>TiposLancamentos!B8</f>
        <v>Aluguel</v>
      </c>
      <c r="C358" s="915" t="s">
        <v>10454</v>
      </c>
      <c r="D358" s="917"/>
      <c r="E358" s="920">
        <f>F360-(E359+E360)</f>
        <v>1730.1600000000003</v>
      </c>
      <c r="F358" s="1346"/>
    </row>
    <row r="359" spans="1:6">
      <c r="A359" s="930">
        <v>44824</v>
      </c>
      <c r="B359" s="825" t="str">
        <f>TiposLancamentos!B12</f>
        <v>IPTU</v>
      </c>
      <c r="C359" s="88" t="s">
        <v>10455</v>
      </c>
      <c r="D359" s="828"/>
      <c r="E359" s="931">
        <v>34.5</v>
      </c>
      <c r="F359" s="1043"/>
    </row>
    <row r="360" spans="1:6">
      <c r="A360" s="921">
        <v>44824</v>
      </c>
      <c r="B360" s="833" t="str">
        <f>TiposLancamentos!B9</f>
        <v>Condominio</v>
      </c>
      <c r="C360" s="916" t="s">
        <v>7427</v>
      </c>
      <c r="D360" s="918"/>
      <c r="E360" s="922">
        <v>616.37</v>
      </c>
      <c r="F360" s="1291">
        <v>2381.0300000000002</v>
      </c>
    </row>
    <row r="361" spans="1:6">
      <c r="A361" s="884">
        <v>44824</v>
      </c>
      <c r="B361" s="240" t="str">
        <f>B355</f>
        <v>Juros_Corr. Poupança</v>
      </c>
      <c r="C361" s="3" t="str">
        <f>C355</f>
        <v xml:space="preserve">Juros e correção no periodo </v>
      </c>
      <c r="D361" s="63">
        <v>5.93</v>
      </c>
      <c r="E361" s="865"/>
      <c r="F361" s="1027"/>
    </row>
    <row r="362" spans="1:6">
      <c r="A362" s="769">
        <v>44824</v>
      </c>
      <c r="B362" s="86" t="str">
        <f>TiposLancamentos!B19</f>
        <v>Restaurantes</v>
      </c>
      <c r="C362" s="3" t="s">
        <v>10456</v>
      </c>
      <c r="D362" s="78"/>
      <c r="E362" s="865">
        <v>38.5</v>
      </c>
      <c r="F362" s="1027"/>
    </row>
    <row r="363" spans="1:6">
      <c r="A363" s="769">
        <v>44824</v>
      </c>
      <c r="B363" s="86" t="str">
        <f>TiposLancamentos!B5</f>
        <v>Supermercado</v>
      </c>
      <c r="C363" s="3" t="s">
        <v>10457</v>
      </c>
      <c r="D363" s="78"/>
      <c r="E363" s="865">
        <v>8.99</v>
      </c>
      <c r="F363" s="1027"/>
    </row>
    <row r="364" spans="1:6">
      <c r="A364" s="769">
        <v>44824</v>
      </c>
      <c r="B364" s="240" t="str">
        <f>TiposLancamentos!B24</f>
        <v>Estacionamentos</v>
      </c>
      <c r="C364" s="3" t="s">
        <v>8753</v>
      </c>
      <c r="D364" s="63"/>
      <c r="E364" s="865">
        <v>10</v>
      </c>
      <c r="F364" s="1027"/>
    </row>
    <row r="365" spans="1:6">
      <c r="A365" s="769">
        <v>44824</v>
      </c>
      <c r="B365" s="240" t="str">
        <f>TiposLancamentos!B56</f>
        <v>Farmácia</v>
      </c>
      <c r="C365" s="3" t="s">
        <v>10458</v>
      </c>
      <c r="D365" s="63"/>
      <c r="E365" s="865">
        <v>563.69000000000005</v>
      </c>
      <c r="F365" s="1027"/>
    </row>
    <row r="366" spans="1:6">
      <c r="A366" s="884">
        <v>44825</v>
      </c>
      <c r="B366" s="240" t="str">
        <f>B361</f>
        <v>Juros_Corr. Poupança</v>
      </c>
      <c r="C366" s="3" t="str">
        <f>C361</f>
        <v xml:space="preserve">Juros e correção no periodo </v>
      </c>
      <c r="D366" s="63">
        <v>4.5199999999999996</v>
      </c>
      <c r="E366" s="865"/>
      <c r="F366" s="1027"/>
    </row>
    <row r="367" spans="1:6">
      <c r="A367" s="884">
        <v>44825</v>
      </c>
      <c r="B367" s="240" t="str">
        <f>TiposLancamentos!B6</f>
        <v>Energia Eletrica</v>
      </c>
      <c r="C367" s="3" t="s">
        <v>10459</v>
      </c>
      <c r="D367" s="63"/>
      <c r="E367" s="865">
        <v>290.45999999999998</v>
      </c>
      <c r="F367" s="1027"/>
    </row>
    <row r="368" spans="1:6">
      <c r="A368" s="884">
        <v>44825</v>
      </c>
      <c r="B368" s="240" t="str">
        <f>TiposLancamentos!B19</f>
        <v>Restaurantes</v>
      </c>
      <c r="C368" s="3" t="s">
        <v>10386</v>
      </c>
      <c r="D368" s="63"/>
      <c r="E368" s="865">
        <v>51.76</v>
      </c>
      <c r="F368" s="1027"/>
    </row>
    <row r="369" spans="1:6">
      <c r="A369" s="884">
        <v>44825</v>
      </c>
      <c r="B369" s="240" t="str">
        <f>TiposLancamentos!B19</f>
        <v>Restaurantes</v>
      </c>
      <c r="C369" s="3" t="s">
        <v>2025</v>
      </c>
      <c r="D369" s="63"/>
      <c r="E369" s="865">
        <v>19.5</v>
      </c>
      <c r="F369" s="1027"/>
    </row>
    <row r="370" spans="1:6">
      <c r="A370" s="884">
        <v>44825</v>
      </c>
      <c r="B370" s="240" t="str">
        <f>TiposLancamentos!B24</f>
        <v>Estacionamentos</v>
      </c>
      <c r="C370" s="3" t="s">
        <v>8753</v>
      </c>
      <c r="D370" s="63"/>
      <c r="E370" s="865">
        <v>10</v>
      </c>
      <c r="F370" s="1027"/>
    </row>
    <row r="371" spans="1:6">
      <c r="A371" s="884">
        <v>44826</v>
      </c>
      <c r="B371" s="240" t="str">
        <f>TiposLancamentos!B98</f>
        <v>Restituições</v>
      </c>
      <c r="C371" s="3" t="s">
        <v>10460</v>
      </c>
      <c r="D371" s="63">
        <v>138.52000000000001</v>
      </c>
      <c r="E371" s="865"/>
      <c r="F371" s="1027"/>
    </row>
    <row r="372" spans="1:6">
      <c r="A372" s="884">
        <v>44826</v>
      </c>
      <c r="B372" s="240" t="str">
        <f>TiposLancamentos!B22</f>
        <v>Combustivel</v>
      </c>
      <c r="C372" s="1203" t="s">
        <v>10390</v>
      </c>
      <c r="D372" s="63"/>
      <c r="E372" s="865">
        <v>120</v>
      </c>
      <c r="F372" s="1027"/>
    </row>
    <row r="373" spans="1:6">
      <c r="A373" s="884">
        <v>44826</v>
      </c>
      <c r="B373" s="240" t="str">
        <f>TiposLancamentos!B19</f>
        <v>Restaurantes</v>
      </c>
      <c r="C373" s="3" t="s">
        <v>10461</v>
      </c>
      <c r="D373" s="63"/>
      <c r="E373" s="865">
        <v>38.61</v>
      </c>
      <c r="F373" s="1027"/>
    </row>
    <row r="374" spans="1:6">
      <c r="A374" s="884">
        <v>44826</v>
      </c>
      <c r="B374" s="240" t="str">
        <f>TiposLancamentos!B19</f>
        <v>Restaurantes</v>
      </c>
      <c r="C374" s="3" t="s">
        <v>2025</v>
      </c>
      <c r="D374" s="63"/>
      <c r="E374" s="865">
        <v>6.5</v>
      </c>
      <c r="F374" s="1027"/>
    </row>
    <row r="375" spans="1:6">
      <c r="A375" s="884">
        <v>44826</v>
      </c>
      <c r="B375" s="240" t="str">
        <f>TiposLancamentos!B24</f>
        <v>Estacionamentos</v>
      </c>
      <c r="C375" s="3" t="s">
        <v>8753</v>
      </c>
      <c r="D375" s="63"/>
      <c r="E375" s="865">
        <v>10</v>
      </c>
      <c r="F375" s="1027"/>
    </row>
    <row r="376" spans="1:6">
      <c r="A376" s="884">
        <v>44826</v>
      </c>
      <c r="B376" s="240" t="str">
        <f>TiposLancamentos!B5</f>
        <v>Supermercado</v>
      </c>
      <c r="C376" s="3" t="s">
        <v>7538</v>
      </c>
      <c r="D376" s="63"/>
      <c r="E376" s="865">
        <v>52.69</v>
      </c>
      <c r="F376" s="1027"/>
    </row>
    <row r="377" spans="1:6">
      <c r="A377" s="884">
        <v>44826</v>
      </c>
      <c r="B377" s="240" t="str">
        <f>TiposLancamentos!B19</f>
        <v>Restaurantes</v>
      </c>
      <c r="C377" s="3" t="s">
        <v>10462</v>
      </c>
      <c r="D377" s="63"/>
      <c r="E377" s="865">
        <v>70</v>
      </c>
      <c r="F377" s="1027"/>
    </row>
    <row r="378" spans="1:6">
      <c r="A378" s="884">
        <v>44827</v>
      </c>
      <c r="B378" s="240" t="str">
        <f>TiposLancamentos!B98</f>
        <v>Restituições</v>
      </c>
      <c r="C378" s="3" t="s">
        <v>10463</v>
      </c>
      <c r="D378" s="63">
        <v>79.2</v>
      </c>
      <c r="E378" s="865"/>
      <c r="F378" s="1027"/>
    </row>
    <row r="379" spans="1:6">
      <c r="A379" s="884">
        <v>44827</v>
      </c>
      <c r="B379" s="240" t="str">
        <f>B366</f>
        <v>Juros_Corr. Poupança</v>
      </c>
      <c r="C379" s="3" t="str">
        <f>C366</f>
        <v xml:space="preserve">Juros e correção no periodo </v>
      </c>
      <c r="D379" s="63">
        <v>8.6999999999999993</v>
      </c>
      <c r="E379" s="865"/>
      <c r="F379" s="1027"/>
    </row>
    <row r="380" spans="1:6">
      <c r="A380" s="884">
        <v>44827</v>
      </c>
      <c r="B380" s="240" t="str">
        <f>TiposLancamentos!B13</f>
        <v>Moradia</v>
      </c>
      <c r="C380" s="3" t="s">
        <v>10464</v>
      </c>
      <c r="D380" s="63"/>
      <c r="E380" s="865">
        <v>14</v>
      </c>
      <c r="F380" s="1027"/>
    </row>
    <row r="381" spans="1:6">
      <c r="A381" s="884">
        <v>44827</v>
      </c>
      <c r="B381" s="240" t="str">
        <f>TiposLancamentos!B19</f>
        <v>Restaurantes</v>
      </c>
      <c r="C381" s="3" t="s">
        <v>10465</v>
      </c>
      <c r="D381" s="63"/>
      <c r="E381" s="865">
        <v>73.14</v>
      </c>
      <c r="F381" s="1027"/>
    </row>
    <row r="382" spans="1:6">
      <c r="A382" s="884">
        <v>44827</v>
      </c>
      <c r="B382" s="240" t="str">
        <f>TiposLancamentos!B38</f>
        <v>Playstation 4</v>
      </c>
      <c r="C382" s="3" t="s">
        <v>10466</v>
      </c>
      <c r="D382" s="63"/>
      <c r="E382" s="865">
        <v>615</v>
      </c>
      <c r="F382" s="1027"/>
    </row>
    <row r="383" spans="1:6">
      <c r="A383" s="884">
        <v>44827</v>
      </c>
      <c r="B383" s="240" t="str">
        <f>TiposLancamentos!B37</f>
        <v>Playstation 3</v>
      </c>
      <c r="C383" s="3" t="s">
        <v>10467</v>
      </c>
      <c r="D383" s="63"/>
      <c r="E383" s="865">
        <v>50</v>
      </c>
      <c r="F383" s="1027"/>
    </row>
    <row r="384" spans="1:6">
      <c r="A384" s="884">
        <v>44827</v>
      </c>
      <c r="B384" s="240" t="str">
        <f>TiposLancamentos!B5</f>
        <v>Supermercado</v>
      </c>
      <c r="C384" s="3" t="s">
        <v>1893</v>
      </c>
      <c r="D384" s="63"/>
      <c r="E384" s="865">
        <v>19.440000000000001</v>
      </c>
      <c r="F384" s="1027"/>
    </row>
    <row r="385" spans="1:6">
      <c r="A385" s="884">
        <v>44827</v>
      </c>
      <c r="B385" s="240" t="str">
        <f>TiposLancamentos!B17</f>
        <v>GATO</v>
      </c>
      <c r="C385" s="3" t="s">
        <v>10468</v>
      </c>
      <c r="D385" s="63"/>
      <c r="E385" s="865">
        <v>19.98</v>
      </c>
      <c r="F385" s="1027"/>
    </row>
    <row r="386" spans="1:6">
      <c r="A386" s="884">
        <v>44828</v>
      </c>
      <c r="B386" s="240" t="str">
        <f>TiposLancamentos!B19</f>
        <v>Restaurantes</v>
      </c>
      <c r="C386" s="3" t="s">
        <v>10469</v>
      </c>
      <c r="D386" s="63"/>
      <c r="E386" s="865">
        <v>25.5</v>
      </c>
      <c r="F386" s="1027"/>
    </row>
    <row r="387" spans="1:6">
      <c r="A387" s="884">
        <v>44828</v>
      </c>
      <c r="B387" s="240" t="str">
        <f>TiposLancamentos!B71</f>
        <v>Itens Pessoais</v>
      </c>
      <c r="C387" s="3" t="s">
        <v>8086</v>
      </c>
      <c r="D387" s="63"/>
      <c r="E387" s="865">
        <v>30</v>
      </c>
      <c r="F387" s="1027"/>
    </row>
    <row r="388" spans="1:6">
      <c r="A388" s="884">
        <v>44828</v>
      </c>
      <c r="B388" s="240" t="str">
        <f>TiposLancamentos!B19</f>
        <v>Restaurantes</v>
      </c>
      <c r="C388" s="3" t="s">
        <v>10470</v>
      </c>
      <c r="D388" s="63"/>
      <c r="E388" s="865">
        <v>40</v>
      </c>
      <c r="F388" s="1027"/>
    </row>
    <row r="389" spans="1:6">
      <c r="A389" s="884">
        <v>44828</v>
      </c>
      <c r="B389" s="240" t="str">
        <f>TiposLancamentos!B19</f>
        <v>Restaurantes</v>
      </c>
      <c r="C389" s="3" t="s">
        <v>10471</v>
      </c>
      <c r="D389" s="63"/>
      <c r="E389" s="865">
        <v>84</v>
      </c>
      <c r="F389" s="1027"/>
    </row>
    <row r="390" spans="1:6">
      <c r="A390" s="884">
        <v>44828</v>
      </c>
      <c r="B390" s="240" t="str">
        <f>TiposLancamentos!B19</f>
        <v>Restaurantes</v>
      </c>
      <c r="C390" s="3" t="s">
        <v>8596</v>
      </c>
      <c r="D390" s="63"/>
      <c r="E390" s="865">
        <v>34</v>
      </c>
      <c r="F390" s="1027"/>
    </row>
    <row r="391" spans="1:6">
      <c r="A391" s="884">
        <v>44828</v>
      </c>
      <c r="B391" s="240" t="str">
        <f>TiposLancamentos!B88</f>
        <v>Ford Ecosport XLT</v>
      </c>
      <c r="C391" s="3" t="s">
        <v>10472</v>
      </c>
      <c r="D391" s="63"/>
      <c r="E391" s="865">
        <v>40</v>
      </c>
      <c r="F391" s="1027"/>
    </row>
    <row r="392" spans="1:6">
      <c r="A392" s="884">
        <v>44828</v>
      </c>
      <c r="B392" s="240" t="str">
        <f>TiposLancamentos!B19</f>
        <v>Restaurantes</v>
      </c>
      <c r="C392" s="3" t="s">
        <v>10473</v>
      </c>
      <c r="D392" s="63"/>
      <c r="E392" s="865">
        <v>70</v>
      </c>
      <c r="F392" s="1027"/>
    </row>
    <row r="393" spans="1:6">
      <c r="A393" s="884">
        <v>44829</v>
      </c>
      <c r="B393" s="240" t="str">
        <f>TiposLancamentos!B5</f>
        <v>Supermercado</v>
      </c>
      <c r="C393" s="3" t="s">
        <v>10474</v>
      </c>
      <c r="D393" s="63"/>
      <c r="E393" s="865">
        <v>360.49</v>
      </c>
      <c r="F393" s="1027"/>
    </row>
    <row r="394" spans="1:6">
      <c r="A394" s="884">
        <v>44829</v>
      </c>
      <c r="B394" s="240" t="str">
        <f>B393</f>
        <v>Supermercado</v>
      </c>
      <c r="C394" s="3" t="s">
        <v>1884</v>
      </c>
      <c r="D394" s="63"/>
      <c r="E394" s="865">
        <v>5.98</v>
      </c>
      <c r="F394" s="1027"/>
    </row>
    <row r="395" spans="1:6">
      <c r="A395" s="884">
        <v>44829</v>
      </c>
      <c r="B395" s="240" t="str">
        <f>B393</f>
        <v>Supermercado</v>
      </c>
      <c r="C395" s="3" t="str">
        <f>C394</f>
        <v xml:space="preserve">No mercadinho do predio </v>
      </c>
      <c r="D395" s="63"/>
      <c r="E395" s="865">
        <v>4.9000000000000004</v>
      </c>
      <c r="F395" s="1027"/>
    </row>
    <row r="396" spans="1:6">
      <c r="A396" s="884">
        <v>44830</v>
      </c>
      <c r="B396" s="240" t="str">
        <f>TiposLancamentos!B19</f>
        <v>Restaurantes</v>
      </c>
      <c r="C396" s="3" t="s">
        <v>10475</v>
      </c>
      <c r="D396" s="63"/>
      <c r="E396" s="865">
        <v>50.44</v>
      </c>
      <c r="F396" s="1027"/>
    </row>
    <row r="397" spans="1:6">
      <c r="A397" s="884">
        <v>44830</v>
      </c>
      <c r="B397" s="240" t="str">
        <f>TiposLancamentos!B16</f>
        <v>Cristiane</v>
      </c>
      <c r="C397" s="3" t="s">
        <v>10476</v>
      </c>
      <c r="D397" s="63">
        <v>34.54</v>
      </c>
      <c r="E397" s="865"/>
      <c r="F397" s="1027"/>
    </row>
    <row r="398" spans="1:6">
      <c r="A398" s="884">
        <v>44830</v>
      </c>
      <c r="B398" s="240" t="str">
        <f>TiposLancamentos!B19</f>
        <v>Restaurantes</v>
      </c>
      <c r="C398" s="3" t="s">
        <v>10477</v>
      </c>
      <c r="D398" s="63"/>
      <c r="E398" s="865">
        <v>6.5</v>
      </c>
      <c r="F398" s="1027"/>
    </row>
    <row r="399" spans="1:6">
      <c r="A399" s="884">
        <v>44830</v>
      </c>
      <c r="B399" s="240" t="str">
        <f>TiposLancamentos!B24</f>
        <v>Estacionamentos</v>
      </c>
      <c r="C399" s="3" t="s">
        <v>8753</v>
      </c>
      <c r="D399" s="63"/>
      <c r="E399" s="865">
        <v>10</v>
      </c>
      <c r="F399" s="1027"/>
    </row>
    <row r="400" spans="1:6">
      <c r="A400" s="884">
        <v>44831</v>
      </c>
      <c r="B400" s="240" t="str">
        <f>TiposLancamentos!B19</f>
        <v>Restaurantes</v>
      </c>
      <c r="C400" s="3" t="s">
        <v>7338</v>
      </c>
      <c r="D400" s="63"/>
      <c r="E400" s="865">
        <v>11</v>
      </c>
      <c r="F400" s="1027"/>
    </row>
    <row r="401" spans="1:6">
      <c r="A401" s="884">
        <v>44831</v>
      </c>
      <c r="B401" s="240" t="str">
        <f>TiposLancamentos!B103</f>
        <v>Juros_Corr. Poupança</v>
      </c>
      <c r="C401" s="3" t="s">
        <v>8697</v>
      </c>
      <c r="D401" s="63">
        <v>7.79</v>
      </c>
      <c r="E401" s="865"/>
      <c r="F401" s="1027"/>
    </row>
    <row r="402" spans="1:6">
      <c r="A402" s="884">
        <v>44831</v>
      </c>
      <c r="B402" s="240" t="str">
        <f>TiposLancamentos!B19</f>
        <v>Restaurantes</v>
      </c>
      <c r="C402" s="3" t="s">
        <v>10438</v>
      </c>
      <c r="D402" s="63"/>
      <c r="E402" s="865">
        <v>23.9</v>
      </c>
      <c r="F402" s="1027"/>
    </row>
    <row r="403" spans="1:6">
      <c r="A403" s="884">
        <v>44831</v>
      </c>
      <c r="B403" s="240" t="str">
        <f>TiposLancamentos!B19</f>
        <v>Restaurantes</v>
      </c>
      <c r="C403" s="3" t="s">
        <v>10477</v>
      </c>
      <c r="D403" s="63"/>
      <c r="E403" s="865">
        <v>6.5</v>
      </c>
      <c r="F403" s="1027"/>
    </row>
    <row r="404" spans="1:6">
      <c r="A404" s="884">
        <v>44831</v>
      </c>
      <c r="B404" s="240" t="str">
        <f>TiposLancamentos!B2</f>
        <v>Telefonia</v>
      </c>
      <c r="C404" s="3" t="s">
        <v>10478</v>
      </c>
      <c r="D404" s="63"/>
      <c r="E404" s="865">
        <v>61.99</v>
      </c>
      <c r="F404" s="1027"/>
    </row>
    <row r="405" spans="1:6">
      <c r="A405" s="884">
        <v>44831</v>
      </c>
      <c r="B405" s="240" t="str">
        <f>TiposLancamentos!B24</f>
        <v>Estacionamentos</v>
      </c>
      <c r="C405" s="3" t="s">
        <v>8753</v>
      </c>
      <c r="D405" s="63"/>
      <c r="E405" s="865">
        <v>10</v>
      </c>
      <c r="F405" s="1027"/>
    </row>
    <row r="406" spans="1:6">
      <c r="A406" s="884">
        <v>44831</v>
      </c>
      <c r="B406" s="240" t="str">
        <f>TiposLancamentos!B19</f>
        <v>Restaurantes</v>
      </c>
      <c r="C406" s="3" t="s">
        <v>10479</v>
      </c>
      <c r="D406" s="63"/>
      <c r="E406" s="865">
        <v>15</v>
      </c>
      <c r="F406" s="1027"/>
    </row>
    <row r="407" spans="1:6">
      <c r="A407" s="884">
        <v>44831</v>
      </c>
      <c r="B407" s="240" t="str">
        <f>TiposLancamentos!B24</f>
        <v>Estacionamentos</v>
      </c>
      <c r="C407" s="3" t="s">
        <v>10480</v>
      </c>
      <c r="D407" s="63"/>
      <c r="E407" s="865">
        <v>42.9</v>
      </c>
      <c r="F407" s="1027"/>
    </row>
    <row r="408" spans="1:6">
      <c r="A408" s="884">
        <v>44832</v>
      </c>
      <c r="B408" s="240" t="str">
        <f>B401</f>
        <v>Juros_Corr. Poupança</v>
      </c>
      <c r="C408" s="3" t="str">
        <f>C401</f>
        <v xml:space="preserve">Juros e correção no periodo </v>
      </c>
      <c r="D408" s="63">
        <v>3.68</v>
      </c>
      <c r="E408" s="865"/>
      <c r="F408" s="1027"/>
    </row>
    <row r="409" spans="1:6">
      <c r="A409" s="884">
        <v>44832</v>
      </c>
      <c r="B409" s="240" t="str">
        <f>TiposLancamentos!B5</f>
        <v>Supermercado</v>
      </c>
      <c r="C409" s="3" t="s">
        <v>1884</v>
      </c>
      <c r="D409" s="63"/>
      <c r="E409" s="865">
        <v>11.68</v>
      </c>
      <c r="F409" s="1027"/>
    </row>
    <row r="410" spans="1:6">
      <c r="A410" s="884">
        <v>44833</v>
      </c>
      <c r="B410" s="240" t="str">
        <f>TiposLancamentos!B22</f>
        <v>Combustivel</v>
      </c>
      <c r="C410" s="1203" t="s">
        <v>10390</v>
      </c>
      <c r="D410" s="63"/>
      <c r="E410" s="865">
        <v>120</v>
      </c>
      <c r="F410" s="1027"/>
    </row>
    <row r="411" spans="1:6">
      <c r="A411" s="884">
        <v>44833</v>
      </c>
      <c r="B411" s="240" t="str">
        <f>TiposLancamentos!B19</f>
        <v>Restaurantes</v>
      </c>
      <c r="C411" s="3" t="s">
        <v>10481</v>
      </c>
      <c r="D411" s="63"/>
      <c r="E411" s="865">
        <v>14</v>
      </c>
      <c r="F411" s="1027"/>
    </row>
    <row r="412" spans="1:6">
      <c r="A412" s="884">
        <v>44833</v>
      </c>
      <c r="B412" s="240" t="str">
        <f>TiposLancamentos!B19</f>
        <v>Restaurantes</v>
      </c>
      <c r="C412" s="3" t="s">
        <v>10386</v>
      </c>
      <c r="D412" s="63"/>
      <c r="E412" s="865">
        <v>49.93</v>
      </c>
      <c r="F412" s="1027"/>
    </row>
    <row r="413" spans="1:6">
      <c r="A413" s="884">
        <v>44833</v>
      </c>
      <c r="B413" s="240" t="str">
        <f>TiposLancamentos!B19</f>
        <v>Restaurantes</v>
      </c>
      <c r="C413" s="3" t="s">
        <v>1963</v>
      </c>
      <c r="D413" s="63"/>
      <c r="E413" s="865">
        <v>6.5</v>
      </c>
      <c r="F413" s="1027"/>
    </row>
    <row r="414" spans="1:6">
      <c r="A414" s="884">
        <v>44833</v>
      </c>
      <c r="B414" s="240" t="str">
        <f>B405</f>
        <v>Estacionamentos</v>
      </c>
      <c r="C414" s="3" t="s">
        <v>8753</v>
      </c>
      <c r="D414" s="63"/>
      <c r="E414" s="865">
        <v>10</v>
      </c>
      <c r="F414" s="1027"/>
    </row>
    <row r="415" spans="1:6">
      <c r="A415" s="884">
        <v>44833</v>
      </c>
      <c r="B415" s="240" t="str">
        <f>TiposLancamentos!B5</f>
        <v>Supermercado</v>
      </c>
      <c r="C415" s="3" t="s">
        <v>10482</v>
      </c>
      <c r="D415" s="63"/>
      <c r="E415" s="865">
        <v>40.11</v>
      </c>
      <c r="F415" s="1027"/>
    </row>
    <row r="416" spans="1:6" ht="14.25" thickBot="1">
      <c r="A416" s="884">
        <v>44834</v>
      </c>
      <c r="B416" s="240" t="str">
        <f>TiposLancamentos!B24</f>
        <v>Estacionamentos</v>
      </c>
      <c r="C416" s="3" t="s">
        <v>1898</v>
      </c>
      <c r="D416" s="63"/>
      <c r="E416" s="865">
        <v>15</v>
      </c>
      <c r="F416" s="1027"/>
    </row>
    <row r="417" spans="1:6">
      <c r="A417" s="1714"/>
      <c r="B417" s="1715"/>
      <c r="C417" s="1716" t="s">
        <v>1615</v>
      </c>
      <c r="D417" s="1717"/>
      <c r="E417" s="1718"/>
      <c r="F417" s="1718"/>
    </row>
    <row r="418" spans="1:6">
      <c r="A418" s="884">
        <v>44835</v>
      </c>
      <c r="B418" s="240" t="str">
        <f>TiposLancamentos!B19</f>
        <v>Restaurantes</v>
      </c>
      <c r="C418" s="3" t="s">
        <v>8294</v>
      </c>
      <c r="D418" s="63"/>
      <c r="E418" s="865">
        <v>55</v>
      </c>
      <c r="F418" s="1027"/>
    </row>
    <row r="419" spans="1:6">
      <c r="A419" s="884">
        <v>44835</v>
      </c>
      <c r="B419" s="240" t="str">
        <f>TiposLancamentos!B17</f>
        <v>GATO</v>
      </c>
      <c r="C419" s="3" t="s">
        <v>10483</v>
      </c>
      <c r="D419" s="63"/>
      <c r="E419" s="865">
        <v>27.49</v>
      </c>
      <c r="F419" s="1027"/>
    </row>
    <row r="420" spans="1:6">
      <c r="A420" s="884">
        <v>44835</v>
      </c>
      <c r="B420" s="240" t="str">
        <f>TiposLancamentos!B5</f>
        <v>Supermercado</v>
      </c>
      <c r="C420" s="3" t="s">
        <v>10484</v>
      </c>
      <c r="D420" s="63"/>
      <c r="E420" s="865">
        <v>95</v>
      </c>
      <c r="F420" s="1027"/>
    </row>
    <row r="421" spans="1:6">
      <c r="A421" s="884">
        <v>44835</v>
      </c>
      <c r="B421" s="240" t="str">
        <f>TiposLancamentos!B56</f>
        <v>Farmácia</v>
      </c>
      <c r="C421" s="3" t="s">
        <v>10485</v>
      </c>
      <c r="D421" s="63"/>
      <c r="E421" s="865">
        <v>54.87</v>
      </c>
      <c r="F421" s="1027"/>
    </row>
    <row r="422" spans="1:6">
      <c r="A422" s="884">
        <v>44835</v>
      </c>
      <c r="B422" s="240" t="str">
        <f>TiposLancamentos!B16</f>
        <v>Cristiane</v>
      </c>
      <c r="C422" s="3" t="s">
        <v>10486</v>
      </c>
      <c r="D422" s="63"/>
      <c r="E422" s="865">
        <v>13.2</v>
      </c>
      <c r="F422" s="1027"/>
    </row>
    <row r="423" spans="1:6">
      <c r="A423" s="884">
        <v>44835</v>
      </c>
      <c r="B423" s="240" t="str">
        <f>TiposLancamentos!B19</f>
        <v>Restaurantes</v>
      </c>
      <c r="C423" s="3" t="s">
        <v>10487</v>
      </c>
      <c r="D423" s="63"/>
      <c r="E423" s="865">
        <v>89.8</v>
      </c>
      <c r="F423" s="1027"/>
    </row>
    <row r="424" spans="1:6">
      <c r="A424" s="884">
        <v>44836</v>
      </c>
      <c r="B424" s="240" t="str">
        <f>TiposLancamentos!B19</f>
        <v>Restaurantes</v>
      </c>
      <c r="C424" s="3" t="s">
        <v>10488</v>
      </c>
      <c r="D424" s="63"/>
      <c r="E424" s="865">
        <v>38.5</v>
      </c>
      <c r="F424" s="1027"/>
    </row>
    <row r="425" spans="1:6">
      <c r="A425" s="884">
        <v>44836</v>
      </c>
      <c r="B425" s="240" t="str">
        <f>TiposLancamentos!B5</f>
        <v>Supermercado</v>
      </c>
      <c r="C425" s="3" t="s">
        <v>10489</v>
      </c>
      <c r="D425" s="63"/>
      <c r="E425" s="865">
        <v>122.48</v>
      </c>
      <c r="F425" s="1027"/>
    </row>
    <row r="426" spans="1:6">
      <c r="A426" s="884">
        <v>44836</v>
      </c>
      <c r="B426" s="240" t="str">
        <f>TiposLancamentos!B5</f>
        <v>Supermercado</v>
      </c>
      <c r="C426" s="3" t="s">
        <v>1884</v>
      </c>
      <c r="D426" s="63"/>
      <c r="E426" s="865">
        <v>2.99</v>
      </c>
      <c r="F426" s="1027"/>
    </row>
    <row r="427" spans="1:6">
      <c r="A427" s="884">
        <v>44836</v>
      </c>
      <c r="B427" s="240" t="str">
        <f>B408</f>
        <v>Juros_Corr. Poupança</v>
      </c>
      <c r="C427" s="3" t="str">
        <f>C408</f>
        <v xml:space="preserve">Juros e correção no periodo </v>
      </c>
      <c r="D427" s="63">
        <v>10.36</v>
      </c>
      <c r="E427" s="865"/>
      <c r="F427" s="1027"/>
    </row>
    <row r="428" spans="1:6">
      <c r="A428" s="884">
        <v>44836</v>
      </c>
      <c r="B428" s="240" t="str">
        <f>TiposLancamentos!B105</f>
        <v>Transf. Bco</v>
      </c>
      <c r="C428" s="3" t="s">
        <v>10490</v>
      </c>
      <c r="D428" s="63">
        <v>7353.99</v>
      </c>
      <c r="E428" s="865"/>
      <c r="F428" s="1027"/>
    </row>
    <row r="429" spans="1:6">
      <c r="A429" s="884">
        <v>44837</v>
      </c>
      <c r="B429" s="240" t="str">
        <f>TiposLancamentos!B15</f>
        <v>Cartões de Crédito</v>
      </c>
      <c r="C429" s="3" t="s">
        <v>7781</v>
      </c>
      <c r="D429" s="63"/>
      <c r="E429" s="865">
        <v>1361.97</v>
      </c>
      <c r="F429" s="1027"/>
    </row>
    <row r="430" spans="1:6">
      <c r="A430" s="884">
        <v>44837</v>
      </c>
      <c r="B430" s="240" t="str">
        <f>TiposLancamentos!B15</f>
        <v>Cartões de Crédito</v>
      </c>
      <c r="C430" s="3" t="s">
        <v>8016</v>
      </c>
      <c r="D430" s="63"/>
      <c r="E430" s="865">
        <v>114.88</v>
      </c>
      <c r="F430" s="1027"/>
    </row>
    <row r="431" spans="1:6">
      <c r="A431" s="884">
        <v>44837</v>
      </c>
      <c r="B431" s="240" t="str">
        <f>TiposLancamentos!B15</f>
        <v>Cartões de Crédito</v>
      </c>
      <c r="C431" s="3" t="s">
        <v>8252</v>
      </c>
      <c r="D431" s="63"/>
      <c r="E431" s="865">
        <v>197.85</v>
      </c>
      <c r="F431" s="1027"/>
    </row>
    <row r="432" spans="1:6">
      <c r="A432" s="884">
        <v>44837</v>
      </c>
      <c r="B432" s="240" t="str">
        <f>TiposLancamentos!B15</f>
        <v>Cartões de Crédito</v>
      </c>
      <c r="C432" s="3" t="s">
        <v>8677</v>
      </c>
      <c r="D432" s="63"/>
      <c r="E432" s="865">
        <v>0</v>
      </c>
      <c r="F432" s="1027"/>
    </row>
    <row r="433" spans="1:6">
      <c r="A433" s="884">
        <v>44837</v>
      </c>
      <c r="B433" s="240" t="str">
        <f>TiposLancamentos!B14</f>
        <v>Gás de cozinha</v>
      </c>
      <c r="C433" s="3" t="s">
        <v>10491</v>
      </c>
      <c r="D433" s="63"/>
      <c r="E433" s="865">
        <v>64.349999999999994</v>
      </c>
      <c r="F433" s="1027"/>
    </row>
    <row r="434" spans="1:6">
      <c r="A434" s="884">
        <v>44837</v>
      </c>
      <c r="B434" s="240" t="str">
        <f>TiposLancamentos!B24</f>
        <v>Estacionamentos</v>
      </c>
      <c r="C434" s="3" t="s">
        <v>8753</v>
      </c>
      <c r="D434" s="63"/>
      <c r="E434" s="865">
        <v>10</v>
      </c>
      <c r="F434" s="1027"/>
    </row>
    <row r="435" spans="1:6">
      <c r="A435" s="884">
        <v>44838</v>
      </c>
      <c r="B435" s="240" t="str">
        <f>TiposLancamentos!B24</f>
        <v>Estacionamentos</v>
      </c>
      <c r="C435" s="3" t="s">
        <v>8753</v>
      </c>
      <c r="D435" s="63"/>
      <c r="E435" s="865">
        <v>10</v>
      </c>
      <c r="F435" s="1027"/>
    </row>
    <row r="436" spans="1:6">
      <c r="A436" s="884">
        <v>44838</v>
      </c>
      <c r="B436" s="240" t="str">
        <f>TiposLancamentos!B24</f>
        <v>Estacionamentos</v>
      </c>
      <c r="C436" s="3" t="s">
        <v>1898</v>
      </c>
      <c r="D436" s="63"/>
      <c r="E436" s="865">
        <v>15</v>
      </c>
      <c r="F436" s="1027"/>
    </row>
    <row r="437" spans="1:6">
      <c r="A437" s="884">
        <v>44838</v>
      </c>
      <c r="B437" s="240" t="str">
        <f>TiposLancamentos!B19</f>
        <v>Restaurantes</v>
      </c>
      <c r="C437" s="3" t="s">
        <v>10492</v>
      </c>
      <c r="D437" s="63"/>
      <c r="E437" s="865">
        <v>18.7</v>
      </c>
      <c r="F437" s="1027"/>
    </row>
    <row r="438" spans="1:6">
      <c r="A438" s="884">
        <v>44838</v>
      </c>
      <c r="B438" s="240" t="str">
        <f>TiposLancamentos!B19</f>
        <v>Restaurantes</v>
      </c>
      <c r="C438" s="3" t="s">
        <v>10493</v>
      </c>
      <c r="D438" s="63"/>
      <c r="E438" s="865">
        <v>42.9</v>
      </c>
      <c r="F438" s="1027"/>
    </row>
    <row r="439" spans="1:6">
      <c r="A439" s="884">
        <v>44839</v>
      </c>
      <c r="B439" s="240" t="str">
        <f>TiposLancamentos!B103</f>
        <v>Juros_Corr. Poupança</v>
      </c>
      <c r="C439" s="3" t="str">
        <f>C408</f>
        <v xml:space="preserve">Juros e correção no periodo </v>
      </c>
      <c r="D439" s="63">
        <v>10.17</v>
      </c>
      <c r="E439" s="865"/>
      <c r="F439" s="1027"/>
    </row>
    <row r="440" spans="1:6">
      <c r="A440" s="884">
        <v>44839</v>
      </c>
      <c r="B440" s="240" t="str">
        <f>TiposLancamentos!B22</f>
        <v>Combustivel</v>
      </c>
      <c r="C440" s="1203" t="s">
        <v>10390</v>
      </c>
      <c r="D440" s="63"/>
      <c r="E440" s="865">
        <v>120</v>
      </c>
      <c r="F440" s="1027"/>
    </row>
    <row r="441" spans="1:6">
      <c r="A441" s="884">
        <v>44839</v>
      </c>
      <c r="B441" s="240" t="str">
        <f>TiposLancamentos!B24</f>
        <v>Estacionamentos</v>
      </c>
      <c r="C441" s="3" t="s">
        <v>8753</v>
      </c>
      <c r="D441" s="63"/>
      <c r="E441" s="865">
        <v>10</v>
      </c>
      <c r="F441" s="1027"/>
    </row>
    <row r="442" spans="1:6">
      <c r="A442" s="884">
        <v>44841</v>
      </c>
      <c r="B442" s="240" t="str">
        <f>TiposLancamentos!B46</f>
        <v>Maçonaria</v>
      </c>
      <c r="C442" s="3" t="s">
        <v>10494</v>
      </c>
      <c r="D442" s="63"/>
      <c r="E442" s="865">
        <v>108</v>
      </c>
      <c r="F442" s="1027"/>
    </row>
    <row r="443" spans="1:6">
      <c r="A443" s="884">
        <v>44841</v>
      </c>
      <c r="B443" s="240" t="str">
        <f>TiposLancamentos!B13</f>
        <v>Moradia</v>
      </c>
      <c r="C443" s="3" t="s">
        <v>2703</v>
      </c>
      <c r="D443" s="63"/>
      <c r="E443" s="865">
        <v>14</v>
      </c>
      <c r="F443" s="1027"/>
    </row>
    <row r="444" spans="1:6">
      <c r="A444" s="884">
        <v>44841</v>
      </c>
      <c r="B444" s="240" t="str">
        <f>TiposLancamentos!B19</f>
        <v>Restaurantes</v>
      </c>
      <c r="C444" s="3" t="s">
        <v>8281</v>
      </c>
      <c r="D444" s="63"/>
      <c r="E444" s="865">
        <v>90.82</v>
      </c>
      <c r="F444" s="1027"/>
    </row>
    <row r="445" spans="1:6">
      <c r="A445" s="884">
        <v>44841</v>
      </c>
      <c r="B445" s="240" t="str">
        <f>TiposLancamentos!B37</f>
        <v>Playstation 3</v>
      </c>
      <c r="C445" s="3" t="s">
        <v>10495</v>
      </c>
      <c r="D445" s="63"/>
      <c r="E445" s="865">
        <v>440</v>
      </c>
      <c r="F445" s="1027"/>
    </row>
    <row r="446" spans="1:6">
      <c r="A446" s="884">
        <v>44841</v>
      </c>
      <c r="B446" s="240" t="str">
        <f>TiposLancamentos!B19</f>
        <v>Restaurantes</v>
      </c>
      <c r="C446" s="3" t="s">
        <v>10496</v>
      </c>
      <c r="D446" s="63"/>
      <c r="E446" s="865">
        <v>107.39</v>
      </c>
      <c r="F446" s="1027"/>
    </row>
    <row r="447" spans="1:6">
      <c r="A447" s="884">
        <v>44841</v>
      </c>
      <c r="B447" s="240" t="str">
        <f>TiposLancamentos!B103</f>
        <v>Juros_Corr. Poupança</v>
      </c>
      <c r="C447" s="3" t="str">
        <f>C439</f>
        <v xml:space="preserve">Juros e correção no periodo </v>
      </c>
      <c r="D447" s="63">
        <v>6.79</v>
      </c>
      <c r="E447" s="865"/>
      <c r="F447" s="1027"/>
    </row>
    <row r="448" spans="1:6">
      <c r="A448" s="884">
        <v>44842</v>
      </c>
      <c r="B448" s="240" t="str">
        <f>TiposLancamentos!B13</f>
        <v>Moradia</v>
      </c>
      <c r="C448" s="3" t="s">
        <v>10497</v>
      </c>
      <c r="D448" s="63"/>
      <c r="E448" s="865">
        <v>64.97</v>
      </c>
      <c r="F448" s="1027"/>
    </row>
    <row r="449" spans="1:6">
      <c r="A449" s="884">
        <v>44842</v>
      </c>
      <c r="B449" s="240" t="str">
        <f>TiposLancamentos!B19</f>
        <v>Restaurantes</v>
      </c>
      <c r="C449" s="3" t="s">
        <v>10498</v>
      </c>
      <c r="D449" s="63"/>
      <c r="E449" s="865">
        <v>186.34</v>
      </c>
      <c r="F449" s="1027"/>
    </row>
    <row r="450" spans="1:6">
      <c r="A450" s="884">
        <v>44842</v>
      </c>
      <c r="B450" s="240" t="str">
        <f>TiposLancamentos!B16</f>
        <v>Cristiane</v>
      </c>
      <c r="C450" s="3" t="s">
        <v>10499</v>
      </c>
      <c r="D450" s="63"/>
      <c r="E450" s="865">
        <v>44.99</v>
      </c>
      <c r="F450" s="1027"/>
    </row>
    <row r="451" spans="1:6">
      <c r="A451" s="884">
        <v>44842</v>
      </c>
      <c r="B451" s="240" t="str">
        <f>TiposLancamentos!B37</f>
        <v>Playstation 3</v>
      </c>
      <c r="C451" s="3" t="s">
        <v>10500</v>
      </c>
      <c r="D451" s="63"/>
      <c r="E451" s="865">
        <v>155.54</v>
      </c>
      <c r="F451" s="1027"/>
    </row>
    <row r="452" spans="1:6">
      <c r="A452" s="884">
        <v>44842</v>
      </c>
      <c r="B452" s="240" t="str">
        <f>TiposLancamentos!B5</f>
        <v>Supermercado</v>
      </c>
      <c r="C452" s="3" t="s">
        <v>1884</v>
      </c>
      <c r="D452" s="63"/>
      <c r="E452" s="865">
        <v>39.15</v>
      </c>
      <c r="F452" s="1027"/>
    </row>
    <row r="453" spans="1:6">
      <c r="A453" s="884">
        <v>44843</v>
      </c>
      <c r="B453" s="240" t="str">
        <f>TiposLancamentos!B5</f>
        <v>Supermercado</v>
      </c>
      <c r="C453" s="3" t="s">
        <v>10501</v>
      </c>
      <c r="D453" s="63"/>
      <c r="E453" s="865">
        <v>271.38</v>
      </c>
      <c r="F453" s="1027"/>
    </row>
    <row r="454" spans="1:6">
      <c r="A454" s="884">
        <v>44844</v>
      </c>
      <c r="B454" s="240" t="str">
        <f>TiposLancamentos!B46</f>
        <v>Maçonaria</v>
      </c>
      <c r="C454" s="3" t="s">
        <v>10502</v>
      </c>
      <c r="D454" s="63"/>
      <c r="E454" s="865">
        <v>200</v>
      </c>
      <c r="F454" s="1027"/>
    </row>
    <row r="455" spans="1:6">
      <c r="A455" s="884">
        <v>44844</v>
      </c>
      <c r="B455" s="240" t="str">
        <f>TiposLancamentos!B24</f>
        <v>Estacionamentos</v>
      </c>
      <c r="C455" s="3" t="s">
        <v>8753</v>
      </c>
      <c r="D455" s="63"/>
      <c r="E455" s="865">
        <v>10</v>
      </c>
      <c r="F455" s="1027"/>
    </row>
    <row r="456" spans="1:6">
      <c r="A456" s="884">
        <v>44845</v>
      </c>
      <c r="B456" s="240" t="str">
        <f>TiposLancamentos!B24</f>
        <v>Estacionamentos</v>
      </c>
      <c r="C456" s="3" t="s">
        <v>8753</v>
      </c>
      <c r="D456" s="63"/>
      <c r="E456" s="865">
        <v>10</v>
      </c>
      <c r="F456" s="1027"/>
    </row>
    <row r="457" spans="1:6">
      <c r="A457" s="884">
        <v>44845</v>
      </c>
      <c r="B457" s="240" t="str">
        <f>TiposLancamentos!B24</f>
        <v>Estacionamentos</v>
      </c>
      <c r="C457" s="3" t="s">
        <v>1898</v>
      </c>
      <c r="D457" s="63"/>
      <c r="E457" s="865">
        <v>15</v>
      </c>
      <c r="F457" s="1027"/>
    </row>
    <row r="458" spans="1:6">
      <c r="A458" s="884">
        <v>44845</v>
      </c>
      <c r="B458" s="240" t="str">
        <f>B438</f>
        <v>Restaurantes</v>
      </c>
      <c r="C458" s="3" t="s">
        <v>10493</v>
      </c>
      <c r="D458" s="63"/>
      <c r="E458" s="865">
        <v>42.9</v>
      </c>
      <c r="F458" s="1027"/>
    </row>
    <row r="459" spans="1:6">
      <c r="A459" s="884">
        <v>44846</v>
      </c>
      <c r="B459" s="240" t="str">
        <f>TiposLancamentos!B19</f>
        <v>Restaurantes</v>
      </c>
      <c r="C459" s="3" t="s">
        <v>10503</v>
      </c>
      <c r="D459" s="63"/>
      <c r="E459" s="865">
        <v>212.3</v>
      </c>
      <c r="F459" s="1027"/>
    </row>
    <row r="460" spans="1:6">
      <c r="A460" s="884">
        <v>44846</v>
      </c>
      <c r="B460" s="240" t="str">
        <f>TiposLancamentos!B19</f>
        <v>Restaurantes</v>
      </c>
      <c r="C460" s="3" t="s">
        <v>8192</v>
      </c>
      <c r="D460" s="63"/>
      <c r="E460" s="865">
        <v>94.7</v>
      </c>
      <c r="F460" s="1027"/>
    </row>
    <row r="461" spans="1:6">
      <c r="A461" s="884">
        <v>44847</v>
      </c>
      <c r="B461" s="240" t="str">
        <f>TiposLancamentos!B22</f>
        <v>Combustivel</v>
      </c>
      <c r="C461" s="1203" t="s">
        <v>10390</v>
      </c>
      <c r="D461" s="63"/>
      <c r="E461" s="865">
        <v>120</v>
      </c>
      <c r="F461" s="1027"/>
    </row>
    <row r="462" spans="1:6">
      <c r="A462" s="884">
        <v>44847</v>
      </c>
      <c r="B462" s="240" t="str">
        <f>TiposLancamentos!B56</f>
        <v>Farmácia</v>
      </c>
      <c r="C462" s="3" t="s">
        <v>10504</v>
      </c>
      <c r="D462" s="63"/>
      <c r="E462" s="865">
        <v>34.54</v>
      </c>
      <c r="F462" s="1027"/>
    </row>
    <row r="463" spans="1:6">
      <c r="A463" s="884">
        <v>44847</v>
      </c>
      <c r="B463" s="240" t="str">
        <f>TiposLancamentos!B24</f>
        <v>Estacionamentos</v>
      </c>
      <c r="C463" s="3" t="s">
        <v>8753</v>
      </c>
      <c r="D463" s="63"/>
      <c r="E463" s="865">
        <v>10</v>
      </c>
      <c r="F463" s="1027"/>
    </row>
    <row r="464" spans="1:6">
      <c r="A464" s="884">
        <v>44848</v>
      </c>
      <c r="B464" s="240" t="str">
        <f>TiposLancamentos!B24</f>
        <v>Estacionamentos</v>
      </c>
      <c r="C464" s="3" t="s">
        <v>8753</v>
      </c>
      <c r="D464" s="63"/>
      <c r="E464" s="865">
        <v>10</v>
      </c>
      <c r="F464" s="1027"/>
    </row>
    <row r="465" spans="1:6">
      <c r="A465" s="884">
        <v>44849</v>
      </c>
      <c r="B465" s="240" t="str">
        <f>TiposLancamentos!B19</f>
        <v>Restaurantes</v>
      </c>
      <c r="C465" s="3" t="s">
        <v>10505</v>
      </c>
      <c r="D465" s="63"/>
      <c r="E465" s="865">
        <v>53</v>
      </c>
      <c r="F465" s="1027"/>
    </row>
    <row r="466" spans="1:6">
      <c r="A466" s="884">
        <v>44849</v>
      </c>
      <c r="B466" s="240" t="str">
        <f>TiposLancamentos!B5</f>
        <v>Supermercado</v>
      </c>
      <c r="C466" s="3" t="s">
        <v>10506</v>
      </c>
      <c r="D466" s="63"/>
      <c r="E466" s="865">
        <v>146.34</v>
      </c>
      <c r="F466" s="1027"/>
    </row>
    <row r="467" spans="1:6">
      <c r="A467" s="884">
        <v>44850</v>
      </c>
      <c r="B467" s="240" t="str">
        <f>TiposLancamentos!B19</f>
        <v>Restaurantes</v>
      </c>
      <c r="C467" s="3" t="s">
        <v>10507</v>
      </c>
      <c r="D467" s="63"/>
      <c r="E467" s="865">
        <v>282.58999999999997</v>
      </c>
      <c r="F467" s="1027"/>
    </row>
    <row r="468" spans="1:6">
      <c r="A468" s="884">
        <v>44850</v>
      </c>
      <c r="B468" s="240" t="str">
        <f>TiposLancamentos!B70</f>
        <v>Vestuário</v>
      </c>
      <c r="C468" s="3" t="s">
        <v>10508</v>
      </c>
      <c r="D468" s="63"/>
      <c r="E468" s="865">
        <v>1417.28</v>
      </c>
      <c r="F468" s="1027"/>
    </row>
    <row r="469" spans="1:6">
      <c r="A469" s="884">
        <v>44850</v>
      </c>
      <c r="B469" s="240" t="str">
        <f>TiposLancamentos!B105</f>
        <v>Transf. Bco</v>
      </c>
      <c r="C469" s="3" t="s">
        <v>10509</v>
      </c>
      <c r="D469" s="63"/>
      <c r="E469" s="865">
        <v>230.31</v>
      </c>
      <c r="F469" s="1027"/>
    </row>
    <row r="470" spans="1:6">
      <c r="A470" s="884">
        <v>44851</v>
      </c>
      <c r="B470" s="240"/>
      <c r="C470" s="3" t="s">
        <v>1868</v>
      </c>
      <c r="D470" s="63">
        <v>0</v>
      </c>
      <c r="E470" s="865">
        <v>0</v>
      </c>
      <c r="F470" s="1027"/>
    </row>
    <row r="471" spans="1:6">
      <c r="A471" s="919">
        <v>44851</v>
      </c>
      <c r="B471" s="830" t="str">
        <f>TiposLancamentos!B35</f>
        <v>Tv à Cabo</v>
      </c>
      <c r="C471" s="915" t="s">
        <v>5834</v>
      </c>
      <c r="D471" s="917"/>
      <c r="E471" s="920">
        <f>F473-(E472+E473)</f>
        <v>147.35000000000002</v>
      </c>
      <c r="F471" s="1290"/>
    </row>
    <row r="472" spans="1:6">
      <c r="A472" s="930">
        <v>44851</v>
      </c>
      <c r="B472" s="825" t="str">
        <f>TiposLancamentos!B3</f>
        <v>Internet</v>
      </c>
      <c r="C472" s="88" t="s">
        <v>5835</v>
      </c>
      <c r="D472" s="828"/>
      <c r="E472" s="931">
        <v>127.95</v>
      </c>
      <c r="F472" s="1043"/>
    </row>
    <row r="473" spans="1:6">
      <c r="A473" s="921">
        <v>44851</v>
      </c>
      <c r="B473" s="833" t="str">
        <f>TiposLancamentos!B2</f>
        <v>Telefonia</v>
      </c>
      <c r="C473" s="916" t="s">
        <v>7210</v>
      </c>
      <c r="D473" s="918"/>
      <c r="E473" s="922">
        <v>0</v>
      </c>
      <c r="F473" s="1291">
        <v>275.3</v>
      </c>
    </row>
    <row r="474" spans="1:6">
      <c r="A474" s="884">
        <v>44851</v>
      </c>
      <c r="B474" s="240"/>
      <c r="C474" s="3" t="s">
        <v>1868</v>
      </c>
      <c r="D474" s="63">
        <v>0</v>
      </c>
      <c r="E474" s="865">
        <v>0</v>
      </c>
      <c r="F474" s="1027"/>
    </row>
    <row r="475" spans="1:6">
      <c r="A475" s="884">
        <v>44851</v>
      </c>
      <c r="B475" s="240" t="str">
        <f>TiposLancamentos!B2</f>
        <v>Telefonia</v>
      </c>
      <c r="C475" s="3" t="s">
        <v>10510</v>
      </c>
      <c r="D475" s="63"/>
      <c r="E475" s="865">
        <v>59.72</v>
      </c>
      <c r="F475" s="1027"/>
    </row>
    <row r="476" spans="1:6">
      <c r="A476" s="884">
        <v>44851</v>
      </c>
      <c r="B476" s="240" t="str">
        <f>TiposLancamentos!B103</f>
        <v>Juros_Corr. Poupança</v>
      </c>
      <c r="C476" s="3" t="str">
        <f>C447</f>
        <v xml:space="preserve">Juros e correção no periodo </v>
      </c>
      <c r="D476" s="63">
        <v>13.59</v>
      </c>
      <c r="E476" s="865"/>
      <c r="F476" s="1027"/>
    </row>
    <row r="477" spans="1:6">
      <c r="A477" s="884">
        <v>44852</v>
      </c>
      <c r="B477" s="240" t="str">
        <f>B476</f>
        <v>Juros_Corr. Poupança</v>
      </c>
      <c r="C477" s="3" t="str">
        <f>C476</f>
        <v xml:space="preserve">Juros e correção no periodo </v>
      </c>
      <c r="D477" s="63">
        <v>3.38</v>
      </c>
      <c r="E477" s="865"/>
      <c r="F477" s="1027"/>
    </row>
    <row r="478" spans="1:6">
      <c r="A478" s="884">
        <v>44851</v>
      </c>
      <c r="B478" s="240" t="str">
        <f>TiposLancamentos!B24</f>
        <v>Estacionamentos</v>
      </c>
      <c r="C478" s="3" t="s">
        <v>8753</v>
      </c>
      <c r="D478" s="63"/>
      <c r="E478" s="865">
        <v>10</v>
      </c>
      <c r="F478" s="1027"/>
    </row>
    <row r="479" spans="1:6">
      <c r="A479" s="884">
        <v>44851</v>
      </c>
      <c r="B479" s="240" t="str">
        <f>TiposLancamentos!B79</f>
        <v>Financiamento Banco</v>
      </c>
      <c r="C479" s="878" t="s">
        <v>10511</v>
      </c>
      <c r="D479" s="63"/>
      <c r="E479" s="865">
        <v>710.54</v>
      </c>
      <c r="F479" s="1027"/>
    </row>
    <row r="480" spans="1:6">
      <c r="A480" s="884">
        <v>44852</v>
      </c>
      <c r="B480" s="240" t="str">
        <f>TiposLancamentos!B19</f>
        <v>Restaurantes</v>
      </c>
      <c r="C480" s="3" t="s">
        <v>10512</v>
      </c>
      <c r="D480" s="63"/>
      <c r="E480" s="865">
        <v>19.3</v>
      </c>
      <c r="F480" s="1027"/>
    </row>
    <row r="481" spans="1:6">
      <c r="A481" s="884">
        <v>44852</v>
      </c>
      <c r="B481" s="240" t="str">
        <f>TiposLancamentos!B56</f>
        <v>Farmácia</v>
      </c>
      <c r="C481" s="3" t="s">
        <v>10513</v>
      </c>
      <c r="D481" s="63"/>
      <c r="E481" s="865">
        <v>34.340000000000003</v>
      </c>
      <c r="F481" s="1027"/>
    </row>
    <row r="482" spans="1:6">
      <c r="A482" s="884">
        <v>44852</v>
      </c>
      <c r="B482" s="240" t="str">
        <f>TiposLancamentos!B24</f>
        <v>Estacionamentos</v>
      </c>
      <c r="C482" s="3" t="s">
        <v>8753</v>
      </c>
      <c r="D482" s="63"/>
      <c r="E482" s="865">
        <v>10</v>
      </c>
      <c r="F482" s="1027"/>
    </row>
    <row r="483" spans="1:6">
      <c r="A483" s="884">
        <v>44852</v>
      </c>
      <c r="B483" s="240" t="str">
        <f>TiposLancamentos!B24</f>
        <v>Estacionamentos</v>
      </c>
      <c r="C483" s="3" t="s">
        <v>1898</v>
      </c>
      <c r="D483" s="63"/>
      <c r="E483" s="865">
        <v>15</v>
      </c>
      <c r="F483" s="1027"/>
    </row>
    <row r="484" spans="1:6">
      <c r="A484" s="884">
        <v>44852</v>
      </c>
      <c r="B484" s="240" t="str">
        <f>TiposLancamentos!B19</f>
        <v>Restaurantes</v>
      </c>
      <c r="C484" s="3" t="s">
        <v>1967</v>
      </c>
      <c r="D484" s="63"/>
      <c r="E484" s="865">
        <v>18.7</v>
      </c>
      <c r="F484" s="1027"/>
    </row>
    <row r="485" spans="1:6">
      <c r="A485" s="884">
        <v>44853</v>
      </c>
      <c r="B485" s="240" t="str">
        <f>TiposLancamentos!B22</f>
        <v>Combustivel</v>
      </c>
      <c r="C485" s="1203" t="s">
        <v>10390</v>
      </c>
      <c r="D485" s="63"/>
      <c r="E485" s="865">
        <v>150</v>
      </c>
      <c r="F485" s="1027"/>
    </row>
    <row r="486" spans="1:6">
      <c r="A486" s="884">
        <v>44853</v>
      </c>
      <c r="B486" s="240" t="str">
        <f>B482</f>
        <v>Estacionamentos</v>
      </c>
      <c r="C486" s="3" t="s">
        <v>8753</v>
      </c>
      <c r="D486" s="63"/>
      <c r="E486" s="865">
        <v>10</v>
      </c>
      <c r="F486" s="1027"/>
    </row>
    <row r="487" spans="1:6">
      <c r="A487" s="884">
        <v>44853</v>
      </c>
      <c r="B487" s="240" t="str">
        <f>B477</f>
        <v>Juros_Corr. Poupança</v>
      </c>
      <c r="C487" s="3" t="str">
        <f>C477</f>
        <v xml:space="preserve">Juros e correção no periodo </v>
      </c>
      <c r="D487" s="63">
        <v>6.61</v>
      </c>
      <c r="E487" s="865"/>
      <c r="F487" s="1027"/>
    </row>
    <row r="488" spans="1:6">
      <c r="A488" s="884">
        <v>44854</v>
      </c>
      <c r="B488" s="240"/>
      <c r="C488" s="3" t="s">
        <v>1868</v>
      </c>
      <c r="D488" s="63">
        <v>0</v>
      </c>
      <c r="E488" s="865">
        <v>0</v>
      </c>
      <c r="F488" s="1027"/>
    </row>
    <row r="489" spans="1:6">
      <c r="A489" s="919">
        <v>44854</v>
      </c>
      <c r="B489" s="830" t="str">
        <f>TiposLancamentos!B8</f>
        <v>Aluguel</v>
      </c>
      <c r="C489" s="915" t="s">
        <v>10514</v>
      </c>
      <c r="D489" s="917"/>
      <c r="E489" s="920">
        <f>F494-(E490+E494+E491+E492+E493)</f>
        <v>1644.2599999999998</v>
      </c>
      <c r="F489" s="1346"/>
    </row>
    <row r="490" spans="1:6">
      <c r="A490" s="930">
        <v>44854</v>
      </c>
      <c r="B490" s="825" t="str">
        <f>TiposLancamentos!B12</f>
        <v>IPTU</v>
      </c>
      <c r="C490" s="88" t="s">
        <v>8752</v>
      </c>
      <c r="D490" s="828"/>
      <c r="E490" s="931">
        <v>34.5</v>
      </c>
      <c r="F490" s="1043"/>
    </row>
    <row r="491" spans="1:6">
      <c r="A491" s="930">
        <v>44854</v>
      </c>
      <c r="B491" s="825" t="str">
        <f>TiposLancamentos!B10</f>
        <v>Distr. Água Municipal</v>
      </c>
      <c r="C491" s="88" t="s">
        <v>7423</v>
      </c>
      <c r="D491" s="828"/>
      <c r="E491" s="931">
        <v>80.069999999999993</v>
      </c>
      <c r="F491" s="1043"/>
    </row>
    <row r="492" spans="1:6">
      <c r="A492" s="930">
        <v>44854</v>
      </c>
      <c r="B492" s="825" t="str">
        <f>TiposLancamentos!B11</f>
        <v>Coleta Municipal Lixo</v>
      </c>
      <c r="C492" s="88" t="s">
        <v>7424</v>
      </c>
      <c r="D492" s="828"/>
      <c r="E492" s="931">
        <v>11.36</v>
      </c>
      <c r="F492" s="1043"/>
    </row>
    <row r="493" spans="1:6">
      <c r="A493" s="930">
        <v>44854</v>
      </c>
      <c r="B493" s="825" t="str">
        <f>TiposLancamentos!B8</f>
        <v>Aluguel</v>
      </c>
      <c r="C493" s="88" t="s">
        <v>7425</v>
      </c>
      <c r="D493" s="828"/>
      <c r="E493" s="931">
        <v>8</v>
      </c>
      <c r="F493" s="1043"/>
    </row>
    <row r="494" spans="1:6">
      <c r="A494" s="921">
        <v>44854</v>
      </c>
      <c r="B494" s="833" t="str">
        <f>TiposLancamentos!B9</f>
        <v>Condominio</v>
      </c>
      <c r="C494" s="916" t="s">
        <v>7427</v>
      </c>
      <c r="D494" s="918"/>
      <c r="E494" s="922">
        <v>616.37</v>
      </c>
      <c r="F494" s="1291">
        <v>2394.56</v>
      </c>
    </row>
    <row r="495" spans="1:6">
      <c r="A495" s="884">
        <v>44854</v>
      </c>
      <c r="B495" s="240"/>
      <c r="C495" s="3" t="s">
        <v>1868</v>
      </c>
      <c r="D495" s="63">
        <v>0</v>
      </c>
      <c r="E495" s="865">
        <v>0</v>
      </c>
      <c r="F495" s="1027"/>
    </row>
    <row r="496" spans="1:6">
      <c r="A496" s="884">
        <v>44854</v>
      </c>
      <c r="B496" s="240" t="str">
        <f>TiposLancamentos!B37</f>
        <v>Playstation 3</v>
      </c>
      <c r="C496" s="3" t="s">
        <v>10515</v>
      </c>
      <c r="D496" s="63"/>
      <c r="E496" s="865">
        <v>30</v>
      </c>
      <c r="F496" s="1027"/>
    </row>
    <row r="497" spans="1:6">
      <c r="A497" s="884">
        <v>44854</v>
      </c>
      <c r="B497" s="240" t="str">
        <f>TiposLancamentos!B57</f>
        <v>Informática</v>
      </c>
      <c r="C497" s="3" t="s">
        <v>10516</v>
      </c>
      <c r="D497" s="63"/>
      <c r="E497" s="865">
        <v>2.19</v>
      </c>
      <c r="F497" s="1027"/>
    </row>
    <row r="498" spans="1:6">
      <c r="A498" s="884">
        <v>44855</v>
      </c>
      <c r="B498" s="240" t="str">
        <f>TiposLancamentos!B6</f>
        <v>Energia Eletrica</v>
      </c>
      <c r="C498" s="3" t="s">
        <v>10517</v>
      </c>
      <c r="D498" s="63"/>
      <c r="E498" s="865">
        <v>281.61</v>
      </c>
      <c r="F498" s="1027"/>
    </row>
    <row r="499" spans="1:6">
      <c r="A499" s="884">
        <v>44855</v>
      </c>
      <c r="B499" s="240" t="str">
        <f>TiposLancamentos!B103</f>
        <v>Juros_Corr. Poupança</v>
      </c>
      <c r="C499" s="3" t="str">
        <f>C487</f>
        <v xml:space="preserve">Juros e correção no periodo </v>
      </c>
      <c r="D499" s="63">
        <v>2.31</v>
      </c>
      <c r="E499" s="865"/>
      <c r="F499" s="1027"/>
    </row>
    <row r="500" spans="1:6">
      <c r="A500" s="884">
        <v>44855</v>
      </c>
      <c r="B500" s="240" t="str">
        <f>B486</f>
        <v>Estacionamentos</v>
      </c>
      <c r="C500" s="3" t="s">
        <v>8753</v>
      </c>
      <c r="D500" s="63"/>
      <c r="E500" s="865">
        <v>10</v>
      </c>
      <c r="F500" s="1027"/>
    </row>
    <row r="501" spans="1:6">
      <c r="A501" s="884">
        <v>44855</v>
      </c>
      <c r="B501" s="240" t="str">
        <f>TiposLancamentos!B5</f>
        <v>Supermercado</v>
      </c>
      <c r="C501" s="1203" t="s">
        <v>10518</v>
      </c>
      <c r="D501" s="63"/>
      <c r="E501" s="865">
        <v>11.98</v>
      </c>
      <c r="F501" s="1027"/>
    </row>
    <row r="502" spans="1:6">
      <c r="A502" s="884">
        <v>44856</v>
      </c>
      <c r="B502" s="240" t="str">
        <f>TiposLancamentos!B19</f>
        <v>Restaurantes</v>
      </c>
      <c r="C502" s="1203" t="s">
        <v>7942</v>
      </c>
      <c r="D502" s="63"/>
      <c r="E502" s="865">
        <v>14.5</v>
      </c>
      <c r="F502" s="1027"/>
    </row>
    <row r="503" spans="1:6">
      <c r="A503" s="884">
        <v>44856</v>
      </c>
      <c r="B503" s="240" t="str">
        <f>TiposLancamentos!B71</f>
        <v>Itens Pessoais</v>
      </c>
      <c r="C503" s="1203" t="s">
        <v>8086</v>
      </c>
      <c r="D503" s="63"/>
      <c r="E503" s="865">
        <v>30</v>
      </c>
      <c r="F503" s="1027"/>
    </row>
    <row r="504" spans="1:6">
      <c r="A504" s="884">
        <v>44856</v>
      </c>
      <c r="B504" s="240" t="str">
        <f>TiposLancamentos!B16</f>
        <v>Cristiane</v>
      </c>
      <c r="C504" s="1203" t="s">
        <v>10519</v>
      </c>
      <c r="D504" s="63"/>
      <c r="E504" s="865">
        <v>21.25</v>
      </c>
      <c r="F504" s="1027"/>
    </row>
    <row r="505" spans="1:6">
      <c r="A505" s="884">
        <v>44856</v>
      </c>
      <c r="B505" s="240" t="str">
        <f>TiposLancamentos!B24</f>
        <v>Estacionamentos</v>
      </c>
      <c r="C505" s="1203" t="s">
        <v>3253</v>
      </c>
      <c r="D505" s="63"/>
      <c r="E505" s="865">
        <v>13</v>
      </c>
      <c r="F505" s="1027"/>
    </row>
    <row r="506" spans="1:6">
      <c r="A506" s="884">
        <v>44856</v>
      </c>
      <c r="B506" s="240" t="str">
        <f>B501</f>
        <v>Supermercado</v>
      </c>
      <c r="C506" s="1203" t="s">
        <v>10520</v>
      </c>
      <c r="D506" s="63"/>
      <c r="E506" s="865">
        <v>61.25</v>
      </c>
      <c r="F506" s="1027"/>
    </row>
    <row r="507" spans="1:6">
      <c r="A507" s="884">
        <v>44856</v>
      </c>
      <c r="B507" s="240" t="str">
        <f>TiposLancamentos!B17</f>
        <v>GATO</v>
      </c>
      <c r="C507" s="1203" t="s">
        <v>10521</v>
      </c>
      <c r="D507" s="63"/>
      <c r="E507" s="865">
        <v>17</v>
      </c>
      <c r="F507" s="1027"/>
    </row>
    <row r="508" spans="1:6">
      <c r="A508" s="884">
        <v>44856</v>
      </c>
      <c r="B508" s="240" t="str">
        <f>TiposLancamentos!B74</f>
        <v>Noite</v>
      </c>
      <c r="C508" s="1203" t="s">
        <v>10522</v>
      </c>
      <c r="D508" s="63"/>
      <c r="E508" s="865">
        <v>78</v>
      </c>
      <c r="F508" s="1027"/>
    </row>
    <row r="509" spans="1:6">
      <c r="A509" s="884">
        <v>44857</v>
      </c>
      <c r="B509" s="240" t="str">
        <f>TiposLancamentos!B19</f>
        <v>Restaurantes</v>
      </c>
      <c r="C509" s="1203" t="s">
        <v>10523</v>
      </c>
      <c r="D509" s="63"/>
      <c r="E509" s="865">
        <v>65.25</v>
      </c>
      <c r="F509" s="1027"/>
    </row>
    <row r="510" spans="1:6">
      <c r="A510" s="884">
        <v>44857</v>
      </c>
      <c r="B510" s="240" t="str">
        <f>TiposLancamentos!B22</f>
        <v>Combustivel</v>
      </c>
      <c r="C510" s="1203" t="s">
        <v>10390</v>
      </c>
      <c r="D510" s="63"/>
      <c r="E510" s="865">
        <v>100</v>
      </c>
      <c r="F510" s="1027"/>
    </row>
    <row r="511" spans="1:6">
      <c r="A511" s="884">
        <v>44857</v>
      </c>
      <c r="B511" s="240" t="str">
        <f>TiposLancamentos!B19</f>
        <v>Restaurantes</v>
      </c>
      <c r="C511" s="1203" t="s">
        <v>10524</v>
      </c>
      <c r="D511" s="63"/>
      <c r="E511" s="865">
        <v>227.37</v>
      </c>
      <c r="F511" s="1027"/>
    </row>
    <row r="512" spans="1:6">
      <c r="A512" s="884">
        <v>44857</v>
      </c>
      <c r="B512" s="240" t="str">
        <f>TiposLancamentos!B5</f>
        <v>Supermercado</v>
      </c>
      <c r="C512" s="1203" t="s">
        <v>10525</v>
      </c>
      <c r="D512" s="63"/>
      <c r="E512" s="865">
        <v>135.25</v>
      </c>
      <c r="F512" s="1027"/>
    </row>
    <row r="513" spans="1:6">
      <c r="A513" s="884">
        <v>44858</v>
      </c>
      <c r="B513" s="240" t="str">
        <f>TiposLancamentos!B103</f>
        <v>Juros_Corr. Poupança</v>
      </c>
      <c r="C513" s="1203" t="str">
        <f>C499</f>
        <v xml:space="preserve">Juros e correção no periodo </v>
      </c>
      <c r="D513" s="63">
        <v>1.69</v>
      </c>
      <c r="E513" s="865"/>
      <c r="F513" s="1027"/>
    </row>
    <row r="514" spans="1:6">
      <c r="A514" s="884">
        <v>44858</v>
      </c>
      <c r="B514" s="240" t="str">
        <f>B500</f>
        <v>Estacionamentos</v>
      </c>
      <c r="C514" s="3" t="s">
        <v>8753</v>
      </c>
      <c r="D514" s="63"/>
      <c r="E514" s="865">
        <v>10</v>
      </c>
      <c r="F514" s="1027"/>
    </row>
    <row r="515" spans="1:6">
      <c r="A515" s="884">
        <v>44858</v>
      </c>
      <c r="B515" s="240" t="str">
        <f>TiposLancamentos!B5</f>
        <v>Supermercado</v>
      </c>
      <c r="C515" s="3" t="s">
        <v>1884</v>
      </c>
      <c r="D515" s="63"/>
      <c r="E515" s="865">
        <v>29.19</v>
      </c>
      <c r="F515" s="1027"/>
    </row>
    <row r="516" spans="1:6">
      <c r="A516" s="884">
        <v>44859</v>
      </c>
      <c r="B516" s="240" t="str">
        <f>B511</f>
        <v>Restaurantes</v>
      </c>
      <c r="C516" s="1203" t="s">
        <v>8281</v>
      </c>
      <c r="D516" s="63"/>
      <c r="E516" s="865">
        <v>70.42</v>
      </c>
      <c r="F516" s="1027"/>
    </row>
    <row r="517" spans="1:6">
      <c r="A517" s="884">
        <f>A516</f>
        <v>44859</v>
      </c>
      <c r="B517" s="240" t="str">
        <f>B513</f>
        <v>Juros_Corr. Poupança</v>
      </c>
      <c r="C517" s="1203" t="str">
        <f>C513</f>
        <v xml:space="preserve">Juros e correção no periodo </v>
      </c>
      <c r="D517" s="63">
        <v>5</v>
      </c>
      <c r="E517" s="865"/>
      <c r="F517" s="1027"/>
    </row>
    <row r="518" spans="1:6">
      <c r="A518" s="884">
        <v>44860</v>
      </c>
      <c r="B518" s="240" t="str">
        <f>TiposLancamentos!B23</f>
        <v>P208 GRIFFE 1.6 AUT BUSINESS</v>
      </c>
      <c r="C518" s="1203" t="s">
        <v>10526</v>
      </c>
      <c r="D518" s="63"/>
      <c r="E518" s="865">
        <v>1200</v>
      </c>
      <c r="F518" s="1027"/>
    </row>
    <row r="519" spans="1:6">
      <c r="A519" s="884">
        <v>44860</v>
      </c>
      <c r="B519" s="240" t="str">
        <f>TiposLancamentos!B22</f>
        <v>Combustivel</v>
      </c>
      <c r="C519" s="1203" t="s">
        <v>10390</v>
      </c>
      <c r="D519" s="63"/>
      <c r="E519" s="865">
        <v>120</v>
      </c>
      <c r="F519" s="1027"/>
    </row>
    <row r="520" spans="1:6">
      <c r="A520" s="884">
        <v>44860</v>
      </c>
      <c r="B520" s="240" t="str">
        <f>TiposLancamentos!B19</f>
        <v>Restaurantes</v>
      </c>
      <c r="C520" s="1203" t="s">
        <v>7338</v>
      </c>
      <c r="D520" s="63"/>
      <c r="E520" s="865">
        <v>31.49</v>
      </c>
      <c r="F520" s="1027"/>
    </row>
    <row r="521" spans="1:6">
      <c r="A521" s="884">
        <v>44860</v>
      </c>
      <c r="B521" s="240" t="str">
        <f>TiposLancamentos!B5</f>
        <v>Supermercado</v>
      </c>
      <c r="C521" s="1203" t="s">
        <v>10527</v>
      </c>
      <c r="D521" s="63"/>
      <c r="E521" s="865">
        <v>13</v>
      </c>
      <c r="F521" s="1027"/>
    </row>
    <row r="522" spans="1:6">
      <c r="A522" s="884">
        <v>44860</v>
      </c>
      <c r="B522" s="240" t="str">
        <f>TiposLancamentos!B23</f>
        <v>P208 GRIFFE 1.6 AUT BUSINESS</v>
      </c>
      <c r="C522" s="1203" t="s">
        <v>10528</v>
      </c>
      <c r="D522" s="63"/>
      <c r="E522" s="865">
        <v>80</v>
      </c>
      <c r="F522" s="1027"/>
    </row>
    <row r="523" spans="1:6">
      <c r="A523" s="884">
        <v>44860</v>
      </c>
      <c r="B523" s="240" t="str">
        <f>TiposLancamentos!B103</f>
        <v>Juros_Corr. Poupança</v>
      </c>
      <c r="C523" s="1203" t="str">
        <f>C517</f>
        <v xml:space="preserve">Juros e correção no periodo </v>
      </c>
      <c r="D523" s="63">
        <v>1.26</v>
      </c>
      <c r="E523" s="865"/>
      <c r="F523" s="1027"/>
    </row>
    <row r="524" spans="1:6">
      <c r="A524" s="884">
        <v>44861</v>
      </c>
      <c r="B524" s="240" t="str">
        <f>TiposLancamentos!B19</f>
        <v>Restaurantes</v>
      </c>
      <c r="C524" s="1203" t="s">
        <v>10529</v>
      </c>
      <c r="D524" s="63"/>
      <c r="E524" s="865">
        <v>23.9</v>
      </c>
      <c r="F524" s="1027"/>
    </row>
    <row r="525" spans="1:6">
      <c r="A525" s="884">
        <v>44861</v>
      </c>
      <c r="B525" s="240" t="str">
        <f>B514</f>
        <v>Estacionamentos</v>
      </c>
      <c r="C525" s="3" t="s">
        <v>8753</v>
      </c>
      <c r="D525" s="63"/>
      <c r="E525" s="865">
        <v>10</v>
      </c>
      <c r="F525" s="1027"/>
    </row>
    <row r="526" spans="1:6">
      <c r="A526" s="884">
        <v>44862</v>
      </c>
      <c r="B526" s="240" t="str">
        <f>TiposLancamentos!B13</f>
        <v>Moradia</v>
      </c>
      <c r="C526" s="1203" t="s">
        <v>10530</v>
      </c>
      <c r="D526" s="63"/>
      <c r="E526" s="865">
        <v>14</v>
      </c>
      <c r="F526" s="1027"/>
    </row>
    <row r="527" spans="1:6">
      <c r="A527" s="884">
        <v>44862</v>
      </c>
      <c r="B527" s="240" t="str">
        <f>B524</f>
        <v>Restaurantes</v>
      </c>
      <c r="C527" s="1203" t="s">
        <v>10531</v>
      </c>
      <c r="D527" s="63"/>
      <c r="E527" s="865">
        <v>39.92</v>
      </c>
      <c r="F527" s="1027"/>
    </row>
    <row r="528" spans="1:6">
      <c r="A528" s="884">
        <v>44862</v>
      </c>
      <c r="B528" s="240" t="str">
        <f>TiposLancamentos!B69</f>
        <v>Consertos</v>
      </c>
      <c r="C528" s="1203" t="s">
        <v>10532</v>
      </c>
      <c r="D528" s="63"/>
      <c r="E528" s="865">
        <v>354</v>
      </c>
      <c r="F528" s="1027"/>
    </row>
    <row r="529" spans="1:6">
      <c r="A529" s="884">
        <v>44862</v>
      </c>
      <c r="B529" s="240" t="str">
        <f>B525</f>
        <v>Estacionamentos</v>
      </c>
      <c r="C529" s="3" t="s">
        <v>8753</v>
      </c>
      <c r="D529" s="63"/>
      <c r="E529" s="865">
        <v>10</v>
      </c>
      <c r="F529" s="1027"/>
    </row>
    <row r="530" spans="1:6">
      <c r="A530" s="884">
        <v>44863</v>
      </c>
      <c r="B530" s="240" t="str">
        <f>TiposLancamentos!B19</f>
        <v>Restaurantes</v>
      </c>
      <c r="C530" s="1203" t="s">
        <v>10533</v>
      </c>
      <c r="D530" s="63"/>
      <c r="E530" s="865">
        <v>25.5</v>
      </c>
      <c r="F530" s="1027"/>
    </row>
    <row r="531" spans="1:6">
      <c r="A531" s="884">
        <v>44863</v>
      </c>
      <c r="B531" s="240" t="str">
        <f>TiposLancamentos!B19</f>
        <v>Restaurantes</v>
      </c>
      <c r="C531" s="1203" t="s">
        <v>10534</v>
      </c>
      <c r="D531" s="63"/>
      <c r="E531" s="865">
        <v>56</v>
      </c>
      <c r="F531" s="1027"/>
    </row>
    <row r="532" spans="1:6">
      <c r="A532" s="884">
        <v>44863</v>
      </c>
      <c r="B532" s="240" t="str">
        <f>TiposLancamentos!B13</f>
        <v>Moradia</v>
      </c>
      <c r="C532" s="1203" t="s">
        <v>10535</v>
      </c>
      <c r="D532" s="63"/>
      <c r="E532" s="865">
        <v>69</v>
      </c>
      <c r="F532" s="1027"/>
    </row>
    <row r="533" spans="1:6">
      <c r="A533" s="884">
        <v>44863</v>
      </c>
      <c r="B533" s="240" t="str">
        <f>B529</f>
        <v>Estacionamentos</v>
      </c>
      <c r="C533" s="1203" t="s">
        <v>2014</v>
      </c>
      <c r="D533" s="63"/>
      <c r="E533" s="865">
        <v>17</v>
      </c>
      <c r="F533" s="1027"/>
    </row>
    <row r="534" spans="1:6">
      <c r="A534" s="884">
        <v>44863</v>
      </c>
      <c r="B534" s="240" t="str">
        <f>TiposLancamentos!B5</f>
        <v>Supermercado</v>
      </c>
      <c r="C534" s="1203" t="s">
        <v>1884</v>
      </c>
      <c r="D534" s="63"/>
      <c r="E534" s="865">
        <v>46.78</v>
      </c>
      <c r="F534" s="1027"/>
    </row>
    <row r="535" spans="1:6">
      <c r="A535" s="884">
        <v>44863</v>
      </c>
      <c r="B535" s="240" t="str">
        <f>TiposLancamentos!B5</f>
        <v>Supermercado</v>
      </c>
      <c r="C535" s="1203" t="s">
        <v>1884</v>
      </c>
      <c r="D535" s="63"/>
      <c r="E535" s="865">
        <v>12.67</v>
      </c>
      <c r="F535" s="1027"/>
    </row>
    <row r="536" spans="1:6">
      <c r="A536" s="884">
        <v>44864</v>
      </c>
      <c r="B536" s="240" t="str">
        <f>TiposLancamentos!B5</f>
        <v>Supermercado</v>
      </c>
      <c r="C536" s="1203" t="s">
        <v>10536</v>
      </c>
      <c r="D536" s="63"/>
      <c r="E536" s="865">
        <v>203.29</v>
      </c>
      <c r="F536" s="1027"/>
    </row>
    <row r="537" spans="1:6">
      <c r="A537" s="884">
        <v>44864</v>
      </c>
      <c r="B537" s="240" t="str">
        <f>TiposLancamentos!B5</f>
        <v>Supermercado</v>
      </c>
      <c r="C537" s="1203" t="s">
        <v>10537</v>
      </c>
      <c r="D537" s="63"/>
      <c r="E537" s="865">
        <v>77.459999999999994</v>
      </c>
      <c r="F537" s="1027"/>
    </row>
    <row r="538" spans="1:6">
      <c r="A538" s="884">
        <v>44864</v>
      </c>
      <c r="B538" s="240" t="str">
        <f>TiposLancamentos!B22</f>
        <v>Combustivel</v>
      </c>
      <c r="C538" s="1203" t="s">
        <v>10390</v>
      </c>
      <c r="D538" s="63"/>
      <c r="E538" s="865">
        <v>150</v>
      </c>
      <c r="F538" s="1027"/>
    </row>
    <row r="539" spans="1:6">
      <c r="A539" s="884">
        <v>44864</v>
      </c>
      <c r="B539" s="240" t="str">
        <f>TiposLancamentos!B56</f>
        <v>Farmácia</v>
      </c>
      <c r="C539" s="1203" t="s">
        <v>10538</v>
      </c>
      <c r="D539" s="63"/>
      <c r="E539" s="865">
        <v>140.66</v>
      </c>
      <c r="F539" s="1027"/>
    </row>
    <row r="540" spans="1:6">
      <c r="A540" s="884">
        <v>44865</v>
      </c>
      <c r="B540" s="240" t="str">
        <f>B523</f>
        <v>Juros_Corr. Poupança</v>
      </c>
      <c r="C540" s="1203" t="str">
        <f>C523</f>
        <v xml:space="preserve">Juros e correção no periodo </v>
      </c>
      <c r="D540" s="63">
        <v>1.88</v>
      </c>
      <c r="E540" s="865"/>
      <c r="F540" s="1027"/>
    </row>
    <row r="541" spans="1:6">
      <c r="A541" s="884">
        <v>44865</v>
      </c>
      <c r="B541" s="240" t="str">
        <f>TiposLancamentos!B105</f>
        <v>Transf. Bco</v>
      </c>
      <c r="C541" s="1203" t="s">
        <v>10065</v>
      </c>
      <c r="D541" s="63">
        <v>9245.27</v>
      </c>
      <c r="E541" s="865"/>
      <c r="F541" s="1027"/>
    </row>
    <row r="542" spans="1:6" ht="14.25" thickBot="1">
      <c r="A542" s="884">
        <v>44865</v>
      </c>
      <c r="B542" s="240" t="str">
        <f>TiposLancamentos!B24</f>
        <v>Estacionamentos</v>
      </c>
      <c r="C542" s="3" t="s">
        <v>8753</v>
      </c>
      <c r="D542" s="63"/>
      <c r="E542" s="865">
        <v>10</v>
      </c>
      <c r="F542" s="1027"/>
    </row>
    <row r="543" spans="1:6">
      <c r="A543" s="1714"/>
      <c r="B543" s="1715"/>
      <c r="C543" s="1716" t="s">
        <v>1616</v>
      </c>
      <c r="D543" s="1717"/>
      <c r="E543" s="1718"/>
      <c r="F543" s="1718"/>
    </row>
    <row r="544" spans="1:6">
      <c r="A544" s="884">
        <v>44866</v>
      </c>
      <c r="B544" s="240" t="str">
        <f>TiposLancamentos!B23</f>
        <v>P208 GRIFFE 1.6 AUT BUSINESS</v>
      </c>
      <c r="C544" s="1203" t="s">
        <v>10539</v>
      </c>
      <c r="D544" s="63"/>
      <c r="E544" s="865">
        <v>628.05999999999995</v>
      </c>
      <c r="F544" s="1027"/>
    </row>
    <row r="545" spans="1:6">
      <c r="A545" s="884">
        <v>44866</v>
      </c>
      <c r="B545" s="240" t="str">
        <f>TiposLancamentos!B15</f>
        <v>Cartões de Crédito</v>
      </c>
      <c r="C545" s="3" t="s">
        <v>8016</v>
      </c>
      <c r="D545" s="63"/>
      <c r="E545" s="865">
        <v>114.88</v>
      </c>
      <c r="F545" s="1027"/>
    </row>
    <row r="546" spans="1:6">
      <c r="A546" s="884">
        <v>44866</v>
      </c>
      <c r="B546" s="240" t="str">
        <f>TiposLancamentos!B15</f>
        <v>Cartões de Crédito</v>
      </c>
      <c r="C546" s="3" t="s">
        <v>8252</v>
      </c>
      <c r="D546" s="63"/>
      <c r="E546" s="865">
        <v>262.57</v>
      </c>
      <c r="F546" s="1027"/>
    </row>
    <row r="547" spans="1:6">
      <c r="A547" s="884">
        <v>44866</v>
      </c>
      <c r="B547" s="240" t="str">
        <f>TiposLancamentos!B15</f>
        <v>Cartões de Crédito</v>
      </c>
      <c r="C547" s="3" t="s">
        <v>8772</v>
      </c>
      <c r="D547" s="63"/>
      <c r="E547" s="865">
        <v>1586.59</v>
      </c>
      <c r="F547" s="1027"/>
    </row>
    <row r="548" spans="1:6">
      <c r="A548" s="884">
        <v>44866</v>
      </c>
      <c r="B548" s="240" t="str">
        <f>TiposLancamentos!B14</f>
        <v>Gás de cozinha</v>
      </c>
      <c r="C548" s="3" t="s">
        <v>7496</v>
      </c>
      <c r="D548" s="63"/>
      <c r="E548" s="865">
        <v>54.19</v>
      </c>
      <c r="F548" s="1027"/>
    </row>
    <row r="549" spans="1:6">
      <c r="A549" s="884">
        <v>44866</v>
      </c>
      <c r="B549" s="240" t="str">
        <f>TiposLancamentos!B19</f>
        <v>Restaurantes</v>
      </c>
      <c r="C549" s="1203" t="s">
        <v>10540</v>
      </c>
      <c r="D549" s="63"/>
      <c r="E549" s="865">
        <v>44</v>
      </c>
      <c r="F549" s="1027"/>
    </row>
    <row r="550" spans="1:6">
      <c r="A550" s="884">
        <v>44866</v>
      </c>
      <c r="B550" s="240" t="str">
        <f>TiposLancamentos!B24</f>
        <v>Estacionamentos</v>
      </c>
      <c r="C550" s="1203" t="s">
        <v>8755</v>
      </c>
      <c r="D550" s="63"/>
      <c r="E550" s="865">
        <v>15</v>
      </c>
      <c r="F550" s="1027"/>
    </row>
    <row r="551" spans="1:6">
      <c r="A551" s="884">
        <v>44868</v>
      </c>
      <c r="B551" s="240" t="str">
        <f>TiposLancamentos!B24</f>
        <v>Estacionamentos</v>
      </c>
      <c r="C551" s="1203" t="s">
        <v>8203</v>
      </c>
      <c r="D551" s="63"/>
      <c r="E551" s="865">
        <v>18</v>
      </c>
      <c r="F551" s="1027"/>
    </row>
    <row r="552" spans="1:6">
      <c r="A552" s="884">
        <v>44868</v>
      </c>
      <c r="B552" s="240" t="str">
        <f>TiposLancamentos!B5</f>
        <v>Supermercado</v>
      </c>
      <c r="C552" s="1203" t="s">
        <v>7068</v>
      </c>
      <c r="D552" s="63"/>
      <c r="E552" s="865">
        <v>49.65</v>
      </c>
      <c r="F552" s="1027"/>
    </row>
    <row r="553" spans="1:6">
      <c r="A553" s="884">
        <v>44868</v>
      </c>
      <c r="B553" s="240" t="str">
        <f>TiposLancamentos!B37</f>
        <v>Playstation 3</v>
      </c>
      <c r="C553" s="1203" t="s">
        <v>10541</v>
      </c>
      <c r="D553" s="63"/>
      <c r="E553" s="865">
        <v>106.77</v>
      </c>
      <c r="F553" s="1027"/>
    </row>
    <row r="554" spans="1:6">
      <c r="A554" s="884">
        <v>44868</v>
      </c>
      <c r="B554" s="240" t="str">
        <f>B540</f>
        <v>Juros_Corr. Poupança</v>
      </c>
      <c r="C554" s="1203" t="s">
        <v>10051</v>
      </c>
      <c r="D554" s="63">
        <v>0.68</v>
      </c>
      <c r="E554" s="865"/>
      <c r="F554" s="1027"/>
    </row>
    <row r="555" spans="1:6">
      <c r="A555" s="884">
        <v>44869</v>
      </c>
      <c r="B555" s="240" t="str">
        <f>TiposLancamentos!B24</f>
        <v>Estacionamentos</v>
      </c>
      <c r="C555" s="3" t="s">
        <v>8753</v>
      </c>
      <c r="D555" s="63"/>
      <c r="E555" s="865">
        <v>10</v>
      </c>
      <c r="F555" s="1027"/>
    </row>
    <row r="556" spans="1:6">
      <c r="A556" s="884">
        <v>44870</v>
      </c>
      <c r="B556" s="240" t="str">
        <f>TiposLancamentos!B5</f>
        <v>Supermercado</v>
      </c>
      <c r="C556" s="1203" t="s">
        <v>10542</v>
      </c>
      <c r="D556" s="63"/>
      <c r="E556" s="865">
        <v>42.01</v>
      </c>
      <c r="F556" s="1027"/>
    </row>
    <row r="557" spans="1:6">
      <c r="A557" s="884">
        <v>44870</v>
      </c>
      <c r="B557" s="240" t="str">
        <f>TiposLancamentos!B5</f>
        <v>Supermercado</v>
      </c>
      <c r="C557" s="1203" t="s">
        <v>1884</v>
      </c>
      <c r="D557" s="63"/>
      <c r="E557" s="865">
        <v>3.89</v>
      </c>
      <c r="F557" s="1027"/>
    </row>
    <row r="558" spans="1:6">
      <c r="A558" s="884">
        <v>44870</v>
      </c>
      <c r="B558" s="240" t="str">
        <f>TiposLancamentos!B37</f>
        <v>Playstation 3</v>
      </c>
      <c r="C558" s="1203" t="s">
        <v>10543</v>
      </c>
      <c r="D558" s="63"/>
      <c r="E558" s="865">
        <v>49.14</v>
      </c>
      <c r="F558" s="1027"/>
    </row>
    <row r="559" spans="1:6">
      <c r="A559" s="884">
        <v>44870</v>
      </c>
      <c r="B559" s="240" t="str">
        <f>TiposLancamentos!B19</f>
        <v>Restaurantes</v>
      </c>
      <c r="C559" s="1203" t="s">
        <v>10445</v>
      </c>
      <c r="D559" s="63"/>
      <c r="E559" s="865">
        <v>76</v>
      </c>
      <c r="F559" s="1027"/>
    </row>
    <row r="560" spans="1:6">
      <c r="A560" s="884">
        <v>44870</v>
      </c>
      <c r="B560" s="240" t="str">
        <f>TiposLancamentos!B5</f>
        <v>Supermercado</v>
      </c>
      <c r="C560" s="1203" t="s">
        <v>10544</v>
      </c>
      <c r="D560" s="63"/>
      <c r="E560" s="865">
        <v>12.9</v>
      </c>
      <c r="F560" s="1027"/>
    </row>
    <row r="561" spans="1:6">
      <c r="A561" s="884">
        <v>44871</v>
      </c>
      <c r="B561" s="240" t="str">
        <f>B552</f>
        <v>Supermercado</v>
      </c>
      <c r="C561" s="1203" t="s">
        <v>10545</v>
      </c>
      <c r="D561" s="63"/>
      <c r="E561" s="865">
        <v>263.54000000000002</v>
      </c>
      <c r="F561" s="1027"/>
    </row>
    <row r="562" spans="1:6">
      <c r="A562" s="884">
        <v>44871</v>
      </c>
      <c r="B562" s="240" t="str">
        <f>TiposLancamentos!B56</f>
        <v>Farmácia</v>
      </c>
      <c r="C562" s="1203" t="s">
        <v>10546</v>
      </c>
      <c r="D562" s="63"/>
      <c r="E562" s="865">
        <v>408.36</v>
      </c>
      <c r="F562" s="1027"/>
    </row>
    <row r="563" spans="1:6">
      <c r="A563" s="884">
        <v>44871</v>
      </c>
      <c r="B563" s="240" t="str">
        <f>B559</f>
        <v>Restaurantes</v>
      </c>
      <c r="C563" s="1203" t="s">
        <v>10547</v>
      </c>
      <c r="D563" s="63"/>
      <c r="E563" s="865">
        <v>21.9</v>
      </c>
      <c r="F563" s="1027"/>
    </row>
    <row r="564" spans="1:6">
      <c r="A564" s="884">
        <v>44872</v>
      </c>
      <c r="B564" s="240" t="str">
        <f>TiposLancamentos!B22</f>
        <v>Combustivel</v>
      </c>
      <c r="C564" s="1203" t="s">
        <v>10390</v>
      </c>
      <c r="D564" s="63"/>
      <c r="E564" s="865">
        <v>150</v>
      </c>
      <c r="F564" s="1027"/>
    </row>
    <row r="565" spans="1:6">
      <c r="A565" s="884">
        <v>44872</v>
      </c>
      <c r="B565" s="240" t="str">
        <f>TiposLancamentos!B24</f>
        <v>Estacionamentos</v>
      </c>
      <c r="C565" s="3" t="s">
        <v>8753</v>
      </c>
      <c r="D565" s="63"/>
      <c r="E565" s="865">
        <v>10</v>
      </c>
      <c r="F565" s="1027"/>
    </row>
    <row r="566" spans="1:6">
      <c r="A566" s="884">
        <v>44873</v>
      </c>
      <c r="B566" s="240" t="str">
        <f>TiposLancamentos!B24</f>
        <v>Estacionamentos</v>
      </c>
      <c r="C566" s="3" t="s">
        <v>8753</v>
      </c>
      <c r="D566" s="63"/>
      <c r="E566" s="865">
        <v>10</v>
      </c>
      <c r="F566" s="1027"/>
    </row>
    <row r="567" spans="1:6">
      <c r="A567" s="884">
        <v>44873</v>
      </c>
      <c r="B567" s="240" t="str">
        <f>TiposLancamentos!B24</f>
        <v>Estacionamentos</v>
      </c>
      <c r="C567" s="1203" t="s">
        <v>8755</v>
      </c>
      <c r="D567" s="63"/>
      <c r="E567" s="865">
        <v>15</v>
      </c>
      <c r="F567" s="1027"/>
    </row>
    <row r="568" spans="1:6">
      <c r="A568" s="884">
        <v>44873</v>
      </c>
      <c r="B568" s="240" t="str">
        <f>TiposLancamentos!B5</f>
        <v>Supermercado</v>
      </c>
      <c r="C568" s="1203" t="s">
        <v>1884</v>
      </c>
      <c r="D568" s="63"/>
      <c r="E568" s="865">
        <v>24.39</v>
      </c>
      <c r="F568" s="1027"/>
    </row>
    <row r="569" spans="1:6">
      <c r="A569" s="884">
        <v>44874</v>
      </c>
      <c r="B569" s="240" t="str">
        <f>TiposLancamentos!B24</f>
        <v>Estacionamentos</v>
      </c>
      <c r="C569" s="3" t="s">
        <v>8753</v>
      </c>
      <c r="D569" s="63"/>
      <c r="E569" s="865">
        <v>10</v>
      </c>
      <c r="F569" s="1027"/>
    </row>
    <row r="570" spans="1:6">
      <c r="A570" s="884">
        <v>44874</v>
      </c>
      <c r="B570" s="240" t="str">
        <f>B554</f>
        <v>Juros_Corr. Poupança</v>
      </c>
      <c r="C570" s="1203" t="s">
        <v>10051</v>
      </c>
      <c r="D570" s="63">
        <v>3.15</v>
      </c>
      <c r="E570" s="865"/>
      <c r="F570" s="1027"/>
    </row>
    <row r="571" spans="1:6">
      <c r="A571" s="884">
        <v>44875</v>
      </c>
      <c r="B571" s="240" t="str">
        <f>TiposLancamentos!B46</f>
        <v>Maçonaria</v>
      </c>
      <c r="C571" s="3" t="s">
        <v>10548</v>
      </c>
      <c r="D571" s="63"/>
      <c r="E571" s="865">
        <v>200</v>
      </c>
      <c r="F571" s="1027"/>
    </row>
    <row r="572" spans="1:6">
      <c r="A572" s="884">
        <v>44875</v>
      </c>
      <c r="B572" s="240" t="str">
        <f>TiposLancamentos!B100</f>
        <v>Emprestimos</v>
      </c>
      <c r="C572" s="1203" t="s">
        <v>8749</v>
      </c>
      <c r="D572" s="63"/>
      <c r="E572" s="865">
        <v>200</v>
      </c>
      <c r="F572" s="1027"/>
    </row>
    <row r="573" spans="1:6">
      <c r="A573" s="884">
        <v>44875</v>
      </c>
      <c r="B573" s="240" t="str">
        <f>TiposLancamentos!B24</f>
        <v>Estacionamentos</v>
      </c>
      <c r="C573" s="3" t="s">
        <v>8753</v>
      </c>
      <c r="D573" s="63"/>
      <c r="E573" s="865">
        <v>10</v>
      </c>
      <c r="F573" s="1027"/>
    </row>
    <row r="574" spans="1:6">
      <c r="A574" s="884">
        <v>44875</v>
      </c>
      <c r="B574" s="240" t="str">
        <f>TiposLancamentos!B5</f>
        <v>Supermercado</v>
      </c>
      <c r="C574" s="1203" t="s">
        <v>10549</v>
      </c>
      <c r="D574" s="63"/>
      <c r="E574" s="865">
        <v>121.35</v>
      </c>
      <c r="F574" s="1027"/>
    </row>
    <row r="575" spans="1:6">
      <c r="A575" s="884">
        <v>44876</v>
      </c>
      <c r="B575" s="240" t="str">
        <f>TiposLancamentos!B13</f>
        <v>Moradia</v>
      </c>
      <c r="C575" s="1203" t="s">
        <v>8871</v>
      </c>
      <c r="D575" s="63"/>
      <c r="E575" s="865">
        <v>14</v>
      </c>
      <c r="F575" s="1027"/>
    </row>
    <row r="576" spans="1:6">
      <c r="A576" s="884">
        <v>44876</v>
      </c>
      <c r="B576" s="240" t="str">
        <f>TiposLancamentos!B5</f>
        <v>Supermercado</v>
      </c>
      <c r="C576" s="1203" t="s">
        <v>10550</v>
      </c>
      <c r="D576" s="63"/>
      <c r="E576" s="865">
        <v>23.15</v>
      </c>
      <c r="F576" s="1027"/>
    </row>
    <row r="577" spans="1:6">
      <c r="A577" s="884">
        <v>44876</v>
      </c>
      <c r="B577" s="240" t="str">
        <f>TiposLancamentos!B5</f>
        <v>Supermercado</v>
      </c>
      <c r="C577" s="1203" t="s">
        <v>10550</v>
      </c>
      <c r="D577" s="63"/>
      <c r="E577" s="865">
        <v>26.88</v>
      </c>
      <c r="F577" s="1027"/>
    </row>
    <row r="578" spans="1:6">
      <c r="A578" s="884">
        <v>44876</v>
      </c>
      <c r="B578" s="240" t="str">
        <f>TiposLancamentos!B19</f>
        <v>Restaurantes</v>
      </c>
      <c r="C578" s="1203" t="s">
        <v>8192</v>
      </c>
      <c r="D578" s="63"/>
      <c r="E578" s="865">
        <v>100.5</v>
      </c>
      <c r="F578" s="1027"/>
    </row>
    <row r="579" spans="1:6">
      <c r="A579" s="884">
        <v>44877</v>
      </c>
      <c r="B579" s="240" t="str">
        <f>TiposLancamentos!B19</f>
        <v>Restaurantes</v>
      </c>
      <c r="C579" s="1203" t="s">
        <v>2170</v>
      </c>
      <c r="D579" s="63"/>
      <c r="E579" s="865">
        <v>65</v>
      </c>
      <c r="F579" s="1027"/>
    </row>
    <row r="580" spans="1:6">
      <c r="A580" s="884">
        <v>44877</v>
      </c>
      <c r="B580" s="240" t="str">
        <f>TiposLancamentos!B5</f>
        <v>Supermercado</v>
      </c>
      <c r="C580" s="1203" t="s">
        <v>1943</v>
      </c>
      <c r="D580" s="63"/>
      <c r="E580" s="865">
        <v>400.02</v>
      </c>
      <c r="F580" s="1027"/>
    </row>
    <row r="581" spans="1:6">
      <c r="A581" s="884">
        <v>44879</v>
      </c>
      <c r="B581" s="240" t="str">
        <f>TiposLancamentos!B103</f>
        <v>Juros_Corr. Poupança</v>
      </c>
      <c r="C581" s="1203" t="s">
        <v>10051</v>
      </c>
      <c r="D581" s="63">
        <v>1.07</v>
      </c>
      <c r="E581" s="865"/>
      <c r="F581" s="1027"/>
    </row>
    <row r="582" spans="1:6">
      <c r="A582" s="884">
        <v>44879</v>
      </c>
      <c r="B582" s="240" t="str">
        <f>TiposLancamentos!B5</f>
        <v>Supermercado</v>
      </c>
      <c r="C582" s="1203" t="s">
        <v>8452</v>
      </c>
      <c r="D582" s="63"/>
      <c r="E582" s="865">
        <v>13.49</v>
      </c>
      <c r="F582" s="1027"/>
    </row>
    <row r="583" spans="1:6">
      <c r="A583" s="884">
        <v>44880</v>
      </c>
      <c r="B583" s="240"/>
      <c r="C583" s="3" t="s">
        <v>1868</v>
      </c>
      <c r="D583" s="63">
        <v>0</v>
      </c>
      <c r="E583" s="865">
        <v>0</v>
      </c>
      <c r="F583" s="1027"/>
    </row>
    <row r="584" spans="1:6">
      <c r="A584" s="919">
        <v>44880</v>
      </c>
      <c r="B584" s="830" t="str">
        <f>TiposLancamentos!B35</f>
        <v>Tv à Cabo</v>
      </c>
      <c r="C584" s="915" t="s">
        <v>5834</v>
      </c>
      <c r="D584" s="917"/>
      <c r="E584" s="920">
        <f>F586-(E585+E586)</f>
        <v>147.34999999999997</v>
      </c>
      <c r="F584" s="1290"/>
    </row>
    <row r="585" spans="1:6">
      <c r="A585" s="930">
        <v>44880</v>
      </c>
      <c r="B585" s="825" t="str">
        <f>TiposLancamentos!B3</f>
        <v>Internet</v>
      </c>
      <c r="C585" s="88" t="s">
        <v>5835</v>
      </c>
      <c r="D585" s="828"/>
      <c r="E585" s="931">
        <v>143.43</v>
      </c>
      <c r="F585" s="1043"/>
    </row>
    <row r="586" spans="1:6">
      <c r="A586" s="921">
        <v>44880</v>
      </c>
      <c r="B586" s="833" t="str">
        <f>TiposLancamentos!B2</f>
        <v>Telefonia</v>
      </c>
      <c r="C586" s="916" t="s">
        <v>7210</v>
      </c>
      <c r="D586" s="918"/>
      <c r="E586" s="922">
        <v>0</v>
      </c>
      <c r="F586" s="1291">
        <v>290.77999999999997</v>
      </c>
    </row>
    <row r="587" spans="1:6">
      <c r="A587" s="884">
        <v>44880</v>
      </c>
      <c r="B587" s="240"/>
      <c r="C587" s="3" t="s">
        <v>1868</v>
      </c>
      <c r="D587" s="63">
        <v>0</v>
      </c>
      <c r="E587" s="865">
        <v>0</v>
      </c>
      <c r="F587" s="1027"/>
    </row>
    <row r="588" spans="1:6">
      <c r="A588" s="884">
        <v>44881</v>
      </c>
      <c r="B588" s="240" t="str">
        <f>TiposLancamentos!B103</f>
        <v>Juros_Corr. Poupança</v>
      </c>
      <c r="C588" s="1203" t="s">
        <v>10051</v>
      </c>
      <c r="D588" s="63">
        <v>0.32</v>
      </c>
      <c r="E588" s="865"/>
      <c r="F588" s="1027"/>
    </row>
    <row r="589" spans="1:6">
      <c r="A589" s="884">
        <v>44881</v>
      </c>
      <c r="B589" s="240" t="str">
        <f>TiposLancamentos!B22</f>
        <v>Combustivel</v>
      </c>
      <c r="C589" s="1203" t="s">
        <v>10551</v>
      </c>
      <c r="D589" s="63"/>
      <c r="E589" s="865">
        <v>150</v>
      </c>
      <c r="F589" s="1027"/>
    </row>
    <row r="590" spans="1:6">
      <c r="A590" s="884">
        <v>44881</v>
      </c>
      <c r="B590" s="240" t="str">
        <f>TiposLancamentos!B105</f>
        <v>Transf. Bco</v>
      </c>
      <c r="C590" s="1203" t="s">
        <v>10118</v>
      </c>
      <c r="D590" s="63"/>
      <c r="E590" s="865">
        <v>754.82</v>
      </c>
      <c r="F590" s="1027"/>
    </row>
    <row r="591" spans="1:6">
      <c r="A591" s="884">
        <v>44881</v>
      </c>
      <c r="B591" s="240" t="str">
        <f>TiposLancamentos!B79</f>
        <v>Financiamento Banco</v>
      </c>
      <c r="C591" s="878" t="s">
        <v>10552</v>
      </c>
      <c r="D591" s="63"/>
      <c r="E591" s="865">
        <v>710.54</v>
      </c>
      <c r="F591" s="1027"/>
    </row>
    <row r="592" spans="1:6">
      <c r="A592" s="884">
        <v>44881</v>
      </c>
      <c r="B592" s="240" t="str">
        <f>TiposLancamentos!B24</f>
        <v>Estacionamentos</v>
      </c>
      <c r="C592" s="3" t="s">
        <v>8753</v>
      </c>
      <c r="D592" s="63"/>
      <c r="E592" s="865">
        <v>10</v>
      </c>
      <c r="F592" s="1027"/>
    </row>
    <row r="593" spans="1:6">
      <c r="A593" s="884">
        <v>44881</v>
      </c>
      <c r="B593" s="240" t="str">
        <f>TiposLancamentos!B56</f>
        <v>Farmácia</v>
      </c>
      <c r="C593" s="3" t="s">
        <v>10553</v>
      </c>
      <c r="D593" s="63"/>
      <c r="E593" s="865">
        <v>15.83</v>
      </c>
      <c r="F593" s="1027"/>
    </row>
    <row r="594" spans="1:6">
      <c r="A594" s="884">
        <v>44881</v>
      </c>
      <c r="B594" s="240" t="str">
        <f>TiposLancamentos!B71</f>
        <v>Itens Pessoais</v>
      </c>
      <c r="C594" s="3" t="s">
        <v>10554</v>
      </c>
      <c r="D594" s="63"/>
      <c r="E594" s="865">
        <v>816.5</v>
      </c>
      <c r="F594" s="1027"/>
    </row>
    <row r="595" spans="1:6">
      <c r="A595" s="884">
        <v>44882</v>
      </c>
      <c r="B595" s="240" t="str">
        <f>TiposLancamentos!B2</f>
        <v>Telefonia</v>
      </c>
      <c r="C595" s="3" t="s">
        <v>10510</v>
      </c>
      <c r="D595" s="63"/>
      <c r="E595" s="865">
        <v>66.400000000000006</v>
      </c>
      <c r="F595" s="1027"/>
    </row>
    <row r="596" spans="1:6">
      <c r="A596" s="884">
        <v>44882</v>
      </c>
      <c r="B596" s="240" t="str">
        <f>TiposLancamentos!B24</f>
        <v>Estacionamentos</v>
      </c>
      <c r="C596" s="3" t="s">
        <v>8753</v>
      </c>
      <c r="D596" s="63"/>
      <c r="E596" s="865">
        <v>10</v>
      </c>
      <c r="F596" s="1027"/>
    </row>
    <row r="597" spans="1:6">
      <c r="A597" s="884">
        <v>44883</v>
      </c>
      <c r="B597" s="240" t="str">
        <f>TiposLancamentos!B19</f>
        <v>Restaurantes</v>
      </c>
      <c r="C597" s="1203" t="s">
        <v>8686</v>
      </c>
      <c r="D597" s="63"/>
      <c r="E597" s="865">
        <v>76</v>
      </c>
      <c r="F597" s="1027"/>
    </row>
    <row r="598" spans="1:6">
      <c r="A598" s="884">
        <v>44884</v>
      </c>
      <c r="B598" s="240" t="str">
        <f>TiposLancamentos!B19</f>
        <v>Restaurantes</v>
      </c>
      <c r="C598" s="1203" t="s">
        <v>10555</v>
      </c>
      <c r="D598" s="63"/>
      <c r="E598" s="865">
        <v>51.5</v>
      </c>
      <c r="F598" s="1027"/>
    </row>
    <row r="599" spans="1:6">
      <c r="A599" s="884">
        <v>44885</v>
      </c>
      <c r="B599" s="240" t="str">
        <f>TiposLancamentos!B5</f>
        <v>Supermercado</v>
      </c>
      <c r="C599" s="1203" t="s">
        <v>1884</v>
      </c>
      <c r="D599" s="63"/>
      <c r="E599" s="865">
        <v>40.369999999999997</v>
      </c>
      <c r="F599" s="1027"/>
    </row>
    <row r="600" spans="1:6">
      <c r="A600" s="884">
        <v>44885</v>
      </c>
      <c r="B600" s="240" t="str">
        <f>TiposLancamentos!B19</f>
        <v>Restaurantes</v>
      </c>
      <c r="C600" s="1203" t="s">
        <v>10556</v>
      </c>
      <c r="D600" s="63"/>
      <c r="E600" s="865">
        <v>102.5</v>
      </c>
      <c r="F600" s="1027"/>
    </row>
    <row r="601" spans="1:6">
      <c r="A601" s="884">
        <v>44886</v>
      </c>
      <c r="B601" s="240" t="str">
        <f>TiposLancamentos!B105</f>
        <v>Transf. Bco</v>
      </c>
      <c r="C601" s="1203" t="s">
        <v>10557</v>
      </c>
      <c r="D601" s="63"/>
      <c r="E601" s="865">
        <v>2381.0300000000002</v>
      </c>
      <c r="F601" s="1027"/>
    </row>
    <row r="602" spans="1:6">
      <c r="A602" s="884">
        <v>44886</v>
      </c>
      <c r="B602" s="240" t="str">
        <f>TiposLancamentos!B6</f>
        <v>Energia Eletrica</v>
      </c>
      <c r="C602" s="3" t="s">
        <v>10558</v>
      </c>
      <c r="D602" s="63"/>
      <c r="E602" s="865">
        <v>279.08</v>
      </c>
      <c r="F602" s="1027"/>
    </row>
    <row r="603" spans="1:6">
      <c r="A603" s="884">
        <v>44886</v>
      </c>
      <c r="B603" s="240" t="str">
        <f>TiposLancamentos!B105</f>
        <v>Transf. Bco</v>
      </c>
      <c r="C603" s="3" t="s">
        <v>10559</v>
      </c>
      <c r="D603" s="63"/>
      <c r="E603" s="865">
        <v>8.14</v>
      </c>
      <c r="F603" s="1027"/>
    </row>
    <row r="604" spans="1:6">
      <c r="A604" s="884">
        <v>44886</v>
      </c>
      <c r="B604" s="240" t="str">
        <f>B596</f>
        <v>Estacionamentos</v>
      </c>
      <c r="C604" s="3" t="s">
        <v>8753</v>
      </c>
      <c r="D604" s="63"/>
      <c r="E604" s="865">
        <v>10</v>
      </c>
      <c r="F604" s="1027"/>
    </row>
    <row r="605" spans="1:6">
      <c r="A605" s="884">
        <v>44886</v>
      </c>
      <c r="B605" s="240" t="str">
        <f>B603</f>
        <v>Transf. Bco</v>
      </c>
      <c r="C605" s="1203" t="str">
        <f>C603</f>
        <v>Pix: Para o ItaU</v>
      </c>
      <c r="D605" s="63"/>
      <c r="E605" s="865">
        <v>282.19</v>
      </c>
      <c r="F605" s="1027"/>
    </row>
    <row r="606" spans="1:6">
      <c r="A606" s="884">
        <v>44890</v>
      </c>
      <c r="B606" s="240" t="str">
        <f>TiposLancamentos!B98</f>
        <v>Restituições</v>
      </c>
      <c r="C606" s="1203" t="s">
        <v>10560</v>
      </c>
      <c r="D606" s="63">
        <v>74.75</v>
      </c>
      <c r="E606" s="865"/>
      <c r="F606" s="1027"/>
    </row>
    <row r="607" spans="1:6" ht="14.25" thickBot="1">
      <c r="A607" s="884">
        <v>44890</v>
      </c>
      <c r="B607" s="240" t="str">
        <f>TiposLancamentos!B16</f>
        <v>Cristiane</v>
      </c>
      <c r="C607" s="1203" t="s">
        <v>10560</v>
      </c>
      <c r="D607" s="63"/>
      <c r="E607" s="865">
        <v>74.75</v>
      </c>
      <c r="F607" s="1027"/>
    </row>
    <row r="608" spans="1:6">
      <c r="A608" s="1714"/>
      <c r="B608" s="1715"/>
      <c r="C608" s="1716" t="s">
        <v>1617</v>
      </c>
      <c r="D608" s="1717"/>
      <c r="E608" s="1718"/>
      <c r="F608" s="1718"/>
    </row>
    <row r="609" spans="1:6">
      <c r="A609" s="884">
        <v>44897</v>
      </c>
      <c r="B609" s="240" t="str">
        <f>TiposLancamentos!B105</f>
        <v>Transf. Bco</v>
      </c>
      <c r="C609" s="1203" t="s">
        <v>10145</v>
      </c>
      <c r="D609" s="63">
        <v>3099.71</v>
      </c>
      <c r="E609" s="865"/>
      <c r="F609" s="1027"/>
    </row>
    <row r="610" spans="1:6">
      <c r="A610" s="884">
        <v>44909</v>
      </c>
      <c r="B610" s="240" t="str">
        <f>TiposLancamentos!B19</f>
        <v>Restaurantes</v>
      </c>
      <c r="C610" s="1203" t="s">
        <v>8767</v>
      </c>
      <c r="D610" s="63"/>
      <c r="E610" s="865">
        <v>102.5</v>
      </c>
      <c r="F610" s="1027"/>
    </row>
    <row r="611" spans="1:6">
      <c r="A611" s="884">
        <v>44911</v>
      </c>
      <c r="B611" s="240" t="str">
        <f>TiposLancamentos!B79</f>
        <v>Financiamento Banco</v>
      </c>
      <c r="C611" s="878" t="s">
        <v>10561</v>
      </c>
      <c r="D611" s="63"/>
      <c r="E611" s="865">
        <v>710.54</v>
      </c>
      <c r="F611" s="1027"/>
    </row>
    <row r="612" spans="1:6">
      <c r="A612" s="919">
        <v>44915</v>
      </c>
      <c r="B612" s="830" t="str">
        <f>TiposLancamentos!B8</f>
        <v>Aluguel</v>
      </c>
      <c r="C612" s="915" t="s">
        <v>10562</v>
      </c>
      <c r="D612" s="917"/>
      <c r="E612" s="920">
        <f>F617-(E614+E613+E615+E616+E617)</f>
        <v>1540.8400000000001</v>
      </c>
      <c r="F612" s="1346"/>
    </row>
    <row r="613" spans="1:6">
      <c r="A613" s="930">
        <v>44915</v>
      </c>
      <c r="B613" s="825" t="str">
        <f>TiposLancamentos!B12</f>
        <v>IPTU</v>
      </c>
      <c r="C613" s="88" t="s">
        <v>8865</v>
      </c>
      <c r="D613" s="828"/>
      <c r="E613" s="931">
        <v>34.5</v>
      </c>
      <c r="F613" s="1043"/>
    </row>
    <row r="614" spans="1:6">
      <c r="A614" s="930">
        <v>44915</v>
      </c>
      <c r="B614" s="825" t="str">
        <f>TiposLancamentos!B10</f>
        <v>Distr. Água Municipal</v>
      </c>
      <c r="C614" s="88" t="s">
        <v>7423</v>
      </c>
      <c r="D614" s="828"/>
      <c r="E614" s="931">
        <v>0</v>
      </c>
      <c r="F614" s="1043"/>
    </row>
    <row r="615" spans="1:6">
      <c r="A615" s="930">
        <v>44915</v>
      </c>
      <c r="B615" s="825" t="str">
        <f>TiposLancamentos!B11</f>
        <v>Coleta Municipal Lixo</v>
      </c>
      <c r="C615" s="88" t="s">
        <v>7424</v>
      </c>
      <c r="D615" s="828"/>
      <c r="E615" s="931">
        <v>0</v>
      </c>
      <c r="F615" s="1043"/>
    </row>
    <row r="616" spans="1:6">
      <c r="A616" s="930">
        <v>44915</v>
      </c>
      <c r="B616" s="825" t="str">
        <f>TiposLancamentos!B8</f>
        <v>Aluguel</v>
      </c>
      <c r="C616" s="88" t="s">
        <v>7425</v>
      </c>
      <c r="D616" s="828"/>
      <c r="E616" s="931">
        <v>8</v>
      </c>
      <c r="F616" s="1043"/>
    </row>
    <row r="617" spans="1:6">
      <c r="A617" s="921">
        <v>44915</v>
      </c>
      <c r="B617" s="833" t="str">
        <f>TiposLancamentos!B9</f>
        <v>Condominio</v>
      </c>
      <c r="C617" s="916" t="s">
        <v>7427</v>
      </c>
      <c r="D617" s="918"/>
      <c r="E617" s="922">
        <v>616.37</v>
      </c>
      <c r="F617" s="1291">
        <v>2199.71</v>
      </c>
    </row>
    <row r="618" spans="1:6" ht="14.25" thickBot="1">
      <c r="A618" s="884">
        <v>44926</v>
      </c>
      <c r="B618" s="240"/>
      <c r="C618" s="1203" t="s">
        <v>1868</v>
      </c>
      <c r="D618" s="63"/>
      <c r="E618" s="865"/>
      <c r="F618" s="1027"/>
    </row>
    <row r="619" spans="1:6">
      <c r="A619" s="1714"/>
      <c r="B619" s="1715"/>
      <c r="C619" s="1716" t="s">
        <v>1618</v>
      </c>
      <c r="D619" s="1717"/>
      <c r="E619" s="1718"/>
      <c r="F619" s="1718"/>
    </row>
    <row r="620" spans="1:6">
      <c r="A620" s="884">
        <v>44928</v>
      </c>
      <c r="B620" s="240" t="str">
        <f>TiposLancamentos!B105</f>
        <v>Transf. Bco</v>
      </c>
      <c r="C620" s="1203" t="s">
        <v>10145</v>
      </c>
      <c r="D620" s="63">
        <v>2200</v>
      </c>
      <c r="E620" s="865"/>
      <c r="F620" s="1027"/>
    </row>
    <row r="621" spans="1:6">
      <c r="A621" s="884">
        <v>44929</v>
      </c>
      <c r="B621" s="240" t="str">
        <f>TiposLancamentos!B103</f>
        <v>Juros_Corr. Poupança</v>
      </c>
      <c r="C621" s="1203" t="s">
        <v>10051</v>
      </c>
      <c r="D621" s="63">
        <v>0.77</v>
      </c>
      <c r="E621" s="865"/>
      <c r="F621" s="1027"/>
    </row>
    <row r="622" spans="1:6">
      <c r="A622" s="884">
        <v>44935</v>
      </c>
      <c r="B622" s="240" t="str">
        <f>TiposLancamentos!B54</f>
        <v>Metro</v>
      </c>
      <c r="C622" s="1203" t="s">
        <v>10563</v>
      </c>
      <c r="D622" s="63"/>
      <c r="E622" s="865">
        <v>8.8000000000000007</v>
      </c>
      <c r="F622" s="1027"/>
    </row>
    <row r="623" spans="1:6">
      <c r="A623" s="884">
        <v>44936</v>
      </c>
      <c r="B623" s="240" t="str">
        <f>TiposLancamentos!B103</f>
        <v>Juros_Corr. Poupança</v>
      </c>
      <c r="C623" s="1203" t="s">
        <v>10051</v>
      </c>
      <c r="D623" s="63">
        <v>0.2</v>
      </c>
      <c r="E623" s="865"/>
      <c r="F623" s="1027"/>
    </row>
    <row r="624" spans="1:6">
      <c r="A624" s="884">
        <v>44942</v>
      </c>
      <c r="B624" s="240" t="str">
        <f>TiposLancamentos!B103</f>
        <v>Juros_Corr. Poupança</v>
      </c>
      <c r="C624" s="1203" t="s">
        <v>10051</v>
      </c>
      <c r="D624" s="63">
        <v>0.09</v>
      </c>
      <c r="E624" s="865"/>
      <c r="F624" s="1027"/>
    </row>
    <row r="625" spans="1:6">
      <c r="A625" s="884">
        <v>44942</v>
      </c>
      <c r="B625" s="240" t="str">
        <f>TiposLancamentos!B79</f>
        <v>Financiamento Banco</v>
      </c>
      <c r="C625" s="878" t="s">
        <v>10564</v>
      </c>
      <c r="D625" s="63"/>
      <c r="E625" s="865">
        <v>710.54</v>
      </c>
      <c r="F625" s="1027"/>
    </row>
    <row r="626" spans="1:6" ht="14.25" thickBot="1">
      <c r="A626" s="884">
        <v>44946</v>
      </c>
      <c r="B626" s="240" t="str">
        <f>TiposLancamentos!B105</f>
        <v>Transf. Bco</v>
      </c>
      <c r="C626" s="1203" t="s">
        <v>10097</v>
      </c>
      <c r="D626" s="63"/>
      <c r="E626" s="865">
        <v>1568.68</v>
      </c>
      <c r="F626" s="1027"/>
    </row>
    <row r="627" spans="1:6">
      <c r="A627" s="1714"/>
      <c r="B627" s="1715"/>
      <c r="C627" s="1716" t="s">
        <v>1619</v>
      </c>
      <c r="D627" s="1717"/>
      <c r="E627" s="1718"/>
      <c r="F627" s="1718"/>
    </row>
    <row r="628" spans="1:6">
      <c r="A628" s="884">
        <v>44958</v>
      </c>
      <c r="B628" s="240" t="str">
        <f>TiposLancamentos!B105</f>
        <v>Transf. Bco</v>
      </c>
      <c r="C628" s="1203" t="s">
        <v>10145</v>
      </c>
      <c r="D628" s="63">
        <v>710.54</v>
      </c>
      <c r="E628" s="865"/>
      <c r="F628" s="1027"/>
    </row>
    <row r="629" spans="1:6">
      <c r="A629" s="884">
        <v>44963</v>
      </c>
      <c r="B629" s="240" t="str">
        <f>TiposLancamentos!B103</f>
        <v>Juros_Corr. Poupança</v>
      </c>
      <c r="C629" s="1203" t="s">
        <v>10051</v>
      </c>
      <c r="D629" s="63">
        <v>0.01</v>
      </c>
      <c r="E629" s="865"/>
      <c r="F629" s="1027"/>
    </row>
    <row r="630" spans="1:6">
      <c r="A630" s="884">
        <v>44972</v>
      </c>
      <c r="B630" s="240" t="str">
        <f>TiposLancamentos!B103</f>
        <v>Juros_Corr. Poupança</v>
      </c>
      <c r="C630" s="1203" t="s">
        <v>10051</v>
      </c>
      <c r="D630" s="63">
        <v>0.01</v>
      </c>
      <c r="E630" s="865"/>
      <c r="F630" s="1027"/>
    </row>
    <row r="631" spans="1:6" ht="14.25" thickBot="1">
      <c r="A631" s="884">
        <v>44973</v>
      </c>
      <c r="B631" s="240" t="str">
        <f>TiposLancamentos!B79</f>
        <v>Financiamento Banco</v>
      </c>
      <c r="C631" s="878" t="s">
        <v>10565</v>
      </c>
      <c r="D631" s="63"/>
      <c r="E631" s="865">
        <v>710.54</v>
      </c>
      <c r="F631" s="1027"/>
    </row>
    <row r="632" spans="1:6">
      <c r="A632" s="1714"/>
      <c r="B632" s="1715"/>
      <c r="C632" s="1716" t="s">
        <v>1620</v>
      </c>
      <c r="D632" s="1717"/>
      <c r="E632" s="1718"/>
      <c r="F632" s="1718"/>
    </row>
    <row r="633" spans="1:6">
      <c r="A633" s="884">
        <v>44986</v>
      </c>
      <c r="B633" s="240" t="str">
        <f>TiposLancamentos!B105</f>
        <v>Transf. Bco</v>
      </c>
      <c r="C633" s="1203" t="s">
        <v>10145</v>
      </c>
      <c r="D633" s="63">
        <v>710.54</v>
      </c>
      <c r="E633" s="865"/>
      <c r="F633" s="1027"/>
    </row>
    <row r="634" spans="1:6">
      <c r="A634" s="884">
        <v>44999</v>
      </c>
      <c r="B634" s="240" t="str">
        <f>TiposLancamentos!B103</f>
        <v>Juros_Corr. Poupança</v>
      </c>
      <c r="C634" s="1203" t="s">
        <v>10051</v>
      </c>
      <c r="D634" s="63">
        <v>0.01</v>
      </c>
      <c r="E634" s="865"/>
      <c r="F634" s="1027"/>
    </row>
    <row r="635" spans="1:6">
      <c r="A635" s="884">
        <v>45001</v>
      </c>
      <c r="B635" s="240" t="str">
        <f>TiposLancamentos!B79</f>
        <v>Financiamento Banco</v>
      </c>
      <c r="C635" s="878" t="s">
        <v>10566</v>
      </c>
      <c r="D635" s="63"/>
      <c r="E635" s="865">
        <v>710.54</v>
      </c>
      <c r="F635" s="1027"/>
    </row>
    <row r="636" spans="1:6" ht="14.25" thickBot="1">
      <c r="A636" s="884">
        <v>45016</v>
      </c>
      <c r="B636" s="240" t="str">
        <f>TiposLancamentos!B103</f>
        <v>Juros_Corr. Poupança</v>
      </c>
      <c r="C636" s="1203" t="s">
        <v>10051</v>
      </c>
      <c r="D636" s="63">
        <v>0.01</v>
      </c>
      <c r="E636" s="952"/>
      <c r="F636" s="1027"/>
    </row>
    <row r="637" spans="1:6">
      <c r="A637" s="1714"/>
      <c r="B637" s="1715"/>
      <c r="C637" s="1716" t="s">
        <v>1621</v>
      </c>
      <c r="D637" s="1717"/>
      <c r="E637" s="1718"/>
      <c r="F637" s="1718"/>
    </row>
    <row r="638" spans="1:6">
      <c r="A638" s="884">
        <v>45018</v>
      </c>
      <c r="B638" s="240" t="str">
        <f>TiposLancamentos!B105</f>
        <v>Transf. Bco</v>
      </c>
      <c r="C638" s="1203" t="s">
        <v>10145</v>
      </c>
      <c r="D638" s="63">
        <v>710.54</v>
      </c>
      <c r="E638" s="865"/>
      <c r="F638" s="1027"/>
    </row>
    <row r="639" spans="1:6" ht="14.25" thickBot="1">
      <c r="A639" s="884">
        <v>45018</v>
      </c>
      <c r="B639" s="240" t="str">
        <f>TiposLancamentos!B79</f>
        <v>Financiamento Banco</v>
      </c>
      <c r="C639" s="878" t="s">
        <v>10567</v>
      </c>
      <c r="D639" s="63"/>
      <c r="E639" s="865">
        <v>698.82</v>
      </c>
      <c r="F639" s="1027"/>
    </row>
    <row r="640" spans="1:6">
      <c r="A640" s="1714"/>
      <c r="B640" s="1715"/>
      <c r="C640" s="1716" t="s">
        <v>1622</v>
      </c>
      <c r="D640" s="1717"/>
      <c r="E640" s="1718"/>
      <c r="F640" s="1718"/>
    </row>
    <row r="641" spans="1:6">
      <c r="A641" s="884">
        <v>45047</v>
      </c>
      <c r="B641" s="240" t="str">
        <f>TiposLancamentos!B105</f>
        <v>Transf. Bco</v>
      </c>
      <c r="C641" s="1203" t="s">
        <v>10145</v>
      </c>
      <c r="D641" s="63">
        <v>685.78</v>
      </c>
      <c r="E641" s="865"/>
      <c r="F641" s="1027"/>
    </row>
    <row r="642" spans="1:6">
      <c r="A642" s="884">
        <v>45047</v>
      </c>
      <c r="B642" s="240" t="str">
        <f>TiposLancamentos!B79</f>
        <v>Financiamento Banco</v>
      </c>
      <c r="C642" s="878" t="s">
        <v>10568</v>
      </c>
      <c r="D642" s="63"/>
      <c r="E642" s="865">
        <v>697.58</v>
      </c>
      <c r="F642" s="1027"/>
    </row>
    <row r="643" spans="1:6">
      <c r="A643" s="884">
        <v>45048</v>
      </c>
      <c r="B643" s="240" t="str">
        <f>TiposLancamentos!B105</f>
        <v>Transf. Bco</v>
      </c>
      <c r="C643" s="1203" t="s">
        <v>10569</v>
      </c>
      <c r="D643" s="63">
        <v>0.04</v>
      </c>
      <c r="E643" s="865"/>
      <c r="F643" s="1027"/>
    </row>
    <row r="644" spans="1:6">
      <c r="A644" s="884">
        <v>45051</v>
      </c>
      <c r="B644" s="240" t="str">
        <f>TiposLancamentos!B95</f>
        <v>Salarios</v>
      </c>
      <c r="C644" s="878" t="s">
        <v>10570</v>
      </c>
      <c r="D644" s="63">
        <v>700</v>
      </c>
      <c r="E644" s="865"/>
      <c r="F644" s="1027"/>
    </row>
    <row r="645" spans="1:6" ht="14.25" thickBot="1">
      <c r="A645" s="884">
        <v>45051</v>
      </c>
      <c r="B645" s="240" t="str">
        <f>TiposLancamentos!B105</f>
        <v>Transf. Bco</v>
      </c>
      <c r="C645" s="878" t="s">
        <v>10557</v>
      </c>
      <c r="D645" s="63"/>
      <c r="E645" s="865">
        <v>700</v>
      </c>
      <c r="F645" s="1027"/>
    </row>
    <row r="646" spans="1:6">
      <c r="A646" s="1714"/>
      <c r="B646" s="1715"/>
      <c r="C646" s="1716" t="s">
        <v>1623</v>
      </c>
      <c r="D646" s="1717"/>
      <c r="E646" s="1718"/>
      <c r="F646" s="1718"/>
    </row>
    <row r="647" spans="1:6">
      <c r="A647" s="884">
        <v>45078</v>
      </c>
      <c r="B647" s="240" t="str">
        <f>TiposLancamentos!B105</f>
        <v>Transf. Bco</v>
      </c>
      <c r="C647" s="3" t="s">
        <v>10145</v>
      </c>
      <c r="D647" s="63">
        <v>697.99</v>
      </c>
      <c r="E647" s="865"/>
      <c r="F647" s="1027"/>
    </row>
    <row r="648" spans="1:6">
      <c r="A648" s="884">
        <v>45078</v>
      </c>
      <c r="B648" s="240" t="str">
        <f>TiposLancamentos!B79</f>
        <v>Financiamento Banco</v>
      </c>
      <c r="C648" s="878" t="s">
        <v>10571</v>
      </c>
      <c r="D648" s="63"/>
      <c r="E648" s="865">
        <v>697.99</v>
      </c>
      <c r="F648" s="1027"/>
    </row>
    <row r="649" spans="1:6">
      <c r="A649" s="884">
        <v>45089</v>
      </c>
      <c r="B649" s="240" t="str">
        <f>TiposLancamentos!B95</f>
        <v>Salarios</v>
      </c>
      <c r="C649" s="878" t="s">
        <v>10570</v>
      </c>
      <c r="D649" s="63">
        <v>700</v>
      </c>
      <c r="E649" s="865"/>
      <c r="F649" s="1027"/>
    </row>
    <row r="650" spans="1:6">
      <c r="A650" s="884">
        <v>45089</v>
      </c>
      <c r="B650" s="240" t="str">
        <f>TiposLancamentos!B105</f>
        <v>Transf. Bco</v>
      </c>
      <c r="C650" s="878" t="s">
        <v>10557</v>
      </c>
      <c r="D650" s="63"/>
      <c r="E650" s="865">
        <v>700</v>
      </c>
      <c r="F650" s="1027"/>
    </row>
    <row r="651" spans="1:6">
      <c r="A651" s="884">
        <v>45098</v>
      </c>
      <c r="B651" s="240" t="str">
        <f>TiposLancamentos!B98</f>
        <v>Restituições</v>
      </c>
      <c r="C651" s="3" t="s">
        <v>10572</v>
      </c>
      <c r="D651" s="63">
        <v>149.5</v>
      </c>
      <c r="E651" s="865"/>
      <c r="F651" s="1027"/>
    </row>
    <row r="652" spans="1:6" ht="14.25" thickBot="1">
      <c r="A652" s="884">
        <v>45098</v>
      </c>
      <c r="B652" s="240" t="str">
        <f>TiposLancamentos!B16</f>
        <v>Cristiane</v>
      </c>
      <c r="C652" s="3" t="s">
        <v>10573</v>
      </c>
      <c r="D652" s="63"/>
      <c r="E652" s="865">
        <v>149.5</v>
      </c>
      <c r="F652" s="1027"/>
    </row>
    <row r="653" spans="1:6">
      <c r="A653" s="1714"/>
      <c r="B653" s="1715"/>
      <c r="C653" s="1716" t="s">
        <v>1624</v>
      </c>
      <c r="D653" s="1717"/>
      <c r="E653" s="1718"/>
      <c r="F653" s="1718"/>
    </row>
    <row r="654" spans="1:6">
      <c r="A654" s="884">
        <v>45108</v>
      </c>
      <c r="B654" s="240" t="str">
        <f>TiposLancamentos!B105</f>
        <v>Transf. Bco</v>
      </c>
      <c r="C654" s="3" t="s">
        <v>10145</v>
      </c>
      <c r="D654" s="63">
        <v>697.58</v>
      </c>
      <c r="E654" s="865"/>
      <c r="F654" s="1027"/>
    </row>
    <row r="655" spans="1:6">
      <c r="A655" s="884">
        <v>45108</v>
      </c>
      <c r="B655" s="240" t="str">
        <f>TiposLancamentos!B79</f>
        <v>Financiamento Banco</v>
      </c>
      <c r="C655" s="878" t="s">
        <v>10574</v>
      </c>
      <c r="D655" s="63"/>
      <c r="E655" s="865">
        <v>697.58</v>
      </c>
      <c r="F655" s="1027"/>
    </row>
    <row r="656" spans="1:6">
      <c r="A656" s="884">
        <v>45108</v>
      </c>
      <c r="B656" s="240" t="str">
        <f>TiposLancamentos!B105</f>
        <v>Transf. Bco</v>
      </c>
      <c r="C656" s="3" t="s">
        <v>10145</v>
      </c>
      <c r="D656" s="63">
        <v>378.41</v>
      </c>
      <c r="E656" s="865"/>
      <c r="F656" s="1027"/>
    </row>
    <row r="657" spans="1:6">
      <c r="A657" s="884">
        <v>45108</v>
      </c>
      <c r="B657" s="240" t="str">
        <f>TiposLancamentos!B15</f>
        <v>Cartões de Crédito</v>
      </c>
      <c r="C657" s="3" t="s">
        <v>9131</v>
      </c>
      <c r="D657" s="63"/>
      <c r="E657" s="865">
        <v>378.41</v>
      </c>
      <c r="F657" s="1027"/>
    </row>
    <row r="658" spans="1:6">
      <c r="A658" s="884">
        <v>45110</v>
      </c>
      <c r="B658" s="240" t="str">
        <f>TiposLancamentos!B95</f>
        <v>Salarios</v>
      </c>
      <c r="C658" s="878" t="s">
        <v>10570</v>
      </c>
      <c r="D658" s="63">
        <v>700</v>
      </c>
      <c r="E658" s="865"/>
      <c r="F658" s="1027"/>
    </row>
    <row r="659" spans="1:6">
      <c r="A659" s="884">
        <v>45110</v>
      </c>
      <c r="B659" s="240" t="str">
        <f>TiposLancamentos!B105</f>
        <v>Transf. Bco</v>
      </c>
      <c r="C659" s="3" t="s">
        <v>10052</v>
      </c>
      <c r="D659" s="63"/>
      <c r="E659" s="865">
        <v>700</v>
      </c>
      <c r="F659" s="1027"/>
    </row>
    <row r="660" spans="1:6">
      <c r="A660" s="884">
        <v>45127</v>
      </c>
      <c r="B660" s="240" t="str">
        <f>TiposLancamentos!B98</f>
        <v>Restituições</v>
      </c>
      <c r="C660" s="3" t="s">
        <v>10572</v>
      </c>
      <c r="D660" s="63">
        <v>74.75</v>
      </c>
      <c r="E660" s="865"/>
      <c r="F660" s="1027"/>
    </row>
    <row r="661" spans="1:6">
      <c r="A661" s="884">
        <v>45127</v>
      </c>
      <c r="B661" s="240" t="str">
        <f>TiposLancamentos!B16</f>
        <v>Cristiane</v>
      </c>
      <c r="C661" s="3" t="s">
        <v>10573</v>
      </c>
      <c r="D661" s="63"/>
      <c r="E661" s="865">
        <v>74.75</v>
      </c>
      <c r="F661" s="1027"/>
    </row>
    <row r="662" spans="1:6">
      <c r="A662" s="884">
        <v>45138</v>
      </c>
      <c r="B662" s="240" t="str">
        <f>TiposLancamentos!B98</f>
        <v>Restituições</v>
      </c>
      <c r="C662" s="3" t="s">
        <v>10575</v>
      </c>
      <c r="D662" s="63">
        <v>1304.6199999999999</v>
      </c>
      <c r="E662" s="865"/>
      <c r="F662" s="1027"/>
    </row>
    <row r="663" spans="1:6">
      <c r="A663" s="884">
        <v>45138</v>
      </c>
      <c r="B663" s="240" t="str">
        <f>TiposLancamentos!B79</f>
        <v>Financiamento Banco</v>
      </c>
      <c r="C663" s="3" t="s">
        <v>10576</v>
      </c>
      <c r="D663" s="63"/>
      <c r="E663" s="865">
        <v>697.16</v>
      </c>
      <c r="F663" s="1027"/>
    </row>
    <row r="664" spans="1:6" ht="14.25" thickBot="1">
      <c r="A664" s="884">
        <v>45138</v>
      </c>
      <c r="B664" s="240" t="str">
        <f>TiposLancamentos!B54</f>
        <v>Metro</v>
      </c>
      <c r="C664" s="3" t="s">
        <v>10577</v>
      </c>
      <c r="D664" s="63"/>
      <c r="E664" s="865">
        <v>4.4000000000000004</v>
      </c>
      <c r="F664" s="1027"/>
    </row>
    <row r="665" spans="1:6">
      <c r="A665" s="1714"/>
      <c r="B665" s="1715"/>
      <c r="C665" s="1716" t="s">
        <v>1625</v>
      </c>
      <c r="D665" s="1717"/>
      <c r="E665" s="1718"/>
      <c r="F665" s="1718"/>
    </row>
    <row r="666" spans="1:6">
      <c r="A666" s="884">
        <v>45139</v>
      </c>
      <c r="B666" s="240" t="str">
        <f>TiposLancamentos!B105</f>
        <v>Transf. Bco</v>
      </c>
      <c r="C666" s="3" t="s">
        <v>10578</v>
      </c>
      <c r="D666" s="63">
        <v>176.26</v>
      </c>
      <c r="E666" s="865"/>
      <c r="F666" s="1027"/>
    </row>
    <row r="667" spans="1:6" ht="14.25" thickBot="1">
      <c r="A667" s="884">
        <v>45139</v>
      </c>
      <c r="B667" s="240" t="str">
        <f>TiposLancamentos!B15</f>
        <v>Cartões de Crédito</v>
      </c>
      <c r="C667" s="3" t="s">
        <v>9131</v>
      </c>
      <c r="D667" s="63"/>
      <c r="E667" s="865">
        <v>780.25</v>
      </c>
      <c r="F667" s="1027"/>
    </row>
    <row r="668" spans="1:6">
      <c r="A668" s="1714"/>
      <c r="B668" s="1715"/>
      <c r="C668" s="1716" t="s">
        <v>1626</v>
      </c>
      <c r="D668" s="1717"/>
      <c r="E668" s="1718"/>
      <c r="F668" s="1718"/>
    </row>
    <row r="669" spans="1:6">
      <c r="A669" s="884">
        <v>45170</v>
      </c>
      <c r="B669" s="240" t="str">
        <f>TiposLancamentos!B105</f>
        <v>Transf. Bco</v>
      </c>
      <c r="C669" s="3" t="s">
        <v>10578</v>
      </c>
      <c r="D669" s="63">
        <v>697.99</v>
      </c>
      <c r="E669" s="865"/>
      <c r="F669" s="1027"/>
    </row>
    <row r="670" spans="1:6">
      <c r="A670" s="884">
        <v>45170</v>
      </c>
      <c r="B670" s="240" t="str">
        <f>TiposLancamentos!B79</f>
        <v>Financiamento Banco</v>
      </c>
      <c r="C670" s="3" t="s">
        <v>10576</v>
      </c>
      <c r="D670" s="63"/>
      <c r="E670" s="865">
        <v>697.99</v>
      </c>
      <c r="F670" s="1027"/>
    </row>
    <row r="671" spans="1:6">
      <c r="A671" s="884">
        <v>45181</v>
      </c>
      <c r="B671" s="240" t="str">
        <f>TiposLancamentos!B105</f>
        <v>Transf. Bco</v>
      </c>
      <c r="C671" s="3" t="s">
        <v>10579</v>
      </c>
      <c r="D671" s="63">
        <v>2700.22</v>
      </c>
      <c r="E671" s="865"/>
      <c r="F671" s="1027"/>
    </row>
    <row r="672" spans="1:6">
      <c r="A672" s="884">
        <v>45181</v>
      </c>
      <c r="B672" s="240" t="str">
        <f>TiposLancamentos!B21</f>
        <v>Transf. Poupanca</v>
      </c>
      <c r="C672" s="3" t="s">
        <v>10580</v>
      </c>
      <c r="D672" s="63"/>
      <c r="E672" s="865">
        <v>2700</v>
      </c>
      <c r="F672" s="1027"/>
    </row>
    <row r="673" spans="1:6">
      <c r="A673" s="884">
        <v>45185</v>
      </c>
      <c r="B673" s="240" t="str">
        <f>TiposLancamentos!B96</f>
        <v>Resg.Poup.</v>
      </c>
      <c r="C673" s="3" t="s">
        <v>10581</v>
      </c>
      <c r="D673" s="63"/>
      <c r="E673" s="865"/>
      <c r="F673" s="1027"/>
    </row>
    <row r="674" spans="1:6" ht="14.25" thickBot="1">
      <c r="A674" s="884">
        <v>45185</v>
      </c>
      <c r="B674" s="240" t="str">
        <f>TiposLancamentos!B16</f>
        <v>Cristiane</v>
      </c>
      <c r="C674" s="3" t="s">
        <v>10582</v>
      </c>
      <c r="D674" s="63"/>
      <c r="E674" s="865"/>
      <c r="F674" s="1027"/>
    </row>
    <row r="675" spans="1:6">
      <c r="A675" s="1714"/>
      <c r="B675" s="1715"/>
      <c r="C675" s="1716" t="s">
        <v>1627</v>
      </c>
      <c r="D675" s="1717"/>
      <c r="E675" s="1718"/>
      <c r="F675" s="1718"/>
    </row>
    <row r="676" spans="1:6">
      <c r="A676" s="884">
        <v>45209</v>
      </c>
      <c r="B676" s="240" t="str">
        <f>TiposLancamentos!B105</f>
        <v>Transf. Bco</v>
      </c>
      <c r="C676" s="3" t="s">
        <v>10579</v>
      </c>
      <c r="D676" s="63">
        <v>2023.3</v>
      </c>
      <c r="E676" s="865"/>
      <c r="F676" s="1027"/>
    </row>
    <row r="677" spans="1:6">
      <c r="A677" s="884">
        <v>45209</v>
      </c>
      <c r="B677" s="240" t="str">
        <f>TiposLancamentos!B16</f>
        <v>Cristiane</v>
      </c>
      <c r="C677" s="3" t="s">
        <v>10583</v>
      </c>
      <c r="D677" s="63"/>
      <c r="E677" s="865">
        <v>1500</v>
      </c>
      <c r="F677" s="1027"/>
    </row>
    <row r="678" spans="1:6">
      <c r="A678" s="884">
        <v>45209</v>
      </c>
      <c r="B678" s="240" t="str">
        <f>TiposLancamentos!B41</f>
        <v>PSP Slim 3k</v>
      </c>
      <c r="C678" s="3" t="s">
        <v>10584</v>
      </c>
      <c r="D678" s="63"/>
      <c r="E678" s="865">
        <v>22.3</v>
      </c>
      <c r="F678" s="1027"/>
    </row>
    <row r="679" spans="1:6">
      <c r="A679" s="884">
        <v>45209</v>
      </c>
      <c r="B679" s="240" t="str">
        <f>TiposLancamentos!B21</f>
        <v>Transf. Poupanca</v>
      </c>
      <c r="C679" s="3" t="s">
        <v>10580</v>
      </c>
      <c r="D679" s="63"/>
      <c r="E679" s="865">
        <v>501</v>
      </c>
      <c r="F679" s="1027"/>
    </row>
    <row r="680" spans="1:6">
      <c r="A680" s="884">
        <v>45210</v>
      </c>
      <c r="B680" s="240" t="str">
        <f>TiposLancamentos!B96</f>
        <v>Resg.Poup.</v>
      </c>
      <c r="C680" s="3" t="s">
        <v>10581</v>
      </c>
      <c r="D680" s="63">
        <v>79.8</v>
      </c>
      <c r="E680" s="865"/>
      <c r="F680" s="1027"/>
    </row>
    <row r="681" spans="1:6">
      <c r="A681" s="884">
        <v>45210</v>
      </c>
      <c r="B681" s="240" t="str">
        <f>TiposLancamentos!B18</f>
        <v>Alimentacao</v>
      </c>
      <c r="C681" s="3" t="s">
        <v>10585</v>
      </c>
      <c r="D681" s="63"/>
      <c r="E681" s="865">
        <v>79.8</v>
      </c>
      <c r="F681" s="1027"/>
    </row>
    <row r="682" spans="1:6">
      <c r="A682" s="884">
        <v>45211</v>
      </c>
      <c r="B682" s="240" t="str">
        <f>TiposLancamentos!B96</f>
        <v>Resg.Poup.</v>
      </c>
      <c r="C682" s="3" t="s">
        <v>10581</v>
      </c>
      <c r="D682" s="63">
        <v>100</v>
      </c>
      <c r="E682" s="865"/>
      <c r="F682" s="1027"/>
    </row>
    <row r="683" spans="1:6">
      <c r="A683" s="884">
        <v>45211</v>
      </c>
      <c r="B683" s="240" t="str">
        <f>TiposLancamentos!B46</f>
        <v>Maçonaria</v>
      </c>
      <c r="C683" s="3" t="s">
        <v>10586</v>
      </c>
      <c r="D683" s="63"/>
      <c r="E683" s="865">
        <v>100</v>
      </c>
      <c r="F683" s="1027"/>
    </row>
    <row r="684" spans="1:6">
      <c r="A684" s="884">
        <v>45216</v>
      </c>
      <c r="B684" s="240" t="str">
        <f>TiposLancamentos!B96</f>
        <v>Resg.Poup.</v>
      </c>
      <c r="C684" s="3" t="s">
        <v>10581</v>
      </c>
      <c r="D684" s="63">
        <v>210</v>
      </c>
      <c r="E684" s="865"/>
      <c r="F684" s="1027"/>
    </row>
    <row r="685" spans="1:6">
      <c r="A685" s="884">
        <v>45216</v>
      </c>
      <c r="B685" s="240" t="str">
        <f>TiposLancamentos!B105</f>
        <v>Transf. Bco</v>
      </c>
      <c r="C685" s="3" t="s">
        <v>10587</v>
      </c>
      <c r="D685" s="63"/>
      <c r="E685" s="865">
        <v>210</v>
      </c>
      <c r="F685" s="1027"/>
    </row>
    <row r="686" spans="1:6">
      <c r="A686" s="884">
        <v>45224</v>
      </c>
      <c r="B686" s="240" t="str">
        <f>TiposLancamentos!B96</f>
        <v>Resg.Poup.</v>
      </c>
      <c r="C686" s="3" t="s">
        <v>10581</v>
      </c>
      <c r="D686" s="63">
        <v>35</v>
      </c>
      <c r="E686" s="865"/>
      <c r="F686" s="1027"/>
    </row>
    <row r="687" spans="1:6">
      <c r="A687" s="884">
        <v>45224</v>
      </c>
      <c r="B687" s="240" t="str">
        <f>TiposLancamentos!B18</f>
        <v>Alimentacao</v>
      </c>
      <c r="C687" s="3" t="s">
        <v>10588</v>
      </c>
      <c r="D687" s="63"/>
      <c r="E687" s="865">
        <v>35</v>
      </c>
      <c r="F687" s="1027"/>
    </row>
    <row r="688" spans="1:6">
      <c r="A688" s="884">
        <v>45224</v>
      </c>
      <c r="B688" s="240" t="str">
        <f>TiposLancamentos!B96</f>
        <v>Resg.Poup.</v>
      </c>
      <c r="C688" s="3" t="s">
        <v>10581</v>
      </c>
      <c r="D688" s="63">
        <v>80</v>
      </c>
      <c r="E688" s="865"/>
      <c r="F688" s="1027"/>
    </row>
    <row r="689" spans="1:6" ht="14.25" thickBot="1">
      <c r="A689" s="884">
        <v>45224</v>
      </c>
      <c r="B689" s="240" t="str">
        <f>TiposLancamentos!B71</f>
        <v>Itens Pessoais</v>
      </c>
      <c r="C689" s="3" t="s">
        <v>10589</v>
      </c>
      <c r="D689" s="63"/>
      <c r="E689" s="865">
        <v>80</v>
      </c>
      <c r="F689" s="1027"/>
    </row>
    <row r="690" spans="1:6">
      <c r="A690" s="1714"/>
      <c r="B690" s="1715"/>
      <c r="C690" s="1716" t="s">
        <v>1628</v>
      </c>
      <c r="D690" s="1717"/>
      <c r="E690" s="1718"/>
      <c r="F690" s="1718"/>
    </row>
    <row r="691" spans="1:6">
      <c r="A691" s="884">
        <v>45244</v>
      </c>
      <c r="B691" s="240" t="str">
        <f>TiposLancamentos!B105</f>
        <v>Transf. Bco</v>
      </c>
      <c r="C691" s="3" t="s">
        <v>10590</v>
      </c>
      <c r="D691" s="63">
        <v>10</v>
      </c>
      <c r="E691" s="865"/>
      <c r="F691" s="1027"/>
    </row>
    <row r="692" spans="1:6">
      <c r="A692" s="884">
        <v>45244</v>
      </c>
      <c r="B692" s="240" t="str">
        <f>TiposLancamentos!B96</f>
        <v>Resg.Poup.</v>
      </c>
      <c r="C692" s="3" t="s">
        <v>10581</v>
      </c>
      <c r="D692" s="63">
        <v>200</v>
      </c>
      <c r="E692" s="865"/>
      <c r="F692" s="1027"/>
    </row>
    <row r="693" spans="1:6" ht="14.25" thickBot="1">
      <c r="A693" s="884">
        <v>45244</v>
      </c>
      <c r="B693" s="240" t="str">
        <f>TiposLancamentos!B46</f>
        <v>Maçonaria</v>
      </c>
      <c r="C693" s="3" t="s">
        <v>10591</v>
      </c>
      <c r="D693" s="63"/>
      <c r="E693" s="865">
        <v>210</v>
      </c>
      <c r="F693" s="1027"/>
    </row>
    <row r="694" spans="1:6">
      <c r="A694" s="1714"/>
      <c r="B694" s="1715"/>
      <c r="C694" s="1716" t="s">
        <v>1629</v>
      </c>
      <c r="D694" s="1717"/>
      <c r="E694" s="1718"/>
      <c r="F694" s="1718"/>
    </row>
    <row r="695" spans="1:6">
      <c r="A695" s="884">
        <v>45264</v>
      </c>
      <c r="B695" s="240" t="str">
        <f>TiposLancamentos!B105</f>
        <v>Transf. Bco</v>
      </c>
      <c r="C695" s="3" t="s">
        <v>10592</v>
      </c>
      <c r="D695" s="63"/>
      <c r="E695" s="865">
        <v>0.22</v>
      </c>
      <c r="F695" s="1027"/>
    </row>
    <row r="696" spans="1:6">
      <c r="A696" s="884">
        <v>45264</v>
      </c>
      <c r="B696" s="240" t="str">
        <f>TiposLancamentos!B96</f>
        <v>Resg.Poup.</v>
      </c>
      <c r="C696" s="3" t="s">
        <v>10581</v>
      </c>
      <c r="D696" s="63">
        <v>0.2</v>
      </c>
      <c r="E696" s="865"/>
      <c r="F696" s="1027"/>
    </row>
    <row r="697" spans="1:6">
      <c r="A697" s="884">
        <v>45264</v>
      </c>
      <c r="B697" s="240" t="str">
        <f>TiposLancamentos!B105</f>
        <v>Transf. Bco</v>
      </c>
      <c r="C697" s="3" t="s">
        <v>10592</v>
      </c>
      <c r="D697" s="63"/>
      <c r="E697" s="865">
        <v>0.2</v>
      </c>
      <c r="F697" s="1027"/>
    </row>
    <row r="698" spans="1:6" ht="14.25" thickBot="1">
      <c r="A698" s="884">
        <v>45286</v>
      </c>
      <c r="B698" s="240" t="str">
        <f>TiposLancamentos!B98</f>
        <v>Restituições</v>
      </c>
      <c r="C698" s="3" t="s">
        <v>10593</v>
      </c>
      <c r="D698" s="63">
        <v>109.76</v>
      </c>
      <c r="E698" s="865"/>
      <c r="F698" s="1027"/>
    </row>
    <row r="699" spans="1:6">
      <c r="A699" s="1714"/>
      <c r="B699" s="1715"/>
      <c r="C699" s="1716" t="s">
        <v>1630</v>
      </c>
      <c r="D699" s="1717"/>
      <c r="E699" s="1718"/>
      <c r="F699" s="1718"/>
    </row>
    <row r="700" spans="1:6" ht="14.25" thickBot="1">
      <c r="A700" s="884">
        <v>45294</v>
      </c>
      <c r="B700" s="240" t="str">
        <f>TiposLancamentos!B105</f>
        <v>Transf. Bco</v>
      </c>
      <c r="C700" s="3" t="s">
        <v>9242</v>
      </c>
      <c r="D700" s="63"/>
      <c r="E700" s="865">
        <v>108.83</v>
      </c>
      <c r="F700" s="1027"/>
    </row>
    <row r="701" spans="1:6">
      <c r="A701" s="1714"/>
      <c r="B701" s="1715"/>
      <c r="C701" s="1716" t="s">
        <v>1631</v>
      </c>
      <c r="D701" s="1717"/>
      <c r="E701" s="1718"/>
      <c r="F701" s="1718"/>
    </row>
    <row r="702" spans="1:6" ht="14.25" thickBot="1">
      <c r="A702" s="884">
        <v>45351</v>
      </c>
      <c r="B702" s="240" t="str">
        <f>TiposLancamentos!B103</f>
        <v>Juros_Corr. Poupança</v>
      </c>
      <c r="C702" s="878" t="s">
        <v>7341</v>
      </c>
      <c r="D702" s="63">
        <v>0.02</v>
      </c>
      <c r="E702" s="865"/>
      <c r="F702" s="1027"/>
    </row>
    <row r="703" spans="1:6">
      <c r="A703" s="1714"/>
      <c r="B703" s="1715"/>
      <c r="C703" s="1716" t="s">
        <v>1632</v>
      </c>
      <c r="D703" s="1717"/>
      <c r="E703" s="1718"/>
      <c r="F703" s="1718"/>
    </row>
    <row r="704" spans="1:6" ht="14.25" thickBot="1">
      <c r="A704" s="884">
        <v>45356</v>
      </c>
      <c r="B704" s="240" t="str">
        <f>TiposLancamentos!B105</f>
        <v>Transf. Bco</v>
      </c>
      <c r="C704" s="3" t="s">
        <v>10594</v>
      </c>
      <c r="D704" s="63"/>
      <c r="E704" s="865">
        <v>0.02</v>
      </c>
      <c r="F704" s="1027"/>
    </row>
    <row r="705" spans="1:6">
      <c r="A705" s="1714"/>
      <c r="B705" s="1715"/>
      <c r="C705" s="1716" t="s">
        <v>1633</v>
      </c>
      <c r="D705" s="1717"/>
      <c r="E705" s="1718"/>
      <c r="F705" s="1718"/>
    </row>
    <row r="706" spans="1:6" ht="14.25" thickBot="1">
      <c r="A706" s="884">
        <v>45397</v>
      </c>
      <c r="B706" s="240" t="str">
        <f>TiposLancamentos!B103</f>
        <v>Juros_Corr. Poupança</v>
      </c>
      <c r="C706" s="878" t="s">
        <v>7341</v>
      </c>
      <c r="D706" s="63">
        <v>0.01</v>
      </c>
      <c r="E706" s="865"/>
      <c r="F706" s="1027"/>
    </row>
    <row r="707" spans="1:6">
      <c r="A707" s="1714"/>
      <c r="B707" s="1715"/>
      <c r="C707" s="1716" t="s">
        <v>1634</v>
      </c>
      <c r="D707" s="1717"/>
      <c r="E707" s="1718"/>
      <c r="F707" s="1718"/>
    </row>
    <row r="708" spans="1:6" ht="14.25" thickBot="1">
      <c r="A708" s="884">
        <v>45425</v>
      </c>
      <c r="B708" s="240" t="str">
        <f>TiposLancamentos!B103</f>
        <v>Juros_Corr. Poupança</v>
      </c>
      <c r="C708" s="878" t="s">
        <v>7341</v>
      </c>
      <c r="D708" s="63">
        <v>0.01</v>
      </c>
      <c r="E708" s="865"/>
      <c r="F708" s="1027"/>
    </row>
    <row r="709" spans="1:6">
      <c r="A709" s="1714"/>
      <c r="B709" s="1715"/>
      <c r="C709" s="1716" t="s">
        <v>1635</v>
      </c>
      <c r="D709" s="1717"/>
      <c r="E709" s="1718"/>
      <c r="F709" s="1718"/>
    </row>
    <row r="710" spans="1:6" ht="14.25" thickBot="1">
      <c r="A710" s="884"/>
      <c r="B710" s="240"/>
      <c r="C710" s="3" t="s">
        <v>1947</v>
      </c>
      <c r="D710" s="63"/>
      <c r="E710" s="865"/>
      <c r="F710" s="1027"/>
    </row>
    <row r="711" spans="1:6">
      <c r="A711" s="1714"/>
      <c r="B711" s="1715"/>
      <c r="C711" s="1716" t="s">
        <v>1636</v>
      </c>
      <c r="D711" s="1717"/>
      <c r="E711" s="1718"/>
      <c r="F711" s="1718"/>
    </row>
    <row r="712" spans="1:6" ht="14.25" thickBot="1">
      <c r="A712" s="884">
        <v>45494</v>
      </c>
      <c r="B712" s="240" t="str">
        <f>TiposLancamentos!B97</f>
        <v>Deposito Terc.</v>
      </c>
      <c r="C712" s="3" t="s">
        <v>10595</v>
      </c>
      <c r="D712" s="63">
        <v>259</v>
      </c>
      <c r="E712" s="865"/>
      <c r="F712" s="1027"/>
    </row>
    <row r="713" spans="1:6">
      <c r="A713" s="1714"/>
      <c r="B713" s="1715"/>
      <c r="C713" s="1716" t="s">
        <v>1637</v>
      </c>
      <c r="D713" s="1717"/>
      <c r="E713" s="1718"/>
      <c r="F713" s="1718"/>
    </row>
    <row r="714" spans="1:6">
      <c r="A714" s="884">
        <v>45532</v>
      </c>
      <c r="B714" s="240" t="str">
        <f>TiposLancamentos!B103</f>
        <v>Juros_Corr. Poupança</v>
      </c>
      <c r="C714" s="3" t="s">
        <v>10596</v>
      </c>
      <c r="D714" s="63">
        <v>2.16</v>
      </c>
      <c r="E714" s="865"/>
      <c r="F714" s="1027"/>
    </row>
    <row r="715" spans="1:6">
      <c r="A715" s="919">
        <v>45532</v>
      </c>
      <c r="B715" s="830" t="str">
        <f>TiposLancamentos!B36</f>
        <v>Playstation 2</v>
      </c>
      <c r="C715" s="915" t="s">
        <v>10597</v>
      </c>
      <c r="D715" s="917"/>
      <c r="E715" s="920">
        <v>149</v>
      </c>
      <c r="F715" s="1290"/>
    </row>
    <row r="716" spans="1:6">
      <c r="A716" s="921">
        <v>45532</v>
      </c>
      <c r="B716" s="833" t="str">
        <f>TiposLancamentos!B60</f>
        <v>Correio</v>
      </c>
      <c r="C716" s="916" t="s">
        <v>10598</v>
      </c>
      <c r="D716" s="918"/>
      <c r="E716" s="922">
        <v>21</v>
      </c>
      <c r="F716" s="1291">
        <f>SUM(E715:E716)</f>
        <v>170</v>
      </c>
    </row>
    <row r="717" spans="1:6">
      <c r="A717" s="884">
        <v>45533</v>
      </c>
      <c r="B717" s="240" t="str">
        <f>TiposLancamentos!B105</f>
        <v>Transf. Bco</v>
      </c>
      <c r="C717" s="3" t="s">
        <v>10599</v>
      </c>
      <c r="D717" s="63"/>
      <c r="E717" s="865">
        <v>91.18</v>
      </c>
      <c r="F717" s="1027"/>
    </row>
    <row r="718" spans="1:6">
      <c r="A718" s="884">
        <v>45534</v>
      </c>
      <c r="B718" s="240" t="str">
        <f>TiposLancamentos!B96</f>
        <v>Resg.Poup.</v>
      </c>
      <c r="C718" s="3" t="s">
        <v>10600</v>
      </c>
      <c r="D718" s="63">
        <v>1116.94</v>
      </c>
      <c r="E718" s="865"/>
      <c r="F718" s="1027"/>
    </row>
    <row r="719" spans="1:6">
      <c r="A719" s="884">
        <v>45534</v>
      </c>
      <c r="B719" s="240" t="str">
        <f>TiposLancamentos!B103</f>
        <v>Juros_Corr. Poupança</v>
      </c>
      <c r="C719" s="3" t="s">
        <v>10596</v>
      </c>
      <c r="D719" s="63">
        <v>0.03</v>
      </c>
      <c r="E719" s="865"/>
      <c r="F719" s="1027"/>
    </row>
    <row r="720" spans="1:6" ht="14.25" thickBot="1">
      <c r="A720" s="884">
        <v>45534</v>
      </c>
      <c r="B720" s="240" t="str">
        <f>TiposLancamentos!B105</f>
        <v>Transf. Bco</v>
      </c>
      <c r="C720" s="3" t="s">
        <v>10599</v>
      </c>
      <c r="D720" s="63"/>
      <c r="E720" s="865">
        <v>1116.97</v>
      </c>
      <c r="F720" s="1027"/>
    </row>
    <row r="721" spans="1:6">
      <c r="A721" s="1714"/>
      <c r="B721" s="1715"/>
      <c r="C721" s="1716" t="s">
        <v>1638</v>
      </c>
      <c r="D721" s="1717"/>
      <c r="E721" s="1718"/>
      <c r="F721" s="1718"/>
    </row>
    <row r="722" spans="1:6">
      <c r="A722" s="884">
        <v>45541</v>
      </c>
      <c r="B722" s="240" t="str">
        <f>TiposLancamentos!B105</f>
        <v>Transf. Bco</v>
      </c>
      <c r="C722" s="3" t="s">
        <v>10601</v>
      </c>
      <c r="D722" s="63">
        <v>6023</v>
      </c>
      <c r="E722" s="865"/>
      <c r="F722" s="1027"/>
    </row>
    <row r="723" spans="1:6" ht="14.25" thickBot="1">
      <c r="A723" s="884">
        <v>45541</v>
      </c>
      <c r="B723" s="240" t="str">
        <f>TiposLancamentos!B105</f>
        <v>Transf. Bco</v>
      </c>
      <c r="C723" s="3" t="s">
        <v>10602</v>
      </c>
      <c r="D723" s="63"/>
      <c r="E723" s="865">
        <v>6023</v>
      </c>
      <c r="F723" s="1027"/>
    </row>
    <row r="724" spans="1:6">
      <c r="A724" s="1714"/>
      <c r="B724" s="1715"/>
      <c r="C724" s="1716" t="s">
        <v>1639</v>
      </c>
      <c r="D724" s="1717"/>
      <c r="E724" s="1718"/>
      <c r="F724" s="1718"/>
    </row>
    <row r="725" spans="1:6" ht="14.25" thickBot="1">
      <c r="A725" s="884"/>
      <c r="B725" s="240"/>
      <c r="C725" s="3" t="s">
        <v>1947</v>
      </c>
      <c r="D725" s="63"/>
      <c r="E725" s="952"/>
      <c r="F725" s="1027"/>
    </row>
    <row r="726" spans="1:6">
      <c r="A726" s="1714"/>
      <c r="B726" s="1715"/>
      <c r="C726" s="1716" t="s">
        <v>1640</v>
      </c>
      <c r="D726" s="1717"/>
      <c r="E726" s="1718"/>
      <c r="F726" s="1718"/>
    </row>
    <row r="727" spans="1:6" ht="14.25" thickBot="1">
      <c r="A727" s="884">
        <v>45618</v>
      </c>
      <c r="B727" s="240" t="str">
        <f>TiposLancamentos!B103</f>
        <v>Juros_Corr. Poupança</v>
      </c>
      <c r="C727" s="3" t="s">
        <v>10596</v>
      </c>
      <c r="D727" s="63">
        <v>0.02</v>
      </c>
      <c r="E727" s="865"/>
      <c r="F727" s="1027"/>
    </row>
    <row r="728" spans="1:6">
      <c r="A728" s="1714"/>
      <c r="B728" s="1715"/>
      <c r="C728" s="1716" t="s">
        <v>1641</v>
      </c>
      <c r="D728" s="1717"/>
      <c r="E728" s="1718"/>
      <c r="F728" s="1718"/>
    </row>
    <row r="729" spans="1:6" ht="14.25" thickBot="1">
      <c r="A729" s="884">
        <v>45657</v>
      </c>
      <c r="B729" s="240" t="str">
        <f>TiposLancamentos!B103</f>
        <v>Juros_Corr. Poupança</v>
      </c>
      <c r="C729" s="3" t="s">
        <v>10596</v>
      </c>
      <c r="D729" s="63">
        <v>0.01</v>
      </c>
      <c r="E729" s="865"/>
      <c r="F729" s="1027"/>
    </row>
    <row r="730" spans="1:6">
      <c r="A730" s="1714"/>
      <c r="B730" s="1715"/>
      <c r="C730" s="1716" t="s">
        <v>1642</v>
      </c>
      <c r="D730" s="1717"/>
      <c r="E730" s="1718"/>
      <c r="F730" s="1718"/>
    </row>
    <row r="731" spans="1:6">
      <c r="A731" s="884">
        <v>45665</v>
      </c>
      <c r="B731" s="240" t="str">
        <f>TiposLancamentos!B105</f>
        <v>Transf. Bco</v>
      </c>
      <c r="C731" s="3" t="s">
        <v>9242</v>
      </c>
      <c r="D731" s="63"/>
      <c r="E731" s="865">
        <v>0.96</v>
      </c>
      <c r="F731" s="1027"/>
    </row>
    <row r="732" spans="1:6">
      <c r="A732" s="884">
        <v>45666</v>
      </c>
      <c r="B732" s="240" t="str">
        <f>TiposLancamentos!B105</f>
        <v>Transf. Bco</v>
      </c>
      <c r="C732" s="3" t="s">
        <v>10603</v>
      </c>
      <c r="D732" s="63">
        <v>2780</v>
      </c>
      <c r="E732" s="865"/>
      <c r="F732" s="1027"/>
    </row>
    <row r="733" spans="1:6">
      <c r="A733" s="884">
        <v>45666</v>
      </c>
      <c r="B733" s="240" t="str">
        <f>TiposLancamentos!B21</f>
        <v>Transf. Poupanca</v>
      </c>
      <c r="C733" s="3" t="s">
        <v>10604</v>
      </c>
      <c r="D733" s="63"/>
      <c r="E733" s="865">
        <v>2780</v>
      </c>
      <c r="F733" s="1027"/>
    </row>
    <row r="734" spans="1:6">
      <c r="A734" s="884">
        <v>45675</v>
      </c>
      <c r="B734" s="240" t="str">
        <f>TiposLancamentos!B105</f>
        <v>Transf. Bco</v>
      </c>
      <c r="C734" s="3" t="s">
        <v>10605</v>
      </c>
      <c r="D734" s="63">
        <v>138</v>
      </c>
      <c r="E734" s="865"/>
      <c r="F734" s="1027"/>
    </row>
    <row r="735" spans="1:6">
      <c r="A735" s="884">
        <v>45675</v>
      </c>
      <c r="B735" s="240" t="str">
        <f>TiposLancamentos!B21</f>
        <v>Transf. Poupanca</v>
      </c>
      <c r="C735" s="3" t="s">
        <v>10604</v>
      </c>
      <c r="D735" s="63"/>
      <c r="E735" s="865">
        <v>138</v>
      </c>
      <c r="F735" s="1027"/>
    </row>
    <row r="736" spans="1:6" ht="14.25" thickBot="1">
      <c r="A736" s="884">
        <v>45685</v>
      </c>
      <c r="B736" s="240" t="str">
        <f>TiposLancamentos!B97</f>
        <v>Deposito Terc.</v>
      </c>
      <c r="C736" s="771" t="s">
        <v>10606</v>
      </c>
      <c r="D736" s="63">
        <v>40</v>
      </c>
      <c r="E736" s="865"/>
      <c r="F736" s="1027"/>
    </row>
    <row r="737" spans="1:6">
      <c r="A737" s="1714"/>
      <c r="B737" s="1715"/>
      <c r="C737" s="1716" t="s">
        <v>1643</v>
      </c>
      <c r="D737" s="1717"/>
      <c r="E737" s="1718"/>
      <c r="F737" s="1718"/>
    </row>
    <row r="738" spans="1:6">
      <c r="A738" s="884">
        <v>45691</v>
      </c>
      <c r="B738" s="240" t="str">
        <f>TiposLancamentos!B21</f>
        <v>Transf. Poupanca</v>
      </c>
      <c r="C738" s="3" t="s">
        <v>10581</v>
      </c>
      <c r="D738" s="63">
        <v>2932.46</v>
      </c>
      <c r="E738" s="865"/>
      <c r="F738" s="1027"/>
    </row>
    <row r="739" spans="1:6" ht="14.25" thickBot="1">
      <c r="A739" s="884">
        <v>45691</v>
      </c>
      <c r="B739" s="240" t="str">
        <f>TiposLancamentos!B105</f>
        <v>Transf. Bco</v>
      </c>
      <c r="C739" s="3" t="s">
        <v>10243</v>
      </c>
      <c r="D739" s="63"/>
      <c r="E739" s="865">
        <v>2972.46</v>
      </c>
      <c r="F739" s="1027"/>
    </row>
    <row r="740" spans="1:6">
      <c r="A740" s="1714"/>
      <c r="B740" s="1715"/>
      <c r="C740" s="1716" t="s">
        <v>1644</v>
      </c>
      <c r="D740" s="1717"/>
      <c r="E740" s="1718"/>
      <c r="F740" s="1718"/>
    </row>
    <row r="741" spans="1:6">
      <c r="A741" s="884">
        <v>45731</v>
      </c>
      <c r="B741" s="240" t="str">
        <f>TiposLancamentos!B105</f>
        <v>Transf. Bco</v>
      </c>
      <c r="C741" s="3" t="s">
        <v>10579</v>
      </c>
      <c r="D741" s="63">
        <v>0.01</v>
      </c>
      <c r="E741" s="865"/>
      <c r="F741" s="1027"/>
    </row>
    <row r="742" spans="1:6">
      <c r="A742" s="884">
        <v>45731</v>
      </c>
      <c r="B742" s="240" t="str">
        <f>TiposLancamentos!B105</f>
        <v>Transf. Bco</v>
      </c>
      <c r="C742" s="3" t="s">
        <v>10607</v>
      </c>
      <c r="D742" s="63"/>
      <c r="E742" s="865">
        <v>0.01</v>
      </c>
      <c r="F742" s="1027"/>
    </row>
    <row r="743" spans="1:6">
      <c r="A743" s="884">
        <v>45742</v>
      </c>
      <c r="B743" s="240" t="str">
        <f>TiposLancamentos!B99</f>
        <v>Venda de algo</v>
      </c>
      <c r="C743" s="3" t="s">
        <v>10608</v>
      </c>
      <c r="D743" s="63">
        <v>349</v>
      </c>
      <c r="E743" s="865"/>
      <c r="F743" s="1027"/>
    </row>
    <row r="744" spans="1:6" ht="14.25" thickBot="1">
      <c r="A744" s="884">
        <v>45742</v>
      </c>
      <c r="B744" s="240" t="str">
        <f>TiposLancamentos!B105</f>
        <v>Transf. Bco</v>
      </c>
      <c r="C744" s="3" t="s">
        <v>10609</v>
      </c>
      <c r="D744" s="63"/>
      <c r="E744" s="865">
        <v>349</v>
      </c>
      <c r="F744" s="1027"/>
    </row>
    <row r="745" spans="1:6">
      <c r="A745" s="1714"/>
      <c r="B745" s="1715"/>
      <c r="C745" s="1716" t="s">
        <v>1645</v>
      </c>
      <c r="D745" s="1717"/>
      <c r="E745" s="1718"/>
      <c r="F745" s="1718"/>
    </row>
    <row r="746" spans="1:6">
      <c r="A746" s="884">
        <v>45756</v>
      </c>
      <c r="B746" s="240" t="str">
        <f>TiposLancamentos!B100</f>
        <v>Emprestimos</v>
      </c>
      <c r="C746" s="3" t="s">
        <v>10318</v>
      </c>
      <c r="D746" s="63">
        <v>3750</v>
      </c>
      <c r="E746" s="865"/>
      <c r="F746" s="1027"/>
    </row>
    <row r="747" spans="1:6" ht="14.25" thickBot="1">
      <c r="A747" s="884">
        <v>45756</v>
      </c>
      <c r="B747" s="240" t="str">
        <f>TiposLancamentos!B105</f>
        <v>Transf. Bco</v>
      </c>
      <c r="C747" s="3" t="s">
        <v>10243</v>
      </c>
      <c r="D747" s="63"/>
      <c r="E747" s="865">
        <v>3750</v>
      </c>
      <c r="F747" s="1027"/>
    </row>
    <row r="748" spans="1:6">
      <c r="A748" s="1714"/>
      <c r="B748" s="1715"/>
      <c r="C748" s="1716" t="s">
        <v>1646</v>
      </c>
      <c r="D748" s="1717"/>
      <c r="E748" s="1718"/>
      <c r="F748" s="1718"/>
    </row>
    <row r="749" spans="1:6">
      <c r="A749" s="884">
        <v>45782</v>
      </c>
      <c r="B749" s="240" t="str">
        <f>TiposLancamentos!B105</f>
        <v>Transf. Bco</v>
      </c>
      <c r="C749" s="3" t="s">
        <v>10610</v>
      </c>
      <c r="D749" s="63">
        <v>800.91</v>
      </c>
      <c r="E749" s="865"/>
      <c r="F749" s="1027"/>
    </row>
    <row r="750" spans="1:6">
      <c r="A750" s="884">
        <v>45785</v>
      </c>
      <c r="B750" s="240" t="str">
        <f>TiposLancamentos!B79</f>
        <v>Financiamento Banco</v>
      </c>
      <c r="C750" s="3" t="s">
        <v>10611</v>
      </c>
      <c r="D750" s="63"/>
      <c r="E750" s="865">
        <v>331.09</v>
      </c>
      <c r="F750" s="1027"/>
    </row>
    <row r="751" spans="1:6">
      <c r="A751" s="884">
        <v>45786</v>
      </c>
      <c r="B751" s="240" t="str">
        <f>TiposLancamentos!B79</f>
        <v>Financiamento Banco</v>
      </c>
      <c r="C751" s="3" t="s">
        <v>10612</v>
      </c>
      <c r="D751" s="63"/>
      <c r="E751" s="865">
        <v>469.21</v>
      </c>
      <c r="F751" s="1027"/>
    </row>
    <row r="752" spans="1:6" ht="14.25" thickBot="1">
      <c r="A752" s="884">
        <v>45799</v>
      </c>
      <c r="B752" s="240" t="str">
        <f>TiposLancamentos!B99</f>
        <v>Venda de algo</v>
      </c>
      <c r="C752" s="3" t="s">
        <v>10613</v>
      </c>
      <c r="D752" s="63">
        <v>1449</v>
      </c>
      <c r="E752" s="865"/>
      <c r="F752" s="1027"/>
    </row>
    <row r="753" spans="1:6">
      <c r="A753" s="1714"/>
      <c r="B753" s="1715"/>
      <c r="C753" s="1716" t="s">
        <v>1647</v>
      </c>
      <c r="D753" s="1717"/>
      <c r="E753" s="1718"/>
      <c r="F753" s="1718"/>
    </row>
    <row r="754" spans="1:6">
      <c r="A754" s="884">
        <v>45810</v>
      </c>
      <c r="B754" s="240" t="str">
        <f>TiposLancamentos!B79</f>
        <v>Financiamento Banco</v>
      </c>
      <c r="C754" s="3" t="s">
        <v>10614</v>
      </c>
      <c r="D754" s="63"/>
      <c r="E754" s="865">
        <v>355.11</v>
      </c>
      <c r="F754" s="1027"/>
    </row>
    <row r="755" spans="1:6">
      <c r="A755" s="884">
        <v>45810</v>
      </c>
      <c r="B755" s="240" t="str">
        <f>TiposLancamentos!B79</f>
        <v>Financiamento Banco</v>
      </c>
      <c r="C755" s="3" t="s">
        <v>10615</v>
      </c>
      <c r="D755" s="63"/>
      <c r="E755" s="865">
        <v>465.73</v>
      </c>
      <c r="F755" s="1027"/>
    </row>
    <row r="756" spans="1:6">
      <c r="A756" s="884">
        <v>45811</v>
      </c>
      <c r="B756" s="240" t="str">
        <f>TiposLancamentos!B71</f>
        <v>Itens Pessoais</v>
      </c>
      <c r="C756" s="3" t="s">
        <v>9658</v>
      </c>
      <c r="D756" s="63"/>
      <c r="E756" s="865">
        <v>40</v>
      </c>
      <c r="F756" s="1027"/>
    </row>
    <row r="757" spans="1:6">
      <c r="A757" s="884">
        <v>45811</v>
      </c>
      <c r="B757" s="240" t="str">
        <f>TiposLancamentos!B19</f>
        <v>Restaurantes</v>
      </c>
      <c r="C757" s="3" t="s">
        <v>2270</v>
      </c>
      <c r="D757" s="63"/>
      <c r="E757" s="865">
        <v>19.899999999999999</v>
      </c>
      <c r="F757" s="1027"/>
    </row>
    <row r="758" spans="1:6">
      <c r="A758" s="884">
        <v>45811</v>
      </c>
      <c r="B758" s="240" t="str">
        <f>TiposLancamentos!B80</f>
        <v>Mudanças</v>
      </c>
      <c r="C758" s="3" t="s">
        <v>10616</v>
      </c>
      <c r="D758" s="63"/>
      <c r="E758" s="865">
        <v>180</v>
      </c>
      <c r="F758" s="1027"/>
    </row>
    <row r="759" spans="1:6">
      <c r="A759" s="884">
        <v>45812</v>
      </c>
      <c r="B759" s="240" t="str">
        <f>TiposLancamentos!B19</f>
        <v>Restaurantes</v>
      </c>
      <c r="C759" s="3" t="s">
        <v>2224</v>
      </c>
      <c r="D759" s="63"/>
      <c r="E759" s="865">
        <v>56.42</v>
      </c>
      <c r="F759" s="1027"/>
    </row>
    <row r="760" spans="1:6">
      <c r="A760" s="884">
        <v>45814</v>
      </c>
      <c r="B760" s="240" t="str">
        <f>TiposLancamentos!B66</f>
        <v>Faxineira</v>
      </c>
      <c r="C760" s="3" t="s">
        <v>10617</v>
      </c>
      <c r="D760" s="63"/>
      <c r="E760" s="865">
        <v>130</v>
      </c>
      <c r="F760" s="1027"/>
    </row>
    <row r="761" spans="1:6">
      <c r="A761" s="884">
        <v>45815</v>
      </c>
      <c r="B761" s="240" t="str">
        <f>TiposLancamentos!B19</f>
        <v>Restaurantes</v>
      </c>
      <c r="C761" s="3" t="s">
        <v>10618</v>
      </c>
      <c r="D761" s="63"/>
      <c r="E761" s="865">
        <v>40.549999999999997</v>
      </c>
      <c r="F761" s="1027"/>
    </row>
    <row r="762" spans="1:6">
      <c r="A762" s="884">
        <v>45817</v>
      </c>
      <c r="B762" s="240" t="str">
        <f>TiposLancamentos!B52</f>
        <v>Multas</v>
      </c>
      <c r="C762" s="3" t="s">
        <v>10619</v>
      </c>
      <c r="D762" s="63"/>
      <c r="E762" s="865">
        <v>134.32</v>
      </c>
      <c r="F762" s="1027"/>
    </row>
    <row r="763" spans="1:6" ht="14.25" thickBot="1">
      <c r="A763" s="884">
        <v>45833</v>
      </c>
      <c r="B763" s="240" t="str">
        <f>TiposLancamentos!B16</f>
        <v>Cristiane</v>
      </c>
      <c r="C763" s="3" t="s">
        <v>10620</v>
      </c>
      <c r="D763" s="63"/>
      <c r="E763" s="865">
        <v>4</v>
      </c>
      <c r="F763" s="1027"/>
    </row>
    <row r="764" spans="1:6">
      <c r="A764" s="1714"/>
      <c r="B764" s="1715"/>
      <c r="C764" s="1716" t="s">
        <v>1648</v>
      </c>
      <c r="D764" s="1717"/>
      <c r="E764" s="1718"/>
      <c r="F764" s="1718"/>
    </row>
    <row r="765" spans="1:6">
      <c r="A765" s="884">
        <v>45841</v>
      </c>
      <c r="B765" s="240" t="str">
        <f>TiposLancamentos!B105</f>
        <v>Transf. Bco</v>
      </c>
      <c r="C765" s="3" t="s">
        <v>10621</v>
      </c>
      <c r="D765" s="63">
        <v>442.61</v>
      </c>
      <c r="E765" s="865"/>
      <c r="F765" s="1027"/>
    </row>
    <row r="766" spans="1:6">
      <c r="A766" s="884">
        <v>45841</v>
      </c>
      <c r="B766" s="240" t="str">
        <f>TiposLancamentos!B79</f>
        <v>Financiamento Banco</v>
      </c>
      <c r="C766" s="3" t="s">
        <v>10622</v>
      </c>
      <c r="D766" s="63"/>
      <c r="E766" s="865">
        <v>466.19</v>
      </c>
      <c r="F766" s="1027"/>
    </row>
    <row r="767" spans="1:6">
      <c r="A767" s="884">
        <v>45842</v>
      </c>
      <c r="B767" s="240" t="str">
        <f>TiposLancamentos!B103</f>
        <v>Juros_Corr. Poupança</v>
      </c>
      <c r="C767" s="3" t="s">
        <v>10623</v>
      </c>
      <c r="D767" s="63">
        <v>0.34</v>
      </c>
      <c r="E767" s="865"/>
      <c r="F767" s="1027"/>
    </row>
    <row r="768" spans="1:6">
      <c r="A768" s="884">
        <v>45845</v>
      </c>
      <c r="B768" s="240" t="str">
        <f>TiposLancamentos!B98</f>
        <v>Restituições</v>
      </c>
      <c r="C768" s="3" t="s">
        <v>10624</v>
      </c>
      <c r="D768" s="63">
        <v>96.62</v>
      </c>
      <c r="E768" s="865"/>
      <c r="F768" s="1027"/>
    </row>
    <row r="769" spans="1:6">
      <c r="A769" s="884">
        <v>45850</v>
      </c>
      <c r="B769" s="240" t="str">
        <f>TiposLancamentos!B71</f>
        <v>Itens Pessoais</v>
      </c>
      <c r="C769" s="3" t="s">
        <v>8086</v>
      </c>
      <c r="D769" s="63"/>
      <c r="E769" s="865">
        <v>40</v>
      </c>
      <c r="F769" s="1027"/>
    </row>
    <row r="770" spans="1:6">
      <c r="A770" s="884">
        <v>45854</v>
      </c>
      <c r="B770" s="240" t="str">
        <f>TiposLancamentos!B60</f>
        <v>Correio</v>
      </c>
      <c r="C770" s="3" t="s">
        <v>10625</v>
      </c>
      <c r="D770" s="63"/>
      <c r="E770" s="865">
        <v>24</v>
      </c>
      <c r="F770" s="1027"/>
    </row>
    <row r="771" spans="1:6">
      <c r="A771" s="884">
        <v>45855</v>
      </c>
      <c r="B771" s="240" t="str">
        <f>TiposLancamentos!B13</f>
        <v>Moradia</v>
      </c>
      <c r="C771" s="3" t="s">
        <v>10626</v>
      </c>
      <c r="D771" s="63"/>
      <c r="E771" s="865">
        <v>18</v>
      </c>
      <c r="F771" s="1027"/>
    </row>
    <row r="772" spans="1:6">
      <c r="A772" s="884">
        <v>45856</v>
      </c>
      <c r="B772" s="240" t="str">
        <f>TiposLancamentos!B105</f>
        <v>Transf. Bco</v>
      </c>
      <c r="C772" s="3" t="s">
        <v>10627</v>
      </c>
      <c r="D772" s="63"/>
      <c r="E772" s="865">
        <v>14.96</v>
      </c>
      <c r="F772" s="1027"/>
    </row>
    <row r="773" spans="1:6">
      <c r="A773" s="884">
        <v>45856</v>
      </c>
      <c r="B773" s="240" t="str">
        <f>TiposLancamentos!B105</f>
        <v>Transf. Bco</v>
      </c>
      <c r="C773" s="3" t="s">
        <v>10628</v>
      </c>
      <c r="D773" s="63">
        <v>14.96</v>
      </c>
      <c r="E773" s="865"/>
      <c r="F773" s="1027"/>
    </row>
    <row r="774" spans="1:6" ht="14.25" thickBot="1">
      <c r="A774" s="884">
        <v>45863</v>
      </c>
      <c r="B774" s="240" t="str">
        <f>TiposLancamentos!B54</f>
        <v>Metro</v>
      </c>
      <c r="C774" s="3" t="s">
        <v>10629</v>
      </c>
      <c r="D774" s="63"/>
      <c r="E774" s="865">
        <v>10.4</v>
      </c>
      <c r="F774" s="1027"/>
    </row>
    <row r="775" spans="1:6">
      <c r="A775" s="1714"/>
      <c r="B775" s="1715"/>
      <c r="C775" s="1716" t="s">
        <v>1649</v>
      </c>
      <c r="D775" s="1717"/>
      <c r="E775" s="1718"/>
      <c r="F775" s="1718"/>
    </row>
    <row r="776" spans="1:6">
      <c r="A776" s="884">
        <v>45872</v>
      </c>
      <c r="B776" s="240" t="str">
        <f>TiposLancamentos!B105</f>
        <v>Transf. Bco</v>
      </c>
      <c r="C776" s="3" t="s">
        <v>10621</v>
      </c>
      <c r="D776" s="63">
        <v>462.33</v>
      </c>
      <c r="E776" s="865"/>
      <c r="F776" s="1027"/>
    </row>
    <row r="777" spans="1:6" ht="14.25" thickBot="1">
      <c r="A777" s="884">
        <v>45878</v>
      </c>
      <c r="B777" s="240" t="str">
        <f>TiposLancamentos!B79</f>
        <v>Financiamento Banco</v>
      </c>
      <c r="C777" s="3" t="s">
        <v>10630</v>
      </c>
      <c r="D777" s="63"/>
      <c r="E777" s="865">
        <v>466.89</v>
      </c>
      <c r="F777" s="1027"/>
    </row>
    <row r="778" spans="1:6">
      <c r="A778" s="1714"/>
      <c r="B778" s="1715"/>
      <c r="C778" s="1716" t="s">
        <v>1650</v>
      </c>
      <c r="D778" s="1717"/>
      <c r="E778" s="1718"/>
      <c r="F778" s="1718"/>
    </row>
    <row r="779" spans="1:6">
      <c r="A779" s="884">
        <v>45903</v>
      </c>
      <c r="B779" s="240" t="str">
        <f>TiposLancamentos!B105</f>
        <v>Transf. Bco</v>
      </c>
      <c r="C779" s="3" t="s">
        <v>10621</v>
      </c>
      <c r="D779" s="63">
        <v>466.31</v>
      </c>
      <c r="E779" s="865"/>
      <c r="F779" s="1027"/>
    </row>
    <row r="780" spans="1:6">
      <c r="A780" s="884">
        <v>45903</v>
      </c>
      <c r="B780" s="240" t="str">
        <f>TiposLancamentos!B79</f>
        <v>Financiamento Banco</v>
      </c>
      <c r="C780" s="3" t="s">
        <v>10631</v>
      </c>
      <c r="D780" s="63"/>
      <c r="E780" s="865">
        <v>466.31</v>
      </c>
      <c r="F780" s="1027"/>
    </row>
    <row r="781" spans="1:6">
      <c r="A781" s="884">
        <v>45922</v>
      </c>
      <c r="B781" s="240" t="str">
        <f>TiposLancamentos!B98</f>
        <v>Restituições</v>
      </c>
      <c r="C781" s="3" t="s">
        <v>10632</v>
      </c>
      <c r="D781" s="63">
        <v>16</v>
      </c>
      <c r="E781" s="865"/>
      <c r="F781" s="1027"/>
    </row>
    <row r="782" spans="1:6" ht="14.25" thickBot="1">
      <c r="A782" s="884">
        <v>45922</v>
      </c>
      <c r="B782" s="240" t="str">
        <f>TiposLancamentos!B105</f>
        <v>Transf. Bco</v>
      </c>
      <c r="C782" s="3" t="s">
        <v>10243</v>
      </c>
      <c r="D782" s="63"/>
      <c r="E782" s="865">
        <v>16</v>
      </c>
      <c r="F782" s="1027"/>
    </row>
    <row r="783" spans="1:6">
      <c r="A783" s="1714"/>
      <c r="B783" s="1715"/>
      <c r="C783" s="1716" t="s">
        <v>1651</v>
      </c>
      <c r="D783" s="1717"/>
      <c r="E783" s="1718"/>
      <c r="F783" s="1718"/>
    </row>
    <row r="784" spans="1:6">
      <c r="A784" s="884">
        <v>45932</v>
      </c>
      <c r="B784" s="240" t="str">
        <f>TiposLancamentos!B105</f>
        <v>Transf. Bco</v>
      </c>
      <c r="C784" s="3" t="s">
        <v>10633</v>
      </c>
      <c r="D784" s="63">
        <v>1344.38</v>
      </c>
      <c r="E784" s="865"/>
      <c r="F784" s="1027"/>
    </row>
    <row r="785" spans="1:6">
      <c r="A785" s="884">
        <v>45939</v>
      </c>
      <c r="B785" s="240" t="str">
        <f>TiposLancamentos!B79</f>
        <v>Financiamento Banco</v>
      </c>
      <c r="C785" s="3" t="s">
        <v>10634</v>
      </c>
      <c r="D785" s="63"/>
      <c r="E785" s="865">
        <v>465.59</v>
      </c>
      <c r="F785" s="1027"/>
    </row>
    <row r="786" spans="1:6">
      <c r="A786" s="884">
        <v>45939</v>
      </c>
      <c r="B786" s="240" t="str">
        <f>TiposLancamentos!B79</f>
        <v>Financiamento Banco</v>
      </c>
      <c r="C786" s="3" t="s">
        <v>10635</v>
      </c>
      <c r="D786" s="63"/>
      <c r="E786" s="865">
        <v>447.9</v>
      </c>
      <c r="F786" s="1027"/>
    </row>
    <row r="787" spans="1:6" ht="14.25" thickBot="1">
      <c r="A787" s="884">
        <v>45939</v>
      </c>
      <c r="B787" s="240" t="str">
        <f>TiposLancamentos!B79</f>
        <v>Financiamento Banco</v>
      </c>
      <c r="C787" s="3" t="s">
        <v>10636</v>
      </c>
      <c r="D787" s="63"/>
      <c r="E787" s="865">
        <v>430.88</v>
      </c>
      <c r="F787" s="1027"/>
    </row>
    <row r="788" spans="1:6">
      <c r="A788" s="1714"/>
      <c r="B788" s="1715"/>
      <c r="C788" s="1716" t="s">
        <v>1652</v>
      </c>
      <c r="D788" s="1717"/>
      <c r="E788" s="1718"/>
      <c r="F788" s="1718"/>
    </row>
    <row r="789" spans="1:6" ht="14.25" thickBot="1">
      <c r="A789" s="884"/>
      <c r="B789" s="240"/>
      <c r="C789" s="3" t="s">
        <v>1947</v>
      </c>
      <c r="D789" s="63"/>
      <c r="E789" s="865"/>
      <c r="F789" s="1027"/>
    </row>
    <row r="790" spans="1:6">
      <c r="A790" s="1714"/>
      <c r="B790" s="1715"/>
      <c r="C790" s="1716" t="s">
        <v>1653</v>
      </c>
      <c r="D790" s="1717"/>
      <c r="E790" s="1718"/>
      <c r="F790" s="1718"/>
    </row>
    <row r="791" spans="1:6" ht="14.25" thickBot="1">
      <c r="A791" s="884"/>
      <c r="B791" s="240"/>
      <c r="C791" s="3" t="s">
        <v>1947</v>
      </c>
      <c r="D791" s="63"/>
      <c r="E791" s="865"/>
      <c r="F791" s="1027"/>
    </row>
    <row r="792" spans="1:6">
      <c r="A792" s="1714"/>
      <c r="B792" s="1715"/>
      <c r="C792" s="1716" t="s">
        <v>1654</v>
      </c>
      <c r="D792" s="1717"/>
      <c r="E792" s="1718"/>
      <c r="F792" s="1718"/>
    </row>
    <row r="793" spans="1:6" ht="14.25" thickBot="1">
      <c r="A793" s="884"/>
      <c r="B793" s="240"/>
      <c r="C793" s="3" t="s">
        <v>1947</v>
      </c>
      <c r="D793" s="63"/>
      <c r="E793" s="865"/>
      <c r="F793" s="1027"/>
    </row>
    <row r="794" spans="1:6">
      <c r="A794" s="1714"/>
      <c r="B794" s="1715"/>
      <c r="C794" s="1716" t="s">
        <v>2360</v>
      </c>
      <c r="D794" s="1717"/>
      <c r="E794" s="1718"/>
      <c r="F794" s="1718"/>
    </row>
    <row r="795" spans="1:6">
      <c r="A795" s="884"/>
      <c r="B795" s="240"/>
      <c r="C795" s="3" t="s">
        <v>1947</v>
      </c>
      <c r="D795" s="63"/>
      <c r="E795" s="865"/>
      <c r="F795" s="1027"/>
    </row>
    <row r="796" spans="1:6">
      <c r="A796" s="884">
        <v>46055</v>
      </c>
      <c r="B796" s="240" t="str">
        <f>TiposLancamentos!B105</f>
        <v>Transf. Bco</v>
      </c>
      <c r="C796" s="3" t="s">
        <v>10637</v>
      </c>
      <c r="D796" s="63">
        <v>500</v>
      </c>
      <c r="E796" s="865"/>
      <c r="F796" s="1027"/>
    </row>
    <row r="797" spans="1:6">
      <c r="A797" s="884">
        <v>46055</v>
      </c>
      <c r="B797" s="240" t="str">
        <f>TiposLancamentos!B105</f>
        <v>Transf. Bco</v>
      </c>
      <c r="C797" s="3" t="s">
        <v>10638</v>
      </c>
      <c r="D797" s="63">
        <v>50</v>
      </c>
      <c r="E797" s="865"/>
      <c r="F797" s="1027"/>
    </row>
    <row r="798" spans="1:6" ht="14.25" thickBot="1">
      <c r="A798" s="884">
        <v>46055</v>
      </c>
      <c r="B798" s="240" t="str">
        <f>TiposLancamentos!B21</f>
        <v>Transf. Poupanca</v>
      </c>
      <c r="C798" s="3" t="s">
        <v>10639</v>
      </c>
      <c r="D798" s="63"/>
      <c r="E798" s="865">
        <v>550</v>
      </c>
      <c r="F798" s="1027"/>
    </row>
    <row r="799" spans="1:6">
      <c r="A799" s="1714"/>
      <c r="B799" s="1715"/>
      <c r="C799" s="1716" t="s">
        <v>1656</v>
      </c>
      <c r="D799" s="1717"/>
      <c r="E799" s="1718"/>
      <c r="F799" s="1718"/>
    </row>
    <row r="800" spans="1:6">
      <c r="A800" s="884">
        <v>46104</v>
      </c>
      <c r="B800" s="240" t="str">
        <f>TiposLancamentos!B98</f>
        <v>Restituições</v>
      </c>
      <c r="C800" s="3" t="s">
        <v>10640</v>
      </c>
      <c r="D800" s="63">
        <v>6715.53</v>
      </c>
      <c r="E800" s="865"/>
      <c r="F800" s="1027">
        <v>6370.5</v>
      </c>
    </row>
    <row r="801" spans="1:6" ht="14.25" thickBot="1">
      <c r="A801" s="884">
        <v>46104</v>
      </c>
      <c r="B801" s="240" t="str">
        <f>TiposLancamentos!B96</f>
        <v>Resg.Poup.</v>
      </c>
      <c r="C801" s="3" t="s">
        <v>10641</v>
      </c>
      <c r="D801" s="63">
        <v>557.82000000000005</v>
      </c>
      <c r="E801" s="865"/>
      <c r="F801" s="1027"/>
    </row>
    <row r="802" spans="1:6">
      <c r="A802" s="1714"/>
      <c r="B802" s="1715"/>
      <c r="C802" s="1716" t="s">
        <v>1657</v>
      </c>
      <c r="D802" s="1717"/>
      <c r="E802" s="1718"/>
      <c r="F802" s="1718"/>
    </row>
    <row r="803" spans="1:6">
      <c r="A803" s="884">
        <v>46113</v>
      </c>
      <c r="B803" s="240" t="str">
        <f>TiposLancamentos!B15</f>
        <v>Cartões de Crédito</v>
      </c>
      <c r="C803" s="3" t="s">
        <v>9131</v>
      </c>
      <c r="D803" s="63"/>
      <c r="E803" s="865">
        <v>7213.91</v>
      </c>
      <c r="F803" s="1027">
        <f>NUBank_Master!F1564</f>
        <v>7213.91</v>
      </c>
    </row>
    <row r="804" spans="1:6" ht="14.25" thickBot="1">
      <c r="A804" s="884">
        <v>46123</v>
      </c>
      <c r="B804" s="240" t="str">
        <f>TiposLancamentos!B19</f>
        <v>Restaurantes</v>
      </c>
      <c r="C804" s="3" t="s">
        <v>10642</v>
      </c>
      <c r="D804" s="63"/>
      <c r="E804" s="865">
        <v>30</v>
      </c>
      <c r="F804" s="1027"/>
    </row>
    <row r="805" spans="1:6">
      <c r="A805" s="1714"/>
      <c r="B805" s="1715"/>
      <c r="C805" s="1716" t="s">
        <v>1658</v>
      </c>
      <c r="D805" s="1717"/>
      <c r="E805" s="1718"/>
      <c r="F805" s="1718"/>
    </row>
    <row r="806" spans="1:6">
      <c r="A806" s="884">
        <v>46146</v>
      </c>
      <c r="B806" s="240" t="str">
        <f>TiposLancamentos!B54</f>
        <v>Metro</v>
      </c>
      <c r="C806" s="3" t="s">
        <v>10643</v>
      </c>
      <c r="D806" s="63"/>
      <c r="E806" s="865">
        <v>27</v>
      </c>
      <c r="F806" s="1027">
        <f>E806/5</f>
        <v>5.4</v>
      </c>
    </row>
    <row r="807" spans="1:6">
      <c r="A807" s="884"/>
      <c r="B807" s="240"/>
      <c r="D807" s="63"/>
      <c r="E807" s="865"/>
      <c r="F807" s="1027"/>
    </row>
    <row r="808" spans="1:6">
      <c r="A808" s="884"/>
      <c r="B808" s="240"/>
      <c r="D808" s="63"/>
      <c r="E808" s="865"/>
      <c r="F808" s="1027"/>
    </row>
    <row r="809" spans="1:6">
      <c r="A809" s="884"/>
      <c r="B809" s="240"/>
      <c r="D809" s="63"/>
      <c r="E809" s="865"/>
      <c r="F809" s="1027"/>
    </row>
    <row r="810" spans="1:6">
      <c r="A810" s="884"/>
      <c r="B810" s="240"/>
      <c r="D810" s="63"/>
      <c r="E810" s="865"/>
      <c r="F810" s="1027"/>
    </row>
    <row r="811" spans="1:6">
      <c r="A811" s="884"/>
      <c r="B811" s="240"/>
      <c r="D811" s="63"/>
      <c r="E811" s="865"/>
      <c r="F811" s="1027"/>
    </row>
    <row r="812" spans="1:6">
      <c r="A812" s="884"/>
      <c r="B812" s="240"/>
      <c r="D812" s="63"/>
      <c r="E812" s="865"/>
      <c r="F812" s="1027"/>
    </row>
    <row r="813" spans="1:6">
      <c r="A813" s="884"/>
      <c r="B813" s="240"/>
      <c r="D813" s="63"/>
      <c r="E813" s="865"/>
      <c r="F813" s="1027"/>
    </row>
    <row r="814" spans="1:6">
      <c r="A814" s="884"/>
      <c r="B814" s="240"/>
      <c r="D814" s="63"/>
      <c r="E814" s="865"/>
      <c r="F814" s="1027"/>
    </row>
    <row r="815" spans="1:6">
      <c r="A815" s="884"/>
      <c r="B815" s="240"/>
      <c r="D815" s="63"/>
      <c r="E815" s="865"/>
      <c r="F815" s="1027"/>
    </row>
    <row r="816" spans="1:6">
      <c r="A816" s="1307"/>
      <c r="B816" s="1124"/>
      <c r="C816" s="1179"/>
      <c r="D816" s="764"/>
      <c r="E816" s="1438"/>
      <c r="F816" s="1436"/>
    </row>
    <row r="817" spans="1:7" ht="14.25" thickBot="1">
      <c r="A817" s="885"/>
      <c r="B817" s="1232"/>
      <c r="C817" s="902"/>
      <c r="D817" s="903"/>
      <c r="E817" s="1439"/>
      <c r="F817" s="1437"/>
      <c r="G817" s="1094" t="s">
        <v>11</v>
      </c>
    </row>
    <row r="818" spans="1:7">
      <c r="A818" s="46"/>
      <c r="B818" s="116"/>
      <c r="C818" s="117" t="s">
        <v>12</v>
      </c>
      <c r="D818" s="185">
        <f>SUM(D2:D817)</f>
        <v>155938.01999999984</v>
      </c>
      <c r="E818" s="609">
        <f>SUM(E2:E817)</f>
        <v>155935.56999999995</v>
      </c>
      <c r="F818" s="224"/>
    </row>
    <row r="819" spans="1:7">
      <c r="A819" s="119"/>
      <c r="B819" s="120"/>
      <c r="C819" s="24" t="s">
        <v>13</v>
      </c>
      <c r="D819" s="177"/>
      <c r="E819" s="302">
        <f>D818-E818</f>
        <v>2.4499999998952262</v>
      </c>
      <c r="F819" s="177"/>
    </row>
    <row r="820" spans="1:7">
      <c r="A820" s="65"/>
      <c r="B820" s="65"/>
      <c r="E820" s="35"/>
    </row>
    <row r="821" spans="1:7">
      <c r="A821" s="65"/>
      <c r="B821" s="65"/>
      <c r="E821" s="35">
        <f>IF(E820&lt;&gt;0,E819-E820,0)</f>
        <v>0</v>
      </c>
    </row>
    <row r="822" spans="1:7">
      <c r="A822" s="65"/>
      <c r="B822" s="65"/>
      <c r="C822" s="3" t="s">
        <v>10644</v>
      </c>
      <c r="E822" s="35">
        <v>0</v>
      </c>
    </row>
    <row r="823" spans="1:7">
      <c r="A823" s="65"/>
      <c r="B823" s="65"/>
      <c r="C823" s="3" t="s">
        <v>10645</v>
      </c>
      <c r="E823" s="35">
        <f>E822+E819</f>
        <v>2.4499999998952262</v>
      </c>
    </row>
    <row r="824" spans="1:7">
      <c r="A824" s="65"/>
      <c r="B824" s="65"/>
    </row>
    <row r="825" spans="1:7">
      <c r="C825" s="23"/>
      <c r="D825" s="25" t="s">
        <v>14</v>
      </c>
      <c r="E825" s="303" t="s">
        <v>15</v>
      </c>
      <c r="F825" s="25" t="s">
        <v>16</v>
      </c>
    </row>
    <row r="826" spans="1:7">
      <c r="B826" s="77" t="s">
        <v>17</v>
      </c>
      <c r="C826" s="36"/>
      <c r="D826" s="60"/>
      <c r="E826" s="34">
        <f>E819</f>
        <v>2.4499999998952262</v>
      </c>
      <c r="F826" s="62">
        <f>D826+E826</f>
        <v>2.4499999998952262</v>
      </c>
    </row>
  </sheetData>
  <conditionalFormatting sqref="E140:E144">
    <cfRule type="cellIs" dxfId="211" priority="67" stopIfTrue="1" operator="lessThan">
      <formula>0</formula>
    </cfRule>
  </conditionalFormatting>
  <conditionalFormatting sqref="E202:E205">
    <cfRule type="cellIs" dxfId="210" priority="158" stopIfTrue="1" operator="lessThan">
      <formula>0</formula>
    </cfRule>
  </conditionalFormatting>
  <conditionalFormatting sqref="E275:E279">
    <cfRule type="cellIs" dxfId="209" priority="68" stopIfTrue="1" operator="lessThan">
      <formula>0</formula>
    </cfRule>
  </conditionalFormatting>
  <conditionalFormatting sqref="E333:E336">
    <cfRule type="cellIs" dxfId="208" priority="144" stopIfTrue="1" operator="lessThan">
      <formula>0</formula>
    </cfRule>
  </conditionalFormatting>
  <conditionalFormatting sqref="E2:F2">
    <cfRule type="cellIs" dxfId="207" priority="64" stopIfTrue="1" operator="lessThan">
      <formula>0</formula>
    </cfRule>
  </conditionalFormatting>
  <conditionalFormatting sqref="E5:F5">
    <cfRule type="cellIs" dxfId="206" priority="65" stopIfTrue="1" operator="lessThan">
      <formula>0</formula>
    </cfRule>
  </conditionalFormatting>
  <conditionalFormatting sqref="E104:F104">
    <cfRule type="cellIs" dxfId="205" priority="66" stopIfTrue="1" operator="lessThan">
      <formula>0</formula>
    </cfRule>
  </conditionalFormatting>
  <conditionalFormatting sqref="E417:F417">
    <cfRule type="cellIs" dxfId="204" priority="44" stopIfTrue="1" operator="lessThan">
      <formula>0</formula>
    </cfRule>
  </conditionalFormatting>
  <conditionalFormatting sqref="E543:F543">
    <cfRule type="cellIs" dxfId="203" priority="43" stopIfTrue="1" operator="lessThan">
      <formula>0</formula>
    </cfRule>
  </conditionalFormatting>
  <conditionalFormatting sqref="E608:F608">
    <cfRule type="cellIs" dxfId="202" priority="42" stopIfTrue="1" operator="lessThan">
      <formula>0</formula>
    </cfRule>
  </conditionalFormatting>
  <conditionalFormatting sqref="E619:F619">
    <cfRule type="cellIs" dxfId="201" priority="41" stopIfTrue="1" operator="lessThan">
      <formula>0</formula>
    </cfRule>
  </conditionalFormatting>
  <conditionalFormatting sqref="E627:F627">
    <cfRule type="cellIs" dxfId="200" priority="40" stopIfTrue="1" operator="lessThan">
      <formula>0</formula>
    </cfRule>
  </conditionalFormatting>
  <conditionalFormatting sqref="E632:F632">
    <cfRule type="cellIs" dxfId="199" priority="39" stopIfTrue="1" operator="lessThan">
      <formula>0</formula>
    </cfRule>
  </conditionalFormatting>
  <conditionalFormatting sqref="E637:F637">
    <cfRule type="cellIs" dxfId="198" priority="38" stopIfTrue="1" operator="lessThan">
      <formula>0</formula>
    </cfRule>
  </conditionalFormatting>
  <conditionalFormatting sqref="E640:F640">
    <cfRule type="cellIs" dxfId="197" priority="37" stopIfTrue="1" operator="lessThan">
      <formula>0</formula>
    </cfRule>
  </conditionalFormatting>
  <conditionalFormatting sqref="E646:F646">
    <cfRule type="cellIs" dxfId="196" priority="36" stopIfTrue="1" operator="lessThan">
      <formula>0</formula>
    </cfRule>
  </conditionalFormatting>
  <conditionalFormatting sqref="E653:F653">
    <cfRule type="cellIs" dxfId="195" priority="35" stopIfTrue="1" operator="lessThan">
      <formula>0</formula>
    </cfRule>
  </conditionalFormatting>
  <conditionalFormatting sqref="E665:F665">
    <cfRule type="cellIs" dxfId="194" priority="34" stopIfTrue="1" operator="lessThan">
      <formula>0</formula>
    </cfRule>
  </conditionalFormatting>
  <conditionalFormatting sqref="E668:F668">
    <cfRule type="cellIs" dxfId="193" priority="33" stopIfTrue="1" operator="lessThan">
      <formula>0</formula>
    </cfRule>
  </conditionalFormatting>
  <conditionalFormatting sqref="E675:F675">
    <cfRule type="cellIs" dxfId="192" priority="32" stopIfTrue="1" operator="lessThan">
      <formula>0</formula>
    </cfRule>
  </conditionalFormatting>
  <conditionalFormatting sqref="E690:F690">
    <cfRule type="cellIs" dxfId="191" priority="31" stopIfTrue="1" operator="lessThan">
      <formula>0</formula>
    </cfRule>
  </conditionalFormatting>
  <conditionalFormatting sqref="E694:F694">
    <cfRule type="cellIs" dxfId="190" priority="30" stopIfTrue="1" operator="lessThan">
      <formula>0</formula>
    </cfRule>
  </conditionalFormatting>
  <conditionalFormatting sqref="E699:F699">
    <cfRule type="cellIs" dxfId="189" priority="29" stopIfTrue="1" operator="lessThan">
      <formula>0</formula>
    </cfRule>
  </conditionalFormatting>
  <conditionalFormatting sqref="E701:F701">
    <cfRule type="cellIs" dxfId="188" priority="28" stopIfTrue="1" operator="lessThan">
      <formula>0</formula>
    </cfRule>
  </conditionalFormatting>
  <conditionalFormatting sqref="E703:F703">
    <cfRule type="cellIs" dxfId="187" priority="27" stopIfTrue="1" operator="lessThan">
      <formula>0</formula>
    </cfRule>
  </conditionalFormatting>
  <conditionalFormatting sqref="E705:F705">
    <cfRule type="cellIs" dxfId="186" priority="26" stopIfTrue="1" operator="lessThan">
      <formula>0</formula>
    </cfRule>
  </conditionalFormatting>
  <conditionalFormatting sqref="E707:F707">
    <cfRule type="cellIs" dxfId="185" priority="25" stopIfTrue="1" operator="lessThan">
      <formula>0</formula>
    </cfRule>
  </conditionalFormatting>
  <conditionalFormatting sqref="E709:F709">
    <cfRule type="cellIs" dxfId="184" priority="24" stopIfTrue="1" operator="lessThan">
      <formula>0</formula>
    </cfRule>
  </conditionalFormatting>
  <conditionalFormatting sqref="E711:F711">
    <cfRule type="cellIs" dxfId="183" priority="23" stopIfTrue="1" operator="lessThan">
      <formula>0</formula>
    </cfRule>
  </conditionalFormatting>
  <conditionalFormatting sqref="E713:F713">
    <cfRule type="cellIs" dxfId="182" priority="22" stopIfTrue="1" operator="lessThan">
      <formula>0</formula>
    </cfRule>
  </conditionalFormatting>
  <conditionalFormatting sqref="E721:F721">
    <cfRule type="cellIs" dxfId="181" priority="21" stopIfTrue="1" operator="lessThan">
      <formula>0</formula>
    </cfRule>
  </conditionalFormatting>
  <conditionalFormatting sqref="E724:F724">
    <cfRule type="cellIs" dxfId="180" priority="20" stopIfTrue="1" operator="lessThan">
      <formula>0</formula>
    </cfRule>
  </conditionalFormatting>
  <conditionalFormatting sqref="E726:F726">
    <cfRule type="cellIs" dxfId="179" priority="19" stopIfTrue="1" operator="lessThan">
      <formula>0</formula>
    </cfRule>
  </conditionalFormatting>
  <conditionalFormatting sqref="E728:F728">
    <cfRule type="cellIs" dxfId="178" priority="18" stopIfTrue="1" operator="lessThan">
      <formula>0</formula>
    </cfRule>
  </conditionalFormatting>
  <conditionalFormatting sqref="E730:F730">
    <cfRule type="cellIs" dxfId="177" priority="17" stopIfTrue="1" operator="lessThan">
      <formula>0</formula>
    </cfRule>
  </conditionalFormatting>
  <conditionalFormatting sqref="E737:F737">
    <cfRule type="cellIs" dxfId="176" priority="16" stopIfTrue="1" operator="lessThan">
      <formula>0</formula>
    </cfRule>
  </conditionalFormatting>
  <conditionalFormatting sqref="E740:F740">
    <cfRule type="cellIs" dxfId="175" priority="15" stopIfTrue="1" operator="lessThan">
      <formula>0</formula>
    </cfRule>
  </conditionalFormatting>
  <conditionalFormatting sqref="E745:F745">
    <cfRule type="cellIs" dxfId="174" priority="14" stopIfTrue="1" operator="lessThan">
      <formula>0</formula>
    </cfRule>
  </conditionalFormatting>
  <conditionalFormatting sqref="E748:F748">
    <cfRule type="cellIs" dxfId="173" priority="13" stopIfTrue="1" operator="lessThan">
      <formula>0</formula>
    </cfRule>
  </conditionalFormatting>
  <conditionalFormatting sqref="E753:F753">
    <cfRule type="cellIs" dxfId="172" priority="12" stopIfTrue="1" operator="lessThan">
      <formula>0</formula>
    </cfRule>
  </conditionalFormatting>
  <conditionalFormatting sqref="E764:F764">
    <cfRule type="cellIs" dxfId="171" priority="11" stopIfTrue="1" operator="lessThan">
      <formula>0</formula>
    </cfRule>
  </conditionalFormatting>
  <conditionalFormatting sqref="E775:F775">
    <cfRule type="cellIs" dxfId="170" priority="10" stopIfTrue="1" operator="lessThan">
      <formula>0</formula>
    </cfRule>
  </conditionalFormatting>
  <conditionalFormatting sqref="E778:F778">
    <cfRule type="cellIs" dxfId="169" priority="9" stopIfTrue="1" operator="lessThan">
      <formula>0</formula>
    </cfRule>
  </conditionalFormatting>
  <conditionalFormatting sqref="E783:F783">
    <cfRule type="cellIs" dxfId="168" priority="8" stopIfTrue="1" operator="lessThan">
      <formula>0</formula>
    </cfRule>
  </conditionalFormatting>
  <conditionalFormatting sqref="E788:F788">
    <cfRule type="cellIs" dxfId="167" priority="7" stopIfTrue="1" operator="lessThan">
      <formula>0</formula>
    </cfRule>
  </conditionalFormatting>
  <conditionalFormatting sqref="E790:F790">
    <cfRule type="cellIs" dxfId="166" priority="6" stopIfTrue="1" operator="lessThan">
      <formula>0</formula>
    </cfRule>
  </conditionalFormatting>
  <conditionalFormatting sqref="E792:F792">
    <cfRule type="cellIs" dxfId="165" priority="5" stopIfTrue="1" operator="lessThan">
      <formula>0</formula>
    </cfRule>
  </conditionalFormatting>
  <conditionalFormatting sqref="E794:F794">
    <cfRule type="cellIs" dxfId="164" priority="4" stopIfTrue="1" operator="lessThan">
      <formula>0</formula>
    </cfRule>
  </conditionalFormatting>
  <conditionalFormatting sqref="E799:F799">
    <cfRule type="cellIs" dxfId="163" priority="3" stopIfTrue="1" operator="lessThan">
      <formula>0</formula>
    </cfRule>
  </conditionalFormatting>
  <conditionalFormatting sqref="E802:F802">
    <cfRule type="cellIs" dxfId="162" priority="2" stopIfTrue="1" operator="lessThan">
      <formula>0</formula>
    </cfRule>
  </conditionalFormatting>
  <conditionalFormatting sqref="E805:F805">
    <cfRule type="cellIs" dxfId="161" priority="1" stopIfTrue="1" operator="lessThan">
      <formula>0</formula>
    </cfRule>
  </conditionalFormatting>
  <conditionalFormatting sqref="F140">
    <cfRule type="cellIs" dxfId="160" priority="46" stopIfTrue="1" operator="lessThan">
      <formula>0</formula>
    </cfRule>
  </conditionalFormatting>
  <conditionalFormatting sqref="F275">
    <cfRule type="cellIs" dxfId="159" priority="45" stopIfTrue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21"/>
  <dimension ref="A1:G1778"/>
  <sheetViews>
    <sheetView zoomScaleNormal="100" zoomScaleSheetLayoutView="100" workbookViewId="0">
      <pane xSplit="6" ySplit="1" topLeftCell="G1571" activePane="bottomRight" state="frozen"/>
      <selection pane="bottomRight" activeCell="C1574" sqref="C1574"/>
      <selection pane="bottomLeft" activeCell="A2" sqref="A2"/>
      <selection pane="topRight" activeCell="G1" sqref="G1"/>
    </sheetView>
  </sheetViews>
  <sheetFormatPr defaultColWidth="9" defaultRowHeight="13.5"/>
  <cols>
    <col min="1" max="1" width="13.7109375" style="1244" bestFit="1" customWidth="1"/>
    <col min="2" max="2" width="21.42578125" style="1244" customWidth="1"/>
    <col min="3" max="3" width="50.85546875" style="1244" customWidth="1"/>
    <col min="4" max="4" width="17.28515625" style="1244" bestFit="1" customWidth="1"/>
    <col min="5" max="5" width="17.28515625" style="1245" bestFit="1" customWidth="1"/>
    <col min="6" max="6" width="17" style="1244" customWidth="1"/>
    <col min="7" max="7" width="9" style="1244" customWidth="1"/>
    <col min="8" max="16384" width="9" style="1244"/>
  </cols>
  <sheetData>
    <row r="1" spans="1:7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10646</v>
      </c>
    </row>
    <row r="2" spans="1:7" ht="14.25" thickBot="1">
      <c r="A2" s="759"/>
      <c r="B2" s="243"/>
      <c r="C2" s="389" t="s">
        <v>10</v>
      </c>
      <c r="D2" s="146"/>
      <c r="E2" s="146"/>
      <c r="F2" s="1138"/>
      <c r="G2" s="1094" t="s">
        <v>11</v>
      </c>
    </row>
    <row r="3" spans="1:7">
      <c r="A3" s="1032"/>
      <c r="B3" s="1230"/>
      <c r="C3" s="906" t="s">
        <v>7274</v>
      </c>
      <c r="D3" s="896"/>
      <c r="E3" s="925"/>
      <c r="F3" s="1034"/>
      <c r="G3" s="3"/>
    </row>
    <row r="4" spans="1:7">
      <c r="A4" s="884">
        <v>42479</v>
      </c>
      <c r="B4" s="240" t="str">
        <f>TiposLancamentos!B78</f>
        <v>Diferenças</v>
      </c>
      <c r="C4" s="878" t="s">
        <v>10647</v>
      </c>
      <c r="D4" s="63"/>
      <c r="E4" s="231">
        <v>-0.09</v>
      </c>
      <c r="F4" s="1016"/>
      <c r="G4" s="3"/>
    </row>
    <row r="5" spans="1:7">
      <c r="A5" s="884">
        <v>42480</v>
      </c>
      <c r="B5" s="240" t="str">
        <f>TiposLancamentos!B19</f>
        <v>Restaurantes</v>
      </c>
      <c r="C5" s="878" t="s">
        <v>10648</v>
      </c>
      <c r="D5" s="63"/>
      <c r="E5" s="231">
        <v>12.92</v>
      </c>
      <c r="F5" s="1016"/>
      <c r="G5" s="1152" t="s">
        <v>9</v>
      </c>
    </row>
    <row r="6" spans="1:7">
      <c r="A6" s="884">
        <v>42480</v>
      </c>
      <c r="B6" s="240" t="str">
        <f>TiposLancamentos!B19</f>
        <v>Restaurantes</v>
      </c>
      <c r="C6" s="147" t="s">
        <v>10649</v>
      </c>
      <c r="D6" s="63"/>
      <c r="E6" s="231">
        <v>21.9</v>
      </c>
      <c r="F6" s="1016"/>
      <c r="G6" s="1152" t="s">
        <v>9</v>
      </c>
    </row>
    <row r="7" spans="1:7">
      <c r="A7" s="858">
        <v>42480</v>
      </c>
      <c r="B7" s="822" t="str">
        <f>TiposLancamentos!B27</f>
        <v>Jornais e revistas</v>
      </c>
      <c r="C7" s="808" t="s">
        <v>10650</v>
      </c>
      <c r="D7" s="747"/>
      <c r="E7" s="1139">
        <f>F8-E8</f>
        <v>20.399999999999999</v>
      </c>
      <c r="F7" s="1145"/>
      <c r="G7" s="1152" t="s">
        <v>9</v>
      </c>
    </row>
    <row r="8" spans="1:7">
      <c r="A8" s="862">
        <v>42480</v>
      </c>
      <c r="B8" s="823" t="str">
        <f>TiposLancamentos!B29</f>
        <v>Mangá</v>
      </c>
      <c r="C8" s="812" t="s">
        <v>10651</v>
      </c>
      <c r="D8" s="849"/>
      <c r="E8" s="1141">
        <v>15.9</v>
      </c>
      <c r="F8" s="1146">
        <v>36.299999999999997</v>
      </c>
      <c r="G8" s="1152" t="s">
        <v>9</v>
      </c>
    </row>
    <row r="9" spans="1:7">
      <c r="A9" s="884">
        <v>42481</v>
      </c>
      <c r="B9" s="240" t="str">
        <f>TiposLancamentos!B19</f>
        <v>Restaurantes</v>
      </c>
      <c r="C9" s="878" t="s">
        <v>10652</v>
      </c>
      <c r="D9" s="63"/>
      <c r="E9" s="231">
        <v>39</v>
      </c>
      <c r="F9" s="1016"/>
      <c r="G9" s="1152" t="s">
        <v>9</v>
      </c>
    </row>
    <row r="10" spans="1:7">
      <c r="A10" s="858">
        <v>42482</v>
      </c>
      <c r="B10" s="822" t="str">
        <f>TiposLancamentos!B26</f>
        <v>LIVROS</v>
      </c>
      <c r="C10" s="808" t="s">
        <v>10653</v>
      </c>
      <c r="D10" s="747"/>
      <c r="E10" s="1139">
        <v>82.94</v>
      </c>
      <c r="F10" s="1145"/>
      <c r="G10" s="1152" t="s">
        <v>9</v>
      </c>
    </row>
    <row r="11" spans="1:7">
      <c r="A11" s="862">
        <v>42482</v>
      </c>
      <c r="B11" s="823" t="str">
        <f>TiposLancamentos!B26</f>
        <v>LIVROS</v>
      </c>
      <c r="C11" s="812" t="s">
        <v>10654</v>
      </c>
      <c r="D11" s="849"/>
      <c r="E11" s="1141">
        <v>55.94</v>
      </c>
      <c r="F11" s="1146">
        <f>SUM(E10:E11)</f>
        <v>138.88</v>
      </c>
      <c r="G11" s="1152" t="s">
        <v>9</v>
      </c>
    </row>
    <row r="12" spans="1:7">
      <c r="A12" s="884">
        <v>42484</v>
      </c>
      <c r="B12" s="240" t="str">
        <f>TiposLancamentos!B19</f>
        <v>Restaurantes</v>
      </c>
      <c r="C12" s="878" t="s">
        <v>10655</v>
      </c>
      <c r="D12" s="63"/>
      <c r="E12" s="231">
        <v>123.42</v>
      </c>
      <c r="F12" s="1016"/>
      <c r="G12" s="1152" t="s">
        <v>9</v>
      </c>
    </row>
    <row r="13" spans="1:7">
      <c r="A13" s="884">
        <v>42484</v>
      </c>
      <c r="B13" s="240" t="str">
        <f>TiposLancamentos!B19</f>
        <v>Restaurantes</v>
      </c>
      <c r="C13" s="878" t="s">
        <v>10656</v>
      </c>
      <c r="D13" s="63"/>
      <c r="E13" s="231">
        <v>14.4</v>
      </c>
      <c r="F13" s="1016"/>
      <c r="G13" s="1152" t="s">
        <v>9</v>
      </c>
    </row>
    <row r="14" spans="1:7">
      <c r="A14" s="884">
        <v>42484</v>
      </c>
      <c r="B14" s="240" t="str">
        <f>TiposLancamentos!B19</f>
        <v>Restaurantes</v>
      </c>
      <c r="C14" s="878" t="s">
        <v>10657</v>
      </c>
      <c r="D14" s="63"/>
      <c r="E14" s="231">
        <v>43.21</v>
      </c>
      <c r="F14" s="1016"/>
      <c r="G14" s="1152" t="s">
        <v>9</v>
      </c>
    </row>
    <row r="15" spans="1:7">
      <c r="A15" s="884">
        <v>42485</v>
      </c>
      <c r="B15" s="240" t="str">
        <f>TiposLancamentos!B19</f>
        <v>Restaurantes</v>
      </c>
      <c r="C15" s="878" t="s">
        <v>10648</v>
      </c>
      <c r="D15" s="63"/>
      <c r="E15" s="231">
        <v>12.92</v>
      </c>
      <c r="F15" s="1016"/>
      <c r="G15" s="1152" t="s">
        <v>9</v>
      </c>
    </row>
    <row r="16" spans="1:7">
      <c r="A16" s="884">
        <v>42485</v>
      </c>
      <c r="B16" s="240" t="str">
        <f>TiposLancamentos!B19</f>
        <v>Restaurantes</v>
      </c>
      <c r="C16" s="878" t="s">
        <v>10658</v>
      </c>
      <c r="D16" s="63"/>
      <c r="E16" s="231">
        <v>17</v>
      </c>
      <c r="F16" s="1016"/>
      <c r="G16" s="1152" t="s">
        <v>9</v>
      </c>
    </row>
    <row r="17" spans="1:7">
      <c r="A17" s="884">
        <v>42486</v>
      </c>
      <c r="B17" s="240" t="str">
        <f>TiposLancamentos!B17</f>
        <v>GATO</v>
      </c>
      <c r="C17" s="878" t="s">
        <v>1925</v>
      </c>
      <c r="D17" s="63"/>
      <c r="E17" s="231">
        <v>37.5</v>
      </c>
      <c r="F17" s="1016"/>
      <c r="G17" s="1152" t="s">
        <v>9</v>
      </c>
    </row>
    <row r="18" spans="1:7">
      <c r="A18" s="884">
        <v>42486</v>
      </c>
      <c r="B18" s="240" t="str">
        <f>TiposLancamentos!B19</f>
        <v>Restaurantes</v>
      </c>
      <c r="C18" s="878" t="s">
        <v>10648</v>
      </c>
      <c r="D18" s="63"/>
      <c r="E18" s="231">
        <v>12.92</v>
      </c>
      <c r="F18" s="1016"/>
      <c r="G18" s="1152" t="s">
        <v>9</v>
      </c>
    </row>
    <row r="19" spans="1:7">
      <c r="A19" s="884">
        <v>42486</v>
      </c>
      <c r="B19" s="240" t="str">
        <f>TiposLancamentos!B19</f>
        <v>Restaurantes</v>
      </c>
      <c r="C19" s="878" t="s">
        <v>10659</v>
      </c>
      <c r="D19" s="63"/>
      <c r="E19" s="231">
        <v>14.91</v>
      </c>
      <c r="F19" s="1016"/>
      <c r="G19" s="1152" t="s">
        <v>9</v>
      </c>
    </row>
    <row r="20" spans="1:7">
      <c r="A20" s="884">
        <v>42487</v>
      </c>
      <c r="B20" s="240" t="str">
        <f>TiposLancamentos!B17</f>
        <v>GATO</v>
      </c>
      <c r="C20" s="878" t="s">
        <v>10660</v>
      </c>
      <c r="D20" s="63"/>
      <c r="E20" s="231">
        <v>30</v>
      </c>
      <c r="F20" s="1016"/>
      <c r="G20" s="1152" t="s">
        <v>9</v>
      </c>
    </row>
    <row r="21" spans="1:7">
      <c r="A21" s="884">
        <v>42487</v>
      </c>
      <c r="B21" s="240" t="str">
        <f>TiposLancamentos!B22</f>
        <v>Combustivel</v>
      </c>
      <c r="C21" s="878" t="s">
        <v>6412</v>
      </c>
      <c r="D21" s="63"/>
      <c r="E21" s="231">
        <v>160.01</v>
      </c>
      <c r="F21" s="1016"/>
      <c r="G21" s="1152" t="s">
        <v>9</v>
      </c>
    </row>
    <row r="22" spans="1:7">
      <c r="A22" s="884">
        <v>42487</v>
      </c>
      <c r="B22" s="240" t="str">
        <f>TiposLancamentos!B19</f>
        <v>Restaurantes</v>
      </c>
      <c r="C22" s="878" t="s">
        <v>10648</v>
      </c>
      <c r="D22" s="63"/>
      <c r="E22" s="231">
        <v>12.92</v>
      </c>
      <c r="F22" s="1016"/>
      <c r="G22" s="1152" t="s">
        <v>9</v>
      </c>
    </row>
    <row r="23" spans="1:7">
      <c r="A23" s="884">
        <v>42487</v>
      </c>
      <c r="B23" s="240" t="str">
        <f>TiposLancamentos!B19</f>
        <v>Restaurantes</v>
      </c>
      <c r="C23" s="878" t="s">
        <v>10661</v>
      </c>
      <c r="D23" s="63"/>
      <c r="E23" s="231">
        <v>29.7</v>
      </c>
      <c r="F23" s="1016"/>
      <c r="G23" s="1152" t="s">
        <v>9</v>
      </c>
    </row>
    <row r="24" spans="1:7">
      <c r="A24" s="884">
        <v>42488</v>
      </c>
      <c r="B24" s="240" t="str">
        <f>TiposLancamentos!B19</f>
        <v>Restaurantes</v>
      </c>
      <c r="C24" s="878" t="s">
        <v>10662</v>
      </c>
      <c r="D24" s="63"/>
      <c r="E24" s="231">
        <v>21.9</v>
      </c>
      <c r="F24" s="1016"/>
      <c r="G24" s="1152" t="s">
        <v>9</v>
      </c>
    </row>
    <row r="25" spans="1:7">
      <c r="A25" s="884">
        <v>42489</v>
      </c>
      <c r="B25" s="240" t="str">
        <f>TiposLancamentos!B5</f>
        <v>Supermercado</v>
      </c>
      <c r="C25" s="878" t="s">
        <v>10663</v>
      </c>
      <c r="D25" s="63"/>
      <c r="E25" s="231">
        <v>27.2</v>
      </c>
      <c r="F25" s="1016"/>
      <c r="G25" s="1152" t="s">
        <v>9</v>
      </c>
    </row>
    <row r="26" spans="1:7">
      <c r="A26" s="884">
        <v>42489</v>
      </c>
      <c r="B26" s="240" t="str">
        <f>TiposLancamentos!B19</f>
        <v>Restaurantes</v>
      </c>
      <c r="C26" s="878" t="s">
        <v>10648</v>
      </c>
      <c r="D26" s="63"/>
      <c r="E26" s="231">
        <v>12.92</v>
      </c>
      <c r="F26" s="1016"/>
      <c r="G26" s="1152"/>
    </row>
    <row r="27" spans="1:7">
      <c r="A27" s="884">
        <v>42490</v>
      </c>
      <c r="B27" s="240" t="str">
        <f>TiposLancamentos!B19</f>
        <v>Restaurantes</v>
      </c>
      <c r="C27" s="878" t="s">
        <v>10664</v>
      </c>
      <c r="D27" s="63"/>
      <c r="E27" s="231">
        <v>68.2</v>
      </c>
      <c r="F27" s="1016"/>
      <c r="G27" s="1152" t="s">
        <v>9</v>
      </c>
    </row>
    <row r="28" spans="1:7" ht="14.25" thickBot="1">
      <c r="A28" s="885">
        <v>42490</v>
      </c>
      <c r="B28" s="1232" t="str">
        <f>TiposLancamentos!B56</f>
        <v>Farmácia</v>
      </c>
      <c r="C28" s="1120" t="s">
        <v>10665</v>
      </c>
      <c r="D28" s="903"/>
      <c r="E28" s="928">
        <v>46.96</v>
      </c>
      <c r="F28" s="1036"/>
      <c r="G28" s="1152" t="s">
        <v>9</v>
      </c>
    </row>
    <row r="29" spans="1:7">
      <c r="A29" s="1032"/>
      <c r="B29" s="1230"/>
      <c r="C29" s="906" t="s">
        <v>10666</v>
      </c>
      <c r="D29" s="896"/>
      <c r="E29" s="925"/>
      <c r="F29" s="1034"/>
      <c r="G29" s="3"/>
    </row>
    <row r="30" spans="1:7" ht="14.25" customHeight="1">
      <c r="A30" s="884">
        <v>42491</v>
      </c>
      <c r="B30" s="240" t="str">
        <f>TiposLancamentos!B5</f>
        <v>Supermercado</v>
      </c>
      <c r="C30" s="878" t="s">
        <v>10667</v>
      </c>
      <c r="D30" s="63"/>
      <c r="E30" s="231">
        <v>38.18</v>
      </c>
      <c r="F30" s="1016"/>
      <c r="G30" s="1152" t="s">
        <v>9</v>
      </c>
    </row>
    <row r="31" spans="1:7">
      <c r="A31" s="884">
        <v>42493</v>
      </c>
      <c r="B31" s="240" t="str">
        <f>TiposLancamentos!B5</f>
        <v>Supermercado</v>
      </c>
      <c r="C31" s="878" t="s">
        <v>7068</v>
      </c>
      <c r="D31" s="63"/>
      <c r="E31" s="231">
        <v>38.369999999999997</v>
      </c>
      <c r="F31" s="1016"/>
      <c r="G31" s="1152" t="s">
        <v>9</v>
      </c>
    </row>
    <row r="32" spans="1:7">
      <c r="A32" s="884">
        <v>42494</v>
      </c>
      <c r="B32" s="240" t="str">
        <f>TiposLancamentos!B16</f>
        <v>Cristiane</v>
      </c>
      <c r="C32" s="878" t="s">
        <v>10668</v>
      </c>
      <c r="D32" s="63"/>
      <c r="E32" s="231">
        <v>40</v>
      </c>
      <c r="F32" s="1016"/>
      <c r="G32" s="1152" t="s">
        <v>9</v>
      </c>
    </row>
    <row r="33" spans="1:7">
      <c r="A33" s="884">
        <v>42495</v>
      </c>
      <c r="B33" s="240" t="str">
        <f>TiposLancamentos!B48</f>
        <v>Baralhos e Oráculos</v>
      </c>
      <c r="C33" s="878" t="s">
        <v>10669</v>
      </c>
      <c r="D33" s="63"/>
      <c r="E33" s="231">
        <f>F33/4</f>
        <v>224.595</v>
      </c>
      <c r="F33" s="1016">
        <v>898.38</v>
      </c>
      <c r="G33" s="1152" t="s">
        <v>9</v>
      </c>
    </row>
    <row r="34" spans="1:7">
      <c r="A34" s="884">
        <v>42496</v>
      </c>
      <c r="B34" s="240" t="str">
        <f>TiposLancamentos!B19</f>
        <v>Restaurantes</v>
      </c>
      <c r="C34" s="878" t="s">
        <v>6409</v>
      </c>
      <c r="D34" s="63"/>
      <c r="E34" s="231">
        <v>62.92</v>
      </c>
      <c r="F34" s="1016"/>
      <c r="G34" s="1152" t="s">
        <v>9</v>
      </c>
    </row>
    <row r="35" spans="1:7">
      <c r="A35" s="884">
        <v>42496</v>
      </c>
      <c r="B35" s="240" t="str">
        <f>TiposLancamentos!B24</f>
        <v>Estacionamentos</v>
      </c>
      <c r="C35" s="878" t="s">
        <v>4589</v>
      </c>
      <c r="D35" s="63"/>
      <c r="E35" s="231">
        <v>170</v>
      </c>
      <c r="F35" s="1016"/>
      <c r="G35" s="1152" t="s">
        <v>9</v>
      </c>
    </row>
    <row r="36" spans="1:7">
      <c r="A36" s="884">
        <v>42496</v>
      </c>
      <c r="B36" s="240" t="str">
        <f>TiposLancamentos!B28</f>
        <v>ComicBook</v>
      </c>
      <c r="C36" s="878" t="s">
        <v>10670</v>
      </c>
      <c r="D36" s="63"/>
      <c r="E36" s="231">
        <v>24.6</v>
      </c>
      <c r="F36" s="1016"/>
      <c r="G36" s="1152" t="s">
        <v>9</v>
      </c>
    </row>
    <row r="37" spans="1:7">
      <c r="A37" s="884">
        <v>42497</v>
      </c>
      <c r="B37" s="240" t="str">
        <f>TiposLancamentos!B19</f>
        <v>Restaurantes</v>
      </c>
      <c r="C37" s="878" t="s">
        <v>6542</v>
      </c>
      <c r="D37" s="63"/>
      <c r="E37" s="231">
        <v>96.8</v>
      </c>
      <c r="F37" s="1016"/>
      <c r="G37" s="1152" t="s">
        <v>9</v>
      </c>
    </row>
    <row r="38" spans="1:7">
      <c r="A38" s="884">
        <v>42498</v>
      </c>
      <c r="B38" s="240" t="str">
        <f>TiposLancamentos!B5</f>
        <v>Supermercado</v>
      </c>
      <c r="C38" s="878" t="s">
        <v>6201</v>
      </c>
      <c r="D38" s="63"/>
      <c r="E38" s="231">
        <v>121.26</v>
      </c>
      <c r="F38" s="1016"/>
      <c r="G38" s="1152" t="s">
        <v>9</v>
      </c>
    </row>
    <row r="39" spans="1:7">
      <c r="A39" s="884">
        <v>42498</v>
      </c>
      <c r="B39" s="240" t="str">
        <f>TiposLancamentos!B5</f>
        <v>Supermercado</v>
      </c>
      <c r="C39" s="878" t="s">
        <v>10671</v>
      </c>
      <c r="D39" s="63"/>
      <c r="E39" s="231">
        <v>31.02</v>
      </c>
      <c r="F39" s="1016"/>
      <c r="G39" s="1152" t="s">
        <v>9</v>
      </c>
    </row>
    <row r="40" spans="1:7">
      <c r="A40" s="884">
        <v>42499</v>
      </c>
      <c r="B40" s="240" t="str">
        <f>TiposLancamentos!B56</f>
        <v>Farmácia</v>
      </c>
      <c r="C40" s="878" t="s">
        <v>10672</v>
      </c>
      <c r="D40" s="63"/>
      <c r="E40" s="231">
        <v>13.56</v>
      </c>
      <c r="F40" s="1016"/>
      <c r="G40" s="1152" t="s">
        <v>9</v>
      </c>
    </row>
    <row r="41" spans="1:7">
      <c r="A41" s="884">
        <v>42499</v>
      </c>
      <c r="B41" s="240" t="str">
        <f>TiposLancamentos!B56</f>
        <v>Farmácia</v>
      </c>
      <c r="C41" s="878" t="s">
        <v>6118</v>
      </c>
      <c r="D41" s="63"/>
      <c r="E41" s="231">
        <v>73.17</v>
      </c>
      <c r="F41" s="1016"/>
      <c r="G41" s="1152" t="s">
        <v>9</v>
      </c>
    </row>
    <row r="42" spans="1:7">
      <c r="A42" s="884">
        <v>42499</v>
      </c>
      <c r="B42" s="240" t="str">
        <f>TiposLancamentos!B57</f>
        <v>Informática</v>
      </c>
      <c r="C42" s="878" t="s">
        <v>10673</v>
      </c>
      <c r="D42" s="63"/>
      <c r="E42" s="231">
        <v>78.89</v>
      </c>
      <c r="F42" s="1016"/>
      <c r="G42" s="1152" t="s">
        <v>9</v>
      </c>
    </row>
    <row r="43" spans="1:7">
      <c r="A43" s="884">
        <v>42501</v>
      </c>
      <c r="B43" s="240" t="str">
        <f>TiposLancamentos!B26</f>
        <v>LIVROS</v>
      </c>
      <c r="C43" s="878" t="s">
        <v>10674</v>
      </c>
      <c r="D43" s="63"/>
      <c r="E43" s="231">
        <v>64.900000000000006</v>
      </c>
      <c r="F43" s="1016"/>
      <c r="G43" s="1152" t="s">
        <v>9</v>
      </c>
    </row>
    <row r="44" spans="1:7">
      <c r="A44" s="884">
        <v>42501</v>
      </c>
      <c r="B44" s="240" t="str">
        <f>TiposLancamentos!B19</f>
        <v>Restaurantes</v>
      </c>
      <c r="C44" s="878" t="s">
        <v>7294</v>
      </c>
      <c r="D44" s="63"/>
      <c r="E44" s="231">
        <v>133.1</v>
      </c>
      <c r="F44" s="1016"/>
      <c r="G44" s="1152" t="s">
        <v>9</v>
      </c>
    </row>
    <row r="45" spans="1:7">
      <c r="A45" s="884">
        <v>42502</v>
      </c>
      <c r="B45" s="240" t="str">
        <f>TiposLancamentos!B56</f>
        <v>Farmácia</v>
      </c>
      <c r="C45" s="878" t="s">
        <v>10675</v>
      </c>
      <c r="D45" s="63"/>
      <c r="E45" s="231">
        <v>12.58</v>
      </c>
      <c r="F45" s="1016"/>
      <c r="G45" s="1152" t="s">
        <v>9</v>
      </c>
    </row>
    <row r="46" spans="1:7">
      <c r="A46" s="884">
        <v>42502</v>
      </c>
      <c r="B46" s="240" t="str">
        <f>TiposLancamentos!B16</f>
        <v>Cristiane</v>
      </c>
      <c r="C46" s="878" t="s">
        <v>10676</v>
      </c>
      <c r="D46" s="63"/>
      <c r="E46" s="231">
        <v>21.56</v>
      </c>
      <c r="F46" s="1016"/>
      <c r="G46" s="1152" t="s">
        <v>9</v>
      </c>
    </row>
    <row r="47" spans="1:7">
      <c r="A47" s="884">
        <v>42504</v>
      </c>
      <c r="B47" s="240" t="str">
        <f>B44</f>
        <v>Restaurantes</v>
      </c>
      <c r="C47" s="878" t="s">
        <v>10677</v>
      </c>
      <c r="D47" s="63"/>
      <c r="E47" s="231">
        <v>29</v>
      </c>
      <c r="F47" s="1016"/>
      <c r="G47" s="1152" t="s">
        <v>9</v>
      </c>
    </row>
    <row r="48" spans="1:7">
      <c r="A48" s="884">
        <v>42505</v>
      </c>
      <c r="B48" s="240" t="str">
        <f>TiposLancamentos!B5</f>
        <v>Supermercado</v>
      </c>
      <c r="C48" s="878" t="s">
        <v>6234</v>
      </c>
      <c r="D48" s="63"/>
      <c r="E48" s="231">
        <v>35.79</v>
      </c>
      <c r="F48" s="1016"/>
      <c r="G48" s="1152" t="s">
        <v>9</v>
      </c>
    </row>
    <row r="49" spans="1:7">
      <c r="A49" s="884">
        <v>42506</v>
      </c>
      <c r="B49" s="240" t="str">
        <f>TiposLancamentos!B5</f>
        <v>Supermercado</v>
      </c>
      <c r="C49" s="878" t="s">
        <v>6234</v>
      </c>
      <c r="D49" s="63"/>
      <c r="E49" s="231">
        <v>42.58</v>
      </c>
      <c r="F49" s="1016"/>
      <c r="G49" s="1152" t="s">
        <v>9</v>
      </c>
    </row>
    <row r="50" spans="1:7">
      <c r="A50" s="884">
        <v>42507</v>
      </c>
      <c r="B50" s="240" t="str">
        <f>TiposLancamentos!B56</f>
        <v>Farmácia</v>
      </c>
      <c r="C50" s="878" t="s">
        <v>10678</v>
      </c>
      <c r="D50" s="63"/>
      <c r="E50" s="231">
        <v>33.5</v>
      </c>
      <c r="F50" s="1016"/>
      <c r="G50" s="1152" t="s">
        <v>9</v>
      </c>
    </row>
    <row r="51" spans="1:7">
      <c r="A51" s="884">
        <v>42507</v>
      </c>
      <c r="B51" s="240" t="str">
        <f>TiposLancamentos!B56</f>
        <v>Farmácia</v>
      </c>
      <c r="C51" s="878" t="s">
        <v>10679</v>
      </c>
      <c r="D51" s="63"/>
      <c r="E51" s="231">
        <v>11.4</v>
      </c>
      <c r="F51" s="1016"/>
      <c r="G51" s="1152" t="s">
        <v>9</v>
      </c>
    </row>
    <row r="52" spans="1:7">
      <c r="A52" s="884">
        <v>42507</v>
      </c>
      <c r="B52" s="240" t="str">
        <f>TiposLancamentos!B62</f>
        <v>Papelaria</v>
      </c>
      <c r="C52" s="878" t="s">
        <v>10680</v>
      </c>
      <c r="D52" s="63"/>
      <c r="E52" s="231">
        <v>39.119999999999997</v>
      </c>
      <c r="F52" s="1016"/>
      <c r="G52" s="1152" t="s">
        <v>9</v>
      </c>
    </row>
    <row r="53" spans="1:7">
      <c r="A53" s="884">
        <v>42508</v>
      </c>
      <c r="B53" s="240" t="str">
        <f>TiposLancamentos!B24</f>
        <v>Estacionamentos</v>
      </c>
      <c r="C53" s="878" t="s">
        <v>10681</v>
      </c>
      <c r="D53" s="63"/>
      <c r="E53" s="231">
        <v>30</v>
      </c>
      <c r="F53" s="1016"/>
      <c r="G53" s="1152" t="s">
        <v>9</v>
      </c>
    </row>
    <row r="54" spans="1:7">
      <c r="A54" s="884">
        <v>42508</v>
      </c>
      <c r="B54" s="240" t="str">
        <f>TiposLancamentos!B71</f>
        <v>Itens Pessoais</v>
      </c>
      <c r="C54" s="878" t="s">
        <v>10682</v>
      </c>
      <c r="D54" s="63"/>
      <c r="E54" s="231">
        <v>7.84</v>
      </c>
      <c r="F54" s="1016"/>
      <c r="G54" s="1152" t="s">
        <v>9</v>
      </c>
    </row>
    <row r="55" spans="1:7">
      <c r="A55" s="884">
        <v>42510</v>
      </c>
      <c r="B55" s="240" t="str">
        <f>TiposLancamentos!B56</f>
        <v>Farmácia</v>
      </c>
      <c r="C55" s="878" t="s">
        <v>10683</v>
      </c>
      <c r="D55" s="63"/>
      <c r="E55" s="231">
        <v>55.48</v>
      </c>
      <c r="F55" s="1016"/>
      <c r="G55" s="1152" t="s">
        <v>9</v>
      </c>
    </row>
    <row r="56" spans="1:7">
      <c r="A56" s="884">
        <v>42510</v>
      </c>
      <c r="B56" s="240" t="str">
        <f>TiposLancamentos!B57</f>
        <v>Informática</v>
      </c>
      <c r="C56" s="878" t="s">
        <v>10684</v>
      </c>
      <c r="D56" s="63"/>
      <c r="E56" s="231">
        <v>92.59</v>
      </c>
      <c r="F56" s="1016"/>
      <c r="G56" s="1152" t="s">
        <v>9</v>
      </c>
    </row>
    <row r="57" spans="1:7">
      <c r="A57" s="884">
        <v>42511</v>
      </c>
      <c r="B57" s="240" t="str">
        <f>TiposLancamentos!B19</f>
        <v>Restaurantes</v>
      </c>
      <c r="C57" s="878" t="s">
        <v>10685</v>
      </c>
      <c r="D57" s="63"/>
      <c r="E57" s="231">
        <v>120.6</v>
      </c>
      <c r="F57" s="1016"/>
      <c r="G57" s="1152" t="s">
        <v>9</v>
      </c>
    </row>
    <row r="58" spans="1:7">
      <c r="A58" s="884">
        <v>42511</v>
      </c>
      <c r="B58" s="240" t="str">
        <f>TiposLancamentos!B5</f>
        <v>Supermercado</v>
      </c>
      <c r="C58" s="878" t="s">
        <v>3618</v>
      </c>
      <c r="D58" s="63"/>
      <c r="E58" s="231">
        <v>37.75</v>
      </c>
      <c r="F58" s="1016"/>
      <c r="G58" s="1152" t="s">
        <v>9</v>
      </c>
    </row>
    <row r="59" spans="1:7">
      <c r="A59" s="884">
        <v>42512</v>
      </c>
      <c r="B59" s="240" t="str">
        <f>TiposLancamentos!B19</f>
        <v>Restaurantes</v>
      </c>
      <c r="C59" s="878" t="s">
        <v>10686</v>
      </c>
      <c r="D59" s="63"/>
      <c r="E59" s="231">
        <v>149.82</v>
      </c>
      <c r="F59" s="1016"/>
      <c r="G59" s="1152" t="s">
        <v>9</v>
      </c>
    </row>
    <row r="60" spans="1:7">
      <c r="A60" s="884">
        <v>42512</v>
      </c>
      <c r="B60" s="240" t="str">
        <f>TiposLancamentos!B5</f>
        <v>Supermercado</v>
      </c>
      <c r="C60" s="878" t="s">
        <v>6234</v>
      </c>
      <c r="D60" s="63"/>
      <c r="E60" s="231">
        <v>71.25</v>
      </c>
      <c r="F60" s="1016"/>
      <c r="G60" s="1152" t="s">
        <v>9</v>
      </c>
    </row>
    <row r="61" spans="1:7">
      <c r="A61" s="884">
        <v>42514</v>
      </c>
      <c r="B61" s="240" t="str">
        <f>TiposLancamentos!B102</f>
        <v>ESTORNO</v>
      </c>
      <c r="C61" s="878" t="s">
        <v>10687</v>
      </c>
      <c r="D61" s="63">
        <v>78.89</v>
      </c>
      <c r="E61" s="231"/>
      <c r="F61" s="1016"/>
      <c r="G61" s="1152" t="s">
        <v>9</v>
      </c>
    </row>
    <row r="62" spans="1:7">
      <c r="A62" s="934"/>
      <c r="B62" s="243"/>
      <c r="C62" s="389" t="s">
        <v>10</v>
      </c>
      <c r="D62" s="146"/>
      <c r="E62" s="146"/>
      <c r="F62" s="1231"/>
      <c r="G62" s="1094" t="s">
        <v>11</v>
      </c>
    </row>
    <row r="63" spans="1:7">
      <c r="A63" s="884">
        <v>42513</v>
      </c>
      <c r="B63" s="240" t="str">
        <f>TiposLancamentos!B87</f>
        <v>P207-1.6-XS</v>
      </c>
      <c r="C63" s="878" t="s">
        <v>4416</v>
      </c>
      <c r="D63" s="63"/>
      <c r="E63" s="231">
        <v>80</v>
      </c>
      <c r="F63" s="1016"/>
      <c r="G63" s="1152" t="s">
        <v>9</v>
      </c>
    </row>
    <row r="64" spans="1:7">
      <c r="A64" s="884">
        <v>42513</v>
      </c>
      <c r="B64" s="240" t="str">
        <f>TiposLancamentos!B71</f>
        <v>Itens Pessoais</v>
      </c>
      <c r="C64" s="878" t="s">
        <v>10688</v>
      </c>
      <c r="D64" s="63"/>
      <c r="E64" s="231">
        <v>30</v>
      </c>
      <c r="F64" s="1016"/>
      <c r="G64" s="1152" t="s">
        <v>9</v>
      </c>
    </row>
    <row r="65" spans="1:7">
      <c r="A65" s="884">
        <v>42506</v>
      </c>
      <c r="B65" s="240" t="str">
        <f>TiposLancamentos!B102</f>
        <v>ESTORNO</v>
      </c>
      <c r="C65" s="878" t="s">
        <v>10687</v>
      </c>
      <c r="D65" s="63">
        <v>7.84</v>
      </c>
      <c r="E65" s="231"/>
      <c r="F65" s="1016"/>
      <c r="G65" s="1152"/>
    </row>
    <row r="66" spans="1:7">
      <c r="A66" s="884">
        <v>42514</v>
      </c>
      <c r="B66" s="240" t="str">
        <f>TiposLancamentos!B19</f>
        <v>Restaurantes</v>
      </c>
      <c r="C66" s="878" t="s">
        <v>10689</v>
      </c>
      <c r="D66" s="63"/>
      <c r="E66" s="231">
        <v>19.8</v>
      </c>
      <c r="F66" s="1016"/>
      <c r="G66" s="1152" t="s">
        <v>9</v>
      </c>
    </row>
    <row r="67" spans="1:7">
      <c r="A67" s="884">
        <v>42515</v>
      </c>
      <c r="B67" s="240" t="str">
        <f>TiposLancamentos!B56</f>
        <v>Farmácia</v>
      </c>
      <c r="C67" s="878" t="s">
        <v>10690</v>
      </c>
      <c r="D67" s="63"/>
      <c r="E67" s="231">
        <v>84.46</v>
      </c>
      <c r="F67" s="1016"/>
      <c r="G67" s="1152" t="s">
        <v>9</v>
      </c>
    </row>
    <row r="68" spans="1:7">
      <c r="A68" s="884">
        <v>42515</v>
      </c>
      <c r="B68" s="240" t="str">
        <f>TiposLancamentos!B48</f>
        <v>Baralhos e Oráculos</v>
      </c>
      <c r="C68" s="878" t="s">
        <v>10691</v>
      </c>
      <c r="D68" s="63"/>
      <c r="E68" s="231">
        <v>230</v>
      </c>
      <c r="F68" s="1016"/>
      <c r="G68" s="1152" t="s">
        <v>9</v>
      </c>
    </row>
    <row r="69" spans="1:7">
      <c r="A69" s="884">
        <v>42515</v>
      </c>
      <c r="B69" s="240" t="str">
        <f>TiposLancamentos!B19</f>
        <v>Restaurantes</v>
      </c>
      <c r="C69" s="878" t="s">
        <v>10692</v>
      </c>
      <c r="D69" s="63"/>
      <c r="E69" s="231">
        <v>12.92</v>
      </c>
      <c r="F69" s="1016"/>
      <c r="G69" s="1152" t="s">
        <v>9</v>
      </c>
    </row>
    <row r="70" spans="1:7">
      <c r="A70" s="858">
        <v>42515</v>
      </c>
      <c r="B70" s="822" t="str">
        <f>TiposLancamentos!B48</f>
        <v>Baralhos e Oráculos</v>
      </c>
      <c r="C70" s="808" t="s">
        <v>10693</v>
      </c>
      <c r="D70" s="747"/>
      <c r="E70" s="1139">
        <f>116+48</f>
        <v>164</v>
      </c>
      <c r="F70" s="1145"/>
      <c r="G70" s="1152" t="s">
        <v>9</v>
      </c>
    </row>
    <row r="71" spans="1:7">
      <c r="A71" s="862">
        <v>42515</v>
      </c>
      <c r="B71" s="823" t="str">
        <f>TiposLancamentos!B16</f>
        <v>Cristiane</v>
      </c>
      <c r="C71" s="812" t="s">
        <v>10694</v>
      </c>
      <c r="D71" s="849"/>
      <c r="E71" s="1141">
        <v>96</v>
      </c>
      <c r="F71" s="1146">
        <f>SUM(E70:E71)</f>
        <v>260</v>
      </c>
      <c r="G71" s="1152" t="s">
        <v>9</v>
      </c>
    </row>
    <row r="72" spans="1:7">
      <c r="A72" s="884">
        <v>42515</v>
      </c>
      <c r="B72" s="240" t="str">
        <f>TiposLancamentos!B19</f>
        <v>Restaurantes</v>
      </c>
      <c r="C72" s="878" t="s">
        <v>10695</v>
      </c>
      <c r="D72" s="63"/>
      <c r="E72" s="231">
        <v>58</v>
      </c>
      <c r="F72" s="1016"/>
      <c r="G72" s="1152" t="s">
        <v>9</v>
      </c>
    </row>
    <row r="73" spans="1:7">
      <c r="A73" s="884">
        <v>42516</v>
      </c>
      <c r="B73" s="240" t="str">
        <f>TiposLancamentos!B19</f>
        <v>Restaurantes</v>
      </c>
      <c r="C73" s="878" t="s">
        <v>10696</v>
      </c>
      <c r="D73" s="63"/>
      <c r="E73" s="231">
        <v>108.9</v>
      </c>
      <c r="F73" s="1016"/>
      <c r="G73" s="1152" t="s">
        <v>9</v>
      </c>
    </row>
    <row r="74" spans="1:7">
      <c r="A74" s="884">
        <v>42518</v>
      </c>
      <c r="B74" s="240" t="str">
        <f>TiposLancamentos!B56</f>
        <v>Farmácia</v>
      </c>
      <c r="C74" s="878" t="s">
        <v>10697</v>
      </c>
      <c r="D74" s="63"/>
      <c r="E74" s="231">
        <v>24.26</v>
      </c>
      <c r="F74" s="1016"/>
      <c r="G74" s="1152" t="s">
        <v>9</v>
      </c>
    </row>
    <row r="75" spans="1:7">
      <c r="A75" s="884">
        <v>42518</v>
      </c>
      <c r="B75" s="240" t="str">
        <f>TiposLancamentos!B5</f>
        <v>Supermercado</v>
      </c>
      <c r="C75" s="878" t="s">
        <v>10698</v>
      </c>
      <c r="D75" s="63"/>
      <c r="E75" s="231">
        <v>32.96</v>
      </c>
      <c r="F75" s="1016"/>
      <c r="G75" s="1152" t="s">
        <v>9</v>
      </c>
    </row>
    <row r="76" spans="1:7">
      <c r="A76" s="884">
        <v>42518</v>
      </c>
      <c r="B76" s="240" t="str">
        <f>TiposLancamentos!B5</f>
        <v>Supermercado</v>
      </c>
      <c r="C76" s="878" t="s">
        <v>10699</v>
      </c>
      <c r="D76" s="63"/>
      <c r="E76" s="231">
        <v>188.5</v>
      </c>
      <c r="F76" s="1016"/>
      <c r="G76" s="1152" t="s">
        <v>9</v>
      </c>
    </row>
    <row r="77" spans="1:7">
      <c r="A77" s="884">
        <v>42519</v>
      </c>
      <c r="B77" s="240" t="str">
        <f>TiposLancamentos!B5</f>
        <v>Supermercado</v>
      </c>
      <c r="C77" s="878" t="s">
        <v>6234</v>
      </c>
      <c r="D77" s="63"/>
      <c r="E77" s="231">
        <v>56.32</v>
      </c>
      <c r="F77" s="1016"/>
      <c r="G77" s="1152" t="s">
        <v>9</v>
      </c>
    </row>
    <row r="78" spans="1:7">
      <c r="A78" s="884">
        <v>42519</v>
      </c>
      <c r="B78" s="240" t="str">
        <f>TiposLancamentos!B5</f>
        <v>Supermercado</v>
      </c>
      <c r="C78" s="878" t="s">
        <v>10700</v>
      </c>
      <c r="D78" s="63"/>
      <c r="E78" s="231">
        <v>30.74</v>
      </c>
      <c r="F78" s="1016"/>
      <c r="G78" s="1152" t="s">
        <v>9</v>
      </c>
    </row>
    <row r="79" spans="1:7">
      <c r="A79" s="884">
        <v>42520</v>
      </c>
      <c r="B79" s="240" t="str">
        <f>TiposLancamentos!B13</f>
        <v>Moradia</v>
      </c>
      <c r="C79" s="878" t="s">
        <v>10701</v>
      </c>
      <c r="D79" s="63"/>
      <c r="E79" s="231">
        <v>30</v>
      </c>
      <c r="F79" s="1016"/>
      <c r="G79" s="1152" t="s">
        <v>9</v>
      </c>
    </row>
    <row r="80" spans="1:7" ht="14.25" thickBot="1">
      <c r="A80" s="885">
        <v>42521</v>
      </c>
      <c r="B80" s="1232" t="str">
        <f>TiposLancamentos!B5</f>
        <v>Supermercado</v>
      </c>
      <c r="C80" s="1120" t="s">
        <v>10700</v>
      </c>
      <c r="D80" s="903"/>
      <c r="E80" s="928">
        <v>51.37</v>
      </c>
      <c r="F80" s="1036"/>
      <c r="G80" s="1152" t="s">
        <v>9</v>
      </c>
    </row>
    <row r="81" spans="1:7">
      <c r="A81" s="1032"/>
      <c r="B81" s="1230"/>
      <c r="C81" s="906" t="s">
        <v>10702</v>
      </c>
      <c r="D81" s="896"/>
      <c r="E81" s="925"/>
      <c r="F81" s="1616">
        <f>SUM(E3:E61)-D61</f>
        <v>2858.3350000000005</v>
      </c>
      <c r="G81" s="3"/>
    </row>
    <row r="82" spans="1:7">
      <c r="A82" s="884">
        <v>42522</v>
      </c>
      <c r="B82" s="240" t="str">
        <f>TiposLancamentos!B15</f>
        <v>Cartões de Crédito</v>
      </c>
      <c r="C82" s="878" t="s">
        <v>1874</v>
      </c>
      <c r="D82" s="63">
        <v>2858.43</v>
      </c>
      <c r="E82" s="231"/>
      <c r="F82" s="1016"/>
      <c r="G82" s="1152" t="s">
        <v>9</v>
      </c>
    </row>
    <row r="83" spans="1:7">
      <c r="A83" s="884">
        <v>42523</v>
      </c>
      <c r="B83" s="240" t="str">
        <f>TiposLancamentos!B56</f>
        <v>Farmácia</v>
      </c>
      <c r="C83" s="878" t="s">
        <v>6118</v>
      </c>
      <c r="D83" s="63"/>
      <c r="E83" s="231">
        <v>73.17</v>
      </c>
      <c r="F83" s="1016"/>
      <c r="G83" s="1152" t="s">
        <v>9</v>
      </c>
    </row>
    <row r="84" spans="1:7">
      <c r="A84" s="884">
        <v>42523</v>
      </c>
      <c r="B84" s="240" t="str">
        <f>TiposLancamentos!B71</f>
        <v>Itens Pessoais</v>
      </c>
      <c r="C84" s="878" t="s">
        <v>10703</v>
      </c>
      <c r="D84" s="63"/>
      <c r="E84" s="231">
        <v>39</v>
      </c>
      <c r="F84" s="1016"/>
      <c r="G84" s="1152" t="s">
        <v>9</v>
      </c>
    </row>
    <row r="85" spans="1:7">
      <c r="A85" s="884">
        <v>42525</v>
      </c>
      <c r="B85" s="240" t="str">
        <f>TiposLancamentos!B70</f>
        <v>Vestuário</v>
      </c>
      <c r="C85" s="878" t="s">
        <v>10704</v>
      </c>
      <c r="D85" s="63"/>
      <c r="E85" s="231">
        <f>384.37/3</f>
        <v>128.12333333333333</v>
      </c>
      <c r="F85" s="1016">
        <v>384.37</v>
      </c>
      <c r="G85" s="1152" t="s">
        <v>9</v>
      </c>
    </row>
    <row r="86" spans="1:7">
      <c r="A86" s="884">
        <v>42525</v>
      </c>
      <c r="B86" s="240" t="str">
        <f>TiposLancamentos!B19</f>
        <v>Restaurantes</v>
      </c>
      <c r="C86" s="878" t="s">
        <v>10705</v>
      </c>
      <c r="D86" s="63"/>
      <c r="E86" s="231">
        <v>39</v>
      </c>
      <c r="F86" s="1016"/>
      <c r="G86" s="1152" t="s">
        <v>9</v>
      </c>
    </row>
    <row r="87" spans="1:7">
      <c r="A87" s="884">
        <v>42525</v>
      </c>
      <c r="B87" s="240" t="str">
        <f>TiposLancamentos!B5</f>
        <v>Supermercado</v>
      </c>
      <c r="C87" s="878" t="s">
        <v>10706</v>
      </c>
      <c r="D87" s="63"/>
      <c r="E87" s="231">
        <v>266.69</v>
      </c>
      <c r="F87" s="1016"/>
      <c r="G87" s="1152" t="s">
        <v>9</v>
      </c>
    </row>
    <row r="88" spans="1:7">
      <c r="A88" s="884">
        <v>42526</v>
      </c>
      <c r="B88" s="240" t="str">
        <f>TiposLancamentos!B48</f>
        <v>Baralhos e Oráculos</v>
      </c>
      <c r="C88" s="878" t="s">
        <v>10707</v>
      </c>
      <c r="D88" s="63"/>
      <c r="E88" s="231">
        <f>F88/4</f>
        <v>224.595</v>
      </c>
      <c r="F88" s="1016">
        <v>898.38</v>
      </c>
      <c r="G88" s="1152" t="s">
        <v>9</v>
      </c>
    </row>
    <row r="89" spans="1:7">
      <c r="A89" s="884">
        <v>42526</v>
      </c>
      <c r="B89" s="240" t="str">
        <f>TiposLancamentos!B19</f>
        <v>Restaurantes</v>
      </c>
      <c r="C89" s="878" t="s">
        <v>6952</v>
      </c>
      <c r="D89" s="63"/>
      <c r="E89" s="231">
        <v>29.98</v>
      </c>
      <c r="F89" s="1016"/>
      <c r="G89" s="1152" t="s">
        <v>9</v>
      </c>
    </row>
    <row r="90" spans="1:7">
      <c r="A90" s="884">
        <v>42526</v>
      </c>
      <c r="B90" s="240" t="str">
        <f>TiposLancamentos!B16</f>
        <v>Cristiane</v>
      </c>
      <c r="C90" s="878" t="s">
        <v>10708</v>
      </c>
      <c r="D90" s="63"/>
      <c r="E90" s="231">
        <v>68.5</v>
      </c>
      <c r="F90" s="1016"/>
      <c r="G90" s="1152" t="s">
        <v>9</v>
      </c>
    </row>
    <row r="91" spans="1:7">
      <c r="A91" s="884">
        <v>42526</v>
      </c>
      <c r="B91" s="240" t="str">
        <f>TiposLancamentos!B5</f>
        <v>Supermercado</v>
      </c>
      <c r="C91" s="878" t="s">
        <v>10709</v>
      </c>
      <c r="D91" s="63"/>
      <c r="E91" s="231">
        <v>14.99</v>
      </c>
      <c r="F91" s="1016"/>
      <c r="G91" s="1152" t="s">
        <v>9</v>
      </c>
    </row>
    <row r="92" spans="1:7">
      <c r="A92" s="884">
        <v>42527</v>
      </c>
      <c r="B92" s="240" t="str">
        <f>TiposLancamentos!B31</f>
        <v>Action Figures</v>
      </c>
      <c r="C92" s="878" t="s">
        <v>10710</v>
      </c>
      <c r="D92" s="63"/>
      <c r="E92" s="231">
        <v>116.64</v>
      </c>
      <c r="F92" s="1016">
        <f>E92*3</f>
        <v>349.92</v>
      </c>
      <c r="G92" s="1152" t="s">
        <v>9</v>
      </c>
    </row>
    <row r="93" spans="1:7">
      <c r="A93" s="884">
        <v>42527</v>
      </c>
      <c r="B93" s="240" t="str">
        <f>TiposLancamentos!B13</f>
        <v>Moradia</v>
      </c>
      <c r="C93" s="878" t="s">
        <v>5868</v>
      </c>
      <c r="D93" s="63"/>
      <c r="E93" s="231">
        <v>200.7</v>
      </c>
      <c r="F93" s="1016"/>
      <c r="G93" s="1152" t="s">
        <v>9</v>
      </c>
    </row>
    <row r="94" spans="1:7">
      <c r="A94" s="884">
        <v>42527</v>
      </c>
      <c r="B94" s="240" t="str">
        <f>TiposLancamentos!B17</f>
        <v>GATO</v>
      </c>
      <c r="C94" s="878" t="s">
        <v>10711</v>
      </c>
      <c r="D94" s="63"/>
      <c r="E94" s="231">
        <v>26.8</v>
      </c>
      <c r="F94" s="1016"/>
      <c r="G94" s="1152" t="s">
        <v>9</v>
      </c>
    </row>
    <row r="95" spans="1:7">
      <c r="A95" s="884">
        <v>42528</v>
      </c>
      <c r="B95" s="240" t="str">
        <f>TiposLancamentos!B19</f>
        <v>Restaurantes</v>
      </c>
      <c r="C95" s="878" t="s">
        <v>10712</v>
      </c>
      <c r="D95" s="63"/>
      <c r="E95" s="231">
        <v>10.4</v>
      </c>
      <c r="F95" s="1016"/>
      <c r="G95" s="1152" t="s">
        <v>9</v>
      </c>
    </row>
    <row r="96" spans="1:7">
      <c r="A96" s="884">
        <v>42529</v>
      </c>
      <c r="B96" s="240" t="str">
        <f>TiposLancamentos!B17</f>
        <v>GATO</v>
      </c>
      <c r="C96" s="878" t="s">
        <v>10713</v>
      </c>
      <c r="D96" s="63"/>
      <c r="E96" s="231">
        <v>40.4</v>
      </c>
      <c r="F96" s="1016"/>
      <c r="G96" s="1152" t="s">
        <v>9</v>
      </c>
    </row>
    <row r="97" spans="1:7">
      <c r="A97" s="884">
        <v>42530</v>
      </c>
      <c r="B97" s="240" t="str">
        <f>TiposLancamentos!B56</f>
        <v>Farmácia</v>
      </c>
      <c r="C97" s="878" t="s">
        <v>10714</v>
      </c>
      <c r="D97" s="63"/>
      <c r="E97" s="231">
        <v>16.2</v>
      </c>
      <c r="F97" s="1016"/>
      <c r="G97" s="1152" t="s">
        <v>9</v>
      </c>
    </row>
    <row r="98" spans="1:7">
      <c r="A98" s="858">
        <v>42532</v>
      </c>
      <c r="B98" s="822" t="str">
        <f>TiposLancamentos!B48</f>
        <v>Baralhos e Oráculos</v>
      </c>
      <c r="C98" s="808" t="s">
        <v>10715</v>
      </c>
      <c r="D98" s="747"/>
      <c r="E98" s="1139">
        <v>99</v>
      </c>
      <c r="F98" s="1145"/>
      <c r="G98" s="1152" t="s">
        <v>9</v>
      </c>
    </row>
    <row r="99" spans="1:7">
      <c r="A99" s="862">
        <v>42532</v>
      </c>
      <c r="B99" s="823" t="str">
        <f>TiposLancamentos!B48</f>
        <v>Baralhos e Oráculos</v>
      </c>
      <c r="C99" s="812" t="s">
        <v>10716</v>
      </c>
      <c r="D99" s="849"/>
      <c r="E99" s="1141">
        <v>99</v>
      </c>
      <c r="F99" s="1146">
        <f>SUM(E98:E99)</f>
        <v>198</v>
      </c>
      <c r="G99" s="1152" t="s">
        <v>9</v>
      </c>
    </row>
    <row r="100" spans="1:7">
      <c r="A100" s="884">
        <v>42532</v>
      </c>
      <c r="B100" s="240" t="str">
        <f>TiposLancamentos!B19</f>
        <v>Restaurantes</v>
      </c>
      <c r="C100" s="878" t="s">
        <v>10717</v>
      </c>
      <c r="D100" s="63"/>
      <c r="E100" s="231">
        <v>72.12</v>
      </c>
      <c r="F100" s="1016"/>
      <c r="G100" s="1152" t="s">
        <v>9</v>
      </c>
    </row>
    <row r="101" spans="1:7">
      <c r="A101" s="884">
        <v>42533</v>
      </c>
      <c r="B101" s="240" t="str">
        <f>TiposLancamentos!B5</f>
        <v>Supermercado</v>
      </c>
      <c r="C101" s="878" t="s">
        <v>6234</v>
      </c>
      <c r="D101" s="63"/>
      <c r="E101" s="231">
        <v>47.5</v>
      </c>
      <c r="F101" s="1016"/>
      <c r="G101" s="1152" t="s">
        <v>9</v>
      </c>
    </row>
    <row r="102" spans="1:7">
      <c r="A102" s="884">
        <v>42534</v>
      </c>
      <c r="B102" s="240" t="str">
        <f>TiposLancamentos!B57</f>
        <v>Informática</v>
      </c>
      <c r="C102" s="878" t="s">
        <v>10718</v>
      </c>
      <c r="D102" s="63"/>
      <c r="E102" s="231">
        <v>20</v>
      </c>
      <c r="F102" s="1016"/>
      <c r="G102" s="1152" t="s">
        <v>9</v>
      </c>
    </row>
    <row r="103" spans="1:7">
      <c r="A103" s="884">
        <v>42537</v>
      </c>
      <c r="B103" s="240" t="str">
        <f>TiposLancamentos!B26</f>
        <v>LIVROS</v>
      </c>
      <c r="C103" s="878" t="s">
        <v>10719</v>
      </c>
      <c r="D103" s="63"/>
      <c r="E103" s="231">
        <v>33</v>
      </c>
      <c r="F103" s="1016"/>
      <c r="G103" s="1152" t="s">
        <v>9</v>
      </c>
    </row>
    <row r="104" spans="1:7">
      <c r="A104" s="884">
        <v>42537</v>
      </c>
      <c r="B104" s="240" t="str">
        <f>TiposLancamentos!B16</f>
        <v>Cristiane</v>
      </c>
      <c r="C104" s="878" t="s">
        <v>10720</v>
      </c>
      <c r="D104" s="63"/>
      <c r="E104" s="231">
        <v>57.39</v>
      </c>
      <c r="F104" s="1016"/>
      <c r="G104" s="1152" t="s">
        <v>9</v>
      </c>
    </row>
    <row r="105" spans="1:7">
      <c r="A105" s="884">
        <v>42538</v>
      </c>
      <c r="B105" s="240" t="str">
        <f>TiposLancamentos!B16</f>
        <v>Cristiane</v>
      </c>
      <c r="C105" s="878" t="s">
        <v>10721</v>
      </c>
      <c r="D105" s="63"/>
      <c r="E105" s="231">
        <v>39.9</v>
      </c>
      <c r="F105" s="1016"/>
      <c r="G105" s="1152" t="s">
        <v>9</v>
      </c>
    </row>
    <row r="106" spans="1:7">
      <c r="A106" s="884">
        <v>42539</v>
      </c>
      <c r="B106" s="240" t="str">
        <f>TiposLancamentos!B5</f>
        <v>Supermercado</v>
      </c>
      <c r="C106" s="878" t="s">
        <v>10722</v>
      </c>
      <c r="D106" s="63"/>
      <c r="E106" s="231">
        <v>38.29</v>
      </c>
      <c r="F106" s="1016"/>
      <c r="G106" s="1152" t="s">
        <v>9</v>
      </c>
    </row>
    <row r="107" spans="1:7">
      <c r="A107" s="858">
        <v>42539</v>
      </c>
      <c r="B107" s="822" t="str">
        <f>TiposLancamentos!B32</f>
        <v>Clinicas e tratamentos</v>
      </c>
      <c r="C107" s="808" t="s">
        <v>10723</v>
      </c>
      <c r="D107" s="747"/>
      <c r="E107" s="1139">
        <v>100</v>
      </c>
      <c r="F107" s="1145"/>
      <c r="G107" s="1152" t="s">
        <v>9</v>
      </c>
    </row>
    <row r="108" spans="1:7">
      <c r="A108" s="862">
        <v>42539</v>
      </c>
      <c r="B108" s="823" t="str">
        <f>TiposLancamentos!B16</f>
        <v>Cristiane</v>
      </c>
      <c r="C108" s="812" t="s">
        <v>10724</v>
      </c>
      <c r="D108" s="849"/>
      <c r="E108" s="1141">
        <v>45</v>
      </c>
      <c r="F108" s="1146">
        <f>SUM(E107:E108)</f>
        <v>145</v>
      </c>
      <c r="G108" s="1152" t="s">
        <v>9</v>
      </c>
    </row>
    <row r="109" spans="1:7">
      <c r="A109" s="884">
        <v>42539</v>
      </c>
      <c r="B109" s="240" t="str">
        <f>TiposLancamentos!B19</f>
        <v>Restaurantes</v>
      </c>
      <c r="C109" s="878" t="s">
        <v>10725</v>
      </c>
      <c r="D109" s="63"/>
      <c r="E109" s="231">
        <v>112.2</v>
      </c>
      <c r="F109" s="1016"/>
      <c r="G109" s="1152" t="s">
        <v>9</v>
      </c>
    </row>
    <row r="110" spans="1:7">
      <c r="A110" s="884">
        <v>42540</v>
      </c>
      <c r="B110" s="240" t="str">
        <f>TiposLancamentos!B19</f>
        <v>Restaurantes</v>
      </c>
      <c r="C110" s="878" t="s">
        <v>10726</v>
      </c>
      <c r="D110" s="63"/>
      <c r="E110" s="231">
        <v>77</v>
      </c>
      <c r="F110" s="1016"/>
      <c r="G110" s="1152" t="s">
        <v>9</v>
      </c>
    </row>
    <row r="111" spans="1:7">
      <c r="A111" s="919">
        <v>42540</v>
      </c>
      <c r="B111" s="830" t="str">
        <f>TiposLancamentos!B48</f>
        <v>Baralhos e Oráculos</v>
      </c>
      <c r="C111" s="915" t="s">
        <v>10727</v>
      </c>
      <c r="D111" s="917"/>
      <c r="E111" s="1139">
        <v>127.5</v>
      </c>
      <c r="F111" s="1614"/>
      <c r="G111" s="1152" t="s">
        <v>9</v>
      </c>
    </row>
    <row r="112" spans="1:7">
      <c r="A112" s="930">
        <v>42540</v>
      </c>
      <c r="B112" s="825" t="str">
        <f>TiposLancamentos!B26</f>
        <v>LIVROS</v>
      </c>
      <c r="C112" s="88" t="s">
        <v>10728</v>
      </c>
      <c r="D112" s="828"/>
      <c r="E112" s="1147">
        <v>37.5</v>
      </c>
      <c r="F112" s="1027"/>
      <c r="G112" s="1152" t="s">
        <v>9</v>
      </c>
    </row>
    <row r="113" spans="1:7">
      <c r="A113" s="921">
        <v>42540</v>
      </c>
      <c r="B113" s="833" t="str">
        <f>TiposLancamentos!B16</f>
        <v>Cristiane</v>
      </c>
      <c r="C113" s="916" t="s">
        <v>10729</v>
      </c>
      <c r="D113" s="918"/>
      <c r="E113" s="1141">
        <f>F113-(E111+E112)</f>
        <v>3</v>
      </c>
      <c r="F113" s="1436">
        <v>168</v>
      </c>
      <c r="G113" s="1152" t="s">
        <v>9</v>
      </c>
    </row>
    <row r="114" spans="1:7">
      <c r="A114" s="884">
        <v>42540</v>
      </c>
      <c r="B114" s="240" t="str">
        <f>TiposLancamentos!B31</f>
        <v>Action Figures</v>
      </c>
      <c r="C114" s="878" t="s">
        <v>10730</v>
      </c>
      <c r="D114" s="63"/>
      <c r="E114" s="231">
        <v>100</v>
      </c>
      <c r="F114" s="1016"/>
      <c r="G114" s="1152" t="s">
        <v>9</v>
      </c>
    </row>
    <row r="115" spans="1:7">
      <c r="A115" s="884">
        <v>42540</v>
      </c>
      <c r="B115" s="240" t="str">
        <f>TiposLancamentos!B19</f>
        <v>Restaurantes</v>
      </c>
      <c r="C115" s="878" t="s">
        <v>10731</v>
      </c>
      <c r="D115" s="63"/>
      <c r="E115" s="231">
        <v>25.03</v>
      </c>
      <c r="F115" s="1016"/>
      <c r="G115" s="1152" t="s">
        <v>9</v>
      </c>
    </row>
    <row r="116" spans="1:7">
      <c r="A116" s="884">
        <v>42540</v>
      </c>
      <c r="B116" s="240" t="str">
        <f>TiposLancamentos!B24</f>
        <v>Estacionamentos</v>
      </c>
      <c r="C116" s="878" t="s">
        <v>10732</v>
      </c>
      <c r="D116" s="63"/>
      <c r="E116" s="231">
        <v>20.5</v>
      </c>
      <c r="F116" s="1016"/>
      <c r="G116" s="1152" t="s">
        <v>9</v>
      </c>
    </row>
    <row r="117" spans="1:7">
      <c r="A117" s="934"/>
      <c r="B117" s="243"/>
      <c r="C117" s="389" t="s">
        <v>10</v>
      </c>
      <c r="D117" s="146"/>
      <c r="E117" s="146"/>
      <c r="F117" s="1231"/>
      <c r="G117" s="1094" t="s">
        <v>11</v>
      </c>
    </row>
    <row r="118" spans="1:7">
      <c r="A118" s="884">
        <v>42545</v>
      </c>
      <c r="B118" s="240" t="str">
        <f>TiposLancamentos!B71</f>
        <v>Itens Pessoais</v>
      </c>
      <c r="C118" s="878" t="s">
        <v>10733</v>
      </c>
      <c r="D118" s="63"/>
      <c r="E118" s="231">
        <v>266.68</v>
      </c>
      <c r="F118" s="1016">
        <v>800</v>
      </c>
      <c r="G118" s="1152" t="s">
        <v>9</v>
      </c>
    </row>
    <row r="119" spans="1:7">
      <c r="A119" s="884">
        <v>42545</v>
      </c>
      <c r="B119" s="240" t="str">
        <f>TiposLancamentos!B19</f>
        <v>Restaurantes</v>
      </c>
      <c r="C119" s="878" t="s">
        <v>6780</v>
      </c>
      <c r="D119" s="63"/>
      <c r="E119" s="231">
        <v>70.62</v>
      </c>
      <c r="F119" s="1016"/>
      <c r="G119" s="1152" t="s">
        <v>9</v>
      </c>
    </row>
    <row r="120" spans="1:7">
      <c r="A120" s="884">
        <v>42546</v>
      </c>
      <c r="B120" s="240" t="str">
        <f>TiposLancamentos!B3</f>
        <v>Internet</v>
      </c>
      <c r="C120" s="878" t="s">
        <v>10734</v>
      </c>
      <c r="D120" s="63"/>
      <c r="E120" s="231">
        <v>32.89</v>
      </c>
      <c r="F120" s="1016"/>
      <c r="G120" s="1152" t="s">
        <v>9</v>
      </c>
    </row>
    <row r="121" spans="1:7">
      <c r="A121" s="884">
        <v>42546</v>
      </c>
      <c r="B121" s="240" t="str">
        <f>TiposLancamentos!B56</f>
        <v>Farmácia</v>
      </c>
      <c r="C121" s="878" t="s">
        <v>10735</v>
      </c>
      <c r="D121" s="63"/>
      <c r="E121" s="231">
        <v>73.17</v>
      </c>
      <c r="F121" s="1016"/>
      <c r="G121" s="1152" t="s">
        <v>9</v>
      </c>
    </row>
    <row r="122" spans="1:7">
      <c r="A122" s="884">
        <v>42546</v>
      </c>
      <c r="B122" s="240" t="str">
        <f>TiposLancamentos!B56</f>
        <v>Farmácia</v>
      </c>
      <c r="C122" s="878" t="s">
        <v>10736</v>
      </c>
      <c r="D122" s="63"/>
      <c r="E122" s="231">
        <v>98.6</v>
      </c>
      <c r="F122" s="1016"/>
      <c r="G122" s="1152" t="s">
        <v>9</v>
      </c>
    </row>
    <row r="123" spans="1:7">
      <c r="A123" s="884">
        <v>42547</v>
      </c>
      <c r="B123" s="240" t="str">
        <f>TiposLancamentos!B19</f>
        <v>Restaurantes</v>
      </c>
      <c r="C123" s="878" t="s">
        <v>10737</v>
      </c>
      <c r="D123" s="63"/>
      <c r="E123" s="231">
        <v>84.24</v>
      </c>
      <c r="F123" s="1016"/>
      <c r="G123" s="1152" t="s">
        <v>9</v>
      </c>
    </row>
    <row r="124" spans="1:7">
      <c r="A124" s="884">
        <v>42547</v>
      </c>
      <c r="B124" s="240" t="str">
        <f>TiposLancamentos!B5</f>
        <v>Supermercado</v>
      </c>
      <c r="C124" s="878" t="s">
        <v>6414</v>
      </c>
      <c r="D124" s="63"/>
      <c r="E124" s="231">
        <v>29.41</v>
      </c>
      <c r="F124" s="1016"/>
      <c r="G124" s="1152" t="s">
        <v>9</v>
      </c>
    </row>
    <row r="125" spans="1:7">
      <c r="A125" s="884">
        <v>42548</v>
      </c>
      <c r="B125" s="240" t="str">
        <f>TiposLancamentos!B19</f>
        <v>Restaurantes</v>
      </c>
      <c r="C125" s="878" t="s">
        <v>10738</v>
      </c>
      <c r="D125" s="63"/>
      <c r="E125" s="231">
        <v>13.5</v>
      </c>
      <c r="F125" s="1016"/>
      <c r="G125" s="1152" t="s">
        <v>9</v>
      </c>
    </row>
    <row r="126" spans="1:7">
      <c r="A126" s="884">
        <v>42548</v>
      </c>
      <c r="B126" s="240" t="str">
        <f>TiposLancamentos!B19</f>
        <v>Restaurantes</v>
      </c>
      <c r="C126" s="878" t="s">
        <v>7068</v>
      </c>
      <c r="D126" s="63"/>
      <c r="E126" s="231">
        <v>74.67</v>
      </c>
      <c r="F126" s="1016"/>
      <c r="G126" s="1152" t="s">
        <v>9</v>
      </c>
    </row>
    <row r="127" spans="1:7">
      <c r="A127" s="884">
        <v>42549</v>
      </c>
      <c r="B127" s="240" t="str">
        <f>TiposLancamentos!B57</f>
        <v>Informática</v>
      </c>
      <c r="C127" s="878" t="s">
        <v>10739</v>
      </c>
      <c r="D127" s="63"/>
      <c r="E127" s="231">
        <v>25</v>
      </c>
      <c r="F127" s="1016"/>
      <c r="G127" s="1152" t="s">
        <v>9</v>
      </c>
    </row>
    <row r="128" spans="1:7" ht="14.25" thickBot="1">
      <c r="A128" s="885">
        <v>42550</v>
      </c>
      <c r="B128" s="1232" t="str">
        <f>TiposLancamentos!B13</f>
        <v>Moradia</v>
      </c>
      <c r="C128" s="1120" t="s">
        <v>10740</v>
      </c>
      <c r="D128" s="903"/>
      <c r="E128" s="928">
        <v>46.92</v>
      </c>
      <c r="F128" s="1036"/>
      <c r="G128" s="1152" t="s">
        <v>9</v>
      </c>
    </row>
    <row r="129" spans="1:7">
      <c r="A129" s="1032"/>
      <c r="B129" s="1230"/>
      <c r="C129" s="906" t="s">
        <v>10741</v>
      </c>
      <c r="D129" s="896"/>
      <c r="E129" s="925"/>
      <c r="F129" s="1034">
        <f>SUM(E63:E116)-D65</f>
        <v>3739.5083333333328</v>
      </c>
      <c r="G129" s="1617"/>
    </row>
    <row r="130" spans="1:7">
      <c r="A130" s="884">
        <v>42552</v>
      </c>
      <c r="B130" s="240" t="str">
        <f>TiposLancamentos!B15</f>
        <v>Cartões de Crédito</v>
      </c>
      <c r="C130" s="878" t="s">
        <v>1874</v>
      </c>
      <c r="D130" s="63">
        <v>3739.51</v>
      </c>
      <c r="E130" s="231"/>
      <c r="F130" s="1016">
        <f>F129-F81</f>
        <v>881.17333333333227</v>
      </c>
      <c r="G130" s="1152" t="s">
        <v>9</v>
      </c>
    </row>
    <row r="131" spans="1:7">
      <c r="A131" s="884">
        <v>42553</v>
      </c>
      <c r="B131" s="240" t="str">
        <f>TiposLancamentos!B56</f>
        <v>Farmácia</v>
      </c>
      <c r="C131" s="878" t="s">
        <v>10742</v>
      </c>
      <c r="D131" s="63"/>
      <c r="E131" s="231">
        <v>46.94</v>
      </c>
      <c r="F131" s="1016"/>
      <c r="G131" s="1617"/>
    </row>
    <row r="132" spans="1:7">
      <c r="A132" s="884">
        <v>42407</v>
      </c>
      <c r="B132" s="240" t="str">
        <f>TiposLancamentos!B5</f>
        <v>Supermercado</v>
      </c>
      <c r="C132" s="878" t="s">
        <v>7068</v>
      </c>
      <c r="D132" s="63"/>
      <c r="E132" s="231">
        <v>58.36</v>
      </c>
      <c r="F132" s="1016"/>
      <c r="G132" s="1152" t="s">
        <v>9</v>
      </c>
    </row>
    <row r="133" spans="1:7">
      <c r="A133" s="884">
        <v>42553</v>
      </c>
      <c r="B133" s="240" t="str">
        <f>TiposLancamentos!B16</f>
        <v>Cristiane</v>
      </c>
      <c r="C133" s="878" t="s">
        <v>10743</v>
      </c>
      <c r="D133" s="63"/>
      <c r="E133" s="231">
        <v>48.13</v>
      </c>
      <c r="F133" s="1016"/>
      <c r="G133" s="1152" t="s">
        <v>9</v>
      </c>
    </row>
    <row r="134" spans="1:7">
      <c r="A134" s="884">
        <v>42553</v>
      </c>
      <c r="B134" s="240" t="str">
        <f>TiposLancamentos!B17</f>
        <v>GATO</v>
      </c>
      <c r="C134" s="878" t="s">
        <v>10744</v>
      </c>
      <c r="D134" s="63"/>
      <c r="E134" s="231">
        <v>43.8</v>
      </c>
      <c r="F134" s="1016"/>
      <c r="G134" s="1152" t="s">
        <v>9</v>
      </c>
    </row>
    <row r="135" spans="1:7">
      <c r="A135" s="884">
        <v>42554</v>
      </c>
      <c r="B135" s="240" t="str">
        <f>TiposLancamentos!B5</f>
        <v>Supermercado</v>
      </c>
      <c r="C135" s="878" t="s">
        <v>6234</v>
      </c>
      <c r="D135" s="63"/>
      <c r="E135" s="231">
        <v>51.21</v>
      </c>
      <c r="F135" s="1016"/>
      <c r="G135" s="1152" t="s">
        <v>9</v>
      </c>
    </row>
    <row r="136" spans="1:7">
      <c r="A136" s="884">
        <v>42554</v>
      </c>
      <c r="B136" s="240" t="str">
        <f>TiposLancamentos!B17</f>
        <v>GATO</v>
      </c>
      <c r="C136" s="878" t="s">
        <v>10745</v>
      </c>
      <c r="D136" s="63"/>
      <c r="E136" s="231">
        <v>23.44</v>
      </c>
      <c r="F136" s="1016"/>
      <c r="G136" s="1152" t="s">
        <v>9</v>
      </c>
    </row>
    <row r="137" spans="1:7">
      <c r="A137" s="884">
        <v>42554</v>
      </c>
      <c r="B137" s="240" t="str">
        <f>TiposLancamentos!B5</f>
        <v>Supermercado</v>
      </c>
      <c r="C137" s="878" t="s">
        <v>10746</v>
      </c>
      <c r="D137" s="63"/>
      <c r="E137" s="231">
        <v>36.04</v>
      </c>
      <c r="F137" s="1016"/>
      <c r="G137" s="1152" t="s">
        <v>9</v>
      </c>
    </row>
    <row r="138" spans="1:7">
      <c r="A138" s="884">
        <v>42554</v>
      </c>
      <c r="B138" s="240" t="str">
        <f>TiposLancamentos!B16</f>
        <v>Cristiane</v>
      </c>
      <c r="C138" s="878" t="s">
        <v>10747</v>
      </c>
      <c r="D138" s="63"/>
      <c r="E138" s="231">
        <v>64.95</v>
      </c>
      <c r="F138" s="1016"/>
      <c r="G138" s="1152" t="s">
        <v>9</v>
      </c>
    </row>
    <row r="139" spans="1:7">
      <c r="A139" s="884">
        <v>42555</v>
      </c>
      <c r="B139" s="240" t="str">
        <f>TiposLancamentos!B17</f>
        <v>GATO</v>
      </c>
      <c r="C139" s="878" t="s">
        <v>10748</v>
      </c>
      <c r="D139" s="63"/>
      <c r="E139" s="231">
        <v>362</v>
      </c>
      <c r="F139" s="1016"/>
      <c r="G139" s="1152" t="s">
        <v>9</v>
      </c>
    </row>
    <row r="140" spans="1:7">
      <c r="A140" s="884">
        <v>42555</v>
      </c>
      <c r="B140" s="240" t="str">
        <f>TiposLancamentos!B70</f>
        <v>Vestuário</v>
      </c>
      <c r="C140" s="878" t="s">
        <v>10749</v>
      </c>
      <c r="D140" s="63"/>
      <c r="E140" s="231">
        <f>384.37/3</f>
        <v>128.12333333333333</v>
      </c>
      <c r="F140" s="1016">
        <v>384.37</v>
      </c>
      <c r="G140" s="1152" t="s">
        <v>9</v>
      </c>
    </row>
    <row r="141" spans="1:7">
      <c r="A141" s="884">
        <v>42556</v>
      </c>
      <c r="B141" s="240" t="str">
        <f>TiposLancamentos!B48</f>
        <v>Baralhos e Oráculos</v>
      </c>
      <c r="C141" s="878" t="s">
        <v>10750</v>
      </c>
      <c r="D141" s="63"/>
      <c r="E141" s="231">
        <v>224.59</v>
      </c>
      <c r="F141" s="1016">
        <v>898.38</v>
      </c>
      <c r="G141" s="1152" t="s">
        <v>9</v>
      </c>
    </row>
    <row r="142" spans="1:7">
      <c r="A142" s="884">
        <v>42557</v>
      </c>
      <c r="B142" s="240" t="str">
        <f>TiposLancamentos!B31</f>
        <v>Action Figures</v>
      </c>
      <c r="C142" s="878" t="s">
        <v>10751</v>
      </c>
      <c r="D142" s="63"/>
      <c r="E142" s="231">
        <v>116.63</v>
      </c>
      <c r="F142" s="1016">
        <f>E142*3</f>
        <v>349.89</v>
      </c>
      <c r="G142" s="1152" t="s">
        <v>9</v>
      </c>
    </row>
    <row r="143" spans="1:7">
      <c r="A143" s="884">
        <v>42557</v>
      </c>
      <c r="B143" s="240" t="str">
        <f>TiposLancamentos!B48</f>
        <v>Baralhos e Oráculos</v>
      </c>
      <c r="C143" s="878" t="s">
        <v>10752</v>
      </c>
      <c r="D143" s="63"/>
      <c r="E143" s="231">
        <v>252.51</v>
      </c>
      <c r="F143" s="1016" t="s">
        <v>10753</v>
      </c>
      <c r="G143" s="1152" t="s">
        <v>9</v>
      </c>
    </row>
    <row r="144" spans="1:7">
      <c r="A144" s="884">
        <v>42557</v>
      </c>
      <c r="B144" s="240" t="str">
        <f>TiposLancamentos!B4</f>
        <v>Taxas Bancarias</v>
      </c>
      <c r="C144" s="878" t="s">
        <v>10754</v>
      </c>
      <c r="D144" s="63"/>
      <c r="E144" s="231">
        <v>16.11</v>
      </c>
      <c r="F144" s="1016" t="s">
        <v>10755</v>
      </c>
      <c r="G144" s="1152" t="s">
        <v>9</v>
      </c>
    </row>
    <row r="145" spans="1:7">
      <c r="A145" s="884">
        <v>42557</v>
      </c>
      <c r="B145" s="240" t="str">
        <f>TiposLancamentos!B26</f>
        <v>LIVROS</v>
      </c>
      <c r="C145" s="878" t="s">
        <v>10756</v>
      </c>
      <c r="D145" s="63"/>
      <c r="E145" s="231">
        <v>50</v>
      </c>
      <c r="F145" s="1016"/>
      <c r="G145" s="1152" t="s">
        <v>9</v>
      </c>
    </row>
    <row r="146" spans="1:7">
      <c r="A146" s="884">
        <v>42558</v>
      </c>
      <c r="B146" s="240" t="str">
        <f>TiposLancamentos!B17</f>
        <v>GATO</v>
      </c>
      <c r="C146" s="878" t="s">
        <v>10757</v>
      </c>
      <c r="D146" s="63"/>
      <c r="E146" s="231">
        <v>13.98</v>
      </c>
      <c r="F146" s="1016"/>
      <c r="G146" s="1152" t="s">
        <v>9</v>
      </c>
    </row>
    <row r="147" spans="1:7">
      <c r="A147" s="884">
        <v>42559</v>
      </c>
      <c r="B147" s="240" t="str">
        <f>TiposLancamentos!B17</f>
        <v>GATO</v>
      </c>
      <c r="C147" s="878" t="s">
        <v>10758</v>
      </c>
      <c r="D147" s="63"/>
      <c r="E147" s="231">
        <v>100</v>
      </c>
      <c r="F147" s="1016"/>
      <c r="G147" s="1152" t="s">
        <v>9</v>
      </c>
    </row>
    <row r="148" spans="1:7">
      <c r="A148" s="884">
        <v>42560</v>
      </c>
      <c r="B148" s="240" t="str">
        <f>TiposLancamentos!B19</f>
        <v>Restaurantes</v>
      </c>
      <c r="C148" s="878" t="s">
        <v>6917</v>
      </c>
      <c r="D148" s="63"/>
      <c r="E148" s="231">
        <v>73.150000000000006</v>
      </c>
      <c r="F148" s="1016"/>
      <c r="G148" s="1152" t="s">
        <v>9</v>
      </c>
    </row>
    <row r="149" spans="1:7">
      <c r="A149" s="884">
        <v>42560</v>
      </c>
      <c r="B149" s="240" t="str">
        <f>TiposLancamentos!B13</f>
        <v>Moradia</v>
      </c>
      <c r="C149" s="878" t="s">
        <v>10759</v>
      </c>
      <c r="D149" s="63"/>
      <c r="E149" s="231">
        <v>119.9</v>
      </c>
      <c r="F149" s="1016"/>
      <c r="G149" s="1152" t="s">
        <v>9</v>
      </c>
    </row>
    <row r="150" spans="1:7">
      <c r="A150" s="884">
        <v>42561</v>
      </c>
      <c r="B150" s="240" t="str">
        <f>TiposLancamentos!B19</f>
        <v>Restaurantes</v>
      </c>
      <c r="C150" s="878" t="s">
        <v>6881</v>
      </c>
      <c r="D150" s="63"/>
      <c r="E150" s="231">
        <v>124.96</v>
      </c>
      <c r="F150" s="1016"/>
      <c r="G150" s="1152" t="s">
        <v>9</v>
      </c>
    </row>
    <row r="151" spans="1:7">
      <c r="A151" s="884">
        <v>42562</v>
      </c>
      <c r="B151" s="240" t="str">
        <f>TiposLancamentos!B5</f>
        <v>Supermercado</v>
      </c>
      <c r="C151" s="878" t="s">
        <v>6234</v>
      </c>
      <c r="D151" s="63"/>
      <c r="E151" s="231">
        <v>44.25</v>
      </c>
      <c r="F151" s="1016"/>
      <c r="G151" s="1152" t="s">
        <v>9</v>
      </c>
    </row>
    <row r="152" spans="1:7">
      <c r="A152" s="884">
        <v>42563</v>
      </c>
      <c r="B152" s="240" t="str">
        <f>TiposLancamentos!B56</f>
        <v>Farmácia</v>
      </c>
      <c r="C152" s="878" t="s">
        <v>10760</v>
      </c>
      <c r="D152" s="63"/>
      <c r="E152" s="231">
        <v>8.57</v>
      </c>
      <c r="F152" s="1016"/>
      <c r="G152" s="1152" t="s">
        <v>9</v>
      </c>
    </row>
    <row r="153" spans="1:7">
      <c r="A153" s="884">
        <v>42563</v>
      </c>
      <c r="B153" s="240" t="str">
        <f>TiposLancamentos!B56</f>
        <v>Farmácia</v>
      </c>
      <c r="C153" s="878" t="s">
        <v>10761</v>
      </c>
      <c r="D153" s="63"/>
      <c r="E153" s="231">
        <v>27.99</v>
      </c>
      <c r="F153" s="1016"/>
      <c r="G153" s="1152" t="s">
        <v>9</v>
      </c>
    </row>
    <row r="154" spans="1:7">
      <c r="A154" s="884">
        <v>42568</v>
      </c>
      <c r="B154" s="240" t="str">
        <f>TiposLancamentos!B19</f>
        <v>Restaurantes</v>
      </c>
      <c r="C154" s="878" t="s">
        <v>10762</v>
      </c>
      <c r="D154" s="63"/>
      <c r="E154" s="231">
        <v>173.17</v>
      </c>
      <c r="F154" s="1016"/>
      <c r="G154" s="1152" t="s">
        <v>9</v>
      </c>
    </row>
    <row r="155" spans="1:7">
      <c r="A155" s="884">
        <v>42568</v>
      </c>
      <c r="B155" s="240" t="str">
        <f>TiposLancamentos!B56</f>
        <v>Farmácia</v>
      </c>
      <c r="C155" s="878" t="s">
        <v>10763</v>
      </c>
      <c r="D155" s="63"/>
      <c r="E155" s="231">
        <v>50.87</v>
      </c>
      <c r="F155" s="1016"/>
      <c r="G155" s="1152" t="s">
        <v>9</v>
      </c>
    </row>
    <row r="156" spans="1:7">
      <c r="A156" s="884">
        <v>42599</v>
      </c>
      <c r="B156" s="240" t="str">
        <f>TiposLancamentos!B5</f>
        <v>Supermercado</v>
      </c>
      <c r="C156" s="878" t="s">
        <v>5844</v>
      </c>
      <c r="D156" s="63"/>
      <c r="E156" s="231">
        <v>25.01</v>
      </c>
      <c r="F156" s="1016"/>
      <c r="G156" s="1152" t="s">
        <v>9</v>
      </c>
    </row>
    <row r="157" spans="1:7">
      <c r="A157" s="884">
        <v>42571</v>
      </c>
      <c r="B157" s="240" t="str">
        <f>TiposLancamentos!B19</f>
        <v>Restaurantes</v>
      </c>
      <c r="C157" s="878" t="s">
        <v>10764</v>
      </c>
      <c r="D157" s="63"/>
      <c r="E157" s="231">
        <v>89.8</v>
      </c>
      <c r="F157" s="1016"/>
      <c r="G157" s="1152" t="s">
        <v>9</v>
      </c>
    </row>
    <row r="158" spans="1:7">
      <c r="A158" s="934"/>
      <c r="B158" s="243"/>
      <c r="C158" s="389" t="s">
        <v>10</v>
      </c>
      <c r="D158" s="146"/>
      <c r="E158" s="146"/>
      <c r="F158" s="1231"/>
      <c r="G158" s="1094" t="s">
        <v>11</v>
      </c>
    </row>
    <row r="159" spans="1:7" ht="14.25" thickBot="1">
      <c r="A159" s="885">
        <v>42575</v>
      </c>
      <c r="B159" s="1232" t="str">
        <f>TiposLancamentos!B71</f>
        <v>Itens Pessoais</v>
      </c>
      <c r="C159" s="1120" t="s">
        <v>10765</v>
      </c>
      <c r="D159" s="903"/>
      <c r="E159" s="928">
        <v>266.66000000000003</v>
      </c>
      <c r="F159" s="1036">
        <v>800</v>
      </c>
      <c r="G159" s="1152" t="s">
        <v>9</v>
      </c>
    </row>
    <row r="160" spans="1:7">
      <c r="A160" s="769"/>
      <c r="B160" s="240"/>
      <c r="C160" s="878" t="s">
        <v>10766</v>
      </c>
      <c r="D160" s="63"/>
      <c r="E160" s="231"/>
      <c r="F160" s="1123">
        <f>SUM(E118:E157)</f>
        <v>3190.1833333333338</v>
      </c>
      <c r="G160" s="3"/>
    </row>
    <row r="161" spans="1:7">
      <c r="A161" s="769">
        <v>42583</v>
      </c>
      <c r="B161" s="240" t="str">
        <f>TiposLancamentos!B15</f>
        <v>Cartões de Crédito</v>
      </c>
      <c r="C161" s="878" t="s">
        <v>1874</v>
      </c>
      <c r="D161" s="63">
        <v>3190.18</v>
      </c>
      <c r="E161" s="231"/>
      <c r="F161" s="1123">
        <f>F160-F129</f>
        <v>-549.32499999999891</v>
      </c>
      <c r="G161" s="1617"/>
    </row>
    <row r="162" spans="1:7">
      <c r="A162" s="769">
        <v>42583</v>
      </c>
      <c r="B162" s="240" t="str">
        <f>TiposLancamentos!B57</f>
        <v>Informática</v>
      </c>
      <c r="C162" s="878" t="s">
        <v>10767</v>
      </c>
      <c r="D162" s="63"/>
      <c r="E162" s="231">
        <v>3.29</v>
      </c>
      <c r="F162" s="1123" t="s">
        <v>10768</v>
      </c>
      <c r="G162" s="1152" t="s">
        <v>9</v>
      </c>
    </row>
    <row r="163" spans="1:7">
      <c r="A163" s="769">
        <v>42583</v>
      </c>
      <c r="B163" s="240" t="str">
        <f>TiposLancamentos!B102</f>
        <v>ESTORNO</v>
      </c>
      <c r="C163" s="878" t="s">
        <v>10769</v>
      </c>
      <c r="D163" s="63">
        <v>4.1399999999999997</v>
      </c>
      <c r="E163" s="231"/>
      <c r="F163" s="1123"/>
      <c r="G163" s="1152" t="s">
        <v>9</v>
      </c>
    </row>
    <row r="164" spans="1:7">
      <c r="A164" s="769">
        <v>42586</v>
      </c>
      <c r="B164" s="240" t="str">
        <f>TiposLancamentos!B70</f>
        <v>Vestuário</v>
      </c>
      <c r="C164" s="878" t="s">
        <v>10770</v>
      </c>
      <c r="D164" s="63"/>
      <c r="E164" s="231">
        <f>384.37/3</f>
        <v>128.12333333333333</v>
      </c>
      <c r="F164" s="1123">
        <v>384.37</v>
      </c>
      <c r="G164" s="1152" t="s">
        <v>9</v>
      </c>
    </row>
    <row r="165" spans="1:7">
      <c r="A165" s="769">
        <v>42587</v>
      </c>
      <c r="B165" s="240" t="str">
        <f>TiposLancamentos!B48</f>
        <v>Baralhos e Oráculos</v>
      </c>
      <c r="C165" s="878" t="s">
        <v>10771</v>
      </c>
      <c r="D165" s="63"/>
      <c r="E165" s="231">
        <v>224.59</v>
      </c>
      <c r="F165" s="1123">
        <v>898.38</v>
      </c>
      <c r="G165" s="1152" t="s">
        <v>9</v>
      </c>
    </row>
    <row r="166" spans="1:7">
      <c r="A166" s="769">
        <v>42588</v>
      </c>
      <c r="B166" s="240" t="str">
        <f>TiposLancamentos!B31</f>
        <v>Action Figures</v>
      </c>
      <c r="C166" s="878" t="s">
        <v>10772</v>
      </c>
      <c r="D166" s="63"/>
      <c r="E166" s="231">
        <v>116.63</v>
      </c>
      <c r="F166" s="1123">
        <f>E166*3</f>
        <v>349.89</v>
      </c>
      <c r="G166" s="1152" t="s">
        <v>9</v>
      </c>
    </row>
    <row r="167" spans="1:7">
      <c r="A167" s="769">
        <v>42589</v>
      </c>
      <c r="B167" s="240" t="str">
        <f>TiposLancamentos!B48</f>
        <v>Baralhos e Oráculos</v>
      </c>
      <c r="C167" s="878" t="s">
        <v>10773</v>
      </c>
      <c r="D167" s="63"/>
      <c r="E167" s="231">
        <v>34.83</v>
      </c>
      <c r="F167" s="1123"/>
      <c r="G167" s="1152" t="s">
        <v>9</v>
      </c>
    </row>
    <row r="168" spans="1:7">
      <c r="A168" s="769">
        <v>42590</v>
      </c>
      <c r="B168" s="240" t="str">
        <f>TiposLancamentos!B4</f>
        <v>Taxas Bancarias</v>
      </c>
      <c r="C168" s="878" t="s">
        <v>10774</v>
      </c>
      <c r="D168" s="63"/>
      <c r="E168" s="231">
        <v>0.21</v>
      </c>
      <c r="F168" s="1123"/>
      <c r="G168" s="1152" t="s">
        <v>9</v>
      </c>
    </row>
    <row r="169" spans="1:7">
      <c r="A169" s="769">
        <v>42603</v>
      </c>
      <c r="B169" s="240" t="str">
        <f>TiposLancamentos!B16</f>
        <v>Cristiane</v>
      </c>
      <c r="C169" s="878" t="s">
        <v>10775</v>
      </c>
      <c r="D169" s="63"/>
      <c r="E169" s="231">
        <v>161.5</v>
      </c>
      <c r="F169" s="1123">
        <v>484.5</v>
      </c>
      <c r="G169" s="1152" t="s">
        <v>9</v>
      </c>
    </row>
    <row r="170" spans="1:7">
      <c r="A170" s="769">
        <v>42603</v>
      </c>
      <c r="B170" s="240" t="str">
        <f>TiposLancamentos!B16</f>
        <v>Cristiane</v>
      </c>
      <c r="C170" s="878" t="s">
        <v>10776</v>
      </c>
      <c r="D170" s="63"/>
      <c r="E170" s="231">
        <v>25</v>
      </c>
      <c r="F170" s="1123"/>
      <c r="G170" s="1152" t="s">
        <v>9</v>
      </c>
    </row>
    <row r="171" spans="1:7">
      <c r="A171" s="759"/>
      <c r="B171" s="243"/>
      <c r="C171" s="389" t="s">
        <v>10</v>
      </c>
      <c r="D171" s="146"/>
      <c r="E171" s="146"/>
      <c r="F171" s="1138"/>
      <c r="G171" s="1094" t="s">
        <v>11</v>
      </c>
    </row>
    <row r="172" spans="1:7">
      <c r="A172" s="769">
        <v>42606</v>
      </c>
      <c r="B172" s="240" t="str">
        <f>TiposLancamentos!B71</f>
        <v>Itens Pessoais</v>
      </c>
      <c r="C172" s="878" t="s">
        <v>10777</v>
      </c>
      <c r="D172" s="63"/>
      <c r="E172" s="231">
        <v>266.66000000000003</v>
      </c>
      <c r="F172" s="1123">
        <v>800</v>
      </c>
      <c r="G172" s="1152" t="s">
        <v>9</v>
      </c>
    </row>
    <row r="173" spans="1:7">
      <c r="A173" s="769">
        <v>42610</v>
      </c>
      <c r="B173" s="240" t="str">
        <f>TiposLancamentos!B19</f>
        <v>Restaurantes</v>
      </c>
      <c r="C173" s="878" t="s">
        <v>10655</v>
      </c>
      <c r="D173" s="63"/>
      <c r="E173" s="231">
        <v>103.52</v>
      </c>
      <c r="F173" s="1123"/>
      <c r="G173" s="1152" t="s">
        <v>9</v>
      </c>
    </row>
    <row r="174" spans="1:7">
      <c r="A174" s="769">
        <v>42610</v>
      </c>
      <c r="B174" s="240" t="str">
        <f>TiposLancamentos!B71</f>
        <v>Itens Pessoais</v>
      </c>
      <c r="C174" s="878" t="s">
        <v>10778</v>
      </c>
      <c r="D174" s="63"/>
      <c r="E174" s="231">
        <v>44.7</v>
      </c>
      <c r="F174" s="1123"/>
      <c r="G174" s="1152" t="s">
        <v>9</v>
      </c>
    </row>
    <row r="175" spans="1:7">
      <c r="A175" s="769">
        <v>42610</v>
      </c>
      <c r="B175" s="240" t="str">
        <f>TiposLancamentos!B19</f>
        <v>Restaurantes</v>
      </c>
      <c r="C175" s="878" t="s">
        <v>10779</v>
      </c>
      <c r="D175" s="63"/>
      <c r="E175" s="231">
        <v>85.8</v>
      </c>
      <c r="F175" s="1123"/>
      <c r="G175" s="1152" t="s">
        <v>9</v>
      </c>
    </row>
    <row r="176" spans="1:7">
      <c r="A176" s="769">
        <v>42611</v>
      </c>
      <c r="B176" s="240" t="str">
        <f>TiposLancamentos!B17</f>
        <v>GATO</v>
      </c>
      <c r="C176" s="878" t="s">
        <v>10780</v>
      </c>
      <c r="D176" s="63"/>
      <c r="E176" s="231">
        <v>16.899999999999999</v>
      </c>
      <c r="F176" s="1123"/>
      <c r="G176" s="1152" t="s">
        <v>9</v>
      </c>
    </row>
    <row r="177" spans="1:7">
      <c r="A177" s="769">
        <v>42612</v>
      </c>
      <c r="B177" s="240" t="str">
        <f>TiposLancamentos!B17</f>
        <v>GATO</v>
      </c>
      <c r="C177" s="878" t="s">
        <v>10781</v>
      </c>
      <c r="D177" s="63"/>
      <c r="E177" s="231">
        <v>256</v>
      </c>
      <c r="F177" s="1123"/>
      <c r="G177" s="1152" t="s">
        <v>9</v>
      </c>
    </row>
    <row r="178" spans="1:7">
      <c r="A178" s="769">
        <v>42612</v>
      </c>
      <c r="B178" s="240" t="str">
        <f>TiposLancamentos!B16</f>
        <v>Cristiane</v>
      </c>
      <c r="C178" s="878" t="s">
        <v>10782</v>
      </c>
      <c r="D178" s="63"/>
      <c r="E178" s="231">
        <v>51.15</v>
      </c>
      <c r="F178" s="1123"/>
      <c r="G178" s="1152" t="s">
        <v>9</v>
      </c>
    </row>
    <row r="179" spans="1:7">
      <c r="A179" s="769">
        <v>42612</v>
      </c>
      <c r="B179" s="240" t="str">
        <f>TiposLancamentos!B17</f>
        <v>GATO</v>
      </c>
      <c r="C179" s="878" t="s">
        <v>10783</v>
      </c>
      <c r="D179" s="63"/>
      <c r="E179" s="231">
        <v>45</v>
      </c>
      <c r="F179" s="1123"/>
      <c r="G179" s="1152" t="s">
        <v>9</v>
      </c>
    </row>
    <row r="180" spans="1:7">
      <c r="A180" s="769">
        <v>42613</v>
      </c>
      <c r="B180" s="1618" t="str">
        <f>TiposLancamentos!B17</f>
        <v>GATO</v>
      </c>
      <c r="C180" s="878" t="s">
        <v>10784</v>
      </c>
      <c r="D180" s="63"/>
      <c r="E180" s="231">
        <f>F180/6</f>
        <v>299</v>
      </c>
      <c r="F180" s="1123">
        <v>1794</v>
      </c>
      <c r="G180" s="1152" t="s">
        <v>9</v>
      </c>
    </row>
    <row r="181" spans="1:7">
      <c r="A181" s="769">
        <v>42613</v>
      </c>
      <c r="B181" s="240" t="str">
        <f>TiposLancamentos!B19</f>
        <v>Restaurantes</v>
      </c>
      <c r="C181" s="878" t="s">
        <v>10785</v>
      </c>
      <c r="D181" s="63"/>
      <c r="E181" s="231">
        <v>45.8</v>
      </c>
      <c r="F181" s="1123"/>
      <c r="G181" s="1152" t="s">
        <v>9</v>
      </c>
    </row>
    <row r="182" spans="1:7" ht="14.25" thickBot="1">
      <c r="A182" s="769">
        <v>42613</v>
      </c>
      <c r="B182" s="240" t="str">
        <f>TiposLancamentos!B16</f>
        <v>Cristiane</v>
      </c>
      <c r="C182" s="878" t="s">
        <v>10786</v>
      </c>
      <c r="D182" s="63"/>
      <c r="E182" s="231">
        <v>29.9</v>
      </c>
      <c r="F182" s="1123"/>
      <c r="G182" s="1152" t="s">
        <v>9</v>
      </c>
    </row>
    <row r="183" spans="1:7">
      <c r="A183" s="1032"/>
      <c r="B183" s="1230"/>
      <c r="C183" s="906" t="s">
        <v>7309</v>
      </c>
      <c r="D183" s="896"/>
      <c r="E183" s="925"/>
      <c r="F183" s="1034">
        <f>SUM(E159:E170)-D163</f>
        <v>956.6933333333335</v>
      </c>
      <c r="G183" s="3"/>
    </row>
    <row r="184" spans="1:7">
      <c r="A184" s="884">
        <v>42614</v>
      </c>
      <c r="B184" s="240" t="str">
        <f>TiposLancamentos!B15</f>
        <v>Cartões de Crédito</v>
      </c>
      <c r="C184" s="878" t="s">
        <v>1874</v>
      </c>
      <c r="D184" s="63">
        <v>956.69</v>
      </c>
      <c r="E184" s="231"/>
      <c r="F184" s="1016">
        <f>F183-F160</f>
        <v>-2233.4900000000002</v>
      </c>
      <c r="G184" s="1152" t="s">
        <v>9</v>
      </c>
    </row>
    <row r="185" spans="1:7">
      <c r="A185" s="884">
        <v>42615</v>
      </c>
      <c r="B185" s="240" t="str">
        <f>TiposLancamentos!B19</f>
        <v>Restaurantes</v>
      </c>
      <c r="C185" s="878" t="s">
        <v>10787</v>
      </c>
      <c r="D185" s="63"/>
      <c r="E185" s="231">
        <v>138.6</v>
      </c>
      <c r="F185" s="1016"/>
      <c r="G185" s="1152" t="s">
        <v>9</v>
      </c>
    </row>
    <row r="186" spans="1:7">
      <c r="A186" s="884">
        <v>42616</v>
      </c>
      <c r="B186" s="240" t="str">
        <f>TiposLancamentos!B19</f>
        <v>Restaurantes</v>
      </c>
      <c r="C186" s="878" t="s">
        <v>10788</v>
      </c>
      <c r="D186" s="63"/>
      <c r="E186" s="231">
        <v>57.2</v>
      </c>
      <c r="F186" s="1016"/>
      <c r="G186" s="1152" t="s">
        <v>9</v>
      </c>
    </row>
    <row r="187" spans="1:7">
      <c r="A187" s="884">
        <v>42616</v>
      </c>
      <c r="B187" s="240" t="str">
        <f>TiposLancamentos!B16</f>
        <v>Cristiane</v>
      </c>
      <c r="C187" s="878" t="s">
        <v>6052</v>
      </c>
      <c r="D187" s="63"/>
      <c r="E187" s="231">
        <v>72.83</v>
      </c>
      <c r="F187" s="1016"/>
      <c r="G187" s="1152" t="s">
        <v>9</v>
      </c>
    </row>
    <row r="188" spans="1:7">
      <c r="A188" s="884">
        <v>42616</v>
      </c>
      <c r="B188" s="240" t="str">
        <f>TiposLancamentos!B16</f>
        <v>Cristiane</v>
      </c>
      <c r="C188" s="878" t="s">
        <v>10789</v>
      </c>
      <c r="D188" s="63"/>
      <c r="E188" s="231">
        <v>64.7</v>
      </c>
      <c r="F188" s="1016"/>
      <c r="G188" s="1152" t="s">
        <v>9</v>
      </c>
    </row>
    <row r="189" spans="1:7">
      <c r="A189" s="884">
        <v>42617</v>
      </c>
      <c r="B189" s="240" t="str">
        <f>TiposLancamentos!B5</f>
        <v>Supermercado</v>
      </c>
      <c r="C189" s="878" t="s">
        <v>10790</v>
      </c>
      <c r="D189" s="63"/>
      <c r="E189" s="231">
        <v>57.24</v>
      </c>
      <c r="F189" s="1016"/>
      <c r="G189" s="1152" t="s">
        <v>9</v>
      </c>
    </row>
    <row r="190" spans="1:7">
      <c r="A190" s="884">
        <v>42617</v>
      </c>
      <c r="B190" s="240" t="str">
        <f>TiposLancamentos!B19</f>
        <v>Restaurantes</v>
      </c>
      <c r="C190" s="878" t="s">
        <v>10791</v>
      </c>
      <c r="D190" s="63"/>
      <c r="E190" s="231">
        <v>157.31</v>
      </c>
      <c r="F190" s="1016"/>
      <c r="G190" s="1152" t="s">
        <v>9</v>
      </c>
    </row>
    <row r="191" spans="1:7">
      <c r="A191" s="884">
        <v>42618</v>
      </c>
      <c r="B191" s="240" t="str">
        <f>TiposLancamentos!B26</f>
        <v>LIVROS</v>
      </c>
      <c r="C191" s="878" t="s">
        <v>10792</v>
      </c>
      <c r="D191" s="63"/>
      <c r="E191" s="231">
        <v>29.4</v>
      </c>
      <c r="F191" s="1016"/>
      <c r="G191" s="1152" t="s">
        <v>9</v>
      </c>
    </row>
    <row r="192" spans="1:7">
      <c r="A192" s="858">
        <v>42619</v>
      </c>
      <c r="B192" s="822" t="str">
        <f>TiposLancamentos!B18</f>
        <v>Alimentacao</v>
      </c>
      <c r="C192" s="808" t="s">
        <v>10793</v>
      </c>
      <c r="D192" s="747"/>
      <c r="E192" s="1139">
        <f>F193-E193</f>
        <v>4.6800000000000068</v>
      </c>
      <c r="F192" s="1145"/>
      <c r="G192" s="1152" t="s">
        <v>9</v>
      </c>
    </row>
    <row r="193" spans="1:7">
      <c r="A193" s="862">
        <v>42619</v>
      </c>
      <c r="B193" s="823" t="str">
        <f>TiposLancamentos!B57</f>
        <v>Informática</v>
      </c>
      <c r="C193" s="812" t="s">
        <v>10794</v>
      </c>
      <c r="D193" s="849"/>
      <c r="E193" s="1141">
        <f>49.9+11.9</f>
        <v>61.8</v>
      </c>
      <c r="F193" s="1146">
        <v>66.48</v>
      </c>
      <c r="G193" s="1152" t="s">
        <v>9</v>
      </c>
    </row>
    <row r="194" spans="1:7">
      <c r="A194" s="884">
        <v>42619</v>
      </c>
      <c r="B194" s="240" t="str">
        <f>TiposLancamentos!B19</f>
        <v>Restaurantes</v>
      </c>
      <c r="C194" s="878" t="s">
        <v>10795</v>
      </c>
      <c r="D194" s="63"/>
      <c r="E194" s="231">
        <v>73.7</v>
      </c>
      <c r="F194" s="1016"/>
      <c r="G194" s="1152" t="s">
        <v>9</v>
      </c>
    </row>
    <row r="195" spans="1:7">
      <c r="A195" s="884">
        <v>42620</v>
      </c>
      <c r="B195" s="240" t="str">
        <f>TiposLancamentos!B19</f>
        <v>Restaurantes</v>
      </c>
      <c r="C195" s="878" t="s">
        <v>10796</v>
      </c>
      <c r="D195" s="63"/>
      <c r="E195" s="231">
        <v>17.100000000000001</v>
      </c>
      <c r="F195" s="1016"/>
      <c r="G195" s="1152" t="s">
        <v>9</v>
      </c>
    </row>
    <row r="196" spans="1:7">
      <c r="A196" s="884">
        <v>42620</v>
      </c>
      <c r="B196" s="240" t="str">
        <f>TiposLancamentos!B19</f>
        <v>Restaurantes</v>
      </c>
      <c r="C196" s="878" t="s">
        <v>10797</v>
      </c>
      <c r="D196" s="63"/>
      <c r="E196" s="231">
        <v>19.2</v>
      </c>
      <c r="F196" s="1016"/>
      <c r="G196" s="1152" t="s">
        <v>9</v>
      </c>
    </row>
    <row r="197" spans="1:7">
      <c r="A197" s="884">
        <v>42620</v>
      </c>
      <c r="B197" s="240" t="str">
        <f>TiposLancamentos!B19</f>
        <v>Restaurantes</v>
      </c>
      <c r="C197" s="878" t="s">
        <v>10798</v>
      </c>
      <c r="D197" s="63"/>
      <c r="E197" s="231">
        <v>20</v>
      </c>
      <c r="F197" s="1016"/>
      <c r="G197" s="1152" t="s">
        <v>9</v>
      </c>
    </row>
    <row r="198" spans="1:7">
      <c r="A198" s="884">
        <v>42620</v>
      </c>
      <c r="B198" s="240" t="str">
        <f>TiposLancamentos!B19</f>
        <v>Restaurantes</v>
      </c>
      <c r="C198" s="878" t="s">
        <v>7590</v>
      </c>
      <c r="D198" s="63"/>
      <c r="E198" s="231">
        <v>54.8</v>
      </c>
      <c r="F198" s="1016"/>
      <c r="G198" s="1152" t="s">
        <v>9</v>
      </c>
    </row>
    <row r="199" spans="1:7">
      <c r="A199" s="884">
        <v>42620</v>
      </c>
      <c r="B199" s="240" t="str">
        <f>TiposLancamentos!B5</f>
        <v>Supermercado</v>
      </c>
      <c r="C199" s="878" t="s">
        <v>10799</v>
      </c>
      <c r="D199" s="63"/>
      <c r="E199" s="231">
        <v>77.23</v>
      </c>
      <c r="F199" s="1016"/>
      <c r="G199" s="1152" t="s">
        <v>9</v>
      </c>
    </row>
    <row r="200" spans="1:7">
      <c r="A200" s="858">
        <v>42621</v>
      </c>
      <c r="B200" s="822" t="str">
        <f>TiposLancamentos!B26</f>
        <v>LIVROS</v>
      </c>
      <c r="C200" s="808" t="s">
        <v>10800</v>
      </c>
      <c r="D200" s="747"/>
      <c r="E200" s="1139">
        <v>100</v>
      </c>
      <c r="F200" s="1145"/>
      <c r="G200" s="1152" t="s">
        <v>9</v>
      </c>
    </row>
    <row r="201" spans="1:7">
      <c r="A201" s="862">
        <v>42621</v>
      </c>
      <c r="B201" s="823" t="str">
        <f>TiposLancamentos!B48</f>
        <v>Baralhos e Oráculos</v>
      </c>
      <c r="C201" s="812" t="s">
        <v>10801</v>
      </c>
      <c r="D201" s="849"/>
      <c r="E201" s="1141">
        <v>30</v>
      </c>
      <c r="F201" s="1146">
        <f>SUM(E200:E201)</f>
        <v>130</v>
      </c>
      <c r="G201" s="1152" t="s">
        <v>9</v>
      </c>
    </row>
    <row r="202" spans="1:7">
      <c r="A202" s="884">
        <v>42621</v>
      </c>
      <c r="B202" s="240" t="str">
        <f>TiposLancamentos!B45</f>
        <v>Online Services</v>
      </c>
      <c r="C202" s="878" t="s">
        <v>10802</v>
      </c>
      <c r="D202" s="63"/>
      <c r="E202" s="231">
        <v>13.7</v>
      </c>
      <c r="F202" s="1016"/>
      <c r="G202" s="1152" t="s">
        <v>9</v>
      </c>
    </row>
    <row r="203" spans="1:7">
      <c r="A203" s="884">
        <v>42621</v>
      </c>
      <c r="B203" s="240" t="str">
        <f>TiposLancamentos!B19</f>
        <v>Restaurantes</v>
      </c>
      <c r="C203" s="878" t="s">
        <v>10047</v>
      </c>
      <c r="D203" s="63"/>
      <c r="E203" s="231">
        <v>59</v>
      </c>
      <c r="F203" s="1016"/>
      <c r="G203" s="1152" t="s">
        <v>9</v>
      </c>
    </row>
    <row r="204" spans="1:7">
      <c r="A204" s="858">
        <v>42623</v>
      </c>
      <c r="B204" s="822" t="str">
        <f>TiposLancamentos!B16</f>
        <v>Cristiane</v>
      </c>
      <c r="C204" s="808" t="s">
        <v>10803</v>
      </c>
      <c r="D204" s="747"/>
      <c r="E204" s="1139">
        <v>60</v>
      </c>
      <c r="F204" s="1145"/>
      <c r="G204" s="1152" t="s">
        <v>9</v>
      </c>
    </row>
    <row r="205" spans="1:7">
      <c r="A205" s="862">
        <v>42623</v>
      </c>
      <c r="B205" s="823" t="str">
        <f>TiposLancamentos!B57</f>
        <v>Informática</v>
      </c>
      <c r="C205" s="812" t="s">
        <v>10804</v>
      </c>
      <c r="D205" s="849"/>
      <c r="E205" s="1141">
        <v>40</v>
      </c>
      <c r="F205" s="1146">
        <f>SUM(E204:E205)</f>
        <v>100</v>
      </c>
      <c r="G205" s="1152" t="s">
        <v>9</v>
      </c>
    </row>
    <row r="206" spans="1:7">
      <c r="A206" s="884">
        <v>42623</v>
      </c>
      <c r="B206" s="240" t="str">
        <f>TiposLancamentos!B19</f>
        <v>Restaurantes</v>
      </c>
      <c r="C206" s="878" t="s">
        <v>10805</v>
      </c>
      <c r="D206" s="63"/>
      <c r="E206" s="231">
        <v>86.35</v>
      </c>
      <c r="F206" s="1016"/>
      <c r="G206" s="1152" t="s">
        <v>9</v>
      </c>
    </row>
    <row r="207" spans="1:7">
      <c r="A207" s="858">
        <v>42623</v>
      </c>
      <c r="B207" s="822" t="str">
        <f>TiposLancamentos!B16</f>
        <v>Cristiane</v>
      </c>
      <c r="C207" s="808" t="s">
        <v>10806</v>
      </c>
      <c r="D207" s="747"/>
      <c r="E207" s="1139">
        <f>15.83*2</f>
        <v>31.66</v>
      </c>
      <c r="F207" s="1145"/>
      <c r="G207" s="1152" t="s">
        <v>9</v>
      </c>
    </row>
    <row r="208" spans="1:7" ht="12.75" customHeight="1">
      <c r="A208" s="862">
        <v>42623</v>
      </c>
      <c r="B208" s="823" t="str">
        <f>TiposLancamentos!B71</f>
        <v>Itens Pessoais</v>
      </c>
      <c r="C208" s="812" t="s">
        <v>6007</v>
      </c>
      <c r="D208" s="849"/>
      <c r="E208" s="1141">
        <f>F208-E207</f>
        <v>117.97</v>
      </c>
      <c r="F208" s="1146">
        <v>149.63</v>
      </c>
      <c r="G208" s="1152" t="s">
        <v>9</v>
      </c>
    </row>
    <row r="209" spans="1:7">
      <c r="A209" s="884">
        <v>42624</v>
      </c>
      <c r="B209" s="240" t="str">
        <f>TiposLancamentos!B19</f>
        <v>Restaurantes</v>
      </c>
      <c r="C209" s="878" t="s">
        <v>10807</v>
      </c>
      <c r="D209" s="63"/>
      <c r="E209" s="231">
        <v>172.34</v>
      </c>
      <c r="F209" s="1016"/>
      <c r="G209" s="1152" t="s">
        <v>9</v>
      </c>
    </row>
    <row r="210" spans="1:7">
      <c r="A210" s="884">
        <v>42624</v>
      </c>
      <c r="B210" s="240" t="str">
        <f>TiposLancamentos!B16</f>
        <v>Cristiane</v>
      </c>
      <c r="C210" s="878" t="s">
        <v>10808</v>
      </c>
      <c r="D210" s="63"/>
      <c r="E210" s="231">
        <v>21.8</v>
      </c>
      <c r="F210" s="1016"/>
      <c r="G210" s="1152" t="s">
        <v>9</v>
      </c>
    </row>
    <row r="211" spans="1:7">
      <c r="A211" s="884">
        <v>42624</v>
      </c>
      <c r="B211" s="240" t="str">
        <f>TiposLancamentos!B29</f>
        <v>Mangá</v>
      </c>
      <c r="C211" s="878" t="s">
        <v>10809</v>
      </c>
      <c r="D211" s="63"/>
      <c r="E211" s="231">
        <v>12.9</v>
      </c>
      <c r="F211" s="1016"/>
      <c r="G211" s="1152" t="s">
        <v>9</v>
      </c>
    </row>
    <row r="212" spans="1:7">
      <c r="A212" s="884">
        <v>42624</v>
      </c>
      <c r="B212" s="240" t="str">
        <f>TiposLancamentos!B19</f>
        <v>Restaurantes</v>
      </c>
      <c r="C212" s="878" t="s">
        <v>10810</v>
      </c>
      <c r="D212" s="63"/>
      <c r="E212" s="231">
        <v>58</v>
      </c>
      <c r="F212" s="1016"/>
      <c r="G212" s="1152" t="s">
        <v>9</v>
      </c>
    </row>
    <row r="213" spans="1:7">
      <c r="A213" s="884">
        <v>42624</v>
      </c>
      <c r="B213" s="240" t="str">
        <f>TiposLancamentos!B56</f>
        <v>Farmácia</v>
      </c>
      <c r="C213" s="878" t="s">
        <v>10811</v>
      </c>
      <c r="D213" s="63"/>
      <c r="E213" s="231">
        <v>47.81</v>
      </c>
      <c r="F213" s="1016"/>
      <c r="G213" s="1152" t="s">
        <v>9</v>
      </c>
    </row>
    <row r="214" spans="1:7">
      <c r="A214" s="884">
        <v>42625</v>
      </c>
      <c r="B214" s="240" t="str">
        <f>TiposLancamentos!B16</f>
        <v>Cristiane</v>
      </c>
      <c r="C214" s="878" t="s">
        <v>10812</v>
      </c>
      <c r="D214" s="63"/>
      <c r="E214" s="231">
        <v>249.9</v>
      </c>
      <c r="F214" s="1016"/>
      <c r="G214" s="1152" t="s">
        <v>9</v>
      </c>
    </row>
    <row r="215" spans="1:7">
      <c r="A215" s="884">
        <v>42625</v>
      </c>
      <c r="B215" s="240" t="str">
        <f>TiposLancamentos!B5</f>
        <v>Supermercado</v>
      </c>
      <c r="C215" s="878" t="s">
        <v>6234</v>
      </c>
      <c r="D215" s="63"/>
      <c r="E215" s="231">
        <v>32.299999999999997</v>
      </c>
      <c r="F215" s="1016"/>
      <c r="G215" s="1152" t="s">
        <v>9</v>
      </c>
    </row>
    <row r="216" spans="1:7">
      <c r="A216" s="884">
        <v>42628</v>
      </c>
      <c r="B216" s="240" t="str">
        <f>TiposLancamentos!B56</f>
        <v>Farmácia</v>
      </c>
      <c r="C216" s="878" t="s">
        <v>6118</v>
      </c>
      <c r="D216" s="63"/>
      <c r="E216" s="231">
        <v>73.17</v>
      </c>
      <c r="F216" s="1016"/>
      <c r="G216" s="1152" t="s">
        <v>9</v>
      </c>
    </row>
    <row r="217" spans="1:7">
      <c r="A217" s="884">
        <v>42628</v>
      </c>
      <c r="B217" s="240" t="str">
        <f>TiposLancamentos!B16</f>
        <v>Cristiane</v>
      </c>
      <c r="C217" s="878" t="s">
        <v>6052</v>
      </c>
      <c r="D217" s="63"/>
      <c r="E217" s="231">
        <v>32.96</v>
      </c>
      <c r="F217" s="1016"/>
      <c r="G217" s="1152" t="s">
        <v>9</v>
      </c>
    </row>
    <row r="218" spans="1:7">
      <c r="A218" s="884">
        <v>42629</v>
      </c>
      <c r="B218" s="240" t="str">
        <f>TiposLancamentos!B19</f>
        <v>Restaurantes</v>
      </c>
      <c r="C218" s="878" t="s">
        <v>7068</v>
      </c>
      <c r="D218" s="63"/>
      <c r="E218" s="231">
        <v>47.7</v>
      </c>
      <c r="F218" s="1016"/>
      <c r="G218" s="1152" t="s">
        <v>9</v>
      </c>
    </row>
    <row r="219" spans="1:7">
      <c r="A219" s="884">
        <v>42630</v>
      </c>
      <c r="B219" s="240" t="str">
        <f>TiposLancamentos!B22</f>
        <v>Combustivel</v>
      </c>
      <c r="C219" s="878" t="s">
        <v>10813</v>
      </c>
      <c r="D219" s="63"/>
      <c r="E219" s="231">
        <v>40</v>
      </c>
      <c r="F219" s="1016"/>
      <c r="G219" s="1152" t="s">
        <v>9</v>
      </c>
    </row>
    <row r="220" spans="1:7">
      <c r="A220" s="884">
        <v>42630</v>
      </c>
      <c r="B220" s="240" t="str">
        <f>TiposLancamentos!B19</f>
        <v>Restaurantes</v>
      </c>
      <c r="C220" s="878" t="s">
        <v>10814</v>
      </c>
      <c r="D220" s="63"/>
      <c r="E220" s="231">
        <v>40.630000000000003</v>
      </c>
      <c r="F220" s="1016"/>
      <c r="G220" s="1152" t="s">
        <v>9</v>
      </c>
    </row>
    <row r="221" spans="1:7">
      <c r="A221" s="884">
        <v>42634</v>
      </c>
      <c r="B221" s="240" t="str">
        <f>TiposLancamentos!B16</f>
        <v>Cristiane</v>
      </c>
      <c r="C221" s="878" t="s">
        <v>10815</v>
      </c>
      <c r="D221" s="63"/>
      <c r="E221" s="231">
        <v>161.5</v>
      </c>
      <c r="F221" s="1016"/>
      <c r="G221" s="1152" t="s">
        <v>9</v>
      </c>
    </row>
    <row r="222" spans="1:7">
      <c r="A222" s="934"/>
      <c r="B222" s="243"/>
      <c r="C222" s="389" t="s">
        <v>10</v>
      </c>
      <c r="D222" s="146"/>
      <c r="E222" s="146"/>
      <c r="F222" s="1231"/>
      <c r="G222" s="1094" t="s">
        <v>11</v>
      </c>
    </row>
    <row r="223" spans="1:7">
      <c r="A223" s="884">
        <v>42638</v>
      </c>
      <c r="B223" s="240" t="str">
        <f>TiposLancamentos!B22</f>
        <v>Combustivel</v>
      </c>
      <c r="C223" s="878" t="s">
        <v>10816</v>
      </c>
      <c r="D223" s="63"/>
      <c r="E223" s="231">
        <v>40</v>
      </c>
      <c r="F223" s="1016"/>
      <c r="G223" s="1152" t="s">
        <v>9</v>
      </c>
    </row>
    <row r="224" spans="1:7">
      <c r="A224" s="884">
        <v>42637</v>
      </c>
      <c r="B224" s="240" t="str">
        <f>TiposLancamentos!B19</f>
        <v>Restaurantes</v>
      </c>
      <c r="C224" s="878" t="s">
        <v>4465</v>
      </c>
      <c r="D224" s="63"/>
      <c r="E224" s="231">
        <v>96.8</v>
      </c>
      <c r="F224" s="1016"/>
      <c r="G224" s="1152" t="s">
        <v>9</v>
      </c>
    </row>
    <row r="225" spans="1:7">
      <c r="A225" s="884">
        <v>42637</v>
      </c>
      <c r="B225" s="240" t="str">
        <f>TiposLancamentos!B16</f>
        <v>Cristiane</v>
      </c>
      <c r="C225" s="878" t="s">
        <v>10817</v>
      </c>
      <c r="D225" s="63"/>
      <c r="E225" s="231">
        <v>90</v>
      </c>
      <c r="F225" s="1016"/>
      <c r="G225" s="1152" t="s">
        <v>9</v>
      </c>
    </row>
    <row r="226" spans="1:7">
      <c r="A226" s="884">
        <v>42638</v>
      </c>
      <c r="B226" s="240" t="str">
        <f>TiposLancamentos!B16</f>
        <v>Cristiane</v>
      </c>
      <c r="C226" s="878" t="s">
        <v>10818</v>
      </c>
      <c r="D226" s="63"/>
      <c r="E226" s="231">
        <v>72</v>
      </c>
      <c r="F226" s="1016"/>
      <c r="G226" s="1152" t="s">
        <v>9</v>
      </c>
    </row>
    <row r="227" spans="1:7">
      <c r="A227" s="884">
        <v>42638</v>
      </c>
      <c r="B227" s="240" t="str">
        <f>TiposLancamentos!B16</f>
        <v>Cristiane</v>
      </c>
      <c r="C227" s="878" t="s">
        <v>10819</v>
      </c>
      <c r="D227" s="63"/>
      <c r="E227" s="231">
        <v>20</v>
      </c>
      <c r="F227" s="1016"/>
      <c r="G227" s="1152" t="s">
        <v>9</v>
      </c>
    </row>
    <row r="228" spans="1:7">
      <c r="A228" s="858">
        <v>42638</v>
      </c>
      <c r="B228" s="822" t="str">
        <f>TiposLancamentos!B48</f>
        <v>Baralhos e Oráculos</v>
      </c>
      <c r="C228" s="808" t="s">
        <v>10820</v>
      </c>
      <c r="D228" s="747"/>
      <c r="E228" s="1139">
        <v>130</v>
      </c>
      <c r="F228" s="1145"/>
      <c r="G228" s="1152" t="s">
        <v>9</v>
      </c>
    </row>
    <row r="229" spans="1:7">
      <c r="A229" s="862">
        <v>42638</v>
      </c>
      <c r="B229" s="823" t="str">
        <f>TiposLancamentos!B16</f>
        <v>Cristiane</v>
      </c>
      <c r="C229" s="812" t="s">
        <v>10821</v>
      </c>
      <c r="D229" s="849"/>
      <c r="E229" s="1141">
        <v>5</v>
      </c>
      <c r="F229" s="1146">
        <f>SUM(E228:E229)</f>
        <v>135</v>
      </c>
      <c r="G229" s="1152" t="s">
        <v>9</v>
      </c>
    </row>
    <row r="230" spans="1:7">
      <c r="A230" s="884">
        <v>42638</v>
      </c>
      <c r="B230" s="240" t="str">
        <f>TiposLancamentos!B19</f>
        <v>Restaurantes</v>
      </c>
      <c r="C230" s="878" t="s">
        <v>10822</v>
      </c>
      <c r="D230" s="63"/>
      <c r="E230" s="231">
        <v>169.2</v>
      </c>
      <c r="F230" s="1016"/>
      <c r="G230" s="1152" t="s">
        <v>9</v>
      </c>
    </row>
    <row r="231" spans="1:7">
      <c r="A231" s="884">
        <v>42638</v>
      </c>
      <c r="B231" s="240" t="str">
        <f>TiposLancamentos!B24</f>
        <v>Estacionamentos</v>
      </c>
      <c r="C231" s="878" t="s">
        <v>10823</v>
      </c>
      <c r="D231" s="63"/>
      <c r="E231" s="231">
        <v>18</v>
      </c>
      <c r="F231" s="1016"/>
      <c r="G231" s="1152" t="s">
        <v>9</v>
      </c>
    </row>
    <row r="232" spans="1:7">
      <c r="A232" s="884">
        <v>42638</v>
      </c>
      <c r="B232" s="240" t="str">
        <f>TiposLancamentos!B19</f>
        <v>Restaurantes</v>
      </c>
      <c r="C232" s="878" t="s">
        <v>10824</v>
      </c>
      <c r="D232" s="63"/>
      <c r="E232" s="231"/>
      <c r="F232" s="1016">
        <v>66.900000000000006</v>
      </c>
      <c r="G232" s="1094" t="s">
        <v>11</v>
      </c>
    </row>
    <row r="233" spans="1:7">
      <c r="A233" s="884">
        <v>42639</v>
      </c>
      <c r="B233" s="240" t="str">
        <f>TiposLancamentos!B13</f>
        <v>Moradia</v>
      </c>
      <c r="C233" s="878" t="s">
        <v>10825</v>
      </c>
      <c r="D233" s="63"/>
      <c r="E233" s="231">
        <v>110.08</v>
      </c>
      <c r="F233" s="1016"/>
      <c r="G233" s="1152" t="s">
        <v>9</v>
      </c>
    </row>
    <row r="234" spans="1:7">
      <c r="A234" s="884">
        <v>42640</v>
      </c>
      <c r="B234" s="240" t="str">
        <f>TiposLancamentos!B57</f>
        <v>Informática</v>
      </c>
      <c r="C234" s="878" t="s">
        <v>10826</v>
      </c>
      <c r="D234" s="63"/>
      <c r="E234" s="231">
        <v>21.5</v>
      </c>
      <c r="F234" s="1016"/>
      <c r="G234" s="1152" t="s">
        <v>9</v>
      </c>
    </row>
    <row r="235" spans="1:7">
      <c r="A235" s="884">
        <v>42641</v>
      </c>
      <c r="B235" s="240" t="str">
        <f>TiposLancamentos!B26</f>
        <v>LIVROS</v>
      </c>
      <c r="C235" s="878" t="s">
        <v>10827</v>
      </c>
      <c r="D235" s="63"/>
      <c r="E235" s="231">
        <v>200</v>
      </c>
      <c r="F235" s="1016"/>
      <c r="G235" s="1152" t="s">
        <v>9</v>
      </c>
    </row>
    <row r="236" spans="1:7">
      <c r="A236" s="884">
        <v>42642</v>
      </c>
      <c r="B236" s="240" t="str">
        <f>TiposLancamentos!B16</f>
        <v>Cristiane</v>
      </c>
      <c r="C236" s="878" t="s">
        <v>10828</v>
      </c>
      <c r="D236" s="63"/>
      <c r="E236" s="231">
        <v>40.33</v>
      </c>
      <c r="F236" s="1016"/>
      <c r="G236" s="1152" t="s">
        <v>9</v>
      </c>
    </row>
    <row r="237" spans="1:7">
      <c r="A237" s="884">
        <v>42642</v>
      </c>
      <c r="B237" s="240" t="str">
        <f>TiposLancamentos!B5</f>
        <v>Supermercado</v>
      </c>
      <c r="C237" s="878" t="s">
        <v>7570</v>
      </c>
      <c r="D237" s="63"/>
      <c r="E237" s="231">
        <v>41.52</v>
      </c>
      <c r="F237" s="1016"/>
      <c r="G237" s="1152" t="s">
        <v>9</v>
      </c>
    </row>
    <row r="238" spans="1:7">
      <c r="A238" s="884">
        <v>42643</v>
      </c>
      <c r="B238" s="240" t="str">
        <f>TiposLancamentos!B16</f>
        <v>Cristiane</v>
      </c>
      <c r="C238" s="878" t="s">
        <v>10829</v>
      </c>
      <c r="D238" s="63"/>
      <c r="E238" s="231">
        <v>33.700000000000003</v>
      </c>
      <c r="F238" s="1016"/>
      <c r="G238" s="1152" t="s">
        <v>9</v>
      </c>
    </row>
    <row r="239" spans="1:7">
      <c r="A239" s="884">
        <v>42643</v>
      </c>
      <c r="B239" s="240" t="str">
        <f>TiposLancamentos!B17</f>
        <v>GATO</v>
      </c>
      <c r="C239" s="878" t="s">
        <v>10830</v>
      </c>
      <c r="D239" s="63"/>
      <c r="E239" s="231">
        <f>F239/6</f>
        <v>299</v>
      </c>
      <c r="F239" s="1016">
        <v>1794</v>
      </c>
      <c r="G239" s="1152" t="s">
        <v>9</v>
      </c>
    </row>
    <row r="240" spans="1:7" ht="14.25" thickBot="1">
      <c r="A240" s="885">
        <v>42643</v>
      </c>
      <c r="B240" s="1232" t="str">
        <f>TiposLancamentos!B19</f>
        <v>Restaurantes</v>
      </c>
      <c r="C240" s="1120" t="s">
        <v>10831</v>
      </c>
      <c r="D240" s="903"/>
      <c r="E240" s="928">
        <v>74.930000000000007</v>
      </c>
      <c r="F240" s="1036"/>
      <c r="G240" s="1152" t="s">
        <v>9</v>
      </c>
    </row>
    <row r="241" spans="1:7">
      <c r="A241" s="1032"/>
      <c r="B241" s="1230"/>
      <c r="C241" s="906" t="s">
        <v>10832</v>
      </c>
      <c r="D241" s="896"/>
      <c r="E241" s="925"/>
      <c r="F241" s="1034">
        <f>SUM(E172:E221)</f>
        <v>3679.9100000000003</v>
      </c>
      <c r="G241" s="3"/>
    </row>
    <row r="242" spans="1:7">
      <c r="A242" s="884"/>
      <c r="B242" s="240"/>
      <c r="C242" s="878"/>
      <c r="D242" s="63"/>
      <c r="E242" s="231"/>
      <c r="F242" s="1016">
        <f>F241-F183</f>
        <v>2723.2166666666667</v>
      </c>
      <c r="G242" s="3"/>
    </row>
    <row r="243" spans="1:7">
      <c r="A243" s="884">
        <v>42644</v>
      </c>
      <c r="B243" s="240" t="str">
        <f>TiposLancamentos!B69</f>
        <v>Consertos</v>
      </c>
      <c r="C243" s="878" t="s">
        <v>10833</v>
      </c>
      <c r="D243" s="63"/>
      <c r="E243" s="231">
        <f>F243/3</f>
        <v>159</v>
      </c>
      <c r="F243" s="1016">
        <v>477</v>
      </c>
      <c r="G243" s="1152" t="s">
        <v>9</v>
      </c>
    </row>
    <row r="244" spans="1:7">
      <c r="A244" s="884">
        <v>42644</v>
      </c>
      <c r="B244" s="240" t="str">
        <f>TiposLancamentos!B13</f>
        <v>Moradia</v>
      </c>
      <c r="C244" s="878" t="s">
        <v>10701</v>
      </c>
      <c r="D244" s="63"/>
      <c r="E244" s="231">
        <v>32</v>
      </c>
      <c r="F244" s="1016"/>
      <c r="G244" s="1152" t="s">
        <v>9</v>
      </c>
    </row>
    <row r="245" spans="1:7">
      <c r="A245" s="884">
        <v>42644</v>
      </c>
      <c r="B245" s="240" t="str">
        <f>TiposLancamentos!B19</f>
        <v>Restaurantes</v>
      </c>
      <c r="C245" s="878" t="s">
        <v>10834</v>
      </c>
      <c r="D245" s="63"/>
      <c r="E245" s="231">
        <v>28</v>
      </c>
      <c r="F245" s="1016"/>
      <c r="G245" s="1152" t="s">
        <v>9</v>
      </c>
    </row>
    <row r="246" spans="1:7">
      <c r="A246" s="884">
        <v>42644</v>
      </c>
      <c r="B246" s="240" t="str">
        <f>TiposLancamentos!B29</f>
        <v>Mangá</v>
      </c>
      <c r="C246" s="878" t="s">
        <v>10835</v>
      </c>
      <c r="D246" s="63"/>
      <c r="E246" s="231">
        <v>13.9</v>
      </c>
      <c r="F246" s="1016"/>
      <c r="G246" s="1152" t="s">
        <v>9</v>
      </c>
    </row>
    <row r="247" spans="1:7">
      <c r="A247" s="884">
        <v>42644</v>
      </c>
      <c r="B247" s="240" t="str">
        <f>TiposLancamentos!B5</f>
        <v>Supermercado</v>
      </c>
      <c r="C247" s="878" t="s">
        <v>10836</v>
      </c>
      <c r="D247" s="63"/>
      <c r="E247" s="231">
        <v>132.18</v>
      </c>
      <c r="F247" s="1016"/>
      <c r="G247" s="1152" t="s">
        <v>9</v>
      </c>
    </row>
    <row r="248" spans="1:7">
      <c r="A248" s="884">
        <v>42645</v>
      </c>
      <c r="B248" s="240" t="str">
        <f>TiposLancamentos!B19</f>
        <v>Restaurantes</v>
      </c>
      <c r="C248" s="878" t="s">
        <v>10655</v>
      </c>
      <c r="D248" s="63"/>
      <c r="E248" s="231">
        <v>97.35</v>
      </c>
      <c r="F248" s="1016"/>
      <c r="G248" s="1152" t="s">
        <v>9</v>
      </c>
    </row>
    <row r="249" spans="1:7">
      <c r="A249" s="884">
        <v>42645</v>
      </c>
      <c r="B249" s="240" t="str">
        <f>TiposLancamentos!B16</f>
        <v>Cristiane</v>
      </c>
      <c r="C249" s="878" t="s">
        <v>10837</v>
      </c>
      <c r="D249" s="63"/>
      <c r="E249" s="231">
        <v>109.6</v>
      </c>
      <c r="F249" s="1016"/>
      <c r="G249" s="1152" t="s">
        <v>9</v>
      </c>
    </row>
    <row r="250" spans="1:7">
      <c r="A250" s="884">
        <v>42645</v>
      </c>
      <c r="B250" s="240" t="str">
        <f>TiposLancamentos!B72</f>
        <v>Presentes</v>
      </c>
      <c r="C250" s="878" t="s">
        <v>10838</v>
      </c>
      <c r="D250" s="63"/>
      <c r="E250" s="231">
        <v>149.99</v>
      </c>
      <c r="F250" s="1016"/>
      <c r="G250" s="1152" t="s">
        <v>9</v>
      </c>
    </row>
    <row r="251" spans="1:7">
      <c r="A251" s="884">
        <v>42645</v>
      </c>
      <c r="B251" s="240" t="str">
        <f>TiposLancamentos!B16</f>
        <v>Cristiane</v>
      </c>
      <c r="C251" s="878" t="s">
        <v>10839</v>
      </c>
      <c r="D251" s="63"/>
      <c r="E251" s="231">
        <v>9.42</v>
      </c>
      <c r="F251" s="1016"/>
      <c r="G251" s="1152" t="s">
        <v>9</v>
      </c>
    </row>
    <row r="252" spans="1:7">
      <c r="A252" s="884">
        <v>42645</v>
      </c>
      <c r="B252" s="240" t="str">
        <f>TiposLancamentos!B19</f>
        <v>Restaurantes</v>
      </c>
      <c r="C252" s="878" t="s">
        <v>10840</v>
      </c>
      <c r="D252" s="63"/>
      <c r="E252" s="231">
        <v>17.5</v>
      </c>
      <c r="F252" s="1016"/>
      <c r="G252" s="1152" t="s">
        <v>9</v>
      </c>
    </row>
    <row r="253" spans="1:7">
      <c r="A253" s="884">
        <v>42645</v>
      </c>
      <c r="B253" s="240" t="str">
        <f>TiposLancamentos!B19</f>
        <v>Restaurantes</v>
      </c>
      <c r="C253" s="878" t="s">
        <v>6536</v>
      </c>
      <c r="D253" s="63"/>
      <c r="E253" s="231">
        <v>120.23</v>
      </c>
      <c r="F253" s="1016"/>
      <c r="G253" s="1152" t="s">
        <v>9</v>
      </c>
    </row>
    <row r="254" spans="1:7">
      <c r="A254" s="884">
        <v>42646</v>
      </c>
      <c r="B254" s="240" t="str">
        <f>TiposLancamentos!B15</f>
        <v>Cartões de Crédito</v>
      </c>
      <c r="C254" s="878" t="s">
        <v>1874</v>
      </c>
      <c r="D254" s="63">
        <v>3679.96</v>
      </c>
      <c r="E254" s="231"/>
      <c r="F254" s="1016"/>
      <c r="G254" s="3"/>
    </row>
    <row r="255" spans="1:7">
      <c r="A255" s="884">
        <v>42646</v>
      </c>
      <c r="B255" s="138" t="str">
        <f>245:245</f>
        <v>Restaurantes</v>
      </c>
      <c r="C255" s="878" t="s">
        <v>6864</v>
      </c>
      <c r="D255" s="63"/>
      <c r="E255" s="231">
        <v>97.54</v>
      </c>
      <c r="F255" s="1016"/>
      <c r="G255" s="1152" t="s">
        <v>9</v>
      </c>
    </row>
    <row r="256" spans="1:7">
      <c r="A256" s="884">
        <v>42648</v>
      </c>
      <c r="B256" s="240" t="str">
        <f>TiposLancamentos!B69</f>
        <v>Consertos</v>
      </c>
      <c r="C256" s="878" t="s">
        <v>10841</v>
      </c>
      <c r="D256" s="63"/>
      <c r="E256" s="231">
        <v>28</v>
      </c>
      <c r="F256" s="1016"/>
      <c r="G256" s="1152" t="s">
        <v>9</v>
      </c>
    </row>
    <row r="257" spans="1:7">
      <c r="A257" s="884">
        <v>42649</v>
      </c>
      <c r="B257" s="240" t="str">
        <f>TiposLancamentos!B48</f>
        <v>Baralhos e Oráculos</v>
      </c>
      <c r="C257" s="878" t="s">
        <v>10842</v>
      </c>
      <c r="D257" s="63"/>
      <c r="E257" s="231">
        <v>125</v>
      </c>
      <c r="F257" s="1016"/>
      <c r="G257" s="1152" t="s">
        <v>9</v>
      </c>
    </row>
    <row r="258" spans="1:7">
      <c r="A258" s="884">
        <v>42649</v>
      </c>
      <c r="B258" s="240" t="str">
        <f>TiposLancamentos!B5</f>
        <v>Supermercado</v>
      </c>
      <c r="C258" s="878" t="s">
        <v>7068</v>
      </c>
      <c r="D258" s="63"/>
      <c r="E258" s="231">
        <v>33.29</v>
      </c>
      <c r="F258" s="1016"/>
      <c r="G258" s="1152" t="s">
        <v>9</v>
      </c>
    </row>
    <row r="259" spans="1:7">
      <c r="A259" s="884">
        <v>42650</v>
      </c>
      <c r="B259" s="240" t="str">
        <f>TiposLancamentos!B19</f>
        <v>Restaurantes</v>
      </c>
      <c r="C259" s="878" t="s">
        <v>10843</v>
      </c>
      <c r="D259" s="63"/>
      <c r="E259" s="231">
        <v>100.1</v>
      </c>
      <c r="F259" s="1016"/>
      <c r="G259" s="1152" t="s">
        <v>9</v>
      </c>
    </row>
    <row r="260" spans="1:7">
      <c r="A260" s="884">
        <v>42650</v>
      </c>
      <c r="B260" s="240" t="str">
        <f>TiposLancamentos!B16</f>
        <v>Cristiane</v>
      </c>
      <c r="C260" s="878" t="s">
        <v>8555</v>
      </c>
      <c r="D260" s="63"/>
      <c r="E260" s="231">
        <v>70.25</v>
      </c>
      <c r="F260" s="1016"/>
      <c r="G260" s="1152" t="s">
        <v>9</v>
      </c>
    </row>
    <row r="261" spans="1:7">
      <c r="A261" s="884">
        <v>42650</v>
      </c>
      <c r="B261" s="240" t="str">
        <f>TiposLancamentos!B88</f>
        <v>Ford Ecosport XLT</v>
      </c>
      <c r="C261" s="878" t="s">
        <v>10844</v>
      </c>
      <c r="D261" s="63"/>
      <c r="E261" s="231">
        <v>830</v>
      </c>
      <c r="F261" s="1016"/>
      <c r="G261" s="1152" t="s">
        <v>9</v>
      </c>
    </row>
    <row r="262" spans="1:7">
      <c r="A262" s="884">
        <v>42651</v>
      </c>
      <c r="B262" s="240" t="str">
        <f>TiposLancamentos!B45</f>
        <v>Online Services</v>
      </c>
      <c r="C262" s="878" t="s">
        <v>10802</v>
      </c>
      <c r="D262" s="63"/>
      <c r="E262" s="231">
        <v>13.7</v>
      </c>
      <c r="F262" s="1016"/>
      <c r="G262" s="1152" t="s">
        <v>9</v>
      </c>
    </row>
    <row r="263" spans="1:7">
      <c r="A263" s="884">
        <v>42651</v>
      </c>
      <c r="B263" s="240" t="str">
        <f>TiposLancamentos!B19</f>
        <v>Restaurantes</v>
      </c>
      <c r="C263" s="878" t="s">
        <v>10845</v>
      </c>
      <c r="D263" s="63"/>
      <c r="E263" s="231">
        <v>107.8</v>
      </c>
      <c r="F263" s="1016"/>
      <c r="G263" s="1152" t="s">
        <v>9</v>
      </c>
    </row>
    <row r="264" spans="1:7">
      <c r="A264" s="884">
        <v>42652</v>
      </c>
      <c r="B264" s="240" t="str">
        <f>TiposLancamentos!B19</f>
        <v>Restaurantes</v>
      </c>
      <c r="C264" s="878" t="s">
        <v>10846</v>
      </c>
      <c r="D264" s="63"/>
      <c r="E264" s="231">
        <v>84.83</v>
      </c>
      <c r="F264" s="1016"/>
      <c r="G264" s="1152" t="s">
        <v>9</v>
      </c>
    </row>
    <row r="265" spans="1:7">
      <c r="A265" s="884">
        <v>42655</v>
      </c>
      <c r="B265" s="240" t="str">
        <f>TiposLancamentos!B5</f>
        <v>Supermercado</v>
      </c>
      <c r="C265" s="878" t="s">
        <v>6234</v>
      </c>
      <c r="D265" s="63"/>
      <c r="E265" s="231">
        <v>44.06</v>
      </c>
      <c r="F265" s="1016"/>
      <c r="G265" s="1152" t="s">
        <v>9</v>
      </c>
    </row>
    <row r="266" spans="1:7">
      <c r="A266" s="858">
        <v>42656</v>
      </c>
      <c r="B266" s="822" t="str">
        <f>TiposLancamentos!B16</f>
        <v>Cristiane</v>
      </c>
      <c r="C266" s="808" t="s">
        <v>10847</v>
      </c>
      <c r="D266" s="747"/>
      <c r="E266" s="1139">
        <f>42.9+(19.9*2)</f>
        <v>82.699999999999989</v>
      </c>
      <c r="F266" s="1145"/>
      <c r="G266" s="1152" t="s">
        <v>9</v>
      </c>
    </row>
    <row r="267" spans="1:7">
      <c r="A267" s="862">
        <v>42656</v>
      </c>
      <c r="B267" s="823" t="str">
        <f>TiposLancamentos!B62</f>
        <v>Papelaria</v>
      </c>
      <c r="C267" s="812" t="s">
        <v>10848</v>
      </c>
      <c r="D267" s="849"/>
      <c r="E267" s="1141">
        <f>F267-E266</f>
        <v>60.59</v>
      </c>
      <c r="F267" s="1146">
        <v>143.29</v>
      </c>
      <c r="G267" s="1152" t="s">
        <v>9</v>
      </c>
    </row>
    <row r="268" spans="1:7">
      <c r="A268" s="884">
        <v>42656</v>
      </c>
      <c r="B268" s="240" t="str">
        <f>TiposLancamentos!B16</f>
        <v>Cristiane</v>
      </c>
      <c r="C268" s="878" t="s">
        <v>10849</v>
      </c>
      <c r="D268" s="63"/>
      <c r="E268" s="231">
        <v>70.900000000000006</v>
      </c>
      <c r="F268" s="1016"/>
      <c r="G268" s="1152" t="s">
        <v>9</v>
      </c>
    </row>
    <row r="269" spans="1:7">
      <c r="A269" s="884">
        <v>42656</v>
      </c>
      <c r="B269" s="240" t="str">
        <f>TiposLancamentos!B19</f>
        <v>Restaurantes</v>
      </c>
      <c r="C269" s="878" t="s">
        <v>10850</v>
      </c>
      <c r="D269" s="63"/>
      <c r="E269" s="231">
        <v>52.49</v>
      </c>
      <c r="F269" s="1016"/>
      <c r="G269" s="1152" t="s">
        <v>9</v>
      </c>
    </row>
    <row r="270" spans="1:7">
      <c r="A270" s="884">
        <v>42656</v>
      </c>
      <c r="B270" s="240" t="str">
        <f>TiposLancamentos!B5</f>
        <v>Supermercado</v>
      </c>
      <c r="C270" s="878" t="s">
        <v>6234</v>
      </c>
      <c r="D270" s="63"/>
      <c r="E270" s="231">
        <v>77.06</v>
      </c>
      <c r="F270" s="1016"/>
      <c r="G270" s="1152" t="s">
        <v>9</v>
      </c>
    </row>
    <row r="271" spans="1:7">
      <c r="A271" s="884">
        <v>42657</v>
      </c>
      <c r="B271" s="240" t="str">
        <f>TiposLancamentos!B5</f>
        <v>Supermercado</v>
      </c>
      <c r="C271" s="878" t="s">
        <v>10851</v>
      </c>
      <c r="D271" s="63"/>
      <c r="E271" s="231">
        <v>33.659999999999997</v>
      </c>
      <c r="F271" s="1016"/>
      <c r="G271" s="1152" t="s">
        <v>9</v>
      </c>
    </row>
    <row r="272" spans="1:7">
      <c r="A272" s="884">
        <v>42658</v>
      </c>
      <c r="B272" s="240" t="str">
        <f>TiposLancamentos!B16</f>
        <v>Cristiane</v>
      </c>
      <c r="C272" s="878" t="s">
        <v>10852</v>
      </c>
      <c r="D272" s="63"/>
      <c r="E272" s="231">
        <v>113</v>
      </c>
      <c r="F272" s="1016"/>
      <c r="G272" s="1152" t="s">
        <v>9</v>
      </c>
    </row>
    <row r="273" spans="1:7">
      <c r="A273" s="884">
        <v>42658</v>
      </c>
      <c r="B273" s="240" t="str">
        <f>TiposLancamentos!B19</f>
        <v>Restaurantes</v>
      </c>
      <c r="C273" s="878" t="s">
        <v>10853</v>
      </c>
      <c r="D273" s="63"/>
      <c r="E273" s="231">
        <v>47</v>
      </c>
      <c r="F273" s="1016"/>
      <c r="G273" s="1152" t="s">
        <v>9</v>
      </c>
    </row>
    <row r="274" spans="1:7">
      <c r="A274" s="884">
        <v>42658</v>
      </c>
      <c r="B274" s="240" t="str">
        <f>TiposLancamentos!B16</f>
        <v>Cristiane</v>
      </c>
      <c r="C274" s="878" t="s">
        <v>10854</v>
      </c>
      <c r="D274" s="63"/>
      <c r="E274" s="231">
        <v>21.9</v>
      </c>
      <c r="F274" s="1016"/>
      <c r="G274" s="1152" t="s">
        <v>9</v>
      </c>
    </row>
    <row r="275" spans="1:7">
      <c r="A275" s="884">
        <v>42658</v>
      </c>
      <c r="B275" s="240" t="str">
        <f>TiposLancamentos!B16</f>
        <v>Cristiane</v>
      </c>
      <c r="C275" s="878" t="s">
        <v>10855</v>
      </c>
      <c r="D275" s="63"/>
      <c r="E275" s="231">
        <v>218</v>
      </c>
      <c r="F275" s="1016"/>
      <c r="G275" s="1152" t="s">
        <v>9</v>
      </c>
    </row>
    <row r="276" spans="1:7">
      <c r="A276" s="884">
        <v>42658</v>
      </c>
      <c r="B276" s="240" t="str">
        <f>TiposLancamentos!B13</f>
        <v>Moradia</v>
      </c>
      <c r="C276" s="878" t="s">
        <v>10856</v>
      </c>
      <c r="D276" s="63"/>
      <c r="E276" s="231">
        <v>8.9</v>
      </c>
      <c r="F276" s="1016"/>
      <c r="G276" s="1152" t="s">
        <v>9</v>
      </c>
    </row>
    <row r="277" spans="1:7">
      <c r="A277" s="884">
        <v>42658</v>
      </c>
      <c r="B277" s="240" t="str">
        <f>TiposLancamentos!B19</f>
        <v>Restaurantes</v>
      </c>
      <c r="C277" s="878" t="s">
        <v>10857</v>
      </c>
      <c r="D277" s="63"/>
      <c r="E277" s="231">
        <v>144.69999999999999</v>
      </c>
      <c r="F277" s="1016"/>
      <c r="G277" s="1152" t="s">
        <v>9</v>
      </c>
    </row>
    <row r="278" spans="1:7">
      <c r="A278" s="884">
        <v>42659</v>
      </c>
      <c r="B278" s="240" t="str">
        <f>TiposLancamentos!B19</f>
        <v>Restaurantes</v>
      </c>
      <c r="C278" s="878" t="s">
        <v>10858</v>
      </c>
      <c r="D278" s="63"/>
      <c r="E278" s="231">
        <v>30.2</v>
      </c>
      <c r="F278" s="1016"/>
      <c r="G278" s="1152" t="s">
        <v>9</v>
      </c>
    </row>
    <row r="279" spans="1:7">
      <c r="A279" s="884">
        <v>42659</v>
      </c>
      <c r="B279" s="240" t="str">
        <f>TiposLancamentos!B24</f>
        <v>Estacionamentos</v>
      </c>
      <c r="C279" s="878" t="s">
        <v>10859</v>
      </c>
      <c r="D279" s="63"/>
      <c r="E279" s="231">
        <v>10</v>
      </c>
      <c r="F279" s="1016"/>
      <c r="G279" s="1152" t="s">
        <v>9</v>
      </c>
    </row>
    <row r="280" spans="1:7">
      <c r="A280" s="884">
        <v>42659</v>
      </c>
      <c r="B280" s="240" t="str">
        <f>TiposLancamentos!B19</f>
        <v>Restaurantes</v>
      </c>
      <c r="C280" s="878" t="s">
        <v>10860</v>
      </c>
      <c r="D280" s="63"/>
      <c r="E280" s="231">
        <v>69.150000000000006</v>
      </c>
      <c r="F280" s="1016"/>
      <c r="G280" s="1152" t="s">
        <v>9</v>
      </c>
    </row>
    <row r="281" spans="1:7">
      <c r="A281" s="884">
        <v>42659</v>
      </c>
      <c r="B281" s="240" t="str">
        <f>TiposLancamentos!B5</f>
        <v>Supermercado</v>
      </c>
      <c r="C281" s="878" t="s">
        <v>6234</v>
      </c>
      <c r="D281" s="63"/>
      <c r="E281" s="231">
        <v>91.61</v>
      </c>
      <c r="F281" s="1016"/>
      <c r="G281" s="1152" t="s">
        <v>9</v>
      </c>
    </row>
    <row r="282" spans="1:7">
      <c r="A282" s="884">
        <v>42660</v>
      </c>
      <c r="B282" s="240" t="str">
        <f>TiposLancamentos!B48</f>
        <v>Baralhos e Oráculos</v>
      </c>
      <c r="C282" s="878" t="s">
        <v>10861</v>
      </c>
      <c r="D282" s="63"/>
      <c r="E282" s="231">
        <v>151.5</v>
      </c>
      <c r="F282" s="1016"/>
      <c r="G282" s="1152" t="s">
        <v>9</v>
      </c>
    </row>
    <row r="283" spans="1:7">
      <c r="A283" s="884">
        <v>42661</v>
      </c>
      <c r="B283" s="240" t="str">
        <f>TiposLancamentos!B16</f>
        <v>Cristiane</v>
      </c>
      <c r="C283" s="878" t="s">
        <v>10862</v>
      </c>
      <c r="D283" s="63"/>
      <c r="E283" s="231">
        <v>29.65</v>
      </c>
      <c r="F283" s="1016"/>
      <c r="G283" s="1152" t="s">
        <v>9</v>
      </c>
    </row>
    <row r="284" spans="1:7">
      <c r="A284" s="884">
        <v>42663</v>
      </c>
      <c r="B284" s="240" t="str">
        <f>TiposLancamentos!B56</f>
        <v>Farmácia</v>
      </c>
      <c r="C284" s="878" t="s">
        <v>10863</v>
      </c>
      <c r="D284" s="63"/>
      <c r="E284" s="231">
        <v>8.57</v>
      </c>
      <c r="F284" s="1016"/>
      <c r="G284" s="1152" t="s">
        <v>9</v>
      </c>
    </row>
    <row r="285" spans="1:7">
      <c r="A285" s="884">
        <v>42663</v>
      </c>
      <c r="B285" s="240" t="str">
        <f>TiposLancamentos!B56</f>
        <v>Farmácia</v>
      </c>
      <c r="C285" s="878" t="s">
        <v>10864</v>
      </c>
      <c r="D285" s="63"/>
      <c r="E285" s="231">
        <v>54.64</v>
      </c>
      <c r="F285" s="1016"/>
      <c r="G285" s="1152" t="s">
        <v>9</v>
      </c>
    </row>
    <row r="286" spans="1:7">
      <c r="A286" s="884">
        <v>42663</v>
      </c>
      <c r="B286" s="240" t="str">
        <f>TiposLancamentos!B17</f>
        <v>GATO</v>
      </c>
      <c r="C286" s="878" t="s">
        <v>10865</v>
      </c>
      <c r="D286" s="63"/>
      <c r="E286" s="231">
        <v>82.99</v>
      </c>
      <c r="F286" s="1016"/>
      <c r="G286" s="1152" t="s">
        <v>9</v>
      </c>
    </row>
    <row r="287" spans="1:7">
      <c r="A287" s="884">
        <v>42663</v>
      </c>
      <c r="B287" s="240" t="str">
        <f>TiposLancamentos!B19</f>
        <v>Restaurantes</v>
      </c>
      <c r="C287" s="878" t="s">
        <v>10866</v>
      </c>
      <c r="D287" s="63"/>
      <c r="E287" s="231">
        <v>128.69999999999999</v>
      </c>
      <c r="F287" s="1016"/>
      <c r="G287" s="1152" t="s">
        <v>9</v>
      </c>
    </row>
    <row r="288" spans="1:7">
      <c r="A288" s="884">
        <v>42664</v>
      </c>
      <c r="B288" s="240" t="str">
        <f>TiposLancamentos!B16</f>
        <v>Cristiane</v>
      </c>
      <c r="C288" s="878" t="s">
        <v>10867</v>
      </c>
      <c r="D288" s="63"/>
      <c r="E288" s="231">
        <v>161.5</v>
      </c>
      <c r="F288" s="1016"/>
      <c r="G288" s="1152" t="s">
        <v>9</v>
      </c>
    </row>
    <row r="289" spans="1:7">
      <c r="A289" s="934"/>
      <c r="B289" s="243"/>
      <c r="C289" s="389" t="s">
        <v>10</v>
      </c>
      <c r="D289" s="146"/>
      <c r="E289" s="146"/>
      <c r="F289" s="1231"/>
      <c r="G289" s="1094" t="s">
        <v>11</v>
      </c>
    </row>
    <row r="290" spans="1:7">
      <c r="A290" s="884">
        <v>42664</v>
      </c>
      <c r="B290" s="240" t="str">
        <f>TiposLancamentos!B26</f>
        <v>LIVROS</v>
      </c>
      <c r="C290" s="878" t="s">
        <v>10868</v>
      </c>
      <c r="D290" s="63"/>
      <c r="E290" s="231">
        <v>73.849999999999994</v>
      </c>
      <c r="F290" s="1016"/>
      <c r="G290" s="1152" t="s">
        <v>9</v>
      </c>
    </row>
    <row r="291" spans="1:7">
      <c r="A291" s="884">
        <v>42666</v>
      </c>
      <c r="B291" s="240" t="str">
        <f>TiposLancamentos!B24</f>
        <v>Estacionamentos</v>
      </c>
      <c r="C291" s="878" t="s">
        <v>10869</v>
      </c>
      <c r="D291" s="63"/>
      <c r="E291" s="231">
        <v>10</v>
      </c>
      <c r="F291" s="1016"/>
      <c r="G291" s="1152" t="s">
        <v>9</v>
      </c>
    </row>
    <row r="292" spans="1:7">
      <c r="A292" s="884">
        <v>42666</v>
      </c>
      <c r="B292" s="240" t="str">
        <f>TiposLancamentos!B24</f>
        <v>Estacionamentos</v>
      </c>
      <c r="C292" s="878" t="s">
        <v>10869</v>
      </c>
      <c r="D292" s="63"/>
      <c r="E292" s="231">
        <v>5</v>
      </c>
      <c r="F292" s="1016"/>
      <c r="G292" s="1152" t="s">
        <v>9</v>
      </c>
    </row>
    <row r="293" spans="1:7">
      <c r="A293" s="884">
        <v>42668</v>
      </c>
      <c r="B293" s="240" t="str">
        <f>TiposLancamentos!B48</f>
        <v>Baralhos e Oráculos</v>
      </c>
      <c r="C293" s="878" t="s">
        <v>10870</v>
      </c>
      <c r="D293" s="63"/>
      <c r="E293" s="231">
        <v>117.03</v>
      </c>
      <c r="F293" s="1016" t="s">
        <v>10871</v>
      </c>
      <c r="G293" s="1152" t="s">
        <v>9</v>
      </c>
    </row>
    <row r="294" spans="1:7">
      <c r="A294" s="884">
        <v>42668</v>
      </c>
      <c r="B294" s="240" t="str">
        <f>TiposLancamentos!B71</f>
        <v>Itens Pessoais</v>
      </c>
      <c r="C294" s="878" t="s">
        <v>10872</v>
      </c>
      <c r="D294" s="63"/>
      <c r="E294" s="231">
        <f>F294/10</f>
        <v>148.07</v>
      </c>
      <c r="F294" s="1016">
        <v>1480.7</v>
      </c>
      <c r="G294" s="1152" t="s">
        <v>9</v>
      </c>
    </row>
    <row r="295" spans="1:7">
      <c r="A295" s="884">
        <v>42668</v>
      </c>
      <c r="B295" s="240" t="str">
        <f>TiposLancamentos!B19</f>
        <v>Restaurantes</v>
      </c>
      <c r="C295" s="878" t="s">
        <v>10873</v>
      </c>
      <c r="D295" s="63"/>
      <c r="E295" s="231">
        <v>70.27</v>
      </c>
      <c r="F295" s="1016"/>
      <c r="G295" s="1152" t="s">
        <v>9</v>
      </c>
    </row>
    <row r="296" spans="1:7">
      <c r="A296" s="884">
        <v>42670</v>
      </c>
      <c r="B296" s="240" t="str">
        <f>TiposLancamentos!B4</f>
        <v>Taxas Bancarias</v>
      </c>
      <c r="C296" s="878" t="s">
        <v>10874</v>
      </c>
      <c r="D296" s="63"/>
      <c r="E296" s="231">
        <v>7.47</v>
      </c>
      <c r="F296" s="1016"/>
      <c r="G296" s="1152" t="s">
        <v>9</v>
      </c>
    </row>
    <row r="297" spans="1:7">
      <c r="A297" s="884">
        <v>42672</v>
      </c>
      <c r="B297" s="240" t="str">
        <f>TiposLancamentos!B16</f>
        <v>Cristiane</v>
      </c>
      <c r="C297" s="878" t="s">
        <v>10875</v>
      </c>
      <c r="D297" s="63"/>
      <c r="E297" s="231">
        <v>21.7</v>
      </c>
      <c r="F297" s="1016"/>
      <c r="G297" s="1152" t="s">
        <v>9</v>
      </c>
    </row>
    <row r="298" spans="1:7">
      <c r="A298" s="884">
        <v>42673</v>
      </c>
      <c r="B298" s="240" t="str">
        <f>TiposLancamentos!B19</f>
        <v>Restaurantes</v>
      </c>
      <c r="C298" s="878" t="s">
        <v>10876</v>
      </c>
      <c r="D298" s="63"/>
      <c r="E298" s="231">
        <v>115.94</v>
      </c>
      <c r="F298" s="1016"/>
      <c r="G298" s="1152" t="s">
        <v>9</v>
      </c>
    </row>
    <row r="299" spans="1:7">
      <c r="A299" s="884">
        <v>42674</v>
      </c>
      <c r="B299" s="240" t="str">
        <f>TiposLancamentos!B17</f>
        <v>GATO</v>
      </c>
      <c r="C299" s="878" t="s">
        <v>10877</v>
      </c>
      <c r="D299" s="63"/>
      <c r="E299" s="231">
        <f>F299/6</f>
        <v>299</v>
      </c>
      <c r="F299" s="1016">
        <v>1794</v>
      </c>
      <c r="G299" s="1152" t="s">
        <v>9</v>
      </c>
    </row>
    <row r="300" spans="1:7">
      <c r="A300" s="884">
        <v>42674</v>
      </c>
      <c r="B300" s="240" t="str">
        <f>TiposLancamentos!B56</f>
        <v>Farmácia</v>
      </c>
      <c r="C300" s="878" t="s">
        <v>10878</v>
      </c>
      <c r="D300" s="63"/>
      <c r="E300" s="231">
        <v>126.47</v>
      </c>
      <c r="F300" s="1016"/>
      <c r="G300" s="1152" t="s">
        <v>9</v>
      </c>
    </row>
    <row r="301" spans="1:7" ht="14.25" thickBot="1">
      <c r="A301" s="885">
        <v>42674</v>
      </c>
      <c r="B301" s="1232" t="str">
        <f>TiposLancamentos!B26</f>
        <v>LIVROS</v>
      </c>
      <c r="C301" s="1120" t="s">
        <v>10879</v>
      </c>
      <c r="D301" s="903"/>
      <c r="E301" s="928">
        <v>70.400000000000006</v>
      </c>
      <c r="F301" s="1036"/>
      <c r="G301" s="1152" t="s">
        <v>9</v>
      </c>
    </row>
    <row r="302" spans="1:7">
      <c r="A302" s="1032"/>
      <c r="B302" s="1230"/>
      <c r="C302" s="906" t="s">
        <v>10880</v>
      </c>
      <c r="D302" s="896"/>
      <c r="E302" s="925"/>
      <c r="F302" s="1034">
        <f>SUM(E223:E288)</f>
        <v>5615.2099999999973</v>
      </c>
      <c r="G302" s="1094" t="s">
        <v>11</v>
      </c>
    </row>
    <row r="303" spans="1:7">
      <c r="A303" s="884">
        <v>42675</v>
      </c>
      <c r="B303" s="240" t="str">
        <f>TiposLancamentos!B15</f>
        <v>Cartões de Crédito</v>
      </c>
      <c r="C303" s="878" t="s">
        <v>1874</v>
      </c>
      <c r="D303" s="63">
        <v>5615.21</v>
      </c>
      <c r="E303" s="231"/>
      <c r="F303" s="1016">
        <f>F302-F241</f>
        <v>1935.299999999997</v>
      </c>
      <c r="G303" s="1152" t="s">
        <v>9</v>
      </c>
    </row>
    <row r="304" spans="1:7">
      <c r="A304" s="884">
        <v>42675</v>
      </c>
      <c r="B304" s="240" t="str">
        <f>TiposLancamentos!B69</f>
        <v>Consertos</v>
      </c>
      <c r="C304" s="878" t="s">
        <v>10881</v>
      </c>
      <c r="D304" s="63"/>
      <c r="E304" s="231">
        <f>F304/3</f>
        <v>159</v>
      </c>
      <c r="F304" s="1016">
        <v>477</v>
      </c>
      <c r="G304" s="1152" t="s">
        <v>9</v>
      </c>
    </row>
    <row r="305" spans="1:7">
      <c r="A305" s="884">
        <v>42676</v>
      </c>
      <c r="B305" s="240" t="str">
        <f>TiposLancamentos!B5</f>
        <v>Supermercado</v>
      </c>
      <c r="C305" s="878" t="s">
        <v>6234</v>
      </c>
      <c r="D305" s="63"/>
      <c r="E305" s="231">
        <v>74.27</v>
      </c>
      <c r="F305" s="1016"/>
      <c r="G305" s="1152" t="s">
        <v>9</v>
      </c>
    </row>
    <row r="306" spans="1:7">
      <c r="A306" s="884">
        <v>42677</v>
      </c>
      <c r="B306" s="240" t="str">
        <f>TiposLancamentos!B19</f>
        <v>Restaurantes</v>
      </c>
      <c r="C306" s="878" t="s">
        <v>10882</v>
      </c>
      <c r="D306" s="63"/>
      <c r="E306" s="231">
        <v>123.62</v>
      </c>
      <c r="F306" s="1016"/>
      <c r="G306" s="1152" t="s">
        <v>9</v>
      </c>
    </row>
    <row r="307" spans="1:7">
      <c r="A307" s="884">
        <v>42678</v>
      </c>
      <c r="B307" s="240" t="str">
        <f>TiposLancamentos!B48</f>
        <v>Baralhos e Oráculos</v>
      </c>
      <c r="C307" s="878" t="s">
        <v>10883</v>
      </c>
      <c r="D307" s="63"/>
      <c r="E307" s="231">
        <v>137.77000000000001</v>
      </c>
      <c r="F307" s="1016" t="s">
        <v>10884</v>
      </c>
      <c r="G307" s="1094" t="s">
        <v>11</v>
      </c>
    </row>
    <row r="308" spans="1:7">
      <c r="A308" s="884">
        <v>42679</v>
      </c>
      <c r="B308" s="240" t="str">
        <f>TiposLancamentos!B24</f>
        <v>Estacionamentos</v>
      </c>
      <c r="C308" s="878" t="s">
        <v>10885</v>
      </c>
      <c r="D308" s="63"/>
      <c r="E308" s="231">
        <v>10</v>
      </c>
      <c r="F308" s="1016"/>
      <c r="G308" s="1152" t="s">
        <v>9</v>
      </c>
    </row>
    <row r="309" spans="1:7">
      <c r="A309" s="884">
        <v>42679</v>
      </c>
      <c r="B309" s="240" t="str">
        <f>TiposLancamentos!B5</f>
        <v>Supermercado</v>
      </c>
      <c r="C309" s="878" t="s">
        <v>6234</v>
      </c>
      <c r="D309" s="63"/>
      <c r="E309" s="231">
        <v>12.49</v>
      </c>
      <c r="F309" s="1016"/>
      <c r="G309" s="1152" t="s">
        <v>9</v>
      </c>
    </row>
    <row r="310" spans="1:7">
      <c r="A310" s="884">
        <v>42680</v>
      </c>
      <c r="B310" s="240" t="str">
        <f>TiposLancamentos!B19</f>
        <v>Restaurantes</v>
      </c>
      <c r="C310" s="878" t="s">
        <v>10886</v>
      </c>
      <c r="D310" s="63"/>
      <c r="E310" s="231">
        <v>95.15</v>
      </c>
      <c r="F310" s="1016"/>
      <c r="G310" s="1152" t="s">
        <v>9</v>
      </c>
    </row>
    <row r="311" spans="1:7">
      <c r="A311" s="884">
        <v>42681</v>
      </c>
      <c r="B311" s="240" t="str">
        <f>TiposLancamentos!B4</f>
        <v>Taxas Bancarias</v>
      </c>
      <c r="C311" s="878" t="s">
        <v>10874</v>
      </c>
      <c r="D311" s="63"/>
      <c r="E311" s="231">
        <v>8.7899999999999991</v>
      </c>
      <c r="F311" s="1016"/>
      <c r="G311" s="1152" t="s">
        <v>9</v>
      </c>
    </row>
    <row r="312" spans="1:7">
      <c r="A312" s="884">
        <v>42681</v>
      </c>
      <c r="B312" s="240" t="str">
        <f>TiposLancamentos!B19</f>
        <v>Restaurantes</v>
      </c>
      <c r="C312" s="878" t="s">
        <v>10887</v>
      </c>
      <c r="D312" s="63"/>
      <c r="E312" s="231">
        <v>66.930000000000007</v>
      </c>
      <c r="F312" s="1016"/>
      <c r="G312" s="1152" t="s">
        <v>9</v>
      </c>
    </row>
    <row r="313" spans="1:7">
      <c r="A313" s="884">
        <v>42682</v>
      </c>
      <c r="B313" s="240" t="str">
        <f>TiposLancamentos!B45</f>
        <v>Online Services</v>
      </c>
      <c r="C313" s="878" t="s">
        <v>10802</v>
      </c>
      <c r="D313" s="63"/>
      <c r="E313" s="231">
        <v>13.7</v>
      </c>
      <c r="F313" s="1016"/>
      <c r="G313" s="1152" t="s">
        <v>9</v>
      </c>
    </row>
    <row r="314" spans="1:7">
      <c r="A314" s="884">
        <v>42684</v>
      </c>
      <c r="B314" s="240" t="str">
        <f>TiposLancamentos!B87</f>
        <v>P207-1.6-XS</v>
      </c>
      <c r="C314" s="878" t="s">
        <v>10888</v>
      </c>
      <c r="D314" s="63"/>
      <c r="E314" s="231">
        <v>240</v>
      </c>
      <c r="F314" s="1016">
        <v>720</v>
      </c>
      <c r="G314" s="1152" t="s">
        <v>9</v>
      </c>
    </row>
    <row r="315" spans="1:7">
      <c r="A315" s="884">
        <v>42685</v>
      </c>
      <c r="B315" s="240" t="str">
        <f>TiposLancamentos!B19</f>
        <v>Restaurantes</v>
      </c>
      <c r="C315" s="878" t="s">
        <v>10655</v>
      </c>
      <c r="D315" s="63"/>
      <c r="E315" s="231">
        <v>78.14</v>
      </c>
      <c r="F315" s="1016"/>
      <c r="G315" s="1152" t="s">
        <v>9</v>
      </c>
    </row>
    <row r="316" spans="1:7">
      <c r="A316" s="884">
        <v>42685</v>
      </c>
      <c r="B316" s="240" t="str">
        <f>TiposLancamentos!B72</f>
        <v>Presentes</v>
      </c>
      <c r="C316" s="878" t="s">
        <v>10889</v>
      </c>
      <c r="D316" s="63"/>
      <c r="E316" s="231">
        <v>237.44</v>
      </c>
      <c r="F316" s="1016"/>
      <c r="G316" s="1152" t="s">
        <v>9</v>
      </c>
    </row>
    <row r="317" spans="1:7">
      <c r="A317" s="884">
        <v>42685</v>
      </c>
      <c r="B317" s="240" t="str">
        <f>TiposLancamentos!B19</f>
        <v>Restaurantes</v>
      </c>
      <c r="C317" s="878" t="s">
        <v>10890</v>
      </c>
      <c r="D317" s="63"/>
      <c r="E317" s="231">
        <v>57</v>
      </c>
      <c r="F317" s="1016"/>
      <c r="G317" s="1152" t="s">
        <v>9</v>
      </c>
    </row>
    <row r="318" spans="1:7">
      <c r="A318" s="858">
        <v>42686</v>
      </c>
      <c r="B318" s="822" t="str">
        <f>TiposLancamentos!B16</f>
        <v>Cristiane</v>
      </c>
      <c r="C318" s="808" t="s">
        <v>7863</v>
      </c>
      <c r="D318" s="747"/>
      <c r="E318" s="1139">
        <v>106</v>
      </c>
      <c r="F318" s="1145"/>
      <c r="G318" s="1152" t="s">
        <v>9</v>
      </c>
    </row>
    <row r="319" spans="1:7">
      <c r="A319" s="862">
        <v>42686</v>
      </c>
      <c r="B319" s="823" t="str">
        <f>TiposLancamentos!B71</f>
        <v>Itens Pessoais</v>
      </c>
      <c r="C319" s="812" t="s">
        <v>8086</v>
      </c>
      <c r="D319" s="849"/>
      <c r="E319" s="1141">
        <v>30</v>
      </c>
      <c r="F319" s="1146">
        <f>SUM(E318:E319)</f>
        <v>136</v>
      </c>
      <c r="G319" s="1152" t="s">
        <v>9</v>
      </c>
    </row>
    <row r="320" spans="1:7">
      <c r="A320" s="884">
        <v>42686</v>
      </c>
      <c r="B320" s="240" t="str">
        <f>TiposLancamentos!B19</f>
        <v>Restaurantes</v>
      </c>
      <c r="C320" s="878" t="s">
        <v>10891</v>
      </c>
      <c r="D320" s="63"/>
      <c r="E320" s="231">
        <v>170.94</v>
      </c>
      <c r="F320" s="1016"/>
      <c r="G320" s="1152" t="s">
        <v>9</v>
      </c>
    </row>
    <row r="321" spans="1:7">
      <c r="A321" s="884">
        <v>42687</v>
      </c>
      <c r="B321" s="240" t="str">
        <f>TiposLancamentos!B19</f>
        <v>Restaurantes</v>
      </c>
      <c r="C321" s="878" t="s">
        <v>10892</v>
      </c>
      <c r="D321" s="63"/>
      <c r="E321" s="231">
        <v>116.49</v>
      </c>
      <c r="F321" s="1016"/>
      <c r="G321" s="1152" t="s">
        <v>9</v>
      </c>
    </row>
    <row r="322" spans="1:7">
      <c r="A322" s="858">
        <v>42687</v>
      </c>
      <c r="B322" s="822" t="str">
        <f>TiposLancamentos!B71</f>
        <v>Itens Pessoais</v>
      </c>
      <c r="C322" s="808" t="s">
        <v>10893</v>
      </c>
      <c r="D322" s="747"/>
      <c r="E322" s="1139">
        <f>4.5+28.5+16.5</f>
        <v>49.5</v>
      </c>
      <c r="F322" s="1145"/>
      <c r="G322" s="1152" t="s">
        <v>9</v>
      </c>
    </row>
    <row r="323" spans="1:7">
      <c r="A323" s="862">
        <v>42687</v>
      </c>
      <c r="B323" s="823" t="str">
        <f>TiposLancamentos!B16</f>
        <v>Cristiane</v>
      </c>
      <c r="C323" s="812" t="s">
        <v>10862</v>
      </c>
      <c r="D323" s="849"/>
      <c r="E323" s="1141">
        <f>F323-E322</f>
        <v>75.3</v>
      </c>
      <c r="F323" s="1146">
        <v>124.8</v>
      </c>
      <c r="G323" s="1152" t="s">
        <v>9</v>
      </c>
    </row>
    <row r="324" spans="1:7">
      <c r="A324" s="884">
        <v>42687</v>
      </c>
      <c r="B324" s="240" t="str">
        <f>TiposLancamentos!B16</f>
        <v>Cristiane</v>
      </c>
      <c r="C324" s="878" t="s">
        <v>10894</v>
      </c>
      <c r="D324" s="63"/>
      <c r="E324" s="231">
        <v>45</v>
      </c>
      <c r="F324" s="1016"/>
      <c r="G324" s="1152" t="s">
        <v>9</v>
      </c>
    </row>
    <row r="325" spans="1:7">
      <c r="A325" s="884">
        <v>42687</v>
      </c>
      <c r="B325" s="240" t="str">
        <f>TiposLancamentos!B16</f>
        <v>Cristiane</v>
      </c>
      <c r="C325" s="878" t="s">
        <v>10895</v>
      </c>
      <c r="D325" s="63"/>
      <c r="E325" s="231">
        <v>112</v>
      </c>
      <c r="F325" s="1016"/>
      <c r="G325" s="1152" t="s">
        <v>9</v>
      </c>
    </row>
    <row r="326" spans="1:7">
      <c r="A326" s="884">
        <v>42687</v>
      </c>
      <c r="B326" s="240" t="str">
        <f>TiposLancamentos!B19</f>
        <v>Restaurantes</v>
      </c>
      <c r="C326" s="878" t="s">
        <v>10896</v>
      </c>
      <c r="D326" s="63"/>
      <c r="E326" s="231">
        <v>51.7</v>
      </c>
      <c r="F326" s="1016"/>
      <c r="G326" s="1152" t="s">
        <v>9</v>
      </c>
    </row>
    <row r="327" spans="1:7">
      <c r="A327" s="884">
        <v>42687</v>
      </c>
      <c r="B327" s="240" t="str">
        <f>TiposLancamentos!B5</f>
        <v>Supermercado</v>
      </c>
      <c r="C327" s="878" t="s">
        <v>6234</v>
      </c>
      <c r="D327" s="63"/>
      <c r="E327" s="231">
        <v>236.52</v>
      </c>
      <c r="F327" s="1016"/>
      <c r="G327" s="1152" t="s">
        <v>9</v>
      </c>
    </row>
    <row r="328" spans="1:7">
      <c r="A328" s="884">
        <v>42688</v>
      </c>
      <c r="B328" s="240" t="str">
        <f>TiposLancamentos!B19</f>
        <v>Restaurantes</v>
      </c>
      <c r="C328" s="878" t="s">
        <v>10897</v>
      </c>
      <c r="D328" s="63"/>
      <c r="E328" s="231">
        <v>125.51</v>
      </c>
      <c r="F328" s="1016"/>
      <c r="G328" s="1152" t="s">
        <v>9</v>
      </c>
    </row>
    <row r="329" spans="1:7">
      <c r="A329" s="884">
        <v>42688</v>
      </c>
      <c r="B329" s="240" t="str">
        <f>TiposLancamentos!B71</f>
        <v>Itens Pessoais</v>
      </c>
      <c r="C329" s="878" t="s">
        <v>10898</v>
      </c>
      <c r="D329" s="63"/>
      <c r="E329" s="231">
        <v>108</v>
      </c>
      <c r="F329" s="1016"/>
      <c r="G329" s="1152" t="s">
        <v>9</v>
      </c>
    </row>
    <row r="330" spans="1:7">
      <c r="A330" s="884">
        <v>42689</v>
      </c>
      <c r="B330" s="240" t="str">
        <f>TiposLancamentos!B24</f>
        <v>Estacionamentos</v>
      </c>
      <c r="C330" s="878" t="s">
        <v>10899</v>
      </c>
      <c r="D330" s="63"/>
      <c r="E330" s="231">
        <v>10</v>
      </c>
      <c r="F330" s="1016"/>
      <c r="G330" s="1152" t="s">
        <v>9</v>
      </c>
    </row>
    <row r="331" spans="1:7">
      <c r="A331" s="884">
        <v>42689</v>
      </c>
      <c r="B331" s="240" t="str">
        <f>TiposLancamentos!B19</f>
        <v>Restaurantes</v>
      </c>
      <c r="C331" s="878" t="s">
        <v>10900</v>
      </c>
      <c r="D331" s="63"/>
      <c r="E331" s="231">
        <v>34</v>
      </c>
      <c r="F331" s="1016"/>
      <c r="G331" s="1152" t="s">
        <v>9</v>
      </c>
    </row>
    <row r="332" spans="1:7">
      <c r="A332" s="884">
        <v>42691</v>
      </c>
      <c r="B332" s="240" t="str">
        <f>TiposLancamentos!B26</f>
        <v>LIVROS</v>
      </c>
      <c r="C332" s="878" t="s">
        <v>10901</v>
      </c>
      <c r="D332" s="63"/>
      <c r="E332" s="231">
        <v>85.6</v>
      </c>
      <c r="F332" s="1016"/>
      <c r="G332" s="1152" t="s">
        <v>9</v>
      </c>
    </row>
    <row r="333" spans="1:7">
      <c r="A333" s="934"/>
      <c r="B333" s="243"/>
      <c r="C333" s="389" t="s">
        <v>10</v>
      </c>
      <c r="D333" s="146"/>
      <c r="E333" s="146"/>
      <c r="F333" s="1231"/>
      <c r="G333" s="1094" t="s">
        <v>11</v>
      </c>
    </row>
    <row r="334" spans="1:7">
      <c r="A334" s="884">
        <v>42699</v>
      </c>
      <c r="B334" s="240" t="str">
        <f>TiposLancamentos!B71</f>
        <v>Itens Pessoais</v>
      </c>
      <c r="C334" s="878" t="s">
        <v>10902</v>
      </c>
      <c r="D334" s="63"/>
      <c r="E334" s="231">
        <f>F334/10</f>
        <v>148.07</v>
      </c>
      <c r="F334" s="1016">
        <v>1480.7</v>
      </c>
      <c r="G334" s="1152" t="s">
        <v>9</v>
      </c>
    </row>
    <row r="335" spans="1:7">
      <c r="A335" s="884">
        <v>42700</v>
      </c>
      <c r="B335" s="240" t="str">
        <f>TiposLancamentos!B19</f>
        <v>Restaurantes</v>
      </c>
      <c r="C335" s="878" t="s">
        <v>6542</v>
      </c>
      <c r="D335" s="63"/>
      <c r="E335" s="231">
        <v>116.6</v>
      </c>
      <c r="F335" s="1016"/>
      <c r="G335" s="1152" t="s">
        <v>9</v>
      </c>
    </row>
    <row r="336" spans="1:7">
      <c r="A336" s="884">
        <v>42700</v>
      </c>
      <c r="B336" s="240" t="str">
        <f>TiposLancamentos!B57</f>
        <v>Informática</v>
      </c>
      <c r="C336" s="878" t="s">
        <v>10903</v>
      </c>
      <c r="D336" s="63"/>
      <c r="E336" s="231">
        <v>35.630000000000003</v>
      </c>
      <c r="F336" s="1016" t="s">
        <v>10904</v>
      </c>
      <c r="G336" s="1152" t="s">
        <v>9</v>
      </c>
    </row>
    <row r="337" spans="1:7">
      <c r="A337" s="884">
        <v>42701</v>
      </c>
      <c r="B337" s="240" t="str">
        <f>TiposLancamentos!B5</f>
        <v>Supermercado</v>
      </c>
      <c r="C337" s="878" t="s">
        <v>6234</v>
      </c>
      <c r="D337" s="63"/>
      <c r="E337" s="231">
        <v>105.79</v>
      </c>
      <c r="F337" s="1016"/>
      <c r="G337" s="1152" t="s">
        <v>9</v>
      </c>
    </row>
    <row r="338" spans="1:7">
      <c r="A338" s="884">
        <v>42701</v>
      </c>
      <c r="B338" s="240" t="str">
        <f>TiposLancamentos!B19</f>
        <v>Restaurantes</v>
      </c>
      <c r="C338" s="878" t="s">
        <v>10905</v>
      </c>
      <c r="D338" s="63"/>
      <c r="E338" s="231">
        <v>61.6</v>
      </c>
      <c r="F338" s="1016"/>
      <c r="G338" s="1152" t="s">
        <v>9</v>
      </c>
    </row>
    <row r="339" spans="1:7">
      <c r="A339" s="884">
        <v>42702</v>
      </c>
      <c r="B339" s="240" t="str">
        <f>TiposLancamentos!B4</f>
        <v>Taxas Bancarias</v>
      </c>
      <c r="C339" s="878" t="s">
        <v>10774</v>
      </c>
      <c r="D339" s="63"/>
      <c r="E339" s="231">
        <v>2.27</v>
      </c>
      <c r="F339" s="1016"/>
      <c r="G339" s="1152" t="s">
        <v>9</v>
      </c>
    </row>
    <row r="340" spans="1:7">
      <c r="A340" s="884">
        <v>42702</v>
      </c>
      <c r="B340" s="240" t="str">
        <f>TiposLancamentos!B57</f>
        <v>Informática</v>
      </c>
      <c r="C340" s="878" t="s">
        <v>10906</v>
      </c>
      <c r="D340" s="63"/>
      <c r="E340" s="231">
        <v>128.68</v>
      </c>
      <c r="F340" s="1016">
        <v>386</v>
      </c>
      <c r="G340" s="1152" t="s">
        <v>9</v>
      </c>
    </row>
    <row r="341" spans="1:7">
      <c r="A341" s="884">
        <v>42702</v>
      </c>
      <c r="B341" s="240" t="str">
        <f>TiposLancamentos!B45</f>
        <v>Online Services</v>
      </c>
      <c r="C341" s="878" t="s">
        <v>1894</v>
      </c>
      <c r="D341" s="63"/>
      <c r="E341" s="231">
        <v>22.9</v>
      </c>
      <c r="F341" s="1016"/>
      <c r="G341" s="1152" t="s">
        <v>9</v>
      </c>
    </row>
    <row r="342" spans="1:7">
      <c r="A342" s="858">
        <v>42703</v>
      </c>
      <c r="B342" s="822" t="str">
        <f>TiposLancamentos!B70</f>
        <v>Vestuário</v>
      </c>
      <c r="C342" s="808" t="s">
        <v>10907</v>
      </c>
      <c r="D342" s="747"/>
      <c r="E342" s="1139">
        <f>F342/2</f>
        <v>169.98</v>
      </c>
      <c r="F342" s="1145">
        <v>339.96</v>
      </c>
      <c r="G342" s="1152" t="s">
        <v>9</v>
      </c>
    </row>
    <row r="343" spans="1:7">
      <c r="A343" s="862">
        <v>42703</v>
      </c>
      <c r="B343" s="823" t="str">
        <f>TiposLancamentos!B16</f>
        <v>Cristiane</v>
      </c>
      <c r="C343" s="812" t="s">
        <v>10907</v>
      </c>
      <c r="D343" s="849"/>
      <c r="E343" s="1141">
        <f>F342/2</f>
        <v>169.98</v>
      </c>
      <c r="F343" s="1146"/>
      <c r="G343" s="1152" t="s">
        <v>9</v>
      </c>
    </row>
    <row r="344" spans="1:7">
      <c r="A344" s="884">
        <v>42703</v>
      </c>
      <c r="B344" s="240" t="str">
        <f>TiposLancamentos!B5</f>
        <v>Supermercado</v>
      </c>
      <c r="C344" s="878" t="s">
        <v>10908</v>
      </c>
      <c r="D344" s="63"/>
      <c r="E344" s="231">
        <v>72.73</v>
      </c>
      <c r="F344" s="1016"/>
      <c r="G344" s="1152" t="s">
        <v>9</v>
      </c>
    </row>
    <row r="345" spans="1:7">
      <c r="A345" s="884">
        <v>42703</v>
      </c>
      <c r="B345" s="240" t="str">
        <f>TiposLancamentos!B17</f>
        <v>GATO</v>
      </c>
      <c r="C345" s="878" t="s">
        <v>10909</v>
      </c>
      <c r="D345" s="63"/>
      <c r="E345" s="231">
        <v>92.57</v>
      </c>
      <c r="F345" s="1016"/>
      <c r="G345" s="1152" t="s">
        <v>9</v>
      </c>
    </row>
    <row r="346" spans="1:7">
      <c r="A346" s="884">
        <v>42704</v>
      </c>
      <c r="B346" s="240" t="str">
        <f>TiposLancamentos!B57</f>
        <v>Informática</v>
      </c>
      <c r="C346" s="878" t="s">
        <v>10910</v>
      </c>
      <c r="D346" s="63"/>
      <c r="E346" s="231">
        <v>37.880000000000003</v>
      </c>
      <c r="F346" s="1016"/>
      <c r="G346" s="1152" t="s">
        <v>9</v>
      </c>
    </row>
    <row r="347" spans="1:7" ht="14.25" thickBot="1">
      <c r="A347" s="885">
        <v>42704</v>
      </c>
      <c r="B347" s="1232" t="str">
        <f>TiposLancamentos!B17</f>
        <v>GATO</v>
      </c>
      <c r="C347" s="1120" t="s">
        <v>10911</v>
      </c>
      <c r="D347" s="903"/>
      <c r="E347" s="928">
        <f>F347/6</f>
        <v>299</v>
      </c>
      <c r="F347" s="1036">
        <v>1794</v>
      </c>
      <c r="G347" s="1152" t="s">
        <v>9</v>
      </c>
    </row>
    <row r="348" spans="1:7">
      <c r="A348" s="1032"/>
      <c r="B348" s="1230"/>
      <c r="C348" s="906" t="s">
        <v>10912</v>
      </c>
      <c r="D348" s="896"/>
      <c r="E348" s="925"/>
      <c r="F348" s="1034">
        <f>SUM(E290:E332)</f>
        <v>3736.0600000000004</v>
      </c>
      <c r="G348" s="1152" t="s">
        <v>9</v>
      </c>
    </row>
    <row r="349" spans="1:7">
      <c r="A349" s="884">
        <v>42705</v>
      </c>
      <c r="B349" s="240" t="str">
        <f>TiposLancamentos!B4</f>
        <v>Taxas Bancarias</v>
      </c>
      <c r="C349" s="878" t="s">
        <v>10913</v>
      </c>
      <c r="D349" s="63"/>
      <c r="E349" s="231">
        <v>20.37</v>
      </c>
      <c r="F349" s="1016"/>
      <c r="G349" s="1152" t="s">
        <v>9</v>
      </c>
    </row>
    <row r="350" spans="1:7">
      <c r="A350" s="884">
        <v>42705</v>
      </c>
      <c r="B350" s="240" t="str">
        <f>TiposLancamentos!B69</f>
        <v>Consertos</v>
      </c>
      <c r="C350" s="878" t="s">
        <v>10914</v>
      </c>
      <c r="D350" s="63"/>
      <c r="E350" s="231">
        <v>159</v>
      </c>
      <c r="F350" s="1016">
        <f>F348-F302</f>
        <v>-1879.1499999999969</v>
      </c>
      <c r="G350" s="3"/>
    </row>
    <row r="351" spans="1:7">
      <c r="A351" s="884">
        <v>42705</v>
      </c>
      <c r="B351" s="240" t="str">
        <f>TiposLancamentos!B15</f>
        <v>Cartões de Crédito</v>
      </c>
      <c r="C351" s="878" t="s">
        <v>10915</v>
      </c>
      <c r="D351" s="63">
        <v>3736.06</v>
      </c>
      <c r="E351" s="231"/>
      <c r="F351" s="1016"/>
      <c r="G351" s="1152" t="s">
        <v>9</v>
      </c>
    </row>
    <row r="352" spans="1:7">
      <c r="A352" s="884">
        <v>42706</v>
      </c>
      <c r="B352" s="240" t="str">
        <f>TiposLancamentos!B19</f>
        <v>Restaurantes</v>
      </c>
      <c r="C352" s="878" t="s">
        <v>8605</v>
      </c>
      <c r="D352" s="63"/>
      <c r="E352" s="231">
        <v>143</v>
      </c>
      <c r="F352" s="1016"/>
      <c r="G352" s="1152" t="s">
        <v>9</v>
      </c>
    </row>
    <row r="353" spans="1:7">
      <c r="A353" s="884">
        <v>42707</v>
      </c>
      <c r="B353" s="240" t="str">
        <f>TiposLancamentos!B70</f>
        <v>Vestuário</v>
      </c>
      <c r="C353" s="878" t="s">
        <v>10916</v>
      </c>
      <c r="D353" s="63"/>
      <c r="E353" s="231">
        <v>273.33</v>
      </c>
      <c r="F353" s="1016">
        <v>819.97</v>
      </c>
      <c r="G353" s="1152" t="s">
        <v>9</v>
      </c>
    </row>
    <row r="354" spans="1:7">
      <c r="A354" s="884">
        <v>42707</v>
      </c>
      <c r="B354" s="240" t="str">
        <f>TiposLancamentos!B19</f>
        <v>Restaurantes</v>
      </c>
      <c r="C354" s="878" t="s">
        <v>10917</v>
      </c>
      <c r="D354" s="63"/>
      <c r="E354" s="231">
        <v>84.7</v>
      </c>
      <c r="F354" s="1016"/>
      <c r="G354" s="1152" t="s">
        <v>9</v>
      </c>
    </row>
    <row r="355" spans="1:7">
      <c r="A355" s="884">
        <v>42707</v>
      </c>
      <c r="B355" s="240" t="str">
        <f>TiposLancamentos!B72</f>
        <v>Presentes</v>
      </c>
      <c r="C355" s="878" t="s">
        <v>10918</v>
      </c>
      <c r="D355" s="63"/>
      <c r="E355" s="231">
        <v>54</v>
      </c>
      <c r="F355" s="1016"/>
      <c r="G355" s="1152" t="s">
        <v>9</v>
      </c>
    </row>
    <row r="356" spans="1:7">
      <c r="A356" s="884">
        <v>42707</v>
      </c>
      <c r="B356" s="240" t="str">
        <f>TiposLancamentos!B62</f>
        <v>Papelaria</v>
      </c>
      <c r="C356" s="878" t="s">
        <v>10919</v>
      </c>
      <c r="D356" s="63"/>
      <c r="E356" s="231">
        <v>33.200000000000003</v>
      </c>
      <c r="F356" s="1016"/>
      <c r="G356" s="1152" t="s">
        <v>9</v>
      </c>
    </row>
    <row r="357" spans="1:7">
      <c r="A357" s="884">
        <v>42707</v>
      </c>
      <c r="B357" s="240" t="str">
        <f>TiposLancamentos!B64</f>
        <v>Viagens</v>
      </c>
      <c r="C357" s="878" t="s">
        <v>10920</v>
      </c>
      <c r="D357" s="63"/>
      <c r="E357" s="231">
        <f>F357/3</f>
        <v>113.2</v>
      </c>
      <c r="F357" s="1016">
        <v>339.6</v>
      </c>
      <c r="G357" s="1152" t="s">
        <v>9</v>
      </c>
    </row>
    <row r="358" spans="1:7">
      <c r="A358" s="884">
        <v>42708</v>
      </c>
      <c r="B358" s="240" t="str">
        <f>TiposLancamentos!B24</f>
        <v>Estacionamentos</v>
      </c>
      <c r="C358" s="878" t="s">
        <v>10921</v>
      </c>
      <c r="D358" s="63"/>
      <c r="E358" s="231">
        <v>15</v>
      </c>
      <c r="F358" s="1016"/>
      <c r="G358" s="1152" t="s">
        <v>9</v>
      </c>
    </row>
    <row r="359" spans="1:7">
      <c r="A359" s="884">
        <v>42708</v>
      </c>
      <c r="B359" s="240" t="str">
        <f>TiposLancamentos!B74</f>
        <v>Noite</v>
      </c>
      <c r="C359" s="878" t="s">
        <v>10922</v>
      </c>
      <c r="D359" s="63"/>
      <c r="E359" s="231">
        <v>83</v>
      </c>
      <c r="F359" s="1016"/>
      <c r="G359" s="1152" t="s">
        <v>9</v>
      </c>
    </row>
    <row r="360" spans="1:7">
      <c r="A360" s="884">
        <v>42708</v>
      </c>
      <c r="B360" s="240" t="str">
        <f>TiposLancamentos!B19</f>
        <v>Restaurantes</v>
      </c>
      <c r="C360" s="878" t="s">
        <v>7068</v>
      </c>
      <c r="D360" s="63"/>
      <c r="E360" s="231">
        <v>43.95</v>
      </c>
      <c r="F360" s="1016"/>
      <c r="G360" s="1152" t="s">
        <v>9</v>
      </c>
    </row>
    <row r="361" spans="1:7">
      <c r="A361" s="884">
        <v>42711</v>
      </c>
      <c r="B361" s="240" t="str">
        <f>TiposLancamentos!B19</f>
        <v>Restaurantes</v>
      </c>
      <c r="C361" s="878" t="s">
        <v>10923</v>
      </c>
      <c r="D361" s="63"/>
      <c r="E361" s="231">
        <v>66.95</v>
      </c>
      <c r="F361" s="1016"/>
      <c r="G361" s="1152" t="s">
        <v>9</v>
      </c>
    </row>
    <row r="362" spans="1:7">
      <c r="A362" s="884">
        <v>42712</v>
      </c>
      <c r="B362" s="240" t="str">
        <f>TiposLancamentos!B45</f>
        <v>Online Services</v>
      </c>
      <c r="C362" s="878" t="s">
        <v>10802</v>
      </c>
      <c r="D362" s="63"/>
      <c r="E362" s="231">
        <v>13.7</v>
      </c>
      <c r="F362" s="1016"/>
      <c r="G362" s="1152" t="s">
        <v>9</v>
      </c>
    </row>
    <row r="363" spans="1:7">
      <c r="A363" s="884">
        <v>42714</v>
      </c>
      <c r="B363" s="240" t="str">
        <f>TiposLancamentos!B87</f>
        <v>P207-1.6-XS</v>
      </c>
      <c r="C363" s="878" t="s">
        <v>10924</v>
      </c>
      <c r="D363" s="63"/>
      <c r="E363" s="231">
        <v>240</v>
      </c>
      <c r="F363" s="1016">
        <v>720</v>
      </c>
      <c r="G363" s="1152" t="s">
        <v>9</v>
      </c>
    </row>
    <row r="364" spans="1:7">
      <c r="A364" s="934"/>
      <c r="B364" s="243"/>
      <c r="C364" s="389" t="s">
        <v>10</v>
      </c>
      <c r="D364" s="146"/>
      <c r="E364" s="146"/>
      <c r="F364" s="1231"/>
      <c r="G364" s="1152" t="s">
        <v>9</v>
      </c>
    </row>
    <row r="365" spans="1:7">
      <c r="A365" s="884">
        <v>42728</v>
      </c>
      <c r="B365" s="240" t="str">
        <f>TiposLancamentos!B57</f>
        <v>Informática</v>
      </c>
      <c r="C365" s="878" t="s">
        <v>10925</v>
      </c>
      <c r="D365" s="63"/>
      <c r="E365" s="231">
        <v>6.73</v>
      </c>
      <c r="F365" s="1016" t="s">
        <v>10926</v>
      </c>
      <c r="G365" s="1152" t="s">
        <v>9</v>
      </c>
    </row>
    <row r="366" spans="1:7">
      <c r="A366" s="884">
        <v>42729</v>
      </c>
      <c r="B366" s="240" t="str">
        <f>TiposLancamentos!B71</f>
        <v>Itens Pessoais</v>
      </c>
      <c r="C366" s="878" t="s">
        <v>10927</v>
      </c>
      <c r="D366" s="63"/>
      <c r="E366" s="231">
        <f>F366/10</f>
        <v>148.07</v>
      </c>
      <c r="F366" s="1016">
        <v>1480.7</v>
      </c>
      <c r="G366" s="1152" t="s">
        <v>9</v>
      </c>
    </row>
    <row r="367" spans="1:7">
      <c r="A367" s="884">
        <v>42729</v>
      </c>
      <c r="B367" s="240" t="str">
        <f>TiposLancamentos!B16</f>
        <v>Cristiane</v>
      </c>
      <c r="C367" s="878" t="s">
        <v>10928</v>
      </c>
      <c r="D367" s="63"/>
      <c r="E367" s="231">
        <v>49.06</v>
      </c>
      <c r="F367" s="1016" t="s">
        <v>10929</v>
      </c>
      <c r="G367" s="1152" t="s">
        <v>9</v>
      </c>
    </row>
    <row r="368" spans="1:7">
      <c r="A368" s="884">
        <v>42729</v>
      </c>
      <c r="B368" s="240" t="str">
        <f>TiposLancamentos!B19</f>
        <v>Restaurantes</v>
      </c>
      <c r="C368" s="878" t="s">
        <v>10930</v>
      </c>
      <c r="D368" s="63"/>
      <c r="E368" s="231">
        <v>59.81</v>
      </c>
      <c r="F368" s="1016" t="s">
        <v>10931</v>
      </c>
      <c r="G368" s="1152" t="s">
        <v>9</v>
      </c>
    </row>
    <row r="369" spans="1:7">
      <c r="A369" s="884">
        <v>42730</v>
      </c>
      <c r="B369" s="240" t="str">
        <f>TiposLancamentos!B4</f>
        <v>Taxas Bancarias</v>
      </c>
      <c r="C369" s="878" t="s">
        <v>10932</v>
      </c>
      <c r="D369" s="63"/>
      <c r="E369" s="231">
        <v>3.82</v>
      </c>
      <c r="F369" s="1016"/>
      <c r="G369" s="1152" t="s">
        <v>9</v>
      </c>
    </row>
    <row r="370" spans="1:7">
      <c r="A370" s="884">
        <v>42729</v>
      </c>
      <c r="B370" s="240" t="str">
        <f>TiposLancamentos!B19</f>
        <v>Restaurantes</v>
      </c>
      <c r="C370" s="878" t="s">
        <v>10933</v>
      </c>
      <c r="D370" s="63"/>
      <c r="E370" s="231">
        <v>8.16</v>
      </c>
      <c r="F370" s="1016" t="s">
        <v>10934</v>
      </c>
      <c r="G370" s="1152" t="s">
        <v>9</v>
      </c>
    </row>
    <row r="371" spans="1:7">
      <c r="A371" s="884">
        <v>42730</v>
      </c>
      <c r="B371" s="240" t="str">
        <f>TiposLancamentos!B4</f>
        <v>Taxas Bancarias</v>
      </c>
      <c r="C371" s="878" t="s">
        <v>10935</v>
      </c>
      <c r="D371" s="63"/>
      <c r="E371" s="231">
        <v>0.52</v>
      </c>
      <c r="F371" s="1016"/>
      <c r="G371" s="1152" t="s">
        <v>9</v>
      </c>
    </row>
    <row r="372" spans="1:7">
      <c r="A372" s="884">
        <v>42729</v>
      </c>
      <c r="B372" s="240" t="str">
        <f>TiposLancamentos!B64</f>
        <v>Viagens</v>
      </c>
      <c r="C372" s="878" t="s">
        <v>10936</v>
      </c>
      <c r="D372" s="63"/>
      <c r="E372" s="231">
        <v>732.97</v>
      </c>
      <c r="F372" s="1016" t="s">
        <v>10937</v>
      </c>
      <c r="G372" s="1152" t="s">
        <v>9</v>
      </c>
    </row>
    <row r="373" spans="1:7">
      <c r="A373" s="884">
        <v>42730</v>
      </c>
      <c r="B373" s="240" t="str">
        <f>TiposLancamentos!B4</f>
        <v>Taxas Bancarias</v>
      </c>
      <c r="C373" s="878" t="s">
        <v>10938</v>
      </c>
      <c r="D373" s="63"/>
      <c r="E373" s="231">
        <v>46.76</v>
      </c>
      <c r="F373" s="1016"/>
      <c r="G373" s="1152" t="s">
        <v>9</v>
      </c>
    </row>
    <row r="374" spans="1:7">
      <c r="A374" s="884">
        <v>42730</v>
      </c>
      <c r="B374" s="240" t="str">
        <f>TiposLancamentos!B65</f>
        <v>Taxi</v>
      </c>
      <c r="C374" s="878" t="s">
        <v>10939</v>
      </c>
      <c r="D374" s="63"/>
      <c r="E374" s="231">
        <v>78.08</v>
      </c>
      <c r="F374" s="1016"/>
      <c r="G374" s="1152" t="s">
        <v>9</v>
      </c>
    </row>
    <row r="375" spans="1:7">
      <c r="A375" s="884">
        <v>42730</v>
      </c>
      <c r="B375" s="240" t="str">
        <f>TiposLancamentos!B5</f>
        <v>Supermercado</v>
      </c>
      <c r="C375" s="878" t="s">
        <v>10940</v>
      </c>
      <c r="D375" s="63"/>
      <c r="E375" s="231">
        <v>69.83</v>
      </c>
      <c r="F375" s="1016"/>
      <c r="G375" s="1152" t="s">
        <v>9</v>
      </c>
    </row>
    <row r="376" spans="1:7">
      <c r="A376" s="884">
        <v>42730</v>
      </c>
      <c r="B376" s="240" t="str">
        <f>TiposLancamentos!B4</f>
        <v>Taxas Bancarias</v>
      </c>
      <c r="C376" s="878" t="s">
        <v>10941</v>
      </c>
      <c r="D376" s="63"/>
      <c r="E376" s="231">
        <v>0.43</v>
      </c>
      <c r="F376" s="1016"/>
      <c r="G376" s="1152" t="s">
        <v>9</v>
      </c>
    </row>
    <row r="377" spans="1:7">
      <c r="A377" s="884">
        <v>42731</v>
      </c>
      <c r="B377" s="240" t="str">
        <f>TiposLancamentos!B30</f>
        <v>Cinema</v>
      </c>
      <c r="C377" s="878" t="s">
        <v>10942</v>
      </c>
      <c r="D377" s="63"/>
      <c r="E377" s="231">
        <v>60.52</v>
      </c>
      <c r="F377" s="1016"/>
      <c r="G377" s="1152" t="s">
        <v>9</v>
      </c>
    </row>
    <row r="378" spans="1:7">
      <c r="A378" s="884">
        <v>42731</v>
      </c>
      <c r="B378" s="240" t="str">
        <f>TiposLancamentos!B28</f>
        <v>ComicBook</v>
      </c>
      <c r="C378" s="878" t="s">
        <v>10943</v>
      </c>
      <c r="D378" s="63"/>
      <c r="E378" s="231">
        <v>27.79</v>
      </c>
      <c r="F378" s="1016"/>
      <c r="G378" s="1152" t="s">
        <v>9</v>
      </c>
    </row>
    <row r="379" spans="1:7">
      <c r="A379" s="884">
        <v>43096</v>
      </c>
      <c r="B379" s="240" t="str">
        <f>TiposLancamentos!B4</f>
        <v>Taxas Bancarias</v>
      </c>
      <c r="C379" s="878" t="s">
        <v>10944</v>
      </c>
      <c r="D379" s="63"/>
      <c r="E379" s="231">
        <v>3.13</v>
      </c>
      <c r="F379" s="1016"/>
      <c r="G379" s="1152" t="s">
        <v>9</v>
      </c>
    </row>
    <row r="380" spans="1:7">
      <c r="A380" s="884">
        <v>42732</v>
      </c>
      <c r="B380" s="240" t="str">
        <f>TiposLancamentos!B45</f>
        <v>Online Services</v>
      </c>
      <c r="C380" s="878" t="s">
        <v>1894</v>
      </c>
      <c r="D380" s="63"/>
      <c r="E380" s="231">
        <v>22.9</v>
      </c>
      <c r="F380" s="1016"/>
      <c r="G380" s="1152" t="s">
        <v>9</v>
      </c>
    </row>
    <row r="381" spans="1:7">
      <c r="A381" s="884">
        <v>42732</v>
      </c>
      <c r="B381" s="240" t="str">
        <f>TiposLancamentos!B57</f>
        <v>Informática</v>
      </c>
      <c r="C381" s="878" t="s">
        <v>10945</v>
      </c>
      <c r="D381" s="63"/>
      <c r="E381" s="231">
        <v>128.66</v>
      </c>
      <c r="F381" s="1016">
        <v>386</v>
      </c>
      <c r="G381" s="1152" t="s">
        <v>9</v>
      </c>
    </row>
    <row r="382" spans="1:7">
      <c r="A382" s="884">
        <v>42733</v>
      </c>
      <c r="B382" s="240" t="str">
        <f>TiposLancamentos!B73</f>
        <v>Cursos</v>
      </c>
      <c r="C382" s="878" t="s">
        <v>10946</v>
      </c>
      <c r="D382" s="63"/>
      <c r="E382" s="231">
        <v>400</v>
      </c>
      <c r="F382" s="1016"/>
      <c r="G382" s="1152" t="s">
        <v>9</v>
      </c>
    </row>
    <row r="383" spans="1:7">
      <c r="A383" s="884">
        <v>42734</v>
      </c>
      <c r="B383" s="240" t="str">
        <f>TiposLancamentos!B17</f>
        <v>GATO</v>
      </c>
      <c r="C383" s="878" t="s">
        <v>10947</v>
      </c>
      <c r="D383" s="63"/>
      <c r="E383" s="231">
        <f>F383/6</f>
        <v>299</v>
      </c>
      <c r="F383" s="1016">
        <v>1794</v>
      </c>
      <c r="G383" s="1152" t="s">
        <v>9</v>
      </c>
    </row>
    <row r="384" spans="1:7">
      <c r="A384" s="919">
        <v>42735</v>
      </c>
      <c r="B384" s="830" t="str">
        <f>TiposLancamentos!B38</f>
        <v>Playstation 4</v>
      </c>
      <c r="C384" s="915" t="s">
        <v>10948</v>
      </c>
      <c r="D384" s="917"/>
      <c r="E384" s="1139">
        <v>29.99</v>
      </c>
      <c r="F384" s="1614"/>
      <c r="G384" s="1152" t="s">
        <v>9</v>
      </c>
    </row>
    <row r="385" spans="1:7">
      <c r="A385" s="930">
        <v>42735</v>
      </c>
      <c r="B385" s="825" t="str">
        <f>TiposLancamentos!B38</f>
        <v>Playstation 4</v>
      </c>
      <c r="C385" s="88" t="s">
        <v>10949</v>
      </c>
      <c r="D385" s="828"/>
      <c r="E385" s="1147">
        <v>62.49</v>
      </c>
      <c r="F385" s="1027"/>
      <c r="G385" s="1152" t="s">
        <v>9</v>
      </c>
    </row>
    <row r="386" spans="1:7" ht="14.25" thickBot="1">
      <c r="A386" s="1619">
        <v>43100</v>
      </c>
      <c r="B386" s="1620" t="str">
        <f>TiposLancamentos!B4</f>
        <v>Taxas Bancarias</v>
      </c>
      <c r="C386" s="1621" t="s">
        <v>10950</v>
      </c>
      <c r="D386" s="1622"/>
      <c r="E386" s="1623">
        <v>0.35</v>
      </c>
      <c r="F386" s="1437">
        <f>SUM(E384:E386)</f>
        <v>92.83</v>
      </c>
      <c r="G386" s="1152" t="s">
        <v>9</v>
      </c>
    </row>
    <row r="387" spans="1:7">
      <c r="A387" s="1032"/>
      <c r="B387" s="1230"/>
      <c r="C387" s="906" t="s">
        <v>10951</v>
      </c>
      <c r="D387" s="896"/>
      <c r="E387" s="925"/>
      <c r="F387" s="1034">
        <f>SUM(E334:E363)</f>
        <v>2807.079999999999</v>
      </c>
      <c r="G387" s="3"/>
    </row>
    <row r="388" spans="1:7">
      <c r="A388" s="884">
        <v>42736</v>
      </c>
      <c r="B388" s="240" t="str">
        <f>TiposLancamentos!B57</f>
        <v>Informática</v>
      </c>
      <c r="C388" s="878" t="s">
        <v>10952</v>
      </c>
      <c r="D388" s="63"/>
      <c r="E388" s="231">
        <v>166.19</v>
      </c>
      <c r="F388" s="1016">
        <f>F387-F348</f>
        <v>-928.98000000000138</v>
      </c>
      <c r="G388" s="1152" t="s">
        <v>9</v>
      </c>
    </row>
    <row r="389" spans="1:7">
      <c r="A389" s="884">
        <v>42737</v>
      </c>
      <c r="B389" s="240" t="str">
        <f>TiposLancamentos!B102</f>
        <v>ESTORNO</v>
      </c>
      <c r="C389" s="878" t="s">
        <v>10953</v>
      </c>
      <c r="D389" s="63">
        <v>1.74</v>
      </c>
      <c r="E389" s="231"/>
      <c r="F389" s="1016"/>
      <c r="G389" s="1152" t="s">
        <v>9</v>
      </c>
    </row>
    <row r="390" spans="1:7">
      <c r="A390" s="884">
        <v>42737</v>
      </c>
      <c r="B390" s="240" t="str">
        <f>TiposLancamentos!B15</f>
        <v>Cartões de Crédito</v>
      </c>
      <c r="C390" s="878" t="s">
        <v>10954</v>
      </c>
      <c r="D390" s="63">
        <v>2807.08</v>
      </c>
      <c r="E390" s="231"/>
      <c r="F390" s="1016"/>
      <c r="G390" s="1152" t="s">
        <v>9</v>
      </c>
    </row>
    <row r="391" spans="1:7">
      <c r="A391" s="884">
        <v>42738</v>
      </c>
      <c r="B391" s="240" t="str">
        <f>TiposLancamentos!B19</f>
        <v>Restaurantes</v>
      </c>
      <c r="C391" s="878" t="s">
        <v>10955</v>
      </c>
      <c r="D391" s="63"/>
      <c r="E391" s="231">
        <v>68</v>
      </c>
      <c r="F391" s="1016"/>
      <c r="G391" s="1152" t="s">
        <v>9</v>
      </c>
    </row>
    <row r="392" spans="1:7">
      <c r="A392" s="884">
        <v>42738</v>
      </c>
      <c r="B392" s="240" t="str">
        <f>TiposLancamentos!B70</f>
        <v>Vestuário</v>
      </c>
      <c r="C392" s="878" t="s">
        <v>10956</v>
      </c>
      <c r="D392" s="63"/>
      <c r="E392" s="231">
        <f>F392/3</f>
        <v>273.32333333333332</v>
      </c>
      <c r="F392" s="1016">
        <v>819.97</v>
      </c>
      <c r="G392" s="1152" t="s">
        <v>9</v>
      </c>
    </row>
    <row r="393" spans="1:7">
      <c r="A393" s="884">
        <v>42738</v>
      </c>
      <c r="B393" s="240" t="str">
        <f>TiposLancamentos!B64</f>
        <v>Viagens</v>
      </c>
      <c r="C393" s="878" t="s">
        <v>10957</v>
      </c>
      <c r="D393" s="63"/>
      <c r="E393" s="231">
        <f>F393/3</f>
        <v>113.2</v>
      </c>
      <c r="F393" s="1016">
        <v>339.6</v>
      </c>
      <c r="G393" s="1152" t="s">
        <v>9</v>
      </c>
    </row>
    <row r="394" spans="1:7">
      <c r="A394" s="884">
        <v>42743</v>
      </c>
      <c r="B394" s="240" t="str">
        <f>TiposLancamentos!B45</f>
        <v>Online Services</v>
      </c>
      <c r="C394" s="878" t="s">
        <v>10802</v>
      </c>
      <c r="D394" s="63"/>
      <c r="E394" s="231">
        <v>13.7</v>
      </c>
      <c r="F394" s="1016"/>
      <c r="G394" s="1152" t="s">
        <v>9</v>
      </c>
    </row>
    <row r="395" spans="1:7">
      <c r="A395" s="884">
        <v>42745</v>
      </c>
      <c r="B395" s="240" t="str">
        <f>TiposLancamentos!B87</f>
        <v>P207-1.6-XS</v>
      </c>
      <c r="C395" s="878" t="s">
        <v>10958</v>
      </c>
      <c r="D395" s="63"/>
      <c r="E395" s="231">
        <v>240</v>
      </c>
      <c r="F395" s="1016">
        <v>720</v>
      </c>
      <c r="G395" s="1152" t="s">
        <v>9</v>
      </c>
    </row>
    <row r="396" spans="1:7">
      <c r="A396" s="884">
        <v>42756</v>
      </c>
      <c r="B396" s="240" t="str">
        <f>TiposLancamentos!B65</f>
        <v>Taxi</v>
      </c>
      <c r="C396" s="878" t="s">
        <v>10959</v>
      </c>
      <c r="D396" s="63"/>
      <c r="E396" s="231">
        <v>8.33</v>
      </c>
      <c r="F396" s="1016"/>
      <c r="G396" s="1152" t="s">
        <v>9</v>
      </c>
    </row>
    <row r="397" spans="1:7">
      <c r="A397" s="934"/>
      <c r="B397" s="243"/>
      <c r="C397" s="389" t="s">
        <v>10</v>
      </c>
      <c r="D397" s="146"/>
      <c r="E397" s="146"/>
      <c r="F397" s="1231"/>
      <c r="G397" s="1094" t="s">
        <v>11</v>
      </c>
    </row>
    <row r="398" spans="1:7">
      <c r="A398" s="884">
        <v>42760</v>
      </c>
      <c r="B398" s="240" t="str">
        <f>TiposLancamentos!B71</f>
        <v>Itens Pessoais</v>
      </c>
      <c r="C398" s="878" t="s">
        <v>10960</v>
      </c>
      <c r="D398" s="63"/>
      <c r="E398" s="231">
        <f>F398/10</f>
        <v>148.07</v>
      </c>
      <c r="F398" s="1016">
        <v>1480.7</v>
      </c>
      <c r="G398" s="1152" t="s">
        <v>9</v>
      </c>
    </row>
    <row r="399" spans="1:7">
      <c r="A399" s="884">
        <v>42761</v>
      </c>
      <c r="B399" s="240" t="str">
        <f>TiposLancamentos!B19</f>
        <v>Restaurantes</v>
      </c>
      <c r="C399" s="878" t="s">
        <v>10961</v>
      </c>
      <c r="D399" s="63"/>
      <c r="E399" s="231">
        <v>66.900000000000006</v>
      </c>
      <c r="F399" s="1016"/>
      <c r="G399" s="1152" t="s">
        <v>9</v>
      </c>
    </row>
    <row r="400" spans="1:7">
      <c r="A400" s="884">
        <v>42762</v>
      </c>
      <c r="B400" s="240" t="str">
        <f>TiposLancamentos!B48</f>
        <v>Baralhos e Oráculos</v>
      </c>
      <c r="C400" s="878" t="s">
        <v>10962</v>
      </c>
      <c r="D400" s="63"/>
      <c r="E400" s="231">
        <v>116.1</v>
      </c>
      <c r="F400" s="1016" t="s">
        <v>10963</v>
      </c>
      <c r="G400" s="1152" t="s">
        <v>9</v>
      </c>
    </row>
    <row r="401" spans="1:7">
      <c r="A401" s="884">
        <v>42762</v>
      </c>
      <c r="B401" s="240" t="str">
        <f>TiposLancamentos!B4</f>
        <v>Taxas Bancarias</v>
      </c>
      <c r="C401" s="878" t="s">
        <v>10964</v>
      </c>
      <c r="D401" s="63"/>
      <c r="E401" s="231">
        <v>7.41</v>
      </c>
      <c r="F401" s="1016">
        <f>SUM(E400:E401)</f>
        <v>123.50999999999999</v>
      </c>
      <c r="G401" s="1152" t="s">
        <v>9</v>
      </c>
    </row>
    <row r="402" spans="1:7">
      <c r="A402" s="884">
        <v>42763</v>
      </c>
      <c r="B402" s="240" t="str">
        <f>TiposLancamentos!B45</f>
        <v>Online Services</v>
      </c>
      <c r="C402" s="878" t="s">
        <v>1894</v>
      </c>
      <c r="D402" s="63"/>
      <c r="E402" s="231">
        <v>22.9</v>
      </c>
      <c r="F402" s="1016"/>
      <c r="G402" s="1152" t="s">
        <v>9</v>
      </c>
    </row>
    <row r="403" spans="1:7">
      <c r="A403" s="884">
        <v>42764</v>
      </c>
      <c r="B403" s="240" t="str">
        <f>TiposLancamentos!B57</f>
        <v>Informática</v>
      </c>
      <c r="C403" s="878" t="s">
        <v>10965</v>
      </c>
      <c r="D403" s="63"/>
      <c r="E403" s="231">
        <v>128.66</v>
      </c>
      <c r="F403" s="1016">
        <v>386</v>
      </c>
      <c r="G403" s="1152" t="s">
        <v>9</v>
      </c>
    </row>
    <row r="404" spans="1:7">
      <c r="A404" s="884">
        <v>42765</v>
      </c>
      <c r="B404" s="240" t="str">
        <f>TiposLancamentos!B17</f>
        <v>GATO</v>
      </c>
      <c r="C404" s="878" t="s">
        <v>10966</v>
      </c>
      <c r="D404" s="63"/>
      <c r="E404" s="231">
        <f>F404/6</f>
        <v>299</v>
      </c>
      <c r="F404" s="1016">
        <v>1794</v>
      </c>
      <c r="G404" s="1152" t="s">
        <v>9</v>
      </c>
    </row>
    <row r="405" spans="1:7">
      <c r="A405" s="884">
        <v>42766</v>
      </c>
      <c r="B405" s="240" t="str">
        <f>TiposLancamentos!B45</f>
        <v>Online Services</v>
      </c>
      <c r="C405" s="878" t="s">
        <v>10967</v>
      </c>
      <c r="D405" s="63"/>
      <c r="E405" s="231">
        <v>10</v>
      </c>
      <c r="F405" s="1016"/>
      <c r="G405" s="1152" t="s">
        <v>9</v>
      </c>
    </row>
    <row r="406" spans="1:7">
      <c r="A406" s="884">
        <v>42766</v>
      </c>
      <c r="B406" s="240" t="str">
        <f>TiposLancamentos!B102</f>
        <v>ESTORNO</v>
      </c>
      <c r="C406" s="878" t="s">
        <v>10967</v>
      </c>
      <c r="D406" s="63">
        <v>10</v>
      </c>
      <c r="E406" s="231"/>
      <c r="F406" s="1016"/>
      <c r="G406" s="1152" t="s">
        <v>9</v>
      </c>
    </row>
    <row r="407" spans="1:7" ht="14.25" thickBot="1">
      <c r="A407" s="885">
        <v>42766</v>
      </c>
      <c r="B407" s="1232" t="str">
        <f>TiposLancamentos!B45</f>
        <v>Online Services</v>
      </c>
      <c r="C407" s="1120" t="s">
        <v>1895</v>
      </c>
      <c r="D407" s="903"/>
      <c r="E407" s="928">
        <v>26.9</v>
      </c>
      <c r="F407" s="1036"/>
      <c r="G407" s="1152" t="s">
        <v>9</v>
      </c>
    </row>
    <row r="408" spans="1:7">
      <c r="A408" s="1032"/>
      <c r="B408" s="1230"/>
      <c r="C408" s="906" t="s">
        <v>10968</v>
      </c>
      <c r="D408" s="896"/>
      <c r="E408" s="925"/>
      <c r="F408" s="1034">
        <f>SUM(E365:E396)-D389</f>
        <v>3120.0733333333328</v>
      </c>
      <c r="G408" s="3"/>
    </row>
    <row r="409" spans="1:7">
      <c r="A409" s="884">
        <v>42767</v>
      </c>
      <c r="B409" s="240" t="str">
        <f>TiposLancamentos!B15</f>
        <v>Cartões de Crédito</v>
      </c>
      <c r="C409" s="878" t="s">
        <v>10969</v>
      </c>
      <c r="D409" s="63">
        <v>3120.07</v>
      </c>
      <c r="E409" s="231"/>
      <c r="F409" s="1016">
        <f>F408-F387</f>
        <v>312.99333333333379</v>
      </c>
      <c r="G409" s="1152" t="s">
        <v>9</v>
      </c>
    </row>
    <row r="410" spans="1:7">
      <c r="A410" s="884">
        <v>42767</v>
      </c>
      <c r="B410" s="240" t="str">
        <f>TiposLancamentos!B26</f>
        <v>LIVROS</v>
      </c>
      <c r="C410" s="878" t="s">
        <v>10970</v>
      </c>
      <c r="D410" s="63"/>
      <c r="E410" s="231">
        <v>21.58</v>
      </c>
      <c r="F410" s="1016"/>
      <c r="G410" s="1152" t="s">
        <v>9</v>
      </c>
    </row>
    <row r="411" spans="1:7">
      <c r="A411" s="884">
        <v>42767</v>
      </c>
      <c r="B411" s="240" t="str">
        <f>TiposLancamentos!B102</f>
        <v>ESTORNO</v>
      </c>
      <c r="C411" s="878" t="s">
        <v>10953</v>
      </c>
      <c r="D411" s="63">
        <v>33.85</v>
      </c>
      <c r="E411" s="231"/>
      <c r="F411" s="1016"/>
      <c r="G411" s="1152"/>
    </row>
    <row r="412" spans="1:7">
      <c r="A412" s="884">
        <v>42769</v>
      </c>
      <c r="B412" s="240" t="str">
        <f>TiposLancamentos!B70</f>
        <v>Vestuário</v>
      </c>
      <c r="C412" s="878" t="s">
        <v>10971</v>
      </c>
      <c r="D412" s="63"/>
      <c r="E412" s="231">
        <f>F412/3</f>
        <v>273.32333333333332</v>
      </c>
      <c r="F412" s="1016">
        <v>819.97</v>
      </c>
      <c r="G412" s="1152" t="s">
        <v>9</v>
      </c>
    </row>
    <row r="413" spans="1:7">
      <c r="A413" s="884">
        <v>42769</v>
      </c>
      <c r="B413" s="240" t="str">
        <f>TiposLancamentos!B64</f>
        <v>Viagens</v>
      </c>
      <c r="C413" s="878" t="s">
        <v>10972</v>
      </c>
      <c r="D413" s="63"/>
      <c r="E413" s="231">
        <f>F413/3</f>
        <v>113.2</v>
      </c>
      <c r="F413" s="1016">
        <v>339.6</v>
      </c>
      <c r="G413" s="1152" t="s">
        <v>9</v>
      </c>
    </row>
    <row r="414" spans="1:7">
      <c r="A414" s="884">
        <v>42775</v>
      </c>
      <c r="B414" s="240" t="str">
        <f>TiposLancamentos!B19</f>
        <v>Restaurantes</v>
      </c>
      <c r="C414" s="878" t="s">
        <v>10047</v>
      </c>
      <c r="D414" s="63"/>
      <c r="E414" s="231">
        <v>68</v>
      </c>
      <c r="F414" s="1016"/>
      <c r="G414" s="1152" t="s">
        <v>9</v>
      </c>
    </row>
    <row r="415" spans="1:7">
      <c r="A415" s="884">
        <v>42776</v>
      </c>
      <c r="B415" s="240" t="str">
        <f>TiposLancamentos!B19</f>
        <v>Restaurantes</v>
      </c>
      <c r="C415" s="878" t="s">
        <v>10973</v>
      </c>
      <c r="D415" s="63"/>
      <c r="E415" s="231">
        <v>140.80000000000001</v>
      </c>
      <c r="F415" s="1016"/>
      <c r="G415" s="1152" t="s">
        <v>9</v>
      </c>
    </row>
    <row r="416" spans="1:7">
      <c r="A416" s="884">
        <v>42777</v>
      </c>
      <c r="B416" s="240" t="str">
        <f>TiposLancamentos!B16</f>
        <v>Cristiane</v>
      </c>
      <c r="C416" s="878" t="s">
        <v>10974</v>
      </c>
      <c r="D416" s="63"/>
      <c r="E416" s="231">
        <v>49.99</v>
      </c>
      <c r="F416" s="1016"/>
      <c r="G416" s="1152" t="s">
        <v>9</v>
      </c>
    </row>
    <row r="417" spans="1:7">
      <c r="A417" s="884">
        <v>42777</v>
      </c>
      <c r="B417" s="240" t="str">
        <f>TiposLancamentos!B19</f>
        <v>Restaurantes</v>
      </c>
      <c r="C417" s="878" t="s">
        <v>10975</v>
      </c>
      <c r="D417" s="63"/>
      <c r="E417" s="231">
        <v>131.56</v>
      </c>
      <c r="F417" s="1016"/>
      <c r="G417" s="1152" t="s">
        <v>9</v>
      </c>
    </row>
    <row r="418" spans="1:7">
      <c r="A418" s="884">
        <v>42778</v>
      </c>
      <c r="B418" s="240" t="str">
        <f>TiposLancamentos!B17</f>
        <v>GATO</v>
      </c>
      <c r="C418" s="878" t="s">
        <v>10976</v>
      </c>
      <c r="D418" s="63"/>
      <c r="E418" s="231">
        <v>43.45</v>
      </c>
      <c r="F418" s="1016"/>
      <c r="G418" s="1152" t="s">
        <v>9</v>
      </c>
    </row>
    <row r="419" spans="1:7">
      <c r="A419" s="884">
        <v>42778</v>
      </c>
      <c r="B419" s="240" t="str">
        <f>TiposLancamentos!B19</f>
        <v>Restaurantes</v>
      </c>
      <c r="C419" s="878" t="s">
        <v>10977</v>
      </c>
      <c r="D419" s="63"/>
      <c r="E419" s="231">
        <v>71.400000000000006</v>
      </c>
      <c r="F419" s="1016"/>
      <c r="G419" s="1152" t="s">
        <v>9</v>
      </c>
    </row>
    <row r="420" spans="1:7">
      <c r="A420" s="884">
        <v>42778</v>
      </c>
      <c r="B420" s="240" t="str">
        <f>TiposLancamentos!B19</f>
        <v>Restaurantes</v>
      </c>
      <c r="C420" s="878" t="s">
        <v>10978</v>
      </c>
      <c r="D420" s="63"/>
      <c r="E420" s="231">
        <v>20.68</v>
      </c>
      <c r="F420" s="1016"/>
      <c r="G420" s="1152" t="s">
        <v>9</v>
      </c>
    </row>
    <row r="421" spans="1:7">
      <c r="A421" s="884">
        <v>42779</v>
      </c>
      <c r="B421" s="240" t="str">
        <f>TiposLancamentos!B56</f>
        <v>Farmácia</v>
      </c>
      <c r="C421" s="878" t="s">
        <v>10979</v>
      </c>
      <c r="D421" s="63"/>
      <c r="E421" s="231">
        <v>12.08</v>
      </c>
      <c r="F421" s="1016"/>
      <c r="G421" s="1152" t="s">
        <v>9</v>
      </c>
    </row>
    <row r="422" spans="1:7">
      <c r="A422" s="884">
        <v>42779</v>
      </c>
      <c r="B422" s="240" t="str">
        <f>TiposLancamentos!B5</f>
        <v>Supermercado</v>
      </c>
      <c r="C422" s="878" t="s">
        <v>6234</v>
      </c>
      <c r="D422" s="63"/>
      <c r="E422" s="231">
        <v>50.21</v>
      </c>
      <c r="F422" s="1016"/>
      <c r="G422" s="1152" t="s">
        <v>9</v>
      </c>
    </row>
    <row r="423" spans="1:7">
      <c r="A423" s="884">
        <v>42779</v>
      </c>
      <c r="B423" s="240" t="str">
        <f>TiposLancamentos!B26</f>
        <v>LIVROS</v>
      </c>
      <c r="C423" s="878" t="s">
        <v>10980</v>
      </c>
      <c r="D423" s="63"/>
      <c r="E423" s="231">
        <v>35.79</v>
      </c>
      <c r="F423" s="1016"/>
      <c r="G423" s="1152" t="s">
        <v>9</v>
      </c>
    </row>
    <row r="424" spans="1:7">
      <c r="A424" s="884">
        <v>42780</v>
      </c>
      <c r="B424" s="240" t="str">
        <f>TiposLancamentos!B29</f>
        <v>Mangá</v>
      </c>
      <c r="C424" s="878" t="s">
        <v>10981</v>
      </c>
      <c r="D424" s="63"/>
      <c r="E424" s="231">
        <v>13.9</v>
      </c>
      <c r="F424" s="1016"/>
      <c r="G424" s="1152" t="s">
        <v>9</v>
      </c>
    </row>
    <row r="425" spans="1:7">
      <c r="A425" s="884">
        <v>42780</v>
      </c>
      <c r="B425" s="240" t="str">
        <f>TiposLancamentos!B19</f>
        <v>Restaurantes</v>
      </c>
      <c r="C425" s="878" t="s">
        <v>10982</v>
      </c>
      <c r="D425" s="63"/>
      <c r="E425" s="231">
        <v>44</v>
      </c>
      <c r="F425" s="1016"/>
      <c r="G425" s="1152" t="s">
        <v>9</v>
      </c>
    </row>
    <row r="426" spans="1:7">
      <c r="A426" s="884">
        <v>42782</v>
      </c>
      <c r="B426" s="240" t="str">
        <f>TiposLancamentos!B16</f>
        <v>Cristiane</v>
      </c>
      <c r="C426" s="878" t="s">
        <v>10983</v>
      </c>
      <c r="D426" s="63"/>
      <c r="E426" s="231">
        <f>F426/6</f>
        <v>463.17</v>
      </c>
      <c r="F426" s="1016">
        <v>2779.02</v>
      </c>
      <c r="G426" s="1152" t="s">
        <v>9</v>
      </c>
    </row>
    <row r="427" spans="1:7">
      <c r="A427" s="884">
        <v>42783</v>
      </c>
      <c r="B427" s="240" t="str">
        <f>TiposLancamentos!B57</f>
        <v>Informática</v>
      </c>
      <c r="C427" s="878" t="s">
        <v>10984</v>
      </c>
      <c r="D427" s="63"/>
      <c r="E427" s="231">
        <v>3.18</v>
      </c>
      <c r="F427" s="1016" t="s">
        <v>10768</v>
      </c>
      <c r="G427" s="1152" t="s">
        <v>9</v>
      </c>
    </row>
    <row r="428" spans="1:7">
      <c r="A428" s="884">
        <v>42783</v>
      </c>
      <c r="B428" s="240" t="str">
        <f>TiposLancamentos!B4</f>
        <v>Taxas Bancarias</v>
      </c>
      <c r="C428" s="878" t="s">
        <v>10985</v>
      </c>
      <c r="D428" s="63"/>
      <c r="E428" s="231">
        <v>0.2</v>
      </c>
      <c r="F428" s="1016"/>
      <c r="G428" s="1152" t="s">
        <v>9</v>
      </c>
    </row>
    <row r="429" spans="1:7">
      <c r="A429" s="934"/>
      <c r="B429" s="243"/>
      <c r="C429" s="389" t="s">
        <v>10</v>
      </c>
      <c r="D429" s="146"/>
      <c r="E429" s="146"/>
      <c r="F429" s="1231"/>
      <c r="G429" s="1094" t="s">
        <v>11</v>
      </c>
    </row>
    <row r="430" spans="1:7">
      <c r="A430" s="884">
        <v>42788</v>
      </c>
      <c r="B430" s="240" t="str">
        <f>TiposLancamentos!B26</f>
        <v>LIVROS</v>
      </c>
      <c r="C430" s="878" t="s">
        <v>10986</v>
      </c>
      <c r="D430" s="63"/>
      <c r="E430" s="231">
        <v>73.260000000000005</v>
      </c>
      <c r="F430" s="1016"/>
      <c r="G430" s="1152" t="s">
        <v>9</v>
      </c>
    </row>
    <row r="431" spans="1:7">
      <c r="A431" s="884">
        <v>42789</v>
      </c>
      <c r="B431" s="240" t="str">
        <f>TiposLancamentos!B26</f>
        <v>LIVROS</v>
      </c>
      <c r="C431" s="878" t="s">
        <v>10987</v>
      </c>
      <c r="D431" s="63"/>
      <c r="E431" s="231">
        <v>82.2</v>
      </c>
      <c r="F431" s="1016"/>
      <c r="G431" s="1152" t="s">
        <v>9</v>
      </c>
    </row>
    <row r="432" spans="1:7">
      <c r="A432" s="884">
        <v>42791</v>
      </c>
      <c r="B432" s="240" t="str">
        <f>TiposLancamentos!B71</f>
        <v>Itens Pessoais</v>
      </c>
      <c r="C432" s="878" t="s">
        <v>10988</v>
      </c>
      <c r="D432" s="63"/>
      <c r="E432" s="231">
        <f>F432/10</f>
        <v>148.07</v>
      </c>
      <c r="F432" s="1016">
        <v>1480.7</v>
      </c>
      <c r="G432" s="1152" t="s">
        <v>9</v>
      </c>
    </row>
    <row r="433" spans="1:7">
      <c r="A433" s="884">
        <v>42792</v>
      </c>
      <c r="B433" s="240" t="str">
        <f>TiposLancamentos!B19</f>
        <v>Restaurantes</v>
      </c>
      <c r="C433" s="878" t="s">
        <v>10989</v>
      </c>
      <c r="D433" s="63"/>
      <c r="E433" s="231">
        <v>66.900000000000006</v>
      </c>
      <c r="F433" s="1016"/>
      <c r="G433" s="1152" t="s">
        <v>9</v>
      </c>
    </row>
    <row r="434" spans="1:7" ht="14.25" thickBot="1">
      <c r="A434" s="885">
        <v>42794</v>
      </c>
      <c r="B434" s="1232" t="str">
        <f>TiposLancamentos!B45</f>
        <v>Online Services</v>
      </c>
      <c r="C434" s="1120" t="s">
        <v>1894</v>
      </c>
      <c r="D434" s="903"/>
      <c r="E434" s="928">
        <v>22.9</v>
      </c>
      <c r="F434" s="1036"/>
      <c r="G434" s="1152" t="s">
        <v>9</v>
      </c>
    </row>
    <row r="435" spans="1:7">
      <c r="A435" s="1032"/>
      <c r="B435" s="1230"/>
      <c r="C435" s="906" t="s">
        <v>10990</v>
      </c>
      <c r="D435" s="896"/>
      <c r="E435" s="925"/>
      <c r="F435" s="1034">
        <f>SUM(E398:E428)-D406-D411</f>
        <v>2338.603333333333</v>
      </c>
      <c r="G435" s="3"/>
    </row>
    <row r="436" spans="1:7">
      <c r="A436" s="884">
        <v>42795</v>
      </c>
      <c r="B436" s="240" t="str">
        <f>TiposLancamentos!B15</f>
        <v>Cartões de Crédito</v>
      </c>
      <c r="C436" s="878" t="s">
        <v>1874</v>
      </c>
      <c r="D436" s="63">
        <v>2338.6</v>
      </c>
      <c r="E436" s="231"/>
      <c r="F436" s="1016">
        <f>F435-F408</f>
        <v>-781.4699999999998</v>
      </c>
      <c r="G436" s="1152" t="s">
        <v>9</v>
      </c>
    </row>
    <row r="437" spans="1:7">
      <c r="A437" s="884">
        <v>42795</v>
      </c>
      <c r="B437" s="240" t="str">
        <f>TiposLancamentos!B45</f>
        <v>Online Services</v>
      </c>
      <c r="C437" s="878" t="s">
        <v>1895</v>
      </c>
      <c r="D437" s="63"/>
      <c r="E437" s="231">
        <v>26.9</v>
      </c>
      <c r="F437" s="1016"/>
      <c r="G437" s="1152" t="s">
        <v>9</v>
      </c>
    </row>
    <row r="438" spans="1:7">
      <c r="A438" s="884">
        <v>42795</v>
      </c>
      <c r="B438" s="240" t="str">
        <f>TiposLancamentos!B88</f>
        <v>Ford Ecosport XLT</v>
      </c>
      <c r="C438" s="878" t="s">
        <v>10991</v>
      </c>
      <c r="D438" s="63"/>
      <c r="E438" s="231">
        <v>219.9</v>
      </c>
      <c r="F438" s="1016"/>
      <c r="G438" s="1152" t="s">
        <v>9</v>
      </c>
    </row>
    <row r="439" spans="1:7">
      <c r="A439" s="884">
        <v>42795</v>
      </c>
      <c r="B439" s="240" t="str">
        <f>TiposLancamentos!B102</f>
        <v>ESTORNO</v>
      </c>
      <c r="C439" s="878" t="s">
        <v>10992</v>
      </c>
      <c r="D439" s="63">
        <v>2.4700000000000002</v>
      </c>
      <c r="E439" s="231"/>
      <c r="F439" s="1016"/>
      <c r="G439" s="1152" t="s">
        <v>9</v>
      </c>
    </row>
    <row r="440" spans="1:7">
      <c r="A440" s="884">
        <v>42796</v>
      </c>
      <c r="B440" s="240" t="str">
        <f>TiposLancamentos!B57</f>
        <v>Informática</v>
      </c>
      <c r="C440" s="878" t="s">
        <v>10993</v>
      </c>
      <c r="D440" s="63"/>
      <c r="E440" s="231">
        <v>40.79</v>
      </c>
      <c r="F440" s="1016"/>
      <c r="G440" s="1152" t="s">
        <v>9</v>
      </c>
    </row>
    <row r="441" spans="1:7">
      <c r="A441" s="884">
        <v>42797</v>
      </c>
      <c r="B441" s="240" t="str">
        <f>TiposLancamentos!B56</f>
        <v>Farmácia</v>
      </c>
      <c r="C441" s="878" t="s">
        <v>10994</v>
      </c>
      <c r="D441" s="63"/>
      <c r="E441" s="231">
        <v>46.68</v>
      </c>
      <c r="F441" s="1016"/>
      <c r="G441" s="1152" t="s">
        <v>9</v>
      </c>
    </row>
    <row r="442" spans="1:7">
      <c r="A442" s="884">
        <v>42797</v>
      </c>
      <c r="B442" s="240" t="str">
        <f>TiposLancamentos!B56</f>
        <v>Farmácia</v>
      </c>
      <c r="C442" s="878" t="s">
        <v>6118</v>
      </c>
      <c r="D442" s="63"/>
      <c r="E442" s="231">
        <v>73.180000000000007</v>
      </c>
      <c r="F442" s="1016"/>
      <c r="G442" s="1152" t="s">
        <v>9</v>
      </c>
    </row>
    <row r="443" spans="1:7">
      <c r="A443" s="884">
        <v>42797</v>
      </c>
      <c r="B443" s="240" t="str">
        <f>TiposLancamentos!B19</f>
        <v>Restaurantes</v>
      </c>
      <c r="C443" s="878" t="s">
        <v>10995</v>
      </c>
      <c r="D443" s="63"/>
      <c r="E443" s="231">
        <v>137.05000000000001</v>
      </c>
      <c r="F443" s="1016"/>
      <c r="G443" s="1152" t="s">
        <v>9</v>
      </c>
    </row>
    <row r="444" spans="1:7">
      <c r="A444" s="858">
        <v>42798</v>
      </c>
      <c r="B444" s="822" t="str">
        <f>TiposLancamentos!B71</f>
        <v>Itens Pessoais</v>
      </c>
      <c r="C444" s="808" t="s">
        <v>10996</v>
      </c>
      <c r="D444" s="747"/>
      <c r="E444" s="1139">
        <v>83</v>
      </c>
      <c r="F444" s="1145"/>
      <c r="G444" s="1152" t="s">
        <v>9</v>
      </c>
    </row>
    <row r="445" spans="1:7">
      <c r="A445" s="862">
        <v>42798</v>
      </c>
      <c r="B445" s="823" t="str">
        <f>TiposLancamentos!B16</f>
        <v>Cristiane</v>
      </c>
      <c r="C445" s="812" t="s">
        <v>10997</v>
      </c>
      <c r="D445" s="849"/>
      <c r="E445" s="1141">
        <v>20</v>
      </c>
      <c r="F445" s="1146">
        <f>SUM(E444:E445)</f>
        <v>103</v>
      </c>
      <c r="G445" s="1152" t="s">
        <v>9</v>
      </c>
    </row>
    <row r="446" spans="1:7">
      <c r="A446" s="884">
        <v>42798</v>
      </c>
      <c r="B446" s="240" t="str">
        <f>TiposLancamentos!B19</f>
        <v>Restaurantes</v>
      </c>
      <c r="C446" s="878" t="s">
        <v>7827</v>
      </c>
      <c r="D446" s="63"/>
      <c r="E446" s="231">
        <v>85.8</v>
      </c>
      <c r="F446" s="1016"/>
      <c r="G446" s="1152" t="s">
        <v>9</v>
      </c>
    </row>
    <row r="447" spans="1:7">
      <c r="A447" s="884">
        <v>42799</v>
      </c>
      <c r="B447" s="240" t="str">
        <f>TiposLancamentos!B19</f>
        <v>Restaurantes</v>
      </c>
      <c r="C447" s="878" t="s">
        <v>10998</v>
      </c>
      <c r="D447" s="63"/>
      <c r="E447" s="231">
        <v>145.63999999999999</v>
      </c>
      <c r="F447" s="1016"/>
      <c r="G447" s="1152" t="s">
        <v>9</v>
      </c>
    </row>
    <row r="448" spans="1:7">
      <c r="A448" s="884">
        <v>42800</v>
      </c>
      <c r="B448" s="240" t="str">
        <f>TiposLancamentos!B30</f>
        <v>Cinema</v>
      </c>
      <c r="C448" s="878" t="s">
        <v>10999</v>
      </c>
      <c r="D448" s="63"/>
      <c r="E448" s="231">
        <v>40.799999999999997</v>
      </c>
      <c r="F448" s="1016"/>
      <c r="G448" s="1152" t="s">
        <v>9</v>
      </c>
    </row>
    <row r="449" spans="1:7">
      <c r="A449" s="884">
        <v>42800</v>
      </c>
      <c r="B449" s="240" t="str">
        <f>TiposLancamentos!B19</f>
        <v>Restaurantes</v>
      </c>
      <c r="C449" s="878" t="s">
        <v>11000</v>
      </c>
      <c r="D449" s="63"/>
      <c r="E449" s="231">
        <v>45.8</v>
      </c>
      <c r="F449" s="1016"/>
      <c r="G449" s="1152" t="s">
        <v>9</v>
      </c>
    </row>
    <row r="450" spans="1:7">
      <c r="A450" s="884">
        <v>42802</v>
      </c>
      <c r="B450" s="240" t="str">
        <f>TiposLancamentos!B19</f>
        <v>Restaurantes</v>
      </c>
      <c r="C450" s="878" t="s">
        <v>10866</v>
      </c>
      <c r="D450" s="63"/>
      <c r="E450" s="231">
        <v>113.52</v>
      </c>
      <c r="F450" s="1016"/>
      <c r="G450" s="1152" t="s">
        <v>9</v>
      </c>
    </row>
    <row r="451" spans="1:7">
      <c r="A451" s="884">
        <v>42803</v>
      </c>
      <c r="B451" s="240" t="str">
        <f>TiposLancamentos!B17</f>
        <v>GATO</v>
      </c>
      <c r="C451" s="878" t="s">
        <v>11001</v>
      </c>
      <c r="D451" s="63"/>
      <c r="E451" s="231">
        <v>113.77</v>
      </c>
      <c r="F451" s="1016"/>
      <c r="G451" s="1152" t="s">
        <v>9</v>
      </c>
    </row>
    <row r="452" spans="1:7">
      <c r="A452" s="884">
        <v>42804</v>
      </c>
      <c r="B452" s="240" t="str">
        <f>TiposLancamentos!B5</f>
        <v>Supermercado</v>
      </c>
      <c r="C452" s="878" t="s">
        <v>6234</v>
      </c>
      <c r="D452" s="63"/>
      <c r="E452" s="231"/>
      <c r="F452" s="1016">
        <v>367.63</v>
      </c>
      <c r="G452" s="1094" t="s">
        <v>11</v>
      </c>
    </row>
    <row r="453" spans="1:7">
      <c r="A453" s="884">
        <v>42804</v>
      </c>
      <c r="B453" s="240" t="str">
        <f>TiposLancamentos!B19</f>
        <v>Restaurantes</v>
      </c>
      <c r="C453" s="878" t="s">
        <v>10047</v>
      </c>
      <c r="D453" s="63"/>
      <c r="E453" s="231">
        <v>68</v>
      </c>
      <c r="F453" s="1016"/>
      <c r="G453" s="1152" t="s">
        <v>9</v>
      </c>
    </row>
    <row r="454" spans="1:7">
      <c r="A454" s="884">
        <v>42805</v>
      </c>
      <c r="B454" s="240" t="str">
        <f>TiposLancamentos!B16</f>
        <v>Cristiane</v>
      </c>
      <c r="C454" s="878" t="s">
        <v>11002</v>
      </c>
      <c r="D454" s="63"/>
      <c r="E454" s="231">
        <v>15</v>
      </c>
      <c r="F454" s="1016"/>
      <c r="G454" s="1152" t="s">
        <v>9</v>
      </c>
    </row>
    <row r="455" spans="1:7">
      <c r="A455" s="884">
        <v>42806</v>
      </c>
      <c r="B455" s="240" t="str">
        <f>TiposLancamentos!B19</f>
        <v>Restaurantes</v>
      </c>
      <c r="C455" s="878" t="s">
        <v>11003</v>
      </c>
      <c r="D455" s="63"/>
      <c r="E455" s="231">
        <v>156.19999999999999</v>
      </c>
      <c r="F455" s="1016"/>
      <c r="G455" s="1152" t="s">
        <v>9</v>
      </c>
    </row>
    <row r="456" spans="1:7">
      <c r="A456" s="884">
        <v>42806</v>
      </c>
      <c r="B456" s="240" t="str">
        <f>TiposLancamentos!B5</f>
        <v>Supermercado</v>
      </c>
      <c r="C456" s="878" t="s">
        <v>6234</v>
      </c>
      <c r="D456" s="63"/>
      <c r="E456" s="231">
        <v>96.09</v>
      </c>
      <c r="F456" s="1016"/>
      <c r="G456" s="1152" t="s">
        <v>9</v>
      </c>
    </row>
    <row r="457" spans="1:7">
      <c r="A457" s="884">
        <v>42807</v>
      </c>
      <c r="B457" s="240" t="str">
        <f>TiposLancamentos!B5</f>
        <v>Supermercado</v>
      </c>
      <c r="C457" s="878" t="s">
        <v>6234</v>
      </c>
      <c r="D457" s="63"/>
      <c r="E457" s="231">
        <v>37.630000000000003</v>
      </c>
      <c r="F457" s="1016"/>
      <c r="G457" s="1152" t="s">
        <v>9</v>
      </c>
    </row>
    <row r="458" spans="1:7">
      <c r="A458" s="884">
        <v>42808</v>
      </c>
      <c r="B458" s="240" t="str">
        <f>TiposLancamentos!B71</f>
        <v>Itens Pessoais</v>
      </c>
      <c r="C458" s="878" t="s">
        <v>1964</v>
      </c>
      <c r="D458" s="63"/>
      <c r="E458" s="231">
        <v>25</v>
      </c>
      <c r="F458" s="1016"/>
      <c r="G458" s="1152" t="s">
        <v>9</v>
      </c>
    </row>
    <row r="459" spans="1:7">
      <c r="A459" s="884">
        <v>42808</v>
      </c>
      <c r="B459" s="240" t="str">
        <f>TiposLancamentos!B31</f>
        <v>Action Figures</v>
      </c>
      <c r="C459" s="878" t="s">
        <v>11004</v>
      </c>
      <c r="D459" s="63"/>
      <c r="E459" s="231">
        <v>183.2</v>
      </c>
      <c r="F459" s="1016"/>
      <c r="G459" s="1152" t="s">
        <v>9</v>
      </c>
    </row>
    <row r="460" spans="1:7">
      <c r="A460" s="884">
        <v>42810</v>
      </c>
      <c r="B460" s="240" t="str">
        <f>TiposLancamentos!B48</f>
        <v>Baralhos e Oráculos</v>
      </c>
      <c r="C460" s="1624" t="s">
        <v>11005</v>
      </c>
      <c r="D460" s="63"/>
      <c r="E460" s="231">
        <v>61.02</v>
      </c>
      <c r="F460" s="1016"/>
      <c r="G460" s="1152" t="s">
        <v>9</v>
      </c>
    </row>
    <row r="461" spans="1:7">
      <c r="A461" s="884">
        <v>42810</v>
      </c>
      <c r="B461" s="240" t="str">
        <f>TiposLancamentos!B16</f>
        <v>Cristiane</v>
      </c>
      <c r="C461" s="878" t="s">
        <v>11006</v>
      </c>
      <c r="D461" s="63"/>
      <c r="E461" s="231">
        <f>F461/6</f>
        <v>463.17</v>
      </c>
      <c r="F461" s="1016">
        <v>2779.02</v>
      </c>
      <c r="G461" s="1152" t="s">
        <v>9</v>
      </c>
    </row>
    <row r="462" spans="1:7">
      <c r="A462" s="884">
        <v>42810</v>
      </c>
      <c r="B462" s="240" t="str">
        <f>TiposLancamentos!B19</f>
        <v>Restaurantes</v>
      </c>
      <c r="C462" s="878" t="s">
        <v>11007</v>
      </c>
      <c r="D462" s="63"/>
      <c r="E462" s="231">
        <v>89.87</v>
      </c>
      <c r="F462" s="1016"/>
      <c r="G462" s="1152" t="s">
        <v>9</v>
      </c>
    </row>
    <row r="463" spans="1:7">
      <c r="A463" s="884">
        <v>42811</v>
      </c>
      <c r="B463" s="240" t="str">
        <f>TiposLancamentos!B19</f>
        <v>Restaurantes</v>
      </c>
      <c r="C463" s="878" t="s">
        <v>11008</v>
      </c>
      <c r="D463" s="63"/>
      <c r="E463" s="231">
        <v>165</v>
      </c>
      <c r="F463" s="1016"/>
      <c r="G463" s="1152" t="s">
        <v>9</v>
      </c>
    </row>
    <row r="464" spans="1:7">
      <c r="A464" s="884">
        <v>42812</v>
      </c>
      <c r="B464" s="240" t="str">
        <f>TiposLancamentos!B19</f>
        <v>Restaurantes</v>
      </c>
      <c r="C464" s="878" t="s">
        <v>11009</v>
      </c>
      <c r="D464" s="63"/>
      <c r="E464" s="231">
        <v>131.88999999999999</v>
      </c>
      <c r="F464" s="1016"/>
      <c r="G464" s="1152" t="s">
        <v>9</v>
      </c>
    </row>
    <row r="465" spans="1:7">
      <c r="A465" s="884">
        <v>42812</v>
      </c>
      <c r="B465" s="240" t="str">
        <f>TiposLancamentos!B5</f>
        <v>Supermercado</v>
      </c>
      <c r="C465" s="878" t="s">
        <v>11010</v>
      </c>
      <c r="D465" s="63"/>
      <c r="E465" s="231">
        <v>53.53</v>
      </c>
      <c r="F465" s="1016"/>
      <c r="G465" s="1152" t="s">
        <v>9</v>
      </c>
    </row>
    <row r="466" spans="1:7">
      <c r="A466" s="884">
        <v>42813</v>
      </c>
      <c r="B466" s="240" t="str">
        <f>TiposLancamentos!B16</f>
        <v>Cristiane</v>
      </c>
      <c r="C466" s="878" t="s">
        <v>11011</v>
      </c>
      <c r="D466" s="63"/>
      <c r="E466" s="231">
        <v>23.73</v>
      </c>
      <c r="F466" s="1016"/>
      <c r="G466" s="1152" t="s">
        <v>9</v>
      </c>
    </row>
    <row r="467" spans="1:7">
      <c r="A467" s="884">
        <v>42813</v>
      </c>
      <c r="B467" s="240" t="str">
        <f>TiposLancamentos!B19</f>
        <v>Restaurantes</v>
      </c>
      <c r="C467" s="878" t="s">
        <v>11012</v>
      </c>
      <c r="D467" s="63"/>
      <c r="E467" s="231">
        <v>159.38999999999999</v>
      </c>
      <c r="F467" s="1016"/>
      <c r="G467" s="1152" t="s">
        <v>9</v>
      </c>
    </row>
    <row r="468" spans="1:7">
      <c r="A468" s="884">
        <v>42813</v>
      </c>
      <c r="B468" s="240" t="str">
        <f>TiposLancamentos!B70</f>
        <v>Vestuário</v>
      </c>
      <c r="C468" s="878" t="s">
        <v>11013</v>
      </c>
      <c r="D468" s="63"/>
      <c r="E468" s="231">
        <f>F468/3</f>
        <v>143.29999999999998</v>
      </c>
      <c r="F468" s="1016">
        <v>429.9</v>
      </c>
      <c r="G468" s="1152" t="s">
        <v>9</v>
      </c>
    </row>
    <row r="469" spans="1:7">
      <c r="A469" s="884">
        <v>42813</v>
      </c>
      <c r="B469" s="240" t="str">
        <f>TiposLancamentos!B16</f>
        <v>Cristiane</v>
      </c>
      <c r="C469" s="878" t="s">
        <v>11014</v>
      </c>
      <c r="D469" s="63"/>
      <c r="E469" s="231">
        <v>179</v>
      </c>
      <c r="F469" s="1016"/>
      <c r="G469" s="1152" t="s">
        <v>9</v>
      </c>
    </row>
    <row r="470" spans="1:7">
      <c r="A470" s="884">
        <v>42813</v>
      </c>
      <c r="B470" s="240" t="str">
        <f>TiposLancamentos!B5</f>
        <v>Supermercado</v>
      </c>
      <c r="C470" s="878" t="s">
        <v>6234</v>
      </c>
      <c r="D470" s="63"/>
      <c r="E470" s="231">
        <v>88.63</v>
      </c>
      <c r="F470" s="1016"/>
      <c r="G470" s="1152" t="s">
        <v>9</v>
      </c>
    </row>
    <row r="471" spans="1:7">
      <c r="A471" s="884">
        <v>42814</v>
      </c>
      <c r="B471" s="240" t="str">
        <f>TiposLancamentos!B17</f>
        <v>GATO</v>
      </c>
      <c r="C471" s="878" t="s">
        <v>11015</v>
      </c>
      <c r="D471" s="63"/>
      <c r="E471" s="231">
        <v>105.98</v>
      </c>
      <c r="F471" s="1016"/>
      <c r="G471" s="1152" t="s">
        <v>9</v>
      </c>
    </row>
    <row r="472" spans="1:7">
      <c r="A472" s="884">
        <v>42815</v>
      </c>
      <c r="B472" s="240" t="str">
        <f>TiposLancamentos!B19</f>
        <v>Restaurantes</v>
      </c>
      <c r="C472" s="878" t="s">
        <v>11016</v>
      </c>
      <c r="D472" s="63"/>
      <c r="E472" s="231">
        <v>38.5</v>
      </c>
      <c r="F472" s="1016"/>
      <c r="G472" s="1152" t="s">
        <v>9</v>
      </c>
    </row>
    <row r="473" spans="1:7">
      <c r="A473" s="884">
        <v>42815</v>
      </c>
      <c r="B473" s="240" t="str">
        <f>TiposLancamentos!B13</f>
        <v>Moradia</v>
      </c>
      <c r="C473" s="878" t="s">
        <v>11017</v>
      </c>
      <c r="D473" s="63"/>
      <c r="E473" s="231">
        <v>97.1</v>
      </c>
      <c r="F473" s="1016"/>
      <c r="G473" s="1152" t="s">
        <v>9</v>
      </c>
    </row>
    <row r="474" spans="1:7">
      <c r="A474" s="884">
        <v>42815</v>
      </c>
      <c r="B474" s="240" t="str">
        <f>TiposLancamentos!B70</f>
        <v>Vestuário</v>
      </c>
      <c r="C474" s="878" t="s">
        <v>11018</v>
      </c>
      <c r="D474" s="63"/>
      <c r="E474" s="231">
        <v>142.91</v>
      </c>
      <c r="F474" s="1016"/>
      <c r="G474" s="1152" t="s">
        <v>9</v>
      </c>
    </row>
    <row r="475" spans="1:7">
      <c r="A475" s="884">
        <v>42815</v>
      </c>
      <c r="B475" s="240" t="str">
        <f>TiposLancamentos!B5</f>
        <v>Supermercado</v>
      </c>
      <c r="C475" s="878" t="s">
        <v>6234</v>
      </c>
      <c r="D475" s="63"/>
      <c r="E475" s="231">
        <v>80.77</v>
      </c>
      <c r="F475" s="1016"/>
      <c r="G475" s="1152" t="s">
        <v>9</v>
      </c>
    </row>
    <row r="476" spans="1:7">
      <c r="A476" s="934"/>
      <c r="B476" s="243"/>
      <c r="C476" s="389" t="s">
        <v>10</v>
      </c>
      <c r="D476" s="146"/>
      <c r="E476" s="146"/>
      <c r="F476" s="1231"/>
      <c r="G476" s="1094" t="s">
        <v>11</v>
      </c>
    </row>
    <row r="477" spans="1:7">
      <c r="A477" s="884">
        <v>42819</v>
      </c>
      <c r="B477" s="240" t="str">
        <f>TiposLancamentos!B71</f>
        <v>Itens Pessoais</v>
      </c>
      <c r="C477" s="878" t="s">
        <v>11019</v>
      </c>
      <c r="D477" s="63"/>
      <c r="E477" s="231">
        <f>F477/10</f>
        <v>148.07</v>
      </c>
      <c r="F477" s="1016">
        <v>1480.7</v>
      </c>
      <c r="G477" s="1152" t="s">
        <v>9</v>
      </c>
    </row>
    <row r="478" spans="1:7">
      <c r="A478" s="884">
        <v>42819</v>
      </c>
      <c r="B478" s="240" t="str">
        <f>TiposLancamentos!B19</f>
        <v>Restaurantes</v>
      </c>
      <c r="C478" s="878" t="s">
        <v>11020</v>
      </c>
      <c r="D478" s="63"/>
      <c r="E478" s="231">
        <v>31.8</v>
      </c>
      <c r="F478" s="1016"/>
      <c r="G478" s="1152" t="s">
        <v>9</v>
      </c>
    </row>
    <row r="479" spans="1:7">
      <c r="A479" s="884">
        <v>42819</v>
      </c>
      <c r="B479" s="240" t="str">
        <f>TiposLancamentos!B16</f>
        <v>Cristiane</v>
      </c>
      <c r="C479" s="878" t="s">
        <v>11021</v>
      </c>
      <c r="D479" s="63"/>
      <c r="E479" s="231">
        <v>237.5</v>
      </c>
      <c r="F479" s="1016"/>
      <c r="G479" s="1152" t="s">
        <v>9</v>
      </c>
    </row>
    <row r="480" spans="1:7">
      <c r="A480" s="884">
        <v>42819</v>
      </c>
      <c r="B480" s="240" t="str">
        <f>TiposLancamentos!B19</f>
        <v>Restaurantes</v>
      </c>
      <c r="C480" s="878" t="s">
        <v>11022</v>
      </c>
      <c r="D480" s="63"/>
      <c r="E480" s="231">
        <v>83.6</v>
      </c>
      <c r="F480" s="1016"/>
      <c r="G480" s="1152" t="s">
        <v>9</v>
      </c>
    </row>
    <row r="481" spans="1:7">
      <c r="A481" s="884">
        <v>42819</v>
      </c>
      <c r="B481" s="240" t="str">
        <f>TiposLancamentos!B5</f>
        <v>Supermercado</v>
      </c>
      <c r="C481" s="878" t="s">
        <v>6234</v>
      </c>
      <c r="D481" s="63"/>
      <c r="E481" s="231">
        <v>120.47</v>
      </c>
      <c r="F481" s="1016"/>
      <c r="G481" s="1152" t="s">
        <v>9</v>
      </c>
    </row>
    <row r="482" spans="1:7">
      <c r="A482" s="884">
        <v>42820</v>
      </c>
      <c r="B482" s="240" t="str">
        <f>TiposLancamentos!B57</f>
        <v>Informática</v>
      </c>
      <c r="C482" s="878" t="s">
        <v>11023</v>
      </c>
      <c r="D482" s="63"/>
      <c r="E482" s="231">
        <v>17.2</v>
      </c>
      <c r="F482" s="1016" t="s">
        <v>11024</v>
      </c>
      <c r="G482" s="1094" t="s">
        <v>11</v>
      </c>
    </row>
    <row r="483" spans="1:7">
      <c r="A483" s="884">
        <v>42820</v>
      </c>
      <c r="B483" s="240"/>
      <c r="C483" s="878" t="s">
        <v>11025</v>
      </c>
      <c r="D483" s="63"/>
      <c r="E483" s="231"/>
      <c r="F483" s="1016"/>
      <c r="G483" s="1094" t="s">
        <v>11</v>
      </c>
    </row>
    <row r="484" spans="1:7">
      <c r="A484" s="884">
        <v>42820</v>
      </c>
      <c r="B484" s="240" t="str">
        <f>TiposLancamentos!B19</f>
        <v>Restaurantes</v>
      </c>
      <c r="C484" s="878" t="s">
        <v>6565</v>
      </c>
      <c r="D484" s="63"/>
      <c r="E484" s="231">
        <v>52.12</v>
      </c>
      <c r="F484" s="1016"/>
      <c r="G484" s="1152" t="s">
        <v>9</v>
      </c>
    </row>
    <row r="485" spans="1:7">
      <c r="A485" s="884">
        <v>42821</v>
      </c>
      <c r="B485" s="240" t="str">
        <f>TiposLancamentos!B5</f>
        <v>Supermercado</v>
      </c>
      <c r="C485" s="878" t="s">
        <v>6234</v>
      </c>
      <c r="D485" s="63"/>
      <c r="E485" s="231">
        <v>84.05</v>
      </c>
      <c r="F485" s="1016"/>
      <c r="G485" s="1152" t="s">
        <v>9</v>
      </c>
    </row>
    <row r="486" spans="1:7">
      <c r="A486" s="884">
        <v>42822</v>
      </c>
      <c r="B486" s="240" t="str">
        <f>TiposLancamentos!B45</f>
        <v>Online Services</v>
      </c>
      <c r="C486" s="878" t="s">
        <v>1894</v>
      </c>
      <c r="D486" s="63"/>
      <c r="E486" s="231">
        <v>22.9</v>
      </c>
      <c r="F486" s="1016"/>
      <c r="G486" s="1152" t="s">
        <v>9</v>
      </c>
    </row>
    <row r="487" spans="1:7">
      <c r="A487" s="884">
        <v>42822</v>
      </c>
      <c r="B487" s="240" t="str">
        <f>TiposLancamentos!B45</f>
        <v>Online Services</v>
      </c>
      <c r="C487" s="878" t="s">
        <v>1895</v>
      </c>
      <c r="D487" s="63"/>
      <c r="E487" s="231">
        <v>26.9</v>
      </c>
      <c r="F487" s="1016"/>
      <c r="G487" s="1152" t="s">
        <v>9</v>
      </c>
    </row>
    <row r="488" spans="1:7">
      <c r="A488" s="884">
        <v>42823</v>
      </c>
      <c r="B488" s="240" t="str">
        <f>TiposLancamentos!B65</f>
        <v>Taxi</v>
      </c>
      <c r="C488" s="878" t="s">
        <v>11026</v>
      </c>
      <c r="D488" s="63"/>
      <c r="E488" s="231">
        <v>14.13</v>
      </c>
      <c r="F488" s="1016"/>
      <c r="G488" s="1152" t="s">
        <v>9</v>
      </c>
    </row>
    <row r="489" spans="1:7">
      <c r="A489" s="884">
        <v>42823</v>
      </c>
      <c r="B489" s="240" t="str">
        <f>TiposLancamentos!B65</f>
        <v>Taxi</v>
      </c>
      <c r="C489" s="878" t="s">
        <v>11027</v>
      </c>
      <c r="D489" s="63"/>
      <c r="E489" s="231">
        <v>14.16</v>
      </c>
      <c r="F489" s="1016"/>
      <c r="G489" s="1152" t="s">
        <v>9</v>
      </c>
    </row>
    <row r="490" spans="1:7" ht="14.25" thickBot="1">
      <c r="A490" s="885">
        <v>42824</v>
      </c>
      <c r="B490" s="1232" t="str">
        <f>TiposLancamentos!B19</f>
        <v>Restaurantes</v>
      </c>
      <c r="C490" s="1120" t="s">
        <v>11028</v>
      </c>
      <c r="D490" s="903"/>
      <c r="E490" s="928">
        <v>145.19999999999999</v>
      </c>
      <c r="F490" s="1036"/>
      <c r="G490" s="1152" t="s">
        <v>9</v>
      </c>
    </row>
    <row r="491" spans="1:7">
      <c r="A491" s="1625"/>
      <c r="B491" s="1230"/>
      <c r="C491" s="906" t="s">
        <v>11029</v>
      </c>
      <c r="D491" s="896"/>
      <c r="E491" s="925"/>
      <c r="F491" s="1034">
        <f>SUM(E430:E475)-D439</f>
        <v>4188.5999999999995</v>
      </c>
      <c r="G491" s="3"/>
    </row>
    <row r="492" spans="1:7">
      <c r="A492" s="884">
        <v>42826</v>
      </c>
      <c r="B492" s="240" t="str">
        <f>TiposLancamentos!B5</f>
        <v>Supermercado</v>
      </c>
      <c r="C492" s="878" t="s">
        <v>3524</v>
      </c>
      <c r="D492" s="63"/>
      <c r="E492" s="231">
        <v>7.49</v>
      </c>
      <c r="F492" s="1016">
        <f>F491-F435</f>
        <v>1849.9966666666664</v>
      </c>
      <c r="G492" s="1152" t="s">
        <v>9</v>
      </c>
    </row>
    <row r="493" spans="1:7">
      <c r="A493" s="884">
        <v>42826</v>
      </c>
      <c r="B493" s="240" t="str">
        <f>TiposLancamentos!B19</f>
        <v>Restaurantes</v>
      </c>
      <c r="C493" s="878" t="s">
        <v>11030</v>
      </c>
      <c r="D493" s="63"/>
      <c r="E493" s="231">
        <v>98</v>
      </c>
      <c r="F493" s="1016"/>
      <c r="G493" s="1152" t="s">
        <v>9</v>
      </c>
    </row>
    <row r="494" spans="1:7">
      <c r="A494" s="884">
        <v>42826</v>
      </c>
      <c r="B494" s="240" t="str">
        <f>TiposLancamentos!B5</f>
        <v>Supermercado</v>
      </c>
      <c r="C494" s="878" t="s">
        <v>11031</v>
      </c>
      <c r="D494" s="63"/>
      <c r="E494" s="231">
        <v>152.66999999999999</v>
      </c>
      <c r="F494" s="1016"/>
      <c r="G494" s="1152" t="s">
        <v>9</v>
      </c>
    </row>
    <row r="495" spans="1:7">
      <c r="A495" s="884">
        <v>42826</v>
      </c>
      <c r="B495" s="240" t="str">
        <f>TiposLancamentos!B5</f>
        <v>Supermercado</v>
      </c>
      <c r="C495" s="878" t="s">
        <v>11032</v>
      </c>
      <c r="D495" s="63"/>
      <c r="E495" s="231">
        <v>21.75</v>
      </c>
      <c r="F495" s="1016"/>
      <c r="G495" s="1152" t="s">
        <v>9</v>
      </c>
    </row>
    <row r="496" spans="1:7">
      <c r="A496" s="884">
        <v>42827</v>
      </c>
      <c r="B496" s="240" t="str">
        <f>TiposLancamentos!B19</f>
        <v>Restaurantes</v>
      </c>
      <c r="C496" s="878" t="s">
        <v>11033</v>
      </c>
      <c r="D496" s="63"/>
      <c r="E496" s="231">
        <v>83.09</v>
      </c>
      <c r="F496" s="1016"/>
      <c r="G496" s="1152" t="s">
        <v>9</v>
      </c>
    </row>
    <row r="497" spans="1:7">
      <c r="A497" s="884">
        <v>42827</v>
      </c>
      <c r="B497" s="240" t="str">
        <f>TiposLancamentos!B13</f>
        <v>Moradia</v>
      </c>
      <c r="C497" s="878" t="s">
        <v>11034</v>
      </c>
      <c r="D497" s="63"/>
      <c r="E497" s="231">
        <v>149.9</v>
      </c>
      <c r="F497" s="1016"/>
      <c r="G497" s="1152" t="s">
        <v>9</v>
      </c>
    </row>
    <row r="498" spans="1:7">
      <c r="A498" s="884">
        <v>42827</v>
      </c>
      <c r="B498" s="240" t="str">
        <f>TiposLancamentos!B16</f>
        <v>Cristiane</v>
      </c>
      <c r="C498" s="878" t="s">
        <v>11035</v>
      </c>
      <c r="D498" s="63"/>
      <c r="E498" s="231">
        <v>27.6</v>
      </c>
      <c r="F498" s="1016"/>
      <c r="G498" s="1152" t="s">
        <v>9</v>
      </c>
    </row>
    <row r="499" spans="1:7">
      <c r="A499" s="884">
        <v>42827</v>
      </c>
      <c r="B499" s="240" t="str">
        <f>TiposLancamentos!B56</f>
        <v>Farmácia</v>
      </c>
      <c r="C499" s="878" t="s">
        <v>11036</v>
      </c>
      <c r="D499" s="63"/>
      <c r="E499" s="231">
        <v>6.4</v>
      </c>
      <c r="F499" s="1016"/>
      <c r="G499" s="1152" t="s">
        <v>9</v>
      </c>
    </row>
    <row r="500" spans="1:7">
      <c r="A500" s="884">
        <v>42827</v>
      </c>
      <c r="B500" s="240" t="str">
        <f>TiposLancamentos!B56</f>
        <v>Farmácia</v>
      </c>
      <c r="C500" s="878" t="s">
        <v>6118</v>
      </c>
      <c r="D500" s="63"/>
      <c r="E500" s="231">
        <v>84.06</v>
      </c>
      <c r="F500" s="1016"/>
      <c r="G500" s="1152" t="s">
        <v>9</v>
      </c>
    </row>
    <row r="501" spans="1:7">
      <c r="A501" s="884">
        <v>42827</v>
      </c>
      <c r="B501" s="240" t="str">
        <f>TiposLancamentos!B5</f>
        <v>Supermercado</v>
      </c>
      <c r="C501" s="878" t="s">
        <v>11037</v>
      </c>
      <c r="D501" s="63"/>
      <c r="E501" s="231">
        <v>68</v>
      </c>
      <c r="F501" s="1016"/>
      <c r="G501" s="1152" t="s">
        <v>9</v>
      </c>
    </row>
    <row r="502" spans="1:7">
      <c r="A502" s="884">
        <v>42827</v>
      </c>
      <c r="B502" s="240" t="str">
        <f>TiposLancamentos!B71</f>
        <v>Itens Pessoais</v>
      </c>
      <c r="C502" s="878" t="s">
        <v>3590</v>
      </c>
      <c r="D502" s="63"/>
      <c r="E502" s="231">
        <v>30</v>
      </c>
      <c r="F502" s="1016"/>
      <c r="G502" s="1152" t="s">
        <v>9</v>
      </c>
    </row>
    <row r="503" spans="1:7">
      <c r="A503" s="884">
        <v>42827</v>
      </c>
      <c r="B503" s="240" t="str">
        <f>TiposLancamentos!B15</f>
        <v>Cartões de Crédito</v>
      </c>
      <c r="C503" s="878" t="s">
        <v>1874</v>
      </c>
      <c r="D503" s="63">
        <v>4188.6000000000004</v>
      </c>
      <c r="E503" s="231"/>
      <c r="F503" s="1016"/>
      <c r="G503" s="1094" t="s">
        <v>11</v>
      </c>
    </row>
    <row r="504" spans="1:7">
      <c r="A504" s="884">
        <v>42828</v>
      </c>
      <c r="B504" s="240" t="str">
        <f>TiposLancamentos!B5</f>
        <v>Supermercado</v>
      </c>
      <c r="C504" s="878" t="s">
        <v>11038</v>
      </c>
      <c r="D504" s="63"/>
      <c r="E504" s="231">
        <v>95.75</v>
      </c>
      <c r="F504" s="1016"/>
      <c r="G504" s="1152" t="s">
        <v>9</v>
      </c>
    </row>
    <row r="505" spans="1:7">
      <c r="A505" s="884">
        <v>42831</v>
      </c>
      <c r="B505" s="240" t="str">
        <f>TiposLancamentos!B16</f>
        <v>Cristiane</v>
      </c>
      <c r="C505" s="878" t="s">
        <v>5108</v>
      </c>
      <c r="D505" s="63"/>
      <c r="E505" s="231">
        <v>17</v>
      </c>
      <c r="F505" s="1016"/>
      <c r="G505" s="1152" t="s">
        <v>9</v>
      </c>
    </row>
    <row r="506" spans="1:7">
      <c r="A506" s="884">
        <v>42832</v>
      </c>
      <c r="B506" s="240" t="str">
        <f>TiposLancamentos!B19</f>
        <v>Restaurantes</v>
      </c>
      <c r="C506" s="878" t="s">
        <v>11039</v>
      </c>
      <c r="D506" s="63"/>
      <c r="E506" s="231">
        <v>69</v>
      </c>
      <c r="F506" s="1016"/>
      <c r="G506" s="1152" t="s">
        <v>9</v>
      </c>
    </row>
    <row r="507" spans="1:7">
      <c r="A507" s="884">
        <v>42832</v>
      </c>
      <c r="B507" s="240" t="str">
        <f>TiposLancamentos!B16</f>
        <v>Cristiane</v>
      </c>
      <c r="C507" s="878" t="s">
        <v>11040</v>
      </c>
      <c r="D507" s="63"/>
      <c r="E507" s="231">
        <v>125.12</v>
      </c>
      <c r="F507" s="1016"/>
      <c r="G507" s="1152" t="s">
        <v>9</v>
      </c>
    </row>
    <row r="508" spans="1:7">
      <c r="A508" s="884">
        <v>42833</v>
      </c>
      <c r="B508" s="240" t="str">
        <f>TiposLancamentos!B5</f>
        <v>Supermercado</v>
      </c>
      <c r="C508" s="878" t="s">
        <v>6234</v>
      </c>
      <c r="D508" s="63"/>
      <c r="E508" s="231">
        <v>33.64</v>
      </c>
      <c r="F508" s="1016"/>
      <c r="G508" s="1152" t="s">
        <v>9</v>
      </c>
    </row>
    <row r="509" spans="1:7">
      <c r="A509" s="884">
        <v>42834</v>
      </c>
      <c r="B509" s="240" t="str">
        <f>TiposLancamentos!B16</f>
        <v>Cristiane</v>
      </c>
      <c r="C509" s="878" t="s">
        <v>11041</v>
      </c>
      <c r="D509" s="63"/>
      <c r="E509" s="231">
        <v>110.9</v>
      </c>
      <c r="F509" s="1016"/>
      <c r="G509" s="1152" t="s">
        <v>9</v>
      </c>
    </row>
    <row r="510" spans="1:7">
      <c r="A510" s="884">
        <v>42834</v>
      </c>
      <c r="B510" s="240" t="str">
        <f>TiposLancamentos!B19</f>
        <v>Restaurantes</v>
      </c>
      <c r="C510" s="878" t="s">
        <v>11042</v>
      </c>
      <c r="D510" s="63"/>
      <c r="E510" s="231">
        <v>130.99</v>
      </c>
      <c r="F510" s="1016"/>
      <c r="G510" s="1152" t="s">
        <v>9</v>
      </c>
    </row>
    <row r="511" spans="1:7">
      <c r="A511" s="884">
        <v>42836</v>
      </c>
      <c r="B511" s="240" t="str">
        <f>TiposLancamentos!B5</f>
        <v>Supermercado</v>
      </c>
      <c r="C511" s="878" t="s">
        <v>6234</v>
      </c>
      <c r="D511" s="63"/>
      <c r="E511" s="231">
        <v>32.17</v>
      </c>
      <c r="F511" s="1016"/>
      <c r="G511" s="1152" t="s">
        <v>9</v>
      </c>
    </row>
    <row r="512" spans="1:7">
      <c r="A512" s="884">
        <v>42839</v>
      </c>
      <c r="B512" s="240" t="str">
        <f>TiposLancamentos!B5</f>
        <v>Supermercado</v>
      </c>
      <c r="C512" s="878" t="s">
        <v>7068</v>
      </c>
      <c r="D512" s="63"/>
      <c r="E512" s="231">
        <v>49.34</v>
      </c>
      <c r="F512" s="1016"/>
      <c r="G512" s="1152" t="s">
        <v>9</v>
      </c>
    </row>
    <row r="513" spans="1:7">
      <c r="A513" s="884">
        <v>42839</v>
      </c>
      <c r="B513" s="240" t="str">
        <f>TiposLancamentos!B5</f>
        <v>Supermercado</v>
      </c>
      <c r="C513" s="878" t="s">
        <v>6234</v>
      </c>
      <c r="D513" s="63"/>
      <c r="E513" s="231">
        <v>38.86</v>
      </c>
      <c r="F513" s="1016"/>
      <c r="G513" s="1152" t="s">
        <v>9</v>
      </c>
    </row>
    <row r="514" spans="1:7">
      <c r="A514" s="884">
        <v>42841</v>
      </c>
      <c r="B514" s="240" t="str">
        <f>TiposLancamentos!B5</f>
        <v>Supermercado</v>
      </c>
      <c r="C514" s="878" t="s">
        <v>6234</v>
      </c>
      <c r="D514" s="63"/>
      <c r="E514" s="231">
        <v>81.53</v>
      </c>
      <c r="F514" s="1016"/>
      <c r="G514" s="1152" t="s">
        <v>9</v>
      </c>
    </row>
    <row r="515" spans="1:7">
      <c r="A515" s="884">
        <v>42841</v>
      </c>
      <c r="B515" s="240" t="str">
        <f>TiposLancamentos!B16</f>
        <v>Cristiane</v>
      </c>
      <c r="C515" s="878" t="s">
        <v>11043</v>
      </c>
      <c r="D515" s="63"/>
      <c r="E515" s="231">
        <f>F515/6</f>
        <v>463.17</v>
      </c>
      <c r="F515" s="1016">
        <v>2779.02</v>
      </c>
      <c r="G515" s="1152" t="s">
        <v>9</v>
      </c>
    </row>
    <row r="516" spans="1:7">
      <c r="A516" s="884">
        <v>42844</v>
      </c>
      <c r="B516" s="240" t="str">
        <f>TiposLancamentos!B70</f>
        <v>Vestuário</v>
      </c>
      <c r="C516" s="878" t="s">
        <v>11044</v>
      </c>
      <c r="D516" s="63"/>
      <c r="E516" s="231">
        <f>F516/3</f>
        <v>143.29999999999998</v>
      </c>
      <c r="F516" s="1016">
        <v>429.9</v>
      </c>
      <c r="G516" s="1152" t="s">
        <v>9</v>
      </c>
    </row>
    <row r="517" spans="1:7">
      <c r="A517" s="884">
        <v>42843</v>
      </c>
      <c r="B517" s="240" t="str">
        <f>TiposLancamentos!B56</f>
        <v>Farmácia</v>
      </c>
      <c r="C517" s="878" t="s">
        <v>11045</v>
      </c>
      <c r="D517" s="63"/>
      <c r="E517" s="231">
        <v>21</v>
      </c>
      <c r="F517" s="1016"/>
      <c r="G517" s="1152" t="s">
        <v>9</v>
      </c>
    </row>
    <row r="518" spans="1:7">
      <c r="A518" s="934"/>
      <c r="B518" s="243"/>
      <c r="C518" s="389" t="s">
        <v>10</v>
      </c>
      <c r="D518" s="146"/>
      <c r="E518" s="146"/>
      <c r="F518" s="1231"/>
      <c r="G518" s="1094" t="s">
        <v>11</v>
      </c>
    </row>
    <row r="519" spans="1:7">
      <c r="A519" s="884">
        <v>42847</v>
      </c>
      <c r="B519" s="240" t="str">
        <f>TiposLancamentos!B38</f>
        <v>Playstation 4</v>
      </c>
      <c r="C519" s="878" t="s">
        <v>11046</v>
      </c>
      <c r="D519" s="63"/>
      <c r="E519" s="231">
        <v>46.07</v>
      </c>
      <c r="F519" s="1016"/>
      <c r="G519" s="1152" t="s">
        <v>9</v>
      </c>
    </row>
    <row r="520" spans="1:7">
      <c r="A520" s="884">
        <v>42850</v>
      </c>
      <c r="B520" s="240" t="str">
        <f>TiposLancamentos!B71</f>
        <v>Itens Pessoais</v>
      </c>
      <c r="C520" s="878" t="s">
        <v>11047</v>
      </c>
      <c r="D520" s="63"/>
      <c r="E520" s="231">
        <f>F520/10</f>
        <v>148.07</v>
      </c>
      <c r="F520" s="1016">
        <v>1480.7</v>
      </c>
      <c r="G520" s="1152" t="s">
        <v>9</v>
      </c>
    </row>
    <row r="521" spans="1:7">
      <c r="A521" s="884">
        <v>42850</v>
      </c>
      <c r="B521" s="240" t="str">
        <f>TiposLancamentos!B3</f>
        <v>Internet</v>
      </c>
      <c r="C521" s="878" t="s">
        <v>11048</v>
      </c>
      <c r="D521" s="63"/>
      <c r="E521" s="231">
        <v>29.71</v>
      </c>
      <c r="F521" s="1016"/>
      <c r="G521" s="1152" t="s">
        <v>9</v>
      </c>
    </row>
    <row r="522" spans="1:7">
      <c r="A522" s="884">
        <v>42851</v>
      </c>
      <c r="B522" s="240" t="str">
        <f>TiposLancamentos!B19</f>
        <v>Restaurantes</v>
      </c>
      <c r="C522" s="878" t="s">
        <v>11049</v>
      </c>
      <c r="D522" s="63"/>
      <c r="E522" s="231">
        <v>68</v>
      </c>
      <c r="F522" s="1016"/>
      <c r="G522" s="1152" t="s">
        <v>9</v>
      </c>
    </row>
    <row r="523" spans="1:7">
      <c r="A523" s="884">
        <v>42853</v>
      </c>
      <c r="B523" s="240" t="str">
        <f>TiposLancamentos!B45</f>
        <v>Online Services</v>
      </c>
      <c r="C523" s="878" t="s">
        <v>1894</v>
      </c>
      <c r="D523" s="63"/>
      <c r="E523" s="231">
        <v>22.9</v>
      </c>
      <c r="F523" s="1016"/>
      <c r="G523" s="1152" t="s">
        <v>9</v>
      </c>
    </row>
    <row r="524" spans="1:7" ht="14.25" thickBot="1">
      <c r="A524" s="885">
        <v>42853</v>
      </c>
      <c r="B524" s="1232" t="str">
        <f>TiposLancamentos!B45</f>
        <v>Online Services</v>
      </c>
      <c r="C524" s="1120" t="s">
        <v>1895</v>
      </c>
      <c r="D524" s="903"/>
      <c r="E524" s="928">
        <v>26.9</v>
      </c>
      <c r="F524" s="1036"/>
      <c r="G524" s="1152" t="s">
        <v>9</v>
      </c>
    </row>
    <row r="525" spans="1:7">
      <c r="A525" s="1032"/>
      <c r="B525" s="1230"/>
      <c r="C525" s="906" t="s">
        <v>11050</v>
      </c>
      <c r="D525" s="896"/>
      <c r="E525" s="925"/>
      <c r="F525" s="1034">
        <f>SUM(E477:E517)</f>
        <v>3138.8300000000008</v>
      </c>
      <c r="G525" s="3"/>
    </row>
    <row r="526" spans="1:7">
      <c r="A526" s="884">
        <v>42856</v>
      </c>
      <c r="B526" s="240" t="str">
        <f>TiposLancamentos!B15</f>
        <v>Cartões de Crédito</v>
      </c>
      <c r="C526" s="878" t="s">
        <v>1874</v>
      </c>
      <c r="D526" s="63">
        <v>3138.83</v>
      </c>
      <c r="E526" s="231"/>
      <c r="F526" s="1016">
        <f>F525-F491</f>
        <v>-1049.7699999999986</v>
      </c>
      <c r="G526" s="3"/>
    </row>
    <row r="527" spans="1:7">
      <c r="A527" s="884">
        <v>42857</v>
      </c>
      <c r="B527" s="240" t="str">
        <f>TiposLancamentos!B4</f>
        <v>Taxas Bancarias</v>
      </c>
      <c r="C527" s="878" t="s">
        <v>10913</v>
      </c>
      <c r="D527" s="63"/>
      <c r="E527" s="231">
        <v>0.28999999999999998</v>
      </c>
      <c r="F527" s="1016"/>
      <c r="G527" s="3"/>
    </row>
    <row r="528" spans="1:7">
      <c r="A528" s="884">
        <v>42859</v>
      </c>
      <c r="B528" s="240" t="str">
        <f>TiposLancamentos!B19</f>
        <v>Restaurantes</v>
      </c>
      <c r="C528" s="878" t="s">
        <v>7068</v>
      </c>
      <c r="D528" s="63"/>
      <c r="E528" s="231">
        <v>91.96</v>
      </c>
      <c r="F528" s="1016"/>
      <c r="G528" s="1152" t="s">
        <v>9</v>
      </c>
    </row>
    <row r="529" spans="1:7">
      <c r="A529" s="884">
        <v>42859</v>
      </c>
      <c r="B529" s="240" t="str">
        <f>TiposLancamentos!B16</f>
        <v>Cristiane</v>
      </c>
      <c r="C529" s="878" t="s">
        <v>6007</v>
      </c>
      <c r="D529" s="63"/>
      <c r="E529" s="231">
        <v>219.9</v>
      </c>
      <c r="F529" s="1016"/>
      <c r="G529" s="1152" t="s">
        <v>9</v>
      </c>
    </row>
    <row r="530" spans="1:7">
      <c r="A530" s="884">
        <v>42861</v>
      </c>
      <c r="B530" s="240" t="str">
        <f>TiposLancamentos!B5</f>
        <v>Supermercado</v>
      </c>
      <c r="C530" s="878" t="s">
        <v>6234</v>
      </c>
      <c r="D530" s="63"/>
      <c r="E530" s="231">
        <v>65.56</v>
      </c>
      <c r="F530" s="1016"/>
      <c r="G530" s="1152" t="s">
        <v>9</v>
      </c>
    </row>
    <row r="531" spans="1:7">
      <c r="A531" s="884">
        <v>42861</v>
      </c>
      <c r="B531" s="240" t="str">
        <f>TiposLancamentos!B65</f>
        <v>Taxi</v>
      </c>
      <c r="C531" s="878" t="s">
        <v>11051</v>
      </c>
      <c r="D531" s="63"/>
      <c r="E531" s="231">
        <v>9.1300000000000008</v>
      </c>
      <c r="F531" s="1016"/>
      <c r="G531" s="1152" t="s">
        <v>9</v>
      </c>
    </row>
    <row r="532" spans="1:7">
      <c r="A532" s="884">
        <v>42861</v>
      </c>
      <c r="B532" s="240" t="str">
        <f>TiposLancamentos!B19</f>
        <v>Restaurantes</v>
      </c>
      <c r="C532" s="878" t="s">
        <v>11052</v>
      </c>
      <c r="D532" s="63"/>
      <c r="E532" s="231">
        <v>89</v>
      </c>
      <c r="F532" s="1016"/>
      <c r="G532" s="1152" t="s">
        <v>9</v>
      </c>
    </row>
    <row r="533" spans="1:7">
      <c r="A533" s="884">
        <v>42861</v>
      </c>
      <c r="B533" s="240" t="str">
        <f>TiposLancamentos!B65</f>
        <v>Taxi</v>
      </c>
      <c r="C533" s="878" t="s">
        <v>11053</v>
      </c>
      <c r="D533" s="63"/>
      <c r="E533" s="231">
        <v>18.059999999999999</v>
      </c>
      <c r="F533" s="1016"/>
      <c r="G533" s="1152" t="s">
        <v>9</v>
      </c>
    </row>
    <row r="534" spans="1:7">
      <c r="A534" s="884">
        <v>42865</v>
      </c>
      <c r="B534" s="240" t="str">
        <f>TiposLancamentos!B5</f>
        <v>Supermercado</v>
      </c>
      <c r="C534" s="878" t="s">
        <v>6234</v>
      </c>
      <c r="D534" s="63"/>
      <c r="E534" s="231">
        <v>47.41</v>
      </c>
      <c r="F534" s="1016"/>
      <c r="G534" s="1152" t="s">
        <v>9</v>
      </c>
    </row>
    <row r="535" spans="1:7">
      <c r="A535" s="884">
        <v>42866</v>
      </c>
      <c r="B535" s="240" t="str">
        <f>TiposLancamentos!B48</f>
        <v>Baralhos e Oráculos</v>
      </c>
      <c r="C535" s="878" t="s">
        <v>11054</v>
      </c>
      <c r="D535" s="63"/>
      <c r="E535" s="231">
        <v>115.88</v>
      </c>
      <c r="F535" s="1016" t="s">
        <v>11055</v>
      </c>
      <c r="G535" s="1152" t="s">
        <v>9</v>
      </c>
    </row>
    <row r="536" spans="1:7">
      <c r="A536" s="884">
        <v>42866</v>
      </c>
      <c r="B536" s="240" t="str">
        <f>TiposLancamentos!B4</f>
        <v>Taxas Bancarias</v>
      </c>
      <c r="C536" s="878" t="s">
        <v>11056</v>
      </c>
      <c r="D536" s="63"/>
      <c r="E536" s="231">
        <v>7.39</v>
      </c>
      <c r="F536" s="1626" t="s">
        <v>11057</v>
      </c>
      <c r="G536" s="1152" t="s">
        <v>9</v>
      </c>
    </row>
    <row r="537" spans="1:7">
      <c r="A537" s="884">
        <v>42866</v>
      </c>
      <c r="B537" s="240" t="str">
        <f>TiposLancamentos!B26</f>
        <v>LIVROS</v>
      </c>
      <c r="C537" s="878" t="s">
        <v>11058</v>
      </c>
      <c r="D537" s="63"/>
      <c r="E537" s="231">
        <v>70</v>
      </c>
      <c r="F537" s="1016"/>
      <c r="G537" s="1152" t="s">
        <v>9</v>
      </c>
    </row>
    <row r="538" spans="1:7">
      <c r="A538" s="884">
        <v>42866</v>
      </c>
      <c r="B538" s="240" t="str">
        <f>TiposLancamentos!B19</f>
        <v>Restaurantes</v>
      </c>
      <c r="C538" s="878" t="s">
        <v>11059</v>
      </c>
      <c r="D538" s="63"/>
      <c r="E538" s="231">
        <v>148.5</v>
      </c>
      <c r="F538" s="1016"/>
      <c r="G538" s="1152" t="s">
        <v>9</v>
      </c>
    </row>
    <row r="539" spans="1:7">
      <c r="A539" s="884">
        <v>42867</v>
      </c>
      <c r="B539" s="240" t="str">
        <f>TiposLancamentos!B19</f>
        <v>Restaurantes</v>
      </c>
      <c r="C539" s="878" t="s">
        <v>10047</v>
      </c>
      <c r="D539" s="63"/>
      <c r="E539" s="231">
        <v>69</v>
      </c>
      <c r="F539" s="1016"/>
      <c r="G539" s="1152" t="s">
        <v>9</v>
      </c>
    </row>
    <row r="540" spans="1:7">
      <c r="A540" s="884">
        <v>42868</v>
      </c>
      <c r="B540" s="240" t="str">
        <f>TiposLancamentos!B5</f>
        <v>Supermercado</v>
      </c>
      <c r="C540" s="878" t="s">
        <v>6234</v>
      </c>
      <c r="D540" s="63"/>
      <c r="E540" s="231">
        <v>21.32</v>
      </c>
      <c r="F540" s="1016"/>
      <c r="G540" s="1152" t="s">
        <v>9</v>
      </c>
    </row>
    <row r="541" spans="1:7">
      <c r="A541" s="884">
        <v>42868</v>
      </c>
      <c r="B541" s="240" t="str">
        <f>TiposLancamentos!B19</f>
        <v>Restaurantes</v>
      </c>
      <c r="C541" s="878" t="s">
        <v>11060</v>
      </c>
      <c r="D541" s="63"/>
      <c r="E541" s="231">
        <v>122.5</v>
      </c>
      <c r="F541" s="1016"/>
      <c r="G541" s="1152" t="s">
        <v>9</v>
      </c>
    </row>
    <row r="542" spans="1:7">
      <c r="A542" s="884">
        <v>42868</v>
      </c>
      <c r="B542" s="240" t="str">
        <f>TiposLancamentos!B19</f>
        <v>Restaurantes</v>
      </c>
      <c r="C542" s="878" t="s">
        <v>7348</v>
      </c>
      <c r="D542" s="63"/>
      <c r="E542" s="231">
        <v>20.329999999999998</v>
      </c>
      <c r="F542" s="1016"/>
      <c r="G542" s="1152" t="s">
        <v>9</v>
      </c>
    </row>
    <row r="543" spans="1:7">
      <c r="A543" s="884">
        <v>42869</v>
      </c>
      <c r="B543" s="240" t="str">
        <f>TiposLancamentos!B5</f>
        <v>Supermercado</v>
      </c>
      <c r="C543" s="878" t="s">
        <v>6234</v>
      </c>
      <c r="D543" s="63"/>
      <c r="E543" s="231">
        <v>97.54</v>
      </c>
      <c r="F543" s="1016"/>
      <c r="G543" s="1152" t="s">
        <v>9</v>
      </c>
    </row>
    <row r="544" spans="1:7">
      <c r="A544" s="884">
        <v>42870</v>
      </c>
      <c r="B544" s="240" t="str">
        <f>TiposLancamentos!B57</f>
        <v>Informática</v>
      </c>
      <c r="C544" s="878" t="s">
        <v>11061</v>
      </c>
      <c r="D544" s="63"/>
      <c r="E544" s="231">
        <v>12.87</v>
      </c>
      <c r="F544" s="1016" t="s">
        <v>11062</v>
      </c>
      <c r="G544" s="1152" t="s">
        <v>9</v>
      </c>
    </row>
    <row r="545" spans="1:7">
      <c r="A545" s="884">
        <v>42870</v>
      </c>
      <c r="B545" s="240" t="str">
        <f>TiposLancamentos!B4</f>
        <v>Taxas Bancarias</v>
      </c>
      <c r="C545" s="878" t="s">
        <v>11063</v>
      </c>
      <c r="D545" s="63"/>
      <c r="E545" s="231">
        <v>0.83</v>
      </c>
      <c r="F545" s="1626" t="s">
        <v>11057</v>
      </c>
      <c r="G545" s="1152" t="s">
        <v>9</v>
      </c>
    </row>
    <row r="546" spans="1:7">
      <c r="A546" s="884">
        <v>42871</v>
      </c>
      <c r="B546" s="240" t="str">
        <f>TiposLancamentos!B16</f>
        <v>Cristiane</v>
      </c>
      <c r="C546" s="878" t="s">
        <v>11064</v>
      </c>
      <c r="D546" s="63"/>
      <c r="E546" s="231">
        <f>F546/6</f>
        <v>463.17</v>
      </c>
      <c r="F546" s="1016">
        <v>2779.02</v>
      </c>
      <c r="G546" s="1152" t="s">
        <v>9</v>
      </c>
    </row>
    <row r="547" spans="1:7">
      <c r="A547" s="884">
        <v>42871</v>
      </c>
      <c r="B547" s="240" t="str">
        <f>TiposLancamentos!B56</f>
        <v>Farmácia</v>
      </c>
      <c r="C547" s="878" t="s">
        <v>6118</v>
      </c>
      <c r="D547" s="63"/>
      <c r="E547" s="231">
        <v>74.17</v>
      </c>
      <c r="F547" s="1016"/>
      <c r="G547" s="1152" t="s">
        <v>9</v>
      </c>
    </row>
    <row r="548" spans="1:7">
      <c r="A548" s="884">
        <v>42871</v>
      </c>
      <c r="B548" s="240" t="str">
        <f>TiposLancamentos!B5</f>
        <v>Supermercado</v>
      </c>
      <c r="C548" s="878" t="s">
        <v>11065</v>
      </c>
      <c r="D548" s="63"/>
      <c r="E548" s="231">
        <v>122.47</v>
      </c>
      <c r="F548" s="1016"/>
      <c r="G548" s="1152" t="s">
        <v>9</v>
      </c>
    </row>
    <row r="549" spans="1:7">
      <c r="A549" s="884">
        <v>42873</v>
      </c>
      <c r="B549" s="240" t="str">
        <f>TiposLancamentos!B19</f>
        <v>Restaurantes</v>
      </c>
      <c r="C549" s="878" t="s">
        <v>11066</v>
      </c>
      <c r="D549" s="63"/>
      <c r="E549" s="231">
        <v>106.7</v>
      </c>
      <c r="F549" s="1016"/>
      <c r="G549" s="1152" t="s">
        <v>9</v>
      </c>
    </row>
    <row r="550" spans="1:7">
      <c r="A550" s="884">
        <v>42874</v>
      </c>
      <c r="B550" s="240" t="str">
        <f>TiposLancamentos!B70</f>
        <v>Vestuário</v>
      </c>
      <c r="C550" s="878" t="s">
        <v>11067</v>
      </c>
      <c r="D550" s="63"/>
      <c r="E550" s="231">
        <f>F550/3</f>
        <v>143.29999999999998</v>
      </c>
      <c r="F550" s="1016">
        <v>429.9</v>
      </c>
      <c r="G550" s="1152" t="s">
        <v>9</v>
      </c>
    </row>
    <row r="551" spans="1:7">
      <c r="A551" s="884">
        <v>42874</v>
      </c>
      <c r="B551" s="240" t="str">
        <f>TiposLancamentos!B56</f>
        <v>Farmácia</v>
      </c>
      <c r="C551" s="878" t="s">
        <v>11068</v>
      </c>
      <c r="D551" s="63"/>
      <c r="E551" s="231">
        <v>11.73</v>
      </c>
      <c r="F551" s="1016"/>
      <c r="G551" s="1152" t="s">
        <v>9</v>
      </c>
    </row>
    <row r="552" spans="1:7">
      <c r="A552" s="934"/>
      <c r="B552" s="243"/>
      <c r="C552" s="389" t="s">
        <v>10</v>
      </c>
      <c r="D552" s="146"/>
      <c r="E552" s="146"/>
      <c r="F552" s="1231"/>
      <c r="G552" s="1094" t="s">
        <v>11</v>
      </c>
    </row>
    <row r="553" spans="1:7">
      <c r="A553" s="884">
        <v>42880</v>
      </c>
      <c r="B553" s="240" t="str">
        <f>TiposLancamentos!B3</f>
        <v>Internet</v>
      </c>
      <c r="C553" s="878" t="s">
        <v>10734</v>
      </c>
      <c r="D553" s="63"/>
      <c r="E553" s="231">
        <v>54.9</v>
      </c>
      <c r="F553" s="1016"/>
      <c r="G553" s="1152" t="s">
        <v>9</v>
      </c>
    </row>
    <row r="554" spans="1:7">
      <c r="A554" s="884">
        <v>42880</v>
      </c>
      <c r="B554" s="240" t="str">
        <f>TiposLancamentos!B71</f>
        <v>Itens Pessoais</v>
      </c>
      <c r="C554" s="878" t="s">
        <v>11069</v>
      </c>
      <c r="D554" s="63"/>
      <c r="E554" s="231">
        <f>F554/10</f>
        <v>148.07</v>
      </c>
      <c r="F554" s="1016">
        <v>1480.7</v>
      </c>
      <c r="G554" s="1152" t="s">
        <v>9</v>
      </c>
    </row>
    <row r="555" spans="1:7">
      <c r="A555" s="884">
        <v>42880</v>
      </c>
      <c r="B555" s="240" t="str">
        <f>TiposLancamentos!B19</f>
        <v>Restaurantes</v>
      </c>
      <c r="C555" s="878" t="s">
        <v>11070</v>
      </c>
      <c r="D555" s="63"/>
      <c r="E555" s="231">
        <v>77.8</v>
      </c>
      <c r="F555" s="1016"/>
      <c r="G555" s="1152" t="s">
        <v>9</v>
      </c>
    </row>
    <row r="556" spans="1:7">
      <c r="A556" s="884">
        <v>42881</v>
      </c>
      <c r="B556" s="240" t="str">
        <f>TiposLancamentos!B5</f>
        <v>Supermercado</v>
      </c>
      <c r="C556" s="878" t="s">
        <v>6234</v>
      </c>
      <c r="D556" s="63"/>
      <c r="E556" s="231">
        <v>28.25</v>
      </c>
      <c r="F556" s="1016"/>
      <c r="G556" s="1152" t="s">
        <v>9</v>
      </c>
    </row>
    <row r="557" spans="1:7">
      <c r="A557" s="884">
        <v>42881</v>
      </c>
      <c r="B557" s="240" t="str">
        <f>TiposLancamentos!B16</f>
        <v>Cristiane</v>
      </c>
      <c r="C557" s="878" t="s">
        <v>11071</v>
      </c>
      <c r="D557" s="63"/>
      <c r="E557" s="231">
        <v>149.99</v>
      </c>
      <c r="F557" s="1016"/>
      <c r="G557" s="1152" t="s">
        <v>9</v>
      </c>
    </row>
    <row r="558" spans="1:7">
      <c r="A558" s="884">
        <v>42882</v>
      </c>
      <c r="B558" s="240" t="str">
        <f>TiposLancamentos!B5</f>
        <v>Supermercado</v>
      </c>
      <c r="C558" s="878" t="s">
        <v>6234</v>
      </c>
      <c r="D558" s="63"/>
      <c r="E558" s="231">
        <v>61.65</v>
      </c>
      <c r="F558" s="1016"/>
      <c r="G558" s="1152" t="s">
        <v>9</v>
      </c>
    </row>
    <row r="559" spans="1:7">
      <c r="A559" s="884">
        <v>42882</v>
      </c>
      <c r="B559" s="240" t="str">
        <f>TiposLancamentos!B72</f>
        <v>Presentes</v>
      </c>
      <c r="C559" s="878" t="s">
        <v>11072</v>
      </c>
      <c r="D559" s="63"/>
      <c r="E559" s="231">
        <v>71.13</v>
      </c>
      <c r="F559" s="1016"/>
      <c r="G559" s="1152" t="s">
        <v>9</v>
      </c>
    </row>
    <row r="560" spans="1:7">
      <c r="A560" s="884">
        <v>42882</v>
      </c>
      <c r="B560" s="240" t="str">
        <f>TiposLancamentos!B19</f>
        <v>Restaurantes</v>
      </c>
      <c r="C560" s="878" t="s">
        <v>11073</v>
      </c>
      <c r="D560" s="63"/>
      <c r="E560" s="231">
        <v>20.5</v>
      </c>
      <c r="F560" s="1016"/>
      <c r="G560" s="1152" t="s">
        <v>9</v>
      </c>
    </row>
    <row r="561" spans="1:7">
      <c r="A561" s="884">
        <v>42883</v>
      </c>
      <c r="B561" s="240" t="str">
        <f>TiposLancamentos!B19</f>
        <v>Restaurantes</v>
      </c>
      <c r="C561" s="878" t="s">
        <v>11074</v>
      </c>
      <c r="D561" s="63"/>
      <c r="E561" s="231">
        <v>217.69</v>
      </c>
      <c r="F561" s="1016"/>
      <c r="G561" s="1152" t="s">
        <v>9</v>
      </c>
    </row>
    <row r="562" spans="1:7">
      <c r="A562" s="884">
        <v>42883</v>
      </c>
      <c r="B562" s="240" t="str">
        <f>TiposLancamentos!B45</f>
        <v>Online Services</v>
      </c>
      <c r="C562" s="878" t="s">
        <v>1894</v>
      </c>
      <c r="D562" s="63"/>
      <c r="E562" s="231">
        <v>22.9</v>
      </c>
      <c r="F562" s="1016"/>
      <c r="G562" s="1152" t="s">
        <v>9</v>
      </c>
    </row>
    <row r="563" spans="1:7">
      <c r="A563" s="884">
        <v>42883</v>
      </c>
      <c r="B563" s="240" t="str">
        <f>TiposLancamentos!B45</f>
        <v>Online Services</v>
      </c>
      <c r="C563" s="878" t="s">
        <v>1895</v>
      </c>
      <c r="D563" s="63"/>
      <c r="E563" s="231">
        <v>26.9</v>
      </c>
      <c r="F563" s="1016"/>
      <c r="G563" s="1152" t="s">
        <v>9</v>
      </c>
    </row>
    <row r="564" spans="1:7">
      <c r="A564" s="884">
        <v>42883</v>
      </c>
      <c r="B564" s="240" t="str">
        <f>TiposLancamentos!B19</f>
        <v>Restaurantes</v>
      </c>
      <c r="C564" s="878" t="s">
        <v>11075</v>
      </c>
      <c r="D564" s="63"/>
      <c r="E564" s="231">
        <v>62.26</v>
      </c>
      <c r="F564" s="1016"/>
      <c r="G564" s="1152" t="s">
        <v>9</v>
      </c>
    </row>
    <row r="565" spans="1:7">
      <c r="A565" s="884">
        <v>42884</v>
      </c>
      <c r="B565" s="240" t="str">
        <f>TiposLancamentos!B56</f>
        <v>Farmácia</v>
      </c>
      <c r="C565" s="878" t="s">
        <v>11076</v>
      </c>
      <c r="D565" s="63"/>
      <c r="E565" s="231">
        <v>43.25</v>
      </c>
      <c r="F565" s="1016"/>
      <c r="G565" s="1152" t="s">
        <v>9</v>
      </c>
    </row>
    <row r="566" spans="1:7">
      <c r="A566" s="884">
        <v>42885</v>
      </c>
      <c r="B566" s="240" t="str">
        <f>TiposLancamentos!B17</f>
        <v>GATO</v>
      </c>
      <c r="C566" s="878" t="s">
        <v>11077</v>
      </c>
      <c r="D566" s="63"/>
      <c r="E566" s="231">
        <v>217.59</v>
      </c>
      <c r="F566" s="1016"/>
      <c r="G566" s="1152" t="s">
        <v>9</v>
      </c>
    </row>
    <row r="567" spans="1:7" ht="14.25" thickBot="1">
      <c r="A567" s="885">
        <v>42886</v>
      </c>
      <c r="B567" s="1232" t="str">
        <f>TiposLancamentos!B19</f>
        <v>Restaurantes</v>
      </c>
      <c r="C567" s="1120" t="s">
        <v>11078</v>
      </c>
      <c r="D567" s="903"/>
      <c r="E567" s="928">
        <v>64</v>
      </c>
      <c r="F567" s="1036"/>
      <c r="G567" s="1152" t="s">
        <v>9</v>
      </c>
    </row>
    <row r="568" spans="1:7">
      <c r="A568" s="1032"/>
      <c r="B568" s="1230"/>
      <c r="C568" s="906" t="s">
        <v>11079</v>
      </c>
      <c r="D568" s="896"/>
      <c r="E568" s="925"/>
      <c r="F568" s="1034">
        <f>SUM(E519:E551)</f>
        <v>2490.6599999999994</v>
      </c>
      <c r="G568" s="3"/>
    </row>
    <row r="569" spans="1:7">
      <c r="A569" s="884">
        <v>42887</v>
      </c>
      <c r="B569" s="240" t="str">
        <f>TiposLancamentos!B15</f>
        <v>Cartões de Crédito</v>
      </c>
      <c r="C569" s="878" t="s">
        <v>1874</v>
      </c>
      <c r="D569" s="63">
        <v>2490.66</v>
      </c>
      <c r="E569" s="231"/>
      <c r="F569" s="1016">
        <f>F568-F525</f>
        <v>-648.17000000000144</v>
      </c>
      <c r="G569" s="3"/>
    </row>
    <row r="570" spans="1:7">
      <c r="A570" s="884">
        <v>42887</v>
      </c>
      <c r="B570" s="240" t="str">
        <f>TiposLancamentos!B4</f>
        <v>Taxas Bancarias</v>
      </c>
      <c r="C570" s="878" t="s">
        <v>11080</v>
      </c>
      <c r="D570" s="63"/>
      <c r="E570" s="231">
        <v>4.6500000000000004</v>
      </c>
      <c r="F570" s="1016"/>
      <c r="G570" s="3"/>
    </row>
    <row r="571" spans="1:7">
      <c r="A571" s="884">
        <v>42888</v>
      </c>
      <c r="B571" s="240" t="str">
        <f>TiposLancamentos!B5</f>
        <v>Supermercado</v>
      </c>
      <c r="C571" s="878" t="s">
        <v>6234</v>
      </c>
      <c r="D571" s="63"/>
      <c r="E571" s="231">
        <v>32.479999999999997</v>
      </c>
      <c r="F571" s="1016"/>
      <c r="G571" s="1152" t="s">
        <v>9</v>
      </c>
    </row>
    <row r="572" spans="1:7">
      <c r="A572" s="884">
        <v>42888</v>
      </c>
      <c r="B572" s="240" t="str">
        <f>TiposLancamentos!B71</f>
        <v>Itens Pessoais</v>
      </c>
      <c r="C572" s="878" t="s">
        <v>11081</v>
      </c>
      <c r="D572" s="63"/>
      <c r="E572" s="231">
        <v>124.47</v>
      </c>
      <c r="F572" s="1016"/>
      <c r="G572" s="1152" t="s">
        <v>9</v>
      </c>
    </row>
    <row r="573" spans="1:7">
      <c r="A573" s="884">
        <v>42889</v>
      </c>
      <c r="B573" s="240" t="str">
        <f>TiposLancamentos!B5</f>
        <v>Supermercado</v>
      </c>
      <c r="C573" s="878" t="s">
        <v>6234</v>
      </c>
      <c r="D573" s="63"/>
      <c r="E573" s="231">
        <v>125.12</v>
      </c>
      <c r="F573" s="1016"/>
      <c r="G573" s="1152" t="s">
        <v>9</v>
      </c>
    </row>
    <row r="574" spans="1:7">
      <c r="A574" s="884">
        <v>42890</v>
      </c>
      <c r="B574" s="240" t="str">
        <f>TiposLancamentos!B56</f>
        <v>Farmácia</v>
      </c>
      <c r="C574" s="878" t="s">
        <v>11082</v>
      </c>
      <c r="D574" s="63"/>
      <c r="E574" s="231">
        <v>76.150000000000006</v>
      </c>
      <c r="F574" s="1016"/>
      <c r="G574" s="1152" t="s">
        <v>9</v>
      </c>
    </row>
    <row r="575" spans="1:7">
      <c r="A575" s="884">
        <v>42890</v>
      </c>
      <c r="B575" s="240" t="str">
        <f>TiposLancamentos!B19</f>
        <v>Restaurantes</v>
      </c>
      <c r="C575" s="878" t="s">
        <v>11083</v>
      </c>
      <c r="D575" s="63"/>
      <c r="E575" s="231">
        <v>84.8</v>
      </c>
      <c r="F575" s="1016"/>
      <c r="G575" s="1152" t="s">
        <v>9</v>
      </c>
    </row>
    <row r="576" spans="1:7">
      <c r="A576" s="884">
        <v>42892</v>
      </c>
      <c r="B576" s="240" t="str">
        <f>TiposLancamentos!B57</f>
        <v>Informática</v>
      </c>
      <c r="C576" s="878" t="s">
        <v>11084</v>
      </c>
      <c r="D576" s="63"/>
      <c r="E576" s="231">
        <v>81.28</v>
      </c>
      <c r="F576" s="899"/>
      <c r="G576" s="1152" t="s">
        <v>9</v>
      </c>
    </row>
    <row r="577" spans="1:7">
      <c r="A577" s="884">
        <v>42893</v>
      </c>
      <c r="B577" s="240" t="str">
        <f>TiposLancamentos!B5</f>
        <v>Supermercado</v>
      </c>
      <c r="C577" s="878" t="s">
        <v>5844</v>
      </c>
      <c r="D577" s="63"/>
      <c r="E577" s="231">
        <v>29.08</v>
      </c>
      <c r="F577" s="1016"/>
      <c r="G577" s="1152" t="s">
        <v>9</v>
      </c>
    </row>
    <row r="578" spans="1:7">
      <c r="A578" s="884">
        <v>42894</v>
      </c>
      <c r="B578" s="240" t="str">
        <f>TiposLancamentos!B19</f>
        <v>Restaurantes</v>
      </c>
      <c r="C578" s="878" t="s">
        <v>6832</v>
      </c>
      <c r="D578" s="63"/>
      <c r="E578" s="231">
        <v>127.05</v>
      </c>
      <c r="F578" s="1016"/>
      <c r="G578" s="1152" t="s">
        <v>9</v>
      </c>
    </row>
    <row r="579" spans="1:7">
      <c r="A579" s="884">
        <v>42895</v>
      </c>
      <c r="B579" s="240" t="str">
        <f>TiposLancamentos!B5</f>
        <v>Supermercado</v>
      </c>
      <c r="C579" s="878" t="s">
        <v>6234</v>
      </c>
      <c r="D579" s="63"/>
      <c r="E579" s="231">
        <v>23.81</v>
      </c>
      <c r="F579" s="1016"/>
      <c r="G579" s="1152" t="s">
        <v>9</v>
      </c>
    </row>
    <row r="580" spans="1:7">
      <c r="A580" s="884">
        <v>42895</v>
      </c>
      <c r="B580" s="240" t="str">
        <f>TiposLancamentos!B72</f>
        <v>Presentes</v>
      </c>
      <c r="C580" s="878" t="s">
        <v>11085</v>
      </c>
      <c r="D580" s="63"/>
      <c r="E580" s="231">
        <v>339</v>
      </c>
      <c r="F580" s="1016"/>
      <c r="G580" s="1152" t="s">
        <v>9</v>
      </c>
    </row>
    <row r="581" spans="1:7">
      <c r="A581" s="884">
        <v>42896</v>
      </c>
      <c r="B581" s="240" t="str">
        <f>TiposLancamentos!B56</f>
        <v>Farmácia</v>
      </c>
      <c r="C581" s="878" t="s">
        <v>11086</v>
      </c>
      <c r="D581" s="63"/>
      <c r="E581" s="231">
        <v>190</v>
      </c>
      <c r="F581" s="1016">
        <v>380</v>
      </c>
      <c r="G581" s="1152" t="s">
        <v>9</v>
      </c>
    </row>
    <row r="582" spans="1:7">
      <c r="A582" s="884">
        <v>42896</v>
      </c>
      <c r="B582" s="240" t="str">
        <f>TiposLancamentos!B69</f>
        <v>Consertos</v>
      </c>
      <c r="C582" s="878" t="s">
        <v>11087</v>
      </c>
      <c r="D582" s="63"/>
      <c r="E582" s="231">
        <v>50</v>
      </c>
      <c r="F582" s="1016"/>
      <c r="G582" s="1152" t="s">
        <v>9</v>
      </c>
    </row>
    <row r="583" spans="1:7">
      <c r="A583" s="884">
        <v>42896</v>
      </c>
      <c r="B583" s="240" t="str">
        <f>TiposLancamentos!B56</f>
        <v>Farmácia</v>
      </c>
      <c r="C583" s="878" t="s">
        <v>11088</v>
      </c>
      <c r="D583" s="63"/>
      <c r="E583" s="231">
        <v>5.5</v>
      </c>
      <c r="F583" s="1016"/>
      <c r="G583" s="1152" t="s">
        <v>9</v>
      </c>
    </row>
    <row r="584" spans="1:7">
      <c r="A584" s="884">
        <v>42896</v>
      </c>
      <c r="B584" s="240" t="str">
        <f>TiposLancamentos!B5</f>
        <v>Supermercado</v>
      </c>
      <c r="C584" s="878" t="s">
        <v>7046</v>
      </c>
      <c r="D584" s="63"/>
      <c r="E584" s="231">
        <v>183.02</v>
      </c>
      <c r="F584" s="1016"/>
      <c r="G584" s="1152" t="s">
        <v>9</v>
      </c>
    </row>
    <row r="585" spans="1:7">
      <c r="A585" s="884">
        <v>42897</v>
      </c>
      <c r="B585" s="240" t="str">
        <f>TiposLancamentos!B19</f>
        <v>Restaurantes</v>
      </c>
      <c r="C585" s="878" t="s">
        <v>11089</v>
      </c>
      <c r="D585" s="63"/>
      <c r="E585" s="231">
        <v>227.7</v>
      </c>
      <c r="F585" s="1016"/>
      <c r="G585" s="1152" t="s">
        <v>9</v>
      </c>
    </row>
    <row r="586" spans="1:7">
      <c r="A586" s="884">
        <v>42897</v>
      </c>
      <c r="B586" s="240" t="str">
        <f>TiposLancamentos!B19</f>
        <v>Restaurantes</v>
      </c>
      <c r="C586" s="878" t="s">
        <v>5840</v>
      </c>
      <c r="D586" s="63"/>
      <c r="E586" s="231">
        <v>28.9</v>
      </c>
      <c r="F586" s="1016"/>
      <c r="G586" s="1152" t="s">
        <v>9</v>
      </c>
    </row>
    <row r="587" spans="1:7">
      <c r="A587" s="884">
        <v>42901</v>
      </c>
      <c r="B587" s="240" t="str">
        <f>TiposLancamentos!B45</f>
        <v>Online Services</v>
      </c>
      <c r="C587" s="878" t="s">
        <v>11090</v>
      </c>
      <c r="D587" s="63"/>
      <c r="E587" s="231">
        <f>F587/3</f>
        <v>49.9</v>
      </c>
      <c r="F587" s="1016">
        <v>149.69999999999999</v>
      </c>
      <c r="G587" s="1152" t="s">
        <v>9</v>
      </c>
    </row>
    <row r="588" spans="1:7">
      <c r="A588" s="884">
        <v>42902</v>
      </c>
      <c r="B588" s="240" t="str">
        <f>TiposLancamentos!B16</f>
        <v>Cristiane</v>
      </c>
      <c r="C588" s="878" t="s">
        <v>11091</v>
      </c>
      <c r="D588" s="63"/>
      <c r="E588" s="231">
        <f>F588/6</f>
        <v>463.17</v>
      </c>
      <c r="F588" s="1016">
        <v>2779.02</v>
      </c>
      <c r="G588" s="1152" t="s">
        <v>9</v>
      </c>
    </row>
    <row r="589" spans="1:7">
      <c r="A589" s="884">
        <v>42902</v>
      </c>
      <c r="B589" s="240" t="str">
        <f>TiposLancamentos!B26</f>
        <v>LIVROS</v>
      </c>
      <c r="C589" s="878" t="s">
        <v>11092</v>
      </c>
      <c r="D589" s="63"/>
      <c r="E589" s="231">
        <v>24.99</v>
      </c>
      <c r="F589" s="1016"/>
      <c r="G589" s="1152" t="s">
        <v>9</v>
      </c>
    </row>
    <row r="590" spans="1:7">
      <c r="A590" s="934"/>
      <c r="B590" s="243"/>
      <c r="C590" s="389" t="s">
        <v>10</v>
      </c>
      <c r="D590" s="146"/>
      <c r="E590" s="146"/>
      <c r="F590" s="1231"/>
      <c r="G590" s="1094" t="s">
        <v>11</v>
      </c>
    </row>
    <row r="591" spans="1:7">
      <c r="A591" s="884">
        <v>42908</v>
      </c>
      <c r="B591" s="240" t="str">
        <f>TiposLancamentos!B19</f>
        <v>Restaurantes</v>
      </c>
      <c r="C591" s="878" t="s">
        <v>11093</v>
      </c>
      <c r="D591" s="63"/>
      <c r="E591" s="231">
        <v>77.8</v>
      </c>
      <c r="F591" s="1016"/>
      <c r="G591" s="1152" t="s">
        <v>9</v>
      </c>
    </row>
    <row r="592" spans="1:7">
      <c r="A592" s="884">
        <v>42911</v>
      </c>
      <c r="B592" s="240" t="str">
        <f>TiposLancamentos!B71</f>
        <v>Itens Pessoais</v>
      </c>
      <c r="C592" s="878" t="s">
        <v>11094</v>
      </c>
      <c r="D592" s="63"/>
      <c r="E592" s="231">
        <f>F592/10</f>
        <v>148.07</v>
      </c>
      <c r="F592" s="1016">
        <v>1480.7</v>
      </c>
      <c r="G592" s="1152" t="s">
        <v>9</v>
      </c>
    </row>
    <row r="593" spans="1:7">
      <c r="A593" s="884">
        <v>42914</v>
      </c>
      <c r="B593" s="240" t="str">
        <f>TiposLancamentos!B45</f>
        <v>Online Services</v>
      </c>
      <c r="C593" s="878" t="s">
        <v>1894</v>
      </c>
      <c r="D593" s="63"/>
      <c r="E593" s="231">
        <v>22.9</v>
      </c>
      <c r="F593" s="1016"/>
      <c r="G593" s="1152" t="s">
        <v>9</v>
      </c>
    </row>
    <row r="594" spans="1:7">
      <c r="A594" s="884">
        <v>42914</v>
      </c>
      <c r="B594" s="240" t="str">
        <f>TiposLancamentos!B45</f>
        <v>Online Services</v>
      </c>
      <c r="C594" s="878" t="s">
        <v>1895</v>
      </c>
      <c r="D594" s="63"/>
      <c r="E594" s="231">
        <v>26.9</v>
      </c>
      <c r="F594" s="1016"/>
      <c r="G594" s="1152" t="s">
        <v>9</v>
      </c>
    </row>
    <row r="595" spans="1:7" ht="14.25" thickBot="1">
      <c r="A595" s="885">
        <v>42916</v>
      </c>
      <c r="B595" s="1232" t="str">
        <f>TiposLancamentos!B19</f>
        <v>Restaurantes</v>
      </c>
      <c r="C595" s="1120" t="s">
        <v>11095</v>
      </c>
      <c r="D595" s="903"/>
      <c r="E595" s="928">
        <v>62.9</v>
      </c>
      <c r="F595" s="1036"/>
      <c r="G595" s="1152" t="s">
        <v>9</v>
      </c>
    </row>
    <row r="596" spans="1:7">
      <c r="A596" s="1032"/>
      <c r="B596" s="1230"/>
      <c r="C596" s="906" t="s">
        <v>11096</v>
      </c>
      <c r="D596" s="896"/>
      <c r="E596" s="925"/>
      <c r="F596" s="1034">
        <f>SUM(E553:E590)</f>
        <v>3537.9499999999994</v>
      </c>
      <c r="G596" s="3"/>
    </row>
    <row r="597" spans="1:7">
      <c r="A597" s="884">
        <v>42919</v>
      </c>
      <c r="B597" s="240" t="str">
        <f>TiposLancamentos!B15</f>
        <v>Cartões de Crédito</v>
      </c>
      <c r="C597" s="878" t="s">
        <v>1874</v>
      </c>
      <c r="D597" s="63">
        <v>3537.95</v>
      </c>
      <c r="E597" s="231"/>
      <c r="F597" s="1016">
        <f>F596-F568</f>
        <v>1047.29</v>
      </c>
      <c r="G597" s="1152" t="s">
        <v>9</v>
      </c>
    </row>
    <row r="598" spans="1:7">
      <c r="A598" s="884">
        <v>42926</v>
      </c>
      <c r="B598" s="240" t="str">
        <f>TiposLancamentos!B56</f>
        <v>Farmácia</v>
      </c>
      <c r="C598" s="878" t="s">
        <v>11097</v>
      </c>
      <c r="D598" s="63"/>
      <c r="E598" s="231">
        <v>190</v>
      </c>
      <c r="F598" s="1016">
        <v>380</v>
      </c>
      <c r="G598" s="1152" t="s">
        <v>9</v>
      </c>
    </row>
    <row r="599" spans="1:7">
      <c r="A599" s="884">
        <v>42931</v>
      </c>
      <c r="B599" s="240" t="str">
        <f>TiposLancamentos!B45</f>
        <v>Online Services</v>
      </c>
      <c r="C599" s="878" t="s">
        <v>11098</v>
      </c>
      <c r="D599" s="63"/>
      <c r="E599" s="231">
        <f>F599/3</f>
        <v>49.9</v>
      </c>
      <c r="F599" s="1016">
        <v>149.69999999999999</v>
      </c>
      <c r="G599" s="1152" t="s">
        <v>9</v>
      </c>
    </row>
    <row r="600" spans="1:7">
      <c r="A600" s="884">
        <v>42932</v>
      </c>
      <c r="B600" s="240" t="str">
        <f>TiposLancamentos!B16</f>
        <v>Cristiane</v>
      </c>
      <c r="C600" s="878" t="s">
        <v>11099</v>
      </c>
      <c r="D600" s="63"/>
      <c r="E600" s="231">
        <f>F600/6</f>
        <v>463.17</v>
      </c>
      <c r="F600" s="1016">
        <v>2779.02</v>
      </c>
      <c r="G600" s="1152" t="s">
        <v>9</v>
      </c>
    </row>
    <row r="601" spans="1:7">
      <c r="A601" s="884">
        <v>42936</v>
      </c>
      <c r="B601" s="240" t="str">
        <f>TiposLancamentos!B26</f>
        <v>LIVROS</v>
      </c>
      <c r="C601" s="878" t="s">
        <v>11100</v>
      </c>
      <c r="D601" s="63"/>
      <c r="E601" s="231">
        <v>94.5</v>
      </c>
      <c r="F601" s="1016"/>
      <c r="G601" s="1152" t="s">
        <v>9</v>
      </c>
    </row>
    <row r="602" spans="1:7">
      <c r="A602" s="884">
        <v>42937</v>
      </c>
      <c r="B602" s="240" t="str">
        <f>TiposLancamentos!B19</f>
        <v>Restaurantes</v>
      </c>
      <c r="C602" s="878" t="s">
        <v>11101</v>
      </c>
      <c r="D602" s="63"/>
      <c r="E602" s="231">
        <v>62.9</v>
      </c>
      <c r="F602" s="1016"/>
      <c r="G602" s="1152" t="s">
        <v>9</v>
      </c>
    </row>
    <row r="603" spans="1:7">
      <c r="A603" s="934"/>
      <c r="B603" s="243"/>
      <c r="C603" s="389" t="s">
        <v>10</v>
      </c>
      <c r="D603" s="146"/>
      <c r="E603" s="146"/>
      <c r="F603" s="1231"/>
      <c r="G603" s="1094" t="s">
        <v>11</v>
      </c>
    </row>
    <row r="604" spans="1:7">
      <c r="A604" s="884">
        <v>42941</v>
      </c>
      <c r="B604" s="240" t="str">
        <f>TiposLancamentos!B73</f>
        <v>Cursos</v>
      </c>
      <c r="C604" s="878" t="s">
        <v>11102</v>
      </c>
      <c r="D604" s="63"/>
      <c r="E604" s="231">
        <v>15</v>
      </c>
      <c r="F604" s="1016"/>
      <c r="G604" s="1152" t="s">
        <v>9</v>
      </c>
    </row>
    <row r="605" spans="1:7">
      <c r="A605" s="884">
        <v>42941</v>
      </c>
      <c r="B605" s="240" t="str">
        <f>TiposLancamentos!B71</f>
        <v>Itens Pessoais</v>
      </c>
      <c r="C605" s="878" t="s">
        <v>11103</v>
      </c>
      <c r="D605" s="63"/>
      <c r="E605" s="231">
        <f>F605/10</f>
        <v>148.07</v>
      </c>
      <c r="F605" s="1016">
        <v>1480.7</v>
      </c>
      <c r="G605" s="1152" t="s">
        <v>9</v>
      </c>
    </row>
    <row r="606" spans="1:7">
      <c r="A606" s="884">
        <v>42944</v>
      </c>
      <c r="B606" s="240" t="str">
        <f>TiposLancamentos!B45</f>
        <v>Online Services</v>
      </c>
      <c r="C606" s="878" t="s">
        <v>1894</v>
      </c>
      <c r="D606" s="63"/>
      <c r="E606" s="231">
        <v>22.9</v>
      </c>
      <c r="F606" s="1016"/>
      <c r="G606" s="1152" t="s">
        <v>9</v>
      </c>
    </row>
    <row r="607" spans="1:7">
      <c r="A607" s="884">
        <v>42944</v>
      </c>
      <c r="B607" s="240" t="str">
        <f>TiposLancamentos!B45</f>
        <v>Online Services</v>
      </c>
      <c r="C607" s="878" t="s">
        <v>1895</v>
      </c>
      <c r="D607" s="63"/>
      <c r="E607" s="231">
        <v>26.9</v>
      </c>
      <c r="F607" s="1016"/>
      <c r="G607" s="1152" t="s">
        <v>9</v>
      </c>
    </row>
    <row r="608" spans="1:7">
      <c r="A608" s="884">
        <v>42946</v>
      </c>
      <c r="B608" s="240" t="str">
        <f>TiposLancamentos!B19</f>
        <v>Restaurantes</v>
      </c>
      <c r="C608" s="878" t="s">
        <v>11104</v>
      </c>
      <c r="D608" s="63"/>
      <c r="E608" s="231">
        <v>43.67</v>
      </c>
      <c r="F608" s="1016"/>
      <c r="G608" s="1152" t="s">
        <v>9</v>
      </c>
    </row>
    <row r="609" spans="1:7">
      <c r="A609" s="884">
        <v>42946</v>
      </c>
      <c r="B609" s="240" t="str">
        <f>TiposLancamentos!B5</f>
        <v>Supermercado</v>
      </c>
      <c r="C609" s="878" t="s">
        <v>11105</v>
      </c>
      <c r="D609" s="63"/>
      <c r="E609" s="231">
        <v>130.16</v>
      </c>
      <c r="F609" s="1016"/>
      <c r="G609" s="1152" t="s">
        <v>9</v>
      </c>
    </row>
    <row r="610" spans="1:7">
      <c r="A610" s="884">
        <v>42946</v>
      </c>
      <c r="B610" s="240" t="str">
        <f>TiposLancamentos!B5</f>
        <v>Supermercado</v>
      </c>
      <c r="C610" s="878" t="s">
        <v>11106</v>
      </c>
      <c r="D610" s="63"/>
      <c r="E610" s="231">
        <v>63.62</v>
      </c>
      <c r="F610" s="1016"/>
      <c r="G610" s="1152" t="s">
        <v>9</v>
      </c>
    </row>
    <row r="611" spans="1:7" ht="14.25" thickBot="1">
      <c r="A611" s="885">
        <v>42947</v>
      </c>
      <c r="B611" s="1232" t="str">
        <f>TiposLancamentos!B5</f>
        <v>Supermercado</v>
      </c>
      <c r="C611" s="1120" t="s">
        <v>11107</v>
      </c>
      <c r="D611" s="903"/>
      <c r="E611" s="928">
        <v>45.42</v>
      </c>
      <c r="F611" s="1036"/>
      <c r="G611" s="1152" t="s">
        <v>9</v>
      </c>
    </row>
    <row r="612" spans="1:7">
      <c r="A612" s="1032"/>
      <c r="B612" s="1230"/>
      <c r="C612" s="906" t="s">
        <v>11108</v>
      </c>
      <c r="D612" s="896"/>
      <c r="E612" s="925"/>
      <c r="F612" s="1034">
        <f>SUM(E591:E602)</f>
        <v>1199.04</v>
      </c>
      <c r="G612" s="3"/>
    </row>
    <row r="613" spans="1:7">
      <c r="A613" s="884">
        <v>42948</v>
      </c>
      <c r="B613" s="240" t="str">
        <f>TiposLancamentos!B15</f>
        <v>Cartões de Crédito</v>
      </c>
      <c r="C613" s="878" t="s">
        <v>11109</v>
      </c>
      <c r="D613" s="63">
        <f>Santander!E778</f>
        <v>1199.04</v>
      </c>
      <c r="E613" s="231"/>
      <c r="F613" s="1016">
        <f>F612-F596</f>
        <v>-2338.9099999999994</v>
      </c>
      <c r="G613" s="3"/>
    </row>
    <row r="614" spans="1:7">
      <c r="A614" s="884">
        <v>42948</v>
      </c>
      <c r="B614" s="240" t="str">
        <f>TiposLancamentos!B16</f>
        <v>Cristiane</v>
      </c>
      <c r="C614" s="878" t="s">
        <v>11110</v>
      </c>
      <c r="D614" s="63"/>
      <c r="E614" s="231">
        <v>41.65</v>
      </c>
      <c r="F614" s="1016"/>
      <c r="G614" s="1152" t="s">
        <v>9</v>
      </c>
    </row>
    <row r="615" spans="1:7">
      <c r="A615" s="884">
        <v>42948</v>
      </c>
      <c r="B615" s="240" t="str">
        <f>TiposLancamentos!B19</f>
        <v>Restaurantes</v>
      </c>
      <c r="C615" s="878" t="s">
        <v>11111</v>
      </c>
      <c r="D615" s="63"/>
      <c r="E615" s="231">
        <v>90.2</v>
      </c>
      <c r="F615" s="1016"/>
      <c r="G615" s="1152" t="s">
        <v>9</v>
      </c>
    </row>
    <row r="616" spans="1:7">
      <c r="A616" s="884">
        <v>42949</v>
      </c>
      <c r="B616" s="240" t="str">
        <f>TiposLancamentos!B5</f>
        <v>Supermercado</v>
      </c>
      <c r="C616" s="878" t="s">
        <v>11038</v>
      </c>
      <c r="D616" s="63"/>
      <c r="E616" s="231">
        <v>20.100000000000001</v>
      </c>
      <c r="F616" s="1016"/>
      <c r="G616" s="1152" t="s">
        <v>9</v>
      </c>
    </row>
    <row r="617" spans="1:7">
      <c r="A617" s="884">
        <v>42951</v>
      </c>
      <c r="B617" s="240" t="str">
        <f>TiposLancamentos!B71</f>
        <v>Itens Pessoais</v>
      </c>
      <c r="C617" s="878" t="s">
        <v>11112</v>
      </c>
      <c r="D617" s="63"/>
      <c r="E617" s="231">
        <v>119</v>
      </c>
      <c r="F617" s="1016"/>
      <c r="G617" s="1152" t="s">
        <v>9</v>
      </c>
    </row>
    <row r="618" spans="1:7">
      <c r="A618" s="884">
        <v>42951</v>
      </c>
      <c r="B618" s="240" t="str">
        <f>TiposLancamentos!B17</f>
        <v>GATO</v>
      </c>
      <c r="C618" s="878" t="s">
        <v>11113</v>
      </c>
      <c r="D618" s="63"/>
      <c r="E618" s="231">
        <v>210.87</v>
      </c>
      <c r="F618" s="1016"/>
      <c r="G618" s="1152" t="s">
        <v>9</v>
      </c>
    </row>
    <row r="619" spans="1:7">
      <c r="A619" s="884">
        <v>42951</v>
      </c>
      <c r="B619" s="240" t="str">
        <f>TiposLancamentos!B19</f>
        <v>Restaurantes</v>
      </c>
      <c r="C619" s="878" t="s">
        <v>11114</v>
      </c>
      <c r="D619" s="63"/>
      <c r="E619" s="231">
        <v>89.43</v>
      </c>
      <c r="F619" s="1016"/>
      <c r="G619" s="1152" t="s">
        <v>9</v>
      </c>
    </row>
    <row r="620" spans="1:7">
      <c r="A620" s="884">
        <v>42953</v>
      </c>
      <c r="B620" s="240" t="str">
        <f>TiposLancamentos!B19</f>
        <v>Restaurantes</v>
      </c>
      <c r="C620" s="878" t="s">
        <v>11115</v>
      </c>
      <c r="D620" s="63"/>
      <c r="E620" s="231">
        <v>165.66</v>
      </c>
      <c r="F620" s="1016"/>
      <c r="G620" s="1152" t="s">
        <v>9</v>
      </c>
    </row>
    <row r="621" spans="1:7">
      <c r="A621" s="884">
        <v>42953</v>
      </c>
      <c r="B621" s="240" t="str">
        <f>TiposLancamentos!B62</f>
        <v>Papelaria</v>
      </c>
      <c r="C621" s="878" t="s">
        <v>11116</v>
      </c>
      <c r="D621" s="63"/>
      <c r="E621" s="231">
        <v>58.2</v>
      </c>
      <c r="F621" s="1016"/>
      <c r="G621" s="1152" t="s">
        <v>9</v>
      </c>
    </row>
    <row r="622" spans="1:7">
      <c r="A622" s="884">
        <v>42953</v>
      </c>
      <c r="B622" s="240" t="str">
        <f>TiposLancamentos!B19</f>
        <v>Restaurantes</v>
      </c>
      <c r="C622" s="878" t="s">
        <v>11117</v>
      </c>
      <c r="D622" s="63"/>
      <c r="E622" s="231">
        <v>67.400000000000006</v>
      </c>
      <c r="F622" s="1016"/>
      <c r="G622" s="1152" t="s">
        <v>9</v>
      </c>
    </row>
    <row r="623" spans="1:7">
      <c r="A623" s="884">
        <v>42954</v>
      </c>
      <c r="B623" s="240" t="str">
        <f>TiposLancamentos!B5</f>
        <v>Supermercado</v>
      </c>
      <c r="C623" s="878" t="s">
        <v>5844</v>
      </c>
      <c r="D623" s="63"/>
      <c r="E623" s="231">
        <v>83.13</v>
      </c>
      <c r="F623" s="1016"/>
      <c r="G623" s="1152" t="s">
        <v>9</v>
      </c>
    </row>
    <row r="624" spans="1:7">
      <c r="A624" s="858">
        <v>42956</v>
      </c>
      <c r="B624" s="822" t="str">
        <f>TiposLancamentos!B16</f>
        <v>Cristiane</v>
      </c>
      <c r="C624" s="808" t="s">
        <v>11118</v>
      </c>
      <c r="D624" s="747"/>
      <c r="E624" s="1139">
        <f>F625-E625</f>
        <v>67.600000000000009</v>
      </c>
      <c r="F624" s="1145"/>
      <c r="G624" s="1152" t="s">
        <v>9</v>
      </c>
    </row>
    <row r="625" spans="1:7">
      <c r="A625" s="862">
        <v>42956</v>
      </c>
      <c r="B625" s="823" t="str">
        <f>TiposLancamentos!B62</f>
        <v>Papelaria</v>
      </c>
      <c r="C625" s="812" t="s">
        <v>11119</v>
      </c>
      <c r="D625" s="849"/>
      <c r="E625" s="1141">
        <f>(12.9*2)+13</f>
        <v>38.799999999999997</v>
      </c>
      <c r="F625" s="1146">
        <v>106.4</v>
      </c>
      <c r="G625" s="1152" t="s">
        <v>9</v>
      </c>
    </row>
    <row r="626" spans="1:7">
      <c r="A626" s="858">
        <v>42956</v>
      </c>
      <c r="B626" s="822" t="str">
        <f>TiposLancamentos!B16</f>
        <v>Cristiane</v>
      </c>
      <c r="C626" s="808" t="s">
        <v>11120</v>
      </c>
      <c r="D626" s="747"/>
      <c r="E626" s="1139">
        <f>F627-E627</f>
        <v>31.97</v>
      </c>
      <c r="F626" s="1145"/>
      <c r="G626" s="1152" t="s">
        <v>9</v>
      </c>
    </row>
    <row r="627" spans="1:7">
      <c r="A627" s="862">
        <v>42956</v>
      </c>
      <c r="B627" s="823" t="str">
        <f>TiposLancamentos!B71</f>
        <v>Itens Pessoais</v>
      </c>
      <c r="C627" s="812" t="s">
        <v>11121</v>
      </c>
      <c r="D627" s="849"/>
      <c r="E627" s="1141">
        <v>8.99</v>
      </c>
      <c r="F627" s="1146">
        <v>40.96</v>
      </c>
      <c r="G627" s="1152" t="s">
        <v>9</v>
      </c>
    </row>
    <row r="628" spans="1:7">
      <c r="A628" s="884">
        <v>42956</v>
      </c>
      <c r="B628" s="240" t="str">
        <f>TiposLancamentos!B27</f>
        <v>Jornais e revistas</v>
      </c>
      <c r="C628" s="878" t="s">
        <v>11122</v>
      </c>
      <c r="D628" s="63"/>
      <c r="E628" s="231">
        <v>14</v>
      </c>
      <c r="F628" s="1016"/>
      <c r="G628" s="1152" t="s">
        <v>9</v>
      </c>
    </row>
    <row r="629" spans="1:7">
      <c r="A629" s="884">
        <v>42956</v>
      </c>
      <c r="B629" s="240" t="str">
        <f>TiposLancamentos!B19</f>
        <v>Restaurantes</v>
      </c>
      <c r="C629" s="878" t="s">
        <v>11123</v>
      </c>
      <c r="D629" s="63"/>
      <c r="E629" s="231">
        <v>81</v>
      </c>
      <c r="F629" s="1016"/>
      <c r="G629" s="1152" t="s">
        <v>9</v>
      </c>
    </row>
    <row r="630" spans="1:7">
      <c r="A630" s="884">
        <v>42957</v>
      </c>
      <c r="B630" s="240" t="str">
        <f>TiposLancamentos!B56</f>
        <v>Farmácia</v>
      </c>
      <c r="C630" s="878" t="s">
        <v>6641</v>
      </c>
      <c r="D630" s="63"/>
      <c r="E630" s="231">
        <v>24.9</v>
      </c>
      <c r="F630" s="1016"/>
      <c r="G630" s="1152" t="s">
        <v>9</v>
      </c>
    </row>
    <row r="631" spans="1:7">
      <c r="A631" s="884">
        <v>42959</v>
      </c>
      <c r="B631" s="240" t="str">
        <f>TiposLancamentos!B5</f>
        <v>Supermercado</v>
      </c>
      <c r="C631" s="878" t="s">
        <v>6234</v>
      </c>
      <c r="D631" s="63"/>
      <c r="E631" s="231">
        <v>169.74</v>
      </c>
      <c r="F631" s="1016"/>
      <c r="G631" s="1152" t="s">
        <v>9</v>
      </c>
    </row>
    <row r="632" spans="1:7">
      <c r="A632" s="884">
        <v>42960</v>
      </c>
      <c r="B632" s="240" t="str">
        <f>TiposLancamentos!B19</f>
        <v>Restaurantes</v>
      </c>
      <c r="C632" s="878" t="s">
        <v>11124</v>
      </c>
      <c r="D632" s="63"/>
      <c r="E632" s="231">
        <v>152.68</v>
      </c>
      <c r="F632" s="1016"/>
      <c r="G632" s="1152" t="s">
        <v>9</v>
      </c>
    </row>
    <row r="633" spans="1:7">
      <c r="A633" s="884">
        <v>42960</v>
      </c>
      <c r="B633" s="240" t="str">
        <f>TiposLancamentos!B56</f>
        <v>Farmácia</v>
      </c>
      <c r="C633" s="878" t="s">
        <v>6118</v>
      </c>
      <c r="D633" s="63"/>
      <c r="E633" s="231">
        <v>74.16</v>
      </c>
      <c r="F633" s="1016"/>
      <c r="G633" s="1152" t="s">
        <v>9</v>
      </c>
    </row>
    <row r="634" spans="1:7">
      <c r="A634" s="884">
        <v>42960</v>
      </c>
      <c r="B634" s="240" t="str">
        <f>TiposLancamentos!B56</f>
        <v>Farmácia</v>
      </c>
      <c r="C634" s="878" t="s">
        <v>11125</v>
      </c>
      <c r="D634" s="63"/>
      <c r="E634" s="231">
        <v>65.22</v>
      </c>
      <c r="F634" s="1016"/>
      <c r="G634" s="1152" t="s">
        <v>9</v>
      </c>
    </row>
    <row r="635" spans="1:7">
      <c r="A635" s="884">
        <v>42960</v>
      </c>
      <c r="B635" s="240" t="str">
        <f>TiposLancamentos!B19</f>
        <v>Restaurantes</v>
      </c>
      <c r="C635" s="878" t="s">
        <v>11126</v>
      </c>
      <c r="D635" s="63"/>
      <c r="E635" s="231">
        <v>64</v>
      </c>
      <c r="F635" s="1016"/>
      <c r="G635" s="1152" t="s">
        <v>9</v>
      </c>
    </row>
    <row r="636" spans="1:7">
      <c r="A636" s="884">
        <v>42962</v>
      </c>
      <c r="B636" s="240" t="str">
        <f>TiposLancamentos!B45</f>
        <v>Online Services</v>
      </c>
      <c r="C636" s="878" t="s">
        <v>11127</v>
      </c>
      <c r="D636" s="63"/>
      <c r="E636" s="231">
        <f>F636/3</f>
        <v>49.9</v>
      </c>
      <c r="F636" s="1016">
        <v>149.69999999999999</v>
      </c>
      <c r="G636" s="1152" t="s">
        <v>9</v>
      </c>
    </row>
    <row r="637" spans="1:7">
      <c r="A637" s="884">
        <v>42963</v>
      </c>
      <c r="B637" s="240" t="str">
        <f>TiposLancamentos!B56</f>
        <v>Farmácia</v>
      </c>
      <c r="C637" s="878" t="s">
        <v>11086</v>
      </c>
      <c r="D637" s="63"/>
      <c r="E637" s="231">
        <v>190</v>
      </c>
      <c r="F637" s="1016">
        <v>380</v>
      </c>
      <c r="G637" s="1152" t="s">
        <v>9</v>
      </c>
    </row>
    <row r="638" spans="1:7">
      <c r="A638" s="884">
        <v>42966</v>
      </c>
      <c r="B638" s="240" t="str">
        <f>TiposLancamentos!B19</f>
        <v>Restaurantes</v>
      </c>
      <c r="C638" s="878" t="s">
        <v>11128</v>
      </c>
      <c r="D638" s="63"/>
      <c r="E638" s="231">
        <v>77.8</v>
      </c>
      <c r="F638" s="1016"/>
      <c r="G638" s="1152" t="s">
        <v>9</v>
      </c>
    </row>
    <row r="639" spans="1:7">
      <c r="A639" s="934"/>
      <c r="B639" s="243"/>
      <c r="C639" s="389" t="s">
        <v>10</v>
      </c>
      <c r="D639" s="146"/>
      <c r="E639" s="146"/>
      <c r="F639" s="1231"/>
      <c r="G639" s="1094" t="s">
        <v>11</v>
      </c>
    </row>
    <row r="640" spans="1:7">
      <c r="A640" s="884">
        <v>42971</v>
      </c>
      <c r="B640" s="240" t="str">
        <f>TiposLancamentos!B19</f>
        <v>Restaurantes</v>
      </c>
      <c r="C640" s="878" t="s">
        <v>11129</v>
      </c>
      <c r="D640" s="63"/>
      <c r="E640" s="231">
        <v>48.8</v>
      </c>
      <c r="F640" s="1016"/>
      <c r="G640" s="1152" t="s">
        <v>9</v>
      </c>
    </row>
    <row r="641" spans="1:7">
      <c r="A641" s="884">
        <v>42972</v>
      </c>
      <c r="B641" s="240" t="str">
        <f>TiposLancamentos!B73</f>
        <v>Cursos</v>
      </c>
      <c r="C641" s="878" t="s">
        <v>11102</v>
      </c>
      <c r="D641" s="63"/>
      <c r="E641" s="231">
        <v>15</v>
      </c>
      <c r="F641" s="1016"/>
      <c r="G641" s="1152" t="s">
        <v>9</v>
      </c>
    </row>
    <row r="642" spans="1:7">
      <c r="A642" s="884">
        <v>42972</v>
      </c>
      <c r="B642" s="240" t="str">
        <f>TiposLancamentos!B19</f>
        <v>Restaurantes</v>
      </c>
      <c r="C642" s="878" t="s">
        <v>11130</v>
      </c>
      <c r="D642" s="63"/>
      <c r="E642" s="231">
        <v>278.7</v>
      </c>
      <c r="F642" s="1016" t="s">
        <v>11131</v>
      </c>
      <c r="G642" s="1152" t="s">
        <v>9</v>
      </c>
    </row>
    <row r="643" spans="1:7">
      <c r="A643" s="884">
        <v>42972</v>
      </c>
      <c r="B643" s="240" t="str">
        <f>TiposLancamentos!B65</f>
        <v>Taxi</v>
      </c>
      <c r="C643" s="878" t="s">
        <v>11132</v>
      </c>
      <c r="D643" s="63"/>
      <c r="E643" s="231">
        <v>19.809999999999999</v>
      </c>
      <c r="F643" s="1016" t="s">
        <v>11133</v>
      </c>
      <c r="G643" s="1152" t="s">
        <v>9</v>
      </c>
    </row>
    <row r="644" spans="1:7">
      <c r="A644" s="884">
        <v>42973</v>
      </c>
      <c r="B644" s="240" t="str">
        <f>TiposLancamentos!B19</f>
        <v>Restaurantes</v>
      </c>
      <c r="C644" s="878" t="s">
        <v>11134</v>
      </c>
      <c r="D644" s="63"/>
      <c r="E644" s="231">
        <v>269.73</v>
      </c>
      <c r="F644" s="1016" t="s">
        <v>11135</v>
      </c>
      <c r="G644" s="1152" t="s">
        <v>9</v>
      </c>
    </row>
    <row r="645" spans="1:7">
      <c r="A645" s="884">
        <v>42973</v>
      </c>
      <c r="B645" s="240" t="str">
        <f>TiposLancamentos!B72</f>
        <v>Presentes</v>
      </c>
      <c r="C645" s="878" t="s">
        <v>11136</v>
      </c>
      <c r="D645" s="63"/>
      <c r="E645" s="231">
        <v>112.39</v>
      </c>
      <c r="F645" s="1016" t="s">
        <v>11137</v>
      </c>
      <c r="G645" s="1152" t="s">
        <v>9</v>
      </c>
    </row>
    <row r="646" spans="1:7">
      <c r="A646" s="884">
        <v>42973</v>
      </c>
      <c r="B646" s="240" t="str">
        <f>TiposLancamentos!B65</f>
        <v>Taxi</v>
      </c>
      <c r="C646" s="878" t="s">
        <v>11132</v>
      </c>
      <c r="D646" s="63"/>
      <c r="E646" s="231">
        <v>16.64</v>
      </c>
      <c r="F646" s="1016" t="s">
        <v>11138</v>
      </c>
      <c r="G646" s="1152" t="s">
        <v>9</v>
      </c>
    </row>
    <row r="647" spans="1:7">
      <c r="A647" s="884">
        <v>42974</v>
      </c>
      <c r="B647" s="240" t="str">
        <f>TiposLancamentos!B65</f>
        <v>Taxi</v>
      </c>
      <c r="C647" s="878" t="s">
        <v>11132</v>
      </c>
      <c r="D647" s="63"/>
      <c r="E647" s="231">
        <v>12.26</v>
      </c>
      <c r="F647" s="1016" t="s">
        <v>11139</v>
      </c>
      <c r="G647" s="1152" t="s">
        <v>9</v>
      </c>
    </row>
    <row r="648" spans="1:7">
      <c r="A648" s="884">
        <v>42974</v>
      </c>
      <c r="B648" s="240" t="str">
        <f>TiposLancamentos!B19</f>
        <v>Restaurantes</v>
      </c>
      <c r="C648" s="878" t="s">
        <v>11140</v>
      </c>
      <c r="D648" s="63"/>
      <c r="E648" s="231">
        <v>173.65</v>
      </c>
      <c r="F648" s="1016" t="s">
        <v>11141</v>
      </c>
      <c r="G648" s="1152" t="s">
        <v>9</v>
      </c>
    </row>
    <row r="649" spans="1:7">
      <c r="A649" s="884">
        <v>42974</v>
      </c>
      <c r="B649" s="240" t="str">
        <f>TiposLancamentos!B19</f>
        <v>Restaurantes</v>
      </c>
      <c r="C649" s="878" t="s">
        <v>11142</v>
      </c>
      <c r="D649" s="63"/>
      <c r="E649" s="231">
        <v>24.92</v>
      </c>
      <c r="F649" s="1016" t="s">
        <v>11143</v>
      </c>
      <c r="G649" s="1152" t="s">
        <v>9</v>
      </c>
    </row>
    <row r="650" spans="1:7">
      <c r="A650" s="884">
        <v>42974</v>
      </c>
      <c r="B650" s="240" t="str">
        <f>TiposLancamentos!B64</f>
        <v>Viagens</v>
      </c>
      <c r="C650" s="878" t="s">
        <v>11144</v>
      </c>
      <c r="D650" s="63"/>
      <c r="E650" s="231">
        <v>250.97</v>
      </c>
      <c r="F650" s="1016" t="s">
        <v>11145</v>
      </c>
      <c r="G650" s="1152" t="s">
        <v>9</v>
      </c>
    </row>
    <row r="651" spans="1:7">
      <c r="A651" s="884">
        <v>42975</v>
      </c>
      <c r="B651" s="240" t="str">
        <f>TiposLancamentos!B45</f>
        <v>Online Services</v>
      </c>
      <c r="C651" s="878" t="s">
        <v>1894</v>
      </c>
      <c r="D651" s="63"/>
      <c r="E651" s="231">
        <v>22.9</v>
      </c>
      <c r="F651" s="1016"/>
      <c r="G651" s="1152" t="s">
        <v>9</v>
      </c>
    </row>
    <row r="652" spans="1:7">
      <c r="A652" s="884">
        <v>42975</v>
      </c>
      <c r="B652" s="240" t="str">
        <f>TiposLancamentos!B45</f>
        <v>Online Services</v>
      </c>
      <c r="C652" s="878" t="s">
        <v>1895</v>
      </c>
      <c r="D652" s="63"/>
      <c r="E652" s="231">
        <v>26.9</v>
      </c>
      <c r="F652" s="1016"/>
      <c r="G652" s="1152" t="s">
        <v>9</v>
      </c>
    </row>
    <row r="653" spans="1:7">
      <c r="A653" s="884">
        <v>42978</v>
      </c>
      <c r="B653" s="240" t="str">
        <f>TiposLancamentos!B16</f>
        <v>Cristiane</v>
      </c>
      <c r="C653" s="878" t="s">
        <v>11146</v>
      </c>
      <c r="D653" s="63"/>
      <c r="E653" s="231">
        <v>34.9</v>
      </c>
      <c r="F653" s="1016"/>
      <c r="G653" s="1152" t="s">
        <v>9</v>
      </c>
    </row>
    <row r="654" spans="1:7" ht="14.25" thickBot="1">
      <c r="A654" s="885">
        <v>42978</v>
      </c>
      <c r="B654" s="1232" t="str">
        <f>TiposLancamentos!B19</f>
        <v>Restaurantes</v>
      </c>
      <c r="C654" s="1120" t="s">
        <v>11147</v>
      </c>
      <c r="D654" s="903"/>
      <c r="E654" s="928">
        <v>91.85</v>
      </c>
      <c r="F654" s="1036"/>
      <c r="G654" s="1152" t="s">
        <v>9</v>
      </c>
    </row>
    <row r="655" spans="1:7">
      <c r="A655" s="1032"/>
      <c r="B655" s="1230"/>
      <c r="C655" s="906" t="s">
        <v>11148</v>
      </c>
      <c r="D655" s="896"/>
      <c r="E655" s="925"/>
      <c r="F655" s="1034">
        <f>SUM(E604:E638)</f>
        <v>2552.1400000000008</v>
      </c>
      <c r="G655" s="3"/>
    </row>
    <row r="656" spans="1:7">
      <c r="A656" s="884">
        <v>42979</v>
      </c>
      <c r="B656" s="240" t="str">
        <f>TiposLancamentos!B15</f>
        <v>Cartões de Crédito</v>
      </c>
      <c r="C656" s="878" t="s">
        <v>11149</v>
      </c>
      <c r="D656" s="63">
        <v>2552.14</v>
      </c>
      <c r="E656" s="231"/>
      <c r="F656" s="1016">
        <f>F655-F612</f>
        <v>1353.1000000000008</v>
      </c>
      <c r="G656" s="3"/>
    </row>
    <row r="657" spans="1:7">
      <c r="A657" s="884">
        <v>42979</v>
      </c>
      <c r="B657" s="240" t="str">
        <f>TiposLancamentos!B5</f>
        <v>Supermercado</v>
      </c>
      <c r="C657" s="878" t="s">
        <v>11150</v>
      </c>
      <c r="D657" s="63"/>
      <c r="E657" s="231">
        <v>90</v>
      </c>
      <c r="F657" s="1016"/>
      <c r="G657" s="1152" t="s">
        <v>9</v>
      </c>
    </row>
    <row r="658" spans="1:7">
      <c r="A658" s="858">
        <v>42980</v>
      </c>
      <c r="B658" s="822" t="str">
        <f>TiposLancamentos!B16</f>
        <v>Cristiane</v>
      </c>
      <c r="C658" s="808" t="s">
        <v>11151</v>
      </c>
      <c r="D658" s="747"/>
      <c r="E658" s="1139">
        <f>F659-E659</f>
        <v>102.35</v>
      </c>
      <c r="F658" s="1145"/>
      <c r="G658" s="1152" t="s">
        <v>9</v>
      </c>
    </row>
    <row r="659" spans="1:7">
      <c r="A659" s="862">
        <v>42980</v>
      </c>
      <c r="B659" s="823" t="str">
        <f>TiposLancamentos!B5</f>
        <v>Supermercado</v>
      </c>
      <c r="C659" s="812" t="s">
        <v>11152</v>
      </c>
      <c r="D659" s="849"/>
      <c r="E659" s="1141">
        <f>(3*14.95)</f>
        <v>44.849999999999994</v>
      </c>
      <c r="F659" s="1146">
        <v>147.19999999999999</v>
      </c>
      <c r="G659" s="1152" t="s">
        <v>9</v>
      </c>
    </row>
    <row r="660" spans="1:7">
      <c r="A660" s="884">
        <v>42980</v>
      </c>
      <c r="B660" s="240" t="str">
        <f>TiposLancamentos!B19</f>
        <v>Restaurantes</v>
      </c>
      <c r="C660" s="878" t="s">
        <v>11153</v>
      </c>
      <c r="D660" s="63"/>
      <c r="E660" s="231">
        <v>24.01</v>
      </c>
      <c r="F660" s="1016"/>
      <c r="G660" s="1152" t="s">
        <v>9</v>
      </c>
    </row>
    <row r="661" spans="1:7">
      <c r="A661" s="884">
        <v>42981</v>
      </c>
      <c r="B661" s="240" t="str">
        <f>TiposLancamentos!B5</f>
        <v>Supermercado</v>
      </c>
      <c r="C661" s="878" t="s">
        <v>6234</v>
      </c>
      <c r="D661" s="63"/>
      <c r="E661" s="231">
        <v>66.8</v>
      </c>
      <c r="F661" s="1016"/>
      <c r="G661" s="1152" t="s">
        <v>9</v>
      </c>
    </row>
    <row r="662" spans="1:7">
      <c r="A662" s="884">
        <v>42981</v>
      </c>
      <c r="B662" s="240" t="str">
        <f>TiposLancamentos!B19</f>
        <v>Restaurantes</v>
      </c>
      <c r="C662" s="878" t="s">
        <v>11154</v>
      </c>
      <c r="D662" s="63"/>
      <c r="E662" s="231">
        <v>85.4</v>
      </c>
      <c r="F662" s="1016"/>
      <c r="G662" s="1152" t="s">
        <v>9</v>
      </c>
    </row>
    <row r="663" spans="1:7">
      <c r="A663" s="884">
        <v>42981</v>
      </c>
      <c r="B663" s="240" t="str">
        <f>TiposLancamentos!B17</f>
        <v>GATO</v>
      </c>
      <c r="C663" s="878" t="s">
        <v>11155</v>
      </c>
      <c r="D663" s="63"/>
      <c r="E663" s="231">
        <v>46.51</v>
      </c>
      <c r="F663" s="1016"/>
      <c r="G663" s="1152" t="s">
        <v>9</v>
      </c>
    </row>
    <row r="664" spans="1:7">
      <c r="A664" s="884">
        <v>42982</v>
      </c>
      <c r="B664" s="240" t="str">
        <f>TiposLancamentos!B44</f>
        <v>Academia</v>
      </c>
      <c r="C664" s="878" t="s">
        <v>11156</v>
      </c>
      <c r="D664" s="63"/>
      <c r="E664" s="231">
        <f>F664/4</f>
        <v>160.55000000000001</v>
      </c>
      <c r="F664" s="1016">
        <v>642.20000000000005</v>
      </c>
      <c r="G664" s="1152" t="s">
        <v>9</v>
      </c>
    </row>
    <row r="665" spans="1:7">
      <c r="A665" s="884">
        <v>42982</v>
      </c>
      <c r="B665" s="240" t="str">
        <f>TiposLancamentos!B16</f>
        <v>Cristiane</v>
      </c>
      <c r="C665" s="878" t="s">
        <v>11157</v>
      </c>
      <c r="D665" s="63"/>
      <c r="E665" s="231">
        <v>10.36</v>
      </c>
      <c r="F665" s="1016"/>
      <c r="G665" s="1152" t="s">
        <v>9</v>
      </c>
    </row>
    <row r="666" spans="1:7">
      <c r="A666" s="884">
        <v>42982</v>
      </c>
      <c r="B666" s="240" t="str">
        <f>TiposLancamentos!B19</f>
        <v>Restaurantes</v>
      </c>
      <c r="C666" s="878" t="s">
        <v>11158</v>
      </c>
      <c r="D666" s="63"/>
      <c r="E666" s="231">
        <v>92.82</v>
      </c>
      <c r="F666" s="1016"/>
      <c r="G666" s="1152" t="s">
        <v>9</v>
      </c>
    </row>
    <row r="667" spans="1:7">
      <c r="A667" s="884">
        <v>42984</v>
      </c>
      <c r="B667" s="240" t="str">
        <f>TiposLancamentos!B19</f>
        <v>Restaurantes</v>
      </c>
      <c r="C667" s="878" t="s">
        <v>11114</v>
      </c>
      <c r="D667" s="63"/>
      <c r="E667" s="231">
        <v>66.900000000000006</v>
      </c>
      <c r="F667" s="1016"/>
      <c r="G667" s="1152" t="s">
        <v>9</v>
      </c>
    </row>
    <row r="668" spans="1:7">
      <c r="A668" s="884">
        <v>42985</v>
      </c>
      <c r="B668" s="240" t="str">
        <f>TiposLancamentos!B19</f>
        <v>Restaurantes</v>
      </c>
      <c r="C668" s="878" t="s">
        <v>11159</v>
      </c>
      <c r="D668" s="63"/>
      <c r="E668" s="231">
        <v>181.5</v>
      </c>
      <c r="F668" s="1016"/>
      <c r="G668" s="1152" t="s">
        <v>9</v>
      </c>
    </row>
    <row r="669" spans="1:7">
      <c r="A669" s="884">
        <v>42985</v>
      </c>
      <c r="B669" s="240" t="str">
        <f>TiposLancamentos!B16</f>
        <v>Cristiane</v>
      </c>
      <c r="C669" s="878" t="s">
        <v>11160</v>
      </c>
      <c r="D669" s="63"/>
      <c r="E669" s="231">
        <v>28.35</v>
      </c>
      <c r="F669" s="1016"/>
      <c r="G669" s="1152" t="s">
        <v>9</v>
      </c>
    </row>
    <row r="670" spans="1:7">
      <c r="A670" s="884">
        <v>42985</v>
      </c>
      <c r="B670" s="240" t="str">
        <f>TiposLancamentos!B5</f>
        <v>Supermercado</v>
      </c>
      <c r="C670" s="878" t="s">
        <v>6234</v>
      </c>
      <c r="D670" s="63"/>
      <c r="E670" s="231">
        <v>83.42</v>
      </c>
      <c r="F670" s="1016"/>
      <c r="G670" s="1152" t="s">
        <v>9</v>
      </c>
    </row>
    <row r="671" spans="1:7">
      <c r="A671" s="884">
        <v>42987</v>
      </c>
      <c r="B671" s="240" t="str">
        <f>TiposLancamentos!B16</f>
        <v>Cristiane</v>
      </c>
      <c r="C671" s="878" t="s">
        <v>11161</v>
      </c>
      <c r="D671" s="63"/>
      <c r="E671" s="231">
        <v>192.96</v>
      </c>
      <c r="F671" s="1016"/>
      <c r="G671" s="1152" t="s">
        <v>9</v>
      </c>
    </row>
    <row r="672" spans="1:7">
      <c r="A672" s="884">
        <v>42987</v>
      </c>
      <c r="B672" s="240" t="str">
        <f>TiposLancamentos!B17</f>
        <v>GATO</v>
      </c>
      <c r="C672" s="878" t="s">
        <v>11162</v>
      </c>
      <c r="D672" s="63"/>
      <c r="E672" s="231">
        <v>103.12</v>
      </c>
      <c r="F672" s="1016"/>
      <c r="G672" s="1152" t="s">
        <v>9</v>
      </c>
    </row>
    <row r="673" spans="1:7">
      <c r="A673" s="884">
        <v>42987</v>
      </c>
      <c r="B673" s="240" t="str">
        <f>TiposLancamentos!B16</f>
        <v>Cristiane</v>
      </c>
      <c r="C673" s="878" t="s">
        <v>11163</v>
      </c>
      <c r="D673" s="63"/>
      <c r="E673" s="231">
        <v>44.8</v>
      </c>
      <c r="F673" s="1016"/>
      <c r="G673" s="1152" t="s">
        <v>9</v>
      </c>
    </row>
    <row r="674" spans="1:7">
      <c r="A674" s="884">
        <v>42987</v>
      </c>
      <c r="B674" s="240" t="str">
        <f>TiposLancamentos!B16</f>
        <v>Cristiane</v>
      </c>
      <c r="C674" s="878" t="s">
        <v>11164</v>
      </c>
      <c r="D674" s="63"/>
      <c r="E674" s="231">
        <v>141</v>
      </c>
      <c r="F674" s="1016"/>
      <c r="G674" s="1152" t="s">
        <v>9</v>
      </c>
    </row>
    <row r="675" spans="1:7">
      <c r="A675" s="884">
        <v>42988</v>
      </c>
      <c r="B675" s="240" t="str">
        <f>TiposLancamentos!B19</f>
        <v>Restaurantes</v>
      </c>
      <c r="C675" s="878" t="s">
        <v>11165</v>
      </c>
      <c r="D675" s="63"/>
      <c r="E675" s="231">
        <v>141.68</v>
      </c>
      <c r="F675" s="1016"/>
      <c r="G675" s="1152" t="s">
        <v>9</v>
      </c>
    </row>
    <row r="676" spans="1:7">
      <c r="A676" s="884">
        <v>42988</v>
      </c>
      <c r="B676" s="240" t="str">
        <f>TiposLancamentos!B19</f>
        <v>Restaurantes</v>
      </c>
      <c r="C676" s="878" t="s">
        <v>11166</v>
      </c>
      <c r="D676" s="63"/>
      <c r="E676" s="231">
        <v>19</v>
      </c>
      <c r="F676" s="1016"/>
      <c r="G676" s="1152" t="s">
        <v>9</v>
      </c>
    </row>
    <row r="677" spans="1:7">
      <c r="A677" s="884">
        <v>42988</v>
      </c>
      <c r="B677" s="240" t="str">
        <f>TiposLancamentos!B16</f>
        <v>Cristiane</v>
      </c>
      <c r="C677" s="878" t="s">
        <v>11167</v>
      </c>
      <c r="D677" s="63"/>
      <c r="E677" s="231">
        <v>40</v>
      </c>
      <c r="F677" s="1016"/>
      <c r="G677" s="1152" t="s">
        <v>9</v>
      </c>
    </row>
    <row r="678" spans="1:7">
      <c r="A678" s="884">
        <v>42988</v>
      </c>
      <c r="B678" s="240" t="str">
        <f>TiposLancamentos!B16</f>
        <v>Cristiane</v>
      </c>
      <c r="C678" s="878" t="s">
        <v>11168</v>
      </c>
      <c r="D678" s="63"/>
      <c r="E678" s="231">
        <v>30</v>
      </c>
      <c r="F678" s="1016"/>
      <c r="G678" s="1152" t="s">
        <v>9</v>
      </c>
    </row>
    <row r="679" spans="1:7">
      <c r="A679" s="884">
        <v>42988</v>
      </c>
      <c r="B679" s="240" t="str">
        <f>TiposLancamentos!B16</f>
        <v>Cristiane</v>
      </c>
      <c r="C679" s="878" t="s">
        <v>11169</v>
      </c>
      <c r="D679" s="63"/>
      <c r="E679" s="231">
        <v>52.93</v>
      </c>
      <c r="F679" s="1016"/>
      <c r="G679" s="1152" t="s">
        <v>9</v>
      </c>
    </row>
    <row r="680" spans="1:7">
      <c r="A680" s="884">
        <v>42988</v>
      </c>
      <c r="B680" s="240" t="str">
        <f>TiposLancamentos!B5</f>
        <v>Supermercado</v>
      </c>
      <c r="C680" s="878" t="s">
        <v>6234</v>
      </c>
      <c r="D680" s="63"/>
      <c r="E680" s="231">
        <v>82.38</v>
      </c>
      <c r="F680" s="1016"/>
      <c r="G680" s="1152" t="s">
        <v>9</v>
      </c>
    </row>
    <row r="681" spans="1:7">
      <c r="A681" s="884">
        <v>42988</v>
      </c>
      <c r="B681" s="240" t="str">
        <f>TiposLancamentos!B19</f>
        <v>Restaurantes</v>
      </c>
      <c r="C681" s="878" t="s">
        <v>11170</v>
      </c>
      <c r="D681" s="63"/>
      <c r="E681" s="231">
        <v>129.80000000000001</v>
      </c>
      <c r="F681" s="1016"/>
      <c r="G681" s="1152" t="s">
        <v>9</v>
      </c>
    </row>
    <row r="682" spans="1:7">
      <c r="A682" s="884">
        <v>42991</v>
      </c>
      <c r="B682" s="240" t="str">
        <f>TiposLancamentos!B5</f>
        <v>Supermercado</v>
      </c>
      <c r="C682" s="878" t="s">
        <v>6234</v>
      </c>
      <c r="D682" s="63"/>
      <c r="E682" s="231">
        <v>45.76</v>
      </c>
      <c r="F682" s="1016"/>
      <c r="G682" s="1152" t="s">
        <v>9</v>
      </c>
    </row>
    <row r="683" spans="1:7">
      <c r="A683" s="884">
        <v>42992</v>
      </c>
      <c r="B683" s="240" t="str">
        <f>TiposLancamentos!B19</f>
        <v>Restaurantes</v>
      </c>
      <c r="C683" s="878" t="s">
        <v>11171</v>
      </c>
      <c r="D683" s="63"/>
      <c r="E683" s="231">
        <v>54</v>
      </c>
      <c r="F683" s="1016"/>
      <c r="G683" s="1152" t="s">
        <v>9</v>
      </c>
    </row>
    <row r="684" spans="1:7">
      <c r="A684" s="884">
        <v>42992</v>
      </c>
      <c r="B684" s="240" t="str">
        <f>TiposLancamentos!B26</f>
        <v>LIVROS</v>
      </c>
      <c r="C684" s="878" t="s">
        <v>11172</v>
      </c>
      <c r="D684" s="63"/>
      <c r="E684" s="231">
        <v>80</v>
      </c>
      <c r="F684" s="1016"/>
      <c r="G684" s="1152" t="s">
        <v>9</v>
      </c>
    </row>
    <row r="685" spans="1:7">
      <c r="A685" s="884">
        <v>42992</v>
      </c>
      <c r="B685" s="240" t="str">
        <f>TiposLancamentos!B13</f>
        <v>Moradia</v>
      </c>
      <c r="C685" s="878" t="s">
        <v>11173</v>
      </c>
      <c r="D685" s="63"/>
      <c r="E685" s="231">
        <v>69.52</v>
      </c>
      <c r="F685" s="1016">
        <v>694.84</v>
      </c>
      <c r="G685" s="1152" t="s">
        <v>9</v>
      </c>
    </row>
    <row r="686" spans="1:7">
      <c r="A686" s="884">
        <v>42993</v>
      </c>
      <c r="B686" s="240" t="str">
        <f>TiposLancamentos!B5</f>
        <v>Supermercado</v>
      </c>
      <c r="C686" s="878" t="s">
        <v>11174</v>
      </c>
      <c r="D686" s="63"/>
      <c r="E686" s="231">
        <v>114.93</v>
      </c>
      <c r="F686" s="1016"/>
      <c r="G686" s="1152" t="s">
        <v>9</v>
      </c>
    </row>
    <row r="687" spans="1:7">
      <c r="A687" s="884">
        <v>42994</v>
      </c>
      <c r="B687" s="240" t="str">
        <f>TiposLancamentos!B56</f>
        <v>Farmácia</v>
      </c>
      <c r="C687" s="878" t="s">
        <v>11175</v>
      </c>
      <c r="D687" s="63"/>
      <c r="E687" s="231">
        <v>190</v>
      </c>
      <c r="F687" s="1016">
        <v>380</v>
      </c>
      <c r="G687" s="1152" t="s">
        <v>9</v>
      </c>
    </row>
    <row r="688" spans="1:7">
      <c r="A688" s="884">
        <v>42994</v>
      </c>
      <c r="B688" s="240" t="str">
        <f>TiposLancamentos!B56</f>
        <v>Farmácia</v>
      </c>
      <c r="C688" s="878" t="s">
        <v>11176</v>
      </c>
      <c r="D688" s="63"/>
      <c r="E688" s="231">
        <v>90.39</v>
      </c>
      <c r="F688" s="1016"/>
      <c r="G688" s="1152" t="s">
        <v>9</v>
      </c>
    </row>
    <row r="689" spans="1:7">
      <c r="A689" s="884">
        <v>42995</v>
      </c>
      <c r="B689" s="240" t="str">
        <f>TiposLancamentos!B5</f>
        <v>Supermercado</v>
      </c>
      <c r="C689" s="878" t="s">
        <v>11177</v>
      </c>
      <c r="D689" s="63"/>
      <c r="E689" s="231">
        <v>74.44</v>
      </c>
      <c r="F689" s="1016"/>
      <c r="G689" s="1152" t="s">
        <v>9</v>
      </c>
    </row>
    <row r="690" spans="1:7">
      <c r="A690" s="884">
        <v>42995</v>
      </c>
      <c r="B690" s="240" t="str">
        <f>B683</f>
        <v>Restaurantes</v>
      </c>
      <c r="C690" s="878" t="s">
        <v>11178</v>
      </c>
      <c r="D690" s="63"/>
      <c r="E690" s="231">
        <v>93.5</v>
      </c>
      <c r="F690" s="1016"/>
      <c r="G690" s="1152" t="s">
        <v>9</v>
      </c>
    </row>
    <row r="691" spans="1:7">
      <c r="A691" s="884">
        <v>42997</v>
      </c>
      <c r="B691" s="240" t="str">
        <f>TiposLancamentos!B56</f>
        <v>Farmácia</v>
      </c>
      <c r="C691" s="878" t="s">
        <v>7921</v>
      </c>
      <c r="D691" s="63"/>
      <c r="E691" s="231">
        <v>86.22</v>
      </c>
      <c r="F691" s="1016"/>
      <c r="G691" s="1152" t="s">
        <v>9</v>
      </c>
    </row>
    <row r="692" spans="1:7">
      <c r="A692" s="884">
        <v>42999</v>
      </c>
      <c r="B692" s="240" t="str">
        <f>B683</f>
        <v>Restaurantes</v>
      </c>
      <c r="C692" s="878" t="s">
        <v>11101</v>
      </c>
      <c r="D692" s="63"/>
      <c r="E692" s="231">
        <v>64</v>
      </c>
      <c r="F692" s="1016"/>
      <c r="G692" s="1152" t="s">
        <v>9</v>
      </c>
    </row>
    <row r="693" spans="1:7">
      <c r="A693" s="884">
        <v>43000</v>
      </c>
      <c r="B693" s="240" t="str">
        <f>TiposLancamentos!B48</f>
        <v>Baralhos e Oráculos</v>
      </c>
      <c r="C693" s="878" t="s">
        <v>11179</v>
      </c>
      <c r="D693" s="63"/>
      <c r="E693" s="231">
        <v>102</v>
      </c>
      <c r="F693" s="1016" t="s">
        <v>11180</v>
      </c>
      <c r="G693" s="1152" t="s">
        <v>9</v>
      </c>
    </row>
    <row r="694" spans="1:7">
      <c r="A694" s="934"/>
      <c r="B694" s="243"/>
      <c r="C694" s="389" t="s">
        <v>10</v>
      </c>
      <c r="D694" s="146"/>
      <c r="E694" s="146"/>
      <c r="F694" s="1231"/>
      <c r="G694" s="1094" t="s">
        <v>11</v>
      </c>
    </row>
    <row r="695" spans="1:7">
      <c r="A695" s="884">
        <v>43003</v>
      </c>
      <c r="B695" s="240" t="str">
        <f>TiposLancamentos!B73</f>
        <v>Cursos</v>
      </c>
      <c r="C695" s="878" t="s">
        <v>11102</v>
      </c>
      <c r="D695" s="63"/>
      <c r="E695" s="231">
        <v>15</v>
      </c>
      <c r="F695" s="1016"/>
      <c r="G695" s="1152" t="s">
        <v>9</v>
      </c>
    </row>
    <row r="696" spans="1:7">
      <c r="A696" s="884">
        <v>43006</v>
      </c>
      <c r="B696" s="240" t="str">
        <f>TiposLancamentos!B45</f>
        <v>Online Services</v>
      </c>
      <c r="C696" s="878" t="s">
        <v>1894</v>
      </c>
      <c r="D696" s="63"/>
      <c r="E696" s="231">
        <v>22.9</v>
      </c>
      <c r="F696" s="1016"/>
      <c r="G696" s="1152" t="s">
        <v>9</v>
      </c>
    </row>
    <row r="697" spans="1:7">
      <c r="A697" s="884">
        <v>43006</v>
      </c>
      <c r="B697" s="240" t="str">
        <f>TiposLancamentos!B45</f>
        <v>Online Services</v>
      </c>
      <c r="C697" s="878" t="s">
        <v>1895</v>
      </c>
      <c r="D697" s="63"/>
      <c r="E697" s="231">
        <v>26.9</v>
      </c>
      <c r="F697" s="1016"/>
      <c r="G697" s="1152" t="s">
        <v>9</v>
      </c>
    </row>
    <row r="698" spans="1:7" ht="14.25" thickBot="1">
      <c r="A698" s="885">
        <v>43006</v>
      </c>
      <c r="B698" s="1232" t="str">
        <f>TiposLancamentos!B26</f>
        <v>LIVROS</v>
      </c>
      <c r="C698" s="1120" t="s">
        <v>11181</v>
      </c>
      <c r="D698" s="903"/>
      <c r="E698" s="928">
        <v>58.59</v>
      </c>
      <c r="F698" s="1036"/>
      <c r="G698" s="1152" t="s">
        <v>9</v>
      </c>
    </row>
    <row r="699" spans="1:7">
      <c r="A699" s="1032"/>
      <c r="B699" s="1230"/>
      <c r="C699" s="906" t="s">
        <v>11182</v>
      </c>
      <c r="D699" s="896"/>
      <c r="E699" s="925"/>
      <c r="F699" s="1034">
        <f>SUM(E640:E693)</f>
        <v>4525.67</v>
      </c>
      <c r="G699" s="3"/>
    </row>
    <row r="700" spans="1:7">
      <c r="A700" s="884">
        <v>43009</v>
      </c>
      <c r="B700" s="240" t="str">
        <f>TiposLancamentos!B19</f>
        <v>Restaurantes</v>
      </c>
      <c r="C700" s="878" t="s">
        <v>11183</v>
      </c>
      <c r="D700" s="63"/>
      <c r="E700" s="231">
        <v>77.790000000000006</v>
      </c>
      <c r="F700" s="1016">
        <f>F699-F655</f>
        <v>1973.5299999999993</v>
      </c>
      <c r="G700" s="1152" t="s">
        <v>9</v>
      </c>
    </row>
    <row r="701" spans="1:7">
      <c r="A701" s="884">
        <v>43010</v>
      </c>
      <c r="B701" s="240" t="str">
        <f>TiposLancamentos!B15</f>
        <v>Cartões de Crédito</v>
      </c>
      <c r="C701" s="878" t="s">
        <v>1874</v>
      </c>
      <c r="D701" s="63">
        <v>4525.67</v>
      </c>
      <c r="E701" s="231"/>
      <c r="F701" s="1016"/>
      <c r="G701" s="1152" t="s">
        <v>9</v>
      </c>
    </row>
    <row r="702" spans="1:7">
      <c r="A702" s="884">
        <v>43010</v>
      </c>
      <c r="B702" s="240" t="str">
        <f>TiposLancamentos!B4</f>
        <v>Taxas Bancarias</v>
      </c>
      <c r="C702" s="878" t="s">
        <v>11184</v>
      </c>
      <c r="D702" s="63"/>
      <c r="E702" s="231">
        <v>6.76</v>
      </c>
      <c r="F702" s="1016"/>
      <c r="G702" s="1152" t="s">
        <v>9</v>
      </c>
    </row>
    <row r="703" spans="1:7">
      <c r="A703" s="884">
        <v>43012</v>
      </c>
      <c r="B703" s="240" t="str">
        <f>TiposLancamentos!B44</f>
        <v>Academia</v>
      </c>
      <c r="C703" s="878" t="s">
        <v>11185</v>
      </c>
      <c r="D703" s="63"/>
      <c r="E703" s="231">
        <f>F703/4</f>
        <v>160.55000000000001</v>
      </c>
      <c r="F703" s="1016">
        <v>642.20000000000005</v>
      </c>
      <c r="G703" s="1152" t="s">
        <v>9</v>
      </c>
    </row>
    <row r="704" spans="1:7">
      <c r="A704" s="884">
        <v>43015</v>
      </c>
      <c r="B704" s="240" t="str">
        <f>TiposLancamentos!B19</f>
        <v>Restaurantes</v>
      </c>
      <c r="C704" s="878" t="s">
        <v>11186</v>
      </c>
      <c r="D704" s="63"/>
      <c r="E704" s="231">
        <v>59</v>
      </c>
      <c r="F704" s="1016"/>
      <c r="G704" s="1152" t="s">
        <v>9</v>
      </c>
    </row>
    <row r="705" spans="1:7">
      <c r="A705" s="884">
        <v>43022</v>
      </c>
      <c r="B705" s="240" t="str">
        <f>TiposLancamentos!B13</f>
        <v>Moradia</v>
      </c>
      <c r="C705" s="878" t="s">
        <v>11187</v>
      </c>
      <c r="D705" s="63"/>
      <c r="E705" s="231">
        <f>F705/10</f>
        <v>69.484000000000009</v>
      </c>
      <c r="F705" s="1016">
        <v>694.84</v>
      </c>
      <c r="G705" s="1152" t="s">
        <v>9</v>
      </c>
    </row>
    <row r="706" spans="1:7">
      <c r="A706" s="934"/>
      <c r="B706" s="243"/>
      <c r="C706" s="389" t="s">
        <v>10</v>
      </c>
      <c r="D706" s="146"/>
      <c r="E706" s="146"/>
      <c r="F706" s="1231"/>
      <c r="G706" s="1094" t="s">
        <v>11</v>
      </c>
    </row>
    <row r="707" spans="1:7">
      <c r="A707" s="884">
        <v>43036</v>
      </c>
      <c r="B707" s="240" t="str">
        <f>TiposLancamentos!B45</f>
        <v>Online Services</v>
      </c>
      <c r="C707" s="878" t="s">
        <v>1894</v>
      </c>
      <c r="D707" s="63"/>
      <c r="E707" s="231">
        <v>22.9</v>
      </c>
      <c r="F707" s="1016"/>
      <c r="G707" s="1152" t="s">
        <v>9</v>
      </c>
    </row>
    <row r="708" spans="1:7" ht="14.25" thickBot="1">
      <c r="A708" s="884">
        <v>43036</v>
      </c>
      <c r="B708" s="240" t="str">
        <f>TiposLancamentos!B45</f>
        <v>Online Services</v>
      </c>
      <c r="C708" s="878" t="s">
        <v>1895</v>
      </c>
      <c r="D708" s="63"/>
      <c r="E708" s="231">
        <v>26.9</v>
      </c>
      <c r="F708" s="1016"/>
      <c r="G708" s="1152" t="s">
        <v>9</v>
      </c>
    </row>
    <row r="709" spans="1:7">
      <c r="A709" s="1032"/>
      <c r="B709" s="1230"/>
      <c r="C709" s="906" t="s">
        <v>11188</v>
      </c>
      <c r="D709" s="896"/>
      <c r="E709" s="925"/>
      <c r="F709" s="1034">
        <f>SUM(E695:E705)</f>
        <v>496.97400000000005</v>
      </c>
      <c r="G709" s="3"/>
    </row>
    <row r="710" spans="1:7">
      <c r="A710" s="884">
        <v>43040</v>
      </c>
      <c r="B710" s="240" t="str">
        <f>TiposLancamentos!B15</f>
        <v>Cartões de Crédito</v>
      </c>
      <c r="C710" s="878" t="s">
        <v>1874</v>
      </c>
      <c r="D710" s="63">
        <v>496.97</v>
      </c>
      <c r="E710" s="231"/>
      <c r="F710" s="1016">
        <f>F709-F699</f>
        <v>-4028.6959999999999</v>
      </c>
      <c r="G710" s="1152" t="s">
        <v>9</v>
      </c>
    </row>
    <row r="711" spans="1:7">
      <c r="A711" s="884">
        <v>43043</v>
      </c>
      <c r="B711" s="240" t="str">
        <f>TiposLancamentos!B44</f>
        <v>Academia</v>
      </c>
      <c r="C711" s="878" t="s">
        <v>11189</v>
      </c>
      <c r="D711" s="63"/>
      <c r="E711" s="231">
        <f>F711/4</f>
        <v>160.55000000000001</v>
      </c>
      <c r="F711" s="1016">
        <v>642.20000000000005</v>
      </c>
      <c r="G711" s="1152" t="s">
        <v>9</v>
      </c>
    </row>
    <row r="712" spans="1:7">
      <c r="A712" s="884">
        <v>43053</v>
      </c>
      <c r="B712" s="240" t="str">
        <f>TiposLancamentos!B13</f>
        <v>Moradia</v>
      </c>
      <c r="C712" s="878" t="s">
        <v>11190</v>
      </c>
      <c r="D712" s="63"/>
      <c r="E712" s="231">
        <f>F712/10</f>
        <v>69.484000000000009</v>
      </c>
      <c r="F712" s="1016">
        <v>694.84</v>
      </c>
      <c r="G712" s="1152" t="s">
        <v>9</v>
      </c>
    </row>
    <row r="713" spans="1:7" ht="14.25" thickBot="1">
      <c r="A713" s="934"/>
      <c r="B713" s="243"/>
      <c r="C713" s="389" t="s">
        <v>10</v>
      </c>
      <c r="D713" s="146"/>
      <c r="E713" s="146"/>
      <c r="F713" s="1231"/>
      <c r="G713" s="1094" t="s">
        <v>11</v>
      </c>
    </row>
    <row r="714" spans="1:7">
      <c r="A714" s="1032"/>
      <c r="B714" s="1230"/>
      <c r="C714" s="906" t="s">
        <v>11191</v>
      </c>
      <c r="D714" s="896"/>
      <c r="E714" s="925"/>
      <c r="F714" s="1034">
        <f>SUM(E707:E712)</f>
        <v>279.83400000000006</v>
      </c>
      <c r="G714" s="3"/>
    </row>
    <row r="715" spans="1:7">
      <c r="A715" s="884">
        <v>43070</v>
      </c>
      <c r="B715" s="240" t="str">
        <f>TiposLancamentos!B15</f>
        <v>Cartões de Crédito</v>
      </c>
      <c r="C715" s="878" t="s">
        <v>1874</v>
      </c>
      <c r="D715" s="63">
        <v>279.83</v>
      </c>
      <c r="E715" s="231"/>
      <c r="F715" s="1016">
        <f>F714-F709</f>
        <v>-217.14</v>
      </c>
      <c r="G715" s="3"/>
    </row>
    <row r="716" spans="1:7">
      <c r="A716" s="884">
        <v>43073</v>
      </c>
      <c r="B716" s="240" t="str">
        <f>TiposLancamentos!B44</f>
        <v>Academia</v>
      </c>
      <c r="C716" s="878" t="s">
        <v>11192</v>
      </c>
      <c r="D716" s="63"/>
      <c r="E716" s="231">
        <f>F716/4</f>
        <v>160.55000000000001</v>
      </c>
      <c r="F716" s="1016">
        <v>642.20000000000005</v>
      </c>
      <c r="G716" s="1152" t="s">
        <v>9</v>
      </c>
    </row>
    <row r="717" spans="1:7">
      <c r="A717" s="884">
        <v>43083</v>
      </c>
      <c r="B717" s="240" t="str">
        <f>TiposLancamentos!B13</f>
        <v>Moradia</v>
      </c>
      <c r="C717" s="878" t="s">
        <v>11193</v>
      </c>
      <c r="D717" s="63"/>
      <c r="E717" s="231">
        <f>F717/10</f>
        <v>69.484000000000009</v>
      </c>
      <c r="F717" s="1016">
        <v>694.84</v>
      </c>
      <c r="G717" s="1152" t="s">
        <v>9</v>
      </c>
    </row>
    <row r="718" spans="1:7">
      <c r="A718" s="934"/>
      <c r="B718" s="243"/>
      <c r="C718" s="389" t="s">
        <v>10</v>
      </c>
      <c r="D718" s="146"/>
      <c r="E718" s="146"/>
      <c r="F718" s="1231"/>
      <c r="G718" s="1094" t="s">
        <v>11</v>
      </c>
    </row>
    <row r="719" spans="1:7" ht="14.25" thickBot="1">
      <c r="A719" s="884">
        <v>43100</v>
      </c>
      <c r="B719" s="240" t="str">
        <f>TiposLancamentos!B71</f>
        <v>Itens Pessoais</v>
      </c>
      <c r="C719" s="878" t="s">
        <v>11194</v>
      </c>
      <c r="D719" s="63"/>
      <c r="E719" s="231">
        <f>27.15+0.29</f>
        <v>27.439999999999998</v>
      </c>
      <c r="F719" s="1016"/>
      <c r="G719" s="3"/>
    </row>
    <row r="720" spans="1:7">
      <c r="A720" s="1032"/>
      <c r="B720" s="1230"/>
      <c r="C720" s="906" t="s">
        <v>11195</v>
      </c>
      <c r="D720" s="896"/>
      <c r="E720" s="925"/>
      <c r="F720" s="1034">
        <f>SUM(E714:E717)</f>
        <v>230.03400000000002</v>
      </c>
      <c r="G720" s="3"/>
    </row>
    <row r="721" spans="1:7">
      <c r="A721" s="884">
        <v>43102</v>
      </c>
      <c r="B721" s="240" t="str">
        <f>TiposLancamentos!B15</f>
        <v>Cartões de Crédito</v>
      </c>
      <c r="C721" s="878" t="s">
        <v>1874</v>
      </c>
      <c r="D721" s="63">
        <v>230.03</v>
      </c>
      <c r="E721" s="231"/>
      <c r="F721" s="1016">
        <f>F720-F714</f>
        <v>-49.80000000000004</v>
      </c>
      <c r="G721" s="3"/>
    </row>
    <row r="722" spans="1:7">
      <c r="A722" s="884">
        <v>43114</v>
      </c>
      <c r="B722" s="240" t="str">
        <f>TiposLancamentos!B13</f>
        <v>Moradia</v>
      </c>
      <c r="C722" s="878" t="s">
        <v>11196</v>
      </c>
      <c r="D722" s="63"/>
      <c r="E722" s="231">
        <f>F722/10</f>
        <v>69.484000000000009</v>
      </c>
      <c r="F722" s="1016">
        <v>694.84</v>
      </c>
      <c r="G722" s="3"/>
    </row>
    <row r="723" spans="1:7" ht="14.25" thickBot="1">
      <c r="A723" s="934"/>
      <c r="B723" s="243"/>
      <c r="C723" s="389" t="s">
        <v>10</v>
      </c>
      <c r="D723" s="146"/>
      <c r="E723" s="146"/>
      <c r="F723" s="1231"/>
      <c r="G723" s="1094" t="s">
        <v>11</v>
      </c>
    </row>
    <row r="724" spans="1:7">
      <c r="A724" s="1032"/>
      <c r="B724" s="1230"/>
      <c r="C724" s="906" t="s">
        <v>11197</v>
      </c>
      <c r="D724" s="896"/>
      <c r="E724" s="925"/>
      <c r="F724" s="1034">
        <f>SUM(E719:E722)</f>
        <v>96.924000000000007</v>
      </c>
      <c r="G724" s="3"/>
    </row>
    <row r="725" spans="1:7">
      <c r="A725" s="884">
        <v>43132</v>
      </c>
      <c r="B725" s="240" t="str">
        <f>TiposLancamentos!B15</f>
        <v>Cartões de Crédito</v>
      </c>
      <c r="C725" s="878" t="s">
        <v>1874</v>
      </c>
      <c r="D725" s="63">
        <v>96.92</v>
      </c>
      <c r="E725" s="231"/>
      <c r="F725" s="1016">
        <f>F724-F720</f>
        <v>-133.11000000000001</v>
      </c>
      <c r="G725" s="3"/>
    </row>
    <row r="726" spans="1:7">
      <c r="A726" s="884">
        <v>43145</v>
      </c>
      <c r="B726" s="240" t="str">
        <f>TiposLancamentos!B13</f>
        <v>Moradia</v>
      </c>
      <c r="C726" s="878" t="s">
        <v>11198</v>
      </c>
      <c r="D726" s="63"/>
      <c r="E726" s="231">
        <f>F726/10</f>
        <v>69.484000000000009</v>
      </c>
      <c r="F726" s="1016">
        <v>694.84</v>
      </c>
      <c r="G726" s="3"/>
    </row>
    <row r="727" spans="1:7" ht="14.25" thickBot="1">
      <c r="A727" s="934"/>
      <c r="B727" s="243"/>
      <c r="C727" s="389" t="s">
        <v>10</v>
      </c>
      <c r="D727" s="146"/>
      <c r="E727" s="146"/>
      <c r="F727" s="1231"/>
      <c r="G727" s="1094" t="s">
        <v>11</v>
      </c>
    </row>
    <row r="728" spans="1:7">
      <c r="A728" s="1032"/>
      <c r="B728" s="1230"/>
      <c r="C728" s="906" t="s">
        <v>11199</v>
      </c>
      <c r="D728" s="896"/>
      <c r="E728" s="925"/>
      <c r="F728" s="1034">
        <f>SUM(E724:E726)</f>
        <v>69.484000000000009</v>
      </c>
      <c r="G728" s="3"/>
    </row>
    <row r="729" spans="1:7">
      <c r="A729" s="884">
        <v>43160</v>
      </c>
      <c r="B729" s="240" t="str">
        <f>TiposLancamentos!B15</f>
        <v>Cartões de Crédito</v>
      </c>
      <c r="C729" s="878" t="s">
        <v>11109</v>
      </c>
      <c r="D729" s="63">
        <v>68.39</v>
      </c>
      <c r="E729" s="231"/>
      <c r="F729" s="1016">
        <f>F728-F724</f>
        <v>-27.439999999999998</v>
      </c>
      <c r="G729" s="3"/>
    </row>
    <row r="730" spans="1:7">
      <c r="A730" s="884">
        <v>43173</v>
      </c>
      <c r="B730" s="240" t="str">
        <f>TiposLancamentos!B13</f>
        <v>Moradia</v>
      </c>
      <c r="C730" s="878" t="s">
        <v>11200</v>
      </c>
      <c r="D730" s="63"/>
      <c r="E730" s="231">
        <f>F730/10</f>
        <v>69.484000000000009</v>
      </c>
      <c r="F730" s="1016">
        <v>694.84</v>
      </c>
      <c r="G730" s="3"/>
    </row>
    <row r="731" spans="1:7" ht="14.25" thickBot="1">
      <c r="A731" s="1113"/>
      <c r="B731" s="1239"/>
      <c r="C731" s="1240" t="s">
        <v>10</v>
      </c>
      <c r="D731" s="1241"/>
      <c r="E731" s="1241"/>
      <c r="F731" s="1242"/>
      <c r="G731" s="1094" t="s">
        <v>11</v>
      </c>
    </row>
    <row r="732" spans="1:7">
      <c r="A732" s="884"/>
      <c r="B732" s="240"/>
      <c r="C732" s="878" t="s">
        <v>11201</v>
      </c>
      <c r="D732" s="63"/>
      <c r="E732" s="231"/>
      <c r="F732" s="1016"/>
      <c r="G732" s="3"/>
    </row>
    <row r="733" spans="1:7">
      <c r="A733" s="884">
        <v>43192</v>
      </c>
      <c r="B733" s="240" t="str">
        <f>TiposLancamentos!B15</f>
        <v>Cartões de Crédito</v>
      </c>
      <c r="C733" s="878" t="s">
        <v>1874</v>
      </c>
      <c r="D733" s="63">
        <v>69.48</v>
      </c>
      <c r="E733" s="231"/>
      <c r="F733" s="1016"/>
      <c r="G733" s="3"/>
    </row>
    <row r="734" spans="1:7">
      <c r="A734" s="884">
        <v>43204</v>
      </c>
      <c r="B734" s="240" t="str">
        <f>TiposLancamentos!B13</f>
        <v>Moradia</v>
      </c>
      <c r="C734" s="878" t="s">
        <v>11202</v>
      </c>
      <c r="D734" s="63"/>
      <c r="E734" s="231">
        <f>F734/10</f>
        <v>69.484000000000009</v>
      </c>
      <c r="F734" s="1016">
        <v>694.84</v>
      </c>
      <c r="G734" s="3"/>
    </row>
    <row r="735" spans="1:7">
      <c r="A735" s="934"/>
      <c r="B735" s="243"/>
      <c r="C735" s="389" t="s">
        <v>10</v>
      </c>
      <c r="D735" s="146"/>
      <c r="E735" s="146"/>
      <c r="F735" s="1231"/>
      <c r="G735" s="1094" t="s">
        <v>11</v>
      </c>
    </row>
    <row r="736" spans="1:7" ht="14.25" thickBot="1">
      <c r="A736" s="884"/>
      <c r="B736" s="240"/>
      <c r="C736" s="878"/>
      <c r="D736" s="63"/>
      <c r="E736" s="231"/>
      <c r="F736" s="1016"/>
      <c r="G736" s="3"/>
    </row>
    <row r="737" spans="1:7">
      <c r="A737" s="1032"/>
      <c r="B737" s="1230"/>
      <c r="C737" s="906" t="s">
        <v>11203</v>
      </c>
      <c r="D737" s="896"/>
      <c r="E737" s="925"/>
      <c r="F737" s="1034"/>
      <c r="G737" s="3"/>
    </row>
    <row r="738" spans="1:7">
      <c r="A738" s="884">
        <v>43222</v>
      </c>
      <c r="B738" s="240" t="str">
        <f>TiposLancamentos!B15</f>
        <v>Cartões de Crédito</v>
      </c>
      <c r="C738" s="878" t="s">
        <v>1874</v>
      </c>
      <c r="D738" s="63">
        <v>69.48</v>
      </c>
      <c r="E738" s="231"/>
      <c r="F738" s="1016"/>
      <c r="G738" s="3"/>
    </row>
    <row r="739" spans="1:7">
      <c r="A739" s="884">
        <v>43234</v>
      </c>
      <c r="B739" s="240" t="str">
        <f>TiposLancamentos!B13</f>
        <v>Moradia</v>
      </c>
      <c r="C739" s="878" t="s">
        <v>11204</v>
      </c>
      <c r="D739" s="63"/>
      <c r="E739" s="231">
        <f>F739/10</f>
        <v>69.484000000000009</v>
      </c>
      <c r="F739" s="1016">
        <v>694.84</v>
      </c>
      <c r="G739" s="3"/>
    </row>
    <row r="740" spans="1:7">
      <c r="A740" s="884">
        <v>43239</v>
      </c>
      <c r="B740" s="240" t="str">
        <f>TiposLancamentos!B19</f>
        <v>Restaurantes</v>
      </c>
      <c r="C740" s="878" t="s">
        <v>11205</v>
      </c>
      <c r="D740" s="63"/>
      <c r="E740" s="231">
        <v>215.6</v>
      </c>
      <c r="F740" s="1016"/>
      <c r="G740" s="3"/>
    </row>
    <row r="741" spans="1:7">
      <c r="A741" s="934"/>
      <c r="B741" s="243"/>
      <c r="C741" s="389" t="s">
        <v>10</v>
      </c>
      <c r="D741" s="146"/>
      <c r="E741" s="146"/>
      <c r="F741" s="1231"/>
      <c r="G741" s="1094" t="s">
        <v>11</v>
      </c>
    </row>
    <row r="742" spans="1:7" ht="14.25" thickBot="1">
      <c r="A742" s="884"/>
      <c r="B742" s="240"/>
      <c r="C742" s="878"/>
      <c r="D742" s="63"/>
      <c r="E742" s="231"/>
      <c r="F742" s="1016"/>
      <c r="G742" s="3"/>
    </row>
    <row r="743" spans="1:7">
      <c r="A743" s="1032"/>
      <c r="B743" s="1230"/>
      <c r="C743" s="906" t="s">
        <v>11206</v>
      </c>
      <c r="D743" s="896"/>
      <c r="E743" s="925"/>
      <c r="F743" s="1034">
        <f>SUM(E736:E740)</f>
        <v>285.084</v>
      </c>
      <c r="G743" s="3"/>
    </row>
    <row r="744" spans="1:7">
      <c r="A744" s="884">
        <v>43252</v>
      </c>
      <c r="B744" s="240" t="str">
        <f>TiposLancamentos!B15</f>
        <v>Cartões de Crédito</v>
      </c>
      <c r="C744" s="878" t="s">
        <v>1874</v>
      </c>
      <c r="D744" s="63">
        <v>285.08</v>
      </c>
      <c r="E744" s="231"/>
      <c r="F744" s="1016"/>
      <c r="G744" s="3"/>
    </row>
    <row r="745" spans="1:7">
      <c r="A745" s="884">
        <v>43265</v>
      </c>
      <c r="B745" s="240" t="str">
        <f>TiposLancamentos!B13</f>
        <v>Moradia</v>
      </c>
      <c r="C745" s="878" t="s">
        <v>11207</v>
      </c>
      <c r="D745" s="63"/>
      <c r="E745" s="231">
        <f>F745/10</f>
        <v>69.484000000000009</v>
      </c>
      <c r="F745" s="1016">
        <v>694.84</v>
      </c>
      <c r="G745" s="3"/>
    </row>
    <row r="746" spans="1:7">
      <c r="A746" s="884"/>
      <c r="B746" s="240"/>
      <c r="C746" s="878"/>
      <c r="D746" s="63"/>
      <c r="E746" s="231"/>
      <c r="F746" s="1016"/>
      <c r="G746" s="3"/>
    </row>
    <row r="747" spans="1:7">
      <c r="A747" s="934"/>
      <c r="B747" s="243"/>
      <c r="C747" s="389" t="s">
        <v>10</v>
      </c>
      <c r="D747" s="146"/>
      <c r="E747" s="146"/>
      <c r="F747" s="1231"/>
      <c r="G747" s="1094" t="s">
        <v>11</v>
      </c>
    </row>
    <row r="748" spans="1:7" ht="14.25" thickBot="1">
      <c r="A748" s="884"/>
      <c r="B748" s="240"/>
      <c r="C748" s="878"/>
      <c r="D748" s="63"/>
      <c r="E748" s="231"/>
      <c r="F748" s="1016"/>
      <c r="G748" s="3"/>
    </row>
    <row r="749" spans="1:7">
      <c r="A749" s="1032"/>
      <c r="B749" s="1230"/>
      <c r="C749" s="906" t="s">
        <v>11208</v>
      </c>
      <c r="D749" s="896"/>
      <c r="E749" s="925"/>
      <c r="F749" s="1034">
        <f>SUM(E742:E746)</f>
        <v>69.484000000000009</v>
      </c>
      <c r="G749" s="3"/>
    </row>
    <row r="750" spans="1:7">
      <c r="A750" s="884">
        <v>43283</v>
      </c>
      <c r="B750" s="240" t="str">
        <f>TiposLancamentos!B15</f>
        <v>Cartões de Crédito</v>
      </c>
      <c r="C750" s="878" t="s">
        <v>1874</v>
      </c>
      <c r="D750" s="63">
        <v>69.48</v>
      </c>
      <c r="E750" s="231"/>
      <c r="F750" s="1016"/>
      <c r="G750" s="3"/>
    </row>
    <row r="751" spans="1:7">
      <c r="A751" s="884"/>
      <c r="B751" s="240"/>
      <c r="C751" s="878"/>
      <c r="D751" s="63"/>
      <c r="E751" s="231"/>
      <c r="F751" s="1016"/>
      <c r="G751" s="3"/>
    </row>
    <row r="752" spans="1:7">
      <c r="A752" s="934"/>
      <c r="B752" s="243"/>
      <c r="C752" s="389" t="s">
        <v>10</v>
      </c>
      <c r="D752" s="146"/>
      <c r="E752" s="146"/>
      <c r="F752" s="1231"/>
      <c r="G752" s="1094" t="s">
        <v>11</v>
      </c>
    </row>
    <row r="753" spans="1:7" ht="14.25" thickBot="1">
      <c r="A753" s="884"/>
      <c r="B753" s="240"/>
      <c r="C753" s="878"/>
      <c r="D753" s="63"/>
      <c r="E753" s="231"/>
      <c r="F753" s="1016"/>
      <c r="G753" s="3"/>
    </row>
    <row r="754" spans="1:7">
      <c r="A754" s="1032"/>
      <c r="B754" s="1230"/>
      <c r="C754" s="906" t="s">
        <v>11209</v>
      </c>
      <c r="D754" s="896"/>
      <c r="E754" s="925"/>
      <c r="F754" s="1034">
        <f>SUM(E748:E751)</f>
        <v>0</v>
      </c>
      <c r="G754" s="3"/>
    </row>
    <row r="755" spans="1:7">
      <c r="A755" s="884"/>
      <c r="B755" s="240"/>
      <c r="C755" s="878"/>
      <c r="D755" s="63"/>
      <c r="E755" s="231"/>
      <c r="F755" s="1016"/>
      <c r="G755" s="3"/>
    </row>
    <row r="756" spans="1:7">
      <c r="A756" s="884">
        <v>43674</v>
      </c>
      <c r="B756" s="240" t="str">
        <f>TiposLancamentos!B48</f>
        <v>Baralhos e Oráculos</v>
      </c>
      <c r="C756" s="878" t="s">
        <v>11210</v>
      </c>
      <c r="D756" s="63"/>
      <c r="E756" s="231">
        <v>323.63</v>
      </c>
      <c r="F756" s="1016"/>
      <c r="G756" s="3"/>
    </row>
    <row r="757" spans="1:7">
      <c r="A757" s="884"/>
      <c r="B757" s="240"/>
      <c r="C757" s="878"/>
      <c r="D757" s="63"/>
      <c r="E757" s="231"/>
      <c r="F757" s="1016"/>
      <c r="G757" s="3"/>
    </row>
    <row r="758" spans="1:7">
      <c r="A758" s="934"/>
      <c r="B758" s="243"/>
      <c r="C758" s="389" t="s">
        <v>10</v>
      </c>
      <c r="D758" s="146"/>
      <c r="E758" s="146"/>
      <c r="F758" s="1231"/>
      <c r="G758" s="1094" t="s">
        <v>11</v>
      </c>
    </row>
    <row r="759" spans="1:7" ht="14.25" thickBot="1">
      <c r="A759" s="884"/>
      <c r="B759" s="240"/>
      <c r="C759" s="878"/>
      <c r="D759" s="63"/>
      <c r="E759" s="231"/>
      <c r="F759" s="1016"/>
      <c r="G759" s="3"/>
    </row>
    <row r="760" spans="1:7">
      <c r="A760" s="1032"/>
      <c r="B760" s="1230"/>
      <c r="C760" s="906" t="s">
        <v>11211</v>
      </c>
      <c r="D760" s="896"/>
      <c r="E760" s="925"/>
      <c r="F760" s="1034">
        <f>SUM(E754:E757)</f>
        <v>323.63</v>
      </c>
      <c r="G760" s="3"/>
    </row>
    <row r="761" spans="1:7">
      <c r="A761" s="884">
        <v>43710</v>
      </c>
      <c r="B761" s="240" t="str">
        <f>TiposLancamentos!B15</f>
        <v>Cartões de Crédito</v>
      </c>
      <c r="C761" s="878" t="s">
        <v>11212</v>
      </c>
      <c r="D761" s="63">
        <v>323.63</v>
      </c>
      <c r="E761" s="231"/>
      <c r="F761" s="1016"/>
      <c r="G761" s="3"/>
    </row>
    <row r="762" spans="1:7">
      <c r="A762" s="884"/>
      <c r="B762" s="240"/>
      <c r="C762" s="878"/>
      <c r="D762" s="63"/>
      <c r="E762" s="231"/>
      <c r="F762" s="1016"/>
      <c r="G762" s="3"/>
    </row>
    <row r="763" spans="1:7">
      <c r="A763" s="934"/>
      <c r="B763" s="243"/>
      <c r="C763" s="389" t="s">
        <v>10</v>
      </c>
      <c r="D763" s="146"/>
      <c r="E763" s="146"/>
      <c r="F763" s="1231"/>
      <c r="G763" s="1094" t="s">
        <v>11</v>
      </c>
    </row>
    <row r="764" spans="1:7" ht="14.25" thickBot="1">
      <c r="A764" s="884"/>
      <c r="B764" s="240"/>
      <c r="C764" s="878"/>
      <c r="D764" s="63"/>
      <c r="E764" s="231"/>
      <c r="F764" s="1016"/>
      <c r="G764" s="3"/>
    </row>
    <row r="765" spans="1:7">
      <c r="A765" s="1032"/>
      <c r="B765" s="1230"/>
      <c r="C765" s="906" t="s">
        <v>11213</v>
      </c>
      <c r="D765" s="896"/>
      <c r="E765" s="925"/>
      <c r="F765" s="1034">
        <f>SUM(E761:E763)</f>
        <v>0</v>
      </c>
      <c r="G765" s="3"/>
    </row>
    <row r="766" spans="1:7">
      <c r="A766" s="884">
        <v>43746</v>
      </c>
      <c r="B766" s="240" t="str">
        <f>TiposLancamentos!B45</f>
        <v>Online Services</v>
      </c>
      <c r="C766" s="878" t="s">
        <v>11214</v>
      </c>
      <c r="D766" s="63"/>
      <c r="E766" s="231">
        <v>496.69</v>
      </c>
      <c r="F766" s="1016" t="s">
        <v>11215</v>
      </c>
      <c r="G766" s="3"/>
    </row>
    <row r="767" spans="1:7">
      <c r="A767" s="884">
        <v>43746</v>
      </c>
      <c r="B767" s="240" t="str">
        <f>TiposLancamentos!B4</f>
        <v>Taxas Bancarias</v>
      </c>
      <c r="C767" s="878" t="s">
        <v>4858</v>
      </c>
      <c r="D767" s="63"/>
      <c r="E767" s="231">
        <v>31.69</v>
      </c>
      <c r="F767" s="1016">
        <f>E767+E766</f>
        <v>528.38</v>
      </c>
      <c r="G767" s="3"/>
    </row>
    <row r="768" spans="1:7">
      <c r="A768" s="934"/>
      <c r="B768" s="243"/>
      <c r="C768" s="389" t="s">
        <v>10</v>
      </c>
      <c r="D768" s="146"/>
      <c r="E768" s="146"/>
      <c r="F768" s="1231"/>
      <c r="G768" s="1094" t="s">
        <v>11</v>
      </c>
    </row>
    <row r="769" spans="1:7" ht="14.25" thickBot="1">
      <c r="A769" s="884">
        <v>43766</v>
      </c>
      <c r="B769" s="240" t="str">
        <f>TiposLancamentos!B45</f>
        <v>Online Services</v>
      </c>
      <c r="C769" s="878" t="s">
        <v>1895</v>
      </c>
      <c r="D769" s="63"/>
      <c r="E769" s="231">
        <v>26.9</v>
      </c>
      <c r="F769" s="899"/>
      <c r="G769" s="3"/>
    </row>
    <row r="770" spans="1:7">
      <c r="A770" s="1032"/>
      <c r="B770" s="1230"/>
      <c r="C770" s="906" t="s">
        <v>11216</v>
      </c>
      <c r="D770" s="896"/>
      <c r="E770" s="925"/>
      <c r="F770" s="1034">
        <f>SUM(E764:E767)</f>
        <v>528.38</v>
      </c>
      <c r="G770" s="3"/>
    </row>
    <row r="771" spans="1:7">
      <c r="A771" s="884">
        <v>43770</v>
      </c>
      <c r="B771" s="240" t="str">
        <f>TiposLancamentos!B15</f>
        <v>Cartões de Crédito</v>
      </c>
      <c r="C771" s="878" t="s">
        <v>1874</v>
      </c>
      <c r="D771" s="63">
        <v>528.37</v>
      </c>
      <c r="E771" s="231"/>
      <c r="F771" s="1016"/>
      <c r="G771" s="3"/>
    </row>
    <row r="772" spans="1:7">
      <c r="A772" s="884">
        <v>43781</v>
      </c>
      <c r="B772" s="240" t="str">
        <f>TiposLancamentos!B65</f>
        <v>Taxi</v>
      </c>
      <c r="C772" s="878" t="s">
        <v>2196</v>
      </c>
      <c r="D772" s="63"/>
      <c r="E772" s="231">
        <v>6.62</v>
      </c>
      <c r="F772" s="1016"/>
      <c r="G772" s="3"/>
    </row>
    <row r="773" spans="1:7">
      <c r="A773" s="884">
        <v>43783</v>
      </c>
      <c r="B773" s="240" t="str">
        <f>TiposLancamentos!B65</f>
        <v>Taxi</v>
      </c>
      <c r="C773" s="878" t="s">
        <v>11217</v>
      </c>
      <c r="D773" s="63"/>
      <c r="E773" s="231">
        <v>7.88</v>
      </c>
      <c r="F773" s="1016"/>
      <c r="G773" s="3"/>
    </row>
    <row r="774" spans="1:7">
      <c r="A774" s="934"/>
      <c r="B774" s="243"/>
      <c r="C774" s="389" t="s">
        <v>10</v>
      </c>
      <c r="D774" s="146"/>
      <c r="E774" s="146"/>
      <c r="F774" s="1231"/>
      <c r="G774" s="1094" t="s">
        <v>11</v>
      </c>
    </row>
    <row r="775" spans="1:7" ht="14.25" thickBot="1">
      <c r="A775" s="884">
        <v>43797</v>
      </c>
      <c r="B775" s="240" t="str">
        <f>TiposLancamentos!B45</f>
        <v>Online Services</v>
      </c>
      <c r="C775" s="878" t="s">
        <v>1895</v>
      </c>
      <c r="D775" s="63"/>
      <c r="E775" s="231">
        <v>26.9</v>
      </c>
      <c r="F775" s="1016"/>
      <c r="G775" s="3"/>
    </row>
    <row r="776" spans="1:7">
      <c r="A776" s="1032"/>
      <c r="B776" s="1230"/>
      <c r="C776" s="906" t="s">
        <v>11218</v>
      </c>
      <c r="D776" s="896"/>
      <c r="E776" s="925"/>
      <c r="F776" s="1034">
        <f>SUM(E769:E773)</f>
        <v>41.4</v>
      </c>
      <c r="G776" s="3"/>
    </row>
    <row r="777" spans="1:7">
      <c r="A777" s="884">
        <v>43800</v>
      </c>
      <c r="B777" s="240" t="str">
        <f>TiposLancamentos!B15</f>
        <v>Cartões de Crédito</v>
      </c>
      <c r="C777" s="878" t="s">
        <v>10915</v>
      </c>
      <c r="D777" s="63">
        <v>41.4</v>
      </c>
      <c r="E777" s="231"/>
      <c r="F777" s="1016"/>
      <c r="G777" s="1152" t="s">
        <v>9</v>
      </c>
    </row>
    <row r="778" spans="1:7">
      <c r="A778" s="884">
        <v>43803</v>
      </c>
      <c r="B778" s="240" t="str">
        <f>TiposLancamentos!B65</f>
        <v>Taxi</v>
      </c>
      <c r="C778" s="878" t="s">
        <v>2104</v>
      </c>
      <c r="D778" s="63"/>
      <c r="E778" s="231">
        <v>6.53</v>
      </c>
      <c r="F778" s="1016"/>
      <c r="G778" s="1152" t="s">
        <v>9</v>
      </c>
    </row>
    <row r="779" spans="1:7">
      <c r="A779" s="884">
        <v>43804</v>
      </c>
      <c r="B779" s="240" t="str">
        <f>TiposLancamentos!B65</f>
        <v>Taxi</v>
      </c>
      <c r="C779" s="878" t="s">
        <v>2104</v>
      </c>
      <c r="D779" s="63"/>
      <c r="E779" s="231">
        <v>11.26</v>
      </c>
      <c r="F779" s="1016"/>
      <c r="G779" s="1152" t="s">
        <v>9</v>
      </c>
    </row>
    <row r="780" spans="1:7">
      <c r="A780" s="884">
        <v>43805</v>
      </c>
      <c r="B780" s="240" t="str">
        <f>TiposLancamentos!B65</f>
        <v>Taxi</v>
      </c>
      <c r="C780" s="878" t="s">
        <v>2104</v>
      </c>
      <c r="D780" s="63"/>
      <c r="E780" s="231">
        <v>13.87</v>
      </c>
      <c r="F780" s="1016"/>
      <c r="G780" s="1152" t="s">
        <v>9</v>
      </c>
    </row>
    <row r="781" spans="1:7">
      <c r="A781" s="884">
        <v>43808</v>
      </c>
      <c r="B781" s="240" t="str">
        <f>TiposLancamentos!B65</f>
        <v>Taxi</v>
      </c>
      <c r="C781" s="878" t="s">
        <v>2104</v>
      </c>
      <c r="D781" s="63"/>
      <c r="E781" s="231">
        <v>11.22</v>
      </c>
      <c r="F781" s="1016"/>
      <c r="G781" s="1152" t="s">
        <v>9</v>
      </c>
    </row>
    <row r="782" spans="1:7">
      <c r="A782" s="884">
        <v>43809</v>
      </c>
      <c r="B782" s="240" t="str">
        <f>TiposLancamentos!B45</f>
        <v>Online Services</v>
      </c>
      <c r="C782" s="878" t="s">
        <v>11219</v>
      </c>
      <c r="D782" s="63"/>
      <c r="E782" s="231">
        <v>89</v>
      </c>
      <c r="F782" s="1016">
        <f>E782/12</f>
        <v>7.416666666666667</v>
      </c>
      <c r="G782" s="1152" t="s">
        <v>9</v>
      </c>
    </row>
    <row r="783" spans="1:7">
      <c r="A783" s="884">
        <v>43810</v>
      </c>
      <c r="B783" s="240" t="str">
        <f>TiposLancamentos!B65</f>
        <v>Taxi</v>
      </c>
      <c r="C783" s="878" t="s">
        <v>11220</v>
      </c>
      <c r="D783" s="63"/>
      <c r="E783" s="231">
        <v>6.62</v>
      </c>
      <c r="F783" s="1016"/>
      <c r="G783" s="1152" t="s">
        <v>9</v>
      </c>
    </row>
    <row r="784" spans="1:7">
      <c r="A784" s="884">
        <v>43810</v>
      </c>
      <c r="B784" s="240" t="str">
        <f>TiposLancamentos!B65</f>
        <v>Taxi</v>
      </c>
      <c r="C784" s="878" t="s">
        <v>2104</v>
      </c>
      <c r="D784" s="63"/>
      <c r="E784" s="231">
        <v>12.48</v>
      </c>
      <c r="F784" s="1016"/>
      <c r="G784" s="1152" t="s">
        <v>9</v>
      </c>
    </row>
    <row r="785" spans="1:7">
      <c r="A785" s="884">
        <v>43811</v>
      </c>
      <c r="B785" s="240" t="str">
        <f>TiposLancamentos!B54</f>
        <v>Metro</v>
      </c>
      <c r="C785" s="878" t="s">
        <v>11221</v>
      </c>
      <c r="D785" s="63"/>
      <c r="E785" s="231">
        <v>50</v>
      </c>
      <c r="F785" s="1016"/>
      <c r="G785" s="1152" t="s">
        <v>9</v>
      </c>
    </row>
    <row r="786" spans="1:7">
      <c r="A786" s="884">
        <v>43811</v>
      </c>
      <c r="B786" s="240" t="str">
        <f>TiposLancamentos!B65</f>
        <v>Taxi</v>
      </c>
      <c r="C786" s="878" t="s">
        <v>11222</v>
      </c>
      <c r="D786" s="63"/>
      <c r="E786" s="231">
        <v>16.82</v>
      </c>
      <c r="F786" s="1016"/>
      <c r="G786" s="1152" t="s">
        <v>9</v>
      </c>
    </row>
    <row r="787" spans="1:7">
      <c r="A787" s="884">
        <v>43811</v>
      </c>
      <c r="B787" s="240" t="str">
        <f>TiposLancamentos!B65</f>
        <v>Taxi</v>
      </c>
      <c r="C787" s="878" t="s">
        <v>11223</v>
      </c>
      <c r="D787" s="63"/>
      <c r="E787" s="231">
        <v>18.899999999999999</v>
      </c>
      <c r="F787" s="1016"/>
      <c r="G787" s="1152" t="s">
        <v>9</v>
      </c>
    </row>
    <row r="788" spans="1:7">
      <c r="A788" s="934"/>
      <c r="B788" s="243"/>
      <c r="C788" s="389" t="s">
        <v>10</v>
      </c>
      <c r="D788" s="146"/>
      <c r="E788" s="146"/>
      <c r="F788" s="1231"/>
      <c r="G788" s="1094" t="s">
        <v>11</v>
      </c>
    </row>
    <row r="789" spans="1:7">
      <c r="A789" s="884">
        <v>43824</v>
      </c>
      <c r="B789" s="240" t="str">
        <f>TiposLancamentos!B19</f>
        <v>Restaurantes</v>
      </c>
      <c r="C789" s="878" t="s">
        <v>11224</v>
      </c>
      <c r="D789" s="63"/>
      <c r="E789" s="231">
        <v>60.2</v>
      </c>
      <c r="F789" s="1016"/>
      <c r="G789" s="1152" t="s">
        <v>9</v>
      </c>
    </row>
    <row r="790" spans="1:7" ht="14.25" thickBot="1">
      <c r="A790" s="884">
        <v>43827</v>
      </c>
      <c r="B790" s="240" t="str">
        <f>TiposLancamentos!B45</f>
        <v>Online Services</v>
      </c>
      <c r="C790" s="878" t="s">
        <v>1895</v>
      </c>
      <c r="D790" s="63"/>
      <c r="E790" s="231">
        <v>26.9</v>
      </c>
      <c r="F790" s="1016"/>
      <c r="G790" s="1152" t="s">
        <v>9</v>
      </c>
    </row>
    <row r="791" spans="1:7">
      <c r="A791" s="1032"/>
      <c r="B791" s="1230"/>
      <c r="C791" s="906" t="s">
        <v>11225</v>
      </c>
      <c r="D791" s="896"/>
      <c r="E791" s="925"/>
      <c r="F791" s="1034">
        <f>SUM(E775:E787)</f>
        <v>263.59999999999997</v>
      </c>
      <c r="G791" s="3"/>
    </row>
    <row r="792" spans="1:7">
      <c r="A792" s="884">
        <v>43832</v>
      </c>
      <c r="B792" s="240" t="str">
        <f>TiposLancamentos!B15</f>
        <v>Cartões de Crédito</v>
      </c>
      <c r="C792" s="878" t="s">
        <v>10915</v>
      </c>
      <c r="D792" s="63">
        <v>263.60000000000002</v>
      </c>
      <c r="E792" s="231"/>
      <c r="F792" s="1016"/>
      <c r="G792" s="1152" t="s">
        <v>9</v>
      </c>
    </row>
    <row r="793" spans="1:7">
      <c r="A793" s="884">
        <v>43834</v>
      </c>
      <c r="B793" s="240" t="str">
        <f>TiposLancamentos!B65</f>
        <v>Taxi</v>
      </c>
      <c r="C793" s="878" t="s">
        <v>11226</v>
      </c>
      <c r="D793" s="63"/>
      <c r="E793" s="231">
        <v>71.540000000000006</v>
      </c>
      <c r="F793" s="1016"/>
      <c r="G793" s="1152" t="s">
        <v>9</v>
      </c>
    </row>
    <row r="794" spans="1:7">
      <c r="A794" s="884">
        <v>43834</v>
      </c>
      <c r="B794" s="240" t="str">
        <f>TiposLancamentos!B65</f>
        <v>Taxi</v>
      </c>
      <c r="C794" s="878" t="s">
        <v>11227</v>
      </c>
      <c r="D794" s="63"/>
      <c r="E794" s="231">
        <v>10.37</v>
      </c>
      <c r="F794" s="1016"/>
      <c r="G794" s="1152" t="s">
        <v>9</v>
      </c>
    </row>
    <row r="795" spans="1:7">
      <c r="A795" s="884">
        <v>43844</v>
      </c>
      <c r="B795" s="240" t="str">
        <f>TiposLancamentos!B65</f>
        <v>Taxi</v>
      </c>
      <c r="C795" s="878" t="s">
        <v>11228</v>
      </c>
      <c r="D795" s="63"/>
      <c r="E795" s="231">
        <v>11.9</v>
      </c>
      <c r="F795" s="1016"/>
      <c r="G795" s="1152" t="s">
        <v>9</v>
      </c>
    </row>
    <row r="796" spans="1:7">
      <c r="A796" s="884">
        <v>43844</v>
      </c>
      <c r="B796" s="240" t="str">
        <f>TiposLancamentos!B65</f>
        <v>Taxi</v>
      </c>
      <c r="C796" s="878" t="s">
        <v>11229</v>
      </c>
      <c r="D796" s="63"/>
      <c r="E796" s="231">
        <v>7.49</v>
      </c>
      <c r="F796" s="1016"/>
      <c r="G796" s="1152" t="s">
        <v>9</v>
      </c>
    </row>
    <row r="797" spans="1:7">
      <c r="A797" s="884">
        <v>43847</v>
      </c>
      <c r="B797" s="240" t="str">
        <f>TiposLancamentos!B5</f>
        <v>Supermercado</v>
      </c>
      <c r="C797" s="878" t="s">
        <v>11230</v>
      </c>
      <c r="D797" s="63"/>
      <c r="E797" s="231">
        <v>58</v>
      </c>
      <c r="F797" s="1016"/>
      <c r="G797" s="1152" t="s">
        <v>9</v>
      </c>
    </row>
    <row r="798" spans="1:7">
      <c r="A798" s="884">
        <v>43847</v>
      </c>
      <c r="B798" s="240" t="str">
        <f>TiposLancamentos!B5</f>
        <v>Supermercado</v>
      </c>
      <c r="C798" s="878" t="s">
        <v>11231</v>
      </c>
      <c r="D798" s="63"/>
      <c r="E798" s="231">
        <v>25</v>
      </c>
      <c r="F798" s="1016"/>
      <c r="G798" s="1152" t="s">
        <v>9</v>
      </c>
    </row>
    <row r="799" spans="1:7">
      <c r="A799" s="934"/>
      <c r="B799" s="243"/>
      <c r="C799" s="389" t="s">
        <v>10</v>
      </c>
      <c r="D799" s="146"/>
      <c r="E799" s="146"/>
      <c r="F799" s="1231"/>
      <c r="G799" s="1094" t="s">
        <v>11</v>
      </c>
    </row>
    <row r="800" spans="1:7">
      <c r="A800" s="884">
        <v>43858</v>
      </c>
      <c r="B800" s="240" t="str">
        <f>TiposLancamentos!B45</f>
        <v>Online Services</v>
      </c>
      <c r="C800" s="878" t="s">
        <v>11232</v>
      </c>
      <c r="D800" s="63"/>
      <c r="E800" s="231">
        <v>69.989999999999995</v>
      </c>
      <c r="F800" s="1016"/>
      <c r="G800" s="1152" t="s">
        <v>9</v>
      </c>
    </row>
    <row r="801" spans="1:7">
      <c r="A801" s="884">
        <v>43858</v>
      </c>
      <c r="B801" s="240" t="str">
        <f>TiposLancamentos!B45</f>
        <v>Online Services</v>
      </c>
      <c r="C801" s="878" t="s">
        <v>1895</v>
      </c>
      <c r="D801" s="63"/>
      <c r="E801" s="231">
        <v>26.9</v>
      </c>
      <c r="F801" s="1016"/>
      <c r="G801" s="1152" t="s">
        <v>9</v>
      </c>
    </row>
    <row r="802" spans="1:7">
      <c r="A802" s="884">
        <v>43859</v>
      </c>
      <c r="B802" s="240" t="str">
        <f>TiposLancamentos!B65</f>
        <v>Taxi</v>
      </c>
      <c r="C802" s="878" t="s">
        <v>11233</v>
      </c>
      <c r="D802" s="63"/>
      <c r="E802" s="231">
        <v>11.42</v>
      </c>
      <c r="F802" s="1016"/>
      <c r="G802" s="1152" t="s">
        <v>9</v>
      </c>
    </row>
    <row r="803" spans="1:7">
      <c r="A803" s="884">
        <v>43859</v>
      </c>
      <c r="B803" s="240" t="str">
        <f>TiposLancamentos!B65</f>
        <v>Taxi</v>
      </c>
      <c r="C803" s="878" t="s">
        <v>11234</v>
      </c>
      <c r="D803" s="63"/>
      <c r="E803" s="231">
        <v>7.01</v>
      </c>
      <c r="F803" s="1016"/>
      <c r="G803" s="1152" t="s">
        <v>9</v>
      </c>
    </row>
    <row r="804" spans="1:7">
      <c r="A804" s="884">
        <v>43859</v>
      </c>
      <c r="B804" s="240" t="str">
        <f>TiposLancamentos!B5</f>
        <v>Supermercado</v>
      </c>
      <c r="C804" s="878" t="s">
        <v>11235</v>
      </c>
      <c r="D804" s="63"/>
      <c r="E804" s="231">
        <v>8</v>
      </c>
      <c r="F804" s="1016"/>
      <c r="G804" s="1152" t="s">
        <v>9</v>
      </c>
    </row>
    <row r="805" spans="1:7" ht="14.25" thickBot="1">
      <c r="A805" s="884">
        <v>43860</v>
      </c>
      <c r="B805" s="240" t="str">
        <f>TiposLancamentos!B54</f>
        <v>Metro</v>
      </c>
      <c r="C805" s="878" t="s">
        <v>11221</v>
      </c>
      <c r="D805" s="63"/>
      <c r="E805" s="231">
        <v>50</v>
      </c>
      <c r="F805" s="1016"/>
      <c r="G805" s="1152" t="s">
        <v>9</v>
      </c>
    </row>
    <row r="806" spans="1:7">
      <c r="A806" s="1032"/>
      <c r="B806" s="1230"/>
      <c r="C806" s="906" t="s">
        <v>11236</v>
      </c>
      <c r="D806" s="896"/>
      <c r="E806" s="925"/>
      <c r="F806" s="1034">
        <f>SUM(E789:E798)</f>
        <v>271.39999999999998</v>
      </c>
      <c r="G806" s="3"/>
    </row>
    <row r="807" spans="1:7">
      <c r="A807" s="884">
        <v>43864</v>
      </c>
      <c r="B807" s="240" t="str">
        <f>TiposLancamentos!B15</f>
        <v>Cartões de Crédito</v>
      </c>
      <c r="C807" s="878" t="s">
        <v>1874</v>
      </c>
      <c r="D807" s="63">
        <v>271.39999999999998</v>
      </c>
      <c r="E807" s="231"/>
      <c r="F807" s="1016"/>
      <c r="G807" s="1152" t="s">
        <v>9</v>
      </c>
    </row>
    <row r="808" spans="1:7">
      <c r="A808" s="884">
        <v>43865</v>
      </c>
      <c r="B808" s="240" t="str">
        <f>TiposLancamentos!B26</f>
        <v>LIVROS</v>
      </c>
      <c r="C808" s="878" t="s">
        <v>11237</v>
      </c>
      <c r="D808" s="63"/>
      <c r="E808" s="231">
        <v>1.99</v>
      </c>
      <c r="F808" s="1016"/>
      <c r="G808" s="1152" t="s">
        <v>9</v>
      </c>
    </row>
    <row r="809" spans="1:7">
      <c r="A809" s="884">
        <v>43866</v>
      </c>
      <c r="B809" s="240" t="str">
        <f>TiposLancamentos!B57</f>
        <v>Informática</v>
      </c>
      <c r="C809" s="878" t="s">
        <v>11238</v>
      </c>
      <c r="D809" s="63"/>
      <c r="E809" s="231">
        <v>38.89</v>
      </c>
      <c r="F809" s="1016"/>
      <c r="G809" s="1152" t="s">
        <v>9</v>
      </c>
    </row>
    <row r="810" spans="1:7">
      <c r="A810" s="884">
        <v>43876</v>
      </c>
      <c r="B810" s="240" t="str">
        <f>TiposLancamentos!B71</f>
        <v>Itens Pessoais</v>
      </c>
      <c r="C810" s="878" t="s">
        <v>8961</v>
      </c>
      <c r="D810" s="63"/>
      <c r="E810" s="231">
        <v>30</v>
      </c>
      <c r="F810" s="1016"/>
      <c r="G810" s="1152" t="s">
        <v>9</v>
      </c>
    </row>
    <row r="811" spans="1:7">
      <c r="A811" s="934"/>
      <c r="B811" s="243"/>
      <c r="C811" s="389" t="s">
        <v>10</v>
      </c>
      <c r="D811" s="146"/>
      <c r="E811" s="146"/>
      <c r="F811" s="1231"/>
      <c r="G811" s="1094" t="s">
        <v>11</v>
      </c>
    </row>
    <row r="812" spans="1:7">
      <c r="A812" s="884">
        <v>43887</v>
      </c>
      <c r="B812" s="240" t="str">
        <f>TiposLancamentos!B54</f>
        <v>Metro</v>
      </c>
      <c r="C812" s="878" t="s">
        <v>11221</v>
      </c>
      <c r="D812" s="63"/>
      <c r="E812" s="231">
        <v>50</v>
      </c>
      <c r="F812" s="1016"/>
      <c r="G812" s="1152" t="s">
        <v>9</v>
      </c>
    </row>
    <row r="813" spans="1:7">
      <c r="A813" s="884">
        <v>43887</v>
      </c>
      <c r="B813" s="240" t="str">
        <f>TiposLancamentos!B19</f>
        <v>Restaurantes</v>
      </c>
      <c r="C813" s="878" t="s">
        <v>11239</v>
      </c>
      <c r="D813" s="63"/>
      <c r="E813" s="231">
        <v>55.8</v>
      </c>
      <c r="F813" s="1016"/>
      <c r="G813" s="1152" t="s">
        <v>9</v>
      </c>
    </row>
    <row r="814" spans="1:7">
      <c r="A814" s="884">
        <v>43889</v>
      </c>
      <c r="B814" s="240" t="str">
        <f>TiposLancamentos!B48</f>
        <v>Baralhos e Oráculos</v>
      </c>
      <c r="C814" s="878" t="s">
        <v>11240</v>
      </c>
      <c r="D814" s="63"/>
      <c r="E814" s="231">
        <v>17.91</v>
      </c>
      <c r="F814" s="1016"/>
      <c r="G814" s="1152" t="s">
        <v>9</v>
      </c>
    </row>
    <row r="815" spans="1:7" ht="14.25" customHeight="1">
      <c r="A815" s="884">
        <v>43889</v>
      </c>
      <c r="B815" s="240" t="str">
        <f>TiposLancamentos!B45</f>
        <v>Online Services</v>
      </c>
      <c r="C815" s="878" t="s">
        <v>1895</v>
      </c>
      <c r="D815" s="63"/>
      <c r="E815" s="231">
        <v>26.9</v>
      </c>
      <c r="F815" s="1016"/>
      <c r="G815" s="1152" t="s">
        <v>9</v>
      </c>
    </row>
    <row r="816" spans="1:7" ht="14.25" customHeight="1">
      <c r="A816" s="884">
        <v>43890</v>
      </c>
      <c r="B816" s="240" t="str">
        <f>TiposLancamentos!B16</f>
        <v>Cristiane</v>
      </c>
      <c r="C816" s="878" t="s">
        <v>11241</v>
      </c>
      <c r="D816" s="63"/>
      <c r="E816" s="231">
        <v>84</v>
      </c>
      <c r="F816" s="1016"/>
      <c r="G816" s="1152" t="s">
        <v>9</v>
      </c>
    </row>
    <row r="817" spans="1:7" ht="14.25" customHeight="1">
      <c r="A817" s="884">
        <v>43890</v>
      </c>
      <c r="B817" s="240" t="str">
        <f>TiposLancamentos!B56</f>
        <v>Farmácia</v>
      </c>
      <c r="C817" s="878" t="s">
        <v>11242</v>
      </c>
      <c r="D817" s="63"/>
      <c r="E817" s="231">
        <v>163.21</v>
      </c>
      <c r="F817" s="1016"/>
      <c r="G817" s="1152" t="s">
        <v>9</v>
      </c>
    </row>
    <row r="818" spans="1:7" ht="14.25" customHeight="1">
      <c r="A818" s="884">
        <v>43890</v>
      </c>
      <c r="B818" s="240" t="str">
        <f>TiposLancamentos!B13</f>
        <v>Moradia</v>
      </c>
      <c r="C818" s="878" t="s">
        <v>11243</v>
      </c>
      <c r="D818" s="63"/>
      <c r="E818" s="231">
        <v>28.99</v>
      </c>
      <c r="F818" s="1016"/>
      <c r="G818" s="1152" t="s">
        <v>9</v>
      </c>
    </row>
    <row r="819" spans="1:7">
      <c r="A819" s="884">
        <v>43890</v>
      </c>
      <c r="B819" s="240" t="str">
        <f>TiposLancamentos!B81</f>
        <v>Ferramentas gerais</v>
      </c>
      <c r="C819" s="878" t="s">
        <v>11244</v>
      </c>
      <c r="D819" s="63"/>
      <c r="E819" s="231">
        <v>17.98</v>
      </c>
      <c r="F819" s="1016"/>
      <c r="G819" s="1152" t="s">
        <v>9</v>
      </c>
    </row>
    <row r="820" spans="1:7" ht="14.25" thickBot="1">
      <c r="A820" s="884">
        <v>43890</v>
      </c>
      <c r="B820" s="240" t="str">
        <f>TiposLancamentos!B19</f>
        <v>Restaurantes</v>
      </c>
      <c r="C820" s="878" t="s">
        <v>11245</v>
      </c>
      <c r="D820" s="63"/>
      <c r="E820" s="231">
        <v>138.91999999999999</v>
      </c>
      <c r="F820" s="1016"/>
      <c r="G820" s="1152" t="s">
        <v>9</v>
      </c>
    </row>
    <row r="821" spans="1:7">
      <c r="A821" s="1032"/>
      <c r="B821" s="1230"/>
      <c r="C821" s="906" t="s">
        <v>11246</v>
      </c>
      <c r="D821" s="896"/>
      <c r="E821" s="925"/>
      <c r="F821" s="1034">
        <f>SUM(E800:E810)</f>
        <v>244.2</v>
      </c>
      <c r="G821" s="3"/>
    </row>
    <row r="822" spans="1:7">
      <c r="A822" s="884">
        <v>43891</v>
      </c>
      <c r="B822" s="240" t="str">
        <f>TiposLancamentos!B19</f>
        <v>Restaurantes</v>
      </c>
      <c r="C822" s="878" t="s">
        <v>11247</v>
      </c>
      <c r="D822" s="63"/>
      <c r="E822" s="231">
        <v>166.44</v>
      </c>
      <c r="F822" s="1016">
        <f>F821-F806</f>
        <v>-27.199999999999989</v>
      </c>
      <c r="G822" s="1152" t="s">
        <v>9</v>
      </c>
    </row>
    <row r="823" spans="1:7">
      <c r="A823" s="884">
        <v>43891</v>
      </c>
      <c r="B823" s="240" t="str">
        <f>TiposLancamentos!B16</f>
        <v>Cristiane</v>
      </c>
      <c r="C823" s="878" t="s">
        <v>11248</v>
      </c>
      <c r="D823" s="63"/>
      <c r="E823" s="231">
        <v>40.799999999999997</v>
      </c>
      <c r="F823" s="1016"/>
      <c r="G823" s="1152" t="s">
        <v>9</v>
      </c>
    </row>
    <row r="824" spans="1:7">
      <c r="A824" s="884">
        <v>43891</v>
      </c>
      <c r="B824" s="240" t="str">
        <f>TiposLancamentos!B5</f>
        <v>Supermercado</v>
      </c>
      <c r="C824" s="878" t="s">
        <v>11249</v>
      </c>
      <c r="D824" s="63"/>
      <c r="E824" s="231">
        <v>26.12</v>
      </c>
      <c r="F824" s="1016"/>
      <c r="G824" s="1152" t="s">
        <v>9</v>
      </c>
    </row>
    <row r="825" spans="1:7">
      <c r="A825" s="884">
        <v>43892</v>
      </c>
      <c r="B825" s="240" t="str">
        <f>TiposLancamentos!B15</f>
        <v>Cartões de Crédito</v>
      </c>
      <c r="C825" s="878" t="s">
        <v>10915</v>
      </c>
      <c r="D825" s="63">
        <v>244.2</v>
      </c>
      <c r="E825" s="231"/>
      <c r="F825" s="1016"/>
      <c r="G825" s="1152" t="s">
        <v>9</v>
      </c>
    </row>
    <row r="826" spans="1:7">
      <c r="A826" s="884">
        <v>43894</v>
      </c>
      <c r="B826" s="240" t="str">
        <f>TiposLancamentos!B54</f>
        <v>Metro</v>
      </c>
      <c r="C826" s="878" t="s">
        <v>11221</v>
      </c>
      <c r="D826" s="63"/>
      <c r="E826" s="231">
        <v>50</v>
      </c>
      <c r="F826" s="1016"/>
      <c r="G826" s="1152" t="s">
        <v>9</v>
      </c>
    </row>
    <row r="827" spans="1:7">
      <c r="A827" s="884">
        <v>43899</v>
      </c>
      <c r="B827" s="240" t="str">
        <f>TiposLancamentos!B23</f>
        <v>P208 GRIFFE 1.6 AUT BUSINESS</v>
      </c>
      <c r="C827" s="878" t="s">
        <v>11250</v>
      </c>
      <c r="D827" s="63"/>
      <c r="E827" s="231">
        <f>F827/4</f>
        <v>125.5</v>
      </c>
      <c r="F827" s="1016">
        <v>502</v>
      </c>
      <c r="G827" s="1152" t="s">
        <v>9</v>
      </c>
    </row>
    <row r="828" spans="1:7">
      <c r="A828" s="884">
        <v>43900</v>
      </c>
      <c r="B828" s="240" t="str">
        <f>TiposLancamentos!B54</f>
        <v>Metro</v>
      </c>
      <c r="C828" s="878" t="s">
        <v>11221</v>
      </c>
      <c r="D828" s="63"/>
      <c r="E828" s="231">
        <v>50</v>
      </c>
      <c r="F828" s="1016"/>
      <c r="G828" s="1152" t="s">
        <v>9</v>
      </c>
    </row>
    <row r="829" spans="1:7">
      <c r="A829" s="884">
        <v>43908</v>
      </c>
      <c r="B829" s="240" t="str">
        <f>TiposLancamentos!B54</f>
        <v>Metro</v>
      </c>
      <c r="C829" s="878" t="s">
        <v>11221</v>
      </c>
      <c r="D829" s="63"/>
      <c r="E829" s="231">
        <v>50</v>
      </c>
      <c r="F829" s="1016"/>
      <c r="G829" s="1152" t="s">
        <v>9</v>
      </c>
    </row>
    <row r="830" spans="1:7">
      <c r="A830" s="884">
        <v>43910</v>
      </c>
      <c r="B830" s="240" t="str">
        <f>TiposLancamentos!B26</f>
        <v>LIVROS</v>
      </c>
      <c r="C830" s="878" t="s">
        <v>11251</v>
      </c>
      <c r="D830" s="63"/>
      <c r="E830" s="231">
        <v>8.06</v>
      </c>
      <c r="F830" s="1016"/>
      <c r="G830" s="1152" t="s">
        <v>9</v>
      </c>
    </row>
    <row r="831" spans="1:7">
      <c r="A831" s="934"/>
      <c r="B831" s="243"/>
      <c r="C831" s="389" t="s">
        <v>10</v>
      </c>
      <c r="D831" s="146"/>
      <c r="E831" s="146"/>
      <c r="F831" s="1231"/>
      <c r="G831" s="1094" t="s">
        <v>11</v>
      </c>
    </row>
    <row r="832" spans="1:7" ht="14.25" thickBot="1">
      <c r="A832" s="884">
        <v>43918</v>
      </c>
      <c r="B832" s="240" t="str">
        <f>TiposLancamentos!B45</f>
        <v>Online Services</v>
      </c>
      <c r="C832" s="878" t="s">
        <v>1895</v>
      </c>
      <c r="D832" s="63"/>
      <c r="E832" s="231">
        <v>26.9</v>
      </c>
      <c r="F832" s="1016"/>
      <c r="G832" s="1152" t="s">
        <v>9</v>
      </c>
    </row>
    <row r="833" spans="1:7">
      <c r="A833" s="1032"/>
      <c r="B833" s="1230"/>
      <c r="C833" s="906" t="s">
        <v>11252</v>
      </c>
      <c r="D833" s="896"/>
      <c r="E833" s="925"/>
      <c r="F833" s="1034">
        <f>SUM(E812:E830)</f>
        <v>1100.6300000000001</v>
      </c>
      <c r="G833" s="3"/>
    </row>
    <row r="834" spans="1:7">
      <c r="A834" s="884">
        <v>43922</v>
      </c>
      <c r="B834" s="240" t="str">
        <f>TiposLancamentos!B15</f>
        <v>Cartões de Crédito</v>
      </c>
      <c r="C834" s="878" t="s">
        <v>10915</v>
      </c>
      <c r="D834" s="63">
        <v>1100.6300000000001</v>
      </c>
      <c r="E834" s="231"/>
      <c r="F834" s="1016">
        <f>F833-F821</f>
        <v>856.43000000000006</v>
      </c>
      <c r="G834" s="1152" t="s">
        <v>9</v>
      </c>
    </row>
    <row r="835" spans="1:7">
      <c r="A835" s="884">
        <v>43930</v>
      </c>
      <c r="B835" s="240" t="str">
        <f>TiposLancamentos!B23</f>
        <v>P208 GRIFFE 1.6 AUT BUSINESS</v>
      </c>
      <c r="C835" s="878" t="s">
        <v>11253</v>
      </c>
      <c r="D835" s="63"/>
      <c r="E835" s="231">
        <f>F835/4</f>
        <v>125.5</v>
      </c>
      <c r="F835" s="1016">
        <v>502</v>
      </c>
      <c r="G835" s="1152" t="s">
        <v>9</v>
      </c>
    </row>
    <row r="836" spans="1:7">
      <c r="A836" s="934"/>
      <c r="B836" s="243"/>
      <c r="C836" s="389" t="s">
        <v>10</v>
      </c>
      <c r="D836" s="146"/>
      <c r="E836" s="146"/>
      <c r="F836" s="1231"/>
      <c r="G836" s="1094" t="s">
        <v>11</v>
      </c>
    </row>
    <row r="837" spans="1:7" ht="14.25" thickBot="1">
      <c r="A837" s="884">
        <v>43949</v>
      </c>
      <c r="B837" s="240" t="str">
        <f>TiposLancamentos!B45</f>
        <v>Online Services</v>
      </c>
      <c r="C837" s="878" t="s">
        <v>1895</v>
      </c>
      <c r="D837" s="63"/>
      <c r="E837" s="231">
        <v>26.9</v>
      </c>
      <c r="F837" s="1016"/>
      <c r="G837" s="1152" t="s">
        <v>9</v>
      </c>
    </row>
    <row r="838" spans="1:7">
      <c r="A838" s="1032"/>
      <c r="B838" s="1230"/>
      <c r="C838" s="906" t="s">
        <v>11254</v>
      </c>
      <c r="D838" s="896"/>
      <c r="E838" s="925"/>
      <c r="F838" s="1034">
        <f>SUM(E832:E835)</f>
        <v>152.4</v>
      </c>
      <c r="G838" s="3"/>
    </row>
    <row r="839" spans="1:7">
      <c r="A839" s="884">
        <v>43952</v>
      </c>
      <c r="B839" s="240" t="str">
        <f>TiposLancamentos!B15</f>
        <v>Cartões de Crédito</v>
      </c>
      <c r="C839" s="878" t="s">
        <v>1874</v>
      </c>
      <c r="D839" s="63">
        <v>152.4</v>
      </c>
      <c r="E839" s="231"/>
      <c r="F839" s="1016"/>
      <c r="G839" s="1152" t="s">
        <v>9</v>
      </c>
    </row>
    <row r="840" spans="1:7">
      <c r="A840" s="884">
        <v>43960</v>
      </c>
      <c r="B840" s="240" t="str">
        <f>TiposLancamentos!B23</f>
        <v>P208 GRIFFE 1.6 AUT BUSINESS</v>
      </c>
      <c r="C840" s="878" t="s">
        <v>11255</v>
      </c>
      <c r="D840" s="63"/>
      <c r="E840" s="231">
        <f>F840/4</f>
        <v>125.5</v>
      </c>
      <c r="F840" s="1016">
        <v>502</v>
      </c>
      <c r="G840" s="1152" t="s">
        <v>9</v>
      </c>
    </row>
    <row r="841" spans="1:7">
      <c r="A841" s="884">
        <v>43968</v>
      </c>
      <c r="B841" s="240" t="str">
        <f>TiposLancamentos!B56</f>
        <v>Farmácia</v>
      </c>
      <c r="C841" s="878" t="s">
        <v>11256</v>
      </c>
      <c r="D841" s="63"/>
      <c r="E841" s="231">
        <v>27.43</v>
      </c>
      <c r="F841" s="1016"/>
      <c r="G841" s="1152" t="s">
        <v>9</v>
      </c>
    </row>
    <row r="842" spans="1:7">
      <c r="A842" s="934"/>
      <c r="B842" s="243"/>
      <c r="C842" s="389" t="s">
        <v>10</v>
      </c>
      <c r="D842" s="146"/>
      <c r="E842" s="146"/>
      <c r="F842" s="1231"/>
      <c r="G842" s="1094" t="s">
        <v>11</v>
      </c>
    </row>
    <row r="843" spans="1:7" ht="14.25" thickBot="1">
      <c r="A843" s="884">
        <v>43979</v>
      </c>
      <c r="B843" s="240" t="str">
        <f>TiposLancamentos!B45</f>
        <v>Online Services</v>
      </c>
      <c r="C843" s="878" t="s">
        <v>1895</v>
      </c>
      <c r="D843" s="63"/>
      <c r="E843" s="231">
        <v>26.9</v>
      </c>
      <c r="F843" s="1016"/>
      <c r="G843" s="3"/>
    </row>
    <row r="844" spans="1:7">
      <c r="A844" s="1032"/>
      <c r="B844" s="1230"/>
      <c r="C844" s="906" t="s">
        <v>11257</v>
      </c>
      <c r="D844" s="896"/>
      <c r="E844" s="925"/>
      <c r="F844" s="1034">
        <f>SUM(E837:E841)</f>
        <v>179.83</v>
      </c>
      <c r="G844" s="1152" t="s">
        <v>9</v>
      </c>
    </row>
    <row r="845" spans="1:7">
      <c r="A845" s="884">
        <v>43983</v>
      </c>
      <c r="B845" s="240" t="str">
        <f>TiposLancamentos!B15</f>
        <v>Cartões de Crédito</v>
      </c>
      <c r="C845" s="878" t="s">
        <v>1874</v>
      </c>
      <c r="D845" s="63">
        <v>179.83</v>
      </c>
      <c r="E845" s="231"/>
      <c r="F845" s="1016">
        <f>F844-F838</f>
        <v>27.430000000000007</v>
      </c>
      <c r="G845" s="1152" t="s">
        <v>9</v>
      </c>
    </row>
    <row r="846" spans="1:7">
      <c r="A846" s="884">
        <v>43991</v>
      </c>
      <c r="B846" s="240" t="str">
        <f>TiposLancamentos!B23</f>
        <v>P208 GRIFFE 1.6 AUT BUSINESS</v>
      </c>
      <c r="C846" s="878" t="s">
        <v>11258</v>
      </c>
      <c r="D846" s="63"/>
      <c r="E846" s="231">
        <f>F846/4</f>
        <v>125.5</v>
      </c>
      <c r="F846" s="1016">
        <v>502</v>
      </c>
      <c r="G846" s="1152" t="s">
        <v>9</v>
      </c>
    </row>
    <row r="847" spans="1:7">
      <c r="A847" s="934"/>
      <c r="B847" s="243"/>
      <c r="C847" s="389" t="s">
        <v>10</v>
      </c>
      <c r="D847" s="146"/>
      <c r="E847" s="146"/>
      <c r="F847" s="1231"/>
      <c r="G847" s="1094" t="s">
        <v>11</v>
      </c>
    </row>
    <row r="848" spans="1:7" ht="14.25" thickBot="1">
      <c r="A848" s="884">
        <v>44010</v>
      </c>
      <c r="B848" s="240" t="str">
        <f>TiposLancamentos!B45</f>
        <v>Online Services</v>
      </c>
      <c r="C848" s="878" t="s">
        <v>1895</v>
      </c>
      <c r="D848" s="63"/>
      <c r="E848" s="231">
        <v>26.9</v>
      </c>
      <c r="F848" s="1016"/>
      <c r="G848" s="1152" t="s">
        <v>9</v>
      </c>
    </row>
    <row r="849" spans="1:7">
      <c r="A849" s="1032"/>
      <c r="B849" s="1230"/>
      <c r="C849" s="906" t="s">
        <v>11259</v>
      </c>
      <c r="D849" s="896"/>
      <c r="E849" s="925"/>
      <c r="F849" s="1034">
        <f>SUM(E843:E846)</f>
        <v>152.4</v>
      </c>
      <c r="G849" s="3"/>
    </row>
    <row r="850" spans="1:7">
      <c r="A850" s="884">
        <v>44013</v>
      </c>
      <c r="B850" s="240" t="str">
        <f>TiposLancamentos!B15</f>
        <v>Cartões de Crédito</v>
      </c>
      <c r="C850" s="878" t="s">
        <v>1874</v>
      </c>
      <c r="D850" s="63">
        <v>152.4</v>
      </c>
      <c r="E850" s="231"/>
      <c r="F850" s="1016">
        <f>F849-F844</f>
        <v>-27.430000000000007</v>
      </c>
      <c r="G850" s="1152" t="s">
        <v>9</v>
      </c>
    </row>
    <row r="851" spans="1:7">
      <c r="A851" s="884">
        <v>44014</v>
      </c>
      <c r="B851" s="240" t="str">
        <f>TiposLancamentos!B88</f>
        <v>Ford Ecosport XLT</v>
      </c>
      <c r="C851" s="878" t="s">
        <v>11260</v>
      </c>
      <c r="D851" s="63"/>
      <c r="E851" s="231">
        <v>218.39</v>
      </c>
      <c r="F851" s="1016">
        <v>655.14</v>
      </c>
      <c r="G851" s="1152" t="s">
        <v>9</v>
      </c>
    </row>
    <row r="852" spans="1:7">
      <c r="A852" s="934"/>
      <c r="B852" s="243"/>
      <c r="C852" s="389" t="s">
        <v>10</v>
      </c>
      <c r="D852" s="146"/>
      <c r="E852" s="146"/>
      <c r="F852" s="1231"/>
      <c r="G852" s="1094" t="s">
        <v>11</v>
      </c>
    </row>
    <row r="853" spans="1:7">
      <c r="A853" s="884">
        <v>44038</v>
      </c>
      <c r="B853" s="240" t="str">
        <f>TiposLancamentos!B19</f>
        <v>Restaurantes</v>
      </c>
      <c r="C853" s="878" t="s">
        <v>11261</v>
      </c>
      <c r="D853" s="63"/>
      <c r="E853" s="231">
        <v>48.28</v>
      </c>
      <c r="F853" s="1016"/>
      <c r="G853" s="1152" t="s">
        <v>9</v>
      </c>
    </row>
    <row r="854" spans="1:7">
      <c r="A854" s="884">
        <v>44040</v>
      </c>
      <c r="B854" s="240" t="str">
        <f>TiposLancamentos!B45</f>
        <v>Online Services</v>
      </c>
      <c r="C854" s="878" t="s">
        <v>1895</v>
      </c>
      <c r="D854" s="63"/>
      <c r="E854" s="231">
        <v>26.9</v>
      </c>
      <c r="F854" s="1016"/>
      <c r="G854" s="1152" t="s">
        <v>9</v>
      </c>
    </row>
    <row r="855" spans="1:7" ht="14.25" thickBot="1">
      <c r="A855" s="884">
        <v>44043</v>
      </c>
      <c r="B855" s="240" t="str">
        <f>TiposLancamentos!B24</f>
        <v>Estacionamentos</v>
      </c>
      <c r="C855" s="878" t="s">
        <v>11262</v>
      </c>
      <c r="D855" s="63"/>
      <c r="E855" s="231">
        <v>20</v>
      </c>
      <c r="F855" s="1016"/>
      <c r="G855" s="1152" t="s">
        <v>9</v>
      </c>
    </row>
    <row r="856" spans="1:7">
      <c r="A856" s="1032"/>
      <c r="B856" s="1230"/>
      <c r="C856" s="906" t="s">
        <v>11263</v>
      </c>
      <c r="D856" s="896"/>
      <c r="E856" s="925"/>
      <c r="F856" s="1034">
        <f>SUM(E848:E851)</f>
        <v>245.29</v>
      </c>
      <c r="G856" s="3"/>
    </row>
    <row r="857" spans="1:7">
      <c r="A857" s="884">
        <v>44044</v>
      </c>
      <c r="B857" s="240" t="str">
        <f>TiposLancamentos!B15</f>
        <v>Cartões de Crédito</v>
      </c>
      <c r="C857" s="878" t="s">
        <v>1874</v>
      </c>
      <c r="D857" s="63">
        <v>245.29</v>
      </c>
      <c r="E857" s="231"/>
      <c r="F857" s="1016">
        <f>F856-F849</f>
        <v>92.889999999999986</v>
      </c>
      <c r="G857" s="1152" t="s">
        <v>9</v>
      </c>
    </row>
    <row r="858" spans="1:7">
      <c r="A858" s="884">
        <v>44044</v>
      </c>
      <c r="B858" s="240" t="str">
        <f>TiposLancamentos!B16</f>
        <v>Cristiane</v>
      </c>
      <c r="C858" s="878" t="s">
        <v>11264</v>
      </c>
      <c r="D858" s="63"/>
      <c r="E858" s="231">
        <f>F858/10</f>
        <v>353.49</v>
      </c>
      <c r="F858" s="1016">
        <v>3534.9</v>
      </c>
      <c r="G858" s="1152" t="s">
        <v>9</v>
      </c>
    </row>
    <row r="859" spans="1:7">
      <c r="A859" s="884">
        <v>44045</v>
      </c>
      <c r="B859" s="240" t="str">
        <f>TiposLancamentos!B88</f>
        <v>Ford Ecosport XLT</v>
      </c>
      <c r="C859" s="878" t="s">
        <v>11265</v>
      </c>
      <c r="D859" s="63"/>
      <c r="E859" s="231">
        <f>F859/3</f>
        <v>218.38</v>
      </c>
      <c r="F859" s="1016">
        <v>655.14</v>
      </c>
      <c r="G859" s="1152" t="s">
        <v>9</v>
      </c>
    </row>
    <row r="860" spans="1:7">
      <c r="A860" s="884">
        <v>44061</v>
      </c>
      <c r="B860" s="240" t="str">
        <f>TiposLancamentos!B77</f>
        <v>Esporádico</v>
      </c>
      <c r="C860" s="878" t="s">
        <v>11266</v>
      </c>
      <c r="D860" s="63"/>
      <c r="E860" s="231">
        <v>1198.53</v>
      </c>
      <c r="F860" s="1016"/>
      <c r="G860" s="1152" t="s">
        <v>9</v>
      </c>
    </row>
    <row r="861" spans="1:7">
      <c r="A861" s="884">
        <v>44061</v>
      </c>
      <c r="B861" s="240" t="str">
        <f>TiposLancamentos!B4</f>
        <v>Taxas Bancarias</v>
      </c>
      <c r="C861" s="878" t="s">
        <v>11267</v>
      </c>
      <c r="D861" s="63"/>
      <c r="E861" s="231">
        <v>76.47</v>
      </c>
      <c r="F861" s="1016"/>
      <c r="G861" s="1152" t="s">
        <v>9</v>
      </c>
    </row>
    <row r="862" spans="1:7">
      <c r="A862" s="884">
        <v>44064</v>
      </c>
      <c r="B862" s="240" t="str">
        <f>TiposLancamentos!B4</f>
        <v>Taxas Bancarias</v>
      </c>
      <c r="C862" s="878" t="s">
        <v>11268</v>
      </c>
      <c r="D862" s="63">
        <v>77.959999999999994</v>
      </c>
      <c r="E862" s="231"/>
      <c r="F862" s="1016"/>
      <c r="G862" s="1152" t="s">
        <v>9</v>
      </c>
    </row>
    <row r="863" spans="1:7">
      <c r="A863" s="884">
        <v>44064</v>
      </c>
      <c r="B863" s="240" t="str">
        <f>TiposLancamentos!B102</f>
        <v>ESTORNO</v>
      </c>
      <c r="C863" s="878" t="s">
        <v>11269</v>
      </c>
      <c r="D863" s="63">
        <v>1221.99</v>
      </c>
      <c r="E863" s="231"/>
      <c r="F863" s="1016"/>
      <c r="G863" s="1152" t="s">
        <v>9</v>
      </c>
    </row>
    <row r="864" spans="1:7">
      <c r="A864" s="934"/>
      <c r="B864" s="243"/>
      <c r="C864" s="389" t="s">
        <v>10</v>
      </c>
      <c r="D864" s="146"/>
      <c r="E864" s="146"/>
      <c r="F864" s="1231"/>
      <c r="G864" s="1094" t="s">
        <v>11</v>
      </c>
    </row>
    <row r="865" spans="1:7" ht="14.25" thickBot="1">
      <c r="A865" s="884">
        <v>44071</v>
      </c>
      <c r="B865" s="240" t="str">
        <f>TiposLancamentos!B45</f>
        <v>Online Services</v>
      </c>
      <c r="C865" s="878" t="s">
        <v>1895</v>
      </c>
      <c r="D865" s="63"/>
      <c r="E865" s="231">
        <v>26.9</v>
      </c>
      <c r="F865" s="1016"/>
      <c r="G865" s="1152" t="s">
        <v>9</v>
      </c>
    </row>
    <row r="866" spans="1:7">
      <c r="A866" s="1032"/>
      <c r="B866" s="1230"/>
      <c r="C866" s="906" t="s">
        <v>11270</v>
      </c>
      <c r="D866" s="896"/>
      <c r="E866" s="925"/>
      <c r="F866" s="1034">
        <f>SUM(E853:E863)-(D862+D863)</f>
        <v>642.09999999999991</v>
      </c>
      <c r="G866" s="3"/>
    </row>
    <row r="867" spans="1:7">
      <c r="A867" s="884">
        <v>44075</v>
      </c>
      <c r="B867" s="240" t="str">
        <f>TiposLancamentos!B15</f>
        <v>Cartões de Crédito</v>
      </c>
      <c r="C867" s="878" t="s">
        <v>1874</v>
      </c>
      <c r="D867" s="63">
        <v>0</v>
      </c>
      <c r="E867" s="231"/>
      <c r="F867" s="1016"/>
      <c r="G867" s="1152" t="s">
        <v>9</v>
      </c>
    </row>
    <row r="868" spans="1:7">
      <c r="A868" s="884">
        <v>44075</v>
      </c>
      <c r="B868" s="240" t="str">
        <f>TiposLancamentos!B16</f>
        <v>Cristiane</v>
      </c>
      <c r="C868" s="878" t="s">
        <v>11271</v>
      </c>
      <c r="D868" s="63"/>
      <c r="E868" s="231">
        <f>F868/10</f>
        <v>353.49</v>
      </c>
      <c r="F868" s="1016">
        <v>3534.9</v>
      </c>
      <c r="G868" s="1152" t="s">
        <v>9</v>
      </c>
    </row>
    <row r="869" spans="1:7">
      <c r="A869" s="884">
        <v>44076</v>
      </c>
      <c r="B869" s="240" t="str">
        <f>TiposLancamentos!B88</f>
        <v>Ford Ecosport XLT</v>
      </c>
      <c r="C869" s="878" t="s">
        <v>11272</v>
      </c>
      <c r="D869" s="63"/>
      <c r="E869" s="231">
        <f>F869/3</f>
        <v>218.38</v>
      </c>
      <c r="F869" s="1016">
        <v>655.14</v>
      </c>
      <c r="G869" s="1152" t="s">
        <v>9</v>
      </c>
    </row>
    <row r="870" spans="1:7">
      <c r="A870" s="884">
        <v>44079</v>
      </c>
      <c r="B870" s="240" t="str">
        <f>TiposLancamentos!B45</f>
        <v>Online Services</v>
      </c>
      <c r="C870" s="878" t="s">
        <v>11273</v>
      </c>
      <c r="D870" s="63"/>
      <c r="E870" s="231"/>
      <c r="F870" s="1016" t="s">
        <v>11274</v>
      </c>
      <c r="G870" s="1152" t="s">
        <v>9</v>
      </c>
    </row>
    <row r="871" spans="1:7">
      <c r="A871" s="884">
        <v>44082</v>
      </c>
      <c r="B871" s="240" t="str">
        <f>TiposLancamentos!B73</f>
        <v>Cursos</v>
      </c>
      <c r="C871" s="878" t="s">
        <v>11275</v>
      </c>
      <c r="D871" s="63"/>
      <c r="E871" s="231">
        <f>F871/12</f>
        <v>78</v>
      </c>
      <c r="F871" s="1016">
        <v>936</v>
      </c>
      <c r="G871" s="1152" t="s">
        <v>9</v>
      </c>
    </row>
    <row r="872" spans="1:7">
      <c r="A872" s="884">
        <v>44095</v>
      </c>
      <c r="B872" s="240" t="str">
        <f>TiposLancamentos!B102</f>
        <v>ESTORNO</v>
      </c>
      <c r="C872" s="878" t="s">
        <v>11276</v>
      </c>
      <c r="D872" s="63">
        <v>556.42999999999995</v>
      </c>
      <c r="E872" s="231"/>
      <c r="F872" s="1016"/>
      <c r="G872" s="1152" t="s">
        <v>9</v>
      </c>
    </row>
    <row r="873" spans="1:7">
      <c r="A873" s="934"/>
      <c r="B873" s="243"/>
      <c r="C873" s="389" t="s">
        <v>10</v>
      </c>
      <c r="D873" s="146"/>
      <c r="E873" s="146"/>
      <c r="F873" s="1231"/>
      <c r="G873" s="1094" t="s">
        <v>11</v>
      </c>
    </row>
    <row r="874" spans="1:7" ht="14.25" thickBot="1">
      <c r="A874" s="884">
        <v>44102</v>
      </c>
      <c r="B874" s="240" t="str">
        <f>TiposLancamentos!B45</f>
        <v>Online Services</v>
      </c>
      <c r="C874" s="878" t="s">
        <v>1895</v>
      </c>
      <c r="D874" s="63"/>
      <c r="E874" s="231">
        <v>26.9</v>
      </c>
      <c r="F874" s="1016"/>
      <c r="G874" s="1152" t="s">
        <v>9</v>
      </c>
    </row>
    <row r="875" spans="1:7">
      <c r="A875" s="1032"/>
      <c r="B875" s="1230"/>
      <c r="C875" s="906" t="s">
        <v>11277</v>
      </c>
      <c r="D875" s="896"/>
      <c r="E875" s="925"/>
      <c r="F875" s="1034">
        <f>SUM(E865:E872)-D872</f>
        <v>120.34000000000003</v>
      </c>
      <c r="G875" s="3"/>
    </row>
    <row r="876" spans="1:7">
      <c r="A876" s="884">
        <v>44105</v>
      </c>
      <c r="B876" s="240" t="str">
        <f>TiposLancamentos!B15</f>
        <v>Cartões de Crédito</v>
      </c>
      <c r="C876" s="878" t="s">
        <v>10915</v>
      </c>
      <c r="D876" s="63">
        <v>120.34</v>
      </c>
      <c r="E876" s="231"/>
      <c r="F876" s="1016">
        <f>F875-F866</f>
        <v>-521.75999999999988</v>
      </c>
      <c r="G876" s="1152" t="s">
        <v>9</v>
      </c>
    </row>
    <row r="877" spans="1:7">
      <c r="A877" s="884">
        <v>44105</v>
      </c>
      <c r="B877" s="240" t="str">
        <f>TiposLancamentos!B16</f>
        <v>Cristiane</v>
      </c>
      <c r="C877" s="878" t="s">
        <v>11278</v>
      </c>
      <c r="D877" s="63"/>
      <c r="E877" s="231">
        <f>F877/10</f>
        <v>353.49</v>
      </c>
      <c r="F877" s="1016">
        <v>3534.9</v>
      </c>
      <c r="G877" s="1152" t="s">
        <v>9</v>
      </c>
    </row>
    <row r="878" spans="1:7">
      <c r="A878" s="884">
        <v>44107</v>
      </c>
      <c r="B878" s="240" t="str">
        <f>TiposLancamentos!B45</f>
        <v>Online Services</v>
      </c>
      <c r="C878" s="878" t="s">
        <v>11279</v>
      </c>
      <c r="D878" s="63"/>
      <c r="E878" s="231">
        <v>3.93</v>
      </c>
      <c r="F878" s="1016"/>
      <c r="G878" s="1152" t="s">
        <v>9</v>
      </c>
    </row>
    <row r="879" spans="1:7">
      <c r="A879" s="884">
        <v>44107</v>
      </c>
      <c r="B879" s="240" t="str">
        <f>TiposLancamentos!B4</f>
        <v>Taxas Bancarias</v>
      </c>
      <c r="C879" s="878" t="s">
        <v>11280</v>
      </c>
      <c r="D879" s="63"/>
      <c r="E879" s="231">
        <v>0.24</v>
      </c>
      <c r="F879" s="1016"/>
      <c r="G879" s="1152" t="s">
        <v>9</v>
      </c>
    </row>
    <row r="880" spans="1:7">
      <c r="A880" s="884">
        <v>44112</v>
      </c>
      <c r="B880" s="240" t="str">
        <f>TiposLancamentos!B73</f>
        <v>Cursos</v>
      </c>
      <c r="C880" s="878" t="s">
        <v>11281</v>
      </c>
      <c r="D880" s="63"/>
      <c r="E880" s="231">
        <f>F880/12</f>
        <v>78</v>
      </c>
      <c r="F880" s="1016">
        <v>936</v>
      </c>
      <c r="G880" s="1152" t="s">
        <v>9</v>
      </c>
    </row>
    <row r="881" spans="1:7">
      <c r="A881" s="884">
        <v>44112</v>
      </c>
      <c r="B881" s="240" t="str">
        <f>TiposLancamentos!B45</f>
        <v>Online Services</v>
      </c>
      <c r="C881" s="878" t="s">
        <v>11282</v>
      </c>
      <c r="D881" s="63"/>
      <c r="E881" s="231">
        <v>499.61</v>
      </c>
      <c r="F881" s="1016" t="s">
        <v>11283</v>
      </c>
      <c r="G881" s="1152" t="s">
        <v>9</v>
      </c>
    </row>
    <row r="882" spans="1:7">
      <c r="A882" s="884">
        <v>44112</v>
      </c>
      <c r="B882" s="240" t="str">
        <f>TiposLancamentos!B4</f>
        <v>Taxas Bancarias</v>
      </c>
      <c r="C882" s="878" t="s">
        <v>11284</v>
      </c>
      <c r="D882" s="63"/>
      <c r="E882" s="231">
        <v>31.88</v>
      </c>
      <c r="F882" s="1016"/>
      <c r="G882" s="1152" t="s">
        <v>9</v>
      </c>
    </row>
    <row r="883" spans="1:7">
      <c r="A883" s="884">
        <v>44118</v>
      </c>
      <c r="B883" s="240" t="str">
        <f>TiposLancamentos!B65</f>
        <v>Taxi</v>
      </c>
      <c r="C883" s="878" t="s">
        <v>11285</v>
      </c>
      <c r="D883" s="63"/>
      <c r="E883" s="231">
        <v>10.15</v>
      </c>
      <c r="F883" s="1016"/>
      <c r="G883" s="1152" t="s">
        <v>9</v>
      </c>
    </row>
    <row r="884" spans="1:7">
      <c r="A884" s="884">
        <v>44120</v>
      </c>
      <c r="B884" s="240" t="str">
        <f>TiposLancamentos!B65</f>
        <v>Taxi</v>
      </c>
      <c r="C884" s="878" t="s">
        <v>11286</v>
      </c>
      <c r="D884" s="63"/>
      <c r="E884" s="231">
        <v>11.16</v>
      </c>
      <c r="F884" s="1016"/>
      <c r="G884" s="1152" t="s">
        <v>9</v>
      </c>
    </row>
    <row r="885" spans="1:7">
      <c r="A885" s="934"/>
      <c r="B885" s="243"/>
      <c r="C885" s="389" t="s">
        <v>10</v>
      </c>
      <c r="D885" s="146"/>
      <c r="E885" s="146"/>
      <c r="F885" s="1231"/>
      <c r="G885" s="1094" t="s">
        <v>11</v>
      </c>
    </row>
    <row r="886" spans="1:7">
      <c r="A886" s="884">
        <v>44130</v>
      </c>
      <c r="B886" s="240" t="str">
        <f>TiposLancamentos!B44</f>
        <v>Academia</v>
      </c>
      <c r="C886" s="878" t="s">
        <v>11287</v>
      </c>
      <c r="D886" s="63"/>
      <c r="E886" s="231">
        <v>99.9</v>
      </c>
      <c r="F886" s="1016"/>
      <c r="G886" s="1152" t="s">
        <v>9</v>
      </c>
    </row>
    <row r="887" spans="1:7" ht="14.25" thickBot="1">
      <c r="A887" s="884">
        <v>44132</v>
      </c>
      <c r="B887" s="240" t="str">
        <f>TiposLancamentos!B45</f>
        <v>Online Services</v>
      </c>
      <c r="C887" s="878" t="s">
        <v>1895</v>
      </c>
      <c r="D887" s="63"/>
      <c r="E887" s="231">
        <v>26.9</v>
      </c>
      <c r="F887" s="1016"/>
      <c r="G887" s="1152" t="s">
        <v>9</v>
      </c>
    </row>
    <row r="888" spans="1:7">
      <c r="A888" s="1032"/>
      <c r="B888" s="1230"/>
      <c r="C888" s="906" t="s">
        <v>11288</v>
      </c>
      <c r="D888" s="896"/>
      <c r="E888" s="925"/>
      <c r="F888" s="1034">
        <f>SUM(E874:E884)</f>
        <v>1015.36</v>
      </c>
      <c r="G888" s="3"/>
    </row>
    <row r="889" spans="1:7">
      <c r="A889" s="884">
        <v>44136</v>
      </c>
      <c r="B889" s="240" t="str">
        <f>TiposLancamentos!B16</f>
        <v>Cristiane</v>
      </c>
      <c r="C889" s="878" t="s">
        <v>11289</v>
      </c>
      <c r="D889" s="63"/>
      <c r="E889" s="231">
        <f>F889/10</f>
        <v>353.49</v>
      </c>
      <c r="F889" s="1016">
        <v>3534.9</v>
      </c>
      <c r="G889" s="1152" t="s">
        <v>9</v>
      </c>
    </row>
    <row r="890" spans="1:7">
      <c r="A890" s="884">
        <v>44138</v>
      </c>
      <c r="B890" s="240" t="str">
        <f>TiposLancamentos!B15</f>
        <v>Cartões de Crédito</v>
      </c>
      <c r="C890" s="878" t="s">
        <v>10915</v>
      </c>
      <c r="D890" s="63">
        <v>1015.36</v>
      </c>
      <c r="E890" s="231"/>
      <c r="F890" s="1016">
        <f>F888-F875</f>
        <v>895.02</v>
      </c>
      <c r="G890" s="1152" t="s">
        <v>9</v>
      </c>
    </row>
    <row r="891" spans="1:7">
      <c r="A891" s="884">
        <v>44138</v>
      </c>
      <c r="B891" s="240" t="str">
        <f>TiposLancamentos!B45</f>
        <v>Online Services</v>
      </c>
      <c r="C891" s="878" t="s">
        <v>11290</v>
      </c>
      <c r="D891" s="63"/>
      <c r="E891" s="231">
        <v>22.19</v>
      </c>
      <c r="F891" s="1016">
        <v>3.75</v>
      </c>
      <c r="G891" s="1152" t="s">
        <v>9</v>
      </c>
    </row>
    <row r="892" spans="1:7">
      <c r="A892" s="884">
        <v>44143</v>
      </c>
      <c r="B892" s="240" t="str">
        <f>TiposLancamentos!B73</f>
        <v>Cursos</v>
      </c>
      <c r="C892" s="878" t="s">
        <v>11291</v>
      </c>
      <c r="D892" s="63"/>
      <c r="E892" s="231">
        <f>F892/12</f>
        <v>78</v>
      </c>
      <c r="F892" s="1016">
        <v>936</v>
      </c>
      <c r="G892" s="1152" t="s">
        <v>9</v>
      </c>
    </row>
    <row r="893" spans="1:7">
      <c r="A893" s="884">
        <v>44146</v>
      </c>
      <c r="B893" s="240" t="str">
        <f>TiposLancamentos!B65</f>
        <v>Taxi</v>
      </c>
      <c r="C893" s="878" t="s">
        <v>11292</v>
      </c>
      <c r="D893" s="63"/>
      <c r="E893" s="231">
        <v>9.94</v>
      </c>
      <c r="F893" s="1016"/>
      <c r="G893" s="1152" t="s">
        <v>9</v>
      </c>
    </row>
    <row r="894" spans="1:7">
      <c r="A894" s="884">
        <v>44150</v>
      </c>
      <c r="B894" s="240" t="str">
        <f>TiposLancamentos!B54</f>
        <v>Metro</v>
      </c>
      <c r="C894" s="878" t="s">
        <v>11293</v>
      </c>
      <c r="D894" s="63"/>
      <c r="E894" s="231">
        <v>50</v>
      </c>
      <c r="F894" s="1016"/>
      <c r="G894" s="1152" t="s">
        <v>9</v>
      </c>
    </row>
    <row r="895" spans="1:7">
      <c r="A895" s="884">
        <v>44159</v>
      </c>
      <c r="B895" s="240" t="str">
        <f>TiposLancamentos!B4</f>
        <v>Taxas Bancarias</v>
      </c>
      <c r="C895" s="878" t="s">
        <v>11294</v>
      </c>
      <c r="D895" s="63"/>
      <c r="E895" s="231">
        <v>1.42</v>
      </c>
      <c r="F895" s="1016"/>
      <c r="G895" s="1152" t="s">
        <v>9</v>
      </c>
    </row>
    <row r="896" spans="1:7">
      <c r="A896" s="934"/>
      <c r="B896" s="243"/>
      <c r="C896" s="389" t="s">
        <v>10</v>
      </c>
      <c r="D896" s="146"/>
      <c r="E896" s="146"/>
      <c r="F896" s="1231"/>
      <c r="G896" s="1094" t="s">
        <v>11</v>
      </c>
    </row>
    <row r="897" spans="1:7">
      <c r="A897" s="884">
        <v>44161</v>
      </c>
      <c r="B897" s="240" t="str">
        <f>TiposLancamentos!B44</f>
        <v>Academia</v>
      </c>
      <c r="C897" s="878" t="s">
        <v>11287</v>
      </c>
      <c r="D897" s="63"/>
      <c r="E897" s="231">
        <v>99.9</v>
      </c>
      <c r="F897" s="1016"/>
      <c r="G897" s="1152" t="s">
        <v>9</v>
      </c>
    </row>
    <row r="898" spans="1:7">
      <c r="A898" s="884">
        <v>44163</v>
      </c>
      <c r="B898" s="240" t="str">
        <f>TiposLancamentos!B45</f>
        <v>Online Services</v>
      </c>
      <c r="C898" s="878" t="s">
        <v>1895</v>
      </c>
      <c r="D898" s="63"/>
      <c r="E898" s="231">
        <v>26.9</v>
      </c>
      <c r="F898" s="1016"/>
      <c r="G898" s="1152" t="s">
        <v>9</v>
      </c>
    </row>
    <row r="899" spans="1:7" ht="14.25" thickBot="1">
      <c r="A899" s="884">
        <v>44164</v>
      </c>
      <c r="B899" s="240" t="str">
        <f>TiposLancamentos!B56</f>
        <v>Farmácia</v>
      </c>
      <c r="C899" s="878" t="s">
        <v>11295</v>
      </c>
      <c r="D899" s="63"/>
      <c r="E899" s="231">
        <v>77.599999999999994</v>
      </c>
      <c r="F899" s="1016"/>
      <c r="G899" s="1152" t="s">
        <v>9</v>
      </c>
    </row>
    <row r="900" spans="1:7">
      <c r="A900" s="1032"/>
      <c r="B900" s="1230"/>
      <c r="C900" s="906" t="s">
        <v>11296</v>
      </c>
      <c r="D900" s="896"/>
      <c r="E900" s="925"/>
      <c r="F900" s="1034">
        <f>SUM(E886:E895)</f>
        <v>641.84</v>
      </c>
      <c r="G900" s="3"/>
    </row>
    <row r="901" spans="1:7">
      <c r="A901" s="884">
        <v>44166</v>
      </c>
      <c r="B901" s="240" t="str">
        <f>TiposLancamentos!B15</f>
        <v>Cartões de Crédito</v>
      </c>
      <c r="C901" s="878" t="s">
        <v>1874</v>
      </c>
      <c r="D901" s="63">
        <v>641.84</v>
      </c>
      <c r="E901" s="231"/>
      <c r="F901" s="1016">
        <f>F888-F900</f>
        <v>373.52</v>
      </c>
      <c r="G901" s="1152" t="s">
        <v>9</v>
      </c>
    </row>
    <row r="902" spans="1:7">
      <c r="A902" s="884">
        <v>44166</v>
      </c>
      <c r="B902" s="240" t="str">
        <f>TiposLancamentos!B16</f>
        <v>Cristiane</v>
      </c>
      <c r="C902" s="878" t="s">
        <v>11297</v>
      </c>
      <c r="D902" s="63"/>
      <c r="E902" s="231">
        <f>F902/10</f>
        <v>353.49</v>
      </c>
      <c r="F902" s="1016">
        <v>3534.9</v>
      </c>
      <c r="G902" s="1152" t="s">
        <v>9</v>
      </c>
    </row>
    <row r="903" spans="1:7">
      <c r="A903" s="884">
        <v>44168</v>
      </c>
      <c r="B903" s="240" t="str">
        <f>TiposLancamentos!B45</f>
        <v>Online Services</v>
      </c>
      <c r="C903" s="878" t="s">
        <v>11290</v>
      </c>
      <c r="D903" s="63"/>
      <c r="E903" s="231">
        <v>25.15</v>
      </c>
      <c r="F903" s="1016"/>
      <c r="G903" s="1152" t="s">
        <v>9</v>
      </c>
    </row>
    <row r="904" spans="1:7">
      <c r="A904" s="884">
        <v>44173</v>
      </c>
      <c r="B904" s="240" t="str">
        <f>TiposLancamentos!B73</f>
        <v>Cursos</v>
      </c>
      <c r="C904" s="878" t="s">
        <v>11298</v>
      </c>
      <c r="D904" s="63"/>
      <c r="E904" s="231">
        <f>F904/12</f>
        <v>78</v>
      </c>
      <c r="F904" s="1016">
        <v>936</v>
      </c>
      <c r="G904" s="1152" t="s">
        <v>9</v>
      </c>
    </row>
    <row r="905" spans="1:7">
      <c r="A905" s="884">
        <v>44175</v>
      </c>
      <c r="B905" s="240" t="str">
        <f>TiposLancamentos!B45</f>
        <v>Online Services</v>
      </c>
      <c r="C905" s="878" t="s">
        <v>11299</v>
      </c>
      <c r="D905" s="63"/>
      <c r="E905" s="231">
        <v>89</v>
      </c>
      <c r="F905" s="1016"/>
      <c r="G905" s="1152" t="s">
        <v>9</v>
      </c>
    </row>
    <row r="906" spans="1:7">
      <c r="A906" s="884">
        <v>44177</v>
      </c>
      <c r="B906" s="240" t="str">
        <f>TiposLancamentos!B65</f>
        <v>Taxi</v>
      </c>
      <c r="C906" s="878" t="s">
        <v>11300</v>
      </c>
      <c r="D906" s="63"/>
      <c r="E906" s="231">
        <v>10.27</v>
      </c>
      <c r="F906" s="1016"/>
      <c r="G906" s="1152" t="s">
        <v>9</v>
      </c>
    </row>
    <row r="907" spans="1:7">
      <c r="A907" s="934"/>
      <c r="B907" s="243"/>
      <c r="C907" s="389" t="s">
        <v>10</v>
      </c>
      <c r="D907" s="146"/>
      <c r="E907" s="146"/>
      <c r="F907" s="1231"/>
      <c r="G907" s="1094" t="s">
        <v>11</v>
      </c>
    </row>
    <row r="908" spans="1:7">
      <c r="A908" s="884">
        <v>44191</v>
      </c>
      <c r="B908" s="240" t="str">
        <f>TiposLancamentos!B44</f>
        <v>Academia</v>
      </c>
      <c r="C908" s="878" t="s">
        <v>11287</v>
      </c>
      <c r="D908" s="63"/>
      <c r="E908" s="231">
        <v>99.9</v>
      </c>
      <c r="F908" s="1016"/>
      <c r="G908" s="1152" t="s">
        <v>9</v>
      </c>
    </row>
    <row r="909" spans="1:7" ht="14.25" thickBot="1">
      <c r="A909" s="884">
        <v>44193</v>
      </c>
      <c r="B909" s="240" t="str">
        <f>TiposLancamentos!B45</f>
        <v>Online Services</v>
      </c>
      <c r="C909" s="878" t="s">
        <v>1895</v>
      </c>
      <c r="D909" s="63"/>
      <c r="E909" s="231">
        <v>26.9</v>
      </c>
      <c r="F909" s="1016"/>
      <c r="G909" s="1152" t="s">
        <v>9</v>
      </c>
    </row>
    <row r="910" spans="1:7">
      <c r="A910" s="1032"/>
      <c r="B910" s="1230"/>
      <c r="C910" s="906" t="s">
        <v>7879</v>
      </c>
      <c r="D910" s="896"/>
      <c r="E910" s="925"/>
      <c r="F910" s="1034">
        <f>SUM(E897:E906)</f>
        <v>760.31</v>
      </c>
      <c r="G910" s="3"/>
    </row>
    <row r="911" spans="1:7">
      <c r="A911" s="884">
        <v>44197</v>
      </c>
      <c r="B911" s="240" t="str">
        <f>TiposLancamentos!B16</f>
        <v>Cristiane</v>
      </c>
      <c r="C911" s="878" t="s">
        <v>11301</v>
      </c>
      <c r="D911" s="63"/>
      <c r="E911" s="231">
        <f>F911/10</f>
        <v>353.49</v>
      </c>
      <c r="F911" s="1016">
        <v>3534.9</v>
      </c>
      <c r="G911" s="1152" t="s">
        <v>9</v>
      </c>
    </row>
    <row r="912" spans="1:7">
      <c r="A912" s="884">
        <v>44199</v>
      </c>
      <c r="B912" s="240" t="str">
        <f>TiposLancamentos!B45</f>
        <v>Online Services</v>
      </c>
      <c r="C912" s="878" t="s">
        <v>11290</v>
      </c>
      <c r="D912" s="63"/>
      <c r="E912" s="231">
        <v>25.65</v>
      </c>
      <c r="F912" s="1016"/>
      <c r="G912" s="1152" t="s">
        <v>9</v>
      </c>
    </row>
    <row r="913" spans="1:7">
      <c r="A913" s="884">
        <v>44200</v>
      </c>
      <c r="B913" s="240" t="str">
        <f>TiposLancamentos!B15</f>
        <v>Cartões de Crédito</v>
      </c>
      <c r="C913" s="878" t="s">
        <v>10915</v>
      </c>
      <c r="D913" s="63">
        <v>760.31</v>
      </c>
      <c r="E913" s="231"/>
      <c r="F913" s="1016"/>
      <c r="G913" s="1152" t="s">
        <v>9</v>
      </c>
    </row>
    <row r="914" spans="1:7">
      <c r="A914" s="884">
        <v>44204</v>
      </c>
      <c r="B914" s="240" t="str">
        <f>TiposLancamentos!B73</f>
        <v>Cursos</v>
      </c>
      <c r="C914" s="878" t="s">
        <v>11302</v>
      </c>
      <c r="D914" s="63"/>
      <c r="E914" s="231">
        <f>F914/12</f>
        <v>78</v>
      </c>
      <c r="F914" s="1016">
        <v>936</v>
      </c>
      <c r="G914" s="1152" t="s">
        <v>9</v>
      </c>
    </row>
    <row r="915" spans="1:7">
      <c r="A915" s="934"/>
      <c r="B915" s="243"/>
      <c r="C915" s="389" t="s">
        <v>10</v>
      </c>
      <c r="D915" s="146"/>
      <c r="E915" s="146"/>
      <c r="F915" s="1231"/>
      <c r="G915" s="1094" t="s">
        <v>11</v>
      </c>
    </row>
    <row r="916" spans="1:7">
      <c r="A916" s="884">
        <v>44222</v>
      </c>
      <c r="B916" s="240" t="str">
        <f>TiposLancamentos!B44</f>
        <v>Academia</v>
      </c>
      <c r="C916" s="878" t="s">
        <v>11287</v>
      </c>
      <c r="D916" s="63"/>
      <c r="E916" s="231">
        <v>99.9</v>
      </c>
      <c r="F916" s="1016"/>
      <c r="G916" s="1152" t="s">
        <v>9</v>
      </c>
    </row>
    <row r="917" spans="1:7">
      <c r="A917" s="884">
        <v>44224</v>
      </c>
      <c r="B917" s="240" t="str">
        <f>TiposLancamentos!B45</f>
        <v>Online Services</v>
      </c>
      <c r="C917" s="878" t="s">
        <v>11232</v>
      </c>
      <c r="D917" s="63"/>
      <c r="E917" s="231">
        <v>69.989999999999995</v>
      </c>
      <c r="F917" s="1016"/>
      <c r="G917" s="1152" t="s">
        <v>9</v>
      </c>
    </row>
    <row r="918" spans="1:7" ht="14.25" thickBot="1">
      <c r="A918" s="884">
        <v>44224</v>
      </c>
      <c r="B918" s="240" t="str">
        <f>TiposLancamentos!B45</f>
        <v>Online Services</v>
      </c>
      <c r="C918" s="878" t="s">
        <v>1895</v>
      </c>
      <c r="D918" s="63"/>
      <c r="E918" s="231">
        <v>26.9</v>
      </c>
      <c r="F918" s="1016"/>
      <c r="G918" s="1152" t="s">
        <v>9</v>
      </c>
    </row>
    <row r="919" spans="1:7">
      <c r="A919" s="1032"/>
      <c r="B919" s="1230"/>
      <c r="C919" s="906" t="s">
        <v>7912</v>
      </c>
      <c r="D919" s="896"/>
      <c r="E919" s="925"/>
      <c r="F919" s="1034">
        <f>SUM(E908:E914)</f>
        <v>583.94000000000005</v>
      </c>
      <c r="G919" s="3"/>
    </row>
    <row r="920" spans="1:7">
      <c r="A920" s="884">
        <v>44228</v>
      </c>
      <c r="B920" s="240" t="str">
        <f>TiposLancamentos!B15</f>
        <v>Cartões de Crédito</v>
      </c>
      <c r="C920" s="878" t="s">
        <v>10915</v>
      </c>
      <c r="D920" s="63">
        <v>583.94000000000005</v>
      </c>
      <c r="E920" s="231"/>
      <c r="F920" s="1016">
        <f>F919-F910</f>
        <v>-176.36999999999989</v>
      </c>
      <c r="G920" s="1152" t="s">
        <v>9</v>
      </c>
    </row>
    <row r="921" spans="1:7">
      <c r="A921" s="884">
        <v>44228</v>
      </c>
      <c r="B921" s="240" t="str">
        <f>TiposLancamentos!B16</f>
        <v>Cristiane</v>
      </c>
      <c r="C921" s="878" t="s">
        <v>11303</v>
      </c>
      <c r="D921" s="63"/>
      <c r="E921" s="231">
        <f>F921/10</f>
        <v>353.49</v>
      </c>
      <c r="F921" s="1016">
        <v>3534.9</v>
      </c>
      <c r="G921" s="1152" t="s">
        <v>9</v>
      </c>
    </row>
    <row r="922" spans="1:7">
      <c r="A922" s="884">
        <v>44231</v>
      </c>
      <c r="B922" s="240" t="str">
        <f>B917</f>
        <v>Online Services</v>
      </c>
      <c r="C922" s="878" t="s">
        <v>11290</v>
      </c>
      <c r="D922" s="63"/>
      <c r="E922" s="231">
        <v>26.56</v>
      </c>
      <c r="F922" s="1016"/>
      <c r="G922" s="1152" t="s">
        <v>9</v>
      </c>
    </row>
    <row r="923" spans="1:7">
      <c r="A923" s="884">
        <v>44235</v>
      </c>
      <c r="B923" s="240" t="str">
        <f>TiposLancamentos!B73</f>
        <v>Cursos</v>
      </c>
      <c r="C923" s="878" t="s">
        <v>11304</v>
      </c>
      <c r="D923" s="63"/>
      <c r="E923" s="231">
        <f>F923/12</f>
        <v>78</v>
      </c>
      <c r="F923" s="1016">
        <v>936</v>
      </c>
      <c r="G923" s="1152" t="s">
        <v>9</v>
      </c>
    </row>
    <row r="924" spans="1:7">
      <c r="A924" s="884">
        <v>44241</v>
      </c>
      <c r="B924" s="240" t="str">
        <f>TiposLancamentos!B71</f>
        <v>Itens Pessoais</v>
      </c>
      <c r="C924" s="878" t="s">
        <v>11305</v>
      </c>
      <c r="D924" s="63"/>
      <c r="E924" s="231">
        <v>156.26</v>
      </c>
      <c r="F924" s="1016">
        <v>937.31</v>
      </c>
      <c r="G924" s="1152" t="s">
        <v>9</v>
      </c>
    </row>
    <row r="925" spans="1:7">
      <c r="A925" s="934"/>
      <c r="B925" s="243"/>
      <c r="C925" s="389" t="s">
        <v>10</v>
      </c>
      <c r="D925" s="146"/>
      <c r="E925" s="146"/>
      <c r="F925" s="1231"/>
      <c r="G925" s="1094" t="s">
        <v>11</v>
      </c>
    </row>
    <row r="926" spans="1:7">
      <c r="A926" s="884">
        <v>44253</v>
      </c>
      <c r="B926" s="240" t="str">
        <f>TiposLancamentos!B44</f>
        <v>Academia</v>
      </c>
      <c r="C926" s="878" t="s">
        <v>11287</v>
      </c>
      <c r="D926" s="63"/>
      <c r="E926" s="231">
        <v>99.9</v>
      </c>
      <c r="F926" s="1016"/>
      <c r="G926" s="1152" t="s">
        <v>9</v>
      </c>
    </row>
    <row r="927" spans="1:7" ht="14.25" thickBot="1">
      <c r="A927" s="884">
        <v>44254</v>
      </c>
      <c r="B927" s="240" t="str">
        <f>TiposLancamentos!B5</f>
        <v>Supermercado</v>
      </c>
      <c r="C927" s="878" t="s">
        <v>7904</v>
      </c>
      <c r="D927" s="63"/>
      <c r="E927" s="231">
        <v>465.31</v>
      </c>
      <c r="F927" s="1016"/>
      <c r="G927" s="1152" t="s">
        <v>9</v>
      </c>
    </row>
    <row r="928" spans="1:7">
      <c r="A928" s="1032"/>
      <c r="B928" s="1230"/>
      <c r="C928" s="906" t="s">
        <v>7953</v>
      </c>
      <c r="D928" s="896"/>
      <c r="E928" s="925"/>
      <c r="F928" s="1034">
        <f>SUM(E916:E924)</f>
        <v>811.09999999999991</v>
      </c>
      <c r="G928" s="3"/>
    </row>
    <row r="929" spans="1:7">
      <c r="A929" s="884">
        <v>44256</v>
      </c>
      <c r="B929" s="240" t="str">
        <f>TiposLancamentos!B15</f>
        <v>Cartões de Crédito</v>
      </c>
      <c r="C929" s="878" t="s">
        <v>10915</v>
      </c>
      <c r="D929" s="63">
        <v>811.1</v>
      </c>
      <c r="E929" s="231"/>
      <c r="F929" s="1016">
        <f>F928-F919</f>
        <v>227.15999999999985</v>
      </c>
      <c r="G929" s="1152" t="s">
        <v>9</v>
      </c>
    </row>
    <row r="930" spans="1:7">
      <c r="A930" s="884">
        <v>44256</v>
      </c>
      <c r="B930" s="240" t="str">
        <f>TiposLancamentos!B16</f>
        <v>Cristiane</v>
      </c>
      <c r="C930" s="878" t="s">
        <v>11306</v>
      </c>
      <c r="D930" s="63"/>
      <c r="E930" s="231">
        <f>F930/10</f>
        <v>353.49</v>
      </c>
      <c r="F930" s="1016">
        <v>3534.9</v>
      </c>
      <c r="G930" s="1152" t="s">
        <v>9</v>
      </c>
    </row>
    <row r="931" spans="1:7">
      <c r="A931" s="884">
        <v>44257</v>
      </c>
      <c r="B931" s="240" t="str">
        <f>TiposLancamentos!B45</f>
        <v>Online Services</v>
      </c>
      <c r="C931" s="878" t="s">
        <v>1895</v>
      </c>
      <c r="D931" s="63"/>
      <c r="E931" s="231">
        <v>26.9</v>
      </c>
      <c r="F931" s="1016"/>
      <c r="G931" s="1152" t="s">
        <v>9</v>
      </c>
    </row>
    <row r="932" spans="1:7">
      <c r="A932" s="884">
        <v>44257</v>
      </c>
      <c r="B932" s="240" t="str">
        <f>TiposLancamentos!B45</f>
        <v>Online Services</v>
      </c>
      <c r="C932" s="878" t="s">
        <v>11290</v>
      </c>
      <c r="D932" s="63"/>
      <c r="E932" s="231">
        <v>24.64</v>
      </c>
      <c r="F932" s="1016"/>
      <c r="G932" s="1152" t="s">
        <v>9</v>
      </c>
    </row>
    <row r="933" spans="1:7">
      <c r="A933" s="884">
        <v>44263</v>
      </c>
      <c r="B933" s="240" t="str">
        <f>TiposLancamentos!B73</f>
        <v>Cursos</v>
      </c>
      <c r="C933" s="878" t="s">
        <v>11307</v>
      </c>
      <c r="D933" s="63"/>
      <c r="E933" s="231">
        <f>F933/12</f>
        <v>78</v>
      </c>
      <c r="F933" s="1016">
        <v>936</v>
      </c>
      <c r="G933" s="1152" t="s">
        <v>9</v>
      </c>
    </row>
    <row r="934" spans="1:7">
      <c r="A934" s="884">
        <v>44269</v>
      </c>
      <c r="B934" s="240" t="str">
        <f>TiposLancamentos!B71</f>
        <v>Itens Pessoais</v>
      </c>
      <c r="C934" s="878" t="s">
        <v>11308</v>
      </c>
      <c r="D934" s="63"/>
      <c r="E934" s="231">
        <v>156.21</v>
      </c>
      <c r="F934" s="1016">
        <v>925.91</v>
      </c>
      <c r="G934" s="1152" t="s">
        <v>9</v>
      </c>
    </row>
    <row r="935" spans="1:7">
      <c r="A935" s="884">
        <v>44275</v>
      </c>
      <c r="B935" s="240" t="str">
        <f>TiposLancamentos!B45</f>
        <v>Online Services</v>
      </c>
      <c r="C935" s="878" t="s">
        <v>11309</v>
      </c>
      <c r="D935" s="63"/>
      <c r="E935" s="231">
        <v>9.9</v>
      </c>
      <c r="F935" s="1016"/>
      <c r="G935" s="1152" t="s">
        <v>9</v>
      </c>
    </row>
    <row r="936" spans="1:7">
      <c r="A936" s="934"/>
      <c r="B936" s="243"/>
      <c r="C936" s="389" t="s">
        <v>10</v>
      </c>
      <c r="D936" s="146"/>
      <c r="E936" s="146"/>
      <c r="F936" s="1231"/>
      <c r="G936" s="1094" t="s">
        <v>11</v>
      </c>
    </row>
    <row r="937" spans="1:7">
      <c r="A937" s="884">
        <v>44281</v>
      </c>
      <c r="B937" s="240" t="str">
        <f>TiposLancamentos!B44</f>
        <v>Academia</v>
      </c>
      <c r="C937" s="878" t="s">
        <v>11287</v>
      </c>
      <c r="D937" s="63"/>
      <c r="E937" s="231">
        <v>99.9</v>
      </c>
      <c r="F937" s="1016"/>
      <c r="G937" s="1152" t="s">
        <v>9</v>
      </c>
    </row>
    <row r="938" spans="1:7" ht="14.25" thickBot="1">
      <c r="A938" s="884">
        <v>44283</v>
      </c>
      <c r="B938" s="240" t="str">
        <f>TiposLancamentos!B45</f>
        <v>Online Services</v>
      </c>
      <c r="C938" s="878" t="s">
        <v>1895</v>
      </c>
      <c r="D938" s="63"/>
      <c r="E938" s="231">
        <v>26.9</v>
      </c>
      <c r="F938" s="1016"/>
      <c r="G938" s="1152" t="s">
        <v>9</v>
      </c>
    </row>
    <row r="939" spans="1:7">
      <c r="A939" s="1032"/>
      <c r="B939" s="1230"/>
      <c r="C939" s="906" t="s">
        <v>1597</v>
      </c>
      <c r="D939" s="896"/>
      <c r="E939" s="925"/>
      <c r="F939" s="1034">
        <f>SUM(E926:E935)</f>
        <v>1214.3500000000001</v>
      </c>
      <c r="G939" s="3"/>
    </row>
    <row r="940" spans="1:7">
      <c r="A940" s="884">
        <v>44287</v>
      </c>
      <c r="B940" s="240" t="str">
        <f>TiposLancamentos!B15</f>
        <v>Cartões de Crédito</v>
      </c>
      <c r="C940" s="878" t="s">
        <v>1874</v>
      </c>
      <c r="D940" s="63">
        <v>1214.3499999999999</v>
      </c>
      <c r="E940" s="231"/>
      <c r="F940" s="1016">
        <f>F939-F928</f>
        <v>403.25000000000023</v>
      </c>
      <c r="G940" s="1152" t="s">
        <v>9</v>
      </c>
    </row>
    <row r="941" spans="1:7">
      <c r="A941" s="884">
        <v>44287</v>
      </c>
      <c r="B941" s="240" t="str">
        <f>TiposLancamentos!B16</f>
        <v>Cristiane</v>
      </c>
      <c r="C941" s="878" t="s">
        <v>11310</v>
      </c>
      <c r="D941" s="63"/>
      <c r="E941" s="231">
        <f>F941/10</f>
        <v>353.49</v>
      </c>
      <c r="F941" s="1016">
        <v>3534.9</v>
      </c>
      <c r="G941" s="1152" t="s">
        <v>9</v>
      </c>
    </row>
    <row r="942" spans="1:7">
      <c r="A942" s="884">
        <v>44289</v>
      </c>
      <c r="B942" s="240" t="str">
        <f>TiposLancamentos!B45</f>
        <v>Online Services</v>
      </c>
      <c r="C942" s="878" t="s">
        <v>11290</v>
      </c>
      <c r="D942" s="63"/>
      <c r="E942" s="231">
        <v>28</v>
      </c>
      <c r="F942" s="1016"/>
      <c r="G942" s="1152" t="s">
        <v>9</v>
      </c>
    </row>
    <row r="943" spans="1:7">
      <c r="A943" s="884">
        <v>44290</v>
      </c>
      <c r="B943" s="240" t="str">
        <f>TiposLancamentos!B77</f>
        <v>Esporádico</v>
      </c>
      <c r="C943" s="878" t="s">
        <v>11311</v>
      </c>
      <c r="D943" s="63"/>
      <c r="E943" s="231"/>
      <c r="F943" s="1016">
        <v>125.41</v>
      </c>
      <c r="G943" s="1152" t="s">
        <v>9</v>
      </c>
    </row>
    <row r="944" spans="1:7">
      <c r="A944" s="884">
        <v>44294</v>
      </c>
      <c r="B944" s="240" t="str">
        <f>TiposLancamentos!B73</f>
        <v>Cursos</v>
      </c>
      <c r="C944" s="878" t="s">
        <v>11312</v>
      </c>
      <c r="D944" s="63"/>
      <c r="E944" s="231">
        <f>F944/12</f>
        <v>78</v>
      </c>
      <c r="F944" s="1016">
        <v>936</v>
      </c>
      <c r="G944" s="1152" t="s">
        <v>9</v>
      </c>
    </row>
    <row r="945" spans="1:7">
      <c r="A945" s="884">
        <v>44300</v>
      </c>
      <c r="B945" s="240" t="str">
        <f>TiposLancamentos!B71</f>
        <v>Itens Pessoais</v>
      </c>
      <c r="C945" s="878" t="s">
        <v>11313</v>
      </c>
      <c r="D945" s="63"/>
      <c r="E945" s="231">
        <f>F945/6</f>
        <v>156.21833333333333</v>
      </c>
      <c r="F945" s="1016">
        <v>937.31</v>
      </c>
      <c r="G945" s="1152" t="s">
        <v>9</v>
      </c>
    </row>
    <row r="946" spans="1:7">
      <c r="A946" s="934"/>
      <c r="B946" s="243"/>
      <c r="C946" s="389" t="s">
        <v>10</v>
      </c>
      <c r="D946" s="146"/>
      <c r="E946" s="146"/>
      <c r="F946" s="1231"/>
      <c r="G946" s="1094" t="s">
        <v>11</v>
      </c>
    </row>
    <row r="947" spans="1:7">
      <c r="A947" s="884">
        <v>44313</v>
      </c>
      <c r="B947" s="240" t="str">
        <f>TiposLancamentos!B44</f>
        <v>Academia</v>
      </c>
      <c r="C947" s="878" t="s">
        <v>11287</v>
      </c>
      <c r="D947" s="63"/>
      <c r="E947" s="231">
        <v>99.9</v>
      </c>
      <c r="F947" s="1016"/>
      <c r="G947" s="1152" t="s">
        <v>9</v>
      </c>
    </row>
    <row r="948" spans="1:7" ht="14.25" thickBot="1">
      <c r="A948" s="884">
        <v>44314</v>
      </c>
      <c r="B948" s="240" t="str">
        <f>TiposLancamentos!B45</f>
        <v>Online Services</v>
      </c>
      <c r="C948" s="878" t="s">
        <v>1895</v>
      </c>
      <c r="D948" s="63"/>
      <c r="E948" s="231">
        <v>26.9</v>
      </c>
      <c r="F948" s="1016"/>
      <c r="G948" s="1152" t="s">
        <v>9</v>
      </c>
    </row>
    <row r="949" spans="1:7">
      <c r="A949" s="1032"/>
      <c r="B949" s="1230"/>
      <c r="C949" s="906" t="s">
        <v>1598</v>
      </c>
      <c r="D949" s="896"/>
      <c r="E949" s="925"/>
      <c r="F949" s="1034">
        <f>SUM(E937:E945)</f>
        <v>742.50833333333333</v>
      </c>
      <c r="G949" s="3"/>
    </row>
    <row r="950" spans="1:7">
      <c r="A950" s="884">
        <v>44318</v>
      </c>
      <c r="B950" s="240" t="str">
        <f>TiposLancamentos!B15</f>
        <v>Cartões de Crédito</v>
      </c>
      <c r="C950" s="878" t="s">
        <v>11314</v>
      </c>
      <c r="D950" s="63">
        <v>742.51</v>
      </c>
      <c r="E950" s="231"/>
      <c r="F950" s="1016">
        <f>F949-F939</f>
        <v>-471.84166666666681</v>
      </c>
      <c r="G950" s="1152" t="s">
        <v>9</v>
      </c>
    </row>
    <row r="951" spans="1:7">
      <c r="A951" s="884">
        <v>44317</v>
      </c>
      <c r="B951" s="240" t="str">
        <f>TiposLancamentos!B16</f>
        <v>Cristiane</v>
      </c>
      <c r="C951" s="878" t="s">
        <v>11315</v>
      </c>
      <c r="D951" s="63"/>
      <c r="E951" s="231">
        <f>F951/10</f>
        <v>353.49</v>
      </c>
      <c r="F951" s="1016">
        <v>3534.9</v>
      </c>
      <c r="G951" s="1152" t="s">
        <v>9</v>
      </c>
    </row>
    <row r="952" spans="1:7">
      <c r="A952" s="884">
        <v>44324</v>
      </c>
      <c r="B952" s="240" t="str">
        <f>TiposLancamentos!B73</f>
        <v>Cursos</v>
      </c>
      <c r="C952" s="878" t="s">
        <v>11316</v>
      </c>
      <c r="D952" s="63"/>
      <c r="E952" s="231">
        <f>F952/12</f>
        <v>78</v>
      </c>
      <c r="F952" s="1016">
        <v>936</v>
      </c>
      <c r="G952" s="1152" t="s">
        <v>9</v>
      </c>
    </row>
    <row r="953" spans="1:7">
      <c r="A953" s="884">
        <v>44330</v>
      </c>
      <c r="B953" s="240" t="str">
        <f>TiposLancamentos!B71</f>
        <v>Itens Pessoais</v>
      </c>
      <c r="C953" s="878" t="s">
        <v>11317</v>
      </c>
      <c r="D953" s="63"/>
      <c r="E953" s="231">
        <v>156.21</v>
      </c>
      <c r="F953" s="1016">
        <f>F945</f>
        <v>937.31</v>
      </c>
      <c r="G953" s="1152" t="s">
        <v>9</v>
      </c>
    </row>
    <row r="954" spans="1:7">
      <c r="A954" s="884">
        <v>44340</v>
      </c>
      <c r="B954" s="240" t="str">
        <f>TiposLancamentos!B102</f>
        <v>ESTORNO</v>
      </c>
      <c r="C954" s="878" t="s">
        <v>11318</v>
      </c>
      <c r="D954" s="63">
        <v>0.01</v>
      </c>
      <c r="E954" s="231"/>
      <c r="F954" s="1016"/>
      <c r="G954" s="1152" t="s">
        <v>9</v>
      </c>
    </row>
    <row r="955" spans="1:7">
      <c r="A955" s="934"/>
      <c r="B955" s="243"/>
      <c r="C955" s="389" t="s">
        <v>10</v>
      </c>
      <c r="D955" s="146"/>
      <c r="E955" s="146"/>
      <c r="F955" s="1231"/>
      <c r="G955" s="1094" t="s">
        <v>11</v>
      </c>
    </row>
    <row r="956" spans="1:7" ht="14.25" thickBot="1">
      <c r="A956" s="884">
        <v>44344</v>
      </c>
      <c r="B956" s="240" t="str">
        <f>TiposLancamentos!B45</f>
        <v>Online Services</v>
      </c>
      <c r="C956" s="878" t="s">
        <v>1895</v>
      </c>
      <c r="D956" s="63"/>
      <c r="E956" s="231">
        <v>26.9</v>
      </c>
      <c r="F956" s="1016"/>
      <c r="G956" s="1152" t="s">
        <v>9</v>
      </c>
    </row>
    <row r="957" spans="1:7">
      <c r="A957" s="1032"/>
      <c r="B957" s="1230"/>
      <c r="C957" s="906" t="s">
        <v>8065</v>
      </c>
      <c r="D957" s="896"/>
      <c r="E957" s="925"/>
      <c r="F957" s="1034">
        <f>SUM(E947:E954)-D954</f>
        <v>714.49</v>
      </c>
      <c r="G957" s="3"/>
    </row>
    <row r="958" spans="1:7">
      <c r="A958" s="884">
        <v>44348</v>
      </c>
      <c r="B958" s="240" t="str">
        <f>TiposLancamentos!B15</f>
        <v>Cartões de Crédito</v>
      </c>
      <c r="C958" s="878" t="s">
        <v>1874</v>
      </c>
      <c r="D958" s="63">
        <v>714.49</v>
      </c>
      <c r="E958" s="231"/>
      <c r="F958" s="1016">
        <f>F957-F949</f>
        <v>-28.018333333333317</v>
      </c>
      <c r="G958" s="1152" t="s">
        <v>9</v>
      </c>
    </row>
    <row r="959" spans="1:7">
      <c r="A959" s="884">
        <v>44355</v>
      </c>
      <c r="B959" s="240" t="str">
        <f>TiposLancamentos!B73</f>
        <v>Cursos</v>
      </c>
      <c r="C959" s="878" t="s">
        <v>11319</v>
      </c>
      <c r="D959" s="63"/>
      <c r="E959" s="231">
        <f>F959/12</f>
        <v>78</v>
      </c>
      <c r="F959" s="1016">
        <v>936</v>
      </c>
      <c r="G959" s="1152" t="s">
        <v>9</v>
      </c>
    </row>
    <row r="960" spans="1:7">
      <c r="A960" s="884">
        <v>44361</v>
      </c>
      <c r="B960" s="240" t="str">
        <f>TiposLancamentos!B71</f>
        <v>Itens Pessoais</v>
      </c>
      <c r="C960" s="878" t="s">
        <v>11320</v>
      </c>
      <c r="D960" s="63"/>
      <c r="E960" s="231">
        <v>156.21</v>
      </c>
      <c r="F960" s="1016">
        <f>F953</f>
        <v>937.31</v>
      </c>
      <c r="G960" s="1152" t="s">
        <v>9</v>
      </c>
    </row>
    <row r="961" spans="1:7">
      <c r="A961" s="934"/>
      <c r="B961" s="243"/>
      <c r="C961" s="389" t="s">
        <v>10</v>
      </c>
      <c r="D961" s="146"/>
      <c r="E961" s="146"/>
      <c r="F961" s="1231"/>
      <c r="G961" s="1094" t="s">
        <v>11</v>
      </c>
    </row>
    <row r="962" spans="1:7" ht="14.25" thickBot="1">
      <c r="A962" s="884">
        <v>44375</v>
      </c>
      <c r="B962" s="240" t="str">
        <f>TiposLancamentos!B45</f>
        <v>Online Services</v>
      </c>
      <c r="C962" s="878" t="s">
        <v>1895</v>
      </c>
      <c r="D962" s="63"/>
      <c r="E962" s="231">
        <v>26.9</v>
      </c>
      <c r="F962" s="1016"/>
      <c r="G962" s="1152" t="s">
        <v>9</v>
      </c>
    </row>
    <row r="963" spans="1:7">
      <c r="A963" s="1032"/>
      <c r="B963" s="1230"/>
      <c r="C963" s="906" t="s">
        <v>8110</v>
      </c>
      <c r="D963" s="896"/>
      <c r="E963" s="925"/>
      <c r="F963" s="1034">
        <f>SUM(E956:E960)</f>
        <v>261.11</v>
      </c>
      <c r="G963" s="3"/>
    </row>
    <row r="964" spans="1:7">
      <c r="A964" s="884">
        <v>44378</v>
      </c>
      <c r="B964" s="240" t="str">
        <f>TiposLancamentos!B15</f>
        <v>Cartões de Crédito</v>
      </c>
      <c r="C964" s="878" t="s">
        <v>1874</v>
      </c>
      <c r="D964" s="63">
        <v>261.11</v>
      </c>
      <c r="E964" s="231"/>
      <c r="F964" s="1016">
        <f>F963-F957</f>
        <v>-453.38</v>
      </c>
      <c r="G964" s="1152" t="s">
        <v>9</v>
      </c>
    </row>
    <row r="965" spans="1:7">
      <c r="A965" s="884">
        <v>44385</v>
      </c>
      <c r="B965" s="240" t="str">
        <f>TiposLancamentos!B73</f>
        <v>Cursos</v>
      </c>
      <c r="C965" s="878" t="s">
        <v>11321</v>
      </c>
      <c r="D965" s="63"/>
      <c r="E965" s="231">
        <f>F965/12</f>
        <v>78</v>
      </c>
      <c r="F965" s="1016">
        <v>936</v>
      </c>
      <c r="G965" s="1152" t="s">
        <v>9</v>
      </c>
    </row>
    <row r="966" spans="1:7">
      <c r="A966" s="884">
        <v>44391</v>
      </c>
      <c r="B966" s="240" t="str">
        <f>TiposLancamentos!B71</f>
        <v>Itens Pessoais</v>
      </c>
      <c r="C966" s="878" t="s">
        <v>11322</v>
      </c>
      <c r="D966" s="63"/>
      <c r="E966" s="231">
        <v>156.21</v>
      </c>
      <c r="F966" s="1016">
        <f>F960</f>
        <v>937.31</v>
      </c>
      <c r="G966" s="1152" t="s">
        <v>9</v>
      </c>
    </row>
    <row r="967" spans="1:7">
      <c r="A967" s="934"/>
      <c r="B967" s="243"/>
      <c r="C967" s="389" t="s">
        <v>10</v>
      </c>
      <c r="D967" s="146"/>
      <c r="E967" s="146"/>
      <c r="F967" s="1231"/>
      <c r="G967" s="1094" t="s">
        <v>11</v>
      </c>
    </row>
    <row r="968" spans="1:7">
      <c r="A968" s="884">
        <v>44405</v>
      </c>
      <c r="B968" s="240" t="str">
        <f>TiposLancamentos!B45</f>
        <v>Online Services</v>
      </c>
      <c r="C968" s="878" t="s">
        <v>1895</v>
      </c>
      <c r="D968" s="63"/>
      <c r="E968" s="231">
        <v>34.9</v>
      </c>
      <c r="F968" s="1016"/>
      <c r="G968" s="1152" t="s">
        <v>9</v>
      </c>
    </row>
    <row r="969" spans="1:7" ht="14.25" thickBot="1">
      <c r="A969" s="884">
        <v>44407</v>
      </c>
      <c r="B969" s="240" t="str">
        <f>TiposLancamentos!B45</f>
        <v>Online Services</v>
      </c>
      <c r="C969" s="878" t="s">
        <v>1901</v>
      </c>
      <c r="D969" s="63"/>
      <c r="E969" s="231">
        <v>13.95</v>
      </c>
      <c r="F969" s="1016"/>
      <c r="G969" s="1152" t="s">
        <v>9</v>
      </c>
    </row>
    <row r="970" spans="1:7">
      <c r="A970" s="1032"/>
      <c r="B970" s="1230"/>
      <c r="C970" s="906" t="s">
        <v>8168</v>
      </c>
      <c r="D970" s="896"/>
      <c r="E970" s="925"/>
      <c r="F970" s="1034">
        <f>SUM(E962:E966)</f>
        <v>261.11</v>
      </c>
      <c r="G970" s="3"/>
    </row>
    <row r="971" spans="1:7">
      <c r="A971" s="884">
        <v>44410</v>
      </c>
      <c r="B971" s="240" t="str">
        <f>TiposLancamentos!B15</f>
        <v>Cartões de Crédito</v>
      </c>
      <c r="C971" s="878" t="s">
        <v>10915</v>
      </c>
      <c r="D971" s="63">
        <v>261.11</v>
      </c>
      <c r="E971" s="231"/>
      <c r="F971" s="1016">
        <f>F970-F963</f>
        <v>0</v>
      </c>
      <c r="G971" s="1152" t="s">
        <v>9</v>
      </c>
    </row>
    <row r="972" spans="1:7">
      <c r="A972" s="884">
        <v>44416</v>
      </c>
      <c r="B972" s="240" t="str">
        <f>TiposLancamentos!B73</f>
        <v>Cursos</v>
      </c>
      <c r="C972" s="878" t="s">
        <v>11323</v>
      </c>
      <c r="D972" s="63"/>
      <c r="E972" s="231">
        <f>F972/12</f>
        <v>78</v>
      </c>
      <c r="F972" s="1016">
        <v>936</v>
      </c>
      <c r="G972" s="1152" t="s">
        <v>9</v>
      </c>
    </row>
    <row r="973" spans="1:7">
      <c r="A973" s="934"/>
      <c r="B973" s="243"/>
      <c r="C973" s="389" t="s">
        <v>10</v>
      </c>
      <c r="D973" s="146"/>
      <c r="E973" s="146"/>
      <c r="F973" s="1231"/>
      <c r="G973" s="1094" t="s">
        <v>11</v>
      </c>
    </row>
    <row r="974" spans="1:7">
      <c r="A974" s="884">
        <v>44436</v>
      </c>
      <c r="B974" s="240" t="str">
        <f>TiposLancamentos!B45</f>
        <v>Online Services</v>
      </c>
      <c r="C974" s="878" t="s">
        <v>1895</v>
      </c>
      <c r="D974" s="63"/>
      <c r="E974" s="231">
        <v>34.9</v>
      </c>
      <c r="F974" s="1016"/>
      <c r="G974" s="1152" t="s">
        <v>9</v>
      </c>
    </row>
    <row r="975" spans="1:7" ht="14.25" thickBot="1">
      <c r="A975" s="884">
        <v>44438</v>
      </c>
      <c r="B975" s="240" t="str">
        <f>TiposLancamentos!B45</f>
        <v>Online Services</v>
      </c>
      <c r="C975" s="878" t="s">
        <v>1901</v>
      </c>
      <c r="D975" s="63"/>
      <c r="E975" s="231">
        <v>13.95</v>
      </c>
      <c r="F975" s="1016"/>
      <c r="G975" s="1152" t="s">
        <v>9</v>
      </c>
    </row>
    <row r="976" spans="1:7">
      <c r="A976" s="1032"/>
      <c r="B976" s="1230"/>
      <c r="C976" s="906" t="s">
        <v>8219</v>
      </c>
      <c r="D976" s="896"/>
      <c r="E976" s="925"/>
      <c r="F976" s="1034">
        <f>SUM(E968:E972)</f>
        <v>126.85</v>
      </c>
      <c r="G976" s="3"/>
    </row>
    <row r="977" spans="1:7">
      <c r="A977" s="884">
        <v>44440</v>
      </c>
      <c r="B977" s="240" t="str">
        <f>TiposLancamentos!B15</f>
        <v>Cartões de Crédito</v>
      </c>
      <c r="C977" s="878" t="s">
        <v>10915</v>
      </c>
      <c r="D977" s="63">
        <v>126.85</v>
      </c>
      <c r="E977" s="231"/>
      <c r="F977" s="1016">
        <f>F976-F970</f>
        <v>-134.26000000000002</v>
      </c>
      <c r="G977" s="1152" t="s">
        <v>9</v>
      </c>
    </row>
    <row r="978" spans="1:7">
      <c r="A978" s="934"/>
      <c r="B978" s="243"/>
      <c r="C978" s="389" t="s">
        <v>10</v>
      </c>
      <c r="D978" s="146"/>
      <c r="E978" s="146"/>
      <c r="F978" s="1231"/>
      <c r="G978" s="1094" t="s">
        <v>11</v>
      </c>
    </row>
    <row r="979" spans="1:7">
      <c r="A979" s="884">
        <v>44467</v>
      </c>
      <c r="B979" s="240" t="str">
        <f>TiposLancamentos!B45</f>
        <v>Online Services</v>
      </c>
      <c r="C979" s="878" t="s">
        <v>1895</v>
      </c>
      <c r="D979" s="63"/>
      <c r="E979" s="231">
        <v>34.9</v>
      </c>
      <c r="F979" s="1016"/>
      <c r="G979" s="1152" t="s">
        <v>9</v>
      </c>
    </row>
    <row r="980" spans="1:7" ht="14.25" thickBot="1">
      <c r="A980" s="884">
        <v>44469</v>
      </c>
      <c r="B980" s="240" t="str">
        <f>TiposLancamentos!B45</f>
        <v>Online Services</v>
      </c>
      <c r="C980" s="878" t="s">
        <v>1901</v>
      </c>
      <c r="D980" s="63"/>
      <c r="E980" s="231">
        <v>13.95</v>
      </c>
      <c r="F980" s="1016"/>
      <c r="G980" s="1152" t="s">
        <v>9</v>
      </c>
    </row>
    <row r="981" spans="1:7">
      <c r="A981" s="1032"/>
      <c r="B981" s="1230"/>
      <c r="C981" s="906" t="s">
        <v>8251</v>
      </c>
      <c r="D981" s="896"/>
      <c r="E981" s="925"/>
      <c r="F981" s="1034">
        <f>SUM(E973:E977)</f>
        <v>48.849999999999994</v>
      </c>
      <c r="G981" s="3"/>
    </row>
    <row r="982" spans="1:7">
      <c r="A982" s="884">
        <v>44470</v>
      </c>
      <c r="B982" s="240" t="str">
        <f>TiposLancamentos!B15</f>
        <v>Cartões de Crédito</v>
      </c>
      <c r="C982" s="878" t="s">
        <v>10915</v>
      </c>
      <c r="D982" s="63">
        <v>48.85</v>
      </c>
      <c r="E982" s="231"/>
      <c r="F982" s="1016">
        <f>F981-F976</f>
        <v>-78</v>
      </c>
      <c r="G982" s="1152" t="s">
        <v>9</v>
      </c>
    </row>
    <row r="983" spans="1:7">
      <c r="A983" s="934"/>
      <c r="B983" s="243"/>
      <c r="C983" s="389" t="s">
        <v>10</v>
      </c>
      <c r="D983" s="146"/>
      <c r="E983" s="146"/>
      <c r="F983" s="1231"/>
      <c r="G983" s="1094" t="s">
        <v>11</v>
      </c>
    </row>
    <row r="984" spans="1:7">
      <c r="A984" s="884">
        <v>44497</v>
      </c>
      <c r="B984" s="240" t="str">
        <f>TiposLancamentos!B45</f>
        <v>Online Services</v>
      </c>
      <c r="C984" s="878" t="s">
        <v>1895</v>
      </c>
      <c r="D984" s="63"/>
      <c r="E984" s="231">
        <v>34.9</v>
      </c>
      <c r="F984" s="1016"/>
      <c r="G984" s="1152" t="s">
        <v>9</v>
      </c>
    </row>
    <row r="985" spans="1:7" ht="14.25" thickBot="1">
      <c r="A985" s="884">
        <v>44499</v>
      </c>
      <c r="B985" s="240" t="str">
        <f>TiposLancamentos!B45</f>
        <v>Online Services</v>
      </c>
      <c r="C985" s="878" t="s">
        <v>1901</v>
      </c>
      <c r="D985" s="63"/>
      <c r="E985" s="231">
        <v>13.95</v>
      </c>
      <c r="F985" s="1016"/>
      <c r="G985" s="1152" t="s">
        <v>9</v>
      </c>
    </row>
    <row r="986" spans="1:7">
      <c r="A986" s="1032"/>
      <c r="B986" s="1230"/>
      <c r="C986" s="906" t="s">
        <v>1604</v>
      </c>
      <c r="D986" s="896"/>
      <c r="E986" s="925"/>
      <c r="F986" s="1034">
        <f>SUM(E979:E982)</f>
        <v>48.849999999999994</v>
      </c>
      <c r="G986" s="3"/>
    </row>
    <row r="987" spans="1:7">
      <c r="A987" s="884">
        <v>44501</v>
      </c>
      <c r="B987" s="240" t="str">
        <f>TiposLancamentos!B15</f>
        <v>Cartões de Crédito</v>
      </c>
      <c r="C987" s="878" t="s">
        <v>1874</v>
      </c>
      <c r="D987" s="63">
        <v>48.85</v>
      </c>
      <c r="E987" s="231"/>
      <c r="F987" s="1016">
        <f>F986-F981</f>
        <v>0</v>
      </c>
      <c r="G987" s="1152" t="s">
        <v>9</v>
      </c>
    </row>
    <row r="988" spans="1:7">
      <c r="A988" s="934"/>
      <c r="B988" s="243"/>
      <c r="C988" s="389" t="s">
        <v>10</v>
      </c>
      <c r="D988" s="146"/>
      <c r="E988" s="146"/>
      <c r="F988" s="1231"/>
      <c r="G988" s="1094" t="s">
        <v>11</v>
      </c>
    </row>
    <row r="989" spans="1:7">
      <c r="A989" s="884">
        <v>44528</v>
      </c>
      <c r="B989" s="240" t="str">
        <f>TiposLancamentos!B45</f>
        <v>Online Services</v>
      </c>
      <c r="C989" s="878" t="s">
        <v>1895</v>
      </c>
      <c r="D989" s="63"/>
      <c r="E989" s="231">
        <v>34.9</v>
      </c>
      <c r="F989" s="1016"/>
      <c r="G989" s="1152" t="s">
        <v>9</v>
      </c>
    </row>
    <row r="990" spans="1:7">
      <c r="A990" s="884">
        <v>44528</v>
      </c>
      <c r="B990" s="240" t="str">
        <f>TiposLancamentos!B45</f>
        <v>Online Services</v>
      </c>
      <c r="C990" s="878" t="s">
        <v>11324</v>
      </c>
      <c r="D990" s="63"/>
      <c r="E990" s="231">
        <v>27.9</v>
      </c>
      <c r="F990" s="1016"/>
      <c r="G990" s="1152" t="s">
        <v>9</v>
      </c>
    </row>
    <row r="991" spans="1:7" ht="14.25" thickBot="1">
      <c r="A991" s="884">
        <v>44530</v>
      </c>
      <c r="B991" s="240" t="str">
        <f>TiposLancamentos!B45</f>
        <v>Online Services</v>
      </c>
      <c r="C991" s="878" t="s">
        <v>1901</v>
      </c>
      <c r="D991" s="63"/>
      <c r="E991" s="231">
        <v>13.95</v>
      </c>
      <c r="F991" s="1016"/>
      <c r="G991" s="1152" t="s">
        <v>9</v>
      </c>
    </row>
    <row r="992" spans="1:7">
      <c r="A992" s="1032"/>
      <c r="B992" s="1230"/>
      <c r="C992" s="906" t="s">
        <v>1605</v>
      </c>
      <c r="D992" s="896"/>
      <c r="E992" s="925"/>
      <c r="F992" s="1034">
        <f>SUM(E984:E987)</f>
        <v>48.849999999999994</v>
      </c>
      <c r="G992" s="3"/>
    </row>
    <row r="993" spans="1:7">
      <c r="A993" s="884">
        <v>44531</v>
      </c>
      <c r="B993" s="240" t="str">
        <f>TiposLancamentos!B15</f>
        <v>Cartões de Crédito</v>
      </c>
      <c r="C993" s="878" t="s">
        <v>1874</v>
      </c>
      <c r="D993" s="63">
        <v>48.85</v>
      </c>
      <c r="E993" s="231"/>
      <c r="F993" s="1016">
        <f>F992-F986</f>
        <v>0</v>
      </c>
      <c r="G993" s="1152" t="s">
        <v>9</v>
      </c>
    </row>
    <row r="994" spans="1:7">
      <c r="A994" s="934"/>
      <c r="B994" s="243"/>
      <c r="C994" s="389" t="s">
        <v>10</v>
      </c>
      <c r="D994" s="146"/>
      <c r="E994" s="146"/>
      <c r="F994" s="1231"/>
      <c r="G994" s="1094" t="s">
        <v>11</v>
      </c>
    </row>
    <row r="995" spans="1:7">
      <c r="A995" s="884">
        <v>44558</v>
      </c>
      <c r="B995" s="240" t="str">
        <f>TiposLancamentos!B45</f>
        <v>Online Services</v>
      </c>
      <c r="C995" s="878" t="s">
        <v>1895</v>
      </c>
      <c r="D995" s="63"/>
      <c r="E995" s="231">
        <v>34.9</v>
      </c>
      <c r="F995" s="1016"/>
      <c r="G995" s="1152" t="s">
        <v>9</v>
      </c>
    </row>
    <row r="996" spans="1:7">
      <c r="A996" s="884">
        <v>44558</v>
      </c>
      <c r="B996" s="240" t="str">
        <f>TiposLancamentos!B45</f>
        <v>Online Services</v>
      </c>
      <c r="C996" s="878" t="s">
        <v>11324</v>
      </c>
      <c r="D996" s="63"/>
      <c r="E996" s="231">
        <v>27.9</v>
      </c>
      <c r="F996" s="1016"/>
      <c r="G996" s="1152" t="s">
        <v>9</v>
      </c>
    </row>
    <row r="997" spans="1:7" ht="14.25" thickBot="1">
      <c r="A997" s="884">
        <v>44560</v>
      </c>
      <c r="B997" s="240" t="str">
        <f>TiposLancamentos!B45</f>
        <v>Online Services</v>
      </c>
      <c r="C997" s="878" t="s">
        <v>1901</v>
      </c>
      <c r="D997" s="63"/>
      <c r="E997" s="231">
        <v>13.95</v>
      </c>
      <c r="F997" s="1016"/>
      <c r="G997" s="1152" t="s">
        <v>9</v>
      </c>
    </row>
    <row r="998" spans="1:7">
      <c r="A998" s="1032"/>
      <c r="B998" s="1230"/>
      <c r="C998" s="906" t="s">
        <v>1606</v>
      </c>
      <c r="D998" s="896"/>
      <c r="E998" s="925"/>
      <c r="F998" s="1034">
        <f>SUM(E988:E993)</f>
        <v>76.75</v>
      </c>
      <c r="G998" s="3"/>
    </row>
    <row r="999" spans="1:7">
      <c r="A999" s="884">
        <v>44564</v>
      </c>
      <c r="B999" s="240" t="str">
        <f>TiposLancamentos!B15</f>
        <v>Cartões de Crédito</v>
      </c>
      <c r="C999" s="878" t="s">
        <v>1874</v>
      </c>
      <c r="D999" s="63">
        <v>76.75</v>
      </c>
      <c r="E999" s="231"/>
      <c r="F999" s="1016">
        <f>F998-F992</f>
        <v>27.900000000000006</v>
      </c>
      <c r="G999" s="1152" t="s">
        <v>9</v>
      </c>
    </row>
    <row r="1000" spans="1:7">
      <c r="A1000" s="934"/>
      <c r="B1000" s="243"/>
      <c r="C1000" s="389" t="s">
        <v>10</v>
      </c>
      <c r="D1000" s="146"/>
      <c r="E1000" s="146"/>
      <c r="F1000" s="1231"/>
      <c r="G1000" s="1094" t="s">
        <v>11</v>
      </c>
    </row>
    <row r="1001" spans="1:7">
      <c r="A1001" s="884">
        <v>44589</v>
      </c>
      <c r="B1001" s="240" t="str">
        <f>TiposLancamentos!B45</f>
        <v>Online Services</v>
      </c>
      <c r="C1001" s="878" t="s">
        <v>1895</v>
      </c>
      <c r="D1001" s="63"/>
      <c r="E1001" s="231">
        <v>34.9</v>
      </c>
      <c r="F1001" s="1016"/>
      <c r="G1001" s="1152" t="s">
        <v>9</v>
      </c>
    </row>
    <row r="1002" spans="1:7">
      <c r="A1002" s="884">
        <v>44589</v>
      </c>
      <c r="B1002" s="240" t="str">
        <f>TiposLancamentos!B45</f>
        <v>Online Services</v>
      </c>
      <c r="C1002" s="878" t="s">
        <v>11324</v>
      </c>
      <c r="D1002" s="63"/>
      <c r="E1002" s="231">
        <v>27.9</v>
      </c>
      <c r="F1002" s="1016"/>
      <c r="G1002" s="1152" t="s">
        <v>9</v>
      </c>
    </row>
    <row r="1003" spans="1:7">
      <c r="A1003" s="884">
        <v>44591</v>
      </c>
      <c r="B1003" s="240" t="str">
        <f>TiposLancamentos!B45</f>
        <v>Online Services</v>
      </c>
      <c r="C1003" s="878" t="s">
        <v>1901</v>
      </c>
      <c r="D1003" s="63"/>
      <c r="E1003" s="231">
        <v>13.95</v>
      </c>
      <c r="F1003" s="1016"/>
      <c r="G1003" s="1152" t="s">
        <v>9</v>
      </c>
    </row>
    <row r="1004" spans="1:7" ht="14.25" thickBot="1">
      <c r="A1004" s="884">
        <v>44589</v>
      </c>
      <c r="B1004" s="240" t="str">
        <f>TiposLancamentos!B45</f>
        <v>Online Services</v>
      </c>
      <c r="C1004" s="878" t="s">
        <v>11232</v>
      </c>
      <c r="D1004" s="63"/>
      <c r="E1004" s="231">
        <v>69.989999999999995</v>
      </c>
      <c r="F1004" s="1016"/>
      <c r="G1004" s="1152" t="s">
        <v>9</v>
      </c>
    </row>
    <row r="1005" spans="1:7">
      <c r="A1005" s="1032"/>
      <c r="B1005" s="1230"/>
      <c r="C1005" s="906" t="s">
        <v>1607</v>
      </c>
      <c r="D1005" s="896"/>
      <c r="E1005" s="925"/>
      <c r="F1005" s="1034">
        <f>SUM(E995:E1000)</f>
        <v>76.75</v>
      </c>
      <c r="G1005" s="3"/>
    </row>
    <row r="1006" spans="1:7">
      <c r="A1006" s="884">
        <v>44593</v>
      </c>
      <c r="B1006" s="240" t="str">
        <f>TiposLancamentos!B15</f>
        <v>Cartões de Crédito</v>
      </c>
      <c r="C1006" s="878" t="s">
        <v>10915</v>
      </c>
      <c r="D1006" s="63">
        <v>76.75</v>
      </c>
      <c r="E1006" s="231"/>
      <c r="F1006" s="1016"/>
      <c r="G1006" s="1152" t="s">
        <v>9</v>
      </c>
    </row>
    <row r="1007" spans="1:7">
      <c r="A1007" s="884">
        <v>44596</v>
      </c>
      <c r="B1007" s="240" t="str">
        <f>TiposLancamentos!B57</f>
        <v>Informática</v>
      </c>
      <c r="C1007" s="878" t="s">
        <v>11325</v>
      </c>
      <c r="D1007" s="63"/>
      <c r="E1007" s="231">
        <v>49.99</v>
      </c>
      <c r="F1007" s="1016"/>
      <c r="G1007" s="1152" t="s">
        <v>9</v>
      </c>
    </row>
    <row r="1008" spans="1:7">
      <c r="A1008" s="934"/>
      <c r="B1008" s="243"/>
      <c r="C1008" s="389" t="s">
        <v>10</v>
      </c>
      <c r="D1008" s="146"/>
      <c r="E1008" s="146"/>
      <c r="F1008" s="1231"/>
      <c r="G1008" s="1094" t="s">
        <v>11</v>
      </c>
    </row>
    <row r="1009" spans="1:7">
      <c r="A1009" s="884">
        <v>44620</v>
      </c>
      <c r="B1009" s="240" t="str">
        <f>TiposLancamentos!B45</f>
        <v>Online Services</v>
      </c>
      <c r="C1009" s="878" t="s">
        <v>1895</v>
      </c>
      <c r="D1009" s="63"/>
      <c r="E1009" s="231">
        <v>34.9</v>
      </c>
      <c r="F1009" s="1016"/>
      <c r="G1009" s="1152" t="s">
        <v>9</v>
      </c>
    </row>
    <row r="1010" spans="1:7">
      <c r="A1010" s="884">
        <v>44620</v>
      </c>
      <c r="B1010" s="240" t="str">
        <f>TiposLancamentos!B45</f>
        <v>Online Services</v>
      </c>
      <c r="C1010" s="878" t="s">
        <v>11324</v>
      </c>
      <c r="D1010" s="63"/>
      <c r="E1010" s="231">
        <v>27.9</v>
      </c>
      <c r="F1010" s="1016"/>
      <c r="G1010" s="1152" t="s">
        <v>9</v>
      </c>
    </row>
    <row r="1011" spans="1:7" ht="14.25" thickBot="1">
      <c r="A1011" s="884">
        <v>44620</v>
      </c>
      <c r="B1011" s="240" t="str">
        <f>TiposLancamentos!B45</f>
        <v>Online Services</v>
      </c>
      <c r="C1011" s="878" t="s">
        <v>1901</v>
      </c>
      <c r="D1011" s="63"/>
      <c r="E1011" s="231">
        <v>13.95</v>
      </c>
      <c r="F1011" s="1016"/>
      <c r="G1011" s="1152" t="s">
        <v>9</v>
      </c>
    </row>
    <row r="1012" spans="1:7">
      <c r="A1012" s="1032"/>
      <c r="B1012" s="1230"/>
      <c r="C1012" s="906" t="s">
        <v>1608</v>
      </c>
      <c r="D1012" s="896"/>
      <c r="E1012" s="925"/>
      <c r="F1012" s="1034">
        <f>SUM(E1000:E1008)</f>
        <v>196.73000000000002</v>
      </c>
      <c r="G1012" s="3"/>
    </row>
    <row r="1013" spans="1:7">
      <c r="A1013" s="884">
        <v>44622</v>
      </c>
      <c r="B1013" s="240" t="str">
        <f>TiposLancamentos!B15</f>
        <v>Cartões de Crédito</v>
      </c>
      <c r="C1013" s="878" t="s">
        <v>10915</v>
      </c>
      <c r="D1013" s="63">
        <v>196.73</v>
      </c>
      <c r="E1013" s="231"/>
      <c r="F1013" s="1016"/>
      <c r="G1013" s="1152" t="s">
        <v>9</v>
      </c>
    </row>
    <row r="1014" spans="1:7">
      <c r="A1014" s="884">
        <v>44622</v>
      </c>
      <c r="B1014" s="240" t="str">
        <f>TiposLancamentos!B65</f>
        <v>Taxi</v>
      </c>
      <c r="C1014" s="878" t="s">
        <v>11326</v>
      </c>
      <c r="D1014" s="63"/>
      <c r="E1014" s="231">
        <v>9.09</v>
      </c>
      <c r="F1014" s="1016"/>
      <c r="G1014" s="1152" t="s">
        <v>9</v>
      </c>
    </row>
    <row r="1015" spans="1:7">
      <c r="A1015" s="884">
        <v>44622</v>
      </c>
      <c r="B1015" s="240" t="str">
        <f>TiposLancamentos!B65</f>
        <v>Taxi</v>
      </c>
      <c r="C1015" s="878" t="s">
        <v>11327</v>
      </c>
      <c r="D1015" s="63"/>
      <c r="E1015" s="231">
        <v>13.58</v>
      </c>
      <c r="F1015" s="1016"/>
      <c r="G1015" s="1152" t="s">
        <v>9</v>
      </c>
    </row>
    <row r="1016" spans="1:7">
      <c r="A1016" s="934"/>
      <c r="B1016" s="243"/>
      <c r="C1016" s="389" t="s">
        <v>10</v>
      </c>
      <c r="D1016" s="146"/>
      <c r="E1016" s="146"/>
      <c r="F1016" s="1231"/>
      <c r="G1016" s="1094" t="s">
        <v>11</v>
      </c>
    </row>
    <row r="1017" spans="1:7">
      <c r="A1017" s="884">
        <v>44648</v>
      </c>
      <c r="B1017" s="240" t="str">
        <f>TiposLancamentos!B45</f>
        <v>Online Services</v>
      </c>
      <c r="C1017" s="878" t="s">
        <v>1895</v>
      </c>
      <c r="D1017" s="63"/>
      <c r="E1017" s="231">
        <v>34.9</v>
      </c>
      <c r="F1017" s="1016"/>
      <c r="G1017" s="1152" t="s">
        <v>9</v>
      </c>
    </row>
    <row r="1018" spans="1:7">
      <c r="A1018" s="884">
        <v>44648</v>
      </c>
      <c r="B1018" s="240" t="str">
        <f>TiposLancamentos!B45</f>
        <v>Online Services</v>
      </c>
      <c r="C1018" s="878" t="s">
        <v>11324</v>
      </c>
      <c r="D1018" s="63"/>
      <c r="E1018" s="231">
        <v>27.9</v>
      </c>
      <c r="F1018" s="1016"/>
      <c r="G1018" s="1152" t="s">
        <v>9</v>
      </c>
    </row>
    <row r="1019" spans="1:7" ht="14.25" thickBot="1">
      <c r="A1019" s="884">
        <v>44650</v>
      </c>
      <c r="B1019" s="240" t="str">
        <f>TiposLancamentos!B45</f>
        <v>Online Services</v>
      </c>
      <c r="C1019" s="878" t="s">
        <v>1901</v>
      </c>
      <c r="D1019" s="63"/>
      <c r="E1019" s="231">
        <v>13.95</v>
      </c>
      <c r="F1019" s="1016"/>
      <c r="G1019" s="1152" t="s">
        <v>9</v>
      </c>
    </row>
    <row r="1020" spans="1:7">
      <c r="A1020" s="1032"/>
      <c r="B1020" s="1230"/>
      <c r="C1020" s="906" t="s">
        <v>1609</v>
      </c>
      <c r="D1020" s="896"/>
      <c r="E1020" s="925"/>
      <c r="F1020" s="1034">
        <f>SUM(E1008:E1016)</f>
        <v>99.42</v>
      </c>
      <c r="G1020" s="3"/>
    </row>
    <row r="1021" spans="1:7">
      <c r="A1021" s="884">
        <v>44652</v>
      </c>
      <c r="B1021" s="240" t="str">
        <f>TiposLancamentos!B15</f>
        <v>Cartões de Crédito</v>
      </c>
      <c r="C1021" s="878" t="s">
        <v>10915</v>
      </c>
      <c r="D1021" s="63">
        <v>99.42</v>
      </c>
      <c r="E1021" s="231"/>
      <c r="F1021" s="1016">
        <f>F1020-F1012</f>
        <v>-97.310000000000016</v>
      </c>
      <c r="G1021" s="1152" t="s">
        <v>9</v>
      </c>
    </row>
    <row r="1022" spans="1:7">
      <c r="A1022" s="934"/>
      <c r="B1022" s="243"/>
      <c r="C1022" s="389" t="s">
        <v>10</v>
      </c>
      <c r="D1022" s="146"/>
      <c r="E1022" s="146"/>
      <c r="F1022" s="1231"/>
      <c r="G1022" s="1094" t="s">
        <v>11</v>
      </c>
    </row>
    <row r="1023" spans="1:7">
      <c r="A1023" s="884">
        <v>44677</v>
      </c>
      <c r="B1023" s="240" t="str">
        <f>TiposLancamentos!B65</f>
        <v>Taxi</v>
      </c>
      <c r="C1023" s="878" t="s">
        <v>11328</v>
      </c>
      <c r="D1023" s="63"/>
      <c r="E1023" s="231">
        <v>37.97</v>
      </c>
      <c r="F1023" s="1016"/>
      <c r="G1023" s="1152" t="s">
        <v>9</v>
      </c>
    </row>
    <row r="1024" spans="1:7">
      <c r="A1024" s="884">
        <v>44677</v>
      </c>
      <c r="B1024" s="240" t="str">
        <f>TiposLancamentos!B65</f>
        <v>Taxi</v>
      </c>
      <c r="C1024" s="878" t="s">
        <v>11329</v>
      </c>
      <c r="D1024" s="63"/>
      <c r="E1024" s="231">
        <v>37.96</v>
      </c>
      <c r="F1024" s="1016"/>
      <c r="G1024" s="1152" t="s">
        <v>9</v>
      </c>
    </row>
    <row r="1025" spans="1:7">
      <c r="A1025" s="884">
        <v>44679</v>
      </c>
      <c r="B1025" s="240" t="str">
        <f>TiposLancamentos!B45</f>
        <v>Online Services</v>
      </c>
      <c r="C1025" s="878" t="s">
        <v>1895</v>
      </c>
      <c r="D1025" s="63"/>
      <c r="E1025" s="231">
        <v>34.9</v>
      </c>
      <c r="F1025" s="1016"/>
      <c r="G1025" s="1152" t="s">
        <v>9</v>
      </c>
    </row>
    <row r="1026" spans="1:7">
      <c r="A1026" s="884">
        <v>44679</v>
      </c>
      <c r="B1026" s="240" t="str">
        <f>TiposLancamentos!B45</f>
        <v>Online Services</v>
      </c>
      <c r="C1026" s="878" t="s">
        <v>11324</v>
      </c>
      <c r="D1026" s="63"/>
      <c r="E1026" s="231">
        <v>27.9</v>
      </c>
      <c r="F1026" s="1016"/>
      <c r="G1026" s="1152" t="s">
        <v>9</v>
      </c>
    </row>
    <row r="1027" spans="1:7" ht="14.25" thickBot="1">
      <c r="A1027" s="884">
        <v>44681</v>
      </c>
      <c r="B1027" s="240" t="str">
        <f>TiposLancamentos!B45</f>
        <v>Online Services</v>
      </c>
      <c r="C1027" s="878" t="s">
        <v>1901</v>
      </c>
      <c r="D1027" s="63"/>
      <c r="E1027" s="231">
        <v>13.95</v>
      </c>
      <c r="F1027" s="1016"/>
      <c r="G1027" s="1152" t="s">
        <v>9</v>
      </c>
    </row>
    <row r="1028" spans="1:7">
      <c r="A1028" s="1032"/>
      <c r="B1028" s="1230"/>
      <c r="C1028" s="906" t="s">
        <v>1610</v>
      </c>
      <c r="D1028" s="896"/>
      <c r="E1028" s="925"/>
      <c r="F1028" s="1034">
        <f>SUM(E1016:E1022)</f>
        <v>76.75</v>
      </c>
      <c r="G1028" s="3"/>
    </row>
    <row r="1029" spans="1:7">
      <c r="A1029" s="884">
        <v>44683</v>
      </c>
      <c r="B1029" s="240" t="str">
        <f>TiposLancamentos!B15</f>
        <v>Cartões de Crédito</v>
      </c>
      <c r="C1029" s="878" t="s">
        <v>10915</v>
      </c>
      <c r="D1029" s="63">
        <v>76.75</v>
      </c>
      <c r="E1029" s="231"/>
      <c r="F1029" s="1016">
        <f>F1028-F1020</f>
        <v>-22.67</v>
      </c>
      <c r="G1029" s="1152" t="s">
        <v>9</v>
      </c>
    </row>
    <row r="1030" spans="1:7">
      <c r="A1030" s="934"/>
      <c r="B1030" s="243"/>
      <c r="C1030" s="389" t="s">
        <v>10</v>
      </c>
      <c r="D1030" s="146"/>
      <c r="E1030" s="146"/>
      <c r="F1030" s="1231"/>
      <c r="G1030" s="1094" t="s">
        <v>11</v>
      </c>
    </row>
    <row r="1031" spans="1:7">
      <c r="A1031" s="884">
        <v>44709</v>
      </c>
      <c r="B1031" s="240" t="str">
        <f>TiposLancamentos!B45</f>
        <v>Online Services</v>
      </c>
      <c r="C1031" s="878" t="s">
        <v>1895</v>
      </c>
      <c r="D1031" s="63"/>
      <c r="E1031" s="231">
        <v>34.9</v>
      </c>
      <c r="F1031" s="1016"/>
      <c r="G1031" s="1152" t="s">
        <v>9</v>
      </c>
    </row>
    <row r="1032" spans="1:7">
      <c r="A1032" s="884">
        <v>44709</v>
      </c>
      <c r="B1032" s="240" t="str">
        <f>TiposLancamentos!B45</f>
        <v>Online Services</v>
      </c>
      <c r="C1032" s="878" t="s">
        <v>11324</v>
      </c>
      <c r="D1032" s="63"/>
      <c r="E1032" s="231">
        <v>27.9</v>
      </c>
      <c r="F1032" s="1016"/>
      <c r="G1032" s="1152" t="s">
        <v>9</v>
      </c>
    </row>
    <row r="1033" spans="1:7" ht="14.25" thickBot="1">
      <c r="A1033" s="884">
        <v>44711</v>
      </c>
      <c r="B1033" s="240" t="str">
        <f>TiposLancamentos!B45</f>
        <v>Online Services</v>
      </c>
      <c r="C1033" s="878" t="s">
        <v>1901</v>
      </c>
      <c r="D1033" s="63"/>
      <c r="E1033" s="231">
        <v>13.95</v>
      </c>
      <c r="F1033" s="1016"/>
      <c r="G1033" s="1152" t="s">
        <v>9</v>
      </c>
    </row>
    <row r="1034" spans="1:7">
      <c r="A1034" s="1032"/>
      <c r="B1034" s="1230"/>
      <c r="C1034" s="906" t="s">
        <v>1611</v>
      </c>
      <c r="D1034" s="896"/>
      <c r="E1034" s="925"/>
      <c r="F1034" s="1034">
        <f>SUM(E1022:E1030)</f>
        <v>152.68</v>
      </c>
      <c r="G1034" s="3"/>
    </row>
    <row r="1035" spans="1:7">
      <c r="A1035" s="884">
        <v>44713</v>
      </c>
      <c r="B1035" s="240" t="str">
        <f>TiposLancamentos!B15</f>
        <v>Cartões de Crédito</v>
      </c>
      <c r="C1035" s="878" t="s">
        <v>1874</v>
      </c>
      <c r="D1035" s="63">
        <v>152.68</v>
      </c>
      <c r="E1035" s="231"/>
      <c r="F1035" s="1016">
        <f>F1034-F1028</f>
        <v>75.930000000000007</v>
      </c>
      <c r="G1035" s="1152" t="s">
        <v>9</v>
      </c>
    </row>
    <row r="1036" spans="1:7">
      <c r="A1036" s="934"/>
      <c r="B1036" s="243"/>
      <c r="C1036" s="389" t="s">
        <v>10</v>
      </c>
      <c r="D1036" s="146"/>
      <c r="E1036" s="146"/>
      <c r="F1036" s="1231"/>
      <c r="G1036" s="1094" t="s">
        <v>11</v>
      </c>
    </row>
    <row r="1037" spans="1:7">
      <c r="A1037" s="884">
        <v>44740</v>
      </c>
      <c r="B1037" s="240" t="str">
        <f>TiposLancamentos!B45</f>
        <v>Online Services</v>
      </c>
      <c r="C1037" s="878" t="s">
        <v>1895</v>
      </c>
      <c r="D1037" s="63"/>
      <c r="E1037" s="231">
        <v>34.9</v>
      </c>
      <c r="F1037" s="1016"/>
      <c r="G1037" s="1152" t="s">
        <v>9</v>
      </c>
    </row>
    <row r="1038" spans="1:7">
      <c r="A1038" s="884">
        <v>44740</v>
      </c>
      <c r="B1038" s="240" t="str">
        <f>TiposLancamentos!B45</f>
        <v>Online Services</v>
      </c>
      <c r="C1038" s="878" t="s">
        <v>11324</v>
      </c>
      <c r="D1038" s="63"/>
      <c r="E1038" s="231">
        <v>27.9</v>
      </c>
      <c r="F1038" s="1016"/>
      <c r="G1038" s="1152" t="s">
        <v>9</v>
      </c>
    </row>
    <row r="1039" spans="1:7" ht="14.25" thickBot="1">
      <c r="A1039" s="884">
        <v>44742</v>
      </c>
      <c r="B1039" s="240" t="str">
        <f>TiposLancamentos!B45</f>
        <v>Online Services</v>
      </c>
      <c r="C1039" s="878" t="s">
        <v>1901</v>
      </c>
      <c r="D1039" s="63"/>
      <c r="E1039" s="231">
        <v>13.95</v>
      </c>
      <c r="F1039" s="1016"/>
      <c r="G1039" s="1152" t="s">
        <v>9</v>
      </c>
    </row>
    <row r="1040" spans="1:7">
      <c r="A1040" s="1032"/>
      <c r="B1040" s="1230"/>
      <c r="C1040" s="906" t="s">
        <v>1612</v>
      </c>
      <c r="D1040" s="896"/>
      <c r="E1040" s="925"/>
      <c r="F1040" s="1034">
        <f>SUM(E1030:E1036)</f>
        <v>76.75</v>
      </c>
      <c r="G1040" s="3"/>
    </row>
    <row r="1041" spans="1:7">
      <c r="A1041" s="884">
        <v>44743</v>
      </c>
      <c r="B1041" s="240" t="str">
        <f>TiposLancamentos!B15</f>
        <v>Cartões de Crédito</v>
      </c>
      <c r="C1041" s="878" t="s">
        <v>1874</v>
      </c>
      <c r="D1041" s="63">
        <v>76.75</v>
      </c>
      <c r="E1041" s="231"/>
      <c r="F1041" s="1016">
        <f>F1040-F1034</f>
        <v>-75.930000000000007</v>
      </c>
      <c r="G1041" s="1152" t="s">
        <v>9</v>
      </c>
    </row>
    <row r="1042" spans="1:7">
      <c r="A1042" s="884">
        <v>44746</v>
      </c>
      <c r="B1042" s="240" t="str">
        <f>TiposLancamentos!B57</f>
        <v>Informática</v>
      </c>
      <c r="C1042" s="878" t="s">
        <v>11330</v>
      </c>
      <c r="D1042" s="63"/>
      <c r="E1042" s="231">
        <v>314.3</v>
      </c>
      <c r="F1042" s="1016"/>
      <c r="G1042" s="1152" t="s">
        <v>9</v>
      </c>
    </row>
    <row r="1043" spans="1:7">
      <c r="A1043" s="934"/>
      <c r="B1043" s="243"/>
      <c r="C1043" s="389" t="s">
        <v>10</v>
      </c>
      <c r="D1043" s="146"/>
      <c r="E1043" s="146"/>
      <c r="F1043" s="1231"/>
      <c r="G1043" s="1094" t="s">
        <v>11</v>
      </c>
    </row>
    <row r="1044" spans="1:7">
      <c r="A1044" s="884">
        <v>44770</v>
      </c>
      <c r="B1044" s="240" t="str">
        <f>TiposLancamentos!B45</f>
        <v>Online Services</v>
      </c>
      <c r="C1044" s="878" t="s">
        <v>1895</v>
      </c>
      <c r="D1044" s="63"/>
      <c r="E1044" s="231">
        <v>34.9</v>
      </c>
      <c r="F1044" s="1016"/>
      <c r="G1044" s="1152" t="s">
        <v>9</v>
      </c>
    </row>
    <row r="1045" spans="1:7">
      <c r="A1045" s="884">
        <v>44770</v>
      </c>
      <c r="B1045" s="240" t="str">
        <f>TiposLancamentos!B45</f>
        <v>Online Services</v>
      </c>
      <c r="C1045" s="878" t="s">
        <v>11324</v>
      </c>
      <c r="D1045" s="63"/>
      <c r="E1045" s="231">
        <v>27.9</v>
      </c>
      <c r="F1045" s="1016"/>
      <c r="G1045" s="1152" t="s">
        <v>9</v>
      </c>
    </row>
    <row r="1046" spans="1:7" ht="14.25" thickBot="1">
      <c r="A1046" s="884">
        <v>44772</v>
      </c>
      <c r="B1046" s="240" t="str">
        <f>TiposLancamentos!B45</f>
        <v>Online Services</v>
      </c>
      <c r="C1046" s="878" t="s">
        <v>1901</v>
      </c>
      <c r="D1046" s="63"/>
      <c r="E1046" s="231">
        <v>13.95</v>
      </c>
      <c r="F1046" s="1016"/>
      <c r="G1046" s="1152" t="s">
        <v>9</v>
      </c>
    </row>
    <row r="1047" spans="1:7">
      <c r="A1047" s="1032"/>
      <c r="B1047" s="1230"/>
      <c r="C1047" s="906" t="s">
        <v>1613</v>
      </c>
      <c r="D1047" s="896"/>
      <c r="E1047" s="925"/>
      <c r="F1047" s="1034">
        <f>SUM(E1036:E1043)</f>
        <v>391.05</v>
      </c>
      <c r="G1047" s="3"/>
    </row>
    <row r="1048" spans="1:7">
      <c r="A1048" s="884">
        <v>44774</v>
      </c>
      <c r="B1048" s="240" t="str">
        <f>TiposLancamentos!B15</f>
        <v>Cartões de Crédito</v>
      </c>
      <c r="C1048" s="878" t="s">
        <v>1874</v>
      </c>
      <c r="D1048" s="63">
        <v>391.05</v>
      </c>
      <c r="E1048" s="231"/>
      <c r="F1048" s="1016">
        <f>F1047-F1040</f>
        <v>314.3</v>
      </c>
      <c r="G1048" s="1152" t="s">
        <v>9</v>
      </c>
    </row>
    <row r="1049" spans="1:7">
      <c r="A1049" s="934"/>
      <c r="B1049" s="243"/>
      <c r="C1049" s="389" t="s">
        <v>10</v>
      </c>
      <c r="D1049" s="146"/>
      <c r="E1049" s="146"/>
      <c r="F1049" s="1231"/>
      <c r="G1049" s="1094" t="s">
        <v>11</v>
      </c>
    </row>
    <row r="1050" spans="1:7">
      <c r="A1050" s="884">
        <v>44801</v>
      </c>
      <c r="B1050" s="240" t="str">
        <f>TiposLancamentos!B45</f>
        <v>Online Services</v>
      </c>
      <c r="C1050" s="878" t="s">
        <v>1895</v>
      </c>
      <c r="D1050" s="63"/>
      <c r="E1050" s="231">
        <v>34.9</v>
      </c>
      <c r="F1050" s="1016"/>
      <c r="G1050" s="1152" t="s">
        <v>9</v>
      </c>
    </row>
    <row r="1051" spans="1:7">
      <c r="A1051" s="884">
        <v>44801</v>
      </c>
      <c r="B1051" s="240" t="str">
        <f>TiposLancamentos!B45</f>
        <v>Online Services</v>
      </c>
      <c r="C1051" s="878" t="s">
        <v>11324</v>
      </c>
      <c r="D1051" s="63"/>
      <c r="E1051" s="231">
        <v>27.9</v>
      </c>
      <c r="F1051" s="1016"/>
      <c r="G1051" s="1152" t="s">
        <v>9</v>
      </c>
    </row>
    <row r="1052" spans="1:7">
      <c r="A1052" s="884">
        <v>44803</v>
      </c>
      <c r="B1052" s="240" t="str">
        <f>TiposLancamentos!B45</f>
        <v>Online Services</v>
      </c>
      <c r="C1052" s="878" t="s">
        <v>1901</v>
      </c>
      <c r="D1052" s="63"/>
      <c r="E1052" s="231">
        <v>13.95</v>
      </c>
      <c r="F1052" s="1016"/>
      <c r="G1052" s="1152" t="s">
        <v>9</v>
      </c>
    </row>
    <row r="1053" spans="1:7" ht="14.25" thickBot="1">
      <c r="A1053" s="884">
        <v>44803</v>
      </c>
      <c r="B1053" s="240" t="str">
        <f>TiposLancamentos!B17</f>
        <v>GATO</v>
      </c>
      <c r="C1053" s="878" t="s">
        <v>11331</v>
      </c>
      <c r="D1053" s="63"/>
      <c r="E1053" s="231">
        <f>F1053/10</f>
        <v>121.1</v>
      </c>
      <c r="F1053" s="1016">
        <v>1211</v>
      </c>
      <c r="G1053" s="1152" t="s">
        <v>9</v>
      </c>
    </row>
    <row r="1054" spans="1:7">
      <c r="A1054" s="1032"/>
      <c r="B1054" s="1230"/>
      <c r="C1054" s="906" t="s">
        <v>1614</v>
      </c>
      <c r="D1054" s="896"/>
      <c r="E1054" s="925"/>
      <c r="F1054" s="1034">
        <f>SUM(E1043:E1049)</f>
        <v>76.75</v>
      </c>
      <c r="G1054" s="3"/>
    </row>
    <row r="1055" spans="1:7">
      <c r="A1055" s="884">
        <v>44805</v>
      </c>
      <c r="B1055" s="240" t="str">
        <f>TiposLancamentos!B15</f>
        <v>Cartões de Crédito</v>
      </c>
      <c r="C1055" s="878" t="s">
        <v>1874</v>
      </c>
      <c r="D1055" s="63">
        <v>76.75</v>
      </c>
      <c r="E1055" s="231"/>
      <c r="F1055" s="1016">
        <f>F1054-F1047</f>
        <v>-314.3</v>
      </c>
      <c r="G1055" s="1152" t="s">
        <v>9</v>
      </c>
    </row>
    <row r="1056" spans="1:7">
      <c r="A1056" s="934"/>
      <c r="B1056" s="243"/>
      <c r="C1056" s="389" t="s">
        <v>10</v>
      </c>
      <c r="D1056" s="146"/>
      <c r="E1056" s="146"/>
      <c r="F1056" s="1231"/>
      <c r="G1056" s="1094" t="s">
        <v>11</v>
      </c>
    </row>
    <row r="1057" spans="1:7">
      <c r="A1057" s="884">
        <v>44830</v>
      </c>
      <c r="B1057" s="240" t="str">
        <f>TiposLancamentos!B65</f>
        <v>Taxi</v>
      </c>
      <c r="C1057" s="878" t="s">
        <v>11332</v>
      </c>
      <c r="D1057" s="63"/>
      <c r="E1057" s="231">
        <v>9.9700000000000006</v>
      </c>
      <c r="F1057" s="1016"/>
      <c r="G1057" s="1152" t="s">
        <v>9</v>
      </c>
    </row>
    <row r="1058" spans="1:7">
      <c r="A1058" s="884">
        <v>44830</v>
      </c>
      <c r="B1058" s="240" t="str">
        <f>TiposLancamentos!B65</f>
        <v>Taxi</v>
      </c>
      <c r="C1058" s="878" t="s">
        <v>11333</v>
      </c>
      <c r="D1058" s="63"/>
      <c r="E1058" s="231">
        <v>10.95</v>
      </c>
      <c r="F1058" s="1016"/>
      <c r="G1058" s="1152" t="s">
        <v>9</v>
      </c>
    </row>
    <row r="1059" spans="1:7">
      <c r="A1059" s="884">
        <v>44832</v>
      </c>
      <c r="B1059" s="240" t="str">
        <f>TiposLancamentos!B45</f>
        <v>Online Services</v>
      </c>
      <c r="C1059" s="878" t="s">
        <v>1895</v>
      </c>
      <c r="D1059" s="63"/>
      <c r="E1059" s="231">
        <v>34.9</v>
      </c>
      <c r="F1059" s="1016"/>
      <c r="G1059" s="1152" t="s">
        <v>9</v>
      </c>
    </row>
    <row r="1060" spans="1:7">
      <c r="A1060" s="884">
        <v>44832</v>
      </c>
      <c r="B1060" s="240" t="str">
        <f>TiposLancamentos!B45</f>
        <v>Online Services</v>
      </c>
      <c r="C1060" s="878" t="s">
        <v>11324</v>
      </c>
      <c r="D1060" s="63"/>
      <c r="E1060" s="231">
        <v>27.9</v>
      </c>
      <c r="F1060" s="1016"/>
      <c r="G1060" s="1152" t="s">
        <v>9</v>
      </c>
    </row>
    <row r="1061" spans="1:7">
      <c r="A1061" s="884">
        <v>44834</v>
      </c>
      <c r="B1061" s="240" t="str">
        <f>TiposLancamentos!B45</f>
        <v>Online Services</v>
      </c>
      <c r="C1061" s="878" t="s">
        <v>1901</v>
      </c>
      <c r="D1061" s="63"/>
      <c r="E1061" s="231">
        <v>13.95</v>
      </c>
      <c r="F1061" s="1016"/>
      <c r="G1061" s="1152" t="s">
        <v>9</v>
      </c>
    </row>
    <row r="1062" spans="1:7" ht="14.25" thickBot="1">
      <c r="A1062" s="884">
        <v>44834</v>
      </c>
      <c r="B1062" s="240" t="str">
        <f>TiposLancamentos!B17</f>
        <v>GATO</v>
      </c>
      <c r="C1062" s="878" t="s">
        <v>11334</v>
      </c>
      <c r="D1062" s="63"/>
      <c r="E1062" s="231">
        <f>F1062/10</f>
        <v>121.1</v>
      </c>
      <c r="F1062" s="1016">
        <v>1211</v>
      </c>
      <c r="G1062" s="1152" t="s">
        <v>9</v>
      </c>
    </row>
    <row r="1063" spans="1:7">
      <c r="A1063" s="1032"/>
      <c r="B1063" s="1230"/>
      <c r="C1063" s="906" t="s">
        <v>1615</v>
      </c>
      <c r="D1063" s="896"/>
      <c r="E1063" s="925"/>
      <c r="F1063" s="1034">
        <f>SUM(E1049:E1056)</f>
        <v>197.85</v>
      </c>
      <c r="G1063" s="3"/>
    </row>
    <row r="1064" spans="1:7">
      <c r="A1064" s="884">
        <v>44837</v>
      </c>
      <c r="B1064" s="240" t="str">
        <f>TiposLancamentos!B15</f>
        <v>Cartões de Crédito</v>
      </c>
      <c r="C1064" s="878" t="s">
        <v>1874</v>
      </c>
      <c r="D1064" s="63">
        <v>197.85</v>
      </c>
      <c r="E1064" s="231"/>
      <c r="F1064" s="1016">
        <f>F1063-F1054</f>
        <v>121.1</v>
      </c>
      <c r="G1064" s="1152" t="s">
        <v>9</v>
      </c>
    </row>
    <row r="1065" spans="1:7">
      <c r="A1065" s="884">
        <v>44850</v>
      </c>
      <c r="B1065" s="240" t="str">
        <f>Nubank_ContaC!B467</f>
        <v>Restaurantes</v>
      </c>
      <c r="C1065" s="878" t="s">
        <v>11335</v>
      </c>
      <c r="D1065" s="63"/>
      <c r="E1065" s="231">
        <v>43.8</v>
      </c>
      <c r="F1065" s="1016"/>
      <c r="G1065" s="1152" t="s">
        <v>9</v>
      </c>
    </row>
    <row r="1066" spans="1:7">
      <c r="A1066" s="934"/>
      <c r="B1066" s="243"/>
      <c r="C1066" s="389" t="s">
        <v>10</v>
      </c>
      <c r="D1066" s="146"/>
      <c r="E1066" s="146"/>
      <c r="F1066" s="1231"/>
      <c r="G1066" s="1094" t="s">
        <v>11</v>
      </c>
    </row>
    <row r="1067" spans="1:7">
      <c r="A1067" s="884">
        <v>44859</v>
      </c>
      <c r="B1067" s="240" t="str">
        <f>TiposLancamentos!B65</f>
        <v>Taxi</v>
      </c>
      <c r="C1067" s="878" t="s">
        <v>11336</v>
      </c>
      <c r="D1067" s="63"/>
      <c r="E1067" s="231">
        <v>18.95</v>
      </c>
      <c r="F1067" s="1016"/>
      <c r="G1067" s="1152" t="s">
        <v>9</v>
      </c>
    </row>
    <row r="1068" spans="1:7">
      <c r="A1068" s="884">
        <v>44859</v>
      </c>
      <c r="B1068" s="240" t="str">
        <f>TiposLancamentos!B65</f>
        <v>Taxi</v>
      </c>
      <c r="C1068" s="878" t="s">
        <v>11328</v>
      </c>
      <c r="D1068" s="63"/>
      <c r="E1068" s="231">
        <v>39.93</v>
      </c>
      <c r="F1068" s="1016"/>
      <c r="G1068" s="1152" t="s">
        <v>9</v>
      </c>
    </row>
    <row r="1069" spans="1:7">
      <c r="A1069" s="884">
        <v>44859</v>
      </c>
      <c r="B1069" s="240" t="str">
        <f>TiposLancamentos!B65</f>
        <v>Taxi</v>
      </c>
      <c r="C1069" s="878" t="s">
        <v>11329</v>
      </c>
      <c r="D1069" s="63"/>
      <c r="E1069" s="231">
        <v>42.96</v>
      </c>
      <c r="F1069" s="1016"/>
      <c r="G1069" s="1152" t="s">
        <v>9</v>
      </c>
    </row>
    <row r="1070" spans="1:7">
      <c r="A1070" s="884">
        <v>44860</v>
      </c>
      <c r="B1070" s="240" t="str">
        <f>TiposLancamentos!B65</f>
        <v>Taxi</v>
      </c>
      <c r="C1070" s="878" t="s">
        <v>11337</v>
      </c>
      <c r="D1070" s="63"/>
      <c r="E1070" s="231">
        <v>23.99</v>
      </c>
      <c r="F1070" s="1016"/>
      <c r="G1070" s="1152" t="s">
        <v>9</v>
      </c>
    </row>
    <row r="1071" spans="1:7">
      <c r="A1071" s="884">
        <v>44862</v>
      </c>
      <c r="B1071" s="240" t="str">
        <f>TiposLancamentos!B45</f>
        <v>Online Services</v>
      </c>
      <c r="C1071" s="878" t="s">
        <v>1895</v>
      </c>
      <c r="D1071" s="63"/>
      <c r="E1071" s="231">
        <v>34.9</v>
      </c>
      <c r="F1071" s="1016"/>
      <c r="G1071" s="1152" t="s">
        <v>9</v>
      </c>
    </row>
    <row r="1072" spans="1:7">
      <c r="A1072" s="884">
        <v>44862</v>
      </c>
      <c r="B1072" s="240" t="str">
        <f>TiposLancamentos!B45</f>
        <v>Online Services</v>
      </c>
      <c r="C1072" s="878" t="s">
        <v>11324</v>
      </c>
      <c r="D1072" s="63"/>
      <c r="E1072" s="231">
        <v>27.9</v>
      </c>
      <c r="F1072" s="1016"/>
      <c r="G1072" s="1152" t="s">
        <v>9</v>
      </c>
    </row>
    <row r="1073" spans="1:7">
      <c r="A1073" s="884">
        <v>44863</v>
      </c>
      <c r="B1073" s="240" t="str">
        <f>TiposLancamentos!B26</f>
        <v>LIVROS</v>
      </c>
      <c r="C1073" s="878" t="s">
        <v>11338</v>
      </c>
      <c r="D1073" s="63"/>
      <c r="E1073" s="231">
        <v>154.57</v>
      </c>
      <c r="F1073" s="1016"/>
      <c r="G1073" s="1152" t="s">
        <v>9</v>
      </c>
    </row>
    <row r="1074" spans="1:7">
      <c r="A1074" s="884">
        <v>44864</v>
      </c>
      <c r="B1074" s="240" t="str">
        <f>TiposLancamentos!B45</f>
        <v>Online Services</v>
      </c>
      <c r="C1074" s="878" t="s">
        <v>1901</v>
      </c>
      <c r="D1074" s="63"/>
      <c r="E1074" s="231">
        <v>13.95</v>
      </c>
      <c r="F1074" s="1016"/>
      <c r="G1074" s="1152" t="s">
        <v>9</v>
      </c>
    </row>
    <row r="1075" spans="1:7" ht="14.25" thickBot="1">
      <c r="A1075" s="884">
        <v>44864</v>
      </c>
      <c r="B1075" s="240" t="str">
        <f>TiposLancamentos!B17</f>
        <v>GATO</v>
      </c>
      <c r="C1075" s="878" t="s">
        <v>11339</v>
      </c>
      <c r="D1075" s="63"/>
      <c r="E1075" s="231">
        <f>F1075/10</f>
        <v>121.1</v>
      </c>
      <c r="F1075" s="1016">
        <v>1211</v>
      </c>
      <c r="G1075" s="1152" t="s">
        <v>9</v>
      </c>
    </row>
    <row r="1076" spans="1:7">
      <c r="A1076" s="1032"/>
      <c r="B1076" s="1230"/>
      <c r="C1076" s="906" t="s">
        <v>11340</v>
      </c>
      <c r="D1076" s="896"/>
      <c r="E1076" s="925"/>
      <c r="F1076" s="1034">
        <f>SUM(E1056:E1065)</f>
        <v>262.57</v>
      </c>
      <c r="G1076" s="3"/>
    </row>
    <row r="1077" spans="1:7">
      <c r="A1077" s="884">
        <v>44866</v>
      </c>
      <c r="B1077" s="240" t="str">
        <f>TiposLancamentos!B15</f>
        <v>Cartões de Crédito</v>
      </c>
      <c r="C1077" s="878" t="s">
        <v>1874</v>
      </c>
      <c r="D1077" s="63">
        <v>262.57</v>
      </c>
      <c r="E1077" s="231"/>
      <c r="F1077" s="1016">
        <f>F1076-F1063</f>
        <v>64.72</v>
      </c>
      <c r="G1077" s="1152" t="s">
        <v>9</v>
      </c>
    </row>
    <row r="1078" spans="1:7">
      <c r="A1078" s="884">
        <v>44881</v>
      </c>
      <c r="B1078" s="240" t="str">
        <f>TiposLancamentos!B71</f>
        <v>Itens Pessoais</v>
      </c>
      <c r="C1078" s="878" t="s">
        <v>11341</v>
      </c>
      <c r="D1078" s="63"/>
      <c r="E1078" s="231">
        <v>204.14</v>
      </c>
      <c r="F1078" s="1016">
        <v>816.5</v>
      </c>
      <c r="G1078" s="1094" t="s">
        <v>11</v>
      </c>
    </row>
    <row r="1079" spans="1:7">
      <c r="A1079" s="884">
        <v>44882</v>
      </c>
      <c r="B1079" s="240" t="str">
        <f>TiposLancamentos!B65</f>
        <v>Taxi</v>
      </c>
      <c r="C1079" s="878" t="s">
        <v>11342</v>
      </c>
      <c r="D1079" s="63"/>
      <c r="E1079" s="231">
        <v>9.9</v>
      </c>
      <c r="F1079" s="1016"/>
      <c r="G1079" s="1152" t="s">
        <v>9</v>
      </c>
    </row>
    <row r="1080" spans="1:7">
      <c r="A1080" s="884">
        <v>44882</v>
      </c>
      <c r="B1080" s="240" t="str">
        <f>TiposLancamentos!B65</f>
        <v>Taxi</v>
      </c>
      <c r="C1080" s="878" t="s">
        <v>11343</v>
      </c>
      <c r="D1080" s="63"/>
      <c r="E1080" s="231">
        <v>10.93</v>
      </c>
      <c r="F1080" s="1016"/>
      <c r="G1080" s="1152" t="s">
        <v>9</v>
      </c>
    </row>
    <row r="1081" spans="1:7">
      <c r="A1081" s="934"/>
      <c r="B1081" s="243"/>
      <c r="C1081" s="389" t="s">
        <v>10</v>
      </c>
      <c r="D1081" s="146"/>
      <c r="E1081" s="146"/>
      <c r="F1081" s="1231"/>
      <c r="G1081" s="1094" t="s">
        <v>11</v>
      </c>
    </row>
    <row r="1082" spans="1:7">
      <c r="A1082" s="884">
        <v>44893</v>
      </c>
      <c r="B1082" s="240" t="str">
        <f>TiposLancamentos!B45</f>
        <v>Online Services</v>
      </c>
      <c r="C1082" s="878" t="s">
        <v>1895</v>
      </c>
      <c r="D1082" s="63"/>
      <c r="E1082" s="231">
        <v>34.9</v>
      </c>
      <c r="F1082" s="1016"/>
      <c r="G1082" s="1152" t="s">
        <v>9</v>
      </c>
    </row>
    <row r="1083" spans="1:7">
      <c r="A1083" s="884">
        <v>44893</v>
      </c>
      <c r="B1083" s="240" t="str">
        <f>TiposLancamentos!B45</f>
        <v>Online Services</v>
      </c>
      <c r="C1083" s="878" t="s">
        <v>11324</v>
      </c>
      <c r="D1083" s="63"/>
      <c r="E1083" s="231">
        <v>27.9</v>
      </c>
      <c r="F1083" s="1016"/>
      <c r="G1083" s="1152" t="s">
        <v>9</v>
      </c>
    </row>
    <row r="1084" spans="1:7">
      <c r="A1084" s="884">
        <v>44895</v>
      </c>
      <c r="B1084" s="240" t="str">
        <f>TiposLancamentos!B45</f>
        <v>Online Services</v>
      </c>
      <c r="C1084" s="878" t="s">
        <v>1901</v>
      </c>
      <c r="D1084" s="63"/>
      <c r="E1084" s="231">
        <v>13.95</v>
      </c>
      <c r="F1084" s="1016"/>
      <c r="G1084" s="1152" t="s">
        <v>9</v>
      </c>
    </row>
    <row r="1085" spans="1:7" ht="14.25" thickBot="1">
      <c r="A1085" s="884">
        <v>44895</v>
      </c>
      <c r="B1085" s="240" t="str">
        <f>TiposLancamentos!B17</f>
        <v>GATO</v>
      </c>
      <c r="C1085" s="878" t="s">
        <v>11344</v>
      </c>
      <c r="D1085" s="63"/>
      <c r="E1085" s="231">
        <f>F1085/10</f>
        <v>121.1</v>
      </c>
      <c r="F1085" s="1016">
        <v>1211</v>
      </c>
      <c r="G1085" s="1152" t="s">
        <v>9</v>
      </c>
    </row>
    <row r="1086" spans="1:7">
      <c r="A1086" s="1032"/>
      <c r="B1086" s="1230"/>
      <c r="C1086" s="906" t="s">
        <v>1629</v>
      </c>
      <c r="D1086" s="896"/>
      <c r="E1086" s="925"/>
      <c r="F1086" s="1034">
        <f>SUM(E1066:E1081)</f>
        <v>703.21999999999991</v>
      </c>
      <c r="G1086" s="3"/>
    </row>
    <row r="1087" spans="1:7">
      <c r="A1087" s="884">
        <v>44896</v>
      </c>
      <c r="B1087" s="240" t="str">
        <f>TiposLancamentos!B15</f>
        <v>Cartões de Crédito</v>
      </c>
      <c r="C1087" s="878" t="s">
        <v>1874</v>
      </c>
      <c r="D1087" s="63">
        <v>703.22</v>
      </c>
      <c r="E1087" s="231"/>
      <c r="F1087" s="1016">
        <f>F1086-F1076</f>
        <v>440.64999999999992</v>
      </c>
      <c r="G1087" s="1152" t="s">
        <v>9</v>
      </c>
    </row>
    <row r="1088" spans="1:7">
      <c r="A1088" s="884">
        <v>44911</v>
      </c>
      <c r="B1088" s="240" t="str">
        <f>TiposLancamentos!B71</f>
        <v>Itens Pessoais</v>
      </c>
      <c r="C1088" s="878" t="s">
        <v>11345</v>
      </c>
      <c r="D1088" s="63"/>
      <c r="E1088" s="231">
        <v>204.12</v>
      </c>
      <c r="F1088" s="1016">
        <v>816.5</v>
      </c>
      <c r="G1088" s="1152" t="s">
        <v>9</v>
      </c>
    </row>
    <row r="1089" spans="1:7">
      <c r="A1089" s="934"/>
      <c r="B1089" s="243"/>
      <c r="C1089" s="389" t="s">
        <v>10</v>
      </c>
      <c r="D1089" s="146"/>
      <c r="E1089" s="146"/>
      <c r="F1089" s="1231"/>
      <c r="G1089" s="1094" t="s">
        <v>11</v>
      </c>
    </row>
    <row r="1090" spans="1:7">
      <c r="A1090" s="884">
        <v>44922</v>
      </c>
      <c r="B1090" s="240" t="str">
        <f>TiposLancamentos!B17</f>
        <v>GATO</v>
      </c>
      <c r="C1090" s="878" t="s">
        <v>11346</v>
      </c>
      <c r="D1090" s="63"/>
      <c r="E1090" s="231">
        <v>248.26</v>
      </c>
      <c r="F1090" s="1016">
        <v>2977.91</v>
      </c>
      <c r="G1090" s="1152" t="s">
        <v>9</v>
      </c>
    </row>
    <row r="1091" spans="1:7">
      <c r="A1091" s="884">
        <v>44923</v>
      </c>
      <c r="B1091" s="240" t="str">
        <f>TiposLancamentos!B45</f>
        <v>Online Services</v>
      </c>
      <c r="C1091" s="878" t="s">
        <v>1895</v>
      </c>
      <c r="D1091" s="63"/>
      <c r="E1091" s="231">
        <v>34.9</v>
      </c>
      <c r="F1091" s="1016"/>
      <c r="G1091" s="1152" t="s">
        <v>9</v>
      </c>
    </row>
    <row r="1092" spans="1:7">
      <c r="A1092" s="884">
        <v>44923</v>
      </c>
      <c r="B1092" s="240" t="str">
        <f>TiposLancamentos!B45</f>
        <v>Online Services</v>
      </c>
      <c r="C1092" s="878" t="s">
        <v>11324</v>
      </c>
      <c r="D1092" s="63"/>
      <c r="E1092" s="231">
        <v>27.9</v>
      </c>
      <c r="F1092" s="1016"/>
      <c r="G1092" s="1152" t="s">
        <v>9</v>
      </c>
    </row>
    <row r="1093" spans="1:7">
      <c r="A1093" s="884">
        <v>44925</v>
      </c>
      <c r="B1093" s="240" t="str">
        <f>TiposLancamentos!B45</f>
        <v>Online Services</v>
      </c>
      <c r="C1093" s="878" t="s">
        <v>1901</v>
      </c>
      <c r="D1093" s="63"/>
      <c r="E1093" s="231">
        <v>13.95</v>
      </c>
      <c r="F1093" s="1016"/>
      <c r="G1093" s="1152" t="s">
        <v>9</v>
      </c>
    </row>
    <row r="1094" spans="1:7" ht="14.25" thickBot="1">
      <c r="A1094" s="884">
        <v>44925</v>
      </c>
      <c r="B1094" s="240" t="str">
        <f>TiposLancamentos!B17</f>
        <v>GATO</v>
      </c>
      <c r="C1094" s="878" t="s">
        <v>11347</v>
      </c>
      <c r="D1094" s="63"/>
      <c r="E1094" s="231">
        <f>F1094/10</f>
        <v>121.1</v>
      </c>
      <c r="F1094" s="1016">
        <v>1211</v>
      </c>
      <c r="G1094" s="1152" t="s">
        <v>9</v>
      </c>
    </row>
    <row r="1095" spans="1:7">
      <c r="A1095" s="1032"/>
      <c r="B1095" s="1230"/>
      <c r="C1095" s="906" t="s">
        <v>1618</v>
      </c>
      <c r="D1095" s="896"/>
      <c r="E1095" s="925"/>
      <c r="F1095" s="1034">
        <f>SUM(E1081:E1089)</f>
        <v>401.97</v>
      </c>
      <c r="G1095" s="3"/>
    </row>
    <row r="1096" spans="1:7">
      <c r="A1096" s="884">
        <v>44927</v>
      </c>
      <c r="B1096" s="240" t="str">
        <f>TiposLancamentos!B15</f>
        <v>Cartões de Crédito</v>
      </c>
      <c r="C1096" s="878" t="s">
        <v>1874</v>
      </c>
      <c r="D1096" s="63">
        <v>401.97</v>
      </c>
      <c r="E1096" s="231"/>
      <c r="F1096" s="1016">
        <f>F1095-F1086</f>
        <v>-301.24999999999989</v>
      </c>
      <c r="G1096" s="1152" t="s">
        <v>9</v>
      </c>
    </row>
    <row r="1097" spans="1:7">
      <c r="A1097" s="884">
        <v>44942</v>
      </c>
      <c r="B1097" s="240" t="str">
        <f>TiposLancamentos!B71</f>
        <v>Itens Pessoais</v>
      </c>
      <c r="C1097" s="878" t="s">
        <v>11348</v>
      </c>
      <c r="D1097" s="63"/>
      <c r="E1097" s="231">
        <v>204.12</v>
      </c>
      <c r="F1097" s="1016">
        <v>816.5</v>
      </c>
      <c r="G1097" s="1152" t="s">
        <v>9</v>
      </c>
    </row>
    <row r="1098" spans="1:7">
      <c r="A1098" s="934"/>
      <c r="B1098" s="243"/>
      <c r="C1098" s="389" t="s">
        <v>10</v>
      </c>
      <c r="D1098" s="146"/>
      <c r="E1098" s="146"/>
      <c r="F1098" s="1231"/>
      <c r="G1098" s="1094" t="s">
        <v>11</v>
      </c>
    </row>
    <row r="1099" spans="1:7">
      <c r="A1099" s="884">
        <v>44953</v>
      </c>
      <c r="B1099" s="240" t="str">
        <f>TiposLancamentos!B17</f>
        <v>GATO</v>
      </c>
      <c r="C1099" s="878" t="s">
        <v>11349</v>
      </c>
      <c r="D1099" s="63"/>
      <c r="E1099" s="231">
        <v>248.15</v>
      </c>
      <c r="F1099" s="1016">
        <v>2977.91</v>
      </c>
      <c r="G1099" s="1094" t="s">
        <v>11</v>
      </c>
    </row>
    <row r="1100" spans="1:7">
      <c r="A1100" s="884">
        <v>44954</v>
      </c>
      <c r="B1100" s="240" t="str">
        <f>TiposLancamentos!B45</f>
        <v>Online Services</v>
      </c>
      <c r="C1100" s="878" t="s">
        <v>1895</v>
      </c>
      <c r="D1100" s="63"/>
      <c r="E1100" s="231">
        <v>34.9</v>
      </c>
      <c r="F1100" s="1016"/>
      <c r="G1100" s="1152" t="s">
        <v>9</v>
      </c>
    </row>
    <row r="1101" spans="1:7">
      <c r="A1101" s="884">
        <v>44954</v>
      </c>
      <c r="B1101" s="240" t="str">
        <f>TiposLancamentos!B45</f>
        <v>Online Services</v>
      </c>
      <c r="C1101" s="878" t="s">
        <v>11324</v>
      </c>
      <c r="D1101" s="63"/>
      <c r="E1101" s="231">
        <v>27.9</v>
      </c>
      <c r="F1101" s="1016"/>
      <c r="G1101" s="1152" t="s">
        <v>9</v>
      </c>
    </row>
    <row r="1102" spans="1:7">
      <c r="A1102" s="884">
        <v>44956</v>
      </c>
      <c r="B1102" s="240" t="str">
        <f>TiposLancamentos!B45</f>
        <v>Online Services</v>
      </c>
      <c r="C1102" s="878" t="s">
        <v>1901</v>
      </c>
      <c r="D1102" s="63"/>
      <c r="E1102" s="231">
        <v>13.95</v>
      </c>
      <c r="F1102" s="1016"/>
      <c r="G1102" s="1152" t="s">
        <v>9</v>
      </c>
    </row>
    <row r="1103" spans="1:7" ht="14.25" thickBot="1">
      <c r="A1103" s="884">
        <v>44956</v>
      </c>
      <c r="B1103" s="240" t="str">
        <f>TiposLancamentos!B17</f>
        <v>GATO</v>
      </c>
      <c r="C1103" s="878" t="s">
        <v>11350</v>
      </c>
      <c r="D1103" s="63"/>
      <c r="E1103" s="231">
        <f>F1103/10</f>
        <v>121.1</v>
      </c>
      <c r="F1103" s="1016">
        <v>1211</v>
      </c>
      <c r="G1103" s="1152" t="s">
        <v>9</v>
      </c>
    </row>
    <row r="1104" spans="1:7">
      <c r="A1104" s="1032"/>
      <c r="B1104" s="1230"/>
      <c r="C1104" s="906" t="s">
        <v>1619</v>
      </c>
      <c r="D1104" s="896"/>
      <c r="E1104" s="925"/>
      <c r="F1104" s="1034">
        <f>SUM(E1089:E1098)</f>
        <v>650.2299999999999</v>
      </c>
      <c r="G1104" s="3"/>
    </row>
    <row r="1105" spans="1:7">
      <c r="A1105" s="884">
        <v>44958</v>
      </c>
      <c r="B1105" s="240" t="str">
        <f>TiposLancamentos!B15</f>
        <v>Cartões de Crédito</v>
      </c>
      <c r="C1105" s="878" t="s">
        <v>1874</v>
      </c>
      <c r="D1105" s="63">
        <v>650.23</v>
      </c>
      <c r="E1105" s="231"/>
      <c r="F1105" s="1016">
        <f>F1104-F1095</f>
        <v>248.25999999999988</v>
      </c>
      <c r="G1105" s="1152" t="s">
        <v>9</v>
      </c>
    </row>
    <row r="1106" spans="1:7">
      <c r="A1106" s="884">
        <v>44965</v>
      </c>
      <c r="B1106" s="240" t="str">
        <f>TiposLancamentos!B54</f>
        <v>Metro</v>
      </c>
      <c r="C1106" s="878" t="s">
        <v>11351</v>
      </c>
      <c r="D1106" s="63"/>
      <c r="E1106" s="231">
        <v>88</v>
      </c>
      <c r="F1106" s="1016"/>
      <c r="G1106" s="1152" t="s">
        <v>9</v>
      </c>
    </row>
    <row r="1107" spans="1:7">
      <c r="A1107" s="884">
        <v>44973</v>
      </c>
      <c r="B1107" s="240" t="str">
        <f>TiposLancamentos!B71</f>
        <v>Itens Pessoais</v>
      </c>
      <c r="C1107" s="878" t="s">
        <v>11352</v>
      </c>
      <c r="D1107" s="63"/>
      <c r="E1107" s="231">
        <v>204.12</v>
      </c>
      <c r="F1107" s="1016">
        <v>816.5</v>
      </c>
      <c r="G1107" s="1152" t="s">
        <v>9</v>
      </c>
    </row>
    <row r="1108" spans="1:7">
      <c r="A1108" s="884">
        <v>44973</v>
      </c>
      <c r="B1108" s="240" t="str">
        <f>TiposLancamentos!B17</f>
        <v>GATO</v>
      </c>
      <c r="C1108" s="878" t="s">
        <v>11353</v>
      </c>
      <c r="D1108" s="63"/>
      <c r="E1108" s="231">
        <f t="shared" ref="E1108:E1117" si="0">248.15-11.11</f>
        <v>237.04000000000002</v>
      </c>
      <c r="F1108" s="1016">
        <v>2977.91</v>
      </c>
      <c r="G1108" s="1152" t="s">
        <v>9</v>
      </c>
    </row>
    <row r="1109" spans="1:7">
      <c r="A1109" s="884">
        <v>44973</v>
      </c>
      <c r="B1109" s="240" t="str">
        <f>TiposLancamentos!B17</f>
        <v>GATO</v>
      </c>
      <c r="C1109" s="878" t="s">
        <v>11354</v>
      </c>
      <c r="D1109" s="63"/>
      <c r="E1109" s="231">
        <f t="shared" si="0"/>
        <v>237.04000000000002</v>
      </c>
      <c r="F1109" s="1016">
        <v>2977.91</v>
      </c>
      <c r="G1109" s="1152" t="s">
        <v>9</v>
      </c>
    </row>
    <row r="1110" spans="1:7">
      <c r="A1110" s="884">
        <v>44973</v>
      </c>
      <c r="B1110" s="240" t="str">
        <f>TiposLancamentos!B17</f>
        <v>GATO</v>
      </c>
      <c r="C1110" s="878" t="s">
        <v>11355</v>
      </c>
      <c r="D1110" s="63"/>
      <c r="E1110" s="231">
        <f t="shared" si="0"/>
        <v>237.04000000000002</v>
      </c>
      <c r="F1110" s="1016">
        <v>2977.91</v>
      </c>
      <c r="G1110" s="1152" t="s">
        <v>9</v>
      </c>
    </row>
    <row r="1111" spans="1:7">
      <c r="A1111" s="884">
        <v>44973</v>
      </c>
      <c r="B1111" s="240" t="str">
        <f>TiposLancamentos!B17</f>
        <v>GATO</v>
      </c>
      <c r="C1111" s="878" t="s">
        <v>11356</v>
      </c>
      <c r="D1111" s="63"/>
      <c r="E1111" s="231">
        <f t="shared" si="0"/>
        <v>237.04000000000002</v>
      </c>
      <c r="F1111" s="1016">
        <v>2977.91</v>
      </c>
      <c r="G1111" s="1152" t="s">
        <v>9</v>
      </c>
    </row>
    <row r="1112" spans="1:7">
      <c r="A1112" s="884">
        <v>44973</v>
      </c>
      <c r="B1112" s="240" t="str">
        <f>TiposLancamentos!B17</f>
        <v>GATO</v>
      </c>
      <c r="C1112" s="878" t="s">
        <v>11357</v>
      </c>
      <c r="D1112" s="63"/>
      <c r="E1112" s="231">
        <f t="shared" si="0"/>
        <v>237.04000000000002</v>
      </c>
      <c r="F1112" s="1016">
        <v>2977.91</v>
      </c>
      <c r="G1112" s="1152" t="s">
        <v>9</v>
      </c>
    </row>
    <row r="1113" spans="1:7">
      <c r="A1113" s="884">
        <v>44973</v>
      </c>
      <c r="B1113" s="240" t="str">
        <f>TiposLancamentos!B17</f>
        <v>GATO</v>
      </c>
      <c r="C1113" s="878" t="s">
        <v>11358</v>
      </c>
      <c r="D1113" s="63"/>
      <c r="E1113" s="231">
        <f t="shared" si="0"/>
        <v>237.04000000000002</v>
      </c>
      <c r="F1113" s="1016">
        <v>2977.91</v>
      </c>
      <c r="G1113" s="1152" t="s">
        <v>9</v>
      </c>
    </row>
    <row r="1114" spans="1:7">
      <c r="A1114" s="884">
        <v>44973</v>
      </c>
      <c r="B1114" s="240" t="str">
        <f>TiposLancamentos!B17</f>
        <v>GATO</v>
      </c>
      <c r="C1114" s="878" t="s">
        <v>11359</v>
      </c>
      <c r="D1114" s="63"/>
      <c r="E1114" s="231">
        <f t="shared" si="0"/>
        <v>237.04000000000002</v>
      </c>
      <c r="F1114" s="1016">
        <v>2977.91</v>
      </c>
      <c r="G1114" s="1152" t="s">
        <v>9</v>
      </c>
    </row>
    <row r="1115" spans="1:7">
      <c r="A1115" s="884">
        <v>44973</v>
      </c>
      <c r="B1115" s="240" t="str">
        <f>TiposLancamentos!B17</f>
        <v>GATO</v>
      </c>
      <c r="C1115" s="878" t="s">
        <v>11360</v>
      </c>
      <c r="D1115" s="63"/>
      <c r="E1115" s="231">
        <f t="shared" si="0"/>
        <v>237.04000000000002</v>
      </c>
      <c r="F1115" s="1016">
        <v>2977.91</v>
      </c>
      <c r="G1115" s="1152" t="s">
        <v>9</v>
      </c>
    </row>
    <row r="1116" spans="1:7">
      <c r="A1116" s="884">
        <v>44973</v>
      </c>
      <c r="B1116" s="240" t="str">
        <f>TiposLancamentos!B17</f>
        <v>GATO</v>
      </c>
      <c r="C1116" s="878" t="s">
        <v>11361</v>
      </c>
      <c r="D1116" s="63"/>
      <c r="E1116" s="231">
        <f t="shared" si="0"/>
        <v>237.04000000000002</v>
      </c>
      <c r="F1116" s="1016">
        <v>2977.91</v>
      </c>
      <c r="G1116" s="1152" t="s">
        <v>9</v>
      </c>
    </row>
    <row r="1117" spans="1:7">
      <c r="A1117" s="884">
        <v>44973</v>
      </c>
      <c r="B1117" s="240" t="str">
        <f>TiposLancamentos!B17</f>
        <v>GATO</v>
      </c>
      <c r="C1117" s="878" t="s">
        <v>11362</v>
      </c>
      <c r="D1117" s="63"/>
      <c r="E1117" s="231">
        <f t="shared" si="0"/>
        <v>237.04000000000002</v>
      </c>
      <c r="F1117" s="1016">
        <v>2977.91</v>
      </c>
      <c r="G1117" s="1152" t="s">
        <v>9</v>
      </c>
    </row>
    <row r="1118" spans="1:7">
      <c r="A1118" s="884">
        <v>44973</v>
      </c>
      <c r="B1118" s="240" t="str">
        <f>TiposLancamentos!B17</f>
        <v>GATO</v>
      </c>
      <c r="C1118" s="878" t="s">
        <v>11363</v>
      </c>
      <c r="D1118" s="63"/>
      <c r="E1118" s="231">
        <f>121.1-2.505</f>
        <v>118.595</v>
      </c>
      <c r="F1118" s="1016">
        <v>1211</v>
      </c>
      <c r="G1118" s="1152" t="s">
        <v>9</v>
      </c>
    </row>
    <row r="1119" spans="1:7">
      <c r="A1119" s="884">
        <v>44973</v>
      </c>
      <c r="B1119" s="240" t="str">
        <f>TiposLancamentos!B17</f>
        <v>GATO</v>
      </c>
      <c r="C1119" s="878" t="s">
        <v>11364</v>
      </c>
      <c r="D1119" s="63"/>
      <c r="E1119" s="231">
        <f>121.1-2.505</f>
        <v>118.595</v>
      </c>
      <c r="F1119" s="1016">
        <v>1211</v>
      </c>
      <c r="G1119" s="1152" t="s">
        <v>9</v>
      </c>
    </row>
    <row r="1120" spans="1:7">
      <c r="A1120" s="884">
        <v>44973</v>
      </c>
      <c r="B1120" s="240" t="str">
        <f>TiposLancamentos!B17</f>
        <v>GATO</v>
      </c>
      <c r="C1120" s="878" t="s">
        <v>11365</v>
      </c>
      <c r="D1120" s="63"/>
      <c r="E1120" s="231">
        <f>121.1-2.505</f>
        <v>118.595</v>
      </c>
      <c r="F1120" s="1016">
        <v>1211</v>
      </c>
      <c r="G1120" s="1152" t="s">
        <v>9</v>
      </c>
    </row>
    <row r="1121" spans="1:7">
      <c r="A1121" s="884">
        <v>44973</v>
      </c>
      <c r="B1121" s="240" t="str">
        <f>TiposLancamentos!B17</f>
        <v>GATO</v>
      </c>
      <c r="C1121" s="878" t="s">
        <v>11366</v>
      </c>
      <c r="D1121" s="63"/>
      <c r="E1121" s="231">
        <f>121.1-2.505</f>
        <v>118.595</v>
      </c>
      <c r="F1121" s="1016">
        <v>1211</v>
      </c>
      <c r="G1121" s="1152" t="s">
        <v>9</v>
      </c>
    </row>
    <row r="1122" spans="1:7">
      <c r="A1122" s="934"/>
      <c r="B1122" s="243"/>
      <c r="C1122" s="389" t="s">
        <v>10</v>
      </c>
      <c r="D1122" s="146"/>
      <c r="E1122" s="146"/>
      <c r="F1122" s="1231"/>
      <c r="G1122" s="1152" t="s">
        <v>9</v>
      </c>
    </row>
    <row r="1123" spans="1:7">
      <c r="A1123" s="884">
        <v>44985</v>
      </c>
      <c r="B1123" s="240" t="str">
        <f>TiposLancamentos!B45</f>
        <v>Online Services</v>
      </c>
      <c r="C1123" s="878" t="s">
        <v>1895</v>
      </c>
      <c r="D1123" s="63"/>
      <c r="E1123" s="231">
        <v>34.9</v>
      </c>
      <c r="F1123" s="1016"/>
      <c r="G1123" s="1152" t="s">
        <v>9</v>
      </c>
    </row>
    <row r="1124" spans="1:7" ht="14.25" thickBot="1">
      <c r="A1124" s="884">
        <v>44985</v>
      </c>
      <c r="B1124" s="240" t="str">
        <f>TiposLancamentos!B45</f>
        <v>Online Services</v>
      </c>
      <c r="C1124" s="878" t="s">
        <v>1901</v>
      </c>
      <c r="D1124" s="63"/>
      <c r="E1124" s="231">
        <v>13.95</v>
      </c>
      <c r="F1124" s="1016"/>
      <c r="G1124" s="1152" t="s">
        <v>9</v>
      </c>
    </row>
    <row r="1125" spans="1:7">
      <c r="A1125" s="1032"/>
      <c r="B1125" s="1230"/>
      <c r="C1125" s="906" t="s">
        <v>1620</v>
      </c>
      <c r="D1125" s="896"/>
      <c r="E1125" s="925"/>
      <c r="F1125" s="1034">
        <f>SUM(E1098:E1122)</f>
        <v>3582.8999999999992</v>
      </c>
      <c r="G1125" s="3"/>
    </row>
    <row r="1126" spans="1:7">
      <c r="A1126" s="884">
        <v>44986</v>
      </c>
      <c r="B1126" s="240" t="str">
        <f>TiposLancamentos!B15</f>
        <v>Cartões de Crédito</v>
      </c>
      <c r="C1126" s="878" t="s">
        <v>1874</v>
      </c>
      <c r="D1126" s="63">
        <v>3582.9</v>
      </c>
      <c r="E1126" s="231"/>
      <c r="F1126" s="1016">
        <f>F1125-F1104</f>
        <v>2932.6699999999992</v>
      </c>
      <c r="G1126" s="1152" t="s">
        <v>9</v>
      </c>
    </row>
    <row r="1127" spans="1:7">
      <c r="A1127" s="884">
        <v>44994</v>
      </c>
      <c r="B1127" s="240" t="str">
        <f>TiposLancamentos!B54</f>
        <v>Metro</v>
      </c>
      <c r="C1127" s="878" t="s">
        <v>11351</v>
      </c>
      <c r="D1127" s="63"/>
      <c r="E1127" s="231">
        <v>88</v>
      </c>
      <c r="F1127" s="1016"/>
      <c r="G1127" s="1152" t="s">
        <v>9</v>
      </c>
    </row>
    <row r="1128" spans="1:7">
      <c r="A1128" s="934"/>
      <c r="B1128" s="243"/>
      <c r="C1128" s="389" t="s">
        <v>10</v>
      </c>
      <c r="D1128" s="146"/>
      <c r="E1128" s="146"/>
      <c r="F1128" s="1231"/>
      <c r="G1128" s="1094" t="s">
        <v>11</v>
      </c>
    </row>
    <row r="1129" spans="1:7">
      <c r="A1129" s="884">
        <v>45013</v>
      </c>
      <c r="B1129" s="240" t="str">
        <f>TiposLancamentos!B45</f>
        <v>Online Services</v>
      </c>
      <c r="C1129" s="878" t="s">
        <v>1895</v>
      </c>
      <c r="D1129" s="63"/>
      <c r="E1129" s="231">
        <v>34.9</v>
      </c>
      <c r="F1129" s="1016"/>
      <c r="G1129" s="1152" t="s">
        <v>9</v>
      </c>
    </row>
    <row r="1130" spans="1:7" ht="14.25" thickBot="1">
      <c r="A1130" s="884">
        <v>45015</v>
      </c>
      <c r="B1130" s="240" t="str">
        <f>TiposLancamentos!B45</f>
        <v>Online Services</v>
      </c>
      <c r="C1130" s="878" t="s">
        <v>1901</v>
      </c>
      <c r="D1130" s="63"/>
      <c r="E1130" s="231">
        <v>13.95</v>
      </c>
      <c r="F1130" s="1016"/>
      <c r="G1130" s="1152" t="s">
        <v>9</v>
      </c>
    </row>
    <row r="1131" spans="1:7">
      <c r="A1131" s="1032"/>
      <c r="B1131" s="1230"/>
      <c r="C1131" s="906" t="s">
        <v>1621</v>
      </c>
      <c r="D1131" s="896"/>
      <c r="E1131" s="925"/>
      <c r="F1131" s="1034">
        <f>SUM(E1122:E1128)</f>
        <v>136.85</v>
      </c>
      <c r="G1131" s="3"/>
    </row>
    <row r="1132" spans="1:7">
      <c r="A1132" s="884">
        <v>45018</v>
      </c>
      <c r="B1132" s="240" t="str">
        <f>TiposLancamentos!B15</f>
        <v>Cartões de Crédito</v>
      </c>
      <c r="C1132" s="878" t="s">
        <v>1874</v>
      </c>
      <c r="D1132" s="63">
        <v>136.85</v>
      </c>
      <c r="E1132" s="231"/>
      <c r="F1132" s="1016">
        <f>F1131-F1125</f>
        <v>-3446.0499999999993</v>
      </c>
      <c r="G1132" s="1152" t="s">
        <v>9</v>
      </c>
    </row>
    <row r="1133" spans="1:7">
      <c r="A1133" s="884">
        <v>45020</v>
      </c>
      <c r="B1133" s="240" t="str">
        <f>TiposLancamentos!B57</f>
        <v>Informática</v>
      </c>
      <c r="C1133" s="878" t="s">
        <v>11367</v>
      </c>
      <c r="D1133" s="63"/>
      <c r="E1133" s="231">
        <v>99.9</v>
      </c>
      <c r="F1133" s="1016"/>
      <c r="G1133" s="1152" t="s">
        <v>9</v>
      </c>
    </row>
    <row r="1134" spans="1:7">
      <c r="A1134" s="884">
        <v>45033</v>
      </c>
      <c r="B1134" s="240" t="str">
        <f>TiposLancamentos!B54</f>
        <v>Metro</v>
      </c>
      <c r="C1134" s="878" t="s">
        <v>11351</v>
      </c>
      <c r="D1134" s="63"/>
      <c r="E1134" s="231">
        <v>88</v>
      </c>
      <c r="F1134" s="1016"/>
      <c r="G1134" s="1152" t="s">
        <v>9</v>
      </c>
    </row>
    <row r="1135" spans="1:7">
      <c r="A1135" s="934"/>
      <c r="B1135" s="243"/>
      <c r="C1135" s="389" t="s">
        <v>10</v>
      </c>
      <c r="D1135" s="146"/>
      <c r="E1135" s="146"/>
      <c r="F1135" s="1231"/>
      <c r="G1135" s="1094" t="s">
        <v>11</v>
      </c>
    </row>
    <row r="1136" spans="1:7">
      <c r="A1136" s="884">
        <v>45040</v>
      </c>
      <c r="B1136" s="240" t="str">
        <f>TiposLancamentos!B57</f>
        <v>Informática</v>
      </c>
      <c r="C1136" s="878" t="s">
        <v>11368</v>
      </c>
      <c r="D1136" s="63"/>
      <c r="E1136" s="231">
        <v>125.14</v>
      </c>
      <c r="F1136" s="1016">
        <f>E1136*5</f>
        <v>625.70000000000005</v>
      </c>
      <c r="G1136" s="1152" t="s">
        <v>9</v>
      </c>
    </row>
    <row r="1137" spans="1:7">
      <c r="A1137" s="884">
        <v>45040</v>
      </c>
      <c r="B1137" s="240" t="str">
        <f>TiposLancamentos!B57</f>
        <v>Informática</v>
      </c>
      <c r="C1137" s="878" t="s">
        <v>11369</v>
      </c>
      <c r="D1137" s="63"/>
      <c r="E1137" s="231">
        <v>86.53</v>
      </c>
      <c r="F1137" s="1016">
        <f>E1137*5</f>
        <v>432.65</v>
      </c>
      <c r="G1137" s="1152" t="s">
        <v>9</v>
      </c>
    </row>
    <row r="1138" spans="1:7">
      <c r="A1138" s="884">
        <v>45044</v>
      </c>
      <c r="B1138" s="240" t="str">
        <f>TiposLancamentos!B45</f>
        <v>Online Services</v>
      </c>
      <c r="C1138" s="878" t="s">
        <v>1895</v>
      </c>
      <c r="D1138" s="63"/>
      <c r="E1138" s="231">
        <v>34.9</v>
      </c>
      <c r="F1138" s="1016"/>
      <c r="G1138" s="1152" t="s">
        <v>9</v>
      </c>
    </row>
    <row r="1139" spans="1:7" ht="14.25" thickBot="1">
      <c r="A1139" s="884">
        <v>45046</v>
      </c>
      <c r="B1139" s="240" t="str">
        <f>TiposLancamentos!B45</f>
        <v>Online Services</v>
      </c>
      <c r="C1139" s="878" t="s">
        <v>1901</v>
      </c>
      <c r="D1139" s="63"/>
      <c r="E1139" s="231">
        <v>17.45</v>
      </c>
      <c r="F1139" s="1016"/>
      <c r="G1139" s="1152" t="s">
        <v>9</v>
      </c>
    </row>
    <row r="1140" spans="1:7">
      <c r="A1140" s="1032"/>
      <c r="B1140" s="1230"/>
      <c r="C1140" s="906" t="s">
        <v>1622</v>
      </c>
      <c r="D1140" s="896"/>
      <c r="E1140" s="925"/>
      <c r="F1140" s="1034">
        <f>SUM(E1128:E1135)</f>
        <v>236.75</v>
      </c>
      <c r="G1140" s="3"/>
    </row>
    <row r="1141" spans="1:7">
      <c r="A1141" s="884">
        <v>45047</v>
      </c>
      <c r="B1141" s="240" t="str">
        <f>TiposLancamentos!B15</f>
        <v>Cartões de Crédito</v>
      </c>
      <c r="C1141" s="878" t="s">
        <v>1874</v>
      </c>
      <c r="D1141" s="63">
        <v>236.75</v>
      </c>
      <c r="E1141" s="231"/>
      <c r="F1141" s="1016">
        <f>F1140-F1131</f>
        <v>99.9</v>
      </c>
      <c r="G1141" s="1152" t="s">
        <v>9</v>
      </c>
    </row>
    <row r="1142" spans="1:7">
      <c r="A1142" s="1684">
        <v>45052</v>
      </c>
      <c r="B1142" s="822" t="str">
        <f>TiposLancamentos!B36</f>
        <v>Playstation 2</v>
      </c>
      <c r="C1142" s="1396" t="s">
        <v>11370</v>
      </c>
      <c r="D1142" s="747"/>
      <c r="E1142" s="1139">
        <v>165.34</v>
      </c>
      <c r="F1142" s="1454" t="s">
        <v>11371</v>
      </c>
      <c r="G1142" s="1152" t="s">
        <v>9</v>
      </c>
    </row>
    <row r="1143" spans="1:7">
      <c r="A1143" s="1685">
        <v>45052</v>
      </c>
      <c r="B1143" s="823" t="str">
        <f>TiposLancamentos!B4</f>
        <v>Taxas Bancarias</v>
      </c>
      <c r="C1143" s="1448" t="s">
        <v>11372</v>
      </c>
      <c r="D1143" s="849"/>
      <c r="E1143" s="1141">
        <v>8.9</v>
      </c>
      <c r="F1143" s="1456">
        <f>SUM(E1142:E1143)</f>
        <v>174.24</v>
      </c>
      <c r="G1143" s="1152" t="s">
        <v>9</v>
      </c>
    </row>
    <row r="1144" spans="1:7">
      <c r="A1144" s="1684">
        <v>45056</v>
      </c>
      <c r="B1144" s="822" t="str">
        <f>TiposLancamentos!B102</f>
        <v>ESTORNO</v>
      </c>
      <c r="C1144" s="1396" t="s">
        <v>11370</v>
      </c>
      <c r="D1144" s="747">
        <f>E1142</f>
        <v>165.34</v>
      </c>
      <c r="E1144" s="1139"/>
      <c r="F1144" s="1454"/>
      <c r="G1144" s="1152" t="s">
        <v>9</v>
      </c>
    </row>
    <row r="1145" spans="1:7">
      <c r="A1145" s="1685">
        <v>45056</v>
      </c>
      <c r="B1145" s="823" t="str">
        <f>TiposLancamentos!B102</f>
        <v>ESTORNO</v>
      </c>
      <c r="C1145" s="1448" t="s">
        <v>11372</v>
      </c>
      <c r="D1145" s="849">
        <v>8.9</v>
      </c>
      <c r="E1145" s="1141"/>
      <c r="F1145" s="1456"/>
      <c r="G1145" s="1152" t="s">
        <v>9</v>
      </c>
    </row>
    <row r="1146" spans="1:7">
      <c r="A1146" s="884">
        <v>45061</v>
      </c>
      <c r="B1146" s="240" t="str">
        <f>TiposLancamentos!B54</f>
        <v>Metro</v>
      </c>
      <c r="C1146" s="878" t="s">
        <v>11351</v>
      </c>
      <c r="D1146" s="63"/>
      <c r="E1146" s="231">
        <v>96.8</v>
      </c>
      <c r="F1146" s="1016"/>
      <c r="G1146" s="1094" t="s">
        <v>11</v>
      </c>
    </row>
    <row r="1147" spans="1:7">
      <c r="A1147" s="884">
        <v>45061</v>
      </c>
      <c r="B1147" s="240" t="str">
        <f>TiposLancamentos!B54</f>
        <v>Metro</v>
      </c>
      <c r="C1147" s="878" t="s">
        <v>11373</v>
      </c>
      <c r="D1147" s="63"/>
      <c r="E1147" s="231">
        <v>8.8000000000000007</v>
      </c>
      <c r="F1147" s="1016"/>
      <c r="G1147" s="1152" t="s">
        <v>9</v>
      </c>
    </row>
    <row r="1148" spans="1:7">
      <c r="A1148" s="1684">
        <v>45061</v>
      </c>
      <c r="B1148" s="822" t="str">
        <f>TiposLancamentos!B36</f>
        <v>Playstation 2</v>
      </c>
      <c r="C1148" s="1396" t="s">
        <v>11374</v>
      </c>
      <c r="D1148" s="747"/>
      <c r="E1148" s="1139">
        <v>216.27</v>
      </c>
      <c r="F1148" s="1454" t="s">
        <v>11375</v>
      </c>
      <c r="G1148" s="1152" t="s">
        <v>9</v>
      </c>
    </row>
    <row r="1149" spans="1:7">
      <c r="A1149" s="1685">
        <v>45061</v>
      </c>
      <c r="B1149" s="823" t="str">
        <f>TiposLancamentos!B4</f>
        <v>Taxas Bancarias</v>
      </c>
      <c r="C1149" s="1448" t="s">
        <v>11376</v>
      </c>
      <c r="D1149" s="849"/>
      <c r="E1149" s="1141">
        <f>F1149-E1148</f>
        <v>11.639999999999986</v>
      </c>
      <c r="F1149" s="1456">
        <v>227.91</v>
      </c>
      <c r="G1149" s="1152" t="s">
        <v>9</v>
      </c>
    </row>
    <row r="1150" spans="1:7">
      <c r="A1150" s="884">
        <v>45063</v>
      </c>
      <c r="B1150" s="240" t="str">
        <f>TiposLancamentos!B54</f>
        <v>Metro</v>
      </c>
      <c r="C1150" s="878" t="s">
        <v>11377</v>
      </c>
      <c r="D1150" s="63"/>
      <c r="E1150" s="231">
        <v>8.8000000000000007</v>
      </c>
      <c r="F1150" s="1016"/>
      <c r="G1150" s="1152" t="s">
        <v>9</v>
      </c>
    </row>
    <row r="1151" spans="1:7">
      <c r="A1151" s="884">
        <v>45063</v>
      </c>
      <c r="B1151" s="240" t="str">
        <f>TiposLancamentos!B54</f>
        <v>Metro</v>
      </c>
      <c r="C1151" s="878" t="s">
        <v>11377</v>
      </c>
      <c r="D1151" s="63"/>
      <c r="E1151" s="231">
        <v>8.8000000000000007</v>
      </c>
      <c r="F1151" s="1016"/>
      <c r="G1151" s="1152" t="s">
        <v>9</v>
      </c>
    </row>
    <row r="1152" spans="1:7">
      <c r="A1152" s="884">
        <v>45064</v>
      </c>
      <c r="B1152" s="240" t="str">
        <f>TiposLancamentos!B102</f>
        <v>ESTORNO</v>
      </c>
      <c r="C1152" s="878" t="str">
        <f>C1146</f>
        <v>Trabalho: Credito TOPs</v>
      </c>
      <c r="D1152" s="63">
        <f>E1146</f>
        <v>96.8</v>
      </c>
      <c r="E1152" s="231"/>
      <c r="F1152" s="1016"/>
      <c r="G1152" s="1152" t="s">
        <v>9</v>
      </c>
    </row>
    <row r="1153" spans="1:7">
      <c r="A1153" s="884">
        <v>45068</v>
      </c>
      <c r="B1153" s="240" t="str">
        <f>TiposLancamentos!B54</f>
        <v>Metro</v>
      </c>
      <c r="C1153" s="878" t="s">
        <v>11377</v>
      </c>
      <c r="D1153" s="63"/>
      <c r="E1153" s="231">
        <f>F1153*4</f>
        <v>17.600000000000001</v>
      </c>
      <c r="F1153" s="1016">
        <v>4.4000000000000004</v>
      </c>
      <c r="G1153" s="1152" t="s">
        <v>9</v>
      </c>
    </row>
    <row r="1154" spans="1:7">
      <c r="A1154" s="934"/>
      <c r="B1154" s="243"/>
      <c r="C1154" s="389" t="s">
        <v>10</v>
      </c>
      <c r="D1154" s="146"/>
      <c r="E1154" s="146"/>
      <c r="F1154" s="1231"/>
      <c r="G1154" s="1094" t="s">
        <v>11</v>
      </c>
    </row>
    <row r="1155" spans="1:7">
      <c r="A1155" s="884">
        <v>45070</v>
      </c>
      <c r="B1155" s="240" t="str">
        <f>TiposLancamentos!B57</f>
        <v>Informática</v>
      </c>
      <c r="C1155" s="878" t="s">
        <v>11378</v>
      </c>
      <c r="D1155" s="63"/>
      <c r="E1155" s="231">
        <v>125.13</v>
      </c>
      <c r="F1155" s="1016">
        <f>E1155*5</f>
        <v>625.65</v>
      </c>
      <c r="G1155" s="1152" t="s">
        <v>9</v>
      </c>
    </row>
    <row r="1156" spans="1:7">
      <c r="A1156" s="884">
        <v>45070</v>
      </c>
      <c r="B1156" s="240" t="str">
        <f>TiposLancamentos!B57</f>
        <v>Informática</v>
      </c>
      <c r="C1156" s="878" t="s">
        <v>11379</v>
      </c>
      <c r="D1156" s="63"/>
      <c r="E1156" s="231">
        <v>86.53</v>
      </c>
      <c r="F1156" s="1016">
        <f>E1156*5</f>
        <v>432.65</v>
      </c>
      <c r="G1156" s="1152" t="s">
        <v>9</v>
      </c>
    </row>
    <row r="1157" spans="1:7">
      <c r="A1157" s="884">
        <v>45071</v>
      </c>
      <c r="B1157" s="240" t="str">
        <f>TiposLancamentos!B54</f>
        <v>Metro</v>
      </c>
      <c r="C1157" s="878" t="s">
        <v>11377</v>
      </c>
      <c r="D1157" s="63"/>
      <c r="E1157" s="231">
        <v>17.600000000000001</v>
      </c>
      <c r="F1157" s="1016"/>
      <c r="G1157" s="1152" t="s">
        <v>9</v>
      </c>
    </row>
    <row r="1158" spans="1:7">
      <c r="A1158" s="884">
        <v>45074</v>
      </c>
      <c r="B1158" s="240" t="str">
        <f>TiposLancamentos!B45</f>
        <v>Online Services</v>
      </c>
      <c r="C1158" s="878" t="s">
        <v>1895</v>
      </c>
      <c r="D1158" s="63"/>
      <c r="E1158" s="231">
        <v>34.9</v>
      </c>
      <c r="F1158" s="1016"/>
      <c r="G1158" s="1152" t="s">
        <v>9</v>
      </c>
    </row>
    <row r="1159" spans="1:7">
      <c r="A1159" s="884">
        <v>45076</v>
      </c>
      <c r="B1159" s="240" t="str">
        <f>TiposLancamentos!B45</f>
        <v>Online Services</v>
      </c>
      <c r="C1159" s="878" t="s">
        <v>1901</v>
      </c>
      <c r="D1159" s="63"/>
      <c r="E1159" s="231">
        <v>17.45</v>
      </c>
      <c r="F1159" s="1016"/>
      <c r="G1159" s="1152" t="s">
        <v>9</v>
      </c>
    </row>
    <row r="1160" spans="1:7" ht="14.25" thickBot="1">
      <c r="A1160" s="884"/>
      <c r="B1160" s="240"/>
      <c r="C1160" s="878" t="s">
        <v>1868</v>
      </c>
      <c r="D1160" s="63"/>
      <c r="E1160" s="231"/>
      <c r="F1160" s="1016"/>
      <c r="G1160" s="1152" t="s">
        <v>9</v>
      </c>
    </row>
    <row r="1161" spans="1:7">
      <c r="A1161" s="1032"/>
      <c r="B1161" s="1230"/>
      <c r="C1161" s="906" t="s">
        <v>1623</v>
      </c>
      <c r="D1161" s="896"/>
      <c r="E1161" s="925"/>
      <c r="F1161" s="1034">
        <f>SUM(E1135:E1154)-(D1144+D1145)-D1152</f>
        <v>535.92999999999984</v>
      </c>
      <c r="G1161" s="3"/>
    </row>
    <row r="1162" spans="1:7">
      <c r="A1162" s="884">
        <v>45078</v>
      </c>
      <c r="B1162" s="240" t="str">
        <f>TiposLancamentos!B15</f>
        <v>Cartões de Crédito</v>
      </c>
      <c r="C1162" s="878" t="s">
        <v>1874</v>
      </c>
      <c r="D1162" s="63">
        <v>535.92999999999995</v>
      </c>
      <c r="E1162" s="231"/>
      <c r="F1162" s="1016">
        <f>F1161-F1140</f>
        <v>299.17999999999984</v>
      </c>
      <c r="G1162" s="1152" t="s">
        <v>9</v>
      </c>
    </row>
    <row r="1163" spans="1:7">
      <c r="A1163" s="884">
        <v>45082</v>
      </c>
      <c r="B1163" s="240" t="str">
        <f>TiposLancamentos!B54</f>
        <v>Metro</v>
      </c>
      <c r="C1163" s="878" t="s">
        <v>11380</v>
      </c>
      <c r="D1163" s="63"/>
      <c r="E1163" s="231">
        <v>96.8</v>
      </c>
      <c r="F1163" s="1016"/>
      <c r="G1163" s="1152" t="s">
        <v>9</v>
      </c>
    </row>
    <row r="1164" spans="1:7">
      <c r="A1164" s="934"/>
      <c r="B1164" s="243"/>
      <c r="C1164" s="389" t="s">
        <v>10</v>
      </c>
      <c r="D1164" s="146"/>
      <c r="E1164" s="146"/>
      <c r="F1164" s="1231"/>
      <c r="G1164" s="1094" t="s">
        <v>11</v>
      </c>
    </row>
    <row r="1165" spans="1:7">
      <c r="A1165" s="884">
        <v>45101</v>
      </c>
      <c r="B1165" s="240" t="str">
        <f>TiposLancamentos!B57</f>
        <v>Informática</v>
      </c>
      <c r="C1165" s="878" t="s">
        <v>11381</v>
      </c>
      <c r="D1165" s="63"/>
      <c r="E1165" s="231">
        <v>125.13</v>
      </c>
      <c r="F1165" s="1016">
        <f>E1165*5</f>
        <v>625.65</v>
      </c>
      <c r="G1165" s="1152" t="s">
        <v>9</v>
      </c>
    </row>
    <row r="1166" spans="1:7">
      <c r="A1166" s="884">
        <v>45101</v>
      </c>
      <c r="B1166" s="240" t="str">
        <f>TiposLancamentos!B57</f>
        <v>Informática</v>
      </c>
      <c r="C1166" s="878" t="s">
        <v>11382</v>
      </c>
      <c r="D1166" s="63"/>
      <c r="E1166" s="231">
        <v>86.53</v>
      </c>
      <c r="F1166" s="1016">
        <f>E1166*5</f>
        <v>432.65</v>
      </c>
      <c r="G1166" s="1152" t="s">
        <v>9</v>
      </c>
    </row>
    <row r="1167" spans="1:7">
      <c r="A1167" s="884">
        <v>45105</v>
      </c>
      <c r="B1167" s="240" t="str">
        <f>TiposLancamentos!B45</f>
        <v>Online Services</v>
      </c>
      <c r="C1167" s="878" t="s">
        <v>1895</v>
      </c>
      <c r="D1167" s="63"/>
      <c r="E1167" s="231">
        <v>34.9</v>
      </c>
      <c r="F1167" s="1016"/>
      <c r="G1167" s="1152" t="s">
        <v>9</v>
      </c>
    </row>
    <row r="1168" spans="1:7" ht="14.25" thickBot="1">
      <c r="A1168" s="884">
        <v>45107</v>
      </c>
      <c r="B1168" s="240" t="str">
        <f>TiposLancamentos!B45</f>
        <v>Online Services</v>
      </c>
      <c r="C1168" s="878" t="s">
        <v>1901</v>
      </c>
      <c r="D1168" s="63"/>
      <c r="E1168" s="231">
        <v>17.45</v>
      </c>
      <c r="F1168" s="1016"/>
      <c r="G1168" s="1152" t="s">
        <v>9</v>
      </c>
    </row>
    <row r="1169" spans="1:7">
      <c r="A1169" s="1032"/>
      <c r="B1169" s="1230"/>
      <c r="C1169" s="906" t="s">
        <v>1624</v>
      </c>
      <c r="D1169" s="896"/>
      <c r="E1169" s="925"/>
      <c r="F1169" s="1034">
        <f>SUM(E1154:E1164)</f>
        <v>378.40999999999997</v>
      </c>
      <c r="G1169" s="3"/>
    </row>
    <row r="1170" spans="1:7">
      <c r="A1170" s="884">
        <v>45108</v>
      </c>
      <c r="B1170" s="240" t="str">
        <f>TiposLancamentos!B26</f>
        <v>LIVROS</v>
      </c>
      <c r="C1170" s="878" t="s">
        <v>11383</v>
      </c>
      <c r="D1170" s="63"/>
      <c r="E1170" s="231">
        <v>82.19</v>
      </c>
      <c r="F1170" s="1016">
        <v>493.09</v>
      </c>
      <c r="G1170" s="1152" t="s">
        <v>9</v>
      </c>
    </row>
    <row r="1171" spans="1:7">
      <c r="A1171" s="884">
        <v>45108</v>
      </c>
      <c r="B1171" s="240" t="str">
        <f>TiposLancamentos!B15</f>
        <v>Cartões de Crédito</v>
      </c>
      <c r="C1171" s="878" t="s">
        <v>1874</v>
      </c>
      <c r="D1171" s="63">
        <v>378.41</v>
      </c>
      <c r="E1171" s="231"/>
      <c r="F1171" s="1016">
        <f>F1169-F1161</f>
        <v>-157.51999999999987</v>
      </c>
      <c r="G1171" s="1152" t="s">
        <v>9</v>
      </c>
    </row>
    <row r="1172" spans="1:7">
      <c r="A1172" s="884">
        <v>45111</v>
      </c>
      <c r="B1172" s="240" t="str">
        <f>TiposLancamentos!B57</f>
        <v>Informática</v>
      </c>
      <c r="C1172" s="878" t="s">
        <v>11330</v>
      </c>
      <c r="D1172" s="63"/>
      <c r="E1172" s="231">
        <v>314.3</v>
      </c>
      <c r="F1172" s="1016"/>
      <c r="G1172" s="1152" t="s">
        <v>9</v>
      </c>
    </row>
    <row r="1173" spans="1:7">
      <c r="A1173" s="884">
        <v>45113</v>
      </c>
      <c r="B1173" s="240" t="str">
        <f>TiposLancamentos!B54</f>
        <v>Metro</v>
      </c>
      <c r="C1173" s="878" t="s">
        <v>11384</v>
      </c>
      <c r="D1173" s="63"/>
      <c r="E1173" s="231">
        <v>96.8</v>
      </c>
      <c r="F1173" s="1016"/>
      <c r="G1173" s="1152" t="s">
        <v>9</v>
      </c>
    </row>
    <row r="1174" spans="1:7">
      <c r="A1174" s="884">
        <v>45129</v>
      </c>
      <c r="B1174" s="240" t="str">
        <f>TiposLancamentos!B65</f>
        <v>Taxi</v>
      </c>
      <c r="C1174" s="878" t="s">
        <v>11385</v>
      </c>
      <c r="D1174" s="63"/>
      <c r="E1174" s="231">
        <v>12.98</v>
      </c>
      <c r="F1174" s="1016"/>
      <c r="G1174" s="1152" t="s">
        <v>9</v>
      </c>
    </row>
    <row r="1175" spans="1:7">
      <c r="A1175" s="884">
        <v>45129</v>
      </c>
      <c r="B1175" s="240" t="str">
        <f>TiposLancamentos!B65</f>
        <v>Taxi</v>
      </c>
      <c r="C1175" s="878" t="s">
        <v>11386</v>
      </c>
      <c r="D1175" s="63"/>
      <c r="E1175" s="231">
        <v>9.9700000000000006</v>
      </c>
      <c r="F1175" s="1016"/>
      <c r="G1175" s="1152" t="s">
        <v>9</v>
      </c>
    </row>
    <row r="1176" spans="1:7">
      <c r="A1176" s="934"/>
      <c r="B1176" s="243"/>
      <c r="C1176" s="389" t="s">
        <v>10</v>
      </c>
      <c r="D1176" s="146"/>
      <c r="E1176" s="146"/>
      <c r="F1176" s="1231"/>
      <c r="G1176" s="1094" t="s">
        <v>11</v>
      </c>
    </row>
    <row r="1177" spans="1:7">
      <c r="A1177" s="884">
        <v>45131</v>
      </c>
      <c r="B1177" s="240" t="str">
        <f>TiposLancamentos!B57</f>
        <v>Informática</v>
      </c>
      <c r="C1177" s="878" t="s">
        <v>11387</v>
      </c>
      <c r="D1177" s="63"/>
      <c r="E1177" s="231">
        <v>125.13</v>
      </c>
      <c r="F1177" s="1016">
        <f>E1177*5</f>
        <v>625.65</v>
      </c>
      <c r="G1177" s="1152" t="s">
        <v>9</v>
      </c>
    </row>
    <row r="1178" spans="1:7">
      <c r="A1178" s="884">
        <v>45131</v>
      </c>
      <c r="B1178" s="240" t="str">
        <f>TiposLancamentos!B57</f>
        <v>Informática</v>
      </c>
      <c r="C1178" s="878" t="s">
        <v>11388</v>
      </c>
      <c r="D1178" s="63"/>
      <c r="E1178" s="231">
        <v>86.53</v>
      </c>
      <c r="F1178" s="1016">
        <f>E1178*5</f>
        <v>432.65</v>
      </c>
      <c r="G1178" s="1152" t="s">
        <v>9</v>
      </c>
    </row>
    <row r="1179" spans="1:7">
      <c r="A1179" s="884">
        <v>45132</v>
      </c>
      <c r="B1179" s="240" t="str">
        <f>TiposLancamentos!B75</f>
        <v>Shows</v>
      </c>
      <c r="C1179" s="878" t="s">
        <v>11389</v>
      </c>
      <c r="D1179" s="63"/>
      <c r="E1179" s="231">
        <v>147.56</v>
      </c>
      <c r="F1179" s="1016">
        <f>E1179/2</f>
        <v>73.78</v>
      </c>
      <c r="G1179" s="1152" t="s">
        <v>9</v>
      </c>
    </row>
    <row r="1180" spans="1:7">
      <c r="A1180" s="884">
        <v>45132</v>
      </c>
      <c r="B1180" s="240" t="str">
        <f>TiposLancamentos!B71</f>
        <v>Itens Pessoais</v>
      </c>
      <c r="C1180" s="878" t="s">
        <v>7698</v>
      </c>
      <c r="D1180" s="63"/>
      <c r="E1180" s="231">
        <v>30</v>
      </c>
      <c r="F1180" s="1016"/>
      <c r="G1180" s="1152" t="s">
        <v>9</v>
      </c>
    </row>
    <row r="1181" spans="1:7">
      <c r="A1181" s="884">
        <v>45132</v>
      </c>
      <c r="B1181" s="240" t="str">
        <f>TiposLancamentos!B19</f>
        <v>Restaurantes</v>
      </c>
      <c r="C1181" s="878" t="s">
        <v>7345</v>
      </c>
      <c r="D1181" s="63"/>
      <c r="E1181" s="231">
        <v>9.83</v>
      </c>
      <c r="F1181" s="1016"/>
      <c r="G1181" s="1152" t="s">
        <v>9</v>
      </c>
    </row>
    <row r="1182" spans="1:7">
      <c r="A1182" s="884">
        <v>45133</v>
      </c>
      <c r="B1182" s="240" t="str">
        <f>TiposLancamentos!B19</f>
        <v>Restaurantes</v>
      </c>
      <c r="C1182" s="878" t="s">
        <v>11390</v>
      </c>
      <c r="D1182" s="63"/>
      <c r="E1182" s="231">
        <v>40.29</v>
      </c>
      <c r="F1182" s="1016"/>
      <c r="G1182" s="1152" t="s">
        <v>9</v>
      </c>
    </row>
    <row r="1183" spans="1:7">
      <c r="A1183" s="884">
        <v>45133</v>
      </c>
      <c r="B1183" s="240" t="str">
        <f>TiposLancamentos!B19</f>
        <v>Restaurantes</v>
      </c>
      <c r="C1183" s="878" t="s">
        <v>2025</v>
      </c>
      <c r="D1183" s="63"/>
      <c r="E1183" s="231">
        <v>16.5</v>
      </c>
      <c r="F1183" s="1016"/>
      <c r="G1183" s="1152" t="s">
        <v>9</v>
      </c>
    </row>
    <row r="1184" spans="1:7">
      <c r="A1184" s="884">
        <v>45133</v>
      </c>
      <c r="B1184" s="240" t="str">
        <f>TiposLancamentos!B57</f>
        <v>Informática</v>
      </c>
      <c r="C1184" s="878" t="s">
        <v>11391</v>
      </c>
      <c r="D1184" s="63"/>
      <c r="E1184" s="231">
        <v>28.55</v>
      </c>
      <c r="F1184" s="1016"/>
      <c r="G1184" s="1152" t="s">
        <v>9</v>
      </c>
    </row>
    <row r="1185" spans="1:7">
      <c r="A1185" s="884">
        <v>45133</v>
      </c>
      <c r="B1185" s="240" t="str">
        <f>TiposLancamentos!B5</f>
        <v>Supermercado</v>
      </c>
      <c r="C1185" s="878" t="s">
        <v>1884</v>
      </c>
      <c r="D1185" s="63"/>
      <c r="E1185" s="231">
        <v>7.49</v>
      </c>
      <c r="F1185" s="1016"/>
      <c r="G1185" s="1152" t="s">
        <v>9</v>
      </c>
    </row>
    <row r="1186" spans="1:7">
      <c r="A1186" s="884">
        <v>45134</v>
      </c>
      <c r="B1186" s="240" t="str">
        <f>TiposLancamentos!B19</f>
        <v>Restaurantes</v>
      </c>
      <c r="C1186" s="878" t="s">
        <v>11392</v>
      </c>
      <c r="D1186" s="63"/>
      <c r="E1186" s="231">
        <v>18.899999999999999</v>
      </c>
      <c r="F1186" s="1016"/>
      <c r="G1186" s="1152" t="s">
        <v>9</v>
      </c>
    </row>
    <row r="1187" spans="1:7">
      <c r="A1187" s="884">
        <v>45134</v>
      </c>
      <c r="B1187" s="240" t="str">
        <f>TiposLancamentos!B19</f>
        <v>Restaurantes</v>
      </c>
      <c r="C1187" s="878" t="s">
        <v>11393</v>
      </c>
      <c r="D1187" s="63"/>
      <c r="E1187" s="231">
        <v>44.81</v>
      </c>
      <c r="F1187" s="1016"/>
      <c r="G1187" s="1152" t="s">
        <v>9</v>
      </c>
    </row>
    <row r="1188" spans="1:7">
      <c r="A1188" s="884">
        <v>45135</v>
      </c>
      <c r="B1188" s="240" t="str">
        <f>TiposLancamentos!B19</f>
        <v>Restaurantes</v>
      </c>
      <c r="C1188" s="878" t="s">
        <v>11394</v>
      </c>
      <c r="D1188" s="63"/>
      <c r="E1188" s="231">
        <v>24</v>
      </c>
      <c r="F1188" s="1016"/>
      <c r="G1188" s="1152" t="s">
        <v>9</v>
      </c>
    </row>
    <row r="1189" spans="1:7">
      <c r="A1189" s="884">
        <v>45135</v>
      </c>
      <c r="B1189" s="240" t="str">
        <f>TiposLancamentos!B45</f>
        <v>Online Services</v>
      </c>
      <c r="C1189" s="878" t="s">
        <v>1895</v>
      </c>
      <c r="D1189" s="63"/>
      <c r="E1189" s="231">
        <v>34.9</v>
      </c>
      <c r="F1189" s="1016"/>
      <c r="G1189" s="1152" t="s">
        <v>9</v>
      </c>
    </row>
    <row r="1190" spans="1:7">
      <c r="A1190" s="884">
        <v>45135</v>
      </c>
      <c r="B1190" s="240" t="str">
        <f>TiposLancamentos!B5</f>
        <v>Supermercado</v>
      </c>
      <c r="C1190" s="878" t="s">
        <v>1884</v>
      </c>
      <c r="D1190" s="63"/>
      <c r="E1190" s="231">
        <v>22.24</v>
      </c>
      <c r="F1190" s="1016"/>
      <c r="G1190" s="1152" t="s">
        <v>9</v>
      </c>
    </row>
    <row r="1191" spans="1:7">
      <c r="A1191" s="884">
        <v>45135</v>
      </c>
      <c r="B1191" s="240" t="str">
        <f>TiposLancamentos!B5</f>
        <v>Supermercado</v>
      </c>
      <c r="C1191" s="878" t="s">
        <v>10365</v>
      </c>
      <c r="D1191" s="63"/>
      <c r="E1191" s="231">
        <v>203.77</v>
      </c>
      <c r="F1191" s="1016"/>
      <c r="G1191" s="1152" t="s">
        <v>9</v>
      </c>
    </row>
    <row r="1192" spans="1:7">
      <c r="A1192" s="884">
        <v>45135</v>
      </c>
      <c r="B1192" s="240" t="str">
        <f>TiposLancamentos!B5</f>
        <v>Supermercado</v>
      </c>
      <c r="C1192" s="878" t="s">
        <v>1884</v>
      </c>
      <c r="D1192" s="63"/>
      <c r="E1192" s="231">
        <v>7.69</v>
      </c>
      <c r="F1192" s="1016"/>
      <c r="G1192" s="1152" t="s">
        <v>9</v>
      </c>
    </row>
    <row r="1193" spans="1:7">
      <c r="A1193" s="884">
        <v>45136</v>
      </c>
      <c r="B1193" s="240" t="str">
        <f>TiposLancamentos!B17</f>
        <v>GATO</v>
      </c>
      <c r="C1193" s="878" t="s">
        <v>11395</v>
      </c>
      <c r="D1193" s="63"/>
      <c r="E1193" s="231">
        <v>159.1</v>
      </c>
      <c r="F1193" s="1016"/>
      <c r="G1193" s="1152" t="s">
        <v>9</v>
      </c>
    </row>
    <row r="1194" spans="1:7">
      <c r="A1194" s="884">
        <v>45136</v>
      </c>
      <c r="B1194" s="240" t="str">
        <f>TiposLancamentos!B19</f>
        <v>Restaurantes</v>
      </c>
      <c r="C1194" s="878" t="s">
        <v>1907</v>
      </c>
      <c r="D1194" s="63"/>
      <c r="E1194" s="231">
        <v>96.4</v>
      </c>
      <c r="F1194" s="1016"/>
      <c r="G1194" s="1152" t="s">
        <v>9</v>
      </c>
    </row>
    <row r="1195" spans="1:7">
      <c r="A1195" s="884">
        <v>45137</v>
      </c>
      <c r="B1195" s="240" t="str">
        <f>TiposLancamentos!B5</f>
        <v>Supermercado</v>
      </c>
      <c r="C1195" s="878" t="s">
        <v>11396</v>
      </c>
      <c r="D1195" s="63"/>
      <c r="E1195" s="231">
        <v>21.68</v>
      </c>
      <c r="F1195" s="1016"/>
      <c r="G1195" s="1152" t="s">
        <v>9</v>
      </c>
    </row>
    <row r="1196" spans="1:7">
      <c r="A1196" s="884">
        <v>45137</v>
      </c>
      <c r="B1196" s="240" t="str">
        <f>TiposLancamentos!B19</f>
        <v>Restaurantes</v>
      </c>
      <c r="C1196" s="878" t="s">
        <v>11397</v>
      </c>
      <c r="D1196" s="63"/>
      <c r="E1196" s="231">
        <v>21.5</v>
      </c>
      <c r="F1196" s="1016"/>
      <c r="G1196" s="1152" t="s">
        <v>9</v>
      </c>
    </row>
    <row r="1197" spans="1:7">
      <c r="A1197" s="884">
        <v>45137</v>
      </c>
      <c r="B1197" s="240" t="str">
        <f>TiposLancamentos!B65</f>
        <v>Taxi</v>
      </c>
      <c r="C1197" s="878" t="s">
        <v>11398</v>
      </c>
      <c r="D1197" s="63"/>
      <c r="E1197" s="231">
        <v>15.15</v>
      </c>
      <c r="F1197" s="1016"/>
      <c r="G1197" s="1152" t="s">
        <v>9</v>
      </c>
    </row>
    <row r="1198" spans="1:7">
      <c r="A1198" s="884">
        <v>45137</v>
      </c>
      <c r="B1198" s="240" t="str">
        <f>TiposLancamentos!B77</f>
        <v>Esporádico</v>
      </c>
      <c r="C1198" s="878" t="s">
        <v>11399</v>
      </c>
      <c r="D1198" s="63"/>
      <c r="E1198" s="231">
        <v>5</v>
      </c>
      <c r="F1198" s="1016"/>
      <c r="G1198" s="1152" t="s">
        <v>9</v>
      </c>
    </row>
    <row r="1199" spans="1:7">
      <c r="A1199" s="884">
        <v>45137</v>
      </c>
      <c r="B1199" s="240" t="str">
        <f>TiposLancamentos!B71</f>
        <v>Itens Pessoais</v>
      </c>
      <c r="C1199" s="878" t="s">
        <v>11400</v>
      </c>
      <c r="D1199" s="63"/>
      <c r="E1199" s="231">
        <v>25</v>
      </c>
      <c r="F1199" s="1016"/>
      <c r="G1199" s="1152" t="s">
        <v>9</v>
      </c>
    </row>
    <row r="1200" spans="1:7">
      <c r="A1200" s="884">
        <v>45137</v>
      </c>
      <c r="B1200" s="240" t="str">
        <f>TiposLancamentos!B37</f>
        <v>Playstation 3</v>
      </c>
      <c r="C1200" s="878" t="s">
        <v>11401</v>
      </c>
      <c r="D1200" s="63"/>
      <c r="E1200" s="231">
        <v>150</v>
      </c>
      <c r="F1200" s="1016"/>
      <c r="G1200" s="1152" t="s">
        <v>9</v>
      </c>
    </row>
    <row r="1201" spans="1:7">
      <c r="A1201" s="884">
        <v>45137</v>
      </c>
      <c r="B1201" s="240" t="str">
        <f>TiposLancamentos!B41</f>
        <v>PSP Slim 3k</v>
      </c>
      <c r="C1201" s="878" t="s">
        <v>11402</v>
      </c>
      <c r="D1201" s="63"/>
      <c r="E1201" s="231">
        <v>550</v>
      </c>
      <c r="F1201" s="1016"/>
      <c r="G1201" s="1152" t="s">
        <v>9</v>
      </c>
    </row>
    <row r="1202" spans="1:7">
      <c r="A1202" s="1684">
        <v>45137</v>
      </c>
      <c r="B1202" s="822" t="str">
        <f>TiposLancamentos!B37</f>
        <v>Playstation 3</v>
      </c>
      <c r="C1202" s="1396" t="s">
        <v>11403</v>
      </c>
      <c r="D1202" s="747"/>
      <c r="E1202" s="1139">
        <v>25</v>
      </c>
      <c r="F1202" s="1454"/>
      <c r="G1202" s="1152" t="s">
        <v>9</v>
      </c>
    </row>
    <row r="1203" spans="1:7">
      <c r="A1203" s="1685">
        <v>45137</v>
      </c>
      <c r="B1203" s="823" t="str">
        <f>TiposLancamentos!B13</f>
        <v>Moradia</v>
      </c>
      <c r="C1203" s="1448" t="s">
        <v>11404</v>
      </c>
      <c r="D1203" s="849"/>
      <c r="E1203" s="1141">
        <v>30</v>
      </c>
      <c r="F1203" s="1456">
        <f>SUM(E1202:E1203)</f>
        <v>55</v>
      </c>
      <c r="G1203" s="1152" t="s">
        <v>9</v>
      </c>
    </row>
    <row r="1204" spans="1:7">
      <c r="A1204" s="884">
        <v>45137</v>
      </c>
      <c r="B1204" s="240" t="str">
        <f>TiposLancamentos!B19</f>
        <v>Restaurantes</v>
      </c>
      <c r="C1204" s="878" t="s">
        <v>11405</v>
      </c>
      <c r="D1204" s="63"/>
      <c r="E1204" s="231">
        <v>48</v>
      </c>
      <c r="F1204" s="1016"/>
      <c r="G1204" s="1152" t="s">
        <v>9</v>
      </c>
    </row>
    <row r="1205" spans="1:7">
      <c r="A1205" s="884">
        <v>45137</v>
      </c>
      <c r="B1205" s="240" t="str">
        <f>TiposLancamentos!B13</f>
        <v>Moradia</v>
      </c>
      <c r="C1205" s="878" t="s">
        <v>11406</v>
      </c>
      <c r="D1205" s="63"/>
      <c r="E1205" s="231">
        <v>150</v>
      </c>
      <c r="F1205" s="1016"/>
      <c r="G1205" s="1152" t="s">
        <v>9</v>
      </c>
    </row>
    <row r="1206" spans="1:7">
      <c r="A1206" s="884">
        <v>45137</v>
      </c>
      <c r="B1206" s="240" t="str">
        <f>TiposLancamentos!B65</f>
        <v>Taxi</v>
      </c>
      <c r="C1206" s="878" t="s">
        <v>11407</v>
      </c>
      <c r="D1206" s="63"/>
      <c r="E1206" s="231">
        <v>13.24</v>
      </c>
      <c r="F1206" s="1016"/>
      <c r="G1206" s="1152" t="s">
        <v>9</v>
      </c>
    </row>
    <row r="1207" spans="1:7">
      <c r="A1207" s="884">
        <v>45137</v>
      </c>
      <c r="B1207" s="240" t="str">
        <f>TiposLancamentos!B19</f>
        <v>Restaurantes</v>
      </c>
      <c r="C1207" s="878" t="s">
        <v>11408</v>
      </c>
      <c r="D1207" s="63"/>
      <c r="E1207" s="231">
        <v>28.5</v>
      </c>
      <c r="F1207" s="1016"/>
      <c r="G1207" s="1152" t="s">
        <v>9</v>
      </c>
    </row>
    <row r="1208" spans="1:7">
      <c r="A1208" s="884">
        <v>45137</v>
      </c>
      <c r="B1208" s="240" t="str">
        <f>TiposLancamentos!B5</f>
        <v>Supermercado</v>
      </c>
      <c r="C1208" s="878" t="s">
        <v>8122</v>
      </c>
      <c r="D1208" s="63"/>
      <c r="E1208" s="231">
        <v>32.97</v>
      </c>
      <c r="F1208" s="1016"/>
      <c r="G1208" s="1152" t="s">
        <v>9</v>
      </c>
    </row>
    <row r="1209" spans="1:7" ht="14.25" thickBot="1">
      <c r="A1209" s="884">
        <v>45137</v>
      </c>
      <c r="B1209" s="240" t="str">
        <f>TiposLancamentos!B45</f>
        <v>Online Services</v>
      </c>
      <c r="C1209" s="878" t="s">
        <v>1901</v>
      </c>
      <c r="D1209" s="63"/>
      <c r="E1209" s="231">
        <v>17.45</v>
      </c>
      <c r="F1209" s="1016"/>
      <c r="G1209" s="1152" t="s">
        <v>9</v>
      </c>
    </row>
    <row r="1210" spans="1:7">
      <c r="A1210" s="1032"/>
      <c r="B1210" s="1230"/>
      <c r="C1210" s="906" t="s">
        <v>1625</v>
      </c>
      <c r="D1210" s="896"/>
      <c r="E1210" s="925"/>
      <c r="F1210" s="1034">
        <f>SUM(E1164:E1176)</f>
        <v>780.25</v>
      </c>
      <c r="G1210" s="3"/>
    </row>
    <row r="1211" spans="1:7">
      <c r="A1211" s="884">
        <v>45139</v>
      </c>
      <c r="B1211" s="240" t="str">
        <f>TiposLancamentos!B26</f>
        <v>LIVROS</v>
      </c>
      <c r="C1211" s="878" t="s">
        <v>11409</v>
      </c>
      <c r="D1211" s="63"/>
      <c r="E1211" s="231">
        <f>F1211/6</f>
        <v>82.181666666666658</v>
      </c>
      <c r="F1211" s="1016">
        <v>493.09</v>
      </c>
      <c r="G1211" s="1152" t="s">
        <v>9</v>
      </c>
    </row>
    <row r="1212" spans="1:7">
      <c r="A1212" s="884">
        <v>45139</v>
      </c>
      <c r="B1212" s="240" t="str">
        <f>TiposLancamentos!B15</f>
        <v>Cartões de Crédito</v>
      </c>
      <c r="C1212" s="878" t="s">
        <v>1874</v>
      </c>
      <c r="D1212" s="63">
        <v>780.25</v>
      </c>
      <c r="E1212" s="231"/>
      <c r="F1212" s="1016">
        <f>F1210-F1169</f>
        <v>401.84000000000003</v>
      </c>
      <c r="G1212" s="1152" t="s">
        <v>9</v>
      </c>
    </row>
    <row r="1213" spans="1:7">
      <c r="A1213" s="884">
        <v>45140</v>
      </c>
      <c r="B1213" s="240" t="str">
        <f>TiposLancamentos!B54</f>
        <v>Metro</v>
      </c>
      <c r="C1213" s="878" t="s">
        <v>11410</v>
      </c>
      <c r="D1213" s="63"/>
      <c r="E1213" s="231">
        <v>96.8</v>
      </c>
      <c r="F1213" s="1016"/>
      <c r="G1213" s="1152" t="s">
        <v>9</v>
      </c>
    </row>
    <row r="1214" spans="1:7">
      <c r="A1214" s="884">
        <v>45153</v>
      </c>
      <c r="B1214" s="240" t="str">
        <f>TiposLancamentos!B16</f>
        <v>Cristiane</v>
      </c>
      <c r="C1214" s="878" t="s">
        <v>11411</v>
      </c>
      <c r="D1214" s="63"/>
      <c r="E1214" s="231">
        <f>F1214/10</f>
        <v>449.9</v>
      </c>
      <c r="F1214" s="1016">
        <v>4499</v>
      </c>
      <c r="G1214" s="1152" t="s">
        <v>9</v>
      </c>
    </row>
    <row r="1215" spans="1:7">
      <c r="A1215" s="884">
        <v>45161</v>
      </c>
      <c r="B1215" s="240" t="str">
        <f>TiposLancamentos!B19</f>
        <v>Restaurantes</v>
      </c>
      <c r="C1215" s="878" t="s">
        <v>11412</v>
      </c>
      <c r="D1215" s="63"/>
      <c r="E1215" s="231">
        <v>31.9</v>
      </c>
      <c r="F1215" s="1016"/>
      <c r="G1215" s="1152" t="s">
        <v>9</v>
      </c>
    </row>
    <row r="1216" spans="1:7">
      <c r="A1216" s="934"/>
      <c r="B1216" s="243"/>
      <c r="C1216" s="389" t="s">
        <v>10</v>
      </c>
      <c r="D1216" s="146"/>
      <c r="E1216" s="146"/>
      <c r="F1216" s="1231"/>
      <c r="G1216" s="1094" t="s">
        <v>11</v>
      </c>
    </row>
    <row r="1217" spans="1:7">
      <c r="A1217" s="884">
        <v>45162</v>
      </c>
      <c r="B1217" s="240" t="str">
        <f>TiposLancamentos!B57</f>
        <v>Informática</v>
      </c>
      <c r="C1217" s="878" t="s">
        <v>11413</v>
      </c>
      <c r="D1217" s="63"/>
      <c r="E1217" s="231">
        <v>125.13</v>
      </c>
      <c r="F1217" s="1016">
        <f>E1217*5</f>
        <v>625.65</v>
      </c>
      <c r="G1217" s="1152" t="s">
        <v>9</v>
      </c>
    </row>
    <row r="1218" spans="1:7">
      <c r="A1218" s="884">
        <v>45162</v>
      </c>
      <c r="B1218" s="240" t="str">
        <f>TiposLancamentos!B57</f>
        <v>Informática</v>
      </c>
      <c r="C1218" s="878" t="s">
        <v>11414</v>
      </c>
      <c r="D1218" s="63"/>
      <c r="E1218" s="231">
        <v>86.53</v>
      </c>
      <c r="F1218" s="1016">
        <f>E1218*5</f>
        <v>432.65</v>
      </c>
      <c r="G1218" s="1152" t="s">
        <v>9</v>
      </c>
    </row>
    <row r="1219" spans="1:7">
      <c r="A1219" s="884">
        <v>45163</v>
      </c>
      <c r="B1219" s="240" t="str">
        <f>TiposLancamentos!B38</f>
        <v>Playstation 4</v>
      </c>
      <c r="C1219" s="878" t="s">
        <v>11415</v>
      </c>
      <c r="D1219" s="63"/>
      <c r="E1219" s="231">
        <v>59.99</v>
      </c>
      <c r="F1219" s="1016">
        <v>239.9</v>
      </c>
      <c r="G1219" s="1152" t="s">
        <v>9</v>
      </c>
    </row>
    <row r="1220" spans="1:7">
      <c r="A1220" s="884">
        <v>45163</v>
      </c>
      <c r="B1220" s="240" t="str">
        <f>TiposLancamentos!B40</f>
        <v>PS Vita Slim 2k</v>
      </c>
      <c r="C1220" s="878" t="s">
        <v>11416</v>
      </c>
      <c r="D1220" s="63"/>
      <c r="E1220" s="231">
        <f>F1220/6</f>
        <v>215</v>
      </c>
      <c r="F1220" s="1016">
        <v>1290</v>
      </c>
      <c r="G1220" s="1152" t="s">
        <v>9</v>
      </c>
    </row>
    <row r="1221" spans="1:7">
      <c r="A1221" s="884">
        <v>45166</v>
      </c>
      <c r="B1221" s="240" t="str">
        <f>TiposLancamentos!B45</f>
        <v>Online Services</v>
      </c>
      <c r="C1221" s="878" t="s">
        <v>11417</v>
      </c>
      <c r="D1221" s="63"/>
      <c r="E1221" s="231">
        <v>34.9</v>
      </c>
      <c r="F1221" s="1016"/>
      <c r="G1221" s="1152" t="s">
        <v>9</v>
      </c>
    </row>
    <row r="1222" spans="1:7">
      <c r="A1222" s="884">
        <v>45166</v>
      </c>
      <c r="B1222" s="240" t="str">
        <f>TiposLancamentos!B54</f>
        <v>Metro</v>
      </c>
      <c r="C1222" s="878" t="s">
        <v>11410</v>
      </c>
      <c r="D1222" s="63"/>
      <c r="E1222" s="231">
        <v>96.8</v>
      </c>
      <c r="F1222" s="1016"/>
      <c r="G1222" s="1152" t="s">
        <v>9</v>
      </c>
    </row>
    <row r="1223" spans="1:7" ht="14.25" thickBot="1">
      <c r="A1223" s="884">
        <v>45168</v>
      </c>
      <c r="B1223" s="240" t="str">
        <f>TiposLancamentos!B45</f>
        <v>Online Services</v>
      </c>
      <c r="C1223" s="878" t="s">
        <v>1901</v>
      </c>
      <c r="D1223" s="63"/>
      <c r="E1223" s="231">
        <v>17.45</v>
      </c>
      <c r="F1223" s="1016"/>
      <c r="G1223" s="1152" t="s">
        <v>9</v>
      </c>
    </row>
    <row r="1224" spans="1:7">
      <c r="A1224" s="1032"/>
      <c r="B1224" s="1230"/>
      <c r="C1224" s="906" t="s">
        <v>1626</v>
      </c>
      <c r="D1224" s="896"/>
      <c r="E1224" s="925"/>
      <c r="F1224" s="1034">
        <f>SUM(E1176:E1216)</f>
        <v>2897.961666666667</v>
      </c>
      <c r="G1224" s="3"/>
    </row>
    <row r="1225" spans="1:7">
      <c r="A1225" s="884">
        <v>45170</v>
      </c>
      <c r="B1225" s="240" t="str">
        <f>TiposLancamentos!B15</f>
        <v>Cartões de Crédito</v>
      </c>
      <c r="C1225" s="878" t="s">
        <v>1874</v>
      </c>
      <c r="D1225" s="63">
        <v>2897.96</v>
      </c>
      <c r="E1225" s="231"/>
      <c r="F1225" s="1016">
        <f>F1224-F1210</f>
        <v>2117.711666666667</v>
      </c>
      <c r="G1225" s="1152" t="s">
        <v>9</v>
      </c>
    </row>
    <row r="1226" spans="1:7">
      <c r="A1226" s="884">
        <v>45170</v>
      </c>
      <c r="B1226" s="240" t="str">
        <f>TiposLancamentos!B26</f>
        <v>LIVROS</v>
      </c>
      <c r="C1226" s="878" t="s">
        <v>11418</v>
      </c>
      <c r="D1226" s="63"/>
      <c r="E1226" s="231">
        <f>F1226/6</f>
        <v>82.181666666666658</v>
      </c>
      <c r="F1226" s="1016">
        <v>493.09</v>
      </c>
      <c r="G1226" s="1152" t="s">
        <v>9</v>
      </c>
    </row>
    <row r="1227" spans="1:7">
      <c r="A1227" s="1684">
        <v>45182</v>
      </c>
      <c r="B1227" s="822" t="str">
        <f>TiposLancamentos!B40</f>
        <v>PS Vita Slim 2k</v>
      </c>
      <c r="C1227" s="1396" t="s">
        <v>11419</v>
      </c>
      <c r="D1227" s="747"/>
      <c r="E1227" s="1139">
        <v>29.97</v>
      </c>
      <c r="F1227" s="1454"/>
      <c r="G1227" s="1152" t="s">
        <v>9</v>
      </c>
    </row>
    <row r="1228" spans="1:7">
      <c r="A1228" s="1683">
        <v>45182</v>
      </c>
      <c r="B1228" s="275" t="str">
        <f>TiposLancamentos!B41</f>
        <v>PSP Slim 3k</v>
      </c>
      <c r="C1228" s="1443" t="s">
        <v>11419</v>
      </c>
      <c r="D1228" s="51"/>
      <c r="E1228" s="1147">
        <v>29.97</v>
      </c>
      <c r="F1228" s="899">
        <f>SUM(E1227:E1228)</f>
        <v>59.94</v>
      </c>
      <c r="G1228" s="1152" t="s">
        <v>9</v>
      </c>
    </row>
    <row r="1229" spans="1:7">
      <c r="A1229" s="1685">
        <v>45182</v>
      </c>
      <c r="B1229" s="823" t="str">
        <f>TiposLancamentos!B62</f>
        <v>Papelaria</v>
      </c>
      <c r="C1229" s="1448" t="s">
        <v>11420</v>
      </c>
      <c r="D1229" s="849"/>
      <c r="E1229" s="1141">
        <v>36.36</v>
      </c>
      <c r="F1229" s="1456">
        <f>SUM(E1227:E1229)</f>
        <v>96.3</v>
      </c>
      <c r="G1229" s="1152" t="s">
        <v>9</v>
      </c>
    </row>
    <row r="1230" spans="1:7">
      <c r="A1230" s="884">
        <v>45184</v>
      </c>
      <c r="B1230" s="240" t="str">
        <f>TiposLancamentos!B16</f>
        <v>Cristiane</v>
      </c>
      <c r="C1230" s="878" t="s">
        <v>11421</v>
      </c>
      <c r="D1230" s="63"/>
      <c r="E1230" s="231">
        <f>F1230/10</f>
        <v>449.9</v>
      </c>
      <c r="F1230" s="1016">
        <v>4499</v>
      </c>
      <c r="G1230" s="1152" t="s">
        <v>9</v>
      </c>
    </row>
    <row r="1231" spans="1:7">
      <c r="A1231" s="884">
        <v>45184</v>
      </c>
      <c r="B1231" s="240" t="str">
        <f>TiposLancamentos!B65</f>
        <v>Taxi</v>
      </c>
      <c r="C1231" s="878" t="s">
        <v>2196</v>
      </c>
      <c r="D1231" s="63"/>
      <c r="E1231" s="231">
        <v>62.67</v>
      </c>
      <c r="F1231" s="1016"/>
      <c r="G1231" s="1152" t="s">
        <v>9</v>
      </c>
    </row>
    <row r="1232" spans="1:7">
      <c r="A1232" s="934"/>
      <c r="B1232" s="243"/>
      <c r="C1232" s="389" t="s">
        <v>10</v>
      </c>
      <c r="D1232" s="146"/>
      <c r="E1232" s="146"/>
      <c r="F1232" s="1231"/>
      <c r="G1232" s="1094" t="s">
        <v>11</v>
      </c>
    </row>
    <row r="1233" spans="1:7">
      <c r="A1233" s="884">
        <v>45194</v>
      </c>
      <c r="B1233" s="240" t="str">
        <f>TiposLancamentos!B38</f>
        <v>Playstation 4</v>
      </c>
      <c r="C1233" s="878" t="s">
        <v>11422</v>
      </c>
      <c r="D1233" s="63"/>
      <c r="E1233" s="231">
        <v>59.97</v>
      </c>
      <c r="F1233" s="1016">
        <v>239.9</v>
      </c>
      <c r="G1233" s="1152" t="s">
        <v>9</v>
      </c>
    </row>
    <row r="1234" spans="1:7">
      <c r="A1234" s="884">
        <v>45194</v>
      </c>
      <c r="B1234" s="240" t="str">
        <f>TiposLancamentos!B40</f>
        <v>PS Vita Slim 2k</v>
      </c>
      <c r="C1234" s="878" t="s">
        <v>11423</v>
      </c>
      <c r="D1234" s="63"/>
      <c r="E1234" s="231">
        <f>F1234/6</f>
        <v>215</v>
      </c>
      <c r="F1234" s="1016">
        <v>1290</v>
      </c>
      <c r="G1234" s="1152" t="s">
        <v>9</v>
      </c>
    </row>
    <row r="1235" spans="1:7">
      <c r="A1235" s="884">
        <v>45194</v>
      </c>
      <c r="B1235" s="240" t="str">
        <f>TiposLancamentos!B54</f>
        <v>Metro</v>
      </c>
      <c r="C1235" s="878" t="s">
        <v>11424</v>
      </c>
      <c r="D1235" s="63"/>
      <c r="E1235" s="231">
        <v>4.4000000000000004</v>
      </c>
      <c r="F1235" s="1016"/>
      <c r="G1235" s="1152" t="s">
        <v>9</v>
      </c>
    </row>
    <row r="1236" spans="1:7">
      <c r="A1236" s="1684">
        <v>45195</v>
      </c>
      <c r="B1236" s="822" t="str">
        <f>TiposLancamentos!B57</f>
        <v>Informática</v>
      </c>
      <c r="C1236" s="1396" t="s">
        <v>11425</v>
      </c>
      <c r="D1236" s="747"/>
      <c r="E1236" s="1139">
        <v>58.19</v>
      </c>
      <c r="F1236" s="1454">
        <v>349</v>
      </c>
      <c r="G1236" s="1152" t="s">
        <v>9</v>
      </c>
    </row>
    <row r="1237" spans="1:7">
      <c r="A1237" s="1685">
        <v>45195</v>
      </c>
      <c r="B1237" s="823" t="str">
        <f>TiposLancamentos!B41</f>
        <v>PSP Slim 3k</v>
      </c>
      <c r="C1237" s="1448" t="s">
        <v>11426</v>
      </c>
      <c r="D1237" s="849"/>
      <c r="E1237" s="1141">
        <v>17.73</v>
      </c>
      <c r="F1237" s="1456">
        <v>106.32</v>
      </c>
      <c r="G1237" s="1152" t="s">
        <v>9</v>
      </c>
    </row>
    <row r="1238" spans="1:7">
      <c r="A1238" s="884"/>
      <c r="B1238" s="240"/>
      <c r="C1238" s="878" t="s">
        <v>1868</v>
      </c>
      <c r="D1238" s="63"/>
      <c r="E1238" s="231"/>
      <c r="F1238" s="1016">
        <f>SUM(F1236:F1237)</f>
        <v>455.32</v>
      </c>
      <c r="G1238" s="1152" t="s">
        <v>9</v>
      </c>
    </row>
    <row r="1239" spans="1:7">
      <c r="A1239" s="884">
        <v>45195</v>
      </c>
      <c r="B1239" s="240" t="str">
        <f>TiposLancamentos!B19</f>
        <v>Restaurantes</v>
      </c>
      <c r="C1239" s="878" t="s">
        <v>11427</v>
      </c>
      <c r="D1239" s="63"/>
      <c r="E1239" s="231">
        <v>91.24</v>
      </c>
      <c r="F1239" s="1016">
        <f>SUM(E1236:E1237)</f>
        <v>75.92</v>
      </c>
      <c r="G1239" s="1152" t="s">
        <v>9</v>
      </c>
    </row>
    <row r="1240" spans="1:7">
      <c r="A1240" s="884">
        <v>45195</v>
      </c>
      <c r="B1240" s="240" t="str">
        <f>TiposLancamentos!B5</f>
        <v>Supermercado</v>
      </c>
      <c r="C1240" s="878" t="s">
        <v>10550</v>
      </c>
      <c r="D1240" s="63"/>
      <c r="E1240" s="231">
        <v>33.06</v>
      </c>
      <c r="F1240" s="1016"/>
      <c r="G1240" s="1152" t="s">
        <v>9</v>
      </c>
    </row>
    <row r="1241" spans="1:7">
      <c r="A1241" s="884">
        <v>45196</v>
      </c>
      <c r="B1241" s="240" t="str">
        <f>TiposLancamentos!B54</f>
        <v>Metro</v>
      </c>
      <c r="C1241" s="878" t="s">
        <v>11410</v>
      </c>
      <c r="D1241" s="63"/>
      <c r="E1241" s="231">
        <v>96.8</v>
      </c>
      <c r="F1241" s="1016"/>
      <c r="G1241" s="1152" t="s">
        <v>9</v>
      </c>
    </row>
    <row r="1242" spans="1:7">
      <c r="A1242" s="884">
        <v>45196</v>
      </c>
      <c r="B1242" s="240" t="str">
        <f>TiposLancamentos!B19</f>
        <v>Restaurantes</v>
      </c>
      <c r="C1242" s="878" t="s">
        <v>11428</v>
      </c>
      <c r="D1242" s="63"/>
      <c r="E1242" s="231">
        <v>17.98</v>
      </c>
      <c r="F1242" s="1016"/>
      <c r="G1242" s="1152" t="s">
        <v>9</v>
      </c>
    </row>
    <row r="1243" spans="1:7">
      <c r="A1243" s="884">
        <v>45196</v>
      </c>
      <c r="B1243" s="240" t="str">
        <f>TiposLancamentos!B19</f>
        <v>Restaurantes</v>
      </c>
      <c r="C1243" s="878" t="s">
        <v>7338</v>
      </c>
      <c r="D1243" s="63"/>
      <c r="E1243" s="231">
        <v>11</v>
      </c>
      <c r="F1243" s="1016"/>
      <c r="G1243" s="1152" t="s">
        <v>9</v>
      </c>
    </row>
    <row r="1244" spans="1:7">
      <c r="A1244" s="884">
        <v>45197</v>
      </c>
      <c r="B1244" s="240" t="str">
        <f>TiposLancamentos!B45</f>
        <v>Online Services</v>
      </c>
      <c r="C1244" s="878" t="s">
        <v>1895</v>
      </c>
      <c r="D1244" s="63"/>
      <c r="E1244" s="231">
        <v>34.9</v>
      </c>
      <c r="F1244" s="1016"/>
      <c r="G1244" s="1152" t="s">
        <v>9</v>
      </c>
    </row>
    <row r="1245" spans="1:7" ht="14.25" thickBot="1">
      <c r="A1245" s="884">
        <v>45199</v>
      </c>
      <c r="B1245" s="240" t="str">
        <f>TiposLancamentos!B45</f>
        <v>Online Services</v>
      </c>
      <c r="C1245" s="878" t="s">
        <v>1901</v>
      </c>
      <c r="D1245" s="63"/>
      <c r="E1245" s="231">
        <v>17.45</v>
      </c>
      <c r="F1245" s="1016"/>
      <c r="G1245" s="1152" t="s">
        <v>9</v>
      </c>
    </row>
    <row r="1246" spans="1:7">
      <c r="A1246" s="1032"/>
      <c r="B1246" s="1230"/>
      <c r="C1246" s="906" t="s">
        <v>1627</v>
      </c>
      <c r="D1246" s="896"/>
      <c r="E1246" s="925"/>
      <c r="F1246" s="1034">
        <f>SUM(E1216:E1232)</f>
        <v>1326.8516666666667</v>
      </c>
      <c r="G1246" s="3"/>
    </row>
    <row r="1247" spans="1:7">
      <c r="A1247" s="884">
        <v>45200</v>
      </c>
      <c r="B1247" s="240" t="str">
        <f>TiposLancamentos!B15</f>
        <v>Cartões de Crédito</v>
      </c>
      <c r="C1247" s="878" t="s">
        <v>1874</v>
      </c>
      <c r="D1247" s="63">
        <v>1326.85</v>
      </c>
      <c r="E1247" s="231"/>
      <c r="F1247" s="1016">
        <f>F1246-F1224</f>
        <v>-1571.1100000000004</v>
      </c>
      <c r="G1247" s="1152" t="s">
        <v>9</v>
      </c>
    </row>
    <row r="1248" spans="1:7">
      <c r="A1248" s="884">
        <v>45200</v>
      </c>
      <c r="B1248" s="240" t="str">
        <f>TiposLancamentos!B26</f>
        <v>LIVROS</v>
      </c>
      <c r="C1248" s="878" t="s">
        <v>11429</v>
      </c>
      <c r="D1248" s="63"/>
      <c r="E1248" s="231">
        <f>F1248/6</f>
        <v>82.181666666666658</v>
      </c>
      <c r="F1248" s="1016">
        <v>493.09</v>
      </c>
      <c r="G1248" s="1152" t="s">
        <v>9</v>
      </c>
    </row>
    <row r="1249" spans="1:7">
      <c r="A1249" s="884">
        <v>45210</v>
      </c>
      <c r="B1249" s="240" t="str">
        <f>TiposLancamentos!B71</f>
        <v>Itens Pessoais</v>
      </c>
      <c r="C1249" s="878" t="s">
        <v>11430</v>
      </c>
      <c r="D1249" s="63"/>
      <c r="E1249" s="231">
        <f>F1249/12</f>
        <v>358.25</v>
      </c>
      <c r="F1249" s="1016">
        <v>4299</v>
      </c>
      <c r="G1249" s="1152" t="s">
        <v>9</v>
      </c>
    </row>
    <row r="1250" spans="1:7">
      <c r="A1250" s="884">
        <v>45214</v>
      </c>
      <c r="B1250" s="240" t="str">
        <f>TiposLancamentos!B16</f>
        <v>Cristiane</v>
      </c>
      <c r="C1250" s="878" t="s">
        <v>11431</v>
      </c>
      <c r="D1250" s="63"/>
      <c r="E1250" s="231">
        <f>F1250/10</f>
        <v>449.9</v>
      </c>
      <c r="F1250" s="1016">
        <v>4499</v>
      </c>
      <c r="G1250" s="1152" t="s">
        <v>9</v>
      </c>
    </row>
    <row r="1251" spans="1:7">
      <c r="A1251" s="884">
        <v>45221</v>
      </c>
      <c r="B1251" s="240" t="str">
        <f>TiposLancamentos!B19</f>
        <v>Restaurantes</v>
      </c>
      <c r="C1251" s="878" t="s">
        <v>11432</v>
      </c>
      <c r="D1251" s="63"/>
      <c r="E1251" s="231">
        <v>42</v>
      </c>
      <c r="F1251" s="1016"/>
      <c r="G1251" s="1152" t="s">
        <v>9</v>
      </c>
    </row>
    <row r="1252" spans="1:7">
      <c r="A1252" s="934"/>
      <c r="B1252" s="243"/>
      <c r="C1252" s="389" t="s">
        <v>10</v>
      </c>
      <c r="D1252" s="146"/>
      <c r="E1252" s="146"/>
      <c r="F1252" s="1231"/>
      <c r="G1252" s="1094" t="s">
        <v>11</v>
      </c>
    </row>
    <row r="1253" spans="1:7">
      <c r="A1253" s="884">
        <v>45224</v>
      </c>
      <c r="B1253" s="240" t="str">
        <f>TiposLancamentos!B38</f>
        <v>Playstation 4</v>
      </c>
      <c r="C1253" s="878" t="s">
        <v>11433</v>
      </c>
      <c r="D1253" s="63"/>
      <c r="E1253" s="231">
        <v>59.97</v>
      </c>
      <c r="F1253" s="1016">
        <v>239.9</v>
      </c>
      <c r="G1253" s="1152" t="s">
        <v>9</v>
      </c>
    </row>
    <row r="1254" spans="1:7">
      <c r="A1254" s="884">
        <v>45224</v>
      </c>
      <c r="B1254" s="240" t="str">
        <f>TiposLancamentos!B40</f>
        <v>PS Vita Slim 2k</v>
      </c>
      <c r="C1254" s="878" t="s">
        <v>11434</v>
      </c>
      <c r="D1254" s="63"/>
      <c r="E1254" s="231">
        <f>F1254/6</f>
        <v>215</v>
      </c>
      <c r="F1254" s="1016">
        <v>1290</v>
      </c>
      <c r="G1254" s="1152" t="s">
        <v>9</v>
      </c>
    </row>
    <row r="1255" spans="1:7">
      <c r="A1255" s="884"/>
      <c r="B1255" s="240"/>
      <c r="C1255" s="878" t="s">
        <v>1868</v>
      </c>
      <c r="D1255" s="63"/>
      <c r="E1255" s="231"/>
      <c r="F1255" s="1016"/>
      <c r="G1255" s="3"/>
    </row>
    <row r="1256" spans="1:7">
      <c r="A1256" s="1684">
        <v>45225</v>
      </c>
      <c r="B1256" s="822" t="str">
        <f>TiposLancamentos!B57</f>
        <v>Informática</v>
      </c>
      <c r="C1256" s="1396" t="s">
        <v>11435</v>
      </c>
      <c r="D1256" s="747"/>
      <c r="E1256" s="1139">
        <v>58.16</v>
      </c>
      <c r="F1256" s="1454">
        <v>349</v>
      </c>
      <c r="G1256" s="1152" t="s">
        <v>9</v>
      </c>
    </row>
    <row r="1257" spans="1:7">
      <c r="A1257" s="1685">
        <v>45225</v>
      </c>
      <c r="B1257" s="823" t="str">
        <f>TiposLancamentos!B41</f>
        <v>PSP Slim 3k</v>
      </c>
      <c r="C1257" s="1448" t="s">
        <v>11436</v>
      </c>
      <c r="D1257" s="849"/>
      <c r="E1257" s="1141">
        <f>F1257/6</f>
        <v>17.72</v>
      </c>
      <c r="F1257" s="1456">
        <v>106.32</v>
      </c>
      <c r="G1257" s="1152" t="s">
        <v>9</v>
      </c>
    </row>
    <row r="1258" spans="1:7">
      <c r="A1258" s="884"/>
      <c r="B1258" s="240"/>
      <c r="C1258" s="878" t="s">
        <v>1868</v>
      </c>
      <c r="D1258" s="63"/>
      <c r="E1258" s="231"/>
      <c r="F1258" s="1016"/>
      <c r="G1258" s="3"/>
    </row>
    <row r="1259" spans="1:7">
      <c r="A1259" s="884">
        <v>45225</v>
      </c>
      <c r="B1259" s="240" t="str">
        <f>TiposLancamentos!B54</f>
        <v>Metro</v>
      </c>
      <c r="C1259" s="878" t="s">
        <v>11410</v>
      </c>
      <c r="D1259" s="63"/>
      <c r="E1259" s="231">
        <v>96.8</v>
      </c>
      <c r="F1259" s="1016"/>
      <c r="G1259" s="1152" t="s">
        <v>9</v>
      </c>
    </row>
    <row r="1260" spans="1:7">
      <c r="A1260" s="884">
        <v>45225</v>
      </c>
      <c r="B1260" s="240" t="str">
        <f>TiposLancamentos!B54</f>
        <v>Metro</v>
      </c>
      <c r="C1260" s="878" t="s">
        <v>11437</v>
      </c>
      <c r="D1260" s="63"/>
      <c r="E1260" s="231">
        <v>8.8000000000000007</v>
      </c>
      <c r="F1260" s="1016"/>
      <c r="G1260" s="1152" t="s">
        <v>9</v>
      </c>
    </row>
    <row r="1261" spans="1:7">
      <c r="A1261" s="884">
        <v>45226</v>
      </c>
      <c r="B1261" s="240" t="str">
        <f>TiposLancamentos!B102</f>
        <v>ESTORNO</v>
      </c>
      <c r="C1261" s="878" t="s">
        <v>11410</v>
      </c>
      <c r="D1261" s="63">
        <v>96.8</v>
      </c>
      <c r="E1261" s="231"/>
      <c r="F1261" s="1016"/>
      <c r="G1261" s="1152" t="s">
        <v>9</v>
      </c>
    </row>
    <row r="1262" spans="1:7">
      <c r="A1262" s="884">
        <v>45227</v>
      </c>
      <c r="B1262" s="240" t="str">
        <f>TiposLancamentos!B45</f>
        <v>Online Services</v>
      </c>
      <c r="C1262" s="878" t="s">
        <v>1895</v>
      </c>
      <c r="D1262" s="63"/>
      <c r="E1262" s="231">
        <v>34.9</v>
      </c>
      <c r="F1262" s="1016"/>
      <c r="G1262" s="1152" t="s">
        <v>9</v>
      </c>
    </row>
    <row r="1263" spans="1:7">
      <c r="A1263" s="884">
        <v>45227</v>
      </c>
      <c r="B1263" s="240" t="str">
        <f>TiposLancamentos!B19</f>
        <v>Restaurantes</v>
      </c>
      <c r="C1263" s="878" t="s">
        <v>11438</v>
      </c>
      <c r="D1263" s="63"/>
      <c r="E1263" s="231">
        <v>85.9</v>
      </c>
      <c r="F1263" s="1016"/>
      <c r="G1263" s="1152" t="s">
        <v>9</v>
      </c>
    </row>
    <row r="1264" spans="1:7">
      <c r="A1264" s="884">
        <v>45228</v>
      </c>
      <c r="B1264" s="240" t="str">
        <f>TiposLancamentos!B19</f>
        <v>Restaurantes</v>
      </c>
      <c r="C1264" s="878" t="s">
        <v>11439</v>
      </c>
      <c r="D1264" s="63"/>
      <c r="E1264" s="231">
        <v>90.5</v>
      </c>
      <c r="F1264" s="1016"/>
      <c r="G1264" s="1152" t="s">
        <v>9</v>
      </c>
    </row>
    <row r="1265" spans="1:7">
      <c r="A1265" s="884">
        <v>45229</v>
      </c>
      <c r="B1265" s="240" t="str">
        <f>TiposLancamentos!B45</f>
        <v>Online Services</v>
      </c>
      <c r="C1265" s="878" t="s">
        <v>1901</v>
      </c>
      <c r="D1265" s="63"/>
      <c r="E1265" s="231">
        <v>17.45</v>
      </c>
      <c r="F1265" s="1016"/>
      <c r="G1265" s="1152" t="s">
        <v>9</v>
      </c>
    </row>
    <row r="1266" spans="1:7">
      <c r="A1266" s="884">
        <v>45229</v>
      </c>
      <c r="B1266" s="240" t="str">
        <f>TiposLancamentos!B24</f>
        <v>Estacionamentos</v>
      </c>
      <c r="C1266" s="878" t="s">
        <v>11440</v>
      </c>
      <c r="D1266" s="63"/>
      <c r="E1266" s="231">
        <v>18</v>
      </c>
      <c r="F1266" s="1016"/>
      <c r="G1266" s="1152" t="s">
        <v>9</v>
      </c>
    </row>
    <row r="1267" spans="1:7" ht="14.25" thickBot="1">
      <c r="A1267" s="884"/>
      <c r="B1267" s="240"/>
      <c r="C1267" s="878" t="s">
        <v>1868</v>
      </c>
      <c r="D1267" s="63"/>
      <c r="E1267" s="231"/>
      <c r="F1267" s="1016"/>
      <c r="G1267" s="3"/>
    </row>
    <row r="1268" spans="1:7">
      <c r="A1268" s="1032"/>
      <c r="B1268" s="1230"/>
      <c r="C1268" s="906" t="s">
        <v>1628</v>
      </c>
      <c r="D1268" s="896"/>
      <c r="E1268" s="925"/>
      <c r="F1268" s="1034">
        <f>SUM(E1232:E1252)</f>
        <v>1590.0516666666667</v>
      </c>
      <c r="G1268" s="3"/>
    </row>
    <row r="1269" spans="1:7">
      <c r="A1269" s="884">
        <v>45231</v>
      </c>
      <c r="B1269" s="240" t="str">
        <f>TiposLancamentos!B15</f>
        <v>Cartões de Crédito</v>
      </c>
      <c r="C1269" s="878" t="s">
        <v>1874</v>
      </c>
      <c r="D1269" s="63">
        <v>1590.05</v>
      </c>
      <c r="E1269" s="231"/>
      <c r="F1269" s="1016">
        <f>F1268-F1246</f>
        <v>263.20000000000005</v>
      </c>
      <c r="G1269" s="1152" t="s">
        <v>9</v>
      </c>
    </row>
    <row r="1270" spans="1:7">
      <c r="A1270" s="884">
        <v>45231</v>
      </c>
      <c r="B1270" s="240" t="str">
        <f>TiposLancamentos!B26</f>
        <v>LIVROS</v>
      </c>
      <c r="C1270" s="878" t="s">
        <v>11441</v>
      </c>
      <c r="D1270" s="63"/>
      <c r="E1270" s="231">
        <f>F1270/6</f>
        <v>82.181666666666658</v>
      </c>
      <c r="F1270" s="1016">
        <v>493.09</v>
      </c>
      <c r="G1270" s="1152" t="s">
        <v>9</v>
      </c>
    </row>
    <row r="1271" spans="1:7">
      <c r="A1271" s="884">
        <v>45231</v>
      </c>
      <c r="B1271" s="240" t="str">
        <f>TiposLancamentos!B54</f>
        <v>Metro</v>
      </c>
      <c r="C1271" s="878" t="s">
        <v>11410</v>
      </c>
      <c r="D1271" s="63"/>
      <c r="E1271" s="231">
        <v>96.8</v>
      </c>
      <c r="F1271" s="1016"/>
      <c r="G1271" s="1152" t="s">
        <v>9</v>
      </c>
    </row>
    <row r="1272" spans="1:7">
      <c r="A1272" s="884">
        <v>45232</v>
      </c>
      <c r="B1272" s="240" t="str">
        <f>TiposLancamentos!B13</f>
        <v>Moradia</v>
      </c>
      <c r="C1272" s="878" t="s">
        <v>11442</v>
      </c>
      <c r="D1272" s="63"/>
      <c r="E1272" s="231">
        <v>106.21</v>
      </c>
      <c r="F1272" s="1016">
        <v>637.05999999999995</v>
      </c>
      <c r="G1272" s="1152" t="s">
        <v>9</v>
      </c>
    </row>
    <row r="1273" spans="1:7">
      <c r="A1273" s="884">
        <v>45239</v>
      </c>
      <c r="B1273" s="240" t="str">
        <f>TiposLancamentos!B65</f>
        <v>Taxi</v>
      </c>
      <c r="C1273" s="878" t="s">
        <v>11443</v>
      </c>
      <c r="D1273" s="63"/>
      <c r="E1273" s="231">
        <v>7.75</v>
      </c>
      <c r="F1273" s="1016"/>
      <c r="G1273" s="1152" t="s">
        <v>9</v>
      </c>
    </row>
    <row r="1274" spans="1:7">
      <c r="A1274" s="884">
        <v>45239</v>
      </c>
      <c r="B1274" s="240" t="str">
        <f>TiposLancamentos!B65</f>
        <v>Taxi</v>
      </c>
      <c r="C1274" s="878" t="s">
        <v>11444</v>
      </c>
      <c r="D1274" s="63"/>
      <c r="E1274" s="231">
        <v>26.73</v>
      </c>
      <c r="F1274" s="1016"/>
      <c r="G1274" s="1152" t="s">
        <v>9</v>
      </c>
    </row>
    <row r="1275" spans="1:7">
      <c r="A1275" s="884">
        <v>45239</v>
      </c>
      <c r="B1275" s="240" t="str">
        <f>TiposLancamentos!B31</f>
        <v>Action Figures</v>
      </c>
      <c r="C1275" s="878" t="s">
        <v>11445</v>
      </c>
      <c r="D1275" s="63"/>
      <c r="E1275" s="231">
        <f>F1275/3</f>
        <v>143.33000000000001</v>
      </c>
      <c r="F1275" s="1016">
        <v>429.99</v>
      </c>
      <c r="G1275" s="1152" t="s">
        <v>9</v>
      </c>
    </row>
    <row r="1276" spans="1:7">
      <c r="A1276" s="884">
        <v>45240</v>
      </c>
      <c r="B1276" s="240" t="str">
        <f>TiposLancamentos!B19</f>
        <v>Restaurantes</v>
      </c>
      <c r="C1276" s="878" t="s">
        <v>11446</v>
      </c>
      <c r="D1276" s="63"/>
      <c r="E1276" s="231">
        <v>68.790000000000006</v>
      </c>
      <c r="F1276" s="1016"/>
      <c r="G1276" s="1152" t="s">
        <v>9</v>
      </c>
    </row>
    <row r="1277" spans="1:7">
      <c r="A1277" s="884">
        <v>45240</v>
      </c>
      <c r="B1277" s="240" t="str">
        <f>TiposLancamentos!B65</f>
        <v>Taxi</v>
      </c>
      <c r="C1277" s="878" t="s">
        <v>11447</v>
      </c>
      <c r="D1277" s="63"/>
      <c r="E1277" s="231">
        <v>34.93</v>
      </c>
      <c r="F1277" s="1016"/>
      <c r="G1277" s="1152" t="s">
        <v>9</v>
      </c>
    </row>
    <row r="1278" spans="1:7">
      <c r="A1278" s="884">
        <v>45241</v>
      </c>
      <c r="B1278" s="240" t="str">
        <f>TiposLancamentos!B71</f>
        <v>Itens Pessoais</v>
      </c>
      <c r="C1278" s="878" t="s">
        <v>11448</v>
      </c>
      <c r="D1278" s="63"/>
      <c r="E1278" s="231">
        <f>F1278/12</f>
        <v>358.25</v>
      </c>
      <c r="F1278" s="1016">
        <v>4299</v>
      </c>
      <c r="G1278" s="1152" t="s">
        <v>9</v>
      </c>
    </row>
    <row r="1279" spans="1:7">
      <c r="A1279" s="884">
        <v>45245</v>
      </c>
      <c r="B1279" s="240" t="str">
        <f>TiposLancamentos!B16</f>
        <v>Cristiane</v>
      </c>
      <c r="C1279" s="878" t="s">
        <v>11449</v>
      </c>
      <c r="D1279" s="63"/>
      <c r="E1279" s="231">
        <f>F1279/10</f>
        <v>449.9</v>
      </c>
      <c r="F1279" s="1016">
        <v>4499</v>
      </c>
      <c r="G1279" s="1152" t="s">
        <v>9</v>
      </c>
    </row>
    <row r="1280" spans="1:7">
      <c r="A1280" s="884">
        <v>45245</v>
      </c>
      <c r="B1280" s="240" t="str">
        <f>TiposLancamentos!B48</f>
        <v>Baralhos e Oráculos</v>
      </c>
      <c r="C1280" s="878" t="s">
        <v>11450</v>
      </c>
      <c r="D1280" s="63"/>
      <c r="E1280" s="231">
        <v>52.51</v>
      </c>
      <c r="F1280" s="1016">
        <v>314.81</v>
      </c>
      <c r="G1280" s="1152" t="s">
        <v>9</v>
      </c>
    </row>
    <row r="1281" spans="1:7">
      <c r="A1281" s="884">
        <v>45247</v>
      </c>
      <c r="B1281" s="240" t="str">
        <f>TiposLancamentos!B19</f>
        <v>Restaurantes</v>
      </c>
      <c r="C1281" s="878" t="s">
        <v>8332</v>
      </c>
      <c r="D1281" s="63"/>
      <c r="E1281" s="231">
        <v>90.5</v>
      </c>
      <c r="F1281" s="1016"/>
      <c r="G1281" s="1152" t="s">
        <v>9</v>
      </c>
    </row>
    <row r="1282" spans="1:7">
      <c r="A1282" s="884">
        <v>45248</v>
      </c>
      <c r="B1282" s="240" t="str">
        <f>TiposLancamentos!B19</f>
        <v>Restaurantes</v>
      </c>
      <c r="C1282" s="878" t="s">
        <v>11451</v>
      </c>
      <c r="D1282" s="63"/>
      <c r="E1282" s="231">
        <v>90.9</v>
      </c>
      <c r="F1282" s="1016"/>
      <c r="G1282" s="1152" t="s">
        <v>9</v>
      </c>
    </row>
    <row r="1283" spans="1:7">
      <c r="A1283" s="934"/>
      <c r="B1283" s="243"/>
      <c r="C1283" s="389" t="s">
        <v>10</v>
      </c>
      <c r="D1283" s="146"/>
      <c r="E1283" s="146"/>
      <c r="F1283" s="1231"/>
      <c r="G1283" s="1094" t="s">
        <v>11</v>
      </c>
    </row>
    <row r="1284" spans="1:7">
      <c r="A1284" s="884">
        <v>45255</v>
      </c>
      <c r="B1284" s="240" t="str">
        <f>TiposLancamentos!B38</f>
        <v>Playstation 4</v>
      </c>
      <c r="C1284" s="878" t="s">
        <v>11452</v>
      </c>
      <c r="D1284" s="63"/>
      <c r="E1284" s="231">
        <v>59.97</v>
      </c>
      <c r="F1284" s="1016">
        <v>239.9</v>
      </c>
      <c r="G1284" s="1152" t="s">
        <v>9</v>
      </c>
    </row>
    <row r="1285" spans="1:7">
      <c r="A1285" s="884">
        <v>45255</v>
      </c>
      <c r="B1285" s="240" t="str">
        <f>TiposLancamentos!B40</f>
        <v>PS Vita Slim 2k</v>
      </c>
      <c r="C1285" s="878" t="s">
        <v>11453</v>
      </c>
      <c r="D1285" s="63"/>
      <c r="E1285" s="231">
        <f>F1285/6</f>
        <v>215</v>
      </c>
      <c r="F1285" s="1016">
        <v>1290</v>
      </c>
      <c r="G1285" s="1152" t="s">
        <v>9</v>
      </c>
    </row>
    <row r="1286" spans="1:7">
      <c r="A1286" s="884"/>
      <c r="B1286" s="240"/>
      <c r="C1286" s="878" t="s">
        <v>1868</v>
      </c>
      <c r="D1286" s="63"/>
      <c r="E1286" s="231"/>
      <c r="F1286" s="1016"/>
      <c r="G1286" s="3"/>
    </row>
    <row r="1287" spans="1:7">
      <c r="A1287" s="1684">
        <v>45256</v>
      </c>
      <c r="B1287" s="822" t="str">
        <f>TiposLancamentos!B57</f>
        <v>Informática</v>
      </c>
      <c r="C1287" s="1396" t="s">
        <v>11454</v>
      </c>
      <c r="D1287" s="747"/>
      <c r="E1287" s="1139">
        <f>F1287/6</f>
        <v>58.166666666666664</v>
      </c>
      <c r="F1287" s="1454">
        <v>349</v>
      </c>
      <c r="G1287" s="1152" t="s">
        <v>9</v>
      </c>
    </row>
    <row r="1288" spans="1:7">
      <c r="A1288" s="1685">
        <v>45256</v>
      </c>
      <c r="B1288" s="823" t="str">
        <f>TiposLancamentos!B41</f>
        <v>PSP Slim 3k</v>
      </c>
      <c r="C1288" s="1448" t="s">
        <v>11455</v>
      </c>
      <c r="D1288" s="849"/>
      <c r="E1288" s="1141">
        <v>17.71</v>
      </c>
      <c r="F1288" s="1456">
        <v>106.32</v>
      </c>
      <c r="G1288" s="1152" t="s">
        <v>9</v>
      </c>
    </row>
    <row r="1289" spans="1:7" ht="14.25" thickBot="1">
      <c r="A1289" s="884"/>
      <c r="B1289" s="240"/>
      <c r="C1289" s="878" t="s">
        <v>1868</v>
      </c>
      <c r="D1289" s="63"/>
      <c r="E1289" s="231"/>
      <c r="F1289" s="1016"/>
      <c r="G1289" s="3"/>
    </row>
    <row r="1290" spans="1:7">
      <c r="A1290" s="1032"/>
      <c r="B1290" s="1230"/>
      <c r="C1290" s="906" t="s">
        <v>1629</v>
      </c>
      <c r="D1290" s="896"/>
      <c r="E1290" s="925"/>
      <c r="F1290" s="1034">
        <f>SUM(E1252:E1283)-D1261</f>
        <v>2215.1816666666668</v>
      </c>
      <c r="G1290" s="1152" t="s">
        <v>9</v>
      </c>
    </row>
    <row r="1291" spans="1:7">
      <c r="A1291" s="884">
        <v>45261</v>
      </c>
      <c r="B1291" s="240" t="str">
        <f>TiposLancamentos!B15</f>
        <v>Cartões de Crédito</v>
      </c>
      <c r="C1291" s="878" t="s">
        <v>1874</v>
      </c>
      <c r="D1291" s="63">
        <v>2215.1799999999998</v>
      </c>
      <c r="E1291" s="231"/>
      <c r="F1291" s="1016">
        <f>F1290-F1268</f>
        <v>625.13000000000011</v>
      </c>
      <c r="G1291" s="1152" t="s">
        <v>9</v>
      </c>
    </row>
    <row r="1292" spans="1:7">
      <c r="A1292" s="884">
        <v>45261</v>
      </c>
      <c r="B1292" s="240" t="str">
        <f>TiposLancamentos!B26</f>
        <v>LIVROS</v>
      </c>
      <c r="C1292" s="878" t="s">
        <v>11456</v>
      </c>
      <c r="D1292" s="63"/>
      <c r="E1292" s="231">
        <f>F1292/6</f>
        <v>82.181666666666658</v>
      </c>
      <c r="F1292" s="1016">
        <v>493.09</v>
      </c>
      <c r="G1292" s="1152" t="s">
        <v>9</v>
      </c>
    </row>
    <row r="1293" spans="1:7">
      <c r="A1293" s="884">
        <v>45262</v>
      </c>
      <c r="B1293" s="240" t="str">
        <f>TiposLancamentos!B13</f>
        <v>Moradia</v>
      </c>
      <c r="C1293" s="878" t="s">
        <v>11457</v>
      </c>
      <c r="D1293" s="63"/>
      <c r="E1293" s="231">
        <v>106.17</v>
      </c>
      <c r="F1293" s="1016">
        <v>637.05999999999995</v>
      </c>
      <c r="G1293" s="1152" t="s">
        <v>9</v>
      </c>
    </row>
    <row r="1294" spans="1:7">
      <c r="A1294" s="884">
        <v>45266</v>
      </c>
      <c r="B1294" s="240" t="str">
        <f>TiposLancamentos!B71</f>
        <v>Itens Pessoais</v>
      </c>
      <c r="C1294" s="878" t="s">
        <v>11458</v>
      </c>
      <c r="D1294" s="63"/>
      <c r="E1294" s="231">
        <v>177.34</v>
      </c>
      <c r="F1294" s="1016">
        <v>532</v>
      </c>
      <c r="G1294" s="1152" t="s">
        <v>9</v>
      </c>
    </row>
    <row r="1295" spans="1:7">
      <c r="A1295" s="884">
        <v>45269</v>
      </c>
      <c r="B1295" s="240" t="str">
        <f>TiposLancamentos!B31</f>
        <v>Action Figures</v>
      </c>
      <c r="C1295" s="878" t="s">
        <v>11459</v>
      </c>
      <c r="D1295" s="63"/>
      <c r="E1295" s="231">
        <f>F1295/3</f>
        <v>143.33000000000001</v>
      </c>
      <c r="F1295" s="1016">
        <v>429.99</v>
      </c>
      <c r="G1295" s="1152" t="s">
        <v>9</v>
      </c>
    </row>
    <row r="1296" spans="1:7">
      <c r="A1296" s="884">
        <v>45269</v>
      </c>
      <c r="B1296" s="240" t="str">
        <f>TiposLancamentos!B13</f>
        <v>Moradia</v>
      </c>
      <c r="C1296" s="878" t="s">
        <v>11460</v>
      </c>
      <c r="D1296" s="63"/>
      <c r="E1296" s="231">
        <v>211.77</v>
      </c>
      <c r="F1296" s="1016">
        <v>2540.8000000000002</v>
      </c>
      <c r="G1296" s="1152" t="s">
        <v>9</v>
      </c>
    </row>
    <row r="1297" spans="1:7">
      <c r="A1297" s="884">
        <v>45269</v>
      </c>
      <c r="B1297" s="240" t="str">
        <f>TiposLancamentos!B13</f>
        <v>Moradia</v>
      </c>
      <c r="C1297" s="878" t="s">
        <v>11461</v>
      </c>
      <c r="D1297" s="63"/>
      <c r="E1297" s="231">
        <v>41.74</v>
      </c>
      <c r="F1297" s="1016">
        <v>500</v>
      </c>
      <c r="G1297" s="1152" t="s">
        <v>9</v>
      </c>
    </row>
    <row r="1298" spans="1:7">
      <c r="A1298" s="884">
        <v>45271</v>
      </c>
      <c r="B1298" s="240" t="str">
        <f>TiposLancamentos!B71</f>
        <v>Itens Pessoais</v>
      </c>
      <c r="C1298" s="878" t="s">
        <v>11462</v>
      </c>
      <c r="D1298" s="63"/>
      <c r="E1298" s="231">
        <f>F1298/12</f>
        <v>358.25</v>
      </c>
      <c r="F1298" s="1016">
        <v>4299</v>
      </c>
      <c r="G1298" s="1152" t="s">
        <v>9</v>
      </c>
    </row>
    <row r="1299" spans="1:7">
      <c r="A1299" s="884">
        <v>45275</v>
      </c>
      <c r="B1299" s="240" t="str">
        <f>TiposLancamentos!B16</f>
        <v>Cristiane</v>
      </c>
      <c r="C1299" s="878" t="s">
        <v>11463</v>
      </c>
      <c r="D1299" s="63"/>
      <c r="E1299" s="231">
        <f>F1299/10</f>
        <v>449.9</v>
      </c>
      <c r="F1299" s="1016">
        <v>4499</v>
      </c>
      <c r="G1299" s="1152" t="s">
        <v>9</v>
      </c>
    </row>
    <row r="1300" spans="1:7">
      <c r="A1300" s="884">
        <v>45275</v>
      </c>
      <c r="B1300" s="240" t="str">
        <f>TiposLancamentos!B48</f>
        <v>Baralhos e Oráculos</v>
      </c>
      <c r="C1300" s="878" t="s">
        <v>11464</v>
      </c>
      <c r="D1300" s="63"/>
      <c r="E1300" s="231">
        <v>52.46</v>
      </c>
      <c r="F1300" s="1016">
        <v>314.81</v>
      </c>
      <c r="G1300" s="1152" t="s">
        <v>9</v>
      </c>
    </row>
    <row r="1301" spans="1:7">
      <c r="A1301" s="884">
        <v>45275</v>
      </c>
      <c r="B1301" s="240" t="str">
        <f>TiposLancamentos!B102</f>
        <v>ESTORNO</v>
      </c>
      <c r="C1301" s="878" t="str">
        <f>C1294</f>
        <v>RB3519 004/71 59-15 Chumbo Verde Classic (01/03)</v>
      </c>
      <c r="D1301" s="63">
        <f>E1294</f>
        <v>177.34</v>
      </c>
      <c r="E1301" s="231"/>
      <c r="F1301" s="1016"/>
      <c r="G1301" s="3"/>
    </row>
    <row r="1302" spans="1:7">
      <c r="A1302" s="934"/>
      <c r="B1302" s="243"/>
      <c r="C1302" s="389" t="s">
        <v>10</v>
      </c>
      <c r="D1302" s="146"/>
      <c r="E1302" s="146"/>
      <c r="F1302" s="1231"/>
      <c r="G1302" s="1094" t="s">
        <v>11</v>
      </c>
    </row>
    <row r="1303" spans="1:7">
      <c r="A1303" s="884">
        <v>45285</v>
      </c>
      <c r="B1303" s="240" t="str">
        <f>TiposLancamentos!B40</f>
        <v>PS Vita Slim 2k</v>
      </c>
      <c r="C1303" s="878" t="s">
        <v>11465</v>
      </c>
      <c r="D1303" s="63"/>
      <c r="E1303" s="231">
        <f>F1303/6</f>
        <v>215</v>
      </c>
      <c r="F1303" s="1016">
        <v>1290</v>
      </c>
      <c r="G1303" s="1152" t="s">
        <v>9</v>
      </c>
    </row>
    <row r="1304" spans="1:7">
      <c r="A1304" s="884"/>
      <c r="B1304" s="240"/>
      <c r="C1304" s="878" t="s">
        <v>1868</v>
      </c>
      <c r="D1304" s="63"/>
      <c r="E1304" s="231"/>
      <c r="F1304" s="1016"/>
      <c r="G1304" s="3"/>
    </row>
    <row r="1305" spans="1:7">
      <c r="A1305" s="1684">
        <v>45286</v>
      </c>
      <c r="B1305" s="822" t="str">
        <f>TiposLancamentos!B57</f>
        <v>Informática</v>
      </c>
      <c r="C1305" s="1396" t="s">
        <v>11466</v>
      </c>
      <c r="D1305" s="747"/>
      <c r="E1305" s="1139">
        <v>58.16</v>
      </c>
      <c r="F1305" s="1454">
        <v>349</v>
      </c>
      <c r="G1305" s="1152" t="s">
        <v>9</v>
      </c>
    </row>
    <row r="1306" spans="1:7">
      <c r="A1306" s="1685">
        <v>45286</v>
      </c>
      <c r="B1306" s="823" t="str">
        <f>TiposLancamentos!B41</f>
        <v>PSP Slim 3k</v>
      </c>
      <c r="C1306" s="1448" t="s">
        <v>11467</v>
      </c>
      <c r="D1306" s="849"/>
      <c r="E1306" s="1141">
        <f>F1306/6</f>
        <v>17.72</v>
      </c>
      <c r="F1306" s="1456">
        <v>106.32</v>
      </c>
      <c r="G1306" s="1152" t="s">
        <v>9</v>
      </c>
    </row>
    <row r="1307" spans="1:7" ht="14.25" thickBot="1">
      <c r="A1307" s="884"/>
      <c r="B1307" s="240"/>
      <c r="C1307" s="878" t="s">
        <v>1868</v>
      </c>
      <c r="D1307" s="63"/>
      <c r="E1307" s="231"/>
      <c r="F1307" s="1016"/>
      <c r="G1307" s="3"/>
    </row>
    <row r="1308" spans="1:7">
      <c r="A1308" s="1032"/>
      <c r="B1308" s="1230"/>
      <c r="C1308" s="906" t="s">
        <v>1630</v>
      </c>
      <c r="D1308" s="896"/>
      <c r="E1308" s="925"/>
      <c r="F1308" s="1034">
        <f>SUM(E1283:E1302)-D1301</f>
        <v>1796.6483333333338</v>
      </c>
      <c r="G1308" s="3"/>
    </row>
    <row r="1309" spans="1:7">
      <c r="A1309" s="884">
        <v>45293</v>
      </c>
      <c r="B1309" s="240" t="str">
        <f>TiposLancamentos!B15</f>
        <v>Cartões de Crédito</v>
      </c>
      <c r="C1309" s="878" t="s">
        <v>1874</v>
      </c>
      <c r="D1309" s="63">
        <v>1796.65</v>
      </c>
      <c r="E1309" s="231"/>
      <c r="F1309" s="1016">
        <f>F1308-F1290</f>
        <v>-418.53333333333308</v>
      </c>
      <c r="G1309" s="1152" t="s">
        <v>9</v>
      </c>
    </row>
    <row r="1310" spans="1:7">
      <c r="A1310" s="884">
        <v>45293</v>
      </c>
      <c r="B1310" s="240" t="str">
        <f>TiposLancamentos!B13</f>
        <v>Moradia</v>
      </c>
      <c r="C1310" s="878" t="s">
        <v>11468</v>
      </c>
      <c r="D1310" s="63"/>
      <c r="E1310" s="231">
        <v>106.17</v>
      </c>
      <c r="F1310" s="1016">
        <v>637.05999999999995</v>
      </c>
      <c r="G1310" s="1152" t="s">
        <v>9</v>
      </c>
    </row>
    <row r="1311" spans="1:7">
      <c r="A1311" s="884">
        <v>45300</v>
      </c>
      <c r="B1311" s="240" t="str">
        <f>TiposLancamentos!B31</f>
        <v>Action Figures</v>
      </c>
      <c r="C1311" s="878" t="s">
        <v>11469</v>
      </c>
      <c r="D1311" s="63"/>
      <c r="E1311" s="231">
        <f>F1311/3</f>
        <v>143.33000000000001</v>
      </c>
      <c r="F1311" s="1016">
        <v>429.99</v>
      </c>
      <c r="G1311" s="1152" t="s">
        <v>9</v>
      </c>
    </row>
    <row r="1312" spans="1:7">
      <c r="A1312" s="884">
        <v>45300</v>
      </c>
      <c r="B1312" s="240" t="str">
        <f>TiposLancamentos!B13</f>
        <v>Moradia</v>
      </c>
      <c r="C1312" s="878" t="s">
        <v>11470</v>
      </c>
      <c r="D1312" s="63"/>
      <c r="E1312" s="231">
        <f>F1312/12</f>
        <v>211.73333333333335</v>
      </c>
      <c r="F1312" s="1016">
        <v>2540.8000000000002</v>
      </c>
      <c r="G1312" s="1152" t="s">
        <v>9</v>
      </c>
    </row>
    <row r="1313" spans="1:7">
      <c r="A1313" s="884">
        <v>45300</v>
      </c>
      <c r="B1313" s="240" t="str">
        <f>TiposLancamentos!B13</f>
        <v>Moradia</v>
      </c>
      <c r="C1313" s="878" t="s">
        <v>11471</v>
      </c>
      <c r="D1313" s="63"/>
      <c r="E1313" s="231">
        <v>41.66</v>
      </c>
      <c r="F1313" s="1016">
        <v>500</v>
      </c>
      <c r="G1313" s="1152" t="s">
        <v>9</v>
      </c>
    </row>
    <row r="1314" spans="1:7">
      <c r="A1314" s="884">
        <v>44937</v>
      </c>
      <c r="B1314" s="240" t="str">
        <f>TiposLancamentos!B71</f>
        <v>Itens Pessoais</v>
      </c>
      <c r="C1314" s="878" t="s">
        <v>11472</v>
      </c>
      <c r="D1314" s="63"/>
      <c r="E1314" s="231">
        <f>F1314/12</f>
        <v>358.25</v>
      </c>
      <c r="F1314" s="1016">
        <v>4299</v>
      </c>
      <c r="G1314" s="1152" t="s">
        <v>9</v>
      </c>
    </row>
    <row r="1315" spans="1:7">
      <c r="A1315" s="884">
        <v>45306</v>
      </c>
      <c r="B1315" s="240" t="str">
        <f>TiposLancamentos!B16</f>
        <v>Cristiane</v>
      </c>
      <c r="C1315" s="878" t="s">
        <v>11473</v>
      </c>
      <c r="D1315" s="63"/>
      <c r="E1315" s="231">
        <f>F1315/10</f>
        <v>449.9</v>
      </c>
      <c r="F1315" s="1016">
        <v>4499</v>
      </c>
      <c r="G1315" s="1152" t="s">
        <v>9</v>
      </c>
    </row>
    <row r="1316" spans="1:7">
      <c r="A1316" s="884">
        <v>45306</v>
      </c>
      <c r="B1316" s="240" t="str">
        <f>TiposLancamentos!B48</f>
        <v>Baralhos e Oráculos</v>
      </c>
      <c r="C1316" s="878" t="s">
        <v>11474</v>
      </c>
      <c r="D1316" s="63"/>
      <c r="E1316" s="231">
        <v>52.46</v>
      </c>
      <c r="F1316" s="1016">
        <v>314.81</v>
      </c>
      <c r="G1316" s="1152" t="s">
        <v>9</v>
      </c>
    </row>
    <row r="1317" spans="1:7">
      <c r="A1317" s="934"/>
      <c r="B1317" s="243"/>
      <c r="C1317" s="389" t="s">
        <v>10</v>
      </c>
      <c r="D1317" s="146"/>
      <c r="E1317" s="146"/>
      <c r="F1317" s="1231"/>
      <c r="G1317" s="1094" t="s">
        <v>11</v>
      </c>
    </row>
    <row r="1318" spans="1:7">
      <c r="A1318" s="884">
        <v>45316</v>
      </c>
      <c r="B1318" s="240" t="str">
        <f>TiposLancamentos!B40</f>
        <v>PS Vita Slim 2k</v>
      </c>
      <c r="C1318" s="878" t="s">
        <v>11475</v>
      </c>
      <c r="D1318" s="63"/>
      <c r="E1318" s="231">
        <f>F1318/6</f>
        <v>215</v>
      </c>
      <c r="F1318" s="1016">
        <v>1290</v>
      </c>
      <c r="G1318" s="1152" t="s">
        <v>9</v>
      </c>
    </row>
    <row r="1319" spans="1:7">
      <c r="A1319" s="884"/>
      <c r="B1319" s="240"/>
      <c r="C1319" s="878" t="s">
        <v>1868</v>
      </c>
      <c r="D1319" s="63"/>
      <c r="E1319" s="231"/>
      <c r="F1319" s="1016"/>
      <c r="G1319" s="3"/>
    </row>
    <row r="1320" spans="1:7">
      <c r="A1320" s="1684">
        <v>44952</v>
      </c>
      <c r="B1320" s="822" t="str">
        <f>TiposLancamentos!B57</f>
        <v>Informática</v>
      </c>
      <c r="C1320" s="1396" t="s">
        <v>11476</v>
      </c>
      <c r="D1320" s="747"/>
      <c r="E1320" s="1139">
        <f>F1320/6</f>
        <v>58.166666666666664</v>
      </c>
      <c r="F1320" s="1454">
        <v>349</v>
      </c>
      <c r="G1320" s="1152" t="s">
        <v>9</v>
      </c>
    </row>
    <row r="1321" spans="1:7">
      <c r="A1321" s="1685">
        <v>44952</v>
      </c>
      <c r="B1321" s="823" t="str">
        <f>TiposLancamentos!B41</f>
        <v>PSP Slim 3k</v>
      </c>
      <c r="C1321" s="1448" t="s">
        <v>11477</v>
      </c>
      <c r="D1321" s="849"/>
      <c r="E1321" s="1141">
        <v>17.71</v>
      </c>
      <c r="F1321" s="1456">
        <v>106.32</v>
      </c>
      <c r="G1321" s="1152" t="s">
        <v>9</v>
      </c>
    </row>
    <row r="1322" spans="1:7" ht="14.25" thickBot="1">
      <c r="A1322" s="884"/>
      <c r="B1322" s="240"/>
      <c r="C1322" s="878" t="s">
        <v>1868</v>
      </c>
      <c r="D1322" s="63"/>
      <c r="E1322" s="231"/>
      <c r="F1322" s="1016"/>
      <c r="G1322" s="3"/>
    </row>
    <row r="1323" spans="1:7">
      <c r="A1323" s="1032"/>
      <c r="B1323" s="1230"/>
      <c r="C1323" s="906" t="s">
        <v>11478</v>
      </c>
      <c r="D1323" s="896"/>
      <c r="E1323" s="925"/>
      <c r="F1323" s="1034">
        <f>SUM(E1302:E1317)</f>
        <v>1654.3833333333332</v>
      </c>
      <c r="G1323" s="3"/>
    </row>
    <row r="1324" spans="1:7">
      <c r="A1324" s="884">
        <v>45323</v>
      </c>
      <c r="B1324" s="240" t="str">
        <f>TiposLancamentos!B15</f>
        <v>Cartões de Crédito</v>
      </c>
      <c r="C1324" s="878" t="s">
        <v>1874</v>
      </c>
      <c r="D1324" s="63">
        <v>1654.38</v>
      </c>
      <c r="E1324" s="231"/>
      <c r="F1324" s="1016">
        <f>F1323-F1308</f>
        <v>-142.26500000000055</v>
      </c>
      <c r="G1324" s="1152" t="s">
        <v>9</v>
      </c>
    </row>
    <row r="1325" spans="1:7">
      <c r="A1325" s="884">
        <v>45324</v>
      </c>
      <c r="B1325" s="240" t="str">
        <f>TiposLancamentos!B13</f>
        <v>Moradia</v>
      </c>
      <c r="C1325" s="878" t="s">
        <v>11479</v>
      </c>
      <c r="D1325" s="63"/>
      <c r="E1325" s="231">
        <v>106.17</v>
      </c>
      <c r="F1325" s="1016">
        <v>637.05999999999995</v>
      </c>
      <c r="G1325" s="1152" t="s">
        <v>9</v>
      </c>
    </row>
    <row r="1326" spans="1:7">
      <c r="A1326" s="884">
        <v>45331</v>
      </c>
      <c r="B1326" s="240" t="str">
        <f>TiposLancamentos!B13</f>
        <v>Moradia</v>
      </c>
      <c r="C1326" s="878" t="s">
        <v>11480</v>
      </c>
      <c r="D1326" s="63"/>
      <c r="E1326" s="231">
        <f>F1326/12</f>
        <v>211.73333333333335</v>
      </c>
      <c r="F1326" s="1016">
        <v>2540.8000000000002</v>
      </c>
      <c r="G1326" s="1152" t="s">
        <v>9</v>
      </c>
    </row>
    <row r="1327" spans="1:7">
      <c r="A1327" s="884">
        <v>45331</v>
      </c>
      <c r="B1327" s="240" t="str">
        <f>TiposLancamentos!B13</f>
        <v>Moradia</v>
      </c>
      <c r="C1327" s="878" t="s">
        <v>11481</v>
      </c>
      <c r="D1327" s="63"/>
      <c r="E1327" s="231">
        <v>41.66</v>
      </c>
      <c r="F1327" s="1016">
        <v>500</v>
      </c>
      <c r="G1327" s="1152" t="s">
        <v>9</v>
      </c>
    </row>
    <row r="1328" spans="1:7">
      <c r="A1328" s="884">
        <v>45333</v>
      </c>
      <c r="B1328" s="240" t="str">
        <f>TiposLancamentos!B71</f>
        <v>Itens Pessoais</v>
      </c>
      <c r="C1328" s="878" t="s">
        <v>11482</v>
      </c>
      <c r="D1328" s="63"/>
      <c r="E1328" s="231">
        <f>F1328/12</f>
        <v>358.25</v>
      </c>
      <c r="F1328" s="1016">
        <v>4299</v>
      </c>
      <c r="G1328" s="1152" t="s">
        <v>9</v>
      </c>
    </row>
    <row r="1329" spans="1:7">
      <c r="A1329" s="884">
        <v>45337</v>
      </c>
      <c r="B1329" s="240" t="str">
        <f>TiposLancamentos!B16</f>
        <v>Cristiane</v>
      </c>
      <c r="C1329" s="878" t="s">
        <v>11483</v>
      </c>
      <c r="D1329" s="63"/>
      <c r="E1329" s="231">
        <f>F1329/10</f>
        <v>449.9</v>
      </c>
      <c r="F1329" s="1016">
        <v>4499</v>
      </c>
      <c r="G1329" s="1152" t="s">
        <v>9</v>
      </c>
    </row>
    <row r="1330" spans="1:7">
      <c r="A1330" s="884">
        <v>45337</v>
      </c>
      <c r="B1330" s="240" t="str">
        <f>TiposLancamentos!B48</f>
        <v>Baralhos e Oráculos</v>
      </c>
      <c r="C1330" s="878" t="s">
        <v>11484</v>
      </c>
      <c r="D1330" s="63"/>
      <c r="E1330" s="231">
        <v>52.46</v>
      </c>
      <c r="F1330" s="1016">
        <v>314.81</v>
      </c>
      <c r="G1330" s="1152" t="s">
        <v>9</v>
      </c>
    </row>
    <row r="1331" spans="1:7">
      <c r="A1331" s="934"/>
      <c r="B1331" s="243"/>
      <c r="C1331" s="389" t="s">
        <v>10</v>
      </c>
      <c r="D1331" s="146"/>
      <c r="E1331" s="146"/>
      <c r="F1331" s="1231"/>
      <c r="G1331" s="1094" t="s">
        <v>11</v>
      </c>
    </row>
    <row r="1332" spans="1:7">
      <c r="A1332" s="884"/>
      <c r="B1332" s="240"/>
      <c r="C1332" s="878" t="s">
        <v>1868</v>
      </c>
      <c r="D1332" s="63"/>
      <c r="E1332" s="231"/>
      <c r="F1332" s="1016"/>
      <c r="G1332" s="3"/>
    </row>
    <row r="1333" spans="1:7">
      <c r="A1333" s="806">
        <v>44983</v>
      </c>
      <c r="B1333" s="822" t="str">
        <f>TiposLancamentos!B57</f>
        <v>Informática</v>
      </c>
      <c r="C1333" s="1396" t="s">
        <v>11485</v>
      </c>
      <c r="D1333" s="747"/>
      <c r="E1333" s="1139">
        <f>F1333/6</f>
        <v>58.166666666666664</v>
      </c>
      <c r="F1333" s="1454">
        <v>349</v>
      </c>
      <c r="G1333" s="1152" t="s">
        <v>9</v>
      </c>
    </row>
    <row r="1334" spans="1:7">
      <c r="A1334" s="810">
        <v>44983</v>
      </c>
      <c r="B1334" s="823" t="str">
        <f>TiposLancamentos!B41</f>
        <v>PSP Slim 3k</v>
      </c>
      <c r="C1334" s="1448" t="s">
        <v>11486</v>
      </c>
      <c r="D1334" s="849"/>
      <c r="E1334" s="1141">
        <f>F1334/6</f>
        <v>17.72</v>
      </c>
      <c r="F1334" s="1456">
        <v>106.32</v>
      </c>
      <c r="G1334" s="1152" t="s">
        <v>9</v>
      </c>
    </row>
    <row r="1335" spans="1:7" ht="14.25" thickBot="1">
      <c r="A1335" s="884"/>
      <c r="B1335" s="240"/>
      <c r="C1335" s="878" t="s">
        <v>1868</v>
      </c>
      <c r="D1335" s="63"/>
      <c r="E1335" s="231"/>
      <c r="F1335" s="1016"/>
      <c r="G1335" s="3"/>
    </row>
    <row r="1336" spans="1:7">
      <c r="A1336" s="1032"/>
      <c r="B1336" s="1230"/>
      <c r="C1336" s="906" t="s">
        <v>1632</v>
      </c>
      <c r="D1336" s="896"/>
      <c r="E1336" s="925"/>
      <c r="F1336" s="1034">
        <f>SUM(E1317:E1331)</f>
        <v>1511.05</v>
      </c>
      <c r="G1336" s="3"/>
    </row>
    <row r="1337" spans="1:7">
      <c r="A1337" s="884">
        <v>45352</v>
      </c>
      <c r="B1337" s="240" t="str">
        <f>TiposLancamentos!B15</f>
        <v>Cartões de Crédito</v>
      </c>
      <c r="C1337" s="878" t="s">
        <v>1874</v>
      </c>
      <c r="D1337" s="63">
        <v>1511.05</v>
      </c>
      <c r="E1337" s="231"/>
      <c r="F1337" s="1016">
        <f>F1336-F1323</f>
        <v>-143.33333333333326</v>
      </c>
      <c r="G1337" s="1152" t="s">
        <v>9</v>
      </c>
    </row>
    <row r="1338" spans="1:7">
      <c r="A1338" s="884">
        <v>45353</v>
      </c>
      <c r="B1338" s="240" t="str">
        <f>TiposLancamentos!B13</f>
        <v>Moradia</v>
      </c>
      <c r="C1338" s="878" t="s">
        <v>11487</v>
      </c>
      <c r="D1338" s="63"/>
      <c r="E1338" s="231">
        <f>F1338/6</f>
        <v>106.17666666666666</v>
      </c>
      <c r="F1338" s="1016">
        <v>637.05999999999995</v>
      </c>
      <c r="G1338" s="1152" t="s">
        <v>9</v>
      </c>
    </row>
    <row r="1339" spans="1:7">
      <c r="A1339" s="884">
        <v>45360</v>
      </c>
      <c r="B1339" s="240" t="str">
        <f>TiposLancamentos!B13</f>
        <v>Moradia</v>
      </c>
      <c r="C1339" s="878" t="s">
        <v>11488</v>
      </c>
      <c r="D1339" s="63"/>
      <c r="E1339" s="231">
        <f>F1339/12</f>
        <v>211.73333333333335</v>
      </c>
      <c r="F1339" s="1016">
        <v>2540.8000000000002</v>
      </c>
      <c r="G1339" s="1152" t="s">
        <v>9</v>
      </c>
    </row>
    <row r="1340" spans="1:7">
      <c r="A1340" s="884">
        <v>45360</v>
      </c>
      <c r="B1340" s="240" t="str">
        <f>TiposLancamentos!B13</f>
        <v>Moradia</v>
      </c>
      <c r="C1340" s="878" t="s">
        <v>11489</v>
      </c>
      <c r="D1340" s="63"/>
      <c r="E1340" s="231">
        <f>F1340/12</f>
        <v>41.666666666666664</v>
      </c>
      <c r="F1340" s="1016">
        <v>500</v>
      </c>
      <c r="G1340" s="1152" t="s">
        <v>9</v>
      </c>
    </row>
    <row r="1341" spans="1:7">
      <c r="A1341" s="884">
        <v>45362</v>
      </c>
      <c r="B1341" s="240" t="str">
        <f>TiposLancamentos!B71</f>
        <v>Itens Pessoais</v>
      </c>
      <c r="C1341" s="878" t="s">
        <v>11490</v>
      </c>
      <c r="D1341" s="63"/>
      <c r="E1341" s="231">
        <f>F1341/12</f>
        <v>358.25</v>
      </c>
      <c r="F1341" s="1016">
        <v>4299</v>
      </c>
      <c r="G1341" s="1152" t="s">
        <v>9</v>
      </c>
    </row>
    <row r="1342" spans="1:7">
      <c r="A1342" s="884">
        <v>45366</v>
      </c>
      <c r="B1342" s="240" t="str">
        <f>TiposLancamentos!B16</f>
        <v>Cristiane</v>
      </c>
      <c r="C1342" s="878" t="s">
        <v>11491</v>
      </c>
      <c r="D1342" s="63"/>
      <c r="E1342" s="231">
        <f>F1342/10</f>
        <v>449.9</v>
      </c>
      <c r="F1342" s="1016">
        <v>4499</v>
      </c>
      <c r="G1342" s="1152" t="s">
        <v>9</v>
      </c>
    </row>
    <row r="1343" spans="1:7">
      <c r="A1343" s="884">
        <v>45366</v>
      </c>
      <c r="B1343" s="240" t="str">
        <f>TiposLancamentos!B48</f>
        <v>Baralhos e Oráculos</v>
      </c>
      <c r="C1343" s="878" t="s">
        <v>11492</v>
      </c>
      <c r="D1343" s="63"/>
      <c r="E1343" s="231">
        <f>F1343/6</f>
        <v>52.468333333333334</v>
      </c>
      <c r="F1343" s="1016">
        <v>314.81</v>
      </c>
      <c r="G1343" s="1152" t="s">
        <v>9</v>
      </c>
    </row>
    <row r="1344" spans="1:7">
      <c r="A1344" s="884">
        <v>45371</v>
      </c>
      <c r="B1344" s="240" t="str">
        <f>TiposLancamentos!B57</f>
        <v>Informática</v>
      </c>
      <c r="C1344" s="878" t="s">
        <v>11493</v>
      </c>
      <c r="D1344" s="63"/>
      <c r="E1344" s="231">
        <f>F1344/6</f>
        <v>122.41666666666667</v>
      </c>
      <c r="F1344" s="1016">
        <v>734.5</v>
      </c>
      <c r="G1344" s="1152" t="s">
        <v>9</v>
      </c>
    </row>
    <row r="1345" spans="1:7">
      <c r="A1345" s="934"/>
      <c r="B1345" s="243"/>
      <c r="C1345" s="389" t="s">
        <v>10</v>
      </c>
      <c r="D1345" s="146"/>
      <c r="E1345" s="146"/>
      <c r="F1345" s="1231"/>
      <c r="G1345" s="1094" t="s">
        <v>11</v>
      </c>
    </row>
    <row r="1346" spans="1:7" ht="14.25" thickBot="1">
      <c r="A1346" s="884"/>
      <c r="B1346" s="240"/>
      <c r="C1346" s="878" t="s">
        <v>1947</v>
      </c>
      <c r="D1346" s="63"/>
      <c r="E1346" s="231"/>
      <c r="F1346" s="1016"/>
      <c r="G1346" s="3"/>
    </row>
    <row r="1347" spans="1:7">
      <c r="A1347" s="1032"/>
      <c r="B1347" s="1230"/>
      <c r="C1347" s="906" t="s">
        <v>1633</v>
      </c>
      <c r="D1347" s="896"/>
      <c r="E1347" s="925"/>
      <c r="F1347" s="1034">
        <f>SUM(E1331:E1345)</f>
        <v>1418.4983333333332</v>
      </c>
      <c r="G1347" s="3"/>
    </row>
    <row r="1348" spans="1:7">
      <c r="A1348" s="884">
        <v>45383</v>
      </c>
      <c r="B1348" s="240" t="str">
        <f>TiposLancamentos!B15</f>
        <v>Cartões de Crédito</v>
      </c>
      <c r="C1348" s="878" t="s">
        <v>1874</v>
      </c>
      <c r="D1348" s="63">
        <v>1418.5</v>
      </c>
      <c r="E1348" s="231"/>
      <c r="F1348" s="1016">
        <f>F1347-F1336</f>
        <v>-92.551666666666733</v>
      </c>
      <c r="G1348" s="1152" t="s">
        <v>9</v>
      </c>
    </row>
    <row r="1349" spans="1:7">
      <c r="A1349" s="884">
        <v>45384</v>
      </c>
      <c r="B1349" s="240" t="str">
        <f>TiposLancamentos!B13</f>
        <v>Moradia</v>
      </c>
      <c r="C1349" s="878" t="s">
        <v>11494</v>
      </c>
      <c r="D1349" s="63"/>
      <c r="E1349" s="231">
        <v>106.17</v>
      </c>
      <c r="F1349" s="1016">
        <v>637.05999999999995</v>
      </c>
      <c r="G1349" s="1152" t="s">
        <v>9</v>
      </c>
    </row>
    <row r="1350" spans="1:7">
      <c r="A1350" s="884">
        <v>45390</v>
      </c>
      <c r="B1350" s="240" t="str">
        <f>TiposLancamentos!B70</f>
        <v>Vestuário</v>
      </c>
      <c r="C1350" s="878" t="s">
        <v>11495</v>
      </c>
      <c r="D1350" s="63"/>
      <c r="E1350" s="231">
        <f>F1350/4</f>
        <v>74.989999999999995</v>
      </c>
      <c r="F1350" s="1016">
        <v>299.95999999999998</v>
      </c>
      <c r="G1350" s="1152" t="s">
        <v>9</v>
      </c>
    </row>
    <row r="1351" spans="1:7">
      <c r="A1351" s="884">
        <v>45391</v>
      </c>
      <c r="B1351" s="240" t="str">
        <f>TiposLancamentos!B13</f>
        <v>Moradia</v>
      </c>
      <c r="C1351" s="878" t="s">
        <v>11496</v>
      </c>
      <c r="D1351" s="63"/>
      <c r="E1351" s="231">
        <f>F1351/12</f>
        <v>211.73333333333335</v>
      </c>
      <c r="F1351" s="1016">
        <v>2540.8000000000002</v>
      </c>
      <c r="G1351" s="1152" t="s">
        <v>9</v>
      </c>
    </row>
    <row r="1352" spans="1:7">
      <c r="A1352" s="884">
        <v>45391</v>
      </c>
      <c r="B1352" s="240" t="str">
        <f>TiposLancamentos!B13</f>
        <v>Moradia</v>
      </c>
      <c r="C1352" s="878" t="s">
        <v>11497</v>
      </c>
      <c r="D1352" s="63"/>
      <c r="E1352" s="231">
        <v>41.66</v>
      </c>
      <c r="F1352" s="1016">
        <v>500</v>
      </c>
      <c r="G1352" s="1152" t="s">
        <v>9</v>
      </c>
    </row>
    <row r="1353" spans="1:7">
      <c r="A1353" s="884">
        <v>45393</v>
      </c>
      <c r="B1353" s="240" t="str">
        <f>TiposLancamentos!B71</f>
        <v>Itens Pessoais</v>
      </c>
      <c r="C1353" s="878" t="s">
        <v>11498</v>
      </c>
      <c r="D1353" s="63"/>
      <c r="E1353" s="231">
        <f>F1353/12</f>
        <v>358.25</v>
      </c>
      <c r="F1353" s="1016">
        <v>4299</v>
      </c>
      <c r="G1353" s="1152" t="s">
        <v>9</v>
      </c>
    </row>
    <row r="1354" spans="1:7">
      <c r="A1354" s="884">
        <v>45397</v>
      </c>
      <c r="B1354" s="240" t="str">
        <f>TiposLancamentos!B16</f>
        <v>Cristiane</v>
      </c>
      <c r="C1354" s="878" t="s">
        <v>11499</v>
      </c>
      <c r="D1354" s="63"/>
      <c r="E1354" s="231">
        <f>F1354/10</f>
        <v>449.9</v>
      </c>
      <c r="F1354" s="1016">
        <v>4499</v>
      </c>
      <c r="G1354" s="1152" t="s">
        <v>9</v>
      </c>
    </row>
    <row r="1355" spans="1:7">
      <c r="A1355" s="884">
        <v>45397</v>
      </c>
      <c r="B1355" s="240" t="str">
        <f>TiposLancamentos!B48</f>
        <v>Baralhos e Oráculos</v>
      </c>
      <c r="C1355" s="878" t="s">
        <v>11500</v>
      </c>
      <c r="D1355" s="63"/>
      <c r="E1355" s="231">
        <v>52.46</v>
      </c>
      <c r="F1355" s="1016">
        <v>314.81</v>
      </c>
      <c r="G1355" s="1152" t="s">
        <v>9</v>
      </c>
    </row>
    <row r="1356" spans="1:7">
      <c r="A1356" s="884">
        <v>45398</v>
      </c>
      <c r="B1356" s="240" t="str">
        <f>TiposLancamentos!B22</f>
        <v>Combustivel</v>
      </c>
      <c r="C1356" s="878" t="s">
        <v>11501</v>
      </c>
      <c r="D1356" s="63"/>
      <c r="E1356" s="231">
        <v>100.64</v>
      </c>
      <c r="F1356" s="1016"/>
      <c r="G1356" s="1152" t="s">
        <v>9</v>
      </c>
    </row>
    <row r="1357" spans="1:7">
      <c r="A1357" s="884">
        <v>45398</v>
      </c>
      <c r="B1357" s="240" t="str">
        <f>TiposLancamentos!B24</f>
        <v>Estacionamentos</v>
      </c>
      <c r="C1357" s="878" t="s">
        <v>1898</v>
      </c>
      <c r="D1357" s="63"/>
      <c r="E1357" s="231">
        <v>20</v>
      </c>
      <c r="F1357" s="1016"/>
      <c r="G1357" s="1152" t="s">
        <v>9</v>
      </c>
    </row>
    <row r="1358" spans="1:7">
      <c r="A1358" s="884">
        <v>45398</v>
      </c>
      <c r="B1358" s="240" t="str">
        <f>TiposLancamentos!B19</f>
        <v>Restaurantes</v>
      </c>
      <c r="C1358" s="878" t="s">
        <v>1967</v>
      </c>
      <c r="D1358" s="63"/>
      <c r="E1358" s="231">
        <v>48.4</v>
      </c>
      <c r="F1358" s="1016"/>
      <c r="G1358" s="1152" t="s">
        <v>9</v>
      </c>
    </row>
    <row r="1359" spans="1:7">
      <c r="A1359" s="884">
        <v>45402</v>
      </c>
      <c r="B1359" s="240" t="str">
        <f>TiposLancamentos!B57</f>
        <v>Informática</v>
      </c>
      <c r="C1359" s="878" t="s">
        <v>11502</v>
      </c>
      <c r="D1359" s="63"/>
      <c r="E1359" s="231">
        <v>122.41</v>
      </c>
      <c r="F1359" s="1016">
        <v>734.5</v>
      </c>
      <c r="G1359" s="1152" t="s">
        <v>9</v>
      </c>
    </row>
    <row r="1360" spans="1:7">
      <c r="A1360" s="934"/>
      <c r="B1360" s="243"/>
      <c r="C1360" s="389" t="s">
        <v>10</v>
      </c>
      <c r="D1360" s="146"/>
      <c r="E1360" s="146"/>
      <c r="F1360" s="1231"/>
      <c r="G1360" s="1094" t="s">
        <v>11</v>
      </c>
    </row>
    <row r="1361" spans="1:7" ht="14.25" thickBot="1">
      <c r="A1361" s="884"/>
      <c r="B1361" s="240"/>
      <c r="C1361" s="878" t="s">
        <v>1947</v>
      </c>
      <c r="D1361" s="63"/>
      <c r="E1361" s="231"/>
      <c r="F1361" s="1016"/>
      <c r="G1361" s="3"/>
    </row>
    <row r="1362" spans="1:7">
      <c r="A1362" s="1032"/>
      <c r="B1362" s="1230"/>
      <c r="C1362" s="906" t="s">
        <v>1622</v>
      </c>
      <c r="D1362" s="896"/>
      <c r="E1362" s="925"/>
      <c r="F1362" s="1034">
        <f>SUM(E1345:E1360)</f>
        <v>1586.6133333333337</v>
      </c>
      <c r="G1362" s="3"/>
    </row>
    <row r="1363" spans="1:7">
      <c r="A1363" s="884">
        <v>45413</v>
      </c>
      <c r="B1363" s="240" t="str">
        <f>TiposLancamentos!B15</f>
        <v>Cartões de Crédito</v>
      </c>
      <c r="C1363" s="878" t="s">
        <v>1874</v>
      </c>
      <c r="D1363" s="63">
        <v>1586.61</v>
      </c>
      <c r="E1363" s="231"/>
      <c r="F1363" s="1016">
        <f>F1362-F1347</f>
        <v>168.11500000000046</v>
      </c>
      <c r="G1363" s="1152" t="s">
        <v>9</v>
      </c>
    </row>
    <row r="1364" spans="1:7">
      <c r="A1364" s="884">
        <v>45420</v>
      </c>
      <c r="B1364" s="240" t="str">
        <f>TiposLancamentos!B70</f>
        <v>Vestuário</v>
      </c>
      <c r="C1364" s="878" t="s">
        <v>11503</v>
      </c>
      <c r="D1364" s="63"/>
      <c r="E1364" s="231">
        <f>F1364/4</f>
        <v>74.989999999999995</v>
      </c>
      <c r="F1364" s="1016">
        <v>299.95999999999998</v>
      </c>
      <c r="G1364" s="1152" t="s">
        <v>9</v>
      </c>
    </row>
    <row r="1365" spans="1:7">
      <c r="A1365" s="884">
        <v>45421</v>
      </c>
      <c r="B1365" s="240" t="str">
        <f>TiposLancamentos!B13</f>
        <v>Moradia</v>
      </c>
      <c r="C1365" s="878" t="s">
        <v>11504</v>
      </c>
      <c r="D1365" s="63"/>
      <c r="E1365" s="231">
        <f>F1365/12</f>
        <v>211.73333333333335</v>
      </c>
      <c r="F1365" s="1016">
        <v>2540.8000000000002</v>
      </c>
      <c r="G1365" s="1152" t="s">
        <v>9</v>
      </c>
    </row>
    <row r="1366" spans="1:7">
      <c r="A1366" s="884">
        <v>45421</v>
      </c>
      <c r="B1366" s="240" t="str">
        <f>TiposLancamentos!B13</f>
        <v>Moradia</v>
      </c>
      <c r="C1366" s="878" t="s">
        <v>11505</v>
      </c>
      <c r="D1366" s="63"/>
      <c r="E1366" s="231">
        <v>41.66</v>
      </c>
      <c r="F1366" s="1016">
        <v>500</v>
      </c>
      <c r="G1366" s="1152" t="s">
        <v>9</v>
      </c>
    </row>
    <row r="1367" spans="1:7">
      <c r="A1367" s="884">
        <v>45423</v>
      </c>
      <c r="B1367" s="240" t="str">
        <f>TiposLancamentos!B71</f>
        <v>Itens Pessoais</v>
      </c>
      <c r="C1367" s="878" t="s">
        <v>11506</v>
      </c>
      <c r="D1367" s="63"/>
      <c r="E1367" s="231">
        <f>F1367/12</f>
        <v>358.25</v>
      </c>
      <c r="F1367" s="1016">
        <v>4299</v>
      </c>
      <c r="G1367" s="1152" t="s">
        <v>9</v>
      </c>
    </row>
    <row r="1368" spans="1:7">
      <c r="A1368" s="884">
        <v>45427</v>
      </c>
      <c r="B1368" s="240" t="str">
        <f>TiposLancamentos!B16</f>
        <v>Cristiane</v>
      </c>
      <c r="C1368" s="878" t="s">
        <v>11507</v>
      </c>
      <c r="D1368" s="63"/>
      <c r="E1368" s="231">
        <f>F1368/10</f>
        <v>449.9</v>
      </c>
      <c r="F1368" s="1016">
        <v>4499</v>
      </c>
      <c r="G1368" s="1152" t="s">
        <v>9</v>
      </c>
    </row>
    <row r="1369" spans="1:7">
      <c r="A1369" s="884">
        <v>45432</v>
      </c>
      <c r="B1369" s="240" t="str">
        <f>TiposLancamentos!B57</f>
        <v>Informática</v>
      </c>
      <c r="C1369" s="878" t="s">
        <v>11508</v>
      </c>
      <c r="D1369" s="63"/>
      <c r="E1369" s="231">
        <v>122.41</v>
      </c>
      <c r="F1369" s="1016">
        <v>734.5</v>
      </c>
      <c r="G1369" s="1152" t="s">
        <v>9</v>
      </c>
    </row>
    <row r="1370" spans="1:7">
      <c r="A1370" s="934"/>
      <c r="B1370" s="243"/>
      <c r="C1370" s="389" t="s">
        <v>10</v>
      </c>
      <c r="D1370" s="146"/>
      <c r="E1370" s="146"/>
      <c r="F1370" s="1231"/>
      <c r="G1370" s="1094" t="s">
        <v>11</v>
      </c>
    </row>
    <row r="1371" spans="1:7">
      <c r="A1371" s="884"/>
      <c r="B1371" s="240"/>
      <c r="C1371" s="878" t="s">
        <v>1947</v>
      </c>
      <c r="D1371" s="63"/>
      <c r="E1371" s="231"/>
      <c r="F1371" s="1016"/>
      <c r="G1371" s="3"/>
    </row>
    <row r="1372" spans="1:7" ht="14.25" thickBot="1">
      <c r="A1372" s="884">
        <v>45443</v>
      </c>
      <c r="B1372" s="240" t="str">
        <f>TiposLancamentos!B16</f>
        <v>Cristiane</v>
      </c>
      <c r="C1372" s="878" t="s">
        <v>11509</v>
      </c>
      <c r="D1372" s="63"/>
      <c r="E1372" s="231">
        <f>F1372/4</f>
        <v>162.5</v>
      </c>
      <c r="F1372" s="1016">
        <v>650</v>
      </c>
      <c r="G1372" s="1152" t="s">
        <v>9</v>
      </c>
    </row>
    <row r="1373" spans="1:7">
      <c r="A1373" s="1032"/>
      <c r="B1373" s="1230"/>
      <c r="C1373" s="906" t="s">
        <v>1635</v>
      </c>
      <c r="D1373" s="896"/>
      <c r="E1373" s="925"/>
      <c r="F1373" s="1034">
        <f>SUM(E1360:E1370)</f>
        <v>1258.9433333333334</v>
      </c>
      <c r="G1373" s="3"/>
    </row>
    <row r="1374" spans="1:7">
      <c r="A1374" s="884">
        <v>45445</v>
      </c>
      <c r="B1374" s="240" t="str">
        <f>TiposLancamentos!B15</f>
        <v>Cartões de Crédito</v>
      </c>
      <c r="C1374" s="878" t="s">
        <v>1874</v>
      </c>
      <c r="D1374" s="63">
        <v>1258.94</v>
      </c>
      <c r="E1374" s="231"/>
      <c r="F1374" s="1016">
        <f>F1373-F1362</f>
        <v>-327.6700000000003</v>
      </c>
      <c r="G1374" s="1152" t="s">
        <v>9</v>
      </c>
    </row>
    <row r="1375" spans="1:7">
      <c r="A1375" s="884">
        <v>45451</v>
      </c>
      <c r="B1375" s="240" t="str">
        <f>TiposLancamentos!B70</f>
        <v>Vestuário</v>
      </c>
      <c r="C1375" s="878" t="s">
        <v>11510</v>
      </c>
      <c r="D1375" s="63"/>
      <c r="E1375" s="231">
        <f>F1375/4</f>
        <v>74.989999999999995</v>
      </c>
      <c r="F1375" s="1016">
        <v>299.95999999999998</v>
      </c>
      <c r="G1375" s="1152" t="s">
        <v>9</v>
      </c>
    </row>
    <row r="1376" spans="1:7">
      <c r="A1376" s="884">
        <v>45452</v>
      </c>
      <c r="B1376" s="240" t="str">
        <f>TiposLancamentos!B70</f>
        <v>Vestuário</v>
      </c>
      <c r="C1376" s="878" t="s">
        <v>11511</v>
      </c>
      <c r="D1376" s="63"/>
      <c r="E1376" s="231">
        <v>243.26</v>
      </c>
      <c r="F1376" s="1016">
        <v>729.8</v>
      </c>
      <c r="G1376" s="1152" t="s">
        <v>9</v>
      </c>
    </row>
    <row r="1377" spans="1:7">
      <c r="A1377" s="884">
        <v>45452</v>
      </c>
      <c r="B1377" s="240" t="str">
        <f>TiposLancamentos!B13</f>
        <v>Moradia</v>
      </c>
      <c r="C1377" s="878" t="s">
        <v>11512</v>
      </c>
      <c r="D1377" s="63"/>
      <c r="E1377" s="231">
        <f>F1377/12</f>
        <v>211.73333333333335</v>
      </c>
      <c r="F1377" s="1016">
        <v>2540.8000000000002</v>
      </c>
      <c r="G1377" s="1152" t="s">
        <v>9</v>
      </c>
    </row>
    <row r="1378" spans="1:7">
      <c r="A1378" s="884">
        <v>45452</v>
      </c>
      <c r="B1378" s="240" t="str">
        <f>TiposLancamentos!B13</f>
        <v>Moradia</v>
      </c>
      <c r="C1378" s="878" t="s">
        <v>11513</v>
      </c>
      <c r="D1378" s="63"/>
      <c r="E1378" s="231">
        <v>41.66</v>
      </c>
      <c r="F1378" s="1016">
        <v>500</v>
      </c>
      <c r="G1378" s="1152" t="s">
        <v>9</v>
      </c>
    </row>
    <row r="1379" spans="1:7">
      <c r="A1379" s="884">
        <v>45454</v>
      </c>
      <c r="B1379" s="240" t="str">
        <f>TiposLancamentos!B71</f>
        <v>Itens Pessoais</v>
      </c>
      <c r="C1379" s="878" t="s">
        <v>11514</v>
      </c>
      <c r="D1379" s="63"/>
      <c r="E1379" s="231">
        <f>F1379/12</f>
        <v>358.25</v>
      </c>
      <c r="F1379" s="1016">
        <v>4299</v>
      </c>
      <c r="G1379" s="1152" t="s">
        <v>9</v>
      </c>
    </row>
    <row r="1380" spans="1:7">
      <c r="A1380" s="884">
        <v>45463</v>
      </c>
      <c r="B1380" s="240" t="str">
        <f>TiposLancamentos!B57</f>
        <v>Informática</v>
      </c>
      <c r="C1380" s="878" t="s">
        <v>11515</v>
      </c>
      <c r="D1380" s="63"/>
      <c r="E1380" s="231">
        <v>122.41</v>
      </c>
      <c r="F1380" s="1016">
        <v>734.5</v>
      </c>
      <c r="G1380" s="1152" t="s">
        <v>9</v>
      </c>
    </row>
    <row r="1381" spans="1:7">
      <c r="A1381" s="934"/>
      <c r="B1381" s="243"/>
      <c r="C1381" s="389" t="s">
        <v>10</v>
      </c>
      <c r="D1381" s="146"/>
      <c r="E1381" s="146"/>
      <c r="F1381" s="1231"/>
      <c r="G1381" s="1094" t="s">
        <v>11</v>
      </c>
    </row>
    <row r="1382" spans="1:7" ht="14.25" thickBot="1">
      <c r="A1382" s="884">
        <v>45473</v>
      </c>
      <c r="B1382" s="240" t="str">
        <f>TiposLancamentos!B16</f>
        <v>Cristiane</v>
      </c>
      <c r="C1382" s="878" t="s">
        <v>11516</v>
      </c>
      <c r="D1382" s="63"/>
      <c r="E1382" s="231">
        <f>F1382/4</f>
        <v>162.5</v>
      </c>
      <c r="F1382" s="1016">
        <v>650</v>
      </c>
      <c r="G1382" s="1152" t="s">
        <v>9</v>
      </c>
    </row>
    <row r="1383" spans="1:7">
      <c r="A1383" s="1032"/>
      <c r="B1383" s="1230"/>
      <c r="C1383" s="906" t="s">
        <v>1636</v>
      </c>
      <c r="D1383" s="896"/>
      <c r="E1383" s="925"/>
      <c r="F1383" s="1034">
        <f>SUM(E1371:E1381)</f>
        <v>1214.8033333333335</v>
      </c>
      <c r="G1383" s="3"/>
    </row>
    <row r="1384" spans="1:7">
      <c r="A1384" s="884">
        <v>45474</v>
      </c>
      <c r="B1384" s="240" t="str">
        <f>TiposLancamentos!B15</f>
        <v>Cartões de Crédito</v>
      </c>
      <c r="C1384" s="878" t="s">
        <v>1874</v>
      </c>
      <c r="D1384" s="63">
        <v>1214.8</v>
      </c>
      <c r="E1384" s="231"/>
      <c r="F1384" s="1016">
        <f>F1383-F1373</f>
        <v>-44.139999999999873</v>
      </c>
      <c r="G1384" s="1152" t="s">
        <v>9</v>
      </c>
    </row>
    <row r="1385" spans="1:7">
      <c r="A1385" s="884">
        <v>45478</v>
      </c>
      <c r="B1385" s="240" t="str">
        <f>TiposLancamentos!B57</f>
        <v>Informática</v>
      </c>
      <c r="C1385" s="878" t="s">
        <v>11517</v>
      </c>
      <c r="D1385" s="63"/>
      <c r="E1385" s="231">
        <f>F1385/12</f>
        <v>604.12833333333333</v>
      </c>
      <c r="F1385" s="1016">
        <v>7249.54</v>
      </c>
      <c r="G1385" s="1152" t="s">
        <v>9</v>
      </c>
    </row>
    <row r="1386" spans="1:7">
      <c r="A1386" s="884">
        <v>45481</v>
      </c>
      <c r="B1386" s="240" t="str">
        <f>TiposLancamentos!B70</f>
        <v>Vestuário</v>
      </c>
      <c r="C1386" s="878" t="s">
        <v>11518</v>
      </c>
      <c r="D1386" s="63"/>
      <c r="E1386" s="231">
        <f>F1386/4</f>
        <v>74.989999999999995</v>
      </c>
      <c r="F1386" s="1016">
        <v>299.95999999999998</v>
      </c>
      <c r="G1386" s="1152" t="s">
        <v>9</v>
      </c>
    </row>
    <row r="1387" spans="1:7">
      <c r="A1387" s="884">
        <v>45482</v>
      </c>
      <c r="B1387" s="240" t="str">
        <f>TiposLancamentos!B70</f>
        <v>Vestuário</v>
      </c>
      <c r="C1387" s="878" t="s">
        <v>11519</v>
      </c>
      <c r="D1387" s="63"/>
      <c r="E1387" s="231">
        <f>F1387/3</f>
        <v>243.26666666666665</v>
      </c>
      <c r="F1387" s="1016">
        <v>729.8</v>
      </c>
      <c r="G1387" s="1152" t="s">
        <v>9</v>
      </c>
    </row>
    <row r="1388" spans="1:7">
      <c r="A1388" s="884">
        <v>45482</v>
      </c>
      <c r="B1388" s="240" t="str">
        <f>TiposLancamentos!B13</f>
        <v>Moradia</v>
      </c>
      <c r="C1388" s="878" t="s">
        <v>11520</v>
      </c>
      <c r="D1388" s="63"/>
      <c r="E1388" s="231">
        <f>F1388/12</f>
        <v>211.73333333333335</v>
      </c>
      <c r="F1388" s="1016">
        <v>2540.8000000000002</v>
      </c>
      <c r="G1388" s="1152" t="s">
        <v>9</v>
      </c>
    </row>
    <row r="1389" spans="1:7">
      <c r="A1389" s="884">
        <v>45482</v>
      </c>
      <c r="B1389" s="240" t="str">
        <f>TiposLancamentos!B13</f>
        <v>Moradia</v>
      </c>
      <c r="C1389" s="878" t="s">
        <v>11521</v>
      </c>
      <c r="D1389" s="63"/>
      <c r="E1389" s="231">
        <v>41.66</v>
      </c>
      <c r="F1389" s="1016">
        <v>500</v>
      </c>
      <c r="G1389" s="1152" t="s">
        <v>9</v>
      </c>
    </row>
    <row r="1390" spans="1:7">
      <c r="A1390" s="884">
        <v>45484</v>
      </c>
      <c r="B1390" s="240" t="str">
        <f>TiposLancamentos!B71</f>
        <v>Itens Pessoais</v>
      </c>
      <c r="C1390" s="878" t="s">
        <v>11522</v>
      </c>
      <c r="D1390" s="63"/>
      <c r="E1390" s="231">
        <f>F1390/12</f>
        <v>358.25</v>
      </c>
      <c r="F1390" s="1016">
        <v>4299</v>
      </c>
      <c r="G1390" s="1152" t="s">
        <v>9</v>
      </c>
    </row>
    <row r="1391" spans="1:7">
      <c r="A1391" s="884">
        <v>45493</v>
      </c>
      <c r="B1391" s="240" t="str">
        <f>TiposLancamentos!B57</f>
        <v>Informática</v>
      </c>
      <c r="C1391" s="878" t="s">
        <v>11523</v>
      </c>
      <c r="D1391" s="63"/>
      <c r="E1391" s="231">
        <v>122.41</v>
      </c>
      <c r="F1391" s="1016">
        <v>734.5</v>
      </c>
      <c r="G1391" s="1152" t="s">
        <v>9</v>
      </c>
    </row>
    <row r="1392" spans="1:7">
      <c r="A1392" s="934"/>
      <c r="B1392" s="243"/>
      <c r="C1392" s="389" t="s">
        <v>10</v>
      </c>
      <c r="D1392" s="146"/>
      <c r="E1392" s="146"/>
      <c r="F1392" s="1231"/>
      <c r="G1392" s="1094" t="s">
        <v>11</v>
      </c>
    </row>
    <row r="1393" spans="1:7">
      <c r="A1393" s="884"/>
      <c r="B1393" s="240"/>
      <c r="C1393" s="878" t="s">
        <v>1868</v>
      </c>
      <c r="D1393" s="63"/>
      <c r="E1393" s="231"/>
      <c r="F1393" s="1016"/>
      <c r="G1393" s="3"/>
    </row>
    <row r="1394" spans="1:7">
      <c r="A1394" s="884">
        <v>45504</v>
      </c>
      <c r="B1394" s="240" t="str">
        <f>TiposLancamentos!B16</f>
        <v>Cristiane</v>
      </c>
      <c r="C1394" s="878" t="s">
        <v>11524</v>
      </c>
      <c r="D1394" s="63"/>
      <c r="E1394" s="231">
        <f>F1394/4</f>
        <v>162.5</v>
      </c>
      <c r="F1394" s="1016">
        <v>650</v>
      </c>
      <c r="G1394" s="1152" t="s">
        <v>9</v>
      </c>
    </row>
    <row r="1395" spans="1:7" ht="14.25" thickBot="1">
      <c r="A1395" s="884"/>
      <c r="B1395" s="240"/>
      <c r="C1395" s="878" t="s">
        <v>1868</v>
      </c>
      <c r="D1395" s="63"/>
      <c r="E1395" s="231"/>
      <c r="F1395" s="1016"/>
      <c r="G1395" s="3"/>
    </row>
    <row r="1396" spans="1:7">
      <c r="A1396" s="1032"/>
      <c r="B1396" s="1230"/>
      <c r="C1396" s="906" t="s">
        <v>1637</v>
      </c>
      <c r="D1396" s="896"/>
      <c r="E1396" s="925"/>
      <c r="F1396" s="1034">
        <f>SUM(E1381:E1392)</f>
        <v>1818.9383333333335</v>
      </c>
      <c r="G1396" s="3"/>
    </row>
    <row r="1397" spans="1:7">
      <c r="A1397" s="884">
        <v>45505</v>
      </c>
      <c r="B1397" s="240" t="str">
        <f>TiposLancamentos!B15</f>
        <v>Cartões de Crédito</v>
      </c>
      <c r="C1397" s="878" t="s">
        <v>1874</v>
      </c>
      <c r="D1397" s="63">
        <v>1818.94</v>
      </c>
      <c r="E1397" s="231"/>
      <c r="F1397" s="1016">
        <f>F1396-F1383</f>
        <v>604.13499999999999</v>
      </c>
      <c r="G1397" s="1152" t="s">
        <v>9</v>
      </c>
    </row>
    <row r="1398" spans="1:7">
      <c r="A1398" s="884">
        <v>45506</v>
      </c>
      <c r="B1398" s="240" t="str">
        <f>TiposLancamentos!B23</f>
        <v>P208 GRIFFE 1.6 AUT BUSINESS</v>
      </c>
      <c r="C1398" s="878" t="s">
        <v>11525</v>
      </c>
      <c r="D1398" s="63"/>
      <c r="E1398" s="231">
        <f>F1398/4</f>
        <v>420</v>
      </c>
      <c r="F1398" s="1016">
        <v>1680</v>
      </c>
      <c r="G1398" s="1152" t="s">
        <v>9</v>
      </c>
    </row>
    <row r="1399" spans="1:7">
      <c r="A1399" s="884">
        <v>45509</v>
      </c>
      <c r="B1399" s="240" t="str">
        <f>TiposLancamentos!B57</f>
        <v>Informática</v>
      </c>
      <c r="C1399" s="878" t="s">
        <v>11526</v>
      </c>
      <c r="D1399" s="63"/>
      <c r="E1399" s="231">
        <f>F1399/12</f>
        <v>604.12833333333333</v>
      </c>
      <c r="F1399" s="1016">
        <v>7249.54</v>
      </c>
      <c r="G1399" s="1152" t="s">
        <v>9</v>
      </c>
    </row>
    <row r="1400" spans="1:7">
      <c r="A1400" s="884">
        <v>45510</v>
      </c>
      <c r="B1400" s="240" t="str">
        <f>TiposLancamentos!B57</f>
        <v>Informática</v>
      </c>
      <c r="C1400" s="878" t="s">
        <v>11527</v>
      </c>
      <c r="D1400" s="63"/>
      <c r="E1400" s="231">
        <v>132.97999999999999</v>
      </c>
      <c r="F1400" s="1016"/>
      <c r="G1400" s="1152" t="s">
        <v>9</v>
      </c>
    </row>
    <row r="1401" spans="1:7">
      <c r="A1401" s="884">
        <v>45510</v>
      </c>
      <c r="B1401" s="240" t="str">
        <f>TiposLancamentos!B4</f>
        <v>Taxas Bancarias</v>
      </c>
      <c r="C1401" s="878" t="s">
        <v>11528</v>
      </c>
      <c r="D1401" s="63"/>
      <c r="E1401" s="231">
        <v>5.82</v>
      </c>
      <c r="F1401" s="1016"/>
      <c r="G1401" s="1152" t="s">
        <v>9</v>
      </c>
    </row>
    <row r="1402" spans="1:7">
      <c r="A1402" s="884">
        <v>45510</v>
      </c>
      <c r="B1402" s="240" t="str">
        <f>TiposLancamentos!B57</f>
        <v>Informática</v>
      </c>
      <c r="C1402" s="878" t="s">
        <v>11529</v>
      </c>
      <c r="D1402" s="63"/>
      <c r="E1402" s="231">
        <v>26.89</v>
      </c>
      <c r="F1402" s="1016"/>
      <c r="G1402" s="1152" t="s">
        <v>9</v>
      </c>
    </row>
    <row r="1403" spans="1:7">
      <c r="A1403" s="884">
        <v>45513</v>
      </c>
      <c r="B1403" s="240" t="str">
        <f>TiposLancamentos!B70</f>
        <v>Vestuário</v>
      </c>
      <c r="C1403" s="878" t="s">
        <v>11530</v>
      </c>
      <c r="D1403" s="63"/>
      <c r="E1403" s="231">
        <f>F1403/3</f>
        <v>243.26666666666665</v>
      </c>
      <c r="F1403" s="1016">
        <v>729.8</v>
      </c>
      <c r="G1403" s="1152" t="s">
        <v>9</v>
      </c>
    </row>
    <row r="1404" spans="1:7">
      <c r="A1404" s="884">
        <v>45513</v>
      </c>
      <c r="B1404" s="240" t="str">
        <f>TiposLancamentos!B13</f>
        <v>Moradia</v>
      </c>
      <c r="C1404" s="878" t="s">
        <v>11531</v>
      </c>
      <c r="D1404" s="63"/>
      <c r="E1404" s="231">
        <f>F1404/12</f>
        <v>211.73333333333335</v>
      </c>
      <c r="F1404" s="1016">
        <v>2540.8000000000002</v>
      </c>
      <c r="G1404" s="1152" t="s">
        <v>9</v>
      </c>
    </row>
    <row r="1405" spans="1:7">
      <c r="A1405" s="884">
        <v>45513</v>
      </c>
      <c r="B1405" s="240" t="str">
        <f>TiposLancamentos!B13</f>
        <v>Moradia</v>
      </c>
      <c r="C1405" s="878" t="s">
        <v>11532</v>
      </c>
      <c r="D1405" s="63"/>
      <c r="E1405" s="231">
        <v>41.66</v>
      </c>
      <c r="F1405" s="1016">
        <v>500</v>
      </c>
      <c r="G1405" s="1152" t="s">
        <v>9</v>
      </c>
    </row>
    <row r="1406" spans="1:7">
      <c r="A1406" s="884">
        <v>45515</v>
      </c>
      <c r="B1406" s="240" t="str">
        <f>TiposLancamentos!B71</f>
        <v>Itens Pessoais</v>
      </c>
      <c r="C1406" s="878" t="s">
        <v>11533</v>
      </c>
      <c r="D1406" s="63"/>
      <c r="E1406" s="231">
        <f>F1406/12</f>
        <v>358.25</v>
      </c>
      <c r="F1406" s="1016">
        <v>4299</v>
      </c>
      <c r="G1406" s="1152" t="s">
        <v>9</v>
      </c>
    </row>
    <row r="1407" spans="1:7">
      <c r="A1407" s="884">
        <v>45516</v>
      </c>
      <c r="B1407" s="240" t="str">
        <f>TiposLancamentos!B31</f>
        <v>Action Figures</v>
      </c>
      <c r="C1407" s="878" t="s">
        <v>11534</v>
      </c>
      <c r="D1407" s="63"/>
      <c r="E1407" s="231">
        <f>F1407/3</f>
        <v>143.33000000000001</v>
      </c>
      <c r="F1407" s="1016">
        <v>429.99</v>
      </c>
      <c r="G1407" s="1152" t="s">
        <v>9</v>
      </c>
    </row>
    <row r="1408" spans="1:7">
      <c r="A1408" s="884">
        <v>45516</v>
      </c>
      <c r="B1408" s="240" t="str">
        <f>TiposLancamentos!B16</f>
        <v>Cristiane</v>
      </c>
      <c r="C1408" s="878" t="s">
        <v>11535</v>
      </c>
      <c r="D1408" s="63"/>
      <c r="E1408" s="231">
        <f>F1408/2</f>
        <v>204.48</v>
      </c>
      <c r="F1408" s="1016">
        <v>408.96</v>
      </c>
      <c r="G1408" s="1152" t="s">
        <v>9</v>
      </c>
    </row>
    <row r="1409" spans="1:7">
      <c r="A1409" s="884">
        <v>45524</v>
      </c>
      <c r="B1409" s="240" t="str">
        <f>TiposLancamentos!B57</f>
        <v>Informática</v>
      </c>
      <c r="C1409" s="878" t="s">
        <v>11536</v>
      </c>
      <c r="D1409" s="63"/>
      <c r="E1409" s="231">
        <v>122.41</v>
      </c>
      <c r="F1409" s="1016">
        <v>734.5</v>
      </c>
      <c r="G1409" s="1152" t="s">
        <v>9</v>
      </c>
    </row>
    <row r="1410" spans="1:7">
      <c r="A1410" s="934"/>
      <c r="B1410" s="243"/>
      <c r="C1410" s="389" t="s">
        <v>10</v>
      </c>
      <c r="D1410" s="146"/>
      <c r="E1410" s="146"/>
      <c r="F1410" s="1231"/>
      <c r="G1410" s="1094" t="s">
        <v>11</v>
      </c>
    </row>
    <row r="1411" spans="1:7" ht="14.25" thickBot="1">
      <c r="A1411" s="884">
        <v>45535</v>
      </c>
      <c r="B1411" s="240" t="str">
        <f>TiposLancamentos!B16</f>
        <v>Cristiane</v>
      </c>
      <c r="C1411" s="878" t="s">
        <v>11537</v>
      </c>
      <c r="D1411" s="63"/>
      <c r="E1411" s="231">
        <f>F1411/4</f>
        <v>162.5</v>
      </c>
      <c r="F1411" s="1016">
        <v>650</v>
      </c>
      <c r="G1411" s="1152" t="s">
        <v>9</v>
      </c>
    </row>
    <row r="1412" spans="1:7">
      <c r="A1412" s="1032"/>
      <c r="B1412" s="1230"/>
      <c r="C1412" s="906" t="s">
        <v>1638</v>
      </c>
      <c r="D1412" s="896"/>
      <c r="E1412" s="925"/>
      <c r="F1412" s="1034">
        <f>SUM(E1392:E1410)</f>
        <v>2677.4483333333333</v>
      </c>
      <c r="G1412" s="3"/>
    </row>
    <row r="1413" spans="1:7">
      <c r="A1413" s="884">
        <v>45536</v>
      </c>
      <c r="B1413" s="240" t="str">
        <f>TiposLancamentos!B15</f>
        <v>Cartões de Crédito</v>
      </c>
      <c r="C1413" s="878" t="s">
        <v>1874</v>
      </c>
      <c r="D1413" s="63">
        <v>2677.46</v>
      </c>
      <c r="E1413" s="231"/>
      <c r="F1413" s="1016">
        <f>F1412-F1396</f>
        <v>858.50999999999976</v>
      </c>
      <c r="G1413" s="3"/>
    </row>
    <row r="1414" spans="1:7">
      <c r="A1414" s="884">
        <v>45537</v>
      </c>
      <c r="B1414" s="240" t="str">
        <f>TiposLancamentos!B23</f>
        <v>P208 GRIFFE 1.6 AUT BUSINESS</v>
      </c>
      <c r="C1414" s="878" t="s">
        <v>11538</v>
      </c>
      <c r="D1414" s="63"/>
      <c r="E1414" s="231">
        <f>F1414/4</f>
        <v>420</v>
      </c>
      <c r="F1414" s="1016">
        <v>1680</v>
      </c>
      <c r="G1414" s="1152" t="s">
        <v>9</v>
      </c>
    </row>
    <row r="1415" spans="1:7">
      <c r="A1415" s="884">
        <v>45540</v>
      </c>
      <c r="B1415" s="240" t="str">
        <f>TiposLancamentos!B57</f>
        <v>Informática</v>
      </c>
      <c r="C1415" s="878" t="s">
        <v>11539</v>
      </c>
      <c r="D1415" s="63"/>
      <c r="E1415" s="231">
        <f>F1415/12</f>
        <v>604.12833333333333</v>
      </c>
      <c r="F1415" s="1016">
        <v>7249.54</v>
      </c>
      <c r="G1415" s="1152" t="s">
        <v>9</v>
      </c>
    </row>
    <row r="1416" spans="1:7">
      <c r="A1416" s="884">
        <v>45544</v>
      </c>
      <c r="B1416" s="240" t="str">
        <f>TiposLancamentos!B13</f>
        <v>Moradia</v>
      </c>
      <c r="C1416" s="878" t="s">
        <v>11540</v>
      </c>
      <c r="D1416" s="63"/>
      <c r="E1416" s="231">
        <f>F1416/12</f>
        <v>211.73333333333335</v>
      </c>
      <c r="F1416" s="1016">
        <v>2540.8000000000002</v>
      </c>
      <c r="G1416" s="1152" t="s">
        <v>9</v>
      </c>
    </row>
    <row r="1417" spans="1:7">
      <c r="A1417" s="884">
        <v>45544</v>
      </c>
      <c r="B1417" s="240" t="str">
        <f>TiposLancamentos!B13</f>
        <v>Moradia</v>
      </c>
      <c r="C1417" s="878" t="s">
        <v>11541</v>
      </c>
      <c r="D1417" s="63"/>
      <c r="E1417" s="231">
        <v>41.66</v>
      </c>
      <c r="F1417" s="1016">
        <v>500</v>
      </c>
      <c r="G1417" s="1152" t="s">
        <v>9</v>
      </c>
    </row>
    <row r="1418" spans="1:7">
      <c r="A1418" s="884">
        <v>45546</v>
      </c>
      <c r="B1418" s="240" t="str">
        <f>TiposLancamentos!B71</f>
        <v>Itens Pessoais</v>
      </c>
      <c r="C1418" s="878" t="s">
        <v>11542</v>
      </c>
      <c r="D1418" s="63"/>
      <c r="E1418" s="231">
        <f>F1418/12</f>
        <v>358.25</v>
      </c>
      <c r="F1418" s="1016">
        <v>4299</v>
      </c>
      <c r="G1418" s="1152" t="s">
        <v>9</v>
      </c>
    </row>
    <row r="1419" spans="1:7">
      <c r="A1419" s="884">
        <v>45547</v>
      </c>
      <c r="B1419" s="240" t="str">
        <f>TiposLancamentos!B31</f>
        <v>Action Figures</v>
      </c>
      <c r="C1419" s="878" t="s">
        <v>11543</v>
      </c>
      <c r="D1419" s="63"/>
      <c r="E1419" s="231">
        <f>F1419/3</f>
        <v>143.33000000000001</v>
      </c>
      <c r="F1419" s="1016">
        <v>429.99</v>
      </c>
      <c r="G1419" s="1152" t="s">
        <v>9</v>
      </c>
    </row>
    <row r="1420" spans="1:7">
      <c r="A1420" s="884">
        <v>45547</v>
      </c>
      <c r="B1420" s="240" t="str">
        <f>TiposLancamentos!B16</f>
        <v>Cristiane</v>
      </c>
      <c r="C1420" s="878" t="s">
        <v>11544</v>
      </c>
      <c r="D1420" s="63"/>
      <c r="E1420" s="231">
        <f>F1420/2</f>
        <v>204.48</v>
      </c>
      <c r="F1420" s="1016">
        <v>408.96</v>
      </c>
      <c r="G1420" s="1152" t="s">
        <v>9</v>
      </c>
    </row>
    <row r="1421" spans="1:7">
      <c r="A1421" s="934"/>
      <c r="B1421" s="243"/>
      <c r="C1421" s="389" t="s">
        <v>10</v>
      </c>
      <c r="D1421" s="146"/>
      <c r="E1421" s="146"/>
      <c r="F1421" s="1231"/>
      <c r="G1421" s="1094" t="s">
        <v>11</v>
      </c>
    </row>
    <row r="1422" spans="1:7" ht="14.25" thickBot="1">
      <c r="A1422" s="884"/>
      <c r="B1422" s="240"/>
      <c r="C1422" s="878" t="s">
        <v>1868</v>
      </c>
      <c r="D1422" s="63"/>
      <c r="E1422" s="231"/>
      <c r="F1422" s="1016"/>
      <c r="G1422" s="3"/>
    </row>
    <row r="1423" spans="1:7">
      <c r="A1423" s="1032"/>
      <c r="B1423" s="1230"/>
      <c r="C1423" s="906" t="s">
        <v>11545</v>
      </c>
      <c r="D1423" s="896"/>
      <c r="E1423" s="925"/>
      <c r="F1423" s="1034">
        <f>SUM(E1410:E1421)</f>
        <v>2146.0816666666665</v>
      </c>
      <c r="G1423" s="3"/>
    </row>
    <row r="1424" spans="1:7">
      <c r="A1424" s="884">
        <v>45566</v>
      </c>
      <c r="B1424" s="240" t="str">
        <f>TiposLancamentos!B15</f>
        <v>Cartões de Crédito</v>
      </c>
      <c r="C1424" s="878" t="s">
        <v>1874</v>
      </c>
      <c r="D1424" s="63">
        <v>2146.08</v>
      </c>
      <c r="E1424" s="231"/>
      <c r="F1424" s="1016">
        <f>F1423-F1412</f>
        <v>-531.36666666666679</v>
      </c>
      <c r="G1424" s="1152" t="s">
        <v>9</v>
      </c>
    </row>
    <row r="1425" spans="1:7">
      <c r="A1425" s="884">
        <v>45567</v>
      </c>
      <c r="B1425" s="240" t="str">
        <f>TiposLancamentos!B23</f>
        <v>P208 GRIFFE 1.6 AUT BUSINESS</v>
      </c>
      <c r="C1425" s="878" t="s">
        <v>11546</v>
      </c>
      <c r="D1425" s="63"/>
      <c r="E1425" s="231">
        <f>F1425/4</f>
        <v>420</v>
      </c>
      <c r="F1425" s="1016">
        <v>1680</v>
      </c>
      <c r="G1425" s="1152" t="s">
        <v>9</v>
      </c>
    </row>
    <row r="1426" spans="1:7">
      <c r="A1426" s="884">
        <v>45570</v>
      </c>
      <c r="B1426" s="240" t="str">
        <f>TiposLancamentos!B57</f>
        <v>Informática</v>
      </c>
      <c r="C1426" s="878" t="s">
        <v>11547</v>
      </c>
      <c r="D1426" s="63"/>
      <c r="E1426" s="231">
        <f>F1426/12</f>
        <v>604.12833333333333</v>
      </c>
      <c r="F1426" s="1016">
        <v>7249.54</v>
      </c>
      <c r="G1426" s="1152" t="s">
        <v>9</v>
      </c>
    </row>
    <row r="1427" spans="1:7">
      <c r="A1427" s="884">
        <v>45574</v>
      </c>
      <c r="B1427" s="240" t="str">
        <f>TiposLancamentos!B13</f>
        <v>Moradia</v>
      </c>
      <c r="C1427" s="878" t="s">
        <v>11548</v>
      </c>
      <c r="D1427" s="63"/>
      <c r="E1427" s="231">
        <f>F1427/12</f>
        <v>211.73333333333335</v>
      </c>
      <c r="F1427" s="1016">
        <v>2540.8000000000002</v>
      </c>
      <c r="G1427" s="1152" t="s">
        <v>9</v>
      </c>
    </row>
    <row r="1428" spans="1:7">
      <c r="A1428" s="884">
        <v>45574</v>
      </c>
      <c r="B1428" s="240" t="str">
        <f>TiposLancamentos!B13</f>
        <v>Moradia</v>
      </c>
      <c r="C1428" s="878" t="s">
        <v>11549</v>
      </c>
      <c r="D1428" s="63"/>
      <c r="E1428" s="231">
        <v>41.66</v>
      </c>
      <c r="F1428" s="1016">
        <v>500</v>
      </c>
      <c r="G1428" s="1152" t="s">
        <v>9</v>
      </c>
    </row>
    <row r="1429" spans="1:7">
      <c r="A1429" s="884">
        <v>45577</v>
      </c>
      <c r="B1429" s="240" t="str">
        <f>TiposLancamentos!B31</f>
        <v>Action Figures</v>
      </c>
      <c r="C1429" s="878" t="s">
        <v>11550</v>
      </c>
      <c r="D1429" s="63"/>
      <c r="E1429" s="231">
        <f>F1429/3</f>
        <v>143.33000000000001</v>
      </c>
      <c r="F1429" s="1016">
        <v>429.99</v>
      </c>
      <c r="G1429" s="1152" t="s">
        <v>9</v>
      </c>
    </row>
    <row r="1430" spans="1:7">
      <c r="A1430" s="934"/>
      <c r="B1430" s="243"/>
      <c r="C1430" s="389" t="s">
        <v>10</v>
      </c>
      <c r="D1430" s="146"/>
      <c r="E1430" s="146"/>
      <c r="F1430" s="1231"/>
      <c r="G1430" s="1094" t="s">
        <v>11</v>
      </c>
    </row>
    <row r="1431" spans="1:7" ht="14.25" thickBot="1">
      <c r="A1431" s="884"/>
      <c r="B1431" s="240"/>
      <c r="C1431" s="878" t="s">
        <v>1868</v>
      </c>
      <c r="D1431" s="63"/>
      <c r="E1431" s="231"/>
      <c r="F1431" s="1016"/>
      <c r="G1431" s="3"/>
    </row>
    <row r="1432" spans="1:7">
      <c r="A1432" s="1032"/>
      <c r="B1432" s="1230"/>
      <c r="C1432" s="906" t="s">
        <v>1640</v>
      </c>
      <c r="D1432" s="896"/>
      <c r="E1432" s="925"/>
      <c r="F1432" s="1034">
        <f>SUM(E1421:E1430)</f>
        <v>1420.8516666666667</v>
      </c>
      <c r="G1432" s="3"/>
    </row>
    <row r="1433" spans="1:7">
      <c r="A1433" s="884">
        <v>45597</v>
      </c>
      <c r="B1433" s="240" t="str">
        <f>TiposLancamentos!B15</f>
        <v>Cartões de Crédito</v>
      </c>
      <c r="C1433" s="878" t="s">
        <v>1874</v>
      </c>
      <c r="D1433" s="63">
        <v>1420.85</v>
      </c>
      <c r="E1433" s="231"/>
      <c r="F1433" s="1016">
        <f>F1432-F1423</f>
        <v>-725.22999999999979</v>
      </c>
      <c r="G1433" s="1152" t="s">
        <v>9</v>
      </c>
    </row>
    <row r="1434" spans="1:7">
      <c r="A1434" s="884">
        <v>45598</v>
      </c>
      <c r="B1434" s="240" t="str">
        <f>TiposLancamentos!B23</f>
        <v>P208 GRIFFE 1.6 AUT BUSINESS</v>
      </c>
      <c r="C1434" s="878" t="s">
        <v>11551</v>
      </c>
      <c r="D1434" s="63"/>
      <c r="E1434" s="231">
        <f>F1434/4</f>
        <v>420</v>
      </c>
      <c r="F1434" s="1016">
        <v>1680</v>
      </c>
      <c r="G1434" s="1152" t="s">
        <v>9</v>
      </c>
    </row>
    <row r="1435" spans="1:7">
      <c r="A1435" s="884">
        <v>45601</v>
      </c>
      <c r="B1435" s="240" t="str">
        <f>TiposLancamentos!B57</f>
        <v>Informática</v>
      </c>
      <c r="C1435" s="878" t="s">
        <v>11552</v>
      </c>
      <c r="D1435" s="63"/>
      <c r="E1435" s="231">
        <f>F1435/12</f>
        <v>604.12833333333333</v>
      </c>
      <c r="F1435" s="1016">
        <v>7249.54</v>
      </c>
      <c r="G1435" s="1152" t="s">
        <v>9</v>
      </c>
    </row>
    <row r="1436" spans="1:7">
      <c r="A1436" s="884">
        <v>45605</v>
      </c>
      <c r="B1436" s="240" t="str">
        <f>TiposLancamentos!B13</f>
        <v>Moradia</v>
      </c>
      <c r="C1436" s="878" t="s">
        <v>11553</v>
      </c>
      <c r="D1436" s="63"/>
      <c r="E1436" s="231">
        <f>F1436/12</f>
        <v>211.73333333333335</v>
      </c>
      <c r="F1436" s="1016">
        <v>2540.8000000000002</v>
      </c>
      <c r="G1436" s="1152" t="s">
        <v>9</v>
      </c>
    </row>
    <row r="1437" spans="1:7">
      <c r="A1437" s="884">
        <v>45605</v>
      </c>
      <c r="B1437" s="240" t="str">
        <f>TiposLancamentos!B13</f>
        <v>Moradia</v>
      </c>
      <c r="C1437" s="878" t="s">
        <v>11554</v>
      </c>
      <c r="D1437" s="63"/>
      <c r="E1437" s="231">
        <v>41.66</v>
      </c>
      <c r="F1437" s="1016">
        <v>500</v>
      </c>
      <c r="G1437" s="1152" t="s">
        <v>9</v>
      </c>
    </row>
    <row r="1438" spans="1:7">
      <c r="A1438" s="934"/>
      <c r="B1438" s="243"/>
      <c r="C1438" s="389" t="s">
        <v>10</v>
      </c>
      <c r="D1438" s="146"/>
      <c r="E1438" s="146"/>
      <c r="F1438" s="1231"/>
      <c r="G1438" s="1094" t="s">
        <v>11</v>
      </c>
    </row>
    <row r="1439" spans="1:7" ht="14.25" thickBot="1">
      <c r="A1439" s="884"/>
      <c r="B1439" s="240"/>
      <c r="C1439" s="878" t="s">
        <v>1868</v>
      </c>
      <c r="D1439" s="63"/>
      <c r="E1439" s="231"/>
      <c r="F1439" s="1016"/>
      <c r="G1439" s="3"/>
    </row>
    <row r="1440" spans="1:7">
      <c r="A1440" s="1032"/>
      <c r="B1440" s="1230"/>
      <c r="C1440" s="906" t="s">
        <v>11555</v>
      </c>
      <c r="D1440" s="896"/>
      <c r="E1440" s="925"/>
      <c r="F1440" s="1034">
        <f>SUM(E1430:E1438)</f>
        <v>1277.5216666666668</v>
      </c>
      <c r="G1440" s="3"/>
    </row>
    <row r="1441" spans="1:7">
      <c r="A1441" s="884">
        <v>45628</v>
      </c>
      <c r="B1441" s="240" t="str">
        <f>TiposLancamentos!B15</f>
        <v>Cartões de Crédito</v>
      </c>
      <c r="C1441" s="878" t="s">
        <v>1874</v>
      </c>
      <c r="D1441" s="63">
        <v>1277.52</v>
      </c>
      <c r="E1441" s="231"/>
      <c r="F1441" s="1016">
        <f>F1440-F1432</f>
        <v>-143.32999999999993</v>
      </c>
      <c r="G1441" s="3"/>
    </row>
    <row r="1442" spans="1:7">
      <c r="A1442" s="884">
        <v>45631</v>
      </c>
      <c r="B1442" s="240" t="str">
        <f>TiposLancamentos!B57</f>
        <v>Informática</v>
      </c>
      <c r="C1442" s="878" t="s">
        <v>11556</v>
      </c>
      <c r="D1442" s="63"/>
      <c r="E1442" s="231">
        <f>F1442/12</f>
        <v>604.12833333333333</v>
      </c>
      <c r="F1442" s="1016">
        <v>7249.54</v>
      </c>
      <c r="G1442" s="1152" t="s">
        <v>9</v>
      </c>
    </row>
    <row r="1443" spans="1:7">
      <c r="A1443" s="934"/>
      <c r="B1443" s="243"/>
      <c r="C1443" s="389" t="s">
        <v>10</v>
      </c>
      <c r="D1443" s="146"/>
      <c r="E1443" s="146"/>
      <c r="F1443" s="1231"/>
      <c r="G1443" s="1094" t="s">
        <v>11</v>
      </c>
    </row>
    <row r="1444" spans="1:7" ht="14.25" thickBot="1">
      <c r="A1444" s="884"/>
      <c r="B1444" s="240"/>
      <c r="C1444" s="878" t="s">
        <v>1868</v>
      </c>
      <c r="D1444" s="63"/>
      <c r="E1444" s="231"/>
      <c r="F1444" s="1016"/>
      <c r="G1444" s="3"/>
    </row>
    <row r="1445" spans="1:7">
      <c r="A1445" s="1032"/>
      <c r="B1445" s="1230"/>
      <c r="C1445" s="906" t="s">
        <v>1630</v>
      </c>
      <c r="D1445" s="896"/>
      <c r="E1445" s="925"/>
      <c r="F1445" s="1034">
        <f>SUM(E1438:E1443)</f>
        <v>604.12833333333333</v>
      </c>
      <c r="G1445" s="3"/>
    </row>
    <row r="1446" spans="1:7">
      <c r="A1446" s="884">
        <v>45659</v>
      </c>
      <c r="B1446" s="240" t="str">
        <f>TiposLancamentos!B15</f>
        <v>Cartões de Crédito</v>
      </c>
      <c r="C1446" s="878" t="s">
        <v>1874</v>
      </c>
      <c r="D1446" s="63">
        <v>604.13</v>
      </c>
      <c r="E1446" s="231"/>
      <c r="F1446" s="1016">
        <f>F1445-F1440</f>
        <v>-673.39333333333343</v>
      </c>
      <c r="G1446" s="1152" t="s">
        <v>9</v>
      </c>
    </row>
    <row r="1447" spans="1:7">
      <c r="A1447" s="884">
        <v>45662</v>
      </c>
      <c r="B1447" s="240" t="str">
        <f>TiposLancamentos!B57</f>
        <v>Informática</v>
      </c>
      <c r="C1447" s="878" t="s">
        <v>11557</v>
      </c>
      <c r="D1447" s="63"/>
      <c r="E1447" s="231">
        <f>F1447/12</f>
        <v>604.12833333333333</v>
      </c>
      <c r="F1447" s="1016">
        <v>7249.54</v>
      </c>
      <c r="G1447" s="1152" t="s">
        <v>9</v>
      </c>
    </row>
    <row r="1448" spans="1:7">
      <c r="A1448" s="934"/>
      <c r="B1448" s="243"/>
      <c r="C1448" s="389" t="s">
        <v>10</v>
      </c>
      <c r="D1448" s="146"/>
      <c r="E1448" s="146"/>
      <c r="F1448" s="1231"/>
      <c r="G1448" s="1094" t="s">
        <v>11</v>
      </c>
    </row>
    <row r="1449" spans="1:7" ht="14.25" thickBot="1">
      <c r="A1449" s="884"/>
      <c r="B1449" s="240"/>
      <c r="C1449" s="878" t="s">
        <v>1868</v>
      </c>
      <c r="D1449" s="63"/>
      <c r="E1449" s="231"/>
      <c r="F1449" s="1016"/>
      <c r="G1449" s="3"/>
    </row>
    <row r="1450" spans="1:7">
      <c r="A1450" s="1032"/>
      <c r="B1450" s="1230"/>
      <c r="C1450" s="906" t="s">
        <v>1643</v>
      </c>
      <c r="D1450" s="896"/>
      <c r="E1450" s="925"/>
      <c r="F1450" s="1034">
        <f>SUM(E1443:E1448)</f>
        <v>604.12833333333333</v>
      </c>
      <c r="G1450" s="3"/>
    </row>
    <row r="1451" spans="1:7">
      <c r="A1451" s="884">
        <v>45691</v>
      </c>
      <c r="B1451" s="240" t="str">
        <f>TiposLancamentos!B15</f>
        <v>Cartões de Crédito</v>
      </c>
      <c r="C1451" s="878" t="s">
        <v>1874</v>
      </c>
      <c r="D1451" s="63">
        <v>604.13</v>
      </c>
      <c r="E1451" s="231"/>
      <c r="F1451" s="1016">
        <f>F1450-F1445</f>
        <v>0</v>
      </c>
      <c r="G1451" s="1152" t="s">
        <v>9</v>
      </c>
    </row>
    <row r="1452" spans="1:7">
      <c r="A1452" s="884">
        <v>45693</v>
      </c>
      <c r="B1452" s="240" t="str">
        <f>TiposLancamentos!B57</f>
        <v>Informática</v>
      </c>
      <c r="C1452" s="878" t="s">
        <v>11558</v>
      </c>
      <c r="D1452" s="63"/>
      <c r="E1452" s="231">
        <f>F1452/12</f>
        <v>604.12833333333333</v>
      </c>
      <c r="F1452" s="1016">
        <v>7249.54</v>
      </c>
      <c r="G1452" s="1152" t="s">
        <v>9</v>
      </c>
    </row>
    <row r="1453" spans="1:7">
      <c r="A1453" s="934"/>
      <c r="B1453" s="243"/>
      <c r="C1453" s="389" t="s">
        <v>10</v>
      </c>
      <c r="D1453" s="146"/>
      <c r="E1453" s="146"/>
      <c r="F1453" s="1231"/>
      <c r="G1453" s="1094" t="s">
        <v>11</v>
      </c>
    </row>
    <row r="1454" spans="1:7" ht="14.25" thickBot="1">
      <c r="A1454" s="884"/>
      <c r="B1454" s="240"/>
      <c r="C1454" s="878" t="s">
        <v>1868</v>
      </c>
      <c r="D1454" s="63"/>
      <c r="E1454" s="231"/>
      <c r="F1454" s="1016"/>
      <c r="G1454" s="3"/>
    </row>
    <row r="1455" spans="1:7">
      <c r="A1455" s="1032"/>
      <c r="B1455" s="1230"/>
      <c r="C1455" s="906" t="s">
        <v>1644</v>
      </c>
      <c r="D1455" s="896"/>
      <c r="E1455" s="925"/>
      <c r="F1455" s="1034">
        <f>SUM(E1448:E1453)</f>
        <v>604.12833333333333</v>
      </c>
      <c r="G1455" s="3"/>
    </row>
    <row r="1456" spans="1:7">
      <c r="A1456" s="884">
        <v>45721</v>
      </c>
      <c r="B1456" s="240" t="str">
        <f>TiposLancamentos!B15</f>
        <v>Cartões de Crédito</v>
      </c>
      <c r="C1456" s="878" t="s">
        <v>1874</v>
      </c>
      <c r="D1456" s="63">
        <v>604.13</v>
      </c>
      <c r="E1456" s="231"/>
      <c r="F1456" s="1016">
        <f>F1455-F1450</f>
        <v>0</v>
      </c>
      <c r="G1456" s="1152" t="s">
        <v>9</v>
      </c>
    </row>
    <row r="1457" spans="1:7">
      <c r="A1457" s="884">
        <v>45721</v>
      </c>
      <c r="B1457" s="240" t="str">
        <f>TiposLancamentos!B57</f>
        <v>Informática</v>
      </c>
      <c r="C1457" s="878" t="s">
        <v>11559</v>
      </c>
      <c r="D1457" s="63"/>
      <c r="E1457" s="231">
        <f>F1457/12</f>
        <v>604.12833333333333</v>
      </c>
      <c r="F1457" s="1016">
        <v>7249.54</v>
      </c>
      <c r="G1457" s="1152" t="s">
        <v>9</v>
      </c>
    </row>
    <row r="1458" spans="1:7">
      <c r="A1458" s="934"/>
      <c r="B1458" s="243"/>
      <c r="C1458" s="389" t="s">
        <v>10</v>
      </c>
      <c r="D1458" s="146"/>
      <c r="E1458" s="146"/>
      <c r="F1458" s="1231"/>
      <c r="G1458" s="1094" t="s">
        <v>11</v>
      </c>
    </row>
    <row r="1459" spans="1:7" ht="14.25" thickBot="1">
      <c r="A1459" s="884"/>
      <c r="B1459" s="240"/>
      <c r="C1459" s="878" t="s">
        <v>1868</v>
      </c>
      <c r="D1459" s="63"/>
      <c r="E1459" s="231"/>
      <c r="F1459" s="1016"/>
      <c r="G1459" s="3"/>
    </row>
    <row r="1460" spans="1:7">
      <c r="A1460" s="1032"/>
      <c r="B1460" s="1230"/>
      <c r="C1460" s="906" t="s">
        <v>1645</v>
      </c>
      <c r="D1460" s="896"/>
      <c r="E1460" s="925"/>
      <c r="F1460" s="1034">
        <f>SUM(E1453:E1458)</f>
        <v>604.12833333333333</v>
      </c>
      <c r="G1460" s="3"/>
    </row>
    <row r="1461" spans="1:7">
      <c r="A1461" s="884">
        <v>45383</v>
      </c>
      <c r="B1461" s="240" t="str">
        <f>TiposLancamentos!B15</f>
        <v>Cartões de Crédito</v>
      </c>
      <c r="C1461" s="878" t="s">
        <v>1874</v>
      </c>
      <c r="D1461" s="63">
        <v>604.13</v>
      </c>
      <c r="E1461" s="231"/>
      <c r="F1461" s="1016">
        <f>F1460-F1455</f>
        <v>0</v>
      </c>
      <c r="G1461" s="1152" t="s">
        <v>9</v>
      </c>
    </row>
    <row r="1462" spans="1:7">
      <c r="A1462" s="884">
        <v>45752</v>
      </c>
      <c r="B1462" s="240" t="str">
        <f>TiposLancamentos!B57</f>
        <v>Informática</v>
      </c>
      <c r="C1462" s="878" t="s">
        <v>11560</v>
      </c>
      <c r="D1462" s="63"/>
      <c r="E1462" s="231">
        <f>F1462/12</f>
        <v>604.12833333333333</v>
      </c>
      <c r="F1462" s="1016">
        <v>7249.54</v>
      </c>
      <c r="G1462" s="1152" t="s">
        <v>9</v>
      </c>
    </row>
    <row r="1463" spans="1:7">
      <c r="A1463" s="934"/>
      <c r="B1463" s="243"/>
      <c r="C1463" s="389" t="s">
        <v>10</v>
      </c>
      <c r="D1463" s="146"/>
      <c r="E1463" s="146"/>
      <c r="F1463" s="1231"/>
      <c r="G1463" s="1094" t="s">
        <v>11</v>
      </c>
    </row>
    <row r="1464" spans="1:7" ht="14.25" thickBot="1">
      <c r="A1464" s="884"/>
      <c r="B1464" s="240"/>
      <c r="C1464" s="878" t="s">
        <v>1947</v>
      </c>
      <c r="D1464" s="63"/>
      <c r="E1464" s="231"/>
      <c r="F1464" s="1016"/>
      <c r="G1464" s="3"/>
    </row>
    <row r="1465" spans="1:7">
      <c r="A1465" s="1032"/>
      <c r="B1465" s="1230"/>
      <c r="C1465" s="906" t="s">
        <v>1646</v>
      </c>
      <c r="D1465" s="896"/>
      <c r="E1465" s="925"/>
      <c r="F1465" s="1034">
        <f>SUM(E1458:E1463)</f>
        <v>604.12833333333333</v>
      </c>
      <c r="G1465" s="3"/>
    </row>
    <row r="1466" spans="1:7">
      <c r="A1466" s="884">
        <v>45778</v>
      </c>
      <c r="B1466" s="240" t="str">
        <f>TiposLancamentos!B15</f>
        <v>Cartões de Crédito</v>
      </c>
      <c r="C1466" s="878" t="s">
        <v>1874</v>
      </c>
      <c r="D1466" s="63">
        <v>604.13</v>
      </c>
      <c r="E1466" s="231"/>
      <c r="F1466" s="1016">
        <f>F1465-F1460</f>
        <v>0</v>
      </c>
      <c r="G1466" s="1152" t="s">
        <v>9</v>
      </c>
    </row>
    <row r="1467" spans="1:7">
      <c r="A1467" s="884">
        <v>45782</v>
      </c>
      <c r="B1467" s="240" t="str">
        <f>TiposLancamentos!B57</f>
        <v>Informática</v>
      </c>
      <c r="C1467" s="878" t="s">
        <v>11561</v>
      </c>
      <c r="D1467" s="63"/>
      <c r="E1467" s="231">
        <v>604.12</v>
      </c>
      <c r="F1467" s="1016">
        <v>7249.54</v>
      </c>
      <c r="G1467" s="1152" t="s">
        <v>9</v>
      </c>
    </row>
    <row r="1468" spans="1:7">
      <c r="A1468" s="884">
        <v>45787</v>
      </c>
      <c r="B1468" s="240" t="str">
        <f>TiposLancamentos!B13</f>
        <v>Moradia</v>
      </c>
      <c r="C1468" s="878" t="s">
        <v>11562</v>
      </c>
      <c r="D1468" s="63"/>
      <c r="E1468" s="231">
        <v>788.99</v>
      </c>
      <c r="F1468" s="1016">
        <v>9467</v>
      </c>
      <c r="G1468" s="1152" t="s">
        <v>9</v>
      </c>
    </row>
    <row r="1469" spans="1:7">
      <c r="A1469" s="884">
        <v>45787</v>
      </c>
      <c r="B1469" s="240" t="str">
        <f>TiposLancamentos!B7</f>
        <v>Apto. Proprio 01</v>
      </c>
      <c r="C1469" s="878" t="s">
        <v>11563</v>
      </c>
      <c r="D1469" s="63"/>
      <c r="E1469" s="231">
        <f>F1469/6</f>
        <v>215.51999999999998</v>
      </c>
      <c r="F1469" s="1016">
        <v>1293.1199999999999</v>
      </c>
      <c r="G1469" s="1152" t="s">
        <v>9</v>
      </c>
    </row>
    <row r="1470" spans="1:7">
      <c r="A1470" s="934"/>
      <c r="B1470" s="243"/>
      <c r="C1470" s="389" t="s">
        <v>10</v>
      </c>
      <c r="D1470" s="146"/>
      <c r="E1470" s="146"/>
      <c r="F1470" s="1231"/>
      <c r="G1470" s="1094" t="s">
        <v>11</v>
      </c>
    </row>
    <row r="1471" spans="1:7" ht="14.25" thickBot="1">
      <c r="A1471" s="884"/>
      <c r="B1471" s="240"/>
      <c r="C1471" s="878" t="s">
        <v>1947</v>
      </c>
      <c r="D1471" s="63"/>
      <c r="E1471" s="231"/>
      <c r="F1471" s="1016"/>
      <c r="G1471" s="3"/>
    </row>
    <row r="1472" spans="1:7">
      <c r="A1472" s="1032"/>
      <c r="B1472" s="1230"/>
      <c r="C1472" s="906" t="s">
        <v>1647</v>
      </c>
      <c r="D1472" s="896"/>
      <c r="E1472" s="925"/>
      <c r="F1472" s="1034">
        <f>SUM(E1463:E1470)</f>
        <v>1608.63</v>
      </c>
      <c r="G1472" s="3"/>
    </row>
    <row r="1473" spans="1:7">
      <c r="A1473" s="884">
        <v>45810</v>
      </c>
      <c r="B1473" s="240" t="str">
        <f>TiposLancamentos!B15</f>
        <v>Cartões de Crédito</v>
      </c>
      <c r="C1473" s="878" t="s">
        <v>1874</v>
      </c>
      <c r="D1473" s="63">
        <v>1608.63</v>
      </c>
      <c r="E1473" s="231"/>
      <c r="F1473" s="1016">
        <f>F1472-F1465</f>
        <v>1004.5016666666668</v>
      </c>
      <c r="G1473" s="1152" t="s">
        <v>9</v>
      </c>
    </row>
    <row r="1474" spans="1:7">
      <c r="A1474" s="884">
        <v>45813</v>
      </c>
      <c r="B1474" s="240" t="str">
        <f>TiposLancamentos!B57</f>
        <v>Informática</v>
      </c>
      <c r="C1474" s="878" t="s">
        <v>11564</v>
      </c>
      <c r="D1474" s="63"/>
      <c r="E1474" s="231">
        <v>604.12</v>
      </c>
      <c r="F1474" s="1016">
        <v>7249.54</v>
      </c>
      <c r="G1474" s="1152" t="s">
        <v>9</v>
      </c>
    </row>
    <row r="1475" spans="1:7">
      <c r="A1475" s="884">
        <v>45818</v>
      </c>
      <c r="B1475" s="240" t="str">
        <f>TiposLancamentos!B13</f>
        <v>Moradia</v>
      </c>
      <c r="C1475" s="878" t="s">
        <v>11565</v>
      </c>
      <c r="D1475" s="63"/>
      <c r="E1475" s="231">
        <v>788.91</v>
      </c>
      <c r="F1475" s="1016">
        <v>9467</v>
      </c>
      <c r="G1475" s="1152" t="s">
        <v>9</v>
      </c>
    </row>
    <row r="1476" spans="1:7">
      <c r="A1476" s="884">
        <v>45818</v>
      </c>
      <c r="B1476" s="240" t="str">
        <f>TiposLancamentos!B7</f>
        <v>Apto. Proprio 01</v>
      </c>
      <c r="C1476" s="878" t="s">
        <v>11566</v>
      </c>
      <c r="D1476" s="63"/>
      <c r="E1476" s="231">
        <f>F1476/6</f>
        <v>215.51999999999998</v>
      </c>
      <c r="F1476" s="1016">
        <v>1293.1199999999999</v>
      </c>
      <c r="G1476" s="1152" t="s">
        <v>9</v>
      </c>
    </row>
    <row r="1477" spans="1:7">
      <c r="A1477" s="884">
        <v>45822</v>
      </c>
      <c r="B1477" s="240" t="str">
        <f>TiposLancamentos!B13</f>
        <v>Moradia</v>
      </c>
      <c r="C1477" s="878" t="s">
        <v>11567</v>
      </c>
      <c r="D1477" s="63"/>
      <c r="E1477" s="231">
        <f>F1477/10</f>
        <v>188</v>
      </c>
      <c r="F1477" s="1016">
        <v>1880</v>
      </c>
      <c r="G1477" s="1152" t="s">
        <v>9</v>
      </c>
    </row>
    <row r="1478" spans="1:7">
      <c r="A1478" s="934"/>
      <c r="B1478" s="243"/>
      <c r="C1478" s="389" t="s">
        <v>10</v>
      </c>
      <c r="D1478" s="146"/>
      <c r="E1478" s="146"/>
      <c r="F1478" s="1231"/>
      <c r="G1478" s="1094" t="s">
        <v>11</v>
      </c>
    </row>
    <row r="1479" spans="1:7" ht="14.25" thickBot="1">
      <c r="A1479" s="884"/>
      <c r="B1479" s="240"/>
      <c r="C1479" s="878" t="s">
        <v>1947</v>
      </c>
      <c r="D1479" s="63"/>
      <c r="E1479" s="231"/>
      <c r="F1479" s="1016"/>
      <c r="G1479" s="1152" t="s">
        <v>9</v>
      </c>
    </row>
    <row r="1480" spans="1:7">
      <c r="A1480" s="1032"/>
      <c r="B1480" s="1230"/>
      <c r="C1480" s="906" t="s">
        <v>1648</v>
      </c>
      <c r="D1480" s="896"/>
      <c r="E1480" s="925"/>
      <c r="F1480" s="1034">
        <f>SUM(E1470:E1478)</f>
        <v>1796.55</v>
      </c>
      <c r="G1480" s="3"/>
    </row>
    <row r="1481" spans="1:7">
      <c r="A1481" s="884">
        <v>45839</v>
      </c>
      <c r="B1481" s="240" t="str">
        <f>TiposLancamentos!B15</f>
        <v>Cartões de Crédito</v>
      </c>
      <c r="C1481" s="878" t="s">
        <v>1874</v>
      </c>
      <c r="D1481" s="63">
        <v>1796.55</v>
      </c>
      <c r="E1481" s="231"/>
      <c r="F1481" s="1016">
        <f>F1480-F1472</f>
        <v>187.91999999999985</v>
      </c>
      <c r="G1481" s="1152" t="s">
        <v>9</v>
      </c>
    </row>
    <row r="1482" spans="1:7">
      <c r="A1482" s="884">
        <v>45848</v>
      </c>
      <c r="B1482" s="240" t="str">
        <f>TiposLancamentos!B13</f>
        <v>Moradia</v>
      </c>
      <c r="C1482" s="878" t="s">
        <v>11568</v>
      </c>
      <c r="D1482" s="63"/>
      <c r="E1482" s="231">
        <v>788.91</v>
      </c>
      <c r="F1482" s="1016">
        <v>9467</v>
      </c>
      <c r="G1482" s="1152" t="s">
        <v>9</v>
      </c>
    </row>
    <row r="1483" spans="1:7">
      <c r="A1483" s="884">
        <v>45848</v>
      </c>
      <c r="B1483" s="240" t="str">
        <f>TiposLancamentos!B7</f>
        <v>Apto. Proprio 01</v>
      </c>
      <c r="C1483" s="878" t="s">
        <v>11569</v>
      </c>
      <c r="D1483" s="63"/>
      <c r="E1483" s="231">
        <f>F1483/6</f>
        <v>215.51999999999998</v>
      </c>
      <c r="F1483" s="1016">
        <v>1293.1199999999999</v>
      </c>
      <c r="G1483" s="1152" t="s">
        <v>9</v>
      </c>
    </row>
    <row r="1484" spans="1:7">
      <c r="A1484" s="884">
        <v>45852</v>
      </c>
      <c r="B1484" s="240" t="str">
        <f>TiposLancamentos!B13</f>
        <v>Moradia</v>
      </c>
      <c r="C1484" s="878" t="s">
        <v>11570</v>
      </c>
      <c r="D1484" s="63"/>
      <c r="E1484" s="231">
        <f>F1484/10</f>
        <v>188</v>
      </c>
      <c r="F1484" s="1016">
        <v>1880</v>
      </c>
      <c r="G1484" s="1152" t="s">
        <v>9</v>
      </c>
    </row>
    <row r="1485" spans="1:7">
      <c r="A1485" s="934"/>
      <c r="B1485" s="243"/>
      <c r="C1485" s="389" t="s">
        <v>10</v>
      </c>
      <c r="D1485" s="146"/>
      <c r="E1485" s="146"/>
      <c r="F1485" s="1231"/>
      <c r="G1485" s="1094" t="s">
        <v>11</v>
      </c>
    </row>
    <row r="1486" spans="1:7" ht="14.25" thickBot="1">
      <c r="A1486" s="884"/>
      <c r="B1486" s="240"/>
      <c r="C1486" s="878" t="s">
        <v>1947</v>
      </c>
      <c r="D1486" s="63"/>
      <c r="E1486" s="231"/>
      <c r="F1486" s="1016"/>
      <c r="G1486" s="3"/>
    </row>
    <row r="1487" spans="1:7">
      <c r="A1487" s="1032"/>
      <c r="B1487" s="1230"/>
      <c r="C1487" s="906" t="s">
        <v>1649</v>
      </c>
      <c r="D1487" s="896"/>
      <c r="E1487" s="925"/>
      <c r="F1487" s="1034">
        <f>SUM(E1478:E1485)</f>
        <v>1192.4299999999998</v>
      </c>
      <c r="G1487" s="3"/>
    </row>
    <row r="1488" spans="1:7">
      <c r="A1488" s="884">
        <v>45870</v>
      </c>
      <c r="B1488" s="240" t="str">
        <f>TiposLancamentos!B15</f>
        <v>Cartões de Crédito</v>
      </c>
      <c r="C1488" s="878" t="s">
        <v>1874</v>
      </c>
      <c r="D1488" s="63">
        <v>1192.43</v>
      </c>
      <c r="E1488" s="231"/>
      <c r="F1488" s="1016">
        <f>F1487-F1480</f>
        <v>-604.12000000000012</v>
      </c>
      <c r="G1488" s="1152" t="s">
        <v>9</v>
      </c>
    </row>
    <row r="1489" spans="1:7">
      <c r="A1489" s="884">
        <v>45879</v>
      </c>
      <c r="B1489" s="240" t="str">
        <f>TiposLancamentos!B13</f>
        <v>Moradia</v>
      </c>
      <c r="C1489" s="878" t="s">
        <v>11571</v>
      </c>
      <c r="D1489" s="63"/>
      <c r="E1489" s="231">
        <v>788.91</v>
      </c>
      <c r="F1489" s="1016">
        <v>9467</v>
      </c>
      <c r="G1489" s="1152" t="s">
        <v>9</v>
      </c>
    </row>
    <row r="1490" spans="1:7">
      <c r="A1490" s="884">
        <v>45879</v>
      </c>
      <c r="B1490" s="240" t="str">
        <f>TiposLancamentos!B7</f>
        <v>Apto. Proprio 01</v>
      </c>
      <c r="C1490" s="878" t="s">
        <v>11572</v>
      </c>
      <c r="D1490" s="63"/>
      <c r="E1490" s="231">
        <f>F1490/6</f>
        <v>215.51999999999998</v>
      </c>
      <c r="F1490" s="1016">
        <v>1293.1199999999999</v>
      </c>
      <c r="G1490" s="1152" t="s">
        <v>9</v>
      </c>
    </row>
    <row r="1491" spans="1:7">
      <c r="A1491" s="884">
        <v>45883</v>
      </c>
      <c r="B1491" s="240" t="str">
        <f>TiposLancamentos!B13</f>
        <v>Moradia</v>
      </c>
      <c r="C1491" s="878" t="s">
        <v>11573</v>
      </c>
      <c r="D1491" s="63"/>
      <c r="E1491" s="231">
        <f>F1491/10</f>
        <v>188</v>
      </c>
      <c r="F1491" s="1016">
        <v>1880</v>
      </c>
      <c r="G1491" s="1152" t="s">
        <v>9</v>
      </c>
    </row>
    <row r="1492" spans="1:7">
      <c r="A1492" s="934"/>
      <c r="B1492" s="243"/>
      <c r="C1492" s="389" t="s">
        <v>10</v>
      </c>
      <c r="D1492" s="146"/>
      <c r="E1492" s="146"/>
      <c r="F1492" s="1231"/>
      <c r="G1492" s="1094" t="s">
        <v>11</v>
      </c>
    </row>
    <row r="1493" spans="1:7" ht="14.25" thickBot="1">
      <c r="A1493" s="884"/>
      <c r="B1493" s="240"/>
      <c r="C1493" s="878" t="s">
        <v>1947</v>
      </c>
      <c r="D1493" s="63"/>
      <c r="E1493" s="231"/>
      <c r="F1493" s="1016"/>
      <c r="G1493" s="3"/>
    </row>
    <row r="1494" spans="1:7">
      <c r="A1494" s="1032"/>
      <c r="B1494" s="1230"/>
      <c r="C1494" s="906" t="s">
        <v>1650</v>
      </c>
      <c r="D1494" s="896"/>
      <c r="E1494" s="925"/>
      <c r="F1494" s="1034">
        <f>SUM(E1485:E1492)</f>
        <v>1192.4299999999998</v>
      </c>
      <c r="G1494" s="3"/>
    </row>
    <row r="1495" spans="1:7">
      <c r="A1495" s="884">
        <v>45901</v>
      </c>
      <c r="B1495" s="240" t="str">
        <f>TiposLancamentos!B15</f>
        <v>Cartões de Crédito</v>
      </c>
      <c r="C1495" s="878" t="s">
        <v>1874</v>
      </c>
      <c r="D1495" s="63">
        <v>1192.43</v>
      </c>
      <c r="E1495" s="231"/>
      <c r="F1495" s="1016">
        <f>F1494-F1487</f>
        <v>0</v>
      </c>
      <c r="G1495" s="1152" t="s">
        <v>9</v>
      </c>
    </row>
    <row r="1496" spans="1:7">
      <c r="A1496" s="884">
        <v>45910</v>
      </c>
      <c r="B1496" s="240" t="str">
        <f>TiposLancamentos!B13</f>
        <v>Moradia</v>
      </c>
      <c r="C1496" s="878" t="s">
        <v>11574</v>
      </c>
      <c r="D1496" s="63"/>
      <c r="E1496" s="231">
        <v>788.91</v>
      </c>
      <c r="F1496" s="1016">
        <v>9467</v>
      </c>
      <c r="G1496" s="1152" t="s">
        <v>9</v>
      </c>
    </row>
    <row r="1497" spans="1:7">
      <c r="A1497" s="884">
        <v>45910</v>
      </c>
      <c r="B1497" s="240" t="str">
        <f>TiposLancamentos!B7</f>
        <v>Apto. Proprio 01</v>
      </c>
      <c r="C1497" s="878" t="s">
        <v>11575</v>
      </c>
      <c r="D1497" s="63"/>
      <c r="E1497" s="231">
        <f>F1497/6</f>
        <v>215.51999999999998</v>
      </c>
      <c r="F1497" s="1016">
        <v>1293.1199999999999</v>
      </c>
      <c r="G1497" s="1152" t="s">
        <v>9</v>
      </c>
    </row>
    <row r="1498" spans="1:7">
      <c r="A1498" s="884">
        <v>45914</v>
      </c>
      <c r="B1498" s="240" t="str">
        <f>TiposLancamentos!B13</f>
        <v>Moradia</v>
      </c>
      <c r="C1498" s="878" t="s">
        <v>11576</v>
      </c>
      <c r="D1498" s="63"/>
      <c r="E1498" s="231">
        <f>F1498/10</f>
        <v>188</v>
      </c>
      <c r="F1498" s="1016">
        <v>1880</v>
      </c>
      <c r="G1498" s="1152" t="s">
        <v>9</v>
      </c>
    </row>
    <row r="1499" spans="1:7">
      <c r="A1499" s="934"/>
      <c r="B1499" s="243"/>
      <c r="C1499" s="389" t="s">
        <v>10</v>
      </c>
      <c r="D1499" s="146"/>
      <c r="E1499" s="146"/>
      <c r="F1499" s="1231"/>
      <c r="G1499" s="1094" t="s">
        <v>11</v>
      </c>
    </row>
    <row r="1500" spans="1:7" ht="14.25" thickBot="1">
      <c r="A1500" s="884"/>
      <c r="B1500" s="240"/>
      <c r="C1500" s="878" t="s">
        <v>1947</v>
      </c>
      <c r="D1500" s="63"/>
      <c r="E1500" s="231"/>
      <c r="F1500" s="1016"/>
      <c r="G1500" s="3"/>
    </row>
    <row r="1501" spans="1:7">
      <c r="A1501" s="1032"/>
      <c r="B1501" s="1230"/>
      <c r="C1501" s="906" t="s">
        <v>1651</v>
      </c>
      <c r="D1501" s="896"/>
      <c r="E1501" s="925"/>
      <c r="F1501" s="1034">
        <f>SUM(E1492:E1499)</f>
        <v>1192.4299999999998</v>
      </c>
      <c r="G1501" s="3"/>
    </row>
    <row r="1502" spans="1:7">
      <c r="A1502" s="884">
        <v>45931</v>
      </c>
      <c r="B1502" s="240" t="str">
        <f>TiposLancamentos!B15</f>
        <v>Cartões de Crédito</v>
      </c>
      <c r="C1502" s="878" t="s">
        <v>1874</v>
      </c>
      <c r="D1502" s="63">
        <v>1192.43</v>
      </c>
      <c r="E1502" s="231"/>
      <c r="F1502" s="1016">
        <f>F1501-F1494</f>
        <v>0</v>
      </c>
      <c r="G1502" s="1152" t="s">
        <v>9</v>
      </c>
    </row>
    <row r="1503" spans="1:7">
      <c r="A1503" s="884">
        <v>45931</v>
      </c>
      <c r="B1503" s="240" t="str">
        <f>TiposLancamentos!B7</f>
        <v>Apto. Proprio 01</v>
      </c>
      <c r="C1503" s="878" t="s">
        <v>11577</v>
      </c>
      <c r="D1503" s="63"/>
      <c r="E1503" s="231">
        <f>F1503/10</f>
        <v>438</v>
      </c>
      <c r="F1503" s="1016">
        <v>4380</v>
      </c>
      <c r="G1503" s="1152" t="s">
        <v>9</v>
      </c>
    </row>
    <row r="1504" spans="1:7">
      <c r="A1504" s="884">
        <v>45940</v>
      </c>
      <c r="B1504" s="240" t="str">
        <f>TiposLancamentos!B13</f>
        <v>Moradia</v>
      </c>
      <c r="C1504" s="878" t="s">
        <v>11578</v>
      </c>
      <c r="D1504" s="63"/>
      <c r="E1504" s="231">
        <v>788.91</v>
      </c>
      <c r="F1504" s="1016">
        <v>9467</v>
      </c>
      <c r="G1504" s="1152" t="s">
        <v>9</v>
      </c>
    </row>
    <row r="1505" spans="1:7">
      <c r="A1505" s="884">
        <v>45940</v>
      </c>
      <c r="B1505" s="240" t="str">
        <f>TiposLancamentos!B7</f>
        <v>Apto. Proprio 01</v>
      </c>
      <c r="C1505" s="878" t="s">
        <v>11579</v>
      </c>
      <c r="D1505" s="63"/>
      <c r="E1505" s="231">
        <f>F1505/6</f>
        <v>215.51999999999998</v>
      </c>
      <c r="F1505" s="1016">
        <v>1293.1199999999999</v>
      </c>
      <c r="G1505" s="1152" t="s">
        <v>9</v>
      </c>
    </row>
    <row r="1506" spans="1:7">
      <c r="A1506" s="884">
        <v>45944</v>
      </c>
      <c r="B1506" s="240" t="str">
        <f>TiposLancamentos!B13</f>
        <v>Moradia</v>
      </c>
      <c r="C1506" s="878" t="s">
        <v>11580</v>
      </c>
      <c r="D1506" s="63"/>
      <c r="E1506" s="231">
        <f>F1506/10</f>
        <v>188</v>
      </c>
      <c r="F1506" s="1016">
        <v>1880</v>
      </c>
      <c r="G1506" s="1152" t="s">
        <v>9</v>
      </c>
    </row>
    <row r="1507" spans="1:7">
      <c r="A1507" s="934"/>
      <c r="B1507" s="243"/>
      <c r="C1507" s="389" t="s">
        <v>10</v>
      </c>
      <c r="D1507" s="146"/>
      <c r="E1507" s="146"/>
      <c r="F1507" s="1231"/>
      <c r="G1507" s="1094" t="s">
        <v>11</v>
      </c>
    </row>
    <row r="1508" spans="1:7" ht="14.25" thickBot="1">
      <c r="A1508" s="884"/>
      <c r="B1508" s="240"/>
      <c r="C1508" s="878" t="s">
        <v>1947</v>
      </c>
      <c r="D1508" s="63"/>
      <c r="E1508" s="231"/>
      <c r="F1508" s="1016"/>
      <c r="G1508" s="3"/>
    </row>
    <row r="1509" spans="1:7">
      <c r="A1509" s="1032"/>
      <c r="B1509" s="1230"/>
      <c r="C1509" s="906" t="s">
        <v>11581</v>
      </c>
      <c r="D1509" s="896"/>
      <c r="E1509" s="925"/>
      <c r="F1509" s="1034">
        <f>SUM(E1499:E1507)</f>
        <v>1630.4299999999998</v>
      </c>
      <c r="G1509" s="3"/>
    </row>
    <row r="1510" spans="1:7">
      <c r="A1510" s="884"/>
      <c r="B1510" s="240"/>
      <c r="C1510" s="878" t="s">
        <v>1868</v>
      </c>
      <c r="D1510" s="63"/>
      <c r="E1510" s="231"/>
      <c r="F1510" s="1016">
        <f>F1509-F1501</f>
        <v>438</v>
      </c>
      <c r="G1510" s="3"/>
    </row>
    <row r="1511" spans="1:7">
      <c r="A1511" s="884">
        <v>45962</v>
      </c>
      <c r="B1511" s="240" t="str">
        <f>TiposLancamentos!B7</f>
        <v>Apto. Proprio 01</v>
      </c>
      <c r="C1511" s="878" t="s">
        <v>11582</v>
      </c>
      <c r="D1511" s="63"/>
      <c r="E1511" s="231">
        <f>F1511/10</f>
        <v>438</v>
      </c>
      <c r="F1511" s="1016">
        <v>4380</v>
      </c>
      <c r="G1511" s="1152" t="s">
        <v>9</v>
      </c>
    </row>
    <row r="1512" spans="1:7">
      <c r="A1512" s="884">
        <v>45964</v>
      </c>
      <c r="B1512" s="240" t="str">
        <f>TiposLancamentos!B15</f>
        <v>Cartões de Crédito</v>
      </c>
      <c r="C1512" s="878" t="s">
        <v>1874</v>
      </c>
      <c r="D1512" s="63">
        <v>1630.43</v>
      </c>
      <c r="E1512" s="231"/>
      <c r="F1512" s="1016"/>
      <c r="G1512" s="1152" t="s">
        <v>9</v>
      </c>
    </row>
    <row r="1513" spans="1:7">
      <c r="A1513" s="884">
        <v>45971</v>
      </c>
      <c r="B1513" s="240" t="str">
        <f>TiposLancamentos!B13</f>
        <v>Moradia</v>
      </c>
      <c r="C1513" s="878" t="s">
        <v>11583</v>
      </c>
      <c r="D1513" s="63"/>
      <c r="E1513" s="231">
        <v>788.91</v>
      </c>
      <c r="F1513" s="1016">
        <v>9467</v>
      </c>
      <c r="G1513" s="1152" t="s">
        <v>9</v>
      </c>
    </row>
    <row r="1514" spans="1:7">
      <c r="A1514" s="884">
        <v>45975</v>
      </c>
      <c r="B1514" s="240" t="str">
        <f>TiposLancamentos!B13</f>
        <v>Moradia</v>
      </c>
      <c r="C1514" s="878" t="s">
        <v>11584</v>
      </c>
      <c r="D1514" s="63"/>
      <c r="E1514" s="231">
        <f>F1514/10</f>
        <v>188</v>
      </c>
      <c r="F1514" s="1016">
        <v>1880</v>
      </c>
      <c r="G1514" s="1152" t="s">
        <v>9</v>
      </c>
    </row>
    <row r="1515" spans="1:7">
      <c r="A1515" s="934"/>
      <c r="B1515" s="243"/>
      <c r="C1515" s="389" t="s">
        <v>10</v>
      </c>
      <c r="D1515" s="146"/>
      <c r="E1515" s="146"/>
      <c r="F1515" s="1231"/>
      <c r="G1515" s="1094" t="s">
        <v>11</v>
      </c>
    </row>
    <row r="1516" spans="1:7" ht="14.25" thickBot="1">
      <c r="A1516" s="884"/>
      <c r="B1516" s="240"/>
      <c r="C1516" s="878" t="s">
        <v>1868</v>
      </c>
      <c r="D1516" s="63"/>
      <c r="E1516" s="231"/>
      <c r="F1516" s="1016"/>
      <c r="G1516" s="3"/>
    </row>
    <row r="1517" spans="1:7">
      <c r="A1517" s="1032"/>
      <c r="B1517" s="1230"/>
      <c r="C1517" s="906" t="s">
        <v>11585</v>
      </c>
      <c r="D1517" s="896"/>
      <c r="E1517" s="925"/>
      <c r="F1517" s="1034">
        <f>SUM(E1507:E1515)</f>
        <v>1414.9099999999999</v>
      </c>
      <c r="G1517" s="3"/>
    </row>
    <row r="1518" spans="1:7">
      <c r="A1518" s="884">
        <v>45992</v>
      </c>
      <c r="B1518" s="240" t="str">
        <f>TiposLancamentos!B15</f>
        <v>Cartões de Crédito</v>
      </c>
      <c r="C1518" s="878" t="s">
        <v>1874</v>
      </c>
      <c r="D1518" s="63">
        <v>1414.91</v>
      </c>
      <c r="E1518" s="231"/>
      <c r="F1518" s="1016">
        <f>F1517-F1509</f>
        <v>-215.51999999999998</v>
      </c>
      <c r="G1518" s="1152" t="s">
        <v>9</v>
      </c>
    </row>
    <row r="1519" spans="1:7">
      <c r="A1519" s="884">
        <v>45992</v>
      </c>
      <c r="B1519" s="240" t="str">
        <f>TiposLancamentos!B7</f>
        <v>Apto. Proprio 01</v>
      </c>
      <c r="C1519" s="878" t="s">
        <v>11586</v>
      </c>
      <c r="D1519" s="63"/>
      <c r="E1519" s="231">
        <f>F1519/10</f>
        <v>438</v>
      </c>
      <c r="F1519" s="1016">
        <v>4380</v>
      </c>
      <c r="G1519" s="1152" t="s">
        <v>9</v>
      </c>
    </row>
    <row r="1520" spans="1:7">
      <c r="A1520" s="884">
        <v>45995</v>
      </c>
      <c r="B1520" s="240" t="str">
        <f>TiposLancamentos!B23</f>
        <v>P208 GRIFFE 1.6 AUT BUSINESS</v>
      </c>
      <c r="C1520" s="878" t="s">
        <v>11587</v>
      </c>
      <c r="D1520" s="63"/>
      <c r="E1520" s="231">
        <v>300</v>
      </c>
      <c r="F1520" s="1016">
        <v>1500</v>
      </c>
      <c r="G1520" s="1152" t="s">
        <v>9</v>
      </c>
    </row>
    <row r="1521" spans="1:7">
      <c r="A1521" s="884">
        <v>45998</v>
      </c>
      <c r="B1521" s="240" t="str">
        <f>TiposLancamentos!B70</f>
        <v>Vestuário</v>
      </c>
      <c r="C1521" s="878" t="s">
        <v>11588</v>
      </c>
      <c r="D1521" s="63"/>
      <c r="E1521" s="231">
        <f>F1521/3</f>
        <v>215.75333333333333</v>
      </c>
      <c r="F1521" s="1016">
        <v>647.26</v>
      </c>
      <c r="G1521" s="1152" t="s">
        <v>9</v>
      </c>
    </row>
    <row r="1522" spans="1:7">
      <c r="A1522" s="884">
        <v>46001</v>
      </c>
      <c r="B1522" s="240" t="str">
        <f>TiposLancamentos!B13</f>
        <v>Moradia</v>
      </c>
      <c r="C1522" s="878" t="s">
        <v>11589</v>
      </c>
      <c r="D1522" s="63"/>
      <c r="E1522" s="231">
        <f>F1522/12</f>
        <v>788.91666666666663</v>
      </c>
      <c r="F1522" s="1016">
        <v>9467</v>
      </c>
      <c r="G1522" s="1152" t="s">
        <v>9</v>
      </c>
    </row>
    <row r="1523" spans="1:7">
      <c r="A1523" s="884">
        <v>46005</v>
      </c>
      <c r="B1523" s="240" t="str">
        <f>TiposLancamentos!B13</f>
        <v>Moradia</v>
      </c>
      <c r="C1523" s="878" t="s">
        <v>11590</v>
      </c>
      <c r="D1523" s="63"/>
      <c r="E1523" s="231">
        <f>F1523/10</f>
        <v>188</v>
      </c>
      <c r="F1523" s="1016">
        <v>1880</v>
      </c>
      <c r="G1523" s="1152" t="s">
        <v>9</v>
      </c>
    </row>
    <row r="1524" spans="1:7">
      <c r="A1524" s="934"/>
      <c r="B1524" s="243"/>
      <c r="C1524" s="389" t="s">
        <v>10</v>
      </c>
      <c r="D1524" s="146"/>
      <c r="E1524" s="146"/>
      <c r="F1524" s="1231"/>
      <c r="G1524" s="1094" t="s">
        <v>11</v>
      </c>
    </row>
    <row r="1525" spans="1:7" ht="14.25" thickBot="1">
      <c r="A1525" s="884"/>
      <c r="B1525" s="240"/>
      <c r="C1525" s="878" t="s">
        <v>1947</v>
      </c>
      <c r="D1525" s="63"/>
      <c r="E1525" s="231"/>
      <c r="F1525" s="1016"/>
      <c r="G1525" s="3"/>
    </row>
    <row r="1526" spans="1:7">
      <c r="A1526" s="1032"/>
      <c r="B1526" s="1230"/>
      <c r="C1526" s="906" t="s">
        <v>10273</v>
      </c>
      <c r="D1526" s="896"/>
      <c r="E1526" s="925"/>
      <c r="F1526" s="1034">
        <f>SUM(E1515:E1524)</f>
        <v>1930.67</v>
      </c>
      <c r="G1526" s="3"/>
    </row>
    <row r="1527" spans="1:7">
      <c r="A1527" s="884"/>
      <c r="B1527" s="240"/>
      <c r="C1527" s="878" t="s">
        <v>1868</v>
      </c>
      <c r="D1527" s="63"/>
      <c r="E1527" s="231"/>
      <c r="F1527" s="1016">
        <f>F1526-F1517</f>
        <v>515.76000000000022</v>
      </c>
      <c r="G1527" s="3"/>
    </row>
    <row r="1528" spans="1:7">
      <c r="A1528" s="884">
        <v>46023</v>
      </c>
      <c r="B1528" s="240" t="str">
        <f>TiposLancamentos!B7</f>
        <v>Apto. Proprio 01</v>
      </c>
      <c r="C1528" s="878" t="s">
        <v>11591</v>
      </c>
      <c r="D1528" s="63"/>
      <c r="E1528" s="231">
        <f>F1528/10</f>
        <v>438</v>
      </c>
      <c r="F1528" s="1016">
        <v>4380</v>
      </c>
      <c r="G1528" s="1152" t="s">
        <v>9</v>
      </c>
    </row>
    <row r="1529" spans="1:7">
      <c r="A1529" s="884">
        <v>46024</v>
      </c>
      <c r="B1529" s="240" t="str">
        <f>TiposLancamentos!B15</f>
        <v>Cartões de Crédito</v>
      </c>
      <c r="C1529" s="878" t="s">
        <v>1874</v>
      </c>
      <c r="D1529" s="63">
        <v>1930.67</v>
      </c>
      <c r="E1529" s="231"/>
      <c r="F1529" s="1016"/>
      <c r="G1529" s="1152" t="s">
        <v>9</v>
      </c>
    </row>
    <row r="1530" spans="1:7">
      <c r="A1530" s="884">
        <v>46026</v>
      </c>
      <c r="B1530" s="240" t="str">
        <f>TiposLancamentos!B23</f>
        <v>P208 GRIFFE 1.6 AUT BUSINESS</v>
      </c>
      <c r="C1530" s="878" t="s">
        <v>11592</v>
      </c>
      <c r="D1530" s="63"/>
      <c r="E1530" s="231">
        <f>F1530/5</f>
        <v>300</v>
      </c>
      <c r="F1530" s="1016">
        <v>1500</v>
      </c>
      <c r="G1530" s="1152" t="s">
        <v>9</v>
      </c>
    </row>
    <row r="1531" spans="1:7">
      <c r="A1531" s="884">
        <v>46029</v>
      </c>
      <c r="B1531" s="240" t="str">
        <f>TiposLancamentos!B70</f>
        <v>Vestuário</v>
      </c>
      <c r="C1531" s="878" t="s">
        <v>11593</v>
      </c>
      <c r="D1531" s="63"/>
      <c r="E1531" s="231">
        <f>F1531/3</f>
        <v>215.75333333333333</v>
      </c>
      <c r="F1531" s="1016">
        <v>647.26</v>
      </c>
      <c r="G1531" s="1152" t="s">
        <v>9</v>
      </c>
    </row>
    <row r="1532" spans="1:7">
      <c r="A1532" s="884">
        <v>46032</v>
      </c>
      <c r="B1532" s="240" t="str">
        <f>TiposLancamentos!B13</f>
        <v>Moradia</v>
      </c>
      <c r="C1532" s="878" t="s">
        <v>11594</v>
      </c>
      <c r="D1532" s="63"/>
      <c r="E1532" s="231">
        <v>788.91</v>
      </c>
      <c r="F1532" s="1016">
        <v>9467</v>
      </c>
      <c r="G1532" s="1152" t="s">
        <v>9</v>
      </c>
    </row>
    <row r="1533" spans="1:7">
      <c r="A1533" s="884">
        <v>46036</v>
      </c>
      <c r="B1533" s="240" t="str">
        <f>TiposLancamentos!B13</f>
        <v>Moradia</v>
      </c>
      <c r="C1533" s="878" t="s">
        <v>11595</v>
      </c>
      <c r="D1533" s="63"/>
      <c r="E1533" s="231">
        <f>F1533/10</f>
        <v>188</v>
      </c>
      <c r="F1533" s="1016">
        <v>1880</v>
      </c>
      <c r="G1533" s="1152" t="s">
        <v>9</v>
      </c>
    </row>
    <row r="1534" spans="1:7">
      <c r="A1534" s="934"/>
      <c r="B1534" s="243"/>
      <c r="C1534" s="389" t="s">
        <v>10</v>
      </c>
      <c r="D1534" s="146"/>
      <c r="E1534" s="146"/>
      <c r="F1534" s="1231"/>
      <c r="G1534" s="1094" t="s">
        <v>11</v>
      </c>
    </row>
    <row r="1535" spans="1:7" ht="14.25" thickBot="1">
      <c r="A1535" s="884"/>
      <c r="B1535" s="240"/>
      <c r="C1535" s="878" t="s">
        <v>1947</v>
      </c>
      <c r="D1535" s="63"/>
      <c r="E1535" s="231"/>
      <c r="F1535" s="1016"/>
      <c r="G1535" s="3"/>
    </row>
    <row r="1536" spans="1:7">
      <c r="A1536" s="1032"/>
      <c r="B1536" s="1230"/>
      <c r="C1536" s="906" t="s">
        <v>11596</v>
      </c>
      <c r="D1536" s="896"/>
      <c r="E1536" s="925"/>
      <c r="F1536" s="1034">
        <f>SUM(E1524:E1534)</f>
        <v>1930.6633333333334</v>
      </c>
      <c r="G1536" s="3"/>
    </row>
    <row r="1537" spans="1:7">
      <c r="A1537" s="884"/>
      <c r="B1537" s="240"/>
      <c r="C1537" s="878" t="s">
        <v>1947</v>
      </c>
      <c r="D1537" s="63"/>
      <c r="E1537" s="231"/>
      <c r="F1537" s="1016">
        <f>F1536-F1526</f>
        <v>-6.6666666666606034E-3</v>
      </c>
      <c r="G1537" s="3"/>
    </row>
    <row r="1538" spans="1:7">
      <c r="A1538" s="884">
        <v>46054</v>
      </c>
      <c r="B1538" s="240" t="str">
        <f>TiposLancamentos!B7</f>
        <v>Apto. Proprio 01</v>
      </c>
      <c r="C1538" s="878" t="s">
        <v>11597</v>
      </c>
      <c r="D1538" s="63"/>
      <c r="E1538" s="231">
        <f>F1538/10</f>
        <v>438</v>
      </c>
      <c r="F1538" s="1016">
        <v>4380</v>
      </c>
      <c r="G1538" s="1152" t="s">
        <v>9</v>
      </c>
    </row>
    <row r="1539" spans="1:7">
      <c r="A1539" s="884">
        <v>46055</v>
      </c>
      <c r="B1539" s="240" t="str">
        <f>TiposLancamentos!B15</f>
        <v>Cartões de Crédito</v>
      </c>
      <c r="C1539" s="878" t="s">
        <v>1874</v>
      </c>
      <c r="D1539" s="63">
        <v>1930.66</v>
      </c>
      <c r="E1539" s="231"/>
      <c r="F1539" s="1016"/>
      <c r="G1539" s="1152" t="s">
        <v>9</v>
      </c>
    </row>
    <row r="1540" spans="1:7">
      <c r="A1540" s="884">
        <v>46057</v>
      </c>
      <c r="B1540" s="240" t="str">
        <f>TiposLancamentos!B23</f>
        <v>P208 GRIFFE 1.6 AUT BUSINESS</v>
      </c>
      <c r="C1540" s="878" t="s">
        <v>11598</v>
      </c>
      <c r="D1540" s="63"/>
      <c r="E1540" s="231">
        <f>F1540/5</f>
        <v>300</v>
      </c>
      <c r="F1540" s="1016">
        <v>1500</v>
      </c>
      <c r="G1540" s="1152" t="s">
        <v>9</v>
      </c>
    </row>
    <row r="1541" spans="1:7">
      <c r="A1541" s="884">
        <v>46060</v>
      </c>
      <c r="B1541" s="240" t="str">
        <f>TiposLancamentos!B70</f>
        <v>Vestuário</v>
      </c>
      <c r="C1541" s="878" t="s">
        <v>11599</v>
      </c>
      <c r="D1541" s="63"/>
      <c r="E1541" s="231">
        <v>215.75</v>
      </c>
      <c r="F1541" s="1016">
        <v>647.26</v>
      </c>
      <c r="G1541" s="1152" t="s">
        <v>9</v>
      </c>
    </row>
    <row r="1542" spans="1:7">
      <c r="A1542" s="884">
        <v>46061</v>
      </c>
      <c r="B1542" s="240" t="str">
        <f>TiposLancamentos!B57</f>
        <v>Informática</v>
      </c>
      <c r="C1542" s="878" t="s">
        <v>11600</v>
      </c>
      <c r="D1542" s="63"/>
      <c r="E1542" s="231">
        <v>5.35</v>
      </c>
      <c r="F1542" s="1016" t="s">
        <v>11601</v>
      </c>
      <c r="G1542" s="1152" t="s">
        <v>9</v>
      </c>
    </row>
    <row r="1543" spans="1:7">
      <c r="A1543" s="884">
        <v>46061</v>
      </c>
      <c r="B1543" s="240" t="str">
        <f>TiposLancamentos!B4</f>
        <v>Taxas Bancarias</v>
      </c>
      <c r="C1543" s="878" t="s">
        <v>11602</v>
      </c>
      <c r="D1543" s="63"/>
      <c r="E1543" s="231">
        <v>0.19</v>
      </c>
      <c r="F1543" s="1016"/>
      <c r="G1543" s="1152" t="s">
        <v>9</v>
      </c>
    </row>
    <row r="1544" spans="1:7">
      <c r="A1544" s="884">
        <v>46061</v>
      </c>
      <c r="B1544" s="240" t="str">
        <f>TiposLancamentos!B57</f>
        <v>Informática</v>
      </c>
      <c r="C1544" s="878" t="s">
        <v>11600</v>
      </c>
      <c r="D1544" s="63"/>
      <c r="E1544" s="231">
        <v>16.21</v>
      </c>
      <c r="F1544" s="1016" t="s">
        <v>11603</v>
      </c>
      <c r="G1544" s="1152" t="s">
        <v>9</v>
      </c>
    </row>
    <row r="1545" spans="1:7">
      <c r="A1545" s="884">
        <v>46061</v>
      </c>
      <c r="B1545" s="240" t="str">
        <f>TiposLancamentos!B4</f>
        <v>Taxas Bancarias</v>
      </c>
      <c r="C1545" s="878" t="s">
        <v>11602</v>
      </c>
      <c r="D1545" s="63"/>
      <c r="E1545" s="231">
        <v>0.56999999999999995</v>
      </c>
      <c r="F1545" s="1016"/>
      <c r="G1545" s="1152" t="s">
        <v>9</v>
      </c>
    </row>
    <row r="1546" spans="1:7">
      <c r="A1546" s="884">
        <v>46063</v>
      </c>
      <c r="B1546" s="240" t="str">
        <f>TiposLancamentos!B13</f>
        <v>Moradia</v>
      </c>
      <c r="C1546" s="878" t="s">
        <v>11604</v>
      </c>
      <c r="D1546" s="63"/>
      <c r="E1546" s="231">
        <v>788.91</v>
      </c>
      <c r="F1546" s="1016">
        <v>9467</v>
      </c>
      <c r="G1546" s="1152" t="s">
        <v>9</v>
      </c>
    </row>
    <row r="1547" spans="1:7">
      <c r="A1547" s="884">
        <v>46067</v>
      </c>
      <c r="B1547" s="240" t="str">
        <f>TiposLancamentos!B13</f>
        <v>Moradia</v>
      </c>
      <c r="C1547" s="878" t="s">
        <v>11605</v>
      </c>
      <c r="D1547" s="63"/>
      <c r="E1547" s="231">
        <f>F1547/10</f>
        <v>188</v>
      </c>
      <c r="F1547" s="1016">
        <v>1880</v>
      </c>
      <c r="G1547" s="1152" t="s">
        <v>9</v>
      </c>
    </row>
    <row r="1548" spans="1:7">
      <c r="A1548" s="884">
        <v>46069</v>
      </c>
      <c r="B1548" s="240" t="str">
        <f>TiposLancamentos!B57</f>
        <v>Informática</v>
      </c>
      <c r="C1548" s="878" t="s">
        <v>11600</v>
      </c>
      <c r="D1548" s="63"/>
      <c r="E1548" s="231">
        <v>163.08000000000001</v>
      </c>
      <c r="F1548" s="1016" t="s">
        <v>11606</v>
      </c>
      <c r="G1548" s="1152" t="s">
        <v>9</v>
      </c>
    </row>
    <row r="1549" spans="1:7">
      <c r="A1549" s="884">
        <v>46069</v>
      </c>
      <c r="B1549" s="240" t="str">
        <f>TiposLancamentos!B4</f>
        <v>Taxas Bancarias</v>
      </c>
      <c r="C1549" s="878" t="s">
        <v>11602</v>
      </c>
      <c r="D1549" s="63"/>
      <c r="E1549" s="231">
        <v>5.71</v>
      </c>
      <c r="F1549" s="1016"/>
      <c r="G1549" s="1152" t="s">
        <v>9</v>
      </c>
    </row>
    <row r="1550" spans="1:7">
      <c r="A1550" s="884">
        <v>46075</v>
      </c>
      <c r="B1550" s="240" t="str">
        <f>TiposLancamentos!B78</f>
        <v>Diferenças</v>
      </c>
      <c r="C1550" s="878" t="s">
        <v>11607</v>
      </c>
      <c r="D1550" s="63">
        <v>0.01</v>
      </c>
      <c r="E1550" s="231"/>
      <c r="F1550" s="1016"/>
      <c r="G1550" s="1152" t="s">
        <v>9</v>
      </c>
    </row>
    <row r="1551" spans="1:7">
      <c r="A1551" s="934"/>
      <c r="B1551" s="243"/>
      <c r="C1551" s="389" t="s">
        <v>10</v>
      </c>
      <c r="D1551" s="146"/>
      <c r="E1551" s="146"/>
      <c r="F1551" s="1231"/>
      <c r="G1551" s="1094" t="s">
        <v>11</v>
      </c>
    </row>
    <row r="1552" spans="1:7" ht="14.25" thickBot="1">
      <c r="A1552" s="884"/>
      <c r="B1552" s="240"/>
      <c r="C1552" s="878" t="s">
        <v>1947</v>
      </c>
      <c r="D1552" s="63"/>
      <c r="E1552" s="231"/>
      <c r="F1552" s="1016"/>
      <c r="G1552" s="3"/>
    </row>
    <row r="1553" spans="1:7">
      <c r="A1553" s="1032"/>
      <c r="B1553" s="1230"/>
      <c r="C1553" s="906" t="s">
        <v>1656</v>
      </c>
      <c r="D1553" s="896"/>
      <c r="E1553" s="925"/>
      <c r="F1553" s="1034">
        <f>SUM(E1534:E1551)-D1550</f>
        <v>2121.7599999999998</v>
      </c>
      <c r="G1553" s="3"/>
    </row>
    <row r="1554" spans="1:7">
      <c r="A1554" s="884"/>
      <c r="B1554" s="240"/>
      <c r="C1554" s="878"/>
      <c r="D1554" s="63"/>
      <c r="E1554" s="231"/>
      <c r="F1554" s="1016">
        <f>F1553-F1536</f>
        <v>191.09666666666635</v>
      </c>
      <c r="G1554" s="3"/>
    </row>
    <row r="1555" spans="1:7">
      <c r="A1555" s="884">
        <v>46082</v>
      </c>
      <c r="B1555" s="240" t="str">
        <f>TiposLancamentos!B13</f>
        <v>Moradia</v>
      </c>
      <c r="C1555" s="878" t="s">
        <v>11608</v>
      </c>
      <c r="D1555" s="63"/>
      <c r="E1555" s="231">
        <f>F1555/10</f>
        <v>438</v>
      </c>
      <c r="F1555" s="1016">
        <v>4380</v>
      </c>
      <c r="G1555" s="1152" t="s">
        <v>9</v>
      </c>
    </row>
    <row r="1556" spans="1:7">
      <c r="A1556" s="884">
        <v>46083</v>
      </c>
      <c r="B1556" s="240" t="str">
        <f>TiposLancamentos!B15</f>
        <v>Cartões de Crédito</v>
      </c>
      <c r="C1556" s="878" t="s">
        <v>1874</v>
      </c>
      <c r="D1556" s="63">
        <v>2121.7600000000002</v>
      </c>
      <c r="E1556" s="231"/>
      <c r="F1556" s="1016"/>
      <c r="G1556" s="1152" t="s">
        <v>9</v>
      </c>
    </row>
    <row r="1557" spans="1:7">
      <c r="A1557" s="884">
        <v>46085</v>
      </c>
      <c r="B1557" s="240" t="str">
        <f>TiposLancamentos!B23</f>
        <v>P208 GRIFFE 1.6 AUT BUSINESS</v>
      </c>
      <c r="C1557" s="878" t="s">
        <v>11609</v>
      </c>
      <c r="D1557" s="63"/>
      <c r="E1557" s="231">
        <f>F1557/5</f>
        <v>300</v>
      </c>
      <c r="F1557" s="1016">
        <v>1500</v>
      </c>
      <c r="G1557" s="1152" t="s">
        <v>9</v>
      </c>
    </row>
    <row r="1558" spans="1:7">
      <c r="A1558" s="884">
        <v>46088</v>
      </c>
      <c r="B1558" s="240" t="str">
        <f>TiposLancamentos!B71</f>
        <v>Itens Pessoais</v>
      </c>
      <c r="C1558" s="878" t="s">
        <v>11610</v>
      </c>
      <c r="D1558" s="63"/>
      <c r="E1558" s="231">
        <v>5499</v>
      </c>
      <c r="F1558" s="1016"/>
      <c r="G1558" s="1152" t="s">
        <v>9</v>
      </c>
    </row>
    <row r="1559" spans="1:7">
      <c r="A1559" s="884">
        <v>46091</v>
      </c>
      <c r="B1559" s="240" t="str">
        <f>TiposLancamentos!B13</f>
        <v>Moradia</v>
      </c>
      <c r="C1559" s="878" t="s">
        <v>11611</v>
      </c>
      <c r="D1559" s="63"/>
      <c r="E1559" s="231">
        <v>788.91</v>
      </c>
      <c r="F1559" s="1016">
        <v>9467</v>
      </c>
      <c r="G1559" s="1152" t="s">
        <v>9</v>
      </c>
    </row>
    <row r="1560" spans="1:7">
      <c r="A1560" s="884">
        <v>46095</v>
      </c>
      <c r="B1560" s="240" t="str">
        <f>TiposLancamentos!B13</f>
        <v>Moradia</v>
      </c>
      <c r="C1560" s="878" t="s">
        <v>11612</v>
      </c>
      <c r="D1560" s="63"/>
      <c r="E1560" s="231">
        <f>F1560/10</f>
        <v>188</v>
      </c>
      <c r="F1560" s="1016">
        <v>1880</v>
      </c>
      <c r="G1560" s="1152" t="s">
        <v>9</v>
      </c>
    </row>
    <row r="1561" spans="1:7">
      <c r="A1561" s="934"/>
      <c r="B1561" s="243"/>
      <c r="C1561" s="389" t="s">
        <v>10</v>
      </c>
      <c r="D1561" s="146"/>
      <c r="E1561" s="146"/>
      <c r="F1561" s="1231"/>
      <c r="G1561" s="1094" t="s">
        <v>11</v>
      </c>
    </row>
    <row r="1562" spans="1:7">
      <c r="A1562" s="884">
        <v>46107</v>
      </c>
      <c r="B1562" s="240" t="str">
        <f>TiposLancamentos!B32</f>
        <v>Clinicas e tratamentos</v>
      </c>
      <c r="C1562" s="878" t="s">
        <v>11613</v>
      </c>
      <c r="D1562" s="63"/>
      <c r="E1562" s="231">
        <f>F1562/3</f>
        <v>169</v>
      </c>
      <c r="F1562" s="1016">
        <v>507</v>
      </c>
      <c r="G1562" s="1152" t="s">
        <v>9</v>
      </c>
    </row>
    <row r="1563" spans="1:7" ht="14.25" thickBot="1">
      <c r="A1563" s="884"/>
      <c r="B1563" s="240"/>
      <c r="C1563" s="878" t="s">
        <v>1868</v>
      </c>
      <c r="D1563" s="63"/>
      <c r="E1563" s="231"/>
      <c r="F1563" s="1016"/>
      <c r="G1563" s="3"/>
    </row>
    <row r="1564" spans="1:7">
      <c r="A1564" s="1032"/>
      <c r="B1564" s="1230"/>
      <c r="C1564" s="906" t="s">
        <v>1657</v>
      </c>
      <c r="D1564" s="896"/>
      <c r="E1564" s="925"/>
      <c r="F1564" s="1034">
        <f>SUM(E1551:E1561)</f>
        <v>7213.91</v>
      </c>
      <c r="G1564" s="3"/>
    </row>
    <row r="1565" spans="1:7">
      <c r="A1565" s="884">
        <v>46113</v>
      </c>
      <c r="B1565" s="240" t="str">
        <f>TiposLancamentos!B15</f>
        <v>Cartões de Crédito</v>
      </c>
      <c r="C1565" s="878" t="s">
        <v>1874</v>
      </c>
      <c r="D1565" s="63">
        <v>7213.91</v>
      </c>
      <c r="E1565" s="231"/>
      <c r="F1565" s="1016">
        <f>F1564-F1553</f>
        <v>5092.1499999999996</v>
      </c>
      <c r="G1565" s="1152" t="s">
        <v>9</v>
      </c>
    </row>
    <row r="1566" spans="1:7">
      <c r="A1566" s="884">
        <v>46113</v>
      </c>
      <c r="B1566" s="240" t="str">
        <f>TiposLancamentos!B13</f>
        <v>Moradia</v>
      </c>
      <c r="C1566" s="878" t="s">
        <v>11614</v>
      </c>
      <c r="D1566" s="63"/>
      <c r="E1566" s="231">
        <f>F1566/10</f>
        <v>438</v>
      </c>
      <c r="F1566" s="1016">
        <v>4380</v>
      </c>
      <c r="G1566" s="1152" t="s">
        <v>9</v>
      </c>
    </row>
    <row r="1567" spans="1:7">
      <c r="A1567" s="884">
        <v>46114</v>
      </c>
      <c r="B1567" s="240" t="str">
        <f>TiposLancamentos!B71</f>
        <v>Itens Pessoais</v>
      </c>
      <c r="C1567" s="878" t="s">
        <v>11615</v>
      </c>
      <c r="D1567" s="63"/>
      <c r="E1567" s="231">
        <v>573.70000000000005</v>
      </c>
      <c r="F1567" s="1016">
        <v>3442</v>
      </c>
      <c r="G1567" s="1152" t="s">
        <v>9</v>
      </c>
    </row>
    <row r="1568" spans="1:7">
      <c r="A1568" s="884">
        <v>46116</v>
      </c>
      <c r="B1568" s="240" t="str">
        <f>TiposLancamentos!B23</f>
        <v>P208 GRIFFE 1.6 AUT BUSINESS</v>
      </c>
      <c r="C1568" s="878" t="s">
        <v>11616</v>
      </c>
      <c r="D1568" s="63"/>
      <c r="E1568" s="231">
        <f>F1568/5</f>
        <v>300</v>
      </c>
      <c r="F1568" s="1016">
        <v>1500</v>
      </c>
      <c r="G1568" s="1152" t="s">
        <v>9</v>
      </c>
    </row>
    <row r="1569" spans="1:7">
      <c r="A1569" s="884">
        <v>46122</v>
      </c>
      <c r="B1569" s="240" t="str">
        <f>TiposLancamentos!B13</f>
        <v>Moradia</v>
      </c>
      <c r="C1569" s="878" t="s">
        <v>11617</v>
      </c>
      <c r="D1569" s="63"/>
      <c r="E1569" s="231">
        <v>788.91</v>
      </c>
      <c r="F1569" s="1016">
        <v>9467</v>
      </c>
      <c r="G1569" s="1152" t="s">
        <v>9</v>
      </c>
    </row>
    <row r="1570" spans="1:7">
      <c r="A1570" s="884">
        <v>46123</v>
      </c>
      <c r="B1570" s="240" t="str">
        <f>TiposLancamentos!B7</f>
        <v>Apto. Proprio 01</v>
      </c>
      <c r="C1570" s="878" t="s">
        <v>11618</v>
      </c>
      <c r="D1570" s="63"/>
      <c r="E1570" s="231">
        <v>262</v>
      </c>
      <c r="F1570" s="1016"/>
      <c r="G1570" s="1152" t="s">
        <v>9</v>
      </c>
    </row>
    <row r="1571" spans="1:7">
      <c r="A1571" s="934"/>
      <c r="B1571" s="243"/>
      <c r="C1571" s="389" t="s">
        <v>10</v>
      </c>
      <c r="D1571" s="146"/>
      <c r="E1571" s="146"/>
      <c r="F1571" s="1231"/>
      <c r="G1571" s="1094" t="s">
        <v>11</v>
      </c>
    </row>
    <row r="1572" spans="1:7">
      <c r="A1572" s="884">
        <v>46138</v>
      </c>
      <c r="B1572" s="240" t="str">
        <f>TiposLancamentos!B32</f>
        <v>Clinicas e tratamentos</v>
      </c>
      <c r="C1572" s="878" t="s">
        <v>11619</v>
      </c>
      <c r="D1572" s="63"/>
      <c r="E1572" s="231">
        <f>F1572/3</f>
        <v>169</v>
      </c>
      <c r="F1572" s="1016">
        <v>507</v>
      </c>
      <c r="G1572" s="1152" t="s">
        <v>9</v>
      </c>
    </row>
    <row r="1573" spans="1:7" ht="14.25" thickBot="1">
      <c r="A1573" s="884"/>
      <c r="B1573" s="240"/>
      <c r="C1573" s="878" t="s">
        <v>1947</v>
      </c>
      <c r="D1573" s="63"/>
      <c r="E1573" s="231"/>
      <c r="F1573" s="1016"/>
      <c r="G1573" s="3"/>
    </row>
    <row r="1574" spans="1:7">
      <c r="A1574" s="1032"/>
      <c r="B1574" s="1230"/>
      <c r="C1574" s="906" t="s">
        <v>1658</v>
      </c>
      <c r="D1574" s="896"/>
      <c r="E1574" s="925"/>
      <c r="F1574" s="1034">
        <f>SUM(E1561:E1571)</f>
        <v>2531.61</v>
      </c>
      <c r="G1574" s="3"/>
    </row>
    <row r="1575" spans="1:7">
      <c r="A1575" s="884"/>
      <c r="B1575" s="240"/>
      <c r="C1575" s="878"/>
      <c r="D1575" s="63"/>
      <c r="E1575" s="231"/>
      <c r="F1575" s="1016">
        <f>F1574-F1564</f>
        <v>-4682.2999999999993</v>
      </c>
      <c r="G1575" s="3"/>
    </row>
    <row r="1576" spans="1:7">
      <c r="A1576" s="884">
        <v>46143</v>
      </c>
      <c r="B1576" s="240" t="str">
        <f>TiposLancamentos!B7</f>
        <v>Apto. Proprio 01</v>
      </c>
      <c r="C1576" s="878" t="s">
        <v>11620</v>
      </c>
      <c r="D1576" s="63"/>
      <c r="E1576" s="231">
        <f>F1576/10</f>
        <v>438</v>
      </c>
      <c r="F1576" s="1016">
        <v>4380</v>
      </c>
      <c r="G1576" s="1152" t="s">
        <v>9</v>
      </c>
    </row>
    <row r="1577" spans="1:7">
      <c r="A1577" s="884">
        <v>46144</v>
      </c>
      <c r="B1577" s="240" t="str">
        <f>TiposLancamentos!B71</f>
        <v>Itens Pessoais</v>
      </c>
      <c r="C1577" s="878" t="s">
        <v>11621</v>
      </c>
      <c r="D1577" s="63"/>
      <c r="E1577" s="231">
        <v>573.66</v>
      </c>
      <c r="F1577" s="1016">
        <v>3442</v>
      </c>
      <c r="G1577" s="1152" t="s">
        <v>9</v>
      </c>
    </row>
    <row r="1578" spans="1:7">
      <c r="A1578" s="884">
        <v>46146</v>
      </c>
      <c r="B1578" s="240" t="str">
        <f>TiposLancamentos!B15</f>
        <v>Cartões de Crédito</v>
      </c>
      <c r="C1578" s="878" t="s">
        <v>1874</v>
      </c>
      <c r="D1578" s="63">
        <v>2531.61</v>
      </c>
      <c r="E1578" s="231"/>
      <c r="F1578" s="1016"/>
      <c r="G1578" s="1152" t="s">
        <v>9</v>
      </c>
    </row>
    <row r="1579" spans="1:7">
      <c r="A1579" s="884"/>
      <c r="B1579" s="240"/>
      <c r="C1579" s="878"/>
      <c r="D1579" s="63"/>
      <c r="E1579" s="231"/>
      <c r="F1579" s="1016"/>
      <c r="G1579" s="3"/>
    </row>
    <row r="1580" spans="1:7">
      <c r="A1580" s="884"/>
      <c r="B1580" s="240"/>
      <c r="C1580" s="878"/>
      <c r="D1580" s="63"/>
      <c r="E1580" s="231"/>
      <c r="F1580" s="1016"/>
      <c r="G1580" s="3"/>
    </row>
    <row r="1581" spans="1:7">
      <c r="A1581" s="884"/>
      <c r="B1581" s="240"/>
      <c r="C1581" s="878"/>
      <c r="D1581" s="63"/>
      <c r="E1581" s="231"/>
      <c r="F1581" s="1016"/>
      <c r="G1581" s="3"/>
    </row>
    <row r="1582" spans="1:7">
      <c r="A1582" s="884"/>
      <c r="B1582" s="240"/>
      <c r="C1582" s="878"/>
      <c r="D1582" s="63"/>
      <c r="E1582" s="231"/>
      <c r="F1582" s="1016"/>
      <c r="G1582" s="3"/>
    </row>
    <row r="1583" spans="1:7">
      <c r="A1583" s="884"/>
      <c r="B1583" s="240"/>
      <c r="C1583" s="878"/>
      <c r="D1583" s="63"/>
      <c r="E1583" s="231"/>
      <c r="F1583" s="1016"/>
      <c r="G1583" s="3"/>
    </row>
    <row r="1584" spans="1:7">
      <c r="A1584" s="884"/>
      <c r="B1584" s="240"/>
      <c r="C1584" s="878"/>
      <c r="D1584" s="63"/>
      <c r="E1584" s="231"/>
      <c r="F1584" s="1016"/>
      <c r="G1584" s="3"/>
    </row>
    <row r="1585" spans="1:7">
      <c r="A1585" s="934"/>
      <c r="B1585" s="243"/>
      <c r="C1585" s="389" t="s">
        <v>10</v>
      </c>
      <c r="D1585" s="146"/>
      <c r="E1585" s="146"/>
      <c r="F1585" s="1231"/>
      <c r="G1585" s="1094" t="s">
        <v>11</v>
      </c>
    </row>
    <row r="1586" spans="1:7">
      <c r="A1586" s="884"/>
      <c r="B1586" s="240"/>
      <c r="C1586" s="878"/>
      <c r="D1586" s="63"/>
      <c r="E1586" s="231"/>
      <c r="F1586" s="1016"/>
      <c r="G1586" s="3"/>
    </row>
    <row r="1587" spans="1:7">
      <c r="A1587" s="884">
        <v>46168</v>
      </c>
      <c r="B1587" s="240"/>
      <c r="C1587" s="878" t="s">
        <v>11622</v>
      </c>
      <c r="D1587" s="63"/>
      <c r="E1587" s="231">
        <f>F1587/3</f>
        <v>169</v>
      </c>
      <c r="F1587" s="1016">
        <v>507</v>
      </c>
      <c r="G1587" s="1094" t="s">
        <v>11</v>
      </c>
    </row>
    <row r="1588" spans="1:7" ht="14.25" thickBot="1">
      <c r="A1588" s="884"/>
      <c r="B1588" s="240"/>
      <c r="C1588" s="878"/>
      <c r="D1588" s="63"/>
      <c r="E1588" s="231"/>
      <c r="F1588" s="1016"/>
      <c r="G1588" s="3"/>
    </row>
    <row r="1589" spans="1:7">
      <c r="A1589" s="1032"/>
      <c r="B1589" s="1230"/>
      <c r="C1589" s="906" t="s">
        <v>1659</v>
      </c>
      <c r="D1589" s="896"/>
      <c r="E1589" s="925"/>
      <c r="F1589" s="1034">
        <f>SUM(E1571:E1585)</f>
        <v>1180.6599999999999</v>
      </c>
      <c r="G1589" s="3"/>
    </row>
    <row r="1590" spans="1:7">
      <c r="A1590" s="884">
        <v>46174</v>
      </c>
      <c r="B1590" s="240"/>
      <c r="C1590" s="878" t="s">
        <v>1874</v>
      </c>
      <c r="D1590" s="63"/>
      <c r="E1590" s="231"/>
      <c r="F1590" s="1016">
        <f>F1589-F1574</f>
        <v>-1350.9500000000003</v>
      </c>
      <c r="G1590" s="3"/>
    </row>
    <row r="1591" spans="1:7">
      <c r="A1591" s="884">
        <v>46174</v>
      </c>
      <c r="B1591" s="240"/>
      <c r="C1591" s="878" t="s">
        <v>11623</v>
      </c>
      <c r="D1591" s="63"/>
      <c r="E1591" s="231">
        <f>F1591/10</f>
        <v>438</v>
      </c>
      <c r="F1591" s="1016">
        <v>4380</v>
      </c>
      <c r="G1591" s="1094" t="s">
        <v>11</v>
      </c>
    </row>
    <row r="1592" spans="1:7">
      <c r="A1592" s="884"/>
      <c r="B1592" s="240"/>
      <c r="C1592" s="878"/>
      <c r="D1592" s="63"/>
      <c r="E1592" s="231"/>
      <c r="F1592" s="1016"/>
      <c r="G1592" s="3"/>
    </row>
    <row r="1593" spans="1:7">
      <c r="A1593" s="884">
        <v>46175</v>
      </c>
      <c r="B1593" s="240"/>
      <c r="C1593" s="878" t="s">
        <v>11624</v>
      </c>
      <c r="D1593" s="63"/>
      <c r="E1593" s="231">
        <f>F1593/6</f>
        <v>573.66666666666663</v>
      </c>
      <c r="F1593" s="1016">
        <v>3442</v>
      </c>
      <c r="G1593" s="1094" t="s">
        <v>11</v>
      </c>
    </row>
    <row r="1594" spans="1:7">
      <c r="A1594" s="884"/>
      <c r="B1594" s="240"/>
      <c r="C1594" s="878"/>
      <c r="D1594" s="63"/>
      <c r="E1594" s="231"/>
      <c r="F1594" s="1016"/>
      <c r="G1594" s="3"/>
    </row>
    <row r="1595" spans="1:7">
      <c r="A1595" s="884"/>
      <c r="B1595" s="240"/>
      <c r="C1595" s="878"/>
      <c r="D1595" s="63"/>
      <c r="E1595" s="231"/>
      <c r="F1595" s="1016"/>
      <c r="G1595" s="3"/>
    </row>
    <row r="1596" spans="1:7">
      <c r="A1596" s="934"/>
      <c r="B1596" s="243"/>
      <c r="C1596" s="389" t="s">
        <v>10</v>
      </c>
      <c r="D1596" s="146"/>
      <c r="E1596" s="146"/>
      <c r="F1596" s="1231"/>
      <c r="G1596" s="3"/>
    </row>
    <row r="1597" spans="1:7">
      <c r="A1597" s="884"/>
      <c r="B1597" s="240"/>
      <c r="C1597" s="878"/>
      <c r="D1597" s="63"/>
      <c r="E1597" s="231"/>
      <c r="F1597" s="1016"/>
      <c r="G1597" s="3"/>
    </row>
    <row r="1598" spans="1:7">
      <c r="A1598" s="884"/>
      <c r="B1598" s="240"/>
      <c r="C1598" s="878"/>
      <c r="D1598" s="63"/>
      <c r="E1598" s="231"/>
      <c r="F1598" s="1016"/>
      <c r="G1598" s="3"/>
    </row>
    <row r="1599" spans="1:7" ht="14.25" thickBot="1">
      <c r="A1599" s="884"/>
      <c r="B1599" s="240"/>
      <c r="C1599" s="878"/>
      <c r="D1599" s="63"/>
      <c r="E1599" s="231"/>
      <c r="F1599" s="1016"/>
      <c r="G1599" s="3"/>
    </row>
    <row r="1600" spans="1:7">
      <c r="A1600" s="1032"/>
      <c r="B1600" s="1230"/>
      <c r="C1600" s="906" t="s">
        <v>1660</v>
      </c>
      <c r="D1600" s="896"/>
      <c r="E1600" s="925"/>
      <c r="F1600" s="1034">
        <f>SUM(E1585:E1596)</f>
        <v>1180.6666666666665</v>
      </c>
      <c r="G1600" s="3"/>
    </row>
    <row r="1601" spans="1:7">
      <c r="A1601" s="884">
        <v>46204</v>
      </c>
      <c r="B1601" s="240"/>
      <c r="C1601" s="878" t="s">
        <v>1874</v>
      </c>
      <c r="D1601" s="63"/>
      <c r="E1601" s="231"/>
      <c r="F1601" s="1016">
        <f>F1600-F1590</f>
        <v>2531.6166666666668</v>
      </c>
      <c r="G1601" s="3"/>
    </row>
    <row r="1602" spans="1:7">
      <c r="A1602" s="884">
        <v>46204</v>
      </c>
      <c r="B1602" s="240"/>
      <c r="C1602" s="878" t="s">
        <v>11625</v>
      </c>
      <c r="D1602" s="63"/>
      <c r="E1602" s="231">
        <f>F1602/10</f>
        <v>438</v>
      </c>
      <c r="F1602" s="1016">
        <v>4380</v>
      </c>
      <c r="G1602" s="1094" t="s">
        <v>11</v>
      </c>
    </row>
    <row r="1603" spans="1:7">
      <c r="A1603" s="884"/>
      <c r="B1603" s="240"/>
      <c r="C1603" s="878"/>
      <c r="D1603" s="63"/>
      <c r="E1603" s="231"/>
      <c r="F1603" s="1016"/>
      <c r="G1603" s="3"/>
    </row>
    <row r="1604" spans="1:7">
      <c r="A1604" s="884">
        <v>46205</v>
      </c>
      <c r="B1604" s="240"/>
      <c r="C1604" s="878" t="s">
        <v>11626</v>
      </c>
      <c r="D1604" s="63"/>
      <c r="E1604" s="231">
        <f>F1604/6</f>
        <v>573.66666666666663</v>
      </c>
      <c r="F1604" s="1016">
        <v>3442</v>
      </c>
      <c r="G1604" s="1094" t="s">
        <v>11</v>
      </c>
    </row>
    <row r="1605" spans="1:7">
      <c r="A1605" s="884"/>
      <c r="B1605" s="240"/>
      <c r="C1605" s="878"/>
      <c r="D1605" s="63"/>
      <c r="E1605" s="231"/>
      <c r="F1605" s="1016"/>
      <c r="G1605" s="3"/>
    </row>
    <row r="1606" spans="1:7">
      <c r="A1606" s="884"/>
      <c r="B1606" s="240"/>
      <c r="C1606" s="878"/>
      <c r="D1606" s="63"/>
      <c r="E1606" s="231"/>
      <c r="F1606" s="1016"/>
      <c r="G1606" s="3"/>
    </row>
    <row r="1607" spans="1:7">
      <c r="A1607" s="934"/>
      <c r="B1607" s="243"/>
      <c r="C1607" s="389" t="s">
        <v>10</v>
      </c>
      <c r="D1607" s="146"/>
      <c r="E1607" s="146"/>
      <c r="F1607" s="1231"/>
      <c r="G1607" s="3"/>
    </row>
    <row r="1608" spans="1:7">
      <c r="A1608" s="884"/>
      <c r="B1608" s="240"/>
      <c r="C1608" s="878"/>
      <c r="D1608" s="63"/>
      <c r="E1608" s="231"/>
      <c r="F1608" s="1016"/>
      <c r="G1608" s="3"/>
    </row>
    <row r="1609" spans="1:7">
      <c r="A1609" s="884"/>
      <c r="B1609" s="240"/>
      <c r="C1609" s="878"/>
      <c r="D1609" s="63"/>
      <c r="E1609" s="231"/>
      <c r="F1609" s="1016"/>
      <c r="G1609" s="3"/>
    </row>
    <row r="1610" spans="1:7" ht="14.25" thickBot="1">
      <c r="A1610" s="884"/>
      <c r="B1610" s="240"/>
      <c r="C1610" s="878"/>
      <c r="D1610" s="63"/>
      <c r="E1610" s="231"/>
      <c r="F1610" s="1016"/>
      <c r="G1610" s="3"/>
    </row>
    <row r="1611" spans="1:7">
      <c r="A1611" s="1032"/>
      <c r="B1611" s="1230"/>
      <c r="C1611" s="906" t="s">
        <v>11627</v>
      </c>
      <c r="D1611" s="896"/>
      <c r="E1611" s="925"/>
      <c r="F1611" s="1034">
        <f>SUM(E1596:E1607)</f>
        <v>1011.6666666666666</v>
      </c>
      <c r="G1611" s="3"/>
    </row>
    <row r="1612" spans="1:7">
      <c r="A1612" s="884">
        <v>46235</v>
      </c>
      <c r="B1612" s="240"/>
      <c r="C1612" s="878" t="s">
        <v>1874</v>
      </c>
      <c r="D1612" s="63"/>
      <c r="E1612" s="231"/>
      <c r="F1612" s="1016">
        <f>F1611-F1600</f>
        <v>-168.99999999999989</v>
      </c>
      <c r="G1612" s="3"/>
    </row>
    <row r="1613" spans="1:7">
      <c r="A1613" s="884"/>
      <c r="B1613" s="240"/>
      <c r="C1613" s="878"/>
      <c r="D1613" s="63"/>
      <c r="E1613" s="231"/>
      <c r="F1613" s="1016"/>
      <c r="G1613" s="3"/>
    </row>
    <row r="1614" spans="1:7">
      <c r="A1614" s="884">
        <v>46236</v>
      </c>
      <c r="B1614" s="240"/>
      <c r="C1614" s="878" t="s">
        <v>11628</v>
      </c>
      <c r="D1614" s="63"/>
      <c r="E1614" s="231">
        <f>F1614/6</f>
        <v>573.66666666666663</v>
      </c>
      <c r="F1614" s="1016">
        <v>3442</v>
      </c>
      <c r="G1614" s="1094" t="s">
        <v>11</v>
      </c>
    </row>
    <row r="1615" spans="1:7">
      <c r="A1615" s="884"/>
      <c r="B1615" s="240"/>
      <c r="C1615" s="878"/>
      <c r="D1615" s="63"/>
      <c r="E1615" s="231"/>
      <c r="F1615" s="1016"/>
      <c r="G1615" s="1094" t="s">
        <v>11</v>
      </c>
    </row>
    <row r="1616" spans="1:7">
      <c r="A1616" s="884"/>
      <c r="B1616" s="240"/>
      <c r="C1616" s="878"/>
      <c r="D1616" s="63"/>
      <c r="E1616" s="231"/>
      <c r="F1616" s="1016"/>
      <c r="G1616" s="3"/>
    </row>
    <row r="1617" spans="1:7">
      <c r="A1617" s="934"/>
      <c r="B1617" s="243"/>
      <c r="C1617" s="389" t="s">
        <v>10</v>
      </c>
      <c r="D1617" s="146"/>
      <c r="E1617" s="146"/>
      <c r="F1617" s="1231"/>
      <c r="G1617" s="3"/>
    </row>
    <row r="1618" spans="1:7">
      <c r="A1618" s="884"/>
      <c r="B1618" s="240"/>
      <c r="C1618" s="878"/>
      <c r="D1618" s="63"/>
      <c r="E1618" s="231"/>
      <c r="F1618" s="1016"/>
      <c r="G1618" s="3"/>
    </row>
    <row r="1619" spans="1:7">
      <c r="A1619" s="884"/>
      <c r="B1619" s="240"/>
      <c r="C1619" s="878"/>
      <c r="D1619" s="63"/>
      <c r="E1619" s="231"/>
      <c r="F1619" s="1016"/>
      <c r="G1619" s="3"/>
    </row>
    <row r="1620" spans="1:7" ht="14.25" thickBot="1">
      <c r="A1620" s="884"/>
      <c r="B1620" s="240"/>
      <c r="C1620" s="878"/>
      <c r="D1620" s="63"/>
      <c r="E1620" s="231"/>
      <c r="F1620" s="1016"/>
      <c r="G1620" s="3"/>
    </row>
    <row r="1621" spans="1:7">
      <c r="A1621" s="1032"/>
      <c r="B1621" s="1230"/>
      <c r="C1621" s="906" t="s">
        <v>1662</v>
      </c>
      <c r="D1621" s="896"/>
      <c r="E1621" s="925"/>
      <c r="F1621" s="1034">
        <f>SUM(E1607:E1617)</f>
        <v>573.66666666666663</v>
      </c>
      <c r="G1621" s="3"/>
    </row>
    <row r="1622" spans="1:7">
      <c r="A1622" s="884">
        <v>46266</v>
      </c>
      <c r="B1622" s="240"/>
      <c r="C1622" s="878" t="s">
        <v>1874</v>
      </c>
      <c r="D1622" s="63"/>
      <c r="E1622" s="231"/>
      <c r="F1622" s="1016">
        <f>F1621-F1611</f>
        <v>-438</v>
      </c>
      <c r="G1622" s="3"/>
    </row>
    <row r="1623" spans="1:7">
      <c r="A1623" s="884"/>
      <c r="B1623" s="240"/>
      <c r="C1623" s="878"/>
      <c r="D1623" s="63"/>
      <c r="E1623" s="231"/>
      <c r="F1623" s="1016"/>
      <c r="G1623" s="3"/>
    </row>
    <row r="1624" spans="1:7">
      <c r="A1624" s="884">
        <v>46267</v>
      </c>
      <c r="B1624" s="240"/>
      <c r="C1624" s="878" t="s">
        <v>11629</v>
      </c>
      <c r="D1624" s="63"/>
      <c r="E1624" s="231">
        <f>F1624/6</f>
        <v>573.66666666666663</v>
      </c>
      <c r="F1624" s="1016">
        <v>3442</v>
      </c>
      <c r="G1624" s="1094" t="s">
        <v>11</v>
      </c>
    </row>
    <row r="1625" spans="1:7">
      <c r="A1625" s="884"/>
      <c r="B1625" s="240"/>
      <c r="C1625" s="878"/>
      <c r="D1625" s="63"/>
      <c r="E1625" s="231"/>
      <c r="F1625" s="1016"/>
      <c r="G1625" s="1094" t="s">
        <v>11</v>
      </c>
    </row>
    <row r="1626" spans="1:7">
      <c r="A1626" s="884"/>
      <c r="B1626" s="240"/>
      <c r="C1626" s="878"/>
      <c r="D1626" s="63"/>
      <c r="E1626" s="231"/>
      <c r="F1626" s="1016"/>
      <c r="G1626" s="3"/>
    </row>
    <row r="1627" spans="1:7">
      <c r="A1627" s="934"/>
      <c r="B1627" s="243"/>
      <c r="C1627" s="389" t="s">
        <v>10</v>
      </c>
      <c r="D1627" s="146"/>
      <c r="E1627" s="146"/>
      <c r="F1627" s="1231"/>
      <c r="G1627" s="3"/>
    </row>
    <row r="1628" spans="1:7">
      <c r="A1628" s="884"/>
      <c r="B1628" s="240"/>
      <c r="C1628" s="878"/>
      <c r="D1628" s="63"/>
      <c r="E1628" s="231"/>
      <c r="F1628" s="1016"/>
      <c r="G1628" s="3"/>
    </row>
    <row r="1629" spans="1:7">
      <c r="A1629" s="884"/>
      <c r="B1629" s="240"/>
      <c r="C1629" s="878"/>
      <c r="D1629" s="63"/>
      <c r="E1629" s="231"/>
      <c r="F1629" s="1016"/>
      <c r="G1629" s="3"/>
    </row>
    <row r="1630" spans="1:7" ht="14.25" thickBot="1">
      <c r="A1630" s="884"/>
      <c r="B1630" s="240"/>
      <c r="C1630" s="878"/>
      <c r="D1630" s="63"/>
      <c r="E1630" s="231"/>
      <c r="F1630" s="1016"/>
      <c r="G1630" s="3"/>
    </row>
    <row r="1631" spans="1:7">
      <c r="A1631" s="1032"/>
      <c r="B1631" s="1230"/>
      <c r="C1631" s="906" t="s">
        <v>11630</v>
      </c>
      <c r="D1631" s="896"/>
      <c r="E1631" s="925"/>
      <c r="F1631" s="1034">
        <f>SUM(E1617:E1627)</f>
        <v>573.66666666666663</v>
      </c>
      <c r="G1631" s="3"/>
    </row>
    <row r="1632" spans="1:7">
      <c r="A1632" s="884">
        <v>46296</v>
      </c>
      <c r="B1632" s="240"/>
      <c r="C1632" s="878" t="s">
        <v>1874</v>
      </c>
      <c r="D1632" s="63"/>
      <c r="E1632" s="231"/>
      <c r="F1632" s="1016">
        <f>F1631-F1621</f>
        <v>0</v>
      </c>
      <c r="G1632" s="3"/>
    </row>
    <row r="1633" spans="1:7">
      <c r="A1633" s="884"/>
      <c r="B1633" s="240"/>
      <c r="C1633" s="878"/>
      <c r="D1633" s="63"/>
      <c r="E1633" s="231"/>
      <c r="F1633" s="1016"/>
      <c r="G1633" s="3"/>
    </row>
    <row r="1634" spans="1:7">
      <c r="A1634" s="884"/>
      <c r="B1634" s="240"/>
      <c r="C1634" s="878"/>
      <c r="D1634" s="63"/>
      <c r="E1634" s="231"/>
      <c r="F1634" s="1016"/>
      <c r="G1634" s="3"/>
    </row>
    <row r="1635" spans="1:7">
      <c r="A1635" s="884"/>
      <c r="B1635" s="240"/>
      <c r="C1635" s="878"/>
      <c r="D1635" s="63"/>
      <c r="E1635" s="231"/>
      <c r="F1635" s="1016"/>
      <c r="G1635" s="1094" t="s">
        <v>11</v>
      </c>
    </row>
    <row r="1636" spans="1:7">
      <c r="A1636" s="884"/>
      <c r="B1636" s="240"/>
      <c r="C1636" s="878"/>
      <c r="D1636" s="63"/>
      <c r="E1636" s="231"/>
      <c r="F1636" s="1016"/>
      <c r="G1636" s="3"/>
    </row>
    <row r="1637" spans="1:7">
      <c r="A1637" s="934"/>
      <c r="B1637" s="243"/>
      <c r="C1637" s="389" t="s">
        <v>10</v>
      </c>
      <c r="D1637" s="146"/>
      <c r="E1637" s="146"/>
      <c r="F1637" s="1231"/>
      <c r="G1637" s="3"/>
    </row>
    <row r="1638" spans="1:7">
      <c r="A1638" s="884"/>
      <c r="B1638" s="240"/>
      <c r="C1638" s="878"/>
      <c r="D1638" s="63"/>
      <c r="E1638" s="231"/>
      <c r="F1638" s="1016"/>
      <c r="G1638" s="3"/>
    </row>
    <row r="1639" spans="1:7">
      <c r="A1639" s="884"/>
      <c r="B1639" s="240"/>
      <c r="C1639" s="878"/>
      <c r="D1639" s="63"/>
      <c r="E1639" s="231"/>
      <c r="F1639" s="1016"/>
      <c r="G1639" s="3"/>
    </row>
    <row r="1640" spans="1:7" ht="14.25" thickBot="1">
      <c r="A1640" s="884"/>
      <c r="B1640" s="240"/>
      <c r="C1640" s="878"/>
      <c r="D1640" s="63"/>
      <c r="E1640" s="231"/>
      <c r="F1640" s="1016"/>
      <c r="G1640" s="3"/>
    </row>
    <row r="1641" spans="1:7">
      <c r="A1641" s="1032"/>
      <c r="B1641" s="1230"/>
      <c r="C1641" s="906" t="s">
        <v>1664</v>
      </c>
      <c r="D1641" s="896"/>
      <c r="E1641" s="925"/>
      <c r="F1641" s="1034">
        <f>SUM(E1627:E1637)</f>
        <v>0</v>
      </c>
      <c r="G1641" s="3"/>
    </row>
    <row r="1642" spans="1:7">
      <c r="A1642" s="884">
        <v>46327</v>
      </c>
      <c r="B1642" s="240"/>
      <c r="C1642" s="878" t="s">
        <v>1874</v>
      </c>
      <c r="D1642" s="63"/>
      <c r="E1642" s="231"/>
      <c r="F1642" s="1016">
        <f>F1641-F1631</f>
        <v>-573.66666666666663</v>
      </c>
      <c r="G1642" s="3"/>
    </row>
    <row r="1643" spans="1:7">
      <c r="A1643" s="884"/>
      <c r="B1643" s="240"/>
      <c r="C1643" s="878"/>
      <c r="D1643" s="63"/>
      <c r="E1643" s="231"/>
      <c r="F1643" s="1016"/>
      <c r="G1643" s="3"/>
    </row>
    <row r="1644" spans="1:7">
      <c r="A1644" s="884"/>
      <c r="B1644" s="240"/>
      <c r="C1644" s="878"/>
      <c r="D1644" s="63"/>
      <c r="E1644" s="231"/>
      <c r="F1644" s="1016"/>
      <c r="G1644" s="1094" t="s">
        <v>11</v>
      </c>
    </row>
    <row r="1645" spans="1:7">
      <c r="A1645" s="884"/>
      <c r="B1645" s="240"/>
      <c r="C1645" s="878"/>
      <c r="D1645" s="63"/>
      <c r="E1645" s="231"/>
      <c r="F1645" s="1016"/>
      <c r="G1645" s="3"/>
    </row>
    <row r="1646" spans="1:7">
      <c r="A1646" s="934"/>
      <c r="B1646" s="243"/>
      <c r="C1646" s="389" t="s">
        <v>10</v>
      </c>
      <c r="D1646" s="146"/>
      <c r="E1646" s="146"/>
      <c r="F1646" s="1231"/>
      <c r="G1646" s="3"/>
    </row>
    <row r="1647" spans="1:7">
      <c r="A1647" s="884"/>
      <c r="B1647" s="240"/>
      <c r="C1647" s="878"/>
      <c r="D1647" s="63"/>
      <c r="E1647" s="231"/>
      <c r="F1647" s="1016"/>
      <c r="G1647" s="3"/>
    </row>
    <row r="1648" spans="1:7">
      <c r="A1648" s="884"/>
      <c r="B1648" s="240"/>
      <c r="C1648" s="878"/>
      <c r="D1648" s="63"/>
      <c r="E1648" s="231"/>
      <c r="F1648" s="1016"/>
      <c r="G1648" s="3"/>
    </row>
    <row r="1649" spans="1:7" ht="14.25" thickBot="1">
      <c r="A1649" s="884"/>
      <c r="B1649" s="240"/>
      <c r="C1649" s="878"/>
      <c r="D1649" s="63"/>
      <c r="E1649" s="231"/>
      <c r="F1649" s="1016"/>
      <c r="G1649" s="3"/>
    </row>
    <row r="1650" spans="1:7">
      <c r="A1650" s="1032"/>
      <c r="B1650" s="1230"/>
      <c r="C1650" s="906" t="s">
        <v>11631</v>
      </c>
      <c r="D1650" s="896"/>
      <c r="E1650" s="925"/>
      <c r="F1650" s="1034">
        <f>SUM(E1637:E1646)</f>
        <v>0</v>
      </c>
      <c r="G1650" s="3"/>
    </row>
    <row r="1651" spans="1:7">
      <c r="A1651" s="884">
        <v>46357</v>
      </c>
      <c r="B1651" s="240"/>
      <c r="C1651" s="878" t="s">
        <v>1874</v>
      </c>
      <c r="D1651" s="63"/>
      <c r="E1651" s="231"/>
      <c r="F1651" s="1016">
        <f>F1650-F1641</f>
        <v>0</v>
      </c>
      <c r="G1651" s="3"/>
    </row>
    <row r="1652" spans="1:7">
      <c r="A1652" s="884"/>
      <c r="B1652" s="240"/>
      <c r="C1652" s="878"/>
      <c r="D1652" s="63"/>
      <c r="E1652" s="231"/>
      <c r="F1652" s="1016"/>
      <c r="G1652" s="3"/>
    </row>
    <row r="1653" spans="1:7">
      <c r="A1653" s="884"/>
      <c r="B1653" s="240"/>
      <c r="C1653" s="878"/>
      <c r="D1653" s="63"/>
      <c r="E1653" s="231"/>
      <c r="F1653" s="1016"/>
      <c r="G1653" s="1094" t="s">
        <v>11</v>
      </c>
    </row>
    <row r="1654" spans="1:7">
      <c r="A1654" s="884"/>
      <c r="B1654" s="240"/>
      <c r="C1654" s="878"/>
      <c r="D1654" s="63"/>
      <c r="E1654" s="231"/>
      <c r="F1654" s="1016"/>
      <c r="G1654" s="3"/>
    </row>
    <row r="1655" spans="1:7">
      <c r="A1655" s="884"/>
      <c r="B1655" s="240"/>
      <c r="C1655" s="878"/>
      <c r="D1655" s="63"/>
      <c r="E1655" s="231"/>
      <c r="F1655" s="1016"/>
      <c r="G1655" s="3"/>
    </row>
    <row r="1656" spans="1:7">
      <c r="A1656" s="934"/>
      <c r="B1656" s="243"/>
      <c r="C1656" s="389" t="s">
        <v>10</v>
      </c>
      <c r="D1656" s="146"/>
      <c r="E1656" s="146"/>
      <c r="F1656" s="1231"/>
      <c r="G1656" s="3"/>
    </row>
    <row r="1657" spans="1:7">
      <c r="A1657" s="884"/>
      <c r="B1657" s="240"/>
      <c r="C1657" s="878"/>
      <c r="D1657" s="63"/>
      <c r="E1657" s="231"/>
      <c r="F1657" s="1016"/>
      <c r="G1657" s="3"/>
    </row>
    <row r="1658" spans="1:7">
      <c r="A1658" s="884"/>
      <c r="B1658" s="240"/>
      <c r="C1658" s="878"/>
      <c r="D1658" s="63"/>
      <c r="E1658" s="231"/>
      <c r="F1658" s="1016"/>
      <c r="G1658" s="3"/>
    </row>
    <row r="1659" spans="1:7" ht="14.25" thickBot="1">
      <c r="A1659" s="884"/>
      <c r="B1659" s="240"/>
      <c r="C1659" s="878"/>
      <c r="D1659" s="63"/>
      <c r="E1659" s="231"/>
      <c r="F1659" s="1016"/>
      <c r="G1659" s="3"/>
    </row>
    <row r="1660" spans="1:7">
      <c r="A1660" s="1032"/>
      <c r="B1660" s="1230"/>
      <c r="C1660" s="906" t="s">
        <v>11632</v>
      </c>
      <c r="D1660" s="896"/>
      <c r="E1660" s="925"/>
      <c r="F1660" s="1034">
        <f>SUM(E1646:E1656)</f>
        <v>0</v>
      </c>
      <c r="G1660" s="3"/>
    </row>
    <row r="1661" spans="1:7">
      <c r="A1661" s="884">
        <v>46388</v>
      </c>
      <c r="B1661" s="240"/>
      <c r="C1661" s="878" t="s">
        <v>1874</v>
      </c>
      <c r="D1661" s="63"/>
      <c r="E1661" s="231"/>
      <c r="F1661" s="1016">
        <f>F1660-F1650</f>
        <v>0</v>
      </c>
      <c r="G1661" s="3"/>
    </row>
    <row r="1662" spans="1:7">
      <c r="A1662" s="884"/>
      <c r="B1662" s="240"/>
      <c r="C1662" s="878"/>
      <c r="D1662" s="63"/>
      <c r="E1662" s="231"/>
      <c r="F1662" s="1016"/>
      <c r="G1662" s="3"/>
    </row>
    <row r="1663" spans="1:7">
      <c r="A1663" s="884"/>
      <c r="B1663" s="240"/>
      <c r="C1663" s="878"/>
      <c r="D1663" s="63"/>
      <c r="E1663" s="231"/>
      <c r="F1663" s="1016"/>
      <c r="G1663" s="1094" t="s">
        <v>11</v>
      </c>
    </row>
    <row r="1664" spans="1:7">
      <c r="A1664" s="884"/>
      <c r="B1664" s="240"/>
      <c r="C1664" s="878"/>
      <c r="D1664" s="63"/>
      <c r="E1664" s="231"/>
      <c r="F1664" s="1016"/>
      <c r="G1664" s="3"/>
    </row>
    <row r="1665" spans="1:7">
      <c r="A1665" s="884"/>
      <c r="B1665" s="240"/>
      <c r="C1665" s="878"/>
      <c r="D1665" s="63"/>
      <c r="E1665" s="231"/>
      <c r="F1665" s="1016"/>
      <c r="G1665" s="3"/>
    </row>
    <row r="1666" spans="1:7">
      <c r="A1666" s="934"/>
      <c r="B1666" s="243"/>
      <c r="C1666" s="389" t="s">
        <v>10</v>
      </c>
      <c r="D1666" s="146"/>
      <c r="E1666" s="146"/>
      <c r="F1666" s="1231"/>
      <c r="G1666" s="3"/>
    </row>
    <row r="1667" spans="1:7">
      <c r="A1667" s="884"/>
      <c r="B1667" s="240"/>
      <c r="C1667" s="878"/>
      <c r="D1667" s="63"/>
      <c r="E1667" s="231"/>
      <c r="F1667" s="1016"/>
      <c r="G1667" s="3"/>
    </row>
    <row r="1668" spans="1:7">
      <c r="A1668" s="884"/>
      <c r="B1668" s="240"/>
      <c r="C1668" s="878"/>
      <c r="D1668" s="63"/>
      <c r="E1668" s="231"/>
      <c r="F1668" s="1016"/>
      <c r="G1668" s="3"/>
    </row>
    <row r="1669" spans="1:7" ht="14.25" thickBot="1">
      <c r="A1669" s="884"/>
      <c r="B1669" s="240"/>
      <c r="C1669" s="878"/>
      <c r="D1669" s="63"/>
      <c r="E1669" s="231"/>
      <c r="F1669" s="1016"/>
      <c r="G1669" s="3"/>
    </row>
    <row r="1670" spans="1:7">
      <c r="A1670" s="1032"/>
      <c r="B1670" s="1230"/>
      <c r="C1670" s="906" t="s">
        <v>11633</v>
      </c>
      <c r="D1670" s="896"/>
      <c r="E1670" s="925"/>
      <c r="F1670" s="1034">
        <f>SUM(E1656:E1666)</f>
        <v>0</v>
      </c>
      <c r="G1670" s="3"/>
    </row>
    <row r="1671" spans="1:7">
      <c r="A1671" s="884">
        <v>46419</v>
      </c>
      <c r="B1671" s="240"/>
      <c r="C1671" s="878" t="s">
        <v>1874</v>
      </c>
      <c r="D1671" s="63"/>
      <c r="E1671" s="231"/>
      <c r="F1671" s="1016">
        <f>F1670-F1660</f>
        <v>0</v>
      </c>
      <c r="G1671" s="3"/>
    </row>
    <row r="1672" spans="1:7">
      <c r="A1672" s="884"/>
      <c r="B1672" s="240"/>
      <c r="C1672" s="878"/>
      <c r="D1672" s="63"/>
      <c r="E1672" s="231"/>
      <c r="F1672" s="1016"/>
      <c r="G1672" s="3"/>
    </row>
    <row r="1673" spans="1:7">
      <c r="A1673" s="884"/>
      <c r="B1673" s="240"/>
      <c r="C1673" s="878"/>
      <c r="D1673" s="63"/>
      <c r="E1673" s="231"/>
      <c r="F1673" s="1016"/>
      <c r="G1673" s="1094" t="s">
        <v>11</v>
      </c>
    </row>
    <row r="1674" spans="1:7">
      <c r="A1674" s="884"/>
      <c r="B1674" s="240"/>
      <c r="C1674" s="878"/>
      <c r="D1674" s="63"/>
      <c r="E1674" s="231"/>
      <c r="F1674" s="1016"/>
      <c r="G1674" s="3"/>
    </row>
    <row r="1675" spans="1:7">
      <c r="A1675" s="884"/>
      <c r="B1675" s="240"/>
      <c r="C1675" s="878"/>
      <c r="D1675" s="63"/>
      <c r="E1675" s="231"/>
      <c r="F1675" s="1016"/>
      <c r="G1675" s="3"/>
    </row>
    <row r="1676" spans="1:7">
      <c r="A1676" s="934"/>
      <c r="B1676" s="243"/>
      <c r="C1676" s="389" t="s">
        <v>10</v>
      </c>
      <c r="D1676" s="146"/>
      <c r="E1676" s="146"/>
      <c r="F1676" s="1231"/>
      <c r="G1676" s="3"/>
    </row>
    <row r="1677" spans="1:7">
      <c r="A1677" s="884"/>
      <c r="B1677" s="240"/>
      <c r="C1677" s="878"/>
      <c r="D1677" s="63"/>
      <c r="E1677" s="231"/>
      <c r="F1677" s="1016"/>
      <c r="G1677" s="3"/>
    </row>
    <row r="1678" spans="1:7">
      <c r="A1678" s="884"/>
      <c r="B1678" s="240"/>
      <c r="C1678" s="878"/>
      <c r="D1678" s="63"/>
      <c r="E1678" s="231"/>
      <c r="F1678" s="1016"/>
      <c r="G1678" s="1094" t="s">
        <v>11</v>
      </c>
    </row>
    <row r="1679" spans="1:7" ht="14.25" thickBot="1">
      <c r="A1679" s="884"/>
      <c r="B1679" s="240"/>
      <c r="C1679" s="878"/>
      <c r="D1679" s="63"/>
      <c r="E1679" s="231"/>
      <c r="F1679" s="1016"/>
      <c r="G1679" s="3"/>
    </row>
    <row r="1680" spans="1:7">
      <c r="A1680" s="1032"/>
      <c r="B1680" s="1230"/>
      <c r="C1680" s="906" t="s">
        <v>11634</v>
      </c>
      <c r="D1680" s="896"/>
      <c r="E1680" s="925"/>
      <c r="F1680" s="1034">
        <f>SUM(E1666:E1676)</f>
        <v>0</v>
      </c>
      <c r="G1680" s="3"/>
    </row>
    <row r="1681" spans="1:7">
      <c r="A1681" s="884">
        <v>46447</v>
      </c>
      <c r="B1681" s="240"/>
      <c r="C1681" s="878" t="s">
        <v>1874</v>
      </c>
      <c r="D1681" s="63"/>
      <c r="E1681" s="231"/>
      <c r="F1681" s="1016">
        <f>F1680-F1670</f>
        <v>0</v>
      </c>
      <c r="G1681" s="3"/>
    </row>
    <row r="1682" spans="1:7">
      <c r="A1682" s="884"/>
      <c r="B1682" s="240"/>
      <c r="C1682" s="878"/>
      <c r="D1682" s="63"/>
      <c r="E1682" s="231"/>
      <c r="F1682" s="1016"/>
      <c r="G1682" s="3"/>
    </row>
    <row r="1683" spans="1:7">
      <c r="A1683" s="884"/>
      <c r="B1683" s="240"/>
      <c r="C1683" s="878"/>
      <c r="D1683" s="63"/>
      <c r="E1683" s="231"/>
      <c r="F1683" s="1016"/>
      <c r="G1683" s="3"/>
    </row>
    <row r="1684" spans="1:7">
      <c r="A1684" s="934"/>
      <c r="B1684" s="243"/>
      <c r="C1684" s="389" t="s">
        <v>10</v>
      </c>
      <c r="D1684" s="146"/>
      <c r="E1684" s="146"/>
      <c r="F1684" s="1231"/>
      <c r="G1684" s="3"/>
    </row>
    <row r="1685" spans="1:7">
      <c r="A1685" s="884"/>
      <c r="B1685" s="240"/>
      <c r="C1685" s="878"/>
      <c r="D1685" s="63"/>
      <c r="E1685" s="231"/>
      <c r="F1685" s="1016"/>
      <c r="G1685" s="3"/>
    </row>
    <row r="1686" spans="1:7">
      <c r="A1686" s="884"/>
      <c r="B1686" s="240"/>
      <c r="C1686" s="878"/>
      <c r="D1686" s="63"/>
      <c r="E1686" s="231"/>
      <c r="F1686" s="1016"/>
      <c r="G1686" s="1094" t="s">
        <v>11</v>
      </c>
    </row>
    <row r="1687" spans="1:7" ht="14.25" thickBot="1">
      <c r="A1687" s="884"/>
      <c r="B1687" s="240"/>
      <c r="C1687" s="878"/>
      <c r="D1687" s="63"/>
      <c r="E1687" s="231"/>
      <c r="F1687" s="1016"/>
      <c r="G1687" s="3"/>
    </row>
    <row r="1688" spans="1:7">
      <c r="A1688" s="1032"/>
      <c r="B1688" s="1230"/>
      <c r="C1688" s="906" t="s">
        <v>11635</v>
      </c>
      <c r="D1688" s="896"/>
      <c r="E1688" s="925"/>
      <c r="F1688" s="1034">
        <f>SUM(E1676:E1684)</f>
        <v>0</v>
      </c>
      <c r="G1688" s="3"/>
    </row>
    <row r="1689" spans="1:7">
      <c r="A1689" s="884">
        <v>46478</v>
      </c>
      <c r="B1689" s="240"/>
      <c r="C1689" s="878" t="s">
        <v>1874</v>
      </c>
      <c r="D1689" s="63"/>
      <c r="E1689" s="231"/>
      <c r="F1689" s="1016">
        <f>F1688-F1679</f>
        <v>0</v>
      </c>
      <c r="G1689" s="3"/>
    </row>
    <row r="1690" spans="1:7">
      <c r="A1690" s="884"/>
      <c r="B1690" s="240"/>
      <c r="C1690" s="878"/>
      <c r="D1690" s="63"/>
      <c r="E1690" s="231"/>
      <c r="F1690" s="1016"/>
      <c r="G1690" s="3"/>
    </row>
    <row r="1691" spans="1:7">
      <c r="A1691" s="884"/>
      <c r="B1691" s="240"/>
      <c r="C1691" s="878"/>
      <c r="D1691" s="63"/>
      <c r="E1691" s="231"/>
      <c r="F1691" s="1016"/>
      <c r="G1691" s="3"/>
    </row>
    <row r="1692" spans="1:7">
      <c r="A1692" s="884"/>
      <c r="B1692" s="240"/>
      <c r="C1692" s="878"/>
      <c r="D1692" s="63"/>
      <c r="E1692" s="231"/>
      <c r="F1692" s="1016"/>
      <c r="G1692" s="3"/>
    </row>
    <row r="1693" spans="1:7">
      <c r="A1693" s="884"/>
      <c r="B1693" s="240"/>
      <c r="C1693" s="878"/>
      <c r="D1693" s="63"/>
      <c r="E1693" s="231"/>
      <c r="F1693" s="1016"/>
      <c r="G1693" s="3"/>
    </row>
    <row r="1694" spans="1:7">
      <c r="A1694" s="884"/>
      <c r="B1694" s="240"/>
      <c r="C1694" s="878"/>
      <c r="D1694" s="63"/>
      <c r="E1694" s="231"/>
      <c r="F1694" s="1016"/>
      <c r="G1694" s="3"/>
    </row>
    <row r="1695" spans="1:7">
      <c r="A1695" s="884"/>
      <c r="B1695" s="240"/>
      <c r="C1695" s="878"/>
      <c r="D1695" s="63"/>
      <c r="E1695" s="231"/>
      <c r="F1695" s="1016"/>
      <c r="G1695" s="3"/>
    </row>
    <row r="1696" spans="1:7">
      <c r="A1696" s="884"/>
      <c r="B1696" s="240"/>
      <c r="C1696" s="878"/>
      <c r="D1696" s="63"/>
      <c r="E1696" s="231"/>
      <c r="F1696" s="1016"/>
      <c r="G1696" s="3"/>
    </row>
    <row r="1697" spans="1:7">
      <c r="A1697" s="884"/>
      <c r="B1697" s="240"/>
      <c r="C1697" s="878"/>
      <c r="D1697" s="63"/>
      <c r="E1697" s="231"/>
      <c r="F1697" s="1016"/>
      <c r="G1697" s="3"/>
    </row>
    <row r="1698" spans="1:7">
      <c r="A1698" s="884"/>
      <c r="B1698" s="240"/>
      <c r="C1698" s="878"/>
      <c r="D1698" s="63"/>
      <c r="E1698" s="231"/>
      <c r="F1698" s="1016"/>
      <c r="G1698" s="3"/>
    </row>
    <row r="1699" spans="1:7">
      <c r="A1699" s="884"/>
      <c r="B1699" s="240"/>
      <c r="C1699" s="878"/>
      <c r="D1699" s="63"/>
      <c r="E1699" s="231"/>
      <c r="F1699" s="1016"/>
      <c r="G1699" s="3"/>
    </row>
    <row r="1700" spans="1:7">
      <c r="A1700" s="884"/>
      <c r="B1700" s="240"/>
      <c r="C1700" s="878"/>
      <c r="D1700" s="63"/>
      <c r="E1700" s="231"/>
      <c r="F1700" s="1016"/>
      <c r="G1700" s="3"/>
    </row>
    <row r="1701" spans="1:7" ht="14.25" thickBot="1">
      <c r="A1701" s="885"/>
      <c r="B1701" s="1232"/>
      <c r="C1701" s="902"/>
      <c r="D1701" s="903"/>
      <c r="E1701" s="928"/>
      <c r="F1701" s="1036"/>
      <c r="G1701" s="1094" t="s">
        <v>11</v>
      </c>
    </row>
    <row r="1702" spans="1:7">
      <c r="A1702" s="1627"/>
      <c r="B1702" s="116"/>
      <c r="C1702" s="117" t="s">
        <v>12</v>
      </c>
      <c r="D1702" s="185">
        <f>SUM(D2:D1701)</f>
        <v>134463.31000000003</v>
      </c>
      <c r="E1702" s="118">
        <f>SUM(E2:E1701)</f>
        <v>139626.74099999989</v>
      </c>
      <c r="F1702" s="1027"/>
      <c r="G1702" s="3"/>
    </row>
    <row r="1703" spans="1:7" ht="14.25" thickBot="1">
      <c r="A1703" s="1028"/>
      <c r="B1703" s="1079"/>
      <c r="C1703" s="1029" t="s">
        <v>13</v>
      </c>
      <c r="D1703" s="1030"/>
      <c r="E1703" s="1031">
        <f>D1702-E1702</f>
        <v>-5163.4309999998659</v>
      </c>
      <c r="F1703" s="905"/>
      <c r="G1703" s="3"/>
    </row>
    <row r="1704" spans="1:7">
      <c r="A1704" s="65"/>
      <c r="B1704" s="65"/>
      <c r="C1704" s="3"/>
      <c r="D1704" s="3"/>
      <c r="E1704" s="221"/>
      <c r="F1704" s="3"/>
      <c r="G1704" s="3"/>
    </row>
    <row r="1705" spans="1:7">
      <c r="A1705" s="3"/>
      <c r="B1705" s="3"/>
      <c r="C1705" s="23"/>
      <c r="D1705" s="25" t="s">
        <v>14</v>
      </c>
      <c r="E1705" s="303" t="s">
        <v>15</v>
      </c>
      <c r="F1705" s="25" t="s">
        <v>16</v>
      </c>
      <c r="G1705" s="3"/>
    </row>
    <row r="1706" spans="1:7">
      <c r="A1706" s="3"/>
      <c r="B1706" s="77" t="s">
        <v>17</v>
      </c>
      <c r="C1706" s="36">
        <f>F655</f>
        <v>2552.1400000000008</v>
      </c>
      <c r="D1706" s="60">
        <f>CARTOES!H32</f>
        <v>17900</v>
      </c>
      <c r="E1706" s="34">
        <f>E1703</f>
        <v>-5163.4309999998659</v>
      </c>
      <c r="F1706" s="62">
        <f>D1706+E1706</f>
        <v>12736.569000000134</v>
      </c>
      <c r="G1706" s="3"/>
    </row>
    <row r="1707" spans="1:7">
      <c r="A1707" s="3"/>
      <c r="B1707" s="3"/>
      <c r="C1707" s="3"/>
      <c r="D1707" s="3"/>
      <c r="E1707" s="221"/>
      <c r="F1707" s="3"/>
      <c r="G1707" s="3"/>
    </row>
    <row r="1708" spans="1:7">
      <c r="A1708" s="3"/>
      <c r="B1708" s="3"/>
      <c r="C1708" s="3"/>
      <c r="D1708" s="3"/>
      <c r="E1708" s="221"/>
      <c r="F1708" s="3"/>
      <c r="G1708" s="3"/>
    </row>
    <row r="1709" spans="1:7">
      <c r="A1709" s="3"/>
      <c r="B1709" s="3"/>
      <c r="C1709" s="3"/>
      <c r="D1709" s="3"/>
      <c r="E1709" s="221"/>
      <c r="F1709" s="3"/>
      <c r="G1709" s="3"/>
    </row>
    <row r="1710" spans="1:7">
      <c r="A1710" s="3"/>
      <c r="B1710" s="3"/>
      <c r="C1710" s="3"/>
      <c r="D1710" s="3"/>
      <c r="E1710" s="221"/>
      <c r="F1710" s="3"/>
      <c r="G1710" s="3"/>
    </row>
    <row r="1711" spans="1:7">
      <c r="A1711" s="3"/>
      <c r="B1711" s="3"/>
      <c r="C1711" s="3"/>
      <c r="D1711" s="3"/>
      <c r="E1711" s="221"/>
      <c r="F1711" s="3"/>
      <c r="G1711" s="3"/>
    </row>
    <row r="1712" spans="1:7">
      <c r="A1712" s="3"/>
      <c r="B1712" s="3"/>
      <c r="C1712" s="3"/>
      <c r="D1712" s="3"/>
      <c r="E1712" s="221"/>
      <c r="F1712" s="3"/>
      <c r="G1712" s="3"/>
    </row>
    <row r="1713" spans="1:7">
      <c r="A1713" s="3"/>
      <c r="B1713" s="3"/>
      <c r="C1713" s="3"/>
      <c r="D1713" s="3"/>
      <c r="E1713" s="221"/>
      <c r="F1713" s="3"/>
      <c r="G1713" s="3"/>
    </row>
    <row r="1714" spans="1:7">
      <c r="A1714" s="3"/>
      <c r="B1714" s="3"/>
      <c r="C1714" s="3"/>
      <c r="D1714" s="3"/>
      <c r="E1714" s="221"/>
      <c r="F1714" s="3"/>
      <c r="G1714" s="3"/>
    </row>
    <row r="1715" spans="1:7">
      <c r="A1715" s="3"/>
      <c r="B1715" s="3"/>
      <c r="C1715" s="3"/>
      <c r="D1715" s="3"/>
      <c r="E1715" s="221"/>
      <c r="F1715" s="3"/>
      <c r="G1715" s="3"/>
    </row>
    <row r="1716" spans="1:7">
      <c r="A1716" s="3"/>
      <c r="B1716" s="3"/>
      <c r="C1716" s="3"/>
      <c r="D1716" s="3"/>
      <c r="E1716" s="221"/>
      <c r="F1716" s="3"/>
      <c r="G1716" s="3"/>
    </row>
    <row r="1717" spans="1:7">
      <c r="A1717" s="3"/>
      <c r="B1717" s="3"/>
      <c r="C1717" s="3"/>
      <c r="D1717" s="3"/>
      <c r="E1717" s="221"/>
      <c r="F1717" s="3"/>
      <c r="G1717" s="3"/>
    </row>
    <row r="1718" spans="1:7">
      <c r="A1718" s="3"/>
      <c r="B1718" s="3"/>
      <c r="C1718" s="3"/>
      <c r="D1718" s="3"/>
      <c r="E1718" s="221"/>
      <c r="F1718" s="3"/>
      <c r="G1718" s="3"/>
    </row>
    <row r="1719" spans="1:7">
      <c r="A1719" s="3"/>
      <c r="B1719" s="3"/>
      <c r="C1719" s="3"/>
      <c r="D1719" s="3"/>
      <c r="E1719" s="221"/>
      <c r="F1719" s="3"/>
      <c r="G1719" s="3"/>
    </row>
    <row r="1720" spans="1:7">
      <c r="A1720" s="3"/>
      <c r="B1720" s="3"/>
      <c r="C1720" s="3"/>
      <c r="D1720" s="3"/>
      <c r="E1720" s="221"/>
      <c r="F1720" s="3"/>
      <c r="G1720" s="3"/>
    </row>
    <row r="1721" spans="1:7">
      <c r="A1721" s="3"/>
      <c r="B1721" s="3"/>
      <c r="C1721" s="3"/>
      <c r="D1721" s="3"/>
      <c r="E1721" s="221"/>
      <c r="F1721" s="3"/>
      <c r="G1721" s="3"/>
    </row>
    <row r="1722" spans="1:7">
      <c r="A1722" s="3"/>
      <c r="B1722" s="3"/>
      <c r="C1722" s="3"/>
      <c r="D1722" s="3"/>
      <c r="E1722" s="221"/>
      <c r="F1722" s="3"/>
      <c r="G1722" s="3"/>
    </row>
    <row r="1723" spans="1:7">
      <c r="A1723" s="3"/>
      <c r="B1723" s="3"/>
      <c r="C1723" s="3"/>
      <c r="D1723" s="3"/>
      <c r="E1723" s="221"/>
      <c r="F1723" s="3"/>
      <c r="G1723" s="3"/>
    </row>
    <row r="1724" spans="1:7">
      <c r="A1724" s="3"/>
      <c r="B1724" s="3"/>
      <c r="C1724" s="3"/>
      <c r="D1724" s="3"/>
      <c r="E1724" s="221"/>
      <c r="F1724" s="3"/>
      <c r="G1724" s="3"/>
    </row>
    <row r="1725" spans="1:7">
      <c r="A1725" s="3"/>
      <c r="B1725" s="3"/>
      <c r="C1725" s="3"/>
      <c r="D1725" s="3"/>
      <c r="E1725" s="221"/>
      <c r="F1725" s="3"/>
      <c r="G1725" s="3"/>
    </row>
    <row r="1726" spans="1:7">
      <c r="A1726" s="3"/>
      <c r="B1726" s="3"/>
      <c r="C1726" s="3"/>
      <c r="D1726" s="3"/>
      <c r="E1726" s="221"/>
      <c r="F1726" s="3"/>
      <c r="G1726" s="3"/>
    </row>
    <row r="1727" spans="1:7">
      <c r="A1727" s="3"/>
      <c r="B1727" s="3"/>
      <c r="C1727" s="3"/>
      <c r="D1727" s="3"/>
      <c r="E1727" s="221"/>
      <c r="F1727" s="3"/>
      <c r="G1727" s="3"/>
    </row>
    <row r="1728" spans="1:7">
      <c r="A1728" s="3"/>
      <c r="B1728" s="3"/>
      <c r="C1728" s="3"/>
      <c r="D1728" s="3"/>
      <c r="E1728" s="221"/>
      <c r="F1728" s="3"/>
      <c r="G1728" s="3"/>
    </row>
    <row r="1729" spans="1:7">
      <c r="A1729" s="3"/>
      <c r="B1729" s="3"/>
      <c r="C1729" s="3"/>
      <c r="D1729" s="3"/>
      <c r="E1729" s="221"/>
      <c r="F1729" s="3"/>
      <c r="G1729" s="3"/>
    </row>
    <row r="1730" spans="1:7">
      <c r="A1730" s="3"/>
      <c r="B1730" s="3"/>
      <c r="C1730" s="3"/>
      <c r="D1730" s="3"/>
      <c r="E1730" s="221"/>
      <c r="F1730" s="3"/>
      <c r="G1730" s="3"/>
    </row>
    <row r="1731" spans="1:7">
      <c r="A1731" s="3"/>
      <c r="B1731" s="3"/>
      <c r="C1731" s="3"/>
      <c r="D1731" s="3"/>
      <c r="E1731" s="221"/>
      <c r="F1731" s="3"/>
      <c r="G1731" s="3"/>
    </row>
    <row r="1732" spans="1:7">
      <c r="A1732" s="3"/>
      <c r="B1732" s="3"/>
      <c r="C1732" s="3"/>
      <c r="D1732" s="3"/>
      <c r="E1732" s="221"/>
      <c r="F1732" s="3"/>
      <c r="G1732" s="3"/>
    </row>
    <row r="1733" spans="1:7">
      <c r="A1733" s="3"/>
      <c r="B1733" s="3"/>
      <c r="C1733" s="3"/>
      <c r="D1733" s="3"/>
      <c r="E1733" s="221"/>
      <c r="F1733" s="3"/>
      <c r="G1733" s="3"/>
    </row>
    <row r="1734" spans="1:7">
      <c r="A1734" s="3"/>
      <c r="B1734" s="3"/>
      <c r="C1734" s="3"/>
      <c r="D1734" s="3"/>
      <c r="E1734" s="221"/>
      <c r="F1734" s="3"/>
      <c r="G1734" s="3"/>
    </row>
    <row r="1735" spans="1:7">
      <c r="A1735" s="3"/>
      <c r="B1735" s="3"/>
      <c r="C1735" s="3"/>
      <c r="D1735" s="3"/>
      <c r="E1735" s="221"/>
      <c r="F1735" s="3"/>
      <c r="G1735" s="3"/>
    </row>
    <row r="1736" spans="1:7">
      <c r="A1736" s="3"/>
      <c r="B1736" s="3"/>
      <c r="C1736" s="3"/>
      <c r="D1736" s="3"/>
      <c r="E1736" s="221"/>
      <c r="F1736" s="3"/>
      <c r="G1736" s="3"/>
    </row>
    <row r="1737" spans="1:7">
      <c r="A1737" s="3"/>
      <c r="B1737" s="3"/>
      <c r="C1737" s="3"/>
      <c r="D1737" s="3"/>
      <c r="E1737" s="221"/>
      <c r="F1737" s="3"/>
      <c r="G1737" s="3"/>
    </row>
    <row r="1738" spans="1:7">
      <c r="A1738" s="3"/>
      <c r="B1738" s="3"/>
      <c r="C1738" s="3"/>
      <c r="D1738" s="3"/>
      <c r="E1738" s="221"/>
      <c r="F1738" s="3"/>
      <c r="G1738" s="3"/>
    </row>
    <row r="1739" spans="1:7">
      <c r="A1739" s="3"/>
      <c r="B1739" s="3"/>
      <c r="C1739" s="3"/>
      <c r="D1739" s="3"/>
      <c r="E1739" s="221"/>
      <c r="F1739" s="3"/>
      <c r="G1739" s="3"/>
    </row>
    <row r="1740" spans="1:7">
      <c r="A1740" s="3"/>
      <c r="B1740" s="3"/>
      <c r="C1740" s="3"/>
      <c r="D1740" s="3"/>
      <c r="E1740" s="221"/>
      <c r="F1740" s="3"/>
      <c r="G1740" s="3"/>
    </row>
    <row r="1741" spans="1:7">
      <c r="A1741" s="3"/>
      <c r="B1741" s="3"/>
      <c r="C1741" s="3"/>
      <c r="D1741" s="3"/>
      <c r="E1741" s="221"/>
      <c r="F1741" s="3"/>
      <c r="G1741" s="3"/>
    </row>
    <row r="1742" spans="1:7">
      <c r="A1742" s="3"/>
      <c r="B1742" s="3"/>
      <c r="C1742" s="3"/>
      <c r="D1742" s="3"/>
      <c r="E1742" s="221"/>
      <c r="F1742" s="3"/>
      <c r="G1742" s="3"/>
    </row>
    <row r="1743" spans="1:7">
      <c r="A1743" s="3"/>
      <c r="B1743" s="3"/>
      <c r="C1743" s="3"/>
      <c r="D1743" s="3"/>
      <c r="E1743" s="221"/>
      <c r="F1743" s="3"/>
      <c r="G1743" s="3"/>
    </row>
    <row r="1744" spans="1:7">
      <c r="A1744" s="3"/>
      <c r="B1744" s="3"/>
      <c r="C1744" s="3"/>
      <c r="D1744" s="3"/>
      <c r="E1744" s="221"/>
      <c r="F1744" s="3"/>
      <c r="G1744" s="3"/>
    </row>
    <row r="1745" spans="1:7">
      <c r="A1745" s="3"/>
      <c r="B1745" s="3"/>
      <c r="C1745" s="3"/>
      <c r="D1745" s="3"/>
      <c r="E1745" s="221"/>
      <c r="F1745" s="3"/>
      <c r="G1745" s="3"/>
    </row>
    <row r="1746" spans="1:7">
      <c r="A1746" s="3"/>
      <c r="B1746" s="3"/>
      <c r="C1746" s="3"/>
      <c r="D1746" s="3"/>
      <c r="E1746" s="221"/>
      <c r="F1746" s="3"/>
      <c r="G1746" s="3"/>
    </row>
    <row r="1747" spans="1:7">
      <c r="A1747" s="3"/>
      <c r="B1747" s="3"/>
      <c r="C1747" s="3"/>
      <c r="D1747" s="3"/>
      <c r="E1747" s="221"/>
      <c r="F1747" s="3"/>
      <c r="G1747" s="3"/>
    </row>
    <row r="1748" spans="1:7">
      <c r="A1748" s="3"/>
      <c r="B1748" s="3"/>
      <c r="C1748" s="3"/>
      <c r="D1748" s="3"/>
      <c r="E1748" s="221"/>
      <c r="F1748" s="3"/>
      <c r="G1748" s="3"/>
    </row>
    <row r="1749" spans="1:7">
      <c r="A1749" s="3"/>
      <c r="B1749" s="3"/>
      <c r="C1749" s="3"/>
      <c r="D1749" s="3"/>
      <c r="E1749" s="221"/>
      <c r="F1749" s="3"/>
      <c r="G1749" s="3"/>
    </row>
    <row r="1750" spans="1:7">
      <c r="A1750" s="3"/>
      <c r="B1750" s="3"/>
      <c r="C1750" s="3"/>
      <c r="D1750" s="3"/>
      <c r="E1750" s="221"/>
      <c r="F1750" s="3"/>
      <c r="G1750" s="3"/>
    </row>
    <row r="1751" spans="1:7">
      <c r="A1751" s="3"/>
      <c r="B1751" s="3"/>
      <c r="C1751" s="3"/>
      <c r="D1751" s="3"/>
      <c r="E1751" s="221"/>
      <c r="F1751" s="3"/>
      <c r="G1751" s="3"/>
    </row>
    <row r="1752" spans="1:7">
      <c r="A1752" s="3"/>
      <c r="B1752" s="3"/>
      <c r="C1752" s="3"/>
      <c r="D1752" s="3"/>
      <c r="E1752" s="221"/>
      <c r="F1752" s="3"/>
      <c r="G1752" s="3"/>
    </row>
    <row r="1753" spans="1:7">
      <c r="A1753" s="3"/>
      <c r="B1753" s="3"/>
      <c r="C1753" s="3"/>
      <c r="D1753" s="3"/>
      <c r="E1753" s="221"/>
      <c r="F1753" s="3"/>
      <c r="G1753" s="3"/>
    </row>
    <row r="1754" spans="1:7">
      <c r="A1754" s="3"/>
      <c r="B1754" s="3"/>
      <c r="C1754" s="3"/>
      <c r="D1754" s="3"/>
      <c r="E1754" s="221"/>
      <c r="F1754" s="3"/>
      <c r="G1754" s="3"/>
    </row>
    <row r="1755" spans="1:7">
      <c r="A1755" s="3"/>
      <c r="B1755" s="3"/>
      <c r="C1755" s="3"/>
      <c r="D1755" s="3"/>
      <c r="E1755" s="221"/>
      <c r="F1755" s="3"/>
      <c r="G1755" s="3"/>
    </row>
    <row r="1756" spans="1:7">
      <c r="A1756" s="3"/>
      <c r="B1756" s="3"/>
      <c r="C1756" s="3"/>
      <c r="D1756" s="3"/>
      <c r="E1756" s="221"/>
      <c r="F1756" s="3"/>
      <c r="G1756" s="3"/>
    </row>
    <row r="1757" spans="1:7">
      <c r="A1757" s="3"/>
      <c r="B1757" s="3"/>
      <c r="C1757" s="3"/>
      <c r="D1757" s="3"/>
      <c r="E1757" s="221"/>
      <c r="F1757" s="3"/>
      <c r="G1757" s="3"/>
    </row>
    <row r="1758" spans="1:7">
      <c r="A1758" s="3"/>
      <c r="B1758" s="3"/>
      <c r="C1758" s="3"/>
      <c r="D1758" s="3"/>
      <c r="E1758" s="221"/>
      <c r="F1758" s="3"/>
      <c r="G1758" s="3"/>
    </row>
    <row r="1759" spans="1:7">
      <c r="A1759" s="3"/>
      <c r="B1759" s="3"/>
      <c r="C1759" s="3"/>
      <c r="D1759" s="3"/>
      <c r="E1759" s="221"/>
      <c r="F1759" s="3"/>
      <c r="G1759" s="3"/>
    </row>
    <row r="1760" spans="1:7">
      <c r="A1760" s="3"/>
      <c r="B1760" s="3"/>
      <c r="C1760" s="3"/>
      <c r="D1760" s="3"/>
      <c r="E1760" s="221"/>
      <c r="F1760" s="3"/>
      <c r="G1760" s="3"/>
    </row>
    <row r="1761" spans="1:7">
      <c r="A1761" s="3"/>
      <c r="B1761" s="3"/>
      <c r="C1761" s="3"/>
      <c r="D1761" s="3"/>
      <c r="E1761" s="221"/>
      <c r="F1761" s="3"/>
      <c r="G1761" s="3"/>
    </row>
    <row r="1762" spans="1:7">
      <c r="A1762" s="3"/>
      <c r="B1762" s="3"/>
      <c r="C1762" s="3"/>
      <c r="D1762" s="3"/>
      <c r="E1762" s="221"/>
      <c r="F1762" s="3"/>
      <c r="G1762" s="3"/>
    </row>
    <row r="1763" spans="1:7">
      <c r="A1763" s="3"/>
      <c r="B1763" s="3"/>
      <c r="C1763" s="3"/>
      <c r="D1763" s="3"/>
      <c r="E1763" s="221"/>
      <c r="F1763" s="3"/>
      <c r="G1763" s="3"/>
    </row>
    <row r="1764" spans="1:7">
      <c r="A1764" s="3"/>
      <c r="B1764" s="3"/>
      <c r="C1764" s="3"/>
      <c r="D1764" s="3"/>
      <c r="E1764" s="221"/>
      <c r="F1764" s="3"/>
      <c r="G1764" s="3"/>
    </row>
    <row r="1765" spans="1:7">
      <c r="A1765" s="3"/>
      <c r="B1765" s="3"/>
      <c r="C1765" s="3"/>
      <c r="D1765" s="3"/>
      <c r="E1765" s="221"/>
      <c r="F1765" s="3"/>
      <c r="G1765" s="3"/>
    </row>
    <row r="1766" spans="1:7">
      <c r="A1766" s="3"/>
      <c r="B1766" s="3"/>
      <c r="C1766" s="3"/>
      <c r="D1766" s="3"/>
      <c r="E1766" s="221"/>
      <c r="F1766" s="3"/>
      <c r="G1766" s="3"/>
    </row>
    <row r="1767" spans="1:7">
      <c r="A1767" s="3"/>
      <c r="B1767" s="3"/>
      <c r="C1767" s="3"/>
      <c r="D1767" s="3"/>
      <c r="E1767" s="221"/>
      <c r="F1767" s="3"/>
      <c r="G1767" s="3"/>
    </row>
    <row r="1768" spans="1:7">
      <c r="A1768" s="3"/>
      <c r="B1768" s="3"/>
      <c r="C1768" s="3"/>
      <c r="D1768" s="3"/>
      <c r="E1768" s="221"/>
      <c r="F1768" s="3"/>
      <c r="G1768" s="3"/>
    </row>
    <row r="1769" spans="1:7">
      <c r="A1769" s="3"/>
      <c r="B1769" s="3"/>
      <c r="C1769" s="3"/>
      <c r="D1769" s="3"/>
      <c r="E1769" s="221"/>
      <c r="F1769" s="3"/>
      <c r="G1769" s="3"/>
    </row>
    <row r="1770" spans="1:7">
      <c r="A1770" s="3"/>
      <c r="B1770" s="3"/>
      <c r="C1770" s="3"/>
      <c r="D1770" s="3"/>
      <c r="E1770" s="221"/>
      <c r="F1770" s="3"/>
      <c r="G1770" s="3"/>
    </row>
    <row r="1771" spans="1:7">
      <c r="A1771" s="3"/>
      <c r="B1771" s="3"/>
      <c r="C1771" s="3"/>
      <c r="D1771" s="3"/>
      <c r="E1771" s="221"/>
      <c r="F1771" s="3"/>
      <c r="G1771" s="3"/>
    </row>
    <row r="1772" spans="1:7">
      <c r="A1772" s="3"/>
      <c r="B1772" s="3"/>
      <c r="C1772" s="3"/>
      <c r="D1772" s="3"/>
      <c r="E1772" s="221"/>
      <c r="F1772" s="3"/>
      <c r="G1772" s="3"/>
    </row>
    <row r="1773" spans="1:7">
      <c r="A1773" s="3"/>
      <c r="B1773" s="3"/>
      <c r="C1773" s="3"/>
      <c r="D1773" s="3"/>
      <c r="E1773" s="221"/>
      <c r="F1773" s="3"/>
      <c r="G1773" s="3"/>
    </row>
    <row r="1774" spans="1:7">
      <c r="A1774" s="3"/>
      <c r="B1774" s="3"/>
      <c r="C1774" s="3"/>
      <c r="D1774" s="3"/>
      <c r="E1774" s="221"/>
      <c r="F1774" s="3"/>
      <c r="G1774" s="3"/>
    </row>
    <row r="1775" spans="1:7">
      <c r="A1775" s="3"/>
      <c r="B1775" s="3"/>
      <c r="C1775" s="3"/>
      <c r="D1775" s="3"/>
      <c r="E1775" s="221"/>
      <c r="F1775" s="3"/>
      <c r="G1775" s="3"/>
    </row>
    <row r="1776" spans="1:7">
      <c r="A1776" s="3"/>
      <c r="B1776" s="3"/>
      <c r="C1776" s="3"/>
      <c r="D1776" s="3"/>
      <c r="E1776" s="221"/>
      <c r="F1776" s="3"/>
      <c r="G1776" s="3"/>
    </row>
    <row r="1777" spans="1:7">
      <c r="A1777" s="3"/>
      <c r="B1777" s="3"/>
      <c r="C1777" s="3"/>
      <c r="D1777" s="3"/>
      <c r="E1777" s="221"/>
      <c r="F1777" s="3"/>
      <c r="G1777" s="3"/>
    </row>
    <row r="1778" spans="1:7">
      <c r="A1778" s="3"/>
      <c r="B1778" s="3"/>
      <c r="C1778" s="3"/>
      <c r="D1778" s="3"/>
      <c r="E1778" s="221"/>
      <c r="F1778" s="3"/>
      <c r="G1778" s="3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ilha13"/>
  <dimension ref="A1:G279"/>
  <sheetViews>
    <sheetView workbookViewId="0">
      <pane xSplit="6" ySplit="1" topLeftCell="G241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" defaultRowHeight="13.5"/>
  <cols>
    <col min="1" max="1" width="13.7109375" style="3" bestFit="1" customWidth="1"/>
    <col min="2" max="2" width="21.42578125" style="3" customWidth="1"/>
    <col min="3" max="3" width="48.42578125" style="3" customWidth="1"/>
    <col min="4" max="4" width="17.28515625" style="3" bestFit="1" customWidth="1"/>
    <col min="5" max="5" width="18.42578125" style="221" bestFit="1" customWidth="1"/>
    <col min="6" max="6" width="17.28515625" style="3" bestFit="1" customWidth="1"/>
    <col min="7" max="7" width="8.42578125" style="3" customWidth="1"/>
    <col min="8" max="16384" width="9" style="3"/>
  </cols>
  <sheetData>
    <row r="1" spans="1:7" ht="14.25" thickBot="1">
      <c r="A1" s="1825" t="s">
        <v>0</v>
      </c>
      <c r="B1" s="1758" t="s">
        <v>1</v>
      </c>
      <c r="C1" s="1826" t="s">
        <v>2</v>
      </c>
      <c r="D1" s="1760" t="s">
        <v>3</v>
      </c>
      <c r="E1" s="1761" t="s">
        <v>4</v>
      </c>
      <c r="F1" s="1553" t="s">
        <v>5</v>
      </c>
      <c r="G1" s="1762" t="s">
        <v>6</v>
      </c>
    </row>
    <row r="2" spans="1:7">
      <c r="A2" s="884"/>
      <c r="B2" s="1748"/>
      <c r="C2" s="1827" t="s">
        <v>7</v>
      </c>
      <c r="D2" s="1736"/>
      <c r="E2" s="1043"/>
      <c r="F2" s="1027"/>
      <c r="G2" s="1040"/>
    </row>
    <row r="3" spans="1:7">
      <c r="A3" s="884">
        <v>44298</v>
      </c>
      <c r="B3" s="1748" t="str">
        <f>TiposLancamentos!B77</f>
        <v>Esporádico</v>
      </c>
      <c r="C3" s="1827" t="s">
        <v>8</v>
      </c>
      <c r="D3" s="1736">
        <v>0.01</v>
      </c>
      <c r="E3" s="1043"/>
      <c r="F3" s="1027"/>
      <c r="G3" s="1040"/>
    </row>
    <row r="4" spans="1:7">
      <c r="A4" s="884">
        <v>44298</v>
      </c>
      <c r="B4" s="1748" t="str">
        <f>TiposLancamentos!B78</f>
        <v>Diferenças</v>
      </c>
      <c r="C4" s="1827" t="s">
        <v>8</v>
      </c>
      <c r="D4" s="1736"/>
      <c r="E4" s="1043">
        <v>0.01</v>
      </c>
      <c r="F4" s="1027"/>
      <c r="G4" s="1040"/>
    </row>
    <row r="5" spans="1:7">
      <c r="A5" s="934"/>
      <c r="B5" s="1749"/>
      <c r="C5" s="1828" t="s">
        <v>10</v>
      </c>
      <c r="D5" s="1690"/>
      <c r="E5" s="1690"/>
      <c r="F5" s="1231"/>
      <c r="G5" s="1662" t="s">
        <v>11</v>
      </c>
    </row>
    <row r="6" spans="1:7">
      <c r="A6" s="884">
        <v>44306</v>
      </c>
      <c r="B6" s="1748"/>
      <c r="C6" s="1827" t="s">
        <v>11636</v>
      </c>
      <c r="D6" s="1736"/>
      <c r="E6" s="1043"/>
      <c r="F6" s="952">
        <v>22700</v>
      </c>
      <c r="G6" s="1040"/>
    </row>
    <row r="7" spans="1:7">
      <c r="A7" s="884">
        <v>44306</v>
      </c>
      <c r="B7" s="1748"/>
      <c r="C7" s="1827" t="s">
        <v>11637</v>
      </c>
      <c r="D7" s="1736"/>
      <c r="E7" s="1043"/>
      <c r="F7" s="952">
        <v>672</v>
      </c>
      <c r="G7" s="1040"/>
    </row>
    <row r="8" spans="1:7">
      <c r="A8" s="884">
        <v>44306</v>
      </c>
      <c r="B8" s="1748"/>
      <c r="C8" s="1827" t="s">
        <v>11638</v>
      </c>
      <c r="D8" s="1736"/>
      <c r="E8" s="1043"/>
      <c r="F8" s="952">
        <v>480</v>
      </c>
      <c r="G8" s="1040"/>
    </row>
    <row r="9" spans="1:7">
      <c r="A9" s="884">
        <v>44306</v>
      </c>
      <c r="B9" s="1748"/>
      <c r="C9" s="1827" t="s">
        <v>11639</v>
      </c>
      <c r="D9" s="1736"/>
      <c r="E9" s="1043"/>
      <c r="F9" s="952">
        <v>1780</v>
      </c>
      <c r="G9" s="1040"/>
    </row>
    <row r="10" spans="1:7">
      <c r="A10" s="884">
        <v>44306</v>
      </c>
      <c r="B10" s="1748"/>
      <c r="C10" s="1827" t="s">
        <v>11640</v>
      </c>
      <c r="D10" s="1736"/>
      <c r="E10" s="1043"/>
      <c r="F10" s="952">
        <v>75</v>
      </c>
      <c r="G10" s="1040"/>
    </row>
    <row r="11" spans="1:7">
      <c r="A11" s="884">
        <v>44306</v>
      </c>
      <c r="B11" s="1748"/>
      <c r="C11" s="1827" t="s">
        <v>11641</v>
      </c>
      <c r="D11" s="1736"/>
      <c r="E11" s="1043"/>
      <c r="F11" s="952">
        <v>116</v>
      </c>
      <c r="G11" s="1040"/>
    </row>
    <row r="12" spans="1:7">
      <c r="A12" s="884">
        <v>44306</v>
      </c>
      <c r="B12" s="1748"/>
      <c r="C12" s="1827" t="s">
        <v>11642</v>
      </c>
      <c r="D12" s="1736"/>
      <c r="E12" s="1043"/>
      <c r="F12" s="952">
        <v>256</v>
      </c>
      <c r="G12" s="1040"/>
    </row>
    <row r="13" spans="1:7" ht="14.25" thickBot="1">
      <c r="A13" s="884">
        <v>44306</v>
      </c>
      <c r="B13" s="1748"/>
      <c r="C13" s="1827" t="s">
        <v>11643</v>
      </c>
      <c r="D13" s="1736"/>
      <c r="E13" s="1043"/>
      <c r="F13" s="952">
        <v>672</v>
      </c>
      <c r="G13" s="1040"/>
    </row>
    <row r="14" spans="1:7">
      <c r="A14" s="967"/>
      <c r="B14" s="1834"/>
      <c r="C14" s="1093" t="s">
        <v>11644</v>
      </c>
      <c r="D14" s="1823"/>
      <c r="E14" s="1821"/>
      <c r="F14" s="1823"/>
      <c r="G14" s="1823"/>
    </row>
    <row r="15" spans="1:7">
      <c r="A15" s="884">
        <v>44393</v>
      </c>
      <c r="B15" s="1748" t="str">
        <f>TiposLancamentos!B105</f>
        <v>Transf. Bco</v>
      </c>
      <c r="C15" s="1203" t="s">
        <v>11645</v>
      </c>
      <c r="D15" s="1736">
        <v>710.6</v>
      </c>
      <c r="E15" s="1043"/>
      <c r="F15" s="1027"/>
      <c r="G15" s="1040"/>
    </row>
    <row r="16" spans="1:7" ht="14.25" thickBot="1">
      <c r="A16" s="885">
        <v>44393</v>
      </c>
      <c r="B16" s="1755" t="str">
        <f>TiposLancamentos!B21</f>
        <v>Transf. Poupanca</v>
      </c>
      <c r="C16" s="1829" t="s">
        <v>11646</v>
      </c>
      <c r="D16" s="1738"/>
      <c r="E16" s="1044">
        <v>710.6</v>
      </c>
      <c r="F16" s="1027"/>
      <c r="G16" s="1040"/>
    </row>
    <row r="17" spans="1:7">
      <c r="A17" s="1819"/>
      <c r="B17" s="1835"/>
      <c r="C17" s="1820" t="s">
        <v>8219</v>
      </c>
      <c r="D17" s="1824"/>
      <c r="E17" s="1821"/>
      <c r="F17" s="1823"/>
      <c r="G17" s="1823"/>
    </row>
    <row r="18" spans="1:7" ht="14.25" thickBot="1">
      <c r="A18" s="884">
        <v>44469</v>
      </c>
      <c r="B18" s="1748" t="str">
        <f>TiposLancamentos!B96</f>
        <v>Resg.Poup.</v>
      </c>
      <c r="C18" s="1203" t="s">
        <v>11647</v>
      </c>
      <c r="D18" s="1736">
        <v>3786.98</v>
      </c>
      <c r="E18" s="1044"/>
      <c r="F18" s="1691"/>
      <c r="G18" s="1711"/>
    </row>
    <row r="19" spans="1:7">
      <c r="A19" s="967"/>
      <c r="B19" s="1834"/>
      <c r="C19" s="1093" t="s">
        <v>8251</v>
      </c>
      <c r="D19" s="1823"/>
      <c r="E19" s="1821"/>
      <c r="F19" s="1823"/>
      <c r="G19" s="1823"/>
    </row>
    <row r="20" spans="1:7" ht="14.25" thickBot="1">
      <c r="A20" s="884">
        <v>44470</v>
      </c>
      <c r="B20" s="1748" t="str">
        <f>TiposLancamentos!B105</f>
        <v>Transf. Bco</v>
      </c>
      <c r="C20" s="1203" t="s">
        <v>11648</v>
      </c>
      <c r="D20" s="1736"/>
      <c r="E20" s="1044">
        <v>3786.98</v>
      </c>
      <c r="F20" s="952"/>
      <c r="G20" s="1040"/>
    </row>
    <row r="21" spans="1:7">
      <c r="A21" s="967"/>
      <c r="B21" s="1834"/>
      <c r="C21" s="1093" t="s">
        <v>1608</v>
      </c>
      <c r="D21" s="1823"/>
      <c r="E21" s="1821"/>
      <c r="F21" s="1823"/>
      <c r="G21" s="1823"/>
    </row>
    <row r="22" spans="1:7">
      <c r="A22" s="884">
        <v>44644</v>
      </c>
      <c r="B22" s="1748" t="str">
        <f>TiposLancamentos!B96</f>
        <v>Resg.Poup.</v>
      </c>
      <c r="C22" s="1203" t="s">
        <v>11649</v>
      </c>
      <c r="D22" s="1736">
        <v>5334.64</v>
      </c>
      <c r="E22" s="1043"/>
      <c r="F22" s="1656"/>
      <c r="G22" s="1040"/>
    </row>
    <row r="23" spans="1:7">
      <c r="A23" s="884">
        <v>44644</v>
      </c>
      <c r="B23" s="1748" t="str">
        <f>TiposLancamentos!B105</f>
        <v>Transf. Bco</v>
      </c>
      <c r="C23" s="1203" t="s">
        <v>11650</v>
      </c>
      <c r="D23" s="1736"/>
      <c r="E23" s="1043">
        <v>5334.64</v>
      </c>
      <c r="F23" s="1656"/>
      <c r="G23" s="1040"/>
    </row>
    <row r="24" spans="1:7">
      <c r="A24" s="884">
        <v>44644</v>
      </c>
      <c r="B24" s="1748"/>
      <c r="C24" s="1203" t="s">
        <v>11651</v>
      </c>
      <c r="D24" s="1736"/>
      <c r="E24" s="1040"/>
      <c r="F24" s="1043">
        <v>5334.64</v>
      </c>
      <c r="G24" s="1040"/>
    </row>
    <row r="25" spans="1:7">
      <c r="A25" s="884">
        <v>44646</v>
      </c>
      <c r="B25" s="1748" t="str">
        <f>TiposLancamentos!B105</f>
        <v>Transf. Bco</v>
      </c>
      <c r="C25" s="1203" t="s">
        <v>11652</v>
      </c>
      <c r="D25" s="1736">
        <v>118.5</v>
      </c>
      <c r="E25" s="1043"/>
      <c r="F25" s="1656"/>
      <c r="G25" s="1040"/>
    </row>
    <row r="26" spans="1:7" ht="14.25" thickBot="1">
      <c r="A26" s="884">
        <v>44646</v>
      </c>
      <c r="B26" s="1748" t="str">
        <f>TiposLancamentos!B105</f>
        <v>Transf. Bco</v>
      </c>
      <c r="C26" s="1203" t="s">
        <v>8714</v>
      </c>
      <c r="D26" s="1736"/>
      <c r="E26" s="1044">
        <v>118.5</v>
      </c>
      <c r="F26" s="1691"/>
      <c r="G26" s="1711"/>
    </row>
    <row r="27" spans="1:7">
      <c r="A27" s="967"/>
      <c r="B27" s="1834"/>
      <c r="C27" s="1093" t="s">
        <v>1611</v>
      </c>
      <c r="D27" s="1823"/>
      <c r="E27" s="1821"/>
      <c r="F27" s="1823"/>
      <c r="G27" s="1823"/>
    </row>
    <row r="28" spans="1:7">
      <c r="A28" s="884">
        <v>44739</v>
      </c>
      <c r="B28" s="1748" t="str">
        <f>TiposLancamentos!B105</f>
        <v>Transf. Bco</v>
      </c>
      <c r="C28" s="1203" t="s">
        <v>11653</v>
      </c>
      <c r="D28" s="1736">
        <v>2.52</v>
      </c>
      <c r="E28" s="1043"/>
      <c r="F28" s="1027"/>
      <c r="G28" s="1040"/>
    </row>
    <row r="29" spans="1:7">
      <c r="A29" s="884">
        <v>44739</v>
      </c>
      <c r="B29" s="1748" t="str">
        <f>TiposLancamentos!B105</f>
        <v>Transf. Bco</v>
      </c>
      <c r="C29" s="1203" t="s">
        <v>10083</v>
      </c>
      <c r="D29" s="1736">
        <v>155.19999999999999</v>
      </c>
      <c r="E29" s="1043"/>
      <c r="F29" s="1027"/>
      <c r="G29" s="1040"/>
    </row>
    <row r="30" spans="1:7">
      <c r="A30" s="884">
        <v>44739</v>
      </c>
      <c r="B30" s="1748" t="str">
        <f>TiposLancamentos!B24</f>
        <v>Estacionamentos</v>
      </c>
      <c r="C30" s="1203" t="s">
        <v>3398</v>
      </c>
      <c r="D30" s="1736"/>
      <c r="E30" s="1043">
        <v>9</v>
      </c>
      <c r="F30" s="1027"/>
      <c r="G30" s="1040"/>
    </row>
    <row r="31" spans="1:7">
      <c r="A31" s="884">
        <v>44739</v>
      </c>
      <c r="B31" s="1748" t="str">
        <f>TiposLancamentos!B19</f>
        <v>Restaurantes</v>
      </c>
      <c r="C31" s="1203" t="s">
        <v>11654</v>
      </c>
      <c r="D31" s="1736"/>
      <c r="E31" s="1043">
        <v>38.700000000000003</v>
      </c>
      <c r="F31" s="1027"/>
      <c r="G31" s="1040"/>
    </row>
    <row r="32" spans="1:7">
      <c r="A32" s="884">
        <v>44739</v>
      </c>
      <c r="B32" s="1748" t="str">
        <f>TiposLancamentos!B17</f>
        <v>GATO</v>
      </c>
      <c r="C32" s="1203" t="s">
        <v>11655</v>
      </c>
      <c r="D32" s="1736"/>
      <c r="E32" s="1043">
        <v>30.6</v>
      </c>
      <c r="F32" s="1027"/>
      <c r="G32" s="1040"/>
    </row>
    <row r="33" spans="1:7">
      <c r="A33" s="884">
        <v>44740</v>
      </c>
      <c r="B33" s="1748" t="str">
        <f>TiposLancamentos!B5</f>
        <v>Supermercado</v>
      </c>
      <c r="C33" s="1203" t="s">
        <v>1884</v>
      </c>
      <c r="D33" s="1736"/>
      <c r="E33" s="1043">
        <v>10.89</v>
      </c>
      <c r="F33" s="1027"/>
      <c r="G33" s="1040"/>
    </row>
    <row r="34" spans="1:7">
      <c r="A34" s="884">
        <v>44740</v>
      </c>
      <c r="B34" s="1748" t="str">
        <f>B31</f>
        <v>Restaurantes</v>
      </c>
      <c r="C34" s="1203" t="s">
        <v>11656</v>
      </c>
      <c r="D34" s="1736"/>
      <c r="E34" s="1043">
        <v>20</v>
      </c>
      <c r="F34" s="1027"/>
      <c r="G34" s="1040"/>
    </row>
    <row r="35" spans="1:7">
      <c r="A35" s="884">
        <v>44740</v>
      </c>
      <c r="B35" s="1748" t="str">
        <f>TiposLancamentos!B5</f>
        <v>Supermercado</v>
      </c>
      <c r="C35" s="1203" t="s">
        <v>1884</v>
      </c>
      <c r="D35" s="1736"/>
      <c r="E35" s="1043">
        <v>16.39</v>
      </c>
      <c r="F35" s="1027"/>
      <c r="G35" s="1040"/>
    </row>
    <row r="36" spans="1:7">
      <c r="A36" s="884">
        <v>44740</v>
      </c>
      <c r="B36" s="1748" t="str">
        <f>TiposLancamentos!B24</f>
        <v>Estacionamentos</v>
      </c>
      <c r="C36" s="1203" t="s">
        <v>11657</v>
      </c>
      <c r="D36" s="1736"/>
      <c r="E36" s="1043">
        <v>13</v>
      </c>
      <c r="F36" s="1027"/>
      <c r="G36" s="1040"/>
    </row>
    <row r="37" spans="1:7">
      <c r="A37" s="884">
        <v>44741</v>
      </c>
      <c r="B37" s="1748" t="str">
        <f>TiposLancamentos!B19</f>
        <v>Restaurantes</v>
      </c>
      <c r="C37" s="1203" t="s">
        <v>8205</v>
      </c>
      <c r="D37" s="1736"/>
      <c r="E37" s="1043">
        <v>6</v>
      </c>
      <c r="F37" s="1027"/>
      <c r="G37" s="1040"/>
    </row>
    <row r="38" spans="1:7">
      <c r="A38" s="884">
        <v>44742</v>
      </c>
      <c r="B38" s="1748" t="str">
        <f>TiposLancamentos!B105</f>
        <v>Transf. Bco</v>
      </c>
      <c r="C38" s="1203" t="s">
        <v>8714</v>
      </c>
      <c r="D38" s="1736"/>
      <c r="E38" s="1043">
        <v>12.21</v>
      </c>
      <c r="F38" s="1027"/>
      <c r="G38" s="1040"/>
    </row>
    <row r="39" spans="1:7">
      <c r="A39" s="884">
        <v>44761</v>
      </c>
      <c r="B39" s="1748" t="str">
        <f>TiposLancamentos!B98</f>
        <v>Restituições</v>
      </c>
      <c r="C39" s="1203" t="s">
        <v>11658</v>
      </c>
      <c r="D39" s="1736">
        <v>22489.78</v>
      </c>
      <c r="E39" s="1043"/>
      <c r="F39" s="1027">
        <v>-22489.78</v>
      </c>
      <c r="G39" s="1040"/>
    </row>
    <row r="40" spans="1:7" ht="14.25" thickBot="1">
      <c r="A40" s="884">
        <v>44761</v>
      </c>
      <c r="B40" s="1748" t="str">
        <f>TiposLancamentos!B105</f>
        <v>Transf. Bco</v>
      </c>
      <c r="C40" s="1203" t="s">
        <v>11659</v>
      </c>
      <c r="D40" s="1736"/>
      <c r="E40" s="1044">
        <v>22489.78</v>
      </c>
      <c r="F40" s="1027"/>
      <c r="G40" s="1040"/>
    </row>
    <row r="41" spans="1:7">
      <c r="A41" s="967"/>
      <c r="B41" s="1834"/>
      <c r="C41" s="1093" t="s">
        <v>1623</v>
      </c>
      <c r="D41" s="1823"/>
      <c r="E41" s="1821"/>
      <c r="F41" s="1823"/>
      <c r="G41" s="1823"/>
    </row>
    <row r="42" spans="1:7">
      <c r="A42" s="884">
        <v>45078</v>
      </c>
      <c r="B42" s="1748" t="str">
        <f>TiposLancamentos!B96</f>
        <v>Resg.Poup.</v>
      </c>
      <c r="C42" s="1203" t="s">
        <v>11649</v>
      </c>
      <c r="D42" s="1736">
        <v>6091.02</v>
      </c>
      <c r="E42" s="1043"/>
      <c r="F42" s="1656"/>
      <c r="G42" s="1040"/>
    </row>
    <row r="43" spans="1:7" ht="14.25" thickBot="1">
      <c r="A43" s="884">
        <v>45078</v>
      </c>
      <c r="B43" s="1748" t="str">
        <f>TiposLancamentos!B105</f>
        <v>Transf. Bco</v>
      </c>
      <c r="C43" s="1203" t="s">
        <v>10097</v>
      </c>
      <c r="D43" s="1736"/>
      <c r="E43" s="1044">
        <v>6091.02</v>
      </c>
      <c r="F43" s="1691"/>
      <c r="G43" s="1711"/>
    </row>
    <row r="44" spans="1:7">
      <c r="A44" s="967"/>
      <c r="B44" s="1834"/>
      <c r="C44" s="1093" t="s">
        <v>1626</v>
      </c>
      <c r="D44" s="1823"/>
      <c r="E44" s="1821"/>
      <c r="F44" s="1823"/>
      <c r="G44" s="1823"/>
    </row>
    <row r="45" spans="1:7">
      <c r="A45" s="884">
        <v>45181</v>
      </c>
      <c r="B45" s="1748" t="str">
        <f>TiposLancamentos!B96</f>
        <v>Resg.Poup.</v>
      </c>
      <c r="C45" s="1203" t="s">
        <v>11660</v>
      </c>
      <c r="D45" s="1736">
        <v>2700.22</v>
      </c>
      <c r="E45" s="1043"/>
      <c r="F45" s="1027"/>
      <c r="G45" s="1040"/>
    </row>
    <row r="46" spans="1:7" ht="14.25" thickBot="1">
      <c r="A46" s="884">
        <v>45181</v>
      </c>
      <c r="B46" s="1748" t="str">
        <f>TiposLancamentos!B105</f>
        <v>Transf. Bco</v>
      </c>
      <c r="C46" s="1203" t="s">
        <v>9491</v>
      </c>
      <c r="D46" s="1736"/>
      <c r="E46" s="1044">
        <v>2700.22</v>
      </c>
      <c r="F46" s="1027"/>
      <c r="G46" s="1040"/>
    </row>
    <row r="47" spans="1:7">
      <c r="A47" s="967"/>
      <c r="B47" s="1834"/>
      <c r="C47" s="1093" t="s">
        <v>1627</v>
      </c>
      <c r="D47" s="1823"/>
      <c r="E47" s="1821"/>
      <c r="F47" s="1823"/>
      <c r="G47" s="1823"/>
    </row>
    <row r="48" spans="1:7">
      <c r="A48" s="884">
        <v>45209</v>
      </c>
      <c r="B48" s="1748" t="str">
        <f>TiposLancamentos!B96</f>
        <v>Resg.Poup.</v>
      </c>
      <c r="C48" s="1203" t="s">
        <v>11660</v>
      </c>
      <c r="D48" s="1736">
        <v>2024.23</v>
      </c>
      <c r="E48" s="1043"/>
      <c r="F48" s="1656">
        <f>D48-0.93</f>
        <v>2023.3</v>
      </c>
      <c r="G48" s="1040"/>
    </row>
    <row r="49" spans="1:7" ht="14.25" thickBot="1">
      <c r="A49" s="884">
        <v>45209</v>
      </c>
      <c r="B49" s="1748" t="str">
        <f>TiposLancamentos!B105</f>
        <v>Transf. Bco</v>
      </c>
      <c r="C49" s="1203" t="s">
        <v>9491</v>
      </c>
      <c r="D49" s="1736"/>
      <c r="E49" s="1044">
        <v>2023.3</v>
      </c>
      <c r="F49" s="1691"/>
      <c r="G49" s="1711"/>
    </row>
    <row r="50" spans="1:7">
      <c r="A50" s="967"/>
      <c r="B50" s="1834"/>
      <c r="C50" s="1093" t="s">
        <v>1629</v>
      </c>
      <c r="D50" s="1823"/>
      <c r="E50" s="1821"/>
      <c r="F50" s="1823"/>
      <c r="G50" s="1823"/>
    </row>
    <row r="51" spans="1:7" ht="14.25" thickBot="1">
      <c r="A51" s="884">
        <v>45264</v>
      </c>
      <c r="B51" s="1748" t="str">
        <f>TiposLancamentos!B105</f>
        <v>Transf. Bco</v>
      </c>
      <c r="C51" s="1203" t="s">
        <v>10082</v>
      </c>
      <c r="D51" s="1736"/>
      <c r="E51" s="1044">
        <v>1.86</v>
      </c>
      <c r="F51" s="1027"/>
      <c r="G51" s="1040"/>
    </row>
    <row r="52" spans="1:7">
      <c r="A52" s="967"/>
      <c r="B52" s="1834"/>
      <c r="C52" s="1093" t="s">
        <v>1630</v>
      </c>
      <c r="D52" s="1823"/>
      <c r="E52" s="1821"/>
      <c r="F52" s="1823"/>
      <c r="G52" s="1823"/>
    </row>
    <row r="53" spans="1:7">
      <c r="A53" s="884">
        <v>45294</v>
      </c>
      <c r="B53" s="1748" t="str">
        <f>TiposLancamentos!B98</f>
        <v>Restituições</v>
      </c>
      <c r="C53" s="1203" t="s">
        <v>11661</v>
      </c>
      <c r="D53" s="1736">
        <v>130.6</v>
      </c>
      <c r="E53" s="1043"/>
      <c r="F53" s="1656"/>
      <c r="G53" s="1040"/>
    </row>
    <row r="54" spans="1:7" ht="14.25" thickBot="1">
      <c r="A54" s="884">
        <v>45294</v>
      </c>
      <c r="B54" s="1748" t="str">
        <f>TiposLancamentos!B105</f>
        <v>Transf. Bco</v>
      </c>
      <c r="C54" s="1203" t="s">
        <v>11662</v>
      </c>
      <c r="D54" s="1736"/>
      <c r="E54" s="1044">
        <v>130.6</v>
      </c>
      <c r="F54" s="1691"/>
      <c r="G54" s="1711"/>
    </row>
    <row r="55" spans="1:7">
      <c r="A55" s="967"/>
      <c r="B55" s="1834"/>
      <c r="C55" s="1093" t="s">
        <v>1631</v>
      </c>
      <c r="D55" s="1823"/>
      <c r="E55" s="1821"/>
      <c r="F55" s="1823"/>
      <c r="G55" s="1823"/>
    </row>
    <row r="56" spans="1:7">
      <c r="A56" s="884">
        <v>45324</v>
      </c>
      <c r="B56" s="1748" t="str">
        <f>TiposLancamentos!B96</f>
        <v>Resg.Poup.</v>
      </c>
      <c r="C56" s="1203" t="s">
        <v>11660</v>
      </c>
      <c r="D56" s="1736">
        <v>5633.8</v>
      </c>
      <c r="E56" s="1043"/>
      <c r="F56" s="1027">
        <v>5633.8</v>
      </c>
      <c r="G56" s="1040"/>
    </row>
    <row r="57" spans="1:7" ht="14.25" thickBot="1">
      <c r="A57" s="884">
        <v>45324</v>
      </c>
      <c r="B57" s="1748" t="str">
        <f>TiposLancamentos!B105</f>
        <v>Transf. Bco</v>
      </c>
      <c r="C57" s="1203" t="s">
        <v>11663</v>
      </c>
      <c r="D57" s="1736"/>
      <c r="E57" s="1044">
        <v>5633.8</v>
      </c>
      <c r="F57" s="1027"/>
      <c r="G57" s="1040"/>
    </row>
    <row r="58" spans="1:7">
      <c r="A58" s="967"/>
      <c r="B58" s="1834"/>
      <c r="C58" s="1093" t="s">
        <v>1632</v>
      </c>
      <c r="D58" s="1823"/>
      <c r="E58" s="1821"/>
      <c r="F58" s="1823"/>
      <c r="G58" s="1823"/>
    </row>
    <row r="59" spans="1:7">
      <c r="A59" s="884">
        <v>45371</v>
      </c>
      <c r="B59" s="1748" t="str">
        <f>TiposLancamentos!B96</f>
        <v>Resg.Poup.</v>
      </c>
      <c r="C59" s="1203" t="s">
        <v>11660</v>
      </c>
      <c r="D59" s="1736">
        <v>1000</v>
      </c>
      <c r="E59" s="1043"/>
      <c r="F59" s="1656">
        <v>1000</v>
      </c>
      <c r="G59" s="1040"/>
    </row>
    <row r="60" spans="1:7" ht="14.25" thickBot="1">
      <c r="A60" s="884">
        <v>45371</v>
      </c>
      <c r="B60" s="1748" t="str">
        <f>TiposLancamentos!B105</f>
        <v>Transf. Bco</v>
      </c>
      <c r="C60" s="1203" t="s">
        <v>11664</v>
      </c>
      <c r="D60" s="1736"/>
      <c r="E60" s="1043">
        <v>1000</v>
      </c>
      <c r="F60" s="1691"/>
      <c r="G60" s="1711"/>
    </row>
    <row r="61" spans="1:7">
      <c r="A61" s="967"/>
      <c r="B61" s="1834"/>
      <c r="C61" s="1093" t="s">
        <v>1636</v>
      </c>
      <c r="D61" s="1823"/>
      <c r="E61" s="1821"/>
      <c r="F61" s="1823"/>
      <c r="G61" s="1823"/>
    </row>
    <row r="62" spans="1:7">
      <c r="A62" s="884">
        <v>45498</v>
      </c>
      <c r="B62" s="1748" t="str">
        <f>TiposLancamentos!B97</f>
        <v>Deposito Terc.</v>
      </c>
      <c r="C62" s="1203" t="s">
        <v>11665</v>
      </c>
      <c r="D62" s="1736">
        <v>0.01</v>
      </c>
      <c r="E62" s="1043"/>
      <c r="F62" s="1027"/>
      <c r="G62" s="1040"/>
    </row>
    <row r="63" spans="1:7">
      <c r="A63" s="884">
        <v>45499</v>
      </c>
      <c r="B63" s="1748" t="str">
        <f>TiposLancamentos!B96</f>
        <v>Resg.Poup.</v>
      </c>
      <c r="C63" s="1203" t="s">
        <v>11666</v>
      </c>
      <c r="D63" s="1736">
        <v>5589.5</v>
      </c>
      <c r="E63" s="1043"/>
      <c r="F63" s="1027">
        <v>5589.5</v>
      </c>
      <c r="G63" s="1040"/>
    </row>
    <row r="64" spans="1:7" ht="14.25" thickBot="1">
      <c r="A64" s="884">
        <v>45499</v>
      </c>
      <c r="B64" s="1748" t="str">
        <f>TiposLancamentos!B88</f>
        <v>Ford Ecosport XLT</v>
      </c>
      <c r="C64" s="1203" t="s">
        <v>11667</v>
      </c>
      <c r="D64" s="1736"/>
      <c r="E64" s="1043">
        <v>5500</v>
      </c>
      <c r="F64" s="1027"/>
      <c r="G64" s="1040"/>
    </row>
    <row r="65" spans="1:7">
      <c r="A65" s="967"/>
      <c r="B65" s="1834"/>
      <c r="C65" s="1093" t="s">
        <v>1637</v>
      </c>
      <c r="D65" s="1823"/>
      <c r="E65" s="1821"/>
      <c r="F65" s="1823"/>
      <c r="G65" s="1823"/>
    </row>
    <row r="66" spans="1:7">
      <c r="A66" s="884">
        <v>45507</v>
      </c>
      <c r="B66" s="1748" t="str">
        <f>TiposLancamentos!B18</f>
        <v>Alimentacao</v>
      </c>
      <c r="C66" s="1203" t="s">
        <v>11668</v>
      </c>
      <c r="D66" s="1736"/>
      <c r="E66" s="1043">
        <v>16</v>
      </c>
      <c r="F66" s="1656"/>
      <c r="G66" s="1040"/>
    </row>
    <row r="67" spans="1:7">
      <c r="A67" s="884">
        <v>45512</v>
      </c>
      <c r="B67" s="1748" t="str">
        <f>TiposLancamentos!B13</f>
        <v>Moradia</v>
      </c>
      <c r="C67" s="1203" t="s">
        <v>8783</v>
      </c>
      <c r="D67" s="1736"/>
      <c r="E67" s="1043">
        <v>16</v>
      </c>
      <c r="F67" s="1656"/>
      <c r="G67" s="1040"/>
    </row>
    <row r="68" spans="1:7">
      <c r="A68" s="884">
        <v>45514</v>
      </c>
      <c r="B68" s="1748" t="str">
        <f>TiposLancamentos!B13</f>
        <v>Moradia</v>
      </c>
      <c r="C68" s="1203" t="s">
        <v>11669</v>
      </c>
      <c r="D68" s="1736"/>
      <c r="E68" s="1043">
        <v>17.420000000000002</v>
      </c>
      <c r="F68" s="1656"/>
      <c r="G68" s="1040"/>
    </row>
    <row r="69" spans="1:7">
      <c r="A69" s="884">
        <v>45514</v>
      </c>
      <c r="B69" s="1748" t="str">
        <f>TiposLancamentos!B13</f>
        <v>Moradia</v>
      </c>
      <c r="C69" s="1203" t="s">
        <v>11670</v>
      </c>
      <c r="D69" s="1736"/>
      <c r="E69" s="1043">
        <v>2.8</v>
      </c>
      <c r="F69" s="1656"/>
      <c r="G69" s="1040"/>
    </row>
    <row r="70" spans="1:7">
      <c r="A70" s="884">
        <v>45533</v>
      </c>
      <c r="B70" s="1748" t="str">
        <f>TiposLancamentos!B96</f>
        <v>Resg.Poup.</v>
      </c>
      <c r="C70" s="1203" t="s">
        <v>11671</v>
      </c>
      <c r="D70" s="1736">
        <v>526.24</v>
      </c>
      <c r="E70" s="1043"/>
      <c r="F70" s="1656"/>
      <c r="G70" s="1040"/>
    </row>
    <row r="71" spans="1:7">
      <c r="A71" s="884">
        <v>45533</v>
      </c>
      <c r="B71" s="1748" t="str">
        <f>TiposLancamentos!B105</f>
        <v>Transf. Bco</v>
      </c>
      <c r="C71" s="1203" t="s">
        <v>11664</v>
      </c>
      <c r="D71" s="1736"/>
      <c r="E71" s="1043">
        <v>563.53</v>
      </c>
      <c r="F71" s="1656"/>
      <c r="G71" s="1040"/>
    </row>
    <row r="72" spans="1:7">
      <c r="A72" s="884">
        <v>45534</v>
      </c>
      <c r="B72" s="1748" t="str">
        <f>TiposLancamentos!B96</f>
        <v>Resg.Poup.</v>
      </c>
      <c r="C72" s="1203" t="s">
        <v>11672</v>
      </c>
      <c r="D72" s="1736">
        <v>193.65</v>
      </c>
      <c r="E72" s="1043"/>
      <c r="F72" s="1656"/>
      <c r="G72" s="1040"/>
    </row>
    <row r="73" spans="1:7" ht="14.25" thickBot="1">
      <c r="A73" s="884">
        <v>45534</v>
      </c>
      <c r="B73" s="1748" t="str">
        <f>TiposLancamentos!B105</f>
        <v>Transf. Bco</v>
      </c>
      <c r="C73" s="1203" t="s">
        <v>11664</v>
      </c>
      <c r="D73" s="1736"/>
      <c r="E73" s="1043">
        <v>193.65</v>
      </c>
      <c r="F73" s="1691"/>
      <c r="G73" s="1711"/>
    </row>
    <row r="74" spans="1:7">
      <c r="A74" s="967"/>
      <c r="B74" s="1834"/>
      <c r="C74" s="1093" t="s">
        <v>1638</v>
      </c>
      <c r="D74" s="1823"/>
      <c r="E74" s="1821"/>
      <c r="F74" s="1823"/>
      <c r="G74" s="1823"/>
    </row>
    <row r="75" spans="1:7">
      <c r="A75" s="884">
        <v>45537</v>
      </c>
      <c r="B75" s="1748" t="str">
        <f>TiposLancamentos!B96</f>
        <v>Resg.Poup.</v>
      </c>
      <c r="C75" s="1203" t="s">
        <v>11666</v>
      </c>
      <c r="D75" s="1736">
        <v>6074.15</v>
      </c>
      <c r="E75" s="1043"/>
      <c r="F75" s="1027">
        <v>6074.15</v>
      </c>
      <c r="G75" s="1040"/>
    </row>
    <row r="76" spans="1:7">
      <c r="A76" s="884">
        <v>45537</v>
      </c>
      <c r="B76" s="1748" t="str">
        <f>TiposLancamentos!B105</f>
        <v>Transf. Bco</v>
      </c>
      <c r="C76" s="1203" t="s">
        <v>11664</v>
      </c>
      <c r="D76" s="1736"/>
      <c r="E76" s="1043">
        <v>6074.15</v>
      </c>
      <c r="F76" s="1027"/>
      <c r="G76" s="1040"/>
    </row>
    <row r="77" spans="1:7">
      <c r="A77" s="884">
        <v>45541</v>
      </c>
      <c r="B77" s="1748" t="str">
        <f>TiposLancamentos!B105</f>
        <v>Transf. Bco</v>
      </c>
      <c r="C77" s="1203" t="s">
        <v>11673</v>
      </c>
      <c r="D77" s="1736">
        <v>6023</v>
      </c>
      <c r="E77" s="1043"/>
      <c r="F77" s="1027"/>
      <c r="G77" s="1040"/>
    </row>
    <row r="78" spans="1:7" ht="14.25" thickBot="1">
      <c r="A78" s="884">
        <v>45541</v>
      </c>
      <c r="B78" s="1748" t="str">
        <f>TiposLancamentos!B23</f>
        <v>P208 GRIFFE 1.6 AUT BUSINESS</v>
      </c>
      <c r="C78" s="1203" t="s">
        <v>11674</v>
      </c>
      <c r="D78" s="1736"/>
      <c r="E78" s="1043">
        <v>6023</v>
      </c>
      <c r="F78" s="1027"/>
      <c r="G78" s="1040"/>
    </row>
    <row r="79" spans="1:7">
      <c r="A79" s="967"/>
      <c r="B79" s="1834"/>
      <c r="C79" s="1093" t="s">
        <v>1642</v>
      </c>
      <c r="D79" s="1823"/>
      <c r="E79" s="1821"/>
      <c r="F79" s="1823"/>
      <c r="G79" s="1823"/>
    </row>
    <row r="80" spans="1:7">
      <c r="A80" s="884">
        <v>45665</v>
      </c>
      <c r="B80" s="1748" t="str">
        <f>B72</f>
        <v>Resg.Poup.</v>
      </c>
      <c r="C80" s="1203" t="s">
        <v>11675</v>
      </c>
      <c r="D80" s="1736">
        <v>30854.639999999999</v>
      </c>
      <c r="E80" s="1043"/>
      <c r="F80" s="1656">
        <v>30854.639999999999</v>
      </c>
      <c r="G80" s="1040"/>
    </row>
    <row r="81" spans="1:7" ht="14.25" thickBot="1">
      <c r="A81" s="884">
        <v>45665</v>
      </c>
      <c r="B81" s="1748" t="str">
        <f>TiposLancamentos!B105</f>
        <v>Transf. Bco</v>
      </c>
      <c r="C81" s="1203" t="s">
        <v>11676</v>
      </c>
      <c r="D81" s="1736"/>
      <c r="E81" s="1043">
        <v>30854.639999999999</v>
      </c>
      <c r="F81" s="1691"/>
      <c r="G81" s="1711"/>
    </row>
    <row r="82" spans="1:7">
      <c r="A82" s="967"/>
      <c r="B82" s="1834"/>
      <c r="C82" s="1093" t="s">
        <v>1643</v>
      </c>
      <c r="D82" s="1823"/>
      <c r="E82" s="1821"/>
      <c r="F82" s="1823"/>
      <c r="G82" s="1823"/>
    </row>
    <row r="83" spans="1:7">
      <c r="A83" s="884">
        <v>45713</v>
      </c>
      <c r="B83" s="1748" t="str">
        <f>TiposLancamentos!B96</f>
        <v>Resg.Poup.</v>
      </c>
      <c r="C83" s="1203" t="s">
        <v>11666</v>
      </c>
      <c r="D83" s="1736">
        <v>136230.46</v>
      </c>
      <c r="E83" s="1043"/>
      <c r="F83" s="1027"/>
      <c r="G83" s="1040"/>
    </row>
    <row r="84" spans="1:7">
      <c r="A84" s="884">
        <v>45716</v>
      </c>
      <c r="B84" s="1748" t="str">
        <f>TiposLancamentos!B97</f>
        <v>Deposito Terc.</v>
      </c>
      <c r="C84" s="1203" t="s">
        <v>11677</v>
      </c>
      <c r="D84" s="1736">
        <v>3460</v>
      </c>
      <c r="E84" s="1043"/>
      <c r="F84" s="1027"/>
      <c r="G84" s="1040"/>
    </row>
    <row r="85" spans="1:7">
      <c r="A85" s="884">
        <v>45716</v>
      </c>
      <c r="B85" s="1748" t="str">
        <f>TiposLancamentos!B103</f>
        <v>Juros_Corr. Poupança</v>
      </c>
      <c r="C85" s="1830" t="s">
        <v>11678</v>
      </c>
      <c r="D85" s="1736">
        <v>1.05</v>
      </c>
      <c r="E85" s="1043"/>
      <c r="F85" s="1027"/>
      <c r="G85" s="1040"/>
    </row>
    <row r="86" spans="1:7" ht="14.25" thickBot="1">
      <c r="A86" s="884">
        <v>45716</v>
      </c>
      <c r="B86" s="1748" t="str">
        <f>TiposLancamentos!B105</f>
        <v>Transf. Bco</v>
      </c>
      <c r="C86" s="1203" t="s">
        <v>11679</v>
      </c>
      <c r="D86" s="1736">
        <v>308.5</v>
      </c>
      <c r="E86" s="1043"/>
      <c r="F86" s="1027"/>
      <c r="G86" s="1040"/>
    </row>
    <row r="87" spans="1:7">
      <c r="A87" s="967"/>
      <c r="B87" s="1834"/>
      <c r="C87" s="1093" t="s">
        <v>1644</v>
      </c>
      <c r="D87" s="1823"/>
      <c r="E87" s="1821"/>
      <c r="F87" s="1823"/>
      <c r="G87" s="1823"/>
    </row>
    <row r="88" spans="1:7">
      <c r="A88" s="884">
        <v>45721</v>
      </c>
      <c r="B88" s="1748" t="str">
        <f>TiposLancamentos!B7</f>
        <v>Apto. Proprio 01</v>
      </c>
      <c r="C88" s="1203" t="s">
        <v>11680</v>
      </c>
      <c r="D88" s="1736"/>
      <c r="E88" s="1043">
        <v>140000</v>
      </c>
      <c r="F88" s="1656"/>
      <c r="G88" s="1040"/>
    </row>
    <row r="89" spans="1:7">
      <c r="A89" s="884">
        <v>45728</v>
      </c>
      <c r="B89" s="1748" t="str">
        <f>TiposLancamentos!B103</f>
        <v>Juros_Corr. Poupança</v>
      </c>
      <c r="C89" s="1830" t="s">
        <v>11678</v>
      </c>
      <c r="D89" s="1736">
        <v>4.33</v>
      </c>
      <c r="E89" s="1043"/>
      <c r="F89" s="1656"/>
      <c r="G89" s="1040"/>
    </row>
    <row r="90" spans="1:7">
      <c r="A90" s="884">
        <v>45728</v>
      </c>
      <c r="B90" s="1748" t="str">
        <f>TiposLancamentos!B96</f>
        <v>Resg.Poup.</v>
      </c>
      <c r="C90" s="1203" t="s">
        <v>11681</v>
      </c>
      <c r="D90" s="1736">
        <v>17847.34</v>
      </c>
      <c r="E90" s="1043"/>
      <c r="F90" s="1656"/>
      <c r="G90" s="1040"/>
    </row>
    <row r="91" spans="1:7">
      <c r="A91" s="884">
        <v>45728</v>
      </c>
      <c r="B91" s="1748" t="str">
        <f>TiposLancamentos!B46</f>
        <v>Maçonaria</v>
      </c>
      <c r="C91" s="1203" t="s">
        <v>11682</v>
      </c>
      <c r="D91" s="1736"/>
      <c r="E91" s="1043">
        <v>210</v>
      </c>
      <c r="F91" s="1656"/>
      <c r="G91" s="1040"/>
    </row>
    <row r="92" spans="1:7">
      <c r="A92" s="919">
        <v>45728</v>
      </c>
      <c r="B92" s="1666" t="str">
        <f>TiposLancamentos!B57</f>
        <v>Informática</v>
      </c>
      <c r="C92" s="915" t="s">
        <v>11683</v>
      </c>
      <c r="D92" s="1735"/>
      <c r="E92" s="1733">
        <v>41.72</v>
      </c>
      <c r="F92" s="1290"/>
      <c r="G92" s="1040"/>
    </row>
    <row r="93" spans="1:7">
      <c r="A93" s="921">
        <v>45728</v>
      </c>
      <c r="B93" s="1750" t="str">
        <f>TiposLancamentos!B57</f>
        <v>Informática</v>
      </c>
      <c r="C93" s="916" t="s">
        <v>11684</v>
      </c>
      <c r="D93" s="1737"/>
      <c r="E93" s="1668">
        <v>59.42</v>
      </c>
      <c r="F93" s="1518">
        <f>SUM(E92:E93)</f>
        <v>101.14</v>
      </c>
      <c r="G93" s="1040"/>
    </row>
    <row r="94" spans="1:7">
      <c r="A94" s="884"/>
      <c r="B94" s="1748"/>
      <c r="C94" s="1203" t="s">
        <v>1868</v>
      </c>
      <c r="D94" s="1736"/>
      <c r="E94" s="1043"/>
      <c r="F94" s="1656"/>
      <c r="G94" s="1040"/>
    </row>
    <row r="95" spans="1:7">
      <c r="A95" s="884">
        <v>45730</v>
      </c>
      <c r="B95" s="1748" t="str">
        <f>TiposLancamentos!B13</f>
        <v>Moradia</v>
      </c>
      <c r="C95" s="1203" t="s">
        <v>8783</v>
      </c>
      <c r="D95" s="1736"/>
      <c r="E95" s="1043">
        <v>17</v>
      </c>
      <c r="F95" s="1656"/>
      <c r="G95" s="1040"/>
    </row>
    <row r="96" spans="1:7">
      <c r="A96" s="884">
        <v>45730</v>
      </c>
      <c r="B96" s="1748" t="str">
        <f>TiposLancamentos!B5</f>
        <v>Supermercado</v>
      </c>
      <c r="C96" s="1203" t="s">
        <v>11685</v>
      </c>
      <c r="D96" s="1736"/>
      <c r="E96" s="1043">
        <v>66.62</v>
      </c>
      <c r="F96" s="1656"/>
      <c r="G96" s="1040"/>
    </row>
    <row r="97" spans="1:7">
      <c r="A97" s="884">
        <v>45731</v>
      </c>
      <c r="B97" s="1748" t="str">
        <f>TiposLancamentos!B88</f>
        <v>Ford Ecosport XLT</v>
      </c>
      <c r="C97" s="1203" t="s">
        <v>11686</v>
      </c>
      <c r="D97" s="1736"/>
      <c r="E97" s="1043">
        <v>25.33</v>
      </c>
      <c r="F97" s="1656"/>
      <c r="G97" s="1040"/>
    </row>
    <row r="98" spans="1:7">
      <c r="A98" s="884">
        <v>45731</v>
      </c>
      <c r="B98" s="1748" t="str">
        <f>TiposLancamentos!B16</f>
        <v>Cristiane</v>
      </c>
      <c r="C98" s="1203" t="s">
        <v>11687</v>
      </c>
      <c r="D98" s="1736"/>
      <c r="E98" s="1043">
        <v>30.28</v>
      </c>
      <c r="F98" s="1656"/>
      <c r="G98" s="1040"/>
    </row>
    <row r="99" spans="1:7">
      <c r="A99" s="884">
        <v>45731</v>
      </c>
      <c r="B99" s="1748" t="str">
        <f>TiposLancamentos!B24</f>
        <v>Estacionamentos</v>
      </c>
      <c r="C99" s="1203" t="s">
        <v>11688</v>
      </c>
      <c r="D99" s="1736"/>
      <c r="E99" s="1043">
        <v>12</v>
      </c>
      <c r="F99" s="1656"/>
      <c r="G99" s="1040"/>
    </row>
    <row r="100" spans="1:7">
      <c r="A100" s="884">
        <v>45731</v>
      </c>
      <c r="B100" s="1748" t="str">
        <f>TiposLancamentos!B5</f>
        <v>Supermercado</v>
      </c>
      <c r="C100" s="1203" t="s">
        <v>11689</v>
      </c>
      <c r="D100" s="1736"/>
      <c r="E100" s="1043">
        <v>100.65</v>
      </c>
      <c r="F100" s="1656"/>
      <c r="G100" s="1040"/>
    </row>
    <row r="101" spans="1:7">
      <c r="A101" s="884">
        <v>45731</v>
      </c>
      <c r="B101" s="1748" t="str">
        <f>TiposLancamentos!B105</f>
        <v>Transf. Bco</v>
      </c>
      <c r="C101" s="1203" t="s">
        <v>8714</v>
      </c>
      <c r="D101" s="1736"/>
      <c r="E101" s="1043">
        <v>0.01</v>
      </c>
      <c r="F101" s="1656"/>
      <c r="G101" s="1040"/>
    </row>
    <row r="102" spans="1:7">
      <c r="A102" s="884">
        <v>45731</v>
      </c>
      <c r="B102" s="1748" t="str">
        <f>TiposLancamentos!B99</f>
        <v>Venda de algo</v>
      </c>
      <c r="C102" s="1203" t="str">
        <f>TiposLancamentos!B88</f>
        <v>Ford Ecosport XLT</v>
      </c>
      <c r="D102" s="1736">
        <v>17500</v>
      </c>
      <c r="E102" s="1043"/>
      <c r="F102" s="1656"/>
      <c r="G102" s="1040"/>
    </row>
    <row r="103" spans="1:7">
      <c r="A103" s="884">
        <v>45732</v>
      </c>
      <c r="B103" s="1748" t="str">
        <f>TiposLancamentos!B5</f>
        <v>Supermercado</v>
      </c>
      <c r="C103" s="1203" t="s">
        <v>1884</v>
      </c>
      <c r="D103" s="1736"/>
      <c r="E103" s="1043">
        <v>25.48</v>
      </c>
      <c r="F103" s="1656"/>
      <c r="G103" s="1040"/>
    </row>
    <row r="104" spans="1:7">
      <c r="A104" s="884">
        <v>45732</v>
      </c>
      <c r="B104" s="1748" t="str">
        <f>TiposLancamentos!B5</f>
        <v>Supermercado</v>
      </c>
      <c r="C104" s="1203" t="s">
        <v>1884</v>
      </c>
      <c r="D104" s="1736"/>
      <c r="E104" s="1043">
        <v>4.79</v>
      </c>
      <c r="F104" s="1656"/>
      <c r="G104" s="1040"/>
    </row>
    <row r="105" spans="1:7">
      <c r="A105" s="884">
        <v>45732</v>
      </c>
      <c r="B105" s="1748" t="str">
        <f>TiposLancamentos!B5</f>
        <v>Supermercado</v>
      </c>
      <c r="C105" s="1203" t="s">
        <v>11690</v>
      </c>
      <c r="D105" s="1736"/>
      <c r="E105" s="1043">
        <v>309.98</v>
      </c>
      <c r="F105" s="1656"/>
      <c r="G105" s="1040"/>
    </row>
    <row r="106" spans="1:7">
      <c r="A106" s="884">
        <v>45732</v>
      </c>
      <c r="B106" s="1748" t="str">
        <f>TiposLancamentos!B5</f>
        <v>Supermercado</v>
      </c>
      <c r="C106" s="1203" t="s">
        <v>1884</v>
      </c>
      <c r="D106" s="1736"/>
      <c r="E106" s="1043">
        <v>15.98</v>
      </c>
      <c r="F106" s="1656"/>
      <c r="G106" s="1040"/>
    </row>
    <row r="107" spans="1:7">
      <c r="A107" s="884">
        <v>45733</v>
      </c>
      <c r="B107" s="1748" t="str">
        <f>TiposLancamentos!B2</f>
        <v>Telefonia</v>
      </c>
      <c r="C107" s="1203" t="s">
        <v>11691</v>
      </c>
      <c r="D107" s="1736"/>
      <c r="E107" s="1043">
        <v>71.44</v>
      </c>
      <c r="F107" s="1656"/>
      <c r="G107" s="1040"/>
    </row>
    <row r="108" spans="1:7">
      <c r="A108" s="884">
        <v>45733</v>
      </c>
      <c r="B108" s="1748" t="str">
        <f>TiposLancamentos!B32</f>
        <v>Clinicas e tratamentos</v>
      </c>
      <c r="C108" s="1203" t="s">
        <v>11692</v>
      </c>
      <c r="D108" s="1736"/>
      <c r="E108" s="1043">
        <v>3400</v>
      </c>
      <c r="F108" s="1656"/>
      <c r="G108" s="1040"/>
    </row>
    <row r="109" spans="1:7">
      <c r="A109" s="919">
        <v>45734</v>
      </c>
      <c r="B109" s="1666" t="str">
        <f>TiposLancamentos!B39</f>
        <v>Playstation 5</v>
      </c>
      <c r="C109" s="915" t="s">
        <v>11693</v>
      </c>
      <c r="D109" s="1735"/>
      <c r="E109" s="1733">
        <v>75</v>
      </c>
      <c r="F109" s="1290"/>
      <c r="G109" s="1040"/>
    </row>
    <row r="110" spans="1:7">
      <c r="A110" s="921">
        <v>45734</v>
      </c>
      <c r="B110" s="1750" t="str">
        <f>TiposLancamentos!B38</f>
        <v>Playstation 4</v>
      </c>
      <c r="C110" s="916" t="s">
        <v>11694</v>
      </c>
      <c r="D110" s="1737"/>
      <c r="E110" s="1668">
        <v>75</v>
      </c>
      <c r="F110" s="1518">
        <f>SUM(E109:E110)</f>
        <v>150</v>
      </c>
      <c r="G110" s="1040"/>
    </row>
    <row r="111" spans="1:7">
      <c r="A111" s="884">
        <v>45734</v>
      </c>
      <c r="B111" s="1748" t="str">
        <f>TiposLancamentos!B37</f>
        <v>Playstation 3</v>
      </c>
      <c r="C111" s="1203" t="s">
        <v>11695</v>
      </c>
      <c r="D111" s="1736"/>
      <c r="E111" s="1043">
        <v>10</v>
      </c>
      <c r="F111" s="1656"/>
      <c r="G111" s="1040"/>
    </row>
    <row r="112" spans="1:7">
      <c r="A112" s="884">
        <v>45734</v>
      </c>
      <c r="B112" s="1748" t="str">
        <f>TiposLancamentos!B19</f>
        <v>Restaurantes</v>
      </c>
      <c r="C112" s="1203" t="s">
        <v>11696</v>
      </c>
      <c r="D112" s="1736"/>
      <c r="E112" s="1043">
        <v>49.4</v>
      </c>
      <c r="F112" s="1656"/>
      <c r="G112" s="1040"/>
    </row>
    <row r="113" spans="1:7">
      <c r="A113" s="884">
        <v>45734</v>
      </c>
      <c r="B113" s="1748" t="str">
        <f>TiposLancamentos!B16</f>
        <v>Cristiane</v>
      </c>
      <c r="C113" s="1203" t="s">
        <v>11697</v>
      </c>
      <c r="D113" s="1736"/>
      <c r="E113" s="1043">
        <v>29.2</v>
      </c>
      <c r="F113" s="1656"/>
      <c r="G113" s="1040"/>
    </row>
    <row r="114" spans="1:7">
      <c r="A114" s="884">
        <v>45734</v>
      </c>
      <c r="B114" s="1748" t="str">
        <f>TiposLancamentos!B16</f>
        <v>Cristiane</v>
      </c>
      <c r="C114" s="1203" t="s">
        <v>11697</v>
      </c>
      <c r="D114" s="1736"/>
      <c r="E114" s="1043">
        <v>41.2</v>
      </c>
      <c r="F114" s="1656"/>
      <c r="G114" s="1040"/>
    </row>
    <row r="115" spans="1:7">
      <c r="A115" s="919">
        <v>45734</v>
      </c>
      <c r="B115" s="1666" t="str">
        <f>TiposLancamentos!B37</f>
        <v>Playstation 3</v>
      </c>
      <c r="C115" s="915" t="s">
        <v>11698</v>
      </c>
      <c r="D115" s="1735"/>
      <c r="E115" s="1733">
        <v>69</v>
      </c>
      <c r="F115" s="1290"/>
      <c r="G115" s="1040"/>
    </row>
    <row r="116" spans="1:7">
      <c r="A116" s="921">
        <v>45734</v>
      </c>
      <c r="B116" s="1750" t="str">
        <f>TiposLancamentos!B37</f>
        <v>Playstation 3</v>
      </c>
      <c r="C116" s="916" t="s">
        <v>11699</v>
      </c>
      <c r="D116" s="1737"/>
      <c r="E116" s="1668">
        <f>138/2</f>
        <v>69</v>
      </c>
      <c r="F116" s="1518">
        <f>SUM(E115:E116)</f>
        <v>138</v>
      </c>
      <c r="G116" s="1040"/>
    </row>
    <row r="117" spans="1:7">
      <c r="A117" s="884">
        <v>45734</v>
      </c>
      <c r="B117" s="1748" t="str">
        <f>TiposLancamentos!B19</f>
        <v>Restaurantes</v>
      </c>
      <c r="C117" s="1203" t="s">
        <v>11700</v>
      </c>
      <c r="D117" s="1736"/>
      <c r="E117" s="1043">
        <v>22</v>
      </c>
      <c r="F117" s="1656"/>
      <c r="G117" s="1040"/>
    </row>
    <row r="118" spans="1:7">
      <c r="A118" s="884">
        <v>45734</v>
      </c>
      <c r="B118" s="1748" t="str">
        <f>TiposLancamentos!B24</f>
        <v>Estacionamentos</v>
      </c>
      <c r="C118" s="1203" t="s">
        <v>11701</v>
      </c>
      <c r="D118" s="1736"/>
      <c r="E118" s="1043">
        <v>15</v>
      </c>
      <c r="F118" s="1656"/>
      <c r="G118" s="1040"/>
    </row>
    <row r="119" spans="1:7">
      <c r="A119" s="919">
        <v>45734</v>
      </c>
      <c r="B119" s="1666" t="str">
        <f>TiposLancamentos!B81</f>
        <v>Ferramentas gerais</v>
      </c>
      <c r="C119" s="915" t="s">
        <v>11702</v>
      </c>
      <c r="D119" s="1735"/>
      <c r="E119" s="1733">
        <v>15.89</v>
      </c>
      <c r="F119" s="1290"/>
      <c r="G119" s="1040"/>
    </row>
    <row r="120" spans="1:7">
      <c r="A120" s="921">
        <v>45734</v>
      </c>
      <c r="B120" s="1750" t="str">
        <f>TiposLancamentos!B60</f>
        <v>Correio</v>
      </c>
      <c r="C120" s="916" t="s">
        <v>11703</v>
      </c>
      <c r="D120" s="1737"/>
      <c r="E120" s="1668">
        <v>8</v>
      </c>
      <c r="F120" s="1518">
        <f>SUM(E119:E120)</f>
        <v>23.89</v>
      </c>
      <c r="G120" s="1040"/>
    </row>
    <row r="121" spans="1:7">
      <c r="A121" s="884">
        <v>45734</v>
      </c>
      <c r="B121" s="1748" t="str">
        <f>TiposLancamentos!B24</f>
        <v>Estacionamentos</v>
      </c>
      <c r="C121" s="1203" t="s">
        <v>1898</v>
      </c>
      <c r="D121" s="1736"/>
      <c r="E121" s="1043">
        <v>23</v>
      </c>
      <c r="F121" s="1656"/>
      <c r="G121" s="1040"/>
    </row>
    <row r="122" spans="1:7">
      <c r="A122" s="884">
        <v>45734</v>
      </c>
      <c r="B122" s="1748" t="str">
        <f>TiposLancamentos!B19</f>
        <v>Restaurantes</v>
      </c>
      <c r="C122" s="1203" t="s">
        <v>1967</v>
      </c>
      <c r="D122" s="1736"/>
      <c r="E122" s="1043">
        <v>28.6</v>
      </c>
      <c r="F122" s="1656"/>
      <c r="G122" s="1040"/>
    </row>
    <row r="123" spans="1:7">
      <c r="A123" s="884">
        <v>45734</v>
      </c>
      <c r="B123" s="1748" t="str">
        <f>TiposLancamentos!B16</f>
        <v>Cristiane</v>
      </c>
      <c r="C123" s="1203" t="s">
        <v>2155</v>
      </c>
      <c r="D123" s="1736"/>
      <c r="E123" s="1043">
        <v>8.9600000000000009</v>
      </c>
      <c r="F123" s="1656"/>
      <c r="G123" s="1040"/>
    </row>
    <row r="124" spans="1:7">
      <c r="A124" s="884">
        <v>45734</v>
      </c>
      <c r="B124" s="1748" t="str">
        <f>TiposLancamentos!B16</f>
        <v>Cristiane</v>
      </c>
      <c r="C124" s="1203" t="s">
        <v>2155</v>
      </c>
      <c r="D124" s="1736"/>
      <c r="E124" s="1043">
        <v>3</v>
      </c>
      <c r="F124" s="1656"/>
      <c r="G124" s="1040"/>
    </row>
    <row r="125" spans="1:7">
      <c r="A125" s="884">
        <v>45734</v>
      </c>
      <c r="B125" s="1748" t="str">
        <f>TiposLancamentos!B19</f>
        <v>Restaurantes</v>
      </c>
      <c r="C125" s="1203" t="s">
        <v>11704</v>
      </c>
      <c r="D125" s="1736"/>
      <c r="E125" s="1043">
        <v>60</v>
      </c>
      <c r="F125" s="1656"/>
      <c r="G125" s="1040"/>
    </row>
    <row r="126" spans="1:7">
      <c r="A126" s="884">
        <v>45735</v>
      </c>
      <c r="B126" s="1748" t="str">
        <f>TiposLancamentos!B24</f>
        <v>Estacionamentos</v>
      </c>
      <c r="C126" s="1203" t="s">
        <v>11705</v>
      </c>
      <c r="D126" s="1736"/>
      <c r="E126" s="1043">
        <v>16</v>
      </c>
      <c r="F126" s="1656"/>
      <c r="G126" s="1040"/>
    </row>
    <row r="127" spans="1:7">
      <c r="A127" s="919">
        <v>45735</v>
      </c>
      <c r="B127" s="1666" t="str">
        <f>TiposLancamentos!B16</f>
        <v>Cristiane</v>
      </c>
      <c r="C127" s="915" t="s">
        <v>11706</v>
      </c>
      <c r="D127" s="1735"/>
      <c r="E127" s="1733">
        <v>169.9</v>
      </c>
      <c r="F127" s="1290"/>
      <c r="G127" s="1040"/>
    </row>
    <row r="128" spans="1:7">
      <c r="A128" s="921">
        <v>45735</v>
      </c>
      <c r="B128" s="1750" t="str">
        <f>TiposLancamentos!B19</f>
        <v>Restaurantes</v>
      </c>
      <c r="C128" s="916" t="s">
        <v>11707</v>
      </c>
      <c r="D128" s="1737"/>
      <c r="E128" s="1668">
        <f>F128-E127</f>
        <v>11.900000000000006</v>
      </c>
      <c r="F128" s="1518">
        <v>181.8</v>
      </c>
      <c r="G128" s="1040"/>
    </row>
    <row r="129" spans="1:7">
      <c r="A129" s="884">
        <v>45735</v>
      </c>
      <c r="B129" s="1748" t="str">
        <f>TiposLancamentos!B19</f>
        <v>Restaurantes</v>
      </c>
      <c r="C129" s="1203" t="s">
        <v>3055</v>
      </c>
      <c r="D129" s="1736"/>
      <c r="E129" s="1043">
        <v>35</v>
      </c>
      <c r="F129" s="1656"/>
      <c r="G129" s="1040"/>
    </row>
    <row r="130" spans="1:7">
      <c r="A130" s="884">
        <v>45735</v>
      </c>
      <c r="B130" s="1748" t="str">
        <f>TiposLancamentos!B71</f>
        <v>Itens Pessoais</v>
      </c>
      <c r="C130" s="1203" t="s">
        <v>11708</v>
      </c>
      <c r="D130" s="1736"/>
      <c r="E130" s="1043">
        <v>29.5</v>
      </c>
      <c r="F130" s="1656"/>
      <c r="G130" s="1040"/>
    </row>
    <row r="131" spans="1:7">
      <c r="A131" s="884">
        <v>45735</v>
      </c>
      <c r="B131" s="1748" t="str">
        <f>TiposLancamentos!B19</f>
        <v>Restaurantes</v>
      </c>
      <c r="C131" s="1203" t="s">
        <v>11709</v>
      </c>
      <c r="D131" s="1736"/>
      <c r="E131" s="1043">
        <v>15.9</v>
      </c>
      <c r="F131" s="1656"/>
      <c r="G131" s="1040"/>
    </row>
    <row r="132" spans="1:7">
      <c r="A132" s="884">
        <v>45735</v>
      </c>
      <c r="B132" s="1748" t="str">
        <f>TiposLancamentos!B19</f>
        <v>Restaurantes</v>
      </c>
      <c r="C132" s="1203" t="s">
        <v>11710</v>
      </c>
      <c r="D132" s="1736"/>
      <c r="E132" s="1043">
        <v>87.6</v>
      </c>
      <c r="F132" s="1656"/>
      <c r="G132" s="1040"/>
    </row>
    <row r="133" spans="1:7">
      <c r="A133" s="884">
        <v>45736</v>
      </c>
      <c r="B133" s="1748" t="str">
        <f>TiposLancamentos!B5</f>
        <v>Supermercado</v>
      </c>
      <c r="C133" s="1203" t="s">
        <v>11711</v>
      </c>
      <c r="D133" s="1736"/>
      <c r="E133" s="1043">
        <v>63.41</v>
      </c>
      <c r="F133" s="1656"/>
      <c r="G133" s="1040"/>
    </row>
    <row r="134" spans="1:7">
      <c r="A134" s="884"/>
      <c r="B134" s="1748"/>
      <c r="C134" s="1203" t="s">
        <v>1868</v>
      </c>
      <c r="D134" s="1736"/>
      <c r="E134" s="1043"/>
      <c r="F134" s="1656"/>
      <c r="G134" s="1040"/>
    </row>
    <row r="135" spans="1:7">
      <c r="A135" s="919">
        <v>45736</v>
      </c>
      <c r="B135" s="1751" t="str">
        <f>TiposLancamentos!B8</f>
        <v>Aluguel</v>
      </c>
      <c r="C135" s="1831" t="s">
        <v>9047</v>
      </c>
      <c r="D135" s="1735"/>
      <c r="E135" s="1733">
        <f>F141-SUM(E136:E141)</f>
        <v>1738.4700000000003</v>
      </c>
      <c r="F135" s="1613"/>
      <c r="G135" s="1040"/>
    </row>
    <row r="136" spans="1:7">
      <c r="A136" s="930">
        <v>45736</v>
      </c>
      <c r="B136" s="1752" t="str">
        <f>TiposLancamentos!B9</f>
        <v>Condominio</v>
      </c>
      <c r="C136" s="1832" t="s">
        <v>9429</v>
      </c>
      <c r="D136" s="1736"/>
      <c r="E136" s="1734">
        <v>775.36</v>
      </c>
      <c r="F136" s="1656"/>
      <c r="G136" s="1040"/>
    </row>
    <row r="137" spans="1:7">
      <c r="A137" s="930">
        <v>45736</v>
      </c>
      <c r="B137" s="1752" t="str">
        <f>TiposLancamentos!B10</f>
        <v>Distr. Água Municipal</v>
      </c>
      <c r="C137" s="1832" t="s">
        <v>7423</v>
      </c>
      <c r="D137" s="1736"/>
      <c r="E137" s="1734">
        <v>75.92</v>
      </c>
      <c r="F137" s="1656"/>
      <c r="G137" s="1040"/>
    </row>
    <row r="138" spans="1:7">
      <c r="A138" s="930">
        <v>45736</v>
      </c>
      <c r="B138" s="1752" t="str">
        <f>TiposLancamentos!B11</f>
        <v>Coleta Municipal Lixo</v>
      </c>
      <c r="C138" s="1832" t="s">
        <v>7424</v>
      </c>
      <c r="D138" s="1736"/>
      <c r="E138" s="1734">
        <v>67.23</v>
      </c>
      <c r="F138" s="1656"/>
      <c r="G138" s="1040"/>
    </row>
    <row r="139" spans="1:7">
      <c r="A139" s="930">
        <v>45736</v>
      </c>
      <c r="B139" s="1752" t="str">
        <f>TiposLancamentos!B12</f>
        <v>IPTU</v>
      </c>
      <c r="C139" s="1832" t="s">
        <v>9048</v>
      </c>
      <c r="D139" s="1736"/>
      <c r="E139" s="1734">
        <v>65.92</v>
      </c>
      <c r="F139" s="1656"/>
      <c r="G139" s="1040"/>
    </row>
    <row r="140" spans="1:7">
      <c r="A140" s="930">
        <v>45736</v>
      </c>
      <c r="B140" s="1752" t="str">
        <f>TiposLancamentos!B8</f>
        <v>Aluguel</v>
      </c>
      <c r="C140" s="1832" t="s">
        <v>8955</v>
      </c>
      <c r="D140" s="1736"/>
      <c r="E140" s="1734">
        <v>8</v>
      </c>
      <c r="F140" s="1656"/>
      <c r="G140" s="1040"/>
    </row>
    <row r="141" spans="1:7">
      <c r="A141" s="921">
        <v>45736</v>
      </c>
      <c r="B141" s="1753" t="str">
        <f>TiposLancamentos!B34</f>
        <v>Seguros</v>
      </c>
      <c r="C141" s="1833" t="s">
        <v>9262</v>
      </c>
      <c r="D141" s="1737"/>
      <c r="E141" s="1668">
        <v>0</v>
      </c>
      <c r="F141" s="1518">
        <v>2730.9</v>
      </c>
      <c r="G141" s="1040"/>
    </row>
    <row r="142" spans="1:7">
      <c r="A142" s="884"/>
      <c r="B142" s="1754"/>
      <c r="C142" s="3" t="s">
        <v>1868</v>
      </c>
      <c r="D142" s="1736"/>
      <c r="E142" s="1043"/>
      <c r="F142" s="1656"/>
      <c r="G142" s="1040"/>
    </row>
    <row r="143" spans="1:7">
      <c r="A143" s="884">
        <v>45736</v>
      </c>
      <c r="B143" s="1748" t="str">
        <f>TiposLancamentos!B103</f>
        <v>Juros_Corr. Poupança</v>
      </c>
      <c r="C143" s="1203" t="s">
        <v>10230</v>
      </c>
      <c r="D143" s="1736">
        <v>12.27</v>
      </c>
      <c r="E143" s="1043"/>
      <c r="F143" s="1656"/>
      <c r="G143" s="1040"/>
    </row>
    <row r="144" spans="1:7">
      <c r="A144" s="884">
        <v>45736</v>
      </c>
      <c r="B144" s="1748" t="str">
        <f>TiposLancamentos!B105</f>
        <v>Transf. Bco</v>
      </c>
      <c r="C144" s="1203" t="s">
        <v>11712</v>
      </c>
      <c r="D144" s="1736"/>
      <c r="E144" s="1043">
        <v>1.51</v>
      </c>
      <c r="F144" s="1656"/>
      <c r="G144" s="1040"/>
    </row>
    <row r="145" spans="1:7">
      <c r="A145" s="919">
        <v>45736</v>
      </c>
      <c r="B145" s="1666" t="str">
        <f>TiposLancamentos!B39</f>
        <v>Playstation 5</v>
      </c>
      <c r="C145" s="915" t="s">
        <v>11713</v>
      </c>
      <c r="D145" s="1735"/>
      <c r="E145" s="1733">
        <v>179.9</v>
      </c>
      <c r="F145" s="1290"/>
      <c r="G145" s="1040"/>
    </row>
    <row r="146" spans="1:7">
      <c r="A146" s="921">
        <v>45736</v>
      </c>
      <c r="B146" s="1750" t="str">
        <f>TiposLancamentos!B60</f>
        <v>Correio</v>
      </c>
      <c r="C146" s="916" t="s">
        <v>11714</v>
      </c>
      <c r="D146" s="1737"/>
      <c r="E146" s="1668">
        <v>21</v>
      </c>
      <c r="F146" s="1518">
        <v>200.9</v>
      </c>
      <c r="G146" s="1040"/>
    </row>
    <row r="147" spans="1:7">
      <c r="A147" s="884">
        <v>45737</v>
      </c>
      <c r="B147" s="1748" t="str">
        <f>TiposLancamentos!B6</f>
        <v>Energia Eletrica</v>
      </c>
      <c r="C147" s="1203" t="s">
        <v>11715</v>
      </c>
      <c r="D147" s="1736"/>
      <c r="E147" s="1043">
        <v>290.64</v>
      </c>
      <c r="F147" s="1656"/>
      <c r="G147" s="1040"/>
    </row>
    <row r="148" spans="1:7">
      <c r="A148" s="884">
        <v>45737</v>
      </c>
      <c r="B148" s="1748" t="str">
        <f>TiposLancamentos!B13</f>
        <v>Moradia</v>
      </c>
      <c r="C148" s="1203" t="s">
        <v>11716</v>
      </c>
      <c r="D148" s="1736"/>
      <c r="E148" s="1043">
        <v>17</v>
      </c>
      <c r="F148" s="1656"/>
      <c r="G148" s="1040"/>
    </row>
    <row r="149" spans="1:7">
      <c r="A149" s="884">
        <v>45737</v>
      </c>
      <c r="B149" s="1748" t="str">
        <f>TiposLancamentos!B5</f>
        <v>Supermercado</v>
      </c>
      <c r="C149" s="1203" t="s">
        <v>1884</v>
      </c>
      <c r="D149" s="1736"/>
      <c r="E149" s="1043">
        <v>12.49</v>
      </c>
      <c r="F149" s="1656"/>
      <c r="G149" s="1040"/>
    </row>
    <row r="150" spans="1:7">
      <c r="A150" s="884">
        <v>45738</v>
      </c>
      <c r="B150" s="1748" t="str">
        <f>TiposLancamentos!B5</f>
        <v>Supermercado</v>
      </c>
      <c r="C150" s="1203" t="s">
        <v>1884</v>
      </c>
      <c r="D150" s="1736"/>
      <c r="E150" s="1043">
        <v>38.74</v>
      </c>
      <c r="F150" s="1656"/>
      <c r="G150" s="1040"/>
    </row>
    <row r="151" spans="1:7">
      <c r="A151" s="884">
        <v>45739</v>
      </c>
      <c r="B151" s="1748" t="str">
        <f>TiposLancamentos!B17</f>
        <v>GATO</v>
      </c>
      <c r="C151" s="1203" t="s">
        <v>11717</v>
      </c>
      <c r="D151" s="1736"/>
      <c r="E151" s="1043">
        <v>109.18</v>
      </c>
      <c r="F151" s="1656"/>
      <c r="G151" s="1040"/>
    </row>
    <row r="152" spans="1:7">
      <c r="A152" s="884">
        <v>45739</v>
      </c>
      <c r="B152" s="1748" t="str">
        <f>TiposLancamentos!B19</f>
        <v>Restaurantes</v>
      </c>
      <c r="C152" s="1203" t="s">
        <v>11718</v>
      </c>
      <c r="D152" s="1736"/>
      <c r="E152" s="1043">
        <v>207.02</v>
      </c>
      <c r="F152" s="1656"/>
      <c r="G152" s="1040"/>
    </row>
    <row r="153" spans="1:7">
      <c r="A153" s="884">
        <v>45739</v>
      </c>
      <c r="B153" s="1748" t="str">
        <f>TiposLancamentos!B19</f>
        <v>Restaurantes</v>
      </c>
      <c r="C153" s="1203" t="s">
        <v>11719</v>
      </c>
      <c r="D153" s="1736"/>
      <c r="E153" s="1043">
        <v>18.899999999999999</v>
      </c>
      <c r="F153" s="1656"/>
      <c r="G153" s="1040"/>
    </row>
    <row r="154" spans="1:7">
      <c r="A154" s="884">
        <v>45739</v>
      </c>
      <c r="B154" s="1748" t="str">
        <f>TiposLancamentos!B70</f>
        <v>Vestuário</v>
      </c>
      <c r="C154" s="1203" t="s">
        <v>11720</v>
      </c>
      <c r="D154" s="1736"/>
      <c r="E154" s="1043">
        <v>44.95</v>
      </c>
      <c r="F154" s="1656"/>
      <c r="G154" s="1040"/>
    </row>
    <row r="155" spans="1:7">
      <c r="A155" s="884">
        <v>45739</v>
      </c>
      <c r="B155" s="1748" t="str">
        <f>TiposLancamentos!B19</f>
        <v>Restaurantes</v>
      </c>
      <c r="C155" s="1203" t="s">
        <v>6448</v>
      </c>
      <c r="D155" s="1736"/>
      <c r="E155" s="1043">
        <v>18.899999999999999</v>
      </c>
      <c r="F155" s="1656"/>
      <c r="G155" s="1040"/>
    </row>
    <row r="156" spans="1:7">
      <c r="A156" s="919">
        <v>45740</v>
      </c>
      <c r="B156" s="1666" t="str">
        <f>TiposLancamentos!B56</f>
        <v>Farmácia</v>
      </c>
      <c r="C156" s="915" t="s">
        <v>11721</v>
      </c>
      <c r="D156" s="1735"/>
      <c r="E156" s="1733">
        <f>F157-E157</f>
        <v>131.1</v>
      </c>
      <c r="F156" s="1290"/>
      <c r="G156" s="1040"/>
    </row>
    <row r="157" spans="1:7">
      <c r="A157" s="921">
        <v>45740</v>
      </c>
      <c r="B157" s="1750" t="str">
        <f>B146</f>
        <v>Correio</v>
      </c>
      <c r="C157" s="916" t="s">
        <v>11722</v>
      </c>
      <c r="D157" s="1737"/>
      <c r="E157" s="1668">
        <v>6.9</v>
      </c>
      <c r="F157" s="1518">
        <v>138</v>
      </c>
      <c r="G157" s="1040"/>
    </row>
    <row r="158" spans="1:7">
      <c r="A158" s="884">
        <v>45740</v>
      </c>
      <c r="B158" s="1748" t="str">
        <f>TiposLancamentos!B5</f>
        <v>Supermercado</v>
      </c>
      <c r="C158" s="1203" t="s">
        <v>1884</v>
      </c>
      <c r="D158" s="1736"/>
      <c r="E158" s="1043">
        <v>11.28</v>
      </c>
      <c r="F158" s="1656"/>
      <c r="G158" s="1040"/>
    </row>
    <row r="159" spans="1:7">
      <c r="A159" s="884">
        <v>45740</v>
      </c>
      <c r="B159" s="1748" t="str">
        <f>TiposLancamentos!B5</f>
        <v>Supermercado</v>
      </c>
      <c r="C159" s="1203" t="s">
        <v>1884</v>
      </c>
      <c r="D159" s="1736"/>
      <c r="E159" s="1043">
        <v>9.68</v>
      </c>
      <c r="F159" s="1656"/>
      <c r="G159" s="1040"/>
    </row>
    <row r="160" spans="1:7">
      <c r="A160" s="884">
        <v>45740</v>
      </c>
      <c r="B160" s="1748" t="str">
        <f>TiposLancamentos!B5</f>
        <v>Supermercado</v>
      </c>
      <c r="C160" s="1203" t="s">
        <v>1884</v>
      </c>
      <c r="D160" s="1736"/>
      <c r="E160" s="1043">
        <v>14.99</v>
      </c>
      <c r="F160" s="1656"/>
      <c r="G160" s="1040"/>
    </row>
    <row r="161" spans="1:7">
      <c r="A161" s="884">
        <v>45741</v>
      </c>
      <c r="B161" s="1748" t="str">
        <f>TiposLancamentos!B32</f>
        <v>Clinicas e tratamentos</v>
      </c>
      <c r="C161" s="1203" t="s">
        <v>11723</v>
      </c>
      <c r="D161" s="1736"/>
      <c r="E161" s="1043">
        <v>193</v>
      </c>
      <c r="F161" s="1656"/>
      <c r="G161" s="1040"/>
    </row>
    <row r="162" spans="1:7">
      <c r="A162" s="884">
        <v>45741</v>
      </c>
      <c r="B162" s="1748" t="str">
        <f>TiposLancamentos!B71</f>
        <v>Itens Pessoais</v>
      </c>
      <c r="C162" s="1203" t="s">
        <v>11724</v>
      </c>
      <c r="D162" s="1736"/>
      <c r="E162" s="1043">
        <v>35</v>
      </c>
      <c r="F162" s="1656"/>
      <c r="G162" s="1040"/>
    </row>
    <row r="163" spans="1:7">
      <c r="A163" s="884">
        <v>45741</v>
      </c>
      <c r="B163" s="1748" t="str">
        <f>TiposLancamentos!B16</f>
        <v>Cristiane</v>
      </c>
      <c r="C163" s="1203" t="s">
        <v>11725</v>
      </c>
      <c r="D163" s="1736"/>
      <c r="E163" s="1043">
        <v>20.7</v>
      </c>
      <c r="F163" s="1656"/>
      <c r="G163" s="1040"/>
    </row>
    <row r="164" spans="1:7">
      <c r="A164" s="884">
        <v>45741</v>
      </c>
      <c r="B164" s="1748" t="str">
        <f>TiposLancamentos!B69</f>
        <v>Consertos</v>
      </c>
      <c r="C164" s="1203" t="s">
        <v>11726</v>
      </c>
      <c r="D164" s="1736"/>
      <c r="E164" s="1043">
        <v>130</v>
      </c>
      <c r="F164" s="1656"/>
      <c r="G164" s="1040"/>
    </row>
    <row r="165" spans="1:7">
      <c r="A165" s="884">
        <v>45741</v>
      </c>
      <c r="B165" s="1748" t="str">
        <f>TiposLancamentos!B19</f>
        <v>Restaurantes</v>
      </c>
      <c r="C165" s="1203" t="s">
        <v>11727</v>
      </c>
      <c r="D165" s="1736"/>
      <c r="E165" s="1043">
        <v>22</v>
      </c>
      <c r="F165" s="1656"/>
      <c r="G165" s="1040"/>
    </row>
    <row r="166" spans="1:7">
      <c r="A166" s="884">
        <v>45741</v>
      </c>
      <c r="B166" s="1748" t="str">
        <f>TiposLancamentos!B24</f>
        <v>Estacionamentos</v>
      </c>
      <c r="C166" s="1203" t="s">
        <v>7490</v>
      </c>
      <c r="D166" s="1736"/>
      <c r="E166" s="1043">
        <v>15</v>
      </c>
      <c r="F166" s="1656"/>
      <c r="G166" s="1040"/>
    </row>
    <row r="167" spans="1:7">
      <c r="A167" s="884">
        <v>45741</v>
      </c>
      <c r="B167" s="1748" t="str">
        <f>TiposLancamentos!B22</f>
        <v>Combustivel</v>
      </c>
      <c r="C167" s="1203" t="s">
        <v>11728</v>
      </c>
      <c r="D167" s="1736"/>
      <c r="E167" s="1043">
        <v>100</v>
      </c>
      <c r="F167" s="1656"/>
      <c r="G167" s="1040"/>
    </row>
    <row r="168" spans="1:7">
      <c r="A168" s="884">
        <v>45741</v>
      </c>
      <c r="B168" s="1748" t="str">
        <f>TiposLancamentos!B19</f>
        <v>Restaurantes</v>
      </c>
      <c r="C168" s="1203" t="s">
        <v>11729</v>
      </c>
      <c r="D168" s="1736"/>
      <c r="E168" s="1043">
        <v>58</v>
      </c>
      <c r="F168" s="1656"/>
      <c r="G168" s="1040"/>
    </row>
    <row r="169" spans="1:7">
      <c r="A169" s="884">
        <v>45741</v>
      </c>
      <c r="B169" s="1748" t="str">
        <f>TiposLancamentos!B5</f>
        <v>Supermercado</v>
      </c>
      <c r="C169" s="1203" t="s">
        <v>1943</v>
      </c>
      <c r="D169" s="1736"/>
      <c r="E169" s="1043">
        <v>35.86</v>
      </c>
      <c r="F169" s="1656"/>
      <c r="G169" s="1040"/>
    </row>
    <row r="170" spans="1:7">
      <c r="A170" s="919">
        <v>45742</v>
      </c>
      <c r="B170" s="1666" t="str">
        <f>TiposLancamentos!B37</f>
        <v>Playstation 3</v>
      </c>
      <c r="C170" s="915" t="s">
        <v>11730</v>
      </c>
      <c r="D170" s="1735"/>
      <c r="E170" s="1733">
        <v>95</v>
      </c>
      <c r="F170" s="1290"/>
      <c r="G170" s="1040"/>
    </row>
    <row r="171" spans="1:7">
      <c r="A171" s="930">
        <v>45742</v>
      </c>
      <c r="B171" s="1667" t="str">
        <f>TiposLancamentos!B37</f>
        <v>Playstation 3</v>
      </c>
      <c r="C171" s="88" t="s">
        <v>11731</v>
      </c>
      <c r="D171" s="1736"/>
      <c r="E171" s="1734">
        <v>47.5</v>
      </c>
      <c r="F171" s="1458"/>
      <c r="G171" s="1040"/>
    </row>
    <row r="172" spans="1:7">
      <c r="A172" s="930">
        <v>45742</v>
      </c>
      <c r="B172" s="1667" t="str">
        <f>TiposLancamentos!B37</f>
        <v>Playstation 3</v>
      </c>
      <c r="C172" s="88" t="s">
        <v>11732</v>
      </c>
      <c r="D172" s="1736"/>
      <c r="E172" s="1734">
        <v>47.5</v>
      </c>
      <c r="F172" s="1458"/>
      <c r="G172" s="1040"/>
    </row>
    <row r="173" spans="1:7">
      <c r="A173" s="921">
        <v>45742</v>
      </c>
      <c r="B173" s="1750" t="str">
        <f>TiposLancamentos!B37</f>
        <v>Playstation 3</v>
      </c>
      <c r="C173" s="916" t="s">
        <v>11733</v>
      </c>
      <c r="D173" s="1737"/>
      <c r="E173" s="1668">
        <v>28</v>
      </c>
      <c r="F173" s="1518">
        <f>SUM(E170:E173)</f>
        <v>218</v>
      </c>
      <c r="G173" s="1040"/>
    </row>
    <row r="174" spans="1:7">
      <c r="A174" s="884">
        <v>45742</v>
      </c>
      <c r="B174" s="1748" t="str">
        <f>TiposLancamentos!B54</f>
        <v>Metro</v>
      </c>
      <c r="C174" s="1203" t="s">
        <v>11734</v>
      </c>
      <c r="D174" s="1736"/>
      <c r="E174" s="1043">
        <v>149</v>
      </c>
      <c r="F174" s="1656"/>
      <c r="G174" s="1040"/>
    </row>
    <row r="175" spans="1:7">
      <c r="A175" s="884">
        <v>45742</v>
      </c>
      <c r="B175" s="1748" t="str">
        <f>TiposLancamentos!B5</f>
        <v>Supermercado</v>
      </c>
      <c r="C175" s="1203" t="s">
        <v>11685</v>
      </c>
      <c r="D175" s="1736"/>
      <c r="E175" s="1043">
        <v>30.9</v>
      </c>
      <c r="F175" s="1656"/>
      <c r="G175" s="1040"/>
    </row>
    <row r="176" spans="1:7">
      <c r="A176" s="884">
        <v>45743</v>
      </c>
      <c r="B176" s="1748" t="str">
        <f>TiposLancamentos!B16</f>
        <v>Cristiane</v>
      </c>
      <c r="C176" s="1203" t="s">
        <v>11735</v>
      </c>
      <c r="D176" s="1736"/>
      <c r="E176" s="1043">
        <v>31.8</v>
      </c>
      <c r="F176" s="1656"/>
      <c r="G176" s="1040"/>
    </row>
    <row r="177" spans="1:7">
      <c r="A177" s="884">
        <v>45744</v>
      </c>
      <c r="B177" s="1748" t="str">
        <f>TiposLancamentos!B5</f>
        <v>Supermercado</v>
      </c>
      <c r="C177" s="1203" t="s">
        <v>1884</v>
      </c>
      <c r="D177" s="1736"/>
      <c r="E177" s="1043">
        <v>15.97</v>
      </c>
      <c r="F177" s="1656"/>
      <c r="G177" s="1040"/>
    </row>
    <row r="178" spans="1:7">
      <c r="A178" s="884">
        <v>45744</v>
      </c>
      <c r="B178" s="1748" t="str">
        <f>TiposLancamentos!B13</f>
        <v>Moradia</v>
      </c>
      <c r="C178" s="1203" t="s">
        <v>8906</v>
      </c>
      <c r="D178" s="1736"/>
      <c r="E178" s="1043">
        <v>17</v>
      </c>
      <c r="F178" s="1656"/>
      <c r="G178" s="1040"/>
    </row>
    <row r="179" spans="1:7">
      <c r="A179" s="884">
        <v>45744</v>
      </c>
      <c r="B179" s="1748" t="str">
        <f>TiposLancamentos!B5</f>
        <v>Supermercado</v>
      </c>
      <c r="C179" s="1203" t="s">
        <v>11736</v>
      </c>
      <c r="D179" s="1736"/>
      <c r="E179" s="1043">
        <v>67.349999999999994</v>
      </c>
      <c r="F179" s="1656"/>
      <c r="G179" s="1040"/>
    </row>
    <row r="180" spans="1:7">
      <c r="A180" s="884">
        <v>45744</v>
      </c>
      <c r="B180" s="1748" t="str">
        <f>TiposLancamentos!B5</f>
        <v>Supermercado</v>
      </c>
      <c r="C180" s="1203" t="s">
        <v>11737</v>
      </c>
      <c r="D180" s="1736"/>
      <c r="E180" s="1043">
        <v>5.49</v>
      </c>
      <c r="F180" s="1656"/>
      <c r="G180" s="1040"/>
    </row>
    <row r="181" spans="1:7">
      <c r="A181" s="884">
        <v>45745</v>
      </c>
      <c r="B181" s="1748" t="str">
        <f>TiposLancamentos!B19</f>
        <v>Restaurantes</v>
      </c>
      <c r="C181" s="1203" t="s">
        <v>9793</v>
      </c>
      <c r="D181" s="1736"/>
      <c r="E181" s="1043">
        <v>83.27</v>
      </c>
      <c r="F181" s="1656"/>
      <c r="G181" s="1040"/>
    </row>
    <row r="182" spans="1:7">
      <c r="A182" s="884">
        <v>45745</v>
      </c>
      <c r="B182" s="1748" t="str">
        <f>TiposLancamentos!B5</f>
        <v>Supermercado</v>
      </c>
      <c r="C182" s="1203" t="s">
        <v>1884</v>
      </c>
      <c r="D182" s="1736"/>
      <c r="E182" s="1043">
        <v>24.75</v>
      </c>
      <c r="F182" s="1656"/>
      <c r="G182" s="1040"/>
    </row>
    <row r="183" spans="1:7">
      <c r="A183" s="884">
        <v>45745</v>
      </c>
      <c r="B183" s="1748" t="str">
        <f>TiposLancamentos!B19</f>
        <v>Restaurantes</v>
      </c>
      <c r="C183" s="1203" t="s">
        <v>11738</v>
      </c>
      <c r="D183" s="1736"/>
      <c r="E183" s="1043">
        <v>389.29</v>
      </c>
      <c r="F183" s="1656"/>
      <c r="G183" s="1040"/>
    </row>
    <row r="184" spans="1:7">
      <c r="A184" s="884">
        <v>45747</v>
      </c>
      <c r="B184" s="1748" t="str">
        <f>TiposLancamentos!B96</f>
        <v>Resg.Poup.</v>
      </c>
      <c r="C184" s="1203" t="s">
        <v>11739</v>
      </c>
      <c r="D184" s="1736">
        <v>8743.99</v>
      </c>
      <c r="E184" s="1043"/>
      <c r="F184" s="1656"/>
      <c r="G184" s="1040"/>
    </row>
    <row r="185" spans="1:7">
      <c r="A185" s="884">
        <v>45747</v>
      </c>
      <c r="B185" s="1748" t="str">
        <f>TiposLancamentos!B19</f>
        <v>Restaurantes</v>
      </c>
      <c r="C185" s="1203" t="s">
        <v>11740</v>
      </c>
      <c r="D185" s="1736"/>
      <c r="E185" s="1043">
        <v>51.4</v>
      </c>
      <c r="F185" s="1656"/>
      <c r="G185" s="1040"/>
    </row>
    <row r="186" spans="1:7">
      <c r="A186" s="884">
        <v>45747</v>
      </c>
      <c r="B186" s="1748" t="str">
        <f>TiposLancamentos!B57</f>
        <v>Informática</v>
      </c>
      <c r="C186" s="1203" t="s">
        <v>11741</v>
      </c>
      <c r="D186" s="1736"/>
      <c r="E186" s="1043">
        <v>250</v>
      </c>
      <c r="F186" s="1656"/>
      <c r="G186" s="1040"/>
    </row>
    <row r="187" spans="1:7" ht="14.25" thickBot="1">
      <c r="A187" s="884">
        <v>45747</v>
      </c>
      <c r="B187" s="1748" t="str">
        <f>TiposLancamentos!B103</f>
        <v>Juros_Corr. Poupança</v>
      </c>
      <c r="C187" s="1203" t="s">
        <v>4323</v>
      </c>
      <c r="D187" s="1736">
        <v>23.87</v>
      </c>
      <c r="E187" s="1043"/>
      <c r="F187" s="1656"/>
      <c r="G187" s="1040"/>
    </row>
    <row r="188" spans="1:7">
      <c r="A188" s="967"/>
      <c r="B188" s="1834"/>
      <c r="C188" s="1093" t="s">
        <v>1645</v>
      </c>
      <c r="D188" s="1823"/>
      <c r="E188" s="1821"/>
      <c r="F188" s="1823"/>
      <c r="G188" s="1823"/>
    </row>
    <row r="189" spans="1:7">
      <c r="A189" s="884">
        <v>45748</v>
      </c>
      <c r="B189" s="1748" t="str">
        <f>TiposLancamentos!B15</f>
        <v>Cartões de Crédito</v>
      </c>
      <c r="C189" s="1203" t="s">
        <v>9361</v>
      </c>
      <c r="D189" s="1736"/>
      <c r="E189" s="1043">
        <v>3090.56</v>
      </c>
      <c r="F189" s="1027"/>
      <c r="G189" s="1040"/>
    </row>
    <row r="190" spans="1:7">
      <c r="A190" s="884">
        <v>45748</v>
      </c>
      <c r="B190" s="1748" t="str">
        <f>TiposLancamentos!B15</f>
        <v>Cartões de Crédito</v>
      </c>
      <c r="C190" s="1203" t="s">
        <v>8016</v>
      </c>
      <c r="D190" s="1736"/>
      <c r="E190" s="1043">
        <v>2877.31</v>
      </c>
      <c r="F190" s="952"/>
      <c r="G190" s="1040"/>
    </row>
    <row r="191" spans="1:7">
      <c r="A191" s="884">
        <v>45748</v>
      </c>
      <c r="B191" s="1748" t="str">
        <f>TiposLancamentos!B15</f>
        <v>Cartões de Crédito</v>
      </c>
      <c r="C191" s="1203" t="s">
        <v>8252</v>
      </c>
      <c r="D191" s="1736"/>
      <c r="E191" s="1043">
        <v>604.13</v>
      </c>
      <c r="F191" s="952"/>
      <c r="G191" s="1040"/>
    </row>
    <row r="192" spans="1:7">
      <c r="A192" s="884">
        <v>45748</v>
      </c>
      <c r="B192" s="1748" t="str">
        <f>TiposLancamentos!B15</f>
        <v>Cartões de Crédito</v>
      </c>
      <c r="C192" s="1203" t="s">
        <v>9175</v>
      </c>
      <c r="D192" s="1736"/>
      <c r="E192" s="1043">
        <v>200</v>
      </c>
      <c r="F192" s="952"/>
      <c r="G192" s="1040"/>
    </row>
    <row r="193" spans="1:7">
      <c r="A193" s="884">
        <v>45748</v>
      </c>
      <c r="B193" s="1748" t="str">
        <f>TiposLancamentos!B15</f>
        <v>Cartões de Crédito</v>
      </c>
      <c r="C193" s="1203" t="s">
        <v>9174</v>
      </c>
      <c r="D193" s="1736"/>
      <c r="E193" s="1043">
        <v>27.9</v>
      </c>
      <c r="F193" s="952"/>
      <c r="G193" s="1040"/>
    </row>
    <row r="194" spans="1:7">
      <c r="A194" s="884">
        <v>45748</v>
      </c>
      <c r="B194" s="1748" t="str">
        <f>TiposLancamentos!B14</f>
        <v>Gás de cozinha</v>
      </c>
      <c r="C194" s="1203" t="s">
        <v>9132</v>
      </c>
      <c r="D194" s="1736"/>
      <c r="E194" s="1043">
        <v>55.16</v>
      </c>
      <c r="F194" s="952"/>
      <c r="G194" s="1040"/>
    </row>
    <row r="195" spans="1:7">
      <c r="A195" s="884">
        <v>45748</v>
      </c>
      <c r="B195" s="1748" t="str">
        <f>TiposLancamentos!B5</f>
        <v>Supermercado</v>
      </c>
      <c r="C195" s="1203" t="s">
        <v>1884</v>
      </c>
      <c r="D195" s="1736"/>
      <c r="E195" s="1043">
        <v>12.38</v>
      </c>
      <c r="F195" s="1027"/>
      <c r="G195" s="1040"/>
    </row>
    <row r="196" spans="1:7">
      <c r="A196" s="884">
        <v>45748</v>
      </c>
      <c r="B196" s="1748" t="str">
        <f>TiposLancamentos!B24</f>
        <v>Estacionamentos</v>
      </c>
      <c r="C196" s="1203" t="s">
        <v>1898</v>
      </c>
      <c r="D196" s="1736"/>
      <c r="E196" s="1043">
        <v>23</v>
      </c>
      <c r="F196" s="1027"/>
      <c r="G196" s="1040"/>
    </row>
    <row r="197" spans="1:7">
      <c r="A197" s="884">
        <v>45748</v>
      </c>
      <c r="B197" s="1748" t="str">
        <f>TiposLancamentos!B5</f>
        <v>Supermercado</v>
      </c>
      <c r="C197" s="1203" t="s">
        <v>11742</v>
      </c>
      <c r="D197" s="1736"/>
      <c r="E197" s="1043">
        <v>13.79</v>
      </c>
      <c r="F197" s="1027"/>
      <c r="G197" s="1040"/>
    </row>
    <row r="198" spans="1:7">
      <c r="A198" s="884">
        <v>45749</v>
      </c>
      <c r="B198" s="1748" t="str">
        <f>TiposLancamentos!B60</f>
        <v>Correio</v>
      </c>
      <c r="C198" s="1203" t="s">
        <v>11743</v>
      </c>
      <c r="D198" s="1736"/>
      <c r="E198" s="1043">
        <v>14</v>
      </c>
      <c r="F198" s="1027"/>
      <c r="G198" s="1040"/>
    </row>
    <row r="199" spans="1:7">
      <c r="A199" s="884">
        <v>45749</v>
      </c>
      <c r="B199" s="1748" t="str">
        <f>TiposLancamentos!B19</f>
        <v>Restaurantes</v>
      </c>
      <c r="C199" s="1203" t="s">
        <v>11744</v>
      </c>
      <c r="D199" s="1736"/>
      <c r="E199" s="1043">
        <v>71.58</v>
      </c>
      <c r="F199" s="1027"/>
      <c r="G199" s="1040"/>
    </row>
    <row r="200" spans="1:7">
      <c r="A200" s="884">
        <v>45749</v>
      </c>
      <c r="B200" s="1748" t="str">
        <f>TiposLancamentos!B24</f>
        <v>Estacionamentos</v>
      </c>
      <c r="C200" s="1203" t="s">
        <v>11745</v>
      </c>
      <c r="D200" s="1736"/>
      <c r="E200" s="1043">
        <v>12</v>
      </c>
      <c r="F200" s="1027"/>
      <c r="G200" s="1040"/>
    </row>
    <row r="201" spans="1:7">
      <c r="A201" s="884">
        <v>45749</v>
      </c>
      <c r="B201" s="1748" t="str">
        <f>TiposLancamentos!B7</f>
        <v>Apto. Proprio 01</v>
      </c>
      <c r="C201" s="1203" t="s">
        <v>11746</v>
      </c>
      <c r="D201" s="1736"/>
      <c r="E201" s="1043">
        <v>11199.49</v>
      </c>
      <c r="F201" s="1027"/>
      <c r="G201" s="1040"/>
    </row>
    <row r="202" spans="1:7">
      <c r="A202" s="884">
        <v>45749</v>
      </c>
      <c r="B202" s="1748" t="str">
        <f>TiposLancamentos!B19</f>
        <v>Restaurantes</v>
      </c>
      <c r="C202" s="1203" t="s">
        <v>11747</v>
      </c>
      <c r="D202" s="1736"/>
      <c r="E202" s="1043">
        <v>104.5</v>
      </c>
      <c r="F202" s="1027"/>
      <c r="G202" s="1040"/>
    </row>
    <row r="203" spans="1:7">
      <c r="A203" s="884">
        <v>45750</v>
      </c>
      <c r="B203" s="1748" t="str">
        <f>TiposLancamentos!B57</f>
        <v>Informática</v>
      </c>
      <c r="C203" s="1203" t="s">
        <v>11748</v>
      </c>
      <c r="D203" s="1736"/>
      <c r="E203" s="1043">
        <v>606.87</v>
      </c>
      <c r="F203" s="1027"/>
      <c r="G203" s="1040"/>
    </row>
    <row r="204" spans="1:7">
      <c r="A204" s="884">
        <v>45750</v>
      </c>
      <c r="B204" s="1748" t="str">
        <f>TiposLancamentos!B5</f>
        <v>Supermercado</v>
      </c>
      <c r="C204" s="1203" t="s">
        <v>11749</v>
      </c>
      <c r="D204" s="1736"/>
      <c r="E204" s="1043">
        <v>93.92</v>
      </c>
      <c r="F204" s="1027"/>
      <c r="G204" s="1040"/>
    </row>
    <row r="205" spans="1:7">
      <c r="A205" s="884">
        <v>45750</v>
      </c>
      <c r="B205" s="1748" t="str">
        <f>TiposLancamentos!B5</f>
        <v>Supermercado</v>
      </c>
      <c r="C205" s="1203" t="s">
        <v>8449</v>
      </c>
      <c r="D205" s="1736"/>
      <c r="E205" s="1043">
        <v>5.49</v>
      </c>
      <c r="F205" s="1027"/>
      <c r="G205" s="1040"/>
    </row>
    <row r="206" spans="1:7">
      <c r="A206" s="884">
        <v>45750</v>
      </c>
      <c r="B206" s="1748" t="str">
        <f>TiposLancamentos!B7</f>
        <v>Apto. Proprio 01</v>
      </c>
      <c r="C206" s="1203" t="s">
        <v>11750</v>
      </c>
      <c r="D206" s="1736"/>
      <c r="E206" s="1043">
        <v>77.209999999999994</v>
      </c>
      <c r="F206" s="1027"/>
      <c r="G206" s="1040"/>
    </row>
    <row r="207" spans="1:7">
      <c r="A207" s="884">
        <v>45692</v>
      </c>
      <c r="B207" s="1748" t="str">
        <f>TiposLancamentos!B97</f>
        <v>Deposito Terc.</v>
      </c>
      <c r="C207" s="1203" t="s">
        <v>11751</v>
      </c>
      <c r="D207" s="1736"/>
      <c r="E207" s="1043">
        <v>0.2</v>
      </c>
      <c r="F207" s="1027"/>
      <c r="G207" s="1040"/>
    </row>
    <row r="208" spans="1:7">
      <c r="A208" s="884">
        <v>45751</v>
      </c>
      <c r="B208" s="1748" t="str">
        <f>TiposLancamentos!B103</f>
        <v>Juros_Corr. Poupança</v>
      </c>
      <c r="C208" s="1203" t="s">
        <v>4323</v>
      </c>
      <c r="D208" s="1736">
        <v>2.63</v>
      </c>
      <c r="E208" s="1043"/>
      <c r="F208" s="1027"/>
      <c r="G208" s="1040"/>
    </row>
    <row r="209" spans="1:7">
      <c r="A209" s="884">
        <v>45752</v>
      </c>
      <c r="B209" s="1748" t="str">
        <f>TiposLancamentos!B57</f>
        <v>Informática</v>
      </c>
      <c r="C209" s="1203" t="s">
        <v>11752</v>
      </c>
      <c r="D209" s="1736"/>
      <c r="E209" s="1043">
        <v>169.9</v>
      </c>
      <c r="F209" s="1027"/>
      <c r="G209" s="1040"/>
    </row>
    <row r="210" spans="1:7">
      <c r="A210" s="884">
        <v>45752</v>
      </c>
      <c r="B210" s="1748" t="str">
        <f>TiposLancamentos!B16</f>
        <v>Cristiane</v>
      </c>
      <c r="C210" s="1203" t="s">
        <v>11753</v>
      </c>
      <c r="D210" s="1736"/>
      <c r="E210" s="1043">
        <v>51.8</v>
      </c>
      <c r="F210" s="1027"/>
      <c r="G210" s="1040"/>
    </row>
    <row r="211" spans="1:7">
      <c r="A211" s="884">
        <v>45752</v>
      </c>
      <c r="B211" s="1748" t="str">
        <f>TiposLancamentos!B5</f>
        <v>Supermercado</v>
      </c>
      <c r="C211" s="1203" t="s">
        <v>11742</v>
      </c>
      <c r="D211" s="1736"/>
      <c r="E211" s="1043">
        <v>12.38</v>
      </c>
      <c r="F211" s="1027"/>
      <c r="G211" s="1040"/>
    </row>
    <row r="212" spans="1:7">
      <c r="A212" s="884">
        <v>45752</v>
      </c>
      <c r="B212" s="1748" t="str">
        <f>TiposLancamentos!B57</f>
        <v>Informática</v>
      </c>
      <c r="C212" s="1203" t="s">
        <v>11754</v>
      </c>
      <c r="D212" s="1736"/>
      <c r="E212" s="1043">
        <v>269.89999999999998</v>
      </c>
      <c r="F212" s="1027"/>
      <c r="G212" s="1040"/>
    </row>
    <row r="213" spans="1:7">
      <c r="A213" s="884">
        <v>45753</v>
      </c>
      <c r="B213" s="1748" t="str">
        <f>TiposLancamentos!B5</f>
        <v>Supermercado</v>
      </c>
      <c r="C213" s="1203" t="s">
        <v>11755</v>
      </c>
      <c r="D213" s="1736"/>
      <c r="E213" s="1043">
        <v>16.899999999999999</v>
      </c>
      <c r="F213" s="1027"/>
      <c r="G213" s="1040"/>
    </row>
    <row r="214" spans="1:7">
      <c r="A214" s="884">
        <v>45753</v>
      </c>
      <c r="B214" s="1748" t="str">
        <f>TiposLancamentos!B19</f>
        <v>Restaurantes</v>
      </c>
      <c r="C214" s="1203" t="s">
        <v>11756</v>
      </c>
      <c r="D214" s="1736"/>
      <c r="E214" s="1043">
        <v>242</v>
      </c>
      <c r="F214" s="1027"/>
      <c r="G214" s="1040"/>
    </row>
    <row r="215" spans="1:7">
      <c r="A215" s="884">
        <v>45753</v>
      </c>
      <c r="B215" s="1748" t="str">
        <f>TiposLancamentos!B70</f>
        <v>Vestuário</v>
      </c>
      <c r="C215" s="1203" t="s">
        <v>11757</v>
      </c>
      <c r="D215" s="1736"/>
      <c r="E215" s="1043">
        <v>309.95999999999998</v>
      </c>
      <c r="F215" s="1027"/>
      <c r="G215" s="1040"/>
    </row>
    <row r="216" spans="1:7">
      <c r="A216" s="884">
        <v>45753</v>
      </c>
      <c r="B216" s="1748" t="str">
        <f>TiposLancamentos!B16</f>
        <v>Cristiane</v>
      </c>
      <c r="C216" s="1203" t="s">
        <v>11758</v>
      </c>
      <c r="D216" s="1736"/>
      <c r="E216" s="1043">
        <v>79.989999999999995</v>
      </c>
      <c r="F216" s="1027"/>
      <c r="G216" s="1040"/>
    </row>
    <row r="217" spans="1:7">
      <c r="A217" s="884">
        <v>45753</v>
      </c>
      <c r="B217" s="1748" t="str">
        <f>TiposLancamentos!B24</f>
        <v>Estacionamentos</v>
      </c>
      <c r="C217" s="1203" t="s">
        <v>11759</v>
      </c>
      <c r="D217" s="1736"/>
      <c r="E217" s="1043">
        <v>19</v>
      </c>
      <c r="F217" s="1027"/>
      <c r="G217" s="1040"/>
    </row>
    <row r="218" spans="1:7">
      <c r="A218" s="884">
        <v>45753</v>
      </c>
      <c r="B218" s="1748" t="str">
        <f>TiposLancamentos!B5</f>
        <v>Supermercado</v>
      </c>
      <c r="C218" s="1203" t="s">
        <v>1943</v>
      </c>
      <c r="D218" s="1736"/>
      <c r="E218" s="1043">
        <v>100</v>
      </c>
      <c r="F218" s="1027"/>
      <c r="G218" s="1040"/>
    </row>
    <row r="219" spans="1:7">
      <c r="A219" s="884">
        <v>45754</v>
      </c>
      <c r="B219" s="1748" t="str">
        <f>TiposLancamentos!B19</f>
        <v>Restaurantes</v>
      </c>
      <c r="C219" s="1203" t="s">
        <v>11760</v>
      </c>
      <c r="D219" s="1736"/>
      <c r="E219" s="1043">
        <v>72.11</v>
      </c>
      <c r="F219" s="1027"/>
      <c r="G219" s="1040"/>
    </row>
    <row r="220" spans="1:7">
      <c r="A220" s="884">
        <v>45754</v>
      </c>
      <c r="B220" s="1748" t="str">
        <f>TiposLancamentos!B19</f>
        <v>Restaurantes</v>
      </c>
      <c r="C220" s="1203" t="s">
        <v>11761</v>
      </c>
      <c r="D220" s="1736"/>
      <c r="E220" s="1043">
        <v>8.9</v>
      </c>
      <c r="F220" s="1027"/>
      <c r="G220" s="1040"/>
    </row>
    <row r="221" spans="1:7">
      <c r="A221" s="919">
        <v>45755</v>
      </c>
      <c r="B221" s="1666" t="str">
        <f>TiposLancamentos!B57</f>
        <v>Informática</v>
      </c>
      <c r="C221" s="915" t="s">
        <v>11762</v>
      </c>
      <c r="D221" s="1735"/>
      <c r="E221" s="1733">
        <v>55.98</v>
      </c>
      <c r="F221" s="1290"/>
      <c r="G221" s="1040"/>
    </row>
    <row r="222" spans="1:7">
      <c r="A222" s="921">
        <v>45755</v>
      </c>
      <c r="B222" s="1750" t="str">
        <f>TiposLancamentos!B60</f>
        <v>Correio</v>
      </c>
      <c r="C222" s="916" t="s">
        <v>11763</v>
      </c>
      <c r="D222" s="1737"/>
      <c r="E222" s="1668">
        <v>17.88</v>
      </c>
      <c r="F222" s="1518">
        <f>SUM(E221:E222)</f>
        <v>73.86</v>
      </c>
      <c r="G222" s="1040"/>
    </row>
    <row r="223" spans="1:7">
      <c r="A223" s="884">
        <v>45755</v>
      </c>
      <c r="B223" s="1748" t="str">
        <f>TiposLancamentos!B17</f>
        <v>GATO</v>
      </c>
      <c r="C223" s="1203" t="s">
        <v>11764</v>
      </c>
      <c r="D223" s="1736"/>
      <c r="E223" s="1043">
        <v>191.1</v>
      </c>
      <c r="F223" s="1027"/>
      <c r="G223" s="1040"/>
    </row>
    <row r="224" spans="1:7">
      <c r="A224" s="884">
        <v>45756</v>
      </c>
      <c r="B224" s="1748" t="str">
        <f>TiposLancamentos!B103</f>
        <v>Juros_Corr. Poupança</v>
      </c>
      <c r="C224" s="1203" t="s">
        <v>4323</v>
      </c>
      <c r="D224" s="1736">
        <v>1.82</v>
      </c>
      <c r="E224" s="1043"/>
      <c r="F224" s="1027"/>
      <c r="G224" s="1040"/>
    </row>
    <row r="225" spans="1:7">
      <c r="A225" s="884">
        <v>45756</v>
      </c>
      <c r="B225" s="1748" t="str">
        <f>TiposLancamentos!B105</f>
        <v>Transf. Bco</v>
      </c>
      <c r="C225" s="1203" t="s">
        <v>10192</v>
      </c>
      <c r="D225" s="1736"/>
      <c r="E225" s="1043">
        <v>12197.95</v>
      </c>
      <c r="F225" s="1027"/>
      <c r="G225" s="1040"/>
    </row>
    <row r="226" spans="1:7">
      <c r="A226" s="884">
        <v>45757</v>
      </c>
      <c r="B226" s="1748" t="str">
        <f>TiposLancamentos!B96</f>
        <v>Resg.Poup.</v>
      </c>
      <c r="C226" s="1203" t="s">
        <v>11765</v>
      </c>
      <c r="D226" s="1736">
        <v>7930.63</v>
      </c>
      <c r="E226" s="1043"/>
      <c r="F226" s="1027"/>
      <c r="G226" s="1040"/>
    </row>
    <row r="227" spans="1:7">
      <c r="A227" s="884">
        <v>45757</v>
      </c>
      <c r="B227" s="1748" t="str">
        <f>TiposLancamentos!B105</f>
        <v>Transf. Bco</v>
      </c>
      <c r="C227" s="1203" t="s">
        <v>10192</v>
      </c>
      <c r="D227" s="1736"/>
      <c r="E227" s="1043">
        <v>7930.63</v>
      </c>
      <c r="F227" s="1027"/>
      <c r="G227" s="1040"/>
    </row>
    <row r="228" spans="1:7">
      <c r="A228" s="967"/>
      <c r="B228" s="1834"/>
      <c r="C228" s="1093" t="s">
        <v>1646</v>
      </c>
      <c r="D228" s="1823"/>
      <c r="E228" s="1821"/>
      <c r="F228" s="1823"/>
      <c r="G228" s="1823"/>
    </row>
    <row r="229" spans="1:7">
      <c r="A229" s="884"/>
      <c r="B229" s="1748"/>
      <c r="C229" s="1203" t="s">
        <v>1947</v>
      </c>
      <c r="D229" s="1736"/>
      <c r="E229" s="1043"/>
      <c r="F229" s="1027"/>
      <c r="G229" s="1040"/>
    </row>
    <row r="230" spans="1:7">
      <c r="A230" s="967"/>
      <c r="B230" s="1834"/>
      <c r="C230" s="1093" t="s">
        <v>11766</v>
      </c>
      <c r="D230" s="1823"/>
      <c r="E230" s="1821"/>
      <c r="F230" s="1823"/>
      <c r="G230" s="1823"/>
    </row>
    <row r="231" spans="1:7">
      <c r="A231" s="884"/>
      <c r="B231" s="1748"/>
      <c r="C231" s="1203" t="s">
        <v>1947</v>
      </c>
      <c r="D231" s="1736"/>
      <c r="E231" s="1043"/>
      <c r="F231" s="1027"/>
      <c r="G231" s="1040"/>
    </row>
    <row r="232" spans="1:7">
      <c r="A232" s="967"/>
      <c r="B232" s="1834"/>
      <c r="C232" s="1093" t="s">
        <v>10271</v>
      </c>
      <c r="D232" s="1823"/>
      <c r="E232" s="1821"/>
      <c r="F232" s="1823"/>
      <c r="G232" s="1823"/>
    </row>
    <row r="233" spans="1:7" ht="14.25" thickBot="1">
      <c r="A233" s="884"/>
      <c r="B233" s="1748"/>
      <c r="C233" s="1203" t="s">
        <v>1947</v>
      </c>
      <c r="D233" s="1736"/>
      <c r="E233" s="1043"/>
      <c r="F233" s="1027"/>
      <c r="G233" s="1040"/>
    </row>
    <row r="234" spans="1:7">
      <c r="A234" s="967"/>
      <c r="B234" s="1834"/>
      <c r="C234" s="1093" t="s">
        <v>9593</v>
      </c>
      <c r="D234" s="1823"/>
      <c r="E234" s="1821"/>
      <c r="F234" s="1823"/>
      <c r="G234" s="1823"/>
    </row>
    <row r="235" spans="1:7" ht="14.25" thickBot="1">
      <c r="A235" s="884"/>
      <c r="B235" s="1748"/>
      <c r="C235" s="1203" t="s">
        <v>1947</v>
      </c>
      <c r="D235" s="1736"/>
      <c r="E235" s="1043"/>
      <c r="F235" s="1027"/>
      <c r="G235" s="1040"/>
    </row>
    <row r="236" spans="1:7">
      <c r="A236" s="967"/>
      <c r="B236" s="1834"/>
      <c r="C236" s="1093" t="s">
        <v>9611</v>
      </c>
      <c r="D236" s="1823"/>
      <c r="E236" s="1821"/>
      <c r="F236" s="1823"/>
      <c r="G236" s="1823"/>
    </row>
    <row r="237" spans="1:7">
      <c r="A237" s="884"/>
      <c r="B237" s="1748"/>
      <c r="C237" s="1203" t="s">
        <v>1947</v>
      </c>
      <c r="D237" s="1736"/>
      <c r="E237" s="1043"/>
      <c r="F237" s="1027"/>
      <c r="G237" s="1040"/>
    </row>
    <row r="238" spans="1:7">
      <c r="A238" s="884">
        <v>45923</v>
      </c>
      <c r="B238" s="1748" t="str">
        <f>TiposLancamentos!B96</f>
        <v>Resg.Poup.</v>
      </c>
      <c r="C238" s="1203" t="s">
        <v>11767</v>
      </c>
      <c r="D238" s="1736">
        <v>360.65</v>
      </c>
      <c r="E238" s="1043"/>
      <c r="F238" s="1027"/>
      <c r="G238" s="1040"/>
    </row>
    <row r="239" spans="1:7">
      <c r="A239" s="884">
        <v>45924</v>
      </c>
      <c r="B239" s="1748" t="str">
        <f>TiposLancamentos!B37</f>
        <v>Playstation 3</v>
      </c>
      <c r="C239" s="1203" t="s">
        <v>11768</v>
      </c>
      <c r="D239" s="1736"/>
      <c r="E239" s="1043">
        <v>30</v>
      </c>
      <c r="F239" s="1027"/>
      <c r="G239" s="1040"/>
    </row>
    <row r="240" spans="1:7">
      <c r="A240" s="967"/>
      <c r="B240" s="1834"/>
      <c r="C240" s="1093" t="s">
        <v>9611</v>
      </c>
      <c r="D240" s="1823"/>
      <c r="E240" s="1821"/>
      <c r="F240" s="1823"/>
      <c r="G240" s="1823"/>
    </row>
    <row r="241" spans="1:7">
      <c r="A241" s="884">
        <v>45932</v>
      </c>
      <c r="B241" s="1748" t="str">
        <f>TiposLancamentos!B96</f>
        <v>Resg.Poup.</v>
      </c>
      <c r="C241" s="1203" t="s">
        <v>11769</v>
      </c>
      <c r="D241" s="1736">
        <v>10665.19</v>
      </c>
      <c r="E241" s="1043"/>
      <c r="F241" s="1027"/>
      <c r="G241" s="1040"/>
    </row>
    <row r="242" spans="1:7">
      <c r="A242" s="884">
        <v>45932</v>
      </c>
      <c r="B242" s="1748" t="str">
        <f>TiposLancamentos!B105</f>
        <v>Transf. Bco</v>
      </c>
      <c r="C242" s="1203" t="s">
        <v>9491</v>
      </c>
      <c r="D242" s="1736"/>
      <c r="E242" s="1043">
        <v>1344.38</v>
      </c>
      <c r="F242" s="1027"/>
      <c r="G242" s="1040"/>
    </row>
    <row r="243" spans="1:7" ht="14.25" thickBot="1">
      <c r="A243" s="884">
        <v>45932</v>
      </c>
      <c r="B243" s="1748" t="str">
        <f>TiposLancamentos!B105</f>
        <v>Transf. Bco</v>
      </c>
      <c r="C243" s="1203" t="s">
        <v>11770</v>
      </c>
      <c r="D243" s="1736"/>
      <c r="E243" s="1043">
        <v>9651.4599999999991</v>
      </c>
      <c r="F243" s="1027"/>
      <c r="G243" s="1040"/>
    </row>
    <row r="244" spans="1:7">
      <c r="A244" s="967"/>
      <c r="B244" s="1834"/>
      <c r="C244" s="1093" t="s">
        <v>9629</v>
      </c>
      <c r="D244" s="1823"/>
      <c r="E244" s="1821"/>
      <c r="F244" s="1823"/>
      <c r="G244" s="1823"/>
    </row>
    <row r="245" spans="1:7" ht="14.25" thickBot="1">
      <c r="A245" s="884"/>
      <c r="B245" s="1748"/>
      <c r="C245" s="1203" t="s">
        <v>1947</v>
      </c>
      <c r="D245" s="1736"/>
      <c r="E245" s="1043"/>
      <c r="F245" s="1027"/>
      <c r="G245" s="1040"/>
    </row>
    <row r="246" spans="1:7">
      <c r="A246" s="967"/>
      <c r="B246" s="1834"/>
      <c r="C246" s="1093" t="s">
        <v>11771</v>
      </c>
      <c r="D246" s="1823"/>
      <c r="E246" s="1821"/>
      <c r="F246" s="1823"/>
      <c r="G246" s="1823"/>
    </row>
    <row r="247" spans="1:7" ht="14.25" thickBot="1">
      <c r="A247" s="884"/>
      <c r="B247" s="1748"/>
      <c r="C247" s="1203" t="s">
        <v>1947</v>
      </c>
      <c r="D247" s="1736"/>
      <c r="E247" s="1043"/>
      <c r="F247" s="1027"/>
      <c r="G247" s="1040"/>
    </row>
    <row r="248" spans="1:7">
      <c r="A248" s="967"/>
      <c r="B248" s="1834"/>
      <c r="C248" s="1093" t="s">
        <v>11772</v>
      </c>
      <c r="D248" s="1823"/>
      <c r="E248" s="1821"/>
      <c r="F248" s="1823"/>
      <c r="G248" s="1823"/>
    </row>
    <row r="249" spans="1:7" ht="14.25" thickBot="1">
      <c r="A249" s="884"/>
      <c r="B249" s="1748"/>
      <c r="C249" s="1203" t="s">
        <v>1947</v>
      </c>
      <c r="D249" s="1736"/>
      <c r="E249" s="1043"/>
      <c r="F249" s="1027"/>
      <c r="G249" s="1040"/>
    </row>
    <row r="250" spans="1:7">
      <c r="A250" s="967"/>
      <c r="B250" s="1834"/>
      <c r="C250" s="1093" t="s">
        <v>1654</v>
      </c>
      <c r="D250" s="1823"/>
      <c r="E250" s="1821"/>
      <c r="F250" s="1823"/>
      <c r="G250" s="1823"/>
    </row>
    <row r="251" spans="1:7" ht="14.25" thickBot="1">
      <c r="A251" s="884"/>
      <c r="B251" s="1748"/>
      <c r="C251" s="1203" t="s">
        <v>1947</v>
      </c>
      <c r="D251" s="1736"/>
      <c r="E251" s="1043"/>
      <c r="F251" s="1027"/>
      <c r="G251" s="1040"/>
    </row>
    <row r="252" spans="1:7">
      <c r="A252" s="967"/>
      <c r="B252" s="1834"/>
      <c r="C252" s="1093" t="s">
        <v>2360</v>
      </c>
      <c r="D252" s="1823"/>
      <c r="E252" s="1821"/>
      <c r="F252" s="1823"/>
      <c r="G252" s="1823"/>
    </row>
    <row r="253" spans="1:7">
      <c r="A253" s="884">
        <v>46055</v>
      </c>
      <c r="B253" s="1748" t="str">
        <f>TiposLancamentos!B96</f>
        <v>Resg.Poup.</v>
      </c>
      <c r="C253" s="1203" t="s">
        <v>11773</v>
      </c>
      <c r="D253" s="1736">
        <v>55.33</v>
      </c>
      <c r="E253" s="1043"/>
      <c r="F253" s="1027"/>
      <c r="G253" s="1040"/>
    </row>
    <row r="254" spans="1:7">
      <c r="A254" s="884">
        <v>46055</v>
      </c>
      <c r="B254" s="1748" t="str">
        <f>TiposLancamentos!B105</f>
        <v>Transf. Bco</v>
      </c>
      <c r="C254" s="1203" t="s">
        <v>11774</v>
      </c>
      <c r="D254" s="1736"/>
      <c r="E254" s="1043">
        <v>50</v>
      </c>
      <c r="F254" s="1027"/>
      <c r="G254" s="1040"/>
    </row>
    <row r="255" spans="1:7" ht="14.25" thickBot="1">
      <c r="A255" s="884">
        <v>46055</v>
      </c>
      <c r="B255" s="1748" t="str">
        <f>TiposLancamentos!B105</f>
        <v>Transf. Bco</v>
      </c>
      <c r="C255" s="1203" t="s">
        <v>11775</v>
      </c>
      <c r="D255" s="1736"/>
      <c r="E255" s="1043">
        <v>5.33</v>
      </c>
      <c r="F255" s="1027"/>
      <c r="G255" s="1040"/>
    </row>
    <row r="256" spans="1:7">
      <c r="A256" s="967"/>
      <c r="B256" s="1834"/>
      <c r="C256" s="1093" t="s">
        <v>1656</v>
      </c>
      <c r="D256" s="1823"/>
      <c r="E256" s="1821"/>
      <c r="F256" s="1823"/>
      <c r="G256" s="1823"/>
    </row>
    <row r="257" spans="1:7">
      <c r="A257" s="884"/>
      <c r="B257" s="1748"/>
      <c r="C257" s="1203"/>
      <c r="D257" s="1736"/>
      <c r="E257" s="1043"/>
      <c r="F257" s="1027"/>
      <c r="G257" s="1040"/>
    </row>
    <row r="258" spans="1:7">
      <c r="A258" s="884"/>
      <c r="B258" s="1748"/>
      <c r="C258" s="1203"/>
      <c r="D258" s="1736"/>
      <c r="E258" s="1043"/>
      <c r="F258" s="1027"/>
      <c r="G258" s="1040"/>
    </row>
    <row r="259" spans="1:7">
      <c r="A259" s="884"/>
      <c r="B259" s="1748"/>
      <c r="C259" s="1203"/>
      <c r="D259" s="1736"/>
      <c r="E259" s="1043"/>
      <c r="F259" s="1027"/>
      <c r="G259" s="1040"/>
    </row>
    <row r="260" spans="1:7">
      <c r="A260" s="884"/>
      <c r="B260" s="1748"/>
      <c r="C260" s="1203"/>
      <c r="D260" s="1736"/>
      <c r="E260" s="1043"/>
      <c r="F260" s="1027"/>
      <c r="G260" s="1040"/>
    </row>
    <row r="261" spans="1:7">
      <c r="A261" s="884"/>
      <c r="B261" s="1748"/>
      <c r="C261" s="1203"/>
      <c r="D261" s="1736"/>
      <c r="E261" s="1043"/>
      <c r="F261" s="1027"/>
      <c r="G261" s="1040"/>
    </row>
    <row r="262" spans="1:7">
      <c r="A262" s="884"/>
      <c r="B262" s="1748"/>
      <c r="C262" s="1203"/>
      <c r="D262" s="1736"/>
      <c r="E262" s="1043"/>
      <c r="F262" s="1027"/>
      <c r="G262" s="1040"/>
    </row>
    <row r="263" spans="1:7">
      <c r="A263" s="884"/>
      <c r="B263" s="1748"/>
      <c r="C263" s="1203"/>
      <c r="D263" s="1736"/>
      <c r="E263" s="1043"/>
      <c r="F263" s="1027"/>
      <c r="G263" s="1040"/>
    </row>
    <row r="264" spans="1:7">
      <c r="A264" s="884"/>
      <c r="B264" s="1748"/>
      <c r="C264" s="1203"/>
      <c r="D264" s="1736"/>
      <c r="E264" s="1043"/>
      <c r="F264" s="1027"/>
      <c r="G264" s="1040"/>
    </row>
    <row r="265" spans="1:7">
      <c r="A265" s="884"/>
      <c r="B265" s="1748"/>
      <c r="C265" s="1203"/>
      <c r="D265" s="1736"/>
      <c r="E265" s="1043"/>
      <c r="F265" s="1027"/>
      <c r="G265" s="1040"/>
    </row>
    <row r="266" spans="1:7">
      <c r="A266" s="884"/>
      <c r="B266" s="1748"/>
      <c r="C266" s="1203"/>
      <c r="D266" s="1736"/>
      <c r="E266" s="1043"/>
      <c r="F266" s="1027"/>
      <c r="G266" s="1040"/>
    </row>
    <row r="267" spans="1:7">
      <c r="A267" s="884"/>
      <c r="B267" s="1748"/>
      <c r="C267" s="1203"/>
      <c r="D267" s="1736"/>
      <c r="E267" s="1043"/>
      <c r="F267" s="1027"/>
      <c r="G267" s="1040"/>
    </row>
    <row r="268" spans="1:7">
      <c r="A268" s="884"/>
      <c r="B268" s="1748"/>
      <c r="C268" s="1203"/>
      <c r="D268" s="1736"/>
      <c r="E268" s="1043"/>
      <c r="F268" s="1027"/>
      <c r="G268" s="1040"/>
    </row>
    <row r="269" spans="1:7">
      <c r="A269" s="884"/>
      <c r="B269" s="1748"/>
      <c r="C269" s="1203"/>
      <c r="D269" s="1736"/>
      <c r="E269" s="1043"/>
      <c r="F269" s="1027"/>
      <c r="G269" s="1040"/>
    </row>
    <row r="270" spans="1:7">
      <c r="A270" s="884"/>
      <c r="B270" s="1748"/>
      <c r="C270" s="1203"/>
      <c r="D270" s="1736"/>
      <c r="E270" s="1043"/>
      <c r="F270" s="1027"/>
      <c r="G270" s="1040"/>
    </row>
    <row r="271" spans="1:7">
      <c r="A271" s="884"/>
      <c r="B271" s="1748"/>
      <c r="C271" s="1203"/>
      <c r="D271" s="1736"/>
      <c r="E271" s="1043"/>
      <c r="F271" s="1027"/>
      <c r="G271" s="1040"/>
    </row>
    <row r="272" spans="1:7" ht="14.25" thickBot="1">
      <c r="A272" s="885"/>
      <c r="B272" s="1755"/>
      <c r="C272" s="1829"/>
      <c r="D272" s="1738"/>
      <c r="E272" s="1044"/>
      <c r="F272" s="1437"/>
      <c r="G272" s="1711"/>
    </row>
    <row r="273" spans="1:6" ht="14.25" thickBot="1">
      <c r="A273" s="1073"/>
      <c r="B273" s="1074"/>
      <c r="C273" s="1764" t="s">
        <v>12</v>
      </c>
      <c r="D273" s="1822">
        <f>SUM(D2:D272)</f>
        <v>302587.35000000003</v>
      </c>
      <c r="E273" s="1765">
        <f>SUM(E2:E272)</f>
        <v>302587.35000000009</v>
      </c>
      <c r="F273" s="1078">
        <f>SUM(F6:F272)</f>
        <v>64727.740000000005</v>
      </c>
    </row>
    <row r="274" spans="1:6" ht="14.25" thickBot="1">
      <c r="A274" s="1028"/>
      <c r="B274" s="1079"/>
      <c r="C274" s="1764" t="s">
        <v>13</v>
      </c>
      <c r="D274" s="1731"/>
      <c r="E274" s="1766">
        <f>D273-E273</f>
        <v>0</v>
      </c>
      <c r="F274" s="1437"/>
    </row>
    <row r="275" spans="1:6">
      <c r="A275" s="65"/>
      <c r="B275" s="65"/>
      <c r="E275" s="1763">
        <v>0</v>
      </c>
    </row>
    <row r="276" spans="1:6">
      <c r="A276" s="65"/>
      <c r="B276" s="65"/>
      <c r="E276" s="35">
        <f>IF(E275&lt;&gt;0,E274-E275,0)</f>
        <v>0</v>
      </c>
    </row>
    <row r="277" spans="1:6">
      <c r="A277" s="65"/>
      <c r="B277" s="65"/>
    </row>
    <row r="278" spans="1:6">
      <c r="C278" s="23"/>
      <c r="D278" s="25" t="s">
        <v>14</v>
      </c>
      <c r="E278" s="303" t="s">
        <v>15</v>
      </c>
      <c r="F278" s="25" t="s">
        <v>16</v>
      </c>
    </row>
    <row r="279" spans="1:6">
      <c r="B279" s="77" t="s">
        <v>17</v>
      </c>
      <c r="C279" s="36"/>
      <c r="D279" s="60"/>
      <c r="E279" s="34">
        <f>E274</f>
        <v>0</v>
      </c>
      <c r="F279" s="62">
        <f>D279+E279</f>
        <v>0</v>
      </c>
    </row>
  </sheetData>
  <conditionalFormatting sqref="E14">
    <cfRule type="cellIs" dxfId="158" priority="13" stopIfTrue="1" operator="lessThan">
      <formula>0</formula>
    </cfRule>
  </conditionalFormatting>
  <conditionalFormatting sqref="E17">
    <cfRule type="cellIs" dxfId="157" priority="14" stopIfTrue="1" operator="lessThan">
      <formula>0</formula>
    </cfRule>
  </conditionalFormatting>
  <conditionalFormatting sqref="E19">
    <cfRule type="cellIs" dxfId="156" priority="15" stopIfTrue="1" operator="lessThan">
      <formula>0</formula>
    </cfRule>
  </conditionalFormatting>
  <conditionalFormatting sqref="E21">
    <cfRule type="cellIs" dxfId="155" priority="16" stopIfTrue="1" operator="lessThan">
      <formula>0</formula>
    </cfRule>
  </conditionalFormatting>
  <conditionalFormatting sqref="E27">
    <cfRule type="cellIs" dxfId="154" priority="17" stopIfTrue="1" operator="lessThan">
      <formula>0</formula>
    </cfRule>
  </conditionalFormatting>
  <conditionalFormatting sqref="E41">
    <cfRule type="cellIs" dxfId="153" priority="18" stopIfTrue="1" operator="lessThan">
      <formula>0</formula>
    </cfRule>
  </conditionalFormatting>
  <conditionalFormatting sqref="E44">
    <cfRule type="cellIs" dxfId="152" priority="19" stopIfTrue="1" operator="lessThan">
      <formula>0</formula>
    </cfRule>
  </conditionalFormatting>
  <conditionalFormatting sqref="E47">
    <cfRule type="cellIs" dxfId="151" priority="20" stopIfTrue="1" operator="lessThan">
      <formula>0</formula>
    </cfRule>
  </conditionalFormatting>
  <conditionalFormatting sqref="E50">
    <cfRule type="cellIs" dxfId="150" priority="21" stopIfTrue="1" operator="lessThan">
      <formula>0</formula>
    </cfRule>
  </conditionalFormatting>
  <conditionalFormatting sqref="E52">
    <cfRule type="cellIs" dxfId="149" priority="22" stopIfTrue="1" operator="lessThan">
      <formula>0</formula>
    </cfRule>
  </conditionalFormatting>
  <conditionalFormatting sqref="E55">
    <cfRule type="cellIs" dxfId="148" priority="23" stopIfTrue="1" operator="lessThan">
      <formula>0</formula>
    </cfRule>
  </conditionalFormatting>
  <conditionalFormatting sqref="E58">
    <cfRule type="cellIs" dxfId="147" priority="24" stopIfTrue="1" operator="lessThan">
      <formula>0</formula>
    </cfRule>
  </conditionalFormatting>
  <conditionalFormatting sqref="E61">
    <cfRule type="cellIs" dxfId="146" priority="25" stopIfTrue="1" operator="lessThan">
      <formula>0</formula>
    </cfRule>
  </conditionalFormatting>
  <conditionalFormatting sqref="E65">
    <cfRule type="cellIs" dxfId="145" priority="26" stopIfTrue="1" operator="lessThan">
      <formula>0</formula>
    </cfRule>
  </conditionalFormatting>
  <conditionalFormatting sqref="E74">
    <cfRule type="cellIs" dxfId="144" priority="27" stopIfTrue="1" operator="lessThan">
      <formula>0</formula>
    </cfRule>
  </conditionalFormatting>
  <conditionalFormatting sqref="E79">
    <cfRule type="cellIs" dxfId="143" priority="28" stopIfTrue="1" operator="lessThan">
      <formula>0</formula>
    </cfRule>
  </conditionalFormatting>
  <conditionalFormatting sqref="E82">
    <cfRule type="cellIs" dxfId="142" priority="29" stopIfTrue="1" operator="lessThan">
      <formula>0</formula>
    </cfRule>
  </conditionalFormatting>
  <conditionalFormatting sqref="E87">
    <cfRule type="cellIs" dxfId="141" priority="30" stopIfTrue="1" operator="lessThan">
      <formula>0</formula>
    </cfRule>
  </conditionalFormatting>
  <conditionalFormatting sqref="E142">
    <cfRule type="cellIs" dxfId="140" priority="32" stopIfTrue="1" operator="lessThan">
      <formula>0</formula>
    </cfRule>
  </conditionalFormatting>
  <conditionalFormatting sqref="E188">
    <cfRule type="cellIs" dxfId="139" priority="31" stopIfTrue="1" operator="lessThan">
      <formula>0</formula>
    </cfRule>
  </conditionalFormatting>
  <conditionalFormatting sqref="E228">
    <cfRule type="cellIs" dxfId="138" priority="12" stopIfTrue="1" operator="lessThan">
      <formula>0</formula>
    </cfRule>
  </conditionalFormatting>
  <conditionalFormatting sqref="E230">
    <cfRule type="cellIs" dxfId="137" priority="11" stopIfTrue="1" operator="lessThan">
      <formula>0</formula>
    </cfRule>
  </conditionalFormatting>
  <conditionalFormatting sqref="E232">
    <cfRule type="cellIs" dxfId="136" priority="10" stopIfTrue="1" operator="lessThan">
      <formula>0</formula>
    </cfRule>
  </conditionalFormatting>
  <conditionalFormatting sqref="E234">
    <cfRule type="cellIs" dxfId="135" priority="9" stopIfTrue="1" operator="lessThan">
      <formula>0</formula>
    </cfRule>
  </conditionalFormatting>
  <conditionalFormatting sqref="E236">
    <cfRule type="cellIs" dxfId="134" priority="8" stopIfTrue="1" operator="lessThan">
      <formula>0</formula>
    </cfRule>
  </conditionalFormatting>
  <conditionalFormatting sqref="E240">
    <cfRule type="cellIs" dxfId="133" priority="7" stopIfTrue="1" operator="lessThan">
      <formula>0</formula>
    </cfRule>
  </conditionalFormatting>
  <conditionalFormatting sqref="E244">
    <cfRule type="cellIs" dxfId="132" priority="6" stopIfTrue="1" operator="lessThan">
      <formula>0</formula>
    </cfRule>
  </conditionalFormatting>
  <conditionalFormatting sqref="E246">
    <cfRule type="cellIs" dxfId="131" priority="5" stopIfTrue="1" operator="lessThan">
      <formula>0</formula>
    </cfRule>
  </conditionalFormatting>
  <conditionalFormatting sqref="E248">
    <cfRule type="cellIs" dxfId="130" priority="4" stopIfTrue="1" operator="lessThan">
      <formula>0</formula>
    </cfRule>
  </conditionalFormatting>
  <conditionalFormatting sqref="E250">
    <cfRule type="cellIs" dxfId="129" priority="3" stopIfTrue="1" operator="lessThan">
      <formula>0</formula>
    </cfRule>
  </conditionalFormatting>
  <conditionalFormatting sqref="E252">
    <cfRule type="cellIs" dxfId="128" priority="2" stopIfTrue="1" operator="lessThan">
      <formula>0</formula>
    </cfRule>
  </conditionalFormatting>
  <conditionalFormatting sqref="E256">
    <cfRule type="cellIs" dxfId="127" priority="1" stopIfTrue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ilha17"/>
  <dimension ref="A1:K1490"/>
  <sheetViews>
    <sheetView zoomScaleNormal="100" workbookViewId="0">
      <pane ySplit="1" topLeftCell="A1455" activePane="bottomLeft" state="frozen"/>
      <selection pane="bottomLeft" activeCell="B1469" sqref="B1469"/>
      <selection activeCell="B75" sqref="B75"/>
    </sheetView>
  </sheetViews>
  <sheetFormatPr defaultColWidth="9" defaultRowHeight="13.5"/>
  <cols>
    <col min="1" max="1" width="13.7109375" style="3" bestFit="1" customWidth="1"/>
    <col min="2" max="2" width="21.42578125" style="3" customWidth="1"/>
    <col min="3" max="3" width="48.42578125" style="3" customWidth="1"/>
    <col min="4" max="4" width="17.28515625" style="3" bestFit="1" customWidth="1"/>
    <col min="5" max="5" width="17" style="221" customWidth="1"/>
    <col min="6" max="6" width="16.5703125" style="3" bestFit="1" customWidth="1"/>
    <col min="7" max="7" width="8.42578125" style="3" customWidth="1"/>
    <col min="8" max="8" width="16" style="3" bestFit="1" customWidth="1"/>
    <col min="9" max="10" width="9" style="3"/>
    <col min="11" max="11" width="10.140625" style="3" bestFit="1" customWidth="1"/>
    <col min="12" max="16384" width="9" style="3"/>
  </cols>
  <sheetData>
    <row r="1" spans="1:7" ht="14.25" thickBot="1">
      <c r="A1" s="1758" t="s">
        <v>0</v>
      </c>
      <c r="B1" s="1758" t="s">
        <v>1</v>
      </c>
      <c r="C1" s="1759" t="s">
        <v>2</v>
      </c>
      <c r="D1" s="1760" t="s">
        <v>3</v>
      </c>
      <c r="E1" s="1552" t="s">
        <v>4</v>
      </c>
      <c r="F1" s="1553" t="s">
        <v>5</v>
      </c>
      <c r="G1" s="1553" t="s">
        <v>6</v>
      </c>
    </row>
    <row r="2" spans="1:7">
      <c r="A2" s="1754"/>
      <c r="B2" s="1748"/>
      <c r="C2" s="1740" t="s">
        <v>7</v>
      </c>
      <c r="D2" s="1736"/>
      <c r="E2" s="952"/>
      <c r="F2" s="1027"/>
    </row>
    <row r="3" spans="1:7">
      <c r="A3" s="1754">
        <v>44287</v>
      </c>
      <c r="B3" s="1748" t="str">
        <f>TiposLancamentos!B78</f>
        <v>Diferenças</v>
      </c>
      <c r="C3" s="1740" t="s">
        <v>11776</v>
      </c>
      <c r="D3" s="1736">
        <v>271.93</v>
      </c>
      <c r="E3" s="952"/>
      <c r="F3" s="1027"/>
    </row>
    <row r="4" spans="1:7">
      <c r="A4" s="1754">
        <v>44298</v>
      </c>
      <c r="B4" s="1748" t="str">
        <f>TiposLancamentos!B77</f>
        <v>Esporádico</v>
      </c>
      <c r="C4" s="1740" t="s">
        <v>8</v>
      </c>
      <c r="D4" s="1736">
        <v>0.01</v>
      </c>
      <c r="E4" s="952"/>
      <c r="F4" s="1027"/>
    </row>
    <row r="5" spans="1:7">
      <c r="A5" s="1754">
        <v>44298</v>
      </c>
      <c r="B5" s="1748" t="str">
        <f>TiposLancamentos!B78</f>
        <v>Diferenças</v>
      </c>
      <c r="C5" s="1740" t="s">
        <v>8</v>
      </c>
      <c r="D5" s="1736"/>
      <c r="E5" s="952">
        <v>0.01</v>
      </c>
      <c r="F5" s="1027"/>
    </row>
    <row r="6" spans="1:7">
      <c r="A6" s="1756"/>
      <c r="B6" s="1749"/>
      <c r="C6" s="1741" t="s">
        <v>10</v>
      </c>
      <c r="D6" s="1690"/>
      <c r="E6" s="1231"/>
      <c r="F6" s="1231"/>
      <c r="G6" s="1094" t="s">
        <v>11</v>
      </c>
    </row>
    <row r="7" spans="1:7">
      <c r="A7" s="1754">
        <v>44302</v>
      </c>
      <c r="B7" s="1748" t="str">
        <f>TiposLancamentos!B5</f>
        <v>Supermercado</v>
      </c>
      <c r="C7" s="1740" t="s">
        <v>7904</v>
      </c>
      <c r="D7" s="1736"/>
      <c r="E7" s="952">
        <v>110.49</v>
      </c>
      <c r="F7" s="1027"/>
    </row>
    <row r="8" spans="1:7">
      <c r="A8" s="1754">
        <v>44304</v>
      </c>
      <c r="B8" s="1748" t="str">
        <f>B7</f>
        <v>Supermercado</v>
      </c>
      <c r="C8" s="1740" t="s">
        <v>11777</v>
      </c>
      <c r="D8" s="1736"/>
      <c r="E8" s="952">
        <v>18.55</v>
      </c>
      <c r="F8" s="1027"/>
    </row>
    <row r="9" spans="1:7">
      <c r="A9" s="1756"/>
      <c r="B9" s="1749"/>
      <c r="C9" s="1741" t="s">
        <v>10</v>
      </c>
      <c r="D9" s="1690"/>
      <c r="E9" s="1231"/>
      <c r="F9" s="1231"/>
    </row>
    <row r="10" spans="1:7">
      <c r="A10" s="1666">
        <v>44307</v>
      </c>
      <c r="B10" s="1751" t="str">
        <f>TiposLancamentos!B57</f>
        <v>Informática</v>
      </c>
      <c r="C10" s="1742" t="s">
        <v>11778</v>
      </c>
      <c r="D10" s="1735"/>
      <c r="E10" s="920">
        <v>255.78</v>
      </c>
      <c r="F10" s="1614"/>
      <c r="G10" s="1152" t="s">
        <v>9</v>
      </c>
    </row>
    <row r="11" spans="1:7">
      <c r="A11" s="1750">
        <v>44307</v>
      </c>
      <c r="B11" s="1753" t="str">
        <f>TiposLancamentos!B57</f>
        <v>Informática</v>
      </c>
      <c r="C11" s="1743" t="s">
        <v>11779</v>
      </c>
      <c r="D11" s="1737"/>
      <c r="E11" s="922">
        <f>F11-E10</f>
        <v>114.02000000000001</v>
      </c>
      <c r="F11" s="1548">
        <v>369.8</v>
      </c>
      <c r="G11" s="1152" t="s">
        <v>9</v>
      </c>
    </row>
    <row r="12" spans="1:7">
      <c r="A12" s="1754">
        <v>44316</v>
      </c>
      <c r="B12" s="1748" t="str">
        <f>TiposLancamentos!B57</f>
        <v>Informática</v>
      </c>
      <c r="C12" s="1740" t="s">
        <v>11780</v>
      </c>
      <c r="D12" s="1736"/>
      <c r="E12" s="952">
        <v>4.9000000000000004</v>
      </c>
      <c r="F12" s="1027"/>
      <c r="G12" s="1152" t="s">
        <v>9</v>
      </c>
    </row>
    <row r="13" spans="1:7" ht="14.25" thickBot="1">
      <c r="A13" s="1754">
        <v>44316</v>
      </c>
      <c r="B13" s="1748" t="str">
        <f>TiposLancamentos!B19</f>
        <v>Restaurantes</v>
      </c>
      <c r="C13" s="1740" t="s">
        <v>11781</v>
      </c>
      <c r="D13" s="1736"/>
      <c r="E13" s="952">
        <v>64</v>
      </c>
      <c r="F13" s="1027"/>
      <c r="G13" s="1152" t="s">
        <v>9</v>
      </c>
    </row>
    <row r="14" spans="1:7">
      <c r="A14" s="1814"/>
      <c r="B14" s="1809"/>
      <c r="C14" s="1799" t="s">
        <v>11782</v>
      </c>
      <c r="D14" s="1794"/>
      <c r="E14" s="1788"/>
      <c r="F14" s="1078">
        <f>SUM(E7:E8)</f>
        <v>129.04</v>
      </c>
    </row>
    <row r="15" spans="1:7">
      <c r="A15" s="1754">
        <v>44318</v>
      </c>
      <c r="B15" s="1748" t="str">
        <f>TiposLancamentos!B15</f>
        <v>Cartões de Crédito</v>
      </c>
      <c r="C15" s="1740" t="s">
        <v>8016</v>
      </c>
      <c r="D15" s="1736">
        <v>129.04</v>
      </c>
      <c r="E15" s="952"/>
      <c r="F15" s="1027"/>
      <c r="G15" s="1152" t="s">
        <v>9</v>
      </c>
    </row>
    <row r="16" spans="1:7">
      <c r="A16" s="1754">
        <v>44321</v>
      </c>
      <c r="B16" s="1748" t="str">
        <f>TiposLancamentos!B29</f>
        <v>Mangá</v>
      </c>
      <c r="C16" s="1740" t="s">
        <v>11783</v>
      </c>
      <c r="D16" s="1736"/>
      <c r="E16" s="952">
        <v>33.85</v>
      </c>
      <c r="F16" s="1027"/>
      <c r="G16" s="1152" t="s">
        <v>9</v>
      </c>
    </row>
    <row r="17" spans="1:7">
      <c r="A17" s="1754">
        <v>44324</v>
      </c>
      <c r="B17" s="1748" t="str">
        <f>TiposLancamentos!B19</f>
        <v>Restaurantes</v>
      </c>
      <c r="C17" s="1740" t="s">
        <v>11784</v>
      </c>
      <c r="D17" s="1736"/>
      <c r="E17" s="952">
        <v>64</v>
      </c>
      <c r="F17" s="1027"/>
      <c r="G17" s="1152" t="s">
        <v>9</v>
      </c>
    </row>
    <row r="18" spans="1:7">
      <c r="A18" s="1754">
        <v>44326</v>
      </c>
      <c r="B18" s="1748" t="str">
        <f>TiposLancamentos!B26</f>
        <v>LIVROS</v>
      </c>
      <c r="C18" s="1740" t="s">
        <v>11785</v>
      </c>
      <c r="D18" s="1736"/>
      <c r="E18" s="952">
        <v>32.19</v>
      </c>
      <c r="F18" s="1027"/>
      <c r="G18" s="1152" t="s">
        <v>9</v>
      </c>
    </row>
    <row r="19" spans="1:7">
      <c r="A19" s="1754">
        <v>44326</v>
      </c>
      <c r="B19" s="1748" t="str">
        <f>TiposLancamentos!B26</f>
        <v>LIVROS</v>
      </c>
      <c r="C19" s="1740" t="s">
        <v>11786</v>
      </c>
      <c r="D19" s="1736"/>
      <c r="E19" s="952">
        <v>32.19</v>
      </c>
      <c r="F19" s="1027">
        <f>SUM(E18:E19)</f>
        <v>64.38</v>
      </c>
      <c r="G19" s="1152" t="s">
        <v>9</v>
      </c>
    </row>
    <row r="20" spans="1:7">
      <c r="A20" s="1754">
        <v>44327</v>
      </c>
      <c r="B20" s="1748" t="str">
        <f>TiposLancamentos!B26</f>
        <v>LIVROS</v>
      </c>
      <c r="C20" s="1740" t="s">
        <v>11787</v>
      </c>
      <c r="D20" s="1736"/>
      <c r="E20" s="952">
        <v>47.19</v>
      </c>
      <c r="F20" s="1027"/>
      <c r="G20" s="1152" t="s">
        <v>9</v>
      </c>
    </row>
    <row r="21" spans="1:7">
      <c r="A21" s="1754">
        <v>44327</v>
      </c>
      <c r="B21" s="1748" t="str">
        <f>TiposLancamentos!B19</f>
        <v>Restaurantes</v>
      </c>
      <c r="C21" s="1740" t="s">
        <v>8999</v>
      </c>
      <c r="D21" s="1736"/>
      <c r="E21" s="952">
        <v>52.5</v>
      </c>
      <c r="F21" s="1027"/>
      <c r="G21" s="1152" t="s">
        <v>9</v>
      </c>
    </row>
    <row r="22" spans="1:7">
      <c r="A22" s="1754">
        <v>44328</v>
      </c>
      <c r="B22" s="1748" t="str">
        <f>TiposLancamentos!B16</f>
        <v>Cristiane</v>
      </c>
      <c r="C22" s="1740" t="s">
        <v>11788</v>
      </c>
      <c r="D22" s="1736"/>
      <c r="E22" s="952">
        <v>49.79</v>
      </c>
      <c r="F22" s="1027"/>
      <c r="G22" s="1152" t="s">
        <v>9</v>
      </c>
    </row>
    <row r="23" spans="1:7">
      <c r="A23" s="1754">
        <v>44328</v>
      </c>
      <c r="B23" s="1748" t="str">
        <f>TiposLancamentos!B19</f>
        <v>Restaurantes</v>
      </c>
      <c r="C23" s="1740" t="s">
        <v>8482</v>
      </c>
      <c r="D23" s="1736"/>
      <c r="E23" s="952">
        <v>26.2</v>
      </c>
      <c r="F23" s="1027"/>
      <c r="G23" s="1152" t="s">
        <v>9</v>
      </c>
    </row>
    <row r="24" spans="1:7">
      <c r="A24" s="1754">
        <v>44330</v>
      </c>
      <c r="B24" s="1748" t="str">
        <f>TiposLancamentos!B16</f>
        <v>Cristiane</v>
      </c>
      <c r="C24" s="1740" t="s">
        <v>11789</v>
      </c>
      <c r="D24" s="1736"/>
      <c r="E24" s="952">
        <v>279</v>
      </c>
      <c r="F24" s="1027"/>
      <c r="G24" s="1152" t="s">
        <v>9</v>
      </c>
    </row>
    <row r="25" spans="1:7">
      <c r="A25" s="1756"/>
      <c r="B25" s="1749"/>
      <c r="C25" s="1741" t="s">
        <v>10</v>
      </c>
      <c r="D25" s="1690"/>
      <c r="E25" s="1231"/>
      <c r="F25" s="1231"/>
    </row>
    <row r="26" spans="1:7">
      <c r="A26" s="1754">
        <v>44336</v>
      </c>
      <c r="B26" s="1748" t="str">
        <f>TiposLancamentos!B19</f>
        <v>Restaurantes</v>
      </c>
      <c r="C26" s="1740" t="s">
        <v>8192</v>
      </c>
      <c r="D26" s="1736"/>
      <c r="E26" s="952">
        <v>52.5</v>
      </c>
      <c r="F26" s="1027"/>
      <c r="G26" s="1152" t="s">
        <v>9</v>
      </c>
    </row>
    <row r="27" spans="1:7">
      <c r="A27" s="1754">
        <v>44338</v>
      </c>
      <c r="B27" s="1748" t="str">
        <f>TiposLancamentos!B71</f>
        <v>Itens Pessoais</v>
      </c>
      <c r="C27" s="1740" t="s">
        <v>11790</v>
      </c>
      <c r="D27" s="1736"/>
      <c r="E27" s="952">
        <v>166.9</v>
      </c>
      <c r="F27" s="1027"/>
      <c r="G27" s="1152" t="s">
        <v>9</v>
      </c>
    </row>
    <row r="28" spans="1:7">
      <c r="A28" s="1754">
        <v>44338</v>
      </c>
      <c r="B28" s="1748" t="str">
        <f>TiposLancamentos!B17</f>
        <v>GATO</v>
      </c>
      <c r="C28" s="1740" t="s">
        <v>11791</v>
      </c>
      <c r="D28" s="1736"/>
      <c r="E28" s="952">
        <v>63.81</v>
      </c>
      <c r="F28" s="1027">
        <f>SUM(E27:E28)</f>
        <v>230.71</v>
      </c>
      <c r="G28" s="1152" t="s">
        <v>9</v>
      </c>
    </row>
    <row r="29" spans="1:7">
      <c r="A29" s="1754">
        <v>44342</v>
      </c>
      <c r="B29" s="1748" t="str">
        <f>TiposLancamentos!B19</f>
        <v>Restaurantes</v>
      </c>
      <c r="C29" s="1740" t="s">
        <v>11792</v>
      </c>
      <c r="D29" s="1736"/>
      <c r="E29" s="952">
        <v>70.5</v>
      </c>
      <c r="F29" s="1027"/>
      <c r="G29" s="1152" t="s">
        <v>9</v>
      </c>
    </row>
    <row r="30" spans="1:7">
      <c r="A30" s="1754">
        <v>44343</v>
      </c>
      <c r="B30" s="1748" t="str">
        <f>TiposLancamentos!B19</f>
        <v>Restaurantes</v>
      </c>
      <c r="C30" s="1740" t="s">
        <v>11793</v>
      </c>
      <c r="D30" s="1736"/>
      <c r="E30" s="952">
        <v>52.5</v>
      </c>
      <c r="F30" s="1027"/>
      <c r="G30" s="1152" t="s">
        <v>9</v>
      </c>
    </row>
    <row r="31" spans="1:7">
      <c r="A31" s="1666">
        <v>44343</v>
      </c>
      <c r="B31" s="1751" t="str">
        <f>TiposLancamentos!B57</f>
        <v>Informática</v>
      </c>
      <c r="C31" s="1742" t="s">
        <v>11794</v>
      </c>
      <c r="D31" s="1735"/>
      <c r="E31" s="920">
        <v>344.9</v>
      </c>
      <c r="F31" s="1614"/>
      <c r="G31" s="1152" t="s">
        <v>9</v>
      </c>
    </row>
    <row r="32" spans="1:7" ht="27">
      <c r="A32" s="1750">
        <v>44343</v>
      </c>
      <c r="B32" s="1753" t="str">
        <f>TiposLancamentos!B16</f>
        <v>Cristiane</v>
      </c>
      <c r="C32" s="1800" t="s">
        <v>11795</v>
      </c>
      <c r="D32" s="1737"/>
      <c r="E32" s="922">
        <f>F32-E31</f>
        <v>123</v>
      </c>
      <c r="F32" s="1548">
        <v>467.9</v>
      </c>
      <c r="G32" s="1368" t="s">
        <v>9</v>
      </c>
    </row>
    <row r="33" spans="1:7" ht="14.25" thickBot="1">
      <c r="A33" s="1754">
        <v>44345</v>
      </c>
      <c r="B33" s="1748" t="str">
        <f>TiposLancamentos!B71</f>
        <v>Itens Pessoais</v>
      </c>
      <c r="C33" s="1740" t="s">
        <v>11796</v>
      </c>
      <c r="D33" s="1736"/>
      <c r="E33" s="952">
        <v>62.57</v>
      </c>
      <c r="F33" s="1027"/>
      <c r="G33" s="1152" t="s">
        <v>9</v>
      </c>
    </row>
    <row r="34" spans="1:7">
      <c r="A34" s="1814"/>
      <c r="B34" s="1809"/>
      <c r="C34" s="1799" t="s">
        <v>11797</v>
      </c>
      <c r="D34" s="1794"/>
      <c r="E34" s="1788"/>
      <c r="F34" s="1078">
        <f>SUM(E10:E24)</f>
        <v>1055.6100000000001</v>
      </c>
    </row>
    <row r="35" spans="1:7">
      <c r="A35" s="1754">
        <v>44348</v>
      </c>
      <c r="B35" s="1748" t="str">
        <f>TiposLancamentos!B15</f>
        <v>Cartões de Crédito</v>
      </c>
      <c r="C35" s="1740" t="s">
        <v>1874</v>
      </c>
      <c r="D35" s="1736">
        <v>1055.6099999999999</v>
      </c>
      <c r="E35" s="952"/>
      <c r="F35" s="1027">
        <f>F34-F14</f>
        <v>926.57000000000016</v>
      </c>
    </row>
    <row r="36" spans="1:7">
      <c r="A36" s="1754">
        <v>44349</v>
      </c>
      <c r="B36" s="1748" t="str">
        <f>TiposLancamentos!B102</f>
        <v>ESTORNO</v>
      </c>
      <c r="C36" s="1740" t="s">
        <v>11795</v>
      </c>
      <c r="D36" s="1736">
        <v>123</v>
      </c>
      <c r="E36" s="952"/>
      <c r="F36" s="1027"/>
      <c r="G36" s="1094" t="s">
        <v>11</v>
      </c>
    </row>
    <row r="37" spans="1:7">
      <c r="A37" s="1754">
        <v>44349</v>
      </c>
      <c r="B37" s="1748" t="str">
        <f>TiposLancamentos!B45</f>
        <v>Online Services</v>
      </c>
      <c r="C37" s="1740" t="s">
        <v>11798</v>
      </c>
      <c r="D37" s="1736"/>
      <c r="E37" s="952">
        <v>14.85</v>
      </c>
      <c r="F37" s="1027"/>
      <c r="G37" s="1368" t="s">
        <v>9</v>
      </c>
    </row>
    <row r="38" spans="1:7">
      <c r="A38" s="1754">
        <v>44349</v>
      </c>
      <c r="B38" s="1748" t="str">
        <f>TiposLancamentos!B19</f>
        <v>Restaurantes</v>
      </c>
      <c r="C38" s="1740" t="s">
        <v>11799</v>
      </c>
      <c r="D38" s="1736"/>
      <c r="E38" s="952">
        <v>64</v>
      </c>
      <c r="F38" s="1027"/>
      <c r="G38" s="1368" t="s">
        <v>9</v>
      </c>
    </row>
    <row r="39" spans="1:7">
      <c r="A39" s="1754">
        <v>44359</v>
      </c>
      <c r="B39" s="1748" t="str">
        <f>TiposLancamentos!B65</f>
        <v>Taxi</v>
      </c>
      <c r="C39" s="1740" t="s">
        <v>11800</v>
      </c>
      <c r="D39" s="1736"/>
      <c r="E39" s="952">
        <v>14.97</v>
      </c>
      <c r="F39" s="1027"/>
      <c r="G39" s="1368" t="s">
        <v>9</v>
      </c>
    </row>
    <row r="40" spans="1:7">
      <c r="A40" s="1756"/>
      <c r="B40" s="1749"/>
      <c r="C40" s="1741" t="s">
        <v>10</v>
      </c>
      <c r="D40" s="1690"/>
      <c r="E40" s="1231"/>
      <c r="F40" s="1231"/>
      <c r="G40" s="1094" t="s">
        <v>11</v>
      </c>
    </row>
    <row r="41" spans="1:7" ht="14.25" thickBot="1">
      <c r="A41" s="1754">
        <v>44370</v>
      </c>
      <c r="B41" s="1748" t="str">
        <f>TiposLancamentos!B19</f>
        <v>Restaurantes</v>
      </c>
      <c r="C41" s="1740" t="s">
        <v>8655</v>
      </c>
      <c r="D41" s="1736"/>
      <c r="E41" s="952">
        <v>48.6</v>
      </c>
      <c r="F41" s="1027"/>
      <c r="G41" s="1368" t="s">
        <v>9</v>
      </c>
    </row>
    <row r="42" spans="1:7">
      <c r="A42" s="1814"/>
      <c r="B42" s="1809"/>
      <c r="C42" s="1799" t="s">
        <v>8110</v>
      </c>
      <c r="D42" s="1794"/>
      <c r="E42" s="1788"/>
      <c r="F42" s="1078">
        <f>SUM(E26:E39)-D36</f>
        <v>907.5</v>
      </c>
      <c r="G42" s="1368" t="s">
        <v>9</v>
      </c>
    </row>
    <row r="43" spans="1:7">
      <c r="A43" s="1754">
        <v>44378</v>
      </c>
      <c r="B43" s="1748" t="str">
        <f>TiposLancamentos!B15</f>
        <v>Cartões de Crédito</v>
      </c>
      <c r="C43" s="1740" t="s">
        <v>1874</v>
      </c>
      <c r="D43" s="1736">
        <v>907.5</v>
      </c>
      <c r="E43" s="952"/>
      <c r="F43" s="1027">
        <f>F42-F34</f>
        <v>-148.11000000000013</v>
      </c>
    </row>
    <row r="44" spans="1:7">
      <c r="A44" s="1756"/>
      <c r="B44" s="1749"/>
      <c r="C44" s="1741" t="s">
        <v>10</v>
      </c>
      <c r="D44" s="1690"/>
      <c r="E44" s="1231"/>
      <c r="F44" s="1231"/>
      <c r="G44" s="1094" t="s">
        <v>11</v>
      </c>
    </row>
    <row r="45" spans="1:7" ht="14.25" thickBot="1">
      <c r="A45" s="1754">
        <v>44402</v>
      </c>
      <c r="B45" s="1748" t="str">
        <f>TiposLancamentos!B44</f>
        <v>Academia</v>
      </c>
      <c r="C45" s="1740" t="s">
        <v>11287</v>
      </c>
      <c r="D45" s="1736"/>
      <c r="E45" s="952">
        <v>99.9</v>
      </c>
      <c r="F45" s="1027"/>
    </row>
    <row r="46" spans="1:7">
      <c r="A46" s="1814"/>
      <c r="B46" s="1809"/>
      <c r="C46" s="1799" t="s">
        <v>8168</v>
      </c>
      <c r="D46" s="1794"/>
      <c r="E46" s="1788"/>
      <c r="F46" s="1078">
        <f>SUM(E41:E43)</f>
        <v>48.6</v>
      </c>
    </row>
    <row r="47" spans="1:7">
      <c r="A47" s="1754">
        <v>44410</v>
      </c>
      <c r="B47" s="1748" t="str">
        <f>TiposLancamentos!B15</f>
        <v>Cartões de Crédito</v>
      </c>
      <c r="C47" s="1740" t="s">
        <v>1874</v>
      </c>
      <c r="D47" s="1736">
        <v>48.6</v>
      </c>
      <c r="E47" s="952"/>
      <c r="F47" s="1027">
        <f>F46-F42</f>
        <v>-858.9</v>
      </c>
    </row>
    <row r="48" spans="1:7">
      <c r="A48" s="1756"/>
      <c r="B48" s="1749"/>
      <c r="C48" s="1741" t="s">
        <v>10</v>
      </c>
      <c r="D48" s="1690"/>
      <c r="E48" s="1231"/>
      <c r="F48" s="1231"/>
      <c r="G48" s="1094" t="s">
        <v>11</v>
      </c>
    </row>
    <row r="49" spans="1:7">
      <c r="A49" s="1754">
        <v>44428</v>
      </c>
      <c r="B49" s="1748" t="str">
        <f>TiposLancamentos!B65</f>
        <v>Taxi</v>
      </c>
      <c r="C49" s="1740" t="s">
        <v>11801</v>
      </c>
      <c r="D49" s="1736"/>
      <c r="E49" s="952">
        <v>20.9</v>
      </c>
      <c r="F49" s="1027"/>
      <c r="G49" s="1368" t="s">
        <v>9</v>
      </c>
    </row>
    <row r="50" spans="1:7">
      <c r="A50" s="1754">
        <v>44428</v>
      </c>
      <c r="B50" s="1748" t="str">
        <f>TiposLancamentos!B65</f>
        <v>Taxi</v>
      </c>
      <c r="C50" s="1740" t="s">
        <v>11802</v>
      </c>
      <c r="D50" s="1736"/>
      <c r="E50" s="952">
        <v>18.98</v>
      </c>
      <c r="F50" s="1027"/>
      <c r="G50" s="1368" t="s">
        <v>9</v>
      </c>
    </row>
    <row r="51" spans="1:7">
      <c r="A51" s="1754">
        <v>44432</v>
      </c>
      <c r="B51" s="1748" t="str">
        <f>TiposLancamentos!B44</f>
        <v>Academia</v>
      </c>
      <c r="C51" s="1740" t="s">
        <v>11287</v>
      </c>
      <c r="D51" s="1736"/>
      <c r="E51" s="952">
        <v>99.9</v>
      </c>
      <c r="F51" s="1027"/>
      <c r="G51" s="1368" t="s">
        <v>9</v>
      </c>
    </row>
    <row r="52" spans="1:7" ht="14.25" thickBot="1">
      <c r="A52" s="1754">
        <v>44434</v>
      </c>
      <c r="B52" s="1748" t="str">
        <f>TiposLancamentos!B71</f>
        <v>Itens Pessoais</v>
      </c>
      <c r="C52" s="1740" t="s">
        <v>11803</v>
      </c>
      <c r="D52" s="1736"/>
      <c r="E52" s="952">
        <v>37.24</v>
      </c>
      <c r="F52" s="1027"/>
      <c r="G52" s="1368" t="s">
        <v>9</v>
      </c>
    </row>
    <row r="53" spans="1:7">
      <c r="A53" s="1814"/>
      <c r="B53" s="1809"/>
      <c r="C53" s="1799" t="s">
        <v>8219</v>
      </c>
      <c r="D53" s="1794"/>
      <c r="E53" s="1788"/>
      <c r="F53" s="1078">
        <f>SUM(E45:E48)</f>
        <v>99.9</v>
      </c>
    </row>
    <row r="54" spans="1:7">
      <c r="A54" s="1754">
        <v>44440</v>
      </c>
      <c r="B54" s="1748" t="str">
        <f>TiposLancamentos!B15</f>
        <v>Cartões de Crédito</v>
      </c>
      <c r="C54" s="1740" t="s">
        <v>1874</v>
      </c>
      <c r="D54" s="1736">
        <v>99.9</v>
      </c>
      <c r="E54" s="952"/>
      <c r="F54" s="1027">
        <f>F53-F46</f>
        <v>51.300000000000004</v>
      </c>
      <c r="G54" s="1368" t="s">
        <v>9</v>
      </c>
    </row>
    <row r="55" spans="1:7">
      <c r="A55" s="1754">
        <v>44441</v>
      </c>
      <c r="B55" s="1748" t="str">
        <f>TiposLancamentos!B25</f>
        <v>CD_DVD_BD</v>
      </c>
      <c r="C55" s="1740" t="s">
        <v>11804</v>
      </c>
      <c r="D55" s="1736"/>
      <c r="E55" s="952">
        <v>69.900000000000006</v>
      </c>
      <c r="F55" s="1027"/>
      <c r="G55" s="1368" t="s">
        <v>9</v>
      </c>
    </row>
    <row r="56" spans="1:7">
      <c r="A56" s="1754">
        <v>44454</v>
      </c>
      <c r="B56" s="1748" t="str">
        <f>TiposLancamentos!B65</f>
        <v>Taxi</v>
      </c>
      <c r="C56" s="1740" t="s">
        <v>11805</v>
      </c>
      <c r="D56" s="1736"/>
      <c r="E56" s="952">
        <v>11.95</v>
      </c>
      <c r="F56" s="1027"/>
      <c r="G56" s="1368" t="s">
        <v>9</v>
      </c>
    </row>
    <row r="57" spans="1:7">
      <c r="A57" s="1754">
        <v>44457</v>
      </c>
      <c r="B57" s="1748" t="str">
        <f>TiposLancamentos!B26</f>
        <v>LIVROS</v>
      </c>
      <c r="C57" s="1740" t="s">
        <v>11806</v>
      </c>
      <c r="D57" s="1736"/>
      <c r="E57" s="952">
        <v>145</v>
      </c>
      <c r="F57" s="1027"/>
      <c r="G57" s="1368" t="s">
        <v>9</v>
      </c>
    </row>
    <row r="58" spans="1:7">
      <c r="A58" s="1756"/>
      <c r="B58" s="1749"/>
      <c r="C58" s="1741" t="s">
        <v>10</v>
      </c>
      <c r="D58" s="1690"/>
      <c r="E58" s="1231"/>
      <c r="F58" s="1231"/>
      <c r="G58" s="1094" t="s">
        <v>11</v>
      </c>
    </row>
    <row r="59" spans="1:7">
      <c r="A59" s="1754">
        <v>44461</v>
      </c>
      <c r="B59" s="1748" t="str">
        <f>TiposLancamentos!B13</f>
        <v>Moradia</v>
      </c>
      <c r="C59" s="1740" t="s">
        <v>11807</v>
      </c>
      <c r="D59" s="1736"/>
      <c r="E59" s="952">
        <v>139.08000000000001</v>
      </c>
      <c r="F59" s="1027"/>
      <c r="G59" s="1368" t="s">
        <v>9</v>
      </c>
    </row>
    <row r="60" spans="1:7" ht="14.25" thickBot="1">
      <c r="A60" s="1754">
        <v>44463</v>
      </c>
      <c r="B60" s="1748" t="str">
        <f>TiposLancamentos!B44</f>
        <v>Academia</v>
      </c>
      <c r="C60" s="1740" t="s">
        <v>11287</v>
      </c>
      <c r="D60" s="1736"/>
      <c r="E60" s="952">
        <v>99.9</v>
      </c>
      <c r="F60" s="1027"/>
      <c r="G60" s="1368" t="s">
        <v>9</v>
      </c>
    </row>
    <row r="61" spans="1:7">
      <c r="A61" s="1814"/>
      <c r="B61" s="1809"/>
      <c r="C61" s="1799" t="s">
        <v>8251</v>
      </c>
      <c r="D61" s="1794"/>
      <c r="E61" s="1788"/>
      <c r="F61" s="1078">
        <f>SUM(E49:E57)</f>
        <v>403.87</v>
      </c>
    </row>
    <row r="62" spans="1:7">
      <c r="A62" s="1754">
        <v>44470</v>
      </c>
      <c r="B62" s="1748" t="str">
        <f>TiposLancamentos!B15</f>
        <v>Cartões de Crédito</v>
      </c>
      <c r="C62" s="1740" t="s">
        <v>1874</v>
      </c>
      <c r="D62" s="1736">
        <v>403.87</v>
      </c>
      <c r="E62" s="952"/>
      <c r="F62" s="1027">
        <f>F61-F53</f>
        <v>303.97000000000003</v>
      </c>
      <c r="G62" s="1368" t="s">
        <v>9</v>
      </c>
    </row>
    <row r="63" spans="1:7">
      <c r="A63" s="1754">
        <v>44476</v>
      </c>
      <c r="B63" s="1748" t="str">
        <f>TiposLancamentos!B29</f>
        <v>Mangá</v>
      </c>
      <c r="C63" s="1740" t="s">
        <v>11808</v>
      </c>
      <c r="D63" s="1736"/>
      <c r="E63" s="952">
        <v>33.85</v>
      </c>
      <c r="F63" s="1027"/>
      <c r="G63" s="1368" t="s">
        <v>9</v>
      </c>
    </row>
    <row r="64" spans="1:7">
      <c r="A64" s="1754">
        <v>44478</v>
      </c>
      <c r="B64" s="1748" t="str">
        <f>TiposLancamentos!B24</f>
        <v>Estacionamentos</v>
      </c>
      <c r="C64" s="1740" t="s">
        <v>11809</v>
      </c>
      <c r="D64" s="1736"/>
      <c r="E64" s="952">
        <v>20</v>
      </c>
      <c r="F64" s="1027"/>
      <c r="G64" s="1368" t="s">
        <v>9</v>
      </c>
    </row>
    <row r="65" spans="1:7">
      <c r="A65" s="1754">
        <v>44485</v>
      </c>
      <c r="B65" s="1748" t="str">
        <f>TiposLancamentos!B48</f>
        <v>Baralhos e Oráculos</v>
      </c>
      <c r="C65" s="1740" t="s">
        <v>11810</v>
      </c>
      <c r="D65" s="1736"/>
      <c r="E65" s="952">
        <v>300.57</v>
      </c>
      <c r="F65" s="1027" t="s">
        <v>11811</v>
      </c>
      <c r="G65" s="1368" t="s">
        <v>9</v>
      </c>
    </row>
    <row r="66" spans="1:7">
      <c r="A66" s="1754">
        <v>44488</v>
      </c>
      <c r="B66" s="1748" t="str">
        <f>TiposLancamentos!B65</f>
        <v>Taxi</v>
      </c>
      <c r="C66" s="1740" t="s">
        <v>11812</v>
      </c>
      <c r="D66" s="1736"/>
      <c r="E66" s="952">
        <v>13.9</v>
      </c>
      <c r="F66" s="1027"/>
      <c r="G66" s="1368" t="s">
        <v>9</v>
      </c>
    </row>
    <row r="67" spans="1:7">
      <c r="A67" s="1754">
        <v>44490</v>
      </c>
      <c r="B67" s="1748" t="str">
        <f>TiposLancamentos!B65</f>
        <v>Taxi</v>
      </c>
      <c r="C67" s="1740" t="s">
        <v>11813</v>
      </c>
      <c r="D67" s="1736"/>
      <c r="E67" s="952">
        <v>17.93</v>
      </c>
      <c r="F67" s="1027"/>
      <c r="G67" s="1368" t="s">
        <v>9</v>
      </c>
    </row>
    <row r="68" spans="1:7">
      <c r="A68" s="1754">
        <v>44490</v>
      </c>
      <c r="B68" s="1748" t="str">
        <f>TiposLancamentos!B4</f>
        <v>Taxas Bancarias</v>
      </c>
      <c r="C68" s="1740" t="s">
        <v>11814</v>
      </c>
      <c r="D68" s="1736"/>
      <c r="E68" s="952">
        <v>19.18</v>
      </c>
      <c r="F68" s="1027"/>
      <c r="G68" s="1368" t="s">
        <v>9</v>
      </c>
    </row>
    <row r="69" spans="1:7">
      <c r="A69" s="1756"/>
      <c r="B69" s="1749"/>
      <c r="C69" s="1741" t="s">
        <v>10</v>
      </c>
      <c r="D69" s="1690"/>
      <c r="E69" s="1231"/>
      <c r="F69" s="1231"/>
      <c r="G69" s="1094" t="s">
        <v>11</v>
      </c>
    </row>
    <row r="70" spans="1:7">
      <c r="A70" s="1754">
        <v>44490</v>
      </c>
      <c r="B70" s="1748" t="str">
        <f>TiposLancamentos!B31</f>
        <v>Action Figures</v>
      </c>
      <c r="C70" s="1740" t="s">
        <v>11815</v>
      </c>
      <c r="D70" s="1736"/>
      <c r="E70" s="952">
        <v>87.91</v>
      </c>
      <c r="F70" s="1027"/>
      <c r="G70" s="1368" t="s">
        <v>9</v>
      </c>
    </row>
    <row r="71" spans="1:7">
      <c r="A71" s="1754">
        <v>44493</v>
      </c>
      <c r="B71" s="1748" t="str">
        <f>TiposLancamentos!B44</f>
        <v>Academia</v>
      </c>
      <c r="C71" s="1740" t="s">
        <v>11287</v>
      </c>
      <c r="D71" s="1736"/>
      <c r="E71" s="952">
        <v>99.9</v>
      </c>
      <c r="F71" s="1027"/>
      <c r="G71" s="1368" t="s">
        <v>9</v>
      </c>
    </row>
    <row r="72" spans="1:7">
      <c r="A72" s="1754">
        <v>44495</v>
      </c>
      <c r="B72" s="1748" t="str">
        <f>TiposLancamentos!B44</f>
        <v>Academia</v>
      </c>
      <c r="C72" s="1740" t="s">
        <v>11816</v>
      </c>
      <c r="D72" s="1736"/>
      <c r="E72" s="952">
        <v>99.9</v>
      </c>
      <c r="F72" s="1027"/>
      <c r="G72" s="1368" t="s">
        <v>9</v>
      </c>
    </row>
    <row r="73" spans="1:7" ht="14.25" thickBot="1">
      <c r="A73" s="1754">
        <v>44497</v>
      </c>
      <c r="B73" s="1748" t="str">
        <f>TiposLancamentos!B24</f>
        <v>Estacionamentos</v>
      </c>
      <c r="C73" s="1740" t="s">
        <v>11817</v>
      </c>
      <c r="D73" s="1736"/>
      <c r="E73" s="952">
        <v>15</v>
      </c>
      <c r="F73" s="1027"/>
      <c r="G73" s="1368" t="s">
        <v>9</v>
      </c>
    </row>
    <row r="74" spans="1:7">
      <c r="A74" s="1814"/>
      <c r="B74" s="1809"/>
      <c r="C74" s="1799" t="s">
        <v>1604</v>
      </c>
      <c r="D74" s="1794"/>
      <c r="E74" s="1788"/>
      <c r="F74" s="1078">
        <f>SUM(E59:E68)</f>
        <v>644.41</v>
      </c>
    </row>
    <row r="75" spans="1:7">
      <c r="A75" s="1754">
        <v>44501</v>
      </c>
      <c r="B75" s="1748" t="str">
        <f>TiposLancamentos!B15</f>
        <v>Cartões de Crédito</v>
      </c>
      <c r="C75" s="1740" t="s">
        <v>1874</v>
      </c>
      <c r="D75" s="1736">
        <v>644.41</v>
      </c>
      <c r="E75" s="952"/>
      <c r="F75" s="1027">
        <f>F74-F61</f>
        <v>240.53999999999996</v>
      </c>
      <c r="G75" s="1368" t="s">
        <v>9</v>
      </c>
    </row>
    <row r="76" spans="1:7">
      <c r="A76" s="1756"/>
      <c r="B76" s="1749"/>
      <c r="C76" s="1741" t="s">
        <v>10</v>
      </c>
      <c r="D76" s="1690"/>
      <c r="E76" s="1231"/>
      <c r="F76" s="1231"/>
      <c r="G76" s="1094" t="s">
        <v>11</v>
      </c>
    </row>
    <row r="77" spans="1:7">
      <c r="A77" s="1754">
        <v>44524</v>
      </c>
      <c r="B77" s="1748" t="str">
        <f>TiposLancamentos!B44</f>
        <v>Academia</v>
      </c>
      <c r="C77" s="1740" t="s">
        <v>11287</v>
      </c>
      <c r="D77" s="1736"/>
      <c r="E77" s="952">
        <v>114.88</v>
      </c>
      <c r="F77" s="1027"/>
      <c r="G77" s="1368" t="s">
        <v>9</v>
      </c>
    </row>
    <row r="78" spans="1:7">
      <c r="A78" s="1754">
        <v>44524</v>
      </c>
      <c r="B78" s="1748" t="str">
        <f>TiposLancamentos!B72</f>
        <v>Presentes</v>
      </c>
      <c r="C78" s="1740" t="s">
        <v>11818</v>
      </c>
      <c r="D78" s="1736"/>
      <c r="E78" s="952">
        <v>39.119999999999997</v>
      </c>
      <c r="F78" s="1027"/>
      <c r="G78" s="1368" t="s">
        <v>9</v>
      </c>
    </row>
    <row r="79" spans="1:7" ht="14.25" thickBot="1">
      <c r="A79" s="1754">
        <v>44529</v>
      </c>
      <c r="B79" s="1748" t="str">
        <f>TiposLancamentos!B13</f>
        <v>Moradia</v>
      </c>
      <c r="C79" s="1740" t="s">
        <v>11819</v>
      </c>
      <c r="D79" s="1736"/>
      <c r="E79" s="952">
        <v>82.4</v>
      </c>
      <c r="F79" s="1027"/>
      <c r="G79" s="1368" t="s">
        <v>9</v>
      </c>
    </row>
    <row r="80" spans="1:7">
      <c r="A80" s="1814"/>
      <c r="B80" s="1809"/>
      <c r="C80" s="1799" t="s">
        <v>1605</v>
      </c>
      <c r="D80" s="1794"/>
      <c r="E80" s="1788"/>
      <c r="F80" s="1078">
        <f>SUM(E70:E75)</f>
        <v>302.71000000000004</v>
      </c>
    </row>
    <row r="81" spans="1:7">
      <c r="A81" s="1754">
        <v>44531</v>
      </c>
      <c r="B81" s="1748" t="str">
        <f>TiposLancamentos!B15</f>
        <v>Cartões de Crédito</v>
      </c>
      <c r="C81" s="1740" t="s">
        <v>1874</v>
      </c>
      <c r="D81" s="1736">
        <v>302.70999999999998</v>
      </c>
      <c r="E81" s="952"/>
      <c r="F81" s="1027">
        <f>F80-F74</f>
        <v>-341.69999999999993</v>
      </c>
      <c r="G81" s="1368" t="s">
        <v>9</v>
      </c>
    </row>
    <row r="82" spans="1:7">
      <c r="A82" s="1754">
        <v>44531</v>
      </c>
      <c r="B82" s="1748" t="str">
        <f>TiposLancamentos!B16</f>
        <v>Cristiane</v>
      </c>
      <c r="C82" s="1740" t="s">
        <v>11820</v>
      </c>
      <c r="D82" s="1736"/>
      <c r="E82" s="952">
        <v>95.2</v>
      </c>
      <c r="F82" s="1027"/>
      <c r="G82" s="1368" t="s">
        <v>9</v>
      </c>
    </row>
    <row r="83" spans="1:7">
      <c r="A83" s="1754">
        <v>44536</v>
      </c>
      <c r="B83" s="1748" t="str">
        <f>TiposLancamentos!B24</f>
        <v>Estacionamentos</v>
      </c>
      <c r="C83" s="1740" t="s">
        <v>11821</v>
      </c>
      <c r="D83" s="1736"/>
      <c r="E83" s="952">
        <v>20</v>
      </c>
      <c r="F83" s="1027"/>
      <c r="G83" s="1368" t="s">
        <v>9</v>
      </c>
    </row>
    <row r="84" spans="1:7">
      <c r="A84" s="1754">
        <v>44540</v>
      </c>
      <c r="B84" s="1748" t="str">
        <f>TiposLancamentos!B45</f>
        <v>Online Services</v>
      </c>
      <c r="C84" s="1740" t="s">
        <v>11299</v>
      </c>
      <c r="D84" s="1736"/>
      <c r="E84" s="952">
        <v>89</v>
      </c>
      <c r="F84" s="1027"/>
      <c r="G84" s="1368" t="s">
        <v>9</v>
      </c>
    </row>
    <row r="85" spans="1:7">
      <c r="A85" s="1756"/>
      <c r="B85" s="1749"/>
      <c r="C85" s="1741" t="s">
        <v>10</v>
      </c>
      <c r="D85" s="1690"/>
      <c r="E85" s="1231"/>
      <c r="F85" s="1231"/>
      <c r="G85" s="1094" t="s">
        <v>11</v>
      </c>
    </row>
    <row r="86" spans="1:7">
      <c r="A86" s="1754">
        <v>44552</v>
      </c>
      <c r="B86" s="1748" t="str">
        <f>TiposLancamentos!B65</f>
        <v>Taxi</v>
      </c>
      <c r="C86" s="1740" t="s">
        <v>11822</v>
      </c>
      <c r="D86" s="1736"/>
      <c r="E86" s="952">
        <v>16.899999999999999</v>
      </c>
      <c r="F86" s="1027"/>
      <c r="G86" s="1368" t="s">
        <v>9</v>
      </c>
    </row>
    <row r="87" spans="1:7">
      <c r="A87" s="1754">
        <v>44552</v>
      </c>
      <c r="B87" s="1748" t="str">
        <f>TiposLancamentos!B65</f>
        <v>Taxi</v>
      </c>
      <c r="C87" s="1740" t="s">
        <v>11823</v>
      </c>
      <c r="D87" s="1736"/>
      <c r="E87" s="952">
        <v>19.93</v>
      </c>
      <c r="F87" s="1027"/>
      <c r="G87" s="1368" t="s">
        <v>9</v>
      </c>
    </row>
    <row r="88" spans="1:7">
      <c r="A88" s="1754">
        <v>44554</v>
      </c>
      <c r="B88" s="1748" t="str">
        <f>B77</f>
        <v>Academia</v>
      </c>
      <c r="C88" s="1740" t="s">
        <v>11287</v>
      </c>
      <c r="D88" s="1736"/>
      <c r="E88" s="952">
        <v>114.88</v>
      </c>
      <c r="F88" s="1027"/>
      <c r="G88" s="1368" t="s">
        <v>9</v>
      </c>
    </row>
    <row r="89" spans="1:7" ht="14.25" thickBot="1">
      <c r="A89" s="1754">
        <v>44560</v>
      </c>
      <c r="B89" s="1748" t="str">
        <f>TiposLancamentos!B48</f>
        <v>Baralhos e Oráculos</v>
      </c>
      <c r="C89" s="1740" t="s">
        <v>11824</v>
      </c>
      <c r="D89" s="1736"/>
      <c r="E89" s="952">
        <v>98.65</v>
      </c>
      <c r="F89" s="1027"/>
      <c r="G89" s="1368" t="s">
        <v>9</v>
      </c>
    </row>
    <row r="90" spans="1:7">
      <c r="A90" s="1814"/>
      <c r="B90" s="1809"/>
      <c r="C90" s="1799" t="s">
        <v>1606</v>
      </c>
      <c r="D90" s="1794"/>
      <c r="E90" s="1788"/>
      <c r="F90" s="1078">
        <f>SUM(E76:E85)</f>
        <v>440.6</v>
      </c>
    </row>
    <row r="91" spans="1:7">
      <c r="A91" s="1754">
        <v>44564</v>
      </c>
      <c r="B91" s="1748" t="str">
        <f>TiposLancamentos!B15</f>
        <v>Cartões de Crédito</v>
      </c>
      <c r="C91" s="1740" t="s">
        <v>1874</v>
      </c>
      <c r="D91" s="1736">
        <v>440.6</v>
      </c>
      <c r="E91" s="952"/>
      <c r="F91" s="1027">
        <f>F90-F80</f>
        <v>137.88999999999999</v>
      </c>
      <c r="G91" s="1368" t="s">
        <v>9</v>
      </c>
    </row>
    <row r="92" spans="1:7">
      <c r="A92" s="1754">
        <v>44575</v>
      </c>
      <c r="B92" s="1748" t="str">
        <f>TiposLancamentos!B57</f>
        <v>Informática</v>
      </c>
      <c r="C92" s="1740" t="s">
        <v>11825</v>
      </c>
      <c r="D92" s="1736"/>
      <c r="E92" s="952">
        <v>21.57</v>
      </c>
      <c r="F92" s="1027"/>
      <c r="G92" s="1368" t="s">
        <v>9</v>
      </c>
    </row>
    <row r="93" spans="1:7">
      <c r="A93" s="1756"/>
      <c r="B93" s="1749"/>
      <c r="C93" s="1741" t="s">
        <v>10</v>
      </c>
      <c r="D93" s="1690"/>
      <c r="E93" s="1231"/>
      <c r="F93" s="1231"/>
      <c r="G93" s="1094" t="s">
        <v>11</v>
      </c>
    </row>
    <row r="94" spans="1:7">
      <c r="A94" s="1754">
        <v>44582</v>
      </c>
      <c r="B94" s="1748" t="str">
        <f>TiposLancamentos!B24</f>
        <v>Estacionamentos</v>
      </c>
      <c r="C94" s="1740" t="s">
        <v>11826</v>
      </c>
      <c r="D94" s="1736"/>
      <c r="E94" s="952">
        <v>15</v>
      </c>
      <c r="F94" s="1027"/>
      <c r="G94" s="1368" t="s">
        <v>9</v>
      </c>
    </row>
    <row r="95" spans="1:7" ht="14.25" thickBot="1">
      <c r="A95" s="1754">
        <v>44585</v>
      </c>
      <c r="B95" s="1748" t="str">
        <f>B77</f>
        <v>Academia</v>
      </c>
      <c r="C95" s="1740" t="s">
        <v>11287</v>
      </c>
      <c r="D95" s="1736"/>
      <c r="E95" s="952">
        <v>114.88</v>
      </c>
      <c r="F95" s="1027"/>
      <c r="G95" s="1368" t="s">
        <v>9</v>
      </c>
    </row>
    <row r="96" spans="1:7">
      <c r="A96" s="1814"/>
      <c r="B96" s="1809"/>
      <c r="C96" s="1799" t="s">
        <v>1607</v>
      </c>
      <c r="D96" s="1794"/>
      <c r="E96" s="1788"/>
      <c r="F96" s="1078">
        <f>SUM(E85:E92)</f>
        <v>271.93</v>
      </c>
    </row>
    <row r="97" spans="1:7">
      <c r="A97" s="1754">
        <v>44593</v>
      </c>
      <c r="B97" s="1748" t="str">
        <f>TiposLancamentos!B15</f>
        <v>Cartões de Crédito</v>
      </c>
      <c r="C97" s="1740" t="s">
        <v>1874</v>
      </c>
      <c r="D97" s="1736">
        <v>271.93</v>
      </c>
      <c r="E97" s="952"/>
      <c r="F97" s="1027">
        <f>F96-F90</f>
        <v>-168.67000000000002</v>
      </c>
      <c r="G97" s="1368" t="s">
        <v>9</v>
      </c>
    </row>
    <row r="98" spans="1:7">
      <c r="A98" s="1756"/>
      <c r="B98" s="1749"/>
      <c r="C98" s="1741" t="s">
        <v>10</v>
      </c>
      <c r="D98" s="1690"/>
      <c r="E98" s="1231"/>
      <c r="F98" s="1231"/>
      <c r="G98" s="1094" t="s">
        <v>11</v>
      </c>
    </row>
    <row r="99" spans="1:7">
      <c r="A99" s="1754">
        <v>44614</v>
      </c>
      <c r="B99" s="1748" t="str">
        <f>TiposLancamentos!B65</f>
        <v>Taxi</v>
      </c>
      <c r="C99" s="1740" t="s">
        <v>11827</v>
      </c>
      <c r="D99" s="1736"/>
      <c r="E99" s="952">
        <v>10.65</v>
      </c>
      <c r="F99" s="1027"/>
      <c r="G99" s="1368" t="s">
        <v>9</v>
      </c>
    </row>
    <row r="100" spans="1:7">
      <c r="A100" s="1754">
        <v>44614</v>
      </c>
      <c r="B100" s="1748" t="str">
        <f>TiposLancamentos!B65</f>
        <v>Taxi</v>
      </c>
      <c r="C100" s="1740" t="s">
        <v>11828</v>
      </c>
      <c r="D100" s="1736"/>
      <c r="E100" s="952">
        <v>10.49</v>
      </c>
      <c r="F100" s="1027"/>
      <c r="G100" s="1368" t="s">
        <v>9</v>
      </c>
    </row>
    <row r="101" spans="1:7" ht="14.25" thickBot="1">
      <c r="A101" s="1754">
        <v>44616</v>
      </c>
      <c r="B101" s="1748" t="str">
        <f>TiposLancamentos!B44</f>
        <v>Academia</v>
      </c>
      <c r="C101" s="1740" t="s">
        <v>11287</v>
      </c>
      <c r="D101" s="1736"/>
      <c r="E101" s="952">
        <v>114.88</v>
      </c>
      <c r="F101" s="1027"/>
      <c r="G101" s="1368" t="s">
        <v>9</v>
      </c>
    </row>
    <row r="102" spans="1:7">
      <c r="A102" s="1814"/>
      <c r="B102" s="1809"/>
      <c r="C102" s="1799" t="s">
        <v>1608</v>
      </c>
      <c r="D102" s="1794"/>
      <c r="E102" s="1788"/>
      <c r="F102" s="1078">
        <f>SUM(E93:E98)</f>
        <v>129.88</v>
      </c>
    </row>
    <row r="103" spans="1:7">
      <c r="A103" s="1754">
        <v>44622</v>
      </c>
      <c r="B103" s="1748" t="str">
        <f>TiposLancamentos!B15</f>
        <v>Cartões de Crédito</v>
      </c>
      <c r="C103" s="1740" t="s">
        <v>1874</v>
      </c>
      <c r="D103" s="1736">
        <v>129.88</v>
      </c>
      <c r="E103" s="952"/>
      <c r="F103" s="1027">
        <f>F102-F96</f>
        <v>-142.05000000000001</v>
      </c>
      <c r="G103" s="1368" t="s">
        <v>9</v>
      </c>
    </row>
    <row r="104" spans="1:7">
      <c r="A104" s="1756"/>
      <c r="B104" s="1749"/>
      <c r="C104" s="1741" t="s">
        <v>10</v>
      </c>
      <c r="D104" s="1690"/>
      <c r="E104" s="1231"/>
      <c r="F104" s="1231"/>
      <c r="G104" s="1094" t="s">
        <v>11</v>
      </c>
    </row>
    <row r="105" spans="1:7">
      <c r="A105" s="1754">
        <v>44642</v>
      </c>
      <c r="B105" s="1748" t="str">
        <f>TiposLancamentos!B26</f>
        <v>LIVROS</v>
      </c>
      <c r="C105" s="1740" t="s">
        <v>11829</v>
      </c>
      <c r="D105" s="1736"/>
      <c r="E105" s="952">
        <v>56.33</v>
      </c>
      <c r="F105" s="1027"/>
      <c r="G105" s="1368" t="s">
        <v>9</v>
      </c>
    </row>
    <row r="106" spans="1:7">
      <c r="A106" s="1754">
        <v>44644</v>
      </c>
      <c r="B106" s="1748" t="str">
        <f>TiposLancamentos!B44</f>
        <v>Academia</v>
      </c>
      <c r="C106" s="1740" t="s">
        <v>11287</v>
      </c>
      <c r="D106" s="1736"/>
      <c r="E106" s="952">
        <v>114.88</v>
      </c>
      <c r="F106" s="1027"/>
      <c r="G106" s="1368" t="s">
        <v>9</v>
      </c>
    </row>
    <row r="107" spans="1:7" ht="14.25" thickBot="1">
      <c r="A107" s="1754">
        <v>44644</v>
      </c>
      <c r="B107" s="1748" t="str">
        <f>TiposLancamentos!B48</f>
        <v>Baralhos e Oráculos</v>
      </c>
      <c r="C107" s="1740" t="s">
        <v>11830</v>
      </c>
      <c r="D107" s="1736"/>
      <c r="E107" s="952">
        <v>225</v>
      </c>
      <c r="F107" s="1027"/>
      <c r="G107" s="1368" t="s">
        <v>9</v>
      </c>
    </row>
    <row r="108" spans="1:7">
      <c r="A108" s="1814"/>
      <c r="B108" s="1809"/>
      <c r="C108" s="1799" t="s">
        <v>1609</v>
      </c>
      <c r="D108" s="1794"/>
      <c r="E108" s="1788"/>
      <c r="F108" s="1078">
        <f>SUM(E98:E104)</f>
        <v>136.01999999999998</v>
      </c>
    </row>
    <row r="109" spans="1:7">
      <c r="A109" s="1754">
        <v>44652</v>
      </c>
      <c r="B109" s="1748" t="str">
        <f>TiposLancamentos!B15</f>
        <v>Cartões de Crédito</v>
      </c>
      <c r="C109" s="1740" t="s">
        <v>1874</v>
      </c>
      <c r="D109" s="1736">
        <v>136.02000000000001</v>
      </c>
      <c r="E109" s="952"/>
      <c r="F109" s="1027">
        <f>F108-F102</f>
        <v>6.1399999999999864</v>
      </c>
      <c r="G109" s="1368" t="s">
        <v>9</v>
      </c>
    </row>
    <row r="110" spans="1:7">
      <c r="A110" s="1754">
        <v>44653</v>
      </c>
      <c r="B110" s="1748" t="str">
        <f>TiposLancamentos!B19</f>
        <v>Restaurantes</v>
      </c>
      <c r="C110" s="1740" t="s">
        <v>11831</v>
      </c>
      <c r="D110" s="1736"/>
      <c r="E110" s="952">
        <v>41.5</v>
      </c>
      <c r="F110" s="1027"/>
      <c r="G110" s="1368" t="s">
        <v>9</v>
      </c>
    </row>
    <row r="111" spans="1:7">
      <c r="A111" s="1754">
        <v>44653</v>
      </c>
      <c r="B111" s="1748" t="str">
        <f>TiposLancamentos!B5</f>
        <v>Supermercado</v>
      </c>
      <c r="C111" s="1740" t="s">
        <v>11832</v>
      </c>
      <c r="D111" s="1736"/>
      <c r="E111" s="952">
        <v>59.9</v>
      </c>
      <c r="F111" s="1027"/>
      <c r="G111" s="1368" t="s">
        <v>9</v>
      </c>
    </row>
    <row r="112" spans="1:7">
      <c r="A112" s="1756"/>
      <c r="B112" s="1749"/>
      <c r="C112" s="1741" t="s">
        <v>10</v>
      </c>
      <c r="D112" s="1690"/>
      <c r="E112" s="1231"/>
      <c r="F112" s="1231"/>
      <c r="G112" s="1094" t="s">
        <v>11</v>
      </c>
    </row>
    <row r="113" spans="1:7" ht="14.25" thickBot="1">
      <c r="A113" s="1754">
        <v>44675</v>
      </c>
      <c r="B113" s="1748" t="str">
        <f>TiposLancamentos!B44</f>
        <v>Academia</v>
      </c>
      <c r="C113" s="1740" t="s">
        <v>11287</v>
      </c>
      <c r="D113" s="1736"/>
      <c r="E113" s="952">
        <v>114.88</v>
      </c>
      <c r="F113" s="1027"/>
      <c r="G113" s="1368" t="s">
        <v>9</v>
      </c>
    </row>
    <row r="114" spans="1:7">
      <c r="A114" s="1814"/>
      <c r="B114" s="1809"/>
      <c r="C114" s="1799" t="s">
        <v>1610</v>
      </c>
      <c r="D114" s="1794"/>
      <c r="E114" s="1788"/>
      <c r="F114" s="1078">
        <f>SUM(E104:E112)</f>
        <v>497.60999999999996</v>
      </c>
    </row>
    <row r="115" spans="1:7">
      <c r="A115" s="1754">
        <v>44683</v>
      </c>
      <c r="B115" s="1748" t="str">
        <f>TiposLancamentos!B15</f>
        <v>Cartões de Crédito</v>
      </c>
      <c r="C115" s="1740" t="s">
        <v>1874</v>
      </c>
      <c r="D115" s="1736">
        <v>497.61</v>
      </c>
      <c r="E115" s="952"/>
      <c r="F115" s="1027">
        <f>F114-F108</f>
        <v>361.59</v>
      </c>
      <c r="G115" s="1368" t="s">
        <v>9</v>
      </c>
    </row>
    <row r="116" spans="1:7">
      <c r="A116" s="1754">
        <v>44685</v>
      </c>
      <c r="B116" s="1748" t="str">
        <f>TiposLancamentos!B26</f>
        <v>LIVROS</v>
      </c>
      <c r="C116" s="1740" t="s">
        <v>11833</v>
      </c>
      <c r="D116" s="1736"/>
      <c r="E116" s="952">
        <v>18.43</v>
      </c>
      <c r="F116" s="1027"/>
      <c r="G116" s="1368" t="s">
        <v>9</v>
      </c>
    </row>
    <row r="117" spans="1:7">
      <c r="A117" s="1754">
        <v>44685</v>
      </c>
      <c r="B117" s="1748" t="str">
        <f>TiposLancamentos!B57</f>
        <v>Informática</v>
      </c>
      <c r="C117" s="1740" t="s">
        <v>11834</v>
      </c>
      <c r="D117" s="1736"/>
      <c r="E117" s="952">
        <v>25.9</v>
      </c>
      <c r="F117" s="1027"/>
      <c r="G117" s="1368" t="s">
        <v>9</v>
      </c>
    </row>
    <row r="118" spans="1:7">
      <c r="A118" s="1754">
        <v>44685</v>
      </c>
      <c r="B118" s="1748" t="str">
        <f>TiposLancamentos!B13</f>
        <v>Moradia</v>
      </c>
      <c r="C118" s="1740" t="s">
        <v>11835</v>
      </c>
      <c r="D118" s="1736"/>
      <c r="E118" s="952">
        <v>20.3</v>
      </c>
      <c r="F118" s="1027"/>
      <c r="G118" s="1368" t="s">
        <v>9</v>
      </c>
    </row>
    <row r="119" spans="1:7">
      <c r="A119" s="1754">
        <v>44685</v>
      </c>
      <c r="B119" s="1748" t="str">
        <f>B117</f>
        <v>Informática</v>
      </c>
      <c r="C119" s="1740" t="s">
        <v>11836</v>
      </c>
      <c r="D119" s="1736"/>
      <c r="E119" s="952">
        <v>29.89</v>
      </c>
      <c r="F119" s="1027"/>
      <c r="G119" s="1368" t="s">
        <v>9</v>
      </c>
    </row>
    <row r="120" spans="1:7">
      <c r="A120" s="1666">
        <v>44685</v>
      </c>
      <c r="B120" s="1751" t="str">
        <f>TiposLancamentos!B57</f>
        <v>Informática</v>
      </c>
      <c r="C120" s="1742" t="s">
        <v>11837</v>
      </c>
      <c r="D120" s="1735"/>
      <c r="E120" s="920">
        <v>56.9</v>
      </c>
      <c r="F120" s="1614"/>
      <c r="G120" s="1368" t="s">
        <v>9</v>
      </c>
    </row>
    <row r="121" spans="1:7">
      <c r="A121" s="1750">
        <v>44685</v>
      </c>
      <c r="B121" s="1753" t="str">
        <f>TiposLancamentos!B60</f>
        <v>Correio</v>
      </c>
      <c r="C121" s="1800" t="s">
        <v>11838</v>
      </c>
      <c r="D121" s="1737"/>
      <c r="E121" s="922">
        <v>8.93</v>
      </c>
      <c r="F121" s="1548">
        <f>SUM(E120:E121)</f>
        <v>65.83</v>
      </c>
      <c r="G121" s="1368" t="s">
        <v>9</v>
      </c>
    </row>
    <row r="122" spans="1:7">
      <c r="A122" s="1754">
        <v>44702</v>
      </c>
      <c r="B122" s="1748" t="str">
        <f>TiposLancamentos!B93</f>
        <v>Lanc.Multiplos</v>
      </c>
      <c r="C122" s="1740" t="s">
        <v>1868</v>
      </c>
      <c r="D122" s="1736">
        <v>0</v>
      </c>
      <c r="E122" s="952">
        <v>0</v>
      </c>
      <c r="F122" s="1027"/>
    </row>
    <row r="123" spans="1:7">
      <c r="A123" s="1756"/>
      <c r="B123" s="1749"/>
      <c r="C123" s="1741" t="s">
        <v>10</v>
      </c>
      <c r="D123" s="1690"/>
      <c r="E123" s="1231"/>
      <c r="F123" s="1231"/>
      <c r="G123" s="1094" t="s">
        <v>11</v>
      </c>
    </row>
    <row r="124" spans="1:7">
      <c r="A124" s="1754">
        <v>44705</v>
      </c>
      <c r="B124" s="1748" t="str">
        <f>TiposLancamentos!B44</f>
        <v>Academia</v>
      </c>
      <c r="C124" s="1740" t="s">
        <v>11287</v>
      </c>
      <c r="D124" s="1736"/>
      <c r="E124" s="952">
        <v>114.88</v>
      </c>
      <c r="F124" s="1027"/>
      <c r="G124" s="1368" t="s">
        <v>9</v>
      </c>
    </row>
    <row r="125" spans="1:7" ht="14.25" thickBot="1">
      <c r="A125" s="1754">
        <v>44712</v>
      </c>
      <c r="B125" s="1748" t="str">
        <f>TiposLancamentos!B30</f>
        <v>Cinema</v>
      </c>
      <c r="C125" s="1740" t="s">
        <v>11839</v>
      </c>
      <c r="D125" s="1736"/>
      <c r="E125" s="952">
        <v>48.64</v>
      </c>
      <c r="F125" s="1027"/>
      <c r="G125" s="1368" t="s">
        <v>9</v>
      </c>
    </row>
    <row r="126" spans="1:7">
      <c r="A126" s="1814"/>
      <c r="B126" s="1809"/>
      <c r="C126" s="1799" t="s">
        <v>1611</v>
      </c>
      <c r="D126" s="1794"/>
      <c r="E126" s="1788"/>
      <c r="F126" s="1078">
        <f>SUM(E112:E123)</f>
        <v>275.23</v>
      </c>
    </row>
    <row r="127" spans="1:7">
      <c r="A127" s="1754">
        <v>44713</v>
      </c>
      <c r="B127" s="1748" t="str">
        <f>TiposLancamentos!B15</f>
        <v>Cartões de Crédito</v>
      </c>
      <c r="C127" s="1740" t="s">
        <v>1874</v>
      </c>
      <c r="D127" s="1736">
        <v>275.23</v>
      </c>
      <c r="E127" s="952"/>
      <c r="F127" s="1027">
        <f>F126-F114</f>
        <v>-222.37999999999994</v>
      </c>
      <c r="G127" s="1368" t="s">
        <v>9</v>
      </c>
    </row>
    <row r="128" spans="1:7">
      <c r="A128" s="1754">
        <v>44722</v>
      </c>
      <c r="B128" s="1748" t="str">
        <f>TiposLancamentos!B57</f>
        <v>Informática</v>
      </c>
      <c r="C128" s="1740" t="s">
        <v>11840</v>
      </c>
      <c r="D128" s="1736">
        <v>0</v>
      </c>
      <c r="E128" s="952">
        <v>84</v>
      </c>
      <c r="F128" s="1027"/>
      <c r="G128" s="1368" t="s">
        <v>9</v>
      </c>
    </row>
    <row r="129" spans="1:7">
      <c r="A129" s="1754">
        <v>44722</v>
      </c>
      <c r="B129" s="1748" t="str">
        <f>TiposLancamentos!B26</f>
        <v>LIVROS</v>
      </c>
      <c r="C129" s="1740" t="s">
        <v>11841</v>
      </c>
      <c r="D129" s="1736">
        <v>0</v>
      </c>
      <c r="E129" s="952">
        <v>26.14</v>
      </c>
      <c r="F129" s="1027">
        <v>84</v>
      </c>
      <c r="G129" s="1368" t="s">
        <v>9</v>
      </c>
    </row>
    <row r="130" spans="1:7">
      <c r="A130" s="1666">
        <v>44722</v>
      </c>
      <c r="B130" s="1751" t="str">
        <f>TiposLancamentos!B57</f>
        <v>Informática</v>
      </c>
      <c r="C130" s="1744" t="s">
        <v>11842</v>
      </c>
      <c r="D130" s="1735">
        <v>0</v>
      </c>
      <c r="E130" s="920">
        <v>87.92</v>
      </c>
      <c r="F130" s="1614"/>
      <c r="G130" s="1368" t="s">
        <v>9</v>
      </c>
    </row>
    <row r="131" spans="1:7">
      <c r="A131" s="1750">
        <v>44722</v>
      </c>
      <c r="B131" s="1753" t="str">
        <f>TiposLancamentos!B60</f>
        <v>Correio</v>
      </c>
      <c r="C131" s="1800" t="s">
        <v>11843</v>
      </c>
      <c r="D131" s="1737"/>
      <c r="E131" s="922">
        <v>15.22</v>
      </c>
      <c r="F131" s="1548">
        <f>SUM(E130:E131)</f>
        <v>103.14</v>
      </c>
      <c r="G131" s="1368" t="s">
        <v>9</v>
      </c>
    </row>
    <row r="132" spans="1:7">
      <c r="A132" s="1754"/>
      <c r="B132" s="1748"/>
      <c r="C132" s="1740"/>
      <c r="D132" s="1736"/>
      <c r="E132" s="952"/>
      <c r="F132" s="1027"/>
    </row>
    <row r="133" spans="1:7">
      <c r="A133" s="1756"/>
      <c r="B133" s="1749"/>
      <c r="C133" s="1741" t="s">
        <v>10</v>
      </c>
      <c r="D133" s="1690"/>
      <c r="E133" s="1231"/>
      <c r="F133" s="1231"/>
      <c r="G133" s="1094" t="s">
        <v>11</v>
      </c>
    </row>
    <row r="134" spans="1:7">
      <c r="A134" s="1754">
        <v>44736</v>
      </c>
      <c r="B134" s="1748" t="str">
        <f>TiposLancamentos!B44</f>
        <v>Academia</v>
      </c>
      <c r="C134" s="1740" t="s">
        <v>11287</v>
      </c>
      <c r="D134" s="1736"/>
      <c r="E134" s="952">
        <v>114.88</v>
      </c>
      <c r="F134" s="1027"/>
      <c r="G134" s="1368" t="s">
        <v>9</v>
      </c>
    </row>
    <row r="135" spans="1:7" ht="14.25" thickBot="1">
      <c r="A135" s="1754">
        <v>44740</v>
      </c>
      <c r="B135" s="1748" t="str">
        <f>TiposLancamentos!B48</f>
        <v>Baralhos e Oráculos</v>
      </c>
      <c r="C135" s="1740" t="s">
        <v>11844</v>
      </c>
      <c r="D135" s="1736"/>
      <c r="E135" s="952">
        <v>116.38</v>
      </c>
      <c r="F135" s="1027"/>
      <c r="G135" s="1368" t="s">
        <v>9</v>
      </c>
    </row>
    <row r="136" spans="1:7">
      <c r="A136" s="1814"/>
      <c r="B136" s="1809"/>
      <c r="C136" s="1801" t="s">
        <v>1612</v>
      </c>
      <c r="D136" s="1794"/>
      <c r="E136" s="1788"/>
      <c r="F136" s="1078">
        <f>SUM(E123:E133)</f>
        <v>376.8</v>
      </c>
    </row>
    <row r="137" spans="1:7">
      <c r="A137" s="1754">
        <v>44743</v>
      </c>
      <c r="B137" s="1748" t="str">
        <f>TiposLancamentos!B15</f>
        <v>Cartões de Crédito</v>
      </c>
      <c r="C137" s="1740" t="s">
        <v>1874</v>
      </c>
      <c r="D137" s="1736">
        <v>376.8</v>
      </c>
      <c r="E137" s="952"/>
      <c r="F137" s="1027">
        <f>F136-F126</f>
        <v>101.57</v>
      </c>
      <c r="G137" s="1368" t="s">
        <v>9</v>
      </c>
    </row>
    <row r="138" spans="1:7">
      <c r="A138" s="1754">
        <v>44754</v>
      </c>
      <c r="B138" s="1748" t="str">
        <f>TiposLancamentos!B13</f>
        <v>Moradia</v>
      </c>
      <c r="C138" s="1740" t="s">
        <v>11845</v>
      </c>
      <c r="D138" s="1736"/>
      <c r="E138" s="952">
        <v>179.9</v>
      </c>
      <c r="F138" s="1027"/>
      <c r="G138" s="1368" t="s">
        <v>9</v>
      </c>
    </row>
    <row r="139" spans="1:7">
      <c r="A139" s="1754">
        <v>44754</v>
      </c>
      <c r="B139" s="1748" t="str">
        <f>TiposLancamentos!B48</f>
        <v>Baralhos e Oráculos</v>
      </c>
      <c r="C139" s="1740" t="s">
        <v>11846</v>
      </c>
      <c r="D139" s="1736"/>
      <c r="E139" s="952">
        <v>94.93</v>
      </c>
      <c r="F139" s="1027"/>
      <c r="G139" s="1368" t="s">
        <v>9</v>
      </c>
    </row>
    <row r="140" spans="1:7">
      <c r="A140" s="1754">
        <v>44754</v>
      </c>
      <c r="B140" s="1748" t="str">
        <f>TiposLancamentos!B26</f>
        <v>LIVROS</v>
      </c>
      <c r="C140" s="1740" t="s">
        <v>11847</v>
      </c>
      <c r="D140" s="1736"/>
      <c r="E140" s="952">
        <v>35.08</v>
      </c>
      <c r="F140" s="1027"/>
      <c r="G140" s="1368" t="s">
        <v>9</v>
      </c>
    </row>
    <row r="141" spans="1:7">
      <c r="A141" s="1754">
        <v>44754</v>
      </c>
      <c r="B141" s="1748" t="str">
        <f>TiposLancamentos!B26</f>
        <v>LIVROS</v>
      </c>
      <c r="C141" s="1740" t="s">
        <v>11848</v>
      </c>
      <c r="D141" s="1736"/>
      <c r="E141" s="952">
        <v>104.87</v>
      </c>
      <c r="F141" s="1027"/>
      <c r="G141" s="1368" t="s">
        <v>9</v>
      </c>
    </row>
    <row r="142" spans="1:7">
      <c r="A142" s="1754">
        <v>44763</v>
      </c>
      <c r="B142" s="1748"/>
      <c r="C142" s="1740" t="s">
        <v>1868</v>
      </c>
      <c r="D142" s="1736">
        <v>0</v>
      </c>
      <c r="E142" s="952">
        <v>0</v>
      </c>
      <c r="F142" s="1027"/>
      <c r="G142" s="1368" t="s">
        <v>9</v>
      </c>
    </row>
    <row r="143" spans="1:7">
      <c r="A143" s="1756"/>
      <c r="B143" s="1749"/>
      <c r="C143" s="1741" t="s">
        <v>10</v>
      </c>
      <c r="D143" s="1690"/>
      <c r="E143" s="1231"/>
      <c r="F143" s="1231"/>
      <c r="G143" s="1094" t="s">
        <v>11</v>
      </c>
    </row>
    <row r="144" spans="1:7" ht="14.25" thickBot="1">
      <c r="A144" s="1754">
        <v>44766</v>
      </c>
      <c r="B144" s="1748" t="str">
        <f>TiposLancamentos!B44</f>
        <v>Academia</v>
      </c>
      <c r="C144" s="1740" t="s">
        <v>11287</v>
      </c>
      <c r="D144" s="1736"/>
      <c r="E144" s="952">
        <v>114.88</v>
      </c>
      <c r="F144" s="1027"/>
      <c r="G144" s="1368" t="s">
        <v>9</v>
      </c>
    </row>
    <row r="145" spans="1:7">
      <c r="A145" s="1814"/>
      <c r="B145" s="1809"/>
      <c r="C145" s="1801" t="s">
        <v>1613</v>
      </c>
      <c r="D145" s="1794"/>
      <c r="E145" s="1788"/>
      <c r="F145" s="1078">
        <f>SUM(E133:E143)</f>
        <v>646.04</v>
      </c>
    </row>
    <row r="146" spans="1:7">
      <c r="A146" s="1754">
        <v>44774</v>
      </c>
      <c r="B146" s="1748" t="str">
        <f>TiposLancamentos!B15</f>
        <v>Cartões de Crédito</v>
      </c>
      <c r="C146" s="1740" t="s">
        <v>1874</v>
      </c>
      <c r="D146" s="1736">
        <v>646.04</v>
      </c>
      <c r="E146" s="952"/>
      <c r="F146" s="1027">
        <f>F145-F136</f>
        <v>269.23999999999995</v>
      </c>
      <c r="G146" s="1368" t="s">
        <v>9</v>
      </c>
    </row>
    <row r="147" spans="1:7">
      <c r="A147" s="1754">
        <v>44794</v>
      </c>
      <c r="B147" s="1748"/>
      <c r="C147" s="1740" t="s">
        <v>1868</v>
      </c>
      <c r="D147" s="1736">
        <v>0</v>
      </c>
      <c r="E147" s="952">
        <v>0</v>
      </c>
      <c r="F147" s="1027"/>
    </row>
    <row r="148" spans="1:7">
      <c r="A148" s="1756"/>
      <c r="B148" s="1749"/>
      <c r="C148" s="1741" t="s">
        <v>10</v>
      </c>
      <c r="D148" s="1690"/>
      <c r="E148" s="1231"/>
      <c r="F148" s="1231"/>
      <c r="G148" s="1094" t="s">
        <v>11</v>
      </c>
    </row>
    <row r="149" spans="1:7" ht="14.25" thickBot="1">
      <c r="A149" s="1754">
        <v>44797</v>
      </c>
      <c r="B149" s="1748" t="str">
        <f>TiposLancamentos!B44</f>
        <v>Academia</v>
      </c>
      <c r="C149" s="1740" t="s">
        <v>11287</v>
      </c>
      <c r="D149" s="1736"/>
      <c r="E149" s="952">
        <v>114.88</v>
      </c>
      <c r="F149" s="1027"/>
      <c r="G149" s="1368" t="s">
        <v>9</v>
      </c>
    </row>
    <row r="150" spans="1:7">
      <c r="A150" s="1814"/>
      <c r="B150" s="1809"/>
      <c r="C150" s="1801" t="s">
        <v>1614</v>
      </c>
      <c r="D150" s="1794"/>
      <c r="E150" s="1788"/>
      <c r="F150" s="1078">
        <f>SUM(E143:E148)</f>
        <v>114.88</v>
      </c>
    </row>
    <row r="151" spans="1:7">
      <c r="A151" s="1754">
        <v>44805</v>
      </c>
      <c r="B151" s="1748" t="str">
        <f>TiposLancamentos!B15</f>
        <v>Cartões de Crédito</v>
      </c>
      <c r="C151" s="1740" t="s">
        <v>1874</v>
      </c>
      <c r="D151" s="1736">
        <v>114.88</v>
      </c>
      <c r="E151" s="952"/>
      <c r="F151" s="1027">
        <f>F145-F150</f>
        <v>531.16</v>
      </c>
      <c r="G151" s="1368" t="s">
        <v>9</v>
      </c>
    </row>
    <row r="152" spans="1:7">
      <c r="A152" s="1754">
        <v>44825</v>
      </c>
      <c r="B152" s="1748"/>
      <c r="C152" s="1740" t="s">
        <v>1868</v>
      </c>
      <c r="D152" s="1736">
        <v>0</v>
      </c>
      <c r="E152" s="952">
        <v>0</v>
      </c>
      <c r="F152" s="1027"/>
    </row>
    <row r="153" spans="1:7">
      <c r="A153" s="1756"/>
      <c r="B153" s="1749"/>
      <c r="C153" s="1741" t="s">
        <v>10</v>
      </c>
      <c r="D153" s="1690"/>
      <c r="E153" s="1231"/>
      <c r="F153" s="1231"/>
      <c r="G153" s="1094" t="s">
        <v>11</v>
      </c>
    </row>
    <row r="154" spans="1:7" ht="14.25" thickBot="1">
      <c r="A154" s="1754">
        <v>44828</v>
      </c>
      <c r="B154" s="1748" t="str">
        <f>TiposLancamentos!B44</f>
        <v>Academia</v>
      </c>
      <c r="C154" s="1740" t="s">
        <v>11287</v>
      </c>
      <c r="D154" s="1736"/>
      <c r="E154" s="952">
        <v>114.88</v>
      </c>
      <c r="F154" s="1027"/>
      <c r="G154" s="1368" t="s">
        <v>9</v>
      </c>
    </row>
    <row r="155" spans="1:7">
      <c r="A155" s="1814"/>
      <c r="B155" s="1809"/>
      <c r="C155" s="1801" t="s">
        <v>1615</v>
      </c>
      <c r="D155" s="1794"/>
      <c r="E155" s="1788"/>
      <c r="F155" s="1078">
        <f>SUM(E148:E153)</f>
        <v>114.88</v>
      </c>
    </row>
    <row r="156" spans="1:7">
      <c r="A156" s="1754">
        <v>44837</v>
      </c>
      <c r="B156" s="1748" t="str">
        <f>TiposLancamentos!B15</f>
        <v>Cartões de Crédito</v>
      </c>
      <c r="C156" s="1740" t="s">
        <v>1874</v>
      </c>
      <c r="D156" s="1736">
        <v>114.88</v>
      </c>
      <c r="E156" s="952"/>
      <c r="F156" s="1027">
        <f>F155-F150</f>
        <v>0</v>
      </c>
      <c r="G156" s="1368" t="s">
        <v>9</v>
      </c>
    </row>
    <row r="157" spans="1:7">
      <c r="A157" s="1754">
        <v>44855</v>
      </c>
      <c r="B157" s="1748"/>
      <c r="C157" s="1740" t="s">
        <v>1868</v>
      </c>
      <c r="D157" s="1736">
        <v>0</v>
      </c>
      <c r="E157" s="952">
        <v>0</v>
      </c>
      <c r="F157" s="1027"/>
    </row>
    <row r="158" spans="1:7">
      <c r="A158" s="1756"/>
      <c r="B158" s="1749"/>
      <c r="C158" s="1741" t="s">
        <v>10</v>
      </c>
      <c r="D158" s="1690"/>
      <c r="E158" s="1231"/>
      <c r="F158" s="1231"/>
      <c r="G158" s="1094" t="s">
        <v>11</v>
      </c>
    </row>
    <row r="159" spans="1:7">
      <c r="A159" s="1754">
        <v>44855</v>
      </c>
      <c r="B159" s="1748"/>
      <c r="C159" s="1740" t="s">
        <v>1868</v>
      </c>
      <c r="D159" s="1736"/>
      <c r="E159" s="952"/>
      <c r="F159" s="1027"/>
    </row>
    <row r="160" spans="1:7">
      <c r="A160" s="1754">
        <v>44859</v>
      </c>
      <c r="B160" s="1748" t="str">
        <f>TiposLancamentos!B19</f>
        <v>Restaurantes</v>
      </c>
      <c r="C160" s="1740" t="s">
        <v>11849</v>
      </c>
      <c r="D160" s="1736"/>
      <c r="E160" s="952">
        <v>9.5</v>
      </c>
      <c r="F160" s="1027"/>
      <c r="G160" s="1368" t="s">
        <v>9</v>
      </c>
    </row>
    <row r="161" spans="1:7" ht="14.25" thickBot="1">
      <c r="A161" s="1754">
        <v>44860</v>
      </c>
      <c r="B161" s="1748" t="str">
        <f>TiposLancamentos!B24</f>
        <v>Estacionamentos</v>
      </c>
      <c r="C161" s="1040" t="s">
        <v>8753</v>
      </c>
      <c r="D161" s="1736"/>
      <c r="E161" s="952">
        <v>10</v>
      </c>
      <c r="F161" s="1027"/>
      <c r="G161" s="1368" t="s">
        <v>9</v>
      </c>
    </row>
    <row r="162" spans="1:7">
      <c r="A162" s="1814"/>
      <c r="B162" s="1809"/>
      <c r="C162" s="1801" t="s">
        <v>1616</v>
      </c>
      <c r="D162" s="1794"/>
      <c r="E162" s="1788"/>
      <c r="F162" s="1078">
        <f>SUM(E153:E158)</f>
        <v>114.88</v>
      </c>
    </row>
    <row r="163" spans="1:7">
      <c r="A163" s="1754">
        <v>44866</v>
      </c>
      <c r="B163" s="1748" t="str">
        <f>TiposLancamentos!B15</f>
        <v>Cartões de Crédito</v>
      </c>
      <c r="C163" s="1740" t="s">
        <v>1874</v>
      </c>
      <c r="D163" s="1736">
        <v>114.88</v>
      </c>
      <c r="E163" s="952"/>
      <c r="F163" s="1027"/>
      <c r="G163" s="1368" t="s">
        <v>9</v>
      </c>
    </row>
    <row r="164" spans="1:7">
      <c r="A164" s="1666">
        <v>44869</v>
      </c>
      <c r="B164" s="1751" t="str">
        <f>TiposLancamentos!B57</f>
        <v>Informática</v>
      </c>
      <c r="C164" s="1742" t="s">
        <v>11850</v>
      </c>
      <c r="D164" s="1735"/>
      <c r="E164" s="920">
        <v>63.67</v>
      </c>
      <c r="F164" s="1781"/>
      <c r="G164" s="1368" t="s">
        <v>9</v>
      </c>
    </row>
    <row r="165" spans="1:7">
      <c r="A165" s="1667">
        <v>44869</v>
      </c>
      <c r="B165" s="1752" t="str">
        <f>TiposLancamentos!B26</f>
        <v>LIVROS</v>
      </c>
      <c r="C165" s="1769" t="s">
        <v>11851</v>
      </c>
      <c r="D165" s="1736"/>
      <c r="E165" s="931">
        <v>17.239999999999998</v>
      </c>
      <c r="F165" s="1782"/>
      <c r="G165" s="1368" t="s">
        <v>9</v>
      </c>
    </row>
    <row r="166" spans="1:7">
      <c r="A166" s="1667">
        <v>44869</v>
      </c>
      <c r="B166" s="1752" t="str">
        <f>TiposLancamentos!B26</f>
        <v>LIVROS</v>
      </c>
      <c r="C166" s="1769" t="s">
        <v>11852</v>
      </c>
      <c r="D166" s="1736"/>
      <c r="E166" s="931">
        <v>101</v>
      </c>
      <c r="F166" s="1782"/>
      <c r="G166" s="1368" t="s">
        <v>9</v>
      </c>
    </row>
    <row r="167" spans="1:7">
      <c r="A167" s="1750">
        <v>44869</v>
      </c>
      <c r="B167" s="1753" t="str">
        <f>TiposLancamentos!B26</f>
        <v>LIVROS</v>
      </c>
      <c r="C167" s="1743" t="s">
        <v>11853</v>
      </c>
      <c r="D167" s="1737"/>
      <c r="E167" s="922">
        <v>88.5</v>
      </c>
      <c r="F167" s="1548">
        <f>SUM(E164:E167)</f>
        <v>270.40999999999997</v>
      </c>
      <c r="G167" s="1368" t="s">
        <v>9</v>
      </c>
    </row>
    <row r="168" spans="1:7">
      <c r="A168" s="1754">
        <v>44887</v>
      </c>
      <c r="B168" s="1748"/>
      <c r="C168" s="1040" t="s">
        <v>1868</v>
      </c>
      <c r="D168" s="1736"/>
      <c r="E168" s="952"/>
      <c r="F168" s="1027"/>
    </row>
    <row r="169" spans="1:7">
      <c r="A169" s="1756"/>
      <c r="B169" s="1749"/>
      <c r="C169" s="1741" t="s">
        <v>10</v>
      </c>
      <c r="D169" s="1690"/>
      <c r="E169" s="1231"/>
      <c r="F169" s="1231"/>
      <c r="G169" s="1094" t="s">
        <v>11</v>
      </c>
    </row>
    <row r="170" spans="1:7">
      <c r="A170" s="1754">
        <v>44890</v>
      </c>
      <c r="B170" s="1748"/>
      <c r="C170" s="1740" t="s">
        <v>1868</v>
      </c>
      <c r="D170" s="1736"/>
      <c r="E170" s="952"/>
      <c r="F170" s="1027"/>
    </row>
    <row r="171" spans="1:7">
      <c r="A171" s="1666">
        <v>44890</v>
      </c>
      <c r="B171" s="1751" t="str">
        <f>TiposLancamentos!B38</f>
        <v>Playstation 4</v>
      </c>
      <c r="C171" s="1744" t="s">
        <v>11854</v>
      </c>
      <c r="D171" s="1735"/>
      <c r="E171" s="920">
        <v>49.87</v>
      </c>
      <c r="F171" s="1614"/>
      <c r="G171" s="1368" t="s">
        <v>9</v>
      </c>
    </row>
    <row r="172" spans="1:7">
      <c r="A172" s="1667">
        <v>44890</v>
      </c>
      <c r="B172" s="1752" t="str">
        <f>TiposLancamentos!B38</f>
        <v>Playstation 4</v>
      </c>
      <c r="C172" s="1745" t="s">
        <v>11855</v>
      </c>
      <c r="D172" s="1736"/>
      <c r="E172" s="931">
        <v>40.17</v>
      </c>
      <c r="F172" s="1027"/>
      <c r="G172" s="1368" t="s">
        <v>9</v>
      </c>
    </row>
    <row r="173" spans="1:7">
      <c r="A173" s="1750">
        <v>44890</v>
      </c>
      <c r="B173" s="1753" t="str">
        <f>TiposLancamentos!B4</f>
        <v>Taxas Bancarias</v>
      </c>
      <c r="C173" s="1800" t="s">
        <v>11856</v>
      </c>
      <c r="D173" s="1737"/>
      <c r="E173" s="922">
        <v>0.34</v>
      </c>
      <c r="F173" s="1548">
        <f>SUM(E171:E173)</f>
        <v>90.38</v>
      </c>
      <c r="G173" s="1368" t="s">
        <v>9</v>
      </c>
    </row>
    <row r="174" spans="1:7" ht="14.25" thickBot="1">
      <c r="A174" s="1754">
        <v>44890</v>
      </c>
      <c r="B174" s="1748"/>
      <c r="C174" s="1740" t="s">
        <v>1868</v>
      </c>
      <c r="D174" s="1736"/>
      <c r="E174" s="952"/>
      <c r="F174" s="1027"/>
    </row>
    <row r="175" spans="1:7">
      <c r="A175" s="1814"/>
      <c r="B175" s="1809"/>
      <c r="C175" s="1801" t="s">
        <v>1617</v>
      </c>
      <c r="D175" s="1794"/>
      <c r="E175" s="1788"/>
      <c r="F175" s="1078">
        <f>SUM(E158:E169)</f>
        <v>289.90999999999997</v>
      </c>
      <c r="G175" s="1368" t="s">
        <v>9</v>
      </c>
    </row>
    <row r="176" spans="1:7">
      <c r="A176" s="1754">
        <v>44896</v>
      </c>
      <c r="B176" s="1748" t="str">
        <f>TiposLancamentos!B15</f>
        <v>Cartões de Crédito</v>
      </c>
      <c r="C176" s="1740" t="s">
        <v>1874</v>
      </c>
      <c r="D176" s="1736">
        <v>289.91000000000003</v>
      </c>
      <c r="E176" s="952"/>
      <c r="F176" s="1027"/>
      <c r="G176" s="1368" t="s">
        <v>9</v>
      </c>
    </row>
    <row r="177" spans="1:7">
      <c r="A177" s="1666">
        <v>44906</v>
      </c>
      <c r="B177" s="1751" t="str">
        <f>TiposLancamentos!B38</f>
        <v>Playstation 4</v>
      </c>
      <c r="C177" s="1744" t="s">
        <v>11857</v>
      </c>
      <c r="D177" s="1735"/>
      <c r="E177" s="920">
        <v>16.7</v>
      </c>
      <c r="F177" s="1614"/>
      <c r="G177" s="1368" t="s">
        <v>9</v>
      </c>
    </row>
    <row r="178" spans="1:7">
      <c r="A178" s="1750">
        <v>44906</v>
      </c>
      <c r="B178" s="1753" t="str">
        <f>TiposLancamentos!B4</f>
        <v>Taxas Bancarias</v>
      </c>
      <c r="C178" s="1800" t="s">
        <v>11856</v>
      </c>
      <c r="D178" s="1737"/>
      <c r="E178" s="922">
        <v>0.06</v>
      </c>
      <c r="F178" s="1548">
        <f>SUM(E177:E178)</f>
        <v>16.759999999999998</v>
      </c>
      <c r="G178" s="1368" t="s">
        <v>9</v>
      </c>
    </row>
    <row r="179" spans="1:7">
      <c r="A179" s="1754">
        <v>44913</v>
      </c>
      <c r="B179" s="1748" t="str">
        <f>TiposLancamentos!B17</f>
        <v>GATO</v>
      </c>
      <c r="C179" s="1740" t="s">
        <v>11858</v>
      </c>
      <c r="D179" s="1736"/>
      <c r="E179" s="952">
        <v>82.53</v>
      </c>
      <c r="F179" s="1027"/>
      <c r="G179" s="1368" t="s">
        <v>9</v>
      </c>
    </row>
    <row r="180" spans="1:7">
      <c r="A180" s="1754">
        <v>44916</v>
      </c>
      <c r="B180" s="1748" t="str">
        <f>TiposLancamentos!B38</f>
        <v>Playstation 4</v>
      </c>
      <c r="C180" s="1740" t="s">
        <v>11859</v>
      </c>
      <c r="D180" s="1736"/>
      <c r="E180" s="952">
        <v>99</v>
      </c>
      <c r="F180" s="1027"/>
      <c r="G180" s="1368" t="s">
        <v>9</v>
      </c>
    </row>
    <row r="181" spans="1:7">
      <c r="A181" s="1666">
        <v>44916</v>
      </c>
      <c r="B181" s="1666" t="str">
        <f>TiposLancamentos!B37</f>
        <v>Playstation 3</v>
      </c>
      <c r="C181" s="1742" t="s">
        <v>8790</v>
      </c>
      <c r="D181" s="1735"/>
      <c r="E181" s="920">
        <v>73.989999999999995</v>
      </c>
      <c r="F181" s="1783"/>
      <c r="G181" s="1368" t="s">
        <v>9</v>
      </c>
    </row>
    <row r="182" spans="1:7">
      <c r="A182" s="1750">
        <v>44916</v>
      </c>
      <c r="B182" s="1750" t="str">
        <f>TiposLancamentos!B37</f>
        <v>Playstation 3</v>
      </c>
      <c r="C182" s="1743" t="s">
        <v>8791</v>
      </c>
      <c r="D182" s="1737"/>
      <c r="E182" s="922">
        <f>F182/2</f>
        <v>73.989999999999995</v>
      </c>
      <c r="F182" s="1548">
        <v>147.97999999999999</v>
      </c>
      <c r="G182" s="1368" t="s">
        <v>9</v>
      </c>
    </row>
    <row r="183" spans="1:7">
      <c r="A183" s="1754">
        <v>44917</v>
      </c>
      <c r="B183" s="1748"/>
      <c r="C183" s="1740" t="s">
        <v>1868</v>
      </c>
      <c r="D183" s="1736"/>
      <c r="E183" s="952"/>
      <c r="F183" s="1027"/>
      <c r="G183" s="1368" t="s">
        <v>9</v>
      </c>
    </row>
    <row r="184" spans="1:7">
      <c r="A184" s="1756"/>
      <c r="B184" s="1749"/>
      <c r="C184" s="1741" t="s">
        <v>10</v>
      </c>
      <c r="D184" s="1690"/>
      <c r="E184" s="1231"/>
      <c r="F184" s="1231"/>
      <c r="G184" s="1094" t="s">
        <v>11</v>
      </c>
    </row>
    <row r="185" spans="1:7">
      <c r="A185" s="1754">
        <v>44919</v>
      </c>
      <c r="B185" s="1748" t="str">
        <f>TiposLancamentos!B57</f>
        <v>Informática</v>
      </c>
      <c r="C185" s="1740" t="s">
        <v>10061</v>
      </c>
      <c r="D185" s="1736"/>
      <c r="E185" s="952">
        <v>75.66</v>
      </c>
      <c r="F185" s="1027"/>
      <c r="G185" s="1368" t="s">
        <v>9</v>
      </c>
    </row>
    <row r="186" spans="1:7">
      <c r="A186" s="1754"/>
      <c r="B186" s="1748"/>
      <c r="C186" s="1740" t="s">
        <v>1868</v>
      </c>
      <c r="D186" s="1736"/>
      <c r="E186" s="952"/>
      <c r="F186" s="1027"/>
    </row>
    <row r="187" spans="1:7">
      <c r="A187" s="1666">
        <v>44924</v>
      </c>
      <c r="B187" s="1751" t="str">
        <f>TiposLancamentos!B38</f>
        <v>Playstation 4</v>
      </c>
      <c r="C187" s="1744" t="s">
        <v>11860</v>
      </c>
      <c r="D187" s="1735"/>
      <c r="E187" s="920">
        <v>33.83</v>
      </c>
      <c r="F187" s="1614"/>
      <c r="G187" s="1368" t="s">
        <v>9</v>
      </c>
    </row>
    <row r="188" spans="1:7">
      <c r="A188" s="1667">
        <v>44924</v>
      </c>
      <c r="B188" s="1752" t="str">
        <f>TiposLancamentos!B38</f>
        <v>Playstation 4</v>
      </c>
      <c r="C188" s="1745" t="s">
        <v>11861</v>
      </c>
      <c r="D188" s="1736"/>
      <c r="E188" s="931">
        <v>6.29</v>
      </c>
      <c r="F188" s="1027"/>
      <c r="G188" s="1368" t="s">
        <v>9</v>
      </c>
    </row>
    <row r="189" spans="1:7">
      <c r="A189" s="1667">
        <v>44924</v>
      </c>
      <c r="B189" s="1752" t="str">
        <f>TiposLancamentos!B38</f>
        <v>Playstation 4</v>
      </c>
      <c r="C189" s="1745" t="s">
        <v>11862</v>
      </c>
      <c r="D189" s="1736"/>
      <c r="E189" s="931">
        <v>49.87</v>
      </c>
      <c r="F189" s="1027"/>
      <c r="G189" s="1368" t="s">
        <v>9</v>
      </c>
    </row>
    <row r="190" spans="1:7">
      <c r="A190" s="1667">
        <v>44924</v>
      </c>
      <c r="B190" s="1752" t="str">
        <f>TiposLancamentos!B38</f>
        <v>Playstation 4</v>
      </c>
      <c r="C190" s="1745" t="s">
        <v>11863</v>
      </c>
      <c r="D190" s="1736"/>
      <c r="E190" s="931">
        <v>17.87</v>
      </c>
      <c r="F190" s="1027">
        <f>SUM(E187:E190)</f>
        <v>107.86</v>
      </c>
      <c r="G190" s="1368" t="s">
        <v>9</v>
      </c>
    </row>
    <row r="191" spans="1:7">
      <c r="A191" s="1750">
        <v>44924</v>
      </c>
      <c r="B191" s="1753" t="str">
        <f>TiposLancamentos!B4</f>
        <v>Taxas Bancarias</v>
      </c>
      <c r="C191" s="1746" t="s">
        <v>4858</v>
      </c>
      <c r="D191" s="1737"/>
      <c r="E191" s="922">
        <v>0.41</v>
      </c>
      <c r="F191" s="1548">
        <f>SUM(E187:E191)</f>
        <v>108.27</v>
      </c>
      <c r="G191" s="1368" t="s">
        <v>9</v>
      </c>
    </row>
    <row r="192" spans="1:7">
      <c r="A192" s="1754"/>
      <c r="B192" s="1748"/>
      <c r="C192" s="1740" t="s">
        <v>1868</v>
      </c>
      <c r="D192" s="1736"/>
      <c r="E192" s="952"/>
      <c r="F192" s="1027"/>
    </row>
    <row r="193" spans="1:7">
      <c r="A193" s="1754">
        <v>44926</v>
      </c>
      <c r="B193" s="1748" t="str">
        <f>TiposLancamentos!B71</f>
        <v>Itens Pessoais</v>
      </c>
      <c r="C193" s="1740" t="s">
        <v>11864</v>
      </c>
      <c r="D193" s="1736"/>
      <c r="E193" s="952">
        <v>79.34</v>
      </c>
      <c r="F193" s="1027"/>
      <c r="G193" s="1368" t="s">
        <v>9</v>
      </c>
    </row>
    <row r="194" spans="1:7" ht="14.25" thickBot="1">
      <c r="A194" s="1754"/>
      <c r="B194" s="1748"/>
      <c r="C194" s="1740" t="s">
        <v>1868</v>
      </c>
      <c r="D194" s="1736"/>
      <c r="E194" s="952"/>
      <c r="F194" s="1027"/>
    </row>
    <row r="195" spans="1:7">
      <c r="A195" s="1814"/>
      <c r="B195" s="1809"/>
      <c r="C195" s="1801" t="s">
        <v>1618</v>
      </c>
      <c r="D195" s="1794"/>
      <c r="E195" s="1788"/>
      <c r="F195" s="1078">
        <f>SUM(E169:E184)</f>
        <v>436.65000000000003</v>
      </c>
    </row>
    <row r="196" spans="1:7">
      <c r="A196" s="1754">
        <v>44928</v>
      </c>
      <c r="B196" s="1748" t="str">
        <f>TiposLancamentos!B15</f>
        <v>Cartões de Crédito</v>
      </c>
      <c r="C196" s="1740" t="s">
        <v>1874</v>
      </c>
      <c r="D196" s="1736">
        <v>436.65</v>
      </c>
      <c r="E196" s="952"/>
      <c r="F196" s="1027">
        <f>F195-F175</f>
        <v>146.74000000000007</v>
      </c>
    </row>
    <row r="197" spans="1:7">
      <c r="A197" s="1754">
        <v>44930</v>
      </c>
      <c r="B197" s="1748" t="str">
        <f>TiposLancamentos!B31</f>
        <v>Action Figures</v>
      </c>
      <c r="C197" s="1740" t="s">
        <v>11865</v>
      </c>
      <c r="D197" s="1736"/>
      <c r="E197" s="952">
        <v>308.49</v>
      </c>
      <c r="F197" s="1027"/>
      <c r="G197" s="1368" t="s">
        <v>9</v>
      </c>
    </row>
    <row r="198" spans="1:7">
      <c r="A198" s="1666">
        <v>44935</v>
      </c>
      <c r="B198" s="1751" t="str">
        <f>TiposLancamentos!B45</f>
        <v>Online Services</v>
      </c>
      <c r="C198" s="1744" t="s">
        <v>11866</v>
      </c>
      <c r="D198" s="1735"/>
      <c r="E198" s="920">
        <v>249.9</v>
      </c>
      <c r="F198" s="1614"/>
      <c r="G198" s="1368" t="s">
        <v>9</v>
      </c>
    </row>
    <row r="199" spans="1:7">
      <c r="A199" s="1750">
        <v>44935</v>
      </c>
      <c r="B199" s="1753" t="str">
        <f>TiposLancamentos!B4</f>
        <v>Taxas Bancarias</v>
      </c>
      <c r="C199" s="1800" t="s">
        <v>11867</v>
      </c>
      <c r="D199" s="1737"/>
      <c r="E199" s="922">
        <v>0.95</v>
      </c>
      <c r="F199" s="1548">
        <f>SUM(E198:E199)</f>
        <v>250.85</v>
      </c>
      <c r="G199" s="1368" t="s">
        <v>9</v>
      </c>
    </row>
    <row r="200" spans="1:7">
      <c r="A200" s="1754"/>
      <c r="B200" s="1748"/>
      <c r="C200" s="1740" t="s">
        <v>1868</v>
      </c>
      <c r="D200" s="1736"/>
      <c r="E200" s="952"/>
      <c r="F200" s="1027"/>
    </row>
    <row r="201" spans="1:7">
      <c r="A201" s="1666">
        <v>44943</v>
      </c>
      <c r="B201" s="1751" t="str">
        <f>TiposLancamentos!B38</f>
        <v>Playstation 4</v>
      </c>
      <c r="C201" s="1744" t="s">
        <v>11868</v>
      </c>
      <c r="D201" s="1735"/>
      <c r="E201" s="920">
        <v>6.99</v>
      </c>
      <c r="F201" s="1614"/>
      <c r="G201" s="1368" t="s">
        <v>9</v>
      </c>
    </row>
    <row r="202" spans="1:7">
      <c r="A202" s="1750">
        <v>44943</v>
      </c>
      <c r="B202" s="1753" t="str">
        <f>TiposLancamentos!B4</f>
        <v>Taxas Bancarias</v>
      </c>
      <c r="C202" s="1746" t="s">
        <v>11869</v>
      </c>
      <c r="D202" s="1737"/>
      <c r="E202" s="922">
        <v>0.03</v>
      </c>
      <c r="F202" s="1548">
        <f>SUM(E201:E202)</f>
        <v>7.0200000000000005</v>
      </c>
      <c r="G202" s="1368" t="s">
        <v>9</v>
      </c>
    </row>
    <row r="203" spans="1:7">
      <c r="A203" s="1754"/>
      <c r="B203" s="1748"/>
      <c r="C203" s="1740" t="s">
        <v>1868</v>
      </c>
      <c r="D203" s="1736"/>
      <c r="E203" s="952"/>
      <c r="F203" s="1027"/>
    </row>
    <row r="204" spans="1:7">
      <c r="A204" s="1756"/>
      <c r="B204" s="1749"/>
      <c r="C204" s="1741" t="s">
        <v>10</v>
      </c>
      <c r="D204" s="1690"/>
      <c r="E204" s="1231"/>
      <c r="F204" s="1231"/>
      <c r="G204" s="1094" t="s">
        <v>11</v>
      </c>
    </row>
    <row r="205" spans="1:7" ht="14.25" thickBot="1">
      <c r="A205" s="1754">
        <v>44954</v>
      </c>
      <c r="B205" s="1748" t="str">
        <f>TiposLancamentos!B45</f>
        <v>Online Services</v>
      </c>
      <c r="C205" s="1740" t="s">
        <v>11232</v>
      </c>
      <c r="D205" s="1736"/>
      <c r="E205" s="952">
        <v>69.989999999999995</v>
      </c>
      <c r="F205" s="1027"/>
    </row>
    <row r="206" spans="1:7">
      <c r="A206" s="1814"/>
      <c r="B206" s="1809"/>
      <c r="C206" s="1801" t="s">
        <v>1619</v>
      </c>
      <c r="D206" s="1794"/>
      <c r="E206" s="1788"/>
      <c r="F206" s="1078">
        <f>SUM(E184:E204)</f>
        <v>829.63</v>
      </c>
    </row>
    <row r="207" spans="1:7">
      <c r="A207" s="1754">
        <v>44958</v>
      </c>
      <c r="B207" s="1748" t="str">
        <f>TiposLancamentos!B15</f>
        <v>Cartões de Crédito</v>
      </c>
      <c r="C207" s="1740" t="s">
        <v>1874</v>
      </c>
      <c r="D207" s="1736">
        <v>829.63</v>
      </c>
      <c r="E207" s="952"/>
      <c r="F207" s="1027">
        <f>F206-F195</f>
        <v>392.97999999999996</v>
      </c>
      <c r="G207" s="1368" t="s">
        <v>9</v>
      </c>
    </row>
    <row r="208" spans="1:7">
      <c r="A208" s="1754">
        <v>44969</v>
      </c>
      <c r="B208" s="1748" t="str">
        <f>TiposLancamentos!B37</f>
        <v>Playstation 3</v>
      </c>
      <c r="C208" s="1740" t="s">
        <v>11870</v>
      </c>
      <c r="D208" s="1736"/>
      <c r="E208" s="952">
        <v>131.34</v>
      </c>
      <c r="F208" s="1027"/>
      <c r="G208" s="1368" t="s">
        <v>9</v>
      </c>
    </row>
    <row r="209" spans="1:7">
      <c r="A209" s="1756"/>
      <c r="B209" s="1749"/>
      <c r="C209" s="1741" t="s">
        <v>10</v>
      </c>
      <c r="D209" s="1690"/>
      <c r="E209" s="1231"/>
      <c r="F209" s="1231"/>
      <c r="G209" s="1094" t="s">
        <v>11</v>
      </c>
    </row>
    <row r="210" spans="1:7" ht="14.25" thickBot="1">
      <c r="A210" s="1754"/>
      <c r="B210" s="1748"/>
      <c r="C210" s="1740" t="s">
        <v>1868</v>
      </c>
      <c r="D210" s="1736"/>
      <c r="E210" s="952"/>
      <c r="F210" s="1027"/>
      <c r="G210" s="1094" t="s">
        <v>11</v>
      </c>
    </row>
    <row r="211" spans="1:7">
      <c r="A211" s="1814"/>
      <c r="B211" s="1809"/>
      <c r="C211" s="1801" t="s">
        <v>1620</v>
      </c>
      <c r="D211" s="1794"/>
      <c r="E211" s="1788"/>
      <c r="F211" s="1078">
        <f>SUM(E204:E209)</f>
        <v>201.32999999999998</v>
      </c>
    </row>
    <row r="212" spans="1:7">
      <c r="A212" s="1754">
        <v>44986</v>
      </c>
      <c r="B212" s="1748" t="str">
        <f>TiposLancamentos!B15</f>
        <v>Cartões de Crédito</v>
      </c>
      <c r="C212" s="1740" t="s">
        <v>1874</v>
      </c>
      <c r="D212" s="1736">
        <v>201.33</v>
      </c>
      <c r="E212" s="952"/>
      <c r="F212" s="1027">
        <f>F211-F206</f>
        <v>-628.29999999999995</v>
      </c>
      <c r="G212" s="1368" t="s">
        <v>9</v>
      </c>
    </row>
    <row r="213" spans="1:7">
      <c r="A213" s="1666">
        <v>44997</v>
      </c>
      <c r="B213" s="1751" t="str">
        <f>TiposLancamentos!B38</f>
        <v>Playstation 4</v>
      </c>
      <c r="C213" s="1744" t="s">
        <v>11871</v>
      </c>
      <c r="D213" s="1735"/>
      <c r="E213" s="920">
        <v>59.99</v>
      </c>
      <c r="F213" s="1614"/>
      <c r="G213" s="1368" t="s">
        <v>9</v>
      </c>
    </row>
    <row r="214" spans="1:7">
      <c r="A214" s="1750">
        <v>44997</v>
      </c>
      <c r="B214" s="1753" t="str">
        <f>TiposLancamentos!B4</f>
        <v>Taxas Bancarias</v>
      </c>
      <c r="C214" s="1746" t="s">
        <v>11872</v>
      </c>
      <c r="D214" s="1737"/>
      <c r="E214" s="922">
        <f>F214-E213</f>
        <v>0.22999999999999687</v>
      </c>
      <c r="F214" s="1548">
        <v>60.22</v>
      </c>
      <c r="G214" s="1368" t="s">
        <v>9</v>
      </c>
    </row>
    <row r="215" spans="1:7">
      <c r="A215" s="1754"/>
      <c r="B215" s="1748"/>
      <c r="C215" s="1740" t="s">
        <v>1868</v>
      </c>
      <c r="D215" s="1736"/>
      <c r="E215" s="952"/>
      <c r="F215" s="1027"/>
      <c r="G215" s="1094" t="s">
        <v>11</v>
      </c>
    </row>
    <row r="216" spans="1:7">
      <c r="A216" s="1666">
        <v>45000</v>
      </c>
      <c r="B216" s="1751" t="str">
        <f>TiposLancamentos!B38</f>
        <v>Playstation 4</v>
      </c>
      <c r="C216" s="1744" t="s">
        <v>11873</v>
      </c>
      <c r="D216" s="1735"/>
      <c r="E216" s="920">
        <v>39.9</v>
      </c>
      <c r="F216" s="1614"/>
      <c r="G216" s="1368" t="s">
        <v>9</v>
      </c>
    </row>
    <row r="217" spans="1:7">
      <c r="A217" s="1750">
        <v>45000</v>
      </c>
      <c r="B217" s="1753" t="str">
        <f>TiposLancamentos!B4</f>
        <v>Taxas Bancarias</v>
      </c>
      <c r="C217" s="1746" t="s">
        <v>11874</v>
      </c>
      <c r="D217" s="1737"/>
      <c r="E217" s="922">
        <f>F217-E216</f>
        <v>0.14999999999999858</v>
      </c>
      <c r="F217" s="1548">
        <v>40.049999999999997</v>
      </c>
      <c r="G217" s="1368" t="s">
        <v>9</v>
      </c>
    </row>
    <row r="218" spans="1:7">
      <c r="A218" s="1754"/>
      <c r="B218" s="1748"/>
      <c r="C218" s="1740" t="s">
        <v>1868</v>
      </c>
      <c r="D218" s="1736"/>
      <c r="E218" s="952"/>
      <c r="F218" s="1027"/>
      <c r="G218" s="1094" t="s">
        <v>11</v>
      </c>
    </row>
    <row r="219" spans="1:7">
      <c r="A219" s="1756"/>
      <c r="B219" s="1749"/>
      <c r="C219" s="1741" t="s">
        <v>10</v>
      </c>
      <c r="D219" s="1690"/>
      <c r="E219" s="1231"/>
      <c r="F219" s="1231"/>
      <c r="G219" s="1094" t="s">
        <v>11</v>
      </c>
    </row>
    <row r="220" spans="1:7">
      <c r="A220" s="1754"/>
      <c r="B220" s="1748"/>
      <c r="C220" s="1740" t="s">
        <v>1868</v>
      </c>
      <c r="D220" s="1736"/>
      <c r="E220" s="952"/>
      <c r="F220" s="1027"/>
      <c r="G220" s="1094" t="s">
        <v>11</v>
      </c>
    </row>
    <row r="221" spans="1:7">
      <c r="A221" s="1666">
        <v>45008</v>
      </c>
      <c r="B221" s="1751" t="str">
        <f>TiposLancamentos!B38</f>
        <v>Playstation 4</v>
      </c>
      <c r="C221" s="1744" t="s">
        <v>11875</v>
      </c>
      <c r="D221" s="1735"/>
      <c r="E221" s="920">
        <v>19.97</v>
      </c>
      <c r="F221" s="1614"/>
      <c r="G221" s="1368" t="s">
        <v>9</v>
      </c>
    </row>
    <row r="222" spans="1:7">
      <c r="A222" s="1667">
        <v>45008</v>
      </c>
      <c r="B222" s="1752" t="str">
        <f>TiposLancamentos!B38</f>
        <v>Playstation 4</v>
      </c>
      <c r="C222" s="1745" t="s">
        <v>11876</v>
      </c>
      <c r="D222" s="1736"/>
      <c r="E222" s="931">
        <v>37.729999999999997</v>
      </c>
      <c r="F222" s="1027"/>
      <c r="G222" s="1368" t="s">
        <v>9</v>
      </c>
    </row>
    <row r="223" spans="1:7">
      <c r="A223" s="1667">
        <v>45008</v>
      </c>
      <c r="B223" s="1752" t="str">
        <f>TiposLancamentos!B38</f>
        <v>Playstation 4</v>
      </c>
      <c r="C223" s="1745" t="s">
        <v>11877</v>
      </c>
      <c r="D223" s="1736"/>
      <c r="E223" s="931">
        <v>26.95</v>
      </c>
      <c r="F223" s="1027"/>
      <c r="G223" s="1368" t="s">
        <v>9</v>
      </c>
    </row>
    <row r="224" spans="1:7">
      <c r="A224" s="1750">
        <v>45008</v>
      </c>
      <c r="B224" s="1753" t="str">
        <f>TiposLancamentos!B4</f>
        <v>Taxas Bancarias</v>
      </c>
      <c r="C224" s="1746" t="s">
        <v>11878</v>
      </c>
      <c r="D224" s="1737"/>
      <c r="E224" s="922">
        <v>0.32</v>
      </c>
      <c r="F224" s="1548">
        <f>SUM(E221:E224)</f>
        <v>84.969999999999985</v>
      </c>
      <c r="G224" s="1368" t="s">
        <v>9</v>
      </c>
    </row>
    <row r="225" spans="1:7">
      <c r="A225" s="1754"/>
      <c r="B225" s="1748"/>
      <c r="C225" s="1740" t="s">
        <v>1868</v>
      </c>
      <c r="D225" s="1736"/>
      <c r="E225" s="952"/>
      <c r="F225" s="1027"/>
      <c r="G225" s="1094" t="s">
        <v>11</v>
      </c>
    </row>
    <row r="226" spans="1:7">
      <c r="A226" s="1754">
        <v>45008</v>
      </c>
      <c r="B226" s="1748" t="str">
        <f>TiposLancamentos!B36</f>
        <v>Playstation 2</v>
      </c>
      <c r="C226" s="1740" t="s">
        <v>11879</v>
      </c>
      <c r="D226" s="1736"/>
      <c r="E226" s="952">
        <v>100</v>
      </c>
      <c r="F226" s="1027"/>
      <c r="G226" s="1368" t="s">
        <v>9</v>
      </c>
    </row>
    <row r="227" spans="1:7">
      <c r="A227" s="1754">
        <v>45009</v>
      </c>
      <c r="B227" s="1748" t="str">
        <f>TiposLancamentos!B16</f>
        <v>Cristiane</v>
      </c>
      <c r="C227" s="1740" t="s">
        <v>11880</v>
      </c>
      <c r="D227" s="1736"/>
      <c r="E227" s="952">
        <v>81.88</v>
      </c>
      <c r="F227" s="1027"/>
      <c r="G227" s="1368" t="s">
        <v>9</v>
      </c>
    </row>
    <row r="228" spans="1:7">
      <c r="A228" s="1754">
        <v>45011</v>
      </c>
      <c r="B228" s="1748" t="str">
        <f>TiposLancamentos!B19</f>
        <v>Restaurantes</v>
      </c>
      <c r="C228" s="1740" t="s">
        <v>11881</v>
      </c>
      <c r="D228" s="1736"/>
      <c r="E228" s="952">
        <v>221.98</v>
      </c>
      <c r="F228" s="1027"/>
      <c r="G228" s="1368" t="s">
        <v>9</v>
      </c>
    </row>
    <row r="229" spans="1:7" ht="14.25" thickBot="1">
      <c r="A229" s="1754">
        <v>45011</v>
      </c>
      <c r="B229" s="1748" t="str">
        <f>TiposLancamentos!B56</f>
        <v>Farmácia</v>
      </c>
      <c r="C229" s="1740" t="s">
        <v>6118</v>
      </c>
      <c r="D229" s="1736"/>
      <c r="E229" s="952">
        <v>125.54</v>
      </c>
      <c r="F229" s="1027"/>
      <c r="G229" s="1368" t="s">
        <v>9</v>
      </c>
    </row>
    <row r="230" spans="1:7">
      <c r="A230" s="1814"/>
      <c r="B230" s="1809"/>
      <c r="C230" s="1801" t="s">
        <v>1621</v>
      </c>
      <c r="D230" s="1794"/>
      <c r="E230" s="1788"/>
      <c r="F230" s="1078">
        <f>SUM(E209:E219)</f>
        <v>100.27000000000001</v>
      </c>
    </row>
    <row r="231" spans="1:7">
      <c r="A231" s="1754">
        <v>45018</v>
      </c>
      <c r="B231" s="1748" t="str">
        <f>TiposLancamentos!B15</f>
        <v>Cartões de Crédito</v>
      </c>
      <c r="C231" s="1740" t="s">
        <v>1874</v>
      </c>
      <c r="D231" s="1736">
        <v>100.27</v>
      </c>
      <c r="E231" s="952"/>
      <c r="F231" s="1027">
        <f>F230-F211</f>
        <v>-101.05999999999997</v>
      </c>
      <c r="G231" s="1368" t="s">
        <v>9</v>
      </c>
    </row>
    <row r="232" spans="1:7">
      <c r="A232" s="1754"/>
      <c r="B232" s="1748"/>
      <c r="C232" s="1740" t="s">
        <v>1868</v>
      </c>
      <c r="D232" s="1736"/>
      <c r="E232" s="952"/>
      <c r="F232" s="1027"/>
    </row>
    <row r="233" spans="1:7">
      <c r="A233" s="1756"/>
      <c r="B233" s="1749"/>
      <c r="C233" s="1741" t="s">
        <v>10</v>
      </c>
      <c r="D233" s="1690"/>
      <c r="E233" s="1231"/>
      <c r="F233" s="1231"/>
      <c r="G233" s="1094" t="s">
        <v>11</v>
      </c>
    </row>
    <row r="234" spans="1:7">
      <c r="A234" s="1754">
        <v>45037</v>
      </c>
      <c r="B234" s="1748" t="str">
        <f>TiposLancamentos!B19</f>
        <v>Restaurantes</v>
      </c>
      <c r="C234" s="1740" t="s">
        <v>11882</v>
      </c>
      <c r="D234" s="1736"/>
      <c r="E234" s="952">
        <v>216.59</v>
      </c>
      <c r="F234" s="1027"/>
      <c r="G234" s="1368" t="s">
        <v>9</v>
      </c>
    </row>
    <row r="235" spans="1:7">
      <c r="A235" s="1754">
        <v>45037</v>
      </c>
      <c r="B235" s="1748" t="str">
        <f>TiposLancamentos!B19</f>
        <v>Restaurantes</v>
      </c>
      <c r="C235" s="1740" t="s">
        <v>11883</v>
      </c>
      <c r="D235" s="1736"/>
      <c r="E235" s="952">
        <v>30</v>
      </c>
      <c r="F235" s="1027"/>
      <c r="G235" s="1368" t="s">
        <v>9</v>
      </c>
    </row>
    <row r="236" spans="1:7">
      <c r="A236" s="1754">
        <v>45037</v>
      </c>
      <c r="B236" s="1748" t="str">
        <f>TiposLancamentos!B24</f>
        <v>Estacionamentos</v>
      </c>
      <c r="C236" s="1740" t="s">
        <v>11884</v>
      </c>
      <c r="D236" s="1736"/>
      <c r="E236" s="952">
        <v>12</v>
      </c>
      <c r="F236" s="1027"/>
      <c r="G236" s="1368" t="s">
        <v>9</v>
      </c>
    </row>
    <row r="237" spans="1:7">
      <c r="A237" s="1666">
        <v>45041</v>
      </c>
      <c r="B237" s="1751" t="str">
        <f>TiposLancamentos!B38</f>
        <v>Playstation 4</v>
      </c>
      <c r="C237" s="1744" t="s">
        <v>11885</v>
      </c>
      <c r="D237" s="1735"/>
      <c r="E237" s="920">
        <v>9.9499999999999993</v>
      </c>
      <c r="F237" s="1614"/>
      <c r="G237" s="1368" t="s">
        <v>9</v>
      </c>
    </row>
    <row r="238" spans="1:7" ht="14.25" thickBot="1">
      <c r="A238" s="1750">
        <v>45041</v>
      </c>
      <c r="B238" s="1753" t="str">
        <f>TiposLancamentos!B4</f>
        <v>Taxas Bancarias</v>
      </c>
      <c r="C238" s="1746" t="s">
        <v>11886</v>
      </c>
      <c r="D238" s="1737"/>
      <c r="E238" s="922">
        <v>0.04</v>
      </c>
      <c r="F238" s="1548">
        <f>SUM(E237:E238)</f>
        <v>9.9899999999999984</v>
      </c>
      <c r="G238" s="1368" t="s">
        <v>9</v>
      </c>
    </row>
    <row r="239" spans="1:7">
      <c r="A239" s="1814"/>
      <c r="B239" s="1809"/>
      <c r="C239" s="1801" t="s">
        <v>1622</v>
      </c>
      <c r="D239" s="1794"/>
      <c r="E239" s="1788"/>
      <c r="F239" s="1078">
        <f>SUM(E219:E233)</f>
        <v>614.36999999999989</v>
      </c>
    </row>
    <row r="240" spans="1:7">
      <c r="A240" s="1754">
        <v>45047</v>
      </c>
      <c r="B240" s="1748" t="str">
        <f>TiposLancamentos!B15</f>
        <v>Cartões de Crédito</v>
      </c>
      <c r="C240" s="1740" t="s">
        <v>1874</v>
      </c>
      <c r="D240" s="1736">
        <v>614.37</v>
      </c>
      <c r="E240" s="952"/>
      <c r="F240" s="1027">
        <f>F239-F230</f>
        <v>514.09999999999991</v>
      </c>
      <c r="G240" s="1368" t="s">
        <v>9</v>
      </c>
    </row>
    <row r="241" spans="1:11">
      <c r="A241" s="1666">
        <v>45058</v>
      </c>
      <c r="B241" s="1751" t="str">
        <f>TiposLancamentos!B36</f>
        <v>Playstation 2</v>
      </c>
      <c r="C241" s="1744" t="s">
        <v>11370</v>
      </c>
      <c r="D241" s="1735"/>
      <c r="E241" s="920">
        <v>140.87</v>
      </c>
      <c r="F241" s="1614" t="s">
        <v>11887</v>
      </c>
      <c r="G241" s="1368" t="s">
        <v>9</v>
      </c>
    </row>
    <row r="242" spans="1:11">
      <c r="A242" s="1750">
        <v>45058</v>
      </c>
      <c r="B242" s="1753" t="str">
        <f>TiposLancamentos!B4</f>
        <v>Taxas Bancarias</v>
      </c>
      <c r="C242" s="1746" t="s">
        <v>11372</v>
      </c>
      <c r="D242" s="1737"/>
      <c r="E242" s="922">
        <v>7.58</v>
      </c>
      <c r="F242" s="1548">
        <f>SUM(E241:E242)</f>
        <v>148.45000000000002</v>
      </c>
      <c r="G242" s="1368" t="s">
        <v>9</v>
      </c>
      <c r="K242" s="804"/>
    </row>
    <row r="243" spans="1:11">
      <c r="A243" s="1754"/>
      <c r="B243" s="1748"/>
      <c r="C243" s="1740" t="s">
        <v>1868</v>
      </c>
      <c r="D243" s="1736"/>
      <c r="E243" s="952"/>
      <c r="F243" s="1027"/>
    </row>
    <row r="244" spans="1:11">
      <c r="A244" s="1756"/>
      <c r="B244" s="1749"/>
      <c r="C244" s="1741" t="s">
        <v>10</v>
      </c>
      <c r="D244" s="1690"/>
      <c r="E244" s="1231"/>
      <c r="F244" s="1231"/>
      <c r="G244" s="1094" t="s">
        <v>11</v>
      </c>
    </row>
    <row r="245" spans="1:11">
      <c r="A245" s="1754">
        <v>45073</v>
      </c>
      <c r="B245" s="1748" t="str">
        <f>TiposLancamentos!B37</f>
        <v>Playstation 3</v>
      </c>
      <c r="C245" s="1740" t="s">
        <v>11888</v>
      </c>
      <c r="D245" s="1736"/>
      <c r="E245" s="952">
        <v>60</v>
      </c>
      <c r="F245" s="1027"/>
      <c r="G245" s="1368" t="s">
        <v>9</v>
      </c>
    </row>
    <row r="246" spans="1:11">
      <c r="A246" s="1754">
        <v>45073</v>
      </c>
      <c r="B246" s="1748" t="str">
        <f>TiposLancamentos!B36</f>
        <v>Playstation 2</v>
      </c>
      <c r="C246" s="1740" t="s">
        <v>11889</v>
      </c>
      <c r="D246" s="1736"/>
      <c r="E246" s="952">
        <v>44.6</v>
      </c>
      <c r="F246" s="1027"/>
      <c r="G246" s="1368" t="s">
        <v>9</v>
      </c>
    </row>
    <row r="247" spans="1:11">
      <c r="A247" s="1754">
        <v>45074</v>
      </c>
      <c r="B247" s="1748" t="str">
        <f>TiposLancamentos!B19</f>
        <v>Restaurantes</v>
      </c>
      <c r="C247" s="1740" t="s">
        <v>11890</v>
      </c>
      <c r="D247" s="1736"/>
      <c r="E247" s="952">
        <v>263.66000000000003</v>
      </c>
      <c r="F247" s="1027"/>
      <c r="G247" s="1368" t="s">
        <v>9</v>
      </c>
    </row>
    <row r="248" spans="1:11" ht="14.25" thickBot="1">
      <c r="A248" s="1754"/>
      <c r="B248" s="1748"/>
      <c r="C248" s="1740" t="s">
        <v>1868</v>
      </c>
      <c r="D248" s="1736"/>
      <c r="E248" s="952" t="s">
        <v>11891</v>
      </c>
      <c r="F248" s="1027"/>
    </row>
    <row r="249" spans="1:11">
      <c r="A249" s="1814"/>
      <c r="B249" s="1809"/>
      <c r="C249" s="1801" t="s">
        <v>1623</v>
      </c>
      <c r="D249" s="1794"/>
      <c r="E249" s="1788"/>
      <c r="F249" s="1078">
        <f>SUM(E233:E244)</f>
        <v>417.03000000000003</v>
      </c>
    </row>
    <row r="250" spans="1:11">
      <c r="A250" s="1754">
        <v>45078</v>
      </c>
      <c r="B250" s="1748" t="str">
        <f>TiposLancamentos!B15</f>
        <v>Cartões de Crédito</v>
      </c>
      <c r="C250" s="1740" t="s">
        <v>1874</v>
      </c>
      <c r="D250" s="1736">
        <v>417.03</v>
      </c>
      <c r="E250" s="952"/>
      <c r="F250" s="1027">
        <f>F249-F239</f>
        <v>-197.33999999999986</v>
      </c>
      <c r="G250" s="1368" t="s">
        <v>9</v>
      </c>
    </row>
    <row r="251" spans="1:11">
      <c r="A251" s="1754"/>
      <c r="B251" s="1748"/>
      <c r="C251" s="1740" t="s">
        <v>1868</v>
      </c>
      <c r="D251" s="1736"/>
      <c r="E251" s="952"/>
      <c r="F251" s="1027"/>
    </row>
    <row r="252" spans="1:11">
      <c r="A252" s="1756"/>
      <c r="B252" s="1749"/>
      <c r="C252" s="1741" t="s">
        <v>10</v>
      </c>
      <c r="D252" s="1690"/>
      <c r="E252" s="1231"/>
      <c r="F252" s="1231"/>
      <c r="G252" s="1094" t="s">
        <v>11</v>
      </c>
    </row>
    <row r="253" spans="1:11">
      <c r="A253" s="1754"/>
      <c r="B253" s="1748"/>
      <c r="C253" s="1740" t="s">
        <v>1868</v>
      </c>
      <c r="D253" s="1736"/>
      <c r="E253" s="952"/>
      <c r="F253" s="1027"/>
    </row>
    <row r="254" spans="1:11">
      <c r="A254" s="1666">
        <v>45100</v>
      </c>
      <c r="B254" s="1751" t="str">
        <f>TiposLancamentos!B37</f>
        <v>Playstation 3</v>
      </c>
      <c r="C254" s="1744" t="s">
        <v>11892</v>
      </c>
      <c r="D254" s="1735"/>
      <c r="E254" s="920">
        <v>260</v>
      </c>
      <c r="F254" s="1614"/>
      <c r="G254" s="1368" t="s">
        <v>9</v>
      </c>
    </row>
    <row r="255" spans="1:11">
      <c r="A255" s="1667">
        <v>45100</v>
      </c>
      <c r="B255" s="1752" t="str">
        <f>TiposLancamentos!B37</f>
        <v>Playstation 3</v>
      </c>
      <c r="C255" s="1745" t="s">
        <v>11893</v>
      </c>
      <c r="D255" s="1736"/>
      <c r="E255" s="931">
        <v>260</v>
      </c>
      <c r="F255" s="1027"/>
      <c r="G255" s="1368" t="s">
        <v>9</v>
      </c>
    </row>
    <row r="256" spans="1:11">
      <c r="A256" s="1750">
        <v>45100</v>
      </c>
      <c r="B256" s="1753" t="str">
        <f>TiposLancamentos!B60</f>
        <v>Correio</v>
      </c>
      <c r="C256" s="1746" t="s">
        <v>11894</v>
      </c>
      <c r="D256" s="1737"/>
      <c r="E256" s="922">
        <f>F256-520</f>
        <v>16.25</v>
      </c>
      <c r="F256" s="1548">
        <v>536.25</v>
      </c>
      <c r="G256" s="1368" t="s">
        <v>9</v>
      </c>
    </row>
    <row r="257" spans="1:7">
      <c r="A257" s="1754"/>
      <c r="B257" s="1748"/>
      <c r="C257" s="1740" t="s">
        <v>1868</v>
      </c>
      <c r="D257" s="1736"/>
      <c r="E257" s="952"/>
      <c r="F257" s="1027"/>
    </row>
    <row r="258" spans="1:7">
      <c r="A258" s="1754">
        <v>45105</v>
      </c>
      <c r="B258" s="1748" t="str">
        <f>TiposLancamentos!B72</f>
        <v>Presentes</v>
      </c>
      <c r="C258" s="1740" t="s">
        <v>11895</v>
      </c>
      <c r="D258" s="1736"/>
      <c r="E258" s="952">
        <v>110.9</v>
      </c>
      <c r="F258" s="1027"/>
      <c r="G258" s="1368" t="s">
        <v>9</v>
      </c>
    </row>
    <row r="259" spans="1:7">
      <c r="A259" s="1754"/>
      <c r="B259" s="1748"/>
      <c r="C259" s="1740" t="s">
        <v>1868</v>
      </c>
      <c r="D259" s="1736"/>
      <c r="E259" s="952"/>
      <c r="F259" s="1027"/>
    </row>
    <row r="260" spans="1:7">
      <c r="A260" s="1666">
        <v>45106</v>
      </c>
      <c r="B260" s="1751" t="str">
        <f>TiposLancamentos!B37</f>
        <v>Playstation 3</v>
      </c>
      <c r="C260" s="1744" t="s">
        <v>11896</v>
      </c>
      <c r="D260" s="1735"/>
      <c r="E260" s="920">
        <v>65</v>
      </c>
      <c r="F260" s="1614"/>
      <c r="G260" s="1368" t="s">
        <v>9</v>
      </c>
    </row>
    <row r="261" spans="1:7">
      <c r="A261" s="1750">
        <v>45106</v>
      </c>
      <c r="B261" s="1753" t="str">
        <f>TiposLancamentos!B60</f>
        <v>Correio</v>
      </c>
      <c r="C261" s="1746" t="s">
        <v>11897</v>
      </c>
      <c r="D261" s="1737"/>
      <c r="E261" s="922">
        <v>9.9</v>
      </c>
      <c r="F261" s="1548">
        <f>SUM(E260:E261)</f>
        <v>74.900000000000006</v>
      </c>
      <c r="G261" s="1368" t="s">
        <v>9</v>
      </c>
    </row>
    <row r="262" spans="1:7" ht="14.25" thickBot="1">
      <c r="A262" s="1754"/>
      <c r="B262" s="1748"/>
      <c r="C262" s="1740" t="s">
        <v>1868</v>
      </c>
      <c r="D262" s="1736"/>
      <c r="E262" s="952"/>
      <c r="F262" s="1027"/>
    </row>
    <row r="263" spans="1:7">
      <c r="A263" s="1814"/>
      <c r="B263" s="1809"/>
      <c r="C263" s="1801" t="s">
        <v>1624</v>
      </c>
      <c r="D263" s="1794"/>
      <c r="E263" s="1788"/>
      <c r="F263" s="1078">
        <f>SUM(E244:E252)</f>
        <v>368.26</v>
      </c>
    </row>
    <row r="264" spans="1:7">
      <c r="A264" s="1754">
        <v>45108</v>
      </c>
      <c r="B264" s="1748" t="str">
        <f>TiposLancamentos!B15</f>
        <v>Cartões de Crédito</v>
      </c>
      <c r="C264" s="1740" t="s">
        <v>1874</v>
      </c>
      <c r="D264" s="1736">
        <v>368.26</v>
      </c>
      <c r="E264" s="952"/>
      <c r="F264" s="1027">
        <f>F263-F249</f>
        <v>-48.770000000000039</v>
      </c>
      <c r="G264" s="1368" t="s">
        <v>9</v>
      </c>
    </row>
    <row r="265" spans="1:7">
      <c r="A265" s="1756"/>
      <c r="B265" s="1749"/>
      <c r="C265" s="1741" t="s">
        <v>10</v>
      </c>
      <c r="D265" s="1690"/>
      <c r="E265" s="1231"/>
      <c r="F265" s="1231"/>
      <c r="G265" s="1094" t="s">
        <v>11</v>
      </c>
    </row>
    <row r="266" spans="1:7">
      <c r="A266" s="1754"/>
      <c r="B266" s="1748"/>
      <c r="C266" s="1740" t="s">
        <v>1868</v>
      </c>
      <c r="D266" s="1736"/>
      <c r="E266" s="952"/>
      <c r="F266" s="1027"/>
    </row>
    <row r="267" spans="1:7">
      <c r="A267" s="1754">
        <v>45127</v>
      </c>
      <c r="B267" s="1748" t="str">
        <f>TiposLancamentos!B37</f>
        <v>Playstation 3</v>
      </c>
      <c r="C267" s="1740" t="s">
        <v>10076</v>
      </c>
      <c r="D267" s="1736"/>
      <c r="E267" s="952">
        <v>76.97</v>
      </c>
      <c r="F267" s="1027"/>
      <c r="G267" s="1368" t="s">
        <v>9</v>
      </c>
    </row>
    <row r="268" spans="1:7">
      <c r="A268" s="1666">
        <v>45127</v>
      </c>
      <c r="B268" s="1751" t="str">
        <f>TiposLancamentos!B62</f>
        <v>Papelaria</v>
      </c>
      <c r="C268" s="1744" t="s">
        <v>11898</v>
      </c>
      <c r="D268" s="1735"/>
      <c r="E268" s="920">
        <v>29.9</v>
      </c>
      <c r="F268" s="1614"/>
      <c r="G268" s="1368" t="s">
        <v>9</v>
      </c>
    </row>
    <row r="269" spans="1:7">
      <c r="A269" s="1750">
        <v>45127</v>
      </c>
      <c r="B269" s="1753" t="str">
        <f>TiposLancamentos!B18</f>
        <v>Alimentacao</v>
      </c>
      <c r="C269" s="1746" t="s">
        <v>11899</v>
      </c>
      <c r="D269" s="1737"/>
      <c r="E269" s="922">
        <f>F269-E268</f>
        <v>6.8999999999999986</v>
      </c>
      <c r="F269" s="1548">
        <v>36.799999999999997</v>
      </c>
      <c r="G269" s="1368" t="s">
        <v>9</v>
      </c>
    </row>
    <row r="270" spans="1:7">
      <c r="A270" s="1754"/>
      <c r="B270" s="1748"/>
      <c r="C270" s="1740" t="s">
        <v>1868</v>
      </c>
      <c r="D270" s="1736"/>
      <c r="E270" s="952"/>
      <c r="F270" s="1027"/>
    </row>
    <row r="271" spans="1:7">
      <c r="A271" s="1754">
        <v>45129</v>
      </c>
      <c r="B271" s="1748" t="str">
        <f>TiposLancamentos!B19</f>
        <v>Restaurantes</v>
      </c>
      <c r="C271" s="1740" t="s">
        <v>11900</v>
      </c>
      <c r="D271" s="1736"/>
      <c r="E271" s="952">
        <v>319.79000000000002</v>
      </c>
      <c r="F271" s="1027"/>
      <c r="G271" s="1368" t="s">
        <v>9</v>
      </c>
    </row>
    <row r="272" spans="1:7">
      <c r="A272" s="1754"/>
      <c r="B272" s="1748"/>
      <c r="C272" s="1740" t="s">
        <v>1868</v>
      </c>
      <c r="D272" s="1736"/>
      <c r="E272" s="952"/>
      <c r="F272" s="1027"/>
    </row>
    <row r="273" spans="1:7">
      <c r="A273" s="1666">
        <v>45137</v>
      </c>
      <c r="B273" s="1666" t="str">
        <f>TiposLancamentos!B60</f>
        <v>Correio</v>
      </c>
      <c r="C273" s="1742" t="s">
        <v>11901</v>
      </c>
      <c r="D273" s="1735"/>
      <c r="E273" s="920">
        <v>10.08</v>
      </c>
      <c r="F273" s="1783"/>
      <c r="G273" s="1368" t="s">
        <v>9</v>
      </c>
    </row>
    <row r="274" spans="1:7">
      <c r="A274" s="1667">
        <v>45137</v>
      </c>
      <c r="B274" s="1667" t="str">
        <f>TiposLancamentos!B41</f>
        <v>PSP Slim 3k</v>
      </c>
      <c r="C274" s="1769" t="s">
        <v>11902</v>
      </c>
      <c r="D274" s="1736"/>
      <c r="E274" s="931">
        <v>26.56</v>
      </c>
      <c r="F274" s="952"/>
      <c r="G274" s="1368" t="s">
        <v>9</v>
      </c>
    </row>
    <row r="275" spans="1:7">
      <c r="A275" s="1667">
        <v>45137</v>
      </c>
      <c r="B275" s="1667" t="str">
        <f>TiposLancamentos!B40</f>
        <v>PS Vita Slim 2k</v>
      </c>
      <c r="C275" s="1769" t="s">
        <v>11903</v>
      </c>
      <c r="D275" s="1736"/>
      <c r="E275" s="931">
        <v>25.2</v>
      </c>
      <c r="F275" s="952"/>
      <c r="G275" s="1368" t="s">
        <v>9</v>
      </c>
    </row>
    <row r="276" spans="1:7">
      <c r="A276" s="1667">
        <v>45137</v>
      </c>
      <c r="B276" s="1667" t="str">
        <f>TiposLancamentos!B60</f>
        <v>Correio</v>
      </c>
      <c r="C276" s="1769" t="s">
        <v>11904</v>
      </c>
      <c r="D276" s="1736"/>
      <c r="E276" s="931">
        <v>12.51</v>
      </c>
      <c r="F276" s="952"/>
      <c r="G276" s="1368" t="s">
        <v>9</v>
      </c>
    </row>
    <row r="277" spans="1:7">
      <c r="A277" s="1667">
        <v>45137</v>
      </c>
      <c r="B277" s="1667" t="str">
        <f>TiposLancamentos!B41</f>
        <v>PSP Slim 3k</v>
      </c>
      <c r="C277" s="1769" t="s">
        <v>11905</v>
      </c>
      <c r="D277" s="1736"/>
      <c r="E277" s="931">
        <v>23.34</v>
      </c>
      <c r="F277" s="952"/>
      <c r="G277" s="1368" t="s">
        <v>9</v>
      </c>
    </row>
    <row r="278" spans="1:7">
      <c r="A278" s="1750">
        <v>45137</v>
      </c>
      <c r="B278" s="1750" t="str">
        <f>TiposLancamentos!B40</f>
        <v>PS Vita Slim 2k</v>
      </c>
      <c r="C278" s="1743" t="s">
        <v>11906</v>
      </c>
      <c r="D278" s="1737"/>
      <c r="E278" s="922">
        <v>37.53</v>
      </c>
      <c r="F278" s="1784">
        <f>SUM(E273:E278)</f>
        <v>135.22000000000003</v>
      </c>
      <c r="G278" s="1368" t="s">
        <v>9</v>
      </c>
    </row>
    <row r="279" spans="1:7" ht="14.25" thickBot="1">
      <c r="A279" s="1667"/>
      <c r="B279" s="1667"/>
      <c r="C279" s="1769" t="s">
        <v>1868</v>
      </c>
      <c r="D279" s="1736"/>
      <c r="E279" s="920"/>
      <c r="F279" s="952"/>
    </row>
    <row r="280" spans="1:7">
      <c r="A280" s="1814"/>
      <c r="B280" s="1809"/>
      <c r="C280" s="1801" t="s">
        <v>1625</v>
      </c>
      <c r="D280" s="1794"/>
      <c r="E280" s="1788"/>
      <c r="F280" s="1078">
        <f>SUM(E252:E265)</f>
        <v>722.05</v>
      </c>
    </row>
    <row r="281" spans="1:7">
      <c r="A281" s="1754">
        <v>45139</v>
      </c>
      <c r="B281" s="1748" t="str">
        <f>TiposLancamentos!B15</f>
        <v>Cartões de Crédito</v>
      </c>
      <c r="C281" s="1740" t="s">
        <v>1874</v>
      </c>
      <c r="D281" s="1736">
        <v>722.05</v>
      </c>
      <c r="E281" s="952"/>
      <c r="F281" s="1027">
        <f>F280-F263</f>
        <v>353.78999999999996</v>
      </c>
      <c r="G281" s="1368" t="s">
        <v>9</v>
      </c>
    </row>
    <row r="282" spans="1:7">
      <c r="A282" s="1754"/>
      <c r="B282" s="1748"/>
      <c r="C282" s="1740" t="s">
        <v>1868</v>
      </c>
      <c r="D282" s="1736"/>
      <c r="E282" s="952"/>
      <c r="F282" s="1027"/>
    </row>
    <row r="283" spans="1:7">
      <c r="A283" s="1756"/>
      <c r="B283" s="1749"/>
      <c r="C283" s="1741" t="s">
        <v>10</v>
      </c>
      <c r="D283" s="1690"/>
      <c r="E283" s="1231"/>
      <c r="F283" s="1231"/>
      <c r="G283" s="1094" t="s">
        <v>11</v>
      </c>
    </row>
    <row r="284" spans="1:7">
      <c r="A284" s="1754">
        <v>45161</v>
      </c>
      <c r="B284" s="1748" t="str">
        <f>TiposLancamentos!B41</f>
        <v>PSP Slim 3k</v>
      </c>
      <c r="C284" s="1740" t="s">
        <v>11907</v>
      </c>
      <c r="D284" s="1736"/>
      <c r="E284" s="952">
        <v>90</v>
      </c>
      <c r="F284" s="1027"/>
      <c r="G284" s="1368" t="s">
        <v>9</v>
      </c>
    </row>
    <row r="285" spans="1:7">
      <c r="A285" s="1754">
        <v>45161</v>
      </c>
      <c r="B285" s="1748" t="str">
        <f>TiposLancamentos!B19</f>
        <v>Restaurantes</v>
      </c>
      <c r="C285" s="1740" t="s">
        <v>7004</v>
      </c>
      <c r="D285" s="1736"/>
      <c r="E285" s="952">
        <v>19.8</v>
      </c>
      <c r="F285" s="1027"/>
      <c r="G285" s="1368" t="s">
        <v>9</v>
      </c>
    </row>
    <row r="286" spans="1:7">
      <c r="A286" s="1754">
        <v>45162</v>
      </c>
      <c r="B286" s="1748" t="str">
        <f>TiposLancamentos!B19</f>
        <v>Restaurantes</v>
      </c>
      <c r="C286" s="1740" t="s">
        <v>11908</v>
      </c>
      <c r="D286" s="1736"/>
      <c r="E286" s="952">
        <v>50.34</v>
      </c>
      <c r="F286" s="1027"/>
      <c r="G286" s="1368" t="s">
        <v>9</v>
      </c>
    </row>
    <row r="287" spans="1:7">
      <c r="A287" s="1754">
        <v>45163</v>
      </c>
      <c r="B287" s="1748" t="str">
        <f>TiposLancamentos!B19</f>
        <v>Restaurantes</v>
      </c>
      <c r="C287" s="1740" t="s">
        <v>11909</v>
      </c>
      <c r="D287" s="1736"/>
      <c r="E287" s="952">
        <v>235.99</v>
      </c>
      <c r="F287" s="1027"/>
      <c r="G287" s="1368" t="s">
        <v>9</v>
      </c>
    </row>
    <row r="288" spans="1:7">
      <c r="A288" s="1754">
        <v>45164</v>
      </c>
      <c r="B288" s="1748" t="str">
        <f>TiposLancamentos!B19</f>
        <v>Restaurantes</v>
      </c>
      <c r="C288" s="1740" t="s">
        <v>11910</v>
      </c>
      <c r="D288" s="1736"/>
      <c r="E288" s="952">
        <v>190.52</v>
      </c>
      <c r="F288" s="1027"/>
      <c r="G288" s="1368" t="s">
        <v>9</v>
      </c>
    </row>
    <row r="289" spans="1:7">
      <c r="A289" s="1754">
        <v>45164</v>
      </c>
      <c r="B289" s="1748" t="str">
        <f>TiposLancamentos!B16</f>
        <v>Cristiane</v>
      </c>
      <c r="C289" s="1740" t="s">
        <v>11911</v>
      </c>
      <c r="D289" s="1736"/>
      <c r="E289" s="952">
        <v>40</v>
      </c>
      <c r="F289" s="1027"/>
      <c r="G289" s="1368" t="s">
        <v>9</v>
      </c>
    </row>
    <row r="290" spans="1:7">
      <c r="A290" s="1754">
        <v>45165</v>
      </c>
      <c r="B290" s="1748" t="str">
        <f>TiposLancamentos!B5</f>
        <v>Supermercado</v>
      </c>
      <c r="C290" s="1740" t="s">
        <v>1884</v>
      </c>
      <c r="D290" s="1736"/>
      <c r="E290" s="952">
        <v>21.39</v>
      </c>
      <c r="F290" s="1027"/>
      <c r="G290" s="1368" t="s">
        <v>9</v>
      </c>
    </row>
    <row r="291" spans="1:7">
      <c r="A291" s="1754">
        <v>45165</v>
      </c>
      <c r="B291" s="1748" t="str">
        <f>TiposLancamentos!B17</f>
        <v>GATO</v>
      </c>
      <c r="C291" s="1740" t="s">
        <v>11912</v>
      </c>
      <c r="D291" s="1736"/>
      <c r="E291" s="952">
        <v>206.52</v>
      </c>
      <c r="F291" s="1027"/>
      <c r="G291" s="1368" t="s">
        <v>9</v>
      </c>
    </row>
    <row r="292" spans="1:7">
      <c r="A292" s="1754">
        <v>45166</v>
      </c>
      <c r="B292" s="1748" t="str">
        <f>TiposLancamentos!B19</f>
        <v>Restaurantes</v>
      </c>
      <c r="C292" s="1740" t="s">
        <v>1890</v>
      </c>
      <c r="D292" s="1736"/>
      <c r="E292" s="952">
        <v>44.9</v>
      </c>
      <c r="F292" s="1027"/>
      <c r="G292" s="1368" t="s">
        <v>9</v>
      </c>
    </row>
    <row r="293" spans="1:7">
      <c r="A293" s="1754">
        <v>45166</v>
      </c>
      <c r="B293" s="1748" t="str">
        <f>TiposLancamentos!B16</f>
        <v>Cristiane</v>
      </c>
      <c r="C293" s="1740" t="s">
        <v>3420</v>
      </c>
      <c r="D293" s="1736"/>
      <c r="E293" s="952">
        <v>49.99</v>
      </c>
      <c r="F293" s="1027"/>
      <c r="G293" s="1368" t="s">
        <v>9</v>
      </c>
    </row>
    <row r="294" spans="1:7">
      <c r="A294" s="1754">
        <v>45167</v>
      </c>
      <c r="B294" s="1748" t="str">
        <f>TiposLancamentos!B71</f>
        <v>Itens Pessoais</v>
      </c>
      <c r="C294" s="1740" t="s">
        <v>2035</v>
      </c>
      <c r="D294" s="1736"/>
      <c r="E294" s="952">
        <v>30</v>
      </c>
      <c r="F294" s="1027"/>
      <c r="G294" s="1368" t="s">
        <v>9</v>
      </c>
    </row>
    <row r="295" spans="1:7">
      <c r="A295" s="1754">
        <v>45167</v>
      </c>
      <c r="B295" s="1748" t="str">
        <f>TiposLancamentos!B19</f>
        <v>Restaurantes</v>
      </c>
      <c r="C295" s="1740" t="s">
        <v>11913</v>
      </c>
      <c r="D295" s="1736"/>
      <c r="E295" s="952">
        <v>51.78</v>
      </c>
      <c r="F295" s="1027"/>
      <c r="G295" s="1368" t="s">
        <v>9</v>
      </c>
    </row>
    <row r="296" spans="1:7">
      <c r="A296" s="1754">
        <v>45167</v>
      </c>
      <c r="B296" s="1748" t="str">
        <f>TiposLancamentos!B5</f>
        <v>Supermercado</v>
      </c>
      <c r="C296" s="1740" t="s">
        <v>11914</v>
      </c>
      <c r="D296" s="1736"/>
      <c r="E296" s="952">
        <v>14.36</v>
      </c>
      <c r="F296" s="1027"/>
      <c r="G296" s="1368" t="s">
        <v>9</v>
      </c>
    </row>
    <row r="297" spans="1:7">
      <c r="A297" s="1754">
        <v>45168</v>
      </c>
      <c r="B297" s="1748" t="str">
        <f>TiposLancamentos!B19</f>
        <v>Restaurantes</v>
      </c>
      <c r="C297" s="1740" t="s">
        <v>11915</v>
      </c>
      <c r="D297" s="1736"/>
      <c r="E297" s="952">
        <v>61.35</v>
      </c>
      <c r="F297" s="1027"/>
      <c r="G297" s="1368" t="s">
        <v>9</v>
      </c>
    </row>
    <row r="298" spans="1:7" ht="14.25" thickBot="1">
      <c r="A298" s="1754">
        <v>45168</v>
      </c>
      <c r="B298" s="1748" t="str">
        <f>TiposLancamentos!B19</f>
        <v>Restaurantes</v>
      </c>
      <c r="C298" s="1740" t="s">
        <v>7338</v>
      </c>
      <c r="D298" s="1736"/>
      <c r="E298" s="952">
        <v>8.6999999999999993</v>
      </c>
      <c r="F298" s="1027"/>
      <c r="G298" s="1368" t="s">
        <v>9</v>
      </c>
    </row>
    <row r="299" spans="1:7">
      <c r="A299" s="1814"/>
      <c r="B299" s="1809"/>
      <c r="C299" s="1801" t="s">
        <v>1626</v>
      </c>
      <c r="D299" s="1794"/>
      <c r="E299" s="1788"/>
      <c r="F299" s="1078">
        <f>SUM(E265:E283)</f>
        <v>568.78</v>
      </c>
    </row>
    <row r="300" spans="1:7">
      <c r="A300" s="1754">
        <v>45170</v>
      </c>
      <c r="B300" s="1748" t="str">
        <f>TiposLancamentos!B15</f>
        <v>Cartões de Crédito</v>
      </c>
      <c r="C300" s="1740" t="s">
        <v>1874</v>
      </c>
      <c r="D300" s="1736">
        <v>568.78</v>
      </c>
      <c r="E300" s="952"/>
      <c r="F300" s="1027">
        <f>F299-F280</f>
        <v>-153.26999999999998</v>
      </c>
      <c r="G300" s="1368" t="s">
        <v>9</v>
      </c>
    </row>
    <row r="301" spans="1:7">
      <c r="A301" s="1754">
        <v>45172</v>
      </c>
      <c r="B301" s="1748" t="str">
        <f>TiposLancamentos!B19</f>
        <v>Restaurantes</v>
      </c>
      <c r="C301" s="1740" t="s">
        <v>11916</v>
      </c>
      <c r="D301" s="1736"/>
      <c r="E301" s="952">
        <v>207.82</v>
      </c>
      <c r="F301" s="1027"/>
      <c r="G301" s="1368" t="s">
        <v>9</v>
      </c>
    </row>
    <row r="302" spans="1:7">
      <c r="A302" s="1754">
        <v>45172</v>
      </c>
      <c r="B302" s="1748" t="str">
        <f>TiposLancamentos!B19</f>
        <v>Restaurantes</v>
      </c>
      <c r="C302" s="1740" t="s">
        <v>11917</v>
      </c>
      <c r="D302" s="1736"/>
      <c r="E302" s="952">
        <v>150</v>
      </c>
      <c r="F302" s="1027"/>
      <c r="G302" s="1368" t="s">
        <v>9</v>
      </c>
    </row>
    <row r="303" spans="1:7">
      <c r="A303" s="1754">
        <v>45173</v>
      </c>
      <c r="B303" s="1748" t="str">
        <f>TiposLancamentos!B19</f>
        <v>Restaurantes</v>
      </c>
      <c r="C303" s="1740" t="s">
        <v>7215</v>
      </c>
      <c r="D303" s="1736"/>
      <c r="E303" s="952">
        <v>19.899999999999999</v>
      </c>
      <c r="F303" s="1027"/>
      <c r="G303" s="1368" t="s">
        <v>9</v>
      </c>
    </row>
    <row r="304" spans="1:7">
      <c r="A304" s="1754">
        <v>45174</v>
      </c>
      <c r="B304" s="1748" t="str">
        <f>TiposLancamentos!B22</f>
        <v>Combustivel</v>
      </c>
      <c r="C304" s="1740" t="s">
        <v>11918</v>
      </c>
      <c r="D304" s="1736"/>
      <c r="E304" s="952">
        <v>50</v>
      </c>
      <c r="F304" s="1027"/>
      <c r="G304" s="1368" t="s">
        <v>9</v>
      </c>
    </row>
    <row r="305" spans="1:7">
      <c r="A305" s="1754">
        <v>45174</v>
      </c>
      <c r="B305" s="1748" t="str">
        <f>TiposLancamentos!B19</f>
        <v>Restaurantes</v>
      </c>
      <c r="C305" s="1740" t="s">
        <v>1967</v>
      </c>
      <c r="D305" s="1736"/>
      <c r="E305" s="952">
        <v>31.9</v>
      </c>
      <c r="F305" s="1027"/>
      <c r="G305" s="1368" t="s">
        <v>9</v>
      </c>
    </row>
    <row r="306" spans="1:7">
      <c r="A306" s="1666">
        <v>45182</v>
      </c>
      <c r="B306" s="1751" t="str">
        <f>TiposLancamentos!B37</f>
        <v>Playstation 3</v>
      </c>
      <c r="C306" s="1744" t="s">
        <v>11919</v>
      </c>
      <c r="D306" s="1735"/>
      <c r="E306" s="920">
        <v>79</v>
      </c>
      <c r="F306" s="1614"/>
      <c r="G306" s="1368" t="s">
        <v>9</v>
      </c>
    </row>
    <row r="307" spans="1:7">
      <c r="A307" s="1750">
        <v>45182</v>
      </c>
      <c r="B307" s="1753" t="str">
        <f>TiposLancamentos!B60</f>
        <v>Correio</v>
      </c>
      <c r="C307" s="1746" t="s">
        <v>11920</v>
      </c>
      <c r="D307" s="1737"/>
      <c r="E307" s="922">
        <f>F307-E306</f>
        <v>13.5</v>
      </c>
      <c r="F307" s="1548">
        <v>92.5</v>
      </c>
      <c r="G307" s="1368" t="s">
        <v>9</v>
      </c>
    </row>
    <row r="308" spans="1:7">
      <c r="A308" s="1754"/>
      <c r="B308" s="1748"/>
      <c r="C308" s="1740" t="s">
        <v>1868</v>
      </c>
      <c r="D308" s="1736"/>
      <c r="E308" s="952"/>
      <c r="F308" s="1027"/>
    </row>
    <row r="309" spans="1:7">
      <c r="A309" s="1756"/>
      <c r="B309" s="1749"/>
      <c r="C309" s="1741" t="s">
        <v>10</v>
      </c>
      <c r="D309" s="1690"/>
      <c r="E309" s="1231"/>
      <c r="F309" s="1231"/>
      <c r="G309" s="1094" t="s">
        <v>11</v>
      </c>
    </row>
    <row r="310" spans="1:7">
      <c r="A310" s="1754">
        <v>45193</v>
      </c>
      <c r="B310" s="1748" t="str">
        <f>TiposLancamentos!B19</f>
        <v>Restaurantes</v>
      </c>
      <c r="C310" s="1740" t="s">
        <v>11921</v>
      </c>
      <c r="D310" s="1736"/>
      <c r="E310" s="952">
        <v>344.09</v>
      </c>
      <c r="F310" s="1027"/>
      <c r="G310" s="1368" t="s">
        <v>9</v>
      </c>
    </row>
    <row r="311" spans="1:7">
      <c r="A311" s="1754">
        <v>45193</v>
      </c>
      <c r="B311" s="1748" t="str">
        <f>TiposLancamentos!B13</f>
        <v>Moradia</v>
      </c>
      <c r="C311" s="1740" t="s">
        <v>11922</v>
      </c>
      <c r="D311" s="1736"/>
      <c r="E311" s="952">
        <v>39.799999999999997</v>
      </c>
      <c r="F311" s="1027"/>
      <c r="G311" s="1368" t="s">
        <v>9</v>
      </c>
    </row>
    <row r="312" spans="1:7">
      <c r="A312" s="1754">
        <v>45193</v>
      </c>
      <c r="B312" s="1748" t="str">
        <f>TiposLancamentos!B24</f>
        <v>Estacionamentos</v>
      </c>
      <c r="C312" s="1740" t="s">
        <v>11923</v>
      </c>
      <c r="D312" s="1736"/>
      <c r="E312" s="952">
        <v>13</v>
      </c>
      <c r="F312" s="1027"/>
      <c r="G312" s="1368" t="s">
        <v>9</v>
      </c>
    </row>
    <row r="313" spans="1:7">
      <c r="A313" s="1754">
        <v>45196</v>
      </c>
      <c r="B313" s="1748" t="str">
        <f>TiposLancamentos!B17</f>
        <v>GATO</v>
      </c>
      <c r="C313" s="1740" t="s">
        <v>11924</v>
      </c>
      <c r="D313" s="1736"/>
      <c r="E313" s="952">
        <v>165.97</v>
      </c>
      <c r="F313" s="1027"/>
      <c r="G313" s="1368" t="s">
        <v>9</v>
      </c>
    </row>
    <row r="314" spans="1:7">
      <c r="A314" s="1754">
        <v>45197</v>
      </c>
      <c r="B314" s="1748" t="str">
        <f>TiposLancamentos!B19</f>
        <v>Restaurantes</v>
      </c>
      <c r="C314" s="1740" t="s">
        <v>10419</v>
      </c>
      <c r="D314" s="1736"/>
      <c r="E314" s="952">
        <v>25.6</v>
      </c>
      <c r="F314" s="1027"/>
      <c r="G314" s="1368" t="s">
        <v>9</v>
      </c>
    </row>
    <row r="315" spans="1:7" ht="14.25" thickBot="1">
      <c r="A315" s="1754">
        <v>45197</v>
      </c>
      <c r="B315" s="1748" t="str">
        <f>TiposLancamentos!B19</f>
        <v>Restaurantes</v>
      </c>
      <c r="C315" s="1740" t="s">
        <v>11925</v>
      </c>
      <c r="D315" s="1736"/>
      <c r="E315" s="952">
        <v>50.64</v>
      </c>
      <c r="F315" s="1027"/>
      <c r="G315" s="1368" t="s">
        <v>9</v>
      </c>
    </row>
    <row r="316" spans="1:7">
      <c r="A316" s="1814"/>
      <c r="B316" s="1809"/>
      <c r="C316" s="1801" t="s">
        <v>1627</v>
      </c>
      <c r="D316" s="1794"/>
      <c r="E316" s="1788"/>
      <c r="F316" s="1078">
        <f>SUM(E283:E309)</f>
        <v>1667.76</v>
      </c>
    </row>
    <row r="317" spans="1:7">
      <c r="A317" s="1754">
        <v>45200</v>
      </c>
      <c r="B317" s="1748" t="str">
        <f>TiposLancamentos!B15</f>
        <v>Cartões de Crédito</v>
      </c>
      <c r="C317" s="1740" t="s">
        <v>1874</v>
      </c>
      <c r="D317" s="1736">
        <v>1667.76</v>
      </c>
      <c r="E317" s="952"/>
      <c r="F317" s="1027">
        <f>F316-F299</f>
        <v>1098.98</v>
      </c>
      <c r="G317" s="1368" t="s">
        <v>9</v>
      </c>
    </row>
    <row r="318" spans="1:7">
      <c r="A318" s="1754">
        <v>45211</v>
      </c>
      <c r="B318" s="1748" t="str">
        <f>TiposLancamentos!B19</f>
        <v>Restaurantes</v>
      </c>
      <c r="C318" s="1740" t="s">
        <v>7741</v>
      </c>
      <c r="D318" s="1736"/>
      <c r="E318" s="952">
        <v>41.6</v>
      </c>
      <c r="F318" s="1027"/>
      <c r="G318" s="1368" t="s">
        <v>9</v>
      </c>
    </row>
    <row r="319" spans="1:7">
      <c r="A319" s="1754">
        <v>45211</v>
      </c>
      <c r="B319" s="1748" t="str">
        <f>TiposLancamentos!B22</f>
        <v>Combustivel</v>
      </c>
      <c r="C319" s="1740" t="s">
        <v>11926</v>
      </c>
      <c r="D319" s="1736"/>
      <c r="E319" s="952">
        <v>150.05000000000001</v>
      </c>
      <c r="F319" s="1027"/>
      <c r="G319" s="1368" t="s">
        <v>9</v>
      </c>
    </row>
    <row r="320" spans="1:7">
      <c r="A320" s="1754">
        <v>45211</v>
      </c>
      <c r="B320" s="1748" t="str">
        <f>TiposLancamentos!B5</f>
        <v>Supermercado</v>
      </c>
      <c r="C320" s="1740" t="s">
        <v>11927</v>
      </c>
      <c r="D320" s="1736"/>
      <c r="E320" s="952">
        <v>20</v>
      </c>
      <c r="F320" s="1027"/>
      <c r="G320" s="1368" t="s">
        <v>9</v>
      </c>
    </row>
    <row r="321" spans="1:7">
      <c r="A321" s="1754">
        <v>45214</v>
      </c>
      <c r="B321" s="1748" t="str">
        <f>TiposLancamentos!B22</f>
        <v>Combustivel</v>
      </c>
      <c r="C321" s="1740" t="s">
        <v>11926</v>
      </c>
      <c r="D321" s="1736"/>
      <c r="E321" s="952">
        <v>150</v>
      </c>
      <c r="F321" s="1027"/>
      <c r="G321" s="1368" t="s">
        <v>9</v>
      </c>
    </row>
    <row r="322" spans="1:7">
      <c r="A322" s="1756"/>
      <c r="B322" s="1749"/>
      <c r="C322" s="1741" t="s">
        <v>10</v>
      </c>
      <c r="D322" s="1690"/>
      <c r="E322" s="1231"/>
      <c r="F322" s="1231"/>
      <c r="G322" s="1094" t="s">
        <v>11</v>
      </c>
    </row>
    <row r="323" spans="1:7">
      <c r="A323" s="1754">
        <v>45218</v>
      </c>
      <c r="B323" s="1748" t="str">
        <f>TiposLancamentos!B56</f>
        <v>Farmácia</v>
      </c>
      <c r="C323" s="1740" t="s">
        <v>11928</v>
      </c>
      <c r="D323" s="1736"/>
      <c r="E323" s="952">
        <f>F323/2</f>
        <v>161.11500000000001</v>
      </c>
      <c r="F323" s="1027">
        <v>322.23</v>
      </c>
      <c r="G323" s="1094" t="s">
        <v>11</v>
      </c>
    </row>
    <row r="324" spans="1:7">
      <c r="A324" s="1666">
        <v>45220</v>
      </c>
      <c r="B324" s="1751" t="str">
        <f>TiposLancamentos!B38</f>
        <v>Playstation 4</v>
      </c>
      <c r="C324" s="1744" t="s">
        <v>11929</v>
      </c>
      <c r="D324" s="1735"/>
      <c r="E324" s="920">
        <f>F325-E325</f>
        <v>22.220000000000002</v>
      </c>
      <c r="F324" s="1614"/>
      <c r="G324" s="1368" t="s">
        <v>9</v>
      </c>
    </row>
    <row r="325" spans="1:7">
      <c r="A325" s="1750">
        <v>45220</v>
      </c>
      <c r="B325" s="1753" t="str">
        <f>TiposLancamentos!B60</f>
        <v>Correio</v>
      </c>
      <c r="C325" s="1746" t="s">
        <v>11930</v>
      </c>
      <c r="D325" s="1737"/>
      <c r="E325" s="922">
        <v>11.2</v>
      </c>
      <c r="F325" s="1548">
        <v>33.42</v>
      </c>
      <c r="G325" s="1368" t="s">
        <v>9</v>
      </c>
    </row>
    <row r="326" spans="1:7">
      <c r="A326" s="1754">
        <v>45221</v>
      </c>
      <c r="B326" s="1748" t="str">
        <f>TiposLancamentos!B19</f>
        <v>Restaurantes</v>
      </c>
      <c r="C326" s="1740" t="s">
        <v>11931</v>
      </c>
      <c r="D326" s="1736"/>
      <c r="E326" s="952">
        <v>90</v>
      </c>
      <c r="F326" s="1027"/>
      <c r="G326" s="1368" t="s">
        <v>9</v>
      </c>
    </row>
    <row r="327" spans="1:7">
      <c r="A327" s="1754">
        <v>45221</v>
      </c>
      <c r="B327" s="1748" t="str">
        <f>TiposLancamentos!B19</f>
        <v>Restaurantes</v>
      </c>
      <c r="C327" s="1740" t="s">
        <v>11932</v>
      </c>
      <c r="D327" s="1736"/>
      <c r="E327" s="952">
        <v>44</v>
      </c>
      <c r="F327" s="1027"/>
      <c r="G327" s="1368" t="s">
        <v>9</v>
      </c>
    </row>
    <row r="328" spans="1:7">
      <c r="A328" s="1754">
        <v>45221</v>
      </c>
      <c r="B328" s="1748" t="str">
        <f>TiposLancamentos!B19</f>
        <v>Restaurantes</v>
      </c>
      <c r="C328" s="1740" t="s">
        <v>11933</v>
      </c>
      <c r="D328" s="1736"/>
      <c r="E328" s="952">
        <v>20</v>
      </c>
      <c r="F328" s="1027"/>
      <c r="G328" s="1368" t="s">
        <v>9</v>
      </c>
    </row>
    <row r="329" spans="1:7">
      <c r="A329" s="1754">
        <v>45221</v>
      </c>
      <c r="B329" s="1748" t="str">
        <f>TiposLancamentos!B5</f>
        <v>Supermercado</v>
      </c>
      <c r="C329" s="1740" t="s">
        <v>1942</v>
      </c>
      <c r="D329" s="1736"/>
      <c r="E329" s="952">
        <v>36.28</v>
      </c>
      <c r="F329" s="1027"/>
      <c r="G329" s="1368" t="s">
        <v>9</v>
      </c>
    </row>
    <row r="330" spans="1:7">
      <c r="A330" s="1754">
        <v>45221</v>
      </c>
      <c r="B330" s="1748" t="str">
        <f>TiposLancamentos!B5</f>
        <v>Supermercado</v>
      </c>
      <c r="C330" s="1740" t="s">
        <v>2097</v>
      </c>
      <c r="D330" s="1736"/>
      <c r="E330" s="952">
        <v>297.60000000000002</v>
      </c>
      <c r="F330" s="1027"/>
      <c r="G330" s="1368" t="s">
        <v>9</v>
      </c>
    </row>
    <row r="331" spans="1:7">
      <c r="A331" s="1754">
        <v>45222</v>
      </c>
      <c r="B331" s="1748" t="str">
        <f>TiposLancamentos!B71</f>
        <v>Itens Pessoais</v>
      </c>
      <c r="C331" s="1740" t="s">
        <v>11934</v>
      </c>
      <c r="D331" s="1736"/>
      <c r="E331" s="952">
        <v>128.91</v>
      </c>
      <c r="F331" s="1027"/>
      <c r="G331" s="1368" t="s">
        <v>9</v>
      </c>
    </row>
    <row r="332" spans="1:7">
      <c r="A332" s="1754">
        <v>45223</v>
      </c>
      <c r="B332" s="1748" t="str">
        <f>TiposLancamentos!B24</f>
        <v>Estacionamentos</v>
      </c>
      <c r="C332" s="1740" t="s">
        <v>11935</v>
      </c>
      <c r="D332" s="1736"/>
      <c r="E332" s="952">
        <v>36</v>
      </c>
      <c r="F332" s="1027"/>
      <c r="G332" s="1368" t="s">
        <v>9</v>
      </c>
    </row>
    <row r="333" spans="1:7">
      <c r="A333" s="1754">
        <v>45223</v>
      </c>
      <c r="B333" s="1748" t="str">
        <f>TiposLancamentos!B17</f>
        <v>GATO</v>
      </c>
      <c r="C333" s="1740" t="s">
        <v>11936</v>
      </c>
      <c r="D333" s="1736"/>
      <c r="E333" s="952">
        <v>15.99</v>
      </c>
      <c r="F333" s="1027"/>
      <c r="G333" s="1368" t="s">
        <v>9</v>
      </c>
    </row>
    <row r="334" spans="1:7">
      <c r="A334" s="1754">
        <v>45223</v>
      </c>
      <c r="B334" s="1748" t="str">
        <f>TiposLancamentos!B24</f>
        <v>Estacionamentos</v>
      </c>
      <c r="C334" s="1740" t="s">
        <v>2423</v>
      </c>
      <c r="D334" s="1736"/>
      <c r="E334" s="952">
        <v>18</v>
      </c>
      <c r="F334" s="1027"/>
      <c r="G334" s="1368" t="s">
        <v>9</v>
      </c>
    </row>
    <row r="335" spans="1:7">
      <c r="A335" s="1754">
        <v>45223</v>
      </c>
      <c r="B335" s="1748" t="str">
        <f>TiposLancamentos!B19</f>
        <v>Restaurantes</v>
      </c>
      <c r="C335" s="1740" t="s">
        <v>1967</v>
      </c>
      <c r="D335" s="1736"/>
      <c r="E335" s="952">
        <v>25.9</v>
      </c>
      <c r="F335" s="1027"/>
      <c r="G335" s="1368" t="s">
        <v>9</v>
      </c>
    </row>
    <row r="336" spans="1:7">
      <c r="A336" s="1754">
        <v>45226</v>
      </c>
      <c r="B336" s="1748" t="str">
        <f>TiposLancamentos!B24</f>
        <v>Estacionamentos</v>
      </c>
      <c r="C336" s="1740" t="s">
        <v>11937</v>
      </c>
      <c r="D336" s="1736"/>
      <c r="E336" s="952">
        <v>23</v>
      </c>
      <c r="F336" s="1027"/>
      <c r="G336" s="1368" t="s">
        <v>9</v>
      </c>
    </row>
    <row r="337" spans="1:7">
      <c r="A337" s="1754">
        <v>45226</v>
      </c>
      <c r="B337" s="1748" t="str">
        <f>TiposLancamentos!B5</f>
        <v>Supermercado</v>
      </c>
      <c r="C337" s="1740" t="s">
        <v>11938</v>
      </c>
      <c r="D337" s="1736"/>
      <c r="E337" s="952">
        <v>35.67</v>
      </c>
      <c r="F337" s="1027"/>
      <c r="G337" s="1368" t="s">
        <v>9</v>
      </c>
    </row>
    <row r="338" spans="1:7">
      <c r="A338" s="1754">
        <v>45226</v>
      </c>
      <c r="B338" s="1748" t="str">
        <f>TiposLancamentos!B56</f>
        <v>Farmácia</v>
      </c>
      <c r="C338" s="1740" t="s">
        <v>11939</v>
      </c>
      <c r="D338" s="1736"/>
      <c r="E338" s="952">
        <v>173.59</v>
      </c>
      <c r="F338" s="1027"/>
      <c r="G338" s="1368" t="s">
        <v>9</v>
      </c>
    </row>
    <row r="339" spans="1:7">
      <c r="A339" s="1666">
        <v>45227</v>
      </c>
      <c r="B339" s="1751" t="str">
        <f>TiposLancamentos!B41</f>
        <v>PSP Slim 3k</v>
      </c>
      <c r="C339" s="1744" t="s">
        <v>11940</v>
      </c>
      <c r="D339" s="1735"/>
      <c r="E339" s="920">
        <v>33.9</v>
      </c>
      <c r="F339" s="1614"/>
      <c r="G339" s="1368" t="s">
        <v>9</v>
      </c>
    </row>
    <row r="340" spans="1:7">
      <c r="A340" s="1750">
        <v>45227</v>
      </c>
      <c r="B340" s="1753" t="str">
        <f>TiposLancamentos!B60</f>
        <v>Correio</v>
      </c>
      <c r="C340" s="1746" t="s">
        <v>11941</v>
      </c>
      <c r="D340" s="1737"/>
      <c r="E340" s="922">
        <v>14.55</v>
      </c>
      <c r="F340" s="1548">
        <f>SUM(E339:E340)</f>
        <v>48.45</v>
      </c>
      <c r="G340" s="1368" t="s">
        <v>9</v>
      </c>
    </row>
    <row r="341" spans="1:7">
      <c r="A341" s="1754">
        <v>45227</v>
      </c>
      <c r="B341" s="1748" t="str">
        <f>TiposLancamentos!B5</f>
        <v>Supermercado</v>
      </c>
      <c r="C341" s="1740" t="s">
        <v>1884</v>
      </c>
      <c r="D341" s="1736"/>
      <c r="E341" s="952">
        <v>23.75</v>
      </c>
      <c r="F341" s="1027"/>
      <c r="G341" s="1368" t="s">
        <v>9</v>
      </c>
    </row>
    <row r="342" spans="1:7">
      <c r="A342" s="1754">
        <v>45228</v>
      </c>
      <c r="B342" s="1748" t="str">
        <f>TiposLancamentos!B5</f>
        <v>Supermercado</v>
      </c>
      <c r="C342" s="1740" t="s">
        <v>11942</v>
      </c>
      <c r="D342" s="1736"/>
      <c r="E342" s="952">
        <v>69.61</v>
      </c>
      <c r="F342" s="1027"/>
      <c r="G342" s="1368" t="s">
        <v>9</v>
      </c>
    </row>
    <row r="343" spans="1:7">
      <c r="A343" s="1754">
        <v>45228</v>
      </c>
      <c r="B343" s="1748" t="str">
        <f>TiposLancamentos!B5</f>
        <v>Supermercado</v>
      </c>
      <c r="C343" s="1740" t="s">
        <v>11943</v>
      </c>
      <c r="D343" s="1736"/>
      <c r="E343" s="952">
        <v>8</v>
      </c>
      <c r="F343" s="1027"/>
      <c r="G343" s="1368" t="s">
        <v>9</v>
      </c>
    </row>
    <row r="344" spans="1:7">
      <c r="A344" s="1754">
        <v>45229</v>
      </c>
      <c r="B344" s="1748" t="str">
        <f>TiposLancamentos!B19</f>
        <v>Restaurantes</v>
      </c>
      <c r="C344" s="1740" t="s">
        <v>8579</v>
      </c>
      <c r="D344" s="1736"/>
      <c r="E344" s="952">
        <v>25.07</v>
      </c>
      <c r="F344" s="1027"/>
      <c r="G344" s="1368" t="s">
        <v>9</v>
      </c>
    </row>
    <row r="345" spans="1:7">
      <c r="A345" s="1754">
        <v>45229</v>
      </c>
      <c r="B345" s="1748" t="str">
        <f>TiposLancamentos!B5</f>
        <v>Supermercado</v>
      </c>
      <c r="C345" s="1740" t="s">
        <v>11944</v>
      </c>
      <c r="D345" s="1736"/>
      <c r="E345" s="952">
        <v>247.04</v>
      </c>
      <c r="F345" s="1027"/>
      <c r="G345" s="1368" t="s">
        <v>9</v>
      </c>
    </row>
    <row r="346" spans="1:7">
      <c r="A346" s="1754">
        <v>45230</v>
      </c>
      <c r="B346" s="1748" t="str">
        <f>TiposLancamentos!B71</f>
        <v>Itens Pessoais</v>
      </c>
      <c r="C346" s="1740" t="s">
        <v>5611</v>
      </c>
      <c r="D346" s="1736"/>
      <c r="E346" s="952">
        <v>30</v>
      </c>
      <c r="F346" s="1027"/>
      <c r="G346" s="1368" t="s">
        <v>9</v>
      </c>
    </row>
    <row r="347" spans="1:7">
      <c r="A347" s="1754">
        <v>45230</v>
      </c>
      <c r="B347" s="1748" t="str">
        <f>TiposLancamentos!B22</f>
        <v>Combustivel</v>
      </c>
      <c r="C347" s="1740" t="s">
        <v>6555</v>
      </c>
      <c r="D347" s="1736"/>
      <c r="E347" s="952">
        <v>100</v>
      </c>
      <c r="F347" s="1027"/>
      <c r="G347" s="1368" t="s">
        <v>9</v>
      </c>
    </row>
    <row r="348" spans="1:7">
      <c r="A348" s="1754">
        <v>45230</v>
      </c>
      <c r="B348" s="1748" t="str">
        <f>TiposLancamentos!B24</f>
        <v>Estacionamentos</v>
      </c>
      <c r="C348" s="1740" t="s">
        <v>8887</v>
      </c>
      <c r="D348" s="1736"/>
      <c r="E348" s="952">
        <v>18</v>
      </c>
      <c r="F348" s="1027"/>
      <c r="G348" s="1368" t="s">
        <v>9</v>
      </c>
    </row>
    <row r="349" spans="1:7">
      <c r="A349" s="1754">
        <v>45230</v>
      </c>
      <c r="B349" s="1748" t="str">
        <f>TiposLancamentos!B19</f>
        <v>Restaurantes</v>
      </c>
      <c r="C349" s="1740" t="s">
        <v>11945</v>
      </c>
      <c r="D349" s="1736"/>
      <c r="E349" s="952">
        <v>20.9</v>
      </c>
      <c r="F349" s="1027"/>
      <c r="G349" s="1368" t="s">
        <v>9</v>
      </c>
    </row>
    <row r="350" spans="1:7" ht="14.25" thickBot="1">
      <c r="A350" s="1754">
        <v>45230</v>
      </c>
      <c r="B350" s="1748" t="str">
        <f>TiposLancamentos!B19</f>
        <v>Restaurantes</v>
      </c>
      <c r="C350" s="1740" t="s">
        <v>11946</v>
      </c>
      <c r="D350" s="1736"/>
      <c r="E350" s="952">
        <v>34.1</v>
      </c>
      <c r="F350" s="1027"/>
      <c r="G350" s="1368" t="s">
        <v>9</v>
      </c>
    </row>
    <row r="351" spans="1:7">
      <c r="A351" s="1814"/>
      <c r="B351" s="1809"/>
      <c r="C351" s="1801" t="s">
        <v>1628</v>
      </c>
      <c r="D351" s="1794"/>
      <c r="E351" s="1788"/>
      <c r="F351" s="1078">
        <f>SUM(E309:E322)</f>
        <v>1000.75</v>
      </c>
    </row>
    <row r="352" spans="1:7">
      <c r="A352" s="1754">
        <v>45231</v>
      </c>
      <c r="B352" s="1748" t="str">
        <f>TiposLancamentos!B15</f>
        <v>Cartões de Crédito</v>
      </c>
      <c r="C352" s="1740" t="s">
        <v>1874</v>
      </c>
      <c r="D352" s="1736">
        <v>1000.75</v>
      </c>
      <c r="E352" s="952"/>
      <c r="F352" s="1027">
        <f>F351-F316</f>
        <v>-667.01</v>
      </c>
      <c r="G352" s="1368" t="s">
        <v>9</v>
      </c>
    </row>
    <row r="353" spans="1:7">
      <c r="A353" s="1754">
        <v>45233</v>
      </c>
      <c r="B353" s="1748" t="str">
        <f>TiposLancamentos!B24</f>
        <v>Estacionamentos</v>
      </c>
      <c r="C353" s="1740" t="s">
        <v>9261</v>
      </c>
      <c r="D353" s="1736"/>
      <c r="E353" s="952">
        <v>18</v>
      </c>
      <c r="F353" s="1027"/>
      <c r="G353" s="1368" t="s">
        <v>9</v>
      </c>
    </row>
    <row r="354" spans="1:7">
      <c r="A354" s="1754">
        <v>45235</v>
      </c>
      <c r="B354" s="1748" t="str">
        <f>TiposLancamentos!B16</f>
        <v>Cristiane</v>
      </c>
      <c r="C354" s="1740" t="s">
        <v>11947</v>
      </c>
      <c r="D354" s="1736"/>
      <c r="E354" s="952">
        <v>30</v>
      </c>
      <c r="F354" s="1027"/>
      <c r="G354" s="1368" t="s">
        <v>9</v>
      </c>
    </row>
    <row r="355" spans="1:7">
      <c r="A355" s="1754">
        <v>45235</v>
      </c>
      <c r="B355" s="1748" t="str">
        <f>TiposLancamentos!B41</f>
        <v>PSP Slim 3k</v>
      </c>
      <c r="C355" s="1740" t="s">
        <v>11948</v>
      </c>
      <c r="D355" s="1736"/>
      <c r="E355" s="952">
        <v>120</v>
      </c>
      <c r="F355" s="1027"/>
      <c r="G355" s="1368" t="s">
        <v>9</v>
      </c>
    </row>
    <row r="356" spans="1:7">
      <c r="A356" s="1754">
        <v>45235</v>
      </c>
      <c r="B356" s="1748" t="str">
        <f>TiposLancamentos!B5</f>
        <v>Supermercado</v>
      </c>
      <c r="C356" s="1740" t="s">
        <v>1943</v>
      </c>
      <c r="D356" s="1736"/>
      <c r="E356" s="952">
        <v>115.62</v>
      </c>
      <c r="F356" s="1027"/>
      <c r="G356" s="1368" t="s">
        <v>9</v>
      </c>
    </row>
    <row r="357" spans="1:7">
      <c r="A357" s="1754">
        <v>45237</v>
      </c>
      <c r="B357" s="1748" t="str">
        <f>TiposLancamentos!B24</f>
        <v>Estacionamentos</v>
      </c>
      <c r="C357" s="1740" t="s">
        <v>1898</v>
      </c>
      <c r="D357" s="1736"/>
      <c r="E357" s="952">
        <v>18</v>
      </c>
      <c r="F357" s="1027"/>
      <c r="G357" s="1368" t="s">
        <v>9</v>
      </c>
    </row>
    <row r="358" spans="1:7">
      <c r="A358" s="1754">
        <v>45237</v>
      </c>
      <c r="B358" s="1748" t="str">
        <f>TiposLancamentos!B19</f>
        <v>Restaurantes</v>
      </c>
      <c r="C358" s="1740" t="s">
        <v>1967</v>
      </c>
      <c r="D358" s="1736"/>
      <c r="E358" s="952">
        <v>38.5</v>
      </c>
      <c r="F358" s="1027"/>
      <c r="G358" s="1368" t="s">
        <v>9</v>
      </c>
    </row>
    <row r="359" spans="1:7">
      <c r="A359" s="1754">
        <v>45241</v>
      </c>
      <c r="B359" s="1748" t="str">
        <f>TiposLancamentos!B19</f>
        <v>Restaurantes</v>
      </c>
      <c r="C359" s="1740" t="s">
        <v>11949</v>
      </c>
      <c r="D359" s="1736"/>
      <c r="E359" s="952">
        <v>98.64</v>
      </c>
      <c r="F359" s="1027"/>
      <c r="G359" s="1368" t="s">
        <v>9</v>
      </c>
    </row>
    <row r="360" spans="1:7">
      <c r="A360" s="1754">
        <v>45241</v>
      </c>
      <c r="B360" s="1748" t="str">
        <f>TiposLancamentos!B62</f>
        <v>Papelaria</v>
      </c>
      <c r="C360" s="1740" t="s">
        <v>11950</v>
      </c>
      <c r="D360" s="1736"/>
      <c r="E360" s="952">
        <v>52.7</v>
      </c>
      <c r="F360" s="1027"/>
      <c r="G360" s="1368" t="s">
        <v>9</v>
      </c>
    </row>
    <row r="361" spans="1:7">
      <c r="A361" s="1754">
        <v>45241</v>
      </c>
      <c r="B361" s="1748" t="str">
        <f>TiposLancamentos!B18</f>
        <v>Alimentacao</v>
      </c>
      <c r="C361" s="1740" t="s">
        <v>11951</v>
      </c>
      <c r="D361" s="1736"/>
      <c r="E361" s="952">
        <v>3.5</v>
      </c>
      <c r="F361" s="1027"/>
      <c r="G361" s="1368" t="s">
        <v>9</v>
      </c>
    </row>
    <row r="362" spans="1:7">
      <c r="A362" s="1666">
        <v>45241</v>
      </c>
      <c r="B362" s="1751" t="str">
        <f>TiposLancamentos!B37</f>
        <v>Playstation 3</v>
      </c>
      <c r="C362" s="1744" t="s">
        <v>11952</v>
      </c>
      <c r="D362" s="1735"/>
      <c r="E362" s="920">
        <v>70</v>
      </c>
      <c r="F362" s="1614"/>
      <c r="G362" s="1368" t="s">
        <v>9</v>
      </c>
    </row>
    <row r="363" spans="1:7">
      <c r="A363" s="1750">
        <v>45241</v>
      </c>
      <c r="B363" s="1753" t="str">
        <f>TiposLancamentos!B39</f>
        <v>Playstation 5</v>
      </c>
      <c r="C363" s="1746" t="s">
        <v>11953</v>
      </c>
      <c r="D363" s="1737"/>
      <c r="E363" s="922">
        <v>20</v>
      </c>
      <c r="F363" s="1548">
        <f>SUM(E362:E363)</f>
        <v>90</v>
      </c>
      <c r="G363" s="1368" t="s">
        <v>9</v>
      </c>
    </row>
    <row r="364" spans="1:7">
      <c r="A364" s="1754">
        <v>45241</v>
      </c>
      <c r="B364" s="1748" t="str">
        <f>TiposLancamentos!B19</f>
        <v>Restaurantes</v>
      </c>
      <c r="C364" s="1740" t="s">
        <v>11954</v>
      </c>
      <c r="D364" s="1736"/>
      <c r="E364" s="952">
        <v>37</v>
      </c>
      <c r="F364" s="1027"/>
      <c r="G364" s="1368" t="s">
        <v>9</v>
      </c>
    </row>
    <row r="365" spans="1:7">
      <c r="A365" s="1754">
        <v>45242</v>
      </c>
      <c r="B365" s="1748" t="str">
        <f>TiposLancamentos!B5</f>
        <v>Supermercado</v>
      </c>
      <c r="C365" s="1740" t="s">
        <v>2061</v>
      </c>
      <c r="D365" s="1736"/>
      <c r="E365" s="952">
        <v>149.97999999999999</v>
      </c>
      <c r="F365" s="1027"/>
      <c r="G365" s="1368" t="s">
        <v>9</v>
      </c>
    </row>
    <row r="366" spans="1:7">
      <c r="A366" s="1754">
        <v>45244</v>
      </c>
      <c r="B366" s="1748" t="str">
        <f>TiposLancamentos!B17</f>
        <v>GATO</v>
      </c>
      <c r="C366" s="1740" t="s">
        <v>11955</v>
      </c>
      <c r="D366" s="1736"/>
      <c r="E366" s="952">
        <v>32.26</v>
      </c>
      <c r="F366" s="1027"/>
      <c r="G366" s="1368" t="s">
        <v>9</v>
      </c>
    </row>
    <row r="367" spans="1:7">
      <c r="A367" s="1754">
        <v>45244</v>
      </c>
      <c r="B367" s="1748" t="str">
        <f>TiposLancamentos!B22</f>
        <v>Combustivel</v>
      </c>
      <c r="C367" s="1740" t="s">
        <v>11956</v>
      </c>
      <c r="D367" s="1736"/>
      <c r="E367" s="952">
        <v>100</v>
      </c>
      <c r="F367" s="1027"/>
      <c r="G367" s="1368" t="s">
        <v>9</v>
      </c>
    </row>
    <row r="368" spans="1:7">
      <c r="A368" s="1754">
        <v>45244</v>
      </c>
      <c r="B368" s="1748" t="str">
        <f>TiposLancamentos!B19</f>
        <v>Restaurantes</v>
      </c>
      <c r="C368" s="1740" t="s">
        <v>1967</v>
      </c>
      <c r="D368" s="1736"/>
      <c r="E368" s="952">
        <v>38.5</v>
      </c>
      <c r="F368" s="1027"/>
      <c r="G368" s="1368" t="s">
        <v>9</v>
      </c>
    </row>
    <row r="369" spans="1:7">
      <c r="A369" s="1754">
        <v>45245</v>
      </c>
      <c r="B369" s="1748" t="str">
        <f>TiposLancamentos!B19</f>
        <v>Restaurantes</v>
      </c>
      <c r="C369" s="1740" t="s">
        <v>11957</v>
      </c>
      <c r="D369" s="1736"/>
      <c r="E369" s="952">
        <v>205.7</v>
      </c>
      <c r="F369" s="1027"/>
      <c r="G369" s="1368" t="s">
        <v>9</v>
      </c>
    </row>
    <row r="370" spans="1:7">
      <c r="A370" s="1754">
        <v>45245</v>
      </c>
      <c r="B370" s="1748" t="str">
        <f>TiposLancamentos!B19</f>
        <v>Restaurantes</v>
      </c>
      <c r="C370" s="1740" t="s">
        <v>11958</v>
      </c>
      <c r="D370" s="1736"/>
      <c r="E370" s="952">
        <v>42.4</v>
      </c>
      <c r="F370" s="1027"/>
      <c r="G370" s="1368" t="s">
        <v>9</v>
      </c>
    </row>
    <row r="371" spans="1:7">
      <c r="A371" s="1666">
        <v>45246</v>
      </c>
      <c r="B371" s="1751" t="str">
        <f>TiposLancamentos!B56</f>
        <v>Farmácia</v>
      </c>
      <c r="C371" s="1744" t="s">
        <v>6118</v>
      </c>
      <c r="D371" s="1735"/>
      <c r="E371" s="920">
        <v>138.52000000000001</v>
      </c>
      <c r="F371" s="1614"/>
      <c r="G371" s="1368" t="s">
        <v>9</v>
      </c>
    </row>
    <row r="372" spans="1:7">
      <c r="A372" s="1750">
        <v>45246</v>
      </c>
      <c r="B372" s="1753" t="str">
        <f>TiposLancamentos!B56</f>
        <v>Farmácia</v>
      </c>
      <c r="C372" s="1746" t="s">
        <v>11959</v>
      </c>
      <c r="D372" s="1737"/>
      <c r="E372" s="922">
        <f>F372-E371</f>
        <v>13.439999999999998</v>
      </c>
      <c r="F372" s="1548">
        <v>151.96</v>
      </c>
      <c r="G372" s="1368" t="s">
        <v>9</v>
      </c>
    </row>
    <row r="373" spans="1:7">
      <c r="A373" s="1754">
        <v>45247</v>
      </c>
      <c r="B373" s="1748" t="str">
        <f>TiposLancamentos!B24</f>
        <v>Estacionamentos</v>
      </c>
      <c r="C373" s="1740" t="s">
        <v>11960</v>
      </c>
      <c r="D373" s="1736"/>
      <c r="E373" s="952">
        <v>12</v>
      </c>
      <c r="F373" s="1027"/>
      <c r="G373" s="1368" t="s">
        <v>9</v>
      </c>
    </row>
    <row r="374" spans="1:7">
      <c r="A374" s="1754">
        <v>45247</v>
      </c>
      <c r="B374" s="1748" t="str">
        <f>TiposLancamentos!B5</f>
        <v>Supermercado</v>
      </c>
      <c r="C374" s="1740" t="s">
        <v>2167</v>
      </c>
      <c r="D374" s="1736"/>
      <c r="E374" s="952">
        <v>15.98</v>
      </c>
      <c r="F374" s="1027"/>
      <c r="G374" s="1368" t="s">
        <v>9</v>
      </c>
    </row>
    <row r="375" spans="1:7">
      <c r="A375" s="1754">
        <v>45247</v>
      </c>
      <c r="B375" s="1748" t="str">
        <f>TiposLancamentos!B5</f>
        <v>Supermercado</v>
      </c>
      <c r="C375" s="1740" t="s">
        <v>2167</v>
      </c>
      <c r="D375" s="1736"/>
      <c r="E375" s="952">
        <v>7.77</v>
      </c>
      <c r="F375" s="1027"/>
      <c r="G375" s="1368" t="s">
        <v>9</v>
      </c>
    </row>
    <row r="376" spans="1:7">
      <c r="A376" s="1754">
        <v>45248</v>
      </c>
      <c r="B376" s="1748" t="str">
        <f>TiposLancamentos!B19</f>
        <v>Restaurantes</v>
      </c>
      <c r="C376" s="1740" t="s">
        <v>11961</v>
      </c>
      <c r="D376" s="1736"/>
      <c r="E376" s="952">
        <v>73.5</v>
      </c>
      <c r="F376" s="1027"/>
      <c r="G376" s="1368" t="s">
        <v>9</v>
      </c>
    </row>
    <row r="377" spans="1:7">
      <c r="A377" s="1754">
        <v>45250</v>
      </c>
      <c r="B377" s="1748" t="str">
        <f>TiposLancamentos!B19</f>
        <v>Restaurantes</v>
      </c>
      <c r="C377" s="1740" t="s">
        <v>11962</v>
      </c>
      <c r="D377" s="1736"/>
      <c r="E377" s="952">
        <v>242.26</v>
      </c>
      <c r="F377" s="1027"/>
      <c r="G377" s="1368" t="s">
        <v>9</v>
      </c>
    </row>
    <row r="378" spans="1:7">
      <c r="A378" s="1754">
        <v>45250</v>
      </c>
      <c r="B378" s="1748" t="str">
        <f>TiposLancamentos!B72</f>
        <v>Presentes</v>
      </c>
      <c r="C378" s="1740" t="s">
        <v>11963</v>
      </c>
      <c r="D378" s="1736"/>
      <c r="E378" s="952">
        <v>56.9</v>
      </c>
      <c r="F378" s="1027"/>
      <c r="G378" s="1368" t="s">
        <v>9</v>
      </c>
    </row>
    <row r="379" spans="1:7">
      <c r="A379" s="1754">
        <v>45250</v>
      </c>
      <c r="B379" s="1748" t="str">
        <f>TiposLancamentos!B70</f>
        <v>Vestuário</v>
      </c>
      <c r="C379" s="1740" t="s">
        <v>11964</v>
      </c>
      <c r="D379" s="1736"/>
      <c r="E379" s="952">
        <v>136.69999999999999</v>
      </c>
      <c r="F379" s="1027">
        <v>819.95</v>
      </c>
      <c r="G379" s="1368" t="s">
        <v>9</v>
      </c>
    </row>
    <row r="380" spans="1:7">
      <c r="A380" s="1754">
        <v>45250</v>
      </c>
      <c r="B380" s="1748" t="str">
        <f>B377</f>
        <v>Restaurantes</v>
      </c>
      <c r="C380" s="1740" t="s">
        <v>10381</v>
      </c>
      <c r="D380" s="1736"/>
      <c r="E380" s="952">
        <v>36.4</v>
      </c>
      <c r="F380" s="1027"/>
      <c r="G380" s="1368" t="s">
        <v>9</v>
      </c>
    </row>
    <row r="381" spans="1:7">
      <c r="A381" s="1756"/>
      <c r="B381" s="1749"/>
      <c r="C381" s="1741" t="s">
        <v>10</v>
      </c>
      <c r="D381" s="1690"/>
      <c r="E381" s="1231"/>
      <c r="F381" s="1231"/>
      <c r="G381" s="1094" t="s">
        <v>11</v>
      </c>
    </row>
    <row r="382" spans="1:7">
      <c r="A382" s="1754">
        <v>45249</v>
      </c>
      <c r="B382" s="1748" t="str">
        <f>TiposLancamentos!B56</f>
        <v>Farmácia</v>
      </c>
      <c r="C382" s="1740" t="s">
        <v>11965</v>
      </c>
      <c r="D382" s="1736"/>
      <c r="E382" s="952">
        <v>161.11000000000001</v>
      </c>
      <c r="F382" s="1027">
        <v>322.23</v>
      </c>
      <c r="G382" s="1368" t="s">
        <v>9</v>
      </c>
    </row>
    <row r="383" spans="1:7">
      <c r="A383" s="1754">
        <v>45260</v>
      </c>
      <c r="B383" s="1748" t="str">
        <f>TiposLancamentos!B16</f>
        <v>Cristiane</v>
      </c>
      <c r="C383" s="1740" t="s">
        <v>11966</v>
      </c>
      <c r="D383" s="1736"/>
      <c r="E383" s="952">
        <v>55.9</v>
      </c>
      <c r="F383" s="1027"/>
      <c r="G383" s="1368" t="s">
        <v>9</v>
      </c>
    </row>
    <row r="384" spans="1:7" ht="14.25" thickBot="1">
      <c r="A384" s="1754"/>
      <c r="B384" s="1748"/>
      <c r="C384" s="1740" t="s">
        <v>1868</v>
      </c>
      <c r="D384" s="1736"/>
      <c r="E384" s="952"/>
      <c r="F384" s="1027"/>
    </row>
    <row r="385" spans="1:7">
      <c r="A385" s="1814"/>
      <c r="B385" s="1809"/>
      <c r="C385" s="1801" t="s">
        <v>1629</v>
      </c>
      <c r="D385" s="1794"/>
      <c r="E385" s="1788"/>
      <c r="F385" s="1078">
        <f>SUM(E322:E381)</f>
        <v>3688.665</v>
      </c>
    </row>
    <row r="386" spans="1:7">
      <c r="A386" s="1754">
        <v>45261</v>
      </c>
      <c r="B386" s="1748" t="str">
        <f>TiposLancamentos!B15</f>
        <v>Cartões de Crédito</v>
      </c>
      <c r="C386" s="1740" t="s">
        <v>1874</v>
      </c>
      <c r="D386" s="1736">
        <v>3688.67</v>
      </c>
      <c r="E386" s="952"/>
      <c r="F386" s="1027">
        <f>F385-F351</f>
        <v>2687.915</v>
      </c>
      <c r="G386" s="1368" t="s">
        <v>9</v>
      </c>
    </row>
    <row r="387" spans="1:7">
      <c r="A387" s="1754">
        <v>45275</v>
      </c>
      <c r="B387" s="1748" t="str">
        <f>TiposLancamentos!B22</f>
        <v>Combustivel</v>
      </c>
      <c r="C387" s="1740" t="s">
        <v>10322</v>
      </c>
      <c r="D387" s="1736"/>
      <c r="E387" s="952">
        <v>280.2</v>
      </c>
      <c r="F387" s="1027"/>
      <c r="G387" s="1368" t="s">
        <v>9</v>
      </c>
    </row>
    <row r="388" spans="1:7">
      <c r="A388" s="1754">
        <v>45277</v>
      </c>
      <c r="B388" s="1748" t="str">
        <f>TiposLancamentos!B22</f>
        <v>Combustivel</v>
      </c>
      <c r="C388" s="1740" t="s">
        <v>10322</v>
      </c>
      <c r="D388" s="1736"/>
      <c r="E388" s="952">
        <v>151.31</v>
      </c>
      <c r="F388" s="1027"/>
      <c r="G388" s="1368" t="s">
        <v>9</v>
      </c>
    </row>
    <row r="389" spans="1:7">
      <c r="A389" s="1754">
        <v>45278</v>
      </c>
      <c r="B389" s="1748" t="str">
        <f>TiposLancamentos!B19</f>
        <v>Restaurantes</v>
      </c>
      <c r="C389" s="1740" t="s">
        <v>1888</v>
      </c>
      <c r="D389" s="1736"/>
      <c r="E389" s="952">
        <v>89.9</v>
      </c>
      <c r="F389" s="1027"/>
      <c r="G389" s="1368" t="s">
        <v>9</v>
      </c>
    </row>
    <row r="390" spans="1:7">
      <c r="A390" s="1754">
        <v>45280</v>
      </c>
      <c r="B390" s="1748" t="str">
        <f>TiposLancamentos!B70</f>
        <v>Vestuário</v>
      </c>
      <c r="C390" s="1740" t="s">
        <v>11967</v>
      </c>
      <c r="D390" s="1736"/>
      <c r="E390" s="952">
        <v>136.65</v>
      </c>
      <c r="F390" s="1027">
        <v>819.95</v>
      </c>
      <c r="G390" s="1368" t="s">
        <v>9</v>
      </c>
    </row>
    <row r="391" spans="1:7">
      <c r="A391" s="1666">
        <v>45281</v>
      </c>
      <c r="B391" s="1751" t="str">
        <f>TiposLancamentos!B56</f>
        <v>Farmácia</v>
      </c>
      <c r="C391" s="1744" t="s">
        <v>10735</v>
      </c>
      <c r="D391" s="1735"/>
      <c r="E391" s="920">
        <v>132.58000000000001</v>
      </c>
      <c r="F391" s="1614"/>
      <c r="G391" s="1368" t="s">
        <v>9</v>
      </c>
    </row>
    <row r="392" spans="1:7">
      <c r="A392" s="1750">
        <v>45281</v>
      </c>
      <c r="B392" s="1753" t="str">
        <f>TiposLancamentos!B56</f>
        <v>Farmácia</v>
      </c>
      <c r="C392" s="1746" t="s">
        <v>11968</v>
      </c>
      <c r="D392" s="1737"/>
      <c r="E392" s="922">
        <f>F392-E391</f>
        <v>37.47</v>
      </c>
      <c r="F392" s="1548">
        <v>170.05</v>
      </c>
      <c r="G392" s="1368" t="s">
        <v>9</v>
      </c>
    </row>
    <row r="393" spans="1:7">
      <c r="A393" s="1754">
        <v>45281</v>
      </c>
      <c r="B393" s="1748" t="str">
        <f>TiposLancamentos!B13</f>
        <v>Moradia</v>
      </c>
      <c r="C393" s="1740" t="s">
        <v>11969</v>
      </c>
      <c r="D393" s="1736"/>
      <c r="E393" s="952">
        <v>351.65</v>
      </c>
      <c r="F393" s="1027"/>
      <c r="G393" s="1368" t="s">
        <v>9</v>
      </c>
    </row>
    <row r="394" spans="1:7">
      <c r="A394" s="1754">
        <v>45281</v>
      </c>
      <c r="B394" s="1748" t="str">
        <f>TiposLancamentos!B18</f>
        <v>Alimentacao</v>
      </c>
      <c r="C394" s="1740" t="s">
        <v>1900</v>
      </c>
      <c r="D394" s="1736"/>
      <c r="E394" s="952">
        <v>8.5</v>
      </c>
      <c r="F394" s="1027"/>
      <c r="G394" s="1368" t="s">
        <v>9</v>
      </c>
    </row>
    <row r="395" spans="1:7">
      <c r="A395" s="1754">
        <v>45281</v>
      </c>
      <c r="B395" s="1748" t="str">
        <f>TiposLancamentos!B5</f>
        <v>Supermercado</v>
      </c>
      <c r="C395" s="1740" t="s">
        <v>1884</v>
      </c>
      <c r="D395" s="1736"/>
      <c r="E395" s="952">
        <v>12.67</v>
      </c>
      <c r="F395" s="1027"/>
      <c r="G395" s="1368" t="s">
        <v>9</v>
      </c>
    </row>
    <row r="396" spans="1:7">
      <c r="A396" s="1754">
        <v>45281</v>
      </c>
      <c r="B396" s="1748" t="str">
        <f>B389</f>
        <v>Restaurantes</v>
      </c>
      <c r="C396" s="1740" t="s">
        <v>11970</v>
      </c>
      <c r="D396" s="1736"/>
      <c r="E396" s="952">
        <v>114.4</v>
      </c>
      <c r="F396" s="1027"/>
      <c r="G396" s="1368" t="s">
        <v>9</v>
      </c>
    </row>
    <row r="397" spans="1:7">
      <c r="A397" s="1754">
        <v>45282</v>
      </c>
      <c r="B397" s="1748" t="str">
        <f>TiposLancamentos!B5</f>
        <v>Supermercado</v>
      </c>
      <c r="C397" s="1740" t="s">
        <v>11971</v>
      </c>
      <c r="D397" s="1736"/>
      <c r="E397" s="952">
        <v>391.72</v>
      </c>
      <c r="F397" s="1027"/>
      <c r="G397" s="1368" t="s">
        <v>9</v>
      </c>
    </row>
    <row r="398" spans="1:7">
      <c r="A398" s="1754">
        <v>45282</v>
      </c>
      <c r="B398" s="1748" t="str">
        <f>TiposLancamentos!B5</f>
        <v>Supermercado</v>
      </c>
      <c r="C398" s="1740" t="s">
        <v>2153</v>
      </c>
      <c r="D398" s="1736"/>
      <c r="E398" s="952">
        <v>31.87</v>
      </c>
      <c r="F398" s="1027"/>
      <c r="G398" s="1368" t="s">
        <v>9</v>
      </c>
    </row>
    <row r="399" spans="1:7">
      <c r="A399" s="1754">
        <v>45283</v>
      </c>
      <c r="B399" s="1748" t="str">
        <f>TiposLancamentos!B56</f>
        <v>Farmácia</v>
      </c>
      <c r="C399" s="1740" t="s">
        <v>11972</v>
      </c>
      <c r="D399" s="1736"/>
      <c r="E399" s="952">
        <f>F399/3</f>
        <v>209.4</v>
      </c>
      <c r="F399" s="1027">
        <v>628.20000000000005</v>
      </c>
      <c r="G399" s="1368" t="s">
        <v>9</v>
      </c>
    </row>
    <row r="400" spans="1:7">
      <c r="A400" s="1754">
        <v>45283</v>
      </c>
      <c r="B400" s="1748" t="str">
        <f>TiposLancamentos!B56</f>
        <v>Farmácia</v>
      </c>
      <c r="C400" s="1740" t="s">
        <v>11973</v>
      </c>
      <c r="D400" s="1736"/>
      <c r="E400" s="952">
        <v>22.99</v>
      </c>
      <c r="F400" s="1027"/>
      <c r="G400" s="1368" t="s">
        <v>9</v>
      </c>
    </row>
    <row r="401" spans="1:7">
      <c r="A401" s="1754">
        <v>45283</v>
      </c>
      <c r="B401" s="1748" t="str">
        <f>TiposLancamentos!B13</f>
        <v>Moradia</v>
      </c>
      <c r="C401" s="1740" t="s">
        <v>11974</v>
      </c>
      <c r="D401" s="1736"/>
      <c r="E401" s="952">
        <v>31.98</v>
      </c>
      <c r="F401" s="1027"/>
      <c r="G401" s="1368" t="s">
        <v>9</v>
      </c>
    </row>
    <row r="402" spans="1:7">
      <c r="A402" s="1754">
        <v>45283</v>
      </c>
      <c r="B402" s="1748" t="str">
        <f>TiposLancamentos!B19</f>
        <v>Restaurantes</v>
      </c>
      <c r="C402" s="1740" t="s">
        <v>8055</v>
      </c>
      <c r="D402" s="1736"/>
      <c r="E402" s="952">
        <v>35.5</v>
      </c>
      <c r="F402" s="1027"/>
      <c r="G402" s="1368" t="s">
        <v>9</v>
      </c>
    </row>
    <row r="403" spans="1:7">
      <c r="A403" s="1754">
        <v>45283</v>
      </c>
      <c r="B403" s="1748" t="str">
        <f>TiposLancamentos!B19</f>
        <v>Restaurantes</v>
      </c>
      <c r="C403" s="1740" t="s">
        <v>11975</v>
      </c>
      <c r="D403" s="1736"/>
      <c r="E403" s="952">
        <v>95.4</v>
      </c>
      <c r="F403" s="1027"/>
      <c r="G403" s="1368" t="s">
        <v>9</v>
      </c>
    </row>
    <row r="404" spans="1:7">
      <c r="A404" s="1754">
        <v>45284</v>
      </c>
      <c r="B404" s="1748" t="str">
        <f>TiposLancamentos!B5</f>
        <v>Supermercado</v>
      </c>
      <c r="C404" s="1740" t="s">
        <v>11976</v>
      </c>
      <c r="D404" s="1736"/>
      <c r="E404" s="952">
        <v>59.27</v>
      </c>
      <c r="F404" s="1027"/>
      <c r="G404" s="1368" t="s">
        <v>9</v>
      </c>
    </row>
    <row r="405" spans="1:7">
      <c r="A405" s="1754">
        <v>45284</v>
      </c>
      <c r="B405" s="1748" t="str">
        <f>TiposLancamentos!B5</f>
        <v>Supermercado</v>
      </c>
      <c r="C405" s="1740" t="s">
        <v>11977</v>
      </c>
      <c r="D405" s="1736"/>
      <c r="E405" s="952">
        <v>42.85</v>
      </c>
      <c r="F405" s="1027"/>
      <c r="G405" s="1368" t="s">
        <v>9</v>
      </c>
    </row>
    <row r="406" spans="1:7">
      <c r="A406" s="1754">
        <v>45284</v>
      </c>
      <c r="B406" s="1748" t="str">
        <f>TiposLancamentos!B16</f>
        <v>Cristiane</v>
      </c>
      <c r="C406" s="1740" t="s">
        <v>11978</v>
      </c>
      <c r="D406" s="1736"/>
      <c r="E406" s="952">
        <v>18.46</v>
      </c>
      <c r="F406" s="1027"/>
      <c r="G406" s="1368" t="s">
        <v>9</v>
      </c>
    </row>
    <row r="407" spans="1:7">
      <c r="A407" s="1754">
        <v>45284</v>
      </c>
      <c r="B407" s="1748" t="str">
        <f>TiposLancamentos!B5</f>
        <v>Supermercado</v>
      </c>
      <c r="C407" s="1740" t="s">
        <v>10550</v>
      </c>
      <c r="D407" s="1736"/>
      <c r="E407" s="952">
        <v>5.49</v>
      </c>
      <c r="F407" s="1027"/>
      <c r="G407" s="1368" t="s">
        <v>9</v>
      </c>
    </row>
    <row r="408" spans="1:7">
      <c r="A408" s="1756"/>
      <c r="B408" s="1749"/>
      <c r="C408" s="1741" t="s">
        <v>10</v>
      </c>
      <c r="D408" s="1690"/>
      <c r="E408" s="1231"/>
      <c r="F408" s="1231"/>
      <c r="G408" s="1094" t="s">
        <v>11</v>
      </c>
    </row>
    <row r="409" spans="1:7">
      <c r="A409" s="1754">
        <v>45286</v>
      </c>
      <c r="B409" s="1748" t="str">
        <f>TiposLancamentos!B19</f>
        <v>Restaurantes</v>
      </c>
      <c r="C409" s="1740" t="s">
        <v>11979</v>
      </c>
      <c r="D409" s="1736"/>
      <c r="E409" s="952">
        <v>334.93</v>
      </c>
      <c r="F409" s="1027"/>
      <c r="G409" s="1368" t="s">
        <v>9</v>
      </c>
    </row>
    <row r="410" spans="1:7">
      <c r="A410" s="1754">
        <v>45287</v>
      </c>
      <c r="B410" s="1748" t="str">
        <f>TiposLancamentos!B16</f>
        <v>Cristiane</v>
      </c>
      <c r="C410" s="1740" t="s">
        <v>11980</v>
      </c>
      <c r="D410" s="1736"/>
      <c r="E410" s="952">
        <v>239.99</v>
      </c>
      <c r="F410" s="1027"/>
      <c r="G410" s="1368" t="s">
        <v>9</v>
      </c>
    </row>
    <row r="411" spans="1:7">
      <c r="A411" s="1754">
        <v>45287</v>
      </c>
      <c r="B411" s="1748" t="str">
        <f>TiposLancamentos!B19</f>
        <v>Restaurantes</v>
      </c>
      <c r="C411" s="1740" t="s">
        <v>11981</v>
      </c>
      <c r="D411" s="1736"/>
      <c r="E411" s="952">
        <v>35.5</v>
      </c>
      <c r="F411" s="1027"/>
      <c r="G411" s="1368" t="s">
        <v>9</v>
      </c>
    </row>
    <row r="412" spans="1:7">
      <c r="A412" s="1666">
        <v>45287</v>
      </c>
      <c r="B412" s="1751" t="str">
        <f>TiposLancamentos!B38</f>
        <v>Playstation 4</v>
      </c>
      <c r="C412" s="1744" t="s">
        <v>11982</v>
      </c>
      <c r="D412" s="1735"/>
      <c r="E412" s="920">
        <v>80</v>
      </c>
      <c r="F412" s="1614"/>
      <c r="G412" s="1368" t="s">
        <v>9</v>
      </c>
    </row>
    <row r="413" spans="1:7">
      <c r="A413" s="1750">
        <v>45287</v>
      </c>
      <c r="B413" s="1753" t="str">
        <f>TiposLancamentos!B38</f>
        <v>Playstation 4</v>
      </c>
      <c r="C413" s="1746" t="s">
        <v>11983</v>
      </c>
      <c r="D413" s="1737"/>
      <c r="E413" s="922">
        <v>80</v>
      </c>
      <c r="F413" s="1548">
        <v>160</v>
      </c>
      <c r="G413" s="1368" t="s">
        <v>9</v>
      </c>
    </row>
    <row r="414" spans="1:7">
      <c r="A414" s="1666">
        <v>45287</v>
      </c>
      <c r="B414" s="1751" t="str">
        <f>TiposLancamentos!B71</f>
        <v>Itens Pessoais</v>
      </c>
      <c r="C414" s="1744" t="s">
        <v>11984</v>
      </c>
      <c r="D414" s="1735"/>
      <c r="E414" s="920">
        <v>7</v>
      </c>
      <c r="F414" s="1614"/>
      <c r="G414" s="1368" t="s">
        <v>9</v>
      </c>
    </row>
    <row r="415" spans="1:7">
      <c r="A415" s="1750">
        <v>45287</v>
      </c>
      <c r="B415" s="1753" t="str">
        <f>TiposLancamentos!B38</f>
        <v>Playstation 4</v>
      </c>
      <c r="C415" s="1746" t="s">
        <v>11985</v>
      </c>
      <c r="D415" s="1737"/>
      <c r="E415" s="922">
        <v>80</v>
      </c>
      <c r="F415" s="1548">
        <f>SUM(E414:E415)</f>
        <v>87</v>
      </c>
      <c r="G415" s="1368" t="s">
        <v>9</v>
      </c>
    </row>
    <row r="416" spans="1:7">
      <c r="A416" s="1754">
        <v>45287</v>
      </c>
      <c r="B416" s="1748" t="str">
        <f>TiposLancamentos!B19</f>
        <v>Restaurantes</v>
      </c>
      <c r="C416" s="1740" t="s">
        <v>11986</v>
      </c>
      <c r="D416" s="1736"/>
      <c r="E416" s="952">
        <v>85.98</v>
      </c>
      <c r="F416" s="1027"/>
      <c r="G416" s="1368" t="s">
        <v>9</v>
      </c>
    </row>
    <row r="417" spans="1:7">
      <c r="A417" s="1754">
        <v>45288</v>
      </c>
      <c r="B417" s="1748" t="str">
        <f>TiposLancamentos!B71</f>
        <v>Itens Pessoais</v>
      </c>
      <c r="C417" s="1740" t="s">
        <v>11987</v>
      </c>
      <c r="D417" s="1736"/>
      <c r="E417" s="952">
        <v>30</v>
      </c>
      <c r="F417" s="1027"/>
      <c r="G417" s="1368" t="s">
        <v>9</v>
      </c>
    </row>
    <row r="418" spans="1:7">
      <c r="A418" s="1754">
        <v>45288</v>
      </c>
      <c r="B418" s="1748" t="str">
        <f>TiposLancamentos!B56</f>
        <v>Farmácia</v>
      </c>
      <c r="C418" s="1740" t="s">
        <v>11988</v>
      </c>
      <c r="D418" s="1736"/>
      <c r="E418" s="952">
        <v>4.99</v>
      </c>
      <c r="F418" s="1027"/>
      <c r="G418" s="1368" t="s">
        <v>9</v>
      </c>
    </row>
    <row r="419" spans="1:7">
      <c r="A419" s="1754">
        <v>45288</v>
      </c>
      <c r="B419" s="1748" t="str">
        <f>TiposLancamentos!B5</f>
        <v>Supermercado</v>
      </c>
      <c r="C419" s="1740" t="s">
        <v>1879</v>
      </c>
      <c r="D419" s="1736"/>
      <c r="E419" s="952">
        <v>21.38</v>
      </c>
      <c r="F419" s="1027"/>
      <c r="G419" s="1368" t="s">
        <v>9</v>
      </c>
    </row>
    <row r="420" spans="1:7">
      <c r="A420" s="1754">
        <v>45288</v>
      </c>
      <c r="B420" s="1748" t="str">
        <f>TiposLancamentos!B5</f>
        <v>Supermercado</v>
      </c>
      <c r="C420" s="1740" t="s">
        <v>11989</v>
      </c>
      <c r="D420" s="1736"/>
      <c r="E420" s="952">
        <v>8.2899999999999991</v>
      </c>
      <c r="F420" s="1027"/>
      <c r="G420" s="1368" t="s">
        <v>9</v>
      </c>
    </row>
    <row r="421" spans="1:7">
      <c r="A421" s="1754">
        <v>45288</v>
      </c>
      <c r="B421" s="1748" t="str">
        <f>TiposLancamentos!B19</f>
        <v>Restaurantes</v>
      </c>
      <c r="C421" s="1740" t="s">
        <v>1934</v>
      </c>
      <c r="D421" s="1736"/>
      <c r="E421" s="952">
        <v>94.4</v>
      </c>
      <c r="F421" s="1027"/>
      <c r="G421" s="1368" t="s">
        <v>9</v>
      </c>
    </row>
    <row r="422" spans="1:7">
      <c r="A422" s="1754">
        <v>45289</v>
      </c>
      <c r="B422" s="1748" t="str">
        <f>TiposLancamentos!B16</f>
        <v>Cristiane</v>
      </c>
      <c r="C422" s="1740" t="s">
        <v>11990</v>
      </c>
      <c r="D422" s="1736"/>
      <c r="E422" s="952">
        <v>145.6</v>
      </c>
      <c r="F422" s="1027"/>
      <c r="G422" s="1368" t="s">
        <v>9</v>
      </c>
    </row>
    <row r="423" spans="1:7">
      <c r="A423" s="1754">
        <v>45290</v>
      </c>
      <c r="B423" s="1748" t="str">
        <f>TiposLancamentos!B16</f>
        <v>Cristiane</v>
      </c>
      <c r="C423" s="1740" t="s">
        <v>11966</v>
      </c>
      <c r="D423" s="1736"/>
      <c r="E423" s="952">
        <v>55.9</v>
      </c>
      <c r="F423" s="1027"/>
      <c r="G423" s="1368" t="s">
        <v>9</v>
      </c>
    </row>
    <row r="424" spans="1:7" ht="14.25" thickBot="1">
      <c r="A424" s="1754">
        <v>45291</v>
      </c>
      <c r="B424" s="1748" t="str">
        <f>TiposLancamentos!B5</f>
        <v>Supermercado</v>
      </c>
      <c r="C424" s="1740" t="s">
        <v>11991</v>
      </c>
      <c r="D424" s="1736"/>
      <c r="E424" s="952">
        <v>357.68</v>
      </c>
      <c r="F424" s="1027"/>
      <c r="G424" s="1368" t="s">
        <v>9</v>
      </c>
    </row>
    <row r="425" spans="1:7">
      <c r="A425" s="1814"/>
      <c r="B425" s="1809"/>
      <c r="C425" s="1801" t="s">
        <v>1630</v>
      </c>
      <c r="D425" s="1794"/>
      <c r="E425" s="1788"/>
      <c r="F425" s="1078">
        <f>SUM(E381:E408)</f>
        <v>2477.2699999999995</v>
      </c>
    </row>
    <row r="426" spans="1:7">
      <c r="A426" s="1754">
        <v>45292</v>
      </c>
      <c r="B426" s="1748" t="str">
        <f>TiposLancamentos!B15</f>
        <v>Cartões de Crédito</v>
      </c>
      <c r="C426" s="1740" t="s">
        <v>1874</v>
      </c>
      <c r="D426" s="1736">
        <v>2477.27</v>
      </c>
      <c r="E426" s="952"/>
      <c r="F426" s="1027">
        <f>F425-F385</f>
        <v>-1211.3950000000004</v>
      </c>
      <c r="G426" s="1368" t="s">
        <v>9</v>
      </c>
    </row>
    <row r="427" spans="1:7">
      <c r="A427" s="1754">
        <v>45296</v>
      </c>
      <c r="B427" s="1748" t="str">
        <f>TiposLancamentos!B5</f>
        <v>Supermercado</v>
      </c>
      <c r="C427" s="1740" t="s">
        <v>11992</v>
      </c>
      <c r="D427" s="1736"/>
      <c r="E427" s="952">
        <v>131.35</v>
      </c>
      <c r="F427" s="1027"/>
      <c r="G427" s="1368" t="s">
        <v>9</v>
      </c>
    </row>
    <row r="428" spans="1:7">
      <c r="A428" s="1754">
        <v>45297</v>
      </c>
      <c r="B428" s="1748" t="str">
        <f>TiposLancamentos!B17</f>
        <v>GATO</v>
      </c>
      <c r="C428" s="1740" t="s">
        <v>11993</v>
      </c>
      <c r="D428" s="1736"/>
      <c r="E428" s="952">
        <v>39.99</v>
      </c>
      <c r="F428" s="1027"/>
      <c r="G428" s="1368" t="s">
        <v>9</v>
      </c>
    </row>
    <row r="429" spans="1:7">
      <c r="A429" s="1754">
        <v>45297</v>
      </c>
      <c r="B429" s="1748" t="str">
        <f>TiposLancamentos!B19</f>
        <v>Restaurantes</v>
      </c>
      <c r="C429" s="1740" t="s">
        <v>11994</v>
      </c>
      <c r="D429" s="1736"/>
      <c r="E429" s="952">
        <v>7</v>
      </c>
      <c r="F429" s="1027"/>
      <c r="G429" s="1368" t="s">
        <v>9</v>
      </c>
    </row>
    <row r="430" spans="1:7">
      <c r="A430" s="1754">
        <v>45298</v>
      </c>
      <c r="B430" s="1748" t="str">
        <f>TiposLancamentos!B17</f>
        <v>GATO</v>
      </c>
      <c r="C430" s="1740" t="s">
        <v>9084</v>
      </c>
      <c r="D430" s="1736"/>
      <c r="E430" s="952">
        <v>46.96</v>
      </c>
      <c r="F430" s="1027"/>
      <c r="G430" s="1368" t="s">
        <v>9</v>
      </c>
    </row>
    <row r="431" spans="1:7">
      <c r="A431" s="1754">
        <v>45298</v>
      </c>
      <c r="B431" s="1748" t="str">
        <f>TiposLancamentos!B19</f>
        <v>Restaurantes</v>
      </c>
      <c r="C431" s="1740" t="s">
        <v>11995</v>
      </c>
      <c r="D431" s="1736"/>
      <c r="E431" s="952">
        <v>275.49</v>
      </c>
      <c r="F431" s="1027"/>
      <c r="G431" s="1368" t="s">
        <v>9</v>
      </c>
    </row>
    <row r="432" spans="1:7">
      <c r="A432" s="1754">
        <v>45304</v>
      </c>
      <c r="B432" s="1748" t="str">
        <f>TiposLancamentos!B19</f>
        <v>Restaurantes</v>
      </c>
      <c r="C432" s="1740" t="s">
        <v>9085</v>
      </c>
      <c r="D432" s="1736"/>
      <c r="E432" s="952">
        <v>102.97</v>
      </c>
      <c r="F432" s="1027"/>
      <c r="G432" s="1368" t="s">
        <v>9</v>
      </c>
    </row>
    <row r="433" spans="1:7">
      <c r="A433" s="1754">
        <v>45304</v>
      </c>
      <c r="B433" s="1748" t="str">
        <f>TiposLancamentos!B19</f>
        <v>Restaurantes</v>
      </c>
      <c r="C433" s="1740" t="s">
        <v>11996</v>
      </c>
      <c r="D433" s="1736"/>
      <c r="E433" s="952">
        <v>47.21</v>
      </c>
      <c r="F433" s="1027"/>
      <c r="G433" s="1368" t="s">
        <v>9</v>
      </c>
    </row>
    <row r="434" spans="1:7">
      <c r="A434" s="1754">
        <v>45305</v>
      </c>
      <c r="B434" s="1748" t="str">
        <f>TiposLancamentos!B22</f>
        <v>Combustivel</v>
      </c>
      <c r="C434" s="1740" t="s">
        <v>11997</v>
      </c>
      <c r="D434" s="1736"/>
      <c r="E434" s="952">
        <v>50</v>
      </c>
      <c r="F434" s="1027"/>
      <c r="G434" s="1368" t="s">
        <v>9</v>
      </c>
    </row>
    <row r="435" spans="1:7">
      <c r="A435" s="1754">
        <v>45305</v>
      </c>
      <c r="B435" s="1748" t="str">
        <f>TiposLancamentos!B5</f>
        <v>Supermercado</v>
      </c>
      <c r="C435" s="1740" t="s">
        <v>11998</v>
      </c>
      <c r="D435" s="1736"/>
      <c r="E435" s="952">
        <v>153.30000000000001</v>
      </c>
      <c r="F435" s="1027"/>
      <c r="G435" s="1368" t="s">
        <v>9</v>
      </c>
    </row>
    <row r="436" spans="1:7">
      <c r="A436" s="1754">
        <v>45305</v>
      </c>
      <c r="B436" s="1748" t="str">
        <f>TiposLancamentos!B56</f>
        <v>Farmácia</v>
      </c>
      <c r="C436" s="1740" t="s">
        <v>11999</v>
      </c>
      <c r="D436" s="1736"/>
      <c r="E436" s="952">
        <v>45.21</v>
      </c>
      <c r="F436" s="1027"/>
      <c r="G436" s="1368" t="s">
        <v>9</v>
      </c>
    </row>
    <row r="437" spans="1:7">
      <c r="A437" s="1754">
        <v>45310</v>
      </c>
      <c r="B437" s="1748" t="str">
        <f>TiposLancamentos!B19</f>
        <v>Restaurantes</v>
      </c>
      <c r="C437" s="1740" t="s">
        <v>12000</v>
      </c>
      <c r="D437" s="1736"/>
      <c r="E437" s="952">
        <v>99.7</v>
      </c>
      <c r="F437" s="1027"/>
      <c r="G437" s="1368" t="s">
        <v>9</v>
      </c>
    </row>
    <row r="438" spans="1:7">
      <c r="A438" s="1754">
        <v>45311</v>
      </c>
      <c r="B438" s="1748" t="str">
        <f>TiposLancamentos!B70</f>
        <v>Vestuário</v>
      </c>
      <c r="C438" s="1740" t="s">
        <v>12001</v>
      </c>
      <c r="D438" s="1736"/>
      <c r="E438" s="952">
        <v>136.65</v>
      </c>
      <c r="F438" s="1027">
        <v>819.95</v>
      </c>
      <c r="G438" s="1368" t="s">
        <v>9</v>
      </c>
    </row>
    <row r="439" spans="1:7">
      <c r="A439" s="1754">
        <v>45314</v>
      </c>
      <c r="B439" s="1748" t="str">
        <f>TiposLancamentos!B56</f>
        <v>Farmácia</v>
      </c>
      <c r="C439" s="1740" t="s">
        <v>12002</v>
      </c>
      <c r="D439" s="1736"/>
      <c r="E439" s="952">
        <f>F439/3</f>
        <v>209.4</v>
      </c>
      <c r="F439" s="1027">
        <v>628.20000000000005</v>
      </c>
      <c r="G439" s="1368" t="s">
        <v>9</v>
      </c>
    </row>
    <row r="440" spans="1:7">
      <c r="A440" s="1756"/>
      <c r="B440" s="1749"/>
      <c r="C440" s="1741" t="s">
        <v>10</v>
      </c>
      <c r="D440" s="1690"/>
      <c r="E440" s="1231"/>
      <c r="F440" s="1231"/>
      <c r="G440" s="1094" t="s">
        <v>11</v>
      </c>
    </row>
    <row r="441" spans="1:7">
      <c r="A441" s="1754">
        <v>45315</v>
      </c>
      <c r="B441" s="1748" t="str">
        <f>TiposLancamentos!B22</f>
        <v>Combustivel</v>
      </c>
      <c r="C441" s="1740" t="s">
        <v>10322</v>
      </c>
      <c r="D441" s="1736"/>
      <c r="E441" s="952">
        <v>234.11</v>
      </c>
      <c r="F441" s="1027"/>
      <c r="G441" s="1368" t="s">
        <v>9</v>
      </c>
    </row>
    <row r="442" spans="1:7">
      <c r="A442" s="1754">
        <v>45315</v>
      </c>
      <c r="B442" s="1748" t="str">
        <f>TiposLancamentos!B5</f>
        <v>Supermercado</v>
      </c>
      <c r="C442" s="1740" t="s">
        <v>7840</v>
      </c>
      <c r="D442" s="1736"/>
      <c r="E442" s="952">
        <v>51.76</v>
      </c>
      <c r="F442" s="1027"/>
      <c r="G442" s="1368" t="s">
        <v>9</v>
      </c>
    </row>
    <row r="443" spans="1:7">
      <c r="A443" s="1754">
        <v>45316</v>
      </c>
      <c r="B443" s="1748" t="str">
        <f>TiposLancamentos!B19</f>
        <v>Restaurantes</v>
      </c>
      <c r="C443" s="1740" t="s">
        <v>12003</v>
      </c>
      <c r="D443" s="1736"/>
      <c r="E443" s="952">
        <v>41.6</v>
      </c>
      <c r="F443" s="1027"/>
      <c r="G443" s="1368" t="s">
        <v>9</v>
      </c>
    </row>
    <row r="444" spans="1:7">
      <c r="A444" s="1754">
        <v>45316</v>
      </c>
      <c r="B444" s="1748" t="str">
        <f>TiposLancamentos!B5</f>
        <v>Supermercado</v>
      </c>
      <c r="C444" s="1740" t="s">
        <v>12004</v>
      </c>
      <c r="D444" s="1736"/>
      <c r="E444" s="952">
        <v>21</v>
      </c>
      <c r="F444" s="1027"/>
      <c r="G444" s="1368" t="s">
        <v>9</v>
      </c>
    </row>
    <row r="445" spans="1:7">
      <c r="A445" s="1754">
        <v>45316</v>
      </c>
      <c r="B445" s="1748" t="str">
        <f>TiposLancamentos!B5</f>
        <v>Supermercado</v>
      </c>
      <c r="C445" s="1740" t="s">
        <v>12005</v>
      </c>
      <c r="D445" s="1736"/>
      <c r="E445" s="952">
        <v>115.01</v>
      </c>
      <c r="F445" s="1027"/>
      <c r="G445" s="1368" t="s">
        <v>9</v>
      </c>
    </row>
    <row r="446" spans="1:7">
      <c r="A446" s="1754">
        <v>45317</v>
      </c>
      <c r="B446" s="1810" t="str">
        <f>TiposLancamentos!B17</f>
        <v>GATO</v>
      </c>
      <c r="C446" s="1740" t="s">
        <v>12006</v>
      </c>
      <c r="D446" s="1736"/>
      <c r="E446" s="952">
        <v>108</v>
      </c>
      <c r="F446" s="1027"/>
      <c r="G446" s="1368" t="s">
        <v>9</v>
      </c>
    </row>
    <row r="447" spans="1:7">
      <c r="A447" s="1754">
        <v>45317</v>
      </c>
      <c r="B447" s="1810" t="str">
        <f>TiposLancamentos!B19</f>
        <v>Restaurantes</v>
      </c>
      <c r="C447" s="1740" t="s">
        <v>12007</v>
      </c>
      <c r="D447" s="1736"/>
      <c r="E447" s="952">
        <v>281.60000000000002</v>
      </c>
      <c r="F447" s="1027"/>
      <c r="G447" s="1368" t="s">
        <v>9</v>
      </c>
    </row>
    <row r="448" spans="1:7">
      <c r="A448" s="1754">
        <v>45317</v>
      </c>
      <c r="B448" s="1748" t="str">
        <f>TiposLancamentos!B19</f>
        <v>Restaurantes</v>
      </c>
      <c r="C448" s="1740" t="s">
        <v>12008</v>
      </c>
      <c r="D448" s="1736"/>
      <c r="E448" s="952">
        <v>32</v>
      </c>
      <c r="F448" s="1027"/>
      <c r="G448" s="1368" t="s">
        <v>9</v>
      </c>
    </row>
    <row r="449" spans="1:7">
      <c r="A449" s="1754">
        <v>45318</v>
      </c>
      <c r="B449" s="1748" t="str">
        <f>TiposLancamentos!B13</f>
        <v>Moradia</v>
      </c>
      <c r="C449" s="1740" t="s">
        <v>12009</v>
      </c>
      <c r="D449" s="1736"/>
      <c r="E449" s="952">
        <v>115.8</v>
      </c>
      <c r="F449" s="1027"/>
      <c r="G449" s="1368" t="s">
        <v>9</v>
      </c>
    </row>
    <row r="450" spans="1:7">
      <c r="A450" s="1754">
        <v>45318</v>
      </c>
      <c r="B450" s="1748" t="str">
        <f>TiposLancamentos!B13</f>
        <v>Moradia</v>
      </c>
      <c r="C450" s="1740" t="s">
        <v>12010</v>
      </c>
      <c r="D450" s="1736"/>
      <c r="E450" s="952">
        <v>19.8</v>
      </c>
      <c r="F450" s="1027"/>
      <c r="G450" s="1368" t="s">
        <v>9</v>
      </c>
    </row>
    <row r="451" spans="1:7">
      <c r="A451" s="1754">
        <v>45318</v>
      </c>
      <c r="B451" s="1748" t="str">
        <f>TiposLancamentos!B5</f>
        <v>Supermercado</v>
      </c>
      <c r="C451" s="1740" t="s">
        <v>12011</v>
      </c>
      <c r="D451" s="1736"/>
      <c r="E451" s="952">
        <v>42.9</v>
      </c>
      <c r="F451" s="1027"/>
      <c r="G451" s="1368" t="s">
        <v>9</v>
      </c>
    </row>
    <row r="452" spans="1:7">
      <c r="A452" s="1754">
        <v>45318</v>
      </c>
      <c r="B452" s="1748" t="str">
        <f>TiposLancamentos!B5</f>
        <v>Supermercado</v>
      </c>
      <c r="C452" s="1740" t="s">
        <v>12012</v>
      </c>
      <c r="D452" s="1736"/>
      <c r="E452" s="952">
        <v>140.77000000000001</v>
      </c>
      <c r="F452" s="1027"/>
      <c r="G452" s="1368" t="s">
        <v>9</v>
      </c>
    </row>
    <row r="453" spans="1:7">
      <c r="A453" s="1754">
        <v>45318</v>
      </c>
      <c r="B453" s="1748" t="str">
        <f>TiposLancamentos!B19</f>
        <v>Restaurantes</v>
      </c>
      <c r="C453" s="1740" t="s">
        <v>12013</v>
      </c>
      <c r="D453" s="1736"/>
      <c r="E453" s="952">
        <v>121</v>
      </c>
      <c r="F453" s="1027"/>
      <c r="G453" s="1368" t="s">
        <v>9</v>
      </c>
    </row>
    <row r="454" spans="1:7">
      <c r="A454" s="1754">
        <v>45319</v>
      </c>
      <c r="B454" s="1748" t="str">
        <f>TiposLancamentos!B22</f>
        <v>Combustivel</v>
      </c>
      <c r="C454" s="1740" t="s">
        <v>10322</v>
      </c>
      <c r="D454" s="1736"/>
      <c r="E454" s="952">
        <v>191.37</v>
      </c>
      <c r="F454" s="1027"/>
      <c r="G454" s="1368" t="s">
        <v>9</v>
      </c>
    </row>
    <row r="455" spans="1:7">
      <c r="A455" s="1754">
        <v>45319</v>
      </c>
      <c r="B455" s="1748" t="str">
        <f>TiposLancamentos!B19</f>
        <v>Restaurantes</v>
      </c>
      <c r="C455" s="1740" t="s">
        <v>12014</v>
      </c>
      <c r="D455" s="1736"/>
      <c r="E455" s="952">
        <v>99.7</v>
      </c>
      <c r="F455" s="1027"/>
      <c r="G455" s="1368" t="s">
        <v>9</v>
      </c>
    </row>
    <row r="456" spans="1:7" ht="14.25" thickBot="1">
      <c r="A456" s="1754">
        <v>45322</v>
      </c>
      <c r="B456" s="1748" t="str">
        <f>TiposLancamentos!B19</f>
        <v>Restaurantes</v>
      </c>
      <c r="C456" s="1740" t="s">
        <v>12015</v>
      </c>
      <c r="D456" s="1736"/>
      <c r="E456" s="952">
        <v>96.21</v>
      </c>
      <c r="F456" s="1027"/>
      <c r="G456" s="1368" t="s">
        <v>9</v>
      </c>
    </row>
    <row r="457" spans="1:7">
      <c r="A457" s="1814"/>
      <c r="B457" s="1809"/>
      <c r="C457" s="1801" t="s">
        <v>1631</v>
      </c>
      <c r="D457" s="1794"/>
      <c r="E457" s="1788"/>
      <c r="F457" s="1078">
        <f>SUM(E408:E440)</f>
        <v>3006.8700000000003</v>
      </c>
    </row>
    <row r="458" spans="1:7">
      <c r="A458" s="1754">
        <v>45323</v>
      </c>
      <c r="B458" s="1748" t="str">
        <f>TiposLancamentos!B15</f>
        <v>Cartões de Crédito</v>
      </c>
      <c r="C458" s="1740" t="s">
        <v>1874</v>
      </c>
      <c r="D458" s="1736">
        <v>3006.87</v>
      </c>
      <c r="E458" s="952"/>
      <c r="F458" s="1027">
        <f>F457-F425</f>
        <v>529.60000000000082</v>
      </c>
      <c r="G458" s="1368" t="s">
        <v>9</v>
      </c>
    </row>
    <row r="459" spans="1:7">
      <c r="A459" s="1754">
        <v>45324</v>
      </c>
      <c r="B459" s="1748" t="str">
        <f>TiposLancamentos!B19</f>
        <v>Restaurantes</v>
      </c>
      <c r="C459" s="1740" t="s">
        <v>12016</v>
      </c>
      <c r="D459" s="1736"/>
      <c r="E459" s="952">
        <v>93</v>
      </c>
      <c r="F459" s="1027"/>
      <c r="G459" s="1368" t="s">
        <v>9</v>
      </c>
    </row>
    <row r="460" spans="1:7">
      <c r="A460" s="1754">
        <v>45327</v>
      </c>
      <c r="B460" s="1748" t="str">
        <f>TiposLancamentos!B56</f>
        <v>Farmácia</v>
      </c>
      <c r="C460" s="1740" t="s">
        <v>12017</v>
      </c>
      <c r="D460" s="1736"/>
      <c r="E460" s="952">
        <v>148.4</v>
      </c>
      <c r="F460" s="1027"/>
      <c r="G460" s="1368" t="s">
        <v>9</v>
      </c>
    </row>
    <row r="461" spans="1:7">
      <c r="A461" s="1754">
        <v>45338</v>
      </c>
      <c r="B461" s="1748" t="str">
        <f>TiposLancamentos!B19</f>
        <v>Restaurantes</v>
      </c>
      <c r="C461" s="1740" t="s">
        <v>12018</v>
      </c>
      <c r="D461" s="1736"/>
      <c r="E461" s="952">
        <v>93</v>
      </c>
      <c r="F461" s="1027"/>
      <c r="G461" s="1368" t="s">
        <v>9</v>
      </c>
    </row>
    <row r="462" spans="1:7">
      <c r="A462" s="1754">
        <v>45342</v>
      </c>
      <c r="B462" s="1748" t="str">
        <f>TiposLancamentos!B70</f>
        <v>Vestuário</v>
      </c>
      <c r="C462" s="1740" t="s">
        <v>12019</v>
      </c>
      <c r="D462" s="1736"/>
      <c r="E462" s="952">
        <v>136.65</v>
      </c>
      <c r="F462" s="1027">
        <v>819.95</v>
      </c>
      <c r="G462" s="1368" t="s">
        <v>9</v>
      </c>
    </row>
    <row r="463" spans="1:7">
      <c r="A463" s="1754">
        <v>45345</v>
      </c>
      <c r="B463" s="1748" t="str">
        <f>TiposLancamentos!B56</f>
        <v>Farmácia</v>
      </c>
      <c r="C463" s="1740" t="s">
        <v>12002</v>
      </c>
      <c r="D463" s="1736"/>
      <c r="E463" s="952">
        <f>F463/3</f>
        <v>209.4</v>
      </c>
      <c r="F463" s="1027">
        <v>628.20000000000005</v>
      </c>
      <c r="G463" s="1368" t="s">
        <v>9</v>
      </c>
    </row>
    <row r="464" spans="1:7">
      <c r="A464" s="1756"/>
      <c r="B464" s="1749"/>
      <c r="C464" s="1741" t="s">
        <v>10</v>
      </c>
      <c r="D464" s="1690"/>
      <c r="E464" s="1231"/>
      <c r="F464" s="1231"/>
      <c r="G464" s="1094" t="s">
        <v>11</v>
      </c>
    </row>
    <row r="465" spans="1:7" ht="14.25" thickBot="1">
      <c r="A465" s="1754">
        <v>45347</v>
      </c>
      <c r="B465" s="1748" t="str">
        <f>TiposLancamentos!B19</f>
        <v>Restaurantes</v>
      </c>
      <c r="C465" s="1740" t="s">
        <v>12018</v>
      </c>
      <c r="D465" s="1736"/>
      <c r="E465" s="952">
        <v>93</v>
      </c>
      <c r="F465" s="1027"/>
      <c r="G465" s="1094" t="s">
        <v>11</v>
      </c>
    </row>
    <row r="466" spans="1:7">
      <c r="A466" s="1814"/>
      <c r="B466" s="1809"/>
      <c r="C466" s="1801" t="s">
        <v>1632</v>
      </c>
      <c r="D466" s="1794"/>
      <c r="E466" s="1788"/>
      <c r="F466" s="1078">
        <f>SUM(E440:E464)</f>
        <v>2393.08</v>
      </c>
    </row>
    <row r="467" spans="1:7">
      <c r="A467" s="1754">
        <v>45352</v>
      </c>
      <c r="B467" s="1748" t="str">
        <f>TiposLancamentos!B15</f>
        <v>Cartões de Crédito</v>
      </c>
      <c r="C467" s="1740" t="s">
        <v>1874</v>
      </c>
      <c r="D467" s="1736">
        <v>2393.08</v>
      </c>
      <c r="E467" s="952"/>
      <c r="F467" s="1027">
        <f>F466-F457</f>
        <v>-613.79000000000042</v>
      </c>
      <c r="G467" s="1094" t="s">
        <v>11</v>
      </c>
    </row>
    <row r="468" spans="1:7">
      <c r="A468" s="1754">
        <v>45359</v>
      </c>
      <c r="B468" s="1748" t="str">
        <f>TiposLancamentos!B19</f>
        <v>Restaurantes</v>
      </c>
      <c r="C468" s="1740" t="s">
        <v>12020</v>
      </c>
      <c r="D468" s="1736"/>
      <c r="E468" s="952">
        <v>87</v>
      </c>
      <c r="F468" s="1027"/>
      <c r="G468" s="1368" t="s">
        <v>9</v>
      </c>
    </row>
    <row r="469" spans="1:7">
      <c r="A469" s="1754">
        <v>45370</v>
      </c>
      <c r="B469" s="1748" t="str">
        <f>TiposLancamentos!B19</f>
        <v>Restaurantes</v>
      </c>
      <c r="C469" s="1740" t="s">
        <v>12021</v>
      </c>
      <c r="D469" s="1736"/>
      <c r="E469" s="952">
        <v>48.4</v>
      </c>
      <c r="F469" s="1027"/>
      <c r="G469" s="1368" t="s">
        <v>9</v>
      </c>
    </row>
    <row r="470" spans="1:7">
      <c r="A470" s="1754">
        <v>45371</v>
      </c>
      <c r="B470" s="1748" t="str">
        <f>TiposLancamentos!B70</f>
        <v>Vestuário</v>
      </c>
      <c r="C470" s="1740" t="s">
        <v>12022</v>
      </c>
      <c r="D470" s="1736"/>
      <c r="E470" s="952">
        <v>136.65</v>
      </c>
      <c r="F470" s="1027">
        <v>819.95</v>
      </c>
      <c r="G470" s="1368" t="s">
        <v>9</v>
      </c>
    </row>
    <row r="471" spans="1:7">
      <c r="A471" s="1754">
        <v>45373</v>
      </c>
      <c r="B471" s="1748" t="str">
        <f>TiposLancamentos!B24</f>
        <v>Estacionamentos</v>
      </c>
      <c r="C471" s="1740" t="s">
        <v>8612</v>
      </c>
      <c r="D471" s="1736"/>
      <c r="E471" s="952">
        <v>18</v>
      </c>
      <c r="F471" s="1027"/>
      <c r="G471" s="1368" t="s">
        <v>9</v>
      </c>
    </row>
    <row r="472" spans="1:7">
      <c r="A472" s="1754">
        <v>45374</v>
      </c>
      <c r="B472" s="1748" t="str">
        <f>TiposLancamentos!B19</f>
        <v>Restaurantes</v>
      </c>
      <c r="C472" s="1740" t="s">
        <v>1994</v>
      </c>
      <c r="D472" s="1736"/>
      <c r="E472" s="952">
        <v>105</v>
      </c>
      <c r="F472" s="1027"/>
      <c r="G472" s="1368" t="s">
        <v>9</v>
      </c>
    </row>
    <row r="473" spans="1:7">
      <c r="A473" s="1754">
        <v>45375</v>
      </c>
      <c r="B473" s="1748" t="str">
        <f>TiposLancamentos!B5</f>
        <v>Supermercado</v>
      </c>
      <c r="C473" s="1740" t="s">
        <v>1884</v>
      </c>
      <c r="D473" s="1736"/>
      <c r="E473" s="952">
        <v>23.97</v>
      </c>
      <c r="F473" s="1027"/>
      <c r="G473" s="1368" t="s">
        <v>9</v>
      </c>
    </row>
    <row r="474" spans="1:7">
      <c r="A474" s="1754">
        <v>45376</v>
      </c>
      <c r="B474" s="1748" t="str">
        <f>TiposLancamentos!B19</f>
        <v>Restaurantes</v>
      </c>
      <c r="C474" s="1740" t="s">
        <v>12023</v>
      </c>
      <c r="D474" s="1736"/>
      <c r="E474" s="952">
        <v>10.5</v>
      </c>
      <c r="F474" s="1027"/>
      <c r="G474" s="1368" t="s">
        <v>9</v>
      </c>
    </row>
    <row r="475" spans="1:7">
      <c r="A475" s="1756"/>
      <c r="B475" s="1749"/>
      <c r="C475" s="1741" t="s">
        <v>10</v>
      </c>
      <c r="D475" s="1690"/>
      <c r="E475" s="1231"/>
      <c r="F475" s="1231"/>
      <c r="G475" s="1094" t="s">
        <v>11</v>
      </c>
    </row>
    <row r="476" spans="1:7">
      <c r="A476" s="1666">
        <v>45378</v>
      </c>
      <c r="B476" s="1751" t="str">
        <f>TiposLancamentos!B56</f>
        <v>Farmácia</v>
      </c>
      <c r="C476" s="1744" t="s">
        <v>6118</v>
      </c>
      <c r="D476" s="1735"/>
      <c r="E476" s="920">
        <v>132.58000000000001</v>
      </c>
      <c r="F476" s="1614"/>
      <c r="G476" s="1368" t="s">
        <v>9</v>
      </c>
    </row>
    <row r="477" spans="1:7">
      <c r="A477" s="1750">
        <v>45378</v>
      </c>
      <c r="B477" s="1753" t="str">
        <f>TiposLancamentos!B56</f>
        <v>Farmácia</v>
      </c>
      <c r="C477" s="1746" t="s">
        <v>12024</v>
      </c>
      <c r="D477" s="1737"/>
      <c r="E477" s="922">
        <f>F477-E476</f>
        <v>79.429999999999978</v>
      </c>
      <c r="F477" s="1548">
        <v>212.01</v>
      </c>
      <c r="G477" s="1368" t="s">
        <v>9</v>
      </c>
    </row>
    <row r="478" spans="1:7">
      <c r="A478" s="1754">
        <v>45378</v>
      </c>
      <c r="B478" s="1748" t="str">
        <f>TiposLancamentos!B19</f>
        <v>Restaurantes</v>
      </c>
      <c r="C478" s="1740" t="s">
        <v>1994</v>
      </c>
      <c r="D478" s="1736"/>
      <c r="E478" s="952">
        <v>105</v>
      </c>
      <c r="F478" s="1027"/>
      <c r="G478" s="1368" t="s">
        <v>9</v>
      </c>
    </row>
    <row r="479" spans="1:7">
      <c r="A479" s="1754">
        <v>45380</v>
      </c>
      <c r="B479" s="1748" t="str">
        <f>TiposLancamentos!B19</f>
        <v>Restaurantes</v>
      </c>
      <c r="C479" s="1740" t="s">
        <v>12000</v>
      </c>
      <c r="D479" s="1736"/>
      <c r="E479" s="952">
        <v>111.7</v>
      </c>
      <c r="F479" s="1027"/>
      <c r="G479" s="1368" t="s">
        <v>9</v>
      </c>
    </row>
    <row r="480" spans="1:7">
      <c r="A480" s="1754">
        <v>45381</v>
      </c>
      <c r="B480" s="1748" t="str">
        <f>TiposLancamentos!B19</f>
        <v>Restaurantes</v>
      </c>
      <c r="C480" s="1740" t="s">
        <v>12025</v>
      </c>
      <c r="D480" s="1736"/>
      <c r="E480" s="952">
        <v>115.4</v>
      </c>
      <c r="F480" s="1027"/>
      <c r="G480" s="1368" t="s">
        <v>9</v>
      </c>
    </row>
    <row r="481" spans="1:7">
      <c r="A481" s="1754">
        <v>45381</v>
      </c>
      <c r="B481" s="1748" t="str">
        <f>TiposLancamentos!B5</f>
        <v>Supermercado</v>
      </c>
      <c r="C481" s="1740" t="s">
        <v>1884</v>
      </c>
      <c r="D481" s="1736"/>
      <c r="E481" s="952">
        <v>32.840000000000003</v>
      </c>
      <c r="F481" s="1027"/>
      <c r="G481" s="1368" t="s">
        <v>9</v>
      </c>
    </row>
    <row r="482" spans="1:7" ht="14.25" thickBot="1">
      <c r="A482" s="1754">
        <v>45381</v>
      </c>
      <c r="B482" s="1748" t="str">
        <f>TiposLancamentos!B5</f>
        <v>Supermercado</v>
      </c>
      <c r="C482" s="1740" t="s">
        <v>1884</v>
      </c>
      <c r="D482" s="1736"/>
      <c r="E482" s="952">
        <v>10.78</v>
      </c>
      <c r="F482" s="1027"/>
      <c r="G482" s="1368" t="s">
        <v>9</v>
      </c>
    </row>
    <row r="483" spans="1:7">
      <c r="A483" s="1814"/>
      <c r="B483" s="1809"/>
      <c r="C483" s="1801" t="s">
        <v>1633</v>
      </c>
      <c r="D483" s="1794"/>
      <c r="E483" s="1788"/>
      <c r="F483" s="1078">
        <f>SUM(E464:E475)</f>
        <v>522.52</v>
      </c>
    </row>
    <row r="484" spans="1:7">
      <c r="A484" s="1754">
        <v>45383</v>
      </c>
      <c r="B484" s="1748" t="str">
        <f>TiposLancamentos!B15</f>
        <v>Cartões de Crédito</v>
      </c>
      <c r="C484" s="1740" t="s">
        <v>1874</v>
      </c>
      <c r="D484" s="1736">
        <v>522.52</v>
      </c>
      <c r="E484" s="952"/>
      <c r="F484" s="1027">
        <f>F483-F466</f>
        <v>-1870.56</v>
      </c>
      <c r="G484" s="1368" t="s">
        <v>9</v>
      </c>
    </row>
    <row r="485" spans="1:7">
      <c r="A485" s="1754">
        <v>45385</v>
      </c>
      <c r="B485" s="1748" t="str">
        <f>TiposLancamentos!B16</f>
        <v>Cristiane</v>
      </c>
      <c r="C485" s="1740" t="s">
        <v>12026</v>
      </c>
      <c r="D485" s="1736"/>
      <c r="E485" s="952">
        <v>279.89999999999998</v>
      </c>
      <c r="F485" s="1027"/>
      <c r="G485" s="1368" t="s">
        <v>9</v>
      </c>
    </row>
    <row r="486" spans="1:7">
      <c r="A486" s="1754">
        <v>45386</v>
      </c>
      <c r="B486" s="1748" t="str">
        <f>TiposLancamentos!B19</f>
        <v>Restaurantes</v>
      </c>
      <c r="C486" s="1740" t="s">
        <v>1994</v>
      </c>
      <c r="D486" s="1736"/>
      <c r="E486" s="952">
        <v>105</v>
      </c>
      <c r="F486" s="1027"/>
      <c r="G486" s="1368" t="s">
        <v>9</v>
      </c>
    </row>
    <row r="487" spans="1:7">
      <c r="A487" s="1754">
        <v>45391</v>
      </c>
      <c r="B487" s="1748" t="str">
        <f>TiposLancamentos!B17</f>
        <v>GATO</v>
      </c>
      <c r="C487" s="1740" t="s">
        <v>2342</v>
      </c>
      <c r="D487" s="1736"/>
      <c r="E487" s="952">
        <v>147.55000000000001</v>
      </c>
      <c r="F487" s="1027"/>
      <c r="G487" s="1368" t="s">
        <v>9</v>
      </c>
    </row>
    <row r="488" spans="1:7">
      <c r="A488" s="1754">
        <v>45391</v>
      </c>
      <c r="B488" s="1748" t="str">
        <f>TiposLancamentos!B56</f>
        <v>Farmácia</v>
      </c>
      <c r="C488" s="1740" t="s">
        <v>12027</v>
      </c>
      <c r="D488" s="1736"/>
      <c r="E488" s="952">
        <v>139.38</v>
      </c>
      <c r="F488" s="1027"/>
      <c r="G488" s="1368" t="s">
        <v>9</v>
      </c>
    </row>
    <row r="489" spans="1:7">
      <c r="A489" s="1754">
        <v>45393</v>
      </c>
      <c r="B489" s="1748" t="str">
        <f>TiposLancamentos!B19</f>
        <v>Restaurantes</v>
      </c>
      <c r="C489" s="1740" t="s">
        <v>12028</v>
      </c>
      <c r="D489" s="1736"/>
      <c r="E489" s="952">
        <v>105</v>
      </c>
      <c r="F489" s="1027"/>
      <c r="G489" s="1368" t="s">
        <v>9</v>
      </c>
    </row>
    <row r="490" spans="1:7">
      <c r="A490" s="1754">
        <v>45394</v>
      </c>
      <c r="B490" s="1748" t="str">
        <f>TiposLancamentos!B16</f>
        <v>Cristiane</v>
      </c>
      <c r="C490" s="1740" t="s">
        <v>12029</v>
      </c>
      <c r="D490" s="1736"/>
      <c r="E490" s="952">
        <v>92.52</v>
      </c>
      <c r="F490" s="1027"/>
      <c r="G490" s="1368" t="s">
        <v>9</v>
      </c>
    </row>
    <row r="491" spans="1:7">
      <c r="A491" s="1754">
        <v>45395</v>
      </c>
      <c r="B491" s="1748" t="str">
        <f>TiposLancamentos!B37</f>
        <v>Playstation 3</v>
      </c>
      <c r="C491" s="1740" t="s">
        <v>12030</v>
      </c>
      <c r="D491" s="1736"/>
      <c r="E491" s="952">
        <v>120</v>
      </c>
      <c r="F491" s="1027"/>
      <c r="G491" s="1368" t="s">
        <v>9</v>
      </c>
    </row>
    <row r="492" spans="1:7">
      <c r="A492" s="1754">
        <v>45395</v>
      </c>
      <c r="B492" s="1748" t="str">
        <f>TiposLancamentos!B19</f>
        <v>Restaurantes</v>
      </c>
      <c r="C492" s="1740" t="s">
        <v>12031</v>
      </c>
      <c r="D492" s="1736"/>
      <c r="E492" s="952">
        <v>37</v>
      </c>
      <c r="F492" s="1027"/>
      <c r="G492" s="1368" t="s">
        <v>9</v>
      </c>
    </row>
    <row r="493" spans="1:7">
      <c r="A493" s="1754">
        <v>45396</v>
      </c>
      <c r="B493" s="1748" t="str">
        <f>TiposLancamentos!B19</f>
        <v>Restaurantes</v>
      </c>
      <c r="C493" s="1740" t="s">
        <v>12032</v>
      </c>
      <c r="D493" s="1736"/>
      <c r="E493" s="952">
        <v>50.65</v>
      </c>
      <c r="F493" s="1027"/>
      <c r="G493" s="1368" t="s">
        <v>9</v>
      </c>
    </row>
    <row r="494" spans="1:7">
      <c r="A494" s="1754">
        <v>45398</v>
      </c>
      <c r="B494" s="1748" t="str">
        <f>B488</f>
        <v>Farmácia</v>
      </c>
      <c r="C494" s="1740" t="s">
        <v>12033</v>
      </c>
      <c r="D494" s="1736"/>
      <c r="E494" s="952">
        <v>53.67</v>
      </c>
      <c r="F494" s="1027"/>
      <c r="G494" s="1368" t="s">
        <v>9</v>
      </c>
    </row>
    <row r="495" spans="1:7">
      <c r="A495" s="1754">
        <v>45399</v>
      </c>
      <c r="B495" s="1748" t="str">
        <f>TiposLancamentos!B5</f>
        <v>Supermercado</v>
      </c>
      <c r="C495" s="1740" t="s">
        <v>1884</v>
      </c>
      <c r="D495" s="1736"/>
      <c r="E495" s="952">
        <v>22.98</v>
      </c>
      <c r="F495" s="1027"/>
      <c r="G495" s="1368" t="s">
        <v>9</v>
      </c>
    </row>
    <row r="496" spans="1:7">
      <c r="A496" s="1754">
        <v>45400</v>
      </c>
      <c r="B496" s="1748" t="str">
        <f>TiposLancamentos!B19</f>
        <v>Restaurantes</v>
      </c>
      <c r="C496" s="1740" t="s">
        <v>12034</v>
      </c>
      <c r="D496" s="1736"/>
      <c r="E496" s="952">
        <v>54</v>
      </c>
      <c r="F496" s="1027"/>
      <c r="G496" s="1368" t="s">
        <v>9</v>
      </c>
    </row>
    <row r="497" spans="1:7">
      <c r="A497" s="1754">
        <v>45402</v>
      </c>
      <c r="B497" s="1748" t="str">
        <f>TiposLancamentos!B70</f>
        <v>Vestuário</v>
      </c>
      <c r="C497" s="1740" t="s">
        <v>12035</v>
      </c>
      <c r="D497" s="1736"/>
      <c r="E497" s="952">
        <v>136.65</v>
      </c>
      <c r="F497" s="1027">
        <v>819.95</v>
      </c>
      <c r="G497" s="1368" t="s">
        <v>9</v>
      </c>
    </row>
    <row r="498" spans="1:7">
      <c r="A498" s="1754">
        <v>45402</v>
      </c>
      <c r="B498" s="1748" t="str">
        <f>TiposLancamentos!B19</f>
        <v>Restaurantes</v>
      </c>
      <c r="C498" s="1740" t="s">
        <v>12036</v>
      </c>
      <c r="D498" s="1736"/>
      <c r="E498" s="952">
        <v>270</v>
      </c>
      <c r="F498" s="1027"/>
      <c r="G498" s="1368" t="s">
        <v>9</v>
      </c>
    </row>
    <row r="499" spans="1:7">
      <c r="A499" s="1754">
        <v>45402</v>
      </c>
      <c r="B499" s="1748" t="str">
        <f>TiposLancamentos!B24</f>
        <v>Estacionamentos</v>
      </c>
      <c r="C499" s="1740" t="s">
        <v>2287</v>
      </c>
      <c r="D499" s="1736"/>
      <c r="E499" s="952">
        <v>30</v>
      </c>
      <c r="F499" s="1027"/>
      <c r="G499" s="1368" t="s">
        <v>9</v>
      </c>
    </row>
    <row r="500" spans="1:7">
      <c r="A500" s="1754">
        <v>45403</v>
      </c>
      <c r="B500" s="1748" t="str">
        <f>TiposLancamentos!B19</f>
        <v>Restaurantes</v>
      </c>
      <c r="C500" s="1740" t="s">
        <v>12037</v>
      </c>
      <c r="D500" s="1736"/>
      <c r="E500" s="952">
        <v>90.55</v>
      </c>
      <c r="F500" s="1027"/>
      <c r="G500" s="1368" t="s">
        <v>9</v>
      </c>
    </row>
    <row r="501" spans="1:7">
      <c r="A501" s="1756"/>
      <c r="B501" s="1749"/>
      <c r="C501" s="1741" t="s">
        <v>10</v>
      </c>
      <c r="D501" s="1690"/>
      <c r="E501" s="1231"/>
      <c r="F501" s="1231"/>
      <c r="G501" s="1094" t="s">
        <v>11</v>
      </c>
    </row>
    <row r="502" spans="1:7">
      <c r="A502" s="1754">
        <v>45405</v>
      </c>
      <c r="B502" s="1748" t="str">
        <f>TiposLancamentos!B71</f>
        <v>Itens Pessoais</v>
      </c>
      <c r="C502" s="1740" t="s">
        <v>8961</v>
      </c>
      <c r="D502" s="1736"/>
      <c r="E502" s="952">
        <v>35</v>
      </c>
      <c r="F502" s="1027"/>
      <c r="G502" s="1368" t="s">
        <v>9</v>
      </c>
    </row>
    <row r="503" spans="1:7">
      <c r="A503" s="1754">
        <v>45405</v>
      </c>
      <c r="B503" s="1748" t="str">
        <f>TiposLancamentos!B24</f>
        <v>Estacionamentos</v>
      </c>
      <c r="C503" s="1740" t="s">
        <v>1898</v>
      </c>
      <c r="D503" s="1736"/>
      <c r="E503" s="952">
        <v>20</v>
      </c>
      <c r="F503" s="1027"/>
      <c r="G503" s="1368" t="s">
        <v>9</v>
      </c>
    </row>
    <row r="504" spans="1:7">
      <c r="A504" s="1754">
        <v>45406</v>
      </c>
      <c r="B504" s="1748" t="str">
        <f>TiposLancamentos!B19</f>
        <v>Restaurantes</v>
      </c>
      <c r="C504" s="1740" t="s">
        <v>12038</v>
      </c>
      <c r="D504" s="1736"/>
      <c r="E504" s="952">
        <v>37.9</v>
      </c>
      <c r="F504" s="1027"/>
      <c r="G504" s="1368" t="s">
        <v>9</v>
      </c>
    </row>
    <row r="505" spans="1:7">
      <c r="A505" s="1666">
        <v>45406</v>
      </c>
      <c r="B505" s="1751" t="str">
        <f>TiposLancamentos!B57</f>
        <v>Informática</v>
      </c>
      <c r="C505" s="1744" t="s">
        <v>12039</v>
      </c>
      <c r="D505" s="1735"/>
      <c r="E505" s="920">
        <v>159</v>
      </c>
      <c r="F505" s="1614"/>
      <c r="G505" s="1368" t="s">
        <v>9</v>
      </c>
    </row>
    <row r="506" spans="1:7">
      <c r="A506" s="1750">
        <v>45406</v>
      </c>
      <c r="B506" s="1753" t="str">
        <f>TiposLancamentos!B57</f>
        <v>Informática</v>
      </c>
      <c r="C506" s="1746" t="s">
        <v>12040</v>
      </c>
      <c r="D506" s="1737"/>
      <c r="E506" s="922">
        <v>44.95</v>
      </c>
      <c r="F506" s="1548">
        <f>SUM(E505:E506)</f>
        <v>203.95</v>
      </c>
      <c r="G506" s="1368" t="s">
        <v>9</v>
      </c>
    </row>
    <row r="507" spans="1:7">
      <c r="A507" s="1754">
        <v>45406</v>
      </c>
      <c r="B507" s="1748" t="str">
        <f>TiposLancamentos!B19</f>
        <v>Restaurantes</v>
      </c>
      <c r="C507" s="1740" t="s">
        <v>12041</v>
      </c>
      <c r="D507" s="1736"/>
      <c r="E507" s="952">
        <v>13.8</v>
      </c>
      <c r="F507" s="1027"/>
      <c r="G507" s="1368" t="s">
        <v>9</v>
      </c>
    </row>
    <row r="508" spans="1:7">
      <c r="A508" s="1754">
        <v>45406</v>
      </c>
      <c r="B508" s="1748" t="str">
        <f>TiposLancamentos!B5</f>
        <v>Supermercado</v>
      </c>
      <c r="C508" s="1740" t="s">
        <v>12042</v>
      </c>
      <c r="D508" s="1736"/>
      <c r="E508" s="952">
        <v>7.77</v>
      </c>
      <c r="F508" s="1027"/>
      <c r="G508" s="1368" t="s">
        <v>9</v>
      </c>
    </row>
    <row r="509" spans="1:7">
      <c r="A509" s="1754">
        <v>45407</v>
      </c>
      <c r="B509" s="1748" t="str">
        <f>TiposLancamentos!B19</f>
        <v>Restaurantes</v>
      </c>
      <c r="C509" s="1740" t="s">
        <v>12043</v>
      </c>
      <c r="D509" s="1736"/>
      <c r="E509" s="952">
        <v>23.9</v>
      </c>
      <c r="F509" s="1027"/>
      <c r="G509" s="1368" t="s">
        <v>9</v>
      </c>
    </row>
    <row r="510" spans="1:7">
      <c r="A510" s="1754">
        <v>45407</v>
      </c>
      <c r="B510" s="1748" t="str">
        <f>TiposLancamentos!B19</f>
        <v>Restaurantes</v>
      </c>
      <c r="C510" s="1740" t="s">
        <v>12044</v>
      </c>
      <c r="D510" s="1736"/>
      <c r="E510" s="952">
        <v>44</v>
      </c>
      <c r="F510" s="1027"/>
      <c r="G510" s="1368" t="s">
        <v>9</v>
      </c>
    </row>
    <row r="511" spans="1:7">
      <c r="A511" s="1754">
        <v>45408</v>
      </c>
      <c r="B511" s="1748" t="str">
        <f>TiposLancamentos!B39</f>
        <v>Playstation 5</v>
      </c>
      <c r="C511" s="1740" t="s">
        <v>12045</v>
      </c>
      <c r="D511" s="1736"/>
      <c r="E511" s="952">
        <v>329.9</v>
      </c>
      <c r="F511" s="1027"/>
      <c r="G511" s="1368" t="s">
        <v>9</v>
      </c>
    </row>
    <row r="512" spans="1:7">
      <c r="A512" s="1754">
        <v>45408</v>
      </c>
      <c r="B512" s="1748" t="str">
        <f>TiposLancamentos!B5</f>
        <v>Supermercado</v>
      </c>
      <c r="C512" s="1740" t="s">
        <v>12046</v>
      </c>
      <c r="D512" s="1736"/>
      <c r="E512" s="952">
        <v>84.67</v>
      </c>
      <c r="F512" s="1027"/>
      <c r="G512" s="1368" t="s">
        <v>9</v>
      </c>
    </row>
    <row r="513" spans="1:7">
      <c r="A513" s="1754">
        <v>45408</v>
      </c>
      <c r="B513" s="1748" t="str">
        <f>TiposLancamentos!B19</f>
        <v>Restaurantes</v>
      </c>
      <c r="C513" s="1740" t="s">
        <v>12047</v>
      </c>
      <c r="D513" s="1736"/>
      <c r="E513" s="952">
        <v>105</v>
      </c>
      <c r="F513" s="1027"/>
      <c r="G513" s="1368" t="s">
        <v>9</v>
      </c>
    </row>
    <row r="514" spans="1:7">
      <c r="A514" s="1754">
        <v>45409</v>
      </c>
      <c r="B514" s="1748" t="str">
        <f>TiposLancamentos!B19</f>
        <v>Restaurantes</v>
      </c>
      <c r="C514" s="1740" t="s">
        <v>3642</v>
      </c>
      <c r="D514" s="1736"/>
      <c r="E514" s="952">
        <v>32</v>
      </c>
      <c r="F514" s="1027"/>
      <c r="G514" s="1368" t="s">
        <v>9</v>
      </c>
    </row>
    <row r="515" spans="1:7">
      <c r="A515" s="1754">
        <v>45406</v>
      </c>
      <c r="B515" s="1748" t="str">
        <f>TiposLancamentos!B56</f>
        <v>Farmácia</v>
      </c>
      <c r="C515" s="1740" t="s">
        <v>12048</v>
      </c>
      <c r="D515" s="1736"/>
      <c r="E515" s="952">
        <v>340.73</v>
      </c>
      <c r="F515" s="1027"/>
      <c r="G515" s="1368" t="s">
        <v>9</v>
      </c>
    </row>
    <row r="516" spans="1:7">
      <c r="A516" s="1754">
        <v>45406</v>
      </c>
      <c r="B516" s="1748" t="str">
        <f>TiposLancamentos!B24</f>
        <v>Estacionamentos</v>
      </c>
      <c r="C516" s="1740" t="s">
        <v>2014</v>
      </c>
      <c r="D516" s="1736"/>
      <c r="E516" s="952">
        <v>13</v>
      </c>
      <c r="F516" s="1027"/>
      <c r="G516" s="1368" t="s">
        <v>9</v>
      </c>
    </row>
    <row r="517" spans="1:7">
      <c r="A517" s="1754">
        <v>45409</v>
      </c>
      <c r="B517" s="1748" t="str">
        <f>TiposLancamentos!B24</f>
        <v>Estacionamentos</v>
      </c>
      <c r="C517" s="1740" t="s">
        <v>8914</v>
      </c>
      <c r="D517" s="1736"/>
      <c r="E517" s="952">
        <v>14</v>
      </c>
      <c r="F517" s="1027"/>
      <c r="G517" s="1368" t="s">
        <v>9</v>
      </c>
    </row>
    <row r="518" spans="1:7">
      <c r="A518" s="1754">
        <v>45409</v>
      </c>
      <c r="B518" s="1748" t="str">
        <f>B512</f>
        <v>Supermercado</v>
      </c>
      <c r="C518" s="1740" t="s">
        <v>1884</v>
      </c>
      <c r="D518" s="1736"/>
      <c r="E518" s="952">
        <v>7.99</v>
      </c>
      <c r="F518" s="1027"/>
      <c r="G518" s="1368" t="s">
        <v>9</v>
      </c>
    </row>
    <row r="519" spans="1:7">
      <c r="A519" s="1754">
        <v>45409</v>
      </c>
      <c r="B519" s="1748" t="str">
        <f>TiposLancamentos!B19</f>
        <v>Restaurantes</v>
      </c>
      <c r="C519" s="1740" t="s">
        <v>12049</v>
      </c>
      <c r="D519" s="1736"/>
      <c r="E519" s="952">
        <v>95.8</v>
      </c>
      <c r="F519" s="1027"/>
      <c r="G519" s="1368" t="s">
        <v>9</v>
      </c>
    </row>
    <row r="520" spans="1:7">
      <c r="A520" s="1754">
        <v>45410</v>
      </c>
      <c r="B520" s="1748" t="str">
        <f>TiposLancamentos!B5</f>
        <v>Supermercado</v>
      </c>
      <c r="C520" s="1740" t="s">
        <v>1884</v>
      </c>
      <c r="D520" s="1736"/>
      <c r="E520" s="952">
        <v>17.690000000000001</v>
      </c>
      <c r="F520" s="1027"/>
      <c r="G520" s="1368" t="s">
        <v>9</v>
      </c>
    </row>
    <row r="521" spans="1:7">
      <c r="A521" s="1754">
        <v>45411</v>
      </c>
      <c r="B521" s="1748" t="str">
        <f>TiposLancamentos!B19</f>
        <v>Restaurantes</v>
      </c>
      <c r="C521" s="1740" t="s">
        <v>12050</v>
      </c>
      <c r="D521" s="1736"/>
      <c r="E521" s="952">
        <v>23.9</v>
      </c>
      <c r="F521" s="1027"/>
      <c r="G521" s="1368" t="s">
        <v>9</v>
      </c>
    </row>
    <row r="522" spans="1:7">
      <c r="A522" s="1754">
        <v>45411</v>
      </c>
      <c r="B522" s="1748" t="str">
        <f>TiposLancamentos!B5</f>
        <v>Supermercado</v>
      </c>
      <c r="C522" s="1740" t="s">
        <v>1900</v>
      </c>
      <c r="D522" s="1736"/>
      <c r="E522" s="952">
        <v>8.99</v>
      </c>
      <c r="F522" s="1027"/>
      <c r="G522" s="1368" t="s">
        <v>9</v>
      </c>
    </row>
    <row r="523" spans="1:7" ht="14.25" thickBot="1">
      <c r="A523" s="1754">
        <v>45411</v>
      </c>
      <c r="B523" s="1748" t="str">
        <f>TiposLancamentos!B5</f>
        <v>Supermercado</v>
      </c>
      <c r="C523" s="1740" t="s">
        <v>8012</v>
      </c>
      <c r="D523" s="1736"/>
      <c r="E523" s="952">
        <v>10.49</v>
      </c>
      <c r="F523" s="1027"/>
      <c r="G523" s="1368" t="s">
        <v>9</v>
      </c>
    </row>
    <row r="524" spans="1:7">
      <c r="A524" s="1814"/>
      <c r="B524" s="1809"/>
      <c r="C524" s="1801" t="s">
        <v>1634</v>
      </c>
      <c r="D524" s="1794"/>
      <c r="E524" s="1788"/>
      <c r="F524" s="1078">
        <f>SUM(E475:E500)</f>
        <v>2322.5800000000004</v>
      </c>
    </row>
    <row r="525" spans="1:7">
      <c r="A525" s="1754">
        <v>45413</v>
      </c>
      <c r="B525" s="1748" t="str">
        <f>TiposLancamentos!B19</f>
        <v>Restaurantes</v>
      </c>
      <c r="C525" s="1802" t="s">
        <v>12051</v>
      </c>
      <c r="D525" s="1736"/>
      <c r="E525" s="952">
        <v>12.2</v>
      </c>
      <c r="F525" s="1027">
        <f>F524-F483</f>
        <v>1800.0600000000004</v>
      </c>
      <c r="G525" s="1368" t="s">
        <v>9</v>
      </c>
    </row>
    <row r="526" spans="1:7">
      <c r="A526" s="1754">
        <v>45414</v>
      </c>
      <c r="B526" s="1748" t="str">
        <f>TiposLancamentos!B15</f>
        <v>Cartões de Crédito</v>
      </c>
      <c r="C526" s="1740" t="s">
        <v>1874</v>
      </c>
      <c r="D526" s="1736">
        <v>2322.58</v>
      </c>
      <c r="E526" s="952"/>
      <c r="F526" s="1027"/>
      <c r="G526" s="1368" t="s">
        <v>9</v>
      </c>
    </row>
    <row r="527" spans="1:7">
      <c r="A527" s="1754">
        <v>45414</v>
      </c>
      <c r="B527" s="1748" t="str">
        <f>TiposLancamentos!B16</f>
        <v>Cristiane</v>
      </c>
      <c r="C527" s="1740" t="s">
        <v>12052</v>
      </c>
      <c r="D527" s="1736"/>
      <c r="E527" s="952">
        <v>61.99</v>
      </c>
      <c r="F527" s="1027"/>
      <c r="G527" s="1368" t="s">
        <v>9</v>
      </c>
    </row>
    <row r="528" spans="1:7">
      <c r="A528" s="1754">
        <v>45416</v>
      </c>
      <c r="B528" s="1748" t="str">
        <f>TiposLancamentos!B5</f>
        <v>Supermercado</v>
      </c>
      <c r="C528" s="1740" t="s">
        <v>12053</v>
      </c>
      <c r="D528" s="1736"/>
      <c r="E528" s="952">
        <v>214.36</v>
      </c>
      <c r="F528" s="1027"/>
      <c r="G528" s="1368" t="s">
        <v>9</v>
      </c>
    </row>
    <row r="529" spans="1:7">
      <c r="A529" s="1754">
        <v>45416</v>
      </c>
      <c r="B529" s="1748" t="str">
        <f>TiposLancamentos!B19</f>
        <v>Restaurantes</v>
      </c>
      <c r="C529" s="1740" t="s">
        <v>12054</v>
      </c>
      <c r="D529" s="1736"/>
      <c r="E529" s="952">
        <v>130</v>
      </c>
      <c r="F529" s="1027"/>
      <c r="G529" s="1368" t="s">
        <v>9</v>
      </c>
    </row>
    <row r="530" spans="1:7">
      <c r="A530" s="1754">
        <v>45417</v>
      </c>
      <c r="B530" s="1748" t="str">
        <f>TiposLancamentos!B22</f>
        <v>Combustivel</v>
      </c>
      <c r="C530" s="1740" t="s">
        <v>12055</v>
      </c>
      <c r="D530" s="1736"/>
      <c r="E530" s="952">
        <v>201.01</v>
      </c>
      <c r="F530" s="1027"/>
      <c r="G530" s="1368" t="s">
        <v>9</v>
      </c>
    </row>
    <row r="531" spans="1:7">
      <c r="A531" s="1754">
        <v>45417</v>
      </c>
      <c r="B531" s="1748" t="str">
        <f>TiposLancamentos!B19</f>
        <v>Restaurantes</v>
      </c>
      <c r="C531" s="1740" t="s">
        <v>12056</v>
      </c>
      <c r="D531" s="1736"/>
      <c r="E531" s="952">
        <v>102</v>
      </c>
      <c r="F531" s="1027"/>
      <c r="G531" s="1368" t="s">
        <v>9</v>
      </c>
    </row>
    <row r="532" spans="1:7">
      <c r="A532" s="1754">
        <v>45417</v>
      </c>
      <c r="B532" s="1748" t="str">
        <f>TiposLancamentos!B19</f>
        <v>Restaurantes</v>
      </c>
      <c r="C532" s="1740" t="s">
        <v>12057</v>
      </c>
      <c r="D532" s="1736"/>
      <c r="E532" s="952">
        <v>79</v>
      </c>
      <c r="F532" s="1027"/>
      <c r="G532" s="1368" t="s">
        <v>9</v>
      </c>
    </row>
    <row r="533" spans="1:7">
      <c r="A533" s="1754">
        <v>45418</v>
      </c>
      <c r="B533" s="1748" t="str">
        <f>TiposLancamentos!B19</f>
        <v>Restaurantes</v>
      </c>
      <c r="C533" s="1740" t="s">
        <v>12058</v>
      </c>
      <c r="D533" s="1736"/>
      <c r="E533" s="952">
        <v>22.7</v>
      </c>
      <c r="F533" s="1027"/>
      <c r="G533" s="1368" t="s">
        <v>9</v>
      </c>
    </row>
    <row r="534" spans="1:7">
      <c r="A534" s="1666">
        <v>45418</v>
      </c>
      <c r="B534" s="1751" t="str">
        <f>TiposLancamentos!B56</f>
        <v>Farmácia</v>
      </c>
      <c r="C534" s="1744" t="s">
        <v>6118</v>
      </c>
      <c r="D534" s="1735"/>
      <c r="E534" s="920">
        <v>138.53</v>
      </c>
      <c r="F534" s="1614"/>
      <c r="G534" s="1368" t="s">
        <v>9</v>
      </c>
    </row>
    <row r="535" spans="1:7">
      <c r="A535" s="1667">
        <v>45418</v>
      </c>
      <c r="B535" s="1752" t="str">
        <f>TiposLancamentos!B16</f>
        <v>Cristiane</v>
      </c>
      <c r="C535" s="1745" t="s">
        <v>12059</v>
      </c>
      <c r="D535" s="1736"/>
      <c r="E535" s="931">
        <v>11.59</v>
      </c>
      <c r="F535" s="1027"/>
      <c r="G535" s="1368" t="s">
        <v>9</v>
      </c>
    </row>
    <row r="536" spans="1:7">
      <c r="A536" s="1750">
        <v>45418</v>
      </c>
      <c r="B536" s="1753" t="str">
        <f>TiposLancamentos!B60</f>
        <v>Correio</v>
      </c>
      <c r="C536" s="1746" t="s">
        <v>12060</v>
      </c>
      <c r="D536" s="1737"/>
      <c r="E536" s="922">
        <v>5.9</v>
      </c>
      <c r="F536" s="1548">
        <f>SUM(E534:E536)</f>
        <v>156.02000000000001</v>
      </c>
      <c r="G536" s="1368" t="s">
        <v>9</v>
      </c>
    </row>
    <row r="537" spans="1:7">
      <c r="A537" s="1754">
        <v>45419</v>
      </c>
      <c r="B537" s="1748" t="str">
        <f>TiposLancamentos!B24</f>
        <v>Estacionamentos</v>
      </c>
      <c r="C537" s="1740" t="s">
        <v>1898</v>
      </c>
      <c r="D537" s="1736"/>
      <c r="E537" s="952">
        <v>20</v>
      </c>
      <c r="F537" s="1027"/>
      <c r="G537" s="1368" t="s">
        <v>9</v>
      </c>
    </row>
    <row r="538" spans="1:7">
      <c r="A538" s="1754">
        <v>45419</v>
      </c>
      <c r="B538" s="1748" t="str">
        <f>TiposLancamentos!B19</f>
        <v>Restaurantes</v>
      </c>
      <c r="C538" s="1740" t="s">
        <v>12061</v>
      </c>
      <c r="D538" s="1736"/>
      <c r="E538" s="952">
        <v>30.18</v>
      </c>
      <c r="F538" s="1027"/>
      <c r="G538" s="1368" t="s">
        <v>9</v>
      </c>
    </row>
    <row r="539" spans="1:7">
      <c r="A539" s="1754">
        <v>45419</v>
      </c>
      <c r="B539" s="1748" t="str">
        <f>TiposLancamentos!B19</f>
        <v>Restaurantes</v>
      </c>
      <c r="C539" s="1740" t="s">
        <v>12062</v>
      </c>
      <c r="D539" s="1736"/>
      <c r="E539" s="952">
        <v>70.06</v>
      </c>
      <c r="F539" s="1027"/>
      <c r="G539" s="1368" t="s">
        <v>9</v>
      </c>
    </row>
    <row r="540" spans="1:7">
      <c r="A540" s="1754">
        <v>45420</v>
      </c>
      <c r="B540" s="1748" t="str">
        <f>TiposLancamentos!B19</f>
        <v>Restaurantes</v>
      </c>
      <c r="C540" s="1740" t="s">
        <v>12063</v>
      </c>
      <c r="D540" s="1736"/>
      <c r="E540" s="952">
        <v>76.900000000000006</v>
      </c>
      <c r="F540" s="1027"/>
      <c r="G540" s="1368" t="s">
        <v>9</v>
      </c>
    </row>
    <row r="541" spans="1:7">
      <c r="A541" s="1754">
        <v>45420</v>
      </c>
      <c r="B541" s="1748" t="str">
        <f>TiposLancamentos!B5</f>
        <v>Supermercado</v>
      </c>
      <c r="C541" s="1740" t="s">
        <v>12064</v>
      </c>
      <c r="D541" s="1736"/>
      <c r="E541" s="952">
        <v>8.77</v>
      </c>
      <c r="F541" s="1027"/>
      <c r="G541" s="1368" t="s">
        <v>9</v>
      </c>
    </row>
    <row r="542" spans="1:7">
      <c r="A542" s="1754">
        <v>45421</v>
      </c>
      <c r="B542" s="1748" t="str">
        <f>TiposLancamentos!B17</f>
        <v>GATO</v>
      </c>
      <c r="C542" s="1740" t="s">
        <v>12065</v>
      </c>
      <c r="D542" s="1736"/>
      <c r="E542" s="952">
        <v>175.47</v>
      </c>
      <c r="F542" s="1027"/>
      <c r="G542" s="1368" t="s">
        <v>9</v>
      </c>
    </row>
    <row r="543" spans="1:7">
      <c r="A543" s="1754">
        <v>45421</v>
      </c>
      <c r="B543" s="1748" t="str">
        <f>TiposLancamentos!B19</f>
        <v>Restaurantes</v>
      </c>
      <c r="C543" s="1740" t="s">
        <v>12066</v>
      </c>
      <c r="D543" s="1736"/>
      <c r="E543" s="952">
        <v>54</v>
      </c>
      <c r="F543" s="1027"/>
      <c r="G543" s="1368" t="s">
        <v>9</v>
      </c>
    </row>
    <row r="544" spans="1:7">
      <c r="A544" s="1666">
        <v>45422</v>
      </c>
      <c r="B544" s="1751" t="str">
        <f>TiposLancamentos!B56</f>
        <v>Farmácia</v>
      </c>
      <c r="C544" s="1744" t="s">
        <v>12067</v>
      </c>
      <c r="D544" s="1735"/>
      <c r="E544" s="920">
        <f>F545-E545</f>
        <v>129.68</v>
      </c>
      <c r="F544" s="1614"/>
      <c r="G544" s="1368" t="s">
        <v>9</v>
      </c>
    </row>
    <row r="545" spans="1:7">
      <c r="A545" s="1750">
        <v>45422</v>
      </c>
      <c r="B545" s="1753" t="str">
        <f>TiposLancamentos!B60</f>
        <v>Correio</v>
      </c>
      <c r="C545" s="1746" t="s">
        <v>12068</v>
      </c>
      <c r="D545" s="1737"/>
      <c r="E545" s="922">
        <v>5.9</v>
      </c>
      <c r="F545" s="1548">
        <v>135.58000000000001</v>
      </c>
      <c r="G545" s="1368" t="s">
        <v>9</v>
      </c>
    </row>
    <row r="546" spans="1:7">
      <c r="A546" s="1754">
        <v>45422</v>
      </c>
      <c r="B546" s="1748" t="str">
        <f>TiposLancamentos!B19</f>
        <v>Restaurantes</v>
      </c>
      <c r="C546" s="1740" t="s">
        <v>12069</v>
      </c>
      <c r="D546" s="1736"/>
      <c r="E546" s="952">
        <v>79</v>
      </c>
      <c r="F546" s="1027"/>
      <c r="G546" s="1368" t="s">
        <v>9</v>
      </c>
    </row>
    <row r="547" spans="1:7">
      <c r="A547" s="1754">
        <v>45423</v>
      </c>
      <c r="B547" s="1748" t="str">
        <f>TiposLancamentos!B19</f>
        <v>Restaurantes</v>
      </c>
      <c r="C547" s="1740" t="s">
        <v>12016</v>
      </c>
      <c r="D547" s="1736"/>
      <c r="E547" s="952">
        <v>105</v>
      </c>
      <c r="F547" s="1027"/>
      <c r="G547" s="1368" t="s">
        <v>9</v>
      </c>
    </row>
    <row r="548" spans="1:7">
      <c r="A548" s="1754">
        <v>45423</v>
      </c>
      <c r="B548" s="1748" t="str">
        <f>TiposLancamentos!B13</f>
        <v>Moradia</v>
      </c>
      <c r="C548" s="1740" t="s">
        <v>12070</v>
      </c>
      <c r="D548" s="1736"/>
      <c r="E548" s="952">
        <v>156.43</v>
      </c>
      <c r="F548" s="1027"/>
      <c r="G548" s="1368" t="s">
        <v>9</v>
      </c>
    </row>
    <row r="549" spans="1:7">
      <c r="A549" s="1754">
        <v>45424</v>
      </c>
      <c r="B549" s="1748" t="str">
        <f>TiposLancamentos!B5</f>
        <v>Supermercado</v>
      </c>
      <c r="C549" s="1740" t="s">
        <v>12071</v>
      </c>
      <c r="D549" s="1736"/>
      <c r="E549" s="952">
        <v>332.32</v>
      </c>
      <c r="F549" s="1027"/>
      <c r="G549" s="1368" t="s">
        <v>9</v>
      </c>
    </row>
    <row r="550" spans="1:7">
      <c r="A550" s="1754">
        <v>45426</v>
      </c>
      <c r="B550" s="1748" t="str">
        <f>TiposLancamentos!B19</f>
        <v>Restaurantes</v>
      </c>
      <c r="C550" s="1740" t="s">
        <v>1967</v>
      </c>
      <c r="D550" s="1736"/>
      <c r="E550" s="952">
        <v>26.9</v>
      </c>
      <c r="F550" s="1027"/>
      <c r="G550" s="1368" t="s">
        <v>9</v>
      </c>
    </row>
    <row r="551" spans="1:7">
      <c r="A551" s="1754">
        <v>45427</v>
      </c>
      <c r="B551" s="1748" t="str">
        <f>TiposLancamentos!B19</f>
        <v>Restaurantes</v>
      </c>
      <c r="C551" s="1740" t="s">
        <v>12072</v>
      </c>
      <c r="D551" s="1736"/>
      <c r="E551" s="952">
        <v>105</v>
      </c>
      <c r="F551" s="1027"/>
      <c r="G551" s="1368" t="s">
        <v>9</v>
      </c>
    </row>
    <row r="552" spans="1:7">
      <c r="A552" s="1754">
        <v>45429</v>
      </c>
      <c r="B552" s="1748" t="str">
        <f>TiposLancamentos!B19</f>
        <v>Restaurantes</v>
      </c>
      <c r="C552" s="1740" t="s">
        <v>12073</v>
      </c>
      <c r="D552" s="1736"/>
      <c r="E552" s="952">
        <v>95.8</v>
      </c>
      <c r="F552" s="1027"/>
      <c r="G552" s="1368" t="s">
        <v>9</v>
      </c>
    </row>
    <row r="553" spans="1:7">
      <c r="A553" s="1754">
        <v>45431</v>
      </c>
      <c r="B553" s="1748" t="str">
        <f>TiposLancamentos!B5</f>
        <v>Supermercado</v>
      </c>
      <c r="C553" s="1740" t="s">
        <v>12074</v>
      </c>
      <c r="D553" s="1736"/>
      <c r="E553" s="952">
        <v>21.96</v>
      </c>
      <c r="F553" s="1027"/>
      <c r="G553" s="1368" t="s">
        <v>9</v>
      </c>
    </row>
    <row r="554" spans="1:7">
      <c r="A554" s="1754">
        <v>45431</v>
      </c>
      <c r="B554" s="1748" t="str">
        <f>TiposLancamentos!B56</f>
        <v>Farmácia</v>
      </c>
      <c r="C554" s="1740" t="s">
        <v>12075</v>
      </c>
      <c r="D554" s="1736"/>
      <c r="E554" s="952">
        <v>45.49</v>
      </c>
      <c r="F554" s="1027"/>
      <c r="G554" s="1368" t="s">
        <v>9</v>
      </c>
    </row>
    <row r="555" spans="1:7">
      <c r="A555" s="1754">
        <v>45431</v>
      </c>
      <c r="B555" s="1748" t="str">
        <f>TiposLancamentos!B5</f>
        <v>Supermercado</v>
      </c>
      <c r="C555" s="1740" t="s">
        <v>2061</v>
      </c>
      <c r="D555" s="1736"/>
      <c r="E555" s="952">
        <v>115.93</v>
      </c>
      <c r="F555" s="1027"/>
      <c r="G555" s="1368" t="s">
        <v>9</v>
      </c>
    </row>
    <row r="556" spans="1:7">
      <c r="A556" s="1754">
        <v>45433</v>
      </c>
      <c r="B556" s="1748" t="str">
        <f>B552</f>
        <v>Restaurantes</v>
      </c>
      <c r="C556" s="1740" t="s">
        <v>12076</v>
      </c>
      <c r="D556" s="1736"/>
      <c r="E556" s="952">
        <v>42</v>
      </c>
      <c r="F556" s="1027"/>
      <c r="G556" s="1368" t="s">
        <v>9</v>
      </c>
    </row>
    <row r="557" spans="1:7">
      <c r="A557" s="1754">
        <v>45434</v>
      </c>
      <c r="B557" s="1748" t="str">
        <f>TiposLancamentos!B71</f>
        <v>Itens Pessoais</v>
      </c>
      <c r="C557" s="1740" t="s">
        <v>9151</v>
      </c>
      <c r="D557" s="1736"/>
      <c r="E557" s="952">
        <v>35</v>
      </c>
      <c r="F557" s="1027"/>
      <c r="G557" s="1368" t="s">
        <v>9</v>
      </c>
    </row>
    <row r="558" spans="1:7">
      <c r="A558" s="1754">
        <v>45434</v>
      </c>
      <c r="B558" s="1748" t="str">
        <f>TiposLancamentos!B5</f>
        <v>Supermercado</v>
      </c>
      <c r="C558" s="1740" t="s">
        <v>12077</v>
      </c>
      <c r="D558" s="1736"/>
      <c r="E558" s="952">
        <v>40.44</v>
      </c>
      <c r="F558" s="1027"/>
      <c r="G558" s="1368" t="s">
        <v>9</v>
      </c>
    </row>
    <row r="559" spans="1:7">
      <c r="A559" s="1754">
        <v>45434</v>
      </c>
      <c r="B559" s="1748" t="str">
        <f>TiposLancamentos!B5</f>
        <v>Supermercado</v>
      </c>
      <c r="C559" s="1740" t="s">
        <v>12077</v>
      </c>
      <c r="D559" s="1736"/>
      <c r="E559" s="952">
        <v>4.99</v>
      </c>
      <c r="F559" s="1027"/>
      <c r="G559" s="1368" t="s">
        <v>9</v>
      </c>
    </row>
    <row r="560" spans="1:7">
      <c r="A560" s="1756"/>
      <c r="B560" s="1749"/>
      <c r="C560" s="1741" t="s">
        <v>10</v>
      </c>
      <c r="D560" s="1690"/>
      <c r="E560" s="1231"/>
      <c r="F560" s="1231"/>
      <c r="G560" s="1094" t="s">
        <v>11</v>
      </c>
    </row>
    <row r="561" spans="1:7">
      <c r="A561" s="1754">
        <v>45436</v>
      </c>
      <c r="B561" s="1748" t="str">
        <f>TiposLancamentos!B56</f>
        <v>Farmácia</v>
      </c>
      <c r="C561" s="1740" t="s">
        <v>12078</v>
      </c>
      <c r="D561" s="1736"/>
      <c r="E561" s="952">
        <v>23.06</v>
      </c>
      <c r="F561" s="1027"/>
      <c r="G561" s="1368" t="s">
        <v>9</v>
      </c>
    </row>
    <row r="562" spans="1:7" ht="14.25" thickBot="1">
      <c r="A562" s="1754"/>
      <c r="B562" s="1748"/>
      <c r="C562" s="1740" t="s">
        <v>1947</v>
      </c>
      <c r="D562" s="1736"/>
      <c r="E562" s="952"/>
      <c r="F562" s="1027"/>
    </row>
    <row r="563" spans="1:7">
      <c r="A563" s="1814"/>
      <c r="B563" s="1809"/>
      <c r="C563" s="1801" t="s">
        <v>1635</v>
      </c>
      <c r="D563" s="1794"/>
      <c r="E563" s="1788"/>
      <c r="F563" s="1078">
        <f>SUM(E501:E560)</f>
        <v>4226.9799999999996</v>
      </c>
    </row>
    <row r="564" spans="1:7">
      <c r="A564" s="1754">
        <v>45445</v>
      </c>
      <c r="B564" s="1748" t="str">
        <f>TiposLancamentos!B19</f>
        <v>Restaurantes</v>
      </c>
      <c r="C564" s="1802" t="s">
        <v>12079</v>
      </c>
      <c r="D564" s="1736"/>
      <c r="E564" s="952">
        <v>297</v>
      </c>
      <c r="F564" s="1027">
        <f>F563-F524</f>
        <v>1904.3999999999992</v>
      </c>
      <c r="G564" s="1368" t="s">
        <v>9</v>
      </c>
    </row>
    <row r="565" spans="1:7">
      <c r="A565" s="1754">
        <v>45445</v>
      </c>
      <c r="B565" s="1748" t="str">
        <f>TiposLancamentos!B15</f>
        <v>Cartões de Crédito</v>
      </c>
      <c r="C565" s="1740" t="s">
        <v>1874</v>
      </c>
      <c r="D565" s="1736">
        <v>4226.9799999999996</v>
      </c>
      <c r="E565" s="952"/>
      <c r="F565" s="1027"/>
    </row>
    <row r="566" spans="1:7">
      <c r="A566" s="1754">
        <v>45447</v>
      </c>
      <c r="B566" s="1748" t="str">
        <f>TiposLancamentos!B22</f>
        <v>Combustivel</v>
      </c>
      <c r="C566" s="1740" t="s">
        <v>12080</v>
      </c>
      <c r="D566" s="1736"/>
      <c r="E566" s="952">
        <v>100</v>
      </c>
      <c r="F566" s="1027"/>
      <c r="G566" s="1368" t="s">
        <v>9</v>
      </c>
    </row>
    <row r="567" spans="1:7">
      <c r="A567" s="1754">
        <v>45447</v>
      </c>
      <c r="B567" s="1748" t="str">
        <f>TiposLancamentos!B24</f>
        <v>Estacionamentos</v>
      </c>
      <c r="C567" s="1740" t="s">
        <v>8755</v>
      </c>
      <c r="D567" s="1736"/>
      <c r="E567" s="952">
        <v>20</v>
      </c>
      <c r="F567" s="1027"/>
      <c r="G567" s="1368" t="s">
        <v>9</v>
      </c>
    </row>
    <row r="568" spans="1:7">
      <c r="A568" s="1754">
        <v>45447</v>
      </c>
      <c r="B568" s="1748" t="str">
        <f>TiposLancamentos!B19</f>
        <v>Restaurantes</v>
      </c>
      <c r="C568" s="1740" t="s">
        <v>1967</v>
      </c>
      <c r="D568" s="1736"/>
      <c r="E568" s="952">
        <v>25.3</v>
      </c>
      <c r="F568" s="1027"/>
      <c r="G568" s="1368" t="s">
        <v>9</v>
      </c>
    </row>
    <row r="569" spans="1:7">
      <c r="A569" s="1754">
        <v>45449</v>
      </c>
      <c r="B569" s="1748" t="str">
        <f>TiposLancamentos!B19</f>
        <v>Restaurantes</v>
      </c>
      <c r="C569" s="1740" t="s">
        <v>12081</v>
      </c>
      <c r="D569" s="1736"/>
      <c r="E569" s="952">
        <v>84.9</v>
      </c>
      <c r="F569" s="1027"/>
      <c r="G569" s="1368" t="s">
        <v>9</v>
      </c>
    </row>
    <row r="570" spans="1:7">
      <c r="A570" s="1754">
        <v>45450</v>
      </c>
      <c r="B570" s="1748" t="str">
        <f>TiposLancamentos!B19</f>
        <v>Restaurantes</v>
      </c>
      <c r="C570" s="1740" t="s">
        <v>12082</v>
      </c>
      <c r="D570" s="1736"/>
      <c r="E570" s="952">
        <v>81</v>
      </c>
      <c r="F570" s="1027"/>
      <c r="G570" s="1368" t="s">
        <v>9</v>
      </c>
    </row>
    <row r="571" spans="1:7">
      <c r="A571" s="1754">
        <v>45451</v>
      </c>
      <c r="B571" s="1748" t="str">
        <f>TiposLancamentos!B19</f>
        <v>Restaurantes</v>
      </c>
      <c r="C571" s="1740" t="s">
        <v>12083</v>
      </c>
      <c r="D571" s="1736"/>
      <c r="E571" s="952">
        <v>53.8</v>
      </c>
      <c r="F571" s="1027"/>
      <c r="G571" s="1368" t="s">
        <v>9</v>
      </c>
    </row>
    <row r="572" spans="1:7">
      <c r="A572" s="1754">
        <v>45451</v>
      </c>
      <c r="B572" s="1748" t="str">
        <f>TiposLancamentos!B16</f>
        <v>Cristiane</v>
      </c>
      <c r="C572" s="1740" t="s">
        <v>12084</v>
      </c>
      <c r="D572" s="1736"/>
      <c r="E572" s="952">
        <v>249.99</v>
      </c>
      <c r="F572" s="1027"/>
      <c r="G572" s="1368" t="s">
        <v>9</v>
      </c>
    </row>
    <row r="573" spans="1:7">
      <c r="A573" s="1754">
        <v>45451</v>
      </c>
      <c r="B573" s="1748" t="str">
        <f>TiposLancamentos!B5</f>
        <v>Supermercado</v>
      </c>
      <c r="C573" s="1740" t="s">
        <v>12085</v>
      </c>
      <c r="D573" s="1736"/>
      <c r="E573" s="952">
        <v>86.63</v>
      </c>
      <c r="F573" s="1027"/>
      <c r="G573" s="1368" t="s">
        <v>9</v>
      </c>
    </row>
    <row r="574" spans="1:7">
      <c r="A574" s="1754">
        <v>45451</v>
      </c>
      <c r="B574" s="1748" t="str">
        <f>TiposLancamentos!B17</f>
        <v>GATO</v>
      </c>
      <c r="C574" s="1740" t="s">
        <v>12086</v>
      </c>
      <c r="D574" s="1736"/>
      <c r="E574" s="952">
        <v>180.13</v>
      </c>
      <c r="F574" s="1027"/>
      <c r="G574" s="1368" t="s">
        <v>9</v>
      </c>
    </row>
    <row r="575" spans="1:7">
      <c r="A575" s="1754">
        <v>45452</v>
      </c>
      <c r="B575" s="1748" t="str">
        <f>TiposLancamentos!B16</f>
        <v>Cristiane</v>
      </c>
      <c r="C575" s="1740" t="s">
        <v>12087</v>
      </c>
      <c r="D575" s="1736"/>
      <c r="E575" s="952">
        <v>211.49</v>
      </c>
      <c r="F575" s="1027"/>
      <c r="G575" s="1368" t="s">
        <v>9</v>
      </c>
    </row>
    <row r="576" spans="1:7">
      <c r="A576" s="1754">
        <v>45453</v>
      </c>
      <c r="B576" s="1748" t="str">
        <f>TiposLancamentos!B39</f>
        <v>Playstation 5</v>
      </c>
      <c r="C576" s="1740" t="s">
        <v>12088</v>
      </c>
      <c r="D576" s="1736"/>
      <c r="E576" s="952">
        <v>219.99</v>
      </c>
      <c r="F576" s="1027"/>
      <c r="G576" s="1368" t="s">
        <v>9</v>
      </c>
    </row>
    <row r="577" spans="1:7">
      <c r="A577" s="1754">
        <v>45453</v>
      </c>
      <c r="B577" s="1748" t="str">
        <f>TiposLancamentos!B56</f>
        <v>Farmácia</v>
      </c>
      <c r="C577" s="1740" t="s">
        <v>12089</v>
      </c>
      <c r="D577" s="1736"/>
      <c r="E577" s="952">
        <v>124.78</v>
      </c>
      <c r="F577" s="1027"/>
      <c r="G577" s="1368" t="s">
        <v>9</v>
      </c>
    </row>
    <row r="578" spans="1:7">
      <c r="A578" s="1754">
        <v>45454</v>
      </c>
      <c r="B578" s="1748" t="str">
        <f>TiposLancamentos!B19</f>
        <v>Restaurantes</v>
      </c>
      <c r="C578" s="1740" t="s">
        <v>12090</v>
      </c>
      <c r="D578" s="1736"/>
      <c r="E578" s="952">
        <v>38.5</v>
      </c>
      <c r="F578" s="1027"/>
      <c r="G578" s="1368" t="s">
        <v>9</v>
      </c>
    </row>
    <row r="579" spans="1:7">
      <c r="A579" s="1754">
        <v>45455</v>
      </c>
      <c r="B579" s="1748" t="str">
        <f>TiposLancamentos!B19</f>
        <v>Restaurantes</v>
      </c>
      <c r="C579" s="1740" t="s">
        <v>12091</v>
      </c>
      <c r="D579" s="1736"/>
      <c r="E579" s="952">
        <v>107.7</v>
      </c>
      <c r="F579" s="1027"/>
      <c r="G579" s="1368" t="s">
        <v>9</v>
      </c>
    </row>
    <row r="580" spans="1:7">
      <c r="A580" s="1754">
        <v>45456</v>
      </c>
      <c r="B580" s="1748" t="str">
        <f>TiposLancamentos!B56</f>
        <v>Farmácia</v>
      </c>
      <c r="C580" s="1740" t="s">
        <v>12092</v>
      </c>
      <c r="D580" s="1736"/>
      <c r="E580" s="952">
        <v>47.71</v>
      </c>
      <c r="F580" s="1027"/>
      <c r="G580" s="1368" t="s">
        <v>9</v>
      </c>
    </row>
    <row r="581" spans="1:7">
      <c r="A581" s="1754">
        <v>45456</v>
      </c>
      <c r="B581" s="1748" t="str">
        <f>TiposLancamentos!B19</f>
        <v>Restaurantes</v>
      </c>
      <c r="C581" s="1740" t="s">
        <v>12093</v>
      </c>
      <c r="D581" s="1736"/>
      <c r="E581" s="952">
        <v>95.8</v>
      </c>
      <c r="F581" s="1027"/>
      <c r="G581" s="1368" t="s">
        <v>9</v>
      </c>
    </row>
    <row r="582" spans="1:7">
      <c r="A582" s="1754">
        <v>45458</v>
      </c>
      <c r="B582" s="1748" t="str">
        <f>TiposLancamentos!B38</f>
        <v>Playstation 4</v>
      </c>
      <c r="C582" s="1740" t="s">
        <v>12094</v>
      </c>
      <c r="D582" s="1736"/>
      <c r="E582" s="952">
        <v>79.84</v>
      </c>
      <c r="F582" s="1027"/>
      <c r="G582" s="1368" t="s">
        <v>9</v>
      </c>
    </row>
    <row r="583" spans="1:7">
      <c r="A583" s="1754">
        <v>45458</v>
      </c>
      <c r="B583" s="1748" t="str">
        <f>TiposLancamentos!B19</f>
        <v>Restaurantes</v>
      </c>
      <c r="C583" s="1740" t="s">
        <v>12095</v>
      </c>
      <c r="D583" s="1736"/>
      <c r="E583" s="952">
        <v>116.97</v>
      </c>
      <c r="F583" s="1027"/>
      <c r="G583" s="1368" t="s">
        <v>9</v>
      </c>
    </row>
    <row r="584" spans="1:7">
      <c r="A584" s="1754">
        <v>45458</v>
      </c>
      <c r="B584" s="1748" t="str">
        <f>TiposLancamentos!B19</f>
        <v>Restaurantes</v>
      </c>
      <c r="C584" s="1740" t="s">
        <v>12096</v>
      </c>
      <c r="D584" s="1736"/>
      <c r="E584" s="952">
        <v>81</v>
      </c>
      <c r="F584" s="1027"/>
      <c r="G584" s="1368" t="s">
        <v>9</v>
      </c>
    </row>
    <row r="585" spans="1:7">
      <c r="A585" s="1754">
        <v>45459</v>
      </c>
      <c r="B585" s="1748" t="str">
        <f>TiposLancamentos!B5</f>
        <v>Supermercado</v>
      </c>
      <c r="C585" s="1740" t="s">
        <v>12097</v>
      </c>
      <c r="D585" s="1736"/>
      <c r="E585" s="952">
        <v>146.58000000000001</v>
      </c>
      <c r="F585" s="1027"/>
      <c r="G585" s="1368" t="s">
        <v>9</v>
      </c>
    </row>
    <row r="586" spans="1:7">
      <c r="A586" s="1754">
        <v>45459</v>
      </c>
      <c r="B586" s="1748" t="str">
        <f>TiposLancamentos!B5</f>
        <v>Supermercado</v>
      </c>
      <c r="C586" s="1740" t="s">
        <v>1884</v>
      </c>
      <c r="D586" s="1736"/>
      <c r="E586" s="952">
        <v>21.37</v>
      </c>
      <c r="F586" s="1027"/>
      <c r="G586" s="1368" t="s">
        <v>9</v>
      </c>
    </row>
    <row r="587" spans="1:7">
      <c r="A587" s="1754">
        <v>45461</v>
      </c>
      <c r="B587" s="1748" t="str">
        <f>TiposLancamentos!B71</f>
        <v>Itens Pessoais</v>
      </c>
      <c r="C587" s="1740" t="s">
        <v>12098</v>
      </c>
      <c r="D587" s="1736"/>
      <c r="E587" s="952">
        <v>35</v>
      </c>
      <c r="F587" s="1027"/>
      <c r="G587" s="1368" t="s">
        <v>9</v>
      </c>
    </row>
    <row r="588" spans="1:7">
      <c r="A588" s="1754">
        <v>45461</v>
      </c>
      <c r="B588" s="1748" t="str">
        <f>TiposLancamentos!B37</f>
        <v>Playstation 3</v>
      </c>
      <c r="C588" s="1740" t="s">
        <v>12099</v>
      </c>
      <c r="D588" s="1736"/>
      <c r="E588" s="952">
        <v>252.11</v>
      </c>
      <c r="F588" s="1027"/>
      <c r="G588" s="1368" t="s">
        <v>9</v>
      </c>
    </row>
    <row r="589" spans="1:7">
      <c r="A589" s="1754">
        <v>45461</v>
      </c>
      <c r="B589" s="1748" t="str">
        <f>TiposLancamentos!B22</f>
        <v>Combustivel</v>
      </c>
      <c r="C589" s="1740" t="s">
        <v>12100</v>
      </c>
      <c r="D589" s="1736"/>
      <c r="E589" s="952">
        <v>100</v>
      </c>
      <c r="F589" s="1027"/>
      <c r="G589" s="1368" t="s">
        <v>9</v>
      </c>
    </row>
    <row r="590" spans="1:7">
      <c r="A590" s="1754">
        <v>45461</v>
      </c>
      <c r="B590" s="1748" t="str">
        <f>TiposLancamentos!B19</f>
        <v>Restaurantes</v>
      </c>
      <c r="C590" s="1740" t="s">
        <v>1967</v>
      </c>
      <c r="D590" s="1736"/>
      <c r="E590" s="952">
        <v>38.5</v>
      </c>
      <c r="F590" s="1027"/>
      <c r="G590" s="1368" t="s">
        <v>9</v>
      </c>
    </row>
    <row r="591" spans="1:7">
      <c r="A591" s="1756"/>
      <c r="B591" s="1749"/>
      <c r="C591" s="1741" t="s">
        <v>10</v>
      </c>
      <c r="D591" s="1690"/>
      <c r="E591" s="1231"/>
      <c r="F591" s="1231"/>
      <c r="G591" s="1094" t="s">
        <v>11</v>
      </c>
    </row>
    <row r="592" spans="1:7">
      <c r="A592" s="1754">
        <v>45464</v>
      </c>
      <c r="B592" s="1748" t="str">
        <f>TiposLancamentos!B19</f>
        <v>Restaurantes</v>
      </c>
      <c r="C592" s="1740" t="s">
        <v>12101</v>
      </c>
      <c r="D592" s="1736"/>
      <c r="E592" s="952">
        <v>163.52000000000001</v>
      </c>
      <c r="F592" s="1027"/>
      <c r="G592" s="1368" t="s">
        <v>9</v>
      </c>
    </row>
    <row r="593" spans="1:7">
      <c r="A593" s="1754">
        <v>45465</v>
      </c>
      <c r="B593" s="1748" t="str">
        <f>TiposLancamentos!B19</f>
        <v>Restaurantes</v>
      </c>
      <c r="C593" s="1740" t="s">
        <v>12102</v>
      </c>
      <c r="D593" s="1736"/>
      <c r="E593" s="952">
        <v>106.5</v>
      </c>
      <c r="F593" s="1027"/>
      <c r="G593" s="1368" t="s">
        <v>9</v>
      </c>
    </row>
    <row r="594" spans="1:7">
      <c r="A594" s="1754">
        <v>45466</v>
      </c>
      <c r="B594" s="1748" t="str">
        <f>TiposLancamentos!B19</f>
        <v>Restaurantes</v>
      </c>
      <c r="C594" s="1740" t="s">
        <v>12103</v>
      </c>
      <c r="D594" s="1736"/>
      <c r="E594" s="952">
        <v>101.04</v>
      </c>
      <c r="F594" s="1027"/>
      <c r="G594" s="1368" t="s">
        <v>9</v>
      </c>
    </row>
    <row r="595" spans="1:7">
      <c r="A595" s="1754">
        <v>45469</v>
      </c>
      <c r="B595" s="1748" t="str">
        <f>TiposLancamentos!B19</f>
        <v>Restaurantes</v>
      </c>
      <c r="C595" s="1740" t="s">
        <v>12104</v>
      </c>
      <c r="D595" s="1736"/>
      <c r="E595" s="952">
        <v>66.400000000000006</v>
      </c>
      <c r="F595" s="1027"/>
      <c r="G595" s="1368" t="s">
        <v>9</v>
      </c>
    </row>
    <row r="596" spans="1:7">
      <c r="A596" s="1666">
        <v>45469</v>
      </c>
      <c r="B596" s="1751" t="str">
        <f>TiposLancamentos!B56</f>
        <v>Farmácia</v>
      </c>
      <c r="C596" s="1744" t="s">
        <v>10735</v>
      </c>
      <c r="D596" s="1735"/>
      <c r="E596" s="920">
        <v>138.53</v>
      </c>
      <c r="F596" s="1614"/>
      <c r="G596" s="1368" t="s">
        <v>9</v>
      </c>
    </row>
    <row r="597" spans="1:7">
      <c r="A597" s="1750">
        <v>45469</v>
      </c>
      <c r="B597" s="1753" t="str">
        <f>TiposLancamentos!B56</f>
        <v>Farmácia</v>
      </c>
      <c r="C597" s="1746" t="s">
        <v>12105</v>
      </c>
      <c r="D597" s="1737"/>
      <c r="E597" s="922">
        <f>F597-E596</f>
        <v>8.4900000000000091</v>
      </c>
      <c r="F597" s="1548">
        <v>147.02000000000001</v>
      </c>
      <c r="G597" s="1368" t="s">
        <v>9</v>
      </c>
    </row>
    <row r="598" spans="1:7">
      <c r="A598" s="1754">
        <v>45470</v>
      </c>
      <c r="B598" s="1748" t="str">
        <f>TiposLancamentos!B19</f>
        <v>Restaurantes</v>
      </c>
      <c r="C598" s="1740" t="s">
        <v>12106</v>
      </c>
      <c r="D598" s="1736"/>
      <c r="E598" s="952">
        <v>84.9</v>
      </c>
      <c r="F598" s="1027"/>
      <c r="G598" s="1368" t="s">
        <v>9</v>
      </c>
    </row>
    <row r="599" spans="1:7">
      <c r="A599" s="1754">
        <v>45470</v>
      </c>
      <c r="B599" s="1748" t="str">
        <f>TiposLancamentos!B16</f>
        <v>Cristiane</v>
      </c>
      <c r="C599" s="1740" t="s">
        <v>12107</v>
      </c>
      <c r="D599" s="1736"/>
      <c r="E599" s="952">
        <v>224.17</v>
      </c>
      <c r="F599" s="1027"/>
      <c r="G599" s="1368" t="s">
        <v>9</v>
      </c>
    </row>
    <row r="600" spans="1:7" ht="14.25" thickBot="1">
      <c r="A600" s="1754">
        <v>45473</v>
      </c>
      <c r="B600" s="1748" t="str">
        <f>TiposLancamentos!B19</f>
        <v>Restaurantes</v>
      </c>
      <c r="C600" s="1740" t="s">
        <v>12108</v>
      </c>
      <c r="D600" s="1736"/>
      <c r="E600" s="952">
        <v>105</v>
      </c>
      <c r="F600" s="1027"/>
      <c r="G600" s="1368" t="s">
        <v>9</v>
      </c>
    </row>
    <row r="601" spans="1:7">
      <c r="A601" s="1814"/>
      <c r="B601" s="1809"/>
      <c r="C601" s="1801" t="s">
        <v>1636</v>
      </c>
      <c r="D601" s="1794"/>
      <c r="E601" s="1788"/>
      <c r="F601" s="1078">
        <f>SUM(E560:E591)</f>
        <v>2919.1499999999996</v>
      </c>
    </row>
    <row r="602" spans="1:7">
      <c r="A602" s="1754">
        <v>45474</v>
      </c>
      <c r="B602" s="1748" t="str">
        <f>TiposLancamentos!B15</f>
        <v>Cartões de Crédito</v>
      </c>
      <c r="C602" s="1740" t="s">
        <v>1874</v>
      </c>
      <c r="D602" s="1736">
        <v>2919.15</v>
      </c>
      <c r="E602" s="952"/>
      <c r="F602" s="1027">
        <f>F601-F563</f>
        <v>-1307.83</v>
      </c>
      <c r="G602" s="1368" t="s">
        <v>9</v>
      </c>
    </row>
    <row r="603" spans="1:7">
      <c r="A603" s="1754">
        <v>45477</v>
      </c>
      <c r="B603" s="1748" t="str">
        <f>TiposLancamentos!B57</f>
        <v>Informática</v>
      </c>
      <c r="C603" s="1740" t="s">
        <v>11330</v>
      </c>
      <c r="D603" s="1736"/>
      <c r="E603" s="952">
        <v>314.3</v>
      </c>
      <c r="F603" s="1027"/>
      <c r="G603" s="1368" t="s">
        <v>9</v>
      </c>
    </row>
    <row r="604" spans="1:7">
      <c r="A604" s="1754">
        <v>45477</v>
      </c>
      <c r="B604" s="1748" t="str">
        <f>TiposLancamentos!B19</f>
        <v>Restaurantes</v>
      </c>
      <c r="C604" s="1740" t="s">
        <v>12108</v>
      </c>
      <c r="D604" s="1736"/>
      <c r="E604" s="952">
        <v>105</v>
      </c>
      <c r="F604" s="1027"/>
      <c r="G604" s="1368" t="s">
        <v>9</v>
      </c>
    </row>
    <row r="605" spans="1:7">
      <c r="A605" s="1754">
        <v>45478</v>
      </c>
      <c r="B605" s="1748" t="str">
        <f>TiposLancamentos!B5</f>
        <v>Supermercado</v>
      </c>
      <c r="C605" s="1740" t="s">
        <v>1884</v>
      </c>
      <c r="D605" s="1736"/>
      <c r="E605" s="952">
        <v>19.97</v>
      </c>
      <c r="F605" s="1027"/>
      <c r="G605" s="1368" t="s">
        <v>9</v>
      </c>
    </row>
    <row r="606" spans="1:7">
      <c r="A606" s="1754">
        <v>45478</v>
      </c>
      <c r="B606" s="1748" t="str">
        <f>TiposLancamentos!B19</f>
        <v>Restaurantes</v>
      </c>
      <c r="C606" s="1740" t="s">
        <v>12109</v>
      </c>
      <c r="D606" s="1736"/>
      <c r="E606" s="952">
        <v>95.8</v>
      </c>
      <c r="F606" s="1027"/>
      <c r="G606" s="1368" t="s">
        <v>9</v>
      </c>
    </row>
    <row r="607" spans="1:7">
      <c r="A607" s="1754">
        <v>45480</v>
      </c>
      <c r="B607" s="1748" t="str">
        <f>TiposLancamentos!B19</f>
        <v>Restaurantes</v>
      </c>
      <c r="C607" s="1740" t="s">
        <v>12110</v>
      </c>
      <c r="D607" s="1736"/>
      <c r="E607" s="952">
        <v>98.98</v>
      </c>
      <c r="F607" s="1027"/>
      <c r="G607" s="1368" t="s">
        <v>9</v>
      </c>
    </row>
    <row r="608" spans="1:7">
      <c r="A608" s="1754">
        <v>45484</v>
      </c>
      <c r="B608" s="1748" t="str">
        <f>TiposLancamentos!B19</f>
        <v>Restaurantes</v>
      </c>
      <c r="C608" s="1740" t="s">
        <v>12016</v>
      </c>
      <c r="D608" s="1736"/>
      <c r="E608" s="952">
        <v>105</v>
      </c>
      <c r="F608" s="1027"/>
      <c r="G608" s="1368" t="s">
        <v>9</v>
      </c>
    </row>
    <row r="609" spans="1:7">
      <c r="A609" s="1666">
        <v>45485</v>
      </c>
      <c r="B609" s="1751" t="str">
        <f>TiposLancamentos!B56</f>
        <v>Farmácia</v>
      </c>
      <c r="C609" s="1744" t="s">
        <v>12111</v>
      </c>
      <c r="D609" s="1735"/>
      <c r="E609" s="920">
        <f>10.79*2</f>
        <v>21.58</v>
      </c>
      <c r="F609" s="1614"/>
      <c r="G609" s="1368" t="s">
        <v>9</v>
      </c>
    </row>
    <row r="610" spans="1:7">
      <c r="A610" s="1667">
        <v>45485</v>
      </c>
      <c r="B610" s="1752" t="str">
        <f>TiposLancamentos!B56</f>
        <v>Farmácia</v>
      </c>
      <c r="C610" s="1745" t="s">
        <v>12112</v>
      </c>
      <c r="D610" s="1736"/>
      <c r="E610" s="931">
        <v>13.69</v>
      </c>
      <c r="F610" s="1027"/>
      <c r="G610" s="1368" t="s">
        <v>9</v>
      </c>
    </row>
    <row r="611" spans="1:7">
      <c r="A611" s="1667">
        <v>45485</v>
      </c>
      <c r="B611" s="1752" t="str">
        <f>TiposLancamentos!B56</f>
        <v>Farmácia</v>
      </c>
      <c r="C611" s="1745" t="s">
        <v>12113</v>
      </c>
      <c r="D611" s="1736"/>
      <c r="E611" s="931">
        <v>107.51</v>
      </c>
      <c r="F611" s="1027"/>
      <c r="G611" s="1368" t="s">
        <v>9</v>
      </c>
    </row>
    <row r="612" spans="1:7">
      <c r="A612" s="1667">
        <v>45485</v>
      </c>
      <c r="B612" s="1752" t="str">
        <f>TiposLancamentos!B56</f>
        <v>Farmácia</v>
      </c>
      <c r="C612" s="1745" t="s">
        <v>12114</v>
      </c>
      <c r="D612" s="1736"/>
      <c r="E612" s="931">
        <v>16.489999999999998</v>
      </c>
      <c r="F612" s="1027"/>
      <c r="G612" s="1368" t="s">
        <v>9</v>
      </c>
    </row>
    <row r="613" spans="1:7">
      <c r="A613" s="1750">
        <v>45485</v>
      </c>
      <c r="B613" s="1753" t="str">
        <f>TiposLancamentos!B60</f>
        <v>Correio</v>
      </c>
      <c r="C613" s="1746" t="s">
        <v>12115</v>
      </c>
      <c r="D613" s="1737"/>
      <c r="E613" s="922">
        <v>5.9</v>
      </c>
      <c r="F613" s="1548">
        <f>SUM(E609:E613)</f>
        <v>165.17000000000002</v>
      </c>
      <c r="G613" s="1368" t="s">
        <v>9</v>
      </c>
    </row>
    <row r="614" spans="1:7">
      <c r="A614" s="1754">
        <v>45486</v>
      </c>
      <c r="B614" s="1748" t="str">
        <f>TiposLancamentos!B19</f>
        <v>Restaurantes</v>
      </c>
      <c r="C614" s="1740" t="s">
        <v>12116</v>
      </c>
      <c r="D614" s="1736"/>
      <c r="E614" s="952">
        <v>98.6</v>
      </c>
      <c r="F614" s="1027"/>
      <c r="G614" s="1368" t="s">
        <v>9</v>
      </c>
    </row>
    <row r="615" spans="1:7">
      <c r="A615" s="1754">
        <v>45487</v>
      </c>
      <c r="B615" s="1748" t="str">
        <f>TiposLancamentos!B19</f>
        <v>Restaurantes</v>
      </c>
      <c r="C615" s="1740" t="s">
        <v>12117</v>
      </c>
      <c r="D615" s="1736"/>
      <c r="E615" s="952">
        <v>63.89</v>
      </c>
      <c r="F615" s="1027"/>
      <c r="G615" s="1368" t="s">
        <v>9</v>
      </c>
    </row>
    <row r="616" spans="1:7">
      <c r="A616" s="1754">
        <v>45487</v>
      </c>
      <c r="B616" s="1748" t="str">
        <f>TiposLancamentos!B19</f>
        <v>Restaurantes</v>
      </c>
      <c r="C616" s="1740" t="s">
        <v>12118</v>
      </c>
      <c r="D616" s="1736"/>
      <c r="E616" s="952">
        <v>81</v>
      </c>
      <c r="F616" s="1027"/>
      <c r="G616" s="1368" t="s">
        <v>9</v>
      </c>
    </row>
    <row r="617" spans="1:7">
      <c r="A617" s="1754">
        <v>45491</v>
      </c>
      <c r="B617" s="1748" t="str">
        <f>TiposLancamentos!B5</f>
        <v>Supermercado</v>
      </c>
      <c r="C617" s="1740" t="s">
        <v>5930</v>
      </c>
      <c r="D617" s="1736"/>
      <c r="E617" s="952">
        <v>108.61</v>
      </c>
      <c r="F617" s="1027"/>
      <c r="G617" s="1368" t="s">
        <v>9</v>
      </c>
    </row>
    <row r="618" spans="1:7">
      <c r="A618" s="1754">
        <v>45491</v>
      </c>
      <c r="B618" s="1748" t="str">
        <f>TiposLancamentos!B71</f>
        <v>Itens Pessoais</v>
      </c>
      <c r="C618" s="1740" t="s">
        <v>12119</v>
      </c>
      <c r="D618" s="1736"/>
      <c r="E618" s="952">
        <v>40</v>
      </c>
      <c r="F618" s="1027"/>
      <c r="G618" s="1368" t="s">
        <v>9</v>
      </c>
    </row>
    <row r="619" spans="1:7">
      <c r="A619" s="1754">
        <v>45491</v>
      </c>
      <c r="B619" s="1748" t="str">
        <f>TiposLancamentos!B56</f>
        <v>Farmácia</v>
      </c>
      <c r="C619" s="1740" t="s">
        <v>12120</v>
      </c>
      <c r="D619" s="1736"/>
      <c r="E619" s="952">
        <v>35.450000000000003</v>
      </c>
      <c r="F619" s="1027"/>
      <c r="G619" s="1368" t="s">
        <v>9</v>
      </c>
    </row>
    <row r="620" spans="1:7">
      <c r="A620" s="1754">
        <v>45491</v>
      </c>
      <c r="B620" s="1748" t="str">
        <f>TiposLancamentos!B19</f>
        <v>Restaurantes</v>
      </c>
      <c r="C620" s="1740" t="s">
        <v>12108</v>
      </c>
      <c r="D620" s="1736"/>
      <c r="E620" s="952">
        <v>105</v>
      </c>
      <c r="F620" s="1027"/>
      <c r="G620" s="1368" t="s">
        <v>9</v>
      </c>
    </row>
    <row r="621" spans="1:7">
      <c r="A621" s="1754">
        <v>45492</v>
      </c>
      <c r="B621" s="1748" t="str">
        <f>TiposLancamentos!B5</f>
        <v>Supermercado</v>
      </c>
      <c r="C621" s="1740" t="s">
        <v>12121</v>
      </c>
      <c r="D621" s="1736"/>
      <c r="E621" s="952">
        <v>37.96</v>
      </c>
      <c r="F621" s="1027"/>
      <c r="G621" s="1368" t="s">
        <v>9</v>
      </c>
    </row>
    <row r="622" spans="1:7">
      <c r="A622" s="1754">
        <v>45493</v>
      </c>
      <c r="B622" s="1748" t="str">
        <f>TiposLancamentos!B19</f>
        <v>Restaurantes</v>
      </c>
      <c r="C622" s="1740" t="s">
        <v>12122</v>
      </c>
      <c r="D622" s="1736"/>
      <c r="E622" s="952">
        <v>107.6</v>
      </c>
      <c r="F622" s="1027"/>
      <c r="G622" s="1368" t="s">
        <v>9</v>
      </c>
    </row>
    <row r="623" spans="1:7">
      <c r="A623" s="1754">
        <v>45493</v>
      </c>
      <c r="B623" s="1748" t="str">
        <f>TiposLancamentos!B5</f>
        <v>Supermercado</v>
      </c>
      <c r="C623" s="1740" t="s">
        <v>1884</v>
      </c>
      <c r="D623" s="1736"/>
      <c r="E623" s="952">
        <v>7.99</v>
      </c>
      <c r="F623" s="1027"/>
      <c r="G623" s="1368" t="s">
        <v>9</v>
      </c>
    </row>
    <row r="624" spans="1:7">
      <c r="A624" s="1754">
        <v>45494</v>
      </c>
      <c r="B624" s="1748" t="str">
        <f>TiposLancamentos!B19</f>
        <v>Restaurantes</v>
      </c>
      <c r="C624" s="1740" t="s">
        <v>7741</v>
      </c>
      <c r="D624" s="1736"/>
      <c r="E624" s="952">
        <v>20.8</v>
      </c>
      <c r="F624" s="1027"/>
      <c r="G624" s="1368" t="s">
        <v>9</v>
      </c>
    </row>
    <row r="625" spans="1:7">
      <c r="A625" s="1754">
        <v>45494</v>
      </c>
      <c r="B625" s="1748" t="str">
        <f>TiposLancamentos!B19</f>
        <v>Restaurantes</v>
      </c>
      <c r="C625" s="1740" t="s">
        <v>12123</v>
      </c>
      <c r="D625" s="1736"/>
      <c r="E625" s="952">
        <v>32.200000000000003</v>
      </c>
      <c r="F625" s="1027"/>
      <c r="G625" s="1368" t="s">
        <v>9</v>
      </c>
    </row>
    <row r="626" spans="1:7">
      <c r="A626" s="1754">
        <v>45496</v>
      </c>
      <c r="B626" s="1748" t="str">
        <f>TiposLancamentos!B81</f>
        <v>Ferramentas gerais</v>
      </c>
      <c r="C626" s="1740" t="s">
        <v>12124</v>
      </c>
      <c r="D626" s="1736"/>
      <c r="E626" s="952">
        <v>23</v>
      </c>
      <c r="F626" s="1027"/>
      <c r="G626" s="1368" t="s">
        <v>9</v>
      </c>
    </row>
    <row r="627" spans="1:7">
      <c r="A627" s="1754">
        <v>45496</v>
      </c>
      <c r="B627" s="1748" t="str">
        <f>TiposLancamentos!B5</f>
        <v>Supermercado</v>
      </c>
      <c r="C627" s="1740" t="s">
        <v>12125</v>
      </c>
      <c r="D627" s="1736"/>
      <c r="E627" s="952">
        <v>37.130000000000003</v>
      </c>
      <c r="F627" s="1027"/>
      <c r="G627" s="1368" t="s">
        <v>9</v>
      </c>
    </row>
    <row r="628" spans="1:7">
      <c r="A628" s="1756"/>
      <c r="B628" s="1749"/>
      <c r="C628" s="1741" t="s">
        <v>10</v>
      </c>
      <c r="D628" s="1690"/>
      <c r="E628" s="1231"/>
      <c r="F628" s="1231"/>
      <c r="G628" s="1094" t="s">
        <v>11</v>
      </c>
    </row>
    <row r="629" spans="1:7">
      <c r="A629" s="1754">
        <v>45497</v>
      </c>
      <c r="B629" s="1748" t="str">
        <f>TiposLancamentos!B16</f>
        <v>Cristiane</v>
      </c>
      <c r="C629" s="1740" t="s">
        <v>12126</v>
      </c>
      <c r="D629" s="1736"/>
      <c r="E629" s="952">
        <v>21</v>
      </c>
      <c r="F629" s="1027"/>
      <c r="G629" s="1368" t="s">
        <v>9</v>
      </c>
    </row>
    <row r="630" spans="1:7">
      <c r="A630" s="1754">
        <v>45497</v>
      </c>
      <c r="B630" s="1748" t="str">
        <f>TiposLancamentos!B81</f>
        <v>Ferramentas gerais</v>
      </c>
      <c r="C630" s="1740" t="s">
        <v>12127</v>
      </c>
      <c r="D630" s="1736"/>
      <c r="E630" s="952">
        <v>106</v>
      </c>
      <c r="F630" s="1027"/>
      <c r="G630" s="1368" t="s">
        <v>9</v>
      </c>
    </row>
    <row r="631" spans="1:7">
      <c r="A631" s="1754">
        <v>45497</v>
      </c>
      <c r="B631" s="1748" t="str">
        <f>TiposLancamentos!B16</f>
        <v>Cristiane</v>
      </c>
      <c r="C631" s="1740" t="s">
        <v>12128</v>
      </c>
      <c r="D631" s="1736"/>
      <c r="E631" s="952">
        <v>122.8</v>
      </c>
      <c r="F631" s="1027"/>
      <c r="G631" s="1368" t="s">
        <v>9</v>
      </c>
    </row>
    <row r="632" spans="1:7">
      <c r="A632" s="1754">
        <v>45497</v>
      </c>
      <c r="B632" s="1748" t="str">
        <f>TiposLancamentos!B57</f>
        <v>Informática</v>
      </c>
      <c r="C632" s="1740" t="s">
        <v>12129</v>
      </c>
      <c r="D632" s="1736"/>
      <c r="E632" s="952">
        <v>49</v>
      </c>
      <c r="F632" s="1027"/>
      <c r="G632" s="1368" t="s">
        <v>9</v>
      </c>
    </row>
    <row r="633" spans="1:7">
      <c r="A633" s="1754">
        <v>45499</v>
      </c>
      <c r="B633" s="1748" t="str">
        <f>TiposLancamentos!B5</f>
        <v>Supermercado</v>
      </c>
      <c r="C633" s="1740" t="s">
        <v>12130</v>
      </c>
      <c r="D633" s="1736"/>
      <c r="E633" s="952">
        <v>149.02000000000001</v>
      </c>
      <c r="F633" s="1027"/>
      <c r="G633" s="1368" t="s">
        <v>9</v>
      </c>
    </row>
    <row r="634" spans="1:7">
      <c r="A634" s="1754">
        <v>45499</v>
      </c>
      <c r="B634" s="1748" t="str">
        <f>TiposLancamentos!B19</f>
        <v>Restaurantes</v>
      </c>
      <c r="C634" s="1740" t="s">
        <v>12131</v>
      </c>
      <c r="D634" s="1736"/>
      <c r="E634" s="952">
        <v>81</v>
      </c>
      <c r="F634" s="1027"/>
      <c r="G634" s="1368" t="s">
        <v>9</v>
      </c>
    </row>
    <row r="635" spans="1:7">
      <c r="A635" s="1754">
        <v>45501</v>
      </c>
      <c r="B635" s="1748" t="str">
        <f>TiposLancamentos!B19</f>
        <v>Restaurantes</v>
      </c>
      <c r="C635" s="1740" t="s">
        <v>12132</v>
      </c>
      <c r="D635" s="1736"/>
      <c r="E635" s="952">
        <v>175.67</v>
      </c>
      <c r="F635" s="1027"/>
      <c r="G635" s="1368" t="s">
        <v>9</v>
      </c>
    </row>
    <row r="636" spans="1:7">
      <c r="A636" s="1754">
        <v>45501</v>
      </c>
      <c r="B636" s="1748" t="str">
        <f>TiposLancamentos!B30</f>
        <v>Cinema</v>
      </c>
      <c r="C636" s="1740" t="s">
        <v>12133</v>
      </c>
      <c r="D636" s="1736"/>
      <c r="E636" s="952">
        <v>116.26</v>
      </c>
      <c r="F636" s="1027"/>
      <c r="G636" s="1368" t="s">
        <v>9</v>
      </c>
    </row>
    <row r="637" spans="1:7">
      <c r="A637" s="1666">
        <v>45502</v>
      </c>
      <c r="B637" s="1751" t="str">
        <f>TiposLancamentos!B57</f>
        <v>Informática</v>
      </c>
      <c r="C637" s="1744" t="s">
        <v>12134</v>
      </c>
      <c r="D637" s="1735"/>
      <c r="E637" s="920">
        <f>F638-E638</f>
        <v>44.980000000000004</v>
      </c>
      <c r="F637" s="1614"/>
      <c r="G637" s="1368" t="s">
        <v>9</v>
      </c>
    </row>
    <row r="638" spans="1:7">
      <c r="A638" s="1750">
        <v>45502</v>
      </c>
      <c r="B638" s="1753" t="str">
        <f>TiposLancamentos!B60</f>
        <v>Correio</v>
      </c>
      <c r="C638" s="1746" t="s">
        <v>9285</v>
      </c>
      <c r="D638" s="1737"/>
      <c r="E638" s="922">
        <v>15.9</v>
      </c>
      <c r="F638" s="1548">
        <v>60.88</v>
      </c>
      <c r="G638" s="1368" t="s">
        <v>9</v>
      </c>
    </row>
    <row r="639" spans="1:7">
      <c r="A639" s="1754">
        <v>45502</v>
      </c>
      <c r="B639" s="1748" t="str">
        <f>TiposLancamentos!B81</f>
        <v>Ferramentas gerais</v>
      </c>
      <c r="C639" s="1740" t="s">
        <v>12135</v>
      </c>
      <c r="D639" s="1736"/>
      <c r="E639" s="952">
        <v>34.99</v>
      </c>
      <c r="F639" s="1027"/>
      <c r="G639" s="1368" t="s">
        <v>9</v>
      </c>
    </row>
    <row r="640" spans="1:7">
      <c r="A640" s="1754">
        <v>45502</v>
      </c>
      <c r="B640" s="1748" t="str">
        <f>TiposLancamentos!B23</f>
        <v>P208 GRIFFE 1.6 AUT BUSINESS</v>
      </c>
      <c r="C640" s="1740" t="s">
        <v>12136</v>
      </c>
      <c r="D640" s="1736"/>
      <c r="E640" s="952">
        <v>250</v>
      </c>
      <c r="F640" s="1027"/>
      <c r="G640" s="1368" t="s">
        <v>9</v>
      </c>
    </row>
    <row r="641" spans="1:7">
      <c r="A641" s="1754">
        <v>45502</v>
      </c>
      <c r="B641" s="1748" t="str">
        <f>TiposLancamentos!B5</f>
        <v>Supermercado</v>
      </c>
      <c r="C641" s="1740" t="s">
        <v>12137</v>
      </c>
      <c r="D641" s="1736"/>
      <c r="E641" s="952">
        <v>168.97</v>
      </c>
      <c r="F641" s="1027"/>
      <c r="G641" s="1368" t="s">
        <v>9</v>
      </c>
    </row>
    <row r="642" spans="1:7">
      <c r="A642" s="1754">
        <v>45502</v>
      </c>
      <c r="B642" s="1748" t="str">
        <f>TiposLancamentos!B24</f>
        <v>Estacionamentos</v>
      </c>
      <c r="C642" s="1740" t="s">
        <v>12138</v>
      </c>
      <c r="D642" s="1736"/>
      <c r="E642" s="952">
        <v>19</v>
      </c>
      <c r="F642" s="1027"/>
      <c r="G642" s="1368" t="s">
        <v>9</v>
      </c>
    </row>
    <row r="643" spans="1:7">
      <c r="A643" s="1754">
        <v>45504</v>
      </c>
      <c r="B643" s="1748" t="str">
        <f>TiposLancamentos!B5</f>
        <v>Supermercado</v>
      </c>
      <c r="C643" s="1740" t="s">
        <v>12139</v>
      </c>
      <c r="D643" s="1736"/>
      <c r="E643" s="952">
        <v>42.7</v>
      </c>
      <c r="F643" s="1027"/>
      <c r="G643" s="1368" t="s">
        <v>9</v>
      </c>
    </row>
    <row r="644" spans="1:7">
      <c r="A644" s="1754">
        <v>45504</v>
      </c>
      <c r="B644" s="1748" t="str">
        <f>TiposLancamentos!B56</f>
        <v>Farmácia</v>
      </c>
      <c r="C644" s="1740" t="s">
        <v>12140</v>
      </c>
      <c r="D644" s="1736"/>
      <c r="E644" s="952">
        <v>66.989999999999995</v>
      </c>
      <c r="F644" s="1027"/>
      <c r="G644" s="1368" t="s">
        <v>9</v>
      </c>
    </row>
    <row r="645" spans="1:7" ht="14.25" thickBot="1">
      <c r="A645" s="1754">
        <v>45504</v>
      </c>
      <c r="B645" s="1748" t="str">
        <f>TiposLancamentos!B19</f>
        <v>Restaurantes</v>
      </c>
      <c r="C645" s="1740" t="s">
        <v>9126</v>
      </c>
      <c r="D645" s="1736"/>
      <c r="E645" s="952">
        <v>79.400000000000006</v>
      </c>
      <c r="F645" s="1027"/>
      <c r="G645" s="1368" t="s">
        <v>9</v>
      </c>
    </row>
    <row r="646" spans="1:7">
      <c r="A646" s="1814"/>
      <c r="B646" s="1809"/>
      <c r="C646" s="1801" t="s">
        <v>1637</v>
      </c>
      <c r="D646" s="1794"/>
      <c r="E646" s="1788"/>
      <c r="F646" s="1078">
        <f>SUM(E591:E628)</f>
        <v>2701.9999999999995</v>
      </c>
    </row>
    <row r="647" spans="1:7">
      <c r="A647" s="1754">
        <v>45505</v>
      </c>
      <c r="B647" s="1748" t="str">
        <f>TiposLancamentos!B15</f>
        <v>Cartões de Crédito</v>
      </c>
      <c r="C647" s="1740" t="s">
        <v>1874</v>
      </c>
      <c r="D647" s="1736">
        <v>2702</v>
      </c>
      <c r="E647" s="952"/>
      <c r="F647" s="1027">
        <f>F646-F601</f>
        <v>-217.15000000000009</v>
      </c>
      <c r="G647" s="1368" t="s">
        <v>9</v>
      </c>
    </row>
    <row r="648" spans="1:7">
      <c r="A648" s="1754">
        <v>45505</v>
      </c>
      <c r="B648" s="1748" t="str">
        <f>TiposLancamentos!B5</f>
        <v>Supermercado</v>
      </c>
      <c r="C648" s="1740" t="s">
        <v>12141</v>
      </c>
      <c r="D648" s="1736"/>
      <c r="E648" s="952">
        <v>181.27</v>
      </c>
      <c r="F648" s="1027"/>
      <c r="G648" s="1368" t="s">
        <v>9</v>
      </c>
    </row>
    <row r="649" spans="1:7">
      <c r="A649" s="1754">
        <v>45506</v>
      </c>
      <c r="B649" s="1748" t="str">
        <f>TiposLancamentos!B24</f>
        <v>Estacionamentos</v>
      </c>
      <c r="C649" s="1740" t="s">
        <v>9246</v>
      </c>
      <c r="D649" s="1736"/>
      <c r="E649" s="952">
        <v>20</v>
      </c>
      <c r="F649" s="1027"/>
      <c r="G649" s="1368" t="s">
        <v>9</v>
      </c>
    </row>
    <row r="650" spans="1:7">
      <c r="A650" s="1754">
        <v>45506</v>
      </c>
      <c r="B650" s="1748" t="str">
        <f>TiposLancamentos!B65</f>
        <v>Taxi</v>
      </c>
      <c r="C650" s="1740" t="s">
        <v>12142</v>
      </c>
      <c r="D650" s="1736"/>
      <c r="E650" s="952">
        <v>21.67</v>
      </c>
      <c r="F650" s="1027"/>
      <c r="G650" s="1368" t="s">
        <v>9</v>
      </c>
    </row>
    <row r="651" spans="1:7">
      <c r="A651" s="1754">
        <v>45507</v>
      </c>
      <c r="B651" s="1748" t="str">
        <f>TiposLancamentos!B22</f>
        <v>Combustivel</v>
      </c>
      <c r="C651" s="1740" t="s">
        <v>12143</v>
      </c>
      <c r="D651" s="1736"/>
      <c r="E651" s="952">
        <v>100</v>
      </c>
      <c r="F651" s="1027"/>
      <c r="G651" s="1368" t="s">
        <v>9</v>
      </c>
    </row>
    <row r="652" spans="1:7">
      <c r="A652" s="1754">
        <v>45507</v>
      </c>
      <c r="B652" s="1748" t="str">
        <f>TiposLancamentos!B65</f>
        <v>Taxi</v>
      </c>
      <c r="C652" s="1740" t="s">
        <v>12144</v>
      </c>
      <c r="D652" s="1736"/>
      <c r="E652" s="952">
        <v>13.93</v>
      </c>
      <c r="F652" s="1027"/>
      <c r="G652" s="1368" t="s">
        <v>9</v>
      </c>
    </row>
    <row r="653" spans="1:7">
      <c r="A653" s="1754">
        <v>45507</v>
      </c>
      <c r="B653" s="1748" t="str">
        <f>TiposLancamentos!B16</f>
        <v>Cristiane</v>
      </c>
      <c r="C653" s="1740" t="s">
        <v>12145</v>
      </c>
      <c r="D653" s="1736"/>
      <c r="E653" s="952">
        <v>80.459999999999994</v>
      </c>
      <c r="F653" s="1027"/>
      <c r="G653" s="1368" t="s">
        <v>9</v>
      </c>
    </row>
    <row r="654" spans="1:7">
      <c r="A654" s="1754">
        <v>45507</v>
      </c>
      <c r="B654" s="1748" t="str">
        <f>TiposLancamentos!B38</f>
        <v>Playstation 4</v>
      </c>
      <c r="C654" s="1740" t="s">
        <v>12146</v>
      </c>
      <c r="D654" s="1736"/>
      <c r="E654" s="952">
        <v>329.9</v>
      </c>
      <c r="F654" s="1027"/>
      <c r="G654" s="1368" t="s">
        <v>9</v>
      </c>
    </row>
    <row r="655" spans="1:7">
      <c r="A655" s="1754">
        <v>45507</v>
      </c>
      <c r="B655" s="1748" t="str">
        <f>TiposLancamentos!B18</f>
        <v>Alimentacao</v>
      </c>
      <c r="C655" s="1740" t="s">
        <v>12147</v>
      </c>
      <c r="D655" s="1736"/>
      <c r="E655" s="952">
        <v>20</v>
      </c>
      <c r="F655" s="1027"/>
      <c r="G655" s="1368" t="s">
        <v>9</v>
      </c>
    </row>
    <row r="656" spans="1:7">
      <c r="A656" s="1754">
        <v>45507</v>
      </c>
      <c r="B656" s="1748" t="str">
        <f>B652</f>
        <v>Taxi</v>
      </c>
      <c r="C656" s="1740" t="s">
        <v>12148</v>
      </c>
      <c r="D656" s="1736"/>
      <c r="E656" s="952">
        <v>11.97</v>
      </c>
      <c r="F656" s="1027"/>
      <c r="G656" s="1368" t="s">
        <v>9</v>
      </c>
    </row>
    <row r="657" spans="1:7">
      <c r="A657" s="1754">
        <v>45508</v>
      </c>
      <c r="B657" s="1748" t="str">
        <f>TiposLancamentos!B19</f>
        <v>Restaurantes</v>
      </c>
      <c r="C657" s="1740" t="s">
        <v>12149</v>
      </c>
      <c r="D657" s="1736"/>
      <c r="E657" s="952">
        <v>126.69</v>
      </c>
      <c r="F657" s="1027"/>
      <c r="G657" s="1368" t="s">
        <v>9</v>
      </c>
    </row>
    <row r="658" spans="1:7">
      <c r="A658" s="1754">
        <v>45508</v>
      </c>
      <c r="B658" s="1748" t="str">
        <f>TiposLancamentos!B5</f>
        <v>Supermercado</v>
      </c>
      <c r="C658" s="1740" t="s">
        <v>1884</v>
      </c>
      <c r="D658" s="1736"/>
      <c r="E658" s="952">
        <v>15.98</v>
      </c>
      <c r="F658" s="1027"/>
      <c r="G658" s="1368" t="s">
        <v>9</v>
      </c>
    </row>
    <row r="659" spans="1:7">
      <c r="A659" s="1754">
        <v>45510</v>
      </c>
      <c r="B659" s="1748" t="str">
        <f>TiposLancamentos!B17</f>
        <v>GATO</v>
      </c>
      <c r="C659" s="1740" t="s">
        <v>12150</v>
      </c>
      <c r="D659" s="1736"/>
      <c r="E659" s="952">
        <v>177.39</v>
      </c>
      <c r="F659" s="1027"/>
      <c r="G659" s="1368" t="s">
        <v>9</v>
      </c>
    </row>
    <row r="660" spans="1:7">
      <c r="A660" s="1754">
        <v>45510</v>
      </c>
      <c r="B660" s="1748" t="str">
        <f>TiposLancamentos!B24</f>
        <v>Estacionamentos</v>
      </c>
      <c r="C660" s="1740" t="s">
        <v>1898</v>
      </c>
      <c r="D660" s="1736"/>
      <c r="E660" s="952">
        <v>20</v>
      </c>
      <c r="F660" s="1027"/>
      <c r="G660" s="1368" t="s">
        <v>9</v>
      </c>
    </row>
    <row r="661" spans="1:7">
      <c r="A661" s="1754">
        <v>45510</v>
      </c>
      <c r="B661" s="1748" t="str">
        <f>TiposLancamentos!B19</f>
        <v>Restaurantes</v>
      </c>
      <c r="C661" s="1740" t="s">
        <v>1967</v>
      </c>
      <c r="D661" s="1736"/>
      <c r="E661" s="952">
        <v>25.3</v>
      </c>
      <c r="F661" s="1027"/>
      <c r="G661" s="1368" t="s">
        <v>9</v>
      </c>
    </row>
    <row r="662" spans="1:7">
      <c r="A662" s="1666">
        <v>45512</v>
      </c>
      <c r="B662" s="1751" t="str">
        <f>TiposLancamentos!B56</f>
        <v>Farmácia</v>
      </c>
      <c r="C662" s="1744" t="s">
        <v>6118</v>
      </c>
      <c r="D662" s="1735"/>
      <c r="E662" s="920">
        <v>138.53</v>
      </c>
      <c r="F662" s="1614"/>
      <c r="G662" s="1368" t="s">
        <v>9</v>
      </c>
    </row>
    <row r="663" spans="1:7">
      <c r="A663" s="1750">
        <v>45512</v>
      </c>
      <c r="B663" s="1753" t="str">
        <f>TiposLancamentos!B56</f>
        <v>Farmácia</v>
      </c>
      <c r="C663" s="1746" t="s">
        <v>12151</v>
      </c>
      <c r="D663" s="1737"/>
      <c r="E663" s="922">
        <f>F663-E662</f>
        <v>159.63000000000002</v>
      </c>
      <c r="F663" s="1548">
        <v>298.16000000000003</v>
      </c>
      <c r="G663" s="1368" t="s">
        <v>9</v>
      </c>
    </row>
    <row r="664" spans="1:7">
      <c r="A664" s="1754">
        <v>45513</v>
      </c>
      <c r="B664" s="1748" t="str">
        <f>TiposLancamentos!B19</f>
        <v>Restaurantes</v>
      </c>
      <c r="C664" s="1740" t="s">
        <v>12152</v>
      </c>
      <c r="D664" s="1736"/>
      <c r="E664" s="952">
        <v>79.400000000000006</v>
      </c>
      <c r="F664" s="1027"/>
      <c r="G664" s="1368" t="s">
        <v>9</v>
      </c>
    </row>
    <row r="665" spans="1:7">
      <c r="A665" s="1754">
        <v>45513</v>
      </c>
      <c r="B665" s="1748" t="str">
        <f>TiposLancamentos!B5</f>
        <v>Supermercado</v>
      </c>
      <c r="C665" s="1740" t="s">
        <v>10550</v>
      </c>
      <c r="D665" s="1736"/>
      <c r="E665" s="952">
        <v>29.88</v>
      </c>
      <c r="F665" s="1027"/>
      <c r="G665" s="1368" t="s">
        <v>9</v>
      </c>
    </row>
    <row r="666" spans="1:7">
      <c r="A666" s="1666">
        <v>45514</v>
      </c>
      <c r="B666" s="1751" t="str">
        <f>TiposLancamentos!B39</f>
        <v>Playstation 5</v>
      </c>
      <c r="C666" s="1744" t="s">
        <v>12153</v>
      </c>
      <c r="D666" s="1735"/>
      <c r="E666" s="920">
        <v>180</v>
      </c>
      <c r="F666" s="1614"/>
      <c r="G666" s="1368" t="s">
        <v>9</v>
      </c>
    </row>
    <row r="667" spans="1:7">
      <c r="A667" s="1750">
        <v>45514</v>
      </c>
      <c r="B667" s="1753" t="str">
        <f>TiposLancamentos!B39</f>
        <v>Playstation 5</v>
      </c>
      <c r="C667" s="1746" t="s">
        <v>12154</v>
      </c>
      <c r="D667" s="1737"/>
      <c r="E667" s="922">
        <f>F667-E666</f>
        <v>240</v>
      </c>
      <c r="F667" s="1548">
        <v>420</v>
      </c>
      <c r="G667" s="1368" t="s">
        <v>9</v>
      </c>
    </row>
    <row r="668" spans="1:7">
      <c r="A668" s="1754">
        <v>45514</v>
      </c>
      <c r="B668" s="1748" t="str">
        <f>TiposLancamentos!B36</f>
        <v>Playstation 2</v>
      </c>
      <c r="C668" s="1740" t="s">
        <v>12155</v>
      </c>
      <c r="D668" s="1736"/>
      <c r="E668" s="952">
        <v>180</v>
      </c>
      <c r="F668" s="1027">
        <f>SUM(E666:E667)</f>
        <v>420</v>
      </c>
      <c r="G668" s="1368" t="s">
        <v>9</v>
      </c>
    </row>
    <row r="669" spans="1:7">
      <c r="A669" s="1754">
        <v>45514</v>
      </c>
      <c r="B669" s="1748" t="str">
        <f>TiposLancamentos!B19</f>
        <v>Restaurantes</v>
      </c>
      <c r="C669" s="1740" t="s">
        <v>12156</v>
      </c>
      <c r="D669" s="1736"/>
      <c r="E669" s="952">
        <v>14</v>
      </c>
      <c r="F669" s="1027"/>
      <c r="G669" s="1368" t="s">
        <v>9</v>
      </c>
    </row>
    <row r="670" spans="1:7">
      <c r="A670" s="1754">
        <v>45514</v>
      </c>
      <c r="B670" s="1748" t="str">
        <f>TiposLancamentos!B16</f>
        <v>Cristiane</v>
      </c>
      <c r="C670" s="1740" t="s">
        <v>12157</v>
      </c>
      <c r="D670" s="1736"/>
      <c r="E670" s="952">
        <v>37.99</v>
      </c>
      <c r="F670" s="1027"/>
      <c r="G670" s="1368" t="s">
        <v>9</v>
      </c>
    </row>
    <row r="671" spans="1:7">
      <c r="A671" s="1754">
        <v>45514</v>
      </c>
      <c r="B671" s="1748" t="str">
        <f>TiposLancamentos!B16</f>
        <v>Cristiane</v>
      </c>
      <c r="C671" s="1740" t="s">
        <v>12158</v>
      </c>
      <c r="D671" s="1736"/>
      <c r="E671" s="952">
        <v>49.98</v>
      </c>
      <c r="F671" s="1027"/>
      <c r="G671" s="1368" t="s">
        <v>9</v>
      </c>
    </row>
    <row r="672" spans="1:7">
      <c r="A672" s="1754">
        <v>45514</v>
      </c>
      <c r="B672" s="1748" t="str">
        <f>TiposLancamentos!B16</f>
        <v>Cristiane</v>
      </c>
      <c r="C672" s="1740" t="s">
        <v>12159</v>
      </c>
      <c r="D672" s="1736"/>
      <c r="E672" s="952">
        <v>112</v>
      </c>
      <c r="F672" s="1027"/>
      <c r="G672" s="1368" t="s">
        <v>9</v>
      </c>
    </row>
    <row r="673" spans="1:7">
      <c r="A673" s="1754">
        <v>45514</v>
      </c>
      <c r="B673" s="1748" t="str">
        <f>TiposLancamentos!B19</f>
        <v>Restaurantes</v>
      </c>
      <c r="C673" s="1740" t="s">
        <v>7657</v>
      </c>
      <c r="D673" s="1736"/>
      <c r="E673" s="952">
        <v>26</v>
      </c>
      <c r="F673" s="1027"/>
      <c r="G673" s="1368" t="s">
        <v>9</v>
      </c>
    </row>
    <row r="674" spans="1:7">
      <c r="A674" s="1754">
        <v>45514</v>
      </c>
      <c r="B674" s="1748" t="str">
        <f>TiposLancamentos!B16</f>
        <v>Cristiane</v>
      </c>
      <c r="C674" s="1740" t="s">
        <v>12160</v>
      </c>
      <c r="D674" s="1736"/>
      <c r="E674" s="952">
        <v>38.49</v>
      </c>
      <c r="F674" s="1027"/>
      <c r="G674" s="1368" t="s">
        <v>9</v>
      </c>
    </row>
    <row r="675" spans="1:7">
      <c r="A675" s="1754">
        <v>45514</v>
      </c>
      <c r="B675" s="1748" t="str">
        <f>TiposLancamentos!B65</f>
        <v>Taxi</v>
      </c>
      <c r="C675" s="1740" t="s">
        <v>12161</v>
      </c>
      <c r="D675" s="1736"/>
      <c r="E675" s="952">
        <v>23.6</v>
      </c>
      <c r="F675" s="1027"/>
      <c r="G675" s="1368" t="s">
        <v>9</v>
      </c>
    </row>
    <row r="676" spans="1:7">
      <c r="A676" s="1754">
        <v>45515</v>
      </c>
      <c r="B676" s="1748" t="str">
        <f>TiposLancamentos!B19</f>
        <v>Restaurantes</v>
      </c>
      <c r="C676" s="1740" t="s">
        <v>7419</v>
      </c>
      <c r="D676" s="1736"/>
      <c r="E676" s="952">
        <v>204.49</v>
      </c>
      <c r="F676" s="1027"/>
      <c r="G676" s="1368" t="s">
        <v>9</v>
      </c>
    </row>
    <row r="677" spans="1:7">
      <c r="A677" s="1754">
        <v>45515</v>
      </c>
      <c r="B677" s="1748" t="str">
        <f>TiposLancamentos!B81</f>
        <v>Ferramentas gerais</v>
      </c>
      <c r="C677" s="1740" t="s">
        <v>12162</v>
      </c>
      <c r="D677" s="1736"/>
      <c r="E677" s="952">
        <v>58.96</v>
      </c>
      <c r="F677" s="1027"/>
      <c r="G677" s="1368" t="s">
        <v>9</v>
      </c>
    </row>
    <row r="678" spans="1:7">
      <c r="A678" s="1754">
        <v>45515</v>
      </c>
      <c r="B678" s="1748" t="str">
        <f>TiposLancamentos!B5</f>
        <v>Supermercado</v>
      </c>
      <c r="C678" s="1740" t="s">
        <v>12163</v>
      </c>
      <c r="D678" s="1736"/>
      <c r="E678" s="952">
        <v>125.61</v>
      </c>
      <c r="F678" s="1027"/>
      <c r="G678" s="1368" t="s">
        <v>9</v>
      </c>
    </row>
    <row r="679" spans="1:7">
      <c r="A679" s="1754">
        <v>45517</v>
      </c>
      <c r="B679" s="1748" t="str">
        <f>TiposLancamentos!B71</f>
        <v>Itens Pessoais</v>
      </c>
      <c r="C679" s="1740" t="s">
        <v>8961</v>
      </c>
      <c r="D679" s="1736"/>
      <c r="E679" s="952">
        <v>40</v>
      </c>
      <c r="F679" s="1027"/>
      <c r="G679" s="1368" t="s">
        <v>9</v>
      </c>
    </row>
    <row r="680" spans="1:7">
      <c r="A680" s="1754">
        <v>45517</v>
      </c>
      <c r="B680" s="1748" t="str">
        <f>TiposLancamentos!B24</f>
        <v>Estacionamentos</v>
      </c>
      <c r="C680" s="1740" t="s">
        <v>12164</v>
      </c>
      <c r="D680" s="1736"/>
      <c r="E680" s="952">
        <v>20</v>
      </c>
      <c r="F680" s="1027"/>
      <c r="G680" s="1368" t="s">
        <v>9</v>
      </c>
    </row>
    <row r="681" spans="1:7">
      <c r="A681" s="1754">
        <v>45517</v>
      </c>
      <c r="B681" s="1748" t="str">
        <f>TiposLancamentos!B19</f>
        <v>Restaurantes</v>
      </c>
      <c r="C681" s="1740" t="s">
        <v>12165</v>
      </c>
      <c r="D681" s="1736"/>
      <c r="E681" s="952">
        <v>25.3</v>
      </c>
      <c r="F681" s="1027"/>
      <c r="G681" s="1368" t="s">
        <v>9</v>
      </c>
    </row>
    <row r="682" spans="1:7">
      <c r="A682" s="1754">
        <v>45517</v>
      </c>
      <c r="B682" s="1748" t="str">
        <f>TiposLancamentos!B22</f>
        <v>Combustivel</v>
      </c>
      <c r="C682" s="1740" t="s">
        <v>9493</v>
      </c>
      <c r="D682" s="1736"/>
      <c r="E682" s="952">
        <v>100</v>
      </c>
      <c r="F682" s="1027"/>
      <c r="G682" s="1368" t="s">
        <v>9</v>
      </c>
    </row>
    <row r="683" spans="1:7">
      <c r="A683" s="1754">
        <v>45519</v>
      </c>
      <c r="B683" s="1748" t="str">
        <f>TiposLancamentos!B19</f>
        <v>Restaurantes</v>
      </c>
      <c r="C683" s="1740" t="s">
        <v>12166</v>
      </c>
      <c r="D683" s="1736"/>
      <c r="E683" s="952">
        <v>105</v>
      </c>
      <c r="F683" s="1027"/>
      <c r="G683" s="1368" t="s">
        <v>9</v>
      </c>
    </row>
    <row r="684" spans="1:7">
      <c r="A684" s="1754">
        <v>45521</v>
      </c>
      <c r="B684" s="1748" t="str">
        <f>TiposLancamentos!B19</f>
        <v>Restaurantes</v>
      </c>
      <c r="C684" s="1740" t="s">
        <v>7508</v>
      </c>
      <c r="D684" s="1736"/>
      <c r="E684" s="952">
        <v>80.400000000000006</v>
      </c>
      <c r="F684" s="1027"/>
      <c r="G684" s="1368" t="s">
        <v>9</v>
      </c>
    </row>
    <row r="685" spans="1:7">
      <c r="A685" s="1754">
        <v>45521</v>
      </c>
      <c r="B685" s="1748" t="str">
        <f>TiposLancamentos!B19</f>
        <v>Restaurantes</v>
      </c>
      <c r="C685" s="1740" t="s">
        <v>12167</v>
      </c>
      <c r="D685" s="1736"/>
      <c r="E685" s="952">
        <v>30</v>
      </c>
      <c r="F685" s="1027"/>
      <c r="G685" s="1368" t="s">
        <v>9</v>
      </c>
    </row>
    <row r="686" spans="1:7">
      <c r="A686" s="1754">
        <v>45524</v>
      </c>
      <c r="B686" s="1748" t="str">
        <f>TiposLancamentos!B5</f>
        <v>Supermercado</v>
      </c>
      <c r="C686" s="1740" t="s">
        <v>8026</v>
      </c>
      <c r="D686" s="1736"/>
      <c r="E686" s="952">
        <v>221.59</v>
      </c>
      <c r="F686" s="1027"/>
      <c r="G686" s="1368" t="s">
        <v>9</v>
      </c>
    </row>
    <row r="687" spans="1:7">
      <c r="A687" s="1754">
        <v>45524</v>
      </c>
      <c r="B687" s="1748" t="str">
        <f>TiposLancamentos!B17</f>
        <v>GATO</v>
      </c>
      <c r="C687" s="1740" t="s">
        <v>7448</v>
      </c>
      <c r="D687" s="1736"/>
      <c r="E687" s="952">
        <v>234.34</v>
      </c>
      <c r="F687" s="1027"/>
      <c r="G687" s="1368" t="s">
        <v>9</v>
      </c>
    </row>
    <row r="688" spans="1:7">
      <c r="A688" s="1754">
        <v>45524</v>
      </c>
      <c r="B688" s="1748" t="str">
        <f>TiposLancamentos!B19</f>
        <v>Restaurantes</v>
      </c>
      <c r="C688" s="1740" t="s">
        <v>1967</v>
      </c>
      <c r="D688" s="1736"/>
      <c r="E688" s="952">
        <v>34.1</v>
      </c>
      <c r="F688" s="1027"/>
      <c r="G688" s="1368" t="s">
        <v>9</v>
      </c>
    </row>
    <row r="689" spans="1:7">
      <c r="A689" s="1756"/>
      <c r="B689" s="1749"/>
      <c r="C689" s="1741" t="s">
        <v>10</v>
      </c>
      <c r="D689" s="1690"/>
      <c r="E689" s="1231"/>
      <c r="F689" s="1231"/>
      <c r="G689" s="1094" t="s">
        <v>11</v>
      </c>
    </row>
    <row r="690" spans="1:7">
      <c r="A690" s="1754">
        <v>45526</v>
      </c>
      <c r="B690" s="1748" t="str">
        <f>TiposLancamentos!B16</f>
        <v>Cristiane</v>
      </c>
      <c r="C690" s="1740" t="s">
        <v>12168</v>
      </c>
      <c r="D690" s="1736"/>
      <c r="E690" s="952">
        <v>81.93</v>
      </c>
      <c r="F690" s="1027"/>
      <c r="G690" s="1368" t="s">
        <v>9</v>
      </c>
    </row>
    <row r="691" spans="1:7">
      <c r="A691" s="1754">
        <v>45526</v>
      </c>
      <c r="B691" s="1748" t="str">
        <f>TiposLancamentos!B16</f>
        <v>Cristiane</v>
      </c>
      <c r="C691" s="1740" t="s">
        <v>12169</v>
      </c>
      <c r="D691" s="1736"/>
      <c r="E691" s="952">
        <v>87.95</v>
      </c>
      <c r="F691" s="1027"/>
      <c r="G691" s="1368" t="s">
        <v>9</v>
      </c>
    </row>
    <row r="692" spans="1:7">
      <c r="A692" s="1754">
        <v>45526</v>
      </c>
      <c r="B692" s="1748" t="str">
        <f>TiposLancamentos!B19</f>
        <v>Restaurantes</v>
      </c>
      <c r="C692" s="1740" t="s">
        <v>12170</v>
      </c>
      <c r="D692" s="1736"/>
      <c r="E692" s="952">
        <v>105</v>
      </c>
      <c r="F692" s="1027"/>
      <c r="G692" s="1368" t="s">
        <v>9</v>
      </c>
    </row>
    <row r="693" spans="1:7">
      <c r="A693" s="1666">
        <v>45528</v>
      </c>
      <c r="B693" s="1751" t="str">
        <f>TiposLancamentos!B13</f>
        <v>Moradia</v>
      </c>
      <c r="C693" s="1744" t="s">
        <v>12171</v>
      </c>
      <c r="D693" s="1735"/>
      <c r="E693" s="920">
        <f>F694-E694</f>
        <v>128.81</v>
      </c>
      <c r="F693" s="1614"/>
      <c r="G693" s="1368" t="s">
        <v>9</v>
      </c>
    </row>
    <row r="694" spans="1:7">
      <c r="A694" s="1750">
        <v>45528</v>
      </c>
      <c r="B694" s="1753" t="str">
        <f>TiposLancamentos!B16</f>
        <v>Cristiane</v>
      </c>
      <c r="C694" s="1746" t="s">
        <v>12172</v>
      </c>
      <c r="D694" s="1737"/>
      <c r="E694" s="922">
        <v>49.9</v>
      </c>
      <c r="F694" s="1548">
        <v>178.71</v>
      </c>
      <c r="G694" s="1368" t="s">
        <v>9</v>
      </c>
    </row>
    <row r="695" spans="1:7">
      <c r="A695" s="1754">
        <v>45528</v>
      </c>
      <c r="B695" s="1748" t="str">
        <f>TiposLancamentos!B19</f>
        <v>Restaurantes</v>
      </c>
      <c r="C695" s="1740" t="s">
        <v>12173</v>
      </c>
      <c r="D695" s="1736"/>
      <c r="E695" s="952">
        <v>101.4</v>
      </c>
      <c r="F695" s="1027"/>
      <c r="G695" s="1368" t="s">
        <v>9</v>
      </c>
    </row>
    <row r="696" spans="1:7">
      <c r="A696" s="1754">
        <v>45528</v>
      </c>
      <c r="B696" s="1748" t="str">
        <f>TiposLancamentos!B5</f>
        <v>Supermercado</v>
      </c>
      <c r="C696" s="1740" t="s">
        <v>1884</v>
      </c>
      <c r="D696" s="1736"/>
      <c r="E696" s="952">
        <v>17.38</v>
      </c>
      <c r="F696" s="1027"/>
      <c r="G696" s="1368" t="s">
        <v>9</v>
      </c>
    </row>
    <row r="697" spans="1:7">
      <c r="A697" s="1754">
        <v>45529</v>
      </c>
      <c r="B697" s="1748" t="str">
        <f>TiposLancamentos!B19</f>
        <v>Restaurantes</v>
      </c>
      <c r="C697" s="1740" t="s">
        <v>12174</v>
      </c>
      <c r="D697" s="1736"/>
      <c r="E697" s="952">
        <v>410.74</v>
      </c>
      <c r="F697" s="1027"/>
      <c r="G697" s="1368" t="s">
        <v>9</v>
      </c>
    </row>
    <row r="698" spans="1:7">
      <c r="A698" s="1754">
        <v>45529</v>
      </c>
      <c r="B698" s="1748" t="str">
        <f>TiposLancamentos!B19</f>
        <v>Restaurantes</v>
      </c>
      <c r="C698" s="1740" t="s">
        <v>10370</v>
      </c>
      <c r="D698" s="1736"/>
      <c r="E698" s="952">
        <v>75.790000000000006</v>
      </c>
      <c r="F698" s="1027"/>
      <c r="G698" s="1368" t="s">
        <v>9</v>
      </c>
    </row>
    <row r="699" spans="1:7">
      <c r="A699" s="1754">
        <v>45533</v>
      </c>
      <c r="B699" s="1748" t="str">
        <f>TiposLancamentos!B19</f>
        <v>Restaurantes</v>
      </c>
      <c r="C699" s="1740" t="s">
        <v>12170</v>
      </c>
      <c r="D699" s="1736"/>
      <c r="E699" s="952">
        <v>105</v>
      </c>
      <c r="F699" s="1027"/>
      <c r="G699" s="1368" t="s">
        <v>9</v>
      </c>
    </row>
    <row r="700" spans="1:7">
      <c r="A700" s="1666">
        <v>45535</v>
      </c>
      <c r="B700" s="1751" t="str">
        <f>TiposLancamentos!B36</f>
        <v>Playstation 2</v>
      </c>
      <c r="C700" s="1744" t="s">
        <v>12175</v>
      </c>
      <c r="D700" s="1735"/>
      <c r="E700" s="920">
        <f xml:space="preserve"> 42.1-4.22</f>
        <v>37.880000000000003</v>
      </c>
      <c r="F700" s="1614"/>
      <c r="G700" s="1368" t="s">
        <v>9</v>
      </c>
    </row>
    <row r="701" spans="1:7">
      <c r="A701" s="1667">
        <v>45535</v>
      </c>
      <c r="B701" s="1752" t="str">
        <f>TiposLancamentos!B4</f>
        <v>Taxas Bancarias</v>
      </c>
      <c r="C701" s="1745" t="s">
        <v>12176</v>
      </c>
      <c r="D701" s="1736"/>
      <c r="E701" s="931">
        <v>27.71</v>
      </c>
      <c r="F701" s="1027"/>
      <c r="G701" s="1368" t="s">
        <v>9</v>
      </c>
    </row>
    <row r="702" spans="1:7">
      <c r="A702" s="1750">
        <v>45535</v>
      </c>
      <c r="B702" s="1753" t="str">
        <f>TiposLancamentos!B60</f>
        <v>Correio</v>
      </c>
      <c r="C702" s="1746" t="s">
        <v>12177</v>
      </c>
      <c r="D702" s="1737"/>
      <c r="E702" s="922">
        <v>24</v>
      </c>
      <c r="F702" s="1548">
        <f>SUM(E700:E702)</f>
        <v>89.59</v>
      </c>
      <c r="G702" s="1368" t="s">
        <v>9</v>
      </c>
    </row>
    <row r="703" spans="1:7" ht="14.25" thickBot="1">
      <c r="A703" s="1754"/>
      <c r="B703" s="1748"/>
      <c r="C703" s="1740" t="s">
        <v>1868</v>
      </c>
      <c r="D703" s="1736"/>
      <c r="E703" s="952"/>
      <c r="F703" s="1027"/>
    </row>
    <row r="704" spans="1:7">
      <c r="A704" s="1814"/>
      <c r="B704" s="1809"/>
      <c r="C704" s="1801" t="s">
        <v>1638</v>
      </c>
      <c r="D704" s="1794"/>
      <c r="E704" s="1788"/>
      <c r="F704" s="1078">
        <f>SUM(E628:E689)</f>
        <v>5277.5300000000007</v>
      </c>
    </row>
    <row r="705" spans="1:7">
      <c r="A705" s="1754">
        <v>45536</v>
      </c>
      <c r="B705" s="1748" t="str">
        <f>TiposLancamentos!B15</f>
        <v>Cartões de Crédito</v>
      </c>
      <c r="C705" s="1740" t="s">
        <v>1874</v>
      </c>
      <c r="D705" s="1736">
        <v>5277.53</v>
      </c>
      <c r="E705" s="952"/>
      <c r="F705" s="1027">
        <f>F704-F646</f>
        <v>2575.5300000000011</v>
      </c>
      <c r="G705" s="1368" t="s">
        <v>9</v>
      </c>
    </row>
    <row r="706" spans="1:7">
      <c r="A706" s="1754">
        <v>45536</v>
      </c>
      <c r="B706" s="1748" t="str">
        <f>TiposLancamentos!B19</f>
        <v>Restaurantes</v>
      </c>
      <c r="C706" s="1740" t="s">
        <v>12178</v>
      </c>
      <c r="D706" s="1736"/>
      <c r="E706" s="952">
        <v>257.77999999999997</v>
      </c>
      <c r="F706" s="1027"/>
      <c r="G706" s="1368" t="s">
        <v>9</v>
      </c>
    </row>
    <row r="707" spans="1:7">
      <c r="A707" s="1754">
        <v>45536</v>
      </c>
      <c r="B707" s="1748" t="str">
        <f>TiposLancamentos!B56</f>
        <v>Farmácia</v>
      </c>
      <c r="C707" s="1740" t="s">
        <v>12179</v>
      </c>
      <c r="D707" s="1736"/>
      <c r="E707" s="952">
        <v>34.79</v>
      </c>
      <c r="F707" s="1027"/>
      <c r="G707" s="1368" t="s">
        <v>9</v>
      </c>
    </row>
    <row r="708" spans="1:7">
      <c r="A708" s="1754">
        <v>45536</v>
      </c>
      <c r="B708" s="1748" t="str">
        <f>TiposLancamentos!B5</f>
        <v>Supermercado</v>
      </c>
      <c r="C708" s="1740" t="s">
        <v>2028</v>
      </c>
      <c r="D708" s="1736"/>
      <c r="E708" s="952">
        <v>44.94</v>
      </c>
      <c r="F708" s="1027"/>
      <c r="G708" s="1368" t="s">
        <v>9</v>
      </c>
    </row>
    <row r="709" spans="1:7">
      <c r="A709" s="1754">
        <v>45537</v>
      </c>
      <c r="B709" s="1748" t="str">
        <f>TiposLancamentos!B19</f>
        <v>Restaurantes</v>
      </c>
      <c r="C709" s="1740" t="s">
        <v>12180</v>
      </c>
      <c r="D709" s="1736"/>
      <c r="E709" s="952">
        <v>81</v>
      </c>
      <c r="F709" s="1027"/>
      <c r="G709" s="1368" t="s">
        <v>9</v>
      </c>
    </row>
    <row r="710" spans="1:7">
      <c r="A710" s="1754">
        <v>45538</v>
      </c>
      <c r="B710" s="1748" t="str">
        <f>TiposLancamentos!B19</f>
        <v>Restaurantes</v>
      </c>
      <c r="C710" s="1740" t="s">
        <v>8472</v>
      </c>
      <c r="D710" s="1736"/>
      <c r="E710" s="952">
        <v>36</v>
      </c>
      <c r="F710" s="1027"/>
      <c r="G710" s="1368" t="s">
        <v>9</v>
      </c>
    </row>
    <row r="711" spans="1:7">
      <c r="A711" s="1754">
        <v>45539</v>
      </c>
      <c r="B711" s="1748" t="str">
        <f>TiposLancamentos!B19</f>
        <v>Restaurantes</v>
      </c>
      <c r="C711" s="1740" t="s">
        <v>12181</v>
      </c>
      <c r="D711" s="1736"/>
      <c r="E711" s="952">
        <v>82.5</v>
      </c>
      <c r="F711" s="1027"/>
      <c r="G711" s="1368" t="s">
        <v>9</v>
      </c>
    </row>
    <row r="712" spans="1:7">
      <c r="A712" s="1754">
        <v>45540</v>
      </c>
      <c r="B712" s="1748" t="str">
        <f>TiposLancamentos!B19</f>
        <v>Restaurantes</v>
      </c>
      <c r="C712" s="1740" t="s">
        <v>12182</v>
      </c>
      <c r="D712" s="1736"/>
      <c r="E712" s="952">
        <v>89.9</v>
      </c>
      <c r="F712" s="1027"/>
      <c r="G712" s="1368" t="s">
        <v>9</v>
      </c>
    </row>
    <row r="713" spans="1:7">
      <c r="A713" s="1754">
        <v>45541</v>
      </c>
      <c r="B713" s="1748" t="str">
        <f>TiposLancamentos!B65</f>
        <v>Taxi</v>
      </c>
      <c r="C713" s="1740" t="s">
        <v>12183</v>
      </c>
      <c r="D713" s="1736"/>
      <c r="E713" s="952">
        <v>23.92</v>
      </c>
      <c r="F713" s="1027"/>
      <c r="G713" s="1368" t="s">
        <v>9</v>
      </c>
    </row>
    <row r="714" spans="1:7">
      <c r="A714" s="1754">
        <v>45542</v>
      </c>
      <c r="B714" s="1748" t="str">
        <f>TiposLancamentos!B19</f>
        <v>Restaurantes</v>
      </c>
      <c r="C714" s="1740" t="s">
        <v>7419</v>
      </c>
      <c r="D714" s="1736"/>
      <c r="E714" s="952">
        <v>226.16</v>
      </c>
      <c r="F714" s="1027"/>
      <c r="G714" s="1368" t="s">
        <v>9</v>
      </c>
    </row>
    <row r="715" spans="1:7">
      <c r="A715" s="1754">
        <v>45542</v>
      </c>
      <c r="B715" s="1748" t="str">
        <f>TiposLancamentos!B16</f>
        <v>Cristiane</v>
      </c>
      <c r="C715" s="1740" t="s">
        <v>12168</v>
      </c>
      <c r="D715" s="1736"/>
      <c r="E715" s="952">
        <v>35.979999999999997</v>
      </c>
      <c r="F715" s="1027"/>
      <c r="G715" s="1368" t="s">
        <v>9</v>
      </c>
    </row>
    <row r="716" spans="1:7">
      <c r="A716" s="1754">
        <v>45543</v>
      </c>
      <c r="B716" s="1748" t="str">
        <f>TiposLancamentos!B5</f>
        <v>Supermercado</v>
      </c>
      <c r="C716" s="1740" t="s">
        <v>12184</v>
      </c>
      <c r="D716" s="1736"/>
      <c r="E716" s="952">
        <v>86.38</v>
      </c>
      <c r="F716" s="1027"/>
      <c r="G716" s="1368" t="s">
        <v>9</v>
      </c>
    </row>
    <row r="717" spans="1:7">
      <c r="A717" s="1754">
        <v>45543</v>
      </c>
      <c r="B717" s="1748" t="str">
        <f>TiposLancamentos!B5</f>
        <v>Supermercado</v>
      </c>
      <c r="C717" s="1740" t="s">
        <v>12185</v>
      </c>
      <c r="D717" s="1736"/>
      <c r="E717" s="952">
        <v>56.13</v>
      </c>
      <c r="F717" s="1027"/>
      <c r="G717" s="1368" t="s">
        <v>9</v>
      </c>
    </row>
    <row r="718" spans="1:7">
      <c r="A718" s="1754">
        <v>45543</v>
      </c>
      <c r="B718" s="1748" t="str">
        <f>TiposLancamentos!B5</f>
        <v>Supermercado</v>
      </c>
      <c r="C718" s="1740" t="s">
        <v>12186</v>
      </c>
      <c r="D718" s="1736"/>
      <c r="E718" s="952">
        <v>88.2</v>
      </c>
      <c r="F718" s="1027"/>
      <c r="G718" s="1368" t="s">
        <v>9</v>
      </c>
    </row>
    <row r="719" spans="1:7">
      <c r="A719" s="1754">
        <v>45545</v>
      </c>
      <c r="B719" s="1748" t="str">
        <f>TiposLancamentos!B13</f>
        <v>Moradia</v>
      </c>
      <c r="C719" s="1740" t="s">
        <v>3785</v>
      </c>
      <c r="D719" s="1736"/>
      <c r="E719" s="952">
        <v>19</v>
      </c>
      <c r="F719" s="1027"/>
      <c r="G719" s="1368" t="s">
        <v>9</v>
      </c>
    </row>
    <row r="720" spans="1:7">
      <c r="A720" s="1754">
        <v>45545</v>
      </c>
      <c r="B720" s="1748" t="str">
        <f>TiposLancamentos!B22</f>
        <v>Combustivel</v>
      </c>
      <c r="C720" s="1740" t="s">
        <v>12187</v>
      </c>
      <c r="D720" s="1736"/>
      <c r="E720" s="952">
        <v>100</v>
      </c>
      <c r="F720" s="1027"/>
      <c r="G720" s="1368" t="s">
        <v>9</v>
      </c>
    </row>
    <row r="721" spans="1:7">
      <c r="A721" s="1754">
        <v>45545</v>
      </c>
      <c r="B721" s="1748" t="str">
        <f>TiposLancamentos!B24</f>
        <v>Estacionamentos</v>
      </c>
      <c r="C721" s="1740" t="s">
        <v>12188</v>
      </c>
      <c r="D721" s="1736"/>
      <c r="E721" s="952">
        <v>10</v>
      </c>
      <c r="F721" s="1027"/>
      <c r="G721" s="1368" t="s">
        <v>9</v>
      </c>
    </row>
    <row r="722" spans="1:7">
      <c r="A722" s="1754">
        <v>45545</v>
      </c>
      <c r="B722" s="1748" t="str">
        <f>TiposLancamentos!B24</f>
        <v>Estacionamentos</v>
      </c>
      <c r="C722" s="1740" t="s">
        <v>12189</v>
      </c>
      <c r="D722" s="1736"/>
      <c r="E722" s="952">
        <v>30</v>
      </c>
      <c r="F722" s="1027"/>
      <c r="G722" s="1368" t="s">
        <v>9</v>
      </c>
    </row>
    <row r="723" spans="1:7">
      <c r="A723" s="1754">
        <v>45546</v>
      </c>
      <c r="B723" s="1748" t="str">
        <f>TiposLancamentos!B22</f>
        <v>Combustivel</v>
      </c>
      <c r="C723" s="1740" t="s">
        <v>12190</v>
      </c>
      <c r="D723" s="1736"/>
      <c r="E723" s="952">
        <v>100</v>
      </c>
      <c r="F723" s="1027"/>
      <c r="G723" s="1368" t="s">
        <v>9</v>
      </c>
    </row>
    <row r="724" spans="1:7">
      <c r="A724" s="1754">
        <v>45547</v>
      </c>
      <c r="B724" s="1748" t="str">
        <f>TiposLancamentos!B19</f>
        <v>Restaurantes</v>
      </c>
      <c r="C724" s="1740" t="s">
        <v>12182</v>
      </c>
      <c r="D724" s="1736"/>
      <c r="E724" s="952">
        <v>89.9</v>
      </c>
      <c r="F724" s="1027"/>
      <c r="G724" s="1368" t="s">
        <v>9</v>
      </c>
    </row>
    <row r="725" spans="1:7">
      <c r="A725" s="1754">
        <v>45548</v>
      </c>
      <c r="B725" s="1748" t="str">
        <f>TiposLancamentos!B5</f>
        <v>Supermercado</v>
      </c>
      <c r="C725" s="1740" t="s">
        <v>12191</v>
      </c>
      <c r="D725" s="1736"/>
      <c r="E725" s="952">
        <v>156.41999999999999</v>
      </c>
      <c r="F725" s="1027"/>
      <c r="G725" s="1368" t="s">
        <v>9</v>
      </c>
    </row>
    <row r="726" spans="1:7">
      <c r="A726" s="1754">
        <v>45519</v>
      </c>
      <c r="B726" s="1748" t="str">
        <f>TiposLancamentos!B5</f>
        <v>Supermercado</v>
      </c>
      <c r="C726" s="1740" t="s">
        <v>12192</v>
      </c>
      <c r="D726" s="1736"/>
      <c r="E726" s="952">
        <v>69.900000000000006</v>
      </c>
      <c r="F726" s="1027"/>
      <c r="G726" s="1368" t="s">
        <v>9</v>
      </c>
    </row>
    <row r="727" spans="1:7">
      <c r="A727" s="1754">
        <v>45551</v>
      </c>
      <c r="B727" s="1748" t="str">
        <f>TiposLancamentos!B22</f>
        <v>Combustivel</v>
      </c>
      <c r="C727" s="1740" t="s">
        <v>12193</v>
      </c>
      <c r="D727" s="1736"/>
      <c r="E727" s="952">
        <v>100</v>
      </c>
      <c r="F727" s="1027"/>
      <c r="G727" s="1368" t="s">
        <v>9</v>
      </c>
    </row>
    <row r="728" spans="1:7">
      <c r="A728" s="1754">
        <v>45551</v>
      </c>
      <c r="B728" s="1748" t="str">
        <f>TiposLancamentos!B16</f>
        <v>Cristiane</v>
      </c>
      <c r="C728" s="1740" t="s">
        <v>9857</v>
      </c>
      <c r="D728" s="1736"/>
      <c r="E728" s="952">
        <v>71.400000000000006</v>
      </c>
      <c r="F728" s="1027"/>
      <c r="G728" s="1368" t="s">
        <v>9</v>
      </c>
    </row>
    <row r="729" spans="1:7">
      <c r="A729" s="1754">
        <v>45554</v>
      </c>
      <c r="B729" s="1748" t="str">
        <f>TiposLancamentos!B65</f>
        <v>Taxi</v>
      </c>
      <c r="C729" s="1740" t="s">
        <v>2047</v>
      </c>
      <c r="D729" s="1736"/>
      <c r="E729" s="952">
        <v>13.95</v>
      </c>
      <c r="F729" s="1027"/>
      <c r="G729" s="1368" t="s">
        <v>9</v>
      </c>
    </row>
    <row r="730" spans="1:7">
      <c r="A730" s="1754">
        <v>45554</v>
      </c>
      <c r="B730" s="1748" t="str">
        <f>TiposLancamentos!B65</f>
        <v>Taxi</v>
      </c>
      <c r="C730" s="1740" t="s">
        <v>12194</v>
      </c>
      <c r="D730" s="1736"/>
      <c r="E730" s="952">
        <v>20</v>
      </c>
      <c r="F730" s="1027"/>
      <c r="G730" s="1368" t="s">
        <v>9</v>
      </c>
    </row>
    <row r="731" spans="1:7">
      <c r="A731" s="1754">
        <v>45554</v>
      </c>
      <c r="B731" s="1748" t="str">
        <f>TiposLancamentos!B5</f>
        <v>Supermercado</v>
      </c>
      <c r="C731" s="1740" t="s">
        <v>8019</v>
      </c>
      <c r="D731" s="1736"/>
      <c r="E731" s="952">
        <v>65.63</v>
      </c>
      <c r="F731" s="1027"/>
      <c r="G731" s="1368" t="s">
        <v>9</v>
      </c>
    </row>
    <row r="732" spans="1:7">
      <c r="A732" s="1754">
        <v>45556</v>
      </c>
      <c r="B732" s="1748" t="str">
        <f>TiposLancamentos!B5</f>
        <v>Supermercado</v>
      </c>
      <c r="C732" s="1740" t="s">
        <v>12195</v>
      </c>
      <c r="D732" s="1736"/>
      <c r="E732" s="952">
        <v>228.04</v>
      </c>
      <c r="F732" s="1027"/>
      <c r="G732" s="1368" t="s">
        <v>9</v>
      </c>
    </row>
    <row r="733" spans="1:7">
      <c r="A733" s="1756"/>
      <c r="B733" s="1749"/>
      <c r="C733" s="1741" t="s">
        <v>10</v>
      </c>
      <c r="D733" s="1690"/>
      <c r="E733" s="1231"/>
      <c r="F733" s="1231"/>
      <c r="G733" s="1094" t="s">
        <v>11</v>
      </c>
    </row>
    <row r="734" spans="1:7">
      <c r="A734" s="1754">
        <v>45564</v>
      </c>
      <c r="B734" s="1748" t="str">
        <f>TiposLancamentos!B5</f>
        <v>Supermercado</v>
      </c>
      <c r="C734" s="1740" t="s">
        <v>12097</v>
      </c>
      <c r="D734" s="1736"/>
      <c r="E734" s="952">
        <v>78.930000000000007</v>
      </c>
      <c r="F734" s="1027"/>
      <c r="G734" s="1368"/>
    </row>
    <row r="735" spans="1:7" ht="14.25" thickBot="1">
      <c r="A735" s="1754"/>
      <c r="B735" s="1748"/>
      <c r="C735" s="1740" t="s">
        <v>1947</v>
      </c>
      <c r="D735" s="1736"/>
      <c r="E735" s="952"/>
      <c r="F735" s="1027"/>
    </row>
    <row r="736" spans="1:7">
      <c r="A736" s="1814"/>
      <c r="B736" s="1809"/>
      <c r="C736" s="1801" t="s">
        <v>1639</v>
      </c>
      <c r="D736" s="1794"/>
      <c r="E736" s="1788"/>
      <c r="F736" s="1078">
        <f>SUM(E689:E733)</f>
        <v>3471.4100000000008</v>
      </c>
    </row>
    <row r="737" spans="1:7">
      <c r="A737" s="1754">
        <v>45566</v>
      </c>
      <c r="B737" s="1748" t="str">
        <f>TiposLancamentos!B15</f>
        <v>Cartões de Crédito</v>
      </c>
      <c r="C737" s="1740" t="s">
        <v>1874</v>
      </c>
      <c r="D737" s="1736">
        <v>3471.41</v>
      </c>
      <c r="E737" s="952"/>
      <c r="F737" s="1027">
        <f>F736-F704</f>
        <v>-1806.12</v>
      </c>
      <c r="G737" s="1368" t="s">
        <v>9</v>
      </c>
    </row>
    <row r="738" spans="1:7">
      <c r="A738" s="1815">
        <v>45570</v>
      </c>
      <c r="B738" s="1811" t="str">
        <f>TiposLancamentos!B37</f>
        <v>Playstation 3</v>
      </c>
      <c r="C738" s="1803" t="s">
        <v>12196</v>
      </c>
      <c r="D738" s="1795"/>
      <c r="E738" s="1789">
        <v>79.900000000000006</v>
      </c>
      <c r="F738" s="1785"/>
      <c r="G738" s="1368" t="s">
        <v>9</v>
      </c>
    </row>
    <row r="739" spans="1:7">
      <c r="A739" s="1816">
        <v>45570</v>
      </c>
      <c r="B739" s="1812" t="str">
        <f>TiposLancamentos!B37</f>
        <v>Playstation 3</v>
      </c>
      <c r="C739" s="1804" t="s">
        <v>12197</v>
      </c>
      <c r="D739" s="1796"/>
      <c r="E739" s="1790">
        <v>500</v>
      </c>
      <c r="F739" s="1786">
        <f>SUM(E738:E739)</f>
        <v>579.9</v>
      </c>
      <c r="G739" s="1368" t="s">
        <v>9</v>
      </c>
    </row>
    <row r="740" spans="1:7">
      <c r="A740" s="1754">
        <v>45570</v>
      </c>
      <c r="B740" s="1748" t="str">
        <f>TiposLancamentos!B19</f>
        <v>Restaurantes</v>
      </c>
      <c r="C740" s="1740" t="s">
        <v>3055</v>
      </c>
      <c r="D740" s="1736"/>
      <c r="E740" s="952">
        <v>57</v>
      </c>
      <c r="F740" s="1027"/>
      <c r="G740" s="1368" t="s">
        <v>9</v>
      </c>
    </row>
    <row r="741" spans="1:7">
      <c r="A741" s="1754">
        <v>45570</v>
      </c>
      <c r="B741" s="1748" t="str">
        <f>TiposLancamentos!B19</f>
        <v>Restaurantes</v>
      </c>
      <c r="C741" s="1740" t="s">
        <v>8055</v>
      </c>
      <c r="D741" s="1736"/>
      <c r="E741" s="952">
        <v>48.4</v>
      </c>
      <c r="F741" s="1027"/>
      <c r="G741" s="1368" t="s">
        <v>9</v>
      </c>
    </row>
    <row r="742" spans="1:7" ht="14.25" thickBot="1">
      <c r="A742" s="1754">
        <v>45570</v>
      </c>
      <c r="B742" s="1748" t="str">
        <f>TiposLancamentos!B24</f>
        <v>Estacionamentos</v>
      </c>
      <c r="C742" s="1740" t="s">
        <v>2014</v>
      </c>
      <c r="D742" s="1736"/>
      <c r="E742" s="952">
        <v>20</v>
      </c>
      <c r="F742" s="1027"/>
      <c r="G742" s="1368" t="s">
        <v>9</v>
      </c>
    </row>
    <row r="743" spans="1:7">
      <c r="A743" s="1754"/>
      <c r="B743" s="1748"/>
      <c r="C743" s="1805" t="s">
        <v>1947</v>
      </c>
      <c r="D743" s="1736"/>
      <c r="E743" s="952"/>
      <c r="F743" s="1027"/>
    </row>
    <row r="744" spans="1:7">
      <c r="A744" s="1817">
        <v>45570</v>
      </c>
      <c r="B744" s="1811" t="str">
        <f>TiposLancamentos!B56</f>
        <v>Farmácia</v>
      </c>
      <c r="C744" s="1803" t="s">
        <v>6118</v>
      </c>
      <c r="D744" s="1795"/>
      <c r="E744" s="1789">
        <v>138.53</v>
      </c>
      <c r="F744" s="1785"/>
      <c r="G744" s="1368" t="s">
        <v>9</v>
      </c>
    </row>
    <row r="745" spans="1:7">
      <c r="A745" s="1667">
        <v>45570</v>
      </c>
      <c r="B745" s="1752" t="str">
        <f>TiposLancamentos!B16</f>
        <v>Cristiane</v>
      </c>
      <c r="C745" s="1745" t="s">
        <v>12198</v>
      </c>
      <c r="D745" s="1736"/>
      <c r="E745" s="931">
        <f>6.59+20.04</f>
        <v>26.63</v>
      </c>
      <c r="F745" s="1027"/>
      <c r="G745" s="1368" t="s">
        <v>9</v>
      </c>
    </row>
    <row r="746" spans="1:7">
      <c r="A746" s="1667">
        <v>45570</v>
      </c>
      <c r="B746" s="1752" t="str">
        <f>TiposLancamentos!B56</f>
        <v>Farmácia</v>
      </c>
      <c r="C746" s="1745" t="s">
        <v>12199</v>
      </c>
      <c r="D746" s="1736"/>
      <c r="E746" s="931">
        <v>46.98</v>
      </c>
      <c r="F746" s="1027"/>
      <c r="G746" s="1368" t="s">
        <v>9</v>
      </c>
    </row>
    <row r="747" spans="1:7">
      <c r="A747" s="1816">
        <v>45570</v>
      </c>
      <c r="B747" s="1812" t="str">
        <f>TiposLancamentos!B56</f>
        <v>Farmácia</v>
      </c>
      <c r="C747" s="1804" t="s">
        <v>12200</v>
      </c>
      <c r="D747" s="1796"/>
      <c r="E747" s="1790">
        <v>6.9</v>
      </c>
      <c r="F747" s="1786">
        <v>219.04</v>
      </c>
      <c r="G747" s="1368" t="s">
        <v>9</v>
      </c>
    </row>
    <row r="748" spans="1:7">
      <c r="A748" s="1754"/>
      <c r="B748" s="1748"/>
      <c r="C748" s="1740" t="s">
        <v>12201</v>
      </c>
      <c r="D748" s="1736"/>
      <c r="E748" s="952"/>
      <c r="F748" s="1027"/>
    </row>
    <row r="749" spans="1:7">
      <c r="A749" s="1754">
        <v>45570</v>
      </c>
      <c r="B749" s="1748" t="str">
        <f>TiposLancamentos!B19</f>
        <v>Restaurantes</v>
      </c>
      <c r="C749" s="1740" t="s">
        <v>12202</v>
      </c>
      <c r="D749" s="1736"/>
      <c r="E749" s="952">
        <v>109.3</v>
      </c>
      <c r="F749" s="1027"/>
      <c r="G749" s="1368" t="s">
        <v>9</v>
      </c>
    </row>
    <row r="750" spans="1:7">
      <c r="A750" s="1754">
        <v>45571</v>
      </c>
      <c r="B750" s="1748" t="str">
        <f>TiposLancamentos!B5</f>
        <v>Supermercado</v>
      </c>
      <c r="C750" s="1740" t="s">
        <v>12203</v>
      </c>
      <c r="D750" s="1736"/>
      <c r="E750" s="952">
        <v>117.99</v>
      </c>
      <c r="F750" s="1027"/>
      <c r="G750" s="1368" t="s">
        <v>9</v>
      </c>
    </row>
    <row r="751" spans="1:7">
      <c r="A751" s="1754">
        <v>45571</v>
      </c>
      <c r="B751" s="1748" t="str">
        <f>TiposLancamentos!B17</f>
        <v>GATO</v>
      </c>
      <c r="C751" s="1740" t="s">
        <v>12204</v>
      </c>
      <c r="D751" s="1736"/>
      <c r="E751" s="952">
        <v>119.22</v>
      </c>
      <c r="F751" s="1027"/>
      <c r="G751" s="1368" t="s">
        <v>9</v>
      </c>
    </row>
    <row r="752" spans="1:7">
      <c r="A752" s="1754">
        <v>45571</v>
      </c>
      <c r="B752" s="1748" t="str">
        <f>TiposLancamentos!B17</f>
        <v>GATO</v>
      </c>
      <c r="C752" s="1740" t="s">
        <v>12205</v>
      </c>
      <c r="D752" s="1736"/>
      <c r="E752" s="952">
        <v>41.24</v>
      </c>
      <c r="F752" s="1027"/>
      <c r="G752" s="1368" t="s">
        <v>9</v>
      </c>
    </row>
    <row r="753" spans="1:7">
      <c r="A753" s="1754">
        <v>45573</v>
      </c>
      <c r="B753" s="1748" t="str">
        <f>TiposLancamentos!B5</f>
        <v>Supermercado</v>
      </c>
      <c r="C753" s="1740" t="s">
        <v>12206</v>
      </c>
      <c r="D753" s="1736"/>
      <c r="E753" s="952">
        <v>49.93</v>
      </c>
      <c r="F753" s="1027"/>
      <c r="G753" s="1368" t="s">
        <v>9</v>
      </c>
    </row>
    <row r="754" spans="1:7">
      <c r="A754" s="1754">
        <v>45574</v>
      </c>
      <c r="B754" s="1748" t="str">
        <f>TiposLancamentos!B19</f>
        <v>Restaurantes</v>
      </c>
      <c r="C754" s="1740" t="s">
        <v>12207</v>
      </c>
      <c r="D754" s="1736"/>
      <c r="E754" s="952">
        <v>102.32</v>
      </c>
      <c r="F754" s="1027"/>
      <c r="G754" s="1368" t="s">
        <v>9</v>
      </c>
    </row>
    <row r="755" spans="1:7">
      <c r="A755" s="1754">
        <v>45576</v>
      </c>
      <c r="B755" s="1748" t="str">
        <f>TiposLancamentos!B71</f>
        <v>Itens Pessoais</v>
      </c>
      <c r="C755" s="1740" t="s">
        <v>1964</v>
      </c>
      <c r="D755" s="1736"/>
      <c r="E755" s="952">
        <v>35</v>
      </c>
      <c r="F755" s="1027"/>
      <c r="G755" s="1368" t="s">
        <v>9</v>
      </c>
    </row>
    <row r="756" spans="1:7">
      <c r="A756" s="1754">
        <v>45576</v>
      </c>
      <c r="B756" s="1748" t="str">
        <f>TiposLancamentos!B19</f>
        <v>Restaurantes</v>
      </c>
      <c r="C756" s="1740" t="s">
        <v>12208</v>
      </c>
      <c r="D756" s="1736"/>
      <c r="E756" s="952">
        <v>97.5</v>
      </c>
      <c r="F756" s="1027"/>
      <c r="G756" s="1368" t="s">
        <v>9</v>
      </c>
    </row>
    <row r="757" spans="1:7">
      <c r="A757" s="1754">
        <v>45577</v>
      </c>
      <c r="B757" s="1748" t="str">
        <f>TiposLancamentos!B5</f>
        <v>Supermercado</v>
      </c>
      <c r="C757" s="1740" t="s">
        <v>12209</v>
      </c>
      <c r="D757" s="1736"/>
      <c r="E757" s="952">
        <v>257.12</v>
      </c>
      <c r="F757" s="1027"/>
      <c r="G757" s="1368" t="s">
        <v>9</v>
      </c>
    </row>
    <row r="758" spans="1:7">
      <c r="A758" s="1815">
        <v>45579</v>
      </c>
      <c r="B758" s="1811" t="str">
        <f>TiposLancamentos!B56</f>
        <v>Farmácia</v>
      </c>
      <c r="C758" s="1803" t="s">
        <v>12210</v>
      </c>
      <c r="D758" s="1795"/>
      <c r="E758" s="1789">
        <v>99</v>
      </c>
      <c r="F758" s="1785"/>
      <c r="G758" s="1368" t="s">
        <v>9</v>
      </c>
    </row>
    <row r="759" spans="1:7">
      <c r="A759" s="1667">
        <v>45579</v>
      </c>
      <c r="B759" s="1752" t="str">
        <f>TiposLancamentos!B60</f>
        <v>Correio</v>
      </c>
      <c r="C759" s="1745" t="s">
        <v>12211</v>
      </c>
      <c r="D759" s="1736"/>
      <c r="E759" s="931">
        <v>6.9</v>
      </c>
      <c r="F759" s="1027"/>
      <c r="G759" s="1368" t="s">
        <v>9</v>
      </c>
    </row>
    <row r="760" spans="1:7">
      <c r="A760" s="1816">
        <v>45579</v>
      </c>
      <c r="B760" s="1812" t="str">
        <f>TiposLancamentos!B16</f>
        <v>Cristiane</v>
      </c>
      <c r="C760" s="1804" t="s">
        <v>12212</v>
      </c>
      <c r="D760" s="1796"/>
      <c r="E760" s="1790">
        <f>F760-(E758+E759)</f>
        <v>6.5599999999999881</v>
      </c>
      <c r="F760" s="1786">
        <v>112.46</v>
      </c>
      <c r="G760" s="1368" t="s">
        <v>9</v>
      </c>
    </row>
    <row r="761" spans="1:7">
      <c r="A761" s="1754">
        <v>45579</v>
      </c>
      <c r="B761" s="1748" t="str">
        <f>TiposLancamentos!B19</f>
        <v>Restaurantes</v>
      </c>
      <c r="C761" s="1740" t="s">
        <v>1962</v>
      </c>
      <c r="D761" s="1736"/>
      <c r="E761" s="952">
        <v>48.9</v>
      </c>
      <c r="F761" s="1027"/>
      <c r="G761" s="1368" t="s">
        <v>9</v>
      </c>
    </row>
    <row r="762" spans="1:7">
      <c r="A762" s="1754">
        <v>45579</v>
      </c>
      <c r="B762" s="1748" t="str">
        <f>TiposLancamentos!B5</f>
        <v>Supermercado</v>
      </c>
      <c r="C762" s="1740" t="s">
        <v>12213</v>
      </c>
      <c r="D762" s="1736"/>
      <c r="E762" s="952">
        <v>264.56</v>
      </c>
      <c r="F762" s="1027"/>
      <c r="G762" s="1368" t="s">
        <v>9</v>
      </c>
    </row>
    <row r="763" spans="1:7">
      <c r="A763" s="1754">
        <v>45580</v>
      </c>
      <c r="B763" s="1748" t="str">
        <f>TiposLancamentos!B22</f>
        <v>Combustivel</v>
      </c>
      <c r="C763" s="1740" t="s">
        <v>1880</v>
      </c>
      <c r="D763" s="1736"/>
      <c r="E763" s="952">
        <v>150</v>
      </c>
      <c r="F763" s="1027"/>
      <c r="G763" s="1368" t="s">
        <v>9</v>
      </c>
    </row>
    <row r="764" spans="1:7">
      <c r="A764" s="1754">
        <v>45580</v>
      </c>
      <c r="B764" s="1748" t="str">
        <f>TiposLancamentos!B24</f>
        <v>Estacionamentos</v>
      </c>
      <c r="C764" s="1740" t="s">
        <v>1898</v>
      </c>
      <c r="D764" s="1736"/>
      <c r="E764" s="952">
        <v>20</v>
      </c>
      <c r="F764" s="1027"/>
      <c r="G764" s="1368" t="s">
        <v>9</v>
      </c>
    </row>
    <row r="765" spans="1:7">
      <c r="A765" s="1754">
        <v>45580</v>
      </c>
      <c r="B765" s="1748" t="str">
        <f>TiposLancamentos!B19</f>
        <v>Restaurantes</v>
      </c>
      <c r="C765" s="1740" t="s">
        <v>1967</v>
      </c>
      <c r="D765" s="1736"/>
      <c r="E765" s="952">
        <v>34.1</v>
      </c>
      <c r="F765" s="1027"/>
      <c r="G765" s="1368" t="s">
        <v>9</v>
      </c>
    </row>
    <row r="766" spans="1:7">
      <c r="A766" s="1754">
        <v>45580</v>
      </c>
      <c r="B766" s="1748" t="str">
        <f>TiposLancamentos!B16</f>
        <v>Cristiane</v>
      </c>
      <c r="C766" s="1740" t="s">
        <v>12214</v>
      </c>
      <c r="D766" s="1736"/>
      <c r="E766" s="952">
        <v>77.8</v>
      </c>
      <c r="F766" s="1027"/>
      <c r="G766" s="1368" t="s">
        <v>9</v>
      </c>
    </row>
    <row r="767" spans="1:7">
      <c r="A767" s="1754">
        <v>45582</v>
      </c>
      <c r="B767" s="1748" t="str">
        <f>TiposLancamentos!B16</f>
        <v>Cristiane</v>
      </c>
      <c r="C767" s="1740" t="s">
        <v>9907</v>
      </c>
      <c r="D767" s="1736"/>
      <c r="E767" s="952">
        <v>37.5</v>
      </c>
      <c r="F767" s="1027"/>
      <c r="G767" s="1368" t="s">
        <v>9</v>
      </c>
    </row>
    <row r="768" spans="1:7">
      <c r="A768" s="1754">
        <v>45582</v>
      </c>
      <c r="B768" s="1748" t="str">
        <f>TiposLancamentos!B19</f>
        <v>Restaurantes</v>
      </c>
      <c r="C768" s="1740" t="s">
        <v>12215</v>
      </c>
      <c r="D768" s="1736"/>
      <c r="E768" s="952">
        <v>95</v>
      </c>
      <c r="F768" s="1027"/>
      <c r="G768" s="1368" t="s">
        <v>9</v>
      </c>
    </row>
    <row r="769" spans="1:7">
      <c r="A769" s="1754">
        <v>45582</v>
      </c>
      <c r="B769" s="1748" t="str">
        <f>TiposLancamentos!B16</f>
        <v>Cristiane</v>
      </c>
      <c r="C769" s="1740" t="s">
        <v>2120</v>
      </c>
      <c r="D769" s="1736"/>
      <c r="E769" s="952">
        <v>100</v>
      </c>
      <c r="F769" s="1027"/>
      <c r="G769" s="1368" t="s">
        <v>9</v>
      </c>
    </row>
    <row r="770" spans="1:7">
      <c r="A770" s="1754">
        <v>45583</v>
      </c>
      <c r="B770" s="1748" t="str">
        <f>TiposLancamentos!B16</f>
        <v>Cristiane</v>
      </c>
      <c r="C770" s="1740" t="s">
        <v>12216</v>
      </c>
      <c r="D770" s="1736"/>
      <c r="E770" s="952">
        <v>77.900000000000006</v>
      </c>
      <c r="F770" s="1027"/>
      <c r="G770" s="1368" t="s">
        <v>9</v>
      </c>
    </row>
    <row r="771" spans="1:7">
      <c r="A771" s="1754">
        <v>45583</v>
      </c>
      <c r="B771" s="1748" t="str">
        <f>TiposLancamentos!B16</f>
        <v>Cristiane</v>
      </c>
      <c r="C771" s="1740" t="s">
        <v>12216</v>
      </c>
      <c r="D771" s="1736"/>
      <c r="E771" s="952">
        <v>129.1</v>
      </c>
      <c r="F771" s="1027"/>
      <c r="G771" s="1368" t="s">
        <v>9</v>
      </c>
    </row>
    <row r="772" spans="1:7">
      <c r="A772" s="1754">
        <v>45584</v>
      </c>
      <c r="B772" s="1748" t="str">
        <f>TiposLancamentos!B19</f>
        <v>Restaurantes</v>
      </c>
      <c r="C772" s="1740" t="s">
        <v>12217</v>
      </c>
      <c r="D772" s="1736"/>
      <c r="E772" s="952">
        <v>91.8</v>
      </c>
      <c r="F772" s="1027"/>
      <c r="G772" s="1368" t="s">
        <v>9</v>
      </c>
    </row>
    <row r="773" spans="1:7">
      <c r="A773" s="1754">
        <v>45584</v>
      </c>
      <c r="B773" s="1748" t="str">
        <f>TiposLancamentos!B19</f>
        <v>Restaurantes</v>
      </c>
      <c r="C773" s="1740" t="s">
        <v>12218</v>
      </c>
      <c r="D773" s="1736"/>
      <c r="E773" s="952">
        <v>54</v>
      </c>
      <c r="F773" s="1027"/>
      <c r="G773" s="1368" t="s">
        <v>9</v>
      </c>
    </row>
    <row r="774" spans="1:7">
      <c r="A774" s="1754">
        <v>45584</v>
      </c>
      <c r="B774" s="1748" t="str">
        <f>TiposLancamentos!B24</f>
        <v>Estacionamentos</v>
      </c>
      <c r="C774" s="1740" t="s">
        <v>2014</v>
      </c>
      <c r="D774" s="1736"/>
      <c r="E774" s="952">
        <v>15</v>
      </c>
      <c r="F774" s="1027"/>
      <c r="G774" s="1368" t="s">
        <v>9</v>
      </c>
    </row>
    <row r="775" spans="1:7">
      <c r="A775" s="1754">
        <v>45584</v>
      </c>
      <c r="B775" s="1748" t="str">
        <f>TiposLancamentos!B19</f>
        <v>Restaurantes</v>
      </c>
      <c r="C775" s="1740" t="s">
        <v>12219</v>
      </c>
      <c r="D775" s="1736"/>
      <c r="E775" s="952">
        <v>97.5</v>
      </c>
      <c r="F775" s="1027"/>
      <c r="G775" s="1368" t="s">
        <v>9</v>
      </c>
    </row>
    <row r="776" spans="1:7">
      <c r="A776" s="1756"/>
      <c r="B776" s="1749"/>
      <c r="C776" s="1741" t="s">
        <v>10</v>
      </c>
      <c r="D776" s="1690"/>
      <c r="E776" s="1231"/>
      <c r="F776" s="1231"/>
      <c r="G776" s="1094" t="s">
        <v>11</v>
      </c>
    </row>
    <row r="777" spans="1:7">
      <c r="A777" s="1754"/>
      <c r="B777" s="1748"/>
      <c r="C777" s="1740" t="s">
        <v>1868</v>
      </c>
      <c r="D777" s="1736"/>
      <c r="E777" s="952"/>
      <c r="F777" s="1027"/>
    </row>
    <row r="778" spans="1:7">
      <c r="A778" s="1754">
        <v>45589</v>
      </c>
      <c r="B778" s="1748" t="str">
        <f>TiposLancamentos!B16</f>
        <v>Cristiane</v>
      </c>
      <c r="C778" s="1740" t="s">
        <v>12220</v>
      </c>
      <c r="D778" s="1736"/>
      <c r="E778" s="952">
        <v>201.34</v>
      </c>
      <c r="F778" s="1027"/>
      <c r="G778" s="1368" t="s">
        <v>9</v>
      </c>
    </row>
    <row r="779" spans="1:7">
      <c r="A779" s="1754">
        <v>45589</v>
      </c>
      <c r="B779" s="1748" t="str">
        <f>TiposLancamentos!B17</f>
        <v>GATO</v>
      </c>
      <c r="C779" s="1740" t="s">
        <v>12221</v>
      </c>
      <c r="D779" s="1736"/>
      <c r="E779" s="952">
        <v>22.35</v>
      </c>
      <c r="F779" s="1027"/>
      <c r="G779" s="1368" t="s">
        <v>9</v>
      </c>
    </row>
    <row r="780" spans="1:7">
      <c r="A780" s="1754">
        <v>45589</v>
      </c>
      <c r="B780" s="1748" t="str">
        <f>TiposLancamentos!B19</f>
        <v>Restaurantes</v>
      </c>
      <c r="C780" s="1740" t="s">
        <v>12170</v>
      </c>
      <c r="D780" s="1736"/>
      <c r="E780" s="952">
        <v>89.9</v>
      </c>
      <c r="F780" s="1027"/>
      <c r="G780" s="1368" t="s">
        <v>9</v>
      </c>
    </row>
    <row r="781" spans="1:7">
      <c r="A781" s="1754">
        <v>45591</v>
      </c>
      <c r="B781" s="1748" t="str">
        <f>TiposLancamentos!B19</f>
        <v>Restaurantes</v>
      </c>
      <c r="C781" s="1740" t="s">
        <v>8332</v>
      </c>
      <c r="D781" s="1736"/>
      <c r="E781" s="952">
        <v>95.5</v>
      </c>
      <c r="F781" s="1027"/>
      <c r="G781" s="1368" t="s">
        <v>9</v>
      </c>
    </row>
    <row r="782" spans="1:7">
      <c r="A782" s="1754">
        <v>45592</v>
      </c>
      <c r="B782" s="1748" t="str">
        <f>TiposLancamentos!B5</f>
        <v>Supermercado</v>
      </c>
      <c r="C782" s="1740" t="s">
        <v>8177</v>
      </c>
      <c r="D782" s="1736"/>
      <c r="E782" s="952">
        <v>141.24</v>
      </c>
      <c r="F782" s="1027"/>
      <c r="G782" s="1368" t="s">
        <v>9</v>
      </c>
    </row>
    <row r="783" spans="1:7">
      <c r="A783" s="1754">
        <v>45592</v>
      </c>
      <c r="B783" s="1748" t="str">
        <f>TiposLancamentos!B19</f>
        <v>Restaurantes</v>
      </c>
      <c r="C783" s="1740" t="s">
        <v>12222</v>
      </c>
      <c r="D783" s="1736"/>
      <c r="E783" s="952">
        <v>79.42</v>
      </c>
      <c r="F783" s="1027"/>
      <c r="G783" s="1368" t="s">
        <v>9</v>
      </c>
    </row>
    <row r="784" spans="1:7">
      <c r="A784" s="1754">
        <v>45593</v>
      </c>
      <c r="B784" s="1748" t="str">
        <f>TiposLancamentos!B16</f>
        <v>Cristiane</v>
      </c>
      <c r="C784" s="1740" t="s">
        <v>2155</v>
      </c>
      <c r="D784" s="1736"/>
      <c r="E784" s="952">
        <v>23.96</v>
      </c>
      <c r="F784" s="1027"/>
      <c r="G784" s="1368" t="s">
        <v>9</v>
      </c>
    </row>
    <row r="785" spans="1:7">
      <c r="A785" s="1754">
        <v>45594</v>
      </c>
      <c r="B785" s="1748" t="str">
        <f>TiposLancamentos!B24</f>
        <v>Estacionamentos</v>
      </c>
      <c r="C785" s="1740" t="s">
        <v>1898</v>
      </c>
      <c r="D785" s="1736"/>
      <c r="E785" s="952">
        <v>20</v>
      </c>
      <c r="F785" s="1027"/>
      <c r="G785" s="1368" t="s">
        <v>9</v>
      </c>
    </row>
    <row r="786" spans="1:7">
      <c r="A786" s="1754">
        <v>45595</v>
      </c>
      <c r="B786" s="1748" t="str">
        <f>TiposLancamentos!B16</f>
        <v>Cristiane</v>
      </c>
      <c r="C786" s="1740" t="s">
        <v>2238</v>
      </c>
      <c r="D786" s="1736"/>
      <c r="E786" s="952">
        <v>43.8</v>
      </c>
      <c r="F786" s="1027">
        <v>43.8</v>
      </c>
      <c r="G786" s="1368" t="s">
        <v>9</v>
      </c>
    </row>
    <row r="787" spans="1:7">
      <c r="A787" s="1754">
        <v>45595</v>
      </c>
      <c r="B787" s="1748" t="str">
        <f>TiposLancamentos!B5</f>
        <v>Supermercado</v>
      </c>
      <c r="C787" s="1740" t="s">
        <v>12223</v>
      </c>
      <c r="D787" s="1736"/>
      <c r="E787" s="952">
        <v>7.99</v>
      </c>
      <c r="F787" s="1027"/>
      <c r="G787" s="1368" t="s">
        <v>9</v>
      </c>
    </row>
    <row r="788" spans="1:7" ht="14.25" thickBot="1">
      <c r="A788" s="1754">
        <v>45596</v>
      </c>
      <c r="B788" s="1748" t="str">
        <f>TiposLancamentos!B19</f>
        <v>Restaurantes</v>
      </c>
      <c r="C788" s="1740" t="s">
        <v>9845</v>
      </c>
      <c r="D788" s="1736"/>
      <c r="E788" s="952">
        <v>60</v>
      </c>
      <c r="F788" s="1027"/>
      <c r="G788" s="1368" t="s">
        <v>9</v>
      </c>
    </row>
    <row r="789" spans="1:7">
      <c r="A789" s="1814"/>
      <c r="B789" s="1809"/>
      <c r="C789" s="1801" t="s">
        <v>1640</v>
      </c>
      <c r="D789" s="1794"/>
      <c r="E789" s="1788"/>
      <c r="F789" s="1078">
        <f>SUM(E733:E775)</f>
        <v>3338.51</v>
      </c>
    </row>
    <row r="790" spans="1:7">
      <c r="A790" s="1754">
        <v>45597</v>
      </c>
      <c r="B790" s="1748" t="str">
        <f>Amazon_Master!B372</f>
        <v>Cartões de Crédito</v>
      </c>
      <c r="C790" s="1740" t="s">
        <v>1874</v>
      </c>
      <c r="D790" s="1736">
        <v>3338.51</v>
      </c>
      <c r="E790" s="952"/>
      <c r="F790" s="1027">
        <f>F789-F736</f>
        <v>-132.90000000000055</v>
      </c>
      <c r="G790" s="1094" t="s">
        <v>11</v>
      </c>
    </row>
    <row r="791" spans="1:7">
      <c r="A791" s="1754">
        <v>45597</v>
      </c>
      <c r="B791" s="1748" t="str">
        <f>TiposLancamentos!B19</f>
        <v>Restaurantes</v>
      </c>
      <c r="C791" s="1740" t="s">
        <v>12224</v>
      </c>
      <c r="D791" s="1736"/>
      <c r="E791" s="952">
        <v>38.11</v>
      </c>
      <c r="F791" s="1027"/>
      <c r="G791" s="1368" t="s">
        <v>9</v>
      </c>
    </row>
    <row r="792" spans="1:7">
      <c r="A792" s="1754">
        <v>45597</v>
      </c>
      <c r="B792" s="1748" t="str">
        <f>TiposLancamentos!B19</f>
        <v>Restaurantes</v>
      </c>
      <c r="C792" s="1740" t="s">
        <v>9470</v>
      </c>
      <c r="D792" s="1736"/>
      <c r="E792" s="952">
        <v>95.5</v>
      </c>
      <c r="F792" s="1027"/>
      <c r="G792" s="1368" t="s">
        <v>9</v>
      </c>
    </row>
    <row r="793" spans="1:7">
      <c r="A793" s="1754">
        <v>45598</v>
      </c>
      <c r="B793" s="1748" t="str">
        <f>TiposLancamentos!B16</f>
        <v>Cristiane</v>
      </c>
      <c r="C793" s="1740" t="s">
        <v>12225</v>
      </c>
      <c r="D793" s="1736"/>
      <c r="E793" s="952">
        <v>10.64</v>
      </c>
      <c r="F793" s="1027"/>
      <c r="G793" s="1368" t="s">
        <v>9</v>
      </c>
    </row>
    <row r="794" spans="1:7">
      <c r="A794" s="1754">
        <v>45598</v>
      </c>
      <c r="B794" s="1748" t="str">
        <f>TiposLancamentos!B19</f>
        <v>Restaurantes</v>
      </c>
      <c r="C794" s="1740" t="s">
        <v>12226</v>
      </c>
      <c r="D794" s="1736"/>
      <c r="E794" s="952">
        <v>30</v>
      </c>
      <c r="F794" s="1027"/>
      <c r="G794" s="1368" t="s">
        <v>9</v>
      </c>
    </row>
    <row r="795" spans="1:7">
      <c r="A795" s="1754">
        <v>45598</v>
      </c>
      <c r="B795" s="1748" t="str">
        <f>TiposLancamentos!B36</f>
        <v>Playstation 2</v>
      </c>
      <c r="C795" s="1740" t="s">
        <v>12227</v>
      </c>
      <c r="D795" s="1736"/>
      <c r="E795" s="952">
        <f>F795/3</f>
        <v>245</v>
      </c>
      <c r="F795" s="1027">
        <v>735</v>
      </c>
      <c r="G795" s="1368" t="s">
        <v>9</v>
      </c>
    </row>
    <row r="796" spans="1:7">
      <c r="A796" s="1754">
        <v>45598</v>
      </c>
      <c r="B796" s="1748" t="str">
        <f>TiposLancamentos!B5</f>
        <v>Supermercado</v>
      </c>
      <c r="C796" s="1740" t="s">
        <v>12228</v>
      </c>
      <c r="D796" s="1736"/>
      <c r="E796" s="952">
        <v>111.95</v>
      </c>
      <c r="F796" s="1027"/>
      <c r="G796" s="1368" t="s">
        <v>9</v>
      </c>
    </row>
    <row r="797" spans="1:7">
      <c r="A797" s="1754">
        <v>45599</v>
      </c>
      <c r="B797" s="1748" t="str">
        <f>TiposLancamentos!B5</f>
        <v>Supermercado</v>
      </c>
      <c r="C797" s="1740" t="s">
        <v>2097</v>
      </c>
      <c r="D797" s="1736"/>
      <c r="E797" s="952">
        <v>167.84</v>
      </c>
      <c r="F797" s="1027"/>
      <c r="G797" s="1368" t="s">
        <v>9</v>
      </c>
    </row>
    <row r="798" spans="1:7">
      <c r="A798" s="1754">
        <v>45599</v>
      </c>
      <c r="B798" s="1748" t="str">
        <f>TiposLancamentos!B5</f>
        <v>Supermercado</v>
      </c>
      <c r="C798" s="1740" t="s">
        <v>2097</v>
      </c>
      <c r="D798" s="1736"/>
      <c r="E798" s="952">
        <v>59.98</v>
      </c>
      <c r="F798" s="1027"/>
      <c r="G798" s="1368" t="s">
        <v>9</v>
      </c>
    </row>
    <row r="799" spans="1:7">
      <c r="A799" s="1754">
        <v>45599</v>
      </c>
      <c r="B799" s="1748" t="str">
        <f>TiposLancamentos!B5</f>
        <v>Supermercado</v>
      </c>
      <c r="C799" s="1740" t="s">
        <v>1884</v>
      </c>
      <c r="D799" s="1736"/>
      <c r="E799" s="952">
        <v>15.69</v>
      </c>
      <c r="F799" s="1027"/>
      <c r="G799" s="1368" t="s">
        <v>9</v>
      </c>
    </row>
    <row r="800" spans="1:7">
      <c r="A800" s="1754">
        <f>A801</f>
        <v>45602</v>
      </c>
      <c r="B800" s="1748" t="str">
        <f>TiposLancamentos!B22</f>
        <v>Combustivel</v>
      </c>
      <c r="C800" s="1740" t="s">
        <v>12229</v>
      </c>
      <c r="D800" s="1736"/>
      <c r="E800" s="952">
        <v>100</v>
      </c>
      <c r="F800" s="1027"/>
      <c r="G800" s="1368" t="s">
        <v>9</v>
      </c>
    </row>
    <row r="801" spans="1:7">
      <c r="A801" s="1754">
        <v>45602</v>
      </c>
      <c r="B801" s="1748" t="str">
        <f>TiposLancamentos!B19</f>
        <v>Restaurantes</v>
      </c>
      <c r="C801" s="1740" t="s">
        <v>12230</v>
      </c>
      <c r="D801" s="1736"/>
      <c r="E801" s="952">
        <v>60</v>
      </c>
      <c r="F801" s="1027"/>
      <c r="G801" s="1368" t="s">
        <v>9</v>
      </c>
    </row>
    <row r="802" spans="1:7">
      <c r="A802" s="1754">
        <v>45603</v>
      </c>
      <c r="B802" s="1748" t="str">
        <f>TiposLancamentos!B17</f>
        <v>GATO</v>
      </c>
      <c r="C802" s="1740" t="s">
        <v>12231</v>
      </c>
      <c r="D802" s="1736"/>
      <c r="E802" s="952">
        <v>212.1</v>
      </c>
      <c r="F802" s="1027"/>
      <c r="G802" s="1368" t="s">
        <v>9</v>
      </c>
    </row>
    <row r="803" spans="1:7">
      <c r="A803" s="1754">
        <v>45605</v>
      </c>
      <c r="B803" s="1748" t="str">
        <f>TiposLancamentos!B19</f>
        <v>Restaurantes</v>
      </c>
      <c r="C803" s="1740" t="s">
        <v>9473</v>
      </c>
      <c r="D803" s="1736"/>
      <c r="E803" s="952">
        <v>214.07</v>
      </c>
      <c r="F803" s="1027"/>
      <c r="G803" s="1368" t="s">
        <v>9</v>
      </c>
    </row>
    <row r="804" spans="1:7">
      <c r="A804" s="1754">
        <v>45605</v>
      </c>
      <c r="B804" s="1748" t="str">
        <f>TiposLancamentos!B5</f>
        <v>Supermercado</v>
      </c>
      <c r="C804" s="1740" t="s">
        <v>12232</v>
      </c>
      <c r="D804" s="1736"/>
      <c r="E804" s="952">
        <v>63</v>
      </c>
      <c r="F804" s="1027"/>
      <c r="G804" s="1368" t="s">
        <v>9</v>
      </c>
    </row>
    <row r="805" spans="1:7">
      <c r="A805" s="1754">
        <v>45606</v>
      </c>
      <c r="B805" s="1748" t="str">
        <f>TiposLancamentos!B72</f>
        <v>Presentes</v>
      </c>
      <c r="C805" s="1740" t="s">
        <v>12233</v>
      </c>
      <c r="D805" s="1736"/>
      <c r="E805" s="952">
        <v>114.26</v>
      </c>
      <c r="F805" s="1027"/>
      <c r="G805" s="1368" t="s">
        <v>9</v>
      </c>
    </row>
    <row r="806" spans="1:7">
      <c r="A806" s="1754">
        <v>45606</v>
      </c>
      <c r="B806" s="1748" t="str">
        <f>TiposLancamentos!B19</f>
        <v>Restaurantes</v>
      </c>
      <c r="C806" s="1740" t="s">
        <v>12234</v>
      </c>
      <c r="D806" s="1736"/>
      <c r="E806" s="952">
        <v>97.5</v>
      </c>
      <c r="F806" s="1027"/>
      <c r="G806" s="1368" t="s">
        <v>9</v>
      </c>
    </row>
    <row r="807" spans="1:7">
      <c r="A807" s="1754">
        <v>45607</v>
      </c>
      <c r="B807" s="1748" t="str">
        <f>TiposLancamentos!B19</f>
        <v>Restaurantes</v>
      </c>
      <c r="C807" s="1740" t="s">
        <v>10370</v>
      </c>
      <c r="D807" s="1736"/>
      <c r="E807" s="952">
        <v>79.790000000000006</v>
      </c>
      <c r="F807" s="1027"/>
      <c r="G807" s="1368" t="s">
        <v>9</v>
      </c>
    </row>
    <row r="808" spans="1:7">
      <c r="A808" s="1754">
        <v>45608</v>
      </c>
      <c r="B808" s="1748" t="str">
        <f>TiposLancamentos!B71</f>
        <v>Itens Pessoais</v>
      </c>
      <c r="C808" s="1740" t="s">
        <v>1964</v>
      </c>
      <c r="D808" s="1736"/>
      <c r="E808" s="952">
        <v>40</v>
      </c>
      <c r="F808" s="1027"/>
      <c r="G808" s="1368" t="s">
        <v>9</v>
      </c>
    </row>
    <row r="809" spans="1:7">
      <c r="A809" s="1754">
        <v>45608</v>
      </c>
      <c r="B809" s="1748" t="str">
        <f>TiposLancamentos!B16</f>
        <v>Cristiane</v>
      </c>
      <c r="C809" s="1740" t="s">
        <v>12235</v>
      </c>
      <c r="D809" s="1736"/>
      <c r="E809" s="952">
        <v>36.590000000000003</v>
      </c>
      <c r="F809" s="1027"/>
      <c r="G809" s="1368" t="s">
        <v>9</v>
      </c>
    </row>
    <row r="810" spans="1:7">
      <c r="A810" s="1754">
        <v>45608</v>
      </c>
      <c r="B810" s="1748" t="str">
        <f>TiposLancamentos!B24</f>
        <v>Estacionamentos</v>
      </c>
      <c r="C810" s="1740" t="s">
        <v>1898</v>
      </c>
      <c r="D810" s="1736"/>
      <c r="E810" s="952">
        <v>20</v>
      </c>
      <c r="F810" s="1027"/>
      <c r="G810" s="1368" t="s">
        <v>9</v>
      </c>
    </row>
    <row r="811" spans="1:7">
      <c r="A811" s="1754">
        <v>45608</v>
      </c>
      <c r="B811" s="1748" t="str">
        <f>TiposLancamentos!B19</f>
        <v>Restaurantes</v>
      </c>
      <c r="C811" s="1740" t="s">
        <v>1967</v>
      </c>
      <c r="D811" s="1736"/>
      <c r="E811" s="952">
        <v>36.799999999999997</v>
      </c>
      <c r="F811" s="1027"/>
      <c r="G811" s="1368" t="s">
        <v>9</v>
      </c>
    </row>
    <row r="812" spans="1:7">
      <c r="A812" s="1818">
        <v>45609</v>
      </c>
      <c r="B812" s="1813" t="str">
        <f>TiposLancamentos!B16</f>
        <v>Cristiane</v>
      </c>
      <c r="C812" s="1806" t="s">
        <v>2238</v>
      </c>
      <c r="D812" s="1797"/>
      <c r="E812" s="1791">
        <v>31</v>
      </c>
      <c r="F812" s="1787"/>
      <c r="G812" s="1368" t="s">
        <v>9</v>
      </c>
    </row>
    <row r="813" spans="1:7">
      <c r="A813" s="1754">
        <v>45610</v>
      </c>
      <c r="B813" s="1748" t="str">
        <f>TiposLancamentos!B45</f>
        <v>Online Services</v>
      </c>
      <c r="C813" s="1740" t="s">
        <v>12236</v>
      </c>
      <c r="D813" s="1736"/>
      <c r="E813" s="952">
        <v>4.95</v>
      </c>
      <c r="F813" s="1027"/>
      <c r="G813" s="1368" t="s">
        <v>9</v>
      </c>
    </row>
    <row r="814" spans="1:7">
      <c r="A814" s="1754">
        <v>45610</v>
      </c>
      <c r="B814" s="1748" t="str">
        <f>TiposLancamentos!B56</f>
        <v>Farmácia</v>
      </c>
      <c r="C814" s="1740" t="s">
        <v>12237</v>
      </c>
      <c r="D814" s="1736"/>
      <c r="E814" s="952">
        <v>42.56</v>
      </c>
      <c r="F814" s="1027"/>
      <c r="G814" s="1368" t="s">
        <v>9</v>
      </c>
    </row>
    <row r="815" spans="1:7">
      <c r="A815" s="1754">
        <v>45610</v>
      </c>
      <c r="B815" s="1748" t="str">
        <f>TiposLancamentos!B5</f>
        <v>Supermercado</v>
      </c>
      <c r="C815" s="1740" t="s">
        <v>12238</v>
      </c>
      <c r="D815" s="1736"/>
      <c r="E815" s="952">
        <v>154.86000000000001</v>
      </c>
      <c r="F815" s="1027"/>
      <c r="G815" s="1368" t="s">
        <v>9</v>
      </c>
    </row>
    <row r="816" spans="1:7">
      <c r="A816" s="1754">
        <v>45610</v>
      </c>
      <c r="B816" s="1748" t="str">
        <f>TiposLancamentos!B19</f>
        <v>Restaurantes</v>
      </c>
      <c r="C816" s="1740" t="s">
        <v>12239</v>
      </c>
      <c r="D816" s="1736"/>
      <c r="E816" s="952">
        <v>71</v>
      </c>
      <c r="F816" s="1027"/>
      <c r="G816" s="1368" t="s">
        <v>9</v>
      </c>
    </row>
    <row r="817" spans="1:7">
      <c r="A817" s="1818">
        <v>45611</v>
      </c>
      <c r="B817" s="1813" t="str">
        <f>TiposLancamentos!B16</f>
        <v>Cristiane</v>
      </c>
      <c r="C817" s="1806" t="s">
        <v>12240</v>
      </c>
      <c r="D817" s="1797"/>
      <c r="E817" s="1791">
        <v>127.98</v>
      </c>
      <c r="F817" s="1787"/>
      <c r="G817" s="1368" t="s">
        <v>9</v>
      </c>
    </row>
    <row r="818" spans="1:7">
      <c r="A818" s="1754">
        <v>45612</v>
      </c>
      <c r="B818" s="1748" t="str">
        <f>TiposLancamentos!B19</f>
        <v>Restaurantes</v>
      </c>
      <c r="C818" s="1740" t="s">
        <v>12241</v>
      </c>
      <c r="D818" s="1736"/>
      <c r="E818" s="952">
        <v>133.5</v>
      </c>
      <c r="F818" s="1027"/>
      <c r="G818" s="1368" t="s">
        <v>9</v>
      </c>
    </row>
    <row r="819" spans="1:7">
      <c r="A819" s="1754">
        <v>45613</v>
      </c>
      <c r="B819" s="1748" t="str">
        <f>TiposLancamentos!B5</f>
        <v>Supermercado</v>
      </c>
      <c r="C819" s="1740" t="s">
        <v>12242</v>
      </c>
      <c r="D819" s="1736"/>
      <c r="E819" s="952">
        <v>77.92</v>
      </c>
      <c r="F819" s="1027"/>
      <c r="G819" s="1368" t="s">
        <v>9</v>
      </c>
    </row>
    <row r="820" spans="1:7">
      <c r="A820" s="1754">
        <v>45615</v>
      </c>
      <c r="B820" s="1748" t="str">
        <f>TiposLancamentos!B22</f>
        <v>Combustivel</v>
      </c>
      <c r="C820" s="1740" t="s">
        <v>12243</v>
      </c>
      <c r="D820" s="1736"/>
      <c r="E820" s="952">
        <v>100</v>
      </c>
      <c r="F820" s="1027"/>
      <c r="G820" s="1368" t="s">
        <v>9</v>
      </c>
    </row>
    <row r="821" spans="1:7">
      <c r="A821" s="1754">
        <v>45615</v>
      </c>
      <c r="B821" s="1748" t="str">
        <f>TiposLancamentos!B19</f>
        <v>Restaurantes</v>
      </c>
      <c r="C821" s="1740" t="s">
        <v>12244</v>
      </c>
      <c r="D821" s="1736"/>
      <c r="E821" s="952">
        <v>71</v>
      </c>
      <c r="F821" s="1027"/>
      <c r="G821" s="1368" t="s">
        <v>9</v>
      </c>
    </row>
    <row r="822" spans="1:7">
      <c r="A822" s="1756"/>
      <c r="B822" s="1749"/>
      <c r="C822" s="1741" t="s">
        <v>10</v>
      </c>
      <c r="D822" s="1690"/>
      <c r="E822" s="1231"/>
      <c r="F822" s="1231"/>
      <c r="G822" s="1094" t="s">
        <v>11</v>
      </c>
    </row>
    <row r="823" spans="1:7">
      <c r="A823" s="1754">
        <v>45618</v>
      </c>
      <c r="B823" s="1748" t="str">
        <f>TiposLancamentos!B17</f>
        <v>GATO</v>
      </c>
      <c r="C823" s="1740" t="s">
        <v>12245</v>
      </c>
      <c r="D823" s="1736"/>
      <c r="E823" s="952">
        <v>27.98</v>
      </c>
      <c r="F823" s="1027"/>
      <c r="G823" s="1368" t="s">
        <v>9</v>
      </c>
    </row>
    <row r="824" spans="1:7">
      <c r="A824" s="1815">
        <v>45618</v>
      </c>
      <c r="B824" s="1811" t="str">
        <f>TiposLancamentos!B38</f>
        <v>Playstation 4</v>
      </c>
      <c r="C824" s="1803" t="s">
        <v>12246</v>
      </c>
      <c r="D824" s="1795"/>
      <c r="E824" s="1789">
        <v>59.96</v>
      </c>
      <c r="F824" s="1785"/>
      <c r="G824" s="1368" t="s">
        <v>9</v>
      </c>
    </row>
    <row r="825" spans="1:7">
      <c r="A825" s="1816">
        <v>45618</v>
      </c>
      <c r="B825" s="1812" t="str">
        <f>TiposLancamentos!B4</f>
        <v>Taxas Bancarias</v>
      </c>
      <c r="C825" s="1804" t="s">
        <v>12247</v>
      </c>
      <c r="D825" s="1796"/>
      <c r="E825" s="1790">
        <f>F825-E824</f>
        <v>0.22999999999999687</v>
      </c>
      <c r="F825" s="1786">
        <v>60.19</v>
      </c>
      <c r="G825" s="1368" t="s">
        <v>9</v>
      </c>
    </row>
    <row r="826" spans="1:7">
      <c r="A826" s="1754">
        <v>45618</v>
      </c>
      <c r="B826" s="1748" t="str">
        <f>TiposLancamentos!B19</f>
        <v>Restaurantes</v>
      </c>
      <c r="C826" s="1740" t="s">
        <v>9109</v>
      </c>
      <c r="D826" s="1736"/>
      <c r="E826" s="952">
        <v>98.05</v>
      </c>
      <c r="F826" s="1027"/>
      <c r="G826" s="1368" t="s">
        <v>9</v>
      </c>
    </row>
    <row r="827" spans="1:7">
      <c r="A827" s="1754">
        <v>45618</v>
      </c>
      <c r="B827" s="1748" t="str">
        <f>TiposLancamentos!B5</f>
        <v>Supermercado</v>
      </c>
      <c r="C827" s="1740" t="s">
        <v>10550</v>
      </c>
      <c r="D827" s="1736"/>
      <c r="E827" s="952">
        <v>15.98</v>
      </c>
      <c r="F827" s="1027"/>
      <c r="G827" s="1368" t="s">
        <v>9</v>
      </c>
    </row>
    <row r="828" spans="1:7">
      <c r="A828" s="1818">
        <v>45619</v>
      </c>
      <c r="B828" s="1813" t="str">
        <f>TiposLancamentos!B16</f>
        <v>Cristiane</v>
      </c>
      <c r="C828" s="1806" t="s">
        <v>12248</v>
      </c>
      <c r="D828" s="1797"/>
      <c r="E828" s="1791">
        <v>244.79</v>
      </c>
      <c r="F828" s="1787"/>
      <c r="G828" s="1368" t="s">
        <v>9</v>
      </c>
    </row>
    <row r="829" spans="1:7">
      <c r="A829" s="1818">
        <v>45619</v>
      </c>
      <c r="B829" s="1813" t="str">
        <f>TiposLancamentos!B13</f>
        <v>Moradia</v>
      </c>
      <c r="C829" s="1806" t="s">
        <v>12249</v>
      </c>
      <c r="D829" s="1797"/>
      <c r="E829" s="1791">
        <v>206.09</v>
      </c>
      <c r="F829" s="1787"/>
      <c r="G829" s="1368" t="s">
        <v>9</v>
      </c>
    </row>
    <row r="830" spans="1:7">
      <c r="A830" s="1754">
        <v>45619</v>
      </c>
      <c r="B830" s="1748" t="str">
        <f>TiposLancamentos!B13</f>
        <v>Moradia</v>
      </c>
      <c r="C830" s="1740" t="s">
        <v>12250</v>
      </c>
      <c r="D830" s="1736"/>
      <c r="E830" s="952">
        <v>39.799999999999997</v>
      </c>
      <c r="F830" s="1027"/>
      <c r="G830" s="1368" t="s">
        <v>9</v>
      </c>
    </row>
    <row r="831" spans="1:7">
      <c r="A831" s="1815">
        <v>45619</v>
      </c>
      <c r="B831" s="1811" t="str">
        <f>TiposLancamentos!B13</f>
        <v>Moradia</v>
      </c>
      <c r="C831" s="1803" t="s">
        <v>12251</v>
      </c>
      <c r="D831" s="1795"/>
      <c r="E831" s="1789">
        <v>27.55</v>
      </c>
      <c r="F831" s="1785"/>
      <c r="G831" s="1368" t="s">
        <v>9</v>
      </c>
    </row>
    <row r="832" spans="1:7">
      <c r="A832" s="1816">
        <v>45619</v>
      </c>
      <c r="B832" s="1812" t="str">
        <f>TiposLancamentos!B60</f>
        <v>Correio</v>
      </c>
      <c r="C832" s="1804" t="s">
        <v>12252</v>
      </c>
      <c r="D832" s="1796"/>
      <c r="E832" s="1790">
        <v>15.9</v>
      </c>
      <c r="F832" s="1786">
        <f>SUM(E831:E832)</f>
        <v>43.45</v>
      </c>
      <c r="G832" s="1368" t="s">
        <v>9</v>
      </c>
    </row>
    <row r="833" spans="1:7">
      <c r="A833" s="1754">
        <v>45619</v>
      </c>
      <c r="B833" s="1748" t="str">
        <f>TiposLancamentos!B19</f>
        <v>Restaurantes</v>
      </c>
      <c r="C833" s="1740" t="s">
        <v>12253</v>
      </c>
      <c r="D833" s="1736"/>
      <c r="E833" s="952">
        <v>70</v>
      </c>
      <c r="F833" s="1027"/>
      <c r="G833" s="1368" t="s">
        <v>9</v>
      </c>
    </row>
    <row r="834" spans="1:7">
      <c r="A834" s="1754">
        <v>45620</v>
      </c>
      <c r="B834" s="1748" t="str">
        <f>TiposLancamentos!B5</f>
        <v>Supermercado</v>
      </c>
      <c r="C834" s="1740" t="s">
        <v>12254</v>
      </c>
      <c r="D834" s="1736"/>
      <c r="E834" s="952">
        <v>112.13</v>
      </c>
      <c r="F834" s="1027"/>
      <c r="G834" s="1368" t="s">
        <v>9</v>
      </c>
    </row>
    <row r="835" spans="1:7">
      <c r="A835" s="1754">
        <v>45621</v>
      </c>
      <c r="B835" s="1748" t="str">
        <f>TiposLancamentos!B5</f>
        <v>Supermercado</v>
      </c>
      <c r="C835" s="1740" t="s">
        <v>12254</v>
      </c>
      <c r="D835" s="1736"/>
      <c r="E835" s="952">
        <v>59.66</v>
      </c>
      <c r="F835" s="1027"/>
      <c r="G835" s="1368" t="s">
        <v>9</v>
      </c>
    </row>
    <row r="836" spans="1:7">
      <c r="A836" s="1754">
        <v>45622</v>
      </c>
      <c r="B836" s="1748" t="str">
        <f>TiposLancamentos!B56</f>
        <v>Farmácia</v>
      </c>
      <c r="C836" s="1740" t="s">
        <v>12255</v>
      </c>
      <c r="D836" s="1736"/>
      <c r="E836" s="952">
        <v>132.22999999999999</v>
      </c>
      <c r="F836" s="1027"/>
      <c r="G836" s="1368" t="s">
        <v>9</v>
      </c>
    </row>
    <row r="837" spans="1:7">
      <c r="A837" s="1815">
        <v>45622</v>
      </c>
      <c r="B837" s="1811" t="str">
        <f>TiposLancamentos!B56</f>
        <v>Farmácia</v>
      </c>
      <c r="C837" s="1803" t="s">
        <v>12256</v>
      </c>
      <c r="D837" s="1795"/>
      <c r="E837" s="1789">
        <v>41.3</v>
      </c>
      <c r="F837" s="1785"/>
      <c r="G837" s="1368" t="s">
        <v>9</v>
      </c>
    </row>
    <row r="838" spans="1:7">
      <c r="A838" s="1816">
        <v>45622</v>
      </c>
      <c r="B838" s="1812" t="str">
        <f>TiposLancamentos!B60</f>
        <v>Correio</v>
      </c>
      <c r="C838" s="1804" t="s">
        <v>12257</v>
      </c>
      <c r="D838" s="1796"/>
      <c r="E838" s="1790">
        <v>5.49</v>
      </c>
      <c r="F838" s="1786">
        <f>SUM(E837:E838)</f>
        <v>46.79</v>
      </c>
      <c r="G838" s="1368" t="s">
        <v>9</v>
      </c>
    </row>
    <row r="839" spans="1:7">
      <c r="A839" s="1818">
        <v>45622</v>
      </c>
      <c r="B839" s="1813" t="str">
        <f>TiposLancamentos!B56</f>
        <v>Farmácia</v>
      </c>
      <c r="C839" s="1806" t="s">
        <v>12258</v>
      </c>
      <c r="D839" s="1797"/>
      <c r="E839" s="1791">
        <v>28.61</v>
      </c>
      <c r="F839" s="1787"/>
      <c r="G839" s="1368" t="s">
        <v>9</v>
      </c>
    </row>
    <row r="840" spans="1:7">
      <c r="A840" s="1754">
        <v>45622</v>
      </c>
      <c r="B840" s="1748" t="str">
        <f>TiposLancamentos!B24</f>
        <v>Estacionamentos</v>
      </c>
      <c r="C840" s="1740" t="s">
        <v>1898</v>
      </c>
      <c r="D840" s="1736"/>
      <c r="E840" s="952">
        <v>20</v>
      </c>
      <c r="F840" s="1027"/>
      <c r="G840" s="1368" t="s">
        <v>9</v>
      </c>
    </row>
    <row r="841" spans="1:7">
      <c r="A841" s="1754">
        <v>45622</v>
      </c>
      <c r="B841" s="1748" t="str">
        <f>TiposLancamentos!B19</f>
        <v>Restaurantes</v>
      </c>
      <c r="C841" s="1740" t="s">
        <v>12259</v>
      </c>
      <c r="D841" s="1736"/>
      <c r="E841" s="952">
        <v>47.8</v>
      </c>
      <c r="F841" s="1027"/>
      <c r="G841" s="1368" t="s">
        <v>9</v>
      </c>
    </row>
    <row r="842" spans="1:7">
      <c r="A842" s="1818">
        <v>45622</v>
      </c>
      <c r="B842" s="1813" t="str">
        <f>TiposLancamentos!B16</f>
        <v>Cristiane</v>
      </c>
      <c r="C842" s="1806" t="s">
        <v>12260</v>
      </c>
      <c r="D842" s="1797"/>
      <c r="E842" s="1791">
        <v>89.88</v>
      </c>
      <c r="F842" s="1787"/>
      <c r="G842" s="1368" t="s">
        <v>9</v>
      </c>
    </row>
    <row r="843" spans="1:7">
      <c r="A843" s="1754">
        <v>45623</v>
      </c>
      <c r="B843" s="1748" t="str">
        <f>TiposLancamentos!B19</f>
        <v>Restaurantes</v>
      </c>
      <c r="C843" s="1740" t="s">
        <v>11446</v>
      </c>
      <c r="D843" s="1736"/>
      <c r="E843" s="952">
        <v>58.79</v>
      </c>
      <c r="F843" s="1027"/>
      <c r="G843" s="1368" t="s">
        <v>9</v>
      </c>
    </row>
    <row r="844" spans="1:7">
      <c r="A844" s="1754">
        <v>45624</v>
      </c>
      <c r="B844" s="1748" t="str">
        <f>TiposLancamentos!B19</f>
        <v>Restaurantes</v>
      </c>
      <c r="C844" s="1740" t="s">
        <v>1962</v>
      </c>
      <c r="D844" s="1736"/>
      <c r="E844" s="952">
        <v>31.8</v>
      </c>
      <c r="F844" s="1027"/>
      <c r="G844" s="1368" t="s">
        <v>9</v>
      </c>
    </row>
    <row r="845" spans="1:7">
      <c r="A845" s="1754">
        <v>45624</v>
      </c>
      <c r="B845" s="1748" t="str">
        <f>TiposLancamentos!B16</f>
        <v>Cristiane</v>
      </c>
      <c r="C845" s="1740" t="s">
        <v>2618</v>
      </c>
      <c r="D845" s="1736"/>
      <c r="E845" s="952">
        <v>90.05</v>
      </c>
      <c r="F845" s="1027"/>
      <c r="G845" s="1368" t="s">
        <v>9</v>
      </c>
    </row>
    <row r="846" spans="1:7">
      <c r="A846" s="1754">
        <v>45624</v>
      </c>
      <c r="B846" s="1748" t="str">
        <f>TiposLancamentos!B19</f>
        <v>Restaurantes</v>
      </c>
      <c r="C846" s="1740" t="s">
        <v>12261</v>
      </c>
      <c r="D846" s="1736"/>
      <c r="E846" s="952">
        <v>69</v>
      </c>
      <c r="F846" s="1027"/>
      <c r="G846" s="1368" t="s">
        <v>9</v>
      </c>
    </row>
    <row r="847" spans="1:7">
      <c r="A847" s="1754">
        <v>45624</v>
      </c>
      <c r="B847" s="1748" t="str">
        <f>TiposLancamentos!B5</f>
        <v>Supermercado</v>
      </c>
      <c r="C847" s="1740" t="s">
        <v>10550</v>
      </c>
      <c r="D847" s="1736"/>
      <c r="E847" s="952">
        <v>20.38</v>
      </c>
      <c r="F847" s="1027"/>
      <c r="G847" s="1368" t="s">
        <v>9</v>
      </c>
    </row>
    <row r="848" spans="1:7">
      <c r="A848" s="1754">
        <v>45625</v>
      </c>
      <c r="B848" s="1748" t="str">
        <f>B846</f>
        <v>Restaurantes</v>
      </c>
      <c r="C848" s="1740" t="s">
        <v>12262</v>
      </c>
      <c r="D848" s="1736"/>
      <c r="E848" s="952">
        <v>56.79</v>
      </c>
      <c r="F848" s="1027"/>
      <c r="G848" s="1368" t="s">
        <v>9</v>
      </c>
    </row>
    <row r="849" spans="1:7">
      <c r="A849" s="1754">
        <v>45625</v>
      </c>
      <c r="B849" s="1748" t="str">
        <f>TiposLancamentos!B23</f>
        <v>P208 GRIFFE 1.6 AUT BUSINESS</v>
      </c>
      <c r="C849" s="1740" t="s">
        <v>12263</v>
      </c>
      <c r="D849" s="1736"/>
      <c r="E849" s="952">
        <f>F849/6</f>
        <v>288.5</v>
      </c>
      <c r="F849" s="1027">
        <v>1731</v>
      </c>
      <c r="G849" s="1094" t="s">
        <v>11</v>
      </c>
    </row>
    <row r="850" spans="1:7">
      <c r="A850" s="1754">
        <v>45625</v>
      </c>
      <c r="B850" s="1748" t="str">
        <f>TiposLancamentos!B23</f>
        <v>P208 GRIFFE 1.6 AUT BUSINESS</v>
      </c>
      <c r="C850" s="1740" t="s">
        <v>12264</v>
      </c>
      <c r="D850" s="1736"/>
      <c r="E850" s="952">
        <f>F850/3</f>
        <v>133</v>
      </c>
      <c r="F850" s="1027">
        <v>399</v>
      </c>
      <c r="G850" s="1094" t="s">
        <v>11</v>
      </c>
    </row>
    <row r="851" spans="1:7">
      <c r="A851" s="1754">
        <v>45625</v>
      </c>
      <c r="B851" s="1748" t="str">
        <f>TiposLancamentos!B22</f>
        <v>Combustivel</v>
      </c>
      <c r="C851" s="1740" t="s">
        <v>12265</v>
      </c>
      <c r="D851" s="1736"/>
      <c r="E851" s="952">
        <v>200</v>
      </c>
      <c r="F851" s="1027"/>
      <c r="G851" s="1368" t="s">
        <v>9</v>
      </c>
    </row>
    <row r="852" spans="1:7">
      <c r="A852" s="1754">
        <v>45626</v>
      </c>
      <c r="B852" s="1748" t="str">
        <f>TiposLancamentos!B19</f>
        <v>Restaurantes</v>
      </c>
      <c r="C852" s="1740" t="s">
        <v>12266</v>
      </c>
      <c r="D852" s="1736"/>
      <c r="E852" s="952">
        <v>76.83</v>
      </c>
      <c r="F852" s="1027"/>
      <c r="G852" s="1368" t="s">
        <v>9</v>
      </c>
    </row>
    <row r="853" spans="1:7">
      <c r="A853" s="1754">
        <v>45626</v>
      </c>
      <c r="B853" s="1748" t="str">
        <f>TiposLancamentos!B19</f>
        <v>Restaurantes</v>
      </c>
      <c r="C853" s="1740" t="s">
        <v>12267</v>
      </c>
      <c r="D853" s="1736"/>
      <c r="E853" s="952">
        <v>144.65</v>
      </c>
      <c r="F853" s="1027"/>
      <c r="G853" s="1368" t="s">
        <v>9</v>
      </c>
    </row>
    <row r="854" spans="1:7">
      <c r="A854" s="1754">
        <v>45626</v>
      </c>
      <c r="B854" s="1748" t="str">
        <f>TiposLancamentos!B19</f>
        <v>Restaurantes</v>
      </c>
      <c r="C854" s="1740" t="s">
        <v>12268</v>
      </c>
      <c r="D854" s="1736"/>
      <c r="E854" s="952">
        <v>57.9</v>
      </c>
      <c r="F854" s="1027"/>
      <c r="G854" s="1368" t="s">
        <v>9</v>
      </c>
    </row>
    <row r="855" spans="1:7">
      <c r="A855" s="1754">
        <v>45626</v>
      </c>
      <c r="B855" s="1748" t="str">
        <f>TiposLancamentos!B19</f>
        <v>Restaurantes</v>
      </c>
      <c r="C855" s="1740" t="s">
        <v>12269</v>
      </c>
      <c r="D855" s="1736"/>
      <c r="E855" s="952">
        <v>99.38</v>
      </c>
      <c r="F855" s="1027"/>
      <c r="G855" s="1368" t="s">
        <v>9</v>
      </c>
    </row>
    <row r="856" spans="1:7" ht="14.25" thickBot="1">
      <c r="A856" s="1754">
        <v>45626</v>
      </c>
      <c r="B856" s="1748" t="str">
        <f>TiposLancamentos!B5</f>
        <v>Supermercado</v>
      </c>
      <c r="C856" s="1740" t="s">
        <v>12270</v>
      </c>
      <c r="D856" s="1736"/>
      <c r="E856" s="952">
        <v>35.049999999999997</v>
      </c>
      <c r="F856" s="1027"/>
      <c r="G856" s="1368" t="s">
        <v>9</v>
      </c>
    </row>
    <row r="857" spans="1:7">
      <c r="A857" s="1814"/>
      <c r="B857" s="1809"/>
      <c r="C857" s="1801" t="s">
        <v>1641</v>
      </c>
      <c r="D857" s="1794"/>
      <c r="E857" s="1788"/>
      <c r="F857" s="1078">
        <f>SUM(E776:E822)</f>
        <v>3449.0900000000006</v>
      </c>
    </row>
    <row r="858" spans="1:7">
      <c r="A858" s="1754">
        <v>45627</v>
      </c>
      <c r="B858" s="1748" t="str">
        <f>TiposLancamentos!B16</f>
        <v>Cristiane</v>
      </c>
      <c r="C858" s="1740" t="s">
        <v>12271</v>
      </c>
      <c r="D858" s="1736"/>
      <c r="E858" s="952">
        <v>38.9</v>
      </c>
      <c r="F858" s="1027">
        <f>F857-F789</f>
        <v>110.58000000000038</v>
      </c>
      <c r="G858" s="1368" t="s">
        <v>9</v>
      </c>
    </row>
    <row r="859" spans="1:7">
      <c r="A859" s="1754">
        <v>45627</v>
      </c>
      <c r="B859" s="1748" t="str">
        <f>TiposLancamentos!B5</f>
        <v>Supermercado</v>
      </c>
      <c r="C859" s="1740" t="s">
        <v>12272</v>
      </c>
      <c r="D859" s="1736"/>
      <c r="E859" s="952">
        <v>38.619999999999997</v>
      </c>
      <c r="F859" s="1027"/>
      <c r="G859" s="1368" t="s">
        <v>9</v>
      </c>
    </row>
    <row r="860" spans="1:7">
      <c r="A860" s="1754">
        <v>45627</v>
      </c>
      <c r="B860" s="1748" t="str">
        <f>TiposLancamentos!B64</f>
        <v>Viagens</v>
      </c>
      <c r="C860" s="1740" t="s">
        <v>12273</v>
      </c>
      <c r="D860" s="1736"/>
      <c r="E860" s="952">
        <v>49</v>
      </c>
      <c r="F860" s="1027"/>
      <c r="G860" s="1368" t="s">
        <v>9</v>
      </c>
    </row>
    <row r="861" spans="1:7">
      <c r="A861" s="1754">
        <v>45627</v>
      </c>
      <c r="B861" s="1748" t="str">
        <f>TiposLancamentos!B19</f>
        <v>Restaurantes</v>
      </c>
      <c r="C861" s="1740" t="s">
        <v>12274</v>
      </c>
      <c r="D861" s="1736"/>
      <c r="E861" s="952">
        <v>97.5</v>
      </c>
      <c r="F861" s="1027"/>
      <c r="G861" s="1368" t="s">
        <v>9</v>
      </c>
    </row>
    <row r="862" spans="1:7">
      <c r="A862" s="1754">
        <v>45628</v>
      </c>
      <c r="B862" s="1748" t="str">
        <f>TiposLancamentos!B15</f>
        <v>Cartões de Crédito</v>
      </c>
      <c r="C862" s="1740" t="s">
        <v>1874</v>
      </c>
      <c r="D862" s="1736">
        <v>3449.09</v>
      </c>
      <c r="E862" s="952"/>
      <c r="F862" s="1027"/>
      <c r="G862" s="1368" t="s">
        <v>9</v>
      </c>
    </row>
    <row r="863" spans="1:7">
      <c r="A863" s="1754">
        <v>45628</v>
      </c>
      <c r="B863" s="1748" t="str">
        <f>TiposLancamentos!B36</f>
        <v>Playstation 2</v>
      </c>
      <c r="C863" s="1740" t="s">
        <v>12275</v>
      </c>
      <c r="D863" s="1736"/>
      <c r="E863" s="952">
        <f>F863/3</f>
        <v>245</v>
      </c>
      <c r="F863" s="1027">
        <v>735</v>
      </c>
      <c r="G863" s="1094" t="s">
        <v>11</v>
      </c>
    </row>
    <row r="864" spans="1:7">
      <c r="A864" s="1754">
        <v>45629</v>
      </c>
      <c r="B864" s="1748" t="str">
        <f>TiposLancamentos!B24</f>
        <v>Estacionamentos</v>
      </c>
      <c r="C864" s="1740" t="s">
        <v>8755</v>
      </c>
      <c r="D864" s="1736"/>
      <c r="E864" s="952">
        <v>20</v>
      </c>
      <c r="F864" s="1027"/>
      <c r="G864" s="1368" t="s">
        <v>9</v>
      </c>
    </row>
    <row r="865" spans="1:7">
      <c r="A865" s="1754">
        <v>45629</v>
      </c>
      <c r="B865" s="1748" t="str">
        <f>TiposLancamentos!B72</f>
        <v>Presentes</v>
      </c>
      <c r="C865" s="1740" t="s">
        <v>12276</v>
      </c>
      <c r="D865" s="1736"/>
      <c r="E865" s="952">
        <v>10</v>
      </c>
      <c r="F865" s="1027"/>
      <c r="G865" s="1368" t="s">
        <v>9</v>
      </c>
    </row>
    <row r="866" spans="1:7">
      <c r="A866" s="1818">
        <v>45629</v>
      </c>
      <c r="B866" s="1813" t="str">
        <f>TiposLancamentos!B17</f>
        <v>GATO</v>
      </c>
      <c r="C866" s="1806" t="s">
        <v>12277</v>
      </c>
      <c r="D866" s="1797"/>
      <c r="E866" s="1791">
        <v>236.12</v>
      </c>
      <c r="F866" s="1787"/>
      <c r="G866" s="1368" t="s">
        <v>9</v>
      </c>
    </row>
    <row r="867" spans="1:7">
      <c r="A867" s="1815">
        <v>45601</v>
      </c>
      <c r="B867" s="1811" t="str">
        <f>TiposLancamentos!B56</f>
        <v>Farmácia</v>
      </c>
      <c r="C867" s="1803" t="s">
        <v>12278</v>
      </c>
      <c r="D867" s="1795"/>
      <c r="E867" s="1789">
        <f>F868-E868</f>
        <v>161.97999999999999</v>
      </c>
      <c r="F867" s="1785"/>
      <c r="G867" s="1368" t="s">
        <v>9</v>
      </c>
    </row>
    <row r="868" spans="1:7">
      <c r="A868" s="1816">
        <v>45601</v>
      </c>
      <c r="B868" s="1812" t="str">
        <f>TiposLancamentos!B60</f>
        <v>Correio</v>
      </c>
      <c r="C868" s="1804" t="s">
        <v>12279</v>
      </c>
      <c r="D868" s="1796"/>
      <c r="E868" s="1790">
        <v>6.9</v>
      </c>
      <c r="F868" s="1786">
        <v>168.88</v>
      </c>
      <c r="G868" s="1368" t="s">
        <v>9</v>
      </c>
    </row>
    <row r="869" spans="1:7">
      <c r="A869" s="1818">
        <v>45601</v>
      </c>
      <c r="B869" s="1813" t="str">
        <f>TiposLancamentos!B5</f>
        <v>Supermercado</v>
      </c>
      <c r="C869" s="1806" t="s">
        <v>12280</v>
      </c>
      <c r="D869" s="1797"/>
      <c r="E869" s="1791">
        <v>97.09</v>
      </c>
      <c r="F869" s="1787"/>
      <c r="G869" s="1368" t="s">
        <v>9</v>
      </c>
    </row>
    <row r="870" spans="1:7">
      <c r="A870" s="1754">
        <v>45631</v>
      </c>
      <c r="B870" s="1748" t="str">
        <f>TiposLancamentos!B19</f>
        <v>Restaurantes</v>
      </c>
      <c r="C870" s="1740" t="s">
        <v>12281</v>
      </c>
      <c r="D870" s="1736"/>
      <c r="E870" s="952">
        <v>69</v>
      </c>
      <c r="F870" s="1027"/>
      <c r="G870" s="1368" t="s">
        <v>9</v>
      </c>
    </row>
    <row r="871" spans="1:7">
      <c r="A871" s="1818">
        <v>45632</v>
      </c>
      <c r="B871" s="1813" t="str">
        <f>TiposLancamentos!B19</f>
        <v>Restaurantes</v>
      </c>
      <c r="C871" s="1806" t="s">
        <v>12282</v>
      </c>
      <c r="D871" s="1797"/>
      <c r="E871" s="1791">
        <v>65.790000000000006</v>
      </c>
      <c r="F871" s="1787"/>
      <c r="G871" s="1368" t="s">
        <v>9</v>
      </c>
    </row>
    <row r="872" spans="1:7">
      <c r="A872" s="1754">
        <v>45632</v>
      </c>
      <c r="B872" s="1748" t="str">
        <f>TiposLancamentos!B24</f>
        <v>Estacionamentos</v>
      </c>
      <c r="C872" s="1740" t="s">
        <v>8755</v>
      </c>
      <c r="D872" s="1736"/>
      <c r="E872" s="952">
        <v>20</v>
      </c>
      <c r="F872" s="1027"/>
      <c r="G872" s="1368" t="s">
        <v>9</v>
      </c>
    </row>
    <row r="873" spans="1:7">
      <c r="A873" s="1754">
        <v>45633</v>
      </c>
      <c r="B873" s="1748" t="str">
        <f>TiposLancamentos!B5</f>
        <v>Supermercado</v>
      </c>
      <c r="C873" s="1740" t="s">
        <v>12283</v>
      </c>
      <c r="D873" s="1736"/>
      <c r="E873" s="952">
        <v>63.7</v>
      </c>
      <c r="F873" s="1027"/>
      <c r="G873" s="1368" t="s">
        <v>9</v>
      </c>
    </row>
    <row r="874" spans="1:7">
      <c r="A874" s="1754">
        <v>45633</v>
      </c>
      <c r="B874" s="1748" t="str">
        <f>TiposLancamentos!B5</f>
        <v>Supermercado</v>
      </c>
      <c r="C874" s="1740" t="s">
        <v>12284</v>
      </c>
      <c r="D874" s="1736"/>
      <c r="E874" s="952">
        <v>104.3</v>
      </c>
      <c r="F874" s="1027"/>
      <c r="G874" s="1368" t="s">
        <v>9</v>
      </c>
    </row>
    <row r="875" spans="1:7">
      <c r="A875" s="1815">
        <v>45634</v>
      </c>
      <c r="B875" s="1811" t="str">
        <f>TiposLancamentos!B38</f>
        <v>Playstation 4</v>
      </c>
      <c r="C875" s="1803" t="s">
        <v>12285</v>
      </c>
      <c r="D875" s="1795"/>
      <c r="E875" s="1789">
        <v>26.6</v>
      </c>
      <c r="F875" s="1785"/>
      <c r="G875" s="1368" t="s">
        <v>9</v>
      </c>
    </row>
    <row r="876" spans="1:7">
      <c r="A876" s="1816">
        <v>45634</v>
      </c>
      <c r="B876" s="1812" t="str">
        <f>TiposLancamentos!B4</f>
        <v>Taxas Bancarias</v>
      </c>
      <c r="C876" s="1804" t="s">
        <v>12286</v>
      </c>
      <c r="D876" s="1796"/>
      <c r="E876" s="1790">
        <v>0.1</v>
      </c>
      <c r="F876" s="1786">
        <f>SUM(E875:E876)</f>
        <v>26.700000000000003</v>
      </c>
      <c r="G876" s="1368" t="s">
        <v>9</v>
      </c>
    </row>
    <row r="877" spans="1:7">
      <c r="A877" s="1754">
        <v>45634</v>
      </c>
      <c r="B877" s="1748" t="str">
        <f>TiposLancamentos!B19</f>
        <v>Restaurantes</v>
      </c>
      <c r="C877" s="1740" t="s">
        <v>12173</v>
      </c>
      <c r="D877" s="1736"/>
      <c r="E877" s="952">
        <v>97.5</v>
      </c>
      <c r="F877" s="1027"/>
      <c r="G877" s="1368" t="s">
        <v>9</v>
      </c>
    </row>
    <row r="878" spans="1:7">
      <c r="A878" s="1818">
        <v>45636</v>
      </c>
      <c r="B878" s="1813" t="str">
        <f>TiposLancamentos!B22</f>
        <v>Combustivel</v>
      </c>
      <c r="C878" s="1806" t="s">
        <v>12287</v>
      </c>
      <c r="D878" s="1797"/>
      <c r="E878" s="1791">
        <v>50</v>
      </c>
      <c r="F878" s="1787"/>
      <c r="G878" s="1368" t="s">
        <v>9</v>
      </c>
    </row>
    <row r="879" spans="1:7">
      <c r="A879" s="1818">
        <v>45636</v>
      </c>
      <c r="B879" s="1813" t="str">
        <f>TiposLancamentos!B5</f>
        <v>Supermercado</v>
      </c>
      <c r="C879" s="1806" t="s">
        <v>1943</v>
      </c>
      <c r="D879" s="1797"/>
      <c r="E879" s="1791">
        <v>136.44</v>
      </c>
      <c r="F879" s="1787"/>
      <c r="G879" s="1368" t="s">
        <v>9</v>
      </c>
    </row>
    <row r="880" spans="1:7">
      <c r="A880" s="1754">
        <v>45636</v>
      </c>
      <c r="B880" s="1748" t="str">
        <f>TiposLancamentos!B88</f>
        <v>Ford Ecosport XLT</v>
      </c>
      <c r="C880" s="1740" t="s">
        <v>12288</v>
      </c>
      <c r="D880" s="1736"/>
      <c r="E880" s="952">
        <f>F880/8</f>
        <v>275</v>
      </c>
      <c r="F880" s="1027">
        <v>2200</v>
      </c>
      <c r="G880" s="1094" t="s">
        <v>11</v>
      </c>
    </row>
    <row r="881" spans="1:7">
      <c r="A881" s="1754">
        <v>45636</v>
      </c>
      <c r="B881" s="1748" t="str">
        <f>TiposLancamentos!B22</f>
        <v>Combustivel</v>
      </c>
      <c r="C881" s="1740" t="s">
        <v>8230</v>
      </c>
      <c r="D881" s="1736"/>
      <c r="E881" s="952">
        <v>150.22999999999999</v>
      </c>
      <c r="F881" s="1027"/>
      <c r="G881" s="1368" t="s">
        <v>9</v>
      </c>
    </row>
    <row r="882" spans="1:7">
      <c r="A882" s="1754">
        <v>45636</v>
      </c>
      <c r="B882" s="1748" t="str">
        <f>TiposLancamentos!B19</f>
        <v>Restaurantes</v>
      </c>
      <c r="C882" s="1740" t="s">
        <v>12289</v>
      </c>
      <c r="D882" s="1736"/>
      <c r="E882" s="952">
        <v>26.4</v>
      </c>
      <c r="F882" s="1027"/>
      <c r="G882" s="1368" t="s">
        <v>9</v>
      </c>
    </row>
    <row r="883" spans="1:7">
      <c r="A883" s="1754">
        <v>45637</v>
      </c>
      <c r="B883" s="1748" t="str">
        <f>TiposLancamentos!B71</f>
        <v>Itens Pessoais</v>
      </c>
      <c r="C883" s="1740" t="s">
        <v>2035</v>
      </c>
      <c r="D883" s="1736"/>
      <c r="E883" s="952">
        <v>35</v>
      </c>
      <c r="F883" s="1027"/>
      <c r="G883" s="1368" t="s">
        <v>9</v>
      </c>
    </row>
    <row r="884" spans="1:7">
      <c r="A884" s="1818">
        <v>45638</v>
      </c>
      <c r="B884" s="1813" t="str">
        <f>TiposLancamentos!B65</f>
        <v>Taxi</v>
      </c>
      <c r="C884" s="1806" t="s">
        <v>12290</v>
      </c>
      <c r="D884" s="1797"/>
      <c r="E884" s="1791">
        <v>15.93</v>
      </c>
      <c r="F884" s="1787"/>
      <c r="G884" s="1368" t="s">
        <v>9</v>
      </c>
    </row>
    <row r="885" spans="1:7">
      <c r="A885" s="1754">
        <v>45638</v>
      </c>
      <c r="B885" s="1748" t="str">
        <f>TiposLancamentos!B19</f>
        <v>Restaurantes</v>
      </c>
      <c r="C885" s="1740" t="s">
        <v>12291</v>
      </c>
      <c r="D885" s="1736"/>
      <c r="E885" s="952">
        <v>253.66</v>
      </c>
      <c r="F885" s="1027"/>
      <c r="G885" s="1368" t="s">
        <v>9</v>
      </c>
    </row>
    <row r="886" spans="1:7">
      <c r="A886" s="1754">
        <v>45640</v>
      </c>
      <c r="B886" s="1748" t="str">
        <f>TiposLancamentos!B24</f>
        <v>Estacionamentos</v>
      </c>
      <c r="C886" s="1740" t="s">
        <v>12292</v>
      </c>
      <c r="D886" s="1736"/>
      <c r="E886" s="952">
        <v>15</v>
      </c>
      <c r="F886" s="1027"/>
      <c r="G886" s="1368" t="s">
        <v>9</v>
      </c>
    </row>
    <row r="887" spans="1:7">
      <c r="A887" s="1754">
        <v>45641</v>
      </c>
      <c r="B887" s="1748" t="str">
        <f>TiposLancamentos!B45</f>
        <v>Online Services</v>
      </c>
      <c r="C887" s="1740" t="s">
        <v>12293</v>
      </c>
      <c r="D887" s="1736"/>
      <c r="E887" s="952">
        <v>5.95</v>
      </c>
      <c r="F887" s="1027"/>
      <c r="G887" s="1368" t="s">
        <v>9</v>
      </c>
    </row>
    <row r="888" spans="1:7">
      <c r="A888" s="1754">
        <v>45641</v>
      </c>
      <c r="B888" s="1748" t="str">
        <f>TiposLancamentos!B5</f>
        <v>Supermercado</v>
      </c>
      <c r="C888" s="1740" t="s">
        <v>12294</v>
      </c>
      <c r="D888" s="1736"/>
      <c r="E888" s="952">
        <v>96.12</v>
      </c>
      <c r="F888" s="1027"/>
      <c r="G888" s="1368" t="s">
        <v>9</v>
      </c>
    </row>
    <row r="889" spans="1:7">
      <c r="A889" s="1754">
        <v>45641</v>
      </c>
      <c r="B889" s="1748" t="str">
        <f>TiposLancamentos!B19</f>
        <v>Restaurantes</v>
      </c>
      <c r="C889" s="1740" t="s">
        <v>12295</v>
      </c>
      <c r="D889" s="1736"/>
      <c r="E889" s="952">
        <v>97.5</v>
      </c>
      <c r="F889" s="1027"/>
      <c r="G889" s="1368" t="s">
        <v>9</v>
      </c>
    </row>
    <row r="890" spans="1:7">
      <c r="A890" s="1754">
        <v>45642</v>
      </c>
      <c r="B890" s="1748" t="str">
        <f>TiposLancamentos!B13</f>
        <v>Moradia</v>
      </c>
      <c r="C890" s="1740" t="s">
        <v>12296</v>
      </c>
      <c r="D890" s="1736"/>
      <c r="E890" s="952">
        <v>5.98</v>
      </c>
      <c r="F890" s="1027"/>
      <c r="G890" s="1368" t="s">
        <v>9</v>
      </c>
    </row>
    <row r="891" spans="1:7">
      <c r="A891" s="1754">
        <v>45642</v>
      </c>
      <c r="B891" s="1748" t="str">
        <f>TiposLancamentos!B71</f>
        <v>Itens Pessoais</v>
      </c>
      <c r="C891" s="1740" t="s">
        <v>12297</v>
      </c>
      <c r="D891" s="1736"/>
      <c r="E891" s="952">
        <v>20</v>
      </c>
      <c r="F891" s="1027"/>
      <c r="G891" s="1368" t="s">
        <v>9</v>
      </c>
    </row>
    <row r="892" spans="1:7">
      <c r="A892" s="1754">
        <v>45642</v>
      </c>
      <c r="B892" s="1748" t="str">
        <f>TiposLancamentos!B32</f>
        <v>Clinicas e tratamentos</v>
      </c>
      <c r="C892" s="1740" t="s">
        <v>12298</v>
      </c>
      <c r="D892" s="1736"/>
      <c r="E892" s="952">
        <v>250</v>
      </c>
      <c r="F892" s="1027"/>
      <c r="G892" s="1368" t="s">
        <v>9</v>
      </c>
    </row>
    <row r="893" spans="1:7">
      <c r="A893" s="1754">
        <v>45643</v>
      </c>
      <c r="B893" s="1748" t="str">
        <f>TiposLancamentos!B56</f>
        <v>Farmácia</v>
      </c>
      <c r="C893" s="1740" t="s">
        <v>12299</v>
      </c>
      <c r="D893" s="1736"/>
      <c r="E893" s="952">
        <v>72.349999999999994</v>
      </c>
      <c r="F893" s="1027"/>
      <c r="G893" s="1368" t="s">
        <v>9</v>
      </c>
    </row>
    <row r="894" spans="1:7">
      <c r="A894" s="1754">
        <v>45647</v>
      </c>
      <c r="B894" s="1748" t="str">
        <f>TiposLancamentos!B19</f>
        <v>Restaurantes</v>
      </c>
      <c r="C894" s="1740" t="s">
        <v>12300</v>
      </c>
      <c r="D894" s="1736"/>
      <c r="E894" s="952">
        <v>380</v>
      </c>
      <c r="F894" s="1027"/>
      <c r="G894" s="1368" t="s">
        <v>9</v>
      </c>
    </row>
    <row r="895" spans="1:7">
      <c r="A895" s="1754">
        <v>45647</v>
      </c>
      <c r="B895" s="1748" t="str">
        <f>TiposLancamentos!B19</f>
        <v>Restaurantes</v>
      </c>
      <c r="C895" s="1740" t="s">
        <v>12300</v>
      </c>
      <c r="D895" s="1736"/>
      <c r="E895" s="952">
        <v>153.72</v>
      </c>
      <c r="F895" s="1027"/>
      <c r="G895" s="1368" t="s">
        <v>9</v>
      </c>
    </row>
    <row r="896" spans="1:7">
      <c r="A896" s="1754">
        <v>45648</v>
      </c>
      <c r="B896" s="1748" t="str">
        <f>TiposLancamentos!B5</f>
        <v>Supermercado</v>
      </c>
      <c r="C896" s="1740" t="s">
        <v>12301</v>
      </c>
      <c r="D896" s="1736"/>
      <c r="E896" s="952">
        <v>281.68</v>
      </c>
      <c r="F896" s="1027"/>
      <c r="G896" s="1368" t="s">
        <v>9</v>
      </c>
    </row>
    <row r="897" spans="1:7">
      <c r="A897" s="1754">
        <v>45648</v>
      </c>
      <c r="B897" s="1748" t="str">
        <f>TiposLancamentos!B19</f>
        <v>Restaurantes</v>
      </c>
      <c r="C897" s="1740" t="s">
        <v>12302</v>
      </c>
      <c r="D897" s="1736"/>
      <c r="E897" s="952">
        <v>65.89</v>
      </c>
      <c r="F897" s="1027"/>
      <c r="G897" s="1368" t="s">
        <v>9</v>
      </c>
    </row>
    <row r="898" spans="1:7">
      <c r="A898" s="1756"/>
      <c r="B898" s="1749"/>
      <c r="C898" s="1741" t="s">
        <v>10</v>
      </c>
      <c r="D898" s="1690"/>
      <c r="E898" s="1231"/>
      <c r="F898" s="1231"/>
      <c r="G898" s="1094" t="s">
        <v>11</v>
      </c>
    </row>
    <row r="899" spans="1:7">
      <c r="A899" s="1754">
        <v>45649</v>
      </c>
      <c r="B899" s="1748" t="str">
        <f>TiposLancamentos!B19</f>
        <v>Restaurantes</v>
      </c>
      <c r="C899" s="1740" t="s">
        <v>12303</v>
      </c>
      <c r="D899" s="1736"/>
      <c r="E899" s="952">
        <v>60.9</v>
      </c>
      <c r="F899" s="1027"/>
      <c r="G899" s="1368" t="s">
        <v>9</v>
      </c>
    </row>
    <row r="900" spans="1:7">
      <c r="A900" s="1754">
        <v>45649</v>
      </c>
      <c r="B900" s="1748" t="str">
        <f>TiposLancamentos!B22</f>
        <v>Combustivel</v>
      </c>
      <c r="C900" s="1740" t="s">
        <v>11728</v>
      </c>
      <c r="D900" s="1736"/>
      <c r="E900" s="952">
        <v>327.95</v>
      </c>
      <c r="F900" s="1027"/>
      <c r="G900" s="1368" t="s">
        <v>9</v>
      </c>
    </row>
    <row r="901" spans="1:7">
      <c r="A901" s="1815">
        <v>45649</v>
      </c>
      <c r="B901" s="1811" t="str">
        <f>TiposLancamentos!B56</f>
        <v>Farmácia</v>
      </c>
      <c r="C901" s="1803" t="s">
        <v>6118</v>
      </c>
      <c r="D901" s="1795"/>
      <c r="E901" s="1789">
        <f>213.13-74.6</f>
        <v>138.53</v>
      </c>
      <c r="F901" s="1785"/>
      <c r="G901" s="1368" t="s">
        <v>9</v>
      </c>
    </row>
    <row r="902" spans="1:7">
      <c r="A902" s="1667">
        <v>45649</v>
      </c>
      <c r="B902" s="1752" t="str">
        <f>TiposLancamentos!B56</f>
        <v>Farmácia</v>
      </c>
      <c r="C902" s="1745" t="s">
        <v>12304</v>
      </c>
      <c r="D902" s="1736"/>
      <c r="E902" s="931">
        <f>31.01-6.2</f>
        <v>24.810000000000002</v>
      </c>
      <c r="F902" s="1027"/>
      <c r="G902" s="1368" t="s">
        <v>9</v>
      </c>
    </row>
    <row r="903" spans="1:7">
      <c r="A903" s="1816">
        <v>45649</v>
      </c>
      <c r="B903" s="1812" t="str">
        <f>TiposLancamentos!B60</f>
        <v>Correio</v>
      </c>
      <c r="C903" s="1804" t="s">
        <v>9285</v>
      </c>
      <c r="D903" s="1796"/>
      <c r="E903" s="1790">
        <f>F903-(E901+E902)</f>
        <v>6.9000000000000057</v>
      </c>
      <c r="F903" s="1786">
        <v>170.24</v>
      </c>
      <c r="G903" s="1368" t="s">
        <v>9</v>
      </c>
    </row>
    <row r="904" spans="1:7">
      <c r="A904" s="1754">
        <v>45649</v>
      </c>
      <c r="B904" s="1748" t="str">
        <f>TiposLancamentos!B19</f>
        <v>Restaurantes</v>
      </c>
      <c r="C904" s="1740" t="s">
        <v>12076</v>
      </c>
      <c r="D904" s="1736"/>
      <c r="E904" s="952">
        <v>80</v>
      </c>
      <c r="F904" s="1027"/>
      <c r="G904" s="1368" t="s">
        <v>9</v>
      </c>
    </row>
    <row r="905" spans="1:7">
      <c r="A905" s="1754">
        <v>45650</v>
      </c>
      <c r="B905" s="1748" t="str">
        <f>TiposLancamentos!B19</f>
        <v>Restaurantes</v>
      </c>
      <c r="C905" s="1740" t="s">
        <v>7741</v>
      </c>
      <c r="D905" s="1736"/>
      <c r="E905" s="952">
        <v>49.5</v>
      </c>
      <c r="F905" s="1027"/>
      <c r="G905" s="1368" t="s">
        <v>9</v>
      </c>
    </row>
    <row r="906" spans="1:7">
      <c r="A906" s="1754">
        <v>45650</v>
      </c>
      <c r="B906" s="1748" t="str">
        <f>TiposLancamentos!B19</f>
        <v>Restaurantes</v>
      </c>
      <c r="C906" s="1740" t="s">
        <v>7705</v>
      </c>
      <c r="D906" s="1736"/>
      <c r="E906" s="952">
        <v>49.7</v>
      </c>
      <c r="F906" s="1027"/>
      <c r="G906" s="1368" t="s">
        <v>9</v>
      </c>
    </row>
    <row r="907" spans="1:7">
      <c r="A907" s="1754">
        <v>45650</v>
      </c>
      <c r="B907" s="1748" t="str">
        <f>TiposLancamentos!B5</f>
        <v>Supermercado</v>
      </c>
      <c r="C907" s="1740" t="s">
        <v>12305</v>
      </c>
      <c r="D907" s="1736"/>
      <c r="E907" s="952">
        <v>21</v>
      </c>
      <c r="F907" s="1027"/>
      <c r="G907" s="1368" t="s">
        <v>9</v>
      </c>
    </row>
    <row r="908" spans="1:7">
      <c r="A908" s="1818">
        <v>45650</v>
      </c>
      <c r="B908" s="1813" t="str">
        <f>TiposLancamentos!B16</f>
        <v>Cristiane</v>
      </c>
      <c r="C908" s="1806" t="s">
        <v>12306</v>
      </c>
      <c r="D908" s="1797"/>
      <c r="E908" s="1791">
        <v>101.8</v>
      </c>
      <c r="F908" s="1787"/>
      <c r="G908" s="1368" t="s">
        <v>9</v>
      </c>
    </row>
    <row r="909" spans="1:7">
      <c r="A909" s="1754">
        <v>45650</v>
      </c>
      <c r="B909" s="1748" t="str">
        <f>TiposLancamentos!B16</f>
        <v>Cristiane</v>
      </c>
      <c r="C909" s="1740" t="s">
        <v>12307</v>
      </c>
      <c r="D909" s="1736"/>
      <c r="E909" s="952">
        <v>45</v>
      </c>
      <c r="F909" s="1027"/>
      <c r="G909" s="1368" t="s">
        <v>9</v>
      </c>
    </row>
    <row r="910" spans="1:7">
      <c r="A910" s="1754">
        <v>45650</v>
      </c>
      <c r="B910" s="1748" t="str">
        <f>TiposLancamentos!B19</f>
        <v>Restaurantes</v>
      </c>
      <c r="C910" s="1740" t="s">
        <v>12308</v>
      </c>
      <c r="D910" s="1736"/>
      <c r="E910" s="952">
        <v>33</v>
      </c>
      <c r="F910" s="1027"/>
      <c r="G910" s="1368" t="s">
        <v>9</v>
      </c>
    </row>
    <row r="911" spans="1:7">
      <c r="A911" s="1754">
        <v>45650</v>
      </c>
      <c r="B911" s="1748" t="str">
        <f>TiposLancamentos!B13</f>
        <v>Moradia</v>
      </c>
      <c r="C911" s="1740" t="s">
        <v>12309</v>
      </c>
      <c r="D911" s="1736"/>
      <c r="E911" s="952">
        <v>176</v>
      </c>
      <c r="F911" s="1027"/>
      <c r="G911" s="1368" t="s">
        <v>9</v>
      </c>
    </row>
    <row r="912" spans="1:7">
      <c r="A912" s="1754">
        <v>45650</v>
      </c>
      <c r="B912" s="1748" t="str">
        <f>TiposLancamentos!B16</f>
        <v>Cristiane</v>
      </c>
      <c r="C912" s="1740" t="s">
        <v>12310</v>
      </c>
      <c r="D912" s="1736"/>
      <c r="E912" s="952">
        <v>208.92</v>
      </c>
      <c r="F912" s="1027"/>
      <c r="G912" s="1368" t="s">
        <v>9</v>
      </c>
    </row>
    <row r="913" spans="1:7">
      <c r="A913" s="1754">
        <v>45653</v>
      </c>
      <c r="B913" s="1748" t="str">
        <f>TiposLancamentos!B13</f>
        <v>Moradia</v>
      </c>
      <c r="C913" s="1740" t="s">
        <v>12311</v>
      </c>
      <c r="D913" s="1736"/>
      <c r="E913" s="952">
        <v>81.599999999999994</v>
      </c>
      <c r="F913" s="1027"/>
      <c r="G913" s="1368" t="s">
        <v>9</v>
      </c>
    </row>
    <row r="914" spans="1:7">
      <c r="A914" s="1754">
        <v>45653</v>
      </c>
      <c r="B914" s="1748" t="str">
        <f>TiposLancamentos!B72</f>
        <v>Presentes</v>
      </c>
      <c r="C914" s="1740" t="s">
        <v>12312</v>
      </c>
      <c r="D914" s="1736"/>
      <c r="E914" s="952">
        <v>47.8</v>
      </c>
      <c r="F914" s="1027"/>
      <c r="G914" s="1368" t="s">
        <v>9</v>
      </c>
    </row>
    <row r="915" spans="1:7">
      <c r="A915" s="1754">
        <v>45653</v>
      </c>
      <c r="B915" s="1748" t="str">
        <f>TiposLancamentos!B70</f>
        <v>Vestuário</v>
      </c>
      <c r="C915" s="1740" t="s">
        <v>12313</v>
      </c>
      <c r="D915" s="1736"/>
      <c r="E915" s="952">
        <v>332</v>
      </c>
      <c r="F915" s="1027">
        <f>E915/5</f>
        <v>66.400000000000006</v>
      </c>
      <c r="G915" s="1368" t="s">
        <v>9</v>
      </c>
    </row>
    <row r="916" spans="1:7">
      <c r="A916" s="1754">
        <v>45653</v>
      </c>
      <c r="B916" s="1748" t="str">
        <f>TiposLancamentos!B17</f>
        <v>GATO</v>
      </c>
      <c r="C916" s="1040" t="s">
        <v>12314</v>
      </c>
      <c r="D916" s="1736"/>
      <c r="E916" s="952">
        <v>27.5</v>
      </c>
      <c r="F916" s="1027"/>
      <c r="G916" s="1368" t="s">
        <v>9</v>
      </c>
    </row>
    <row r="917" spans="1:7">
      <c r="A917" s="1818">
        <v>45653</v>
      </c>
      <c r="B917" s="1813" t="str">
        <f>TiposLancamentos!B16</f>
        <v>Cristiane</v>
      </c>
      <c r="C917" s="1806" t="s">
        <v>12315</v>
      </c>
      <c r="D917" s="1797"/>
      <c r="E917" s="1791">
        <v>310</v>
      </c>
      <c r="F917" s="1787"/>
      <c r="G917" s="1368" t="s">
        <v>9</v>
      </c>
    </row>
    <row r="918" spans="1:7">
      <c r="A918" s="1754">
        <v>45653</v>
      </c>
      <c r="B918" s="1748" t="str">
        <f>TiposLancamentos!B56</f>
        <v>Farmácia</v>
      </c>
      <c r="C918" s="1740" t="s">
        <v>12316</v>
      </c>
      <c r="D918" s="1736"/>
      <c r="E918" s="952">
        <v>13.2</v>
      </c>
      <c r="F918" s="1027"/>
      <c r="G918" s="1368" t="s">
        <v>9</v>
      </c>
    </row>
    <row r="919" spans="1:7">
      <c r="A919" s="1754">
        <v>45653</v>
      </c>
      <c r="B919" s="1748" t="str">
        <f>TiposLancamentos!B19</f>
        <v>Restaurantes</v>
      </c>
      <c r="C919" s="1740" t="s">
        <v>12317</v>
      </c>
      <c r="D919" s="1736"/>
      <c r="E919" s="952">
        <v>118.25</v>
      </c>
      <c r="F919" s="1027"/>
      <c r="G919" s="1368" t="s">
        <v>9</v>
      </c>
    </row>
    <row r="920" spans="1:7">
      <c r="A920" s="1754">
        <v>45653</v>
      </c>
      <c r="B920" s="1748" t="str">
        <f>TiposLancamentos!B18</f>
        <v>Alimentacao</v>
      </c>
      <c r="C920" s="1740" t="s">
        <v>12318</v>
      </c>
      <c r="D920" s="1736"/>
      <c r="E920" s="952">
        <v>33</v>
      </c>
      <c r="F920" s="1027"/>
      <c r="G920" s="1368" t="s">
        <v>9</v>
      </c>
    </row>
    <row r="921" spans="1:7">
      <c r="A921" s="1754">
        <v>45654</v>
      </c>
      <c r="B921" s="1748" t="str">
        <f>TiposLancamentos!B64</f>
        <v>Viagens</v>
      </c>
      <c r="C921" s="1740" t="s">
        <v>12319</v>
      </c>
      <c r="D921" s="1736"/>
      <c r="E921" s="952">
        <v>30</v>
      </c>
      <c r="F921" s="1027"/>
      <c r="G921" s="1368" t="s">
        <v>9</v>
      </c>
    </row>
    <row r="922" spans="1:7">
      <c r="A922" s="1754">
        <v>45628</v>
      </c>
      <c r="B922" s="1748" t="str">
        <f>TiposLancamentos!B18</f>
        <v>Alimentacao</v>
      </c>
      <c r="C922" s="1740" t="s">
        <v>12320</v>
      </c>
      <c r="D922" s="1736"/>
      <c r="E922" s="952">
        <v>15</v>
      </c>
      <c r="F922" s="1027"/>
      <c r="G922" s="1368" t="s">
        <v>9</v>
      </c>
    </row>
    <row r="923" spans="1:7">
      <c r="A923" s="1754">
        <v>45654</v>
      </c>
      <c r="B923" s="1748" t="str">
        <f>TiposLancamentos!B19</f>
        <v>Restaurantes</v>
      </c>
      <c r="C923" s="1740" t="s">
        <v>12321</v>
      </c>
      <c r="D923" s="1736"/>
      <c r="E923" s="952">
        <v>136.5</v>
      </c>
      <c r="F923" s="1027"/>
      <c r="G923" s="1368" t="s">
        <v>9</v>
      </c>
    </row>
    <row r="924" spans="1:7">
      <c r="A924" s="1754">
        <v>45655</v>
      </c>
      <c r="B924" s="1748" t="str">
        <f>TiposLancamentos!B64</f>
        <v>Viagens</v>
      </c>
      <c r="C924" s="1740" t="s">
        <v>12322</v>
      </c>
      <c r="D924" s="1736"/>
      <c r="E924" s="952">
        <v>405.5</v>
      </c>
      <c r="F924" s="1027"/>
      <c r="G924" s="1368" t="s">
        <v>9</v>
      </c>
    </row>
    <row r="925" spans="1:7">
      <c r="A925" s="1754">
        <v>45655</v>
      </c>
      <c r="B925" s="1748" t="str">
        <f>TiposLancamentos!B23</f>
        <v>P208 GRIFFE 1.6 AUT BUSINESS</v>
      </c>
      <c r="C925" s="1740" t="s">
        <v>12323</v>
      </c>
      <c r="D925" s="1736"/>
      <c r="E925" s="952">
        <f>F925/6</f>
        <v>288.5</v>
      </c>
      <c r="F925" s="1027">
        <v>1731</v>
      </c>
      <c r="G925" s="1368" t="s">
        <v>9</v>
      </c>
    </row>
    <row r="926" spans="1:7">
      <c r="A926" s="1754">
        <v>45655</v>
      </c>
      <c r="B926" s="1748" t="str">
        <f>TiposLancamentos!B23</f>
        <v>P208 GRIFFE 1.6 AUT BUSINESS</v>
      </c>
      <c r="C926" s="1740" t="s">
        <v>12324</v>
      </c>
      <c r="D926" s="1736"/>
      <c r="E926" s="952">
        <f>F926/3</f>
        <v>133</v>
      </c>
      <c r="F926" s="1027">
        <v>399</v>
      </c>
      <c r="G926" s="1368" t="s">
        <v>9</v>
      </c>
    </row>
    <row r="927" spans="1:7">
      <c r="A927" s="1754">
        <v>45656</v>
      </c>
      <c r="B927" s="1748" t="str">
        <f>TiposLancamentos!B5</f>
        <v>Supermercado</v>
      </c>
      <c r="C927" s="1740" t="s">
        <v>12325</v>
      </c>
      <c r="D927" s="1736"/>
      <c r="E927" s="952">
        <v>124.9</v>
      </c>
      <c r="F927" s="1027"/>
      <c r="G927" s="1368" t="s">
        <v>9</v>
      </c>
    </row>
    <row r="928" spans="1:7">
      <c r="A928" s="1754">
        <v>45656</v>
      </c>
      <c r="B928" s="1748" t="str">
        <f>TiposLancamentos!B5</f>
        <v>Supermercado</v>
      </c>
      <c r="C928" s="1740" t="s">
        <v>12326</v>
      </c>
      <c r="D928" s="1736"/>
      <c r="E928" s="952">
        <v>250.33</v>
      </c>
      <c r="F928" s="1027"/>
      <c r="G928" s="1368" t="s">
        <v>9</v>
      </c>
    </row>
    <row r="929" spans="1:7">
      <c r="A929" s="1754">
        <v>45656</v>
      </c>
      <c r="B929" s="1748" t="str">
        <f>TiposLancamentos!B5</f>
        <v>Supermercado</v>
      </c>
      <c r="C929" s="1740" t="s">
        <v>12327</v>
      </c>
      <c r="D929" s="1736"/>
      <c r="E929" s="952">
        <v>402.71</v>
      </c>
      <c r="F929" s="1027"/>
      <c r="G929" s="1368" t="s">
        <v>9</v>
      </c>
    </row>
    <row r="930" spans="1:7">
      <c r="A930" s="1754">
        <v>45656</v>
      </c>
      <c r="B930" s="1748" t="str">
        <f>TiposLancamentos!B5</f>
        <v>Supermercado</v>
      </c>
      <c r="C930" s="1740" t="s">
        <v>12328</v>
      </c>
      <c r="D930" s="1736"/>
      <c r="E930" s="952">
        <v>23.21</v>
      </c>
      <c r="F930" s="1027"/>
      <c r="G930" s="1368" t="s">
        <v>9</v>
      </c>
    </row>
    <row r="931" spans="1:7">
      <c r="A931" s="1754">
        <v>45656</v>
      </c>
      <c r="B931" s="1748" t="str">
        <f>TiposLancamentos!B81</f>
        <v>Ferramentas gerais</v>
      </c>
      <c r="C931" s="1740" t="s">
        <v>12329</v>
      </c>
      <c r="D931" s="1736"/>
      <c r="E931" s="952">
        <v>43.5</v>
      </c>
      <c r="F931" s="1027"/>
      <c r="G931" s="1368" t="s">
        <v>9</v>
      </c>
    </row>
    <row r="932" spans="1:7" ht="14.25" thickBot="1">
      <c r="A932" s="1754">
        <v>45657</v>
      </c>
      <c r="B932" s="1748" t="str">
        <f>TiposLancamentos!B5</f>
        <v>Supermercado</v>
      </c>
      <c r="C932" s="1740" t="s">
        <v>12330</v>
      </c>
      <c r="D932" s="1736"/>
      <c r="E932" s="952">
        <v>41</v>
      </c>
      <c r="F932" s="1027"/>
      <c r="G932" s="1368" t="s">
        <v>9</v>
      </c>
    </row>
    <row r="933" spans="1:7">
      <c r="A933" s="1814"/>
      <c r="B933" s="1809"/>
      <c r="C933" s="1801" t="s">
        <v>12331</v>
      </c>
      <c r="D933" s="1794"/>
      <c r="E933" s="1788"/>
      <c r="F933" s="1078">
        <f>SUM(E822:E897)</f>
        <v>6540.4999999999991</v>
      </c>
    </row>
    <row r="934" spans="1:7">
      <c r="A934" s="1754">
        <v>45658</v>
      </c>
      <c r="B934" s="1748" t="str">
        <f>TiposLancamentos!B18</f>
        <v>Alimentacao</v>
      </c>
      <c r="C934" s="1740" t="s">
        <v>12332</v>
      </c>
      <c r="D934" s="1736"/>
      <c r="E934" s="952">
        <v>3.9</v>
      </c>
      <c r="F934" s="1027">
        <f>F933-F857</f>
        <v>3091.4099999999985</v>
      </c>
      <c r="G934" s="1368" t="s">
        <v>9</v>
      </c>
    </row>
    <row r="935" spans="1:7">
      <c r="A935" s="1754">
        <v>45658</v>
      </c>
      <c r="B935" s="1748" t="str">
        <f>TiposLancamentos!B5</f>
        <v>Supermercado</v>
      </c>
      <c r="C935" s="1740" t="s">
        <v>12333</v>
      </c>
      <c r="D935" s="1736"/>
      <c r="E935" s="952">
        <v>56.5</v>
      </c>
      <c r="F935" s="1027"/>
      <c r="G935" s="1368" t="s">
        <v>9</v>
      </c>
    </row>
    <row r="936" spans="1:7">
      <c r="A936" s="1754">
        <v>45659</v>
      </c>
      <c r="B936" s="1748" t="str">
        <f>TiposLancamentos!B15</f>
        <v>Cartões de Crédito</v>
      </c>
      <c r="C936" s="1740" t="s">
        <v>1874</v>
      </c>
      <c r="D936" s="1736">
        <v>6540.5</v>
      </c>
      <c r="E936" s="952"/>
      <c r="F936" s="1027"/>
      <c r="G936" s="1368" t="s">
        <v>9</v>
      </c>
    </row>
    <row r="937" spans="1:7">
      <c r="A937" s="1754">
        <v>45659</v>
      </c>
      <c r="B937" s="1748" t="str">
        <f>TiposLancamentos!B22</f>
        <v>Combustivel</v>
      </c>
      <c r="C937" s="1740" t="s">
        <v>2179</v>
      </c>
      <c r="D937" s="1736"/>
      <c r="E937" s="952">
        <v>220.59</v>
      </c>
      <c r="F937" s="1027"/>
      <c r="G937" s="1368" t="s">
        <v>9</v>
      </c>
    </row>
    <row r="938" spans="1:7">
      <c r="A938" s="1754">
        <v>45659</v>
      </c>
      <c r="B938" s="1748" t="str">
        <f>B913</f>
        <v>Moradia</v>
      </c>
      <c r="C938" s="1740" t="s">
        <v>12334</v>
      </c>
      <c r="D938" s="1736"/>
      <c r="E938" s="952">
        <v>104</v>
      </c>
      <c r="F938" s="1027"/>
      <c r="G938" s="1368" t="s">
        <v>9</v>
      </c>
    </row>
    <row r="939" spans="1:7">
      <c r="A939" s="1754">
        <v>45659</v>
      </c>
      <c r="B939" s="1748" t="str">
        <f>TiposLancamentos!B19</f>
        <v>Restaurantes</v>
      </c>
      <c r="C939" s="1740" t="s">
        <v>12335</v>
      </c>
      <c r="D939" s="1736"/>
      <c r="E939" s="952">
        <v>123</v>
      </c>
      <c r="F939" s="1027"/>
      <c r="G939" s="1368" t="s">
        <v>9</v>
      </c>
    </row>
    <row r="940" spans="1:7">
      <c r="A940" s="1754">
        <v>45660</v>
      </c>
      <c r="B940" s="1748" t="str">
        <f>TiposLancamentos!B19</f>
        <v>Restaurantes</v>
      </c>
      <c r="C940" s="1740" t="s">
        <v>12336</v>
      </c>
      <c r="D940" s="1736"/>
      <c r="E940" s="952">
        <v>22.5</v>
      </c>
      <c r="F940" s="1027"/>
      <c r="G940" s="1368" t="s">
        <v>9</v>
      </c>
    </row>
    <row r="941" spans="1:7">
      <c r="A941" s="1754">
        <v>45660</v>
      </c>
      <c r="B941" s="1748" t="str">
        <f>TiposLancamentos!B5</f>
        <v>Supermercado</v>
      </c>
      <c r="C941" s="1740" t="s">
        <v>1884</v>
      </c>
      <c r="D941" s="1736"/>
      <c r="E941" s="952">
        <v>42.15</v>
      </c>
      <c r="F941" s="1027"/>
      <c r="G941" s="1368" t="s">
        <v>9</v>
      </c>
    </row>
    <row r="942" spans="1:7">
      <c r="A942" s="1754">
        <v>45660</v>
      </c>
      <c r="B942" s="1748" t="str">
        <f>TiposLancamentos!B36</f>
        <v>Playstation 2</v>
      </c>
      <c r="C942" s="1740" t="s">
        <v>12337</v>
      </c>
      <c r="D942" s="1736"/>
      <c r="E942" s="952">
        <f>F942/3</f>
        <v>245</v>
      </c>
      <c r="F942" s="1027">
        <v>735</v>
      </c>
      <c r="G942" s="1368" t="s">
        <v>9</v>
      </c>
    </row>
    <row r="943" spans="1:7">
      <c r="A943" s="1754">
        <v>45660</v>
      </c>
      <c r="B943" s="1748" t="str">
        <f>TiposLancamentos!B44</f>
        <v>Academia</v>
      </c>
      <c r="C943" s="1740" t="s">
        <v>12338</v>
      </c>
      <c r="D943" s="1736"/>
      <c r="E943" s="952">
        <v>159.9</v>
      </c>
      <c r="F943" s="1027"/>
      <c r="G943" s="1368" t="s">
        <v>9</v>
      </c>
    </row>
    <row r="944" spans="1:7">
      <c r="A944" s="1754">
        <v>45660</v>
      </c>
      <c r="B944" s="1748" t="str">
        <f>B939</f>
        <v>Restaurantes</v>
      </c>
      <c r="C944" s="1740" t="s">
        <v>12339</v>
      </c>
      <c r="D944" s="1736"/>
      <c r="E944" s="952">
        <v>85.9</v>
      </c>
      <c r="F944" s="1027"/>
      <c r="G944" s="1368" t="s">
        <v>9</v>
      </c>
    </row>
    <row r="945" spans="1:7">
      <c r="A945" s="1754">
        <v>45660</v>
      </c>
      <c r="B945" s="1748" t="str">
        <f>TiposLancamentos!B5</f>
        <v>Supermercado</v>
      </c>
      <c r="C945" s="1740" t="s">
        <v>1884</v>
      </c>
      <c r="D945" s="1736"/>
      <c r="E945" s="952">
        <v>14.16</v>
      </c>
      <c r="F945" s="1027"/>
      <c r="G945" s="1368" t="s">
        <v>9</v>
      </c>
    </row>
    <row r="946" spans="1:7">
      <c r="A946" s="1818">
        <v>45661</v>
      </c>
      <c r="B946" s="1813" t="str">
        <f>TiposLancamentos!B5</f>
        <v>Supermercado</v>
      </c>
      <c r="C946" s="1806" t="s">
        <v>7842</v>
      </c>
      <c r="D946" s="1797"/>
      <c r="E946" s="1791">
        <v>134.13</v>
      </c>
      <c r="F946" s="1787"/>
      <c r="G946" s="1368" t="s">
        <v>9</v>
      </c>
    </row>
    <row r="947" spans="1:7">
      <c r="A947" s="1754">
        <v>45661</v>
      </c>
      <c r="B947" s="1748" t="str">
        <f>TiposLancamentos!B18</f>
        <v>Alimentacao</v>
      </c>
      <c r="C947" s="1740" t="s">
        <v>12340</v>
      </c>
      <c r="D947" s="1736"/>
      <c r="E947" s="952">
        <v>58</v>
      </c>
      <c r="F947" s="1027"/>
      <c r="G947" s="1368" t="s">
        <v>9</v>
      </c>
    </row>
    <row r="948" spans="1:7">
      <c r="A948" s="1754">
        <v>45662</v>
      </c>
      <c r="B948" s="1748" t="str">
        <f>TiposLancamentos!B5</f>
        <v>Supermercado</v>
      </c>
      <c r="C948" s="1740" t="s">
        <v>10550</v>
      </c>
      <c r="D948" s="1736"/>
      <c r="E948" s="952">
        <v>8.99</v>
      </c>
      <c r="F948" s="1027"/>
      <c r="G948" s="1368" t="s">
        <v>9</v>
      </c>
    </row>
    <row r="949" spans="1:7">
      <c r="A949" s="1754">
        <v>45663</v>
      </c>
      <c r="B949" s="1748" t="str">
        <f>TiposLancamentos!B17</f>
        <v>GATO</v>
      </c>
      <c r="C949" s="1740" t="s">
        <v>12341</v>
      </c>
      <c r="D949" s="1736"/>
      <c r="E949" s="952">
        <v>268.47000000000003</v>
      </c>
      <c r="F949" s="1027"/>
      <c r="G949" s="1368" t="s">
        <v>9</v>
      </c>
    </row>
    <row r="950" spans="1:7">
      <c r="A950" s="1754">
        <v>45664</v>
      </c>
      <c r="B950" s="1748" t="str">
        <f>TiposLancamentos!B56</f>
        <v>Farmácia</v>
      </c>
      <c r="C950" s="1740" t="s">
        <v>12342</v>
      </c>
      <c r="D950" s="1736"/>
      <c r="E950" s="952">
        <f>F950/2</f>
        <v>226.83500000000001</v>
      </c>
      <c r="F950" s="1027">
        <v>453.67</v>
      </c>
      <c r="G950" s="1368" t="s">
        <v>9</v>
      </c>
    </row>
    <row r="951" spans="1:7">
      <c r="A951" s="1815">
        <v>45665</v>
      </c>
      <c r="B951" s="1811" t="str">
        <f>TiposLancamentos!B16</f>
        <v>Cristiane</v>
      </c>
      <c r="C951" s="1803" t="s">
        <v>12343</v>
      </c>
      <c r="D951" s="1795"/>
      <c r="E951" s="1789">
        <v>7</v>
      </c>
      <c r="F951" s="1785"/>
      <c r="G951" s="1368" t="s">
        <v>9</v>
      </c>
    </row>
    <row r="952" spans="1:7">
      <c r="A952" s="1816">
        <v>45665</v>
      </c>
      <c r="B952" s="1812" t="str">
        <f>TiposLancamentos!B71</f>
        <v>Itens Pessoais</v>
      </c>
      <c r="C952" s="1804" t="s">
        <v>12344</v>
      </c>
      <c r="D952" s="1796"/>
      <c r="E952" s="1790">
        <v>20</v>
      </c>
      <c r="F952" s="1786">
        <f>SUM(E951:E952)</f>
        <v>27</v>
      </c>
      <c r="G952" s="1368" t="s">
        <v>9</v>
      </c>
    </row>
    <row r="953" spans="1:7">
      <c r="A953" s="1754">
        <v>45665</v>
      </c>
      <c r="B953" s="1748" t="str">
        <f>TiposLancamentos!B16</f>
        <v>Cristiane</v>
      </c>
      <c r="C953" s="1740" t="s">
        <v>12345</v>
      </c>
      <c r="D953" s="1736"/>
      <c r="E953" s="952">
        <v>63.4</v>
      </c>
      <c r="F953" s="1027"/>
      <c r="G953" s="1368" t="s">
        <v>9</v>
      </c>
    </row>
    <row r="954" spans="1:7">
      <c r="A954" s="1754">
        <v>45665</v>
      </c>
      <c r="B954" s="1748" t="str">
        <f>TiposLancamentos!B19</f>
        <v>Restaurantes</v>
      </c>
      <c r="C954" s="1740" t="s">
        <v>12346</v>
      </c>
      <c r="D954" s="1736"/>
      <c r="E954" s="952">
        <v>91.92</v>
      </c>
      <c r="F954" s="1027"/>
      <c r="G954" s="1368" t="s">
        <v>9</v>
      </c>
    </row>
    <row r="955" spans="1:7">
      <c r="A955" s="1754">
        <v>45665</v>
      </c>
      <c r="B955" s="1748" t="str">
        <f>TiposLancamentos!B18</f>
        <v>Alimentacao</v>
      </c>
      <c r="C955" s="1740" t="s">
        <v>12347</v>
      </c>
      <c r="D955" s="1736"/>
      <c r="E955" s="952">
        <v>22</v>
      </c>
      <c r="F955" s="1027"/>
      <c r="G955" s="1368" t="s">
        <v>9</v>
      </c>
    </row>
    <row r="956" spans="1:7">
      <c r="A956" s="1754">
        <v>45665</v>
      </c>
      <c r="B956" s="1748" t="str">
        <f>TiposLancamentos!B24</f>
        <v>Estacionamentos</v>
      </c>
      <c r="C956" s="1740" t="s">
        <v>2014</v>
      </c>
      <c r="D956" s="1736"/>
      <c r="E956" s="952">
        <v>20</v>
      </c>
      <c r="F956" s="1027"/>
      <c r="G956" s="1368" t="s">
        <v>9</v>
      </c>
    </row>
    <row r="957" spans="1:7">
      <c r="A957" s="1754">
        <v>45667</v>
      </c>
      <c r="B957" s="1748" t="str">
        <f>TiposLancamentos!B88</f>
        <v>Ford Ecosport XLT</v>
      </c>
      <c r="C957" s="1740" t="s">
        <v>12348</v>
      </c>
      <c r="D957" s="1736"/>
      <c r="E957" s="952">
        <f>F957/8</f>
        <v>275</v>
      </c>
      <c r="F957" s="1027">
        <v>2200</v>
      </c>
      <c r="G957" s="1368" t="s">
        <v>9</v>
      </c>
    </row>
    <row r="958" spans="1:7">
      <c r="A958" s="1754">
        <v>45669</v>
      </c>
      <c r="B958" s="1748" t="str">
        <f>TiposLancamentos!B5</f>
        <v>Supermercado</v>
      </c>
      <c r="C958" s="1740" t="s">
        <v>10365</v>
      </c>
      <c r="D958" s="1736"/>
      <c r="E958" s="952">
        <v>303.45</v>
      </c>
      <c r="F958" s="1027"/>
      <c r="G958" s="1368" t="s">
        <v>9</v>
      </c>
    </row>
    <row r="959" spans="1:7">
      <c r="A959" s="1754">
        <v>45672</v>
      </c>
      <c r="B959" s="1748" t="str">
        <f>TiposLancamentos!B45</f>
        <v>Online Services</v>
      </c>
      <c r="C959" s="1740" t="s">
        <v>12349</v>
      </c>
      <c r="D959" s="1736"/>
      <c r="E959" s="952">
        <v>5.95</v>
      </c>
      <c r="F959" s="1027"/>
      <c r="G959" s="1368" t="s">
        <v>9</v>
      </c>
    </row>
    <row r="960" spans="1:7">
      <c r="A960" s="1818">
        <v>45673</v>
      </c>
      <c r="B960" s="1813" t="str">
        <f>TiposLancamentos!B16</f>
        <v>Cristiane</v>
      </c>
      <c r="C960" s="1806" t="s">
        <v>12350</v>
      </c>
      <c r="D960" s="1797"/>
      <c r="E960" s="1791">
        <v>20.37</v>
      </c>
      <c r="F960" s="1787"/>
      <c r="G960" s="1368" t="s">
        <v>9</v>
      </c>
    </row>
    <row r="961" spans="1:7">
      <c r="A961" s="1756"/>
      <c r="B961" s="1749"/>
      <c r="C961" s="1741" t="s">
        <v>10</v>
      </c>
      <c r="D961" s="1690"/>
      <c r="E961" s="1231"/>
      <c r="F961" s="1231"/>
      <c r="G961" s="1094" t="s">
        <v>11</v>
      </c>
    </row>
    <row r="962" spans="1:7">
      <c r="A962" s="1818">
        <v>45685</v>
      </c>
      <c r="B962" s="1813" t="str">
        <f>TiposLancamentos!B5</f>
        <v>Supermercado</v>
      </c>
      <c r="C962" s="1806" t="s">
        <v>12351</v>
      </c>
      <c r="D962" s="1797"/>
      <c r="E962" s="1791">
        <v>41.88</v>
      </c>
      <c r="F962" s="1787"/>
      <c r="G962" s="1368" t="s">
        <v>9</v>
      </c>
    </row>
    <row r="963" spans="1:7">
      <c r="A963" s="1754">
        <v>45685</v>
      </c>
      <c r="B963" s="1748" t="str">
        <f>TiposLancamentos!B16</f>
        <v>Cristiane</v>
      </c>
      <c r="C963" s="1740" t="s">
        <v>8305</v>
      </c>
      <c r="D963" s="1736"/>
      <c r="E963" s="952">
        <v>63</v>
      </c>
      <c r="F963" s="1027"/>
      <c r="G963" s="1368" t="s">
        <v>9</v>
      </c>
    </row>
    <row r="964" spans="1:7">
      <c r="A964" s="1754">
        <v>45685</v>
      </c>
      <c r="B964" s="1748" t="str">
        <f>TiposLancamentos!B19</f>
        <v>Restaurantes</v>
      </c>
      <c r="C964" s="1740" t="s">
        <v>12352</v>
      </c>
      <c r="D964" s="1736"/>
      <c r="E964" s="952">
        <v>108</v>
      </c>
      <c r="F964" s="1027"/>
      <c r="G964" s="1368" t="s">
        <v>9</v>
      </c>
    </row>
    <row r="965" spans="1:7">
      <c r="A965" s="1754">
        <v>45686</v>
      </c>
      <c r="B965" s="1748" t="str">
        <f>TiposLancamentos!B23</f>
        <v>P208 GRIFFE 1.6 AUT BUSINESS</v>
      </c>
      <c r="C965" s="1740" t="s">
        <v>12353</v>
      </c>
      <c r="D965" s="1736"/>
      <c r="E965" s="952">
        <f>F965/6</f>
        <v>288.5</v>
      </c>
      <c r="F965" s="1027">
        <v>1731</v>
      </c>
      <c r="G965" s="1368" t="s">
        <v>9</v>
      </c>
    </row>
    <row r="966" spans="1:7" ht="14.25" thickBot="1">
      <c r="A966" s="1754">
        <v>45686</v>
      </c>
      <c r="B966" s="1748" t="str">
        <f>TiposLancamentos!B23</f>
        <v>P208 GRIFFE 1.6 AUT BUSINESS</v>
      </c>
      <c r="C966" s="1740" t="s">
        <v>12354</v>
      </c>
      <c r="D966" s="1736"/>
      <c r="E966" s="952">
        <f>F966/3</f>
        <v>133</v>
      </c>
      <c r="F966" s="1027">
        <v>399</v>
      </c>
      <c r="G966" s="1368" t="s">
        <v>9</v>
      </c>
    </row>
    <row r="967" spans="1:7">
      <c r="A967" s="1814"/>
      <c r="B967" s="1809"/>
      <c r="C967" s="1801" t="s">
        <v>1643</v>
      </c>
      <c r="D967" s="1794"/>
      <c r="E967" s="1788"/>
      <c r="F967" s="1078">
        <f>SUM(E898:E961)</f>
        <v>6784.6249999999973</v>
      </c>
    </row>
    <row r="968" spans="1:7">
      <c r="A968" s="1754">
        <v>45690</v>
      </c>
      <c r="B968" s="1748" t="str">
        <f>TiposLancamentos!B44</f>
        <v>Academia</v>
      </c>
      <c r="C968" s="1740" t="s">
        <v>12338</v>
      </c>
      <c r="D968" s="1736"/>
      <c r="E968" s="952">
        <v>159.9</v>
      </c>
      <c r="F968" s="1027">
        <f>F967-F933</f>
        <v>244.12499999999818</v>
      </c>
      <c r="G968" s="1368" t="s">
        <v>9</v>
      </c>
    </row>
    <row r="969" spans="1:7">
      <c r="A969" s="1754">
        <v>45659</v>
      </c>
      <c r="B969" s="1748" t="str">
        <f>TiposLancamentos!B5</f>
        <v>Supermercado</v>
      </c>
      <c r="C969" s="1740" t="s">
        <v>2097</v>
      </c>
      <c r="D969" s="1736"/>
      <c r="E969" s="952">
        <v>170.34</v>
      </c>
      <c r="F969" s="1027"/>
      <c r="G969" s="1368" t="s">
        <v>9</v>
      </c>
    </row>
    <row r="970" spans="1:7">
      <c r="A970" s="1754">
        <v>45691</v>
      </c>
      <c r="B970" s="1748" t="str">
        <f>TiposLancamentos!B15</f>
        <v>Cartões de Crédito</v>
      </c>
      <c r="C970" s="1740" t="s">
        <v>1874</v>
      </c>
      <c r="D970" s="1736">
        <v>6784.63</v>
      </c>
      <c r="E970" s="952"/>
      <c r="F970" s="1027"/>
      <c r="G970" s="1368" t="s">
        <v>9</v>
      </c>
    </row>
    <row r="971" spans="1:7">
      <c r="A971" s="1754">
        <v>45691</v>
      </c>
      <c r="B971" s="1748" t="str">
        <f>TiposLancamentos!B5</f>
        <v>Supermercado</v>
      </c>
      <c r="C971" s="1740" t="s">
        <v>12355</v>
      </c>
      <c r="D971" s="1736"/>
      <c r="E971" s="952">
        <v>26.43</v>
      </c>
      <c r="F971" s="1027"/>
      <c r="G971" s="1368" t="s">
        <v>9</v>
      </c>
    </row>
    <row r="972" spans="1:7">
      <c r="A972" s="1754">
        <v>45692</v>
      </c>
      <c r="B972" s="1748" t="str">
        <f>TiposLancamentos!B5</f>
        <v>Supermercado</v>
      </c>
      <c r="C972" s="1740" t="s">
        <v>12356</v>
      </c>
      <c r="D972" s="1736"/>
      <c r="E972" s="952">
        <v>8.89</v>
      </c>
      <c r="F972" s="1027"/>
      <c r="G972" s="1368" t="s">
        <v>9</v>
      </c>
    </row>
    <row r="973" spans="1:7">
      <c r="A973" s="1754">
        <v>45692</v>
      </c>
      <c r="B973" s="1748" t="str">
        <f>TiposLancamentos!B22</f>
        <v>Combustivel</v>
      </c>
      <c r="C973" s="1740" t="s">
        <v>12265</v>
      </c>
      <c r="D973" s="1736"/>
      <c r="E973" s="952">
        <v>100</v>
      </c>
      <c r="F973" s="1027"/>
      <c r="G973" s="1368" t="s">
        <v>9</v>
      </c>
    </row>
    <row r="974" spans="1:7">
      <c r="A974" s="1754">
        <v>45692</v>
      </c>
      <c r="B974" s="1748" t="str">
        <f>TiposLancamentos!B22</f>
        <v>Combustivel</v>
      </c>
      <c r="C974" s="1740" t="s">
        <v>1898</v>
      </c>
      <c r="D974" s="1736"/>
      <c r="E974" s="952">
        <v>23</v>
      </c>
      <c r="F974" s="1027"/>
      <c r="G974" s="1368" t="s">
        <v>9</v>
      </c>
    </row>
    <row r="975" spans="1:7">
      <c r="A975" s="1754">
        <v>45692</v>
      </c>
      <c r="B975" s="1748" t="str">
        <f>TiposLancamentos!B5</f>
        <v>Supermercado</v>
      </c>
      <c r="C975" s="1740" t="s">
        <v>1884</v>
      </c>
      <c r="D975" s="1736"/>
      <c r="E975" s="952">
        <v>30.59</v>
      </c>
      <c r="F975" s="1027"/>
      <c r="G975" s="1368" t="s">
        <v>9</v>
      </c>
    </row>
    <row r="976" spans="1:7">
      <c r="A976" s="1754">
        <v>45693</v>
      </c>
      <c r="B976" s="1748" t="str">
        <f>TiposLancamentos!B5</f>
        <v>Supermercado</v>
      </c>
      <c r="C976" s="1740" t="s">
        <v>12357</v>
      </c>
      <c r="D976" s="1736"/>
      <c r="E976" s="952">
        <v>92.21</v>
      </c>
      <c r="F976" s="1027"/>
      <c r="G976" s="1368" t="s">
        <v>9</v>
      </c>
    </row>
    <row r="977" spans="1:7">
      <c r="A977" s="1754">
        <v>45693</v>
      </c>
      <c r="B977" s="1748" t="str">
        <f>TiposLancamentos!B19</f>
        <v>Restaurantes</v>
      </c>
      <c r="C977" s="1740" t="s">
        <v>12358</v>
      </c>
      <c r="D977" s="1736"/>
      <c r="E977" s="952">
        <v>81</v>
      </c>
      <c r="F977" s="1027"/>
      <c r="G977" s="1368" t="s">
        <v>9</v>
      </c>
    </row>
    <row r="978" spans="1:7">
      <c r="A978" s="1754">
        <v>45694</v>
      </c>
      <c r="B978" s="1748" t="str">
        <f>TiposLancamentos!B71</f>
        <v>Itens Pessoais</v>
      </c>
      <c r="C978" s="1740" t="s">
        <v>12359</v>
      </c>
      <c r="D978" s="1736"/>
      <c r="E978" s="952">
        <v>50</v>
      </c>
      <c r="F978" s="1027"/>
      <c r="G978" s="1368" t="s">
        <v>9</v>
      </c>
    </row>
    <row r="979" spans="1:7">
      <c r="A979" s="1754">
        <v>45694</v>
      </c>
      <c r="B979" s="1748" t="str">
        <f>TiposLancamentos!B16</f>
        <v>Cristiane</v>
      </c>
      <c r="C979" s="1740" t="s">
        <v>12360</v>
      </c>
      <c r="D979" s="1736"/>
      <c r="E979" s="952">
        <v>114.2</v>
      </c>
      <c r="F979" s="1027"/>
      <c r="G979" s="1368" t="s">
        <v>9</v>
      </c>
    </row>
    <row r="980" spans="1:7">
      <c r="A980" s="1754">
        <v>45694</v>
      </c>
      <c r="B980" s="1748" t="str">
        <f>TiposLancamentos!B18</f>
        <v>Alimentacao</v>
      </c>
      <c r="C980" s="1740" t="s">
        <v>12361</v>
      </c>
      <c r="D980" s="1736"/>
      <c r="E980" s="952">
        <v>26</v>
      </c>
      <c r="F980" s="1027"/>
      <c r="G980" s="1368" t="s">
        <v>9</v>
      </c>
    </row>
    <row r="981" spans="1:7">
      <c r="A981" s="1754">
        <v>45694</v>
      </c>
      <c r="B981" s="1748" t="str">
        <f>TiposLancamentos!B24</f>
        <v>Estacionamentos</v>
      </c>
      <c r="C981" s="1740" t="s">
        <v>2014</v>
      </c>
      <c r="D981" s="1736"/>
      <c r="E981" s="952">
        <v>15</v>
      </c>
      <c r="F981" s="1027"/>
      <c r="G981" s="1368" t="s">
        <v>9</v>
      </c>
    </row>
    <row r="982" spans="1:7">
      <c r="A982" s="1754">
        <v>45695</v>
      </c>
      <c r="B982" s="1748" t="str">
        <f>TiposLancamentos!B56</f>
        <v>Farmácia</v>
      </c>
      <c r="C982" s="1740" t="s">
        <v>12362</v>
      </c>
      <c r="D982" s="1736"/>
      <c r="E982" s="952">
        <v>226.83</v>
      </c>
      <c r="F982" s="1027">
        <v>453.67</v>
      </c>
      <c r="G982" s="1368" t="s">
        <v>9</v>
      </c>
    </row>
    <row r="983" spans="1:7">
      <c r="A983" s="1754">
        <v>45696</v>
      </c>
      <c r="B983" s="1748" t="str">
        <f>TiposLancamentos!B19</f>
        <v>Restaurantes</v>
      </c>
      <c r="C983" s="1740" t="s">
        <v>12363</v>
      </c>
      <c r="D983" s="1736"/>
      <c r="E983" s="952">
        <v>57</v>
      </c>
      <c r="F983" s="1027"/>
      <c r="G983" s="1368" t="s">
        <v>9</v>
      </c>
    </row>
    <row r="984" spans="1:7">
      <c r="A984" s="1754">
        <v>45696</v>
      </c>
      <c r="B984" s="1748" t="str">
        <f>TiposLancamentos!B19</f>
        <v>Restaurantes</v>
      </c>
      <c r="C984" s="1740" t="s">
        <v>12364</v>
      </c>
      <c r="D984" s="1736"/>
      <c r="E984" s="952">
        <v>36</v>
      </c>
      <c r="F984" s="1027"/>
      <c r="G984" s="1368" t="s">
        <v>9</v>
      </c>
    </row>
    <row r="985" spans="1:7">
      <c r="A985" s="1754">
        <v>45696</v>
      </c>
      <c r="B985" s="1748" t="str">
        <f>TiposLancamentos!B24</f>
        <v>Estacionamentos</v>
      </c>
      <c r="C985" s="1740" t="s">
        <v>12365</v>
      </c>
      <c r="D985" s="1736"/>
      <c r="E985" s="952">
        <v>20</v>
      </c>
      <c r="F985" s="1027"/>
      <c r="G985" s="1368" t="s">
        <v>9</v>
      </c>
    </row>
    <row r="986" spans="1:7">
      <c r="A986" s="1754">
        <v>45696</v>
      </c>
      <c r="B986" s="1748" t="str">
        <f>TiposLancamentos!B5</f>
        <v>Supermercado</v>
      </c>
      <c r="C986" s="1740" t="s">
        <v>12366</v>
      </c>
      <c r="D986" s="1736"/>
      <c r="E986" s="952">
        <v>14.69</v>
      </c>
      <c r="F986" s="1027"/>
      <c r="G986" s="1368" t="s">
        <v>9</v>
      </c>
    </row>
    <row r="987" spans="1:7">
      <c r="A987" s="1818">
        <v>45697</v>
      </c>
      <c r="B987" s="1813" t="str">
        <f>TiposLancamentos!B16</f>
        <v>Cristiane</v>
      </c>
      <c r="C987" s="1806" t="s">
        <v>2155</v>
      </c>
      <c r="D987" s="1797"/>
      <c r="E987" s="1791">
        <v>21.78</v>
      </c>
      <c r="F987" s="1787"/>
      <c r="G987" s="1368" t="s">
        <v>9</v>
      </c>
    </row>
    <row r="988" spans="1:7">
      <c r="A988" s="1754">
        <v>45697</v>
      </c>
      <c r="B988" s="1748" t="str">
        <f>TiposLancamentos!B5</f>
        <v>Supermercado</v>
      </c>
      <c r="C988" s="1740" t="s">
        <v>12367</v>
      </c>
      <c r="D988" s="1736"/>
      <c r="E988" s="952">
        <v>40.5</v>
      </c>
      <c r="F988" s="1027"/>
      <c r="G988" s="1368" t="s">
        <v>9</v>
      </c>
    </row>
    <row r="989" spans="1:7">
      <c r="A989" s="1818">
        <v>45697</v>
      </c>
      <c r="B989" s="1813" t="str">
        <f>TiposLancamentos!B16</f>
        <v>Cristiane</v>
      </c>
      <c r="C989" s="1806" t="s">
        <v>2155</v>
      </c>
      <c r="D989" s="1797"/>
      <c r="E989" s="1791">
        <v>18.55</v>
      </c>
      <c r="F989" s="1787"/>
      <c r="G989" s="1368" t="s">
        <v>9</v>
      </c>
    </row>
    <row r="990" spans="1:7">
      <c r="A990" s="1754">
        <v>45697</v>
      </c>
      <c r="B990" s="1748" t="str">
        <f>TiposLancamentos!B19</f>
        <v>Restaurantes</v>
      </c>
      <c r="C990" s="1740" t="s">
        <v>12368</v>
      </c>
      <c r="D990" s="1736"/>
      <c r="E990" s="952">
        <v>98</v>
      </c>
      <c r="F990" s="1027"/>
      <c r="G990" s="1368" t="s">
        <v>9</v>
      </c>
    </row>
    <row r="991" spans="1:7">
      <c r="A991" s="1754">
        <v>45698</v>
      </c>
      <c r="B991" s="1748" t="str">
        <f>TiposLancamentos!B88</f>
        <v>Ford Ecosport XLT</v>
      </c>
      <c r="C991" s="1740" t="s">
        <v>12369</v>
      </c>
      <c r="D991" s="1736"/>
      <c r="E991" s="952">
        <f>F991/8</f>
        <v>275</v>
      </c>
      <c r="F991" s="1027">
        <v>2200</v>
      </c>
      <c r="G991" s="1368" t="s">
        <v>9</v>
      </c>
    </row>
    <row r="992" spans="1:7">
      <c r="A992" s="1754">
        <v>45698</v>
      </c>
      <c r="B992" s="1748" t="str">
        <f>TiposLancamentos!B17</f>
        <v>GATO</v>
      </c>
      <c r="C992" s="1740" t="s">
        <v>12370</v>
      </c>
      <c r="D992" s="1736"/>
      <c r="E992" s="952">
        <v>127.45</v>
      </c>
      <c r="F992" s="1027"/>
      <c r="G992" s="1368" t="s">
        <v>9</v>
      </c>
    </row>
    <row r="993" spans="1:7">
      <c r="A993" s="1754">
        <v>45698</v>
      </c>
      <c r="B993" s="1748" t="str">
        <f>TiposLancamentos!B5</f>
        <v>Supermercado</v>
      </c>
      <c r="C993" s="1740" t="s">
        <v>10550</v>
      </c>
      <c r="D993" s="1736"/>
      <c r="E993" s="952">
        <v>15.08</v>
      </c>
      <c r="F993" s="1027"/>
      <c r="G993" s="1368" t="s">
        <v>9</v>
      </c>
    </row>
    <row r="994" spans="1:7">
      <c r="A994" s="1754">
        <v>45698</v>
      </c>
      <c r="B994" s="1748" t="str">
        <f>TiposLancamentos!B5</f>
        <v>Supermercado</v>
      </c>
      <c r="C994" s="1740" t="s">
        <v>12371</v>
      </c>
      <c r="D994" s="1736"/>
      <c r="E994" s="952">
        <v>19.48</v>
      </c>
      <c r="F994" s="1027"/>
      <c r="G994" s="1368" t="s">
        <v>9</v>
      </c>
    </row>
    <row r="995" spans="1:7">
      <c r="A995" s="1754">
        <v>45699</v>
      </c>
      <c r="B995" s="1748" t="str">
        <f>TiposLancamentos!B24</f>
        <v>Estacionamentos</v>
      </c>
      <c r="C995" s="1740" t="s">
        <v>1898</v>
      </c>
      <c r="D995" s="1736"/>
      <c r="E995" s="952">
        <v>23</v>
      </c>
      <c r="F995" s="1027"/>
      <c r="G995" s="1368" t="s">
        <v>9</v>
      </c>
    </row>
    <row r="996" spans="1:7">
      <c r="A996" s="1754">
        <v>45700</v>
      </c>
      <c r="B996" s="1748" t="str">
        <f>TiposLancamentos!B5</f>
        <v>Supermercado</v>
      </c>
      <c r="C996" s="1740" t="s">
        <v>12372</v>
      </c>
      <c r="D996" s="1736"/>
      <c r="E996" s="952">
        <v>133.63999999999999</v>
      </c>
      <c r="F996" s="1027"/>
      <c r="G996" s="1368" t="s">
        <v>9</v>
      </c>
    </row>
    <row r="997" spans="1:7">
      <c r="A997" s="1754">
        <v>45702</v>
      </c>
      <c r="B997" s="1748" t="str">
        <f>TiposLancamentos!B5</f>
        <v>Supermercado</v>
      </c>
      <c r="C997" s="1740" t="s">
        <v>2153</v>
      </c>
      <c r="D997" s="1736"/>
      <c r="E997" s="952">
        <v>14.69</v>
      </c>
      <c r="F997" s="1027"/>
      <c r="G997" s="1368" t="s">
        <v>9</v>
      </c>
    </row>
    <row r="998" spans="1:7">
      <c r="A998" s="1754">
        <v>45702</v>
      </c>
      <c r="B998" s="1748" t="str">
        <f>TiposLancamentos!B19</f>
        <v>Restaurantes</v>
      </c>
      <c r="C998" s="1740" t="s">
        <v>12373</v>
      </c>
      <c r="D998" s="1736"/>
      <c r="E998" s="952">
        <v>69.900000000000006</v>
      </c>
      <c r="F998" s="1027"/>
      <c r="G998" s="1368" t="s">
        <v>9</v>
      </c>
    </row>
    <row r="999" spans="1:7">
      <c r="A999" s="1754">
        <v>45703</v>
      </c>
      <c r="B999" s="1748" t="str">
        <f>TiposLancamentos!B45</f>
        <v>Online Services</v>
      </c>
      <c r="C999" s="1740" t="s">
        <v>2071</v>
      </c>
      <c r="D999" s="1736"/>
      <c r="E999" s="952">
        <v>5.95</v>
      </c>
      <c r="F999" s="1027"/>
      <c r="G999" s="1368" t="s">
        <v>9</v>
      </c>
    </row>
    <row r="1000" spans="1:7">
      <c r="A1000" s="1754">
        <v>45703</v>
      </c>
      <c r="B1000" s="1748" t="str">
        <f>TiposLancamentos!B19</f>
        <v>Restaurantes</v>
      </c>
      <c r="C1000" s="1740" t="s">
        <v>12374</v>
      </c>
      <c r="D1000" s="1736"/>
      <c r="E1000" s="952">
        <v>196.9</v>
      </c>
      <c r="F1000" s="1027"/>
      <c r="G1000" s="1368" t="s">
        <v>9</v>
      </c>
    </row>
    <row r="1001" spans="1:7">
      <c r="A1001" s="1754">
        <v>45703</v>
      </c>
      <c r="B1001" s="1748" t="str">
        <f>TiposLancamentos!B19</f>
        <v>Restaurantes</v>
      </c>
      <c r="C1001" s="1740" t="s">
        <v>12375</v>
      </c>
      <c r="D1001" s="1736"/>
      <c r="E1001" s="952">
        <v>26.3</v>
      </c>
      <c r="F1001" s="1027"/>
      <c r="G1001" s="1368" t="s">
        <v>9</v>
      </c>
    </row>
    <row r="1002" spans="1:7">
      <c r="A1002" s="1754">
        <v>45703</v>
      </c>
      <c r="B1002" s="1748" t="str">
        <f>TiposLancamentos!B24</f>
        <v>Estacionamentos</v>
      </c>
      <c r="C1002" s="1740" t="s">
        <v>12376</v>
      </c>
      <c r="D1002" s="1736"/>
      <c r="E1002" s="952">
        <v>15.5</v>
      </c>
      <c r="F1002" s="1027"/>
      <c r="G1002" s="1368" t="s">
        <v>9</v>
      </c>
    </row>
    <row r="1003" spans="1:7">
      <c r="A1003" s="1754">
        <v>45703</v>
      </c>
      <c r="B1003" s="1748" t="str">
        <f>TiposLancamentos!B19</f>
        <v>Restaurantes</v>
      </c>
      <c r="C1003" s="1740" t="s">
        <v>9109</v>
      </c>
      <c r="D1003" s="1736"/>
      <c r="E1003" s="952">
        <v>77.650000000000006</v>
      </c>
      <c r="F1003" s="1027"/>
      <c r="G1003" s="1368" t="s">
        <v>9</v>
      </c>
    </row>
    <row r="1004" spans="1:7">
      <c r="A1004" s="1754">
        <v>45703</v>
      </c>
      <c r="B1004" s="1748" t="str">
        <f>TiposLancamentos!B5</f>
        <v>Supermercado</v>
      </c>
      <c r="C1004" s="1740" t="s">
        <v>1884</v>
      </c>
      <c r="D1004" s="1736"/>
      <c r="E1004" s="952">
        <v>26.97</v>
      </c>
      <c r="F1004" s="1027"/>
      <c r="G1004" s="1368" t="s">
        <v>9</v>
      </c>
    </row>
    <row r="1005" spans="1:7">
      <c r="A1005" s="1754">
        <v>45704</v>
      </c>
      <c r="B1005" s="1748" t="str">
        <f>TiposLancamentos!B5</f>
        <v>Supermercado</v>
      </c>
      <c r="C1005" s="1740" t="s">
        <v>2061</v>
      </c>
      <c r="D1005" s="1736"/>
      <c r="E1005" s="952">
        <v>273.47000000000003</v>
      </c>
      <c r="F1005" s="1027"/>
      <c r="G1005" s="1368" t="s">
        <v>9</v>
      </c>
    </row>
    <row r="1006" spans="1:7">
      <c r="A1006" s="1754">
        <v>45704</v>
      </c>
      <c r="B1006" s="1748" t="str">
        <f>TiposLancamentos!B5</f>
        <v>Supermercado</v>
      </c>
      <c r="C1006" s="1740" t="s">
        <v>2153</v>
      </c>
      <c r="D1006" s="1736"/>
      <c r="E1006" s="952">
        <v>9.8000000000000007</v>
      </c>
      <c r="F1006" s="1027"/>
      <c r="G1006" s="1368" t="s">
        <v>9</v>
      </c>
    </row>
    <row r="1007" spans="1:7">
      <c r="A1007" s="1754">
        <v>45704</v>
      </c>
      <c r="B1007" s="1748" t="str">
        <f>TiposLancamentos!B5</f>
        <v>Supermercado</v>
      </c>
      <c r="C1007" s="1740" t="s">
        <v>12377</v>
      </c>
      <c r="D1007" s="1736"/>
      <c r="E1007" s="952">
        <v>131.04</v>
      </c>
      <c r="F1007" s="1027"/>
      <c r="G1007" s="1368" t="s">
        <v>9</v>
      </c>
    </row>
    <row r="1008" spans="1:7">
      <c r="A1008" s="1754">
        <v>45704</v>
      </c>
      <c r="B1008" s="1748" t="str">
        <f>TiposLancamentos!B56</f>
        <v>Farmácia</v>
      </c>
      <c r="C1008" s="1740" t="s">
        <v>12378</v>
      </c>
      <c r="D1008" s="1736"/>
      <c r="E1008" s="952">
        <v>136.16</v>
      </c>
      <c r="F1008" s="1027"/>
      <c r="G1008" s="1368" t="s">
        <v>9</v>
      </c>
    </row>
    <row r="1009" spans="1:7">
      <c r="A1009" s="1754">
        <v>45704</v>
      </c>
      <c r="B1009" s="1748" t="str">
        <f>TiposLancamentos!B5</f>
        <v>Supermercado</v>
      </c>
      <c r="C1009" s="1740" t="s">
        <v>2153</v>
      </c>
      <c r="D1009" s="1736"/>
      <c r="E1009" s="952">
        <v>5.99</v>
      </c>
      <c r="F1009" s="1027"/>
      <c r="G1009" s="1368" t="s">
        <v>9</v>
      </c>
    </row>
    <row r="1010" spans="1:7">
      <c r="A1010" s="1754">
        <v>45706</v>
      </c>
      <c r="B1010" s="1748" t="str">
        <f>TiposLancamentos!B16</f>
        <v>Cristiane</v>
      </c>
      <c r="C1010" s="1740" t="s">
        <v>2618</v>
      </c>
      <c r="D1010" s="1736"/>
      <c r="E1010" s="952">
        <v>31</v>
      </c>
      <c r="F1010" s="1027"/>
      <c r="G1010" s="1368" t="s">
        <v>9</v>
      </c>
    </row>
    <row r="1011" spans="1:7">
      <c r="A1011" s="1754">
        <v>45706</v>
      </c>
      <c r="B1011" s="1748" t="str">
        <f>TiposLancamentos!B16</f>
        <v>Cristiane</v>
      </c>
      <c r="C1011" s="1740" t="s">
        <v>2155</v>
      </c>
      <c r="D1011" s="1736"/>
      <c r="E1011" s="952">
        <v>8.98</v>
      </c>
      <c r="F1011" s="1027"/>
      <c r="G1011" s="1368" t="s">
        <v>9</v>
      </c>
    </row>
    <row r="1012" spans="1:7">
      <c r="A1012" s="1756"/>
      <c r="B1012" s="1749"/>
      <c r="C1012" s="1741" t="s">
        <v>10</v>
      </c>
      <c r="D1012" s="1690"/>
      <c r="E1012" s="1231"/>
      <c r="F1012" s="1231"/>
      <c r="G1012" s="1094" t="s">
        <v>11</v>
      </c>
    </row>
    <row r="1013" spans="1:7">
      <c r="A1013" s="1754">
        <v>45709</v>
      </c>
      <c r="B1013" s="1748" t="str">
        <f>TiposLancamentos!B19</f>
        <v>Restaurantes</v>
      </c>
      <c r="C1013" s="1740" t="s">
        <v>12379</v>
      </c>
      <c r="D1013" s="1736"/>
      <c r="E1013" s="952">
        <v>42</v>
      </c>
      <c r="F1013" s="1027"/>
      <c r="G1013" s="1368" t="s">
        <v>9</v>
      </c>
    </row>
    <row r="1014" spans="1:7">
      <c r="A1014" s="1754">
        <v>45709</v>
      </c>
      <c r="B1014" s="1748" t="str">
        <f>TiposLancamentos!B19</f>
        <v>Restaurantes</v>
      </c>
      <c r="C1014" s="1740" t="s">
        <v>12380</v>
      </c>
      <c r="D1014" s="1736"/>
      <c r="E1014" s="952">
        <v>99</v>
      </c>
      <c r="F1014" s="1027"/>
      <c r="G1014" s="1368" t="s">
        <v>9</v>
      </c>
    </row>
    <row r="1015" spans="1:7">
      <c r="A1015" s="1754">
        <v>45710</v>
      </c>
      <c r="B1015" s="1748" t="str">
        <f>TiposLancamentos!B19</f>
        <v>Restaurantes</v>
      </c>
      <c r="C1015" s="1740" t="s">
        <v>12381</v>
      </c>
      <c r="D1015" s="1736"/>
      <c r="E1015" s="952">
        <v>56.8</v>
      </c>
      <c r="F1015" s="1027"/>
      <c r="G1015" s="1368" t="s">
        <v>9</v>
      </c>
    </row>
    <row r="1016" spans="1:7">
      <c r="A1016" s="1754">
        <v>45710</v>
      </c>
      <c r="B1016" s="1748" t="str">
        <f>TiposLancamentos!B19</f>
        <v>Restaurantes</v>
      </c>
      <c r="C1016" s="1740" t="s">
        <v>12382</v>
      </c>
      <c r="D1016" s="1736"/>
      <c r="E1016" s="952">
        <v>89.9</v>
      </c>
      <c r="F1016" s="1027"/>
      <c r="G1016" s="1368" t="s">
        <v>9</v>
      </c>
    </row>
    <row r="1017" spans="1:7">
      <c r="A1017" s="1754">
        <v>45712</v>
      </c>
      <c r="B1017" s="1748" t="str">
        <f>TiposLancamentos!B16</f>
        <v>Cristiane</v>
      </c>
      <c r="C1017" s="1740" t="s">
        <v>9998</v>
      </c>
      <c r="D1017" s="1736"/>
      <c r="E1017" s="952">
        <v>22.93</v>
      </c>
      <c r="F1017" s="1027"/>
      <c r="G1017" s="1368" t="s">
        <v>9</v>
      </c>
    </row>
    <row r="1018" spans="1:7">
      <c r="A1018" s="1754">
        <v>45713</v>
      </c>
      <c r="B1018" s="1748" t="str">
        <f>TiposLancamentos!B16</f>
        <v>Cristiane</v>
      </c>
      <c r="C1018" s="1740" t="s">
        <v>9998</v>
      </c>
      <c r="D1018" s="1736"/>
      <c r="E1018" s="952">
        <v>17.690000000000001</v>
      </c>
      <c r="F1018" s="1027"/>
      <c r="G1018" s="1368" t="s">
        <v>9</v>
      </c>
    </row>
    <row r="1019" spans="1:7">
      <c r="A1019" s="1754">
        <v>45714</v>
      </c>
      <c r="B1019" s="1748" t="str">
        <f>TiposLancamentos!B69</f>
        <v>Consertos</v>
      </c>
      <c r="C1019" s="1740" t="s">
        <v>12383</v>
      </c>
      <c r="D1019" s="1736"/>
      <c r="E1019" s="952">
        <v>50</v>
      </c>
      <c r="F1019" s="1027"/>
      <c r="G1019" s="1368" t="s">
        <v>9</v>
      </c>
    </row>
    <row r="1020" spans="1:7">
      <c r="A1020" s="1754">
        <v>45715</v>
      </c>
      <c r="B1020" s="1748" t="str">
        <f>TiposLancamentos!B19</f>
        <v>Restaurantes</v>
      </c>
      <c r="C1020" s="1740" t="s">
        <v>12384</v>
      </c>
      <c r="D1020" s="1736"/>
      <c r="E1020" s="952">
        <v>89.9</v>
      </c>
      <c r="F1020" s="1027"/>
      <c r="G1020" s="1368" t="s">
        <v>9</v>
      </c>
    </row>
    <row r="1021" spans="1:7">
      <c r="A1021" s="1754">
        <v>45716</v>
      </c>
      <c r="B1021" s="1748" t="str">
        <f>TiposLancamentos!B23</f>
        <v>P208 GRIFFE 1.6 AUT BUSINESS</v>
      </c>
      <c r="C1021" s="1740" t="s">
        <v>12385</v>
      </c>
      <c r="D1021" s="1736"/>
      <c r="E1021" s="952">
        <f>F1021/6</f>
        <v>288.5</v>
      </c>
      <c r="F1021" s="1027">
        <v>1731</v>
      </c>
      <c r="G1021" s="1368" t="s">
        <v>9</v>
      </c>
    </row>
    <row r="1022" spans="1:7">
      <c r="A1022" s="1754">
        <v>45716</v>
      </c>
      <c r="B1022" s="1748" t="str">
        <f>TiposLancamentos!B39</f>
        <v>Playstation 5</v>
      </c>
      <c r="C1022" s="1740" t="s">
        <v>12386</v>
      </c>
      <c r="D1022" s="1736"/>
      <c r="E1022" s="952">
        <f>F1022/10</f>
        <v>126.9</v>
      </c>
      <c r="F1022" s="1027">
        <v>1269</v>
      </c>
      <c r="G1022" s="1368" t="s">
        <v>9</v>
      </c>
    </row>
    <row r="1023" spans="1:7" ht="14.25" thickBot="1">
      <c r="A1023" s="1754">
        <v>45716</v>
      </c>
      <c r="B1023" s="1748" t="str">
        <f>TiposLancamentos!B57</f>
        <v>Informática</v>
      </c>
      <c r="C1023" s="1740" t="s">
        <v>12387</v>
      </c>
      <c r="D1023" s="1736"/>
      <c r="E1023" s="952">
        <v>55.35</v>
      </c>
      <c r="F1023" s="1027">
        <v>331.95</v>
      </c>
      <c r="G1023" s="1368" t="s">
        <v>9</v>
      </c>
    </row>
    <row r="1024" spans="1:7">
      <c r="A1024" s="1814"/>
      <c r="B1024" s="1809"/>
      <c r="C1024" s="1801" t="s">
        <v>1644</v>
      </c>
      <c r="D1024" s="1794"/>
      <c r="E1024" s="1788"/>
      <c r="F1024" s="1078">
        <f>SUM(E962:E1012)</f>
        <v>3689.2399999999993</v>
      </c>
    </row>
    <row r="1025" spans="1:7">
      <c r="A1025" s="1754">
        <v>45718</v>
      </c>
      <c r="B1025" s="1748" t="str">
        <f>TiposLancamentos!B44</f>
        <v>Academia</v>
      </c>
      <c r="C1025" s="1740" t="s">
        <v>12338</v>
      </c>
      <c r="D1025" s="1736"/>
      <c r="E1025" s="952">
        <v>159.9</v>
      </c>
      <c r="F1025" s="1027">
        <f>F1024-F967</f>
        <v>-3095.3849999999979</v>
      </c>
      <c r="G1025" s="1368" t="s">
        <v>9</v>
      </c>
    </row>
    <row r="1026" spans="1:7">
      <c r="A1026" s="1754">
        <v>45719</v>
      </c>
      <c r="B1026" s="1748" t="str">
        <f>TiposLancamentos!B88</f>
        <v>Ford Ecosport XLT</v>
      </c>
      <c r="C1026" s="1740" t="s">
        <v>12388</v>
      </c>
      <c r="D1026" s="1736"/>
      <c r="E1026" s="952">
        <f>F1026/10</f>
        <v>120</v>
      </c>
      <c r="F1026" s="1027">
        <v>1200</v>
      </c>
      <c r="G1026" s="1368" t="s">
        <v>9</v>
      </c>
    </row>
    <row r="1027" spans="1:7">
      <c r="A1027" s="1754">
        <v>45720</v>
      </c>
      <c r="B1027" s="1748" t="str">
        <f>TiposLancamentos!B19</f>
        <v>Restaurantes</v>
      </c>
      <c r="C1027" s="1740" t="s">
        <v>7741</v>
      </c>
      <c r="D1027" s="1736"/>
      <c r="E1027" s="952">
        <v>41.6</v>
      </c>
      <c r="F1027" s="1027"/>
      <c r="G1027" s="1368" t="s">
        <v>9</v>
      </c>
    </row>
    <row r="1028" spans="1:7">
      <c r="A1028" s="1754">
        <v>45720</v>
      </c>
      <c r="B1028" s="1748" t="str">
        <f>TiposLancamentos!B56</f>
        <v>Farmácia</v>
      </c>
      <c r="C1028" s="1740" t="s">
        <v>12389</v>
      </c>
      <c r="D1028" s="1736"/>
      <c r="E1028" s="952">
        <v>43.89</v>
      </c>
      <c r="F1028" s="1027"/>
      <c r="G1028" s="1368" t="s">
        <v>9</v>
      </c>
    </row>
    <row r="1029" spans="1:7">
      <c r="A1029" s="1754">
        <v>45721</v>
      </c>
      <c r="B1029" s="1748" t="str">
        <f>TiposLancamentos!B15</f>
        <v>Cartões de Crédito</v>
      </c>
      <c r="C1029" s="1740" t="s">
        <v>1874</v>
      </c>
      <c r="D1029" s="1736">
        <v>3689.24</v>
      </c>
      <c r="E1029" s="952"/>
      <c r="F1029" s="1027"/>
      <c r="G1029" s="1368" t="s">
        <v>9</v>
      </c>
    </row>
    <row r="1030" spans="1:7">
      <c r="A1030" s="1754">
        <v>45722</v>
      </c>
      <c r="B1030" s="1748" t="str">
        <f>TiposLancamentos!B5</f>
        <v>Supermercado</v>
      </c>
      <c r="C1030" s="1740" t="s">
        <v>12390</v>
      </c>
      <c r="D1030" s="1736"/>
      <c r="E1030" s="952">
        <v>24.72</v>
      </c>
      <c r="F1030" s="1027"/>
      <c r="G1030" s="1368" t="s">
        <v>9</v>
      </c>
    </row>
    <row r="1031" spans="1:7">
      <c r="A1031" s="1754">
        <v>45723</v>
      </c>
      <c r="B1031" s="1748" t="str">
        <f>TiposLancamentos!B19</f>
        <v>Restaurantes</v>
      </c>
      <c r="C1031" s="1740" t="s">
        <v>12391</v>
      </c>
      <c r="D1031" s="1736"/>
      <c r="E1031" s="952">
        <v>145</v>
      </c>
      <c r="F1031" s="1027"/>
      <c r="G1031" s="1368" t="s">
        <v>9</v>
      </c>
    </row>
    <row r="1032" spans="1:7">
      <c r="A1032" s="1754">
        <v>45724</v>
      </c>
      <c r="B1032" s="1748" t="str">
        <f>TiposLancamentos!B5</f>
        <v>Supermercado</v>
      </c>
      <c r="C1032" s="1740" t="s">
        <v>12392</v>
      </c>
      <c r="D1032" s="1736"/>
      <c r="E1032" s="952">
        <v>171.71</v>
      </c>
      <c r="F1032" s="1027"/>
      <c r="G1032" s="1368" t="s">
        <v>9</v>
      </c>
    </row>
    <row r="1033" spans="1:7">
      <c r="A1033" s="1754">
        <v>45724</v>
      </c>
      <c r="B1033" s="1748" t="str">
        <f>TiposLancamentos!B19</f>
        <v>Restaurantes</v>
      </c>
      <c r="C1033" s="1740" t="s">
        <v>12393</v>
      </c>
      <c r="D1033" s="1736"/>
      <c r="E1033" s="952">
        <v>159.5</v>
      </c>
      <c r="F1033" s="1027"/>
      <c r="G1033" s="1368" t="s">
        <v>9</v>
      </c>
    </row>
    <row r="1034" spans="1:7">
      <c r="A1034" s="1754">
        <v>45724</v>
      </c>
      <c r="B1034" s="1748" t="str">
        <f>TiposLancamentos!B22</f>
        <v>Combustivel</v>
      </c>
      <c r="C1034" s="1740" t="s">
        <v>12229</v>
      </c>
      <c r="D1034" s="1736"/>
      <c r="E1034" s="952">
        <v>200</v>
      </c>
      <c r="F1034" s="1027"/>
      <c r="G1034" s="1368" t="s">
        <v>9</v>
      </c>
    </row>
    <row r="1035" spans="1:7">
      <c r="A1035" s="1754">
        <v>45724</v>
      </c>
      <c r="B1035" s="1748" t="str">
        <f>B1032</f>
        <v>Supermercado</v>
      </c>
      <c r="C1035" s="1740" t="s">
        <v>12394</v>
      </c>
      <c r="D1035" s="1736"/>
      <c r="E1035" s="952">
        <v>25</v>
      </c>
      <c r="F1035" s="1027"/>
      <c r="G1035" s="1368" t="s">
        <v>9</v>
      </c>
    </row>
    <row r="1036" spans="1:7">
      <c r="A1036" s="1754">
        <v>45725</v>
      </c>
      <c r="B1036" s="1748" t="str">
        <f>TiposLancamentos!B19</f>
        <v>Restaurantes</v>
      </c>
      <c r="C1036" s="1740" t="s">
        <v>12395</v>
      </c>
      <c r="D1036" s="1736"/>
      <c r="E1036" s="952">
        <v>58.8</v>
      </c>
      <c r="F1036" s="1027"/>
      <c r="G1036" s="1368" t="s">
        <v>9</v>
      </c>
    </row>
    <row r="1037" spans="1:7">
      <c r="A1037" s="1754">
        <v>45725</v>
      </c>
      <c r="B1037" s="1748" t="str">
        <f>TiposLancamentos!B19</f>
        <v>Restaurantes</v>
      </c>
      <c r="C1037" s="1740" t="s">
        <v>12396</v>
      </c>
      <c r="D1037" s="1736"/>
      <c r="E1037" s="952">
        <v>69.98</v>
      </c>
      <c r="F1037" s="1027"/>
      <c r="G1037" s="1368" t="s">
        <v>9</v>
      </c>
    </row>
    <row r="1038" spans="1:7">
      <c r="A1038" s="1754">
        <v>45726</v>
      </c>
      <c r="B1038" s="1748" t="str">
        <f>TiposLancamentos!B88</f>
        <v>Ford Ecosport XLT</v>
      </c>
      <c r="C1038" s="1740" t="s">
        <v>12397</v>
      </c>
      <c r="D1038" s="1736"/>
      <c r="E1038" s="952">
        <f>F1038/8</f>
        <v>275</v>
      </c>
      <c r="F1038" s="1027">
        <v>2200</v>
      </c>
      <c r="G1038" s="1368" t="s">
        <v>9</v>
      </c>
    </row>
    <row r="1039" spans="1:7">
      <c r="A1039" s="1754">
        <v>45726</v>
      </c>
      <c r="B1039" s="1748" t="str">
        <f>TiposLancamentos!B23</f>
        <v>P208 GRIFFE 1.6 AUT BUSINESS</v>
      </c>
      <c r="C1039" s="1740" t="s">
        <v>12398</v>
      </c>
      <c r="D1039" s="1736"/>
      <c r="E1039" s="952">
        <v>60</v>
      </c>
      <c r="F1039" s="1027"/>
      <c r="G1039" s="1368" t="s">
        <v>9</v>
      </c>
    </row>
    <row r="1040" spans="1:7">
      <c r="A1040" s="1754">
        <v>45727</v>
      </c>
      <c r="B1040" s="1748" t="str">
        <f>TiposLancamentos!B22</f>
        <v>Combustivel</v>
      </c>
      <c r="C1040" s="1740" t="s">
        <v>12399</v>
      </c>
      <c r="D1040" s="1736"/>
      <c r="E1040" s="952">
        <v>100</v>
      </c>
      <c r="F1040" s="1027"/>
      <c r="G1040" s="1368" t="s">
        <v>9</v>
      </c>
    </row>
    <row r="1041" spans="1:7">
      <c r="A1041" s="1754">
        <v>45727</v>
      </c>
      <c r="B1041" s="1748" t="str">
        <f>TiposLancamentos!B24</f>
        <v>Estacionamentos</v>
      </c>
      <c r="C1041" s="1740" t="s">
        <v>1898</v>
      </c>
      <c r="D1041" s="1736"/>
      <c r="E1041" s="952">
        <v>23</v>
      </c>
      <c r="F1041" s="1027"/>
      <c r="G1041" s="1368" t="s">
        <v>9</v>
      </c>
    </row>
    <row r="1042" spans="1:7">
      <c r="A1042" s="1754">
        <v>45727</v>
      </c>
      <c r="B1042" s="1748" t="str">
        <f>TiposLancamentos!B19</f>
        <v>Restaurantes</v>
      </c>
      <c r="C1042" s="1740" t="s">
        <v>1967</v>
      </c>
      <c r="D1042" s="1736"/>
      <c r="E1042" s="952">
        <v>27.5</v>
      </c>
      <c r="F1042" s="1027"/>
      <c r="G1042" s="1368" t="s">
        <v>9</v>
      </c>
    </row>
    <row r="1043" spans="1:7">
      <c r="A1043" s="1754">
        <v>45729</v>
      </c>
      <c r="B1043" s="1748" t="str">
        <f>TiposLancamentos!B19</f>
        <v>Restaurantes</v>
      </c>
      <c r="C1043" s="1740" t="s">
        <v>12400</v>
      </c>
      <c r="D1043" s="1736"/>
      <c r="E1043" s="952">
        <v>110</v>
      </c>
      <c r="F1043" s="1027"/>
      <c r="G1043" s="1368" t="s">
        <v>9</v>
      </c>
    </row>
    <row r="1044" spans="1:7">
      <c r="A1044" s="1754">
        <v>45731</v>
      </c>
      <c r="B1044" s="1748" t="str">
        <f>TiposLancamentos!B45</f>
        <v>Online Services</v>
      </c>
      <c r="C1044" s="1740" t="s">
        <v>12401</v>
      </c>
      <c r="D1044" s="1736"/>
      <c r="E1044" s="952">
        <v>5.95</v>
      </c>
      <c r="F1044" s="1027"/>
      <c r="G1044" s="1368" t="s">
        <v>9</v>
      </c>
    </row>
    <row r="1045" spans="1:7">
      <c r="A1045" s="1754">
        <v>45734</v>
      </c>
      <c r="B1045" s="1748" t="str">
        <f>TiposLancamentos!B16</f>
        <v>Cristiane</v>
      </c>
      <c r="C1045" s="1740" t="s">
        <v>2155</v>
      </c>
      <c r="D1045" s="1736"/>
      <c r="E1045" s="952">
        <v>8.9600000000000009</v>
      </c>
      <c r="F1045" s="1027"/>
      <c r="G1045" s="1368" t="s">
        <v>9</v>
      </c>
    </row>
    <row r="1046" spans="1:7">
      <c r="A1046" s="1754">
        <v>45734</v>
      </c>
      <c r="B1046" s="1748" t="str">
        <f>TiposLancamentos!B16</f>
        <v>Cristiane</v>
      </c>
      <c r="C1046" s="1740" t="s">
        <v>2155</v>
      </c>
      <c r="D1046" s="1736"/>
      <c r="E1046" s="952">
        <v>3</v>
      </c>
      <c r="F1046" s="1027"/>
      <c r="G1046" s="1368" t="s">
        <v>9</v>
      </c>
    </row>
    <row r="1047" spans="1:7">
      <c r="A1047" s="1754">
        <v>45737</v>
      </c>
      <c r="B1047" s="1748" t="str">
        <f>TiposLancamentos!B16</f>
        <v>Cristiane</v>
      </c>
      <c r="C1047" s="1740" t="s">
        <v>2155</v>
      </c>
      <c r="D1047" s="1736"/>
      <c r="E1047" s="952">
        <v>14.93</v>
      </c>
      <c r="F1047" s="1027"/>
      <c r="G1047" s="1368" t="s">
        <v>9</v>
      </c>
    </row>
    <row r="1048" spans="1:7">
      <c r="A1048" s="1754">
        <v>45738</v>
      </c>
      <c r="B1048" s="1748" t="str">
        <f>TiposLancamentos!B19</f>
        <v>Restaurantes</v>
      </c>
      <c r="C1048" s="1740" t="s">
        <v>12402</v>
      </c>
      <c r="D1048" s="1736"/>
      <c r="E1048" s="952">
        <v>89.9</v>
      </c>
      <c r="F1048" s="1027"/>
      <c r="G1048" s="1368" t="s">
        <v>9</v>
      </c>
    </row>
    <row r="1049" spans="1:7">
      <c r="A1049" s="1756"/>
      <c r="B1049" s="1749"/>
      <c r="C1049" s="1741" t="s">
        <v>10</v>
      </c>
      <c r="D1049" s="1690"/>
      <c r="E1049" s="1231"/>
      <c r="F1049" s="1231"/>
      <c r="G1049" s="1094" t="s">
        <v>11</v>
      </c>
    </row>
    <row r="1050" spans="1:7">
      <c r="A1050" s="1754">
        <v>45742</v>
      </c>
      <c r="B1050" s="1748" t="str">
        <f>TiposLancamentos!B71</f>
        <v>Itens Pessoais</v>
      </c>
      <c r="C1050" s="1740" t="s">
        <v>12403</v>
      </c>
      <c r="D1050" s="1736"/>
      <c r="E1050" s="952">
        <v>100.61</v>
      </c>
      <c r="F1050" s="1027">
        <v>603.51</v>
      </c>
      <c r="G1050" s="1368" t="s">
        <v>9</v>
      </c>
    </row>
    <row r="1051" spans="1:7">
      <c r="A1051" s="1754">
        <v>45743</v>
      </c>
      <c r="B1051" s="1748" t="str">
        <f>TiposLancamentos!B19</f>
        <v>Restaurantes</v>
      </c>
      <c r="C1051" s="1740" t="s">
        <v>12404</v>
      </c>
      <c r="D1051" s="1736"/>
      <c r="E1051" s="952">
        <v>99</v>
      </c>
      <c r="F1051" s="1027"/>
      <c r="G1051" s="1368" t="s">
        <v>9</v>
      </c>
    </row>
    <row r="1052" spans="1:7">
      <c r="A1052" s="1754">
        <v>45744</v>
      </c>
      <c r="B1052" s="1748" t="str">
        <f>TiposLancamentos!B39</f>
        <v>Playstation 5</v>
      </c>
      <c r="C1052" s="1740" t="s">
        <v>12405</v>
      </c>
      <c r="D1052" s="1736"/>
      <c r="E1052" s="952">
        <f>F1052/10</f>
        <v>126.9</v>
      </c>
      <c r="F1052" s="1027">
        <v>1269</v>
      </c>
      <c r="G1052" s="1368" t="s">
        <v>9</v>
      </c>
    </row>
    <row r="1053" spans="1:7">
      <c r="A1053" s="1754">
        <v>45744</v>
      </c>
      <c r="B1053" s="1748" t="str">
        <f>TiposLancamentos!B57</f>
        <v>Informática</v>
      </c>
      <c r="C1053" s="1740" t="s">
        <v>12406</v>
      </c>
      <c r="D1053" s="1736"/>
      <c r="E1053" s="952">
        <v>55.32</v>
      </c>
      <c r="F1053" s="1027">
        <v>331.95</v>
      </c>
      <c r="G1053" s="1368" t="s">
        <v>9</v>
      </c>
    </row>
    <row r="1054" spans="1:7">
      <c r="A1054" s="1754">
        <v>45745</v>
      </c>
      <c r="B1054" s="1748" t="str">
        <f>TiposLancamentos!B23</f>
        <v>P208 GRIFFE 1.6 AUT BUSINESS</v>
      </c>
      <c r="C1054" s="1740" t="s">
        <v>12407</v>
      </c>
      <c r="D1054" s="1736"/>
      <c r="E1054" s="952">
        <f>F1054/6</f>
        <v>288.5</v>
      </c>
      <c r="F1054" s="1027">
        <v>1731</v>
      </c>
      <c r="G1054" s="1368" t="s">
        <v>9</v>
      </c>
    </row>
    <row r="1055" spans="1:7">
      <c r="A1055" s="1754">
        <v>45745</v>
      </c>
      <c r="B1055" s="1748" t="str">
        <f>TiposLancamentos!B45</f>
        <v>Online Services</v>
      </c>
      <c r="C1055" s="1740" t="s">
        <v>12408</v>
      </c>
      <c r="D1055" s="1736"/>
      <c r="E1055" s="952">
        <v>209.47</v>
      </c>
      <c r="F1055" s="1027"/>
      <c r="G1055" s="1368" t="s">
        <v>9</v>
      </c>
    </row>
    <row r="1056" spans="1:7" ht="14.25" thickBot="1">
      <c r="A1056" s="1754">
        <v>45745</v>
      </c>
      <c r="B1056" s="1748" t="str">
        <f>TiposLancamentos!B19</f>
        <v>Restaurantes</v>
      </c>
      <c r="C1056" s="1740" t="s">
        <v>12409</v>
      </c>
      <c r="D1056" s="1736"/>
      <c r="E1056" s="952">
        <v>81.900000000000006</v>
      </c>
      <c r="F1056" s="1027"/>
      <c r="G1056" s="1368" t="s">
        <v>9</v>
      </c>
    </row>
    <row r="1057" spans="1:8">
      <c r="A1057" s="1814"/>
      <c r="B1057" s="1809"/>
      <c r="C1057" s="1801" t="s">
        <v>1645</v>
      </c>
      <c r="D1057" s="1794"/>
      <c r="E1057" s="1788"/>
      <c r="F1057" s="1078">
        <f>SUM(E1012:E1049)</f>
        <v>2877.31</v>
      </c>
    </row>
    <row r="1058" spans="1:8">
      <c r="A1058" s="1754">
        <v>45748</v>
      </c>
      <c r="B1058" s="1748" t="str">
        <f>TiposLancamentos!B15</f>
        <v>Cartões de Crédito</v>
      </c>
      <c r="C1058" s="1740" t="s">
        <v>1874</v>
      </c>
      <c r="D1058" s="1736">
        <v>2877.31</v>
      </c>
      <c r="E1058" s="952"/>
      <c r="F1058" s="1027">
        <f>F1057-F1024</f>
        <v>-811.92999999999938</v>
      </c>
      <c r="G1058" s="1094" t="s">
        <v>11</v>
      </c>
    </row>
    <row r="1059" spans="1:8">
      <c r="A1059" s="1754">
        <v>45748</v>
      </c>
      <c r="B1059" s="1748" t="str">
        <f>TiposLancamentos!B45</f>
        <v>Online Services</v>
      </c>
      <c r="C1059" s="1740" t="s">
        <v>12410</v>
      </c>
      <c r="D1059" s="1736"/>
      <c r="E1059" s="952">
        <v>81.08</v>
      </c>
      <c r="F1059" s="1027"/>
      <c r="G1059" s="1368" t="s">
        <v>9</v>
      </c>
    </row>
    <row r="1060" spans="1:8">
      <c r="A1060" s="1754">
        <v>45749</v>
      </c>
      <c r="B1060" s="1748" t="str">
        <f>TiposLancamentos!B44</f>
        <v>Academia</v>
      </c>
      <c r="C1060" s="1740" t="s">
        <v>12338</v>
      </c>
      <c r="D1060" s="1736"/>
      <c r="E1060" s="952">
        <v>159.9</v>
      </c>
      <c r="F1060" s="1027"/>
      <c r="G1060" s="1368" t="s">
        <v>9</v>
      </c>
    </row>
    <row r="1061" spans="1:8">
      <c r="A1061" s="1754">
        <v>45749</v>
      </c>
      <c r="B1061" s="1748" t="str">
        <f>TiposLancamentos!B71</f>
        <v>Itens Pessoais</v>
      </c>
      <c r="C1061" s="1740" t="s">
        <v>12411</v>
      </c>
      <c r="D1061" s="1736"/>
      <c r="E1061" s="952">
        <v>424.15</v>
      </c>
      <c r="F1061" s="1027"/>
      <c r="G1061" s="1368" t="s">
        <v>9</v>
      </c>
    </row>
    <row r="1062" spans="1:8">
      <c r="A1062" s="1754">
        <v>45750</v>
      </c>
      <c r="B1062" s="1748" t="str">
        <f>TiposLancamentos!B88</f>
        <v>Ford Ecosport XLT</v>
      </c>
      <c r="C1062" s="1740" t="s">
        <v>12412</v>
      </c>
      <c r="D1062" s="1736"/>
      <c r="E1062" s="952">
        <f>F1062/10</f>
        <v>120</v>
      </c>
      <c r="F1062" s="1027">
        <v>1200</v>
      </c>
      <c r="G1062" s="1368" t="s">
        <v>9</v>
      </c>
      <c r="H1062" s="877"/>
    </row>
    <row r="1063" spans="1:8">
      <c r="A1063" s="1754">
        <v>45750</v>
      </c>
      <c r="B1063" s="1748" t="str">
        <f>TiposLancamentos!B22</f>
        <v>Combustivel</v>
      </c>
      <c r="C1063" s="1740" t="s">
        <v>9967</v>
      </c>
      <c r="D1063" s="1736"/>
      <c r="E1063" s="952">
        <v>100</v>
      </c>
      <c r="F1063" s="1027"/>
      <c r="G1063" s="1368" t="s">
        <v>9</v>
      </c>
    </row>
    <row r="1064" spans="1:8">
      <c r="A1064" s="1818">
        <v>45751</v>
      </c>
      <c r="B1064" s="1813" t="str">
        <f>TiposLancamentos!B16</f>
        <v>Cristiane</v>
      </c>
      <c r="C1064" s="1806" t="s">
        <v>12413</v>
      </c>
      <c r="D1064" s="1797"/>
      <c r="E1064" s="1791">
        <v>180.09</v>
      </c>
      <c r="F1064" s="1787"/>
      <c r="G1064" s="1368" t="s">
        <v>9</v>
      </c>
    </row>
    <row r="1065" spans="1:8">
      <c r="A1065" s="1754">
        <v>45751</v>
      </c>
      <c r="B1065" s="1748" t="str">
        <f>TiposLancamentos!B19</f>
        <v>Restaurantes</v>
      </c>
      <c r="C1065" s="1740" t="s">
        <v>12414</v>
      </c>
      <c r="D1065" s="1736"/>
      <c r="E1065" s="952">
        <v>89.97</v>
      </c>
      <c r="F1065" s="1027"/>
      <c r="G1065" s="1368" t="s">
        <v>9</v>
      </c>
    </row>
    <row r="1066" spans="1:8">
      <c r="A1066" s="1754">
        <v>45752</v>
      </c>
      <c r="B1066" s="1748" t="str">
        <f>TiposLancamentos!B19</f>
        <v>Restaurantes</v>
      </c>
      <c r="C1066" s="1740" t="s">
        <v>12415</v>
      </c>
      <c r="D1066" s="1736"/>
      <c r="E1066" s="952">
        <v>104.9</v>
      </c>
      <c r="F1066" s="1027"/>
      <c r="G1066" s="1368" t="s">
        <v>9</v>
      </c>
    </row>
    <row r="1067" spans="1:8">
      <c r="A1067" s="1754">
        <v>45756</v>
      </c>
      <c r="B1067" s="1748" t="str">
        <f>TiposLancamentos!B5</f>
        <v>Supermercado</v>
      </c>
      <c r="C1067" s="1740" t="s">
        <v>12416</v>
      </c>
      <c r="D1067" s="1736"/>
      <c r="E1067" s="952">
        <v>322.2</v>
      </c>
      <c r="F1067" s="1027"/>
      <c r="G1067" s="1368" t="s">
        <v>9</v>
      </c>
    </row>
    <row r="1068" spans="1:8">
      <c r="A1068" s="1754">
        <v>45757</v>
      </c>
      <c r="B1068" s="1748" t="str">
        <f>TiposLancamentos!B88</f>
        <v>Ford Ecosport XLT</v>
      </c>
      <c r="C1068" s="1740" t="s">
        <v>12417</v>
      </c>
      <c r="D1068" s="1736"/>
      <c r="E1068" s="952">
        <f>F1068/8</f>
        <v>275</v>
      </c>
      <c r="F1068" s="1027">
        <v>2200</v>
      </c>
      <c r="G1068" s="1368" t="s">
        <v>9</v>
      </c>
      <c r="H1068" s="877"/>
    </row>
    <row r="1069" spans="1:8">
      <c r="A1069" s="1754">
        <v>45757</v>
      </c>
      <c r="B1069" s="1748" t="str">
        <f>TiposLancamentos!B19</f>
        <v>Restaurantes</v>
      </c>
      <c r="C1069" s="1740" t="s">
        <v>12418</v>
      </c>
      <c r="D1069" s="1736"/>
      <c r="E1069" s="952">
        <v>79.98</v>
      </c>
      <c r="F1069" s="1027"/>
      <c r="G1069" s="1368" t="s">
        <v>9</v>
      </c>
    </row>
    <row r="1070" spans="1:8">
      <c r="A1070" s="1754">
        <v>45758</v>
      </c>
      <c r="B1070" s="1748" t="str">
        <f>TiposLancamentos!B19</f>
        <v>Restaurantes</v>
      </c>
      <c r="C1070" s="1740" t="s">
        <v>12404</v>
      </c>
      <c r="D1070" s="1736"/>
      <c r="E1070" s="952">
        <v>96</v>
      </c>
      <c r="F1070" s="1027"/>
      <c r="G1070" s="1368" t="s">
        <v>9</v>
      </c>
    </row>
    <row r="1071" spans="1:8">
      <c r="A1071" s="1754">
        <v>45759</v>
      </c>
      <c r="B1071" s="1748" t="str">
        <f>TiposLancamentos!B19</f>
        <v>Restaurantes</v>
      </c>
      <c r="C1071" s="1740" t="s">
        <v>12419</v>
      </c>
      <c r="D1071" s="1736"/>
      <c r="E1071" s="952">
        <v>57</v>
      </c>
      <c r="F1071" s="1027"/>
      <c r="G1071" s="1368" t="s">
        <v>9</v>
      </c>
    </row>
    <row r="1072" spans="1:8">
      <c r="A1072" s="1754">
        <v>45760</v>
      </c>
      <c r="B1072" s="1748" t="str">
        <f>TiposLancamentos!B16</f>
        <v>Cristiane</v>
      </c>
      <c r="C1072" s="1740" t="s">
        <v>2155</v>
      </c>
      <c r="D1072" s="1736"/>
      <c r="E1072" s="952">
        <v>15.97</v>
      </c>
      <c r="F1072" s="1027"/>
      <c r="G1072" s="1368" t="s">
        <v>9</v>
      </c>
    </row>
    <row r="1073" spans="1:7">
      <c r="A1073" s="1754">
        <v>45760</v>
      </c>
      <c r="B1073" s="1748" t="str">
        <f>TiposLancamentos!B19</f>
        <v>Restaurantes</v>
      </c>
      <c r="C1073" s="1740" t="s">
        <v>12420</v>
      </c>
      <c r="D1073" s="1736"/>
      <c r="E1073" s="952">
        <v>101.3</v>
      </c>
      <c r="F1073" s="1027"/>
      <c r="G1073" s="1368" t="s">
        <v>9</v>
      </c>
    </row>
    <row r="1074" spans="1:7">
      <c r="A1074" s="1754">
        <v>45762</v>
      </c>
      <c r="B1074" s="1748" t="str">
        <f>TiposLancamentos!B102</f>
        <v>ESTORNO</v>
      </c>
      <c r="C1074" s="1740" t="s">
        <v>12421</v>
      </c>
      <c r="D1074" s="1736">
        <f>F1074</f>
        <v>603.51</v>
      </c>
      <c r="E1074" s="952"/>
      <c r="F1074" s="1027">
        <v>603.51</v>
      </c>
      <c r="G1074" s="1368" t="s">
        <v>9</v>
      </c>
    </row>
    <row r="1075" spans="1:7">
      <c r="A1075" s="1754">
        <v>45766</v>
      </c>
      <c r="B1075" s="1748" t="str">
        <f>TiposLancamentos!B16</f>
        <v>Cristiane</v>
      </c>
      <c r="C1075" s="1740" t="s">
        <v>2155</v>
      </c>
      <c r="D1075" s="1736"/>
      <c r="E1075" s="952">
        <v>19.93</v>
      </c>
      <c r="F1075" s="1027"/>
      <c r="G1075" s="1368" t="s">
        <v>9</v>
      </c>
    </row>
    <row r="1076" spans="1:7">
      <c r="A1076" s="1754">
        <v>45766</v>
      </c>
      <c r="B1076" s="1748" t="str">
        <f>TiposLancamentos!B16</f>
        <v>Cristiane</v>
      </c>
      <c r="C1076" s="1740" t="s">
        <v>2155</v>
      </c>
      <c r="D1076" s="1736"/>
      <c r="E1076" s="952">
        <v>13.92</v>
      </c>
      <c r="F1076" s="1027"/>
      <c r="G1076" s="1368" t="s">
        <v>9</v>
      </c>
    </row>
    <row r="1077" spans="1:7">
      <c r="A1077" s="1756"/>
      <c r="B1077" s="1749"/>
      <c r="C1077" s="1741" t="s">
        <v>10</v>
      </c>
      <c r="D1077" s="1690"/>
      <c r="E1077" s="1231"/>
      <c r="F1077" s="1231"/>
      <c r="G1077" s="1094" t="s">
        <v>11</v>
      </c>
    </row>
    <row r="1078" spans="1:7">
      <c r="A1078" s="1815">
        <v>45770</v>
      </c>
      <c r="B1078" s="1811" t="str">
        <f>TiposLancamentos!B81</f>
        <v>Ferramentas gerais</v>
      </c>
      <c r="C1078" s="1803" t="s">
        <v>12422</v>
      </c>
      <c r="D1078" s="1795"/>
      <c r="E1078" s="1789">
        <v>19.989999999999998</v>
      </c>
      <c r="F1078" s="1785"/>
      <c r="G1078" s="1368" t="s">
        <v>9</v>
      </c>
    </row>
    <row r="1079" spans="1:7">
      <c r="A1079" s="1816">
        <v>45770</v>
      </c>
      <c r="B1079" s="1812" t="str">
        <f>TiposLancamentos!B60</f>
        <v>Correio</v>
      </c>
      <c r="C1079" s="1804" t="s">
        <v>12423</v>
      </c>
      <c r="D1079" s="1796"/>
      <c r="E1079" s="1790">
        <v>7.18</v>
      </c>
      <c r="F1079" s="1786">
        <f>SUM(E1078:E1079)</f>
        <v>27.169999999999998</v>
      </c>
      <c r="G1079" s="1368" t="s">
        <v>9</v>
      </c>
    </row>
    <row r="1080" spans="1:7">
      <c r="A1080" s="1754">
        <v>45770</v>
      </c>
      <c r="B1080" s="1748" t="str">
        <f>TiposLancamentos!B5</f>
        <v>Supermercado</v>
      </c>
      <c r="C1080" s="1740" t="s">
        <v>12424</v>
      </c>
      <c r="D1080" s="1736"/>
      <c r="E1080" s="952">
        <v>76.430000000000007</v>
      </c>
      <c r="F1080" s="1027"/>
      <c r="G1080" s="1368" t="s">
        <v>9</v>
      </c>
    </row>
    <row r="1081" spans="1:7">
      <c r="A1081" s="1754">
        <v>45771</v>
      </c>
      <c r="B1081" s="1748" t="str">
        <f>TiposLancamentos!B5</f>
        <v>Supermercado</v>
      </c>
      <c r="C1081" s="1740" t="s">
        <v>12425</v>
      </c>
      <c r="D1081" s="1736"/>
      <c r="E1081" s="952">
        <v>14.99</v>
      </c>
      <c r="F1081" s="1027"/>
      <c r="G1081" s="1368" t="s">
        <v>9</v>
      </c>
    </row>
    <row r="1082" spans="1:7">
      <c r="A1082" s="1754">
        <v>45772</v>
      </c>
      <c r="B1082" s="1748" t="str">
        <f>TiposLancamentos!B17</f>
        <v>GATO</v>
      </c>
      <c r="C1082" s="1740" t="s">
        <v>12231</v>
      </c>
      <c r="D1082" s="1736"/>
      <c r="E1082" s="952">
        <v>134.49</v>
      </c>
      <c r="F1082" s="1027"/>
      <c r="G1082" s="1368" t="s">
        <v>9</v>
      </c>
    </row>
    <row r="1083" spans="1:7">
      <c r="A1083" s="1754">
        <v>45773</v>
      </c>
      <c r="B1083" s="1748" t="str">
        <f>TiposLancamentos!B71</f>
        <v>Itens Pessoais</v>
      </c>
      <c r="C1083" s="1740" t="s">
        <v>12426</v>
      </c>
      <c r="D1083" s="1736"/>
      <c r="E1083" s="952">
        <v>100.58</v>
      </c>
      <c r="F1083" s="1027"/>
      <c r="G1083" s="1368" t="s">
        <v>9</v>
      </c>
    </row>
    <row r="1084" spans="1:7">
      <c r="A1084" s="1754">
        <v>45773</v>
      </c>
      <c r="B1084" s="1748" t="str">
        <f>TiposLancamentos!B19</f>
        <v>Restaurantes</v>
      </c>
      <c r="C1084" s="1740" t="s">
        <v>12427</v>
      </c>
      <c r="D1084" s="1736"/>
      <c r="E1084" s="952">
        <v>57.5</v>
      </c>
      <c r="F1084" s="1027"/>
      <c r="G1084" s="1368" t="s">
        <v>9</v>
      </c>
    </row>
    <row r="1085" spans="1:7">
      <c r="A1085" s="1754">
        <v>45773</v>
      </c>
      <c r="B1085" s="1748" t="str">
        <f>TiposLancamentos!B71</f>
        <v>Itens Pessoais</v>
      </c>
      <c r="C1085" s="1740" t="s">
        <v>12428</v>
      </c>
      <c r="D1085" s="1736"/>
      <c r="E1085" s="952">
        <v>35</v>
      </c>
      <c r="F1085" s="1027"/>
      <c r="G1085" s="1368" t="s">
        <v>9</v>
      </c>
    </row>
    <row r="1086" spans="1:7">
      <c r="A1086" s="1754">
        <v>45773</v>
      </c>
      <c r="B1086" s="1748" t="str">
        <f>TiposLancamentos!B19</f>
        <v>Restaurantes</v>
      </c>
      <c r="C1086" s="1740" t="s">
        <v>12429</v>
      </c>
      <c r="D1086" s="1736"/>
      <c r="E1086" s="952">
        <v>99</v>
      </c>
      <c r="F1086" s="1027"/>
      <c r="G1086" s="1368" t="s">
        <v>9</v>
      </c>
    </row>
    <row r="1087" spans="1:7">
      <c r="A1087" s="1754">
        <v>45774</v>
      </c>
      <c r="B1087" s="1748" t="str">
        <f>TiposLancamentos!B5</f>
        <v>Supermercado</v>
      </c>
      <c r="C1087" s="1740" t="s">
        <v>1884</v>
      </c>
      <c r="D1087" s="1736"/>
      <c r="E1087" s="952">
        <v>8.1999999999999993</v>
      </c>
      <c r="F1087" s="1027"/>
      <c r="G1087" s="1368" t="s">
        <v>9</v>
      </c>
    </row>
    <row r="1088" spans="1:7">
      <c r="A1088" s="1754">
        <v>45774</v>
      </c>
      <c r="B1088" s="1748" t="str">
        <f>TiposLancamentos!B19</f>
        <v>Restaurantes</v>
      </c>
      <c r="C1088" s="1740" t="s">
        <v>12430</v>
      </c>
      <c r="D1088" s="1736"/>
      <c r="E1088" s="952">
        <v>73.900000000000006</v>
      </c>
      <c r="F1088" s="1027"/>
      <c r="G1088" s="1368" t="s">
        <v>9</v>
      </c>
    </row>
    <row r="1089" spans="1:7">
      <c r="A1089" s="1754">
        <v>45774</v>
      </c>
      <c r="B1089" s="1748" t="str">
        <f>TiposLancamentos!B5</f>
        <v>Supermercado</v>
      </c>
      <c r="C1089" s="1740" t="s">
        <v>12431</v>
      </c>
      <c r="D1089" s="1736"/>
      <c r="E1089" s="952">
        <v>14.99</v>
      </c>
      <c r="F1089" s="1027"/>
      <c r="G1089" s="1368" t="s">
        <v>9</v>
      </c>
    </row>
    <row r="1090" spans="1:7">
      <c r="A1090" s="1754">
        <v>45775</v>
      </c>
      <c r="B1090" s="1748" t="str">
        <f>TiposLancamentos!B39</f>
        <v>Playstation 5</v>
      </c>
      <c r="C1090" s="1740" t="s">
        <v>12432</v>
      </c>
      <c r="D1090" s="1736"/>
      <c r="E1090" s="952">
        <v>126.9</v>
      </c>
      <c r="F1090" s="1027">
        <v>1269</v>
      </c>
      <c r="G1090" s="1368" t="s">
        <v>9</v>
      </c>
    </row>
    <row r="1091" spans="1:7">
      <c r="A1091" s="1754">
        <v>45775</v>
      </c>
      <c r="B1091" s="1748" t="str">
        <f>TiposLancamentos!B57</f>
        <v>Informática</v>
      </c>
      <c r="C1091" s="1740" t="s">
        <v>12433</v>
      </c>
      <c r="D1091" s="1736"/>
      <c r="E1091" s="952">
        <v>55.32</v>
      </c>
      <c r="F1091" s="1027">
        <v>331.95</v>
      </c>
      <c r="G1091" s="1368" t="s">
        <v>9</v>
      </c>
    </row>
    <row r="1092" spans="1:7">
      <c r="A1092" s="1754">
        <v>45775</v>
      </c>
      <c r="B1092" s="1748" t="str">
        <f>TiposLancamentos!B5</f>
        <v>Supermercado</v>
      </c>
      <c r="C1092" s="1040" t="s">
        <v>12416</v>
      </c>
      <c r="D1092" s="1736"/>
      <c r="E1092" s="952">
        <v>110.02</v>
      </c>
      <c r="F1092" s="1027"/>
      <c r="G1092" s="1368" t="s">
        <v>9</v>
      </c>
    </row>
    <row r="1093" spans="1:7">
      <c r="A1093" s="1754">
        <v>45776</v>
      </c>
      <c r="B1093" s="1748" t="str">
        <f>TiposLancamentos!B23</f>
        <v>P208 GRIFFE 1.6 AUT BUSINESS</v>
      </c>
      <c r="C1093" s="1740" t="s">
        <v>12434</v>
      </c>
      <c r="D1093" s="1736"/>
      <c r="E1093" s="952">
        <v>288.5</v>
      </c>
      <c r="F1093" s="1027">
        <v>1731</v>
      </c>
      <c r="G1093" s="1368" t="s">
        <v>9</v>
      </c>
    </row>
    <row r="1094" spans="1:7">
      <c r="A1094" s="1754">
        <v>45776</v>
      </c>
      <c r="B1094" s="1748" t="str">
        <f>TiposLancamentos!B19</f>
        <v>Restaurantes</v>
      </c>
      <c r="C1094" s="1740" t="s">
        <v>12435</v>
      </c>
      <c r="D1094" s="1736"/>
      <c r="E1094" s="952">
        <v>69.37</v>
      </c>
      <c r="F1094" s="1027"/>
      <c r="G1094" s="1368" t="s">
        <v>9</v>
      </c>
    </row>
    <row r="1095" spans="1:7">
      <c r="A1095" s="1754">
        <v>45776</v>
      </c>
      <c r="B1095" s="1748" t="str">
        <f>TiposLancamentos!B24</f>
        <v>Estacionamentos</v>
      </c>
      <c r="C1095" s="1740" t="s">
        <v>1898</v>
      </c>
      <c r="D1095" s="1736"/>
      <c r="E1095" s="952">
        <v>23</v>
      </c>
      <c r="F1095" s="1027"/>
      <c r="G1095" s="1368" t="s">
        <v>9</v>
      </c>
    </row>
    <row r="1096" spans="1:7">
      <c r="A1096" s="1754">
        <v>45776</v>
      </c>
      <c r="B1096" s="1748" t="str">
        <f>TiposLancamentos!B19</f>
        <v>Restaurantes</v>
      </c>
      <c r="C1096" s="1740" t="s">
        <v>1967</v>
      </c>
      <c r="D1096" s="1736"/>
      <c r="E1096" s="952">
        <v>29.7</v>
      </c>
      <c r="F1096" s="1027"/>
      <c r="G1096" s="1368" t="s">
        <v>9</v>
      </c>
    </row>
    <row r="1097" spans="1:7">
      <c r="A1097" s="1754">
        <v>45777</v>
      </c>
      <c r="B1097" s="1748" t="str">
        <f>TiposLancamentos!B45</f>
        <v>Online Services</v>
      </c>
      <c r="C1097" s="1740" t="s">
        <v>12436</v>
      </c>
      <c r="D1097" s="1736"/>
      <c r="E1097" s="952">
        <v>5.95</v>
      </c>
      <c r="F1097" s="1027"/>
      <c r="G1097" s="1368" t="s">
        <v>9</v>
      </c>
    </row>
    <row r="1098" spans="1:7" ht="14.25" thickBot="1">
      <c r="A1098" s="1754">
        <v>45777</v>
      </c>
      <c r="B1098" s="1748" t="str">
        <f>TiposLancamentos!B19</f>
        <v>Restaurantes</v>
      </c>
      <c r="C1098" s="1740" t="s">
        <v>12437</v>
      </c>
      <c r="D1098" s="1736"/>
      <c r="E1098" s="952">
        <v>92.89</v>
      </c>
      <c r="F1098" s="1027"/>
      <c r="G1098" s="1368" t="s">
        <v>9</v>
      </c>
    </row>
    <row r="1099" spans="1:7">
      <c r="A1099" s="1814"/>
      <c r="B1099" s="1809"/>
      <c r="C1099" s="1801" t="s">
        <v>1646</v>
      </c>
      <c r="D1099" s="1794"/>
      <c r="E1099" s="1788"/>
      <c r="F1099" s="1078">
        <f>SUM(E1049:E1077)-D1074</f>
        <v>2599.58</v>
      </c>
    </row>
    <row r="1100" spans="1:7">
      <c r="A1100" s="1754">
        <v>45778</v>
      </c>
      <c r="B1100" s="1748" t="str">
        <f>TiposLancamentos!B15</f>
        <v>Cartões de Crédito</v>
      </c>
      <c r="C1100" s="1740" t="s">
        <v>1874</v>
      </c>
      <c r="D1100" s="1736">
        <v>2599.58</v>
      </c>
      <c r="E1100" s="952"/>
      <c r="F1100" s="1027">
        <f>F1099-F1057</f>
        <v>-277.73</v>
      </c>
      <c r="G1100" s="1368" t="s">
        <v>9</v>
      </c>
    </row>
    <row r="1101" spans="1:7">
      <c r="A1101" s="1754">
        <v>45779</v>
      </c>
      <c r="B1101" s="1748" t="str">
        <f>TiposLancamentos!B44</f>
        <v>Academia</v>
      </c>
      <c r="C1101" s="1740" t="s">
        <v>12338</v>
      </c>
      <c r="D1101" s="1736"/>
      <c r="E1101" s="952">
        <v>159.9</v>
      </c>
      <c r="F1101" s="1027"/>
      <c r="G1101" s="1368" t="s">
        <v>9</v>
      </c>
    </row>
    <row r="1102" spans="1:7">
      <c r="A1102" s="1754">
        <v>45779</v>
      </c>
      <c r="B1102" s="1748" t="str">
        <f>TiposLancamentos!B19</f>
        <v>Restaurantes</v>
      </c>
      <c r="C1102" s="1740" t="s">
        <v>12438</v>
      </c>
      <c r="D1102" s="1736"/>
      <c r="E1102" s="952">
        <v>85.9</v>
      </c>
      <c r="F1102" s="1027"/>
      <c r="G1102" s="1368" t="s">
        <v>9</v>
      </c>
    </row>
    <row r="1103" spans="1:7">
      <c r="A1103" s="1754">
        <v>45780</v>
      </c>
      <c r="B1103" s="1748" t="str">
        <f>TiposLancamentos!B88</f>
        <v>Ford Ecosport XLT</v>
      </c>
      <c r="C1103" s="1740" t="s">
        <v>12439</v>
      </c>
      <c r="D1103" s="1736"/>
      <c r="E1103" s="952">
        <v>120</v>
      </c>
      <c r="F1103" s="1027">
        <v>1200</v>
      </c>
      <c r="G1103" s="1368" t="s">
        <v>9</v>
      </c>
    </row>
    <row r="1104" spans="1:7">
      <c r="A1104" s="1754">
        <v>45781</v>
      </c>
      <c r="B1104" s="1748" t="str">
        <f>TiposLancamentos!B19</f>
        <v>Restaurantes</v>
      </c>
      <c r="C1104" s="1740" t="s">
        <v>12404</v>
      </c>
      <c r="D1104" s="1736"/>
      <c r="E1104" s="952">
        <v>55</v>
      </c>
      <c r="F1104" s="1027"/>
      <c r="G1104" s="1368" t="s">
        <v>9</v>
      </c>
    </row>
    <row r="1105" spans="1:7">
      <c r="A1105" s="1754">
        <v>45783</v>
      </c>
      <c r="B1105" s="1748" t="str">
        <f>TiposLancamentos!B16</f>
        <v>Cristiane</v>
      </c>
      <c r="C1105" s="1740" t="s">
        <v>2155</v>
      </c>
      <c r="D1105" s="1736"/>
      <c r="E1105" s="952">
        <v>15.99</v>
      </c>
      <c r="F1105" s="1027"/>
      <c r="G1105" s="1368" t="s">
        <v>9</v>
      </c>
    </row>
    <row r="1106" spans="1:7">
      <c r="A1106" s="1754">
        <v>45784</v>
      </c>
      <c r="B1106" s="1748" t="str">
        <f>TiposLancamentos!B16</f>
        <v>Cristiane</v>
      </c>
      <c r="C1106" s="1740" t="s">
        <v>2155</v>
      </c>
      <c r="D1106" s="1736"/>
      <c r="E1106" s="952">
        <v>13.98</v>
      </c>
      <c r="F1106" s="1027"/>
      <c r="G1106" s="1368" t="s">
        <v>9</v>
      </c>
    </row>
    <row r="1107" spans="1:7">
      <c r="A1107" s="1754">
        <v>45784</v>
      </c>
      <c r="B1107" s="1748" t="str">
        <f>TiposLancamentos!B19</f>
        <v>Restaurantes</v>
      </c>
      <c r="C1107" s="1740" t="s">
        <v>12180</v>
      </c>
      <c r="D1107" s="1736"/>
      <c r="E1107" s="952">
        <v>71</v>
      </c>
      <c r="F1107" s="1027"/>
      <c r="G1107" s="1368" t="s">
        <v>9</v>
      </c>
    </row>
    <row r="1108" spans="1:7">
      <c r="A1108" s="1754">
        <v>45787</v>
      </c>
      <c r="B1108" s="1748" t="str">
        <f>TiposLancamentos!B88</f>
        <v>Ford Ecosport XLT</v>
      </c>
      <c r="C1108" s="1740" t="s">
        <v>12440</v>
      </c>
      <c r="D1108" s="1736"/>
      <c r="E1108" s="952">
        <v>275</v>
      </c>
      <c r="F1108" s="1027">
        <v>2200</v>
      </c>
      <c r="G1108" s="1368" t="s">
        <v>9</v>
      </c>
    </row>
    <row r="1109" spans="1:7">
      <c r="A1109" s="1815">
        <v>45788</v>
      </c>
      <c r="B1109" s="1811" t="str">
        <f>TiposLancamentos!B80</f>
        <v>Mudanças</v>
      </c>
      <c r="C1109" s="1803" t="s">
        <v>12441</v>
      </c>
      <c r="D1109" s="1795"/>
      <c r="E1109" s="1789">
        <v>69.680000000000007</v>
      </c>
      <c r="F1109" s="1785"/>
      <c r="G1109" s="1368" t="s">
        <v>9</v>
      </c>
    </row>
    <row r="1110" spans="1:7">
      <c r="A1110" s="1816">
        <v>45788</v>
      </c>
      <c r="B1110" s="1812" t="str">
        <f>TiposLancamentos!B80</f>
        <v>Mudanças</v>
      </c>
      <c r="C1110" s="1804" t="s">
        <v>12442</v>
      </c>
      <c r="D1110" s="1796"/>
      <c r="E1110" s="1790">
        <v>59</v>
      </c>
      <c r="F1110" s="1786">
        <f>SUM(E1109:E1110)</f>
        <v>128.68</v>
      </c>
      <c r="G1110" s="1368" t="s">
        <v>9</v>
      </c>
    </row>
    <row r="1111" spans="1:7">
      <c r="A1111" s="1754">
        <v>45789</v>
      </c>
      <c r="B1111" s="1748" t="str">
        <f>TiposLancamentos!B19</f>
        <v>Restaurantes</v>
      </c>
      <c r="C1111" s="1740" t="s">
        <v>12443</v>
      </c>
      <c r="D1111" s="1736"/>
      <c r="E1111" s="952">
        <v>68.989999999999995</v>
      </c>
      <c r="F1111" s="1027"/>
      <c r="G1111" s="1368" t="s">
        <v>9</v>
      </c>
    </row>
    <row r="1112" spans="1:7">
      <c r="A1112" s="1754">
        <v>45791</v>
      </c>
      <c r="B1112" s="1748" t="str">
        <f>TiposLancamentos!B16</f>
        <v>Cristiane</v>
      </c>
      <c r="C1112" s="1740" t="s">
        <v>2238</v>
      </c>
      <c r="D1112" s="1736"/>
      <c r="E1112" s="952">
        <v>70.8</v>
      </c>
      <c r="F1112" s="1027"/>
      <c r="G1112" s="1368" t="s">
        <v>9</v>
      </c>
    </row>
    <row r="1113" spans="1:7">
      <c r="A1113" s="1754">
        <v>45791</v>
      </c>
      <c r="B1113" s="1748" t="str">
        <f>TiposLancamentos!B5</f>
        <v>Supermercado</v>
      </c>
      <c r="C1113" s="1740" t="s">
        <v>12444</v>
      </c>
      <c r="D1113" s="1736"/>
      <c r="E1113" s="952">
        <v>23.96</v>
      </c>
      <c r="F1113" s="1027"/>
      <c r="G1113" s="1368" t="s">
        <v>9</v>
      </c>
    </row>
    <row r="1114" spans="1:7">
      <c r="A1114" s="1754">
        <v>45791</v>
      </c>
      <c r="B1114" s="1748" t="str">
        <f>TiposLancamentos!B13</f>
        <v>Moradia</v>
      </c>
      <c r="C1114" s="1740" t="s">
        <v>12445</v>
      </c>
      <c r="D1114" s="1736"/>
      <c r="E1114" s="952">
        <v>156.35</v>
      </c>
      <c r="F1114" s="1027">
        <v>312.69</v>
      </c>
      <c r="G1114" s="1368" t="s">
        <v>9</v>
      </c>
    </row>
    <row r="1115" spans="1:7">
      <c r="A1115" s="1754">
        <v>45792</v>
      </c>
      <c r="B1115" s="1748" t="str">
        <f>TiposLancamentos!B19</f>
        <v>Restaurantes</v>
      </c>
      <c r="C1115" s="1740" t="s">
        <v>2270</v>
      </c>
      <c r="D1115" s="1736"/>
      <c r="E1115" s="952">
        <v>57.8</v>
      </c>
      <c r="F1115" s="1027"/>
      <c r="G1115" s="1368" t="s">
        <v>9</v>
      </c>
    </row>
    <row r="1116" spans="1:7">
      <c r="A1116" s="1754">
        <v>45792</v>
      </c>
      <c r="B1116" s="1748" t="str">
        <f>TiposLancamentos!B19</f>
        <v>Restaurantes</v>
      </c>
      <c r="C1116" s="1740" t="s">
        <v>2270</v>
      </c>
      <c r="D1116" s="1736"/>
      <c r="E1116" s="952">
        <v>56.99</v>
      </c>
      <c r="F1116" s="1027"/>
      <c r="G1116" s="1368" t="s">
        <v>9</v>
      </c>
    </row>
    <row r="1117" spans="1:7">
      <c r="A1117" s="1754">
        <v>45793</v>
      </c>
      <c r="B1117" s="1748" t="str">
        <f>TiposLancamentos!B19</f>
        <v>Restaurantes</v>
      </c>
      <c r="C1117" s="1740" t="s">
        <v>2270</v>
      </c>
      <c r="D1117" s="1736"/>
      <c r="E1117" s="952">
        <v>18.149999999999999</v>
      </c>
      <c r="F1117" s="1027"/>
      <c r="G1117" s="1368" t="s">
        <v>9</v>
      </c>
    </row>
    <row r="1118" spans="1:7">
      <c r="A1118" s="1754">
        <v>45793</v>
      </c>
      <c r="B1118" s="1748" t="str">
        <f>TiposLancamentos!B13</f>
        <v>Moradia</v>
      </c>
      <c r="C1118" s="1740" t="s">
        <v>12446</v>
      </c>
      <c r="D1118" s="1736"/>
      <c r="E1118" s="952">
        <v>157.1</v>
      </c>
      <c r="F1118" s="1027"/>
      <c r="G1118" s="1368" t="s">
        <v>9</v>
      </c>
    </row>
    <row r="1119" spans="1:7">
      <c r="A1119" s="1754">
        <v>45793</v>
      </c>
      <c r="B1119" s="1748" t="str">
        <f>TiposLancamentos!B19</f>
        <v>Restaurantes</v>
      </c>
      <c r="C1119" s="1740" t="s">
        <v>8027</v>
      </c>
      <c r="D1119" s="1736"/>
      <c r="E1119" s="952">
        <v>105.55</v>
      </c>
      <c r="F1119" s="1027"/>
      <c r="G1119" s="1368" t="s">
        <v>9</v>
      </c>
    </row>
    <row r="1120" spans="1:7">
      <c r="A1120" s="1754">
        <v>45794</v>
      </c>
      <c r="B1120" s="1748" t="str">
        <f>TiposLancamentos!B5</f>
        <v>Supermercado</v>
      </c>
      <c r="C1120" s="1740" t="s">
        <v>12447</v>
      </c>
      <c r="D1120" s="1736"/>
      <c r="E1120" s="952">
        <v>41.04</v>
      </c>
      <c r="F1120" s="1027"/>
      <c r="G1120" s="1368" t="s">
        <v>9</v>
      </c>
    </row>
    <row r="1121" spans="1:7">
      <c r="A1121" s="1754">
        <v>45794</v>
      </c>
      <c r="B1121" s="1748" t="str">
        <f>TiposLancamentos!B5</f>
        <v>Supermercado</v>
      </c>
      <c r="C1121" s="1740" t="s">
        <v>12448</v>
      </c>
      <c r="D1121" s="1736"/>
      <c r="E1121" s="952">
        <v>271.33999999999997</v>
      </c>
      <c r="F1121" s="1027"/>
      <c r="G1121" s="1368" t="s">
        <v>9</v>
      </c>
    </row>
    <row r="1122" spans="1:7">
      <c r="A1122" s="1754">
        <v>45795</v>
      </c>
      <c r="B1122" s="1748" t="str">
        <f>TiposLancamentos!B19</f>
        <v>Restaurantes</v>
      </c>
      <c r="C1122" s="1740" t="s">
        <v>2238</v>
      </c>
      <c r="D1122" s="1736"/>
      <c r="E1122" s="952">
        <v>97.79</v>
      </c>
      <c r="F1122" s="1027"/>
      <c r="G1122" s="1368" t="s">
        <v>9</v>
      </c>
    </row>
    <row r="1123" spans="1:7">
      <c r="A1123" s="1754">
        <v>45795</v>
      </c>
      <c r="B1123" s="1748" t="str">
        <f>TiposLancamentos!B19</f>
        <v>Restaurantes</v>
      </c>
      <c r="C1123" s="1740" t="s">
        <v>12449</v>
      </c>
      <c r="D1123" s="1736"/>
      <c r="E1123" s="952">
        <v>75.98</v>
      </c>
      <c r="F1123" s="1027"/>
      <c r="G1123" s="1368" t="s">
        <v>9</v>
      </c>
    </row>
    <row r="1124" spans="1:7">
      <c r="A1124" s="1754">
        <v>45796</v>
      </c>
      <c r="B1124" s="1748" t="str">
        <f>B1118</f>
        <v>Moradia</v>
      </c>
      <c r="C1124" s="1740" t="s">
        <v>12450</v>
      </c>
      <c r="D1124" s="1736"/>
      <c r="E1124" s="952">
        <v>29.99</v>
      </c>
      <c r="F1124" s="1027"/>
      <c r="G1124" s="1368" t="s">
        <v>9</v>
      </c>
    </row>
    <row r="1125" spans="1:7">
      <c r="A1125" s="1897">
        <v>45797</v>
      </c>
      <c r="B1125" s="1748" t="str">
        <f>TiposLancamentos!B16</f>
        <v>Cristiane</v>
      </c>
      <c r="C1125" s="1740" t="s">
        <v>2618</v>
      </c>
      <c r="D1125" s="1736"/>
      <c r="E1125" s="952">
        <v>56.99</v>
      </c>
      <c r="F1125" s="1027"/>
      <c r="G1125" s="1368" t="s">
        <v>9</v>
      </c>
    </row>
    <row r="1126" spans="1:7">
      <c r="A1126" s="1897">
        <v>45797</v>
      </c>
      <c r="B1126" s="1748" t="str">
        <f>TiposLancamentos!B19</f>
        <v>Restaurantes</v>
      </c>
      <c r="C1126" s="1740" t="s">
        <v>2238</v>
      </c>
      <c r="D1126" s="1736"/>
      <c r="E1126" s="952">
        <v>96.97</v>
      </c>
      <c r="F1126" s="1027"/>
      <c r="G1126" s="1368" t="s">
        <v>9</v>
      </c>
    </row>
    <row r="1127" spans="1:7">
      <c r="A1127" s="1756"/>
      <c r="B1127" s="1749"/>
      <c r="C1127" s="1741" t="s">
        <v>10</v>
      </c>
      <c r="D1127" s="1690"/>
      <c r="E1127" s="1231"/>
      <c r="F1127" s="1231"/>
      <c r="G1127" s="1094" t="s">
        <v>11</v>
      </c>
    </row>
    <row r="1128" spans="1:7">
      <c r="A1128" s="1897">
        <v>45799</v>
      </c>
      <c r="B1128" s="1748" t="str">
        <f>TiposLancamentos!B16</f>
        <v>Cristiane</v>
      </c>
      <c r="C1128" s="1740" t="s">
        <v>12451</v>
      </c>
      <c r="D1128" s="1736"/>
      <c r="E1128" s="952">
        <v>9.14</v>
      </c>
      <c r="F1128" s="1027"/>
      <c r="G1128" s="1368" t="s">
        <v>9</v>
      </c>
    </row>
    <row r="1129" spans="1:7">
      <c r="A1129" s="1754">
        <v>45800</v>
      </c>
      <c r="B1129" s="1748" t="str">
        <f>TiposLancamentos!B19</f>
        <v>Restaurantes</v>
      </c>
      <c r="C1129" s="1740" t="s">
        <v>12452</v>
      </c>
      <c r="D1129" s="1736"/>
      <c r="E1129" s="952">
        <v>82.87</v>
      </c>
      <c r="F1129" s="1027"/>
      <c r="G1129" s="1368" t="s">
        <v>9</v>
      </c>
    </row>
    <row r="1130" spans="1:7">
      <c r="A1130" s="1754">
        <v>45800</v>
      </c>
      <c r="B1130" s="1748" t="str">
        <f>TiposLancamentos!B16</f>
        <v>Cristiane</v>
      </c>
      <c r="C1130" s="1740" t="s">
        <v>12161</v>
      </c>
      <c r="D1130" s="1736"/>
      <c r="E1130" s="952">
        <v>7.75</v>
      </c>
      <c r="F1130" s="1027"/>
      <c r="G1130" s="1368" t="s">
        <v>9</v>
      </c>
    </row>
    <row r="1131" spans="1:7">
      <c r="A1131" s="1754">
        <v>45800</v>
      </c>
      <c r="B1131" s="1748" t="str">
        <f>TiposLancamentos!B19</f>
        <v>Restaurantes</v>
      </c>
      <c r="C1131" s="1740" t="s">
        <v>12453</v>
      </c>
      <c r="D1131" s="1736"/>
      <c r="E1131" s="952">
        <v>52.79</v>
      </c>
      <c r="F1131" s="1027"/>
      <c r="G1131" s="1368" t="s">
        <v>9</v>
      </c>
    </row>
    <row r="1132" spans="1:7">
      <c r="A1132" s="1754">
        <v>45800</v>
      </c>
      <c r="B1132" s="1748" t="str">
        <f>TiposLancamentos!B19</f>
        <v>Restaurantes</v>
      </c>
      <c r="C1132" s="1740" t="s">
        <v>2238</v>
      </c>
      <c r="D1132" s="1736"/>
      <c r="E1132" s="952">
        <v>96.97</v>
      </c>
      <c r="F1132" s="1027"/>
      <c r="G1132" s="1368" t="s">
        <v>9</v>
      </c>
    </row>
    <row r="1133" spans="1:7">
      <c r="A1133" s="1754">
        <v>45801</v>
      </c>
      <c r="B1133" s="1748" t="str">
        <f>TiposLancamentos!B13</f>
        <v>Moradia</v>
      </c>
      <c r="C1133" s="1740" t="s">
        <v>12454</v>
      </c>
      <c r="D1133" s="1736"/>
      <c r="E1133" s="952">
        <v>53.2</v>
      </c>
      <c r="F1133" s="1027"/>
      <c r="G1133" s="1368" t="s">
        <v>9</v>
      </c>
    </row>
    <row r="1134" spans="1:7">
      <c r="A1134" s="1754">
        <v>45801</v>
      </c>
      <c r="B1134" s="1748" t="str">
        <f>TiposLancamentos!B19</f>
        <v>Restaurantes</v>
      </c>
      <c r="C1134" s="1740" t="s">
        <v>12455</v>
      </c>
      <c r="D1134" s="1736"/>
      <c r="E1134" s="952">
        <v>91</v>
      </c>
      <c r="F1134" s="1027"/>
      <c r="G1134" s="1368" t="s">
        <v>9</v>
      </c>
    </row>
    <row r="1135" spans="1:7">
      <c r="A1135" s="1754">
        <v>45801</v>
      </c>
      <c r="B1135" s="1748" t="str">
        <f>TiposLancamentos!B5</f>
        <v>Supermercado</v>
      </c>
      <c r="C1135" s="3" t="s">
        <v>12456</v>
      </c>
      <c r="D1135" s="1736"/>
      <c r="E1135" s="952">
        <v>11.99</v>
      </c>
      <c r="F1135" s="1027"/>
      <c r="G1135" s="1368" t="s">
        <v>9</v>
      </c>
    </row>
    <row r="1136" spans="1:7">
      <c r="A1136" s="1754">
        <v>45801</v>
      </c>
      <c r="B1136" s="1748" t="str">
        <f>TiposLancamentos!B7</f>
        <v>Apto. Proprio 01</v>
      </c>
      <c r="C1136" s="1740" t="s">
        <v>12457</v>
      </c>
      <c r="D1136" s="1736"/>
      <c r="E1136" s="952">
        <v>108.57</v>
      </c>
      <c r="F1136" s="1027">
        <v>542.80999999999995</v>
      </c>
      <c r="G1136" s="1368" t="s">
        <v>9</v>
      </c>
    </row>
    <row r="1137" spans="1:7">
      <c r="A1137" s="1754">
        <v>45801</v>
      </c>
      <c r="B1137" s="1748" t="str">
        <f>B1129</f>
        <v>Restaurantes</v>
      </c>
      <c r="C1137" s="1740" t="s">
        <v>12458</v>
      </c>
      <c r="D1137" s="1736"/>
      <c r="E1137" s="952">
        <v>99.96</v>
      </c>
      <c r="F1137" s="1027"/>
      <c r="G1137" s="1368" t="s">
        <v>9</v>
      </c>
    </row>
    <row r="1138" spans="1:7">
      <c r="A1138" s="1754">
        <v>45802</v>
      </c>
      <c r="B1138" s="1748" t="str">
        <f>TiposLancamentos!B5</f>
        <v>Supermercado</v>
      </c>
      <c r="C1138" s="1740" t="s">
        <v>12459</v>
      </c>
      <c r="D1138" s="1736"/>
      <c r="E1138" s="952">
        <v>30.52</v>
      </c>
      <c r="F1138" s="1027"/>
      <c r="G1138" s="1368" t="s">
        <v>9</v>
      </c>
    </row>
    <row r="1139" spans="1:7">
      <c r="A1139" s="1754">
        <v>45802</v>
      </c>
      <c r="B1139" s="1748" t="str">
        <f>TiposLancamentos!B16</f>
        <v>Cristiane</v>
      </c>
      <c r="C1139" s="1740" t="s">
        <v>6052</v>
      </c>
      <c r="D1139" s="1736"/>
      <c r="E1139" s="952">
        <v>20.89</v>
      </c>
      <c r="F1139" s="1027"/>
      <c r="G1139" s="1368" t="s">
        <v>9</v>
      </c>
    </row>
    <row r="1140" spans="1:7">
      <c r="A1140" s="1815">
        <v>45802</v>
      </c>
      <c r="B1140" s="1811" t="str">
        <f>TiposLancamentos!B13</f>
        <v>Moradia</v>
      </c>
      <c r="C1140" s="1803" t="s">
        <v>12460</v>
      </c>
      <c r="D1140" s="1795"/>
      <c r="E1140" s="1789">
        <v>34.9</v>
      </c>
      <c r="F1140" s="1785"/>
      <c r="G1140" s="1368" t="s">
        <v>9</v>
      </c>
    </row>
    <row r="1141" spans="1:7">
      <c r="A1141" s="1816">
        <v>45802</v>
      </c>
      <c r="B1141" s="1812" t="str">
        <f>TiposLancamentos!B60</f>
        <v>Correio</v>
      </c>
      <c r="C1141" s="1804" t="s">
        <v>12461</v>
      </c>
      <c r="D1141" s="1796"/>
      <c r="E1141" s="1790">
        <v>20.99</v>
      </c>
      <c r="F1141" s="1786">
        <v>55.89</v>
      </c>
      <c r="G1141" s="1368" t="s">
        <v>9</v>
      </c>
    </row>
    <row r="1142" spans="1:7">
      <c r="A1142" s="1754">
        <v>45803</v>
      </c>
      <c r="B1142" s="1748" t="str">
        <f>TiposLancamentos!B17</f>
        <v>GATO</v>
      </c>
      <c r="C1142" s="1740" t="s">
        <v>12462</v>
      </c>
      <c r="D1142" s="1736"/>
      <c r="E1142" s="952">
        <v>55.58</v>
      </c>
      <c r="F1142" s="1027"/>
      <c r="G1142" s="1368" t="s">
        <v>9</v>
      </c>
    </row>
    <row r="1143" spans="1:7">
      <c r="A1143" s="1754">
        <v>45773</v>
      </c>
      <c r="B1143" s="1748" t="str">
        <f>TiposLancamentos!B71</f>
        <v>Itens Pessoais</v>
      </c>
      <c r="C1143" s="1740" t="s">
        <v>12463</v>
      </c>
      <c r="D1143" s="1736"/>
      <c r="E1143" s="952">
        <v>100.58</v>
      </c>
      <c r="F1143" s="1027"/>
      <c r="G1143" s="1368" t="s">
        <v>9</v>
      </c>
    </row>
    <row r="1144" spans="1:7">
      <c r="A1144" s="1754">
        <v>45804</v>
      </c>
      <c r="B1144" s="1748" t="str">
        <f>TiposLancamentos!B19</f>
        <v>Restaurantes</v>
      </c>
      <c r="C1144" s="1740" t="s">
        <v>12464</v>
      </c>
      <c r="D1144" s="1736"/>
      <c r="E1144" s="952">
        <v>78.010000000000005</v>
      </c>
      <c r="F1144" s="1027"/>
      <c r="G1144" s="1368" t="s">
        <v>9</v>
      </c>
    </row>
    <row r="1145" spans="1:7">
      <c r="A1145" s="1754">
        <v>45804</v>
      </c>
      <c r="B1145" s="1748" t="str">
        <f>TiposLancamentos!B22</f>
        <v>Combustivel</v>
      </c>
      <c r="C1145" s="1740" t="s">
        <v>12465</v>
      </c>
      <c r="D1145" s="1736"/>
      <c r="E1145" s="952">
        <v>100</v>
      </c>
      <c r="F1145" s="1027"/>
      <c r="G1145" s="1368" t="s">
        <v>9</v>
      </c>
    </row>
    <row r="1146" spans="1:7">
      <c r="A1146" s="1754">
        <v>45804</v>
      </c>
      <c r="B1146" s="1748" t="str">
        <f>TiposLancamentos!B5</f>
        <v>Supermercado</v>
      </c>
      <c r="C1146" s="1740" t="s">
        <v>12466</v>
      </c>
      <c r="D1146" s="1736"/>
      <c r="E1146" s="952">
        <v>155.13</v>
      </c>
      <c r="F1146" s="1027"/>
      <c r="G1146" s="1368" t="s">
        <v>9</v>
      </c>
    </row>
    <row r="1147" spans="1:7">
      <c r="A1147" s="1754">
        <v>45805</v>
      </c>
      <c r="B1147" s="1748" t="str">
        <f>TiposLancamentos!B39</f>
        <v>Playstation 5</v>
      </c>
      <c r="C1147" s="1740" t="s">
        <v>12467</v>
      </c>
      <c r="D1147" s="1736"/>
      <c r="E1147" s="952">
        <f>F1147/10</f>
        <v>126.9</v>
      </c>
      <c r="F1147" s="1027">
        <v>1269</v>
      </c>
      <c r="G1147" s="1368" t="s">
        <v>9</v>
      </c>
    </row>
    <row r="1148" spans="1:7">
      <c r="A1148" s="1754">
        <v>45805</v>
      </c>
      <c r="B1148" s="1748" t="str">
        <f>TiposLancamentos!B71</f>
        <v>Itens Pessoais</v>
      </c>
      <c r="C1148" s="1740" t="s">
        <v>12468</v>
      </c>
      <c r="D1148" s="1736"/>
      <c r="E1148" s="952">
        <v>55.32</v>
      </c>
      <c r="F1148" s="1027">
        <v>331.95</v>
      </c>
      <c r="G1148" s="1368" t="s">
        <v>9</v>
      </c>
    </row>
    <row r="1149" spans="1:7">
      <c r="A1149" s="1754">
        <v>45805</v>
      </c>
      <c r="B1149" s="1748" t="str">
        <f>TiposLancamentos!B19</f>
        <v>Restaurantes</v>
      </c>
      <c r="C1149" s="1740" t="s">
        <v>2270</v>
      </c>
      <c r="D1149" s="1736"/>
      <c r="E1149" s="952">
        <v>48.2</v>
      </c>
      <c r="F1149" s="1027"/>
      <c r="G1149" s="1368" t="s">
        <v>9</v>
      </c>
    </row>
    <row r="1150" spans="1:7">
      <c r="A1150" s="1754">
        <v>45805</v>
      </c>
      <c r="B1150" s="1748" t="str">
        <f>TiposLancamentos!B16</f>
        <v>Cristiane</v>
      </c>
      <c r="C1150" s="1740" t="s">
        <v>12469</v>
      </c>
      <c r="D1150" s="1736"/>
      <c r="E1150" s="952">
        <v>18.11</v>
      </c>
      <c r="F1150" s="1027"/>
      <c r="G1150" s="1368" t="s">
        <v>9</v>
      </c>
    </row>
    <row r="1151" spans="1:7">
      <c r="A1151" s="1754">
        <v>45807</v>
      </c>
      <c r="B1151" s="1748" t="str">
        <f>TiposLancamentos!B45</f>
        <v>Online Services</v>
      </c>
      <c r="C1151" s="1740" t="s">
        <v>12436</v>
      </c>
      <c r="D1151" s="1736"/>
      <c r="E1151" s="952">
        <v>5.95</v>
      </c>
      <c r="F1151" s="1027"/>
      <c r="G1151" s="1368" t="s">
        <v>9</v>
      </c>
    </row>
    <row r="1152" spans="1:7">
      <c r="A1152" s="1754">
        <v>45807</v>
      </c>
      <c r="B1152" s="1748" t="str">
        <f>TiposLancamentos!B19</f>
        <v>Restaurantes</v>
      </c>
      <c r="C1152" s="1740" t="s">
        <v>10047</v>
      </c>
      <c r="D1152" s="1736"/>
      <c r="E1152" s="952">
        <v>84.5</v>
      </c>
      <c r="F1152" s="1027"/>
      <c r="G1152" s="1368" t="s">
        <v>9</v>
      </c>
    </row>
    <row r="1153" spans="1:7">
      <c r="A1153" s="1754">
        <v>45807</v>
      </c>
      <c r="B1153" s="1748" t="str">
        <f>TiposLancamentos!B17</f>
        <v>GATO</v>
      </c>
      <c r="C1153" s="1740" t="s">
        <v>8352</v>
      </c>
      <c r="D1153" s="1736"/>
      <c r="E1153" s="952">
        <v>214.3</v>
      </c>
      <c r="F1153" s="1027"/>
      <c r="G1153" s="1368" t="s">
        <v>9</v>
      </c>
    </row>
    <row r="1154" spans="1:7">
      <c r="A1154" s="1754">
        <v>45807</v>
      </c>
      <c r="B1154" s="1748" t="str">
        <f>TiposLancamentos!B13</f>
        <v>Moradia</v>
      </c>
      <c r="C1154" s="1740" t="s">
        <v>12470</v>
      </c>
      <c r="D1154" s="1736"/>
      <c r="E1154" s="952">
        <v>22</v>
      </c>
      <c r="F1154" s="1027"/>
      <c r="G1154" s="1368" t="s">
        <v>9</v>
      </c>
    </row>
    <row r="1155" spans="1:7">
      <c r="A1155" s="1754">
        <v>45808</v>
      </c>
      <c r="B1155" s="1748" t="str">
        <f>TiposLancamentos!B19</f>
        <v>Restaurantes</v>
      </c>
      <c r="C1155" s="1740" t="s">
        <v>9942</v>
      </c>
      <c r="D1155" s="1736"/>
      <c r="E1155" s="952">
        <v>144.47</v>
      </c>
      <c r="F1155" s="1027"/>
      <c r="G1155" s="1368" t="s">
        <v>9</v>
      </c>
    </row>
    <row r="1156" spans="1:7" ht="14.25" thickBot="1">
      <c r="A1156" s="1754">
        <v>45808</v>
      </c>
      <c r="B1156" s="1748" t="str">
        <f>TiposLancamentos!B16</f>
        <v>Cristiane</v>
      </c>
      <c r="C1156" s="1740" t="s">
        <v>12471</v>
      </c>
      <c r="D1156" s="1736"/>
      <c r="E1156" s="952">
        <v>130</v>
      </c>
      <c r="F1156" s="1027"/>
      <c r="G1156" s="1368" t="s">
        <v>9</v>
      </c>
    </row>
    <row r="1157" spans="1:7">
      <c r="A1157" s="1814"/>
      <c r="B1157" s="1809"/>
      <c r="C1157" s="1801" t="s">
        <v>1647</v>
      </c>
      <c r="D1157" s="1794"/>
      <c r="E1157" s="1788"/>
      <c r="F1157" s="1078">
        <f>SUM(E1077:E1127)</f>
        <v>3755.14</v>
      </c>
    </row>
    <row r="1158" spans="1:7">
      <c r="A1158" s="1754">
        <v>45809</v>
      </c>
      <c r="B1158" s="1748" t="str">
        <f>TiposLancamentos!B19</f>
        <v>Restaurantes</v>
      </c>
      <c r="C1158" s="1802" t="s">
        <v>12472</v>
      </c>
      <c r="D1158" s="1736"/>
      <c r="E1158" s="952">
        <v>15</v>
      </c>
      <c r="F1158" s="1027"/>
      <c r="G1158" s="1368" t="s">
        <v>9</v>
      </c>
    </row>
    <row r="1159" spans="1:7">
      <c r="A1159" s="1754">
        <v>45810</v>
      </c>
      <c r="B1159" s="1748" t="str">
        <f>TiposLancamentos!B44</f>
        <v>Academia</v>
      </c>
      <c r="C1159" s="1740" t="s">
        <v>12338</v>
      </c>
      <c r="D1159" s="1736"/>
      <c r="E1159" s="952">
        <v>159.9</v>
      </c>
      <c r="F1159" s="1027">
        <f>F1157-F1099</f>
        <v>1155.56</v>
      </c>
      <c r="G1159" s="1368" t="s">
        <v>9</v>
      </c>
    </row>
    <row r="1160" spans="1:7">
      <c r="A1160" s="1754">
        <v>45810</v>
      </c>
      <c r="B1160" s="1748" t="str">
        <f>TiposLancamentos!B15</f>
        <v>Cartões de Crédito</v>
      </c>
      <c r="C1160" s="1740" t="s">
        <v>1874</v>
      </c>
      <c r="D1160" s="1736">
        <v>3755.14</v>
      </c>
      <c r="E1160" s="952"/>
      <c r="F1160" s="1027"/>
    </row>
    <row r="1161" spans="1:7">
      <c r="A1161" s="1754">
        <v>45810</v>
      </c>
      <c r="B1161" s="1748" t="str">
        <f>TiposLancamentos!B19</f>
        <v>Restaurantes</v>
      </c>
      <c r="C1161" s="1740" t="s">
        <v>2224</v>
      </c>
      <c r="D1161" s="1736"/>
      <c r="E1161" s="952">
        <v>47.18</v>
      </c>
      <c r="F1161" s="1027"/>
      <c r="G1161" s="1368" t="s">
        <v>9</v>
      </c>
    </row>
    <row r="1162" spans="1:7">
      <c r="A1162" s="1754">
        <v>45810</v>
      </c>
      <c r="B1162" s="1748" t="str">
        <f>TiposLancamentos!B24</f>
        <v>Estacionamentos</v>
      </c>
      <c r="C1162" s="1740" t="s">
        <v>1898</v>
      </c>
      <c r="D1162" s="1736"/>
      <c r="E1162" s="952">
        <v>23</v>
      </c>
      <c r="F1162" s="1027"/>
      <c r="G1162" s="1368" t="s">
        <v>9</v>
      </c>
    </row>
    <row r="1163" spans="1:7">
      <c r="A1163" s="1754">
        <v>45810</v>
      </c>
      <c r="B1163" s="1748" t="str">
        <f>TiposLancamentos!B19</f>
        <v>Restaurantes</v>
      </c>
      <c r="C1163" s="1740" t="s">
        <v>1967</v>
      </c>
      <c r="D1163" s="1736"/>
      <c r="E1163" s="952">
        <v>59.4</v>
      </c>
      <c r="F1163" s="1027"/>
      <c r="G1163" s="1368" t="s">
        <v>9</v>
      </c>
    </row>
    <row r="1164" spans="1:7">
      <c r="A1164" s="1754">
        <v>45811</v>
      </c>
      <c r="B1164" s="1748" t="str">
        <f>TiposLancamentos!B88</f>
        <v>Ford Ecosport XLT</v>
      </c>
      <c r="C1164" s="1740" t="s">
        <v>12473</v>
      </c>
      <c r="D1164" s="1736"/>
      <c r="E1164" s="952">
        <f>F1164/10</f>
        <v>120</v>
      </c>
      <c r="F1164" s="1027">
        <v>1200</v>
      </c>
      <c r="G1164" s="1368" t="s">
        <v>9</v>
      </c>
    </row>
    <row r="1165" spans="1:7">
      <c r="A1165" s="1754">
        <v>45811</v>
      </c>
      <c r="B1165" s="1748" t="str">
        <f>TiposLancamentos!B22</f>
        <v>Combustivel</v>
      </c>
      <c r="C1165" s="1740" t="s">
        <v>12474</v>
      </c>
      <c r="D1165" s="1736"/>
      <c r="E1165" s="952">
        <v>100</v>
      </c>
      <c r="F1165" s="1027"/>
      <c r="G1165" s="1368" t="s">
        <v>9</v>
      </c>
    </row>
    <row r="1166" spans="1:7">
      <c r="A1166" s="1754">
        <v>45811</v>
      </c>
      <c r="B1166" s="1748" t="str">
        <f>TiposLancamentos!B24</f>
        <v>Estacionamentos</v>
      </c>
      <c r="C1166" s="1740" t="s">
        <v>12475</v>
      </c>
      <c r="D1166" s="1736"/>
      <c r="E1166" s="952">
        <v>23</v>
      </c>
      <c r="F1166" s="1027"/>
      <c r="G1166" s="1368" t="s">
        <v>9</v>
      </c>
    </row>
    <row r="1167" spans="1:7">
      <c r="A1167" s="1754">
        <v>45811</v>
      </c>
      <c r="B1167" s="1748" t="str">
        <f>TiposLancamentos!B19</f>
        <v>Restaurantes</v>
      </c>
      <c r="C1167" s="1740" t="s">
        <v>1967</v>
      </c>
      <c r="D1167" s="1736"/>
      <c r="E1167" s="952">
        <v>37.4</v>
      </c>
      <c r="F1167" s="1027"/>
      <c r="G1167" s="1368" t="s">
        <v>9</v>
      </c>
    </row>
    <row r="1168" spans="1:7">
      <c r="A1168" s="1754">
        <v>45811</v>
      </c>
      <c r="B1168" s="1748" t="str">
        <f>TiposLancamentos!B16</f>
        <v>Cristiane</v>
      </c>
      <c r="C1168" s="1740" t="s">
        <v>10047</v>
      </c>
      <c r="D1168" s="1736"/>
      <c r="E1168" s="952">
        <v>37.96</v>
      </c>
      <c r="F1168" s="1027"/>
      <c r="G1168" s="1368" t="s">
        <v>9</v>
      </c>
    </row>
    <row r="1169" spans="1:7">
      <c r="A1169" s="1754">
        <v>45812</v>
      </c>
      <c r="B1169" s="1748" t="str">
        <f>B1167</f>
        <v>Restaurantes</v>
      </c>
      <c r="C1169" s="1740" t="s">
        <v>2238</v>
      </c>
      <c r="D1169" s="1736"/>
      <c r="E1169" s="952">
        <v>34.979999999999997</v>
      </c>
      <c r="F1169" s="1027"/>
      <c r="G1169" s="1368" t="s">
        <v>9</v>
      </c>
    </row>
    <row r="1170" spans="1:7">
      <c r="A1170" s="1754">
        <v>45813</v>
      </c>
      <c r="B1170" s="1748" t="str">
        <f>TiposLancamentos!B24</f>
        <v>Estacionamentos</v>
      </c>
      <c r="C1170" s="1740" t="s">
        <v>12476</v>
      </c>
      <c r="D1170" s="1736"/>
      <c r="E1170" s="952">
        <v>80.62</v>
      </c>
      <c r="F1170" s="1027"/>
      <c r="G1170" s="1368" t="s">
        <v>9</v>
      </c>
    </row>
    <row r="1171" spans="1:7">
      <c r="A1171" s="1754">
        <v>45813</v>
      </c>
      <c r="B1171" s="1748" t="str">
        <f>TiposLancamentos!B19</f>
        <v>Restaurantes</v>
      </c>
      <c r="C1171" s="1740" t="s">
        <v>12464</v>
      </c>
      <c r="D1171" s="1736"/>
      <c r="E1171" s="952">
        <v>103.63</v>
      </c>
      <c r="F1171" s="1027"/>
      <c r="G1171" s="1368" t="s">
        <v>9</v>
      </c>
    </row>
    <row r="1172" spans="1:7">
      <c r="A1172" s="1754">
        <v>45815</v>
      </c>
      <c r="B1172" s="1748" t="str">
        <f>TiposLancamentos!B5</f>
        <v>Supermercado</v>
      </c>
      <c r="C1172" s="1740" t="s">
        <v>12477</v>
      </c>
      <c r="D1172" s="1736"/>
      <c r="E1172" s="952">
        <v>48.3</v>
      </c>
      <c r="F1172" s="1027"/>
      <c r="G1172" s="1368" t="s">
        <v>9</v>
      </c>
    </row>
    <row r="1173" spans="1:7">
      <c r="A1173" s="1754">
        <v>45816</v>
      </c>
      <c r="B1173" s="1748" t="str">
        <f>TiposLancamentos!B16</f>
        <v>Cristiane</v>
      </c>
      <c r="C1173" s="1740" t="s">
        <v>12478</v>
      </c>
      <c r="D1173" s="1736"/>
      <c r="E1173" s="952">
        <v>125.61</v>
      </c>
      <c r="F1173" s="1027"/>
      <c r="G1173" s="1368" t="s">
        <v>9</v>
      </c>
    </row>
    <row r="1174" spans="1:7">
      <c r="A1174" s="1754">
        <v>45816</v>
      </c>
      <c r="B1174" s="1748" t="str">
        <f>TiposLancamentos!B13</f>
        <v>Moradia</v>
      </c>
      <c r="C1174" s="1740" t="s">
        <v>12479</v>
      </c>
      <c r="D1174" s="1736"/>
      <c r="E1174" s="952">
        <v>84.98</v>
      </c>
      <c r="F1174" s="1027"/>
      <c r="G1174" s="1368" t="s">
        <v>9</v>
      </c>
    </row>
    <row r="1175" spans="1:7">
      <c r="A1175" s="1754">
        <v>45816</v>
      </c>
      <c r="B1175" s="1748" t="str">
        <f>TiposLancamentos!B19</f>
        <v>Restaurantes</v>
      </c>
      <c r="C1175" s="1740" t="s">
        <v>12480</v>
      </c>
      <c r="D1175" s="1736"/>
      <c r="E1175" s="952">
        <v>125.39</v>
      </c>
      <c r="F1175" s="1027"/>
      <c r="G1175" s="1368" t="s">
        <v>9</v>
      </c>
    </row>
    <row r="1176" spans="1:7">
      <c r="A1176" s="1754">
        <v>45816</v>
      </c>
      <c r="B1176" s="1748" t="str">
        <f>TiposLancamentos!B7</f>
        <v>Apto. Proprio 01</v>
      </c>
      <c r="C1176" s="1740" t="s">
        <v>12481</v>
      </c>
      <c r="D1176" s="1736"/>
      <c r="E1176" s="952">
        <v>122.46</v>
      </c>
      <c r="F1176" s="1027"/>
      <c r="G1176" s="1368" t="s">
        <v>9</v>
      </c>
    </row>
    <row r="1177" spans="1:7">
      <c r="A1177" s="1754">
        <v>45818</v>
      </c>
      <c r="B1177" s="1748" t="str">
        <f>TiposLancamentos!B88</f>
        <v>Ford Ecosport XLT</v>
      </c>
      <c r="C1177" s="1740" t="s">
        <v>12482</v>
      </c>
      <c r="D1177" s="1736"/>
      <c r="E1177" s="952">
        <f>F1177/8</f>
        <v>275</v>
      </c>
      <c r="F1177" s="1027">
        <v>2200</v>
      </c>
      <c r="G1177" s="1368" t="s">
        <v>9</v>
      </c>
    </row>
    <row r="1178" spans="1:7">
      <c r="A1178" s="1754">
        <v>45818</v>
      </c>
      <c r="B1178" s="1748" t="str">
        <f>TiposLancamentos!B59</f>
        <v>Documentos</v>
      </c>
      <c r="C1178" s="1740" t="s">
        <v>12483</v>
      </c>
      <c r="D1178" s="1736"/>
      <c r="E1178" s="952">
        <v>150</v>
      </c>
      <c r="F1178" s="1027">
        <v>300</v>
      </c>
      <c r="G1178" s="1368" t="s">
        <v>9</v>
      </c>
    </row>
    <row r="1179" spans="1:7">
      <c r="A1179" s="1754">
        <v>45818</v>
      </c>
      <c r="B1179" s="1748" t="str">
        <f>TiposLancamentos!B19</f>
        <v>Restaurantes</v>
      </c>
      <c r="C1179" s="1740" t="s">
        <v>2224</v>
      </c>
      <c r="D1179" s="1736"/>
      <c r="E1179" s="952">
        <v>56.42</v>
      </c>
      <c r="F1179" s="1027"/>
      <c r="G1179" s="1368" t="s">
        <v>9</v>
      </c>
    </row>
    <row r="1180" spans="1:7">
      <c r="A1180" s="1754">
        <v>45818</v>
      </c>
      <c r="B1180" s="1748" t="str">
        <f>TiposLancamentos!B5</f>
        <v>Supermercado</v>
      </c>
      <c r="C1180" s="1740" t="s">
        <v>2274</v>
      </c>
      <c r="D1180" s="1736"/>
      <c r="E1180" s="952">
        <v>23.15</v>
      </c>
      <c r="F1180" s="1027"/>
      <c r="G1180" s="1368" t="s">
        <v>9</v>
      </c>
    </row>
    <row r="1181" spans="1:7">
      <c r="A1181" s="1754">
        <v>45818</v>
      </c>
      <c r="B1181" s="1748" t="str">
        <f>TiposLancamentos!B19</f>
        <v>Restaurantes</v>
      </c>
      <c r="C1181" s="1740" t="s">
        <v>1967</v>
      </c>
      <c r="D1181" s="1736"/>
      <c r="E1181" s="952">
        <v>43.4</v>
      </c>
      <c r="F1181" s="1027"/>
      <c r="G1181" s="1368" t="s">
        <v>9</v>
      </c>
    </row>
    <row r="1182" spans="1:7">
      <c r="A1182" s="1754">
        <v>45819</v>
      </c>
      <c r="B1182" s="1748" t="str">
        <f>TiposLancamentos!B16</f>
        <v>Cristiane</v>
      </c>
      <c r="C1182" s="1740" t="s">
        <v>2618</v>
      </c>
      <c r="D1182" s="1736"/>
      <c r="E1182" s="952">
        <v>33.89</v>
      </c>
      <c r="F1182" s="1027"/>
      <c r="G1182" s="1368" t="s">
        <v>9</v>
      </c>
    </row>
    <row r="1183" spans="1:7">
      <c r="A1183" s="1754">
        <v>45820</v>
      </c>
      <c r="B1183" s="1748" t="str">
        <f>TiposLancamentos!B19</f>
        <v>Restaurantes</v>
      </c>
      <c r="C1183" s="1740" t="s">
        <v>12484</v>
      </c>
      <c r="D1183" s="1736"/>
      <c r="E1183" s="952">
        <v>105.07</v>
      </c>
      <c r="F1183" s="1027"/>
      <c r="G1183" s="1368" t="s">
        <v>9</v>
      </c>
    </row>
    <row r="1184" spans="1:7">
      <c r="A1184" s="1754">
        <v>45821</v>
      </c>
      <c r="B1184" s="1748" t="str">
        <f>TiposLancamentos!B19</f>
        <v>Restaurantes</v>
      </c>
      <c r="C1184" s="1740" t="s">
        <v>2224</v>
      </c>
      <c r="D1184" s="1736"/>
      <c r="E1184" s="952">
        <v>82.38</v>
      </c>
      <c r="F1184" s="1027"/>
      <c r="G1184" s="1368" t="s">
        <v>9</v>
      </c>
    </row>
    <row r="1185" spans="1:7">
      <c r="A1185" s="1754">
        <v>45821</v>
      </c>
      <c r="B1185" s="1748" t="str">
        <f>TiposLancamentos!B5</f>
        <v>Supermercado</v>
      </c>
      <c r="C1185" s="1740" t="s">
        <v>2274</v>
      </c>
      <c r="D1185" s="1736"/>
      <c r="E1185" s="952">
        <v>23.22</v>
      </c>
      <c r="F1185" s="1027"/>
      <c r="G1185" s="1368" t="s">
        <v>9</v>
      </c>
    </row>
    <row r="1186" spans="1:7">
      <c r="A1186" s="1754">
        <v>45821</v>
      </c>
      <c r="B1186" s="1748" t="str">
        <f>TiposLancamentos!B19</f>
        <v>Restaurantes</v>
      </c>
      <c r="C1186" s="1740" t="s">
        <v>12485</v>
      </c>
      <c r="D1186" s="1736"/>
      <c r="E1186" s="952">
        <v>99.95</v>
      </c>
      <c r="F1186" s="1027"/>
      <c r="G1186" s="1368" t="s">
        <v>9</v>
      </c>
    </row>
    <row r="1187" spans="1:7">
      <c r="A1187" s="1754">
        <v>45821</v>
      </c>
      <c r="B1187" s="1748" t="str">
        <f>TiposLancamentos!B13</f>
        <v>Moradia</v>
      </c>
      <c r="C1187" s="1740" t="s">
        <v>12486</v>
      </c>
      <c r="D1187" s="1736"/>
      <c r="E1187" s="952">
        <v>37.65</v>
      </c>
      <c r="F1187" s="1027"/>
      <c r="G1187" s="1368" t="s">
        <v>9</v>
      </c>
    </row>
    <row r="1188" spans="1:7">
      <c r="A1188" s="1754">
        <v>45822</v>
      </c>
      <c r="B1188" s="1748" t="str">
        <f>TiposLancamentos!B13</f>
        <v>Moradia</v>
      </c>
      <c r="C1188" s="1740" t="s">
        <v>12487</v>
      </c>
      <c r="D1188" s="1736"/>
      <c r="E1188" s="952">
        <v>156.34</v>
      </c>
      <c r="F1188" s="1027">
        <v>312.69</v>
      </c>
      <c r="G1188" s="1368" t="s">
        <v>9</v>
      </c>
    </row>
    <row r="1189" spans="1:7">
      <c r="A1189" s="1754">
        <v>45822</v>
      </c>
      <c r="B1189" s="1748" t="str">
        <f>TiposLancamentos!B5</f>
        <v>Supermercado</v>
      </c>
      <c r="C1189" s="1740" t="s">
        <v>12488</v>
      </c>
      <c r="D1189" s="1736"/>
      <c r="E1189" s="952">
        <v>333.16</v>
      </c>
      <c r="F1189" s="1027"/>
      <c r="G1189" s="1368" t="s">
        <v>9</v>
      </c>
    </row>
    <row r="1190" spans="1:7">
      <c r="A1190" s="1754">
        <v>45822</v>
      </c>
      <c r="B1190" s="1748" t="str">
        <f>TiposLancamentos!B65</f>
        <v>Taxi</v>
      </c>
      <c r="C1190" s="1740" t="s">
        <v>12489</v>
      </c>
      <c r="D1190" s="1736"/>
      <c r="E1190" s="952">
        <v>28.92</v>
      </c>
      <c r="F1190" s="1027"/>
      <c r="G1190" s="1368" t="s">
        <v>9</v>
      </c>
    </row>
    <row r="1191" spans="1:7">
      <c r="A1191" s="1754">
        <v>45822</v>
      </c>
      <c r="B1191" s="1748" t="str">
        <f>TiposLancamentos!B19</f>
        <v>Restaurantes</v>
      </c>
      <c r="C1191" s="1740" t="s">
        <v>12490</v>
      </c>
      <c r="D1191" s="1736"/>
      <c r="E1191" s="952">
        <v>26.3</v>
      </c>
      <c r="F1191" s="1027"/>
      <c r="G1191" s="1368" t="s">
        <v>9</v>
      </c>
    </row>
    <row r="1192" spans="1:7">
      <c r="A1192" s="1754">
        <v>45822</v>
      </c>
      <c r="B1192" s="1748" t="str">
        <f>TiposLancamentos!B19</f>
        <v>Restaurantes</v>
      </c>
      <c r="C1192" s="1740" t="s">
        <v>12491</v>
      </c>
      <c r="D1192" s="1736"/>
      <c r="E1192" s="952">
        <v>193.6</v>
      </c>
      <c r="F1192" s="1027"/>
      <c r="G1192" s="1368" t="s">
        <v>9</v>
      </c>
    </row>
    <row r="1193" spans="1:7">
      <c r="A1193" s="1754">
        <v>45822</v>
      </c>
      <c r="B1193" s="1748" t="str">
        <f>TiposLancamentos!B65</f>
        <v>Taxi</v>
      </c>
      <c r="C1193" s="1740" t="s">
        <v>2196</v>
      </c>
      <c r="D1193" s="1736"/>
      <c r="E1193" s="952">
        <v>22.94</v>
      </c>
      <c r="F1193" s="1027"/>
      <c r="G1193" s="1368" t="s">
        <v>9</v>
      </c>
    </row>
    <row r="1194" spans="1:7">
      <c r="A1194" s="1754">
        <v>45822</v>
      </c>
      <c r="B1194" s="1748" t="str">
        <f>TiposLancamentos!B56</f>
        <v>Farmácia</v>
      </c>
      <c r="C1194" s="1740" t="s">
        <v>9835</v>
      </c>
      <c r="D1194" s="1736"/>
      <c r="E1194" s="952">
        <v>41.57</v>
      </c>
      <c r="F1194" s="1027"/>
      <c r="G1194" s="1368" t="s">
        <v>9</v>
      </c>
    </row>
    <row r="1195" spans="1:7">
      <c r="A1195" s="1754">
        <v>45823</v>
      </c>
      <c r="B1195" s="1748" t="str">
        <f>TiposLancamentos!B5</f>
        <v>Supermercado</v>
      </c>
      <c r="C1195" s="1740" t="s">
        <v>1879</v>
      </c>
      <c r="D1195" s="1736"/>
      <c r="E1195" s="952">
        <v>48.05</v>
      </c>
      <c r="F1195" s="1027"/>
      <c r="G1195" s="1368" t="s">
        <v>9</v>
      </c>
    </row>
    <row r="1196" spans="1:7">
      <c r="A1196" s="1754">
        <v>45824</v>
      </c>
      <c r="B1196" s="1748" t="str">
        <f>TiposLancamentos!B16</f>
        <v>Cristiane</v>
      </c>
      <c r="C1196" s="1740" t="s">
        <v>6052</v>
      </c>
      <c r="D1196" s="1736"/>
      <c r="E1196" s="952">
        <v>55.26</v>
      </c>
      <c r="F1196" s="1027"/>
      <c r="G1196" s="1368" t="s">
        <v>9</v>
      </c>
    </row>
    <row r="1197" spans="1:7">
      <c r="A1197" s="1754">
        <v>45825</v>
      </c>
      <c r="B1197" s="1748" t="str">
        <f>TiposLancamentos!B24</f>
        <v>Estacionamentos</v>
      </c>
      <c r="C1197" s="1740" t="s">
        <v>1898</v>
      </c>
      <c r="D1197" s="1736"/>
      <c r="E1197" s="952">
        <v>23</v>
      </c>
      <c r="F1197" s="1027"/>
      <c r="G1197" s="1368" t="s">
        <v>9</v>
      </c>
    </row>
    <row r="1198" spans="1:7">
      <c r="A1198" s="1754">
        <v>45825</v>
      </c>
      <c r="B1198" s="1748" t="str">
        <f>TiposLancamentos!B19</f>
        <v>Restaurantes</v>
      </c>
      <c r="C1198" s="1740" t="s">
        <v>1967</v>
      </c>
      <c r="D1198" s="1736"/>
      <c r="E1198" s="952">
        <v>46.2</v>
      </c>
      <c r="F1198" s="1027"/>
      <c r="G1198" s="1368" t="s">
        <v>9</v>
      </c>
    </row>
    <row r="1199" spans="1:7">
      <c r="A1199" s="1754">
        <v>45826</v>
      </c>
      <c r="B1199" s="1748" t="str">
        <f>TiposLancamentos!B19</f>
        <v>Restaurantes</v>
      </c>
      <c r="C1199" s="1740" t="s">
        <v>12492</v>
      </c>
      <c r="D1199" s="1736"/>
      <c r="E1199" s="952">
        <v>43.98</v>
      </c>
      <c r="F1199" s="1027"/>
      <c r="G1199" s="1368" t="s">
        <v>9</v>
      </c>
    </row>
    <row r="1200" spans="1:7">
      <c r="A1200" s="1754">
        <v>45827</v>
      </c>
      <c r="B1200" s="1748" t="str">
        <f>TiposLancamentos!B19</f>
        <v>Restaurantes</v>
      </c>
      <c r="C1200" s="1740" t="s">
        <v>12493</v>
      </c>
      <c r="D1200" s="1736"/>
      <c r="E1200" s="952">
        <v>74.989999999999995</v>
      </c>
      <c r="F1200" s="1027"/>
      <c r="G1200" s="1368" t="s">
        <v>9</v>
      </c>
    </row>
    <row r="1201" spans="1:7">
      <c r="A1201" s="1754">
        <v>45828</v>
      </c>
      <c r="B1201" s="1748" t="str">
        <f>TiposLancamentos!B19</f>
        <v>Restaurantes</v>
      </c>
      <c r="C1201" s="1740" t="s">
        <v>12494</v>
      </c>
      <c r="D1201" s="1736"/>
      <c r="E1201" s="952">
        <v>79.97</v>
      </c>
      <c r="F1201" s="1027"/>
      <c r="G1201" s="1368" t="s">
        <v>9</v>
      </c>
    </row>
    <row r="1202" spans="1:7">
      <c r="A1202" s="1754">
        <v>45829</v>
      </c>
      <c r="B1202" s="1748" t="str">
        <f>TiposLancamentos!B19</f>
        <v>Restaurantes</v>
      </c>
      <c r="C1202" s="1740" t="s">
        <v>12495</v>
      </c>
      <c r="D1202" s="1736"/>
      <c r="E1202" s="952">
        <v>211.26</v>
      </c>
      <c r="F1202" s="1027"/>
      <c r="G1202" s="1368" t="s">
        <v>9</v>
      </c>
    </row>
    <row r="1203" spans="1:7">
      <c r="A1203" s="1754">
        <v>45829</v>
      </c>
      <c r="B1203" s="1748" t="str">
        <f>TiposLancamentos!B24</f>
        <v>Estacionamentos</v>
      </c>
      <c r="C1203" s="1740" t="s">
        <v>12496</v>
      </c>
      <c r="D1203" s="1736"/>
      <c r="E1203" s="952">
        <v>35</v>
      </c>
      <c r="F1203" s="1027"/>
      <c r="G1203" s="1368" t="s">
        <v>9</v>
      </c>
    </row>
    <row r="1204" spans="1:7">
      <c r="A1204" s="1815">
        <v>45829</v>
      </c>
      <c r="B1204" s="1811" t="str">
        <f>TiposLancamentos!B56</f>
        <v>Farmácia</v>
      </c>
      <c r="C1204" s="1803" t="s">
        <v>12497</v>
      </c>
      <c r="D1204" s="1795"/>
      <c r="E1204" s="1789">
        <v>33.99</v>
      </c>
      <c r="F1204" s="1785"/>
      <c r="G1204" s="1368" t="s">
        <v>9</v>
      </c>
    </row>
    <row r="1205" spans="1:7">
      <c r="A1205" s="1816">
        <v>45829</v>
      </c>
      <c r="B1205" s="1812" t="str">
        <f>TiposLancamentos!B16</f>
        <v>Cristiane</v>
      </c>
      <c r="C1205" s="1804" t="s">
        <v>6052</v>
      </c>
      <c r="D1205" s="1796"/>
      <c r="E1205" s="1790">
        <f>F1205-E1204</f>
        <v>60.49</v>
      </c>
      <c r="F1205" s="1786">
        <v>94.48</v>
      </c>
      <c r="G1205" s="1368" t="s">
        <v>9</v>
      </c>
    </row>
    <row r="1206" spans="1:7">
      <c r="A1206" s="1754">
        <v>45830</v>
      </c>
      <c r="B1206" s="1748" t="str">
        <f>TiposLancamentos!B5</f>
        <v>Supermercado</v>
      </c>
      <c r="C1206" s="1740" t="s">
        <v>12498</v>
      </c>
      <c r="D1206" s="1736"/>
      <c r="E1206" s="952">
        <v>177.78</v>
      </c>
      <c r="F1206" s="1027"/>
      <c r="G1206" s="1368" t="s">
        <v>9</v>
      </c>
    </row>
    <row r="1207" spans="1:7">
      <c r="A1207" s="1754">
        <v>45830</v>
      </c>
      <c r="B1207" s="1748" t="str">
        <f>TiposLancamentos!B19</f>
        <v>Restaurantes</v>
      </c>
      <c r="C1207" s="1740" t="s">
        <v>12499</v>
      </c>
      <c r="D1207" s="1736"/>
      <c r="E1207" s="952">
        <v>79.599999999999994</v>
      </c>
      <c r="F1207" s="1027"/>
      <c r="G1207" s="1368" t="s">
        <v>9</v>
      </c>
    </row>
    <row r="1208" spans="1:7">
      <c r="A1208" s="1754">
        <v>45831</v>
      </c>
      <c r="B1208" s="1748" t="str">
        <f>TiposLancamentos!B45</f>
        <v>Online Services</v>
      </c>
      <c r="C1208" s="1740" t="s">
        <v>1876</v>
      </c>
      <c r="D1208" s="1736"/>
      <c r="E1208" s="952">
        <v>5.9</v>
      </c>
      <c r="F1208" s="1027"/>
      <c r="G1208" s="1368" t="s">
        <v>9</v>
      </c>
    </row>
    <row r="1209" spans="1:7">
      <c r="A1209" s="1756"/>
      <c r="B1209" s="1749"/>
      <c r="C1209" s="1741" t="s">
        <v>10</v>
      </c>
      <c r="D1209" s="1690"/>
      <c r="E1209" s="1231"/>
      <c r="F1209" s="1231"/>
      <c r="G1209" s="1094" t="s">
        <v>11</v>
      </c>
    </row>
    <row r="1210" spans="1:7">
      <c r="A1210" s="1754">
        <v>45832</v>
      </c>
      <c r="B1210" s="1748" t="str">
        <f>TiposLancamentos!B19</f>
        <v>Restaurantes</v>
      </c>
      <c r="C1210" s="1740" t="s">
        <v>12500</v>
      </c>
      <c r="D1210" s="1736"/>
      <c r="E1210" s="952">
        <v>81.790000000000006</v>
      </c>
      <c r="F1210" s="1027"/>
      <c r="G1210" s="1368" t="s">
        <v>9</v>
      </c>
    </row>
    <row r="1211" spans="1:7">
      <c r="A1211" s="1754">
        <v>45832</v>
      </c>
      <c r="B1211" s="1748" t="str">
        <f>TiposLancamentos!B7</f>
        <v>Apto. Proprio 01</v>
      </c>
      <c r="C1211" s="1740" t="s">
        <v>12501</v>
      </c>
      <c r="D1211" s="1736"/>
      <c r="E1211" s="952">
        <f>F1211/5</f>
        <v>108.56199999999998</v>
      </c>
      <c r="F1211" s="1027">
        <v>542.80999999999995</v>
      </c>
      <c r="G1211" s="1368" t="s">
        <v>9</v>
      </c>
    </row>
    <row r="1212" spans="1:7">
      <c r="A1212" s="1754">
        <v>45833</v>
      </c>
      <c r="B1212" s="1748" t="str">
        <f>TiposLancamentos!B19</f>
        <v>Restaurantes</v>
      </c>
      <c r="C1212" s="1740" t="s">
        <v>2224</v>
      </c>
      <c r="D1212" s="1736"/>
      <c r="E1212" s="952">
        <v>52.92</v>
      </c>
      <c r="F1212" s="1027"/>
      <c r="G1212" s="1368" t="s">
        <v>9</v>
      </c>
    </row>
    <row r="1213" spans="1:7">
      <c r="A1213" s="1754">
        <v>45833</v>
      </c>
      <c r="B1213" s="1748" t="str">
        <f>TiposLancamentos!B16</f>
        <v>Cristiane</v>
      </c>
      <c r="C1213" s="1740" t="s">
        <v>12216</v>
      </c>
      <c r="D1213" s="1736"/>
      <c r="E1213" s="952">
        <v>107.63</v>
      </c>
      <c r="F1213" s="1027"/>
      <c r="G1213" s="1368" t="s">
        <v>9</v>
      </c>
    </row>
    <row r="1214" spans="1:7">
      <c r="A1214" s="1754">
        <v>45834</v>
      </c>
      <c r="B1214" s="1748" t="str">
        <f>TiposLancamentos!B71</f>
        <v>Itens Pessoais</v>
      </c>
      <c r="C1214" s="1740" t="s">
        <v>12502</v>
      </c>
      <c r="D1214" s="1736"/>
      <c r="E1214" s="952">
        <v>100.58</v>
      </c>
      <c r="F1214" s="1027"/>
      <c r="G1214" s="1368" t="s">
        <v>9</v>
      </c>
    </row>
    <row r="1215" spans="1:7">
      <c r="A1215" s="1754">
        <v>45834</v>
      </c>
      <c r="B1215" s="1748" t="str">
        <f>TiposLancamentos!B19</f>
        <v>Restaurantes</v>
      </c>
      <c r="C1215" s="1740" t="s">
        <v>2224</v>
      </c>
      <c r="D1215" s="1736"/>
      <c r="E1215" s="952">
        <v>76.12</v>
      </c>
      <c r="F1215" s="1027"/>
      <c r="G1215" s="1368" t="s">
        <v>9</v>
      </c>
    </row>
    <row r="1216" spans="1:7">
      <c r="A1216" s="1754">
        <v>45834</v>
      </c>
      <c r="B1216" s="1748" t="str">
        <f>TiposLancamentos!B5</f>
        <v>Supermercado</v>
      </c>
      <c r="C1216" s="1740" t="s">
        <v>12503</v>
      </c>
      <c r="D1216" s="1736"/>
      <c r="E1216" s="952">
        <v>9.56</v>
      </c>
      <c r="F1216" s="1027"/>
      <c r="G1216" s="1368" t="s">
        <v>9</v>
      </c>
    </row>
    <row r="1217" spans="1:7">
      <c r="A1217" s="1754">
        <v>45834</v>
      </c>
      <c r="B1217" s="1748" t="str">
        <f>TiposLancamentos!B19</f>
        <v>Restaurantes</v>
      </c>
      <c r="C1217" s="1740" t="s">
        <v>12504</v>
      </c>
      <c r="D1217" s="1736"/>
      <c r="E1217" s="952">
        <v>96.96</v>
      </c>
      <c r="F1217" s="1027"/>
      <c r="G1217" s="1368" t="s">
        <v>9</v>
      </c>
    </row>
    <row r="1218" spans="1:7">
      <c r="A1218" s="1815">
        <v>45835</v>
      </c>
      <c r="B1218" s="1811" t="str">
        <f>TiposLancamentos!B28</f>
        <v>ComicBook</v>
      </c>
      <c r="C1218" s="1803" t="s">
        <v>12505</v>
      </c>
      <c r="D1218" s="1795"/>
      <c r="E1218" s="1789">
        <f>F1219-E1219</f>
        <v>113.15</v>
      </c>
      <c r="F1218" s="1785"/>
      <c r="G1218" s="1368" t="s">
        <v>9</v>
      </c>
    </row>
    <row r="1219" spans="1:7">
      <c r="A1219" s="1816">
        <v>45835</v>
      </c>
      <c r="B1219" s="1812" t="str">
        <f>TiposLancamentos!B60</f>
        <v>Correio</v>
      </c>
      <c r="C1219" s="1804" t="s">
        <v>2303</v>
      </c>
      <c r="D1219" s="1796"/>
      <c r="E1219" s="1790">
        <v>16.91</v>
      </c>
      <c r="F1219" s="1786">
        <v>130.06</v>
      </c>
      <c r="G1219" s="1368" t="s">
        <v>9</v>
      </c>
    </row>
    <row r="1220" spans="1:7">
      <c r="A1220" s="1754"/>
      <c r="B1220" s="1748"/>
      <c r="C1220" s="1740" t="s">
        <v>1947</v>
      </c>
      <c r="D1220" s="1736"/>
      <c r="E1220" s="952"/>
      <c r="F1220" s="1027"/>
      <c r="G1220" s="1368" t="s">
        <v>9</v>
      </c>
    </row>
    <row r="1221" spans="1:7">
      <c r="A1221" s="1815">
        <v>45835</v>
      </c>
      <c r="B1221" s="1811" t="str">
        <f>TiposLancamentos!B17</f>
        <v>GATO</v>
      </c>
      <c r="C1221" s="1803" t="s">
        <v>12506</v>
      </c>
      <c r="D1221" s="1795"/>
      <c r="E1221" s="1789">
        <v>191.9</v>
      </c>
      <c r="F1221" s="1785"/>
      <c r="G1221" s="1368" t="s">
        <v>9</v>
      </c>
    </row>
    <row r="1222" spans="1:7">
      <c r="A1222" s="1816">
        <v>45835</v>
      </c>
      <c r="B1222" s="1812" t="str">
        <f>TiposLancamentos!B60</f>
        <v>Correio</v>
      </c>
      <c r="C1222" s="1804" t="s">
        <v>12507</v>
      </c>
      <c r="D1222" s="1796"/>
      <c r="E1222" s="1790">
        <v>13.9</v>
      </c>
      <c r="F1222" s="1786">
        <v>205.8</v>
      </c>
      <c r="G1222" s="1368" t="s">
        <v>9</v>
      </c>
    </row>
    <row r="1223" spans="1:7">
      <c r="A1223" s="1754">
        <v>45835</v>
      </c>
      <c r="B1223" s="1748" t="str">
        <f>TiposLancamentos!B19</f>
        <v>Restaurantes</v>
      </c>
      <c r="C1223" s="1740" t="s">
        <v>12508</v>
      </c>
      <c r="D1223" s="1736"/>
      <c r="E1223" s="952">
        <v>79.97</v>
      </c>
      <c r="F1223" s="1027"/>
      <c r="G1223" s="1368" t="s">
        <v>9</v>
      </c>
    </row>
    <row r="1224" spans="1:7">
      <c r="A1224" s="1754">
        <v>45835</v>
      </c>
      <c r="B1224" s="1748" t="str">
        <f>TiposLancamentos!B19</f>
        <v>Restaurantes</v>
      </c>
      <c r="C1224" s="1740" t="s">
        <v>12493</v>
      </c>
      <c r="D1224" s="1736"/>
      <c r="E1224" s="952">
        <v>92.99</v>
      </c>
      <c r="F1224" s="1027"/>
      <c r="G1224" s="1368" t="s">
        <v>9</v>
      </c>
    </row>
    <row r="1225" spans="1:7">
      <c r="A1225" s="1754">
        <v>45836</v>
      </c>
      <c r="B1225" s="1748" t="str">
        <f>TiposLancamentos!B13</f>
        <v>Moradia</v>
      </c>
      <c r="C1225" s="1740" t="s">
        <v>12509</v>
      </c>
      <c r="D1225" s="1736"/>
      <c r="E1225" s="952">
        <v>129.97</v>
      </c>
      <c r="F1225" s="1027"/>
      <c r="G1225" s="1368" t="s">
        <v>9</v>
      </c>
    </row>
    <row r="1226" spans="1:7">
      <c r="A1226" s="1754">
        <v>45836</v>
      </c>
      <c r="B1226" s="1748" t="str">
        <f>TiposLancamentos!B45</f>
        <v>Online Services</v>
      </c>
      <c r="C1226" s="1740" t="s">
        <v>2102</v>
      </c>
      <c r="D1226" s="1736"/>
      <c r="E1226" s="952">
        <v>21.9</v>
      </c>
      <c r="F1226" s="1027"/>
      <c r="G1226" s="1368" t="s">
        <v>9</v>
      </c>
    </row>
    <row r="1227" spans="1:7">
      <c r="A1227" s="1754">
        <v>45836</v>
      </c>
      <c r="B1227" s="1748" t="str">
        <f>TiposLancamentos!B39</f>
        <v>Playstation 5</v>
      </c>
      <c r="C1227" s="1740" t="s">
        <v>12510</v>
      </c>
      <c r="D1227" s="1736"/>
      <c r="E1227" s="952">
        <f>F1227/10</f>
        <v>126.9</v>
      </c>
      <c r="F1227" s="1027">
        <v>1269</v>
      </c>
      <c r="G1227" s="1368" t="s">
        <v>9</v>
      </c>
    </row>
    <row r="1228" spans="1:7">
      <c r="A1228" s="1754">
        <v>45836</v>
      </c>
      <c r="B1228" s="1748" t="str">
        <f>TiposLancamentos!B71</f>
        <v>Itens Pessoais</v>
      </c>
      <c r="C1228" s="1740" t="s">
        <v>12511</v>
      </c>
      <c r="D1228" s="1736"/>
      <c r="E1228" s="952">
        <v>55.32</v>
      </c>
      <c r="F1228" s="1027">
        <v>331.95</v>
      </c>
      <c r="G1228" s="1368" t="s">
        <v>9</v>
      </c>
    </row>
    <row r="1229" spans="1:7">
      <c r="A1229" s="1754">
        <v>45837</v>
      </c>
      <c r="B1229" s="1748" t="str">
        <f>TiposLancamentos!B45</f>
        <v>Online Services</v>
      </c>
      <c r="C1229" s="1740" t="s">
        <v>2072</v>
      </c>
      <c r="D1229" s="1736"/>
      <c r="E1229" s="952">
        <v>26.9</v>
      </c>
      <c r="F1229" s="1027"/>
      <c r="G1229" s="1368" t="s">
        <v>9</v>
      </c>
    </row>
    <row r="1230" spans="1:7" ht="14.25" thickBot="1">
      <c r="A1230" s="1754">
        <v>45838</v>
      </c>
      <c r="B1230" s="1748" t="str">
        <f>TiposLancamentos!B45</f>
        <v>Online Services</v>
      </c>
      <c r="C1230" s="1740" t="s">
        <v>12436</v>
      </c>
      <c r="D1230" s="1736"/>
      <c r="E1230" s="952">
        <v>5.95</v>
      </c>
      <c r="F1230" s="1027"/>
      <c r="G1230" s="1368" t="s">
        <v>9</v>
      </c>
    </row>
    <row r="1231" spans="1:7">
      <c r="A1231" s="1814"/>
      <c r="B1231" s="1809"/>
      <c r="C1231" s="1801" t="s">
        <v>1648</v>
      </c>
      <c r="D1231" s="1794"/>
      <c r="E1231" s="1788"/>
      <c r="F1231" s="1078">
        <f>SUM(E1127:E1209)</f>
        <v>6117.83</v>
      </c>
      <c r="G1231" s="1368" t="s">
        <v>9</v>
      </c>
    </row>
    <row r="1232" spans="1:7">
      <c r="A1232" s="1754">
        <v>45839</v>
      </c>
      <c r="B1232" s="1748" t="str">
        <f>TiposLancamentos!B15</f>
        <v>Cartões de Crédito</v>
      </c>
      <c r="C1232" s="1740" t="s">
        <v>1874</v>
      </c>
      <c r="D1232" s="1736">
        <v>6117.83</v>
      </c>
      <c r="E1232" s="952"/>
      <c r="F1232" s="1027">
        <f>F1231-F1157</f>
        <v>2362.69</v>
      </c>
      <c r="G1232" s="1368" t="s">
        <v>9</v>
      </c>
    </row>
    <row r="1233" spans="1:7">
      <c r="A1233" s="1754">
        <v>45839</v>
      </c>
      <c r="B1233" s="1748" t="str">
        <f>TiposLancamentos!B22</f>
        <v>Combustivel</v>
      </c>
      <c r="C1233" s="1740" t="s">
        <v>12265</v>
      </c>
      <c r="D1233" s="1736"/>
      <c r="E1233" s="952">
        <v>247.84</v>
      </c>
      <c r="F1233" s="1027"/>
      <c r="G1233" s="1368" t="s">
        <v>9</v>
      </c>
    </row>
    <row r="1234" spans="1:7">
      <c r="A1234" s="1754">
        <v>45839</v>
      </c>
      <c r="B1234" s="1748" t="str">
        <f>TiposLancamentos!B19</f>
        <v>Restaurantes</v>
      </c>
      <c r="C1234" s="1740" t="s">
        <v>12512</v>
      </c>
      <c r="D1234" s="1736"/>
      <c r="E1234" s="952">
        <v>21.8</v>
      </c>
      <c r="F1234" s="1027"/>
      <c r="G1234" s="1368" t="s">
        <v>9</v>
      </c>
    </row>
    <row r="1235" spans="1:7">
      <c r="A1235" s="1754">
        <v>45839</v>
      </c>
      <c r="B1235" s="1748" t="str">
        <f>TiposLancamentos!B19</f>
        <v>Restaurantes</v>
      </c>
      <c r="C1235" s="1740" t="s">
        <v>12513</v>
      </c>
      <c r="D1235" s="1736"/>
      <c r="E1235" s="952">
        <v>22.4</v>
      </c>
      <c r="F1235" s="1027"/>
      <c r="G1235" s="1368" t="s">
        <v>9</v>
      </c>
    </row>
    <row r="1236" spans="1:7">
      <c r="A1236" s="1754">
        <v>45839</v>
      </c>
      <c r="B1236" s="1748" t="str">
        <f>TiposLancamentos!B19</f>
        <v>Restaurantes</v>
      </c>
      <c r="C1236" s="1740" t="s">
        <v>12514</v>
      </c>
      <c r="D1236" s="1736"/>
      <c r="E1236" s="952">
        <v>21.99</v>
      </c>
      <c r="F1236" s="1027"/>
      <c r="G1236" s="1368" t="s">
        <v>9</v>
      </c>
    </row>
    <row r="1237" spans="1:7">
      <c r="A1237" s="1754">
        <v>45839</v>
      </c>
      <c r="B1237" s="1748" t="str">
        <f>TiposLancamentos!B22</f>
        <v>Combustivel</v>
      </c>
      <c r="C1237" s="1740" t="s">
        <v>12265</v>
      </c>
      <c r="D1237" s="1736"/>
      <c r="E1237" s="952">
        <v>241.88</v>
      </c>
      <c r="F1237" s="1027"/>
      <c r="G1237" s="1368" t="s">
        <v>9</v>
      </c>
    </row>
    <row r="1238" spans="1:7">
      <c r="A1238" s="1754">
        <v>45839</v>
      </c>
      <c r="B1238" s="1748" t="str">
        <f>TiposLancamentos!B16</f>
        <v>Cristiane</v>
      </c>
      <c r="C1238" s="1740" t="s">
        <v>12515</v>
      </c>
      <c r="D1238" s="1736"/>
      <c r="E1238" s="952">
        <v>72.89</v>
      </c>
      <c r="F1238" s="1027"/>
      <c r="G1238" s="1368" t="s">
        <v>9</v>
      </c>
    </row>
    <row r="1239" spans="1:7">
      <c r="A1239" s="1754">
        <v>45840</v>
      </c>
      <c r="B1239" s="1748" t="str">
        <f>TiposLancamentos!B19</f>
        <v>Restaurantes</v>
      </c>
      <c r="C1239" s="1740" t="s">
        <v>12516</v>
      </c>
      <c r="D1239" s="1736"/>
      <c r="E1239" s="952">
        <v>37.9</v>
      </c>
      <c r="F1239" s="1027"/>
      <c r="G1239" s="1368" t="s">
        <v>9</v>
      </c>
    </row>
    <row r="1240" spans="1:7">
      <c r="A1240" s="1754">
        <v>45840</v>
      </c>
      <c r="B1240" s="1748" t="str">
        <f>TiposLancamentos!B19</f>
        <v>Restaurantes</v>
      </c>
      <c r="C1240" s="1740" t="s">
        <v>12517</v>
      </c>
      <c r="D1240" s="1736"/>
      <c r="E1240" s="952">
        <v>35.9</v>
      </c>
      <c r="F1240" s="1027"/>
      <c r="G1240" s="1368" t="s">
        <v>9</v>
      </c>
    </row>
    <row r="1241" spans="1:7">
      <c r="A1241" s="1754">
        <v>45841</v>
      </c>
      <c r="B1241" s="1748" t="str">
        <f>TiposLancamentos!B88</f>
        <v>Ford Ecosport XLT</v>
      </c>
      <c r="C1241" s="1740" t="s">
        <v>12518</v>
      </c>
      <c r="D1241" s="1736"/>
      <c r="E1241" s="952">
        <f>F1241/10</f>
        <v>120</v>
      </c>
      <c r="F1241" s="1027">
        <v>1200</v>
      </c>
      <c r="G1241" s="1368" t="s">
        <v>9</v>
      </c>
    </row>
    <row r="1242" spans="1:7">
      <c r="A1242" s="1754">
        <v>45841</v>
      </c>
      <c r="B1242" s="1748" t="str">
        <f>TiposLancamentos!B57</f>
        <v>Informática</v>
      </c>
      <c r="C1242" s="1740" t="s">
        <v>11330</v>
      </c>
      <c r="D1242" s="1736"/>
      <c r="E1242" s="952">
        <v>419.3</v>
      </c>
      <c r="F1242" s="1027">
        <v>419.3</v>
      </c>
      <c r="G1242" s="1368" t="s">
        <v>9</v>
      </c>
    </row>
    <row r="1243" spans="1:7">
      <c r="A1243" s="1754">
        <v>45843</v>
      </c>
      <c r="B1243" s="1748" t="str">
        <f>TiposLancamentos!B5</f>
        <v>Supermercado</v>
      </c>
      <c r="C1243" s="1740" t="s">
        <v>12519</v>
      </c>
      <c r="D1243" s="1736"/>
      <c r="E1243" s="952">
        <v>24</v>
      </c>
      <c r="F1243" s="1027"/>
      <c r="G1243" s="1368" t="s">
        <v>9</v>
      </c>
    </row>
    <row r="1244" spans="1:7">
      <c r="A1244" s="1754">
        <v>45844</v>
      </c>
      <c r="B1244" s="1748" t="str">
        <f>TiposLancamentos!B19</f>
        <v>Restaurantes</v>
      </c>
      <c r="C1244" s="1740" t="s">
        <v>12520</v>
      </c>
      <c r="D1244" s="1736"/>
      <c r="E1244" s="952">
        <v>106.47</v>
      </c>
      <c r="F1244" s="1027"/>
      <c r="G1244" s="1368" t="s">
        <v>9</v>
      </c>
    </row>
    <row r="1245" spans="1:7">
      <c r="A1245" s="1754">
        <v>45844</v>
      </c>
      <c r="B1245" s="1748" t="str">
        <f>TiposLancamentos!B56</f>
        <v>Farmácia</v>
      </c>
      <c r="C1245" s="1740" t="s">
        <v>12521</v>
      </c>
      <c r="D1245" s="1736"/>
      <c r="E1245" s="952">
        <v>107.88</v>
      </c>
      <c r="F1245" s="1027"/>
      <c r="G1245" s="1368" t="s">
        <v>9</v>
      </c>
    </row>
    <row r="1246" spans="1:7">
      <c r="A1246" s="1754">
        <v>45845</v>
      </c>
      <c r="B1246" s="1748" t="str">
        <f>TiposLancamentos!B19</f>
        <v>Restaurantes</v>
      </c>
      <c r="C1246" s="1740" t="s">
        <v>2224</v>
      </c>
      <c r="D1246" s="1736"/>
      <c r="E1246" s="952">
        <v>59.9</v>
      </c>
      <c r="F1246" s="1027"/>
      <c r="G1246" s="1368" t="s">
        <v>9</v>
      </c>
    </row>
    <row r="1247" spans="1:7">
      <c r="A1247" s="1754">
        <v>45845</v>
      </c>
      <c r="B1247" s="1748" t="str">
        <f>TiposLancamentos!B71</f>
        <v>Itens Pessoais</v>
      </c>
      <c r="C1247" s="1740" t="s">
        <v>12522</v>
      </c>
      <c r="D1247" s="1736"/>
      <c r="E1247" s="952">
        <v>20</v>
      </c>
      <c r="F1247" s="1027"/>
      <c r="G1247" s="1368" t="s">
        <v>9</v>
      </c>
    </row>
    <row r="1248" spans="1:7">
      <c r="A1248" s="1754">
        <v>45845</v>
      </c>
      <c r="B1248" s="1748" t="str">
        <f>TiposLancamentos!B19</f>
        <v>Restaurantes</v>
      </c>
      <c r="C1248" s="1740" t="s">
        <v>6565</v>
      </c>
      <c r="D1248" s="1736"/>
      <c r="E1248" s="952">
        <v>66.510000000000005</v>
      </c>
      <c r="F1248" s="1027"/>
      <c r="G1248" s="1368" t="s">
        <v>9</v>
      </c>
    </row>
    <row r="1249" spans="1:7">
      <c r="A1249" s="1818">
        <v>45846</v>
      </c>
      <c r="B1249" s="1813" t="str">
        <f>TiposLancamentos!B5</f>
        <v>Supermercado</v>
      </c>
      <c r="C1249" s="1806" t="s">
        <v>12523</v>
      </c>
      <c r="D1249" s="1797"/>
      <c r="E1249" s="1791">
        <v>155.87</v>
      </c>
      <c r="F1249" s="1787"/>
      <c r="G1249" s="1368" t="s">
        <v>9</v>
      </c>
    </row>
    <row r="1250" spans="1:7">
      <c r="A1250" s="1818">
        <v>45846</v>
      </c>
      <c r="B1250" s="1813" t="str">
        <f>TiposLancamentos!B56</f>
        <v>Farmácia</v>
      </c>
      <c r="C1250" s="1806" t="s">
        <v>12524</v>
      </c>
      <c r="D1250" s="1797"/>
      <c r="E1250" s="1791">
        <v>25.99</v>
      </c>
      <c r="F1250" s="1787"/>
      <c r="G1250" s="1368" t="s">
        <v>9</v>
      </c>
    </row>
    <row r="1251" spans="1:7">
      <c r="A1251" s="1754">
        <v>45847</v>
      </c>
      <c r="B1251" s="1748" t="str">
        <f>TiposLancamentos!B19</f>
        <v>Restaurantes</v>
      </c>
      <c r="C1251" s="1740" t="s">
        <v>12525</v>
      </c>
      <c r="D1251" s="1736"/>
      <c r="E1251" s="952">
        <v>190.97</v>
      </c>
      <c r="F1251" s="1027"/>
      <c r="G1251" s="1368" t="s">
        <v>9</v>
      </c>
    </row>
    <row r="1252" spans="1:7">
      <c r="A1252" s="1754">
        <v>45847</v>
      </c>
      <c r="B1252" s="1748" t="str">
        <f>TiposLancamentos!B24</f>
        <v>Estacionamentos</v>
      </c>
      <c r="C1252" s="1740" t="s">
        <v>7466</v>
      </c>
      <c r="D1252" s="1736"/>
      <c r="E1252" s="952">
        <v>50</v>
      </c>
      <c r="F1252" s="1027"/>
      <c r="G1252" s="1368" t="s">
        <v>9</v>
      </c>
    </row>
    <row r="1253" spans="1:7">
      <c r="A1253" s="1754">
        <v>45847</v>
      </c>
      <c r="B1253" s="1748" t="str">
        <f>TiposLancamentos!B19</f>
        <v>Restaurantes</v>
      </c>
      <c r="C1253" s="1740" t="s">
        <v>12526</v>
      </c>
      <c r="D1253" s="1736"/>
      <c r="E1253" s="952">
        <v>48.86</v>
      </c>
      <c r="F1253" s="1027"/>
      <c r="G1253" s="1368" t="s">
        <v>9</v>
      </c>
    </row>
    <row r="1254" spans="1:7">
      <c r="A1254" s="1754">
        <v>45848</v>
      </c>
      <c r="B1254" s="1748" t="str">
        <f>TiposLancamentos!B88</f>
        <v>Ford Ecosport XLT</v>
      </c>
      <c r="C1254" s="1740" t="s">
        <v>12527</v>
      </c>
      <c r="D1254" s="1736"/>
      <c r="E1254" s="952">
        <f>F1254/8</f>
        <v>275</v>
      </c>
      <c r="F1254" s="1027">
        <v>2200</v>
      </c>
      <c r="G1254" s="1368" t="s">
        <v>9</v>
      </c>
    </row>
    <row r="1255" spans="1:7">
      <c r="A1255" s="1754">
        <v>45848</v>
      </c>
      <c r="B1255" s="1748" t="str">
        <f>TiposLancamentos!B59</f>
        <v>Documentos</v>
      </c>
      <c r="C1255" s="1740" t="s">
        <v>12528</v>
      </c>
      <c r="D1255" s="1736"/>
      <c r="E1255" s="952">
        <v>150</v>
      </c>
      <c r="F1255" s="1027">
        <v>300</v>
      </c>
      <c r="G1255" s="1368" t="s">
        <v>9</v>
      </c>
    </row>
    <row r="1256" spans="1:7">
      <c r="A1256" s="1754">
        <v>45848</v>
      </c>
      <c r="B1256" s="1748" t="str">
        <f>TiposLancamentos!B19</f>
        <v>Restaurantes</v>
      </c>
      <c r="C1256" s="1740" t="s">
        <v>12529</v>
      </c>
      <c r="D1256" s="1736"/>
      <c r="E1256" s="952">
        <v>81.99</v>
      </c>
      <c r="F1256" s="1027"/>
      <c r="G1256" s="1368" t="s">
        <v>9</v>
      </c>
    </row>
    <row r="1257" spans="1:7">
      <c r="A1257" s="1754">
        <v>45849</v>
      </c>
      <c r="B1257" s="1748" t="str">
        <f>TiposLancamentos!B19</f>
        <v>Restaurantes</v>
      </c>
      <c r="C1257" s="1740" t="s">
        <v>2401</v>
      </c>
      <c r="D1257" s="1736"/>
      <c r="E1257" s="952">
        <v>86.97</v>
      </c>
      <c r="F1257" s="1027"/>
      <c r="G1257" s="1368" t="s">
        <v>9</v>
      </c>
    </row>
    <row r="1258" spans="1:7">
      <c r="A1258" s="1754">
        <v>45850</v>
      </c>
      <c r="B1258" s="1748" t="str">
        <f>TiposLancamentos!B19</f>
        <v>Restaurantes</v>
      </c>
      <c r="C1258" s="1740" t="s">
        <v>12530</v>
      </c>
      <c r="D1258" s="1736"/>
      <c r="E1258" s="952">
        <v>28</v>
      </c>
      <c r="F1258" s="1027"/>
      <c r="G1258" s="1368" t="s">
        <v>9</v>
      </c>
    </row>
    <row r="1259" spans="1:7">
      <c r="A1259" s="1754">
        <v>45850</v>
      </c>
      <c r="B1259" s="1748" t="str">
        <f>TiposLancamentos!B7</f>
        <v>Apto. Proprio 01</v>
      </c>
      <c r="C1259" s="1740" t="s">
        <v>12531</v>
      </c>
      <c r="D1259" s="1736"/>
      <c r="E1259" s="952">
        <v>45.97</v>
      </c>
      <c r="F1259" s="1027"/>
      <c r="G1259" s="1368" t="s">
        <v>9</v>
      </c>
    </row>
    <row r="1260" spans="1:7">
      <c r="A1260" s="1754">
        <v>45850</v>
      </c>
      <c r="B1260" s="1748" t="str">
        <f>TiposLancamentos!B24</f>
        <v>Estacionamentos</v>
      </c>
      <c r="C1260" s="1740" t="s">
        <v>12532</v>
      </c>
      <c r="D1260" s="1736"/>
      <c r="E1260" s="952">
        <v>22</v>
      </c>
      <c r="F1260" s="1027"/>
      <c r="G1260" s="1368" t="s">
        <v>9</v>
      </c>
    </row>
    <row r="1261" spans="1:7">
      <c r="A1261" s="1754">
        <v>45850</v>
      </c>
      <c r="B1261" s="1748" t="str">
        <f>TiposLancamentos!B5</f>
        <v>Supermercado</v>
      </c>
      <c r="C1261" s="1740" t="s">
        <v>12533</v>
      </c>
      <c r="D1261" s="1736"/>
      <c r="E1261" s="952">
        <v>38.15</v>
      </c>
      <c r="F1261" s="1027"/>
      <c r="G1261" s="1368" t="s">
        <v>9</v>
      </c>
    </row>
    <row r="1262" spans="1:7">
      <c r="A1262" s="1754">
        <v>45850</v>
      </c>
      <c r="B1262" s="1748" t="str">
        <f>TiposLancamentos!B19</f>
        <v>Restaurantes</v>
      </c>
      <c r="C1262" s="1740" t="s">
        <v>12534</v>
      </c>
      <c r="D1262" s="1736"/>
      <c r="E1262" s="952">
        <v>92.99</v>
      </c>
      <c r="F1262" s="1027"/>
      <c r="G1262" s="1368" t="s">
        <v>9</v>
      </c>
    </row>
    <row r="1263" spans="1:7">
      <c r="A1263" s="1818">
        <v>45851</v>
      </c>
      <c r="B1263" s="1813" t="str">
        <f>TiposLancamentos!B19</f>
        <v>Restaurantes</v>
      </c>
      <c r="C1263" s="1806" t="s">
        <v>12535</v>
      </c>
      <c r="D1263" s="1797"/>
      <c r="E1263" s="1791">
        <v>168.43</v>
      </c>
      <c r="F1263" s="1787"/>
      <c r="G1263" s="1368" t="s">
        <v>9</v>
      </c>
    </row>
    <row r="1264" spans="1:7">
      <c r="A1264" s="1754">
        <v>45851</v>
      </c>
      <c r="B1264" s="1748" t="str">
        <f>TiposLancamentos!B18</f>
        <v>Alimentacao</v>
      </c>
      <c r="C1264" s="1740" t="s">
        <v>12536</v>
      </c>
      <c r="D1264" s="1736"/>
      <c r="E1264" s="952">
        <v>25</v>
      </c>
      <c r="F1264" s="1027"/>
      <c r="G1264" s="1368" t="s">
        <v>9</v>
      </c>
    </row>
    <row r="1265" spans="1:7">
      <c r="A1265" s="1754">
        <v>45853</v>
      </c>
      <c r="B1265" s="1748" t="str">
        <f>TiposLancamentos!B19</f>
        <v>Restaurantes</v>
      </c>
      <c r="C1265" s="1740" t="s">
        <v>2224</v>
      </c>
      <c r="D1265" s="1736"/>
      <c r="E1265" s="952">
        <v>46.93</v>
      </c>
      <c r="F1265" s="1027"/>
      <c r="G1265" s="1368" t="s">
        <v>9</v>
      </c>
    </row>
    <row r="1266" spans="1:7">
      <c r="A1266" s="1754">
        <v>45853</v>
      </c>
      <c r="B1266" s="1748" t="str">
        <f>TiposLancamentos!B16</f>
        <v>Cristiane</v>
      </c>
      <c r="C1266" s="1740" t="s">
        <v>2155</v>
      </c>
      <c r="D1266" s="1736"/>
      <c r="E1266" s="952">
        <v>11.98</v>
      </c>
      <c r="F1266" s="1027"/>
      <c r="G1266" s="1368" t="s">
        <v>9</v>
      </c>
    </row>
    <row r="1267" spans="1:7">
      <c r="A1267" s="1754">
        <v>45855</v>
      </c>
      <c r="B1267" s="1748" t="str">
        <f>TiposLancamentos!B5</f>
        <v>Supermercado</v>
      </c>
      <c r="C1267" s="1740" t="s">
        <v>12537</v>
      </c>
      <c r="D1267" s="1736"/>
      <c r="E1267" s="952">
        <v>223.07</v>
      </c>
      <c r="F1267" s="1027"/>
      <c r="G1267" s="1368" t="s">
        <v>9</v>
      </c>
    </row>
    <row r="1268" spans="1:7">
      <c r="A1268" s="1754">
        <v>45855</v>
      </c>
      <c r="B1268" s="1748" t="str">
        <f>TiposLancamentos!B17</f>
        <v>GATO</v>
      </c>
      <c r="C1268" s="1740" t="s">
        <v>12538</v>
      </c>
      <c r="D1268" s="1736"/>
      <c r="E1268" s="952">
        <v>38.47</v>
      </c>
      <c r="F1268" s="1027"/>
      <c r="G1268" s="1368" t="s">
        <v>9</v>
      </c>
    </row>
    <row r="1269" spans="1:7">
      <c r="A1269" s="1754">
        <v>45855</v>
      </c>
      <c r="B1269" s="1748" t="str">
        <f>TiposLancamentos!B19</f>
        <v>Restaurantes</v>
      </c>
      <c r="C1269" s="1740" t="s">
        <v>12539</v>
      </c>
      <c r="D1269" s="1736">
        <v>113.19</v>
      </c>
      <c r="E1269" s="952">
        <v>113.19</v>
      </c>
      <c r="F1269" s="1027"/>
      <c r="G1269" s="1368" t="s">
        <v>9</v>
      </c>
    </row>
    <row r="1270" spans="1:7">
      <c r="A1270" s="1754">
        <v>45857</v>
      </c>
      <c r="B1270" s="1748" t="str">
        <f>TiposLancamentos!B19</f>
        <v>Restaurantes</v>
      </c>
      <c r="C1270" s="1740" t="s">
        <v>12540</v>
      </c>
      <c r="D1270" s="1736"/>
      <c r="E1270" s="952">
        <v>81.5</v>
      </c>
      <c r="F1270" s="1027"/>
      <c r="G1270" s="1368" t="s">
        <v>9</v>
      </c>
    </row>
    <row r="1271" spans="1:7">
      <c r="A1271" s="1754">
        <v>45857</v>
      </c>
      <c r="B1271" s="1748" t="str">
        <f>TiposLancamentos!B16</f>
        <v>Cristiane</v>
      </c>
      <c r="C1271" s="1740" t="s">
        <v>12541</v>
      </c>
      <c r="D1271" s="1736"/>
      <c r="E1271" s="952">
        <v>179</v>
      </c>
      <c r="F1271" s="1027"/>
      <c r="G1271" s="1368" t="s">
        <v>9</v>
      </c>
    </row>
    <row r="1272" spans="1:7">
      <c r="A1272" s="1754">
        <v>45857</v>
      </c>
      <c r="B1272" s="1748" t="str">
        <f>TiposLancamentos!B19</f>
        <v>Restaurantes</v>
      </c>
      <c r="C1272" s="1740" t="s">
        <v>12542</v>
      </c>
      <c r="D1272" s="1736"/>
      <c r="E1272" s="952">
        <v>86.97</v>
      </c>
      <c r="F1272" s="1027"/>
      <c r="G1272" s="1368" t="s">
        <v>9</v>
      </c>
    </row>
    <row r="1273" spans="1:7">
      <c r="A1273" s="1754">
        <v>45858</v>
      </c>
      <c r="B1273" s="1748" t="str">
        <f>TiposLancamentos!B22</f>
        <v>Combustivel</v>
      </c>
      <c r="C1273" s="1740" t="s">
        <v>12265</v>
      </c>
      <c r="D1273" s="1736"/>
      <c r="E1273" s="952">
        <v>100</v>
      </c>
      <c r="F1273" s="1027"/>
      <c r="G1273" s="1368" t="s">
        <v>9</v>
      </c>
    </row>
    <row r="1274" spans="1:7">
      <c r="A1274" s="1754">
        <v>45858</v>
      </c>
      <c r="B1274" s="1748" t="str">
        <f>TiposLancamentos!B19</f>
        <v>Restaurantes</v>
      </c>
      <c r="C1274" s="1740" t="s">
        <v>12543</v>
      </c>
      <c r="D1274" s="1736"/>
      <c r="E1274" s="952">
        <v>249.26</v>
      </c>
      <c r="F1274" s="1027"/>
      <c r="G1274" s="1368" t="s">
        <v>9</v>
      </c>
    </row>
    <row r="1275" spans="1:7">
      <c r="A1275" s="1754">
        <v>45858</v>
      </c>
      <c r="B1275" s="1748" t="str">
        <f>TiposLancamentos!B16</f>
        <v>Cristiane</v>
      </c>
      <c r="C1275" s="1740" t="s">
        <v>12544</v>
      </c>
      <c r="D1275" s="1736"/>
      <c r="E1275" s="952">
        <v>82.18</v>
      </c>
      <c r="F1275" s="1027"/>
      <c r="G1275" s="1368" t="s">
        <v>9</v>
      </c>
    </row>
    <row r="1276" spans="1:7">
      <c r="A1276" s="1754">
        <v>45860</v>
      </c>
      <c r="B1276" s="1748" t="str">
        <f>TiposLancamentos!B5</f>
        <v>Supermercado</v>
      </c>
      <c r="C1276" s="1740" t="s">
        <v>12545</v>
      </c>
      <c r="D1276" s="1736"/>
      <c r="E1276" s="952">
        <v>78.400000000000006</v>
      </c>
      <c r="F1276" s="1027"/>
      <c r="G1276" s="1368" t="s">
        <v>9</v>
      </c>
    </row>
    <row r="1277" spans="1:7">
      <c r="A1277" s="1754">
        <v>45860</v>
      </c>
      <c r="B1277" s="1748" t="str">
        <f>TiposLancamentos!B75</f>
        <v>Shows</v>
      </c>
      <c r="C1277" s="1740" t="s">
        <v>12546</v>
      </c>
      <c r="D1277" s="1736"/>
      <c r="E1277" s="952">
        <v>125.22</v>
      </c>
      <c r="F1277" s="1027"/>
      <c r="G1277" s="1368" t="s">
        <v>9</v>
      </c>
    </row>
    <row r="1278" spans="1:7">
      <c r="A1278" s="1754">
        <v>45861</v>
      </c>
      <c r="B1278" s="1748" t="str">
        <f>TiposLancamentos!B45</f>
        <v>Online Services</v>
      </c>
      <c r="C1278" s="1740" t="s">
        <v>1876</v>
      </c>
      <c r="D1278" s="1736"/>
      <c r="E1278" s="952">
        <v>5.9</v>
      </c>
      <c r="F1278" s="1027"/>
      <c r="G1278" s="1368" t="s">
        <v>9</v>
      </c>
    </row>
    <row r="1279" spans="1:7">
      <c r="A1279" s="1818">
        <v>45861</v>
      </c>
      <c r="B1279" s="1813" t="str">
        <f>TiposLancamentos!B5</f>
        <v>Supermercado</v>
      </c>
      <c r="C1279" s="1806" t="s">
        <v>1942</v>
      </c>
      <c r="D1279" s="1797"/>
      <c r="E1279" s="1791">
        <v>49.75</v>
      </c>
      <c r="F1279" s="1787"/>
      <c r="G1279" s="1368" t="s">
        <v>9</v>
      </c>
    </row>
    <row r="1280" spans="1:7">
      <c r="A1280" s="1756"/>
      <c r="B1280" s="1749"/>
      <c r="C1280" s="1741" t="s">
        <v>10</v>
      </c>
      <c r="D1280" s="1690"/>
      <c r="E1280" s="1231"/>
      <c r="F1280" s="1231"/>
      <c r="G1280" s="1094" t="s">
        <v>11</v>
      </c>
    </row>
    <row r="1281" spans="1:7">
      <c r="A1281" s="1754">
        <v>45861</v>
      </c>
      <c r="B1281" s="1748" t="str">
        <f>TiposLancamentos!B19</f>
        <v>Restaurantes</v>
      </c>
      <c r="C1281" s="1740" t="s">
        <v>2401</v>
      </c>
      <c r="D1281" s="1736"/>
      <c r="E1281" s="952">
        <v>86.97</v>
      </c>
      <c r="F1281" s="1027"/>
      <c r="G1281" s="1368" t="s">
        <v>9</v>
      </c>
    </row>
    <row r="1282" spans="1:7">
      <c r="A1282" s="1754">
        <v>45862</v>
      </c>
      <c r="B1282" s="1748" t="str">
        <f>TiposLancamentos!B7</f>
        <v>Apto. Proprio 01</v>
      </c>
      <c r="C1282" s="1740" t="s">
        <v>12547</v>
      </c>
      <c r="D1282" s="1736"/>
      <c r="E1282" s="952">
        <f>F1282/5</f>
        <v>108.56199999999998</v>
      </c>
      <c r="F1282" s="1027">
        <v>542.80999999999995</v>
      </c>
      <c r="G1282" s="1368" t="s">
        <v>9</v>
      </c>
    </row>
    <row r="1283" spans="1:7">
      <c r="A1283" s="1754">
        <v>45863</v>
      </c>
      <c r="B1283" s="1748" t="str">
        <f>TiposLancamentos!B13</f>
        <v>Moradia</v>
      </c>
      <c r="C1283" s="1740" t="s">
        <v>12548</v>
      </c>
      <c r="D1283" s="1736"/>
      <c r="E1283" s="952">
        <v>78.95</v>
      </c>
      <c r="F1283" s="1027"/>
      <c r="G1283" s="1368" t="s">
        <v>9</v>
      </c>
    </row>
    <row r="1284" spans="1:7">
      <c r="A1284" s="1667"/>
      <c r="B1284" s="1752"/>
      <c r="C1284" s="1740" t="s">
        <v>1947</v>
      </c>
      <c r="D1284" s="1736"/>
      <c r="E1284" s="931"/>
      <c r="F1284" s="1027"/>
      <c r="G1284" s="1094" t="s">
        <v>11</v>
      </c>
    </row>
    <row r="1285" spans="1:7">
      <c r="A1285" s="1815">
        <v>45863</v>
      </c>
      <c r="B1285" s="1811" t="str">
        <f>TiposLancamentos!B13</f>
        <v>Moradia</v>
      </c>
      <c r="C1285" s="1803" t="s">
        <v>12549</v>
      </c>
      <c r="D1285" s="1795"/>
      <c r="E1285" s="1789">
        <v>24</v>
      </c>
      <c r="F1285" s="1785"/>
      <c r="G1285" s="1368" t="s">
        <v>9</v>
      </c>
    </row>
    <row r="1286" spans="1:7">
      <c r="A1286" s="1816">
        <v>45863</v>
      </c>
      <c r="B1286" s="1812" t="str">
        <f>TiposLancamentos!B13</f>
        <v>Moradia</v>
      </c>
      <c r="C1286" s="1804" t="s">
        <v>12550</v>
      </c>
      <c r="D1286" s="1796"/>
      <c r="E1286" s="1790">
        <v>25.92</v>
      </c>
      <c r="F1286" s="1786">
        <f>SUM(E1285:E1286)</f>
        <v>49.92</v>
      </c>
      <c r="G1286" s="1368" t="s">
        <v>9</v>
      </c>
    </row>
    <row r="1287" spans="1:7">
      <c r="A1287" s="1754"/>
      <c r="B1287" s="1748"/>
      <c r="C1287" s="1740" t="s">
        <v>1947</v>
      </c>
      <c r="D1287" s="1736"/>
      <c r="E1287" s="952"/>
      <c r="F1287" s="1027"/>
      <c r="G1287" s="1094" t="s">
        <v>11</v>
      </c>
    </row>
    <row r="1288" spans="1:7">
      <c r="A1288" s="1815">
        <v>45863</v>
      </c>
      <c r="B1288" s="1811" t="str">
        <f>TiposLancamentos!B56</f>
        <v>Farmácia</v>
      </c>
      <c r="C1288" s="1803" t="s">
        <v>12551</v>
      </c>
      <c r="D1288" s="1795"/>
      <c r="E1288" s="1789">
        <f>F1289-E1289</f>
        <v>70.25</v>
      </c>
      <c r="F1288" s="1785"/>
      <c r="G1288" s="1368" t="s">
        <v>9</v>
      </c>
    </row>
    <row r="1289" spans="1:7">
      <c r="A1289" s="1816">
        <v>45863</v>
      </c>
      <c r="B1289" s="1812" t="str">
        <f>TiposLancamentos!B60</f>
        <v>Correio</v>
      </c>
      <c r="C1289" s="1804" t="s">
        <v>12552</v>
      </c>
      <c r="D1289" s="1796"/>
      <c r="E1289" s="1790">
        <v>7.9</v>
      </c>
      <c r="F1289" s="1786">
        <v>78.150000000000006</v>
      </c>
      <c r="G1289" s="1368" t="s">
        <v>9</v>
      </c>
    </row>
    <row r="1290" spans="1:7">
      <c r="A1290" s="1754"/>
      <c r="B1290" s="1748"/>
      <c r="C1290" s="1740" t="s">
        <v>1947</v>
      </c>
      <c r="D1290" s="1736"/>
      <c r="E1290" s="952"/>
      <c r="F1290" s="1027"/>
      <c r="G1290" s="1094" t="s">
        <v>11</v>
      </c>
    </row>
    <row r="1291" spans="1:7">
      <c r="A1291" s="1815">
        <v>45863</v>
      </c>
      <c r="B1291" s="1811" t="str">
        <f>TiposLancamentos!B39</f>
        <v>Playstation 5</v>
      </c>
      <c r="C1291" s="1803" t="s">
        <v>12553</v>
      </c>
      <c r="D1291" s="1795"/>
      <c r="E1291" s="1789">
        <v>5.5</v>
      </c>
      <c r="F1291" s="1785"/>
      <c r="G1291" s="1368" t="s">
        <v>9</v>
      </c>
    </row>
    <row r="1292" spans="1:7">
      <c r="A1292" s="1667">
        <v>45863</v>
      </c>
      <c r="B1292" s="1752" t="str">
        <f>TiposLancamentos!B39</f>
        <v>Playstation 5</v>
      </c>
      <c r="C1292" s="1745" t="s">
        <v>12554</v>
      </c>
      <c r="D1292" s="1736"/>
      <c r="E1292" s="931">
        <v>56.9</v>
      </c>
      <c r="F1292" s="1027"/>
      <c r="G1292" s="1368" t="s">
        <v>9</v>
      </c>
    </row>
    <row r="1293" spans="1:7">
      <c r="A1293" s="1667">
        <v>45863</v>
      </c>
      <c r="B1293" s="1752" t="str">
        <f>TiposLancamentos!B38</f>
        <v>Playstation 4</v>
      </c>
      <c r="C1293" s="1745" t="s">
        <v>12555</v>
      </c>
      <c r="D1293" s="1736"/>
      <c r="E1293" s="931">
        <v>56.9</v>
      </c>
      <c r="F1293" s="1027"/>
      <c r="G1293" s="1368" t="s">
        <v>9</v>
      </c>
    </row>
    <row r="1294" spans="1:7">
      <c r="A1294" s="1816">
        <v>45863</v>
      </c>
      <c r="B1294" s="1812" t="str">
        <f>TiposLancamentos!B4</f>
        <v>Taxas Bancarias</v>
      </c>
      <c r="C1294" s="1804" t="s">
        <v>12556</v>
      </c>
      <c r="D1294" s="1796"/>
      <c r="E1294" s="1790">
        <v>4.18</v>
      </c>
      <c r="F1294" s="1786">
        <f>SUM(E1291:E1294)</f>
        <v>123.47999999999999</v>
      </c>
      <c r="G1294" s="1368" t="s">
        <v>9</v>
      </c>
    </row>
    <row r="1295" spans="1:7">
      <c r="A1295" s="1754"/>
      <c r="B1295" s="1748"/>
      <c r="C1295" s="1740" t="s">
        <v>1947</v>
      </c>
      <c r="D1295" s="1736"/>
      <c r="E1295" s="952"/>
      <c r="F1295" s="1027"/>
      <c r="G1295" s="1094" t="s">
        <v>11</v>
      </c>
    </row>
    <row r="1296" spans="1:7">
      <c r="A1296" s="1754">
        <v>45863</v>
      </c>
      <c r="B1296" s="1748" t="str">
        <f>TiposLancamentos!B19</f>
        <v>Restaurantes</v>
      </c>
      <c r="C1296" s="1740" t="s">
        <v>12557</v>
      </c>
      <c r="D1296" s="1736"/>
      <c r="E1296" s="952">
        <v>93.49</v>
      </c>
      <c r="F1296" s="1027"/>
      <c r="G1296" s="1368" t="s">
        <v>9</v>
      </c>
    </row>
    <row r="1297" spans="1:7">
      <c r="A1297" s="1754">
        <v>45864</v>
      </c>
      <c r="B1297" s="1748" t="str">
        <f>TiposLancamentos!B71</f>
        <v>Itens Pessoais</v>
      </c>
      <c r="C1297" s="1740" t="s">
        <v>12558</v>
      </c>
      <c r="D1297" s="1736"/>
      <c r="E1297" s="952">
        <v>100.58</v>
      </c>
      <c r="F1297" s="1027"/>
      <c r="G1297" s="1368" t="s">
        <v>9</v>
      </c>
    </row>
    <row r="1298" spans="1:7">
      <c r="A1298" s="1754">
        <v>45864</v>
      </c>
      <c r="B1298" s="1748" t="str">
        <f>TiposLancamentos!B65</f>
        <v>Taxi</v>
      </c>
      <c r="C1298" s="1740" t="s">
        <v>12559</v>
      </c>
      <c r="D1298" s="1736"/>
      <c r="E1298" s="952">
        <v>12.32</v>
      </c>
      <c r="F1298" s="1027"/>
      <c r="G1298" s="1368" t="s">
        <v>9</v>
      </c>
    </row>
    <row r="1299" spans="1:7">
      <c r="A1299" s="1754">
        <v>45864</v>
      </c>
      <c r="B1299" s="1748" t="str">
        <f>TiposLancamentos!B19</f>
        <v>Restaurantes</v>
      </c>
      <c r="C1299" s="1740" t="s">
        <v>12560</v>
      </c>
      <c r="D1299" s="1736"/>
      <c r="E1299" s="952">
        <v>26</v>
      </c>
      <c r="F1299" s="1027"/>
      <c r="G1299" s="1368" t="s">
        <v>9</v>
      </c>
    </row>
    <row r="1300" spans="1:7">
      <c r="A1300" s="1818">
        <v>45864</v>
      </c>
      <c r="B1300" s="1813" t="str">
        <f>TiposLancamentos!B16</f>
        <v>Cristiane</v>
      </c>
      <c r="C1300" s="1806" t="s">
        <v>12561</v>
      </c>
      <c r="D1300" s="1797"/>
      <c r="E1300" s="1791">
        <v>94</v>
      </c>
      <c r="F1300" s="1787"/>
      <c r="G1300" s="1368" t="s">
        <v>9</v>
      </c>
    </row>
    <row r="1301" spans="1:7">
      <c r="A1301" s="1818">
        <v>45864</v>
      </c>
      <c r="B1301" s="1813" t="str">
        <f>TiposLancamentos!B5</f>
        <v>Supermercado</v>
      </c>
      <c r="C1301" s="1806" t="s">
        <v>12562</v>
      </c>
      <c r="D1301" s="1797"/>
      <c r="E1301" s="1791">
        <v>86.47</v>
      </c>
      <c r="F1301" s="1787"/>
      <c r="G1301" s="1368" t="s">
        <v>9</v>
      </c>
    </row>
    <row r="1302" spans="1:7">
      <c r="A1302" s="1818">
        <v>45864</v>
      </c>
      <c r="B1302" s="1813" t="str">
        <f>TiposLancamentos!B16</f>
        <v>Cristiane</v>
      </c>
      <c r="C1302" s="1806" t="s">
        <v>12563</v>
      </c>
      <c r="D1302" s="1797"/>
      <c r="E1302" s="1791">
        <v>68.48</v>
      </c>
      <c r="F1302" s="1787"/>
      <c r="G1302" s="1368" t="s">
        <v>9</v>
      </c>
    </row>
    <row r="1303" spans="1:7">
      <c r="A1303" s="1818">
        <v>45864</v>
      </c>
      <c r="B1303" s="1813" t="str">
        <f>TiposLancamentos!B22</f>
        <v>Combustivel</v>
      </c>
      <c r="C1303" s="1806" t="s">
        <v>12265</v>
      </c>
      <c r="D1303" s="1797"/>
      <c r="E1303" s="1791">
        <v>100</v>
      </c>
      <c r="F1303" s="1787"/>
      <c r="G1303" s="1368" t="s">
        <v>9</v>
      </c>
    </row>
    <row r="1304" spans="1:7">
      <c r="A1304" s="1754">
        <v>45864</v>
      </c>
      <c r="B1304" s="1748" t="str">
        <f>TiposLancamentos!B19</f>
        <v>Restaurantes</v>
      </c>
      <c r="C1304" s="1740" t="s">
        <v>12564</v>
      </c>
      <c r="D1304" s="1736"/>
      <c r="E1304" s="952">
        <v>74</v>
      </c>
      <c r="F1304" s="1027"/>
      <c r="G1304" s="1368" t="s">
        <v>9</v>
      </c>
    </row>
    <row r="1305" spans="1:7">
      <c r="A1305" s="1754">
        <v>45864</v>
      </c>
      <c r="B1305" s="1748" t="str">
        <f>TiposLancamentos!B19</f>
        <v>Restaurantes</v>
      </c>
      <c r="C1305" s="1740" t="s">
        <v>12565</v>
      </c>
      <c r="D1305" s="1736"/>
      <c r="E1305" s="952">
        <v>18</v>
      </c>
      <c r="F1305" s="1027"/>
      <c r="G1305" s="1368" t="s">
        <v>9</v>
      </c>
    </row>
    <row r="1306" spans="1:7">
      <c r="A1306" s="1754">
        <v>45864</v>
      </c>
      <c r="B1306" s="1748" t="str">
        <f>TiposLancamentos!B65</f>
        <v>Taxi</v>
      </c>
      <c r="C1306" s="1740" t="s">
        <v>12566</v>
      </c>
      <c r="D1306" s="1736"/>
      <c r="E1306" s="952">
        <v>12.95</v>
      </c>
      <c r="F1306" s="1027"/>
      <c r="G1306" s="1368" t="s">
        <v>9</v>
      </c>
    </row>
    <row r="1307" spans="1:7">
      <c r="A1307" s="1754">
        <v>45864</v>
      </c>
      <c r="B1307" s="1748" t="str">
        <f>TiposLancamentos!B57</f>
        <v>Informática</v>
      </c>
      <c r="C1307" s="1740" t="s">
        <v>12567</v>
      </c>
      <c r="D1307" s="1736"/>
      <c r="E1307" s="952">
        <v>149.99</v>
      </c>
      <c r="F1307" s="1027"/>
      <c r="G1307" s="1368" t="s">
        <v>9</v>
      </c>
    </row>
    <row r="1308" spans="1:7">
      <c r="A1308" s="1754">
        <v>45865</v>
      </c>
      <c r="B1308" s="1748" t="str">
        <f>TiposLancamentos!B19</f>
        <v>Restaurantes</v>
      </c>
      <c r="C1308" s="1740" t="s">
        <v>12568</v>
      </c>
      <c r="D1308" s="1736"/>
      <c r="E1308" s="952">
        <v>157.08000000000001</v>
      </c>
      <c r="F1308" s="1027"/>
      <c r="G1308" s="1368" t="s">
        <v>9</v>
      </c>
    </row>
    <row r="1309" spans="1:7">
      <c r="A1309" s="1754">
        <v>45865</v>
      </c>
      <c r="B1309" s="1748" t="str">
        <f>TiposLancamentos!B5</f>
        <v>Supermercado</v>
      </c>
      <c r="C1309" s="1740" t="s">
        <v>12569</v>
      </c>
      <c r="D1309" s="1736"/>
      <c r="E1309" s="952">
        <v>58.88</v>
      </c>
      <c r="F1309" s="1027"/>
      <c r="G1309" s="1368" t="s">
        <v>9</v>
      </c>
    </row>
    <row r="1310" spans="1:7">
      <c r="A1310" s="1754">
        <v>45866</v>
      </c>
      <c r="B1310" s="1748" t="str">
        <f>TiposLancamentos!B39</f>
        <v>Playstation 5</v>
      </c>
      <c r="C1310" s="1740" t="s">
        <v>12570</v>
      </c>
      <c r="D1310" s="1736"/>
      <c r="E1310" s="952">
        <f>F1310/10</f>
        <v>126.9</v>
      </c>
      <c r="F1310" s="1027">
        <v>1269</v>
      </c>
      <c r="G1310" s="1368" t="s">
        <v>9</v>
      </c>
    </row>
    <row r="1311" spans="1:7">
      <c r="A1311" s="1754">
        <v>45866</v>
      </c>
      <c r="B1311" s="1748" t="str">
        <f>TiposLancamentos!B71</f>
        <v>Itens Pessoais</v>
      </c>
      <c r="C1311" s="1740" t="s">
        <v>12571</v>
      </c>
      <c r="D1311" s="1736"/>
      <c r="E1311" s="952">
        <v>55.32</v>
      </c>
      <c r="F1311" s="1027">
        <v>331.95</v>
      </c>
      <c r="G1311" s="1368" t="s">
        <v>9</v>
      </c>
    </row>
    <row r="1312" spans="1:7">
      <c r="A1312" s="1754">
        <v>45866</v>
      </c>
      <c r="B1312" s="1748" t="str">
        <f>TiposLancamentos!B45</f>
        <v>Online Services</v>
      </c>
      <c r="C1312" s="1740" t="s">
        <v>2102</v>
      </c>
      <c r="D1312" s="1736"/>
      <c r="E1312" s="952">
        <v>21.9</v>
      </c>
      <c r="F1312" s="1027"/>
      <c r="G1312" s="1368" t="s">
        <v>9</v>
      </c>
    </row>
    <row r="1313" spans="1:7">
      <c r="A1313" s="1754">
        <v>45867</v>
      </c>
      <c r="B1313" s="1748" t="str">
        <f>TiposLancamentos!B45</f>
        <v>Online Services</v>
      </c>
      <c r="C1313" s="1740" t="s">
        <v>2072</v>
      </c>
      <c r="D1313" s="1736"/>
      <c r="E1313" s="952">
        <v>26.9</v>
      </c>
      <c r="F1313" s="1027"/>
      <c r="G1313" s="1368" t="s">
        <v>9</v>
      </c>
    </row>
    <row r="1314" spans="1:7">
      <c r="A1314" s="1754">
        <v>45867</v>
      </c>
      <c r="B1314" s="1748" t="str">
        <f>TiposLancamentos!B57</f>
        <v>Informática</v>
      </c>
      <c r="C1314" s="1740" t="s">
        <v>12572</v>
      </c>
      <c r="D1314" s="1736"/>
      <c r="E1314" s="952">
        <v>34.51</v>
      </c>
      <c r="F1314" s="1027"/>
      <c r="G1314" s="1368" t="s">
        <v>9</v>
      </c>
    </row>
    <row r="1315" spans="1:7">
      <c r="A1315" s="1754">
        <v>45867</v>
      </c>
      <c r="B1315" s="1748" t="str">
        <f>TiposLancamentos!B19</f>
        <v>Restaurantes</v>
      </c>
      <c r="C1315" s="1740" t="s">
        <v>9787</v>
      </c>
      <c r="D1315" s="1736"/>
      <c r="E1315" s="952">
        <v>86.97</v>
      </c>
      <c r="F1315" s="1027"/>
      <c r="G1315" s="1368" t="s">
        <v>9</v>
      </c>
    </row>
    <row r="1316" spans="1:7">
      <c r="A1316" s="1754">
        <v>45868</v>
      </c>
      <c r="B1316" s="1748" t="str">
        <f>TiposLancamentos!B45</f>
        <v>Online Services</v>
      </c>
      <c r="C1316" s="1740" t="s">
        <v>12436</v>
      </c>
      <c r="D1316" s="1736"/>
      <c r="E1316" s="952">
        <v>5.95</v>
      </c>
      <c r="F1316" s="1027"/>
      <c r="G1316" s="1368" t="s">
        <v>9</v>
      </c>
    </row>
    <row r="1317" spans="1:7">
      <c r="A1317" s="1818">
        <v>45868</v>
      </c>
      <c r="B1317" s="1813" t="str">
        <f>TiposLancamentos!B16</f>
        <v>Cristiane</v>
      </c>
      <c r="C1317" s="1806" t="s">
        <v>6052</v>
      </c>
      <c r="D1317" s="1797"/>
      <c r="E1317" s="1791">
        <v>103.35</v>
      </c>
      <c r="F1317" s="1787"/>
      <c r="G1317" s="1368" t="s">
        <v>9</v>
      </c>
    </row>
    <row r="1318" spans="1:7">
      <c r="A1318" s="1815">
        <v>45868</v>
      </c>
      <c r="B1318" s="1811" t="str">
        <f>TiposLancamentos!B31</f>
        <v>Action Figures</v>
      </c>
      <c r="C1318" s="1803" t="s">
        <v>12573</v>
      </c>
      <c r="D1318" s="1795"/>
      <c r="E1318" s="1789">
        <v>218.82</v>
      </c>
      <c r="F1318" s="1785"/>
      <c r="G1318" s="1368" t="s">
        <v>9</v>
      </c>
    </row>
    <row r="1319" spans="1:7">
      <c r="A1319" s="1667">
        <v>45868</v>
      </c>
      <c r="B1319" s="1752" t="str">
        <f>TiposLancamentos!B60</f>
        <v>Correio</v>
      </c>
      <c r="C1319" s="1745" t="s">
        <v>12574</v>
      </c>
      <c r="D1319" s="1736"/>
      <c r="E1319" s="931">
        <v>93.99</v>
      </c>
      <c r="F1319" s="1027"/>
      <c r="G1319" s="1368" t="s">
        <v>9</v>
      </c>
    </row>
    <row r="1320" spans="1:7">
      <c r="A1320" s="1816">
        <v>45868</v>
      </c>
      <c r="B1320" s="1812" t="str">
        <f>TiposLancamentos!B4</f>
        <v>Taxas Bancarias</v>
      </c>
      <c r="C1320" s="1804" t="s">
        <v>12575</v>
      </c>
      <c r="D1320" s="1796"/>
      <c r="E1320" s="1790">
        <v>145.93</v>
      </c>
      <c r="F1320" s="1786">
        <f>SUM(E1318:E1320)</f>
        <v>458.74</v>
      </c>
      <c r="G1320" s="1368" t="s">
        <v>9</v>
      </c>
    </row>
    <row r="1321" spans="1:7">
      <c r="A1321" s="1754">
        <v>45868</v>
      </c>
      <c r="B1321" s="1748" t="str">
        <f>TiposLancamentos!B19</f>
        <v>Restaurantes</v>
      </c>
      <c r="C1321" s="1740" t="s">
        <v>12576</v>
      </c>
      <c r="D1321" s="1736"/>
      <c r="E1321" s="952">
        <v>83.97</v>
      </c>
      <c r="F1321" s="1027"/>
      <c r="G1321" s="1368" t="s">
        <v>9</v>
      </c>
    </row>
    <row r="1322" spans="1:7" ht="14.25" thickBot="1">
      <c r="A1322" s="1754">
        <v>45869</v>
      </c>
      <c r="B1322" s="1748" t="str">
        <f>TiposLancamentos!B5</f>
        <v>Supermercado</v>
      </c>
      <c r="C1322" s="1740" t="s">
        <v>12577</v>
      </c>
      <c r="D1322" s="1736"/>
      <c r="E1322" s="952">
        <v>306.08999999999997</v>
      </c>
      <c r="F1322" s="1027"/>
      <c r="G1322" s="1368" t="s">
        <v>9</v>
      </c>
    </row>
    <row r="1323" spans="1:7">
      <c r="A1323" s="1814"/>
      <c r="B1323" s="1809"/>
      <c r="C1323" s="1801" t="s">
        <v>1649</v>
      </c>
      <c r="D1323" s="1794"/>
      <c r="E1323" s="1788"/>
      <c r="F1323" s="1078">
        <f>SUM(E1209:E1280)-D1269</f>
        <v>5981.3620000000001</v>
      </c>
      <c r="G1323" s="1094" t="s">
        <v>11</v>
      </c>
    </row>
    <row r="1324" spans="1:7">
      <c r="A1324" s="1754">
        <v>45870</v>
      </c>
      <c r="B1324" s="1748" t="str">
        <f>TiposLancamentos!B15</f>
        <v>Cartões de Crédito</v>
      </c>
      <c r="C1324" s="1740" t="s">
        <v>1874</v>
      </c>
      <c r="D1324" s="1736">
        <v>5981.36</v>
      </c>
      <c r="E1324" s="952"/>
      <c r="F1324" s="1027">
        <f>F1323-F1231</f>
        <v>-136.46799999999985</v>
      </c>
      <c r="G1324" s="1368" t="s">
        <v>9</v>
      </c>
    </row>
    <row r="1325" spans="1:7">
      <c r="A1325" s="1754">
        <v>45870</v>
      </c>
      <c r="B1325" s="1748" t="str">
        <f>TiposLancamentos!B45</f>
        <v>Online Services</v>
      </c>
      <c r="C1325" s="1740" t="s">
        <v>2079</v>
      </c>
      <c r="D1325" s="1736"/>
      <c r="E1325" s="952">
        <v>27.9</v>
      </c>
      <c r="F1325" s="1027">
        <v>27.9</v>
      </c>
      <c r="G1325" s="1368" t="s">
        <v>9</v>
      </c>
    </row>
    <row r="1326" spans="1:7">
      <c r="A1326" s="1754">
        <v>45871</v>
      </c>
      <c r="B1326" s="1748" t="str">
        <f>TiposLancamentos!B17</f>
        <v>GATO</v>
      </c>
      <c r="C1326" s="1740" t="s">
        <v>12578</v>
      </c>
      <c r="D1326" s="1736"/>
      <c r="E1326" s="952">
        <v>90</v>
      </c>
      <c r="F1326" s="1027"/>
      <c r="G1326" s="1368" t="s">
        <v>9</v>
      </c>
    </row>
    <row r="1327" spans="1:7">
      <c r="A1327" s="1754">
        <v>45871</v>
      </c>
      <c r="B1327" s="1748" t="str">
        <f>TiposLancamentos!B19</f>
        <v>Restaurantes</v>
      </c>
      <c r="C1327" s="1740" t="s">
        <v>12579</v>
      </c>
      <c r="D1327" s="1736"/>
      <c r="E1327" s="952">
        <v>51.5</v>
      </c>
      <c r="F1327" s="1027"/>
      <c r="G1327" s="1368" t="s">
        <v>9</v>
      </c>
    </row>
    <row r="1328" spans="1:7">
      <c r="A1328" s="1754">
        <v>45871</v>
      </c>
      <c r="B1328" s="1748" t="str">
        <f>TiposLancamentos!B13</f>
        <v>Moradia</v>
      </c>
      <c r="C1328" s="1740" t="s">
        <v>12580</v>
      </c>
      <c r="D1328" s="1736"/>
      <c r="E1328" s="952">
        <v>192.9</v>
      </c>
      <c r="F1328" s="1027"/>
      <c r="G1328" s="1368" t="s">
        <v>9</v>
      </c>
    </row>
    <row r="1329" spans="1:7">
      <c r="A1329" s="1754">
        <v>45871</v>
      </c>
      <c r="B1329" s="1748" t="str">
        <f>TiposLancamentos!B56</f>
        <v>Farmácia</v>
      </c>
      <c r="C1329" s="1740" t="s">
        <v>12581</v>
      </c>
      <c r="D1329" s="1736"/>
      <c r="E1329" s="952">
        <v>155.68</v>
      </c>
      <c r="F1329" s="1027"/>
      <c r="G1329" s="1368" t="s">
        <v>9</v>
      </c>
    </row>
    <row r="1330" spans="1:7">
      <c r="A1330" s="1754">
        <v>45871</v>
      </c>
      <c r="B1330" s="1748" t="str">
        <f>TiposLancamentos!B18</f>
        <v>Alimentacao</v>
      </c>
      <c r="C1330" s="1740" t="s">
        <v>12582</v>
      </c>
      <c r="D1330" s="1736"/>
      <c r="E1330" s="952">
        <v>19.899999999999999</v>
      </c>
      <c r="F1330" s="1027"/>
      <c r="G1330" s="1368" t="s">
        <v>9</v>
      </c>
    </row>
    <row r="1331" spans="1:7">
      <c r="A1331" s="1754">
        <v>45871</v>
      </c>
      <c r="B1331" s="1748" t="str">
        <f>TiposLancamentos!B24</f>
        <v>Estacionamentos</v>
      </c>
      <c r="C1331" s="1740" t="s">
        <v>12583</v>
      </c>
      <c r="D1331" s="1736"/>
      <c r="E1331" s="952">
        <v>20</v>
      </c>
      <c r="F1331" s="1027"/>
      <c r="G1331" s="1368" t="s">
        <v>9</v>
      </c>
    </row>
    <row r="1332" spans="1:7">
      <c r="A1332" s="1754">
        <v>45871</v>
      </c>
      <c r="B1332" s="1748" t="str">
        <f>B1327</f>
        <v>Restaurantes</v>
      </c>
      <c r="C1332" s="1740" t="s">
        <v>12584</v>
      </c>
      <c r="D1332" s="1736"/>
      <c r="E1332" s="952">
        <v>102.79</v>
      </c>
      <c r="F1332" s="1027"/>
      <c r="G1332" s="1368" t="s">
        <v>9</v>
      </c>
    </row>
    <row r="1333" spans="1:7">
      <c r="A1333" s="1754">
        <v>45872</v>
      </c>
      <c r="B1333" s="1748" t="str">
        <f>TiposLancamentos!B88</f>
        <v>Ford Ecosport XLT</v>
      </c>
      <c r="C1333" s="1740" t="s">
        <v>12585</v>
      </c>
      <c r="D1333" s="1736"/>
      <c r="E1333" s="952">
        <f>F1333/10</f>
        <v>120</v>
      </c>
      <c r="F1333" s="1027">
        <v>1200</v>
      </c>
      <c r="G1333" s="1368" t="s">
        <v>9</v>
      </c>
    </row>
    <row r="1334" spans="1:7">
      <c r="A1334" s="1754">
        <v>45872</v>
      </c>
      <c r="B1334" s="1748" t="str">
        <f>B1327</f>
        <v>Restaurantes</v>
      </c>
      <c r="C1334" s="1740" t="s">
        <v>12586</v>
      </c>
      <c r="D1334" s="1736"/>
      <c r="E1334" s="952">
        <v>20</v>
      </c>
      <c r="F1334" s="1027"/>
      <c r="G1334" s="1368" t="s">
        <v>9</v>
      </c>
    </row>
    <row r="1335" spans="1:7">
      <c r="A1335" s="1754">
        <v>45872</v>
      </c>
      <c r="B1335" s="1748" t="str">
        <f>TiposLancamentos!B5</f>
        <v>Supermercado</v>
      </c>
      <c r="C1335" s="1740" t="s">
        <v>12587</v>
      </c>
      <c r="D1335" s="1736"/>
      <c r="E1335" s="952">
        <v>98.28</v>
      </c>
      <c r="F1335" s="1027"/>
      <c r="G1335" s="1368" t="s">
        <v>9</v>
      </c>
    </row>
    <row r="1336" spans="1:7">
      <c r="A1336" s="1754">
        <v>45872</v>
      </c>
      <c r="B1336" s="1748" t="str">
        <f>TiposLancamentos!B19</f>
        <v>Restaurantes</v>
      </c>
      <c r="C1336" s="1740" t="s">
        <v>12588</v>
      </c>
      <c r="D1336" s="1736"/>
      <c r="E1336" s="952">
        <v>105.79</v>
      </c>
      <c r="F1336" s="1027"/>
      <c r="G1336" s="1368" t="s">
        <v>9</v>
      </c>
    </row>
    <row r="1337" spans="1:7">
      <c r="A1337" s="1754">
        <v>45873</v>
      </c>
      <c r="B1337" s="1748" t="str">
        <f>TiposLancamentos!B17</f>
        <v>GATO</v>
      </c>
      <c r="C1337" s="1740" t="s">
        <v>12589</v>
      </c>
      <c r="D1337" s="1736"/>
      <c r="E1337" s="952">
        <v>90</v>
      </c>
      <c r="F1337" s="1027"/>
      <c r="G1337" s="1368" t="s">
        <v>9</v>
      </c>
    </row>
    <row r="1338" spans="1:7">
      <c r="A1338" s="1754">
        <v>45873</v>
      </c>
      <c r="B1338" s="1748" t="str">
        <f>TiposLancamentos!B24</f>
        <v>Estacionamentos</v>
      </c>
      <c r="C1338" s="1740" t="s">
        <v>9143</v>
      </c>
      <c r="D1338" s="1736"/>
      <c r="E1338" s="952">
        <v>23</v>
      </c>
      <c r="F1338" s="1027"/>
      <c r="G1338" s="1368" t="s">
        <v>9</v>
      </c>
    </row>
    <row r="1339" spans="1:7">
      <c r="A1339" s="1754">
        <v>45873</v>
      </c>
      <c r="B1339" s="1748" t="str">
        <f>TiposLancamentos!B19</f>
        <v>Restaurantes</v>
      </c>
      <c r="C1339" s="1740" t="s">
        <v>1967</v>
      </c>
      <c r="D1339" s="1736"/>
      <c r="E1339" s="952">
        <v>33</v>
      </c>
      <c r="F1339" s="1027"/>
      <c r="G1339" s="1368" t="s">
        <v>9</v>
      </c>
    </row>
    <row r="1340" spans="1:7">
      <c r="A1340" s="1754">
        <v>45873</v>
      </c>
      <c r="B1340" s="1748" t="str">
        <f>TiposLancamentos!B5</f>
        <v>Supermercado</v>
      </c>
      <c r="C1340" s="1740" t="s">
        <v>1942</v>
      </c>
      <c r="D1340" s="1736"/>
      <c r="E1340" s="952">
        <v>35.18</v>
      </c>
      <c r="F1340" s="1027"/>
      <c r="G1340" s="1368" t="s">
        <v>9</v>
      </c>
    </row>
    <row r="1341" spans="1:7">
      <c r="A1341" s="1754">
        <v>45873</v>
      </c>
      <c r="B1341" s="1748" t="str">
        <f>TiposLancamentos!B17</f>
        <v>GATO</v>
      </c>
      <c r="C1341" s="1740" t="s">
        <v>12590</v>
      </c>
      <c r="D1341" s="1736"/>
      <c r="E1341" s="952">
        <v>45</v>
      </c>
      <c r="F1341" s="1027"/>
      <c r="G1341" s="1368" t="s">
        <v>9</v>
      </c>
    </row>
    <row r="1342" spans="1:7">
      <c r="A1342" s="1754">
        <v>45874</v>
      </c>
      <c r="B1342" s="1748" t="str">
        <f>TiposLancamentos!B17</f>
        <v>GATO</v>
      </c>
      <c r="C1342" s="1740" t="s">
        <v>12591</v>
      </c>
      <c r="D1342" s="1736"/>
      <c r="E1342" s="952">
        <v>125</v>
      </c>
      <c r="F1342" s="1027"/>
      <c r="G1342" s="1368" t="s">
        <v>9</v>
      </c>
    </row>
    <row r="1343" spans="1:7">
      <c r="A1343" s="1754">
        <v>45874</v>
      </c>
      <c r="B1343" s="1748" t="str">
        <f>TiposLancamentos!B19</f>
        <v>Restaurantes</v>
      </c>
      <c r="C1343" s="1740" t="s">
        <v>2224</v>
      </c>
      <c r="D1343" s="1736"/>
      <c r="E1343" s="952">
        <v>44.18</v>
      </c>
      <c r="F1343" s="1027"/>
      <c r="G1343" s="1368" t="s">
        <v>9</v>
      </c>
    </row>
    <row r="1344" spans="1:7">
      <c r="A1344" s="1754">
        <v>45874</v>
      </c>
      <c r="B1344" s="1748" t="str">
        <f>TiposLancamentos!B17</f>
        <v>GATO</v>
      </c>
      <c r="C1344" s="1740" t="s">
        <v>12592</v>
      </c>
      <c r="D1344" s="1736"/>
      <c r="E1344" s="952">
        <v>27.98</v>
      </c>
      <c r="F1344" s="1027"/>
      <c r="G1344" s="1368" t="s">
        <v>9</v>
      </c>
    </row>
    <row r="1345" spans="1:7">
      <c r="A1345" s="1754">
        <v>45874</v>
      </c>
      <c r="B1345" s="1748" t="str">
        <f>TiposLancamentos!B24</f>
        <v>Estacionamentos</v>
      </c>
      <c r="C1345" s="1740" t="s">
        <v>9143</v>
      </c>
      <c r="D1345" s="1736"/>
      <c r="E1345" s="952">
        <v>23</v>
      </c>
      <c r="F1345" s="1027"/>
      <c r="G1345" s="1368" t="s">
        <v>9</v>
      </c>
    </row>
    <row r="1346" spans="1:7">
      <c r="A1346" s="1754">
        <v>45874</v>
      </c>
      <c r="B1346" s="1748" t="str">
        <f>TiposLancamentos!B19</f>
        <v>Restaurantes</v>
      </c>
      <c r="C1346" s="1740" t="s">
        <v>1967</v>
      </c>
      <c r="D1346" s="1736"/>
      <c r="E1346" s="952">
        <v>29.7</v>
      </c>
      <c r="F1346" s="1027"/>
      <c r="G1346" s="1368" t="s">
        <v>9</v>
      </c>
    </row>
    <row r="1347" spans="1:7">
      <c r="A1347" s="1754">
        <v>45875</v>
      </c>
      <c r="B1347" s="1748" t="str">
        <f>TiposLancamentos!B19</f>
        <v>Restaurantes</v>
      </c>
      <c r="C1347" s="1740" t="s">
        <v>2224</v>
      </c>
      <c r="D1347" s="1736"/>
      <c r="E1347" s="952">
        <v>57.41</v>
      </c>
      <c r="F1347" s="1027"/>
      <c r="G1347" s="1368" t="s">
        <v>9</v>
      </c>
    </row>
    <row r="1348" spans="1:7">
      <c r="A1348" s="1754">
        <v>45875</v>
      </c>
      <c r="B1348" s="1748" t="str">
        <f>TiposLancamentos!B19</f>
        <v>Restaurantes</v>
      </c>
      <c r="C1348" s="1740" t="s">
        <v>12593</v>
      </c>
      <c r="D1348" s="1736"/>
      <c r="E1348" s="952">
        <v>0</v>
      </c>
      <c r="F1348" s="952">
        <v>70.87</v>
      </c>
      <c r="G1348" s="1094" t="s">
        <v>11</v>
      </c>
    </row>
    <row r="1349" spans="1:7">
      <c r="A1349" s="1754">
        <v>45876</v>
      </c>
      <c r="B1349" s="1748" t="str">
        <f>TiposLancamentos!B19</f>
        <v>Restaurantes</v>
      </c>
      <c r="C1349" s="1740" t="s">
        <v>2401</v>
      </c>
      <c r="D1349" s="1736"/>
      <c r="E1349" s="952">
        <v>102.96</v>
      </c>
      <c r="F1349" s="1027"/>
      <c r="G1349" s="1368" t="s">
        <v>9</v>
      </c>
    </row>
    <row r="1350" spans="1:7">
      <c r="A1350" s="1754">
        <v>45877</v>
      </c>
      <c r="B1350" s="1748" t="str">
        <f>TiposLancamentos!B19</f>
        <v>Restaurantes</v>
      </c>
      <c r="C1350" s="1740" t="s">
        <v>12594</v>
      </c>
      <c r="D1350" s="1736"/>
      <c r="E1350" s="952">
        <v>96.78</v>
      </c>
      <c r="F1350" s="1027"/>
      <c r="G1350" s="1368" t="s">
        <v>9</v>
      </c>
    </row>
    <row r="1351" spans="1:7">
      <c r="A1351" s="1754">
        <v>45877</v>
      </c>
      <c r="B1351" s="1748" t="str">
        <f>TiposLancamentos!B45</f>
        <v>Online Services</v>
      </c>
      <c r="C1351" s="1740" t="s">
        <v>12595</v>
      </c>
      <c r="D1351" s="1736"/>
      <c r="E1351" s="952">
        <v>0</v>
      </c>
      <c r="F1351" s="952">
        <v>13.9</v>
      </c>
      <c r="G1351" s="1094" t="s">
        <v>11</v>
      </c>
    </row>
    <row r="1352" spans="1:7">
      <c r="A1352" s="1754">
        <v>45878</v>
      </c>
      <c r="B1352" s="1748" t="str">
        <f>TiposLancamentos!B5</f>
        <v>Supermercado</v>
      </c>
      <c r="C1352" s="1740" t="s">
        <v>12446</v>
      </c>
      <c r="D1352" s="1736"/>
      <c r="E1352" s="952">
        <v>57.6</v>
      </c>
      <c r="F1352" s="1027"/>
      <c r="G1352" s="1368" t="s">
        <v>9</v>
      </c>
    </row>
    <row r="1353" spans="1:7">
      <c r="A1353" s="1754">
        <v>45878</v>
      </c>
      <c r="B1353" s="1748" t="str">
        <f>TiposLancamentos!B19</f>
        <v>Restaurantes</v>
      </c>
      <c r="C1353" s="1740" t="s">
        <v>12596</v>
      </c>
      <c r="D1353" s="1736"/>
      <c r="E1353" s="952">
        <v>169.4</v>
      </c>
      <c r="F1353" s="1027"/>
      <c r="G1353" s="1368" t="s">
        <v>9</v>
      </c>
    </row>
    <row r="1354" spans="1:7">
      <c r="A1354" s="1754">
        <v>45878</v>
      </c>
      <c r="B1354" s="1748" t="str">
        <f>TiposLancamentos!B5</f>
        <v>Supermercado</v>
      </c>
      <c r="C1354" s="1740" t="s">
        <v>12597</v>
      </c>
      <c r="D1354" s="1736"/>
      <c r="E1354" s="952">
        <v>34</v>
      </c>
      <c r="F1354" s="1027"/>
      <c r="G1354" s="1368" t="s">
        <v>9</v>
      </c>
    </row>
    <row r="1355" spans="1:7">
      <c r="A1355" s="1754">
        <v>45878</v>
      </c>
      <c r="B1355" s="1748" t="str">
        <f>TiposLancamentos!B17</f>
        <v>GATO</v>
      </c>
      <c r="C1355" s="1740" t="s">
        <v>12592</v>
      </c>
      <c r="D1355" s="1736"/>
      <c r="E1355" s="952">
        <v>47</v>
      </c>
      <c r="F1355" s="1027"/>
      <c r="G1355" s="1368" t="s">
        <v>9</v>
      </c>
    </row>
    <row r="1356" spans="1:7">
      <c r="A1356" s="1754">
        <v>45878</v>
      </c>
      <c r="B1356" s="1748" t="str">
        <f>TiposLancamentos!B24</f>
        <v>Estacionamentos</v>
      </c>
      <c r="C1356" s="1740" t="s">
        <v>12532</v>
      </c>
      <c r="D1356" s="1736"/>
      <c r="E1356" s="952">
        <v>25</v>
      </c>
      <c r="F1356" s="1027"/>
      <c r="G1356" s="1368" t="s">
        <v>9</v>
      </c>
    </row>
    <row r="1357" spans="1:7">
      <c r="A1357" s="1754">
        <v>45879</v>
      </c>
      <c r="B1357" s="1748" t="str">
        <f>TiposLancamentos!B5</f>
        <v>Supermercado</v>
      </c>
      <c r="C1357" s="1740" t="s">
        <v>12577</v>
      </c>
      <c r="D1357" s="1736"/>
      <c r="E1357" s="952">
        <v>119.25</v>
      </c>
      <c r="F1357" s="1027"/>
      <c r="G1357" s="1368" t="s">
        <v>9</v>
      </c>
    </row>
    <row r="1358" spans="1:7">
      <c r="A1358" s="1754">
        <v>45881</v>
      </c>
      <c r="B1358" s="1748" t="str">
        <f>TiposLancamentos!B65</f>
        <v>Taxi</v>
      </c>
      <c r="C1358" s="1740" t="s">
        <v>12598</v>
      </c>
      <c r="D1358" s="1736"/>
      <c r="E1358" s="952">
        <v>39.58</v>
      </c>
      <c r="F1358" s="1027"/>
      <c r="G1358" s="1368" t="s">
        <v>9</v>
      </c>
    </row>
    <row r="1359" spans="1:7">
      <c r="A1359" s="1754">
        <v>45881</v>
      </c>
      <c r="B1359" s="1748" t="str">
        <f>TiposLancamentos!B19</f>
        <v>Restaurantes</v>
      </c>
      <c r="C1359" s="1740" t="s">
        <v>1967</v>
      </c>
      <c r="D1359" s="1736"/>
      <c r="E1359" s="952">
        <v>43.4</v>
      </c>
      <c r="F1359" s="1027"/>
      <c r="G1359" s="1368" t="s">
        <v>9</v>
      </c>
    </row>
    <row r="1360" spans="1:7">
      <c r="A1360" s="1754">
        <v>45881</v>
      </c>
      <c r="B1360" s="1748" t="str">
        <f>TiposLancamentos!B65</f>
        <v>Taxi</v>
      </c>
      <c r="C1360" s="1740" t="s">
        <v>12599</v>
      </c>
      <c r="D1360" s="1736"/>
      <c r="E1360" s="952">
        <v>47.86</v>
      </c>
      <c r="F1360" s="1027"/>
      <c r="G1360" s="1368" t="s">
        <v>9</v>
      </c>
    </row>
    <row r="1361" spans="1:7">
      <c r="A1361" s="1754">
        <v>45882</v>
      </c>
      <c r="B1361" s="1748" t="str">
        <f>TiposLancamentos!B65</f>
        <v>Taxi</v>
      </c>
      <c r="C1361" s="1740" t="s">
        <v>12600</v>
      </c>
      <c r="D1361" s="1736"/>
      <c r="E1361" s="952">
        <v>15.42</v>
      </c>
      <c r="F1361" s="1027"/>
      <c r="G1361" s="1368" t="s">
        <v>9</v>
      </c>
    </row>
    <row r="1362" spans="1:7">
      <c r="A1362" s="1754">
        <v>45882</v>
      </c>
      <c r="B1362" s="1748" t="str">
        <f>TiposLancamentos!B17</f>
        <v>GATO</v>
      </c>
      <c r="C1362" s="1740" t="s">
        <v>12601</v>
      </c>
      <c r="D1362" s="1736"/>
      <c r="E1362" s="952">
        <v>20</v>
      </c>
      <c r="F1362" s="1027"/>
      <c r="G1362" s="1368" t="s">
        <v>9</v>
      </c>
    </row>
    <row r="1363" spans="1:7">
      <c r="A1363" s="1754">
        <v>45882</v>
      </c>
      <c r="B1363" s="1748" t="str">
        <f>TiposLancamentos!B65</f>
        <v>Taxi</v>
      </c>
      <c r="C1363" s="1740" t="s">
        <v>12602</v>
      </c>
      <c r="D1363" s="1736"/>
      <c r="E1363" s="952">
        <v>12.37</v>
      </c>
      <c r="F1363" s="1027"/>
      <c r="G1363" s="1368" t="s">
        <v>9</v>
      </c>
    </row>
    <row r="1364" spans="1:7">
      <c r="A1364" s="1754">
        <v>45882</v>
      </c>
      <c r="B1364" s="1748" t="str">
        <f>TiposLancamentos!B16</f>
        <v>Cristiane</v>
      </c>
      <c r="C1364" s="1740" t="s">
        <v>12603</v>
      </c>
      <c r="D1364" s="1736"/>
      <c r="E1364" s="952">
        <v>39.99</v>
      </c>
      <c r="F1364" s="1027"/>
      <c r="G1364" s="1368" t="s">
        <v>9</v>
      </c>
    </row>
    <row r="1365" spans="1:7">
      <c r="A1365" s="1754">
        <v>45883</v>
      </c>
      <c r="B1365" s="1748" t="str">
        <f>TiposLancamentos!B19</f>
        <v>Restaurantes</v>
      </c>
      <c r="C1365" s="1740" t="s">
        <v>12604</v>
      </c>
      <c r="D1365" s="1736"/>
      <c r="E1365" s="952">
        <v>40.89</v>
      </c>
      <c r="F1365" s="1027"/>
      <c r="G1365" s="1368" t="s">
        <v>9</v>
      </c>
    </row>
    <row r="1366" spans="1:7">
      <c r="A1366" s="1754">
        <v>45883</v>
      </c>
      <c r="B1366" s="1748" t="str">
        <f>TiposLancamentos!B16</f>
        <v>Cristiane</v>
      </c>
      <c r="C1366" s="1740" t="s">
        <v>2155</v>
      </c>
      <c r="D1366" s="1736"/>
      <c r="E1366" s="952">
        <v>19.760000000000002</v>
      </c>
      <c r="F1366" s="1027"/>
      <c r="G1366" s="1368" t="s">
        <v>9</v>
      </c>
    </row>
    <row r="1367" spans="1:7">
      <c r="A1367" s="1754">
        <v>45883</v>
      </c>
      <c r="B1367" s="1748" t="str">
        <f>TiposLancamentos!B19</f>
        <v>Restaurantes</v>
      </c>
      <c r="C1367" s="1740" t="s">
        <v>9845</v>
      </c>
      <c r="D1367" s="1736"/>
      <c r="E1367" s="952">
        <v>60.97</v>
      </c>
      <c r="F1367" s="1027"/>
      <c r="G1367" s="1368" t="s">
        <v>9</v>
      </c>
    </row>
    <row r="1368" spans="1:7">
      <c r="A1368" s="1754">
        <v>45884</v>
      </c>
      <c r="B1368" s="1748" t="str">
        <f>TiposLancamentos!B16</f>
        <v>Cristiane</v>
      </c>
      <c r="C1368" s="1740" t="s">
        <v>2155</v>
      </c>
      <c r="D1368" s="1736"/>
      <c r="E1368" s="952">
        <v>17.079999999999998</v>
      </c>
      <c r="F1368" s="1027"/>
      <c r="G1368" s="1368" t="s">
        <v>9</v>
      </c>
    </row>
    <row r="1369" spans="1:7">
      <c r="A1369" s="1754">
        <v>45884</v>
      </c>
      <c r="B1369" s="1748" t="str">
        <f>TiposLancamentos!B23</f>
        <v>P208 GRIFFE 1.6 AUT BUSINESS</v>
      </c>
      <c r="C1369" s="1740" t="s">
        <v>12605</v>
      </c>
      <c r="D1369" s="1736"/>
      <c r="E1369" s="952">
        <f>F1369/4</f>
        <v>312.5</v>
      </c>
      <c r="F1369" s="1027">
        <v>1250</v>
      </c>
      <c r="G1369" s="1368" t="s">
        <v>9</v>
      </c>
    </row>
    <row r="1370" spans="1:7">
      <c r="A1370" s="1754">
        <v>45884</v>
      </c>
      <c r="B1370" s="1748" t="str">
        <f>TiposLancamentos!B5</f>
        <v>Supermercado</v>
      </c>
      <c r="C1370" s="1740" t="s">
        <v>12606</v>
      </c>
      <c r="D1370" s="1736"/>
      <c r="E1370" s="952">
        <v>115.65</v>
      </c>
      <c r="F1370" s="1027"/>
      <c r="G1370" s="1368" t="s">
        <v>9</v>
      </c>
    </row>
    <row r="1371" spans="1:7">
      <c r="A1371" s="1754">
        <v>45885</v>
      </c>
      <c r="B1371" s="1748" t="str">
        <f>TiposLancamentos!B37</f>
        <v>Playstation 3</v>
      </c>
      <c r="C1371" s="1740" t="s">
        <v>12607</v>
      </c>
      <c r="D1371" s="1736"/>
      <c r="E1371" s="952">
        <v>220</v>
      </c>
      <c r="F1371" s="1027"/>
      <c r="G1371" s="1368" t="s">
        <v>9</v>
      </c>
    </row>
    <row r="1372" spans="1:7">
      <c r="A1372" s="1754">
        <v>45885</v>
      </c>
      <c r="B1372" s="1748" t="str">
        <f>TiposLancamentos!B19</f>
        <v>Restaurantes</v>
      </c>
      <c r="C1372" s="1740" t="s">
        <v>9793</v>
      </c>
      <c r="D1372" s="1736"/>
      <c r="E1372" s="952">
        <v>93.6</v>
      </c>
      <c r="F1372" s="1027"/>
      <c r="G1372" s="1368" t="s">
        <v>9</v>
      </c>
    </row>
    <row r="1373" spans="1:7">
      <c r="A1373" s="1818">
        <v>45885</v>
      </c>
      <c r="B1373" s="1813" t="str">
        <f>TiposLancamentos!B16</f>
        <v>Cristiane</v>
      </c>
      <c r="C1373" s="1806" t="s">
        <v>12608</v>
      </c>
      <c r="D1373" s="1797"/>
      <c r="E1373" s="1791">
        <v>180</v>
      </c>
      <c r="F1373" s="1787"/>
      <c r="G1373" s="1368" t="s">
        <v>9</v>
      </c>
    </row>
    <row r="1374" spans="1:7">
      <c r="A1374" s="1754">
        <v>45885</v>
      </c>
      <c r="B1374" s="1748" t="str">
        <f>TiposLancamentos!B19</f>
        <v>Restaurantes</v>
      </c>
      <c r="C1374" s="1740" t="s">
        <v>12609</v>
      </c>
      <c r="D1374" s="1736"/>
      <c r="E1374" s="952">
        <v>104.79</v>
      </c>
      <c r="F1374" s="1027"/>
      <c r="G1374" s="1368" t="s">
        <v>9</v>
      </c>
    </row>
    <row r="1375" spans="1:7">
      <c r="A1375" s="1754">
        <v>45886</v>
      </c>
      <c r="B1375" s="1748" t="str">
        <f>TiposLancamentos!B65</f>
        <v>Taxi</v>
      </c>
      <c r="C1375" s="1740" t="s">
        <v>12610</v>
      </c>
      <c r="D1375" s="1736"/>
      <c r="E1375" s="952">
        <v>31.36</v>
      </c>
      <c r="F1375" s="1027"/>
      <c r="G1375" s="1368" t="s">
        <v>9</v>
      </c>
    </row>
    <row r="1376" spans="1:7">
      <c r="A1376" s="1754">
        <v>45886</v>
      </c>
      <c r="B1376" s="1748" t="str">
        <f>TiposLancamentos!B18</f>
        <v>Alimentacao</v>
      </c>
      <c r="C1376" s="1740" t="s">
        <v>12611</v>
      </c>
      <c r="D1376" s="1736"/>
      <c r="E1376" s="952">
        <v>26</v>
      </c>
      <c r="F1376" s="1027"/>
      <c r="G1376" s="1368" t="s">
        <v>9</v>
      </c>
    </row>
    <row r="1377" spans="1:7">
      <c r="A1377" s="1754">
        <v>45886</v>
      </c>
      <c r="B1377" s="1748" t="str">
        <f>TiposLancamentos!B19</f>
        <v>Restaurantes</v>
      </c>
      <c r="C1377" s="1740" t="s">
        <v>12612</v>
      </c>
      <c r="D1377" s="1736"/>
      <c r="E1377" s="952">
        <v>90</v>
      </c>
      <c r="F1377" s="1027"/>
      <c r="G1377" s="1368" t="s">
        <v>9</v>
      </c>
    </row>
    <row r="1378" spans="1:7">
      <c r="A1378" s="1754">
        <v>45886</v>
      </c>
      <c r="B1378" s="1748" t="str">
        <f>TiposLancamentos!B19</f>
        <v>Restaurantes</v>
      </c>
      <c r="C1378" s="1740" t="s">
        <v>12613</v>
      </c>
      <c r="D1378" s="1736"/>
      <c r="E1378" s="952">
        <v>15</v>
      </c>
      <c r="F1378" s="1027"/>
      <c r="G1378" s="1368" t="s">
        <v>9</v>
      </c>
    </row>
    <row r="1379" spans="1:7">
      <c r="A1379" s="1754">
        <v>45886</v>
      </c>
      <c r="B1379" s="1748" t="str">
        <f>TiposLancamentos!B17</f>
        <v>GATO</v>
      </c>
      <c r="C1379" s="1740" t="s">
        <v>12614</v>
      </c>
      <c r="D1379" s="1736"/>
      <c r="E1379" s="952">
        <v>88.74</v>
      </c>
      <c r="F1379" s="1027"/>
      <c r="G1379" s="1368" t="s">
        <v>9</v>
      </c>
    </row>
    <row r="1380" spans="1:7">
      <c r="A1380" s="1754">
        <v>45886</v>
      </c>
      <c r="B1380" s="1748" t="str">
        <f>TiposLancamentos!B65</f>
        <v>Taxi</v>
      </c>
      <c r="C1380" s="1740" t="s">
        <v>2104</v>
      </c>
      <c r="D1380" s="1736"/>
      <c r="E1380" s="952">
        <v>13.43</v>
      </c>
      <c r="F1380" s="1027"/>
      <c r="G1380" s="1368" t="s">
        <v>9</v>
      </c>
    </row>
    <row r="1381" spans="1:7">
      <c r="A1381" s="1754">
        <v>45887</v>
      </c>
      <c r="B1381" s="1748" t="str">
        <f>TiposLancamentos!B19</f>
        <v>Restaurantes</v>
      </c>
      <c r="C1381" s="1740" t="s">
        <v>2224</v>
      </c>
      <c r="D1381" s="1736"/>
      <c r="E1381" s="952">
        <v>58.76</v>
      </c>
      <c r="F1381" s="1027"/>
      <c r="G1381" s="1368" t="s">
        <v>9</v>
      </c>
    </row>
    <row r="1382" spans="1:7">
      <c r="A1382" s="1754">
        <v>45887</v>
      </c>
      <c r="B1382" s="1748" t="str">
        <f>TiposLancamentos!B5</f>
        <v>Supermercado</v>
      </c>
      <c r="C1382" s="1740" t="s">
        <v>12615</v>
      </c>
      <c r="D1382" s="1736"/>
      <c r="E1382" s="952">
        <v>17.5</v>
      </c>
      <c r="F1382" s="1027"/>
      <c r="G1382" s="1368" t="s">
        <v>9</v>
      </c>
    </row>
    <row r="1383" spans="1:7">
      <c r="A1383" s="1754">
        <v>45887</v>
      </c>
      <c r="B1383" s="1748" t="str">
        <f>TiposLancamentos!B19</f>
        <v>Restaurantes</v>
      </c>
      <c r="C1383" s="1740" t="s">
        <v>9845</v>
      </c>
      <c r="D1383" s="1736"/>
      <c r="E1383" s="952">
        <v>85.97</v>
      </c>
      <c r="F1383" s="1027"/>
      <c r="G1383" s="1368" t="s">
        <v>9</v>
      </c>
    </row>
    <row r="1384" spans="1:7">
      <c r="A1384" s="1754">
        <v>45888</v>
      </c>
      <c r="B1384" s="1748" t="str">
        <f>TiposLancamentos!B71</f>
        <v>Itens Pessoais</v>
      </c>
      <c r="C1384" s="1740" t="s">
        <v>1964</v>
      </c>
      <c r="D1384" s="1736"/>
      <c r="E1384" s="952">
        <v>40</v>
      </c>
      <c r="F1384" s="1027"/>
      <c r="G1384" s="1368" t="s">
        <v>9</v>
      </c>
    </row>
    <row r="1385" spans="1:7">
      <c r="A1385" s="1754">
        <v>45888</v>
      </c>
      <c r="B1385" s="1748" t="str">
        <f>TiposLancamentos!B19</f>
        <v>Restaurantes</v>
      </c>
      <c r="C1385" s="1740" t="s">
        <v>2270</v>
      </c>
      <c r="D1385" s="1736"/>
      <c r="E1385" s="952">
        <v>18.899999999999999</v>
      </c>
      <c r="F1385" s="1027"/>
      <c r="G1385" s="1368" t="s">
        <v>9</v>
      </c>
    </row>
    <row r="1386" spans="1:7">
      <c r="A1386" s="1754">
        <v>45888</v>
      </c>
      <c r="B1386" s="1748" t="str">
        <f>TiposLancamentos!B5</f>
        <v>Supermercado</v>
      </c>
      <c r="C1386" s="1740" t="s">
        <v>12616</v>
      </c>
      <c r="D1386" s="1736"/>
      <c r="E1386" s="952">
        <v>67.77</v>
      </c>
      <c r="F1386" s="1027"/>
      <c r="G1386" s="1368" t="s">
        <v>9</v>
      </c>
    </row>
    <row r="1387" spans="1:7">
      <c r="A1387" s="1754">
        <v>45888</v>
      </c>
      <c r="B1387" s="1748" t="str">
        <f>TiposLancamentos!B16</f>
        <v>Cristiane</v>
      </c>
      <c r="C1387" s="1740" t="s">
        <v>12216</v>
      </c>
      <c r="D1387" s="1736"/>
      <c r="E1387" s="952">
        <v>39.9</v>
      </c>
      <c r="F1387" s="1027"/>
      <c r="G1387" s="1368" t="s">
        <v>9</v>
      </c>
    </row>
    <row r="1388" spans="1:7">
      <c r="A1388" s="1754">
        <v>45888</v>
      </c>
      <c r="B1388" s="1748" t="str">
        <f>TiposLancamentos!B24</f>
        <v>Estacionamentos</v>
      </c>
      <c r="C1388" s="1740" t="s">
        <v>1898</v>
      </c>
      <c r="D1388" s="1736"/>
      <c r="E1388" s="952">
        <v>23</v>
      </c>
      <c r="F1388" s="1027"/>
      <c r="G1388" s="1368" t="s">
        <v>9</v>
      </c>
    </row>
    <row r="1389" spans="1:7">
      <c r="A1389" s="1754">
        <v>45888</v>
      </c>
      <c r="B1389" s="1748" t="str">
        <f>TiposLancamentos!B19</f>
        <v>Restaurantes</v>
      </c>
      <c r="C1389" s="1740" t="s">
        <v>1967</v>
      </c>
      <c r="D1389" s="1736"/>
      <c r="E1389" s="952">
        <v>37.4</v>
      </c>
      <c r="F1389" s="1027"/>
      <c r="G1389" s="1368" t="s">
        <v>9</v>
      </c>
    </row>
    <row r="1390" spans="1:7">
      <c r="A1390" s="1754">
        <v>45888</v>
      </c>
      <c r="B1390" s="1748" t="str">
        <f>TiposLancamentos!B5</f>
        <v>Supermercado</v>
      </c>
      <c r="C1390" s="1740" t="s">
        <v>1879</v>
      </c>
      <c r="D1390" s="1736"/>
      <c r="E1390" s="952">
        <v>15.42</v>
      </c>
      <c r="F1390" s="1027"/>
      <c r="G1390" s="1368" t="s">
        <v>9</v>
      </c>
    </row>
    <row r="1391" spans="1:7">
      <c r="A1391" s="1754">
        <v>45889</v>
      </c>
      <c r="B1391" s="1748" t="str">
        <f>TiposLancamentos!B19</f>
        <v>Restaurantes</v>
      </c>
      <c r="C1391" s="1740" t="s">
        <v>2224</v>
      </c>
      <c r="D1391" s="1736"/>
      <c r="E1391" s="952">
        <v>57.66</v>
      </c>
      <c r="F1391" s="1027"/>
      <c r="G1391" s="1368" t="s">
        <v>9</v>
      </c>
    </row>
    <row r="1392" spans="1:7">
      <c r="A1392" s="1756"/>
      <c r="B1392" s="1749"/>
      <c r="C1392" s="1741" t="s">
        <v>10</v>
      </c>
      <c r="D1392" s="1690"/>
      <c r="E1392" s="1231"/>
      <c r="F1392" s="1231"/>
      <c r="G1392" s="1094" t="s">
        <v>11</v>
      </c>
    </row>
    <row r="1393" spans="1:7">
      <c r="A1393" s="1754">
        <v>45890</v>
      </c>
      <c r="B1393" s="1748" t="str">
        <f>TiposLancamentos!B19</f>
        <v>Restaurantes</v>
      </c>
      <c r="C1393" s="1740" t="s">
        <v>12617</v>
      </c>
      <c r="D1393" s="1736"/>
      <c r="E1393" s="952">
        <v>85.98</v>
      </c>
      <c r="F1393" s="1027"/>
      <c r="G1393" s="1368" t="s">
        <v>9</v>
      </c>
    </row>
    <row r="1394" spans="1:7">
      <c r="A1394" s="1754">
        <v>45891</v>
      </c>
      <c r="B1394" s="1748" t="str">
        <f>TiposLancamentos!B19</f>
        <v>Restaurantes</v>
      </c>
      <c r="C1394" s="1740" t="s">
        <v>12618</v>
      </c>
      <c r="D1394" s="1736"/>
      <c r="E1394" s="952">
        <v>53.88</v>
      </c>
      <c r="F1394" s="1027"/>
      <c r="G1394" s="1368" t="s">
        <v>9</v>
      </c>
    </row>
    <row r="1395" spans="1:7">
      <c r="A1395" s="1754">
        <v>45892</v>
      </c>
      <c r="B1395" s="1748" t="str">
        <f>TiposLancamentos!B45</f>
        <v>Online Services</v>
      </c>
      <c r="C1395" s="1740" t="s">
        <v>1876</v>
      </c>
      <c r="D1395" s="1736"/>
      <c r="E1395" s="952">
        <v>5.9</v>
      </c>
      <c r="F1395" s="1027"/>
      <c r="G1395" s="1368" t="s">
        <v>9</v>
      </c>
    </row>
    <row r="1396" spans="1:7" ht="14.25" customHeight="1">
      <c r="A1396" s="1754">
        <v>45892</v>
      </c>
      <c r="B1396" s="1748" t="str">
        <f>TiposLancamentos!B13</f>
        <v>Moradia</v>
      </c>
      <c r="C1396" s="1740" t="s">
        <v>12619</v>
      </c>
      <c r="D1396" s="1736"/>
      <c r="E1396" s="952">
        <v>35</v>
      </c>
      <c r="F1396" s="1027"/>
      <c r="G1396" s="1368" t="s">
        <v>9</v>
      </c>
    </row>
    <row r="1397" spans="1:7">
      <c r="A1397" s="1815">
        <v>45892</v>
      </c>
      <c r="B1397" s="1811" t="str">
        <f>TiposLancamentos!B28</f>
        <v>ComicBook</v>
      </c>
      <c r="C1397" s="1803" t="s">
        <v>12620</v>
      </c>
      <c r="D1397" s="1795"/>
      <c r="E1397" s="1789">
        <v>69.900000000000006</v>
      </c>
      <c r="F1397" s="1785"/>
      <c r="G1397" s="1368" t="s">
        <v>9</v>
      </c>
    </row>
    <row r="1398" spans="1:7">
      <c r="A1398" s="1816">
        <v>45892</v>
      </c>
      <c r="B1398" s="1812" t="str">
        <f>TiposLancamentos!B60</f>
        <v>Correio</v>
      </c>
      <c r="C1398" s="1804" t="s">
        <v>12621</v>
      </c>
      <c r="D1398" s="1796"/>
      <c r="E1398" s="1790">
        <v>15</v>
      </c>
      <c r="F1398" s="1786">
        <f>SUM(E1397:E1398)</f>
        <v>84.9</v>
      </c>
      <c r="G1398" s="1368" t="s">
        <v>9</v>
      </c>
    </row>
    <row r="1399" spans="1:7">
      <c r="A1399" s="1754">
        <v>45892</v>
      </c>
      <c r="B1399" s="1748" t="str">
        <f>TiposLancamentos!B19</f>
        <v>Restaurantes</v>
      </c>
      <c r="C1399" s="1740" t="s">
        <v>12622</v>
      </c>
      <c r="D1399" s="1736"/>
      <c r="E1399" s="952">
        <v>172.16</v>
      </c>
      <c r="F1399" s="1027"/>
      <c r="G1399" s="1368" t="s">
        <v>9</v>
      </c>
    </row>
    <row r="1400" spans="1:7">
      <c r="A1400" s="1815">
        <v>45892</v>
      </c>
      <c r="B1400" s="1943" t="str">
        <f>TiposLancamentos!B28</f>
        <v>ComicBook</v>
      </c>
      <c r="C1400" s="1803" t="s">
        <v>12623</v>
      </c>
      <c r="D1400" s="1795"/>
      <c r="E1400" s="1789">
        <v>79.989999999999995</v>
      </c>
      <c r="F1400" s="1785"/>
      <c r="G1400" s="1368" t="s">
        <v>9</v>
      </c>
    </row>
    <row r="1401" spans="1:7">
      <c r="A1401" s="1816">
        <v>45892</v>
      </c>
      <c r="B1401" s="1812" t="str">
        <f>TiposLancamentos!B60</f>
        <v>Correio</v>
      </c>
      <c r="C1401" s="1804" t="s">
        <v>12624</v>
      </c>
      <c r="D1401" s="1796"/>
      <c r="E1401" s="1790">
        <v>11.49</v>
      </c>
      <c r="F1401" s="1786">
        <f>SUM(E1400:E1401)</f>
        <v>91.47999999999999</v>
      </c>
      <c r="G1401" s="1368" t="s">
        <v>9</v>
      </c>
    </row>
    <row r="1402" spans="1:7">
      <c r="A1402" s="1754">
        <v>45893</v>
      </c>
      <c r="B1402" s="1748" t="str">
        <f>TiposLancamentos!B7</f>
        <v>Apto. Proprio 01</v>
      </c>
      <c r="C1402" s="1740" t="s">
        <v>12625</v>
      </c>
      <c r="D1402" s="1736"/>
      <c r="E1402" s="952">
        <f>F1402/5</f>
        <v>108.56199999999998</v>
      </c>
      <c r="F1402" s="1027">
        <v>542.80999999999995</v>
      </c>
      <c r="G1402" s="1368" t="s">
        <v>9</v>
      </c>
    </row>
    <row r="1403" spans="1:7">
      <c r="A1403" s="1818">
        <v>45893</v>
      </c>
      <c r="B1403" s="1813" t="str">
        <f>TiposLancamentos!B5</f>
        <v>Supermercado</v>
      </c>
      <c r="C1403" s="1806" t="s">
        <v>1879</v>
      </c>
      <c r="D1403" s="1797"/>
      <c r="E1403" s="1791">
        <v>116.35</v>
      </c>
      <c r="F1403" s="1787"/>
      <c r="G1403" s="1368" t="s">
        <v>9</v>
      </c>
    </row>
    <row r="1404" spans="1:7">
      <c r="A1404" s="1754">
        <v>45893</v>
      </c>
      <c r="B1404" s="1748" t="str">
        <f>TiposLancamentos!B19</f>
        <v>Restaurantes</v>
      </c>
      <c r="C1404" s="1740" t="s">
        <v>12626</v>
      </c>
      <c r="D1404" s="1736"/>
      <c r="E1404" s="952">
        <v>277.98</v>
      </c>
      <c r="F1404" s="1027"/>
      <c r="G1404" s="1368" t="s">
        <v>9</v>
      </c>
    </row>
    <row r="1405" spans="1:7">
      <c r="A1405" s="1754">
        <v>45893</v>
      </c>
      <c r="B1405" s="1748" t="str">
        <f>TiposLancamentos!B56</f>
        <v>Farmácia</v>
      </c>
      <c r="C1405" s="1740" t="s">
        <v>12627</v>
      </c>
      <c r="D1405" s="1736"/>
      <c r="E1405" s="952">
        <v>120.34</v>
      </c>
      <c r="F1405" s="1027"/>
      <c r="G1405" s="1368" t="s">
        <v>9</v>
      </c>
    </row>
    <row r="1406" spans="1:7">
      <c r="A1406" s="1818">
        <v>45894</v>
      </c>
      <c r="B1406" s="1813" t="str">
        <f>TiposLancamentos!B16</f>
        <v>Cristiane</v>
      </c>
      <c r="C1406" s="1806" t="s">
        <v>12628</v>
      </c>
      <c r="D1406" s="1797"/>
      <c r="E1406" s="1791">
        <v>207.76</v>
      </c>
      <c r="F1406" s="1787"/>
      <c r="G1406" s="1368" t="s">
        <v>9</v>
      </c>
    </row>
    <row r="1407" spans="1:7">
      <c r="A1407" s="1818">
        <v>45894</v>
      </c>
      <c r="B1407" s="1813" t="str">
        <f>TiposLancamentos!B16</f>
        <v>Cristiane</v>
      </c>
      <c r="C1407" s="1806" t="s">
        <v>12629</v>
      </c>
      <c r="D1407" s="1797"/>
      <c r="E1407" s="1791">
        <v>109.7</v>
      </c>
      <c r="F1407" s="1787"/>
      <c r="G1407" s="1368" t="s">
        <v>9</v>
      </c>
    </row>
    <row r="1408" spans="1:7">
      <c r="A1408" s="1754">
        <v>45894</v>
      </c>
      <c r="B1408" s="1748" t="str">
        <f>TiposLancamentos!B19</f>
        <v>Restaurantes</v>
      </c>
      <c r="C1408" s="1740" t="s">
        <v>12630</v>
      </c>
      <c r="D1408" s="1736"/>
      <c r="E1408" s="952">
        <v>116.6</v>
      </c>
      <c r="F1408" s="1027"/>
      <c r="G1408" s="1368" t="s">
        <v>9</v>
      </c>
    </row>
    <row r="1409" spans="1:7">
      <c r="A1409" s="1754">
        <v>45895</v>
      </c>
      <c r="B1409" s="1748" t="str">
        <f>TiposLancamentos!B71</f>
        <v>Itens Pessoais</v>
      </c>
      <c r="C1409" s="1740" t="s">
        <v>12631</v>
      </c>
      <c r="D1409" s="1736"/>
      <c r="E1409" s="952">
        <v>100.58</v>
      </c>
      <c r="F1409" s="1027"/>
      <c r="G1409" s="1368" t="s">
        <v>9</v>
      </c>
    </row>
    <row r="1410" spans="1:7">
      <c r="A1410" s="1754">
        <v>45895</v>
      </c>
      <c r="B1410" s="1748" t="str">
        <f>TiposLancamentos!B19</f>
        <v>Restaurantes</v>
      </c>
      <c r="C1410" s="1740" t="s">
        <v>2224</v>
      </c>
      <c r="D1410" s="1736"/>
      <c r="E1410" s="952">
        <v>46.94</v>
      </c>
      <c r="F1410" s="1027"/>
      <c r="G1410" s="1368" t="s">
        <v>9</v>
      </c>
    </row>
    <row r="1411" spans="1:7">
      <c r="A1411" s="1754">
        <v>45896</v>
      </c>
      <c r="B1411" s="1748" t="str">
        <f>TiposLancamentos!B19</f>
        <v>Restaurantes</v>
      </c>
      <c r="C1411" s="1740" t="s">
        <v>2224</v>
      </c>
      <c r="D1411" s="1736"/>
      <c r="E1411" s="952">
        <v>53.92</v>
      </c>
      <c r="F1411" s="1027"/>
      <c r="G1411" s="1368" t="s">
        <v>9</v>
      </c>
    </row>
    <row r="1412" spans="1:7">
      <c r="A1412" s="1754">
        <v>45896</v>
      </c>
      <c r="B1412" s="1748" t="str">
        <f>TiposLancamentos!B16</f>
        <v>Cristiane</v>
      </c>
      <c r="C1412" s="1740" t="s">
        <v>2238</v>
      </c>
      <c r="D1412" s="1736"/>
      <c r="E1412" s="952">
        <v>49.96</v>
      </c>
      <c r="F1412" s="1027"/>
      <c r="G1412" s="1368" t="s">
        <v>9</v>
      </c>
    </row>
    <row r="1413" spans="1:7">
      <c r="A1413" s="1754">
        <v>45897</v>
      </c>
      <c r="B1413" s="1748" t="str">
        <f>TiposLancamentos!B39</f>
        <v>Playstation 5</v>
      </c>
      <c r="C1413" s="1740" t="s">
        <v>12632</v>
      </c>
      <c r="D1413" s="1736"/>
      <c r="E1413" s="952">
        <f>F1413/10</f>
        <v>126.9</v>
      </c>
      <c r="F1413" s="1027">
        <v>1269</v>
      </c>
      <c r="G1413" s="1368" t="s">
        <v>9</v>
      </c>
    </row>
    <row r="1414" spans="1:7">
      <c r="A1414" s="1754">
        <v>45897</v>
      </c>
      <c r="B1414" s="1748" t="str">
        <f>TiposLancamentos!B45</f>
        <v>Online Services</v>
      </c>
      <c r="C1414" s="1740" t="s">
        <v>2102</v>
      </c>
      <c r="D1414" s="1736"/>
      <c r="E1414" s="952">
        <v>21.9</v>
      </c>
      <c r="F1414" s="1027"/>
      <c r="G1414" s="1368" t="s">
        <v>9</v>
      </c>
    </row>
    <row r="1415" spans="1:7">
      <c r="A1415" s="1754">
        <v>45897</v>
      </c>
      <c r="B1415" s="1748" t="str">
        <f>TiposLancamentos!B19</f>
        <v>Restaurantes</v>
      </c>
      <c r="C1415" s="1740" t="s">
        <v>2224</v>
      </c>
      <c r="D1415" s="1736"/>
      <c r="E1415" s="952">
        <v>71.98</v>
      </c>
      <c r="F1415" s="1027"/>
      <c r="G1415" s="1368" t="s">
        <v>9</v>
      </c>
    </row>
    <row r="1416" spans="1:7">
      <c r="A1416" s="1754">
        <v>45897</v>
      </c>
      <c r="B1416" s="1748" t="str">
        <f>TiposLancamentos!B56</f>
        <v>Farmácia</v>
      </c>
      <c r="C1416" s="1740" t="s">
        <v>12633</v>
      </c>
      <c r="D1416" s="1736"/>
      <c r="E1416" s="952">
        <v>13.57</v>
      </c>
      <c r="F1416" s="1027"/>
      <c r="G1416" s="1368" t="s">
        <v>9</v>
      </c>
    </row>
    <row r="1417" spans="1:7">
      <c r="A1417" s="1754">
        <v>45897</v>
      </c>
      <c r="B1417" s="1748" t="str">
        <f>TiposLancamentos!B19</f>
        <v>Restaurantes</v>
      </c>
      <c r="C1417" s="1740" t="s">
        <v>2401</v>
      </c>
      <c r="D1417" s="1736"/>
      <c r="E1417" s="952">
        <v>85.98</v>
      </c>
      <c r="F1417" s="1027"/>
      <c r="G1417" s="1368" t="s">
        <v>9</v>
      </c>
    </row>
    <row r="1418" spans="1:7">
      <c r="A1418" s="1754">
        <v>45898</v>
      </c>
      <c r="B1418" s="1748" t="str">
        <f>TiposLancamentos!B45</f>
        <v>Online Services</v>
      </c>
      <c r="C1418" s="1740" t="s">
        <v>2072</v>
      </c>
      <c r="D1418" s="1736"/>
      <c r="E1418" s="952">
        <v>26.9</v>
      </c>
      <c r="F1418" s="1027"/>
      <c r="G1418" s="1368" t="s">
        <v>9</v>
      </c>
    </row>
    <row r="1419" spans="1:7">
      <c r="A1419" s="1754">
        <v>45898</v>
      </c>
      <c r="B1419" s="1748" t="str">
        <f>TiposLancamentos!B5</f>
        <v>Supermercado</v>
      </c>
      <c r="C1419" s="1740" t="s">
        <v>12634</v>
      </c>
      <c r="D1419" s="1736"/>
      <c r="E1419" s="952">
        <v>117.9</v>
      </c>
      <c r="F1419" s="1027"/>
      <c r="G1419" s="1368" t="s">
        <v>9</v>
      </c>
    </row>
    <row r="1420" spans="1:7">
      <c r="A1420" s="1754">
        <v>45898</v>
      </c>
      <c r="B1420" s="1748" t="str">
        <f>TiposLancamentos!B75</f>
        <v>Shows</v>
      </c>
      <c r="C1420" s="1740" t="s">
        <v>12635</v>
      </c>
      <c r="D1420" s="1736"/>
      <c r="E1420" s="952">
        <v>77.94</v>
      </c>
      <c r="F1420" s="1027"/>
      <c r="G1420" s="1368" t="s">
        <v>9</v>
      </c>
    </row>
    <row r="1421" spans="1:7">
      <c r="A1421" s="1754">
        <v>45898</v>
      </c>
      <c r="B1421" s="1748" t="str">
        <f>TiposLancamentos!B22</f>
        <v>Combustivel</v>
      </c>
      <c r="C1421" s="1740" t="s">
        <v>12636</v>
      </c>
      <c r="D1421" s="1736"/>
      <c r="E1421" s="952">
        <v>100</v>
      </c>
      <c r="F1421" s="1027"/>
      <c r="G1421" s="1368" t="s">
        <v>9</v>
      </c>
    </row>
    <row r="1422" spans="1:7">
      <c r="A1422" s="1754">
        <v>45898</v>
      </c>
      <c r="B1422" s="1748" t="str">
        <f>TiposLancamentos!B56</f>
        <v>Farmácia</v>
      </c>
      <c r="C1422" s="1740" t="s">
        <v>12637</v>
      </c>
      <c r="D1422" s="1736"/>
      <c r="E1422" s="952">
        <v>106.75</v>
      </c>
      <c r="F1422" s="1027"/>
      <c r="G1422" s="1368" t="s">
        <v>9</v>
      </c>
    </row>
    <row r="1423" spans="1:7">
      <c r="A1423" s="1754">
        <v>45899</v>
      </c>
      <c r="B1423" s="1748" t="str">
        <f>TiposLancamentos!B45</f>
        <v>Online Services</v>
      </c>
      <c r="C1423" s="1740" t="s">
        <v>12436</v>
      </c>
      <c r="D1423" s="1736"/>
      <c r="E1423" s="952">
        <v>5.95</v>
      </c>
      <c r="F1423" s="1027"/>
      <c r="G1423" s="1368" t="s">
        <v>9</v>
      </c>
    </row>
    <row r="1424" spans="1:7">
      <c r="A1424" s="1815">
        <v>45899</v>
      </c>
      <c r="B1424" s="1943" t="str">
        <f>TiposLancamentos!B56</f>
        <v>Farmácia</v>
      </c>
      <c r="C1424" s="1803" t="s">
        <v>12638</v>
      </c>
      <c r="D1424" s="1795"/>
      <c r="E1424" s="1789">
        <f>F1425-E1425</f>
        <v>14.799999999999999</v>
      </c>
      <c r="F1424" s="1785"/>
      <c r="G1424" s="1368" t="s">
        <v>9</v>
      </c>
    </row>
    <row r="1425" spans="1:7">
      <c r="A1425" s="1816">
        <v>45899</v>
      </c>
      <c r="B1425" s="1812" t="str">
        <f>TiposLancamentos!B60</f>
        <v>Correio</v>
      </c>
      <c r="C1425" s="1804" t="s">
        <v>12639</v>
      </c>
      <c r="D1425" s="1796"/>
      <c r="E1425" s="1790">
        <v>9.9</v>
      </c>
      <c r="F1425" s="1786">
        <v>24.7</v>
      </c>
      <c r="G1425" s="1368" t="s">
        <v>9</v>
      </c>
    </row>
    <row r="1426" spans="1:7">
      <c r="A1426" s="1754">
        <v>45899</v>
      </c>
      <c r="B1426" s="1748" t="str">
        <f>TiposLancamentos!B19</f>
        <v>Restaurantes</v>
      </c>
      <c r="C1426" s="1740" t="s">
        <v>12640</v>
      </c>
      <c r="D1426" s="1736"/>
      <c r="E1426" s="952">
        <v>227.7</v>
      </c>
      <c r="F1426" s="1027"/>
      <c r="G1426" s="1368" t="s">
        <v>9</v>
      </c>
    </row>
    <row r="1427" spans="1:7">
      <c r="A1427" s="1815">
        <v>45899</v>
      </c>
      <c r="B1427" s="1943" t="str">
        <f>TiposLancamentos!B71</f>
        <v>Itens Pessoais</v>
      </c>
      <c r="C1427" s="1803" t="s">
        <v>12641</v>
      </c>
      <c r="D1427" s="1795"/>
      <c r="E1427" s="1789">
        <f>F1428-E1428</f>
        <v>265</v>
      </c>
      <c r="F1427" s="1785"/>
      <c r="G1427" s="1368" t="s">
        <v>9</v>
      </c>
    </row>
    <row r="1428" spans="1:7">
      <c r="A1428" s="1816">
        <v>45899</v>
      </c>
      <c r="B1428" s="1812" t="str">
        <f>TiposLancamentos!B16</f>
        <v>Cristiane</v>
      </c>
      <c r="C1428" s="1804" t="s">
        <v>12642</v>
      </c>
      <c r="D1428" s="1796"/>
      <c r="E1428" s="1790">
        <v>90</v>
      </c>
      <c r="F1428" s="1786">
        <v>355</v>
      </c>
      <c r="G1428" s="1368" t="s">
        <v>9</v>
      </c>
    </row>
    <row r="1429" spans="1:7">
      <c r="A1429" s="1754">
        <v>45899</v>
      </c>
      <c r="B1429" s="1748" t="str">
        <f>TiposLancamentos!B19</f>
        <v>Restaurantes</v>
      </c>
      <c r="C1429" s="1740" t="s">
        <v>12643</v>
      </c>
      <c r="D1429" s="1736"/>
      <c r="E1429" s="952">
        <v>49.82</v>
      </c>
      <c r="F1429" s="1027"/>
      <c r="G1429" s="1368" t="s">
        <v>9</v>
      </c>
    </row>
    <row r="1430" spans="1:7">
      <c r="A1430" s="1754">
        <v>45899</v>
      </c>
      <c r="B1430" s="1748" t="str">
        <f>TiposLancamentos!B16</f>
        <v>Cristiane</v>
      </c>
      <c r="C1430" s="1740" t="s">
        <v>12644</v>
      </c>
      <c r="D1430" s="1736"/>
      <c r="E1430" s="952">
        <v>144.38999999999999</v>
      </c>
      <c r="F1430" s="1027"/>
      <c r="G1430" s="1368" t="s">
        <v>9</v>
      </c>
    </row>
    <row r="1431" spans="1:7">
      <c r="A1431" s="1754">
        <v>45899</v>
      </c>
      <c r="B1431" s="1748" t="str">
        <f>TiposLancamentos!B24</f>
        <v>Estacionamentos</v>
      </c>
      <c r="C1431" s="1740" t="s">
        <v>12645</v>
      </c>
      <c r="D1431" s="1736"/>
      <c r="E1431" s="952">
        <v>17</v>
      </c>
      <c r="F1431" s="1027"/>
      <c r="G1431" s="1368" t="s">
        <v>9</v>
      </c>
    </row>
    <row r="1432" spans="1:7">
      <c r="A1432" s="1754">
        <v>45900</v>
      </c>
      <c r="B1432" s="1748" t="str">
        <f>TiposLancamentos!B19</f>
        <v>Restaurantes</v>
      </c>
      <c r="C1432" s="1740" t="s">
        <v>12646</v>
      </c>
      <c r="D1432" s="1736"/>
      <c r="E1432" s="952">
        <v>14</v>
      </c>
      <c r="F1432" s="1027"/>
      <c r="G1432" s="1368" t="s">
        <v>9</v>
      </c>
    </row>
    <row r="1433" spans="1:7">
      <c r="A1433" s="1754">
        <v>45900</v>
      </c>
      <c r="B1433" s="1748" t="str">
        <f>TiposLancamentos!B19</f>
        <v>Restaurantes</v>
      </c>
      <c r="C1433" s="1740" t="s">
        <v>12647</v>
      </c>
      <c r="D1433" s="1736"/>
      <c r="E1433" s="952">
        <v>8</v>
      </c>
      <c r="F1433" s="1027"/>
      <c r="G1433" s="1368" t="s">
        <v>9</v>
      </c>
    </row>
    <row r="1434" spans="1:7" ht="14.25" thickBot="1">
      <c r="A1434" s="1754">
        <v>45900</v>
      </c>
      <c r="B1434" s="1748" t="str">
        <f>TiposLancamentos!B19</f>
        <v>Restaurantes</v>
      </c>
      <c r="C1434" s="1740" t="s">
        <v>12648</v>
      </c>
      <c r="D1434" s="1736"/>
      <c r="E1434" s="952">
        <v>64.540000000000006</v>
      </c>
      <c r="F1434" s="1027"/>
      <c r="G1434" s="1368" t="s">
        <v>9</v>
      </c>
    </row>
    <row r="1435" spans="1:7">
      <c r="A1435" s="1814"/>
      <c r="B1435" s="1809"/>
      <c r="C1435" s="1801" t="s">
        <v>1650</v>
      </c>
      <c r="D1435" s="1794"/>
      <c r="E1435" s="1788"/>
      <c r="F1435" s="1078">
        <f>SUM(E1280:E1392)</f>
        <v>7189.7219999999979</v>
      </c>
    </row>
    <row r="1436" spans="1:7">
      <c r="A1436" s="1754">
        <v>45901</v>
      </c>
      <c r="B1436" s="1748" t="str">
        <f>TiposLancamentos!B15</f>
        <v>Cartões de Crédito</v>
      </c>
      <c r="C1436" s="1740" t="s">
        <v>1874</v>
      </c>
      <c r="D1436" s="1736">
        <v>7189.72</v>
      </c>
      <c r="E1436" s="952"/>
      <c r="F1436" s="1027">
        <f>F1435-F1323</f>
        <v>1208.3599999999979</v>
      </c>
      <c r="G1436" s="1368" t="s">
        <v>9</v>
      </c>
    </row>
    <row r="1437" spans="1:7">
      <c r="A1437" s="1754">
        <v>45901</v>
      </c>
      <c r="B1437" s="1748" t="str">
        <f>TiposLancamentos!B15</f>
        <v>Cartões de Crédito</v>
      </c>
      <c r="C1437" s="1740" t="s">
        <v>2079</v>
      </c>
      <c r="D1437" s="1736"/>
      <c r="E1437" s="952">
        <v>27.9</v>
      </c>
      <c r="F1437" s="1027">
        <v>27.9</v>
      </c>
      <c r="G1437" s="1368" t="s">
        <v>9</v>
      </c>
    </row>
    <row r="1438" spans="1:7">
      <c r="A1438" s="1754">
        <v>45903</v>
      </c>
      <c r="B1438" s="1748" t="str">
        <f>TiposLancamentos!B88</f>
        <v>Ford Ecosport XLT</v>
      </c>
      <c r="C1438" s="1740" t="s">
        <v>12649</v>
      </c>
      <c r="D1438" s="1736"/>
      <c r="E1438" s="952">
        <f>F1438/10</f>
        <v>120</v>
      </c>
      <c r="F1438" s="1027">
        <v>1200</v>
      </c>
      <c r="G1438" s="1368" t="s">
        <v>9</v>
      </c>
    </row>
    <row r="1439" spans="1:7">
      <c r="A1439" s="1754">
        <v>45906</v>
      </c>
      <c r="B1439" s="1748" t="str">
        <f>TiposLancamentos!B19</f>
        <v>Restaurantes</v>
      </c>
      <c r="C1439" s="1740" t="s">
        <v>2401</v>
      </c>
      <c r="D1439" s="1736"/>
      <c r="E1439" s="952">
        <v>101.97</v>
      </c>
      <c r="F1439" s="1027"/>
      <c r="G1439" s="1368" t="s">
        <v>9</v>
      </c>
    </row>
    <row r="1440" spans="1:7">
      <c r="A1440" s="1754">
        <v>45912</v>
      </c>
      <c r="B1440" s="1748" t="str">
        <f>TiposLancamentos!B19</f>
        <v>Restaurantes</v>
      </c>
      <c r="C1440" s="1740" t="s">
        <v>12650</v>
      </c>
      <c r="D1440" s="1736"/>
      <c r="E1440" s="952">
        <v>93.77</v>
      </c>
      <c r="F1440" s="1027"/>
      <c r="G1440" s="1368" t="s">
        <v>9</v>
      </c>
    </row>
    <row r="1441" spans="1:7">
      <c r="A1441" s="1754">
        <v>45913</v>
      </c>
      <c r="B1441" s="1748" t="str">
        <f>TiposLancamentos!B16</f>
        <v>Cristiane</v>
      </c>
      <c r="C1441" s="1740" t="s">
        <v>12651</v>
      </c>
      <c r="D1441" s="1736"/>
      <c r="E1441" s="952">
        <v>68.89</v>
      </c>
      <c r="F1441" s="1027"/>
      <c r="G1441" s="1368" t="s">
        <v>9</v>
      </c>
    </row>
    <row r="1442" spans="1:7">
      <c r="A1442" s="1754">
        <v>45913</v>
      </c>
      <c r="B1442" s="1748" t="str">
        <f>TiposLancamentos!B16</f>
        <v>Cristiane</v>
      </c>
      <c r="C1442" s="1740" t="s">
        <v>12652</v>
      </c>
      <c r="D1442" s="1736"/>
      <c r="E1442" s="952">
        <v>200</v>
      </c>
      <c r="F1442" s="1027"/>
      <c r="G1442" s="1368" t="s">
        <v>9</v>
      </c>
    </row>
    <row r="1443" spans="1:7">
      <c r="A1443" s="1754">
        <v>45915</v>
      </c>
      <c r="B1443" s="1748" t="str">
        <f>TiposLancamentos!B23</f>
        <v>P208 GRIFFE 1.6 AUT BUSINESS</v>
      </c>
      <c r="C1443" s="1740" t="s">
        <v>12653</v>
      </c>
      <c r="D1443" s="1736"/>
      <c r="E1443" s="952">
        <f>F1443/4</f>
        <v>312.5</v>
      </c>
      <c r="F1443" s="1027">
        <v>1250</v>
      </c>
      <c r="G1443" s="1368" t="s">
        <v>9</v>
      </c>
    </row>
    <row r="1444" spans="1:7">
      <c r="A1444" s="1756"/>
      <c r="B1444" s="1749"/>
      <c r="C1444" s="1741" t="s">
        <v>10</v>
      </c>
      <c r="D1444" s="1690"/>
      <c r="E1444" s="1231"/>
      <c r="F1444" s="1231"/>
      <c r="G1444" s="1094" t="s">
        <v>11</v>
      </c>
    </row>
    <row r="1445" spans="1:7">
      <c r="A1445" s="1754">
        <v>45924</v>
      </c>
      <c r="B1445" s="1748" t="str">
        <f>TiposLancamentos!B7</f>
        <v>Apto. Proprio 01</v>
      </c>
      <c r="C1445" s="1740" t="s">
        <v>12654</v>
      </c>
      <c r="D1445" s="1736"/>
      <c r="E1445" s="952">
        <f>F1445/5</f>
        <v>108.56199999999998</v>
      </c>
      <c r="F1445" s="1027">
        <v>542.80999999999995</v>
      </c>
      <c r="G1445" s="1368" t="s">
        <v>9</v>
      </c>
    </row>
    <row r="1446" spans="1:7" ht="14.25" thickBot="1">
      <c r="A1446" s="1754">
        <v>45928</v>
      </c>
      <c r="B1446" s="1748" t="str">
        <f>TiposLancamentos!B39</f>
        <v>Playstation 5</v>
      </c>
      <c r="C1446" s="1740" t="s">
        <v>12655</v>
      </c>
      <c r="D1446" s="1736"/>
      <c r="E1446" s="952">
        <f>F1446/10</f>
        <v>126.9</v>
      </c>
      <c r="F1446" s="1027">
        <v>1269</v>
      </c>
      <c r="G1446" s="1368" t="s">
        <v>9</v>
      </c>
    </row>
    <row r="1447" spans="1:7">
      <c r="A1447" s="1814"/>
      <c r="B1447" s="1809"/>
      <c r="C1447" s="1801" t="s">
        <v>1651</v>
      </c>
      <c r="D1447" s="1794"/>
      <c r="E1447" s="1788"/>
      <c r="F1447" s="1078">
        <f>SUM(E1392:E1444)</f>
        <v>4423.942</v>
      </c>
    </row>
    <row r="1448" spans="1:7">
      <c r="A1448" s="1754">
        <v>45931</v>
      </c>
      <c r="B1448" s="1748" t="str">
        <f>TiposLancamentos!B15</f>
        <v>Cartões de Crédito</v>
      </c>
      <c r="C1448" s="1740" t="s">
        <v>1874</v>
      </c>
      <c r="D1448" s="1736">
        <v>4423.9399999999996</v>
      </c>
      <c r="E1448" s="952"/>
      <c r="F1448" s="1027">
        <f>F1447-F1435</f>
        <v>-2765.7799999999979</v>
      </c>
      <c r="G1448" s="1368" t="s">
        <v>9</v>
      </c>
    </row>
    <row r="1449" spans="1:7">
      <c r="A1449" s="1754">
        <v>45933</v>
      </c>
      <c r="B1449" s="1748" t="str">
        <f>TiposLancamentos!B88</f>
        <v>Ford Ecosport XLT</v>
      </c>
      <c r="C1449" s="1740" t="s">
        <v>12656</v>
      </c>
      <c r="D1449" s="1736"/>
      <c r="E1449" s="952">
        <f>F1449/10</f>
        <v>120</v>
      </c>
      <c r="F1449" s="1027">
        <v>1200</v>
      </c>
      <c r="G1449" s="1368" t="s">
        <v>9</v>
      </c>
    </row>
    <row r="1450" spans="1:7">
      <c r="A1450" s="1754">
        <v>45945</v>
      </c>
      <c r="B1450" s="1748" t="str">
        <f>TiposLancamentos!B23</f>
        <v>P208 GRIFFE 1.6 AUT BUSINESS</v>
      </c>
      <c r="C1450" s="1740" t="s">
        <v>12657</v>
      </c>
      <c r="D1450" s="1736"/>
      <c r="E1450" s="952">
        <f>F1450/4</f>
        <v>312.5</v>
      </c>
      <c r="F1450" s="1027">
        <v>1250</v>
      </c>
      <c r="G1450" s="1368" t="s">
        <v>9</v>
      </c>
    </row>
    <row r="1451" spans="1:7">
      <c r="A1451" s="1756"/>
      <c r="B1451" s="1749"/>
      <c r="C1451" s="1741" t="s">
        <v>10</v>
      </c>
      <c r="D1451" s="1690"/>
      <c r="E1451" s="1231"/>
      <c r="F1451" s="1231"/>
      <c r="G1451" s="1094" t="s">
        <v>11</v>
      </c>
    </row>
    <row r="1452" spans="1:7" ht="14.25" thickBot="1">
      <c r="A1452" s="1754">
        <v>45958</v>
      </c>
      <c r="B1452" s="1748" t="str">
        <f>TiposLancamentos!B39</f>
        <v>Playstation 5</v>
      </c>
      <c r="C1452" s="1740" t="s">
        <v>12658</v>
      </c>
      <c r="D1452" s="1736"/>
      <c r="E1452" s="952">
        <f>F1452/10</f>
        <v>126.9</v>
      </c>
      <c r="F1452" s="1027">
        <v>1269</v>
      </c>
      <c r="G1452" s="1094" t="s">
        <v>11</v>
      </c>
    </row>
    <row r="1453" spans="1:7">
      <c r="A1453" s="1814"/>
      <c r="B1453" s="1809"/>
      <c r="C1453" s="1801" t="s">
        <v>1652</v>
      </c>
      <c r="D1453" s="1794"/>
      <c r="E1453" s="1788"/>
      <c r="F1453" s="1078">
        <f>SUM(E1444:E1451)</f>
        <v>667.96199999999999</v>
      </c>
    </row>
    <row r="1454" spans="1:7">
      <c r="A1454" s="1754">
        <v>45964</v>
      </c>
      <c r="B1454" s="1748" t="str">
        <f>TiposLancamentos!B15</f>
        <v>Cartões de Crédito</v>
      </c>
      <c r="C1454" s="1740" t="s">
        <v>1874</v>
      </c>
      <c r="D1454" s="1736">
        <v>667.96</v>
      </c>
      <c r="E1454" s="952"/>
      <c r="F1454" s="1027">
        <f>F1453-F1447</f>
        <v>-3755.98</v>
      </c>
      <c r="G1454" s="1368" t="s">
        <v>9</v>
      </c>
    </row>
    <row r="1455" spans="1:7">
      <c r="A1455" s="1754">
        <v>45964</v>
      </c>
      <c r="B1455" s="1748" t="str">
        <f>TiposLancamentos!B88</f>
        <v>Ford Ecosport XLT</v>
      </c>
      <c r="C1455" s="1740" t="s">
        <v>12659</v>
      </c>
      <c r="D1455" s="1736"/>
      <c r="E1455" s="952">
        <f>F1455/10</f>
        <v>120</v>
      </c>
      <c r="F1455" s="1027">
        <v>1200</v>
      </c>
      <c r="G1455" s="1368" t="s">
        <v>9</v>
      </c>
    </row>
    <row r="1456" spans="1:7">
      <c r="A1456" s="1754">
        <v>45976</v>
      </c>
      <c r="B1456" s="1748" t="str">
        <f>TiposLancamentos!B23</f>
        <v>P208 GRIFFE 1.6 AUT BUSINESS</v>
      </c>
      <c r="C1456" s="1740" t="s">
        <v>12660</v>
      </c>
      <c r="D1456" s="1736"/>
      <c r="E1456" s="952">
        <f>F1456/4</f>
        <v>312.5</v>
      </c>
      <c r="F1456" s="1027">
        <v>1250</v>
      </c>
      <c r="G1456" s="1368" t="s">
        <v>9</v>
      </c>
    </row>
    <row r="1457" spans="1:7">
      <c r="A1457" s="1756"/>
      <c r="B1457" s="1749"/>
      <c r="C1457" s="1741" t="s">
        <v>10</v>
      </c>
      <c r="D1457" s="1690"/>
      <c r="E1457" s="1231"/>
      <c r="F1457" s="1231"/>
      <c r="G1457" s="1094" t="s">
        <v>11</v>
      </c>
    </row>
    <row r="1458" spans="1:7" ht="14.25" thickBot="1">
      <c r="A1458" s="1754">
        <v>45989</v>
      </c>
      <c r="B1458" s="1748" t="str">
        <f>TiposLancamentos!B39</f>
        <v>Playstation 5</v>
      </c>
      <c r="C1458" s="1740" t="s">
        <v>12661</v>
      </c>
      <c r="D1458" s="1736"/>
      <c r="E1458" s="952">
        <f>F1458/10</f>
        <v>126.9</v>
      </c>
      <c r="F1458" s="1027">
        <v>1269</v>
      </c>
      <c r="G1458" s="1368" t="s">
        <v>9</v>
      </c>
    </row>
    <row r="1459" spans="1:7">
      <c r="A1459" s="1814"/>
      <c r="B1459" s="1809"/>
      <c r="C1459" s="1801" t="s">
        <v>1653</v>
      </c>
      <c r="D1459" s="1794"/>
      <c r="E1459" s="1788"/>
      <c r="F1459" s="1078">
        <f>SUM(E1451:E1457)</f>
        <v>559.4</v>
      </c>
    </row>
    <row r="1460" spans="1:7">
      <c r="A1460" s="1754">
        <v>45992</v>
      </c>
      <c r="B1460" s="1748" t="str">
        <f>TiposLancamentos!B15</f>
        <v>Cartões de Crédito</v>
      </c>
      <c r="C1460" s="1740" t="s">
        <v>1874</v>
      </c>
      <c r="D1460" s="1736">
        <v>559.4</v>
      </c>
      <c r="E1460" s="952"/>
      <c r="F1460" s="1027">
        <f>F1459-F1453</f>
        <v>-108.56200000000001</v>
      </c>
      <c r="G1460" s="1368" t="s">
        <v>9</v>
      </c>
    </row>
    <row r="1461" spans="1:7">
      <c r="A1461" s="1754">
        <v>45994</v>
      </c>
      <c r="B1461" s="1748" t="str">
        <f>TiposLancamentos!B88</f>
        <v>Ford Ecosport XLT</v>
      </c>
      <c r="C1461" s="1740" t="s">
        <v>12662</v>
      </c>
      <c r="D1461" s="1736"/>
      <c r="E1461" s="952">
        <f>F1461/10</f>
        <v>120</v>
      </c>
      <c r="F1461" s="1027">
        <v>1200</v>
      </c>
      <c r="G1461" s="1368" t="s">
        <v>9</v>
      </c>
    </row>
    <row r="1462" spans="1:7">
      <c r="A1462" s="1756"/>
      <c r="B1462" s="1749"/>
      <c r="C1462" s="1741" t="s">
        <v>10</v>
      </c>
      <c r="D1462" s="1690"/>
      <c r="E1462" s="1231"/>
      <c r="F1462" s="1231"/>
      <c r="G1462" s="1094" t="s">
        <v>11</v>
      </c>
    </row>
    <row r="1463" spans="1:7" ht="14.25" thickBot="1">
      <c r="A1463" s="1754"/>
      <c r="B1463" s="1748"/>
      <c r="C1463" s="1740" t="s">
        <v>1947</v>
      </c>
      <c r="D1463" s="1736"/>
      <c r="E1463" s="952"/>
      <c r="F1463" s="1027"/>
    </row>
    <row r="1464" spans="1:7">
      <c r="A1464" s="1814"/>
      <c r="B1464" s="1809"/>
      <c r="C1464" s="1801" t="s">
        <v>1654</v>
      </c>
      <c r="D1464" s="1794"/>
      <c r="E1464" s="1788"/>
      <c r="F1464" s="1078">
        <f>SUM(E1457:E1462)</f>
        <v>246.9</v>
      </c>
    </row>
    <row r="1465" spans="1:7">
      <c r="A1465" s="1754">
        <v>46023</v>
      </c>
      <c r="B1465" s="1748" t="str">
        <f>TiposLancamentos!B15</f>
        <v>Cartões de Crédito</v>
      </c>
      <c r="C1465" s="1740" t="s">
        <v>1874</v>
      </c>
      <c r="D1465" s="1736">
        <v>246.9</v>
      </c>
      <c r="E1465" s="952"/>
      <c r="F1465" s="1027">
        <f>F1464-F1459</f>
        <v>-312.5</v>
      </c>
      <c r="G1465" s="1368" t="s">
        <v>9</v>
      </c>
    </row>
    <row r="1466" spans="1:7">
      <c r="A1466" s="1756"/>
      <c r="B1466" s="1749"/>
      <c r="C1466" s="1741" t="s">
        <v>10</v>
      </c>
      <c r="D1466" s="1690"/>
      <c r="E1466" s="1231"/>
      <c r="F1466" s="1231"/>
      <c r="G1466" s="1094" t="s">
        <v>11</v>
      </c>
    </row>
    <row r="1467" spans="1:7" ht="14.25" thickBot="1">
      <c r="A1467" s="1754"/>
      <c r="B1467" s="1748"/>
      <c r="C1467" s="1740" t="s">
        <v>1868</v>
      </c>
      <c r="D1467" s="1736"/>
      <c r="E1467" s="952"/>
      <c r="F1467" s="1027"/>
    </row>
    <row r="1468" spans="1:7">
      <c r="A1468" s="1814"/>
      <c r="B1468" s="1809"/>
      <c r="C1468" s="1801" t="s">
        <v>2360</v>
      </c>
      <c r="D1468" s="1794"/>
      <c r="E1468" s="1788"/>
      <c r="F1468" s="1078">
        <f>SUM(E1463:E1466)</f>
        <v>0</v>
      </c>
    </row>
    <row r="1469" spans="1:7">
      <c r="A1469" s="1754">
        <v>46055</v>
      </c>
      <c r="B1469" s="1748"/>
      <c r="C1469" s="1740" t="s">
        <v>1874</v>
      </c>
      <c r="D1469" s="1736">
        <v>0</v>
      </c>
      <c r="E1469" s="952">
        <v>0</v>
      </c>
      <c r="F1469" s="1027">
        <f>F1468-F1464</f>
        <v>-246.9</v>
      </c>
      <c r="G1469" s="1094" t="s">
        <v>11</v>
      </c>
    </row>
    <row r="1470" spans="1:7">
      <c r="A1470" s="1756"/>
      <c r="B1470" s="1749"/>
      <c r="C1470" s="1741" t="s">
        <v>10</v>
      </c>
      <c r="D1470" s="1690"/>
      <c r="E1470" s="1231"/>
      <c r="F1470" s="1231"/>
      <c r="G1470" s="1094" t="s">
        <v>11</v>
      </c>
    </row>
    <row r="1471" spans="1:7" ht="14.25" thickBot="1">
      <c r="A1471" s="1754"/>
      <c r="B1471" s="1748"/>
      <c r="C1471" s="1740" t="s">
        <v>1868</v>
      </c>
      <c r="D1471" s="1736"/>
      <c r="E1471" s="952"/>
      <c r="F1471" s="1027"/>
    </row>
    <row r="1472" spans="1:7">
      <c r="A1472" s="1814"/>
      <c r="B1472" s="1809"/>
      <c r="C1472" s="1801" t="s">
        <v>1656</v>
      </c>
      <c r="D1472" s="1794"/>
      <c r="E1472" s="1788"/>
      <c r="F1472" s="1078">
        <f>SUM(E1467:E1469)</f>
        <v>0</v>
      </c>
    </row>
    <row r="1473" spans="1:7">
      <c r="A1473" s="1754">
        <v>46083</v>
      </c>
      <c r="B1473" s="1748"/>
      <c r="C1473" s="1740" t="s">
        <v>1874</v>
      </c>
      <c r="D1473" s="1736">
        <v>0</v>
      </c>
      <c r="E1473" s="952">
        <v>0</v>
      </c>
      <c r="F1473" s="1027">
        <f>F1472-F1468</f>
        <v>0</v>
      </c>
    </row>
    <row r="1474" spans="1:7">
      <c r="A1474" s="1754"/>
      <c r="B1474" s="1748"/>
      <c r="C1474" s="1740"/>
      <c r="D1474" s="1736"/>
      <c r="E1474" s="952"/>
      <c r="F1474" s="1027"/>
    </row>
    <row r="1475" spans="1:7">
      <c r="A1475" s="1754"/>
      <c r="B1475" s="1748"/>
      <c r="C1475" s="1740"/>
      <c r="D1475" s="1736"/>
      <c r="E1475" s="952"/>
      <c r="F1475" s="1027"/>
    </row>
    <row r="1476" spans="1:7">
      <c r="A1476" s="1754"/>
      <c r="B1476" s="1748"/>
      <c r="C1476" s="1740"/>
      <c r="D1476" s="1736"/>
      <c r="E1476" s="952"/>
      <c r="F1476" s="1027"/>
    </row>
    <row r="1477" spans="1:7">
      <c r="A1477" s="1754"/>
      <c r="B1477" s="1748"/>
      <c r="C1477" s="1740"/>
      <c r="D1477" s="1736"/>
      <c r="E1477" s="952"/>
      <c r="F1477" s="1027"/>
    </row>
    <row r="1478" spans="1:7">
      <c r="A1478" s="1754"/>
      <c r="B1478" s="1748"/>
      <c r="C1478" s="1740"/>
      <c r="D1478" s="1736"/>
      <c r="E1478" s="952"/>
      <c r="F1478" s="1027"/>
    </row>
    <row r="1479" spans="1:7">
      <c r="A1479" s="1754"/>
      <c r="B1479" s="1748"/>
      <c r="C1479" s="1740"/>
      <c r="D1479" s="1736"/>
      <c r="E1479" s="952"/>
      <c r="F1479" s="1027"/>
    </row>
    <row r="1480" spans="1:7">
      <c r="A1480" s="1754"/>
      <c r="B1480" s="1748"/>
      <c r="C1480" s="1740"/>
      <c r="D1480" s="1736"/>
      <c r="E1480" s="952"/>
      <c r="F1480" s="1027"/>
    </row>
    <row r="1481" spans="1:7">
      <c r="A1481" s="1754"/>
      <c r="B1481" s="1748"/>
      <c r="C1481" s="1740"/>
      <c r="D1481" s="1736"/>
      <c r="E1481" s="952"/>
      <c r="F1481" s="1027"/>
    </row>
    <row r="1482" spans="1:7">
      <c r="A1482" s="1754"/>
      <c r="B1482" s="1748"/>
      <c r="C1482" s="1740"/>
      <c r="D1482" s="1736"/>
      <c r="E1482" s="952"/>
      <c r="F1482" s="1027"/>
    </row>
    <row r="1483" spans="1:7">
      <c r="A1483" s="1754"/>
      <c r="B1483" s="1748"/>
      <c r="C1483" s="1740"/>
      <c r="D1483" s="1736"/>
      <c r="E1483" s="952"/>
      <c r="F1483" s="1027"/>
    </row>
    <row r="1484" spans="1:7">
      <c r="A1484" s="1754"/>
      <c r="B1484" s="1748"/>
      <c r="C1484" s="1740"/>
      <c r="D1484" s="1736"/>
      <c r="E1484" s="952"/>
      <c r="F1484" s="1027"/>
    </row>
    <row r="1485" spans="1:7" ht="14.25" thickBot="1">
      <c r="A1485" s="1757"/>
      <c r="B1485" s="1755"/>
      <c r="C1485" s="1771"/>
      <c r="D1485" s="1738"/>
      <c r="E1485" s="1767"/>
      <c r="F1485" s="1437"/>
      <c r="G1485" s="1094" t="s">
        <v>11</v>
      </c>
    </row>
    <row r="1486" spans="1:7" ht="14.25" thickBot="1">
      <c r="A1486" s="46"/>
      <c r="B1486" s="116"/>
      <c r="C1486" s="1807" t="s">
        <v>12</v>
      </c>
      <c r="D1486" s="1798">
        <f>SUM(D2:D1485)</f>
        <v>106267.99</v>
      </c>
      <c r="E1486" s="1792">
        <f>SUM(E2:E1485)</f>
        <v>105996.05799999983</v>
      </c>
      <c r="F1486" s="301"/>
    </row>
    <row r="1487" spans="1:7" ht="14.25" thickBot="1">
      <c r="A1487" s="119"/>
      <c r="B1487" s="120"/>
      <c r="C1487" s="1808" t="s">
        <v>13</v>
      </c>
      <c r="D1487" s="1691"/>
      <c r="E1487" s="1793">
        <f>D1486-E1486</f>
        <v>271.93200000017532</v>
      </c>
      <c r="F1487" s="177"/>
    </row>
    <row r="1488" spans="1:7">
      <c r="A1488" s="65"/>
      <c r="B1488" s="65"/>
    </row>
    <row r="1489" spans="2:6">
      <c r="C1489" s="23"/>
      <c r="D1489" s="25" t="s">
        <v>14</v>
      </c>
      <c r="E1489" s="303" t="s">
        <v>15</v>
      </c>
      <c r="F1489" s="25" t="s">
        <v>16</v>
      </c>
    </row>
    <row r="1490" spans="2:6">
      <c r="B1490" s="77" t="s">
        <v>17</v>
      </c>
      <c r="C1490" s="36"/>
      <c r="D1490" s="60"/>
      <c r="E1490" s="34">
        <f>E1487</f>
        <v>271.93200000017532</v>
      </c>
      <c r="F1490" s="62">
        <f>D1490+E1490</f>
        <v>271.93200000017532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Plan19"/>
  <dimension ref="A1:J2687"/>
  <sheetViews>
    <sheetView zoomScaleNormal="100" workbookViewId="0">
      <pane xSplit="7" ySplit="1" topLeftCell="H2596" activePane="bottomRight" state="frozen"/>
      <selection pane="bottomRight" activeCell="H2607" sqref="H2607"/>
      <selection pane="bottomLeft" activeCell="A2" sqref="A2"/>
      <selection pane="topRight" activeCell="H1" sqref="H1"/>
    </sheetView>
  </sheetViews>
  <sheetFormatPr defaultColWidth="11.7109375" defaultRowHeight="13.5"/>
  <cols>
    <col min="1" max="1" width="12.42578125" style="3" bestFit="1" customWidth="1"/>
    <col min="2" max="2" width="41.85546875" style="3" customWidth="1"/>
    <col min="3" max="3" width="49.28515625" style="3" customWidth="1"/>
    <col min="4" max="4" width="14.85546875" style="3" bestFit="1" customWidth="1"/>
    <col min="5" max="5" width="17.28515625" style="3" bestFit="1" customWidth="1"/>
    <col min="6" max="6" width="10.28515625" style="3" bestFit="1" customWidth="1"/>
    <col min="7" max="7" width="16.5703125" style="3" customWidth="1"/>
    <col min="8" max="8" width="16" style="3" bestFit="1" customWidth="1"/>
    <col min="9" max="10" width="14.42578125" style="3" bestFit="1" customWidth="1"/>
    <col min="11" max="16384" width="11.7109375" style="3"/>
  </cols>
  <sheetData>
    <row r="1" spans="1:8" ht="14.25" thickBot="1">
      <c r="A1" s="1559" t="s">
        <v>0</v>
      </c>
      <c r="B1" s="1560" t="s">
        <v>12663</v>
      </c>
      <c r="C1" s="1561" t="s">
        <v>1394</v>
      </c>
      <c r="D1" s="1562" t="s">
        <v>3</v>
      </c>
      <c r="E1" s="1563" t="s">
        <v>4</v>
      </c>
      <c r="F1" s="1563" t="s">
        <v>12664</v>
      </c>
      <c r="G1" s="1564" t="s">
        <v>12665</v>
      </c>
      <c r="H1" s="1565" t="s">
        <v>12666</v>
      </c>
    </row>
    <row r="2" spans="1:8">
      <c r="A2" s="1484">
        <v>35807</v>
      </c>
      <c r="B2" s="1485"/>
      <c r="C2" s="1486" t="s">
        <v>12667</v>
      </c>
      <c r="D2" s="1487"/>
      <c r="E2" s="1488">
        <f>SUM(E3)</f>
        <v>171</v>
      </c>
      <c r="F2" s="1489"/>
      <c r="G2" s="1490">
        <v>1</v>
      </c>
      <c r="H2" s="3">
        <v>1</v>
      </c>
    </row>
    <row r="3" spans="1:8">
      <c r="A3" s="429">
        <v>36130</v>
      </c>
      <c r="B3" s="80" t="s">
        <v>12668</v>
      </c>
      <c r="C3" s="81" t="s">
        <v>12669</v>
      </c>
      <c r="D3" s="409"/>
      <c r="E3" s="58">
        <v>171</v>
      </c>
      <c r="F3" s="80" t="s">
        <v>9</v>
      </c>
      <c r="G3" s="58">
        <f>IF(F3="X",0,E3)</f>
        <v>0</v>
      </c>
    </row>
    <row r="4" spans="1:8">
      <c r="A4" s="1484">
        <v>36161</v>
      </c>
      <c r="B4" s="1485"/>
      <c r="C4" s="1486" t="s">
        <v>12670</v>
      </c>
      <c r="D4" s="1487"/>
      <c r="E4" s="1488">
        <f>SUM(E5)</f>
        <v>171</v>
      </c>
      <c r="F4" s="1489"/>
      <c r="G4" s="1490"/>
    </row>
    <row r="5" spans="1:8">
      <c r="A5" s="792">
        <v>36165</v>
      </c>
      <c r="B5" s="793" t="s">
        <v>12668</v>
      </c>
      <c r="C5" s="794" t="s">
        <v>12671</v>
      </c>
      <c r="D5" s="795"/>
      <c r="E5" s="796">
        <v>171</v>
      </c>
      <c r="F5" s="797" t="s">
        <v>9</v>
      </c>
      <c r="G5" s="798">
        <f>IF(F5="X",0,E5)</f>
        <v>0</v>
      </c>
    </row>
    <row r="6" spans="1:8">
      <c r="A6" s="1484">
        <v>36220</v>
      </c>
      <c r="B6" s="1485"/>
      <c r="C6" s="1486" t="s">
        <v>12672</v>
      </c>
      <c r="D6" s="1487"/>
      <c r="E6" s="1488">
        <f>SUM(E7)</f>
        <v>30.8</v>
      </c>
      <c r="F6" s="1489"/>
      <c r="G6" s="1490"/>
    </row>
    <row r="7" spans="1:8">
      <c r="A7" s="429">
        <v>36245</v>
      </c>
      <c r="B7" s="80" t="s">
        <v>12673</v>
      </c>
      <c r="C7" s="81" t="s">
        <v>12674</v>
      </c>
      <c r="D7" s="409"/>
      <c r="E7" s="58">
        <v>30.8</v>
      </c>
      <c r="F7" s="80" t="s">
        <v>9</v>
      </c>
      <c r="G7" s="58">
        <f>IF(F7="X",0,E7)</f>
        <v>0</v>
      </c>
    </row>
    <row r="8" spans="1:8">
      <c r="A8" s="1484">
        <v>36251</v>
      </c>
      <c r="B8" s="1485"/>
      <c r="C8" s="1486" t="s">
        <v>12675</v>
      </c>
      <c r="D8" s="1487"/>
      <c r="E8" s="1488">
        <f>SUM(E9)</f>
        <v>24.3</v>
      </c>
      <c r="F8" s="1489"/>
      <c r="G8" s="1490"/>
    </row>
    <row r="9" spans="1:8">
      <c r="A9" s="430">
        <v>36276</v>
      </c>
      <c r="B9" s="76" t="s">
        <v>12673</v>
      </c>
      <c r="C9" s="77" t="s">
        <v>12676</v>
      </c>
      <c r="D9" s="333"/>
      <c r="E9" s="49">
        <v>24.3</v>
      </c>
      <c r="F9" s="76" t="s">
        <v>9</v>
      </c>
      <c r="G9" s="49">
        <f>IF(F9="X",0,E9)</f>
        <v>0</v>
      </c>
    </row>
    <row r="10" spans="1:8">
      <c r="A10" s="1484">
        <v>36281</v>
      </c>
      <c r="B10" s="1485"/>
      <c r="C10" s="1486" t="s">
        <v>12677</v>
      </c>
      <c r="D10" s="1487"/>
      <c r="E10" s="1488">
        <f>SUM(E11)</f>
        <v>24.3</v>
      </c>
      <c r="F10" s="1489"/>
      <c r="G10" s="1490"/>
    </row>
    <row r="11" spans="1:8">
      <c r="A11" s="792">
        <v>36306</v>
      </c>
      <c r="B11" s="793" t="s">
        <v>12673</v>
      </c>
      <c r="C11" s="794" t="s">
        <v>12678</v>
      </c>
      <c r="D11" s="795"/>
      <c r="E11" s="796">
        <v>24.3</v>
      </c>
      <c r="F11" s="797" t="s">
        <v>9</v>
      </c>
      <c r="G11" s="798">
        <f>IF(F11="X",0,E11)</f>
        <v>0</v>
      </c>
    </row>
    <row r="12" spans="1:8">
      <c r="A12" s="1484">
        <v>36312</v>
      </c>
      <c r="B12" s="1485"/>
      <c r="C12" s="1486" t="s">
        <v>12679</v>
      </c>
      <c r="D12" s="1487"/>
      <c r="E12" s="1488">
        <f>SUM(E13)</f>
        <v>24</v>
      </c>
      <c r="F12" s="1489"/>
      <c r="G12" s="1490"/>
    </row>
    <row r="13" spans="1:8">
      <c r="A13" s="430">
        <v>36337</v>
      </c>
      <c r="B13" s="76" t="s">
        <v>12680</v>
      </c>
      <c r="C13" s="77" t="s">
        <v>12681</v>
      </c>
      <c r="D13" s="333"/>
      <c r="E13" s="49">
        <v>24</v>
      </c>
      <c r="F13" s="76" t="s">
        <v>9</v>
      </c>
      <c r="G13" s="49">
        <f>IF(F13="X",0,E13)</f>
        <v>0</v>
      </c>
    </row>
    <row r="14" spans="1:8">
      <c r="A14" s="1484">
        <v>36342</v>
      </c>
      <c r="B14" s="1485"/>
      <c r="C14" s="1486" t="s">
        <v>12682</v>
      </c>
      <c r="D14" s="1487"/>
      <c r="E14" s="1488">
        <f>SUM(E15:E16)</f>
        <v>50</v>
      </c>
      <c r="F14" s="1489"/>
      <c r="G14" s="1490"/>
    </row>
    <row r="15" spans="1:8">
      <c r="A15" s="430">
        <v>36355</v>
      </c>
      <c r="B15" s="76" t="s">
        <v>12683</v>
      </c>
      <c r="C15" s="77" t="s">
        <v>12684</v>
      </c>
      <c r="D15" s="333"/>
      <c r="E15" s="49">
        <v>26</v>
      </c>
      <c r="F15" s="76" t="s">
        <v>9</v>
      </c>
      <c r="G15" s="49">
        <f>IF(F15="X",0,E15)</f>
        <v>0</v>
      </c>
    </row>
    <row r="16" spans="1:8">
      <c r="A16" s="429">
        <v>36367</v>
      </c>
      <c r="B16" s="80" t="s">
        <v>12680</v>
      </c>
      <c r="C16" s="81" t="s">
        <v>12685</v>
      </c>
      <c r="D16" s="409"/>
      <c r="E16" s="58">
        <v>24</v>
      </c>
      <c r="F16" s="80" t="s">
        <v>9</v>
      </c>
      <c r="G16" s="58">
        <f>IF(F16="X",0,E16)</f>
        <v>0</v>
      </c>
    </row>
    <row r="17" spans="1:7">
      <c r="A17" s="1484">
        <v>36373</v>
      </c>
      <c r="B17" s="1485"/>
      <c r="C17" s="1486">
        <v>36373</v>
      </c>
      <c r="D17" s="1487"/>
      <c r="E17" s="1488">
        <f>SUM(E18:E19)</f>
        <v>52</v>
      </c>
      <c r="F17" s="1489"/>
      <c r="G17" s="1490"/>
    </row>
    <row r="18" spans="1:7">
      <c r="A18" s="430">
        <v>36386</v>
      </c>
      <c r="B18" s="76" t="s">
        <v>12683</v>
      </c>
      <c r="C18" s="77" t="s">
        <v>12686</v>
      </c>
      <c r="D18" s="333"/>
      <c r="E18" s="49">
        <v>26</v>
      </c>
      <c r="F18" s="76" t="s">
        <v>9</v>
      </c>
      <c r="G18" s="49">
        <f>IF(F18="X",0,E18)</f>
        <v>0</v>
      </c>
    </row>
    <row r="19" spans="1:7">
      <c r="A19" s="792">
        <v>36398</v>
      </c>
      <c r="B19" s="793" t="s">
        <v>12680</v>
      </c>
      <c r="C19" s="794" t="s">
        <v>12687</v>
      </c>
      <c r="D19" s="795"/>
      <c r="E19" s="796">
        <v>26</v>
      </c>
      <c r="F19" s="797" t="s">
        <v>9</v>
      </c>
      <c r="G19" s="798">
        <f>IF(F19="X",0,E19)</f>
        <v>0</v>
      </c>
    </row>
    <row r="20" spans="1:7">
      <c r="A20" s="1484">
        <v>36404</v>
      </c>
      <c r="B20" s="1485"/>
      <c r="C20" s="1486" t="s">
        <v>12688</v>
      </c>
      <c r="D20" s="1487"/>
      <c r="E20" s="1488">
        <f>SUM(E21)</f>
        <v>26</v>
      </c>
      <c r="F20" s="1489"/>
      <c r="G20" s="1490"/>
    </row>
    <row r="21" spans="1:7">
      <c r="A21" s="792">
        <v>36417</v>
      </c>
      <c r="B21" s="793" t="s">
        <v>12683</v>
      </c>
      <c r="C21" s="794" t="s">
        <v>12689</v>
      </c>
      <c r="D21" s="795"/>
      <c r="E21" s="796">
        <v>26</v>
      </c>
      <c r="F21" s="797" t="s">
        <v>9</v>
      </c>
      <c r="G21" s="798">
        <f>IF(F21="X",0,E21)</f>
        <v>0</v>
      </c>
    </row>
    <row r="22" spans="1:7">
      <c r="A22" s="1484">
        <v>36465</v>
      </c>
      <c r="B22" s="1485"/>
      <c r="C22" s="1486" t="s">
        <v>12690</v>
      </c>
      <c r="D22" s="1487"/>
      <c r="E22" s="1488">
        <f>SUM(E23)</f>
        <v>61</v>
      </c>
      <c r="F22" s="1489"/>
      <c r="G22" s="1490"/>
    </row>
    <row r="23" spans="1:7">
      <c r="A23" s="430">
        <v>36473</v>
      </c>
      <c r="B23" s="76" t="s">
        <v>12691</v>
      </c>
      <c r="C23" s="77" t="s">
        <v>12692</v>
      </c>
      <c r="D23" s="333"/>
      <c r="E23" s="49">
        <v>61</v>
      </c>
      <c r="F23" s="76" t="s">
        <v>9</v>
      </c>
      <c r="G23" s="49">
        <f>IF(F23="X",0,E23)</f>
        <v>0</v>
      </c>
    </row>
    <row r="24" spans="1:7">
      <c r="A24" s="1484">
        <v>36495</v>
      </c>
      <c r="B24" s="1485"/>
      <c r="C24" s="1486" t="s">
        <v>12693</v>
      </c>
      <c r="D24" s="1487"/>
      <c r="E24" s="1488">
        <f>SUM(E25:E26)</f>
        <v>249</v>
      </c>
      <c r="F24" s="1489"/>
      <c r="G24" s="1490"/>
    </row>
    <row r="25" spans="1:7">
      <c r="A25" s="777">
        <v>36501</v>
      </c>
      <c r="B25" s="76" t="s">
        <v>12694</v>
      </c>
      <c r="C25" s="431" t="s">
        <v>12695</v>
      </c>
      <c r="D25" s="432"/>
      <c r="E25" s="49">
        <v>188</v>
      </c>
      <c r="F25" s="76" t="s">
        <v>9</v>
      </c>
      <c r="G25" s="778">
        <f>IF(F25="X",0,E25)</f>
        <v>0</v>
      </c>
    </row>
    <row r="26" spans="1:7">
      <c r="A26" s="792">
        <v>36503</v>
      </c>
      <c r="B26" s="793" t="s">
        <v>12691</v>
      </c>
      <c r="C26" s="794" t="s">
        <v>12696</v>
      </c>
      <c r="D26" s="795"/>
      <c r="E26" s="796">
        <v>61</v>
      </c>
      <c r="F26" s="797" t="s">
        <v>9</v>
      </c>
      <c r="G26" s="798">
        <f>IF(F26="X",0,E26)</f>
        <v>0</v>
      </c>
    </row>
    <row r="27" spans="1:7">
      <c r="A27" s="1484">
        <v>36526</v>
      </c>
      <c r="B27" s="1485"/>
      <c r="C27" s="1486" t="s">
        <v>12697</v>
      </c>
      <c r="D27" s="1487"/>
      <c r="E27" s="1488">
        <f>SUM(E28)</f>
        <v>188</v>
      </c>
      <c r="F27" s="1489"/>
      <c r="G27" s="1490"/>
    </row>
    <row r="28" spans="1:7">
      <c r="A28" s="792">
        <v>36532</v>
      </c>
      <c r="B28" s="793" t="s">
        <v>12694</v>
      </c>
      <c r="C28" s="794" t="s">
        <v>12698</v>
      </c>
      <c r="D28" s="795"/>
      <c r="E28" s="796">
        <v>188</v>
      </c>
      <c r="F28" s="797" t="s">
        <v>9</v>
      </c>
      <c r="G28" s="798">
        <f>IF(F28="X",0,E28)</f>
        <v>0</v>
      </c>
    </row>
    <row r="29" spans="1:7">
      <c r="A29" s="1484">
        <v>36800</v>
      </c>
      <c r="B29" s="1485"/>
      <c r="C29" s="1486" t="s">
        <v>12699</v>
      </c>
      <c r="D29" s="1487"/>
      <c r="E29" s="1488">
        <f>SUM(E30:E31)</f>
        <v>90.1</v>
      </c>
      <c r="F29" s="1489"/>
      <c r="G29" s="1490"/>
    </row>
    <row r="30" spans="1:7">
      <c r="A30" s="430">
        <v>36809</v>
      </c>
      <c r="B30" s="76" t="s">
        <v>12700</v>
      </c>
      <c r="C30" s="77" t="s">
        <v>12701</v>
      </c>
      <c r="D30" s="333"/>
      <c r="E30" s="49">
        <v>56.3</v>
      </c>
      <c r="F30" s="76" t="s">
        <v>9</v>
      </c>
      <c r="G30" s="49">
        <f>IF(F30="X",0,E30)</f>
        <v>0</v>
      </c>
    </row>
    <row r="31" spans="1:7">
      <c r="A31" s="429">
        <v>36811</v>
      </c>
      <c r="B31" s="80" t="s">
        <v>12702</v>
      </c>
      <c r="C31" s="81" t="s">
        <v>12703</v>
      </c>
      <c r="D31" s="409"/>
      <c r="E31" s="58">
        <v>33.799999999999997</v>
      </c>
      <c r="F31" s="80" t="s">
        <v>9</v>
      </c>
      <c r="G31" s="58">
        <f>IF(F31="X",0,E31)</f>
        <v>0</v>
      </c>
    </row>
    <row r="32" spans="1:7">
      <c r="A32" s="1484">
        <v>36831</v>
      </c>
      <c r="B32" s="1485"/>
      <c r="C32" s="1486" t="s">
        <v>12704</v>
      </c>
      <c r="D32" s="1487"/>
      <c r="E32" s="1488">
        <f>SUM(E34:E36)</f>
        <v>136.6</v>
      </c>
      <c r="F32" s="1489"/>
      <c r="G32" s="1490"/>
    </row>
    <row r="33" spans="1:7">
      <c r="A33" s="430">
        <v>36835</v>
      </c>
      <c r="B33" s="76" t="s">
        <v>12705</v>
      </c>
      <c r="C33" s="77" t="s">
        <v>12706</v>
      </c>
      <c r="D33" s="333"/>
      <c r="E33" s="49">
        <v>58.14</v>
      </c>
      <c r="F33" s="76" t="s">
        <v>9</v>
      </c>
      <c r="G33" s="49">
        <f>IF(F33="X",0,E33)</f>
        <v>0</v>
      </c>
    </row>
    <row r="34" spans="1:7">
      <c r="A34" s="430">
        <v>36840</v>
      </c>
      <c r="B34" s="76" t="s">
        <v>12700</v>
      </c>
      <c r="C34" s="77" t="s">
        <v>12707</v>
      </c>
      <c r="D34" s="333"/>
      <c r="E34" s="49">
        <v>56.3</v>
      </c>
      <c r="F34" s="76" t="s">
        <v>9</v>
      </c>
      <c r="G34" s="49">
        <f>IF(F34="X",0,E34)</f>
        <v>0</v>
      </c>
    </row>
    <row r="35" spans="1:7">
      <c r="A35" s="430">
        <v>36842</v>
      </c>
      <c r="B35" s="76" t="s">
        <v>12702</v>
      </c>
      <c r="C35" s="77" t="s">
        <v>12708</v>
      </c>
      <c r="D35" s="333"/>
      <c r="E35" s="49">
        <v>33.799999999999997</v>
      </c>
      <c r="F35" s="76" t="s">
        <v>9</v>
      </c>
      <c r="G35" s="49">
        <f>IF(F35="X",0,E35)</f>
        <v>0</v>
      </c>
    </row>
    <row r="36" spans="1:7">
      <c r="A36" s="430">
        <v>36850</v>
      </c>
      <c r="B36" s="76" t="s">
        <v>12709</v>
      </c>
      <c r="C36" s="77" t="s">
        <v>12710</v>
      </c>
      <c r="D36" s="333"/>
      <c r="E36" s="49">
        <v>46.5</v>
      </c>
      <c r="F36" s="76" t="s">
        <v>9</v>
      </c>
      <c r="G36" s="49">
        <f>IF(F36="X",0,E36)</f>
        <v>0</v>
      </c>
    </row>
    <row r="37" spans="1:7">
      <c r="A37" s="1484">
        <v>36861</v>
      </c>
      <c r="B37" s="1485"/>
      <c r="C37" s="1486" t="s">
        <v>12711</v>
      </c>
      <c r="D37" s="1487"/>
      <c r="E37" s="1488">
        <f>SUM(E38:E43)</f>
        <v>409.70000000000005</v>
      </c>
      <c r="F37" s="1489"/>
      <c r="G37" s="1490"/>
    </row>
    <row r="38" spans="1:7">
      <c r="A38" s="777">
        <v>36864</v>
      </c>
      <c r="B38" s="76" t="s">
        <v>12712</v>
      </c>
      <c r="C38" s="77" t="s">
        <v>12713</v>
      </c>
      <c r="D38" s="333"/>
      <c r="E38" s="49">
        <v>9.9700000000000006</v>
      </c>
      <c r="F38" s="76" t="s">
        <v>9</v>
      </c>
      <c r="G38" s="778">
        <f t="shared" ref="G38:G43" si="0">IF(F38="X",0,E38)</f>
        <v>0</v>
      </c>
    </row>
    <row r="39" spans="1:7">
      <c r="A39" s="777">
        <v>36864</v>
      </c>
      <c r="B39" s="76" t="s">
        <v>12714</v>
      </c>
      <c r="C39" s="77" t="s">
        <v>12715</v>
      </c>
      <c r="D39" s="333"/>
      <c r="E39" s="49">
        <v>205</v>
      </c>
      <c r="F39" s="76" t="s">
        <v>9</v>
      </c>
      <c r="G39" s="778">
        <f t="shared" si="0"/>
        <v>0</v>
      </c>
    </row>
    <row r="40" spans="1:7">
      <c r="A40" s="777">
        <v>36865</v>
      </c>
      <c r="B40" s="76" t="s">
        <v>12705</v>
      </c>
      <c r="C40" s="77" t="s">
        <v>12716</v>
      </c>
      <c r="D40" s="333"/>
      <c r="E40" s="49">
        <v>58.13</v>
      </c>
      <c r="F40" s="76" t="s">
        <v>9</v>
      </c>
      <c r="G40" s="778">
        <f t="shared" si="0"/>
        <v>0</v>
      </c>
    </row>
    <row r="41" spans="1:7">
      <c r="A41" s="792">
        <v>36870</v>
      </c>
      <c r="B41" s="793" t="s">
        <v>12700</v>
      </c>
      <c r="C41" s="794" t="s">
        <v>12717</v>
      </c>
      <c r="D41" s="795"/>
      <c r="E41" s="796">
        <v>56.3</v>
      </c>
      <c r="F41" s="797" t="s">
        <v>9</v>
      </c>
      <c r="G41" s="798">
        <f t="shared" si="0"/>
        <v>0</v>
      </c>
    </row>
    <row r="42" spans="1:7">
      <c r="A42" s="792">
        <v>36872</v>
      </c>
      <c r="B42" s="793" t="s">
        <v>12702</v>
      </c>
      <c r="C42" s="794" t="s">
        <v>12718</v>
      </c>
      <c r="D42" s="795"/>
      <c r="E42" s="796">
        <v>33.799999999999997</v>
      </c>
      <c r="F42" s="797" t="s">
        <v>9</v>
      </c>
      <c r="G42" s="798">
        <f t="shared" si="0"/>
        <v>0</v>
      </c>
    </row>
    <row r="43" spans="1:7">
      <c r="A43" s="1080">
        <v>36881</v>
      </c>
      <c r="B43" s="762" t="s">
        <v>12709</v>
      </c>
      <c r="C43" s="1081" t="s">
        <v>12719</v>
      </c>
      <c r="D43" s="914"/>
      <c r="E43" s="1082">
        <v>46.5</v>
      </c>
      <c r="F43" s="762" t="s">
        <v>9</v>
      </c>
      <c r="G43" s="1083">
        <f t="shared" si="0"/>
        <v>0</v>
      </c>
    </row>
    <row r="44" spans="1:7">
      <c r="A44" s="1484">
        <v>36892</v>
      </c>
      <c r="B44" s="1485"/>
      <c r="C44" s="1486" t="s">
        <v>12720</v>
      </c>
      <c r="D44" s="1487"/>
      <c r="E44" s="1488">
        <f>SUM(E45:E48)</f>
        <v>319.60000000000002</v>
      </c>
      <c r="F44" s="1489"/>
      <c r="G44" s="1490"/>
    </row>
    <row r="45" spans="1:7">
      <c r="A45" s="430">
        <v>36895</v>
      </c>
      <c r="B45" s="76" t="s">
        <v>12712</v>
      </c>
      <c r="C45" s="77" t="s">
        <v>12721</v>
      </c>
      <c r="D45" s="333"/>
      <c r="E45" s="49">
        <v>9.9700000000000006</v>
      </c>
      <c r="F45" s="76" t="s">
        <v>9</v>
      </c>
      <c r="G45" s="49">
        <f>IF(F45="X",0,E45)</f>
        <v>0</v>
      </c>
    </row>
    <row r="46" spans="1:7">
      <c r="A46" s="792">
        <v>36896</v>
      </c>
      <c r="B46" s="793" t="s">
        <v>12705</v>
      </c>
      <c r="C46" s="794" t="s">
        <v>12722</v>
      </c>
      <c r="D46" s="795"/>
      <c r="E46" s="796">
        <v>58.13</v>
      </c>
      <c r="F46" s="797" t="s">
        <v>9</v>
      </c>
      <c r="G46" s="798">
        <f>IF(F46="X",0,E46)</f>
        <v>0</v>
      </c>
    </row>
    <row r="47" spans="1:7">
      <c r="A47" s="792">
        <v>36899</v>
      </c>
      <c r="B47" s="793" t="s">
        <v>12714</v>
      </c>
      <c r="C47" s="794" t="s">
        <v>12723</v>
      </c>
      <c r="D47" s="795"/>
      <c r="E47" s="796">
        <v>205</v>
      </c>
      <c r="F47" s="797" t="s">
        <v>9</v>
      </c>
      <c r="G47" s="798">
        <f>IF(F47="X",0,E47)</f>
        <v>0</v>
      </c>
    </row>
    <row r="48" spans="1:7">
      <c r="A48" s="430">
        <v>36912</v>
      </c>
      <c r="B48" s="76" t="s">
        <v>12709</v>
      </c>
      <c r="C48" s="77" t="s">
        <v>12724</v>
      </c>
      <c r="D48" s="333"/>
      <c r="E48" s="49">
        <v>46.5</v>
      </c>
      <c r="F48" s="76" t="s">
        <v>9</v>
      </c>
      <c r="G48" s="49">
        <f>IF(F48="X",0,E48)</f>
        <v>0</v>
      </c>
    </row>
    <row r="49" spans="1:7">
      <c r="A49" s="1484">
        <v>36923</v>
      </c>
      <c r="B49" s="1485"/>
      <c r="C49" s="1486" t="s">
        <v>12725</v>
      </c>
      <c r="D49" s="1487"/>
      <c r="E49" s="1488">
        <f>SUM(E50:E51)</f>
        <v>56.47</v>
      </c>
      <c r="F49" s="1489"/>
      <c r="G49" s="1490"/>
    </row>
    <row r="50" spans="1:7">
      <c r="A50" s="792">
        <v>36926</v>
      </c>
      <c r="B50" s="793" t="s">
        <v>12712</v>
      </c>
      <c r="C50" s="794" t="s">
        <v>12726</v>
      </c>
      <c r="D50" s="795"/>
      <c r="E50" s="796">
        <v>9.9700000000000006</v>
      </c>
      <c r="F50" s="797" t="s">
        <v>9</v>
      </c>
      <c r="G50" s="798">
        <f>IF(F50="X",0,E50)</f>
        <v>0</v>
      </c>
    </row>
    <row r="51" spans="1:7">
      <c r="A51" s="429">
        <v>36943</v>
      </c>
      <c r="B51" s="80" t="s">
        <v>12709</v>
      </c>
      <c r="C51" s="81" t="s">
        <v>12727</v>
      </c>
      <c r="D51" s="409"/>
      <c r="E51" s="58">
        <v>46.5</v>
      </c>
      <c r="F51" s="80" t="s">
        <v>9</v>
      </c>
      <c r="G51" s="58">
        <f>IF(F51="X",0,E51)</f>
        <v>0</v>
      </c>
    </row>
    <row r="52" spans="1:7">
      <c r="A52" s="1484">
        <v>36951</v>
      </c>
      <c r="B52" s="1485"/>
      <c r="C52" s="1486" t="s">
        <v>12728</v>
      </c>
      <c r="D52" s="1487"/>
      <c r="E52" s="1488">
        <f>SUM(E53:E54)</f>
        <v>69.8</v>
      </c>
      <c r="F52" s="1489"/>
      <c r="G52" s="1490"/>
    </row>
    <row r="53" spans="1:7">
      <c r="A53" s="430">
        <v>36957</v>
      </c>
      <c r="B53" s="76" t="s">
        <v>12729</v>
      </c>
      <c r="C53" s="77" t="s">
        <v>12730</v>
      </c>
      <c r="D53" s="333"/>
      <c r="E53" s="49">
        <v>23.3</v>
      </c>
      <c r="F53" s="76" t="s">
        <v>9</v>
      </c>
      <c r="G53" s="49">
        <f>IF(F53="X",0,E53)</f>
        <v>0</v>
      </c>
    </row>
    <row r="54" spans="1:7">
      <c r="A54" s="430">
        <v>36971</v>
      </c>
      <c r="B54" s="76" t="s">
        <v>12709</v>
      </c>
      <c r="C54" s="77" t="s">
        <v>12731</v>
      </c>
      <c r="D54" s="333"/>
      <c r="E54" s="49">
        <v>46.5</v>
      </c>
      <c r="F54" s="76" t="s">
        <v>9</v>
      </c>
      <c r="G54" s="49">
        <f>IF(F54="X",0,E54)</f>
        <v>0</v>
      </c>
    </row>
    <row r="55" spans="1:7">
      <c r="A55" s="1484">
        <v>36982</v>
      </c>
      <c r="B55" s="1485"/>
      <c r="C55" s="1486" t="s">
        <v>12732</v>
      </c>
      <c r="D55" s="1487"/>
      <c r="E55" s="1488">
        <f>SUM(E56:E58)</f>
        <v>128.13999999999999</v>
      </c>
      <c r="F55" s="1489"/>
      <c r="G55" s="1490"/>
    </row>
    <row r="56" spans="1:7">
      <c r="A56" s="430">
        <v>36988</v>
      </c>
      <c r="B56" s="76" t="s">
        <v>12729</v>
      </c>
      <c r="C56" s="77" t="s">
        <v>12733</v>
      </c>
      <c r="D56" s="333"/>
      <c r="E56" s="49">
        <v>23.3</v>
      </c>
      <c r="F56" s="76" t="s">
        <v>9</v>
      </c>
      <c r="G56" s="49">
        <f>IF(F56="X",0,E56)</f>
        <v>0</v>
      </c>
    </row>
    <row r="57" spans="1:7">
      <c r="A57" s="792">
        <v>37002</v>
      </c>
      <c r="B57" s="793" t="s">
        <v>12709</v>
      </c>
      <c r="C57" s="794" t="s">
        <v>12734</v>
      </c>
      <c r="D57" s="795"/>
      <c r="E57" s="796">
        <v>46.5</v>
      </c>
      <c r="F57" s="797" t="s">
        <v>9</v>
      </c>
      <c r="G57" s="798">
        <f>IF(F57="X",0,E57)</f>
        <v>0</v>
      </c>
    </row>
    <row r="58" spans="1:7">
      <c r="A58" s="429">
        <v>37004</v>
      </c>
      <c r="B58" s="80" t="s">
        <v>12735</v>
      </c>
      <c r="C58" s="81" t="s">
        <v>12736</v>
      </c>
      <c r="D58" s="409"/>
      <c r="E58" s="58">
        <v>58.34</v>
      </c>
      <c r="F58" s="80" t="s">
        <v>9</v>
      </c>
      <c r="G58" s="58">
        <f>IF(F58="X",0,E58)</f>
        <v>0</v>
      </c>
    </row>
    <row r="59" spans="1:7">
      <c r="A59" s="1484">
        <v>37012</v>
      </c>
      <c r="B59" s="1485"/>
      <c r="C59" s="1486" t="s">
        <v>12737</v>
      </c>
      <c r="D59" s="1487"/>
      <c r="E59" s="1488">
        <f>SUM(E60:E61)</f>
        <v>81.63</v>
      </c>
      <c r="F59" s="1489"/>
      <c r="G59" s="1490"/>
    </row>
    <row r="60" spans="1:7">
      <c r="A60" s="792">
        <v>37018</v>
      </c>
      <c r="B60" s="793" t="s">
        <v>12729</v>
      </c>
      <c r="C60" s="794" t="s">
        <v>12738</v>
      </c>
      <c r="D60" s="795"/>
      <c r="E60" s="796">
        <v>23.3</v>
      </c>
      <c r="F60" s="797" t="s">
        <v>9</v>
      </c>
      <c r="G60" s="798">
        <f>IF(F60="X",0,E60)</f>
        <v>0</v>
      </c>
    </row>
    <row r="61" spans="1:7">
      <c r="A61" s="430">
        <v>37034</v>
      </c>
      <c r="B61" s="76" t="s">
        <v>12735</v>
      </c>
      <c r="C61" s="77" t="s">
        <v>12739</v>
      </c>
      <c r="D61" s="333"/>
      <c r="E61" s="49">
        <v>58.33</v>
      </c>
      <c r="F61" s="76" t="s">
        <v>9</v>
      </c>
      <c r="G61" s="49">
        <f>IF(F61="X",0,E61)</f>
        <v>0</v>
      </c>
    </row>
    <row r="62" spans="1:7">
      <c r="A62" s="1484">
        <v>37043</v>
      </c>
      <c r="B62" s="1485"/>
      <c r="C62" s="1486" t="s">
        <v>12740</v>
      </c>
      <c r="D62" s="1487"/>
      <c r="E62" s="1488">
        <f>SUM(E63:E65)</f>
        <v>247.78999999999996</v>
      </c>
      <c r="F62" s="1489"/>
      <c r="G62" s="1490"/>
    </row>
    <row r="63" spans="1:7">
      <c r="A63" s="777">
        <v>37046</v>
      </c>
      <c r="B63" s="76" t="s">
        <v>12741</v>
      </c>
      <c r="C63" s="317" t="s">
        <v>12742</v>
      </c>
      <c r="D63" s="432"/>
      <c r="E63" s="98">
        <v>139.6</v>
      </c>
      <c r="F63" s="76" t="s">
        <v>9</v>
      </c>
      <c r="G63" s="778">
        <f>IF(F63="X",0,E63)</f>
        <v>0</v>
      </c>
    </row>
    <row r="64" spans="1:7">
      <c r="A64" s="777">
        <v>37051</v>
      </c>
      <c r="B64" s="76" t="s">
        <v>2625</v>
      </c>
      <c r="C64" s="317" t="s">
        <v>12706</v>
      </c>
      <c r="D64" s="432"/>
      <c r="E64" s="49">
        <v>49.86</v>
      </c>
      <c r="F64" s="76" t="s">
        <v>9</v>
      </c>
      <c r="G64" s="778">
        <f>IF(F64="X",0,E64)</f>
        <v>0</v>
      </c>
    </row>
    <row r="65" spans="1:7">
      <c r="A65" s="792">
        <v>37065</v>
      </c>
      <c r="B65" s="793" t="s">
        <v>12735</v>
      </c>
      <c r="C65" s="794" t="s">
        <v>12743</v>
      </c>
      <c r="D65" s="795"/>
      <c r="E65" s="796">
        <v>58.33</v>
      </c>
      <c r="F65" s="797" t="s">
        <v>9</v>
      </c>
      <c r="G65" s="798">
        <f>IF(F65="X",0,E65)</f>
        <v>0</v>
      </c>
    </row>
    <row r="66" spans="1:7">
      <c r="A66" s="1484">
        <v>37073</v>
      </c>
      <c r="B66" s="1485"/>
      <c r="C66" s="1486" t="s">
        <v>12744</v>
      </c>
      <c r="D66" s="1487"/>
      <c r="E66" s="1488">
        <f>SUM(E67:E69)</f>
        <v>242.95999999999998</v>
      </c>
      <c r="F66" s="1489"/>
      <c r="G66" s="1490"/>
    </row>
    <row r="67" spans="1:7">
      <c r="A67" s="792">
        <v>37076</v>
      </c>
      <c r="B67" s="793" t="s">
        <v>12741</v>
      </c>
      <c r="C67" s="794" t="s">
        <v>12745</v>
      </c>
      <c r="D67" s="795"/>
      <c r="E67" s="796">
        <v>139.6</v>
      </c>
      <c r="F67" s="797" t="s">
        <v>9</v>
      </c>
      <c r="G67" s="798">
        <f>IF(F67="X",0,E67)</f>
        <v>0</v>
      </c>
    </row>
    <row r="68" spans="1:7">
      <c r="A68" s="430">
        <v>37081</v>
      </c>
      <c r="B68" s="76" t="s">
        <v>2625</v>
      </c>
      <c r="C68" s="77" t="s">
        <v>12716</v>
      </c>
      <c r="D68" s="333"/>
      <c r="E68" s="49">
        <v>49.86</v>
      </c>
      <c r="F68" s="76" t="s">
        <v>9</v>
      </c>
      <c r="G68" s="49">
        <f>IF(F68="X",0,E68)</f>
        <v>0</v>
      </c>
    </row>
    <row r="69" spans="1:7">
      <c r="A69" s="430">
        <v>37101</v>
      </c>
      <c r="B69" s="76" t="s">
        <v>12746</v>
      </c>
      <c r="C69" s="77" t="s">
        <v>12747</v>
      </c>
      <c r="D69" s="333"/>
      <c r="E69" s="49">
        <v>53.5</v>
      </c>
      <c r="F69" s="76" t="s">
        <v>9</v>
      </c>
      <c r="G69" s="49">
        <f>IF(F69="X",0,E69)</f>
        <v>0</v>
      </c>
    </row>
    <row r="70" spans="1:7">
      <c r="A70" s="1484">
        <v>37104</v>
      </c>
      <c r="B70" s="1485"/>
      <c r="C70" s="1486" t="s">
        <v>12748</v>
      </c>
      <c r="D70" s="1487"/>
      <c r="E70" s="1488">
        <f>SUM(E71:E73)</f>
        <v>153.46</v>
      </c>
      <c r="F70" s="1489"/>
      <c r="G70" s="1490"/>
    </row>
    <row r="71" spans="1:7">
      <c r="A71" s="792">
        <v>37112</v>
      </c>
      <c r="B71" s="793" t="s">
        <v>2625</v>
      </c>
      <c r="C71" s="794" t="s">
        <v>12722</v>
      </c>
      <c r="D71" s="795"/>
      <c r="E71" s="796">
        <v>49.86</v>
      </c>
      <c r="F71" s="797" t="s">
        <v>9</v>
      </c>
      <c r="G71" s="798">
        <f>IF(F71="X",0,E71)</f>
        <v>0</v>
      </c>
    </row>
    <row r="72" spans="1:7">
      <c r="A72" s="430">
        <v>37117</v>
      </c>
      <c r="B72" s="76" t="s">
        <v>12749</v>
      </c>
      <c r="C72" s="77" t="s">
        <v>12750</v>
      </c>
      <c r="D72" s="333"/>
      <c r="E72" s="49">
        <v>50</v>
      </c>
      <c r="F72" s="76" t="s">
        <v>9</v>
      </c>
      <c r="G72" s="49">
        <f>IF(F72="X",0,E72)</f>
        <v>0</v>
      </c>
    </row>
    <row r="73" spans="1:7">
      <c r="A73" s="429">
        <v>37132</v>
      </c>
      <c r="B73" s="80" t="s">
        <v>12746</v>
      </c>
      <c r="C73" s="81" t="s">
        <v>12751</v>
      </c>
      <c r="D73" s="409"/>
      <c r="E73" s="58">
        <v>53.6</v>
      </c>
      <c r="F73" s="80" t="s">
        <v>9</v>
      </c>
      <c r="G73" s="58">
        <f>IF(F73="X",0,E73)</f>
        <v>0</v>
      </c>
    </row>
    <row r="74" spans="1:7">
      <c r="A74" s="1484">
        <v>37135</v>
      </c>
      <c r="B74" s="1485"/>
      <c r="C74" s="1486" t="s">
        <v>12752</v>
      </c>
      <c r="D74" s="1487"/>
      <c r="E74" s="1488">
        <f>SUM(E75:E76)</f>
        <v>103.5</v>
      </c>
      <c r="F74" s="1489"/>
      <c r="G74" s="1490"/>
    </row>
    <row r="75" spans="1:7">
      <c r="A75" s="430">
        <v>37148</v>
      </c>
      <c r="B75" s="76" t="s">
        <v>12749</v>
      </c>
      <c r="C75" s="77" t="s">
        <v>12753</v>
      </c>
      <c r="D75" s="333"/>
      <c r="E75" s="49">
        <v>50</v>
      </c>
      <c r="F75" s="76" t="s">
        <v>9</v>
      </c>
      <c r="G75" s="49">
        <f>IF(F75="X",0,E75)</f>
        <v>0</v>
      </c>
    </row>
    <row r="76" spans="1:7">
      <c r="A76" s="792">
        <v>37163</v>
      </c>
      <c r="B76" s="793" t="s">
        <v>12746</v>
      </c>
      <c r="C76" s="794" t="s">
        <v>12754</v>
      </c>
      <c r="D76" s="795"/>
      <c r="E76" s="796">
        <v>53.5</v>
      </c>
      <c r="F76" s="797" t="s">
        <v>9</v>
      </c>
      <c r="G76" s="798">
        <f>IF(F76="X",0,E76)</f>
        <v>0</v>
      </c>
    </row>
    <row r="77" spans="1:7">
      <c r="A77" s="1484">
        <v>37165</v>
      </c>
      <c r="B77" s="1485"/>
      <c r="C77" s="1486" t="s">
        <v>12755</v>
      </c>
      <c r="D77" s="1487"/>
      <c r="E77" s="1488">
        <f>SUM(E78)</f>
        <v>50</v>
      </c>
      <c r="F77" s="1489"/>
      <c r="G77" s="1490"/>
    </row>
    <row r="78" spans="1:7">
      <c r="A78" s="429">
        <v>37178</v>
      </c>
      <c r="B78" s="80" t="s">
        <v>12749</v>
      </c>
      <c r="C78" s="81" t="s">
        <v>12756</v>
      </c>
      <c r="D78" s="409"/>
      <c r="E78" s="58">
        <v>50</v>
      </c>
      <c r="F78" s="80" t="s">
        <v>9</v>
      </c>
      <c r="G78" s="58">
        <f>IF(F78="X",0,E78)</f>
        <v>0</v>
      </c>
    </row>
    <row r="79" spans="1:7">
      <c r="A79" s="1484">
        <v>37196</v>
      </c>
      <c r="B79" s="1485"/>
      <c r="C79" s="1486" t="s">
        <v>12757</v>
      </c>
      <c r="D79" s="1487"/>
      <c r="E79" s="1488">
        <f>SUM(E80:E81)</f>
        <v>149.51999999999998</v>
      </c>
      <c r="F79" s="1489"/>
      <c r="G79" s="1490"/>
    </row>
    <row r="80" spans="1:7">
      <c r="A80" s="430">
        <v>37210</v>
      </c>
      <c r="B80" s="76" t="s">
        <v>12749</v>
      </c>
      <c r="C80" s="77" t="s">
        <v>12758</v>
      </c>
      <c r="D80" s="333"/>
      <c r="E80" s="49">
        <v>50</v>
      </c>
      <c r="F80" s="76" t="s">
        <v>9</v>
      </c>
      <c r="G80" s="49">
        <f>IF(F80="X",0,E80)</f>
        <v>0</v>
      </c>
    </row>
    <row r="81" spans="1:7">
      <c r="A81" s="430">
        <v>37212</v>
      </c>
      <c r="B81" s="76" t="s">
        <v>12759</v>
      </c>
      <c r="C81" s="77" t="s">
        <v>12760</v>
      </c>
      <c r="D81" s="333"/>
      <c r="E81" s="49">
        <v>99.52</v>
      </c>
      <c r="F81" s="76" t="s">
        <v>9</v>
      </c>
      <c r="G81" s="49">
        <f>IF(F81="X",0,E81)</f>
        <v>0</v>
      </c>
    </row>
    <row r="82" spans="1:7">
      <c r="A82" s="1484">
        <v>37226</v>
      </c>
      <c r="B82" s="1485"/>
      <c r="C82" s="1486" t="s">
        <v>12761</v>
      </c>
      <c r="D82" s="1487"/>
      <c r="E82" s="1488">
        <f>SUM(E83:E84)</f>
        <v>149.51999999999998</v>
      </c>
      <c r="F82" s="1489"/>
      <c r="G82" s="1490"/>
    </row>
    <row r="83" spans="1:7">
      <c r="A83" s="430">
        <v>37239</v>
      </c>
      <c r="B83" s="76" t="s">
        <v>12749</v>
      </c>
      <c r="C83" s="77" t="s">
        <v>12762</v>
      </c>
      <c r="D83" s="333"/>
      <c r="E83" s="49">
        <v>50</v>
      </c>
      <c r="F83" s="76" t="s">
        <v>9</v>
      </c>
      <c r="G83" s="49">
        <f>IF(F83="X",0,E83)</f>
        <v>0</v>
      </c>
    </row>
    <row r="84" spans="1:7">
      <c r="A84" s="429">
        <v>37242</v>
      </c>
      <c r="B84" s="80" t="s">
        <v>12759</v>
      </c>
      <c r="C84" s="81" t="s">
        <v>12763</v>
      </c>
      <c r="D84" s="409"/>
      <c r="E84" s="58">
        <v>99.52</v>
      </c>
      <c r="F84" s="80" t="s">
        <v>9</v>
      </c>
      <c r="G84" s="58">
        <f>IF(F84="X",0,E84)</f>
        <v>0</v>
      </c>
    </row>
    <row r="85" spans="1:7">
      <c r="A85" s="1484">
        <v>37257</v>
      </c>
      <c r="B85" s="1485"/>
      <c r="C85" s="1486" t="s">
        <v>12764</v>
      </c>
      <c r="D85" s="1487"/>
      <c r="E85" s="1488">
        <f>SUM(E86:E87)</f>
        <v>149.53</v>
      </c>
      <c r="F85" s="1489"/>
      <c r="G85" s="1490"/>
    </row>
    <row r="86" spans="1:7">
      <c r="A86" s="792">
        <v>37270</v>
      </c>
      <c r="B86" s="793" t="s">
        <v>12765</v>
      </c>
      <c r="C86" s="794" t="s">
        <v>12766</v>
      </c>
      <c r="D86" s="795"/>
      <c r="E86" s="796">
        <v>50</v>
      </c>
      <c r="F86" s="797" t="s">
        <v>9</v>
      </c>
      <c r="G86" s="798">
        <f>IF(F86="X",0,E86)</f>
        <v>0</v>
      </c>
    </row>
    <row r="87" spans="1:7">
      <c r="A87" s="430">
        <v>37273</v>
      </c>
      <c r="B87" s="76" t="s">
        <v>12759</v>
      </c>
      <c r="C87" s="77" t="s">
        <v>12767</v>
      </c>
      <c r="D87" s="333"/>
      <c r="E87" s="49">
        <v>99.53</v>
      </c>
      <c r="F87" s="76" t="s">
        <v>9</v>
      </c>
      <c r="G87" s="49">
        <f>IF(F87="X",0,E87)</f>
        <v>0</v>
      </c>
    </row>
    <row r="88" spans="1:7">
      <c r="A88" s="1484">
        <v>37288</v>
      </c>
      <c r="B88" s="1485"/>
      <c r="C88" s="1486" t="s">
        <v>12768</v>
      </c>
      <c r="D88" s="1487"/>
      <c r="E88" s="1488">
        <f>SUM(E89:E90)</f>
        <v>172.01</v>
      </c>
      <c r="F88" s="1489"/>
      <c r="G88" s="1490"/>
    </row>
    <row r="89" spans="1:7">
      <c r="A89" s="430">
        <v>37302</v>
      </c>
      <c r="B89" s="76" t="s">
        <v>12769</v>
      </c>
      <c r="C89" s="77" t="s">
        <v>12770</v>
      </c>
      <c r="D89" s="333"/>
      <c r="E89" s="49">
        <v>72.48</v>
      </c>
      <c r="F89" s="76" t="s">
        <v>9</v>
      </c>
      <c r="G89" s="49">
        <f>IF(F89="X",0,E89)</f>
        <v>0</v>
      </c>
    </row>
    <row r="90" spans="1:7">
      <c r="A90" s="430">
        <v>37304</v>
      </c>
      <c r="B90" s="76" t="s">
        <v>12759</v>
      </c>
      <c r="C90" s="77" t="s">
        <v>12771</v>
      </c>
      <c r="D90" s="333"/>
      <c r="E90" s="49">
        <v>99.53</v>
      </c>
      <c r="F90" s="76" t="s">
        <v>9</v>
      </c>
      <c r="G90" s="49">
        <f>IF(F90="X",0,E90)</f>
        <v>0</v>
      </c>
    </row>
    <row r="91" spans="1:7">
      <c r="A91" s="1484">
        <v>37316</v>
      </c>
      <c r="B91" s="1485"/>
      <c r="C91" s="1486" t="s">
        <v>12772</v>
      </c>
      <c r="D91" s="1487"/>
      <c r="E91" s="1488">
        <f>SUM(E92:E95)</f>
        <v>271.66000000000003</v>
      </c>
      <c r="F91" s="1489"/>
      <c r="G91" s="1490"/>
    </row>
    <row r="92" spans="1:7">
      <c r="A92" s="430">
        <v>37330</v>
      </c>
      <c r="B92" s="76" t="s">
        <v>12769</v>
      </c>
      <c r="C92" s="77" t="s">
        <v>12773</v>
      </c>
      <c r="D92" s="333"/>
      <c r="E92" s="49">
        <v>72.48</v>
      </c>
      <c r="F92" s="76" t="s">
        <v>9</v>
      </c>
      <c r="G92" s="49">
        <f>IF(F92="X",0,E92)</f>
        <v>0</v>
      </c>
    </row>
    <row r="93" spans="1:7">
      <c r="A93" s="430">
        <v>37330</v>
      </c>
      <c r="B93" s="76" t="s">
        <v>12774</v>
      </c>
      <c r="C93" s="77" t="s">
        <v>12775</v>
      </c>
      <c r="D93" s="333"/>
      <c r="E93" s="49">
        <v>33.630000000000003</v>
      </c>
      <c r="F93" s="76" t="s">
        <v>9</v>
      </c>
      <c r="G93" s="49">
        <f>IF(F93="X",0,E93)</f>
        <v>0</v>
      </c>
    </row>
    <row r="94" spans="1:7">
      <c r="A94" s="430">
        <v>37332</v>
      </c>
      <c r="B94" s="76" t="s">
        <v>12759</v>
      </c>
      <c r="C94" s="77" t="s">
        <v>12776</v>
      </c>
      <c r="D94" s="333"/>
      <c r="E94" s="49">
        <v>99.55</v>
      </c>
      <c r="F94" s="76" t="s">
        <v>9</v>
      </c>
      <c r="G94" s="49">
        <f>IF(F94="X",0,E94)</f>
        <v>0</v>
      </c>
    </row>
    <row r="95" spans="1:7">
      <c r="A95" s="429">
        <v>37337</v>
      </c>
      <c r="B95" s="80" t="s">
        <v>12777</v>
      </c>
      <c r="C95" s="81" t="s">
        <v>12778</v>
      </c>
      <c r="D95" s="409"/>
      <c r="E95" s="58">
        <v>66</v>
      </c>
      <c r="F95" s="80" t="s">
        <v>9</v>
      </c>
      <c r="G95" s="58">
        <f>IF(F95="X",0,E95)</f>
        <v>0</v>
      </c>
    </row>
    <row r="96" spans="1:7">
      <c r="A96" s="1484">
        <v>37347</v>
      </c>
      <c r="B96" s="1485"/>
      <c r="C96" s="1486" t="s">
        <v>12779</v>
      </c>
      <c r="D96" s="1487"/>
      <c r="E96" s="1488">
        <f>SUM(E97:E101)</f>
        <v>281.94</v>
      </c>
      <c r="F96" s="1489"/>
      <c r="G96" s="1490"/>
    </row>
    <row r="97" spans="1:7">
      <c r="A97" s="430">
        <v>37361</v>
      </c>
      <c r="B97" s="76" t="s">
        <v>12769</v>
      </c>
      <c r="C97" s="77" t="s">
        <v>12780</v>
      </c>
      <c r="D97" s="333"/>
      <c r="E97" s="49">
        <v>72.48</v>
      </c>
      <c r="F97" s="76" t="s">
        <v>9</v>
      </c>
      <c r="G97" s="49">
        <f>IF(F97="X",0,E97)</f>
        <v>0</v>
      </c>
    </row>
    <row r="98" spans="1:7">
      <c r="A98" s="430">
        <v>37361</v>
      </c>
      <c r="B98" s="76" t="s">
        <v>12774</v>
      </c>
      <c r="C98" s="77" t="s">
        <v>12781</v>
      </c>
      <c r="D98" s="333"/>
      <c r="E98" s="49">
        <v>33.630000000000003</v>
      </c>
      <c r="F98" s="76" t="s">
        <v>9</v>
      </c>
      <c r="G98" s="49">
        <f>IF(F98="X",0,E98)</f>
        <v>0</v>
      </c>
    </row>
    <row r="99" spans="1:7">
      <c r="A99" s="792">
        <v>37363</v>
      </c>
      <c r="B99" s="793" t="s">
        <v>12759</v>
      </c>
      <c r="C99" s="794" t="s">
        <v>12782</v>
      </c>
      <c r="D99" s="795"/>
      <c r="E99" s="796">
        <v>99.53</v>
      </c>
      <c r="F99" s="797" t="s">
        <v>9</v>
      </c>
      <c r="G99" s="798">
        <f>IF(F99="X",0,E99)</f>
        <v>0</v>
      </c>
    </row>
    <row r="100" spans="1:7">
      <c r="A100" s="430">
        <v>37368</v>
      </c>
      <c r="B100" s="76" t="s">
        <v>12777</v>
      </c>
      <c r="C100" s="77" t="s">
        <v>12783</v>
      </c>
      <c r="D100" s="333"/>
      <c r="E100" s="49">
        <v>66</v>
      </c>
      <c r="F100" s="76" t="s">
        <v>9</v>
      </c>
      <c r="G100" s="49">
        <f>IF(F100="X",0,E100)</f>
        <v>0</v>
      </c>
    </row>
    <row r="101" spans="1:7">
      <c r="A101" s="429">
        <v>37376</v>
      </c>
      <c r="B101" s="80" t="s">
        <v>12784</v>
      </c>
      <c r="C101" s="81" t="s">
        <v>12785</v>
      </c>
      <c r="D101" s="409"/>
      <c r="E101" s="58">
        <v>10.3</v>
      </c>
      <c r="F101" s="80" t="s">
        <v>9</v>
      </c>
      <c r="G101" s="58">
        <f>IF(F101="X",0,E101)</f>
        <v>0</v>
      </c>
    </row>
    <row r="102" spans="1:7">
      <c r="A102" s="1484">
        <v>37377</v>
      </c>
      <c r="B102" s="1485"/>
      <c r="C102" s="1486" t="s">
        <v>12786</v>
      </c>
      <c r="D102" s="1487"/>
      <c r="E102" s="1488">
        <f>SUM(E103:E105)</f>
        <v>172.11</v>
      </c>
      <c r="F102" s="1489"/>
      <c r="G102" s="1490"/>
    </row>
    <row r="103" spans="1:7">
      <c r="A103" s="430">
        <v>37391</v>
      </c>
      <c r="B103" s="76" t="s">
        <v>12769</v>
      </c>
      <c r="C103" s="77" t="s">
        <v>12787</v>
      </c>
      <c r="D103" s="333"/>
      <c r="E103" s="49">
        <v>72.48</v>
      </c>
      <c r="F103" s="76" t="s">
        <v>9</v>
      </c>
      <c r="G103" s="49">
        <f>IF(F103="X",0,E103)</f>
        <v>0</v>
      </c>
    </row>
    <row r="104" spans="1:7">
      <c r="A104" s="430">
        <v>37391</v>
      </c>
      <c r="B104" s="76" t="s">
        <v>12774</v>
      </c>
      <c r="C104" s="77" t="s">
        <v>12788</v>
      </c>
      <c r="D104" s="333"/>
      <c r="E104" s="49">
        <v>33.630000000000003</v>
      </c>
      <c r="F104" s="76" t="s">
        <v>9</v>
      </c>
      <c r="G104" s="49">
        <f>IF(F104="X",0,E104)</f>
        <v>0</v>
      </c>
    </row>
    <row r="105" spans="1:7">
      <c r="A105" s="792">
        <v>37398</v>
      </c>
      <c r="B105" s="793" t="s">
        <v>12777</v>
      </c>
      <c r="C105" s="794" t="s">
        <v>12789</v>
      </c>
      <c r="D105" s="795"/>
      <c r="E105" s="796">
        <v>66</v>
      </c>
      <c r="F105" s="797" t="s">
        <v>9</v>
      </c>
      <c r="G105" s="798">
        <f>IF(F105="X",0,E105)</f>
        <v>0</v>
      </c>
    </row>
    <row r="106" spans="1:7">
      <c r="A106" s="1484">
        <v>37408</v>
      </c>
      <c r="B106" s="1485"/>
      <c r="C106" s="1486" t="s">
        <v>12790</v>
      </c>
      <c r="D106" s="1487"/>
      <c r="E106" s="1488">
        <f>SUM(E107:E110)</f>
        <v>248.01</v>
      </c>
      <c r="F106" s="1489"/>
      <c r="G106" s="1490"/>
    </row>
    <row r="107" spans="1:7">
      <c r="A107" s="430">
        <v>37415</v>
      </c>
      <c r="B107" s="76" t="s">
        <v>12791</v>
      </c>
      <c r="C107" s="77" t="s">
        <v>12792</v>
      </c>
      <c r="D107" s="333"/>
      <c r="E107" s="49">
        <v>49.9</v>
      </c>
      <c r="F107" s="76" t="s">
        <v>9</v>
      </c>
      <c r="G107" s="49">
        <f>IF(F107="X",0,E107)</f>
        <v>0</v>
      </c>
    </row>
    <row r="108" spans="1:7">
      <c r="A108" s="430">
        <v>37422</v>
      </c>
      <c r="B108" s="76" t="s">
        <v>12774</v>
      </c>
      <c r="C108" s="77" t="s">
        <v>12793</v>
      </c>
      <c r="D108" s="333"/>
      <c r="E108" s="49">
        <v>33.630000000000003</v>
      </c>
      <c r="F108" s="76" t="s">
        <v>9</v>
      </c>
      <c r="G108" s="49">
        <f>IF(F108="X",0,E108)</f>
        <v>0</v>
      </c>
    </row>
    <row r="109" spans="1:7">
      <c r="A109" s="430">
        <v>37424</v>
      </c>
      <c r="B109" s="76" t="s">
        <v>12769</v>
      </c>
      <c r="C109" s="77" t="s">
        <v>12794</v>
      </c>
      <c r="D109" s="333"/>
      <c r="E109" s="49">
        <v>72.48</v>
      </c>
      <c r="F109" s="76" t="s">
        <v>9</v>
      </c>
      <c r="G109" s="49">
        <f>IF(F109="X",0,E109)</f>
        <v>0</v>
      </c>
    </row>
    <row r="110" spans="1:7">
      <c r="A110" s="430">
        <v>37427</v>
      </c>
      <c r="B110" s="76" t="s">
        <v>12795</v>
      </c>
      <c r="C110" s="77" t="s">
        <v>12796</v>
      </c>
      <c r="D110" s="333"/>
      <c r="E110" s="49">
        <v>92</v>
      </c>
      <c r="F110" s="76" t="s">
        <v>9</v>
      </c>
      <c r="G110" s="49">
        <f>IF(F110="X",0,E110)</f>
        <v>0</v>
      </c>
    </row>
    <row r="111" spans="1:7">
      <c r="A111" s="1484">
        <v>37438</v>
      </c>
      <c r="B111" s="1485"/>
      <c r="C111" s="1486" t="s">
        <v>12797</v>
      </c>
      <c r="D111" s="1487"/>
      <c r="E111" s="1488">
        <f>SUM(E112:E117)</f>
        <v>291.81</v>
      </c>
      <c r="F111" s="1489"/>
      <c r="G111" s="1490"/>
    </row>
    <row r="112" spans="1:7">
      <c r="A112" s="430">
        <v>37445</v>
      </c>
      <c r="B112" s="76" t="s">
        <v>12791</v>
      </c>
      <c r="C112" s="77" t="s">
        <v>12798</v>
      </c>
      <c r="D112" s="333"/>
      <c r="E112" s="49">
        <v>49.9</v>
      </c>
      <c r="F112" s="76" t="s">
        <v>9</v>
      </c>
      <c r="G112" s="49">
        <f t="shared" ref="G112:G117" si="1">IF(F112="X",0,E112)</f>
        <v>0</v>
      </c>
    </row>
    <row r="113" spans="1:7">
      <c r="A113" s="430">
        <v>37450</v>
      </c>
      <c r="B113" s="76" t="s">
        <v>12799</v>
      </c>
      <c r="C113" s="77" t="s">
        <v>12800</v>
      </c>
      <c r="D113" s="333"/>
      <c r="E113" s="49">
        <v>33.5</v>
      </c>
      <c r="F113" s="76" t="s">
        <v>9</v>
      </c>
      <c r="G113" s="49">
        <f t="shared" si="1"/>
        <v>0</v>
      </c>
    </row>
    <row r="114" spans="1:7">
      <c r="A114" s="430">
        <v>37452</v>
      </c>
      <c r="B114" s="76" t="s">
        <v>12769</v>
      </c>
      <c r="C114" s="77" t="s">
        <v>12801</v>
      </c>
      <c r="D114" s="333"/>
      <c r="E114" s="49">
        <v>72.48</v>
      </c>
      <c r="F114" s="76" t="s">
        <v>9</v>
      </c>
      <c r="G114" s="49">
        <f t="shared" si="1"/>
        <v>0</v>
      </c>
    </row>
    <row r="115" spans="1:7">
      <c r="A115" s="430">
        <v>37452</v>
      </c>
      <c r="B115" s="76" t="s">
        <v>12784</v>
      </c>
      <c r="C115" s="77" t="s">
        <v>12802</v>
      </c>
      <c r="D115" s="333"/>
      <c r="E115" s="49">
        <v>10.3</v>
      </c>
      <c r="F115" s="76" t="s">
        <v>9</v>
      </c>
      <c r="G115" s="49">
        <f t="shared" si="1"/>
        <v>0</v>
      </c>
    </row>
    <row r="116" spans="1:7">
      <c r="A116" s="430">
        <v>37452</v>
      </c>
      <c r="B116" s="76" t="s">
        <v>12774</v>
      </c>
      <c r="C116" s="77" t="s">
        <v>12803</v>
      </c>
      <c r="D116" s="333"/>
      <c r="E116" s="49">
        <v>33.630000000000003</v>
      </c>
      <c r="F116" s="76" t="s">
        <v>9</v>
      </c>
      <c r="G116" s="49">
        <f t="shared" si="1"/>
        <v>0</v>
      </c>
    </row>
    <row r="117" spans="1:7">
      <c r="A117" s="430">
        <v>37457</v>
      </c>
      <c r="B117" s="76" t="s">
        <v>12795</v>
      </c>
      <c r="C117" s="77" t="s">
        <v>12804</v>
      </c>
      <c r="D117" s="333"/>
      <c r="E117" s="49">
        <v>92</v>
      </c>
      <c r="F117" s="76" t="s">
        <v>9</v>
      </c>
      <c r="G117" s="49">
        <f t="shared" si="1"/>
        <v>0</v>
      </c>
    </row>
    <row r="118" spans="1:7">
      <c r="A118" s="1484">
        <v>37469</v>
      </c>
      <c r="B118" s="1485"/>
      <c r="C118" s="1486" t="s">
        <v>12805</v>
      </c>
      <c r="D118" s="1487"/>
      <c r="E118" s="1488">
        <f>SUM(E119:E125)</f>
        <v>317.31</v>
      </c>
      <c r="F118" s="1489"/>
      <c r="G118" s="1490"/>
    </row>
    <row r="119" spans="1:7">
      <c r="A119" s="430">
        <v>37476</v>
      </c>
      <c r="B119" s="76" t="s">
        <v>12791</v>
      </c>
      <c r="C119" s="77" t="s">
        <v>12806</v>
      </c>
      <c r="D119" s="333"/>
      <c r="E119" s="49">
        <v>49.9</v>
      </c>
      <c r="F119" s="76" t="s">
        <v>9</v>
      </c>
      <c r="G119" s="49">
        <f t="shared" ref="G119:G125" si="2">IF(F119="X",0,E119)</f>
        <v>0</v>
      </c>
    </row>
    <row r="120" spans="1:7">
      <c r="A120" s="792">
        <v>37482</v>
      </c>
      <c r="B120" s="793" t="s">
        <v>12799</v>
      </c>
      <c r="C120" s="794" t="s">
        <v>12807</v>
      </c>
      <c r="D120" s="795"/>
      <c r="E120" s="796">
        <v>33.5</v>
      </c>
      <c r="F120" s="797" t="s">
        <v>9</v>
      </c>
      <c r="G120" s="798">
        <f t="shared" si="2"/>
        <v>0</v>
      </c>
    </row>
    <row r="121" spans="1:7">
      <c r="A121" s="430">
        <v>37483</v>
      </c>
      <c r="B121" s="76" t="s">
        <v>12769</v>
      </c>
      <c r="C121" s="77" t="s">
        <v>12808</v>
      </c>
      <c r="D121" s="333"/>
      <c r="E121" s="49">
        <v>72.48</v>
      </c>
      <c r="F121" s="76" t="s">
        <v>9</v>
      </c>
      <c r="G121" s="49">
        <f t="shared" si="2"/>
        <v>0</v>
      </c>
    </row>
    <row r="122" spans="1:7">
      <c r="A122" s="430">
        <v>37483</v>
      </c>
      <c r="B122" s="76" t="s">
        <v>12784</v>
      </c>
      <c r="C122" s="77" t="s">
        <v>12809</v>
      </c>
      <c r="D122" s="333"/>
      <c r="E122" s="49">
        <v>10.3</v>
      </c>
      <c r="F122" s="76" t="s">
        <v>9</v>
      </c>
      <c r="G122" s="49">
        <f t="shared" si="2"/>
        <v>0</v>
      </c>
    </row>
    <row r="123" spans="1:7">
      <c r="A123" s="430">
        <v>37483</v>
      </c>
      <c r="B123" s="76" t="s">
        <v>12774</v>
      </c>
      <c r="C123" s="77" t="s">
        <v>12810</v>
      </c>
      <c r="D123" s="333"/>
      <c r="E123" s="49">
        <v>33.630000000000003</v>
      </c>
      <c r="F123" s="76" t="s">
        <v>9</v>
      </c>
      <c r="G123" s="49">
        <f t="shared" si="2"/>
        <v>0</v>
      </c>
    </row>
    <row r="124" spans="1:7">
      <c r="A124" s="792">
        <v>37488</v>
      </c>
      <c r="B124" s="793" t="s">
        <v>12795</v>
      </c>
      <c r="C124" s="794" t="s">
        <v>12811</v>
      </c>
      <c r="D124" s="795"/>
      <c r="E124" s="796">
        <v>92</v>
      </c>
      <c r="F124" s="797" t="s">
        <v>9</v>
      </c>
      <c r="G124" s="798">
        <f t="shared" si="2"/>
        <v>0</v>
      </c>
    </row>
    <row r="125" spans="1:7">
      <c r="A125" s="429">
        <v>37490</v>
      </c>
      <c r="B125" s="80" t="s">
        <v>12812</v>
      </c>
      <c r="C125" s="81" t="s">
        <v>12813</v>
      </c>
      <c r="D125" s="409"/>
      <c r="E125" s="58">
        <v>25.5</v>
      </c>
      <c r="F125" s="80" t="s">
        <v>9</v>
      </c>
      <c r="G125" s="49">
        <f t="shared" si="2"/>
        <v>0</v>
      </c>
    </row>
    <row r="126" spans="1:7">
      <c r="A126" s="1484">
        <v>37500</v>
      </c>
      <c r="B126" s="1485"/>
      <c r="C126" s="1486" t="s">
        <v>12814</v>
      </c>
      <c r="D126" s="1487"/>
      <c r="E126" s="1488">
        <f>SUM(E127:E132)</f>
        <v>218.17</v>
      </c>
      <c r="F126" s="1489"/>
      <c r="G126" s="1490"/>
    </row>
    <row r="127" spans="1:7">
      <c r="A127" s="430">
        <v>37507</v>
      </c>
      <c r="B127" s="76" t="s">
        <v>12791</v>
      </c>
      <c r="C127" s="77" t="s">
        <v>12815</v>
      </c>
      <c r="D127" s="333"/>
      <c r="E127" s="49">
        <v>49.9</v>
      </c>
      <c r="F127" s="76" t="s">
        <v>9</v>
      </c>
      <c r="G127" s="49">
        <f t="shared" ref="G127:G132" si="3">IF(F127="X",0,E127)</f>
        <v>0</v>
      </c>
    </row>
    <row r="128" spans="1:7">
      <c r="A128" s="430">
        <v>37514</v>
      </c>
      <c r="B128" s="76" t="s">
        <v>12816</v>
      </c>
      <c r="C128" s="77" t="s">
        <v>12817</v>
      </c>
      <c r="D128" s="333"/>
      <c r="E128" s="49">
        <v>26.36</v>
      </c>
      <c r="F128" s="76" t="s">
        <v>9</v>
      </c>
      <c r="G128" s="49">
        <f t="shared" si="3"/>
        <v>0</v>
      </c>
    </row>
    <row r="129" spans="1:7">
      <c r="A129" s="430">
        <v>37514</v>
      </c>
      <c r="B129" s="76" t="s">
        <v>12784</v>
      </c>
      <c r="C129" s="77" t="s">
        <v>12818</v>
      </c>
      <c r="D129" s="333"/>
      <c r="E129" s="49">
        <v>10.3</v>
      </c>
      <c r="F129" s="76" t="s">
        <v>9</v>
      </c>
      <c r="G129" s="49">
        <f t="shared" si="3"/>
        <v>0</v>
      </c>
    </row>
    <row r="130" spans="1:7">
      <c r="A130" s="430">
        <v>37515</v>
      </c>
      <c r="B130" s="76" t="s">
        <v>12769</v>
      </c>
      <c r="C130" s="77" t="s">
        <v>12819</v>
      </c>
      <c r="D130" s="333"/>
      <c r="E130" s="49">
        <v>72.48</v>
      </c>
      <c r="F130" s="76" t="s">
        <v>9</v>
      </c>
      <c r="G130" s="49">
        <f t="shared" si="3"/>
        <v>0</v>
      </c>
    </row>
    <row r="131" spans="1:7">
      <c r="A131" s="430">
        <v>37515</v>
      </c>
      <c r="B131" s="76" t="s">
        <v>12774</v>
      </c>
      <c r="C131" s="77" t="s">
        <v>12820</v>
      </c>
      <c r="D131" s="333"/>
      <c r="E131" s="49">
        <v>33.630000000000003</v>
      </c>
      <c r="F131" s="76" t="s">
        <v>9</v>
      </c>
      <c r="G131" s="49">
        <f t="shared" si="3"/>
        <v>0</v>
      </c>
    </row>
    <row r="132" spans="1:7">
      <c r="A132" s="429">
        <v>37521</v>
      </c>
      <c r="B132" s="80" t="s">
        <v>12812</v>
      </c>
      <c r="C132" s="81" t="s">
        <v>12821</v>
      </c>
      <c r="D132" s="409"/>
      <c r="E132" s="58">
        <v>25.5</v>
      </c>
      <c r="F132" s="80" t="s">
        <v>9</v>
      </c>
      <c r="G132" s="49">
        <f t="shared" si="3"/>
        <v>0</v>
      </c>
    </row>
    <row r="133" spans="1:7">
      <c r="A133" s="1484">
        <v>37530</v>
      </c>
      <c r="B133" s="1485"/>
      <c r="C133" s="1486" t="s">
        <v>12822</v>
      </c>
      <c r="D133" s="1487"/>
      <c r="E133" s="1488">
        <f>SUM(E134:E139)</f>
        <v>218.17000000000002</v>
      </c>
      <c r="F133" s="1489"/>
      <c r="G133" s="1490"/>
    </row>
    <row r="134" spans="1:7">
      <c r="A134" s="430">
        <v>37537</v>
      </c>
      <c r="B134" s="76" t="s">
        <v>12791</v>
      </c>
      <c r="C134" s="77" t="s">
        <v>12823</v>
      </c>
      <c r="D134" s="333"/>
      <c r="E134" s="49">
        <v>49.9</v>
      </c>
      <c r="F134" s="76" t="s">
        <v>9</v>
      </c>
      <c r="G134" s="49">
        <f t="shared" ref="G134:G139" si="4">IF(F134="X",0,E134)</f>
        <v>0</v>
      </c>
    </row>
    <row r="135" spans="1:7">
      <c r="A135" s="430">
        <v>37544</v>
      </c>
      <c r="B135" s="76" t="s">
        <v>12816</v>
      </c>
      <c r="C135" s="77" t="s">
        <v>12824</v>
      </c>
      <c r="D135" s="333"/>
      <c r="E135" s="49">
        <v>26.36</v>
      </c>
      <c r="F135" s="76" t="s">
        <v>9</v>
      </c>
      <c r="G135" s="49">
        <f t="shared" si="4"/>
        <v>0</v>
      </c>
    </row>
    <row r="136" spans="1:7">
      <c r="A136" s="430">
        <v>37544</v>
      </c>
      <c r="B136" s="76" t="s">
        <v>12769</v>
      </c>
      <c r="C136" s="77" t="s">
        <v>12825</v>
      </c>
      <c r="D136" s="333"/>
      <c r="E136" s="49">
        <v>72.48</v>
      </c>
      <c r="F136" s="76" t="s">
        <v>9</v>
      </c>
      <c r="G136" s="49">
        <f t="shared" si="4"/>
        <v>0</v>
      </c>
    </row>
    <row r="137" spans="1:7">
      <c r="A137" s="792">
        <v>37544</v>
      </c>
      <c r="B137" s="793" t="s">
        <v>12784</v>
      </c>
      <c r="C137" s="794" t="s">
        <v>12826</v>
      </c>
      <c r="D137" s="795"/>
      <c r="E137" s="796">
        <v>10.3</v>
      </c>
      <c r="F137" s="797" t="s">
        <v>9</v>
      </c>
      <c r="G137" s="798">
        <f t="shared" si="4"/>
        <v>0</v>
      </c>
    </row>
    <row r="138" spans="1:7">
      <c r="A138" s="792">
        <v>37544</v>
      </c>
      <c r="B138" s="793" t="s">
        <v>12774</v>
      </c>
      <c r="C138" s="794" t="s">
        <v>12827</v>
      </c>
      <c r="D138" s="795"/>
      <c r="E138" s="796">
        <v>33.630000000000003</v>
      </c>
      <c r="F138" s="797" t="s">
        <v>9</v>
      </c>
      <c r="G138" s="798">
        <f t="shared" si="4"/>
        <v>0</v>
      </c>
    </row>
    <row r="139" spans="1:7">
      <c r="A139" s="430">
        <v>37551</v>
      </c>
      <c r="B139" s="76" t="s">
        <v>12812</v>
      </c>
      <c r="C139" s="77" t="s">
        <v>12828</v>
      </c>
      <c r="D139" s="333"/>
      <c r="E139" s="49">
        <v>25.5</v>
      </c>
      <c r="F139" s="76" t="s">
        <v>9</v>
      </c>
      <c r="G139" s="49">
        <f t="shared" si="4"/>
        <v>0</v>
      </c>
    </row>
    <row r="140" spans="1:7">
      <c r="A140" s="1484">
        <v>37561</v>
      </c>
      <c r="B140" s="1485"/>
      <c r="C140" s="1486" t="s">
        <v>12829</v>
      </c>
      <c r="D140" s="1487"/>
      <c r="E140" s="1488">
        <f>SUM(E141:E144)</f>
        <v>174.24</v>
      </c>
      <c r="F140" s="1489"/>
      <c r="G140" s="1490"/>
    </row>
    <row r="141" spans="1:7">
      <c r="A141" s="430">
        <v>37568</v>
      </c>
      <c r="B141" s="76" t="s">
        <v>12791</v>
      </c>
      <c r="C141" s="77" t="s">
        <v>12830</v>
      </c>
      <c r="D141" s="333"/>
      <c r="E141" s="49">
        <v>49.9</v>
      </c>
      <c r="F141" s="76" t="s">
        <v>9</v>
      </c>
      <c r="G141" s="49">
        <f>IF(F141="X",0,E141)</f>
        <v>0</v>
      </c>
    </row>
    <row r="142" spans="1:7">
      <c r="A142" s="792">
        <v>37575</v>
      </c>
      <c r="B142" s="793" t="s">
        <v>12816</v>
      </c>
      <c r="C142" s="794" t="s">
        <v>12831</v>
      </c>
      <c r="D142" s="795"/>
      <c r="E142" s="796">
        <v>26.36</v>
      </c>
      <c r="F142" s="797" t="s">
        <v>9</v>
      </c>
      <c r="G142" s="798">
        <f>IF(F142="X",0,E142)</f>
        <v>0</v>
      </c>
    </row>
    <row r="143" spans="1:7">
      <c r="A143" s="792">
        <v>37575</v>
      </c>
      <c r="B143" s="793" t="s">
        <v>12769</v>
      </c>
      <c r="C143" s="794" t="s">
        <v>12832</v>
      </c>
      <c r="D143" s="795"/>
      <c r="E143" s="796">
        <v>72.48</v>
      </c>
      <c r="F143" s="797" t="s">
        <v>9</v>
      </c>
      <c r="G143" s="798">
        <f>IF(F143="X",0,E143)</f>
        <v>0</v>
      </c>
    </row>
    <row r="144" spans="1:7">
      <c r="A144" s="792">
        <v>37582</v>
      </c>
      <c r="B144" s="793" t="s">
        <v>12812</v>
      </c>
      <c r="C144" s="794" t="s">
        <v>12833</v>
      </c>
      <c r="D144" s="795"/>
      <c r="E144" s="796">
        <v>25.5</v>
      </c>
      <c r="F144" s="797" t="s">
        <v>9</v>
      </c>
      <c r="G144" s="798">
        <f>IF(F144="X",0,E144)</f>
        <v>0</v>
      </c>
    </row>
    <row r="145" spans="1:7">
      <c r="A145" s="1484">
        <v>37591</v>
      </c>
      <c r="B145" s="1485"/>
      <c r="C145" s="1486" t="s">
        <v>12834</v>
      </c>
      <c r="D145" s="1487"/>
      <c r="E145" s="1488">
        <f>SUM(E146:E148)</f>
        <v>199.8</v>
      </c>
      <c r="F145" s="1489"/>
      <c r="G145" s="1490"/>
    </row>
    <row r="146" spans="1:7">
      <c r="A146" s="430">
        <v>37598</v>
      </c>
      <c r="B146" s="76" t="s">
        <v>12791</v>
      </c>
      <c r="C146" s="77" t="s">
        <v>12835</v>
      </c>
      <c r="D146" s="333"/>
      <c r="E146" s="49">
        <v>49.9</v>
      </c>
      <c r="F146" s="76" t="s">
        <v>9</v>
      </c>
      <c r="G146" s="49">
        <f>IF(F146="X",0,E146)</f>
        <v>0</v>
      </c>
    </row>
    <row r="147" spans="1:7">
      <c r="A147" s="430">
        <v>37606</v>
      </c>
      <c r="B147" s="76" t="s">
        <v>12836</v>
      </c>
      <c r="C147" s="77" t="s">
        <v>12837</v>
      </c>
      <c r="D147" s="333"/>
      <c r="E147" s="49">
        <v>74.95</v>
      </c>
      <c r="F147" s="76" t="s">
        <v>9</v>
      </c>
      <c r="G147" s="49">
        <f>IF(F147="X",0,E147)</f>
        <v>0</v>
      </c>
    </row>
    <row r="148" spans="1:7">
      <c r="A148" s="429">
        <v>37608</v>
      </c>
      <c r="B148" s="80" t="s">
        <v>12838</v>
      </c>
      <c r="C148" s="81" t="s">
        <v>12839</v>
      </c>
      <c r="D148" s="409"/>
      <c r="E148" s="58">
        <v>74.95</v>
      </c>
      <c r="F148" s="80" t="s">
        <v>9</v>
      </c>
      <c r="G148" s="58">
        <f>IF(F148="X",0,E148)</f>
        <v>0</v>
      </c>
    </row>
    <row r="149" spans="1:7">
      <c r="A149" s="1484">
        <v>37622</v>
      </c>
      <c r="B149" s="1485"/>
      <c r="C149" s="1486" t="s">
        <v>12840</v>
      </c>
      <c r="D149" s="1487"/>
      <c r="E149" s="1488">
        <f>SUM(E150:E153)</f>
        <v>319.72000000000003</v>
      </c>
      <c r="F149" s="1489"/>
      <c r="G149" s="1490"/>
    </row>
    <row r="150" spans="1:7">
      <c r="A150" s="430">
        <v>37629</v>
      </c>
      <c r="B150" s="76" t="s">
        <v>12791</v>
      </c>
      <c r="C150" s="77" t="s">
        <v>12841</v>
      </c>
      <c r="D150" s="333"/>
      <c r="E150" s="49">
        <v>49.9</v>
      </c>
      <c r="F150" s="76" t="s">
        <v>9</v>
      </c>
      <c r="G150" s="49">
        <f>IF(F150="X",0,E150)</f>
        <v>0</v>
      </c>
    </row>
    <row r="151" spans="1:7">
      <c r="A151" s="792">
        <v>37636</v>
      </c>
      <c r="B151" s="793" t="s">
        <v>12836</v>
      </c>
      <c r="C151" s="794" t="s">
        <v>12842</v>
      </c>
      <c r="D151" s="795"/>
      <c r="E151" s="796">
        <v>74.5</v>
      </c>
      <c r="F151" s="797" t="s">
        <v>9</v>
      </c>
      <c r="G151" s="798">
        <f>IF(F151="X",0,E151)</f>
        <v>0</v>
      </c>
    </row>
    <row r="152" spans="1:7">
      <c r="A152" s="792">
        <v>37639</v>
      </c>
      <c r="B152" s="793" t="s">
        <v>12838</v>
      </c>
      <c r="C152" s="794" t="s">
        <v>12843</v>
      </c>
      <c r="D152" s="795"/>
      <c r="E152" s="796">
        <v>74.95</v>
      </c>
      <c r="F152" s="797" t="s">
        <v>9</v>
      </c>
      <c r="G152" s="798">
        <f>IF(F152="X",0,E152)</f>
        <v>0</v>
      </c>
    </row>
    <row r="153" spans="1:7">
      <c r="A153" s="429">
        <v>37642</v>
      </c>
      <c r="B153" s="80" t="s">
        <v>12844</v>
      </c>
      <c r="C153" s="81" t="s">
        <v>12845</v>
      </c>
      <c r="D153" s="409"/>
      <c r="E153" s="58">
        <v>120.37</v>
      </c>
      <c r="F153" s="80" t="s">
        <v>9</v>
      </c>
      <c r="G153" s="58">
        <f>IF(F153="X",0,E153)</f>
        <v>0</v>
      </c>
    </row>
    <row r="154" spans="1:7">
      <c r="A154" s="1484">
        <v>37653</v>
      </c>
      <c r="B154" s="1485"/>
      <c r="C154" s="1486" t="s">
        <v>12846</v>
      </c>
      <c r="D154" s="1487"/>
      <c r="E154" s="1488">
        <f>SUM(E155:E157)</f>
        <v>284.05</v>
      </c>
      <c r="F154" s="1489"/>
      <c r="G154" s="1490"/>
    </row>
    <row r="155" spans="1:7">
      <c r="A155" s="430">
        <v>37660</v>
      </c>
      <c r="B155" s="76" t="s">
        <v>12791</v>
      </c>
      <c r="C155" s="77" t="s">
        <v>12847</v>
      </c>
      <c r="D155" s="333"/>
      <c r="E155" s="135">
        <v>49.9</v>
      </c>
      <c r="F155" s="76" t="s">
        <v>9</v>
      </c>
      <c r="G155" s="98">
        <f>IF(F155="X",0,E155)</f>
        <v>0</v>
      </c>
    </row>
    <row r="156" spans="1:7">
      <c r="A156" s="430">
        <v>37666</v>
      </c>
      <c r="B156" s="76" t="s">
        <v>12848</v>
      </c>
      <c r="C156" s="77" t="s">
        <v>12849</v>
      </c>
      <c r="D156" s="333"/>
      <c r="E156" s="135">
        <v>42</v>
      </c>
      <c r="F156" s="76" t="s">
        <v>9</v>
      </c>
      <c r="G156" s="98">
        <f>IF(F156="X",0,E156)</f>
        <v>0</v>
      </c>
    </row>
    <row r="157" spans="1:7">
      <c r="A157" s="430">
        <v>37669</v>
      </c>
      <c r="B157" s="76" t="s">
        <v>12850</v>
      </c>
      <c r="C157" s="77" t="s">
        <v>12851</v>
      </c>
      <c r="D157" s="333"/>
      <c r="E157" s="135">
        <v>192.15</v>
      </c>
      <c r="F157" s="76" t="s">
        <v>9</v>
      </c>
      <c r="G157" s="98">
        <f>IF(F157="X",0,E157)</f>
        <v>0</v>
      </c>
    </row>
    <row r="158" spans="1:7">
      <c r="A158" s="792">
        <v>37673</v>
      </c>
      <c r="B158" s="793" t="s">
        <v>12844</v>
      </c>
      <c r="C158" s="794" t="s">
        <v>12852</v>
      </c>
      <c r="D158" s="795"/>
      <c r="E158" s="796">
        <v>120.37</v>
      </c>
      <c r="F158" s="797" t="s">
        <v>9</v>
      </c>
      <c r="G158" s="798">
        <f>IF(F158="X",0,E158)</f>
        <v>0</v>
      </c>
    </row>
    <row r="159" spans="1:7">
      <c r="A159" s="1484">
        <v>37681</v>
      </c>
      <c r="B159" s="1485"/>
      <c r="C159" s="1486" t="s">
        <v>12853</v>
      </c>
      <c r="D159" s="1487"/>
      <c r="E159" s="1488">
        <f>SUM(E160:E162)</f>
        <v>284.05</v>
      </c>
      <c r="F159" s="1489"/>
      <c r="G159" s="1490"/>
    </row>
    <row r="160" spans="1:7">
      <c r="A160" s="792">
        <v>37688</v>
      </c>
      <c r="B160" s="793" t="s">
        <v>12791</v>
      </c>
      <c r="C160" s="794" t="s">
        <v>12854</v>
      </c>
      <c r="D160" s="795"/>
      <c r="E160" s="796">
        <v>49.9</v>
      </c>
      <c r="F160" s="797" t="s">
        <v>9</v>
      </c>
      <c r="G160" s="798">
        <f>IF(F160="X",0,E160)</f>
        <v>0</v>
      </c>
    </row>
    <row r="161" spans="1:7">
      <c r="A161" s="430">
        <v>37694</v>
      </c>
      <c r="B161" s="76" t="s">
        <v>12848</v>
      </c>
      <c r="C161" s="431" t="s">
        <v>12855</v>
      </c>
      <c r="D161" s="432"/>
      <c r="E161" s="49">
        <v>42</v>
      </c>
      <c r="F161" s="76" t="s">
        <v>9</v>
      </c>
      <c r="G161" s="49">
        <f>IF(F161="X",0,E161)</f>
        <v>0</v>
      </c>
    </row>
    <row r="162" spans="1:7">
      <c r="A162" s="429">
        <v>37697</v>
      </c>
      <c r="B162" s="80" t="s">
        <v>12850</v>
      </c>
      <c r="C162" s="433" t="s">
        <v>12856</v>
      </c>
      <c r="D162" s="432"/>
      <c r="E162" s="49">
        <v>192.15</v>
      </c>
      <c r="F162" s="76" t="s">
        <v>9</v>
      </c>
      <c r="G162" s="49">
        <f>IF(F162="X",0,E162)</f>
        <v>0</v>
      </c>
    </row>
    <row r="163" spans="1:7">
      <c r="A163" s="1484">
        <v>37712</v>
      </c>
      <c r="B163" s="1485"/>
      <c r="C163" s="1486" t="s">
        <v>12857</v>
      </c>
      <c r="D163" s="1487"/>
      <c r="E163" s="1488">
        <f>SUM(E164:E165)</f>
        <v>234.15</v>
      </c>
      <c r="F163" s="1489"/>
      <c r="G163" s="1490"/>
    </row>
    <row r="164" spans="1:7">
      <c r="A164" s="792">
        <v>37725</v>
      </c>
      <c r="B164" s="793" t="s">
        <v>12848</v>
      </c>
      <c r="C164" s="794" t="s">
        <v>12858</v>
      </c>
      <c r="D164" s="795"/>
      <c r="E164" s="796">
        <v>42</v>
      </c>
      <c r="F164" s="797" t="s">
        <v>9</v>
      </c>
      <c r="G164" s="798">
        <f>IF(F164="X",0,E164)</f>
        <v>0</v>
      </c>
    </row>
    <row r="165" spans="1:7">
      <c r="A165" s="429">
        <v>37728</v>
      </c>
      <c r="B165" s="80" t="s">
        <v>12850</v>
      </c>
      <c r="C165" s="81" t="s">
        <v>12859</v>
      </c>
      <c r="D165" s="409"/>
      <c r="E165" s="58">
        <v>192.15</v>
      </c>
      <c r="F165" s="80" t="s">
        <v>9</v>
      </c>
      <c r="G165" s="58">
        <f>IF(F165="X",0,E165)</f>
        <v>0</v>
      </c>
    </row>
    <row r="166" spans="1:7">
      <c r="A166" s="1484">
        <v>37742</v>
      </c>
      <c r="B166" s="1485"/>
      <c r="C166" s="1486" t="s">
        <v>12860</v>
      </c>
      <c r="D166" s="1487"/>
      <c r="E166" s="1488">
        <f>SUM(E167:E168)</f>
        <v>228.71</v>
      </c>
      <c r="F166" s="1489"/>
      <c r="G166" s="1490"/>
    </row>
    <row r="167" spans="1:7">
      <c r="A167" s="430">
        <v>37758</v>
      </c>
      <c r="B167" s="76" t="s">
        <v>12850</v>
      </c>
      <c r="C167" s="77" t="s">
        <v>12861</v>
      </c>
      <c r="D167" s="333"/>
      <c r="E167" s="49">
        <v>192.15</v>
      </c>
      <c r="F167" s="76" t="s">
        <v>9</v>
      </c>
      <c r="G167" s="49">
        <f>IF(F167="X",0,E167)</f>
        <v>0</v>
      </c>
    </row>
    <row r="168" spans="1:7">
      <c r="A168" s="430">
        <v>37765</v>
      </c>
      <c r="B168" s="76" t="s">
        <v>12862</v>
      </c>
      <c r="C168" s="77" t="s">
        <v>12863</v>
      </c>
      <c r="D168" s="333"/>
      <c r="E168" s="49">
        <v>36.56</v>
      </c>
      <c r="F168" s="76" t="s">
        <v>9</v>
      </c>
      <c r="G168" s="49">
        <f>IF(F168="X",0,E168)</f>
        <v>0</v>
      </c>
    </row>
    <row r="169" spans="1:7">
      <c r="A169" s="1484">
        <v>37773</v>
      </c>
      <c r="B169" s="1485"/>
      <c r="C169" s="1486" t="s">
        <v>12864</v>
      </c>
      <c r="D169" s="1487"/>
      <c r="E169" s="1488">
        <f>SUM(E170:E172)</f>
        <v>254.56</v>
      </c>
      <c r="F169" s="1489"/>
      <c r="G169" s="1490"/>
    </row>
    <row r="170" spans="1:7">
      <c r="A170" s="430">
        <v>37777</v>
      </c>
      <c r="B170" s="76" t="s">
        <v>12865</v>
      </c>
      <c r="C170" s="77" t="s">
        <v>12866</v>
      </c>
      <c r="D170" s="333"/>
      <c r="E170" s="49">
        <v>25.85</v>
      </c>
      <c r="F170" s="76" t="s">
        <v>9</v>
      </c>
      <c r="G170" s="49">
        <f>IF(F170="X",0,E170)</f>
        <v>0</v>
      </c>
    </row>
    <row r="171" spans="1:7">
      <c r="A171" s="430">
        <v>37789</v>
      </c>
      <c r="B171" s="76" t="s">
        <v>12850</v>
      </c>
      <c r="C171" s="77" t="s">
        <v>12867</v>
      </c>
      <c r="D171" s="333"/>
      <c r="E171" s="49">
        <v>192.15</v>
      </c>
      <c r="F171" s="76" t="s">
        <v>9</v>
      </c>
      <c r="G171" s="49">
        <f>IF(F171="X",0,E171)</f>
        <v>0</v>
      </c>
    </row>
    <row r="172" spans="1:7">
      <c r="A172" s="429">
        <v>37796</v>
      </c>
      <c r="B172" s="80" t="s">
        <v>12862</v>
      </c>
      <c r="C172" s="81" t="s">
        <v>12868</v>
      </c>
      <c r="D172" s="409"/>
      <c r="E172" s="58">
        <v>36.56</v>
      </c>
      <c r="F172" s="80" t="s">
        <v>9</v>
      </c>
      <c r="G172" s="58">
        <f>IF(F172="X",0,E172)</f>
        <v>0</v>
      </c>
    </row>
    <row r="173" spans="1:7">
      <c r="A173" s="1484">
        <v>37803</v>
      </c>
      <c r="B173" s="1485"/>
      <c r="C173" s="1486" t="s">
        <v>12869</v>
      </c>
      <c r="D173" s="1487"/>
      <c r="E173" s="1488">
        <f>SUM(E174:E176)</f>
        <v>254.56</v>
      </c>
      <c r="F173" s="1489"/>
      <c r="G173" s="1490"/>
    </row>
    <row r="174" spans="1:7">
      <c r="A174" s="792">
        <v>37807</v>
      </c>
      <c r="B174" s="793" t="s">
        <v>12865</v>
      </c>
      <c r="C174" s="794" t="s">
        <v>12870</v>
      </c>
      <c r="D174" s="795"/>
      <c r="E174" s="796">
        <v>25.85</v>
      </c>
      <c r="F174" s="797" t="s">
        <v>9</v>
      </c>
      <c r="G174" s="798">
        <f>IF(F174="X",0,E174)</f>
        <v>0</v>
      </c>
    </row>
    <row r="175" spans="1:7">
      <c r="A175" s="430">
        <v>37819</v>
      </c>
      <c r="B175" s="76" t="s">
        <v>12850</v>
      </c>
      <c r="C175" s="77" t="s">
        <v>12871</v>
      </c>
      <c r="D175" s="333"/>
      <c r="E175" s="49">
        <v>192.15</v>
      </c>
      <c r="F175" s="76" t="s">
        <v>9</v>
      </c>
      <c r="G175" s="49">
        <f>IF(F175="X",0,E175)</f>
        <v>0</v>
      </c>
    </row>
    <row r="176" spans="1:7">
      <c r="A176" s="792">
        <v>37826</v>
      </c>
      <c r="B176" s="793" t="s">
        <v>12862</v>
      </c>
      <c r="C176" s="794" t="s">
        <v>12872</v>
      </c>
      <c r="D176" s="795"/>
      <c r="E176" s="796">
        <v>36.56</v>
      </c>
      <c r="F176" s="797" t="s">
        <v>9</v>
      </c>
      <c r="G176" s="798">
        <f>IF(F176="X",0,E176)</f>
        <v>0</v>
      </c>
    </row>
    <row r="177" spans="1:7">
      <c r="A177" s="1484">
        <v>37834</v>
      </c>
      <c r="B177" s="1485"/>
      <c r="C177" s="1486" t="s">
        <v>12873</v>
      </c>
      <c r="D177" s="1487"/>
      <c r="E177" s="1488">
        <f>SUM(E178)</f>
        <v>192.15</v>
      </c>
      <c r="F177" s="1489"/>
      <c r="G177" s="1490"/>
    </row>
    <row r="178" spans="1:7">
      <c r="A178" s="429">
        <v>37850</v>
      </c>
      <c r="B178" s="80" t="s">
        <v>12850</v>
      </c>
      <c r="C178" s="81" t="s">
        <v>12874</v>
      </c>
      <c r="D178" s="409"/>
      <c r="E178" s="58">
        <v>192.15</v>
      </c>
      <c r="F178" s="80" t="s">
        <v>9</v>
      </c>
      <c r="G178" s="58">
        <f>IF(F178="X",0,E178)</f>
        <v>0</v>
      </c>
    </row>
    <row r="179" spans="1:7">
      <c r="A179" s="1484">
        <v>37865</v>
      </c>
      <c r="B179" s="1485"/>
      <c r="C179" s="1486" t="s">
        <v>12875</v>
      </c>
      <c r="D179" s="1487"/>
      <c r="E179" s="1488">
        <f>SUM(E180)</f>
        <v>192.15</v>
      </c>
      <c r="F179" s="1489"/>
      <c r="G179" s="1490"/>
    </row>
    <row r="180" spans="1:7">
      <c r="A180" s="430">
        <v>37881</v>
      </c>
      <c r="B180" s="76" t="s">
        <v>12850</v>
      </c>
      <c r="C180" s="77" t="s">
        <v>12876</v>
      </c>
      <c r="D180" s="333"/>
      <c r="E180" s="49">
        <v>192.15</v>
      </c>
      <c r="F180" s="76" t="s">
        <v>9</v>
      </c>
      <c r="G180" s="49">
        <f>IF(F180="X",0,E180)</f>
        <v>0</v>
      </c>
    </row>
    <row r="181" spans="1:7">
      <c r="A181" s="1484">
        <v>37895</v>
      </c>
      <c r="B181" s="1485"/>
      <c r="C181" s="1486" t="s">
        <v>12877</v>
      </c>
      <c r="D181" s="1487"/>
      <c r="E181" s="1488">
        <f>SUM(E182)</f>
        <v>192.15</v>
      </c>
      <c r="F181" s="1489"/>
      <c r="G181" s="1490"/>
    </row>
    <row r="182" spans="1:7">
      <c r="A182" s="429">
        <v>37911</v>
      </c>
      <c r="B182" s="80" t="s">
        <v>12850</v>
      </c>
      <c r="C182" s="81" t="s">
        <v>12878</v>
      </c>
      <c r="D182" s="409"/>
      <c r="E182" s="58">
        <v>192.15</v>
      </c>
      <c r="F182" s="80" t="s">
        <v>9</v>
      </c>
      <c r="G182" s="58">
        <f>IF(F182="X",0,E182)</f>
        <v>0</v>
      </c>
    </row>
    <row r="183" spans="1:7">
      <c r="A183" s="1484">
        <v>37926</v>
      </c>
      <c r="B183" s="1485"/>
      <c r="C183" s="1486" t="s">
        <v>12879</v>
      </c>
      <c r="D183" s="1487"/>
      <c r="E183" s="1488">
        <f>SUM(E184:E185)</f>
        <v>220.81</v>
      </c>
      <c r="F183" s="1489"/>
      <c r="G183" s="1490"/>
    </row>
    <row r="184" spans="1:7">
      <c r="A184" s="430">
        <v>37930</v>
      </c>
      <c r="B184" s="76" t="s">
        <v>12812</v>
      </c>
      <c r="C184" s="77" t="s">
        <v>12880</v>
      </c>
      <c r="D184" s="333"/>
      <c r="E184" s="49">
        <v>28.66</v>
      </c>
      <c r="F184" s="76" t="s">
        <v>9</v>
      </c>
      <c r="G184" s="49">
        <f>IF(F184="X",0,E184)</f>
        <v>0</v>
      </c>
    </row>
    <row r="185" spans="1:7">
      <c r="A185" s="792">
        <v>37942</v>
      </c>
      <c r="B185" s="793" t="s">
        <v>12850</v>
      </c>
      <c r="C185" s="794" t="s">
        <v>12881</v>
      </c>
      <c r="D185" s="795"/>
      <c r="E185" s="796">
        <v>192.15</v>
      </c>
      <c r="F185" s="797" t="s">
        <v>9</v>
      </c>
      <c r="G185" s="798">
        <f>IF(F185="X",0,E185)</f>
        <v>0</v>
      </c>
    </row>
    <row r="186" spans="1:7">
      <c r="A186" s="1484">
        <v>37956</v>
      </c>
      <c r="B186" s="1485"/>
      <c r="C186" s="1486" t="s">
        <v>12882</v>
      </c>
      <c r="D186" s="1487"/>
      <c r="E186" s="1488">
        <f>SUM(E187:E190)</f>
        <v>853.64</v>
      </c>
      <c r="F186" s="1489"/>
      <c r="G186" s="1490"/>
    </row>
    <row r="187" spans="1:7">
      <c r="A187" s="430">
        <v>37960</v>
      </c>
      <c r="B187" s="76" t="s">
        <v>12812</v>
      </c>
      <c r="C187" s="77" t="s">
        <v>12883</v>
      </c>
      <c r="D187" s="333"/>
      <c r="E187" s="49">
        <v>28.66</v>
      </c>
      <c r="F187" s="76" t="s">
        <v>9</v>
      </c>
      <c r="G187" s="49">
        <f>IF(F187="X",0,E187)</f>
        <v>0</v>
      </c>
    </row>
    <row r="188" spans="1:7">
      <c r="A188" s="430">
        <v>37960</v>
      </c>
      <c r="B188" s="76" t="s">
        <v>12884</v>
      </c>
      <c r="C188" s="77" t="s">
        <v>12885</v>
      </c>
      <c r="D188" s="333"/>
      <c r="E188" s="49">
        <v>24.98</v>
      </c>
      <c r="F188" s="76" t="s">
        <v>9</v>
      </c>
      <c r="G188" s="49">
        <f>IF(F188="X",0,E188)</f>
        <v>0</v>
      </c>
    </row>
    <row r="189" spans="1:7">
      <c r="A189" s="430">
        <v>37963</v>
      </c>
      <c r="B189" s="76" t="s">
        <v>12886</v>
      </c>
      <c r="C189" s="77" t="s">
        <v>12887</v>
      </c>
      <c r="D189" s="333"/>
      <c r="E189" s="49">
        <v>270</v>
      </c>
      <c r="F189" s="76" t="s">
        <v>9</v>
      </c>
      <c r="G189" s="49">
        <f>IF(F189="X",0,E189)</f>
        <v>0</v>
      </c>
    </row>
    <row r="190" spans="1:7">
      <c r="A190" s="792">
        <v>37970</v>
      </c>
      <c r="B190" s="793" t="s">
        <v>12886</v>
      </c>
      <c r="C190" s="794" t="s">
        <v>12888</v>
      </c>
      <c r="D190" s="795"/>
      <c r="E190" s="796">
        <v>530</v>
      </c>
      <c r="F190" s="797" t="s">
        <v>9</v>
      </c>
      <c r="G190" s="798">
        <f>IF(F190="X",0,E190)</f>
        <v>0</v>
      </c>
    </row>
    <row r="191" spans="1:7">
      <c r="A191" s="1484">
        <v>37987</v>
      </c>
      <c r="B191" s="1485"/>
      <c r="C191" s="1486" t="s">
        <v>12889</v>
      </c>
      <c r="D191" s="1487"/>
      <c r="E191" s="1488">
        <f>SUM(E192:E193)</f>
        <v>53.64</v>
      </c>
      <c r="F191" s="1489"/>
      <c r="G191" s="1490"/>
    </row>
    <row r="192" spans="1:7">
      <c r="A192" s="792">
        <v>37991</v>
      </c>
      <c r="B192" s="793" t="s">
        <v>12812</v>
      </c>
      <c r="C192" s="794" t="s">
        <v>12890</v>
      </c>
      <c r="D192" s="795"/>
      <c r="E192" s="796">
        <v>28.66</v>
      </c>
      <c r="F192" s="797" t="s">
        <v>9</v>
      </c>
      <c r="G192" s="798">
        <f>IF(F192="X",0,E192)</f>
        <v>0</v>
      </c>
    </row>
    <row r="193" spans="1:7">
      <c r="A193" s="792">
        <v>37991</v>
      </c>
      <c r="B193" s="793" t="s">
        <v>12884</v>
      </c>
      <c r="C193" s="794" t="s">
        <v>12891</v>
      </c>
      <c r="D193" s="795"/>
      <c r="E193" s="796">
        <v>24.98</v>
      </c>
      <c r="F193" s="797" t="s">
        <v>9</v>
      </c>
      <c r="G193" s="798">
        <f>IF(F193="X",0,E193)</f>
        <v>0</v>
      </c>
    </row>
    <row r="194" spans="1:7">
      <c r="A194" s="1484">
        <v>38018</v>
      </c>
      <c r="B194" s="1485"/>
      <c r="C194" s="1486" t="s">
        <v>12892</v>
      </c>
      <c r="D194" s="1487"/>
      <c r="E194" s="1488">
        <f>SUM(E195:E196)</f>
        <v>162.04</v>
      </c>
      <c r="F194" s="1489"/>
      <c r="G194" s="1490"/>
    </row>
    <row r="195" spans="1:7">
      <c r="A195" s="430">
        <v>38022</v>
      </c>
      <c r="B195" s="76" t="s">
        <v>12893</v>
      </c>
      <c r="C195" s="77" t="s">
        <v>12894</v>
      </c>
      <c r="D195" s="333"/>
      <c r="E195" s="49">
        <v>28.94</v>
      </c>
      <c r="F195" s="76" t="s">
        <v>9</v>
      </c>
      <c r="G195" s="49">
        <f>IF(F195="X",0,E195)</f>
        <v>0</v>
      </c>
    </row>
    <row r="196" spans="1:7">
      <c r="A196" s="429">
        <v>38028</v>
      </c>
      <c r="B196" s="80" t="s">
        <v>1218</v>
      </c>
      <c r="C196" s="81" t="s">
        <v>12895</v>
      </c>
      <c r="D196" s="409"/>
      <c r="E196" s="58">
        <v>133.1</v>
      </c>
      <c r="F196" s="80" t="s">
        <v>9</v>
      </c>
      <c r="G196" s="58">
        <f>IF(F196="X",0,E196)</f>
        <v>0</v>
      </c>
    </row>
    <row r="197" spans="1:7">
      <c r="A197" s="1484">
        <v>38047</v>
      </c>
      <c r="B197" s="1485"/>
      <c r="C197" s="1486" t="s">
        <v>12896</v>
      </c>
      <c r="D197" s="1487"/>
      <c r="E197" s="1488">
        <f>SUM(E198:E200)</f>
        <v>261.62</v>
      </c>
      <c r="F197" s="1489"/>
      <c r="G197" s="1490"/>
    </row>
    <row r="198" spans="1:7">
      <c r="A198" s="430">
        <v>38051</v>
      </c>
      <c r="B198" s="76" t="s">
        <v>12897</v>
      </c>
      <c r="C198" s="77" t="s">
        <v>12898</v>
      </c>
      <c r="D198" s="333"/>
      <c r="E198" s="49">
        <v>99.58</v>
      </c>
      <c r="F198" s="76" t="s">
        <v>9</v>
      </c>
      <c r="G198" s="49">
        <f>IF(F198="X",0,E198)</f>
        <v>0</v>
      </c>
    </row>
    <row r="199" spans="1:7">
      <c r="A199" s="430">
        <v>38051</v>
      </c>
      <c r="B199" s="76" t="s">
        <v>12899</v>
      </c>
      <c r="C199" s="77" t="s">
        <v>12900</v>
      </c>
      <c r="D199" s="333"/>
      <c r="E199" s="49">
        <v>28.94</v>
      </c>
      <c r="F199" s="76" t="s">
        <v>9</v>
      </c>
      <c r="G199" s="49">
        <f>IF(F199="X",0,E199)</f>
        <v>0</v>
      </c>
    </row>
    <row r="200" spans="1:7">
      <c r="A200" s="430">
        <v>38057</v>
      </c>
      <c r="B200" s="76" t="s">
        <v>1218</v>
      </c>
      <c r="C200" s="77" t="s">
        <v>12901</v>
      </c>
      <c r="D200" s="333"/>
      <c r="E200" s="49">
        <v>133.1</v>
      </c>
      <c r="F200" s="76" t="s">
        <v>9</v>
      </c>
      <c r="G200" s="49">
        <f>IF(F200="X",0,E200)</f>
        <v>0</v>
      </c>
    </row>
    <row r="201" spans="1:7">
      <c r="A201" s="1484">
        <v>38078</v>
      </c>
      <c r="B201" s="1485"/>
      <c r="C201" s="1486" t="s">
        <v>12902</v>
      </c>
      <c r="D201" s="1487"/>
      <c r="E201" s="1488">
        <f>SUM(E202:E204)</f>
        <v>261.62</v>
      </c>
      <c r="F201" s="1489"/>
      <c r="G201" s="1490"/>
    </row>
    <row r="202" spans="1:7">
      <c r="A202" s="430">
        <v>38082</v>
      </c>
      <c r="B202" s="76" t="s">
        <v>12897</v>
      </c>
      <c r="C202" s="77" t="s">
        <v>12903</v>
      </c>
      <c r="D202" s="333"/>
      <c r="E202" s="49">
        <v>99.58</v>
      </c>
      <c r="F202" s="76" t="s">
        <v>9</v>
      </c>
      <c r="G202" s="49">
        <f>IF(F202="X",0,E202)</f>
        <v>0</v>
      </c>
    </row>
    <row r="203" spans="1:7">
      <c r="A203" s="792">
        <v>38082</v>
      </c>
      <c r="B203" s="793" t="s">
        <v>12899</v>
      </c>
      <c r="C203" s="794" t="s">
        <v>12904</v>
      </c>
      <c r="D203" s="795"/>
      <c r="E203" s="796">
        <v>28.94</v>
      </c>
      <c r="F203" s="797" t="s">
        <v>9</v>
      </c>
      <c r="G203" s="798">
        <f>IF(F203="X",0,E203)</f>
        <v>0</v>
      </c>
    </row>
    <row r="204" spans="1:7">
      <c r="A204" s="429">
        <v>38088</v>
      </c>
      <c r="B204" s="80" t="s">
        <v>1218</v>
      </c>
      <c r="C204" s="81" t="s">
        <v>12905</v>
      </c>
      <c r="D204" s="409"/>
      <c r="E204" s="58">
        <v>133.1</v>
      </c>
      <c r="F204" s="80" t="s">
        <v>9</v>
      </c>
      <c r="G204" s="58">
        <f>IF(F204="X",0,E204)</f>
        <v>0</v>
      </c>
    </row>
    <row r="205" spans="1:7">
      <c r="A205" s="1484">
        <v>38108</v>
      </c>
      <c r="B205" s="1485"/>
      <c r="C205" s="1486" t="s">
        <v>12906</v>
      </c>
      <c r="D205" s="1487"/>
      <c r="E205" s="1488">
        <f>SUM(E206:E207)</f>
        <v>232.68</v>
      </c>
      <c r="F205" s="1489"/>
      <c r="G205" s="1490"/>
    </row>
    <row r="206" spans="1:7">
      <c r="A206" s="792">
        <v>38112</v>
      </c>
      <c r="B206" s="793" t="s">
        <v>12897</v>
      </c>
      <c r="C206" s="794" t="s">
        <v>12907</v>
      </c>
      <c r="D206" s="795"/>
      <c r="E206" s="796">
        <v>99.58</v>
      </c>
      <c r="F206" s="797" t="s">
        <v>9</v>
      </c>
      <c r="G206" s="798">
        <f>IF(F206="X",0,E206)</f>
        <v>0</v>
      </c>
    </row>
    <row r="207" spans="1:7">
      <c r="A207" s="430">
        <v>38118</v>
      </c>
      <c r="B207" s="76" t="s">
        <v>1218</v>
      </c>
      <c r="C207" s="77" t="s">
        <v>12908</v>
      </c>
      <c r="D207" s="333"/>
      <c r="E207" s="49">
        <v>133.1</v>
      </c>
      <c r="F207" s="76" t="s">
        <v>9</v>
      </c>
      <c r="G207" s="49">
        <f>IF(F207="X",0,E207)</f>
        <v>0</v>
      </c>
    </row>
    <row r="208" spans="1:7">
      <c r="A208" s="1484">
        <v>38139</v>
      </c>
      <c r="B208" s="1485"/>
      <c r="C208" s="1486" t="s">
        <v>12909</v>
      </c>
      <c r="D208" s="1487"/>
      <c r="E208" s="1488">
        <f>SUM(E209:E210)</f>
        <v>176.05</v>
      </c>
      <c r="F208" s="1489"/>
      <c r="G208" s="1490"/>
    </row>
    <row r="209" spans="1:7">
      <c r="A209" s="430">
        <v>38149</v>
      </c>
      <c r="B209" s="76" t="s">
        <v>1218</v>
      </c>
      <c r="C209" s="77" t="s">
        <v>12910</v>
      </c>
      <c r="D209" s="333"/>
      <c r="E209" s="49">
        <v>133.1</v>
      </c>
      <c r="F209" s="76" t="s">
        <v>9</v>
      </c>
      <c r="G209" s="49">
        <f>IF(F209="X",0,E209)</f>
        <v>0</v>
      </c>
    </row>
    <row r="210" spans="1:7">
      <c r="A210" s="429">
        <v>38153</v>
      </c>
      <c r="B210" s="80" t="s">
        <v>12911</v>
      </c>
      <c r="C210" s="81" t="s">
        <v>12912</v>
      </c>
      <c r="D210" s="409"/>
      <c r="E210" s="58">
        <v>42.95</v>
      </c>
      <c r="F210" s="80" t="s">
        <v>9</v>
      </c>
      <c r="G210" s="58">
        <f>IF(F210="X",0,E210)</f>
        <v>0</v>
      </c>
    </row>
    <row r="211" spans="1:7">
      <c r="A211" s="1484">
        <v>38169</v>
      </c>
      <c r="B211" s="1485"/>
      <c r="C211" s="1486" t="s">
        <v>12913</v>
      </c>
      <c r="D211" s="1487"/>
      <c r="E211" s="1488">
        <f>SUM(E212:E213)</f>
        <v>176.05</v>
      </c>
      <c r="F211" s="1489"/>
      <c r="G211" s="1490"/>
    </row>
    <row r="212" spans="1:7">
      <c r="A212" s="430">
        <v>38179</v>
      </c>
      <c r="B212" s="76" t="s">
        <v>1218</v>
      </c>
      <c r="C212" s="77" t="s">
        <v>2523</v>
      </c>
      <c r="D212" s="333"/>
      <c r="E212" s="49">
        <v>133.1</v>
      </c>
      <c r="F212" s="76" t="s">
        <v>9</v>
      </c>
      <c r="G212" s="49">
        <f>IF(F212="X",0,E212)</f>
        <v>0</v>
      </c>
    </row>
    <row r="213" spans="1:7">
      <c r="A213" s="430">
        <v>38183</v>
      </c>
      <c r="B213" s="76" t="s">
        <v>12911</v>
      </c>
      <c r="C213" s="77" t="s">
        <v>12914</v>
      </c>
      <c r="D213" s="333"/>
      <c r="E213" s="49">
        <v>42.95</v>
      </c>
      <c r="F213" s="76" t="s">
        <v>9</v>
      </c>
      <c r="G213" s="49">
        <f>IF(F213="X",0,E213)</f>
        <v>0</v>
      </c>
    </row>
    <row r="214" spans="1:7">
      <c r="A214" s="1484">
        <v>38200</v>
      </c>
      <c r="B214" s="1485"/>
      <c r="C214" s="1486" t="s">
        <v>12915</v>
      </c>
      <c r="D214" s="1487"/>
      <c r="E214" s="1488">
        <f>SUM(E215:E219)</f>
        <v>357.42</v>
      </c>
      <c r="F214" s="1489"/>
      <c r="G214" s="1490"/>
    </row>
    <row r="215" spans="1:7">
      <c r="A215" s="430">
        <v>38208</v>
      </c>
      <c r="B215" s="76" t="s">
        <v>12916</v>
      </c>
      <c r="C215" s="77" t="s">
        <v>2580</v>
      </c>
      <c r="D215" s="333"/>
      <c r="E215" s="49">
        <v>43</v>
      </c>
      <c r="F215" s="76" t="s">
        <v>9</v>
      </c>
      <c r="G215" s="49">
        <f>IF(F215="X",0,E215)</f>
        <v>0</v>
      </c>
    </row>
    <row r="216" spans="1:7">
      <c r="A216" s="430">
        <v>38210</v>
      </c>
      <c r="B216" s="76" t="s">
        <v>1218</v>
      </c>
      <c r="C216" s="77" t="s">
        <v>2577</v>
      </c>
      <c r="D216" s="333"/>
      <c r="E216" s="49">
        <v>133.1</v>
      </c>
      <c r="F216" s="76" t="s">
        <v>9</v>
      </c>
      <c r="G216" s="49">
        <f>IF(F216="X",0,E216)</f>
        <v>0</v>
      </c>
    </row>
    <row r="217" spans="1:7">
      <c r="A217" s="430">
        <v>38211</v>
      </c>
      <c r="B217" s="76" t="s">
        <v>12917</v>
      </c>
      <c r="C217" s="77" t="s">
        <v>12918</v>
      </c>
      <c r="D217" s="333"/>
      <c r="E217" s="49">
        <v>114.21</v>
      </c>
      <c r="F217" s="76" t="s">
        <v>9</v>
      </c>
      <c r="G217" s="49">
        <f>IF(F217="X",0,E217)</f>
        <v>0</v>
      </c>
    </row>
    <row r="218" spans="1:7">
      <c r="A218" s="792">
        <v>38214</v>
      </c>
      <c r="B218" s="793" t="s">
        <v>12911</v>
      </c>
      <c r="C218" s="794" t="s">
        <v>12919</v>
      </c>
      <c r="D218" s="795"/>
      <c r="E218" s="796">
        <v>42.95</v>
      </c>
      <c r="F218" s="797" t="s">
        <v>9</v>
      </c>
      <c r="G218" s="798">
        <f>IF(F218="X",0,E218)</f>
        <v>0</v>
      </c>
    </row>
    <row r="219" spans="1:7">
      <c r="A219" s="429">
        <v>38214</v>
      </c>
      <c r="B219" s="80" t="s">
        <v>12920</v>
      </c>
      <c r="C219" s="81" t="s">
        <v>12921</v>
      </c>
      <c r="D219" s="409"/>
      <c r="E219" s="58">
        <v>24.16</v>
      </c>
      <c r="F219" s="80" t="s">
        <v>9</v>
      </c>
      <c r="G219" s="58">
        <f>IF(F219="X",0,E219)</f>
        <v>0</v>
      </c>
    </row>
    <row r="220" spans="1:7">
      <c r="A220" s="1484">
        <v>38231</v>
      </c>
      <c r="B220" s="1485"/>
      <c r="C220" s="1486" t="s">
        <v>12922</v>
      </c>
      <c r="D220" s="1487"/>
      <c r="E220" s="1488">
        <f>SUM(E221:E226)</f>
        <v>1088.3699999999999</v>
      </c>
      <c r="F220" s="1489"/>
      <c r="G220" s="1490"/>
    </row>
    <row r="221" spans="1:7">
      <c r="A221" s="430">
        <v>38241</v>
      </c>
      <c r="B221" s="76" t="s">
        <v>1218</v>
      </c>
      <c r="C221" s="77" t="s">
        <v>2611</v>
      </c>
      <c r="D221" s="333"/>
      <c r="E221" s="49">
        <v>133.1</v>
      </c>
      <c r="F221" s="76" t="s">
        <v>9</v>
      </c>
      <c r="G221" s="49">
        <f t="shared" ref="G221:G226" si="5">IF(F221="X",0,E221)</f>
        <v>0</v>
      </c>
    </row>
    <row r="222" spans="1:7">
      <c r="A222" s="430">
        <v>38242</v>
      </c>
      <c r="B222" s="76" t="s">
        <v>12917</v>
      </c>
      <c r="C222" s="77" t="s">
        <v>12923</v>
      </c>
      <c r="D222" s="333"/>
      <c r="E222" s="49">
        <v>114.21</v>
      </c>
      <c r="F222" s="76" t="s">
        <v>9</v>
      </c>
      <c r="G222" s="49">
        <f t="shared" si="5"/>
        <v>0</v>
      </c>
    </row>
    <row r="223" spans="1:7">
      <c r="A223" s="430">
        <v>38245</v>
      </c>
      <c r="B223" s="76" t="s">
        <v>12924</v>
      </c>
      <c r="C223" s="77" t="s">
        <v>12925</v>
      </c>
      <c r="D223" s="333"/>
      <c r="E223" s="49">
        <v>42</v>
      </c>
      <c r="F223" s="76" t="s">
        <v>9</v>
      </c>
      <c r="G223" s="49">
        <f t="shared" si="5"/>
        <v>0</v>
      </c>
    </row>
    <row r="224" spans="1:7">
      <c r="A224" s="430">
        <v>38245</v>
      </c>
      <c r="B224" s="76" t="s">
        <v>12920</v>
      </c>
      <c r="C224" s="77" t="s">
        <v>12926</v>
      </c>
      <c r="D224" s="333"/>
      <c r="E224" s="49">
        <v>24.16</v>
      </c>
      <c r="F224" s="76" t="s">
        <v>9</v>
      </c>
      <c r="G224" s="49">
        <f t="shared" si="5"/>
        <v>0</v>
      </c>
    </row>
    <row r="225" spans="1:7">
      <c r="A225" s="430">
        <v>38245</v>
      </c>
      <c r="B225" s="76" t="s">
        <v>12927</v>
      </c>
      <c r="C225" s="332" t="s">
        <v>12928</v>
      </c>
      <c r="D225" s="333"/>
      <c r="E225" s="49">
        <v>7.9</v>
      </c>
      <c r="F225" s="76" t="s">
        <v>9</v>
      </c>
      <c r="G225" s="49">
        <f t="shared" si="5"/>
        <v>0</v>
      </c>
    </row>
    <row r="226" spans="1:7">
      <c r="A226" s="430">
        <v>38245</v>
      </c>
      <c r="B226" s="76" t="s">
        <v>12929</v>
      </c>
      <c r="C226" s="77" t="s">
        <v>12930</v>
      </c>
      <c r="D226" s="333"/>
      <c r="E226" s="49">
        <v>767</v>
      </c>
      <c r="F226" s="76" t="s">
        <v>9</v>
      </c>
      <c r="G226" s="49">
        <f t="shared" si="5"/>
        <v>0</v>
      </c>
    </row>
    <row r="227" spans="1:7">
      <c r="A227" s="1491">
        <v>38261</v>
      </c>
      <c r="B227" s="1492"/>
      <c r="C227" s="1493" t="s">
        <v>12931</v>
      </c>
      <c r="D227" s="1494"/>
      <c r="E227" s="1495">
        <f>SUM(E228:E236)</f>
        <v>1186.6200000000001</v>
      </c>
      <c r="F227" s="1496"/>
      <c r="G227" s="1497"/>
    </row>
    <row r="228" spans="1:7">
      <c r="A228" s="777">
        <v>38270</v>
      </c>
      <c r="B228" s="76" t="s">
        <v>12932</v>
      </c>
      <c r="C228" s="77" t="s">
        <v>12933</v>
      </c>
      <c r="D228" s="63"/>
      <c r="E228" s="49">
        <v>27.03</v>
      </c>
      <c r="F228" s="76" t="s">
        <v>9</v>
      </c>
      <c r="G228" s="778">
        <f t="shared" ref="G228:G236" si="6">IF(F228="X",0,E228)</f>
        <v>0</v>
      </c>
    </row>
    <row r="229" spans="1:7">
      <c r="A229" s="777">
        <v>38271</v>
      </c>
      <c r="B229" s="76" t="s">
        <v>1218</v>
      </c>
      <c r="C229" s="77" t="s">
        <v>2671</v>
      </c>
      <c r="D229" s="333"/>
      <c r="E229" s="49">
        <v>133.1</v>
      </c>
      <c r="F229" s="76" t="s">
        <v>9</v>
      </c>
      <c r="G229" s="778">
        <f t="shared" si="6"/>
        <v>0</v>
      </c>
    </row>
    <row r="230" spans="1:7">
      <c r="A230" s="777">
        <v>38272</v>
      </c>
      <c r="B230" s="76" t="s">
        <v>12917</v>
      </c>
      <c r="C230" s="77" t="s">
        <v>12934</v>
      </c>
      <c r="D230" s="333"/>
      <c r="E230" s="49">
        <v>114.21</v>
      </c>
      <c r="F230" s="76" t="s">
        <v>9</v>
      </c>
      <c r="G230" s="778">
        <f t="shared" si="6"/>
        <v>0</v>
      </c>
    </row>
    <row r="231" spans="1:7">
      <c r="A231" s="777">
        <v>38275</v>
      </c>
      <c r="B231" s="76" t="s">
        <v>12924</v>
      </c>
      <c r="C231" s="77" t="s">
        <v>12935</v>
      </c>
      <c r="D231" s="333"/>
      <c r="E231" s="49">
        <v>42</v>
      </c>
      <c r="F231" s="76" t="s">
        <v>9</v>
      </c>
      <c r="G231" s="778">
        <f t="shared" si="6"/>
        <v>0</v>
      </c>
    </row>
    <row r="232" spans="1:7">
      <c r="A232" s="777">
        <v>38275</v>
      </c>
      <c r="B232" s="76" t="s">
        <v>12920</v>
      </c>
      <c r="C232" s="77" t="s">
        <v>12936</v>
      </c>
      <c r="D232" s="333"/>
      <c r="E232" s="49">
        <v>24.16</v>
      </c>
      <c r="F232" s="76" t="s">
        <v>9</v>
      </c>
      <c r="G232" s="778">
        <f t="shared" si="6"/>
        <v>0</v>
      </c>
    </row>
    <row r="233" spans="1:7">
      <c r="A233" s="777">
        <v>38275</v>
      </c>
      <c r="B233" s="76" t="s">
        <v>12927</v>
      </c>
      <c r="C233" s="332" t="s">
        <v>12937</v>
      </c>
      <c r="D233" s="333"/>
      <c r="E233" s="49">
        <v>7.9</v>
      </c>
      <c r="F233" s="76" t="s">
        <v>9</v>
      </c>
      <c r="G233" s="778">
        <f t="shared" si="6"/>
        <v>0</v>
      </c>
    </row>
    <row r="234" spans="1:7">
      <c r="A234" s="777">
        <v>38275</v>
      </c>
      <c r="B234" s="76" t="s">
        <v>12929</v>
      </c>
      <c r="C234" s="77" t="s">
        <v>12938</v>
      </c>
      <c r="D234" s="333"/>
      <c r="E234" s="49">
        <v>767</v>
      </c>
      <c r="F234" s="76" t="s">
        <v>9</v>
      </c>
      <c r="G234" s="778">
        <f t="shared" si="6"/>
        <v>0</v>
      </c>
    </row>
    <row r="235" spans="1:7">
      <c r="A235" s="777">
        <v>38275</v>
      </c>
      <c r="B235" s="76" t="s">
        <v>2626</v>
      </c>
      <c r="C235" s="77" t="s">
        <v>12939</v>
      </c>
      <c r="D235" s="333"/>
      <c r="E235" s="49">
        <v>44.58</v>
      </c>
      <c r="F235" s="76" t="s">
        <v>9</v>
      </c>
      <c r="G235" s="778">
        <f t="shared" si="6"/>
        <v>0</v>
      </c>
    </row>
    <row r="236" spans="1:7">
      <c r="A236" s="1080">
        <v>38275</v>
      </c>
      <c r="B236" s="762" t="s">
        <v>12940</v>
      </c>
      <c r="C236" s="1081" t="s">
        <v>12941</v>
      </c>
      <c r="D236" s="914"/>
      <c r="E236" s="1082">
        <v>26.64</v>
      </c>
      <c r="F236" s="762" t="s">
        <v>9</v>
      </c>
      <c r="G236" s="1083">
        <f t="shared" si="6"/>
        <v>0</v>
      </c>
    </row>
    <row r="237" spans="1:7">
      <c r="A237" s="1484">
        <v>38292</v>
      </c>
      <c r="B237" s="1485"/>
      <c r="C237" s="1486" t="s">
        <v>12942</v>
      </c>
      <c r="D237" s="1487"/>
      <c r="E237" s="1488">
        <f>SUM(E238:E249)</f>
        <v>1713.7899999999997</v>
      </c>
      <c r="F237" s="1489"/>
      <c r="G237" s="1490"/>
    </row>
    <row r="238" spans="1:7">
      <c r="A238" s="777">
        <v>38301</v>
      </c>
      <c r="B238" s="76" t="s">
        <v>12932</v>
      </c>
      <c r="C238" s="77" t="s">
        <v>12943</v>
      </c>
      <c r="D238" s="63"/>
      <c r="E238" s="49">
        <v>27.03</v>
      </c>
      <c r="F238" s="76" t="s">
        <v>9</v>
      </c>
      <c r="G238" s="778">
        <f t="shared" ref="G238:G249" si="7">IF(F238="X",0,E238)</f>
        <v>0</v>
      </c>
    </row>
    <row r="239" spans="1:7">
      <c r="A239" s="777">
        <v>38302</v>
      </c>
      <c r="B239" s="76" t="s">
        <v>1218</v>
      </c>
      <c r="C239" s="77" t="s">
        <v>12944</v>
      </c>
      <c r="D239" s="333"/>
      <c r="E239" s="49">
        <v>133.1</v>
      </c>
      <c r="F239" s="76" t="s">
        <v>9</v>
      </c>
      <c r="G239" s="778">
        <f t="shared" si="7"/>
        <v>0</v>
      </c>
    </row>
    <row r="240" spans="1:7">
      <c r="A240" s="777">
        <v>38303</v>
      </c>
      <c r="B240" s="76" t="s">
        <v>12917</v>
      </c>
      <c r="C240" s="77" t="s">
        <v>12945</v>
      </c>
      <c r="D240" s="333"/>
      <c r="E240" s="49">
        <v>114.21</v>
      </c>
      <c r="F240" s="76" t="s">
        <v>9</v>
      </c>
      <c r="G240" s="778">
        <f t="shared" si="7"/>
        <v>0</v>
      </c>
    </row>
    <row r="241" spans="1:7">
      <c r="A241" s="777">
        <v>38305</v>
      </c>
      <c r="B241" s="76" t="s">
        <v>12946</v>
      </c>
      <c r="C241" s="77" t="s">
        <v>12947</v>
      </c>
      <c r="D241" s="333"/>
      <c r="E241" s="49">
        <v>347.93</v>
      </c>
      <c r="F241" s="76" t="s">
        <v>120</v>
      </c>
      <c r="G241" s="778">
        <f t="shared" si="7"/>
        <v>0</v>
      </c>
    </row>
    <row r="242" spans="1:7">
      <c r="A242" s="777">
        <v>38306</v>
      </c>
      <c r="B242" s="76" t="s">
        <v>12924</v>
      </c>
      <c r="C242" s="77" t="s">
        <v>12948</v>
      </c>
      <c r="D242" s="333"/>
      <c r="E242" s="49">
        <v>42</v>
      </c>
      <c r="F242" s="76" t="s">
        <v>9</v>
      </c>
      <c r="G242" s="778">
        <f t="shared" si="7"/>
        <v>0</v>
      </c>
    </row>
    <row r="243" spans="1:7">
      <c r="A243" s="777">
        <v>38306</v>
      </c>
      <c r="B243" s="76" t="s">
        <v>12920</v>
      </c>
      <c r="C243" s="77" t="s">
        <v>12949</v>
      </c>
      <c r="D243" s="333"/>
      <c r="E243" s="49">
        <v>24.16</v>
      </c>
      <c r="F243" s="76" t="s">
        <v>9</v>
      </c>
      <c r="G243" s="778">
        <f t="shared" si="7"/>
        <v>0</v>
      </c>
    </row>
    <row r="244" spans="1:7">
      <c r="A244" s="777">
        <v>38306</v>
      </c>
      <c r="B244" s="76" t="s">
        <v>12927</v>
      </c>
      <c r="C244" s="332" t="s">
        <v>12950</v>
      </c>
      <c r="D244" s="333"/>
      <c r="E244" s="49">
        <v>7.9</v>
      </c>
      <c r="F244" s="76" t="s">
        <v>9</v>
      </c>
      <c r="G244" s="778">
        <f t="shared" si="7"/>
        <v>0</v>
      </c>
    </row>
    <row r="245" spans="1:7">
      <c r="A245" s="792">
        <v>38306</v>
      </c>
      <c r="B245" s="793" t="s">
        <v>12929</v>
      </c>
      <c r="C245" s="794" t="s">
        <v>12951</v>
      </c>
      <c r="D245" s="795"/>
      <c r="E245" s="796">
        <v>766</v>
      </c>
      <c r="F245" s="797" t="s">
        <v>120</v>
      </c>
      <c r="G245" s="798">
        <f t="shared" si="7"/>
        <v>0</v>
      </c>
    </row>
    <row r="246" spans="1:7">
      <c r="A246" s="777">
        <v>38306</v>
      </c>
      <c r="B246" s="76" t="s">
        <v>2626</v>
      </c>
      <c r="C246" s="77" t="s">
        <v>12952</v>
      </c>
      <c r="D246" s="333"/>
      <c r="E246" s="49">
        <v>44.56</v>
      </c>
      <c r="F246" s="76" t="s">
        <v>9</v>
      </c>
      <c r="G246" s="778">
        <f t="shared" si="7"/>
        <v>0</v>
      </c>
    </row>
    <row r="247" spans="1:7">
      <c r="A247" s="777">
        <v>38306</v>
      </c>
      <c r="B247" s="76" t="s">
        <v>12940</v>
      </c>
      <c r="C247" s="77" t="s">
        <v>12953</v>
      </c>
      <c r="D247" s="333"/>
      <c r="E247" s="49">
        <v>26.3</v>
      </c>
      <c r="F247" s="76" t="s">
        <v>9</v>
      </c>
      <c r="G247" s="778">
        <f t="shared" si="7"/>
        <v>0</v>
      </c>
    </row>
    <row r="248" spans="1:7">
      <c r="A248" s="777">
        <v>38320</v>
      </c>
      <c r="B248" s="76" t="s">
        <v>12954</v>
      </c>
      <c r="C248" s="77" t="s">
        <v>12955</v>
      </c>
      <c r="D248" s="333"/>
      <c r="E248" s="49">
        <v>130.6</v>
      </c>
      <c r="F248" s="76" t="s">
        <v>9</v>
      </c>
      <c r="G248" s="778">
        <f t="shared" si="7"/>
        <v>0</v>
      </c>
    </row>
    <row r="249" spans="1:7">
      <c r="A249" s="1080">
        <v>38321</v>
      </c>
      <c r="B249" s="762" t="s">
        <v>12956</v>
      </c>
      <c r="C249" s="1081" t="s">
        <v>12957</v>
      </c>
      <c r="D249" s="914"/>
      <c r="E249" s="1082">
        <v>50</v>
      </c>
      <c r="F249" s="762" t="s">
        <v>9</v>
      </c>
      <c r="G249" s="1083">
        <f t="shared" si="7"/>
        <v>0</v>
      </c>
    </row>
    <row r="250" spans="1:7">
      <c r="A250" s="1484">
        <v>38322</v>
      </c>
      <c r="B250" s="1485"/>
      <c r="C250" s="1486" t="s">
        <v>12958</v>
      </c>
      <c r="D250" s="1487"/>
      <c r="E250" s="1488">
        <f>SUM(E251:E263)</f>
        <v>1110.7399999999998</v>
      </c>
      <c r="F250" s="1489"/>
      <c r="G250" s="1490"/>
    </row>
    <row r="251" spans="1:7">
      <c r="A251" s="777">
        <v>38331</v>
      </c>
      <c r="B251" s="76" t="s">
        <v>12932</v>
      </c>
      <c r="C251" s="77" t="s">
        <v>12959</v>
      </c>
      <c r="D251" s="63"/>
      <c r="E251" s="49">
        <v>27.03</v>
      </c>
      <c r="F251" s="76" t="s">
        <v>9</v>
      </c>
      <c r="G251" s="778">
        <f t="shared" ref="G251:G263" si="8">IF(F251="X",0,E251)</f>
        <v>0</v>
      </c>
    </row>
    <row r="252" spans="1:7">
      <c r="A252" s="777">
        <v>38332</v>
      </c>
      <c r="B252" s="76" t="s">
        <v>1218</v>
      </c>
      <c r="C252" s="77" t="s">
        <v>12960</v>
      </c>
      <c r="D252" s="333"/>
      <c r="E252" s="49">
        <v>133.1</v>
      </c>
      <c r="F252" s="76" t="s">
        <v>9</v>
      </c>
      <c r="G252" s="778">
        <f t="shared" si="8"/>
        <v>0</v>
      </c>
    </row>
    <row r="253" spans="1:7">
      <c r="A253" s="777">
        <v>38333</v>
      </c>
      <c r="B253" s="76" t="s">
        <v>12917</v>
      </c>
      <c r="C253" s="332" t="s">
        <v>12961</v>
      </c>
      <c r="D253" s="333"/>
      <c r="E253" s="49">
        <v>114.21</v>
      </c>
      <c r="F253" s="76" t="s">
        <v>9</v>
      </c>
      <c r="G253" s="778">
        <f t="shared" si="8"/>
        <v>0</v>
      </c>
    </row>
    <row r="254" spans="1:7">
      <c r="A254" s="777">
        <v>38334</v>
      </c>
      <c r="B254" s="76" t="s">
        <v>12962</v>
      </c>
      <c r="C254" s="332" t="s">
        <v>12963</v>
      </c>
      <c r="D254" s="134"/>
      <c r="E254" s="49">
        <v>143.85</v>
      </c>
      <c r="F254" s="76" t="s">
        <v>9</v>
      </c>
      <c r="G254" s="778">
        <f t="shared" si="8"/>
        <v>0</v>
      </c>
    </row>
    <row r="255" spans="1:7">
      <c r="A255" s="777">
        <v>38335</v>
      </c>
      <c r="B255" s="76" t="s">
        <v>12946</v>
      </c>
      <c r="C255" s="332" t="s">
        <v>12964</v>
      </c>
      <c r="D255" s="333"/>
      <c r="E255" s="49">
        <v>347.93</v>
      </c>
      <c r="F255" s="76" t="s">
        <v>9</v>
      </c>
      <c r="G255" s="778">
        <f t="shared" si="8"/>
        <v>0</v>
      </c>
    </row>
    <row r="256" spans="1:7">
      <c r="A256" s="777">
        <v>38335</v>
      </c>
      <c r="B256" s="76" t="s">
        <v>12965</v>
      </c>
      <c r="C256" s="332" t="s">
        <v>12966</v>
      </c>
      <c r="D256" s="333"/>
      <c r="E256" s="49">
        <v>0</v>
      </c>
      <c r="F256" s="76" t="s">
        <v>9</v>
      </c>
      <c r="G256" s="778">
        <f t="shared" si="8"/>
        <v>0</v>
      </c>
    </row>
    <row r="257" spans="1:7">
      <c r="A257" s="777">
        <v>38336</v>
      </c>
      <c r="B257" s="76" t="s">
        <v>12924</v>
      </c>
      <c r="C257" s="77" t="s">
        <v>12967</v>
      </c>
      <c r="D257" s="333"/>
      <c r="E257" s="49">
        <v>42</v>
      </c>
      <c r="F257" s="76" t="s">
        <v>9</v>
      </c>
      <c r="G257" s="778">
        <f t="shared" si="8"/>
        <v>0</v>
      </c>
    </row>
    <row r="258" spans="1:7">
      <c r="A258" s="777">
        <v>38336</v>
      </c>
      <c r="B258" s="76" t="s">
        <v>12920</v>
      </c>
      <c r="C258" s="77" t="s">
        <v>12968</v>
      </c>
      <c r="D258" s="333"/>
      <c r="E258" s="49">
        <v>24.16</v>
      </c>
      <c r="F258" s="76" t="s">
        <v>9</v>
      </c>
      <c r="G258" s="778">
        <f t="shared" si="8"/>
        <v>0</v>
      </c>
    </row>
    <row r="259" spans="1:7">
      <c r="A259" s="777">
        <v>38336</v>
      </c>
      <c r="B259" s="76" t="s">
        <v>12927</v>
      </c>
      <c r="C259" s="332" t="s">
        <v>12969</v>
      </c>
      <c r="D259" s="333"/>
      <c r="E259" s="49">
        <v>7.9</v>
      </c>
      <c r="F259" s="76" t="s">
        <v>9</v>
      </c>
      <c r="G259" s="778">
        <f t="shared" si="8"/>
        <v>0</v>
      </c>
    </row>
    <row r="260" spans="1:7">
      <c r="A260" s="792">
        <v>38336</v>
      </c>
      <c r="B260" s="793" t="s">
        <v>2626</v>
      </c>
      <c r="C260" s="794" t="s">
        <v>12970</v>
      </c>
      <c r="D260" s="795"/>
      <c r="E260" s="796">
        <v>44.56</v>
      </c>
      <c r="F260" s="797" t="s">
        <v>9</v>
      </c>
      <c r="G260" s="798">
        <f t="shared" si="8"/>
        <v>0</v>
      </c>
    </row>
    <row r="261" spans="1:7">
      <c r="A261" s="792">
        <v>38336</v>
      </c>
      <c r="B261" s="793" t="s">
        <v>12940</v>
      </c>
      <c r="C261" s="794" t="s">
        <v>12971</v>
      </c>
      <c r="D261" s="795"/>
      <c r="E261" s="796">
        <v>26.3</v>
      </c>
      <c r="F261" s="797" t="s">
        <v>9</v>
      </c>
      <c r="G261" s="798">
        <f t="shared" si="8"/>
        <v>0</v>
      </c>
    </row>
    <row r="262" spans="1:7">
      <c r="A262" s="792">
        <v>38336</v>
      </c>
      <c r="B262" s="793" t="s">
        <v>12954</v>
      </c>
      <c r="C262" s="794" t="s">
        <v>12972</v>
      </c>
      <c r="D262" s="795"/>
      <c r="E262" s="796">
        <v>124.7</v>
      </c>
      <c r="F262" s="797" t="s">
        <v>9</v>
      </c>
      <c r="G262" s="798">
        <f t="shared" si="8"/>
        <v>0</v>
      </c>
    </row>
    <row r="263" spans="1:7">
      <c r="A263" s="939">
        <v>38341</v>
      </c>
      <c r="B263" s="940" t="s">
        <v>12956</v>
      </c>
      <c r="C263" s="941" t="s">
        <v>12973</v>
      </c>
      <c r="D263" s="942"/>
      <c r="E263" s="943">
        <v>75</v>
      </c>
      <c r="F263" s="944" t="s">
        <v>9</v>
      </c>
      <c r="G263" s="945">
        <f t="shared" si="8"/>
        <v>0</v>
      </c>
    </row>
    <row r="264" spans="1:7">
      <c r="A264" s="1484">
        <v>38353</v>
      </c>
      <c r="B264" s="1485"/>
      <c r="C264" s="1486" t="s">
        <v>12974</v>
      </c>
      <c r="D264" s="1487"/>
      <c r="E264" s="1488">
        <f>SUM(E265:E275)</f>
        <v>1009.5799999999999</v>
      </c>
      <c r="F264" s="1489"/>
      <c r="G264" s="1490"/>
    </row>
    <row r="265" spans="1:7">
      <c r="A265" s="430">
        <v>38354</v>
      </c>
      <c r="B265" s="76" t="s">
        <v>12975</v>
      </c>
      <c r="C265" s="77" t="s">
        <v>12976</v>
      </c>
      <c r="D265" s="333"/>
      <c r="E265" s="49">
        <v>34</v>
      </c>
      <c r="F265" s="76" t="s">
        <v>9</v>
      </c>
      <c r="G265" s="778">
        <f t="shared" ref="G265:G275" si="9">IF(F265="X",0,E265)</f>
        <v>0</v>
      </c>
    </row>
    <row r="266" spans="1:7">
      <c r="A266" s="430">
        <v>38354</v>
      </c>
      <c r="B266" s="76" t="s">
        <v>12977</v>
      </c>
      <c r="C266" s="332" t="s">
        <v>12978</v>
      </c>
      <c r="D266" s="333"/>
      <c r="E266" s="49">
        <v>56.42</v>
      </c>
      <c r="F266" s="76" t="s">
        <v>120</v>
      </c>
      <c r="G266" s="778">
        <f t="shared" si="9"/>
        <v>0</v>
      </c>
    </row>
    <row r="267" spans="1:7">
      <c r="A267" s="430">
        <v>38354</v>
      </c>
      <c r="B267" s="76" t="s">
        <v>12107</v>
      </c>
      <c r="C267" s="77" t="s">
        <v>12979</v>
      </c>
      <c r="D267" s="333"/>
      <c r="E267" s="49">
        <v>78.98</v>
      </c>
      <c r="F267" s="76" t="s">
        <v>120</v>
      </c>
      <c r="G267" s="778">
        <f t="shared" si="9"/>
        <v>0</v>
      </c>
    </row>
    <row r="268" spans="1:7">
      <c r="A268" s="430">
        <v>38362</v>
      </c>
      <c r="B268" s="76" t="s">
        <v>12932</v>
      </c>
      <c r="C268" s="77" t="s">
        <v>12980</v>
      </c>
      <c r="D268" s="63"/>
      <c r="E268" s="49">
        <v>27.03</v>
      </c>
      <c r="F268" s="76" t="s">
        <v>9</v>
      </c>
      <c r="G268" s="778">
        <f t="shared" si="9"/>
        <v>0</v>
      </c>
    </row>
    <row r="269" spans="1:7">
      <c r="A269" s="430">
        <v>38363</v>
      </c>
      <c r="B269" s="76" t="s">
        <v>1218</v>
      </c>
      <c r="C269" s="77" t="s">
        <v>12981</v>
      </c>
      <c r="D269" s="333"/>
      <c r="E269" s="49">
        <v>133.1</v>
      </c>
      <c r="F269" s="76" t="s">
        <v>9</v>
      </c>
      <c r="G269" s="778">
        <f t="shared" si="9"/>
        <v>0</v>
      </c>
    </row>
    <row r="270" spans="1:7">
      <c r="A270" s="430">
        <v>38364</v>
      </c>
      <c r="B270" s="76" t="s">
        <v>12917</v>
      </c>
      <c r="C270" s="77" t="s">
        <v>12982</v>
      </c>
      <c r="D270" s="333"/>
      <c r="E270" s="49">
        <v>114.21</v>
      </c>
      <c r="F270" s="76" t="s">
        <v>9</v>
      </c>
      <c r="G270" s="778">
        <f t="shared" si="9"/>
        <v>0</v>
      </c>
    </row>
    <row r="271" spans="1:7">
      <c r="A271" s="430">
        <v>38365</v>
      </c>
      <c r="B271" s="76" t="s">
        <v>12962</v>
      </c>
      <c r="C271" s="332" t="s">
        <v>12983</v>
      </c>
      <c r="D271" s="134"/>
      <c r="E271" s="49">
        <v>143.85</v>
      </c>
      <c r="F271" s="76" t="s">
        <v>9</v>
      </c>
      <c r="G271" s="778">
        <f t="shared" si="9"/>
        <v>0</v>
      </c>
    </row>
    <row r="272" spans="1:7">
      <c r="A272" s="792">
        <v>38366</v>
      </c>
      <c r="B272" s="793" t="s">
        <v>12946</v>
      </c>
      <c r="C272" s="794" t="s">
        <v>12984</v>
      </c>
      <c r="D272" s="795"/>
      <c r="E272" s="796">
        <v>347.93</v>
      </c>
      <c r="F272" s="797" t="s">
        <v>9</v>
      </c>
      <c r="G272" s="798">
        <f t="shared" si="9"/>
        <v>0</v>
      </c>
    </row>
    <row r="273" spans="1:7">
      <c r="A273" s="430">
        <v>38367</v>
      </c>
      <c r="B273" s="76" t="s">
        <v>12924</v>
      </c>
      <c r="C273" s="77" t="s">
        <v>12985</v>
      </c>
      <c r="D273" s="333"/>
      <c r="E273" s="49">
        <v>42</v>
      </c>
      <c r="F273" s="76" t="s">
        <v>9</v>
      </c>
      <c r="G273" s="778">
        <f t="shared" si="9"/>
        <v>0</v>
      </c>
    </row>
    <row r="274" spans="1:7">
      <c r="A274" s="792">
        <v>38367</v>
      </c>
      <c r="B274" s="793" t="s">
        <v>12920</v>
      </c>
      <c r="C274" s="794" t="s">
        <v>12986</v>
      </c>
      <c r="D274" s="795"/>
      <c r="E274" s="796">
        <v>24.16</v>
      </c>
      <c r="F274" s="797" t="s">
        <v>9</v>
      </c>
      <c r="G274" s="798">
        <f t="shared" si="9"/>
        <v>0</v>
      </c>
    </row>
    <row r="275" spans="1:7">
      <c r="A275" s="430">
        <v>38367</v>
      </c>
      <c r="B275" s="76" t="s">
        <v>12927</v>
      </c>
      <c r="C275" s="332" t="s">
        <v>12987</v>
      </c>
      <c r="D275" s="333"/>
      <c r="E275" s="49">
        <v>7.9</v>
      </c>
      <c r="F275" s="76" t="s">
        <v>9</v>
      </c>
      <c r="G275" s="778">
        <f t="shared" si="9"/>
        <v>0</v>
      </c>
    </row>
    <row r="276" spans="1:7">
      <c r="A276" s="1491">
        <v>38384</v>
      </c>
      <c r="B276" s="1492"/>
      <c r="C276" s="1493" t="s">
        <v>4984</v>
      </c>
      <c r="D276" s="1494"/>
      <c r="E276" s="1495">
        <f>SUM(E277:E286)</f>
        <v>677.4899999999999</v>
      </c>
      <c r="F276" s="1496"/>
      <c r="G276" s="1497"/>
    </row>
    <row r="277" spans="1:7">
      <c r="A277" s="777">
        <v>38385</v>
      </c>
      <c r="B277" s="76" t="s">
        <v>12975</v>
      </c>
      <c r="C277" s="77" t="s">
        <v>12988</v>
      </c>
      <c r="D277" s="333"/>
      <c r="E277" s="49">
        <v>34</v>
      </c>
      <c r="F277" s="76" t="s">
        <v>9</v>
      </c>
      <c r="G277" s="778">
        <f t="shared" ref="G277:G286" si="10">IF(F277="X",0,E277)</f>
        <v>0</v>
      </c>
    </row>
    <row r="278" spans="1:7">
      <c r="A278" s="777">
        <v>38385</v>
      </c>
      <c r="B278" s="76" t="s">
        <v>12977</v>
      </c>
      <c r="C278" s="332" t="s">
        <v>12989</v>
      </c>
      <c r="D278" s="333"/>
      <c r="E278" s="49">
        <v>56.42</v>
      </c>
      <c r="F278" s="76" t="s">
        <v>9</v>
      </c>
      <c r="G278" s="778">
        <f t="shared" si="10"/>
        <v>0</v>
      </c>
    </row>
    <row r="279" spans="1:7">
      <c r="A279" s="777">
        <v>38385</v>
      </c>
      <c r="B279" s="76" t="s">
        <v>12107</v>
      </c>
      <c r="C279" s="77" t="s">
        <v>12990</v>
      </c>
      <c r="D279" s="333"/>
      <c r="E279" s="49">
        <v>78.98</v>
      </c>
      <c r="F279" s="76" t="s">
        <v>9</v>
      </c>
      <c r="G279" s="778">
        <f t="shared" si="10"/>
        <v>0</v>
      </c>
    </row>
    <row r="280" spans="1:7">
      <c r="A280" s="777">
        <v>38385</v>
      </c>
      <c r="B280" s="76" t="s">
        <v>12991</v>
      </c>
      <c r="C280" s="77" t="s">
        <v>12992</v>
      </c>
      <c r="D280" s="333"/>
      <c r="E280" s="49">
        <v>40</v>
      </c>
      <c r="F280" s="76" t="s">
        <v>9</v>
      </c>
      <c r="G280" s="778">
        <f t="shared" si="10"/>
        <v>0</v>
      </c>
    </row>
    <row r="281" spans="1:7">
      <c r="A281" s="777">
        <v>38393</v>
      </c>
      <c r="B281" s="76" t="s">
        <v>12932</v>
      </c>
      <c r="C281" s="77" t="s">
        <v>12993</v>
      </c>
      <c r="D281" s="63"/>
      <c r="E281" s="49">
        <v>27.03</v>
      </c>
      <c r="F281" s="76" t="s">
        <v>9</v>
      </c>
      <c r="G281" s="778">
        <f t="shared" si="10"/>
        <v>0</v>
      </c>
    </row>
    <row r="282" spans="1:7">
      <c r="A282" s="777">
        <v>38394</v>
      </c>
      <c r="B282" s="76" t="s">
        <v>1218</v>
      </c>
      <c r="C282" s="77" t="s">
        <v>12994</v>
      </c>
      <c r="D282" s="333"/>
      <c r="E282" s="49">
        <v>133.1</v>
      </c>
      <c r="F282" s="76" t="s">
        <v>9</v>
      </c>
      <c r="G282" s="778">
        <f t="shared" si="10"/>
        <v>0</v>
      </c>
    </row>
    <row r="283" spans="1:7">
      <c r="A283" s="777">
        <v>38395</v>
      </c>
      <c r="B283" s="76" t="s">
        <v>12917</v>
      </c>
      <c r="C283" s="77" t="s">
        <v>12995</v>
      </c>
      <c r="D283" s="333"/>
      <c r="E283" s="49">
        <v>114.21</v>
      </c>
      <c r="F283" s="76" t="s">
        <v>9</v>
      </c>
      <c r="G283" s="778">
        <f t="shared" si="10"/>
        <v>0</v>
      </c>
    </row>
    <row r="284" spans="1:7">
      <c r="A284" s="792">
        <v>38396</v>
      </c>
      <c r="B284" s="793" t="s">
        <v>12962</v>
      </c>
      <c r="C284" s="794" t="s">
        <v>12996</v>
      </c>
      <c r="D284" s="795"/>
      <c r="E284" s="796">
        <v>143.85</v>
      </c>
      <c r="F284" s="797" t="s">
        <v>9</v>
      </c>
      <c r="G284" s="798">
        <f t="shared" si="10"/>
        <v>0</v>
      </c>
    </row>
    <row r="285" spans="1:7">
      <c r="A285" s="777">
        <v>38398</v>
      </c>
      <c r="B285" s="76" t="s">
        <v>12924</v>
      </c>
      <c r="C285" s="77" t="s">
        <v>12997</v>
      </c>
      <c r="D285" s="333"/>
      <c r="E285" s="49">
        <v>42</v>
      </c>
      <c r="F285" s="76" t="s">
        <v>9</v>
      </c>
      <c r="G285" s="778">
        <f t="shared" si="10"/>
        <v>0</v>
      </c>
    </row>
    <row r="286" spans="1:7">
      <c r="A286" s="1080">
        <v>38398</v>
      </c>
      <c r="B286" s="762" t="s">
        <v>12927</v>
      </c>
      <c r="C286" s="788" t="s">
        <v>12998</v>
      </c>
      <c r="D286" s="914"/>
      <c r="E286" s="1082">
        <v>7.9</v>
      </c>
      <c r="F286" s="762" t="s">
        <v>9</v>
      </c>
      <c r="G286" s="1083">
        <f t="shared" si="10"/>
        <v>0</v>
      </c>
    </row>
    <row r="287" spans="1:7">
      <c r="A287" s="1484">
        <v>38412</v>
      </c>
      <c r="B287" s="1485"/>
      <c r="C287" s="1486" t="s">
        <v>12999</v>
      </c>
      <c r="D287" s="1487"/>
      <c r="E287" s="1488">
        <f>SUM(E288:E300)</f>
        <v>799.46</v>
      </c>
      <c r="F287" s="1489"/>
      <c r="G287" s="1490"/>
    </row>
    <row r="288" spans="1:7">
      <c r="A288" s="777">
        <v>38413</v>
      </c>
      <c r="B288" s="76" t="s">
        <v>12975</v>
      </c>
      <c r="C288" s="77" t="s">
        <v>13000</v>
      </c>
      <c r="D288" s="333"/>
      <c r="E288" s="49">
        <v>34</v>
      </c>
      <c r="F288" s="76" t="s">
        <v>9</v>
      </c>
      <c r="G288" s="778">
        <f t="shared" ref="G288:G300" si="11">IF(F288="X",0,E288)</f>
        <v>0</v>
      </c>
    </row>
    <row r="289" spans="1:7">
      <c r="A289" s="777">
        <v>38413</v>
      </c>
      <c r="B289" s="76" t="s">
        <v>12977</v>
      </c>
      <c r="C289" s="332" t="s">
        <v>13001</v>
      </c>
      <c r="D289" s="333"/>
      <c r="E289" s="49">
        <v>56.43</v>
      </c>
      <c r="F289" s="76" t="s">
        <v>9</v>
      </c>
      <c r="G289" s="778">
        <f t="shared" si="11"/>
        <v>0</v>
      </c>
    </row>
    <row r="290" spans="1:7">
      <c r="A290" s="792">
        <v>38413</v>
      </c>
      <c r="B290" s="793" t="s">
        <v>12107</v>
      </c>
      <c r="C290" s="794" t="s">
        <v>13002</v>
      </c>
      <c r="D290" s="795"/>
      <c r="E290" s="796">
        <v>78.98</v>
      </c>
      <c r="F290" s="797" t="s">
        <v>9</v>
      </c>
      <c r="G290" s="798">
        <f t="shared" si="11"/>
        <v>0</v>
      </c>
    </row>
    <row r="291" spans="1:7">
      <c r="A291" s="777">
        <v>38413</v>
      </c>
      <c r="B291" s="76" t="s">
        <v>12991</v>
      </c>
      <c r="C291" s="77" t="s">
        <v>13003</v>
      </c>
      <c r="D291" s="333"/>
      <c r="E291" s="49">
        <v>40</v>
      </c>
      <c r="F291" s="76" t="s">
        <v>9</v>
      </c>
      <c r="G291" s="778">
        <f t="shared" si="11"/>
        <v>0</v>
      </c>
    </row>
    <row r="292" spans="1:7">
      <c r="A292" s="777">
        <v>38413</v>
      </c>
      <c r="B292" s="76" t="s">
        <v>13004</v>
      </c>
      <c r="C292" s="332" t="s">
        <v>13005</v>
      </c>
      <c r="D292" s="333"/>
      <c r="E292" s="49">
        <v>53.33</v>
      </c>
      <c r="F292" s="76" t="s">
        <v>9</v>
      </c>
      <c r="G292" s="778">
        <f t="shared" si="11"/>
        <v>0</v>
      </c>
    </row>
    <row r="293" spans="1:7">
      <c r="A293" s="777">
        <v>38413</v>
      </c>
      <c r="B293" s="76" t="s">
        <v>13006</v>
      </c>
      <c r="C293" s="332" t="s">
        <v>13007</v>
      </c>
      <c r="D293" s="333"/>
      <c r="E293" s="49">
        <v>49.8</v>
      </c>
      <c r="F293" s="76" t="s">
        <v>9</v>
      </c>
      <c r="G293" s="778">
        <f t="shared" si="11"/>
        <v>0</v>
      </c>
    </row>
    <row r="294" spans="1:7">
      <c r="A294" s="777">
        <v>38413</v>
      </c>
      <c r="B294" s="76" t="s">
        <v>13008</v>
      </c>
      <c r="C294" s="332" t="s">
        <v>13009</v>
      </c>
      <c r="D294" s="333"/>
      <c r="E294" s="49">
        <v>45.33</v>
      </c>
      <c r="F294" s="76" t="s">
        <v>9</v>
      </c>
      <c r="G294" s="778">
        <f t="shared" si="11"/>
        <v>0</v>
      </c>
    </row>
    <row r="295" spans="1:7">
      <c r="A295" s="777">
        <v>38413</v>
      </c>
      <c r="B295" s="76" t="s">
        <v>13010</v>
      </c>
      <c r="C295" s="332" t="s">
        <v>13011</v>
      </c>
      <c r="D295" s="333"/>
      <c r="E295" s="49">
        <v>4</v>
      </c>
      <c r="F295" s="76" t="s">
        <v>9</v>
      </c>
      <c r="G295" s="778">
        <f t="shared" si="11"/>
        <v>0</v>
      </c>
    </row>
    <row r="296" spans="1:7">
      <c r="A296" s="792">
        <v>38421</v>
      </c>
      <c r="B296" s="793" t="s">
        <v>12932</v>
      </c>
      <c r="C296" s="794" t="s">
        <v>13012</v>
      </c>
      <c r="D296" s="795"/>
      <c r="E296" s="796">
        <v>27.03</v>
      </c>
      <c r="F296" s="797" t="s">
        <v>9</v>
      </c>
      <c r="G296" s="798">
        <f t="shared" si="11"/>
        <v>0</v>
      </c>
    </row>
    <row r="297" spans="1:7">
      <c r="A297" s="777">
        <v>38422</v>
      </c>
      <c r="B297" s="76" t="s">
        <v>1218</v>
      </c>
      <c r="C297" s="77" t="s">
        <v>13013</v>
      </c>
      <c r="D297" s="333"/>
      <c r="E297" s="49">
        <v>133.1</v>
      </c>
      <c r="F297" s="76" t="s">
        <v>9</v>
      </c>
      <c r="G297" s="778">
        <f t="shared" si="11"/>
        <v>0</v>
      </c>
    </row>
    <row r="298" spans="1:7">
      <c r="A298" s="777">
        <v>38423</v>
      </c>
      <c r="B298" s="76" t="s">
        <v>12917</v>
      </c>
      <c r="C298" s="77" t="s">
        <v>13014</v>
      </c>
      <c r="D298" s="333"/>
      <c r="E298" s="49">
        <v>114.21</v>
      </c>
      <c r="F298" s="76" t="s">
        <v>9</v>
      </c>
      <c r="G298" s="778">
        <f t="shared" si="11"/>
        <v>0</v>
      </c>
    </row>
    <row r="299" spans="1:7">
      <c r="A299" s="777">
        <v>38426</v>
      </c>
      <c r="B299" s="76" t="s">
        <v>13015</v>
      </c>
      <c r="C299" s="332" t="s">
        <v>13016</v>
      </c>
      <c r="D299" s="333"/>
      <c r="E299" s="49">
        <v>53.25</v>
      </c>
      <c r="F299" s="76" t="s">
        <v>9</v>
      </c>
      <c r="G299" s="778">
        <f t="shared" si="11"/>
        <v>0</v>
      </c>
    </row>
    <row r="300" spans="1:7">
      <c r="A300" s="1080">
        <v>38442</v>
      </c>
      <c r="B300" s="762" t="s">
        <v>13017</v>
      </c>
      <c r="C300" s="788" t="s">
        <v>13018</v>
      </c>
      <c r="D300" s="914"/>
      <c r="E300" s="1082">
        <v>110</v>
      </c>
      <c r="F300" s="762" t="s">
        <v>9</v>
      </c>
      <c r="G300" s="1083">
        <f t="shared" si="11"/>
        <v>0</v>
      </c>
    </row>
    <row r="301" spans="1:7">
      <c r="A301" s="1491">
        <v>38443</v>
      </c>
      <c r="B301" s="1492"/>
      <c r="C301" s="1493" t="s">
        <v>4810</v>
      </c>
      <c r="D301" s="1494"/>
      <c r="E301" s="1495">
        <f>SUM(E302:E316)</f>
        <v>960</v>
      </c>
      <c r="F301" s="1496"/>
      <c r="G301" s="1497"/>
    </row>
    <row r="302" spans="1:7">
      <c r="A302" s="777">
        <v>38444</v>
      </c>
      <c r="B302" s="76" t="s">
        <v>13019</v>
      </c>
      <c r="C302" s="332" t="s">
        <v>13020</v>
      </c>
      <c r="D302" s="333"/>
      <c r="E302" s="49">
        <v>76.650000000000006</v>
      </c>
      <c r="F302" s="76" t="s">
        <v>9</v>
      </c>
      <c r="G302" s="778">
        <f t="shared" ref="G302:G316" si="12">IF(F302="X",0,E302)</f>
        <v>0</v>
      </c>
    </row>
    <row r="303" spans="1:7">
      <c r="A303" s="777">
        <v>38444</v>
      </c>
      <c r="B303" s="76" t="s">
        <v>12975</v>
      </c>
      <c r="C303" s="77" t="s">
        <v>13021</v>
      </c>
      <c r="D303" s="333"/>
      <c r="E303" s="49">
        <v>34</v>
      </c>
      <c r="F303" s="76" t="s">
        <v>9</v>
      </c>
      <c r="G303" s="778">
        <f t="shared" si="12"/>
        <v>0</v>
      </c>
    </row>
    <row r="304" spans="1:7">
      <c r="A304" s="792">
        <v>38444</v>
      </c>
      <c r="B304" s="793" t="s">
        <v>12977</v>
      </c>
      <c r="C304" s="794" t="s">
        <v>13022</v>
      </c>
      <c r="D304" s="795"/>
      <c r="E304" s="796">
        <v>56.53</v>
      </c>
      <c r="F304" s="797" t="s">
        <v>9</v>
      </c>
      <c r="G304" s="798">
        <f t="shared" si="12"/>
        <v>0</v>
      </c>
    </row>
    <row r="305" spans="1:7">
      <c r="A305" s="792">
        <v>38444</v>
      </c>
      <c r="B305" s="793" t="s">
        <v>12991</v>
      </c>
      <c r="C305" s="794" t="s">
        <v>13023</v>
      </c>
      <c r="D305" s="795"/>
      <c r="E305" s="796">
        <v>40</v>
      </c>
      <c r="F305" s="797" t="s">
        <v>9</v>
      </c>
      <c r="G305" s="798">
        <f t="shared" si="12"/>
        <v>0</v>
      </c>
    </row>
    <row r="306" spans="1:7">
      <c r="A306" s="777">
        <v>38444</v>
      </c>
      <c r="B306" s="76" t="s">
        <v>13004</v>
      </c>
      <c r="C306" s="332" t="s">
        <v>13024</v>
      </c>
      <c r="D306" s="333"/>
      <c r="E306" s="49">
        <v>53.33</v>
      </c>
      <c r="F306" s="76" t="s">
        <v>9</v>
      </c>
      <c r="G306" s="778">
        <f t="shared" si="12"/>
        <v>0</v>
      </c>
    </row>
    <row r="307" spans="1:7">
      <c r="A307" s="777">
        <v>38444</v>
      </c>
      <c r="B307" s="76" t="s">
        <v>13006</v>
      </c>
      <c r="C307" s="332" t="s">
        <v>13025</v>
      </c>
      <c r="D307" s="333"/>
      <c r="E307" s="49">
        <v>49.8</v>
      </c>
      <c r="F307" s="76" t="s">
        <v>9</v>
      </c>
      <c r="G307" s="778">
        <f t="shared" si="12"/>
        <v>0</v>
      </c>
    </row>
    <row r="308" spans="1:7">
      <c r="A308" s="777">
        <v>38444</v>
      </c>
      <c r="B308" s="76" t="s">
        <v>13008</v>
      </c>
      <c r="C308" s="332" t="s">
        <v>13026</v>
      </c>
      <c r="D308" s="333"/>
      <c r="E308" s="49">
        <v>45.33</v>
      </c>
      <c r="F308" s="76" t="s">
        <v>9</v>
      </c>
      <c r="G308" s="778">
        <f t="shared" si="12"/>
        <v>0</v>
      </c>
    </row>
    <row r="309" spans="1:7">
      <c r="A309" s="777">
        <v>38444</v>
      </c>
      <c r="B309" s="76" t="s">
        <v>13010</v>
      </c>
      <c r="C309" s="332" t="s">
        <v>13027</v>
      </c>
      <c r="D309" s="333"/>
      <c r="E309" s="49">
        <v>4</v>
      </c>
      <c r="F309" s="76" t="s">
        <v>9</v>
      </c>
      <c r="G309" s="778">
        <f t="shared" si="12"/>
        <v>0</v>
      </c>
    </row>
    <row r="310" spans="1:7">
      <c r="A310" s="777">
        <v>38444</v>
      </c>
      <c r="B310" s="76" t="s">
        <v>13028</v>
      </c>
      <c r="C310" s="332" t="s">
        <v>13029</v>
      </c>
      <c r="D310" s="333"/>
      <c r="E310" s="49">
        <v>59.9</v>
      </c>
      <c r="F310" s="76" t="s">
        <v>9</v>
      </c>
      <c r="G310" s="778">
        <f t="shared" si="12"/>
        <v>0</v>
      </c>
    </row>
    <row r="311" spans="1:7">
      <c r="A311" s="777">
        <v>38453</v>
      </c>
      <c r="B311" s="76" t="s">
        <v>1218</v>
      </c>
      <c r="C311" s="77" t="s">
        <v>13030</v>
      </c>
      <c r="D311" s="333"/>
      <c r="E311" s="49">
        <v>133.1</v>
      </c>
      <c r="F311" s="76" t="s">
        <v>9</v>
      </c>
      <c r="G311" s="778">
        <f t="shared" si="12"/>
        <v>0</v>
      </c>
    </row>
    <row r="312" spans="1:7">
      <c r="A312" s="777">
        <v>38454</v>
      </c>
      <c r="B312" s="76" t="s">
        <v>12917</v>
      </c>
      <c r="C312" s="77" t="s">
        <v>13031</v>
      </c>
      <c r="D312" s="333"/>
      <c r="E312" s="49">
        <v>114.21</v>
      </c>
      <c r="F312" s="76" t="s">
        <v>120</v>
      </c>
      <c r="G312" s="778">
        <f t="shared" si="12"/>
        <v>0</v>
      </c>
    </row>
    <row r="313" spans="1:7">
      <c r="A313" s="777">
        <v>38457</v>
      </c>
      <c r="B313" s="76" t="s">
        <v>12924</v>
      </c>
      <c r="C313" s="77" t="s">
        <v>13032</v>
      </c>
      <c r="D313" s="333"/>
      <c r="E313" s="49">
        <v>42</v>
      </c>
      <c r="F313" s="76" t="s">
        <v>9</v>
      </c>
      <c r="G313" s="778">
        <f t="shared" si="12"/>
        <v>0</v>
      </c>
    </row>
    <row r="314" spans="1:7">
      <c r="A314" s="777">
        <v>38457</v>
      </c>
      <c r="B314" s="76" t="s">
        <v>12927</v>
      </c>
      <c r="C314" s="332" t="s">
        <v>13033</v>
      </c>
      <c r="D314" s="333"/>
      <c r="E314" s="49">
        <v>7.9</v>
      </c>
      <c r="F314" s="76" t="s">
        <v>9</v>
      </c>
      <c r="G314" s="778">
        <f t="shared" si="12"/>
        <v>0</v>
      </c>
    </row>
    <row r="315" spans="1:7">
      <c r="A315" s="777">
        <v>38457</v>
      </c>
      <c r="B315" s="76" t="s">
        <v>13015</v>
      </c>
      <c r="C315" s="332" t="s">
        <v>13034</v>
      </c>
      <c r="D315" s="333"/>
      <c r="E315" s="49">
        <v>53.25</v>
      </c>
      <c r="F315" s="76" t="s">
        <v>9</v>
      </c>
      <c r="G315" s="778">
        <f t="shared" si="12"/>
        <v>0</v>
      </c>
    </row>
    <row r="316" spans="1:7">
      <c r="A316" s="939">
        <v>38458</v>
      </c>
      <c r="B316" s="940" t="s">
        <v>13017</v>
      </c>
      <c r="C316" s="941" t="s">
        <v>13035</v>
      </c>
      <c r="D316" s="942"/>
      <c r="E316" s="943">
        <v>190</v>
      </c>
      <c r="F316" s="944" t="s">
        <v>9</v>
      </c>
      <c r="G316" s="945">
        <f t="shared" si="12"/>
        <v>0</v>
      </c>
    </row>
    <row r="317" spans="1:7">
      <c r="A317" s="1484">
        <v>38473</v>
      </c>
      <c r="B317" s="1485"/>
      <c r="C317" s="1486" t="s">
        <v>4817</v>
      </c>
      <c r="D317" s="1487"/>
      <c r="E317" s="1488">
        <f>SUM(E318:E329)</f>
        <v>673.47</v>
      </c>
      <c r="F317" s="1489"/>
      <c r="G317" s="1490"/>
    </row>
    <row r="318" spans="1:7">
      <c r="A318" s="430">
        <v>38474</v>
      </c>
      <c r="B318" s="76" t="s">
        <v>13019</v>
      </c>
      <c r="C318" s="332" t="s">
        <v>13036</v>
      </c>
      <c r="D318" s="333"/>
      <c r="E318" s="98">
        <v>76.650000000000006</v>
      </c>
      <c r="F318" s="76" t="s">
        <v>9</v>
      </c>
      <c r="G318" s="778">
        <f t="shared" ref="G318:G341" si="13">IF(F318="X",0,E318)</f>
        <v>0</v>
      </c>
    </row>
    <row r="319" spans="1:7">
      <c r="A319" s="430">
        <v>38474</v>
      </c>
      <c r="B319" s="76" t="s">
        <v>12975</v>
      </c>
      <c r="C319" s="77" t="s">
        <v>13037</v>
      </c>
      <c r="D319" s="333"/>
      <c r="E319" s="98">
        <v>34</v>
      </c>
      <c r="F319" s="76" t="s">
        <v>9</v>
      </c>
      <c r="G319" s="778">
        <f t="shared" si="13"/>
        <v>0</v>
      </c>
    </row>
    <row r="320" spans="1:7">
      <c r="A320" s="792">
        <v>38474</v>
      </c>
      <c r="B320" s="793" t="s">
        <v>13004</v>
      </c>
      <c r="C320" s="794" t="s">
        <v>13038</v>
      </c>
      <c r="D320" s="795"/>
      <c r="E320" s="796">
        <v>53.33</v>
      </c>
      <c r="F320" s="797" t="s">
        <v>9</v>
      </c>
      <c r="G320" s="798">
        <f t="shared" si="13"/>
        <v>0</v>
      </c>
    </row>
    <row r="321" spans="1:7">
      <c r="A321" s="430">
        <v>38474</v>
      </c>
      <c r="B321" s="76" t="s">
        <v>13006</v>
      </c>
      <c r="C321" s="332" t="s">
        <v>13039</v>
      </c>
      <c r="D321" s="333"/>
      <c r="E321" s="98">
        <v>49.8</v>
      </c>
      <c r="F321" s="76" t="s">
        <v>9</v>
      </c>
      <c r="G321" s="778">
        <f t="shared" si="13"/>
        <v>0</v>
      </c>
    </row>
    <row r="322" spans="1:7">
      <c r="A322" s="792">
        <v>38474</v>
      </c>
      <c r="B322" s="793" t="s">
        <v>13008</v>
      </c>
      <c r="C322" s="794" t="s">
        <v>13040</v>
      </c>
      <c r="D322" s="795"/>
      <c r="E322" s="796">
        <v>45.33</v>
      </c>
      <c r="F322" s="797" t="s">
        <v>9</v>
      </c>
      <c r="G322" s="798">
        <f t="shared" si="13"/>
        <v>0</v>
      </c>
    </row>
    <row r="323" spans="1:7">
      <c r="A323" s="792">
        <v>38474</v>
      </c>
      <c r="B323" s="793" t="s">
        <v>13010</v>
      </c>
      <c r="C323" s="794" t="s">
        <v>13041</v>
      </c>
      <c r="D323" s="795"/>
      <c r="E323" s="796">
        <v>4</v>
      </c>
      <c r="F323" s="797" t="s">
        <v>9</v>
      </c>
      <c r="G323" s="798">
        <f t="shared" si="13"/>
        <v>0</v>
      </c>
    </row>
    <row r="324" spans="1:7">
      <c r="A324" s="430">
        <v>38474</v>
      </c>
      <c r="B324" s="76" t="s">
        <v>13028</v>
      </c>
      <c r="C324" s="332" t="s">
        <v>13042</v>
      </c>
      <c r="D324" s="333"/>
      <c r="E324" s="49">
        <v>59.9</v>
      </c>
      <c r="F324" s="76" t="s">
        <v>9</v>
      </c>
      <c r="G324" s="778">
        <f t="shared" si="13"/>
        <v>0</v>
      </c>
    </row>
    <row r="325" spans="1:7">
      <c r="A325" s="430">
        <v>38483</v>
      </c>
      <c r="B325" s="76" t="s">
        <v>1218</v>
      </c>
      <c r="C325" s="77" t="s">
        <v>13043</v>
      </c>
      <c r="D325" s="333"/>
      <c r="E325" s="49">
        <v>133.1</v>
      </c>
      <c r="F325" s="76" t="s">
        <v>9</v>
      </c>
      <c r="G325" s="778">
        <f t="shared" si="13"/>
        <v>0</v>
      </c>
    </row>
    <row r="326" spans="1:7">
      <c r="A326" s="430">
        <v>38484</v>
      </c>
      <c r="B326" s="76" t="s">
        <v>12917</v>
      </c>
      <c r="C326" s="77" t="s">
        <v>13044</v>
      </c>
      <c r="D326" s="333"/>
      <c r="E326" s="49">
        <v>114.21</v>
      </c>
      <c r="F326" s="76" t="s">
        <v>9</v>
      </c>
      <c r="G326" s="778">
        <f t="shared" si="13"/>
        <v>0</v>
      </c>
    </row>
    <row r="327" spans="1:7">
      <c r="A327" s="430">
        <v>38487</v>
      </c>
      <c r="B327" s="76" t="s">
        <v>12924</v>
      </c>
      <c r="C327" s="77" t="s">
        <v>13045</v>
      </c>
      <c r="D327" s="333"/>
      <c r="E327" s="49">
        <v>42</v>
      </c>
      <c r="F327" s="76" t="s">
        <v>9</v>
      </c>
      <c r="G327" s="778">
        <f t="shared" si="13"/>
        <v>0</v>
      </c>
    </row>
    <row r="328" spans="1:7">
      <c r="A328" s="430">
        <v>38487</v>
      </c>
      <c r="B328" s="76" t="s">
        <v>12927</v>
      </c>
      <c r="C328" s="332" t="s">
        <v>13046</v>
      </c>
      <c r="D328" s="333"/>
      <c r="E328" s="49">
        <v>7.9</v>
      </c>
      <c r="F328" s="76" t="s">
        <v>9</v>
      </c>
      <c r="G328" s="778">
        <f t="shared" si="13"/>
        <v>0</v>
      </c>
    </row>
    <row r="329" spans="1:7">
      <c r="A329" s="430">
        <v>38487</v>
      </c>
      <c r="B329" s="76" t="s">
        <v>13015</v>
      </c>
      <c r="C329" s="332" t="s">
        <v>13047</v>
      </c>
      <c r="D329" s="333"/>
      <c r="E329" s="49">
        <v>53.25</v>
      </c>
      <c r="F329" s="76" t="s">
        <v>9</v>
      </c>
      <c r="G329" s="778">
        <f t="shared" si="13"/>
        <v>0</v>
      </c>
    </row>
    <row r="330" spans="1:7">
      <c r="A330" s="1491">
        <v>38504</v>
      </c>
      <c r="B330" s="1492"/>
      <c r="C330" s="1493" t="s">
        <v>2849</v>
      </c>
      <c r="D330" s="1494"/>
      <c r="E330" s="1495">
        <f>SUM(E331:E341)</f>
        <v>851.13</v>
      </c>
      <c r="F330" s="1496"/>
      <c r="G330" s="1497">
        <f t="shared" si="13"/>
        <v>851.13</v>
      </c>
    </row>
    <row r="331" spans="1:7">
      <c r="A331" s="777">
        <v>38505</v>
      </c>
      <c r="B331" s="76" t="s">
        <v>13019</v>
      </c>
      <c r="C331" s="332" t="s">
        <v>13048</v>
      </c>
      <c r="D331" s="333"/>
      <c r="E331" s="49">
        <v>76.650000000000006</v>
      </c>
      <c r="F331" s="76" t="s">
        <v>9</v>
      </c>
      <c r="G331" s="778">
        <f t="shared" si="13"/>
        <v>0</v>
      </c>
    </row>
    <row r="332" spans="1:7">
      <c r="A332" s="777">
        <v>38505</v>
      </c>
      <c r="B332" s="76" t="s">
        <v>12975</v>
      </c>
      <c r="C332" s="77" t="s">
        <v>13049</v>
      </c>
      <c r="D332" s="333"/>
      <c r="E332" s="49">
        <v>34</v>
      </c>
      <c r="F332" s="76" t="s">
        <v>120</v>
      </c>
      <c r="G332" s="778">
        <f t="shared" si="13"/>
        <v>0</v>
      </c>
    </row>
    <row r="333" spans="1:7">
      <c r="A333" s="777">
        <v>38505</v>
      </c>
      <c r="B333" s="76" t="s">
        <v>13006</v>
      </c>
      <c r="C333" s="332" t="s">
        <v>13050</v>
      </c>
      <c r="D333" s="333"/>
      <c r="E333" s="49">
        <v>49.8</v>
      </c>
      <c r="F333" s="76" t="s">
        <v>9</v>
      </c>
      <c r="G333" s="778">
        <f t="shared" si="13"/>
        <v>0</v>
      </c>
    </row>
    <row r="334" spans="1:7">
      <c r="A334" s="777">
        <v>38505</v>
      </c>
      <c r="B334" s="76" t="s">
        <v>13028</v>
      </c>
      <c r="C334" s="332" t="s">
        <v>13051</v>
      </c>
      <c r="D334" s="434"/>
      <c r="E334" s="49">
        <v>59.9</v>
      </c>
      <c r="F334" s="76" t="s">
        <v>9</v>
      </c>
      <c r="G334" s="778">
        <f t="shared" si="13"/>
        <v>0</v>
      </c>
    </row>
    <row r="335" spans="1:7">
      <c r="A335" s="777">
        <v>38505</v>
      </c>
      <c r="B335" s="76" t="s">
        <v>13052</v>
      </c>
      <c r="C335" s="332" t="s">
        <v>13053</v>
      </c>
      <c r="D335" s="434"/>
      <c r="E335" s="49">
        <v>73</v>
      </c>
      <c r="F335" s="435" t="s">
        <v>9</v>
      </c>
      <c r="G335" s="778">
        <f t="shared" si="13"/>
        <v>0</v>
      </c>
    </row>
    <row r="336" spans="1:7">
      <c r="A336" s="777">
        <v>38505</v>
      </c>
      <c r="B336" s="76" t="s">
        <v>13054</v>
      </c>
      <c r="C336" s="332" t="s">
        <v>13055</v>
      </c>
      <c r="D336" s="434"/>
      <c r="E336" s="49">
        <v>207.32</v>
      </c>
      <c r="F336" s="76" t="s">
        <v>9</v>
      </c>
      <c r="G336" s="778">
        <f t="shared" si="13"/>
        <v>0</v>
      </c>
    </row>
    <row r="337" spans="1:7">
      <c r="A337" s="777">
        <v>38514</v>
      </c>
      <c r="B337" s="76" t="s">
        <v>1218</v>
      </c>
      <c r="C337" s="77" t="s">
        <v>13056</v>
      </c>
      <c r="D337" s="434"/>
      <c r="E337" s="49">
        <v>133.1</v>
      </c>
      <c r="F337" s="76" t="s">
        <v>120</v>
      </c>
      <c r="G337" s="778">
        <f t="shared" si="13"/>
        <v>0</v>
      </c>
    </row>
    <row r="338" spans="1:7">
      <c r="A338" s="777">
        <v>38515</v>
      </c>
      <c r="B338" s="76" t="s">
        <v>12917</v>
      </c>
      <c r="C338" s="77" t="s">
        <v>13057</v>
      </c>
      <c r="D338" s="434"/>
      <c r="E338" s="49">
        <v>114.21</v>
      </c>
      <c r="F338" s="76" t="s">
        <v>9</v>
      </c>
      <c r="G338" s="778">
        <f t="shared" si="13"/>
        <v>0</v>
      </c>
    </row>
    <row r="339" spans="1:7">
      <c r="A339" s="777">
        <v>38518</v>
      </c>
      <c r="B339" s="76" t="s">
        <v>12924</v>
      </c>
      <c r="C339" s="77" t="s">
        <v>13058</v>
      </c>
      <c r="D339" s="434"/>
      <c r="E339" s="49">
        <v>42</v>
      </c>
      <c r="F339" s="76" t="s">
        <v>9</v>
      </c>
      <c r="G339" s="778">
        <f t="shared" si="13"/>
        <v>0</v>
      </c>
    </row>
    <row r="340" spans="1:7">
      <c r="A340" s="777">
        <v>38518</v>
      </c>
      <c r="B340" s="76" t="s">
        <v>12927</v>
      </c>
      <c r="C340" s="332" t="s">
        <v>13059</v>
      </c>
      <c r="D340" s="434"/>
      <c r="E340" s="49">
        <v>7.9</v>
      </c>
      <c r="F340" s="76" t="s">
        <v>120</v>
      </c>
      <c r="G340" s="778">
        <f t="shared" si="13"/>
        <v>0</v>
      </c>
    </row>
    <row r="341" spans="1:7">
      <c r="A341" s="939">
        <v>38518</v>
      </c>
      <c r="B341" s="940" t="s">
        <v>13015</v>
      </c>
      <c r="C341" s="941" t="s">
        <v>13060</v>
      </c>
      <c r="D341" s="942"/>
      <c r="E341" s="943">
        <v>53.25</v>
      </c>
      <c r="F341" s="944" t="s">
        <v>120</v>
      </c>
      <c r="G341" s="945">
        <f t="shared" si="13"/>
        <v>0</v>
      </c>
    </row>
    <row r="342" spans="1:7">
      <c r="A342" s="1491">
        <v>38534</v>
      </c>
      <c r="B342" s="1492"/>
      <c r="C342" s="1493" t="s">
        <v>4848</v>
      </c>
      <c r="D342" s="1494"/>
      <c r="E342" s="1495">
        <f>SUM(E343:E354)</f>
        <v>929.83</v>
      </c>
      <c r="F342" s="1496"/>
      <c r="G342" s="1497"/>
    </row>
    <row r="343" spans="1:7">
      <c r="A343" s="777">
        <v>38535</v>
      </c>
      <c r="B343" s="76" t="s">
        <v>13019</v>
      </c>
      <c r="C343" s="332" t="s">
        <v>13061</v>
      </c>
      <c r="D343" s="434"/>
      <c r="E343" s="49">
        <v>76.650000000000006</v>
      </c>
      <c r="F343" s="76" t="s">
        <v>9</v>
      </c>
      <c r="G343" s="778">
        <f t="shared" ref="G343:G354" si="14">IF(F343="X",0,E343)</f>
        <v>0</v>
      </c>
    </row>
    <row r="344" spans="1:7">
      <c r="A344" s="777">
        <v>38535</v>
      </c>
      <c r="B344" s="76" t="s">
        <v>12975</v>
      </c>
      <c r="C344" s="77" t="s">
        <v>13062</v>
      </c>
      <c r="D344" s="434"/>
      <c r="E344" s="49">
        <v>34</v>
      </c>
      <c r="F344" s="76" t="s">
        <v>9</v>
      </c>
      <c r="G344" s="778">
        <f t="shared" si="14"/>
        <v>0</v>
      </c>
    </row>
    <row r="345" spans="1:7">
      <c r="A345" s="792">
        <v>38535</v>
      </c>
      <c r="B345" s="793" t="s">
        <v>13006</v>
      </c>
      <c r="C345" s="794" t="s">
        <v>13063</v>
      </c>
      <c r="D345" s="795"/>
      <c r="E345" s="796">
        <v>49.8</v>
      </c>
      <c r="F345" s="797" t="s">
        <v>9</v>
      </c>
      <c r="G345" s="798">
        <f t="shared" si="14"/>
        <v>0</v>
      </c>
    </row>
    <row r="346" spans="1:7">
      <c r="A346" s="777">
        <v>38535</v>
      </c>
      <c r="B346" s="76" t="s">
        <v>13028</v>
      </c>
      <c r="C346" s="332" t="s">
        <v>13064</v>
      </c>
      <c r="D346" s="434"/>
      <c r="E346" s="49">
        <v>59.9</v>
      </c>
      <c r="F346" s="76" t="s">
        <v>9</v>
      </c>
      <c r="G346" s="778">
        <f t="shared" si="14"/>
        <v>0</v>
      </c>
    </row>
    <row r="347" spans="1:7">
      <c r="A347" s="777">
        <v>38535</v>
      </c>
      <c r="B347" s="76" t="s">
        <v>13052</v>
      </c>
      <c r="C347" s="332" t="s">
        <v>13065</v>
      </c>
      <c r="D347" s="333"/>
      <c r="E347" s="49">
        <v>73</v>
      </c>
      <c r="F347" s="76" t="s">
        <v>9</v>
      </c>
      <c r="G347" s="778">
        <f t="shared" si="14"/>
        <v>0</v>
      </c>
    </row>
    <row r="348" spans="1:7">
      <c r="A348" s="792">
        <v>38535</v>
      </c>
      <c r="B348" s="793" t="s">
        <v>13054</v>
      </c>
      <c r="C348" s="794" t="s">
        <v>13066</v>
      </c>
      <c r="D348" s="795"/>
      <c r="E348" s="796">
        <v>207.32</v>
      </c>
      <c r="F348" s="797" t="s">
        <v>9</v>
      </c>
      <c r="G348" s="798">
        <f t="shared" si="14"/>
        <v>0</v>
      </c>
    </row>
    <row r="349" spans="1:7">
      <c r="A349" s="777">
        <v>38535</v>
      </c>
      <c r="B349" s="76" t="s">
        <v>13067</v>
      </c>
      <c r="C349" s="77" t="s">
        <v>13068</v>
      </c>
      <c r="D349" s="333"/>
      <c r="E349" s="49">
        <v>89.95</v>
      </c>
      <c r="F349" s="76" t="s">
        <v>9</v>
      </c>
      <c r="G349" s="778">
        <f t="shared" si="14"/>
        <v>0</v>
      </c>
    </row>
    <row r="350" spans="1:7">
      <c r="A350" s="777">
        <v>38544</v>
      </c>
      <c r="B350" s="76" t="s">
        <v>1218</v>
      </c>
      <c r="C350" s="77" t="s">
        <v>13069</v>
      </c>
      <c r="D350" s="333"/>
      <c r="E350" s="49">
        <v>133.1</v>
      </c>
      <c r="F350" s="76" t="s">
        <v>9</v>
      </c>
      <c r="G350" s="778">
        <f t="shared" si="14"/>
        <v>0</v>
      </c>
    </row>
    <row r="351" spans="1:7">
      <c r="A351" s="777">
        <v>38545</v>
      </c>
      <c r="B351" s="76" t="s">
        <v>12917</v>
      </c>
      <c r="C351" s="77" t="s">
        <v>13070</v>
      </c>
      <c r="D351" s="333"/>
      <c r="E351" s="49">
        <v>114.21</v>
      </c>
      <c r="F351" s="76" t="s">
        <v>120</v>
      </c>
      <c r="G351" s="778">
        <f t="shared" si="14"/>
        <v>0</v>
      </c>
    </row>
    <row r="352" spans="1:7">
      <c r="A352" s="777">
        <v>38548</v>
      </c>
      <c r="B352" s="76" t="s">
        <v>12924</v>
      </c>
      <c r="C352" s="77" t="s">
        <v>13071</v>
      </c>
      <c r="D352" s="333"/>
      <c r="E352" s="49">
        <v>42</v>
      </c>
      <c r="F352" s="76" t="s">
        <v>9</v>
      </c>
      <c r="G352" s="778">
        <f t="shared" si="14"/>
        <v>0</v>
      </c>
    </row>
    <row r="353" spans="1:7">
      <c r="A353" s="792">
        <v>38548</v>
      </c>
      <c r="B353" s="793" t="s">
        <v>12927</v>
      </c>
      <c r="C353" s="794" t="s">
        <v>13072</v>
      </c>
      <c r="D353" s="795"/>
      <c r="E353" s="796">
        <v>7.9</v>
      </c>
      <c r="F353" s="797" t="s">
        <v>9</v>
      </c>
      <c r="G353" s="798">
        <f t="shared" si="14"/>
        <v>0</v>
      </c>
    </row>
    <row r="354" spans="1:7">
      <c r="A354" s="1080">
        <v>38548</v>
      </c>
      <c r="B354" s="762" t="s">
        <v>12924</v>
      </c>
      <c r="C354" s="1081" t="s">
        <v>13073</v>
      </c>
      <c r="D354" s="914"/>
      <c r="E354" s="1082">
        <v>42</v>
      </c>
      <c r="F354" s="762" t="s">
        <v>9</v>
      </c>
      <c r="G354" s="1083">
        <f t="shared" si="14"/>
        <v>0</v>
      </c>
    </row>
    <row r="355" spans="1:7">
      <c r="A355" s="1491">
        <v>38565</v>
      </c>
      <c r="B355" s="1492"/>
      <c r="C355" s="1493" t="s">
        <v>4857</v>
      </c>
      <c r="D355" s="1494"/>
      <c r="E355" s="1495">
        <f>SUM(E356:E365)</f>
        <v>866.27</v>
      </c>
      <c r="F355" s="1496"/>
      <c r="G355" s="1497"/>
    </row>
    <row r="356" spans="1:7">
      <c r="A356" s="777">
        <v>38566</v>
      </c>
      <c r="B356" s="76" t="s">
        <v>13019</v>
      </c>
      <c r="C356" s="332" t="s">
        <v>13074</v>
      </c>
      <c r="D356" s="333"/>
      <c r="E356" s="49">
        <v>76.650000000000006</v>
      </c>
      <c r="F356" s="76" t="s">
        <v>9</v>
      </c>
      <c r="G356" s="778">
        <f t="shared" ref="G356:G365" si="15">IF(F356="X",0,E356)</f>
        <v>0</v>
      </c>
    </row>
    <row r="357" spans="1:7">
      <c r="A357" s="777">
        <v>38566</v>
      </c>
      <c r="B357" s="76" t="s">
        <v>12975</v>
      </c>
      <c r="C357" s="77" t="s">
        <v>13075</v>
      </c>
      <c r="D357" s="333"/>
      <c r="E357" s="49">
        <v>34</v>
      </c>
      <c r="F357" s="76" t="s">
        <v>9</v>
      </c>
      <c r="G357" s="778">
        <f t="shared" si="15"/>
        <v>0</v>
      </c>
    </row>
    <row r="358" spans="1:7">
      <c r="A358" s="777">
        <v>38566</v>
      </c>
      <c r="B358" s="76" t="s">
        <v>13028</v>
      </c>
      <c r="C358" s="332" t="s">
        <v>13076</v>
      </c>
      <c r="D358" s="333"/>
      <c r="E358" s="49">
        <v>59.9</v>
      </c>
      <c r="F358" s="76" t="s">
        <v>9</v>
      </c>
      <c r="G358" s="778">
        <f t="shared" si="15"/>
        <v>0</v>
      </c>
    </row>
    <row r="359" spans="1:7">
      <c r="A359" s="777">
        <v>38566</v>
      </c>
      <c r="B359" s="76" t="s">
        <v>13052</v>
      </c>
      <c r="C359" s="332" t="s">
        <v>13077</v>
      </c>
      <c r="D359" s="333"/>
      <c r="E359" s="49">
        <v>73</v>
      </c>
      <c r="F359" s="76" t="s">
        <v>9</v>
      </c>
      <c r="G359" s="778">
        <f t="shared" si="15"/>
        <v>0</v>
      </c>
    </row>
    <row r="360" spans="1:7">
      <c r="A360" s="792">
        <v>38566</v>
      </c>
      <c r="B360" s="793" t="s">
        <v>13067</v>
      </c>
      <c r="C360" s="794" t="s">
        <v>13078</v>
      </c>
      <c r="D360" s="795"/>
      <c r="E360" s="796">
        <v>89.95</v>
      </c>
      <c r="F360" s="797" t="s">
        <v>9</v>
      </c>
      <c r="G360" s="798">
        <f t="shared" si="15"/>
        <v>0</v>
      </c>
    </row>
    <row r="361" spans="1:7">
      <c r="A361" s="777">
        <v>38566</v>
      </c>
      <c r="B361" s="76" t="s">
        <v>13079</v>
      </c>
      <c r="C361" s="332" t="s">
        <v>13080</v>
      </c>
      <c r="D361" s="333"/>
      <c r="E361" s="49">
        <v>111.33</v>
      </c>
      <c r="F361" s="76" t="s">
        <v>9</v>
      </c>
      <c r="G361" s="778">
        <f t="shared" si="15"/>
        <v>0</v>
      </c>
    </row>
    <row r="362" spans="1:7">
      <c r="A362" s="777">
        <v>38566</v>
      </c>
      <c r="B362" s="76" t="s">
        <v>13081</v>
      </c>
      <c r="C362" s="332" t="s">
        <v>13082</v>
      </c>
      <c r="D362" s="333"/>
      <c r="E362" s="49">
        <v>73.33</v>
      </c>
      <c r="F362" s="76" t="s">
        <v>9</v>
      </c>
      <c r="G362" s="778">
        <f t="shared" si="15"/>
        <v>0</v>
      </c>
    </row>
    <row r="363" spans="1:7">
      <c r="A363" s="777">
        <v>38566</v>
      </c>
      <c r="B363" s="76" t="s">
        <v>13083</v>
      </c>
      <c r="C363" s="332" t="s">
        <v>13084</v>
      </c>
      <c r="D363" s="333"/>
      <c r="E363" s="49">
        <v>100.8</v>
      </c>
      <c r="F363" s="76" t="s">
        <v>9</v>
      </c>
      <c r="G363" s="778">
        <f t="shared" si="15"/>
        <v>0</v>
      </c>
    </row>
    <row r="364" spans="1:7">
      <c r="A364" s="777">
        <v>38575</v>
      </c>
      <c r="B364" s="76" t="s">
        <v>1218</v>
      </c>
      <c r="C364" s="77" t="s">
        <v>13085</v>
      </c>
      <c r="D364" s="333"/>
      <c r="E364" s="49">
        <v>133.1</v>
      </c>
      <c r="F364" s="76" t="s">
        <v>9</v>
      </c>
      <c r="G364" s="778">
        <f t="shared" si="15"/>
        <v>0</v>
      </c>
    </row>
    <row r="365" spans="1:7">
      <c r="A365" s="1080">
        <v>38576</v>
      </c>
      <c r="B365" s="762" t="s">
        <v>12917</v>
      </c>
      <c r="C365" s="1081" t="s">
        <v>13086</v>
      </c>
      <c r="D365" s="914"/>
      <c r="E365" s="1082">
        <v>114.21</v>
      </c>
      <c r="F365" s="762" t="s">
        <v>9</v>
      </c>
      <c r="G365" s="1083">
        <f t="shared" si="15"/>
        <v>0</v>
      </c>
    </row>
    <row r="366" spans="1:7">
      <c r="A366" s="1491">
        <v>38596</v>
      </c>
      <c r="B366" s="1492"/>
      <c r="C366" s="1493" t="s">
        <v>4868</v>
      </c>
      <c r="D366" s="1494"/>
      <c r="E366" s="1495">
        <f>SUM(E367:E377)</f>
        <v>859.7700000000001</v>
      </c>
      <c r="F366" s="1496"/>
      <c r="G366" s="1497"/>
    </row>
    <row r="367" spans="1:7">
      <c r="A367" s="792">
        <v>38597</v>
      </c>
      <c r="B367" s="793" t="s">
        <v>13019</v>
      </c>
      <c r="C367" s="794" t="s">
        <v>13087</v>
      </c>
      <c r="D367" s="795"/>
      <c r="E367" s="796">
        <v>76.650000000000006</v>
      </c>
      <c r="F367" s="797" t="s">
        <v>9</v>
      </c>
      <c r="G367" s="798">
        <f t="shared" ref="G367:G377" si="16">IF(F367="X",0,E367)</f>
        <v>0</v>
      </c>
    </row>
    <row r="368" spans="1:7">
      <c r="A368" s="777">
        <v>38597</v>
      </c>
      <c r="B368" s="76" t="s">
        <v>12975</v>
      </c>
      <c r="C368" s="77" t="s">
        <v>13088</v>
      </c>
      <c r="D368" s="333"/>
      <c r="E368" s="49">
        <v>34</v>
      </c>
      <c r="F368" s="76" t="s">
        <v>9</v>
      </c>
      <c r="G368" s="778">
        <f t="shared" si="16"/>
        <v>0</v>
      </c>
    </row>
    <row r="369" spans="1:7">
      <c r="A369" s="777">
        <v>38597</v>
      </c>
      <c r="B369" s="76" t="s">
        <v>13028</v>
      </c>
      <c r="C369" s="332" t="s">
        <v>13089</v>
      </c>
      <c r="D369" s="333"/>
      <c r="E369" s="49">
        <v>59.9</v>
      </c>
      <c r="F369" s="76" t="s">
        <v>9</v>
      </c>
      <c r="G369" s="778">
        <f t="shared" si="16"/>
        <v>0</v>
      </c>
    </row>
    <row r="370" spans="1:7">
      <c r="A370" s="777">
        <v>38597</v>
      </c>
      <c r="B370" s="76" t="s">
        <v>13052</v>
      </c>
      <c r="C370" s="332" t="s">
        <v>13090</v>
      </c>
      <c r="D370" s="333"/>
      <c r="E370" s="49">
        <v>73</v>
      </c>
      <c r="F370" s="76" t="s">
        <v>9</v>
      </c>
      <c r="G370" s="778">
        <f t="shared" si="16"/>
        <v>0</v>
      </c>
    </row>
    <row r="371" spans="1:7">
      <c r="A371" s="777">
        <v>38597</v>
      </c>
      <c r="B371" s="76" t="s">
        <v>13079</v>
      </c>
      <c r="C371" s="332" t="s">
        <v>13091</v>
      </c>
      <c r="D371" s="333"/>
      <c r="E371" s="49">
        <v>111.33</v>
      </c>
      <c r="F371" s="76" t="s">
        <v>9</v>
      </c>
      <c r="G371" s="778">
        <f t="shared" si="16"/>
        <v>0</v>
      </c>
    </row>
    <row r="372" spans="1:7">
      <c r="A372" s="777">
        <v>38597</v>
      </c>
      <c r="B372" s="76" t="s">
        <v>13081</v>
      </c>
      <c r="C372" s="332" t="s">
        <v>13092</v>
      </c>
      <c r="D372" s="333"/>
      <c r="E372" s="49">
        <v>73.33</v>
      </c>
      <c r="F372" s="76" t="s">
        <v>9</v>
      </c>
      <c r="G372" s="778">
        <f t="shared" si="16"/>
        <v>0</v>
      </c>
    </row>
    <row r="373" spans="1:7">
      <c r="A373" s="792">
        <v>38597</v>
      </c>
      <c r="B373" s="793" t="s">
        <v>13083</v>
      </c>
      <c r="C373" s="794" t="s">
        <v>13093</v>
      </c>
      <c r="D373" s="795"/>
      <c r="E373" s="796">
        <v>100.8</v>
      </c>
      <c r="F373" s="797" t="s">
        <v>9</v>
      </c>
      <c r="G373" s="798">
        <f t="shared" si="16"/>
        <v>0</v>
      </c>
    </row>
    <row r="374" spans="1:7">
      <c r="A374" s="777">
        <v>38597</v>
      </c>
      <c r="B374" s="76" t="s">
        <v>13094</v>
      </c>
      <c r="C374" s="332" t="s">
        <v>13095</v>
      </c>
      <c r="D374" s="333"/>
      <c r="E374" s="49">
        <v>41.45</v>
      </c>
      <c r="F374" s="76" t="s">
        <v>9</v>
      </c>
      <c r="G374" s="778">
        <f t="shared" si="16"/>
        <v>0</v>
      </c>
    </row>
    <row r="375" spans="1:7">
      <c r="A375" s="777">
        <v>38606</v>
      </c>
      <c r="B375" s="76" t="s">
        <v>1218</v>
      </c>
      <c r="C375" s="77" t="s">
        <v>13096</v>
      </c>
      <c r="D375" s="333"/>
      <c r="E375" s="49">
        <v>133.1</v>
      </c>
      <c r="F375" s="76" t="s">
        <v>9</v>
      </c>
      <c r="G375" s="778">
        <f t="shared" si="16"/>
        <v>0</v>
      </c>
    </row>
    <row r="376" spans="1:7">
      <c r="A376" s="777">
        <v>38607</v>
      </c>
      <c r="B376" s="76" t="s">
        <v>12917</v>
      </c>
      <c r="C376" s="77" t="s">
        <v>13097</v>
      </c>
      <c r="D376" s="333"/>
      <c r="E376" s="49">
        <v>114.21</v>
      </c>
      <c r="F376" s="76" t="s">
        <v>9</v>
      </c>
      <c r="G376" s="778">
        <f t="shared" si="16"/>
        <v>0</v>
      </c>
    </row>
    <row r="377" spans="1:7">
      <c r="A377" s="939">
        <v>38610</v>
      </c>
      <c r="B377" s="940" t="s">
        <v>12924</v>
      </c>
      <c r="C377" s="941" t="s">
        <v>13098</v>
      </c>
      <c r="D377" s="942"/>
      <c r="E377" s="943">
        <v>42</v>
      </c>
      <c r="F377" s="944" t="s">
        <v>9</v>
      </c>
      <c r="G377" s="945">
        <f t="shared" si="16"/>
        <v>0</v>
      </c>
    </row>
    <row r="378" spans="1:7">
      <c r="A378" s="1491">
        <v>38626</v>
      </c>
      <c r="B378" s="1492"/>
      <c r="C378" s="1493" t="s">
        <v>13099</v>
      </c>
      <c r="D378" s="1494"/>
      <c r="E378" s="1495">
        <f>SUM(E379:E386)</f>
        <v>640.32000000000005</v>
      </c>
      <c r="F378" s="1496"/>
      <c r="G378" s="1497"/>
    </row>
    <row r="379" spans="1:7">
      <c r="A379" s="792">
        <v>38627</v>
      </c>
      <c r="B379" s="793" t="s">
        <v>12975</v>
      </c>
      <c r="C379" s="794" t="s">
        <v>13100</v>
      </c>
      <c r="D379" s="795"/>
      <c r="E379" s="796">
        <v>34</v>
      </c>
      <c r="F379" s="797" t="s">
        <v>9</v>
      </c>
      <c r="G379" s="798">
        <f t="shared" ref="G379:G386" si="17">IF(F379="X",0,E379)</f>
        <v>0</v>
      </c>
    </row>
    <row r="380" spans="1:7">
      <c r="A380" s="777">
        <v>38627</v>
      </c>
      <c r="B380" s="76" t="s">
        <v>13028</v>
      </c>
      <c r="C380" s="332" t="s">
        <v>13101</v>
      </c>
      <c r="D380" s="333"/>
      <c r="E380" s="49">
        <v>59.9</v>
      </c>
      <c r="F380" s="76" t="s">
        <v>9</v>
      </c>
      <c r="G380" s="778">
        <f t="shared" si="17"/>
        <v>0</v>
      </c>
    </row>
    <row r="381" spans="1:7">
      <c r="A381" s="777">
        <v>38627</v>
      </c>
      <c r="B381" s="76" t="s">
        <v>13052</v>
      </c>
      <c r="C381" s="332" t="s">
        <v>13102</v>
      </c>
      <c r="D381" s="333"/>
      <c r="E381" s="49">
        <v>73</v>
      </c>
      <c r="F381" s="76" t="s">
        <v>9</v>
      </c>
      <c r="G381" s="778">
        <f t="shared" si="17"/>
        <v>0</v>
      </c>
    </row>
    <row r="382" spans="1:7">
      <c r="A382" s="792">
        <v>38627</v>
      </c>
      <c r="B382" s="793" t="s">
        <v>13079</v>
      </c>
      <c r="C382" s="794" t="s">
        <v>13103</v>
      </c>
      <c r="D382" s="795"/>
      <c r="E382" s="796">
        <v>111.33</v>
      </c>
      <c r="F382" s="797" t="s">
        <v>9</v>
      </c>
      <c r="G382" s="798">
        <f t="shared" si="17"/>
        <v>0</v>
      </c>
    </row>
    <row r="383" spans="1:7">
      <c r="A383" s="792">
        <v>38627</v>
      </c>
      <c r="B383" s="793" t="s">
        <v>13081</v>
      </c>
      <c r="C383" s="794" t="s">
        <v>13104</v>
      </c>
      <c r="D383" s="795"/>
      <c r="E383" s="796">
        <v>73.33</v>
      </c>
      <c r="F383" s="797" t="s">
        <v>9</v>
      </c>
      <c r="G383" s="798">
        <f t="shared" si="17"/>
        <v>0</v>
      </c>
    </row>
    <row r="384" spans="1:7">
      <c r="A384" s="792">
        <v>38627</v>
      </c>
      <c r="B384" s="793" t="s">
        <v>13094</v>
      </c>
      <c r="C384" s="794" t="s">
        <v>13095</v>
      </c>
      <c r="D384" s="795"/>
      <c r="E384" s="796">
        <v>41.45</v>
      </c>
      <c r="F384" s="797" t="s">
        <v>9</v>
      </c>
      <c r="G384" s="798">
        <f t="shared" si="17"/>
        <v>0</v>
      </c>
    </row>
    <row r="385" spans="1:7">
      <c r="A385" s="777">
        <v>38636</v>
      </c>
      <c r="B385" s="76" t="s">
        <v>1218</v>
      </c>
      <c r="C385" s="77" t="s">
        <v>13105</v>
      </c>
      <c r="D385" s="333"/>
      <c r="E385" s="49">
        <v>133.1</v>
      </c>
      <c r="F385" s="76" t="s">
        <v>9</v>
      </c>
      <c r="G385" s="778">
        <f t="shared" si="17"/>
        <v>0</v>
      </c>
    </row>
    <row r="386" spans="1:7">
      <c r="A386" s="1080">
        <v>38637</v>
      </c>
      <c r="B386" s="762" t="s">
        <v>12917</v>
      </c>
      <c r="C386" s="1081" t="s">
        <v>13106</v>
      </c>
      <c r="D386" s="914"/>
      <c r="E386" s="1082">
        <v>114.21</v>
      </c>
      <c r="F386" s="762" t="s">
        <v>9</v>
      </c>
      <c r="G386" s="1083">
        <f t="shared" si="17"/>
        <v>0</v>
      </c>
    </row>
    <row r="387" spans="1:7">
      <c r="A387" s="1484">
        <v>38657</v>
      </c>
      <c r="B387" s="1485"/>
      <c r="C387" s="1486">
        <f>A387</f>
        <v>38657</v>
      </c>
      <c r="D387" s="1487"/>
      <c r="E387" s="1488">
        <f>SUM(E388:E392)</f>
        <v>521.21</v>
      </c>
      <c r="F387" s="1489"/>
      <c r="G387" s="1490"/>
    </row>
    <row r="388" spans="1:7">
      <c r="A388" s="430">
        <v>38658</v>
      </c>
      <c r="B388" s="76" t="s">
        <v>13028</v>
      </c>
      <c r="C388" s="776" t="s">
        <v>4888</v>
      </c>
      <c r="D388" s="333"/>
      <c r="E388" s="49">
        <v>59.9</v>
      </c>
      <c r="F388" s="76" t="s">
        <v>9</v>
      </c>
      <c r="G388" s="49">
        <f>IF(F388="X",0,E388)</f>
        <v>0</v>
      </c>
    </row>
    <row r="389" spans="1:7">
      <c r="A389" s="792">
        <v>38658</v>
      </c>
      <c r="B389" s="793" t="s">
        <v>13052</v>
      </c>
      <c r="C389" s="794" t="s">
        <v>13107</v>
      </c>
      <c r="D389" s="795"/>
      <c r="E389" s="796">
        <v>73</v>
      </c>
      <c r="F389" s="797" t="s">
        <v>9</v>
      </c>
      <c r="G389" s="798">
        <f>IF(F389="X",0,E389)</f>
        <v>0</v>
      </c>
    </row>
    <row r="390" spans="1:7">
      <c r="A390" s="430">
        <v>38658</v>
      </c>
      <c r="B390" s="76" t="s">
        <v>13108</v>
      </c>
      <c r="C390" s="332" t="s">
        <v>13109</v>
      </c>
      <c r="D390" s="333"/>
      <c r="E390" s="49">
        <v>141</v>
      </c>
      <c r="F390" s="76" t="s">
        <v>9</v>
      </c>
      <c r="G390" s="49">
        <f>IF(F390="X",0,E390)</f>
        <v>0</v>
      </c>
    </row>
    <row r="391" spans="1:7">
      <c r="A391" s="430">
        <v>38667</v>
      </c>
      <c r="B391" s="76" t="s">
        <v>1218</v>
      </c>
      <c r="C391" s="77" t="s">
        <v>13110</v>
      </c>
      <c r="D391" s="333"/>
      <c r="E391" s="49">
        <v>133.1</v>
      </c>
      <c r="F391" s="76" t="s">
        <v>9</v>
      </c>
      <c r="G391" s="49">
        <f>IF(F391="X",0,E391)</f>
        <v>0</v>
      </c>
    </row>
    <row r="392" spans="1:7">
      <c r="A392" s="429">
        <v>38668</v>
      </c>
      <c r="B392" s="80" t="s">
        <v>12917</v>
      </c>
      <c r="C392" s="81" t="s">
        <v>13111</v>
      </c>
      <c r="D392" s="409"/>
      <c r="E392" s="58">
        <v>114.21</v>
      </c>
      <c r="F392" s="80" t="s">
        <v>9</v>
      </c>
      <c r="G392" s="58">
        <f>IF(F392="X",0,E392)</f>
        <v>0</v>
      </c>
    </row>
    <row r="393" spans="1:7">
      <c r="A393" s="1484">
        <v>38687</v>
      </c>
      <c r="B393" s="1485"/>
      <c r="C393" s="1486" t="s">
        <v>4901</v>
      </c>
      <c r="D393" s="1487"/>
      <c r="E393" s="1488">
        <f>SUM(E394:E406)</f>
        <v>1132.0500000000002</v>
      </c>
      <c r="F393" s="1489"/>
      <c r="G393" s="1490"/>
    </row>
    <row r="394" spans="1:7">
      <c r="A394" s="430">
        <v>38688</v>
      </c>
      <c r="B394" s="76" t="s">
        <v>13112</v>
      </c>
      <c r="C394" s="332" t="s">
        <v>13113</v>
      </c>
      <c r="D394" s="333"/>
      <c r="E394" s="49">
        <v>86.54</v>
      </c>
      <c r="F394" s="76" t="s">
        <v>9</v>
      </c>
      <c r="G394" s="778">
        <f t="shared" ref="G394:G406" si="18">IF(F394="X",0,E394)</f>
        <v>0</v>
      </c>
    </row>
    <row r="395" spans="1:7">
      <c r="A395" s="430">
        <v>38688</v>
      </c>
      <c r="B395" s="76" t="s">
        <v>13114</v>
      </c>
      <c r="C395" s="332" t="s">
        <v>13115</v>
      </c>
      <c r="D395" s="333"/>
      <c r="E395" s="49">
        <v>97.87</v>
      </c>
      <c r="F395" s="76" t="s">
        <v>9</v>
      </c>
      <c r="G395" s="778">
        <f t="shared" si="18"/>
        <v>0</v>
      </c>
    </row>
    <row r="396" spans="1:7">
      <c r="A396" s="430">
        <v>38688</v>
      </c>
      <c r="B396" s="76" t="s">
        <v>13112</v>
      </c>
      <c r="C396" s="332" t="s">
        <v>13116</v>
      </c>
      <c r="D396" s="333"/>
      <c r="E396" s="49">
        <v>86.54</v>
      </c>
      <c r="F396" s="76" t="s">
        <v>9</v>
      </c>
      <c r="G396" s="778">
        <f t="shared" si="18"/>
        <v>0</v>
      </c>
    </row>
    <row r="397" spans="1:7">
      <c r="A397" s="430">
        <v>38688</v>
      </c>
      <c r="B397" s="76" t="s">
        <v>13114</v>
      </c>
      <c r="C397" s="332" t="s">
        <v>13117</v>
      </c>
      <c r="D397" s="333"/>
      <c r="E397" s="49">
        <v>97.87</v>
      </c>
      <c r="F397" s="76" t="s">
        <v>9</v>
      </c>
      <c r="G397" s="778">
        <f t="shared" si="18"/>
        <v>0</v>
      </c>
    </row>
    <row r="398" spans="1:7">
      <c r="A398" s="430">
        <v>38688</v>
      </c>
      <c r="B398" s="76" t="s">
        <v>13118</v>
      </c>
      <c r="C398" s="332" t="s">
        <v>13119</v>
      </c>
      <c r="D398" s="333"/>
      <c r="E398" s="49">
        <v>56.22</v>
      </c>
      <c r="F398" s="76" t="s">
        <v>9</v>
      </c>
      <c r="G398" s="778">
        <f t="shared" si="18"/>
        <v>0</v>
      </c>
    </row>
    <row r="399" spans="1:7">
      <c r="A399" s="430">
        <v>38688</v>
      </c>
      <c r="B399" s="76" t="s">
        <v>13120</v>
      </c>
      <c r="C399" s="332" t="s">
        <v>13121</v>
      </c>
      <c r="D399" s="333"/>
      <c r="E399" s="49">
        <v>34.74</v>
      </c>
      <c r="F399" s="76" t="s">
        <v>9</v>
      </c>
      <c r="G399" s="778">
        <f t="shared" si="18"/>
        <v>0</v>
      </c>
    </row>
    <row r="400" spans="1:7">
      <c r="A400" s="430">
        <v>38688</v>
      </c>
      <c r="B400" s="76" t="s">
        <v>13118</v>
      </c>
      <c r="C400" s="332" t="s">
        <v>13122</v>
      </c>
      <c r="D400" s="333"/>
      <c r="E400" s="49">
        <v>56.22</v>
      </c>
      <c r="F400" s="76" t="s">
        <v>9</v>
      </c>
      <c r="G400" s="778">
        <f t="shared" si="18"/>
        <v>0</v>
      </c>
    </row>
    <row r="401" spans="1:7">
      <c r="A401" s="430">
        <v>38688</v>
      </c>
      <c r="B401" s="76" t="s">
        <v>13120</v>
      </c>
      <c r="C401" s="332" t="s">
        <v>13123</v>
      </c>
      <c r="D401" s="333"/>
      <c r="E401" s="49">
        <v>34.74</v>
      </c>
      <c r="F401" s="76" t="s">
        <v>9</v>
      </c>
      <c r="G401" s="778">
        <f t="shared" si="18"/>
        <v>0</v>
      </c>
    </row>
    <row r="402" spans="1:7">
      <c r="A402" s="430">
        <v>38688</v>
      </c>
      <c r="B402" s="76" t="s">
        <v>13028</v>
      </c>
      <c r="C402" s="332" t="s">
        <v>13124</v>
      </c>
      <c r="D402" s="333"/>
      <c r="E402" s="49">
        <v>59.9</v>
      </c>
      <c r="F402" s="76" t="s">
        <v>9</v>
      </c>
      <c r="G402" s="778">
        <f t="shared" si="18"/>
        <v>0</v>
      </c>
    </row>
    <row r="403" spans="1:7">
      <c r="A403" s="792">
        <v>38688</v>
      </c>
      <c r="B403" s="793" t="s">
        <v>13108</v>
      </c>
      <c r="C403" s="794" t="s">
        <v>13125</v>
      </c>
      <c r="D403" s="795"/>
      <c r="E403" s="796">
        <v>141</v>
      </c>
      <c r="F403" s="797" t="s">
        <v>9</v>
      </c>
      <c r="G403" s="798">
        <f t="shared" si="18"/>
        <v>0</v>
      </c>
    </row>
    <row r="404" spans="1:7">
      <c r="A404" s="430">
        <v>38693</v>
      </c>
      <c r="B404" s="76" t="s">
        <v>1218</v>
      </c>
      <c r="C404" s="77" t="s">
        <v>13126</v>
      </c>
      <c r="D404" s="333"/>
      <c r="E404" s="49">
        <v>133.1</v>
      </c>
      <c r="F404" s="76" t="s">
        <v>9</v>
      </c>
      <c r="G404" s="778">
        <f t="shared" si="18"/>
        <v>0</v>
      </c>
    </row>
    <row r="405" spans="1:7">
      <c r="A405" s="792">
        <v>38693</v>
      </c>
      <c r="B405" s="793" t="s">
        <v>1218</v>
      </c>
      <c r="C405" s="794" t="s">
        <v>13127</v>
      </c>
      <c r="D405" s="795"/>
      <c r="E405" s="796">
        <v>133.1</v>
      </c>
      <c r="F405" s="797" t="s">
        <v>9</v>
      </c>
      <c r="G405" s="798">
        <f t="shared" si="18"/>
        <v>0</v>
      </c>
    </row>
    <row r="406" spans="1:7">
      <c r="A406" s="430">
        <v>38698</v>
      </c>
      <c r="B406" s="76" t="s">
        <v>12917</v>
      </c>
      <c r="C406" s="77" t="s">
        <v>13128</v>
      </c>
      <c r="D406" s="333"/>
      <c r="E406" s="49">
        <v>114.21</v>
      </c>
      <c r="F406" s="76" t="s">
        <v>9</v>
      </c>
      <c r="G406" s="778">
        <f t="shared" si="18"/>
        <v>0</v>
      </c>
    </row>
    <row r="407" spans="1:7">
      <c r="A407" s="1491">
        <v>38718</v>
      </c>
      <c r="B407" s="1492"/>
      <c r="C407" s="1493" t="s">
        <v>4943</v>
      </c>
      <c r="D407" s="1494"/>
      <c r="E407" s="1495">
        <f>SUM(E408:E421)</f>
        <v>1266.1100000000001</v>
      </c>
      <c r="F407" s="1496"/>
      <c r="G407" s="1497"/>
    </row>
    <row r="408" spans="1:7">
      <c r="A408" s="777">
        <v>38719</v>
      </c>
      <c r="B408" s="76" t="s">
        <v>13129</v>
      </c>
      <c r="C408" s="332" t="s">
        <v>13130</v>
      </c>
      <c r="D408" s="333"/>
      <c r="E408" s="231">
        <v>141.81</v>
      </c>
      <c r="F408" s="76" t="s">
        <v>9</v>
      </c>
      <c r="G408" s="778">
        <f t="shared" ref="G408:G421" si="19">IF(F408="X",0,E408)</f>
        <v>0</v>
      </c>
    </row>
    <row r="409" spans="1:7">
      <c r="A409" s="777">
        <v>38719</v>
      </c>
      <c r="B409" s="76" t="s">
        <v>13131</v>
      </c>
      <c r="C409" s="332" t="s">
        <v>13113</v>
      </c>
      <c r="D409" s="333"/>
      <c r="E409" s="231">
        <v>100.54</v>
      </c>
      <c r="F409" s="76" t="s">
        <v>9</v>
      </c>
      <c r="G409" s="778">
        <f t="shared" si="19"/>
        <v>0</v>
      </c>
    </row>
    <row r="410" spans="1:7">
      <c r="A410" s="792">
        <v>38719</v>
      </c>
      <c r="B410" s="793" t="s">
        <v>13112</v>
      </c>
      <c r="C410" s="794" t="s">
        <v>13132</v>
      </c>
      <c r="D410" s="795"/>
      <c r="E410" s="796">
        <v>86.54</v>
      </c>
      <c r="F410" s="797" t="s">
        <v>9</v>
      </c>
      <c r="G410" s="798">
        <f t="shared" si="19"/>
        <v>0</v>
      </c>
    </row>
    <row r="411" spans="1:7">
      <c r="A411" s="792">
        <v>38719</v>
      </c>
      <c r="B411" s="793" t="s">
        <v>13114</v>
      </c>
      <c r="C411" s="794" t="s">
        <v>13133</v>
      </c>
      <c r="D411" s="795"/>
      <c r="E411" s="796">
        <v>97.84</v>
      </c>
      <c r="F411" s="797" t="s">
        <v>9</v>
      </c>
      <c r="G411" s="798">
        <f t="shared" si="19"/>
        <v>0</v>
      </c>
    </row>
    <row r="412" spans="1:7">
      <c r="A412" s="792">
        <v>38719</v>
      </c>
      <c r="B412" s="793" t="s">
        <v>13118</v>
      </c>
      <c r="C412" s="794" t="s">
        <v>13134</v>
      </c>
      <c r="D412" s="795"/>
      <c r="E412" s="796">
        <v>56.22</v>
      </c>
      <c r="F412" s="797" t="s">
        <v>9</v>
      </c>
      <c r="G412" s="798">
        <f t="shared" si="19"/>
        <v>0</v>
      </c>
    </row>
    <row r="413" spans="1:7">
      <c r="A413" s="792">
        <v>38719</v>
      </c>
      <c r="B413" s="793" t="s">
        <v>13120</v>
      </c>
      <c r="C413" s="794" t="s">
        <v>13135</v>
      </c>
      <c r="D413" s="795"/>
      <c r="E413" s="796">
        <v>34.74</v>
      </c>
      <c r="F413" s="797" t="s">
        <v>9</v>
      </c>
      <c r="G413" s="798">
        <f t="shared" si="19"/>
        <v>0</v>
      </c>
    </row>
    <row r="414" spans="1:7">
      <c r="A414" s="792">
        <v>38719</v>
      </c>
      <c r="B414" s="793" t="s">
        <v>13028</v>
      </c>
      <c r="C414" s="794" t="s">
        <v>13136</v>
      </c>
      <c r="D414" s="795"/>
      <c r="E414" s="796">
        <v>59.9</v>
      </c>
      <c r="F414" s="797" t="s">
        <v>9</v>
      </c>
      <c r="G414" s="798">
        <f t="shared" si="19"/>
        <v>0</v>
      </c>
    </row>
    <row r="415" spans="1:7">
      <c r="A415" s="777">
        <v>38723</v>
      </c>
      <c r="B415" s="76" t="s">
        <v>12917</v>
      </c>
      <c r="C415" s="77" t="s">
        <v>13137</v>
      </c>
      <c r="D415" s="333"/>
      <c r="E415" s="98">
        <v>113.12</v>
      </c>
      <c r="F415" s="76" t="s">
        <v>9</v>
      </c>
      <c r="G415" s="778">
        <f t="shared" si="19"/>
        <v>0</v>
      </c>
    </row>
    <row r="416" spans="1:7">
      <c r="A416" s="777">
        <v>38723</v>
      </c>
      <c r="B416" s="76" t="s">
        <v>12917</v>
      </c>
      <c r="C416" s="77" t="s">
        <v>13138</v>
      </c>
      <c r="D416" s="333"/>
      <c r="E416" s="98">
        <v>107.5</v>
      </c>
      <c r="F416" s="76" t="s">
        <v>9</v>
      </c>
      <c r="G416" s="778">
        <f t="shared" si="19"/>
        <v>0</v>
      </c>
    </row>
    <row r="417" spans="1:7">
      <c r="A417" s="777">
        <v>38723</v>
      </c>
      <c r="B417" s="76" t="s">
        <v>12917</v>
      </c>
      <c r="C417" s="77" t="s">
        <v>13139</v>
      </c>
      <c r="D417" s="333"/>
      <c r="E417" s="98">
        <v>102.8</v>
      </c>
      <c r="F417" s="76" t="s">
        <v>9</v>
      </c>
      <c r="G417" s="778">
        <f t="shared" si="19"/>
        <v>0</v>
      </c>
    </row>
    <row r="418" spans="1:7">
      <c r="A418" s="777">
        <v>38723</v>
      </c>
      <c r="B418" s="76" t="s">
        <v>12917</v>
      </c>
      <c r="C418" s="77" t="s">
        <v>13140</v>
      </c>
      <c r="D418" s="333"/>
      <c r="E418" s="98">
        <v>98</v>
      </c>
      <c r="F418" s="76" t="s">
        <v>9</v>
      </c>
      <c r="G418" s="778">
        <f t="shared" si="19"/>
        <v>0</v>
      </c>
    </row>
    <row r="419" spans="1:7">
      <c r="A419" s="777">
        <v>38723</v>
      </c>
      <c r="B419" s="76" t="s">
        <v>12917</v>
      </c>
      <c r="C419" s="77" t="s">
        <v>13141</v>
      </c>
      <c r="D419" s="333"/>
      <c r="E419" s="98">
        <v>93.42</v>
      </c>
      <c r="F419" s="76" t="s">
        <v>9</v>
      </c>
      <c r="G419" s="778">
        <f t="shared" si="19"/>
        <v>0</v>
      </c>
    </row>
    <row r="420" spans="1:7">
      <c r="A420" s="777">
        <v>38723</v>
      </c>
      <c r="B420" s="76" t="s">
        <v>12917</v>
      </c>
      <c r="C420" s="77" t="s">
        <v>13142</v>
      </c>
      <c r="D420" s="333"/>
      <c r="E420" s="98">
        <v>88.92</v>
      </c>
      <c r="F420" s="76" t="s">
        <v>9</v>
      </c>
      <c r="G420" s="778">
        <f t="shared" si="19"/>
        <v>0</v>
      </c>
    </row>
    <row r="421" spans="1:7">
      <c r="A421" s="939">
        <v>38723</v>
      </c>
      <c r="B421" s="940" t="s">
        <v>12917</v>
      </c>
      <c r="C421" s="941" t="s">
        <v>13143</v>
      </c>
      <c r="D421" s="942"/>
      <c r="E421" s="943">
        <v>84.76</v>
      </c>
      <c r="F421" s="944" t="s">
        <v>9</v>
      </c>
      <c r="G421" s="945">
        <f t="shared" si="19"/>
        <v>0</v>
      </c>
    </row>
    <row r="422" spans="1:7">
      <c r="A422" s="1491">
        <v>38749</v>
      </c>
      <c r="B422" s="1492"/>
      <c r="C422" s="1493" t="s">
        <v>13144</v>
      </c>
      <c r="D422" s="1494"/>
      <c r="E422" s="1495">
        <f>SUM(E423:E424)</f>
        <v>242.35000000000002</v>
      </c>
      <c r="F422" s="1496"/>
      <c r="G422" s="1497"/>
    </row>
    <row r="423" spans="1:7">
      <c r="A423" s="792">
        <v>38750</v>
      </c>
      <c r="B423" s="793" t="s">
        <v>13129</v>
      </c>
      <c r="C423" s="794" t="s">
        <v>13145</v>
      </c>
      <c r="D423" s="795"/>
      <c r="E423" s="796">
        <v>141.81</v>
      </c>
      <c r="F423" s="797" t="s">
        <v>120</v>
      </c>
      <c r="G423" s="798">
        <f>IF(F423="X",0,E423)</f>
        <v>0</v>
      </c>
    </row>
    <row r="424" spans="1:7">
      <c r="A424" s="1080">
        <v>38750</v>
      </c>
      <c r="B424" s="762" t="s">
        <v>13131</v>
      </c>
      <c r="C424" s="788" t="s">
        <v>13116</v>
      </c>
      <c r="D424" s="914"/>
      <c r="E424" s="1082">
        <v>100.54</v>
      </c>
      <c r="F424" s="762" t="s">
        <v>120</v>
      </c>
      <c r="G424" s="1083">
        <f>IF(F424="X",0,E424)</f>
        <v>0</v>
      </c>
    </row>
    <row r="425" spans="1:7">
      <c r="A425" s="1491">
        <v>38777</v>
      </c>
      <c r="B425" s="1492"/>
      <c r="C425" s="1493" t="s">
        <v>5018</v>
      </c>
      <c r="D425" s="1494"/>
      <c r="E425" s="1495">
        <f>SUM(E426:E428)</f>
        <v>543.04</v>
      </c>
      <c r="F425" s="1496"/>
      <c r="G425" s="1497"/>
    </row>
    <row r="426" spans="1:7">
      <c r="A426" s="777">
        <v>38777</v>
      </c>
      <c r="B426" s="76" t="s">
        <v>13146</v>
      </c>
      <c r="C426" s="431" t="s">
        <v>13147</v>
      </c>
      <c r="D426" s="333"/>
      <c r="E426" s="98">
        <v>302.5</v>
      </c>
      <c r="F426" s="76" t="s">
        <v>120</v>
      </c>
      <c r="G426" s="891">
        <f>IF(F426="X",0,E426)</f>
        <v>0</v>
      </c>
    </row>
    <row r="427" spans="1:7">
      <c r="A427" s="792">
        <v>38778</v>
      </c>
      <c r="B427" s="793" t="s">
        <v>13131</v>
      </c>
      <c r="C427" s="794" t="s">
        <v>13132</v>
      </c>
      <c r="D427" s="795"/>
      <c r="E427" s="796">
        <v>100.54</v>
      </c>
      <c r="F427" s="797" t="s">
        <v>9</v>
      </c>
      <c r="G427" s="798">
        <f>IF(F427="X",0,E427)</f>
        <v>0</v>
      </c>
    </row>
    <row r="428" spans="1:7">
      <c r="A428" s="1080">
        <v>38791</v>
      </c>
      <c r="B428" s="762" t="s">
        <v>13148</v>
      </c>
      <c r="C428" s="1498" t="s">
        <v>5051</v>
      </c>
      <c r="D428" s="1324"/>
      <c r="E428" s="1082">
        <v>140</v>
      </c>
      <c r="F428" s="762" t="s">
        <v>9</v>
      </c>
      <c r="G428" s="1003">
        <f>IF(F428="X",0,E428)</f>
        <v>0</v>
      </c>
    </row>
    <row r="429" spans="1:7">
      <c r="A429" s="1484">
        <v>38808</v>
      </c>
      <c r="B429" s="1485"/>
      <c r="C429" s="1486" t="s">
        <v>13149</v>
      </c>
      <c r="D429" s="1487"/>
      <c r="E429" s="1488">
        <f>SUM(E430:E433)</f>
        <v>1067.1599999999999</v>
      </c>
      <c r="F429" s="1489"/>
      <c r="G429" s="1490"/>
    </row>
    <row r="430" spans="1:7">
      <c r="A430" s="430">
        <v>38808</v>
      </c>
      <c r="B430" s="76" t="s">
        <v>13146</v>
      </c>
      <c r="C430" s="431" t="s">
        <v>13150</v>
      </c>
      <c r="D430" s="333"/>
      <c r="E430" s="98">
        <v>302.5</v>
      </c>
      <c r="F430" s="76" t="s">
        <v>120</v>
      </c>
      <c r="G430" s="98">
        <f>IF(F430="X",0,E430)</f>
        <v>0</v>
      </c>
    </row>
    <row r="431" spans="1:7">
      <c r="A431" s="430">
        <v>38809</v>
      </c>
      <c r="B431" s="76" t="s">
        <v>13151</v>
      </c>
      <c r="C431" s="431" t="s">
        <v>13152</v>
      </c>
      <c r="D431" s="333"/>
      <c r="E431" s="98">
        <v>172.66</v>
      </c>
      <c r="F431" s="76" t="s">
        <v>9</v>
      </c>
      <c r="G431" s="98">
        <f>IF(F431="X",0,E431)</f>
        <v>0</v>
      </c>
    </row>
    <row r="432" spans="1:7">
      <c r="A432" s="792">
        <v>38822</v>
      </c>
      <c r="B432" s="793" t="s">
        <v>13148</v>
      </c>
      <c r="C432" s="794" t="s">
        <v>5099</v>
      </c>
      <c r="D432" s="795"/>
      <c r="E432" s="796">
        <v>140</v>
      </c>
      <c r="F432" s="797" t="s">
        <v>9</v>
      </c>
      <c r="G432" s="798">
        <f>IF(F432="X",0,E432)</f>
        <v>0</v>
      </c>
    </row>
    <row r="433" spans="1:7">
      <c r="A433" s="429">
        <v>38822</v>
      </c>
      <c r="B433" s="80" t="s">
        <v>13153</v>
      </c>
      <c r="C433" s="81" t="s">
        <v>13154</v>
      </c>
      <c r="D433" s="409"/>
      <c r="E433" s="407">
        <v>452</v>
      </c>
      <c r="F433" s="80" t="s">
        <v>120</v>
      </c>
      <c r="G433" s="97">
        <f>IF(F433="X",0,E433)</f>
        <v>0</v>
      </c>
    </row>
    <row r="434" spans="1:7">
      <c r="A434" s="1484">
        <v>38838</v>
      </c>
      <c r="B434" s="1485"/>
      <c r="C434" s="1486" t="s">
        <v>5111</v>
      </c>
      <c r="D434" s="1487"/>
      <c r="E434" s="1488">
        <f>SUM(E435:E439)</f>
        <v>1052.8800000000001</v>
      </c>
      <c r="F434" s="1489"/>
      <c r="G434" s="1490"/>
    </row>
    <row r="435" spans="1:7">
      <c r="A435" s="430">
        <v>38838</v>
      </c>
      <c r="B435" s="76" t="s">
        <v>13146</v>
      </c>
      <c r="C435" s="431" t="s">
        <v>13155</v>
      </c>
      <c r="D435" s="333"/>
      <c r="E435" s="49">
        <v>302.5</v>
      </c>
      <c r="F435" s="76" t="s">
        <v>9</v>
      </c>
      <c r="G435" s="49">
        <f>IF(F435="X",0,E435)</f>
        <v>0</v>
      </c>
    </row>
    <row r="436" spans="1:7">
      <c r="A436" s="430">
        <v>38839</v>
      </c>
      <c r="B436" s="76" t="s">
        <v>13156</v>
      </c>
      <c r="C436" s="431" t="s">
        <v>13157</v>
      </c>
      <c r="D436" s="333"/>
      <c r="E436" s="98">
        <v>24</v>
      </c>
      <c r="F436" s="76" t="s">
        <v>9</v>
      </c>
      <c r="G436" s="49">
        <f>IF(F436="X",0,E436)</f>
        <v>0</v>
      </c>
    </row>
    <row r="437" spans="1:7">
      <c r="A437" s="430">
        <v>38839</v>
      </c>
      <c r="B437" s="76" t="s">
        <v>13151</v>
      </c>
      <c r="C437" s="431" t="s">
        <v>13158</v>
      </c>
      <c r="D437" s="333"/>
      <c r="E437" s="98">
        <v>172.66</v>
      </c>
      <c r="F437" s="76" t="s">
        <v>9</v>
      </c>
      <c r="G437" s="98">
        <f>IF(F437="X",0,E437)</f>
        <v>0</v>
      </c>
    </row>
    <row r="438" spans="1:7">
      <c r="A438" s="430">
        <v>38839</v>
      </c>
      <c r="B438" s="76" t="s">
        <v>13159</v>
      </c>
      <c r="C438" s="431" t="s">
        <v>13160</v>
      </c>
      <c r="D438" s="333"/>
      <c r="E438" s="98">
        <v>100</v>
      </c>
      <c r="F438" s="76" t="s">
        <v>9</v>
      </c>
      <c r="G438" s="98">
        <f>IF(F438="X",0,E438)</f>
        <v>0</v>
      </c>
    </row>
    <row r="439" spans="1:7">
      <c r="A439" s="429">
        <v>38852</v>
      </c>
      <c r="B439" s="80" t="s">
        <v>13153</v>
      </c>
      <c r="C439" s="433" t="s">
        <v>13161</v>
      </c>
      <c r="D439" s="409"/>
      <c r="E439" s="97">
        <v>453.72</v>
      </c>
      <c r="F439" s="80" t="s">
        <v>9</v>
      </c>
      <c r="G439" s="97">
        <f>IF(F439="X",0,E439)</f>
        <v>0</v>
      </c>
    </row>
    <row r="440" spans="1:7">
      <c r="A440" s="1484">
        <v>38869</v>
      </c>
      <c r="B440" s="1485"/>
      <c r="C440" s="1486" t="s">
        <v>13162</v>
      </c>
      <c r="D440" s="1487"/>
      <c r="E440" s="1488">
        <f>SUM(E441:E445)</f>
        <v>1052.6199999999999</v>
      </c>
      <c r="F440" s="1489"/>
      <c r="G440" s="1490"/>
    </row>
    <row r="441" spans="1:7">
      <c r="A441" s="792">
        <v>38869</v>
      </c>
      <c r="B441" s="793" t="s">
        <v>13146</v>
      </c>
      <c r="C441" s="794" t="s">
        <v>13163</v>
      </c>
      <c r="D441" s="795"/>
      <c r="E441" s="796">
        <v>302.5</v>
      </c>
      <c r="F441" s="797" t="s">
        <v>9</v>
      </c>
      <c r="G441" s="798">
        <f>IF(F441="X",0,E441)</f>
        <v>0</v>
      </c>
    </row>
    <row r="442" spans="1:7">
      <c r="A442" s="792">
        <v>38870</v>
      </c>
      <c r="B442" s="793" t="s">
        <v>13164</v>
      </c>
      <c r="C442" s="794" t="s">
        <v>13165</v>
      </c>
      <c r="D442" s="795"/>
      <c r="E442" s="796">
        <v>24</v>
      </c>
      <c r="F442" s="797" t="s">
        <v>9</v>
      </c>
      <c r="G442" s="798">
        <f>IF(F442="X",0,E442)</f>
        <v>0</v>
      </c>
    </row>
    <row r="443" spans="1:7">
      <c r="A443" s="430">
        <v>38870</v>
      </c>
      <c r="B443" s="76" t="s">
        <v>13151</v>
      </c>
      <c r="C443" s="431" t="s">
        <v>13166</v>
      </c>
      <c r="D443" s="333"/>
      <c r="E443" s="98">
        <v>172.66</v>
      </c>
      <c r="F443" s="76" t="s">
        <v>9</v>
      </c>
      <c r="G443" s="98">
        <f>IF(F443="X",0,E443)</f>
        <v>0</v>
      </c>
    </row>
    <row r="444" spans="1:7">
      <c r="A444" s="430">
        <v>38870</v>
      </c>
      <c r="B444" s="76" t="s">
        <v>13159</v>
      </c>
      <c r="C444" s="431" t="s">
        <v>13167</v>
      </c>
      <c r="D444" s="333"/>
      <c r="E444" s="98">
        <v>100</v>
      </c>
      <c r="F444" s="76" t="s">
        <v>9</v>
      </c>
      <c r="G444" s="98">
        <f>IF(F444="X",0,E444)</f>
        <v>0</v>
      </c>
    </row>
    <row r="445" spans="1:7">
      <c r="A445" s="429">
        <v>38882</v>
      </c>
      <c r="B445" s="80" t="s">
        <v>13153</v>
      </c>
      <c r="C445" s="433" t="s">
        <v>13168</v>
      </c>
      <c r="D445" s="409"/>
      <c r="E445" s="97">
        <v>453.46</v>
      </c>
      <c r="F445" s="76" t="s">
        <v>9</v>
      </c>
      <c r="G445" s="97">
        <f>IF(F445="X",0,E445)</f>
        <v>0</v>
      </c>
    </row>
    <row r="446" spans="1:7">
      <c r="A446" s="1484">
        <v>38899</v>
      </c>
      <c r="B446" s="1485"/>
      <c r="C446" s="1486" t="s">
        <v>5159</v>
      </c>
      <c r="D446" s="1487"/>
      <c r="E446" s="1488">
        <f>SUM(E447:E449)</f>
        <v>735.21</v>
      </c>
      <c r="F446" s="1489"/>
      <c r="G446" s="1490"/>
    </row>
    <row r="447" spans="1:7">
      <c r="A447" s="430">
        <v>38900</v>
      </c>
      <c r="B447" s="76" t="s">
        <v>13151</v>
      </c>
      <c r="C447" s="431" t="s">
        <v>13169</v>
      </c>
      <c r="D447" s="333"/>
      <c r="E447" s="98">
        <v>172.66</v>
      </c>
      <c r="F447" s="76" t="s">
        <v>9</v>
      </c>
      <c r="G447" s="98">
        <f>IF(F447="X",0,E447)</f>
        <v>0</v>
      </c>
    </row>
    <row r="448" spans="1:7">
      <c r="A448" s="430">
        <v>38900</v>
      </c>
      <c r="B448" s="76" t="s">
        <v>13159</v>
      </c>
      <c r="C448" s="431" t="s">
        <v>13170</v>
      </c>
      <c r="D448" s="333"/>
      <c r="E448" s="49">
        <v>100</v>
      </c>
      <c r="F448" s="76" t="s">
        <v>9</v>
      </c>
      <c r="G448" s="98">
        <f>IF(F448="X",0,E448)</f>
        <v>0</v>
      </c>
    </row>
    <row r="449" spans="1:7">
      <c r="A449" s="430">
        <v>38913</v>
      </c>
      <c r="B449" s="76" t="s">
        <v>13153</v>
      </c>
      <c r="C449" s="431" t="s">
        <v>13171</v>
      </c>
      <c r="D449" s="333"/>
      <c r="E449" s="98">
        <v>462.55</v>
      </c>
      <c r="F449" s="76" t="s">
        <v>9</v>
      </c>
      <c r="G449" s="98">
        <f>IF(F449="X",0,E449)</f>
        <v>0</v>
      </c>
    </row>
    <row r="450" spans="1:7">
      <c r="A450" s="1491">
        <v>38930</v>
      </c>
      <c r="B450" s="1492"/>
      <c r="C450" s="1493" t="s">
        <v>5185</v>
      </c>
      <c r="D450" s="1494"/>
      <c r="E450" s="1495">
        <f>SUM(E451:E466)</f>
        <v>6435.2100000000009</v>
      </c>
      <c r="F450" s="1496"/>
      <c r="G450" s="1497"/>
    </row>
    <row r="451" spans="1:7">
      <c r="A451" s="777">
        <v>38931</v>
      </c>
      <c r="B451" s="76" t="s">
        <v>13151</v>
      </c>
      <c r="C451" s="431" t="s">
        <v>13172</v>
      </c>
      <c r="D451" s="333"/>
      <c r="E451" s="98">
        <v>172.66</v>
      </c>
      <c r="F451" s="76" t="s">
        <v>9</v>
      </c>
      <c r="G451" s="778">
        <f t="shared" ref="G451:G466" si="20">IF(F451="X",0,E451)</f>
        <v>0</v>
      </c>
    </row>
    <row r="452" spans="1:7">
      <c r="A452" s="792">
        <v>38931</v>
      </c>
      <c r="B452" s="793" t="s">
        <v>13159</v>
      </c>
      <c r="C452" s="794" t="s">
        <v>13173</v>
      </c>
      <c r="D452" s="795"/>
      <c r="E452" s="796">
        <v>100</v>
      </c>
      <c r="F452" s="797" t="s">
        <v>9</v>
      </c>
      <c r="G452" s="798">
        <f t="shared" si="20"/>
        <v>0</v>
      </c>
    </row>
    <row r="453" spans="1:7">
      <c r="A453" s="777">
        <v>38944</v>
      </c>
      <c r="B453" s="76" t="s">
        <v>13153</v>
      </c>
      <c r="C453" s="431" t="s">
        <v>13174</v>
      </c>
      <c r="D453" s="333"/>
      <c r="E453" s="98">
        <v>462.55</v>
      </c>
      <c r="F453" s="76" t="s">
        <v>9</v>
      </c>
      <c r="G453" s="778">
        <f t="shared" si="20"/>
        <v>0</v>
      </c>
    </row>
    <row r="454" spans="1:7">
      <c r="A454" s="777">
        <v>38951</v>
      </c>
      <c r="B454" s="76" t="s">
        <v>13153</v>
      </c>
      <c r="C454" s="431" t="s">
        <v>13175</v>
      </c>
      <c r="D454" s="333"/>
      <c r="E454" s="98">
        <v>462.55</v>
      </c>
      <c r="F454" s="76" t="s">
        <v>9</v>
      </c>
      <c r="G454" s="778">
        <f t="shared" si="20"/>
        <v>0</v>
      </c>
    </row>
    <row r="455" spans="1:7">
      <c r="A455" s="777">
        <v>38951</v>
      </c>
      <c r="B455" s="76" t="s">
        <v>13153</v>
      </c>
      <c r="C455" s="431" t="s">
        <v>13176</v>
      </c>
      <c r="D455" s="333"/>
      <c r="E455" s="98">
        <v>462.55</v>
      </c>
      <c r="F455" s="76" t="s">
        <v>9</v>
      </c>
      <c r="G455" s="778">
        <f t="shared" si="20"/>
        <v>0</v>
      </c>
    </row>
    <row r="456" spans="1:7">
      <c r="A456" s="777">
        <v>38951</v>
      </c>
      <c r="B456" s="76" t="s">
        <v>13153</v>
      </c>
      <c r="C456" s="431" t="s">
        <v>13177</v>
      </c>
      <c r="D456" s="333"/>
      <c r="E456" s="98">
        <v>462.55</v>
      </c>
      <c r="F456" s="76" t="s">
        <v>9</v>
      </c>
      <c r="G456" s="778">
        <f t="shared" si="20"/>
        <v>0</v>
      </c>
    </row>
    <row r="457" spans="1:7">
      <c r="A457" s="777">
        <v>38951</v>
      </c>
      <c r="B457" s="76" t="s">
        <v>13153</v>
      </c>
      <c r="C457" s="431" t="s">
        <v>13178</v>
      </c>
      <c r="D457" s="333"/>
      <c r="E457" s="98">
        <v>462.55</v>
      </c>
      <c r="F457" s="76" t="s">
        <v>9</v>
      </c>
      <c r="G457" s="778">
        <f t="shared" si="20"/>
        <v>0</v>
      </c>
    </row>
    <row r="458" spans="1:7">
      <c r="A458" s="777">
        <v>38951</v>
      </c>
      <c r="B458" s="76" t="s">
        <v>13153</v>
      </c>
      <c r="C458" s="431" t="s">
        <v>13179</v>
      </c>
      <c r="D458" s="333"/>
      <c r="E458" s="98">
        <v>462.55</v>
      </c>
      <c r="F458" s="76" t="s">
        <v>9</v>
      </c>
      <c r="G458" s="778">
        <f t="shared" si="20"/>
        <v>0</v>
      </c>
    </row>
    <row r="459" spans="1:7">
      <c r="A459" s="777">
        <v>38951</v>
      </c>
      <c r="B459" s="76" t="s">
        <v>13153</v>
      </c>
      <c r="C459" s="431" t="s">
        <v>13180</v>
      </c>
      <c r="D459" s="333"/>
      <c r="E459" s="98">
        <v>462.55</v>
      </c>
      <c r="F459" s="76" t="s">
        <v>9</v>
      </c>
      <c r="G459" s="778">
        <f t="shared" si="20"/>
        <v>0</v>
      </c>
    </row>
    <row r="460" spans="1:7">
      <c r="A460" s="777">
        <v>38951</v>
      </c>
      <c r="B460" s="76" t="s">
        <v>13153</v>
      </c>
      <c r="C460" s="431" t="s">
        <v>13181</v>
      </c>
      <c r="D460" s="333"/>
      <c r="E460" s="98">
        <v>462.55</v>
      </c>
      <c r="F460" s="76" t="s">
        <v>9</v>
      </c>
      <c r="G460" s="778">
        <f t="shared" si="20"/>
        <v>0</v>
      </c>
    </row>
    <row r="461" spans="1:7">
      <c r="A461" s="777">
        <v>38951</v>
      </c>
      <c r="B461" s="76" t="s">
        <v>13153</v>
      </c>
      <c r="C461" s="317" t="s">
        <v>13182</v>
      </c>
      <c r="D461" s="333"/>
      <c r="E461" s="98">
        <v>462.55</v>
      </c>
      <c r="F461" s="76" t="s">
        <v>9</v>
      </c>
      <c r="G461" s="778">
        <f t="shared" si="20"/>
        <v>0</v>
      </c>
    </row>
    <row r="462" spans="1:7">
      <c r="A462" s="777">
        <v>38951</v>
      </c>
      <c r="B462" s="76" t="s">
        <v>13153</v>
      </c>
      <c r="C462" s="317" t="s">
        <v>13183</v>
      </c>
      <c r="D462" s="333"/>
      <c r="E462" s="98">
        <v>462.55</v>
      </c>
      <c r="F462" s="76" t="s">
        <v>9</v>
      </c>
      <c r="G462" s="778">
        <f t="shared" si="20"/>
        <v>0</v>
      </c>
    </row>
    <row r="463" spans="1:7">
      <c r="A463" s="777">
        <v>38951</v>
      </c>
      <c r="B463" s="76" t="s">
        <v>13153</v>
      </c>
      <c r="C463" s="317" t="s">
        <v>13184</v>
      </c>
      <c r="D463" s="333"/>
      <c r="E463" s="98">
        <v>462.55</v>
      </c>
      <c r="F463" s="76" t="s">
        <v>9</v>
      </c>
      <c r="G463" s="778">
        <f t="shared" si="20"/>
        <v>0</v>
      </c>
    </row>
    <row r="464" spans="1:7">
      <c r="A464" s="777">
        <v>38951</v>
      </c>
      <c r="B464" s="76" t="s">
        <v>13153</v>
      </c>
      <c r="C464" s="317" t="s">
        <v>13185</v>
      </c>
      <c r="D464" s="333"/>
      <c r="E464" s="98">
        <v>462.55</v>
      </c>
      <c r="F464" s="76" t="s">
        <v>9</v>
      </c>
      <c r="G464" s="778">
        <f t="shared" si="20"/>
        <v>0</v>
      </c>
    </row>
    <row r="465" spans="1:7">
      <c r="A465" s="777">
        <v>38951</v>
      </c>
      <c r="B465" s="76" t="s">
        <v>13153</v>
      </c>
      <c r="C465" s="77" t="s">
        <v>13186</v>
      </c>
      <c r="D465" s="333"/>
      <c r="E465" s="98">
        <v>462.55</v>
      </c>
      <c r="F465" s="76" t="s">
        <v>9</v>
      </c>
      <c r="G465" s="778">
        <f t="shared" si="20"/>
        <v>0</v>
      </c>
    </row>
    <row r="466" spans="1:7">
      <c r="A466" s="1080">
        <v>38951</v>
      </c>
      <c r="B466" s="762" t="s">
        <v>13153</v>
      </c>
      <c r="C466" s="1081" t="s">
        <v>13187</v>
      </c>
      <c r="D466" s="914"/>
      <c r="E466" s="1499">
        <v>149.4</v>
      </c>
      <c r="F466" s="762" t="s">
        <v>9</v>
      </c>
      <c r="G466" s="1083">
        <f t="shared" si="20"/>
        <v>0</v>
      </c>
    </row>
    <row r="467" spans="1:7">
      <c r="A467" s="1491">
        <v>38961</v>
      </c>
      <c r="B467" s="1492"/>
      <c r="C467" s="1493" t="s">
        <v>5204</v>
      </c>
      <c r="D467" s="1494"/>
      <c r="E467" s="1495">
        <f>SUM(E468:E469)</f>
        <v>635.21</v>
      </c>
      <c r="F467" s="1496"/>
      <c r="G467" s="1497"/>
    </row>
    <row r="468" spans="1:7">
      <c r="A468" s="792">
        <v>38962</v>
      </c>
      <c r="B468" s="793" t="s">
        <v>13151</v>
      </c>
      <c r="C468" s="794" t="s">
        <v>13188</v>
      </c>
      <c r="D468" s="795"/>
      <c r="E468" s="796">
        <v>172.66</v>
      </c>
      <c r="F468" s="797" t="s">
        <v>9</v>
      </c>
      <c r="G468" s="798">
        <f>IF(F468="X",0,E468)</f>
        <v>0</v>
      </c>
    </row>
    <row r="469" spans="1:7">
      <c r="A469" s="1080">
        <v>38975</v>
      </c>
      <c r="B469" s="762" t="s">
        <v>13153</v>
      </c>
      <c r="C469" s="1500" t="s">
        <v>13189</v>
      </c>
      <c r="D469" s="914"/>
      <c r="E469" s="1499">
        <v>462.55</v>
      </c>
      <c r="F469" s="762" t="s">
        <v>9</v>
      </c>
      <c r="G469" s="1003">
        <f>IF(F469="X",0,E469)</f>
        <v>0</v>
      </c>
    </row>
    <row r="470" spans="1:7">
      <c r="A470" s="1491">
        <v>38991</v>
      </c>
      <c r="B470" s="1492"/>
      <c r="C470" s="1493" t="s">
        <v>5258</v>
      </c>
      <c r="D470" s="1494"/>
      <c r="E470" s="1495">
        <f>SUM(E471:E473)</f>
        <v>1285.67</v>
      </c>
      <c r="F470" s="1496"/>
      <c r="G470" s="1497"/>
    </row>
    <row r="471" spans="1:7">
      <c r="A471" s="777">
        <v>38992</v>
      </c>
      <c r="B471" s="76" t="s">
        <v>1738</v>
      </c>
      <c r="C471" s="349" t="s">
        <v>13190</v>
      </c>
      <c r="D471" s="333"/>
      <c r="E471" s="98">
        <v>131.33000000000001</v>
      </c>
      <c r="F471" s="76" t="s">
        <v>9</v>
      </c>
      <c r="G471" s="778">
        <f>IF(F471="X",0,E471)</f>
        <v>0</v>
      </c>
    </row>
    <row r="472" spans="1:7">
      <c r="A472" s="777">
        <v>39005</v>
      </c>
      <c r="B472" s="76" t="s">
        <v>13153</v>
      </c>
      <c r="C472" s="431" t="s">
        <v>13191</v>
      </c>
      <c r="D472" s="333"/>
      <c r="E472" s="98">
        <v>462.55</v>
      </c>
      <c r="F472" s="76" t="s">
        <v>9</v>
      </c>
      <c r="G472" s="778">
        <f>IF(F472="X",0,E472)</f>
        <v>0</v>
      </c>
    </row>
    <row r="473" spans="1:7">
      <c r="A473" s="1080">
        <v>39020</v>
      </c>
      <c r="B473" s="762" t="s">
        <v>13192</v>
      </c>
      <c r="C473" s="1500" t="s">
        <v>13193</v>
      </c>
      <c r="D473" s="914"/>
      <c r="E473" s="1499">
        <v>691.79</v>
      </c>
      <c r="F473" s="762" t="s">
        <v>9</v>
      </c>
      <c r="G473" s="1083">
        <f>IF(F473="X",0,E473)</f>
        <v>0</v>
      </c>
    </row>
    <row r="474" spans="1:7">
      <c r="A474" s="1491">
        <v>39022</v>
      </c>
      <c r="B474" s="1492"/>
      <c r="C474" s="1493" t="s">
        <v>5292</v>
      </c>
      <c r="D474" s="1494"/>
      <c r="E474" s="1495">
        <f>SUM(E475:E476)</f>
        <v>593.88</v>
      </c>
      <c r="F474" s="1496"/>
      <c r="G474" s="1497"/>
    </row>
    <row r="475" spans="1:7">
      <c r="A475" s="777">
        <v>39023</v>
      </c>
      <c r="B475" s="76" t="s">
        <v>1738</v>
      </c>
      <c r="C475" s="349" t="s">
        <v>13194</v>
      </c>
      <c r="D475" s="333"/>
      <c r="E475" s="98">
        <v>131.33000000000001</v>
      </c>
      <c r="F475" s="76" t="s">
        <v>9</v>
      </c>
      <c r="G475" s="891">
        <f>IF(F475="X",0,E475)</f>
        <v>0</v>
      </c>
    </row>
    <row r="476" spans="1:7">
      <c r="A476" s="1080">
        <v>39036</v>
      </c>
      <c r="B476" s="762" t="s">
        <v>13153</v>
      </c>
      <c r="C476" s="1500" t="s">
        <v>5314</v>
      </c>
      <c r="D476" s="914"/>
      <c r="E476" s="1499">
        <v>462.55</v>
      </c>
      <c r="F476" s="762" t="s">
        <v>9</v>
      </c>
      <c r="G476" s="1003">
        <f>IF(F476="X",0,E476)</f>
        <v>0</v>
      </c>
    </row>
    <row r="477" spans="1:7">
      <c r="A477" s="1491">
        <v>39052</v>
      </c>
      <c r="B477" s="1492"/>
      <c r="C477" s="1493" t="s">
        <v>5338</v>
      </c>
      <c r="D477" s="1494"/>
      <c r="E477" s="1495">
        <f>SUM(E478:E480)</f>
        <v>1285.67</v>
      </c>
      <c r="F477" s="1496"/>
      <c r="G477" s="1497"/>
    </row>
    <row r="478" spans="1:7">
      <c r="A478" s="777">
        <v>39052</v>
      </c>
      <c r="B478" s="76" t="s">
        <v>13192</v>
      </c>
      <c r="C478" s="349" t="s">
        <v>13195</v>
      </c>
      <c r="D478" s="333"/>
      <c r="E478" s="98">
        <v>691.79</v>
      </c>
      <c r="F478" s="76" t="s">
        <v>9</v>
      </c>
      <c r="G478" s="891">
        <f>IF(F478="X",0,E478)</f>
        <v>0</v>
      </c>
    </row>
    <row r="479" spans="1:7">
      <c r="A479" s="777">
        <v>39053</v>
      </c>
      <c r="B479" s="76" t="s">
        <v>1738</v>
      </c>
      <c r="C479" s="349" t="s">
        <v>13196</v>
      </c>
      <c r="D479" s="333"/>
      <c r="E479" s="98">
        <v>131.33000000000001</v>
      </c>
      <c r="F479" s="76" t="s">
        <v>9</v>
      </c>
      <c r="G479" s="891">
        <f>IF(F479="X",0,E479)</f>
        <v>0</v>
      </c>
    </row>
    <row r="480" spans="1:7">
      <c r="A480" s="1080">
        <v>39066</v>
      </c>
      <c r="B480" s="762" t="s">
        <v>13153</v>
      </c>
      <c r="C480" s="1501" t="s">
        <v>13197</v>
      </c>
      <c r="D480" s="914"/>
      <c r="E480" s="1499">
        <v>462.55</v>
      </c>
      <c r="F480" s="762" t="s">
        <v>9</v>
      </c>
      <c r="G480" s="1003">
        <f>IF(F480="X",0,E480)</f>
        <v>0</v>
      </c>
    </row>
    <row r="481" spans="1:7">
      <c r="A481" s="1484">
        <v>39083</v>
      </c>
      <c r="B481" s="1485"/>
      <c r="C481" s="1486" t="s">
        <v>13198</v>
      </c>
      <c r="D481" s="1487"/>
      <c r="E481" s="1488">
        <f>SUM(E482:E486)</f>
        <v>2617.83</v>
      </c>
      <c r="F481" s="1489"/>
      <c r="G481" s="1490"/>
    </row>
    <row r="482" spans="1:7">
      <c r="A482" s="430">
        <v>39083</v>
      </c>
      <c r="B482" s="76" t="s">
        <v>13192</v>
      </c>
      <c r="C482" s="349" t="s">
        <v>13199</v>
      </c>
      <c r="D482" s="333"/>
      <c r="E482" s="98">
        <v>691.79</v>
      </c>
      <c r="F482" s="76" t="s">
        <v>9</v>
      </c>
      <c r="G482" s="98">
        <f>IF(F482="X",0,E482)</f>
        <v>0</v>
      </c>
    </row>
    <row r="483" spans="1:7">
      <c r="A483" s="430">
        <v>39083</v>
      </c>
      <c r="B483" s="76" t="s">
        <v>13200</v>
      </c>
      <c r="C483" s="349" t="s">
        <v>13201</v>
      </c>
      <c r="D483" s="333"/>
      <c r="E483" s="98">
        <v>583.37</v>
      </c>
      <c r="F483" s="76" t="s">
        <v>9</v>
      </c>
      <c r="G483" s="98">
        <f>IF(F483="X",0,E483)</f>
        <v>0</v>
      </c>
    </row>
    <row r="484" spans="1:7">
      <c r="A484" s="430">
        <v>39084</v>
      </c>
      <c r="B484" s="76" t="s">
        <v>1738</v>
      </c>
      <c r="C484" s="349" t="s">
        <v>13202</v>
      </c>
      <c r="D484" s="333"/>
      <c r="E484" s="98">
        <v>131.33000000000001</v>
      </c>
      <c r="F484" s="76" t="s">
        <v>9</v>
      </c>
      <c r="G484" s="98">
        <f>IF(F484="X",0,E484)</f>
        <v>0</v>
      </c>
    </row>
    <row r="485" spans="1:7">
      <c r="A485" s="430">
        <v>39097</v>
      </c>
      <c r="B485" s="76" t="s">
        <v>13153</v>
      </c>
      <c r="C485" s="431" t="s">
        <v>5390</v>
      </c>
      <c r="D485" s="333"/>
      <c r="E485" s="98">
        <v>466.91</v>
      </c>
      <c r="F485" s="76" t="s">
        <v>9</v>
      </c>
      <c r="G485" s="98">
        <f>IF(F485="X",0,E485)</f>
        <v>0</v>
      </c>
    </row>
    <row r="486" spans="1:7">
      <c r="A486" s="430">
        <v>39103</v>
      </c>
      <c r="B486" s="76" t="s">
        <v>13203</v>
      </c>
      <c r="C486" s="349" t="s">
        <v>5402</v>
      </c>
      <c r="D486" s="333"/>
      <c r="E486" s="98">
        <v>744.43</v>
      </c>
      <c r="F486" s="76" t="s">
        <v>9</v>
      </c>
      <c r="G486" s="98">
        <f>IF(F486="X",0,E486)</f>
        <v>0</v>
      </c>
    </row>
    <row r="487" spans="1:7">
      <c r="A487" s="1491">
        <v>39114</v>
      </c>
      <c r="B487" s="1492"/>
      <c r="C487" s="1493" t="s">
        <v>5408</v>
      </c>
      <c r="D487" s="1494"/>
      <c r="E487" s="1495">
        <f>SUM(E488:E497)</f>
        <v>3815.37</v>
      </c>
      <c r="F487" s="1496"/>
      <c r="G487" s="1497"/>
    </row>
    <row r="488" spans="1:7">
      <c r="A488" s="792">
        <v>39114</v>
      </c>
      <c r="B488" s="793" t="s">
        <v>13192</v>
      </c>
      <c r="C488" s="794" t="s">
        <v>13204</v>
      </c>
      <c r="D488" s="795"/>
      <c r="E488" s="796">
        <v>691.79</v>
      </c>
      <c r="F488" s="797" t="s">
        <v>9</v>
      </c>
      <c r="G488" s="798">
        <f t="shared" ref="G488:G497" si="21">IF(F488="X",0,E488)</f>
        <v>0</v>
      </c>
    </row>
    <row r="489" spans="1:7">
      <c r="A489" s="777">
        <v>39114</v>
      </c>
      <c r="B489" s="76" t="s">
        <v>13200</v>
      </c>
      <c r="C489" s="349" t="s">
        <v>13205</v>
      </c>
      <c r="D489" s="333"/>
      <c r="E489" s="98">
        <v>583.37</v>
      </c>
      <c r="F489" s="76" t="s">
        <v>9</v>
      </c>
      <c r="G489" s="778">
        <f t="shared" si="21"/>
        <v>0</v>
      </c>
    </row>
    <row r="490" spans="1:7">
      <c r="A490" s="777">
        <v>39115</v>
      </c>
      <c r="B490" s="76" t="s">
        <v>1738</v>
      </c>
      <c r="C490" s="349" t="s">
        <v>13206</v>
      </c>
      <c r="D490" s="333"/>
      <c r="E490" s="98">
        <v>131.33000000000001</v>
      </c>
      <c r="F490" s="76" t="s">
        <v>9</v>
      </c>
      <c r="G490" s="778">
        <f t="shared" si="21"/>
        <v>0</v>
      </c>
    </row>
    <row r="491" spans="1:7">
      <c r="A491" s="777">
        <v>39115</v>
      </c>
      <c r="B491" s="76" t="s">
        <v>13207</v>
      </c>
      <c r="C491" s="332" t="s">
        <v>13208</v>
      </c>
      <c r="D491" s="333"/>
      <c r="E491" s="135">
        <v>313.58</v>
      </c>
      <c r="F491" s="76" t="s">
        <v>9</v>
      </c>
      <c r="G491" s="778">
        <f t="shared" si="21"/>
        <v>0</v>
      </c>
    </row>
    <row r="492" spans="1:7">
      <c r="A492" s="777">
        <v>39115</v>
      </c>
      <c r="B492" s="76" t="s">
        <v>13209</v>
      </c>
      <c r="C492" s="349" t="s">
        <v>13210</v>
      </c>
      <c r="D492" s="333"/>
      <c r="E492" s="98">
        <v>93</v>
      </c>
      <c r="F492" s="76" t="s">
        <v>9</v>
      </c>
      <c r="G492" s="778">
        <f t="shared" si="21"/>
        <v>0</v>
      </c>
    </row>
    <row r="493" spans="1:7">
      <c r="A493" s="777">
        <v>39114</v>
      </c>
      <c r="B493" s="76" t="s">
        <v>13211</v>
      </c>
      <c r="C493" s="332" t="s">
        <v>13212</v>
      </c>
      <c r="D493" s="333"/>
      <c r="E493" s="135">
        <v>118.24</v>
      </c>
      <c r="F493" s="76" t="s">
        <v>9</v>
      </c>
      <c r="G493" s="778">
        <f t="shared" si="21"/>
        <v>0</v>
      </c>
    </row>
    <row r="494" spans="1:7">
      <c r="A494" s="777">
        <v>39128</v>
      </c>
      <c r="B494" s="76" t="s">
        <v>13153</v>
      </c>
      <c r="C494" s="77" t="s">
        <v>13187</v>
      </c>
      <c r="D494" s="333"/>
      <c r="E494" s="135">
        <v>478.07</v>
      </c>
      <c r="F494" s="76" t="s">
        <v>9</v>
      </c>
      <c r="G494" s="778">
        <f t="shared" si="21"/>
        <v>0</v>
      </c>
    </row>
    <row r="495" spans="1:7">
      <c r="A495" s="777">
        <v>39128</v>
      </c>
      <c r="B495" s="76" t="s">
        <v>13153</v>
      </c>
      <c r="C495" s="77" t="s">
        <v>13213</v>
      </c>
      <c r="D495" s="333"/>
      <c r="E495" s="135">
        <v>478.07</v>
      </c>
      <c r="F495" s="76" t="s">
        <v>9</v>
      </c>
      <c r="G495" s="778">
        <f t="shared" si="21"/>
        <v>0</v>
      </c>
    </row>
    <row r="496" spans="1:7">
      <c r="A496" s="792">
        <v>39128</v>
      </c>
      <c r="B496" s="793" t="s">
        <v>13153</v>
      </c>
      <c r="C496" s="794" t="s">
        <v>13214</v>
      </c>
      <c r="D496" s="795"/>
      <c r="E496" s="796">
        <v>180.09</v>
      </c>
      <c r="F496" s="797" t="s">
        <v>9</v>
      </c>
      <c r="G496" s="798">
        <f t="shared" si="21"/>
        <v>0</v>
      </c>
    </row>
    <row r="497" spans="1:7">
      <c r="A497" s="1080">
        <v>39134</v>
      </c>
      <c r="B497" s="762" t="s">
        <v>13203</v>
      </c>
      <c r="C497" s="1501" t="s">
        <v>5434</v>
      </c>
      <c r="D497" s="914"/>
      <c r="E497" s="1499">
        <v>747.83</v>
      </c>
      <c r="F497" s="762" t="s">
        <v>9</v>
      </c>
      <c r="G497" s="1083">
        <f t="shared" si="21"/>
        <v>0</v>
      </c>
    </row>
    <row r="498" spans="1:7">
      <c r="A498" s="1491">
        <v>39142</v>
      </c>
      <c r="B498" s="1492"/>
      <c r="C498" s="1493" t="s">
        <v>5437</v>
      </c>
      <c r="D498" s="1494"/>
      <c r="E498" s="1495">
        <f>SUM(E499:E504)</f>
        <v>1987.35</v>
      </c>
      <c r="F498" s="1496"/>
      <c r="G498" s="1497"/>
    </row>
    <row r="499" spans="1:7">
      <c r="A499" s="777">
        <v>39142</v>
      </c>
      <c r="B499" s="76" t="s">
        <v>13200</v>
      </c>
      <c r="C499" s="349" t="s">
        <v>13215</v>
      </c>
      <c r="D499" s="333"/>
      <c r="E499" s="98">
        <v>583.37</v>
      </c>
      <c r="F499" s="76" t="s">
        <v>9</v>
      </c>
      <c r="G499" s="778">
        <f t="shared" ref="G499:G504" si="22">IF(F499="X",0,E499)</f>
        <v>0</v>
      </c>
    </row>
    <row r="500" spans="1:7">
      <c r="A500" s="792">
        <v>39143</v>
      </c>
      <c r="B500" s="793" t="s">
        <v>13209</v>
      </c>
      <c r="C500" s="794" t="s">
        <v>13216</v>
      </c>
      <c r="D500" s="795"/>
      <c r="E500" s="796">
        <v>93</v>
      </c>
      <c r="F500" s="797" t="s">
        <v>9</v>
      </c>
      <c r="G500" s="798">
        <f t="shared" si="22"/>
        <v>0</v>
      </c>
    </row>
    <row r="501" spans="1:7">
      <c r="A501" s="792">
        <v>39143</v>
      </c>
      <c r="B501" s="793" t="s">
        <v>1738</v>
      </c>
      <c r="C501" s="794" t="s">
        <v>13217</v>
      </c>
      <c r="D501" s="795"/>
      <c r="E501" s="796">
        <v>131.33000000000001</v>
      </c>
      <c r="F501" s="797" t="s">
        <v>9</v>
      </c>
      <c r="G501" s="798">
        <f t="shared" si="22"/>
        <v>0</v>
      </c>
    </row>
    <row r="502" spans="1:7">
      <c r="A502" s="777">
        <v>39143</v>
      </c>
      <c r="B502" s="76" t="s">
        <v>13207</v>
      </c>
      <c r="C502" s="332" t="s">
        <v>13218</v>
      </c>
      <c r="D502" s="333"/>
      <c r="E502" s="135">
        <v>313.58</v>
      </c>
      <c r="F502" s="76" t="s">
        <v>9</v>
      </c>
      <c r="G502" s="778">
        <f t="shared" si="22"/>
        <v>0</v>
      </c>
    </row>
    <row r="503" spans="1:7">
      <c r="A503" s="777">
        <v>39143</v>
      </c>
      <c r="B503" s="76" t="s">
        <v>13211</v>
      </c>
      <c r="C503" s="332" t="s">
        <v>13219</v>
      </c>
      <c r="D503" s="333"/>
      <c r="E503" s="135">
        <v>118.24</v>
      </c>
      <c r="F503" s="76" t="s">
        <v>9</v>
      </c>
      <c r="G503" s="778">
        <f t="shared" si="22"/>
        <v>0</v>
      </c>
    </row>
    <row r="504" spans="1:7">
      <c r="A504" s="1080">
        <v>39162</v>
      </c>
      <c r="B504" s="762" t="s">
        <v>13203</v>
      </c>
      <c r="C504" s="1501" t="s">
        <v>5471</v>
      </c>
      <c r="D504" s="914"/>
      <c r="E504" s="1499">
        <v>747.83</v>
      </c>
      <c r="F504" s="762" t="s">
        <v>9</v>
      </c>
      <c r="G504" s="1083">
        <f t="shared" si="22"/>
        <v>0</v>
      </c>
    </row>
    <row r="505" spans="1:7">
      <c r="A505" s="1491">
        <v>39173</v>
      </c>
      <c r="B505" s="1492"/>
      <c r="C505" s="1493" t="s">
        <v>5483</v>
      </c>
      <c r="D505" s="1494"/>
      <c r="E505" s="1495">
        <f>SUM(E506:E512)</f>
        <v>3300.71</v>
      </c>
      <c r="F505" s="1496"/>
      <c r="G505" s="1497"/>
    </row>
    <row r="506" spans="1:7">
      <c r="A506" s="792">
        <v>39173</v>
      </c>
      <c r="B506" s="793" t="s">
        <v>13200</v>
      </c>
      <c r="C506" s="794" t="s">
        <v>13220</v>
      </c>
      <c r="D506" s="795"/>
      <c r="E506" s="796">
        <v>583.37</v>
      </c>
      <c r="F506" s="797" t="s">
        <v>9</v>
      </c>
      <c r="G506" s="798">
        <f t="shared" ref="G506:G512" si="23">IF(F506="X",0,E506)</f>
        <v>0</v>
      </c>
    </row>
    <row r="507" spans="1:7">
      <c r="A507" s="792">
        <v>39174</v>
      </c>
      <c r="B507" s="793" t="s">
        <v>13207</v>
      </c>
      <c r="C507" s="794" t="s">
        <v>13221</v>
      </c>
      <c r="D507" s="795"/>
      <c r="E507" s="796">
        <v>313.58</v>
      </c>
      <c r="F507" s="797" t="s">
        <v>9</v>
      </c>
      <c r="G507" s="798">
        <f t="shared" si="23"/>
        <v>0</v>
      </c>
    </row>
    <row r="508" spans="1:7">
      <c r="A508" s="777">
        <v>39174</v>
      </c>
      <c r="B508" s="76" t="s">
        <v>13211</v>
      </c>
      <c r="C508" s="332" t="s">
        <v>13222</v>
      </c>
      <c r="D508" s="333"/>
      <c r="E508" s="135">
        <v>118.24</v>
      </c>
      <c r="F508" s="76" t="s">
        <v>9</v>
      </c>
      <c r="G508" s="778">
        <f t="shared" si="23"/>
        <v>0</v>
      </c>
    </row>
    <row r="509" spans="1:7">
      <c r="A509" s="777">
        <v>39174</v>
      </c>
      <c r="B509" s="76" t="s">
        <v>13223</v>
      </c>
      <c r="C509" s="332" t="s">
        <v>13224</v>
      </c>
      <c r="D509" s="333"/>
      <c r="E509" s="135">
        <v>159.4</v>
      </c>
      <c r="F509" s="76" t="s">
        <v>9</v>
      </c>
      <c r="G509" s="778">
        <f t="shared" si="23"/>
        <v>0</v>
      </c>
    </row>
    <row r="510" spans="1:7">
      <c r="A510" s="777">
        <v>39188</v>
      </c>
      <c r="B510" s="76" t="s">
        <v>13203</v>
      </c>
      <c r="C510" s="332" t="s">
        <v>5503</v>
      </c>
      <c r="D510" s="333"/>
      <c r="E510" s="135">
        <v>747.83</v>
      </c>
      <c r="F510" s="76" t="s">
        <v>9</v>
      </c>
      <c r="G510" s="778">
        <f t="shared" si="23"/>
        <v>0</v>
      </c>
    </row>
    <row r="511" spans="1:7">
      <c r="A511" s="777">
        <v>39188</v>
      </c>
      <c r="B511" s="76" t="s">
        <v>13203</v>
      </c>
      <c r="C511" s="332" t="s">
        <v>5504</v>
      </c>
      <c r="D511" s="333"/>
      <c r="E511" s="135">
        <v>747.83</v>
      </c>
      <c r="F511" s="76" t="s">
        <v>9</v>
      </c>
      <c r="G511" s="778">
        <f t="shared" si="23"/>
        <v>0</v>
      </c>
    </row>
    <row r="512" spans="1:7">
      <c r="A512" s="1080">
        <v>39190</v>
      </c>
      <c r="B512" s="762" t="s">
        <v>13225</v>
      </c>
      <c r="C512" s="788" t="s">
        <v>13226</v>
      </c>
      <c r="D512" s="914"/>
      <c r="E512" s="790">
        <v>630.46</v>
      </c>
      <c r="F512" s="762" t="s">
        <v>9</v>
      </c>
      <c r="G512" s="1083">
        <f t="shared" si="23"/>
        <v>0</v>
      </c>
    </row>
    <row r="513" spans="1:7">
      <c r="A513" s="1491">
        <v>39203</v>
      </c>
      <c r="B513" s="1492"/>
      <c r="C513" s="1493" t="s">
        <v>13227</v>
      </c>
      <c r="D513" s="1494"/>
      <c r="E513" s="1495">
        <f>SUM(E514:E519)</f>
        <v>3034.22</v>
      </c>
      <c r="F513" s="1496"/>
      <c r="G513" s="1497"/>
    </row>
    <row r="514" spans="1:7">
      <c r="A514" s="777">
        <v>39204</v>
      </c>
      <c r="B514" s="76" t="s">
        <v>13211</v>
      </c>
      <c r="C514" s="332" t="s">
        <v>13228</v>
      </c>
      <c r="D514" s="333"/>
      <c r="E514" s="135">
        <v>118.24</v>
      </c>
      <c r="F514" s="76" t="s">
        <v>9</v>
      </c>
      <c r="G514" s="778">
        <f t="shared" ref="G514:G519" si="24">IF(F514="X",0,E514)</f>
        <v>0</v>
      </c>
    </row>
    <row r="515" spans="1:7">
      <c r="A515" s="777">
        <v>39204</v>
      </c>
      <c r="B515" s="76" t="s">
        <v>13223</v>
      </c>
      <c r="C515" s="332" t="s">
        <v>13229</v>
      </c>
      <c r="D515" s="333"/>
      <c r="E515" s="135">
        <v>159.4</v>
      </c>
      <c r="F515" s="76" t="s">
        <v>9</v>
      </c>
      <c r="G515" s="778">
        <f t="shared" si="24"/>
        <v>0</v>
      </c>
    </row>
    <row r="516" spans="1:7">
      <c r="A516" s="777">
        <v>39205</v>
      </c>
      <c r="B516" s="76" t="s">
        <v>13225</v>
      </c>
      <c r="C516" s="332" t="s">
        <v>13230</v>
      </c>
      <c r="D516" s="333"/>
      <c r="E516" s="135">
        <v>630.46</v>
      </c>
      <c r="F516" s="76" t="s">
        <v>9</v>
      </c>
      <c r="G516" s="778">
        <f t="shared" si="24"/>
        <v>0</v>
      </c>
    </row>
    <row r="517" spans="1:7">
      <c r="A517" s="777">
        <v>39205</v>
      </c>
      <c r="B517" s="76" t="s">
        <v>13225</v>
      </c>
      <c r="C517" s="332" t="s">
        <v>13231</v>
      </c>
      <c r="D517" s="437"/>
      <c r="E517" s="135">
        <v>630.46</v>
      </c>
      <c r="F517" s="76" t="s">
        <v>120</v>
      </c>
      <c r="G517" s="778">
        <f t="shared" si="24"/>
        <v>0</v>
      </c>
    </row>
    <row r="518" spans="1:7">
      <c r="A518" s="777">
        <v>39205</v>
      </c>
      <c r="B518" s="76" t="s">
        <v>13203</v>
      </c>
      <c r="C518" s="349" t="s">
        <v>13232</v>
      </c>
      <c r="D518" s="333"/>
      <c r="E518" s="98">
        <v>747.83</v>
      </c>
      <c r="F518" s="76" t="s">
        <v>9</v>
      </c>
      <c r="G518" s="778">
        <f t="shared" si="24"/>
        <v>0</v>
      </c>
    </row>
    <row r="519" spans="1:7">
      <c r="A519" s="1080">
        <v>39407</v>
      </c>
      <c r="B519" s="762" t="s">
        <v>13203</v>
      </c>
      <c r="C519" s="1501" t="s">
        <v>13233</v>
      </c>
      <c r="D519" s="914"/>
      <c r="E519" s="790">
        <v>747.83</v>
      </c>
      <c r="F519" s="762" t="s">
        <v>9</v>
      </c>
      <c r="G519" s="1083">
        <f t="shared" si="24"/>
        <v>0</v>
      </c>
    </row>
    <row r="520" spans="1:7">
      <c r="A520" s="1484">
        <v>39234</v>
      </c>
      <c r="B520" s="1485"/>
      <c r="C520" s="1486" t="s">
        <v>13234</v>
      </c>
      <c r="D520" s="1487"/>
      <c r="E520" s="1488">
        <f>SUM(E521:E526)</f>
        <v>1955.83</v>
      </c>
      <c r="F520" s="1489"/>
      <c r="G520" s="1490"/>
    </row>
    <row r="521" spans="1:7">
      <c r="A521" s="777">
        <v>39235</v>
      </c>
      <c r="B521" s="76" t="s">
        <v>13211</v>
      </c>
      <c r="C521" s="332" t="s">
        <v>13235</v>
      </c>
      <c r="D521" s="333"/>
      <c r="E521" s="135">
        <v>118.24</v>
      </c>
      <c r="F521" s="76" t="s">
        <v>9</v>
      </c>
      <c r="G521" s="778">
        <f t="shared" ref="G521:G526" si="25">IF(F521="X",0,E521)</f>
        <v>0</v>
      </c>
    </row>
    <row r="522" spans="1:7">
      <c r="A522" s="792">
        <v>39235</v>
      </c>
      <c r="B522" s="793" t="s">
        <v>13223</v>
      </c>
      <c r="C522" s="794" t="s">
        <v>13236</v>
      </c>
      <c r="D522" s="795"/>
      <c r="E522" s="796">
        <v>159.4</v>
      </c>
      <c r="F522" s="797" t="s">
        <v>9</v>
      </c>
      <c r="G522" s="798">
        <f t="shared" si="25"/>
        <v>0</v>
      </c>
    </row>
    <row r="523" spans="1:7">
      <c r="A523" s="777">
        <v>39235</v>
      </c>
      <c r="B523" s="76" t="s">
        <v>13237</v>
      </c>
      <c r="C523" s="332" t="s">
        <v>13238</v>
      </c>
      <c r="D523" s="333"/>
      <c r="E523" s="135">
        <v>99.9</v>
      </c>
      <c r="F523" s="76" t="s">
        <v>9</v>
      </c>
      <c r="G523" s="778">
        <f t="shared" si="25"/>
        <v>0</v>
      </c>
    </row>
    <row r="524" spans="1:7">
      <c r="A524" s="777">
        <v>39235</v>
      </c>
      <c r="B524" s="76" t="s">
        <v>13239</v>
      </c>
      <c r="C524" s="332" t="s">
        <v>13240</v>
      </c>
      <c r="D524" s="333"/>
      <c r="E524" s="135">
        <v>200</v>
      </c>
      <c r="F524" s="76" t="s">
        <v>9</v>
      </c>
      <c r="G524" s="778">
        <f t="shared" si="25"/>
        <v>0</v>
      </c>
    </row>
    <row r="525" spans="1:7">
      <c r="A525" s="777">
        <v>39241</v>
      </c>
      <c r="B525" s="76" t="s">
        <v>13225</v>
      </c>
      <c r="C525" s="332" t="s">
        <v>13241</v>
      </c>
      <c r="D525" s="333"/>
      <c r="E525" s="135">
        <v>630.46</v>
      </c>
      <c r="F525" s="76" t="s">
        <v>9</v>
      </c>
      <c r="G525" s="778">
        <f t="shared" si="25"/>
        <v>0</v>
      </c>
    </row>
    <row r="526" spans="1:7">
      <c r="A526" s="1080">
        <v>39254</v>
      </c>
      <c r="B526" s="762" t="s">
        <v>13203</v>
      </c>
      <c r="C526" s="1084" t="s">
        <v>13242</v>
      </c>
      <c r="D526" s="914"/>
      <c r="E526" s="790">
        <v>747.83</v>
      </c>
      <c r="F526" s="762" t="s">
        <v>9</v>
      </c>
      <c r="G526" s="1083">
        <f t="shared" si="25"/>
        <v>0</v>
      </c>
    </row>
    <row r="527" spans="1:7">
      <c r="A527" s="1484">
        <v>39264</v>
      </c>
      <c r="B527" s="1485"/>
      <c r="C527" s="1486" t="s">
        <v>5526</v>
      </c>
      <c r="D527" s="1487"/>
      <c r="E527" s="1488">
        <f>SUM(E528:E532)</f>
        <v>1796.4299999999998</v>
      </c>
      <c r="F527" s="1489"/>
      <c r="G527" s="1490"/>
    </row>
    <row r="528" spans="1:7">
      <c r="A528" s="430">
        <v>39265</v>
      </c>
      <c r="B528" s="76" t="s">
        <v>13211</v>
      </c>
      <c r="C528" s="332" t="s">
        <v>13243</v>
      </c>
      <c r="D528" s="333"/>
      <c r="E528" s="135">
        <v>118.24</v>
      </c>
      <c r="F528" s="76" t="s">
        <v>9</v>
      </c>
      <c r="G528" s="98">
        <f>IF(F528="X",0,E528)</f>
        <v>0</v>
      </c>
    </row>
    <row r="529" spans="1:7">
      <c r="A529" s="430">
        <v>39265</v>
      </c>
      <c r="B529" s="76" t="s">
        <v>13237</v>
      </c>
      <c r="C529" s="332" t="s">
        <v>13244</v>
      </c>
      <c r="D529" s="333"/>
      <c r="E529" s="135">
        <v>99.9</v>
      </c>
      <c r="F529" s="76" t="s">
        <v>9</v>
      </c>
      <c r="G529" s="98">
        <f>IF(F523="X",0,E523)</f>
        <v>0</v>
      </c>
    </row>
    <row r="530" spans="1:7">
      <c r="A530" s="430">
        <v>39265</v>
      </c>
      <c r="B530" s="76" t="s">
        <v>13239</v>
      </c>
      <c r="C530" s="332" t="s">
        <v>13245</v>
      </c>
      <c r="D530" s="333"/>
      <c r="E530" s="135">
        <v>200</v>
      </c>
      <c r="F530" s="76" t="s">
        <v>9</v>
      </c>
      <c r="G530" s="98">
        <f>IF(F530="X",0,E530)</f>
        <v>0</v>
      </c>
    </row>
    <row r="531" spans="1:7">
      <c r="A531" s="430">
        <v>39271</v>
      </c>
      <c r="B531" s="76" t="s">
        <v>13225</v>
      </c>
      <c r="C531" s="332" t="s">
        <v>13246</v>
      </c>
      <c r="D531" s="333"/>
      <c r="E531" s="135">
        <v>630.46</v>
      </c>
      <c r="F531" s="76" t="s">
        <v>9</v>
      </c>
      <c r="G531" s="98">
        <f>IF(F531="X",0,E531)</f>
        <v>0</v>
      </c>
    </row>
    <row r="532" spans="1:7">
      <c r="A532" s="430">
        <v>39284</v>
      </c>
      <c r="B532" s="76" t="s">
        <v>13203</v>
      </c>
      <c r="C532" s="349" t="s">
        <v>13247</v>
      </c>
      <c r="D532" s="333"/>
      <c r="E532" s="98">
        <v>747.83</v>
      </c>
      <c r="F532" s="76" t="s">
        <v>9</v>
      </c>
      <c r="G532" s="98">
        <f>IF(F532="X",0,E532)</f>
        <v>0</v>
      </c>
    </row>
    <row r="533" spans="1:7">
      <c r="A533" s="1491">
        <v>39295</v>
      </c>
      <c r="B533" s="1492"/>
      <c r="C533" s="1493" t="s">
        <v>5530</v>
      </c>
      <c r="D533" s="1494"/>
      <c r="E533" s="1495">
        <f>SUM(E534:E538)</f>
        <v>1796.4299999999998</v>
      </c>
      <c r="F533" s="1496"/>
      <c r="G533" s="1497"/>
    </row>
    <row r="534" spans="1:7">
      <c r="A534" s="777">
        <v>39296</v>
      </c>
      <c r="B534" s="76" t="s">
        <v>13211</v>
      </c>
      <c r="C534" s="332" t="s">
        <v>13248</v>
      </c>
      <c r="D534" s="333"/>
      <c r="E534" s="135">
        <v>118.24</v>
      </c>
      <c r="F534" s="76" t="s">
        <v>9</v>
      </c>
      <c r="G534" s="891">
        <f>IF(F534="X",0,E534)</f>
        <v>0</v>
      </c>
    </row>
    <row r="535" spans="1:7">
      <c r="A535" s="777">
        <v>39296</v>
      </c>
      <c r="B535" s="76" t="s">
        <v>13237</v>
      </c>
      <c r="C535" s="332" t="s">
        <v>13249</v>
      </c>
      <c r="D535" s="333"/>
      <c r="E535" s="135">
        <v>99.9</v>
      </c>
      <c r="F535" s="76" t="s">
        <v>9</v>
      </c>
      <c r="G535" s="891">
        <f>IF(F535="X",0,E535)</f>
        <v>0</v>
      </c>
    </row>
    <row r="536" spans="1:7">
      <c r="A536" s="777">
        <v>39296</v>
      </c>
      <c r="B536" s="76" t="s">
        <v>13239</v>
      </c>
      <c r="C536" s="332" t="s">
        <v>13250</v>
      </c>
      <c r="D536" s="333"/>
      <c r="E536" s="135">
        <v>200</v>
      </c>
      <c r="F536" s="76" t="s">
        <v>9</v>
      </c>
      <c r="G536" s="891">
        <f>IF(F536="X",0,E536)</f>
        <v>0</v>
      </c>
    </row>
    <row r="537" spans="1:7">
      <c r="A537" s="792">
        <v>39302</v>
      </c>
      <c r="B537" s="793" t="s">
        <v>13225</v>
      </c>
      <c r="C537" s="794" t="s">
        <v>13251</v>
      </c>
      <c r="D537" s="795"/>
      <c r="E537" s="796">
        <v>630.46</v>
      </c>
      <c r="F537" s="797" t="s">
        <v>9</v>
      </c>
      <c r="G537" s="798">
        <f>IF(F537="X",0,E537)</f>
        <v>0</v>
      </c>
    </row>
    <row r="538" spans="1:7">
      <c r="A538" s="1080">
        <v>39315</v>
      </c>
      <c r="B538" s="762" t="s">
        <v>13203</v>
      </c>
      <c r="C538" s="1084" t="s">
        <v>13252</v>
      </c>
      <c r="D538" s="914"/>
      <c r="E538" s="790">
        <v>747.83</v>
      </c>
      <c r="F538" s="762" t="s">
        <v>9</v>
      </c>
      <c r="G538" s="1003">
        <f>IF(F538="X",0,E538)</f>
        <v>0</v>
      </c>
    </row>
    <row r="539" spans="1:7">
      <c r="A539" s="1491">
        <v>39326</v>
      </c>
      <c r="B539" s="1492"/>
      <c r="C539" s="1493" t="s">
        <v>13253</v>
      </c>
      <c r="D539" s="1494"/>
      <c r="E539" s="1495">
        <f>SUM(E540:E543)</f>
        <v>1165.97</v>
      </c>
      <c r="F539" s="1496"/>
      <c r="G539" s="1497"/>
    </row>
    <row r="540" spans="1:7">
      <c r="A540" s="777">
        <v>39327</v>
      </c>
      <c r="B540" s="76" t="s">
        <v>13211</v>
      </c>
      <c r="C540" s="332" t="s">
        <v>13254</v>
      </c>
      <c r="D540" s="333"/>
      <c r="E540" s="135">
        <v>118.24</v>
      </c>
      <c r="F540" s="76" t="s">
        <v>9</v>
      </c>
      <c r="G540" s="891">
        <f>IF(F540="X",0,E540)</f>
        <v>0</v>
      </c>
    </row>
    <row r="541" spans="1:7">
      <c r="A541" s="777">
        <v>39327</v>
      </c>
      <c r="B541" s="76" t="s">
        <v>13237</v>
      </c>
      <c r="C541" s="332" t="s">
        <v>13255</v>
      </c>
      <c r="D541" s="333"/>
      <c r="E541" s="135">
        <v>99.9</v>
      </c>
      <c r="F541" s="76" t="s">
        <v>9</v>
      </c>
      <c r="G541" s="891">
        <f>IF(F541="X",0,E541)</f>
        <v>0</v>
      </c>
    </row>
    <row r="542" spans="1:7">
      <c r="A542" s="777">
        <v>39327</v>
      </c>
      <c r="B542" s="76" t="s">
        <v>13239</v>
      </c>
      <c r="C542" s="332" t="s">
        <v>13256</v>
      </c>
      <c r="D542" s="333"/>
      <c r="E542" s="135">
        <v>200</v>
      </c>
      <c r="F542" s="76" t="s">
        <v>9</v>
      </c>
      <c r="G542" s="891">
        <f>IF(F542="X",0,E542)</f>
        <v>0</v>
      </c>
    </row>
    <row r="543" spans="1:7">
      <c r="A543" s="1080">
        <v>39346</v>
      </c>
      <c r="B543" s="762" t="s">
        <v>13203</v>
      </c>
      <c r="C543" s="1501" t="s">
        <v>5550</v>
      </c>
      <c r="D543" s="914"/>
      <c r="E543" s="1499">
        <v>747.83</v>
      </c>
      <c r="F543" s="762" t="s">
        <v>9</v>
      </c>
      <c r="G543" s="1003">
        <f>IF(F543="X",0,E543)</f>
        <v>0</v>
      </c>
    </row>
    <row r="544" spans="1:7">
      <c r="A544" s="1484">
        <v>39356</v>
      </c>
      <c r="B544" s="1485"/>
      <c r="C544" s="1486" t="s">
        <v>5555</v>
      </c>
      <c r="D544" s="1487"/>
      <c r="E544" s="1488">
        <f>SUM(E545:E548)</f>
        <v>1165.97</v>
      </c>
      <c r="F544" s="1489"/>
      <c r="G544" s="1490"/>
    </row>
    <row r="545" spans="1:7">
      <c r="A545" s="430">
        <v>39357</v>
      </c>
      <c r="B545" s="76" t="s">
        <v>13211</v>
      </c>
      <c r="C545" s="332" t="s">
        <v>13257</v>
      </c>
      <c r="D545" s="333"/>
      <c r="E545" s="135">
        <v>118.24</v>
      </c>
      <c r="F545" s="76" t="s">
        <v>9</v>
      </c>
      <c r="G545" s="98">
        <f>IF(F545="X",0,E545)</f>
        <v>0</v>
      </c>
    </row>
    <row r="546" spans="1:7">
      <c r="A546" s="430">
        <v>39235</v>
      </c>
      <c r="B546" s="76" t="s">
        <v>13237</v>
      </c>
      <c r="C546" s="332" t="s">
        <v>13258</v>
      </c>
      <c r="D546" s="333"/>
      <c r="E546" s="135">
        <v>99.9</v>
      </c>
      <c r="F546" s="76" t="s">
        <v>9</v>
      </c>
      <c r="G546" s="98">
        <f>IF(F546="X",0,E546)</f>
        <v>0</v>
      </c>
    </row>
    <row r="547" spans="1:7">
      <c r="A547" s="430">
        <v>39235</v>
      </c>
      <c r="B547" s="76" t="s">
        <v>13239</v>
      </c>
      <c r="C547" s="332" t="s">
        <v>13259</v>
      </c>
      <c r="D547" s="333"/>
      <c r="E547" s="135">
        <v>200</v>
      </c>
      <c r="F547" s="76" t="s">
        <v>9</v>
      </c>
      <c r="G547" s="98">
        <f>IF(F547="X",0,E547)</f>
        <v>0</v>
      </c>
    </row>
    <row r="548" spans="1:7">
      <c r="A548" s="792">
        <v>39376</v>
      </c>
      <c r="B548" s="793" t="s">
        <v>13203</v>
      </c>
      <c r="C548" s="794" t="s">
        <v>5574</v>
      </c>
      <c r="D548" s="795"/>
      <c r="E548" s="796">
        <v>747.83</v>
      </c>
      <c r="F548" s="797" t="s">
        <v>9</v>
      </c>
      <c r="G548" s="798">
        <f>IF(F548="X",0,E548)</f>
        <v>0</v>
      </c>
    </row>
    <row r="549" spans="1:7">
      <c r="A549" s="1491">
        <v>39387</v>
      </c>
      <c r="B549" s="1492"/>
      <c r="C549" s="1493" t="s">
        <v>5581</v>
      </c>
      <c r="D549" s="1494"/>
      <c r="E549" s="1495">
        <f>SUM(E550:E553)</f>
        <v>720.80000000000007</v>
      </c>
      <c r="F549" s="1496"/>
      <c r="G549" s="1497"/>
    </row>
    <row r="550" spans="1:7">
      <c r="A550" s="777">
        <v>39387</v>
      </c>
      <c r="B550" s="76" t="s">
        <v>13260</v>
      </c>
      <c r="C550" s="332" t="s">
        <v>13261</v>
      </c>
      <c r="D550" s="126"/>
      <c r="E550" s="135">
        <v>302.66000000000003</v>
      </c>
      <c r="F550" s="46" t="s">
        <v>9</v>
      </c>
      <c r="G550" s="778">
        <f>IF(F550="X",0,E550)</f>
        <v>0</v>
      </c>
    </row>
    <row r="551" spans="1:7">
      <c r="A551" s="777">
        <v>39388</v>
      </c>
      <c r="B551" s="76" t="s">
        <v>13211</v>
      </c>
      <c r="C551" s="332" t="s">
        <v>13262</v>
      </c>
      <c r="D551" s="333"/>
      <c r="E551" s="135">
        <v>118.24</v>
      </c>
      <c r="F551" s="46" t="s">
        <v>9</v>
      </c>
      <c r="G551" s="778">
        <f>IF(F551="X",0,E551)</f>
        <v>0</v>
      </c>
    </row>
    <row r="552" spans="1:7">
      <c r="A552" s="777">
        <v>39388</v>
      </c>
      <c r="B552" s="76" t="s">
        <v>13237</v>
      </c>
      <c r="C552" s="332" t="s">
        <v>13263</v>
      </c>
      <c r="D552" s="333"/>
      <c r="E552" s="135">
        <v>99.9</v>
      </c>
      <c r="F552" s="46" t="s">
        <v>9</v>
      </c>
      <c r="G552" s="778">
        <f>IF(F552="X",0,E552)</f>
        <v>0</v>
      </c>
    </row>
    <row r="553" spans="1:7">
      <c r="A553" s="1080">
        <v>39388</v>
      </c>
      <c r="B553" s="762" t="s">
        <v>13239</v>
      </c>
      <c r="C553" s="788" t="s">
        <v>13264</v>
      </c>
      <c r="D553" s="914"/>
      <c r="E553" s="790">
        <v>200</v>
      </c>
      <c r="F553" s="791" t="s">
        <v>9</v>
      </c>
      <c r="G553" s="1083">
        <f>IF(F553="X",0,E553)</f>
        <v>0</v>
      </c>
    </row>
    <row r="554" spans="1:7">
      <c r="A554" s="1484">
        <v>39417</v>
      </c>
      <c r="B554" s="1485"/>
      <c r="C554" s="1486" t="s">
        <v>5582</v>
      </c>
      <c r="D554" s="1487"/>
      <c r="E554" s="1488">
        <f>SUM(E555:E558)</f>
        <v>720.80000000000007</v>
      </c>
      <c r="F554" s="1489"/>
      <c r="G554" s="1490"/>
    </row>
    <row r="555" spans="1:7">
      <c r="A555" s="430">
        <v>39417</v>
      </c>
      <c r="B555" s="76" t="s">
        <v>13260</v>
      </c>
      <c r="C555" s="332" t="s">
        <v>13265</v>
      </c>
      <c r="D555" s="126"/>
      <c r="E555" s="135">
        <v>302.66000000000003</v>
      </c>
      <c r="F555" s="46" t="s">
        <v>9</v>
      </c>
      <c r="G555" s="49">
        <f>IF(F555="X",0,E555)</f>
        <v>0</v>
      </c>
    </row>
    <row r="556" spans="1:7">
      <c r="A556" s="430">
        <v>39418</v>
      </c>
      <c r="B556" s="76" t="s">
        <v>13211</v>
      </c>
      <c r="C556" s="332" t="s">
        <v>13266</v>
      </c>
      <c r="D556" s="333"/>
      <c r="E556" s="135">
        <v>118.24</v>
      </c>
      <c r="F556" s="46" t="s">
        <v>9</v>
      </c>
      <c r="G556" s="49">
        <f>IF(F556="X",0,E556)</f>
        <v>0</v>
      </c>
    </row>
    <row r="557" spans="1:7">
      <c r="A557" s="430">
        <v>39418</v>
      </c>
      <c r="B557" s="76" t="s">
        <v>13237</v>
      </c>
      <c r="C557" s="332" t="s">
        <v>13267</v>
      </c>
      <c r="D557" s="333"/>
      <c r="E557" s="135">
        <v>99.9</v>
      </c>
      <c r="F557" s="46" t="s">
        <v>9</v>
      </c>
      <c r="G557" s="49">
        <f>IF(F557="X",0,E557)</f>
        <v>0</v>
      </c>
    </row>
    <row r="558" spans="1:7">
      <c r="A558" s="430">
        <v>39418</v>
      </c>
      <c r="B558" s="76" t="s">
        <v>13239</v>
      </c>
      <c r="C558" s="332" t="s">
        <v>13268</v>
      </c>
      <c r="D558" s="333"/>
      <c r="E558" s="135">
        <v>200</v>
      </c>
      <c r="F558" s="46" t="s">
        <v>9</v>
      </c>
      <c r="G558" s="49">
        <f>IF(F558="X",0,E558)</f>
        <v>0</v>
      </c>
    </row>
    <row r="559" spans="1:7">
      <c r="A559" s="1491">
        <v>39448</v>
      </c>
      <c r="B559" s="1492"/>
      <c r="C559" s="1493" t="s">
        <v>5583</v>
      </c>
      <c r="D559" s="1494"/>
      <c r="E559" s="1495">
        <f>SUM(E560:E565)</f>
        <v>1425.44</v>
      </c>
      <c r="F559" s="1496"/>
      <c r="G559" s="1497"/>
    </row>
    <row r="560" spans="1:7">
      <c r="A560" s="792">
        <v>39448</v>
      </c>
      <c r="B560" s="793" t="s">
        <v>13260</v>
      </c>
      <c r="C560" s="794" t="s">
        <v>13269</v>
      </c>
      <c r="D560" s="795"/>
      <c r="E560" s="796">
        <v>302.67</v>
      </c>
      <c r="F560" s="797" t="s">
        <v>9</v>
      </c>
      <c r="G560" s="798">
        <f t="shared" ref="G560:G565" si="26">IF(F560="X",0,E560)</f>
        <v>0</v>
      </c>
    </row>
    <row r="561" spans="1:7">
      <c r="A561" s="777">
        <v>39448</v>
      </c>
      <c r="B561" s="76" t="s">
        <v>13270</v>
      </c>
      <c r="C561" s="332" t="s">
        <v>13271</v>
      </c>
      <c r="D561" s="126"/>
      <c r="E561" s="135">
        <v>233</v>
      </c>
      <c r="F561" s="46" t="s">
        <v>9</v>
      </c>
      <c r="G561" s="778">
        <f t="shared" si="26"/>
        <v>0</v>
      </c>
    </row>
    <row r="562" spans="1:7">
      <c r="A562" s="777">
        <v>39448</v>
      </c>
      <c r="B562" s="76" t="s">
        <v>13272</v>
      </c>
      <c r="C562" s="332" t="s">
        <v>13273</v>
      </c>
      <c r="D562" s="126"/>
      <c r="E562" s="135">
        <v>471.63</v>
      </c>
      <c r="F562" s="46" t="s">
        <v>9</v>
      </c>
      <c r="G562" s="778">
        <f t="shared" si="26"/>
        <v>0</v>
      </c>
    </row>
    <row r="563" spans="1:7">
      <c r="A563" s="792">
        <v>39449</v>
      </c>
      <c r="B563" s="793" t="s">
        <v>13211</v>
      </c>
      <c r="C563" s="794" t="s">
        <v>13274</v>
      </c>
      <c r="D563" s="795"/>
      <c r="E563" s="796">
        <v>118.24</v>
      </c>
      <c r="F563" s="797" t="s">
        <v>9</v>
      </c>
      <c r="G563" s="798">
        <f t="shared" si="26"/>
        <v>0</v>
      </c>
    </row>
    <row r="564" spans="1:7">
      <c r="A564" s="777">
        <v>39448</v>
      </c>
      <c r="B564" s="76" t="s">
        <v>13237</v>
      </c>
      <c r="C564" s="332" t="s">
        <v>13275</v>
      </c>
      <c r="D564" s="333"/>
      <c r="E564" s="135">
        <v>99.9</v>
      </c>
      <c r="F564" s="46" t="s">
        <v>9</v>
      </c>
      <c r="G564" s="778">
        <f t="shared" si="26"/>
        <v>0</v>
      </c>
    </row>
    <row r="565" spans="1:7">
      <c r="A565" s="1080">
        <v>39449</v>
      </c>
      <c r="B565" s="762" t="s">
        <v>13239</v>
      </c>
      <c r="C565" s="788" t="s">
        <v>13276</v>
      </c>
      <c r="D565" s="914"/>
      <c r="E565" s="790">
        <v>200</v>
      </c>
      <c r="F565" s="791" t="s">
        <v>9</v>
      </c>
      <c r="G565" s="1083">
        <f t="shared" si="26"/>
        <v>0</v>
      </c>
    </row>
    <row r="566" spans="1:7">
      <c r="A566" s="1491">
        <v>39479</v>
      </c>
      <c r="B566" s="1492"/>
      <c r="C566" s="1493" t="s">
        <v>13277</v>
      </c>
      <c r="D566" s="1494"/>
      <c r="E566" s="1495">
        <f>SUM(E567:E570)</f>
        <v>1004.53</v>
      </c>
      <c r="F566" s="1496"/>
      <c r="G566" s="1497"/>
    </row>
    <row r="567" spans="1:7">
      <c r="A567" s="1502">
        <v>39479</v>
      </c>
      <c r="B567" s="337" t="s">
        <v>13270</v>
      </c>
      <c r="C567" s="332" t="s">
        <v>13278</v>
      </c>
      <c r="D567" s="126"/>
      <c r="E567" s="135">
        <v>233</v>
      </c>
      <c r="F567" s="46" t="s">
        <v>9</v>
      </c>
      <c r="G567" s="749">
        <f>IF(F567="X",0,E567)</f>
        <v>0</v>
      </c>
    </row>
    <row r="568" spans="1:7">
      <c r="A568" s="1502">
        <v>39479</v>
      </c>
      <c r="B568" s="76" t="s">
        <v>13272</v>
      </c>
      <c r="C568" s="332" t="s">
        <v>13279</v>
      </c>
      <c r="D568" s="126"/>
      <c r="E568" s="135">
        <v>471.63</v>
      </c>
      <c r="F568" s="46" t="s">
        <v>9</v>
      </c>
      <c r="G568" s="749">
        <f>IF(F568="X",0,E568)</f>
        <v>0</v>
      </c>
    </row>
    <row r="569" spans="1:7">
      <c r="A569" s="1502">
        <v>39480</v>
      </c>
      <c r="B569" s="337" t="s">
        <v>13237</v>
      </c>
      <c r="C569" s="332" t="s">
        <v>13280</v>
      </c>
      <c r="D569" s="333"/>
      <c r="E569" s="135">
        <v>99.9</v>
      </c>
      <c r="F569" s="46" t="s">
        <v>9</v>
      </c>
      <c r="G569" s="778">
        <f>IF(F569="X",0,E569)</f>
        <v>0</v>
      </c>
    </row>
    <row r="570" spans="1:7">
      <c r="A570" s="1503">
        <v>39480</v>
      </c>
      <c r="B570" s="787" t="s">
        <v>13239</v>
      </c>
      <c r="C570" s="788" t="s">
        <v>13281</v>
      </c>
      <c r="D570" s="914"/>
      <c r="E570" s="790">
        <v>200</v>
      </c>
      <c r="F570" s="791" t="s">
        <v>9</v>
      </c>
      <c r="G570" s="1083">
        <f>IF(F570="X",0,E570)</f>
        <v>0</v>
      </c>
    </row>
    <row r="571" spans="1:7">
      <c r="A571" s="1491">
        <v>39508</v>
      </c>
      <c r="B571" s="1492"/>
      <c r="C571" s="1493" t="s">
        <v>13282</v>
      </c>
      <c r="D571" s="1494"/>
      <c r="E571" s="1495">
        <f>SUM(E572:E575)</f>
        <v>1004.53</v>
      </c>
      <c r="F571" s="1496"/>
      <c r="G571" s="1497"/>
    </row>
    <row r="572" spans="1:7">
      <c r="A572" s="792">
        <v>39508</v>
      </c>
      <c r="B572" s="793" t="s">
        <v>13283</v>
      </c>
      <c r="C572" s="794" t="s">
        <v>13284</v>
      </c>
      <c r="D572" s="795"/>
      <c r="E572" s="796">
        <v>233</v>
      </c>
      <c r="F572" s="797" t="s">
        <v>9</v>
      </c>
      <c r="G572" s="798">
        <f>IF(F572="X",0,E572)</f>
        <v>0</v>
      </c>
    </row>
    <row r="573" spans="1:7">
      <c r="A573" s="1502">
        <v>39508</v>
      </c>
      <c r="B573" s="76" t="s">
        <v>13272</v>
      </c>
      <c r="C573" s="332" t="s">
        <v>13285</v>
      </c>
      <c r="D573" s="126"/>
      <c r="E573" s="135">
        <v>471.63</v>
      </c>
      <c r="F573" s="46" t="s">
        <v>9</v>
      </c>
      <c r="G573" s="749">
        <f>IF(F573="X",0,E573)</f>
        <v>0</v>
      </c>
    </row>
    <row r="574" spans="1:7">
      <c r="A574" s="792">
        <v>39509</v>
      </c>
      <c r="B574" s="793" t="s">
        <v>13237</v>
      </c>
      <c r="C574" s="794" t="s">
        <v>13286</v>
      </c>
      <c r="D574" s="795"/>
      <c r="E574" s="796">
        <v>99.9</v>
      </c>
      <c r="F574" s="797" t="s">
        <v>9</v>
      </c>
      <c r="G574" s="798">
        <f>IF(F574="X",0,E574)</f>
        <v>0</v>
      </c>
    </row>
    <row r="575" spans="1:7">
      <c r="A575" s="939">
        <v>39509</v>
      </c>
      <c r="B575" s="940" t="s">
        <v>13239</v>
      </c>
      <c r="C575" s="941" t="s">
        <v>13287</v>
      </c>
      <c r="D575" s="942"/>
      <c r="E575" s="943">
        <v>200</v>
      </c>
      <c r="F575" s="944" t="s">
        <v>9</v>
      </c>
      <c r="G575" s="945">
        <f>IF(F575="X",0,E575)</f>
        <v>0</v>
      </c>
    </row>
    <row r="576" spans="1:7">
      <c r="A576" s="1491">
        <v>39539</v>
      </c>
      <c r="B576" s="1492"/>
      <c r="C576" s="1493" t="s">
        <v>5593</v>
      </c>
      <c r="D576" s="1494"/>
      <c r="E576" s="1495">
        <f>SUM(E577:E577)</f>
        <v>471.63</v>
      </c>
      <c r="F576" s="1496"/>
      <c r="G576" s="1497"/>
    </row>
    <row r="577" spans="1:7">
      <c r="A577" s="939">
        <v>39539</v>
      </c>
      <c r="B577" s="940" t="s">
        <v>13272</v>
      </c>
      <c r="C577" s="941" t="s">
        <v>13288</v>
      </c>
      <c r="D577" s="942"/>
      <c r="E577" s="943">
        <v>471.63</v>
      </c>
      <c r="F577" s="944" t="s">
        <v>9</v>
      </c>
      <c r="G577" s="945">
        <f>IF(F577="X",0,E577)</f>
        <v>0</v>
      </c>
    </row>
    <row r="578" spans="1:7">
      <c r="A578" s="1491">
        <v>39569</v>
      </c>
      <c r="B578" s="1492"/>
      <c r="C578" s="1493" t="s">
        <v>13289</v>
      </c>
      <c r="D578" s="1494"/>
      <c r="E578" s="1495">
        <f>SUM(E579)</f>
        <v>680</v>
      </c>
      <c r="F578" s="1496"/>
      <c r="G578" s="1497"/>
    </row>
    <row r="579" spans="1:7">
      <c r="A579" s="1503">
        <v>39596</v>
      </c>
      <c r="B579" s="787" t="s">
        <v>13290</v>
      </c>
      <c r="C579" s="788" t="s">
        <v>13291</v>
      </c>
      <c r="D579" s="914"/>
      <c r="E579" s="790">
        <v>680</v>
      </c>
      <c r="F579" s="791" t="s">
        <v>9</v>
      </c>
      <c r="G579" s="1083">
        <f>IF(F579="X",0,E579)</f>
        <v>0</v>
      </c>
    </row>
    <row r="580" spans="1:7">
      <c r="A580" s="1491">
        <v>39600</v>
      </c>
      <c r="B580" s="1492"/>
      <c r="C580" s="1493" t="s">
        <v>5599</v>
      </c>
      <c r="D580" s="1494"/>
      <c r="E580" s="1495">
        <f>SUM(E581)</f>
        <v>680</v>
      </c>
      <c r="F580" s="1496"/>
      <c r="G580" s="1497"/>
    </row>
    <row r="581" spans="1:7">
      <c r="A581" s="939">
        <v>39627</v>
      </c>
      <c r="B581" s="940" t="s">
        <v>13290</v>
      </c>
      <c r="C581" s="941" t="s">
        <v>13292</v>
      </c>
      <c r="D581" s="942"/>
      <c r="E581" s="943">
        <v>680</v>
      </c>
      <c r="F581" s="944" t="s">
        <v>9</v>
      </c>
      <c r="G581" s="945">
        <f>IF(F581="X",0,E581)</f>
        <v>0</v>
      </c>
    </row>
    <row r="582" spans="1:7">
      <c r="A582" s="1491">
        <v>39661</v>
      </c>
      <c r="B582" s="1492"/>
      <c r="C582" s="1493" t="s">
        <v>5602</v>
      </c>
      <c r="D582" s="1494"/>
      <c r="E582" s="1495">
        <f>SUM(E583:E584)</f>
        <v>197.39</v>
      </c>
      <c r="F582" s="1496"/>
      <c r="G582" s="1497"/>
    </row>
    <row r="583" spans="1:7">
      <c r="A583" s="785">
        <v>39671</v>
      </c>
      <c r="B583" s="337" t="s">
        <v>13293</v>
      </c>
      <c r="C583" s="332" t="s">
        <v>13294</v>
      </c>
      <c r="D583" s="134"/>
      <c r="E583" s="135">
        <v>109.39</v>
      </c>
      <c r="F583" s="46" t="s">
        <v>9</v>
      </c>
      <c r="G583" s="749">
        <f>IF(F583="X",0,E583)</f>
        <v>0</v>
      </c>
    </row>
    <row r="584" spans="1:7">
      <c r="A584" s="786">
        <v>39690</v>
      </c>
      <c r="B584" s="787" t="s">
        <v>13295</v>
      </c>
      <c r="C584" s="788" t="s">
        <v>13296</v>
      </c>
      <c r="D584" s="789"/>
      <c r="E584" s="790">
        <v>88</v>
      </c>
      <c r="F584" s="791" t="s">
        <v>9</v>
      </c>
      <c r="G584" s="750">
        <f>IF(F584="X",0,E584)</f>
        <v>0</v>
      </c>
    </row>
    <row r="585" spans="1:7">
      <c r="A585" s="1491">
        <v>39692</v>
      </c>
      <c r="B585" s="1492"/>
      <c r="C585" s="1493" t="s">
        <v>5605</v>
      </c>
      <c r="D585" s="1494"/>
      <c r="E585" s="1495">
        <f>SUM(E586:E589)</f>
        <v>1618.3899999999999</v>
      </c>
      <c r="F585" s="1496"/>
      <c r="G585" s="1497"/>
    </row>
    <row r="586" spans="1:7">
      <c r="A586" s="785">
        <v>39692</v>
      </c>
      <c r="B586" s="116" t="s">
        <v>13297</v>
      </c>
      <c r="C586" s="442" t="s">
        <v>13298</v>
      </c>
      <c r="D586" s="134"/>
      <c r="E586" s="135">
        <v>300</v>
      </c>
      <c r="F586" s="443" t="s">
        <v>9</v>
      </c>
      <c r="G586" s="749">
        <f>IF(F586="X",0,E586)</f>
        <v>0</v>
      </c>
    </row>
    <row r="587" spans="1:7">
      <c r="A587" s="792">
        <v>39702</v>
      </c>
      <c r="B587" s="793" t="s">
        <v>13293</v>
      </c>
      <c r="C587" s="794" t="s">
        <v>13299</v>
      </c>
      <c r="D587" s="795"/>
      <c r="E587" s="796">
        <v>109.39</v>
      </c>
      <c r="F587" s="797" t="s">
        <v>9</v>
      </c>
      <c r="G587" s="798">
        <f>IF(F587="X",0,E587)</f>
        <v>0</v>
      </c>
    </row>
    <row r="588" spans="1:7">
      <c r="A588" s="785">
        <v>39720</v>
      </c>
      <c r="B588" s="116" t="s">
        <v>13295</v>
      </c>
      <c r="C588" s="442" t="s">
        <v>13300</v>
      </c>
      <c r="D588" s="134"/>
      <c r="E588" s="135">
        <v>79</v>
      </c>
      <c r="F588" s="443" t="s">
        <v>9</v>
      </c>
      <c r="G588" s="749">
        <f>IF(F588="X",0,E588)</f>
        <v>0</v>
      </c>
    </row>
    <row r="589" spans="1:7">
      <c r="A589" s="786">
        <v>39721</v>
      </c>
      <c r="B589" s="1504" t="s">
        <v>13301</v>
      </c>
      <c r="C589" s="1505" t="s">
        <v>5609</v>
      </c>
      <c r="D589" s="1324" t="s">
        <v>9088</v>
      </c>
      <c r="E589" s="1082">
        <v>1130</v>
      </c>
      <c r="F589" s="1506" t="s">
        <v>9</v>
      </c>
      <c r="G589" s="750">
        <f>IF(F589="X",0,E589)</f>
        <v>0</v>
      </c>
    </row>
    <row r="590" spans="1:7">
      <c r="A590" s="1491">
        <v>39722</v>
      </c>
      <c r="B590" s="1492"/>
      <c r="C590" s="1493" t="s">
        <v>5610</v>
      </c>
      <c r="D590" s="1494"/>
      <c r="E590" s="1495">
        <f>SUM(E591:E594)</f>
        <v>1793</v>
      </c>
      <c r="F590" s="1496"/>
      <c r="G590" s="1497"/>
    </row>
    <row r="591" spans="1:7">
      <c r="A591" s="792">
        <v>39722</v>
      </c>
      <c r="B591" s="793" t="s">
        <v>13297</v>
      </c>
      <c r="C591" s="794" t="s">
        <v>13302</v>
      </c>
      <c r="D591" s="795"/>
      <c r="E591" s="796">
        <v>300</v>
      </c>
      <c r="F591" s="797" t="s">
        <v>9</v>
      </c>
      <c r="G591" s="798">
        <f>IF(F591="X",0,E591)</f>
        <v>0</v>
      </c>
    </row>
    <row r="592" spans="1:7">
      <c r="A592" s="785">
        <v>39742</v>
      </c>
      <c r="B592" s="337" t="s">
        <v>3296</v>
      </c>
      <c r="C592" s="332" t="s">
        <v>13303</v>
      </c>
      <c r="D592" s="134"/>
      <c r="E592" s="135">
        <v>284</v>
      </c>
      <c r="F592" s="46" t="s">
        <v>9</v>
      </c>
      <c r="G592" s="749">
        <f>IF(F592="X",0,E592)</f>
        <v>0</v>
      </c>
    </row>
    <row r="593" spans="1:7">
      <c r="A593" s="785">
        <v>39750</v>
      </c>
      <c r="B593" s="337" t="s">
        <v>13295</v>
      </c>
      <c r="C593" s="332" t="s">
        <v>13304</v>
      </c>
      <c r="D593" s="134"/>
      <c r="E593" s="135">
        <v>79</v>
      </c>
      <c r="F593" s="46" t="s">
        <v>9</v>
      </c>
      <c r="G593" s="749">
        <f>IF(F593="X",0,E593)</f>
        <v>0</v>
      </c>
    </row>
    <row r="594" spans="1:7">
      <c r="A594" s="786">
        <v>39751</v>
      </c>
      <c r="B594" s="787" t="s">
        <v>13301</v>
      </c>
      <c r="C594" s="1089" t="s">
        <v>5659</v>
      </c>
      <c r="D594" s="1324"/>
      <c r="E594" s="1082">
        <v>1130</v>
      </c>
      <c r="F594" s="791" t="s">
        <v>9</v>
      </c>
      <c r="G594" s="750">
        <f>IF(F594="X",0,E594)</f>
        <v>0</v>
      </c>
    </row>
    <row r="595" spans="1:7">
      <c r="A595" s="1484">
        <v>39753</v>
      </c>
      <c r="B595" s="1485"/>
      <c r="C595" s="1486" t="s">
        <v>5652</v>
      </c>
      <c r="D595" s="1487"/>
      <c r="E595" s="1488">
        <f>SUM(E596:E604)</f>
        <v>2670.98</v>
      </c>
      <c r="F595" s="1489"/>
      <c r="G595" s="1490"/>
    </row>
    <row r="596" spans="1:7">
      <c r="A596" s="440">
        <v>39753</v>
      </c>
      <c r="B596" s="436" t="s">
        <v>13305</v>
      </c>
      <c r="C596" s="445" t="s">
        <v>13306</v>
      </c>
      <c r="D596" s="432"/>
      <c r="E596" s="135">
        <v>384.34</v>
      </c>
      <c r="F596" s="359" t="s">
        <v>9</v>
      </c>
      <c r="G596" s="49">
        <f t="shared" ref="G596:G603" si="27">IF(F596="X",0,E596)</f>
        <v>0</v>
      </c>
    </row>
    <row r="597" spans="1:7">
      <c r="A597" s="440">
        <v>39753</v>
      </c>
      <c r="B597" s="446" t="s">
        <v>13307</v>
      </c>
      <c r="C597" s="445" t="s">
        <v>13308</v>
      </c>
      <c r="D597" s="432"/>
      <c r="E597" s="135">
        <v>180</v>
      </c>
      <c r="F597" s="359" t="s">
        <v>9</v>
      </c>
      <c r="G597" s="49">
        <f t="shared" si="27"/>
        <v>0</v>
      </c>
    </row>
    <row r="598" spans="1:7">
      <c r="A598" s="440">
        <v>39753</v>
      </c>
      <c r="B598" s="446" t="s">
        <v>13309</v>
      </c>
      <c r="C598" s="445" t="s">
        <v>13310</v>
      </c>
      <c r="D598" s="432"/>
      <c r="E598" s="135">
        <v>138.99</v>
      </c>
      <c r="F598" s="359" t="s">
        <v>9</v>
      </c>
      <c r="G598" s="49">
        <f t="shared" si="27"/>
        <v>0</v>
      </c>
    </row>
    <row r="599" spans="1:7">
      <c r="A599" s="440">
        <v>39753</v>
      </c>
      <c r="B599" s="446" t="s">
        <v>13311</v>
      </c>
      <c r="C599" s="445" t="s">
        <v>13312</v>
      </c>
      <c r="D599" s="432"/>
      <c r="E599" s="135">
        <v>199.9</v>
      </c>
      <c r="F599" s="359" t="s">
        <v>9</v>
      </c>
      <c r="G599" s="49">
        <f t="shared" si="27"/>
        <v>0</v>
      </c>
    </row>
    <row r="600" spans="1:7">
      <c r="A600" s="440">
        <v>39754</v>
      </c>
      <c r="B600" s="116" t="s">
        <v>13313</v>
      </c>
      <c r="C600" s="445" t="s">
        <v>13314</v>
      </c>
      <c r="D600" s="447"/>
      <c r="E600" s="135">
        <v>274.75</v>
      </c>
      <c r="F600" s="359" t="s">
        <v>9</v>
      </c>
      <c r="G600" s="49">
        <f t="shared" si="27"/>
        <v>0</v>
      </c>
    </row>
    <row r="601" spans="1:7">
      <c r="A601" s="792">
        <v>39773</v>
      </c>
      <c r="B601" s="793" t="s">
        <v>13315</v>
      </c>
      <c r="C601" s="794" t="s">
        <v>13316</v>
      </c>
      <c r="D601" s="795"/>
      <c r="E601" s="796">
        <v>284</v>
      </c>
      <c r="F601" s="797" t="s">
        <v>9</v>
      </c>
      <c r="G601" s="798">
        <f t="shared" si="27"/>
        <v>0</v>
      </c>
    </row>
    <row r="602" spans="1:7">
      <c r="A602" s="440">
        <v>39780</v>
      </c>
      <c r="B602" s="116" t="s">
        <v>13295</v>
      </c>
      <c r="C602" s="445" t="s">
        <v>13317</v>
      </c>
      <c r="D602" s="447"/>
      <c r="E602" s="135">
        <v>79</v>
      </c>
      <c r="F602" s="359" t="s">
        <v>9</v>
      </c>
      <c r="G602" s="49">
        <f t="shared" si="27"/>
        <v>0</v>
      </c>
    </row>
    <row r="603" spans="1:7">
      <c r="A603" s="440">
        <v>39782</v>
      </c>
      <c r="B603" s="116" t="s">
        <v>13301</v>
      </c>
      <c r="C603" s="139" t="s">
        <v>5678</v>
      </c>
      <c r="D603" s="55"/>
      <c r="E603" s="49">
        <v>1130</v>
      </c>
      <c r="F603" s="116" t="s">
        <v>120</v>
      </c>
      <c r="G603" s="49">
        <f t="shared" si="27"/>
        <v>0</v>
      </c>
    </row>
    <row r="604" spans="1:7">
      <c r="A604" s="441"/>
      <c r="B604" s="448"/>
      <c r="C604" s="449"/>
      <c r="D604" s="450"/>
      <c r="E604" s="412"/>
      <c r="F604" s="439"/>
      <c r="G604" s="49"/>
    </row>
    <row r="605" spans="1:7">
      <c r="A605" s="1484">
        <v>39783</v>
      </c>
      <c r="B605" s="1485"/>
      <c r="C605" s="1486" t="s">
        <v>5676</v>
      </c>
      <c r="D605" s="1487"/>
      <c r="E605" s="1488">
        <f>SUM(E606:E614)</f>
        <v>2795.2799999999997</v>
      </c>
      <c r="F605" s="1489"/>
      <c r="G605" s="1490"/>
    </row>
    <row r="606" spans="1:7">
      <c r="A606" s="440">
        <v>39783</v>
      </c>
      <c r="B606" s="116" t="s">
        <v>13305</v>
      </c>
      <c r="C606" s="445" t="s">
        <v>13318</v>
      </c>
      <c r="D606" s="432"/>
      <c r="E606" s="135">
        <v>384.33</v>
      </c>
      <c r="F606" s="46" t="s">
        <v>9</v>
      </c>
      <c r="G606" s="49">
        <f t="shared" ref="G606:G614" si="28">IF(F606="X",0,E606)</f>
        <v>0</v>
      </c>
    </row>
    <row r="607" spans="1:7">
      <c r="A607" s="440">
        <v>39783</v>
      </c>
      <c r="B607" s="446" t="s">
        <v>13309</v>
      </c>
      <c r="C607" s="445" t="s">
        <v>13319</v>
      </c>
      <c r="D607" s="432"/>
      <c r="E607" s="135">
        <v>138.97999999999999</v>
      </c>
      <c r="F607" s="46" t="s">
        <v>9</v>
      </c>
      <c r="G607" s="49">
        <f t="shared" si="28"/>
        <v>0</v>
      </c>
    </row>
    <row r="608" spans="1:7">
      <c r="A608" s="440">
        <v>39783</v>
      </c>
      <c r="B608" s="116" t="s">
        <v>13307</v>
      </c>
      <c r="C608" s="445" t="s">
        <v>13308</v>
      </c>
      <c r="D608" s="432"/>
      <c r="E608" s="135">
        <v>180</v>
      </c>
      <c r="F608" s="46" t="s">
        <v>9</v>
      </c>
      <c r="G608" s="49">
        <f t="shared" si="28"/>
        <v>0</v>
      </c>
    </row>
    <row r="609" spans="1:7">
      <c r="A609" s="440">
        <v>39783</v>
      </c>
      <c r="B609" s="116" t="s">
        <v>13311</v>
      </c>
      <c r="C609" s="445" t="s">
        <v>13320</v>
      </c>
      <c r="D609" s="432"/>
      <c r="E609" s="135">
        <v>199.9</v>
      </c>
      <c r="F609" s="46" t="s">
        <v>9</v>
      </c>
      <c r="G609" s="49">
        <f t="shared" si="28"/>
        <v>0</v>
      </c>
    </row>
    <row r="610" spans="1:7">
      <c r="A610" s="440">
        <v>39783</v>
      </c>
      <c r="B610" s="116" t="s">
        <v>13321</v>
      </c>
      <c r="C610" s="445" t="s">
        <v>13322</v>
      </c>
      <c r="D610" s="432"/>
      <c r="E610" s="135">
        <v>199.7</v>
      </c>
      <c r="F610" s="46" t="s">
        <v>9</v>
      </c>
      <c r="G610" s="49">
        <f t="shared" si="28"/>
        <v>0</v>
      </c>
    </row>
    <row r="611" spans="1:7">
      <c r="A611" s="440">
        <v>39784</v>
      </c>
      <c r="B611" s="116" t="s">
        <v>13313</v>
      </c>
      <c r="C611" s="445" t="s">
        <v>13323</v>
      </c>
      <c r="D611" s="447"/>
      <c r="E611" s="135">
        <v>274.75</v>
      </c>
      <c r="F611" s="46" t="s">
        <v>9</v>
      </c>
      <c r="G611" s="49">
        <f t="shared" si="28"/>
        <v>0</v>
      </c>
    </row>
    <row r="612" spans="1:7">
      <c r="A612" s="440">
        <v>39787</v>
      </c>
      <c r="B612" s="116" t="s">
        <v>13324</v>
      </c>
      <c r="C612" s="445" t="s">
        <v>13325</v>
      </c>
      <c r="D612" s="447"/>
      <c r="E612" s="135">
        <v>208.62</v>
      </c>
      <c r="F612" s="46" t="s">
        <v>9</v>
      </c>
      <c r="G612" s="49">
        <f t="shared" si="28"/>
        <v>0</v>
      </c>
    </row>
    <row r="613" spans="1:7">
      <c r="A613" s="440">
        <v>39810</v>
      </c>
      <c r="B613" s="116" t="s">
        <v>13295</v>
      </c>
      <c r="C613" s="445" t="s">
        <v>13326</v>
      </c>
      <c r="D613" s="447"/>
      <c r="E613" s="135">
        <v>79</v>
      </c>
      <c r="F613" s="46" t="s">
        <v>9</v>
      </c>
      <c r="G613" s="49">
        <f t="shared" si="28"/>
        <v>0</v>
      </c>
    </row>
    <row r="614" spans="1:7">
      <c r="A614" s="440">
        <v>39812</v>
      </c>
      <c r="B614" s="116" t="s">
        <v>13301</v>
      </c>
      <c r="C614" s="139" t="s">
        <v>5687</v>
      </c>
      <c r="D614" s="55"/>
      <c r="E614" s="49">
        <v>1130</v>
      </c>
      <c r="F614" s="116" t="s">
        <v>9</v>
      </c>
      <c r="G614" s="49">
        <f t="shared" si="28"/>
        <v>0</v>
      </c>
    </row>
    <row r="615" spans="1:7">
      <c r="A615" s="1491">
        <v>39814</v>
      </c>
      <c r="B615" s="1492"/>
      <c r="C615" s="1493" t="s">
        <v>3709</v>
      </c>
      <c r="D615" s="1494"/>
      <c r="E615" s="1495">
        <f>SUM(E616:E624)</f>
        <v>2694.25</v>
      </c>
      <c r="F615" s="1496"/>
      <c r="G615" s="1497"/>
    </row>
    <row r="616" spans="1:7">
      <c r="A616" s="792">
        <v>39814</v>
      </c>
      <c r="B616" s="793" t="s">
        <v>13305</v>
      </c>
      <c r="C616" s="794" t="s">
        <v>13327</v>
      </c>
      <c r="D616" s="795"/>
      <c r="E616" s="796">
        <v>384.33</v>
      </c>
      <c r="F616" s="797" t="s">
        <v>9</v>
      </c>
      <c r="G616" s="798">
        <f t="shared" ref="G616:G624" si="29">IF(F616="X",0,E616)</f>
        <v>0</v>
      </c>
    </row>
    <row r="617" spans="1:7">
      <c r="A617" s="792">
        <v>39814</v>
      </c>
      <c r="B617" s="793" t="s">
        <v>13309</v>
      </c>
      <c r="C617" s="794" t="s">
        <v>13328</v>
      </c>
      <c r="D617" s="795"/>
      <c r="E617" s="796">
        <v>138.97999999999999</v>
      </c>
      <c r="F617" s="797" t="s">
        <v>9</v>
      </c>
      <c r="G617" s="798">
        <f t="shared" si="29"/>
        <v>0</v>
      </c>
    </row>
    <row r="618" spans="1:7">
      <c r="A618" s="792">
        <v>39814</v>
      </c>
      <c r="B618" s="793" t="s">
        <v>13311</v>
      </c>
      <c r="C618" s="794" t="s">
        <v>13329</v>
      </c>
      <c r="D618" s="795"/>
      <c r="E618" s="796">
        <v>199.9</v>
      </c>
      <c r="F618" s="797" t="s">
        <v>9</v>
      </c>
      <c r="G618" s="798">
        <f t="shared" si="29"/>
        <v>0</v>
      </c>
    </row>
    <row r="619" spans="1:7">
      <c r="A619" s="785">
        <v>39814</v>
      </c>
      <c r="B619" s="116" t="s">
        <v>13321</v>
      </c>
      <c r="C619" s="442" t="s">
        <v>13330</v>
      </c>
      <c r="D619" s="451"/>
      <c r="E619" s="135">
        <v>199.67</v>
      </c>
      <c r="F619" s="46" t="s">
        <v>9</v>
      </c>
      <c r="G619" s="778">
        <f t="shared" si="29"/>
        <v>0</v>
      </c>
    </row>
    <row r="620" spans="1:7">
      <c r="A620" s="785">
        <v>39815</v>
      </c>
      <c r="B620" s="116" t="s">
        <v>13313</v>
      </c>
      <c r="C620" s="442" t="s">
        <v>13331</v>
      </c>
      <c r="D620" s="451"/>
      <c r="E620" s="135">
        <v>274.75</v>
      </c>
      <c r="F620" s="359" t="s">
        <v>9</v>
      </c>
      <c r="G620" s="778">
        <f t="shared" si="29"/>
        <v>0</v>
      </c>
    </row>
    <row r="621" spans="1:7">
      <c r="A621" s="792">
        <v>39818</v>
      </c>
      <c r="B621" s="793" t="s">
        <v>13324</v>
      </c>
      <c r="C621" s="794" t="s">
        <v>13332</v>
      </c>
      <c r="D621" s="795"/>
      <c r="E621" s="796">
        <v>208.62</v>
      </c>
      <c r="F621" s="797" t="s">
        <v>9</v>
      </c>
      <c r="G621" s="798">
        <f t="shared" si="29"/>
        <v>0</v>
      </c>
    </row>
    <row r="622" spans="1:7">
      <c r="A622" s="785">
        <v>39840</v>
      </c>
      <c r="B622" s="116" t="s">
        <v>13295</v>
      </c>
      <c r="C622" s="442" t="s">
        <v>13333</v>
      </c>
      <c r="D622" s="452"/>
      <c r="E622" s="135">
        <v>79</v>
      </c>
      <c r="F622" s="359" t="s">
        <v>9</v>
      </c>
      <c r="G622" s="778">
        <f t="shared" si="29"/>
        <v>0</v>
      </c>
    </row>
    <row r="623" spans="1:7">
      <c r="A623" s="785">
        <v>39960</v>
      </c>
      <c r="B623" s="116" t="s">
        <v>13295</v>
      </c>
      <c r="C623" s="442" t="s">
        <v>13334</v>
      </c>
      <c r="D623" s="451"/>
      <c r="E623" s="135">
        <v>79</v>
      </c>
      <c r="F623" s="359" t="s">
        <v>9</v>
      </c>
      <c r="G623" s="778">
        <f t="shared" si="29"/>
        <v>0</v>
      </c>
    </row>
    <row r="624" spans="1:7">
      <c r="A624" s="939">
        <v>39843</v>
      </c>
      <c r="B624" s="940" t="s">
        <v>13301</v>
      </c>
      <c r="C624" s="941" t="s">
        <v>13335</v>
      </c>
      <c r="D624" s="942"/>
      <c r="E624" s="943">
        <v>1130</v>
      </c>
      <c r="F624" s="944" t="s">
        <v>9</v>
      </c>
      <c r="G624" s="945">
        <f t="shared" si="29"/>
        <v>0</v>
      </c>
    </row>
    <row r="625" spans="1:7">
      <c r="A625" s="1484">
        <v>39845</v>
      </c>
      <c r="B625" s="1485"/>
      <c r="C625" s="1486" t="s">
        <v>3729</v>
      </c>
      <c r="D625" s="1487"/>
      <c r="E625" s="1488">
        <f>SUM(E626:E633)</f>
        <v>2184.23</v>
      </c>
      <c r="F625" s="1489"/>
      <c r="G625" s="1490"/>
    </row>
    <row r="626" spans="1:7">
      <c r="A626" s="785">
        <v>39845</v>
      </c>
      <c r="B626" s="116" t="s">
        <v>13321</v>
      </c>
      <c r="C626" s="445" t="s">
        <v>13336</v>
      </c>
      <c r="D626" s="333"/>
      <c r="E626" s="135">
        <v>199.67</v>
      </c>
      <c r="F626" s="46" t="s">
        <v>9</v>
      </c>
      <c r="G626" s="778">
        <f t="shared" ref="G626:G633" si="30">IF(F626="X",0,E626)</f>
        <v>0</v>
      </c>
    </row>
    <row r="627" spans="1:7">
      <c r="A627" s="792">
        <v>39846</v>
      </c>
      <c r="B627" s="793" t="s">
        <v>13313</v>
      </c>
      <c r="C627" s="794" t="s">
        <v>13337</v>
      </c>
      <c r="D627" s="795"/>
      <c r="E627" s="796">
        <v>274.75</v>
      </c>
      <c r="F627" s="797" t="s">
        <v>9</v>
      </c>
      <c r="G627" s="798">
        <f t="shared" si="30"/>
        <v>0</v>
      </c>
    </row>
    <row r="628" spans="1:7">
      <c r="A628" s="785">
        <v>39847</v>
      </c>
      <c r="B628" s="337" t="s">
        <v>13338</v>
      </c>
      <c r="C628" s="332" t="s">
        <v>13339</v>
      </c>
      <c r="D628" s="134"/>
      <c r="E628" s="135">
        <v>420.56</v>
      </c>
      <c r="F628" s="46" t="s">
        <v>9</v>
      </c>
      <c r="G628" s="778">
        <f t="shared" si="30"/>
        <v>0</v>
      </c>
    </row>
    <row r="629" spans="1:7">
      <c r="A629" s="785">
        <v>39483</v>
      </c>
      <c r="B629" s="116" t="s">
        <v>13340</v>
      </c>
      <c r="C629" s="445" t="s">
        <v>13341</v>
      </c>
      <c r="D629" s="447"/>
      <c r="E629" s="135">
        <v>188.5</v>
      </c>
      <c r="F629" s="46" t="s">
        <v>9</v>
      </c>
      <c r="G629" s="778">
        <f t="shared" si="30"/>
        <v>0</v>
      </c>
    </row>
    <row r="630" spans="1:7">
      <c r="A630" s="785">
        <v>39483</v>
      </c>
      <c r="B630" s="337" t="s">
        <v>13342</v>
      </c>
      <c r="C630" s="332" t="s">
        <v>13343</v>
      </c>
      <c r="D630" s="134"/>
      <c r="E630" s="135">
        <v>424.75</v>
      </c>
      <c r="F630" s="46" t="s">
        <v>9</v>
      </c>
      <c r="G630" s="778">
        <f t="shared" si="30"/>
        <v>0</v>
      </c>
    </row>
    <row r="631" spans="1:7">
      <c r="A631" s="785">
        <v>39859</v>
      </c>
      <c r="B631" s="337" t="s">
        <v>13290</v>
      </c>
      <c r="C631" s="332" t="s">
        <v>13344</v>
      </c>
      <c r="D631" s="134"/>
      <c r="E631" s="135">
        <v>518</v>
      </c>
      <c r="F631" s="46" t="s">
        <v>120</v>
      </c>
      <c r="G631" s="778">
        <f t="shared" si="30"/>
        <v>0</v>
      </c>
    </row>
    <row r="632" spans="1:7">
      <c r="A632" s="785">
        <v>39870</v>
      </c>
      <c r="B632" s="337" t="s">
        <v>13295</v>
      </c>
      <c r="C632" s="332" t="s">
        <v>13345</v>
      </c>
      <c r="D632" s="134"/>
      <c r="E632" s="135">
        <v>79</v>
      </c>
      <c r="F632" s="46" t="s">
        <v>9</v>
      </c>
      <c r="G632" s="778">
        <f t="shared" si="30"/>
        <v>0</v>
      </c>
    </row>
    <row r="633" spans="1:7">
      <c r="A633" s="786">
        <v>39870</v>
      </c>
      <c r="B633" s="787" t="s">
        <v>13295</v>
      </c>
      <c r="C633" s="788" t="s">
        <v>13346</v>
      </c>
      <c r="D633" s="789"/>
      <c r="E633" s="790">
        <v>79</v>
      </c>
      <c r="F633" s="791" t="s">
        <v>9</v>
      </c>
      <c r="G633" s="1083">
        <f t="shared" si="30"/>
        <v>0</v>
      </c>
    </row>
    <row r="634" spans="1:7">
      <c r="A634" s="1484">
        <v>39873</v>
      </c>
      <c r="B634" s="1485"/>
      <c r="C634" s="1486" t="s">
        <v>5696</v>
      </c>
      <c r="D634" s="1487"/>
      <c r="E634" s="1488">
        <f>SUM(E635:E643)</f>
        <v>2197.3000000000002</v>
      </c>
      <c r="F634" s="1489"/>
      <c r="G634" s="1490"/>
    </row>
    <row r="635" spans="1:7">
      <c r="A635" s="785">
        <v>39873</v>
      </c>
      <c r="B635" s="337" t="s">
        <v>13321</v>
      </c>
      <c r="C635" s="332" t="s">
        <v>13347</v>
      </c>
      <c r="D635" s="134"/>
      <c r="E635" s="135">
        <v>199.67</v>
      </c>
      <c r="F635" s="46" t="s">
        <v>9</v>
      </c>
      <c r="G635" s="778">
        <f t="shared" ref="G635:G643" si="31">IF(F635="X",0,E635)</f>
        <v>0</v>
      </c>
    </row>
    <row r="636" spans="1:7">
      <c r="A636" s="785">
        <v>39873</v>
      </c>
      <c r="B636" s="337" t="s">
        <v>13348</v>
      </c>
      <c r="C636" s="332" t="s">
        <v>13349</v>
      </c>
      <c r="D636" s="134"/>
      <c r="E636" s="135">
        <v>173.1</v>
      </c>
      <c r="F636" s="46" t="s">
        <v>9</v>
      </c>
      <c r="G636" s="778">
        <f t="shared" si="31"/>
        <v>0</v>
      </c>
    </row>
    <row r="637" spans="1:7">
      <c r="A637" s="785">
        <v>39875</v>
      </c>
      <c r="B637" s="337" t="s">
        <v>13338</v>
      </c>
      <c r="C637" s="332" t="s">
        <v>13350</v>
      </c>
      <c r="D637" s="134"/>
      <c r="E637" s="135">
        <v>420.56</v>
      </c>
      <c r="F637" s="46" t="s">
        <v>9</v>
      </c>
      <c r="G637" s="778">
        <f t="shared" si="31"/>
        <v>0</v>
      </c>
    </row>
    <row r="638" spans="1:7">
      <c r="A638" s="785">
        <v>39877</v>
      </c>
      <c r="B638" s="337" t="s">
        <v>13351</v>
      </c>
      <c r="C638" s="332" t="s">
        <v>13352</v>
      </c>
      <c r="D638" s="134"/>
      <c r="E638" s="135">
        <v>109.15</v>
      </c>
      <c r="F638" s="46" t="s">
        <v>9</v>
      </c>
      <c r="G638" s="778">
        <f t="shared" si="31"/>
        <v>0</v>
      </c>
    </row>
    <row r="639" spans="1:7">
      <c r="A639" s="785">
        <v>39877</v>
      </c>
      <c r="B639" s="337" t="s">
        <v>13342</v>
      </c>
      <c r="C639" s="332" t="s">
        <v>13353</v>
      </c>
      <c r="D639" s="134"/>
      <c r="E639" s="135">
        <v>424.75</v>
      </c>
      <c r="F639" s="46" t="s">
        <v>9</v>
      </c>
      <c r="G639" s="778">
        <f t="shared" si="31"/>
        <v>0</v>
      </c>
    </row>
    <row r="640" spans="1:7">
      <c r="A640" s="792">
        <v>39512</v>
      </c>
      <c r="B640" s="793" t="s">
        <v>13340</v>
      </c>
      <c r="C640" s="794" t="s">
        <v>13354</v>
      </c>
      <c r="D640" s="795"/>
      <c r="E640" s="796">
        <v>188.5</v>
      </c>
      <c r="F640" s="797" t="s">
        <v>9</v>
      </c>
      <c r="G640" s="798">
        <f t="shared" si="31"/>
        <v>0</v>
      </c>
    </row>
    <row r="641" spans="1:7">
      <c r="A641" s="785">
        <v>39882</v>
      </c>
      <c r="B641" s="337" t="s">
        <v>13355</v>
      </c>
      <c r="C641" s="332" t="s">
        <v>13356</v>
      </c>
      <c r="D641" s="134"/>
      <c r="E641" s="135">
        <v>84.57</v>
      </c>
      <c r="F641" s="46" t="s">
        <v>9</v>
      </c>
      <c r="G641" s="778">
        <f t="shared" si="31"/>
        <v>0</v>
      </c>
    </row>
    <row r="642" spans="1:7">
      <c r="A642" s="785">
        <v>39887</v>
      </c>
      <c r="B642" s="337" t="s">
        <v>13290</v>
      </c>
      <c r="C642" s="332" t="s">
        <v>13357</v>
      </c>
      <c r="D642" s="134"/>
      <c r="E642" s="135">
        <v>518</v>
      </c>
      <c r="F642" s="46" t="s">
        <v>9</v>
      </c>
      <c r="G642" s="778">
        <f t="shared" si="31"/>
        <v>0</v>
      </c>
    </row>
    <row r="643" spans="1:7">
      <c r="A643" s="939">
        <v>39900</v>
      </c>
      <c r="B643" s="940" t="s">
        <v>13295</v>
      </c>
      <c r="C643" s="941" t="s">
        <v>13358</v>
      </c>
      <c r="D643" s="942"/>
      <c r="E643" s="943">
        <v>79</v>
      </c>
      <c r="F643" s="944" t="s">
        <v>9</v>
      </c>
      <c r="G643" s="945">
        <f t="shared" si="31"/>
        <v>0</v>
      </c>
    </row>
    <row r="644" spans="1:7">
      <c r="A644" s="1491">
        <v>39904</v>
      </c>
      <c r="B644" s="1492"/>
      <c r="C644" s="1493" t="s">
        <v>3772</v>
      </c>
      <c r="D644" s="1494"/>
      <c r="E644" s="1495">
        <f>SUM(E645:E653)</f>
        <v>2113.6999999999998</v>
      </c>
      <c r="F644" s="1496"/>
      <c r="G644" s="1497"/>
    </row>
    <row r="645" spans="1:7">
      <c r="A645" s="785">
        <v>39904</v>
      </c>
      <c r="B645" s="337" t="s">
        <v>13321</v>
      </c>
      <c r="C645" s="332" t="s">
        <v>13359</v>
      </c>
      <c r="D645" s="134"/>
      <c r="E645" s="135">
        <v>199.67</v>
      </c>
      <c r="F645" s="46" t="s">
        <v>9</v>
      </c>
      <c r="G645" s="778">
        <f t="shared" ref="G645:G653" si="32">IF(F645="X",0,E645)</f>
        <v>0</v>
      </c>
    </row>
    <row r="646" spans="1:7">
      <c r="A646" s="785">
        <v>39904</v>
      </c>
      <c r="B646" s="337" t="s">
        <v>13348</v>
      </c>
      <c r="C646" s="332" t="s">
        <v>13360</v>
      </c>
      <c r="D646" s="134"/>
      <c r="E646" s="135">
        <v>173.1</v>
      </c>
      <c r="F646" s="46" t="s">
        <v>9</v>
      </c>
      <c r="G646" s="778">
        <f t="shared" si="32"/>
        <v>0</v>
      </c>
    </row>
    <row r="647" spans="1:7">
      <c r="A647" s="785">
        <v>39906</v>
      </c>
      <c r="B647" s="337" t="s">
        <v>13338</v>
      </c>
      <c r="C647" s="332" t="s">
        <v>13361</v>
      </c>
      <c r="D647" s="134"/>
      <c r="E647" s="135">
        <v>420.56</v>
      </c>
      <c r="F647" s="46" t="s">
        <v>9</v>
      </c>
      <c r="G647" s="778">
        <f t="shared" si="32"/>
        <v>0</v>
      </c>
    </row>
    <row r="648" spans="1:7">
      <c r="A648" s="792">
        <v>39908</v>
      </c>
      <c r="B648" s="793" t="s">
        <v>13351</v>
      </c>
      <c r="C648" s="794" t="s">
        <v>13362</v>
      </c>
      <c r="D648" s="795"/>
      <c r="E648" s="796">
        <v>109.15</v>
      </c>
      <c r="F648" s="797" t="s">
        <v>9</v>
      </c>
      <c r="G648" s="798">
        <f t="shared" si="32"/>
        <v>0</v>
      </c>
    </row>
    <row r="649" spans="1:7">
      <c r="A649" s="785">
        <v>39908</v>
      </c>
      <c r="B649" s="337" t="s">
        <v>13342</v>
      </c>
      <c r="C649" s="332" t="s">
        <v>13363</v>
      </c>
      <c r="D649" s="134"/>
      <c r="E649" s="135">
        <v>424.75</v>
      </c>
      <c r="F649" s="46" t="s">
        <v>9</v>
      </c>
      <c r="G649" s="778">
        <f t="shared" si="32"/>
        <v>0</v>
      </c>
    </row>
    <row r="650" spans="1:7">
      <c r="A650" s="785">
        <v>39908</v>
      </c>
      <c r="B650" s="337" t="s">
        <v>13364</v>
      </c>
      <c r="C650" s="332" t="s">
        <v>13365</v>
      </c>
      <c r="D650" s="134"/>
      <c r="E650" s="135">
        <v>64.95</v>
      </c>
      <c r="F650" s="46" t="s">
        <v>9</v>
      </c>
      <c r="G650" s="778">
        <f t="shared" si="32"/>
        <v>0</v>
      </c>
    </row>
    <row r="651" spans="1:7">
      <c r="A651" s="785">
        <v>39908</v>
      </c>
      <c r="B651" s="337" t="s">
        <v>13366</v>
      </c>
      <c r="C651" s="332" t="s">
        <v>13367</v>
      </c>
      <c r="D651" s="134"/>
      <c r="E651" s="135">
        <v>118.95</v>
      </c>
      <c r="F651" s="46" t="s">
        <v>9</v>
      </c>
      <c r="G651" s="778">
        <f t="shared" si="32"/>
        <v>0</v>
      </c>
    </row>
    <row r="652" spans="1:7">
      <c r="A652" s="785">
        <v>39913</v>
      </c>
      <c r="B652" s="337" t="s">
        <v>13355</v>
      </c>
      <c r="C652" s="332" t="s">
        <v>13368</v>
      </c>
      <c r="D652" s="134"/>
      <c r="E652" s="135">
        <v>84.57</v>
      </c>
      <c r="F652" s="46" t="s">
        <v>9</v>
      </c>
      <c r="G652" s="778">
        <f t="shared" si="32"/>
        <v>0</v>
      </c>
    </row>
    <row r="653" spans="1:7">
      <c r="A653" s="786">
        <v>39918</v>
      </c>
      <c r="B653" s="787" t="s">
        <v>13290</v>
      </c>
      <c r="C653" s="788" t="s">
        <v>13369</v>
      </c>
      <c r="D653" s="789"/>
      <c r="E653" s="790">
        <v>518</v>
      </c>
      <c r="F653" s="791" t="s">
        <v>9</v>
      </c>
      <c r="G653" s="1083">
        <f t="shared" si="32"/>
        <v>0</v>
      </c>
    </row>
    <row r="654" spans="1:7">
      <c r="A654" s="1484">
        <v>39934</v>
      </c>
      <c r="B654" s="1485"/>
      <c r="C654" s="1486" t="s">
        <v>5703</v>
      </c>
      <c r="D654" s="1487"/>
      <c r="E654" s="1488">
        <f>SUM(E655:E662)</f>
        <v>2004.55</v>
      </c>
      <c r="F654" s="1489"/>
      <c r="G654" s="1490"/>
    </row>
    <row r="655" spans="1:7">
      <c r="A655" s="792">
        <v>39934</v>
      </c>
      <c r="B655" s="793" t="s">
        <v>13321</v>
      </c>
      <c r="C655" s="794" t="s">
        <v>13370</v>
      </c>
      <c r="D655" s="795"/>
      <c r="E655" s="796">
        <v>199.67</v>
      </c>
      <c r="F655" s="797" t="s">
        <v>9</v>
      </c>
      <c r="G655" s="798">
        <f t="shared" ref="G655:G662" si="33">IF(F655="X",0,E655)</f>
        <v>0</v>
      </c>
    </row>
    <row r="656" spans="1:7">
      <c r="A656" s="792">
        <v>39934</v>
      </c>
      <c r="B656" s="793" t="s">
        <v>13348</v>
      </c>
      <c r="C656" s="794" t="s">
        <v>13371</v>
      </c>
      <c r="D656" s="795"/>
      <c r="E656" s="796">
        <v>173.1</v>
      </c>
      <c r="F656" s="797" t="s">
        <v>9</v>
      </c>
      <c r="G656" s="798">
        <f t="shared" si="33"/>
        <v>0</v>
      </c>
    </row>
    <row r="657" spans="1:7">
      <c r="A657" s="792">
        <v>39936</v>
      </c>
      <c r="B657" s="793" t="s">
        <v>13338</v>
      </c>
      <c r="C657" s="794" t="s">
        <v>13372</v>
      </c>
      <c r="D657" s="795"/>
      <c r="E657" s="796">
        <v>420.56</v>
      </c>
      <c r="F657" s="797" t="s">
        <v>9</v>
      </c>
      <c r="G657" s="798">
        <f t="shared" si="33"/>
        <v>0</v>
      </c>
    </row>
    <row r="658" spans="1:7">
      <c r="A658" s="792">
        <v>39938</v>
      </c>
      <c r="B658" s="793" t="s">
        <v>13342</v>
      </c>
      <c r="C658" s="794" t="s">
        <v>13373</v>
      </c>
      <c r="D658" s="795"/>
      <c r="E658" s="796">
        <v>424.75</v>
      </c>
      <c r="F658" s="797" t="s">
        <v>9</v>
      </c>
      <c r="G658" s="798">
        <f t="shared" si="33"/>
        <v>0</v>
      </c>
    </row>
    <row r="659" spans="1:7">
      <c r="A659" s="792">
        <v>39938</v>
      </c>
      <c r="B659" s="793" t="s">
        <v>13364</v>
      </c>
      <c r="C659" s="794" t="s">
        <v>13374</v>
      </c>
      <c r="D659" s="795"/>
      <c r="E659" s="796">
        <v>64.95</v>
      </c>
      <c r="F659" s="797" t="s">
        <v>9</v>
      </c>
      <c r="G659" s="798">
        <f t="shared" si="33"/>
        <v>0</v>
      </c>
    </row>
    <row r="660" spans="1:7">
      <c r="A660" s="792">
        <v>39938</v>
      </c>
      <c r="B660" s="793" t="s">
        <v>13366</v>
      </c>
      <c r="C660" s="794" t="s">
        <v>13375</v>
      </c>
      <c r="D660" s="795"/>
      <c r="E660" s="796">
        <v>118.95</v>
      </c>
      <c r="F660" s="797" t="s">
        <v>120</v>
      </c>
      <c r="G660" s="798">
        <f t="shared" si="33"/>
        <v>0</v>
      </c>
    </row>
    <row r="661" spans="1:7">
      <c r="A661" s="440">
        <v>39943</v>
      </c>
      <c r="B661" s="337" t="s">
        <v>13355</v>
      </c>
      <c r="C661" s="332" t="s">
        <v>13376</v>
      </c>
      <c r="D661" s="134"/>
      <c r="E661" s="135">
        <v>84.57</v>
      </c>
      <c r="F661" s="46" t="s">
        <v>9</v>
      </c>
      <c r="G661" s="49">
        <f t="shared" si="33"/>
        <v>0</v>
      </c>
    </row>
    <row r="662" spans="1:7">
      <c r="A662" s="440">
        <v>39948</v>
      </c>
      <c r="B662" s="337" t="s">
        <v>13290</v>
      </c>
      <c r="C662" s="332" t="s">
        <v>13377</v>
      </c>
      <c r="D662" s="134"/>
      <c r="E662" s="135">
        <v>518</v>
      </c>
      <c r="F662" s="359" t="s">
        <v>9</v>
      </c>
      <c r="G662" s="49">
        <f t="shared" si="33"/>
        <v>0</v>
      </c>
    </row>
    <row r="663" spans="1:7">
      <c r="A663" s="1491">
        <v>39965</v>
      </c>
      <c r="B663" s="1492"/>
      <c r="C663" s="1493" t="s">
        <v>5706</v>
      </c>
      <c r="D663" s="1494"/>
      <c r="E663" s="1495">
        <f>SUM(E664:E667)</f>
        <v>926.09999999999991</v>
      </c>
      <c r="F663" s="1496"/>
      <c r="G663" s="1497"/>
    </row>
    <row r="664" spans="1:7">
      <c r="A664" s="785">
        <v>39969</v>
      </c>
      <c r="B664" s="337" t="s">
        <v>13378</v>
      </c>
      <c r="C664" s="332" t="s">
        <v>13365</v>
      </c>
      <c r="D664" s="134"/>
      <c r="E664" s="135">
        <v>127.4</v>
      </c>
      <c r="F664" s="46" t="s">
        <v>9</v>
      </c>
      <c r="G664" s="778">
        <f>IF(F664="X",0,E664)</f>
        <v>0</v>
      </c>
    </row>
    <row r="665" spans="1:7">
      <c r="A665" s="785">
        <v>39969</v>
      </c>
      <c r="B665" s="337" t="s">
        <v>13378</v>
      </c>
      <c r="C665" s="332" t="s">
        <v>13379</v>
      </c>
      <c r="D665" s="134"/>
      <c r="E665" s="135">
        <v>196.13</v>
      </c>
      <c r="F665" s="46" t="s">
        <v>9</v>
      </c>
      <c r="G665" s="778">
        <f>IF(F665="X",0,E665)</f>
        <v>0</v>
      </c>
    </row>
    <row r="666" spans="1:7">
      <c r="A666" s="785">
        <v>39974</v>
      </c>
      <c r="B666" s="337" t="s">
        <v>13355</v>
      </c>
      <c r="C666" s="332" t="s">
        <v>13380</v>
      </c>
      <c r="D666" s="134"/>
      <c r="E666" s="135">
        <v>84.57</v>
      </c>
      <c r="F666" s="46" t="s">
        <v>9</v>
      </c>
      <c r="G666" s="778">
        <f>IF(F666="X",0,E666)</f>
        <v>0</v>
      </c>
    </row>
    <row r="667" spans="1:7">
      <c r="A667" s="939">
        <v>39979</v>
      </c>
      <c r="B667" s="940" t="s">
        <v>13290</v>
      </c>
      <c r="C667" s="941" t="s">
        <v>13381</v>
      </c>
      <c r="D667" s="942"/>
      <c r="E667" s="943">
        <v>518</v>
      </c>
      <c r="F667" s="944" t="s">
        <v>9</v>
      </c>
      <c r="G667" s="945">
        <f>IF(F667="X",0,E667)</f>
        <v>0</v>
      </c>
    </row>
    <row r="668" spans="1:7">
      <c r="A668" s="1484">
        <v>39995</v>
      </c>
      <c r="B668" s="1485"/>
      <c r="C668" s="1486" t="s">
        <v>5715</v>
      </c>
      <c r="D668" s="1487"/>
      <c r="E668" s="1488">
        <f>SUM(E669:E672)</f>
        <v>540.09999999999991</v>
      </c>
      <c r="F668" s="1489"/>
      <c r="G668" s="1490"/>
    </row>
    <row r="669" spans="1:7">
      <c r="A669" s="792">
        <v>39999</v>
      </c>
      <c r="B669" s="793" t="s">
        <v>13364</v>
      </c>
      <c r="C669" s="794" t="s">
        <v>13374</v>
      </c>
      <c r="D669" s="795"/>
      <c r="E669" s="796">
        <v>127.4</v>
      </c>
      <c r="F669" s="797" t="s">
        <v>9</v>
      </c>
      <c r="G669" s="798">
        <f>IF(F669="X",0,E669)</f>
        <v>0</v>
      </c>
    </row>
    <row r="670" spans="1:7">
      <c r="A670" s="792">
        <v>39999</v>
      </c>
      <c r="B670" s="793" t="s">
        <v>13378</v>
      </c>
      <c r="C670" s="794" t="s">
        <v>13379</v>
      </c>
      <c r="D670" s="795"/>
      <c r="E670" s="796">
        <v>196.13</v>
      </c>
      <c r="F670" s="797" t="s">
        <v>9</v>
      </c>
      <c r="G670" s="798">
        <f>IF(F670="X",0,E670)</f>
        <v>0</v>
      </c>
    </row>
    <row r="671" spans="1:7">
      <c r="A671" s="785">
        <v>39999</v>
      </c>
      <c r="B671" s="337" t="s">
        <v>13382</v>
      </c>
      <c r="C671" s="332" t="s">
        <v>13383</v>
      </c>
      <c r="D671" s="134"/>
      <c r="E671" s="135">
        <v>132</v>
      </c>
      <c r="F671" s="46" t="s">
        <v>9</v>
      </c>
      <c r="G671" s="778">
        <f>IF(F671="X",0,E671)</f>
        <v>0</v>
      </c>
    </row>
    <row r="672" spans="1:7">
      <c r="A672" s="786">
        <v>39974</v>
      </c>
      <c r="B672" s="787" t="s">
        <v>13355</v>
      </c>
      <c r="C672" s="788" t="s">
        <v>13384</v>
      </c>
      <c r="D672" s="789"/>
      <c r="E672" s="790">
        <v>84.57</v>
      </c>
      <c r="F672" s="791" t="s">
        <v>9</v>
      </c>
      <c r="G672" s="1083">
        <f>IF(F672="X",0,E672)</f>
        <v>0</v>
      </c>
    </row>
    <row r="673" spans="1:7">
      <c r="A673" s="1484">
        <v>40026</v>
      </c>
      <c r="B673" s="1485"/>
      <c r="C673" s="1486" t="s">
        <v>3850</v>
      </c>
      <c r="D673" s="1487"/>
      <c r="E673" s="1488">
        <f>SUM(E674:E677)</f>
        <v>1169.1500000000001</v>
      </c>
      <c r="F673" s="1489"/>
      <c r="G673" s="1490"/>
    </row>
    <row r="674" spans="1:7">
      <c r="A674" s="792">
        <v>40030</v>
      </c>
      <c r="B674" s="793" t="s">
        <v>13382</v>
      </c>
      <c r="C674" s="794" t="s">
        <v>13385</v>
      </c>
      <c r="D674" s="795"/>
      <c r="E674" s="796">
        <v>132</v>
      </c>
      <c r="F674" s="797" t="s">
        <v>9</v>
      </c>
      <c r="G674" s="798">
        <f>IF(F674="X",0,E674)</f>
        <v>0</v>
      </c>
    </row>
    <row r="675" spans="1:7">
      <c r="A675" s="440">
        <v>40030</v>
      </c>
      <c r="B675" s="337" t="s">
        <v>13382</v>
      </c>
      <c r="C675" s="332" t="s">
        <v>13386</v>
      </c>
      <c r="D675" s="134"/>
      <c r="E675" s="135">
        <v>251.89</v>
      </c>
      <c r="F675" s="46" t="s">
        <v>9</v>
      </c>
      <c r="G675" s="140">
        <f>IF(F675="X",0,E675)</f>
        <v>0</v>
      </c>
    </row>
    <row r="676" spans="1:7">
      <c r="A676" s="440">
        <v>40035</v>
      </c>
      <c r="B676" s="337" t="s">
        <v>13355</v>
      </c>
      <c r="C676" s="332" t="s">
        <v>13387</v>
      </c>
      <c r="D676" s="134"/>
      <c r="E676" s="135">
        <v>84.57</v>
      </c>
      <c r="F676" s="46" t="s">
        <v>9</v>
      </c>
      <c r="G676" s="140">
        <f>IF(F676="X",0,E676)</f>
        <v>0</v>
      </c>
    </row>
    <row r="677" spans="1:7">
      <c r="A677" s="440">
        <v>40039</v>
      </c>
      <c r="B677" s="337" t="s">
        <v>13388</v>
      </c>
      <c r="C677" s="332" t="s">
        <v>13389</v>
      </c>
      <c r="D677" s="134"/>
      <c r="E677" s="135">
        <v>700.69</v>
      </c>
      <c r="F677" s="46" t="s">
        <v>9</v>
      </c>
      <c r="G677" s="140">
        <f>IF(F677="X",0,E677)</f>
        <v>0</v>
      </c>
    </row>
    <row r="678" spans="1:7">
      <c r="A678" s="1491">
        <v>40057</v>
      </c>
      <c r="B678" s="1492"/>
      <c r="C678" s="1493" t="s">
        <v>3877</v>
      </c>
      <c r="D678" s="1494"/>
      <c r="E678" s="1495">
        <f>SUM(E679:E684)</f>
        <v>2109.4549999999999</v>
      </c>
      <c r="F678" s="1496"/>
      <c r="G678" s="1497"/>
    </row>
    <row r="679" spans="1:7">
      <c r="A679" s="785">
        <v>40057</v>
      </c>
      <c r="B679" s="337" t="s">
        <v>13390</v>
      </c>
      <c r="C679" s="332" t="s">
        <v>13391</v>
      </c>
      <c r="D679" s="134"/>
      <c r="E679" s="135">
        <v>362.67</v>
      </c>
      <c r="F679" s="46" t="s">
        <v>9</v>
      </c>
      <c r="G679" s="778">
        <f t="shared" ref="G679:G684" si="34">IF(F679="X",0,E679)</f>
        <v>0</v>
      </c>
    </row>
    <row r="680" spans="1:7">
      <c r="A680" s="785">
        <v>40057</v>
      </c>
      <c r="B680" s="337" t="s">
        <v>13392</v>
      </c>
      <c r="C680" s="332" t="s">
        <v>13393</v>
      </c>
      <c r="D680" s="134"/>
      <c r="E680" s="135">
        <v>599.98500000000001</v>
      </c>
      <c r="F680" s="46" t="s">
        <v>9</v>
      </c>
      <c r="G680" s="778">
        <f t="shared" si="34"/>
        <v>0</v>
      </c>
    </row>
    <row r="681" spans="1:7">
      <c r="A681" s="785">
        <v>40059</v>
      </c>
      <c r="B681" s="337" t="s">
        <v>13394</v>
      </c>
      <c r="C681" s="332" t="s">
        <v>13395</v>
      </c>
      <c r="D681" s="134"/>
      <c r="E681" s="135">
        <v>109.65</v>
      </c>
      <c r="F681" s="46" t="s">
        <v>9</v>
      </c>
      <c r="G681" s="778">
        <f t="shared" si="34"/>
        <v>0</v>
      </c>
    </row>
    <row r="682" spans="1:7">
      <c r="A682" s="792">
        <v>40061</v>
      </c>
      <c r="B682" s="793" t="s">
        <v>13382</v>
      </c>
      <c r="C682" s="794" t="s">
        <v>13396</v>
      </c>
      <c r="D682" s="795"/>
      <c r="E682" s="796">
        <v>251.89</v>
      </c>
      <c r="F682" s="797" t="s">
        <v>9</v>
      </c>
      <c r="G682" s="798">
        <f t="shared" si="34"/>
        <v>0</v>
      </c>
    </row>
    <row r="683" spans="1:7">
      <c r="A683" s="785">
        <v>40066</v>
      </c>
      <c r="B683" s="337" t="s">
        <v>13355</v>
      </c>
      <c r="C683" s="332" t="s">
        <v>13397</v>
      </c>
      <c r="D683" s="134"/>
      <c r="E683" s="135">
        <v>84.57</v>
      </c>
      <c r="F683" s="46" t="s">
        <v>9</v>
      </c>
      <c r="G683" s="749">
        <f t="shared" si="34"/>
        <v>0</v>
      </c>
    </row>
    <row r="684" spans="1:7">
      <c r="A684" s="786">
        <v>40070</v>
      </c>
      <c r="B684" s="787" t="s">
        <v>13388</v>
      </c>
      <c r="C684" s="788" t="s">
        <v>13398</v>
      </c>
      <c r="D684" s="789"/>
      <c r="E684" s="790">
        <v>700.69</v>
      </c>
      <c r="F684" s="791" t="s">
        <v>9</v>
      </c>
      <c r="G684" s="750">
        <f t="shared" si="34"/>
        <v>0</v>
      </c>
    </row>
    <row r="685" spans="1:7">
      <c r="A685" s="1484">
        <v>40087</v>
      </c>
      <c r="B685" s="1485"/>
      <c r="C685" s="1486" t="s">
        <v>3896</v>
      </c>
      <c r="D685" s="1487"/>
      <c r="E685" s="1488">
        <f>SUM(E686:E690)</f>
        <v>1857.5550000000001</v>
      </c>
      <c r="F685" s="1489"/>
      <c r="G685" s="1490"/>
    </row>
    <row r="686" spans="1:7">
      <c r="A686" s="440">
        <v>40087</v>
      </c>
      <c r="B686" s="337" t="s">
        <v>13390</v>
      </c>
      <c r="C686" s="332" t="s">
        <v>13399</v>
      </c>
      <c r="D686" s="134"/>
      <c r="E686" s="135">
        <v>362.66</v>
      </c>
      <c r="F686" s="46" t="s">
        <v>9</v>
      </c>
      <c r="G686" s="140">
        <f>IF(F686="X",0,E686)</f>
        <v>0</v>
      </c>
    </row>
    <row r="687" spans="1:7">
      <c r="A687" s="440">
        <v>40087</v>
      </c>
      <c r="B687" s="337" t="s">
        <v>13392</v>
      </c>
      <c r="C687" s="332" t="s">
        <v>13400</v>
      </c>
      <c r="D687" s="134"/>
      <c r="E687" s="135">
        <v>599.98500000000001</v>
      </c>
      <c r="F687" s="46" t="s">
        <v>9</v>
      </c>
      <c r="G687" s="140">
        <f>IF(F687="X",0,E687)</f>
        <v>0</v>
      </c>
    </row>
    <row r="688" spans="1:7">
      <c r="A688" s="440">
        <v>40089</v>
      </c>
      <c r="B688" s="337" t="s">
        <v>13394</v>
      </c>
      <c r="C688" s="332" t="s">
        <v>13401</v>
      </c>
      <c r="D688" s="134"/>
      <c r="E688" s="135">
        <v>109.65</v>
      </c>
      <c r="F688" s="46" t="s">
        <v>9</v>
      </c>
      <c r="G688" s="140">
        <f>IF(F688="X",0,E688)</f>
        <v>0</v>
      </c>
    </row>
    <row r="689" spans="1:7">
      <c r="A689" s="440">
        <v>40096</v>
      </c>
      <c r="B689" s="337" t="s">
        <v>13355</v>
      </c>
      <c r="C689" s="332" t="s">
        <v>13402</v>
      </c>
      <c r="D689" s="134"/>
      <c r="E689" s="135">
        <v>84.57</v>
      </c>
      <c r="F689" s="46" t="s">
        <v>9</v>
      </c>
      <c r="G689" s="140">
        <f>IF(F689="X",0,E689)</f>
        <v>0</v>
      </c>
    </row>
    <row r="690" spans="1:7">
      <c r="A690" s="440">
        <v>40100</v>
      </c>
      <c r="B690" s="337" t="s">
        <v>13388</v>
      </c>
      <c r="C690" s="332" t="s">
        <v>13403</v>
      </c>
      <c r="D690" s="134"/>
      <c r="E690" s="135">
        <v>700.69</v>
      </c>
      <c r="F690" s="46" t="s">
        <v>9</v>
      </c>
      <c r="G690" s="140">
        <f>IF(F690="X",0,E690)</f>
        <v>0</v>
      </c>
    </row>
    <row r="691" spans="1:7">
      <c r="A691" s="1491">
        <v>40118</v>
      </c>
      <c r="B691" s="1492"/>
      <c r="C691" s="1493" t="s">
        <v>5768</v>
      </c>
      <c r="D691" s="1494"/>
      <c r="E691" s="1495">
        <f>SUM(E692:E697)</f>
        <v>2479.3050000000003</v>
      </c>
      <c r="F691" s="1496"/>
      <c r="G691" s="1497"/>
    </row>
    <row r="692" spans="1:7">
      <c r="A692" s="792">
        <v>40118</v>
      </c>
      <c r="B692" s="793" t="s">
        <v>13390</v>
      </c>
      <c r="C692" s="794" t="s">
        <v>13404</v>
      </c>
      <c r="D692" s="795"/>
      <c r="E692" s="796">
        <v>362.66</v>
      </c>
      <c r="F692" s="797" t="s">
        <v>9</v>
      </c>
      <c r="G692" s="798">
        <f t="shared" ref="G692:G697" si="35">IF(F692="X",0,E692)</f>
        <v>0</v>
      </c>
    </row>
    <row r="693" spans="1:7">
      <c r="A693" s="785">
        <v>40118</v>
      </c>
      <c r="B693" s="337" t="s">
        <v>13405</v>
      </c>
      <c r="C693" s="332" t="s">
        <v>13406</v>
      </c>
      <c r="D693" s="134"/>
      <c r="E693" s="135">
        <v>621.75</v>
      </c>
      <c r="F693" s="46" t="s">
        <v>9</v>
      </c>
      <c r="G693" s="749">
        <f t="shared" si="35"/>
        <v>0</v>
      </c>
    </row>
    <row r="694" spans="1:7">
      <c r="A694" s="785">
        <v>40120</v>
      </c>
      <c r="B694" s="337" t="s">
        <v>13394</v>
      </c>
      <c r="C694" s="332" t="s">
        <v>13407</v>
      </c>
      <c r="D694" s="134"/>
      <c r="E694" s="135">
        <v>109.65</v>
      </c>
      <c r="F694" s="46" t="s">
        <v>9</v>
      </c>
      <c r="G694" s="749">
        <f t="shared" si="35"/>
        <v>0</v>
      </c>
    </row>
    <row r="695" spans="1:7">
      <c r="A695" s="785">
        <v>40118</v>
      </c>
      <c r="B695" s="337" t="s">
        <v>13392</v>
      </c>
      <c r="C695" s="332" t="s">
        <v>13408</v>
      </c>
      <c r="D695" s="134"/>
      <c r="E695" s="135">
        <v>599.98500000000001</v>
      </c>
      <c r="F695" s="46" t="s">
        <v>9</v>
      </c>
      <c r="G695" s="749">
        <f t="shared" si="35"/>
        <v>0</v>
      </c>
    </row>
    <row r="696" spans="1:7">
      <c r="A696" s="785">
        <v>40127</v>
      </c>
      <c r="B696" s="337" t="s">
        <v>13355</v>
      </c>
      <c r="C696" s="332" t="s">
        <v>13409</v>
      </c>
      <c r="D696" s="134"/>
      <c r="E696" s="135">
        <v>84.57</v>
      </c>
      <c r="F696" s="46" t="s">
        <v>9</v>
      </c>
      <c r="G696" s="749">
        <f t="shared" si="35"/>
        <v>0</v>
      </c>
    </row>
    <row r="697" spans="1:7">
      <c r="A697" s="786">
        <v>40131</v>
      </c>
      <c r="B697" s="787" t="s">
        <v>13388</v>
      </c>
      <c r="C697" s="788" t="s">
        <v>13410</v>
      </c>
      <c r="D697" s="789"/>
      <c r="E697" s="790">
        <v>700.69</v>
      </c>
      <c r="F697" s="791" t="s">
        <v>9</v>
      </c>
      <c r="G697" s="750">
        <f t="shared" si="35"/>
        <v>0</v>
      </c>
    </row>
    <row r="698" spans="1:7">
      <c r="A698" s="1484">
        <v>40148</v>
      </c>
      <c r="B698" s="1485"/>
      <c r="C698" s="1486" t="s">
        <v>5771</v>
      </c>
      <c r="D698" s="1487"/>
      <c r="E698" s="1488">
        <f>SUM(E699:E703)</f>
        <v>2116.6350000000002</v>
      </c>
      <c r="F698" s="1489"/>
      <c r="G698" s="1490"/>
    </row>
    <row r="699" spans="1:7">
      <c r="A699" s="440">
        <v>40148</v>
      </c>
      <c r="B699" s="337" t="s">
        <v>13392</v>
      </c>
      <c r="C699" s="332" t="s">
        <v>13411</v>
      </c>
      <c r="D699" s="134"/>
      <c r="E699" s="135">
        <v>599.98500000000001</v>
      </c>
      <c r="F699" s="46" t="s">
        <v>9</v>
      </c>
      <c r="G699" s="140">
        <f>IF(F699="X",0,E699)</f>
        <v>0</v>
      </c>
    </row>
    <row r="700" spans="1:7">
      <c r="A700" s="440">
        <v>40148</v>
      </c>
      <c r="B700" s="337" t="s">
        <v>13405</v>
      </c>
      <c r="C700" s="332" t="s">
        <v>13412</v>
      </c>
      <c r="D700" s="134"/>
      <c r="E700" s="135">
        <v>621.74</v>
      </c>
      <c r="F700" s="46" t="s">
        <v>9</v>
      </c>
      <c r="G700" s="140">
        <f>IF(F700="X",0,E700)</f>
        <v>0</v>
      </c>
    </row>
    <row r="701" spans="1:7">
      <c r="A701" s="792">
        <v>40150</v>
      </c>
      <c r="B701" s="793" t="s">
        <v>13394</v>
      </c>
      <c r="C701" s="794" t="s">
        <v>13413</v>
      </c>
      <c r="D701" s="795"/>
      <c r="E701" s="796">
        <v>109.65</v>
      </c>
      <c r="F701" s="797" t="s">
        <v>9</v>
      </c>
      <c r="G701" s="798">
        <f>IF(F701="X",0,E701)</f>
        <v>0</v>
      </c>
    </row>
    <row r="702" spans="1:7">
      <c r="A702" s="805">
        <v>40157</v>
      </c>
      <c r="B702" s="793" t="s">
        <v>13355</v>
      </c>
      <c r="C702" s="794" t="s">
        <v>13414</v>
      </c>
      <c r="D702" s="795"/>
      <c r="E702" s="796">
        <v>84.57</v>
      </c>
      <c r="F702" s="797" t="s">
        <v>9</v>
      </c>
      <c r="G702" s="798">
        <f>IF(F702="X",0,E702)</f>
        <v>0</v>
      </c>
    </row>
    <row r="703" spans="1:7">
      <c r="A703" s="440">
        <v>40161</v>
      </c>
      <c r="B703" s="337" t="s">
        <v>13388</v>
      </c>
      <c r="C703" s="332" t="s">
        <v>13415</v>
      </c>
      <c r="D703" s="134"/>
      <c r="E703" s="135">
        <v>700.69</v>
      </c>
      <c r="F703" s="46" t="s">
        <v>9</v>
      </c>
      <c r="G703" s="140">
        <f>IF(F703="X",0,E703)</f>
        <v>0</v>
      </c>
    </row>
    <row r="704" spans="1:7">
      <c r="A704" s="1491">
        <v>40179</v>
      </c>
      <c r="B704" s="1492"/>
      <c r="C704" s="1493" t="s">
        <v>5777</v>
      </c>
      <c r="D704" s="1494"/>
      <c r="E704" s="1495">
        <f>SUM(E705:E707)</f>
        <v>1922.415</v>
      </c>
      <c r="F704" s="1496"/>
      <c r="G704" s="1497"/>
    </row>
    <row r="705" spans="1:7">
      <c r="A705" s="785">
        <v>40179</v>
      </c>
      <c r="B705" s="337" t="s">
        <v>13392</v>
      </c>
      <c r="C705" s="332" t="s">
        <v>13416</v>
      </c>
      <c r="D705" s="134"/>
      <c r="E705" s="135">
        <v>599.98500000000001</v>
      </c>
      <c r="F705" s="46" t="s">
        <v>9</v>
      </c>
      <c r="G705" s="749">
        <f>IF(F705="X",0,E705)</f>
        <v>0</v>
      </c>
    </row>
    <row r="706" spans="1:7">
      <c r="A706" s="785">
        <v>40179</v>
      </c>
      <c r="B706" s="337" t="s">
        <v>13405</v>
      </c>
      <c r="C706" s="332" t="s">
        <v>13417</v>
      </c>
      <c r="D706" s="134"/>
      <c r="E706" s="135">
        <v>621.74</v>
      </c>
      <c r="F706" s="46" t="s">
        <v>9</v>
      </c>
      <c r="G706" s="749">
        <f>IF(F706="X",0,E706)</f>
        <v>0</v>
      </c>
    </row>
    <row r="707" spans="1:7">
      <c r="A707" s="786">
        <v>40192</v>
      </c>
      <c r="B707" s="787" t="s">
        <v>13388</v>
      </c>
      <c r="C707" s="788" t="s">
        <v>13418</v>
      </c>
      <c r="D707" s="789"/>
      <c r="E707" s="790">
        <v>700.69</v>
      </c>
      <c r="F707" s="791" t="s">
        <v>9</v>
      </c>
      <c r="G707" s="750">
        <f>IF(F707="X",0,E707)</f>
        <v>0</v>
      </c>
    </row>
    <row r="708" spans="1:7">
      <c r="A708" s="1491">
        <v>40210</v>
      </c>
      <c r="B708" s="1492"/>
      <c r="C708" s="1493" t="s">
        <v>5778</v>
      </c>
      <c r="D708" s="1494"/>
      <c r="E708" s="1495">
        <f>SUM(E709:E713)</f>
        <v>2922.1150000000002</v>
      </c>
      <c r="F708" s="1496"/>
      <c r="G708" s="1497"/>
    </row>
    <row r="709" spans="1:7">
      <c r="A709" s="792">
        <v>40210</v>
      </c>
      <c r="B709" s="793" t="s">
        <v>13392</v>
      </c>
      <c r="C709" s="794" t="s">
        <v>13419</v>
      </c>
      <c r="D709" s="795"/>
      <c r="E709" s="796">
        <v>599.98500000000001</v>
      </c>
      <c r="F709" s="797" t="s">
        <v>9</v>
      </c>
      <c r="G709" s="798">
        <f>IF(F709="X",0,E709)</f>
        <v>0</v>
      </c>
    </row>
    <row r="710" spans="1:7">
      <c r="A710" s="785">
        <v>40210</v>
      </c>
      <c r="B710" s="337" t="s">
        <v>13405</v>
      </c>
      <c r="C710" s="332" t="s">
        <v>13420</v>
      </c>
      <c r="D710" s="134"/>
      <c r="E710" s="135">
        <v>621.74</v>
      </c>
      <c r="F710" s="46" t="s">
        <v>9</v>
      </c>
      <c r="G710" s="749">
        <f>IF(F710="X",0,E710)</f>
        <v>0</v>
      </c>
    </row>
    <row r="711" spans="1:7">
      <c r="A711" s="792">
        <v>40949</v>
      </c>
      <c r="B711" s="793" t="s">
        <v>13421</v>
      </c>
      <c r="C711" s="794" t="s">
        <v>13422</v>
      </c>
      <c r="D711" s="795"/>
      <c r="E711" s="796">
        <v>749.2</v>
      </c>
      <c r="F711" s="797" t="s">
        <v>9</v>
      </c>
      <c r="G711" s="798">
        <f>IF(F711="X",0,E711)</f>
        <v>0</v>
      </c>
    </row>
    <row r="712" spans="1:7">
      <c r="A712" s="785">
        <v>40214</v>
      </c>
      <c r="B712" s="337" t="s">
        <v>13423</v>
      </c>
      <c r="C712" s="332" t="s">
        <v>13424</v>
      </c>
      <c r="D712" s="134"/>
      <c r="E712" s="135">
        <v>250.5</v>
      </c>
      <c r="F712" s="46" t="s">
        <v>9</v>
      </c>
      <c r="G712" s="749">
        <f>IF(F712="X",0,E712)</f>
        <v>0</v>
      </c>
    </row>
    <row r="713" spans="1:7">
      <c r="A713" s="786">
        <v>40223</v>
      </c>
      <c r="B713" s="787" t="s">
        <v>13388</v>
      </c>
      <c r="C713" s="788" t="s">
        <v>13425</v>
      </c>
      <c r="D713" s="789"/>
      <c r="E713" s="790">
        <v>700.69</v>
      </c>
      <c r="F713" s="791" t="s">
        <v>9</v>
      </c>
      <c r="G713" s="750">
        <f>IF(F713="X",0,E713)</f>
        <v>0</v>
      </c>
    </row>
    <row r="714" spans="1:7">
      <c r="A714" s="1484">
        <v>40238</v>
      </c>
      <c r="B714" s="1485"/>
      <c r="C714" s="1486" t="s">
        <v>5780</v>
      </c>
      <c r="D714" s="1487"/>
      <c r="E714" s="1488">
        <f>SUM(E715:E717)</f>
        <v>1572.93</v>
      </c>
      <c r="F714" s="1489"/>
      <c r="G714" s="1490"/>
    </row>
    <row r="715" spans="1:7">
      <c r="A715" s="440">
        <v>40238</v>
      </c>
      <c r="B715" s="337" t="s">
        <v>13405</v>
      </c>
      <c r="C715" s="332" t="s">
        <v>13426</v>
      </c>
      <c r="D715" s="134"/>
      <c r="E715" s="135">
        <v>621.74</v>
      </c>
      <c r="F715" s="46" t="s">
        <v>9</v>
      </c>
      <c r="G715" s="140">
        <f>IF(F715="X",0,E715)</f>
        <v>0</v>
      </c>
    </row>
    <row r="716" spans="1:7">
      <c r="A716" s="792">
        <v>40242</v>
      </c>
      <c r="B716" s="793" t="s">
        <v>13423</v>
      </c>
      <c r="C716" s="794" t="s">
        <v>13427</v>
      </c>
      <c r="D716" s="795"/>
      <c r="E716" s="796">
        <v>250.5</v>
      </c>
      <c r="F716" s="797" t="s">
        <v>9</v>
      </c>
      <c r="G716" s="798">
        <f>IF(F716="X",0,E716)</f>
        <v>0</v>
      </c>
    </row>
    <row r="717" spans="1:7">
      <c r="A717" s="440">
        <v>40251</v>
      </c>
      <c r="B717" s="337" t="s">
        <v>13388</v>
      </c>
      <c r="C717" s="332" t="s">
        <v>13428</v>
      </c>
      <c r="D717" s="134"/>
      <c r="E717" s="135">
        <v>700.69</v>
      </c>
      <c r="F717" s="46" t="s">
        <v>9</v>
      </c>
      <c r="G717" s="140">
        <f>IF(F717="X",0,E717)</f>
        <v>0</v>
      </c>
    </row>
    <row r="718" spans="1:7">
      <c r="A718" s="1491">
        <v>40269</v>
      </c>
      <c r="B718" s="1492"/>
      <c r="C718" s="1493">
        <f>A718</f>
        <v>40269</v>
      </c>
      <c r="D718" s="1494"/>
      <c r="E718" s="1495">
        <f>SUM(E719:E720)</f>
        <v>1322.43</v>
      </c>
      <c r="F718" s="1496"/>
      <c r="G718" s="1497"/>
    </row>
    <row r="719" spans="1:7">
      <c r="A719" s="792">
        <v>40269</v>
      </c>
      <c r="B719" s="793" t="s">
        <v>13405</v>
      </c>
      <c r="C719" s="794" t="s">
        <v>13429</v>
      </c>
      <c r="D719" s="795"/>
      <c r="E719" s="796">
        <v>621.74</v>
      </c>
      <c r="F719" s="797" t="s">
        <v>9</v>
      </c>
      <c r="G719" s="798">
        <f>IF(F719="X",0,E719)</f>
        <v>0</v>
      </c>
    </row>
    <row r="720" spans="1:7">
      <c r="A720" s="786">
        <v>40282</v>
      </c>
      <c r="B720" s="787" t="s">
        <v>13388</v>
      </c>
      <c r="C720" s="788" t="s">
        <v>13430</v>
      </c>
      <c r="D720" s="789"/>
      <c r="E720" s="790">
        <v>700.69</v>
      </c>
      <c r="F720" s="791" t="s">
        <v>9</v>
      </c>
      <c r="G720" s="750">
        <f>IF(F720="X",0,E720)</f>
        <v>0</v>
      </c>
    </row>
    <row r="721" spans="1:7">
      <c r="A721" s="1491">
        <v>40299</v>
      </c>
      <c r="B721" s="1492"/>
      <c r="C721" s="1493" t="s">
        <v>13431</v>
      </c>
      <c r="D721" s="1494"/>
      <c r="E721" s="1495">
        <f>SUM(E722:E723)</f>
        <v>954.96</v>
      </c>
      <c r="F721" s="1496"/>
      <c r="G721" s="1497"/>
    </row>
    <row r="722" spans="1:7">
      <c r="A722" s="785">
        <v>40312</v>
      </c>
      <c r="B722" s="337" t="s">
        <v>13388</v>
      </c>
      <c r="C722" s="332" t="s">
        <v>13432</v>
      </c>
      <c r="D722" s="134"/>
      <c r="E722" s="135">
        <v>700.69</v>
      </c>
      <c r="F722" s="46" t="s">
        <v>9</v>
      </c>
      <c r="G722" s="749">
        <f>IF(F722="X",0,E722)</f>
        <v>0</v>
      </c>
    </row>
    <row r="723" spans="1:7">
      <c r="A723" s="786">
        <v>40329</v>
      </c>
      <c r="B723" s="787" t="s">
        <v>13433</v>
      </c>
      <c r="C723" s="788" t="s">
        <v>13434</v>
      </c>
      <c r="D723" s="789"/>
      <c r="E723" s="1349">
        <v>254.27</v>
      </c>
      <c r="F723" s="791" t="s">
        <v>9</v>
      </c>
      <c r="G723" s="750">
        <f>IF(F723="X",0,E723)</f>
        <v>0</v>
      </c>
    </row>
    <row r="724" spans="1:7">
      <c r="A724" s="1484">
        <v>40330</v>
      </c>
      <c r="B724" s="1485"/>
      <c r="C724" s="1486" t="s">
        <v>13435</v>
      </c>
      <c r="D724" s="1487"/>
      <c r="E724" s="1488">
        <f>SUM(E725:E728)</f>
        <v>1440.0000000000002</v>
      </c>
      <c r="F724" s="1489"/>
      <c r="G724" s="1490"/>
    </row>
    <row r="725" spans="1:7">
      <c r="A725" s="785">
        <v>40330</v>
      </c>
      <c r="B725" s="337" t="s">
        <v>13436</v>
      </c>
      <c r="C725" s="332" t="s">
        <v>13437</v>
      </c>
      <c r="D725" s="333"/>
      <c r="E725" s="135">
        <v>333.2</v>
      </c>
      <c r="F725" s="46" t="s">
        <v>9</v>
      </c>
      <c r="G725" s="749">
        <f>IF(F725="X",0,E725)</f>
        <v>0</v>
      </c>
    </row>
    <row r="726" spans="1:7">
      <c r="A726" s="785">
        <v>40334</v>
      </c>
      <c r="B726" s="337" t="s">
        <v>13438</v>
      </c>
      <c r="C726" s="332" t="s">
        <v>13439</v>
      </c>
      <c r="D726" s="134"/>
      <c r="E726" s="135">
        <v>149.94999999999999</v>
      </c>
      <c r="F726" s="46" t="s">
        <v>9</v>
      </c>
      <c r="G726" s="749">
        <f>IF(F726="X",0,E726)</f>
        <v>0</v>
      </c>
    </row>
    <row r="727" spans="1:7">
      <c r="A727" s="785">
        <v>40343</v>
      </c>
      <c r="B727" s="337" t="s">
        <v>13388</v>
      </c>
      <c r="C727" s="332" t="s">
        <v>13440</v>
      </c>
      <c r="D727" s="134"/>
      <c r="E727" s="135">
        <v>700.69</v>
      </c>
      <c r="F727" s="46" t="s">
        <v>9</v>
      </c>
      <c r="G727" s="749">
        <f>IF(F727="X",0,E727)</f>
        <v>0</v>
      </c>
    </row>
    <row r="728" spans="1:7">
      <c r="A728" s="786">
        <v>40359</v>
      </c>
      <c r="B728" s="787" t="s">
        <v>13433</v>
      </c>
      <c r="C728" s="788" t="s">
        <v>13441</v>
      </c>
      <c r="D728" s="789"/>
      <c r="E728" s="1349">
        <v>256.16000000000003</v>
      </c>
      <c r="F728" s="791" t="s">
        <v>9</v>
      </c>
      <c r="G728" s="750">
        <f>IF(F728="X",0,E728)</f>
        <v>0</v>
      </c>
    </row>
    <row r="729" spans="1:7">
      <c r="A729" s="1484">
        <v>40360</v>
      </c>
      <c r="B729" s="1485"/>
      <c r="C729" s="1486" t="s">
        <v>13442</v>
      </c>
      <c r="D729" s="1487"/>
      <c r="E729" s="1488">
        <f>SUM(E730:E733)</f>
        <v>1441.9500000000003</v>
      </c>
      <c r="F729" s="1489"/>
      <c r="G729" s="1490"/>
    </row>
    <row r="730" spans="1:7">
      <c r="A730" s="440">
        <v>40360</v>
      </c>
      <c r="B730" s="337" t="s">
        <v>13436</v>
      </c>
      <c r="C730" s="332" t="s">
        <v>13443</v>
      </c>
      <c r="D730" s="333"/>
      <c r="E730" s="135">
        <v>333.16</v>
      </c>
      <c r="F730" s="46" t="s">
        <v>9</v>
      </c>
      <c r="G730" s="140">
        <f>IF(F730="X",0,E730)</f>
        <v>0</v>
      </c>
    </row>
    <row r="731" spans="1:7">
      <c r="A731" s="792">
        <v>40364</v>
      </c>
      <c r="B731" s="793" t="s">
        <v>13438</v>
      </c>
      <c r="C731" s="794" t="s">
        <v>13444</v>
      </c>
      <c r="D731" s="795"/>
      <c r="E731" s="796">
        <v>149.94999999999999</v>
      </c>
      <c r="F731" s="797" t="s">
        <v>9</v>
      </c>
      <c r="G731" s="798">
        <f>IF(F731="X",0,E731)</f>
        <v>0</v>
      </c>
    </row>
    <row r="732" spans="1:7">
      <c r="A732" s="440">
        <v>40373</v>
      </c>
      <c r="B732" s="337" t="s">
        <v>13388</v>
      </c>
      <c r="C732" s="332" t="s">
        <v>13445</v>
      </c>
      <c r="D732" s="134"/>
      <c r="E732" s="135">
        <v>700.69</v>
      </c>
      <c r="F732" s="46" t="s">
        <v>9</v>
      </c>
      <c r="G732" s="140">
        <f>IF(F732="X",0,E732)</f>
        <v>0</v>
      </c>
    </row>
    <row r="733" spans="1:7">
      <c r="A733" s="440">
        <v>40390</v>
      </c>
      <c r="B733" s="337" t="s">
        <v>13433</v>
      </c>
      <c r="C733" s="332" t="s">
        <v>13446</v>
      </c>
      <c r="D733" s="134"/>
      <c r="E733" s="151">
        <v>258.14999999999998</v>
      </c>
      <c r="F733" s="46" t="s">
        <v>9</v>
      </c>
      <c r="G733" s="140">
        <f>IF(F733="X",0,E733)</f>
        <v>0</v>
      </c>
    </row>
    <row r="734" spans="1:7">
      <c r="A734" s="1491">
        <v>40391</v>
      </c>
      <c r="B734" s="1492"/>
      <c r="C734" s="1493" t="s">
        <v>13447</v>
      </c>
      <c r="D734" s="1494"/>
      <c r="E734" s="1495">
        <f>SUM(E735:E738)</f>
        <v>1494.66</v>
      </c>
      <c r="F734" s="1496"/>
      <c r="G734" s="1497"/>
    </row>
    <row r="735" spans="1:7">
      <c r="A735" s="785">
        <v>40391</v>
      </c>
      <c r="B735" s="337" t="s">
        <v>13436</v>
      </c>
      <c r="C735" s="332" t="s">
        <v>13448</v>
      </c>
      <c r="D735" s="333"/>
      <c r="E735" s="135">
        <v>333.16</v>
      </c>
      <c r="F735" s="46" t="s">
        <v>9</v>
      </c>
      <c r="G735" s="749">
        <f>IF(F735="X",0,E735)</f>
        <v>0</v>
      </c>
    </row>
    <row r="736" spans="1:7">
      <c r="A736" s="785">
        <v>40391</v>
      </c>
      <c r="B736" s="337" t="s">
        <v>13449</v>
      </c>
      <c r="C736" s="332" t="s">
        <v>13450</v>
      </c>
      <c r="D736" s="333"/>
      <c r="E736" s="135">
        <v>200.5</v>
      </c>
      <c r="F736" s="46" t="s">
        <v>9</v>
      </c>
      <c r="G736" s="749">
        <f>IF(F736="X",0,E736)</f>
        <v>0</v>
      </c>
    </row>
    <row r="737" spans="1:7">
      <c r="A737" s="785">
        <v>40404</v>
      </c>
      <c r="B737" s="337" t="s">
        <v>13388</v>
      </c>
      <c r="C737" s="332" t="s">
        <v>13451</v>
      </c>
      <c r="D737" s="134"/>
      <c r="E737" s="135">
        <v>700.69</v>
      </c>
      <c r="F737" s="46" t="s">
        <v>9</v>
      </c>
      <c r="G737" s="749">
        <f>IF(F737="X",0,E737)</f>
        <v>0</v>
      </c>
    </row>
    <row r="738" spans="1:7">
      <c r="A738" s="786">
        <v>40421</v>
      </c>
      <c r="B738" s="787" t="s">
        <v>13433</v>
      </c>
      <c r="C738" s="788" t="s">
        <v>13452</v>
      </c>
      <c r="D738" s="789"/>
      <c r="E738" s="1349">
        <v>260.31</v>
      </c>
      <c r="F738" s="791" t="s">
        <v>9</v>
      </c>
      <c r="G738" s="750">
        <f>IF(F738="X",0,E738)</f>
        <v>0</v>
      </c>
    </row>
    <row r="739" spans="1:7">
      <c r="A739" s="1484">
        <v>40422</v>
      </c>
      <c r="B739" s="1485"/>
      <c r="C739" s="1486" t="s">
        <v>13453</v>
      </c>
      <c r="D739" s="1487"/>
      <c r="E739" s="1488">
        <f>SUM(E740:E749)</f>
        <v>3982.5299999999997</v>
      </c>
      <c r="F739" s="1489"/>
      <c r="G739" s="1490"/>
    </row>
    <row r="740" spans="1:7">
      <c r="A740" s="785">
        <v>40422</v>
      </c>
      <c r="B740" s="337" t="s">
        <v>13436</v>
      </c>
      <c r="C740" s="332" t="s">
        <v>13454</v>
      </c>
      <c r="D740" s="333"/>
      <c r="E740" s="135">
        <v>333.16</v>
      </c>
      <c r="F740" s="46" t="s">
        <v>9</v>
      </c>
      <c r="G740" s="749">
        <f t="shared" ref="G740:G749" si="36">IF(F740="X",0,E740)</f>
        <v>0</v>
      </c>
    </row>
    <row r="741" spans="1:7">
      <c r="A741" s="785">
        <v>40422</v>
      </c>
      <c r="B741" s="337" t="s">
        <v>13455</v>
      </c>
      <c r="C741" s="147" t="s">
        <v>13456</v>
      </c>
      <c r="D741" s="63"/>
      <c r="E741" s="231">
        <v>166.33</v>
      </c>
      <c r="F741" s="46" t="s">
        <v>9</v>
      </c>
      <c r="G741" s="749">
        <f t="shared" si="36"/>
        <v>0</v>
      </c>
    </row>
    <row r="742" spans="1:7">
      <c r="A742" s="792">
        <v>40422</v>
      </c>
      <c r="B742" s="793" t="s">
        <v>13449</v>
      </c>
      <c r="C742" s="794" t="s">
        <v>13457</v>
      </c>
      <c r="D742" s="795"/>
      <c r="E742" s="796">
        <v>200.5</v>
      </c>
      <c r="F742" s="797" t="s">
        <v>9</v>
      </c>
      <c r="G742" s="798">
        <f t="shared" si="36"/>
        <v>0</v>
      </c>
    </row>
    <row r="743" spans="1:7">
      <c r="A743" s="785">
        <v>40442</v>
      </c>
      <c r="B743" s="337" t="s">
        <v>13458</v>
      </c>
      <c r="C743" s="332" t="s">
        <v>13459</v>
      </c>
      <c r="D743" s="134"/>
      <c r="E743" s="135">
        <v>668.33</v>
      </c>
      <c r="F743" s="46" t="s">
        <v>9</v>
      </c>
      <c r="G743" s="749">
        <f t="shared" si="36"/>
        <v>0</v>
      </c>
    </row>
    <row r="744" spans="1:7">
      <c r="A744" s="785">
        <v>40451</v>
      </c>
      <c r="B744" s="337" t="s">
        <v>13433</v>
      </c>
      <c r="C744" s="332" t="s">
        <v>13460</v>
      </c>
      <c r="D744" s="134"/>
      <c r="E744" s="151">
        <v>262.56</v>
      </c>
      <c r="F744" s="46" t="s">
        <v>9</v>
      </c>
      <c r="G744" s="749">
        <f t="shared" si="36"/>
        <v>0</v>
      </c>
    </row>
    <row r="745" spans="1:7">
      <c r="A745" s="785">
        <v>40451</v>
      </c>
      <c r="B745" s="337" t="s">
        <v>13461</v>
      </c>
      <c r="C745" s="139" t="s">
        <v>13462</v>
      </c>
      <c r="D745" s="51"/>
      <c r="E745" s="151">
        <v>173.33</v>
      </c>
      <c r="F745" s="46" t="s">
        <v>9</v>
      </c>
      <c r="G745" s="749">
        <f t="shared" si="36"/>
        <v>0</v>
      </c>
    </row>
    <row r="746" spans="1:7">
      <c r="A746" s="792">
        <v>40451</v>
      </c>
      <c r="B746" s="793" t="s">
        <v>13461</v>
      </c>
      <c r="C746" s="794" t="s">
        <v>13463</v>
      </c>
      <c r="D746" s="795"/>
      <c r="E746" s="796">
        <v>173.33</v>
      </c>
      <c r="F746" s="797" t="s">
        <v>9</v>
      </c>
      <c r="G746" s="798">
        <f t="shared" si="36"/>
        <v>0</v>
      </c>
    </row>
    <row r="747" spans="1:7">
      <c r="A747" s="785">
        <v>40451</v>
      </c>
      <c r="B747" s="337" t="s">
        <v>13458</v>
      </c>
      <c r="C747" s="139" t="s">
        <v>13464</v>
      </c>
      <c r="D747" s="51"/>
      <c r="E747" s="151">
        <v>668.33</v>
      </c>
      <c r="F747" s="46" t="s">
        <v>9</v>
      </c>
      <c r="G747" s="749">
        <f t="shared" si="36"/>
        <v>0</v>
      </c>
    </row>
    <row r="748" spans="1:7">
      <c r="A748" s="785">
        <v>40451</v>
      </c>
      <c r="B748" s="337" t="s">
        <v>13458</v>
      </c>
      <c r="C748" s="139" t="s">
        <v>13465</v>
      </c>
      <c r="D748" s="51"/>
      <c r="E748" s="151">
        <v>668.33</v>
      </c>
      <c r="F748" s="46" t="s">
        <v>9</v>
      </c>
      <c r="G748" s="749">
        <f t="shared" si="36"/>
        <v>0</v>
      </c>
    </row>
    <row r="749" spans="1:7">
      <c r="A749" s="939">
        <v>40451</v>
      </c>
      <c r="B749" s="940" t="s">
        <v>13458</v>
      </c>
      <c r="C749" s="941" t="s">
        <v>13466</v>
      </c>
      <c r="D749" s="942"/>
      <c r="E749" s="943">
        <v>668.33</v>
      </c>
      <c r="F749" s="944" t="s">
        <v>9</v>
      </c>
      <c r="G749" s="945">
        <f t="shared" si="36"/>
        <v>0</v>
      </c>
    </row>
    <row r="750" spans="1:7">
      <c r="A750" s="1484">
        <v>40452</v>
      </c>
      <c r="B750" s="1485"/>
      <c r="C750" s="1486" t="s">
        <v>4095</v>
      </c>
      <c r="D750" s="1487"/>
      <c r="E750" s="1488">
        <f>SUM(E751:E756)</f>
        <v>2096.17</v>
      </c>
      <c r="F750" s="1489"/>
      <c r="G750" s="1490"/>
    </row>
    <row r="751" spans="1:7">
      <c r="A751" s="785">
        <v>40452</v>
      </c>
      <c r="B751" s="337" t="s">
        <v>13436</v>
      </c>
      <c r="C751" s="332" t="s">
        <v>13467</v>
      </c>
      <c r="D751" s="333"/>
      <c r="E751" s="135">
        <v>333.16</v>
      </c>
      <c r="F751" s="46" t="s">
        <v>9</v>
      </c>
      <c r="G751" s="749">
        <f t="shared" ref="G751:G756" si="37">IF(F751="X",0,E751)</f>
        <v>0</v>
      </c>
    </row>
    <row r="752" spans="1:7">
      <c r="A752" s="785">
        <v>40452</v>
      </c>
      <c r="B752" s="337" t="s">
        <v>13455</v>
      </c>
      <c r="C752" s="147" t="s">
        <v>13468</v>
      </c>
      <c r="D752" s="63"/>
      <c r="E752" s="231">
        <v>166.33</v>
      </c>
      <c r="F752" s="46" t="s">
        <v>9</v>
      </c>
      <c r="G752" s="749">
        <f t="shared" si="37"/>
        <v>0</v>
      </c>
    </row>
    <row r="753" spans="1:7">
      <c r="A753" s="785">
        <v>40452</v>
      </c>
      <c r="B753" s="337" t="s">
        <v>13469</v>
      </c>
      <c r="C753" s="52" t="s">
        <v>13470</v>
      </c>
      <c r="D753" s="63"/>
      <c r="E753" s="135">
        <v>166.33</v>
      </c>
      <c r="F753" s="46" t="s">
        <v>9</v>
      </c>
      <c r="G753" s="749">
        <f t="shared" si="37"/>
        <v>0</v>
      </c>
    </row>
    <row r="754" spans="1:7">
      <c r="A754" s="785">
        <v>40460</v>
      </c>
      <c r="B754" s="337" t="s">
        <v>1835</v>
      </c>
      <c r="C754" s="52" t="s">
        <v>13471</v>
      </c>
      <c r="D754" s="63"/>
      <c r="E754" s="135">
        <v>733.79</v>
      </c>
      <c r="F754" s="46" t="s">
        <v>9</v>
      </c>
      <c r="G754" s="749">
        <f t="shared" si="37"/>
        <v>0</v>
      </c>
    </row>
    <row r="755" spans="1:7">
      <c r="A755" s="785">
        <v>40469</v>
      </c>
      <c r="B755" s="337" t="s">
        <v>13472</v>
      </c>
      <c r="C755" s="52" t="s">
        <v>13459</v>
      </c>
      <c r="D755" s="63"/>
      <c r="E755" s="135">
        <v>431.86</v>
      </c>
      <c r="F755" s="46" t="s">
        <v>9</v>
      </c>
      <c r="G755" s="749">
        <f t="shared" si="37"/>
        <v>0</v>
      </c>
    </row>
    <row r="756" spans="1:7">
      <c r="A756" s="786">
        <v>40482</v>
      </c>
      <c r="B756" s="787" t="s">
        <v>13433</v>
      </c>
      <c r="C756" s="788" t="s">
        <v>13473</v>
      </c>
      <c r="D756" s="789"/>
      <c r="E756" s="1349">
        <v>264.7</v>
      </c>
      <c r="F756" s="791" t="s">
        <v>9</v>
      </c>
      <c r="G756" s="750">
        <f t="shared" si="37"/>
        <v>0</v>
      </c>
    </row>
    <row r="757" spans="1:7">
      <c r="A757" s="1484">
        <v>40483</v>
      </c>
      <c r="B757" s="1485"/>
      <c r="C757" s="1486" t="s">
        <v>13474</v>
      </c>
      <c r="D757" s="1487"/>
      <c r="E757" s="1488">
        <f>SUM(E758:E764)</f>
        <v>2373.2000000000003</v>
      </c>
      <c r="F757" s="1489"/>
      <c r="G757" s="1490"/>
    </row>
    <row r="758" spans="1:7">
      <c r="A758" s="792">
        <v>40483</v>
      </c>
      <c r="B758" s="793" t="s">
        <v>13436</v>
      </c>
      <c r="C758" s="794" t="s">
        <v>13475</v>
      </c>
      <c r="D758" s="795"/>
      <c r="E758" s="796">
        <v>333.16</v>
      </c>
      <c r="F758" s="797" t="s">
        <v>9</v>
      </c>
      <c r="G758" s="798">
        <f t="shared" ref="G758:G764" si="38">IF(F758="X",0,E758)</f>
        <v>0</v>
      </c>
    </row>
    <row r="759" spans="1:7">
      <c r="A759" s="792">
        <v>40483</v>
      </c>
      <c r="B759" s="793" t="s">
        <v>13455</v>
      </c>
      <c r="C759" s="794" t="s">
        <v>13476</v>
      </c>
      <c r="D759" s="795"/>
      <c r="E759" s="796">
        <v>166.33</v>
      </c>
      <c r="F759" s="797" t="s">
        <v>9</v>
      </c>
      <c r="G759" s="798">
        <f t="shared" si="38"/>
        <v>0</v>
      </c>
    </row>
    <row r="760" spans="1:7">
      <c r="A760" s="785">
        <v>40483</v>
      </c>
      <c r="B760" s="337" t="s">
        <v>13469</v>
      </c>
      <c r="C760" s="52" t="s">
        <v>13477</v>
      </c>
      <c r="D760" s="63"/>
      <c r="E760" s="135">
        <v>166.33</v>
      </c>
      <c r="F760" s="46" t="s">
        <v>9</v>
      </c>
      <c r="G760" s="749">
        <f t="shared" si="38"/>
        <v>0</v>
      </c>
    </row>
    <row r="761" spans="1:7">
      <c r="A761" s="785">
        <v>40483</v>
      </c>
      <c r="B761" s="337" t="s">
        <v>13478</v>
      </c>
      <c r="C761" s="52" t="s">
        <v>13479</v>
      </c>
      <c r="D761" s="63"/>
      <c r="E761" s="135">
        <v>275</v>
      </c>
      <c r="F761" s="46" t="s">
        <v>9</v>
      </c>
      <c r="G761" s="749">
        <f t="shared" si="38"/>
        <v>0</v>
      </c>
    </row>
    <row r="762" spans="1:7">
      <c r="A762" s="785">
        <v>40491</v>
      </c>
      <c r="B762" s="337" t="s">
        <v>1835</v>
      </c>
      <c r="C762" s="52" t="s">
        <v>13480</v>
      </c>
      <c r="D762" s="63"/>
      <c r="E762" s="135">
        <v>733.79</v>
      </c>
      <c r="F762" s="46" t="s">
        <v>9</v>
      </c>
      <c r="G762" s="749">
        <f t="shared" si="38"/>
        <v>0</v>
      </c>
    </row>
    <row r="763" spans="1:7">
      <c r="A763" s="785">
        <v>40500</v>
      </c>
      <c r="B763" s="337" t="s">
        <v>13472</v>
      </c>
      <c r="C763" s="52" t="s">
        <v>13481</v>
      </c>
      <c r="D763" s="63"/>
      <c r="E763" s="135">
        <v>431.86</v>
      </c>
      <c r="F763" s="46" t="s">
        <v>9</v>
      </c>
      <c r="G763" s="749">
        <f t="shared" si="38"/>
        <v>0</v>
      </c>
    </row>
    <row r="764" spans="1:7">
      <c r="A764" s="939">
        <v>40512</v>
      </c>
      <c r="B764" s="940" t="s">
        <v>13433</v>
      </c>
      <c r="C764" s="941" t="s">
        <v>13482</v>
      </c>
      <c r="D764" s="942"/>
      <c r="E764" s="943">
        <v>266.73</v>
      </c>
      <c r="F764" s="944" t="s">
        <v>9</v>
      </c>
      <c r="G764" s="945">
        <f t="shared" si="38"/>
        <v>0</v>
      </c>
    </row>
    <row r="765" spans="1:7">
      <c r="A765" s="1484">
        <v>40513</v>
      </c>
      <c r="B765" s="1485"/>
      <c r="C765" s="1486" t="s">
        <v>13483</v>
      </c>
      <c r="D765" s="1487"/>
      <c r="E765" s="1488">
        <f>SUM(E766:E770)</f>
        <v>1938.04</v>
      </c>
      <c r="F765" s="1489"/>
      <c r="G765" s="1490"/>
    </row>
    <row r="766" spans="1:7">
      <c r="A766" s="785">
        <v>40513</v>
      </c>
      <c r="B766" s="337" t="s">
        <v>13469</v>
      </c>
      <c r="C766" s="52" t="s">
        <v>13484</v>
      </c>
      <c r="D766" s="63"/>
      <c r="E766" s="135">
        <v>166.33</v>
      </c>
      <c r="F766" s="46" t="s">
        <v>9</v>
      </c>
      <c r="G766" s="749">
        <f>IF(F766="X",0,E766)</f>
        <v>0</v>
      </c>
    </row>
    <row r="767" spans="1:7">
      <c r="A767" s="792">
        <v>40513</v>
      </c>
      <c r="B767" s="793" t="s">
        <v>13478</v>
      </c>
      <c r="C767" s="794" t="s">
        <v>13485</v>
      </c>
      <c r="D767" s="795"/>
      <c r="E767" s="796">
        <v>275</v>
      </c>
      <c r="F767" s="797" t="s">
        <v>9</v>
      </c>
      <c r="G767" s="798">
        <f>IF(F767="X",0,E767)</f>
        <v>0</v>
      </c>
    </row>
    <row r="768" spans="1:7">
      <c r="A768" s="785">
        <v>40513</v>
      </c>
      <c r="B768" s="337" t="s">
        <v>13486</v>
      </c>
      <c r="C768" s="52" t="s">
        <v>13487</v>
      </c>
      <c r="D768" s="63"/>
      <c r="E768" s="135">
        <v>331.06</v>
      </c>
      <c r="F768" s="46" t="s">
        <v>9</v>
      </c>
      <c r="G768" s="749">
        <f>IF(F768="X",0,E768)</f>
        <v>0</v>
      </c>
    </row>
    <row r="769" spans="1:7">
      <c r="A769" s="785">
        <v>40521</v>
      </c>
      <c r="B769" s="337" t="s">
        <v>1835</v>
      </c>
      <c r="C769" s="52" t="s">
        <v>13488</v>
      </c>
      <c r="D769" s="63"/>
      <c r="E769" s="135">
        <v>733.79</v>
      </c>
      <c r="F769" s="46" t="s">
        <v>9</v>
      </c>
      <c r="G769" s="749">
        <f>IF(F769="X",0,E769)</f>
        <v>0</v>
      </c>
    </row>
    <row r="770" spans="1:7">
      <c r="A770" s="786">
        <v>40530</v>
      </c>
      <c r="B770" s="787" t="s">
        <v>13472</v>
      </c>
      <c r="C770" s="1181" t="s">
        <v>13489</v>
      </c>
      <c r="D770" s="764"/>
      <c r="E770" s="790">
        <v>431.86</v>
      </c>
      <c r="F770" s="791" t="s">
        <v>9</v>
      </c>
      <c r="G770" s="750">
        <f>IF(F770="X",0,E770)</f>
        <v>0</v>
      </c>
    </row>
    <row r="771" spans="1:7">
      <c r="A771" s="1484">
        <v>40544</v>
      </c>
      <c r="B771" s="1485"/>
      <c r="C771" s="1486" t="s">
        <v>4112</v>
      </c>
      <c r="D771" s="1487"/>
      <c r="E771" s="1488">
        <f>SUM(E772:E775)</f>
        <v>1663.04</v>
      </c>
      <c r="F771" s="1489"/>
      <c r="G771" s="1490"/>
    </row>
    <row r="772" spans="1:7">
      <c r="A772" s="785">
        <v>40544</v>
      </c>
      <c r="B772" s="337" t="s">
        <v>13469</v>
      </c>
      <c r="C772" s="52" t="s">
        <v>13490</v>
      </c>
      <c r="D772" s="63"/>
      <c r="E772" s="135">
        <v>166.33</v>
      </c>
      <c r="F772" s="46" t="s">
        <v>9</v>
      </c>
      <c r="G772" s="749">
        <f>IF(F772="X",0,E772)</f>
        <v>0</v>
      </c>
    </row>
    <row r="773" spans="1:7">
      <c r="A773" s="785">
        <v>40544</v>
      </c>
      <c r="B773" s="337" t="s">
        <v>13486</v>
      </c>
      <c r="C773" s="52" t="s">
        <v>13491</v>
      </c>
      <c r="D773" s="63"/>
      <c r="E773" s="135">
        <v>331.06</v>
      </c>
      <c r="F773" s="46" t="s">
        <v>9</v>
      </c>
      <c r="G773" s="749">
        <f>IF(F773="X",0,E773)</f>
        <v>0</v>
      </c>
    </row>
    <row r="774" spans="1:7">
      <c r="A774" s="785">
        <v>40552</v>
      </c>
      <c r="B774" s="337" t="s">
        <v>1835</v>
      </c>
      <c r="C774" s="52" t="s">
        <v>13492</v>
      </c>
      <c r="D774" s="63"/>
      <c r="E774" s="135">
        <v>733.79</v>
      </c>
      <c r="F774" s="46" t="s">
        <v>9</v>
      </c>
      <c r="G774" s="749">
        <f>IF(F774="X",0,E774)</f>
        <v>0</v>
      </c>
    </row>
    <row r="775" spans="1:7">
      <c r="A775" s="939">
        <v>40561</v>
      </c>
      <c r="B775" s="940" t="s">
        <v>13472</v>
      </c>
      <c r="C775" s="941" t="s">
        <v>13493</v>
      </c>
      <c r="D775" s="942"/>
      <c r="E775" s="943">
        <v>431.86</v>
      </c>
      <c r="F775" s="944" t="s">
        <v>9</v>
      </c>
      <c r="G775" s="945">
        <f>IF(F775="X",0,E775)</f>
        <v>0</v>
      </c>
    </row>
    <row r="776" spans="1:7">
      <c r="A776" s="1491">
        <v>40575</v>
      </c>
      <c r="B776" s="1492"/>
      <c r="C776" s="1493" t="s">
        <v>13494</v>
      </c>
      <c r="D776" s="1494"/>
      <c r="E776" s="1495">
        <f>SUM(E777:E779)</f>
        <v>1231.1799999999998</v>
      </c>
      <c r="F776" s="1496"/>
      <c r="G776" s="1497"/>
    </row>
    <row r="777" spans="1:7">
      <c r="A777" s="785">
        <v>40575</v>
      </c>
      <c r="B777" s="337" t="s">
        <v>13486</v>
      </c>
      <c r="C777" s="52" t="s">
        <v>13495</v>
      </c>
      <c r="D777" s="63"/>
      <c r="E777" s="135">
        <v>331.06</v>
      </c>
      <c r="F777" s="46" t="s">
        <v>9</v>
      </c>
      <c r="G777" s="749">
        <f>IF(F777="X",0,E777)</f>
        <v>0</v>
      </c>
    </row>
    <row r="778" spans="1:7">
      <c r="A778" s="785">
        <v>40575</v>
      </c>
      <c r="B778" s="337" t="s">
        <v>13469</v>
      </c>
      <c r="C778" s="52" t="s">
        <v>13496</v>
      </c>
      <c r="D778" s="63"/>
      <c r="E778" s="135">
        <v>166.33</v>
      </c>
      <c r="F778" s="46" t="s">
        <v>9</v>
      </c>
      <c r="G778" s="749">
        <f>IF(F778="X",0,E778)</f>
        <v>0</v>
      </c>
    </row>
    <row r="779" spans="1:7">
      <c r="A779" s="786">
        <v>40583</v>
      </c>
      <c r="B779" s="787" t="s">
        <v>1835</v>
      </c>
      <c r="C779" s="1181" t="s">
        <v>13497</v>
      </c>
      <c r="D779" s="764"/>
      <c r="E779" s="790">
        <v>733.79</v>
      </c>
      <c r="F779" s="791" t="s">
        <v>9</v>
      </c>
      <c r="G779" s="750">
        <f>IF(F779="X",0,E779)</f>
        <v>0</v>
      </c>
    </row>
    <row r="780" spans="1:7">
      <c r="A780" s="1484">
        <v>40603</v>
      </c>
      <c r="B780" s="1485"/>
      <c r="C780" s="1486" t="s">
        <v>13498</v>
      </c>
      <c r="D780" s="1487"/>
      <c r="E780" s="1488">
        <f>SUM(E781:E784)</f>
        <v>1321.5199999999998</v>
      </c>
      <c r="F780" s="1489"/>
      <c r="G780" s="1490"/>
    </row>
    <row r="781" spans="1:7">
      <c r="A781" s="792">
        <v>40603</v>
      </c>
      <c r="B781" s="793" t="s">
        <v>13486</v>
      </c>
      <c r="C781" s="794" t="s">
        <v>13499</v>
      </c>
      <c r="D781" s="795"/>
      <c r="E781" s="796">
        <v>331.06</v>
      </c>
      <c r="F781" s="797" t="s">
        <v>9</v>
      </c>
      <c r="G781" s="798">
        <f>IF(F781="X",0,E781)</f>
        <v>0</v>
      </c>
    </row>
    <row r="782" spans="1:7">
      <c r="A782" s="792">
        <v>40603</v>
      </c>
      <c r="B782" s="793" t="s">
        <v>13469</v>
      </c>
      <c r="C782" s="794" t="s">
        <v>13500</v>
      </c>
      <c r="D782" s="795"/>
      <c r="E782" s="796">
        <v>166.33</v>
      </c>
      <c r="F782" s="797" t="s">
        <v>9</v>
      </c>
      <c r="G782" s="798">
        <f>IF(F782="X",0,E782)</f>
        <v>0</v>
      </c>
    </row>
    <row r="783" spans="1:7">
      <c r="A783" s="454">
        <v>40611</v>
      </c>
      <c r="B783" s="337" t="s">
        <v>1835</v>
      </c>
      <c r="C783" s="52" t="s">
        <v>13501</v>
      </c>
      <c r="D783" s="63"/>
      <c r="E783" s="135">
        <v>731.02</v>
      </c>
      <c r="F783" s="46" t="s">
        <v>9</v>
      </c>
      <c r="G783" s="140">
        <f>IF(F783="X",0,E783)</f>
        <v>0</v>
      </c>
    </row>
    <row r="784" spans="1:7">
      <c r="A784" s="453">
        <v>40612</v>
      </c>
      <c r="B784" s="337" t="s">
        <v>13502</v>
      </c>
      <c r="C784" s="52" t="s">
        <v>13356</v>
      </c>
      <c r="D784" s="63"/>
      <c r="E784" s="135">
        <v>93.11</v>
      </c>
      <c r="F784" s="46" t="s">
        <v>9</v>
      </c>
      <c r="G784" s="140">
        <f>IF(F784="X",0,E784)</f>
        <v>0</v>
      </c>
    </row>
    <row r="785" spans="1:7">
      <c r="A785" s="1491">
        <v>40634</v>
      </c>
      <c r="B785" s="1492"/>
      <c r="C785" s="1493" t="s">
        <v>13503</v>
      </c>
      <c r="D785" s="1494"/>
      <c r="E785" s="1495">
        <f>SUM(E786:E790)</f>
        <v>2078.98</v>
      </c>
      <c r="F785" s="1496"/>
      <c r="G785" s="1497"/>
    </row>
    <row r="786" spans="1:7">
      <c r="A786" s="785">
        <v>40634</v>
      </c>
      <c r="B786" s="337" t="s">
        <v>1835</v>
      </c>
      <c r="C786" s="52" t="s">
        <v>13504</v>
      </c>
      <c r="D786" s="63"/>
      <c r="E786" s="135">
        <v>730.95</v>
      </c>
      <c r="F786" s="46" t="s">
        <v>9</v>
      </c>
      <c r="G786" s="749">
        <f>IF(F786="X",0,E786)</f>
        <v>0</v>
      </c>
    </row>
    <row r="787" spans="1:7">
      <c r="A787" s="785">
        <v>40634</v>
      </c>
      <c r="B787" s="337" t="s">
        <v>1835</v>
      </c>
      <c r="C787" s="52" t="s">
        <v>13505</v>
      </c>
      <c r="D787" s="63"/>
      <c r="E787" s="135">
        <v>476.55</v>
      </c>
      <c r="F787" s="46" t="s">
        <v>9</v>
      </c>
      <c r="G787" s="749">
        <f>IF(F787="X",0,E787)</f>
        <v>0</v>
      </c>
    </row>
    <row r="788" spans="1:7">
      <c r="A788" s="785">
        <v>40643</v>
      </c>
      <c r="B788" s="337" t="s">
        <v>13502</v>
      </c>
      <c r="C788" s="52" t="s">
        <v>13376</v>
      </c>
      <c r="D788" s="63"/>
      <c r="E788" s="135">
        <v>93.11</v>
      </c>
      <c r="F788" s="46" t="s">
        <v>9</v>
      </c>
      <c r="G788" s="749">
        <f>IF(F788="X",0,E788)</f>
        <v>0</v>
      </c>
    </row>
    <row r="789" spans="1:7">
      <c r="A789" s="785">
        <v>40648</v>
      </c>
      <c r="B789" s="337" t="s">
        <v>1835</v>
      </c>
      <c r="C789" s="52" t="s">
        <v>13506</v>
      </c>
      <c r="D789" s="63"/>
      <c r="E789" s="135">
        <v>487.04</v>
      </c>
      <c r="F789" s="46" t="s">
        <v>9</v>
      </c>
      <c r="G789" s="749">
        <f>IF(F789="X",0,E789)</f>
        <v>0</v>
      </c>
    </row>
    <row r="790" spans="1:7">
      <c r="A790" s="786">
        <v>40662</v>
      </c>
      <c r="B790" s="787" t="s">
        <v>13507</v>
      </c>
      <c r="C790" s="1181" t="s">
        <v>13508</v>
      </c>
      <c r="D790" s="764"/>
      <c r="E790" s="790">
        <v>291.33</v>
      </c>
      <c r="F790" s="791" t="s">
        <v>9</v>
      </c>
      <c r="G790" s="750">
        <f>IF(F790="X",0,E790)</f>
        <v>0</v>
      </c>
    </row>
    <row r="791" spans="1:7">
      <c r="A791" s="1484">
        <v>40664</v>
      </c>
      <c r="B791" s="1485"/>
      <c r="C791" s="1486" t="s">
        <v>13509</v>
      </c>
      <c r="D791" s="1487"/>
      <c r="E791" s="1488">
        <f>SUM(E792:E796)</f>
        <v>2118.13</v>
      </c>
      <c r="F791" s="1489"/>
      <c r="G791" s="1490"/>
    </row>
    <row r="792" spans="1:7">
      <c r="A792" s="453">
        <v>40664</v>
      </c>
      <c r="B792" s="337" t="s">
        <v>1835</v>
      </c>
      <c r="C792" s="52" t="s">
        <v>13510</v>
      </c>
      <c r="D792" s="63"/>
      <c r="E792" s="135">
        <v>731.28</v>
      </c>
      <c r="F792" s="46" t="s">
        <v>9</v>
      </c>
      <c r="G792" s="151">
        <f>IF(F792="X",0,E792)</f>
        <v>0</v>
      </c>
    </row>
    <row r="793" spans="1:7">
      <c r="A793" s="453">
        <v>40664</v>
      </c>
      <c r="B793" s="337" t="s">
        <v>1835</v>
      </c>
      <c r="C793" s="52" t="s">
        <v>13511</v>
      </c>
      <c r="D793" s="63"/>
      <c r="E793" s="151">
        <v>496.17</v>
      </c>
      <c r="F793" s="46" t="s">
        <v>9</v>
      </c>
      <c r="G793" s="151">
        <f>IF(F793="X",0,E793)</f>
        <v>0</v>
      </c>
    </row>
    <row r="794" spans="1:7">
      <c r="A794" s="453">
        <v>40673</v>
      </c>
      <c r="B794" s="337" t="s">
        <v>13502</v>
      </c>
      <c r="C794" s="52" t="s">
        <v>13380</v>
      </c>
      <c r="D794" s="63"/>
      <c r="E794" s="135">
        <v>93.11</v>
      </c>
      <c r="F794" s="46" t="s">
        <v>9</v>
      </c>
      <c r="G794" s="140">
        <f>IF(F794="X",0,E794)</f>
        <v>0</v>
      </c>
    </row>
    <row r="795" spans="1:7">
      <c r="A795" s="453">
        <v>40678</v>
      </c>
      <c r="B795" s="337" t="s">
        <v>1835</v>
      </c>
      <c r="C795" s="52" t="s">
        <v>13512</v>
      </c>
      <c r="D795" s="63"/>
      <c r="E795" s="151">
        <v>506.24</v>
      </c>
      <c r="F795" s="46" t="s">
        <v>9</v>
      </c>
      <c r="G795" s="151">
        <f>IF(F795="X",0,E795)</f>
        <v>0</v>
      </c>
    </row>
    <row r="796" spans="1:7">
      <c r="A796" s="453">
        <v>40694</v>
      </c>
      <c r="B796" s="337" t="s">
        <v>13507</v>
      </c>
      <c r="C796" s="52" t="s">
        <v>13513</v>
      </c>
      <c r="D796" s="63"/>
      <c r="E796" s="135">
        <v>291.33</v>
      </c>
      <c r="F796" s="46" t="s">
        <v>9</v>
      </c>
      <c r="G796" s="151">
        <f>IF(F796="X",0,E796)</f>
        <v>0</v>
      </c>
    </row>
    <row r="797" spans="1:7">
      <c r="A797" s="1491">
        <v>40695</v>
      </c>
      <c r="B797" s="1492"/>
      <c r="C797" s="1493" t="s">
        <v>5805</v>
      </c>
      <c r="D797" s="1494"/>
      <c r="E797" s="1495">
        <f>SUM(E798:E805)</f>
        <v>3280.6099999999997</v>
      </c>
      <c r="F797" s="1496"/>
      <c r="G797" s="1497"/>
    </row>
    <row r="798" spans="1:7">
      <c r="A798" s="785">
        <v>40695</v>
      </c>
      <c r="B798" s="337" t="s">
        <v>1835</v>
      </c>
      <c r="C798" s="52" t="s">
        <v>13514</v>
      </c>
      <c r="D798" s="63"/>
      <c r="E798" s="135">
        <v>730.92</v>
      </c>
      <c r="F798" s="46" t="s">
        <v>9</v>
      </c>
      <c r="G798" s="749">
        <f t="shared" ref="G798:G805" si="39">IF(F798="X",0,E798)</f>
        <v>0</v>
      </c>
    </row>
    <row r="799" spans="1:7">
      <c r="A799" s="785">
        <v>40695</v>
      </c>
      <c r="B799" s="337" t="s">
        <v>13515</v>
      </c>
      <c r="C799" s="52" t="s">
        <v>13516</v>
      </c>
      <c r="D799" s="63"/>
      <c r="E799" s="135">
        <v>487.57</v>
      </c>
      <c r="F799" s="46" t="s">
        <v>9</v>
      </c>
      <c r="G799" s="749">
        <f t="shared" si="39"/>
        <v>0</v>
      </c>
    </row>
    <row r="800" spans="1:7">
      <c r="A800" s="785">
        <v>40695</v>
      </c>
      <c r="B800" s="337" t="s">
        <v>1835</v>
      </c>
      <c r="C800" s="52" t="s">
        <v>13517</v>
      </c>
      <c r="D800" s="63"/>
      <c r="E800" s="135">
        <v>518.79</v>
      </c>
      <c r="F800" s="46" t="s">
        <v>9</v>
      </c>
      <c r="G800" s="749">
        <f t="shared" si="39"/>
        <v>0</v>
      </c>
    </row>
    <row r="801" spans="1:7">
      <c r="A801" s="785">
        <v>40695</v>
      </c>
      <c r="B801" s="337" t="s">
        <v>13518</v>
      </c>
      <c r="C801" s="52" t="s">
        <v>13437</v>
      </c>
      <c r="D801" s="63"/>
      <c r="E801" s="135">
        <v>216.5</v>
      </c>
      <c r="F801" s="46" t="s">
        <v>9</v>
      </c>
      <c r="G801" s="749">
        <f t="shared" si="39"/>
        <v>0</v>
      </c>
    </row>
    <row r="802" spans="1:7">
      <c r="A802" s="785">
        <v>40704</v>
      </c>
      <c r="B802" s="337" t="s">
        <v>13502</v>
      </c>
      <c r="C802" s="52" t="s">
        <v>13384</v>
      </c>
      <c r="D802" s="63"/>
      <c r="E802" s="135">
        <v>93.11</v>
      </c>
      <c r="F802" s="46" t="s">
        <v>9</v>
      </c>
      <c r="G802" s="749">
        <f t="shared" si="39"/>
        <v>0</v>
      </c>
    </row>
    <row r="803" spans="1:7">
      <c r="A803" s="785">
        <v>40709</v>
      </c>
      <c r="B803" s="337" t="s">
        <v>1835</v>
      </c>
      <c r="C803" s="52" t="s">
        <v>13519</v>
      </c>
      <c r="D803" s="63"/>
      <c r="E803" s="135">
        <v>528.04</v>
      </c>
      <c r="F803" s="46" t="s">
        <v>9</v>
      </c>
      <c r="G803" s="749">
        <f t="shared" si="39"/>
        <v>0</v>
      </c>
    </row>
    <row r="804" spans="1:7">
      <c r="A804" s="785">
        <v>40716</v>
      </c>
      <c r="B804" s="337" t="s">
        <v>13520</v>
      </c>
      <c r="C804" s="52" t="s">
        <v>13521</v>
      </c>
      <c r="D804" s="63"/>
      <c r="E804" s="135">
        <v>400</v>
      </c>
      <c r="F804" s="46" t="s">
        <v>9</v>
      </c>
      <c r="G804" s="749">
        <f t="shared" si="39"/>
        <v>0</v>
      </c>
    </row>
    <row r="805" spans="1:7">
      <c r="A805" s="786">
        <v>40724</v>
      </c>
      <c r="B805" s="787" t="s">
        <v>13507</v>
      </c>
      <c r="C805" s="1181" t="s">
        <v>13446</v>
      </c>
      <c r="D805" s="764"/>
      <c r="E805" s="790">
        <v>305.68</v>
      </c>
      <c r="F805" s="791" t="s">
        <v>9</v>
      </c>
      <c r="G805" s="750">
        <f t="shared" si="39"/>
        <v>0</v>
      </c>
    </row>
    <row r="806" spans="1:7">
      <c r="A806" s="1484">
        <v>40725</v>
      </c>
      <c r="B806" s="1485"/>
      <c r="C806" s="1486" t="s">
        <v>5811</v>
      </c>
      <c r="D806" s="1487"/>
      <c r="E806" s="1488">
        <f>SUM(E807:E818)</f>
        <v>4725.04</v>
      </c>
      <c r="F806" s="1489"/>
      <c r="G806" s="1490"/>
    </row>
    <row r="807" spans="1:7">
      <c r="A807" s="453">
        <v>40725</v>
      </c>
      <c r="B807" s="337" t="s">
        <v>1835</v>
      </c>
      <c r="C807" s="52" t="s">
        <v>13522</v>
      </c>
      <c r="D807" s="63"/>
      <c r="E807" s="135">
        <v>731.97</v>
      </c>
      <c r="F807" s="46" t="s">
        <v>9</v>
      </c>
      <c r="G807" s="140">
        <f t="shared" ref="G807:G818" si="40">IF(F807="X",0,E807)</f>
        <v>0</v>
      </c>
    </row>
    <row r="808" spans="1:7">
      <c r="A808" s="453">
        <v>40725</v>
      </c>
      <c r="B808" s="337" t="s">
        <v>13515</v>
      </c>
      <c r="C808" s="52" t="s">
        <v>13523</v>
      </c>
      <c r="D808" s="63"/>
      <c r="E808" s="135">
        <v>487.57</v>
      </c>
      <c r="F808" s="46" t="s">
        <v>9</v>
      </c>
      <c r="G808" s="140">
        <f t="shared" si="40"/>
        <v>0</v>
      </c>
    </row>
    <row r="809" spans="1:7">
      <c r="A809" s="453">
        <v>40725</v>
      </c>
      <c r="B809" s="337" t="s">
        <v>1835</v>
      </c>
      <c r="C809" s="52" t="s">
        <v>13524</v>
      </c>
      <c r="D809" s="63"/>
      <c r="E809" s="135">
        <v>541.29</v>
      </c>
      <c r="F809" s="46" t="s">
        <v>9</v>
      </c>
      <c r="G809" s="140">
        <f t="shared" si="40"/>
        <v>0</v>
      </c>
    </row>
    <row r="810" spans="1:7">
      <c r="A810" s="453">
        <v>40725</v>
      </c>
      <c r="B810" s="337" t="s">
        <v>13518</v>
      </c>
      <c r="C810" s="52" t="s">
        <v>13443</v>
      </c>
      <c r="D810" s="63"/>
      <c r="E810" s="135">
        <v>216.5</v>
      </c>
      <c r="F810" s="46" t="s">
        <v>9</v>
      </c>
      <c r="G810" s="140">
        <f t="shared" si="40"/>
        <v>0</v>
      </c>
    </row>
    <row r="811" spans="1:7">
      <c r="A811" s="453">
        <v>40725</v>
      </c>
      <c r="B811" s="337" t="s">
        <v>13525</v>
      </c>
      <c r="C811" s="52" t="s">
        <v>13526</v>
      </c>
      <c r="D811" s="63"/>
      <c r="E811" s="135">
        <v>195.8</v>
      </c>
      <c r="F811" s="46" t="s">
        <v>9</v>
      </c>
      <c r="G811" s="140">
        <f t="shared" si="40"/>
        <v>0</v>
      </c>
    </row>
    <row r="812" spans="1:7">
      <c r="A812" s="453">
        <v>40725</v>
      </c>
      <c r="B812" s="337" t="s">
        <v>13527</v>
      </c>
      <c r="C812" s="52" t="s">
        <v>13521</v>
      </c>
      <c r="D812" s="63"/>
      <c r="E812" s="135">
        <v>175.67</v>
      </c>
      <c r="F812" s="46" t="s">
        <v>9</v>
      </c>
      <c r="G812" s="140">
        <f t="shared" si="40"/>
        <v>0</v>
      </c>
    </row>
    <row r="813" spans="1:7">
      <c r="A813" s="453">
        <v>40725</v>
      </c>
      <c r="B813" s="337" t="s">
        <v>13528</v>
      </c>
      <c r="C813" s="52" t="s">
        <v>13529</v>
      </c>
      <c r="D813" s="63"/>
      <c r="E813" s="135">
        <v>139.94999999999999</v>
      </c>
      <c r="F813" s="46" t="s">
        <v>9</v>
      </c>
      <c r="G813" s="140">
        <f t="shared" si="40"/>
        <v>0</v>
      </c>
    </row>
    <row r="814" spans="1:7">
      <c r="A814" s="453">
        <v>40725</v>
      </c>
      <c r="B814" s="337" t="s">
        <v>13530</v>
      </c>
      <c r="C814" s="52" t="s">
        <v>13479</v>
      </c>
      <c r="D814" s="63"/>
      <c r="E814" s="135">
        <v>200</v>
      </c>
      <c r="F814" s="46" t="s">
        <v>9</v>
      </c>
      <c r="G814" s="140">
        <f t="shared" si="40"/>
        <v>0</v>
      </c>
    </row>
    <row r="815" spans="1:7">
      <c r="A815" s="453">
        <v>36717</v>
      </c>
      <c r="B815" s="337" t="s">
        <v>13520</v>
      </c>
      <c r="C815" s="52" t="s">
        <v>13531</v>
      </c>
      <c r="D815" s="63"/>
      <c r="E815" s="135">
        <v>1100</v>
      </c>
      <c r="F815" s="46" t="s">
        <v>9</v>
      </c>
      <c r="G815" s="140">
        <f t="shared" si="40"/>
        <v>0</v>
      </c>
    </row>
    <row r="816" spans="1:7">
      <c r="A816" s="453">
        <v>40734</v>
      </c>
      <c r="B816" s="337" t="s">
        <v>13502</v>
      </c>
      <c r="C816" s="52" t="s">
        <v>13387</v>
      </c>
      <c r="D816" s="63"/>
      <c r="E816" s="135">
        <v>93.11</v>
      </c>
      <c r="F816" s="46" t="s">
        <v>9</v>
      </c>
      <c r="G816" s="140">
        <f t="shared" si="40"/>
        <v>0</v>
      </c>
    </row>
    <row r="817" spans="1:7">
      <c r="A817" s="453">
        <v>40739</v>
      </c>
      <c r="B817" s="337" t="s">
        <v>1835</v>
      </c>
      <c r="C817" s="52" t="s">
        <v>13532</v>
      </c>
      <c r="D817" s="63"/>
      <c r="E817" s="135">
        <v>551.85</v>
      </c>
      <c r="F817" s="46" t="s">
        <v>9</v>
      </c>
      <c r="G817" s="140">
        <f t="shared" si="40"/>
        <v>0</v>
      </c>
    </row>
    <row r="818" spans="1:7">
      <c r="A818" s="453">
        <v>40754</v>
      </c>
      <c r="B818" s="337" t="s">
        <v>13507</v>
      </c>
      <c r="C818" s="52" t="s">
        <v>13452</v>
      </c>
      <c r="D818" s="63"/>
      <c r="E818" s="135">
        <v>291.33</v>
      </c>
      <c r="F818" s="46" t="s">
        <v>9</v>
      </c>
      <c r="G818" s="140">
        <f t="shared" si="40"/>
        <v>0</v>
      </c>
    </row>
    <row r="819" spans="1:7">
      <c r="A819" s="1491">
        <v>40756</v>
      </c>
      <c r="B819" s="1492"/>
      <c r="C819" s="1493" t="s">
        <v>4204</v>
      </c>
      <c r="D819" s="1494"/>
      <c r="E819" s="1495">
        <f>SUM(E820:E831)</f>
        <v>4670.46</v>
      </c>
      <c r="F819" s="1496"/>
      <c r="G819" s="1497"/>
    </row>
    <row r="820" spans="1:7">
      <c r="A820" s="785">
        <v>40756</v>
      </c>
      <c r="B820" s="337" t="s">
        <v>1835</v>
      </c>
      <c r="C820" s="52" t="s">
        <v>13533</v>
      </c>
      <c r="D820" s="63"/>
      <c r="E820" s="135">
        <v>730.85</v>
      </c>
      <c r="F820" s="46" t="s">
        <v>9</v>
      </c>
      <c r="G820" s="749">
        <f t="shared" ref="G820:G831" si="41">IF(F820="X",0,E820)</f>
        <v>0</v>
      </c>
    </row>
    <row r="821" spans="1:7">
      <c r="A821" s="785">
        <v>40756</v>
      </c>
      <c r="B821" s="337" t="s">
        <v>13515</v>
      </c>
      <c r="C821" s="52" t="s">
        <v>13534</v>
      </c>
      <c r="D821" s="63"/>
      <c r="E821" s="135">
        <v>487.57</v>
      </c>
      <c r="F821" s="46" t="s">
        <v>9</v>
      </c>
      <c r="G821" s="749">
        <f t="shared" si="41"/>
        <v>0</v>
      </c>
    </row>
    <row r="822" spans="1:7">
      <c r="A822" s="785">
        <v>40756</v>
      </c>
      <c r="B822" s="337" t="s">
        <v>1835</v>
      </c>
      <c r="C822" s="52" t="s">
        <v>13535</v>
      </c>
      <c r="D822" s="63"/>
      <c r="E822" s="135">
        <v>563.41</v>
      </c>
      <c r="F822" s="46" t="s">
        <v>9</v>
      </c>
      <c r="G822" s="749">
        <f t="shared" si="41"/>
        <v>0</v>
      </c>
    </row>
    <row r="823" spans="1:7">
      <c r="A823" s="785">
        <v>40756</v>
      </c>
      <c r="B823" s="337" t="s">
        <v>13518</v>
      </c>
      <c r="C823" s="52" t="s">
        <v>13448</v>
      </c>
      <c r="D823" s="63"/>
      <c r="E823" s="135">
        <v>216.5</v>
      </c>
      <c r="F823" s="46" t="s">
        <v>9</v>
      </c>
      <c r="G823" s="749">
        <f t="shared" si="41"/>
        <v>0</v>
      </c>
    </row>
    <row r="824" spans="1:7">
      <c r="A824" s="785">
        <v>40756</v>
      </c>
      <c r="B824" s="337" t="s">
        <v>13525</v>
      </c>
      <c r="C824" s="52" t="s">
        <v>13536</v>
      </c>
      <c r="D824" s="63"/>
      <c r="E824" s="135">
        <f>979/5</f>
        <v>195.8</v>
      </c>
      <c r="F824" s="46" t="s">
        <v>9</v>
      </c>
      <c r="G824" s="749">
        <f t="shared" si="41"/>
        <v>0</v>
      </c>
    </row>
    <row r="825" spans="1:7">
      <c r="A825" s="785">
        <v>40756</v>
      </c>
      <c r="B825" s="337" t="s">
        <v>13527</v>
      </c>
      <c r="C825" s="52" t="s">
        <v>13531</v>
      </c>
      <c r="D825" s="63"/>
      <c r="E825" s="135">
        <v>175.67</v>
      </c>
      <c r="F825" s="46" t="s">
        <v>9</v>
      </c>
      <c r="G825" s="749">
        <f t="shared" si="41"/>
        <v>0</v>
      </c>
    </row>
    <row r="826" spans="1:7">
      <c r="A826" s="785">
        <v>40756</v>
      </c>
      <c r="B826" s="337" t="s">
        <v>13528</v>
      </c>
      <c r="C826" s="52" t="s">
        <v>13537</v>
      </c>
      <c r="D826" s="63"/>
      <c r="E826" s="135">
        <v>139.94999999999999</v>
      </c>
      <c r="F826" s="46" t="s">
        <v>9</v>
      </c>
      <c r="G826" s="749">
        <f t="shared" si="41"/>
        <v>0</v>
      </c>
    </row>
    <row r="827" spans="1:7">
      <c r="A827" s="792">
        <v>40756</v>
      </c>
      <c r="B827" s="793" t="s">
        <v>13530</v>
      </c>
      <c r="C827" s="794" t="s">
        <v>13485</v>
      </c>
      <c r="D827" s="795"/>
      <c r="E827" s="796">
        <v>200</v>
      </c>
      <c r="F827" s="797" t="s">
        <v>9</v>
      </c>
      <c r="G827" s="798">
        <f t="shared" si="41"/>
        <v>0</v>
      </c>
    </row>
    <row r="828" spans="1:7">
      <c r="A828" s="792">
        <v>40756</v>
      </c>
      <c r="B828" s="793" t="s">
        <v>13520</v>
      </c>
      <c r="C828" s="794" t="s">
        <v>13538</v>
      </c>
      <c r="D828" s="795"/>
      <c r="E828" s="796">
        <v>1000</v>
      </c>
      <c r="F828" s="797" t="s">
        <v>9</v>
      </c>
      <c r="G828" s="798">
        <f t="shared" si="41"/>
        <v>0</v>
      </c>
    </row>
    <row r="829" spans="1:7">
      <c r="A829" s="785">
        <v>40765</v>
      </c>
      <c r="B829" s="337" t="s">
        <v>13502</v>
      </c>
      <c r="C829" s="52" t="s">
        <v>13397</v>
      </c>
      <c r="D829" s="63"/>
      <c r="E829" s="135">
        <v>93.11</v>
      </c>
      <c r="F829" s="46" t="s">
        <v>9</v>
      </c>
      <c r="G829" s="749">
        <f t="shared" si="41"/>
        <v>0</v>
      </c>
    </row>
    <row r="830" spans="1:7">
      <c r="A830" s="785">
        <v>40770</v>
      </c>
      <c r="B830" s="337" t="s">
        <v>1835</v>
      </c>
      <c r="C830" s="52" t="s">
        <v>13539</v>
      </c>
      <c r="D830" s="63"/>
      <c r="E830" s="135">
        <v>576.27</v>
      </c>
      <c r="F830" s="46" t="s">
        <v>9</v>
      </c>
      <c r="G830" s="749">
        <f t="shared" si="41"/>
        <v>0</v>
      </c>
    </row>
    <row r="831" spans="1:7">
      <c r="A831" s="786">
        <v>40785</v>
      </c>
      <c r="B831" s="787" t="s">
        <v>13507</v>
      </c>
      <c r="C831" s="1181" t="s">
        <v>13460</v>
      </c>
      <c r="D831" s="764"/>
      <c r="E831" s="790">
        <v>291.33</v>
      </c>
      <c r="F831" s="791" t="s">
        <v>9</v>
      </c>
      <c r="G831" s="750">
        <f t="shared" si="41"/>
        <v>0</v>
      </c>
    </row>
    <row r="832" spans="1:7">
      <c r="A832" s="1484">
        <v>40787</v>
      </c>
      <c r="B832" s="1485"/>
      <c r="C832" s="1486" t="s">
        <v>4219</v>
      </c>
      <c r="D832" s="1487"/>
      <c r="E832" s="1488">
        <f>SUM(E833:E841)</f>
        <v>2881.74</v>
      </c>
      <c r="F832" s="1489"/>
      <c r="G832" s="1490"/>
    </row>
    <row r="833" spans="1:7">
      <c r="A833" s="785">
        <v>40787</v>
      </c>
      <c r="B833" s="337" t="s">
        <v>13515</v>
      </c>
      <c r="C833" s="52" t="s">
        <v>13540</v>
      </c>
      <c r="D833" s="63"/>
      <c r="E833" s="135">
        <v>487.57</v>
      </c>
      <c r="F833" s="46" t="s">
        <v>9</v>
      </c>
      <c r="G833" s="749">
        <f t="shared" ref="G833:G841" si="42">IF(F833="X",0,E833)</f>
        <v>0</v>
      </c>
    </row>
    <row r="834" spans="1:7">
      <c r="A834" s="785">
        <v>40787</v>
      </c>
      <c r="B834" s="337" t="s">
        <v>13518</v>
      </c>
      <c r="C834" s="52" t="s">
        <v>13454</v>
      </c>
      <c r="D834" s="63"/>
      <c r="E834" s="135">
        <v>216.5</v>
      </c>
      <c r="F834" s="46" t="s">
        <v>9</v>
      </c>
      <c r="G834" s="749">
        <f t="shared" si="42"/>
        <v>0</v>
      </c>
    </row>
    <row r="835" spans="1:7">
      <c r="A835" s="785">
        <v>40787</v>
      </c>
      <c r="B835" s="337" t="s">
        <v>13525</v>
      </c>
      <c r="C835" s="52" t="s">
        <v>13541</v>
      </c>
      <c r="D835" s="63"/>
      <c r="E835" s="135">
        <f>979/5</f>
        <v>195.8</v>
      </c>
      <c r="F835" s="46" t="s">
        <v>9</v>
      </c>
      <c r="G835" s="749">
        <f t="shared" si="42"/>
        <v>0</v>
      </c>
    </row>
    <row r="836" spans="1:7">
      <c r="A836" s="792">
        <v>40787</v>
      </c>
      <c r="B836" s="793" t="s">
        <v>13527</v>
      </c>
      <c r="C836" s="794" t="s">
        <v>13538</v>
      </c>
      <c r="D836" s="795"/>
      <c r="E836" s="796">
        <v>175.67</v>
      </c>
      <c r="F836" s="797" t="s">
        <v>9</v>
      </c>
      <c r="G836" s="798">
        <f t="shared" si="42"/>
        <v>0</v>
      </c>
    </row>
    <row r="837" spans="1:7">
      <c r="A837" s="785">
        <v>40787</v>
      </c>
      <c r="B837" s="337" t="s">
        <v>13528</v>
      </c>
      <c r="C837" s="52" t="s">
        <v>13542</v>
      </c>
      <c r="D837" s="63"/>
      <c r="E837" s="135">
        <v>139.94999999999999</v>
      </c>
      <c r="F837" s="46" t="s">
        <v>9</v>
      </c>
      <c r="G837" s="749">
        <f t="shared" si="42"/>
        <v>0</v>
      </c>
    </row>
    <row r="838" spans="1:7">
      <c r="A838" s="785">
        <v>40795</v>
      </c>
      <c r="B838" s="337" t="s">
        <v>1835</v>
      </c>
      <c r="C838" s="52" t="s">
        <v>13543</v>
      </c>
      <c r="D838" s="63"/>
      <c r="E838" s="135">
        <v>733.79</v>
      </c>
      <c r="F838" s="46" t="s">
        <v>9</v>
      </c>
      <c r="G838" s="749">
        <f t="shared" si="42"/>
        <v>0</v>
      </c>
    </row>
    <row r="839" spans="1:7">
      <c r="A839" s="785">
        <v>40796</v>
      </c>
      <c r="B839" s="337" t="s">
        <v>13502</v>
      </c>
      <c r="C839" s="52" t="s">
        <v>13402</v>
      </c>
      <c r="D839" s="63"/>
      <c r="E839" s="135">
        <v>93.11</v>
      </c>
      <c r="F839" s="46" t="s">
        <v>9</v>
      </c>
      <c r="G839" s="749">
        <f t="shared" si="42"/>
        <v>0</v>
      </c>
    </row>
    <row r="840" spans="1:7">
      <c r="A840" s="785">
        <v>40809</v>
      </c>
      <c r="B840" s="337" t="s">
        <v>13544</v>
      </c>
      <c r="C840" s="52" t="s">
        <v>13545</v>
      </c>
      <c r="D840" s="63"/>
      <c r="E840" s="135">
        <v>548.02</v>
      </c>
      <c r="F840" s="46" t="s">
        <v>9</v>
      </c>
      <c r="G840" s="749">
        <f t="shared" si="42"/>
        <v>0</v>
      </c>
    </row>
    <row r="841" spans="1:7">
      <c r="A841" s="786">
        <v>40816</v>
      </c>
      <c r="B841" s="787" t="s">
        <v>13507</v>
      </c>
      <c r="C841" s="1181" t="s">
        <v>13473</v>
      </c>
      <c r="D841" s="764"/>
      <c r="E841" s="790">
        <v>291.33</v>
      </c>
      <c r="F841" s="791" t="s">
        <v>9</v>
      </c>
      <c r="G841" s="750">
        <f t="shared" si="42"/>
        <v>0</v>
      </c>
    </row>
    <row r="842" spans="1:7">
      <c r="A842" s="1484">
        <v>40817</v>
      </c>
      <c r="B842" s="1485"/>
      <c r="C842" s="1486" t="s">
        <v>13546</v>
      </c>
      <c r="D842" s="1487"/>
      <c r="E842" s="1488">
        <f>SUM(E843:E849)</f>
        <v>2158.0499999999997</v>
      </c>
      <c r="F842" s="1489"/>
      <c r="G842" s="1490"/>
    </row>
    <row r="843" spans="1:7">
      <c r="A843" s="785">
        <v>40817</v>
      </c>
      <c r="B843" s="337" t="s">
        <v>1835</v>
      </c>
      <c r="C843" s="52" t="s">
        <v>13547</v>
      </c>
      <c r="D843" s="63"/>
      <c r="E843" s="135">
        <f>E838</f>
        <v>733.79</v>
      </c>
      <c r="F843" s="46" t="s">
        <v>9</v>
      </c>
      <c r="G843" s="749">
        <f t="shared" ref="G843:G849" si="43">IF(F843="X",0,E843)</f>
        <v>0</v>
      </c>
    </row>
    <row r="844" spans="1:7">
      <c r="A844" s="785">
        <v>40817</v>
      </c>
      <c r="B844" s="337" t="s">
        <v>13515</v>
      </c>
      <c r="C844" s="52" t="s">
        <v>13548</v>
      </c>
      <c r="D844" s="63"/>
      <c r="E844" s="135">
        <v>487.57</v>
      </c>
      <c r="F844" s="46" t="s">
        <v>9</v>
      </c>
      <c r="G844" s="749">
        <f t="shared" si="43"/>
        <v>0</v>
      </c>
    </row>
    <row r="845" spans="1:7">
      <c r="A845" s="785">
        <v>40817</v>
      </c>
      <c r="B845" s="337" t="s">
        <v>13518</v>
      </c>
      <c r="C845" s="52" t="s">
        <v>13467</v>
      </c>
      <c r="D845" s="63"/>
      <c r="E845" s="135">
        <v>216.5</v>
      </c>
      <c r="F845" s="46" t="s">
        <v>9</v>
      </c>
      <c r="G845" s="749">
        <f t="shared" si="43"/>
        <v>0</v>
      </c>
    </row>
    <row r="846" spans="1:7">
      <c r="A846" s="785">
        <v>40817</v>
      </c>
      <c r="B846" s="337" t="s">
        <v>13525</v>
      </c>
      <c r="C846" s="52" t="s">
        <v>13549</v>
      </c>
      <c r="D846" s="63"/>
      <c r="E846" s="135">
        <f>979/5</f>
        <v>195.8</v>
      </c>
      <c r="F846" s="46" t="s">
        <v>9</v>
      </c>
      <c r="G846" s="749">
        <f t="shared" si="43"/>
        <v>0</v>
      </c>
    </row>
    <row r="847" spans="1:7">
      <c r="A847" s="785">
        <v>40817</v>
      </c>
      <c r="B847" s="337" t="s">
        <v>13528</v>
      </c>
      <c r="C847" s="52" t="s">
        <v>13550</v>
      </c>
      <c r="D847" s="63"/>
      <c r="E847" s="135">
        <v>139.94999999999999</v>
      </c>
      <c r="F847" s="46" t="s">
        <v>9</v>
      </c>
      <c r="G847" s="749">
        <f t="shared" si="43"/>
        <v>0</v>
      </c>
    </row>
    <row r="848" spans="1:7">
      <c r="A848" s="785">
        <v>40826</v>
      </c>
      <c r="B848" s="337" t="s">
        <v>13502</v>
      </c>
      <c r="C848" s="52" t="s">
        <v>13409</v>
      </c>
      <c r="D848" s="63"/>
      <c r="E848" s="135">
        <v>93.11</v>
      </c>
      <c r="F848" s="46" t="s">
        <v>9</v>
      </c>
      <c r="G848" s="749">
        <f t="shared" si="43"/>
        <v>0</v>
      </c>
    </row>
    <row r="849" spans="1:7">
      <c r="A849" s="939">
        <v>40846</v>
      </c>
      <c r="B849" s="940" t="s">
        <v>13507</v>
      </c>
      <c r="C849" s="941" t="s">
        <v>13482</v>
      </c>
      <c r="D849" s="942"/>
      <c r="E849" s="943">
        <v>291.33</v>
      </c>
      <c r="F849" s="944" t="s">
        <v>9</v>
      </c>
      <c r="G849" s="945">
        <f t="shared" si="43"/>
        <v>0</v>
      </c>
    </row>
    <row r="850" spans="1:7">
      <c r="A850" s="1491">
        <v>40848</v>
      </c>
      <c r="B850" s="1492"/>
      <c r="C850" s="1493" t="s">
        <v>13551</v>
      </c>
      <c r="D850" s="1494"/>
      <c r="E850" s="1495">
        <f>SUM(E851:E857)</f>
        <v>2411.9</v>
      </c>
      <c r="F850" s="1496"/>
      <c r="G850" s="1497"/>
    </row>
    <row r="851" spans="1:7">
      <c r="A851" s="785">
        <v>40848</v>
      </c>
      <c r="B851" s="337" t="s">
        <v>1835</v>
      </c>
      <c r="C851" s="52" t="s">
        <v>13552</v>
      </c>
      <c r="D851" s="63"/>
      <c r="E851" s="135">
        <v>730.99</v>
      </c>
      <c r="F851" s="46" t="s">
        <v>9</v>
      </c>
      <c r="G851" s="749">
        <f t="shared" ref="G851:G857" si="44">IF(F851="X",0,E851)</f>
        <v>0</v>
      </c>
    </row>
    <row r="852" spans="1:7">
      <c r="A852" s="785">
        <v>40848</v>
      </c>
      <c r="B852" s="337" t="s">
        <v>13515</v>
      </c>
      <c r="C852" s="52" t="s">
        <v>13553</v>
      </c>
      <c r="D852" s="63"/>
      <c r="E852" s="135">
        <v>487.57</v>
      </c>
      <c r="F852" s="46" t="s">
        <v>9</v>
      </c>
      <c r="G852" s="749">
        <f t="shared" si="44"/>
        <v>0</v>
      </c>
    </row>
    <row r="853" spans="1:7">
      <c r="A853" s="792">
        <v>40848</v>
      </c>
      <c r="B853" s="793" t="s">
        <v>13518</v>
      </c>
      <c r="C853" s="794" t="s">
        <v>13475</v>
      </c>
      <c r="D853" s="795"/>
      <c r="E853" s="796">
        <v>216.5</v>
      </c>
      <c r="F853" s="797" t="s">
        <v>9</v>
      </c>
      <c r="G853" s="798">
        <f t="shared" si="44"/>
        <v>0</v>
      </c>
    </row>
    <row r="854" spans="1:7">
      <c r="A854" s="785">
        <v>40848</v>
      </c>
      <c r="B854" s="337" t="s">
        <v>13528</v>
      </c>
      <c r="C854" s="52" t="s">
        <v>13554</v>
      </c>
      <c r="D854" s="63"/>
      <c r="E854" s="135">
        <v>139.94999999999999</v>
      </c>
      <c r="F854" s="46" t="s">
        <v>9</v>
      </c>
      <c r="G854" s="749">
        <f t="shared" si="44"/>
        <v>0</v>
      </c>
    </row>
    <row r="855" spans="1:7">
      <c r="A855" s="792">
        <v>40848</v>
      </c>
      <c r="B855" s="793" t="s">
        <v>13525</v>
      </c>
      <c r="C855" s="794" t="s">
        <v>13555</v>
      </c>
      <c r="D855" s="795"/>
      <c r="E855" s="796">
        <f>979/5</f>
        <v>195.8</v>
      </c>
      <c r="F855" s="797" t="s">
        <v>9</v>
      </c>
      <c r="G855" s="798">
        <f t="shared" si="44"/>
        <v>0</v>
      </c>
    </row>
    <row r="856" spans="1:7">
      <c r="A856" s="785">
        <v>40848</v>
      </c>
      <c r="B856" s="337" t="s">
        <v>13544</v>
      </c>
      <c r="C856" s="52" t="s">
        <v>13556</v>
      </c>
      <c r="D856" s="63"/>
      <c r="E856" s="135">
        <v>547.98</v>
      </c>
      <c r="F856" s="46" t="s">
        <v>9</v>
      </c>
      <c r="G856" s="749">
        <f t="shared" si="44"/>
        <v>0</v>
      </c>
    </row>
    <row r="857" spans="1:7">
      <c r="A857" s="939">
        <v>40857</v>
      </c>
      <c r="B857" s="940" t="s">
        <v>13502</v>
      </c>
      <c r="C857" s="941" t="s">
        <v>13414</v>
      </c>
      <c r="D857" s="942"/>
      <c r="E857" s="943">
        <v>93.11</v>
      </c>
      <c r="F857" s="944" t="s">
        <v>9</v>
      </c>
      <c r="G857" s="945">
        <f t="shared" si="44"/>
        <v>0</v>
      </c>
    </row>
    <row r="858" spans="1:7">
      <c r="A858" s="1484">
        <v>40878</v>
      </c>
      <c r="B858" s="1485"/>
      <c r="C858" s="1486" t="s">
        <v>13557</v>
      </c>
      <c r="D858" s="1487"/>
      <c r="E858" s="1488">
        <f>SUM(E859:E865)</f>
        <v>3722.0700000000006</v>
      </c>
      <c r="F858" s="1489"/>
      <c r="G858" s="1490"/>
    </row>
    <row r="859" spans="1:7">
      <c r="A859" s="453">
        <v>40878</v>
      </c>
      <c r="B859" s="337" t="s">
        <v>1835</v>
      </c>
      <c r="C859" s="52" t="s">
        <v>13558</v>
      </c>
      <c r="D859" s="63"/>
      <c r="E859" s="135">
        <f>E851</f>
        <v>730.99</v>
      </c>
      <c r="F859" s="46" t="s">
        <v>9</v>
      </c>
      <c r="G859" s="140">
        <f t="shared" ref="G859:G865" si="45">IF(F859="X",0,E859)</f>
        <v>0</v>
      </c>
    </row>
    <row r="860" spans="1:7">
      <c r="A860" s="453">
        <v>40878</v>
      </c>
      <c r="B860" s="337" t="s">
        <v>13515</v>
      </c>
      <c r="C860" s="52" t="s">
        <v>13559</v>
      </c>
      <c r="D860" s="63"/>
      <c r="E860" s="135">
        <v>487.57</v>
      </c>
      <c r="F860" s="46" t="s">
        <v>9</v>
      </c>
      <c r="G860" s="140">
        <f t="shared" si="45"/>
        <v>0</v>
      </c>
    </row>
    <row r="861" spans="1:7">
      <c r="A861" s="453">
        <v>40878</v>
      </c>
      <c r="B861" s="337" t="s">
        <v>13544</v>
      </c>
      <c r="C861" s="52" t="s">
        <v>13560</v>
      </c>
      <c r="D861" s="63"/>
      <c r="E861" s="135">
        <v>547.98</v>
      </c>
      <c r="F861" s="46" t="s">
        <v>9</v>
      </c>
      <c r="G861" s="140">
        <f t="shared" si="45"/>
        <v>0</v>
      </c>
    </row>
    <row r="862" spans="1:7">
      <c r="A862" s="453">
        <v>40878</v>
      </c>
      <c r="B862" s="337" t="s">
        <v>13528</v>
      </c>
      <c r="C862" s="52" t="s">
        <v>13561</v>
      </c>
      <c r="D862" s="63"/>
      <c r="E862" s="135">
        <v>139.94999999999999</v>
      </c>
      <c r="F862" s="46" t="s">
        <v>9</v>
      </c>
      <c r="G862" s="140">
        <f t="shared" si="45"/>
        <v>0</v>
      </c>
    </row>
    <row r="863" spans="1:7">
      <c r="A863" s="792">
        <v>40892</v>
      </c>
      <c r="B863" s="793" t="s">
        <v>13544</v>
      </c>
      <c r="C863" s="794" t="s">
        <v>13562</v>
      </c>
      <c r="D863" s="795"/>
      <c r="E863" s="796">
        <v>547.98</v>
      </c>
      <c r="F863" s="797" t="s">
        <v>9</v>
      </c>
      <c r="G863" s="798">
        <f t="shared" si="45"/>
        <v>0</v>
      </c>
    </row>
    <row r="864" spans="1:7">
      <c r="A864" s="453">
        <v>40892</v>
      </c>
      <c r="B864" s="337" t="s">
        <v>1835</v>
      </c>
      <c r="C864" s="52" t="s">
        <v>13563</v>
      </c>
      <c r="D864" s="63"/>
      <c r="E864" s="135">
        <v>629.22</v>
      </c>
      <c r="F864" s="46" t="s">
        <v>9</v>
      </c>
      <c r="G864" s="151">
        <f t="shared" si="45"/>
        <v>0</v>
      </c>
    </row>
    <row r="865" spans="1:7">
      <c r="A865" s="453">
        <v>40892</v>
      </c>
      <c r="B865" s="337" t="s">
        <v>1835</v>
      </c>
      <c r="C865" s="52" t="s">
        <v>13564</v>
      </c>
      <c r="D865" s="63"/>
      <c r="E865" s="135">
        <v>638.38</v>
      </c>
      <c r="F865" s="46" t="s">
        <v>9</v>
      </c>
      <c r="G865" s="140">
        <f t="shared" si="45"/>
        <v>0</v>
      </c>
    </row>
    <row r="866" spans="1:7">
      <c r="A866" s="1491">
        <v>40909</v>
      </c>
      <c r="B866" s="1492"/>
      <c r="C866" s="1493" t="s">
        <v>13565</v>
      </c>
      <c r="D866" s="1494"/>
      <c r="E866" s="1495">
        <f>SUM(E867:E871)</f>
        <v>2677.44</v>
      </c>
      <c r="F866" s="1496"/>
      <c r="G866" s="1497"/>
    </row>
    <row r="867" spans="1:7">
      <c r="A867" s="785">
        <v>40909</v>
      </c>
      <c r="B867" s="337" t="s">
        <v>13515</v>
      </c>
      <c r="C867" s="52" t="s">
        <v>13566</v>
      </c>
      <c r="D867" s="63"/>
      <c r="E867" s="135">
        <v>487.57</v>
      </c>
      <c r="F867" s="46" t="s">
        <v>9</v>
      </c>
      <c r="G867" s="749">
        <f>IF(F867="X",0,E867)</f>
        <v>0</v>
      </c>
    </row>
    <row r="868" spans="1:7">
      <c r="A868" s="785">
        <v>40909</v>
      </c>
      <c r="B868" s="337" t="s">
        <v>13528</v>
      </c>
      <c r="C868" s="52" t="s">
        <v>13567</v>
      </c>
      <c r="D868" s="63"/>
      <c r="E868" s="135">
        <v>139.94999999999999</v>
      </c>
      <c r="F868" s="46" t="s">
        <v>9</v>
      </c>
      <c r="G868" s="749">
        <f>IF(F868="X",0,E868)</f>
        <v>0</v>
      </c>
    </row>
    <row r="869" spans="1:7">
      <c r="A869" s="785">
        <v>40909</v>
      </c>
      <c r="B869" s="337" t="s">
        <v>1835</v>
      </c>
      <c r="C869" s="52" t="s">
        <v>13568</v>
      </c>
      <c r="D869" s="63"/>
      <c r="E869" s="135">
        <v>731.4</v>
      </c>
      <c r="F869" s="46" t="s">
        <v>9</v>
      </c>
      <c r="G869" s="749">
        <f>IF(F869="X",0,E869)</f>
        <v>0</v>
      </c>
    </row>
    <row r="870" spans="1:7">
      <c r="A870" s="785">
        <v>40910</v>
      </c>
      <c r="B870" s="337" t="s">
        <v>1835</v>
      </c>
      <c r="C870" s="52" t="s">
        <v>13569</v>
      </c>
      <c r="D870" s="63"/>
      <c r="E870" s="135">
        <v>652.80999999999995</v>
      </c>
      <c r="F870" s="46" t="s">
        <v>9</v>
      </c>
      <c r="G870" s="749">
        <f>IF(F870="X",0,E870)</f>
        <v>0</v>
      </c>
    </row>
    <row r="871" spans="1:7">
      <c r="A871" s="786">
        <v>40921</v>
      </c>
      <c r="B871" s="787" t="s">
        <v>1835</v>
      </c>
      <c r="C871" s="1181" t="s">
        <v>13570</v>
      </c>
      <c r="D871" s="764"/>
      <c r="E871" s="790">
        <v>665.71</v>
      </c>
      <c r="F871" s="791" t="s">
        <v>9</v>
      </c>
      <c r="G871" s="750">
        <f>IF(F871="X",0,E871)</f>
        <v>0</v>
      </c>
    </row>
    <row r="872" spans="1:7">
      <c r="A872" s="1484">
        <v>40940</v>
      </c>
      <c r="B872" s="1485"/>
      <c r="C872" s="1486" t="s">
        <v>13571</v>
      </c>
      <c r="D872" s="1487"/>
      <c r="E872" s="1488">
        <f>SUM(E873:E879)</f>
        <v>3543.67</v>
      </c>
      <c r="F872" s="1489"/>
      <c r="G872" s="1490"/>
    </row>
    <row r="873" spans="1:7">
      <c r="A873" s="453">
        <v>40940</v>
      </c>
      <c r="B873" s="337" t="s">
        <v>13515</v>
      </c>
      <c r="C873" s="52" t="s">
        <v>13572</v>
      </c>
      <c r="D873" s="63"/>
      <c r="E873" s="135">
        <v>487.57</v>
      </c>
      <c r="F873" s="46" t="s">
        <v>9</v>
      </c>
      <c r="G873" s="151">
        <f t="shared" ref="G873:G879" si="46">IF(F873="X",0,E873)</f>
        <v>0</v>
      </c>
    </row>
    <row r="874" spans="1:7">
      <c r="A874" s="453">
        <v>40940</v>
      </c>
      <c r="B874" s="337" t="s">
        <v>13528</v>
      </c>
      <c r="C874" s="52" t="s">
        <v>13573</v>
      </c>
      <c r="D874" s="63"/>
      <c r="E874" s="135">
        <v>139.94999999999999</v>
      </c>
      <c r="F874" s="46" t="s">
        <v>9</v>
      </c>
      <c r="G874" s="151">
        <f t="shared" si="46"/>
        <v>0</v>
      </c>
    </row>
    <row r="875" spans="1:7">
      <c r="A875" s="454">
        <v>40940</v>
      </c>
      <c r="B875" s="337" t="s">
        <v>1835</v>
      </c>
      <c r="C875" s="52" t="s">
        <v>13574</v>
      </c>
      <c r="D875" s="63"/>
      <c r="E875" s="135">
        <f>E869</f>
        <v>731.4</v>
      </c>
      <c r="F875" s="46" t="s">
        <v>9</v>
      </c>
      <c r="G875" s="151">
        <f t="shared" si="46"/>
        <v>0</v>
      </c>
    </row>
    <row r="876" spans="1:7">
      <c r="A876" s="453">
        <v>40940</v>
      </c>
      <c r="B876" s="337" t="s">
        <v>1835</v>
      </c>
      <c r="C876" s="52" t="s">
        <v>13575</v>
      </c>
      <c r="D876" s="63"/>
      <c r="E876" s="135">
        <v>682.68</v>
      </c>
      <c r="F876" s="46" t="s">
        <v>9</v>
      </c>
      <c r="G876" s="151">
        <f t="shared" si="46"/>
        <v>0</v>
      </c>
    </row>
    <row r="877" spans="1:7">
      <c r="A877" s="453">
        <v>40949</v>
      </c>
      <c r="B877" s="337" t="s">
        <v>13576</v>
      </c>
      <c r="C877" s="52" t="s">
        <v>13356</v>
      </c>
      <c r="D877" s="63"/>
      <c r="E877" s="135">
        <v>99.29</v>
      </c>
      <c r="F877" s="46" t="s">
        <v>9</v>
      </c>
      <c r="G877" s="151">
        <f t="shared" si="46"/>
        <v>0</v>
      </c>
    </row>
    <row r="878" spans="1:7">
      <c r="A878" s="453">
        <v>40954</v>
      </c>
      <c r="B878" s="337" t="s">
        <v>1835</v>
      </c>
      <c r="C878" s="52" t="s">
        <v>13577</v>
      </c>
      <c r="D878" s="63"/>
      <c r="E878" s="135">
        <v>696.45</v>
      </c>
      <c r="F878" s="46" t="s">
        <v>9</v>
      </c>
      <c r="G878" s="151">
        <f t="shared" si="46"/>
        <v>0</v>
      </c>
    </row>
    <row r="879" spans="1:7">
      <c r="A879" s="453">
        <v>40954</v>
      </c>
      <c r="B879" s="774" t="s">
        <v>1835</v>
      </c>
      <c r="C879" s="52" t="s">
        <v>13578</v>
      </c>
      <c r="D879" s="63"/>
      <c r="E879" s="135">
        <v>706.33</v>
      </c>
      <c r="F879" s="46" t="s">
        <v>9</v>
      </c>
      <c r="G879" s="151">
        <f t="shared" si="46"/>
        <v>0</v>
      </c>
    </row>
    <row r="880" spans="1:7">
      <c r="A880" s="1484">
        <v>40969</v>
      </c>
      <c r="B880" s="1485"/>
      <c r="C880" s="1486" t="s">
        <v>5815</v>
      </c>
      <c r="D880" s="1487"/>
      <c r="E880" s="1488">
        <f>SUM(E881:E885)</f>
        <v>2179.12</v>
      </c>
      <c r="F880" s="1489"/>
      <c r="G880" s="1490"/>
    </row>
    <row r="881" spans="1:7">
      <c r="A881" s="1350">
        <v>40969</v>
      </c>
      <c r="B881" s="1351" t="s">
        <v>13515</v>
      </c>
      <c r="C881" s="1352" t="s">
        <v>13579</v>
      </c>
      <c r="D881" s="1353"/>
      <c r="E881" s="1354">
        <v>487.57</v>
      </c>
      <c r="F881" s="1355" t="s">
        <v>9</v>
      </c>
      <c r="G881" s="1356">
        <f>IF(F881="X",0,E881)</f>
        <v>0</v>
      </c>
    </row>
    <row r="882" spans="1:7">
      <c r="A882" s="785">
        <v>40969</v>
      </c>
      <c r="B882" s="337" t="s">
        <v>13528</v>
      </c>
      <c r="C882" s="52" t="s">
        <v>13580</v>
      </c>
      <c r="D882" s="63"/>
      <c r="E882" s="135">
        <v>139.94999999999999</v>
      </c>
      <c r="F882" s="46" t="s">
        <v>9</v>
      </c>
      <c r="G882" s="749">
        <f>IF(F882="X",0,E882)</f>
        <v>0</v>
      </c>
    </row>
    <row r="883" spans="1:7">
      <c r="A883" s="785">
        <v>40969</v>
      </c>
      <c r="B883" s="337" t="s">
        <v>1835</v>
      </c>
      <c r="C883" s="52" t="s">
        <v>13581</v>
      </c>
      <c r="D883" s="63"/>
      <c r="E883" s="135">
        <f>E875</f>
        <v>731.4</v>
      </c>
      <c r="F883" s="46" t="s">
        <v>9</v>
      </c>
      <c r="G883" s="749">
        <f>IF(F883="X",0,E883)</f>
        <v>0</v>
      </c>
    </row>
    <row r="884" spans="1:7">
      <c r="A884" s="785">
        <v>41009</v>
      </c>
      <c r="B884" s="337" t="s">
        <v>13576</v>
      </c>
      <c r="C884" s="52" t="s">
        <v>13368</v>
      </c>
      <c r="D884" s="63"/>
      <c r="E884" s="135">
        <v>99.29</v>
      </c>
      <c r="F884" s="46" t="s">
        <v>9</v>
      </c>
      <c r="G884" s="749">
        <f>IF(F884="X",0,E884)</f>
        <v>0</v>
      </c>
    </row>
    <row r="885" spans="1:7">
      <c r="A885" s="939">
        <v>40983</v>
      </c>
      <c r="B885" s="940" t="s">
        <v>1835</v>
      </c>
      <c r="C885" s="941" t="s">
        <v>13582</v>
      </c>
      <c r="D885" s="942"/>
      <c r="E885" s="943">
        <v>720.91</v>
      </c>
      <c r="F885" s="944" t="s">
        <v>9</v>
      </c>
      <c r="G885" s="945">
        <f>IF(F885="X",0,E885)</f>
        <v>0</v>
      </c>
    </row>
    <row r="886" spans="1:7">
      <c r="A886" s="1484">
        <v>41000</v>
      </c>
      <c r="B886" s="1485"/>
      <c r="C886" s="1486" t="s">
        <v>5817</v>
      </c>
      <c r="D886" s="1487"/>
      <c r="E886" s="1488">
        <f>SUM(E887:E887)</f>
        <v>139.94999999999999</v>
      </c>
      <c r="F886" s="1489"/>
      <c r="G886" s="1490"/>
    </row>
    <row r="887" spans="1:7">
      <c r="A887" s="453">
        <v>41000</v>
      </c>
      <c r="B887" s="337" t="s">
        <v>13528</v>
      </c>
      <c r="C887" s="52" t="s">
        <v>13583</v>
      </c>
      <c r="D887" s="63"/>
      <c r="E887" s="135">
        <v>139.94999999999999</v>
      </c>
      <c r="F887" s="46" t="s">
        <v>9</v>
      </c>
      <c r="G887" s="151">
        <f>IF(F887="X",0,E887)</f>
        <v>0</v>
      </c>
    </row>
    <row r="888" spans="1:7">
      <c r="A888" s="453">
        <v>41009</v>
      </c>
      <c r="B888" s="337" t="s">
        <v>13584</v>
      </c>
      <c r="C888" s="52" t="s">
        <v>13459</v>
      </c>
      <c r="D888" s="63"/>
      <c r="E888" s="135">
        <v>480</v>
      </c>
      <c r="F888" s="46" t="s">
        <v>9</v>
      </c>
      <c r="G888" s="151">
        <f>IF(F888="X",0,E888)</f>
        <v>0</v>
      </c>
    </row>
    <row r="889" spans="1:7">
      <c r="A889" s="453">
        <v>41009</v>
      </c>
      <c r="B889" s="337" t="s">
        <v>13576</v>
      </c>
      <c r="C889" s="52" t="s">
        <v>13376</v>
      </c>
      <c r="D889" s="63"/>
      <c r="E889" s="135">
        <v>99.29</v>
      </c>
      <c r="F889" s="46" t="s">
        <v>9</v>
      </c>
      <c r="G889" s="151">
        <f>IF(F889="X",0,E889)</f>
        <v>0</v>
      </c>
    </row>
    <row r="890" spans="1:7">
      <c r="A890" s="453">
        <v>41029</v>
      </c>
      <c r="B890" s="337" t="s">
        <v>13585</v>
      </c>
      <c r="C890" s="52" t="s">
        <v>13586</v>
      </c>
      <c r="D890" s="63"/>
      <c r="E890" s="135">
        <v>386.13</v>
      </c>
      <c r="F890" s="46" t="s">
        <v>9</v>
      </c>
      <c r="G890" s="151">
        <f>IF(F890="X",0,E890)</f>
        <v>0</v>
      </c>
    </row>
    <row r="891" spans="1:7">
      <c r="A891" s="1491">
        <v>41030</v>
      </c>
      <c r="B891" s="1492"/>
      <c r="C891" s="1493" t="s">
        <v>5819</v>
      </c>
      <c r="D891" s="1494"/>
      <c r="E891" s="1495">
        <f>SUM(E892:E895)</f>
        <v>1109.23</v>
      </c>
      <c r="F891" s="1496"/>
      <c r="G891" s="1497"/>
    </row>
    <row r="892" spans="1:7">
      <c r="A892" s="785">
        <v>41030</v>
      </c>
      <c r="B892" s="337" t="s">
        <v>13528</v>
      </c>
      <c r="C892" s="52" t="s">
        <v>13587</v>
      </c>
      <c r="D892" s="63"/>
      <c r="E892" s="135">
        <v>139.94999999999999</v>
      </c>
      <c r="F892" s="46" t="s">
        <v>9</v>
      </c>
      <c r="G892" s="749">
        <f>IF(F892="X",0,E892)</f>
        <v>0</v>
      </c>
    </row>
    <row r="893" spans="1:7">
      <c r="A893" s="785">
        <v>41039</v>
      </c>
      <c r="B893" s="337" t="s">
        <v>13584</v>
      </c>
      <c r="C893" s="52" t="s">
        <v>13481</v>
      </c>
      <c r="D893" s="63"/>
      <c r="E893" s="135">
        <v>480</v>
      </c>
      <c r="F893" s="46" t="s">
        <v>9</v>
      </c>
      <c r="G893" s="749">
        <f>IF(F893="X",0,E893)</f>
        <v>0</v>
      </c>
    </row>
    <row r="894" spans="1:7">
      <c r="A894" s="785">
        <v>41039</v>
      </c>
      <c r="B894" s="337" t="s">
        <v>13576</v>
      </c>
      <c r="C894" s="52" t="s">
        <v>13380</v>
      </c>
      <c r="D894" s="63"/>
      <c r="E894" s="135">
        <v>99.29</v>
      </c>
      <c r="F894" s="46" t="s">
        <v>9</v>
      </c>
      <c r="G894" s="749">
        <f>IF(F894="X",0,E894)</f>
        <v>0</v>
      </c>
    </row>
    <row r="895" spans="1:7">
      <c r="A895" s="786">
        <v>41060</v>
      </c>
      <c r="B895" s="787" t="s">
        <v>13585</v>
      </c>
      <c r="C895" s="1181" t="s">
        <v>13588</v>
      </c>
      <c r="D895" s="764"/>
      <c r="E895" s="790">
        <v>389.99</v>
      </c>
      <c r="F895" s="791" t="s">
        <v>9</v>
      </c>
      <c r="G895" s="750">
        <f>IF(F895="X",0,E895)</f>
        <v>0</v>
      </c>
    </row>
    <row r="896" spans="1:7">
      <c r="A896" s="1484">
        <v>41061</v>
      </c>
      <c r="B896" s="1485"/>
      <c r="C896" s="1486" t="s">
        <v>13589</v>
      </c>
      <c r="D896" s="1487"/>
      <c r="E896" s="1488">
        <f>SUM(E897:E900)</f>
        <v>1112.08</v>
      </c>
      <c r="F896" s="1489"/>
      <c r="G896" s="1490"/>
    </row>
    <row r="897" spans="1:7">
      <c r="A897" s="792">
        <v>41061</v>
      </c>
      <c r="B897" s="793" t="s">
        <v>13528</v>
      </c>
      <c r="C897" s="794" t="s">
        <v>13590</v>
      </c>
      <c r="D897" s="795"/>
      <c r="E897" s="796">
        <v>139.94999999999999</v>
      </c>
      <c r="F897" s="797" t="s">
        <v>9</v>
      </c>
      <c r="G897" s="798">
        <f>IF(F897="X",0,E897)</f>
        <v>0</v>
      </c>
    </row>
    <row r="898" spans="1:7">
      <c r="A898" s="453">
        <v>41070</v>
      </c>
      <c r="B898" s="337" t="s">
        <v>13584</v>
      </c>
      <c r="C898" s="52" t="s">
        <v>13489</v>
      </c>
      <c r="D898" s="63"/>
      <c r="E898" s="135">
        <v>480</v>
      </c>
      <c r="F898" s="46" t="s">
        <v>9</v>
      </c>
      <c r="G898" s="151">
        <f>IF(F898="X",0,E898)</f>
        <v>0</v>
      </c>
    </row>
    <row r="899" spans="1:7">
      <c r="A899" s="453">
        <v>41070</v>
      </c>
      <c r="B899" s="337" t="s">
        <v>13576</v>
      </c>
      <c r="C899" s="52" t="s">
        <v>13384</v>
      </c>
      <c r="D899" s="63"/>
      <c r="E899" s="135">
        <v>99.29</v>
      </c>
      <c r="F899" s="46" t="s">
        <v>9</v>
      </c>
      <c r="G899" s="151">
        <f>IF(F899="X",0,E899)</f>
        <v>0</v>
      </c>
    </row>
    <row r="900" spans="1:7">
      <c r="A900" s="453">
        <v>41090</v>
      </c>
      <c r="B900" s="337" t="s">
        <v>13585</v>
      </c>
      <c r="C900" s="52" t="s">
        <v>13591</v>
      </c>
      <c r="D900" s="63"/>
      <c r="E900" s="135">
        <v>392.84</v>
      </c>
      <c r="F900" s="46" t="s">
        <v>9</v>
      </c>
      <c r="G900" s="151">
        <f>IF(F900="X",0,E900)</f>
        <v>0</v>
      </c>
    </row>
    <row r="901" spans="1:7">
      <c r="A901" s="1491">
        <v>41091</v>
      </c>
      <c r="B901" s="1492"/>
      <c r="C901" s="1493" t="s">
        <v>13592</v>
      </c>
      <c r="D901" s="1494"/>
      <c r="E901" s="1495">
        <f>SUM(E903:E905)</f>
        <v>974.59999999999991</v>
      </c>
      <c r="F901" s="1496"/>
      <c r="G901" s="1497"/>
    </row>
    <row r="902" spans="1:7">
      <c r="A902" s="785">
        <v>41091</v>
      </c>
      <c r="B902" s="337" t="s">
        <v>13593</v>
      </c>
      <c r="C902" s="776" t="s">
        <v>13521</v>
      </c>
      <c r="D902" s="134"/>
      <c r="E902" s="135">
        <v>26.64</v>
      </c>
      <c r="F902" s="46" t="s">
        <v>9</v>
      </c>
      <c r="G902" s="749">
        <f>IF(F902="X",0,E902)</f>
        <v>0</v>
      </c>
    </row>
    <row r="903" spans="1:7">
      <c r="A903" s="785">
        <v>41100</v>
      </c>
      <c r="B903" s="337" t="s">
        <v>13576</v>
      </c>
      <c r="C903" s="52" t="s">
        <v>13387</v>
      </c>
      <c r="D903" s="63"/>
      <c r="E903" s="135">
        <v>99.29</v>
      </c>
      <c r="F903" s="46" t="s">
        <v>9</v>
      </c>
      <c r="G903" s="749">
        <f>IF(F903="X",0,E903)</f>
        <v>0</v>
      </c>
    </row>
    <row r="904" spans="1:7">
      <c r="A904" s="792">
        <v>41100</v>
      </c>
      <c r="B904" s="793" t="s">
        <v>13584</v>
      </c>
      <c r="C904" s="794" t="s">
        <v>13493</v>
      </c>
      <c r="D904" s="795"/>
      <c r="E904" s="796">
        <v>480</v>
      </c>
      <c r="F904" s="797" t="s">
        <v>9</v>
      </c>
      <c r="G904" s="798">
        <f>IF(F904="X",0,E904)</f>
        <v>0</v>
      </c>
    </row>
    <row r="905" spans="1:7">
      <c r="A905" s="786">
        <v>41121</v>
      </c>
      <c r="B905" s="787" t="s">
        <v>13585</v>
      </c>
      <c r="C905" s="1181" t="s">
        <v>13594</v>
      </c>
      <c r="D905" s="764"/>
      <c r="E905" s="1411">
        <v>395.31</v>
      </c>
      <c r="F905" s="791" t="s">
        <v>9</v>
      </c>
      <c r="G905" s="750">
        <f>IF(F905="X",0,E905)</f>
        <v>0</v>
      </c>
    </row>
    <row r="906" spans="1:7">
      <c r="A906" s="1484"/>
      <c r="B906" s="1485"/>
      <c r="C906" s="1486" t="s">
        <v>13595</v>
      </c>
      <c r="D906" s="1487"/>
      <c r="E906" s="1488">
        <f>SUM(E907:E909)</f>
        <v>522.97</v>
      </c>
      <c r="F906" s="1489"/>
      <c r="G906" s="1490"/>
    </row>
    <row r="907" spans="1:7">
      <c r="A907" s="454">
        <v>41122</v>
      </c>
      <c r="B907" s="337" t="s">
        <v>13593</v>
      </c>
      <c r="C907" s="776" t="s">
        <v>13531</v>
      </c>
      <c r="D907" s="134"/>
      <c r="E907" s="135">
        <v>26.64</v>
      </c>
      <c r="F907" s="46" t="s">
        <v>9</v>
      </c>
      <c r="G907" s="151">
        <f>IF(F907="X",0,E907)</f>
        <v>0</v>
      </c>
    </row>
    <row r="908" spans="1:7">
      <c r="A908" s="453">
        <v>41131</v>
      </c>
      <c r="B908" s="337" t="s">
        <v>13576</v>
      </c>
      <c r="C908" s="52" t="s">
        <v>13397</v>
      </c>
      <c r="D908" s="63"/>
      <c r="E908" s="135">
        <v>99.29</v>
      </c>
      <c r="F908" s="46" t="s">
        <v>9</v>
      </c>
      <c r="G908" s="151">
        <f>IF(F908="X",0,E908)</f>
        <v>0</v>
      </c>
    </row>
    <row r="909" spans="1:7">
      <c r="A909" s="785">
        <v>41152</v>
      </c>
      <c r="B909" s="337" t="s">
        <v>13585</v>
      </c>
      <c r="C909" s="52" t="s">
        <v>13596</v>
      </c>
      <c r="D909" s="63"/>
      <c r="E909" s="135">
        <v>397.04</v>
      </c>
      <c r="F909" s="46" t="s">
        <v>9</v>
      </c>
      <c r="G909" s="749">
        <f>IF(F909="X",0,E909)</f>
        <v>0</v>
      </c>
    </row>
    <row r="910" spans="1:7">
      <c r="A910" s="1491"/>
      <c r="B910" s="1492"/>
      <c r="C910" s="1493" t="s">
        <v>13597</v>
      </c>
      <c r="D910" s="1494"/>
      <c r="E910" s="1495">
        <f>SUM(E911:E913)</f>
        <v>526.53</v>
      </c>
      <c r="F910" s="1496"/>
      <c r="G910" s="1497"/>
    </row>
    <row r="911" spans="1:7">
      <c r="A911" s="792">
        <v>41153</v>
      </c>
      <c r="B911" s="793" t="s">
        <v>13593</v>
      </c>
      <c r="C911" s="794" t="s">
        <v>13538</v>
      </c>
      <c r="D911" s="795"/>
      <c r="E911" s="796">
        <v>26.64</v>
      </c>
      <c r="F911" s="797" t="s">
        <v>9</v>
      </c>
      <c r="G911" s="798">
        <f>IF(F911="X",0,E911)</f>
        <v>0</v>
      </c>
    </row>
    <row r="912" spans="1:7">
      <c r="A912" s="785">
        <v>41162</v>
      </c>
      <c r="B912" s="337" t="s">
        <v>13576</v>
      </c>
      <c r="C912" s="52" t="s">
        <v>13402</v>
      </c>
      <c r="D912" s="63"/>
      <c r="E912" s="135">
        <v>99.29</v>
      </c>
      <c r="F912" s="46" t="s">
        <v>9</v>
      </c>
      <c r="G912" s="749">
        <f>IF(F912="X",0,E912)</f>
        <v>0</v>
      </c>
    </row>
    <row r="913" spans="1:7">
      <c r="A913" s="786">
        <v>41182</v>
      </c>
      <c r="B913" s="787" t="s">
        <v>13585</v>
      </c>
      <c r="C913" s="1181" t="s">
        <v>13598</v>
      </c>
      <c r="D913" s="764"/>
      <c r="E913" s="790">
        <v>400.6</v>
      </c>
      <c r="F913" s="791" t="s">
        <v>9</v>
      </c>
      <c r="G913" s="750">
        <f>IF(F913="X",0,E913)</f>
        <v>0</v>
      </c>
    </row>
    <row r="914" spans="1:7">
      <c r="A914" s="1484"/>
      <c r="B914" s="1485"/>
      <c r="C914" s="1486" t="s">
        <v>13599</v>
      </c>
      <c r="D914" s="1487"/>
      <c r="E914" s="1488">
        <f>SUM(E915:E917)</f>
        <v>934.98</v>
      </c>
      <c r="F914" s="1489"/>
      <c r="G914" s="1490"/>
    </row>
    <row r="915" spans="1:7">
      <c r="A915" s="785">
        <v>41183</v>
      </c>
      <c r="B915" s="337" t="s">
        <v>13600</v>
      </c>
      <c r="C915" s="776" t="s">
        <v>13521</v>
      </c>
      <c r="D915" s="134"/>
      <c r="E915" s="135">
        <v>433</v>
      </c>
      <c r="F915" s="46" t="s">
        <v>9</v>
      </c>
      <c r="G915" s="151">
        <f>IF(F915="X",0,E915)</f>
        <v>0</v>
      </c>
    </row>
    <row r="916" spans="1:7">
      <c r="A916" s="453">
        <v>41192</v>
      </c>
      <c r="B916" s="337" t="s">
        <v>13576</v>
      </c>
      <c r="C916" s="52" t="s">
        <v>13409</v>
      </c>
      <c r="D916" s="63"/>
      <c r="E916" s="135">
        <v>99.29</v>
      </c>
      <c r="F916" s="46" t="s">
        <v>9</v>
      </c>
      <c r="G916" s="151">
        <f>IF(F916="X",0,E916)</f>
        <v>0</v>
      </c>
    </row>
    <row r="917" spans="1:7">
      <c r="A917" s="785">
        <v>41213</v>
      </c>
      <c r="B917" s="337" t="s">
        <v>13585</v>
      </c>
      <c r="C917" s="52" t="s">
        <v>13601</v>
      </c>
      <c r="D917" s="63"/>
      <c r="E917" s="135">
        <v>402.69</v>
      </c>
      <c r="F917" s="46" t="s">
        <v>9</v>
      </c>
      <c r="G917" s="749">
        <f>IF(F917="X",0,E917)</f>
        <v>0</v>
      </c>
    </row>
    <row r="918" spans="1:7">
      <c r="A918" s="1491"/>
      <c r="B918" s="1492"/>
      <c r="C918" s="1493" t="s">
        <v>13602</v>
      </c>
      <c r="D918" s="1494"/>
      <c r="E918" s="1495">
        <f>SUM(E919:E924)</f>
        <v>1816.9099999999999</v>
      </c>
      <c r="F918" s="1496"/>
      <c r="G918" s="1497"/>
    </row>
    <row r="919" spans="1:7">
      <c r="A919" s="785">
        <v>41214</v>
      </c>
      <c r="B919" s="337" t="s">
        <v>13600</v>
      </c>
      <c r="C919" s="776" t="s">
        <v>13531</v>
      </c>
      <c r="D919" s="134"/>
      <c r="E919" s="135">
        <v>433</v>
      </c>
      <c r="F919" s="46" t="s">
        <v>9</v>
      </c>
      <c r="G919" s="749">
        <f t="shared" ref="G919:G924" si="47">IF(F919="X",0,E919)</f>
        <v>0</v>
      </c>
    </row>
    <row r="920" spans="1:7">
      <c r="A920" s="785">
        <v>41214</v>
      </c>
      <c r="B920" s="337" t="s">
        <v>13603</v>
      </c>
      <c r="C920" s="776" t="s">
        <v>13459</v>
      </c>
      <c r="D920" s="134"/>
      <c r="E920" s="135">
        <v>38.25</v>
      </c>
      <c r="F920" s="46" t="s">
        <v>9</v>
      </c>
      <c r="G920" s="749">
        <f t="shared" si="47"/>
        <v>0</v>
      </c>
    </row>
    <row r="921" spans="1:7">
      <c r="A921" s="785">
        <v>41216</v>
      </c>
      <c r="B921" s="337" t="s">
        <v>13604</v>
      </c>
      <c r="C921" s="776" t="s">
        <v>13459</v>
      </c>
      <c r="D921" s="134"/>
      <c r="E921" s="135">
        <v>698.23</v>
      </c>
      <c r="F921" s="46" t="s">
        <v>9</v>
      </c>
      <c r="G921" s="749">
        <f t="shared" si="47"/>
        <v>0</v>
      </c>
    </row>
    <row r="922" spans="1:7">
      <c r="A922" s="792">
        <v>41223</v>
      </c>
      <c r="B922" s="793" t="s">
        <v>13576</v>
      </c>
      <c r="C922" s="794" t="s">
        <v>13414</v>
      </c>
      <c r="D922" s="795"/>
      <c r="E922" s="796">
        <v>99.29</v>
      </c>
      <c r="F922" s="797" t="s">
        <v>9</v>
      </c>
      <c r="G922" s="798">
        <f t="shared" si="47"/>
        <v>0</v>
      </c>
    </row>
    <row r="923" spans="1:7">
      <c r="A923" s="785">
        <v>41232</v>
      </c>
      <c r="B923" s="337" t="s">
        <v>13605</v>
      </c>
      <c r="C923" s="332" t="s">
        <v>13606</v>
      </c>
      <c r="D923" s="134"/>
      <c r="E923" s="135">
        <v>143.09</v>
      </c>
      <c r="F923" s="46" t="s">
        <v>9</v>
      </c>
      <c r="G923" s="749">
        <f t="shared" si="47"/>
        <v>0</v>
      </c>
    </row>
    <row r="924" spans="1:7">
      <c r="A924" s="939">
        <v>41243</v>
      </c>
      <c r="B924" s="940" t="s">
        <v>13585</v>
      </c>
      <c r="C924" s="941" t="s">
        <v>13607</v>
      </c>
      <c r="D924" s="942"/>
      <c r="E924" s="943">
        <v>405.05</v>
      </c>
      <c r="F924" s="944" t="s">
        <v>9</v>
      </c>
      <c r="G924" s="945">
        <f t="shared" si="47"/>
        <v>0</v>
      </c>
    </row>
    <row r="925" spans="1:7" ht="15.75" customHeight="1">
      <c r="A925" s="1491"/>
      <c r="B925" s="1492"/>
      <c r="C925" s="1493" t="s">
        <v>13608</v>
      </c>
      <c r="D925" s="1494"/>
      <c r="E925" s="1495">
        <f>SUM(E926:E931)</f>
        <v>1732.11</v>
      </c>
      <c r="F925" s="1496"/>
      <c r="G925" s="1497"/>
    </row>
    <row r="926" spans="1:7">
      <c r="A926" s="792">
        <v>41244</v>
      </c>
      <c r="B926" s="793" t="s">
        <v>13600</v>
      </c>
      <c r="C926" s="794" t="s">
        <v>13538</v>
      </c>
      <c r="D926" s="795"/>
      <c r="E926" s="796">
        <v>433</v>
      </c>
      <c r="F926" s="797" t="s">
        <v>9</v>
      </c>
      <c r="G926" s="798">
        <f t="shared" ref="G926:G931" si="48">IF(F926="X",0,E926)</f>
        <v>0</v>
      </c>
    </row>
    <row r="927" spans="1:7">
      <c r="A927" s="785">
        <v>41244</v>
      </c>
      <c r="B927" s="337" t="s">
        <v>13603</v>
      </c>
      <c r="C927" s="776" t="s">
        <v>13481</v>
      </c>
      <c r="D927" s="134"/>
      <c r="E927" s="135">
        <v>38.25</v>
      </c>
      <c r="F927" s="46" t="s">
        <v>9</v>
      </c>
      <c r="G927" s="749">
        <f t="shared" si="48"/>
        <v>0</v>
      </c>
    </row>
    <row r="928" spans="1:7">
      <c r="A928" s="785">
        <v>41246</v>
      </c>
      <c r="B928" s="337" t="s">
        <v>13604</v>
      </c>
      <c r="C928" s="776" t="s">
        <v>13481</v>
      </c>
      <c r="D928" s="134"/>
      <c r="E928" s="135">
        <v>698.23</v>
      </c>
      <c r="F928" s="46" t="s">
        <v>9</v>
      </c>
      <c r="G928" s="749">
        <f t="shared" si="48"/>
        <v>0</v>
      </c>
    </row>
    <row r="929" spans="1:7">
      <c r="A929" s="785">
        <v>41253</v>
      </c>
      <c r="B929" s="337" t="s">
        <v>13609</v>
      </c>
      <c r="C929" s="776" t="s">
        <v>13610</v>
      </c>
      <c r="D929" s="134"/>
      <c r="E929" s="135">
        <v>209.77</v>
      </c>
      <c r="F929" s="46" t="s">
        <v>9</v>
      </c>
      <c r="G929" s="749">
        <f t="shared" si="48"/>
        <v>0</v>
      </c>
    </row>
    <row r="930" spans="1:7">
      <c r="A930" s="785">
        <v>41253</v>
      </c>
      <c r="B930" s="337" t="s">
        <v>13609</v>
      </c>
      <c r="C930" s="776" t="s">
        <v>13611</v>
      </c>
      <c r="D930" s="134"/>
      <c r="E930" s="135">
        <v>209.77</v>
      </c>
      <c r="F930" s="46" t="s">
        <v>9</v>
      </c>
      <c r="G930" s="749">
        <f t="shared" si="48"/>
        <v>0</v>
      </c>
    </row>
    <row r="931" spans="1:7">
      <c r="A931" s="786">
        <v>41260</v>
      </c>
      <c r="B931" s="787" t="s">
        <v>13605</v>
      </c>
      <c r="C931" s="788" t="s">
        <v>13531</v>
      </c>
      <c r="D931" s="789"/>
      <c r="E931" s="790">
        <v>143.09</v>
      </c>
      <c r="F931" s="791" t="s">
        <v>120</v>
      </c>
      <c r="G931" s="750">
        <f t="shared" si="48"/>
        <v>0</v>
      </c>
    </row>
    <row r="932" spans="1:7">
      <c r="A932" s="1484"/>
      <c r="B932" s="1485"/>
      <c r="C932" s="1486" t="s">
        <v>5991</v>
      </c>
      <c r="D932" s="1487"/>
      <c r="E932" s="1488">
        <f>SUM(E933:E936)</f>
        <v>1090.81</v>
      </c>
      <c r="F932" s="1489"/>
      <c r="G932" s="1490"/>
    </row>
    <row r="933" spans="1:7">
      <c r="A933" s="785">
        <v>41275</v>
      </c>
      <c r="B933" s="337" t="s">
        <v>13603</v>
      </c>
      <c r="C933" s="776" t="s">
        <v>13489</v>
      </c>
      <c r="D933" s="134"/>
      <c r="E933" s="135">
        <v>38.25</v>
      </c>
      <c r="F933" s="46" t="s">
        <v>9</v>
      </c>
      <c r="G933" s="749">
        <f>IF(F933="X",0,E933)</f>
        <v>0</v>
      </c>
    </row>
    <row r="934" spans="1:7">
      <c r="A934" s="785">
        <v>41277</v>
      </c>
      <c r="B934" s="337" t="s">
        <v>13604</v>
      </c>
      <c r="C934" s="776" t="s">
        <v>13489</v>
      </c>
      <c r="D934" s="134"/>
      <c r="E934" s="135">
        <v>699.7</v>
      </c>
      <c r="F934" s="46" t="s">
        <v>9</v>
      </c>
      <c r="G934" s="749">
        <f>IF(F934="X",0,E934)</f>
        <v>0</v>
      </c>
    </row>
    <row r="935" spans="1:7">
      <c r="A935" s="785">
        <v>41284</v>
      </c>
      <c r="B935" s="337" t="s">
        <v>13609</v>
      </c>
      <c r="C935" s="776" t="s">
        <v>13612</v>
      </c>
      <c r="D935" s="134"/>
      <c r="E935" s="135">
        <f>E930</f>
        <v>209.77</v>
      </c>
      <c r="F935" s="46" t="s">
        <v>9</v>
      </c>
      <c r="G935" s="749">
        <f>IF(F935="X",0,E935)</f>
        <v>0</v>
      </c>
    </row>
    <row r="936" spans="1:7">
      <c r="A936" s="939">
        <v>41291</v>
      </c>
      <c r="B936" s="940" t="s">
        <v>13605</v>
      </c>
      <c r="C936" s="941" t="s">
        <v>13538</v>
      </c>
      <c r="D936" s="942"/>
      <c r="E936" s="943">
        <v>143.09</v>
      </c>
      <c r="F936" s="944" t="s">
        <v>9</v>
      </c>
      <c r="G936" s="945">
        <f>IF(F936="X",0,E936)</f>
        <v>0</v>
      </c>
    </row>
    <row r="937" spans="1:7">
      <c r="A937" s="1491"/>
      <c r="B937" s="1492"/>
      <c r="C937" s="1493" t="s">
        <v>6029</v>
      </c>
      <c r="D937" s="1494"/>
      <c r="E937" s="1495">
        <f>SUM(E938:E942)</f>
        <v>1469.66</v>
      </c>
      <c r="F937" s="1496"/>
      <c r="G937" s="1497"/>
    </row>
    <row r="938" spans="1:7">
      <c r="A938" s="792">
        <v>41306</v>
      </c>
      <c r="B938" s="793" t="s">
        <v>13603</v>
      </c>
      <c r="C938" s="794" t="s">
        <v>13493</v>
      </c>
      <c r="D938" s="795"/>
      <c r="E938" s="796">
        <v>38.25</v>
      </c>
      <c r="F938" s="797" t="s">
        <v>9</v>
      </c>
      <c r="G938" s="798">
        <f>IF(F938="X",0,E938)</f>
        <v>0</v>
      </c>
    </row>
    <row r="939" spans="1:7">
      <c r="A939" s="785">
        <v>41306</v>
      </c>
      <c r="B939" s="337" t="s">
        <v>13613</v>
      </c>
      <c r="C939" s="332" t="s">
        <v>13614</v>
      </c>
      <c r="D939" s="134"/>
      <c r="E939" s="135">
        <v>417.16</v>
      </c>
      <c r="F939" s="46" t="s">
        <v>9</v>
      </c>
      <c r="G939" s="749">
        <f>IF(F939="X",0,E939)</f>
        <v>0</v>
      </c>
    </row>
    <row r="940" spans="1:7">
      <c r="A940" s="792">
        <v>41308</v>
      </c>
      <c r="B940" s="793" t="s">
        <v>13604</v>
      </c>
      <c r="C940" s="794" t="s">
        <v>13493</v>
      </c>
      <c r="D940" s="795"/>
      <c r="E940" s="796">
        <v>699.7</v>
      </c>
      <c r="F940" s="797" t="s">
        <v>9</v>
      </c>
      <c r="G940" s="798">
        <f>IF(F940="X",0,E940)</f>
        <v>0</v>
      </c>
    </row>
    <row r="941" spans="1:7" ht="14.25" customHeight="1">
      <c r="A941" s="785">
        <v>41315</v>
      </c>
      <c r="B941" s="337" t="s">
        <v>13609</v>
      </c>
      <c r="C941" s="776" t="s">
        <v>13615</v>
      </c>
      <c r="D941" s="134"/>
      <c r="E941" s="135">
        <f>E935</f>
        <v>209.77</v>
      </c>
      <c r="F941" s="46" t="s">
        <v>9</v>
      </c>
      <c r="G941" s="749">
        <f>IF(F941="X",0,E941)</f>
        <v>0</v>
      </c>
    </row>
    <row r="942" spans="1:7" ht="14.25" customHeight="1">
      <c r="A942" s="786">
        <v>41315</v>
      </c>
      <c r="B942" s="787" t="s">
        <v>13616</v>
      </c>
      <c r="C942" s="938" t="s">
        <v>13356</v>
      </c>
      <c r="D942" s="789"/>
      <c r="E942" s="790">
        <v>104.78</v>
      </c>
      <c r="F942" s="791" t="s">
        <v>9</v>
      </c>
      <c r="G942" s="750">
        <f>IF(F942="X",0,E942)</f>
        <v>0</v>
      </c>
    </row>
    <row r="943" spans="1:7" ht="14.25" customHeight="1">
      <c r="A943" s="1491"/>
      <c r="B943" s="1492"/>
      <c r="C943" s="1493" t="s">
        <v>13617</v>
      </c>
      <c r="D943" s="1494"/>
      <c r="E943" s="1495">
        <f>SUM(E944:E946)</f>
        <v>731.71</v>
      </c>
      <c r="F943" s="1496"/>
      <c r="G943" s="1497"/>
    </row>
    <row r="944" spans="1:7" ht="14.25" customHeight="1">
      <c r="A944" s="785">
        <v>41334</v>
      </c>
      <c r="B944" s="337" t="s">
        <v>13613</v>
      </c>
      <c r="C944" s="332" t="s">
        <v>13618</v>
      </c>
      <c r="D944" s="134"/>
      <c r="E944" s="135">
        <v>417.16</v>
      </c>
      <c r="F944" s="46" t="s">
        <v>9</v>
      </c>
      <c r="G944" s="749">
        <f>IF(F944="X",0,E944)</f>
        <v>0</v>
      </c>
    </row>
    <row r="945" spans="1:8" ht="14.25" customHeight="1">
      <c r="A945" s="785">
        <v>41343</v>
      </c>
      <c r="B945" s="337" t="s">
        <v>13609</v>
      </c>
      <c r="C945" s="776" t="s">
        <v>13619</v>
      </c>
      <c r="D945" s="134"/>
      <c r="E945" s="135">
        <f>E941</f>
        <v>209.77</v>
      </c>
      <c r="F945" s="46" t="s">
        <v>9</v>
      </c>
      <c r="G945" s="749">
        <f>IF(F945="X",0,E945)</f>
        <v>0</v>
      </c>
    </row>
    <row r="946" spans="1:8" ht="14.25" customHeight="1">
      <c r="A946" s="786">
        <v>41343</v>
      </c>
      <c r="B946" s="787" t="s">
        <v>13616</v>
      </c>
      <c r="C946" s="938" t="s">
        <v>13368</v>
      </c>
      <c r="D946" s="789"/>
      <c r="E946" s="790">
        <v>104.78</v>
      </c>
      <c r="F946" s="791" t="s">
        <v>9</v>
      </c>
      <c r="G946" s="750">
        <f>IF(F946="X",0,E946)</f>
        <v>0</v>
      </c>
    </row>
    <row r="947" spans="1:8" ht="14.25" customHeight="1">
      <c r="A947" s="1484"/>
      <c r="B947" s="1485"/>
      <c r="C947" s="1486" t="s">
        <v>13620</v>
      </c>
      <c r="D947" s="1487"/>
      <c r="E947" s="1488">
        <f>SUM(E948:E951)</f>
        <v>1026.27</v>
      </c>
      <c r="F947" s="1489"/>
      <c r="G947" s="1490"/>
    </row>
    <row r="948" spans="1:8" ht="14.25" customHeight="1">
      <c r="A948" s="785">
        <v>41365</v>
      </c>
      <c r="B948" s="337" t="s">
        <v>13613</v>
      </c>
      <c r="C948" s="332" t="s">
        <v>13621</v>
      </c>
      <c r="D948" s="134"/>
      <c r="E948" s="135">
        <v>417.16</v>
      </c>
      <c r="F948" s="46" t="s">
        <v>9</v>
      </c>
      <c r="G948" s="749">
        <f>IF(F948="X",0,E948)</f>
        <v>0</v>
      </c>
    </row>
    <row r="949" spans="1:8" ht="14.25" customHeight="1">
      <c r="A949" s="785">
        <v>41374</v>
      </c>
      <c r="B949" s="337" t="s">
        <v>13609</v>
      </c>
      <c r="C949" s="776" t="s">
        <v>13622</v>
      </c>
      <c r="D949" s="134"/>
      <c r="E949" s="135">
        <f>E945</f>
        <v>209.77</v>
      </c>
      <c r="F949" s="46" t="s">
        <v>9</v>
      </c>
      <c r="G949" s="749">
        <f>IF(F949="X",0,E949)</f>
        <v>0</v>
      </c>
    </row>
    <row r="950" spans="1:8" ht="14.25" customHeight="1">
      <c r="A950" s="785">
        <v>41374</v>
      </c>
      <c r="B950" s="337" t="s">
        <v>13616</v>
      </c>
      <c r="C950" s="776" t="s">
        <v>13376</v>
      </c>
      <c r="D950" s="134"/>
      <c r="E950" s="135">
        <v>104.78</v>
      </c>
      <c r="F950" s="46" t="s">
        <v>9</v>
      </c>
      <c r="G950" s="749">
        <f>IF(F950="X",0,E950)</f>
        <v>0</v>
      </c>
    </row>
    <row r="951" spans="1:8" ht="14.25" customHeight="1">
      <c r="A951" s="785">
        <v>41394</v>
      </c>
      <c r="B951" s="337" t="s">
        <v>13623</v>
      </c>
      <c r="C951" s="776" t="s">
        <v>13586</v>
      </c>
      <c r="D951" s="134"/>
      <c r="E951" s="135">
        <v>294.56</v>
      </c>
      <c r="F951" s="46" t="s">
        <v>9</v>
      </c>
      <c r="G951" s="749">
        <f>IF(F951="X",0,E951)</f>
        <v>0</v>
      </c>
    </row>
    <row r="952" spans="1:8" ht="14.25" customHeight="1">
      <c r="A952" s="1491"/>
      <c r="B952" s="1492"/>
      <c r="C952" s="1493" t="s">
        <v>13624</v>
      </c>
      <c r="D952" s="1494"/>
      <c r="E952" s="1495">
        <f>SUM(E953:E956)</f>
        <v>1029.21</v>
      </c>
      <c r="F952" s="1496"/>
      <c r="G952" s="1497"/>
    </row>
    <row r="953" spans="1:8" ht="14.25" customHeight="1">
      <c r="A953" s="785">
        <v>41395</v>
      </c>
      <c r="B953" s="337" t="s">
        <v>13613</v>
      </c>
      <c r="C953" s="332" t="s">
        <v>13625</v>
      </c>
      <c r="D953" s="134"/>
      <c r="E953" s="135">
        <v>417.16</v>
      </c>
      <c r="F953" s="46" t="s">
        <v>9</v>
      </c>
      <c r="G953" s="749">
        <f>IF(F953="X",0,E953)</f>
        <v>0</v>
      </c>
    </row>
    <row r="954" spans="1:8" ht="14.25" customHeight="1">
      <c r="A954" s="785">
        <v>41404</v>
      </c>
      <c r="B954" s="337" t="s">
        <v>13609</v>
      </c>
      <c r="C954" s="776" t="s">
        <v>13626</v>
      </c>
      <c r="D954" s="134"/>
      <c r="E954" s="135">
        <f>E949</f>
        <v>209.77</v>
      </c>
      <c r="F954" s="46" t="s">
        <v>9</v>
      </c>
      <c r="G954" s="749">
        <f>IF(F954="X",0,E954)</f>
        <v>0</v>
      </c>
    </row>
    <row r="955" spans="1:8" ht="14.25" customHeight="1">
      <c r="A955" s="785">
        <v>41404</v>
      </c>
      <c r="B955" s="337" t="s">
        <v>13616</v>
      </c>
      <c r="C955" s="776" t="s">
        <v>13380</v>
      </c>
      <c r="D955" s="134"/>
      <c r="E955" s="135">
        <v>104.78</v>
      </c>
      <c r="F955" s="46" t="s">
        <v>9</v>
      </c>
      <c r="G955" s="749">
        <f>IF(F955="X",0,E955)</f>
        <v>0</v>
      </c>
    </row>
    <row r="956" spans="1:8" ht="14.25" customHeight="1">
      <c r="A956" s="786">
        <v>41425</v>
      </c>
      <c r="B956" s="787" t="s">
        <v>13623</v>
      </c>
      <c r="C956" s="938" t="s">
        <v>13588</v>
      </c>
      <c r="D956" s="789"/>
      <c r="E956" s="790">
        <v>297.5</v>
      </c>
      <c r="F956" s="791" t="s">
        <v>9</v>
      </c>
      <c r="G956" s="750">
        <f>IF(F956="X",0,E956)</f>
        <v>0</v>
      </c>
    </row>
    <row r="957" spans="1:8" ht="14.25" customHeight="1">
      <c r="A957" s="1484"/>
      <c r="B957" s="1485"/>
      <c r="C957" s="1486" t="s">
        <v>13627</v>
      </c>
      <c r="D957" s="1487"/>
      <c r="E957" s="1488">
        <f>SUM(E958:E963)</f>
        <v>1433.89</v>
      </c>
      <c r="F957" s="1489"/>
      <c r="G957" s="1490"/>
    </row>
    <row r="958" spans="1:8" ht="14.25" customHeight="1">
      <c r="A958" s="785">
        <v>41426</v>
      </c>
      <c r="B958" s="337" t="s">
        <v>13613</v>
      </c>
      <c r="C958" s="332" t="s">
        <v>13628</v>
      </c>
      <c r="D958" s="134"/>
      <c r="E958" s="135">
        <v>417.16</v>
      </c>
      <c r="F958" s="46" t="s">
        <v>9</v>
      </c>
      <c r="G958" s="749">
        <f t="shared" ref="G958:G963" si="49">IF(F958="X",0,E958)</f>
        <v>0</v>
      </c>
    </row>
    <row r="959" spans="1:8" ht="14.25" customHeight="1">
      <c r="A959" s="785">
        <v>41426</v>
      </c>
      <c r="B959" s="337" t="s">
        <v>13629</v>
      </c>
      <c r="C959" s="776" t="s">
        <v>13630</v>
      </c>
      <c r="D959" s="134"/>
      <c r="E959" s="135">
        <v>219.57</v>
      </c>
      <c r="F959" s="46" t="s">
        <v>9</v>
      </c>
      <c r="G959" s="749">
        <f t="shared" si="49"/>
        <v>0</v>
      </c>
      <c r="H959" s="877"/>
    </row>
    <row r="960" spans="1:8" ht="14.25" customHeight="1">
      <c r="A960" s="785">
        <v>41426</v>
      </c>
      <c r="B960" s="337" t="s">
        <v>13631</v>
      </c>
      <c r="C960" s="332" t="s">
        <v>13521</v>
      </c>
      <c r="D960" s="134"/>
      <c r="E960" s="135">
        <v>183.34</v>
      </c>
      <c r="F960" s="46" t="s">
        <v>9</v>
      </c>
      <c r="G960" s="749">
        <f t="shared" si="49"/>
        <v>0</v>
      </c>
      <c r="H960" s="877"/>
    </row>
    <row r="961" spans="1:7" ht="14.25" customHeight="1">
      <c r="A961" s="785">
        <v>41435</v>
      </c>
      <c r="B961" s="337" t="s">
        <v>13609</v>
      </c>
      <c r="C961" s="776" t="s">
        <v>13632</v>
      </c>
      <c r="D961" s="134"/>
      <c r="E961" s="135">
        <f>E954</f>
        <v>209.77</v>
      </c>
      <c r="F961" s="46" t="s">
        <v>9</v>
      </c>
      <c r="G961" s="749">
        <f t="shared" si="49"/>
        <v>0</v>
      </c>
    </row>
    <row r="962" spans="1:7" ht="14.25" customHeight="1">
      <c r="A962" s="785">
        <v>41435</v>
      </c>
      <c r="B962" s="337" t="s">
        <v>13616</v>
      </c>
      <c r="C962" s="776" t="s">
        <v>13384</v>
      </c>
      <c r="D962" s="134"/>
      <c r="E962" s="135">
        <v>104.78</v>
      </c>
      <c r="F962" s="46" t="s">
        <v>9</v>
      </c>
      <c r="G962" s="749">
        <f t="shared" si="49"/>
        <v>0</v>
      </c>
    </row>
    <row r="963" spans="1:7" ht="14.25" customHeight="1">
      <c r="A963" s="785">
        <v>41455</v>
      </c>
      <c r="B963" s="337" t="s">
        <v>13623</v>
      </c>
      <c r="C963" s="776" t="s">
        <v>13591</v>
      </c>
      <c r="D963" s="134"/>
      <c r="E963" s="135">
        <v>299.27</v>
      </c>
      <c r="F963" s="46" t="s">
        <v>9</v>
      </c>
      <c r="G963" s="749">
        <f t="shared" si="49"/>
        <v>0</v>
      </c>
    </row>
    <row r="964" spans="1:7" ht="14.25" customHeight="1">
      <c r="A964" s="1491"/>
      <c r="B964" s="1492"/>
      <c r="C964" s="1493" t="s">
        <v>6239</v>
      </c>
      <c r="D964" s="1494"/>
      <c r="E964" s="1495">
        <f>SUM(E965:E971)</f>
        <v>1875.6699999999998</v>
      </c>
      <c r="F964" s="1496"/>
      <c r="G964" s="1497"/>
    </row>
    <row r="965" spans="1:7" ht="14.25" customHeight="1">
      <c r="A965" s="785">
        <v>41456</v>
      </c>
      <c r="B965" s="337" t="s">
        <v>13613</v>
      </c>
      <c r="C965" s="332" t="s">
        <v>13633</v>
      </c>
      <c r="D965" s="134"/>
      <c r="E965" s="135">
        <v>417.16</v>
      </c>
      <c r="F965" s="46" t="s">
        <v>9</v>
      </c>
      <c r="G965" s="749">
        <f t="shared" ref="G965:G971" si="50">IF(F965="X",0,E965)</f>
        <v>0</v>
      </c>
    </row>
    <row r="966" spans="1:7" ht="14.25" customHeight="1">
      <c r="A966" s="785">
        <v>41456</v>
      </c>
      <c r="B966" s="337" t="s">
        <v>13629</v>
      </c>
      <c r="C966" s="776" t="s">
        <v>13634</v>
      </c>
      <c r="D966" s="134"/>
      <c r="E966" s="135">
        <v>219.57</v>
      </c>
      <c r="F966" s="46" t="s">
        <v>9</v>
      </c>
      <c r="G966" s="749">
        <f t="shared" si="50"/>
        <v>0</v>
      </c>
    </row>
    <row r="967" spans="1:7" ht="14.25" customHeight="1">
      <c r="A967" s="785">
        <v>41456</v>
      </c>
      <c r="B967" s="337" t="s">
        <v>13631</v>
      </c>
      <c r="C967" s="332" t="s">
        <v>13531</v>
      </c>
      <c r="D967" s="134"/>
      <c r="E967" s="135">
        <v>183.33</v>
      </c>
      <c r="F967" s="46" t="s">
        <v>9</v>
      </c>
      <c r="G967" s="749">
        <f t="shared" si="50"/>
        <v>0</v>
      </c>
    </row>
    <row r="968" spans="1:7" ht="14.25" customHeight="1">
      <c r="A968" s="785">
        <v>41456</v>
      </c>
      <c r="B968" s="337" t="s">
        <v>13635</v>
      </c>
      <c r="C968" s="332" t="s">
        <v>13437</v>
      </c>
      <c r="D968" s="134"/>
      <c r="E968" s="135">
        <v>440</v>
      </c>
      <c r="F968" s="46" t="s">
        <v>9</v>
      </c>
      <c r="G968" s="749">
        <f t="shared" si="50"/>
        <v>0</v>
      </c>
    </row>
    <row r="969" spans="1:7" ht="14.25" customHeight="1">
      <c r="A969" s="785">
        <v>41465</v>
      </c>
      <c r="B969" s="337" t="s">
        <v>13609</v>
      </c>
      <c r="C969" s="776" t="s">
        <v>13636</v>
      </c>
      <c r="D969" s="134"/>
      <c r="E969" s="135">
        <f>E961</f>
        <v>209.77</v>
      </c>
      <c r="F969" s="46" t="s">
        <v>9</v>
      </c>
      <c r="G969" s="749">
        <f t="shared" si="50"/>
        <v>0</v>
      </c>
    </row>
    <row r="970" spans="1:7" ht="14.25" customHeight="1">
      <c r="A970" s="785">
        <v>41465</v>
      </c>
      <c r="B970" s="337" t="s">
        <v>13616</v>
      </c>
      <c r="C970" s="776" t="s">
        <v>13387</v>
      </c>
      <c r="D970" s="134"/>
      <c r="E970" s="135">
        <v>104.78</v>
      </c>
      <c r="F970" s="46" t="s">
        <v>9</v>
      </c>
      <c r="G970" s="749">
        <f t="shared" si="50"/>
        <v>0</v>
      </c>
    </row>
    <row r="971" spans="1:7" ht="14.25" customHeight="1">
      <c r="A971" s="786">
        <v>41486</v>
      </c>
      <c r="B971" s="787" t="s">
        <v>13623</v>
      </c>
      <c r="C971" s="938" t="s">
        <v>13594</v>
      </c>
      <c r="D971" s="789"/>
      <c r="E971" s="790">
        <v>301.06</v>
      </c>
      <c r="F971" s="791" t="s">
        <v>9</v>
      </c>
      <c r="G971" s="750">
        <f t="shared" si="50"/>
        <v>0</v>
      </c>
    </row>
    <row r="972" spans="1:7" ht="14.25" customHeight="1">
      <c r="A972" s="1484"/>
      <c r="B972" s="1485"/>
      <c r="C972" s="1486">
        <v>41487</v>
      </c>
      <c r="D972" s="1487"/>
      <c r="E972" s="1488">
        <f>SUM(E973:E979)</f>
        <v>1877.8</v>
      </c>
      <c r="F972" s="1489"/>
      <c r="G972" s="1490"/>
    </row>
    <row r="973" spans="1:7" ht="14.25" customHeight="1">
      <c r="A973" s="785">
        <v>41487</v>
      </c>
      <c r="B973" s="337" t="s">
        <v>13613</v>
      </c>
      <c r="C973" s="332" t="s">
        <v>13397</v>
      </c>
      <c r="D973" s="134"/>
      <c r="E973" s="135">
        <v>417.16</v>
      </c>
      <c r="F973" s="46" t="s">
        <v>9</v>
      </c>
      <c r="G973" s="749">
        <f t="shared" ref="G973:G979" si="51">IF(F973="X",0,E973)</f>
        <v>0</v>
      </c>
    </row>
    <row r="974" spans="1:7" ht="14.25" customHeight="1">
      <c r="A974" s="792">
        <v>41487</v>
      </c>
      <c r="B974" s="793" t="s">
        <v>13631</v>
      </c>
      <c r="C974" s="794" t="s">
        <v>13538</v>
      </c>
      <c r="D974" s="795"/>
      <c r="E974" s="796">
        <v>183.33</v>
      </c>
      <c r="F974" s="797" t="s">
        <v>9</v>
      </c>
      <c r="G974" s="798">
        <f t="shared" si="51"/>
        <v>0</v>
      </c>
    </row>
    <row r="975" spans="1:7" ht="14.25" customHeight="1">
      <c r="A975" s="785">
        <v>41487</v>
      </c>
      <c r="B975" s="337" t="s">
        <v>13629</v>
      </c>
      <c r="C975" s="776" t="s">
        <v>13448</v>
      </c>
      <c r="D975" s="134"/>
      <c r="E975" s="135">
        <v>219.57</v>
      </c>
      <c r="F975" s="46" t="s">
        <v>9</v>
      </c>
      <c r="G975" s="749">
        <f t="shared" si="51"/>
        <v>0</v>
      </c>
    </row>
    <row r="976" spans="1:7" ht="14.25" customHeight="1">
      <c r="A976" s="785">
        <v>41487</v>
      </c>
      <c r="B976" s="337" t="s">
        <v>13635</v>
      </c>
      <c r="C976" s="332" t="s">
        <v>13443</v>
      </c>
      <c r="D976" s="134"/>
      <c r="E976" s="135">
        <v>440</v>
      </c>
      <c r="F976" s="46" t="s">
        <v>9</v>
      </c>
      <c r="G976" s="749">
        <f t="shared" si="51"/>
        <v>0</v>
      </c>
    </row>
    <row r="977" spans="1:7" ht="14.25" customHeight="1">
      <c r="A977" s="785">
        <v>41496</v>
      </c>
      <c r="B977" s="337" t="s">
        <v>13609</v>
      </c>
      <c r="C977" s="776" t="s">
        <v>13637</v>
      </c>
      <c r="D977" s="134"/>
      <c r="E977" s="135">
        <f>E969</f>
        <v>209.77</v>
      </c>
      <c r="F977" s="46" t="s">
        <v>9</v>
      </c>
      <c r="G977" s="749">
        <f t="shared" si="51"/>
        <v>0</v>
      </c>
    </row>
    <row r="978" spans="1:7" ht="14.25" customHeight="1">
      <c r="A978" s="785">
        <v>41496</v>
      </c>
      <c r="B978" s="337" t="s">
        <v>13616</v>
      </c>
      <c r="C978" s="776" t="s">
        <v>13397</v>
      </c>
      <c r="D978" s="134"/>
      <c r="E978" s="135">
        <v>104.78</v>
      </c>
      <c r="F978" s="46" t="s">
        <v>9</v>
      </c>
      <c r="G978" s="749">
        <f t="shared" si="51"/>
        <v>0</v>
      </c>
    </row>
    <row r="979" spans="1:7" ht="14.25" customHeight="1">
      <c r="A979" s="785">
        <v>41517</v>
      </c>
      <c r="B979" s="337" t="s">
        <v>13623</v>
      </c>
      <c r="C979" s="776" t="s">
        <v>13596</v>
      </c>
      <c r="D979" s="134"/>
      <c r="E979" s="135">
        <v>303.19</v>
      </c>
      <c r="F979" s="46" t="s">
        <v>9</v>
      </c>
      <c r="G979" s="749">
        <f t="shared" si="51"/>
        <v>0</v>
      </c>
    </row>
    <row r="980" spans="1:7" ht="14.25" customHeight="1">
      <c r="A980" s="1491"/>
      <c r="B980" s="1492"/>
      <c r="C980" s="1493">
        <v>41518</v>
      </c>
      <c r="D980" s="1494"/>
      <c r="E980" s="1495">
        <f>SUM(E981:E988)</f>
        <v>2414.58</v>
      </c>
      <c r="F980" s="1496"/>
      <c r="G980" s="1497"/>
    </row>
    <row r="981" spans="1:7" ht="14.25" customHeight="1">
      <c r="A981" s="785">
        <v>41518</v>
      </c>
      <c r="B981" s="337" t="s">
        <v>13613</v>
      </c>
      <c r="C981" s="332" t="s">
        <v>13402</v>
      </c>
      <c r="D981" s="134"/>
      <c r="E981" s="135">
        <v>417.16</v>
      </c>
      <c r="F981" s="46" t="s">
        <v>9</v>
      </c>
      <c r="G981" s="749">
        <f t="shared" ref="G981:G988" si="52">IF(F981="X",0,E981)</f>
        <v>0</v>
      </c>
    </row>
    <row r="982" spans="1:7" ht="14.25" customHeight="1">
      <c r="A982" s="785">
        <v>41518</v>
      </c>
      <c r="B982" s="337" t="s">
        <v>13629</v>
      </c>
      <c r="C982" s="776" t="s">
        <v>13454</v>
      </c>
      <c r="D982" s="134"/>
      <c r="E982" s="135">
        <v>219.57</v>
      </c>
      <c r="F982" s="46" t="s">
        <v>9</v>
      </c>
      <c r="G982" s="749">
        <f t="shared" si="52"/>
        <v>0</v>
      </c>
    </row>
    <row r="983" spans="1:7" ht="14.25" customHeight="1">
      <c r="A983" s="785">
        <v>41518</v>
      </c>
      <c r="B983" s="337" t="s">
        <v>13635</v>
      </c>
      <c r="C983" s="332" t="s">
        <v>13448</v>
      </c>
      <c r="D983" s="134"/>
      <c r="E983" s="135">
        <v>440</v>
      </c>
      <c r="F983" s="46" t="s">
        <v>9</v>
      </c>
      <c r="G983" s="749">
        <f t="shared" si="52"/>
        <v>0</v>
      </c>
    </row>
    <row r="984" spans="1:7" ht="14.25" customHeight="1">
      <c r="A984" s="785">
        <v>41518</v>
      </c>
      <c r="B984" s="337" t="s">
        <v>13638</v>
      </c>
      <c r="C984" s="332" t="s">
        <v>13479</v>
      </c>
      <c r="D984" s="134"/>
      <c r="E984" s="135">
        <v>129.99</v>
      </c>
      <c r="F984" s="46" t="s">
        <v>9</v>
      </c>
      <c r="G984" s="749">
        <f t="shared" si="52"/>
        <v>0</v>
      </c>
    </row>
    <row r="985" spans="1:7" ht="14.25" customHeight="1">
      <c r="A985" s="785">
        <v>41520</v>
      </c>
      <c r="B985" s="337" t="s">
        <v>13639</v>
      </c>
      <c r="C985" s="332" t="s">
        <v>13545</v>
      </c>
      <c r="D985" s="134"/>
      <c r="E985" s="135">
        <v>588.03</v>
      </c>
      <c r="F985" s="46" t="s">
        <v>9</v>
      </c>
      <c r="G985" s="749">
        <f t="shared" si="52"/>
        <v>0</v>
      </c>
    </row>
    <row r="986" spans="1:7" ht="14.25" customHeight="1">
      <c r="A986" s="792">
        <v>41527</v>
      </c>
      <c r="B986" s="793" t="s">
        <v>13609</v>
      </c>
      <c r="C986" s="794" t="s">
        <v>13640</v>
      </c>
      <c r="D986" s="795"/>
      <c r="E986" s="796">
        <f>E977</f>
        <v>209.77</v>
      </c>
      <c r="F986" s="797" t="s">
        <v>9</v>
      </c>
      <c r="G986" s="798">
        <f t="shared" si="52"/>
        <v>0</v>
      </c>
    </row>
    <row r="987" spans="1:7" ht="14.25" customHeight="1">
      <c r="A987" s="785">
        <v>41527</v>
      </c>
      <c r="B987" s="337" t="s">
        <v>13616</v>
      </c>
      <c r="C987" s="776" t="s">
        <v>13402</v>
      </c>
      <c r="D987" s="134"/>
      <c r="E987" s="135">
        <v>104.78</v>
      </c>
      <c r="F987" s="46" t="s">
        <v>9</v>
      </c>
      <c r="G987" s="749">
        <f t="shared" si="52"/>
        <v>0</v>
      </c>
    </row>
    <row r="988" spans="1:7" ht="14.25" customHeight="1">
      <c r="A988" s="786">
        <v>41547</v>
      </c>
      <c r="B988" s="787" t="s">
        <v>13623</v>
      </c>
      <c r="C988" s="938" t="s">
        <v>13598</v>
      </c>
      <c r="D988" s="789"/>
      <c r="E988" s="790">
        <v>305.27999999999997</v>
      </c>
      <c r="F988" s="791" t="s">
        <v>9</v>
      </c>
      <c r="G988" s="750">
        <f t="shared" si="52"/>
        <v>0</v>
      </c>
    </row>
    <row r="989" spans="1:7" ht="14.25" customHeight="1">
      <c r="A989" s="1484"/>
      <c r="B989" s="1485"/>
      <c r="C989" s="1486" t="s">
        <v>6341</v>
      </c>
      <c r="D989" s="1487"/>
      <c r="E989" s="1488">
        <f>SUM(E990:E1000)</f>
        <v>3126.4433333333332</v>
      </c>
      <c r="F989" s="1489"/>
      <c r="G989" s="1490"/>
    </row>
    <row r="990" spans="1:7" ht="14.25" customHeight="1">
      <c r="A990" s="785">
        <v>41548</v>
      </c>
      <c r="B990" s="337" t="s">
        <v>13613</v>
      </c>
      <c r="C990" s="332" t="s">
        <v>13641</v>
      </c>
      <c r="D990" s="134"/>
      <c r="E990" s="135">
        <v>417.16</v>
      </c>
      <c r="F990" s="46" t="s">
        <v>9</v>
      </c>
      <c r="G990" s="749">
        <f t="shared" ref="G990:G1000" si="53">IF(F990="X",0,E990)</f>
        <v>0</v>
      </c>
    </row>
    <row r="991" spans="1:7" ht="14.25" customHeight="1">
      <c r="A991" s="785">
        <v>41548</v>
      </c>
      <c r="B991" s="337" t="s">
        <v>13629</v>
      </c>
      <c r="C991" s="776" t="s">
        <v>13467</v>
      </c>
      <c r="D991" s="134"/>
      <c r="E991" s="135">
        <v>219.57</v>
      </c>
      <c r="F991" s="46" t="s">
        <v>9</v>
      </c>
      <c r="G991" s="749">
        <f t="shared" si="53"/>
        <v>0</v>
      </c>
    </row>
    <row r="992" spans="1:7" ht="14.25" customHeight="1">
      <c r="A992" s="785">
        <v>41548</v>
      </c>
      <c r="B992" s="337" t="s">
        <v>13642</v>
      </c>
      <c r="C992" s="332" t="s">
        <v>13437</v>
      </c>
      <c r="D992" s="134"/>
      <c r="E992" s="135">
        <f>299/6</f>
        <v>49.833333333333336</v>
      </c>
      <c r="F992" s="46" t="s">
        <v>9</v>
      </c>
      <c r="G992" s="749">
        <f t="shared" si="53"/>
        <v>0</v>
      </c>
    </row>
    <row r="993" spans="1:7" ht="14.25" customHeight="1">
      <c r="A993" s="792">
        <v>41548</v>
      </c>
      <c r="B993" s="793" t="s">
        <v>13638</v>
      </c>
      <c r="C993" s="794" t="s">
        <v>13643</v>
      </c>
      <c r="D993" s="795"/>
      <c r="E993" s="796">
        <v>129.97999999999999</v>
      </c>
      <c r="F993" s="797" t="s">
        <v>9</v>
      </c>
      <c r="G993" s="798">
        <f t="shared" si="53"/>
        <v>0</v>
      </c>
    </row>
    <row r="994" spans="1:7" ht="14.25" customHeight="1">
      <c r="A994" s="785">
        <v>41548</v>
      </c>
      <c r="B994" s="337" t="s">
        <v>13635</v>
      </c>
      <c r="C994" s="332" t="s">
        <v>13454</v>
      </c>
      <c r="D994" s="134"/>
      <c r="E994" s="135">
        <v>440</v>
      </c>
      <c r="F994" s="46" t="s">
        <v>9</v>
      </c>
      <c r="G994" s="749">
        <f t="shared" si="53"/>
        <v>0</v>
      </c>
    </row>
    <row r="995" spans="1:7" ht="14.25" customHeight="1">
      <c r="A995" s="785">
        <v>41550</v>
      </c>
      <c r="B995" s="337" t="s">
        <v>13639</v>
      </c>
      <c r="C995" s="332" t="s">
        <v>13481</v>
      </c>
      <c r="D995" s="134"/>
      <c r="E995" s="135">
        <v>588.03</v>
      </c>
      <c r="F995" s="46" t="s">
        <v>9</v>
      </c>
      <c r="G995" s="749">
        <f t="shared" si="53"/>
        <v>0</v>
      </c>
    </row>
    <row r="996" spans="1:7" ht="14.25" customHeight="1">
      <c r="A996" s="785">
        <v>41550</v>
      </c>
      <c r="B996" s="337" t="s">
        <v>13644</v>
      </c>
      <c r="C996" s="332" t="s">
        <v>13459</v>
      </c>
      <c r="D996" s="134"/>
      <c r="E996" s="135">
        <v>606.23</v>
      </c>
      <c r="F996" s="46" t="s">
        <v>9</v>
      </c>
      <c r="G996" s="749">
        <f t="shared" si="53"/>
        <v>0</v>
      </c>
    </row>
    <row r="997" spans="1:7" ht="14.25" customHeight="1">
      <c r="A997" s="785">
        <v>41550</v>
      </c>
      <c r="B997" s="337" t="s">
        <v>13645</v>
      </c>
      <c r="C997" s="332" t="s">
        <v>13545</v>
      </c>
      <c r="D997" s="134"/>
      <c r="E997" s="135">
        <v>22.58</v>
      </c>
      <c r="F997" s="46" t="s">
        <v>9</v>
      </c>
      <c r="G997" s="749">
        <f t="shared" si="53"/>
        <v>0</v>
      </c>
    </row>
    <row r="998" spans="1:7" ht="14.25" customHeight="1">
      <c r="A998" s="785">
        <v>41557</v>
      </c>
      <c r="B998" s="337" t="s">
        <v>13616</v>
      </c>
      <c r="C998" s="776" t="s">
        <v>13409</v>
      </c>
      <c r="D998" s="134"/>
      <c r="E998" s="135">
        <v>104.78</v>
      </c>
      <c r="F998" s="46" t="s">
        <v>9</v>
      </c>
      <c r="G998" s="749">
        <f t="shared" si="53"/>
        <v>0</v>
      </c>
    </row>
    <row r="999" spans="1:7" ht="14.25" customHeight="1">
      <c r="A999" s="785">
        <v>41557</v>
      </c>
      <c r="B999" s="337" t="s">
        <v>13646</v>
      </c>
      <c r="C999" s="776" t="s">
        <v>13647</v>
      </c>
      <c r="D999" s="134"/>
      <c r="E999" s="135">
        <v>240.91</v>
      </c>
      <c r="F999" s="46" t="s">
        <v>9</v>
      </c>
      <c r="G999" s="749">
        <f t="shared" si="53"/>
        <v>0</v>
      </c>
    </row>
    <row r="1000" spans="1:7" ht="14.25" customHeight="1">
      <c r="A1000" s="785">
        <v>41578</v>
      </c>
      <c r="B1000" s="337" t="s">
        <v>13623</v>
      </c>
      <c r="C1000" s="776" t="s">
        <v>13601</v>
      </c>
      <c r="D1000" s="134"/>
      <c r="E1000" s="135">
        <v>307.37</v>
      </c>
      <c r="F1000" s="46" t="s">
        <v>9</v>
      </c>
      <c r="G1000" s="749">
        <f t="shared" si="53"/>
        <v>0</v>
      </c>
    </row>
    <row r="1001" spans="1:7" ht="14.25" customHeight="1">
      <c r="A1001" s="1491"/>
      <c r="B1001" s="1492"/>
      <c r="C1001" s="1493" t="s">
        <v>13648</v>
      </c>
      <c r="D1001" s="1494"/>
      <c r="E1001" s="1495">
        <f>SUM(E1002:E1014)</f>
        <v>3143.0833333333335</v>
      </c>
      <c r="F1001" s="1496"/>
      <c r="G1001" s="1497"/>
    </row>
    <row r="1002" spans="1:7" ht="14.25" customHeight="1">
      <c r="A1002" s="792">
        <v>41579</v>
      </c>
      <c r="B1002" s="793" t="s">
        <v>13613</v>
      </c>
      <c r="C1002" s="794" t="s">
        <v>13414</v>
      </c>
      <c r="D1002" s="795"/>
      <c r="E1002" s="796">
        <v>417.16</v>
      </c>
      <c r="F1002" s="797" t="s">
        <v>9</v>
      </c>
      <c r="G1002" s="798">
        <f t="shared" ref="G1002:G1014" si="54">IF(F1002="X",0,E1002)</f>
        <v>0</v>
      </c>
    </row>
    <row r="1003" spans="1:7" ht="14.25" customHeight="1">
      <c r="A1003" s="792">
        <v>41579</v>
      </c>
      <c r="B1003" s="793" t="s">
        <v>13629</v>
      </c>
      <c r="C1003" s="794" t="s">
        <v>13475</v>
      </c>
      <c r="D1003" s="795"/>
      <c r="E1003" s="796">
        <v>219.57</v>
      </c>
      <c r="F1003" s="797" t="s">
        <v>9</v>
      </c>
      <c r="G1003" s="798">
        <f t="shared" si="54"/>
        <v>0</v>
      </c>
    </row>
    <row r="1004" spans="1:7" ht="14.25" customHeight="1">
      <c r="A1004" s="785">
        <v>41579</v>
      </c>
      <c r="B1004" s="337" t="s">
        <v>13642</v>
      </c>
      <c r="C1004" s="332" t="s">
        <v>13443</v>
      </c>
      <c r="D1004" s="134"/>
      <c r="E1004" s="135">
        <f>299/6</f>
        <v>49.833333333333336</v>
      </c>
      <c r="F1004" s="46" t="s">
        <v>9</v>
      </c>
      <c r="G1004" s="749">
        <f t="shared" si="54"/>
        <v>0</v>
      </c>
    </row>
    <row r="1005" spans="1:7" ht="14.25" customHeight="1">
      <c r="A1005" s="785">
        <v>41579</v>
      </c>
      <c r="B1005" s="337" t="s">
        <v>13635</v>
      </c>
      <c r="C1005" s="332" t="s">
        <v>13467</v>
      </c>
      <c r="D1005" s="134"/>
      <c r="E1005" s="135">
        <v>440</v>
      </c>
      <c r="F1005" s="46" t="s">
        <v>9</v>
      </c>
      <c r="G1005" s="749">
        <f t="shared" si="54"/>
        <v>0</v>
      </c>
    </row>
    <row r="1006" spans="1:7" ht="14.25" customHeight="1">
      <c r="A1006" s="785">
        <v>41579</v>
      </c>
      <c r="B1006" s="337" t="s">
        <v>13649</v>
      </c>
      <c r="C1006" s="332" t="s">
        <v>13650</v>
      </c>
      <c r="D1006" s="134"/>
      <c r="E1006" s="135">
        <v>24.2</v>
      </c>
      <c r="F1006" s="46" t="s">
        <v>9</v>
      </c>
      <c r="G1006" s="749">
        <f t="shared" si="54"/>
        <v>0</v>
      </c>
    </row>
    <row r="1007" spans="1:7" ht="14.25" customHeight="1">
      <c r="A1007" s="785">
        <v>41579</v>
      </c>
      <c r="B1007" s="337" t="s">
        <v>12029</v>
      </c>
      <c r="C1007" s="332" t="s">
        <v>13521</v>
      </c>
      <c r="D1007" s="134"/>
      <c r="E1007" s="135">
        <v>26.63</v>
      </c>
      <c r="F1007" s="46" t="s">
        <v>9</v>
      </c>
      <c r="G1007" s="749">
        <f t="shared" si="54"/>
        <v>0</v>
      </c>
    </row>
    <row r="1008" spans="1:7" ht="14.25" customHeight="1">
      <c r="A1008" s="785">
        <v>41579</v>
      </c>
      <c r="B1008" s="337" t="s">
        <v>13651</v>
      </c>
      <c r="C1008" s="332" t="s">
        <v>13356</v>
      </c>
      <c r="D1008" s="134"/>
      <c r="E1008" s="135">
        <v>93.42</v>
      </c>
      <c r="F1008" s="46" t="s">
        <v>9</v>
      </c>
      <c r="G1008" s="749">
        <f t="shared" si="54"/>
        <v>0</v>
      </c>
    </row>
    <row r="1009" spans="1:7" ht="14.25" customHeight="1">
      <c r="A1009" s="785">
        <v>41581</v>
      </c>
      <c r="B1009" s="337" t="s">
        <v>13639</v>
      </c>
      <c r="C1009" s="332" t="s">
        <v>13489</v>
      </c>
      <c r="D1009" s="134"/>
      <c r="E1009" s="135">
        <v>588.03</v>
      </c>
      <c r="F1009" s="46" t="s">
        <v>9</v>
      </c>
      <c r="G1009" s="749">
        <f t="shared" si="54"/>
        <v>0</v>
      </c>
    </row>
    <row r="1010" spans="1:7" ht="14.25" customHeight="1">
      <c r="A1010" s="785">
        <v>41581</v>
      </c>
      <c r="B1010" s="337" t="s">
        <v>13644</v>
      </c>
      <c r="C1010" s="332" t="s">
        <v>13481</v>
      </c>
      <c r="D1010" s="134"/>
      <c r="E1010" s="135">
        <v>606.22</v>
      </c>
      <c r="F1010" s="46" t="s">
        <v>9</v>
      </c>
      <c r="G1010" s="749">
        <f t="shared" si="54"/>
        <v>0</v>
      </c>
    </row>
    <row r="1011" spans="1:7" ht="14.25" customHeight="1">
      <c r="A1011" s="785">
        <v>41581</v>
      </c>
      <c r="B1011" s="337" t="s">
        <v>13645</v>
      </c>
      <c r="C1011" s="332" t="s">
        <v>13481</v>
      </c>
      <c r="D1011" s="134"/>
      <c r="E1011" s="135">
        <v>22.58</v>
      </c>
      <c r="F1011" s="46" t="s">
        <v>9</v>
      </c>
      <c r="G1011" s="749">
        <f t="shared" si="54"/>
        <v>0</v>
      </c>
    </row>
    <row r="1012" spans="1:7" ht="14.25" customHeight="1">
      <c r="A1012" s="792">
        <v>41588</v>
      </c>
      <c r="B1012" s="793" t="s">
        <v>13616</v>
      </c>
      <c r="C1012" s="794" t="s">
        <v>13414</v>
      </c>
      <c r="D1012" s="795"/>
      <c r="E1012" s="796">
        <v>104.78</v>
      </c>
      <c r="F1012" s="797" t="s">
        <v>9</v>
      </c>
      <c r="G1012" s="798">
        <f t="shared" si="54"/>
        <v>0</v>
      </c>
    </row>
    <row r="1013" spans="1:7" ht="14.25" customHeight="1">
      <c r="A1013" s="785">
        <v>41588</v>
      </c>
      <c r="B1013" s="337" t="s">
        <v>13646</v>
      </c>
      <c r="C1013" s="776" t="s">
        <v>13611</v>
      </c>
      <c r="D1013" s="134"/>
      <c r="E1013" s="135">
        <v>240.91</v>
      </c>
      <c r="F1013" s="46" t="s">
        <v>9</v>
      </c>
      <c r="G1013" s="749">
        <f t="shared" si="54"/>
        <v>0</v>
      </c>
    </row>
    <row r="1014" spans="1:7" ht="14.25" customHeight="1">
      <c r="A1014" s="939">
        <v>41608</v>
      </c>
      <c r="B1014" s="940" t="s">
        <v>13623</v>
      </c>
      <c r="C1014" s="941" t="s">
        <v>13607</v>
      </c>
      <c r="D1014" s="942"/>
      <c r="E1014" s="943">
        <v>309.75</v>
      </c>
      <c r="F1014" s="944" t="s">
        <v>9</v>
      </c>
      <c r="G1014" s="945">
        <f t="shared" si="54"/>
        <v>0</v>
      </c>
    </row>
    <row r="1015" spans="1:7" ht="14.25" customHeight="1">
      <c r="A1015" s="1484"/>
      <c r="B1015" s="1485"/>
      <c r="C1015" s="1486" t="s">
        <v>13652</v>
      </c>
      <c r="D1015" s="1487"/>
      <c r="E1015" s="1488">
        <f>SUM(E1016:E1025)</f>
        <v>2337.7733333333331</v>
      </c>
      <c r="F1015" s="1489"/>
      <c r="G1015" s="1490"/>
    </row>
    <row r="1016" spans="1:7" ht="14.25" customHeight="1">
      <c r="A1016" s="785">
        <v>41609</v>
      </c>
      <c r="B1016" s="337" t="s">
        <v>13642</v>
      </c>
      <c r="C1016" s="332" t="s">
        <v>13448</v>
      </c>
      <c r="D1016" s="134"/>
      <c r="E1016" s="135">
        <f>299/6</f>
        <v>49.833333333333336</v>
      </c>
      <c r="F1016" s="46" t="s">
        <v>9</v>
      </c>
      <c r="G1016" s="749">
        <f t="shared" ref="G1016:G1025" si="55">IF(F1016="X",0,E1016)</f>
        <v>0</v>
      </c>
    </row>
    <row r="1017" spans="1:7" ht="14.25" customHeight="1">
      <c r="A1017" s="792">
        <v>41609</v>
      </c>
      <c r="B1017" s="793" t="s">
        <v>13635</v>
      </c>
      <c r="C1017" s="794" t="s">
        <v>13475</v>
      </c>
      <c r="D1017" s="795"/>
      <c r="E1017" s="796">
        <v>440</v>
      </c>
      <c r="F1017" s="797" t="s">
        <v>9</v>
      </c>
      <c r="G1017" s="798">
        <f t="shared" si="55"/>
        <v>0</v>
      </c>
    </row>
    <row r="1018" spans="1:7" ht="14.25" customHeight="1">
      <c r="A1018" s="785">
        <v>41609</v>
      </c>
      <c r="B1018" s="337" t="s">
        <v>13649</v>
      </c>
      <c r="C1018" s="332" t="s">
        <v>13537</v>
      </c>
      <c r="D1018" s="134"/>
      <c r="E1018" s="135">
        <v>24.16</v>
      </c>
      <c r="F1018" s="46" t="s">
        <v>9</v>
      </c>
      <c r="G1018" s="749">
        <f t="shared" si="55"/>
        <v>0</v>
      </c>
    </row>
    <row r="1019" spans="1:7" ht="14.25" customHeight="1">
      <c r="A1019" s="785">
        <v>41609</v>
      </c>
      <c r="B1019" s="337" t="s">
        <v>12029</v>
      </c>
      <c r="C1019" s="332" t="s">
        <v>13531</v>
      </c>
      <c r="D1019" s="134"/>
      <c r="E1019" s="135">
        <v>26.61</v>
      </c>
      <c r="F1019" s="46" t="s">
        <v>9</v>
      </c>
      <c r="G1019" s="749">
        <f t="shared" si="55"/>
        <v>0</v>
      </c>
    </row>
    <row r="1020" spans="1:7" ht="14.25" customHeight="1">
      <c r="A1020" s="785">
        <v>41609</v>
      </c>
      <c r="B1020" s="337" t="s">
        <v>13651</v>
      </c>
      <c r="C1020" s="332" t="s">
        <v>13368</v>
      </c>
      <c r="D1020" s="134"/>
      <c r="E1020" s="135">
        <v>93.42</v>
      </c>
      <c r="F1020" s="46" t="s">
        <v>9</v>
      </c>
      <c r="G1020" s="749">
        <f t="shared" si="55"/>
        <v>0</v>
      </c>
    </row>
    <row r="1021" spans="1:7" ht="14.25" customHeight="1">
      <c r="A1021" s="785">
        <v>41609</v>
      </c>
      <c r="B1021" s="337" t="s">
        <v>13653</v>
      </c>
      <c r="C1021" s="332" t="s">
        <v>13521</v>
      </c>
      <c r="D1021" s="134"/>
      <c r="E1021" s="135">
        <v>246</v>
      </c>
      <c r="F1021" s="46" t="s">
        <v>9</v>
      </c>
      <c r="G1021" s="749">
        <f t="shared" si="55"/>
        <v>0</v>
      </c>
    </row>
    <row r="1022" spans="1:7" ht="14.25" customHeight="1">
      <c r="A1022" s="785">
        <v>41611</v>
      </c>
      <c r="B1022" s="337" t="s">
        <v>13644</v>
      </c>
      <c r="C1022" s="332" t="s">
        <v>13489</v>
      </c>
      <c r="D1022" s="134"/>
      <c r="E1022" s="135">
        <v>606.23</v>
      </c>
      <c r="F1022" s="46" t="s">
        <v>9</v>
      </c>
      <c r="G1022" s="749">
        <f t="shared" si="55"/>
        <v>0</v>
      </c>
    </row>
    <row r="1023" spans="1:7" ht="14.25" customHeight="1">
      <c r="A1023" s="785">
        <v>41611</v>
      </c>
      <c r="B1023" s="337" t="s">
        <v>13645</v>
      </c>
      <c r="C1023" s="332" t="s">
        <v>13489</v>
      </c>
      <c r="D1023" s="134"/>
      <c r="E1023" s="135">
        <v>22.58</v>
      </c>
      <c r="F1023" s="46" t="s">
        <v>9</v>
      </c>
      <c r="G1023" s="749">
        <f t="shared" si="55"/>
        <v>0</v>
      </c>
    </row>
    <row r="1024" spans="1:7" ht="14.25" customHeight="1">
      <c r="A1024" s="792">
        <v>41611</v>
      </c>
      <c r="B1024" s="793" t="s">
        <v>13639</v>
      </c>
      <c r="C1024" s="794" t="s">
        <v>13562</v>
      </c>
      <c r="D1024" s="795"/>
      <c r="E1024" s="796">
        <v>588.03</v>
      </c>
      <c r="F1024" s="797" t="s">
        <v>9</v>
      </c>
      <c r="G1024" s="798">
        <f t="shared" si="55"/>
        <v>0</v>
      </c>
    </row>
    <row r="1025" spans="1:8" ht="14.25" customHeight="1">
      <c r="A1025" s="785">
        <v>41618</v>
      </c>
      <c r="B1025" s="337" t="s">
        <v>13646</v>
      </c>
      <c r="C1025" s="776" t="s">
        <v>13612</v>
      </c>
      <c r="D1025" s="134"/>
      <c r="E1025" s="135">
        <v>240.91</v>
      </c>
      <c r="F1025" s="46" t="s">
        <v>9</v>
      </c>
      <c r="G1025" s="749">
        <f t="shared" si="55"/>
        <v>0</v>
      </c>
    </row>
    <row r="1026" spans="1:8" ht="14.25" customHeight="1">
      <c r="A1026" s="1491"/>
      <c r="B1026" s="1492"/>
      <c r="C1026" s="1493" t="s">
        <v>6426</v>
      </c>
      <c r="D1026" s="1494"/>
      <c r="E1026" s="1495">
        <f>SUM(E1027:E1036)</f>
        <v>2168.1933333333336</v>
      </c>
      <c r="F1026" s="1496"/>
      <c r="G1026" s="1497"/>
      <c r="H1026" s="877"/>
    </row>
    <row r="1027" spans="1:8" ht="14.25" customHeight="1">
      <c r="A1027" s="785">
        <v>41640</v>
      </c>
      <c r="B1027" s="337" t="s">
        <v>13642</v>
      </c>
      <c r="C1027" s="332" t="s">
        <v>13454</v>
      </c>
      <c r="D1027" s="134"/>
      <c r="E1027" s="135">
        <f>299/6</f>
        <v>49.833333333333336</v>
      </c>
      <c r="F1027" s="46" t="s">
        <v>9</v>
      </c>
      <c r="G1027" s="749">
        <f t="shared" ref="G1027:G1036" si="56">IF(F1027="X",0,E1027)</f>
        <v>0</v>
      </c>
    </row>
    <row r="1028" spans="1:8" ht="14.25" customHeight="1">
      <c r="A1028" s="785">
        <v>41640</v>
      </c>
      <c r="B1028" s="337" t="s">
        <v>13649</v>
      </c>
      <c r="C1028" s="332" t="s">
        <v>13542</v>
      </c>
      <c r="D1028" s="134"/>
      <c r="E1028" s="135">
        <v>24.16</v>
      </c>
      <c r="F1028" s="46" t="s">
        <v>9</v>
      </c>
      <c r="G1028" s="749">
        <f t="shared" si="56"/>
        <v>0</v>
      </c>
    </row>
    <row r="1029" spans="1:8" ht="14.25" customHeight="1">
      <c r="A1029" s="785">
        <v>41640</v>
      </c>
      <c r="B1029" s="337" t="s">
        <v>13651</v>
      </c>
      <c r="C1029" s="332" t="s">
        <v>13376</v>
      </c>
      <c r="D1029" s="134"/>
      <c r="E1029" s="135">
        <v>93.42</v>
      </c>
      <c r="F1029" s="46" t="s">
        <v>9</v>
      </c>
      <c r="G1029" s="749">
        <f t="shared" si="56"/>
        <v>0</v>
      </c>
    </row>
    <row r="1030" spans="1:8" ht="14.25" customHeight="1">
      <c r="A1030" s="785">
        <v>41640</v>
      </c>
      <c r="B1030" s="337" t="s">
        <v>13653</v>
      </c>
      <c r="C1030" s="332" t="s">
        <v>13531</v>
      </c>
      <c r="D1030" s="134"/>
      <c r="E1030" s="135">
        <v>246</v>
      </c>
      <c r="F1030" s="46" t="s">
        <v>9</v>
      </c>
      <c r="G1030" s="749">
        <f t="shared" si="56"/>
        <v>0</v>
      </c>
    </row>
    <row r="1031" spans="1:8" ht="14.25" customHeight="1">
      <c r="A1031" s="785">
        <v>41640</v>
      </c>
      <c r="B1031" s="337" t="s">
        <v>13654</v>
      </c>
      <c r="C1031" s="332" t="s">
        <v>13459</v>
      </c>
      <c r="D1031" s="134"/>
      <c r="E1031" s="135">
        <v>532</v>
      </c>
      <c r="F1031" s="46" t="s">
        <v>9</v>
      </c>
      <c r="G1031" s="749">
        <f t="shared" si="56"/>
        <v>0</v>
      </c>
    </row>
    <row r="1032" spans="1:8" ht="14.25" customHeight="1">
      <c r="A1032" s="792">
        <v>41640</v>
      </c>
      <c r="B1032" s="793" t="s">
        <v>12029</v>
      </c>
      <c r="C1032" s="794" t="s">
        <v>13538</v>
      </c>
      <c r="D1032" s="795"/>
      <c r="E1032" s="796">
        <v>26.61</v>
      </c>
      <c r="F1032" s="797" t="s">
        <v>9</v>
      </c>
      <c r="G1032" s="798">
        <f t="shared" si="56"/>
        <v>0</v>
      </c>
    </row>
    <row r="1033" spans="1:8" ht="14.25" customHeight="1">
      <c r="A1033" s="792">
        <v>41642</v>
      </c>
      <c r="B1033" s="793" t="s">
        <v>13644</v>
      </c>
      <c r="C1033" s="794" t="s">
        <v>13493</v>
      </c>
      <c r="D1033" s="795"/>
      <c r="E1033" s="796">
        <v>606.23</v>
      </c>
      <c r="F1033" s="797" t="s">
        <v>9</v>
      </c>
      <c r="G1033" s="798">
        <f t="shared" si="56"/>
        <v>0</v>
      </c>
    </row>
    <row r="1034" spans="1:8" ht="14.25" customHeight="1">
      <c r="A1034" s="792">
        <v>41642</v>
      </c>
      <c r="B1034" s="793" t="s">
        <v>13645</v>
      </c>
      <c r="C1034" s="794" t="s">
        <v>13493</v>
      </c>
      <c r="D1034" s="795"/>
      <c r="E1034" s="796">
        <v>22.58</v>
      </c>
      <c r="F1034" s="797" t="s">
        <v>9</v>
      </c>
      <c r="G1034" s="798">
        <f t="shared" si="56"/>
        <v>0</v>
      </c>
    </row>
    <row r="1035" spans="1:8" ht="14.25" customHeight="1">
      <c r="A1035" s="785">
        <v>41649</v>
      </c>
      <c r="B1035" s="337" t="s">
        <v>13646</v>
      </c>
      <c r="C1035" s="776" t="s">
        <v>13615</v>
      </c>
      <c r="D1035" s="134"/>
      <c r="E1035" s="135">
        <v>240.91</v>
      </c>
      <c r="F1035" s="46" t="s">
        <v>9</v>
      </c>
      <c r="G1035" s="749">
        <f t="shared" si="56"/>
        <v>0</v>
      </c>
    </row>
    <row r="1036" spans="1:8" ht="14.25" customHeight="1">
      <c r="A1036" s="786">
        <v>41656</v>
      </c>
      <c r="B1036" s="787" t="s">
        <v>13655</v>
      </c>
      <c r="C1036" s="938" t="s">
        <v>13606</v>
      </c>
      <c r="D1036" s="789"/>
      <c r="E1036" s="790">
        <v>326.45</v>
      </c>
      <c r="F1036" s="791" t="s">
        <v>9</v>
      </c>
      <c r="G1036" s="750">
        <f t="shared" si="56"/>
        <v>0</v>
      </c>
    </row>
    <row r="1037" spans="1:8" ht="14.25" customHeight="1">
      <c r="A1037" s="1484"/>
      <c r="B1037" s="1485"/>
      <c r="C1037" s="1486" t="s">
        <v>6446</v>
      </c>
      <c r="D1037" s="1487"/>
      <c r="E1037" s="1488">
        <f>SUM(E1038:E1045)</f>
        <v>1623.6033333333332</v>
      </c>
      <c r="F1037" s="1489"/>
      <c r="G1037" s="1490"/>
    </row>
    <row r="1038" spans="1:8" ht="14.25" customHeight="1">
      <c r="A1038" s="785">
        <v>41671</v>
      </c>
      <c r="B1038" s="337" t="s">
        <v>13642</v>
      </c>
      <c r="C1038" s="332" t="s">
        <v>13467</v>
      </c>
      <c r="D1038" s="134"/>
      <c r="E1038" s="135">
        <f>299/6</f>
        <v>49.833333333333336</v>
      </c>
      <c r="F1038" s="46" t="s">
        <v>9</v>
      </c>
      <c r="G1038" s="749">
        <f t="shared" ref="G1038:G1045" si="57">IF(F1038="X",0,E1038)</f>
        <v>0</v>
      </c>
    </row>
    <row r="1039" spans="1:8" ht="14.25" customHeight="1">
      <c r="A1039" s="785">
        <v>41671</v>
      </c>
      <c r="B1039" s="337" t="s">
        <v>13649</v>
      </c>
      <c r="C1039" s="332" t="s">
        <v>13550</v>
      </c>
      <c r="D1039" s="134"/>
      <c r="E1039" s="135">
        <v>24.16</v>
      </c>
      <c r="F1039" s="46" t="s">
        <v>9</v>
      </c>
      <c r="G1039" s="749">
        <f t="shared" si="57"/>
        <v>0</v>
      </c>
    </row>
    <row r="1040" spans="1:8" ht="14.25" customHeight="1">
      <c r="A1040" s="785">
        <v>41672</v>
      </c>
      <c r="B1040" s="337" t="s">
        <v>13654</v>
      </c>
      <c r="C1040" s="332" t="s">
        <v>13481</v>
      </c>
      <c r="D1040" s="134"/>
      <c r="E1040" s="135">
        <v>532</v>
      </c>
      <c r="F1040" s="46" t="s">
        <v>9</v>
      </c>
      <c r="G1040" s="749">
        <f t="shared" si="57"/>
        <v>0</v>
      </c>
    </row>
    <row r="1041" spans="1:7" ht="14.25" customHeight="1">
      <c r="A1041" s="785">
        <v>41671</v>
      </c>
      <c r="B1041" s="337" t="s">
        <v>13651</v>
      </c>
      <c r="C1041" s="332" t="s">
        <v>13380</v>
      </c>
      <c r="D1041" s="134"/>
      <c r="E1041" s="135">
        <v>93.42</v>
      </c>
      <c r="F1041" s="46" t="s">
        <v>9</v>
      </c>
      <c r="G1041" s="749">
        <f t="shared" si="57"/>
        <v>0</v>
      </c>
    </row>
    <row r="1042" spans="1:7" ht="14.25" customHeight="1">
      <c r="A1042" s="792">
        <v>41671</v>
      </c>
      <c r="B1042" s="793" t="s">
        <v>13653</v>
      </c>
      <c r="C1042" s="794" t="s">
        <v>13538</v>
      </c>
      <c r="D1042" s="795"/>
      <c r="E1042" s="796">
        <v>246</v>
      </c>
      <c r="F1042" s="797" t="s">
        <v>9</v>
      </c>
      <c r="G1042" s="798">
        <f t="shared" si="57"/>
        <v>0</v>
      </c>
    </row>
    <row r="1043" spans="1:7" ht="14.25" customHeight="1">
      <c r="A1043" s="785">
        <v>41680</v>
      </c>
      <c r="B1043" s="337" t="s">
        <v>13646</v>
      </c>
      <c r="C1043" s="776" t="s">
        <v>13619</v>
      </c>
      <c r="D1043" s="134"/>
      <c r="E1043" s="135">
        <v>240.91</v>
      </c>
      <c r="F1043" s="46" t="s">
        <v>9</v>
      </c>
      <c r="G1043" s="749">
        <f t="shared" si="57"/>
        <v>0</v>
      </c>
    </row>
    <row r="1044" spans="1:7" ht="14.25" customHeight="1">
      <c r="A1044" s="785">
        <v>41680</v>
      </c>
      <c r="B1044" s="337" t="s">
        <v>13656</v>
      </c>
      <c r="C1044" s="776" t="s">
        <v>13356</v>
      </c>
      <c r="D1044" s="134"/>
      <c r="E1044" s="135">
        <v>110.83</v>
      </c>
      <c r="F1044" s="46" t="s">
        <v>9</v>
      </c>
      <c r="G1044" s="749">
        <f t="shared" si="57"/>
        <v>0</v>
      </c>
    </row>
    <row r="1045" spans="1:7" ht="14.25" customHeight="1">
      <c r="A1045" s="785">
        <v>41687</v>
      </c>
      <c r="B1045" s="337" t="s">
        <v>13655</v>
      </c>
      <c r="C1045" s="776" t="s">
        <v>13657</v>
      </c>
      <c r="D1045" s="134"/>
      <c r="E1045" s="135">
        <v>326.45</v>
      </c>
      <c r="F1045" s="46" t="s">
        <v>9</v>
      </c>
      <c r="G1045" s="749">
        <f t="shared" si="57"/>
        <v>0</v>
      </c>
    </row>
    <row r="1046" spans="1:7" ht="14.25" customHeight="1">
      <c r="A1046" s="1491"/>
      <c r="B1046" s="1492"/>
      <c r="C1046" s="1493" t="s">
        <v>6470</v>
      </c>
      <c r="D1046" s="1494"/>
      <c r="E1046" s="1495">
        <f>SUM(E1047:E1053)</f>
        <v>1377.6033333333335</v>
      </c>
      <c r="F1046" s="1496"/>
      <c r="G1046" s="1497"/>
    </row>
    <row r="1047" spans="1:7" ht="14.25" customHeight="1">
      <c r="A1047" s="792">
        <v>41699</v>
      </c>
      <c r="B1047" s="793" t="s">
        <v>13642</v>
      </c>
      <c r="C1047" s="794" t="s">
        <v>13475</v>
      </c>
      <c r="D1047" s="795"/>
      <c r="E1047" s="796">
        <f>299/6</f>
        <v>49.833333333333336</v>
      </c>
      <c r="F1047" s="797" t="s">
        <v>9</v>
      </c>
      <c r="G1047" s="798">
        <f t="shared" ref="G1047:G1053" si="58">IF(F1047="X",0,E1047)</f>
        <v>0</v>
      </c>
    </row>
    <row r="1048" spans="1:7" ht="14.25" customHeight="1">
      <c r="A1048" s="785">
        <v>41699</v>
      </c>
      <c r="B1048" s="337" t="s">
        <v>13649</v>
      </c>
      <c r="C1048" s="332" t="s">
        <v>13554</v>
      </c>
      <c r="D1048" s="134"/>
      <c r="E1048" s="135">
        <v>24.16</v>
      </c>
      <c r="F1048" s="46" t="s">
        <v>9</v>
      </c>
      <c r="G1048" s="749">
        <f t="shared" si="58"/>
        <v>0</v>
      </c>
    </row>
    <row r="1049" spans="1:7" ht="14.25" customHeight="1">
      <c r="A1049" s="785">
        <v>41699</v>
      </c>
      <c r="B1049" s="337" t="s">
        <v>13651</v>
      </c>
      <c r="C1049" s="332" t="s">
        <v>13384</v>
      </c>
      <c r="D1049" s="134"/>
      <c r="E1049" s="135">
        <v>93.42</v>
      </c>
      <c r="F1049" s="46" t="s">
        <v>9</v>
      </c>
      <c r="G1049" s="749">
        <f t="shared" si="58"/>
        <v>0</v>
      </c>
    </row>
    <row r="1050" spans="1:7" ht="14.25" customHeight="1">
      <c r="A1050" s="785">
        <v>41699</v>
      </c>
      <c r="B1050" s="337" t="s">
        <v>13654</v>
      </c>
      <c r="C1050" s="332" t="s">
        <v>13489</v>
      </c>
      <c r="D1050" s="134"/>
      <c r="E1050" s="135">
        <v>532</v>
      </c>
      <c r="F1050" s="46" t="s">
        <v>9</v>
      </c>
      <c r="G1050" s="749">
        <f t="shared" si="58"/>
        <v>0</v>
      </c>
    </row>
    <row r="1051" spans="1:7" ht="14.25" customHeight="1">
      <c r="A1051" s="785">
        <v>41708</v>
      </c>
      <c r="B1051" s="337" t="s">
        <v>13646</v>
      </c>
      <c r="C1051" s="776" t="s">
        <v>13658</v>
      </c>
      <c r="D1051" s="134"/>
      <c r="E1051" s="135">
        <v>240.91</v>
      </c>
      <c r="F1051" s="46" t="s">
        <v>9</v>
      </c>
      <c r="G1051" s="749">
        <f t="shared" si="58"/>
        <v>0</v>
      </c>
    </row>
    <row r="1052" spans="1:7" ht="14.25" customHeight="1">
      <c r="A1052" s="785">
        <v>41708</v>
      </c>
      <c r="B1052" s="337" t="s">
        <v>13656</v>
      </c>
      <c r="C1052" s="776" t="s">
        <v>13368</v>
      </c>
      <c r="D1052" s="134"/>
      <c r="E1052" s="135">
        <v>110.83</v>
      </c>
      <c r="F1052" s="46" t="s">
        <v>9</v>
      </c>
      <c r="G1052" s="749">
        <f t="shared" si="58"/>
        <v>0</v>
      </c>
    </row>
    <row r="1053" spans="1:7" ht="14.25" customHeight="1">
      <c r="A1053" s="939">
        <v>41715</v>
      </c>
      <c r="B1053" s="940" t="s">
        <v>13655</v>
      </c>
      <c r="C1053" s="941" t="s">
        <v>13538</v>
      </c>
      <c r="D1053" s="942"/>
      <c r="E1053" s="943">
        <v>326.45</v>
      </c>
      <c r="F1053" s="944" t="s">
        <v>9</v>
      </c>
      <c r="G1053" s="945">
        <f t="shared" si="58"/>
        <v>0</v>
      </c>
    </row>
    <row r="1054" spans="1:7" ht="14.25" customHeight="1">
      <c r="A1054" s="1484"/>
      <c r="B1054" s="1485"/>
      <c r="C1054" s="1486" t="s">
        <v>6517</v>
      </c>
      <c r="D1054" s="1487"/>
      <c r="E1054" s="1488">
        <f>SUM(E1055:E1059)</f>
        <v>1001.32</v>
      </c>
      <c r="F1054" s="1489"/>
      <c r="G1054" s="1490"/>
    </row>
    <row r="1055" spans="1:7" ht="14.25" customHeight="1">
      <c r="A1055" s="785">
        <v>41730</v>
      </c>
      <c r="B1055" s="337" t="s">
        <v>13649</v>
      </c>
      <c r="C1055" s="332" t="s">
        <v>13561</v>
      </c>
      <c r="D1055" s="134"/>
      <c r="E1055" s="135">
        <v>24.16</v>
      </c>
      <c r="F1055" s="46" t="s">
        <v>9</v>
      </c>
      <c r="G1055" s="749">
        <f>IF(F1055="X",0,E1055)</f>
        <v>0</v>
      </c>
    </row>
    <row r="1056" spans="1:7" ht="14.25" customHeight="1">
      <c r="A1056" s="785">
        <v>41730</v>
      </c>
      <c r="B1056" s="337" t="s">
        <v>13651</v>
      </c>
      <c r="C1056" s="332" t="s">
        <v>13387</v>
      </c>
      <c r="D1056" s="134"/>
      <c r="E1056" s="135">
        <v>93.42</v>
      </c>
      <c r="F1056" s="46" t="s">
        <v>9</v>
      </c>
      <c r="G1056" s="749">
        <f>IF(F1056="X",0,E1056)</f>
        <v>0</v>
      </c>
    </row>
    <row r="1057" spans="1:7" ht="14.25" customHeight="1">
      <c r="A1057" s="792">
        <v>41730</v>
      </c>
      <c r="B1057" s="793" t="s">
        <v>13654</v>
      </c>
      <c r="C1057" s="794" t="s">
        <v>13493</v>
      </c>
      <c r="D1057" s="795"/>
      <c r="E1057" s="796">
        <v>532</v>
      </c>
      <c r="F1057" s="797" t="s">
        <v>9</v>
      </c>
      <c r="G1057" s="798">
        <f>IF(F1057="X",0,E1057)</f>
        <v>0</v>
      </c>
    </row>
    <row r="1058" spans="1:7" ht="14.25" customHeight="1">
      <c r="A1058" s="785">
        <v>41739</v>
      </c>
      <c r="B1058" s="337" t="s">
        <v>13646</v>
      </c>
      <c r="C1058" s="776" t="s">
        <v>13659</v>
      </c>
      <c r="D1058" s="134"/>
      <c r="E1058" s="135">
        <v>240.91</v>
      </c>
      <c r="F1058" s="46" t="s">
        <v>9</v>
      </c>
      <c r="G1058" s="749">
        <f>IF(F1058="X",0,E1058)</f>
        <v>0</v>
      </c>
    </row>
    <row r="1059" spans="1:7" ht="14.25" customHeight="1">
      <c r="A1059" s="785">
        <v>41739</v>
      </c>
      <c r="B1059" s="337" t="s">
        <v>13656</v>
      </c>
      <c r="C1059" s="776" t="s">
        <v>13376</v>
      </c>
      <c r="D1059" s="134"/>
      <c r="E1059" s="135">
        <v>110.83</v>
      </c>
      <c r="F1059" s="46" t="s">
        <v>9</v>
      </c>
      <c r="G1059" s="749">
        <f>IF(F1059="X",0,E1059)</f>
        <v>0</v>
      </c>
    </row>
    <row r="1060" spans="1:7" ht="14.25" customHeight="1">
      <c r="A1060" s="1491"/>
      <c r="B1060" s="1492"/>
      <c r="C1060" s="1493" t="s">
        <v>13660</v>
      </c>
      <c r="D1060" s="1494"/>
      <c r="E1060" s="1495">
        <f>SUM(E1061:E1064)</f>
        <v>469.32</v>
      </c>
      <c r="F1060" s="1496"/>
      <c r="G1060" s="1497"/>
    </row>
    <row r="1061" spans="1:7" ht="14.25" customHeight="1">
      <c r="A1061" s="785">
        <v>41760</v>
      </c>
      <c r="B1061" s="337" t="s">
        <v>13649</v>
      </c>
      <c r="C1061" s="332" t="s">
        <v>13567</v>
      </c>
      <c r="D1061" s="134"/>
      <c r="E1061" s="135">
        <v>24.16</v>
      </c>
      <c r="F1061" s="46" t="s">
        <v>9</v>
      </c>
      <c r="G1061" s="749">
        <f>IF(F1061="X",0,E1061)</f>
        <v>0</v>
      </c>
    </row>
    <row r="1062" spans="1:7" ht="14.25" customHeight="1">
      <c r="A1062" s="785">
        <v>41760</v>
      </c>
      <c r="B1062" s="337" t="s">
        <v>13651</v>
      </c>
      <c r="C1062" s="332" t="s">
        <v>13397</v>
      </c>
      <c r="D1062" s="134"/>
      <c r="E1062" s="135">
        <v>93.42</v>
      </c>
      <c r="F1062" s="46" t="s">
        <v>9</v>
      </c>
      <c r="G1062" s="749">
        <f>IF(F1062="X",0,E1062)</f>
        <v>0</v>
      </c>
    </row>
    <row r="1063" spans="1:7" ht="14.25" customHeight="1">
      <c r="A1063" s="785">
        <v>41769</v>
      </c>
      <c r="B1063" s="337" t="s">
        <v>13646</v>
      </c>
      <c r="C1063" s="776" t="s">
        <v>13661</v>
      </c>
      <c r="D1063" s="134"/>
      <c r="E1063" s="135">
        <v>240.91</v>
      </c>
      <c r="F1063" s="46" t="s">
        <v>9</v>
      </c>
      <c r="G1063" s="749">
        <f>IF(F1063="X",0,E1063)</f>
        <v>0</v>
      </c>
    </row>
    <row r="1064" spans="1:7" ht="14.25" customHeight="1">
      <c r="A1064" s="786">
        <v>41769</v>
      </c>
      <c r="B1064" s="787" t="s">
        <v>13656</v>
      </c>
      <c r="C1064" s="938" t="s">
        <v>13380</v>
      </c>
      <c r="D1064" s="789"/>
      <c r="E1064" s="790">
        <v>110.83</v>
      </c>
      <c r="F1064" s="791" t="s">
        <v>9</v>
      </c>
      <c r="G1064" s="750">
        <f>IF(F1064="X",0,E1064)</f>
        <v>0</v>
      </c>
    </row>
    <row r="1065" spans="1:7" ht="14.25" customHeight="1">
      <c r="A1065" s="1484"/>
      <c r="B1065" s="1485"/>
      <c r="C1065" s="1486" t="s">
        <v>13662</v>
      </c>
      <c r="D1065" s="1487"/>
      <c r="E1065" s="1488">
        <f>SUM(E1066:E1070)</f>
        <v>549.22</v>
      </c>
      <c r="F1065" s="1489"/>
      <c r="G1065" s="1490"/>
    </row>
    <row r="1066" spans="1:7" ht="14.25" customHeight="1">
      <c r="A1066" s="785">
        <v>41791</v>
      </c>
      <c r="B1066" s="337" t="s">
        <v>13649</v>
      </c>
      <c r="C1066" s="332" t="s">
        <v>13573</v>
      </c>
      <c r="D1066" s="134"/>
      <c r="E1066" s="135">
        <v>24.16</v>
      </c>
      <c r="F1066" s="46" t="s">
        <v>9</v>
      </c>
      <c r="G1066" s="749">
        <f>IF(F1066="X",0,E1066)</f>
        <v>0</v>
      </c>
    </row>
    <row r="1067" spans="1:7" ht="14.25" customHeight="1">
      <c r="A1067" s="785">
        <v>41791</v>
      </c>
      <c r="B1067" s="337" t="s">
        <v>13651</v>
      </c>
      <c r="C1067" s="332" t="s">
        <v>13402</v>
      </c>
      <c r="D1067" s="134"/>
      <c r="E1067" s="135">
        <v>93.42</v>
      </c>
      <c r="F1067" s="46" t="s">
        <v>9</v>
      </c>
      <c r="G1067" s="749">
        <f>IF(F1067="X",0,E1067)</f>
        <v>0</v>
      </c>
    </row>
    <row r="1068" spans="1:7" ht="14.25" customHeight="1">
      <c r="A1068" s="785">
        <v>41791</v>
      </c>
      <c r="B1068" s="337" t="s">
        <v>13663</v>
      </c>
      <c r="C1068" s="332" t="s">
        <v>13521</v>
      </c>
      <c r="D1068" s="134"/>
      <c r="E1068" s="135">
        <v>79.900000000000006</v>
      </c>
      <c r="F1068" s="46" t="s">
        <v>9</v>
      </c>
      <c r="G1068" s="749">
        <f>IF(F1068="X",0,E1068)</f>
        <v>0</v>
      </c>
    </row>
    <row r="1069" spans="1:7" ht="14.25" customHeight="1">
      <c r="A1069" s="785">
        <v>41800</v>
      </c>
      <c r="B1069" s="337" t="s">
        <v>13646</v>
      </c>
      <c r="C1069" s="776" t="s">
        <v>13664</v>
      </c>
      <c r="D1069" s="134"/>
      <c r="E1069" s="135">
        <v>240.91</v>
      </c>
      <c r="F1069" s="46" t="s">
        <v>9</v>
      </c>
      <c r="G1069" s="749">
        <f>IF(F1069="X",0,E1069)</f>
        <v>0</v>
      </c>
    </row>
    <row r="1070" spans="1:7" ht="14.25" customHeight="1">
      <c r="A1070" s="785">
        <v>41800</v>
      </c>
      <c r="B1070" s="337" t="s">
        <v>13656</v>
      </c>
      <c r="C1070" s="776" t="s">
        <v>13384</v>
      </c>
      <c r="D1070" s="134"/>
      <c r="E1070" s="135">
        <v>110.83</v>
      </c>
      <c r="F1070" s="46" t="s">
        <v>9</v>
      </c>
      <c r="G1070" s="749">
        <f>IF(F1070="X",0,E1070)</f>
        <v>0</v>
      </c>
    </row>
    <row r="1071" spans="1:7" ht="14.25" customHeight="1">
      <c r="A1071" s="1491"/>
      <c r="B1071" s="1492"/>
      <c r="C1071" s="1493" t="s">
        <v>6678</v>
      </c>
      <c r="D1071" s="1494"/>
      <c r="E1071" s="1495">
        <f>SUM(E1072:E1076)</f>
        <v>549.22</v>
      </c>
      <c r="F1071" s="1496"/>
      <c r="G1071" s="1497"/>
    </row>
    <row r="1072" spans="1:7" ht="14.25" customHeight="1">
      <c r="A1072" s="785">
        <v>41821</v>
      </c>
      <c r="B1072" s="337" t="s">
        <v>13649</v>
      </c>
      <c r="C1072" s="332" t="s">
        <v>13580</v>
      </c>
      <c r="D1072" s="134"/>
      <c r="E1072" s="135">
        <v>24.16</v>
      </c>
      <c r="F1072" s="46" t="s">
        <v>9</v>
      </c>
      <c r="G1072" s="749">
        <f>IF(F1072="X",0,E1072)</f>
        <v>0</v>
      </c>
    </row>
    <row r="1073" spans="1:7" ht="14.25" customHeight="1">
      <c r="A1073" s="785">
        <v>41821</v>
      </c>
      <c r="B1073" s="337" t="s">
        <v>13651</v>
      </c>
      <c r="C1073" s="332" t="s">
        <v>13409</v>
      </c>
      <c r="D1073" s="134"/>
      <c r="E1073" s="135">
        <v>93.42</v>
      </c>
      <c r="F1073" s="46" t="s">
        <v>9</v>
      </c>
      <c r="G1073" s="749">
        <f>IF(F1073="X",0,E1073)</f>
        <v>0</v>
      </c>
    </row>
    <row r="1074" spans="1:7" ht="14.25" customHeight="1">
      <c r="A1074" s="785">
        <v>41821</v>
      </c>
      <c r="B1074" s="337" t="s">
        <v>13663</v>
      </c>
      <c r="C1074" s="332" t="s">
        <v>13531</v>
      </c>
      <c r="D1074" s="134"/>
      <c r="E1074" s="135">
        <v>79.900000000000006</v>
      </c>
      <c r="F1074" s="46" t="s">
        <v>9</v>
      </c>
      <c r="G1074" s="749">
        <f>IF(F1074="X",0,E1074)</f>
        <v>0</v>
      </c>
    </row>
    <row r="1075" spans="1:7" ht="14.25" customHeight="1">
      <c r="A1075" s="785">
        <v>41830</v>
      </c>
      <c r="B1075" s="337" t="s">
        <v>13646</v>
      </c>
      <c r="C1075" s="776" t="s">
        <v>13665</v>
      </c>
      <c r="D1075" s="134"/>
      <c r="E1075" s="135">
        <v>240.91</v>
      </c>
      <c r="F1075" s="46" t="s">
        <v>9</v>
      </c>
      <c r="G1075" s="749">
        <f>IF(F1075="X",0,E1075)</f>
        <v>0</v>
      </c>
    </row>
    <row r="1076" spans="1:7" ht="14.25" customHeight="1">
      <c r="A1076" s="786">
        <v>41830</v>
      </c>
      <c r="B1076" s="787" t="s">
        <v>13656</v>
      </c>
      <c r="C1076" s="938" t="s">
        <v>13387</v>
      </c>
      <c r="D1076" s="789"/>
      <c r="E1076" s="790">
        <v>110.83</v>
      </c>
      <c r="F1076" s="791" t="s">
        <v>9</v>
      </c>
      <c r="G1076" s="750">
        <f>IF(F1076="X",0,E1076)</f>
        <v>0</v>
      </c>
    </row>
    <row r="1077" spans="1:7" ht="14.25" customHeight="1">
      <c r="A1077" s="1484"/>
      <c r="B1077" s="1485"/>
      <c r="C1077" s="1486" t="s">
        <v>6743</v>
      </c>
      <c r="D1077" s="1487"/>
      <c r="E1077" s="1488">
        <f>SUM(E1078:E1083)</f>
        <v>637.5100000000001</v>
      </c>
      <c r="F1077" s="1489"/>
      <c r="G1077" s="1490"/>
    </row>
    <row r="1078" spans="1:7" ht="14.25" customHeight="1">
      <c r="A1078" s="785">
        <v>41852</v>
      </c>
      <c r="B1078" s="337" t="s">
        <v>13649</v>
      </c>
      <c r="C1078" s="332" t="s">
        <v>13583</v>
      </c>
      <c r="D1078" s="134"/>
      <c r="E1078" s="135">
        <v>24.16</v>
      </c>
      <c r="F1078" s="46" t="s">
        <v>9</v>
      </c>
      <c r="G1078" s="749">
        <f t="shared" ref="G1078:G1083" si="59">IF(F1078="X",0,E1078)</f>
        <v>0</v>
      </c>
    </row>
    <row r="1079" spans="1:7" ht="14.25" customHeight="1">
      <c r="A1079" s="785">
        <v>41852</v>
      </c>
      <c r="B1079" s="337" t="s">
        <v>13666</v>
      </c>
      <c r="C1079" s="332" t="s">
        <v>13356</v>
      </c>
      <c r="D1079" s="134"/>
      <c r="E1079" s="135">
        <v>88.29</v>
      </c>
      <c r="F1079" s="46" t="s">
        <v>9</v>
      </c>
      <c r="G1079" s="749">
        <f t="shared" si="59"/>
        <v>0</v>
      </c>
    </row>
    <row r="1080" spans="1:7" ht="14.25" customHeight="1">
      <c r="A1080" s="792">
        <v>41852</v>
      </c>
      <c r="B1080" s="793" t="s">
        <v>13663</v>
      </c>
      <c r="C1080" s="794" t="s">
        <v>13538</v>
      </c>
      <c r="D1080" s="795"/>
      <c r="E1080" s="796">
        <v>79.900000000000006</v>
      </c>
      <c r="F1080" s="797" t="s">
        <v>9</v>
      </c>
      <c r="G1080" s="798">
        <f t="shared" si="59"/>
        <v>0</v>
      </c>
    </row>
    <row r="1081" spans="1:7" ht="14.25" customHeight="1">
      <c r="A1081" s="792">
        <v>41852</v>
      </c>
      <c r="B1081" s="793" t="s">
        <v>13651</v>
      </c>
      <c r="C1081" s="794" t="s">
        <v>13414</v>
      </c>
      <c r="D1081" s="795"/>
      <c r="E1081" s="796">
        <v>93.42</v>
      </c>
      <c r="F1081" s="797" t="s">
        <v>9</v>
      </c>
      <c r="G1081" s="798">
        <f t="shared" si="59"/>
        <v>0</v>
      </c>
    </row>
    <row r="1082" spans="1:7" ht="14.25" customHeight="1">
      <c r="A1082" s="792">
        <v>41861</v>
      </c>
      <c r="B1082" s="793" t="s">
        <v>13646</v>
      </c>
      <c r="C1082" s="794" t="s">
        <v>13640</v>
      </c>
      <c r="D1082" s="795"/>
      <c r="E1082" s="796">
        <v>240.91</v>
      </c>
      <c r="F1082" s="797" t="s">
        <v>9</v>
      </c>
      <c r="G1082" s="798">
        <f t="shared" si="59"/>
        <v>0</v>
      </c>
    </row>
    <row r="1083" spans="1:7" ht="14.25" customHeight="1">
      <c r="A1083" s="785">
        <v>41861</v>
      </c>
      <c r="B1083" s="337" t="s">
        <v>13656</v>
      </c>
      <c r="C1083" s="776" t="s">
        <v>13397</v>
      </c>
      <c r="D1083" s="134"/>
      <c r="E1083" s="135">
        <v>110.83</v>
      </c>
      <c r="F1083" s="46" t="s">
        <v>9</v>
      </c>
      <c r="G1083" s="749">
        <f t="shared" si="59"/>
        <v>0</v>
      </c>
    </row>
    <row r="1084" spans="1:7" ht="14.25" customHeight="1">
      <c r="A1084" s="1491"/>
      <c r="B1084" s="1492"/>
      <c r="C1084" s="1493" t="s">
        <v>6774</v>
      </c>
      <c r="D1084" s="1494"/>
      <c r="E1084" s="1495">
        <f>SUM(E1085:E1089)</f>
        <v>878.15000000000009</v>
      </c>
      <c r="F1084" s="1496"/>
      <c r="G1084" s="1497"/>
    </row>
    <row r="1085" spans="1:7" ht="14.25" customHeight="1">
      <c r="A1085" s="785">
        <v>41883</v>
      </c>
      <c r="B1085" s="337" t="s">
        <v>13663</v>
      </c>
      <c r="C1085" s="332" t="s">
        <v>13521</v>
      </c>
      <c r="D1085" s="134"/>
      <c r="E1085" s="135">
        <v>79.900000000000006</v>
      </c>
      <c r="F1085" s="46" t="s">
        <v>9</v>
      </c>
      <c r="G1085" s="749">
        <f>IF(F1085="X",0,E1085)</f>
        <v>0</v>
      </c>
    </row>
    <row r="1086" spans="1:7" ht="14.25" customHeight="1">
      <c r="A1086" s="785">
        <v>41883</v>
      </c>
      <c r="B1086" s="337" t="s">
        <v>13666</v>
      </c>
      <c r="C1086" s="332" t="s">
        <v>13368</v>
      </c>
      <c r="D1086" s="134"/>
      <c r="E1086" s="135">
        <v>88.29</v>
      </c>
      <c r="F1086" s="46" t="s">
        <v>9</v>
      </c>
      <c r="G1086" s="749">
        <f>IF(F1086="X",0,E1086)</f>
        <v>0</v>
      </c>
    </row>
    <row r="1087" spans="1:7" ht="14.25" customHeight="1">
      <c r="A1087" s="785">
        <v>41915</v>
      </c>
      <c r="B1087" s="337" t="s">
        <v>13667</v>
      </c>
      <c r="C1087" s="776" t="s">
        <v>13459</v>
      </c>
      <c r="D1087" s="134"/>
      <c r="E1087" s="135">
        <v>574.97</v>
      </c>
      <c r="F1087" s="46" t="s">
        <v>9</v>
      </c>
      <c r="G1087" s="749">
        <f>IF(F1087="X",0,E1087)</f>
        <v>0</v>
      </c>
    </row>
    <row r="1088" spans="1:7" ht="14.25" customHeight="1">
      <c r="A1088" s="785">
        <v>41883</v>
      </c>
      <c r="B1088" s="337" t="s">
        <v>13649</v>
      </c>
      <c r="C1088" s="332" t="s">
        <v>13587</v>
      </c>
      <c r="D1088" s="134"/>
      <c r="E1088" s="135">
        <v>24.16</v>
      </c>
      <c r="F1088" s="46" t="s">
        <v>9</v>
      </c>
      <c r="G1088" s="749">
        <f>IF(F1088="X",0,E1088)</f>
        <v>0</v>
      </c>
    </row>
    <row r="1089" spans="1:7" ht="14.25" customHeight="1">
      <c r="A1089" s="786">
        <v>41892</v>
      </c>
      <c r="B1089" s="787" t="s">
        <v>13656</v>
      </c>
      <c r="C1089" s="938" t="s">
        <v>13402</v>
      </c>
      <c r="D1089" s="789"/>
      <c r="E1089" s="790">
        <v>110.83</v>
      </c>
      <c r="F1089" s="791" t="s">
        <v>9</v>
      </c>
      <c r="G1089" s="750">
        <f>IF(F1089="X",0,E1089)</f>
        <v>0</v>
      </c>
    </row>
    <row r="1090" spans="1:7" ht="14.25" customHeight="1">
      <c r="A1090" s="1484"/>
      <c r="B1090" s="1485"/>
      <c r="C1090" s="1486" t="s">
        <v>13668</v>
      </c>
      <c r="D1090" s="1487"/>
      <c r="E1090" s="1488">
        <f>SUM(E1091:E1099)</f>
        <v>1660.13</v>
      </c>
      <c r="F1090" s="1489"/>
      <c r="G1090" s="1490"/>
    </row>
    <row r="1091" spans="1:7" ht="14.25" customHeight="1">
      <c r="A1091" s="785">
        <v>41913</v>
      </c>
      <c r="B1091" s="337" t="s">
        <v>13663</v>
      </c>
      <c r="C1091" s="332" t="s">
        <v>13531</v>
      </c>
      <c r="D1091" s="134"/>
      <c r="E1091" s="135">
        <v>79.900000000000006</v>
      </c>
      <c r="F1091" s="46" t="s">
        <v>9</v>
      </c>
      <c r="G1091" s="749">
        <f>IF(F1091="X",0,E1091)</f>
        <v>0</v>
      </c>
    </row>
    <row r="1092" spans="1:7" ht="14.25" customHeight="1">
      <c r="A1092" s="785">
        <v>41913</v>
      </c>
      <c r="B1092" s="337" t="s">
        <v>13669</v>
      </c>
      <c r="C1092" s="776" t="s">
        <v>13479</v>
      </c>
      <c r="D1092" s="134"/>
      <c r="E1092" s="135">
        <v>247</v>
      </c>
      <c r="F1092" s="46" t="s">
        <v>9</v>
      </c>
      <c r="G1092" s="749">
        <f t="shared" ref="G1092:G1098" si="60">IF(F1092="X",0,E1092)</f>
        <v>0</v>
      </c>
    </row>
    <row r="1093" spans="1:7" ht="14.25" customHeight="1">
      <c r="A1093" s="785">
        <v>41913</v>
      </c>
      <c r="B1093" s="337" t="s">
        <v>13670</v>
      </c>
      <c r="C1093" s="332" t="s">
        <v>13521</v>
      </c>
      <c r="D1093" s="134"/>
      <c r="E1093" s="135">
        <v>233</v>
      </c>
      <c r="F1093" s="46" t="s">
        <v>9</v>
      </c>
      <c r="G1093" s="749">
        <f t="shared" si="60"/>
        <v>0</v>
      </c>
    </row>
    <row r="1094" spans="1:7" ht="14.25" customHeight="1">
      <c r="A1094" s="785">
        <v>41913</v>
      </c>
      <c r="B1094" s="337" t="s">
        <v>13671</v>
      </c>
      <c r="C1094" s="776" t="s">
        <v>13521</v>
      </c>
      <c r="D1094" s="134"/>
      <c r="E1094" s="135">
        <v>49.34</v>
      </c>
      <c r="F1094" s="46" t="s">
        <v>9</v>
      </c>
      <c r="G1094" s="749">
        <f t="shared" si="60"/>
        <v>0</v>
      </c>
    </row>
    <row r="1095" spans="1:7" ht="14.25" customHeight="1">
      <c r="A1095" s="785">
        <v>41913</v>
      </c>
      <c r="B1095" s="337" t="s">
        <v>13666</v>
      </c>
      <c r="C1095" s="332" t="s">
        <v>13376</v>
      </c>
      <c r="D1095" s="134"/>
      <c r="E1095" s="135">
        <v>88.29</v>
      </c>
      <c r="F1095" s="46" t="s">
        <v>9</v>
      </c>
      <c r="G1095" s="749">
        <f t="shared" si="60"/>
        <v>0</v>
      </c>
    </row>
    <row r="1096" spans="1:7" ht="14.25" customHeight="1">
      <c r="A1096" s="785">
        <v>41915</v>
      </c>
      <c r="B1096" s="337" t="s">
        <v>13667</v>
      </c>
      <c r="C1096" s="776" t="s">
        <v>13481</v>
      </c>
      <c r="D1096" s="134"/>
      <c r="E1096" s="135">
        <v>574.97</v>
      </c>
      <c r="F1096" s="46" t="s">
        <v>9</v>
      </c>
      <c r="G1096" s="749">
        <f t="shared" si="60"/>
        <v>0</v>
      </c>
    </row>
    <row r="1097" spans="1:7" ht="14.25" customHeight="1">
      <c r="A1097" s="792">
        <v>41913</v>
      </c>
      <c r="B1097" s="793" t="s">
        <v>13649</v>
      </c>
      <c r="C1097" s="794" t="s">
        <v>13590</v>
      </c>
      <c r="D1097" s="795"/>
      <c r="E1097" s="796">
        <v>24.16</v>
      </c>
      <c r="F1097" s="797" t="s">
        <v>9</v>
      </c>
      <c r="G1097" s="798">
        <f t="shared" si="60"/>
        <v>0</v>
      </c>
    </row>
    <row r="1098" spans="1:7" ht="14.25" customHeight="1">
      <c r="A1098" s="785">
        <v>41922</v>
      </c>
      <c r="B1098" s="337" t="s">
        <v>13656</v>
      </c>
      <c r="C1098" s="776" t="s">
        <v>13409</v>
      </c>
      <c r="D1098" s="134"/>
      <c r="E1098" s="135">
        <v>110.83</v>
      </c>
      <c r="F1098" s="46" t="s">
        <v>9</v>
      </c>
      <c r="G1098" s="749">
        <f t="shared" si="60"/>
        <v>0</v>
      </c>
    </row>
    <row r="1099" spans="1:7" ht="14.25" customHeight="1">
      <c r="A1099" s="785">
        <v>41932</v>
      </c>
      <c r="B1099" s="337" t="s">
        <v>13672</v>
      </c>
      <c r="C1099" s="776" t="s">
        <v>13610</v>
      </c>
      <c r="D1099" s="134"/>
      <c r="E1099" s="135">
        <v>252.64</v>
      </c>
      <c r="F1099" s="46" t="s">
        <v>9</v>
      </c>
      <c r="G1099" s="749">
        <f>IF(F1099="X",0,E1099)</f>
        <v>0</v>
      </c>
    </row>
    <row r="1100" spans="1:7" ht="14.25" customHeight="1">
      <c r="A1100" s="1491"/>
      <c r="B1100" s="1492"/>
      <c r="C1100" s="1493" t="s">
        <v>13673</v>
      </c>
      <c r="D1100" s="1494"/>
      <c r="E1100" s="1495">
        <f>SUM(E1101:E1110)</f>
        <v>2372.0600000000004</v>
      </c>
      <c r="F1100" s="1496"/>
      <c r="G1100" s="1497"/>
    </row>
    <row r="1101" spans="1:7" ht="14.25" customHeight="1">
      <c r="A1101" s="785">
        <v>41944</v>
      </c>
      <c r="B1101" s="337" t="s">
        <v>13663</v>
      </c>
      <c r="C1101" s="332" t="s">
        <v>13538</v>
      </c>
      <c r="D1101" s="134"/>
      <c r="E1101" s="135">
        <v>79.900000000000006</v>
      </c>
      <c r="F1101" s="46" t="s">
        <v>9</v>
      </c>
      <c r="G1101" s="749">
        <f t="shared" ref="G1101:G1110" si="61">IF(F1101="X",0,E1101)</f>
        <v>0</v>
      </c>
    </row>
    <row r="1102" spans="1:7" ht="14.25" customHeight="1">
      <c r="A1102" s="792">
        <v>41944</v>
      </c>
      <c r="B1102" s="793" t="s">
        <v>13669</v>
      </c>
      <c r="C1102" s="794" t="s">
        <v>13485</v>
      </c>
      <c r="D1102" s="795"/>
      <c r="E1102" s="796">
        <v>247</v>
      </c>
      <c r="F1102" s="797" t="s">
        <v>9</v>
      </c>
      <c r="G1102" s="798">
        <f t="shared" si="61"/>
        <v>0</v>
      </c>
    </row>
    <row r="1103" spans="1:7" ht="14.25" customHeight="1">
      <c r="A1103" s="785">
        <v>41944</v>
      </c>
      <c r="B1103" s="337" t="s">
        <v>13670</v>
      </c>
      <c r="C1103" s="332" t="s">
        <v>13531</v>
      </c>
      <c r="D1103" s="134"/>
      <c r="E1103" s="135">
        <v>233</v>
      </c>
      <c r="F1103" s="46" t="s">
        <v>9</v>
      </c>
      <c r="G1103" s="749">
        <f t="shared" si="61"/>
        <v>0</v>
      </c>
    </row>
    <row r="1104" spans="1:7" ht="14.25" customHeight="1">
      <c r="A1104" s="785">
        <v>41944</v>
      </c>
      <c r="B1104" s="337" t="s">
        <v>13674</v>
      </c>
      <c r="C1104" s="332" t="s">
        <v>13521</v>
      </c>
      <c r="D1104" s="134"/>
      <c r="E1104" s="135">
        <v>84.67</v>
      </c>
      <c r="F1104" s="46" t="s">
        <v>9</v>
      </c>
      <c r="G1104" s="749">
        <f t="shared" si="61"/>
        <v>0</v>
      </c>
    </row>
    <row r="1105" spans="1:7" ht="14.25" customHeight="1">
      <c r="A1105" s="785">
        <v>41944</v>
      </c>
      <c r="B1105" s="337" t="s">
        <v>13671</v>
      </c>
      <c r="C1105" s="776" t="s">
        <v>13531</v>
      </c>
      <c r="D1105" s="134"/>
      <c r="E1105" s="135">
        <v>49.34</v>
      </c>
      <c r="F1105" s="46" t="s">
        <v>9</v>
      </c>
      <c r="G1105" s="749">
        <f t="shared" si="61"/>
        <v>0</v>
      </c>
    </row>
    <row r="1106" spans="1:7" ht="14.25" customHeight="1">
      <c r="A1106" s="785">
        <v>41944</v>
      </c>
      <c r="B1106" s="337" t="s">
        <v>13666</v>
      </c>
      <c r="C1106" s="332" t="s">
        <v>13380</v>
      </c>
      <c r="D1106" s="134"/>
      <c r="E1106" s="135">
        <v>88.29</v>
      </c>
      <c r="F1106" s="46" t="s">
        <v>9</v>
      </c>
      <c r="G1106" s="749">
        <f t="shared" si="61"/>
        <v>0</v>
      </c>
    </row>
    <row r="1107" spans="1:7" ht="14.25" customHeight="1">
      <c r="A1107" s="785">
        <v>41946</v>
      </c>
      <c r="B1107" s="337" t="s">
        <v>13667</v>
      </c>
      <c r="C1107" s="776" t="s">
        <v>13489</v>
      </c>
      <c r="D1107" s="134"/>
      <c r="E1107" s="135">
        <v>574.97</v>
      </c>
      <c r="F1107" s="46" t="s">
        <v>9</v>
      </c>
      <c r="G1107" s="749">
        <f t="shared" si="61"/>
        <v>0</v>
      </c>
    </row>
    <row r="1108" spans="1:7" ht="14.25" customHeight="1">
      <c r="A1108" s="785">
        <v>41946</v>
      </c>
      <c r="B1108" s="337" t="s">
        <v>13675</v>
      </c>
      <c r="C1108" s="776" t="s">
        <v>13459</v>
      </c>
      <c r="D1108" s="134"/>
      <c r="E1108" s="135">
        <v>656.22</v>
      </c>
      <c r="F1108" s="46" t="s">
        <v>9</v>
      </c>
      <c r="G1108" s="749">
        <f t="shared" si="61"/>
        <v>0</v>
      </c>
    </row>
    <row r="1109" spans="1:7" ht="14.25" customHeight="1">
      <c r="A1109" s="792">
        <v>41953</v>
      </c>
      <c r="B1109" s="793" t="s">
        <v>13656</v>
      </c>
      <c r="C1109" s="794" t="s">
        <v>13414</v>
      </c>
      <c r="D1109" s="795"/>
      <c r="E1109" s="796">
        <v>110.83</v>
      </c>
      <c r="F1109" s="797" t="s">
        <v>9</v>
      </c>
      <c r="G1109" s="798">
        <f t="shared" si="61"/>
        <v>0</v>
      </c>
    </row>
    <row r="1110" spans="1:7" ht="14.25" customHeight="1">
      <c r="A1110" s="786">
        <v>41953</v>
      </c>
      <c r="B1110" s="787" t="s">
        <v>13672</v>
      </c>
      <c r="C1110" s="938" t="s">
        <v>13676</v>
      </c>
      <c r="D1110" s="789"/>
      <c r="E1110" s="790">
        <v>247.84</v>
      </c>
      <c r="F1110" s="791" t="s">
        <v>9</v>
      </c>
      <c r="G1110" s="750">
        <f t="shared" si="61"/>
        <v>0</v>
      </c>
    </row>
    <row r="1111" spans="1:7" ht="14.25" customHeight="1">
      <c r="A1111" s="1484"/>
      <c r="B1111" s="1485"/>
      <c r="C1111" s="1486" t="s">
        <v>13677</v>
      </c>
      <c r="D1111" s="1487"/>
      <c r="E1111" s="1488">
        <f>SUM(E1112:E1121)</f>
        <v>2439.16</v>
      </c>
      <c r="F1111" s="1489"/>
      <c r="G1111" s="1490"/>
    </row>
    <row r="1112" spans="1:7" ht="14.25" customHeight="1">
      <c r="A1112" s="785">
        <v>41974</v>
      </c>
      <c r="B1112" s="337" t="s">
        <v>13678</v>
      </c>
      <c r="C1112" s="776" t="s">
        <v>13521</v>
      </c>
      <c r="D1112" s="134"/>
      <c r="E1112" s="135">
        <v>54</v>
      </c>
      <c r="F1112" s="46" t="s">
        <v>9</v>
      </c>
      <c r="G1112" s="749">
        <f>IF(F1112="X",0,E1112)</f>
        <v>0</v>
      </c>
    </row>
    <row r="1113" spans="1:7" ht="14.25" customHeight="1">
      <c r="A1113" s="785">
        <v>41974</v>
      </c>
      <c r="B1113" s="337" t="s">
        <v>13663</v>
      </c>
      <c r="C1113" s="332" t="s">
        <v>13521</v>
      </c>
      <c r="D1113" s="134"/>
      <c r="E1113" s="135">
        <v>79.900000000000006</v>
      </c>
      <c r="F1113" s="46" t="s">
        <v>9</v>
      </c>
      <c r="G1113" s="749">
        <f>IF(F1113="X",0,E1113)</f>
        <v>0</v>
      </c>
    </row>
    <row r="1114" spans="1:7" ht="14.25" customHeight="1">
      <c r="A1114" s="792">
        <v>41974</v>
      </c>
      <c r="B1114" s="793" t="s">
        <v>13670</v>
      </c>
      <c r="C1114" s="794" t="s">
        <v>13538</v>
      </c>
      <c r="D1114" s="795"/>
      <c r="E1114" s="796">
        <v>233</v>
      </c>
      <c r="F1114" s="797" t="s">
        <v>9</v>
      </c>
      <c r="G1114" s="798">
        <f t="shared" ref="G1114:G1121" si="62">IF(F1114="X",0,E1114)</f>
        <v>0</v>
      </c>
    </row>
    <row r="1115" spans="1:7" ht="14.25" customHeight="1">
      <c r="A1115" s="785">
        <v>41974</v>
      </c>
      <c r="B1115" s="337" t="s">
        <v>13674</v>
      </c>
      <c r="C1115" s="332" t="s">
        <v>13531</v>
      </c>
      <c r="D1115" s="134"/>
      <c r="E1115" s="135">
        <v>84.67</v>
      </c>
      <c r="F1115" s="46" t="s">
        <v>9</v>
      </c>
      <c r="G1115" s="749">
        <f t="shared" si="62"/>
        <v>0</v>
      </c>
    </row>
    <row r="1116" spans="1:7" ht="14.25" customHeight="1">
      <c r="A1116" s="785">
        <v>41974</v>
      </c>
      <c r="B1116" s="337" t="s">
        <v>13679</v>
      </c>
      <c r="C1116" s="332" t="s">
        <v>13437</v>
      </c>
      <c r="D1116" s="134"/>
      <c r="E1116" s="135">
        <v>370.93</v>
      </c>
      <c r="F1116" s="46" t="s">
        <v>9</v>
      </c>
      <c r="G1116" s="749">
        <f t="shared" si="62"/>
        <v>0</v>
      </c>
    </row>
    <row r="1117" spans="1:7" ht="14.25" customHeight="1">
      <c r="A1117" s="792">
        <v>41974</v>
      </c>
      <c r="B1117" s="793" t="s">
        <v>13671</v>
      </c>
      <c r="C1117" s="794" t="s">
        <v>13538</v>
      </c>
      <c r="D1117" s="795"/>
      <c r="E1117" s="796">
        <v>49.34</v>
      </c>
      <c r="F1117" s="797" t="s">
        <v>9</v>
      </c>
      <c r="G1117" s="798">
        <f t="shared" si="62"/>
        <v>0</v>
      </c>
    </row>
    <row r="1118" spans="1:7" ht="14.25" customHeight="1">
      <c r="A1118" s="785">
        <v>41974</v>
      </c>
      <c r="B1118" s="337" t="s">
        <v>13666</v>
      </c>
      <c r="C1118" s="332" t="s">
        <v>13384</v>
      </c>
      <c r="D1118" s="134"/>
      <c r="E1118" s="135">
        <v>88.29</v>
      </c>
      <c r="F1118" s="46" t="s">
        <v>9</v>
      </c>
      <c r="G1118" s="749">
        <f t="shared" si="62"/>
        <v>0</v>
      </c>
    </row>
    <row r="1119" spans="1:7" ht="14.25" customHeight="1">
      <c r="A1119" s="792">
        <v>41974</v>
      </c>
      <c r="B1119" s="793" t="s">
        <v>13667</v>
      </c>
      <c r="C1119" s="794" t="s">
        <v>13493</v>
      </c>
      <c r="D1119" s="795"/>
      <c r="E1119" s="796">
        <v>574.97</v>
      </c>
      <c r="F1119" s="797" t="s">
        <v>9</v>
      </c>
      <c r="G1119" s="798">
        <f t="shared" si="62"/>
        <v>0</v>
      </c>
    </row>
    <row r="1120" spans="1:7" ht="14.25" customHeight="1">
      <c r="A1120" s="785">
        <v>41976</v>
      </c>
      <c r="B1120" s="337" t="s">
        <v>13675</v>
      </c>
      <c r="C1120" s="776" t="s">
        <v>13481</v>
      </c>
      <c r="D1120" s="134"/>
      <c r="E1120" s="135">
        <v>656.22</v>
      </c>
      <c r="F1120" s="46" t="s">
        <v>9</v>
      </c>
      <c r="G1120" s="749">
        <f t="shared" si="62"/>
        <v>0</v>
      </c>
    </row>
    <row r="1121" spans="1:7" ht="14.25" customHeight="1">
      <c r="A1121" s="785">
        <v>41983</v>
      </c>
      <c r="B1121" s="337" t="s">
        <v>13672</v>
      </c>
      <c r="C1121" s="776" t="s">
        <v>13680</v>
      </c>
      <c r="D1121" s="134"/>
      <c r="E1121" s="135">
        <v>247.84</v>
      </c>
      <c r="F1121" s="46" t="s">
        <v>9</v>
      </c>
      <c r="G1121" s="749">
        <f t="shared" si="62"/>
        <v>0</v>
      </c>
    </row>
    <row r="1122" spans="1:7">
      <c r="A1122" s="1491"/>
      <c r="B1122" s="1492"/>
      <c r="C1122" s="1493" t="s">
        <v>6965</v>
      </c>
      <c r="D1122" s="1494"/>
      <c r="E1122" s="1495">
        <f>SUM(E1123:E1131)</f>
        <v>2311.86</v>
      </c>
      <c r="F1122" s="1496"/>
      <c r="G1122" s="1497"/>
    </row>
    <row r="1123" spans="1:7">
      <c r="A1123" s="785">
        <v>42005</v>
      </c>
      <c r="B1123" s="337" t="s">
        <v>13678</v>
      </c>
      <c r="C1123" s="776" t="s">
        <v>13531</v>
      </c>
      <c r="D1123" s="134"/>
      <c r="E1123" s="135">
        <v>54</v>
      </c>
      <c r="F1123" s="46" t="s">
        <v>9</v>
      </c>
      <c r="G1123" s="749">
        <f>IF(F1123="X",0,E1123)</f>
        <v>0</v>
      </c>
    </row>
    <row r="1124" spans="1:7">
      <c r="A1124" s="785">
        <v>42005</v>
      </c>
      <c r="B1124" s="337" t="s">
        <v>13663</v>
      </c>
      <c r="C1124" s="332" t="s">
        <v>13531</v>
      </c>
      <c r="D1124" s="134"/>
      <c r="E1124" s="135">
        <v>79.900000000000006</v>
      </c>
      <c r="F1124" s="46" t="s">
        <v>9</v>
      </c>
      <c r="G1124" s="749">
        <f t="shared" ref="G1124:G1131" si="63">IF(F1124="X",0,E1124)</f>
        <v>0</v>
      </c>
    </row>
    <row r="1125" spans="1:7">
      <c r="A1125" s="785">
        <v>42005</v>
      </c>
      <c r="B1125" s="337" t="s">
        <v>13666</v>
      </c>
      <c r="C1125" s="332" t="s">
        <v>13387</v>
      </c>
      <c r="D1125" s="134"/>
      <c r="E1125" s="135">
        <v>88.29</v>
      </c>
      <c r="F1125" s="46" t="s">
        <v>9</v>
      </c>
      <c r="G1125" s="749">
        <f t="shared" si="63"/>
        <v>0</v>
      </c>
    </row>
    <row r="1126" spans="1:7">
      <c r="A1126" s="785">
        <v>42005</v>
      </c>
      <c r="B1126" s="337" t="s">
        <v>13679</v>
      </c>
      <c r="C1126" s="332" t="s">
        <v>13443</v>
      </c>
      <c r="D1126" s="134"/>
      <c r="E1126" s="135">
        <v>370.93</v>
      </c>
      <c r="F1126" s="46" t="s">
        <v>9</v>
      </c>
      <c r="G1126" s="749">
        <f t="shared" si="63"/>
        <v>0</v>
      </c>
    </row>
    <row r="1127" spans="1:7">
      <c r="A1127" s="792">
        <v>42005</v>
      </c>
      <c r="B1127" s="793" t="s">
        <v>13674</v>
      </c>
      <c r="C1127" s="794" t="s">
        <v>13538</v>
      </c>
      <c r="D1127" s="795"/>
      <c r="E1127" s="796">
        <v>84.67</v>
      </c>
      <c r="F1127" s="797" t="s">
        <v>9</v>
      </c>
      <c r="G1127" s="798">
        <f t="shared" si="63"/>
        <v>0</v>
      </c>
    </row>
    <row r="1128" spans="1:7">
      <c r="A1128" s="785">
        <v>42007</v>
      </c>
      <c r="B1128" s="337" t="s">
        <v>13675</v>
      </c>
      <c r="C1128" s="776" t="s">
        <v>13489</v>
      </c>
      <c r="D1128" s="134"/>
      <c r="E1128" s="135">
        <v>656.22</v>
      </c>
      <c r="F1128" s="46" t="s">
        <v>9</v>
      </c>
      <c r="G1128" s="749">
        <f t="shared" si="63"/>
        <v>0</v>
      </c>
    </row>
    <row r="1129" spans="1:7">
      <c r="A1129" s="785">
        <v>42014</v>
      </c>
      <c r="B1129" s="337" t="s">
        <v>13672</v>
      </c>
      <c r="C1129" s="776" t="s">
        <v>13681</v>
      </c>
      <c r="D1129" s="134"/>
      <c r="E1129" s="135">
        <v>247.84</v>
      </c>
      <c r="F1129" s="46" t="s">
        <v>9</v>
      </c>
      <c r="G1129" s="749">
        <f t="shared" si="63"/>
        <v>0</v>
      </c>
    </row>
    <row r="1130" spans="1:7">
      <c r="A1130" s="785">
        <v>42017</v>
      </c>
      <c r="B1130" s="337" t="s">
        <v>13682</v>
      </c>
      <c r="C1130" s="776" t="s">
        <v>13521</v>
      </c>
      <c r="D1130" s="134"/>
      <c r="E1130" s="135">
        <v>307.43</v>
      </c>
      <c r="F1130" s="46" t="s">
        <v>9</v>
      </c>
      <c r="G1130" s="749">
        <f t="shared" si="63"/>
        <v>0</v>
      </c>
    </row>
    <row r="1131" spans="1:7">
      <c r="A1131" s="786">
        <v>42019</v>
      </c>
      <c r="B1131" s="787" t="s">
        <v>13683</v>
      </c>
      <c r="C1131" s="938" t="s">
        <v>13521</v>
      </c>
      <c r="D1131" s="789"/>
      <c r="E1131" s="790">
        <v>422.58</v>
      </c>
      <c r="F1131" s="791" t="s">
        <v>9</v>
      </c>
      <c r="G1131" s="750">
        <f t="shared" si="63"/>
        <v>0</v>
      </c>
    </row>
    <row r="1132" spans="1:7">
      <c r="A1132" s="1484"/>
      <c r="B1132" s="1485"/>
      <c r="C1132" s="1486" t="s">
        <v>7019</v>
      </c>
      <c r="D1132" s="1487"/>
      <c r="E1132" s="1488">
        <f>SUM(E1133:E1141)</f>
        <v>2345.4500000000003</v>
      </c>
      <c r="F1132" s="1489"/>
      <c r="G1132" s="1490"/>
    </row>
    <row r="1133" spans="1:7">
      <c r="A1133" s="1350">
        <v>42036</v>
      </c>
      <c r="B1133" s="1351" t="s">
        <v>13678</v>
      </c>
      <c r="C1133" s="1352" t="s">
        <v>13538</v>
      </c>
      <c r="D1133" s="1353"/>
      <c r="E1133" s="1354">
        <v>54</v>
      </c>
      <c r="F1133" s="1355" t="s">
        <v>9</v>
      </c>
      <c r="G1133" s="1356">
        <f t="shared" ref="G1133:G1141" si="64">IF(F1133="X",0,E1133)</f>
        <v>0</v>
      </c>
    </row>
    <row r="1134" spans="1:7">
      <c r="A1134" s="792">
        <v>42036</v>
      </c>
      <c r="B1134" s="793" t="s">
        <v>13663</v>
      </c>
      <c r="C1134" s="794" t="s">
        <v>13538</v>
      </c>
      <c r="D1134" s="795"/>
      <c r="E1134" s="796">
        <v>79.900000000000006</v>
      </c>
      <c r="F1134" s="797" t="s">
        <v>9</v>
      </c>
      <c r="G1134" s="798">
        <f t="shared" si="64"/>
        <v>0</v>
      </c>
    </row>
    <row r="1135" spans="1:7">
      <c r="A1135" s="785">
        <v>42036</v>
      </c>
      <c r="B1135" s="337" t="s">
        <v>13666</v>
      </c>
      <c r="C1135" s="332" t="s">
        <v>13397</v>
      </c>
      <c r="D1135" s="134"/>
      <c r="E1135" s="135">
        <v>88.29</v>
      </c>
      <c r="F1135" s="46" t="s">
        <v>9</v>
      </c>
      <c r="G1135" s="749">
        <f t="shared" si="64"/>
        <v>0</v>
      </c>
    </row>
    <row r="1136" spans="1:7">
      <c r="A1136" s="785">
        <v>42036</v>
      </c>
      <c r="B1136" s="337" t="s">
        <v>13679</v>
      </c>
      <c r="C1136" s="332" t="s">
        <v>13448</v>
      </c>
      <c r="D1136" s="134"/>
      <c r="E1136" s="135">
        <v>370.93</v>
      </c>
      <c r="F1136" s="46" t="s">
        <v>9</v>
      </c>
      <c r="G1136" s="749">
        <f t="shared" si="64"/>
        <v>0</v>
      </c>
    </row>
    <row r="1137" spans="1:7">
      <c r="A1137" s="792">
        <v>42038</v>
      </c>
      <c r="B1137" s="793" t="s">
        <v>13675</v>
      </c>
      <c r="C1137" s="794" t="s">
        <v>13493</v>
      </c>
      <c r="D1137" s="795"/>
      <c r="E1137" s="796">
        <v>656.22</v>
      </c>
      <c r="F1137" s="797" t="s">
        <v>9</v>
      </c>
      <c r="G1137" s="798">
        <f t="shared" si="64"/>
        <v>0</v>
      </c>
    </row>
    <row r="1138" spans="1:7">
      <c r="A1138" s="785">
        <v>42045</v>
      </c>
      <c r="B1138" s="337" t="s">
        <v>13672</v>
      </c>
      <c r="C1138" s="776" t="s">
        <v>13684</v>
      </c>
      <c r="D1138" s="134"/>
      <c r="E1138" s="135">
        <v>247.84</v>
      </c>
      <c r="F1138" s="46" t="s">
        <v>9</v>
      </c>
      <c r="G1138" s="749">
        <f t="shared" si="64"/>
        <v>0</v>
      </c>
    </row>
    <row r="1139" spans="1:7">
      <c r="A1139" s="785">
        <v>42045</v>
      </c>
      <c r="B1139" s="337" t="s">
        <v>13685</v>
      </c>
      <c r="C1139" s="776" t="s">
        <v>13356</v>
      </c>
      <c r="D1139" s="134"/>
      <c r="E1139" s="135">
        <v>118.26</v>
      </c>
      <c r="F1139" s="46" t="s">
        <v>9</v>
      </c>
      <c r="G1139" s="749">
        <f t="shared" si="64"/>
        <v>0</v>
      </c>
    </row>
    <row r="1140" spans="1:7">
      <c r="A1140" s="785">
        <v>42048</v>
      </c>
      <c r="B1140" s="337" t="s">
        <v>13682</v>
      </c>
      <c r="C1140" s="776" t="s">
        <v>13531</v>
      </c>
      <c r="D1140" s="134"/>
      <c r="E1140" s="135">
        <v>307.43</v>
      </c>
      <c r="F1140" s="46" t="s">
        <v>9</v>
      </c>
      <c r="G1140" s="749">
        <f t="shared" si="64"/>
        <v>0</v>
      </c>
    </row>
    <row r="1141" spans="1:7">
      <c r="A1141" s="786">
        <v>42050</v>
      </c>
      <c r="B1141" s="787" t="s">
        <v>13683</v>
      </c>
      <c r="C1141" s="938" t="s">
        <v>13531</v>
      </c>
      <c r="D1141" s="789"/>
      <c r="E1141" s="790">
        <v>422.58</v>
      </c>
      <c r="F1141" s="791" t="s">
        <v>9</v>
      </c>
      <c r="G1141" s="750">
        <f t="shared" si="64"/>
        <v>0</v>
      </c>
    </row>
    <row r="1142" spans="1:7">
      <c r="A1142" s="1484"/>
      <c r="B1142" s="1485"/>
      <c r="C1142" s="1486" t="s">
        <v>7033</v>
      </c>
      <c r="D1142" s="1487"/>
      <c r="E1142" s="1488">
        <f>SUM(E1143:E1149)</f>
        <v>1848.33</v>
      </c>
      <c r="F1142" s="1489"/>
      <c r="G1142" s="1490"/>
    </row>
    <row r="1143" spans="1:7">
      <c r="A1143" s="785">
        <v>42064</v>
      </c>
      <c r="B1143" s="337" t="s">
        <v>13686</v>
      </c>
      <c r="C1143" s="332" t="s">
        <v>13529</v>
      </c>
      <c r="D1143" s="134"/>
      <c r="E1143" s="135">
        <v>293</v>
      </c>
      <c r="F1143" s="46" t="s">
        <v>9</v>
      </c>
      <c r="G1143" s="749">
        <f t="shared" ref="G1143:G1149" si="65">IF(F1143="X",0,E1143)</f>
        <v>0</v>
      </c>
    </row>
    <row r="1144" spans="1:7">
      <c r="A1144" s="785">
        <v>42064</v>
      </c>
      <c r="B1144" s="337" t="s">
        <v>13666</v>
      </c>
      <c r="C1144" s="332" t="s">
        <v>13402</v>
      </c>
      <c r="D1144" s="134"/>
      <c r="E1144" s="135">
        <v>88.29</v>
      </c>
      <c r="F1144" s="46" t="s">
        <v>9</v>
      </c>
      <c r="G1144" s="749">
        <f t="shared" si="65"/>
        <v>0</v>
      </c>
    </row>
    <row r="1145" spans="1:7">
      <c r="A1145" s="785">
        <v>42064</v>
      </c>
      <c r="B1145" s="337" t="s">
        <v>13679</v>
      </c>
      <c r="C1145" s="332" t="s">
        <v>13454</v>
      </c>
      <c r="D1145" s="134"/>
      <c r="E1145" s="135">
        <v>370.93</v>
      </c>
      <c r="F1145" s="46" t="s">
        <v>9</v>
      </c>
      <c r="G1145" s="749">
        <f t="shared" si="65"/>
        <v>0</v>
      </c>
    </row>
    <row r="1146" spans="1:7">
      <c r="A1146" s="785">
        <v>42073</v>
      </c>
      <c r="B1146" s="337" t="s">
        <v>13685</v>
      </c>
      <c r="C1146" s="776" t="s">
        <v>13368</v>
      </c>
      <c r="D1146" s="134"/>
      <c r="E1146" s="135">
        <v>118.26</v>
      </c>
      <c r="F1146" s="46" t="s">
        <v>9</v>
      </c>
      <c r="G1146" s="749">
        <f t="shared" si="65"/>
        <v>0</v>
      </c>
    </row>
    <row r="1147" spans="1:7">
      <c r="A1147" s="785">
        <v>42073</v>
      </c>
      <c r="B1147" s="337" t="s">
        <v>13672</v>
      </c>
      <c r="C1147" s="776" t="s">
        <v>13622</v>
      </c>
      <c r="D1147" s="134"/>
      <c r="E1147" s="135">
        <v>247.84</v>
      </c>
      <c r="F1147" s="46" t="s">
        <v>9</v>
      </c>
      <c r="G1147" s="749">
        <f t="shared" si="65"/>
        <v>0</v>
      </c>
    </row>
    <row r="1148" spans="1:7">
      <c r="A1148" s="792">
        <v>42076</v>
      </c>
      <c r="B1148" s="793" t="s">
        <v>13682</v>
      </c>
      <c r="C1148" s="794" t="s">
        <v>13538</v>
      </c>
      <c r="D1148" s="795"/>
      <c r="E1148" s="796">
        <v>307.43</v>
      </c>
      <c r="F1148" s="797" t="s">
        <v>9</v>
      </c>
      <c r="G1148" s="798">
        <f t="shared" si="65"/>
        <v>0</v>
      </c>
    </row>
    <row r="1149" spans="1:7">
      <c r="A1149" s="792">
        <v>42078</v>
      </c>
      <c r="B1149" s="793" t="s">
        <v>13683</v>
      </c>
      <c r="C1149" s="794" t="s">
        <v>13538</v>
      </c>
      <c r="D1149" s="795"/>
      <c r="E1149" s="796">
        <v>422.58</v>
      </c>
      <c r="F1149" s="797" t="s">
        <v>9</v>
      </c>
      <c r="G1149" s="798">
        <f t="shared" si="65"/>
        <v>0</v>
      </c>
    </row>
    <row r="1150" spans="1:7">
      <c r="A1150" s="1491"/>
      <c r="B1150" s="1492"/>
      <c r="C1150" s="1493" t="s">
        <v>7055</v>
      </c>
      <c r="D1150" s="1494"/>
      <c r="E1150" s="1495">
        <f>SUM(E1151:E1157)</f>
        <v>1489.9599999999998</v>
      </c>
      <c r="F1150" s="1496"/>
      <c r="G1150" s="1497"/>
    </row>
    <row r="1151" spans="1:7">
      <c r="A1151" s="785">
        <v>42095</v>
      </c>
      <c r="B1151" s="337" t="s">
        <v>13686</v>
      </c>
      <c r="C1151" s="332" t="s">
        <v>13537</v>
      </c>
      <c r="D1151" s="134"/>
      <c r="E1151" s="135">
        <v>293</v>
      </c>
      <c r="F1151" s="46" t="s">
        <v>9</v>
      </c>
      <c r="G1151" s="749">
        <f t="shared" ref="G1151:G1157" si="66">IF(F1151="X",0,E1151)</f>
        <v>0</v>
      </c>
    </row>
    <row r="1152" spans="1:7">
      <c r="A1152" s="785">
        <v>42095</v>
      </c>
      <c r="B1152" s="337" t="s">
        <v>13666</v>
      </c>
      <c r="C1152" s="332" t="s">
        <v>13409</v>
      </c>
      <c r="D1152" s="134"/>
      <c r="E1152" s="135">
        <v>88.29</v>
      </c>
      <c r="F1152" s="46" t="s">
        <v>9</v>
      </c>
      <c r="G1152" s="749">
        <f t="shared" si="66"/>
        <v>0</v>
      </c>
    </row>
    <row r="1153" spans="1:7">
      <c r="A1153" s="785">
        <v>42095</v>
      </c>
      <c r="B1153" s="337" t="s">
        <v>13679</v>
      </c>
      <c r="C1153" s="332" t="s">
        <v>13467</v>
      </c>
      <c r="D1153" s="134"/>
      <c r="E1153" s="135">
        <v>370.93</v>
      </c>
      <c r="F1153" s="46" t="s">
        <v>9</v>
      </c>
      <c r="G1153" s="749">
        <f t="shared" si="66"/>
        <v>0</v>
      </c>
    </row>
    <row r="1154" spans="1:7">
      <c r="A1154" s="785">
        <v>42095</v>
      </c>
      <c r="B1154" s="337" t="s">
        <v>13687</v>
      </c>
      <c r="C1154" s="332" t="s">
        <v>13521</v>
      </c>
      <c r="D1154" s="134"/>
      <c r="E1154" s="135">
        <v>216.66</v>
      </c>
      <c r="F1154" s="46" t="s">
        <v>9</v>
      </c>
      <c r="G1154" s="749">
        <f t="shared" si="66"/>
        <v>0</v>
      </c>
    </row>
    <row r="1155" spans="1:7">
      <c r="A1155" s="785">
        <v>42095</v>
      </c>
      <c r="B1155" s="337" t="s">
        <v>13688</v>
      </c>
      <c r="C1155" s="332" t="s">
        <v>13479</v>
      </c>
      <c r="D1155" s="134"/>
      <c r="E1155" s="135">
        <v>154.97999999999999</v>
      </c>
      <c r="F1155" s="46" t="s">
        <v>9</v>
      </c>
      <c r="G1155" s="749">
        <f t="shared" si="66"/>
        <v>0</v>
      </c>
    </row>
    <row r="1156" spans="1:7">
      <c r="A1156" s="785">
        <v>42104</v>
      </c>
      <c r="B1156" s="337" t="s">
        <v>13672</v>
      </c>
      <c r="C1156" s="776" t="s">
        <v>13626</v>
      </c>
      <c r="D1156" s="134"/>
      <c r="E1156" s="135">
        <v>247.84</v>
      </c>
      <c r="F1156" s="46" t="s">
        <v>9</v>
      </c>
      <c r="G1156" s="749">
        <f t="shared" si="66"/>
        <v>0</v>
      </c>
    </row>
    <row r="1157" spans="1:7">
      <c r="A1157" s="786">
        <v>42104</v>
      </c>
      <c r="B1157" s="787" t="s">
        <v>13685</v>
      </c>
      <c r="C1157" s="938" t="s">
        <v>13376</v>
      </c>
      <c r="D1157" s="789"/>
      <c r="E1157" s="790">
        <v>118.26</v>
      </c>
      <c r="F1157" s="791" t="s">
        <v>9</v>
      </c>
      <c r="G1157" s="750">
        <f t="shared" si="66"/>
        <v>0</v>
      </c>
    </row>
    <row r="1158" spans="1:7">
      <c r="A1158" s="1491"/>
      <c r="B1158" s="1492"/>
      <c r="C1158" s="1493" t="s">
        <v>7077</v>
      </c>
      <c r="D1158" s="1494"/>
      <c r="E1158" s="1495">
        <f>SUM(E1159:E1166)</f>
        <v>1551.59</v>
      </c>
      <c r="F1158" s="1496"/>
      <c r="G1158" s="1497"/>
    </row>
    <row r="1159" spans="1:7">
      <c r="A1159" s="785">
        <v>42125</v>
      </c>
      <c r="B1159" s="337" t="s">
        <v>13686</v>
      </c>
      <c r="C1159" s="332" t="s">
        <v>13542</v>
      </c>
      <c r="D1159" s="134"/>
      <c r="E1159" s="135">
        <v>293</v>
      </c>
      <c r="F1159" s="46" t="s">
        <v>9</v>
      </c>
      <c r="G1159" s="749">
        <f t="shared" ref="G1159:G1166" si="67">IF(F1159="X",0,E1159)</f>
        <v>0</v>
      </c>
    </row>
    <row r="1160" spans="1:7">
      <c r="A1160" s="792">
        <v>42125</v>
      </c>
      <c r="B1160" s="793" t="s">
        <v>13679</v>
      </c>
      <c r="C1160" s="794" t="s">
        <v>13475</v>
      </c>
      <c r="D1160" s="795"/>
      <c r="E1160" s="796">
        <v>370.93</v>
      </c>
      <c r="F1160" s="797" t="s">
        <v>9</v>
      </c>
      <c r="G1160" s="798">
        <f t="shared" si="67"/>
        <v>0</v>
      </c>
    </row>
    <row r="1161" spans="1:7">
      <c r="A1161" s="792">
        <v>42125</v>
      </c>
      <c r="B1161" s="793" t="s">
        <v>13666</v>
      </c>
      <c r="C1161" s="794" t="s">
        <v>13414</v>
      </c>
      <c r="D1161" s="795"/>
      <c r="E1161" s="796">
        <v>88.29</v>
      </c>
      <c r="F1161" s="797" t="s">
        <v>9</v>
      </c>
      <c r="G1161" s="798">
        <f t="shared" si="67"/>
        <v>0</v>
      </c>
    </row>
    <row r="1162" spans="1:7">
      <c r="A1162" s="785">
        <v>42125</v>
      </c>
      <c r="B1162" s="337" t="s">
        <v>13687</v>
      </c>
      <c r="C1162" s="332" t="s">
        <v>13531</v>
      </c>
      <c r="D1162" s="134"/>
      <c r="E1162" s="135">
        <v>216.66</v>
      </c>
      <c r="F1162" s="46" t="s">
        <v>9</v>
      </c>
      <c r="G1162" s="749">
        <f t="shared" si="67"/>
        <v>0</v>
      </c>
    </row>
    <row r="1163" spans="1:7">
      <c r="A1163" s="792">
        <v>42125</v>
      </c>
      <c r="B1163" s="793" t="s">
        <v>13688</v>
      </c>
      <c r="C1163" s="794" t="s">
        <v>13485</v>
      </c>
      <c r="D1163" s="795"/>
      <c r="E1163" s="796">
        <v>154.97999999999999</v>
      </c>
      <c r="F1163" s="797" t="s">
        <v>9</v>
      </c>
      <c r="G1163" s="798">
        <f t="shared" si="67"/>
        <v>0</v>
      </c>
    </row>
    <row r="1164" spans="1:7">
      <c r="A1164" s="785">
        <v>42125</v>
      </c>
      <c r="B1164" s="337" t="s">
        <v>13689</v>
      </c>
      <c r="C1164" s="776" t="s">
        <v>13657</v>
      </c>
      <c r="D1164" s="134"/>
      <c r="E1164" s="135">
        <v>61.63</v>
      </c>
      <c r="F1164" s="46" t="s">
        <v>9</v>
      </c>
      <c r="G1164" s="749">
        <f t="shared" si="67"/>
        <v>0</v>
      </c>
    </row>
    <row r="1165" spans="1:7">
      <c r="A1165" s="785">
        <v>42134</v>
      </c>
      <c r="B1165" s="337" t="s">
        <v>13672</v>
      </c>
      <c r="C1165" s="776" t="s">
        <v>13632</v>
      </c>
      <c r="D1165" s="134"/>
      <c r="E1165" s="135">
        <v>247.84</v>
      </c>
      <c r="F1165" s="46" t="s">
        <v>9</v>
      </c>
      <c r="G1165" s="749">
        <f t="shared" si="67"/>
        <v>0</v>
      </c>
    </row>
    <row r="1166" spans="1:7">
      <c r="A1166" s="786">
        <v>42134</v>
      </c>
      <c r="B1166" s="787" t="s">
        <v>13685</v>
      </c>
      <c r="C1166" s="938" t="s">
        <v>13380</v>
      </c>
      <c r="D1166" s="789"/>
      <c r="E1166" s="790">
        <v>118.26</v>
      </c>
      <c r="F1166" s="791" t="s">
        <v>9</v>
      </c>
      <c r="G1166" s="750">
        <f t="shared" si="67"/>
        <v>0</v>
      </c>
    </row>
    <row r="1167" spans="1:7">
      <c r="A1167" s="1484"/>
      <c r="B1167" s="1485"/>
      <c r="C1167" s="1486" t="s">
        <v>7109</v>
      </c>
      <c r="D1167" s="1487"/>
      <c r="E1167" s="1488">
        <f>SUM(E1168:E1173)</f>
        <v>1312.24</v>
      </c>
      <c r="F1167" s="1489"/>
      <c r="G1167" s="1490"/>
    </row>
    <row r="1168" spans="1:7">
      <c r="A1168" s="785">
        <v>42156</v>
      </c>
      <c r="B1168" s="337" t="s">
        <v>13686</v>
      </c>
      <c r="C1168" s="332" t="s">
        <v>13550</v>
      </c>
      <c r="D1168" s="134"/>
      <c r="E1168" s="135">
        <v>293</v>
      </c>
      <c r="F1168" s="46" t="s">
        <v>9</v>
      </c>
      <c r="G1168" s="749">
        <f t="shared" ref="G1168:G1173" si="68">IF(F1168="X",0,E1168)</f>
        <v>0</v>
      </c>
    </row>
    <row r="1169" spans="1:7">
      <c r="A1169" s="792">
        <v>42156</v>
      </c>
      <c r="B1169" s="793" t="s">
        <v>13687</v>
      </c>
      <c r="C1169" s="794" t="s">
        <v>13538</v>
      </c>
      <c r="D1169" s="795"/>
      <c r="E1169" s="796">
        <v>216.66</v>
      </c>
      <c r="F1169" s="797" t="s">
        <v>9</v>
      </c>
      <c r="G1169" s="798">
        <f t="shared" si="68"/>
        <v>0</v>
      </c>
    </row>
    <row r="1170" spans="1:7">
      <c r="A1170" s="785">
        <v>42156</v>
      </c>
      <c r="B1170" s="337" t="s">
        <v>13689</v>
      </c>
      <c r="C1170" s="776" t="s">
        <v>13606</v>
      </c>
      <c r="D1170" s="134"/>
      <c r="E1170" s="135">
        <v>61.63</v>
      </c>
      <c r="F1170" s="46" t="s">
        <v>9</v>
      </c>
      <c r="G1170" s="749">
        <f t="shared" si="68"/>
        <v>0</v>
      </c>
    </row>
    <row r="1171" spans="1:7">
      <c r="A1171" s="785">
        <v>42156</v>
      </c>
      <c r="B1171" s="337" t="s">
        <v>13690</v>
      </c>
      <c r="C1171" s="776" t="s">
        <v>13630</v>
      </c>
      <c r="D1171" s="134"/>
      <c r="E1171" s="135">
        <v>374.85</v>
      </c>
      <c r="F1171" s="46" t="s">
        <v>9</v>
      </c>
      <c r="G1171" s="749">
        <f t="shared" si="68"/>
        <v>0</v>
      </c>
    </row>
    <row r="1172" spans="1:7">
      <c r="A1172" s="785">
        <v>42165</v>
      </c>
      <c r="B1172" s="337" t="s">
        <v>13672</v>
      </c>
      <c r="C1172" s="776" t="s">
        <v>13636</v>
      </c>
      <c r="D1172" s="134"/>
      <c r="E1172" s="135">
        <v>247.84</v>
      </c>
      <c r="F1172" s="46" t="s">
        <v>9</v>
      </c>
      <c r="G1172" s="749">
        <f t="shared" si="68"/>
        <v>0</v>
      </c>
    </row>
    <row r="1173" spans="1:7">
      <c r="A1173" s="785">
        <v>42165</v>
      </c>
      <c r="B1173" s="337" t="s">
        <v>13685</v>
      </c>
      <c r="C1173" s="776" t="s">
        <v>13384</v>
      </c>
      <c r="D1173" s="134"/>
      <c r="E1173" s="135">
        <v>118.26</v>
      </c>
      <c r="F1173" s="46" t="s">
        <v>9</v>
      </c>
      <c r="G1173" s="749">
        <f t="shared" si="68"/>
        <v>0</v>
      </c>
    </row>
    <row r="1174" spans="1:7">
      <c r="A1174" s="1491"/>
      <c r="B1174" s="1492"/>
      <c r="C1174" s="1493" t="s">
        <v>7122</v>
      </c>
      <c r="D1174" s="1494"/>
      <c r="E1174" s="1495">
        <f>SUM(E1175:E1181)</f>
        <v>1819.8899999999999</v>
      </c>
      <c r="F1174" s="1496"/>
      <c r="G1174" s="1497"/>
    </row>
    <row r="1175" spans="1:7">
      <c r="A1175" s="785">
        <v>42186</v>
      </c>
      <c r="B1175" s="337" t="s">
        <v>13686</v>
      </c>
      <c r="C1175" s="332" t="s">
        <v>13554</v>
      </c>
      <c r="D1175" s="134"/>
      <c r="E1175" s="135">
        <v>293</v>
      </c>
      <c r="F1175" s="46" t="s">
        <v>9</v>
      </c>
      <c r="G1175" s="749">
        <f t="shared" ref="G1175:G1181" si="69">IF(F1175="X",0,E1175)</f>
        <v>0</v>
      </c>
    </row>
    <row r="1176" spans="1:7">
      <c r="A1176" s="792">
        <v>42186</v>
      </c>
      <c r="B1176" s="793" t="s">
        <v>13689</v>
      </c>
      <c r="C1176" s="794" t="s">
        <v>13691</v>
      </c>
      <c r="D1176" s="795"/>
      <c r="E1176" s="796">
        <v>61.63</v>
      </c>
      <c r="F1176" s="797" t="s">
        <v>9</v>
      </c>
      <c r="G1176" s="798">
        <f t="shared" si="69"/>
        <v>0</v>
      </c>
    </row>
    <row r="1177" spans="1:7">
      <c r="A1177" s="785">
        <v>42186</v>
      </c>
      <c r="B1177" s="337" t="s">
        <v>13690</v>
      </c>
      <c r="C1177" s="776" t="s">
        <v>13634</v>
      </c>
      <c r="D1177" s="134"/>
      <c r="E1177" s="135">
        <v>374.83</v>
      </c>
      <c r="F1177" s="46" t="s">
        <v>9</v>
      </c>
      <c r="G1177" s="749">
        <f t="shared" si="69"/>
        <v>0</v>
      </c>
    </row>
    <row r="1178" spans="1:7">
      <c r="A1178" s="785">
        <v>42186</v>
      </c>
      <c r="B1178" s="337" t="s">
        <v>13692</v>
      </c>
      <c r="C1178" s="776" t="s">
        <v>13521</v>
      </c>
      <c r="D1178" s="134"/>
      <c r="E1178" s="135">
        <v>403</v>
      </c>
      <c r="F1178" s="46" t="s">
        <v>9</v>
      </c>
      <c r="G1178" s="749">
        <f t="shared" si="69"/>
        <v>0</v>
      </c>
    </row>
    <row r="1179" spans="1:7">
      <c r="A1179" s="785">
        <v>42186</v>
      </c>
      <c r="B1179" s="337" t="s">
        <v>13693</v>
      </c>
      <c r="C1179" s="776" t="s">
        <v>13521</v>
      </c>
      <c r="D1179" s="1144" t="s">
        <v>10275</v>
      </c>
      <c r="E1179" s="135">
        <v>321.33</v>
      </c>
      <c r="F1179" s="46" t="s">
        <v>9</v>
      </c>
      <c r="G1179" s="749">
        <f t="shared" si="69"/>
        <v>0</v>
      </c>
    </row>
    <row r="1180" spans="1:7">
      <c r="A1180" s="785">
        <v>42195</v>
      </c>
      <c r="B1180" s="337" t="s">
        <v>13672</v>
      </c>
      <c r="C1180" s="776" t="s">
        <v>13637</v>
      </c>
      <c r="D1180" s="134"/>
      <c r="E1180" s="135">
        <v>247.84</v>
      </c>
      <c r="F1180" s="46" t="s">
        <v>9</v>
      </c>
      <c r="G1180" s="749">
        <f t="shared" si="69"/>
        <v>0</v>
      </c>
    </row>
    <row r="1181" spans="1:7">
      <c r="A1181" s="786">
        <v>42195</v>
      </c>
      <c r="B1181" s="787" t="s">
        <v>13685</v>
      </c>
      <c r="C1181" s="938" t="s">
        <v>13387</v>
      </c>
      <c r="D1181" s="789"/>
      <c r="E1181" s="790">
        <v>118.26</v>
      </c>
      <c r="F1181" s="791" t="s">
        <v>9</v>
      </c>
      <c r="G1181" s="750">
        <f t="shared" si="69"/>
        <v>0</v>
      </c>
    </row>
    <row r="1182" spans="1:7">
      <c r="A1182" s="1484"/>
      <c r="B1182" s="1485"/>
      <c r="C1182" s="1486" t="s">
        <v>13694</v>
      </c>
      <c r="D1182" s="1487"/>
      <c r="E1182" s="1488">
        <f>SUM(E1183:E1190)</f>
        <v>2152.5</v>
      </c>
      <c r="F1182" s="1489"/>
      <c r="G1182" s="1490"/>
    </row>
    <row r="1183" spans="1:7">
      <c r="A1183" s="785">
        <v>42217</v>
      </c>
      <c r="B1183" s="337" t="s">
        <v>13686</v>
      </c>
      <c r="C1183" s="332" t="s">
        <v>13561</v>
      </c>
      <c r="D1183" s="134"/>
      <c r="E1183" s="135">
        <v>293</v>
      </c>
      <c r="F1183" s="46" t="s">
        <v>9</v>
      </c>
      <c r="G1183" s="749">
        <f t="shared" ref="G1183:G1190" si="70">IF(F1183="X",0,E1183)</f>
        <v>0</v>
      </c>
    </row>
    <row r="1184" spans="1:7">
      <c r="A1184" s="785">
        <v>42217</v>
      </c>
      <c r="B1184" s="337" t="s">
        <v>13690</v>
      </c>
      <c r="C1184" s="776" t="s">
        <v>13695</v>
      </c>
      <c r="D1184" s="134"/>
      <c r="E1184" s="135">
        <v>374.83</v>
      </c>
      <c r="F1184" s="46" t="s">
        <v>9</v>
      </c>
      <c r="G1184" s="749">
        <f t="shared" si="70"/>
        <v>0</v>
      </c>
    </row>
    <row r="1185" spans="1:8">
      <c r="A1185" s="785">
        <v>42217</v>
      </c>
      <c r="B1185" s="337" t="s">
        <v>13692</v>
      </c>
      <c r="C1185" s="776" t="s">
        <v>13531</v>
      </c>
      <c r="D1185" s="134"/>
      <c r="E1185" s="135">
        <v>403</v>
      </c>
      <c r="F1185" s="46" t="s">
        <v>9</v>
      </c>
      <c r="G1185" s="749">
        <f t="shared" si="70"/>
        <v>0</v>
      </c>
    </row>
    <row r="1186" spans="1:8">
      <c r="A1186" s="785">
        <v>42217</v>
      </c>
      <c r="B1186" s="337" t="s">
        <v>13693</v>
      </c>
      <c r="C1186" s="776" t="s">
        <v>13531</v>
      </c>
      <c r="D1186" s="1144" t="s">
        <v>10275</v>
      </c>
      <c r="E1186" s="135">
        <v>321.33</v>
      </c>
      <c r="F1186" s="46" t="s">
        <v>9</v>
      </c>
      <c r="G1186" s="749">
        <f t="shared" si="70"/>
        <v>0</v>
      </c>
    </row>
    <row r="1187" spans="1:8">
      <c r="A1187" s="785">
        <v>42217</v>
      </c>
      <c r="B1187" s="337" t="s">
        <v>13696</v>
      </c>
      <c r="C1187" s="776" t="s">
        <v>13697</v>
      </c>
      <c r="D1187" s="1144"/>
      <c r="E1187" s="135">
        <v>199.29</v>
      </c>
      <c r="F1187" s="46" t="s">
        <v>9</v>
      </c>
      <c r="G1187" s="749">
        <f t="shared" si="70"/>
        <v>0</v>
      </c>
    </row>
    <row r="1188" spans="1:8">
      <c r="A1188" s="785">
        <v>42217</v>
      </c>
      <c r="B1188" s="337" t="s">
        <v>13698</v>
      </c>
      <c r="C1188" s="776" t="s">
        <v>13697</v>
      </c>
      <c r="D1188" s="1144"/>
      <c r="E1188" s="135">
        <v>194.95</v>
      </c>
      <c r="F1188" s="46" t="s">
        <v>9</v>
      </c>
      <c r="G1188" s="749">
        <f t="shared" si="70"/>
        <v>0</v>
      </c>
    </row>
    <row r="1189" spans="1:8">
      <c r="A1189" s="792">
        <v>42226</v>
      </c>
      <c r="B1189" s="793" t="s">
        <v>13672</v>
      </c>
      <c r="C1189" s="794" t="s">
        <v>13640</v>
      </c>
      <c r="D1189" s="795"/>
      <c r="E1189" s="796">
        <v>247.84</v>
      </c>
      <c r="F1189" s="797" t="s">
        <v>9</v>
      </c>
      <c r="G1189" s="798">
        <f t="shared" si="70"/>
        <v>0</v>
      </c>
    </row>
    <row r="1190" spans="1:8">
      <c r="A1190" s="785">
        <v>42226</v>
      </c>
      <c r="B1190" s="337" t="s">
        <v>13685</v>
      </c>
      <c r="C1190" s="776" t="s">
        <v>13397</v>
      </c>
      <c r="D1190" s="134"/>
      <c r="E1190" s="135">
        <v>118.26</v>
      </c>
      <c r="F1190" s="46" t="s">
        <v>9</v>
      </c>
      <c r="G1190" s="749">
        <f t="shared" si="70"/>
        <v>0</v>
      </c>
    </row>
    <row r="1191" spans="1:8">
      <c r="A1191" s="1491"/>
      <c r="B1191" s="1492"/>
      <c r="C1191" s="1493" t="s">
        <v>7175</v>
      </c>
      <c r="D1191" s="1494"/>
      <c r="E1191" s="1495">
        <f>SUM(E1192:E1200)</f>
        <v>2897.5</v>
      </c>
      <c r="F1191" s="1496"/>
      <c r="G1191" s="1497"/>
      <c r="H1191" s="775"/>
    </row>
    <row r="1192" spans="1:8">
      <c r="A1192" s="785">
        <v>42248</v>
      </c>
      <c r="B1192" s="337" t="s">
        <v>13686</v>
      </c>
      <c r="C1192" s="332" t="s">
        <v>13567</v>
      </c>
      <c r="D1192" s="134"/>
      <c r="E1192" s="135">
        <v>293</v>
      </c>
      <c r="F1192" s="46" t="s">
        <v>9</v>
      </c>
      <c r="G1192" s="749">
        <f t="shared" ref="G1192:G1200" si="71">IF(F1192="X",0,E1192)</f>
        <v>0</v>
      </c>
      <c r="H1192" s="775"/>
    </row>
    <row r="1193" spans="1:8">
      <c r="A1193" s="785">
        <v>42248</v>
      </c>
      <c r="B1193" s="337" t="s">
        <v>13690</v>
      </c>
      <c r="C1193" s="776" t="s">
        <v>13699</v>
      </c>
      <c r="D1193" s="134"/>
      <c r="E1193" s="135">
        <v>374.83</v>
      </c>
      <c r="F1193" s="46" t="s">
        <v>9</v>
      </c>
      <c r="G1193" s="749">
        <f t="shared" si="71"/>
        <v>0</v>
      </c>
      <c r="H1193" s="775"/>
    </row>
    <row r="1194" spans="1:8">
      <c r="A1194" s="785">
        <v>42248</v>
      </c>
      <c r="B1194" s="337" t="s">
        <v>13700</v>
      </c>
      <c r="C1194" s="776" t="s">
        <v>13545</v>
      </c>
      <c r="D1194" s="134"/>
      <c r="E1194" s="135">
        <v>569.49</v>
      </c>
      <c r="F1194" s="46" t="s">
        <v>9</v>
      </c>
      <c r="G1194" s="749">
        <f t="shared" si="71"/>
        <v>0</v>
      </c>
      <c r="H1194" s="775"/>
    </row>
    <row r="1195" spans="1:8">
      <c r="A1195" s="792">
        <v>42248</v>
      </c>
      <c r="B1195" s="793" t="s">
        <v>13701</v>
      </c>
      <c r="C1195" s="794" t="s">
        <v>13702</v>
      </c>
      <c r="D1195" s="795"/>
      <c r="E1195" s="796">
        <v>194.95</v>
      </c>
      <c r="F1195" s="797" t="s">
        <v>9</v>
      </c>
      <c r="G1195" s="798">
        <f t="shared" si="71"/>
        <v>0</v>
      </c>
      <c r="H1195" s="775"/>
    </row>
    <row r="1196" spans="1:8">
      <c r="A1196" s="792">
        <v>42248</v>
      </c>
      <c r="B1196" s="793" t="s">
        <v>13692</v>
      </c>
      <c r="C1196" s="794" t="s">
        <v>13538</v>
      </c>
      <c r="D1196" s="795"/>
      <c r="E1196" s="796">
        <v>403</v>
      </c>
      <c r="F1196" s="797" t="s">
        <v>9</v>
      </c>
      <c r="G1196" s="798">
        <f t="shared" si="71"/>
        <v>0</v>
      </c>
      <c r="H1196" s="775"/>
    </row>
    <row r="1197" spans="1:8">
      <c r="A1197" s="792">
        <v>42248</v>
      </c>
      <c r="B1197" s="793" t="s">
        <v>13693</v>
      </c>
      <c r="C1197" s="794" t="s">
        <v>13538</v>
      </c>
      <c r="D1197" s="795" t="s">
        <v>10275</v>
      </c>
      <c r="E1197" s="796">
        <v>321.33</v>
      </c>
      <c r="F1197" s="797" t="s">
        <v>9</v>
      </c>
      <c r="G1197" s="798">
        <f t="shared" si="71"/>
        <v>0</v>
      </c>
      <c r="H1197" s="775"/>
    </row>
    <row r="1198" spans="1:8">
      <c r="A1198" s="792">
        <v>42248</v>
      </c>
      <c r="B1198" s="793" t="s">
        <v>13696</v>
      </c>
      <c r="C1198" s="1507" t="s">
        <v>13702</v>
      </c>
      <c r="D1198" s="795"/>
      <c r="E1198" s="796">
        <v>199.29</v>
      </c>
      <c r="F1198" s="797" t="s">
        <v>9</v>
      </c>
      <c r="G1198" s="798">
        <f t="shared" si="71"/>
        <v>0</v>
      </c>
      <c r="H1198" s="775"/>
    </row>
    <row r="1199" spans="1:8">
      <c r="A1199" s="785">
        <v>42257</v>
      </c>
      <c r="B1199" s="337" t="s">
        <v>13685</v>
      </c>
      <c r="C1199" s="776" t="s">
        <v>13402</v>
      </c>
      <c r="D1199" s="134"/>
      <c r="E1199" s="135">
        <v>118.26</v>
      </c>
      <c r="F1199" s="46" t="s">
        <v>9</v>
      </c>
      <c r="G1199" s="749">
        <f t="shared" si="71"/>
        <v>0</v>
      </c>
      <c r="H1199" s="775"/>
    </row>
    <row r="1200" spans="1:8">
      <c r="A1200" s="786">
        <v>42276</v>
      </c>
      <c r="B1200" s="787" t="s">
        <v>13703</v>
      </c>
      <c r="C1200" s="938" t="s">
        <v>13545</v>
      </c>
      <c r="D1200" s="789"/>
      <c r="E1200" s="790">
        <v>423.35</v>
      </c>
      <c r="F1200" s="791" t="s">
        <v>9</v>
      </c>
      <c r="G1200" s="750">
        <f t="shared" si="71"/>
        <v>0</v>
      </c>
      <c r="H1200" s="775"/>
    </row>
    <row r="1201" spans="1:8">
      <c r="A1201" s="1484"/>
      <c r="B1201" s="1485"/>
      <c r="C1201" s="1486" t="s">
        <v>7189</v>
      </c>
      <c r="D1201" s="1487"/>
      <c r="E1201" s="1488">
        <f>SUM(E1202:E1207)</f>
        <v>1971.6999999999998</v>
      </c>
      <c r="F1201" s="1489"/>
      <c r="G1201" s="1490"/>
      <c r="H1201" s="775"/>
    </row>
    <row r="1202" spans="1:8">
      <c r="A1202" s="785">
        <v>42278</v>
      </c>
      <c r="B1202" s="337" t="s">
        <v>13704</v>
      </c>
      <c r="C1202" s="332" t="s">
        <v>13521</v>
      </c>
      <c r="D1202" s="134"/>
      <c r="E1202" s="135">
        <v>192.77</v>
      </c>
      <c r="F1202" s="46" t="s">
        <v>9</v>
      </c>
      <c r="G1202" s="749">
        <f t="shared" ref="G1202:G1207" si="72">IF(F1202="X",0,E1202)</f>
        <v>0</v>
      </c>
      <c r="H1202" s="775"/>
    </row>
    <row r="1203" spans="1:8">
      <c r="A1203" s="785">
        <v>42278</v>
      </c>
      <c r="B1203" s="337" t="s">
        <v>13686</v>
      </c>
      <c r="C1203" s="332" t="s">
        <v>13573</v>
      </c>
      <c r="D1203" s="134"/>
      <c r="E1203" s="135">
        <v>293</v>
      </c>
      <c r="F1203" s="46" t="s">
        <v>9</v>
      </c>
      <c r="G1203" s="749">
        <f t="shared" si="72"/>
        <v>0</v>
      </c>
      <c r="H1203" s="775"/>
    </row>
    <row r="1204" spans="1:8">
      <c r="A1204" s="785">
        <v>42278</v>
      </c>
      <c r="B1204" s="337" t="s">
        <v>13690</v>
      </c>
      <c r="C1204" s="776" t="s">
        <v>13705</v>
      </c>
      <c r="D1204" s="134"/>
      <c r="E1204" s="135">
        <v>374.83</v>
      </c>
      <c r="F1204" s="46" t="s">
        <v>9</v>
      </c>
      <c r="G1204" s="749">
        <f t="shared" si="72"/>
        <v>0</v>
      </c>
      <c r="H1204" s="775"/>
    </row>
    <row r="1205" spans="1:8">
      <c r="A1205" s="785">
        <v>42278</v>
      </c>
      <c r="B1205" s="337" t="s">
        <v>13700</v>
      </c>
      <c r="C1205" s="776" t="s">
        <v>13556</v>
      </c>
      <c r="D1205" s="134"/>
      <c r="E1205" s="135">
        <v>569.49</v>
      </c>
      <c r="F1205" s="46" t="s">
        <v>9</v>
      </c>
      <c r="G1205" s="749">
        <f t="shared" si="72"/>
        <v>0</v>
      </c>
      <c r="H1205" s="775"/>
    </row>
    <row r="1206" spans="1:8">
      <c r="A1206" s="785">
        <v>42287</v>
      </c>
      <c r="B1206" s="337" t="s">
        <v>13685</v>
      </c>
      <c r="C1206" s="776" t="s">
        <v>13409</v>
      </c>
      <c r="D1206" s="134"/>
      <c r="E1206" s="135">
        <v>118.26</v>
      </c>
      <c r="F1206" s="46" t="s">
        <v>9</v>
      </c>
      <c r="G1206" s="749">
        <f t="shared" si="72"/>
        <v>0</v>
      </c>
      <c r="H1206" s="775"/>
    </row>
    <row r="1207" spans="1:8">
      <c r="A1207" s="785">
        <v>42306</v>
      </c>
      <c r="B1207" s="337" t="s">
        <v>13703</v>
      </c>
      <c r="C1207" s="776" t="s">
        <v>13556</v>
      </c>
      <c r="D1207" s="134"/>
      <c r="E1207" s="135">
        <v>423.35</v>
      </c>
      <c r="F1207" s="46" t="s">
        <v>9</v>
      </c>
      <c r="G1207" s="749">
        <f t="shared" si="72"/>
        <v>0</v>
      </c>
      <c r="H1207" s="775"/>
    </row>
    <row r="1208" spans="1:8">
      <c r="A1208" s="1491"/>
      <c r="B1208" s="1492"/>
      <c r="C1208" s="1493" t="s">
        <v>7203</v>
      </c>
      <c r="D1208" s="1494"/>
      <c r="E1208" s="1495">
        <f>SUM(E1209:E1217)</f>
        <v>2486.0033333333331</v>
      </c>
      <c r="F1208" s="1496"/>
      <c r="G1208" s="1497"/>
      <c r="H1208" s="775"/>
    </row>
    <row r="1209" spans="1:8">
      <c r="A1209" s="785">
        <v>42309</v>
      </c>
      <c r="B1209" s="337" t="s">
        <v>13704</v>
      </c>
      <c r="C1209" s="332" t="s">
        <v>13531</v>
      </c>
      <c r="D1209" s="134"/>
      <c r="E1209" s="135">
        <v>192.77</v>
      </c>
      <c r="F1209" s="46" t="s">
        <v>9</v>
      </c>
      <c r="G1209" s="749">
        <f t="shared" ref="G1209:G1217" si="73">IF(F1209="X",0,E1209)</f>
        <v>0</v>
      </c>
      <c r="H1209" s="775"/>
    </row>
    <row r="1210" spans="1:8">
      <c r="A1210" s="785">
        <v>42309</v>
      </c>
      <c r="B1210" s="337" t="s">
        <v>13686</v>
      </c>
      <c r="C1210" s="332" t="s">
        <v>13580</v>
      </c>
      <c r="D1210" s="134"/>
      <c r="E1210" s="135">
        <v>293</v>
      </c>
      <c r="F1210" s="46" t="s">
        <v>9</v>
      </c>
      <c r="G1210" s="749">
        <f t="shared" si="73"/>
        <v>0</v>
      </c>
      <c r="H1210" s="775"/>
    </row>
    <row r="1211" spans="1:8">
      <c r="A1211" s="785">
        <v>42309</v>
      </c>
      <c r="B1211" s="337" t="s">
        <v>13700</v>
      </c>
      <c r="C1211" s="776" t="s">
        <v>13560</v>
      </c>
      <c r="D1211" s="134"/>
      <c r="E1211" s="135">
        <v>569.49</v>
      </c>
      <c r="F1211" s="46" t="s">
        <v>9</v>
      </c>
      <c r="G1211" s="749">
        <f t="shared" si="73"/>
        <v>0</v>
      </c>
      <c r="H1211" s="775"/>
    </row>
    <row r="1212" spans="1:8">
      <c r="A1212" s="785">
        <v>42309</v>
      </c>
      <c r="B1212" s="337" t="s">
        <v>13706</v>
      </c>
      <c r="C1212" s="776" t="s">
        <v>13521</v>
      </c>
      <c r="D1212" s="134"/>
      <c r="E1212" s="135">
        <v>211.56</v>
      </c>
      <c r="F1212" s="46" t="s">
        <v>9</v>
      </c>
      <c r="G1212" s="749">
        <f t="shared" si="73"/>
        <v>0</v>
      </c>
      <c r="H1212" s="775"/>
    </row>
    <row r="1213" spans="1:8">
      <c r="A1213" s="785">
        <v>42309</v>
      </c>
      <c r="B1213" s="337" t="s">
        <v>13707</v>
      </c>
      <c r="C1213" s="776" t="s">
        <v>13630</v>
      </c>
      <c r="D1213" s="134"/>
      <c r="E1213" s="135">
        <f>343.88/6</f>
        <v>57.313333333333333</v>
      </c>
      <c r="F1213" s="46" t="s">
        <v>9</v>
      </c>
      <c r="G1213" s="749">
        <f t="shared" si="73"/>
        <v>0</v>
      </c>
      <c r="H1213" s="775"/>
    </row>
    <row r="1214" spans="1:8">
      <c r="A1214" s="792">
        <v>42309</v>
      </c>
      <c r="B1214" s="793" t="s">
        <v>13690</v>
      </c>
      <c r="C1214" s="794" t="s">
        <v>13708</v>
      </c>
      <c r="D1214" s="795"/>
      <c r="E1214" s="796">
        <v>374.83</v>
      </c>
      <c r="F1214" s="797" t="s">
        <v>9</v>
      </c>
      <c r="G1214" s="798">
        <f t="shared" si="73"/>
        <v>0</v>
      </c>
      <c r="H1214" s="775"/>
    </row>
    <row r="1215" spans="1:8">
      <c r="A1215" s="792">
        <v>42318</v>
      </c>
      <c r="B1215" s="793" t="s">
        <v>13685</v>
      </c>
      <c r="C1215" s="794" t="s">
        <v>13414</v>
      </c>
      <c r="D1215" s="795"/>
      <c r="E1215" s="796">
        <v>118.26</v>
      </c>
      <c r="F1215" s="797" t="s">
        <v>9</v>
      </c>
      <c r="G1215" s="798">
        <f t="shared" si="73"/>
        <v>0</v>
      </c>
      <c r="H1215" s="775"/>
    </row>
    <row r="1216" spans="1:8">
      <c r="A1216" s="785">
        <v>42318</v>
      </c>
      <c r="B1216" s="337" t="s">
        <v>13709</v>
      </c>
      <c r="C1216" s="332" t="s">
        <v>13647</v>
      </c>
      <c r="D1216" s="134"/>
      <c r="E1216" s="135">
        <v>245.43</v>
      </c>
      <c r="F1216" s="46" t="s">
        <v>9</v>
      </c>
      <c r="G1216" s="749">
        <f t="shared" si="73"/>
        <v>0</v>
      </c>
      <c r="H1216" s="775"/>
    </row>
    <row r="1217" spans="1:8">
      <c r="A1217" s="786">
        <v>42337</v>
      </c>
      <c r="B1217" s="787" t="s">
        <v>13703</v>
      </c>
      <c r="C1217" s="938" t="s">
        <v>13560</v>
      </c>
      <c r="D1217" s="789"/>
      <c r="E1217" s="790">
        <v>423.35</v>
      </c>
      <c r="F1217" s="791" t="s">
        <v>9</v>
      </c>
      <c r="G1217" s="750">
        <f t="shared" si="73"/>
        <v>0</v>
      </c>
      <c r="H1217" s="775"/>
    </row>
    <row r="1218" spans="1:8">
      <c r="A1218" s="1484"/>
      <c r="B1218" s="1485"/>
      <c r="C1218" s="1486" t="s">
        <v>7221</v>
      </c>
      <c r="D1218" s="1487"/>
      <c r="E1218" s="1488">
        <f>SUM(E1219:E1226)</f>
        <v>2576.2533333333331</v>
      </c>
      <c r="F1218" s="1489"/>
      <c r="G1218" s="1490"/>
      <c r="H1218" s="775"/>
    </row>
    <row r="1219" spans="1:8">
      <c r="A1219" s="785">
        <v>42339</v>
      </c>
      <c r="B1219" s="337" t="s">
        <v>13710</v>
      </c>
      <c r="C1219" s="332" t="s">
        <v>13606</v>
      </c>
      <c r="D1219" s="134"/>
      <c r="E1219" s="135">
        <v>583.34</v>
      </c>
      <c r="F1219" s="46" t="s">
        <v>9</v>
      </c>
      <c r="G1219" s="749">
        <f t="shared" ref="G1219:G1226" si="74">IF(F1219="X",0,E1219)</f>
        <v>0</v>
      </c>
      <c r="H1219" s="775"/>
    </row>
    <row r="1220" spans="1:8">
      <c r="A1220" s="785">
        <v>42339</v>
      </c>
      <c r="B1220" s="337" t="s">
        <v>13706</v>
      </c>
      <c r="C1220" s="776" t="s">
        <v>13531</v>
      </c>
      <c r="D1220" s="134"/>
      <c r="E1220" s="135">
        <v>211.56</v>
      </c>
      <c r="F1220" s="46" t="s">
        <v>9</v>
      </c>
      <c r="G1220" s="749">
        <f t="shared" si="74"/>
        <v>0</v>
      </c>
      <c r="H1220" s="775"/>
    </row>
    <row r="1221" spans="1:8">
      <c r="A1221" s="785">
        <v>42339</v>
      </c>
      <c r="B1221" s="337" t="s">
        <v>13707</v>
      </c>
      <c r="C1221" s="776" t="s">
        <v>13634</v>
      </c>
      <c r="D1221" s="134"/>
      <c r="E1221" s="135">
        <f>343.88/6</f>
        <v>57.313333333333333</v>
      </c>
      <c r="F1221" s="46" t="s">
        <v>9</v>
      </c>
      <c r="G1221" s="749">
        <f t="shared" si="74"/>
        <v>0</v>
      </c>
      <c r="H1221" s="775"/>
    </row>
    <row r="1222" spans="1:8">
      <c r="A1222" s="792">
        <v>42339</v>
      </c>
      <c r="B1222" s="793" t="s">
        <v>13704</v>
      </c>
      <c r="C1222" s="794" t="s">
        <v>13538</v>
      </c>
      <c r="D1222" s="795"/>
      <c r="E1222" s="796">
        <v>192.77</v>
      </c>
      <c r="F1222" s="797" t="s">
        <v>9</v>
      </c>
      <c r="G1222" s="798">
        <f t="shared" si="74"/>
        <v>0</v>
      </c>
      <c r="H1222" s="775"/>
    </row>
    <row r="1223" spans="1:8">
      <c r="A1223" s="792">
        <v>42339</v>
      </c>
      <c r="B1223" s="793" t="s">
        <v>13700</v>
      </c>
      <c r="C1223" s="794" t="s">
        <v>13562</v>
      </c>
      <c r="D1223" s="795"/>
      <c r="E1223" s="796">
        <v>569.49</v>
      </c>
      <c r="F1223" s="797" t="s">
        <v>9</v>
      </c>
      <c r="G1223" s="798">
        <f t="shared" si="74"/>
        <v>0</v>
      </c>
      <c r="H1223" s="775"/>
    </row>
    <row r="1224" spans="1:8">
      <c r="A1224" s="785">
        <v>42339</v>
      </c>
      <c r="B1224" s="337" t="s">
        <v>13686</v>
      </c>
      <c r="C1224" s="332" t="s">
        <v>13583</v>
      </c>
      <c r="D1224" s="134"/>
      <c r="E1224" s="135">
        <v>293</v>
      </c>
      <c r="F1224" s="46" t="s">
        <v>9</v>
      </c>
      <c r="G1224" s="749">
        <f t="shared" si="74"/>
        <v>0</v>
      </c>
      <c r="H1224" s="775"/>
    </row>
    <row r="1225" spans="1:8">
      <c r="A1225" s="785">
        <v>42348</v>
      </c>
      <c r="B1225" s="337" t="s">
        <v>13709</v>
      </c>
      <c r="C1225" s="332" t="s">
        <v>13676</v>
      </c>
      <c r="D1225" s="134"/>
      <c r="E1225" s="135">
        <v>245.43</v>
      </c>
      <c r="F1225" s="46" t="s">
        <v>9</v>
      </c>
      <c r="G1225" s="749">
        <f t="shared" si="74"/>
        <v>0</v>
      </c>
      <c r="H1225" s="775"/>
    </row>
    <row r="1226" spans="1:8">
      <c r="A1226" s="792">
        <v>42367</v>
      </c>
      <c r="B1226" s="793" t="s">
        <v>13703</v>
      </c>
      <c r="C1226" s="794" t="s">
        <v>13493</v>
      </c>
      <c r="D1226" s="795"/>
      <c r="E1226" s="796">
        <v>423.35</v>
      </c>
      <c r="F1226" s="797" t="s">
        <v>9</v>
      </c>
      <c r="G1226" s="798">
        <f t="shared" si="74"/>
        <v>0</v>
      </c>
      <c r="H1226" s="775"/>
    </row>
    <row r="1227" spans="1:8">
      <c r="A1227" s="1491"/>
      <c r="B1227" s="1492"/>
      <c r="C1227" s="1493" t="s">
        <v>13711</v>
      </c>
      <c r="D1227" s="1494"/>
      <c r="E1227" s="1495">
        <f>SUM(E1228:E1232)</f>
        <v>1390.6333333333334</v>
      </c>
      <c r="F1227" s="1496"/>
      <c r="G1227" s="1497"/>
      <c r="H1227" s="775"/>
    </row>
    <row r="1228" spans="1:8">
      <c r="A1228" s="785">
        <v>42370</v>
      </c>
      <c r="B1228" s="337" t="s">
        <v>13710</v>
      </c>
      <c r="C1228" s="776" t="s">
        <v>13531</v>
      </c>
      <c r="D1228" s="134"/>
      <c r="E1228" s="135">
        <v>583.33000000000004</v>
      </c>
      <c r="F1228" s="46" t="s">
        <v>9</v>
      </c>
      <c r="G1228" s="749">
        <f>IF(F1228="X",0,E1228)</f>
        <v>0</v>
      </c>
      <c r="H1228" s="775"/>
    </row>
    <row r="1229" spans="1:8">
      <c r="A1229" s="785">
        <v>42370</v>
      </c>
      <c r="B1229" s="337" t="s">
        <v>13686</v>
      </c>
      <c r="C1229" s="332" t="s">
        <v>13587</v>
      </c>
      <c r="D1229" s="134"/>
      <c r="E1229" s="135">
        <v>293</v>
      </c>
      <c r="F1229" s="46" t="s">
        <v>9</v>
      </c>
      <c r="G1229" s="749">
        <f>IF(F1229="X",0,E1229)</f>
        <v>0</v>
      </c>
      <c r="H1229" s="775"/>
    </row>
    <row r="1230" spans="1:8">
      <c r="A1230" s="785">
        <v>42370</v>
      </c>
      <c r="B1230" s="337" t="s">
        <v>13707</v>
      </c>
      <c r="C1230" s="776" t="s">
        <v>13448</v>
      </c>
      <c r="D1230" s="134"/>
      <c r="E1230" s="135">
        <f>343.88/6</f>
        <v>57.313333333333333</v>
      </c>
      <c r="F1230" s="46" t="s">
        <v>9</v>
      </c>
      <c r="G1230" s="749">
        <f>IF(F1230="X",0,E1230)</f>
        <v>0</v>
      </c>
      <c r="H1230" s="775"/>
    </row>
    <row r="1231" spans="1:8">
      <c r="A1231" s="792">
        <v>42370</v>
      </c>
      <c r="B1231" s="793" t="s">
        <v>13706</v>
      </c>
      <c r="C1231" s="794" t="s">
        <v>13538</v>
      </c>
      <c r="D1231" s="795"/>
      <c r="E1231" s="796">
        <v>211.56</v>
      </c>
      <c r="F1231" s="797" t="s">
        <v>9</v>
      </c>
      <c r="G1231" s="798">
        <f>IF(F1231="X",0,E1231)</f>
        <v>0</v>
      </c>
      <c r="H1231" s="775"/>
    </row>
    <row r="1232" spans="1:8">
      <c r="A1232" s="786">
        <v>42379</v>
      </c>
      <c r="B1232" s="787" t="s">
        <v>13709</v>
      </c>
      <c r="C1232" s="788" t="s">
        <v>13680</v>
      </c>
      <c r="D1232" s="789"/>
      <c r="E1232" s="790">
        <v>245.43</v>
      </c>
      <c r="F1232" s="791" t="s">
        <v>9</v>
      </c>
      <c r="G1232" s="750">
        <f>IF(F1232="X",0,E1232)</f>
        <v>0</v>
      </c>
      <c r="H1232" s="775"/>
    </row>
    <row r="1233" spans="1:8">
      <c r="A1233" s="1484"/>
      <c r="B1233" s="1485"/>
      <c r="C1233" s="1486" t="s">
        <v>13712</v>
      </c>
      <c r="D1233" s="1487"/>
      <c r="E1233" s="1488">
        <f>SUM(E1234:E1241)</f>
        <v>1689.2633333333335</v>
      </c>
      <c r="F1233" s="1489"/>
      <c r="G1233" s="1490"/>
      <c r="H1233" s="775"/>
    </row>
    <row r="1234" spans="1:8">
      <c r="A1234" s="792">
        <v>42401</v>
      </c>
      <c r="B1234" s="793" t="s">
        <v>13710</v>
      </c>
      <c r="C1234" s="794" t="s">
        <v>13538</v>
      </c>
      <c r="D1234" s="795"/>
      <c r="E1234" s="796">
        <v>583.33000000000004</v>
      </c>
      <c r="F1234" s="797" t="s">
        <v>9</v>
      </c>
      <c r="G1234" s="798">
        <f t="shared" ref="G1234:G1241" si="75">IF(F1234="X",0,E1234)</f>
        <v>0</v>
      </c>
      <c r="H1234" s="775"/>
    </row>
    <row r="1235" spans="1:8">
      <c r="A1235" s="785">
        <v>42401</v>
      </c>
      <c r="B1235" s="337" t="s">
        <v>13707</v>
      </c>
      <c r="C1235" s="776" t="s">
        <v>13454</v>
      </c>
      <c r="D1235" s="134"/>
      <c r="E1235" s="135">
        <f>343.88/6</f>
        <v>57.313333333333333</v>
      </c>
      <c r="F1235" s="46" t="s">
        <v>9</v>
      </c>
      <c r="G1235" s="749">
        <f t="shared" si="75"/>
        <v>0</v>
      </c>
      <c r="H1235" s="775"/>
    </row>
    <row r="1236" spans="1:8">
      <c r="A1236" s="792">
        <v>42401</v>
      </c>
      <c r="B1236" s="793" t="s">
        <v>13686</v>
      </c>
      <c r="C1236" s="794" t="s">
        <v>13590</v>
      </c>
      <c r="D1236" s="795"/>
      <c r="E1236" s="796">
        <v>293</v>
      </c>
      <c r="F1236" s="797" t="s">
        <v>9</v>
      </c>
      <c r="G1236" s="798">
        <f t="shared" si="75"/>
        <v>0</v>
      </c>
      <c r="H1236" s="775"/>
    </row>
    <row r="1237" spans="1:8">
      <c r="A1237" s="785">
        <v>42401</v>
      </c>
      <c r="B1237" s="337" t="s">
        <v>13713</v>
      </c>
      <c r="C1237" s="332" t="s">
        <v>13521</v>
      </c>
      <c r="D1237" s="134"/>
      <c r="E1237" s="135">
        <v>91.99</v>
      </c>
      <c r="F1237" s="46" t="s">
        <v>9</v>
      </c>
      <c r="G1237" s="749">
        <f t="shared" si="75"/>
        <v>0</v>
      </c>
      <c r="H1237" s="775"/>
    </row>
    <row r="1238" spans="1:8">
      <c r="A1238" s="785">
        <v>42401</v>
      </c>
      <c r="B1238" s="337" t="s">
        <v>13714</v>
      </c>
      <c r="C1238" s="776" t="s">
        <v>13437</v>
      </c>
      <c r="D1238" s="134"/>
      <c r="E1238" s="135">
        <v>88.2</v>
      </c>
      <c r="F1238" s="46" t="s">
        <v>9</v>
      </c>
      <c r="G1238" s="749">
        <f t="shared" si="75"/>
        <v>0</v>
      </c>
      <c r="H1238" s="775"/>
    </row>
    <row r="1239" spans="1:8">
      <c r="A1239" s="785">
        <v>42401</v>
      </c>
      <c r="B1239" s="337" t="s">
        <v>13715</v>
      </c>
      <c r="C1239" s="332" t="s">
        <v>13521</v>
      </c>
      <c r="D1239" s="134"/>
      <c r="E1239" s="135">
        <v>199.34</v>
      </c>
      <c r="F1239" s="46" t="s">
        <v>9</v>
      </c>
      <c r="G1239" s="749">
        <f t="shared" si="75"/>
        <v>0</v>
      </c>
      <c r="H1239" s="775"/>
    </row>
    <row r="1240" spans="1:8">
      <c r="A1240" s="785">
        <v>42410</v>
      </c>
      <c r="B1240" s="337" t="s">
        <v>13709</v>
      </c>
      <c r="C1240" s="332" t="s">
        <v>13681</v>
      </c>
      <c r="D1240" s="134"/>
      <c r="E1240" s="135">
        <v>245.43</v>
      </c>
      <c r="F1240" s="46" t="s">
        <v>9</v>
      </c>
      <c r="G1240" s="749">
        <f t="shared" si="75"/>
        <v>0</v>
      </c>
      <c r="H1240" s="775"/>
    </row>
    <row r="1241" spans="1:8">
      <c r="A1241" s="785">
        <v>42410</v>
      </c>
      <c r="B1241" s="337" t="s">
        <v>13716</v>
      </c>
      <c r="C1241" s="332" t="s">
        <v>13614</v>
      </c>
      <c r="D1241" s="134"/>
      <c r="E1241" s="135">
        <v>130.66</v>
      </c>
      <c r="F1241" s="46" t="s">
        <v>9</v>
      </c>
      <c r="G1241" s="749">
        <f t="shared" si="75"/>
        <v>0</v>
      </c>
      <c r="H1241" s="775"/>
    </row>
    <row r="1242" spans="1:8">
      <c r="A1242" s="1491"/>
      <c r="B1242" s="1492"/>
      <c r="C1242" s="1493" t="s">
        <v>13717</v>
      </c>
      <c r="D1242" s="1494"/>
      <c r="E1242" s="1495">
        <f>SUM(E1243:E1249)</f>
        <v>1288.6733333333334</v>
      </c>
      <c r="F1242" s="1496"/>
      <c r="G1242" s="1497"/>
      <c r="H1242" s="775"/>
    </row>
    <row r="1243" spans="1:8">
      <c r="A1243" s="785">
        <v>42430</v>
      </c>
      <c r="B1243" s="337" t="s">
        <v>13713</v>
      </c>
      <c r="C1243" s="332" t="s">
        <v>13531</v>
      </c>
      <c r="D1243" s="134"/>
      <c r="E1243" s="135">
        <v>91.99</v>
      </c>
      <c r="F1243" s="46" t="s">
        <v>9</v>
      </c>
      <c r="G1243" s="749">
        <f t="shared" ref="G1243:G1249" si="76">IF(F1243="X",0,E1243)</f>
        <v>0</v>
      </c>
      <c r="H1243" s="775"/>
    </row>
    <row r="1244" spans="1:8">
      <c r="A1244" s="785">
        <v>42430</v>
      </c>
      <c r="B1244" s="337" t="s">
        <v>13714</v>
      </c>
      <c r="C1244" s="776" t="s">
        <v>13443</v>
      </c>
      <c r="D1244" s="134"/>
      <c r="E1244" s="135">
        <v>88.2</v>
      </c>
      <c r="F1244" s="46" t="s">
        <v>9</v>
      </c>
      <c r="G1244" s="749">
        <f t="shared" si="76"/>
        <v>0</v>
      </c>
      <c r="H1244" s="775"/>
    </row>
    <row r="1245" spans="1:8">
      <c r="A1245" s="785">
        <v>42430</v>
      </c>
      <c r="B1245" s="337" t="s">
        <v>13707</v>
      </c>
      <c r="C1245" s="776" t="s">
        <v>13467</v>
      </c>
      <c r="D1245" s="134"/>
      <c r="E1245" s="135">
        <f>343.88/6</f>
        <v>57.313333333333333</v>
      </c>
      <c r="F1245" s="46" t="s">
        <v>9</v>
      </c>
      <c r="G1245" s="749">
        <f t="shared" si="76"/>
        <v>0</v>
      </c>
      <c r="H1245" s="775"/>
    </row>
    <row r="1246" spans="1:8">
      <c r="A1246" s="785">
        <v>42430</v>
      </c>
      <c r="B1246" s="337" t="s">
        <v>13715</v>
      </c>
      <c r="C1246" s="332" t="s">
        <v>13531</v>
      </c>
      <c r="D1246" s="134"/>
      <c r="E1246" s="135">
        <v>199.33</v>
      </c>
      <c r="F1246" s="46" t="s">
        <v>9</v>
      </c>
      <c r="G1246" s="749">
        <f t="shared" si="76"/>
        <v>0</v>
      </c>
      <c r="H1246" s="775"/>
    </row>
    <row r="1247" spans="1:8">
      <c r="A1247" s="785">
        <v>42430</v>
      </c>
      <c r="B1247" s="337" t="s">
        <v>13718</v>
      </c>
      <c r="C1247" s="332" t="s">
        <v>13719</v>
      </c>
      <c r="D1247" s="134"/>
      <c r="E1247" s="135">
        <v>475.75</v>
      </c>
      <c r="F1247" s="46" t="s">
        <v>9</v>
      </c>
      <c r="G1247" s="749">
        <f t="shared" si="76"/>
        <v>0</v>
      </c>
      <c r="H1247" s="775"/>
    </row>
    <row r="1248" spans="1:8">
      <c r="A1248" s="785">
        <v>42439</v>
      </c>
      <c r="B1248" s="337" t="s">
        <v>13709</v>
      </c>
      <c r="C1248" s="332" t="s">
        <v>13684</v>
      </c>
      <c r="D1248" s="134"/>
      <c r="E1248" s="135">
        <v>245.43</v>
      </c>
      <c r="F1248" s="46" t="s">
        <v>9</v>
      </c>
      <c r="G1248" s="749">
        <f t="shared" si="76"/>
        <v>0</v>
      </c>
      <c r="H1248" s="775"/>
    </row>
    <row r="1249" spans="1:8">
      <c r="A1249" s="786">
        <v>42439</v>
      </c>
      <c r="B1249" s="787" t="s">
        <v>13716</v>
      </c>
      <c r="C1249" s="788" t="s">
        <v>13368</v>
      </c>
      <c r="D1249" s="789"/>
      <c r="E1249" s="790">
        <v>130.66</v>
      </c>
      <c r="F1249" s="791" t="s">
        <v>9</v>
      </c>
      <c r="G1249" s="750">
        <f t="shared" si="76"/>
        <v>0</v>
      </c>
      <c r="H1249" s="775"/>
    </row>
    <row r="1250" spans="1:8">
      <c r="A1250" s="1484"/>
      <c r="B1250" s="1485"/>
      <c r="C1250" s="1486" t="s">
        <v>7274</v>
      </c>
      <c r="D1250" s="1487"/>
      <c r="E1250" s="1488">
        <f>SUM(E1251:E1258)</f>
        <v>1395.7233333333334</v>
      </c>
      <c r="F1250" s="1489"/>
      <c r="G1250" s="1490"/>
      <c r="H1250" s="775"/>
    </row>
    <row r="1251" spans="1:8">
      <c r="A1251" s="792">
        <v>42461</v>
      </c>
      <c r="B1251" s="793" t="s">
        <v>13707</v>
      </c>
      <c r="C1251" s="794" t="s">
        <v>13475</v>
      </c>
      <c r="D1251" s="795"/>
      <c r="E1251" s="796">
        <f>343.88/6</f>
        <v>57.313333333333333</v>
      </c>
      <c r="F1251" s="797" t="s">
        <v>9</v>
      </c>
      <c r="G1251" s="798">
        <f t="shared" ref="G1251:G1258" si="77">IF(F1251="X",0,E1251)</f>
        <v>0</v>
      </c>
      <c r="H1251" s="775"/>
    </row>
    <row r="1252" spans="1:8">
      <c r="A1252" s="792">
        <v>42461</v>
      </c>
      <c r="B1252" s="793" t="s">
        <v>13713</v>
      </c>
      <c r="C1252" s="794" t="s">
        <v>13538</v>
      </c>
      <c r="D1252" s="795"/>
      <c r="E1252" s="796">
        <v>91.99</v>
      </c>
      <c r="F1252" s="797" t="s">
        <v>9</v>
      </c>
      <c r="G1252" s="798">
        <f t="shared" si="77"/>
        <v>0</v>
      </c>
      <c r="H1252" s="775"/>
    </row>
    <row r="1253" spans="1:8">
      <c r="A1253" s="785">
        <v>42461</v>
      </c>
      <c r="B1253" s="337" t="s">
        <v>13714</v>
      </c>
      <c r="C1253" s="776" t="s">
        <v>13448</v>
      </c>
      <c r="D1253" s="134"/>
      <c r="E1253" s="135">
        <v>88.2</v>
      </c>
      <c r="F1253" s="46" t="s">
        <v>9</v>
      </c>
      <c r="G1253" s="749">
        <f t="shared" si="77"/>
        <v>0</v>
      </c>
      <c r="H1253" s="775"/>
    </row>
    <row r="1254" spans="1:8">
      <c r="A1254" s="785">
        <v>42461</v>
      </c>
      <c r="B1254" s="337" t="s">
        <v>13718</v>
      </c>
      <c r="C1254" s="332" t="s">
        <v>13720</v>
      </c>
      <c r="D1254" s="134"/>
      <c r="E1254" s="135">
        <v>475.75</v>
      </c>
      <c r="F1254" s="46" t="s">
        <v>9</v>
      </c>
      <c r="G1254" s="749">
        <f t="shared" si="77"/>
        <v>0</v>
      </c>
      <c r="H1254" s="775"/>
    </row>
    <row r="1255" spans="1:8">
      <c r="A1255" s="785">
        <v>42461</v>
      </c>
      <c r="B1255" s="337" t="s">
        <v>13721</v>
      </c>
      <c r="C1255" s="332" t="s">
        <v>13459</v>
      </c>
      <c r="D1255" s="134"/>
      <c r="E1255" s="135">
        <v>107.05</v>
      </c>
      <c r="F1255" s="46" t="s">
        <v>9</v>
      </c>
      <c r="G1255" s="749">
        <f t="shared" si="77"/>
        <v>0</v>
      </c>
      <c r="H1255" s="775"/>
    </row>
    <row r="1256" spans="1:8">
      <c r="A1256" s="792">
        <v>42461</v>
      </c>
      <c r="B1256" s="793" t="s">
        <v>13715</v>
      </c>
      <c r="C1256" s="794" t="s">
        <v>13538</v>
      </c>
      <c r="D1256" s="795"/>
      <c r="E1256" s="796">
        <v>199.33</v>
      </c>
      <c r="F1256" s="797" t="s">
        <v>9</v>
      </c>
      <c r="G1256" s="798">
        <f t="shared" si="77"/>
        <v>0</v>
      </c>
      <c r="H1256" s="775"/>
    </row>
    <row r="1257" spans="1:8">
      <c r="A1257" s="785">
        <v>42470</v>
      </c>
      <c r="B1257" s="337" t="s">
        <v>13709</v>
      </c>
      <c r="C1257" s="332" t="s">
        <v>13622</v>
      </c>
      <c r="D1257" s="134"/>
      <c r="E1257" s="135">
        <v>245.43</v>
      </c>
      <c r="F1257" s="46" t="s">
        <v>9</v>
      </c>
      <c r="G1257" s="749">
        <f t="shared" si="77"/>
        <v>0</v>
      </c>
      <c r="H1257" s="775"/>
    </row>
    <row r="1258" spans="1:8">
      <c r="A1258" s="786">
        <v>42470</v>
      </c>
      <c r="B1258" s="787" t="s">
        <v>13716</v>
      </c>
      <c r="C1258" s="788" t="s">
        <v>13376</v>
      </c>
      <c r="D1258" s="789"/>
      <c r="E1258" s="790">
        <v>130.66</v>
      </c>
      <c r="F1258" s="791" t="s">
        <v>9</v>
      </c>
      <c r="G1258" s="750">
        <f t="shared" si="77"/>
        <v>0</v>
      </c>
      <c r="H1258" s="775"/>
    </row>
    <row r="1259" spans="1:8">
      <c r="A1259" s="1484"/>
      <c r="B1259" s="1485"/>
      <c r="C1259" s="1486" t="s">
        <v>7291</v>
      </c>
      <c r="D1259" s="1487"/>
      <c r="E1259" s="1488">
        <f>SUM(E1260:E1266)</f>
        <v>1372.0900000000001</v>
      </c>
      <c r="F1259" s="1489"/>
      <c r="G1259" s="1490"/>
      <c r="H1259" s="775"/>
    </row>
    <row r="1260" spans="1:8">
      <c r="A1260" s="785">
        <v>42491</v>
      </c>
      <c r="B1260" s="337" t="s">
        <v>13714</v>
      </c>
      <c r="C1260" s="776" t="s">
        <v>13454</v>
      </c>
      <c r="D1260" s="134"/>
      <c r="E1260" s="135">
        <v>88.2</v>
      </c>
      <c r="F1260" s="46" t="s">
        <v>9</v>
      </c>
      <c r="G1260" s="749">
        <f t="shared" ref="G1260:G1266" si="78">IF(F1260="X",0,E1260)</f>
        <v>0</v>
      </c>
      <c r="H1260" s="775"/>
    </row>
    <row r="1261" spans="1:8">
      <c r="A1261" s="785">
        <v>42491</v>
      </c>
      <c r="B1261" s="337" t="s">
        <v>13718</v>
      </c>
      <c r="C1261" s="332" t="s">
        <v>13722</v>
      </c>
      <c r="D1261" s="134"/>
      <c r="E1261" s="135">
        <v>475.75</v>
      </c>
      <c r="F1261" s="46" t="s">
        <v>9</v>
      </c>
      <c r="G1261" s="749">
        <f t="shared" si="78"/>
        <v>0</v>
      </c>
      <c r="H1261" s="775"/>
    </row>
    <row r="1262" spans="1:8">
      <c r="A1262" s="785">
        <v>42491</v>
      </c>
      <c r="B1262" s="337" t="s">
        <v>13721</v>
      </c>
      <c r="C1262" s="332" t="s">
        <v>13481</v>
      </c>
      <c r="D1262" s="134"/>
      <c r="E1262" s="135">
        <v>107.05</v>
      </c>
      <c r="F1262" s="46" t="s">
        <v>9</v>
      </c>
      <c r="G1262" s="749">
        <f t="shared" si="78"/>
        <v>0</v>
      </c>
      <c r="H1262" s="775"/>
    </row>
    <row r="1263" spans="1:8">
      <c r="A1263" s="785">
        <v>42491</v>
      </c>
      <c r="B1263" s="337" t="s">
        <v>13527</v>
      </c>
      <c r="C1263" s="332" t="s">
        <v>13521</v>
      </c>
      <c r="D1263" s="134"/>
      <c r="E1263" s="135">
        <v>200</v>
      </c>
      <c r="F1263" s="46" t="s">
        <v>9</v>
      </c>
      <c r="G1263" s="749">
        <f t="shared" si="78"/>
        <v>0</v>
      </c>
      <c r="H1263" s="775"/>
    </row>
    <row r="1264" spans="1:8">
      <c r="A1264" s="785">
        <v>42491</v>
      </c>
      <c r="B1264" s="337" t="s">
        <v>13723</v>
      </c>
      <c r="C1264" s="332" t="s">
        <v>13521</v>
      </c>
      <c r="D1264" s="134"/>
      <c r="E1264" s="135">
        <v>125</v>
      </c>
      <c r="F1264" s="46" t="s">
        <v>9</v>
      </c>
      <c r="G1264" s="749">
        <f t="shared" si="78"/>
        <v>0</v>
      </c>
      <c r="H1264" s="775"/>
    </row>
    <row r="1265" spans="1:8">
      <c r="A1265" s="785">
        <v>42500</v>
      </c>
      <c r="B1265" s="337" t="s">
        <v>13709</v>
      </c>
      <c r="C1265" s="332" t="s">
        <v>13626</v>
      </c>
      <c r="D1265" s="134"/>
      <c r="E1265" s="135">
        <v>245.43</v>
      </c>
      <c r="F1265" s="46" t="s">
        <v>9</v>
      </c>
      <c r="G1265" s="749">
        <f t="shared" si="78"/>
        <v>0</v>
      </c>
      <c r="H1265" s="775"/>
    </row>
    <row r="1266" spans="1:8">
      <c r="A1266" s="786">
        <v>42500</v>
      </c>
      <c r="B1266" s="787" t="s">
        <v>13716</v>
      </c>
      <c r="C1266" s="788" t="s">
        <v>13380</v>
      </c>
      <c r="D1266" s="789"/>
      <c r="E1266" s="790">
        <v>130.66</v>
      </c>
      <c r="F1266" s="791" t="s">
        <v>9</v>
      </c>
      <c r="G1266" s="750">
        <f t="shared" si="78"/>
        <v>0</v>
      </c>
      <c r="H1266" s="775"/>
    </row>
    <row r="1267" spans="1:8">
      <c r="A1267" s="1484"/>
      <c r="B1267" s="1485"/>
      <c r="C1267" s="1486" t="s">
        <v>7300</v>
      </c>
      <c r="D1267" s="1487"/>
      <c r="E1267" s="1488">
        <f>SUM(E1268:E1275)</f>
        <v>1596.69</v>
      </c>
      <c r="F1267" s="1489"/>
      <c r="G1267" s="1490"/>
      <c r="H1267" s="775"/>
    </row>
    <row r="1268" spans="1:8">
      <c r="A1268" s="792">
        <v>42522</v>
      </c>
      <c r="B1268" s="793" t="s">
        <v>13718</v>
      </c>
      <c r="C1268" s="794" t="s">
        <v>13499</v>
      </c>
      <c r="D1268" s="795"/>
      <c r="E1268" s="796">
        <v>475.75</v>
      </c>
      <c r="F1268" s="797" t="s">
        <v>9</v>
      </c>
      <c r="G1268" s="798">
        <f t="shared" ref="G1268:G1275" si="79">IF(F1268="X",0,E1268)</f>
        <v>0</v>
      </c>
      <c r="H1268" s="775"/>
    </row>
    <row r="1269" spans="1:8">
      <c r="A1269" s="785">
        <v>42522</v>
      </c>
      <c r="B1269" s="337" t="s">
        <v>13714</v>
      </c>
      <c r="C1269" s="776" t="s">
        <v>13467</v>
      </c>
      <c r="D1269" s="134"/>
      <c r="E1269" s="135">
        <v>88.2</v>
      </c>
      <c r="F1269" s="46" t="s">
        <v>9</v>
      </c>
      <c r="G1269" s="749">
        <f t="shared" si="79"/>
        <v>0</v>
      </c>
      <c r="H1269" s="775"/>
    </row>
    <row r="1270" spans="1:8">
      <c r="A1270" s="785">
        <v>42522</v>
      </c>
      <c r="B1270" s="337" t="s">
        <v>13721</v>
      </c>
      <c r="C1270" s="332" t="s">
        <v>13489</v>
      </c>
      <c r="D1270" s="134"/>
      <c r="E1270" s="135">
        <v>107.05</v>
      </c>
      <c r="F1270" s="46" t="s">
        <v>9</v>
      </c>
      <c r="G1270" s="749">
        <f t="shared" si="79"/>
        <v>0</v>
      </c>
      <c r="H1270" s="775"/>
    </row>
    <row r="1271" spans="1:8">
      <c r="A1271" s="785">
        <v>42522</v>
      </c>
      <c r="B1271" s="337" t="s">
        <v>13527</v>
      </c>
      <c r="C1271" s="332" t="s">
        <v>13531</v>
      </c>
      <c r="D1271" s="134"/>
      <c r="E1271" s="135">
        <v>200</v>
      </c>
      <c r="F1271" s="46" t="s">
        <v>9</v>
      </c>
      <c r="G1271" s="749">
        <f t="shared" si="79"/>
        <v>0</v>
      </c>
      <c r="H1271" s="775"/>
    </row>
    <row r="1272" spans="1:8">
      <c r="A1272" s="785">
        <v>42522</v>
      </c>
      <c r="B1272" s="337" t="s">
        <v>13723</v>
      </c>
      <c r="C1272" s="332" t="s">
        <v>13531</v>
      </c>
      <c r="D1272" s="134"/>
      <c r="E1272" s="135">
        <v>125</v>
      </c>
      <c r="F1272" s="46" t="s">
        <v>9</v>
      </c>
      <c r="G1272" s="749">
        <f t="shared" si="79"/>
        <v>0</v>
      </c>
      <c r="H1272" s="775"/>
    </row>
    <row r="1273" spans="1:8">
      <c r="A1273" s="785">
        <v>42522</v>
      </c>
      <c r="B1273" s="337" t="s">
        <v>13724</v>
      </c>
      <c r="C1273" s="332" t="s">
        <v>13459</v>
      </c>
      <c r="D1273" s="134"/>
      <c r="E1273" s="135">
        <v>224.6</v>
      </c>
      <c r="F1273" s="46" t="s">
        <v>9</v>
      </c>
      <c r="G1273" s="749">
        <f t="shared" si="79"/>
        <v>0</v>
      </c>
      <c r="H1273" s="775"/>
    </row>
    <row r="1274" spans="1:8">
      <c r="A1274" s="1183">
        <v>42531</v>
      </c>
      <c r="B1274" s="337" t="s">
        <v>13709</v>
      </c>
      <c r="C1274" s="332" t="s">
        <v>13632</v>
      </c>
      <c r="D1274" s="134"/>
      <c r="E1274" s="135">
        <v>245.43</v>
      </c>
      <c r="F1274" s="46" t="s">
        <v>9</v>
      </c>
      <c r="G1274" s="749">
        <f t="shared" si="79"/>
        <v>0</v>
      </c>
      <c r="H1274" s="775"/>
    </row>
    <row r="1275" spans="1:8">
      <c r="A1275" s="786">
        <v>42531</v>
      </c>
      <c r="B1275" s="787" t="s">
        <v>13716</v>
      </c>
      <c r="C1275" s="788" t="s">
        <v>13628</v>
      </c>
      <c r="D1275" s="789"/>
      <c r="E1275" s="790">
        <v>130.66</v>
      </c>
      <c r="F1275" s="791" t="s">
        <v>9</v>
      </c>
      <c r="G1275" s="750">
        <f t="shared" si="79"/>
        <v>0</v>
      </c>
      <c r="H1275" s="775"/>
    </row>
    <row r="1276" spans="1:8">
      <c r="A1276" s="1484"/>
      <c r="B1276" s="1485"/>
      <c r="C1276" s="1486" t="s">
        <v>7306</v>
      </c>
      <c r="D1276" s="1487"/>
      <c r="E1276" s="1488">
        <f>SUM(E1277:E1285)</f>
        <v>1415.7</v>
      </c>
      <c r="F1276" s="1489"/>
      <c r="G1276" s="1490"/>
      <c r="H1276" s="775"/>
    </row>
    <row r="1277" spans="1:8">
      <c r="A1277" s="792">
        <v>42552</v>
      </c>
      <c r="B1277" s="793" t="s">
        <v>13714</v>
      </c>
      <c r="C1277" s="794" t="s">
        <v>13475</v>
      </c>
      <c r="D1277" s="795"/>
      <c r="E1277" s="796">
        <v>88.2</v>
      </c>
      <c r="F1277" s="797" t="s">
        <v>9</v>
      </c>
      <c r="G1277" s="798">
        <f t="shared" ref="G1277:G1285" si="80">IF(F1277="X",0,E1277)</f>
        <v>0</v>
      </c>
      <c r="H1277" s="775"/>
    </row>
    <row r="1278" spans="1:8">
      <c r="A1278" s="785">
        <v>42552</v>
      </c>
      <c r="B1278" s="337" t="s">
        <v>13724</v>
      </c>
      <c r="C1278" s="332" t="s">
        <v>13481</v>
      </c>
      <c r="D1278" s="134"/>
      <c r="E1278" s="135">
        <v>224.6</v>
      </c>
      <c r="F1278" s="46" t="s">
        <v>9</v>
      </c>
      <c r="G1278" s="749">
        <f t="shared" si="80"/>
        <v>0</v>
      </c>
      <c r="H1278" s="775"/>
    </row>
    <row r="1279" spans="1:8">
      <c r="A1279" s="785">
        <v>42552</v>
      </c>
      <c r="B1279" s="337" t="s">
        <v>5216</v>
      </c>
      <c r="C1279" s="332" t="s">
        <v>13606</v>
      </c>
      <c r="D1279" s="134"/>
      <c r="E1279" s="135">
        <v>128.12</v>
      </c>
      <c r="F1279" s="46" t="s">
        <v>9</v>
      </c>
      <c r="G1279" s="749">
        <f t="shared" si="80"/>
        <v>0</v>
      </c>
      <c r="H1279" s="775"/>
    </row>
    <row r="1280" spans="1:8">
      <c r="A1280" s="785">
        <v>42552</v>
      </c>
      <c r="B1280" s="337" t="s">
        <v>13725</v>
      </c>
      <c r="C1280" s="332" t="s">
        <v>13606</v>
      </c>
      <c r="D1280" s="134"/>
      <c r="E1280" s="135">
        <v>166.64</v>
      </c>
      <c r="F1280" s="46" t="s">
        <v>9</v>
      </c>
      <c r="G1280" s="749">
        <f t="shared" si="80"/>
        <v>0</v>
      </c>
      <c r="H1280" s="775"/>
    </row>
    <row r="1281" spans="1:8">
      <c r="A1281" s="792">
        <v>42552</v>
      </c>
      <c r="B1281" s="793" t="s">
        <v>13721</v>
      </c>
      <c r="C1281" s="794" t="s">
        <v>13493</v>
      </c>
      <c r="D1281" s="795"/>
      <c r="E1281" s="796">
        <v>107.05</v>
      </c>
      <c r="F1281" s="797" t="s">
        <v>9</v>
      </c>
      <c r="G1281" s="798">
        <f t="shared" si="80"/>
        <v>0</v>
      </c>
      <c r="H1281" s="775"/>
    </row>
    <row r="1282" spans="1:8">
      <c r="A1282" s="792">
        <v>42552</v>
      </c>
      <c r="B1282" s="793" t="s">
        <v>13527</v>
      </c>
      <c r="C1282" s="794" t="s">
        <v>13538</v>
      </c>
      <c r="D1282" s="795"/>
      <c r="E1282" s="796">
        <v>200</v>
      </c>
      <c r="F1282" s="797" t="s">
        <v>9</v>
      </c>
      <c r="G1282" s="798">
        <f t="shared" si="80"/>
        <v>0</v>
      </c>
      <c r="H1282" s="775"/>
    </row>
    <row r="1283" spans="1:8">
      <c r="A1283" s="792">
        <v>42552</v>
      </c>
      <c r="B1283" s="793" t="s">
        <v>13723</v>
      </c>
      <c r="C1283" s="794" t="s">
        <v>13538</v>
      </c>
      <c r="D1283" s="795"/>
      <c r="E1283" s="796">
        <v>125</v>
      </c>
      <c r="F1283" s="797" t="s">
        <v>9</v>
      </c>
      <c r="G1283" s="798">
        <f t="shared" si="80"/>
        <v>0</v>
      </c>
      <c r="H1283" s="775"/>
    </row>
    <row r="1284" spans="1:8">
      <c r="A1284" s="1183">
        <v>42561</v>
      </c>
      <c r="B1284" s="337" t="s">
        <v>13709</v>
      </c>
      <c r="C1284" s="332" t="s">
        <v>13636</v>
      </c>
      <c r="D1284" s="134"/>
      <c r="E1284" s="135">
        <v>245.43</v>
      </c>
      <c r="F1284" s="46" t="s">
        <v>9</v>
      </c>
      <c r="G1284" s="749">
        <f t="shared" si="80"/>
        <v>0</v>
      </c>
      <c r="H1284" s="775"/>
    </row>
    <row r="1285" spans="1:8">
      <c r="A1285" s="786">
        <v>42561</v>
      </c>
      <c r="B1285" s="787" t="s">
        <v>13716</v>
      </c>
      <c r="C1285" s="788" t="s">
        <v>13387</v>
      </c>
      <c r="D1285" s="789"/>
      <c r="E1285" s="790">
        <v>130.66</v>
      </c>
      <c r="F1285" s="791" t="s">
        <v>9</v>
      </c>
      <c r="G1285" s="750">
        <f t="shared" si="80"/>
        <v>0</v>
      </c>
      <c r="H1285" s="775"/>
    </row>
    <row r="1286" spans="1:8">
      <c r="A1286" s="1484"/>
      <c r="B1286" s="1485"/>
      <c r="C1286" s="1486" t="s">
        <v>7308</v>
      </c>
      <c r="D1286" s="1487"/>
      <c r="E1286" s="1488">
        <f>SUM(E1287:E1293)</f>
        <v>1668.4550000000002</v>
      </c>
      <c r="F1286" s="1489"/>
      <c r="G1286" s="1490"/>
      <c r="H1286" s="775"/>
    </row>
    <row r="1287" spans="1:8">
      <c r="A1287" s="785">
        <v>42583</v>
      </c>
      <c r="B1287" s="337" t="s">
        <v>5216</v>
      </c>
      <c r="C1287" s="332" t="s">
        <v>13531</v>
      </c>
      <c r="D1287" s="134"/>
      <c r="E1287" s="135">
        <v>128.12</v>
      </c>
      <c r="F1287" s="46" t="s">
        <v>9</v>
      </c>
      <c r="G1287" s="749">
        <f t="shared" ref="G1287:G1293" si="81">IF(F1287="X",0,E1287)</f>
        <v>0</v>
      </c>
      <c r="H1287" s="775"/>
    </row>
    <row r="1288" spans="1:8">
      <c r="A1288" s="785">
        <v>42583</v>
      </c>
      <c r="B1288" s="337" t="s">
        <v>13725</v>
      </c>
      <c r="C1288" s="332" t="s">
        <v>13657</v>
      </c>
      <c r="D1288" s="134"/>
      <c r="E1288" s="135">
        <v>166.63</v>
      </c>
      <c r="F1288" s="46" t="s">
        <v>9</v>
      </c>
      <c r="G1288" s="749">
        <f t="shared" si="81"/>
        <v>0</v>
      </c>
      <c r="H1288" s="775"/>
    </row>
    <row r="1289" spans="1:8">
      <c r="A1289" s="785">
        <v>42583</v>
      </c>
      <c r="B1289" s="337" t="s">
        <v>13724</v>
      </c>
      <c r="C1289" s="332" t="s">
        <v>13489</v>
      </c>
      <c r="D1289" s="134"/>
      <c r="E1289" s="135">
        <v>224.6</v>
      </c>
      <c r="F1289" s="46" t="s">
        <v>9</v>
      </c>
      <c r="G1289" s="749">
        <f t="shared" si="81"/>
        <v>0</v>
      </c>
      <c r="H1289" s="775"/>
    </row>
    <row r="1290" spans="1:8">
      <c r="A1290" s="785">
        <v>42583</v>
      </c>
      <c r="B1290" s="337" t="s">
        <v>13726</v>
      </c>
      <c r="C1290" s="332" t="s">
        <v>13606</v>
      </c>
      <c r="D1290" s="134"/>
      <c r="E1290" s="135">
        <v>266.67</v>
      </c>
      <c r="F1290" s="46" t="s">
        <v>9</v>
      </c>
      <c r="G1290" s="749">
        <f t="shared" si="81"/>
        <v>0</v>
      </c>
      <c r="H1290" s="775"/>
    </row>
    <row r="1291" spans="1:8">
      <c r="A1291" s="785">
        <v>42583</v>
      </c>
      <c r="B1291" s="337" t="s">
        <v>13727</v>
      </c>
      <c r="C1291" s="332" t="s">
        <v>13545</v>
      </c>
      <c r="D1291" s="134"/>
      <c r="E1291" s="135">
        <f>2025.38/4</f>
        <v>506.34500000000003</v>
      </c>
      <c r="F1291" s="46" t="s">
        <v>9</v>
      </c>
      <c r="G1291" s="749">
        <f t="shared" si="81"/>
        <v>0</v>
      </c>
      <c r="H1291" s="775"/>
    </row>
    <row r="1292" spans="1:8">
      <c r="A1292" s="1183">
        <v>42592</v>
      </c>
      <c r="B1292" s="337" t="s">
        <v>13709</v>
      </c>
      <c r="C1292" s="332" t="s">
        <v>13637</v>
      </c>
      <c r="D1292" s="134"/>
      <c r="E1292" s="135">
        <v>245.43</v>
      </c>
      <c r="F1292" s="46" t="s">
        <v>9</v>
      </c>
      <c r="G1292" s="749">
        <f t="shared" si="81"/>
        <v>0</v>
      </c>
      <c r="H1292" s="775"/>
    </row>
    <row r="1293" spans="1:8">
      <c r="A1293" s="785">
        <v>42592</v>
      </c>
      <c r="B1293" s="337" t="s">
        <v>13716</v>
      </c>
      <c r="C1293" s="332" t="s">
        <v>13397</v>
      </c>
      <c r="D1293" s="134"/>
      <c r="E1293" s="135">
        <v>130.66</v>
      </c>
      <c r="F1293" s="46" t="s">
        <v>9</v>
      </c>
      <c r="G1293" s="749">
        <f t="shared" si="81"/>
        <v>0</v>
      </c>
      <c r="H1293" s="775"/>
    </row>
    <row r="1294" spans="1:8">
      <c r="A1294" s="1484"/>
      <c r="B1294" s="1485"/>
      <c r="C1294" s="1486" t="s">
        <v>7309</v>
      </c>
      <c r="D1294" s="1487"/>
      <c r="E1294" s="1488">
        <f>SUM(E1295:E1303)</f>
        <v>2149.9349999999999</v>
      </c>
      <c r="F1294" s="1489"/>
      <c r="G1294" s="1490"/>
      <c r="H1294" s="775"/>
    </row>
    <row r="1295" spans="1:8">
      <c r="A1295" s="792">
        <v>42614</v>
      </c>
      <c r="B1295" s="793" t="s">
        <v>5216</v>
      </c>
      <c r="C1295" s="794" t="s">
        <v>13538</v>
      </c>
      <c r="D1295" s="795"/>
      <c r="E1295" s="796">
        <v>128.12</v>
      </c>
      <c r="F1295" s="797" t="s">
        <v>9</v>
      </c>
      <c r="G1295" s="798">
        <f t="shared" ref="G1295:G1303" si="82">IF(F1295="X",0,E1295)</f>
        <v>0</v>
      </c>
      <c r="H1295" s="775"/>
    </row>
    <row r="1296" spans="1:8">
      <c r="A1296" s="792">
        <v>42614</v>
      </c>
      <c r="B1296" s="793" t="s">
        <v>13725</v>
      </c>
      <c r="C1296" s="794" t="s">
        <v>13538</v>
      </c>
      <c r="D1296" s="795"/>
      <c r="E1296" s="796">
        <v>166.63</v>
      </c>
      <c r="F1296" s="797" t="s">
        <v>9</v>
      </c>
      <c r="G1296" s="798">
        <f t="shared" si="82"/>
        <v>0</v>
      </c>
      <c r="H1296" s="775"/>
    </row>
    <row r="1297" spans="1:8">
      <c r="A1297" s="792">
        <v>42614</v>
      </c>
      <c r="B1297" s="793" t="s">
        <v>13724</v>
      </c>
      <c r="C1297" s="794" t="s">
        <v>13493</v>
      </c>
      <c r="D1297" s="795"/>
      <c r="E1297" s="796">
        <v>224.6</v>
      </c>
      <c r="F1297" s="797" t="s">
        <v>9</v>
      </c>
      <c r="G1297" s="798">
        <f t="shared" si="82"/>
        <v>0</v>
      </c>
      <c r="H1297" s="775"/>
    </row>
    <row r="1298" spans="1:8">
      <c r="A1298" s="785">
        <v>42614</v>
      </c>
      <c r="B1298" s="337" t="s">
        <v>13728</v>
      </c>
      <c r="C1298" s="52" t="s">
        <v>13521</v>
      </c>
      <c r="D1298" s="63"/>
      <c r="E1298" s="135">
        <v>161.5</v>
      </c>
      <c r="F1298" s="46" t="s">
        <v>9</v>
      </c>
      <c r="G1298" s="749">
        <f t="shared" si="82"/>
        <v>0</v>
      </c>
      <c r="H1298" s="775"/>
    </row>
    <row r="1299" spans="1:8">
      <c r="A1299" s="785">
        <v>42614</v>
      </c>
      <c r="B1299" s="337" t="s">
        <v>13726</v>
      </c>
      <c r="C1299" s="332" t="s">
        <v>13657</v>
      </c>
      <c r="D1299" s="134"/>
      <c r="E1299" s="135">
        <v>266.66000000000003</v>
      </c>
      <c r="F1299" s="46" t="s">
        <v>9</v>
      </c>
      <c r="G1299" s="749">
        <f t="shared" si="82"/>
        <v>0</v>
      </c>
      <c r="H1299" s="775"/>
    </row>
    <row r="1300" spans="1:8">
      <c r="A1300" s="785">
        <v>42614</v>
      </c>
      <c r="B1300" s="337" t="s">
        <v>13727</v>
      </c>
      <c r="C1300" s="332" t="s">
        <v>13481</v>
      </c>
      <c r="D1300" s="134"/>
      <c r="E1300" s="135">
        <f>2025.38/4</f>
        <v>506.34500000000003</v>
      </c>
      <c r="F1300" s="46" t="s">
        <v>9</v>
      </c>
      <c r="G1300" s="749">
        <f t="shared" si="82"/>
        <v>0</v>
      </c>
      <c r="H1300" s="775"/>
    </row>
    <row r="1301" spans="1:8">
      <c r="A1301" s="785">
        <v>42614</v>
      </c>
      <c r="B1301" s="337" t="s">
        <v>13729</v>
      </c>
      <c r="C1301" s="332" t="s">
        <v>13614</v>
      </c>
      <c r="D1301" s="134"/>
      <c r="E1301" s="135">
        <v>319.99</v>
      </c>
      <c r="F1301" s="46" t="s">
        <v>9</v>
      </c>
      <c r="G1301" s="749">
        <f t="shared" si="82"/>
        <v>0</v>
      </c>
      <c r="H1301" s="775"/>
    </row>
    <row r="1302" spans="1:8">
      <c r="A1302" s="792">
        <v>42623</v>
      </c>
      <c r="B1302" s="793" t="s">
        <v>13709</v>
      </c>
      <c r="C1302" s="794" t="s">
        <v>13640</v>
      </c>
      <c r="D1302" s="795"/>
      <c r="E1302" s="796">
        <v>245.43</v>
      </c>
      <c r="F1302" s="797" t="s">
        <v>9</v>
      </c>
      <c r="G1302" s="798">
        <f t="shared" si="82"/>
        <v>0</v>
      </c>
      <c r="H1302" s="775"/>
    </row>
    <row r="1303" spans="1:8">
      <c r="A1303" s="786">
        <v>42623</v>
      </c>
      <c r="B1303" s="787" t="s">
        <v>13716</v>
      </c>
      <c r="C1303" s="788" t="s">
        <v>13402</v>
      </c>
      <c r="D1303" s="789"/>
      <c r="E1303" s="790">
        <v>130.66</v>
      </c>
      <c r="F1303" s="791" t="s">
        <v>9</v>
      </c>
      <c r="G1303" s="750">
        <f t="shared" si="82"/>
        <v>0</v>
      </c>
      <c r="H1303" s="775"/>
    </row>
    <row r="1304" spans="1:8">
      <c r="A1304" s="1484"/>
      <c r="B1304" s="1485"/>
      <c r="C1304" s="1486" t="s">
        <v>10832</v>
      </c>
      <c r="D1304" s="1487"/>
      <c r="E1304" s="1488">
        <f>SUM(E1305:E1311)</f>
        <v>2210.8249999999998</v>
      </c>
      <c r="F1304" s="1489"/>
      <c r="G1304" s="1490"/>
      <c r="H1304" s="775"/>
    </row>
    <row r="1305" spans="1:8">
      <c r="A1305" s="792">
        <v>42644</v>
      </c>
      <c r="B1305" s="793" t="s">
        <v>13726</v>
      </c>
      <c r="C1305" s="794" t="s">
        <v>13691</v>
      </c>
      <c r="D1305" s="795"/>
      <c r="E1305" s="796">
        <v>266.66000000000003</v>
      </c>
      <c r="F1305" s="797" t="s">
        <v>9</v>
      </c>
      <c r="G1305" s="798">
        <f t="shared" ref="G1305:G1311" si="83">IF(F1305="X",0,E1305)</f>
        <v>0</v>
      </c>
      <c r="H1305" s="775"/>
    </row>
    <row r="1306" spans="1:8">
      <c r="A1306" s="785">
        <v>42644</v>
      </c>
      <c r="B1306" s="337" t="s">
        <v>13727</v>
      </c>
      <c r="C1306" s="332" t="s">
        <v>13489</v>
      </c>
      <c r="D1306" s="134"/>
      <c r="E1306" s="135">
        <f>2025.38/4</f>
        <v>506.34500000000003</v>
      </c>
      <c r="F1306" s="46" t="s">
        <v>9</v>
      </c>
      <c r="G1306" s="749">
        <f t="shared" si="83"/>
        <v>0</v>
      </c>
      <c r="H1306" s="775"/>
    </row>
    <row r="1307" spans="1:8">
      <c r="A1307" s="785">
        <v>42644</v>
      </c>
      <c r="B1307" s="337" t="s">
        <v>13729</v>
      </c>
      <c r="C1307" s="332" t="s">
        <v>13618</v>
      </c>
      <c r="D1307" s="134"/>
      <c r="E1307" s="135">
        <v>319.99</v>
      </c>
      <c r="F1307" s="46" t="s">
        <v>9</v>
      </c>
      <c r="G1307" s="749">
        <f t="shared" si="83"/>
        <v>0</v>
      </c>
      <c r="H1307" s="775"/>
    </row>
    <row r="1308" spans="1:8">
      <c r="A1308" s="785">
        <v>42644</v>
      </c>
      <c r="B1308" s="337" t="s">
        <v>13728</v>
      </c>
      <c r="C1308" s="52" t="s">
        <v>13531</v>
      </c>
      <c r="D1308" s="63"/>
      <c r="E1308" s="135">
        <v>161.5</v>
      </c>
      <c r="F1308" s="46" t="s">
        <v>9</v>
      </c>
      <c r="G1308" s="749">
        <f t="shared" si="83"/>
        <v>0</v>
      </c>
      <c r="H1308" s="775"/>
    </row>
    <row r="1309" spans="1:8">
      <c r="A1309" s="785">
        <v>42644</v>
      </c>
      <c r="B1309" s="337" t="s">
        <v>13730</v>
      </c>
      <c r="C1309" s="332" t="s">
        <v>13521</v>
      </c>
      <c r="D1309" s="134"/>
      <c r="E1309" s="135">
        <v>526.66999999999996</v>
      </c>
      <c r="F1309" s="46" t="s">
        <v>9</v>
      </c>
      <c r="G1309" s="749">
        <f t="shared" si="83"/>
        <v>0</v>
      </c>
      <c r="H1309" s="775"/>
    </row>
    <row r="1310" spans="1:8">
      <c r="A1310" s="785">
        <v>42644</v>
      </c>
      <c r="B1310" s="337" t="s">
        <v>13731</v>
      </c>
      <c r="C1310" s="332" t="s">
        <v>13437</v>
      </c>
      <c r="D1310" s="134"/>
      <c r="E1310" s="135">
        <v>299</v>
      </c>
      <c r="F1310" s="46" t="s">
        <v>9</v>
      </c>
      <c r="G1310" s="749">
        <f t="shared" si="83"/>
        <v>0</v>
      </c>
      <c r="H1310" s="775"/>
    </row>
    <row r="1311" spans="1:8">
      <c r="A1311" s="785">
        <v>42653</v>
      </c>
      <c r="B1311" s="337" t="s">
        <v>13716</v>
      </c>
      <c r="C1311" s="332" t="s">
        <v>13409</v>
      </c>
      <c r="D1311" s="134"/>
      <c r="E1311" s="135">
        <v>130.66</v>
      </c>
      <c r="F1311" s="46" t="s">
        <v>9</v>
      </c>
      <c r="G1311" s="749">
        <f t="shared" si="83"/>
        <v>0</v>
      </c>
      <c r="H1311" s="775"/>
    </row>
    <row r="1312" spans="1:8">
      <c r="A1312" s="1491"/>
      <c r="B1312" s="1492"/>
      <c r="C1312" s="1493" t="s">
        <v>7311</v>
      </c>
      <c r="D1312" s="1494"/>
      <c r="E1312" s="1495">
        <f>SUM(E1313:E1321)</f>
        <v>2688.7950000000001</v>
      </c>
      <c r="F1312" s="1496"/>
      <c r="G1312" s="1497"/>
      <c r="H1312" s="775"/>
    </row>
    <row r="1313" spans="1:8">
      <c r="A1313" s="792">
        <v>42675</v>
      </c>
      <c r="B1313" s="793" t="s">
        <v>13727</v>
      </c>
      <c r="C1313" s="794" t="s">
        <v>13493</v>
      </c>
      <c r="D1313" s="795"/>
      <c r="E1313" s="796">
        <f>2025.38/4</f>
        <v>506.34500000000003</v>
      </c>
      <c r="F1313" s="797" t="s">
        <v>9</v>
      </c>
      <c r="G1313" s="798">
        <f t="shared" ref="G1313:G1321" si="84">IF(F1313="X",0,E1313)</f>
        <v>0</v>
      </c>
      <c r="H1313" s="775"/>
    </row>
    <row r="1314" spans="1:8">
      <c r="A1314" s="785">
        <v>42675</v>
      </c>
      <c r="B1314" s="337" t="s">
        <v>13729</v>
      </c>
      <c r="C1314" s="332" t="s">
        <v>13376</v>
      </c>
      <c r="D1314" s="134"/>
      <c r="E1314" s="135">
        <v>319.99</v>
      </c>
      <c r="F1314" s="46" t="s">
        <v>9</v>
      </c>
      <c r="G1314" s="749">
        <f t="shared" si="84"/>
        <v>0</v>
      </c>
      <c r="H1314" s="775"/>
    </row>
    <row r="1315" spans="1:8">
      <c r="A1315" s="785">
        <v>42675</v>
      </c>
      <c r="B1315" s="337" t="s">
        <v>13730</v>
      </c>
      <c r="C1315" s="332" t="s">
        <v>13531</v>
      </c>
      <c r="D1315" s="134"/>
      <c r="E1315" s="135">
        <v>526.66999999999996</v>
      </c>
      <c r="F1315" s="46" t="s">
        <v>9</v>
      </c>
      <c r="G1315" s="749">
        <f t="shared" si="84"/>
        <v>0</v>
      </c>
      <c r="H1315" s="775"/>
    </row>
    <row r="1316" spans="1:8">
      <c r="A1316" s="785">
        <v>42675</v>
      </c>
      <c r="B1316" s="337" t="s">
        <v>13731</v>
      </c>
      <c r="C1316" s="332" t="s">
        <v>13443</v>
      </c>
      <c r="D1316" s="134"/>
      <c r="E1316" s="135">
        <v>299</v>
      </c>
      <c r="F1316" s="46" t="s">
        <v>9</v>
      </c>
      <c r="G1316" s="749">
        <f t="shared" si="84"/>
        <v>0</v>
      </c>
      <c r="H1316" s="775"/>
    </row>
    <row r="1317" spans="1:8">
      <c r="A1317" s="785">
        <v>42675</v>
      </c>
      <c r="B1317" s="337" t="s">
        <v>13732</v>
      </c>
      <c r="C1317" s="332" t="s">
        <v>13459</v>
      </c>
      <c r="D1317" s="134"/>
      <c r="E1317" s="135">
        <f>1294.36/4</f>
        <v>323.58999999999997</v>
      </c>
      <c r="F1317" s="46" t="s">
        <v>9</v>
      </c>
      <c r="G1317" s="749">
        <f t="shared" si="84"/>
        <v>0</v>
      </c>
      <c r="H1317" s="775"/>
    </row>
    <row r="1318" spans="1:8">
      <c r="A1318" s="785">
        <v>42675</v>
      </c>
      <c r="B1318" s="337" t="s">
        <v>13733</v>
      </c>
      <c r="C1318" s="332" t="s">
        <v>13521</v>
      </c>
      <c r="D1318" s="134"/>
      <c r="E1318" s="135">
        <v>159</v>
      </c>
      <c r="F1318" s="46" t="s">
        <v>9</v>
      </c>
      <c r="G1318" s="749">
        <f t="shared" si="84"/>
        <v>0</v>
      </c>
      <c r="H1318" s="775"/>
    </row>
    <row r="1319" spans="1:8">
      <c r="A1319" s="792">
        <v>42675</v>
      </c>
      <c r="B1319" s="793" t="s">
        <v>13728</v>
      </c>
      <c r="C1319" s="794" t="s">
        <v>13538</v>
      </c>
      <c r="D1319" s="795"/>
      <c r="E1319" s="796">
        <v>161.5</v>
      </c>
      <c r="F1319" s="797" t="s">
        <v>9</v>
      </c>
      <c r="G1319" s="798">
        <f t="shared" si="84"/>
        <v>0</v>
      </c>
      <c r="H1319" s="775"/>
    </row>
    <row r="1320" spans="1:8">
      <c r="A1320" s="785">
        <v>42684</v>
      </c>
      <c r="B1320" s="337" t="s">
        <v>13734</v>
      </c>
      <c r="C1320" s="332" t="s">
        <v>13610</v>
      </c>
      <c r="D1320" s="134"/>
      <c r="E1320" s="135">
        <v>262.04000000000002</v>
      </c>
      <c r="F1320" s="46" t="s">
        <v>9</v>
      </c>
      <c r="G1320" s="749">
        <f t="shared" si="84"/>
        <v>0</v>
      </c>
      <c r="H1320" s="775"/>
    </row>
    <row r="1321" spans="1:8">
      <c r="A1321" s="939">
        <v>42684</v>
      </c>
      <c r="B1321" s="940" t="s">
        <v>13716</v>
      </c>
      <c r="C1321" s="941" t="s">
        <v>13414</v>
      </c>
      <c r="D1321" s="942"/>
      <c r="E1321" s="943">
        <v>130.66</v>
      </c>
      <c r="F1321" s="944" t="s">
        <v>9</v>
      </c>
      <c r="G1321" s="945">
        <f t="shared" si="84"/>
        <v>0</v>
      </c>
      <c r="H1321" s="775"/>
    </row>
    <row r="1322" spans="1:8">
      <c r="A1322" s="1484"/>
      <c r="B1322" s="1485"/>
      <c r="C1322" s="1486" t="s">
        <v>10912</v>
      </c>
      <c r="D1322" s="1487"/>
      <c r="E1322" s="1488">
        <f>SUM(E1323:E1330)</f>
        <v>2188.5899999999997</v>
      </c>
      <c r="F1322" s="1489"/>
      <c r="G1322" s="1490"/>
      <c r="H1322" s="775"/>
    </row>
    <row r="1323" spans="1:8">
      <c r="A1323" s="785">
        <v>42705</v>
      </c>
      <c r="B1323" s="337" t="s">
        <v>13729</v>
      </c>
      <c r="C1323" s="332" t="s">
        <v>13380</v>
      </c>
      <c r="D1323" s="134"/>
      <c r="E1323" s="135">
        <v>319.99</v>
      </c>
      <c r="F1323" s="46" t="s">
        <v>9</v>
      </c>
      <c r="G1323" s="749">
        <f t="shared" ref="G1323:G1330" si="85">IF(F1323="X",0,E1323)</f>
        <v>0</v>
      </c>
      <c r="H1323" s="775"/>
    </row>
    <row r="1324" spans="1:8">
      <c r="A1324" s="785">
        <v>42705</v>
      </c>
      <c r="B1324" s="337" t="s">
        <v>13731</v>
      </c>
      <c r="C1324" s="332" t="s">
        <v>13448</v>
      </c>
      <c r="D1324" s="134"/>
      <c r="E1324" s="135">
        <v>299</v>
      </c>
      <c r="F1324" s="46" t="s">
        <v>9</v>
      </c>
      <c r="G1324" s="749">
        <f t="shared" si="85"/>
        <v>0</v>
      </c>
      <c r="H1324" s="775"/>
    </row>
    <row r="1325" spans="1:8">
      <c r="A1325" s="785">
        <v>42705</v>
      </c>
      <c r="B1325" s="337" t="s">
        <v>13732</v>
      </c>
      <c r="C1325" s="332" t="s">
        <v>13481</v>
      </c>
      <c r="D1325" s="134"/>
      <c r="E1325" s="135">
        <f>1294.36/4</f>
        <v>323.58999999999997</v>
      </c>
      <c r="F1325" s="46" t="s">
        <v>9</v>
      </c>
      <c r="G1325" s="749">
        <f t="shared" si="85"/>
        <v>0</v>
      </c>
      <c r="H1325" s="775"/>
    </row>
    <row r="1326" spans="1:8">
      <c r="A1326" s="785">
        <v>42705</v>
      </c>
      <c r="B1326" s="337" t="s">
        <v>13733</v>
      </c>
      <c r="C1326" s="332" t="s">
        <v>13531</v>
      </c>
      <c r="D1326" s="134"/>
      <c r="E1326" s="135">
        <v>159</v>
      </c>
      <c r="F1326" s="46" t="s">
        <v>9</v>
      </c>
      <c r="G1326" s="749">
        <f t="shared" si="85"/>
        <v>0</v>
      </c>
      <c r="H1326" s="775"/>
    </row>
    <row r="1327" spans="1:8">
      <c r="A1327" s="785">
        <v>42705</v>
      </c>
      <c r="B1327" s="337" t="s">
        <v>13735</v>
      </c>
      <c r="C1327" s="332" t="s">
        <v>13606</v>
      </c>
      <c r="D1327" s="134"/>
      <c r="E1327" s="135">
        <v>58.3</v>
      </c>
      <c r="F1327" s="46" t="s">
        <v>9</v>
      </c>
      <c r="G1327" s="749">
        <f t="shared" si="85"/>
        <v>0</v>
      </c>
      <c r="H1327" s="775"/>
    </row>
    <row r="1328" spans="1:8">
      <c r="A1328" s="785">
        <v>42705</v>
      </c>
      <c r="B1328" s="337" t="s">
        <v>13736</v>
      </c>
      <c r="C1328" s="332" t="s">
        <v>13521</v>
      </c>
      <c r="D1328" s="134"/>
      <c r="E1328" s="135">
        <v>240</v>
      </c>
      <c r="F1328" s="46" t="s">
        <v>9</v>
      </c>
      <c r="G1328" s="749">
        <f>IF(F1328="X",0,E1328)</f>
        <v>0</v>
      </c>
      <c r="H1328" s="775"/>
    </row>
    <row r="1329" spans="1:8">
      <c r="A1329" s="792">
        <v>42705</v>
      </c>
      <c r="B1329" s="793" t="s">
        <v>13730</v>
      </c>
      <c r="C1329" s="794" t="s">
        <v>13538</v>
      </c>
      <c r="D1329" s="795"/>
      <c r="E1329" s="796">
        <v>526.66999999999996</v>
      </c>
      <c r="F1329" s="797" t="s">
        <v>9</v>
      </c>
      <c r="G1329" s="798">
        <f t="shared" si="85"/>
        <v>0</v>
      </c>
      <c r="H1329" s="775"/>
    </row>
    <row r="1330" spans="1:8">
      <c r="A1330" s="785">
        <v>42714</v>
      </c>
      <c r="B1330" s="337" t="s">
        <v>13734</v>
      </c>
      <c r="C1330" s="332" t="s">
        <v>13676</v>
      </c>
      <c r="D1330" s="134"/>
      <c r="E1330" s="135">
        <v>262.04000000000002</v>
      </c>
      <c r="F1330" s="46" t="s">
        <v>9</v>
      </c>
      <c r="G1330" s="749">
        <f t="shared" si="85"/>
        <v>0</v>
      </c>
      <c r="H1330" s="775"/>
    </row>
    <row r="1331" spans="1:8">
      <c r="A1331" s="1491"/>
      <c r="B1331" s="1492"/>
      <c r="C1331" s="1493" t="s">
        <v>13737</v>
      </c>
      <c r="D1331" s="1494"/>
      <c r="E1331" s="1495">
        <f>SUM(E1332:E1345)</f>
        <v>3095.1206666666662</v>
      </c>
      <c r="F1331" s="1496"/>
      <c r="G1331" s="1497"/>
      <c r="H1331" s="775"/>
    </row>
    <row r="1332" spans="1:8">
      <c r="A1332" s="785">
        <v>42736</v>
      </c>
      <c r="B1332" s="337" t="s">
        <v>13731</v>
      </c>
      <c r="C1332" s="332" t="s">
        <v>13454</v>
      </c>
      <c r="D1332" s="134"/>
      <c r="E1332" s="135">
        <v>299</v>
      </c>
      <c r="F1332" s="46" t="s">
        <v>9</v>
      </c>
      <c r="G1332" s="749">
        <f t="shared" ref="G1332:G1345" si="86">IF(F1332="X",0,E1332)</f>
        <v>0</v>
      </c>
      <c r="H1332" s="775"/>
    </row>
    <row r="1333" spans="1:8">
      <c r="A1333" s="785">
        <v>42736</v>
      </c>
      <c r="B1333" s="337" t="s">
        <v>13729</v>
      </c>
      <c r="C1333" s="332" t="s">
        <v>13384</v>
      </c>
      <c r="D1333" s="134"/>
      <c r="E1333" s="135">
        <v>319.99</v>
      </c>
      <c r="F1333" s="46" t="s">
        <v>9</v>
      </c>
      <c r="G1333" s="749">
        <f t="shared" si="86"/>
        <v>0</v>
      </c>
      <c r="H1333" s="775"/>
    </row>
    <row r="1334" spans="1:8">
      <c r="A1334" s="785">
        <v>42736</v>
      </c>
      <c r="B1334" s="337" t="s">
        <v>13732</v>
      </c>
      <c r="C1334" s="332" t="s">
        <v>13489</v>
      </c>
      <c r="D1334" s="134"/>
      <c r="E1334" s="135">
        <f>1294.36/4</f>
        <v>323.58999999999997</v>
      </c>
      <c r="F1334" s="46" t="s">
        <v>9</v>
      </c>
      <c r="G1334" s="749">
        <f t="shared" si="86"/>
        <v>0</v>
      </c>
      <c r="H1334" s="775"/>
    </row>
    <row r="1335" spans="1:8">
      <c r="A1335" s="785">
        <v>42736</v>
      </c>
      <c r="B1335" s="337" t="s">
        <v>13735</v>
      </c>
      <c r="C1335" s="332" t="s">
        <v>13657</v>
      </c>
      <c r="D1335" s="134"/>
      <c r="E1335" s="135">
        <v>58.3</v>
      </c>
      <c r="F1335" s="46" t="s">
        <v>9</v>
      </c>
      <c r="G1335" s="749">
        <f t="shared" si="86"/>
        <v>0</v>
      </c>
      <c r="H1335" s="775"/>
    </row>
    <row r="1336" spans="1:8">
      <c r="A1336" s="785">
        <v>42736</v>
      </c>
      <c r="B1336" s="337" t="s">
        <v>13736</v>
      </c>
      <c r="C1336" s="332" t="s">
        <v>13531</v>
      </c>
      <c r="D1336" s="134"/>
      <c r="E1336" s="135">
        <v>240</v>
      </c>
      <c r="F1336" s="46" t="s">
        <v>9</v>
      </c>
      <c r="G1336" s="749">
        <f t="shared" si="86"/>
        <v>0</v>
      </c>
      <c r="H1336" s="775"/>
    </row>
    <row r="1337" spans="1:8">
      <c r="A1337" s="785">
        <v>42736</v>
      </c>
      <c r="B1337" s="337" t="s">
        <v>13738</v>
      </c>
      <c r="C1337" s="332" t="s">
        <v>13614</v>
      </c>
      <c r="D1337" s="134"/>
      <c r="E1337" s="135">
        <f>6385.34/10</f>
        <v>638.53399999999999</v>
      </c>
      <c r="F1337" s="46" t="s">
        <v>9</v>
      </c>
      <c r="G1337" s="749">
        <f t="shared" si="86"/>
        <v>0</v>
      </c>
      <c r="H1337" s="775"/>
    </row>
    <row r="1338" spans="1:8">
      <c r="A1338" s="785">
        <v>42736</v>
      </c>
      <c r="B1338" s="337" t="s">
        <v>13739</v>
      </c>
      <c r="C1338" s="332" t="s">
        <v>13521</v>
      </c>
      <c r="D1338" s="134"/>
      <c r="E1338" s="135">
        <f xml:space="preserve"> 551.78/3</f>
        <v>183.92666666666665</v>
      </c>
      <c r="F1338" s="46" t="s">
        <v>9</v>
      </c>
      <c r="G1338" s="749">
        <f t="shared" si="86"/>
        <v>0</v>
      </c>
      <c r="H1338" s="775"/>
    </row>
    <row r="1339" spans="1:8">
      <c r="A1339" s="785">
        <v>42736</v>
      </c>
      <c r="B1339" s="337" t="s">
        <v>13740</v>
      </c>
      <c r="C1339" s="332" t="s">
        <v>13521</v>
      </c>
      <c r="D1339" s="134"/>
      <c r="E1339" s="135">
        <v>128.66999999999999</v>
      </c>
      <c r="F1339" s="46" t="s">
        <v>9</v>
      </c>
      <c r="G1339" s="749">
        <f t="shared" si="86"/>
        <v>0</v>
      </c>
      <c r="H1339" s="775"/>
    </row>
    <row r="1340" spans="1:8">
      <c r="A1340" s="785">
        <v>42736</v>
      </c>
      <c r="B1340" s="337" t="s">
        <v>13741</v>
      </c>
      <c r="C1340" s="332" t="s">
        <v>13521</v>
      </c>
      <c r="D1340" s="134"/>
      <c r="E1340" s="135">
        <v>273.33</v>
      </c>
      <c r="F1340" s="46" t="s">
        <v>9</v>
      </c>
      <c r="G1340" s="749">
        <f t="shared" si="86"/>
        <v>0</v>
      </c>
      <c r="H1340" s="775"/>
    </row>
    <row r="1341" spans="1:8">
      <c r="A1341" s="785">
        <v>42736</v>
      </c>
      <c r="B1341" s="337" t="s">
        <v>13742</v>
      </c>
      <c r="C1341" s="332" t="s">
        <v>13521</v>
      </c>
      <c r="D1341" s="134"/>
      <c r="E1341" s="135">
        <v>113.2</v>
      </c>
      <c r="F1341" s="46" t="s">
        <v>9</v>
      </c>
      <c r="G1341" s="749">
        <f t="shared" si="86"/>
        <v>0</v>
      </c>
      <c r="H1341" s="775"/>
    </row>
    <row r="1342" spans="1:8">
      <c r="A1342" s="785">
        <v>42736</v>
      </c>
      <c r="B1342" s="337" t="s">
        <v>13743</v>
      </c>
      <c r="C1342" s="332" t="s">
        <v>13521</v>
      </c>
      <c r="D1342" s="134"/>
      <c r="E1342" s="135">
        <v>47.77</v>
      </c>
      <c r="F1342" s="46" t="s">
        <v>9</v>
      </c>
      <c r="G1342" s="749">
        <f t="shared" si="86"/>
        <v>0</v>
      </c>
      <c r="H1342" s="775"/>
    </row>
    <row r="1343" spans="1:8">
      <c r="A1343" s="785">
        <v>42736</v>
      </c>
      <c r="B1343" s="337" t="s">
        <v>13744</v>
      </c>
      <c r="C1343" s="332" t="s">
        <v>13521</v>
      </c>
      <c r="D1343" s="134"/>
      <c r="E1343" s="135">
        <v>47.77</v>
      </c>
      <c r="F1343" s="46" t="s">
        <v>9</v>
      </c>
      <c r="G1343" s="749">
        <f t="shared" si="86"/>
        <v>0</v>
      </c>
      <c r="H1343" s="775"/>
    </row>
    <row r="1344" spans="1:8">
      <c r="A1344" s="792">
        <v>42736</v>
      </c>
      <c r="B1344" s="793" t="s">
        <v>13733</v>
      </c>
      <c r="C1344" s="794" t="s">
        <v>13538</v>
      </c>
      <c r="D1344" s="795"/>
      <c r="E1344" s="796">
        <v>159</v>
      </c>
      <c r="F1344" s="797" t="s">
        <v>9</v>
      </c>
      <c r="G1344" s="798">
        <f t="shared" si="86"/>
        <v>0</v>
      </c>
      <c r="H1344" s="775"/>
    </row>
    <row r="1345" spans="1:8">
      <c r="A1345" s="786">
        <v>42745</v>
      </c>
      <c r="B1345" s="787" t="s">
        <v>13734</v>
      </c>
      <c r="C1345" s="788" t="s">
        <v>13680</v>
      </c>
      <c r="D1345" s="789"/>
      <c r="E1345" s="790">
        <v>262.04000000000002</v>
      </c>
      <c r="F1345" s="791" t="s">
        <v>9</v>
      </c>
      <c r="G1345" s="750">
        <f t="shared" si="86"/>
        <v>0</v>
      </c>
      <c r="H1345" s="775"/>
    </row>
    <row r="1346" spans="1:8">
      <c r="A1346" s="1484"/>
      <c r="B1346" s="1485"/>
      <c r="C1346" s="1486" t="s">
        <v>13745</v>
      </c>
      <c r="D1346" s="1487"/>
      <c r="E1346" s="1488">
        <f>SUM(E1347:E1360)</f>
        <v>3075.8706666666671</v>
      </c>
      <c r="F1346" s="1489"/>
      <c r="G1346" s="1490"/>
      <c r="H1346" s="775"/>
    </row>
    <row r="1347" spans="1:8">
      <c r="A1347" s="785">
        <v>42767</v>
      </c>
      <c r="B1347" s="337" t="s">
        <v>13731</v>
      </c>
      <c r="C1347" s="332" t="s">
        <v>13467</v>
      </c>
      <c r="D1347" s="134"/>
      <c r="E1347" s="135">
        <v>299</v>
      </c>
      <c r="F1347" s="46" t="s">
        <v>9</v>
      </c>
      <c r="G1347" s="749">
        <f t="shared" ref="G1347:G1360" si="87">IF(F1347="X",0,E1347)</f>
        <v>0</v>
      </c>
      <c r="H1347" s="775"/>
    </row>
    <row r="1348" spans="1:8">
      <c r="A1348" s="785">
        <v>42767</v>
      </c>
      <c r="B1348" s="337" t="s">
        <v>13729</v>
      </c>
      <c r="C1348" s="332" t="s">
        <v>13387</v>
      </c>
      <c r="D1348" s="134"/>
      <c r="E1348" s="135">
        <v>319.99</v>
      </c>
      <c r="F1348" s="46" t="s">
        <v>9</v>
      </c>
      <c r="G1348" s="749">
        <f t="shared" si="87"/>
        <v>0</v>
      </c>
      <c r="H1348" s="775"/>
    </row>
    <row r="1349" spans="1:8">
      <c r="A1349" s="785">
        <v>42767</v>
      </c>
      <c r="B1349" s="337" t="s">
        <v>13738</v>
      </c>
      <c r="C1349" s="332" t="s">
        <v>13618</v>
      </c>
      <c r="D1349" s="134"/>
      <c r="E1349" s="135">
        <f>6385.34/10</f>
        <v>638.53399999999999</v>
      </c>
      <c r="F1349" s="46" t="s">
        <v>9</v>
      </c>
      <c r="G1349" s="749">
        <f t="shared" si="87"/>
        <v>0</v>
      </c>
      <c r="H1349" s="775"/>
    </row>
    <row r="1350" spans="1:8">
      <c r="A1350" s="785">
        <v>42767</v>
      </c>
      <c r="B1350" s="337" t="s">
        <v>13739</v>
      </c>
      <c r="C1350" s="332" t="s">
        <v>13531</v>
      </c>
      <c r="D1350" s="134"/>
      <c r="E1350" s="135">
        <f xml:space="preserve"> 551.78/3</f>
        <v>183.92666666666665</v>
      </c>
      <c r="F1350" s="46" t="s">
        <v>9</v>
      </c>
      <c r="G1350" s="749">
        <f t="shared" si="87"/>
        <v>0</v>
      </c>
      <c r="H1350" s="775"/>
    </row>
    <row r="1351" spans="1:8">
      <c r="A1351" s="785">
        <v>42767</v>
      </c>
      <c r="B1351" s="337" t="s">
        <v>13740</v>
      </c>
      <c r="C1351" s="332" t="s">
        <v>13531</v>
      </c>
      <c r="D1351" s="134"/>
      <c r="E1351" s="135">
        <v>128.66</v>
      </c>
      <c r="F1351" s="46" t="s">
        <v>9</v>
      </c>
      <c r="G1351" s="749">
        <f t="shared" si="87"/>
        <v>0</v>
      </c>
      <c r="H1351" s="775"/>
    </row>
    <row r="1352" spans="1:8">
      <c r="A1352" s="785">
        <v>42767</v>
      </c>
      <c r="B1352" s="337" t="s">
        <v>13741</v>
      </c>
      <c r="C1352" s="332" t="s">
        <v>13531</v>
      </c>
      <c r="D1352" s="134"/>
      <c r="E1352" s="135">
        <v>273.32</v>
      </c>
      <c r="F1352" s="46" t="s">
        <v>9</v>
      </c>
      <c r="G1352" s="749">
        <f t="shared" si="87"/>
        <v>0</v>
      </c>
      <c r="H1352" s="775"/>
    </row>
    <row r="1353" spans="1:8">
      <c r="A1353" s="785">
        <v>42767</v>
      </c>
      <c r="B1353" s="337" t="s">
        <v>13742</v>
      </c>
      <c r="C1353" s="332" t="s">
        <v>13531</v>
      </c>
      <c r="D1353" s="134"/>
      <c r="E1353" s="135">
        <v>113.2</v>
      </c>
      <c r="F1353" s="46" t="s">
        <v>9</v>
      </c>
      <c r="G1353" s="749">
        <f t="shared" si="87"/>
        <v>0</v>
      </c>
      <c r="H1353" s="775"/>
    </row>
    <row r="1354" spans="1:8">
      <c r="A1354" s="785">
        <v>42767</v>
      </c>
      <c r="B1354" s="337" t="s">
        <v>13743</v>
      </c>
      <c r="C1354" s="332" t="s">
        <v>13531</v>
      </c>
      <c r="D1354" s="134"/>
      <c r="E1354" s="135">
        <v>47.77</v>
      </c>
      <c r="F1354" s="46" t="s">
        <v>9</v>
      </c>
      <c r="G1354" s="749">
        <f t="shared" si="87"/>
        <v>0</v>
      </c>
      <c r="H1354" s="775"/>
    </row>
    <row r="1355" spans="1:8">
      <c r="A1355" s="785">
        <v>42767</v>
      </c>
      <c r="B1355" s="337" t="s">
        <v>13744</v>
      </c>
      <c r="C1355" s="332" t="s">
        <v>13531</v>
      </c>
      <c r="D1355" s="134"/>
      <c r="E1355" s="135">
        <v>47.77</v>
      </c>
      <c r="F1355" s="46" t="s">
        <v>9</v>
      </c>
      <c r="G1355" s="749">
        <f t="shared" si="87"/>
        <v>0</v>
      </c>
      <c r="H1355" s="775"/>
    </row>
    <row r="1356" spans="1:8">
      <c r="A1356" s="792">
        <v>42767</v>
      </c>
      <c r="B1356" s="793" t="s">
        <v>13736</v>
      </c>
      <c r="C1356" s="794" t="s">
        <v>13538</v>
      </c>
      <c r="D1356" s="795"/>
      <c r="E1356" s="796">
        <v>240</v>
      </c>
      <c r="F1356" s="797" t="s">
        <v>9</v>
      </c>
      <c r="G1356" s="798">
        <f>IF(F1356="X",0,E1356)</f>
        <v>0</v>
      </c>
      <c r="H1356" s="775"/>
    </row>
    <row r="1357" spans="1:8">
      <c r="A1357" s="792">
        <v>42767</v>
      </c>
      <c r="B1357" s="793" t="s">
        <v>13735</v>
      </c>
      <c r="C1357" s="794" t="s">
        <v>13691</v>
      </c>
      <c r="D1357" s="795"/>
      <c r="E1357" s="796">
        <v>58.3</v>
      </c>
      <c r="F1357" s="797" t="s">
        <v>9</v>
      </c>
      <c r="G1357" s="798">
        <f t="shared" si="87"/>
        <v>0</v>
      </c>
      <c r="H1357" s="775"/>
    </row>
    <row r="1358" spans="1:8">
      <c r="A1358" s="792">
        <v>42767</v>
      </c>
      <c r="B1358" s="793" t="s">
        <v>13732</v>
      </c>
      <c r="C1358" s="794" t="s">
        <v>13493</v>
      </c>
      <c r="D1358" s="795"/>
      <c r="E1358" s="796">
        <f>1294.36/4</f>
        <v>323.58999999999997</v>
      </c>
      <c r="F1358" s="797" t="s">
        <v>9</v>
      </c>
      <c r="G1358" s="798">
        <f t="shared" si="87"/>
        <v>0</v>
      </c>
      <c r="H1358" s="775"/>
    </row>
    <row r="1359" spans="1:8">
      <c r="A1359" s="785">
        <v>42776</v>
      </c>
      <c r="B1359" s="337" t="s">
        <v>13734</v>
      </c>
      <c r="C1359" s="332" t="s">
        <v>13681</v>
      </c>
      <c r="D1359" s="134"/>
      <c r="E1359" s="135">
        <v>262.04000000000002</v>
      </c>
      <c r="F1359" s="46" t="s">
        <v>9</v>
      </c>
      <c r="G1359" s="749">
        <f t="shared" si="87"/>
        <v>0</v>
      </c>
      <c r="H1359" s="775"/>
    </row>
    <row r="1360" spans="1:8">
      <c r="A1360" s="786">
        <v>42776</v>
      </c>
      <c r="B1360" s="787" t="s">
        <v>13746</v>
      </c>
      <c r="C1360" s="788" t="s">
        <v>13747</v>
      </c>
      <c r="D1360" s="789"/>
      <c r="E1360" s="790">
        <v>139.77000000000001</v>
      </c>
      <c r="F1360" s="791" t="s">
        <v>9</v>
      </c>
      <c r="G1360" s="750">
        <f t="shared" si="87"/>
        <v>0</v>
      </c>
      <c r="H1360" s="775"/>
    </row>
    <row r="1361" spans="1:8">
      <c r="A1361" s="1484"/>
      <c r="B1361" s="1485"/>
      <c r="C1361" s="1486" t="s">
        <v>13748</v>
      </c>
      <c r="D1361" s="1487"/>
      <c r="E1361" s="1488">
        <f>SUM(E1362:E1374)</f>
        <v>3567.1506666666669</v>
      </c>
      <c r="F1361" s="1489"/>
      <c r="G1361" s="1490"/>
      <c r="H1361" s="775"/>
    </row>
    <row r="1362" spans="1:8">
      <c r="A1362" s="785">
        <v>42795</v>
      </c>
      <c r="B1362" s="337" t="s">
        <v>13738</v>
      </c>
      <c r="C1362" s="332" t="s">
        <v>13621</v>
      </c>
      <c r="D1362" s="134"/>
      <c r="E1362" s="135">
        <f>6385.34/10</f>
        <v>638.53399999999999</v>
      </c>
      <c r="F1362" s="46" t="s">
        <v>9</v>
      </c>
      <c r="G1362" s="749">
        <f t="shared" ref="G1362:G1374" si="88">IF(F1362="X",0,E1362)</f>
        <v>0</v>
      </c>
      <c r="H1362" s="775"/>
    </row>
    <row r="1363" spans="1:8">
      <c r="A1363" s="792">
        <v>42795</v>
      </c>
      <c r="B1363" s="793" t="s">
        <v>13743</v>
      </c>
      <c r="C1363" s="794" t="s">
        <v>13538</v>
      </c>
      <c r="D1363" s="795"/>
      <c r="E1363" s="796">
        <v>47.77</v>
      </c>
      <c r="F1363" s="797" t="s">
        <v>9</v>
      </c>
      <c r="G1363" s="798">
        <f t="shared" si="88"/>
        <v>0</v>
      </c>
      <c r="H1363" s="775"/>
    </row>
    <row r="1364" spans="1:8">
      <c r="A1364" s="792">
        <v>42795</v>
      </c>
      <c r="B1364" s="793" t="s">
        <v>13744</v>
      </c>
      <c r="C1364" s="794" t="s">
        <v>13538</v>
      </c>
      <c r="D1364" s="795"/>
      <c r="E1364" s="796">
        <v>47.77</v>
      </c>
      <c r="F1364" s="797" t="s">
        <v>9</v>
      </c>
      <c r="G1364" s="798">
        <f t="shared" si="88"/>
        <v>0</v>
      </c>
      <c r="H1364" s="775"/>
    </row>
    <row r="1365" spans="1:8">
      <c r="A1365" s="792">
        <v>42795</v>
      </c>
      <c r="B1365" s="793" t="s">
        <v>13741</v>
      </c>
      <c r="C1365" s="794" t="s">
        <v>13538</v>
      </c>
      <c r="D1365" s="795"/>
      <c r="E1365" s="796">
        <v>273.32</v>
      </c>
      <c r="F1365" s="797" t="s">
        <v>9</v>
      </c>
      <c r="G1365" s="798">
        <f t="shared" si="88"/>
        <v>0</v>
      </c>
      <c r="H1365" s="775"/>
    </row>
    <row r="1366" spans="1:8">
      <c r="A1366" s="792">
        <v>42795</v>
      </c>
      <c r="B1366" s="793" t="s">
        <v>13742</v>
      </c>
      <c r="C1366" s="794" t="s">
        <v>13538</v>
      </c>
      <c r="D1366" s="795"/>
      <c r="E1366" s="796">
        <v>113.2</v>
      </c>
      <c r="F1366" s="797" t="s">
        <v>9</v>
      </c>
      <c r="G1366" s="798">
        <f t="shared" si="88"/>
        <v>0</v>
      </c>
      <c r="H1366" s="775"/>
    </row>
    <row r="1367" spans="1:8">
      <c r="A1367" s="792">
        <v>42795</v>
      </c>
      <c r="B1367" s="793" t="s">
        <v>13740</v>
      </c>
      <c r="C1367" s="794" t="s">
        <v>13538</v>
      </c>
      <c r="D1367" s="795"/>
      <c r="E1367" s="796">
        <v>128.66</v>
      </c>
      <c r="F1367" s="797" t="s">
        <v>9</v>
      </c>
      <c r="G1367" s="798">
        <f t="shared" si="88"/>
        <v>0</v>
      </c>
      <c r="H1367" s="775"/>
    </row>
    <row r="1368" spans="1:8">
      <c r="A1368" s="792">
        <v>42795</v>
      </c>
      <c r="B1368" s="793" t="s">
        <v>13739</v>
      </c>
      <c r="C1368" s="794" t="s">
        <v>13538</v>
      </c>
      <c r="D1368" s="795"/>
      <c r="E1368" s="796">
        <f xml:space="preserve"> 551.78/3</f>
        <v>183.92666666666665</v>
      </c>
      <c r="F1368" s="797" t="s">
        <v>9</v>
      </c>
      <c r="G1368" s="798">
        <f t="shared" si="88"/>
        <v>0</v>
      </c>
      <c r="H1368" s="775"/>
    </row>
    <row r="1369" spans="1:8">
      <c r="A1369" s="792">
        <v>42795</v>
      </c>
      <c r="B1369" s="793" t="s">
        <v>13731</v>
      </c>
      <c r="C1369" s="794" t="s">
        <v>13475</v>
      </c>
      <c r="D1369" s="795"/>
      <c r="E1369" s="796">
        <v>299</v>
      </c>
      <c r="F1369" s="797" t="s">
        <v>9</v>
      </c>
      <c r="G1369" s="798">
        <f t="shared" si="88"/>
        <v>0</v>
      </c>
      <c r="H1369" s="775"/>
    </row>
    <row r="1370" spans="1:8">
      <c r="A1370" s="785">
        <v>42795</v>
      </c>
      <c r="B1370" s="337" t="s">
        <v>13749</v>
      </c>
      <c r="C1370" s="332" t="s">
        <v>13630</v>
      </c>
      <c r="D1370" s="134"/>
      <c r="E1370" s="135">
        <f>2779.02/6</f>
        <v>463.17</v>
      </c>
      <c r="F1370" s="46" t="s">
        <v>9</v>
      </c>
      <c r="G1370" s="749">
        <f t="shared" si="88"/>
        <v>0</v>
      </c>
      <c r="H1370" s="775"/>
    </row>
    <row r="1371" spans="1:8">
      <c r="A1371" s="785">
        <v>42795</v>
      </c>
      <c r="B1371" s="337" t="s">
        <v>13729</v>
      </c>
      <c r="C1371" s="332" t="s">
        <v>13397</v>
      </c>
      <c r="D1371" s="134"/>
      <c r="E1371" s="135">
        <v>319.99</v>
      </c>
      <c r="F1371" s="46" t="s">
        <v>9</v>
      </c>
      <c r="G1371" s="749">
        <f t="shared" si="88"/>
        <v>0</v>
      </c>
      <c r="H1371" s="775"/>
    </row>
    <row r="1372" spans="1:8">
      <c r="A1372" s="785">
        <v>42804</v>
      </c>
      <c r="B1372" s="337" t="s">
        <v>13734</v>
      </c>
      <c r="C1372" s="332" t="s">
        <v>13684</v>
      </c>
      <c r="D1372" s="134"/>
      <c r="E1372" s="135">
        <v>262.04000000000002</v>
      </c>
      <c r="F1372" s="46" t="s">
        <v>9</v>
      </c>
      <c r="G1372" s="749">
        <f t="shared" si="88"/>
        <v>0</v>
      </c>
      <c r="H1372" s="775"/>
    </row>
    <row r="1373" spans="1:8">
      <c r="A1373" s="785">
        <v>42804</v>
      </c>
      <c r="B1373" s="337" t="s">
        <v>13746</v>
      </c>
      <c r="C1373" s="332" t="s">
        <v>13750</v>
      </c>
      <c r="D1373" s="134"/>
      <c r="E1373" s="135">
        <v>139.77000000000001</v>
      </c>
      <c r="F1373" s="46" t="s">
        <v>9</v>
      </c>
      <c r="G1373" s="749">
        <f t="shared" si="88"/>
        <v>0</v>
      </c>
      <c r="H1373" s="775"/>
    </row>
    <row r="1374" spans="1:8">
      <c r="A1374" s="786">
        <v>42825</v>
      </c>
      <c r="B1374" s="787" t="s">
        <v>13751</v>
      </c>
      <c r="C1374" s="788" t="s">
        <v>13356</v>
      </c>
      <c r="D1374" s="789"/>
      <c r="E1374" s="790">
        <v>650</v>
      </c>
      <c r="F1374" s="791" t="s">
        <v>9</v>
      </c>
      <c r="G1374" s="750">
        <f t="shared" si="88"/>
        <v>0</v>
      </c>
      <c r="H1374" s="775"/>
    </row>
    <row r="1375" spans="1:8">
      <c r="A1375" s="1484"/>
      <c r="B1375" s="1485"/>
      <c r="C1375" s="1486" t="s">
        <v>13752</v>
      </c>
      <c r="D1375" s="1487"/>
      <c r="E1375" s="1488">
        <f>SUM(E1376:E1382)</f>
        <v>2372.5639999999999</v>
      </c>
      <c r="F1375" s="1489"/>
      <c r="G1375" s="1490"/>
      <c r="H1375" s="775"/>
    </row>
    <row r="1376" spans="1:8">
      <c r="A1376" s="785">
        <v>42826</v>
      </c>
      <c r="B1376" s="337" t="s">
        <v>13738</v>
      </c>
      <c r="C1376" s="332" t="s">
        <v>13625</v>
      </c>
      <c r="D1376" s="134"/>
      <c r="E1376" s="135">
        <f>6385.34/10</f>
        <v>638.53399999999999</v>
      </c>
      <c r="F1376" s="46" t="s">
        <v>9</v>
      </c>
      <c r="G1376" s="749">
        <f t="shared" ref="G1376:G1382" si="89">IF(F1376="X",0,E1376)</f>
        <v>0</v>
      </c>
      <c r="H1376" s="775"/>
    </row>
    <row r="1377" spans="1:8">
      <c r="A1377" s="785">
        <v>42826</v>
      </c>
      <c r="B1377" s="337" t="s">
        <v>13729</v>
      </c>
      <c r="C1377" s="332" t="s">
        <v>13402</v>
      </c>
      <c r="D1377" s="134"/>
      <c r="E1377" s="135">
        <v>319.99</v>
      </c>
      <c r="F1377" s="46" t="s">
        <v>9</v>
      </c>
      <c r="G1377" s="749">
        <f t="shared" si="89"/>
        <v>0</v>
      </c>
      <c r="H1377" s="775"/>
    </row>
    <row r="1378" spans="1:8">
      <c r="A1378" s="785">
        <v>42826</v>
      </c>
      <c r="B1378" s="337" t="s">
        <v>13749</v>
      </c>
      <c r="C1378" s="332" t="s">
        <v>13634</v>
      </c>
      <c r="D1378" s="134"/>
      <c r="E1378" s="135">
        <f>2779.02/6</f>
        <v>463.17</v>
      </c>
      <c r="F1378" s="46" t="s">
        <v>9</v>
      </c>
      <c r="G1378" s="749">
        <f t="shared" si="89"/>
        <v>0</v>
      </c>
      <c r="H1378" s="775"/>
    </row>
    <row r="1379" spans="1:8">
      <c r="A1379" s="785">
        <v>42826</v>
      </c>
      <c r="B1379" s="337" t="s">
        <v>13753</v>
      </c>
      <c r="C1379" s="332" t="s">
        <v>13606</v>
      </c>
      <c r="D1379" s="134"/>
      <c r="E1379" s="135">
        <f>429.9/3</f>
        <v>143.29999999999998</v>
      </c>
      <c r="F1379" s="46" t="s">
        <v>9</v>
      </c>
      <c r="G1379" s="749">
        <f t="shared" si="89"/>
        <v>0</v>
      </c>
      <c r="H1379" s="775"/>
    </row>
    <row r="1380" spans="1:8">
      <c r="A1380" s="785">
        <v>42835</v>
      </c>
      <c r="B1380" s="337" t="s">
        <v>13734</v>
      </c>
      <c r="C1380" s="332" t="s">
        <v>13622</v>
      </c>
      <c r="D1380" s="134"/>
      <c r="E1380" s="135">
        <v>262.04000000000002</v>
      </c>
      <c r="F1380" s="46" t="s">
        <v>9</v>
      </c>
      <c r="G1380" s="749">
        <f t="shared" si="89"/>
        <v>0</v>
      </c>
      <c r="H1380" s="775"/>
    </row>
    <row r="1381" spans="1:8">
      <c r="A1381" s="785">
        <v>42835</v>
      </c>
      <c r="B1381" s="337" t="s">
        <v>13746</v>
      </c>
      <c r="C1381" s="332" t="s">
        <v>13754</v>
      </c>
      <c r="D1381" s="134"/>
      <c r="E1381" s="135">
        <v>139.77000000000001</v>
      </c>
      <c r="F1381" s="46" t="s">
        <v>9</v>
      </c>
      <c r="G1381" s="749">
        <f t="shared" si="89"/>
        <v>0</v>
      </c>
      <c r="H1381" s="775"/>
    </row>
    <row r="1382" spans="1:8">
      <c r="A1382" s="786">
        <v>42853</v>
      </c>
      <c r="B1382" s="787" t="s">
        <v>13755</v>
      </c>
      <c r="C1382" s="788" t="s">
        <v>13756</v>
      </c>
      <c r="D1382" s="789"/>
      <c r="E1382" s="790">
        <v>405.76</v>
      </c>
      <c r="F1382" s="791" t="s">
        <v>120</v>
      </c>
      <c r="G1382" s="750">
        <f t="shared" si="89"/>
        <v>0</v>
      </c>
      <c r="H1382" s="775"/>
    </row>
    <row r="1383" spans="1:8">
      <c r="A1383" s="1491"/>
      <c r="B1383" s="1492"/>
      <c r="C1383" s="1493" t="s">
        <v>13757</v>
      </c>
      <c r="D1383" s="1494"/>
      <c r="E1383" s="1495">
        <f>SUM(E1384:E1392)</f>
        <v>3334.9439999999995</v>
      </c>
      <c r="F1383" s="1496"/>
      <c r="G1383" s="1497"/>
      <c r="H1383" s="775"/>
    </row>
    <row r="1384" spans="1:8">
      <c r="A1384" s="785">
        <v>42856</v>
      </c>
      <c r="B1384" s="337" t="s">
        <v>13738</v>
      </c>
      <c r="C1384" s="332" t="s">
        <v>13628</v>
      </c>
      <c r="D1384" s="134"/>
      <c r="E1384" s="135">
        <f>6385.34/10</f>
        <v>638.53399999999999</v>
      </c>
      <c r="F1384" s="46" t="s">
        <v>9</v>
      </c>
      <c r="G1384" s="749">
        <f t="shared" ref="G1384:G1392" si="90">IF(F1384="X",0,E1384)</f>
        <v>0</v>
      </c>
      <c r="H1384" s="775"/>
    </row>
    <row r="1385" spans="1:8">
      <c r="A1385" s="785">
        <v>42856</v>
      </c>
      <c r="B1385" s="337" t="s">
        <v>13729</v>
      </c>
      <c r="C1385" s="332" t="s">
        <v>13409</v>
      </c>
      <c r="D1385" s="134"/>
      <c r="E1385" s="135">
        <v>319.99</v>
      </c>
      <c r="F1385" s="46" t="s">
        <v>9</v>
      </c>
      <c r="G1385" s="749">
        <f t="shared" si="90"/>
        <v>0</v>
      </c>
      <c r="H1385" s="775"/>
    </row>
    <row r="1386" spans="1:8">
      <c r="A1386" s="785">
        <v>42856</v>
      </c>
      <c r="B1386" s="337" t="s">
        <v>13749</v>
      </c>
      <c r="C1386" s="332" t="s">
        <v>13695</v>
      </c>
      <c r="D1386" s="134"/>
      <c r="E1386" s="135">
        <f>2779.02/6</f>
        <v>463.17</v>
      </c>
      <c r="F1386" s="46" t="s">
        <v>9</v>
      </c>
      <c r="G1386" s="749">
        <f t="shared" si="90"/>
        <v>0</v>
      </c>
      <c r="H1386" s="775"/>
    </row>
    <row r="1387" spans="1:8">
      <c r="A1387" s="785">
        <v>42856</v>
      </c>
      <c r="B1387" s="337" t="s">
        <v>13753</v>
      </c>
      <c r="C1387" s="332" t="s">
        <v>13657</v>
      </c>
      <c r="D1387" s="134"/>
      <c r="E1387" s="135">
        <f>429.9/3</f>
        <v>143.29999999999998</v>
      </c>
      <c r="F1387" s="46" t="s">
        <v>9</v>
      </c>
      <c r="G1387" s="749">
        <f t="shared" si="90"/>
        <v>0</v>
      </c>
      <c r="H1387" s="775"/>
    </row>
    <row r="1388" spans="1:8">
      <c r="A1388" s="785">
        <v>42856</v>
      </c>
      <c r="B1388" s="337" t="s">
        <v>13758</v>
      </c>
      <c r="C1388" s="332" t="s">
        <v>13630</v>
      </c>
      <c r="D1388" s="134"/>
      <c r="E1388" s="135">
        <v>308.33</v>
      </c>
      <c r="F1388" s="46" t="s">
        <v>9</v>
      </c>
      <c r="G1388" s="749">
        <f t="shared" si="90"/>
        <v>0</v>
      </c>
      <c r="H1388" s="775"/>
    </row>
    <row r="1389" spans="1:8">
      <c r="A1389" s="785">
        <v>42860</v>
      </c>
      <c r="B1389" s="337" t="s">
        <v>13751</v>
      </c>
      <c r="C1389" s="332" t="s">
        <v>13368</v>
      </c>
      <c r="D1389" s="134"/>
      <c r="E1389" s="135">
        <v>650</v>
      </c>
      <c r="F1389" s="46" t="s">
        <v>9</v>
      </c>
      <c r="G1389" s="749">
        <f t="shared" si="90"/>
        <v>0</v>
      </c>
      <c r="H1389" s="775"/>
    </row>
    <row r="1390" spans="1:8">
      <c r="A1390" s="785">
        <v>42865</v>
      </c>
      <c r="B1390" s="337" t="s">
        <v>13734</v>
      </c>
      <c r="C1390" s="332" t="s">
        <v>13626</v>
      </c>
      <c r="D1390" s="134"/>
      <c r="E1390" s="135">
        <v>262.04000000000002</v>
      </c>
      <c r="F1390" s="46" t="s">
        <v>9</v>
      </c>
      <c r="G1390" s="749">
        <f t="shared" si="90"/>
        <v>0</v>
      </c>
      <c r="H1390" s="775"/>
    </row>
    <row r="1391" spans="1:8">
      <c r="A1391" s="785">
        <v>42865</v>
      </c>
      <c r="B1391" s="337" t="s">
        <v>13746</v>
      </c>
      <c r="C1391" s="332" t="s">
        <v>13759</v>
      </c>
      <c r="D1391" s="134"/>
      <c r="E1391" s="135">
        <v>139.77000000000001</v>
      </c>
      <c r="F1391" s="46" t="s">
        <v>9</v>
      </c>
      <c r="G1391" s="749">
        <f t="shared" si="90"/>
        <v>0</v>
      </c>
      <c r="H1391" s="775"/>
    </row>
    <row r="1392" spans="1:8">
      <c r="A1392" s="786">
        <v>42886</v>
      </c>
      <c r="B1392" s="787" t="s">
        <v>13755</v>
      </c>
      <c r="C1392" s="788" t="s">
        <v>13760</v>
      </c>
      <c r="D1392" s="789"/>
      <c r="E1392" s="790">
        <v>409.81</v>
      </c>
      <c r="F1392" s="791" t="s">
        <v>120</v>
      </c>
      <c r="G1392" s="750">
        <f t="shared" si="90"/>
        <v>0</v>
      </c>
      <c r="H1392" s="775"/>
    </row>
    <row r="1393" spans="1:8">
      <c r="A1393" s="1484"/>
      <c r="B1393" s="1485"/>
      <c r="C1393" s="1486" t="s">
        <v>13761</v>
      </c>
      <c r="D1393" s="1487"/>
      <c r="E1393" s="1488">
        <f>SUM(E1394:E1402)</f>
        <v>3338.7239999999997</v>
      </c>
      <c r="F1393" s="1489"/>
      <c r="G1393" s="1490"/>
      <c r="H1393" s="775"/>
    </row>
    <row r="1394" spans="1:8">
      <c r="A1394" s="785">
        <v>42887</v>
      </c>
      <c r="B1394" s="337" t="s">
        <v>13738</v>
      </c>
      <c r="C1394" s="332" t="s">
        <v>13633</v>
      </c>
      <c r="D1394" s="134"/>
      <c r="E1394" s="135">
        <f>6385.34/10</f>
        <v>638.53399999999999</v>
      </c>
      <c r="F1394" s="46" t="s">
        <v>9</v>
      </c>
      <c r="G1394" s="749">
        <f t="shared" ref="G1394:G1402" si="91">IF(F1394="X",0,E1394)</f>
        <v>0</v>
      </c>
      <c r="H1394" s="775"/>
    </row>
    <row r="1395" spans="1:8">
      <c r="A1395" s="785">
        <v>42887</v>
      </c>
      <c r="B1395" s="337" t="s">
        <v>13749</v>
      </c>
      <c r="C1395" s="332" t="s">
        <v>13699</v>
      </c>
      <c r="D1395" s="134"/>
      <c r="E1395" s="135">
        <f>2779.02/6</f>
        <v>463.17</v>
      </c>
      <c r="F1395" s="46" t="s">
        <v>9</v>
      </c>
      <c r="G1395" s="749">
        <f t="shared" si="91"/>
        <v>0</v>
      </c>
      <c r="H1395" s="775"/>
    </row>
    <row r="1396" spans="1:8">
      <c r="A1396" s="792">
        <v>42887</v>
      </c>
      <c r="B1396" s="793" t="s">
        <v>13729</v>
      </c>
      <c r="C1396" s="794" t="s">
        <v>13414</v>
      </c>
      <c r="D1396" s="795"/>
      <c r="E1396" s="796">
        <v>319.99</v>
      </c>
      <c r="F1396" s="797" t="s">
        <v>9</v>
      </c>
      <c r="G1396" s="798">
        <f t="shared" si="91"/>
        <v>0</v>
      </c>
      <c r="H1396" s="775"/>
    </row>
    <row r="1397" spans="1:8">
      <c r="A1397" s="792">
        <v>42887</v>
      </c>
      <c r="B1397" s="793" t="s">
        <v>13753</v>
      </c>
      <c r="C1397" s="794" t="s">
        <v>13691</v>
      </c>
      <c r="D1397" s="795"/>
      <c r="E1397" s="796">
        <f>429.9/3</f>
        <v>143.29999999999998</v>
      </c>
      <c r="F1397" s="797" t="s">
        <v>9</v>
      </c>
      <c r="G1397" s="798">
        <f t="shared" si="91"/>
        <v>0</v>
      </c>
      <c r="H1397" s="775"/>
    </row>
    <row r="1398" spans="1:8">
      <c r="A1398" s="785">
        <v>42887</v>
      </c>
      <c r="B1398" s="337" t="s">
        <v>13758</v>
      </c>
      <c r="C1398" s="332" t="s">
        <v>13634</v>
      </c>
      <c r="D1398" s="134"/>
      <c r="E1398" s="135">
        <v>308.33</v>
      </c>
      <c r="F1398" s="46" t="s">
        <v>9</v>
      </c>
      <c r="G1398" s="749">
        <f t="shared" si="91"/>
        <v>0</v>
      </c>
      <c r="H1398" s="775"/>
    </row>
    <row r="1399" spans="1:8">
      <c r="A1399" s="785">
        <v>42891</v>
      </c>
      <c r="B1399" s="337" t="s">
        <v>13751</v>
      </c>
      <c r="C1399" s="332" t="s">
        <v>13376</v>
      </c>
      <c r="D1399" s="134"/>
      <c r="E1399" s="135">
        <v>650</v>
      </c>
      <c r="F1399" s="46" t="s">
        <v>9</v>
      </c>
      <c r="G1399" s="749">
        <f t="shared" si="91"/>
        <v>0</v>
      </c>
      <c r="H1399" s="775"/>
    </row>
    <row r="1400" spans="1:8">
      <c r="A1400" s="785">
        <v>42896</v>
      </c>
      <c r="B1400" s="337" t="s">
        <v>13734</v>
      </c>
      <c r="C1400" s="332" t="s">
        <v>13632</v>
      </c>
      <c r="D1400" s="134"/>
      <c r="E1400" s="135">
        <v>262.04000000000002</v>
      </c>
      <c r="F1400" s="46" t="s">
        <v>9</v>
      </c>
      <c r="G1400" s="749">
        <f t="shared" si="91"/>
        <v>0</v>
      </c>
      <c r="H1400" s="775"/>
    </row>
    <row r="1401" spans="1:8">
      <c r="A1401" s="785">
        <v>42896</v>
      </c>
      <c r="B1401" s="337" t="s">
        <v>13746</v>
      </c>
      <c r="C1401" s="332" t="s">
        <v>13762</v>
      </c>
      <c r="D1401" s="134"/>
      <c r="E1401" s="135">
        <v>139.77000000000001</v>
      </c>
      <c r="F1401" s="46" t="s">
        <v>9</v>
      </c>
      <c r="G1401" s="749">
        <f t="shared" si="91"/>
        <v>0</v>
      </c>
      <c r="H1401" s="775"/>
    </row>
    <row r="1402" spans="1:8">
      <c r="A1402" s="786">
        <v>42916</v>
      </c>
      <c r="B1402" s="787" t="s">
        <v>13755</v>
      </c>
      <c r="C1402" s="788" t="s">
        <v>13763</v>
      </c>
      <c r="D1402" s="789"/>
      <c r="E1402" s="790">
        <v>413.59</v>
      </c>
      <c r="F1402" s="791" t="s">
        <v>9</v>
      </c>
      <c r="G1402" s="750">
        <f t="shared" si="91"/>
        <v>0</v>
      </c>
      <c r="H1402" s="775"/>
    </row>
    <row r="1403" spans="1:8">
      <c r="A1403" s="1484"/>
      <c r="B1403" s="1485"/>
      <c r="C1403" s="1486" t="s">
        <v>10741</v>
      </c>
      <c r="D1403" s="1487"/>
      <c r="E1403" s="1488">
        <f>SUM(E1404:E1414)</f>
        <v>3696.3539999999998</v>
      </c>
      <c r="F1403" s="1489"/>
      <c r="G1403" s="1490"/>
      <c r="H1403" s="775"/>
    </row>
    <row r="1404" spans="1:8">
      <c r="A1404" s="785">
        <v>42917</v>
      </c>
      <c r="B1404" s="337" t="s">
        <v>13738</v>
      </c>
      <c r="C1404" s="332" t="s">
        <v>13764</v>
      </c>
      <c r="D1404" s="134"/>
      <c r="E1404" s="135">
        <f>6385.34/10</f>
        <v>638.53399999999999</v>
      </c>
      <c r="F1404" s="46" t="s">
        <v>9</v>
      </c>
      <c r="G1404" s="749">
        <f t="shared" ref="G1404:G1414" si="92">IF(F1404="X",0,E1404)</f>
        <v>0</v>
      </c>
      <c r="H1404" s="775"/>
    </row>
    <row r="1405" spans="1:8">
      <c r="A1405" s="785">
        <v>42917</v>
      </c>
      <c r="B1405" s="337" t="s">
        <v>13749</v>
      </c>
      <c r="C1405" s="332" t="s">
        <v>13705</v>
      </c>
      <c r="D1405" s="134"/>
      <c r="E1405" s="135">
        <f>2779.02/6</f>
        <v>463.17</v>
      </c>
      <c r="F1405" s="46" t="s">
        <v>9</v>
      </c>
      <c r="G1405" s="749">
        <f t="shared" si="92"/>
        <v>0</v>
      </c>
      <c r="H1405" s="775"/>
    </row>
    <row r="1406" spans="1:8">
      <c r="A1406" s="785">
        <v>42917</v>
      </c>
      <c r="B1406" s="337" t="s">
        <v>13758</v>
      </c>
      <c r="C1406" s="332" t="s">
        <v>13695</v>
      </c>
      <c r="D1406" s="134"/>
      <c r="E1406" s="135">
        <v>308.33</v>
      </c>
      <c r="F1406" s="46" t="s">
        <v>9</v>
      </c>
      <c r="G1406" s="749">
        <f t="shared" si="92"/>
        <v>0</v>
      </c>
      <c r="H1406" s="775"/>
    </row>
    <row r="1407" spans="1:8">
      <c r="A1407" s="785">
        <v>42917</v>
      </c>
      <c r="B1407" s="337" t="s">
        <v>13765</v>
      </c>
      <c r="C1407" s="332" t="s">
        <v>13766</v>
      </c>
      <c r="D1407" s="134"/>
      <c r="E1407" s="135">
        <v>175</v>
      </c>
      <c r="F1407" s="46" t="s">
        <v>9</v>
      </c>
      <c r="G1407" s="749">
        <f t="shared" si="92"/>
        <v>0</v>
      </c>
      <c r="H1407" s="775"/>
    </row>
    <row r="1408" spans="1:8">
      <c r="A1408" s="785">
        <v>42917</v>
      </c>
      <c r="B1408" s="337" t="s">
        <v>13767</v>
      </c>
      <c r="C1408" s="332" t="s">
        <v>13766</v>
      </c>
      <c r="D1408" s="134"/>
      <c r="E1408" s="135">
        <v>190</v>
      </c>
      <c r="F1408" s="46" t="s">
        <v>9</v>
      </c>
      <c r="G1408" s="749">
        <f t="shared" si="92"/>
        <v>0</v>
      </c>
      <c r="H1408" s="775"/>
    </row>
    <row r="1409" spans="1:8">
      <c r="A1409" s="785">
        <v>42917</v>
      </c>
      <c r="B1409" s="337" t="s">
        <v>13768</v>
      </c>
      <c r="C1409" s="332" t="s">
        <v>13606</v>
      </c>
      <c r="D1409" s="134"/>
      <c r="E1409" s="135">
        <v>49.9</v>
      </c>
      <c r="F1409" s="46" t="s">
        <v>9</v>
      </c>
      <c r="G1409" s="749">
        <f t="shared" si="92"/>
        <v>0</v>
      </c>
      <c r="H1409" s="775"/>
    </row>
    <row r="1410" spans="1:8">
      <c r="A1410" s="785">
        <v>42917</v>
      </c>
      <c r="B1410" s="337" t="s">
        <v>13769</v>
      </c>
      <c r="C1410" s="332" t="s">
        <v>13508</v>
      </c>
      <c r="D1410" s="134"/>
      <c r="E1410" s="135">
        <v>402.74</v>
      </c>
      <c r="F1410" s="46" t="s">
        <v>9</v>
      </c>
      <c r="G1410" s="749">
        <f t="shared" si="92"/>
        <v>0</v>
      </c>
      <c r="H1410" s="775"/>
    </row>
    <row r="1411" spans="1:8">
      <c r="A1411" s="785">
        <v>42921</v>
      </c>
      <c r="B1411" s="337" t="s">
        <v>13751</v>
      </c>
      <c r="C1411" s="332" t="s">
        <v>13380</v>
      </c>
      <c r="D1411" s="134"/>
      <c r="E1411" s="135">
        <v>650</v>
      </c>
      <c r="F1411" s="46" t="s">
        <v>9</v>
      </c>
      <c r="G1411" s="749">
        <f t="shared" si="92"/>
        <v>0</v>
      </c>
      <c r="H1411" s="775"/>
    </row>
    <row r="1412" spans="1:8">
      <c r="A1412" s="785">
        <v>42926</v>
      </c>
      <c r="B1412" s="337" t="s">
        <v>13734</v>
      </c>
      <c r="C1412" s="332" t="s">
        <v>13636</v>
      </c>
      <c r="D1412" s="134"/>
      <c r="E1412" s="135">
        <v>262.04000000000002</v>
      </c>
      <c r="F1412" s="46" t="s">
        <v>9</v>
      </c>
      <c r="G1412" s="749">
        <f t="shared" si="92"/>
        <v>0</v>
      </c>
      <c r="H1412" s="775"/>
    </row>
    <row r="1413" spans="1:8">
      <c r="A1413" s="785">
        <v>42926</v>
      </c>
      <c r="B1413" s="337" t="s">
        <v>13746</v>
      </c>
      <c r="C1413" s="332" t="s">
        <v>13770</v>
      </c>
      <c r="D1413" s="134"/>
      <c r="E1413" s="135">
        <v>139.77000000000001</v>
      </c>
      <c r="F1413" s="46" t="s">
        <v>9</v>
      </c>
      <c r="G1413" s="749">
        <f t="shared" si="92"/>
        <v>0</v>
      </c>
      <c r="H1413" s="775"/>
    </row>
    <row r="1414" spans="1:8">
      <c r="A1414" s="785">
        <v>42947</v>
      </c>
      <c r="B1414" s="337" t="s">
        <v>13755</v>
      </c>
      <c r="C1414" s="332" t="s">
        <v>13594</v>
      </c>
      <c r="D1414" s="134"/>
      <c r="E1414" s="135">
        <v>416.87</v>
      </c>
      <c r="F1414" s="46" t="s">
        <v>9</v>
      </c>
      <c r="G1414" s="749">
        <f t="shared" si="92"/>
        <v>0</v>
      </c>
      <c r="H1414" s="775"/>
    </row>
    <row r="1415" spans="1:8">
      <c r="A1415" s="1491"/>
      <c r="B1415" s="1492"/>
      <c r="C1415" s="1493" t="s">
        <v>13771</v>
      </c>
      <c r="D1415" s="1494"/>
      <c r="E1415" s="1495">
        <f>SUM(E1416:E1428)</f>
        <v>4321.6040000000003</v>
      </c>
      <c r="F1415" s="1496"/>
      <c r="G1415" s="1497"/>
      <c r="H1415" s="775"/>
    </row>
    <row r="1416" spans="1:8">
      <c r="A1416" s="785">
        <v>42948</v>
      </c>
      <c r="B1416" s="337" t="s">
        <v>13738</v>
      </c>
      <c r="C1416" s="332" t="s">
        <v>13772</v>
      </c>
      <c r="D1416" s="134"/>
      <c r="E1416" s="135">
        <f>6385.34/10</f>
        <v>638.53399999999999</v>
      </c>
      <c r="F1416" s="46" t="s">
        <v>9</v>
      </c>
      <c r="G1416" s="749">
        <f t="shared" ref="G1416:G1428" si="93">IF(F1416="X",0,E1416)</f>
        <v>0</v>
      </c>
      <c r="H1416" s="775"/>
    </row>
    <row r="1417" spans="1:8">
      <c r="A1417" s="792">
        <v>42948</v>
      </c>
      <c r="B1417" s="793" t="s">
        <v>13749</v>
      </c>
      <c r="C1417" s="794" t="s">
        <v>13708</v>
      </c>
      <c r="D1417" s="795"/>
      <c r="E1417" s="796">
        <f>2779.02/6</f>
        <v>463.17</v>
      </c>
      <c r="F1417" s="797" t="s">
        <v>9</v>
      </c>
      <c r="G1417" s="798">
        <f t="shared" si="93"/>
        <v>0</v>
      </c>
      <c r="H1417" s="775"/>
    </row>
    <row r="1418" spans="1:8">
      <c r="A1418" s="785">
        <v>42948</v>
      </c>
      <c r="B1418" s="337" t="s">
        <v>13758</v>
      </c>
      <c r="C1418" s="332" t="s">
        <v>13454</v>
      </c>
      <c r="D1418" s="134"/>
      <c r="E1418" s="135">
        <v>308.33</v>
      </c>
      <c r="F1418" s="46" t="s">
        <v>9</v>
      </c>
      <c r="G1418" s="749">
        <f t="shared" si="93"/>
        <v>0</v>
      </c>
      <c r="H1418" s="775"/>
    </row>
    <row r="1419" spans="1:8">
      <c r="A1419" s="792">
        <v>42948</v>
      </c>
      <c r="B1419" s="793" t="s">
        <v>13765</v>
      </c>
      <c r="C1419" s="794" t="s">
        <v>13643</v>
      </c>
      <c r="D1419" s="795"/>
      <c r="E1419" s="796">
        <v>175</v>
      </c>
      <c r="F1419" s="797" t="s">
        <v>9</v>
      </c>
      <c r="G1419" s="798">
        <f t="shared" si="93"/>
        <v>0</v>
      </c>
      <c r="H1419" s="775"/>
    </row>
    <row r="1420" spans="1:8">
      <c r="A1420" s="792">
        <v>42948</v>
      </c>
      <c r="B1420" s="793" t="s">
        <v>13767</v>
      </c>
      <c r="C1420" s="794" t="s">
        <v>13643</v>
      </c>
      <c r="D1420" s="795"/>
      <c r="E1420" s="796">
        <v>190</v>
      </c>
      <c r="F1420" s="797" t="s">
        <v>9</v>
      </c>
      <c r="G1420" s="798">
        <f t="shared" si="93"/>
        <v>0</v>
      </c>
      <c r="H1420" s="775"/>
    </row>
    <row r="1421" spans="1:8">
      <c r="A1421" s="785">
        <v>42948</v>
      </c>
      <c r="B1421" s="337" t="s">
        <v>13768</v>
      </c>
      <c r="C1421" s="332" t="s">
        <v>13531</v>
      </c>
      <c r="D1421" s="134"/>
      <c r="E1421" s="135">
        <v>49.9</v>
      </c>
      <c r="F1421" s="46" t="s">
        <v>9</v>
      </c>
      <c r="G1421" s="749">
        <f t="shared" si="93"/>
        <v>0</v>
      </c>
      <c r="H1421" s="775"/>
    </row>
    <row r="1422" spans="1:8">
      <c r="A1422" s="785">
        <v>42948</v>
      </c>
      <c r="B1422" s="337" t="s">
        <v>13769</v>
      </c>
      <c r="C1422" s="332" t="s">
        <v>13441</v>
      </c>
      <c r="D1422" s="134"/>
      <c r="E1422" s="135">
        <v>402.74</v>
      </c>
      <c r="F1422" s="46" t="s">
        <v>9</v>
      </c>
      <c r="G1422" s="749">
        <f t="shared" si="93"/>
        <v>0</v>
      </c>
      <c r="H1422" s="775"/>
    </row>
    <row r="1423" spans="1:8">
      <c r="A1423" s="785">
        <v>42948</v>
      </c>
      <c r="B1423" s="337" t="s">
        <v>13773</v>
      </c>
      <c r="C1423" s="332" t="s">
        <v>13459</v>
      </c>
      <c r="D1423" s="134"/>
      <c r="E1423" s="135">
        <v>487.65</v>
      </c>
      <c r="F1423" s="46" t="s">
        <v>9</v>
      </c>
      <c r="G1423" s="749">
        <f t="shared" si="93"/>
        <v>0</v>
      </c>
      <c r="H1423" s="775"/>
    </row>
    <row r="1424" spans="1:8">
      <c r="A1424" s="785">
        <v>42948</v>
      </c>
      <c r="B1424" s="337" t="s">
        <v>13774</v>
      </c>
      <c r="C1424" s="332" t="s">
        <v>13521</v>
      </c>
      <c r="D1424" s="134"/>
      <c r="E1424" s="135">
        <v>134.35</v>
      </c>
      <c r="F1424" s="46" t="s">
        <v>9</v>
      </c>
      <c r="G1424" s="749">
        <f t="shared" si="93"/>
        <v>0</v>
      </c>
      <c r="H1424" s="775"/>
    </row>
    <row r="1425" spans="1:8">
      <c r="A1425" s="785">
        <v>42952</v>
      </c>
      <c r="B1425" s="337" t="s">
        <v>13751</v>
      </c>
      <c r="C1425" s="332" t="s">
        <v>13384</v>
      </c>
      <c r="D1425" s="134"/>
      <c r="E1425" s="135">
        <v>650</v>
      </c>
      <c r="F1425" s="46" t="s">
        <v>9</v>
      </c>
      <c r="G1425" s="749">
        <f t="shared" si="93"/>
        <v>0</v>
      </c>
      <c r="H1425" s="775"/>
    </row>
    <row r="1426" spans="1:8">
      <c r="A1426" s="785">
        <v>42957</v>
      </c>
      <c r="B1426" s="337" t="s">
        <v>13734</v>
      </c>
      <c r="C1426" s="332" t="s">
        <v>13637</v>
      </c>
      <c r="D1426" s="134"/>
      <c r="E1426" s="135">
        <v>262.04000000000002</v>
      </c>
      <c r="F1426" s="46" t="s">
        <v>9</v>
      </c>
      <c r="G1426" s="749">
        <f t="shared" si="93"/>
        <v>0</v>
      </c>
      <c r="H1426" s="775"/>
    </row>
    <row r="1427" spans="1:8">
      <c r="A1427" s="785">
        <v>42957</v>
      </c>
      <c r="B1427" s="337" t="s">
        <v>13746</v>
      </c>
      <c r="C1427" s="332" t="s">
        <v>13775</v>
      </c>
      <c r="D1427" s="134"/>
      <c r="E1427" s="135">
        <v>139.77000000000001</v>
      </c>
      <c r="F1427" s="46" t="s">
        <v>9</v>
      </c>
      <c r="G1427" s="749">
        <f t="shared" si="93"/>
        <v>0</v>
      </c>
      <c r="H1427" s="775"/>
    </row>
    <row r="1428" spans="1:8">
      <c r="A1428" s="786">
        <v>42978</v>
      </c>
      <c r="B1428" s="787" t="s">
        <v>13755</v>
      </c>
      <c r="C1428" s="788" t="s">
        <v>13596</v>
      </c>
      <c r="D1428" s="789"/>
      <c r="E1428" s="790">
        <v>420.12</v>
      </c>
      <c r="F1428" s="791" t="s">
        <v>9</v>
      </c>
      <c r="G1428" s="750">
        <f t="shared" si="93"/>
        <v>0</v>
      </c>
      <c r="H1428" s="775"/>
    </row>
    <row r="1429" spans="1:8">
      <c r="A1429" s="1484"/>
      <c r="B1429" s="1485"/>
      <c r="C1429" s="1486" t="s">
        <v>11148</v>
      </c>
      <c r="D1429" s="1487"/>
      <c r="E1429" s="1488">
        <f>SUM(E1430:E1441)</f>
        <v>3794.3139999999999</v>
      </c>
      <c r="F1429" s="1489"/>
      <c r="G1429" s="1490"/>
      <c r="H1429" s="775"/>
    </row>
    <row r="1430" spans="1:8">
      <c r="A1430" s="785">
        <v>42979</v>
      </c>
      <c r="B1430" s="337" t="s">
        <v>13738</v>
      </c>
      <c r="C1430" s="332" t="s">
        <v>13409</v>
      </c>
      <c r="D1430" s="134"/>
      <c r="E1430" s="135">
        <f>6385.34/10</f>
        <v>638.53399999999999</v>
      </c>
      <c r="F1430" s="46" t="s">
        <v>9</v>
      </c>
      <c r="G1430" s="749">
        <f t="shared" ref="G1430:G1441" si="94">IF(F1430="X",0,E1430)</f>
        <v>0</v>
      </c>
      <c r="H1430" s="775"/>
    </row>
    <row r="1431" spans="1:8">
      <c r="A1431" s="785">
        <v>42979</v>
      </c>
      <c r="B1431" s="337" t="s">
        <v>13758</v>
      </c>
      <c r="C1431" s="332" t="s">
        <v>13467</v>
      </c>
      <c r="D1431" s="134"/>
      <c r="E1431" s="135">
        <v>308.33</v>
      </c>
      <c r="F1431" s="46" t="s">
        <v>9</v>
      </c>
      <c r="G1431" s="749">
        <f t="shared" si="94"/>
        <v>0</v>
      </c>
      <c r="H1431" s="775"/>
    </row>
    <row r="1432" spans="1:8">
      <c r="A1432" s="792">
        <v>42979</v>
      </c>
      <c r="B1432" s="793" t="s">
        <v>13768</v>
      </c>
      <c r="C1432" s="794" t="s">
        <v>13538</v>
      </c>
      <c r="D1432" s="795"/>
      <c r="E1432" s="796">
        <v>49.9</v>
      </c>
      <c r="F1432" s="797" t="s">
        <v>9</v>
      </c>
      <c r="G1432" s="798">
        <f t="shared" si="94"/>
        <v>0</v>
      </c>
      <c r="H1432" s="775"/>
    </row>
    <row r="1433" spans="1:8">
      <c r="A1433" s="785">
        <v>42979</v>
      </c>
      <c r="B1433" s="337" t="s">
        <v>13769</v>
      </c>
      <c r="C1433" s="332" t="s">
        <v>13446</v>
      </c>
      <c r="D1433" s="134"/>
      <c r="E1433" s="135">
        <v>402.74</v>
      </c>
      <c r="F1433" s="46" t="s">
        <v>9</v>
      </c>
      <c r="G1433" s="749">
        <f t="shared" si="94"/>
        <v>0</v>
      </c>
      <c r="H1433" s="775"/>
    </row>
    <row r="1434" spans="1:8">
      <c r="A1434" s="785">
        <v>42979</v>
      </c>
      <c r="B1434" s="337" t="s">
        <v>13774</v>
      </c>
      <c r="C1434" s="332" t="s">
        <v>13531</v>
      </c>
      <c r="D1434" s="134"/>
      <c r="E1434" s="135">
        <v>134.35</v>
      </c>
      <c r="F1434" s="46" t="s">
        <v>9</v>
      </c>
      <c r="G1434" s="749">
        <f t="shared" si="94"/>
        <v>0</v>
      </c>
      <c r="H1434" s="775"/>
    </row>
    <row r="1435" spans="1:8">
      <c r="A1435" s="785">
        <v>42979</v>
      </c>
      <c r="B1435" s="337" t="s">
        <v>13773</v>
      </c>
      <c r="C1435" s="332" t="s">
        <v>13481</v>
      </c>
      <c r="D1435" s="134"/>
      <c r="E1435" s="135">
        <v>487.65</v>
      </c>
      <c r="F1435" s="46" t="s">
        <v>9</v>
      </c>
      <c r="G1435" s="749">
        <f t="shared" si="94"/>
        <v>0</v>
      </c>
      <c r="H1435" s="775"/>
    </row>
    <row r="1436" spans="1:8">
      <c r="A1436" s="785">
        <v>42979</v>
      </c>
      <c r="B1436" s="337" t="s">
        <v>13776</v>
      </c>
      <c r="C1436" s="332" t="s">
        <v>13526</v>
      </c>
      <c r="D1436" s="134"/>
      <c r="E1436" s="135">
        <v>99</v>
      </c>
      <c r="F1436" s="46" t="s">
        <v>9</v>
      </c>
      <c r="G1436" s="749">
        <f t="shared" si="94"/>
        <v>0</v>
      </c>
      <c r="H1436" s="775"/>
    </row>
    <row r="1437" spans="1:8">
      <c r="A1437" s="785">
        <v>42979</v>
      </c>
      <c r="B1437" s="337" t="s">
        <v>13777</v>
      </c>
      <c r="C1437" s="332" t="s">
        <v>13766</v>
      </c>
      <c r="D1437" s="134"/>
      <c r="E1437" s="135">
        <v>190</v>
      </c>
      <c r="F1437" s="46" t="s">
        <v>9</v>
      </c>
      <c r="G1437" s="749">
        <f t="shared" si="94"/>
        <v>0</v>
      </c>
      <c r="H1437" s="775"/>
    </row>
    <row r="1438" spans="1:8">
      <c r="A1438" s="785">
        <v>42983</v>
      </c>
      <c r="B1438" s="337" t="s">
        <v>13751</v>
      </c>
      <c r="C1438" s="332" t="s">
        <v>13387</v>
      </c>
      <c r="D1438" s="134"/>
      <c r="E1438" s="135">
        <v>658.64</v>
      </c>
      <c r="F1438" s="46" t="s">
        <v>9</v>
      </c>
      <c r="G1438" s="749">
        <f t="shared" si="94"/>
        <v>0</v>
      </c>
      <c r="H1438" s="775"/>
    </row>
    <row r="1439" spans="1:8">
      <c r="A1439" s="792">
        <v>42988</v>
      </c>
      <c r="B1439" s="793" t="s">
        <v>13734</v>
      </c>
      <c r="C1439" s="794" t="s">
        <v>13640</v>
      </c>
      <c r="D1439" s="795"/>
      <c r="E1439" s="796">
        <v>262.04000000000002</v>
      </c>
      <c r="F1439" s="797" t="s">
        <v>9</v>
      </c>
      <c r="G1439" s="798">
        <f t="shared" si="94"/>
        <v>0</v>
      </c>
      <c r="H1439" s="775"/>
    </row>
    <row r="1440" spans="1:8">
      <c r="A1440" s="785">
        <v>42988</v>
      </c>
      <c r="B1440" s="337" t="s">
        <v>13746</v>
      </c>
      <c r="C1440" s="332" t="s">
        <v>13778</v>
      </c>
      <c r="D1440" s="134"/>
      <c r="E1440" s="135">
        <v>139.77000000000001</v>
      </c>
      <c r="F1440" s="46" t="s">
        <v>9</v>
      </c>
      <c r="G1440" s="749">
        <f t="shared" si="94"/>
        <v>0</v>
      </c>
      <c r="H1440" s="775"/>
    </row>
    <row r="1441" spans="1:8">
      <c r="A1441" s="786">
        <v>43008</v>
      </c>
      <c r="B1441" s="787" t="s">
        <v>13755</v>
      </c>
      <c r="C1441" s="788" t="s">
        <v>13779</v>
      </c>
      <c r="D1441" s="789"/>
      <c r="E1441" s="790">
        <v>423.36</v>
      </c>
      <c r="F1441" s="791" t="s">
        <v>9</v>
      </c>
      <c r="G1441" s="750">
        <f t="shared" si="94"/>
        <v>0</v>
      </c>
      <c r="H1441" s="775"/>
    </row>
    <row r="1442" spans="1:8">
      <c r="A1442" s="1484"/>
      <c r="B1442" s="1485"/>
      <c r="C1442" s="1486" t="s">
        <v>11182</v>
      </c>
      <c r="D1442" s="1487"/>
      <c r="E1442" s="1488">
        <f>SUM(E1443:E1454)</f>
        <v>3642.9339999999997</v>
      </c>
      <c r="F1442" s="1489"/>
      <c r="G1442" s="1490"/>
      <c r="H1442" s="775"/>
    </row>
    <row r="1443" spans="1:8">
      <c r="A1443" s="792">
        <v>43009</v>
      </c>
      <c r="B1443" s="793" t="s">
        <v>13738</v>
      </c>
      <c r="C1443" s="794" t="s">
        <v>13414</v>
      </c>
      <c r="D1443" s="795"/>
      <c r="E1443" s="796">
        <f>6385.34/10</f>
        <v>638.53399999999999</v>
      </c>
      <c r="F1443" s="797" t="s">
        <v>9</v>
      </c>
      <c r="G1443" s="798">
        <f t="shared" ref="G1443:G1454" si="95">IF(F1443="X",0,E1443)</f>
        <v>0</v>
      </c>
      <c r="H1443" s="775"/>
    </row>
    <row r="1444" spans="1:8">
      <c r="A1444" s="785">
        <v>43009</v>
      </c>
      <c r="B1444" s="337" t="s">
        <v>13769</v>
      </c>
      <c r="C1444" s="332" t="s">
        <v>13780</v>
      </c>
      <c r="D1444" s="134"/>
      <c r="E1444" s="135">
        <v>402.74</v>
      </c>
      <c r="F1444" s="46" t="s">
        <v>9</v>
      </c>
      <c r="G1444" s="749">
        <f t="shared" si="95"/>
        <v>0</v>
      </c>
      <c r="H1444" s="775"/>
    </row>
    <row r="1445" spans="1:8">
      <c r="A1445" s="792">
        <v>43009</v>
      </c>
      <c r="B1445" s="793" t="s">
        <v>13774</v>
      </c>
      <c r="C1445" s="794" t="s">
        <v>13538</v>
      </c>
      <c r="D1445" s="795"/>
      <c r="E1445" s="796">
        <v>134.35</v>
      </c>
      <c r="F1445" s="797" t="s">
        <v>9</v>
      </c>
      <c r="G1445" s="798">
        <f t="shared" si="95"/>
        <v>0</v>
      </c>
      <c r="H1445" s="775"/>
    </row>
    <row r="1446" spans="1:8">
      <c r="A1446" s="785">
        <v>43009</v>
      </c>
      <c r="B1446" s="337" t="s">
        <v>13773</v>
      </c>
      <c r="C1446" s="332" t="s">
        <v>13489</v>
      </c>
      <c r="D1446" s="134"/>
      <c r="E1446" s="135">
        <v>487.65</v>
      </c>
      <c r="F1446" s="46" t="s">
        <v>9</v>
      </c>
      <c r="G1446" s="749">
        <f t="shared" si="95"/>
        <v>0</v>
      </c>
      <c r="H1446" s="775"/>
    </row>
    <row r="1447" spans="1:8">
      <c r="A1447" s="785">
        <v>43009</v>
      </c>
      <c r="B1447" s="337" t="s">
        <v>13776</v>
      </c>
      <c r="C1447" s="332" t="s">
        <v>13536</v>
      </c>
      <c r="D1447" s="134"/>
      <c r="E1447" s="135">
        <v>99</v>
      </c>
      <c r="F1447" s="46" t="s">
        <v>9</v>
      </c>
      <c r="G1447" s="749">
        <f t="shared" si="95"/>
        <v>0</v>
      </c>
      <c r="H1447" s="775"/>
    </row>
    <row r="1448" spans="1:8">
      <c r="A1448" s="792">
        <v>43009</v>
      </c>
      <c r="B1448" s="793" t="s">
        <v>13777</v>
      </c>
      <c r="C1448" s="794" t="s">
        <v>13643</v>
      </c>
      <c r="D1448" s="795"/>
      <c r="E1448" s="796">
        <v>190</v>
      </c>
      <c r="F1448" s="797" t="s">
        <v>9</v>
      </c>
      <c r="G1448" s="798">
        <f t="shared" si="95"/>
        <v>0</v>
      </c>
      <c r="H1448" s="775"/>
    </row>
    <row r="1449" spans="1:8">
      <c r="A1449" s="785">
        <v>43009</v>
      </c>
      <c r="B1449" s="337" t="s">
        <v>13781</v>
      </c>
      <c r="C1449" s="332" t="s">
        <v>13521</v>
      </c>
      <c r="D1449" s="134"/>
      <c r="E1449" s="135">
        <v>97.08</v>
      </c>
      <c r="F1449" s="46" t="s">
        <v>9</v>
      </c>
      <c r="G1449" s="749">
        <f t="shared" si="95"/>
        <v>0</v>
      </c>
      <c r="H1449" s="775"/>
    </row>
    <row r="1450" spans="1:8">
      <c r="A1450" s="785">
        <v>43009</v>
      </c>
      <c r="B1450" s="337" t="s">
        <v>13782</v>
      </c>
      <c r="C1450" s="332" t="s">
        <v>13614</v>
      </c>
      <c r="D1450" s="134"/>
      <c r="E1450" s="135">
        <v>69.52</v>
      </c>
      <c r="F1450" s="46" t="s">
        <v>9</v>
      </c>
      <c r="G1450" s="749">
        <f t="shared" si="95"/>
        <v>0</v>
      </c>
      <c r="H1450" s="775"/>
    </row>
    <row r="1451" spans="1:8">
      <c r="A1451" s="792">
        <v>43009</v>
      </c>
      <c r="B1451" s="793" t="s">
        <v>13758</v>
      </c>
      <c r="C1451" s="794" t="s">
        <v>13475</v>
      </c>
      <c r="D1451" s="795"/>
      <c r="E1451" s="796">
        <v>308.33</v>
      </c>
      <c r="F1451" s="797" t="s">
        <v>9</v>
      </c>
      <c r="G1451" s="798">
        <f>IF(F1451="X",0,E1451)</f>
        <v>0</v>
      </c>
      <c r="H1451" s="775"/>
    </row>
    <row r="1452" spans="1:8">
      <c r="A1452" s="785">
        <v>43013</v>
      </c>
      <c r="B1452" s="337" t="s">
        <v>13751</v>
      </c>
      <c r="C1452" s="332" t="s">
        <v>13397</v>
      </c>
      <c r="D1452" s="134"/>
      <c r="E1452" s="135">
        <v>650</v>
      </c>
      <c r="F1452" s="46" t="s">
        <v>9</v>
      </c>
      <c r="G1452" s="749">
        <f t="shared" si="95"/>
        <v>0</v>
      </c>
      <c r="H1452" s="775"/>
    </row>
    <row r="1453" spans="1:8">
      <c r="A1453" s="785">
        <v>43018</v>
      </c>
      <c r="B1453" s="337" t="s">
        <v>13746</v>
      </c>
      <c r="C1453" s="332" t="s">
        <v>13783</v>
      </c>
      <c r="D1453" s="134"/>
      <c r="E1453" s="135">
        <v>139.77000000000001</v>
      </c>
      <c r="F1453" s="46" t="s">
        <v>9</v>
      </c>
      <c r="G1453" s="749">
        <f t="shared" si="95"/>
        <v>0</v>
      </c>
      <c r="H1453" s="775"/>
    </row>
    <row r="1454" spans="1:8">
      <c r="A1454" s="786">
        <v>43039</v>
      </c>
      <c r="B1454" s="787" t="s">
        <v>13755</v>
      </c>
      <c r="C1454" s="788" t="s">
        <v>13784</v>
      </c>
      <c r="D1454" s="789"/>
      <c r="E1454" s="790">
        <v>425.96</v>
      </c>
      <c r="F1454" s="791" t="s">
        <v>9</v>
      </c>
      <c r="G1454" s="750">
        <f t="shared" si="95"/>
        <v>0</v>
      </c>
      <c r="H1454" s="775"/>
    </row>
    <row r="1455" spans="1:8">
      <c r="A1455" s="1484"/>
      <c r="B1455" s="1485"/>
      <c r="C1455" s="1486" t="s">
        <v>13785</v>
      </c>
      <c r="D1455" s="1487"/>
      <c r="E1455" s="1488">
        <f>SUM(E1456:E1469)</f>
        <v>3635.88</v>
      </c>
      <c r="F1455" s="1489"/>
      <c r="G1455" s="1490"/>
      <c r="H1455" s="775"/>
    </row>
    <row r="1456" spans="1:8">
      <c r="A1456" s="785">
        <v>43040</v>
      </c>
      <c r="B1456" s="337" t="s">
        <v>13769</v>
      </c>
      <c r="C1456" s="332" t="s">
        <v>13786</v>
      </c>
      <c r="D1456" s="134"/>
      <c r="E1456" s="135">
        <v>402.74</v>
      </c>
      <c r="F1456" s="46" t="s">
        <v>9</v>
      </c>
      <c r="G1456" s="749">
        <f t="shared" ref="G1456:G1469" si="96">IF(F1456="X",0,E1456)</f>
        <v>0</v>
      </c>
      <c r="H1456" s="775"/>
    </row>
    <row r="1457" spans="1:8">
      <c r="A1457" s="792">
        <v>43040</v>
      </c>
      <c r="B1457" s="793" t="s">
        <v>13773</v>
      </c>
      <c r="C1457" s="794" t="s">
        <v>13493</v>
      </c>
      <c r="D1457" s="795"/>
      <c r="E1457" s="796">
        <v>487.65</v>
      </c>
      <c r="F1457" s="797" t="s">
        <v>9</v>
      </c>
      <c r="G1457" s="798">
        <f t="shared" si="96"/>
        <v>0</v>
      </c>
      <c r="H1457" s="775"/>
    </row>
    <row r="1458" spans="1:8">
      <c r="A1458" s="785">
        <v>43040</v>
      </c>
      <c r="B1458" s="337" t="s">
        <v>13776</v>
      </c>
      <c r="C1458" s="332" t="s">
        <v>13541</v>
      </c>
      <c r="D1458" s="134"/>
      <c r="E1458" s="135">
        <v>99</v>
      </c>
      <c r="F1458" s="46" t="s">
        <v>9</v>
      </c>
      <c r="G1458" s="749">
        <f t="shared" si="96"/>
        <v>0</v>
      </c>
      <c r="H1458" s="775"/>
    </row>
    <row r="1459" spans="1:8">
      <c r="A1459" s="785">
        <v>43009</v>
      </c>
      <c r="B1459" s="337" t="s">
        <v>13781</v>
      </c>
      <c r="C1459" s="332" t="s">
        <v>13531</v>
      </c>
      <c r="D1459" s="134"/>
      <c r="E1459" s="135">
        <v>97.08</v>
      </c>
      <c r="F1459" s="46" t="s">
        <v>9</v>
      </c>
      <c r="G1459" s="749">
        <f t="shared" si="96"/>
        <v>0</v>
      </c>
      <c r="H1459" s="775"/>
    </row>
    <row r="1460" spans="1:8">
      <c r="A1460" s="785">
        <v>43040</v>
      </c>
      <c r="B1460" s="337" t="s">
        <v>13782</v>
      </c>
      <c r="C1460" s="332" t="s">
        <v>13368</v>
      </c>
      <c r="D1460" s="134"/>
      <c r="E1460" s="135">
        <v>69.48</v>
      </c>
      <c r="F1460" s="46" t="s">
        <v>9</v>
      </c>
      <c r="G1460" s="749">
        <f t="shared" si="96"/>
        <v>0</v>
      </c>
      <c r="H1460" s="775"/>
    </row>
    <row r="1461" spans="1:8">
      <c r="A1461" s="785">
        <v>43040</v>
      </c>
      <c r="B1461" s="337" t="s">
        <v>13787</v>
      </c>
      <c r="C1461" s="332" t="s">
        <v>13545</v>
      </c>
      <c r="D1461" s="134"/>
      <c r="E1461" s="135">
        <v>335.95</v>
      </c>
      <c r="F1461" s="46" t="s">
        <v>9</v>
      </c>
      <c r="G1461" s="749">
        <f t="shared" si="96"/>
        <v>0</v>
      </c>
      <c r="H1461" s="775"/>
    </row>
    <row r="1462" spans="1:8">
      <c r="A1462" s="785">
        <v>43040</v>
      </c>
      <c r="B1462" s="337" t="s">
        <v>13788</v>
      </c>
      <c r="C1462" s="332" t="s">
        <v>13521</v>
      </c>
      <c r="D1462" s="134"/>
      <c r="E1462" s="135">
        <v>49.67</v>
      </c>
      <c r="F1462" s="46" t="s">
        <v>9</v>
      </c>
      <c r="G1462" s="749">
        <f t="shared" si="96"/>
        <v>0</v>
      </c>
      <c r="H1462" s="775"/>
    </row>
    <row r="1463" spans="1:8">
      <c r="A1463" s="785">
        <v>43040</v>
      </c>
      <c r="B1463" s="337" t="s">
        <v>13789</v>
      </c>
      <c r="C1463" s="332" t="s">
        <v>13521</v>
      </c>
      <c r="D1463" s="134"/>
      <c r="E1463" s="135">
        <v>56.33</v>
      </c>
      <c r="F1463" s="46" t="s">
        <v>9</v>
      </c>
      <c r="G1463" s="749">
        <f t="shared" si="96"/>
        <v>0</v>
      </c>
      <c r="H1463" s="775"/>
    </row>
    <row r="1464" spans="1:8">
      <c r="A1464" s="785">
        <v>43040</v>
      </c>
      <c r="B1464" s="337" t="s">
        <v>13790</v>
      </c>
      <c r="C1464" s="332" t="s">
        <v>13437</v>
      </c>
      <c r="D1464" s="134"/>
      <c r="E1464" s="135">
        <v>376.67</v>
      </c>
      <c r="F1464" s="46" t="s">
        <v>9</v>
      </c>
      <c r="G1464" s="749">
        <f t="shared" si="96"/>
        <v>0</v>
      </c>
      <c r="H1464" s="775"/>
    </row>
    <row r="1465" spans="1:8">
      <c r="A1465" s="785">
        <v>43040</v>
      </c>
      <c r="B1465" s="337" t="s">
        <v>13791</v>
      </c>
      <c r="C1465" s="332" t="s">
        <v>13545</v>
      </c>
      <c r="D1465" s="134"/>
      <c r="E1465" s="135">
        <v>184.5</v>
      </c>
      <c r="F1465" s="46" t="s">
        <v>9</v>
      </c>
      <c r="G1465" s="749">
        <f t="shared" si="96"/>
        <v>0</v>
      </c>
      <c r="H1465" s="775"/>
    </row>
    <row r="1466" spans="1:8">
      <c r="A1466" s="785">
        <v>43044</v>
      </c>
      <c r="B1466" s="337" t="s">
        <v>13751</v>
      </c>
      <c r="C1466" s="332" t="s">
        <v>13402</v>
      </c>
      <c r="D1466" s="134"/>
      <c r="E1466" s="135">
        <v>650</v>
      </c>
      <c r="F1466" s="46" t="s">
        <v>9</v>
      </c>
      <c r="G1466" s="749">
        <f t="shared" si="96"/>
        <v>0</v>
      </c>
      <c r="H1466" s="775"/>
    </row>
    <row r="1467" spans="1:8">
      <c r="A1467" s="792">
        <v>43049</v>
      </c>
      <c r="B1467" s="793" t="s">
        <v>13746</v>
      </c>
      <c r="C1467" s="794" t="s">
        <v>13792</v>
      </c>
      <c r="D1467" s="795"/>
      <c r="E1467" s="796">
        <v>139.77000000000001</v>
      </c>
      <c r="F1467" s="797" t="s">
        <v>9</v>
      </c>
      <c r="G1467" s="798">
        <f t="shared" si="96"/>
        <v>0</v>
      </c>
      <c r="H1467" s="775"/>
    </row>
    <row r="1468" spans="1:8">
      <c r="A1468" s="785">
        <v>43049</v>
      </c>
      <c r="B1468" s="337" t="s">
        <v>13793</v>
      </c>
      <c r="C1468" s="332" t="s">
        <v>13647</v>
      </c>
      <c r="D1468" s="134"/>
      <c r="E1468" s="135">
        <v>258.48</v>
      </c>
      <c r="F1468" s="46" t="s">
        <v>9</v>
      </c>
      <c r="G1468" s="749">
        <f t="shared" si="96"/>
        <v>0</v>
      </c>
      <c r="H1468" s="775"/>
    </row>
    <row r="1469" spans="1:8">
      <c r="A1469" s="939">
        <v>43069</v>
      </c>
      <c r="B1469" s="940" t="s">
        <v>13755</v>
      </c>
      <c r="C1469" s="941" t="s">
        <v>13794</v>
      </c>
      <c r="D1469" s="942"/>
      <c r="E1469" s="943">
        <v>428.56</v>
      </c>
      <c r="F1469" s="944" t="s">
        <v>9</v>
      </c>
      <c r="G1469" s="945">
        <f t="shared" si="96"/>
        <v>0</v>
      </c>
      <c r="H1469" s="775"/>
    </row>
    <row r="1470" spans="1:8">
      <c r="A1470" s="1484"/>
      <c r="B1470" s="1485"/>
      <c r="C1470" s="1486" t="s">
        <v>13795</v>
      </c>
      <c r="D1470" s="1487"/>
      <c r="E1470" s="1488">
        <f>SUM(E1471:E1483)</f>
        <v>2908.92</v>
      </c>
      <c r="F1470" s="1489"/>
      <c r="G1470" s="1490"/>
      <c r="H1470" s="775"/>
    </row>
    <row r="1471" spans="1:8">
      <c r="A1471" s="1350">
        <v>43070</v>
      </c>
      <c r="B1471" s="1351" t="s">
        <v>13781</v>
      </c>
      <c r="C1471" s="1352" t="s">
        <v>13538</v>
      </c>
      <c r="D1471" s="1353"/>
      <c r="E1471" s="1354">
        <v>97.08</v>
      </c>
      <c r="F1471" s="1355" t="s">
        <v>9</v>
      </c>
      <c r="G1471" s="1356">
        <f t="shared" ref="G1471:G1483" si="97">IF(F1471="X",0,E1471)</f>
        <v>0</v>
      </c>
      <c r="H1471" s="775"/>
    </row>
    <row r="1472" spans="1:8">
      <c r="A1472" s="785">
        <v>43070</v>
      </c>
      <c r="B1472" s="337" t="s">
        <v>13769</v>
      </c>
      <c r="C1472" s="332" t="s">
        <v>13796</v>
      </c>
      <c r="D1472" s="134"/>
      <c r="E1472" s="135">
        <v>402.74</v>
      </c>
      <c r="F1472" s="46" t="s">
        <v>9</v>
      </c>
      <c r="G1472" s="749">
        <f t="shared" si="97"/>
        <v>0</v>
      </c>
      <c r="H1472" s="775"/>
    </row>
    <row r="1473" spans="1:8">
      <c r="A1473" s="785">
        <v>43070</v>
      </c>
      <c r="B1473" s="337" t="s">
        <v>13776</v>
      </c>
      <c r="C1473" s="332" t="s">
        <v>13549</v>
      </c>
      <c r="D1473" s="134"/>
      <c r="E1473" s="135">
        <v>99</v>
      </c>
      <c r="F1473" s="46" t="s">
        <v>9</v>
      </c>
      <c r="G1473" s="749">
        <f t="shared" si="97"/>
        <v>0</v>
      </c>
      <c r="H1473" s="775"/>
    </row>
    <row r="1474" spans="1:8">
      <c r="A1474" s="785">
        <v>43070</v>
      </c>
      <c r="B1474" s="337" t="s">
        <v>13787</v>
      </c>
      <c r="C1474" s="332" t="s">
        <v>13556</v>
      </c>
      <c r="D1474" s="134"/>
      <c r="E1474" s="135">
        <v>335.95</v>
      </c>
      <c r="F1474" s="46" t="s">
        <v>9</v>
      </c>
      <c r="G1474" s="749">
        <f t="shared" si="97"/>
        <v>0</v>
      </c>
      <c r="H1474" s="775"/>
    </row>
    <row r="1475" spans="1:8">
      <c r="A1475" s="785">
        <v>43070</v>
      </c>
      <c r="B1475" s="337" t="s">
        <v>13782</v>
      </c>
      <c r="C1475" s="332" t="s">
        <v>13621</v>
      </c>
      <c r="D1475" s="134"/>
      <c r="E1475" s="135">
        <v>69.48</v>
      </c>
      <c r="F1475" s="46" t="s">
        <v>9</v>
      </c>
      <c r="G1475" s="749">
        <f t="shared" si="97"/>
        <v>0</v>
      </c>
      <c r="H1475" s="775"/>
    </row>
    <row r="1476" spans="1:8">
      <c r="A1476" s="785">
        <v>43070</v>
      </c>
      <c r="B1476" s="337" t="s">
        <v>13788</v>
      </c>
      <c r="C1476" s="332" t="s">
        <v>13531</v>
      </c>
      <c r="D1476" s="134"/>
      <c r="E1476" s="135">
        <v>49.67</v>
      </c>
      <c r="F1476" s="46" t="s">
        <v>9</v>
      </c>
      <c r="G1476" s="749">
        <f t="shared" si="97"/>
        <v>0</v>
      </c>
      <c r="H1476" s="775"/>
    </row>
    <row r="1477" spans="1:8">
      <c r="A1477" s="785">
        <v>43070</v>
      </c>
      <c r="B1477" s="337" t="s">
        <v>13789</v>
      </c>
      <c r="C1477" s="332" t="s">
        <v>13531</v>
      </c>
      <c r="D1477" s="134"/>
      <c r="E1477" s="135">
        <v>56.33</v>
      </c>
      <c r="F1477" s="46" t="s">
        <v>9</v>
      </c>
      <c r="G1477" s="749">
        <f t="shared" si="97"/>
        <v>0</v>
      </c>
      <c r="H1477" s="775"/>
    </row>
    <row r="1478" spans="1:8">
      <c r="A1478" s="785">
        <v>43070</v>
      </c>
      <c r="B1478" s="337" t="s">
        <v>13790</v>
      </c>
      <c r="C1478" s="332" t="s">
        <v>13443</v>
      </c>
      <c r="D1478" s="134"/>
      <c r="E1478" s="135">
        <v>376.67</v>
      </c>
      <c r="F1478" s="46" t="s">
        <v>9</v>
      </c>
      <c r="G1478" s="749">
        <f t="shared" si="97"/>
        <v>0</v>
      </c>
      <c r="H1478" s="775"/>
    </row>
    <row r="1479" spans="1:8">
      <c r="A1479" s="785">
        <v>43070</v>
      </c>
      <c r="B1479" s="337" t="s">
        <v>13791</v>
      </c>
      <c r="C1479" s="332" t="s">
        <v>13556</v>
      </c>
      <c r="D1479" s="134"/>
      <c r="E1479" s="135">
        <v>184.5</v>
      </c>
      <c r="F1479" s="46" t="s">
        <v>9</v>
      </c>
      <c r="G1479" s="749">
        <f t="shared" si="97"/>
        <v>0</v>
      </c>
      <c r="H1479" s="775"/>
    </row>
    <row r="1480" spans="1:8">
      <c r="A1480" s="785">
        <v>43070</v>
      </c>
      <c r="B1480" s="337" t="s">
        <v>13797</v>
      </c>
      <c r="C1480" s="332" t="s">
        <v>13606</v>
      </c>
      <c r="D1480" s="134"/>
      <c r="E1480" s="135">
        <v>106.33</v>
      </c>
      <c r="F1480" s="46" t="s">
        <v>9</v>
      </c>
      <c r="G1480" s="749">
        <f t="shared" si="97"/>
        <v>0</v>
      </c>
      <c r="H1480" s="775"/>
    </row>
    <row r="1481" spans="1:8">
      <c r="A1481" s="785">
        <v>43070</v>
      </c>
      <c r="B1481" s="337" t="s">
        <v>13798</v>
      </c>
      <c r="C1481" s="332" t="s">
        <v>13606</v>
      </c>
      <c r="D1481" s="134"/>
      <c r="E1481" s="135">
        <v>222.69</v>
      </c>
      <c r="F1481" s="46" t="s">
        <v>9</v>
      </c>
      <c r="G1481" s="749">
        <f t="shared" si="97"/>
        <v>0</v>
      </c>
      <c r="H1481" s="775"/>
    </row>
    <row r="1482" spans="1:8">
      <c r="A1482" s="785">
        <v>43074</v>
      </c>
      <c r="B1482" s="337" t="s">
        <v>13751</v>
      </c>
      <c r="C1482" s="332" t="s">
        <v>13409</v>
      </c>
      <c r="D1482" s="134"/>
      <c r="E1482" s="135">
        <v>650</v>
      </c>
      <c r="F1482" s="46" t="s">
        <v>9</v>
      </c>
      <c r="G1482" s="749">
        <f t="shared" si="97"/>
        <v>0</v>
      </c>
      <c r="H1482" s="775"/>
    </row>
    <row r="1483" spans="1:8">
      <c r="A1483" s="786">
        <v>43079</v>
      </c>
      <c r="B1483" s="787" t="s">
        <v>13793</v>
      </c>
      <c r="C1483" s="788" t="s">
        <v>13611</v>
      </c>
      <c r="D1483" s="789"/>
      <c r="E1483" s="790">
        <v>258.48</v>
      </c>
      <c r="F1483" s="791" t="s">
        <v>9</v>
      </c>
      <c r="G1483" s="750">
        <f t="shared" si="97"/>
        <v>0</v>
      </c>
      <c r="H1483" s="775"/>
    </row>
    <row r="1484" spans="1:8">
      <c r="A1484" s="1484"/>
      <c r="B1484" s="1485"/>
      <c r="C1484" s="1486" t="s">
        <v>13799</v>
      </c>
      <c r="D1484" s="1487"/>
      <c r="E1484" s="1488">
        <f>SUM(E1485:E1499)</f>
        <v>3426.0600000000004</v>
      </c>
      <c r="F1484" s="1489"/>
      <c r="G1484" s="1490"/>
      <c r="H1484" s="775"/>
    </row>
    <row r="1485" spans="1:8">
      <c r="A1485" s="785">
        <v>43101</v>
      </c>
      <c r="B1485" s="337" t="s">
        <v>13782</v>
      </c>
      <c r="C1485" s="332" t="s">
        <v>13380</v>
      </c>
      <c r="D1485" s="134"/>
      <c r="E1485" s="135">
        <v>69.48</v>
      </c>
      <c r="F1485" s="46" t="s">
        <v>9</v>
      </c>
      <c r="G1485" s="749">
        <f t="shared" ref="G1485:G1499" si="98">IF(F1485="X",0,E1485)</f>
        <v>0</v>
      </c>
      <c r="H1485" s="775"/>
    </row>
    <row r="1486" spans="1:8">
      <c r="A1486" s="785">
        <v>43101</v>
      </c>
      <c r="B1486" s="337" t="s">
        <v>13787</v>
      </c>
      <c r="C1486" s="332" t="s">
        <v>13560</v>
      </c>
      <c r="D1486" s="134"/>
      <c r="E1486" s="135">
        <v>335.95</v>
      </c>
      <c r="F1486" s="46" t="s">
        <v>9</v>
      </c>
      <c r="G1486" s="749">
        <f t="shared" si="98"/>
        <v>0</v>
      </c>
      <c r="H1486" s="775"/>
    </row>
    <row r="1487" spans="1:8">
      <c r="A1487" s="785">
        <v>43101</v>
      </c>
      <c r="B1487" s="337" t="s">
        <v>13790</v>
      </c>
      <c r="C1487" s="332" t="s">
        <v>13448</v>
      </c>
      <c r="D1487" s="134"/>
      <c r="E1487" s="135">
        <v>376.67</v>
      </c>
      <c r="F1487" s="46" t="s">
        <v>9</v>
      </c>
      <c r="G1487" s="749">
        <f t="shared" si="98"/>
        <v>0</v>
      </c>
      <c r="H1487" s="775"/>
    </row>
    <row r="1488" spans="1:8">
      <c r="A1488" s="785">
        <v>43101</v>
      </c>
      <c r="B1488" s="337" t="s">
        <v>13791</v>
      </c>
      <c r="C1488" s="332" t="s">
        <v>13489</v>
      </c>
      <c r="D1488" s="134"/>
      <c r="E1488" s="135">
        <v>184.5</v>
      </c>
      <c r="F1488" s="46" t="s">
        <v>9</v>
      </c>
      <c r="G1488" s="749">
        <f t="shared" si="98"/>
        <v>0</v>
      </c>
      <c r="H1488" s="775"/>
    </row>
    <row r="1489" spans="1:8">
      <c r="A1489" s="792">
        <v>43101</v>
      </c>
      <c r="B1489" s="793" t="s">
        <v>13769</v>
      </c>
      <c r="C1489" s="794" t="s">
        <v>13800</v>
      </c>
      <c r="D1489" s="795"/>
      <c r="E1489" s="796">
        <v>402.74</v>
      </c>
      <c r="F1489" s="797" t="s">
        <v>9</v>
      </c>
      <c r="G1489" s="798">
        <f t="shared" si="98"/>
        <v>0</v>
      </c>
      <c r="H1489" s="775"/>
    </row>
    <row r="1490" spans="1:8">
      <c r="A1490" s="792">
        <v>43101</v>
      </c>
      <c r="B1490" s="793" t="s">
        <v>13776</v>
      </c>
      <c r="C1490" s="794" t="s">
        <v>13555</v>
      </c>
      <c r="D1490" s="795"/>
      <c r="E1490" s="796">
        <v>99</v>
      </c>
      <c r="F1490" s="797" t="s">
        <v>9</v>
      </c>
      <c r="G1490" s="798">
        <f t="shared" si="98"/>
        <v>0</v>
      </c>
      <c r="H1490" s="775"/>
    </row>
    <row r="1491" spans="1:8">
      <c r="A1491" s="792">
        <v>43101</v>
      </c>
      <c r="B1491" s="793" t="s">
        <v>13788</v>
      </c>
      <c r="C1491" s="794" t="s">
        <v>13538</v>
      </c>
      <c r="D1491" s="795"/>
      <c r="E1491" s="796">
        <v>49.67</v>
      </c>
      <c r="F1491" s="797" t="s">
        <v>9</v>
      </c>
      <c r="G1491" s="798">
        <f t="shared" si="98"/>
        <v>0</v>
      </c>
      <c r="H1491" s="775"/>
    </row>
    <row r="1492" spans="1:8">
      <c r="A1492" s="792">
        <v>43101</v>
      </c>
      <c r="B1492" s="793" t="s">
        <v>13789</v>
      </c>
      <c r="C1492" s="794" t="s">
        <v>13538</v>
      </c>
      <c r="D1492" s="795"/>
      <c r="E1492" s="796">
        <v>56.33</v>
      </c>
      <c r="F1492" s="797" t="s">
        <v>9</v>
      </c>
      <c r="G1492" s="798">
        <f t="shared" si="98"/>
        <v>0</v>
      </c>
      <c r="H1492" s="775"/>
    </row>
    <row r="1493" spans="1:8">
      <c r="A1493" s="785">
        <v>43101</v>
      </c>
      <c r="B1493" s="337" t="s">
        <v>13797</v>
      </c>
      <c r="C1493" s="332" t="s">
        <v>13657</v>
      </c>
      <c r="D1493" s="134"/>
      <c r="E1493" s="135">
        <v>106.33</v>
      </c>
      <c r="F1493" s="46" t="s">
        <v>9</v>
      </c>
      <c r="G1493" s="749">
        <f t="shared" si="98"/>
        <v>0</v>
      </c>
      <c r="H1493" s="775"/>
    </row>
    <row r="1494" spans="1:8">
      <c r="A1494" s="785">
        <v>43101</v>
      </c>
      <c r="B1494" s="337" t="s">
        <v>13798</v>
      </c>
      <c r="C1494" s="332" t="s">
        <v>13657</v>
      </c>
      <c r="D1494" s="134"/>
      <c r="E1494" s="135">
        <v>222.69</v>
      </c>
      <c r="F1494" s="46" t="s">
        <v>9</v>
      </c>
      <c r="G1494" s="749">
        <f t="shared" si="98"/>
        <v>0</v>
      </c>
      <c r="H1494" s="775"/>
    </row>
    <row r="1495" spans="1:8">
      <c r="A1495" s="785">
        <v>43101</v>
      </c>
      <c r="B1495" s="337" t="s">
        <v>13801</v>
      </c>
      <c r="C1495" s="332" t="s">
        <v>13606</v>
      </c>
      <c r="D1495" s="134"/>
      <c r="E1495" s="135">
        <v>106.42</v>
      </c>
      <c r="F1495" s="46" t="s">
        <v>9</v>
      </c>
      <c r="G1495" s="749">
        <f t="shared" si="98"/>
        <v>0</v>
      </c>
      <c r="H1495" s="775"/>
    </row>
    <row r="1496" spans="1:8">
      <c r="A1496" s="785">
        <v>43101</v>
      </c>
      <c r="B1496" s="337" t="s">
        <v>13802</v>
      </c>
      <c r="C1496" s="332" t="s">
        <v>13437</v>
      </c>
      <c r="D1496" s="134"/>
      <c r="E1496" s="135">
        <v>308</v>
      </c>
      <c r="F1496" s="46" t="s">
        <v>9</v>
      </c>
      <c r="G1496" s="749">
        <f t="shared" si="98"/>
        <v>0</v>
      </c>
      <c r="H1496" s="775"/>
    </row>
    <row r="1497" spans="1:8">
      <c r="A1497" s="785">
        <v>43101</v>
      </c>
      <c r="B1497" s="337" t="s">
        <v>13803</v>
      </c>
      <c r="C1497" s="332" t="s">
        <v>13356</v>
      </c>
      <c r="D1497" s="134"/>
      <c r="E1497" s="135">
        <v>199.8</v>
      </c>
      <c r="F1497" s="46" t="s">
        <v>9</v>
      </c>
      <c r="G1497" s="749">
        <f t="shared" si="98"/>
        <v>0</v>
      </c>
      <c r="H1497" s="775"/>
    </row>
    <row r="1498" spans="1:8">
      <c r="A1498" s="792">
        <v>43105</v>
      </c>
      <c r="B1498" s="793" t="s">
        <v>13751</v>
      </c>
      <c r="C1498" s="794" t="s">
        <v>13414</v>
      </c>
      <c r="D1498" s="795"/>
      <c r="E1498" s="796">
        <v>650</v>
      </c>
      <c r="F1498" s="797" t="s">
        <v>9</v>
      </c>
      <c r="G1498" s="798">
        <f t="shared" si="98"/>
        <v>0</v>
      </c>
      <c r="H1498" s="775"/>
    </row>
    <row r="1499" spans="1:8">
      <c r="A1499" s="786">
        <v>43110</v>
      </c>
      <c r="B1499" s="787" t="s">
        <v>13793</v>
      </c>
      <c r="C1499" s="788" t="s">
        <v>13680</v>
      </c>
      <c r="D1499" s="789"/>
      <c r="E1499" s="790">
        <v>258.48</v>
      </c>
      <c r="F1499" s="791" t="s">
        <v>9</v>
      </c>
      <c r="G1499" s="750">
        <f t="shared" si="98"/>
        <v>0</v>
      </c>
      <c r="H1499" s="775"/>
    </row>
    <row r="1500" spans="1:8">
      <c r="A1500" s="1484"/>
      <c r="B1500" s="1485"/>
      <c r="C1500" s="1486" t="s">
        <v>11197</v>
      </c>
      <c r="D1500" s="1487"/>
      <c r="E1500" s="1488">
        <f>SUM(E1501:E1511)</f>
        <v>2386.11</v>
      </c>
      <c r="F1500" s="1489"/>
      <c r="G1500" s="1490"/>
      <c r="H1500" s="775"/>
    </row>
    <row r="1501" spans="1:8">
      <c r="A1501" s="785">
        <v>43132</v>
      </c>
      <c r="B1501" s="337" t="s">
        <v>13782</v>
      </c>
      <c r="C1501" s="332" t="s">
        <v>13384</v>
      </c>
      <c r="D1501" s="134"/>
      <c r="E1501" s="135">
        <v>69.48</v>
      </c>
      <c r="F1501" s="46" t="s">
        <v>9</v>
      </c>
      <c r="G1501" s="749">
        <f t="shared" ref="G1501:G1511" si="99">IF(F1501="X",0,E1501)</f>
        <v>0</v>
      </c>
      <c r="H1501" s="775"/>
    </row>
    <row r="1502" spans="1:8">
      <c r="A1502" s="792">
        <v>43132</v>
      </c>
      <c r="B1502" s="793" t="s">
        <v>13787</v>
      </c>
      <c r="C1502" s="794" t="s">
        <v>13493</v>
      </c>
      <c r="D1502" s="795"/>
      <c r="E1502" s="796">
        <v>335.95</v>
      </c>
      <c r="F1502" s="797" t="s">
        <v>9</v>
      </c>
      <c r="G1502" s="798">
        <f t="shared" si="99"/>
        <v>0</v>
      </c>
      <c r="H1502" s="775"/>
    </row>
    <row r="1503" spans="1:8">
      <c r="A1503" s="785">
        <v>43132</v>
      </c>
      <c r="B1503" s="337" t="s">
        <v>13790</v>
      </c>
      <c r="C1503" s="332" t="s">
        <v>13454</v>
      </c>
      <c r="D1503" s="134"/>
      <c r="E1503" s="135">
        <v>376.67</v>
      </c>
      <c r="F1503" s="46" t="s">
        <v>9</v>
      </c>
      <c r="G1503" s="749">
        <f t="shared" si="99"/>
        <v>0</v>
      </c>
      <c r="H1503" s="775"/>
    </row>
    <row r="1504" spans="1:8">
      <c r="A1504" s="792">
        <v>43132</v>
      </c>
      <c r="B1504" s="793" t="s">
        <v>13791</v>
      </c>
      <c r="C1504" s="794" t="s">
        <v>13493</v>
      </c>
      <c r="D1504" s="795"/>
      <c r="E1504" s="796">
        <v>184.5</v>
      </c>
      <c r="F1504" s="797" t="s">
        <v>9</v>
      </c>
      <c r="G1504" s="798">
        <f t="shared" si="99"/>
        <v>0</v>
      </c>
      <c r="H1504" s="775"/>
    </row>
    <row r="1505" spans="1:8">
      <c r="A1505" s="792">
        <v>43132</v>
      </c>
      <c r="B1505" s="793" t="s">
        <v>13797</v>
      </c>
      <c r="C1505" s="794" t="s">
        <v>13691</v>
      </c>
      <c r="D1505" s="795"/>
      <c r="E1505" s="796">
        <v>106.33</v>
      </c>
      <c r="F1505" s="797" t="s">
        <v>9</v>
      </c>
      <c r="G1505" s="798">
        <f t="shared" si="99"/>
        <v>0</v>
      </c>
      <c r="H1505" s="775"/>
    </row>
    <row r="1506" spans="1:8">
      <c r="A1506" s="792">
        <v>43132</v>
      </c>
      <c r="B1506" s="793" t="s">
        <v>13798</v>
      </c>
      <c r="C1506" s="794" t="s">
        <v>13691</v>
      </c>
      <c r="D1506" s="795"/>
      <c r="E1506" s="796">
        <v>222.69</v>
      </c>
      <c r="F1506" s="797" t="s">
        <v>9</v>
      </c>
      <c r="G1506" s="798">
        <f t="shared" si="99"/>
        <v>0</v>
      </c>
      <c r="H1506" s="775"/>
    </row>
    <row r="1507" spans="1:8">
      <c r="A1507" s="785">
        <v>43132</v>
      </c>
      <c r="B1507" s="337" t="s">
        <v>13801</v>
      </c>
      <c r="C1507" s="332" t="s">
        <v>13657</v>
      </c>
      <c r="D1507" s="134"/>
      <c r="E1507" s="135">
        <v>106.42</v>
      </c>
      <c r="F1507" s="46" t="s">
        <v>9</v>
      </c>
      <c r="G1507" s="749">
        <f t="shared" si="99"/>
        <v>0</v>
      </c>
      <c r="H1507" s="775"/>
    </row>
    <row r="1508" spans="1:8">
      <c r="A1508" s="785">
        <v>43132</v>
      </c>
      <c r="B1508" s="337" t="s">
        <v>13802</v>
      </c>
      <c r="C1508" s="332" t="s">
        <v>13443</v>
      </c>
      <c r="D1508" s="134"/>
      <c r="E1508" s="135">
        <v>308</v>
      </c>
      <c r="F1508" s="46" t="s">
        <v>9</v>
      </c>
      <c r="G1508" s="749">
        <f t="shared" si="99"/>
        <v>0</v>
      </c>
      <c r="H1508" s="775"/>
    </row>
    <row r="1509" spans="1:8">
      <c r="A1509" s="785">
        <v>43132</v>
      </c>
      <c r="B1509" s="337" t="s">
        <v>13803</v>
      </c>
      <c r="C1509" s="332" t="s">
        <v>13368</v>
      </c>
      <c r="D1509" s="134"/>
      <c r="E1509" s="135">
        <v>199.8</v>
      </c>
      <c r="F1509" s="46" t="s">
        <v>9</v>
      </c>
      <c r="G1509" s="749">
        <f t="shared" si="99"/>
        <v>0</v>
      </c>
      <c r="H1509" s="775"/>
    </row>
    <row r="1510" spans="1:8">
      <c r="A1510" s="785">
        <v>43141</v>
      </c>
      <c r="B1510" s="337" t="s">
        <v>13793</v>
      </c>
      <c r="C1510" s="332" t="s">
        <v>13681</v>
      </c>
      <c r="D1510" s="134"/>
      <c r="E1510" s="135">
        <v>258.48</v>
      </c>
      <c r="F1510" s="46" t="s">
        <v>9</v>
      </c>
      <c r="G1510" s="749">
        <f t="shared" si="99"/>
        <v>0</v>
      </c>
      <c r="H1510" s="775"/>
    </row>
    <row r="1511" spans="1:8">
      <c r="A1511" s="786">
        <v>43141</v>
      </c>
      <c r="B1511" s="787" t="s">
        <v>13804</v>
      </c>
      <c r="C1511" s="788" t="s">
        <v>13356</v>
      </c>
      <c r="D1511" s="789"/>
      <c r="E1511" s="790">
        <v>217.79</v>
      </c>
      <c r="F1511" s="791" t="s">
        <v>9</v>
      </c>
      <c r="G1511" s="750">
        <f t="shared" si="99"/>
        <v>0</v>
      </c>
      <c r="H1511" s="775"/>
    </row>
    <row r="1512" spans="1:8">
      <c r="A1512" s="1484"/>
      <c r="B1512" s="1485"/>
      <c r="C1512" s="1486" t="s">
        <v>11199</v>
      </c>
      <c r="D1512" s="1487"/>
      <c r="E1512" s="1488">
        <f>SUM(E1513:E1521)</f>
        <v>2835.7900000000004</v>
      </c>
      <c r="F1512" s="1489"/>
      <c r="G1512" s="1490"/>
      <c r="H1512" s="775"/>
    </row>
    <row r="1513" spans="1:8">
      <c r="A1513" s="785">
        <v>43160</v>
      </c>
      <c r="B1513" s="337" t="s">
        <v>13782</v>
      </c>
      <c r="C1513" s="332" t="s">
        <v>13387</v>
      </c>
      <c r="D1513" s="134"/>
      <c r="E1513" s="135">
        <v>69.48</v>
      </c>
      <c r="F1513" s="46" t="s">
        <v>9</v>
      </c>
      <c r="G1513" s="749">
        <f t="shared" ref="G1513:G1521" si="100">IF(F1513="X",0,E1513)</f>
        <v>0</v>
      </c>
      <c r="H1513" s="775"/>
    </row>
    <row r="1514" spans="1:8">
      <c r="A1514" s="785">
        <v>43160</v>
      </c>
      <c r="B1514" s="337" t="s">
        <v>13790</v>
      </c>
      <c r="C1514" s="332" t="s">
        <v>13467</v>
      </c>
      <c r="D1514" s="134"/>
      <c r="E1514" s="135">
        <v>376.67</v>
      </c>
      <c r="F1514" s="46" t="s">
        <v>9</v>
      </c>
      <c r="G1514" s="749">
        <f t="shared" si="100"/>
        <v>0</v>
      </c>
      <c r="H1514" s="775"/>
    </row>
    <row r="1515" spans="1:8">
      <c r="A1515" s="792">
        <v>43160</v>
      </c>
      <c r="B1515" s="793" t="s">
        <v>13801</v>
      </c>
      <c r="C1515" s="794" t="s">
        <v>13691</v>
      </c>
      <c r="D1515" s="795"/>
      <c r="E1515" s="796">
        <v>106.42</v>
      </c>
      <c r="F1515" s="797" t="s">
        <v>9</v>
      </c>
      <c r="G1515" s="798">
        <f t="shared" si="100"/>
        <v>0</v>
      </c>
      <c r="H1515" s="775"/>
    </row>
    <row r="1516" spans="1:8">
      <c r="A1516" s="785">
        <v>43160</v>
      </c>
      <c r="B1516" s="337" t="s">
        <v>13802</v>
      </c>
      <c r="C1516" s="332" t="s">
        <v>13448</v>
      </c>
      <c r="D1516" s="134"/>
      <c r="E1516" s="135">
        <v>308</v>
      </c>
      <c r="F1516" s="46" t="s">
        <v>9</v>
      </c>
      <c r="G1516" s="749">
        <f t="shared" si="100"/>
        <v>0</v>
      </c>
      <c r="H1516" s="775"/>
    </row>
    <row r="1517" spans="1:8">
      <c r="A1517" s="785">
        <v>43525</v>
      </c>
      <c r="B1517" s="337" t="s">
        <v>13803</v>
      </c>
      <c r="C1517" s="332" t="s">
        <v>13376</v>
      </c>
      <c r="D1517" s="134"/>
      <c r="E1517" s="135">
        <v>199.8</v>
      </c>
      <c r="F1517" s="46" t="s">
        <v>9</v>
      </c>
      <c r="G1517" s="749">
        <f t="shared" si="100"/>
        <v>0</v>
      </c>
      <c r="H1517" s="775"/>
    </row>
    <row r="1518" spans="1:8">
      <c r="A1518" s="785">
        <v>43160</v>
      </c>
      <c r="B1518" s="337" t="s">
        <v>13805</v>
      </c>
      <c r="C1518" s="332" t="s">
        <v>13521</v>
      </c>
      <c r="D1518" s="134"/>
      <c r="E1518" s="135">
        <v>1013.33</v>
      </c>
      <c r="F1518" s="46" t="s">
        <v>9</v>
      </c>
      <c r="G1518" s="749">
        <f t="shared" si="100"/>
        <v>0</v>
      </c>
      <c r="H1518" s="775"/>
    </row>
    <row r="1519" spans="1:8">
      <c r="A1519" s="785">
        <v>43160</v>
      </c>
      <c r="B1519" s="337" t="s">
        <v>13806</v>
      </c>
      <c r="C1519" s="332" t="s">
        <v>13437</v>
      </c>
      <c r="D1519" s="134"/>
      <c r="E1519" s="135">
        <v>285.82</v>
      </c>
      <c r="F1519" s="46" t="s">
        <v>9</v>
      </c>
      <c r="G1519" s="749">
        <f t="shared" si="100"/>
        <v>0</v>
      </c>
      <c r="H1519" s="775"/>
    </row>
    <row r="1520" spans="1:8">
      <c r="A1520" s="785">
        <v>43169</v>
      </c>
      <c r="B1520" s="337" t="s">
        <v>13793</v>
      </c>
      <c r="C1520" s="332" t="s">
        <v>13684</v>
      </c>
      <c r="D1520" s="134"/>
      <c r="E1520" s="135">
        <v>258.48</v>
      </c>
      <c r="F1520" s="46" t="s">
        <v>9</v>
      </c>
      <c r="G1520" s="749">
        <f t="shared" si="100"/>
        <v>0</v>
      </c>
      <c r="H1520" s="775"/>
    </row>
    <row r="1521" spans="1:8">
      <c r="A1521" s="785">
        <v>43169</v>
      </c>
      <c r="B1521" s="337" t="s">
        <v>13804</v>
      </c>
      <c r="C1521" s="332" t="s">
        <v>13368</v>
      </c>
      <c r="D1521" s="134"/>
      <c r="E1521" s="135">
        <v>217.79</v>
      </c>
      <c r="F1521" s="46" t="s">
        <v>9</v>
      </c>
      <c r="G1521" s="749">
        <f t="shared" si="100"/>
        <v>0</v>
      </c>
      <c r="H1521" s="775"/>
    </row>
    <row r="1522" spans="1:8">
      <c r="A1522" s="1484"/>
      <c r="B1522" s="1485"/>
      <c r="C1522" s="1486" t="s">
        <v>13807</v>
      </c>
      <c r="D1522" s="1487"/>
      <c r="E1522" s="1488">
        <f>SUM(E1523:E1534)</f>
        <v>3695.5700000000006</v>
      </c>
      <c r="F1522" s="1489"/>
      <c r="G1522" s="1490"/>
      <c r="H1522" s="775"/>
    </row>
    <row r="1523" spans="1:8">
      <c r="A1523" s="785">
        <v>42461</v>
      </c>
      <c r="B1523" s="337" t="s">
        <v>13782</v>
      </c>
      <c r="C1523" s="332" t="s">
        <v>13397</v>
      </c>
      <c r="D1523" s="134"/>
      <c r="E1523" s="135">
        <v>69.48</v>
      </c>
      <c r="F1523" s="46" t="s">
        <v>9</v>
      </c>
      <c r="G1523" s="749">
        <f t="shared" ref="G1523:G1534" si="101">IF(F1523="X",0,E1523)</f>
        <v>0</v>
      </c>
      <c r="H1523" s="775"/>
    </row>
    <row r="1524" spans="1:8">
      <c r="A1524" s="792">
        <v>42461</v>
      </c>
      <c r="B1524" s="793" t="s">
        <v>13790</v>
      </c>
      <c r="C1524" s="794" t="s">
        <v>13475</v>
      </c>
      <c r="D1524" s="795"/>
      <c r="E1524" s="796">
        <v>376.67</v>
      </c>
      <c r="F1524" s="797" t="s">
        <v>9</v>
      </c>
      <c r="G1524" s="798">
        <f t="shared" si="101"/>
        <v>0</v>
      </c>
      <c r="H1524" s="775"/>
    </row>
    <row r="1525" spans="1:8">
      <c r="A1525" s="785">
        <v>43191</v>
      </c>
      <c r="B1525" s="337" t="s">
        <v>13802</v>
      </c>
      <c r="C1525" s="332" t="s">
        <v>13454</v>
      </c>
      <c r="D1525" s="134"/>
      <c r="E1525" s="135">
        <v>308</v>
      </c>
      <c r="F1525" s="46" t="s">
        <v>9</v>
      </c>
      <c r="G1525" s="749">
        <f t="shared" si="101"/>
        <v>0</v>
      </c>
      <c r="H1525" s="775"/>
    </row>
    <row r="1526" spans="1:8">
      <c r="A1526" s="785">
        <v>43191</v>
      </c>
      <c r="B1526" s="337" t="s">
        <v>13803</v>
      </c>
      <c r="C1526" s="332" t="s">
        <v>13380</v>
      </c>
      <c r="D1526" s="134"/>
      <c r="E1526" s="135">
        <v>199.8</v>
      </c>
      <c r="F1526" s="46" t="s">
        <v>9</v>
      </c>
      <c r="G1526" s="749">
        <f t="shared" si="101"/>
        <v>0</v>
      </c>
      <c r="H1526" s="775"/>
    </row>
    <row r="1527" spans="1:8">
      <c r="A1527" s="785">
        <v>43191</v>
      </c>
      <c r="B1527" s="337" t="s">
        <v>13805</v>
      </c>
      <c r="C1527" s="332" t="s">
        <v>13531</v>
      </c>
      <c r="D1527" s="134"/>
      <c r="E1527" s="135">
        <v>1013.33</v>
      </c>
      <c r="F1527" s="46" t="s">
        <v>9</v>
      </c>
      <c r="G1527" s="749">
        <f t="shared" si="101"/>
        <v>0</v>
      </c>
      <c r="H1527" s="775"/>
    </row>
    <row r="1528" spans="1:8">
      <c r="A1528" s="785">
        <v>43191</v>
      </c>
      <c r="B1528" s="337" t="s">
        <v>13806</v>
      </c>
      <c r="C1528" s="332" t="s">
        <v>13443</v>
      </c>
      <c r="D1528" s="134"/>
      <c r="E1528" s="135">
        <v>285.82</v>
      </c>
      <c r="F1528" s="46" t="s">
        <v>9</v>
      </c>
      <c r="G1528" s="749">
        <f>IF(F1528="X",0,E1528)</f>
        <v>0</v>
      </c>
      <c r="H1528" s="775"/>
    </row>
    <row r="1529" spans="1:8">
      <c r="A1529" s="785">
        <v>43191</v>
      </c>
      <c r="B1529" s="337" t="s">
        <v>13808</v>
      </c>
      <c r="C1529" s="332" t="s">
        <v>13529</v>
      </c>
      <c r="D1529" s="134"/>
      <c r="E1529" s="135">
        <v>120.5</v>
      </c>
      <c r="F1529" s="46" t="s">
        <v>9</v>
      </c>
      <c r="G1529" s="749">
        <f>IF(F1529="X",0,E1529)</f>
        <v>0</v>
      </c>
      <c r="H1529" s="775"/>
    </row>
    <row r="1530" spans="1:8">
      <c r="A1530" s="785">
        <v>43191</v>
      </c>
      <c r="B1530" s="337" t="s">
        <v>13809</v>
      </c>
      <c r="C1530" s="332" t="s">
        <v>13529</v>
      </c>
      <c r="D1530" s="134"/>
      <c r="E1530" s="135">
        <v>152.58000000000001</v>
      </c>
      <c r="F1530" s="46" t="s">
        <v>9</v>
      </c>
      <c r="G1530" s="749">
        <f>IF(F1530="X",0,E1530)</f>
        <v>0</v>
      </c>
      <c r="H1530" s="775"/>
    </row>
    <row r="1531" spans="1:8">
      <c r="A1531" s="785">
        <v>43191</v>
      </c>
      <c r="B1531" s="337" t="s">
        <v>13810</v>
      </c>
      <c r="C1531" s="332" t="s">
        <v>13437</v>
      </c>
      <c r="D1531" s="134"/>
      <c r="E1531" s="135">
        <v>525</v>
      </c>
      <c r="F1531" s="46" t="s">
        <v>9</v>
      </c>
      <c r="G1531" s="749">
        <f>IF(F1531="X",0,E1531)</f>
        <v>0</v>
      </c>
      <c r="H1531" s="775"/>
    </row>
    <row r="1532" spans="1:8">
      <c r="A1532" s="785">
        <v>43191</v>
      </c>
      <c r="B1532" s="337" t="s">
        <v>13811</v>
      </c>
      <c r="C1532" s="332" t="s">
        <v>13521</v>
      </c>
      <c r="D1532" s="134"/>
      <c r="E1532" s="135">
        <v>242</v>
      </c>
      <c r="F1532" s="46" t="s">
        <v>9</v>
      </c>
      <c r="G1532" s="749">
        <f>IF(F1532="X",0,E1532)</f>
        <v>0</v>
      </c>
      <c r="H1532" s="775"/>
    </row>
    <row r="1533" spans="1:8">
      <c r="A1533" s="785">
        <v>43200</v>
      </c>
      <c r="B1533" s="337" t="s">
        <v>13793</v>
      </c>
      <c r="C1533" s="332" t="s">
        <v>13622</v>
      </c>
      <c r="D1533" s="134"/>
      <c r="E1533" s="135">
        <v>259.11</v>
      </c>
      <c r="F1533" s="46" t="s">
        <v>9</v>
      </c>
      <c r="G1533" s="749">
        <f t="shared" si="101"/>
        <v>0</v>
      </c>
      <c r="H1533" s="775"/>
    </row>
    <row r="1534" spans="1:8">
      <c r="A1534" s="786">
        <v>43200</v>
      </c>
      <c r="B1534" s="787" t="s">
        <v>13804</v>
      </c>
      <c r="C1534" s="788" t="s">
        <v>13376</v>
      </c>
      <c r="D1534" s="789"/>
      <c r="E1534" s="790">
        <v>143.28</v>
      </c>
      <c r="F1534" s="791" t="s">
        <v>9</v>
      </c>
      <c r="G1534" s="750">
        <f t="shared" si="101"/>
        <v>0</v>
      </c>
      <c r="H1534" s="775"/>
    </row>
    <row r="1535" spans="1:8">
      <c r="A1535" s="1484"/>
      <c r="B1535" s="1485"/>
      <c r="C1535" s="1486" t="s">
        <v>13812</v>
      </c>
      <c r="D1535" s="1487"/>
      <c r="E1535" s="1488">
        <f>SUM(E1536:E1547)</f>
        <v>3483.9</v>
      </c>
      <c r="F1535" s="1489"/>
      <c r="G1535" s="1490"/>
      <c r="H1535" s="775"/>
    </row>
    <row r="1536" spans="1:8">
      <c r="A1536" s="785">
        <v>43221</v>
      </c>
      <c r="B1536" s="337" t="s">
        <v>13782</v>
      </c>
      <c r="C1536" s="332" t="s">
        <v>13402</v>
      </c>
      <c r="D1536" s="134"/>
      <c r="E1536" s="135">
        <v>69.48</v>
      </c>
      <c r="F1536" s="46" t="s">
        <v>9</v>
      </c>
      <c r="G1536" s="749">
        <f>IF(F1536="X",0,E1536)</f>
        <v>0</v>
      </c>
      <c r="H1536" s="775"/>
    </row>
    <row r="1537" spans="1:8">
      <c r="A1537" s="792">
        <v>43221</v>
      </c>
      <c r="B1537" s="793" t="s">
        <v>13805</v>
      </c>
      <c r="C1537" s="794" t="s">
        <v>13538</v>
      </c>
      <c r="D1537" s="795"/>
      <c r="E1537" s="796">
        <v>1013.33</v>
      </c>
      <c r="F1537" s="797" t="s">
        <v>9</v>
      </c>
      <c r="G1537" s="798">
        <f t="shared" ref="G1537:G1547" si="102">IF(F1537="X",0,E1537)</f>
        <v>0</v>
      </c>
      <c r="H1537" s="775"/>
    </row>
    <row r="1538" spans="1:8">
      <c r="A1538" s="785">
        <v>43221</v>
      </c>
      <c r="B1538" s="337" t="s">
        <v>13802</v>
      </c>
      <c r="C1538" s="332" t="s">
        <v>13467</v>
      </c>
      <c r="D1538" s="134"/>
      <c r="E1538" s="135">
        <v>308</v>
      </c>
      <c r="F1538" s="46" t="s">
        <v>9</v>
      </c>
      <c r="G1538" s="749">
        <f t="shared" si="102"/>
        <v>0</v>
      </c>
      <c r="H1538" s="775"/>
    </row>
    <row r="1539" spans="1:8">
      <c r="A1539" s="785">
        <v>43221</v>
      </c>
      <c r="B1539" s="337" t="s">
        <v>13803</v>
      </c>
      <c r="C1539" s="332" t="s">
        <v>13384</v>
      </c>
      <c r="D1539" s="134"/>
      <c r="E1539" s="135">
        <v>199.8</v>
      </c>
      <c r="F1539" s="46" t="s">
        <v>9</v>
      </c>
      <c r="G1539" s="749">
        <f t="shared" si="102"/>
        <v>0</v>
      </c>
      <c r="H1539" s="775"/>
    </row>
    <row r="1540" spans="1:8">
      <c r="A1540" s="785">
        <v>43221</v>
      </c>
      <c r="B1540" s="337" t="s">
        <v>13806</v>
      </c>
      <c r="C1540" s="332" t="s">
        <v>13448</v>
      </c>
      <c r="D1540" s="134"/>
      <c r="E1540" s="135">
        <v>285.82</v>
      </c>
      <c r="F1540" s="46" t="s">
        <v>9</v>
      </c>
      <c r="G1540" s="749">
        <f t="shared" si="102"/>
        <v>0</v>
      </c>
      <c r="H1540" s="775"/>
    </row>
    <row r="1541" spans="1:8">
      <c r="A1541" s="785">
        <v>43221</v>
      </c>
      <c r="B1541" s="337" t="s">
        <v>13808</v>
      </c>
      <c r="C1541" s="332" t="s">
        <v>13537</v>
      </c>
      <c r="D1541" s="134"/>
      <c r="E1541" s="135">
        <v>120.5</v>
      </c>
      <c r="F1541" s="46" t="s">
        <v>9</v>
      </c>
      <c r="G1541" s="749">
        <f t="shared" si="102"/>
        <v>0</v>
      </c>
      <c r="H1541" s="775"/>
    </row>
    <row r="1542" spans="1:8">
      <c r="A1542" s="785">
        <v>43221</v>
      </c>
      <c r="B1542" s="337" t="s">
        <v>13809</v>
      </c>
      <c r="C1542" s="332" t="s">
        <v>13537</v>
      </c>
      <c r="D1542" s="134"/>
      <c r="E1542" s="135">
        <v>152.58000000000001</v>
      </c>
      <c r="F1542" s="46" t="s">
        <v>9</v>
      </c>
      <c r="G1542" s="749">
        <f t="shared" si="102"/>
        <v>0</v>
      </c>
      <c r="H1542" s="775"/>
    </row>
    <row r="1543" spans="1:8">
      <c r="A1543" s="785">
        <v>43221</v>
      </c>
      <c r="B1543" s="337" t="s">
        <v>13810</v>
      </c>
      <c r="C1543" s="332" t="s">
        <v>13443</v>
      </c>
      <c r="D1543" s="134"/>
      <c r="E1543" s="135">
        <v>525</v>
      </c>
      <c r="F1543" s="46" t="s">
        <v>9</v>
      </c>
      <c r="G1543" s="749">
        <f>IF(F1543="X",0,E1543)</f>
        <v>0</v>
      </c>
      <c r="H1543" s="775"/>
    </row>
    <row r="1544" spans="1:8">
      <c r="A1544" s="785">
        <v>43221</v>
      </c>
      <c r="B1544" s="337" t="s">
        <v>13811</v>
      </c>
      <c r="C1544" s="332" t="s">
        <v>13531</v>
      </c>
      <c r="D1544" s="134"/>
      <c r="E1544" s="135">
        <v>242</v>
      </c>
      <c r="F1544" s="46" t="s">
        <v>9</v>
      </c>
      <c r="G1544" s="749">
        <f>IF(F1544="X",0,E1544)</f>
        <v>0</v>
      </c>
      <c r="H1544" s="775"/>
    </row>
    <row r="1545" spans="1:8">
      <c r="A1545" s="785">
        <v>43221</v>
      </c>
      <c r="B1545" s="337" t="s">
        <v>13813</v>
      </c>
      <c r="C1545" s="332" t="s">
        <v>13479</v>
      </c>
      <c r="D1545" s="134"/>
      <c r="E1545" s="135">
        <v>165</v>
      </c>
      <c r="F1545" s="46" t="s">
        <v>9</v>
      </c>
      <c r="G1545" s="749">
        <f>IF(F1545="X",0,E1545)</f>
        <v>0</v>
      </c>
      <c r="H1545" s="775"/>
    </row>
    <row r="1546" spans="1:8">
      <c r="A1546" s="785">
        <v>43230</v>
      </c>
      <c r="B1546" s="337" t="s">
        <v>13793</v>
      </c>
      <c r="C1546" s="332" t="s">
        <v>13626</v>
      </c>
      <c r="D1546" s="134"/>
      <c r="E1546" s="135">
        <v>259.11</v>
      </c>
      <c r="F1546" s="46" t="s">
        <v>120</v>
      </c>
      <c r="G1546" s="749">
        <f>IF(F1546="X",0,E1546)</f>
        <v>0</v>
      </c>
      <c r="H1546" s="775"/>
    </row>
    <row r="1547" spans="1:8">
      <c r="A1547" s="786">
        <v>43230</v>
      </c>
      <c r="B1547" s="787" t="s">
        <v>13804</v>
      </c>
      <c r="C1547" s="788" t="s">
        <v>13380</v>
      </c>
      <c r="D1547" s="789"/>
      <c r="E1547" s="790">
        <v>143.28</v>
      </c>
      <c r="F1547" s="791" t="s">
        <v>120</v>
      </c>
      <c r="G1547" s="750">
        <f t="shared" si="102"/>
        <v>0</v>
      </c>
      <c r="H1547" s="775"/>
    </row>
    <row r="1548" spans="1:8">
      <c r="A1548" s="1484"/>
      <c r="B1548" s="1485"/>
      <c r="C1548" s="1486" t="s">
        <v>13814</v>
      </c>
      <c r="D1548" s="1487"/>
      <c r="E1548" s="1488">
        <f>SUM(E1549:E1562)</f>
        <v>3399.7000000000003</v>
      </c>
      <c r="F1548" s="1489"/>
      <c r="G1548" s="1490"/>
      <c r="H1548" s="775"/>
    </row>
    <row r="1549" spans="1:8">
      <c r="A1549" s="785">
        <v>43252</v>
      </c>
      <c r="B1549" s="337" t="s">
        <v>13815</v>
      </c>
      <c r="C1549" s="332" t="s">
        <v>13521</v>
      </c>
      <c r="D1549" s="134"/>
      <c r="E1549" s="135">
        <v>219.33</v>
      </c>
      <c r="F1549" s="46" t="s">
        <v>9</v>
      </c>
      <c r="G1549" s="749">
        <f>IF(F1549="X",0,E1549)</f>
        <v>0</v>
      </c>
      <c r="H1549" s="775"/>
    </row>
    <row r="1550" spans="1:8">
      <c r="A1550" s="785">
        <v>43252</v>
      </c>
      <c r="B1550" s="337" t="s">
        <v>13782</v>
      </c>
      <c r="C1550" s="332" t="s">
        <v>13409</v>
      </c>
      <c r="D1550" s="134"/>
      <c r="E1550" s="135">
        <v>69.48</v>
      </c>
      <c r="F1550" s="46" t="s">
        <v>9</v>
      </c>
      <c r="G1550" s="749">
        <f>IF(F1550="X",0,E1550)</f>
        <v>0</v>
      </c>
      <c r="H1550" s="775"/>
    </row>
    <row r="1551" spans="1:8">
      <c r="A1551" s="792">
        <v>43252</v>
      </c>
      <c r="B1551" s="793" t="s">
        <v>13802</v>
      </c>
      <c r="C1551" s="794" t="s">
        <v>13475</v>
      </c>
      <c r="D1551" s="795"/>
      <c r="E1551" s="796">
        <v>308</v>
      </c>
      <c r="F1551" s="797" t="s">
        <v>9</v>
      </c>
      <c r="G1551" s="798">
        <f t="shared" ref="G1551:G1562" si="103">IF(F1551="X",0,E1551)</f>
        <v>0</v>
      </c>
      <c r="H1551" s="775"/>
    </row>
    <row r="1552" spans="1:8">
      <c r="A1552" s="785">
        <v>40330</v>
      </c>
      <c r="B1552" s="337" t="s">
        <v>13803</v>
      </c>
      <c r="C1552" s="332" t="s">
        <v>13387</v>
      </c>
      <c r="D1552" s="134"/>
      <c r="E1552" s="135">
        <v>199.8</v>
      </c>
      <c r="F1552" s="46" t="s">
        <v>9</v>
      </c>
      <c r="G1552" s="749">
        <f t="shared" si="103"/>
        <v>0</v>
      </c>
      <c r="H1552" s="775"/>
    </row>
    <row r="1553" spans="1:8">
      <c r="A1553" s="785">
        <v>43252</v>
      </c>
      <c r="B1553" s="337" t="s">
        <v>13806</v>
      </c>
      <c r="C1553" s="332" t="s">
        <v>13454</v>
      </c>
      <c r="D1553" s="134"/>
      <c r="E1553" s="135">
        <v>285.82</v>
      </c>
      <c r="F1553" s="46" t="s">
        <v>9</v>
      </c>
      <c r="G1553" s="749">
        <f t="shared" si="103"/>
        <v>0</v>
      </c>
      <c r="H1553" s="775"/>
    </row>
    <row r="1554" spans="1:8">
      <c r="A1554" s="785">
        <v>43252</v>
      </c>
      <c r="B1554" s="337" t="s">
        <v>13808</v>
      </c>
      <c r="C1554" s="332" t="s">
        <v>13542</v>
      </c>
      <c r="D1554" s="134"/>
      <c r="E1554" s="135">
        <v>120.5</v>
      </c>
      <c r="F1554" s="46" t="s">
        <v>9</v>
      </c>
      <c r="G1554" s="749">
        <f t="shared" si="103"/>
        <v>0</v>
      </c>
      <c r="H1554" s="775"/>
    </row>
    <row r="1555" spans="1:8">
      <c r="A1555" s="785">
        <v>43252</v>
      </c>
      <c r="B1555" s="337" t="s">
        <v>13809</v>
      </c>
      <c r="C1555" s="332" t="s">
        <v>13542</v>
      </c>
      <c r="D1555" s="134"/>
      <c r="E1555" s="135">
        <v>152.58000000000001</v>
      </c>
      <c r="F1555" s="46" t="s">
        <v>9</v>
      </c>
      <c r="G1555" s="749">
        <f t="shared" si="103"/>
        <v>0</v>
      </c>
      <c r="H1555" s="775"/>
    </row>
    <row r="1556" spans="1:8">
      <c r="A1556" s="785">
        <v>43252</v>
      </c>
      <c r="B1556" s="337" t="s">
        <v>13810</v>
      </c>
      <c r="C1556" s="332" t="s">
        <v>13448</v>
      </c>
      <c r="D1556" s="134"/>
      <c r="E1556" s="135">
        <v>525</v>
      </c>
      <c r="F1556" s="46" t="s">
        <v>9</v>
      </c>
      <c r="G1556" s="749">
        <f t="shared" ref="G1556:G1561" si="104">IF(F1556="X",0,E1556)</f>
        <v>0</v>
      </c>
      <c r="H1556" s="775"/>
    </row>
    <row r="1557" spans="1:8">
      <c r="A1557" s="792">
        <v>43252</v>
      </c>
      <c r="B1557" s="793" t="s">
        <v>13811</v>
      </c>
      <c r="C1557" s="794" t="s">
        <v>13538</v>
      </c>
      <c r="D1557" s="795"/>
      <c r="E1557" s="796">
        <v>242</v>
      </c>
      <c r="F1557" s="797" t="s">
        <v>9</v>
      </c>
      <c r="G1557" s="798">
        <f t="shared" si="104"/>
        <v>0</v>
      </c>
      <c r="H1557" s="775"/>
    </row>
    <row r="1558" spans="1:8">
      <c r="A1558" s="792">
        <v>43252</v>
      </c>
      <c r="B1558" s="793" t="s">
        <v>13813</v>
      </c>
      <c r="C1558" s="794" t="s">
        <v>13485</v>
      </c>
      <c r="D1558" s="795"/>
      <c r="E1558" s="796">
        <v>165</v>
      </c>
      <c r="F1558" s="797" t="s">
        <v>9</v>
      </c>
      <c r="G1558" s="798">
        <f t="shared" si="104"/>
        <v>0</v>
      </c>
      <c r="H1558" s="775"/>
    </row>
    <row r="1559" spans="1:8">
      <c r="A1559" s="785">
        <v>43252</v>
      </c>
      <c r="B1559" s="337" t="s">
        <v>13816</v>
      </c>
      <c r="C1559" s="332" t="s">
        <v>13521</v>
      </c>
      <c r="D1559" s="134"/>
      <c r="E1559" s="135">
        <v>249.99</v>
      </c>
      <c r="F1559" s="46" t="s">
        <v>9</v>
      </c>
      <c r="G1559" s="749">
        <f t="shared" si="104"/>
        <v>0</v>
      </c>
      <c r="H1559" s="775"/>
    </row>
    <row r="1560" spans="1:8">
      <c r="A1560" s="785">
        <v>43252</v>
      </c>
      <c r="B1560" s="337" t="s">
        <v>13817</v>
      </c>
      <c r="C1560" s="332" t="s">
        <v>13614</v>
      </c>
      <c r="D1560" s="134"/>
      <c r="E1560" s="135">
        <v>459.81</v>
      </c>
      <c r="F1560" s="46" t="s">
        <v>9</v>
      </c>
      <c r="G1560" s="749">
        <f t="shared" si="104"/>
        <v>0</v>
      </c>
      <c r="H1560" s="775"/>
    </row>
    <row r="1561" spans="1:8">
      <c r="A1561" s="785">
        <v>43261</v>
      </c>
      <c r="B1561" s="337" t="s">
        <v>13793</v>
      </c>
      <c r="C1561" s="332" t="s">
        <v>13632</v>
      </c>
      <c r="D1561" s="134"/>
      <c r="E1561" s="135">
        <v>259.11</v>
      </c>
      <c r="F1561" s="46" t="s">
        <v>9</v>
      </c>
      <c r="G1561" s="749">
        <f t="shared" si="104"/>
        <v>0</v>
      </c>
      <c r="H1561" s="775"/>
    </row>
    <row r="1562" spans="1:8">
      <c r="A1562" s="786">
        <v>43261</v>
      </c>
      <c r="B1562" s="787" t="s">
        <v>13804</v>
      </c>
      <c r="C1562" s="788" t="s">
        <v>13384</v>
      </c>
      <c r="D1562" s="789"/>
      <c r="E1562" s="790">
        <v>143.28</v>
      </c>
      <c r="F1562" s="791" t="s">
        <v>9</v>
      </c>
      <c r="G1562" s="750">
        <f t="shared" si="103"/>
        <v>0</v>
      </c>
      <c r="H1562" s="775"/>
    </row>
    <row r="1563" spans="1:8">
      <c r="A1563" s="1484"/>
      <c r="B1563" s="1485"/>
      <c r="C1563" s="1486" t="s">
        <v>13818</v>
      </c>
      <c r="D1563" s="1487"/>
      <c r="E1563" s="1488">
        <f>SUM(E1564:E1574)</f>
        <v>2684.7000000000003</v>
      </c>
      <c r="F1563" s="1489"/>
      <c r="G1563" s="1490"/>
      <c r="H1563" s="775"/>
    </row>
    <row r="1564" spans="1:8">
      <c r="A1564" s="785">
        <v>43282</v>
      </c>
      <c r="B1564" s="337" t="s">
        <v>13815</v>
      </c>
      <c r="C1564" s="332" t="s">
        <v>13531</v>
      </c>
      <c r="D1564" s="134"/>
      <c r="E1564" s="135">
        <v>219.33</v>
      </c>
      <c r="F1564" s="46" t="s">
        <v>9</v>
      </c>
      <c r="G1564" s="749">
        <f>IF(F1564="X",0,E1564)</f>
        <v>0</v>
      </c>
      <c r="H1564" s="775"/>
    </row>
    <row r="1565" spans="1:8">
      <c r="A1565" s="792">
        <v>43282</v>
      </c>
      <c r="B1565" s="793" t="s">
        <v>13782</v>
      </c>
      <c r="C1565" s="794" t="s">
        <v>13414</v>
      </c>
      <c r="D1565" s="795"/>
      <c r="E1565" s="796">
        <v>69.48</v>
      </c>
      <c r="F1565" s="797" t="s">
        <v>9</v>
      </c>
      <c r="G1565" s="798">
        <f>IF(F1565="X",0,E1565)</f>
        <v>0</v>
      </c>
      <c r="H1565" s="775"/>
    </row>
    <row r="1566" spans="1:8">
      <c r="A1566" s="785">
        <v>43282</v>
      </c>
      <c r="B1566" s="337" t="s">
        <v>13803</v>
      </c>
      <c r="C1566" s="332" t="s">
        <v>13397</v>
      </c>
      <c r="D1566" s="134"/>
      <c r="E1566" s="135">
        <v>199.8</v>
      </c>
      <c r="F1566" s="46" t="s">
        <v>9</v>
      </c>
      <c r="G1566" s="749">
        <f t="shared" ref="G1566:G1574" si="105">IF(F1566="X",0,E1566)</f>
        <v>0</v>
      </c>
      <c r="H1566" s="775"/>
    </row>
    <row r="1567" spans="1:8">
      <c r="A1567" s="785">
        <v>43282</v>
      </c>
      <c r="B1567" s="337" t="s">
        <v>13806</v>
      </c>
      <c r="C1567" s="332" t="s">
        <v>13467</v>
      </c>
      <c r="D1567" s="134"/>
      <c r="E1567" s="135">
        <v>285.82</v>
      </c>
      <c r="F1567" s="46" t="s">
        <v>9</v>
      </c>
      <c r="G1567" s="749">
        <f t="shared" si="105"/>
        <v>0</v>
      </c>
      <c r="H1567" s="775"/>
    </row>
    <row r="1568" spans="1:8">
      <c r="A1568" s="785">
        <v>43282</v>
      </c>
      <c r="B1568" s="337" t="s">
        <v>13808</v>
      </c>
      <c r="C1568" s="332" t="s">
        <v>13550</v>
      </c>
      <c r="D1568" s="134"/>
      <c r="E1568" s="135">
        <v>120.5</v>
      </c>
      <c r="F1568" s="46" t="s">
        <v>9</v>
      </c>
      <c r="G1568" s="749">
        <f t="shared" si="105"/>
        <v>0</v>
      </c>
      <c r="H1568" s="775"/>
    </row>
    <row r="1569" spans="1:8">
      <c r="A1569" s="785">
        <v>43282</v>
      </c>
      <c r="B1569" s="337" t="s">
        <v>13809</v>
      </c>
      <c r="C1569" s="332" t="s">
        <v>13550</v>
      </c>
      <c r="D1569" s="134"/>
      <c r="E1569" s="135">
        <v>152.58000000000001</v>
      </c>
      <c r="F1569" s="46" t="s">
        <v>9</v>
      </c>
      <c r="G1569" s="749">
        <f t="shared" si="105"/>
        <v>0</v>
      </c>
      <c r="H1569" s="775"/>
    </row>
    <row r="1570" spans="1:8">
      <c r="A1570" s="785">
        <v>43282</v>
      </c>
      <c r="B1570" s="337" t="s">
        <v>13810</v>
      </c>
      <c r="C1570" s="332" t="s">
        <v>13454</v>
      </c>
      <c r="D1570" s="134"/>
      <c r="E1570" s="135">
        <v>525</v>
      </c>
      <c r="F1570" s="46" t="s">
        <v>9</v>
      </c>
      <c r="G1570" s="749">
        <f t="shared" si="105"/>
        <v>0</v>
      </c>
      <c r="H1570" s="775"/>
    </row>
    <row r="1571" spans="1:8">
      <c r="A1571" s="785">
        <v>43282</v>
      </c>
      <c r="B1571" s="337" t="s">
        <v>13816</v>
      </c>
      <c r="C1571" s="332" t="s">
        <v>13657</v>
      </c>
      <c r="D1571" s="134"/>
      <c r="E1571" s="135">
        <v>249.99</v>
      </c>
      <c r="F1571" s="46" t="s">
        <v>9</v>
      </c>
      <c r="G1571" s="749">
        <f t="shared" si="105"/>
        <v>0</v>
      </c>
      <c r="H1571" s="775"/>
    </row>
    <row r="1572" spans="1:8">
      <c r="A1572" s="785">
        <v>43282</v>
      </c>
      <c r="B1572" s="337" t="s">
        <v>13817</v>
      </c>
      <c r="C1572" s="332" t="s">
        <v>13368</v>
      </c>
      <c r="D1572" s="134"/>
      <c r="E1572" s="135">
        <v>459.81</v>
      </c>
      <c r="F1572" s="46" t="s">
        <v>9</v>
      </c>
      <c r="G1572" s="749">
        <f>IF(F1572="X",0,E1572)</f>
        <v>0</v>
      </c>
      <c r="H1572" s="775"/>
    </row>
    <row r="1573" spans="1:8">
      <c r="A1573" s="785">
        <v>43291</v>
      </c>
      <c r="B1573" s="337" t="s">
        <v>13793</v>
      </c>
      <c r="C1573" s="332" t="s">
        <v>13636</v>
      </c>
      <c r="D1573" s="134"/>
      <c r="E1573" s="135">
        <v>259.11</v>
      </c>
      <c r="F1573" s="46" t="s">
        <v>9</v>
      </c>
      <c r="G1573" s="749">
        <f t="shared" si="105"/>
        <v>0</v>
      </c>
      <c r="H1573" s="775"/>
    </row>
    <row r="1574" spans="1:8">
      <c r="A1574" s="786">
        <v>43291</v>
      </c>
      <c r="B1574" s="787" t="s">
        <v>13804</v>
      </c>
      <c r="C1574" s="788" t="s">
        <v>13387</v>
      </c>
      <c r="D1574" s="789"/>
      <c r="E1574" s="790">
        <v>143.28</v>
      </c>
      <c r="F1574" s="791" t="s">
        <v>9</v>
      </c>
      <c r="G1574" s="750">
        <f t="shared" si="105"/>
        <v>0</v>
      </c>
      <c r="H1574" s="775"/>
    </row>
    <row r="1575" spans="1:8">
      <c r="A1575" s="1484"/>
      <c r="B1575" s="1485"/>
      <c r="C1575" s="1486" t="s">
        <v>13819</v>
      </c>
      <c r="D1575" s="1487"/>
      <c r="E1575" s="1488">
        <f>SUM(E1576:E1588)</f>
        <v>3633.3900000000008</v>
      </c>
      <c r="F1575" s="1489"/>
      <c r="G1575" s="1490"/>
      <c r="H1575" s="775"/>
    </row>
    <row r="1576" spans="1:8">
      <c r="A1576" s="792">
        <v>43313</v>
      </c>
      <c r="B1576" s="793" t="s">
        <v>13815</v>
      </c>
      <c r="C1576" s="794" t="s">
        <v>13538</v>
      </c>
      <c r="D1576" s="795"/>
      <c r="E1576" s="796">
        <v>219.33</v>
      </c>
      <c r="F1576" s="797" t="s">
        <v>9</v>
      </c>
      <c r="G1576" s="798">
        <f t="shared" ref="G1576:G1588" si="106">IF(F1576="X",0,E1576)</f>
        <v>0</v>
      </c>
      <c r="H1576" s="775"/>
    </row>
    <row r="1577" spans="1:8">
      <c r="A1577" s="785">
        <v>43313</v>
      </c>
      <c r="B1577" s="337" t="s">
        <v>13803</v>
      </c>
      <c r="C1577" s="332" t="s">
        <v>13402</v>
      </c>
      <c r="D1577" s="134"/>
      <c r="E1577" s="135">
        <v>199.8</v>
      </c>
      <c r="F1577" s="46" t="s">
        <v>9</v>
      </c>
      <c r="G1577" s="749">
        <f t="shared" si="106"/>
        <v>0</v>
      </c>
      <c r="H1577" s="775"/>
    </row>
    <row r="1578" spans="1:8">
      <c r="A1578" s="792">
        <v>43313</v>
      </c>
      <c r="B1578" s="793" t="s">
        <v>13806</v>
      </c>
      <c r="C1578" s="794" t="s">
        <v>13475</v>
      </c>
      <c r="D1578" s="795"/>
      <c r="E1578" s="796">
        <v>285.82</v>
      </c>
      <c r="F1578" s="797" t="s">
        <v>9</v>
      </c>
      <c r="G1578" s="798">
        <f t="shared" si="106"/>
        <v>0</v>
      </c>
      <c r="H1578" s="775"/>
    </row>
    <row r="1579" spans="1:8">
      <c r="A1579" s="785">
        <v>43313</v>
      </c>
      <c r="B1579" s="337" t="s">
        <v>13808</v>
      </c>
      <c r="C1579" s="332" t="s">
        <v>13554</v>
      </c>
      <c r="D1579" s="134"/>
      <c r="E1579" s="135">
        <v>120.5</v>
      </c>
      <c r="F1579" s="46" t="s">
        <v>9</v>
      </c>
      <c r="G1579" s="749">
        <f t="shared" si="106"/>
        <v>0</v>
      </c>
      <c r="H1579" s="775"/>
    </row>
    <row r="1580" spans="1:8">
      <c r="A1580" s="785">
        <v>43313</v>
      </c>
      <c r="B1580" s="337" t="s">
        <v>13809</v>
      </c>
      <c r="C1580" s="332" t="s">
        <v>13554</v>
      </c>
      <c r="D1580" s="134"/>
      <c r="E1580" s="135">
        <v>152.58000000000001</v>
      </c>
      <c r="F1580" s="46" t="s">
        <v>9</v>
      </c>
      <c r="G1580" s="749">
        <f t="shared" si="106"/>
        <v>0</v>
      </c>
      <c r="H1580" s="775"/>
    </row>
    <row r="1581" spans="1:8">
      <c r="A1581" s="785">
        <v>43313</v>
      </c>
      <c r="B1581" s="337" t="s">
        <v>13810</v>
      </c>
      <c r="C1581" s="332" t="s">
        <v>13467</v>
      </c>
      <c r="D1581" s="134"/>
      <c r="E1581" s="135">
        <v>525</v>
      </c>
      <c r="F1581" s="46" t="s">
        <v>9</v>
      </c>
      <c r="G1581" s="749">
        <f t="shared" si="106"/>
        <v>0</v>
      </c>
      <c r="H1581" s="775"/>
    </row>
    <row r="1582" spans="1:8">
      <c r="A1582" s="792">
        <v>43313</v>
      </c>
      <c r="B1582" s="793" t="s">
        <v>13816</v>
      </c>
      <c r="C1582" s="794" t="s">
        <v>13538</v>
      </c>
      <c r="D1582" s="795"/>
      <c r="E1582" s="796">
        <v>249.99</v>
      </c>
      <c r="F1582" s="797" t="s">
        <v>9</v>
      </c>
      <c r="G1582" s="798">
        <f t="shared" si="106"/>
        <v>0</v>
      </c>
      <c r="H1582" s="775"/>
    </row>
    <row r="1583" spans="1:8">
      <c r="A1583" s="785">
        <v>43313</v>
      </c>
      <c r="B1583" s="337" t="s">
        <v>13817</v>
      </c>
      <c r="C1583" s="332" t="s">
        <v>13621</v>
      </c>
      <c r="D1583" s="134"/>
      <c r="E1583" s="135">
        <v>459.81</v>
      </c>
      <c r="F1583" s="46" t="s">
        <v>9</v>
      </c>
      <c r="G1583" s="749">
        <f>IF(F1583="X",0,E1583)</f>
        <v>0</v>
      </c>
      <c r="H1583" s="775"/>
    </row>
    <row r="1584" spans="1:8">
      <c r="A1584" s="785">
        <v>43313</v>
      </c>
      <c r="B1584" s="337" t="s">
        <v>13820</v>
      </c>
      <c r="C1584" s="332" t="s">
        <v>13521</v>
      </c>
      <c r="D1584" s="134"/>
      <c r="E1584" s="135">
        <v>138.62</v>
      </c>
      <c r="F1584" s="46" t="s">
        <v>9</v>
      </c>
      <c r="G1584" s="749">
        <f>IF(F1584="X",0,E1584)</f>
        <v>0</v>
      </c>
      <c r="H1584" s="775"/>
    </row>
    <row r="1585" spans="1:8">
      <c r="A1585" s="785">
        <v>43313</v>
      </c>
      <c r="B1585" s="337" t="s">
        <v>13821</v>
      </c>
      <c r="C1585" s="332" t="s">
        <v>13437</v>
      </c>
      <c r="D1585" s="134"/>
      <c r="E1585" s="135">
        <v>724.88</v>
      </c>
      <c r="F1585" s="46" t="s">
        <v>9</v>
      </c>
      <c r="G1585" s="749">
        <f>IF(F1585="X",0,E1585)</f>
        <v>0</v>
      </c>
      <c r="H1585" s="775"/>
    </row>
    <row r="1586" spans="1:8">
      <c r="A1586" s="785">
        <v>43313</v>
      </c>
      <c r="B1586" s="337" t="s">
        <v>13822</v>
      </c>
      <c r="C1586" s="332" t="s">
        <v>13479</v>
      </c>
      <c r="D1586" s="134"/>
      <c r="E1586" s="135">
        <v>154.66999999999999</v>
      </c>
      <c r="F1586" s="46" t="s">
        <v>9</v>
      </c>
      <c r="G1586" s="749">
        <f>IF(F1586="X",0,E1586)</f>
        <v>0</v>
      </c>
      <c r="H1586" s="775"/>
    </row>
    <row r="1587" spans="1:8">
      <c r="A1587" s="785">
        <v>43322</v>
      </c>
      <c r="B1587" s="337" t="s">
        <v>13793</v>
      </c>
      <c r="C1587" s="332" t="s">
        <v>13637</v>
      </c>
      <c r="D1587" s="134"/>
      <c r="E1587" s="135">
        <v>259.11</v>
      </c>
      <c r="F1587" s="46" t="s">
        <v>9</v>
      </c>
      <c r="G1587" s="749">
        <f t="shared" si="106"/>
        <v>0</v>
      </c>
      <c r="H1587" s="775"/>
    </row>
    <row r="1588" spans="1:8">
      <c r="A1588" s="786">
        <v>43322</v>
      </c>
      <c r="B1588" s="787" t="s">
        <v>13804</v>
      </c>
      <c r="C1588" s="788" t="s">
        <v>13397</v>
      </c>
      <c r="D1588" s="789"/>
      <c r="E1588" s="790">
        <v>143.28</v>
      </c>
      <c r="F1588" s="791" t="s">
        <v>9</v>
      </c>
      <c r="G1588" s="750">
        <f t="shared" si="106"/>
        <v>0</v>
      </c>
      <c r="H1588" s="775"/>
    </row>
    <row r="1589" spans="1:8">
      <c r="A1589" s="1484"/>
      <c r="B1589" s="1485"/>
      <c r="C1589" s="1486" t="s">
        <v>13823</v>
      </c>
      <c r="D1589" s="1487"/>
      <c r="E1589" s="1488">
        <f>SUM(E1590:E1603)</f>
        <v>3806.6800000000003</v>
      </c>
      <c r="F1589" s="1489"/>
      <c r="G1589" s="1490"/>
      <c r="H1589" s="775"/>
    </row>
    <row r="1590" spans="1:8">
      <c r="A1590" s="785">
        <v>43344</v>
      </c>
      <c r="B1590" s="337" t="s">
        <v>13803</v>
      </c>
      <c r="C1590" s="332" t="s">
        <v>13409</v>
      </c>
      <c r="D1590" s="134"/>
      <c r="E1590" s="135">
        <v>199.8</v>
      </c>
      <c r="F1590" s="46" t="s">
        <v>9</v>
      </c>
      <c r="G1590" s="749">
        <f>IF(F1590="X",0,E1590)</f>
        <v>0</v>
      </c>
      <c r="H1590" s="775"/>
    </row>
    <row r="1591" spans="1:8">
      <c r="A1591" s="785">
        <v>43344</v>
      </c>
      <c r="B1591" s="337" t="s">
        <v>13808</v>
      </c>
      <c r="C1591" s="332" t="s">
        <v>13561</v>
      </c>
      <c r="D1591" s="134"/>
      <c r="E1591" s="135">
        <v>120.5</v>
      </c>
      <c r="F1591" s="46" t="s">
        <v>9</v>
      </c>
      <c r="G1591" s="749">
        <f>IF(F1591="X",0,E1591)</f>
        <v>0</v>
      </c>
      <c r="H1591" s="775"/>
    </row>
    <row r="1592" spans="1:8">
      <c r="A1592" s="785">
        <v>43344</v>
      </c>
      <c r="B1592" s="337" t="s">
        <v>13809</v>
      </c>
      <c r="C1592" s="332" t="s">
        <v>13561</v>
      </c>
      <c r="D1592" s="134"/>
      <c r="E1592" s="135">
        <v>152.58000000000001</v>
      </c>
      <c r="F1592" s="46" t="s">
        <v>9</v>
      </c>
      <c r="G1592" s="749">
        <f>IF(F1592="X",0,E1592)</f>
        <v>0</v>
      </c>
      <c r="H1592" s="775"/>
    </row>
    <row r="1593" spans="1:8">
      <c r="A1593" s="792">
        <v>43344</v>
      </c>
      <c r="B1593" s="793" t="s">
        <v>13810</v>
      </c>
      <c r="C1593" s="794" t="s">
        <v>13475</v>
      </c>
      <c r="D1593" s="795"/>
      <c r="E1593" s="796">
        <v>525</v>
      </c>
      <c r="F1593" s="797" t="s">
        <v>9</v>
      </c>
      <c r="G1593" s="798">
        <f>IF(F1593="X",0,E1593)</f>
        <v>0</v>
      </c>
      <c r="H1593" s="775"/>
    </row>
    <row r="1594" spans="1:8">
      <c r="A1594" s="785">
        <v>43344</v>
      </c>
      <c r="B1594" s="337" t="s">
        <v>13817</v>
      </c>
      <c r="C1594" s="332" t="s">
        <v>13380</v>
      </c>
      <c r="D1594" s="134"/>
      <c r="E1594" s="135">
        <v>459.81</v>
      </c>
      <c r="F1594" s="46" t="s">
        <v>9</v>
      </c>
      <c r="G1594" s="749">
        <f t="shared" ref="G1594:G1601" si="107">IF(F1594="X",0,E1594)</f>
        <v>0</v>
      </c>
      <c r="H1594" s="775"/>
    </row>
    <row r="1595" spans="1:8">
      <c r="A1595" s="792">
        <v>43344</v>
      </c>
      <c r="B1595" s="793" t="s">
        <v>13820</v>
      </c>
      <c r="C1595" s="794" t="s">
        <v>13538</v>
      </c>
      <c r="D1595" s="795"/>
      <c r="E1595" s="796">
        <v>138.62</v>
      </c>
      <c r="F1595" s="797" t="s">
        <v>9</v>
      </c>
      <c r="G1595" s="798">
        <f t="shared" si="107"/>
        <v>0</v>
      </c>
      <c r="H1595" s="775"/>
    </row>
    <row r="1596" spans="1:8">
      <c r="A1596" s="785">
        <v>43344</v>
      </c>
      <c r="B1596" s="337" t="s">
        <v>13821</v>
      </c>
      <c r="C1596" s="332" t="s">
        <v>13443</v>
      </c>
      <c r="D1596" s="134"/>
      <c r="E1596" s="135">
        <v>724.88</v>
      </c>
      <c r="F1596" s="46" t="s">
        <v>9</v>
      </c>
      <c r="G1596" s="749">
        <f t="shared" si="107"/>
        <v>0</v>
      </c>
      <c r="H1596" s="775"/>
    </row>
    <row r="1597" spans="1:8">
      <c r="A1597" s="792">
        <v>43344</v>
      </c>
      <c r="B1597" s="793" t="s">
        <v>13822</v>
      </c>
      <c r="C1597" s="794" t="s">
        <v>13643</v>
      </c>
      <c r="D1597" s="795"/>
      <c r="E1597" s="796">
        <v>154.66999999999999</v>
      </c>
      <c r="F1597" s="797" t="s">
        <v>9</v>
      </c>
      <c r="G1597" s="798">
        <f t="shared" si="107"/>
        <v>0</v>
      </c>
      <c r="H1597" s="775"/>
    </row>
    <row r="1598" spans="1:8">
      <c r="A1598" s="785">
        <v>43344</v>
      </c>
      <c r="B1598" s="337" t="s">
        <v>13824</v>
      </c>
      <c r="C1598" s="332" t="s">
        <v>13545</v>
      </c>
      <c r="D1598" s="134"/>
      <c r="E1598" s="135">
        <v>391.98</v>
      </c>
      <c r="F1598" s="46" t="s">
        <v>9</v>
      </c>
      <c r="G1598" s="749">
        <f t="shared" si="107"/>
        <v>0</v>
      </c>
      <c r="H1598" s="775"/>
    </row>
    <row r="1599" spans="1:8">
      <c r="A1599" s="785">
        <v>43344</v>
      </c>
      <c r="B1599" s="337" t="s">
        <v>13825</v>
      </c>
      <c r="C1599" s="332" t="s">
        <v>13479</v>
      </c>
      <c r="D1599" s="134"/>
      <c r="E1599" s="135">
        <v>199.95</v>
      </c>
      <c r="F1599" s="46" t="s">
        <v>9</v>
      </c>
      <c r="G1599" s="749">
        <f t="shared" si="107"/>
        <v>0</v>
      </c>
      <c r="H1599" s="775"/>
    </row>
    <row r="1600" spans="1:8">
      <c r="A1600" s="785">
        <v>43344</v>
      </c>
      <c r="B1600" s="337" t="s">
        <v>13826</v>
      </c>
      <c r="C1600" s="332" t="s">
        <v>13606</v>
      </c>
      <c r="D1600" s="134"/>
      <c r="E1600" s="135">
        <v>148</v>
      </c>
      <c r="F1600" s="46" t="s">
        <v>9</v>
      </c>
      <c r="G1600" s="749">
        <f t="shared" si="107"/>
        <v>0</v>
      </c>
      <c r="H1600" s="775"/>
    </row>
    <row r="1601" spans="1:8">
      <c r="A1601" s="785">
        <v>43344</v>
      </c>
      <c r="B1601" s="337" t="s">
        <v>13827</v>
      </c>
      <c r="C1601" s="332" t="s">
        <v>13766</v>
      </c>
      <c r="D1601" s="134"/>
      <c r="E1601" s="135">
        <v>188.5</v>
      </c>
      <c r="F1601" s="46" t="s">
        <v>9</v>
      </c>
      <c r="G1601" s="749">
        <f t="shared" si="107"/>
        <v>0</v>
      </c>
      <c r="H1601" s="775"/>
    </row>
    <row r="1602" spans="1:8">
      <c r="A1602" s="792">
        <v>43353</v>
      </c>
      <c r="B1602" s="793" t="s">
        <v>13793</v>
      </c>
      <c r="C1602" s="794" t="s">
        <v>13640</v>
      </c>
      <c r="D1602" s="795"/>
      <c r="E1602" s="796">
        <v>259.11</v>
      </c>
      <c r="F1602" s="797" t="s">
        <v>9</v>
      </c>
      <c r="G1602" s="798">
        <f>IF(F1602="X",0,E1602)</f>
        <v>0</v>
      </c>
      <c r="H1602" s="775"/>
    </row>
    <row r="1603" spans="1:8">
      <c r="A1603" s="785">
        <v>43353</v>
      </c>
      <c r="B1603" s="337" t="s">
        <v>13804</v>
      </c>
      <c r="C1603" s="332" t="s">
        <v>13402</v>
      </c>
      <c r="D1603" s="134"/>
      <c r="E1603" s="135">
        <v>143.28</v>
      </c>
      <c r="F1603" s="46" t="s">
        <v>9</v>
      </c>
      <c r="G1603" s="749">
        <f>IF(F1603="X",0,E1603)</f>
        <v>0</v>
      </c>
      <c r="H1603" s="775"/>
    </row>
    <row r="1604" spans="1:8">
      <c r="A1604" s="1484"/>
      <c r="B1604" s="1485"/>
      <c r="C1604" s="1486" t="s">
        <v>13828</v>
      </c>
      <c r="D1604" s="1487"/>
      <c r="E1604" s="1488">
        <f>SUM(E1605:E1617)</f>
        <v>3902.52</v>
      </c>
      <c r="F1604" s="1489"/>
      <c r="G1604" s="1490"/>
      <c r="H1604" s="775"/>
    </row>
    <row r="1605" spans="1:8">
      <c r="A1605" s="792">
        <v>43374</v>
      </c>
      <c r="B1605" s="793" t="s">
        <v>13803</v>
      </c>
      <c r="C1605" s="794" t="s">
        <v>13414</v>
      </c>
      <c r="D1605" s="795"/>
      <c r="E1605" s="796">
        <v>199.8</v>
      </c>
      <c r="F1605" s="797" t="s">
        <v>9</v>
      </c>
      <c r="G1605" s="798">
        <f t="shared" ref="G1605:G1617" si="108">IF(F1605="X",0,E1605)</f>
        <v>0</v>
      </c>
      <c r="H1605" s="775"/>
    </row>
    <row r="1606" spans="1:8">
      <c r="A1606" s="785">
        <v>43374</v>
      </c>
      <c r="B1606" s="337" t="s">
        <v>13808</v>
      </c>
      <c r="C1606" s="332" t="s">
        <v>13567</v>
      </c>
      <c r="D1606" s="134"/>
      <c r="E1606" s="135">
        <v>120.5</v>
      </c>
      <c r="F1606" s="46" t="s">
        <v>9</v>
      </c>
      <c r="G1606" s="749">
        <f t="shared" si="108"/>
        <v>0</v>
      </c>
      <c r="H1606" s="775"/>
    </row>
    <row r="1607" spans="1:8">
      <c r="A1607" s="785">
        <v>43374</v>
      </c>
      <c r="B1607" s="337" t="s">
        <v>13809</v>
      </c>
      <c r="C1607" s="332" t="s">
        <v>13567</v>
      </c>
      <c r="D1607" s="134"/>
      <c r="E1607" s="135">
        <v>152.58000000000001</v>
      </c>
      <c r="F1607" s="46" t="s">
        <v>9</v>
      </c>
      <c r="G1607" s="749">
        <f t="shared" si="108"/>
        <v>0</v>
      </c>
      <c r="H1607" s="775"/>
    </row>
    <row r="1608" spans="1:8">
      <c r="A1608" s="785">
        <v>43374</v>
      </c>
      <c r="B1608" s="337" t="s">
        <v>13817</v>
      </c>
      <c r="C1608" s="332" t="s">
        <v>13384</v>
      </c>
      <c r="D1608" s="134"/>
      <c r="E1608" s="135">
        <v>459.81</v>
      </c>
      <c r="F1608" s="46" t="s">
        <v>9</v>
      </c>
      <c r="G1608" s="749">
        <f t="shared" si="108"/>
        <v>0</v>
      </c>
      <c r="H1608" s="775"/>
    </row>
    <row r="1609" spans="1:8">
      <c r="A1609" s="792">
        <v>43374</v>
      </c>
      <c r="B1609" s="793" t="s">
        <v>13820</v>
      </c>
      <c r="C1609" s="794" t="s">
        <v>13538</v>
      </c>
      <c r="D1609" s="795"/>
      <c r="E1609" s="796">
        <v>138.62</v>
      </c>
      <c r="F1609" s="797" t="s">
        <v>9</v>
      </c>
      <c r="G1609" s="798">
        <f t="shared" si="108"/>
        <v>0</v>
      </c>
      <c r="H1609" s="775"/>
    </row>
    <row r="1610" spans="1:8">
      <c r="A1610" s="785">
        <v>43374</v>
      </c>
      <c r="B1610" s="337" t="s">
        <v>13821</v>
      </c>
      <c r="C1610" s="332" t="s">
        <v>13448</v>
      </c>
      <c r="D1610" s="134"/>
      <c r="E1610" s="135">
        <v>724.88</v>
      </c>
      <c r="F1610" s="46" t="s">
        <v>9</v>
      </c>
      <c r="G1610" s="749">
        <f t="shared" ref="G1610:G1616" si="109">IF(F1610="X",0,E1610)</f>
        <v>0</v>
      </c>
      <c r="H1610" s="775"/>
    </row>
    <row r="1611" spans="1:8">
      <c r="A1611" s="785">
        <v>43374</v>
      </c>
      <c r="B1611" s="337" t="s">
        <v>13824</v>
      </c>
      <c r="C1611" s="332" t="s">
        <v>13481</v>
      </c>
      <c r="D1611" s="134"/>
      <c r="E1611" s="135">
        <v>391.98</v>
      </c>
      <c r="F1611" s="46" t="s">
        <v>9</v>
      </c>
      <c r="G1611" s="749">
        <f t="shared" si="109"/>
        <v>0</v>
      </c>
      <c r="H1611" s="775"/>
    </row>
    <row r="1612" spans="1:8">
      <c r="A1612" s="792">
        <v>43374</v>
      </c>
      <c r="B1612" s="793" t="s">
        <v>13825</v>
      </c>
      <c r="C1612" s="794" t="s">
        <v>13643</v>
      </c>
      <c r="D1612" s="795"/>
      <c r="E1612" s="796">
        <v>199.95</v>
      </c>
      <c r="F1612" s="797" t="s">
        <v>9</v>
      </c>
      <c r="G1612" s="798">
        <f t="shared" si="109"/>
        <v>0</v>
      </c>
      <c r="H1612" s="775"/>
    </row>
    <row r="1613" spans="1:8">
      <c r="A1613" s="785">
        <v>43374</v>
      </c>
      <c r="B1613" s="337" t="s">
        <v>13824</v>
      </c>
      <c r="C1613" s="332" t="s">
        <v>13481</v>
      </c>
      <c r="D1613" s="134"/>
      <c r="E1613" s="135">
        <v>391.98</v>
      </c>
      <c r="F1613" s="46" t="s">
        <v>9</v>
      </c>
      <c r="G1613" s="749">
        <f t="shared" si="109"/>
        <v>0</v>
      </c>
      <c r="H1613" s="775"/>
    </row>
    <row r="1614" spans="1:8">
      <c r="A1614" s="785">
        <v>43374</v>
      </c>
      <c r="B1614" s="337" t="s">
        <v>13826</v>
      </c>
      <c r="C1614" s="332" t="s">
        <v>13531</v>
      </c>
      <c r="D1614" s="134"/>
      <c r="E1614" s="135">
        <v>148</v>
      </c>
      <c r="F1614" s="46" t="s">
        <v>9</v>
      </c>
      <c r="G1614" s="749">
        <f t="shared" si="109"/>
        <v>0</v>
      </c>
      <c r="H1614" s="775"/>
    </row>
    <row r="1615" spans="1:8">
      <c r="A1615" s="792">
        <v>43374</v>
      </c>
      <c r="B1615" s="793" t="s">
        <v>13827</v>
      </c>
      <c r="C1615" s="794" t="s">
        <v>13643</v>
      </c>
      <c r="D1615" s="795"/>
      <c r="E1615" s="796">
        <v>188.5</v>
      </c>
      <c r="F1615" s="797" t="s">
        <v>9</v>
      </c>
      <c r="G1615" s="798">
        <f t="shared" si="109"/>
        <v>0</v>
      </c>
      <c r="H1615" s="775"/>
    </row>
    <row r="1616" spans="1:8">
      <c r="A1616" s="785">
        <v>43374</v>
      </c>
      <c r="B1616" s="337" t="s">
        <v>13829</v>
      </c>
      <c r="C1616" s="332" t="s">
        <v>13521</v>
      </c>
      <c r="D1616" s="134"/>
      <c r="E1616" s="135">
        <v>642.64</v>
      </c>
      <c r="F1616" s="46" t="s">
        <v>9</v>
      </c>
      <c r="G1616" s="749">
        <f t="shared" si="109"/>
        <v>0</v>
      </c>
      <c r="H1616" s="775"/>
    </row>
    <row r="1617" spans="1:8">
      <c r="A1617" s="786">
        <v>43383</v>
      </c>
      <c r="B1617" s="787" t="s">
        <v>13804</v>
      </c>
      <c r="C1617" s="788" t="s">
        <v>13409</v>
      </c>
      <c r="D1617" s="789"/>
      <c r="E1617" s="790">
        <v>143.28</v>
      </c>
      <c r="F1617" s="791" t="s">
        <v>9</v>
      </c>
      <c r="G1617" s="750">
        <f t="shared" si="108"/>
        <v>0</v>
      </c>
      <c r="H1617" s="775"/>
    </row>
    <row r="1618" spans="1:8">
      <c r="A1618" s="1484"/>
      <c r="B1618" s="1485"/>
      <c r="C1618" s="1486" t="s">
        <v>13830</v>
      </c>
      <c r="D1618" s="1487"/>
      <c r="E1618" s="1488">
        <f>SUM(E1619:E1631)</f>
        <v>4101.87</v>
      </c>
      <c r="F1618" s="1489"/>
      <c r="G1618" s="1490"/>
      <c r="H1618" s="775"/>
    </row>
    <row r="1619" spans="1:8">
      <c r="A1619" s="785">
        <v>43405</v>
      </c>
      <c r="B1619" s="337" t="s">
        <v>13808</v>
      </c>
      <c r="C1619" s="332" t="s">
        <v>13573</v>
      </c>
      <c r="D1619" s="134"/>
      <c r="E1619" s="135">
        <v>120.5</v>
      </c>
      <c r="F1619" s="46" t="s">
        <v>9</v>
      </c>
      <c r="G1619" s="749">
        <f t="shared" ref="G1619:G1631" si="110">IF(F1619="X",0,E1619)</f>
        <v>0</v>
      </c>
      <c r="H1619" s="775"/>
    </row>
    <row r="1620" spans="1:8">
      <c r="A1620" s="785">
        <v>43405</v>
      </c>
      <c r="B1620" s="337" t="s">
        <v>13809</v>
      </c>
      <c r="C1620" s="332" t="s">
        <v>13573</v>
      </c>
      <c r="D1620" s="134"/>
      <c r="E1620" s="135">
        <v>152.58000000000001</v>
      </c>
      <c r="F1620" s="46" t="s">
        <v>9</v>
      </c>
      <c r="G1620" s="749">
        <f t="shared" si="110"/>
        <v>0</v>
      </c>
      <c r="H1620" s="775"/>
    </row>
    <row r="1621" spans="1:8">
      <c r="A1621" s="785">
        <v>43405</v>
      </c>
      <c r="B1621" s="337" t="s">
        <v>13817</v>
      </c>
      <c r="C1621" s="332" t="s">
        <v>13387</v>
      </c>
      <c r="D1621" s="134"/>
      <c r="E1621" s="135">
        <v>459.81</v>
      </c>
      <c r="F1621" s="46" t="s">
        <v>9</v>
      </c>
      <c r="G1621" s="749">
        <f t="shared" si="110"/>
        <v>0</v>
      </c>
      <c r="H1621" s="775"/>
    </row>
    <row r="1622" spans="1:8">
      <c r="A1622" s="785">
        <v>43405</v>
      </c>
      <c r="B1622" s="337" t="s">
        <v>13821</v>
      </c>
      <c r="C1622" s="332" t="s">
        <v>13454</v>
      </c>
      <c r="D1622" s="134"/>
      <c r="E1622" s="135">
        <v>724.88</v>
      </c>
      <c r="F1622" s="46" t="s">
        <v>9</v>
      </c>
      <c r="G1622" s="749">
        <f t="shared" si="110"/>
        <v>0</v>
      </c>
      <c r="H1622" s="775"/>
    </row>
    <row r="1623" spans="1:8">
      <c r="A1623" s="785">
        <v>43405</v>
      </c>
      <c r="B1623" s="337" t="s">
        <v>13824</v>
      </c>
      <c r="C1623" s="332" t="s">
        <v>13489</v>
      </c>
      <c r="D1623" s="134"/>
      <c r="E1623" s="135">
        <v>391.98</v>
      </c>
      <c r="F1623" s="46" t="s">
        <v>9</v>
      </c>
      <c r="G1623" s="749">
        <f t="shared" si="110"/>
        <v>0</v>
      </c>
      <c r="H1623" s="775"/>
    </row>
    <row r="1624" spans="1:8">
      <c r="A1624" s="792">
        <v>43405</v>
      </c>
      <c r="B1624" s="793" t="s">
        <v>13826</v>
      </c>
      <c r="C1624" s="794" t="s">
        <v>13538</v>
      </c>
      <c r="D1624" s="795"/>
      <c r="E1624" s="796">
        <v>148</v>
      </c>
      <c r="F1624" s="797" t="s">
        <v>9</v>
      </c>
      <c r="G1624" s="798">
        <f t="shared" si="110"/>
        <v>0</v>
      </c>
      <c r="H1624" s="775"/>
    </row>
    <row r="1625" spans="1:8">
      <c r="A1625" s="785">
        <v>43405</v>
      </c>
      <c r="B1625" s="337" t="s">
        <v>13829</v>
      </c>
      <c r="C1625" s="332" t="s">
        <v>13531</v>
      </c>
      <c r="D1625" s="134"/>
      <c r="E1625" s="135">
        <v>642.64</v>
      </c>
      <c r="F1625" s="46" t="s">
        <v>9</v>
      </c>
      <c r="G1625" s="749">
        <f t="shared" ref="G1625:G1630" si="111">IF(F1625="X",0,E1625)</f>
        <v>0</v>
      </c>
      <c r="H1625" s="775"/>
    </row>
    <row r="1626" spans="1:8">
      <c r="A1626" s="785">
        <v>43405</v>
      </c>
      <c r="B1626" s="337" t="s">
        <v>13831</v>
      </c>
      <c r="C1626" s="332" t="s">
        <v>13459</v>
      </c>
      <c r="D1626" s="134"/>
      <c r="E1626" s="135">
        <v>294.12</v>
      </c>
      <c r="F1626" s="46" t="s">
        <v>9</v>
      </c>
      <c r="G1626" s="749">
        <f t="shared" si="111"/>
        <v>0</v>
      </c>
      <c r="H1626" s="775"/>
    </row>
    <row r="1627" spans="1:8">
      <c r="A1627" s="785">
        <v>43405</v>
      </c>
      <c r="B1627" s="337" t="s">
        <v>13832</v>
      </c>
      <c r="C1627" s="332" t="s">
        <v>13459</v>
      </c>
      <c r="D1627" s="134"/>
      <c r="E1627" s="135">
        <v>237.68</v>
      </c>
      <c r="F1627" s="46" t="s">
        <v>9</v>
      </c>
      <c r="G1627" s="749">
        <f t="shared" si="111"/>
        <v>0</v>
      </c>
      <c r="H1627" s="775"/>
    </row>
    <row r="1628" spans="1:8">
      <c r="A1628" s="785">
        <v>43405</v>
      </c>
      <c r="B1628" s="337" t="s">
        <v>13833</v>
      </c>
      <c r="C1628" s="332" t="s">
        <v>13521</v>
      </c>
      <c r="D1628" s="134"/>
      <c r="E1628" s="135">
        <v>199.67</v>
      </c>
      <c r="F1628" s="46" t="s">
        <v>9</v>
      </c>
      <c r="G1628" s="749">
        <f t="shared" si="111"/>
        <v>0</v>
      </c>
      <c r="H1628" s="775"/>
    </row>
    <row r="1629" spans="1:8">
      <c r="A1629" s="785">
        <v>43405</v>
      </c>
      <c r="B1629" s="337" t="s">
        <v>13834</v>
      </c>
      <c r="C1629" s="332" t="s">
        <v>13521</v>
      </c>
      <c r="D1629" s="134"/>
      <c r="E1629" s="135">
        <v>311</v>
      </c>
      <c r="F1629" s="46" t="s">
        <v>9</v>
      </c>
      <c r="G1629" s="749">
        <f t="shared" si="111"/>
        <v>0</v>
      </c>
      <c r="H1629" s="775"/>
    </row>
    <row r="1630" spans="1:8">
      <c r="A1630" s="785">
        <v>43414</v>
      </c>
      <c r="B1630" s="337" t="s">
        <v>13835</v>
      </c>
      <c r="C1630" s="332" t="s">
        <v>13647</v>
      </c>
      <c r="D1630" s="134"/>
      <c r="E1630" s="135">
        <v>275.73</v>
      </c>
      <c r="F1630" s="46" t="s">
        <v>9</v>
      </c>
      <c r="G1630" s="749">
        <f t="shared" si="111"/>
        <v>0</v>
      </c>
      <c r="H1630" s="775"/>
    </row>
    <row r="1631" spans="1:8">
      <c r="A1631" s="792">
        <v>43414</v>
      </c>
      <c r="B1631" s="793" t="s">
        <v>13804</v>
      </c>
      <c r="C1631" s="794" t="s">
        <v>13414</v>
      </c>
      <c r="D1631" s="795"/>
      <c r="E1631" s="796">
        <v>143.28</v>
      </c>
      <c r="F1631" s="797" t="s">
        <v>9</v>
      </c>
      <c r="G1631" s="798">
        <f t="shared" si="110"/>
        <v>0</v>
      </c>
      <c r="H1631" s="775"/>
    </row>
    <row r="1632" spans="1:8">
      <c r="A1632" s="1484"/>
      <c r="B1632" s="1485"/>
      <c r="C1632" s="1486" t="s">
        <v>13836</v>
      </c>
      <c r="D1632" s="1487"/>
      <c r="E1632" s="1488">
        <f>SUM(E1633:E1646)</f>
        <v>4224.1899999999996</v>
      </c>
      <c r="F1632" s="1489"/>
      <c r="G1632" s="1490"/>
      <c r="H1632" s="775"/>
    </row>
    <row r="1633" spans="1:10">
      <c r="A1633" s="785">
        <v>43435</v>
      </c>
      <c r="B1633" s="337" t="s">
        <v>13808</v>
      </c>
      <c r="C1633" s="332" t="s">
        <v>13580</v>
      </c>
      <c r="D1633" s="134"/>
      <c r="E1633" s="135">
        <v>120.5</v>
      </c>
      <c r="F1633" s="46" t="s">
        <v>9</v>
      </c>
      <c r="G1633" s="749">
        <f t="shared" ref="G1633:G1638" si="112">IF(F1633="X",0,E1633)</f>
        <v>0</v>
      </c>
      <c r="H1633" s="775"/>
    </row>
    <row r="1634" spans="1:10">
      <c r="A1634" s="785">
        <v>43435</v>
      </c>
      <c r="B1634" s="337" t="s">
        <v>13809</v>
      </c>
      <c r="C1634" s="332" t="s">
        <v>13580</v>
      </c>
      <c r="D1634" s="134"/>
      <c r="E1634" s="135">
        <v>152.58000000000001</v>
      </c>
      <c r="F1634" s="46" t="s">
        <v>9</v>
      </c>
      <c r="G1634" s="749">
        <f t="shared" si="112"/>
        <v>0</v>
      </c>
      <c r="H1634" s="775"/>
      <c r="J1634" s="36"/>
    </row>
    <row r="1635" spans="1:10">
      <c r="A1635" s="785">
        <v>43435</v>
      </c>
      <c r="B1635" s="337" t="s">
        <v>13817</v>
      </c>
      <c r="C1635" s="332" t="s">
        <v>13397</v>
      </c>
      <c r="D1635" s="134"/>
      <c r="E1635" s="135">
        <v>459.81</v>
      </c>
      <c r="F1635" s="46" t="s">
        <v>9</v>
      </c>
      <c r="G1635" s="749">
        <f>IF(F1635="X",0,E1635)</f>
        <v>0</v>
      </c>
      <c r="H1635" s="775"/>
      <c r="J1635" s="1309"/>
    </row>
    <row r="1636" spans="1:10">
      <c r="A1636" s="785">
        <v>43435</v>
      </c>
      <c r="B1636" s="337" t="s">
        <v>13821</v>
      </c>
      <c r="C1636" s="332" t="s">
        <v>13467</v>
      </c>
      <c r="D1636" s="134"/>
      <c r="E1636" s="135">
        <v>724.88</v>
      </c>
      <c r="F1636" s="46" t="s">
        <v>9</v>
      </c>
      <c r="G1636" s="749">
        <f t="shared" si="112"/>
        <v>0</v>
      </c>
      <c r="H1636" s="775"/>
      <c r="J1636" s="1309"/>
    </row>
    <row r="1637" spans="1:10">
      <c r="A1637" s="792">
        <v>43435</v>
      </c>
      <c r="B1637" s="793" t="s">
        <v>13824</v>
      </c>
      <c r="C1637" s="794" t="s">
        <v>13493</v>
      </c>
      <c r="D1637" s="795"/>
      <c r="E1637" s="796">
        <v>391.98</v>
      </c>
      <c r="F1637" s="797" t="s">
        <v>9</v>
      </c>
      <c r="G1637" s="798">
        <f>IF(F1637="X",0,E1637)</f>
        <v>0</v>
      </c>
      <c r="H1637" s="775"/>
    </row>
    <row r="1638" spans="1:10">
      <c r="A1638" s="792">
        <v>43435</v>
      </c>
      <c r="B1638" s="793" t="s">
        <v>13829</v>
      </c>
      <c r="C1638" s="794" t="s">
        <v>13538</v>
      </c>
      <c r="D1638" s="795"/>
      <c r="E1638" s="796">
        <v>642.64</v>
      </c>
      <c r="F1638" s="797" t="s">
        <v>9</v>
      </c>
      <c r="G1638" s="798">
        <f t="shared" si="112"/>
        <v>0</v>
      </c>
      <c r="H1638" s="775"/>
    </row>
    <row r="1639" spans="1:10">
      <c r="A1639" s="785">
        <v>43435</v>
      </c>
      <c r="B1639" s="337" t="s">
        <v>13831</v>
      </c>
      <c r="C1639" s="332" t="s">
        <v>13481</v>
      </c>
      <c r="D1639" s="134"/>
      <c r="E1639" s="135">
        <v>294.12</v>
      </c>
      <c r="F1639" s="46" t="s">
        <v>9</v>
      </c>
      <c r="G1639" s="749">
        <f t="shared" ref="G1639:G1645" si="113">IF(F1639="X",0,E1639)</f>
        <v>0</v>
      </c>
      <c r="H1639" s="775"/>
    </row>
    <row r="1640" spans="1:10">
      <c r="A1640" s="785">
        <v>43435</v>
      </c>
      <c r="B1640" s="337" t="s">
        <v>13832</v>
      </c>
      <c r="C1640" s="332" t="s">
        <v>13481</v>
      </c>
      <c r="D1640" s="134"/>
      <c r="E1640" s="135">
        <v>237.68</v>
      </c>
      <c r="F1640" s="46" t="s">
        <v>9</v>
      </c>
      <c r="G1640" s="749">
        <f t="shared" si="113"/>
        <v>0</v>
      </c>
      <c r="H1640" s="775"/>
      <c r="I1640" s="1309"/>
    </row>
    <row r="1641" spans="1:10">
      <c r="A1641" s="785">
        <v>43435</v>
      </c>
      <c r="B1641" s="337" t="s">
        <v>13833</v>
      </c>
      <c r="C1641" s="332" t="s">
        <v>13531</v>
      </c>
      <c r="D1641" s="134"/>
      <c r="E1641" s="135">
        <v>199.67</v>
      </c>
      <c r="F1641" s="46" t="s">
        <v>9</v>
      </c>
      <c r="G1641" s="749">
        <f t="shared" si="113"/>
        <v>0</v>
      </c>
      <c r="H1641" s="775"/>
      <c r="I1641" s="1309"/>
    </row>
    <row r="1642" spans="1:10">
      <c r="A1642" s="785">
        <v>43435</v>
      </c>
      <c r="B1642" s="337" t="s">
        <v>13834</v>
      </c>
      <c r="C1642" s="332" t="s">
        <v>13531</v>
      </c>
      <c r="D1642" s="134"/>
      <c r="E1642" s="135">
        <v>311</v>
      </c>
      <c r="F1642" s="46" t="s">
        <v>9</v>
      </c>
      <c r="G1642" s="749">
        <f t="shared" si="113"/>
        <v>0</v>
      </c>
      <c r="H1642" s="775"/>
    </row>
    <row r="1643" spans="1:10">
      <c r="A1643" s="785">
        <v>43435</v>
      </c>
      <c r="B1643" s="337" t="s">
        <v>13837</v>
      </c>
      <c r="C1643" s="332" t="s">
        <v>13521</v>
      </c>
      <c r="D1643" s="134"/>
      <c r="E1643" s="135">
        <v>159.9</v>
      </c>
      <c r="F1643" s="46" t="s">
        <v>9</v>
      </c>
      <c r="G1643" s="749">
        <f t="shared" si="113"/>
        <v>0</v>
      </c>
      <c r="H1643" s="775"/>
    </row>
    <row r="1644" spans="1:10">
      <c r="A1644" s="785">
        <v>43435</v>
      </c>
      <c r="B1644" s="337" t="s">
        <v>13838</v>
      </c>
      <c r="C1644" s="332" t="s">
        <v>13521</v>
      </c>
      <c r="D1644" s="134"/>
      <c r="E1644" s="135">
        <v>143</v>
      </c>
      <c r="F1644" s="46" t="s">
        <v>9</v>
      </c>
      <c r="G1644" s="749">
        <f t="shared" si="113"/>
        <v>0</v>
      </c>
      <c r="H1644" s="775"/>
    </row>
    <row r="1645" spans="1:10">
      <c r="A1645" s="785">
        <v>43435</v>
      </c>
      <c r="B1645" s="337" t="s">
        <v>13839</v>
      </c>
      <c r="C1645" s="332" t="s">
        <v>13479</v>
      </c>
      <c r="D1645" s="134"/>
      <c r="E1645" s="135">
        <v>110.7</v>
      </c>
      <c r="F1645" s="46" t="s">
        <v>9</v>
      </c>
      <c r="G1645" s="749">
        <f t="shared" si="113"/>
        <v>0</v>
      </c>
      <c r="H1645" s="775"/>
    </row>
    <row r="1646" spans="1:10">
      <c r="A1646" s="786">
        <v>43444</v>
      </c>
      <c r="B1646" s="787" t="s">
        <v>13835</v>
      </c>
      <c r="C1646" s="788" t="s">
        <v>13676</v>
      </c>
      <c r="D1646" s="789"/>
      <c r="E1646" s="790">
        <v>275.73</v>
      </c>
      <c r="F1646" s="791" t="s">
        <v>9</v>
      </c>
      <c r="G1646" s="750">
        <f>IF(F1646="X",0,E1646)</f>
        <v>0</v>
      </c>
      <c r="H1646" s="775"/>
    </row>
    <row r="1647" spans="1:10">
      <c r="A1647" s="1484"/>
      <c r="B1647" s="1485"/>
      <c r="C1647" s="1486" t="s">
        <v>13840</v>
      </c>
      <c r="D1647" s="1487"/>
      <c r="E1647" s="1488">
        <f>SUM(E1648:E1660)</f>
        <v>3314.56</v>
      </c>
      <c r="F1647" s="1489"/>
      <c r="G1647" s="1490"/>
      <c r="H1647" s="775"/>
    </row>
    <row r="1648" spans="1:10">
      <c r="A1648" s="785">
        <v>43466</v>
      </c>
      <c r="B1648" s="337" t="s">
        <v>13808</v>
      </c>
      <c r="C1648" s="332" t="s">
        <v>13583</v>
      </c>
      <c r="D1648" s="134"/>
      <c r="E1648" s="135">
        <v>120.5</v>
      </c>
      <c r="F1648" s="46" t="s">
        <v>9</v>
      </c>
      <c r="G1648" s="749">
        <f t="shared" ref="G1648:G1655" si="114">IF(F1648="X",0,E1648)</f>
        <v>0</v>
      </c>
      <c r="H1648" s="775"/>
    </row>
    <row r="1649" spans="1:9">
      <c r="A1649" s="785">
        <v>43466</v>
      </c>
      <c r="B1649" s="337" t="s">
        <v>13809</v>
      </c>
      <c r="C1649" s="332" t="s">
        <v>13583</v>
      </c>
      <c r="D1649" s="134"/>
      <c r="E1649" s="135">
        <v>152.58000000000001</v>
      </c>
      <c r="F1649" s="46" t="s">
        <v>9</v>
      </c>
      <c r="G1649" s="749">
        <f t="shared" si="114"/>
        <v>0</v>
      </c>
      <c r="H1649" s="775"/>
    </row>
    <row r="1650" spans="1:9">
      <c r="A1650" s="785">
        <v>43466</v>
      </c>
      <c r="B1650" s="337" t="s">
        <v>13817</v>
      </c>
      <c r="C1650" s="332" t="s">
        <v>13402</v>
      </c>
      <c r="D1650" s="134"/>
      <c r="E1650" s="135">
        <v>459.81</v>
      </c>
      <c r="F1650" s="46" t="s">
        <v>9</v>
      </c>
      <c r="G1650" s="749">
        <f t="shared" si="114"/>
        <v>0</v>
      </c>
      <c r="H1650" s="775"/>
      <c r="I1650" s="1309"/>
    </row>
    <row r="1651" spans="1:9">
      <c r="A1651" s="792">
        <v>43466</v>
      </c>
      <c r="B1651" s="793" t="s">
        <v>13821</v>
      </c>
      <c r="C1651" s="794" t="s">
        <v>13475</v>
      </c>
      <c r="D1651" s="795"/>
      <c r="E1651" s="796">
        <v>724.88</v>
      </c>
      <c r="F1651" s="797" t="s">
        <v>9</v>
      </c>
      <c r="G1651" s="798">
        <f t="shared" si="114"/>
        <v>0</v>
      </c>
      <c r="H1651" s="775"/>
      <c r="I1651" s="1309"/>
    </row>
    <row r="1652" spans="1:9">
      <c r="A1652" s="785">
        <v>43466</v>
      </c>
      <c r="B1652" s="337" t="s">
        <v>13832</v>
      </c>
      <c r="C1652" s="332" t="s">
        <v>13489</v>
      </c>
      <c r="D1652" s="134"/>
      <c r="E1652" s="135">
        <v>237.68</v>
      </c>
      <c r="F1652" s="46" t="s">
        <v>9</v>
      </c>
      <c r="G1652" s="749">
        <f t="shared" si="114"/>
        <v>0</v>
      </c>
      <c r="H1652" s="775"/>
      <c r="I1652" s="1309"/>
    </row>
    <row r="1653" spans="1:9">
      <c r="A1653" s="785">
        <v>43466</v>
      </c>
      <c r="B1653" s="337" t="s">
        <v>13831</v>
      </c>
      <c r="C1653" s="332" t="s">
        <v>13489</v>
      </c>
      <c r="D1653" s="134"/>
      <c r="E1653" s="135">
        <v>294.12</v>
      </c>
      <c r="F1653" s="46" t="s">
        <v>9</v>
      </c>
      <c r="G1653" s="749">
        <f t="shared" si="114"/>
        <v>0</v>
      </c>
      <c r="H1653" s="775"/>
    </row>
    <row r="1654" spans="1:9">
      <c r="A1654" s="792">
        <v>43466</v>
      </c>
      <c r="B1654" s="793" t="s">
        <v>13833</v>
      </c>
      <c r="C1654" s="794" t="s">
        <v>13538</v>
      </c>
      <c r="D1654" s="795"/>
      <c r="E1654" s="796">
        <v>199.67</v>
      </c>
      <c r="F1654" s="797" t="s">
        <v>9</v>
      </c>
      <c r="G1654" s="798">
        <f t="shared" si="114"/>
        <v>0</v>
      </c>
      <c r="H1654" s="775"/>
    </row>
    <row r="1655" spans="1:9">
      <c r="A1655" s="792">
        <v>43466</v>
      </c>
      <c r="B1655" s="793" t="s">
        <v>13834</v>
      </c>
      <c r="C1655" s="794" t="s">
        <v>13538</v>
      </c>
      <c r="D1655" s="795"/>
      <c r="E1655" s="796">
        <v>311</v>
      </c>
      <c r="F1655" s="797" t="s">
        <v>9</v>
      </c>
      <c r="G1655" s="798">
        <f t="shared" si="114"/>
        <v>0</v>
      </c>
      <c r="H1655" s="775"/>
    </row>
    <row r="1656" spans="1:9">
      <c r="A1656" s="785">
        <v>43466</v>
      </c>
      <c r="B1656" s="337" t="s">
        <v>13837</v>
      </c>
      <c r="C1656" s="332" t="s">
        <v>13531</v>
      </c>
      <c r="D1656" s="134"/>
      <c r="E1656" s="135">
        <v>159.9</v>
      </c>
      <c r="F1656" s="46" t="s">
        <v>9</v>
      </c>
      <c r="G1656" s="749">
        <f>IF(F1656="X",0,E1656)</f>
        <v>0</v>
      </c>
      <c r="H1656" s="775"/>
    </row>
    <row r="1657" spans="1:9">
      <c r="A1657" s="785">
        <v>43466</v>
      </c>
      <c r="B1657" s="337" t="s">
        <v>13838</v>
      </c>
      <c r="C1657" s="332" t="s">
        <v>13531</v>
      </c>
      <c r="D1657" s="134"/>
      <c r="E1657" s="135">
        <v>143</v>
      </c>
      <c r="F1657" s="46" t="s">
        <v>9</v>
      </c>
      <c r="G1657" s="749">
        <f>IF(F1657="X",0,E1657)</f>
        <v>0</v>
      </c>
      <c r="H1657" s="775"/>
    </row>
    <row r="1658" spans="1:9">
      <c r="A1658" s="792">
        <v>43466</v>
      </c>
      <c r="B1658" s="793" t="s">
        <v>13839</v>
      </c>
      <c r="C1658" s="794" t="s">
        <v>13485</v>
      </c>
      <c r="D1658" s="795"/>
      <c r="E1658" s="796">
        <v>110.7</v>
      </c>
      <c r="F1658" s="797" t="s">
        <v>9</v>
      </c>
      <c r="G1658" s="798">
        <f>IF(F1658="X",0,E1658)</f>
        <v>0</v>
      </c>
      <c r="H1658" s="775">
        <f>E1658+E1655+E1654+E1651</f>
        <v>1346.25</v>
      </c>
    </row>
    <row r="1659" spans="1:9">
      <c r="A1659" s="785">
        <v>43101</v>
      </c>
      <c r="B1659" s="337" t="s">
        <v>13841</v>
      </c>
      <c r="C1659" s="332" t="s">
        <v>13766</v>
      </c>
      <c r="D1659" s="134"/>
      <c r="E1659" s="135">
        <v>124.99</v>
      </c>
      <c r="F1659" s="46" t="s">
        <v>9</v>
      </c>
      <c r="G1659" s="749">
        <f>IF(F1659="X",0,E1659)</f>
        <v>0</v>
      </c>
      <c r="H1659" s="775"/>
    </row>
    <row r="1660" spans="1:9">
      <c r="A1660" s="786">
        <v>43475</v>
      </c>
      <c r="B1660" s="787" t="s">
        <v>13835</v>
      </c>
      <c r="C1660" s="788" t="s">
        <v>13680</v>
      </c>
      <c r="D1660" s="789"/>
      <c r="E1660" s="790">
        <v>275.73</v>
      </c>
      <c r="F1660" s="791" t="s">
        <v>9</v>
      </c>
      <c r="G1660" s="750">
        <f>IF(F1660="X",0,E1660)</f>
        <v>0</v>
      </c>
      <c r="H1660" s="775"/>
    </row>
    <row r="1661" spans="1:9">
      <c r="A1661" s="1484"/>
      <c r="B1661" s="1485"/>
      <c r="C1661" s="1486" t="s">
        <v>13842</v>
      </c>
      <c r="D1661" s="1487"/>
      <c r="E1661" s="1488">
        <f>SUM(E1662:E1674)</f>
        <v>2723.84</v>
      </c>
      <c r="F1661" s="1489"/>
      <c r="G1661" s="1490"/>
      <c r="H1661" s="775"/>
    </row>
    <row r="1662" spans="1:9">
      <c r="A1662" s="785">
        <v>43497</v>
      </c>
      <c r="B1662" s="337" t="s">
        <v>13808</v>
      </c>
      <c r="C1662" s="332" t="s">
        <v>13587</v>
      </c>
      <c r="D1662" s="134"/>
      <c r="E1662" s="135">
        <v>120.5</v>
      </c>
      <c r="F1662" s="46" t="s">
        <v>9</v>
      </c>
      <c r="G1662" s="749">
        <f t="shared" ref="G1662:G1672" si="115">IF(F1662="X",0,E1662)</f>
        <v>0</v>
      </c>
      <c r="H1662" s="775"/>
    </row>
    <row r="1663" spans="1:9">
      <c r="A1663" s="785">
        <v>43497</v>
      </c>
      <c r="B1663" s="337" t="s">
        <v>13809</v>
      </c>
      <c r="C1663" s="332" t="s">
        <v>13587</v>
      </c>
      <c r="D1663" s="134"/>
      <c r="E1663" s="135">
        <v>152.58000000000001</v>
      </c>
      <c r="F1663" s="46" t="s">
        <v>9</v>
      </c>
      <c r="G1663" s="749">
        <f t="shared" si="115"/>
        <v>0</v>
      </c>
      <c r="H1663" s="775"/>
    </row>
    <row r="1664" spans="1:9">
      <c r="A1664" s="785">
        <v>43497</v>
      </c>
      <c r="B1664" s="337" t="s">
        <v>13817</v>
      </c>
      <c r="C1664" s="332" t="s">
        <v>13409</v>
      </c>
      <c r="D1664" s="134"/>
      <c r="E1664" s="135">
        <v>459.81</v>
      </c>
      <c r="F1664" s="46" t="s">
        <v>9</v>
      </c>
      <c r="G1664" s="749">
        <f t="shared" si="115"/>
        <v>0</v>
      </c>
      <c r="H1664" s="775"/>
    </row>
    <row r="1665" spans="1:8">
      <c r="A1665" s="785">
        <v>43497</v>
      </c>
      <c r="B1665" s="337" t="s">
        <v>13843</v>
      </c>
      <c r="C1665" s="332" t="s">
        <v>13459</v>
      </c>
      <c r="D1665" s="134"/>
      <c r="E1665" s="135">
        <v>289.52999999999997</v>
      </c>
      <c r="F1665" s="46" t="s">
        <v>9</v>
      </c>
      <c r="G1665" s="749">
        <f t="shared" si="115"/>
        <v>0</v>
      </c>
      <c r="H1665" s="775"/>
    </row>
    <row r="1666" spans="1:8">
      <c r="A1666" s="785">
        <v>43497</v>
      </c>
      <c r="B1666" s="337" t="s">
        <v>13844</v>
      </c>
      <c r="C1666" s="332" t="s">
        <v>13606</v>
      </c>
      <c r="D1666" s="134"/>
      <c r="E1666" s="135">
        <v>94.77</v>
      </c>
      <c r="F1666" s="46" t="s">
        <v>9</v>
      </c>
      <c r="G1666" s="749">
        <f t="shared" si="115"/>
        <v>0</v>
      </c>
      <c r="H1666" s="775"/>
    </row>
    <row r="1667" spans="1:8">
      <c r="A1667" s="785">
        <v>43497</v>
      </c>
      <c r="B1667" s="337" t="s">
        <v>13845</v>
      </c>
      <c r="C1667" s="776" t="s">
        <v>13521</v>
      </c>
      <c r="D1667" s="134"/>
      <c r="E1667" s="135">
        <v>221.42</v>
      </c>
      <c r="F1667" s="46" t="s">
        <v>9</v>
      </c>
      <c r="G1667" s="749">
        <f t="shared" si="115"/>
        <v>0</v>
      </c>
      <c r="H1667" s="775"/>
    </row>
    <row r="1668" spans="1:8">
      <c r="A1668" s="792">
        <v>43497</v>
      </c>
      <c r="B1668" s="793" t="s">
        <v>13832</v>
      </c>
      <c r="C1668" s="794" t="s">
        <v>13493</v>
      </c>
      <c r="D1668" s="795"/>
      <c r="E1668" s="796">
        <v>237.68</v>
      </c>
      <c r="F1668" s="797" t="s">
        <v>9</v>
      </c>
      <c r="G1668" s="798">
        <f t="shared" si="115"/>
        <v>0</v>
      </c>
      <c r="H1668" s="775"/>
    </row>
    <row r="1669" spans="1:8">
      <c r="A1669" s="792">
        <v>43497</v>
      </c>
      <c r="B1669" s="793" t="s">
        <v>13831</v>
      </c>
      <c r="C1669" s="794" t="s">
        <v>13493</v>
      </c>
      <c r="D1669" s="795"/>
      <c r="E1669" s="796">
        <v>294.12</v>
      </c>
      <c r="F1669" s="797" t="s">
        <v>9</v>
      </c>
      <c r="G1669" s="798">
        <f t="shared" si="115"/>
        <v>0</v>
      </c>
      <c r="H1669" s="775"/>
    </row>
    <row r="1670" spans="1:8">
      <c r="A1670" s="792">
        <v>43497</v>
      </c>
      <c r="B1670" s="793" t="s">
        <v>13837</v>
      </c>
      <c r="C1670" s="794" t="s">
        <v>13538</v>
      </c>
      <c r="D1670" s="795"/>
      <c r="E1670" s="796">
        <v>159.9</v>
      </c>
      <c r="F1670" s="797" t="s">
        <v>9</v>
      </c>
      <c r="G1670" s="798">
        <f t="shared" si="115"/>
        <v>0</v>
      </c>
      <c r="H1670" s="775"/>
    </row>
    <row r="1671" spans="1:8">
      <c r="A1671" s="792">
        <v>43497</v>
      </c>
      <c r="B1671" s="793" t="s">
        <v>13838</v>
      </c>
      <c r="C1671" s="794" t="s">
        <v>13538</v>
      </c>
      <c r="D1671" s="795"/>
      <c r="E1671" s="796">
        <v>143</v>
      </c>
      <c r="F1671" s="797" t="s">
        <v>9</v>
      </c>
      <c r="G1671" s="798">
        <f t="shared" si="115"/>
        <v>0</v>
      </c>
      <c r="H1671" s="775"/>
    </row>
    <row r="1672" spans="1:8">
      <c r="A1672" s="792">
        <v>43132</v>
      </c>
      <c r="B1672" s="793" t="s">
        <v>13841</v>
      </c>
      <c r="C1672" s="794" t="s">
        <v>13643</v>
      </c>
      <c r="D1672" s="795"/>
      <c r="E1672" s="796">
        <v>124.99</v>
      </c>
      <c r="F1672" s="797" t="s">
        <v>9</v>
      </c>
      <c r="G1672" s="798">
        <f t="shared" si="115"/>
        <v>0</v>
      </c>
      <c r="H1672" s="775">
        <f>SUM(E1668:E1672)</f>
        <v>959.68999999999994</v>
      </c>
    </row>
    <row r="1673" spans="1:8">
      <c r="A1673" s="785">
        <v>43506</v>
      </c>
      <c r="B1673" s="337" t="s">
        <v>13835</v>
      </c>
      <c r="C1673" s="332" t="s">
        <v>13681</v>
      </c>
      <c r="D1673" s="134"/>
      <c r="E1673" s="135">
        <v>275.73</v>
      </c>
      <c r="F1673" s="46" t="s">
        <v>9</v>
      </c>
      <c r="G1673" s="749">
        <f>IF(F1673="X",0,E1673)</f>
        <v>0</v>
      </c>
      <c r="H1673" s="775"/>
    </row>
    <row r="1674" spans="1:8">
      <c r="A1674" s="786">
        <v>43506</v>
      </c>
      <c r="B1674" s="787" t="s">
        <v>13846</v>
      </c>
      <c r="C1674" s="788" t="s">
        <v>13614</v>
      </c>
      <c r="D1674" s="789"/>
      <c r="E1674" s="790">
        <v>149.81</v>
      </c>
      <c r="F1674" s="791" t="s">
        <v>9</v>
      </c>
      <c r="G1674" s="750">
        <f>IF(F1674="X",0,E1674)</f>
        <v>0</v>
      </c>
      <c r="H1674" s="775"/>
    </row>
    <row r="1675" spans="1:8">
      <c r="A1675" s="1484"/>
      <c r="B1675" s="1485"/>
      <c r="C1675" s="1486" t="s">
        <v>13847</v>
      </c>
      <c r="D1675" s="1487"/>
      <c r="E1675" s="1488">
        <f>SUM(E1676:E1686)</f>
        <v>2858.44</v>
      </c>
      <c r="F1675" s="1489"/>
      <c r="G1675" s="1490"/>
      <c r="H1675" s="775"/>
    </row>
    <row r="1676" spans="1:8">
      <c r="A1676" s="785">
        <v>43525</v>
      </c>
      <c r="B1676" s="337" t="s">
        <v>13843</v>
      </c>
      <c r="C1676" s="332" t="s">
        <v>13481</v>
      </c>
      <c r="D1676" s="134"/>
      <c r="E1676" s="135">
        <v>289.52999999999997</v>
      </c>
      <c r="F1676" s="46" t="s">
        <v>9</v>
      </c>
      <c r="G1676" s="749">
        <f t="shared" ref="G1676:G1685" si="116">IF(F1676="X",0,E1676)</f>
        <v>0</v>
      </c>
      <c r="H1676" s="775"/>
    </row>
    <row r="1677" spans="1:8">
      <c r="A1677" s="785">
        <v>43525</v>
      </c>
      <c r="B1677" s="337" t="s">
        <v>13844</v>
      </c>
      <c r="C1677" s="332" t="s">
        <v>13531</v>
      </c>
      <c r="D1677" s="134"/>
      <c r="E1677" s="135">
        <v>94.77</v>
      </c>
      <c r="F1677" s="46" t="s">
        <v>9</v>
      </c>
      <c r="G1677" s="749">
        <f t="shared" si="116"/>
        <v>0</v>
      </c>
      <c r="H1677" s="775"/>
    </row>
    <row r="1678" spans="1:8">
      <c r="A1678" s="785">
        <v>43525</v>
      </c>
      <c r="B1678" s="337" t="s">
        <v>13845</v>
      </c>
      <c r="C1678" s="776" t="s">
        <v>13531</v>
      </c>
      <c r="D1678" s="134"/>
      <c r="E1678" s="135">
        <v>221.42</v>
      </c>
      <c r="F1678" s="46" t="s">
        <v>9</v>
      </c>
      <c r="G1678" s="749">
        <f>IF(F1678="X",0,E1678)</f>
        <v>0</v>
      </c>
      <c r="H1678" s="775"/>
    </row>
    <row r="1679" spans="1:8">
      <c r="A1679" s="785">
        <v>43525</v>
      </c>
      <c r="B1679" s="337" t="s">
        <v>13848</v>
      </c>
      <c r="C1679" s="776" t="s">
        <v>13437</v>
      </c>
      <c r="D1679" s="134"/>
      <c r="E1679" s="135">
        <v>699.84</v>
      </c>
      <c r="F1679" s="46" t="s">
        <v>9</v>
      </c>
      <c r="G1679" s="749">
        <f>IF(F1679="X",0,E1679)</f>
        <v>0</v>
      </c>
      <c r="H1679" s="775"/>
    </row>
    <row r="1680" spans="1:8">
      <c r="A1680" s="785">
        <v>43525</v>
      </c>
      <c r="B1680" s="337" t="s">
        <v>13849</v>
      </c>
      <c r="C1680" s="776" t="s">
        <v>13521</v>
      </c>
      <c r="D1680" s="134"/>
      <c r="E1680" s="135">
        <v>273</v>
      </c>
      <c r="F1680" s="46" t="s">
        <v>9</v>
      </c>
      <c r="G1680" s="749">
        <f>IF(F1680="X",0,E1680)</f>
        <v>0</v>
      </c>
      <c r="H1680" s="775"/>
    </row>
    <row r="1681" spans="1:8">
      <c r="A1681" s="785">
        <v>43525</v>
      </c>
      <c r="B1681" s="337" t="s">
        <v>13850</v>
      </c>
      <c r="C1681" s="776" t="s">
        <v>13479</v>
      </c>
      <c r="D1681" s="134"/>
      <c r="E1681" s="135">
        <v>121.45</v>
      </c>
      <c r="F1681" s="46" t="s">
        <v>9</v>
      </c>
      <c r="G1681" s="749">
        <f>IF(F1681="X",0,E1681)</f>
        <v>0</v>
      </c>
      <c r="H1681" s="775"/>
    </row>
    <row r="1682" spans="1:8">
      <c r="A1682" s="792">
        <v>43525</v>
      </c>
      <c r="B1682" s="793" t="s">
        <v>13817</v>
      </c>
      <c r="C1682" s="794" t="s">
        <v>13414</v>
      </c>
      <c r="D1682" s="795"/>
      <c r="E1682" s="796">
        <v>459.81</v>
      </c>
      <c r="F1682" s="797" t="s">
        <v>9</v>
      </c>
      <c r="G1682" s="798">
        <f t="shared" si="116"/>
        <v>0</v>
      </c>
      <c r="H1682" s="775"/>
    </row>
    <row r="1683" spans="1:8">
      <c r="A1683" s="792">
        <v>43525</v>
      </c>
      <c r="B1683" s="793" t="s">
        <v>13808</v>
      </c>
      <c r="C1683" s="794" t="s">
        <v>13590</v>
      </c>
      <c r="D1683" s="795"/>
      <c r="E1683" s="796">
        <v>120.5</v>
      </c>
      <c r="F1683" s="797" t="s">
        <v>9</v>
      </c>
      <c r="G1683" s="798">
        <f t="shared" si="116"/>
        <v>0</v>
      </c>
      <c r="H1683" s="775"/>
    </row>
    <row r="1684" spans="1:8">
      <c r="A1684" s="792">
        <v>43525</v>
      </c>
      <c r="B1684" s="793" t="s">
        <v>13809</v>
      </c>
      <c r="C1684" s="794" t="s">
        <v>13590</v>
      </c>
      <c r="D1684" s="795"/>
      <c r="E1684" s="796">
        <v>152.58000000000001</v>
      </c>
      <c r="F1684" s="797" t="s">
        <v>9</v>
      </c>
      <c r="G1684" s="798">
        <f t="shared" si="116"/>
        <v>0</v>
      </c>
      <c r="H1684" s="775">
        <f>SUM(E1682:E1684)</f>
        <v>732.89</v>
      </c>
    </row>
    <row r="1685" spans="1:8">
      <c r="A1685" s="785">
        <v>43534</v>
      </c>
      <c r="B1685" s="337" t="s">
        <v>13835</v>
      </c>
      <c r="C1685" s="332" t="s">
        <v>13684</v>
      </c>
      <c r="D1685" s="134"/>
      <c r="E1685" s="135">
        <v>275.73</v>
      </c>
      <c r="F1685" s="46" t="s">
        <v>9</v>
      </c>
      <c r="G1685" s="749">
        <f t="shared" si="116"/>
        <v>0</v>
      </c>
      <c r="H1685" s="775"/>
    </row>
    <row r="1686" spans="1:8">
      <c r="A1686" s="786">
        <v>43534</v>
      </c>
      <c r="B1686" s="787" t="s">
        <v>13846</v>
      </c>
      <c r="C1686" s="788" t="s">
        <v>13618</v>
      </c>
      <c r="D1686" s="789"/>
      <c r="E1686" s="790">
        <v>149.81</v>
      </c>
      <c r="F1686" s="791" t="s">
        <v>9</v>
      </c>
      <c r="G1686" s="750">
        <f>IF(F1686="X",0,E1686)</f>
        <v>0</v>
      </c>
      <c r="H1686" s="775"/>
    </row>
    <row r="1687" spans="1:8">
      <c r="A1687" s="1484"/>
      <c r="B1687" s="1485"/>
      <c r="C1687" s="1486" t="s">
        <v>13851</v>
      </c>
      <c r="D1687" s="1487"/>
      <c r="E1687" s="1488">
        <f>SUM(E1688:E1698)</f>
        <v>3678.85</v>
      </c>
      <c r="F1687" s="1489"/>
      <c r="G1687" s="1490"/>
      <c r="H1687" s="775"/>
    </row>
    <row r="1688" spans="1:8">
      <c r="A1688" s="785">
        <v>43556</v>
      </c>
      <c r="B1688" s="337" t="s">
        <v>13848</v>
      </c>
      <c r="C1688" s="776" t="s">
        <v>13443</v>
      </c>
      <c r="D1688" s="134"/>
      <c r="E1688" s="135">
        <v>699.84</v>
      </c>
      <c r="F1688" s="46" t="s">
        <v>120</v>
      </c>
      <c r="G1688" s="749">
        <f t="shared" ref="G1688:G1695" si="117">IF(F1688="X",0,E1688)</f>
        <v>0</v>
      </c>
      <c r="H1688" s="775"/>
    </row>
    <row r="1689" spans="1:8">
      <c r="A1689" s="785">
        <v>43556</v>
      </c>
      <c r="B1689" s="337" t="s">
        <v>13849</v>
      </c>
      <c r="C1689" s="776" t="s">
        <v>13531</v>
      </c>
      <c r="D1689" s="134"/>
      <c r="E1689" s="135">
        <v>273</v>
      </c>
      <c r="F1689" s="46" t="s">
        <v>120</v>
      </c>
      <c r="G1689" s="749">
        <f t="shared" si="117"/>
        <v>0</v>
      </c>
      <c r="H1689" s="775"/>
    </row>
    <row r="1690" spans="1:8">
      <c r="A1690" s="792">
        <v>43556</v>
      </c>
      <c r="B1690" s="793" t="s">
        <v>13850</v>
      </c>
      <c r="C1690" s="794" t="s">
        <v>13485</v>
      </c>
      <c r="D1690" s="795"/>
      <c r="E1690" s="796">
        <v>121.45</v>
      </c>
      <c r="F1690" s="797" t="s">
        <v>120</v>
      </c>
      <c r="G1690" s="798">
        <f t="shared" si="117"/>
        <v>0</v>
      </c>
      <c r="H1690" s="775"/>
    </row>
    <row r="1691" spans="1:8">
      <c r="A1691" s="792">
        <v>43556</v>
      </c>
      <c r="B1691" s="793" t="s">
        <v>13844</v>
      </c>
      <c r="C1691" s="794" t="s">
        <v>13538</v>
      </c>
      <c r="D1691" s="795"/>
      <c r="E1691" s="796">
        <v>94.77</v>
      </c>
      <c r="F1691" s="797" t="s">
        <v>120</v>
      </c>
      <c r="G1691" s="798">
        <f t="shared" si="117"/>
        <v>0</v>
      </c>
      <c r="H1691" s="775"/>
    </row>
    <row r="1692" spans="1:8">
      <c r="A1692" s="792">
        <v>43556</v>
      </c>
      <c r="B1692" s="793" t="s">
        <v>13845</v>
      </c>
      <c r="C1692" s="794" t="s">
        <v>13538</v>
      </c>
      <c r="D1692" s="795"/>
      <c r="E1692" s="796">
        <v>221.42</v>
      </c>
      <c r="F1692" s="797" t="s">
        <v>120</v>
      </c>
      <c r="G1692" s="798">
        <f t="shared" si="117"/>
        <v>0</v>
      </c>
      <c r="H1692" s="775">
        <f>SUM(E1690:E1692)</f>
        <v>437.64</v>
      </c>
    </row>
    <row r="1693" spans="1:8">
      <c r="A1693" s="785">
        <v>43556</v>
      </c>
      <c r="B1693" s="337" t="s">
        <v>13843</v>
      </c>
      <c r="C1693" s="332" t="s">
        <v>13489</v>
      </c>
      <c r="D1693" s="134"/>
      <c r="E1693" s="135">
        <v>289.52999999999997</v>
      </c>
      <c r="F1693" s="46" t="s">
        <v>120</v>
      </c>
      <c r="G1693" s="749">
        <f t="shared" si="117"/>
        <v>0</v>
      </c>
      <c r="H1693" s="775"/>
    </row>
    <row r="1694" spans="1:8">
      <c r="A1694" s="785">
        <v>43556</v>
      </c>
      <c r="B1694" s="337" t="s">
        <v>13852</v>
      </c>
      <c r="C1694" s="332" t="s">
        <v>13356</v>
      </c>
      <c r="D1694" s="134"/>
      <c r="E1694" s="135">
        <v>389.4</v>
      </c>
      <c r="F1694" s="46" t="s">
        <v>120</v>
      </c>
      <c r="G1694" s="749">
        <f t="shared" si="117"/>
        <v>0</v>
      </c>
      <c r="H1694" s="775"/>
    </row>
    <row r="1695" spans="1:8">
      <c r="A1695" s="785">
        <v>43556</v>
      </c>
      <c r="B1695" s="1313" t="s">
        <v>13853</v>
      </c>
      <c r="C1695" s="332" t="s">
        <v>13459</v>
      </c>
      <c r="D1695" s="134"/>
      <c r="E1695" s="135">
        <v>287.5</v>
      </c>
      <c r="F1695" s="46" t="s">
        <v>120</v>
      </c>
      <c r="G1695" s="749">
        <f t="shared" si="117"/>
        <v>0</v>
      </c>
      <c r="H1695" s="775"/>
    </row>
    <row r="1696" spans="1:8">
      <c r="A1696" s="785">
        <v>43565</v>
      </c>
      <c r="B1696" s="337" t="s">
        <v>13846</v>
      </c>
      <c r="C1696" s="332" t="s">
        <v>13621</v>
      </c>
      <c r="D1696" s="134"/>
      <c r="E1696" s="135">
        <v>149.81</v>
      </c>
      <c r="F1696" s="46" t="s">
        <v>9</v>
      </c>
      <c r="G1696" s="749">
        <f>IF(F1696="X",0,E1696)</f>
        <v>0</v>
      </c>
      <c r="H1696" s="775"/>
    </row>
    <row r="1697" spans="1:8">
      <c r="A1697" s="785">
        <v>43565</v>
      </c>
      <c r="B1697" s="337" t="s">
        <v>13835</v>
      </c>
      <c r="C1697" s="332" t="s">
        <v>13622</v>
      </c>
      <c r="D1697" s="134"/>
      <c r="E1697" s="135">
        <v>275.73</v>
      </c>
      <c r="F1697" s="46" t="s">
        <v>9</v>
      </c>
      <c r="G1697" s="749">
        <f>IF(F1697="X",0,E1697)</f>
        <v>0</v>
      </c>
      <c r="H1697" s="775"/>
    </row>
    <row r="1698" spans="1:8">
      <c r="A1698" s="786">
        <v>43578</v>
      </c>
      <c r="B1698" s="787" t="s">
        <v>13854</v>
      </c>
      <c r="C1698" s="788" t="s">
        <v>13459</v>
      </c>
      <c r="D1698" s="789"/>
      <c r="E1698" s="790">
        <v>876.4</v>
      </c>
      <c r="F1698" s="791" t="s">
        <v>120</v>
      </c>
      <c r="G1698" s="750">
        <f>IF(F1698="X",0,E1698)</f>
        <v>0</v>
      </c>
      <c r="H1698" s="775"/>
    </row>
    <row r="1699" spans="1:8">
      <c r="A1699" s="1484"/>
      <c r="B1699" s="1485"/>
      <c r="C1699" s="1486" t="s">
        <v>13855</v>
      </c>
      <c r="D1699" s="1487"/>
      <c r="E1699" s="1488">
        <f>SUM(E1700:E1708)</f>
        <v>3370.67</v>
      </c>
      <c r="F1699" s="1489"/>
      <c r="G1699" s="1490"/>
      <c r="H1699" s="775"/>
    </row>
    <row r="1700" spans="1:8">
      <c r="A1700" s="785">
        <v>43586</v>
      </c>
      <c r="B1700" s="337" t="s">
        <v>13848</v>
      </c>
      <c r="C1700" s="776" t="s">
        <v>13448</v>
      </c>
      <c r="D1700" s="134"/>
      <c r="E1700" s="135">
        <v>699.84</v>
      </c>
      <c r="F1700" s="46" t="s">
        <v>9</v>
      </c>
      <c r="G1700" s="749">
        <f>IF(F1700="X",0,E1700)</f>
        <v>0</v>
      </c>
      <c r="H1700" s="775"/>
    </row>
    <row r="1701" spans="1:8">
      <c r="A1701" s="792">
        <v>43586</v>
      </c>
      <c r="B1701" s="793" t="s">
        <v>13849</v>
      </c>
      <c r="C1701" s="794" t="s">
        <v>13538</v>
      </c>
      <c r="D1701" s="1315"/>
      <c r="E1701" s="796">
        <v>273</v>
      </c>
      <c r="F1701" s="797" t="s">
        <v>9</v>
      </c>
      <c r="G1701" s="798"/>
      <c r="H1701" s="775"/>
    </row>
    <row r="1702" spans="1:8">
      <c r="A1702" s="792">
        <v>43586</v>
      </c>
      <c r="B1702" s="793" t="s">
        <v>13843</v>
      </c>
      <c r="C1702" s="794" t="s">
        <v>13493</v>
      </c>
      <c r="D1702" s="1315"/>
      <c r="E1702" s="796">
        <v>289.52999999999997</v>
      </c>
      <c r="F1702" s="797" t="s">
        <v>9</v>
      </c>
      <c r="G1702" s="798">
        <f t="shared" ref="G1702:G1708" si="118">IF(F1702="X",0,E1702)</f>
        <v>0</v>
      </c>
      <c r="H1702" s="775">
        <f>SUM(E1701:E1702)</f>
        <v>562.53</v>
      </c>
    </row>
    <row r="1703" spans="1:8">
      <c r="A1703" s="785">
        <v>43586</v>
      </c>
      <c r="B1703" s="337" t="s">
        <v>13852</v>
      </c>
      <c r="C1703" s="332" t="s">
        <v>13368</v>
      </c>
      <c r="D1703" s="134"/>
      <c r="E1703" s="135">
        <v>389.4</v>
      </c>
      <c r="F1703" s="46" t="s">
        <v>9</v>
      </c>
      <c r="G1703" s="749">
        <f t="shared" si="118"/>
        <v>0</v>
      </c>
      <c r="H1703" s="775"/>
    </row>
    <row r="1704" spans="1:8">
      <c r="A1704" s="785">
        <v>43586</v>
      </c>
      <c r="B1704" s="1313" t="s">
        <v>13853</v>
      </c>
      <c r="C1704" s="332" t="s">
        <v>13481</v>
      </c>
      <c r="D1704" s="134"/>
      <c r="E1704" s="135">
        <v>287.5</v>
      </c>
      <c r="F1704" s="46" t="s">
        <v>9</v>
      </c>
      <c r="G1704" s="749">
        <f t="shared" si="118"/>
        <v>0</v>
      </c>
      <c r="H1704" s="775"/>
    </row>
    <row r="1705" spans="1:8">
      <c r="A1705" s="785">
        <v>43586</v>
      </c>
      <c r="B1705" s="1313" t="s">
        <v>13843</v>
      </c>
      <c r="C1705" s="332" t="s">
        <v>13521</v>
      </c>
      <c r="D1705" s="134"/>
      <c r="E1705" s="135">
        <v>129.46</v>
      </c>
      <c r="F1705" s="46" t="s">
        <v>9</v>
      </c>
      <c r="G1705" s="749">
        <f t="shared" si="118"/>
        <v>0</v>
      </c>
      <c r="H1705" s="775"/>
    </row>
    <row r="1706" spans="1:8">
      <c r="A1706" s="785">
        <v>43594</v>
      </c>
      <c r="B1706" s="1313" t="s">
        <v>13854</v>
      </c>
      <c r="C1706" s="332" t="s">
        <v>13481</v>
      </c>
      <c r="D1706" s="134"/>
      <c r="E1706" s="135">
        <v>876.4</v>
      </c>
      <c r="F1706" s="46" t="s">
        <v>9</v>
      </c>
      <c r="G1706" s="749">
        <f t="shared" si="118"/>
        <v>0</v>
      </c>
      <c r="H1706" s="775"/>
    </row>
    <row r="1707" spans="1:8">
      <c r="A1707" s="785">
        <v>43595</v>
      </c>
      <c r="B1707" s="337" t="s">
        <v>13846</v>
      </c>
      <c r="C1707" s="332" t="s">
        <v>13380</v>
      </c>
      <c r="D1707" s="134"/>
      <c r="E1707" s="135">
        <v>149.81</v>
      </c>
      <c r="F1707" s="46" t="s">
        <v>120</v>
      </c>
      <c r="G1707" s="749">
        <f t="shared" si="118"/>
        <v>0</v>
      </c>
      <c r="H1707" s="775"/>
    </row>
    <row r="1708" spans="1:8">
      <c r="A1708" s="785">
        <v>43595</v>
      </c>
      <c r="B1708" s="337" t="s">
        <v>13835</v>
      </c>
      <c r="C1708" s="332" t="s">
        <v>13626</v>
      </c>
      <c r="D1708" s="134"/>
      <c r="E1708" s="135">
        <v>275.73</v>
      </c>
      <c r="F1708" s="46" t="s">
        <v>120</v>
      </c>
      <c r="G1708" s="749">
        <f t="shared" si="118"/>
        <v>0</v>
      </c>
      <c r="H1708" s="775"/>
    </row>
    <row r="1709" spans="1:8">
      <c r="A1709" s="1491"/>
      <c r="B1709" s="1492"/>
      <c r="C1709" s="1493" t="s">
        <v>13856</v>
      </c>
      <c r="D1709" s="1494"/>
      <c r="E1709" s="1495">
        <f>SUM(E1710:E1721)</f>
        <v>3889.03</v>
      </c>
      <c r="F1709" s="1496"/>
      <c r="G1709" s="1497"/>
      <c r="H1709" s="775"/>
    </row>
    <row r="1710" spans="1:8">
      <c r="A1710" s="785">
        <v>43617</v>
      </c>
      <c r="B1710" s="337" t="s">
        <v>13848</v>
      </c>
      <c r="C1710" s="776" t="s">
        <v>13454</v>
      </c>
      <c r="D1710" s="134"/>
      <c r="E1710" s="135">
        <v>699.84</v>
      </c>
      <c r="F1710" s="46" t="s">
        <v>120</v>
      </c>
      <c r="G1710" s="749">
        <f t="shared" ref="G1710:G1721" si="119">IF(F1710="X",0,E1710)</f>
        <v>0</v>
      </c>
      <c r="H1710" s="775"/>
    </row>
    <row r="1711" spans="1:8">
      <c r="A1711" s="785">
        <v>43617</v>
      </c>
      <c r="B1711" s="337" t="s">
        <v>13852</v>
      </c>
      <c r="C1711" s="332" t="s">
        <v>13376</v>
      </c>
      <c r="D1711" s="134"/>
      <c r="E1711" s="135">
        <v>389.4</v>
      </c>
      <c r="F1711" s="46" t="s">
        <v>120</v>
      </c>
      <c r="G1711" s="749">
        <f t="shared" si="119"/>
        <v>0</v>
      </c>
      <c r="H1711" s="775"/>
    </row>
    <row r="1712" spans="1:8">
      <c r="A1712" s="785">
        <v>43617</v>
      </c>
      <c r="B1712" s="1313" t="s">
        <v>13853</v>
      </c>
      <c r="C1712" s="332" t="s">
        <v>13489</v>
      </c>
      <c r="D1712" s="134"/>
      <c r="E1712" s="135">
        <v>287.5</v>
      </c>
      <c r="F1712" s="46" t="s">
        <v>120</v>
      </c>
      <c r="G1712" s="749">
        <f t="shared" si="119"/>
        <v>0</v>
      </c>
      <c r="H1712" s="775"/>
    </row>
    <row r="1713" spans="1:8">
      <c r="A1713" s="785">
        <v>43617</v>
      </c>
      <c r="B1713" s="1313" t="s">
        <v>13843</v>
      </c>
      <c r="C1713" s="332" t="s">
        <v>13657</v>
      </c>
      <c r="D1713" s="134"/>
      <c r="E1713" s="135">
        <v>129.46</v>
      </c>
      <c r="F1713" s="46" t="s">
        <v>120</v>
      </c>
      <c r="G1713" s="749">
        <f t="shared" si="119"/>
        <v>0</v>
      </c>
      <c r="H1713" s="775"/>
    </row>
    <row r="1714" spans="1:8">
      <c r="A1714" s="785">
        <v>43617</v>
      </c>
      <c r="B1714" s="337" t="s">
        <v>13857</v>
      </c>
      <c r="C1714" s="776" t="s">
        <v>13606</v>
      </c>
      <c r="D1714" s="134"/>
      <c r="E1714" s="135">
        <v>149.99</v>
      </c>
      <c r="F1714" s="46" t="s">
        <v>120</v>
      </c>
      <c r="G1714" s="749">
        <f t="shared" si="119"/>
        <v>0</v>
      </c>
      <c r="H1714" s="775"/>
    </row>
    <row r="1715" spans="1:8">
      <c r="A1715" s="785">
        <v>43617</v>
      </c>
      <c r="B1715" s="337" t="s">
        <v>13858</v>
      </c>
      <c r="C1715" s="776" t="s">
        <v>13459</v>
      </c>
      <c r="D1715" s="134"/>
      <c r="E1715" s="135">
        <v>172.5</v>
      </c>
      <c r="F1715" s="46" t="s">
        <v>120</v>
      </c>
      <c r="G1715" s="749">
        <f>IF(F1715="X",0,E1715)</f>
        <v>0</v>
      </c>
      <c r="H1715" s="775"/>
    </row>
    <row r="1716" spans="1:8">
      <c r="A1716" s="785">
        <v>43617</v>
      </c>
      <c r="B1716" s="337" t="s">
        <v>13859</v>
      </c>
      <c r="C1716" s="776" t="s">
        <v>13437</v>
      </c>
      <c r="D1716" s="134"/>
      <c r="E1716" s="135">
        <v>478.28</v>
      </c>
      <c r="F1716" s="46" t="s">
        <v>120</v>
      </c>
      <c r="G1716" s="749">
        <f>IF(F1716="X",0,E1716)</f>
        <v>0</v>
      </c>
      <c r="H1716" s="775"/>
    </row>
    <row r="1717" spans="1:8">
      <c r="A1717" s="785">
        <v>43617</v>
      </c>
      <c r="B1717" s="1313" t="s">
        <v>13860</v>
      </c>
      <c r="C1717" s="332" t="s">
        <v>13479</v>
      </c>
      <c r="D1717" s="134"/>
      <c r="E1717" s="135">
        <v>116.85</v>
      </c>
      <c r="F1717" s="46" t="s">
        <v>120</v>
      </c>
      <c r="G1717" s="749">
        <f>IF(F1717="X",0,E1717)</f>
        <v>0</v>
      </c>
      <c r="H1717" s="775"/>
    </row>
    <row r="1718" spans="1:8">
      <c r="A1718" s="785">
        <v>43626</v>
      </c>
      <c r="B1718" s="1313" t="s">
        <v>13861</v>
      </c>
      <c r="C1718" s="332" t="s">
        <v>13606</v>
      </c>
      <c r="D1718" s="134"/>
      <c r="E1718" s="135">
        <v>163.27000000000001</v>
      </c>
      <c r="F1718" s="46" t="s">
        <v>120</v>
      </c>
      <c r="G1718" s="749">
        <f>IF(F1718="X",0,E1718)</f>
        <v>0</v>
      </c>
      <c r="H1718" s="775"/>
    </row>
    <row r="1719" spans="1:8">
      <c r="A1719" s="785">
        <v>43625</v>
      </c>
      <c r="B1719" s="1313" t="s">
        <v>13854</v>
      </c>
      <c r="C1719" s="332" t="s">
        <v>13489</v>
      </c>
      <c r="D1719" s="134"/>
      <c r="E1719" s="135">
        <v>876.4</v>
      </c>
      <c r="F1719" s="46" t="s">
        <v>9</v>
      </c>
      <c r="G1719" s="749">
        <f t="shared" si="119"/>
        <v>0</v>
      </c>
      <c r="H1719" s="775"/>
    </row>
    <row r="1720" spans="1:8">
      <c r="A1720" s="785">
        <v>43626</v>
      </c>
      <c r="B1720" s="337" t="s">
        <v>13846</v>
      </c>
      <c r="C1720" s="332" t="s">
        <v>13384</v>
      </c>
      <c r="D1720" s="134"/>
      <c r="E1720" s="135">
        <v>149.81</v>
      </c>
      <c r="F1720" s="46" t="s">
        <v>120</v>
      </c>
      <c r="G1720" s="749">
        <f t="shared" si="119"/>
        <v>0</v>
      </c>
      <c r="H1720" s="775"/>
    </row>
    <row r="1721" spans="1:8">
      <c r="A1721" s="786">
        <v>43626</v>
      </c>
      <c r="B1721" s="787" t="s">
        <v>13835</v>
      </c>
      <c r="C1721" s="788" t="s">
        <v>13632</v>
      </c>
      <c r="D1721" s="789"/>
      <c r="E1721" s="790">
        <v>275.73</v>
      </c>
      <c r="F1721" s="791" t="s">
        <v>120</v>
      </c>
      <c r="G1721" s="750">
        <f t="shared" si="119"/>
        <v>0</v>
      </c>
      <c r="H1721" s="775"/>
    </row>
    <row r="1722" spans="1:8">
      <c r="A1722" s="1484"/>
      <c r="B1722" s="1485"/>
      <c r="C1722" s="1486" t="s">
        <v>13862</v>
      </c>
      <c r="D1722" s="1487"/>
      <c r="E1722" s="1488">
        <f>SUM(E1723:E1735)</f>
        <v>3982.4999999999995</v>
      </c>
      <c r="F1722" s="1489"/>
      <c r="G1722" s="1490"/>
      <c r="H1722" s="775">
        <f>SUM(E1725:E1727)+E1733</f>
        <v>1410.21</v>
      </c>
    </row>
    <row r="1723" spans="1:8">
      <c r="A1723" s="785">
        <v>43647</v>
      </c>
      <c r="B1723" s="337" t="s">
        <v>13848</v>
      </c>
      <c r="C1723" s="776" t="s">
        <v>13467</v>
      </c>
      <c r="D1723" s="134"/>
      <c r="E1723" s="135">
        <v>699.84</v>
      </c>
      <c r="F1723" s="46" t="s">
        <v>9</v>
      </c>
      <c r="G1723" s="749">
        <f t="shared" ref="G1723:G1735" si="120">IF(F1723="X",0,E1723)</f>
        <v>0</v>
      </c>
      <c r="H1723" s="775"/>
    </row>
    <row r="1724" spans="1:8">
      <c r="A1724" s="785">
        <v>43647</v>
      </c>
      <c r="B1724" s="337" t="s">
        <v>13852</v>
      </c>
      <c r="C1724" s="332" t="s">
        <v>13380</v>
      </c>
      <c r="D1724" s="134"/>
      <c r="E1724" s="135">
        <v>389.4</v>
      </c>
      <c r="F1724" s="46" t="s">
        <v>9</v>
      </c>
      <c r="G1724" s="749">
        <f t="shared" si="120"/>
        <v>0</v>
      </c>
      <c r="H1724" s="775"/>
    </row>
    <row r="1725" spans="1:8">
      <c r="A1725" s="792">
        <v>43647</v>
      </c>
      <c r="B1725" s="793" t="s">
        <v>13860</v>
      </c>
      <c r="C1725" s="794" t="s">
        <v>13485</v>
      </c>
      <c r="D1725" s="795"/>
      <c r="E1725" s="796">
        <v>116.85</v>
      </c>
      <c r="F1725" s="797" t="s">
        <v>9</v>
      </c>
      <c r="G1725" s="798">
        <f>IF(F1725="X",0,E1725)</f>
        <v>0</v>
      </c>
      <c r="H1725" s="775"/>
    </row>
    <row r="1726" spans="1:8">
      <c r="A1726" s="792">
        <v>43647</v>
      </c>
      <c r="B1726" s="793" t="s">
        <v>13853</v>
      </c>
      <c r="C1726" s="794" t="s">
        <v>13493</v>
      </c>
      <c r="D1726" s="795"/>
      <c r="E1726" s="796">
        <v>287.5</v>
      </c>
      <c r="F1726" s="797" t="s">
        <v>9</v>
      </c>
      <c r="G1726" s="798">
        <f t="shared" si="120"/>
        <v>0</v>
      </c>
      <c r="H1726" s="775"/>
    </row>
    <row r="1727" spans="1:8">
      <c r="A1727" s="792">
        <v>43647</v>
      </c>
      <c r="B1727" s="793" t="s">
        <v>13843</v>
      </c>
      <c r="C1727" s="794" t="s">
        <v>13538</v>
      </c>
      <c r="D1727" s="795"/>
      <c r="E1727" s="796">
        <v>129.46</v>
      </c>
      <c r="F1727" s="797" t="s">
        <v>9</v>
      </c>
      <c r="G1727" s="798">
        <f t="shared" si="120"/>
        <v>0</v>
      </c>
    </row>
    <row r="1728" spans="1:8">
      <c r="A1728" s="785">
        <v>43647</v>
      </c>
      <c r="B1728" s="337" t="s">
        <v>13857</v>
      </c>
      <c r="C1728" s="776" t="s">
        <v>13531</v>
      </c>
      <c r="D1728" s="134"/>
      <c r="E1728" s="135">
        <v>149.99</v>
      </c>
      <c r="F1728" s="46" t="s">
        <v>9</v>
      </c>
      <c r="G1728" s="749">
        <f t="shared" si="120"/>
        <v>0</v>
      </c>
      <c r="H1728" s="775"/>
    </row>
    <row r="1729" spans="1:8">
      <c r="A1729" s="785">
        <v>43647</v>
      </c>
      <c r="B1729" s="337" t="s">
        <v>13858</v>
      </c>
      <c r="C1729" s="776" t="s">
        <v>13481</v>
      </c>
      <c r="D1729" s="134"/>
      <c r="E1729" s="135">
        <v>172.5</v>
      </c>
      <c r="F1729" s="46" t="s">
        <v>9</v>
      </c>
      <c r="G1729" s="749">
        <f>IF(F1729="X",0,E1729)</f>
        <v>0</v>
      </c>
      <c r="H1729" s="775"/>
    </row>
    <row r="1730" spans="1:8">
      <c r="A1730" s="785">
        <v>43647</v>
      </c>
      <c r="B1730" s="337" t="s">
        <v>13859</v>
      </c>
      <c r="C1730" s="776" t="s">
        <v>13443</v>
      </c>
      <c r="D1730" s="134"/>
      <c r="E1730" s="135">
        <v>478.28</v>
      </c>
      <c r="F1730" s="46" t="s">
        <v>9</v>
      </c>
      <c r="G1730" s="749">
        <f>IF(F1730="X",0,E1730)</f>
        <v>0</v>
      </c>
      <c r="H1730" s="775"/>
    </row>
    <row r="1731" spans="1:8">
      <c r="A1731" s="785">
        <v>43647</v>
      </c>
      <c r="B1731" s="337" t="s">
        <v>13863</v>
      </c>
      <c r="C1731" s="776" t="s">
        <v>13437</v>
      </c>
      <c r="D1731" s="134"/>
      <c r="E1731" s="135">
        <v>93.47</v>
      </c>
      <c r="F1731" s="46" t="s">
        <v>9</v>
      </c>
      <c r="G1731" s="749">
        <f>IF(F1731="X",0,E1731)</f>
        <v>0</v>
      </c>
      <c r="H1731" s="775"/>
    </row>
    <row r="1732" spans="1:8">
      <c r="A1732" s="785">
        <v>43647</v>
      </c>
      <c r="B1732" s="337" t="s">
        <v>13861</v>
      </c>
      <c r="C1732" s="776" t="s">
        <v>13531</v>
      </c>
      <c r="D1732" s="134"/>
      <c r="E1732" s="135">
        <v>163.27000000000001</v>
      </c>
      <c r="F1732" s="46" t="s">
        <v>9</v>
      </c>
      <c r="G1732" s="749">
        <f>IF(F1732="X",0,E1732)</f>
        <v>0</v>
      </c>
      <c r="H1732" s="775"/>
    </row>
    <row r="1733" spans="1:8">
      <c r="A1733" s="792">
        <v>43655</v>
      </c>
      <c r="B1733" s="793" t="s">
        <v>13854</v>
      </c>
      <c r="C1733" s="794" t="s">
        <v>13493</v>
      </c>
      <c r="D1733" s="795"/>
      <c r="E1733" s="796">
        <v>876.4</v>
      </c>
      <c r="F1733" s="797" t="s">
        <v>9</v>
      </c>
      <c r="G1733" s="798">
        <f t="shared" si="120"/>
        <v>0</v>
      </c>
      <c r="H1733" s="775"/>
    </row>
    <row r="1734" spans="1:8">
      <c r="A1734" s="785">
        <v>43656</v>
      </c>
      <c r="B1734" s="337" t="s">
        <v>13846</v>
      </c>
      <c r="C1734" s="332" t="s">
        <v>13387</v>
      </c>
      <c r="D1734" s="134"/>
      <c r="E1734" s="135">
        <v>149.81</v>
      </c>
      <c r="F1734" s="46" t="s">
        <v>9</v>
      </c>
      <c r="G1734" s="749">
        <f t="shared" si="120"/>
        <v>0</v>
      </c>
      <c r="H1734" s="775"/>
    </row>
    <row r="1735" spans="1:8">
      <c r="A1735" s="785">
        <v>43656</v>
      </c>
      <c r="B1735" s="337" t="s">
        <v>13835</v>
      </c>
      <c r="C1735" s="332" t="s">
        <v>13636</v>
      </c>
      <c r="D1735" s="134"/>
      <c r="E1735" s="135">
        <v>275.73</v>
      </c>
      <c r="F1735" s="46" t="s">
        <v>9</v>
      </c>
      <c r="G1735" s="749">
        <f t="shared" si="120"/>
        <v>0</v>
      </c>
      <c r="H1735" s="775"/>
    </row>
    <row r="1736" spans="1:8">
      <c r="A1736" s="1491"/>
      <c r="B1736" s="1492"/>
      <c r="C1736" s="1493" t="s">
        <v>13864</v>
      </c>
      <c r="D1736" s="1494"/>
      <c r="E1736" s="1495">
        <f>SUM(E1737:E1746)</f>
        <v>2677.18</v>
      </c>
      <c r="F1736" s="1496"/>
      <c r="G1736" s="1497"/>
      <c r="H1736" s="775">
        <f>E1737+E1739+E1744</f>
        <v>1013.1</v>
      </c>
    </row>
    <row r="1737" spans="1:8">
      <c r="A1737" s="792">
        <v>43678</v>
      </c>
      <c r="B1737" s="793" t="s">
        <v>13848</v>
      </c>
      <c r="C1737" s="794" t="s">
        <v>13475</v>
      </c>
      <c r="D1737" s="795"/>
      <c r="E1737" s="796">
        <v>699.84</v>
      </c>
      <c r="F1737" s="797" t="s">
        <v>120</v>
      </c>
      <c r="G1737" s="798">
        <f t="shared" ref="G1737:G1744" si="121">IF(F1737="X",0,E1737)</f>
        <v>0</v>
      </c>
      <c r="H1737" s="775"/>
    </row>
    <row r="1738" spans="1:8" ht="27">
      <c r="A1738" s="785">
        <v>43678</v>
      </c>
      <c r="B1738" s="1313" t="s">
        <v>13852</v>
      </c>
      <c r="C1738" s="332" t="s">
        <v>13384</v>
      </c>
      <c r="D1738" s="134"/>
      <c r="E1738" s="135">
        <v>389.4</v>
      </c>
      <c r="F1738" s="46" t="s">
        <v>120</v>
      </c>
      <c r="G1738" s="749">
        <f t="shared" si="121"/>
        <v>0</v>
      </c>
      <c r="H1738" s="775"/>
    </row>
    <row r="1739" spans="1:8">
      <c r="A1739" s="792">
        <v>43678</v>
      </c>
      <c r="B1739" s="793" t="s">
        <v>13857</v>
      </c>
      <c r="C1739" s="794" t="s">
        <v>13538</v>
      </c>
      <c r="D1739" s="795"/>
      <c r="E1739" s="796">
        <v>149.99</v>
      </c>
      <c r="F1739" s="797" t="s">
        <v>120</v>
      </c>
      <c r="G1739" s="798">
        <f t="shared" si="121"/>
        <v>0</v>
      </c>
    </row>
    <row r="1740" spans="1:8">
      <c r="A1740" s="785">
        <v>43678</v>
      </c>
      <c r="B1740" s="337" t="s">
        <v>13858</v>
      </c>
      <c r="C1740" s="332" t="s">
        <v>13489</v>
      </c>
      <c r="D1740" s="134"/>
      <c r="E1740" s="135">
        <v>172.5</v>
      </c>
      <c r="F1740" s="46" t="s">
        <v>120</v>
      </c>
      <c r="G1740" s="749">
        <f t="shared" si="121"/>
        <v>0</v>
      </c>
      <c r="H1740" s="775"/>
    </row>
    <row r="1741" spans="1:8">
      <c r="A1741" s="785">
        <v>43678</v>
      </c>
      <c r="B1741" s="337" t="s">
        <v>13859</v>
      </c>
      <c r="C1741" s="776" t="s">
        <v>13448</v>
      </c>
      <c r="D1741" s="134"/>
      <c r="E1741" s="135">
        <v>478.28</v>
      </c>
      <c r="F1741" s="46" t="s">
        <v>120</v>
      </c>
      <c r="G1741" s="749">
        <f t="shared" si="121"/>
        <v>0</v>
      </c>
      <c r="H1741" s="775"/>
    </row>
    <row r="1742" spans="1:8">
      <c r="A1742" s="785">
        <v>43678</v>
      </c>
      <c r="B1742" s="337" t="s">
        <v>13863</v>
      </c>
      <c r="C1742" s="776" t="s">
        <v>13443</v>
      </c>
      <c r="D1742" s="134"/>
      <c r="E1742" s="135">
        <v>93.46</v>
      </c>
      <c r="F1742" s="46" t="s">
        <v>120</v>
      </c>
      <c r="G1742" s="749">
        <f t="shared" si="121"/>
        <v>0</v>
      </c>
      <c r="H1742" s="775"/>
    </row>
    <row r="1743" spans="1:8">
      <c r="A1743" s="785">
        <v>43678</v>
      </c>
      <c r="B1743" s="337" t="s">
        <v>13865</v>
      </c>
      <c r="C1743" s="776" t="s">
        <v>13479</v>
      </c>
      <c r="D1743" s="134"/>
      <c r="E1743" s="135">
        <v>104.9</v>
      </c>
      <c r="F1743" s="46" t="s">
        <v>120</v>
      </c>
      <c r="G1743" s="749">
        <f t="shared" si="121"/>
        <v>0</v>
      </c>
      <c r="H1743" s="775"/>
    </row>
    <row r="1744" spans="1:8">
      <c r="A1744" s="792">
        <v>43678</v>
      </c>
      <c r="B1744" s="793" t="s">
        <v>13861</v>
      </c>
      <c r="C1744" s="794" t="s">
        <v>13538</v>
      </c>
      <c r="D1744" s="795"/>
      <c r="E1744" s="796">
        <v>163.27000000000001</v>
      </c>
      <c r="F1744" s="797" t="s">
        <v>120</v>
      </c>
      <c r="G1744" s="798">
        <f t="shared" si="121"/>
        <v>0</v>
      </c>
      <c r="H1744" s="775"/>
    </row>
    <row r="1745" spans="1:8">
      <c r="A1745" s="785">
        <v>43687</v>
      </c>
      <c r="B1745" s="337" t="s">
        <v>13846</v>
      </c>
      <c r="C1745" s="332" t="s">
        <v>13397</v>
      </c>
      <c r="D1745" s="134"/>
      <c r="E1745" s="135">
        <v>149.81</v>
      </c>
      <c r="F1745" s="46" t="s">
        <v>120</v>
      </c>
      <c r="G1745" s="749">
        <f>IF(F1745="X",0,E1745)</f>
        <v>0</v>
      </c>
      <c r="H1745" s="775"/>
    </row>
    <row r="1746" spans="1:8">
      <c r="A1746" s="786">
        <v>43687</v>
      </c>
      <c r="B1746" s="787" t="s">
        <v>13835</v>
      </c>
      <c r="C1746" s="788" t="s">
        <v>13637</v>
      </c>
      <c r="D1746" s="789"/>
      <c r="E1746" s="790">
        <v>275.73</v>
      </c>
      <c r="F1746" s="791" t="s">
        <v>120</v>
      </c>
      <c r="G1746" s="750">
        <f>IF(F1746="X",0,E1746)</f>
        <v>0</v>
      </c>
      <c r="H1746" s="775"/>
    </row>
    <row r="1747" spans="1:8">
      <c r="A1747" s="1484"/>
      <c r="B1747" s="1485"/>
      <c r="C1747" s="1486" t="s">
        <v>13866</v>
      </c>
      <c r="D1747" s="1487"/>
      <c r="E1747" s="1488">
        <f>SUM(E1748:E1757)</f>
        <v>2347.6000000000004</v>
      </c>
      <c r="F1747" s="1489"/>
      <c r="G1747" s="1490"/>
      <c r="H1747" s="775">
        <f>E1749+E1757+E1752</f>
        <v>553.13</v>
      </c>
    </row>
    <row r="1748" spans="1:8">
      <c r="A1748" s="785">
        <v>43709</v>
      </c>
      <c r="B1748" s="337" t="s">
        <v>13852</v>
      </c>
      <c r="C1748" s="332" t="s">
        <v>13387</v>
      </c>
      <c r="D1748" s="134"/>
      <c r="E1748" s="135">
        <v>389.4</v>
      </c>
      <c r="F1748" s="46" t="s">
        <v>120</v>
      </c>
      <c r="G1748" s="749">
        <f t="shared" ref="G1748:G1757" si="122">IF(F1748="X",0,E1748)</f>
        <v>0</v>
      </c>
      <c r="H1748" s="775"/>
    </row>
    <row r="1749" spans="1:8">
      <c r="A1749" s="792">
        <v>43709</v>
      </c>
      <c r="B1749" s="793" t="s">
        <v>13858</v>
      </c>
      <c r="C1749" s="794" t="s">
        <v>13493</v>
      </c>
      <c r="D1749" s="795"/>
      <c r="E1749" s="796">
        <v>172.5</v>
      </c>
      <c r="F1749" s="797" t="s">
        <v>120</v>
      </c>
      <c r="G1749" s="798">
        <f t="shared" si="122"/>
        <v>0</v>
      </c>
      <c r="H1749" s="775"/>
    </row>
    <row r="1750" spans="1:8">
      <c r="A1750" s="785">
        <v>43709</v>
      </c>
      <c r="B1750" s="337" t="s">
        <v>13859</v>
      </c>
      <c r="C1750" s="776" t="s">
        <v>13454</v>
      </c>
      <c r="D1750" s="134"/>
      <c r="E1750" s="135">
        <v>478.28</v>
      </c>
      <c r="F1750" s="46" t="s">
        <v>120</v>
      </c>
      <c r="G1750" s="749">
        <f t="shared" si="122"/>
        <v>0</v>
      </c>
      <c r="H1750" s="775"/>
    </row>
    <row r="1751" spans="1:8">
      <c r="A1751" s="785">
        <v>43709</v>
      </c>
      <c r="B1751" s="337" t="s">
        <v>13863</v>
      </c>
      <c r="C1751" s="776" t="s">
        <v>13448</v>
      </c>
      <c r="D1751" s="134"/>
      <c r="E1751" s="135">
        <v>93.46</v>
      </c>
      <c r="F1751" s="46" t="s">
        <v>120</v>
      </c>
      <c r="G1751" s="749">
        <f t="shared" si="122"/>
        <v>0</v>
      </c>
      <c r="H1751" s="775"/>
    </row>
    <row r="1752" spans="1:8">
      <c r="A1752" s="792">
        <v>43709</v>
      </c>
      <c r="B1752" s="793" t="s">
        <v>13865</v>
      </c>
      <c r="C1752" s="794" t="s">
        <v>13485</v>
      </c>
      <c r="D1752" s="795"/>
      <c r="E1752" s="796">
        <v>104.9</v>
      </c>
      <c r="F1752" s="797" t="s">
        <v>120</v>
      </c>
      <c r="G1752" s="798">
        <f t="shared" si="122"/>
        <v>0</v>
      </c>
      <c r="H1752" s="775"/>
    </row>
    <row r="1753" spans="1:8">
      <c r="A1753" s="785">
        <v>43709</v>
      </c>
      <c r="B1753" s="337" t="s">
        <v>13867</v>
      </c>
      <c r="C1753" s="776" t="s">
        <v>13437</v>
      </c>
      <c r="D1753" s="134"/>
      <c r="E1753" s="135">
        <v>278.67</v>
      </c>
      <c r="F1753" s="46" t="s">
        <v>120</v>
      </c>
      <c r="G1753" s="749">
        <f t="shared" si="122"/>
        <v>0</v>
      </c>
      <c r="H1753" s="775"/>
    </row>
    <row r="1754" spans="1:8">
      <c r="A1754" s="785">
        <v>43709</v>
      </c>
      <c r="B1754" s="337" t="s">
        <v>13868</v>
      </c>
      <c r="C1754" s="776" t="s">
        <v>13521</v>
      </c>
      <c r="D1754" s="134"/>
      <c r="E1754" s="135">
        <v>309.89999999999998</v>
      </c>
      <c r="F1754" s="46" t="s">
        <v>120</v>
      </c>
      <c r="G1754" s="749">
        <f>IF(F1754="X",0,E1754)</f>
        <v>0</v>
      </c>
      <c r="H1754" s="775"/>
    </row>
    <row r="1755" spans="1:8">
      <c r="A1755" s="785">
        <v>43709</v>
      </c>
      <c r="B1755" s="337" t="s">
        <v>13869</v>
      </c>
      <c r="C1755" s="776" t="s">
        <v>13521</v>
      </c>
      <c r="D1755" s="134"/>
      <c r="E1755" s="135">
        <v>94.95</v>
      </c>
      <c r="F1755" s="46" t="s">
        <v>120</v>
      </c>
      <c r="G1755" s="749">
        <f>IF(F1755="X",0,E1755)</f>
        <v>0</v>
      </c>
      <c r="H1755" s="775"/>
    </row>
    <row r="1756" spans="1:8">
      <c r="A1756" s="785">
        <v>43718</v>
      </c>
      <c r="B1756" s="337" t="s">
        <v>13846</v>
      </c>
      <c r="C1756" s="332" t="s">
        <v>13402</v>
      </c>
      <c r="D1756" s="134"/>
      <c r="E1756" s="135">
        <v>149.81</v>
      </c>
      <c r="F1756" s="46" t="s">
        <v>9</v>
      </c>
      <c r="G1756" s="749">
        <f t="shared" si="122"/>
        <v>0</v>
      </c>
      <c r="H1756" s="775"/>
    </row>
    <row r="1757" spans="1:8">
      <c r="A1757" s="792">
        <v>43718</v>
      </c>
      <c r="B1757" s="793" t="s">
        <v>13835</v>
      </c>
      <c r="C1757" s="794" t="s">
        <v>13640</v>
      </c>
      <c r="D1757" s="795"/>
      <c r="E1757" s="796">
        <v>275.73</v>
      </c>
      <c r="F1757" s="797" t="s">
        <v>9</v>
      </c>
      <c r="G1757" s="798">
        <f t="shared" si="122"/>
        <v>0</v>
      </c>
      <c r="H1757" s="775"/>
    </row>
    <row r="1758" spans="1:8">
      <c r="A1758" s="1510"/>
      <c r="B1758" s="1508"/>
      <c r="C1758" s="1513" t="s">
        <v>13870</v>
      </c>
      <c r="D1758" s="1509"/>
      <c r="E1758" s="1517">
        <f>SUM(E1759:E1768)</f>
        <v>2176.25</v>
      </c>
      <c r="F1758" s="1508"/>
      <c r="G1758" s="1517"/>
      <c r="H1758" s="775"/>
    </row>
    <row r="1759" spans="1:8">
      <c r="A1759" s="1511">
        <v>43739</v>
      </c>
      <c r="B1759" s="116" t="s">
        <v>13852</v>
      </c>
      <c r="C1759" s="1514" t="s">
        <v>13397</v>
      </c>
      <c r="D1759" s="55"/>
      <c r="E1759" s="1480">
        <v>389.4</v>
      </c>
      <c r="F1759" s="116" t="s">
        <v>9</v>
      </c>
      <c r="G1759" s="1480">
        <f t="shared" ref="G1759:G1768" si="123">IF(F1759="X",0,E1759)</f>
        <v>0</v>
      </c>
      <c r="H1759" s="775"/>
    </row>
    <row r="1760" spans="1:8">
      <c r="A1760" s="1511">
        <v>43739</v>
      </c>
      <c r="B1760" s="116" t="s">
        <v>13859</v>
      </c>
      <c r="C1760" s="1515" t="s">
        <v>13467</v>
      </c>
      <c r="D1760" s="55"/>
      <c r="E1760" s="1480">
        <v>478.28</v>
      </c>
      <c r="F1760" s="116" t="s">
        <v>9</v>
      </c>
      <c r="G1760" s="1480">
        <f t="shared" si="123"/>
        <v>0</v>
      </c>
      <c r="H1760" s="775"/>
    </row>
    <row r="1761" spans="1:8">
      <c r="A1761" s="1511">
        <v>43739</v>
      </c>
      <c r="B1761" s="116" t="s">
        <v>13863</v>
      </c>
      <c r="C1761" s="1515" t="s">
        <v>13454</v>
      </c>
      <c r="D1761" s="55"/>
      <c r="E1761" s="1480">
        <v>93.46</v>
      </c>
      <c r="F1761" s="116" t="s">
        <v>9</v>
      </c>
      <c r="G1761" s="1480">
        <f t="shared" si="123"/>
        <v>0</v>
      </c>
      <c r="H1761" s="775"/>
    </row>
    <row r="1762" spans="1:8">
      <c r="A1762" s="1511">
        <v>43739</v>
      </c>
      <c r="B1762" s="116" t="s">
        <v>13867</v>
      </c>
      <c r="C1762" s="1515" t="s">
        <v>13443</v>
      </c>
      <c r="D1762" s="55"/>
      <c r="E1762" s="1480">
        <v>278.67</v>
      </c>
      <c r="F1762" s="116" t="s">
        <v>9</v>
      </c>
      <c r="G1762" s="1480">
        <f t="shared" si="123"/>
        <v>0</v>
      </c>
      <c r="H1762" s="775"/>
    </row>
    <row r="1763" spans="1:8">
      <c r="A1763" s="1511">
        <v>43739</v>
      </c>
      <c r="B1763" s="116" t="s">
        <v>13868</v>
      </c>
      <c r="C1763" s="1515" t="s">
        <v>13531</v>
      </c>
      <c r="D1763" s="55"/>
      <c r="E1763" s="1480">
        <v>309.89999999999998</v>
      </c>
      <c r="F1763" s="116" t="s">
        <v>9</v>
      </c>
      <c r="G1763" s="1480">
        <f t="shared" si="123"/>
        <v>0</v>
      </c>
      <c r="H1763" s="775"/>
    </row>
    <row r="1764" spans="1:8">
      <c r="A1764" s="1511">
        <v>43739</v>
      </c>
      <c r="B1764" s="116" t="s">
        <v>13869</v>
      </c>
      <c r="C1764" s="1515" t="s">
        <v>13531</v>
      </c>
      <c r="D1764" s="55"/>
      <c r="E1764" s="1480">
        <v>94.95</v>
      </c>
      <c r="F1764" s="116" t="s">
        <v>9</v>
      </c>
      <c r="G1764" s="1480">
        <f t="shared" si="123"/>
        <v>0</v>
      </c>
      <c r="H1764" s="775"/>
    </row>
    <row r="1765" spans="1:8">
      <c r="A1765" s="1511">
        <v>43739</v>
      </c>
      <c r="B1765" s="116" t="s">
        <v>13871</v>
      </c>
      <c r="C1765" s="1515" t="s">
        <v>13479</v>
      </c>
      <c r="D1765" s="55"/>
      <c r="E1765" s="1480">
        <v>169.8</v>
      </c>
      <c r="F1765" s="116" t="s">
        <v>9</v>
      </c>
      <c r="G1765" s="1480">
        <f t="shared" si="123"/>
        <v>0</v>
      </c>
      <c r="H1765" s="775"/>
    </row>
    <row r="1766" spans="1:8">
      <c r="A1766" s="1511">
        <v>43739</v>
      </c>
      <c r="B1766" s="116" t="s">
        <v>13872</v>
      </c>
      <c r="C1766" s="1515" t="s">
        <v>13437</v>
      </c>
      <c r="D1766" s="55"/>
      <c r="E1766" s="1480">
        <v>127.98</v>
      </c>
      <c r="F1766" s="116" t="s">
        <v>9</v>
      </c>
      <c r="G1766" s="1480">
        <f t="shared" si="123"/>
        <v>0</v>
      </c>
      <c r="H1766" s="775"/>
    </row>
    <row r="1767" spans="1:8">
      <c r="A1767" s="1511">
        <v>43739</v>
      </c>
      <c r="B1767" s="116" t="s">
        <v>13873</v>
      </c>
      <c r="C1767" s="1515" t="s">
        <v>13529</v>
      </c>
      <c r="D1767" s="55"/>
      <c r="E1767" s="1480">
        <v>84</v>
      </c>
      <c r="F1767" s="116" t="s">
        <v>9</v>
      </c>
      <c r="G1767" s="1480">
        <f t="shared" si="123"/>
        <v>0</v>
      </c>
      <c r="H1767" s="775"/>
    </row>
    <row r="1768" spans="1:8">
      <c r="A1768" s="1512">
        <v>43748</v>
      </c>
      <c r="B1768" s="1504" t="s">
        <v>13846</v>
      </c>
      <c r="C1768" s="1516" t="s">
        <v>13409</v>
      </c>
      <c r="D1768" s="1324"/>
      <c r="E1768" s="1401">
        <v>149.81</v>
      </c>
      <c r="F1768" s="1504" t="s">
        <v>9</v>
      </c>
      <c r="G1768" s="1401">
        <f t="shared" si="123"/>
        <v>0</v>
      </c>
      <c r="H1768" s="775"/>
    </row>
    <row r="1769" spans="1:8">
      <c r="A1769" s="1484"/>
      <c r="B1769" s="1485"/>
      <c r="C1769" s="1486" t="s">
        <v>13874</v>
      </c>
      <c r="D1769" s="1487"/>
      <c r="E1769" s="1488">
        <f>SUM(E1770:E1782)</f>
        <v>2949.96</v>
      </c>
      <c r="F1769" s="1489"/>
      <c r="G1769" s="1490"/>
      <c r="H1769" s="775">
        <f>E1771+E1781+E1774+E1775+E1776</f>
        <v>1202.7399999999998</v>
      </c>
    </row>
    <row r="1770" spans="1:8">
      <c r="A1770" s="785">
        <v>43770</v>
      </c>
      <c r="B1770" s="337" t="s">
        <v>13852</v>
      </c>
      <c r="C1770" s="332" t="s">
        <v>13402</v>
      </c>
      <c r="D1770" s="134"/>
      <c r="E1770" s="135">
        <v>389.4</v>
      </c>
      <c r="F1770" s="46" t="s">
        <v>9</v>
      </c>
      <c r="G1770" s="749">
        <f t="shared" ref="G1770:G1782" si="124">IF(F1770="X",0,E1770)</f>
        <v>0</v>
      </c>
      <c r="H1770" s="775"/>
    </row>
    <row r="1771" spans="1:8">
      <c r="A1771" s="792">
        <v>43770</v>
      </c>
      <c r="B1771" s="793" t="s">
        <v>13859</v>
      </c>
      <c r="C1771" s="794" t="s">
        <v>13475</v>
      </c>
      <c r="D1771" s="795"/>
      <c r="E1771" s="796">
        <v>478.28</v>
      </c>
      <c r="F1771" s="797" t="s">
        <v>9</v>
      </c>
      <c r="G1771" s="798">
        <f t="shared" si="124"/>
        <v>0</v>
      </c>
      <c r="H1771" s="775"/>
    </row>
    <row r="1772" spans="1:8">
      <c r="A1772" s="785">
        <v>43770</v>
      </c>
      <c r="B1772" s="337" t="s">
        <v>13863</v>
      </c>
      <c r="C1772" s="776" t="s">
        <v>13467</v>
      </c>
      <c r="D1772" s="134"/>
      <c r="E1772" s="135">
        <v>93.46</v>
      </c>
      <c r="F1772" s="46" t="s">
        <v>9</v>
      </c>
      <c r="G1772" s="749">
        <f t="shared" si="124"/>
        <v>0</v>
      </c>
      <c r="H1772" s="775"/>
    </row>
    <row r="1773" spans="1:8">
      <c r="A1773" s="785">
        <v>43770</v>
      </c>
      <c r="B1773" s="337" t="s">
        <v>13867</v>
      </c>
      <c r="C1773" s="776" t="s">
        <v>13448</v>
      </c>
      <c r="D1773" s="134"/>
      <c r="E1773" s="135">
        <v>278.67</v>
      </c>
      <c r="F1773" s="46" t="s">
        <v>9</v>
      </c>
      <c r="G1773" s="749">
        <f t="shared" si="124"/>
        <v>0</v>
      </c>
      <c r="H1773" s="775"/>
    </row>
    <row r="1774" spans="1:8">
      <c r="A1774" s="792">
        <v>43770</v>
      </c>
      <c r="B1774" s="793" t="s">
        <v>13868</v>
      </c>
      <c r="C1774" s="794" t="s">
        <v>13538</v>
      </c>
      <c r="D1774" s="795"/>
      <c r="E1774" s="796">
        <v>309.89999999999998</v>
      </c>
      <c r="F1774" s="797" t="s">
        <v>9</v>
      </c>
      <c r="G1774" s="798">
        <f t="shared" si="124"/>
        <v>0</v>
      </c>
      <c r="H1774" s="775"/>
    </row>
    <row r="1775" spans="1:8">
      <c r="A1775" s="792">
        <v>43770</v>
      </c>
      <c r="B1775" s="793" t="s">
        <v>13869</v>
      </c>
      <c r="C1775" s="794" t="s">
        <v>13538</v>
      </c>
      <c r="D1775" s="795"/>
      <c r="E1775" s="796">
        <v>94.95</v>
      </c>
      <c r="F1775" s="797" t="s">
        <v>9</v>
      </c>
      <c r="G1775" s="798">
        <f t="shared" si="124"/>
        <v>0</v>
      </c>
      <c r="H1775" s="775"/>
    </row>
    <row r="1776" spans="1:8">
      <c r="A1776" s="792">
        <v>43770</v>
      </c>
      <c r="B1776" s="793" t="s">
        <v>13871</v>
      </c>
      <c r="C1776" s="794" t="s">
        <v>13643</v>
      </c>
      <c r="D1776" s="795"/>
      <c r="E1776" s="796">
        <v>169.8</v>
      </c>
      <c r="F1776" s="797" t="s">
        <v>9</v>
      </c>
      <c r="G1776" s="798">
        <f t="shared" si="124"/>
        <v>0</v>
      </c>
      <c r="H1776" s="775"/>
    </row>
    <row r="1777" spans="1:8">
      <c r="A1777" s="785">
        <v>43770</v>
      </c>
      <c r="B1777" s="337" t="s">
        <v>13872</v>
      </c>
      <c r="C1777" s="776" t="s">
        <v>13443</v>
      </c>
      <c r="D1777" s="134"/>
      <c r="E1777" s="135">
        <v>127.98</v>
      </c>
      <c r="F1777" s="46" t="s">
        <v>9</v>
      </c>
      <c r="G1777" s="749">
        <f t="shared" si="124"/>
        <v>0</v>
      </c>
      <c r="H1777" s="775"/>
    </row>
    <row r="1778" spans="1:8">
      <c r="A1778" s="785">
        <v>43770</v>
      </c>
      <c r="B1778" s="337" t="s">
        <v>13873</v>
      </c>
      <c r="C1778" s="776" t="s">
        <v>13537</v>
      </c>
      <c r="D1778" s="134"/>
      <c r="E1778" s="135">
        <v>84</v>
      </c>
      <c r="F1778" s="46" t="s">
        <v>9</v>
      </c>
      <c r="G1778" s="749">
        <f t="shared" si="124"/>
        <v>0</v>
      </c>
      <c r="H1778" s="775"/>
    </row>
    <row r="1779" spans="1:8">
      <c r="A1779" s="785">
        <v>43770</v>
      </c>
      <c r="B1779" s="337" t="s">
        <v>13875</v>
      </c>
      <c r="C1779" s="776" t="s">
        <v>13437</v>
      </c>
      <c r="D1779" s="134"/>
      <c r="E1779" s="135">
        <v>347.71</v>
      </c>
      <c r="F1779" s="46" t="s">
        <v>9</v>
      </c>
      <c r="G1779" s="749">
        <f t="shared" si="124"/>
        <v>0</v>
      </c>
      <c r="H1779" s="775"/>
    </row>
    <row r="1780" spans="1:8">
      <c r="A1780" s="785">
        <v>43770</v>
      </c>
      <c r="B1780" s="337" t="s">
        <v>13876</v>
      </c>
      <c r="C1780" s="776" t="s">
        <v>13479</v>
      </c>
      <c r="D1780" s="134"/>
      <c r="E1780" s="135">
        <v>130</v>
      </c>
      <c r="F1780" s="46" t="s">
        <v>9</v>
      </c>
      <c r="G1780" s="749">
        <f t="shared" si="124"/>
        <v>0</v>
      </c>
      <c r="H1780" s="775"/>
    </row>
    <row r="1781" spans="1:8">
      <c r="A1781" s="792">
        <v>43779</v>
      </c>
      <c r="B1781" s="793" t="s">
        <v>13846</v>
      </c>
      <c r="C1781" s="794" t="s">
        <v>13414</v>
      </c>
      <c r="D1781" s="795"/>
      <c r="E1781" s="796">
        <v>149.81</v>
      </c>
      <c r="F1781" s="797" t="s">
        <v>120</v>
      </c>
      <c r="G1781" s="798">
        <f t="shared" si="124"/>
        <v>0</v>
      </c>
      <c r="H1781" s="775"/>
    </row>
    <row r="1782" spans="1:8">
      <c r="A1782" s="786">
        <v>43779</v>
      </c>
      <c r="B1782" s="787" t="s">
        <v>13877</v>
      </c>
      <c r="C1782" s="938" t="s">
        <v>13610</v>
      </c>
      <c r="D1782" s="789"/>
      <c r="E1782" s="790">
        <v>296</v>
      </c>
      <c r="F1782" s="791" t="s">
        <v>9</v>
      </c>
      <c r="G1782" s="750">
        <f t="shared" si="124"/>
        <v>0</v>
      </c>
      <c r="H1782" s="775"/>
    </row>
    <row r="1783" spans="1:8">
      <c r="A1783" s="1484"/>
      <c r="B1783" s="1485"/>
      <c r="C1783" s="1486" t="s">
        <v>13878</v>
      </c>
      <c r="D1783" s="1487"/>
      <c r="E1783" s="1488">
        <f>SUM(E1784:E1791)</f>
        <v>1747.22</v>
      </c>
      <c r="F1783" s="1489"/>
      <c r="G1783" s="1490"/>
      <c r="H1783" s="775">
        <f>E1785+G1790</f>
        <v>93.46</v>
      </c>
    </row>
    <row r="1784" spans="1:8">
      <c r="A1784" s="785">
        <v>43800</v>
      </c>
      <c r="B1784" s="337" t="s">
        <v>13852</v>
      </c>
      <c r="C1784" s="332" t="s">
        <v>13409</v>
      </c>
      <c r="D1784" s="134"/>
      <c r="E1784" s="135">
        <v>389.4</v>
      </c>
      <c r="F1784" s="46" t="s">
        <v>9</v>
      </c>
      <c r="G1784" s="749">
        <f t="shared" ref="G1784:G1791" si="125">IF(F1784="X",0,E1784)</f>
        <v>0</v>
      </c>
      <c r="H1784" s="775"/>
    </row>
    <row r="1785" spans="1:8">
      <c r="A1785" s="792">
        <v>43800</v>
      </c>
      <c r="B1785" s="793" t="s">
        <v>13863</v>
      </c>
      <c r="C1785" s="794" t="s">
        <v>13475</v>
      </c>
      <c r="D1785" s="795"/>
      <c r="E1785" s="796">
        <v>93.46</v>
      </c>
      <c r="F1785" s="797" t="s">
        <v>9</v>
      </c>
      <c r="G1785" s="798">
        <f t="shared" si="125"/>
        <v>0</v>
      </c>
      <c r="H1785" s="775"/>
    </row>
    <row r="1786" spans="1:8">
      <c r="A1786" s="785">
        <v>43800</v>
      </c>
      <c r="B1786" s="337" t="s">
        <v>13867</v>
      </c>
      <c r="C1786" s="776" t="s">
        <v>13454</v>
      </c>
      <c r="D1786" s="134"/>
      <c r="E1786" s="135">
        <v>278.67</v>
      </c>
      <c r="F1786" s="46" t="s">
        <v>9</v>
      </c>
      <c r="G1786" s="749">
        <f t="shared" si="125"/>
        <v>0</v>
      </c>
      <c r="H1786" s="775"/>
    </row>
    <row r="1787" spans="1:8">
      <c r="A1787" s="785">
        <v>43800</v>
      </c>
      <c r="B1787" s="337" t="s">
        <v>13872</v>
      </c>
      <c r="C1787" s="776" t="s">
        <v>13448</v>
      </c>
      <c r="D1787" s="134"/>
      <c r="E1787" s="135">
        <v>127.98</v>
      </c>
      <c r="F1787" s="46" t="s">
        <v>9</v>
      </c>
      <c r="G1787" s="749">
        <f t="shared" si="125"/>
        <v>0</v>
      </c>
      <c r="H1787" s="775"/>
    </row>
    <row r="1788" spans="1:8">
      <c r="A1788" s="785">
        <v>43800</v>
      </c>
      <c r="B1788" s="337" t="s">
        <v>13873</v>
      </c>
      <c r="C1788" s="776" t="s">
        <v>13542</v>
      </c>
      <c r="D1788" s="134"/>
      <c r="E1788" s="135">
        <v>84</v>
      </c>
      <c r="F1788" s="46" t="s">
        <v>9</v>
      </c>
      <c r="G1788" s="749">
        <f t="shared" si="125"/>
        <v>0</v>
      </c>
      <c r="H1788" s="775"/>
    </row>
    <row r="1789" spans="1:8">
      <c r="A1789" s="785">
        <v>43800</v>
      </c>
      <c r="B1789" s="337" t="s">
        <v>13875</v>
      </c>
      <c r="C1789" s="776" t="s">
        <v>13443</v>
      </c>
      <c r="D1789" s="134"/>
      <c r="E1789" s="135">
        <v>347.71</v>
      </c>
      <c r="F1789" s="46" t="s">
        <v>9</v>
      </c>
      <c r="G1789" s="749">
        <f t="shared" si="125"/>
        <v>0</v>
      </c>
      <c r="H1789" s="775"/>
    </row>
    <row r="1790" spans="1:8">
      <c r="A1790" s="792">
        <v>43800</v>
      </c>
      <c r="B1790" s="793" t="s">
        <v>13876</v>
      </c>
      <c r="C1790" s="794" t="s">
        <v>13485</v>
      </c>
      <c r="D1790" s="795"/>
      <c r="E1790" s="796">
        <v>130</v>
      </c>
      <c r="F1790" s="797" t="s">
        <v>9</v>
      </c>
      <c r="G1790" s="798">
        <f t="shared" si="125"/>
        <v>0</v>
      </c>
      <c r="H1790" s="775"/>
    </row>
    <row r="1791" spans="1:8">
      <c r="A1791" s="785">
        <v>43809</v>
      </c>
      <c r="B1791" s="337" t="s">
        <v>13877</v>
      </c>
      <c r="C1791" s="776" t="s">
        <v>13676</v>
      </c>
      <c r="D1791" s="134"/>
      <c r="E1791" s="135">
        <v>296</v>
      </c>
      <c r="F1791" s="46" t="s">
        <v>9</v>
      </c>
      <c r="G1791" s="749">
        <f t="shared" si="125"/>
        <v>0</v>
      </c>
      <c r="H1791" s="775"/>
    </row>
    <row r="1792" spans="1:8">
      <c r="A1792" s="1484"/>
      <c r="B1792" s="1485"/>
      <c r="C1792" s="1486" t="s">
        <v>13879</v>
      </c>
      <c r="D1792" s="1487"/>
      <c r="E1792" s="1488">
        <f>SUM(E1793:E1801)</f>
        <v>3064.1266666666666</v>
      </c>
      <c r="F1792" s="1489"/>
      <c r="G1792" s="1490"/>
      <c r="H1792" s="775">
        <f>E1793+E1799</f>
        <v>685.4</v>
      </c>
    </row>
    <row r="1793" spans="1:8">
      <c r="A1793" s="792">
        <v>43831</v>
      </c>
      <c r="B1793" s="793" t="s">
        <v>13852</v>
      </c>
      <c r="C1793" s="794" t="s">
        <v>13414</v>
      </c>
      <c r="D1793" s="795"/>
      <c r="E1793" s="796">
        <v>389.4</v>
      </c>
      <c r="F1793" s="797" t="s">
        <v>9</v>
      </c>
      <c r="G1793" s="798">
        <f t="shared" ref="G1793:G1801" si="126">IF(F1793="X",0,E1793)</f>
        <v>0</v>
      </c>
      <c r="H1793" s="775"/>
    </row>
    <row r="1794" spans="1:8">
      <c r="A1794" s="785">
        <v>43831</v>
      </c>
      <c r="B1794" s="337" t="s">
        <v>13867</v>
      </c>
      <c r="C1794" s="776" t="s">
        <v>13467</v>
      </c>
      <c r="D1794" s="134"/>
      <c r="E1794" s="135">
        <v>278.67</v>
      </c>
      <c r="F1794" s="46" t="s">
        <v>9</v>
      </c>
      <c r="G1794" s="749">
        <f t="shared" si="126"/>
        <v>0</v>
      </c>
      <c r="H1794" s="775"/>
    </row>
    <row r="1795" spans="1:8">
      <c r="A1795" s="785">
        <v>43831</v>
      </c>
      <c r="B1795" s="337" t="s">
        <v>13872</v>
      </c>
      <c r="C1795" s="776" t="s">
        <v>13454</v>
      </c>
      <c r="D1795" s="134"/>
      <c r="E1795" s="135">
        <v>127.98</v>
      </c>
      <c r="F1795" s="46" t="s">
        <v>9</v>
      </c>
      <c r="G1795" s="749">
        <f t="shared" si="126"/>
        <v>0</v>
      </c>
      <c r="H1795" s="775"/>
    </row>
    <row r="1796" spans="1:8">
      <c r="A1796" s="785">
        <v>43831</v>
      </c>
      <c r="B1796" s="337" t="s">
        <v>13873</v>
      </c>
      <c r="C1796" s="776" t="s">
        <v>13550</v>
      </c>
      <c r="D1796" s="134"/>
      <c r="E1796" s="135">
        <v>84</v>
      </c>
      <c r="F1796" s="46" t="s">
        <v>9</v>
      </c>
      <c r="G1796" s="749">
        <f t="shared" si="126"/>
        <v>0</v>
      </c>
      <c r="H1796" s="775"/>
    </row>
    <row r="1797" spans="1:8">
      <c r="A1797" s="785">
        <v>43831</v>
      </c>
      <c r="B1797" s="337" t="s">
        <v>13875</v>
      </c>
      <c r="C1797" s="776" t="s">
        <v>13448</v>
      </c>
      <c r="D1797" s="134"/>
      <c r="E1797" s="135">
        <v>347.71</v>
      </c>
      <c r="F1797" s="46" t="s">
        <v>9</v>
      </c>
      <c r="G1797" s="749">
        <f t="shared" si="126"/>
        <v>0</v>
      </c>
      <c r="H1797" s="775"/>
    </row>
    <row r="1798" spans="1:8">
      <c r="A1798" s="785">
        <v>43831</v>
      </c>
      <c r="B1798" s="337" t="s">
        <v>13880</v>
      </c>
      <c r="C1798" s="776" t="s">
        <v>13521</v>
      </c>
      <c r="D1798" s="134"/>
      <c r="E1798" s="135">
        <f>159.92/3</f>
        <v>53.306666666666665</v>
      </c>
      <c r="F1798" s="46" t="s">
        <v>9</v>
      </c>
      <c r="G1798" s="749">
        <f t="shared" si="126"/>
        <v>0</v>
      </c>
      <c r="H1798" s="775"/>
    </row>
    <row r="1799" spans="1:8">
      <c r="A1799" s="792">
        <v>43840</v>
      </c>
      <c r="B1799" s="793" t="s">
        <v>13877</v>
      </c>
      <c r="C1799" s="794" t="s">
        <v>13680</v>
      </c>
      <c r="D1799" s="795"/>
      <c r="E1799" s="796">
        <v>296</v>
      </c>
      <c r="F1799" s="797" t="s">
        <v>120</v>
      </c>
      <c r="G1799" s="798">
        <f t="shared" si="126"/>
        <v>0</v>
      </c>
      <c r="H1799" s="775"/>
    </row>
    <row r="1800" spans="1:8">
      <c r="A1800" s="785">
        <v>43850</v>
      </c>
      <c r="B1800" s="337" t="s">
        <v>13881</v>
      </c>
      <c r="C1800" s="776" t="s">
        <v>13650</v>
      </c>
      <c r="D1800" s="134"/>
      <c r="E1800" s="135">
        <v>40.520000000000003</v>
      </c>
      <c r="F1800" s="46" t="s">
        <v>9</v>
      </c>
      <c r="G1800" s="749">
        <f t="shared" si="126"/>
        <v>0</v>
      </c>
      <c r="H1800" s="775"/>
    </row>
    <row r="1801" spans="1:8">
      <c r="A1801" s="786">
        <v>43850</v>
      </c>
      <c r="B1801" s="787" t="s">
        <v>13882</v>
      </c>
      <c r="C1801" s="938" t="s">
        <v>13650</v>
      </c>
      <c r="D1801" s="789"/>
      <c r="E1801" s="790">
        <v>1446.54</v>
      </c>
      <c r="F1801" s="791" t="s">
        <v>9</v>
      </c>
      <c r="G1801" s="750">
        <f t="shared" si="126"/>
        <v>0</v>
      </c>
      <c r="H1801" s="775"/>
    </row>
    <row r="1802" spans="1:8">
      <c r="A1802" s="1484"/>
      <c r="B1802" s="1485"/>
      <c r="C1802" s="1486" t="s">
        <v>13883</v>
      </c>
      <c r="D1802" s="1487"/>
      <c r="E1802" s="1488">
        <f>SUM(E1803:E1809)</f>
        <v>2378.7266666666665</v>
      </c>
      <c r="F1802" s="1489"/>
      <c r="G1802" s="1490"/>
      <c r="H1802" s="775">
        <f>E1803</f>
        <v>278.67</v>
      </c>
    </row>
    <row r="1803" spans="1:8">
      <c r="A1803" s="792">
        <v>43862</v>
      </c>
      <c r="B1803" s="793" t="s">
        <v>13867</v>
      </c>
      <c r="C1803" s="794" t="s">
        <v>13475</v>
      </c>
      <c r="D1803" s="795"/>
      <c r="E1803" s="796">
        <v>278.67</v>
      </c>
      <c r="F1803" s="797" t="s">
        <v>9</v>
      </c>
      <c r="G1803" s="798">
        <f t="shared" ref="G1803:G1809" si="127">IF(F1803="X",0,E1803)</f>
        <v>0</v>
      </c>
      <c r="H1803" s="775"/>
    </row>
    <row r="1804" spans="1:8">
      <c r="A1804" s="785">
        <v>43862</v>
      </c>
      <c r="B1804" s="337" t="s">
        <v>13872</v>
      </c>
      <c r="C1804" s="776" t="s">
        <v>13467</v>
      </c>
      <c r="D1804" s="134"/>
      <c r="E1804" s="135">
        <v>127.98</v>
      </c>
      <c r="F1804" s="46" t="s">
        <v>9</v>
      </c>
      <c r="G1804" s="749">
        <f t="shared" si="127"/>
        <v>0</v>
      </c>
      <c r="H1804" s="775"/>
    </row>
    <row r="1805" spans="1:8">
      <c r="A1805" s="785">
        <v>43862</v>
      </c>
      <c r="B1805" s="337" t="s">
        <v>13873</v>
      </c>
      <c r="C1805" s="776" t="s">
        <v>13554</v>
      </c>
      <c r="D1805" s="134"/>
      <c r="E1805" s="135">
        <v>84</v>
      </c>
      <c r="F1805" s="46" t="s">
        <v>9</v>
      </c>
      <c r="G1805" s="749">
        <f t="shared" si="127"/>
        <v>0</v>
      </c>
      <c r="H1805" s="775"/>
    </row>
    <row r="1806" spans="1:8">
      <c r="A1806" s="785">
        <v>43862</v>
      </c>
      <c r="B1806" s="337" t="s">
        <v>13875</v>
      </c>
      <c r="C1806" s="776" t="s">
        <v>13454</v>
      </c>
      <c r="D1806" s="134"/>
      <c r="E1806" s="135">
        <v>347.71</v>
      </c>
      <c r="F1806" s="46" t="s">
        <v>9</v>
      </c>
      <c r="G1806" s="749">
        <f t="shared" si="127"/>
        <v>0</v>
      </c>
      <c r="H1806" s="775"/>
    </row>
    <row r="1807" spans="1:8">
      <c r="A1807" s="785">
        <v>43862</v>
      </c>
      <c r="B1807" s="337" t="s">
        <v>13880</v>
      </c>
      <c r="C1807" s="776" t="s">
        <v>13531</v>
      </c>
      <c r="D1807" s="134"/>
      <c r="E1807" s="135">
        <f>159.92/3</f>
        <v>53.306666666666665</v>
      </c>
      <c r="F1807" s="46" t="s">
        <v>9</v>
      </c>
      <c r="G1807" s="749">
        <f t="shared" si="127"/>
        <v>0</v>
      </c>
      <c r="H1807" s="775"/>
    </row>
    <row r="1808" spans="1:8">
      <c r="A1808" s="785">
        <v>43881</v>
      </c>
      <c r="B1808" s="337" t="s">
        <v>13881</v>
      </c>
      <c r="C1808" s="776" t="s">
        <v>13884</v>
      </c>
      <c r="D1808" s="134"/>
      <c r="E1808" s="135">
        <v>40.520000000000003</v>
      </c>
      <c r="F1808" s="46" t="s">
        <v>9</v>
      </c>
      <c r="G1808" s="749">
        <f t="shared" si="127"/>
        <v>0</v>
      </c>
      <c r="H1808" s="775"/>
    </row>
    <row r="1809" spans="1:8" ht="14.25" customHeight="1">
      <c r="A1809" s="786">
        <v>43881</v>
      </c>
      <c r="B1809" s="787" t="s">
        <v>13882</v>
      </c>
      <c r="C1809" s="938" t="s">
        <v>13884</v>
      </c>
      <c r="D1809" s="789"/>
      <c r="E1809" s="790">
        <v>1446.54</v>
      </c>
      <c r="F1809" s="791" t="s">
        <v>9</v>
      </c>
      <c r="G1809" s="750">
        <f t="shared" si="127"/>
        <v>0</v>
      </c>
      <c r="H1809" s="775"/>
    </row>
    <row r="1810" spans="1:8">
      <c r="A1810" s="1484"/>
      <c r="B1810" s="1485"/>
      <c r="C1810" s="1486" t="s">
        <v>13885</v>
      </c>
      <c r="D1810" s="1487"/>
      <c r="E1810" s="1488">
        <f>SUM(E1811:E1818)</f>
        <v>2336.1066666666666</v>
      </c>
      <c r="F1810" s="1489"/>
      <c r="G1810" s="1490"/>
      <c r="H1810" s="775">
        <f>E1811+E1814</f>
        <v>181.28666666666666</v>
      </c>
    </row>
    <row r="1811" spans="1:8">
      <c r="A1811" s="792">
        <v>43891</v>
      </c>
      <c r="B1811" s="793" t="s">
        <v>13872</v>
      </c>
      <c r="C1811" s="794" t="s">
        <v>13475</v>
      </c>
      <c r="D1811" s="795"/>
      <c r="E1811" s="796">
        <v>127.98</v>
      </c>
      <c r="F1811" s="797" t="s">
        <v>9</v>
      </c>
      <c r="G1811" s="798">
        <f t="shared" ref="G1811:G1818" si="128">IF(F1811="X",0,E1811)</f>
        <v>0</v>
      </c>
      <c r="H1811" s="775"/>
    </row>
    <row r="1812" spans="1:8">
      <c r="A1812" s="785">
        <v>43891</v>
      </c>
      <c r="B1812" s="337" t="s">
        <v>13873</v>
      </c>
      <c r="C1812" s="776" t="s">
        <v>13561</v>
      </c>
      <c r="D1812" s="134"/>
      <c r="E1812" s="135">
        <v>84</v>
      </c>
      <c r="F1812" s="46" t="s">
        <v>9</v>
      </c>
      <c r="G1812" s="749">
        <f t="shared" si="128"/>
        <v>0</v>
      </c>
      <c r="H1812" s="775"/>
    </row>
    <row r="1813" spans="1:8">
      <c r="A1813" s="785">
        <v>43891</v>
      </c>
      <c r="B1813" s="337" t="s">
        <v>13875</v>
      </c>
      <c r="C1813" s="776" t="s">
        <v>13467</v>
      </c>
      <c r="D1813" s="134"/>
      <c r="E1813" s="135">
        <v>347.71</v>
      </c>
      <c r="F1813" s="46" t="s">
        <v>9</v>
      </c>
      <c r="G1813" s="749">
        <f t="shared" si="128"/>
        <v>0</v>
      </c>
      <c r="H1813" s="775"/>
    </row>
    <row r="1814" spans="1:8">
      <c r="A1814" s="792">
        <v>43891</v>
      </c>
      <c r="B1814" s="793" t="s">
        <v>13880</v>
      </c>
      <c r="C1814" s="794" t="s">
        <v>13538</v>
      </c>
      <c r="D1814" s="795"/>
      <c r="E1814" s="796">
        <f>159.92/3</f>
        <v>53.306666666666665</v>
      </c>
      <c r="F1814" s="797" t="s">
        <v>9</v>
      </c>
      <c r="G1814" s="798">
        <f t="shared" si="128"/>
        <v>0</v>
      </c>
      <c r="H1814" s="775"/>
    </row>
    <row r="1815" spans="1:8">
      <c r="A1815" s="785">
        <v>43891</v>
      </c>
      <c r="B1815" s="337" t="s">
        <v>13886</v>
      </c>
      <c r="C1815" s="776" t="s">
        <v>13630</v>
      </c>
      <c r="D1815" s="134"/>
      <c r="E1815" s="135">
        <v>110.67</v>
      </c>
      <c r="F1815" s="46" t="s">
        <v>9</v>
      </c>
      <c r="G1815" s="749">
        <f t="shared" si="128"/>
        <v>0</v>
      </c>
      <c r="H1815" s="775"/>
    </row>
    <row r="1816" spans="1:8">
      <c r="A1816" s="785">
        <v>43891</v>
      </c>
      <c r="B1816" s="337" t="s">
        <v>13887</v>
      </c>
      <c r="C1816" s="776" t="s">
        <v>13521</v>
      </c>
      <c r="D1816" s="134"/>
      <c r="E1816" s="135">
        <v>125.38</v>
      </c>
      <c r="F1816" s="46" t="s">
        <v>9</v>
      </c>
      <c r="G1816" s="749">
        <f>IF(F1816="X",0,E1816)</f>
        <v>0</v>
      </c>
      <c r="H1816" s="775"/>
    </row>
    <row r="1817" spans="1:8">
      <c r="A1817" s="785">
        <v>43910</v>
      </c>
      <c r="B1817" s="337" t="s">
        <v>13881</v>
      </c>
      <c r="C1817" s="776" t="s">
        <v>13888</v>
      </c>
      <c r="D1817" s="134"/>
      <c r="E1817" s="135">
        <v>40.520000000000003</v>
      </c>
      <c r="F1817" s="46" t="s">
        <v>9</v>
      </c>
      <c r="G1817" s="749">
        <f t="shared" si="128"/>
        <v>0</v>
      </c>
      <c r="H1817" s="775"/>
    </row>
    <row r="1818" spans="1:8">
      <c r="A1818" s="786">
        <v>43910</v>
      </c>
      <c r="B1818" s="787" t="s">
        <v>13882</v>
      </c>
      <c r="C1818" s="938" t="s">
        <v>13888</v>
      </c>
      <c r="D1818" s="789"/>
      <c r="E1818" s="790">
        <v>1446.54</v>
      </c>
      <c r="F1818" s="791" t="s">
        <v>9</v>
      </c>
      <c r="G1818" s="750">
        <f t="shared" si="128"/>
        <v>0</v>
      </c>
      <c r="H1818" s="775"/>
    </row>
    <row r="1819" spans="1:8">
      <c r="A1819" s="1484"/>
      <c r="B1819" s="1485"/>
      <c r="C1819" s="1486" t="s">
        <v>13889</v>
      </c>
      <c r="D1819" s="1487"/>
      <c r="E1819" s="1488">
        <f>SUM(E1820:E1826)</f>
        <v>2280.3199999999997</v>
      </c>
      <c r="F1819" s="1489"/>
      <c r="G1819" s="1490"/>
      <c r="H1819" s="775">
        <f>E1821</f>
        <v>347.71</v>
      </c>
    </row>
    <row r="1820" spans="1:8">
      <c r="A1820" s="785">
        <v>43922</v>
      </c>
      <c r="B1820" s="337" t="s">
        <v>13873</v>
      </c>
      <c r="C1820" s="776" t="s">
        <v>13567</v>
      </c>
      <c r="D1820" s="134"/>
      <c r="E1820" s="135">
        <v>84</v>
      </c>
      <c r="F1820" s="46" t="s">
        <v>9</v>
      </c>
      <c r="G1820" s="749">
        <f t="shared" ref="G1820:G1826" si="129">IF(F1820="X",0,E1820)</f>
        <v>0</v>
      </c>
      <c r="H1820" s="775"/>
    </row>
    <row r="1821" spans="1:8">
      <c r="A1821" s="792">
        <v>43922</v>
      </c>
      <c r="B1821" s="793" t="s">
        <v>13875</v>
      </c>
      <c r="C1821" s="794" t="s">
        <v>13475</v>
      </c>
      <c r="D1821" s="795"/>
      <c r="E1821" s="796">
        <v>347.71</v>
      </c>
      <c r="F1821" s="797" t="s">
        <v>9</v>
      </c>
      <c r="G1821" s="798">
        <f t="shared" si="129"/>
        <v>0</v>
      </c>
      <c r="H1821" s="775"/>
    </row>
    <row r="1822" spans="1:8">
      <c r="A1822" s="785">
        <v>43922</v>
      </c>
      <c r="B1822" s="337" t="s">
        <v>13886</v>
      </c>
      <c r="C1822" s="776" t="s">
        <v>13634</v>
      </c>
      <c r="D1822" s="134"/>
      <c r="E1822" s="135">
        <v>110.67</v>
      </c>
      <c r="F1822" s="46" t="s">
        <v>9</v>
      </c>
      <c r="G1822" s="749">
        <f t="shared" si="129"/>
        <v>0</v>
      </c>
      <c r="H1822" s="775"/>
    </row>
    <row r="1823" spans="1:8">
      <c r="A1823" s="785">
        <v>43922</v>
      </c>
      <c r="B1823" s="337" t="s">
        <v>13887</v>
      </c>
      <c r="C1823" s="776" t="s">
        <v>13531</v>
      </c>
      <c r="D1823" s="134"/>
      <c r="E1823" s="135">
        <v>125.38</v>
      </c>
      <c r="F1823" s="46" t="s">
        <v>9</v>
      </c>
      <c r="G1823" s="749">
        <f t="shared" si="129"/>
        <v>0</v>
      </c>
      <c r="H1823" s="775"/>
    </row>
    <row r="1824" spans="1:8">
      <c r="A1824" s="785">
        <v>43922</v>
      </c>
      <c r="B1824" s="337" t="s">
        <v>13890</v>
      </c>
      <c r="C1824" s="776" t="s">
        <v>13459</v>
      </c>
      <c r="D1824" s="134"/>
      <c r="E1824" s="135">
        <v>125.5</v>
      </c>
      <c r="F1824" s="46" t="s">
        <v>9</v>
      </c>
      <c r="G1824" s="749">
        <f t="shared" si="129"/>
        <v>0</v>
      </c>
      <c r="H1824" s="775"/>
    </row>
    <row r="1825" spans="1:8">
      <c r="A1825" s="785">
        <v>43941</v>
      </c>
      <c r="B1825" s="337" t="s">
        <v>13881</v>
      </c>
      <c r="C1825" s="776" t="s">
        <v>13891</v>
      </c>
      <c r="D1825" s="134"/>
      <c r="E1825" s="135">
        <v>40.520000000000003</v>
      </c>
      <c r="F1825" s="46" t="s">
        <v>9</v>
      </c>
      <c r="G1825" s="749">
        <f t="shared" si="129"/>
        <v>0</v>
      </c>
      <c r="H1825" s="775"/>
    </row>
    <row r="1826" spans="1:8">
      <c r="A1826" s="786">
        <v>43941</v>
      </c>
      <c r="B1826" s="787" t="s">
        <v>13882</v>
      </c>
      <c r="C1826" s="938" t="s">
        <v>13891</v>
      </c>
      <c r="D1826" s="789"/>
      <c r="E1826" s="790">
        <v>1446.54</v>
      </c>
      <c r="F1826" s="791" t="s">
        <v>9</v>
      </c>
      <c r="G1826" s="750">
        <f t="shared" si="129"/>
        <v>0</v>
      </c>
      <c r="H1826" s="775"/>
    </row>
    <row r="1827" spans="1:8">
      <c r="A1827" s="1484"/>
      <c r="B1827" s="1485"/>
      <c r="C1827" s="1486" t="s">
        <v>13892</v>
      </c>
      <c r="D1827" s="1487"/>
      <c r="E1827" s="1488">
        <f>SUM(E1828:E1833)</f>
        <v>1932.61</v>
      </c>
      <c r="F1827" s="1489"/>
      <c r="G1827" s="1490"/>
      <c r="H1827" s="775">
        <f>E1830</f>
        <v>125.38</v>
      </c>
    </row>
    <row r="1828" spans="1:8">
      <c r="A1828" s="785">
        <v>43952</v>
      </c>
      <c r="B1828" s="337" t="s">
        <v>13873</v>
      </c>
      <c r="C1828" s="776" t="s">
        <v>13573</v>
      </c>
      <c r="D1828" s="134"/>
      <c r="E1828" s="135">
        <v>84</v>
      </c>
      <c r="F1828" s="46" t="s">
        <v>9</v>
      </c>
      <c r="G1828" s="749">
        <f t="shared" ref="G1828:G1833" si="130">IF(F1828="X",0,E1828)</f>
        <v>0</v>
      </c>
      <c r="H1828" s="775"/>
    </row>
    <row r="1829" spans="1:8">
      <c r="A1829" s="785">
        <v>43952</v>
      </c>
      <c r="B1829" s="337" t="s">
        <v>13886</v>
      </c>
      <c r="C1829" s="776" t="s">
        <v>13448</v>
      </c>
      <c r="D1829" s="134"/>
      <c r="E1829" s="135">
        <v>110.67</v>
      </c>
      <c r="F1829" s="46" t="s">
        <v>9</v>
      </c>
      <c r="G1829" s="749">
        <f t="shared" si="130"/>
        <v>0</v>
      </c>
      <c r="H1829" s="775"/>
    </row>
    <row r="1830" spans="1:8">
      <c r="A1830" s="792">
        <v>43952</v>
      </c>
      <c r="B1830" s="793" t="s">
        <v>13887</v>
      </c>
      <c r="C1830" s="794" t="s">
        <v>13538</v>
      </c>
      <c r="D1830" s="795"/>
      <c r="E1830" s="796">
        <v>125.38</v>
      </c>
      <c r="F1830" s="797" t="s">
        <v>9</v>
      </c>
      <c r="G1830" s="798">
        <f t="shared" si="130"/>
        <v>0</v>
      </c>
      <c r="H1830" s="775"/>
    </row>
    <row r="1831" spans="1:8">
      <c r="A1831" s="785">
        <v>43952</v>
      </c>
      <c r="B1831" s="337" t="s">
        <v>13890</v>
      </c>
      <c r="C1831" s="776" t="s">
        <v>13481</v>
      </c>
      <c r="D1831" s="134"/>
      <c r="E1831" s="135">
        <v>125.5</v>
      </c>
      <c r="F1831" s="46" t="s">
        <v>9</v>
      </c>
      <c r="G1831" s="749">
        <f t="shared" si="130"/>
        <v>0</v>
      </c>
      <c r="H1831" s="775"/>
    </row>
    <row r="1832" spans="1:8">
      <c r="A1832" s="785">
        <v>43971</v>
      </c>
      <c r="B1832" s="337" t="s">
        <v>13881</v>
      </c>
      <c r="C1832" s="776" t="s">
        <v>13893</v>
      </c>
      <c r="D1832" s="134"/>
      <c r="E1832" s="135">
        <v>40.520000000000003</v>
      </c>
      <c r="F1832" s="46" t="s">
        <v>9</v>
      </c>
      <c r="G1832" s="749">
        <f t="shared" si="130"/>
        <v>0</v>
      </c>
      <c r="H1832" s="775"/>
    </row>
    <row r="1833" spans="1:8">
      <c r="A1833" s="786">
        <v>43971</v>
      </c>
      <c r="B1833" s="787" t="s">
        <v>13882</v>
      </c>
      <c r="C1833" s="938" t="s">
        <v>13893</v>
      </c>
      <c r="D1833" s="789"/>
      <c r="E1833" s="790">
        <v>1446.54</v>
      </c>
      <c r="F1833" s="791" t="s">
        <v>9</v>
      </c>
      <c r="G1833" s="750">
        <f t="shared" si="130"/>
        <v>0</v>
      </c>
      <c r="H1833" s="775"/>
    </row>
    <row r="1834" spans="1:8">
      <c r="A1834" s="1484"/>
      <c r="B1834" s="1485"/>
      <c r="C1834" s="1486" t="s">
        <v>13894</v>
      </c>
      <c r="D1834" s="1487"/>
      <c r="E1834" s="1488">
        <f>SUM(E1835:E1842)</f>
        <v>2204.7799999999997</v>
      </c>
      <c r="F1834" s="1489"/>
      <c r="G1834" s="1490"/>
      <c r="H1834" s="775"/>
    </row>
    <row r="1835" spans="1:8">
      <c r="A1835" s="785">
        <v>43983</v>
      </c>
      <c r="B1835" s="337" t="s">
        <v>13873</v>
      </c>
      <c r="C1835" s="776" t="s">
        <v>13580</v>
      </c>
      <c r="D1835" s="134"/>
      <c r="E1835" s="135">
        <v>84</v>
      </c>
      <c r="F1835" s="46" t="s">
        <v>120</v>
      </c>
      <c r="G1835" s="749">
        <f t="shared" ref="G1835:G1842" si="131">IF(F1835="X",0,E1835)</f>
        <v>0</v>
      </c>
      <c r="H1835" s="775"/>
    </row>
    <row r="1836" spans="1:8">
      <c r="A1836" s="785">
        <v>43983</v>
      </c>
      <c r="B1836" s="337" t="s">
        <v>13886</v>
      </c>
      <c r="C1836" s="776" t="s">
        <v>13699</v>
      </c>
      <c r="D1836" s="134"/>
      <c r="E1836" s="135">
        <v>110.67</v>
      </c>
      <c r="F1836" s="46" t="s">
        <v>120</v>
      </c>
      <c r="G1836" s="749">
        <f t="shared" si="131"/>
        <v>0</v>
      </c>
      <c r="H1836" s="775"/>
    </row>
    <row r="1837" spans="1:8">
      <c r="A1837" s="785">
        <v>43983</v>
      </c>
      <c r="B1837" s="337" t="s">
        <v>13890</v>
      </c>
      <c r="C1837" s="776" t="s">
        <v>13489</v>
      </c>
      <c r="D1837" s="134"/>
      <c r="E1837" s="135">
        <v>125.5</v>
      </c>
      <c r="F1837" s="46" t="s">
        <v>120</v>
      </c>
      <c r="G1837" s="749">
        <f t="shared" si="131"/>
        <v>0</v>
      </c>
      <c r="H1837" s="775"/>
    </row>
    <row r="1838" spans="1:8">
      <c r="A1838" s="785">
        <v>43983</v>
      </c>
      <c r="B1838" s="337" t="s">
        <v>13895</v>
      </c>
      <c r="C1838" s="776" t="s">
        <v>13356</v>
      </c>
      <c r="D1838" s="134"/>
      <c r="E1838" s="135">
        <v>269.89999999999998</v>
      </c>
      <c r="F1838" s="46" t="s">
        <v>120</v>
      </c>
      <c r="G1838" s="749">
        <f t="shared" si="131"/>
        <v>0</v>
      </c>
      <c r="H1838" s="775"/>
    </row>
    <row r="1839" spans="1:8">
      <c r="A1839" s="785">
        <v>43983</v>
      </c>
      <c r="B1839" s="337" t="s">
        <v>13896</v>
      </c>
      <c r="C1839" s="776" t="s">
        <v>13437</v>
      </c>
      <c r="D1839" s="134"/>
      <c r="E1839" s="135">
        <v>89.68</v>
      </c>
      <c r="F1839" s="46" t="s">
        <v>120</v>
      </c>
      <c r="G1839" s="749">
        <f t="shared" si="131"/>
        <v>0</v>
      </c>
      <c r="H1839" s="775"/>
    </row>
    <row r="1840" spans="1:8">
      <c r="A1840" s="785">
        <v>43983</v>
      </c>
      <c r="B1840" s="337" t="s">
        <v>13897</v>
      </c>
      <c r="C1840" s="776" t="s">
        <v>13521</v>
      </c>
      <c r="D1840" s="134"/>
      <c r="E1840" s="135">
        <v>37.97</v>
      </c>
      <c r="F1840" s="46" t="s">
        <v>120</v>
      </c>
      <c r="G1840" s="749">
        <f t="shared" si="131"/>
        <v>0</v>
      </c>
      <c r="H1840" s="775"/>
    </row>
    <row r="1841" spans="1:8">
      <c r="A1841" s="785">
        <v>44002</v>
      </c>
      <c r="B1841" s="337" t="s">
        <v>13881</v>
      </c>
      <c r="C1841" s="776" t="s">
        <v>13898</v>
      </c>
      <c r="D1841" s="134"/>
      <c r="E1841" s="135">
        <v>40.520000000000003</v>
      </c>
      <c r="F1841" s="46" t="s">
        <v>120</v>
      </c>
      <c r="G1841" s="749">
        <f t="shared" si="131"/>
        <v>0</v>
      </c>
      <c r="H1841" s="775"/>
    </row>
    <row r="1842" spans="1:8">
      <c r="A1842" s="786">
        <v>44002</v>
      </c>
      <c r="B1842" s="787" t="s">
        <v>13882</v>
      </c>
      <c r="C1842" s="938" t="s">
        <v>13898</v>
      </c>
      <c r="D1842" s="789"/>
      <c r="E1842" s="790">
        <v>1446.54</v>
      </c>
      <c r="F1842" s="791" t="s">
        <v>120</v>
      </c>
      <c r="G1842" s="750">
        <f t="shared" si="131"/>
        <v>0</v>
      </c>
      <c r="H1842" s="775"/>
    </row>
    <row r="1843" spans="1:8">
      <c r="A1843" s="1484"/>
      <c r="B1843" s="1485"/>
      <c r="C1843" s="1486" t="s">
        <v>13899</v>
      </c>
      <c r="D1843" s="1487"/>
      <c r="E1843" s="1488">
        <f>SUM(E1844:E1851)</f>
        <v>2204.7799999999997</v>
      </c>
      <c r="F1843" s="1489"/>
      <c r="G1843" s="1490"/>
      <c r="H1843" s="775">
        <f>E1846</f>
        <v>125.5</v>
      </c>
    </row>
    <row r="1844" spans="1:8">
      <c r="A1844" s="785">
        <v>44013</v>
      </c>
      <c r="B1844" s="337" t="s">
        <v>13873</v>
      </c>
      <c r="C1844" s="776" t="s">
        <v>13583</v>
      </c>
      <c r="D1844" s="134"/>
      <c r="E1844" s="135">
        <v>84</v>
      </c>
      <c r="F1844" s="46" t="s">
        <v>9</v>
      </c>
      <c r="G1844" s="749">
        <f t="shared" ref="G1844:G1851" si="132">IF(F1844="X",0,E1844)</f>
        <v>0</v>
      </c>
      <c r="H1844" s="775"/>
    </row>
    <row r="1845" spans="1:8">
      <c r="A1845" s="785">
        <v>44013</v>
      </c>
      <c r="B1845" s="337" t="s">
        <v>13886</v>
      </c>
      <c r="C1845" s="776" t="s">
        <v>13705</v>
      </c>
      <c r="D1845" s="134"/>
      <c r="E1845" s="135">
        <v>110.67</v>
      </c>
      <c r="F1845" s="46" t="s">
        <v>9</v>
      </c>
      <c r="G1845" s="749">
        <f t="shared" si="132"/>
        <v>0</v>
      </c>
      <c r="H1845" s="775"/>
    </row>
    <row r="1846" spans="1:8">
      <c r="A1846" s="792">
        <v>44013</v>
      </c>
      <c r="B1846" s="793" t="s">
        <v>13890</v>
      </c>
      <c r="C1846" s="794" t="s">
        <v>13493</v>
      </c>
      <c r="D1846" s="795"/>
      <c r="E1846" s="796">
        <v>125.5</v>
      </c>
      <c r="F1846" s="797" t="s">
        <v>9</v>
      </c>
      <c r="G1846" s="798">
        <f t="shared" si="132"/>
        <v>0</v>
      </c>
      <c r="H1846" s="775"/>
    </row>
    <row r="1847" spans="1:8">
      <c r="A1847" s="785">
        <v>44013</v>
      </c>
      <c r="B1847" s="337" t="s">
        <v>13895</v>
      </c>
      <c r="C1847" s="776" t="s">
        <v>13368</v>
      </c>
      <c r="D1847" s="134"/>
      <c r="E1847" s="135">
        <v>269.89999999999998</v>
      </c>
      <c r="F1847" s="46" t="s">
        <v>9</v>
      </c>
      <c r="G1847" s="749">
        <f t="shared" si="132"/>
        <v>0</v>
      </c>
      <c r="H1847" s="775"/>
    </row>
    <row r="1848" spans="1:8">
      <c r="A1848" s="785">
        <v>44013</v>
      </c>
      <c r="B1848" s="337" t="s">
        <v>13896</v>
      </c>
      <c r="C1848" s="776" t="s">
        <v>13443</v>
      </c>
      <c r="D1848" s="134"/>
      <c r="E1848" s="135">
        <v>89.68</v>
      </c>
      <c r="F1848" s="46" t="s">
        <v>9</v>
      </c>
      <c r="G1848" s="749">
        <f t="shared" si="132"/>
        <v>0</v>
      </c>
      <c r="H1848" s="775"/>
    </row>
    <row r="1849" spans="1:8">
      <c r="A1849" s="785">
        <v>44013</v>
      </c>
      <c r="B1849" s="337" t="s">
        <v>13897</v>
      </c>
      <c r="C1849" s="776" t="s">
        <v>13531</v>
      </c>
      <c r="D1849" s="134"/>
      <c r="E1849" s="135">
        <v>37.97</v>
      </c>
      <c r="F1849" s="46" t="s">
        <v>9</v>
      </c>
      <c r="G1849" s="749">
        <f t="shared" si="132"/>
        <v>0</v>
      </c>
      <c r="H1849" s="775"/>
    </row>
    <row r="1850" spans="1:8">
      <c r="A1850" s="785">
        <v>44032</v>
      </c>
      <c r="B1850" s="337" t="s">
        <v>13881</v>
      </c>
      <c r="C1850" s="776" t="s">
        <v>13900</v>
      </c>
      <c r="D1850" s="134"/>
      <c r="E1850" s="135">
        <v>40.520000000000003</v>
      </c>
      <c r="F1850" s="46" t="s">
        <v>9</v>
      </c>
      <c r="G1850" s="749">
        <f t="shared" si="132"/>
        <v>0</v>
      </c>
      <c r="H1850" s="775"/>
    </row>
    <row r="1851" spans="1:8">
      <c r="A1851" s="786">
        <v>44032</v>
      </c>
      <c r="B1851" s="787" t="s">
        <v>13882</v>
      </c>
      <c r="C1851" s="938" t="s">
        <v>13900</v>
      </c>
      <c r="D1851" s="789"/>
      <c r="E1851" s="790">
        <v>1446.54</v>
      </c>
      <c r="F1851" s="791" t="s">
        <v>9</v>
      </c>
      <c r="G1851" s="750">
        <f t="shared" si="132"/>
        <v>0</v>
      </c>
      <c r="H1851" s="775"/>
    </row>
    <row r="1852" spans="1:8">
      <c r="A1852" s="1484"/>
      <c r="B1852" s="1485"/>
      <c r="C1852" s="1486" t="s">
        <v>13901</v>
      </c>
      <c r="D1852" s="1487"/>
      <c r="E1852" s="1488">
        <f>SUM(E1853:E1860)</f>
        <v>2297.66</v>
      </c>
      <c r="F1852" s="1489"/>
      <c r="G1852" s="1490"/>
      <c r="H1852" s="775">
        <f>E1857+E1858</f>
        <v>148.63999999999999</v>
      </c>
    </row>
    <row r="1853" spans="1:8">
      <c r="A1853" s="785">
        <v>44044</v>
      </c>
      <c r="B1853" s="337" t="s">
        <v>13873</v>
      </c>
      <c r="C1853" s="776" t="s">
        <v>13587</v>
      </c>
      <c r="D1853" s="134"/>
      <c r="E1853" s="135">
        <v>84</v>
      </c>
      <c r="F1853" s="46" t="s">
        <v>9</v>
      </c>
      <c r="G1853" s="749">
        <f t="shared" ref="G1853:G1860" si="133">IF(F1853="X",0,E1853)</f>
        <v>0</v>
      </c>
      <c r="H1853" s="775"/>
    </row>
    <row r="1854" spans="1:8">
      <c r="A1854" s="785">
        <v>44044</v>
      </c>
      <c r="B1854" s="337" t="s">
        <v>13895</v>
      </c>
      <c r="C1854" s="776" t="s">
        <v>13376</v>
      </c>
      <c r="D1854" s="134"/>
      <c r="E1854" s="135">
        <v>269.89999999999998</v>
      </c>
      <c r="F1854" s="46" t="s">
        <v>9</v>
      </c>
      <c r="G1854" s="749">
        <f t="shared" si="133"/>
        <v>0</v>
      </c>
      <c r="H1854" s="775"/>
    </row>
    <row r="1855" spans="1:8">
      <c r="A1855" s="785">
        <v>44044</v>
      </c>
      <c r="B1855" s="337" t="s">
        <v>13896</v>
      </c>
      <c r="C1855" s="776" t="s">
        <v>13448</v>
      </c>
      <c r="D1855" s="134"/>
      <c r="E1855" s="135">
        <v>89.68</v>
      </c>
      <c r="F1855" s="46" t="s">
        <v>9</v>
      </c>
      <c r="G1855" s="749">
        <f t="shared" si="133"/>
        <v>0</v>
      </c>
      <c r="H1855" s="775"/>
    </row>
    <row r="1856" spans="1:8">
      <c r="A1856" s="785">
        <v>44044</v>
      </c>
      <c r="B1856" s="337" t="s">
        <v>13902</v>
      </c>
      <c r="C1856" s="776" t="s">
        <v>13521</v>
      </c>
      <c r="D1856" s="134"/>
      <c r="E1856" s="135">
        <v>218.38</v>
      </c>
      <c r="F1856" s="46" t="s">
        <v>9</v>
      </c>
      <c r="G1856" s="749">
        <f t="shared" si="133"/>
        <v>0</v>
      </c>
      <c r="H1856" s="775"/>
    </row>
    <row r="1857" spans="1:8">
      <c r="A1857" s="792">
        <v>44044</v>
      </c>
      <c r="B1857" s="793" t="s">
        <v>13897</v>
      </c>
      <c r="C1857" s="794" t="s">
        <v>13538</v>
      </c>
      <c r="D1857" s="795"/>
      <c r="E1857" s="796">
        <v>37.97</v>
      </c>
      <c r="F1857" s="797" t="s">
        <v>9</v>
      </c>
      <c r="G1857" s="798">
        <f t="shared" si="133"/>
        <v>0</v>
      </c>
      <c r="H1857" s="775"/>
    </row>
    <row r="1858" spans="1:8">
      <c r="A1858" s="792">
        <v>44044</v>
      </c>
      <c r="B1858" s="793" t="s">
        <v>13886</v>
      </c>
      <c r="C1858" s="794" t="s">
        <v>13708</v>
      </c>
      <c r="D1858" s="795"/>
      <c r="E1858" s="796">
        <v>110.67</v>
      </c>
      <c r="F1858" s="797" t="s">
        <v>9</v>
      </c>
      <c r="G1858" s="798">
        <f t="shared" si="133"/>
        <v>0</v>
      </c>
      <c r="H1858" s="775"/>
    </row>
    <row r="1859" spans="1:8">
      <c r="A1859" s="785">
        <v>44063</v>
      </c>
      <c r="B1859" s="337" t="s">
        <v>13881</v>
      </c>
      <c r="C1859" s="776" t="s">
        <v>13903</v>
      </c>
      <c r="D1859" s="134"/>
      <c r="E1859" s="135">
        <v>40.520000000000003</v>
      </c>
      <c r="F1859" s="46" t="s">
        <v>9</v>
      </c>
      <c r="G1859" s="749">
        <f t="shared" si="133"/>
        <v>0</v>
      </c>
      <c r="H1859" s="775"/>
    </row>
    <row r="1860" spans="1:8">
      <c r="A1860" s="786">
        <v>44063</v>
      </c>
      <c r="B1860" s="787" t="s">
        <v>13882</v>
      </c>
      <c r="C1860" s="938" t="s">
        <v>13903</v>
      </c>
      <c r="D1860" s="789"/>
      <c r="E1860" s="790">
        <v>1446.54</v>
      </c>
      <c r="F1860" s="791" t="s">
        <v>9</v>
      </c>
      <c r="G1860" s="750">
        <f t="shared" si="133"/>
        <v>0</v>
      </c>
      <c r="H1860" s="775"/>
    </row>
    <row r="1861" spans="1:8">
      <c r="A1861" s="1484"/>
      <c r="B1861" s="1485"/>
      <c r="C1861" s="1486" t="s">
        <v>13904</v>
      </c>
      <c r="D1861" s="1487"/>
      <c r="E1861" s="1488">
        <f>SUM(E1862:E1872)</f>
        <v>3525.4</v>
      </c>
      <c r="F1861" s="1489"/>
      <c r="G1861" s="1490"/>
      <c r="H1861" s="775">
        <f>E1865</f>
        <v>84</v>
      </c>
    </row>
    <row r="1862" spans="1:8">
      <c r="A1862" s="785">
        <v>44075</v>
      </c>
      <c r="B1862" s="337" t="s">
        <v>13895</v>
      </c>
      <c r="C1862" s="776" t="s">
        <v>13380</v>
      </c>
      <c r="D1862" s="134"/>
      <c r="E1862" s="135">
        <v>269.89999999999998</v>
      </c>
      <c r="F1862" s="46" t="s">
        <v>9</v>
      </c>
      <c r="G1862" s="749">
        <f t="shared" ref="G1862:G1872" si="134">IF(F1862="X",0,E1862)</f>
        <v>0</v>
      </c>
      <c r="H1862" s="775"/>
    </row>
    <row r="1863" spans="1:8">
      <c r="A1863" s="785">
        <v>44075</v>
      </c>
      <c r="B1863" s="337" t="s">
        <v>13896</v>
      </c>
      <c r="C1863" s="776" t="s">
        <v>13454</v>
      </c>
      <c r="D1863" s="134"/>
      <c r="E1863" s="135">
        <v>89.68</v>
      </c>
      <c r="F1863" s="46" t="s">
        <v>9</v>
      </c>
      <c r="G1863" s="749">
        <f t="shared" si="134"/>
        <v>0</v>
      </c>
      <c r="H1863" s="775"/>
    </row>
    <row r="1864" spans="1:8">
      <c r="A1864" s="785">
        <v>44075</v>
      </c>
      <c r="B1864" s="337" t="s">
        <v>13902</v>
      </c>
      <c r="C1864" s="776" t="s">
        <v>13531</v>
      </c>
      <c r="D1864" s="134"/>
      <c r="E1864" s="135">
        <v>218.38</v>
      </c>
      <c r="F1864" s="46" t="s">
        <v>9</v>
      </c>
      <c r="G1864" s="749">
        <f t="shared" si="134"/>
        <v>0</v>
      </c>
      <c r="H1864" s="775"/>
    </row>
    <row r="1865" spans="1:8">
      <c r="A1865" s="792">
        <v>44075</v>
      </c>
      <c r="B1865" s="793" t="s">
        <v>13873</v>
      </c>
      <c r="C1865" s="794" t="s">
        <v>13590</v>
      </c>
      <c r="D1865" s="795"/>
      <c r="E1865" s="796">
        <v>84</v>
      </c>
      <c r="F1865" s="797" t="s">
        <v>9</v>
      </c>
      <c r="G1865" s="798">
        <f t="shared" si="134"/>
        <v>0</v>
      </c>
      <c r="H1865" s="775"/>
    </row>
    <row r="1866" spans="1:8">
      <c r="A1866" s="785">
        <v>44075</v>
      </c>
      <c r="B1866" s="337" t="s">
        <v>13905</v>
      </c>
      <c r="C1866" s="776" t="s">
        <v>13614</v>
      </c>
      <c r="D1866" s="134"/>
      <c r="E1866" s="135">
        <v>703.53</v>
      </c>
      <c r="F1866" s="46" t="s">
        <v>9</v>
      </c>
      <c r="G1866" s="749">
        <f t="shared" si="134"/>
        <v>0</v>
      </c>
      <c r="H1866" s="775"/>
    </row>
    <row r="1867" spans="1:8">
      <c r="A1867" s="785">
        <v>44075</v>
      </c>
      <c r="B1867" s="337" t="s">
        <v>13906</v>
      </c>
      <c r="C1867" s="776" t="s">
        <v>13630</v>
      </c>
      <c r="D1867" s="134"/>
      <c r="E1867" s="135">
        <v>220.79</v>
      </c>
      <c r="F1867" s="46" t="s">
        <v>9</v>
      </c>
      <c r="G1867" s="749">
        <f t="shared" si="134"/>
        <v>0</v>
      </c>
      <c r="H1867" s="775"/>
    </row>
    <row r="1868" spans="1:8">
      <c r="A1868" s="785">
        <v>44075</v>
      </c>
      <c r="B1868" s="337" t="s">
        <v>13907</v>
      </c>
      <c r="C1868" s="776" t="s">
        <v>13630</v>
      </c>
      <c r="D1868" s="134"/>
      <c r="E1868" s="135">
        <v>79.83</v>
      </c>
      <c r="F1868" s="46" t="s">
        <v>9</v>
      </c>
      <c r="G1868" s="749">
        <f t="shared" si="134"/>
        <v>0</v>
      </c>
      <c r="H1868" s="775"/>
    </row>
    <row r="1869" spans="1:8">
      <c r="A1869" s="785">
        <v>44075</v>
      </c>
      <c r="B1869" s="337" t="s">
        <v>13908</v>
      </c>
      <c r="C1869" s="776" t="s">
        <v>13630</v>
      </c>
      <c r="D1869" s="134"/>
      <c r="E1869" s="135">
        <v>18.739999999999998</v>
      </c>
      <c r="F1869" s="46" t="s">
        <v>9</v>
      </c>
      <c r="G1869" s="749">
        <f t="shared" si="134"/>
        <v>0</v>
      </c>
      <c r="H1869" s="775"/>
    </row>
    <row r="1870" spans="1:8">
      <c r="A1870" s="785">
        <v>44075</v>
      </c>
      <c r="B1870" s="337" t="s">
        <v>13909</v>
      </c>
      <c r="C1870" s="332" t="s">
        <v>13356</v>
      </c>
      <c r="D1870" s="134"/>
      <c r="E1870" s="135">
        <v>353.49</v>
      </c>
      <c r="F1870" s="46" t="s">
        <v>9</v>
      </c>
      <c r="G1870" s="749">
        <f>IF(F1870="X",0,E1870)</f>
        <v>0</v>
      </c>
      <c r="H1870" s="775"/>
    </row>
    <row r="1871" spans="1:8">
      <c r="A1871" s="785">
        <v>44094</v>
      </c>
      <c r="B1871" s="337" t="s">
        <v>13881</v>
      </c>
      <c r="C1871" s="776" t="s">
        <v>13910</v>
      </c>
      <c r="D1871" s="134"/>
      <c r="E1871" s="135">
        <v>40.520000000000003</v>
      </c>
      <c r="F1871" s="46" t="s">
        <v>9</v>
      </c>
      <c r="G1871" s="749">
        <f t="shared" si="134"/>
        <v>0</v>
      </c>
      <c r="H1871" s="775"/>
    </row>
    <row r="1872" spans="1:8">
      <c r="A1872" s="786">
        <v>44094</v>
      </c>
      <c r="B1872" s="787" t="s">
        <v>13882</v>
      </c>
      <c r="C1872" s="938" t="s">
        <v>13910</v>
      </c>
      <c r="D1872" s="789"/>
      <c r="E1872" s="790">
        <v>1446.54</v>
      </c>
      <c r="F1872" s="791" t="s">
        <v>9</v>
      </c>
      <c r="G1872" s="750">
        <f t="shared" si="134"/>
        <v>0</v>
      </c>
      <c r="H1872" s="775"/>
    </row>
    <row r="1873" spans="1:8">
      <c r="A1873" s="1484"/>
      <c r="B1873" s="1485"/>
      <c r="C1873" s="1486" t="s">
        <v>13911</v>
      </c>
      <c r="D1873" s="1487"/>
      <c r="E1873" s="1488">
        <f>SUM(E1874:E1884)</f>
        <v>3519.4</v>
      </c>
      <c r="F1873" s="1489"/>
      <c r="G1873" s="1490"/>
      <c r="H1873" s="775">
        <f>E1876</f>
        <v>218.38</v>
      </c>
    </row>
    <row r="1874" spans="1:8">
      <c r="A1874" s="785">
        <v>44105</v>
      </c>
      <c r="B1874" s="337" t="s">
        <v>13895</v>
      </c>
      <c r="C1874" s="776" t="s">
        <v>13384</v>
      </c>
      <c r="D1874" s="134"/>
      <c r="E1874" s="135">
        <v>269.89999999999998</v>
      </c>
      <c r="F1874" s="46" t="s">
        <v>120</v>
      </c>
      <c r="G1874" s="749">
        <f t="shared" ref="G1874:G1884" si="135">IF(F1874="X",0,E1874)</f>
        <v>0</v>
      </c>
      <c r="H1874" s="775"/>
    </row>
    <row r="1875" spans="1:8">
      <c r="A1875" s="785">
        <v>44105</v>
      </c>
      <c r="B1875" s="337" t="s">
        <v>13896</v>
      </c>
      <c r="C1875" s="776" t="s">
        <v>13467</v>
      </c>
      <c r="D1875" s="134"/>
      <c r="E1875" s="135">
        <v>89.68</v>
      </c>
      <c r="F1875" s="46" t="s">
        <v>120</v>
      </c>
      <c r="G1875" s="749">
        <f t="shared" si="135"/>
        <v>0</v>
      </c>
      <c r="H1875" s="775"/>
    </row>
    <row r="1876" spans="1:8">
      <c r="A1876" s="792">
        <v>44105</v>
      </c>
      <c r="B1876" s="793" t="s">
        <v>13902</v>
      </c>
      <c r="C1876" s="794" t="s">
        <v>13538</v>
      </c>
      <c r="D1876" s="795"/>
      <c r="E1876" s="796">
        <v>218.38</v>
      </c>
      <c r="F1876" s="797" t="s">
        <v>9</v>
      </c>
      <c r="G1876" s="798">
        <f t="shared" si="135"/>
        <v>0</v>
      </c>
      <c r="H1876" s="775"/>
    </row>
    <row r="1877" spans="1:8">
      <c r="A1877" s="785">
        <v>44105</v>
      </c>
      <c r="B1877" s="337" t="s">
        <v>13905</v>
      </c>
      <c r="C1877" s="776" t="s">
        <v>13618</v>
      </c>
      <c r="D1877" s="134"/>
      <c r="E1877" s="135">
        <v>703.53</v>
      </c>
      <c r="F1877" s="46" t="s">
        <v>9</v>
      </c>
      <c r="G1877" s="749">
        <f t="shared" si="135"/>
        <v>0</v>
      </c>
      <c r="H1877" s="775"/>
    </row>
    <row r="1878" spans="1:8">
      <c r="A1878" s="785">
        <v>44105</v>
      </c>
      <c r="B1878" s="337" t="s">
        <v>13906</v>
      </c>
      <c r="C1878" s="776" t="s">
        <v>13634</v>
      </c>
      <c r="D1878" s="134"/>
      <c r="E1878" s="135">
        <v>220.79</v>
      </c>
      <c r="F1878" s="46" t="s">
        <v>9</v>
      </c>
      <c r="G1878" s="749">
        <f t="shared" si="135"/>
        <v>0</v>
      </c>
      <c r="H1878" s="775"/>
    </row>
    <row r="1879" spans="1:8">
      <c r="A1879" s="785">
        <v>44105</v>
      </c>
      <c r="B1879" s="337" t="s">
        <v>13907</v>
      </c>
      <c r="C1879" s="776" t="s">
        <v>13634</v>
      </c>
      <c r="D1879" s="134"/>
      <c r="E1879" s="135">
        <v>79.83</v>
      </c>
      <c r="F1879" s="46" t="s">
        <v>9</v>
      </c>
      <c r="G1879" s="749">
        <f t="shared" si="135"/>
        <v>0</v>
      </c>
      <c r="H1879" s="775"/>
    </row>
    <row r="1880" spans="1:8">
      <c r="A1880" s="785">
        <v>44105</v>
      </c>
      <c r="B1880" s="337" t="s">
        <v>13908</v>
      </c>
      <c r="C1880" s="776" t="s">
        <v>13634</v>
      </c>
      <c r="D1880" s="134"/>
      <c r="E1880" s="135">
        <v>18.739999999999998</v>
      </c>
      <c r="F1880" s="46" t="s">
        <v>9</v>
      </c>
      <c r="G1880" s="749">
        <f t="shared" si="135"/>
        <v>0</v>
      </c>
      <c r="H1880" s="775"/>
    </row>
    <row r="1881" spans="1:8">
      <c r="A1881" s="785">
        <v>44105</v>
      </c>
      <c r="B1881" s="337" t="s">
        <v>13909</v>
      </c>
      <c r="C1881" s="332" t="s">
        <v>13368</v>
      </c>
      <c r="D1881" s="134"/>
      <c r="E1881" s="135">
        <v>353.49</v>
      </c>
      <c r="F1881" s="46" t="s">
        <v>9</v>
      </c>
      <c r="G1881" s="749">
        <f>IF(F1881="X",0,E1881)</f>
        <v>0</v>
      </c>
      <c r="H1881" s="775"/>
    </row>
    <row r="1882" spans="1:8">
      <c r="A1882" s="785">
        <v>44105</v>
      </c>
      <c r="B1882" s="337" t="s">
        <v>13912</v>
      </c>
      <c r="C1882" s="332" t="s">
        <v>13529</v>
      </c>
      <c r="D1882" s="134"/>
      <c r="E1882" s="135">
        <v>78</v>
      </c>
      <c r="F1882" s="46" t="s">
        <v>9</v>
      </c>
      <c r="G1882" s="749">
        <f>IF(F1882="X",0,E1882)</f>
        <v>0</v>
      </c>
      <c r="H1882" s="775"/>
    </row>
    <row r="1883" spans="1:8">
      <c r="A1883" s="785">
        <v>44126</v>
      </c>
      <c r="B1883" s="337" t="s">
        <v>13881</v>
      </c>
      <c r="C1883" s="776" t="s">
        <v>13913</v>
      </c>
      <c r="D1883" s="134"/>
      <c r="E1883" s="135">
        <v>40.520000000000003</v>
      </c>
      <c r="F1883" s="46" t="s">
        <v>9</v>
      </c>
      <c r="G1883" s="749">
        <f t="shared" si="135"/>
        <v>0</v>
      </c>
      <c r="H1883" s="775"/>
    </row>
    <row r="1884" spans="1:8">
      <c r="A1884" s="786">
        <v>44126</v>
      </c>
      <c r="B1884" s="787" t="s">
        <v>13882</v>
      </c>
      <c r="C1884" s="938" t="s">
        <v>13913</v>
      </c>
      <c r="D1884" s="789"/>
      <c r="E1884" s="790">
        <v>1446.54</v>
      </c>
      <c r="F1884" s="791" t="s">
        <v>9</v>
      </c>
      <c r="G1884" s="750">
        <f t="shared" si="135"/>
        <v>0</v>
      </c>
      <c r="H1884" s="775"/>
    </row>
    <row r="1885" spans="1:8">
      <c r="A1885" s="1484"/>
      <c r="B1885" s="1485"/>
      <c r="C1885" s="1486" t="s">
        <v>13914</v>
      </c>
      <c r="D1885" s="1487"/>
      <c r="E1885" s="1488">
        <f>SUM(E1886:E1897)</f>
        <v>4089.9599999999996</v>
      </c>
      <c r="F1885" s="1489"/>
      <c r="G1885" s="1490"/>
      <c r="H1885" s="775">
        <f>E1887</f>
        <v>89.68</v>
      </c>
    </row>
    <row r="1886" spans="1:8">
      <c r="A1886" s="785">
        <v>44136</v>
      </c>
      <c r="B1886" s="337" t="s">
        <v>13895</v>
      </c>
      <c r="C1886" s="776" t="s">
        <v>13387</v>
      </c>
      <c r="D1886" s="134"/>
      <c r="E1886" s="135">
        <v>269.89999999999998</v>
      </c>
      <c r="F1886" s="46" t="s">
        <v>9</v>
      </c>
      <c r="G1886" s="749">
        <f t="shared" ref="G1886:G1897" si="136">IF(F1886="X",0,E1886)</f>
        <v>0</v>
      </c>
      <c r="H1886" s="775"/>
    </row>
    <row r="1887" spans="1:8">
      <c r="A1887" s="792">
        <v>44136</v>
      </c>
      <c r="B1887" s="793" t="s">
        <v>13896</v>
      </c>
      <c r="C1887" s="794" t="s">
        <v>13475</v>
      </c>
      <c r="D1887" s="795"/>
      <c r="E1887" s="796">
        <v>89.68</v>
      </c>
      <c r="F1887" s="797" t="s">
        <v>9</v>
      </c>
      <c r="G1887" s="798">
        <f t="shared" si="136"/>
        <v>0</v>
      </c>
      <c r="H1887" s="775"/>
    </row>
    <row r="1888" spans="1:8">
      <c r="A1888" s="785">
        <v>44136</v>
      </c>
      <c r="B1888" s="337" t="s">
        <v>13905</v>
      </c>
      <c r="C1888" s="776" t="s">
        <v>13621</v>
      </c>
      <c r="D1888" s="134"/>
      <c r="E1888" s="135">
        <v>703.53</v>
      </c>
      <c r="F1888" s="46" t="s">
        <v>9</v>
      </c>
      <c r="G1888" s="749">
        <f t="shared" si="136"/>
        <v>0</v>
      </c>
      <c r="H1888" s="775"/>
    </row>
    <row r="1889" spans="1:8">
      <c r="A1889" s="785">
        <v>44136</v>
      </c>
      <c r="B1889" s="337" t="s">
        <v>13906</v>
      </c>
      <c r="C1889" s="776" t="s">
        <v>13695</v>
      </c>
      <c r="D1889" s="134"/>
      <c r="E1889" s="135">
        <v>220.79</v>
      </c>
      <c r="F1889" s="46" t="s">
        <v>9</v>
      </c>
      <c r="G1889" s="749">
        <f t="shared" si="136"/>
        <v>0</v>
      </c>
      <c r="H1889" s="775"/>
    </row>
    <row r="1890" spans="1:8">
      <c r="A1890" s="785">
        <v>44136</v>
      </c>
      <c r="B1890" s="337" t="s">
        <v>13907</v>
      </c>
      <c r="C1890" s="776" t="s">
        <v>13695</v>
      </c>
      <c r="D1890" s="134"/>
      <c r="E1890" s="135">
        <v>79.83</v>
      </c>
      <c r="F1890" s="46" t="s">
        <v>9</v>
      </c>
      <c r="G1890" s="749">
        <f t="shared" si="136"/>
        <v>0</v>
      </c>
      <c r="H1890" s="775"/>
    </row>
    <row r="1891" spans="1:8">
      <c r="A1891" s="785">
        <v>44136</v>
      </c>
      <c r="B1891" s="337" t="s">
        <v>13908</v>
      </c>
      <c r="C1891" s="776" t="s">
        <v>13448</v>
      </c>
      <c r="D1891" s="134"/>
      <c r="E1891" s="135">
        <v>18.739999999999998</v>
      </c>
      <c r="F1891" s="46" t="s">
        <v>9</v>
      </c>
      <c r="G1891" s="749">
        <f t="shared" si="136"/>
        <v>0</v>
      </c>
      <c r="H1891" s="775"/>
    </row>
    <row r="1892" spans="1:8">
      <c r="A1892" s="785">
        <v>44136</v>
      </c>
      <c r="B1892" s="337" t="s">
        <v>13909</v>
      </c>
      <c r="C1892" s="332" t="s">
        <v>13376</v>
      </c>
      <c r="D1892" s="134"/>
      <c r="E1892" s="135">
        <v>353.49</v>
      </c>
      <c r="F1892" s="46" t="s">
        <v>9</v>
      </c>
      <c r="G1892" s="749">
        <f>IF(F1892="X",0,E1892)</f>
        <v>0</v>
      </c>
      <c r="H1892" s="775"/>
    </row>
    <row r="1893" spans="1:8">
      <c r="A1893" s="785">
        <v>44136</v>
      </c>
      <c r="B1893" s="337" t="s">
        <v>13912</v>
      </c>
      <c r="C1893" s="332" t="s">
        <v>13537</v>
      </c>
      <c r="D1893" s="134"/>
      <c r="E1893" s="135">
        <v>78</v>
      </c>
      <c r="F1893" s="46" t="s">
        <v>9</v>
      </c>
      <c r="G1893" s="749">
        <f>IF(F1893="X",0,E1893)</f>
        <v>0</v>
      </c>
      <c r="H1893" s="775"/>
    </row>
    <row r="1894" spans="1:8">
      <c r="A1894" s="785">
        <v>44136</v>
      </c>
      <c r="B1894" s="337" t="s">
        <v>13915</v>
      </c>
      <c r="C1894" s="332" t="s">
        <v>13437</v>
      </c>
      <c r="D1894" s="134"/>
      <c r="E1894" s="135">
        <v>288.94</v>
      </c>
      <c r="F1894" s="46" t="s">
        <v>9</v>
      </c>
      <c r="G1894" s="749">
        <f>IF(F1894="X",0,E1894)</f>
        <v>0</v>
      </c>
      <c r="H1894" s="775"/>
    </row>
    <row r="1895" spans="1:8">
      <c r="A1895" s="785">
        <v>44136</v>
      </c>
      <c r="B1895" s="337" t="s">
        <v>13916</v>
      </c>
      <c r="C1895" s="332" t="s">
        <v>13437</v>
      </c>
      <c r="D1895" s="134"/>
      <c r="E1895" s="135">
        <v>500</v>
      </c>
      <c r="F1895" s="46" t="s">
        <v>9</v>
      </c>
      <c r="G1895" s="749">
        <f>IF(F1895="X",0,E1895)</f>
        <v>0</v>
      </c>
      <c r="H1895" s="775"/>
    </row>
    <row r="1896" spans="1:8">
      <c r="A1896" s="785">
        <v>44157</v>
      </c>
      <c r="B1896" s="337" t="s">
        <v>13881</v>
      </c>
      <c r="C1896" s="776" t="s">
        <v>13917</v>
      </c>
      <c r="D1896" s="134"/>
      <c r="E1896" s="135">
        <v>40.520000000000003</v>
      </c>
      <c r="F1896" s="46" t="s">
        <v>9</v>
      </c>
      <c r="G1896" s="749">
        <f t="shared" si="136"/>
        <v>0</v>
      </c>
      <c r="H1896" s="775"/>
    </row>
    <row r="1897" spans="1:8">
      <c r="A1897" s="786">
        <v>44157</v>
      </c>
      <c r="B1897" s="787" t="s">
        <v>13882</v>
      </c>
      <c r="C1897" s="938" t="s">
        <v>13917</v>
      </c>
      <c r="D1897" s="789"/>
      <c r="E1897" s="790">
        <v>1446.54</v>
      </c>
      <c r="F1897" s="791" t="s">
        <v>9</v>
      </c>
      <c r="G1897" s="750">
        <f t="shared" si="136"/>
        <v>0</v>
      </c>
      <c r="H1897" s="775"/>
    </row>
    <row r="1898" spans="1:8">
      <c r="A1898" s="1484"/>
      <c r="B1898" s="1485"/>
      <c r="C1898" s="1486" t="s">
        <v>13918</v>
      </c>
      <c r="D1898" s="1487"/>
      <c r="E1898" s="1488">
        <f>SUM(E1899:E1910)</f>
        <v>4900.2800000000007</v>
      </c>
      <c r="F1898" s="1489"/>
      <c r="G1898" s="1490"/>
      <c r="H1898" s="775">
        <f>E1909+E1910</f>
        <v>1487.06</v>
      </c>
    </row>
    <row r="1899" spans="1:8">
      <c r="A1899" s="785">
        <v>44166</v>
      </c>
      <c r="B1899" s="337" t="s">
        <v>13895</v>
      </c>
      <c r="C1899" s="776" t="s">
        <v>13397</v>
      </c>
      <c r="D1899" s="134"/>
      <c r="E1899" s="135">
        <v>269.89999999999998</v>
      </c>
      <c r="F1899" s="46" t="s">
        <v>9</v>
      </c>
      <c r="G1899" s="749">
        <f t="shared" ref="G1899:G1910" si="137">IF(F1899="X",0,E1899)</f>
        <v>0</v>
      </c>
      <c r="H1899" s="775"/>
    </row>
    <row r="1900" spans="1:8">
      <c r="A1900" s="785">
        <v>44166</v>
      </c>
      <c r="B1900" s="337" t="s">
        <v>13905</v>
      </c>
      <c r="C1900" s="776" t="s">
        <v>13380</v>
      </c>
      <c r="D1900" s="134"/>
      <c r="E1900" s="135">
        <v>703.53</v>
      </c>
      <c r="F1900" s="46" t="s">
        <v>9</v>
      </c>
      <c r="G1900" s="749">
        <f t="shared" si="137"/>
        <v>0</v>
      </c>
      <c r="H1900" s="775"/>
    </row>
    <row r="1901" spans="1:8">
      <c r="A1901" s="785">
        <v>44166</v>
      </c>
      <c r="B1901" s="337" t="s">
        <v>13906</v>
      </c>
      <c r="C1901" s="776" t="s">
        <v>13699</v>
      </c>
      <c r="D1901" s="134"/>
      <c r="E1901" s="135">
        <v>220.79</v>
      </c>
      <c r="F1901" s="46" t="s">
        <v>9</v>
      </c>
      <c r="G1901" s="749">
        <f t="shared" si="137"/>
        <v>0</v>
      </c>
      <c r="H1901" s="775"/>
    </row>
    <row r="1902" spans="1:8">
      <c r="A1902" s="785">
        <v>44166</v>
      </c>
      <c r="B1902" s="337" t="s">
        <v>13907</v>
      </c>
      <c r="C1902" s="776" t="s">
        <v>13699</v>
      </c>
      <c r="D1902" s="134"/>
      <c r="E1902" s="135">
        <v>79.83</v>
      </c>
      <c r="F1902" s="46" t="s">
        <v>9</v>
      </c>
      <c r="G1902" s="749">
        <f t="shared" si="137"/>
        <v>0</v>
      </c>
      <c r="H1902" s="775"/>
    </row>
    <row r="1903" spans="1:8">
      <c r="A1903" s="785">
        <v>44166</v>
      </c>
      <c r="B1903" s="337" t="s">
        <v>13908</v>
      </c>
      <c r="C1903" s="776" t="s">
        <v>13454</v>
      </c>
      <c r="D1903" s="134"/>
      <c r="E1903" s="135">
        <v>18.739999999999998</v>
      </c>
      <c r="F1903" s="46" t="s">
        <v>9</v>
      </c>
      <c r="G1903" s="749">
        <f t="shared" si="137"/>
        <v>0</v>
      </c>
      <c r="H1903" s="775"/>
    </row>
    <row r="1904" spans="1:8">
      <c r="A1904" s="454">
        <v>44166</v>
      </c>
      <c r="B1904" s="337" t="s">
        <v>13909</v>
      </c>
      <c r="C1904" s="332" t="s">
        <v>13380</v>
      </c>
      <c r="D1904" s="134"/>
      <c r="E1904" s="135">
        <v>353.49</v>
      </c>
      <c r="F1904" s="46" t="s">
        <v>9</v>
      </c>
      <c r="G1904" s="155">
        <f>IF(F1904="X",0,E1904)</f>
        <v>0</v>
      </c>
      <c r="H1904" s="775"/>
    </row>
    <row r="1905" spans="1:8">
      <c r="A1905" s="454">
        <v>44166</v>
      </c>
      <c r="B1905" s="337" t="s">
        <v>13912</v>
      </c>
      <c r="C1905" s="332" t="s">
        <v>13542</v>
      </c>
      <c r="D1905" s="134"/>
      <c r="E1905" s="135">
        <v>78</v>
      </c>
      <c r="F1905" s="46" t="s">
        <v>9</v>
      </c>
      <c r="G1905" s="155">
        <f>IF(F1905="X",0,E1905)</f>
        <v>0</v>
      </c>
      <c r="H1905" s="775"/>
    </row>
    <row r="1906" spans="1:8">
      <c r="A1906" s="454">
        <v>44166</v>
      </c>
      <c r="B1906" s="337" t="s">
        <v>13915</v>
      </c>
      <c r="C1906" s="332" t="s">
        <v>13443</v>
      </c>
      <c r="D1906" s="134"/>
      <c r="E1906" s="135">
        <v>288.94</v>
      </c>
      <c r="F1906" s="46" t="s">
        <v>9</v>
      </c>
      <c r="G1906" s="155">
        <f>IF(F1906="X",0,E1906)</f>
        <v>0</v>
      </c>
      <c r="H1906" s="775"/>
    </row>
    <row r="1907" spans="1:8">
      <c r="A1907" s="454">
        <v>44166</v>
      </c>
      <c r="B1907" s="337" t="s">
        <v>13916</v>
      </c>
      <c r="C1907" s="332" t="s">
        <v>13443</v>
      </c>
      <c r="D1907" s="134"/>
      <c r="E1907" s="135">
        <v>500</v>
      </c>
      <c r="F1907" s="46" t="s">
        <v>9</v>
      </c>
      <c r="G1907" s="155">
        <f>IF(F1907="X",0,E1907)</f>
        <v>0</v>
      </c>
      <c r="H1907" s="775"/>
    </row>
    <row r="1908" spans="1:8">
      <c r="A1908" s="454">
        <v>44166</v>
      </c>
      <c r="B1908" s="337" t="s">
        <v>13919</v>
      </c>
      <c r="C1908" s="332" t="s">
        <v>13459</v>
      </c>
      <c r="D1908" s="134"/>
      <c r="E1908" s="135">
        <v>900</v>
      </c>
      <c r="F1908" s="46" t="s">
        <v>9</v>
      </c>
      <c r="G1908" s="155">
        <f>IF(F1908="X",0,E1908)</f>
        <v>0</v>
      </c>
      <c r="H1908" s="775"/>
    </row>
    <row r="1909" spans="1:8">
      <c r="A1909" s="792">
        <v>44187</v>
      </c>
      <c r="B1909" s="793" t="s">
        <v>13881</v>
      </c>
      <c r="C1909" s="794" t="s">
        <v>13590</v>
      </c>
      <c r="D1909" s="795"/>
      <c r="E1909" s="796">
        <v>40.520000000000003</v>
      </c>
      <c r="F1909" s="797" t="s">
        <v>9</v>
      </c>
      <c r="G1909" s="798">
        <f t="shared" si="137"/>
        <v>0</v>
      </c>
      <c r="H1909" s="775"/>
    </row>
    <row r="1910" spans="1:8">
      <c r="A1910" s="792">
        <v>44187</v>
      </c>
      <c r="B1910" s="793" t="s">
        <v>13882</v>
      </c>
      <c r="C1910" s="794" t="s">
        <v>13590</v>
      </c>
      <c r="D1910" s="795"/>
      <c r="E1910" s="796">
        <v>1446.54</v>
      </c>
      <c r="F1910" s="797" t="s">
        <v>9</v>
      </c>
      <c r="G1910" s="798">
        <f t="shared" si="137"/>
        <v>0</v>
      </c>
      <c r="H1910" s="775"/>
    </row>
    <row r="1911" spans="1:8">
      <c r="A1911" s="1491"/>
      <c r="B1911" s="1492"/>
      <c r="C1911" s="1493" t="s">
        <v>13920</v>
      </c>
      <c r="D1911" s="1494"/>
      <c r="E1911" s="1495">
        <f>SUM(E1912:E1922)</f>
        <v>4117.43</v>
      </c>
      <c r="F1911" s="1496"/>
      <c r="G1911" s="1497"/>
      <c r="H1911" s="775"/>
    </row>
    <row r="1912" spans="1:8">
      <c r="A1912" s="785">
        <v>44197</v>
      </c>
      <c r="B1912" s="337" t="s">
        <v>13895</v>
      </c>
      <c r="C1912" s="776" t="s">
        <v>13402</v>
      </c>
      <c r="D1912" s="134"/>
      <c r="E1912" s="135">
        <v>269.89999999999998</v>
      </c>
      <c r="F1912" s="46" t="s">
        <v>9</v>
      </c>
      <c r="G1912" s="749">
        <f t="shared" ref="G1912:G1917" si="138">IF(F1912="X",0,E1912)</f>
        <v>0</v>
      </c>
      <c r="H1912" s="775"/>
    </row>
    <row r="1913" spans="1:8">
      <c r="A1913" s="785">
        <v>44197</v>
      </c>
      <c r="B1913" s="337" t="s">
        <v>13905</v>
      </c>
      <c r="C1913" s="776" t="s">
        <v>13384</v>
      </c>
      <c r="D1913" s="134"/>
      <c r="E1913" s="135">
        <v>703.53</v>
      </c>
      <c r="F1913" s="46" t="s">
        <v>9</v>
      </c>
      <c r="G1913" s="749">
        <f t="shared" si="138"/>
        <v>0</v>
      </c>
      <c r="H1913" s="775"/>
    </row>
    <row r="1914" spans="1:8">
      <c r="A1914" s="785">
        <v>44197</v>
      </c>
      <c r="B1914" s="337" t="s">
        <v>13906</v>
      </c>
      <c r="C1914" s="776" t="s">
        <v>13705</v>
      </c>
      <c r="D1914" s="134"/>
      <c r="E1914" s="135">
        <v>220.79</v>
      </c>
      <c r="F1914" s="46" t="s">
        <v>9</v>
      </c>
      <c r="G1914" s="749">
        <f t="shared" si="138"/>
        <v>0</v>
      </c>
      <c r="H1914" s="775"/>
    </row>
    <row r="1915" spans="1:8">
      <c r="A1915" s="785">
        <v>44197</v>
      </c>
      <c r="B1915" s="337" t="s">
        <v>13907</v>
      </c>
      <c r="C1915" s="776" t="s">
        <v>13705</v>
      </c>
      <c r="D1915" s="134"/>
      <c r="E1915" s="135">
        <v>79.83</v>
      </c>
      <c r="F1915" s="46" t="s">
        <v>9</v>
      </c>
      <c r="G1915" s="749">
        <f t="shared" si="138"/>
        <v>0</v>
      </c>
      <c r="H1915" s="775"/>
    </row>
    <row r="1916" spans="1:8">
      <c r="A1916" s="785">
        <v>44197</v>
      </c>
      <c r="B1916" s="337" t="s">
        <v>13908</v>
      </c>
      <c r="C1916" s="776" t="s">
        <v>13705</v>
      </c>
      <c r="D1916" s="134"/>
      <c r="E1916" s="135">
        <v>18.739999999999998</v>
      </c>
      <c r="F1916" s="46" t="s">
        <v>9</v>
      </c>
      <c r="G1916" s="749">
        <f t="shared" si="138"/>
        <v>0</v>
      </c>
      <c r="H1916" s="775"/>
    </row>
    <row r="1917" spans="1:8">
      <c r="A1917" s="785">
        <v>44197</v>
      </c>
      <c r="B1917" s="337" t="s">
        <v>13909</v>
      </c>
      <c r="C1917" s="332" t="s">
        <v>13384</v>
      </c>
      <c r="D1917" s="134"/>
      <c r="E1917" s="135">
        <v>353.49</v>
      </c>
      <c r="F1917" s="46" t="s">
        <v>9</v>
      </c>
      <c r="G1917" s="749">
        <f t="shared" si="138"/>
        <v>0</v>
      </c>
      <c r="H1917" s="775"/>
    </row>
    <row r="1918" spans="1:8">
      <c r="A1918" s="785">
        <v>44197</v>
      </c>
      <c r="B1918" s="337" t="s">
        <v>13912</v>
      </c>
      <c r="C1918" s="332" t="s">
        <v>13550</v>
      </c>
      <c r="D1918" s="134"/>
      <c r="E1918" s="135">
        <v>78</v>
      </c>
      <c r="F1918" s="46" t="s">
        <v>9</v>
      </c>
      <c r="G1918" s="749">
        <f>IF(F1918="X",0,E1918)</f>
        <v>0</v>
      </c>
      <c r="H1918" s="775"/>
    </row>
    <row r="1919" spans="1:8">
      <c r="A1919" s="785">
        <v>44197</v>
      </c>
      <c r="B1919" s="337" t="s">
        <v>13915</v>
      </c>
      <c r="C1919" s="332" t="s">
        <v>13448</v>
      </c>
      <c r="D1919" s="134"/>
      <c r="E1919" s="135">
        <v>288.94</v>
      </c>
      <c r="F1919" s="46" t="s">
        <v>9</v>
      </c>
      <c r="G1919" s="749">
        <f>IF(F1919="X",0,E1919)</f>
        <v>0</v>
      </c>
      <c r="H1919" s="775"/>
    </row>
    <row r="1920" spans="1:8">
      <c r="A1920" s="785">
        <v>44197</v>
      </c>
      <c r="B1920" s="337" t="s">
        <v>13916</v>
      </c>
      <c r="C1920" s="332" t="s">
        <v>13448</v>
      </c>
      <c r="D1920" s="134"/>
      <c r="E1920" s="135">
        <v>500</v>
      </c>
      <c r="F1920" s="46" t="s">
        <v>9</v>
      </c>
      <c r="G1920" s="749">
        <f>IF(F1920="X",0,E1920)</f>
        <v>0</v>
      </c>
      <c r="H1920" s="775"/>
    </row>
    <row r="1921" spans="1:8">
      <c r="A1921" s="785">
        <v>44197</v>
      </c>
      <c r="B1921" s="337" t="s">
        <v>13919</v>
      </c>
      <c r="C1921" s="332" t="s">
        <v>13481</v>
      </c>
      <c r="D1921" s="134"/>
      <c r="E1921" s="135">
        <v>900</v>
      </c>
      <c r="F1921" s="46" t="s">
        <v>9</v>
      </c>
      <c r="G1921" s="749">
        <f>IF(F1921="X",0,E1921)</f>
        <v>0</v>
      </c>
      <c r="H1921" s="775"/>
    </row>
    <row r="1922" spans="1:8">
      <c r="A1922" s="786">
        <v>44211</v>
      </c>
      <c r="B1922" s="787" t="s">
        <v>13921</v>
      </c>
      <c r="C1922" s="788" t="s">
        <v>13521</v>
      </c>
      <c r="D1922" s="789"/>
      <c r="E1922" s="790">
        <v>704.21</v>
      </c>
      <c r="F1922" s="791" t="s">
        <v>9</v>
      </c>
      <c r="G1922" s="750">
        <f>IF(F1922="X",0,E1922)</f>
        <v>0</v>
      </c>
      <c r="H1922" s="775"/>
    </row>
    <row r="1923" spans="1:8">
      <c r="A1923" s="1484"/>
      <c r="B1923" s="1485"/>
      <c r="C1923" s="1486" t="s">
        <v>13922</v>
      </c>
      <c r="D1923" s="1487"/>
      <c r="E1923" s="1488">
        <f>SUM(E1924:E1934)</f>
        <v>4117.43</v>
      </c>
      <c r="F1923" s="1489"/>
      <c r="G1923" s="1490"/>
      <c r="H1923" s="775">
        <f>E1928+E1929+E1930</f>
        <v>319.36</v>
      </c>
    </row>
    <row r="1924" spans="1:8">
      <c r="A1924" s="785">
        <v>44228</v>
      </c>
      <c r="B1924" s="337" t="s">
        <v>13895</v>
      </c>
      <c r="C1924" s="776" t="s">
        <v>13409</v>
      </c>
      <c r="D1924" s="134"/>
      <c r="E1924" s="135">
        <v>269.89999999999998</v>
      </c>
      <c r="F1924" s="46" t="s">
        <v>9</v>
      </c>
      <c r="G1924" s="749">
        <f t="shared" ref="G1924:G1930" si="139">IF(F1924="X",0,E1924)</f>
        <v>0</v>
      </c>
      <c r="H1924" s="775"/>
    </row>
    <row r="1925" spans="1:8">
      <c r="A1925" s="785">
        <v>44228</v>
      </c>
      <c r="B1925" s="337" t="s">
        <v>13905</v>
      </c>
      <c r="C1925" s="776" t="s">
        <v>13387</v>
      </c>
      <c r="D1925" s="134"/>
      <c r="E1925" s="135">
        <v>703.53</v>
      </c>
      <c r="F1925" s="46" t="s">
        <v>9</v>
      </c>
      <c r="G1925" s="749">
        <f t="shared" si="139"/>
        <v>0</v>
      </c>
      <c r="H1925" s="775"/>
    </row>
    <row r="1926" spans="1:8">
      <c r="A1926" s="785">
        <v>44228</v>
      </c>
      <c r="B1926" s="337" t="s">
        <v>13909</v>
      </c>
      <c r="C1926" s="332" t="s">
        <v>13387</v>
      </c>
      <c r="D1926" s="134"/>
      <c r="E1926" s="135">
        <v>353.49</v>
      </c>
      <c r="F1926" s="46" t="s">
        <v>9</v>
      </c>
      <c r="G1926" s="749">
        <f t="shared" si="139"/>
        <v>0</v>
      </c>
      <c r="H1926" s="775"/>
    </row>
    <row r="1927" spans="1:8">
      <c r="A1927" s="785">
        <v>44228</v>
      </c>
      <c r="B1927" s="337" t="s">
        <v>13916</v>
      </c>
      <c r="C1927" s="332" t="s">
        <v>13454</v>
      </c>
      <c r="D1927" s="134"/>
      <c r="E1927" s="135">
        <v>500</v>
      </c>
      <c r="F1927" s="46" t="s">
        <v>9</v>
      </c>
      <c r="G1927" s="749"/>
      <c r="H1927" s="775"/>
    </row>
    <row r="1928" spans="1:8">
      <c r="A1928" s="792">
        <v>44228</v>
      </c>
      <c r="B1928" s="793" t="s">
        <v>13906</v>
      </c>
      <c r="C1928" s="794" t="s">
        <v>13708</v>
      </c>
      <c r="D1928" s="795"/>
      <c r="E1928" s="796">
        <v>220.79</v>
      </c>
      <c r="F1928" s="797" t="s">
        <v>9</v>
      </c>
      <c r="G1928" s="798">
        <f t="shared" si="139"/>
        <v>0</v>
      </c>
      <c r="H1928" s="775"/>
    </row>
    <row r="1929" spans="1:8">
      <c r="A1929" s="792">
        <v>44228</v>
      </c>
      <c r="B1929" s="793" t="s">
        <v>13907</v>
      </c>
      <c r="C1929" s="794" t="s">
        <v>13708</v>
      </c>
      <c r="D1929" s="795"/>
      <c r="E1929" s="796">
        <v>79.83</v>
      </c>
      <c r="F1929" s="797" t="s">
        <v>9</v>
      </c>
      <c r="G1929" s="798">
        <f t="shared" si="139"/>
        <v>0</v>
      </c>
      <c r="H1929" s="775"/>
    </row>
    <row r="1930" spans="1:8">
      <c r="A1930" s="792">
        <v>44228</v>
      </c>
      <c r="B1930" s="793" t="s">
        <v>13908</v>
      </c>
      <c r="C1930" s="794" t="s">
        <v>13708</v>
      </c>
      <c r="D1930" s="795"/>
      <c r="E1930" s="796">
        <v>18.739999999999998</v>
      </c>
      <c r="F1930" s="797" t="s">
        <v>9</v>
      </c>
      <c r="G1930" s="798">
        <f t="shared" si="139"/>
        <v>0</v>
      </c>
      <c r="H1930" s="775"/>
    </row>
    <row r="1931" spans="1:8">
      <c r="A1931" s="785">
        <v>44228</v>
      </c>
      <c r="B1931" s="337" t="s">
        <v>13912</v>
      </c>
      <c r="C1931" s="332" t="s">
        <v>13554</v>
      </c>
      <c r="D1931" s="134"/>
      <c r="E1931" s="135">
        <v>78</v>
      </c>
      <c r="F1931" s="46" t="s">
        <v>9</v>
      </c>
      <c r="G1931" s="749">
        <f>IF(F1931="X",0,E1931)</f>
        <v>0</v>
      </c>
      <c r="H1931" s="775"/>
    </row>
    <row r="1932" spans="1:8">
      <c r="A1932" s="785">
        <v>44228</v>
      </c>
      <c r="B1932" s="337" t="s">
        <v>13915</v>
      </c>
      <c r="C1932" s="332" t="s">
        <v>13454</v>
      </c>
      <c r="D1932" s="134"/>
      <c r="E1932" s="135">
        <v>288.94</v>
      </c>
      <c r="F1932" s="46" t="s">
        <v>9</v>
      </c>
      <c r="G1932" s="749">
        <f>IF(F1932="X",0,E1932)</f>
        <v>0</v>
      </c>
      <c r="H1932" s="775"/>
    </row>
    <row r="1933" spans="1:8">
      <c r="A1933" s="785">
        <v>44228</v>
      </c>
      <c r="B1933" s="337" t="s">
        <v>13919</v>
      </c>
      <c r="C1933" s="332" t="s">
        <v>13489</v>
      </c>
      <c r="D1933" s="134"/>
      <c r="E1933" s="135">
        <v>900</v>
      </c>
      <c r="F1933" s="46" t="s">
        <v>9</v>
      </c>
      <c r="G1933" s="749">
        <f>IF(F1933="X",0,E1933)</f>
        <v>0</v>
      </c>
      <c r="H1933" s="775"/>
    </row>
    <row r="1934" spans="1:8">
      <c r="A1934" s="786">
        <v>44242</v>
      </c>
      <c r="B1934" s="787" t="s">
        <v>13921</v>
      </c>
      <c r="C1934" s="788" t="s">
        <v>13531</v>
      </c>
      <c r="D1934" s="789"/>
      <c r="E1934" s="790">
        <v>704.21</v>
      </c>
      <c r="F1934" s="791" t="s">
        <v>9</v>
      </c>
      <c r="G1934" s="750">
        <f>IF(F1934="X",0,E1934)</f>
        <v>0</v>
      </c>
      <c r="H1934" s="775"/>
    </row>
    <row r="1935" spans="1:8">
      <c r="A1935" s="1484"/>
      <c r="B1935" s="1485"/>
      <c r="C1935" s="1486" t="s">
        <v>13923</v>
      </c>
      <c r="D1935" s="1487"/>
      <c r="E1935" s="1488">
        <f>SUM(E1936:E1946)</f>
        <v>4447.6400000000003</v>
      </c>
      <c r="F1935" s="1489"/>
      <c r="G1935" s="1490"/>
      <c r="H1935" s="775"/>
    </row>
    <row r="1936" spans="1:8">
      <c r="A1936" s="792">
        <v>44256</v>
      </c>
      <c r="B1936" s="793" t="s">
        <v>13895</v>
      </c>
      <c r="C1936" s="794" t="s">
        <v>13414</v>
      </c>
      <c r="D1936" s="795"/>
      <c r="E1936" s="796">
        <v>269.89999999999998</v>
      </c>
      <c r="F1936" s="797" t="s">
        <v>9</v>
      </c>
      <c r="G1936" s="798">
        <f t="shared" ref="G1936:G1944" si="140">IF(F1936="X",0,E1936)</f>
        <v>0</v>
      </c>
      <c r="H1936" s="775">
        <f>E1936+E1945+E1946</f>
        <v>1874.1100000000001</v>
      </c>
    </row>
    <row r="1937" spans="1:8">
      <c r="A1937" s="785">
        <v>43891</v>
      </c>
      <c r="B1937" s="337" t="s">
        <v>13905</v>
      </c>
      <c r="C1937" s="776" t="s">
        <v>13397</v>
      </c>
      <c r="D1937" s="134"/>
      <c r="E1937" s="135">
        <v>703.53</v>
      </c>
      <c r="F1937" s="46" t="s">
        <v>9</v>
      </c>
      <c r="G1937" s="749">
        <f t="shared" si="140"/>
        <v>0</v>
      </c>
      <c r="H1937" s="775"/>
    </row>
    <row r="1938" spans="1:8">
      <c r="A1938" s="785">
        <v>44256</v>
      </c>
      <c r="B1938" s="337" t="s">
        <v>13909</v>
      </c>
      <c r="C1938" s="332" t="s">
        <v>13397</v>
      </c>
      <c r="D1938" s="134"/>
      <c r="E1938" s="135">
        <v>353.49</v>
      </c>
      <c r="F1938" s="46" t="s">
        <v>9</v>
      </c>
      <c r="G1938" s="749">
        <f t="shared" si="140"/>
        <v>0</v>
      </c>
      <c r="H1938" s="775"/>
    </row>
    <row r="1939" spans="1:8">
      <c r="A1939" s="785">
        <v>44256</v>
      </c>
      <c r="B1939" s="337" t="s">
        <v>13912</v>
      </c>
      <c r="C1939" s="332" t="s">
        <v>13561</v>
      </c>
      <c r="D1939" s="134"/>
      <c r="E1939" s="135">
        <v>78</v>
      </c>
      <c r="F1939" s="46" t="s">
        <v>9</v>
      </c>
      <c r="G1939" s="749">
        <f t="shared" si="140"/>
        <v>0</v>
      </c>
      <c r="H1939" s="775"/>
    </row>
    <row r="1940" spans="1:8">
      <c r="A1940" s="785">
        <v>44256</v>
      </c>
      <c r="B1940" s="337" t="s">
        <v>13915</v>
      </c>
      <c r="C1940" s="332" t="s">
        <v>13467</v>
      </c>
      <c r="D1940" s="134"/>
      <c r="E1940" s="135">
        <v>288.94</v>
      </c>
      <c r="F1940" s="46" t="s">
        <v>9</v>
      </c>
      <c r="G1940" s="749">
        <f t="shared" si="140"/>
        <v>0</v>
      </c>
      <c r="H1940" s="775"/>
    </row>
    <row r="1941" spans="1:8">
      <c r="A1941" s="785">
        <v>44256</v>
      </c>
      <c r="B1941" s="337" t="s">
        <v>13916</v>
      </c>
      <c r="C1941" s="332" t="s">
        <v>13467</v>
      </c>
      <c r="D1941" s="134"/>
      <c r="E1941" s="135">
        <v>500</v>
      </c>
      <c r="F1941" s="46" t="s">
        <v>9</v>
      </c>
      <c r="G1941" s="749">
        <f t="shared" si="140"/>
        <v>0</v>
      </c>
      <c r="H1941" s="775"/>
    </row>
    <row r="1942" spans="1:8">
      <c r="A1942" s="785">
        <v>44256</v>
      </c>
      <c r="B1942" s="337" t="s">
        <v>13924</v>
      </c>
      <c r="C1942" s="332" t="s">
        <v>13521</v>
      </c>
      <c r="D1942" s="134"/>
      <c r="E1942" s="135">
        <v>259.98</v>
      </c>
      <c r="F1942" s="46" t="s">
        <v>9</v>
      </c>
      <c r="G1942" s="749">
        <f t="shared" si="140"/>
        <v>0</v>
      </c>
      <c r="H1942" s="775"/>
    </row>
    <row r="1943" spans="1:8">
      <c r="A1943" s="785">
        <v>44256</v>
      </c>
      <c r="B1943" s="337" t="s">
        <v>13925</v>
      </c>
      <c r="C1943" s="332" t="s">
        <v>13521</v>
      </c>
      <c r="D1943" s="134"/>
      <c r="E1943" s="135">
        <v>233.33</v>
      </c>
      <c r="F1943" s="46" t="s">
        <v>9</v>
      </c>
      <c r="G1943" s="749">
        <f t="shared" si="140"/>
        <v>0</v>
      </c>
      <c r="H1943" s="775"/>
    </row>
    <row r="1944" spans="1:8">
      <c r="A1944" s="785">
        <v>44256</v>
      </c>
      <c r="B1944" s="337" t="s">
        <v>13926</v>
      </c>
      <c r="C1944" s="332" t="s">
        <v>13437</v>
      </c>
      <c r="D1944" s="134"/>
      <c r="E1944" s="135">
        <v>156.26</v>
      </c>
      <c r="F1944" s="46" t="s">
        <v>9</v>
      </c>
      <c r="G1944" s="749">
        <f t="shared" si="140"/>
        <v>0</v>
      </c>
      <c r="H1944" s="775"/>
    </row>
    <row r="1945" spans="1:8">
      <c r="A1945" s="792">
        <v>44256</v>
      </c>
      <c r="B1945" s="793" t="s">
        <v>13919</v>
      </c>
      <c r="C1945" s="794" t="s">
        <v>13493</v>
      </c>
      <c r="D1945" s="795"/>
      <c r="E1945" s="796">
        <v>900</v>
      </c>
      <c r="F1945" s="797" t="s">
        <v>9</v>
      </c>
      <c r="G1945" s="798">
        <f>IF(F1945="X",0,E1945)</f>
        <v>0</v>
      </c>
      <c r="H1945" s="775"/>
    </row>
    <row r="1946" spans="1:8">
      <c r="A1946" s="939">
        <v>44270</v>
      </c>
      <c r="B1946" s="940" t="s">
        <v>13921</v>
      </c>
      <c r="C1946" s="941" t="s">
        <v>13538</v>
      </c>
      <c r="D1946" s="942"/>
      <c r="E1946" s="943">
        <v>704.21</v>
      </c>
      <c r="F1946" s="944" t="s">
        <v>9</v>
      </c>
      <c r="G1946" s="945">
        <f>IF(F1946="X",0,E1946)</f>
        <v>0</v>
      </c>
      <c r="H1946" s="775"/>
    </row>
    <row r="1947" spans="1:8">
      <c r="A1947" s="1484"/>
      <c r="B1947" s="1485"/>
      <c r="C1947" s="1486" t="s">
        <v>13927</v>
      </c>
      <c r="D1947" s="1487"/>
      <c r="E1947" s="1488">
        <f>SUM(E1948:E1959)</f>
        <v>3324.04</v>
      </c>
      <c r="F1947" s="1489"/>
      <c r="G1947" s="1490"/>
      <c r="H1947" s="775">
        <f>E1957+E1958</f>
        <v>788.94</v>
      </c>
    </row>
    <row r="1948" spans="1:8">
      <c r="A1948" s="785">
        <v>44287</v>
      </c>
      <c r="B1948" s="337" t="s">
        <v>13905</v>
      </c>
      <c r="C1948" s="776" t="s">
        <v>13402</v>
      </c>
      <c r="D1948" s="134"/>
      <c r="E1948" s="135">
        <v>703.53</v>
      </c>
      <c r="F1948" s="46" t="s">
        <v>9</v>
      </c>
      <c r="G1948" s="749">
        <f t="shared" ref="G1948:G1959" si="141">IF(F1948="X",0,E1948)</f>
        <v>0</v>
      </c>
      <c r="H1948" s="775"/>
    </row>
    <row r="1949" spans="1:8">
      <c r="A1949" s="785">
        <v>44287</v>
      </c>
      <c r="B1949" s="337" t="s">
        <v>13909</v>
      </c>
      <c r="C1949" s="332" t="s">
        <v>13402</v>
      </c>
      <c r="D1949" s="134"/>
      <c r="E1949" s="135">
        <v>353.49</v>
      </c>
      <c r="F1949" s="46" t="s">
        <v>9</v>
      </c>
      <c r="G1949" s="749">
        <f t="shared" si="141"/>
        <v>0</v>
      </c>
      <c r="H1949" s="775"/>
    </row>
    <row r="1950" spans="1:8">
      <c r="A1950" s="785">
        <v>44287</v>
      </c>
      <c r="B1950" s="337" t="s">
        <v>13912</v>
      </c>
      <c r="C1950" s="332" t="s">
        <v>13567</v>
      </c>
      <c r="D1950" s="134"/>
      <c r="E1950" s="135">
        <v>78</v>
      </c>
      <c r="F1950" s="46" t="s">
        <v>9</v>
      </c>
      <c r="G1950" s="749">
        <f t="shared" si="141"/>
        <v>0</v>
      </c>
      <c r="H1950" s="775"/>
    </row>
    <row r="1951" spans="1:8">
      <c r="A1951" s="785">
        <v>44287</v>
      </c>
      <c r="B1951" s="337" t="s">
        <v>13924</v>
      </c>
      <c r="C1951" s="332" t="s">
        <v>13531</v>
      </c>
      <c r="D1951" s="134"/>
      <c r="E1951" s="135">
        <v>259.99</v>
      </c>
      <c r="F1951" s="46" t="s">
        <v>9</v>
      </c>
      <c r="G1951" s="749">
        <f t="shared" si="141"/>
        <v>0</v>
      </c>
      <c r="H1951" s="775"/>
    </row>
    <row r="1952" spans="1:8">
      <c r="A1952" s="785">
        <v>44287</v>
      </c>
      <c r="B1952" s="337" t="s">
        <v>13925</v>
      </c>
      <c r="C1952" s="332" t="s">
        <v>13531</v>
      </c>
      <c r="D1952" s="134"/>
      <c r="E1952" s="135">
        <v>233.33</v>
      </c>
      <c r="F1952" s="46" t="s">
        <v>9</v>
      </c>
      <c r="G1952" s="749">
        <f t="shared" si="141"/>
        <v>0</v>
      </c>
      <c r="H1952" s="775"/>
    </row>
    <row r="1953" spans="1:8">
      <c r="A1953" s="785">
        <v>44287</v>
      </c>
      <c r="B1953" s="337" t="s">
        <v>13926</v>
      </c>
      <c r="C1953" s="332" t="s">
        <v>13443</v>
      </c>
      <c r="D1953" s="134"/>
      <c r="E1953" s="135">
        <v>156.26</v>
      </c>
      <c r="F1953" s="46" t="s">
        <v>9</v>
      </c>
      <c r="G1953" s="749">
        <f t="shared" si="141"/>
        <v>0</v>
      </c>
      <c r="H1953" s="775"/>
    </row>
    <row r="1954" spans="1:8">
      <c r="A1954" s="785">
        <v>44287</v>
      </c>
      <c r="B1954" s="337" t="s">
        <v>13928</v>
      </c>
      <c r="C1954" s="332" t="s">
        <v>13521</v>
      </c>
      <c r="D1954" s="134"/>
      <c r="E1954" s="135">
        <v>166.67</v>
      </c>
      <c r="F1954" s="46" t="s">
        <v>9</v>
      </c>
      <c r="G1954" s="749">
        <f t="shared" si="141"/>
        <v>0</v>
      </c>
      <c r="H1954" s="775"/>
    </row>
    <row r="1955" spans="1:8">
      <c r="A1955" s="785">
        <v>44287</v>
      </c>
      <c r="B1955" s="337" t="s">
        <v>13929</v>
      </c>
      <c r="C1955" s="332" t="s">
        <v>13479</v>
      </c>
      <c r="D1955" s="134"/>
      <c r="E1955" s="135">
        <v>197.5</v>
      </c>
      <c r="F1955" s="46" t="s">
        <v>9</v>
      </c>
      <c r="G1955" s="749">
        <f t="shared" si="141"/>
        <v>0</v>
      </c>
      <c r="H1955" s="775"/>
    </row>
    <row r="1956" spans="1:8">
      <c r="A1956" s="785">
        <v>44287</v>
      </c>
      <c r="B1956" s="337" t="s">
        <v>13930</v>
      </c>
      <c r="C1956" s="776" t="s">
        <v>13459</v>
      </c>
      <c r="D1956" s="134"/>
      <c r="E1956" s="135">
        <v>53</v>
      </c>
      <c r="F1956" s="46" t="s">
        <v>9</v>
      </c>
      <c r="G1956" s="749">
        <f>IF(F1956="X",0,E1956)</f>
        <v>0</v>
      </c>
      <c r="H1956" s="775"/>
    </row>
    <row r="1957" spans="1:8">
      <c r="A1957" s="792">
        <v>44287</v>
      </c>
      <c r="B1957" s="793" t="s">
        <v>13915</v>
      </c>
      <c r="C1957" s="794" t="s">
        <v>13475</v>
      </c>
      <c r="D1957" s="795"/>
      <c r="E1957" s="796">
        <v>288.94</v>
      </c>
      <c r="F1957" s="797" t="s">
        <v>9</v>
      </c>
      <c r="G1957" s="798">
        <f t="shared" si="141"/>
        <v>0</v>
      </c>
      <c r="H1957" s="775"/>
    </row>
    <row r="1958" spans="1:8">
      <c r="A1958" s="792">
        <v>44287</v>
      </c>
      <c r="B1958" s="793" t="s">
        <v>13916</v>
      </c>
      <c r="C1958" s="794" t="s">
        <v>13475</v>
      </c>
      <c r="D1958" s="795"/>
      <c r="E1958" s="796">
        <v>500</v>
      </c>
      <c r="F1958" s="797" t="s">
        <v>9</v>
      </c>
      <c r="G1958" s="798">
        <f t="shared" si="141"/>
        <v>0</v>
      </c>
      <c r="H1958" s="775"/>
    </row>
    <row r="1959" spans="1:8">
      <c r="A1959" s="786">
        <v>44287</v>
      </c>
      <c r="B1959" s="787" t="s">
        <v>13931</v>
      </c>
      <c r="C1959" s="938" t="s">
        <v>13437</v>
      </c>
      <c r="D1959" s="789"/>
      <c r="E1959" s="790">
        <v>333.33</v>
      </c>
      <c r="F1959" s="791" t="s">
        <v>9</v>
      </c>
      <c r="G1959" s="750">
        <f t="shared" si="141"/>
        <v>0</v>
      </c>
      <c r="H1959" s="775"/>
    </row>
    <row r="1960" spans="1:8">
      <c r="A1960" s="1484"/>
      <c r="B1960" s="1485"/>
      <c r="C1960" s="1486" t="s">
        <v>11782</v>
      </c>
      <c r="D1960" s="1487"/>
      <c r="E1960" s="1488">
        <f>SUM(E1961:E1972)</f>
        <v>2763.15</v>
      </c>
      <c r="F1960" s="1489"/>
      <c r="G1960" s="1490"/>
      <c r="H1960" s="775">
        <f>E1970+E1971+E1972</f>
        <v>690.81000000000006</v>
      </c>
    </row>
    <row r="1961" spans="1:8">
      <c r="A1961" s="785">
        <v>44317</v>
      </c>
      <c r="B1961" s="337" t="s">
        <v>13932</v>
      </c>
      <c r="C1961" s="332" t="s">
        <v>13529</v>
      </c>
      <c r="D1961" s="134"/>
      <c r="E1961" s="135">
        <v>148.33000000000001</v>
      </c>
      <c r="F1961" s="46" t="s">
        <v>9</v>
      </c>
      <c r="G1961" s="749">
        <f t="shared" ref="G1961:G1969" si="142">IF(F1961="X",0,E1961)</f>
        <v>0</v>
      </c>
      <c r="H1961" s="775"/>
    </row>
    <row r="1962" spans="1:8">
      <c r="A1962" s="785">
        <v>44317</v>
      </c>
      <c r="B1962" s="337" t="s">
        <v>13905</v>
      </c>
      <c r="C1962" s="776" t="s">
        <v>13409</v>
      </c>
      <c r="D1962" s="134"/>
      <c r="E1962" s="135">
        <v>703.53</v>
      </c>
      <c r="F1962" s="46" t="s">
        <v>9</v>
      </c>
      <c r="G1962" s="749">
        <f t="shared" si="142"/>
        <v>0</v>
      </c>
      <c r="H1962" s="775"/>
    </row>
    <row r="1963" spans="1:8">
      <c r="A1963" s="785">
        <v>44317</v>
      </c>
      <c r="B1963" s="337" t="s">
        <v>13909</v>
      </c>
      <c r="C1963" s="332" t="s">
        <v>13409</v>
      </c>
      <c r="D1963" s="134"/>
      <c r="E1963" s="135">
        <v>353.49</v>
      </c>
      <c r="F1963" s="46" t="s">
        <v>9</v>
      </c>
      <c r="G1963" s="749">
        <f t="shared" si="142"/>
        <v>0</v>
      </c>
      <c r="H1963" s="775"/>
    </row>
    <row r="1964" spans="1:8">
      <c r="A1964" s="785">
        <v>44317</v>
      </c>
      <c r="B1964" s="337" t="s">
        <v>13912</v>
      </c>
      <c r="C1964" s="332" t="s">
        <v>13573</v>
      </c>
      <c r="D1964" s="134"/>
      <c r="E1964" s="135">
        <v>78</v>
      </c>
      <c r="F1964" s="46" t="s">
        <v>9</v>
      </c>
      <c r="G1964" s="749">
        <f t="shared" si="142"/>
        <v>0</v>
      </c>
      <c r="H1964" s="775"/>
    </row>
    <row r="1965" spans="1:8">
      <c r="A1965" s="785">
        <v>44317</v>
      </c>
      <c r="B1965" s="337" t="s">
        <v>13926</v>
      </c>
      <c r="C1965" s="332" t="s">
        <v>13448</v>
      </c>
      <c r="D1965" s="134"/>
      <c r="E1965" s="135">
        <v>156.26</v>
      </c>
      <c r="F1965" s="46" t="s">
        <v>9</v>
      </c>
      <c r="G1965" s="749">
        <f t="shared" si="142"/>
        <v>0</v>
      </c>
      <c r="H1965" s="775"/>
    </row>
    <row r="1966" spans="1:8">
      <c r="A1966" s="785">
        <v>44317</v>
      </c>
      <c r="B1966" s="337" t="s">
        <v>13928</v>
      </c>
      <c r="C1966" s="332" t="s">
        <v>13531</v>
      </c>
      <c r="D1966" s="134"/>
      <c r="E1966" s="135">
        <v>166.67</v>
      </c>
      <c r="F1966" s="46" t="s">
        <v>9</v>
      </c>
      <c r="G1966" s="749">
        <f t="shared" si="142"/>
        <v>0</v>
      </c>
      <c r="H1966" s="775"/>
    </row>
    <row r="1967" spans="1:8">
      <c r="A1967" s="785">
        <v>44317</v>
      </c>
      <c r="B1967" s="337" t="s">
        <v>13930</v>
      </c>
      <c r="C1967" s="776" t="s">
        <v>13481</v>
      </c>
      <c r="D1967" s="134"/>
      <c r="E1967" s="135">
        <v>53</v>
      </c>
      <c r="F1967" s="46" t="s">
        <v>9</v>
      </c>
      <c r="G1967" s="749">
        <f>IF(F1967="X",0,E1967)</f>
        <v>0</v>
      </c>
      <c r="H1967" s="775"/>
    </row>
    <row r="1968" spans="1:8">
      <c r="A1968" s="785">
        <v>44317</v>
      </c>
      <c r="B1968" s="1348" t="s">
        <v>13933</v>
      </c>
      <c r="C1968" s="776" t="s">
        <v>13437</v>
      </c>
      <c r="D1968" s="134"/>
      <c r="E1968" s="135">
        <v>79.73</v>
      </c>
      <c r="F1968" s="46" t="s">
        <v>9</v>
      </c>
      <c r="G1968" s="749">
        <f>IF(F1968="X",0,E1968)</f>
        <v>0</v>
      </c>
      <c r="H1968" s="775"/>
    </row>
    <row r="1969" spans="1:8">
      <c r="A1969" s="785">
        <v>44317</v>
      </c>
      <c r="B1969" s="337" t="s">
        <v>13931</v>
      </c>
      <c r="C1969" s="776" t="s">
        <v>13443</v>
      </c>
      <c r="D1969" s="134"/>
      <c r="E1969" s="135">
        <v>333.33</v>
      </c>
      <c r="F1969" s="46" t="s">
        <v>9</v>
      </c>
      <c r="G1969" s="749">
        <f t="shared" si="142"/>
        <v>0</v>
      </c>
      <c r="H1969" s="775"/>
    </row>
    <row r="1970" spans="1:8">
      <c r="A1970" s="792">
        <v>44317</v>
      </c>
      <c r="B1970" s="793" t="s">
        <v>13929</v>
      </c>
      <c r="C1970" s="794" t="s">
        <v>13485</v>
      </c>
      <c r="D1970" s="795"/>
      <c r="E1970" s="796">
        <v>197.5</v>
      </c>
      <c r="F1970" s="797" t="s">
        <v>9</v>
      </c>
      <c r="G1970" s="798">
        <f>IF(F1970="X",0,E1970)</f>
        <v>0</v>
      </c>
      <c r="H1970" s="775"/>
    </row>
    <row r="1971" spans="1:8">
      <c r="A1971" s="792">
        <v>44317</v>
      </c>
      <c r="B1971" s="793" t="s">
        <v>13925</v>
      </c>
      <c r="C1971" s="794" t="s">
        <v>13538</v>
      </c>
      <c r="D1971" s="795"/>
      <c r="E1971" s="796">
        <v>233.33</v>
      </c>
      <c r="F1971" s="797" t="s">
        <v>9</v>
      </c>
      <c r="G1971" s="798">
        <f>IF(F1971="X",0,E1971)</f>
        <v>0</v>
      </c>
      <c r="H1971" s="775"/>
    </row>
    <row r="1972" spans="1:8">
      <c r="A1972" s="939">
        <v>44317</v>
      </c>
      <c r="B1972" s="940" t="s">
        <v>13924</v>
      </c>
      <c r="C1972" s="941" t="s">
        <v>13538</v>
      </c>
      <c r="D1972" s="942"/>
      <c r="E1972" s="943">
        <v>259.98</v>
      </c>
      <c r="F1972" s="944" t="s">
        <v>9</v>
      </c>
      <c r="G1972" s="945">
        <f>IF(F1972="X",0,E1972)</f>
        <v>0</v>
      </c>
      <c r="H1972" s="775"/>
    </row>
    <row r="1973" spans="1:8">
      <c r="A1973" s="1484"/>
      <c r="B1973" s="1485"/>
      <c r="C1973" s="1486" t="s">
        <v>11797</v>
      </c>
      <c r="D1973" s="1487"/>
      <c r="E1973" s="1488">
        <f>SUM(E1974:E1983)</f>
        <v>2272.84</v>
      </c>
      <c r="F1973" s="1489"/>
      <c r="G1973" s="1490"/>
      <c r="H1973" s="775">
        <f>E1982+E1983+E1981</f>
        <v>1223.69</v>
      </c>
    </row>
    <row r="1974" spans="1:8">
      <c r="A1974" s="785">
        <v>44348</v>
      </c>
      <c r="B1974" s="337" t="s">
        <v>13932</v>
      </c>
      <c r="C1974" s="332" t="s">
        <v>13537</v>
      </c>
      <c r="D1974" s="134"/>
      <c r="E1974" s="135">
        <v>148.33000000000001</v>
      </c>
      <c r="F1974" s="46" t="s">
        <v>9</v>
      </c>
      <c r="G1974" s="749">
        <f>IF(F1974="X",0,E1974)</f>
        <v>0</v>
      </c>
      <c r="H1974" s="775"/>
    </row>
    <row r="1975" spans="1:8">
      <c r="A1975" s="785">
        <v>44348</v>
      </c>
      <c r="B1975" s="337" t="s">
        <v>13926</v>
      </c>
      <c r="C1975" s="332" t="s">
        <v>13454</v>
      </c>
      <c r="D1975" s="134"/>
      <c r="E1975" s="135">
        <v>156.26</v>
      </c>
      <c r="F1975" s="46" t="s">
        <v>9</v>
      </c>
      <c r="G1975" s="749">
        <f t="shared" ref="G1975:G1980" si="143">IF(F1975="X",0,E1975)</f>
        <v>0</v>
      </c>
      <c r="H1975" s="775"/>
    </row>
    <row r="1976" spans="1:8">
      <c r="A1976" s="785">
        <v>44348</v>
      </c>
      <c r="B1976" s="337" t="s">
        <v>13933</v>
      </c>
      <c r="C1976" s="776" t="s">
        <v>13443</v>
      </c>
      <c r="D1976" s="134"/>
      <c r="E1976" s="135">
        <v>79.73</v>
      </c>
      <c r="F1976" s="46" t="s">
        <v>9</v>
      </c>
      <c r="G1976" s="749">
        <f t="shared" si="143"/>
        <v>0</v>
      </c>
      <c r="H1976" s="775"/>
    </row>
    <row r="1977" spans="1:8">
      <c r="A1977" s="785">
        <v>44348</v>
      </c>
      <c r="B1977" s="337" t="s">
        <v>13912</v>
      </c>
      <c r="C1977" s="332" t="s">
        <v>13580</v>
      </c>
      <c r="D1977" s="134"/>
      <c r="E1977" s="135">
        <v>78</v>
      </c>
      <c r="F1977" s="46" t="s">
        <v>9</v>
      </c>
      <c r="G1977" s="749">
        <f t="shared" si="143"/>
        <v>0</v>
      </c>
      <c r="H1977" s="775"/>
    </row>
    <row r="1978" spans="1:8">
      <c r="A1978" s="785">
        <v>44348</v>
      </c>
      <c r="B1978" s="337" t="s">
        <v>13930</v>
      </c>
      <c r="C1978" s="776" t="s">
        <v>13489</v>
      </c>
      <c r="D1978" s="134"/>
      <c r="E1978" s="135">
        <v>53</v>
      </c>
      <c r="F1978" s="46" t="s">
        <v>9</v>
      </c>
      <c r="G1978" s="749">
        <f t="shared" si="143"/>
        <v>0</v>
      </c>
      <c r="H1978" s="775"/>
    </row>
    <row r="1979" spans="1:8">
      <c r="A1979" s="785">
        <v>44348</v>
      </c>
      <c r="B1979" s="337" t="s">
        <v>13931</v>
      </c>
      <c r="C1979" s="776" t="s">
        <v>13448</v>
      </c>
      <c r="D1979" s="134"/>
      <c r="E1979" s="135">
        <v>333.33</v>
      </c>
      <c r="F1979" s="46" t="s">
        <v>9</v>
      </c>
      <c r="G1979" s="749">
        <f t="shared" si="143"/>
        <v>0</v>
      </c>
      <c r="H1979" s="775"/>
    </row>
    <row r="1980" spans="1:8">
      <c r="A1980" s="785">
        <v>44348</v>
      </c>
      <c r="B1980" s="337" t="s">
        <v>13934</v>
      </c>
      <c r="C1980" s="776" t="s">
        <v>13479</v>
      </c>
      <c r="D1980" s="134"/>
      <c r="E1980" s="135">
        <v>200.5</v>
      </c>
      <c r="F1980" s="46" t="s">
        <v>9</v>
      </c>
      <c r="G1980" s="749">
        <f t="shared" si="143"/>
        <v>0</v>
      </c>
      <c r="H1980" s="775"/>
    </row>
    <row r="1981" spans="1:8">
      <c r="A1981" s="792">
        <v>44348</v>
      </c>
      <c r="B1981" s="793" t="s">
        <v>13928</v>
      </c>
      <c r="C1981" s="794" t="s">
        <v>13538</v>
      </c>
      <c r="D1981" s="795"/>
      <c r="E1981" s="796">
        <v>166.67</v>
      </c>
      <c r="F1981" s="797" t="s">
        <v>9</v>
      </c>
      <c r="G1981" s="798">
        <f>IF(F1981="X",0,E1981)</f>
        <v>0</v>
      </c>
      <c r="H1981" s="775"/>
    </row>
    <row r="1982" spans="1:8">
      <c r="A1982" s="792">
        <v>44348</v>
      </c>
      <c r="B1982" s="793" t="s">
        <v>13905</v>
      </c>
      <c r="C1982" s="794" t="s">
        <v>13414</v>
      </c>
      <c r="D1982" s="795"/>
      <c r="E1982" s="796">
        <v>703.53</v>
      </c>
      <c r="F1982" s="797" t="s">
        <v>9</v>
      </c>
      <c r="G1982" s="798">
        <f>IF(F1982="X",0,E1982)</f>
        <v>0</v>
      </c>
      <c r="H1982" s="775"/>
    </row>
    <row r="1983" spans="1:8">
      <c r="A1983" s="939">
        <v>44348</v>
      </c>
      <c r="B1983" s="940" t="s">
        <v>13909</v>
      </c>
      <c r="C1983" s="941" t="s">
        <v>13414</v>
      </c>
      <c r="D1983" s="942"/>
      <c r="E1983" s="943">
        <v>353.49</v>
      </c>
      <c r="F1983" s="944" t="s">
        <v>9</v>
      </c>
      <c r="G1983" s="945">
        <f>IF(F1983="X",0,E1983)</f>
        <v>0</v>
      </c>
      <c r="H1983" s="775"/>
    </row>
    <row r="1984" spans="1:8">
      <c r="A1984" s="1484"/>
      <c r="B1984" s="1485"/>
      <c r="C1984" s="1486" t="s">
        <v>11644</v>
      </c>
      <c r="D1984" s="1487"/>
      <c r="E1984" s="1488">
        <f>SUM(E1985:E1993)</f>
        <v>1781.08</v>
      </c>
      <c r="F1984" s="1489"/>
      <c r="G1984" s="1490"/>
      <c r="H1984" s="775">
        <f>E1993+E1992</f>
        <v>253.5</v>
      </c>
    </row>
    <row r="1985" spans="1:8">
      <c r="A1985" s="785">
        <v>44378</v>
      </c>
      <c r="B1985" s="337" t="s">
        <v>13932</v>
      </c>
      <c r="C1985" s="332" t="s">
        <v>13542</v>
      </c>
      <c r="D1985" s="134"/>
      <c r="E1985" s="135">
        <v>148.33000000000001</v>
      </c>
      <c r="F1985" s="46" t="s">
        <v>9</v>
      </c>
      <c r="G1985" s="749">
        <f t="shared" ref="G1985:G1993" si="144">IF(F1985="X",0,E1985)</f>
        <v>0</v>
      </c>
      <c r="H1985" s="775"/>
    </row>
    <row r="1986" spans="1:8">
      <c r="A1986" s="785">
        <v>44378</v>
      </c>
      <c r="B1986" s="337" t="s">
        <v>13926</v>
      </c>
      <c r="C1986" s="332" t="s">
        <v>13467</v>
      </c>
      <c r="D1986" s="134"/>
      <c r="E1986" s="135">
        <v>156.26</v>
      </c>
      <c r="F1986" s="46" t="s">
        <v>9</v>
      </c>
      <c r="G1986" s="749">
        <f t="shared" si="144"/>
        <v>0</v>
      </c>
      <c r="H1986" s="775"/>
    </row>
    <row r="1987" spans="1:8">
      <c r="A1987" s="785">
        <v>44378</v>
      </c>
      <c r="B1987" s="337" t="s">
        <v>13912</v>
      </c>
      <c r="C1987" s="332" t="s">
        <v>13583</v>
      </c>
      <c r="D1987" s="134"/>
      <c r="E1987" s="135">
        <v>78</v>
      </c>
      <c r="F1987" s="46" t="s">
        <v>9</v>
      </c>
      <c r="G1987" s="749">
        <f t="shared" si="144"/>
        <v>0</v>
      </c>
      <c r="H1987" s="775"/>
    </row>
    <row r="1988" spans="1:8">
      <c r="A1988" s="785">
        <v>44378</v>
      </c>
      <c r="B1988" s="337" t="s">
        <v>13933</v>
      </c>
      <c r="C1988" s="776" t="s">
        <v>13448</v>
      </c>
      <c r="D1988" s="134"/>
      <c r="E1988" s="135">
        <v>79.73</v>
      </c>
      <c r="F1988" s="46" t="s">
        <v>9</v>
      </c>
      <c r="G1988" s="749">
        <f t="shared" si="144"/>
        <v>0</v>
      </c>
      <c r="H1988" s="775"/>
    </row>
    <row r="1989" spans="1:8">
      <c r="A1989" s="785">
        <v>44378</v>
      </c>
      <c r="B1989" s="337" t="s">
        <v>13931</v>
      </c>
      <c r="C1989" s="776" t="s">
        <v>13454</v>
      </c>
      <c r="D1989" s="134"/>
      <c r="E1989" s="135">
        <v>333.33</v>
      </c>
      <c r="F1989" s="46" t="s">
        <v>9</v>
      </c>
      <c r="G1989" s="749">
        <f t="shared" si="144"/>
        <v>0</v>
      </c>
      <c r="H1989" s="775"/>
    </row>
    <row r="1990" spans="1:8">
      <c r="A1990" s="785">
        <v>44378</v>
      </c>
      <c r="B1990" s="337" t="s">
        <v>13935</v>
      </c>
      <c r="C1990" s="776" t="s">
        <v>13437</v>
      </c>
      <c r="D1990" s="134"/>
      <c r="E1990" s="135">
        <v>573.33000000000004</v>
      </c>
      <c r="F1990" s="46" t="s">
        <v>9</v>
      </c>
      <c r="G1990" s="749">
        <f t="shared" si="144"/>
        <v>0</v>
      </c>
      <c r="H1990" s="775"/>
    </row>
    <row r="1991" spans="1:8">
      <c r="A1991" s="785">
        <v>44378</v>
      </c>
      <c r="B1991" s="337" t="s">
        <v>13936</v>
      </c>
      <c r="C1991" s="776" t="s">
        <v>13521</v>
      </c>
      <c r="D1991" s="134"/>
      <c r="E1991" s="135">
        <v>158.6</v>
      </c>
      <c r="F1991" s="46" t="s">
        <v>9</v>
      </c>
      <c r="G1991" s="749">
        <f t="shared" si="144"/>
        <v>0</v>
      </c>
      <c r="H1991" s="775"/>
    </row>
    <row r="1992" spans="1:8">
      <c r="A1992" s="792">
        <v>44378</v>
      </c>
      <c r="B1992" s="793" t="s">
        <v>13934</v>
      </c>
      <c r="C1992" s="794" t="s">
        <v>13485</v>
      </c>
      <c r="D1992" s="795"/>
      <c r="E1992" s="796">
        <v>200.5</v>
      </c>
      <c r="F1992" s="797" t="s">
        <v>9</v>
      </c>
      <c r="G1992" s="798">
        <f t="shared" si="144"/>
        <v>0</v>
      </c>
      <c r="H1992" s="775"/>
    </row>
    <row r="1993" spans="1:8">
      <c r="A1993" s="939">
        <v>44378</v>
      </c>
      <c r="B1993" s="940" t="s">
        <v>13930</v>
      </c>
      <c r="C1993" s="941" t="s">
        <v>13493</v>
      </c>
      <c r="D1993" s="942"/>
      <c r="E1993" s="943">
        <v>53</v>
      </c>
      <c r="F1993" s="944" t="s">
        <v>9</v>
      </c>
      <c r="G1993" s="945">
        <f t="shared" si="144"/>
        <v>0</v>
      </c>
      <c r="H1993" s="775"/>
    </row>
    <row r="1994" spans="1:8">
      <c r="A1994" s="1484"/>
      <c r="B1994" s="1485"/>
      <c r="C1994" s="1486" t="s">
        <v>13937</v>
      </c>
      <c r="D1994" s="1487"/>
      <c r="E1994" s="1488">
        <f>SUM(E1995:E2001)</f>
        <v>1527.58</v>
      </c>
      <c r="F1994" s="1489"/>
      <c r="G1994" s="1490"/>
      <c r="H1994" s="775">
        <f>E2001</f>
        <v>156.26</v>
      </c>
    </row>
    <row r="1995" spans="1:8">
      <c r="A1995" s="785">
        <v>44409</v>
      </c>
      <c r="B1995" s="337" t="s">
        <v>13932</v>
      </c>
      <c r="C1995" s="332" t="s">
        <v>13550</v>
      </c>
      <c r="D1995" s="134"/>
      <c r="E1995" s="135">
        <v>148.33000000000001</v>
      </c>
      <c r="F1995" s="46" t="s">
        <v>9</v>
      </c>
      <c r="G1995" s="749">
        <f t="shared" ref="G1995:G2000" si="145">IF(F1995="X",0,E1995)</f>
        <v>0</v>
      </c>
      <c r="H1995" s="775"/>
    </row>
    <row r="1996" spans="1:8">
      <c r="A1996" s="785">
        <v>44409</v>
      </c>
      <c r="B1996" s="337" t="s">
        <v>13933</v>
      </c>
      <c r="C1996" s="776" t="s">
        <v>13454</v>
      </c>
      <c r="D1996" s="134"/>
      <c r="E1996" s="135">
        <v>79.73</v>
      </c>
      <c r="F1996" s="46" t="s">
        <v>9</v>
      </c>
      <c r="G1996" s="749">
        <f t="shared" si="145"/>
        <v>0</v>
      </c>
      <c r="H1996" s="775"/>
    </row>
    <row r="1997" spans="1:8">
      <c r="A1997" s="785">
        <v>44409</v>
      </c>
      <c r="B1997" s="337" t="s">
        <v>13912</v>
      </c>
      <c r="C1997" s="332" t="s">
        <v>13587</v>
      </c>
      <c r="D1997" s="134"/>
      <c r="E1997" s="135">
        <v>78</v>
      </c>
      <c r="F1997" s="46" t="s">
        <v>9</v>
      </c>
      <c r="G1997" s="749">
        <f t="shared" si="145"/>
        <v>0</v>
      </c>
      <c r="H1997" s="775"/>
    </row>
    <row r="1998" spans="1:8">
      <c r="A1998" s="785">
        <v>44409</v>
      </c>
      <c r="B1998" s="337" t="s">
        <v>13931</v>
      </c>
      <c r="C1998" s="776" t="s">
        <v>13467</v>
      </c>
      <c r="D1998" s="134"/>
      <c r="E1998" s="135">
        <v>333.33</v>
      </c>
      <c r="F1998" s="46" t="s">
        <v>9</v>
      </c>
      <c r="G1998" s="749">
        <f t="shared" si="145"/>
        <v>0</v>
      </c>
      <c r="H1998" s="775"/>
    </row>
    <row r="1999" spans="1:8">
      <c r="A1999" s="785">
        <v>44409</v>
      </c>
      <c r="B1999" s="337" t="s">
        <v>13935</v>
      </c>
      <c r="C1999" s="776" t="s">
        <v>13443</v>
      </c>
      <c r="D1999" s="134"/>
      <c r="E1999" s="135">
        <v>573.33000000000004</v>
      </c>
      <c r="F1999" s="46" t="s">
        <v>9</v>
      </c>
      <c r="G1999" s="749">
        <f t="shared" si="145"/>
        <v>0</v>
      </c>
      <c r="H1999" s="775"/>
    </row>
    <row r="2000" spans="1:8">
      <c r="A2000" s="785">
        <v>44409</v>
      </c>
      <c r="B2000" s="337" t="s">
        <v>13936</v>
      </c>
      <c r="C2000" s="776" t="s">
        <v>13531</v>
      </c>
      <c r="D2000" s="134"/>
      <c r="E2000" s="135">
        <v>158.6</v>
      </c>
      <c r="F2000" s="46" t="s">
        <v>9</v>
      </c>
      <c r="G2000" s="749">
        <f t="shared" si="145"/>
        <v>0</v>
      </c>
      <c r="H2000" s="775"/>
    </row>
    <row r="2001" spans="1:8">
      <c r="A2001" s="939">
        <v>44409</v>
      </c>
      <c r="B2001" s="940" t="s">
        <v>13926</v>
      </c>
      <c r="C2001" s="941" t="s">
        <v>13475</v>
      </c>
      <c r="D2001" s="942"/>
      <c r="E2001" s="943">
        <v>156.26</v>
      </c>
      <c r="F2001" s="944" t="s">
        <v>9</v>
      </c>
      <c r="G2001" s="945">
        <f>IF(F2001="X",0,E2001)</f>
        <v>0</v>
      </c>
      <c r="H2001" s="775"/>
    </row>
    <row r="2002" spans="1:8">
      <c r="A2002" s="1484"/>
      <c r="B2002" s="1485"/>
      <c r="C2002" s="1486" t="s">
        <v>13938</v>
      </c>
      <c r="D2002" s="1487"/>
      <c r="E2002" s="1488">
        <f>SUM(E2003:E2008)</f>
        <v>1371.3200000000002</v>
      </c>
      <c r="F2002" s="1489"/>
      <c r="G2002" s="1490"/>
      <c r="H2002" s="775">
        <f>E2008+E2007+E2006</f>
        <v>569.92999999999995</v>
      </c>
    </row>
    <row r="2003" spans="1:8">
      <c r="A2003" s="454">
        <v>44440</v>
      </c>
      <c r="B2003" s="337" t="s">
        <v>13932</v>
      </c>
      <c r="C2003" s="332" t="s">
        <v>13554</v>
      </c>
      <c r="D2003" s="134"/>
      <c r="E2003" s="135">
        <v>148.33000000000001</v>
      </c>
      <c r="F2003" s="46" t="s">
        <v>9</v>
      </c>
      <c r="G2003" s="749">
        <f t="shared" ref="G2003:G2008" si="146">IF(F2003="X",0,E2003)</f>
        <v>0</v>
      </c>
      <c r="H2003" s="775"/>
    </row>
    <row r="2004" spans="1:8">
      <c r="A2004" s="454">
        <v>44440</v>
      </c>
      <c r="B2004" s="337" t="s">
        <v>13933</v>
      </c>
      <c r="C2004" s="776" t="s">
        <v>13467</v>
      </c>
      <c r="D2004" s="134"/>
      <c r="E2004" s="135">
        <v>79.73</v>
      </c>
      <c r="F2004" s="46" t="s">
        <v>9</v>
      </c>
      <c r="G2004" s="155">
        <f t="shared" si="146"/>
        <v>0</v>
      </c>
      <c r="H2004" s="775"/>
    </row>
    <row r="2005" spans="1:8">
      <c r="A2005" s="785">
        <v>44440</v>
      </c>
      <c r="B2005" s="337" t="s">
        <v>13935</v>
      </c>
      <c r="C2005" s="776" t="s">
        <v>13448</v>
      </c>
      <c r="D2005" s="134"/>
      <c r="E2005" s="135">
        <v>573.33000000000004</v>
      </c>
      <c r="F2005" s="46" t="s">
        <v>9</v>
      </c>
      <c r="G2005" s="749">
        <f t="shared" si="146"/>
        <v>0</v>
      </c>
      <c r="H2005" s="775"/>
    </row>
    <row r="2006" spans="1:8">
      <c r="A2006" s="792">
        <v>44440</v>
      </c>
      <c r="B2006" s="793" t="s">
        <v>13936</v>
      </c>
      <c r="C2006" s="794" t="s">
        <v>13538</v>
      </c>
      <c r="D2006" s="795"/>
      <c r="E2006" s="796">
        <v>158.6</v>
      </c>
      <c r="F2006" s="797" t="s">
        <v>9</v>
      </c>
      <c r="G2006" s="798">
        <f t="shared" si="146"/>
        <v>0</v>
      </c>
      <c r="H2006" s="775"/>
    </row>
    <row r="2007" spans="1:8">
      <c r="A2007" s="792">
        <v>44440</v>
      </c>
      <c r="B2007" s="793" t="s">
        <v>13931</v>
      </c>
      <c r="C2007" s="794" t="s">
        <v>13475</v>
      </c>
      <c r="D2007" s="795"/>
      <c r="E2007" s="796">
        <v>333.33</v>
      </c>
      <c r="F2007" s="797" t="s">
        <v>9</v>
      </c>
      <c r="G2007" s="798">
        <f t="shared" si="146"/>
        <v>0</v>
      </c>
      <c r="H2007" s="775"/>
    </row>
    <row r="2008" spans="1:8">
      <c r="A2008" s="792">
        <v>44440</v>
      </c>
      <c r="B2008" s="793" t="s">
        <v>13912</v>
      </c>
      <c r="C2008" s="794" t="s">
        <v>13590</v>
      </c>
      <c r="D2008" s="795"/>
      <c r="E2008" s="796">
        <v>78</v>
      </c>
      <c r="F2008" s="797" t="s">
        <v>9</v>
      </c>
      <c r="G2008" s="798">
        <f t="shared" si="146"/>
        <v>0</v>
      </c>
      <c r="H2008" s="775"/>
    </row>
    <row r="2009" spans="1:8">
      <c r="A2009" s="1484"/>
      <c r="B2009" s="1485"/>
      <c r="C2009" s="1486" t="s">
        <v>8251</v>
      </c>
      <c r="D2009" s="1487"/>
      <c r="E2009" s="1488">
        <f>SUM(E2010:E2013)</f>
        <v>1031.18</v>
      </c>
      <c r="F2009" s="1489"/>
      <c r="G2009" s="1490"/>
      <c r="H2009" s="775">
        <f>E2011</f>
        <v>79.73</v>
      </c>
    </row>
    <row r="2010" spans="1:8">
      <c r="A2010" s="785">
        <v>44470</v>
      </c>
      <c r="B2010" s="337" t="s">
        <v>13932</v>
      </c>
      <c r="C2010" s="332" t="s">
        <v>13561</v>
      </c>
      <c r="D2010" s="134"/>
      <c r="E2010" s="135">
        <v>148.33000000000001</v>
      </c>
      <c r="F2010" s="46" t="s">
        <v>9</v>
      </c>
      <c r="G2010" s="749">
        <f>IF(F2010="X",0,E2010)</f>
        <v>0</v>
      </c>
      <c r="H2010" s="775"/>
    </row>
    <row r="2011" spans="1:8">
      <c r="A2011" s="792">
        <v>44470</v>
      </c>
      <c r="B2011" s="793" t="s">
        <v>13933</v>
      </c>
      <c r="C2011" s="794" t="s">
        <v>13475</v>
      </c>
      <c r="D2011" s="795"/>
      <c r="E2011" s="796">
        <v>79.73</v>
      </c>
      <c r="F2011" s="797" t="s">
        <v>9</v>
      </c>
      <c r="G2011" s="798">
        <f>IF(F2011="X",0,E2011)</f>
        <v>0</v>
      </c>
      <c r="H2011" s="775"/>
    </row>
    <row r="2012" spans="1:8">
      <c r="A2012" s="785">
        <v>44470</v>
      </c>
      <c r="B2012" s="337" t="s">
        <v>13935</v>
      </c>
      <c r="C2012" s="776" t="s">
        <v>13454</v>
      </c>
      <c r="D2012" s="134"/>
      <c r="E2012" s="135">
        <v>573.33000000000004</v>
      </c>
      <c r="F2012" s="46" t="s">
        <v>9</v>
      </c>
      <c r="G2012" s="749">
        <f>IF(F2012="X",0,E2012)</f>
        <v>0</v>
      </c>
      <c r="H2012" s="775"/>
    </row>
    <row r="2013" spans="1:8">
      <c r="A2013" s="786">
        <v>44470</v>
      </c>
      <c r="B2013" s="787" t="s">
        <v>13939</v>
      </c>
      <c r="C2013" s="938" t="s">
        <v>13529</v>
      </c>
      <c r="D2013" s="789"/>
      <c r="E2013" s="790">
        <v>229.79</v>
      </c>
      <c r="F2013" s="791" t="s">
        <v>9</v>
      </c>
      <c r="G2013" s="750">
        <f>IF(F2013="X",0,E2013)</f>
        <v>0</v>
      </c>
      <c r="H2013" s="775"/>
    </row>
    <row r="2014" spans="1:8">
      <c r="A2014" s="1484"/>
      <c r="B2014" s="1485"/>
      <c r="C2014" s="1486" t="s">
        <v>1604</v>
      </c>
      <c r="D2014" s="1487"/>
      <c r="E2014" s="1488">
        <f>SUM(E2015:E2019)</f>
        <v>1457.55</v>
      </c>
      <c r="F2014" s="1489"/>
      <c r="G2014" s="1490"/>
      <c r="H2014" s="775"/>
    </row>
    <row r="2015" spans="1:8">
      <c r="A2015" s="785">
        <v>44501</v>
      </c>
      <c r="B2015" s="337" t="s">
        <v>13932</v>
      </c>
      <c r="C2015" s="332" t="s">
        <v>13567</v>
      </c>
      <c r="D2015" s="134"/>
      <c r="E2015" s="135">
        <v>148.33000000000001</v>
      </c>
      <c r="F2015" s="46" t="s">
        <v>9</v>
      </c>
      <c r="G2015" s="749">
        <f>IF(F2015="X",0,E2015)</f>
        <v>0</v>
      </c>
      <c r="H2015" s="775"/>
    </row>
    <row r="2016" spans="1:8">
      <c r="A2016" s="785">
        <v>44501</v>
      </c>
      <c r="B2016" s="337" t="s">
        <v>13935</v>
      </c>
      <c r="C2016" s="776" t="s">
        <v>13467</v>
      </c>
      <c r="D2016" s="134"/>
      <c r="E2016" s="135">
        <v>573.33000000000004</v>
      </c>
      <c r="F2016" s="46" t="s">
        <v>9</v>
      </c>
      <c r="G2016" s="749">
        <f>IF(F2016="X",0,E2016)</f>
        <v>0</v>
      </c>
      <c r="H2016" s="775"/>
    </row>
    <row r="2017" spans="1:8">
      <c r="A2017" s="785">
        <v>44501</v>
      </c>
      <c r="B2017" s="337" t="s">
        <v>13939</v>
      </c>
      <c r="C2017" s="776" t="s">
        <v>13537</v>
      </c>
      <c r="D2017" s="134"/>
      <c r="E2017" s="135">
        <v>229.79</v>
      </c>
      <c r="F2017" s="46" t="s">
        <v>9</v>
      </c>
      <c r="G2017" s="749">
        <f>IF(F2017="X",0,E2017)</f>
        <v>0</v>
      </c>
      <c r="H2017" s="775"/>
    </row>
    <row r="2018" spans="1:8">
      <c r="A2018" s="785">
        <v>44501</v>
      </c>
      <c r="B2018" s="337" t="s">
        <v>13940</v>
      </c>
      <c r="C2018" s="776" t="s">
        <v>13437</v>
      </c>
      <c r="D2018" s="134"/>
      <c r="E2018" s="135">
        <v>254</v>
      </c>
      <c r="F2018" s="46" t="s">
        <v>9</v>
      </c>
      <c r="G2018" s="749">
        <f>IF(F2018="X",0,E2018)</f>
        <v>0</v>
      </c>
      <c r="H2018" s="775"/>
    </row>
    <row r="2019" spans="1:8">
      <c r="A2019" s="786">
        <v>44501</v>
      </c>
      <c r="B2019" s="787" t="s">
        <v>13941</v>
      </c>
      <c r="C2019" s="938" t="s">
        <v>13437</v>
      </c>
      <c r="D2019" s="789"/>
      <c r="E2019" s="790">
        <v>252.1</v>
      </c>
      <c r="F2019" s="791" t="s">
        <v>9</v>
      </c>
      <c r="G2019" s="750">
        <f>IF(F2019="X",0,E2019)</f>
        <v>0</v>
      </c>
      <c r="H2019" s="775"/>
    </row>
    <row r="2020" spans="1:8">
      <c r="A2020" s="1484"/>
      <c r="B2020" s="1485"/>
      <c r="C2020" s="1486" t="s">
        <v>1605</v>
      </c>
      <c r="D2020" s="1487"/>
      <c r="E2020" s="1488">
        <f>SUM(E2021:E2025)</f>
        <v>1457.55</v>
      </c>
      <c r="F2020" s="1489"/>
      <c r="G2020" s="1490"/>
      <c r="H2020" s="775">
        <f>E2022</f>
        <v>573.33000000000004</v>
      </c>
    </row>
    <row r="2021" spans="1:8">
      <c r="A2021" s="785">
        <v>44531</v>
      </c>
      <c r="B2021" s="337" t="s">
        <v>13932</v>
      </c>
      <c r="C2021" s="332" t="s">
        <v>13573</v>
      </c>
      <c r="D2021" s="134"/>
      <c r="E2021" s="135">
        <v>148.33000000000001</v>
      </c>
      <c r="F2021" s="46" t="s">
        <v>9</v>
      </c>
      <c r="G2021" s="749">
        <f>IF(F2021="X",0,E2021)</f>
        <v>0</v>
      </c>
      <c r="H2021" s="775"/>
    </row>
    <row r="2022" spans="1:8">
      <c r="A2022" s="792">
        <v>44531</v>
      </c>
      <c r="B2022" s="793" t="s">
        <v>13935</v>
      </c>
      <c r="C2022" s="794" t="s">
        <v>13475</v>
      </c>
      <c r="D2022" s="795"/>
      <c r="E2022" s="796">
        <v>573.33000000000004</v>
      </c>
      <c r="F2022" s="797" t="s">
        <v>9</v>
      </c>
      <c r="G2022" s="798">
        <f>IF(F2022="X",0,E2022)</f>
        <v>0</v>
      </c>
      <c r="H2022" s="775"/>
    </row>
    <row r="2023" spans="1:8">
      <c r="A2023" s="785">
        <v>44531</v>
      </c>
      <c r="B2023" s="337" t="s">
        <v>13939</v>
      </c>
      <c r="C2023" s="776" t="s">
        <v>13542</v>
      </c>
      <c r="D2023" s="134"/>
      <c r="E2023" s="135">
        <v>229.79</v>
      </c>
      <c r="F2023" s="46" t="s">
        <v>9</v>
      </c>
      <c r="G2023" s="749">
        <f>IF(F2023="X",0,E2023)</f>
        <v>0</v>
      </c>
      <c r="H2023" s="775"/>
    </row>
    <row r="2024" spans="1:8">
      <c r="A2024" s="785">
        <v>44531</v>
      </c>
      <c r="B2024" s="337" t="s">
        <v>13940</v>
      </c>
      <c r="C2024" s="776" t="s">
        <v>13443</v>
      </c>
      <c r="D2024" s="134"/>
      <c r="E2024" s="135">
        <v>254</v>
      </c>
      <c r="F2024" s="46" t="s">
        <v>9</v>
      </c>
      <c r="G2024" s="749">
        <f>IF(F2024="X",0,E2024)</f>
        <v>0</v>
      </c>
      <c r="H2024" s="775"/>
    </row>
    <row r="2025" spans="1:8">
      <c r="A2025" s="786">
        <v>44531</v>
      </c>
      <c r="B2025" s="787" t="s">
        <v>13941</v>
      </c>
      <c r="C2025" s="938" t="s">
        <v>13443</v>
      </c>
      <c r="D2025" s="789"/>
      <c r="E2025" s="790">
        <v>252.1</v>
      </c>
      <c r="F2025" s="791" t="s">
        <v>9</v>
      </c>
      <c r="G2025" s="750">
        <f>IF(F2025="X",0,E2025)</f>
        <v>0</v>
      </c>
      <c r="H2025" s="775"/>
    </row>
    <row r="2026" spans="1:8">
      <c r="A2026" s="1484"/>
      <c r="B2026" s="1485"/>
      <c r="C2026" s="1486" t="s">
        <v>1606</v>
      </c>
      <c r="D2026" s="1487"/>
      <c r="E2026" s="1488">
        <f>SUM(E2027:E2034)</f>
        <v>1806.3999999999999</v>
      </c>
      <c r="F2026" s="1489"/>
      <c r="G2026" s="1490"/>
      <c r="H2026" s="775"/>
    </row>
    <row r="2027" spans="1:8">
      <c r="A2027" s="454">
        <v>44562</v>
      </c>
      <c r="B2027" s="337" t="s">
        <v>13932</v>
      </c>
      <c r="C2027" s="332" t="s">
        <v>13580</v>
      </c>
      <c r="D2027" s="134"/>
      <c r="E2027" s="135">
        <v>148.33000000000001</v>
      </c>
      <c r="F2027" s="46" t="s">
        <v>9</v>
      </c>
      <c r="G2027" s="749">
        <f t="shared" ref="G2027:G2034" si="147">IF(F2027="X",0,E2027)</f>
        <v>0</v>
      </c>
      <c r="H2027" s="775"/>
    </row>
    <row r="2028" spans="1:8">
      <c r="A2028" s="454">
        <v>44562</v>
      </c>
      <c r="B2028" s="337" t="s">
        <v>13939</v>
      </c>
      <c r="C2028" s="776" t="s">
        <v>13550</v>
      </c>
      <c r="D2028" s="134"/>
      <c r="E2028" s="135">
        <v>229.79</v>
      </c>
      <c r="F2028" s="46" t="s">
        <v>9</v>
      </c>
      <c r="G2028" s="749">
        <f t="shared" si="147"/>
        <v>0</v>
      </c>
      <c r="H2028" s="775"/>
    </row>
    <row r="2029" spans="1:8">
      <c r="A2029" s="454">
        <v>44562</v>
      </c>
      <c r="B2029" s="337" t="s">
        <v>13940</v>
      </c>
      <c r="C2029" s="776" t="s">
        <v>13448</v>
      </c>
      <c r="D2029" s="134"/>
      <c r="E2029" s="135">
        <v>254</v>
      </c>
      <c r="F2029" s="46" t="s">
        <v>9</v>
      </c>
      <c r="G2029" s="749">
        <f t="shared" si="147"/>
        <v>0</v>
      </c>
      <c r="H2029" s="775"/>
    </row>
    <row r="2030" spans="1:8">
      <c r="A2030" s="454">
        <v>44562</v>
      </c>
      <c r="B2030" s="337" t="s">
        <v>13941</v>
      </c>
      <c r="C2030" s="776" t="s">
        <v>13448</v>
      </c>
      <c r="D2030" s="134"/>
      <c r="E2030" s="135">
        <v>252.1</v>
      </c>
      <c r="F2030" s="46" t="s">
        <v>9</v>
      </c>
      <c r="G2030" s="155">
        <f t="shared" si="147"/>
        <v>0</v>
      </c>
      <c r="H2030" s="775"/>
    </row>
    <row r="2031" spans="1:8">
      <c r="A2031" s="454">
        <v>44562</v>
      </c>
      <c r="B2031" s="337" t="s">
        <v>13942</v>
      </c>
      <c r="C2031" s="776" t="s">
        <v>13529</v>
      </c>
      <c r="D2031" s="134"/>
      <c r="E2031" s="135">
        <v>434.34</v>
      </c>
      <c r="F2031" s="46" t="s">
        <v>9</v>
      </c>
      <c r="G2031" s="155">
        <f t="shared" si="147"/>
        <v>0</v>
      </c>
      <c r="H2031" s="775"/>
    </row>
    <row r="2032" spans="1:8">
      <c r="A2032" s="454">
        <v>44562</v>
      </c>
      <c r="B2032" s="337" t="s">
        <v>13943</v>
      </c>
      <c r="C2032" s="776" t="s">
        <v>13437</v>
      </c>
      <c r="D2032" s="134"/>
      <c r="E2032" s="135">
        <v>142.34</v>
      </c>
      <c r="F2032" s="46" t="s">
        <v>9</v>
      </c>
      <c r="G2032" s="155">
        <f t="shared" si="147"/>
        <v>0</v>
      </c>
      <c r="H2032" s="775"/>
    </row>
    <row r="2033" spans="1:8">
      <c r="A2033" s="454">
        <v>44562</v>
      </c>
      <c r="B2033" s="337" t="s">
        <v>13944</v>
      </c>
      <c r="C2033" s="776" t="s">
        <v>13766</v>
      </c>
      <c r="D2033" s="134"/>
      <c r="E2033" s="135">
        <v>238</v>
      </c>
      <c r="F2033" s="46" t="s">
        <v>9</v>
      </c>
      <c r="G2033" s="155">
        <f t="shared" si="147"/>
        <v>0</v>
      </c>
      <c r="H2033" s="775"/>
    </row>
    <row r="2034" spans="1:8">
      <c r="A2034" s="1376">
        <v>44562</v>
      </c>
      <c r="B2034" s="787" t="s">
        <v>13945</v>
      </c>
      <c r="C2034" s="938" t="s">
        <v>13459</v>
      </c>
      <c r="D2034" s="789"/>
      <c r="E2034" s="790">
        <v>107.5</v>
      </c>
      <c r="F2034" s="791" t="s">
        <v>9</v>
      </c>
      <c r="G2034" s="1377">
        <f t="shared" si="147"/>
        <v>0</v>
      </c>
      <c r="H2034" s="775"/>
    </row>
    <row r="2035" spans="1:8">
      <c r="A2035" s="1484"/>
      <c r="B2035" s="1485"/>
      <c r="C2035" s="1486" t="s">
        <v>1607</v>
      </c>
      <c r="D2035" s="1487"/>
      <c r="E2035" s="1488">
        <f>SUM(E2036:E2045)</f>
        <v>2509.0100000000002</v>
      </c>
      <c r="F2035" s="1489"/>
      <c r="G2035" s="1490"/>
      <c r="H2035" s="775">
        <f>E2042</f>
        <v>238</v>
      </c>
    </row>
    <row r="2036" spans="1:8">
      <c r="A2036" s="785">
        <v>44593</v>
      </c>
      <c r="B2036" s="337" t="s">
        <v>13932</v>
      </c>
      <c r="C2036" s="332" t="s">
        <v>13583</v>
      </c>
      <c r="D2036" s="134"/>
      <c r="E2036" s="135">
        <v>148.33000000000001</v>
      </c>
      <c r="F2036" s="46" t="s">
        <v>9</v>
      </c>
      <c r="G2036" s="749">
        <f t="shared" ref="G2036:G2042" si="148">IF(F2036="X",0,E2036)</f>
        <v>0</v>
      </c>
      <c r="H2036" s="775"/>
    </row>
    <row r="2037" spans="1:8">
      <c r="A2037" s="785">
        <v>44593</v>
      </c>
      <c r="B2037" s="337" t="s">
        <v>13939</v>
      </c>
      <c r="C2037" s="776" t="s">
        <v>13554</v>
      </c>
      <c r="D2037" s="134"/>
      <c r="E2037" s="135">
        <v>229.79</v>
      </c>
      <c r="F2037" s="46" t="s">
        <v>9</v>
      </c>
      <c r="G2037" s="749">
        <f t="shared" si="148"/>
        <v>0</v>
      </c>
      <c r="H2037" s="775"/>
    </row>
    <row r="2038" spans="1:8">
      <c r="A2038" s="785">
        <v>44593</v>
      </c>
      <c r="B2038" s="337" t="s">
        <v>13940</v>
      </c>
      <c r="C2038" s="776" t="s">
        <v>13454</v>
      </c>
      <c r="D2038" s="134"/>
      <c r="E2038" s="135">
        <v>254</v>
      </c>
      <c r="F2038" s="46" t="s">
        <v>9</v>
      </c>
      <c r="G2038" s="749">
        <f t="shared" si="148"/>
        <v>0</v>
      </c>
      <c r="H2038" s="775"/>
    </row>
    <row r="2039" spans="1:8">
      <c r="A2039" s="785">
        <v>44593</v>
      </c>
      <c r="B2039" s="337" t="s">
        <v>13941</v>
      </c>
      <c r="C2039" s="776" t="s">
        <v>13454</v>
      </c>
      <c r="D2039" s="134"/>
      <c r="E2039" s="135">
        <v>252.1</v>
      </c>
      <c r="F2039" s="46" t="s">
        <v>9</v>
      </c>
      <c r="G2039" s="749">
        <f t="shared" si="148"/>
        <v>0</v>
      </c>
      <c r="H2039" s="775"/>
    </row>
    <row r="2040" spans="1:8">
      <c r="A2040" s="785">
        <v>44593</v>
      </c>
      <c r="B2040" s="337" t="s">
        <v>13942</v>
      </c>
      <c r="C2040" s="776" t="s">
        <v>13537</v>
      </c>
      <c r="D2040" s="134"/>
      <c r="E2040" s="135">
        <v>434.34</v>
      </c>
      <c r="F2040" s="46" t="s">
        <v>9</v>
      </c>
      <c r="G2040" s="749">
        <f t="shared" si="148"/>
        <v>0</v>
      </c>
      <c r="H2040" s="775"/>
    </row>
    <row r="2041" spans="1:8">
      <c r="A2041" s="785">
        <v>44593</v>
      </c>
      <c r="B2041" s="337" t="s">
        <v>13943</v>
      </c>
      <c r="C2041" s="776" t="s">
        <v>13443</v>
      </c>
      <c r="D2041" s="134"/>
      <c r="E2041" s="135">
        <v>142.34</v>
      </c>
      <c r="F2041" s="46" t="s">
        <v>9</v>
      </c>
      <c r="G2041" s="749">
        <f t="shared" si="148"/>
        <v>0</v>
      </c>
      <c r="H2041" s="775"/>
    </row>
    <row r="2042" spans="1:8">
      <c r="A2042" s="792">
        <v>44593</v>
      </c>
      <c r="B2042" s="793" t="s">
        <v>13944</v>
      </c>
      <c r="C2042" s="794" t="s">
        <v>13643</v>
      </c>
      <c r="D2042" s="795"/>
      <c r="E2042" s="796">
        <v>238</v>
      </c>
      <c r="F2042" s="797" t="s">
        <v>9</v>
      </c>
      <c r="G2042" s="798">
        <f t="shared" si="148"/>
        <v>0</v>
      </c>
      <c r="H2042" s="775"/>
    </row>
    <row r="2043" spans="1:8">
      <c r="A2043" s="785">
        <v>44593</v>
      </c>
      <c r="B2043" s="337" t="s">
        <v>13945</v>
      </c>
      <c r="C2043" s="776" t="s">
        <v>13481</v>
      </c>
      <c r="D2043" s="134"/>
      <c r="E2043" s="135">
        <v>107.5</v>
      </c>
      <c r="F2043" s="46" t="s">
        <v>9</v>
      </c>
      <c r="G2043" s="749">
        <f>IF(F2043="X",0,E2043)</f>
        <v>0</v>
      </c>
      <c r="H2043" s="775"/>
    </row>
    <row r="2044" spans="1:8">
      <c r="A2044" s="785">
        <v>44606</v>
      </c>
      <c r="B2044" s="337" t="s">
        <v>13946</v>
      </c>
      <c r="C2044" s="776" t="s">
        <v>13526</v>
      </c>
      <c r="D2044" s="134"/>
      <c r="E2044" s="135">
        <v>218.87</v>
      </c>
      <c r="F2044" s="46" t="s">
        <v>9</v>
      </c>
      <c r="G2044" s="749">
        <f>IF(F2044="X",0,E2044)</f>
        <v>0</v>
      </c>
      <c r="H2044" s="775"/>
    </row>
    <row r="2045" spans="1:8">
      <c r="A2045" s="786">
        <v>44610</v>
      </c>
      <c r="B2045" s="787" t="s">
        <v>13947</v>
      </c>
      <c r="C2045" s="938" t="s">
        <v>13526</v>
      </c>
      <c r="D2045" s="789"/>
      <c r="E2045" s="790">
        <v>483.74</v>
      </c>
      <c r="F2045" s="791" t="s">
        <v>9</v>
      </c>
      <c r="G2045" s="750">
        <f>IF(F2045="X",0,E2045)</f>
        <v>0</v>
      </c>
      <c r="H2045" s="775"/>
    </row>
    <row r="2046" spans="1:8">
      <c r="A2046" s="1484"/>
      <c r="B2046" s="1485"/>
      <c r="C2046" s="1486" t="s">
        <v>1608</v>
      </c>
      <c r="D2046" s="1487"/>
      <c r="E2046" s="1488">
        <f>SUM(E2047:E2054)</f>
        <v>1763.3999999999999</v>
      </c>
      <c r="F2046" s="1489"/>
      <c r="G2046" s="1490"/>
      <c r="H2046" s="775"/>
    </row>
    <row r="2047" spans="1:8">
      <c r="A2047" s="454">
        <v>44621</v>
      </c>
      <c r="B2047" s="337" t="s">
        <v>13932</v>
      </c>
      <c r="C2047" s="332" t="s">
        <v>13587</v>
      </c>
      <c r="D2047" s="134"/>
      <c r="E2047" s="135">
        <v>148.33000000000001</v>
      </c>
      <c r="F2047" s="46" t="s">
        <v>9</v>
      </c>
      <c r="G2047" s="749">
        <f t="shared" ref="G2047:G2054" si="149">IF(F2047="X",0,E2047)</f>
        <v>0</v>
      </c>
      <c r="H2047" s="775"/>
    </row>
    <row r="2048" spans="1:8">
      <c r="A2048" s="454">
        <v>44621</v>
      </c>
      <c r="B2048" s="337" t="s">
        <v>13939</v>
      </c>
      <c r="C2048" s="776" t="s">
        <v>13561</v>
      </c>
      <c r="D2048" s="134"/>
      <c r="E2048" s="135">
        <v>229.79</v>
      </c>
      <c r="F2048" s="46" t="s">
        <v>9</v>
      </c>
      <c r="G2048" s="749">
        <f t="shared" si="149"/>
        <v>0</v>
      </c>
      <c r="H2048" s="775"/>
    </row>
    <row r="2049" spans="1:8">
      <c r="A2049" s="454">
        <v>44621</v>
      </c>
      <c r="B2049" s="337" t="s">
        <v>13940</v>
      </c>
      <c r="C2049" s="776" t="s">
        <v>13467</v>
      </c>
      <c r="D2049" s="134"/>
      <c r="E2049" s="135">
        <v>254</v>
      </c>
      <c r="F2049" s="46" t="s">
        <v>9</v>
      </c>
      <c r="G2049" s="749">
        <f t="shared" si="149"/>
        <v>0</v>
      </c>
      <c r="H2049" s="775"/>
    </row>
    <row r="2050" spans="1:8">
      <c r="A2050" s="454">
        <v>44621</v>
      </c>
      <c r="B2050" s="337" t="s">
        <v>13941</v>
      </c>
      <c r="C2050" s="776" t="s">
        <v>13467</v>
      </c>
      <c r="D2050" s="134"/>
      <c r="E2050" s="135">
        <v>252.1</v>
      </c>
      <c r="F2050" s="46" t="s">
        <v>9</v>
      </c>
      <c r="G2050" s="155">
        <f t="shared" si="149"/>
        <v>0</v>
      </c>
      <c r="H2050" s="775"/>
    </row>
    <row r="2051" spans="1:8">
      <c r="A2051" s="454">
        <v>44621</v>
      </c>
      <c r="B2051" s="337" t="s">
        <v>13942</v>
      </c>
      <c r="C2051" s="776" t="s">
        <v>13542</v>
      </c>
      <c r="D2051" s="134"/>
      <c r="E2051" s="135">
        <v>434.34</v>
      </c>
      <c r="F2051" s="46" t="s">
        <v>9</v>
      </c>
      <c r="G2051" s="155">
        <f t="shared" si="149"/>
        <v>0</v>
      </c>
      <c r="H2051" s="775"/>
    </row>
    <row r="2052" spans="1:8">
      <c r="A2052" s="454">
        <v>44621</v>
      </c>
      <c r="B2052" s="337" t="s">
        <v>13943</v>
      </c>
      <c r="C2052" s="776" t="s">
        <v>13448</v>
      </c>
      <c r="D2052" s="134"/>
      <c r="E2052" s="135">
        <v>142.34</v>
      </c>
      <c r="F2052" s="46" t="s">
        <v>9</v>
      </c>
      <c r="G2052" s="155">
        <f t="shared" si="149"/>
        <v>0</v>
      </c>
      <c r="H2052" s="775"/>
    </row>
    <row r="2053" spans="1:8">
      <c r="A2053" s="454">
        <v>44621</v>
      </c>
      <c r="B2053" s="337" t="s">
        <v>13945</v>
      </c>
      <c r="C2053" s="776" t="s">
        <v>13489</v>
      </c>
      <c r="D2053" s="134"/>
      <c r="E2053" s="135">
        <v>107.5</v>
      </c>
      <c r="F2053" s="46" t="s">
        <v>9</v>
      </c>
      <c r="G2053" s="155">
        <f t="shared" si="149"/>
        <v>0</v>
      </c>
      <c r="H2053" s="775"/>
    </row>
    <row r="2054" spans="1:8">
      <c r="A2054" s="454">
        <v>44621</v>
      </c>
      <c r="B2054" s="337" t="s">
        <v>13948</v>
      </c>
      <c r="C2054" s="776" t="s">
        <v>13479</v>
      </c>
      <c r="D2054" s="134"/>
      <c r="E2054" s="135">
        <v>195</v>
      </c>
      <c r="F2054" s="46" t="s">
        <v>9</v>
      </c>
      <c r="G2054" s="155">
        <f t="shared" si="149"/>
        <v>0</v>
      </c>
      <c r="H2054" s="775"/>
    </row>
    <row r="2055" spans="1:8">
      <c r="A2055" s="1484"/>
      <c r="B2055" s="1485"/>
      <c r="C2055" s="1486" t="s">
        <v>1609</v>
      </c>
      <c r="D2055" s="1487"/>
      <c r="E2055" s="1488">
        <f>SUM(E2056:E2063)</f>
        <v>1763.3999999999999</v>
      </c>
      <c r="F2055" s="1489"/>
      <c r="G2055" s="1490"/>
      <c r="H2055" s="775">
        <f>E2056+E2058+E2059+E2062+E2063</f>
        <v>956.93000000000006</v>
      </c>
    </row>
    <row r="2056" spans="1:8">
      <c r="A2056" s="792">
        <v>44652</v>
      </c>
      <c r="B2056" s="793" t="s">
        <v>13932</v>
      </c>
      <c r="C2056" s="794" t="s">
        <v>13590</v>
      </c>
      <c r="D2056" s="795"/>
      <c r="E2056" s="796">
        <v>148.33000000000001</v>
      </c>
      <c r="F2056" s="797" t="s">
        <v>9</v>
      </c>
      <c r="G2056" s="798">
        <f t="shared" ref="G2056:G2063" si="150">IF(F2056="X",0,E2056)</f>
        <v>0</v>
      </c>
      <c r="H2056" s="775"/>
    </row>
    <row r="2057" spans="1:8">
      <c r="A2057" s="785">
        <v>44652</v>
      </c>
      <c r="B2057" s="337" t="s">
        <v>13939</v>
      </c>
      <c r="C2057" s="776" t="s">
        <v>13567</v>
      </c>
      <c r="D2057" s="134"/>
      <c r="E2057" s="135">
        <v>229.79</v>
      </c>
      <c r="F2057" s="46" t="s">
        <v>9</v>
      </c>
      <c r="G2057" s="749">
        <f t="shared" si="150"/>
        <v>0</v>
      </c>
      <c r="H2057" s="775"/>
    </row>
    <row r="2058" spans="1:8">
      <c r="A2058" s="792">
        <v>44652</v>
      </c>
      <c r="B2058" s="793" t="s">
        <v>13940</v>
      </c>
      <c r="C2058" s="794" t="s">
        <v>13475</v>
      </c>
      <c r="D2058" s="795"/>
      <c r="E2058" s="796">
        <v>254</v>
      </c>
      <c r="F2058" s="797" t="s">
        <v>9</v>
      </c>
      <c r="G2058" s="798">
        <f t="shared" si="150"/>
        <v>0</v>
      </c>
      <c r="H2058" s="775"/>
    </row>
    <row r="2059" spans="1:8">
      <c r="A2059" s="792">
        <v>44652</v>
      </c>
      <c r="B2059" s="793" t="s">
        <v>13941</v>
      </c>
      <c r="C2059" s="794" t="s">
        <v>13475</v>
      </c>
      <c r="D2059" s="795"/>
      <c r="E2059" s="796">
        <v>252.1</v>
      </c>
      <c r="F2059" s="797" t="s">
        <v>9</v>
      </c>
      <c r="G2059" s="798">
        <f t="shared" si="150"/>
        <v>0</v>
      </c>
      <c r="H2059" s="775"/>
    </row>
    <row r="2060" spans="1:8">
      <c r="A2060" s="785">
        <v>44652</v>
      </c>
      <c r="B2060" s="337" t="s">
        <v>13942</v>
      </c>
      <c r="C2060" s="776" t="s">
        <v>13550</v>
      </c>
      <c r="D2060" s="134"/>
      <c r="E2060" s="135">
        <v>434.34</v>
      </c>
      <c r="F2060" s="46" t="s">
        <v>9</v>
      </c>
      <c r="G2060" s="749">
        <f t="shared" si="150"/>
        <v>0</v>
      </c>
      <c r="H2060" s="775"/>
    </row>
    <row r="2061" spans="1:8">
      <c r="A2061" s="785">
        <v>44652</v>
      </c>
      <c r="B2061" s="337" t="s">
        <v>13943</v>
      </c>
      <c r="C2061" s="776" t="s">
        <v>13454</v>
      </c>
      <c r="D2061" s="134"/>
      <c r="E2061" s="135">
        <v>142.34</v>
      </c>
      <c r="F2061" s="46" t="s">
        <v>9</v>
      </c>
      <c r="G2061" s="749">
        <f t="shared" si="150"/>
        <v>0</v>
      </c>
      <c r="H2061" s="775"/>
    </row>
    <row r="2062" spans="1:8">
      <c r="A2062" s="792">
        <v>44652</v>
      </c>
      <c r="B2062" s="793" t="s">
        <v>13945</v>
      </c>
      <c r="C2062" s="794" t="s">
        <v>13493</v>
      </c>
      <c r="D2062" s="795"/>
      <c r="E2062" s="796">
        <v>107.5</v>
      </c>
      <c r="F2062" s="797" t="s">
        <v>9</v>
      </c>
      <c r="G2062" s="798">
        <f t="shared" si="150"/>
        <v>0</v>
      </c>
      <c r="H2062" s="775"/>
    </row>
    <row r="2063" spans="1:8">
      <c r="A2063" s="792">
        <v>44652</v>
      </c>
      <c r="B2063" s="793" t="s">
        <v>13948</v>
      </c>
      <c r="C2063" s="794" t="s">
        <v>13485</v>
      </c>
      <c r="D2063" s="795"/>
      <c r="E2063" s="796">
        <v>195</v>
      </c>
      <c r="F2063" s="797" t="s">
        <v>9</v>
      </c>
      <c r="G2063" s="798">
        <f t="shared" si="150"/>
        <v>0</v>
      </c>
      <c r="H2063" s="775"/>
    </row>
    <row r="2064" spans="1:8">
      <c r="A2064" s="1484"/>
      <c r="B2064" s="1485"/>
      <c r="C2064" s="1486" t="s">
        <v>1610</v>
      </c>
      <c r="D2064" s="1487"/>
      <c r="E2064" s="1488">
        <f>SUM(E2065:E2068)</f>
        <v>924.64</v>
      </c>
      <c r="F2064" s="1489"/>
      <c r="G2064" s="1490"/>
      <c r="H2064" s="775"/>
    </row>
    <row r="2065" spans="1:8">
      <c r="A2065" s="785">
        <v>44682</v>
      </c>
      <c r="B2065" s="337" t="s">
        <v>13939</v>
      </c>
      <c r="C2065" s="776" t="s">
        <v>13573</v>
      </c>
      <c r="D2065" s="134"/>
      <c r="E2065" s="135">
        <v>229.79</v>
      </c>
      <c r="F2065" s="46" t="s">
        <v>9</v>
      </c>
      <c r="G2065" s="749">
        <f>IF(F2065="X",0,E2065)</f>
        <v>0</v>
      </c>
      <c r="H2065" s="775"/>
    </row>
    <row r="2066" spans="1:8">
      <c r="A2066" s="785">
        <v>44682</v>
      </c>
      <c r="B2066" s="337" t="s">
        <v>13942</v>
      </c>
      <c r="C2066" s="776" t="s">
        <v>13554</v>
      </c>
      <c r="D2066" s="134"/>
      <c r="E2066" s="135">
        <v>434.34</v>
      </c>
      <c r="F2066" s="46" t="s">
        <v>9</v>
      </c>
      <c r="G2066" s="155">
        <f>IF(F2066="X",0,E2066)</f>
        <v>0</v>
      </c>
      <c r="H2066" s="775"/>
    </row>
    <row r="2067" spans="1:8">
      <c r="A2067" s="785">
        <v>44682</v>
      </c>
      <c r="B2067" s="337" t="s">
        <v>13943</v>
      </c>
      <c r="C2067" s="776" t="s">
        <v>13467</v>
      </c>
      <c r="D2067" s="134"/>
      <c r="E2067" s="135">
        <v>142.34</v>
      </c>
      <c r="F2067" s="46" t="s">
        <v>9</v>
      </c>
      <c r="G2067" s="155">
        <f>IF(F2067="X",0,E2067)</f>
        <v>0</v>
      </c>
      <c r="H2067" s="775"/>
    </row>
    <row r="2068" spans="1:8">
      <c r="A2068" s="786">
        <v>44682</v>
      </c>
      <c r="B2068" s="787" t="s">
        <v>13949</v>
      </c>
      <c r="C2068" s="938" t="s">
        <v>13630</v>
      </c>
      <c r="D2068" s="789"/>
      <c r="E2068" s="790">
        <v>118.17</v>
      </c>
      <c r="F2068" s="791" t="s">
        <v>9</v>
      </c>
      <c r="G2068" s="1377">
        <f>IF(F2068="X",0,E2068)</f>
        <v>0</v>
      </c>
      <c r="H2068" s="775"/>
    </row>
    <row r="2069" spans="1:8">
      <c r="A2069" s="1484"/>
      <c r="B2069" s="1485"/>
      <c r="C2069" s="1486" t="s">
        <v>1611</v>
      </c>
      <c r="D2069" s="1487"/>
      <c r="E2069" s="1488">
        <f>SUM(E2070:E2073)</f>
        <v>924.64</v>
      </c>
      <c r="F2069" s="1489"/>
      <c r="G2069" s="1490"/>
      <c r="H2069" s="775">
        <f>G2072</f>
        <v>0</v>
      </c>
    </row>
    <row r="2070" spans="1:8">
      <c r="A2070" s="454">
        <v>44713</v>
      </c>
      <c r="B2070" s="337" t="s">
        <v>13939</v>
      </c>
      <c r="C2070" s="776" t="s">
        <v>13580</v>
      </c>
      <c r="D2070" s="134"/>
      <c r="E2070" s="135">
        <v>229.79</v>
      </c>
      <c r="F2070" s="46" t="s">
        <v>9</v>
      </c>
      <c r="G2070" s="749">
        <f>IF(F2070="X",0,E2070)</f>
        <v>0</v>
      </c>
      <c r="H2070" s="775"/>
    </row>
    <row r="2071" spans="1:8">
      <c r="A2071" s="454">
        <v>44713</v>
      </c>
      <c r="B2071" s="337" t="s">
        <v>13942</v>
      </c>
      <c r="C2071" s="776" t="s">
        <v>13561</v>
      </c>
      <c r="D2071" s="134"/>
      <c r="E2071" s="135">
        <v>434.34</v>
      </c>
      <c r="F2071" s="46" t="s">
        <v>9</v>
      </c>
      <c r="G2071" s="155">
        <f>IF(F2071="X",0,E2071)</f>
        <v>0</v>
      </c>
      <c r="H2071" s="775"/>
    </row>
    <row r="2072" spans="1:8">
      <c r="A2072" s="792">
        <v>44713</v>
      </c>
      <c r="B2072" s="793" t="s">
        <v>13943</v>
      </c>
      <c r="C2072" s="794" t="s">
        <v>13475</v>
      </c>
      <c r="D2072" s="795"/>
      <c r="E2072" s="796">
        <v>142.34</v>
      </c>
      <c r="F2072" s="797" t="s">
        <v>9</v>
      </c>
      <c r="G2072" s="798">
        <f>IF(F2072="X",0,E2072)</f>
        <v>0</v>
      </c>
      <c r="H2072" s="775"/>
    </row>
    <row r="2073" spans="1:8">
      <c r="A2073" s="454">
        <v>44713</v>
      </c>
      <c r="B2073" s="337" t="s">
        <v>13949</v>
      </c>
      <c r="C2073" s="776" t="s">
        <v>13443</v>
      </c>
      <c r="D2073" s="134"/>
      <c r="E2073" s="135">
        <v>118.17</v>
      </c>
      <c r="F2073" s="46" t="s">
        <v>9</v>
      </c>
      <c r="G2073" s="155">
        <f>IF(F2073="X",0,E2073)</f>
        <v>0</v>
      </c>
      <c r="H2073" s="775"/>
    </row>
    <row r="2074" spans="1:8">
      <c r="A2074" s="1484"/>
      <c r="B2074" s="1485"/>
      <c r="C2074" s="1486" t="s">
        <v>1612</v>
      </c>
      <c r="D2074" s="1487"/>
      <c r="E2074" s="1488">
        <f>SUM(E2075:E2078)</f>
        <v>1381.6799999999998</v>
      </c>
      <c r="F2074" s="1489"/>
      <c r="G2074" s="1490"/>
      <c r="H2074" s="775"/>
    </row>
    <row r="2075" spans="1:8">
      <c r="A2075" s="785">
        <v>44743</v>
      </c>
      <c r="B2075" s="337" t="s">
        <v>13939</v>
      </c>
      <c r="C2075" s="776" t="s">
        <v>13583</v>
      </c>
      <c r="D2075" s="134"/>
      <c r="E2075" s="135">
        <v>229.79</v>
      </c>
      <c r="F2075" s="46" t="s">
        <v>9</v>
      </c>
      <c r="G2075" s="749">
        <f>IF(F2075="X",0,E2075)</f>
        <v>0</v>
      </c>
      <c r="H2075" s="775"/>
    </row>
    <row r="2076" spans="1:8">
      <c r="A2076" s="785">
        <v>44743</v>
      </c>
      <c r="B2076" s="337" t="s">
        <v>13942</v>
      </c>
      <c r="C2076" s="776" t="s">
        <v>13567</v>
      </c>
      <c r="D2076" s="134"/>
      <c r="E2076" s="135">
        <v>434.34</v>
      </c>
      <c r="F2076" s="46" t="s">
        <v>9</v>
      </c>
      <c r="G2076" s="749">
        <f>IF(F2076="X",0,E2076)</f>
        <v>0</v>
      </c>
      <c r="H2076" s="775"/>
    </row>
    <row r="2077" spans="1:8">
      <c r="A2077" s="785">
        <v>44743</v>
      </c>
      <c r="B2077" s="337" t="s">
        <v>13949</v>
      </c>
      <c r="C2077" s="776" t="s">
        <v>13448</v>
      </c>
      <c r="D2077" s="134"/>
      <c r="E2077" s="135">
        <v>118.17</v>
      </c>
      <c r="F2077" s="46" t="s">
        <v>9</v>
      </c>
      <c r="G2077" s="749">
        <f>IF(F2077="X",0,E2077)</f>
        <v>0</v>
      </c>
      <c r="H2077" s="775"/>
    </row>
    <row r="2078" spans="1:8">
      <c r="A2078" s="785">
        <v>44743</v>
      </c>
      <c r="B2078" s="337" t="s">
        <v>13950</v>
      </c>
      <c r="C2078" s="776" t="s">
        <v>13356</v>
      </c>
      <c r="D2078" s="134"/>
      <c r="E2078" s="135">
        <v>599.38</v>
      </c>
      <c r="F2078" s="46" t="s">
        <v>9</v>
      </c>
      <c r="G2078" s="749">
        <f>IF(F2078="X",0,E2078)</f>
        <v>0</v>
      </c>
      <c r="H2078" s="775"/>
    </row>
    <row r="2079" spans="1:8">
      <c r="A2079" s="1484"/>
      <c r="B2079" s="1485"/>
      <c r="C2079" s="1486" t="s">
        <v>1613</v>
      </c>
      <c r="D2079" s="1487"/>
      <c r="E2079" s="1488">
        <f>SUM(E2080:E2083)</f>
        <v>1381.6799999999998</v>
      </c>
      <c r="F2079" s="1489"/>
      <c r="G2079" s="1490"/>
      <c r="H2079" s="775"/>
    </row>
    <row r="2080" spans="1:8">
      <c r="A2080" s="785">
        <v>44774</v>
      </c>
      <c r="B2080" s="337" t="s">
        <v>13939</v>
      </c>
      <c r="C2080" s="776" t="s">
        <v>13587</v>
      </c>
      <c r="D2080" s="134"/>
      <c r="E2080" s="135">
        <v>229.79</v>
      </c>
      <c r="F2080" s="46" t="s">
        <v>9</v>
      </c>
      <c r="G2080" s="749">
        <f>IF(F2080="X",0,E2080)</f>
        <v>0</v>
      </c>
      <c r="H2080" s="775"/>
    </row>
    <row r="2081" spans="1:8">
      <c r="A2081" s="785">
        <v>44774</v>
      </c>
      <c r="B2081" s="337" t="s">
        <v>13942</v>
      </c>
      <c r="C2081" s="776" t="s">
        <v>13573</v>
      </c>
      <c r="D2081" s="134"/>
      <c r="E2081" s="135">
        <v>434.34</v>
      </c>
      <c r="F2081" s="46" t="s">
        <v>9</v>
      </c>
      <c r="G2081" s="749">
        <f>IF(F2081="X",0,E2081)</f>
        <v>0</v>
      </c>
      <c r="H2081" s="775"/>
    </row>
    <row r="2082" spans="1:8">
      <c r="A2082" s="785">
        <v>44774</v>
      </c>
      <c r="B2082" s="337" t="s">
        <v>13949</v>
      </c>
      <c r="C2082" s="776" t="s">
        <v>13454</v>
      </c>
      <c r="D2082" s="134"/>
      <c r="E2082" s="135">
        <v>118.17</v>
      </c>
      <c r="F2082" s="46" t="s">
        <v>9</v>
      </c>
      <c r="G2082" s="749">
        <f>IF(F2082="X",0,E2082)</f>
        <v>0</v>
      </c>
      <c r="H2082" s="775"/>
    </row>
    <row r="2083" spans="1:8">
      <c r="A2083" s="786">
        <v>44774</v>
      </c>
      <c r="B2083" s="787" t="s">
        <v>13950</v>
      </c>
      <c r="C2083" s="938" t="s">
        <v>13368</v>
      </c>
      <c r="D2083" s="789"/>
      <c r="E2083" s="790">
        <v>599.38</v>
      </c>
      <c r="F2083" s="791" t="s">
        <v>9</v>
      </c>
      <c r="G2083" s="750">
        <f>IF(F2083="X",0,E2083)</f>
        <v>0</v>
      </c>
      <c r="H2083" s="775"/>
    </row>
    <row r="2084" spans="1:8">
      <c r="A2084" s="1484"/>
      <c r="B2084" s="1485"/>
      <c r="C2084" s="1486" t="s">
        <v>1614</v>
      </c>
      <c r="D2084" s="1487"/>
      <c r="E2084" s="1488">
        <f>SUM(E2085:E2088)</f>
        <v>1381.6799999999998</v>
      </c>
      <c r="F2084" s="1489"/>
      <c r="G2084" s="1490"/>
      <c r="H2084" s="775">
        <f>E2085</f>
        <v>229.79</v>
      </c>
    </row>
    <row r="2085" spans="1:8">
      <c r="A2085" s="792">
        <v>44805</v>
      </c>
      <c r="B2085" s="793" t="s">
        <v>13939</v>
      </c>
      <c r="C2085" s="794" t="s">
        <v>13590</v>
      </c>
      <c r="D2085" s="795"/>
      <c r="E2085" s="796">
        <v>229.79</v>
      </c>
      <c r="F2085" s="797" t="s">
        <v>9</v>
      </c>
      <c r="G2085" s="798">
        <f>IF(F2085="X",0,E2085)</f>
        <v>0</v>
      </c>
      <c r="H2085" s="775"/>
    </row>
    <row r="2086" spans="1:8">
      <c r="A2086" s="785">
        <v>44805</v>
      </c>
      <c r="B2086" s="337" t="s">
        <v>13942</v>
      </c>
      <c r="C2086" s="776" t="s">
        <v>13580</v>
      </c>
      <c r="D2086" s="134"/>
      <c r="E2086" s="135">
        <v>434.34</v>
      </c>
      <c r="F2086" s="46" t="s">
        <v>9</v>
      </c>
      <c r="G2086" s="749">
        <f>IF(F2086="X",0,E2086)</f>
        <v>0</v>
      </c>
      <c r="H2086" s="775"/>
    </row>
    <row r="2087" spans="1:8">
      <c r="A2087" s="785">
        <v>44805</v>
      </c>
      <c r="B2087" s="337" t="s">
        <v>13949</v>
      </c>
      <c r="C2087" s="776" t="s">
        <v>13467</v>
      </c>
      <c r="D2087" s="134"/>
      <c r="E2087" s="135">
        <v>118.17</v>
      </c>
      <c r="F2087" s="46" t="s">
        <v>9</v>
      </c>
      <c r="G2087" s="749">
        <f>IF(F2087="X",0,E2087)</f>
        <v>0</v>
      </c>
      <c r="H2087" s="775"/>
    </row>
    <row r="2088" spans="1:8">
      <c r="A2088" s="786">
        <v>44805</v>
      </c>
      <c r="B2088" s="787" t="s">
        <v>13950</v>
      </c>
      <c r="C2088" s="938" t="s">
        <v>13376</v>
      </c>
      <c r="D2088" s="789"/>
      <c r="E2088" s="790">
        <v>599.38</v>
      </c>
      <c r="F2088" s="791" t="s">
        <v>9</v>
      </c>
      <c r="G2088" s="750">
        <f>IF(F2088="X",0,E2088)</f>
        <v>0</v>
      </c>
      <c r="H2088" s="775"/>
    </row>
    <row r="2089" spans="1:8">
      <c r="A2089" s="1484"/>
      <c r="B2089" s="1485"/>
      <c r="C2089" s="1486" t="s">
        <v>1615</v>
      </c>
      <c r="D2089" s="1487"/>
      <c r="E2089" s="1488">
        <f>SUM(E2090:E2093)</f>
        <v>1272.9899999999998</v>
      </c>
      <c r="F2089" s="1489"/>
      <c r="G2089" s="1490"/>
      <c r="H2089" s="775">
        <f>E2091</f>
        <v>118.17</v>
      </c>
    </row>
    <row r="2090" spans="1:8">
      <c r="A2090" s="454">
        <v>44835</v>
      </c>
      <c r="B2090" s="337" t="s">
        <v>13942</v>
      </c>
      <c r="C2090" s="776" t="s">
        <v>13583</v>
      </c>
      <c r="D2090" s="134"/>
      <c r="E2090" s="135">
        <v>434.34</v>
      </c>
      <c r="F2090" s="46" t="s">
        <v>9</v>
      </c>
      <c r="G2090" s="155">
        <f>IF(F2090="X",0,E2090)</f>
        <v>0</v>
      </c>
      <c r="H2090" s="775"/>
    </row>
    <row r="2091" spans="1:8">
      <c r="A2091" s="792">
        <v>44835</v>
      </c>
      <c r="B2091" s="793" t="s">
        <v>13949</v>
      </c>
      <c r="C2091" s="794" t="s">
        <v>13475</v>
      </c>
      <c r="D2091" s="795"/>
      <c r="E2091" s="796">
        <v>118.17</v>
      </c>
      <c r="F2091" s="797" t="s">
        <v>9</v>
      </c>
      <c r="G2091" s="798">
        <f>IF(F2091="X",0,E2091)</f>
        <v>0</v>
      </c>
      <c r="H2091" s="775"/>
    </row>
    <row r="2092" spans="1:8">
      <c r="A2092" s="454">
        <v>44835</v>
      </c>
      <c r="B2092" s="337" t="s">
        <v>13950</v>
      </c>
      <c r="C2092" s="776" t="s">
        <v>13380</v>
      </c>
      <c r="D2092" s="134"/>
      <c r="E2092" s="135">
        <v>599.38</v>
      </c>
      <c r="F2092" s="46" t="s">
        <v>9</v>
      </c>
      <c r="G2092" s="155">
        <f>IF(F2092="X",0,E2092)</f>
        <v>0</v>
      </c>
      <c r="H2092" s="775"/>
    </row>
    <row r="2093" spans="1:8">
      <c r="A2093" s="454">
        <v>44835</v>
      </c>
      <c r="B2093" s="337" t="s">
        <v>13951</v>
      </c>
      <c r="C2093" s="776" t="s">
        <v>13356</v>
      </c>
      <c r="D2093" s="134"/>
      <c r="E2093" s="135">
        <v>121.1</v>
      </c>
      <c r="F2093" s="46" t="s">
        <v>9</v>
      </c>
      <c r="G2093" s="155">
        <f>IF(F2093="X",0,E2093)</f>
        <v>0</v>
      </c>
      <c r="H2093" s="775"/>
    </row>
    <row r="2094" spans="1:8">
      <c r="A2094" s="1484"/>
      <c r="B2094" s="1485"/>
      <c r="C2094" s="1486" t="s">
        <v>1616</v>
      </c>
      <c r="D2094" s="1487"/>
      <c r="E2094" s="1488">
        <f>SUM(E2095:E2098)</f>
        <v>1391.03</v>
      </c>
      <c r="F2094" s="1489"/>
      <c r="G2094" s="1490"/>
      <c r="H2094" s="775"/>
    </row>
    <row r="2095" spans="1:8">
      <c r="A2095" s="785">
        <v>44866</v>
      </c>
      <c r="B2095" s="337" t="s">
        <v>13942</v>
      </c>
      <c r="C2095" s="776" t="s">
        <v>13587</v>
      </c>
      <c r="D2095" s="134"/>
      <c r="E2095" s="135">
        <v>434.34</v>
      </c>
      <c r="F2095" s="46" t="s">
        <v>9</v>
      </c>
      <c r="G2095" s="749">
        <f>IF(F2095="X",0,E2095)</f>
        <v>0</v>
      </c>
      <c r="H2095" s="775"/>
    </row>
    <row r="2096" spans="1:8">
      <c r="A2096" s="785">
        <v>44866</v>
      </c>
      <c r="B2096" s="337" t="s">
        <v>13950</v>
      </c>
      <c r="C2096" s="776" t="s">
        <v>13384</v>
      </c>
      <c r="D2096" s="134"/>
      <c r="E2096" s="135">
        <v>599.38</v>
      </c>
      <c r="F2096" s="46" t="s">
        <v>9</v>
      </c>
      <c r="G2096" s="749">
        <f>IF(F2096="X",0,E2096)</f>
        <v>0</v>
      </c>
      <c r="H2096" s="775"/>
    </row>
    <row r="2097" spans="1:8">
      <c r="A2097" s="785">
        <v>44866</v>
      </c>
      <c r="B2097" s="337" t="s">
        <v>13951</v>
      </c>
      <c r="C2097" s="776" t="s">
        <v>13368</v>
      </c>
      <c r="D2097" s="134"/>
      <c r="E2097" s="135">
        <v>121.1</v>
      </c>
      <c r="F2097" s="46" t="s">
        <v>9</v>
      </c>
      <c r="G2097" s="749">
        <f>IF(F2097="X",0,E2097)</f>
        <v>0</v>
      </c>
      <c r="H2097" s="775"/>
    </row>
    <row r="2098" spans="1:8">
      <c r="A2098" s="786">
        <v>44866</v>
      </c>
      <c r="B2098" s="787" t="s">
        <v>13952</v>
      </c>
      <c r="C2098" s="938" t="s">
        <v>13437</v>
      </c>
      <c r="D2098" s="789"/>
      <c r="E2098" s="790">
        <v>236.21</v>
      </c>
      <c r="F2098" s="791" t="s">
        <v>9</v>
      </c>
      <c r="G2098" s="750">
        <f>IF(F2098="X",0,E2098)</f>
        <v>0</v>
      </c>
      <c r="H2098" s="775"/>
    </row>
    <row r="2099" spans="1:8">
      <c r="A2099" s="1484"/>
      <c r="B2099" s="1485"/>
      <c r="C2099" s="1486" t="s">
        <v>1617</v>
      </c>
      <c r="D2099" s="1487"/>
      <c r="E2099" s="1488">
        <f>SUM(E2100:E2105)</f>
        <v>1930.8000000000002</v>
      </c>
      <c r="F2099" s="1489"/>
      <c r="G2099" s="1490"/>
      <c r="H2099" s="775">
        <f>E2100</f>
        <v>434.34</v>
      </c>
    </row>
    <row r="2100" spans="1:8">
      <c r="A2100" s="792">
        <v>44896</v>
      </c>
      <c r="B2100" s="793" t="s">
        <v>13942</v>
      </c>
      <c r="C2100" s="794" t="s">
        <v>13590</v>
      </c>
      <c r="D2100" s="795"/>
      <c r="E2100" s="796">
        <v>434.34</v>
      </c>
      <c r="F2100" s="797" t="s">
        <v>9</v>
      </c>
      <c r="G2100" s="798">
        <f t="shared" ref="G2100:G2105" si="151">IF(F2100="X",0,E2100)</f>
        <v>0</v>
      </c>
      <c r="H2100" s="775"/>
    </row>
    <row r="2101" spans="1:8">
      <c r="A2101" s="454">
        <v>44896</v>
      </c>
      <c r="B2101" s="337" t="s">
        <v>13950</v>
      </c>
      <c r="C2101" s="776" t="s">
        <v>13387</v>
      </c>
      <c r="D2101" s="134"/>
      <c r="E2101" s="135">
        <v>599.38</v>
      </c>
      <c r="F2101" s="46" t="s">
        <v>9</v>
      </c>
      <c r="G2101" s="155">
        <f t="shared" si="151"/>
        <v>0</v>
      </c>
      <c r="H2101" s="775"/>
    </row>
    <row r="2102" spans="1:8">
      <c r="A2102" s="454">
        <v>44896</v>
      </c>
      <c r="B2102" s="337" t="s">
        <v>13951</v>
      </c>
      <c r="C2102" s="776" t="s">
        <v>13376</v>
      </c>
      <c r="D2102" s="134"/>
      <c r="E2102" s="135">
        <v>121.1</v>
      </c>
      <c r="F2102" s="46" t="s">
        <v>9</v>
      </c>
      <c r="G2102" s="155">
        <f t="shared" si="151"/>
        <v>0</v>
      </c>
      <c r="H2102" s="775"/>
    </row>
    <row r="2103" spans="1:8">
      <c r="A2103" s="454">
        <v>44896</v>
      </c>
      <c r="B2103" s="337" t="s">
        <v>13952</v>
      </c>
      <c r="C2103" s="776" t="s">
        <v>13443</v>
      </c>
      <c r="D2103" s="134"/>
      <c r="E2103" s="135">
        <v>236.21</v>
      </c>
      <c r="F2103" s="46" t="s">
        <v>9</v>
      </c>
      <c r="G2103" s="749">
        <f t="shared" si="151"/>
        <v>0</v>
      </c>
      <c r="H2103" s="775"/>
    </row>
    <row r="2104" spans="1:8">
      <c r="A2104" s="454">
        <v>44896</v>
      </c>
      <c r="B2104" s="337" t="s">
        <v>13953</v>
      </c>
      <c r="C2104" s="776" t="s">
        <v>13437</v>
      </c>
      <c r="D2104" s="134"/>
      <c r="E2104" s="135">
        <v>335.64</v>
      </c>
      <c r="F2104" s="46" t="s">
        <v>9</v>
      </c>
      <c r="G2104" s="155">
        <f t="shared" si="151"/>
        <v>0</v>
      </c>
      <c r="H2104" s="775"/>
    </row>
    <row r="2105" spans="1:8">
      <c r="A2105" s="454">
        <v>44896</v>
      </c>
      <c r="B2105" s="337" t="s">
        <v>13954</v>
      </c>
      <c r="C2105" s="776" t="s">
        <v>13459</v>
      </c>
      <c r="D2105" s="134"/>
      <c r="E2105" s="135">
        <v>204.13</v>
      </c>
      <c r="F2105" s="46" t="s">
        <v>9</v>
      </c>
      <c r="G2105" s="155">
        <f t="shared" si="151"/>
        <v>0</v>
      </c>
      <c r="H2105" s="775"/>
    </row>
    <row r="2106" spans="1:8">
      <c r="A2106" s="1484"/>
      <c r="B2106" s="1485"/>
      <c r="C2106" s="1486" t="s">
        <v>1618</v>
      </c>
      <c r="D2106" s="1487"/>
      <c r="E2106" s="1488">
        <f>SUM(E2107:E2114)</f>
        <v>2515.5100000000002</v>
      </c>
      <c r="F2106" s="1489"/>
      <c r="G2106" s="1490"/>
      <c r="H2106" s="775"/>
    </row>
    <row r="2107" spans="1:8">
      <c r="A2107" s="785">
        <v>44927</v>
      </c>
      <c r="B2107" s="337" t="s">
        <v>13950</v>
      </c>
      <c r="C2107" s="776" t="s">
        <v>13397</v>
      </c>
      <c r="D2107" s="134"/>
      <c r="E2107" s="135">
        <v>599.38</v>
      </c>
      <c r="F2107" s="46" t="s">
        <v>9</v>
      </c>
      <c r="G2107" s="749">
        <f t="shared" ref="G2107:G2115" si="152">IF(F2107="X",0,E2107)</f>
        <v>0</v>
      </c>
      <c r="H2107" s="775"/>
    </row>
    <row r="2108" spans="1:8">
      <c r="A2108" s="785">
        <v>44927</v>
      </c>
      <c r="B2108" s="337" t="s">
        <v>13951</v>
      </c>
      <c r="C2108" s="776" t="s">
        <v>13380</v>
      </c>
      <c r="D2108" s="134"/>
      <c r="E2108" s="135">
        <v>121.1</v>
      </c>
      <c r="F2108" s="46" t="s">
        <v>9</v>
      </c>
      <c r="G2108" s="749">
        <f t="shared" si="152"/>
        <v>0</v>
      </c>
      <c r="H2108" s="775"/>
    </row>
    <row r="2109" spans="1:8">
      <c r="A2109" s="785">
        <v>44927</v>
      </c>
      <c r="B2109" s="337" t="s">
        <v>13952</v>
      </c>
      <c r="C2109" s="776" t="s">
        <v>13448</v>
      </c>
      <c r="D2109" s="134"/>
      <c r="E2109" s="135">
        <v>236.21</v>
      </c>
      <c r="F2109" s="46" t="s">
        <v>9</v>
      </c>
      <c r="G2109" s="749">
        <f t="shared" si="152"/>
        <v>0</v>
      </c>
      <c r="H2109" s="775"/>
    </row>
    <row r="2110" spans="1:8">
      <c r="A2110" s="785">
        <v>44927</v>
      </c>
      <c r="B2110" s="337" t="s">
        <v>13953</v>
      </c>
      <c r="C2110" s="776" t="s">
        <v>13443</v>
      </c>
      <c r="D2110" s="134"/>
      <c r="E2110" s="135">
        <v>335.64</v>
      </c>
      <c r="F2110" s="46" t="s">
        <v>9</v>
      </c>
      <c r="G2110" s="749">
        <f t="shared" si="152"/>
        <v>0</v>
      </c>
      <c r="H2110" s="775"/>
    </row>
    <row r="2111" spans="1:8">
      <c r="A2111" s="785">
        <v>44927</v>
      </c>
      <c r="B2111" s="337" t="s">
        <v>13954</v>
      </c>
      <c r="C2111" s="776" t="s">
        <v>13481</v>
      </c>
      <c r="D2111" s="134"/>
      <c r="E2111" s="135">
        <v>204.13</v>
      </c>
      <c r="F2111" s="46" t="s">
        <v>9</v>
      </c>
      <c r="G2111" s="749">
        <f t="shared" si="152"/>
        <v>0</v>
      </c>
      <c r="H2111" s="775"/>
    </row>
    <row r="2112" spans="1:8">
      <c r="A2112" s="785">
        <v>44927</v>
      </c>
      <c r="B2112" s="337" t="s">
        <v>13955</v>
      </c>
      <c r="C2112" s="776" t="s">
        <v>13437</v>
      </c>
      <c r="D2112" s="134"/>
      <c r="E2112" s="135">
        <v>89.06</v>
      </c>
      <c r="F2112" s="46" t="s">
        <v>9</v>
      </c>
      <c r="G2112" s="749">
        <f t="shared" si="152"/>
        <v>0</v>
      </c>
      <c r="H2112" s="775"/>
    </row>
    <row r="2113" spans="1:8">
      <c r="A2113" s="785">
        <v>44927</v>
      </c>
      <c r="B2113" s="337" t="s">
        <v>13956</v>
      </c>
      <c r="C2113" s="776" t="s">
        <v>13356</v>
      </c>
      <c r="D2113" s="134"/>
      <c r="E2113" s="135">
        <v>479.99</v>
      </c>
      <c r="F2113" s="46" t="s">
        <v>9</v>
      </c>
      <c r="G2113" s="749">
        <f t="shared" si="152"/>
        <v>0</v>
      </c>
      <c r="H2113" s="775"/>
    </row>
    <row r="2114" spans="1:8">
      <c r="A2114" s="785">
        <v>44927</v>
      </c>
      <c r="B2114" s="337" t="s">
        <v>13957</v>
      </c>
      <c r="C2114" s="776" t="s">
        <v>13485</v>
      </c>
      <c r="D2114" s="134"/>
      <c r="E2114" s="135">
        <v>450</v>
      </c>
      <c r="F2114" s="46" t="s">
        <v>9</v>
      </c>
      <c r="G2114" s="749">
        <f t="shared" si="152"/>
        <v>0</v>
      </c>
      <c r="H2114" s="775"/>
    </row>
    <row r="2115" spans="1:8">
      <c r="A2115" s="785">
        <v>44939</v>
      </c>
      <c r="B2115" s="337" t="s">
        <v>13958</v>
      </c>
      <c r="C2115" s="776" t="s">
        <v>13526</v>
      </c>
      <c r="D2115" s="134"/>
      <c r="E2115" s="135">
        <v>248.19</v>
      </c>
      <c r="F2115" s="46" t="s">
        <v>9</v>
      </c>
      <c r="G2115" s="749">
        <f t="shared" si="152"/>
        <v>0</v>
      </c>
      <c r="H2115" s="775"/>
    </row>
    <row r="2116" spans="1:8">
      <c r="A2116" s="1484"/>
      <c r="B2116" s="1485"/>
      <c r="C2116" s="1486" t="s">
        <v>1619</v>
      </c>
      <c r="D2116" s="1487"/>
      <c r="E2116" s="1488">
        <f>SUM(E2117:E2126)</f>
        <v>3011.86</v>
      </c>
      <c r="F2116" s="1489"/>
      <c r="G2116" s="1490"/>
      <c r="H2116" s="775">
        <f>E2124</f>
        <v>450</v>
      </c>
    </row>
    <row r="2117" spans="1:8">
      <c r="A2117" s="785">
        <v>44958</v>
      </c>
      <c r="B2117" s="337" t="s">
        <v>13950</v>
      </c>
      <c r="C2117" s="776" t="s">
        <v>13402</v>
      </c>
      <c r="D2117" s="134"/>
      <c r="E2117" s="135">
        <v>599.38</v>
      </c>
      <c r="F2117" s="46" t="s">
        <v>9</v>
      </c>
      <c r="G2117" s="749">
        <f t="shared" ref="G2117:G2126" si="153">IF(F2117="X",0,E2117)</f>
        <v>0</v>
      </c>
      <c r="H2117" s="775"/>
    </row>
    <row r="2118" spans="1:8">
      <c r="A2118" s="785">
        <v>44958</v>
      </c>
      <c r="B2118" s="337" t="s">
        <v>13951</v>
      </c>
      <c r="C2118" s="776" t="s">
        <v>13384</v>
      </c>
      <c r="D2118" s="134"/>
      <c r="E2118" s="135">
        <v>121.1</v>
      </c>
      <c r="F2118" s="46" t="s">
        <v>9</v>
      </c>
      <c r="G2118" s="749">
        <f t="shared" si="153"/>
        <v>0</v>
      </c>
      <c r="H2118" s="775"/>
    </row>
    <row r="2119" spans="1:8">
      <c r="A2119" s="785">
        <v>44958</v>
      </c>
      <c r="B2119" s="337" t="s">
        <v>13952</v>
      </c>
      <c r="C2119" s="776" t="s">
        <v>13454</v>
      </c>
      <c r="D2119" s="134"/>
      <c r="E2119" s="135">
        <v>236.21</v>
      </c>
      <c r="F2119" s="46" t="s">
        <v>9</v>
      </c>
      <c r="G2119" s="749">
        <f t="shared" si="153"/>
        <v>0</v>
      </c>
      <c r="H2119" s="775"/>
    </row>
    <row r="2120" spans="1:8">
      <c r="A2120" s="785">
        <v>44958</v>
      </c>
      <c r="B2120" s="337" t="s">
        <v>13953</v>
      </c>
      <c r="C2120" s="776" t="s">
        <v>13448</v>
      </c>
      <c r="D2120" s="134"/>
      <c r="E2120" s="135">
        <v>335.64</v>
      </c>
      <c r="F2120" s="46" t="s">
        <v>9</v>
      </c>
      <c r="G2120" s="749">
        <f t="shared" si="153"/>
        <v>0</v>
      </c>
      <c r="H2120" s="775"/>
    </row>
    <row r="2121" spans="1:8">
      <c r="A2121" s="785">
        <v>44958</v>
      </c>
      <c r="B2121" s="337" t="s">
        <v>13954</v>
      </c>
      <c r="C2121" s="776" t="s">
        <v>13489</v>
      </c>
      <c r="D2121" s="134"/>
      <c r="E2121" s="135">
        <v>204.13</v>
      </c>
      <c r="F2121" s="46" t="s">
        <v>9</v>
      </c>
      <c r="G2121" s="749">
        <f t="shared" si="153"/>
        <v>0</v>
      </c>
      <c r="H2121" s="775"/>
    </row>
    <row r="2122" spans="1:8">
      <c r="A2122" s="785">
        <v>44958</v>
      </c>
      <c r="B2122" s="337" t="s">
        <v>13955</v>
      </c>
      <c r="C2122" s="776" t="s">
        <v>13443</v>
      </c>
      <c r="D2122" s="134"/>
      <c r="E2122" s="135">
        <v>89.06</v>
      </c>
      <c r="F2122" s="46" t="s">
        <v>9</v>
      </c>
      <c r="G2122" s="749">
        <f t="shared" si="153"/>
        <v>0</v>
      </c>
      <c r="H2122" s="775"/>
    </row>
    <row r="2123" spans="1:8">
      <c r="A2123" s="785">
        <v>44958</v>
      </c>
      <c r="B2123" s="337" t="s">
        <v>13959</v>
      </c>
      <c r="C2123" s="776" t="s">
        <v>13368</v>
      </c>
      <c r="D2123" s="134"/>
      <c r="E2123" s="135">
        <v>479.99</v>
      </c>
      <c r="F2123" s="46" t="s">
        <v>9</v>
      </c>
      <c r="G2123" s="749">
        <f t="shared" si="153"/>
        <v>0</v>
      </c>
      <c r="H2123" s="775"/>
    </row>
    <row r="2124" spans="1:8">
      <c r="A2124" s="792">
        <v>44958</v>
      </c>
      <c r="B2124" s="793" t="s">
        <v>13957</v>
      </c>
      <c r="C2124" s="794" t="s">
        <v>13485</v>
      </c>
      <c r="D2124" s="795"/>
      <c r="E2124" s="796">
        <v>450</v>
      </c>
      <c r="F2124" s="797" t="s">
        <v>9</v>
      </c>
      <c r="G2124" s="798">
        <f t="shared" si="153"/>
        <v>0</v>
      </c>
      <c r="H2124" s="775"/>
    </row>
    <row r="2125" spans="1:8">
      <c r="A2125" s="785">
        <v>44958</v>
      </c>
      <c r="B2125" s="337" t="s">
        <v>13960</v>
      </c>
      <c r="C2125" s="776" t="s">
        <v>13529</v>
      </c>
      <c r="D2125" s="134"/>
      <c r="E2125" s="135">
        <v>248.16</v>
      </c>
      <c r="F2125" s="46" t="s">
        <v>9</v>
      </c>
      <c r="G2125" s="749">
        <f t="shared" si="153"/>
        <v>0</v>
      </c>
      <c r="H2125" s="775"/>
    </row>
    <row r="2126" spans="1:8">
      <c r="A2126" s="786">
        <v>44970</v>
      </c>
      <c r="B2126" s="787" t="s">
        <v>13958</v>
      </c>
      <c r="C2126" s="938" t="s">
        <v>13536</v>
      </c>
      <c r="D2126" s="789"/>
      <c r="E2126" s="790">
        <v>248.19</v>
      </c>
      <c r="F2126" s="791" t="s">
        <v>9</v>
      </c>
      <c r="G2126" s="750">
        <f t="shared" si="153"/>
        <v>0</v>
      </c>
      <c r="H2126" s="775"/>
    </row>
    <row r="2127" spans="1:8">
      <c r="A2127" s="1484"/>
      <c r="B2127" s="1485"/>
      <c r="C2127" s="1486" t="s">
        <v>1620</v>
      </c>
      <c r="D2127" s="1487"/>
      <c r="E2127" s="1488">
        <f>SUM(E2128:E2150)</f>
        <v>5406.6600000000017</v>
      </c>
      <c r="F2127" s="1489"/>
      <c r="G2127" s="1490"/>
      <c r="H2127" s="775">
        <f>E2131+SUM(E2134:E2144)+SUM(E2145:E2149)</f>
        <v>3418.19</v>
      </c>
    </row>
    <row r="2128" spans="1:8">
      <c r="A2128" s="785">
        <v>44986</v>
      </c>
      <c r="B2128" s="337" t="s">
        <v>13950</v>
      </c>
      <c r="C2128" s="776" t="s">
        <v>13409</v>
      </c>
      <c r="D2128" s="134"/>
      <c r="E2128" s="135">
        <v>599.38</v>
      </c>
      <c r="F2128" s="46" t="s">
        <v>9</v>
      </c>
      <c r="G2128" s="749">
        <f t="shared" ref="G2128:G2133" si="154">IF(F2128="X",0,E2128)</f>
        <v>0</v>
      </c>
      <c r="H2128" s="775"/>
    </row>
    <row r="2129" spans="1:8">
      <c r="A2129" s="785">
        <v>44986</v>
      </c>
      <c r="B2129" s="337" t="s">
        <v>13952</v>
      </c>
      <c r="C2129" s="776" t="s">
        <v>13467</v>
      </c>
      <c r="D2129" s="134"/>
      <c r="E2129" s="135">
        <v>236.21</v>
      </c>
      <c r="F2129" s="46" t="s">
        <v>9</v>
      </c>
      <c r="G2129" s="749">
        <f t="shared" si="154"/>
        <v>0</v>
      </c>
      <c r="H2129" s="775"/>
    </row>
    <row r="2130" spans="1:8">
      <c r="A2130" s="785">
        <v>44986</v>
      </c>
      <c r="B2130" s="337" t="s">
        <v>13953</v>
      </c>
      <c r="C2130" s="776" t="s">
        <v>13454</v>
      </c>
      <c r="D2130" s="134"/>
      <c r="E2130" s="135">
        <v>335.64</v>
      </c>
      <c r="F2130" s="46" t="s">
        <v>9</v>
      </c>
      <c r="G2130" s="749">
        <f t="shared" si="154"/>
        <v>0</v>
      </c>
      <c r="H2130" s="775"/>
    </row>
    <row r="2131" spans="1:8">
      <c r="A2131" s="792">
        <v>44986</v>
      </c>
      <c r="B2131" s="793" t="s">
        <v>13954</v>
      </c>
      <c r="C2131" s="794" t="s">
        <v>13493</v>
      </c>
      <c r="D2131" s="795"/>
      <c r="E2131" s="796">
        <v>204.13</v>
      </c>
      <c r="F2131" s="797" t="s">
        <v>9</v>
      </c>
      <c r="G2131" s="798">
        <f t="shared" si="154"/>
        <v>0</v>
      </c>
      <c r="H2131" s="775"/>
    </row>
    <row r="2132" spans="1:8">
      <c r="A2132" s="785">
        <v>44986</v>
      </c>
      <c r="B2132" s="337" t="s">
        <v>13955</v>
      </c>
      <c r="C2132" s="776" t="s">
        <v>13448</v>
      </c>
      <c r="D2132" s="134"/>
      <c r="E2132" s="135">
        <v>89.06</v>
      </c>
      <c r="F2132" s="46" t="s">
        <v>9</v>
      </c>
      <c r="G2132" s="749">
        <f t="shared" si="154"/>
        <v>0</v>
      </c>
      <c r="H2132" s="775"/>
    </row>
    <row r="2133" spans="1:8">
      <c r="A2133" s="785">
        <v>44986</v>
      </c>
      <c r="B2133" s="337" t="s">
        <v>13959</v>
      </c>
      <c r="C2133" s="776" t="s">
        <v>13376</v>
      </c>
      <c r="D2133" s="134"/>
      <c r="E2133" s="135">
        <v>479.99</v>
      </c>
      <c r="F2133" s="46" t="s">
        <v>9</v>
      </c>
      <c r="G2133" s="749">
        <f t="shared" si="154"/>
        <v>0</v>
      </c>
      <c r="H2133" s="775"/>
    </row>
    <row r="2134" spans="1:8">
      <c r="A2134" s="785">
        <v>44986</v>
      </c>
      <c r="B2134" s="337" t="s">
        <v>13960</v>
      </c>
      <c r="C2134" s="776" t="s">
        <v>13537</v>
      </c>
      <c r="D2134" s="134"/>
      <c r="E2134" s="135">
        <v>248.16</v>
      </c>
      <c r="F2134" s="46" t="s">
        <v>9</v>
      </c>
      <c r="G2134" s="749">
        <f t="shared" ref="G2134:G2144" si="155">IF(F2134="X",0,E2134)</f>
        <v>0</v>
      </c>
      <c r="H2134" s="775"/>
    </row>
    <row r="2135" spans="1:8">
      <c r="A2135" s="785">
        <v>44986</v>
      </c>
      <c r="B2135" s="337" t="s">
        <v>13960</v>
      </c>
      <c r="C2135" s="776" t="s">
        <v>13542</v>
      </c>
      <c r="D2135" s="134"/>
      <c r="E2135" s="135">
        <v>237.04</v>
      </c>
      <c r="F2135" s="46" t="s">
        <v>9</v>
      </c>
      <c r="G2135" s="749">
        <f t="shared" si="155"/>
        <v>0</v>
      </c>
      <c r="H2135" s="775"/>
    </row>
    <row r="2136" spans="1:8">
      <c r="A2136" s="785">
        <v>44986</v>
      </c>
      <c r="B2136" s="337" t="s">
        <v>13960</v>
      </c>
      <c r="C2136" s="776" t="s">
        <v>13550</v>
      </c>
      <c r="D2136" s="134"/>
      <c r="E2136" s="135">
        <v>237.04</v>
      </c>
      <c r="F2136" s="46" t="s">
        <v>9</v>
      </c>
      <c r="G2136" s="749">
        <f t="shared" si="155"/>
        <v>0</v>
      </c>
      <c r="H2136" s="775"/>
    </row>
    <row r="2137" spans="1:8">
      <c r="A2137" s="785">
        <v>44986</v>
      </c>
      <c r="B2137" s="337" t="s">
        <v>13960</v>
      </c>
      <c r="C2137" s="776" t="s">
        <v>13554</v>
      </c>
      <c r="D2137" s="134"/>
      <c r="E2137" s="135">
        <v>237.04</v>
      </c>
      <c r="F2137" s="46" t="s">
        <v>9</v>
      </c>
      <c r="G2137" s="749">
        <f t="shared" si="155"/>
        <v>0</v>
      </c>
      <c r="H2137" s="775"/>
    </row>
    <row r="2138" spans="1:8">
      <c r="A2138" s="785">
        <v>44986</v>
      </c>
      <c r="B2138" s="337" t="s">
        <v>13960</v>
      </c>
      <c r="C2138" s="776" t="s">
        <v>13561</v>
      </c>
      <c r="D2138" s="134"/>
      <c r="E2138" s="135">
        <v>237.04</v>
      </c>
      <c r="F2138" s="46" t="s">
        <v>9</v>
      </c>
      <c r="G2138" s="749">
        <f t="shared" si="155"/>
        <v>0</v>
      </c>
      <c r="H2138" s="775"/>
    </row>
    <row r="2139" spans="1:8">
      <c r="A2139" s="785">
        <v>44986</v>
      </c>
      <c r="B2139" s="337" t="s">
        <v>13960</v>
      </c>
      <c r="C2139" s="776" t="s">
        <v>13567</v>
      </c>
      <c r="D2139" s="134"/>
      <c r="E2139" s="135">
        <v>237.04</v>
      </c>
      <c r="F2139" s="46" t="s">
        <v>9</v>
      </c>
      <c r="G2139" s="749">
        <f t="shared" si="155"/>
        <v>0</v>
      </c>
      <c r="H2139" s="775"/>
    </row>
    <row r="2140" spans="1:8">
      <c r="A2140" s="785">
        <v>44986</v>
      </c>
      <c r="B2140" s="337" t="s">
        <v>13960</v>
      </c>
      <c r="C2140" s="776" t="s">
        <v>13573</v>
      </c>
      <c r="D2140" s="134"/>
      <c r="E2140" s="135">
        <v>237.04</v>
      </c>
      <c r="F2140" s="46" t="s">
        <v>9</v>
      </c>
      <c r="G2140" s="749">
        <f t="shared" si="155"/>
        <v>0</v>
      </c>
      <c r="H2140" s="775"/>
    </row>
    <row r="2141" spans="1:8">
      <c r="A2141" s="785">
        <v>44986</v>
      </c>
      <c r="B2141" s="337" t="s">
        <v>13960</v>
      </c>
      <c r="C2141" s="776" t="s">
        <v>13580</v>
      </c>
      <c r="D2141" s="134"/>
      <c r="E2141" s="135">
        <v>237.04</v>
      </c>
      <c r="F2141" s="46" t="s">
        <v>9</v>
      </c>
      <c r="G2141" s="749">
        <f t="shared" si="155"/>
        <v>0</v>
      </c>
      <c r="H2141" s="775"/>
    </row>
    <row r="2142" spans="1:8">
      <c r="A2142" s="785">
        <v>44986</v>
      </c>
      <c r="B2142" s="337" t="s">
        <v>13960</v>
      </c>
      <c r="C2142" s="776" t="s">
        <v>13583</v>
      </c>
      <c r="D2142" s="134"/>
      <c r="E2142" s="135">
        <v>237.04</v>
      </c>
      <c r="F2142" s="46" t="s">
        <v>9</v>
      </c>
      <c r="G2142" s="749">
        <f t="shared" si="155"/>
        <v>0</v>
      </c>
      <c r="H2142" s="775"/>
    </row>
    <row r="2143" spans="1:8">
      <c r="A2143" s="785">
        <v>44986</v>
      </c>
      <c r="B2143" s="337" t="s">
        <v>13960</v>
      </c>
      <c r="C2143" s="776" t="s">
        <v>13587</v>
      </c>
      <c r="D2143" s="134"/>
      <c r="E2143" s="135">
        <v>237.04</v>
      </c>
      <c r="F2143" s="46" t="s">
        <v>9</v>
      </c>
      <c r="G2143" s="749">
        <f t="shared" si="155"/>
        <v>0</v>
      </c>
      <c r="H2143" s="775"/>
    </row>
    <row r="2144" spans="1:8">
      <c r="A2144" s="792">
        <v>44986</v>
      </c>
      <c r="B2144" s="793" t="s">
        <v>13960</v>
      </c>
      <c r="C2144" s="794" t="s">
        <v>13590</v>
      </c>
      <c r="D2144" s="795"/>
      <c r="E2144" s="796">
        <v>237.04</v>
      </c>
      <c r="F2144" s="797" t="s">
        <v>9</v>
      </c>
      <c r="G2144" s="798">
        <f t="shared" si="155"/>
        <v>0</v>
      </c>
      <c r="H2144" s="775"/>
    </row>
    <row r="2145" spans="1:8">
      <c r="A2145" s="785">
        <v>44986</v>
      </c>
      <c r="B2145" s="337" t="s">
        <v>13951</v>
      </c>
      <c r="C2145" s="776" t="s">
        <v>13387</v>
      </c>
      <c r="D2145" s="134"/>
      <c r="E2145" s="135">
        <v>121.1</v>
      </c>
      <c r="F2145" s="46" t="s">
        <v>9</v>
      </c>
      <c r="G2145" s="749">
        <f t="shared" ref="G2145:G2150" si="156">IF(F2145="X",0,E2145)</f>
        <v>0</v>
      </c>
      <c r="H2145" s="775"/>
    </row>
    <row r="2146" spans="1:8">
      <c r="A2146" s="785">
        <v>44986</v>
      </c>
      <c r="B2146" s="337" t="s">
        <v>13951</v>
      </c>
      <c r="C2146" s="776" t="s">
        <v>13397</v>
      </c>
      <c r="D2146" s="134"/>
      <c r="E2146" s="135">
        <v>118.6</v>
      </c>
      <c r="F2146" s="46" t="s">
        <v>9</v>
      </c>
      <c r="G2146" s="749">
        <f t="shared" si="156"/>
        <v>0</v>
      </c>
      <c r="H2146" s="775"/>
    </row>
    <row r="2147" spans="1:8">
      <c r="A2147" s="785">
        <v>44986</v>
      </c>
      <c r="B2147" s="337" t="s">
        <v>13951</v>
      </c>
      <c r="C2147" s="776" t="s">
        <v>13402</v>
      </c>
      <c r="D2147" s="134"/>
      <c r="E2147" s="135">
        <v>118.6</v>
      </c>
      <c r="F2147" s="46" t="s">
        <v>9</v>
      </c>
      <c r="G2147" s="749">
        <f t="shared" si="156"/>
        <v>0</v>
      </c>
      <c r="H2147" s="775"/>
    </row>
    <row r="2148" spans="1:8">
      <c r="A2148" s="785">
        <v>44986</v>
      </c>
      <c r="B2148" s="337" t="s">
        <v>13951</v>
      </c>
      <c r="C2148" s="776" t="s">
        <v>13409</v>
      </c>
      <c r="D2148" s="134"/>
      <c r="E2148" s="135">
        <v>118.6</v>
      </c>
      <c r="F2148" s="46" t="s">
        <v>9</v>
      </c>
      <c r="G2148" s="749">
        <f t="shared" si="156"/>
        <v>0</v>
      </c>
      <c r="H2148" s="775"/>
    </row>
    <row r="2149" spans="1:8">
      <c r="A2149" s="792">
        <v>44986</v>
      </c>
      <c r="B2149" s="793" t="s">
        <v>13951</v>
      </c>
      <c r="C2149" s="794" t="s">
        <v>13414</v>
      </c>
      <c r="D2149" s="795"/>
      <c r="E2149" s="796">
        <v>118.6</v>
      </c>
      <c r="F2149" s="797" t="s">
        <v>9</v>
      </c>
      <c r="G2149" s="798">
        <f t="shared" si="156"/>
        <v>0</v>
      </c>
      <c r="H2149" s="775"/>
    </row>
    <row r="2150" spans="1:8">
      <c r="A2150" s="786">
        <v>44998</v>
      </c>
      <c r="B2150" s="787" t="s">
        <v>13958</v>
      </c>
      <c r="C2150" s="938" t="s">
        <v>13541</v>
      </c>
      <c r="D2150" s="789"/>
      <c r="E2150" s="790">
        <v>248.19</v>
      </c>
      <c r="F2150" s="791" t="s">
        <v>9</v>
      </c>
      <c r="G2150" s="750">
        <f t="shared" si="156"/>
        <v>0</v>
      </c>
      <c r="H2150" s="775"/>
    </row>
    <row r="2151" spans="1:8">
      <c r="A2151" s="1484"/>
      <c r="B2151" s="1485"/>
      <c r="C2151" s="1486" t="s">
        <v>1621</v>
      </c>
      <c r="D2151" s="1487"/>
      <c r="E2151" s="1488">
        <f>SUM(E2152:E2157)</f>
        <v>1988.47</v>
      </c>
      <c r="F2151" s="1489"/>
      <c r="G2151" s="1490"/>
      <c r="H2151" s="775">
        <f>E2152+E2153</f>
        <v>835.59</v>
      </c>
    </row>
    <row r="2152" spans="1:8">
      <c r="A2152" s="792">
        <v>45017</v>
      </c>
      <c r="B2152" s="793" t="s">
        <v>13950</v>
      </c>
      <c r="C2152" s="794" t="s">
        <v>13414</v>
      </c>
      <c r="D2152" s="795"/>
      <c r="E2152" s="796">
        <v>599.38</v>
      </c>
      <c r="F2152" s="797" t="s">
        <v>9</v>
      </c>
      <c r="G2152" s="798">
        <f t="shared" ref="G2152:G2157" si="157">IF(F2152="X",0,E2152)</f>
        <v>0</v>
      </c>
      <c r="H2152" s="775"/>
    </row>
    <row r="2153" spans="1:8">
      <c r="A2153" s="792">
        <v>45017</v>
      </c>
      <c r="B2153" s="793" t="s">
        <v>13952</v>
      </c>
      <c r="C2153" s="794" t="s">
        <v>13475</v>
      </c>
      <c r="D2153" s="795"/>
      <c r="E2153" s="796">
        <v>236.21</v>
      </c>
      <c r="F2153" s="797" t="s">
        <v>9</v>
      </c>
      <c r="G2153" s="798">
        <f t="shared" si="157"/>
        <v>0</v>
      </c>
      <c r="H2153" s="775"/>
    </row>
    <row r="2154" spans="1:8">
      <c r="A2154" s="785">
        <v>45017</v>
      </c>
      <c r="B2154" s="337" t="s">
        <v>13953</v>
      </c>
      <c r="C2154" s="776" t="s">
        <v>13467</v>
      </c>
      <c r="D2154" s="134"/>
      <c r="E2154" s="135">
        <v>335.64</v>
      </c>
      <c r="F2154" s="46" t="s">
        <v>9</v>
      </c>
      <c r="G2154" s="749">
        <f t="shared" si="157"/>
        <v>0</v>
      </c>
      <c r="H2154" s="775"/>
    </row>
    <row r="2155" spans="1:8">
      <c r="A2155" s="785">
        <v>45017</v>
      </c>
      <c r="B2155" s="337" t="s">
        <v>13955</v>
      </c>
      <c r="C2155" s="776" t="s">
        <v>13454</v>
      </c>
      <c r="D2155" s="134"/>
      <c r="E2155" s="135">
        <v>89.06</v>
      </c>
      <c r="F2155" s="46" t="s">
        <v>9</v>
      </c>
      <c r="G2155" s="749">
        <f t="shared" si="157"/>
        <v>0</v>
      </c>
      <c r="H2155" s="775"/>
    </row>
    <row r="2156" spans="1:8">
      <c r="A2156" s="785">
        <v>45017</v>
      </c>
      <c r="B2156" s="337" t="s">
        <v>13959</v>
      </c>
      <c r="C2156" s="776" t="s">
        <v>13380</v>
      </c>
      <c r="D2156" s="134"/>
      <c r="E2156" s="135">
        <v>479.99</v>
      </c>
      <c r="F2156" s="46" t="s">
        <v>9</v>
      </c>
      <c r="G2156" s="749">
        <f t="shared" si="157"/>
        <v>0</v>
      </c>
      <c r="H2156" s="775"/>
    </row>
    <row r="2157" spans="1:8">
      <c r="A2157" s="786">
        <v>45029</v>
      </c>
      <c r="B2157" s="787" t="s">
        <v>13958</v>
      </c>
      <c r="C2157" s="938" t="s">
        <v>13549</v>
      </c>
      <c r="D2157" s="789"/>
      <c r="E2157" s="790">
        <v>248.19</v>
      </c>
      <c r="F2157" s="791" t="s">
        <v>9</v>
      </c>
      <c r="G2157" s="750">
        <f t="shared" si="157"/>
        <v>0</v>
      </c>
      <c r="H2157" s="775"/>
    </row>
    <row r="2158" spans="1:8">
      <c r="A2158" s="1484"/>
      <c r="B2158" s="1485"/>
      <c r="C2158" s="1486" t="s">
        <v>13961</v>
      </c>
      <c r="D2158" s="1487"/>
      <c r="E2158" s="1488">
        <f>SUM(E2159:E2163)</f>
        <v>1477.88</v>
      </c>
      <c r="F2158" s="1489"/>
      <c r="G2158" s="1490"/>
      <c r="H2158" s="775">
        <f>E2159+E2163</f>
        <v>583.82999999999993</v>
      </c>
    </row>
    <row r="2159" spans="1:8">
      <c r="A2159" s="792">
        <v>45047</v>
      </c>
      <c r="B2159" s="793" t="s">
        <v>13953</v>
      </c>
      <c r="C2159" s="794" t="s">
        <v>13475</v>
      </c>
      <c r="D2159" s="795"/>
      <c r="E2159" s="796">
        <v>335.64</v>
      </c>
      <c r="F2159" s="797" t="s">
        <v>9</v>
      </c>
      <c r="G2159" s="798">
        <f>IF(F2159="X",0,E2159)</f>
        <v>0</v>
      </c>
      <c r="H2159" s="775"/>
    </row>
    <row r="2160" spans="1:8">
      <c r="A2160" s="785">
        <v>45047</v>
      </c>
      <c r="B2160" s="337" t="s">
        <v>13955</v>
      </c>
      <c r="C2160" s="776" t="s">
        <v>13467</v>
      </c>
      <c r="D2160" s="134"/>
      <c r="E2160" s="135">
        <v>89.06</v>
      </c>
      <c r="F2160" s="46" t="s">
        <v>9</v>
      </c>
      <c r="G2160" s="749">
        <f>IF(F2160="X",0,E2160)</f>
        <v>0</v>
      </c>
      <c r="H2160" s="775"/>
    </row>
    <row r="2161" spans="1:8">
      <c r="A2161" s="785">
        <v>45047</v>
      </c>
      <c r="B2161" s="337" t="s">
        <v>13959</v>
      </c>
      <c r="C2161" s="776" t="s">
        <v>13384</v>
      </c>
      <c r="D2161" s="134"/>
      <c r="E2161" s="135">
        <v>479.99</v>
      </c>
      <c r="F2161" s="46" t="s">
        <v>9</v>
      </c>
      <c r="G2161" s="749">
        <f>IF(F2161="X",0,E2161)</f>
        <v>0</v>
      </c>
      <c r="H2161" s="775"/>
    </row>
    <row r="2162" spans="1:8">
      <c r="A2162" s="785">
        <v>45047</v>
      </c>
      <c r="B2162" s="337" t="s">
        <v>13962</v>
      </c>
      <c r="C2162" s="776" t="s">
        <v>13459</v>
      </c>
      <c r="D2162" s="134"/>
      <c r="E2162" s="135">
        <v>325</v>
      </c>
      <c r="F2162" s="46" t="s">
        <v>9</v>
      </c>
      <c r="G2162" s="749">
        <f>IF(F2162="X",0,E2162)</f>
        <v>0</v>
      </c>
      <c r="H2162" s="775"/>
    </row>
    <row r="2163" spans="1:8" ht="14.25" thickBot="1">
      <c r="A2163" s="792">
        <v>45059</v>
      </c>
      <c r="B2163" s="793" t="s">
        <v>13958</v>
      </c>
      <c r="C2163" s="794" t="s">
        <v>13555</v>
      </c>
      <c r="D2163" s="795"/>
      <c r="E2163" s="796">
        <v>248.19</v>
      </c>
      <c r="F2163" s="797" t="s">
        <v>9</v>
      </c>
      <c r="G2163" s="798">
        <f>IF(F2163="X",0,E2163)</f>
        <v>0</v>
      </c>
      <c r="H2163" s="775"/>
    </row>
    <row r="2164" spans="1:8">
      <c r="A2164" s="1519"/>
      <c r="B2164" s="1520"/>
      <c r="C2164" s="1521" t="s">
        <v>1623</v>
      </c>
      <c r="D2164" s="1522"/>
      <c r="E2164" s="1523">
        <f>SUM(E2165:E2169)</f>
        <v>1105.71</v>
      </c>
      <c r="F2164" s="1524"/>
      <c r="G2164" s="1525"/>
      <c r="H2164" s="775">
        <f>E2169</f>
        <v>89.06</v>
      </c>
    </row>
    <row r="2165" spans="1:8">
      <c r="A2165" s="1526">
        <v>45078</v>
      </c>
      <c r="B2165" s="337" t="s">
        <v>13959</v>
      </c>
      <c r="C2165" s="776" t="s">
        <v>13387</v>
      </c>
      <c r="D2165" s="134"/>
      <c r="E2165" s="135">
        <v>479.99</v>
      </c>
      <c r="F2165" s="46" t="s">
        <v>9</v>
      </c>
      <c r="G2165" s="857">
        <f>IF(F2165="X",0,E2165)</f>
        <v>0</v>
      </c>
      <c r="H2165" s="775"/>
    </row>
    <row r="2166" spans="1:8">
      <c r="A2166" s="1526">
        <v>45078</v>
      </c>
      <c r="B2166" s="337" t="s">
        <v>13962</v>
      </c>
      <c r="C2166" s="776" t="s">
        <v>13481</v>
      </c>
      <c r="D2166" s="134"/>
      <c r="E2166" s="135">
        <v>325</v>
      </c>
      <c r="F2166" s="46" t="s">
        <v>9</v>
      </c>
      <c r="G2166" s="857">
        <f>IF(F2166="X",0,E2166)</f>
        <v>0</v>
      </c>
      <c r="H2166" s="775"/>
    </row>
    <row r="2167" spans="1:8">
      <c r="A2167" s="1526">
        <v>45078</v>
      </c>
      <c r="B2167" s="337" t="s">
        <v>13963</v>
      </c>
      <c r="C2167" s="776" t="s">
        <v>13526</v>
      </c>
      <c r="D2167" s="134"/>
      <c r="E2167" s="135">
        <v>125.13</v>
      </c>
      <c r="F2167" s="46" t="s">
        <v>9</v>
      </c>
      <c r="G2167" s="857">
        <f>IF(F2167="X",0,E2167)</f>
        <v>0</v>
      </c>
      <c r="H2167" s="775"/>
    </row>
    <row r="2168" spans="1:8">
      <c r="A2168" s="1526">
        <v>45078</v>
      </c>
      <c r="B2168" s="337" t="s">
        <v>13964</v>
      </c>
      <c r="C2168" s="776" t="s">
        <v>13526</v>
      </c>
      <c r="D2168" s="134"/>
      <c r="E2168" s="135">
        <v>86.53</v>
      </c>
      <c r="F2168" s="46" t="s">
        <v>9</v>
      </c>
      <c r="G2168" s="857">
        <f>IF(F2168="X",0,E2168)</f>
        <v>0</v>
      </c>
      <c r="H2168" s="775"/>
    </row>
    <row r="2169" spans="1:8" ht="14.25" thickBot="1">
      <c r="A2169" s="1536">
        <v>45078</v>
      </c>
      <c r="B2169" s="1537" t="s">
        <v>13955</v>
      </c>
      <c r="C2169" s="1538" t="s">
        <v>13475</v>
      </c>
      <c r="D2169" s="1539"/>
      <c r="E2169" s="1540">
        <v>89.06</v>
      </c>
      <c r="F2169" s="1541" t="s">
        <v>9</v>
      </c>
      <c r="G2169" s="1542">
        <f>IF(F2169="X",0,E2169)</f>
        <v>0</v>
      </c>
      <c r="H2169" s="775"/>
    </row>
    <row r="2170" spans="1:8">
      <c r="A2170" s="1519"/>
      <c r="B2170" s="1520"/>
      <c r="C2170" s="1521" t="s">
        <v>1624</v>
      </c>
      <c r="D2170" s="1522"/>
      <c r="E2170" s="1523">
        <f>SUM(E2171:E2174)</f>
        <v>1016.65</v>
      </c>
      <c r="F2170" s="1524"/>
      <c r="G2170" s="1525"/>
      <c r="H2170" s="775"/>
    </row>
    <row r="2171" spans="1:8">
      <c r="A2171" s="1526">
        <v>45108</v>
      </c>
      <c r="B2171" s="337" t="s">
        <v>13959</v>
      </c>
      <c r="C2171" s="776" t="s">
        <v>13397</v>
      </c>
      <c r="D2171" s="134"/>
      <c r="E2171" s="135">
        <v>479.99</v>
      </c>
      <c r="F2171" s="46" t="s">
        <v>9</v>
      </c>
      <c r="G2171" s="857">
        <f>IF(F2171="X",0,E2171)</f>
        <v>0</v>
      </c>
      <c r="H2171" s="775"/>
    </row>
    <row r="2172" spans="1:8">
      <c r="A2172" s="1526">
        <v>45108</v>
      </c>
      <c r="B2172" s="337" t="s">
        <v>13962</v>
      </c>
      <c r="C2172" s="776" t="s">
        <v>13489</v>
      </c>
      <c r="D2172" s="134"/>
      <c r="E2172" s="135">
        <v>325</v>
      </c>
      <c r="F2172" s="46" t="s">
        <v>9</v>
      </c>
      <c r="G2172" s="857">
        <f>IF(F2172="X",0,E2172)</f>
        <v>0</v>
      </c>
      <c r="H2172" s="775"/>
    </row>
    <row r="2173" spans="1:8">
      <c r="A2173" s="1526">
        <v>45108</v>
      </c>
      <c r="B2173" s="337" t="s">
        <v>13963</v>
      </c>
      <c r="C2173" s="776" t="s">
        <v>13536</v>
      </c>
      <c r="D2173" s="134"/>
      <c r="E2173" s="135">
        <v>125.13</v>
      </c>
      <c r="F2173" s="46" t="s">
        <v>9</v>
      </c>
      <c r="G2173" s="857">
        <f>IF(F2173="X",0,E2173)</f>
        <v>0</v>
      </c>
      <c r="H2173" s="775"/>
    </row>
    <row r="2174" spans="1:8" ht="14.25" thickBot="1">
      <c r="A2174" s="1529">
        <v>45108</v>
      </c>
      <c r="B2174" s="1530" t="s">
        <v>13964</v>
      </c>
      <c r="C2174" s="1535" t="s">
        <v>13536</v>
      </c>
      <c r="D2174" s="1531"/>
      <c r="E2174" s="1035">
        <v>86.53</v>
      </c>
      <c r="F2174" s="1532" t="s">
        <v>9</v>
      </c>
      <c r="G2174" s="870">
        <f>IF(F2174="X",0,E2174)</f>
        <v>0</v>
      </c>
      <c r="H2174" s="775"/>
    </row>
    <row r="2175" spans="1:8">
      <c r="A2175" s="1519"/>
      <c r="B2175" s="1520"/>
      <c r="C2175" s="1521" t="s">
        <v>1625</v>
      </c>
      <c r="D2175" s="1522"/>
      <c r="E2175" s="1523">
        <f>SUM(E2176:E2180)</f>
        <v>1098.83</v>
      </c>
      <c r="F2175" s="1524"/>
      <c r="G2175" s="1525"/>
      <c r="H2175" s="775">
        <f>E2177</f>
        <v>325</v>
      </c>
    </row>
    <row r="2176" spans="1:8">
      <c r="A2176" s="1526">
        <v>45139</v>
      </c>
      <c r="B2176" s="337" t="s">
        <v>13959</v>
      </c>
      <c r="C2176" s="776" t="s">
        <v>13402</v>
      </c>
      <c r="D2176" s="134"/>
      <c r="E2176" s="135">
        <v>479.99</v>
      </c>
      <c r="F2176" s="46" t="s">
        <v>9</v>
      </c>
      <c r="G2176" s="857">
        <f>IF(F2176="X",0,E2176)</f>
        <v>0</v>
      </c>
      <c r="H2176" s="775"/>
    </row>
    <row r="2177" spans="1:8">
      <c r="A2177" s="1527">
        <v>45139</v>
      </c>
      <c r="B2177" s="793" t="s">
        <v>13962</v>
      </c>
      <c r="C2177" s="794" t="s">
        <v>13493</v>
      </c>
      <c r="D2177" s="795"/>
      <c r="E2177" s="796">
        <v>325</v>
      </c>
      <c r="F2177" s="797" t="s">
        <v>9</v>
      </c>
      <c r="G2177" s="1528">
        <f>IF(F2177="X",0,E2177)</f>
        <v>0</v>
      </c>
      <c r="H2177" s="775"/>
    </row>
    <row r="2178" spans="1:8">
      <c r="A2178" s="1526">
        <v>45139</v>
      </c>
      <c r="B2178" s="337" t="s">
        <v>13963</v>
      </c>
      <c r="C2178" s="776" t="s">
        <v>13541</v>
      </c>
      <c r="D2178" s="134"/>
      <c r="E2178" s="135">
        <v>125.13</v>
      </c>
      <c r="F2178" s="46" t="s">
        <v>9</v>
      </c>
      <c r="G2178" s="857">
        <f>IF(F2178="X",0,E2178)</f>
        <v>0</v>
      </c>
      <c r="H2178" s="775"/>
    </row>
    <row r="2179" spans="1:8">
      <c r="A2179" s="1526">
        <v>45139</v>
      </c>
      <c r="B2179" s="337" t="s">
        <v>13964</v>
      </c>
      <c r="C2179" s="776" t="s">
        <v>13541</v>
      </c>
      <c r="D2179" s="134"/>
      <c r="E2179" s="135">
        <v>86.53</v>
      </c>
      <c r="F2179" s="46" t="s">
        <v>9</v>
      </c>
      <c r="G2179" s="857">
        <f>IF(F2179="X",0,E2179)</f>
        <v>0</v>
      </c>
      <c r="H2179" s="775"/>
    </row>
    <row r="2180" spans="1:8" ht="14.25" thickBot="1">
      <c r="A2180" s="1529">
        <v>45139</v>
      </c>
      <c r="B2180" s="1530" t="s">
        <v>13965</v>
      </c>
      <c r="C2180" s="1535" t="s">
        <v>13630</v>
      </c>
      <c r="D2180" s="1531"/>
      <c r="E2180" s="1035">
        <v>82.18</v>
      </c>
      <c r="F2180" s="1532" t="s">
        <v>9</v>
      </c>
      <c r="G2180" s="870">
        <f>IF(F2180="X",0,E2180)</f>
        <v>0</v>
      </c>
      <c r="H2180" s="775"/>
    </row>
    <row r="2181" spans="1:8">
      <c r="A2181" s="1533"/>
      <c r="B2181" s="1485"/>
      <c r="C2181" s="1486" t="s">
        <v>1626</v>
      </c>
      <c r="D2181" s="1487"/>
      <c r="E2181" s="1488">
        <f>SUM(E2182:E2187)</f>
        <v>1507.5299999999997</v>
      </c>
      <c r="F2181" s="1489"/>
      <c r="G2181" s="1534"/>
      <c r="H2181" s="775"/>
    </row>
    <row r="2182" spans="1:8">
      <c r="A2182" s="1526">
        <v>45170</v>
      </c>
      <c r="B2182" s="337" t="s">
        <v>13959</v>
      </c>
      <c r="C2182" s="776" t="s">
        <v>13409</v>
      </c>
      <c r="D2182" s="134"/>
      <c r="E2182" s="135">
        <v>479.99</v>
      </c>
      <c r="F2182" s="46" t="s">
        <v>9</v>
      </c>
      <c r="G2182" s="857">
        <f t="shared" ref="G2182:G2187" si="158">IF(F2182="X",0,E2182)</f>
        <v>0</v>
      </c>
      <c r="H2182" s="775"/>
    </row>
    <row r="2183" spans="1:8">
      <c r="A2183" s="1526">
        <v>45170</v>
      </c>
      <c r="B2183" s="337" t="s">
        <v>13963</v>
      </c>
      <c r="C2183" s="776" t="s">
        <v>13549</v>
      </c>
      <c r="D2183" s="134"/>
      <c r="E2183" s="135">
        <v>125.13</v>
      </c>
      <c r="F2183" s="46" t="s">
        <v>9</v>
      </c>
      <c r="G2183" s="857">
        <f t="shared" si="158"/>
        <v>0</v>
      </c>
      <c r="H2183" s="775"/>
    </row>
    <row r="2184" spans="1:8">
      <c r="A2184" s="1526">
        <v>45170</v>
      </c>
      <c r="B2184" s="337" t="s">
        <v>13964</v>
      </c>
      <c r="C2184" s="776" t="s">
        <v>13549</v>
      </c>
      <c r="D2184" s="134"/>
      <c r="E2184" s="135">
        <v>86.53</v>
      </c>
      <c r="F2184" s="46" t="s">
        <v>9</v>
      </c>
      <c r="G2184" s="857">
        <f t="shared" si="158"/>
        <v>0</v>
      </c>
      <c r="H2184" s="775"/>
    </row>
    <row r="2185" spans="1:8">
      <c r="A2185" s="1526">
        <v>45170</v>
      </c>
      <c r="B2185" s="337" t="s">
        <v>13965</v>
      </c>
      <c r="C2185" s="776" t="s">
        <v>13443</v>
      </c>
      <c r="D2185" s="134"/>
      <c r="E2185" s="135">
        <v>82.18</v>
      </c>
      <c r="F2185" s="46" t="s">
        <v>9</v>
      </c>
      <c r="G2185" s="857">
        <f t="shared" si="158"/>
        <v>0</v>
      </c>
      <c r="H2185" s="775"/>
    </row>
    <row r="2186" spans="1:8">
      <c r="A2186" s="1526">
        <v>45170</v>
      </c>
      <c r="B2186" s="337" t="s">
        <v>13966</v>
      </c>
      <c r="C2186" s="776" t="s">
        <v>13437</v>
      </c>
      <c r="D2186" s="134"/>
      <c r="E2186" s="135">
        <v>283.8</v>
      </c>
      <c r="F2186" s="46" t="s">
        <v>9</v>
      </c>
      <c r="G2186" s="857">
        <f t="shared" si="158"/>
        <v>0</v>
      </c>
      <c r="H2186" s="775"/>
    </row>
    <row r="2187" spans="1:8" ht="14.25" thickBot="1">
      <c r="A2187" s="1529">
        <v>45170</v>
      </c>
      <c r="B2187" s="1530" t="s">
        <v>13967</v>
      </c>
      <c r="C2187" s="1535" t="s">
        <v>13356</v>
      </c>
      <c r="D2187" s="1531"/>
      <c r="E2187" s="1035">
        <v>449.9</v>
      </c>
      <c r="F2187" s="1532" t="s">
        <v>9</v>
      </c>
      <c r="G2187" s="870">
        <f t="shared" si="158"/>
        <v>0</v>
      </c>
      <c r="H2187" s="775"/>
    </row>
    <row r="2188" spans="1:8">
      <c r="A2188" s="1519"/>
      <c r="B2188" s="1520"/>
      <c r="C2188" s="1521" t="s">
        <v>1627</v>
      </c>
      <c r="D2188" s="1522"/>
      <c r="E2188" s="1523">
        <f>SUM(E2189:E2197)</f>
        <v>2150.08</v>
      </c>
      <c r="F2188" s="1524"/>
      <c r="G2188" s="1525"/>
      <c r="H2188" s="775">
        <f>E2189+E2190+E2191</f>
        <v>691.65</v>
      </c>
    </row>
    <row r="2189" spans="1:8">
      <c r="A2189" s="1527">
        <v>45200</v>
      </c>
      <c r="B2189" s="793" t="s">
        <v>13959</v>
      </c>
      <c r="C2189" s="794" t="s">
        <v>13414</v>
      </c>
      <c r="D2189" s="795"/>
      <c r="E2189" s="796">
        <v>479.99</v>
      </c>
      <c r="F2189" s="797" t="s">
        <v>9</v>
      </c>
      <c r="G2189" s="1528">
        <f t="shared" ref="G2189:G2197" si="159">IF(F2189="X",0,E2189)</f>
        <v>0</v>
      </c>
      <c r="H2189" s="775"/>
    </row>
    <row r="2190" spans="1:8">
      <c r="A2190" s="1527">
        <v>45200</v>
      </c>
      <c r="B2190" s="793" t="s">
        <v>13963</v>
      </c>
      <c r="C2190" s="794" t="s">
        <v>13555</v>
      </c>
      <c r="D2190" s="795"/>
      <c r="E2190" s="796">
        <v>125.13</v>
      </c>
      <c r="F2190" s="797" t="s">
        <v>9</v>
      </c>
      <c r="G2190" s="1528">
        <f t="shared" si="159"/>
        <v>0</v>
      </c>
      <c r="H2190" s="775"/>
    </row>
    <row r="2191" spans="1:8">
      <c r="A2191" s="1527">
        <v>45200</v>
      </c>
      <c r="B2191" s="793" t="s">
        <v>13964</v>
      </c>
      <c r="C2191" s="794" t="s">
        <v>13555</v>
      </c>
      <c r="D2191" s="795"/>
      <c r="E2191" s="796">
        <v>86.53</v>
      </c>
      <c r="F2191" s="797" t="s">
        <v>9</v>
      </c>
      <c r="G2191" s="1528">
        <f t="shared" si="159"/>
        <v>0</v>
      </c>
      <c r="H2191" s="775"/>
    </row>
    <row r="2192" spans="1:8">
      <c r="A2192" s="1526">
        <v>45200</v>
      </c>
      <c r="B2192" s="337" t="s">
        <v>13965</v>
      </c>
      <c r="C2192" s="776" t="s">
        <v>13448</v>
      </c>
      <c r="D2192" s="134"/>
      <c r="E2192" s="135">
        <v>82.18</v>
      </c>
      <c r="F2192" s="46" t="s">
        <v>9</v>
      </c>
      <c r="G2192" s="857">
        <f t="shared" si="159"/>
        <v>0</v>
      </c>
      <c r="H2192" s="775"/>
    </row>
    <row r="2193" spans="1:8">
      <c r="A2193" s="1526">
        <v>45200</v>
      </c>
      <c r="B2193" s="337" t="s">
        <v>13966</v>
      </c>
      <c r="C2193" s="776" t="s">
        <v>13443</v>
      </c>
      <c r="D2193" s="134"/>
      <c r="E2193" s="135">
        <v>283.8</v>
      </c>
      <c r="F2193" s="46" t="s">
        <v>9</v>
      </c>
      <c r="G2193" s="857">
        <f t="shared" si="159"/>
        <v>0</v>
      </c>
      <c r="H2193" s="775"/>
    </row>
    <row r="2194" spans="1:8">
      <c r="A2194" s="1526">
        <v>45200</v>
      </c>
      <c r="B2194" s="337" t="s">
        <v>13967</v>
      </c>
      <c r="C2194" s="776" t="s">
        <v>13368</v>
      </c>
      <c r="D2194" s="134"/>
      <c r="E2194" s="135">
        <v>449.9</v>
      </c>
      <c r="F2194" s="46" t="s">
        <v>9</v>
      </c>
      <c r="G2194" s="857">
        <f t="shared" si="159"/>
        <v>0</v>
      </c>
      <c r="H2194" s="775"/>
    </row>
    <row r="2195" spans="1:8">
      <c r="A2195" s="1526">
        <v>45200</v>
      </c>
      <c r="B2195" s="337" t="s">
        <v>13968</v>
      </c>
      <c r="C2195" s="776" t="s">
        <v>13459</v>
      </c>
      <c r="D2195" s="134"/>
      <c r="E2195" s="135">
        <v>59.98</v>
      </c>
      <c r="F2195" s="46" t="s">
        <v>9</v>
      </c>
      <c r="G2195" s="857">
        <f t="shared" si="159"/>
        <v>0</v>
      </c>
      <c r="H2195" s="775"/>
    </row>
    <row r="2196" spans="1:8">
      <c r="A2196" s="1526">
        <v>45200</v>
      </c>
      <c r="B2196" s="337" t="s">
        <v>1746</v>
      </c>
      <c r="C2196" s="776" t="s">
        <v>13437</v>
      </c>
      <c r="D2196" s="134"/>
      <c r="E2196" s="135">
        <v>215</v>
      </c>
      <c r="F2196" s="46" t="s">
        <v>9</v>
      </c>
      <c r="G2196" s="857">
        <f t="shared" si="159"/>
        <v>0</v>
      </c>
      <c r="H2196" s="775"/>
    </row>
    <row r="2197" spans="1:8" ht="14.25" thickBot="1">
      <c r="A2197" s="1526">
        <v>45200</v>
      </c>
      <c r="B2197" s="337" t="s">
        <v>13969</v>
      </c>
      <c r="C2197" s="776" t="s">
        <v>13437</v>
      </c>
      <c r="D2197" s="134"/>
      <c r="E2197" s="135">
        <v>367.57</v>
      </c>
      <c r="F2197" s="46" t="s">
        <v>9</v>
      </c>
      <c r="G2197" s="857">
        <f t="shared" si="159"/>
        <v>0</v>
      </c>
      <c r="H2197" s="775"/>
    </row>
    <row r="2198" spans="1:8">
      <c r="A2198" s="1519"/>
      <c r="B2198" s="1520"/>
      <c r="C2198" s="1521" t="s">
        <v>1628</v>
      </c>
      <c r="D2198" s="1522"/>
      <c r="E2198" s="1523">
        <f>SUM(E2199:E2207)</f>
        <v>1892.3000000000002</v>
      </c>
      <c r="F2198" s="1524"/>
      <c r="G2198" s="1525"/>
      <c r="H2198" s="775"/>
    </row>
    <row r="2199" spans="1:8">
      <c r="A2199" s="1526">
        <v>45231</v>
      </c>
      <c r="B2199" s="337" t="s">
        <v>13965</v>
      </c>
      <c r="C2199" s="776" t="s">
        <v>13454</v>
      </c>
      <c r="D2199" s="134"/>
      <c r="E2199" s="135">
        <v>82.18</v>
      </c>
      <c r="F2199" s="46" t="s">
        <v>9</v>
      </c>
      <c r="G2199" s="857">
        <f>IF(F2199="X",0,E2199)</f>
        <v>0</v>
      </c>
      <c r="H2199" s="775"/>
    </row>
    <row r="2200" spans="1:8">
      <c r="A2200" s="1526">
        <v>45231</v>
      </c>
      <c r="B2200" s="337" t="s">
        <v>13966</v>
      </c>
      <c r="C2200" s="776" t="s">
        <v>13448</v>
      </c>
      <c r="D2200" s="134"/>
      <c r="E2200" s="135">
        <v>283.8</v>
      </c>
      <c r="F2200" s="46" t="s">
        <v>9</v>
      </c>
      <c r="G2200" s="857">
        <f>IF(F2200="X",0,E2200)</f>
        <v>0</v>
      </c>
      <c r="H2200" s="775"/>
    </row>
    <row r="2201" spans="1:8">
      <c r="A2201" s="1526">
        <v>45231</v>
      </c>
      <c r="B2201" s="337" t="s">
        <v>13967</v>
      </c>
      <c r="C2201" s="776" t="s">
        <v>13376</v>
      </c>
      <c r="D2201" s="134"/>
      <c r="E2201" s="135">
        <v>449.9</v>
      </c>
      <c r="F2201" s="46" t="s">
        <v>9</v>
      </c>
      <c r="G2201" s="857">
        <f t="shared" ref="G2201:G2207" si="160">IF(F2201="X",0,E2201)</f>
        <v>0</v>
      </c>
      <c r="H2201" s="775"/>
    </row>
    <row r="2202" spans="1:8">
      <c r="A2202" s="1526">
        <v>45231</v>
      </c>
      <c r="B2202" s="337" t="s">
        <v>13968</v>
      </c>
      <c r="C2202" s="776" t="s">
        <v>13481</v>
      </c>
      <c r="D2202" s="134"/>
      <c r="E2202" s="135">
        <v>59.98</v>
      </c>
      <c r="F2202" s="46" t="s">
        <v>9</v>
      </c>
      <c r="G2202" s="857">
        <f t="shared" si="160"/>
        <v>0</v>
      </c>
      <c r="H2202" s="775"/>
    </row>
    <row r="2203" spans="1:8">
      <c r="A2203" s="1526">
        <v>45231</v>
      </c>
      <c r="B2203" s="337" t="s">
        <v>1746</v>
      </c>
      <c r="C2203" s="776" t="s">
        <v>13443</v>
      </c>
      <c r="D2203" s="134"/>
      <c r="E2203" s="135">
        <v>215</v>
      </c>
      <c r="F2203" s="46" t="s">
        <v>9</v>
      </c>
      <c r="G2203" s="857">
        <f t="shared" si="160"/>
        <v>0</v>
      </c>
      <c r="H2203" s="775"/>
    </row>
    <row r="2204" spans="1:8">
      <c r="A2204" s="1526">
        <v>45231</v>
      </c>
      <c r="B2204" s="337" t="s">
        <v>13969</v>
      </c>
      <c r="C2204" s="776" t="s">
        <v>13443</v>
      </c>
      <c r="D2204" s="134"/>
      <c r="E2204" s="135">
        <v>367.57</v>
      </c>
      <c r="F2204" s="46" t="s">
        <v>9</v>
      </c>
      <c r="G2204" s="857">
        <f t="shared" si="160"/>
        <v>0</v>
      </c>
      <c r="H2204" s="775"/>
    </row>
    <row r="2205" spans="1:8">
      <c r="A2205" s="1526">
        <v>45231</v>
      </c>
      <c r="B2205" s="337" t="s">
        <v>13970</v>
      </c>
      <c r="C2205" s="776" t="s">
        <v>13437</v>
      </c>
      <c r="D2205" s="134"/>
      <c r="E2205" s="135">
        <v>58.17</v>
      </c>
      <c r="F2205" s="46" t="s">
        <v>9</v>
      </c>
      <c r="G2205" s="857">
        <f t="shared" si="160"/>
        <v>0</v>
      </c>
      <c r="H2205" s="775"/>
    </row>
    <row r="2206" spans="1:8">
      <c r="A2206" s="1526">
        <v>45231</v>
      </c>
      <c r="B2206" s="337" t="s">
        <v>13971</v>
      </c>
      <c r="C2206" s="776" t="s">
        <v>13437</v>
      </c>
      <c r="D2206" s="134"/>
      <c r="E2206" s="135">
        <v>17.45</v>
      </c>
      <c r="F2206" s="46" t="s">
        <v>9</v>
      </c>
      <c r="G2206" s="857">
        <f t="shared" si="160"/>
        <v>0</v>
      </c>
      <c r="H2206" s="775"/>
    </row>
    <row r="2207" spans="1:8" ht="14.25" thickBot="1">
      <c r="A2207" s="1526">
        <v>45231</v>
      </c>
      <c r="B2207" s="337" t="s">
        <v>13972</v>
      </c>
      <c r="C2207" s="776" t="s">
        <v>13529</v>
      </c>
      <c r="D2207" s="134"/>
      <c r="E2207" s="135">
        <v>358.25</v>
      </c>
      <c r="F2207" s="46" t="s">
        <v>9</v>
      </c>
      <c r="G2207" s="857">
        <f t="shared" si="160"/>
        <v>0</v>
      </c>
      <c r="H2207" s="775"/>
    </row>
    <row r="2208" spans="1:8">
      <c r="A2208" s="1519"/>
      <c r="B2208" s="1520"/>
      <c r="C2208" s="1521" t="s">
        <v>1629</v>
      </c>
      <c r="D2208" s="1522"/>
      <c r="E2208" s="1523">
        <f>SUM(E2209:E2223)</f>
        <v>3010.2599999999998</v>
      </c>
      <c r="F2208" s="1524"/>
      <c r="G2208" s="1525"/>
      <c r="H2208" s="775"/>
    </row>
    <row r="2209" spans="1:8">
      <c r="A2209" s="1526">
        <v>45261</v>
      </c>
      <c r="B2209" s="337" t="s">
        <v>13965</v>
      </c>
      <c r="C2209" s="776" t="s">
        <v>13467</v>
      </c>
      <c r="D2209" s="134"/>
      <c r="E2209" s="135">
        <v>82.18</v>
      </c>
      <c r="F2209" s="46" t="s">
        <v>9</v>
      </c>
      <c r="G2209" s="857">
        <f>IF(F2209="X",0,E2209)</f>
        <v>0</v>
      </c>
      <c r="H2209" s="775"/>
    </row>
    <row r="2210" spans="1:8">
      <c r="A2210" s="1526">
        <v>45261</v>
      </c>
      <c r="B2210" s="337" t="s">
        <v>13966</v>
      </c>
      <c r="C2210" s="776" t="s">
        <v>13454</v>
      </c>
      <c r="D2210" s="134"/>
      <c r="E2210" s="135">
        <v>283.8</v>
      </c>
      <c r="F2210" s="46" t="s">
        <v>9</v>
      </c>
      <c r="G2210" s="857">
        <f>IF(F2210="X",0,E2210)</f>
        <v>0</v>
      </c>
      <c r="H2210" s="775"/>
    </row>
    <row r="2211" spans="1:8">
      <c r="A2211" s="1526">
        <v>45261</v>
      </c>
      <c r="B2211" s="337" t="s">
        <v>13967</v>
      </c>
      <c r="C2211" s="776" t="s">
        <v>13380</v>
      </c>
      <c r="D2211" s="134"/>
      <c r="E2211" s="135">
        <v>449.9</v>
      </c>
      <c r="F2211" s="46" t="s">
        <v>9</v>
      </c>
      <c r="G2211" s="857">
        <f t="shared" ref="G2211:G2223" si="161">IF(F2211="X",0,E2211)</f>
        <v>0</v>
      </c>
      <c r="H2211" s="775"/>
    </row>
    <row r="2212" spans="1:8">
      <c r="A2212" s="1526">
        <v>45261</v>
      </c>
      <c r="B2212" s="337" t="s">
        <v>13968</v>
      </c>
      <c r="C2212" s="776" t="s">
        <v>13489</v>
      </c>
      <c r="D2212" s="134"/>
      <c r="E2212" s="135">
        <v>59.98</v>
      </c>
      <c r="F2212" s="46" t="s">
        <v>9</v>
      </c>
      <c r="G2212" s="857">
        <f t="shared" si="161"/>
        <v>0</v>
      </c>
      <c r="H2212" s="775"/>
    </row>
    <row r="2213" spans="1:8">
      <c r="A2213" s="1526">
        <v>45261</v>
      </c>
      <c r="B2213" s="337" t="s">
        <v>1746</v>
      </c>
      <c r="C2213" s="776" t="s">
        <v>13448</v>
      </c>
      <c r="D2213" s="134"/>
      <c r="E2213" s="135">
        <v>215</v>
      </c>
      <c r="F2213" s="46" t="s">
        <v>9</v>
      </c>
      <c r="G2213" s="857">
        <f t="shared" si="161"/>
        <v>0</v>
      </c>
      <c r="H2213" s="775"/>
    </row>
    <row r="2214" spans="1:8">
      <c r="A2214" s="1526">
        <v>45261</v>
      </c>
      <c r="B2214" s="337" t="s">
        <v>13969</v>
      </c>
      <c r="C2214" s="776" t="s">
        <v>13448</v>
      </c>
      <c r="D2214" s="134"/>
      <c r="E2214" s="135">
        <v>367.57</v>
      </c>
      <c r="F2214" s="46" t="s">
        <v>9</v>
      </c>
      <c r="G2214" s="857">
        <f t="shared" si="161"/>
        <v>0</v>
      </c>
      <c r="H2214" s="775"/>
    </row>
    <row r="2215" spans="1:8">
      <c r="A2215" s="1526">
        <v>45261</v>
      </c>
      <c r="B2215" s="337" t="s">
        <v>13970</v>
      </c>
      <c r="C2215" s="776" t="s">
        <v>13443</v>
      </c>
      <c r="D2215" s="134"/>
      <c r="E2215" s="135">
        <v>58.17</v>
      </c>
      <c r="F2215" s="46" t="s">
        <v>9</v>
      </c>
      <c r="G2215" s="857">
        <f t="shared" si="161"/>
        <v>0</v>
      </c>
      <c r="H2215" s="775"/>
    </row>
    <row r="2216" spans="1:8">
      <c r="A2216" s="1526">
        <v>45261</v>
      </c>
      <c r="B2216" s="337" t="s">
        <v>13971</v>
      </c>
      <c r="C2216" s="776" t="s">
        <v>13443</v>
      </c>
      <c r="D2216" s="134"/>
      <c r="E2216" s="135">
        <v>17.45</v>
      </c>
      <c r="F2216" s="46" t="s">
        <v>9</v>
      </c>
      <c r="G2216" s="857">
        <f t="shared" si="161"/>
        <v>0</v>
      </c>
      <c r="H2216" s="775"/>
    </row>
    <row r="2217" spans="1:8">
      <c r="A2217" s="1526">
        <v>45261</v>
      </c>
      <c r="B2217" s="337" t="s">
        <v>13972</v>
      </c>
      <c r="C2217" s="776" t="s">
        <v>13537</v>
      </c>
      <c r="D2217" s="134"/>
      <c r="E2217" s="135">
        <v>358.25</v>
      </c>
      <c r="F2217" s="46" t="s">
        <v>9</v>
      </c>
      <c r="G2217" s="857">
        <f t="shared" si="161"/>
        <v>0</v>
      </c>
      <c r="H2217" s="775"/>
    </row>
    <row r="2218" spans="1:8">
      <c r="A2218" s="1526">
        <v>45261</v>
      </c>
      <c r="B2218" s="337" t="s">
        <v>13973</v>
      </c>
      <c r="C2218" s="776" t="s">
        <v>13479</v>
      </c>
      <c r="D2218" s="134"/>
      <c r="E2218" s="135">
        <v>161.12</v>
      </c>
      <c r="F2218" s="46" t="s">
        <v>9</v>
      </c>
      <c r="G2218" s="857">
        <f t="shared" si="161"/>
        <v>0</v>
      </c>
      <c r="H2218" s="775"/>
    </row>
    <row r="2219" spans="1:8">
      <c r="A2219" s="1526">
        <v>45261</v>
      </c>
      <c r="B2219" s="337" t="s">
        <v>13974</v>
      </c>
      <c r="C2219" s="776" t="s">
        <v>13521</v>
      </c>
      <c r="D2219" s="134"/>
      <c r="E2219" s="135">
        <v>143.33000000000001</v>
      </c>
      <c r="F2219" s="46" t="s">
        <v>9</v>
      </c>
      <c r="G2219" s="857">
        <f t="shared" si="161"/>
        <v>0</v>
      </c>
      <c r="H2219" s="775"/>
    </row>
    <row r="2220" spans="1:8">
      <c r="A2220" s="1526">
        <v>45261</v>
      </c>
      <c r="B2220" s="337" t="s">
        <v>13975</v>
      </c>
      <c r="C2220" s="776" t="s">
        <v>13437</v>
      </c>
      <c r="D2220" s="134"/>
      <c r="E2220" s="135">
        <v>521.5</v>
      </c>
      <c r="F2220" s="46" t="s">
        <v>9</v>
      </c>
      <c r="G2220" s="857">
        <f t="shared" si="161"/>
        <v>0</v>
      </c>
      <c r="H2220" s="775"/>
    </row>
    <row r="2221" spans="1:8">
      <c r="A2221" s="1526">
        <v>45261</v>
      </c>
      <c r="B2221" s="337" t="s">
        <v>13976</v>
      </c>
      <c r="C2221" s="776" t="s">
        <v>13437</v>
      </c>
      <c r="D2221" s="134"/>
      <c r="E2221" s="135">
        <v>106.18</v>
      </c>
      <c r="F2221" s="46" t="s">
        <v>9</v>
      </c>
      <c r="G2221" s="857">
        <f t="shared" si="161"/>
        <v>0</v>
      </c>
      <c r="H2221" s="775"/>
    </row>
    <row r="2222" spans="1:8">
      <c r="A2222" s="1526">
        <v>45627</v>
      </c>
      <c r="B2222" s="337" t="s">
        <v>13977</v>
      </c>
      <c r="C2222" s="776" t="s">
        <v>13437</v>
      </c>
      <c r="D2222" s="134"/>
      <c r="E2222" s="135">
        <v>52.47</v>
      </c>
      <c r="F2222" s="46" t="s">
        <v>9</v>
      </c>
      <c r="G2222" s="857">
        <f t="shared" si="161"/>
        <v>0</v>
      </c>
      <c r="H2222" s="775"/>
    </row>
    <row r="2223" spans="1:8" ht="14.25" thickBot="1">
      <c r="A2223" s="1526">
        <v>45627</v>
      </c>
      <c r="B2223" s="337" t="s">
        <v>13978</v>
      </c>
      <c r="C2223" s="776" t="s">
        <v>13437</v>
      </c>
      <c r="D2223" s="134"/>
      <c r="E2223" s="135">
        <v>133.36000000000001</v>
      </c>
      <c r="F2223" s="46" t="s">
        <v>9</v>
      </c>
      <c r="G2223" s="857">
        <f t="shared" si="161"/>
        <v>0</v>
      </c>
      <c r="H2223" s="775"/>
    </row>
    <row r="2224" spans="1:8">
      <c r="A2224" s="1519"/>
      <c r="B2224" s="1520"/>
      <c r="C2224" s="1521" t="s">
        <v>1630</v>
      </c>
      <c r="D2224" s="1522"/>
      <c r="E2224" s="1523">
        <f>SUM(E2225:E2242)</f>
        <v>3473.06</v>
      </c>
      <c r="F2224" s="1524"/>
      <c r="G2224" s="1525"/>
      <c r="H2224" s="775">
        <f>E2225+E2234+E2228</f>
        <v>303.28000000000003</v>
      </c>
    </row>
    <row r="2225" spans="1:8">
      <c r="A2225" s="1527">
        <v>45292</v>
      </c>
      <c r="B2225" s="793" t="s">
        <v>13965</v>
      </c>
      <c r="C2225" s="794" t="s">
        <v>13475</v>
      </c>
      <c r="D2225" s="795"/>
      <c r="E2225" s="796">
        <v>82.18</v>
      </c>
      <c r="F2225" s="797" t="s">
        <v>9</v>
      </c>
      <c r="G2225" s="1528">
        <f>IF(F2225="X",0,E2225)</f>
        <v>0</v>
      </c>
      <c r="H2225" s="775"/>
    </row>
    <row r="2226" spans="1:8">
      <c r="A2226" s="1526">
        <v>45292</v>
      </c>
      <c r="B2226" s="337" t="s">
        <v>13966</v>
      </c>
      <c r="C2226" s="776" t="s">
        <v>13467</v>
      </c>
      <c r="D2226" s="134"/>
      <c r="E2226" s="135">
        <v>283.8</v>
      </c>
      <c r="F2226" s="46" t="s">
        <v>9</v>
      </c>
      <c r="G2226" s="857">
        <f>IF(F2226="X",0,E2226)</f>
        <v>0</v>
      </c>
      <c r="H2226" s="775"/>
    </row>
    <row r="2227" spans="1:8">
      <c r="A2227" s="1526">
        <v>45292</v>
      </c>
      <c r="B2227" s="337" t="s">
        <v>13967</v>
      </c>
      <c r="C2227" s="776" t="s">
        <v>13384</v>
      </c>
      <c r="D2227" s="134"/>
      <c r="E2227" s="135">
        <v>449.9</v>
      </c>
      <c r="F2227" s="46" t="s">
        <v>9</v>
      </c>
      <c r="G2227" s="857">
        <f t="shared" ref="G2227:G2243" si="162">IF(F2227="X",0,E2227)</f>
        <v>0</v>
      </c>
      <c r="H2227" s="775"/>
    </row>
    <row r="2228" spans="1:8">
      <c r="A2228" s="1527">
        <v>45292</v>
      </c>
      <c r="B2228" s="793" t="s">
        <v>13968</v>
      </c>
      <c r="C2228" s="794" t="s">
        <v>13493</v>
      </c>
      <c r="D2228" s="795"/>
      <c r="E2228" s="796">
        <v>59.98</v>
      </c>
      <c r="F2228" s="797" t="s">
        <v>9</v>
      </c>
      <c r="G2228" s="1528">
        <f t="shared" si="162"/>
        <v>0</v>
      </c>
      <c r="H2228" s="775"/>
    </row>
    <row r="2229" spans="1:8">
      <c r="A2229" s="1526">
        <v>45292</v>
      </c>
      <c r="B2229" s="337" t="s">
        <v>1746</v>
      </c>
      <c r="C2229" s="776" t="s">
        <v>13454</v>
      </c>
      <c r="D2229" s="134"/>
      <c r="E2229" s="135">
        <v>215</v>
      </c>
      <c r="F2229" s="46" t="s">
        <v>9</v>
      </c>
      <c r="G2229" s="857">
        <f t="shared" si="162"/>
        <v>0</v>
      </c>
      <c r="H2229" s="775"/>
    </row>
    <row r="2230" spans="1:8">
      <c r="A2230" s="1526">
        <v>45292</v>
      </c>
      <c r="B2230" s="337" t="s">
        <v>13969</v>
      </c>
      <c r="C2230" s="776" t="s">
        <v>13454</v>
      </c>
      <c r="D2230" s="134"/>
      <c r="E2230" s="135">
        <v>367.57</v>
      </c>
      <c r="F2230" s="46" t="s">
        <v>9</v>
      </c>
      <c r="G2230" s="857">
        <f t="shared" si="162"/>
        <v>0</v>
      </c>
      <c r="H2230" s="775"/>
    </row>
    <row r="2231" spans="1:8">
      <c r="A2231" s="1526">
        <v>45292</v>
      </c>
      <c r="B2231" s="337" t="s">
        <v>13970</v>
      </c>
      <c r="C2231" s="776" t="s">
        <v>13448</v>
      </c>
      <c r="D2231" s="134"/>
      <c r="E2231" s="135">
        <v>58.17</v>
      </c>
      <c r="F2231" s="46" t="s">
        <v>9</v>
      </c>
      <c r="G2231" s="857">
        <f t="shared" si="162"/>
        <v>0</v>
      </c>
      <c r="H2231" s="775"/>
    </row>
    <row r="2232" spans="1:8">
      <c r="A2232" s="1526">
        <v>45292</v>
      </c>
      <c r="B2232" s="337" t="s">
        <v>13971</v>
      </c>
      <c r="C2232" s="776" t="s">
        <v>13448</v>
      </c>
      <c r="D2232" s="134"/>
      <c r="E2232" s="135">
        <v>17.45</v>
      </c>
      <c r="F2232" s="46" t="s">
        <v>9</v>
      </c>
      <c r="G2232" s="857">
        <f t="shared" si="162"/>
        <v>0</v>
      </c>
      <c r="H2232" s="775"/>
    </row>
    <row r="2233" spans="1:8">
      <c r="A2233" s="1526">
        <v>45292</v>
      </c>
      <c r="B2233" s="337" t="s">
        <v>13972</v>
      </c>
      <c r="C2233" s="776" t="s">
        <v>13542</v>
      </c>
      <c r="D2233" s="134"/>
      <c r="E2233" s="135">
        <v>358.25</v>
      </c>
      <c r="F2233" s="46" t="s">
        <v>9</v>
      </c>
      <c r="G2233" s="857">
        <f t="shared" si="162"/>
        <v>0</v>
      </c>
      <c r="H2233" s="775"/>
    </row>
    <row r="2234" spans="1:8">
      <c r="A2234" s="1527">
        <v>45292</v>
      </c>
      <c r="B2234" s="793" t="s">
        <v>13973</v>
      </c>
      <c r="C2234" s="794" t="s">
        <v>13485</v>
      </c>
      <c r="D2234" s="795"/>
      <c r="E2234" s="796">
        <v>161.12</v>
      </c>
      <c r="F2234" s="797" t="s">
        <v>9</v>
      </c>
      <c r="G2234" s="1528">
        <f t="shared" si="162"/>
        <v>0</v>
      </c>
      <c r="H2234" s="775"/>
    </row>
    <row r="2235" spans="1:8">
      <c r="A2235" s="1526">
        <v>45292</v>
      </c>
      <c r="B2235" s="337" t="s">
        <v>13976</v>
      </c>
      <c r="C2235" s="776" t="s">
        <v>13443</v>
      </c>
      <c r="D2235" s="134"/>
      <c r="E2235" s="135">
        <v>106.18</v>
      </c>
      <c r="F2235" s="46" t="s">
        <v>9</v>
      </c>
      <c r="G2235" s="857">
        <f t="shared" si="162"/>
        <v>0</v>
      </c>
      <c r="H2235" s="775"/>
    </row>
    <row r="2236" spans="1:8">
      <c r="A2236" s="1526">
        <v>45292</v>
      </c>
      <c r="B2236" s="337" t="s">
        <v>13974</v>
      </c>
      <c r="C2236" s="776" t="s">
        <v>13657</v>
      </c>
      <c r="D2236" s="134"/>
      <c r="E2236" s="135">
        <v>143.33000000000001</v>
      </c>
      <c r="F2236" s="46" t="s">
        <v>9</v>
      </c>
      <c r="G2236" s="857">
        <f t="shared" si="162"/>
        <v>0</v>
      </c>
      <c r="H2236" s="775"/>
    </row>
    <row r="2237" spans="1:8">
      <c r="A2237" s="1526">
        <v>45292</v>
      </c>
      <c r="B2237" s="337" t="s">
        <v>13975</v>
      </c>
      <c r="C2237" s="776" t="s">
        <v>13443</v>
      </c>
      <c r="D2237" s="134"/>
      <c r="E2237" s="135">
        <v>521.5</v>
      </c>
      <c r="F2237" s="46" t="s">
        <v>9</v>
      </c>
      <c r="G2237" s="857">
        <f t="shared" si="162"/>
        <v>0</v>
      </c>
      <c r="H2237" s="775"/>
    </row>
    <row r="2238" spans="1:8">
      <c r="A2238" s="1526">
        <v>45292</v>
      </c>
      <c r="B2238" s="337" t="s">
        <v>13977</v>
      </c>
      <c r="C2238" s="776" t="s">
        <v>13443</v>
      </c>
      <c r="D2238" s="134"/>
      <c r="E2238" s="135">
        <v>52.47</v>
      </c>
      <c r="F2238" s="46" t="s">
        <v>9</v>
      </c>
      <c r="G2238" s="857">
        <f t="shared" si="162"/>
        <v>0</v>
      </c>
      <c r="H2238" s="775"/>
    </row>
    <row r="2239" spans="1:8">
      <c r="A2239" s="1526">
        <v>45292</v>
      </c>
      <c r="B2239" s="337" t="s">
        <v>13978</v>
      </c>
      <c r="C2239" s="776" t="s">
        <v>13443</v>
      </c>
      <c r="D2239" s="134"/>
      <c r="E2239" s="135">
        <v>133.36000000000001</v>
      </c>
      <c r="F2239" s="46" t="s">
        <v>9</v>
      </c>
      <c r="G2239" s="857">
        <f t="shared" si="162"/>
        <v>0</v>
      </c>
      <c r="H2239" s="775"/>
    </row>
    <row r="2240" spans="1:8">
      <c r="A2240" s="1526">
        <v>45292</v>
      </c>
      <c r="B2240" s="337" t="s">
        <v>13979</v>
      </c>
      <c r="C2240" s="776" t="s">
        <v>13650</v>
      </c>
      <c r="D2240" s="134"/>
      <c r="E2240" s="135">
        <v>211.73</v>
      </c>
      <c r="F2240" s="46" t="s">
        <v>9</v>
      </c>
      <c r="G2240" s="857">
        <f t="shared" si="162"/>
        <v>0</v>
      </c>
      <c r="H2240" s="775"/>
    </row>
    <row r="2241" spans="1:8">
      <c r="A2241" s="1526">
        <v>45292</v>
      </c>
      <c r="B2241" s="337" t="s">
        <v>13980</v>
      </c>
      <c r="C2241" s="776" t="s">
        <v>13650</v>
      </c>
      <c r="D2241" s="134"/>
      <c r="E2241" s="135">
        <v>41.67</v>
      </c>
      <c r="F2241" s="46" t="s">
        <v>9</v>
      </c>
      <c r="G2241" s="857">
        <f t="shared" si="162"/>
        <v>0</v>
      </c>
      <c r="H2241" s="775"/>
    </row>
    <row r="2242" spans="1:8">
      <c r="A2242" s="1526">
        <v>45292</v>
      </c>
      <c r="B2242" s="337" t="s">
        <v>13981</v>
      </c>
      <c r="C2242" s="776" t="s">
        <v>13521</v>
      </c>
      <c r="D2242" s="134"/>
      <c r="E2242" s="135">
        <v>209.4</v>
      </c>
      <c r="F2242" s="46" t="s">
        <v>9</v>
      </c>
      <c r="G2242" s="857">
        <f t="shared" si="162"/>
        <v>0</v>
      </c>
      <c r="H2242" s="775"/>
    </row>
    <row r="2243" spans="1:8" ht="14.25" thickBot="1">
      <c r="A2243" s="1526">
        <v>45306</v>
      </c>
      <c r="B2243" s="337" t="s">
        <v>13982</v>
      </c>
      <c r="C2243" s="776" t="s">
        <v>13983</v>
      </c>
      <c r="D2243" s="134"/>
      <c r="E2243" s="135">
        <v>226.23</v>
      </c>
      <c r="F2243" s="46" t="s">
        <v>9</v>
      </c>
      <c r="G2243" s="857">
        <f t="shared" si="162"/>
        <v>0</v>
      </c>
      <c r="H2243" s="775"/>
    </row>
    <row r="2244" spans="1:8">
      <c r="A2244" s="1519"/>
      <c r="B2244" s="1520"/>
      <c r="C2244" s="1521" t="s">
        <v>1631</v>
      </c>
      <c r="D2244" s="1522"/>
      <c r="E2244" s="1523">
        <f>SUM(E2245:E2260)</f>
        <v>3396.01</v>
      </c>
      <c r="F2244" s="1524"/>
      <c r="G2244" s="1525"/>
      <c r="H2244" s="775">
        <f>E2245+E2253</f>
        <v>427.13</v>
      </c>
    </row>
    <row r="2245" spans="1:8">
      <c r="A2245" s="1527">
        <v>45323</v>
      </c>
      <c r="B2245" s="793" t="s">
        <v>13966</v>
      </c>
      <c r="C2245" s="794" t="s">
        <v>13475</v>
      </c>
      <c r="D2245" s="795"/>
      <c r="E2245" s="796">
        <v>283.8</v>
      </c>
      <c r="F2245" s="797" t="s">
        <v>9</v>
      </c>
      <c r="G2245" s="1528">
        <f>IF(F2245="X",0,E2245)</f>
        <v>0</v>
      </c>
      <c r="H2245" s="775"/>
    </row>
    <row r="2246" spans="1:8">
      <c r="A2246" s="1526">
        <v>45323</v>
      </c>
      <c r="B2246" s="337" t="s">
        <v>13967</v>
      </c>
      <c r="C2246" s="776" t="s">
        <v>13387</v>
      </c>
      <c r="D2246" s="134"/>
      <c r="E2246" s="135">
        <v>449.9</v>
      </c>
      <c r="F2246" s="46" t="s">
        <v>9</v>
      </c>
      <c r="G2246" s="857">
        <f t="shared" ref="G2246:G2256" si="163">IF(F2246="X",0,E2246)</f>
        <v>0</v>
      </c>
      <c r="H2246" s="775"/>
    </row>
    <row r="2247" spans="1:8">
      <c r="A2247" s="1526">
        <v>45323</v>
      </c>
      <c r="B2247" s="337" t="s">
        <v>1746</v>
      </c>
      <c r="C2247" s="776" t="s">
        <v>13467</v>
      </c>
      <c r="D2247" s="134"/>
      <c r="E2247" s="135">
        <v>215</v>
      </c>
      <c r="F2247" s="46" t="s">
        <v>9</v>
      </c>
      <c r="G2247" s="857">
        <f t="shared" si="163"/>
        <v>0</v>
      </c>
      <c r="H2247" s="775"/>
    </row>
    <row r="2248" spans="1:8">
      <c r="A2248" s="1526">
        <v>45323</v>
      </c>
      <c r="B2248" s="337" t="s">
        <v>13969</v>
      </c>
      <c r="C2248" s="776" t="s">
        <v>13467</v>
      </c>
      <c r="D2248" s="134"/>
      <c r="E2248" s="135">
        <v>367.57</v>
      </c>
      <c r="F2248" s="46" t="s">
        <v>9</v>
      </c>
      <c r="G2248" s="857">
        <f t="shared" si="163"/>
        <v>0</v>
      </c>
      <c r="H2248" s="775"/>
    </row>
    <row r="2249" spans="1:8">
      <c r="A2249" s="1526">
        <v>45323</v>
      </c>
      <c r="B2249" s="337" t="s">
        <v>13970</v>
      </c>
      <c r="C2249" s="776" t="s">
        <v>13454</v>
      </c>
      <c r="D2249" s="134"/>
      <c r="E2249" s="135">
        <v>58.17</v>
      </c>
      <c r="F2249" s="46" t="s">
        <v>9</v>
      </c>
      <c r="G2249" s="857">
        <f t="shared" si="163"/>
        <v>0</v>
      </c>
      <c r="H2249" s="775"/>
    </row>
    <row r="2250" spans="1:8">
      <c r="A2250" s="1526">
        <v>45323</v>
      </c>
      <c r="B2250" s="337" t="s">
        <v>13971</v>
      </c>
      <c r="C2250" s="776" t="s">
        <v>13454</v>
      </c>
      <c r="D2250" s="134"/>
      <c r="E2250" s="135">
        <v>17.45</v>
      </c>
      <c r="F2250" s="46" t="s">
        <v>9</v>
      </c>
      <c r="G2250" s="857">
        <f t="shared" si="163"/>
        <v>0</v>
      </c>
      <c r="H2250" s="775"/>
    </row>
    <row r="2251" spans="1:8">
      <c r="A2251" s="1526">
        <v>45323</v>
      </c>
      <c r="B2251" s="337" t="s">
        <v>13972</v>
      </c>
      <c r="C2251" s="776" t="s">
        <v>13550</v>
      </c>
      <c r="D2251" s="134"/>
      <c r="E2251" s="135">
        <v>358.25</v>
      </c>
      <c r="F2251" s="46" t="s">
        <v>9</v>
      </c>
      <c r="G2251" s="857">
        <f t="shared" si="163"/>
        <v>0</v>
      </c>
      <c r="H2251" s="775"/>
    </row>
    <row r="2252" spans="1:8">
      <c r="A2252" s="1526">
        <v>45323</v>
      </c>
      <c r="B2252" s="337" t="s">
        <v>13976</v>
      </c>
      <c r="C2252" s="776" t="s">
        <v>13448</v>
      </c>
      <c r="D2252" s="134"/>
      <c r="E2252" s="135">
        <v>106.18</v>
      </c>
      <c r="F2252" s="46" t="s">
        <v>9</v>
      </c>
      <c r="G2252" s="857">
        <f t="shared" si="163"/>
        <v>0</v>
      </c>
      <c r="H2252" s="775"/>
    </row>
    <row r="2253" spans="1:8">
      <c r="A2253" s="1527">
        <v>45323</v>
      </c>
      <c r="B2253" s="793" t="s">
        <v>13974</v>
      </c>
      <c r="C2253" s="794" t="s">
        <v>13538</v>
      </c>
      <c r="D2253" s="795"/>
      <c r="E2253" s="796">
        <v>143.33000000000001</v>
      </c>
      <c r="F2253" s="797" t="s">
        <v>9</v>
      </c>
      <c r="G2253" s="1528">
        <f t="shared" si="163"/>
        <v>0</v>
      </c>
      <c r="H2253" s="775"/>
    </row>
    <row r="2254" spans="1:8">
      <c r="A2254" s="1526">
        <v>45323</v>
      </c>
      <c r="B2254" s="337" t="s">
        <v>13975</v>
      </c>
      <c r="C2254" s="776" t="s">
        <v>13448</v>
      </c>
      <c r="D2254" s="134"/>
      <c r="E2254" s="135">
        <v>521.5</v>
      </c>
      <c r="F2254" s="46" t="s">
        <v>9</v>
      </c>
      <c r="G2254" s="857">
        <f t="shared" si="163"/>
        <v>0</v>
      </c>
      <c r="H2254" s="775"/>
    </row>
    <row r="2255" spans="1:8">
      <c r="A2255" s="1526">
        <v>45323</v>
      </c>
      <c r="B2255" s="337" t="s">
        <v>13977</v>
      </c>
      <c r="C2255" s="776" t="s">
        <v>13448</v>
      </c>
      <c r="D2255" s="134"/>
      <c r="E2255" s="135">
        <v>52.47</v>
      </c>
      <c r="F2255" s="46" t="s">
        <v>9</v>
      </c>
      <c r="G2255" s="857">
        <f t="shared" si="163"/>
        <v>0</v>
      </c>
      <c r="H2255" s="775"/>
    </row>
    <row r="2256" spans="1:8">
      <c r="A2256" s="1526">
        <v>45323</v>
      </c>
      <c r="B2256" s="337" t="s">
        <v>13978</v>
      </c>
      <c r="C2256" s="776" t="s">
        <v>13448</v>
      </c>
      <c r="D2256" s="134"/>
      <c r="E2256" s="135">
        <v>133.36000000000001</v>
      </c>
      <c r="F2256" s="46" t="s">
        <v>9</v>
      </c>
      <c r="G2256" s="857">
        <f t="shared" si="163"/>
        <v>0</v>
      </c>
      <c r="H2256" s="775"/>
    </row>
    <row r="2257" spans="1:8">
      <c r="A2257" s="1526">
        <v>45323</v>
      </c>
      <c r="B2257" s="337" t="s">
        <v>13979</v>
      </c>
      <c r="C2257" s="776" t="s">
        <v>13884</v>
      </c>
      <c r="D2257" s="134"/>
      <c r="E2257" s="135">
        <v>211.73</v>
      </c>
      <c r="F2257" s="46" t="s">
        <v>9</v>
      </c>
      <c r="G2257" s="857">
        <f>IF(F2257="X",0,E2257)</f>
        <v>0</v>
      </c>
      <c r="H2257" s="775"/>
    </row>
    <row r="2258" spans="1:8">
      <c r="A2258" s="1526">
        <v>45323</v>
      </c>
      <c r="B2258" s="337" t="s">
        <v>13980</v>
      </c>
      <c r="C2258" s="776" t="s">
        <v>13537</v>
      </c>
      <c r="D2258" s="134"/>
      <c r="E2258" s="135">
        <v>41.67</v>
      </c>
      <c r="F2258" s="46" t="s">
        <v>9</v>
      </c>
      <c r="G2258" s="857">
        <f>IF(F2258="X",0,E2258)</f>
        <v>0</v>
      </c>
      <c r="H2258" s="775"/>
    </row>
    <row r="2259" spans="1:8">
      <c r="A2259" s="1526">
        <v>45323</v>
      </c>
      <c r="B2259" s="337" t="s">
        <v>13981</v>
      </c>
      <c r="C2259" s="776" t="s">
        <v>13531</v>
      </c>
      <c r="D2259" s="134"/>
      <c r="E2259" s="135">
        <v>209.4</v>
      </c>
      <c r="F2259" s="46" t="s">
        <v>9</v>
      </c>
      <c r="G2259" s="857">
        <f>IF(F2259="X",0,E2259)</f>
        <v>0</v>
      </c>
      <c r="H2259" s="775"/>
    </row>
    <row r="2260" spans="1:8" ht="14.25" thickBot="1">
      <c r="A2260" s="1526">
        <v>45337</v>
      </c>
      <c r="B2260" s="337" t="s">
        <v>13982</v>
      </c>
      <c r="C2260" s="776" t="s">
        <v>13536</v>
      </c>
      <c r="D2260" s="134"/>
      <c r="E2260" s="135">
        <v>226.23</v>
      </c>
      <c r="F2260" s="46" t="s">
        <v>9</v>
      </c>
      <c r="G2260" s="857">
        <f>IF(F2260="X",0,E2260)</f>
        <v>0</v>
      </c>
      <c r="H2260" s="775"/>
    </row>
    <row r="2261" spans="1:8">
      <c r="A2261" s="1519"/>
      <c r="B2261" s="1520"/>
      <c r="C2261" s="1521" t="s">
        <v>1632</v>
      </c>
      <c r="D2261" s="1522"/>
      <c r="E2261" s="1523">
        <f>SUM(E2262:E2275)</f>
        <v>2968.8800000000006</v>
      </c>
      <c r="F2261" s="1524"/>
      <c r="G2261" s="1525"/>
      <c r="H2261" s="775">
        <f>E2263+E2264+E2274</f>
        <v>791.96999999999991</v>
      </c>
    </row>
    <row r="2262" spans="1:8">
      <c r="A2262" s="1526">
        <v>45352</v>
      </c>
      <c r="B2262" s="337" t="s">
        <v>13967</v>
      </c>
      <c r="C2262" s="776" t="s">
        <v>13397</v>
      </c>
      <c r="D2262" s="134"/>
      <c r="E2262" s="135">
        <v>449.9</v>
      </c>
      <c r="F2262" s="46" t="s">
        <v>9</v>
      </c>
      <c r="G2262" s="857">
        <f t="shared" ref="G2262:G2271" si="164">IF(F2262="X",0,E2262)</f>
        <v>0</v>
      </c>
      <c r="H2262" s="775"/>
    </row>
    <row r="2263" spans="1:8">
      <c r="A2263" s="1527">
        <v>45352</v>
      </c>
      <c r="B2263" s="793" t="s">
        <v>1746</v>
      </c>
      <c r="C2263" s="794" t="s">
        <v>13475</v>
      </c>
      <c r="D2263" s="795"/>
      <c r="E2263" s="796">
        <v>215</v>
      </c>
      <c r="F2263" s="797" t="s">
        <v>9</v>
      </c>
      <c r="G2263" s="1528">
        <f t="shared" si="164"/>
        <v>0</v>
      </c>
      <c r="H2263" s="775"/>
    </row>
    <row r="2264" spans="1:8">
      <c r="A2264" s="1527">
        <v>45352</v>
      </c>
      <c r="B2264" s="793" t="s">
        <v>13969</v>
      </c>
      <c r="C2264" s="794" t="s">
        <v>13475</v>
      </c>
      <c r="D2264" s="795"/>
      <c r="E2264" s="796">
        <v>367.57</v>
      </c>
      <c r="F2264" s="797" t="s">
        <v>9</v>
      </c>
      <c r="G2264" s="1528">
        <f t="shared" si="164"/>
        <v>0</v>
      </c>
      <c r="H2264" s="775"/>
    </row>
    <row r="2265" spans="1:8">
      <c r="A2265" s="1526">
        <v>45352</v>
      </c>
      <c r="B2265" s="337" t="s">
        <v>13970</v>
      </c>
      <c r="C2265" s="776" t="s">
        <v>13467</v>
      </c>
      <c r="D2265" s="134"/>
      <c r="E2265" s="135">
        <v>58.17</v>
      </c>
      <c r="F2265" s="46" t="s">
        <v>9</v>
      </c>
      <c r="G2265" s="857">
        <f t="shared" si="164"/>
        <v>0</v>
      </c>
      <c r="H2265" s="775"/>
    </row>
    <row r="2266" spans="1:8">
      <c r="A2266" s="1526">
        <v>45352</v>
      </c>
      <c r="B2266" s="337" t="s">
        <v>13971</v>
      </c>
      <c r="C2266" s="776" t="s">
        <v>13467</v>
      </c>
      <c r="D2266" s="134"/>
      <c r="E2266" s="135">
        <v>17.45</v>
      </c>
      <c r="F2266" s="46" t="s">
        <v>9</v>
      </c>
      <c r="G2266" s="857">
        <f t="shared" si="164"/>
        <v>0</v>
      </c>
      <c r="H2266" s="775"/>
    </row>
    <row r="2267" spans="1:8">
      <c r="A2267" s="1526">
        <v>45352</v>
      </c>
      <c r="B2267" s="337" t="s">
        <v>13972</v>
      </c>
      <c r="C2267" s="776" t="s">
        <v>13554</v>
      </c>
      <c r="D2267" s="134"/>
      <c r="E2267" s="135">
        <v>358.25</v>
      </c>
      <c r="F2267" s="46" t="s">
        <v>9</v>
      </c>
      <c r="G2267" s="857">
        <f t="shared" si="164"/>
        <v>0</v>
      </c>
      <c r="H2267" s="775"/>
    </row>
    <row r="2268" spans="1:8">
      <c r="A2268" s="1526">
        <v>45352</v>
      </c>
      <c r="B2268" s="337" t="s">
        <v>13976</v>
      </c>
      <c r="C2268" s="776" t="s">
        <v>13454</v>
      </c>
      <c r="D2268" s="134"/>
      <c r="E2268" s="135">
        <v>106.18</v>
      </c>
      <c r="F2268" s="46" t="s">
        <v>9</v>
      </c>
      <c r="G2268" s="857">
        <f t="shared" si="164"/>
        <v>0</v>
      </c>
      <c r="H2268" s="775"/>
    </row>
    <row r="2269" spans="1:8">
      <c r="A2269" s="1526">
        <v>45352</v>
      </c>
      <c r="B2269" s="337" t="s">
        <v>13975</v>
      </c>
      <c r="C2269" s="776" t="s">
        <v>13454</v>
      </c>
      <c r="D2269" s="134"/>
      <c r="E2269" s="135">
        <v>521.5</v>
      </c>
      <c r="F2269" s="46" t="s">
        <v>9</v>
      </c>
      <c r="G2269" s="857">
        <f t="shared" si="164"/>
        <v>0</v>
      </c>
      <c r="H2269" s="775"/>
    </row>
    <row r="2270" spans="1:8">
      <c r="A2270" s="1526">
        <v>45352</v>
      </c>
      <c r="B2270" s="337" t="s">
        <v>13977</v>
      </c>
      <c r="C2270" s="776" t="s">
        <v>13454</v>
      </c>
      <c r="D2270" s="134"/>
      <c r="E2270" s="135">
        <v>52.47</v>
      </c>
      <c r="F2270" s="46" t="s">
        <v>9</v>
      </c>
      <c r="G2270" s="857">
        <f t="shared" si="164"/>
        <v>0</v>
      </c>
      <c r="H2270" s="775"/>
    </row>
    <row r="2271" spans="1:8">
      <c r="A2271" s="1526">
        <v>45352</v>
      </c>
      <c r="B2271" s="337" t="s">
        <v>13978</v>
      </c>
      <c r="C2271" s="776" t="s">
        <v>13454</v>
      </c>
      <c r="D2271" s="134"/>
      <c r="E2271" s="135">
        <v>133.36000000000001</v>
      </c>
      <c r="F2271" s="46" t="s">
        <v>9</v>
      </c>
      <c r="G2271" s="857">
        <f t="shared" si="164"/>
        <v>0</v>
      </c>
      <c r="H2271" s="775"/>
    </row>
    <row r="2272" spans="1:8">
      <c r="A2272" s="1526">
        <v>45352</v>
      </c>
      <c r="B2272" s="337" t="s">
        <v>13979</v>
      </c>
      <c r="C2272" s="776" t="s">
        <v>13542</v>
      </c>
      <c r="D2272" s="134"/>
      <c r="E2272" s="135">
        <v>211.73</v>
      </c>
      <c r="F2272" s="46" t="s">
        <v>9</v>
      </c>
      <c r="G2272" s="857">
        <f>IF(F2272="X",0,E2272)</f>
        <v>0</v>
      </c>
      <c r="H2272" s="775"/>
    </row>
    <row r="2273" spans="1:8">
      <c r="A2273" s="1526">
        <v>45352</v>
      </c>
      <c r="B2273" s="337" t="s">
        <v>13980</v>
      </c>
      <c r="C2273" s="776" t="s">
        <v>13542</v>
      </c>
      <c r="D2273" s="134"/>
      <c r="E2273" s="135">
        <v>41.67</v>
      </c>
      <c r="F2273" s="46" t="s">
        <v>9</v>
      </c>
      <c r="G2273" s="857">
        <f>IF(F2273="X",0,E2273)</f>
        <v>0</v>
      </c>
      <c r="H2273" s="775"/>
    </row>
    <row r="2274" spans="1:8">
      <c r="A2274" s="1527">
        <v>45352</v>
      </c>
      <c r="B2274" s="793" t="s">
        <v>13981</v>
      </c>
      <c r="C2274" s="794" t="s">
        <v>13538</v>
      </c>
      <c r="D2274" s="795"/>
      <c r="E2274" s="796">
        <v>209.4</v>
      </c>
      <c r="F2274" s="797" t="s">
        <v>9</v>
      </c>
      <c r="G2274" s="1528">
        <f>IF(F2274="X",0,E2274)</f>
        <v>0</v>
      </c>
      <c r="H2274" s="775"/>
    </row>
    <row r="2275" spans="1:8" ht="14.25" thickBot="1">
      <c r="A2275" s="1526">
        <v>45366</v>
      </c>
      <c r="B2275" s="337" t="s">
        <v>13982</v>
      </c>
      <c r="C2275" s="776" t="s">
        <v>13541</v>
      </c>
      <c r="D2275" s="134"/>
      <c r="E2275" s="135">
        <v>226.23</v>
      </c>
      <c r="F2275" s="46" t="s">
        <v>9</v>
      </c>
      <c r="G2275" s="857">
        <f>IF(F2275="X",0,E2275)</f>
        <v>0</v>
      </c>
      <c r="H2275" s="775"/>
    </row>
    <row r="2276" spans="1:8">
      <c r="A2276" s="1519"/>
      <c r="B2276" s="1520"/>
      <c r="C2276" s="1521" t="s">
        <v>1633</v>
      </c>
      <c r="D2276" s="1522"/>
      <c r="E2276" s="1523">
        <f>SUM(E2277:E2289)</f>
        <v>3097.9300000000003</v>
      </c>
      <c r="F2276" s="1524"/>
      <c r="G2276" s="1525"/>
      <c r="H2276" s="775">
        <f>E2278+E2279</f>
        <v>75.62</v>
      </c>
    </row>
    <row r="2277" spans="1:8">
      <c r="A2277" s="1526">
        <v>45383</v>
      </c>
      <c r="B2277" s="337" t="s">
        <v>13967</v>
      </c>
      <c r="C2277" s="776" t="s">
        <v>13402</v>
      </c>
      <c r="D2277" s="134"/>
      <c r="E2277" s="135">
        <v>449.9</v>
      </c>
      <c r="F2277" s="46" t="s">
        <v>9</v>
      </c>
      <c r="G2277" s="857">
        <f t="shared" ref="G2277:G2289" si="165">IF(F2277="X",0,E2277)</f>
        <v>0</v>
      </c>
      <c r="H2277" s="775"/>
    </row>
    <row r="2278" spans="1:8">
      <c r="A2278" s="1527">
        <v>45383</v>
      </c>
      <c r="B2278" s="793" t="s">
        <v>13970</v>
      </c>
      <c r="C2278" s="794" t="s">
        <v>13475</v>
      </c>
      <c r="D2278" s="795"/>
      <c r="E2278" s="796">
        <v>58.17</v>
      </c>
      <c r="F2278" s="797" t="s">
        <v>9</v>
      </c>
      <c r="G2278" s="1528">
        <f t="shared" si="165"/>
        <v>0</v>
      </c>
      <c r="H2278" s="775"/>
    </row>
    <row r="2279" spans="1:8">
      <c r="A2279" s="1527">
        <v>45383</v>
      </c>
      <c r="B2279" s="793" t="s">
        <v>13971</v>
      </c>
      <c r="C2279" s="794" t="s">
        <v>13475</v>
      </c>
      <c r="D2279" s="795"/>
      <c r="E2279" s="796">
        <v>17.45</v>
      </c>
      <c r="F2279" s="797" t="s">
        <v>9</v>
      </c>
      <c r="G2279" s="1528">
        <f t="shared" si="165"/>
        <v>0</v>
      </c>
      <c r="H2279" s="775"/>
    </row>
    <row r="2280" spans="1:8">
      <c r="A2280" s="1526">
        <v>45383</v>
      </c>
      <c r="B2280" s="337" t="s">
        <v>13972</v>
      </c>
      <c r="C2280" s="776" t="s">
        <v>13561</v>
      </c>
      <c r="D2280" s="134"/>
      <c r="E2280" s="135">
        <v>358.25</v>
      </c>
      <c r="F2280" s="46" t="s">
        <v>9</v>
      </c>
      <c r="G2280" s="857">
        <f t="shared" si="165"/>
        <v>0</v>
      </c>
      <c r="H2280" s="775"/>
    </row>
    <row r="2281" spans="1:8">
      <c r="A2281" s="1526">
        <v>45383</v>
      </c>
      <c r="B2281" s="337" t="s">
        <v>13976</v>
      </c>
      <c r="C2281" s="776" t="s">
        <v>13467</v>
      </c>
      <c r="D2281" s="134"/>
      <c r="E2281" s="135">
        <v>106.18</v>
      </c>
      <c r="F2281" s="46" t="s">
        <v>9</v>
      </c>
      <c r="G2281" s="857">
        <f t="shared" si="165"/>
        <v>0</v>
      </c>
      <c r="H2281" s="775"/>
    </row>
    <row r="2282" spans="1:8">
      <c r="A2282" s="1526">
        <v>45383</v>
      </c>
      <c r="B2282" s="337" t="s">
        <v>13975</v>
      </c>
      <c r="C2282" s="776" t="s">
        <v>13467</v>
      </c>
      <c r="D2282" s="134"/>
      <c r="E2282" s="135">
        <v>521.5</v>
      </c>
      <c r="F2282" s="46" t="s">
        <v>9</v>
      </c>
      <c r="G2282" s="857">
        <f t="shared" si="165"/>
        <v>0</v>
      </c>
      <c r="H2282" s="775"/>
    </row>
    <row r="2283" spans="1:8">
      <c r="A2283" s="1526">
        <v>45383</v>
      </c>
      <c r="B2283" s="337" t="s">
        <v>13977</v>
      </c>
      <c r="C2283" s="776" t="s">
        <v>13467</v>
      </c>
      <c r="D2283" s="134"/>
      <c r="E2283" s="135">
        <v>52.47</v>
      </c>
      <c r="F2283" s="46" t="s">
        <v>9</v>
      </c>
      <c r="G2283" s="857">
        <f t="shared" si="165"/>
        <v>0</v>
      </c>
      <c r="H2283" s="775"/>
    </row>
    <row r="2284" spans="1:8">
      <c r="A2284" s="1526">
        <v>45383</v>
      </c>
      <c r="B2284" s="337" t="s">
        <v>13978</v>
      </c>
      <c r="C2284" s="776" t="s">
        <v>13467</v>
      </c>
      <c r="D2284" s="134"/>
      <c r="E2284" s="135">
        <v>133.36000000000001</v>
      </c>
      <c r="F2284" s="46" t="s">
        <v>9</v>
      </c>
      <c r="G2284" s="857">
        <f t="shared" si="165"/>
        <v>0</v>
      </c>
      <c r="H2284" s="775"/>
    </row>
    <row r="2285" spans="1:8">
      <c r="A2285" s="1526">
        <v>45383</v>
      </c>
      <c r="B2285" s="337" t="s">
        <v>13979</v>
      </c>
      <c r="C2285" s="776" t="s">
        <v>13550</v>
      </c>
      <c r="D2285" s="134"/>
      <c r="E2285" s="135">
        <v>211.73</v>
      </c>
      <c r="F2285" s="46" t="s">
        <v>9</v>
      </c>
      <c r="G2285" s="857">
        <f t="shared" si="165"/>
        <v>0</v>
      </c>
      <c r="H2285" s="775"/>
    </row>
    <row r="2286" spans="1:8">
      <c r="A2286" s="1526">
        <v>45383</v>
      </c>
      <c r="B2286" s="337" t="s">
        <v>13980</v>
      </c>
      <c r="C2286" s="776" t="s">
        <v>13550</v>
      </c>
      <c r="D2286" s="134"/>
      <c r="E2286" s="135">
        <v>41.67</v>
      </c>
      <c r="F2286" s="46" t="s">
        <v>9</v>
      </c>
      <c r="G2286" s="857">
        <f t="shared" si="165"/>
        <v>0</v>
      </c>
      <c r="H2286" s="775"/>
    </row>
    <row r="2287" spans="1:8">
      <c r="A2287" s="1526">
        <v>45383</v>
      </c>
      <c r="B2287" s="337" t="s">
        <v>13984</v>
      </c>
      <c r="C2287" s="776" t="s">
        <v>13356</v>
      </c>
      <c r="D2287" s="134"/>
      <c r="E2287" s="135">
        <v>798.6</v>
      </c>
      <c r="F2287" s="46" t="s">
        <v>9</v>
      </c>
      <c r="G2287" s="857">
        <f t="shared" si="165"/>
        <v>0</v>
      </c>
      <c r="H2287" s="775"/>
    </row>
    <row r="2288" spans="1:8">
      <c r="A2288" s="1526">
        <v>45383</v>
      </c>
      <c r="B2288" s="337" t="s">
        <v>13985</v>
      </c>
      <c r="C2288" s="776" t="s">
        <v>13437</v>
      </c>
      <c r="D2288" s="134"/>
      <c r="E2288" s="135">
        <v>122.42</v>
      </c>
      <c r="F2288" s="46" t="s">
        <v>9</v>
      </c>
      <c r="G2288" s="857">
        <f t="shared" si="165"/>
        <v>0</v>
      </c>
      <c r="H2288" s="775"/>
    </row>
    <row r="2289" spans="1:8" ht="14.25" thickBot="1">
      <c r="A2289" s="1526">
        <v>45397</v>
      </c>
      <c r="B2289" s="337" t="s">
        <v>13982</v>
      </c>
      <c r="C2289" s="776" t="s">
        <v>13549</v>
      </c>
      <c r="D2289" s="134"/>
      <c r="E2289" s="135">
        <v>226.23</v>
      </c>
      <c r="F2289" s="46" t="s">
        <v>9</v>
      </c>
      <c r="G2289" s="857">
        <f t="shared" si="165"/>
        <v>0</v>
      </c>
      <c r="H2289" s="775"/>
    </row>
    <row r="2290" spans="1:8">
      <c r="A2290" s="1519"/>
      <c r="B2290" s="1520"/>
      <c r="C2290" s="1521" t="s">
        <v>1634</v>
      </c>
      <c r="D2290" s="1522"/>
      <c r="E2290" s="1523">
        <f>SUM(E2291:E2302)</f>
        <v>3097.2999999999997</v>
      </c>
      <c r="F2290" s="1524"/>
      <c r="G2290" s="1525"/>
      <c r="H2290" s="775">
        <f>E2293+E2294+E2295+E2296+E2302</f>
        <v>1039.74</v>
      </c>
    </row>
    <row r="2291" spans="1:8">
      <c r="A2291" s="1526">
        <v>45413</v>
      </c>
      <c r="B2291" s="337" t="s">
        <v>13967</v>
      </c>
      <c r="C2291" s="776" t="s">
        <v>13409</v>
      </c>
      <c r="D2291" s="134"/>
      <c r="E2291" s="135">
        <v>449.9</v>
      </c>
      <c r="F2291" s="46" t="s">
        <v>120</v>
      </c>
      <c r="G2291" s="857" t="s">
        <v>9</v>
      </c>
      <c r="H2291" s="775"/>
    </row>
    <row r="2292" spans="1:8">
      <c r="A2292" s="1526">
        <v>45413</v>
      </c>
      <c r="B2292" s="337" t="s">
        <v>13972</v>
      </c>
      <c r="C2292" s="776" t="s">
        <v>13567</v>
      </c>
      <c r="D2292" s="134"/>
      <c r="E2292" s="135">
        <v>358.25</v>
      </c>
      <c r="F2292" s="46" t="s">
        <v>9</v>
      </c>
      <c r="G2292" s="857">
        <f t="shared" ref="G2292:G2302" si="166">IF(F2292="X",0,E2292)</f>
        <v>0</v>
      </c>
      <c r="H2292" s="775"/>
    </row>
    <row r="2293" spans="1:8">
      <c r="A2293" s="1527">
        <v>45413</v>
      </c>
      <c r="B2293" s="793" t="s">
        <v>13976</v>
      </c>
      <c r="C2293" s="794" t="s">
        <v>13475</v>
      </c>
      <c r="D2293" s="795"/>
      <c r="E2293" s="796">
        <v>106.18</v>
      </c>
      <c r="F2293" s="797" t="s">
        <v>9</v>
      </c>
      <c r="G2293" s="1528">
        <f t="shared" si="166"/>
        <v>0</v>
      </c>
      <c r="H2293" s="775"/>
    </row>
    <row r="2294" spans="1:8">
      <c r="A2294" s="1527">
        <v>45413</v>
      </c>
      <c r="B2294" s="793" t="s">
        <v>13975</v>
      </c>
      <c r="C2294" s="794" t="s">
        <v>13475</v>
      </c>
      <c r="D2294" s="795"/>
      <c r="E2294" s="796">
        <v>521.5</v>
      </c>
      <c r="F2294" s="797" t="s">
        <v>9</v>
      </c>
      <c r="G2294" s="1528">
        <f t="shared" si="166"/>
        <v>0</v>
      </c>
      <c r="H2294" s="775"/>
    </row>
    <row r="2295" spans="1:8">
      <c r="A2295" s="1527">
        <v>45413</v>
      </c>
      <c r="B2295" s="793" t="s">
        <v>13977</v>
      </c>
      <c r="C2295" s="794" t="s">
        <v>13475</v>
      </c>
      <c r="D2295" s="795"/>
      <c r="E2295" s="796">
        <v>52.47</v>
      </c>
      <c r="F2295" s="797" t="s">
        <v>9</v>
      </c>
      <c r="G2295" s="1528">
        <f t="shared" si="166"/>
        <v>0</v>
      </c>
      <c r="H2295" s="775"/>
    </row>
    <row r="2296" spans="1:8">
      <c r="A2296" s="1527">
        <v>45413</v>
      </c>
      <c r="B2296" s="793" t="s">
        <v>13978</v>
      </c>
      <c r="C2296" s="794" t="s">
        <v>13475</v>
      </c>
      <c r="D2296" s="795"/>
      <c r="E2296" s="796">
        <v>133.36000000000001</v>
      </c>
      <c r="F2296" s="797" t="s">
        <v>9</v>
      </c>
      <c r="G2296" s="1528">
        <f t="shared" si="166"/>
        <v>0</v>
      </c>
      <c r="H2296" s="775"/>
    </row>
    <row r="2297" spans="1:8">
      <c r="A2297" s="1526">
        <v>45413</v>
      </c>
      <c r="B2297" s="337" t="s">
        <v>13979</v>
      </c>
      <c r="C2297" s="776" t="s">
        <v>13554</v>
      </c>
      <c r="D2297" s="134"/>
      <c r="E2297" s="135">
        <v>211.73</v>
      </c>
      <c r="F2297" s="46" t="s">
        <v>9</v>
      </c>
      <c r="G2297" s="857">
        <f t="shared" si="166"/>
        <v>0</v>
      </c>
      <c r="H2297" s="775"/>
    </row>
    <row r="2298" spans="1:8">
      <c r="A2298" s="1526">
        <v>45413</v>
      </c>
      <c r="B2298" s="337" t="s">
        <v>13980</v>
      </c>
      <c r="C2298" s="776" t="s">
        <v>13554</v>
      </c>
      <c r="D2298" s="134"/>
      <c r="E2298" s="135">
        <v>41.67</v>
      </c>
      <c r="F2298" s="46" t="s">
        <v>9</v>
      </c>
      <c r="G2298" s="857">
        <f t="shared" si="166"/>
        <v>0</v>
      </c>
      <c r="H2298" s="775"/>
    </row>
    <row r="2299" spans="1:8">
      <c r="A2299" s="1526">
        <v>45413</v>
      </c>
      <c r="B2299" s="337" t="s">
        <v>13984</v>
      </c>
      <c r="C2299" s="776" t="s">
        <v>13368</v>
      </c>
      <c r="D2299" s="134"/>
      <c r="E2299" s="135">
        <v>798.6</v>
      </c>
      <c r="F2299" s="46" t="s">
        <v>9</v>
      </c>
      <c r="G2299" s="857">
        <f t="shared" si="166"/>
        <v>0</v>
      </c>
      <c r="H2299" s="775"/>
    </row>
    <row r="2300" spans="1:8">
      <c r="A2300" s="1526">
        <v>45413</v>
      </c>
      <c r="B2300" s="337" t="s">
        <v>13985</v>
      </c>
      <c r="C2300" s="776" t="s">
        <v>13443</v>
      </c>
      <c r="D2300" s="134"/>
      <c r="E2300" s="135">
        <v>122.42</v>
      </c>
      <c r="F2300" s="46" t="s">
        <v>9</v>
      </c>
      <c r="G2300" s="857">
        <f t="shared" si="166"/>
        <v>0</v>
      </c>
      <c r="H2300" s="775"/>
    </row>
    <row r="2301" spans="1:8">
      <c r="A2301" s="1526">
        <v>45413</v>
      </c>
      <c r="B2301" s="337" t="s">
        <v>13986</v>
      </c>
      <c r="C2301" s="776" t="s">
        <v>13459</v>
      </c>
      <c r="D2301" s="134"/>
      <c r="E2301" s="135">
        <v>74.989999999999995</v>
      </c>
      <c r="F2301" s="46" t="s">
        <v>9</v>
      </c>
      <c r="G2301" s="857">
        <f t="shared" si="166"/>
        <v>0</v>
      </c>
      <c r="H2301" s="775"/>
    </row>
    <row r="2302" spans="1:8" ht="14.25" thickBot="1">
      <c r="A2302" s="1527">
        <v>45427</v>
      </c>
      <c r="B2302" s="793" t="s">
        <v>13982</v>
      </c>
      <c r="C2302" s="794" t="s">
        <v>13987</v>
      </c>
      <c r="D2302" s="795"/>
      <c r="E2302" s="796">
        <v>226.23</v>
      </c>
      <c r="F2302" s="797" t="s">
        <v>9</v>
      </c>
      <c r="G2302" s="1528">
        <f t="shared" si="166"/>
        <v>0</v>
      </c>
      <c r="H2302" s="775"/>
    </row>
    <row r="2303" spans="1:8">
      <c r="A2303" s="1519"/>
      <c r="B2303" s="1520"/>
      <c r="C2303" s="1521" t="s">
        <v>1635</v>
      </c>
      <c r="D2303" s="1522"/>
      <c r="E2303" s="1523">
        <f>SUM(E2304:E2311)</f>
        <v>2420.2199999999998</v>
      </c>
      <c r="F2303" s="1524"/>
      <c r="G2303" s="1525"/>
      <c r="H2303" s="775">
        <f>E2304</f>
        <v>449.9</v>
      </c>
    </row>
    <row r="2304" spans="1:8">
      <c r="A2304" s="1527">
        <v>45444</v>
      </c>
      <c r="B2304" s="793" t="s">
        <v>13967</v>
      </c>
      <c r="C2304" s="794" t="s">
        <v>13414</v>
      </c>
      <c r="D2304" s="795"/>
      <c r="E2304" s="796">
        <v>449.9</v>
      </c>
      <c r="F2304" s="797" t="s">
        <v>9</v>
      </c>
      <c r="G2304" s="1528">
        <f t="shared" ref="G2304:G2311" si="167">IF(F2304="X",0,E2304)</f>
        <v>0</v>
      </c>
      <c r="H2304" s="775"/>
    </row>
    <row r="2305" spans="1:8">
      <c r="A2305" s="1526">
        <v>45444</v>
      </c>
      <c r="B2305" s="337" t="s">
        <v>13972</v>
      </c>
      <c r="C2305" s="776" t="s">
        <v>13573</v>
      </c>
      <c r="D2305" s="134"/>
      <c r="E2305" s="135">
        <v>358.25</v>
      </c>
      <c r="F2305" s="46" t="s">
        <v>9</v>
      </c>
      <c r="G2305" s="857">
        <f t="shared" si="167"/>
        <v>0</v>
      </c>
      <c r="H2305" s="775"/>
    </row>
    <row r="2306" spans="1:8">
      <c r="A2306" s="1526">
        <v>45444</v>
      </c>
      <c r="B2306" s="337" t="s">
        <v>13979</v>
      </c>
      <c r="C2306" s="776" t="s">
        <v>13561</v>
      </c>
      <c r="D2306" s="134"/>
      <c r="E2306" s="135">
        <v>211.73</v>
      </c>
      <c r="F2306" s="46" t="s">
        <v>9</v>
      </c>
      <c r="G2306" s="857">
        <f t="shared" si="167"/>
        <v>0</v>
      </c>
      <c r="H2306" s="775"/>
    </row>
    <row r="2307" spans="1:8">
      <c r="A2307" s="1526">
        <v>45444</v>
      </c>
      <c r="B2307" s="337" t="s">
        <v>13980</v>
      </c>
      <c r="C2307" s="776" t="s">
        <v>13561</v>
      </c>
      <c r="D2307" s="134"/>
      <c r="E2307" s="135">
        <v>41.67</v>
      </c>
      <c r="F2307" s="46" t="s">
        <v>9</v>
      </c>
      <c r="G2307" s="857">
        <f t="shared" si="167"/>
        <v>0</v>
      </c>
      <c r="H2307" s="775"/>
    </row>
    <row r="2308" spans="1:8">
      <c r="A2308" s="1526">
        <v>45444</v>
      </c>
      <c r="B2308" s="337" t="s">
        <v>13984</v>
      </c>
      <c r="C2308" s="776" t="s">
        <v>13376</v>
      </c>
      <c r="D2308" s="134"/>
      <c r="E2308" s="135">
        <v>798.6</v>
      </c>
      <c r="F2308" s="46" t="s">
        <v>9</v>
      </c>
      <c r="G2308" s="857">
        <f t="shared" si="167"/>
        <v>0</v>
      </c>
      <c r="H2308" s="775"/>
    </row>
    <row r="2309" spans="1:8">
      <c r="A2309" s="1526">
        <v>45444</v>
      </c>
      <c r="B2309" s="337" t="s">
        <v>13985</v>
      </c>
      <c r="C2309" s="776" t="s">
        <v>13448</v>
      </c>
      <c r="D2309" s="134"/>
      <c r="E2309" s="135">
        <v>122.42</v>
      </c>
      <c r="F2309" s="46" t="s">
        <v>9</v>
      </c>
      <c r="G2309" s="857">
        <f t="shared" si="167"/>
        <v>0</v>
      </c>
      <c r="H2309" s="775"/>
    </row>
    <row r="2310" spans="1:8">
      <c r="A2310" s="1526">
        <v>45444</v>
      </c>
      <c r="B2310" s="337" t="s">
        <v>13986</v>
      </c>
      <c r="C2310" s="776" t="s">
        <v>13481</v>
      </c>
      <c r="D2310" s="134"/>
      <c r="E2310" s="135">
        <v>74.989999999999995</v>
      </c>
      <c r="F2310" s="46" t="s">
        <v>9</v>
      </c>
      <c r="G2310" s="857">
        <f t="shared" si="167"/>
        <v>0</v>
      </c>
      <c r="H2310" s="775"/>
    </row>
    <row r="2311" spans="1:8" ht="14.25" thickBot="1">
      <c r="A2311" s="1526">
        <v>45444</v>
      </c>
      <c r="B2311" s="337" t="s">
        <v>13988</v>
      </c>
      <c r="C2311" s="776" t="s">
        <v>13437</v>
      </c>
      <c r="D2311" s="134"/>
      <c r="E2311" s="135">
        <v>362.66</v>
      </c>
      <c r="F2311" s="46" t="s">
        <v>9</v>
      </c>
      <c r="G2311" s="857">
        <f t="shared" si="167"/>
        <v>0</v>
      </c>
      <c r="H2311" s="775"/>
    </row>
    <row r="2312" spans="1:8">
      <c r="A2312" s="1519"/>
      <c r="B2312" s="1520"/>
      <c r="C2312" s="1521" t="s">
        <v>1636</v>
      </c>
      <c r="D2312" s="1522"/>
      <c r="E2312" s="1523">
        <f>SUM(E2313:E2321)</f>
        <v>2376.09</v>
      </c>
      <c r="F2312" s="1524"/>
      <c r="G2312" s="1525"/>
      <c r="H2312" s="775"/>
    </row>
    <row r="2313" spans="1:8">
      <c r="A2313" s="1526">
        <v>45474</v>
      </c>
      <c r="B2313" s="337" t="s">
        <v>13972</v>
      </c>
      <c r="C2313" s="776" t="s">
        <v>13580</v>
      </c>
      <c r="D2313" s="134"/>
      <c r="E2313" s="135">
        <v>358.25</v>
      </c>
      <c r="F2313" s="46" t="s">
        <v>9</v>
      </c>
      <c r="G2313" s="857">
        <f t="shared" ref="G2313:G2321" si="168">IF(F2313="X",0,E2313)</f>
        <v>0</v>
      </c>
      <c r="H2313" s="775"/>
    </row>
    <row r="2314" spans="1:8">
      <c r="A2314" s="1526">
        <v>45474</v>
      </c>
      <c r="B2314" s="337" t="s">
        <v>13979</v>
      </c>
      <c r="C2314" s="776" t="s">
        <v>13567</v>
      </c>
      <c r="D2314" s="134"/>
      <c r="E2314" s="135">
        <v>211.73</v>
      </c>
      <c r="F2314" s="46" t="s">
        <v>9</v>
      </c>
      <c r="G2314" s="857">
        <f t="shared" si="168"/>
        <v>0</v>
      </c>
      <c r="H2314" s="775"/>
    </row>
    <row r="2315" spans="1:8">
      <c r="A2315" s="1526">
        <v>45474</v>
      </c>
      <c r="B2315" s="337" t="s">
        <v>13980</v>
      </c>
      <c r="C2315" s="776" t="s">
        <v>13567</v>
      </c>
      <c r="D2315" s="134"/>
      <c r="E2315" s="135">
        <v>41.67</v>
      </c>
      <c r="F2315" s="46" t="s">
        <v>9</v>
      </c>
      <c r="G2315" s="857">
        <f t="shared" si="168"/>
        <v>0</v>
      </c>
      <c r="H2315" s="775"/>
    </row>
    <row r="2316" spans="1:8">
      <c r="A2316" s="1526">
        <v>45474</v>
      </c>
      <c r="B2316" s="337" t="s">
        <v>13984</v>
      </c>
      <c r="C2316" s="776" t="s">
        <v>13380</v>
      </c>
      <c r="D2316" s="134"/>
      <c r="E2316" s="135">
        <v>798.6</v>
      </c>
      <c r="F2316" s="46" t="s">
        <v>9</v>
      </c>
      <c r="G2316" s="857">
        <f t="shared" si="168"/>
        <v>0</v>
      </c>
      <c r="H2316" s="775"/>
    </row>
    <row r="2317" spans="1:8">
      <c r="A2317" s="1526">
        <v>45474</v>
      </c>
      <c r="B2317" s="337" t="s">
        <v>13985</v>
      </c>
      <c r="C2317" s="776" t="s">
        <v>13454</v>
      </c>
      <c r="D2317" s="134"/>
      <c r="E2317" s="135">
        <v>122.42</v>
      </c>
      <c r="F2317" s="46" t="s">
        <v>9</v>
      </c>
      <c r="G2317" s="857">
        <f t="shared" si="168"/>
        <v>0</v>
      </c>
      <c r="H2317" s="775"/>
    </row>
    <row r="2318" spans="1:8">
      <c r="A2318" s="1526">
        <v>45474</v>
      </c>
      <c r="B2318" s="337" t="s">
        <v>13986</v>
      </c>
      <c r="C2318" s="776" t="s">
        <v>13489</v>
      </c>
      <c r="D2318" s="134"/>
      <c r="E2318" s="135">
        <v>74.989999999999995</v>
      </c>
      <c r="F2318" s="46" t="s">
        <v>9</v>
      </c>
      <c r="G2318" s="857">
        <f t="shared" si="168"/>
        <v>0</v>
      </c>
      <c r="H2318" s="775"/>
    </row>
    <row r="2319" spans="1:8">
      <c r="A2319" s="1526">
        <v>45474</v>
      </c>
      <c r="B2319" s="337" t="s">
        <v>13988</v>
      </c>
      <c r="C2319" s="776" t="s">
        <v>13443</v>
      </c>
      <c r="D2319" s="134"/>
      <c r="E2319" s="135">
        <v>362.66</v>
      </c>
      <c r="F2319" s="46" t="s">
        <v>9</v>
      </c>
      <c r="G2319" s="857">
        <f t="shared" si="168"/>
        <v>0</v>
      </c>
      <c r="H2319" s="775"/>
    </row>
    <row r="2320" spans="1:8">
      <c r="A2320" s="1526">
        <v>45474</v>
      </c>
      <c r="B2320" s="337" t="s">
        <v>13989</v>
      </c>
      <c r="C2320" s="776" t="s">
        <v>13459</v>
      </c>
      <c r="D2320" s="134"/>
      <c r="E2320" s="135">
        <v>162.5</v>
      </c>
      <c r="F2320" s="46" t="s">
        <v>9</v>
      </c>
      <c r="G2320" s="857">
        <f t="shared" si="168"/>
        <v>0</v>
      </c>
      <c r="H2320" s="775"/>
    </row>
    <row r="2321" spans="1:8" ht="14.25" thickBot="1">
      <c r="A2321" s="1526">
        <v>45474</v>
      </c>
      <c r="B2321" s="337" t="s">
        <v>13990</v>
      </c>
      <c r="C2321" s="776" t="s">
        <v>13521</v>
      </c>
      <c r="D2321" s="134"/>
      <c r="E2321" s="135">
        <v>243.27</v>
      </c>
      <c r="F2321" s="46" t="s">
        <v>9</v>
      </c>
      <c r="G2321" s="857">
        <f t="shared" si="168"/>
        <v>0</v>
      </c>
      <c r="H2321" s="775"/>
    </row>
    <row r="2322" spans="1:8">
      <c r="A2322" s="1519"/>
      <c r="B2322" s="1520"/>
      <c r="C2322" s="1521" t="s">
        <v>1637</v>
      </c>
      <c r="D2322" s="1522"/>
      <c r="E2322" s="1523">
        <f>SUM(E2323:E2334)</f>
        <v>3788.9100000000003</v>
      </c>
      <c r="F2322" s="1524"/>
      <c r="G2322" s="1525"/>
      <c r="H2322" s="775">
        <f>E2328</f>
        <v>74.989999999999995</v>
      </c>
    </row>
    <row r="2323" spans="1:8">
      <c r="A2323" s="1526">
        <v>45505</v>
      </c>
      <c r="B2323" s="337" t="s">
        <v>13972</v>
      </c>
      <c r="C2323" s="776" t="s">
        <v>13583</v>
      </c>
      <c r="D2323" s="134"/>
      <c r="E2323" s="135">
        <v>358.25</v>
      </c>
      <c r="F2323" s="46" t="s">
        <v>9</v>
      </c>
      <c r="G2323" s="857">
        <f t="shared" ref="G2323:G2334" si="169">IF(F2323="X",0,E2323)</f>
        <v>0</v>
      </c>
      <c r="H2323" s="775"/>
    </row>
    <row r="2324" spans="1:8">
      <c r="A2324" s="1526">
        <v>45505</v>
      </c>
      <c r="B2324" s="337" t="s">
        <v>13979</v>
      </c>
      <c r="C2324" s="776" t="s">
        <v>13573</v>
      </c>
      <c r="D2324" s="134"/>
      <c r="E2324" s="135">
        <v>211.73</v>
      </c>
      <c r="F2324" s="46" t="s">
        <v>9</v>
      </c>
      <c r="G2324" s="857">
        <f t="shared" si="169"/>
        <v>0</v>
      </c>
      <c r="H2324" s="775"/>
    </row>
    <row r="2325" spans="1:8">
      <c r="A2325" s="1526">
        <v>45505</v>
      </c>
      <c r="B2325" s="337" t="s">
        <v>13980</v>
      </c>
      <c r="C2325" s="776" t="s">
        <v>13573</v>
      </c>
      <c r="D2325" s="134"/>
      <c r="E2325" s="135">
        <v>41.67</v>
      </c>
      <c r="F2325" s="46" t="s">
        <v>9</v>
      </c>
      <c r="G2325" s="857">
        <f t="shared" si="169"/>
        <v>0</v>
      </c>
      <c r="H2325" s="775"/>
    </row>
    <row r="2326" spans="1:8">
      <c r="A2326" s="1526">
        <v>45505</v>
      </c>
      <c r="B2326" s="337" t="s">
        <v>13984</v>
      </c>
      <c r="C2326" s="776" t="s">
        <v>13384</v>
      </c>
      <c r="D2326" s="134"/>
      <c r="E2326" s="135">
        <v>798.6</v>
      </c>
      <c r="F2326" s="46" t="s">
        <v>9</v>
      </c>
      <c r="G2326" s="857">
        <f t="shared" si="169"/>
        <v>0</v>
      </c>
      <c r="H2326" s="775"/>
    </row>
    <row r="2327" spans="1:8">
      <c r="A2327" s="1526">
        <v>45505</v>
      </c>
      <c r="B2327" s="337" t="s">
        <v>13985</v>
      </c>
      <c r="C2327" s="776" t="s">
        <v>13467</v>
      </c>
      <c r="D2327" s="134"/>
      <c r="E2327" s="135">
        <v>122.42</v>
      </c>
      <c r="F2327" s="46" t="s">
        <v>9</v>
      </c>
      <c r="G2327" s="857">
        <f t="shared" si="169"/>
        <v>0</v>
      </c>
      <c r="H2327" s="775"/>
    </row>
    <row r="2328" spans="1:8">
      <c r="A2328" s="1527">
        <v>45505</v>
      </c>
      <c r="B2328" s="793" t="s">
        <v>13986</v>
      </c>
      <c r="C2328" s="794" t="s">
        <v>13493</v>
      </c>
      <c r="D2328" s="795"/>
      <c r="E2328" s="796">
        <v>74.989999999999995</v>
      </c>
      <c r="F2328" s="797" t="s">
        <v>9</v>
      </c>
      <c r="G2328" s="1528">
        <f t="shared" si="169"/>
        <v>0</v>
      </c>
      <c r="H2328" s="775"/>
    </row>
    <row r="2329" spans="1:8">
      <c r="A2329" s="1526">
        <v>45505</v>
      </c>
      <c r="B2329" s="337" t="s">
        <v>13988</v>
      </c>
      <c r="C2329" s="776" t="s">
        <v>13448</v>
      </c>
      <c r="D2329" s="134"/>
      <c r="E2329" s="135">
        <v>362.66</v>
      </c>
      <c r="F2329" s="46" t="s">
        <v>9</v>
      </c>
      <c r="G2329" s="857">
        <f t="shared" si="169"/>
        <v>0</v>
      </c>
      <c r="H2329" s="775"/>
    </row>
    <row r="2330" spans="1:8">
      <c r="A2330" s="1526">
        <v>45505</v>
      </c>
      <c r="B2330" s="337" t="s">
        <v>13989</v>
      </c>
      <c r="C2330" s="776" t="s">
        <v>13481</v>
      </c>
      <c r="D2330" s="134"/>
      <c r="E2330" s="135">
        <v>162.5</v>
      </c>
      <c r="F2330" s="46" t="s">
        <v>9</v>
      </c>
      <c r="G2330" s="857">
        <f t="shared" si="169"/>
        <v>0</v>
      </c>
      <c r="H2330" s="775"/>
    </row>
    <row r="2331" spans="1:8">
      <c r="A2331" s="1526">
        <v>45505</v>
      </c>
      <c r="B2331" s="337" t="s">
        <v>13990</v>
      </c>
      <c r="C2331" s="776" t="s">
        <v>13531</v>
      </c>
      <c r="D2331" s="134"/>
      <c r="E2331" s="135">
        <v>243.27</v>
      </c>
      <c r="F2331" s="46" t="s">
        <v>9</v>
      </c>
      <c r="G2331" s="857">
        <f t="shared" si="169"/>
        <v>0</v>
      </c>
      <c r="H2331" s="775"/>
    </row>
    <row r="2332" spans="1:8">
      <c r="A2332" s="1526">
        <v>45505</v>
      </c>
      <c r="B2332" s="337" t="s">
        <v>13991</v>
      </c>
      <c r="C2332" s="776" t="s">
        <v>13529</v>
      </c>
      <c r="D2332" s="134"/>
      <c r="E2332" s="135">
        <v>604.13</v>
      </c>
      <c r="F2332" s="46" t="s">
        <v>9</v>
      </c>
      <c r="G2332" s="857">
        <f t="shared" si="169"/>
        <v>0</v>
      </c>
      <c r="H2332" s="775"/>
    </row>
    <row r="2333" spans="1:8">
      <c r="A2333" s="1526">
        <v>45505</v>
      </c>
      <c r="B2333" s="337" t="s">
        <v>13992</v>
      </c>
      <c r="C2333" s="776" t="s">
        <v>13437</v>
      </c>
      <c r="D2333" s="134"/>
      <c r="E2333" s="135">
        <v>533.33000000000004</v>
      </c>
      <c r="F2333" s="46" t="s">
        <v>9</v>
      </c>
      <c r="G2333" s="857">
        <f t="shared" si="169"/>
        <v>0</v>
      </c>
      <c r="H2333" s="775"/>
    </row>
    <row r="2334" spans="1:8" ht="14.25" thickBot="1">
      <c r="A2334" s="1526">
        <v>45505</v>
      </c>
      <c r="B2334" s="337" t="s">
        <v>13993</v>
      </c>
      <c r="C2334" s="776" t="s">
        <v>13437</v>
      </c>
      <c r="D2334" s="134"/>
      <c r="E2334" s="135">
        <v>275.36</v>
      </c>
      <c r="F2334" s="46" t="s">
        <v>9</v>
      </c>
      <c r="G2334" s="857">
        <f t="shared" si="169"/>
        <v>0</v>
      </c>
      <c r="H2334" s="775"/>
    </row>
    <row r="2335" spans="1:8">
      <c r="A2335" s="1519"/>
      <c r="B2335" s="1520"/>
      <c r="C2335" s="1521" t="s">
        <v>1638</v>
      </c>
      <c r="D2335" s="1522"/>
      <c r="E2335" s="1523">
        <f>SUM(E2336:E2348)</f>
        <v>4206.37</v>
      </c>
      <c r="F2335" s="1524"/>
      <c r="G2335" s="1525"/>
      <c r="H2335" s="775">
        <f>E2340+E2343</f>
        <v>365.69</v>
      </c>
    </row>
    <row r="2336" spans="1:8">
      <c r="A2336" s="1526">
        <v>45536</v>
      </c>
      <c r="B2336" s="337" t="s">
        <v>13972</v>
      </c>
      <c r="C2336" s="776" t="s">
        <v>13587</v>
      </c>
      <c r="D2336" s="134"/>
      <c r="E2336" s="135">
        <v>358.25</v>
      </c>
      <c r="F2336" s="46" t="s">
        <v>9</v>
      </c>
      <c r="G2336" s="857">
        <f t="shared" ref="G2336:G2348" si="170">IF(F2336="X",0,E2336)</f>
        <v>0</v>
      </c>
      <c r="H2336" s="775"/>
    </row>
    <row r="2337" spans="1:8">
      <c r="A2337" s="1526">
        <v>45536</v>
      </c>
      <c r="B2337" s="337" t="s">
        <v>13979</v>
      </c>
      <c r="C2337" s="776" t="s">
        <v>13580</v>
      </c>
      <c r="D2337" s="134"/>
      <c r="E2337" s="135">
        <v>211.73</v>
      </c>
      <c r="F2337" s="46" t="s">
        <v>9</v>
      </c>
      <c r="G2337" s="857">
        <f t="shared" si="170"/>
        <v>0</v>
      </c>
      <c r="H2337" s="775"/>
    </row>
    <row r="2338" spans="1:8">
      <c r="A2338" s="1526">
        <v>45536</v>
      </c>
      <c r="B2338" s="337" t="s">
        <v>13980</v>
      </c>
      <c r="C2338" s="776" t="s">
        <v>13580</v>
      </c>
      <c r="D2338" s="134"/>
      <c r="E2338" s="135">
        <v>41.67</v>
      </c>
      <c r="F2338" s="46" t="s">
        <v>9</v>
      </c>
      <c r="G2338" s="857">
        <f t="shared" si="170"/>
        <v>0</v>
      </c>
      <c r="H2338" s="775"/>
    </row>
    <row r="2339" spans="1:8">
      <c r="A2339" s="1526">
        <v>45536</v>
      </c>
      <c r="B2339" s="337" t="s">
        <v>13984</v>
      </c>
      <c r="C2339" s="776" t="s">
        <v>13387</v>
      </c>
      <c r="D2339" s="134"/>
      <c r="E2339" s="135">
        <v>798.6</v>
      </c>
      <c r="F2339" s="46" t="s">
        <v>9</v>
      </c>
      <c r="G2339" s="857">
        <f t="shared" si="170"/>
        <v>0</v>
      </c>
      <c r="H2339" s="775"/>
    </row>
    <row r="2340" spans="1:8">
      <c r="A2340" s="1527">
        <v>45536</v>
      </c>
      <c r="B2340" s="793" t="s">
        <v>13985</v>
      </c>
      <c r="C2340" s="794" t="s">
        <v>13475</v>
      </c>
      <c r="D2340" s="795"/>
      <c r="E2340" s="796">
        <v>122.42</v>
      </c>
      <c r="F2340" s="797" t="s">
        <v>9</v>
      </c>
      <c r="G2340" s="1528">
        <f t="shared" si="170"/>
        <v>0</v>
      </c>
      <c r="H2340" s="775"/>
    </row>
    <row r="2341" spans="1:8">
      <c r="A2341" s="1526">
        <v>45536</v>
      </c>
      <c r="B2341" s="337" t="s">
        <v>13988</v>
      </c>
      <c r="C2341" s="776" t="s">
        <v>13454</v>
      </c>
      <c r="D2341" s="134"/>
      <c r="E2341" s="135">
        <v>362.66</v>
      </c>
      <c r="F2341" s="46" t="s">
        <v>9</v>
      </c>
      <c r="G2341" s="857">
        <f t="shared" si="170"/>
        <v>0</v>
      </c>
      <c r="H2341" s="775"/>
    </row>
    <row r="2342" spans="1:8">
      <c r="A2342" s="1526">
        <v>45536</v>
      </c>
      <c r="B2342" s="337" t="s">
        <v>13989</v>
      </c>
      <c r="C2342" s="776" t="s">
        <v>13489</v>
      </c>
      <c r="D2342" s="134"/>
      <c r="E2342" s="135">
        <v>162.5</v>
      </c>
      <c r="F2342" s="46" t="s">
        <v>9</v>
      </c>
      <c r="G2342" s="857">
        <f t="shared" si="170"/>
        <v>0</v>
      </c>
      <c r="H2342" s="775"/>
    </row>
    <row r="2343" spans="1:8">
      <c r="A2343" s="1527">
        <v>45536</v>
      </c>
      <c r="B2343" s="793" t="s">
        <v>13990</v>
      </c>
      <c r="C2343" s="794" t="s">
        <v>13538</v>
      </c>
      <c r="D2343" s="795"/>
      <c r="E2343" s="796">
        <v>243.27</v>
      </c>
      <c r="F2343" s="797" t="s">
        <v>9</v>
      </c>
      <c r="G2343" s="1528">
        <f t="shared" si="170"/>
        <v>0</v>
      </c>
      <c r="H2343" s="775"/>
    </row>
    <row r="2344" spans="1:8">
      <c r="A2344" s="1526">
        <v>45536</v>
      </c>
      <c r="B2344" s="337" t="s">
        <v>13991</v>
      </c>
      <c r="C2344" s="776" t="s">
        <v>13537</v>
      </c>
      <c r="D2344" s="134"/>
      <c r="E2344" s="135">
        <v>604.13</v>
      </c>
      <c r="F2344" s="46" t="s">
        <v>9</v>
      </c>
      <c r="G2344" s="857">
        <f t="shared" si="170"/>
        <v>0</v>
      </c>
      <c r="H2344" s="775"/>
    </row>
    <row r="2345" spans="1:8">
      <c r="A2345" s="1526">
        <v>45536</v>
      </c>
      <c r="B2345" s="337" t="s">
        <v>13992</v>
      </c>
      <c r="C2345" s="776" t="s">
        <v>13443</v>
      </c>
      <c r="D2345" s="134"/>
      <c r="E2345" s="135">
        <v>533.33000000000004</v>
      </c>
      <c r="F2345" s="46" t="s">
        <v>9</v>
      </c>
      <c r="G2345" s="857">
        <f t="shared" si="170"/>
        <v>0</v>
      </c>
      <c r="H2345" s="775"/>
    </row>
    <row r="2346" spans="1:8">
      <c r="A2346" s="1526">
        <v>45536</v>
      </c>
      <c r="B2346" s="337" t="s">
        <v>13994</v>
      </c>
      <c r="C2346" s="776" t="s">
        <v>13459</v>
      </c>
      <c r="D2346" s="134"/>
      <c r="E2346" s="135">
        <v>420</v>
      </c>
      <c r="F2346" s="46" t="s">
        <v>9</v>
      </c>
      <c r="G2346" s="857">
        <f t="shared" si="170"/>
        <v>0</v>
      </c>
      <c r="H2346" s="775"/>
    </row>
    <row r="2347" spans="1:8">
      <c r="A2347" s="1526">
        <v>45536</v>
      </c>
      <c r="B2347" s="337" t="s">
        <v>13995</v>
      </c>
      <c r="C2347" s="776" t="s">
        <v>13521</v>
      </c>
      <c r="D2347" s="134"/>
      <c r="E2347" s="135">
        <v>143.33000000000001</v>
      </c>
      <c r="F2347" s="46" t="s">
        <v>9</v>
      </c>
      <c r="G2347" s="857">
        <f t="shared" si="170"/>
        <v>0</v>
      </c>
      <c r="H2347" s="775"/>
    </row>
    <row r="2348" spans="1:8" ht="14.25" thickBot="1">
      <c r="A2348" s="1526">
        <v>45536</v>
      </c>
      <c r="B2348" s="337" t="s">
        <v>13996</v>
      </c>
      <c r="C2348" s="776" t="s">
        <v>13479</v>
      </c>
      <c r="D2348" s="134"/>
      <c r="E2348" s="135">
        <v>204.48</v>
      </c>
      <c r="F2348" s="46" t="s">
        <v>9</v>
      </c>
      <c r="G2348" s="857">
        <f t="shared" si="170"/>
        <v>0</v>
      </c>
      <c r="H2348" s="775"/>
    </row>
    <row r="2349" spans="1:8">
      <c r="A2349" s="1519"/>
      <c r="B2349" s="1520"/>
      <c r="C2349" s="1521" t="s">
        <v>1639</v>
      </c>
      <c r="D2349" s="1522"/>
      <c r="E2349" s="1523">
        <f>SUM(E2350:E2364)</f>
        <v>4869.63</v>
      </c>
      <c r="F2349" s="1524"/>
      <c r="G2349" s="1525"/>
      <c r="H2349" s="775">
        <f>E2350+E2355+E2361</f>
        <v>725.23</v>
      </c>
    </row>
    <row r="2350" spans="1:8">
      <c r="A2350" s="1527">
        <v>45566</v>
      </c>
      <c r="B2350" s="793" t="s">
        <v>13972</v>
      </c>
      <c r="C2350" s="794" t="s">
        <v>13590</v>
      </c>
      <c r="D2350" s="795"/>
      <c r="E2350" s="796">
        <v>358.25</v>
      </c>
      <c r="F2350" s="797" t="s">
        <v>9</v>
      </c>
      <c r="G2350" s="1528">
        <f t="shared" ref="G2350:G2364" si="171">IF(F2350="X",0,E2350)</f>
        <v>0</v>
      </c>
      <c r="H2350" s="775"/>
    </row>
    <row r="2351" spans="1:8">
      <c r="A2351" s="1526">
        <v>45566</v>
      </c>
      <c r="B2351" s="337" t="s">
        <v>13979</v>
      </c>
      <c r="C2351" s="776" t="s">
        <v>13583</v>
      </c>
      <c r="D2351" s="134"/>
      <c r="E2351" s="135">
        <v>211.73</v>
      </c>
      <c r="F2351" s="46" t="s">
        <v>9</v>
      </c>
      <c r="G2351" s="857">
        <f t="shared" si="171"/>
        <v>0</v>
      </c>
      <c r="H2351" s="775"/>
    </row>
    <row r="2352" spans="1:8">
      <c r="A2352" s="1526">
        <v>45566</v>
      </c>
      <c r="B2352" s="337" t="s">
        <v>13980</v>
      </c>
      <c r="C2352" s="776" t="s">
        <v>13583</v>
      </c>
      <c r="D2352" s="134"/>
      <c r="E2352" s="135">
        <v>41.67</v>
      </c>
      <c r="F2352" s="46" t="s">
        <v>9</v>
      </c>
      <c r="G2352" s="857">
        <f t="shared" si="171"/>
        <v>0</v>
      </c>
      <c r="H2352" s="775"/>
    </row>
    <row r="2353" spans="1:8">
      <c r="A2353" s="1526">
        <v>45566</v>
      </c>
      <c r="B2353" s="337" t="s">
        <v>13984</v>
      </c>
      <c r="C2353" s="776" t="s">
        <v>13397</v>
      </c>
      <c r="D2353" s="134"/>
      <c r="E2353" s="135">
        <v>798.6</v>
      </c>
      <c r="F2353" s="46" t="s">
        <v>9</v>
      </c>
      <c r="G2353" s="857">
        <f t="shared" si="171"/>
        <v>0</v>
      </c>
      <c r="H2353" s="775"/>
    </row>
    <row r="2354" spans="1:8">
      <c r="A2354" s="1526">
        <v>45566</v>
      </c>
      <c r="B2354" s="337" t="s">
        <v>13988</v>
      </c>
      <c r="C2354" s="776" t="s">
        <v>13467</v>
      </c>
      <c r="D2354" s="134"/>
      <c r="E2354" s="135">
        <v>362.66</v>
      </c>
      <c r="F2354" s="46" t="s">
        <v>9</v>
      </c>
      <c r="G2354" s="857">
        <f t="shared" si="171"/>
        <v>0</v>
      </c>
      <c r="H2354" s="775"/>
    </row>
    <row r="2355" spans="1:8">
      <c r="A2355" s="1527">
        <v>45566</v>
      </c>
      <c r="B2355" s="793" t="s">
        <v>13989</v>
      </c>
      <c r="C2355" s="794" t="s">
        <v>13493</v>
      </c>
      <c r="D2355" s="795"/>
      <c r="E2355" s="796">
        <v>162.5</v>
      </c>
      <c r="F2355" s="797" t="s">
        <v>9</v>
      </c>
      <c r="G2355" s="1528">
        <f t="shared" si="171"/>
        <v>0</v>
      </c>
      <c r="H2355" s="775"/>
    </row>
    <row r="2356" spans="1:8">
      <c r="A2356" s="1526">
        <v>45566</v>
      </c>
      <c r="B2356" s="337" t="s">
        <v>13991</v>
      </c>
      <c r="C2356" s="776" t="s">
        <v>13542</v>
      </c>
      <c r="D2356" s="134"/>
      <c r="E2356" s="135">
        <v>604.13</v>
      </c>
      <c r="F2356" s="46" t="s">
        <v>9</v>
      </c>
      <c r="G2356" s="857">
        <f t="shared" si="171"/>
        <v>0</v>
      </c>
      <c r="H2356" s="775"/>
    </row>
    <row r="2357" spans="1:8">
      <c r="A2357" s="1526">
        <v>45566</v>
      </c>
      <c r="B2357" s="337" t="s">
        <v>13992</v>
      </c>
      <c r="C2357" s="776" t="s">
        <v>13448</v>
      </c>
      <c r="D2357" s="134"/>
      <c r="E2357" s="135">
        <v>533.33000000000004</v>
      </c>
      <c r="F2357" s="46" t="s">
        <v>9</v>
      </c>
      <c r="G2357" s="857">
        <f t="shared" si="171"/>
        <v>0</v>
      </c>
      <c r="H2357" s="775"/>
    </row>
    <row r="2358" spans="1:8">
      <c r="A2358" s="1526">
        <v>45566</v>
      </c>
      <c r="B2358" s="337" t="s">
        <v>13993</v>
      </c>
      <c r="C2358" s="776" t="s">
        <v>13443</v>
      </c>
      <c r="D2358" s="134"/>
      <c r="E2358" s="135">
        <v>275.36</v>
      </c>
      <c r="F2358" s="46" t="s">
        <v>9</v>
      </c>
      <c r="G2358" s="857">
        <f t="shared" si="171"/>
        <v>0</v>
      </c>
      <c r="H2358" s="775"/>
    </row>
    <row r="2359" spans="1:8">
      <c r="A2359" s="1526">
        <v>45566</v>
      </c>
      <c r="B2359" s="337" t="s">
        <v>13994</v>
      </c>
      <c r="C2359" s="776" t="s">
        <v>13481</v>
      </c>
      <c r="D2359" s="134"/>
      <c r="E2359" s="135">
        <v>420</v>
      </c>
      <c r="F2359" s="46" t="s">
        <v>9</v>
      </c>
      <c r="G2359" s="857">
        <f t="shared" si="171"/>
        <v>0</v>
      </c>
      <c r="H2359" s="775"/>
    </row>
    <row r="2360" spans="1:8">
      <c r="A2360" s="1526">
        <v>45566</v>
      </c>
      <c r="B2360" s="337" t="s">
        <v>13995</v>
      </c>
      <c r="C2360" s="776" t="s">
        <v>13531</v>
      </c>
      <c r="D2360" s="134"/>
      <c r="E2360" s="135">
        <v>143.33000000000001</v>
      </c>
      <c r="F2360" s="46" t="s">
        <v>9</v>
      </c>
      <c r="G2360" s="857">
        <f t="shared" si="171"/>
        <v>0</v>
      </c>
      <c r="H2360" s="775"/>
    </row>
    <row r="2361" spans="1:8">
      <c r="A2361" s="1527">
        <v>45566</v>
      </c>
      <c r="B2361" s="793" t="s">
        <v>13996</v>
      </c>
      <c r="C2361" s="794" t="s">
        <v>13485</v>
      </c>
      <c r="D2361" s="795"/>
      <c r="E2361" s="796">
        <v>204.48</v>
      </c>
      <c r="F2361" s="797" t="s">
        <v>9</v>
      </c>
      <c r="G2361" s="1528">
        <f t="shared" si="171"/>
        <v>0</v>
      </c>
      <c r="H2361" s="775"/>
    </row>
    <row r="2362" spans="1:8">
      <c r="A2362" s="1526">
        <v>45566</v>
      </c>
      <c r="B2362" s="337" t="s">
        <v>13997</v>
      </c>
      <c r="C2362" s="776" t="s">
        <v>13479</v>
      </c>
      <c r="D2362" s="134"/>
      <c r="E2362" s="135">
        <v>170.57</v>
      </c>
      <c r="F2362" s="46" t="s">
        <v>9</v>
      </c>
      <c r="G2362" s="857">
        <f t="shared" si="171"/>
        <v>0</v>
      </c>
      <c r="H2362" s="775"/>
    </row>
    <row r="2363" spans="1:8">
      <c r="A2363" s="1526">
        <v>45566</v>
      </c>
      <c r="B2363" s="337" t="s">
        <v>13998</v>
      </c>
      <c r="C2363" s="776" t="s">
        <v>13766</v>
      </c>
      <c r="D2363" s="134"/>
      <c r="E2363" s="135">
        <v>278.3</v>
      </c>
      <c r="F2363" s="46" t="s">
        <v>9</v>
      </c>
      <c r="G2363" s="857">
        <f t="shared" si="171"/>
        <v>0</v>
      </c>
      <c r="H2363" s="775"/>
    </row>
    <row r="2364" spans="1:8" ht="14.25" thickBot="1">
      <c r="A2364" s="1526">
        <v>45566</v>
      </c>
      <c r="B2364" s="337" t="s">
        <v>13999</v>
      </c>
      <c r="C2364" s="776" t="s">
        <v>13437</v>
      </c>
      <c r="D2364" s="134"/>
      <c r="E2364" s="135">
        <v>304.72000000000003</v>
      </c>
      <c r="F2364" s="46" t="s">
        <v>9</v>
      </c>
      <c r="G2364" s="857">
        <f t="shared" si="171"/>
        <v>0</v>
      </c>
      <c r="H2364" s="775"/>
    </row>
    <row r="2365" spans="1:8">
      <c r="A2365" s="1519"/>
      <c r="B2365" s="1520"/>
      <c r="C2365" s="1521" t="s">
        <v>1640</v>
      </c>
      <c r="D2365" s="1522"/>
      <c r="E2365" s="1523">
        <f>SUM(E2366:E2378)</f>
        <v>4302.9000000000005</v>
      </c>
      <c r="F2365" s="1524"/>
      <c r="G2365" s="1525"/>
      <c r="H2365" s="775">
        <f>E2369+E2374+E2375+E2376</f>
        <v>954.8599999999999</v>
      </c>
    </row>
    <row r="2366" spans="1:8">
      <c r="A2366" s="1526">
        <v>45597</v>
      </c>
      <c r="B2366" s="337" t="s">
        <v>13979</v>
      </c>
      <c r="C2366" s="776" t="s">
        <v>13587</v>
      </c>
      <c r="D2366" s="134"/>
      <c r="E2366" s="135">
        <v>211.73</v>
      </c>
      <c r="F2366" s="46" t="s">
        <v>9</v>
      </c>
      <c r="G2366" s="857">
        <f t="shared" ref="G2366:G2377" si="172">IF(F2366="X",0,E2366)</f>
        <v>0</v>
      </c>
      <c r="H2366" s="775"/>
    </row>
    <row r="2367" spans="1:8">
      <c r="A2367" s="1526">
        <v>45597</v>
      </c>
      <c r="B2367" s="337" t="s">
        <v>13980</v>
      </c>
      <c r="C2367" s="776" t="s">
        <v>13587</v>
      </c>
      <c r="D2367" s="134"/>
      <c r="E2367" s="135">
        <v>41.67</v>
      </c>
      <c r="F2367" s="46" t="s">
        <v>9</v>
      </c>
      <c r="G2367" s="857">
        <f t="shared" si="172"/>
        <v>0</v>
      </c>
      <c r="H2367" s="775"/>
    </row>
    <row r="2368" spans="1:8">
      <c r="A2368" s="1526">
        <v>45597</v>
      </c>
      <c r="B2368" s="337" t="s">
        <v>13984</v>
      </c>
      <c r="C2368" s="776" t="s">
        <v>13402</v>
      </c>
      <c r="D2368" s="134"/>
      <c r="E2368" s="135">
        <v>798.6</v>
      </c>
      <c r="F2368" s="46" t="s">
        <v>9</v>
      </c>
      <c r="G2368" s="857">
        <f t="shared" si="172"/>
        <v>0</v>
      </c>
      <c r="H2368" s="775"/>
    </row>
    <row r="2369" spans="1:8">
      <c r="A2369" s="1527">
        <v>45597</v>
      </c>
      <c r="B2369" s="793" t="s">
        <v>13988</v>
      </c>
      <c r="C2369" s="794" t="s">
        <v>13475</v>
      </c>
      <c r="D2369" s="795"/>
      <c r="E2369" s="796">
        <v>362.66</v>
      </c>
      <c r="F2369" s="797" t="s">
        <v>9</v>
      </c>
      <c r="G2369" s="1528">
        <f t="shared" si="172"/>
        <v>0</v>
      </c>
      <c r="H2369" s="775"/>
    </row>
    <row r="2370" spans="1:8">
      <c r="A2370" s="1526">
        <v>45597</v>
      </c>
      <c r="B2370" s="337" t="s">
        <v>13991</v>
      </c>
      <c r="C2370" s="776" t="s">
        <v>13550</v>
      </c>
      <c r="D2370" s="134"/>
      <c r="E2370" s="135">
        <v>604.13</v>
      </c>
      <c r="F2370" s="46" t="s">
        <v>9</v>
      </c>
      <c r="G2370" s="857">
        <f t="shared" si="172"/>
        <v>0</v>
      </c>
      <c r="H2370" s="775"/>
    </row>
    <row r="2371" spans="1:8">
      <c r="A2371" s="1526">
        <v>45597</v>
      </c>
      <c r="B2371" s="337" t="s">
        <v>13992</v>
      </c>
      <c r="C2371" s="776" t="s">
        <v>13454</v>
      </c>
      <c r="D2371" s="134"/>
      <c r="E2371" s="135">
        <v>533.33000000000004</v>
      </c>
      <c r="F2371" s="46" t="s">
        <v>9</v>
      </c>
      <c r="G2371" s="857">
        <f t="shared" si="172"/>
        <v>0</v>
      </c>
      <c r="H2371" s="775"/>
    </row>
    <row r="2372" spans="1:8">
      <c r="A2372" s="1526">
        <v>45597</v>
      </c>
      <c r="B2372" s="337" t="s">
        <v>13993</v>
      </c>
      <c r="C2372" s="776" t="s">
        <v>13448</v>
      </c>
      <c r="D2372" s="134"/>
      <c r="E2372" s="135">
        <v>275.36</v>
      </c>
      <c r="F2372" s="46" t="s">
        <v>9</v>
      </c>
      <c r="G2372" s="857">
        <f t="shared" si="172"/>
        <v>0</v>
      </c>
      <c r="H2372" s="775"/>
    </row>
    <row r="2373" spans="1:8">
      <c r="A2373" s="1526">
        <v>45597</v>
      </c>
      <c r="B2373" s="337" t="s">
        <v>13994</v>
      </c>
      <c r="C2373" s="776" t="s">
        <v>13489</v>
      </c>
      <c r="D2373" s="134"/>
      <c r="E2373" s="135">
        <v>420</v>
      </c>
      <c r="F2373" s="46" t="s">
        <v>9</v>
      </c>
      <c r="G2373" s="857">
        <f t="shared" si="172"/>
        <v>0</v>
      </c>
      <c r="H2373" s="775"/>
    </row>
    <row r="2374" spans="1:8">
      <c r="A2374" s="1527">
        <v>45597</v>
      </c>
      <c r="B2374" s="793" t="s">
        <v>13995</v>
      </c>
      <c r="C2374" s="794" t="s">
        <v>13538</v>
      </c>
      <c r="D2374" s="795"/>
      <c r="E2374" s="796">
        <v>143.33000000000001</v>
      </c>
      <c r="F2374" s="797" t="s">
        <v>9</v>
      </c>
      <c r="G2374" s="1528">
        <f t="shared" si="172"/>
        <v>0</v>
      </c>
      <c r="H2374" s="775"/>
    </row>
    <row r="2375" spans="1:8">
      <c r="A2375" s="1527">
        <v>45597</v>
      </c>
      <c r="B2375" s="793" t="s">
        <v>13997</v>
      </c>
      <c r="C2375" s="794" t="s">
        <v>13485</v>
      </c>
      <c r="D2375" s="795"/>
      <c r="E2375" s="796">
        <v>170.57</v>
      </c>
      <c r="F2375" s="797" t="s">
        <v>9</v>
      </c>
      <c r="G2375" s="1528">
        <f t="shared" si="172"/>
        <v>0</v>
      </c>
      <c r="H2375" s="775"/>
    </row>
    <row r="2376" spans="1:8">
      <c r="A2376" s="1527">
        <v>45597</v>
      </c>
      <c r="B2376" s="793" t="s">
        <v>13998</v>
      </c>
      <c r="C2376" s="794" t="s">
        <v>13643</v>
      </c>
      <c r="D2376" s="795"/>
      <c r="E2376" s="796">
        <v>278.3</v>
      </c>
      <c r="F2376" s="797" t="s">
        <v>9</v>
      </c>
      <c r="G2376" s="1528">
        <f t="shared" si="172"/>
        <v>0</v>
      </c>
      <c r="H2376" s="775"/>
    </row>
    <row r="2377" spans="1:8">
      <c r="A2377" s="1526">
        <v>45597</v>
      </c>
      <c r="B2377" s="337" t="s">
        <v>13999</v>
      </c>
      <c r="C2377" s="776" t="s">
        <v>13443</v>
      </c>
      <c r="D2377" s="134"/>
      <c r="E2377" s="135">
        <v>304.72000000000003</v>
      </c>
      <c r="F2377" s="46" t="s">
        <v>9</v>
      </c>
      <c r="G2377" s="857">
        <f t="shared" si="172"/>
        <v>0</v>
      </c>
      <c r="H2377" s="775"/>
    </row>
    <row r="2378" spans="1:8" ht="14.25" thickBot="1">
      <c r="A2378" s="1526">
        <v>45597</v>
      </c>
      <c r="B2378" s="337" t="s">
        <v>14000</v>
      </c>
      <c r="C2378" s="776" t="s">
        <v>13437</v>
      </c>
      <c r="D2378" s="134"/>
      <c r="E2378" s="135">
        <v>158.5</v>
      </c>
      <c r="F2378" s="46" t="s">
        <v>9</v>
      </c>
      <c r="G2378" s="857">
        <f>IF(F2378="X",0,E2378)</f>
        <v>0</v>
      </c>
      <c r="H2378" s="775"/>
    </row>
    <row r="2379" spans="1:8">
      <c r="A2379" s="1519"/>
      <c r="B2379" s="1520"/>
      <c r="C2379" s="1521" t="s">
        <v>1641</v>
      </c>
      <c r="D2379" s="1522"/>
      <c r="E2379" s="1523">
        <f>SUM(E2380:E2389)</f>
        <v>3593.04</v>
      </c>
      <c r="F2379" s="1524"/>
      <c r="G2379" s="1525"/>
      <c r="H2379" s="775">
        <f>E2380+E2381+E2386</f>
        <v>673.4</v>
      </c>
    </row>
    <row r="2380" spans="1:8">
      <c r="A2380" s="1527">
        <v>45627</v>
      </c>
      <c r="B2380" s="793" t="s">
        <v>13979</v>
      </c>
      <c r="C2380" s="794" t="s">
        <v>13590</v>
      </c>
      <c r="D2380" s="795"/>
      <c r="E2380" s="796">
        <v>211.73</v>
      </c>
      <c r="F2380" s="797" t="s">
        <v>9</v>
      </c>
      <c r="G2380" s="1528">
        <f t="shared" ref="G2380:G2387" si="173">IF(F2380="X",0,E2380)</f>
        <v>0</v>
      </c>
      <c r="H2380" s="775"/>
    </row>
    <row r="2381" spans="1:8">
      <c r="A2381" s="1527">
        <v>45627</v>
      </c>
      <c r="B2381" s="793" t="s">
        <v>13980</v>
      </c>
      <c r="C2381" s="794" t="s">
        <v>13590</v>
      </c>
      <c r="D2381" s="795"/>
      <c r="E2381" s="796">
        <v>41.67</v>
      </c>
      <c r="F2381" s="797" t="s">
        <v>9</v>
      </c>
      <c r="G2381" s="1528">
        <f t="shared" si="173"/>
        <v>0</v>
      </c>
      <c r="H2381" s="775"/>
    </row>
    <row r="2382" spans="1:8">
      <c r="A2382" s="1526">
        <v>45627</v>
      </c>
      <c r="B2382" s="337" t="s">
        <v>13984</v>
      </c>
      <c r="C2382" s="776" t="s">
        <v>13409</v>
      </c>
      <c r="D2382" s="134"/>
      <c r="E2382" s="135">
        <v>798.6</v>
      </c>
      <c r="F2382" s="46" t="s">
        <v>9</v>
      </c>
      <c r="G2382" s="857">
        <f t="shared" si="173"/>
        <v>0</v>
      </c>
      <c r="H2382" s="775"/>
    </row>
    <row r="2383" spans="1:8">
      <c r="A2383" s="1526">
        <v>45627</v>
      </c>
      <c r="B2383" s="337" t="s">
        <v>13991</v>
      </c>
      <c r="C2383" s="776" t="s">
        <v>13554</v>
      </c>
      <c r="D2383" s="134"/>
      <c r="E2383" s="135">
        <v>604.13</v>
      </c>
      <c r="F2383" s="46" t="s">
        <v>9</v>
      </c>
      <c r="G2383" s="857">
        <f t="shared" si="173"/>
        <v>0</v>
      </c>
      <c r="H2383" s="775"/>
    </row>
    <row r="2384" spans="1:8">
      <c r="A2384" s="1526">
        <v>45627</v>
      </c>
      <c r="B2384" s="337" t="s">
        <v>13992</v>
      </c>
      <c r="C2384" s="776" t="s">
        <v>13467</v>
      </c>
      <c r="D2384" s="134"/>
      <c r="E2384" s="135">
        <v>533.33000000000004</v>
      </c>
      <c r="F2384" s="46" t="s">
        <v>9</v>
      </c>
      <c r="G2384" s="857">
        <f t="shared" si="173"/>
        <v>0</v>
      </c>
      <c r="H2384" s="775"/>
    </row>
    <row r="2385" spans="1:8">
      <c r="A2385" s="1526">
        <v>45627</v>
      </c>
      <c r="B2385" s="337" t="s">
        <v>13993</v>
      </c>
      <c r="C2385" s="776" t="s">
        <v>13454</v>
      </c>
      <c r="D2385" s="134"/>
      <c r="E2385" s="135">
        <v>275.36</v>
      </c>
      <c r="F2385" s="46" t="s">
        <v>9</v>
      </c>
      <c r="G2385" s="857">
        <f t="shared" si="173"/>
        <v>0</v>
      </c>
      <c r="H2385" s="775"/>
    </row>
    <row r="2386" spans="1:8">
      <c r="A2386" s="1527">
        <v>45627</v>
      </c>
      <c r="B2386" s="793" t="s">
        <v>13994</v>
      </c>
      <c r="C2386" s="794" t="s">
        <v>13493</v>
      </c>
      <c r="D2386" s="795"/>
      <c r="E2386" s="796">
        <v>420</v>
      </c>
      <c r="F2386" s="797" t="s">
        <v>9</v>
      </c>
      <c r="G2386" s="1528">
        <f t="shared" si="173"/>
        <v>0</v>
      </c>
      <c r="H2386" s="775"/>
    </row>
    <row r="2387" spans="1:8">
      <c r="A2387" s="1526">
        <v>45627</v>
      </c>
      <c r="B2387" s="337" t="s">
        <v>13999</v>
      </c>
      <c r="C2387" s="776" t="s">
        <v>13448</v>
      </c>
      <c r="D2387" s="134"/>
      <c r="E2387" s="135">
        <v>304.72000000000003</v>
      </c>
      <c r="F2387" s="46" t="s">
        <v>9</v>
      </c>
      <c r="G2387" s="857">
        <f t="shared" si="173"/>
        <v>0</v>
      </c>
      <c r="H2387" s="775"/>
    </row>
    <row r="2388" spans="1:8">
      <c r="A2388" s="1526">
        <v>45627</v>
      </c>
      <c r="B2388" s="337" t="s">
        <v>14000</v>
      </c>
      <c r="C2388" s="776" t="s">
        <v>13443</v>
      </c>
      <c r="D2388" s="134"/>
      <c r="E2388" s="135">
        <v>158.5</v>
      </c>
      <c r="F2388" s="46" t="s">
        <v>9</v>
      </c>
      <c r="G2388" s="857">
        <f>IF(F2388="X",0,E2388)</f>
        <v>0</v>
      </c>
      <c r="H2388" s="775"/>
    </row>
    <row r="2389" spans="1:8" ht="14.25" thickBot="1">
      <c r="A2389" s="1526">
        <v>45627</v>
      </c>
      <c r="B2389" s="337" t="s">
        <v>14001</v>
      </c>
      <c r="C2389" s="776" t="s">
        <v>13521</v>
      </c>
      <c r="D2389" s="134"/>
      <c r="E2389" s="135">
        <v>245</v>
      </c>
      <c r="F2389" s="46" t="s">
        <v>9</v>
      </c>
      <c r="G2389" s="857">
        <f>IF(F2389="X",0,E2389)</f>
        <v>0</v>
      </c>
      <c r="H2389" s="775"/>
    </row>
    <row r="2390" spans="1:8">
      <c r="A2390" s="1519"/>
      <c r="B2390" s="1520"/>
      <c r="C2390" s="1521" t="s">
        <v>1642</v>
      </c>
      <c r="D2390" s="1522"/>
      <c r="E2390" s="1523">
        <f>SUM(E2391:E2401)</f>
        <v>3851.51</v>
      </c>
      <c r="F2390" s="1524"/>
      <c r="G2390" s="1525"/>
      <c r="H2390" s="775">
        <f>E2391+E2393+E2394</f>
        <v>1607.29</v>
      </c>
    </row>
    <row r="2391" spans="1:8">
      <c r="A2391" s="1527">
        <v>45658</v>
      </c>
      <c r="B2391" s="793" t="s">
        <v>13984</v>
      </c>
      <c r="C2391" s="794" t="s">
        <v>13414</v>
      </c>
      <c r="D2391" s="795"/>
      <c r="E2391" s="796">
        <v>798.6</v>
      </c>
      <c r="F2391" s="797" t="s">
        <v>9</v>
      </c>
      <c r="G2391" s="1528">
        <f t="shared" ref="G2391:G2401" si="174">IF(F2391="X",0,E2391)</f>
        <v>0</v>
      </c>
      <c r="H2391" s="775"/>
    </row>
    <row r="2392" spans="1:8">
      <c r="A2392" s="1526">
        <v>45658</v>
      </c>
      <c r="B2392" s="337" t="s">
        <v>13991</v>
      </c>
      <c r="C2392" s="776" t="s">
        <v>13561</v>
      </c>
      <c r="D2392" s="134"/>
      <c r="E2392" s="135">
        <v>604.13</v>
      </c>
      <c r="F2392" s="46" t="s">
        <v>9</v>
      </c>
      <c r="G2392" s="857">
        <f t="shared" si="174"/>
        <v>0</v>
      </c>
      <c r="H2392" s="775"/>
    </row>
    <row r="2393" spans="1:8">
      <c r="A2393" s="1527">
        <v>45658</v>
      </c>
      <c r="B2393" s="793" t="s">
        <v>13992</v>
      </c>
      <c r="C2393" s="794" t="s">
        <v>13475</v>
      </c>
      <c r="D2393" s="795"/>
      <c r="E2393" s="796">
        <v>533.33000000000004</v>
      </c>
      <c r="F2393" s="797" t="s">
        <v>9</v>
      </c>
      <c r="G2393" s="1528">
        <f t="shared" si="174"/>
        <v>0</v>
      </c>
      <c r="H2393" s="775"/>
    </row>
    <row r="2394" spans="1:8">
      <c r="A2394" s="1526">
        <v>45658</v>
      </c>
      <c r="B2394" s="337" t="s">
        <v>13993</v>
      </c>
      <c r="C2394" s="776" t="s">
        <v>13467</v>
      </c>
      <c r="D2394" s="134"/>
      <c r="E2394" s="135">
        <v>275.36</v>
      </c>
      <c r="F2394" s="46" t="s">
        <v>9</v>
      </c>
      <c r="G2394" s="857">
        <f t="shared" si="174"/>
        <v>0</v>
      </c>
      <c r="H2394" s="775"/>
    </row>
    <row r="2395" spans="1:8">
      <c r="A2395" s="1526">
        <v>45658</v>
      </c>
      <c r="B2395" s="337" t="s">
        <v>13999</v>
      </c>
      <c r="C2395" s="776" t="s">
        <v>13454</v>
      </c>
      <c r="D2395" s="134"/>
      <c r="E2395" s="135">
        <v>304.72000000000003</v>
      </c>
      <c r="F2395" s="46" t="s">
        <v>9</v>
      </c>
      <c r="G2395" s="857">
        <f t="shared" si="174"/>
        <v>0</v>
      </c>
      <c r="H2395" s="775"/>
    </row>
    <row r="2396" spans="1:8">
      <c r="A2396" s="1526">
        <v>45658</v>
      </c>
      <c r="B2396" s="337" t="s">
        <v>14000</v>
      </c>
      <c r="C2396" s="776" t="s">
        <v>13448</v>
      </c>
      <c r="D2396" s="134"/>
      <c r="E2396" s="135">
        <v>158.5</v>
      </c>
      <c r="F2396" s="46" t="s">
        <v>9</v>
      </c>
      <c r="G2396" s="857">
        <f t="shared" si="174"/>
        <v>0</v>
      </c>
      <c r="H2396" s="775"/>
    </row>
    <row r="2397" spans="1:8">
      <c r="A2397" s="1526">
        <v>45658</v>
      </c>
      <c r="B2397" s="337" t="s">
        <v>14001</v>
      </c>
      <c r="C2397" s="776" t="s">
        <v>13531</v>
      </c>
      <c r="D2397" s="134"/>
      <c r="E2397" s="135">
        <v>245</v>
      </c>
      <c r="F2397" s="46" t="s">
        <v>9</v>
      </c>
      <c r="G2397" s="857">
        <f t="shared" si="174"/>
        <v>0</v>
      </c>
      <c r="H2397" s="775"/>
    </row>
    <row r="2398" spans="1:8">
      <c r="A2398" s="1526">
        <v>45658</v>
      </c>
      <c r="B2398" s="337" t="s">
        <v>14002</v>
      </c>
      <c r="C2398" s="776" t="s">
        <v>13437</v>
      </c>
      <c r="D2398" s="134"/>
      <c r="E2398" s="135">
        <v>288.5</v>
      </c>
      <c r="F2398" s="46" t="s">
        <v>9</v>
      </c>
      <c r="G2398" s="857">
        <f t="shared" si="174"/>
        <v>0</v>
      </c>
      <c r="H2398" s="775"/>
    </row>
    <row r="2399" spans="1:8">
      <c r="A2399" s="1526">
        <v>45658</v>
      </c>
      <c r="B2399" s="337" t="s">
        <v>14003</v>
      </c>
      <c r="C2399" s="776" t="s">
        <v>13521</v>
      </c>
      <c r="D2399" s="134"/>
      <c r="E2399" s="135">
        <v>133</v>
      </c>
      <c r="F2399" s="46" t="s">
        <v>9</v>
      </c>
      <c r="G2399" s="857">
        <f t="shared" si="174"/>
        <v>0</v>
      </c>
      <c r="H2399" s="775"/>
    </row>
    <row r="2400" spans="1:8">
      <c r="A2400" s="1526">
        <v>45658</v>
      </c>
      <c r="B2400" s="337" t="s">
        <v>14004</v>
      </c>
      <c r="C2400" s="776" t="s">
        <v>13586</v>
      </c>
      <c r="D2400" s="134"/>
      <c r="E2400" s="135">
        <v>275</v>
      </c>
      <c r="F2400" s="46" t="s">
        <v>9</v>
      </c>
      <c r="G2400" s="857">
        <f t="shared" si="174"/>
        <v>0</v>
      </c>
      <c r="H2400" s="775"/>
    </row>
    <row r="2401" spans="1:8" ht="14.25" thickBot="1">
      <c r="A2401" s="1526">
        <v>45672</v>
      </c>
      <c r="B2401" s="337" t="s">
        <v>14005</v>
      </c>
      <c r="C2401" s="776" t="s">
        <v>13526</v>
      </c>
      <c r="D2401" s="134"/>
      <c r="E2401" s="135">
        <v>235.37</v>
      </c>
      <c r="F2401" s="46" t="s">
        <v>9</v>
      </c>
      <c r="G2401" s="857">
        <f t="shared" si="174"/>
        <v>0</v>
      </c>
      <c r="H2401" s="775"/>
    </row>
    <row r="2402" spans="1:8">
      <c r="A2402" s="1519"/>
      <c r="B2402" s="1520"/>
      <c r="C2402" s="1521" t="s">
        <v>1643</v>
      </c>
      <c r="D2402" s="1522"/>
      <c r="E2402" s="1523">
        <f>SUM(E2403:E2412)</f>
        <v>2746.42</v>
      </c>
      <c r="F2402" s="1524"/>
      <c r="G2402" s="1525"/>
      <c r="H2402" s="775">
        <f>E2407+E2404</f>
        <v>520.36</v>
      </c>
    </row>
    <row r="2403" spans="1:8">
      <c r="A2403" s="1526">
        <v>45689</v>
      </c>
      <c r="B2403" s="337" t="s">
        <v>13991</v>
      </c>
      <c r="C2403" s="776" t="s">
        <v>13567</v>
      </c>
      <c r="D2403" s="134"/>
      <c r="E2403" s="135">
        <v>604.13</v>
      </c>
      <c r="F2403" s="46" t="s">
        <v>9</v>
      </c>
      <c r="G2403" s="857">
        <f t="shared" ref="G2403:G2412" si="175">IF(F2403="X",0,E2403)</f>
        <v>0</v>
      </c>
      <c r="H2403" s="775"/>
    </row>
    <row r="2404" spans="1:8">
      <c r="A2404" s="1527">
        <v>45689</v>
      </c>
      <c r="B2404" s="793" t="s">
        <v>13993</v>
      </c>
      <c r="C2404" s="794" t="s">
        <v>13475</v>
      </c>
      <c r="D2404" s="795"/>
      <c r="E2404" s="796">
        <v>275.36</v>
      </c>
      <c r="F2404" s="797" t="s">
        <v>9</v>
      </c>
      <c r="G2404" s="1528">
        <f t="shared" si="175"/>
        <v>0</v>
      </c>
      <c r="H2404" s="775"/>
    </row>
    <row r="2405" spans="1:8">
      <c r="A2405" s="1526">
        <v>45689</v>
      </c>
      <c r="B2405" s="337" t="s">
        <v>13999</v>
      </c>
      <c r="C2405" s="776" t="s">
        <v>13467</v>
      </c>
      <c r="D2405" s="134"/>
      <c r="E2405" s="135">
        <v>304.72000000000003</v>
      </c>
      <c r="F2405" s="46" t="s">
        <v>9</v>
      </c>
      <c r="G2405" s="857">
        <f t="shared" si="175"/>
        <v>0</v>
      </c>
      <c r="H2405" s="775"/>
    </row>
    <row r="2406" spans="1:8">
      <c r="A2406" s="1526">
        <v>45689</v>
      </c>
      <c r="B2406" s="337" t="s">
        <v>14000</v>
      </c>
      <c r="C2406" s="776" t="s">
        <v>13454</v>
      </c>
      <c r="D2406" s="134"/>
      <c r="E2406" s="135">
        <v>158.5</v>
      </c>
      <c r="F2406" s="46" t="s">
        <v>9</v>
      </c>
      <c r="G2406" s="857">
        <f t="shared" si="175"/>
        <v>0</v>
      </c>
      <c r="H2406" s="775"/>
    </row>
    <row r="2407" spans="1:8">
      <c r="A2407" s="1527">
        <v>45689</v>
      </c>
      <c r="B2407" s="793" t="s">
        <v>14001</v>
      </c>
      <c r="C2407" s="794" t="s">
        <v>13521</v>
      </c>
      <c r="D2407" s="795"/>
      <c r="E2407" s="796">
        <v>245</v>
      </c>
      <c r="F2407" s="797" t="s">
        <v>9</v>
      </c>
      <c r="G2407" s="1528">
        <f t="shared" si="175"/>
        <v>0</v>
      </c>
      <c r="H2407" s="775"/>
    </row>
    <row r="2408" spans="1:8">
      <c r="A2408" s="1526">
        <v>45689</v>
      </c>
      <c r="B2408" s="337" t="s">
        <v>14002</v>
      </c>
      <c r="C2408" s="776" t="s">
        <v>13443</v>
      </c>
      <c r="D2408" s="134"/>
      <c r="E2408" s="135">
        <v>288.5</v>
      </c>
      <c r="F2408" s="46" t="s">
        <v>9</v>
      </c>
      <c r="G2408" s="857">
        <f t="shared" si="175"/>
        <v>0</v>
      </c>
      <c r="H2408" s="775"/>
    </row>
    <row r="2409" spans="1:8">
      <c r="A2409" s="1526">
        <v>45689</v>
      </c>
      <c r="B2409" s="337" t="s">
        <v>14003</v>
      </c>
      <c r="C2409" s="776" t="s">
        <v>13531</v>
      </c>
      <c r="D2409" s="134"/>
      <c r="E2409" s="135">
        <v>133</v>
      </c>
      <c r="F2409" s="46" t="s">
        <v>9</v>
      </c>
      <c r="G2409" s="857">
        <f t="shared" si="175"/>
        <v>0</v>
      </c>
      <c r="H2409" s="775"/>
    </row>
    <row r="2410" spans="1:8">
      <c r="A2410" s="1526">
        <v>45689</v>
      </c>
      <c r="B2410" s="337" t="s">
        <v>14004</v>
      </c>
      <c r="C2410" s="776" t="s">
        <v>13588</v>
      </c>
      <c r="D2410" s="134"/>
      <c r="E2410" s="135">
        <v>275</v>
      </c>
      <c r="F2410" s="46" t="s">
        <v>9</v>
      </c>
      <c r="G2410" s="857">
        <f t="shared" si="175"/>
        <v>0</v>
      </c>
      <c r="H2410" s="775"/>
    </row>
    <row r="2411" spans="1:8">
      <c r="A2411" s="1526">
        <v>45689</v>
      </c>
      <c r="B2411" s="337" t="s">
        <v>6052</v>
      </c>
      <c r="C2411" s="776" t="s">
        <v>13479</v>
      </c>
      <c r="D2411" s="134"/>
      <c r="E2411" s="135">
        <v>226.84</v>
      </c>
      <c r="F2411" s="46" t="s">
        <v>9</v>
      </c>
      <c r="G2411" s="857">
        <f t="shared" si="175"/>
        <v>0</v>
      </c>
      <c r="H2411" s="775"/>
    </row>
    <row r="2412" spans="1:8" ht="14.25" thickBot="1">
      <c r="A2412" s="1527">
        <v>45703</v>
      </c>
      <c r="B2412" s="793" t="s">
        <v>14005</v>
      </c>
      <c r="C2412" s="794" t="s">
        <v>13536</v>
      </c>
      <c r="D2412" s="795"/>
      <c r="E2412" s="796">
        <v>235.37</v>
      </c>
      <c r="F2412" s="797" t="s">
        <v>9</v>
      </c>
      <c r="G2412" s="1528">
        <f t="shared" si="175"/>
        <v>0</v>
      </c>
      <c r="H2412" s="775"/>
    </row>
    <row r="2413" spans="1:8">
      <c r="A2413" s="1519"/>
      <c r="B2413" s="1520"/>
      <c r="C2413" s="1521" t="s">
        <v>1644</v>
      </c>
      <c r="D2413" s="1522"/>
      <c r="E2413" s="1523">
        <f>SUM(E2414:E2419)</f>
        <v>1832.1899999999998</v>
      </c>
      <c r="F2413" s="1524"/>
      <c r="G2413" s="1525"/>
      <c r="H2413" s="775">
        <f>E2415+E2417+E2419</f>
        <v>664.56000000000006</v>
      </c>
    </row>
    <row r="2414" spans="1:8">
      <c r="A2414" s="1526">
        <v>45717</v>
      </c>
      <c r="B2414" s="337" t="s">
        <v>13991</v>
      </c>
      <c r="C2414" s="776" t="s">
        <v>13573</v>
      </c>
      <c r="D2414" s="134"/>
      <c r="E2414" s="135">
        <v>604.13</v>
      </c>
      <c r="F2414" s="46" t="s">
        <v>9</v>
      </c>
      <c r="G2414" s="857">
        <f t="shared" ref="G2414:G2419" si="176">IF(F2414="X",0,E2414)</f>
        <v>0</v>
      </c>
      <c r="H2414" s="775"/>
    </row>
    <row r="2415" spans="1:8">
      <c r="A2415" s="1527">
        <v>45717</v>
      </c>
      <c r="B2415" s="793" t="s">
        <v>13999</v>
      </c>
      <c r="C2415" s="794" t="s">
        <v>13475</v>
      </c>
      <c r="D2415" s="795"/>
      <c r="E2415" s="796">
        <v>304.72000000000003</v>
      </c>
      <c r="F2415" s="797" t="s">
        <v>9</v>
      </c>
      <c r="G2415" s="1528">
        <f t="shared" si="176"/>
        <v>0</v>
      </c>
      <c r="H2415" s="775"/>
    </row>
    <row r="2416" spans="1:8">
      <c r="A2416" s="1526">
        <v>45717</v>
      </c>
      <c r="B2416" s="337" t="s">
        <v>14002</v>
      </c>
      <c r="C2416" s="776" t="s">
        <v>13448</v>
      </c>
      <c r="D2416" s="134"/>
      <c r="E2416" s="135">
        <v>288.5</v>
      </c>
      <c r="F2416" s="46" t="s">
        <v>9</v>
      </c>
      <c r="G2416" s="857">
        <f t="shared" si="176"/>
        <v>0</v>
      </c>
      <c r="H2416" s="775"/>
    </row>
    <row r="2417" spans="1:8">
      <c r="A2417" s="1527">
        <v>45717</v>
      </c>
      <c r="B2417" s="793" t="s">
        <v>14003</v>
      </c>
      <c r="C2417" s="794" t="s">
        <v>13538</v>
      </c>
      <c r="D2417" s="795"/>
      <c r="E2417" s="796">
        <v>133</v>
      </c>
      <c r="F2417" s="797" t="s">
        <v>9</v>
      </c>
      <c r="G2417" s="1528">
        <f t="shared" si="176"/>
        <v>0</v>
      </c>
      <c r="H2417" s="775"/>
    </row>
    <row r="2418" spans="1:8">
      <c r="A2418" s="1526">
        <v>45717</v>
      </c>
      <c r="B2418" s="337" t="s">
        <v>14004</v>
      </c>
      <c r="C2418" s="776" t="s">
        <v>13591</v>
      </c>
      <c r="D2418" s="134"/>
      <c r="E2418" s="135">
        <v>275</v>
      </c>
      <c r="F2418" s="46" t="s">
        <v>9</v>
      </c>
      <c r="G2418" s="857">
        <f t="shared" si="176"/>
        <v>0</v>
      </c>
      <c r="H2418" s="775"/>
    </row>
    <row r="2419" spans="1:8" ht="14.25" thickBot="1">
      <c r="A2419" s="1527">
        <v>45717</v>
      </c>
      <c r="B2419" s="793" t="s">
        <v>6052</v>
      </c>
      <c r="C2419" s="794" t="s">
        <v>13485</v>
      </c>
      <c r="D2419" s="795"/>
      <c r="E2419" s="796">
        <v>226.84</v>
      </c>
      <c r="F2419" s="797" t="s">
        <v>9</v>
      </c>
      <c r="G2419" s="1528">
        <f t="shared" si="176"/>
        <v>0</v>
      </c>
      <c r="H2419" s="775"/>
    </row>
    <row r="2420" spans="1:8">
      <c r="A2420" s="1519"/>
      <c r="B2420" s="1520"/>
      <c r="C2420" s="1521" t="s">
        <v>14006</v>
      </c>
      <c r="D2420" s="1522"/>
      <c r="E2420" s="1523">
        <f>SUM(E2421:E2428)</f>
        <v>1778.3600000000001</v>
      </c>
      <c r="F2420" s="1524"/>
      <c r="G2420" s="1525"/>
      <c r="H2420" s="775">
        <f>E2431</f>
        <v>158.5</v>
      </c>
    </row>
    <row r="2421" spans="1:8">
      <c r="A2421" s="1526">
        <v>45748</v>
      </c>
      <c r="B2421" s="337" t="s">
        <v>13991</v>
      </c>
      <c r="C2421" s="776" t="s">
        <v>13580</v>
      </c>
      <c r="D2421" s="134"/>
      <c r="E2421" s="135">
        <v>604.13</v>
      </c>
      <c r="F2421" s="46" t="s">
        <v>9</v>
      </c>
      <c r="G2421" s="857">
        <f t="shared" ref="G2421:G2428" si="177">IF(F2421="X",0,E2421)</f>
        <v>0</v>
      </c>
      <c r="H2421" s="775"/>
    </row>
    <row r="2422" spans="1:8">
      <c r="A2422" s="1526">
        <v>45748</v>
      </c>
      <c r="B2422" s="337" t="s">
        <v>14000</v>
      </c>
      <c r="C2422" s="776" t="s">
        <v>13467</v>
      </c>
      <c r="D2422" s="134"/>
      <c r="E2422" s="135">
        <v>158.5</v>
      </c>
      <c r="F2422" s="46" t="s">
        <v>9</v>
      </c>
      <c r="G2422" s="857">
        <f t="shared" si="177"/>
        <v>0</v>
      </c>
      <c r="H2422" s="775"/>
    </row>
    <row r="2423" spans="1:8">
      <c r="A2423" s="1526">
        <v>45748</v>
      </c>
      <c r="B2423" s="337" t="s">
        <v>14002</v>
      </c>
      <c r="C2423" s="776" t="s">
        <v>13454</v>
      </c>
      <c r="D2423" s="134"/>
      <c r="E2423" s="135">
        <v>288.5</v>
      </c>
      <c r="F2423" s="46" t="s">
        <v>9</v>
      </c>
      <c r="G2423" s="857">
        <f t="shared" si="177"/>
        <v>0</v>
      </c>
      <c r="H2423" s="775"/>
    </row>
    <row r="2424" spans="1:8">
      <c r="A2424" s="1526">
        <v>45748</v>
      </c>
      <c r="B2424" s="337" t="s">
        <v>14004</v>
      </c>
      <c r="C2424" s="776" t="s">
        <v>13594</v>
      </c>
      <c r="D2424" s="134"/>
      <c r="E2424" s="135">
        <v>275</v>
      </c>
      <c r="F2424" s="46" t="s">
        <v>9</v>
      </c>
      <c r="G2424" s="857">
        <f t="shared" si="177"/>
        <v>0</v>
      </c>
      <c r="H2424" s="775"/>
    </row>
    <row r="2425" spans="1:8">
      <c r="A2425" s="1526">
        <v>45748</v>
      </c>
      <c r="B2425" s="337" t="s">
        <v>14007</v>
      </c>
      <c r="C2425" s="776" t="s">
        <v>13521</v>
      </c>
      <c r="D2425" s="134"/>
      <c r="E2425" s="135">
        <v>150</v>
      </c>
      <c r="F2425" s="46" t="s">
        <v>9</v>
      </c>
      <c r="G2425" s="857">
        <f t="shared" si="177"/>
        <v>0</v>
      </c>
      <c r="H2425" s="775"/>
    </row>
    <row r="2426" spans="1:8">
      <c r="A2426" s="1526">
        <v>45748</v>
      </c>
      <c r="B2426" s="337" t="s">
        <v>14008</v>
      </c>
      <c r="C2426" s="776" t="s">
        <v>13356</v>
      </c>
      <c r="D2426" s="134"/>
      <c r="E2426" s="135">
        <v>126.9</v>
      </c>
      <c r="F2426" s="46" t="s">
        <v>9</v>
      </c>
      <c r="G2426" s="857">
        <f t="shared" si="177"/>
        <v>0</v>
      </c>
      <c r="H2426" s="775"/>
    </row>
    <row r="2427" spans="1:8">
      <c r="A2427" s="1526">
        <v>45748</v>
      </c>
      <c r="B2427" s="337" t="s">
        <v>14009</v>
      </c>
      <c r="C2427" s="776" t="s">
        <v>13437</v>
      </c>
      <c r="D2427" s="134"/>
      <c r="E2427" s="135">
        <v>55.33</v>
      </c>
      <c r="F2427" s="46" t="s">
        <v>9</v>
      </c>
      <c r="G2427" s="857">
        <f t="shared" si="177"/>
        <v>0</v>
      </c>
      <c r="H2427" s="775"/>
    </row>
    <row r="2428" spans="1:8" ht="14.25" thickBot="1">
      <c r="A2428" s="1526">
        <v>45748</v>
      </c>
      <c r="B2428" s="337" t="s">
        <v>14010</v>
      </c>
      <c r="C2428" s="776" t="s">
        <v>13356</v>
      </c>
      <c r="D2428" s="134"/>
      <c r="E2428" s="135">
        <v>120</v>
      </c>
      <c r="F2428" s="46" t="s">
        <v>9</v>
      </c>
      <c r="G2428" s="857">
        <f t="shared" si="177"/>
        <v>0</v>
      </c>
      <c r="H2428" s="775"/>
    </row>
    <row r="2429" spans="1:8">
      <c r="A2429" s="1519"/>
      <c r="B2429" s="1520"/>
      <c r="C2429" s="1521" t="s">
        <v>1646</v>
      </c>
      <c r="D2429" s="1522"/>
      <c r="E2429" s="1523">
        <f>SUM(E2430:E2441)</f>
        <v>2368.36</v>
      </c>
      <c r="F2429" s="1524"/>
      <c r="G2429" s="1525"/>
      <c r="H2429" s="775">
        <f>E2431</f>
        <v>158.5</v>
      </c>
    </row>
    <row r="2430" spans="1:8">
      <c r="A2430" s="1526">
        <v>45778</v>
      </c>
      <c r="B2430" s="337" t="s">
        <v>13991</v>
      </c>
      <c r="C2430" s="776" t="s">
        <v>13583</v>
      </c>
      <c r="D2430" s="134"/>
      <c r="E2430" s="135">
        <v>604.13</v>
      </c>
      <c r="F2430" s="46" t="s">
        <v>9</v>
      </c>
      <c r="G2430" s="857">
        <f>IF(F2430="X",0,E2430)</f>
        <v>0</v>
      </c>
      <c r="H2430" s="775"/>
    </row>
    <row r="2431" spans="1:8">
      <c r="A2431" s="1527">
        <v>45778</v>
      </c>
      <c r="B2431" s="793" t="s">
        <v>14000</v>
      </c>
      <c r="C2431" s="794" t="s">
        <v>13475</v>
      </c>
      <c r="D2431" s="795"/>
      <c r="E2431" s="796">
        <v>158.5</v>
      </c>
      <c r="F2431" s="797" t="s">
        <v>9</v>
      </c>
      <c r="G2431" s="1528">
        <f>IF(F2431="X",0,E2431)</f>
        <v>0</v>
      </c>
      <c r="H2431" s="775"/>
    </row>
    <row r="2432" spans="1:8">
      <c r="A2432" s="1526">
        <v>45778</v>
      </c>
      <c r="B2432" s="337" t="s">
        <v>14002</v>
      </c>
      <c r="C2432" s="776" t="s">
        <v>13467</v>
      </c>
      <c r="D2432" s="134"/>
      <c r="E2432" s="135">
        <v>288.5</v>
      </c>
      <c r="F2432" s="46" t="s">
        <v>9</v>
      </c>
      <c r="G2432" s="857">
        <f>IF(F2432="X",0,E2432)</f>
        <v>0</v>
      </c>
      <c r="H2432" s="775"/>
    </row>
    <row r="2433" spans="1:8">
      <c r="A2433" s="1526">
        <v>45778</v>
      </c>
      <c r="B2433" s="337" t="s">
        <v>14004</v>
      </c>
      <c r="C2433" s="776" t="s">
        <v>13596</v>
      </c>
      <c r="D2433" s="134"/>
      <c r="E2433" s="135">
        <v>275</v>
      </c>
      <c r="F2433" s="46" t="s">
        <v>9</v>
      </c>
      <c r="G2433" s="857">
        <f>IF(F2433="X",0,E2433)</f>
        <v>0</v>
      </c>
      <c r="H2433" s="775"/>
    </row>
    <row r="2434" spans="1:8">
      <c r="A2434" s="1526">
        <v>45778</v>
      </c>
      <c r="B2434" s="337" t="s">
        <v>14007</v>
      </c>
      <c r="C2434" s="776" t="s">
        <v>13531</v>
      </c>
      <c r="D2434" s="134"/>
      <c r="E2434" s="135">
        <v>150</v>
      </c>
      <c r="F2434" s="46" t="s">
        <v>9</v>
      </c>
      <c r="G2434" s="857">
        <f>IF(F2434="X",0,E2434)</f>
        <v>0</v>
      </c>
      <c r="H2434" s="775"/>
    </row>
    <row r="2435" spans="1:8">
      <c r="A2435" s="1526">
        <v>45778</v>
      </c>
      <c r="B2435" s="337" t="s">
        <v>14008</v>
      </c>
      <c r="C2435" s="776" t="s">
        <v>13368</v>
      </c>
      <c r="D2435" s="134"/>
      <c r="E2435" s="135">
        <v>126.9</v>
      </c>
      <c r="F2435" s="46" t="s">
        <v>9</v>
      </c>
      <c r="G2435" s="857">
        <f t="shared" ref="G2435:G2441" si="178">IF(F2435="X",0,E2435)</f>
        <v>0</v>
      </c>
      <c r="H2435" s="775"/>
    </row>
    <row r="2436" spans="1:8">
      <c r="A2436" s="1526">
        <v>45778</v>
      </c>
      <c r="B2436" s="337" t="s">
        <v>14009</v>
      </c>
      <c r="C2436" s="776" t="s">
        <v>13443</v>
      </c>
      <c r="D2436" s="134"/>
      <c r="E2436" s="135">
        <v>55.33</v>
      </c>
      <c r="F2436" s="46" t="s">
        <v>9</v>
      </c>
      <c r="G2436" s="857">
        <f t="shared" si="178"/>
        <v>0</v>
      </c>
      <c r="H2436" s="775"/>
    </row>
    <row r="2437" spans="1:8">
      <c r="A2437" s="1526">
        <v>45778</v>
      </c>
      <c r="B2437" s="337" t="s">
        <v>14010</v>
      </c>
      <c r="C2437" s="776" t="s">
        <v>13368</v>
      </c>
      <c r="D2437" s="134"/>
      <c r="E2437" s="135">
        <v>120</v>
      </c>
      <c r="F2437" s="46" t="s">
        <v>9</v>
      </c>
      <c r="G2437" s="857">
        <f t="shared" si="178"/>
        <v>0</v>
      </c>
      <c r="H2437" s="775"/>
    </row>
    <row r="2438" spans="1:8">
      <c r="A2438" s="1526">
        <v>45778</v>
      </c>
      <c r="B2438" s="337" t="s">
        <v>14011</v>
      </c>
      <c r="C2438" s="776" t="s">
        <v>13521</v>
      </c>
      <c r="D2438" s="134"/>
      <c r="E2438" s="135">
        <v>173.97</v>
      </c>
      <c r="F2438" s="46" t="s">
        <v>9</v>
      </c>
      <c r="G2438" s="857">
        <f t="shared" si="178"/>
        <v>0</v>
      </c>
      <c r="H2438" s="775"/>
    </row>
    <row r="2439" spans="1:8">
      <c r="A2439" s="1526">
        <v>45778</v>
      </c>
      <c r="B2439" s="337" t="s">
        <v>14012</v>
      </c>
      <c r="C2439" s="776" t="s">
        <v>13437</v>
      </c>
      <c r="D2439" s="134"/>
      <c r="E2439" s="135">
        <v>100.58</v>
      </c>
      <c r="F2439" s="46" t="s">
        <v>9</v>
      </c>
      <c r="G2439" s="857">
        <f t="shared" si="178"/>
        <v>0</v>
      </c>
      <c r="H2439" s="775"/>
    </row>
    <row r="2440" spans="1:8">
      <c r="A2440" s="1526">
        <v>45784</v>
      </c>
      <c r="B2440" s="337" t="s">
        <v>14013</v>
      </c>
      <c r="C2440" s="776" t="s">
        <v>14014</v>
      </c>
      <c r="D2440" s="134"/>
      <c r="E2440" s="135">
        <v>170</v>
      </c>
      <c r="F2440" s="46" t="s">
        <v>9</v>
      </c>
      <c r="G2440" s="857">
        <f t="shared" si="178"/>
        <v>0</v>
      </c>
      <c r="H2440" s="775"/>
    </row>
    <row r="2441" spans="1:8" ht="14.25" thickBot="1">
      <c r="A2441" s="1526">
        <v>45792</v>
      </c>
      <c r="B2441" s="337" t="s">
        <v>14015</v>
      </c>
      <c r="C2441" s="776" t="s">
        <v>13380</v>
      </c>
      <c r="D2441" s="134"/>
      <c r="E2441" s="135">
        <v>145.44999999999999</v>
      </c>
      <c r="F2441" s="46" t="s">
        <v>9</v>
      </c>
      <c r="G2441" s="857">
        <f t="shared" si="178"/>
        <v>0</v>
      </c>
      <c r="H2441" s="775"/>
    </row>
    <row r="2442" spans="1:8">
      <c r="A2442" s="1519"/>
      <c r="B2442" s="1520"/>
      <c r="C2442" s="1521" t="s">
        <v>1647</v>
      </c>
      <c r="D2442" s="1522"/>
      <c r="E2442" s="1523">
        <f>SUM(E2443:E2457)</f>
        <v>3595.6499999999996</v>
      </c>
      <c r="F2442" s="1524"/>
      <c r="G2442" s="1525"/>
      <c r="H2442" s="775">
        <f>E2444+E2446</f>
        <v>438.5</v>
      </c>
    </row>
    <row r="2443" spans="1:8">
      <c r="A2443" s="1526">
        <v>45809</v>
      </c>
      <c r="B2443" s="337" t="s">
        <v>13991</v>
      </c>
      <c r="C2443" s="776" t="s">
        <v>13587</v>
      </c>
      <c r="D2443" s="134"/>
      <c r="E2443" s="135">
        <v>604.13</v>
      </c>
      <c r="F2443" s="46" t="s">
        <v>9</v>
      </c>
      <c r="G2443" s="857">
        <f>IF(F2443="X",0,E2443)</f>
        <v>0</v>
      </c>
      <c r="H2443" s="775"/>
    </row>
    <row r="2444" spans="1:8">
      <c r="A2444" s="1527">
        <v>45809</v>
      </c>
      <c r="B2444" s="793" t="s">
        <v>14002</v>
      </c>
      <c r="C2444" s="794" t="s">
        <v>13475</v>
      </c>
      <c r="D2444" s="795"/>
      <c r="E2444" s="796">
        <v>288.5</v>
      </c>
      <c r="F2444" s="797" t="s">
        <v>9</v>
      </c>
      <c r="G2444" s="1528">
        <f>IF(F2444="X",0,E2444)</f>
        <v>0</v>
      </c>
      <c r="H2444" s="775"/>
    </row>
    <row r="2445" spans="1:8">
      <c r="A2445" s="1526">
        <v>45809</v>
      </c>
      <c r="B2445" s="337" t="s">
        <v>14004</v>
      </c>
      <c r="C2445" s="776" t="s">
        <v>13598</v>
      </c>
      <c r="D2445" s="134"/>
      <c r="E2445" s="135">
        <v>275</v>
      </c>
      <c r="F2445" s="46" t="s">
        <v>9</v>
      </c>
      <c r="G2445" s="857">
        <f>IF(F2445="X",0,E2445)</f>
        <v>0</v>
      </c>
      <c r="H2445" s="775"/>
    </row>
    <row r="2446" spans="1:8">
      <c r="A2446" s="1527">
        <v>45809</v>
      </c>
      <c r="B2446" s="793" t="s">
        <v>14016</v>
      </c>
      <c r="C2446" s="794" t="s">
        <v>13538</v>
      </c>
      <c r="D2446" s="795"/>
      <c r="E2446" s="796">
        <v>150</v>
      </c>
      <c r="F2446" s="797" t="s">
        <v>9</v>
      </c>
      <c r="G2446" s="1528">
        <f>IF(F2446="X",0,E2446)</f>
        <v>0</v>
      </c>
      <c r="H2446" s="775"/>
    </row>
    <row r="2447" spans="1:8">
      <c r="A2447" s="1526">
        <v>45809</v>
      </c>
      <c r="B2447" s="337" t="s">
        <v>14008</v>
      </c>
      <c r="C2447" s="776" t="s">
        <v>13376</v>
      </c>
      <c r="D2447" s="134"/>
      <c r="E2447" s="135">
        <v>126.9</v>
      </c>
      <c r="F2447" s="46" t="s">
        <v>9</v>
      </c>
      <c r="G2447" s="857">
        <f t="shared" ref="G2447:G2457" si="179">IF(F2447="X",0,E2447)</f>
        <v>0</v>
      </c>
      <c r="H2447" s="775"/>
    </row>
    <row r="2448" spans="1:8">
      <c r="A2448" s="1526">
        <v>45809</v>
      </c>
      <c r="B2448" s="337" t="s">
        <v>14009</v>
      </c>
      <c r="C2448" s="776" t="s">
        <v>13448</v>
      </c>
      <c r="D2448" s="134"/>
      <c r="E2448" s="135">
        <v>55.33</v>
      </c>
      <c r="F2448" s="46" t="s">
        <v>9</v>
      </c>
      <c r="G2448" s="857">
        <f t="shared" si="179"/>
        <v>0</v>
      </c>
      <c r="H2448" s="775"/>
    </row>
    <row r="2449" spans="1:8">
      <c r="A2449" s="1526">
        <v>45809</v>
      </c>
      <c r="B2449" s="337" t="s">
        <v>14010</v>
      </c>
      <c r="C2449" s="776" t="s">
        <v>13376</v>
      </c>
      <c r="D2449" s="134"/>
      <c r="E2449" s="135">
        <v>120</v>
      </c>
      <c r="F2449" s="46" t="s">
        <v>9</v>
      </c>
      <c r="G2449" s="857">
        <f t="shared" si="179"/>
        <v>0</v>
      </c>
      <c r="H2449" s="775"/>
    </row>
    <row r="2450" spans="1:8">
      <c r="A2450" s="1526">
        <v>45809</v>
      </c>
      <c r="B2450" s="337" t="s">
        <v>14011</v>
      </c>
      <c r="C2450" s="776" t="s">
        <v>13531</v>
      </c>
      <c r="D2450" s="134"/>
      <c r="E2450" s="135">
        <v>173.97</v>
      </c>
      <c r="F2450" s="46" t="s">
        <v>9</v>
      </c>
      <c r="G2450" s="857">
        <f t="shared" si="179"/>
        <v>0</v>
      </c>
      <c r="H2450" s="775"/>
    </row>
    <row r="2451" spans="1:8">
      <c r="A2451" s="1526">
        <v>45809</v>
      </c>
      <c r="B2451" s="337" t="s">
        <v>14017</v>
      </c>
      <c r="C2451" s="776" t="s">
        <v>13437</v>
      </c>
      <c r="D2451" s="134"/>
      <c r="E2451" s="135">
        <v>225</v>
      </c>
      <c r="F2451" s="46" t="s">
        <v>9</v>
      </c>
      <c r="G2451" s="857">
        <f t="shared" si="179"/>
        <v>0</v>
      </c>
      <c r="H2451" s="775"/>
    </row>
    <row r="2452" spans="1:8">
      <c r="A2452" s="1526">
        <v>45809</v>
      </c>
      <c r="B2452" s="337" t="s">
        <v>14018</v>
      </c>
      <c r="C2452" s="776" t="s">
        <v>13529</v>
      </c>
      <c r="D2452" s="134"/>
      <c r="E2452" s="135">
        <v>788.92</v>
      </c>
      <c r="F2452" s="46" t="s">
        <v>9</v>
      </c>
      <c r="G2452" s="857">
        <f t="shared" si="179"/>
        <v>0</v>
      </c>
      <c r="H2452" s="775"/>
    </row>
    <row r="2453" spans="1:8">
      <c r="A2453" s="1526">
        <v>45809</v>
      </c>
      <c r="B2453" s="337" t="s">
        <v>14019</v>
      </c>
      <c r="C2453" s="776" t="s">
        <v>13437</v>
      </c>
      <c r="D2453" s="134"/>
      <c r="E2453" s="135">
        <v>215.52</v>
      </c>
      <c r="F2453" s="46" t="s">
        <v>9</v>
      </c>
      <c r="G2453" s="857">
        <f t="shared" si="179"/>
        <v>0</v>
      </c>
      <c r="H2453" s="775"/>
    </row>
    <row r="2454" spans="1:8">
      <c r="A2454" s="1526">
        <v>45809</v>
      </c>
      <c r="B2454" s="337" t="s">
        <v>14020</v>
      </c>
      <c r="C2454" s="776" t="s">
        <v>13479</v>
      </c>
      <c r="D2454" s="134"/>
      <c r="E2454" s="135">
        <v>156.35</v>
      </c>
      <c r="F2454" s="46" t="s">
        <v>9</v>
      </c>
      <c r="G2454" s="857">
        <f t="shared" si="179"/>
        <v>0</v>
      </c>
      <c r="H2454" s="775"/>
    </row>
    <row r="2455" spans="1:8">
      <c r="A2455" s="1526">
        <v>45809</v>
      </c>
      <c r="B2455" s="337" t="s">
        <v>14012</v>
      </c>
      <c r="C2455" s="776" t="s">
        <v>13443</v>
      </c>
      <c r="D2455" s="134"/>
      <c r="E2455" s="135">
        <v>100.58</v>
      </c>
      <c r="F2455" s="46" t="s">
        <v>9</v>
      </c>
      <c r="G2455" s="857">
        <f t="shared" si="179"/>
        <v>0</v>
      </c>
      <c r="H2455" s="775"/>
    </row>
    <row r="2456" spans="1:8">
      <c r="A2456" s="1526">
        <v>45815</v>
      </c>
      <c r="B2456" s="337" t="s">
        <v>14013</v>
      </c>
      <c r="C2456" s="776" t="s">
        <v>14021</v>
      </c>
      <c r="D2456" s="134"/>
      <c r="E2456" s="135">
        <v>170</v>
      </c>
      <c r="F2456" s="46" t="s">
        <v>9</v>
      </c>
      <c r="G2456" s="857">
        <f t="shared" si="179"/>
        <v>0</v>
      </c>
      <c r="H2456" s="775"/>
    </row>
    <row r="2457" spans="1:8" ht="14.25" thickBot="1">
      <c r="A2457" s="1526">
        <v>45823</v>
      </c>
      <c r="B2457" s="337" t="s">
        <v>14015</v>
      </c>
      <c r="C2457" s="776" t="s">
        <v>13384</v>
      </c>
      <c r="D2457" s="134"/>
      <c r="E2457" s="135">
        <v>145.44999999999999</v>
      </c>
      <c r="F2457" s="46" t="s">
        <v>9</v>
      </c>
      <c r="G2457" s="857">
        <f t="shared" si="179"/>
        <v>0</v>
      </c>
      <c r="H2457" s="775"/>
    </row>
    <row r="2458" spans="1:8">
      <c r="A2458" s="1519"/>
      <c r="B2458" s="1520"/>
      <c r="C2458" s="1521" t="s">
        <v>1648</v>
      </c>
      <c r="D2458" s="1522"/>
      <c r="E2458" s="1523">
        <f>SUM(E2459:E2474)</f>
        <v>3603.7099999999996</v>
      </c>
      <c r="F2458" s="1524"/>
      <c r="G2458" s="1525"/>
      <c r="H2458" s="775">
        <f>E2459+E2464+E2468</f>
        <v>934.45</v>
      </c>
    </row>
    <row r="2459" spans="1:8">
      <c r="A2459" s="1527">
        <v>45839</v>
      </c>
      <c r="B2459" s="793" t="s">
        <v>13991</v>
      </c>
      <c r="C2459" s="794" t="s">
        <v>13590</v>
      </c>
      <c r="D2459" s="795"/>
      <c r="E2459" s="796">
        <v>604.13</v>
      </c>
      <c r="F2459" s="797" t="s">
        <v>9</v>
      </c>
      <c r="G2459" s="1528">
        <f>IF(F2459="X",0,E2459)</f>
        <v>0</v>
      </c>
      <c r="H2459" s="775"/>
    </row>
    <row r="2460" spans="1:8">
      <c r="A2460" s="1526">
        <v>45839</v>
      </c>
      <c r="B2460" s="337" t="s">
        <v>14004</v>
      </c>
      <c r="C2460" s="776" t="s">
        <v>13601</v>
      </c>
      <c r="D2460" s="134"/>
      <c r="E2460" s="135">
        <v>275</v>
      </c>
      <c r="F2460" s="46" t="s">
        <v>9</v>
      </c>
      <c r="G2460" s="857">
        <f>IF(F2460="X",0,E2460)</f>
        <v>0</v>
      </c>
      <c r="H2460" s="775"/>
    </row>
    <row r="2461" spans="1:8">
      <c r="A2461" s="1526">
        <v>45839</v>
      </c>
      <c r="B2461" s="337" t="s">
        <v>14008</v>
      </c>
      <c r="C2461" s="776" t="s">
        <v>13380</v>
      </c>
      <c r="D2461" s="134"/>
      <c r="E2461" s="135">
        <v>126.9</v>
      </c>
      <c r="F2461" s="46" t="s">
        <v>9</v>
      </c>
      <c r="G2461" s="857">
        <f t="shared" ref="G2461:G2474" si="180">IF(F2461="X",0,E2461)</f>
        <v>0</v>
      </c>
      <c r="H2461" s="775"/>
    </row>
    <row r="2462" spans="1:8">
      <c r="A2462" s="1526">
        <v>45839</v>
      </c>
      <c r="B2462" s="337" t="s">
        <v>14009</v>
      </c>
      <c r="C2462" s="776" t="s">
        <v>13454</v>
      </c>
      <c r="D2462" s="134"/>
      <c r="E2462" s="135">
        <v>55.33</v>
      </c>
      <c r="F2462" s="46" t="s">
        <v>9</v>
      </c>
      <c r="G2462" s="857">
        <f t="shared" si="180"/>
        <v>0</v>
      </c>
      <c r="H2462" s="775"/>
    </row>
    <row r="2463" spans="1:8">
      <c r="A2463" s="1526">
        <v>45839</v>
      </c>
      <c r="B2463" s="337" t="s">
        <v>14010</v>
      </c>
      <c r="C2463" s="776" t="s">
        <v>13380</v>
      </c>
      <c r="D2463" s="134"/>
      <c r="E2463" s="135">
        <v>120</v>
      </c>
      <c r="F2463" s="46" t="s">
        <v>9</v>
      </c>
      <c r="G2463" s="857">
        <f t="shared" si="180"/>
        <v>0</v>
      </c>
      <c r="H2463" s="775"/>
    </row>
    <row r="2464" spans="1:8">
      <c r="A2464" s="1527">
        <v>45839</v>
      </c>
      <c r="B2464" s="793" t="s">
        <v>14011</v>
      </c>
      <c r="C2464" s="794" t="s">
        <v>13538</v>
      </c>
      <c r="D2464" s="795"/>
      <c r="E2464" s="796">
        <v>173.97</v>
      </c>
      <c r="F2464" s="797" t="s">
        <v>9</v>
      </c>
      <c r="G2464" s="1528">
        <f t="shared" si="180"/>
        <v>0</v>
      </c>
      <c r="H2464" s="775"/>
    </row>
    <row r="2465" spans="1:8">
      <c r="A2465" s="1526">
        <v>45839</v>
      </c>
      <c r="B2465" s="337" t="s">
        <v>14017</v>
      </c>
      <c r="C2465" s="776" t="s">
        <v>13443</v>
      </c>
      <c r="D2465" s="134"/>
      <c r="E2465" s="135">
        <v>225</v>
      </c>
      <c r="F2465" s="46" t="s">
        <v>9</v>
      </c>
      <c r="G2465" s="857">
        <f t="shared" si="180"/>
        <v>0</v>
      </c>
      <c r="H2465" s="775"/>
    </row>
    <row r="2466" spans="1:8">
      <c r="A2466" s="1526">
        <v>45839</v>
      </c>
      <c r="B2466" s="337" t="s">
        <v>14018</v>
      </c>
      <c r="C2466" s="776" t="s">
        <v>13537</v>
      </c>
      <c r="D2466" s="134"/>
      <c r="E2466" s="135">
        <v>788.92</v>
      </c>
      <c r="F2466" s="46" t="s">
        <v>9</v>
      </c>
      <c r="G2466" s="857">
        <f t="shared" si="180"/>
        <v>0</v>
      </c>
      <c r="H2466" s="775"/>
    </row>
    <row r="2467" spans="1:8">
      <c r="A2467" s="1526">
        <v>45839</v>
      </c>
      <c r="B2467" s="337" t="s">
        <v>14019</v>
      </c>
      <c r="C2467" s="776" t="s">
        <v>13443</v>
      </c>
      <c r="D2467" s="134"/>
      <c r="E2467" s="135">
        <v>215.52</v>
      </c>
      <c r="F2467" s="46" t="s">
        <v>9</v>
      </c>
      <c r="G2467" s="857">
        <f t="shared" si="180"/>
        <v>0</v>
      </c>
      <c r="H2467" s="775"/>
    </row>
    <row r="2468" spans="1:8">
      <c r="A2468" s="1527">
        <v>45839</v>
      </c>
      <c r="B2468" s="793" t="s">
        <v>14020</v>
      </c>
      <c r="C2468" s="794" t="s">
        <v>13485</v>
      </c>
      <c r="D2468" s="795"/>
      <c r="E2468" s="796">
        <v>156.35</v>
      </c>
      <c r="F2468" s="797" t="s">
        <v>9</v>
      </c>
      <c r="G2468" s="1528">
        <f t="shared" si="180"/>
        <v>0</v>
      </c>
      <c r="H2468" s="775"/>
    </row>
    <row r="2469" spans="1:8">
      <c r="A2469" s="1526">
        <v>45839</v>
      </c>
      <c r="B2469" s="337" t="s">
        <v>14022</v>
      </c>
      <c r="C2469" s="776" t="s">
        <v>13526</v>
      </c>
      <c r="D2469" s="134"/>
      <c r="E2469" s="135">
        <v>108.56</v>
      </c>
      <c r="F2469" s="46" t="s">
        <v>9</v>
      </c>
      <c r="G2469" s="857">
        <f t="shared" si="180"/>
        <v>0</v>
      </c>
      <c r="H2469" s="775"/>
    </row>
    <row r="2470" spans="1:8">
      <c r="A2470" s="1526">
        <v>45839</v>
      </c>
      <c r="B2470" s="337" t="s">
        <v>14023</v>
      </c>
      <c r="C2470" s="776" t="s">
        <v>13479</v>
      </c>
      <c r="D2470" s="134"/>
      <c r="E2470" s="135">
        <v>150</v>
      </c>
      <c r="F2470" s="46" t="s">
        <v>9</v>
      </c>
      <c r="G2470" s="857">
        <f t="shared" si="180"/>
        <v>0</v>
      </c>
      <c r="H2470" s="775"/>
    </row>
    <row r="2471" spans="1:8">
      <c r="A2471" s="1526">
        <v>45839</v>
      </c>
      <c r="B2471" s="337" t="s">
        <v>14024</v>
      </c>
      <c r="C2471" s="776" t="s">
        <v>13356</v>
      </c>
      <c r="D2471" s="134"/>
      <c r="E2471" s="135">
        <v>188</v>
      </c>
      <c r="F2471" s="46" t="s">
        <v>9</v>
      </c>
      <c r="G2471" s="857">
        <f t="shared" si="180"/>
        <v>0</v>
      </c>
      <c r="H2471" s="775"/>
    </row>
    <row r="2472" spans="1:8">
      <c r="A2472" s="1526">
        <v>45839</v>
      </c>
      <c r="B2472" s="337" t="s">
        <v>14012</v>
      </c>
      <c r="C2472" s="776" t="s">
        <v>13448</v>
      </c>
      <c r="D2472" s="134"/>
      <c r="E2472" s="135">
        <v>100.58</v>
      </c>
      <c r="F2472" s="46" t="s">
        <v>9</v>
      </c>
      <c r="G2472" s="857">
        <f t="shared" si="180"/>
        <v>0</v>
      </c>
      <c r="H2472" s="775"/>
    </row>
    <row r="2473" spans="1:8">
      <c r="A2473" s="1526">
        <v>45845</v>
      </c>
      <c r="B2473" s="337" t="s">
        <v>14013</v>
      </c>
      <c r="C2473" s="776" t="s">
        <v>14025</v>
      </c>
      <c r="D2473" s="134"/>
      <c r="E2473" s="135">
        <v>170</v>
      </c>
      <c r="F2473" s="46" t="s">
        <v>9</v>
      </c>
      <c r="G2473" s="857">
        <f t="shared" si="180"/>
        <v>0</v>
      </c>
      <c r="H2473" s="775"/>
    </row>
    <row r="2474" spans="1:8" ht="14.25" thickBot="1">
      <c r="A2474" s="1526">
        <v>45853</v>
      </c>
      <c r="B2474" s="337" t="s">
        <v>14015</v>
      </c>
      <c r="C2474" s="776" t="s">
        <v>13387</v>
      </c>
      <c r="D2474" s="134"/>
      <c r="E2474" s="135">
        <v>145.44999999999999</v>
      </c>
      <c r="F2474" s="46" t="s">
        <v>9</v>
      </c>
      <c r="G2474" s="857">
        <f t="shared" si="180"/>
        <v>0</v>
      </c>
      <c r="H2474" s="775"/>
    </row>
    <row r="2475" spans="1:8">
      <c r="A2475" s="1519"/>
      <c r="B2475" s="1520"/>
      <c r="C2475" s="1521" t="s">
        <v>1649</v>
      </c>
      <c r="D2475" s="1522"/>
      <c r="E2475" s="1523">
        <f>SUM(E2476:E2489)</f>
        <v>2875.66</v>
      </c>
      <c r="F2475" s="1524"/>
      <c r="G2475" s="1525"/>
      <c r="H2475" s="775">
        <f>E2476+E2488+E2484</f>
        <v>595</v>
      </c>
    </row>
    <row r="2476" spans="1:8">
      <c r="A2476" s="1527">
        <v>42217</v>
      </c>
      <c r="B2476" s="793" t="s">
        <v>14004</v>
      </c>
      <c r="C2476" s="794" t="s">
        <v>13607</v>
      </c>
      <c r="D2476" s="795"/>
      <c r="E2476" s="796">
        <v>275</v>
      </c>
      <c r="F2476" s="797" t="s">
        <v>9</v>
      </c>
      <c r="G2476" s="1528">
        <f>IF(F2476="X",0,E2476)</f>
        <v>0</v>
      </c>
      <c r="H2476" s="775"/>
    </row>
    <row r="2477" spans="1:8">
      <c r="A2477" s="1526">
        <v>45870</v>
      </c>
      <c r="B2477" s="337" t="s">
        <v>14008</v>
      </c>
      <c r="C2477" s="776" t="s">
        <v>13384</v>
      </c>
      <c r="D2477" s="134"/>
      <c r="E2477" s="135">
        <v>126.9</v>
      </c>
      <c r="F2477" s="46" t="s">
        <v>9</v>
      </c>
      <c r="G2477" s="857">
        <f t="shared" ref="G2477:G2489" si="181">IF(F2477="X",0,E2477)</f>
        <v>0</v>
      </c>
      <c r="H2477" s="775"/>
    </row>
    <row r="2478" spans="1:8">
      <c r="A2478" s="1526">
        <v>45870</v>
      </c>
      <c r="B2478" s="337" t="s">
        <v>14009</v>
      </c>
      <c r="C2478" s="776" t="s">
        <v>13467</v>
      </c>
      <c r="D2478" s="134"/>
      <c r="E2478" s="135">
        <v>55.33</v>
      </c>
      <c r="F2478" s="46" t="s">
        <v>9</v>
      </c>
      <c r="G2478" s="857">
        <f t="shared" si="181"/>
        <v>0</v>
      </c>
      <c r="H2478" s="775"/>
    </row>
    <row r="2479" spans="1:8">
      <c r="A2479" s="1526">
        <v>45870</v>
      </c>
      <c r="B2479" s="337" t="s">
        <v>14010</v>
      </c>
      <c r="C2479" s="776" t="s">
        <v>13384</v>
      </c>
      <c r="D2479" s="134"/>
      <c r="E2479" s="135">
        <v>120</v>
      </c>
      <c r="F2479" s="46" t="s">
        <v>9</v>
      </c>
      <c r="G2479" s="857">
        <f t="shared" si="181"/>
        <v>0</v>
      </c>
      <c r="H2479" s="775"/>
    </row>
    <row r="2480" spans="1:8">
      <c r="A2480" s="1526">
        <v>45870</v>
      </c>
      <c r="B2480" s="337" t="s">
        <v>14017</v>
      </c>
      <c r="C2480" s="776" t="s">
        <v>13448</v>
      </c>
      <c r="D2480" s="134"/>
      <c r="E2480" s="135">
        <v>225</v>
      </c>
      <c r="F2480" s="46" t="s">
        <v>9</v>
      </c>
      <c r="G2480" s="857">
        <f t="shared" si="181"/>
        <v>0</v>
      </c>
      <c r="H2480" s="775"/>
    </row>
    <row r="2481" spans="1:8">
      <c r="A2481" s="1526">
        <v>45870</v>
      </c>
      <c r="B2481" s="337" t="s">
        <v>14018</v>
      </c>
      <c r="C2481" s="776" t="s">
        <v>13542</v>
      </c>
      <c r="D2481" s="134"/>
      <c r="E2481" s="135">
        <v>788.92</v>
      </c>
      <c r="F2481" s="46" t="s">
        <v>9</v>
      </c>
      <c r="G2481" s="857">
        <f t="shared" si="181"/>
        <v>0</v>
      </c>
      <c r="H2481" s="775"/>
    </row>
    <row r="2482" spans="1:8">
      <c r="A2482" s="1526">
        <v>45870</v>
      </c>
      <c r="B2482" s="337" t="s">
        <v>14019</v>
      </c>
      <c r="C2482" s="776" t="s">
        <v>13448</v>
      </c>
      <c r="D2482" s="134"/>
      <c r="E2482" s="135">
        <v>215.52</v>
      </c>
      <c r="F2482" s="46" t="s">
        <v>9</v>
      </c>
      <c r="G2482" s="857">
        <f t="shared" si="181"/>
        <v>0</v>
      </c>
      <c r="H2482" s="775"/>
    </row>
    <row r="2483" spans="1:8">
      <c r="A2483" s="1526">
        <v>45870</v>
      </c>
      <c r="B2483" s="337" t="s">
        <v>14022</v>
      </c>
      <c r="C2483" s="776" t="s">
        <v>13536</v>
      </c>
      <c r="D2483" s="134"/>
      <c r="E2483" s="135">
        <v>108.56</v>
      </c>
      <c r="F2483" s="46" t="s">
        <v>9</v>
      </c>
      <c r="G2483" s="857">
        <f t="shared" si="181"/>
        <v>0</v>
      </c>
      <c r="H2483" s="775"/>
    </row>
    <row r="2484" spans="1:8">
      <c r="A2484" s="1527">
        <v>45870</v>
      </c>
      <c r="B2484" s="793" t="s">
        <v>14023</v>
      </c>
      <c r="C2484" s="794" t="s">
        <v>13485</v>
      </c>
      <c r="D2484" s="795"/>
      <c r="E2484" s="796">
        <v>150</v>
      </c>
      <c r="F2484" s="797" t="s">
        <v>9</v>
      </c>
      <c r="G2484" s="1528">
        <f t="shared" si="181"/>
        <v>0</v>
      </c>
      <c r="H2484" s="775"/>
    </row>
    <row r="2485" spans="1:8">
      <c r="A2485" s="1526">
        <v>45870</v>
      </c>
      <c r="B2485" s="337" t="s">
        <v>14024</v>
      </c>
      <c r="C2485" s="776" t="s">
        <v>13368</v>
      </c>
      <c r="D2485" s="134"/>
      <c r="E2485" s="135">
        <v>188</v>
      </c>
      <c r="F2485" s="46" t="s">
        <v>9</v>
      </c>
      <c r="G2485" s="857">
        <f t="shared" si="181"/>
        <v>0</v>
      </c>
      <c r="H2485" s="775"/>
    </row>
    <row r="2486" spans="1:8">
      <c r="A2486" s="1526">
        <v>45870</v>
      </c>
      <c r="B2486" s="337" t="s">
        <v>14026</v>
      </c>
      <c r="C2486" s="776" t="s">
        <v>14027</v>
      </c>
      <c r="D2486" s="134"/>
      <c r="E2486" s="135">
        <f>412.8/2</f>
        <v>206.4</v>
      </c>
      <c r="F2486" s="46" t="s">
        <v>9</v>
      </c>
      <c r="G2486" s="857">
        <f t="shared" si="181"/>
        <v>0</v>
      </c>
      <c r="H2486" s="775"/>
    </row>
    <row r="2487" spans="1:8">
      <c r="A2487" s="1526">
        <v>45870</v>
      </c>
      <c r="B2487" s="337" t="s">
        <v>14012</v>
      </c>
      <c r="C2487" s="776" t="s">
        <v>13454</v>
      </c>
      <c r="D2487" s="134"/>
      <c r="E2487" s="135">
        <v>100.58</v>
      </c>
      <c r="F2487" s="46" t="s">
        <v>9</v>
      </c>
      <c r="G2487" s="857">
        <f t="shared" si="181"/>
        <v>0</v>
      </c>
      <c r="H2487" s="775"/>
    </row>
    <row r="2488" spans="1:8">
      <c r="A2488" s="1527">
        <v>45876</v>
      </c>
      <c r="B2488" s="793" t="s">
        <v>14013</v>
      </c>
      <c r="C2488" s="794" t="s">
        <v>14028</v>
      </c>
      <c r="D2488" s="795"/>
      <c r="E2488" s="796">
        <v>170</v>
      </c>
      <c r="F2488" s="797" t="s">
        <v>9</v>
      </c>
      <c r="G2488" s="1528">
        <f t="shared" si="181"/>
        <v>0</v>
      </c>
      <c r="H2488" s="775"/>
    </row>
    <row r="2489" spans="1:8" ht="14.25" thickBot="1">
      <c r="A2489" s="1526">
        <v>45884</v>
      </c>
      <c r="B2489" s="337" t="s">
        <v>14015</v>
      </c>
      <c r="C2489" s="776" t="s">
        <v>13397</v>
      </c>
      <c r="D2489" s="134"/>
      <c r="E2489" s="135">
        <v>145.44999999999999</v>
      </c>
      <c r="F2489" s="46" t="s">
        <v>9</v>
      </c>
      <c r="G2489" s="857">
        <f t="shared" si="181"/>
        <v>0</v>
      </c>
      <c r="H2489" s="775"/>
    </row>
    <row r="2490" spans="1:8">
      <c r="A2490" s="1519"/>
      <c r="B2490" s="1520"/>
      <c r="C2490" s="1521" t="s">
        <v>14029</v>
      </c>
      <c r="D2490" s="1522"/>
      <c r="E2490" s="1523">
        <f>SUM(E2491:E2502)</f>
        <v>2593.16</v>
      </c>
      <c r="F2490" s="1524"/>
      <c r="G2490" s="1525"/>
      <c r="H2490" s="775">
        <f>E2492+E2499</f>
        <v>261.73</v>
      </c>
    </row>
    <row r="2491" spans="1:8">
      <c r="A2491" s="1526">
        <v>45901</v>
      </c>
      <c r="B2491" s="337" t="s">
        <v>14008</v>
      </c>
      <c r="C2491" s="776" t="s">
        <v>13387</v>
      </c>
      <c r="D2491" s="134"/>
      <c r="E2491" s="135">
        <v>126.9</v>
      </c>
      <c r="F2491" s="46" t="s">
        <v>9</v>
      </c>
      <c r="G2491" s="857">
        <f t="shared" ref="G2491:G2502" si="182">IF(F2491="X",0,E2491)</f>
        <v>0</v>
      </c>
      <c r="H2491" s="775"/>
    </row>
    <row r="2492" spans="1:8">
      <c r="A2492" s="1527">
        <v>45901</v>
      </c>
      <c r="B2492" s="793" t="s">
        <v>14009</v>
      </c>
      <c r="C2492" s="794" t="s">
        <v>13475</v>
      </c>
      <c r="D2492" s="795"/>
      <c r="E2492" s="796">
        <v>55.33</v>
      </c>
      <c r="F2492" s="797" t="s">
        <v>9</v>
      </c>
      <c r="G2492" s="1528">
        <f t="shared" si="182"/>
        <v>0</v>
      </c>
      <c r="H2492" s="775"/>
    </row>
    <row r="2493" spans="1:8">
      <c r="A2493" s="1526">
        <v>45901</v>
      </c>
      <c r="B2493" s="337" t="s">
        <v>14010</v>
      </c>
      <c r="C2493" s="776" t="s">
        <v>13387</v>
      </c>
      <c r="D2493" s="134"/>
      <c r="E2493" s="135">
        <v>120</v>
      </c>
      <c r="F2493" s="46" t="s">
        <v>9</v>
      </c>
      <c r="G2493" s="857">
        <f t="shared" si="182"/>
        <v>0</v>
      </c>
      <c r="H2493" s="775"/>
    </row>
    <row r="2494" spans="1:8">
      <c r="A2494" s="1526">
        <v>45901</v>
      </c>
      <c r="B2494" s="337" t="s">
        <v>14017</v>
      </c>
      <c r="C2494" s="776" t="s">
        <v>13454</v>
      </c>
      <c r="D2494" s="134"/>
      <c r="E2494" s="135">
        <v>225</v>
      </c>
      <c r="F2494" s="46" t="s">
        <v>9</v>
      </c>
      <c r="G2494" s="857">
        <f t="shared" si="182"/>
        <v>0</v>
      </c>
      <c r="H2494" s="775"/>
    </row>
    <row r="2495" spans="1:8">
      <c r="A2495" s="1526">
        <v>45901</v>
      </c>
      <c r="B2495" s="337" t="s">
        <v>14018</v>
      </c>
      <c r="C2495" s="776" t="s">
        <v>13550</v>
      </c>
      <c r="D2495" s="134"/>
      <c r="E2495" s="135">
        <v>788.92</v>
      </c>
      <c r="F2495" s="46" t="s">
        <v>9</v>
      </c>
      <c r="G2495" s="857">
        <f t="shared" si="182"/>
        <v>0</v>
      </c>
      <c r="H2495" s="775"/>
    </row>
    <row r="2496" spans="1:8">
      <c r="A2496" s="1526">
        <v>45901</v>
      </c>
      <c r="B2496" s="337" t="s">
        <v>14019</v>
      </c>
      <c r="C2496" s="776" t="s">
        <v>13454</v>
      </c>
      <c r="D2496" s="134"/>
      <c r="E2496" s="135">
        <v>215.52</v>
      </c>
      <c r="F2496" s="46" t="s">
        <v>9</v>
      </c>
      <c r="G2496" s="857">
        <f t="shared" si="182"/>
        <v>0</v>
      </c>
      <c r="H2496" s="775"/>
    </row>
    <row r="2497" spans="1:8">
      <c r="A2497" s="1526">
        <v>45901</v>
      </c>
      <c r="B2497" s="337" t="s">
        <v>14022</v>
      </c>
      <c r="C2497" s="776" t="s">
        <v>13541</v>
      </c>
      <c r="D2497" s="134"/>
      <c r="E2497" s="135">
        <v>108.56</v>
      </c>
      <c r="F2497" s="46" t="s">
        <v>9</v>
      </c>
      <c r="G2497" s="857">
        <f t="shared" si="182"/>
        <v>0</v>
      </c>
      <c r="H2497" s="775"/>
    </row>
    <row r="2498" spans="1:8">
      <c r="A2498" s="1526">
        <v>45901</v>
      </c>
      <c r="B2498" s="337" t="s">
        <v>14024</v>
      </c>
      <c r="C2498" s="776" t="s">
        <v>13376</v>
      </c>
      <c r="D2498" s="134"/>
      <c r="E2498" s="135">
        <v>188</v>
      </c>
      <c r="F2498" s="46" t="s">
        <v>9</v>
      </c>
      <c r="G2498" s="857">
        <f t="shared" si="182"/>
        <v>0</v>
      </c>
      <c r="H2498" s="775"/>
    </row>
    <row r="2499" spans="1:8">
      <c r="A2499" s="1527">
        <v>45901</v>
      </c>
      <c r="B2499" s="793" t="s">
        <v>14026</v>
      </c>
      <c r="C2499" s="794" t="s">
        <v>14030</v>
      </c>
      <c r="D2499" s="795"/>
      <c r="E2499" s="796">
        <f>412.8/2</f>
        <v>206.4</v>
      </c>
      <c r="F2499" s="797" t="s">
        <v>9</v>
      </c>
      <c r="G2499" s="1528">
        <f t="shared" si="182"/>
        <v>0</v>
      </c>
      <c r="H2499" s="775"/>
    </row>
    <row r="2500" spans="1:8">
      <c r="A2500" s="1526">
        <v>45901</v>
      </c>
      <c r="B2500" s="337" t="s">
        <v>14012</v>
      </c>
      <c r="C2500" s="776" t="s">
        <v>13467</v>
      </c>
      <c r="D2500" s="134"/>
      <c r="E2500" s="135">
        <v>100.58</v>
      </c>
      <c r="F2500" s="46" t="s">
        <v>9</v>
      </c>
      <c r="G2500" s="857">
        <f t="shared" si="182"/>
        <v>0</v>
      </c>
      <c r="H2500" s="775"/>
    </row>
    <row r="2501" spans="1:8">
      <c r="A2501" s="1526">
        <v>45901</v>
      </c>
      <c r="B2501" s="337" t="s">
        <v>14031</v>
      </c>
      <c r="C2501" s="776" t="s">
        <v>13459</v>
      </c>
      <c r="D2501" s="134"/>
      <c r="E2501" s="135">
        <v>312.5</v>
      </c>
      <c r="F2501" s="46" t="s">
        <v>9</v>
      </c>
      <c r="G2501" s="857">
        <f t="shared" si="182"/>
        <v>0</v>
      </c>
      <c r="H2501" s="775"/>
    </row>
    <row r="2502" spans="1:8" ht="14.25" thickBot="1">
      <c r="A2502" s="1526">
        <v>45915</v>
      </c>
      <c r="B2502" s="337" t="s">
        <v>14015</v>
      </c>
      <c r="C2502" s="776" t="s">
        <v>13402</v>
      </c>
      <c r="D2502" s="134"/>
      <c r="E2502" s="135">
        <v>145.44999999999999</v>
      </c>
      <c r="F2502" s="46" t="s">
        <v>9</v>
      </c>
      <c r="G2502" s="857">
        <f t="shared" si="182"/>
        <v>0</v>
      </c>
      <c r="H2502" s="775"/>
    </row>
    <row r="2503" spans="1:8">
      <c r="A2503" s="1519"/>
      <c r="B2503" s="1520"/>
      <c r="C2503" s="1521" t="s">
        <v>14032</v>
      </c>
      <c r="D2503" s="1522"/>
      <c r="E2503" s="1523">
        <f>SUM(E2504:E2515)</f>
        <v>2547.7499999999995</v>
      </c>
      <c r="F2503" s="1524"/>
      <c r="G2503" s="1525"/>
      <c r="H2503" s="775">
        <f>E2511</f>
        <v>100.58</v>
      </c>
    </row>
    <row r="2504" spans="1:8">
      <c r="A2504" s="1526">
        <v>45931</v>
      </c>
      <c r="B2504" s="337" t="s">
        <v>14008</v>
      </c>
      <c r="C2504" s="776" t="s">
        <v>13397</v>
      </c>
      <c r="D2504" s="134"/>
      <c r="E2504" s="135">
        <v>126.9</v>
      </c>
      <c r="F2504" s="46" t="s">
        <v>9</v>
      </c>
      <c r="G2504" s="857">
        <f t="shared" ref="G2504:G2515" si="183">IF(F2504="X",0,E2504)</f>
        <v>0</v>
      </c>
      <c r="H2504" s="775"/>
    </row>
    <row r="2505" spans="1:8">
      <c r="A2505" s="1526">
        <v>45931</v>
      </c>
      <c r="B2505" s="337" t="s">
        <v>14010</v>
      </c>
      <c r="C2505" s="776" t="s">
        <v>13397</v>
      </c>
      <c r="D2505" s="134"/>
      <c r="E2505" s="135">
        <v>120</v>
      </c>
      <c r="F2505" s="46" t="s">
        <v>9</v>
      </c>
      <c r="G2505" s="857">
        <f t="shared" si="183"/>
        <v>0</v>
      </c>
      <c r="H2505" s="775"/>
    </row>
    <row r="2506" spans="1:8">
      <c r="A2506" s="1526">
        <v>45931</v>
      </c>
      <c r="B2506" s="337" t="s">
        <v>14017</v>
      </c>
      <c r="C2506" s="776" t="s">
        <v>13467</v>
      </c>
      <c r="D2506" s="134"/>
      <c r="E2506" s="135">
        <v>225</v>
      </c>
      <c r="F2506" s="46" t="s">
        <v>9</v>
      </c>
      <c r="G2506" s="857">
        <f t="shared" si="183"/>
        <v>0</v>
      </c>
      <c r="H2506" s="775"/>
    </row>
    <row r="2507" spans="1:8">
      <c r="A2507" s="1526">
        <v>45931</v>
      </c>
      <c r="B2507" s="337" t="s">
        <v>14018</v>
      </c>
      <c r="C2507" s="776" t="s">
        <v>13554</v>
      </c>
      <c r="D2507" s="134"/>
      <c r="E2507" s="135">
        <v>788.92</v>
      </c>
      <c r="F2507" s="46" t="s">
        <v>9</v>
      </c>
      <c r="G2507" s="857">
        <f t="shared" si="183"/>
        <v>0</v>
      </c>
      <c r="H2507" s="775"/>
    </row>
    <row r="2508" spans="1:8">
      <c r="A2508" s="1526">
        <v>45931</v>
      </c>
      <c r="B2508" s="337" t="s">
        <v>14019</v>
      </c>
      <c r="C2508" s="776" t="s">
        <v>13467</v>
      </c>
      <c r="D2508" s="134"/>
      <c r="E2508" s="135">
        <v>215.52</v>
      </c>
      <c r="F2508" s="46" t="s">
        <v>9</v>
      </c>
      <c r="G2508" s="857">
        <f t="shared" si="183"/>
        <v>0</v>
      </c>
      <c r="H2508" s="775"/>
    </row>
    <row r="2509" spans="1:8">
      <c r="A2509" s="1526">
        <v>45931</v>
      </c>
      <c r="B2509" s="337" t="s">
        <v>14022</v>
      </c>
      <c r="C2509" s="776" t="s">
        <v>13549</v>
      </c>
      <c r="D2509" s="134"/>
      <c r="E2509" s="135">
        <v>108.56</v>
      </c>
      <c r="F2509" s="46" t="s">
        <v>9</v>
      </c>
      <c r="G2509" s="857">
        <f t="shared" si="183"/>
        <v>0</v>
      </c>
      <c r="H2509" s="775"/>
    </row>
    <row r="2510" spans="1:8">
      <c r="A2510" s="1526">
        <v>45931</v>
      </c>
      <c r="B2510" s="337" t="s">
        <v>14024</v>
      </c>
      <c r="C2510" s="776" t="s">
        <v>13380</v>
      </c>
      <c r="D2510" s="134"/>
      <c r="E2510" s="135">
        <v>188</v>
      </c>
      <c r="F2510" s="46" t="s">
        <v>9</v>
      </c>
      <c r="G2510" s="857">
        <f t="shared" si="183"/>
        <v>0</v>
      </c>
      <c r="H2510" s="775"/>
    </row>
    <row r="2511" spans="1:8">
      <c r="A2511" s="1527">
        <v>45931</v>
      </c>
      <c r="B2511" s="793" t="s">
        <v>14012</v>
      </c>
      <c r="C2511" s="794" t="s">
        <v>13475</v>
      </c>
      <c r="D2511" s="795"/>
      <c r="E2511" s="796">
        <v>100.58</v>
      </c>
      <c r="F2511" s="797" t="s">
        <v>9</v>
      </c>
      <c r="G2511" s="1528">
        <f t="shared" si="183"/>
        <v>0</v>
      </c>
      <c r="H2511" s="775"/>
    </row>
    <row r="2512" spans="1:8">
      <c r="A2512" s="1526">
        <v>45931</v>
      </c>
      <c r="B2512" s="337" t="s">
        <v>14031</v>
      </c>
      <c r="C2512" s="776" t="s">
        <v>13481</v>
      </c>
      <c r="D2512" s="134"/>
      <c r="E2512" s="135">
        <v>312.5</v>
      </c>
      <c r="F2512" s="46" t="s">
        <v>9</v>
      </c>
      <c r="G2512" s="857">
        <f t="shared" si="183"/>
        <v>0</v>
      </c>
      <c r="H2512" s="775"/>
    </row>
    <row r="2513" spans="1:8">
      <c r="A2513" s="1526">
        <v>45931</v>
      </c>
      <c r="B2513" s="337" t="s">
        <v>14033</v>
      </c>
      <c r="C2513" s="776" t="s">
        <v>13356</v>
      </c>
      <c r="D2513" s="134"/>
      <c r="E2513" s="135">
        <v>81.03</v>
      </c>
      <c r="F2513" s="46" t="s">
        <v>9</v>
      </c>
      <c r="G2513" s="857">
        <f t="shared" si="183"/>
        <v>0</v>
      </c>
      <c r="H2513" s="775"/>
    </row>
    <row r="2514" spans="1:8">
      <c r="A2514" s="1526">
        <v>45931</v>
      </c>
      <c r="B2514" s="337" t="s">
        <v>14034</v>
      </c>
      <c r="C2514" s="776" t="s">
        <v>13521</v>
      </c>
      <c r="D2514" s="134"/>
      <c r="E2514" s="135">
        <v>135.29</v>
      </c>
      <c r="F2514" s="46" t="s">
        <v>9</v>
      </c>
      <c r="G2514" s="857">
        <f t="shared" si="183"/>
        <v>0</v>
      </c>
      <c r="H2514" s="775"/>
    </row>
    <row r="2515" spans="1:8" ht="14.25" thickBot="1">
      <c r="A2515" s="1526">
        <v>45945</v>
      </c>
      <c r="B2515" s="337" t="s">
        <v>14015</v>
      </c>
      <c r="C2515" s="776" t="s">
        <v>13409</v>
      </c>
      <c r="D2515" s="134"/>
      <c r="E2515" s="135">
        <v>145.44999999999999</v>
      </c>
      <c r="F2515" s="46" t="s">
        <v>9</v>
      </c>
      <c r="G2515" s="857">
        <f t="shared" si="183"/>
        <v>0</v>
      </c>
      <c r="H2515" s="775"/>
    </row>
    <row r="2516" spans="1:8">
      <c r="A2516" s="1519"/>
      <c r="B2516" s="1520"/>
      <c r="C2516" s="1521" t="s">
        <v>14035</v>
      </c>
      <c r="D2516" s="1522"/>
      <c r="E2516" s="1523">
        <f>SUM(E2517:E2531)</f>
        <v>3432.5499999999993</v>
      </c>
      <c r="F2516" s="1524"/>
      <c r="G2516" s="1525"/>
      <c r="H2516" s="775">
        <f>E2519+E2521+E2531+E2522</f>
        <v>694.53</v>
      </c>
    </row>
    <row r="2517" spans="1:8">
      <c r="A2517" s="1526">
        <v>45962</v>
      </c>
      <c r="B2517" s="337" t="s">
        <v>14008</v>
      </c>
      <c r="C2517" s="776" t="s">
        <v>13402</v>
      </c>
      <c r="D2517" s="134"/>
      <c r="E2517" s="135">
        <v>126.9</v>
      </c>
      <c r="F2517" s="46" t="s">
        <v>9</v>
      </c>
      <c r="G2517" s="857">
        <f t="shared" ref="G2517:G2531" si="184">IF(F2517="X",0,E2517)</f>
        <v>0</v>
      </c>
      <c r="H2517" s="775"/>
    </row>
    <row r="2518" spans="1:8">
      <c r="A2518" s="1526">
        <v>45962</v>
      </c>
      <c r="B2518" s="337" t="s">
        <v>14010</v>
      </c>
      <c r="C2518" s="776" t="s">
        <v>13402</v>
      </c>
      <c r="D2518" s="134"/>
      <c r="E2518" s="135">
        <v>120</v>
      </c>
      <c r="F2518" s="46" t="s">
        <v>9</v>
      </c>
      <c r="G2518" s="857">
        <f t="shared" si="184"/>
        <v>0</v>
      </c>
      <c r="H2518" s="775"/>
    </row>
    <row r="2519" spans="1:8">
      <c r="A2519" s="1527">
        <v>45962</v>
      </c>
      <c r="B2519" s="793" t="s">
        <v>14017</v>
      </c>
      <c r="C2519" s="794" t="s">
        <v>13475</v>
      </c>
      <c r="D2519" s="795"/>
      <c r="E2519" s="796">
        <v>225</v>
      </c>
      <c r="F2519" s="797" t="s">
        <v>9</v>
      </c>
      <c r="G2519" s="1528">
        <f t="shared" si="184"/>
        <v>0</v>
      </c>
      <c r="H2519" s="775"/>
    </row>
    <row r="2520" spans="1:8">
      <c r="A2520" s="1526">
        <v>45962</v>
      </c>
      <c r="B2520" s="337" t="s">
        <v>14018</v>
      </c>
      <c r="C2520" s="776" t="s">
        <v>13561</v>
      </c>
      <c r="D2520" s="134"/>
      <c r="E2520" s="135">
        <v>788.92</v>
      </c>
      <c r="F2520" s="46" t="s">
        <v>9</v>
      </c>
      <c r="G2520" s="857">
        <f t="shared" si="184"/>
        <v>0</v>
      </c>
      <c r="H2520" s="775"/>
    </row>
    <row r="2521" spans="1:8">
      <c r="A2521" s="1527">
        <v>45962</v>
      </c>
      <c r="B2521" s="793" t="s">
        <v>14019</v>
      </c>
      <c r="C2521" s="794" t="s">
        <v>13475</v>
      </c>
      <c r="D2521" s="795"/>
      <c r="E2521" s="796">
        <v>215.52</v>
      </c>
      <c r="F2521" s="797" t="s">
        <v>9</v>
      </c>
      <c r="G2521" s="1528">
        <f t="shared" si="184"/>
        <v>0</v>
      </c>
      <c r="H2521" s="775"/>
    </row>
    <row r="2522" spans="1:8">
      <c r="A2522" s="1527">
        <v>45962</v>
      </c>
      <c r="B2522" s="793" t="s">
        <v>14022</v>
      </c>
      <c r="C2522" s="794" t="s">
        <v>13555</v>
      </c>
      <c r="D2522" s="795"/>
      <c r="E2522" s="796">
        <v>108.56</v>
      </c>
      <c r="F2522" s="797" t="s">
        <v>9</v>
      </c>
      <c r="G2522" s="1528">
        <f t="shared" si="184"/>
        <v>0</v>
      </c>
      <c r="H2522" s="775"/>
    </row>
    <row r="2523" spans="1:8">
      <c r="A2523" s="1526">
        <v>45962</v>
      </c>
      <c r="B2523" s="337" t="s">
        <v>14024</v>
      </c>
      <c r="C2523" s="776" t="s">
        <v>13384</v>
      </c>
      <c r="D2523" s="134"/>
      <c r="E2523" s="135">
        <v>188</v>
      </c>
      <c r="F2523" s="46" t="s">
        <v>9</v>
      </c>
      <c r="G2523" s="857">
        <f t="shared" si="184"/>
        <v>0</v>
      </c>
      <c r="H2523" s="775"/>
    </row>
    <row r="2524" spans="1:8">
      <c r="A2524" s="1526">
        <v>45962</v>
      </c>
      <c r="B2524" s="337" t="s">
        <v>14031</v>
      </c>
      <c r="C2524" s="776" t="s">
        <v>13489</v>
      </c>
      <c r="D2524" s="134"/>
      <c r="E2524" s="135">
        <v>312.5</v>
      </c>
      <c r="F2524" s="46" t="s">
        <v>9</v>
      </c>
      <c r="G2524" s="857">
        <f t="shared" si="184"/>
        <v>0</v>
      </c>
      <c r="H2524" s="775"/>
    </row>
    <row r="2525" spans="1:8">
      <c r="A2525" s="1526">
        <v>45962</v>
      </c>
      <c r="B2525" s="337" t="s">
        <v>14033</v>
      </c>
      <c r="C2525" s="776" t="s">
        <v>13368</v>
      </c>
      <c r="D2525" s="134"/>
      <c r="E2525" s="135">
        <v>81.03</v>
      </c>
      <c r="F2525" s="46" t="s">
        <v>9</v>
      </c>
      <c r="G2525" s="857">
        <f t="shared" si="184"/>
        <v>0</v>
      </c>
      <c r="H2525" s="775"/>
    </row>
    <row r="2526" spans="1:8">
      <c r="A2526" s="1526">
        <v>45962</v>
      </c>
      <c r="B2526" s="337" t="s">
        <v>14034</v>
      </c>
      <c r="C2526" s="776" t="s">
        <v>13531</v>
      </c>
      <c r="D2526" s="134"/>
      <c r="E2526" s="135">
        <v>135.29</v>
      </c>
      <c r="F2526" s="46" t="s">
        <v>9</v>
      </c>
      <c r="G2526" s="857">
        <f t="shared" si="184"/>
        <v>0</v>
      </c>
      <c r="H2526" s="775"/>
    </row>
    <row r="2527" spans="1:8">
      <c r="A2527" s="1526">
        <v>45962</v>
      </c>
      <c r="B2527" s="337" t="s">
        <v>14036</v>
      </c>
      <c r="C2527" s="776" t="s">
        <v>13521</v>
      </c>
      <c r="D2527" s="134"/>
      <c r="E2527" s="135">
        <v>173.33</v>
      </c>
      <c r="F2527" s="46" t="s">
        <v>9</v>
      </c>
      <c r="G2527" s="857">
        <f t="shared" si="184"/>
        <v>0</v>
      </c>
      <c r="H2527" s="775"/>
    </row>
    <row r="2528" spans="1:8">
      <c r="A2528" s="1526">
        <v>45962</v>
      </c>
      <c r="B2528" s="337" t="s">
        <v>14037</v>
      </c>
      <c r="C2528" s="776" t="s">
        <v>13356</v>
      </c>
      <c r="D2528" s="134"/>
      <c r="E2528" s="135">
        <v>438</v>
      </c>
      <c r="F2528" s="46" t="s">
        <v>9</v>
      </c>
      <c r="G2528" s="857">
        <f t="shared" si="184"/>
        <v>0</v>
      </c>
      <c r="H2528" s="775"/>
    </row>
    <row r="2529" spans="1:8">
      <c r="A2529" s="1526">
        <v>45962</v>
      </c>
      <c r="B2529" s="337" t="s">
        <v>14038</v>
      </c>
      <c r="C2529" s="776" t="s">
        <v>13437</v>
      </c>
      <c r="D2529" s="134"/>
      <c r="E2529" s="135">
        <v>97.02</v>
      </c>
      <c r="F2529" s="46" t="s">
        <v>9</v>
      </c>
      <c r="G2529" s="857">
        <f t="shared" si="184"/>
        <v>0</v>
      </c>
      <c r="H2529" s="775"/>
    </row>
    <row r="2530" spans="1:8">
      <c r="A2530" s="1526">
        <v>45962</v>
      </c>
      <c r="B2530" s="337" t="s">
        <v>14039</v>
      </c>
      <c r="C2530" s="776" t="s">
        <v>13437</v>
      </c>
      <c r="D2530" s="134"/>
      <c r="E2530" s="135">
        <v>277.02999999999997</v>
      </c>
      <c r="F2530" s="46" t="s">
        <v>9</v>
      </c>
      <c r="G2530" s="857">
        <f t="shared" si="184"/>
        <v>0</v>
      </c>
      <c r="H2530" s="775"/>
    </row>
    <row r="2531" spans="1:8" ht="14.25" thickBot="1">
      <c r="A2531" s="1527">
        <v>45976</v>
      </c>
      <c r="B2531" s="793" t="s">
        <v>14015</v>
      </c>
      <c r="C2531" s="794" t="s">
        <v>13414</v>
      </c>
      <c r="D2531" s="795"/>
      <c r="E2531" s="796">
        <v>145.44999999999999</v>
      </c>
      <c r="F2531" s="797" t="s">
        <v>9</v>
      </c>
      <c r="G2531" s="1528">
        <f t="shared" si="184"/>
        <v>0</v>
      </c>
      <c r="H2531" s="775"/>
    </row>
    <row r="2532" spans="1:8">
      <c r="A2532" s="1519"/>
      <c r="B2532" s="1520"/>
      <c r="C2532" s="1521">
        <v>45992</v>
      </c>
      <c r="D2532" s="1522"/>
      <c r="E2532" s="1523">
        <f>SUM(E2533:E2543)</f>
        <v>2738.0199999999995</v>
      </c>
      <c r="F2532" s="1524"/>
      <c r="G2532" s="1525"/>
      <c r="H2532" s="775">
        <f>E2537+E2538</f>
        <v>447.78999999999996</v>
      </c>
    </row>
    <row r="2533" spans="1:8">
      <c r="A2533" s="1526">
        <v>45992</v>
      </c>
      <c r="B2533" s="337" t="s">
        <v>14008</v>
      </c>
      <c r="C2533" s="776" t="s">
        <v>13409</v>
      </c>
      <c r="D2533" s="134"/>
      <c r="E2533" s="135">
        <v>126.9</v>
      </c>
      <c r="F2533" s="46" t="s">
        <v>9</v>
      </c>
      <c r="G2533" s="857">
        <f t="shared" ref="G2533:G2538" si="185">IF(F2533="X",0,E2533)</f>
        <v>0</v>
      </c>
      <c r="H2533" s="775"/>
    </row>
    <row r="2534" spans="1:8">
      <c r="A2534" s="1526">
        <v>45992</v>
      </c>
      <c r="B2534" s="337" t="s">
        <v>14010</v>
      </c>
      <c r="C2534" s="776" t="s">
        <v>13409</v>
      </c>
      <c r="D2534" s="134"/>
      <c r="E2534" s="135">
        <v>120</v>
      </c>
      <c r="F2534" s="46" t="s">
        <v>9</v>
      </c>
      <c r="G2534" s="857">
        <f t="shared" si="185"/>
        <v>0</v>
      </c>
      <c r="H2534" s="775"/>
    </row>
    <row r="2535" spans="1:8">
      <c r="A2535" s="1526">
        <v>45992</v>
      </c>
      <c r="B2535" s="337" t="s">
        <v>14018</v>
      </c>
      <c r="C2535" s="776" t="s">
        <v>13567</v>
      </c>
      <c r="D2535" s="134"/>
      <c r="E2535" s="135">
        <v>788.92</v>
      </c>
      <c r="F2535" s="46" t="s">
        <v>9</v>
      </c>
      <c r="G2535" s="857">
        <f t="shared" si="185"/>
        <v>0</v>
      </c>
      <c r="H2535" s="775"/>
    </row>
    <row r="2536" spans="1:8">
      <c r="A2536" s="1526">
        <v>45992</v>
      </c>
      <c r="B2536" s="337" t="s">
        <v>14024</v>
      </c>
      <c r="C2536" s="776" t="s">
        <v>13387</v>
      </c>
      <c r="D2536" s="134"/>
      <c r="E2536" s="135">
        <v>188</v>
      </c>
      <c r="F2536" s="46" t="s">
        <v>9</v>
      </c>
      <c r="G2536" s="857">
        <f t="shared" si="185"/>
        <v>0</v>
      </c>
      <c r="H2536" s="775"/>
    </row>
    <row r="2537" spans="1:8">
      <c r="A2537" s="1527">
        <v>45992</v>
      </c>
      <c r="B2537" s="793" t="s">
        <v>14031</v>
      </c>
      <c r="C2537" s="794" t="s">
        <v>13493</v>
      </c>
      <c r="D2537" s="795"/>
      <c r="E2537" s="796">
        <v>312.5</v>
      </c>
      <c r="F2537" s="797" t="s">
        <v>9</v>
      </c>
      <c r="G2537" s="1528">
        <f t="shared" si="185"/>
        <v>0</v>
      </c>
      <c r="H2537" s="775"/>
    </row>
    <row r="2538" spans="1:8">
      <c r="A2538" s="1527">
        <v>45992</v>
      </c>
      <c r="B2538" s="793" t="s">
        <v>14034</v>
      </c>
      <c r="C2538" s="794" t="s">
        <v>13538</v>
      </c>
      <c r="D2538" s="795"/>
      <c r="E2538" s="796">
        <v>135.29</v>
      </c>
      <c r="F2538" s="797" t="s">
        <v>9</v>
      </c>
      <c r="G2538" s="1528">
        <f t="shared" si="185"/>
        <v>0</v>
      </c>
      <c r="H2538" s="775"/>
    </row>
    <row r="2539" spans="1:8">
      <c r="A2539" s="1526">
        <v>45992</v>
      </c>
      <c r="B2539" s="337" t="s">
        <v>14033</v>
      </c>
      <c r="C2539" s="776" t="s">
        <v>13376</v>
      </c>
      <c r="D2539" s="134"/>
      <c r="E2539" s="135">
        <v>81.03</v>
      </c>
      <c r="F2539" s="46" t="s">
        <v>9</v>
      </c>
      <c r="G2539" s="857">
        <f t="shared" ref="G2539:G2543" si="186">IF(F2539="X",0,E2539)</f>
        <v>0</v>
      </c>
      <c r="H2539" s="775"/>
    </row>
    <row r="2540" spans="1:8">
      <c r="A2540" s="1526">
        <v>45992</v>
      </c>
      <c r="B2540" s="337" t="s">
        <v>14037</v>
      </c>
      <c r="C2540" s="776" t="s">
        <v>13368</v>
      </c>
      <c r="D2540" s="134"/>
      <c r="E2540" s="135">
        <v>438</v>
      </c>
      <c r="F2540" s="46" t="s">
        <v>9</v>
      </c>
      <c r="G2540" s="857">
        <f t="shared" si="186"/>
        <v>0</v>
      </c>
      <c r="H2540" s="775"/>
    </row>
    <row r="2541" spans="1:8">
      <c r="A2541" s="1526">
        <v>40909</v>
      </c>
      <c r="B2541" s="337" t="s">
        <v>14036</v>
      </c>
      <c r="C2541" s="776" t="s">
        <v>13531</v>
      </c>
      <c r="D2541" s="134"/>
      <c r="E2541" s="135">
        <v>173.33</v>
      </c>
      <c r="F2541" s="46" t="s">
        <v>9</v>
      </c>
      <c r="G2541" s="857">
        <f t="shared" si="186"/>
        <v>0</v>
      </c>
      <c r="H2541" s="775"/>
    </row>
    <row r="2542" spans="1:8">
      <c r="A2542" s="1526">
        <v>45992</v>
      </c>
      <c r="B2542" s="337" t="s">
        <v>14038</v>
      </c>
      <c r="C2542" s="776" t="s">
        <v>13443</v>
      </c>
      <c r="D2542" s="134"/>
      <c r="E2542" s="135">
        <v>97.02</v>
      </c>
      <c r="F2542" s="46" t="s">
        <v>9</v>
      </c>
      <c r="G2542" s="857">
        <f t="shared" si="186"/>
        <v>0</v>
      </c>
      <c r="H2542" s="775"/>
    </row>
    <row r="2543" spans="1:8" ht="14.25" thickBot="1">
      <c r="A2543" s="1526">
        <v>45992</v>
      </c>
      <c r="B2543" s="337" t="s">
        <v>14039</v>
      </c>
      <c r="C2543" s="776" t="s">
        <v>13443</v>
      </c>
      <c r="D2543" s="134"/>
      <c r="E2543" s="135">
        <v>277.02999999999997</v>
      </c>
      <c r="F2543" s="46" t="s">
        <v>9</v>
      </c>
      <c r="G2543" s="857">
        <f t="shared" si="186"/>
        <v>0</v>
      </c>
      <c r="H2543" s="775"/>
    </row>
    <row r="2544" spans="1:8">
      <c r="A2544" s="1519"/>
      <c r="B2544" s="1520"/>
      <c r="C2544" s="1521" t="s">
        <v>14040</v>
      </c>
      <c r="D2544" s="1522"/>
      <c r="E2544" s="1523">
        <f>SUM(E2545:E2555)</f>
        <v>2805.9799999999996</v>
      </c>
      <c r="F2544" s="1524"/>
      <c r="G2544" s="1525"/>
      <c r="H2544" s="775">
        <f>E2545+E2546+E2550</f>
        <v>420.23</v>
      </c>
    </row>
    <row r="2545" spans="1:8">
      <c r="A2545" s="1527">
        <v>46023</v>
      </c>
      <c r="B2545" s="793" t="s">
        <v>14008</v>
      </c>
      <c r="C2545" s="794" t="s">
        <v>13414</v>
      </c>
      <c r="D2545" s="795"/>
      <c r="E2545" s="796">
        <v>126.9</v>
      </c>
      <c r="F2545" s="797" t="s">
        <v>9</v>
      </c>
      <c r="G2545" s="1528">
        <f>IF(F2545="X",0,E2545)</f>
        <v>0</v>
      </c>
      <c r="H2545" s="775"/>
    </row>
    <row r="2546" spans="1:8">
      <c r="A2546" s="1527">
        <v>46023</v>
      </c>
      <c r="B2546" s="793" t="s">
        <v>14010</v>
      </c>
      <c r="C2546" s="794" t="s">
        <v>13414</v>
      </c>
      <c r="D2546" s="795"/>
      <c r="E2546" s="796">
        <v>120</v>
      </c>
      <c r="F2546" s="797" t="s">
        <v>9</v>
      </c>
      <c r="G2546" s="1528">
        <f>IF(F2546="X",0,E2546)</f>
        <v>0</v>
      </c>
      <c r="H2546" s="775"/>
    </row>
    <row r="2547" spans="1:8">
      <c r="A2547" s="1526">
        <v>46023</v>
      </c>
      <c r="B2547" s="337" t="s">
        <v>14018</v>
      </c>
      <c r="C2547" s="776" t="s">
        <v>13573</v>
      </c>
      <c r="D2547" s="134"/>
      <c r="E2547" s="135">
        <v>788.92</v>
      </c>
      <c r="F2547" s="46" t="s">
        <v>9</v>
      </c>
      <c r="G2547" s="857">
        <f>IF(F2547="X",0,E2547)</f>
        <v>0</v>
      </c>
      <c r="H2547" s="775"/>
    </row>
    <row r="2548" spans="1:8">
      <c r="A2548" s="1526">
        <v>46023</v>
      </c>
      <c r="B2548" s="337" t="s">
        <v>14024</v>
      </c>
      <c r="C2548" s="776" t="s">
        <v>13397</v>
      </c>
      <c r="D2548" s="134"/>
      <c r="E2548" s="135">
        <v>188</v>
      </c>
      <c r="F2548" s="46" t="s">
        <v>9</v>
      </c>
      <c r="G2548" s="857">
        <f>IF(F2548="X",0,E2548)</f>
        <v>0</v>
      </c>
      <c r="H2548" s="775"/>
    </row>
    <row r="2549" spans="1:8">
      <c r="A2549" s="1526">
        <v>46023</v>
      </c>
      <c r="B2549" s="337" t="s">
        <v>14033</v>
      </c>
      <c r="C2549" s="776" t="s">
        <v>13380</v>
      </c>
      <c r="D2549" s="134"/>
      <c r="E2549" s="135">
        <v>81.03</v>
      </c>
      <c r="F2549" s="46" t="s">
        <v>9</v>
      </c>
      <c r="G2549" s="857">
        <f t="shared" ref="G2549:G2555" si="187">IF(F2549="X",0,E2549)</f>
        <v>0</v>
      </c>
      <c r="H2549" s="775"/>
    </row>
    <row r="2550" spans="1:8">
      <c r="A2550" s="1527">
        <v>46023</v>
      </c>
      <c r="B2550" s="793" t="s">
        <v>14036</v>
      </c>
      <c r="C2550" s="794" t="s">
        <v>13538</v>
      </c>
      <c r="D2550" s="795"/>
      <c r="E2550" s="796">
        <v>173.33</v>
      </c>
      <c r="F2550" s="797" t="s">
        <v>9</v>
      </c>
      <c r="G2550" s="1528">
        <f t="shared" si="187"/>
        <v>0</v>
      </c>
      <c r="H2550" s="775"/>
    </row>
    <row r="2551" spans="1:8">
      <c r="A2551" s="1526">
        <v>46023</v>
      </c>
      <c r="B2551" s="337" t="s">
        <v>14037</v>
      </c>
      <c r="C2551" s="776" t="s">
        <v>13376</v>
      </c>
      <c r="D2551" s="134"/>
      <c r="E2551" s="135">
        <v>438</v>
      </c>
      <c r="F2551" s="46" t="s">
        <v>9</v>
      </c>
      <c r="G2551" s="857">
        <f t="shared" si="187"/>
        <v>0</v>
      </c>
      <c r="H2551" s="775"/>
    </row>
    <row r="2552" spans="1:8">
      <c r="A2552" s="1526">
        <v>46023</v>
      </c>
      <c r="B2552" s="337" t="s">
        <v>14038</v>
      </c>
      <c r="C2552" s="776" t="s">
        <v>13448</v>
      </c>
      <c r="D2552" s="134"/>
      <c r="E2552" s="135">
        <v>97.02</v>
      </c>
      <c r="F2552" s="46" t="s">
        <v>9</v>
      </c>
      <c r="G2552" s="857">
        <f t="shared" si="187"/>
        <v>0</v>
      </c>
      <c r="H2552" s="775"/>
    </row>
    <row r="2553" spans="1:8">
      <c r="A2553" s="1526">
        <v>46023</v>
      </c>
      <c r="B2553" s="337" t="s">
        <v>14039</v>
      </c>
      <c r="C2553" s="776" t="s">
        <v>13448</v>
      </c>
      <c r="D2553" s="134"/>
      <c r="E2553" s="135">
        <v>277.02999999999997</v>
      </c>
      <c r="F2553" s="46" t="s">
        <v>9</v>
      </c>
      <c r="G2553" s="857">
        <f t="shared" si="187"/>
        <v>0</v>
      </c>
      <c r="H2553" s="775"/>
    </row>
    <row r="2554" spans="1:8">
      <c r="A2554" s="1526">
        <v>46023</v>
      </c>
      <c r="B2554" s="337" t="s">
        <v>14041</v>
      </c>
      <c r="C2554" s="776" t="s">
        <v>13526</v>
      </c>
      <c r="D2554" s="134"/>
      <c r="E2554" s="135">
        <v>300</v>
      </c>
      <c r="F2554" s="46" t="s">
        <v>9</v>
      </c>
      <c r="G2554" s="857">
        <f t="shared" si="187"/>
        <v>0</v>
      </c>
      <c r="H2554" s="775"/>
    </row>
    <row r="2555" spans="1:8" ht="14.25" thickBot="1">
      <c r="A2555" s="1526">
        <v>46023</v>
      </c>
      <c r="B2555" s="337" t="s">
        <v>14042</v>
      </c>
      <c r="C2555" s="776" t="s">
        <v>13521</v>
      </c>
      <c r="D2555" s="134"/>
      <c r="E2555" s="135">
        <v>215.75</v>
      </c>
      <c r="F2555" s="46" t="s">
        <v>9</v>
      </c>
      <c r="G2555" s="857">
        <f t="shared" si="187"/>
        <v>0</v>
      </c>
      <c r="H2555" s="775"/>
    </row>
    <row r="2556" spans="1:8">
      <c r="A2556" s="1519"/>
      <c r="B2556" s="1520"/>
      <c r="C2556" s="1521" t="s">
        <v>14043</v>
      </c>
      <c r="D2556" s="1522"/>
      <c r="E2556" s="1523">
        <f>SUM(E2557:E2565)</f>
        <v>2550.15</v>
      </c>
      <c r="F2556" s="1524"/>
      <c r="G2556" s="1525"/>
      <c r="H2556" s="775"/>
    </row>
    <row r="2557" spans="1:8">
      <c r="A2557" s="1526">
        <v>46054</v>
      </c>
      <c r="B2557" s="337" t="s">
        <v>14018</v>
      </c>
      <c r="C2557" s="776" t="s">
        <v>13580</v>
      </c>
      <c r="D2557" s="134"/>
      <c r="E2557" s="135">
        <v>788.92</v>
      </c>
      <c r="F2557" s="46" t="s">
        <v>9</v>
      </c>
      <c r="G2557" s="857">
        <f>IF(F2557="X",0,E2557)</f>
        <v>0</v>
      </c>
      <c r="H2557" s="775"/>
    </row>
    <row r="2558" spans="1:8">
      <c r="A2558" s="1526">
        <v>46054</v>
      </c>
      <c r="B2558" s="337" t="s">
        <v>14024</v>
      </c>
      <c r="C2558" s="776" t="s">
        <v>13402</v>
      </c>
      <c r="D2558" s="134"/>
      <c r="E2558" s="135">
        <v>188</v>
      </c>
      <c r="F2558" s="46" t="s">
        <v>9</v>
      </c>
      <c r="G2558" s="857">
        <f>IF(F2558="X",0,E2558)</f>
        <v>0</v>
      </c>
      <c r="H2558" s="775"/>
    </row>
    <row r="2559" spans="1:8">
      <c r="A2559" s="1526">
        <v>46054</v>
      </c>
      <c r="B2559" s="337" t="s">
        <v>14033</v>
      </c>
      <c r="C2559" s="776" t="s">
        <v>13384</v>
      </c>
      <c r="D2559" s="134"/>
      <c r="E2559" s="135">
        <v>81.03</v>
      </c>
      <c r="F2559" s="46" t="s">
        <v>9</v>
      </c>
      <c r="G2559" s="857">
        <f t="shared" ref="G2559:G2565" si="188">IF(F2559="X",0,E2559)</f>
        <v>0</v>
      </c>
      <c r="H2559" s="775"/>
    </row>
    <row r="2560" spans="1:8">
      <c r="A2560" s="1526">
        <v>46054</v>
      </c>
      <c r="B2560" s="337" t="s">
        <v>14037</v>
      </c>
      <c r="C2560" s="776" t="s">
        <v>13380</v>
      </c>
      <c r="D2560" s="134"/>
      <c r="E2560" s="135">
        <v>438</v>
      </c>
      <c r="F2560" s="46" t="s">
        <v>9</v>
      </c>
      <c r="G2560" s="857">
        <f t="shared" si="188"/>
        <v>0</v>
      </c>
      <c r="H2560" s="775"/>
    </row>
    <row r="2561" spans="1:8">
      <c r="A2561" s="1526">
        <v>46054</v>
      </c>
      <c r="B2561" s="337" t="s">
        <v>14038</v>
      </c>
      <c r="C2561" s="776" t="s">
        <v>13454</v>
      </c>
      <c r="D2561" s="134"/>
      <c r="E2561" s="135">
        <v>97.02</v>
      </c>
      <c r="F2561" s="46" t="s">
        <v>9</v>
      </c>
      <c r="G2561" s="857">
        <f t="shared" si="188"/>
        <v>0</v>
      </c>
      <c r="H2561" s="775"/>
    </row>
    <row r="2562" spans="1:8">
      <c r="A2562" s="1526">
        <v>46054</v>
      </c>
      <c r="B2562" s="337" t="s">
        <v>14039</v>
      </c>
      <c r="C2562" s="776" t="s">
        <v>13454</v>
      </c>
      <c r="D2562" s="134"/>
      <c r="E2562" s="135">
        <v>277.02999999999997</v>
      </c>
      <c r="F2562" s="46" t="s">
        <v>9</v>
      </c>
      <c r="G2562" s="857">
        <f t="shared" si="188"/>
        <v>0</v>
      </c>
      <c r="H2562" s="775"/>
    </row>
    <row r="2563" spans="1:8">
      <c r="A2563" s="1526">
        <v>46054</v>
      </c>
      <c r="B2563" s="337" t="s">
        <v>14041</v>
      </c>
      <c r="C2563" s="776" t="s">
        <v>13536</v>
      </c>
      <c r="D2563" s="134"/>
      <c r="E2563" s="135">
        <v>300</v>
      </c>
      <c r="F2563" s="46" t="s">
        <v>9</v>
      </c>
      <c r="G2563" s="857">
        <f t="shared" si="188"/>
        <v>0</v>
      </c>
      <c r="H2563" s="775"/>
    </row>
    <row r="2564" spans="1:8">
      <c r="A2564" s="1526">
        <v>46054</v>
      </c>
      <c r="B2564" s="337" t="s">
        <v>14042</v>
      </c>
      <c r="C2564" s="776" t="s">
        <v>13531</v>
      </c>
      <c r="D2564" s="134"/>
      <c r="E2564" s="135">
        <v>215.75</v>
      </c>
      <c r="F2564" s="46" t="s">
        <v>9</v>
      </c>
      <c r="G2564" s="857">
        <f t="shared" si="188"/>
        <v>0</v>
      </c>
      <c r="H2564" s="775"/>
    </row>
    <row r="2565" spans="1:8" ht="14.25" thickBot="1">
      <c r="A2565" s="1526">
        <v>46068</v>
      </c>
      <c r="B2565" s="337" t="s">
        <v>14044</v>
      </c>
      <c r="C2565" s="776" t="s">
        <v>13356</v>
      </c>
      <c r="D2565" s="134"/>
      <c r="E2565" s="135">
        <v>164.4</v>
      </c>
      <c r="F2565" s="46" t="s">
        <v>9</v>
      </c>
      <c r="G2565" s="857">
        <f t="shared" si="188"/>
        <v>0</v>
      </c>
      <c r="H2565" s="775"/>
    </row>
    <row r="2566" spans="1:8">
      <c r="A2566" s="1519"/>
      <c r="B2566" s="1520"/>
      <c r="C2566" s="1521" t="s">
        <v>1656</v>
      </c>
      <c r="D2566" s="1522"/>
      <c r="E2566" s="1523">
        <f>SUM(E2567:E2575)</f>
        <v>2550.15</v>
      </c>
      <c r="F2566" s="1524"/>
      <c r="G2566" s="1525"/>
      <c r="H2566" s="775">
        <f>E2574</f>
        <v>215.75</v>
      </c>
    </row>
    <row r="2567" spans="1:8">
      <c r="A2567" s="1526">
        <v>46082</v>
      </c>
      <c r="B2567" s="337" t="s">
        <v>14018</v>
      </c>
      <c r="C2567" s="776" t="s">
        <v>13583</v>
      </c>
      <c r="D2567" s="134"/>
      <c r="E2567" s="135">
        <v>788.92</v>
      </c>
      <c r="F2567" s="46" t="s">
        <v>9</v>
      </c>
      <c r="G2567" s="857">
        <f>IF(F2567="X",0,E2567)</f>
        <v>0</v>
      </c>
      <c r="H2567" s="775"/>
    </row>
    <row r="2568" spans="1:8">
      <c r="A2568" s="1526">
        <v>46082</v>
      </c>
      <c r="B2568" s="337" t="s">
        <v>14024</v>
      </c>
      <c r="C2568" s="776" t="s">
        <v>13409</v>
      </c>
      <c r="D2568" s="134"/>
      <c r="E2568" s="135">
        <v>188</v>
      </c>
      <c r="F2568" s="46" t="s">
        <v>9</v>
      </c>
      <c r="G2568" s="857">
        <f>IF(F2568="X",0,E2568)</f>
        <v>0</v>
      </c>
      <c r="H2568" s="775"/>
    </row>
    <row r="2569" spans="1:8">
      <c r="A2569" s="1526">
        <v>46082</v>
      </c>
      <c r="B2569" s="337" t="s">
        <v>14033</v>
      </c>
      <c r="C2569" s="776" t="s">
        <v>13387</v>
      </c>
      <c r="D2569" s="134"/>
      <c r="E2569" s="135">
        <v>81.03</v>
      </c>
      <c r="F2569" s="46" t="s">
        <v>9</v>
      </c>
      <c r="G2569" s="857">
        <f t="shared" ref="G2569:G2575" si="189">IF(F2569="X",0,E2569)</f>
        <v>0</v>
      </c>
      <c r="H2569" s="775"/>
    </row>
    <row r="2570" spans="1:8">
      <c r="A2570" s="1526">
        <v>46082</v>
      </c>
      <c r="B2570" s="337" t="s">
        <v>14037</v>
      </c>
      <c r="C2570" s="776" t="s">
        <v>13384</v>
      </c>
      <c r="D2570" s="134"/>
      <c r="E2570" s="135">
        <v>438</v>
      </c>
      <c r="F2570" s="46" t="s">
        <v>9</v>
      </c>
      <c r="G2570" s="857">
        <f t="shared" si="189"/>
        <v>0</v>
      </c>
      <c r="H2570" s="775"/>
    </row>
    <row r="2571" spans="1:8">
      <c r="A2571" s="1526">
        <v>46082</v>
      </c>
      <c r="B2571" s="337" t="s">
        <v>14038</v>
      </c>
      <c r="C2571" s="776" t="s">
        <v>13467</v>
      </c>
      <c r="D2571" s="134"/>
      <c r="E2571" s="135">
        <v>97.02</v>
      </c>
      <c r="F2571" s="46" t="s">
        <v>9</v>
      </c>
      <c r="G2571" s="857">
        <f t="shared" si="189"/>
        <v>0</v>
      </c>
      <c r="H2571" s="775"/>
    </row>
    <row r="2572" spans="1:8">
      <c r="A2572" s="1526">
        <v>46082</v>
      </c>
      <c r="B2572" s="337" t="s">
        <v>14039</v>
      </c>
      <c r="C2572" s="776" t="s">
        <v>13467</v>
      </c>
      <c r="D2572" s="134"/>
      <c r="E2572" s="135">
        <v>277.02999999999997</v>
      </c>
      <c r="F2572" s="46" t="s">
        <v>9</v>
      </c>
      <c r="G2572" s="857">
        <f t="shared" si="189"/>
        <v>0</v>
      </c>
      <c r="H2572" s="775"/>
    </row>
    <row r="2573" spans="1:8">
      <c r="A2573" s="1526">
        <v>46082</v>
      </c>
      <c r="B2573" s="337" t="s">
        <v>14041</v>
      </c>
      <c r="C2573" s="776" t="s">
        <v>13541</v>
      </c>
      <c r="D2573" s="134"/>
      <c r="E2573" s="135">
        <v>300</v>
      </c>
      <c r="F2573" s="46" t="s">
        <v>9</v>
      </c>
      <c r="G2573" s="857">
        <f t="shared" si="189"/>
        <v>0</v>
      </c>
      <c r="H2573" s="775"/>
    </row>
    <row r="2574" spans="1:8">
      <c r="A2574" s="1527">
        <v>46082</v>
      </c>
      <c r="B2574" s="793" t="s">
        <v>14042</v>
      </c>
      <c r="C2574" s="794" t="s">
        <v>13538</v>
      </c>
      <c r="D2574" s="795"/>
      <c r="E2574" s="796">
        <v>215.75</v>
      </c>
      <c r="F2574" s="797" t="s">
        <v>9</v>
      </c>
      <c r="G2574" s="1528">
        <f t="shared" si="189"/>
        <v>0</v>
      </c>
      <c r="H2574" s="775"/>
    </row>
    <row r="2575" spans="1:8" ht="14.25" thickBot="1">
      <c r="A2575" s="1526">
        <v>46096</v>
      </c>
      <c r="B2575" s="337" t="s">
        <v>14044</v>
      </c>
      <c r="C2575" s="776" t="s">
        <v>13368</v>
      </c>
      <c r="D2575" s="134"/>
      <c r="E2575" s="135">
        <v>164.4</v>
      </c>
      <c r="F2575" s="46" t="s">
        <v>9</v>
      </c>
      <c r="G2575" s="857">
        <f t="shared" si="189"/>
        <v>0</v>
      </c>
      <c r="H2575" s="775"/>
    </row>
    <row r="2576" spans="1:8">
      <c r="A2576" s="1519"/>
      <c r="B2576" s="1520"/>
      <c r="C2576" s="1521" t="s">
        <v>1657</v>
      </c>
      <c r="D2576" s="1522"/>
      <c r="E2576" s="1523">
        <f>SUM(E2577:E2584)</f>
        <v>2335.48</v>
      </c>
      <c r="F2576" s="1524"/>
      <c r="G2576" s="1525"/>
      <c r="H2576" s="775">
        <f>E2578+E2581+E2582</f>
        <v>562.04999999999995</v>
      </c>
    </row>
    <row r="2577" spans="1:8">
      <c r="A2577" s="1526">
        <v>46113</v>
      </c>
      <c r="B2577" s="337" t="s">
        <v>14018</v>
      </c>
      <c r="C2577" s="776" t="s">
        <v>13587</v>
      </c>
      <c r="D2577" s="134"/>
      <c r="E2577" s="135">
        <v>788.92</v>
      </c>
      <c r="F2577" s="46" t="s">
        <v>120</v>
      </c>
      <c r="G2577" s="857">
        <f>IF(F2577="X",0,E2577)</f>
        <v>0</v>
      </c>
      <c r="H2577" s="775"/>
    </row>
    <row r="2578" spans="1:8">
      <c r="A2578" s="1527">
        <v>46113</v>
      </c>
      <c r="B2578" s="793" t="s">
        <v>14024</v>
      </c>
      <c r="C2578" s="794" t="s">
        <v>13414</v>
      </c>
      <c r="D2578" s="795"/>
      <c r="E2578" s="796">
        <v>188</v>
      </c>
      <c r="F2578" s="797" t="s">
        <v>9</v>
      </c>
      <c r="G2578" s="1528">
        <f>IF(F2578="X",0,E2578)</f>
        <v>0</v>
      </c>
      <c r="H2578" s="775"/>
    </row>
    <row r="2579" spans="1:8">
      <c r="A2579" s="1526">
        <v>46113</v>
      </c>
      <c r="B2579" s="337" t="s">
        <v>14033</v>
      </c>
      <c r="C2579" s="776" t="s">
        <v>13397</v>
      </c>
      <c r="D2579" s="134"/>
      <c r="E2579" s="135">
        <v>81.03</v>
      </c>
      <c r="F2579" s="46" t="s">
        <v>9</v>
      </c>
      <c r="G2579" s="857">
        <f t="shared" ref="G2579:G2584" si="190">IF(F2579="X",0,E2579)</f>
        <v>0</v>
      </c>
      <c r="H2579" s="775"/>
    </row>
    <row r="2580" spans="1:8">
      <c r="A2580" s="1526">
        <v>46113</v>
      </c>
      <c r="B2580" s="337" t="s">
        <v>14037</v>
      </c>
      <c r="C2580" s="776" t="s">
        <v>13387</v>
      </c>
      <c r="D2580" s="134"/>
      <c r="E2580" s="135">
        <v>438</v>
      </c>
      <c r="F2580" s="46" t="s">
        <v>9</v>
      </c>
      <c r="G2580" s="857">
        <f t="shared" si="190"/>
        <v>0</v>
      </c>
      <c r="H2580" s="775"/>
    </row>
    <row r="2581" spans="1:8">
      <c r="A2581" s="1527">
        <v>46113</v>
      </c>
      <c r="B2581" s="793" t="s">
        <v>14038</v>
      </c>
      <c r="C2581" s="794" t="s">
        <v>13475</v>
      </c>
      <c r="D2581" s="795"/>
      <c r="E2581" s="796">
        <v>97.02</v>
      </c>
      <c r="F2581" s="797" t="s">
        <v>9</v>
      </c>
      <c r="G2581" s="1528">
        <f t="shared" si="190"/>
        <v>0</v>
      </c>
      <c r="H2581" s="775"/>
    </row>
    <row r="2582" spans="1:8">
      <c r="A2582" s="1527">
        <v>46113</v>
      </c>
      <c r="B2582" s="793" t="s">
        <v>14039</v>
      </c>
      <c r="C2582" s="794" t="s">
        <v>13475</v>
      </c>
      <c r="D2582" s="795"/>
      <c r="E2582" s="796">
        <v>277.02999999999997</v>
      </c>
      <c r="F2582" s="797" t="s">
        <v>9</v>
      </c>
      <c r="G2582" s="1528">
        <f t="shared" si="190"/>
        <v>0</v>
      </c>
      <c r="H2582" s="775"/>
    </row>
    <row r="2583" spans="1:8">
      <c r="A2583" s="1526">
        <v>46113</v>
      </c>
      <c r="B2583" s="337" t="s">
        <v>14041</v>
      </c>
      <c r="C2583" s="776" t="s">
        <v>13549</v>
      </c>
      <c r="D2583" s="134"/>
      <c r="E2583" s="135">
        <v>300</v>
      </c>
      <c r="F2583" s="46" t="s">
        <v>9</v>
      </c>
      <c r="G2583" s="857">
        <f t="shared" si="190"/>
        <v>0</v>
      </c>
      <c r="H2583" s="775"/>
    </row>
    <row r="2584" spans="1:8" ht="14.25" thickBot="1">
      <c r="A2584" s="1526">
        <v>46127</v>
      </c>
      <c r="B2584" s="337" t="s">
        <v>14044</v>
      </c>
      <c r="C2584" s="776" t="s">
        <v>13376</v>
      </c>
      <c r="D2584" s="134"/>
      <c r="E2584" s="135">
        <v>165.48</v>
      </c>
      <c r="F2584" s="46" t="s">
        <v>9</v>
      </c>
      <c r="G2584" s="857">
        <f t="shared" si="190"/>
        <v>0</v>
      </c>
      <c r="H2584" s="775"/>
    </row>
    <row r="2585" spans="1:8">
      <c r="A2585" s="1519"/>
      <c r="B2585" s="1520"/>
      <c r="C2585" s="1521" t="s">
        <v>1658</v>
      </c>
      <c r="D2585" s="1522"/>
      <c r="E2585" s="1523">
        <f>SUM(E2586:E2595)</f>
        <v>3313.9266666666663</v>
      </c>
      <c r="F2585" s="1524"/>
      <c r="G2585" s="1525"/>
      <c r="H2585" s="775">
        <f>E2586+E2589</f>
        <v>1088.92</v>
      </c>
    </row>
    <row r="2586" spans="1:8">
      <c r="A2586" s="1527">
        <v>46143</v>
      </c>
      <c r="B2586" s="793" t="s">
        <v>14018</v>
      </c>
      <c r="C2586" s="794" t="s">
        <v>13590</v>
      </c>
      <c r="D2586" s="795"/>
      <c r="E2586" s="796">
        <v>788.92</v>
      </c>
      <c r="F2586" s="797" t="s">
        <v>9</v>
      </c>
      <c r="G2586" s="1528">
        <f>IF(F2586="X",0,E2586)</f>
        <v>0</v>
      </c>
      <c r="H2586" s="775"/>
    </row>
    <row r="2587" spans="1:8">
      <c r="A2587" s="1526">
        <v>46143</v>
      </c>
      <c r="B2587" s="337" t="s">
        <v>14033</v>
      </c>
      <c r="C2587" s="776" t="s">
        <v>13402</v>
      </c>
      <c r="D2587" s="134"/>
      <c r="E2587" s="135">
        <v>81.03</v>
      </c>
      <c r="F2587" s="46" t="s">
        <v>9</v>
      </c>
      <c r="G2587" s="857">
        <f t="shared" ref="G2587:G2595" si="191">IF(F2587="X",0,E2587)</f>
        <v>0</v>
      </c>
      <c r="H2587" s="775"/>
    </row>
    <row r="2588" spans="1:8">
      <c r="A2588" s="1526">
        <v>46143</v>
      </c>
      <c r="B2588" s="337" t="s">
        <v>14037</v>
      </c>
      <c r="C2588" s="776" t="s">
        <v>13397</v>
      </c>
      <c r="D2588" s="134"/>
      <c r="E2588" s="135">
        <v>438</v>
      </c>
      <c r="F2588" s="46" t="s">
        <v>9</v>
      </c>
      <c r="G2588" s="857">
        <f t="shared" si="191"/>
        <v>0</v>
      </c>
      <c r="H2588" s="775"/>
    </row>
    <row r="2589" spans="1:8">
      <c r="A2589" s="1527">
        <v>46143</v>
      </c>
      <c r="B2589" s="793" t="s">
        <v>14041</v>
      </c>
      <c r="C2589" s="794" t="s">
        <v>13555</v>
      </c>
      <c r="D2589" s="795"/>
      <c r="E2589" s="796">
        <v>300</v>
      </c>
      <c r="F2589" s="797" t="s">
        <v>9</v>
      </c>
      <c r="G2589" s="1528">
        <f t="shared" si="191"/>
        <v>0</v>
      </c>
      <c r="H2589" s="775"/>
    </row>
    <row r="2590" spans="1:8">
      <c r="A2590" s="1526">
        <v>46143</v>
      </c>
      <c r="B2590" s="337" t="s">
        <v>14045</v>
      </c>
      <c r="C2590" s="776" t="s">
        <v>13521</v>
      </c>
      <c r="D2590" s="134"/>
      <c r="E2590" s="135">
        <v>354.76666666666665</v>
      </c>
      <c r="F2590" s="46" t="s">
        <v>9</v>
      </c>
      <c r="G2590" s="857">
        <f t="shared" si="191"/>
        <v>0</v>
      </c>
      <c r="H2590" s="775"/>
    </row>
    <row r="2591" spans="1:8">
      <c r="A2591" s="1526">
        <v>46143</v>
      </c>
      <c r="B2591" s="337" t="s">
        <v>14046</v>
      </c>
      <c r="C2591" s="776" t="s">
        <v>13521</v>
      </c>
      <c r="D2591" s="134"/>
      <c r="E2591" s="135">
        <v>169</v>
      </c>
      <c r="F2591" s="46" t="s">
        <v>9</v>
      </c>
      <c r="G2591" s="857">
        <f t="shared" si="191"/>
        <v>0</v>
      </c>
      <c r="H2591" s="775"/>
    </row>
    <row r="2592" spans="1:8">
      <c r="A2592" s="1526">
        <v>46143</v>
      </c>
      <c r="B2592" s="337" t="s">
        <v>14047</v>
      </c>
      <c r="C2592" s="776" t="s">
        <v>13437</v>
      </c>
      <c r="D2592" s="134"/>
      <c r="E2592" s="135">
        <v>573.66999999999996</v>
      </c>
      <c r="F2592" s="46" t="s">
        <v>9</v>
      </c>
      <c r="G2592" s="857">
        <f t="shared" si="191"/>
        <v>0</v>
      </c>
      <c r="H2592" s="775"/>
    </row>
    <row r="2593" spans="1:8">
      <c r="A2593" s="1526">
        <v>46143</v>
      </c>
      <c r="B2593" s="337" t="s">
        <v>14048</v>
      </c>
      <c r="C2593" s="776" t="s">
        <v>13479</v>
      </c>
      <c r="D2593" s="134"/>
      <c r="E2593" s="135">
        <v>194.14</v>
      </c>
      <c r="F2593" s="46" t="s">
        <v>9</v>
      </c>
      <c r="G2593" s="857">
        <f t="shared" si="191"/>
        <v>0</v>
      </c>
      <c r="H2593" s="775"/>
    </row>
    <row r="2594" spans="1:8">
      <c r="A2594" s="1526">
        <v>46143</v>
      </c>
      <c r="B2594" s="337" t="s">
        <v>14049</v>
      </c>
      <c r="C2594" s="776" t="s">
        <v>13521</v>
      </c>
      <c r="D2594" s="134"/>
      <c r="E2594" s="135">
        <v>250</v>
      </c>
      <c r="F2594" s="46" t="s">
        <v>9</v>
      </c>
      <c r="G2594" s="857">
        <f t="shared" si="191"/>
        <v>0</v>
      </c>
      <c r="H2594" s="775"/>
    </row>
    <row r="2595" spans="1:8">
      <c r="A2595" s="1526">
        <v>46157</v>
      </c>
      <c r="B2595" s="337" t="s">
        <v>14044</v>
      </c>
      <c r="C2595" s="776" t="s">
        <v>13380</v>
      </c>
      <c r="D2595" s="134"/>
      <c r="E2595" s="135">
        <v>164.4</v>
      </c>
      <c r="F2595" s="46" t="s">
        <v>9</v>
      </c>
      <c r="G2595" s="857">
        <f t="shared" si="191"/>
        <v>0</v>
      </c>
      <c r="H2595" s="775"/>
    </row>
    <row r="2596" spans="1:8">
      <c r="A2596" s="1519"/>
      <c r="B2596" s="1520"/>
      <c r="C2596" s="1521" t="s">
        <v>14050</v>
      </c>
      <c r="D2596" s="1522"/>
      <c r="E2596" s="1523">
        <f>SUM(E2597:E2606)</f>
        <v>2225.0066666666667</v>
      </c>
      <c r="F2596" s="1524"/>
      <c r="G2596" s="1525"/>
      <c r="H2596" s="775">
        <f>E2602</f>
        <v>194.14</v>
      </c>
    </row>
    <row r="2597" spans="1:8">
      <c r="A2597" s="1526">
        <v>46174</v>
      </c>
      <c r="B2597" s="337" t="s">
        <v>14033</v>
      </c>
      <c r="C2597" s="776" t="s">
        <v>13409</v>
      </c>
      <c r="D2597" s="134"/>
      <c r="E2597" s="135">
        <v>81.03</v>
      </c>
      <c r="F2597" s="46"/>
      <c r="G2597" s="857">
        <f t="shared" ref="G2597:G2605" si="192">IF(F2597="X",0,E2597)</f>
        <v>81.03</v>
      </c>
      <c r="H2597" s="775"/>
    </row>
    <row r="2598" spans="1:8">
      <c r="A2598" s="1526">
        <v>46174</v>
      </c>
      <c r="B2598" s="337" t="s">
        <v>14037</v>
      </c>
      <c r="C2598" s="776" t="s">
        <v>13402</v>
      </c>
      <c r="D2598" s="134"/>
      <c r="E2598" s="135">
        <v>438</v>
      </c>
      <c r="F2598" s="46"/>
      <c r="G2598" s="857">
        <f t="shared" si="192"/>
        <v>438</v>
      </c>
      <c r="H2598" s="775"/>
    </row>
    <row r="2599" spans="1:8">
      <c r="A2599" s="1526">
        <v>46174</v>
      </c>
      <c r="B2599" s="337" t="s">
        <v>14045</v>
      </c>
      <c r="C2599" s="776" t="s">
        <v>13531</v>
      </c>
      <c r="D2599" s="134"/>
      <c r="E2599" s="135">
        <v>354.76666666666665</v>
      </c>
      <c r="F2599" s="46"/>
      <c r="G2599" s="857">
        <f t="shared" si="192"/>
        <v>354.76666666666665</v>
      </c>
      <c r="H2599" s="775"/>
    </row>
    <row r="2600" spans="1:8">
      <c r="A2600" s="1526">
        <v>46174</v>
      </c>
      <c r="B2600" s="337" t="s">
        <v>14046</v>
      </c>
      <c r="C2600" s="776" t="s">
        <v>13531</v>
      </c>
      <c r="D2600" s="134"/>
      <c r="E2600" s="135">
        <v>169</v>
      </c>
      <c r="F2600" s="46"/>
      <c r="G2600" s="857">
        <f t="shared" si="192"/>
        <v>169</v>
      </c>
      <c r="H2600" s="775"/>
    </row>
    <row r="2601" spans="1:8">
      <c r="A2601" s="1526">
        <v>46174</v>
      </c>
      <c r="B2601" s="337" t="s">
        <v>14047</v>
      </c>
      <c r="C2601" s="776" t="s">
        <v>13443</v>
      </c>
      <c r="D2601" s="134"/>
      <c r="E2601" s="135">
        <v>573.66999999999996</v>
      </c>
      <c r="F2601" s="46"/>
      <c r="G2601" s="857">
        <f t="shared" si="192"/>
        <v>573.66999999999996</v>
      </c>
      <c r="H2601" s="775"/>
    </row>
    <row r="2602" spans="1:8">
      <c r="A2602" s="1527">
        <v>46174</v>
      </c>
      <c r="B2602" s="793" t="s">
        <v>14048</v>
      </c>
      <c r="C2602" s="794" t="s">
        <v>13485</v>
      </c>
      <c r="D2602" s="795"/>
      <c r="E2602" s="796">
        <v>194.14</v>
      </c>
      <c r="F2602" s="797"/>
      <c r="G2602" s="1528">
        <f t="shared" si="192"/>
        <v>194.14</v>
      </c>
      <c r="H2602" s="775"/>
    </row>
    <row r="2603" spans="1:8">
      <c r="A2603" s="1526">
        <v>46174</v>
      </c>
      <c r="B2603" s="337" t="s">
        <v>14049</v>
      </c>
      <c r="C2603" s="776" t="s">
        <v>13531</v>
      </c>
      <c r="D2603" s="134"/>
      <c r="E2603" s="135">
        <v>250</v>
      </c>
      <c r="F2603" s="46"/>
      <c r="G2603" s="857">
        <f t="shared" si="192"/>
        <v>250</v>
      </c>
      <c r="H2603" s="775"/>
    </row>
    <row r="2604" spans="1:8">
      <c r="A2604" s="1526"/>
      <c r="B2604" s="337"/>
      <c r="C2604" s="776"/>
      <c r="D2604" s="134"/>
      <c r="E2604" s="135"/>
      <c r="F2604" s="46"/>
      <c r="G2604" s="857"/>
      <c r="H2604" s="775"/>
    </row>
    <row r="2605" spans="1:8">
      <c r="A2605" s="1526">
        <v>46188</v>
      </c>
      <c r="B2605" s="337" t="s">
        <v>14044</v>
      </c>
      <c r="C2605" s="776" t="s">
        <v>13384</v>
      </c>
      <c r="D2605" s="134"/>
      <c r="E2605" s="135">
        <v>164.4</v>
      </c>
      <c r="F2605" s="46"/>
      <c r="G2605" s="857">
        <f t="shared" si="192"/>
        <v>164.4</v>
      </c>
      <c r="H2605" s="775"/>
    </row>
    <row r="2606" spans="1:8" ht="14.25" thickBot="1">
      <c r="A2606" s="1526"/>
      <c r="B2606" s="337"/>
      <c r="C2606" s="776"/>
      <c r="D2606" s="134"/>
      <c r="E2606" s="135"/>
      <c r="F2606" s="46"/>
      <c r="G2606" s="857"/>
      <c r="H2606" s="775"/>
    </row>
    <row r="2607" spans="1:8">
      <c r="A2607" s="1519"/>
      <c r="B2607" s="1520"/>
      <c r="C2607" s="1521" t="s">
        <v>1660</v>
      </c>
      <c r="D2607" s="1522"/>
      <c r="E2607" s="1523">
        <f>SUM(E2608:E2617)</f>
        <v>2030.8666666666668</v>
      </c>
      <c r="F2607" s="1524"/>
      <c r="G2607" s="1525"/>
      <c r="H2607" s="775">
        <f>E2609+E2611+E2612+E2614</f>
        <v>854.79666666666662</v>
      </c>
    </row>
    <row r="2608" spans="1:8">
      <c r="A2608" s="1526"/>
      <c r="B2608" s="337"/>
      <c r="C2608" s="776"/>
      <c r="D2608" s="134"/>
      <c r="E2608" s="135"/>
      <c r="F2608" s="46"/>
      <c r="G2608" s="857"/>
      <c r="H2608" s="775"/>
    </row>
    <row r="2609" spans="1:8">
      <c r="A2609" s="1527">
        <v>46204</v>
      </c>
      <c r="B2609" s="793" t="s">
        <v>14033</v>
      </c>
      <c r="C2609" s="794" t="s">
        <v>13414</v>
      </c>
      <c r="D2609" s="795"/>
      <c r="E2609" s="796">
        <v>81.03</v>
      </c>
      <c r="F2609" s="797"/>
      <c r="G2609" s="1528">
        <f t="shared" ref="G2609:G2616" si="193">IF(F2609="X",0,E2609)</f>
        <v>81.03</v>
      </c>
      <c r="H2609" s="775"/>
    </row>
    <row r="2610" spans="1:8">
      <c r="A2610" s="1526">
        <v>46204</v>
      </c>
      <c r="B2610" s="337" t="s">
        <v>14037</v>
      </c>
      <c r="C2610" s="776" t="s">
        <v>13409</v>
      </c>
      <c r="D2610" s="134"/>
      <c r="E2610" s="135">
        <v>438</v>
      </c>
      <c r="F2610" s="46"/>
      <c r="G2610" s="857">
        <f t="shared" si="193"/>
        <v>438</v>
      </c>
      <c r="H2610" s="775"/>
    </row>
    <row r="2611" spans="1:8">
      <c r="A2611" s="1527">
        <v>46204</v>
      </c>
      <c r="B2611" s="793" t="s">
        <v>14045</v>
      </c>
      <c r="C2611" s="794" t="s">
        <v>13538</v>
      </c>
      <c r="D2611" s="795"/>
      <c r="E2611" s="796">
        <v>354.76666666666665</v>
      </c>
      <c r="F2611" s="797"/>
      <c r="G2611" s="1528">
        <f t="shared" si="193"/>
        <v>354.76666666666665</v>
      </c>
      <c r="H2611" s="775"/>
    </row>
    <row r="2612" spans="1:8">
      <c r="A2612" s="1527">
        <v>46204</v>
      </c>
      <c r="B2612" s="793" t="s">
        <v>14046</v>
      </c>
      <c r="C2612" s="794" t="s">
        <v>13538</v>
      </c>
      <c r="D2612" s="795"/>
      <c r="E2612" s="796">
        <v>169</v>
      </c>
      <c r="F2612" s="797"/>
      <c r="G2612" s="1528">
        <f t="shared" si="193"/>
        <v>169</v>
      </c>
      <c r="H2612" s="775"/>
    </row>
    <row r="2613" spans="1:8">
      <c r="A2613" s="1526">
        <v>46204</v>
      </c>
      <c r="B2613" s="337" t="s">
        <v>14047</v>
      </c>
      <c r="C2613" s="776" t="s">
        <v>13448</v>
      </c>
      <c r="D2613" s="134"/>
      <c r="E2613" s="135">
        <v>573.66999999999996</v>
      </c>
      <c r="F2613" s="46"/>
      <c r="G2613" s="857">
        <f t="shared" si="193"/>
        <v>573.66999999999996</v>
      </c>
      <c r="H2613" s="775"/>
    </row>
    <row r="2614" spans="1:8">
      <c r="A2614" s="1527">
        <v>46204</v>
      </c>
      <c r="B2614" s="793" t="s">
        <v>14049</v>
      </c>
      <c r="C2614" s="794" t="s">
        <v>13538</v>
      </c>
      <c r="D2614" s="795"/>
      <c r="E2614" s="796">
        <v>250</v>
      </c>
      <c r="F2614" s="797"/>
      <c r="G2614" s="1528">
        <f t="shared" si="193"/>
        <v>250</v>
      </c>
      <c r="H2614" s="775"/>
    </row>
    <row r="2615" spans="1:8">
      <c r="A2615" s="1526"/>
      <c r="B2615" s="337"/>
      <c r="C2615" s="776"/>
      <c r="D2615" s="134"/>
      <c r="E2615" s="135"/>
      <c r="F2615" s="46"/>
      <c r="G2615" s="857"/>
      <c r="H2615" s="775"/>
    </row>
    <row r="2616" spans="1:8">
      <c r="A2616" s="1526">
        <v>46218</v>
      </c>
      <c r="B2616" s="337" t="s">
        <v>14044</v>
      </c>
      <c r="C2616" s="776" t="s">
        <v>13387</v>
      </c>
      <c r="D2616" s="134"/>
      <c r="E2616" s="135">
        <v>164.4</v>
      </c>
      <c r="F2616" s="46"/>
      <c r="G2616" s="857">
        <f t="shared" si="193"/>
        <v>164.4</v>
      </c>
      <c r="H2616" s="775"/>
    </row>
    <row r="2617" spans="1:8" ht="14.25" thickBot="1">
      <c r="A2617" s="1526"/>
      <c r="B2617" s="337"/>
      <c r="C2617" s="776"/>
      <c r="D2617" s="134"/>
      <c r="E2617" s="135"/>
      <c r="F2617" s="46"/>
      <c r="G2617" s="857"/>
      <c r="H2617" s="775"/>
    </row>
    <row r="2618" spans="1:8">
      <c r="A2618" s="1519"/>
      <c r="B2618" s="1520"/>
      <c r="C2618" s="1521" t="s">
        <v>11627</v>
      </c>
      <c r="D2618" s="1522"/>
      <c r="E2618" s="1523">
        <f>SUM(E2619:E2624)</f>
        <v>1176.07</v>
      </c>
      <c r="F2618" s="1524"/>
      <c r="G2618" s="1525"/>
      <c r="H2618" s="775">
        <f>E2620</f>
        <v>438</v>
      </c>
    </row>
    <row r="2619" spans="1:8">
      <c r="A2619" s="1526"/>
      <c r="B2619" s="337"/>
      <c r="C2619" s="776"/>
      <c r="D2619" s="134"/>
      <c r="E2619" s="135"/>
      <c r="F2619" s="46"/>
      <c r="G2619" s="857"/>
      <c r="H2619" s="775"/>
    </row>
    <row r="2620" spans="1:8">
      <c r="A2620" s="1527">
        <v>46235</v>
      </c>
      <c r="B2620" s="793" t="s">
        <v>14037</v>
      </c>
      <c r="C2620" s="794" t="s">
        <v>13414</v>
      </c>
      <c r="D2620" s="795"/>
      <c r="E2620" s="796">
        <v>438</v>
      </c>
      <c r="F2620" s="797"/>
      <c r="G2620" s="1528">
        <f t="shared" ref="G2620:G2623" si="194">IF(F2620="X",0,E2620)</f>
        <v>438</v>
      </c>
      <c r="H2620" s="775"/>
    </row>
    <row r="2621" spans="1:8">
      <c r="A2621" s="1526">
        <v>46235</v>
      </c>
      <c r="B2621" s="337" t="s">
        <v>14047</v>
      </c>
      <c r="C2621" s="776" t="s">
        <v>13454</v>
      </c>
      <c r="D2621" s="134"/>
      <c r="E2621" s="135">
        <v>573.66999999999996</v>
      </c>
      <c r="F2621" s="46"/>
      <c r="G2621" s="857">
        <f t="shared" si="194"/>
        <v>573.66999999999996</v>
      </c>
      <c r="H2621" s="775"/>
    </row>
    <row r="2622" spans="1:8">
      <c r="A2622" s="1526"/>
      <c r="B2622" s="337"/>
      <c r="C2622" s="776"/>
      <c r="D2622" s="134"/>
      <c r="E2622" s="135"/>
      <c r="F2622" s="46"/>
      <c r="G2622" s="857"/>
      <c r="H2622" s="775"/>
    </row>
    <row r="2623" spans="1:8">
      <c r="A2623" s="1526">
        <v>46249</v>
      </c>
      <c r="B2623" s="337" t="s">
        <v>14044</v>
      </c>
      <c r="C2623" s="776" t="s">
        <v>13397</v>
      </c>
      <c r="D2623" s="134"/>
      <c r="E2623" s="135">
        <v>164.4</v>
      </c>
      <c r="F2623" s="46"/>
      <c r="G2623" s="857">
        <f t="shared" si="194"/>
        <v>164.4</v>
      </c>
      <c r="H2623" s="775"/>
    </row>
    <row r="2624" spans="1:8" ht="14.25" thickBot="1">
      <c r="A2624" s="1526"/>
      <c r="B2624" s="337"/>
      <c r="C2624" s="776"/>
      <c r="D2624" s="134"/>
      <c r="E2624" s="135"/>
      <c r="F2624" s="46"/>
      <c r="G2624" s="857"/>
      <c r="H2624" s="775"/>
    </row>
    <row r="2625" spans="1:8">
      <c r="A2625" s="1519"/>
      <c r="B2625" s="1520"/>
      <c r="C2625" s="1521" t="s">
        <v>1662</v>
      </c>
      <c r="D2625" s="1522"/>
      <c r="E2625" s="1523">
        <f>SUM(E2626:E2630)</f>
        <v>738.06999999999994</v>
      </c>
      <c r="F2625" s="1524"/>
      <c r="G2625" s="1525"/>
      <c r="H2625" s="775">
        <f>E2633</f>
        <v>573.66999999999996</v>
      </c>
    </row>
    <row r="2626" spans="1:8">
      <c r="A2626" s="1526"/>
      <c r="B2626" s="337"/>
      <c r="C2626" s="776"/>
      <c r="D2626" s="134"/>
      <c r="E2626" s="135"/>
      <c r="F2626" s="46"/>
      <c r="G2626" s="857"/>
      <c r="H2626" s="775"/>
    </row>
    <row r="2627" spans="1:8">
      <c r="A2627" s="1526">
        <v>46266</v>
      </c>
      <c r="B2627" s="337" t="s">
        <v>14047</v>
      </c>
      <c r="C2627" s="776" t="s">
        <v>13467</v>
      </c>
      <c r="D2627" s="134"/>
      <c r="E2627" s="135">
        <v>573.66999999999996</v>
      </c>
      <c r="F2627" s="46"/>
      <c r="G2627" s="857">
        <f t="shared" ref="G2627" si="195">IF(F2627="X",0,E2627)</f>
        <v>573.66999999999996</v>
      </c>
      <c r="H2627" s="775"/>
    </row>
    <row r="2628" spans="1:8">
      <c r="A2628" s="1526"/>
      <c r="B2628" s="337"/>
      <c r="C2628" s="776"/>
      <c r="D2628" s="134"/>
      <c r="E2628" s="135"/>
      <c r="F2628" s="46"/>
      <c r="G2628" s="857"/>
      <c r="H2628" s="775"/>
    </row>
    <row r="2629" spans="1:8">
      <c r="A2629" s="1526">
        <v>46280</v>
      </c>
      <c r="B2629" s="337" t="s">
        <v>14044</v>
      </c>
      <c r="C2629" s="776" t="s">
        <v>13402</v>
      </c>
      <c r="D2629" s="134"/>
      <c r="E2629" s="135">
        <v>164.4</v>
      </c>
      <c r="F2629" s="46"/>
      <c r="G2629" s="857">
        <f t="shared" ref="G2629" si="196">IF(F2629="X",0,E2629)</f>
        <v>164.4</v>
      </c>
      <c r="H2629" s="775"/>
    </row>
    <row r="2630" spans="1:8" ht="14.25" thickBot="1">
      <c r="A2630" s="1526"/>
      <c r="B2630" s="337"/>
      <c r="C2630" s="776"/>
      <c r="D2630" s="134"/>
      <c r="E2630" s="135"/>
      <c r="F2630" s="46"/>
      <c r="G2630" s="857"/>
      <c r="H2630" s="775"/>
    </row>
    <row r="2631" spans="1:8">
      <c r="A2631" s="1519"/>
      <c r="B2631" s="1520"/>
      <c r="C2631" s="1521" t="s">
        <v>14051</v>
      </c>
      <c r="D2631" s="1522"/>
      <c r="E2631" s="1523">
        <f>SUM(E2632:E2636)</f>
        <v>738.06999999999994</v>
      </c>
      <c r="F2631" s="1524"/>
      <c r="G2631" s="1525"/>
      <c r="H2631" s="775"/>
    </row>
    <row r="2632" spans="1:8">
      <c r="A2632" s="1526"/>
      <c r="B2632" s="337"/>
      <c r="C2632" s="776"/>
      <c r="D2632" s="134"/>
      <c r="E2632" s="135"/>
      <c r="F2632" s="46"/>
      <c r="G2632" s="857"/>
      <c r="H2632" s="775"/>
    </row>
    <row r="2633" spans="1:8">
      <c r="A2633" s="1527">
        <v>46296</v>
      </c>
      <c r="B2633" s="793" t="s">
        <v>14047</v>
      </c>
      <c r="C2633" s="794" t="s">
        <v>13475</v>
      </c>
      <c r="D2633" s="795"/>
      <c r="E2633" s="796">
        <v>573.66999999999996</v>
      </c>
      <c r="F2633" s="797"/>
      <c r="G2633" s="1528">
        <f t="shared" ref="G2633" si="197">IF(F2633="X",0,E2633)</f>
        <v>573.66999999999996</v>
      </c>
      <c r="H2633" s="775"/>
    </row>
    <row r="2634" spans="1:8">
      <c r="A2634" s="1526"/>
      <c r="B2634" s="337"/>
      <c r="C2634" s="776"/>
      <c r="D2634" s="134"/>
      <c r="E2634" s="135"/>
      <c r="F2634" s="46"/>
      <c r="G2634" s="857"/>
      <c r="H2634" s="775"/>
    </row>
    <row r="2635" spans="1:8">
      <c r="A2635" s="1526">
        <v>46310</v>
      </c>
      <c r="B2635" s="337" t="s">
        <v>14044</v>
      </c>
      <c r="C2635" s="776" t="s">
        <v>13409</v>
      </c>
      <c r="D2635" s="134"/>
      <c r="E2635" s="135">
        <v>164.4</v>
      </c>
      <c r="F2635" s="46"/>
      <c r="G2635" s="857">
        <f t="shared" ref="G2635" si="198">IF(F2635="X",0,E2635)</f>
        <v>164.4</v>
      </c>
      <c r="H2635" s="775"/>
    </row>
    <row r="2636" spans="1:8" ht="14.25" thickBot="1">
      <c r="A2636" s="1526"/>
      <c r="B2636" s="337"/>
      <c r="C2636" s="776"/>
      <c r="D2636" s="134"/>
      <c r="E2636" s="135"/>
      <c r="F2636" s="46"/>
      <c r="G2636" s="857"/>
      <c r="H2636" s="775"/>
    </row>
    <row r="2637" spans="1:8">
      <c r="A2637" s="1519"/>
      <c r="B2637" s="1520"/>
      <c r="C2637" s="1521" t="s">
        <v>1664</v>
      </c>
      <c r="D2637" s="1522"/>
      <c r="E2637" s="1523">
        <f>SUM(E2638:E2642)</f>
        <v>164.4</v>
      </c>
      <c r="F2637" s="1524"/>
      <c r="G2637" s="1525"/>
      <c r="H2637" s="775">
        <f>E2641</f>
        <v>164.4</v>
      </c>
    </row>
    <row r="2638" spans="1:8">
      <c r="A2638" s="1526"/>
      <c r="B2638" s="337"/>
      <c r="C2638" s="776"/>
      <c r="D2638" s="134"/>
      <c r="E2638" s="135"/>
      <c r="F2638" s="46"/>
      <c r="G2638" s="857"/>
      <c r="H2638" s="775"/>
    </row>
    <row r="2639" spans="1:8">
      <c r="A2639" s="1526"/>
      <c r="B2639" s="337"/>
      <c r="C2639" s="776"/>
      <c r="D2639" s="134"/>
      <c r="E2639" s="135"/>
      <c r="F2639" s="46"/>
      <c r="G2639" s="857"/>
      <c r="H2639" s="775"/>
    </row>
    <row r="2640" spans="1:8">
      <c r="A2640" s="1526"/>
      <c r="B2640" s="337"/>
      <c r="C2640" s="776"/>
      <c r="D2640" s="134"/>
      <c r="E2640" s="135"/>
      <c r="F2640" s="46"/>
      <c r="G2640" s="857"/>
      <c r="H2640" s="775"/>
    </row>
    <row r="2641" spans="1:8">
      <c r="A2641" s="1527">
        <v>46341</v>
      </c>
      <c r="B2641" s="793" t="s">
        <v>14044</v>
      </c>
      <c r="C2641" s="794" t="s">
        <v>13414</v>
      </c>
      <c r="D2641" s="795"/>
      <c r="E2641" s="796">
        <v>164.4</v>
      </c>
      <c r="F2641" s="797"/>
      <c r="G2641" s="1528">
        <f t="shared" ref="G2641" si="199">IF(F2641="X",0,E2641)</f>
        <v>164.4</v>
      </c>
      <c r="H2641" s="775"/>
    </row>
    <row r="2642" spans="1:8" ht="14.25" thickBot="1">
      <c r="A2642" s="1526"/>
      <c r="B2642" s="337"/>
      <c r="C2642" s="776"/>
      <c r="D2642" s="134"/>
      <c r="E2642" s="135"/>
      <c r="F2642" s="46"/>
      <c r="G2642" s="857"/>
      <c r="H2642" s="775"/>
    </row>
    <row r="2643" spans="1:8">
      <c r="A2643" s="1519"/>
      <c r="B2643" s="1520"/>
      <c r="C2643" s="1521" t="s">
        <v>11631</v>
      </c>
      <c r="D2643" s="1522"/>
      <c r="E2643" s="1523">
        <f>SUM(E2644:E2648)</f>
        <v>0</v>
      </c>
      <c r="F2643" s="1524"/>
      <c r="G2643" s="1525"/>
      <c r="H2643" s="775"/>
    </row>
    <row r="2644" spans="1:8">
      <c r="A2644" s="1526"/>
      <c r="B2644" s="337"/>
      <c r="C2644" s="776"/>
      <c r="D2644" s="134"/>
      <c r="E2644" s="135"/>
      <c r="F2644" s="46"/>
      <c r="G2644" s="857"/>
      <c r="H2644" s="775"/>
    </row>
    <row r="2645" spans="1:8">
      <c r="A2645" s="1526"/>
      <c r="B2645" s="337"/>
      <c r="C2645" s="776"/>
      <c r="D2645" s="134"/>
      <c r="E2645" s="135"/>
      <c r="F2645" s="46"/>
      <c r="G2645" s="857"/>
      <c r="H2645" s="775"/>
    </row>
    <row r="2646" spans="1:8">
      <c r="A2646" s="1526"/>
      <c r="B2646" s="337"/>
      <c r="C2646" s="776"/>
      <c r="D2646" s="134"/>
      <c r="E2646" s="135"/>
      <c r="F2646" s="46"/>
      <c r="G2646" s="857"/>
      <c r="H2646" s="775"/>
    </row>
    <row r="2647" spans="1:8">
      <c r="A2647" s="1526"/>
      <c r="B2647" s="337"/>
      <c r="C2647" s="776"/>
      <c r="D2647" s="134"/>
      <c r="E2647" s="135"/>
      <c r="F2647" s="46"/>
      <c r="G2647" s="857"/>
      <c r="H2647" s="775"/>
    </row>
    <row r="2648" spans="1:8" ht="14.25" thickBot="1">
      <c r="A2648" s="1526"/>
      <c r="B2648" s="337"/>
      <c r="C2648" s="776"/>
      <c r="D2648" s="134"/>
      <c r="E2648" s="135"/>
      <c r="F2648" s="46"/>
      <c r="G2648" s="857"/>
      <c r="H2648" s="775"/>
    </row>
    <row r="2649" spans="1:8">
      <c r="A2649" s="1519"/>
      <c r="B2649" s="1520"/>
      <c r="C2649" s="1521" t="s">
        <v>11632</v>
      </c>
      <c r="D2649" s="1522"/>
      <c r="E2649" s="1523">
        <f>SUM(E2650:E2654)</f>
        <v>0</v>
      </c>
      <c r="F2649" s="1524"/>
      <c r="G2649" s="1525"/>
      <c r="H2649" s="775"/>
    </row>
    <row r="2650" spans="1:8">
      <c r="A2650" s="1526"/>
      <c r="B2650" s="337"/>
      <c r="C2650" s="776"/>
      <c r="D2650" s="134"/>
      <c r="E2650" s="135"/>
      <c r="F2650" s="46"/>
      <c r="G2650" s="857"/>
      <c r="H2650" s="775"/>
    </row>
    <row r="2651" spans="1:8">
      <c r="A2651" s="1526"/>
      <c r="B2651" s="337"/>
      <c r="C2651" s="776"/>
      <c r="D2651" s="134"/>
      <c r="E2651" s="135"/>
      <c r="F2651" s="46"/>
      <c r="G2651" s="857"/>
      <c r="H2651" s="775"/>
    </row>
    <row r="2652" spans="1:8">
      <c r="A2652" s="1526"/>
      <c r="B2652" s="337"/>
      <c r="C2652" s="776"/>
      <c r="D2652" s="134"/>
      <c r="E2652" s="135"/>
      <c r="F2652" s="46"/>
      <c r="G2652" s="857"/>
      <c r="H2652" s="775"/>
    </row>
    <row r="2653" spans="1:8">
      <c r="A2653" s="1526"/>
      <c r="B2653" s="337"/>
      <c r="C2653" s="776"/>
      <c r="D2653" s="134"/>
      <c r="E2653" s="135"/>
      <c r="F2653" s="46"/>
      <c r="G2653" s="857"/>
      <c r="H2653" s="775"/>
    </row>
    <row r="2654" spans="1:8" ht="14.25" thickBot="1">
      <c r="A2654" s="1526"/>
      <c r="B2654" s="337"/>
      <c r="C2654" s="776"/>
      <c r="D2654" s="134"/>
      <c r="E2654" s="135"/>
      <c r="F2654" s="46"/>
      <c r="G2654" s="857"/>
      <c r="H2654" s="775"/>
    </row>
    <row r="2655" spans="1:8">
      <c r="A2655" s="1519"/>
      <c r="B2655" s="1520"/>
      <c r="C2655" s="1521" t="s">
        <v>11633</v>
      </c>
      <c r="D2655" s="1522"/>
      <c r="E2655" s="1523">
        <f>SUM(E2656:E2660)</f>
        <v>0</v>
      </c>
      <c r="F2655" s="1524"/>
      <c r="G2655" s="1525"/>
      <c r="H2655" s="775"/>
    </row>
    <row r="2656" spans="1:8">
      <c r="A2656" s="1526"/>
      <c r="B2656" s="337"/>
      <c r="C2656" s="776"/>
      <c r="D2656" s="134"/>
      <c r="E2656" s="135"/>
      <c r="F2656" s="46"/>
      <c r="G2656" s="857"/>
      <c r="H2656" s="775"/>
    </row>
    <row r="2657" spans="1:8">
      <c r="A2657" s="1526"/>
      <c r="B2657" s="337"/>
      <c r="C2657" s="776"/>
      <c r="D2657" s="134"/>
      <c r="E2657" s="135"/>
      <c r="F2657" s="46"/>
      <c r="G2657" s="857"/>
      <c r="H2657" s="775"/>
    </row>
    <row r="2658" spans="1:8">
      <c r="A2658" s="1526"/>
      <c r="B2658" s="337"/>
      <c r="C2658" s="776"/>
      <c r="D2658" s="134"/>
      <c r="E2658" s="135"/>
      <c r="F2658" s="46"/>
      <c r="G2658" s="857"/>
      <c r="H2658" s="775"/>
    </row>
    <row r="2659" spans="1:8">
      <c r="A2659" s="1526"/>
      <c r="B2659" s="337"/>
      <c r="C2659" s="776"/>
      <c r="D2659" s="134"/>
      <c r="E2659" s="135"/>
      <c r="F2659" s="46"/>
      <c r="G2659" s="857"/>
      <c r="H2659" s="775"/>
    </row>
    <row r="2660" spans="1:8" ht="14.25" thickBot="1">
      <c r="A2660" s="1526"/>
      <c r="B2660" s="337"/>
      <c r="C2660" s="776"/>
      <c r="D2660" s="134"/>
      <c r="E2660" s="135"/>
      <c r="F2660" s="46"/>
      <c r="G2660" s="857"/>
      <c r="H2660" s="775"/>
    </row>
    <row r="2661" spans="1:8">
      <c r="A2661" s="1519"/>
      <c r="B2661" s="1520"/>
      <c r="C2661" s="1521" t="s">
        <v>14052</v>
      </c>
      <c r="D2661" s="1522"/>
      <c r="E2661" s="1523">
        <f>SUM(E2662:E2666)</f>
        <v>0</v>
      </c>
      <c r="F2661" s="1524"/>
      <c r="G2661" s="1525"/>
      <c r="H2661" s="775">
        <f>E2663</f>
        <v>0</v>
      </c>
    </row>
    <row r="2662" spans="1:8">
      <c r="A2662" s="1526"/>
      <c r="B2662" s="337"/>
      <c r="C2662" s="776"/>
      <c r="D2662" s="134"/>
      <c r="E2662" s="135"/>
      <c r="F2662" s="46"/>
      <c r="G2662" s="857"/>
      <c r="H2662" s="775"/>
    </row>
    <row r="2663" spans="1:8">
      <c r="A2663" s="1526"/>
      <c r="B2663" s="337"/>
      <c r="C2663" s="776"/>
      <c r="D2663" s="134"/>
      <c r="E2663" s="135"/>
      <c r="F2663" s="46"/>
      <c r="G2663" s="857"/>
      <c r="H2663" s="775"/>
    </row>
    <row r="2664" spans="1:8">
      <c r="A2664" s="1526"/>
      <c r="B2664" s="337"/>
      <c r="C2664" s="776"/>
      <c r="D2664" s="134"/>
      <c r="E2664" s="135"/>
      <c r="F2664" s="46"/>
      <c r="G2664" s="857"/>
      <c r="H2664" s="775"/>
    </row>
    <row r="2665" spans="1:8">
      <c r="A2665" s="1526"/>
      <c r="B2665" s="337"/>
      <c r="C2665" s="776"/>
      <c r="D2665" s="134"/>
      <c r="E2665" s="135"/>
      <c r="F2665" s="46"/>
      <c r="G2665" s="857"/>
      <c r="H2665" s="775"/>
    </row>
    <row r="2666" spans="1:8" ht="14.25" thickBot="1">
      <c r="A2666" s="1526"/>
      <c r="B2666" s="337"/>
      <c r="C2666" s="776"/>
      <c r="D2666" s="134"/>
      <c r="E2666" s="135"/>
      <c r="F2666" s="46"/>
      <c r="G2666" s="857"/>
      <c r="H2666" s="775"/>
    </row>
    <row r="2667" spans="1:8">
      <c r="A2667" s="1519"/>
      <c r="B2667" s="1520"/>
      <c r="C2667" s="1521" t="s">
        <v>14053</v>
      </c>
      <c r="D2667" s="1522"/>
      <c r="E2667" s="1523">
        <f>SUM(E2668:E2673)</f>
        <v>0</v>
      </c>
      <c r="F2667" s="1524"/>
      <c r="G2667" s="1525"/>
      <c r="H2667" s="775"/>
    </row>
    <row r="2668" spans="1:8">
      <c r="A2668" s="1526"/>
      <c r="B2668" s="337"/>
      <c r="C2668" s="776"/>
      <c r="D2668" s="134"/>
      <c r="E2668" s="135"/>
      <c r="F2668" s="46"/>
      <c r="G2668" s="857"/>
      <c r="H2668" s="775"/>
    </row>
    <row r="2669" spans="1:8">
      <c r="A2669" s="1526"/>
      <c r="B2669" s="337"/>
      <c r="C2669" s="776"/>
      <c r="D2669" s="134"/>
      <c r="E2669" s="135"/>
      <c r="F2669" s="46"/>
      <c r="G2669" s="857"/>
      <c r="H2669" s="775"/>
    </row>
    <row r="2670" spans="1:8">
      <c r="A2670" s="1526"/>
      <c r="B2670" s="337"/>
      <c r="C2670" s="776"/>
      <c r="D2670" s="134"/>
      <c r="E2670" s="135"/>
      <c r="F2670" s="46"/>
      <c r="G2670" s="857"/>
      <c r="H2670" s="775"/>
    </row>
    <row r="2671" spans="1:8">
      <c r="A2671" s="1526"/>
      <c r="B2671" s="337"/>
      <c r="C2671" s="776"/>
      <c r="D2671" s="134"/>
      <c r="E2671" s="135"/>
      <c r="F2671" s="46"/>
      <c r="G2671" s="857"/>
      <c r="H2671" s="775"/>
    </row>
    <row r="2672" spans="1:8">
      <c r="A2672" s="1526"/>
      <c r="B2672" s="337"/>
      <c r="C2672" s="776"/>
      <c r="D2672" s="134"/>
      <c r="E2672" s="135"/>
      <c r="F2672" s="46"/>
      <c r="G2672" s="857"/>
      <c r="H2672" s="775"/>
    </row>
    <row r="2673" spans="1:8" ht="14.25" thickBot="1">
      <c r="A2673" s="1526"/>
      <c r="B2673" s="337"/>
      <c r="C2673" s="776"/>
      <c r="D2673" s="134"/>
      <c r="E2673" s="135"/>
      <c r="F2673" s="46"/>
      <c r="G2673" s="857"/>
      <c r="H2673" s="775"/>
    </row>
    <row r="2674" spans="1:8">
      <c r="A2674" s="1519"/>
      <c r="B2674" s="1520"/>
      <c r="C2674" s="1521" t="s">
        <v>14054</v>
      </c>
      <c r="D2674" s="1522"/>
      <c r="E2674" s="1523">
        <f>SUM(E2675:E2683)</f>
        <v>0</v>
      </c>
      <c r="F2674" s="1524"/>
      <c r="G2674" s="1525"/>
      <c r="H2674" s="775"/>
    </row>
    <row r="2675" spans="1:8">
      <c r="A2675" s="1526"/>
      <c r="B2675" s="337"/>
      <c r="C2675" s="776"/>
      <c r="D2675" s="134"/>
      <c r="E2675" s="135"/>
      <c r="F2675" s="46"/>
      <c r="G2675" s="857"/>
      <c r="H2675" s="775"/>
    </row>
    <row r="2676" spans="1:8">
      <c r="A2676" s="1526"/>
      <c r="B2676" s="337"/>
      <c r="C2676" s="776"/>
      <c r="D2676" s="134"/>
      <c r="E2676" s="135"/>
      <c r="F2676" s="46"/>
      <c r="G2676" s="857"/>
      <c r="H2676" s="775"/>
    </row>
    <row r="2677" spans="1:8">
      <c r="A2677" s="1526"/>
      <c r="B2677" s="337"/>
      <c r="C2677" s="776"/>
      <c r="D2677" s="134"/>
      <c r="E2677" s="135"/>
      <c r="F2677" s="46"/>
      <c r="G2677" s="857"/>
      <c r="H2677" s="775"/>
    </row>
    <row r="2678" spans="1:8">
      <c r="A2678" s="1526"/>
      <c r="B2678" s="337"/>
      <c r="C2678" s="776"/>
      <c r="D2678" s="134"/>
      <c r="E2678" s="135"/>
      <c r="F2678" s="46"/>
      <c r="G2678" s="857"/>
      <c r="H2678" s="775"/>
    </row>
    <row r="2679" spans="1:8">
      <c r="A2679" s="1526"/>
      <c r="B2679" s="337"/>
      <c r="C2679" s="776"/>
      <c r="D2679" s="134"/>
      <c r="E2679" s="135"/>
      <c r="F2679" s="46"/>
      <c r="G2679" s="857"/>
      <c r="H2679" s="775"/>
    </row>
    <row r="2680" spans="1:8">
      <c r="A2680" s="1526"/>
      <c r="B2680" s="337"/>
      <c r="C2680" s="776"/>
      <c r="D2680" s="134"/>
      <c r="E2680" s="135"/>
      <c r="F2680" s="46"/>
      <c r="G2680" s="857"/>
      <c r="H2680" s="775"/>
    </row>
    <row r="2681" spans="1:8">
      <c r="A2681" s="1526"/>
      <c r="B2681" s="337"/>
      <c r="C2681" s="776"/>
      <c r="D2681" s="134"/>
      <c r="E2681" s="135"/>
      <c r="F2681" s="46"/>
      <c r="G2681" s="857"/>
      <c r="H2681" s="775"/>
    </row>
    <row r="2682" spans="1:8">
      <c r="A2682" s="1526"/>
      <c r="B2682" s="337"/>
      <c r="C2682" s="776"/>
      <c r="D2682" s="134"/>
      <c r="E2682" s="135"/>
      <c r="F2682" s="46"/>
      <c r="G2682" s="857"/>
      <c r="H2682" s="775"/>
    </row>
    <row r="2683" spans="1:8" ht="14.25" thickBot="1">
      <c r="A2683" s="1529"/>
      <c r="B2683" s="1530"/>
      <c r="C2683" s="1535"/>
      <c r="D2683" s="1531"/>
      <c r="E2683" s="1035"/>
      <c r="F2683" s="1532"/>
      <c r="G2683" s="870"/>
      <c r="H2683" s="775"/>
    </row>
    <row r="2684" spans="1:8">
      <c r="A2684" s="1526"/>
      <c r="B2684" s="337"/>
      <c r="C2684" s="776"/>
      <c r="D2684" s="134"/>
      <c r="E2684" s="135"/>
      <c r="F2684" s="46"/>
      <c r="G2684" s="857"/>
      <c r="H2684" s="775"/>
    </row>
    <row r="2685" spans="1:8">
      <c r="A2685" s="1526"/>
      <c r="B2685" s="337"/>
      <c r="C2685" s="776"/>
      <c r="D2685" s="134"/>
      <c r="E2685" s="135"/>
      <c r="F2685" s="46"/>
      <c r="G2685" s="857"/>
      <c r="H2685" s="775"/>
    </row>
    <row r="2686" spans="1:8">
      <c r="A2686" s="1526"/>
      <c r="B2686" s="337"/>
      <c r="C2686" s="776"/>
      <c r="D2686" s="134"/>
      <c r="E2686" s="135"/>
      <c r="F2686" s="46"/>
      <c r="G2686" s="857"/>
      <c r="H2686" s="775"/>
    </row>
    <row r="2687" spans="1:8">
      <c r="A2687" s="116"/>
      <c r="B2687" s="116"/>
      <c r="C2687" s="456" t="s">
        <v>12</v>
      </c>
      <c r="D2687" s="457"/>
      <c r="E2687" s="185">
        <f>SUM(E1:E2686)/2</f>
        <v>583589.17499999993</v>
      </c>
      <c r="F2687" s="458"/>
      <c r="G2687" s="457">
        <f>SUM(G2:G2686)</f>
        <v>7924.6133333333319</v>
      </c>
      <c r="H2687" s="775"/>
    </row>
  </sheetData>
  <sheetProtection selectLockedCells="1" selectUnlockedCells="1"/>
  <pageMargins left="0.78749999999999998" right="0.78749999999999998" top="0.78749999999999998" bottom="0.78749999999999998" header="9.8611111111111108E-2" footer="9.8611111111111108E-2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Plan20"/>
  <dimension ref="A1:E315"/>
  <sheetViews>
    <sheetView workbookViewId="0">
      <pane xSplit="4" ySplit="1" topLeftCell="E286" activePane="bottomRight" state="frozen"/>
      <selection pane="bottomRight" activeCell="A294" sqref="A294:XFD294"/>
      <selection pane="bottomLeft" activeCell="A113" sqref="A113"/>
      <selection pane="topRight" activeCell="E1" sqref="E1"/>
    </sheetView>
  </sheetViews>
  <sheetFormatPr defaultRowHeight="12.75"/>
  <cols>
    <col min="1" max="1" width="13.85546875" customWidth="1"/>
    <col min="2" max="2" width="16" bestFit="1" customWidth="1"/>
    <col min="3" max="3" width="15" customWidth="1"/>
    <col min="4" max="4" width="16" customWidth="1"/>
    <col min="5" max="5" width="12.5703125" customWidth="1"/>
  </cols>
  <sheetData>
    <row r="1" spans="1:4">
      <c r="B1" t="s">
        <v>1249</v>
      </c>
      <c r="C1" t="s">
        <v>14055</v>
      </c>
      <c r="D1" t="s">
        <v>14056</v>
      </c>
    </row>
    <row r="2" spans="1:4" ht="13.5">
      <c r="A2" s="889">
        <v>37257</v>
      </c>
      <c r="B2" s="784">
        <f>SUM(Parcelamentos!E86:E87)</f>
        <v>149.53</v>
      </c>
      <c r="C2" s="784"/>
      <c r="D2" s="768" t="e">
        <f>B2-#REF!</f>
        <v>#REF!</v>
      </c>
    </row>
    <row r="3" spans="1:4" ht="13.5">
      <c r="A3" s="890">
        <v>37288</v>
      </c>
      <c r="B3" s="135">
        <f>SUM(Parcelamentos!E89:E90)</f>
        <v>172.01</v>
      </c>
      <c r="C3" s="135"/>
      <c r="D3" s="891">
        <f t="shared" ref="D3:D65" si="0">B3-B2</f>
        <v>22.47999999999999</v>
      </c>
    </row>
    <row r="4" spans="1:4" ht="13.5">
      <c r="A4" s="890">
        <v>37316</v>
      </c>
      <c r="B4" s="135">
        <f>SUM(Parcelamentos!E89:E90)</f>
        <v>172.01</v>
      </c>
      <c r="C4" s="135"/>
      <c r="D4" s="891">
        <f t="shared" si="0"/>
        <v>0</v>
      </c>
    </row>
    <row r="5" spans="1:4" ht="13.5">
      <c r="A5" s="890">
        <v>37347</v>
      </c>
      <c r="B5" s="135">
        <f>SUM(Parcelamentos!E97:E101)</f>
        <v>281.94</v>
      </c>
      <c r="C5" s="135"/>
      <c r="D5" s="891">
        <f t="shared" si="0"/>
        <v>109.93</v>
      </c>
    </row>
    <row r="6" spans="1:4" ht="13.5">
      <c r="A6" s="890">
        <v>37377</v>
      </c>
      <c r="B6" s="135">
        <f>SUM(Parcelamentos!E103:E105)</f>
        <v>172.11</v>
      </c>
      <c r="C6" s="135"/>
      <c r="D6" s="891">
        <f t="shared" si="0"/>
        <v>-109.82999999999998</v>
      </c>
    </row>
    <row r="7" spans="1:4" ht="13.5">
      <c r="A7" s="890">
        <v>37408</v>
      </c>
      <c r="B7" s="135">
        <f>SUM(Parcelamentos!E107:E110)</f>
        <v>248.01</v>
      </c>
      <c r="C7" s="135"/>
      <c r="D7" s="891">
        <f t="shared" si="0"/>
        <v>75.899999999999977</v>
      </c>
    </row>
    <row r="8" spans="1:4" ht="13.5">
      <c r="A8" s="890">
        <v>37438</v>
      </c>
      <c r="B8" s="135">
        <f>SUM(Parcelamentos!E112:E117)</f>
        <v>291.81</v>
      </c>
      <c r="C8" s="135"/>
      <c r="D8" s="891">
        <f t="shared" si="0"/>
        <v>43.800000000000011</v>
      </c>
    </row>
    <row r="9" spans="1:4" ht="13.5">
      <c r="A9" s="890">
        <v>37469</v>
      </c>
      <c r="B9" s="135">
        <f>SUM(Parcelamentos!E119:E125)</f>
        <v>317.31</v>
      </c>
      <c r="C9" s="135"/>
      <c r="D9" s="891">
        <f t="shared" si="0"/>
        <v>25.5</v>
      </c>
    </row>
    <row r="10" spans="1:4" ht="13.5">
      <c r="A10" s="890">
        <v>37500</v>
      </c>
      <c r="B10" s="135">
        <f>SUM(Parcelamentos!E127:E132)</f>
        <v>218.17</v>
      </c>
      <c r="C10" s="135"/>
      <c r="D10" s="891">
        <f t="shared" si="0"/>
        <v>-99.140000000000015</v>
      </c>
    </row>
    <row r="11" spans="1:4" ht="13.5">
      <c r="A11" s="890">
        <v>37530</v>
      </c>
      <c r="B11" s="135">
        <f>SUM(Parcelamentos!E134:E139)</f>
        <v>218.17000000000002</v>
      </c>
      <c r="C11" s="135"/>
      <c r="D11" s="891">
        <f t="shared" si="0"/>
        <v>0</v>
      </c>
    </row>
    <row r="12" spans="1:4" ht="13.5">
      <c r="A12" s="890">
        <v>37561</v>
      </c>
      <c r="B12" s="135">
        <f>SUM(Parcelamentos!E141:E144)</f>
        <v>174.24</v>
      </c>
      <c r="C12" s="135"/>
      <c r="D12" s="891">
        <f t="shared" si="0"/>
        <v>-43.930000000000007</v>
      </c>
    </row>
    <row r="13" spans="1:4" ht="13.5">
      <c r="A13" s="892">
        <v>37591</v>
      </c>
      <c r="B13" s="790">
        <f>SUM(Parcelamentos!E146:E148)</f>
        <v>199.8</v>
      </c>
      <c r="C13" s="790"/>
      <c r="D13" s="1003">
        <f t="shared" si="0"/>
        <v>25.560000000000002</v>
      </c>
    </row>
    <row r="14" spans="1:4" ht="13.5">
      <c r="A14" s="889">
        <v>37622</v>
      </c>
      <c r="B14" s="784">
        <f>SUM(Parcelamentos!E150:E153)</f>
        <v>319.72000000000003</v>
      </c>
      <c r="C14" s="784"/>
      <c r="D14" s="768">
        <f t="shared" si="0"/>
        <v>119.92000000000002</v>
      </c>
    </row>
    <row r="15" spans="1:4" ht="13.5">
      <c r="A15" s="890">
        <v>37653</v>
      </c>
      <c r="B15" s="135">
        <f>SUM(Parcelamentos!E155:E158)</f>
        <v>404.42</v>
      </c>
      <c r="C15" s="135"/>
      <c r="D15" s="891">
        <f t="shared" si="0"/>
        <v>84.699999999999989</v>
      </c>
    </row>
    <row r="16" spans="1:4" ht="13.5">
      <c r="A16" s="890">
        <v>37681</v>
      </c>
      <c r="B16" s="135">
        <f>SUM(Parcelamentos!E160:E162)</f>
        <v>284.05</v>
      </c>
      <c r="C16" s="135"/>
      <c r="D16" s="891">
        <f t="shared" si="0"/>
        <v>-120.37</v>
      </c>
    </row>
    <row r="17" spans="1:4" ht="13.5">
      <c r="A17" s="890">
        <v>37712</v>
      </c>
      <c r="B17" s="135">
        <f>SUM(Parcelamentos!E164:E165)</f>
        <v>234.15</v>
      </c>
      <c r="C17" s="135"/>
      <c r="D17" s="891">
        <f t="shared" si="0"/>
        <v>-49.900000000000006</v>
      </c>
    </row>
    <row r="18" spans="1:4" ht="13.5">
      <c r="A18" s="890">
        <v>37742</v>
      </c>
      <c r="B18" s="135">
        <f>SUM(Parcelamentos!E167:E168)</f>
        <v>228.71</v>
      </c>
      <c r="C18" s="135"/>
      <c r="D18" s="891">
        <f t="shared" si="0"/>
        <v>-5.4399999999999977</v>
      </c>
    </row>
    <row r="19" spans="1:4" ht="13.5">
      <c r="A19" s="890">
        <v>37773</v>
      </c>
      <c r="B19" s="135">
        <f>SUM(Parcelamentos!E170:E172)</f>
        <v>254.56</v>
      </c>
      <c r="C19" s="135"/>
      <c r="D19" s="891">
        <f t="shared" si="0"/>
        <v>25.849999999999994</v>
      </c>
    </row>
    <row r="20" spans="1:4" ht="13.5">
      <c r="A20" s="890">
        <v>37803</v>
      </c>
      <c r="B20" s="135">
        <f>SUM(Parcelamentos!E174:E176)</f>
        <v>254.56</v>
      </c>
      <c r="C20" s="135"/>
      <c r="D20" s="891">
        <f t="shared" si="0"/>
        <v>0</v>
      </c>
    </row>
    <row r="21" spans="1:4" ht="13.5">
      <c r="A21" s="890">
        <v>37834</v>
      </c>
      <c r="B21" s="135">
        <f>SUM(Parcelamentos!E178)</f>
        <v>192.15</v>
      </c>
      <c r="C21" s="135"/>
      <c r="D21" s="891">
        <f t="shared" si="0"/>
        <v>-62.41</v>
      </c>
    </row>
    <row r="22" spans="1:4" ht="13.5">
      <c r="A22" s="890">
        <v>37865</v>
      </c>
      <c r="B22" s="135">
        <f>SUM(Parcelamentos!E180)</f>
        <v>192.15</v>
      </c>
      <c r="C22" s="135"/>
      <c r="D22" s="891">
        <f t="shared" si="0"/>
        <v>0</v>
      </c>
    </row>
    <row r="23" spans="1:4" ht="13.5">
      <c r="A23" s="890">
        <v>37895</v>
      </c>
      <c r="B23" s="135">
        <f>SUM(Parcelamentos!E182)</f>
        <v>192.15</v>
      </c>
      <c r="C23" s="135"/>
      <c r="D23" s="891">
        <f t="shared" si="0"/>
        <v>0</v>
      </c>
    </row>
    <row r="24" spans="1:4" ht="13.5">
      <c r="A24" s="890">
        <v>37926</v>
      </c>
      <c r="B24" s="135">
        <f>SUM(Parcelamentos!E184:E185)</f>
        <v>220.81</v>
      </c>
      <c r="C24" s="135"/>
      <c r="D24" s="891">
        <f t="shared" si="0"/>
        <v>28.659999999999997</v>
      </c>
    </row>
    <row r="25" spans="1:4" ht="13.5">
      <c r="A25" s="892">
        <v>37956</v>
      </c>
      <c r="B25" s="790">
        <f>SUM(Parcelamentos!E187:E190)</f>
        <v>853.64</v>
      </c>
      <c r="C25" s="790"/>
      <c r="D25" s="1003">
        <f t="shared" si="0"/>
        <v>632.82999999999993</v>
      </c>
    </row>
    <row r="26" spans="1:4" ht="13.5">
      <c r="A26" s="889">
        <v>37987</v>
      </c>
      <c r="B26" s="784">
        <f>SUM(Parcelamentos!E192:E193)</f>
        <v>53.64</v>
      </c>
      <c r="C26" s="784"/>
      <c r="D26" s="768">
        <f t="shared" si="0"/>
        <v>-800</v>
      </c>
    </row>
    <row r="27" spans="1:4" ht="13.5">
      <c r="A27" s="890">
        <v>38018</v>
      </c>
      <c r="B27" s="135">
        <f>SUM(Parcelamentos!E195:E196)</f>
        <v>162.04</v>
      </c>
      <c r="C27" s="135"/>
      <c r="D27" s="891">
        <f t="shared" si="0"/>
        <v>108.39999999999999</v>
      </c>
    </row>
    <row r="28" spans="1:4" ht="13.5">
      <c r="A28" s="890">
        <v>38047</v>
      </c>
      <c r="B28" s="135">
        <f>SUM(Parcelamentos!E198:E200)</f>
        <v>261.62</v>
      </c>
      <c r="C28" s="135"/>
      <c r="D28" s="891">
        <f t="shared" si="0"/>
        <v>99.580000000000013</v>
      </c>
    </row>
    <row r="29" spans="1:4" ht="13.5">
      <c r="A29" s="890">
        <v>38078</v>
      </c>
      <c r="B29" s="135">
        <f>SUM(Parcelamentos!E202:E204)</f>
        <v>261.62</v>
      </c>
      <c r="C29" s="135"/>
      <c r="D29" s="891">
        <f t="shared" si="0"/>
        <v>0</v>
      </c>
    </row>
    <row r="30" spans="1:4" ht="13.5">
      <c r="A30" s="890">
        <v>38108</v>
      </c>
      <c r="B30" s="135">
        <f>SUM(Parcelamentos!E206:E207)</f>
        <v>232.68</v>
      </c>
      <c r="C30" s="135"/>
      <c r="D30" s="891">
        <f t="shared" si="0"/>
        <v>-28.939999999999998</v>
      </c>
    </row>
    <row r="31" spans="1:4" ht="13.5">
      <c r="A31" s="890">
        <v>38139</v>
      </c>
      <c r="B31" s="135">
        <f>SUM(Parcelamentos!E209:E210)</f>
        <v>176.05</v>
      </c>
      <c r="C31" s="135"/>
      <c r="D31" s="891">
        <f t="shared" si="0"/>
        <v>-56.629999999999995</v>
      </c>
    </row>
    <row r="32" spans="1:4" ht="13.5">
      <c r="A32" s="890">
        <v>38169</v>
      </c>
      <c r="B32" s="135">
        <f>SUM(Parcelamentos!E212:E213)</f>
        <v>176.05</v>
      </c>
      <c r="C32" s="135"/>
      <c r="D32" s="891">
        <f t="shared" si="0"/>
        <v>0</v>
      </c>
    </row>
    <row r="33" spans="1:4" ht="13.5">
      <c r="A33" s="890">
        <v>38200</v>
      </c>
      <c r="B33" s="135">
        <f>SUM(Parcelamentos!E215:E219)</f>
        <v>357.42</v>
      </c>
      <c r="C33" s="135"/>
      <c r="D33" s="891">
        <f t="shared" si="0"/>
        <v>181.37</v>
      </c>
    </row>
    <row r="34" spans="1:4" ht="13.5">
      <c r="A34" s="890">
        <v>38231</v>
      </c>
      <c r="B34" s="135">
        <f>SUM(Parcelamentos!E221:E226)</f>
        <v>1088.3699999999999</v>
      </c>
      <c r="C34" s="135"/>
      <c r="D34" s="891">
        <f t="shared" si="0"/>
        <v>730.94999999999982</v>
      </c>
    </row>
    <row r="35" spans="1:4" ht="13.5">
      <c r="A35" s="890">
        <v>38261</v>
      </c>
      <c r="B35" s="135">
        <f>SUM(Parcelamentos!E228:E236)</f>
        <v>1186.6200000000001</v>
      </c>
      <c r="C35" s="135">
        <f>SUM(Parcelamentos!F228:F236)</f>
        <v>0</v>
      </c>
      <c r="D35" s="891">
        <f t="shared" si="0"/>
        <v>98.250000000000227</v>
      </c>
    </row>
    <row r="36" spans="1:4" ht="13.5">
      <c r="A36" s="890">
        <v>38292</v>
      </c>
      <c r="B36" s="135">
        <f>SUM(Parcelamentos!E238:E249)</f>
        <v>1713.7899999999997</v>
      </c>
      <c r="C36" s="135">
        <f>SUM(Parcelamentos!F238:F249)</f>
        <v>0</v>
      </c>
      <c r="D36" s="891">
        <f t="shared" si="0"/>
        <v>527.16999999999962</v>
      </c>
    </row>
    <row r="37" spans="1:4" ht="13.5">
      <c r="A37" s="892">
        <v>38322</v>
      </c>
      <c r="B37" s="790">
        <f>SUM(Parcelamentos!E251:E263)</f>
        <v>1110.7399999999998</v>
      </c>
      <c r="C37" s="790">
        <f>SUM(Parcelamentos!G250:G263)</f>
        <v>0</v>
      </c>
      <c r="D37" s="1003">
        <f t="shared" si="0"/>
        <v>-603.04999999999995</v>
      </c>
    </row>
    <row r="38" spans="1:4" ht="13.5">
      <c r="A38" s="889">
        <v>38353</v>
      </c>
      <c r="B38" s="784">
        <f>SUM(Parcelamentos!E265:E275)</f>
        <v>1009.5799999999999</v>
      </c>
      <c r="C38" s="784">
        <f>SUM(Parcelamentos!G264:G275)</f>
        <v>0</v>
      </c>
      <c r="D38" s="768">
        <f t="shared" si="0"/>
        <v>-101.15999999999985</v>
      </c>
    </row>
    <row r="39" spans="1:4" ht="13.5">
      <c r="A39" s="890">
        <v>38384</v>
      </c>
      <c r="B39" s="135">
        <f>SUM(Parcelamentos!E277:E286)</f>
        <v>677.4899999999999</v>
      </c>
      <c r="C39" s="135">
        <f>SUM(Parcelamentos!G277:G286)</f>
        <v>0</v>
      </c>
      <c r="D39" s="891">
        <f t="shared" si="0"/>
        <v>-332.09000000000003</v>
      </c>
    </row>
    <row r="40" spans="1:4" ht="13.5">
      <c r="A40" s="890">
        <v>38412</v>
      </c>
      <c r="B40" s="135">
        <f>SUM(Parcelamentos!E288:E300)</f>
        <v>799.46</v>
      </c>
      <c r="C40" s="135">
        <f>SUM(Parcelamentos!G287:G300)</f>
        <v>0</v>
      </c>
      <c r="D40" s="891">
        <f t="shared" si="0"/>
        <v>121.97000000000014</v>
      </c>
    </row>
    <row r="41" spans="1:4" ht="13.5">
      <c r="A41" s="890">
        <v>38443</v>
      </c>
      <c r="B41" s="135">
        <f>SUM(Parcelamentos!E302:E316)</f>
        <v>960</v>
      </c>
      <c r="C41" s="135">
        <f>SUM(Parcelamentos!G301:G316)</f>
        <v>0</v>
      </c>
      <c r="D41" s="891">
        <f t="shared" si="0"/>
        <v>160.53999999999996</v>
      </c>
    </row>
    <row r="42" spans="1:4" ht="13.5">
      <c r="A42" s="890">
        <v>38473</v>
      </c>
      <c r="B42" s="135">
        <f>SUM(Parcelamentos!E318:E329)</f>
        <v>673.47</v>
      </c>
      <c r="C42" s="135">
        <f>SUM(Parcelamentos!G317:G329)</f>
        <v>0</v>
      </c>
      <c r="D42" s="891">
        <f t="shared" si="0"/>
        <v>-286.52999999999997</v>
      </c>
    </row>
    <row r="43" spans="1:4" ht="13.5">
      <c r="A43" s="890">
        <v>38504</v>
      </c>
      <c r="B43" s="135">
        <f>SUM(Parcelamentos!E331:E341)</f>
        <v>851.13</v>
      </c>
      <c r="C43" s="135">
        <f>SUM(Parcelamentos!G330:G341)</f>
        <v>851.13</v>
      </c>
      <c r="D43" s="891">
        <f t="shared" si="0"/>
        <v>177.65999999999997</v>
      </c>
    </row>
    <row r="44" spans="1:4" ht="13.5">
      <c r="A44" s="890">
        <v>38534</v>
      </c>
      <c r="B44" s="135">
        <f>SUM(Parcelamentos!E343:E354)</f>
        <v>929.83</v>
      </c>
      <c r="C44" s="135">
        <f>SUM(Parcelamentos!G342:G354)</f>
        <v>0</v>
      </c>
      <c r="D44" s="891">
        <f t="shared" si="0"/>
        <v>78.700000000000045</v>
      </c>
    </row>
    <row r="45" spans="1:4" ht="13.5">
      <c r="A45" s="890">
        <v>38565</v>
      </c>
      <c r="B45" s="135">
        <f>SUM(Parcelamentos!E356:E365)</f>
        <v>866.27</v>
      </c>
      <c r="C45" s="135">
        <f>SUM(Parcelamentos!G355:G365)</f>
        <v>0</v>
      </c>
      <c r="D45" s="891">
        <f t="shared" si="0"/>
        <v>-63.560000000000059</v>
      </c>
    </row>
    <row r="46" spans="1:4" ht="13.5">
      <c r="A46" s="890">
        <v>38596</v>
      </c>
      <c r="B46" s="135">
        <f>SUM(Parcelamentos!E367:E377)</f>
        <v>859.7700000000001</v>
      </c>
      <c r="C46" s="135">
        <f>SUM(Parcelamentos!G366:G377)</f>
        <v>0</v>
      </c>
      <c r="D46" s="891">
        <f t="shared" si="0"/>
        <v>-6.4999999999998863</v>
      </c>
    </row>
    <row r="47" spans="1:4" ht="13.5">
      <c r="A47" s="890">
        <v>38626</v>
      </c>
      <c r="B47" s="135">
        <f>SUM(Parcelamentos!E379:E386)</f>
        <v>640.32000000000005</v>
      </c>
      <c r="C47" s="135">
        <f>SUM(Parcelamentos!G378:G386)</f>
        <v>0</v>
      </c>
      <c r="D47" s="891">
        <f t="shared" si="0"/>
        <v>-219.45000000000005</v>
      </c>
    </row>
    <row r="48" spans="1:4" ht="13.5">
      <c r="A48" s="890">
        <v>38657</v>
      </c>
      <c r="B48" s="135">
        <f>SUM(Parcelamentos!E388:E392)</f>
        <v>521.21</v>
      </c>
      <c r="C48" s="135">
        <f>SUM(Parcelamentos!G387:G392)</f>
        <v>0</v>
      </c>
      <c r="D48" s="891">
        <f t="shared" si="0"/>
        <v>-119.11000000000001</v>
      </c>
    </row>
    <row r="49" spans="1:5" ht="13.5">
      <c r="A49" s="892">
        <v>38687</v>
      </c>
      <c r="B49" s="790">
        <f>SUM(Parcelamentos!E394:E406)</f>
        <v>1132.0500000000002</v>
      </c>
      <c r="C49" s="790">
        <f>SUM(Parcelamentos!G393:G406)</f>
        <v>0</v>
      </c>
      <c r="D49" s="1003">
        <f t="shared" si="0"/>
        <v>610.84000000000015</v>
      </c>
    </row>
    <row r="50" spans="1:5" ht="13.5">
      <c r="A50" s="889">
        <v>38718</v>
      </c>
      <c r="B50" s="784">
        <f>SUM(Parcelamentos!E408:E421)</f>
        <v>1266.1100000000001</v>
      </c>
      <c r="C50" s="784">
        <f>SUM(Parcelamentos!G408:G421)</f>
        <v>0</v>
      </c>
      <c r="D50" s="768">
        <f t="shared" si="0"/>
        <v>134.05999999999995</v>
      </c>
    </row>
    <row r="51" spans="1:5" ht="13.5">
      <c r="A51" s="890">
        <v>38749</v>
      </c>
      <c r="B51" s="135">
        <f>SUM(Parcelamentos!E423:E424)</f>
        <v>242.35000000000002</v>
      </c>
      <c r="C51" s="135">
        <f>SUM(Parcelamentos!G423:G424)</f>
        <v>0</v>
      </c>
      <c r="D51" s="891">
        <f t="shared" si="0"/>
        <v>-1023.7600000000001</v>
      </c>
    </row>
    <row r="52" spans="1:5" ht="13.5">
      <c r="A52" s="890">
        <v>38777</v>
      </c>
      <c r="B52" s="135">
        <f>SUM(Parcelamentos!E426:E428)</f>
        <v>543.04</v>
      </c>
      <c r="C52" s="135">
        <f>SUM(Parcelamentos!G426:G428)</f>
        <v>0</v>
      </c>
      <c r="D52" s="891">
        <f t="shared" si="0"/>
        <v>300.68999999999994</v>
      </c>
    </row>
    <row r="53" spans="1:5" ht="13.5">
      <c r="A53" s="890">
        <v>38808</v>
      </c>
      <c r="B53" s="135">
        <f>SUM(Parcelamentos!E430:E433)</f>
        <v>1067.1599999999999</v>
      </c>
      <c r="C53" s="135">
        <f>SUM(Parcelamentos!G430:G433)</f>
        <v>0</v>
      </c>
      <c r="D53" s="891">
        <f t="shared" si="0"/>
        <v>524.11999999999989</v>
      </c>
    </row>
    <row r="54" spans="1:5" ht="13.5">
      <c r="A54" s="890">
        <v>38838</v>
      </c>
      <c r="B54" s="135">
        <f>SUM(Parcelamentos!E435:E439)</f>
        <v>1052.8800000000001</v>
      </c>
      <c r="C54" s="135">
        <f>SUM(Parcelamentos!G435:G439)</f>
        <v>0</v>
      </c>
      <c r="D54" s="891">
        <f t="shared" si="0"/>
        <v>-14.279999999999745</v>
      </c>
    </row>
    <row r="55" spans="1:5" ht="13.5">
      <c r="A55" s="890">
        <v>38869</v>
      </c>
      <c r="B55" s="135">
        <f>SUM(Parcelamentos!E441:E445)</f>
        <v>1052.6199999999999</v>
      </c>
      <c r="C55" s="135">
        <f>SUM(Parcelamentos!G441:G445)</f>
        <v>0</v>
      </c>
      <c r="D55" s="891">
        <f t="shared" si="0"/>
        <v>-0.26000000000021828</v>
      </c>
    </row>
    <row r="56" spans="1:5" ht="13.5">
      <c r="A56" s="890">
        <v>38899</v>
      </c>
      <c r="B56" s="135">
        <f>SUM(Parcelamentos!E447:E449)</f>
        <v>735.21</v>
      </c>
      <c r="C56" s="135">
        <f>SUM(Parcelamentos!G447:G449)</f>
        <v>0</v>
      </c>
      <c r="D56" s="891">
        <f t="shared" si="0"/>
        <v>-317.40999999999985</v>
      </c>
    </row>
    <row r="57" spans="1:5" ht="13.5">
      <c r="A57" s="890">
        <v>38930</v>
      </c>
      <c r="B57" s="135">
        <f>SUM(Parcelamentos!E451:E466)</f>
        <v>6435.2100000000009</v>
      </c>
      <c r="C57" s="135">
        <f>SUM(Parcelamentos!G451:G466)</f>
        <v>0</v>
      </c>
      <c r="D57" s="891">
        <f t="shared" si="0"/>
        <v>5700.0000000000009</v>
      </c>
    </row>
    <row r="58" spans="1:5" ht="13.5">
      <c r="A58" s="890">
        <v>38961</v>
      </c>
      <c r="B58" s="135">
        <f>SUM(Parcelamentos!E468:E469)</f>
        <v>635.21</v>
      </c>
      <c r="C58" s="135">
        <f>SUM(Parcelamentos!G468:G469)</f>
        <v>0</v>
      </c>
      <c r="D58" s="891">
        <f t="shared" si="0"/>
        <v>-5800.0000000000009</v>
      </c>
    </row>
    <row r="59" spans="1:5" ht="13.5">
      <c r="A59" s="890">
        <v>38991</v>
      </c>
      <c r="B59" s="135">
        <f>SUM(Parcelamentos!E471:E473)</f>
        <v>1285.67</v>
      </c>
      <c r="C59" s="135">
        <f>SUM(Parcelamentos!G471:G473)</f>
        <v>0</v>
      </c>
      <c r="D59" s="891">
        <f t="shared" si="0"/>
        <v>650.46</v>
      </c>
    </row>
    <row r="60" spans="1:5" ht="13.5">
      <c r="A60" s="890">
        <v>39022</v>
      </c>
      <c r="B60" s="135">
        <f>SUM(Parcelamentos!E475:E476)</f>
        <v>593.88</v>
      </c>
      <c r="C60" s="135">
        <f>SUM(Parcelamentos!G475:G476)</f>
        <v>0</v>
      </c>
      <c r="D60" s="891">
        <f t="shared" si="0"/>
        <v>-691.79000000000008</v>
      </c>
    </row>
    <row r="61" spans="1:5" ht="13.5">
      <c r="A61" s="892">
        <v>39052</v>
      </c>
      <c r="B61" s="790">
        <f>SUM(Parcelamentos!E478:E480)</f>
        <v>1285.67</v>
      </c>
      <c r="C61" s="790">
        <f>SUM(Parcelamentos!G477:G480)</f>
        <v>0</v>
      </c>
      <c r="D61" s="1003">
        <f t="shared" si="0"/>
        <v>691.79000000000008</v>
      </c>
      <c r="E61" s="459"/>
    </row>
    <row r="62" spans="1:5" ht="13.5">
      <c r="A62" s="889">
        <v>39083</v>
      </c>
      <c r="B62" s="784">
        <f>SUM(Parcelamentos!E482:E486)</f>
        <v>2617.83</v>
      </c>
      <c r="C62" s="784">
        <f>SUM(Parcelamentos!G481:G486)</f>
        <v>0</v>
      </c>
      <c r="D62" s="768">
        <f t="shared" si="0"/>
        <v>1332.1599999999999</v>
      </c>
    </row>
    <row r="63" spans="1:5" ht="13.5">
      <c r="A63" s="890">
        <v>39114</v>
      </c>
      <c r="B63" s="135">
        <f>SUM(Parcelamentos!E488:E497)</f>
        <v>3815.37</v>
      </c>
      <c r="C63" s="135">
        <f>SUM(Parcelamentos!G487:G497)</f>
        <v>0</v>
      </c>
      <c r="D63" s="891">
        <f t="shared" si="0"/>
        <v>1197.54</v>
      </c>
    </row>
    <row r="64" spans="1:5" ht="13.5">
      <c r="A64" s="890">
        <v>39142</v>
      </c>
      <c r="B64" s="135">
        <f>SUM(Parcelamentos!E499:E504)</f>
        <v>1987.35</v>
      </c>
      <c r="C64" s="135">
        <f>SUM(Parcelamentos!G498:G504)</f>
        <v>0</v>
      </c>
      <c r="D64" s="891">
        <f t="shared" si="0"/>
        <v>-1828.02</v>
      </c>
    </row>
    <row r="65" spans="1:4" ht="13.5">
      <c r="A65" s="890">
        <v>39173</v>
      </c>
      <c r="B65" s="135">
        <f>SUM(Parcelamentos!E506:E512)</f>
        <v>3300.71</v>
      </c>
      <c r="C65" s="135">
        <f>SUM(Parcelamentos!G505:G512)</f>
        <v>0</v>
      </c>
      <c r="D65" s="891">
        <f t="shared" si="0"/>
        <v>1313.3600000000001</v>
      </c>
    </row>
    <row r="66" spans="1:4" ht="13.5">
      <c r="A66" s="890">
        <v>39203</v>
      </c>
      <c r="B66" s="135">
        <f>SUM(Parcelamentos!E514:E519)</f>
        <v>3034.22</v>
      </c>
      <c r="C66" s="135">
        <f>SUM(Parcelamentos!G513:G519)</f>
        <v>0</v>
      </c>
      <c r="D66" s="891">
        <f t="shared" ref="D66:D129" si="1">B66-B65</f>
        <v>-266.49000000000024</v>
      </c>
    </row>
    <row r="67" spans="1:4" ht="13.5">
      <c r="A67" s="890">
        <v>39234</v>
      </c>
      <c r="B67" s="135">
        <f>SUM(Parcelamentos!E521:E526)</f>
        <v>1955.83</v>
      </c>
      <c r="C67" s="135">
        <f>SUM(Parcelamentos!G520:G526)</f>
        <v>0</v>
      </c>
      <c r="D67" s="891">
        <f t="shared" si="1"/>
        <v>-1078.3899999999999</v>
      </c>
    </row>
    <row r="68" spans="1:4" ht="13.5">
      <c r="A68" s="890">
        <v>39264</v>
      </c>
      <c r="B68" s="135">
        <f>SUM(Parcelamentos!E528:E532)</f>
        <v>1796.4299999999998</v>
      </c>
      <c r="C68" s="135">
        <f>SUM(Parcelamentos!G527:G532)</f>
        <v>0</v>
      </c>
      <c r="D68" s="891">
        <f t="shared" si="1"/>
        <v>-159.40000000000009</v>
      </c>
    </row>
    <row r="69" spans="1:4" ht="13.5">
      <c r="A69" s="890">
        <v>39295</v>
      </c>
      <c r="B69" s="135">
        <f>SUM(Parcelamentos!E534:E538)</f>
        <v>1796.4299999999998</v>
      </c>
      <c r="C69" s="135">
        <f>SUM(Parcelamentos!G533:G538)</f>
        <v>0</v>
      </c>
      <c r="D69" s="891">
        <f t="shared" si="1"/>
        <v>0</v>
      </c>
    </row>
    <row r="70" spans="1:4" ht="13.5">
      <c r="A70" s="890">
        <v>39326</v>
      </c>
      <c r="B70" s="135">
        <f>SUM(Parcelamentos!E545:E548)</f>
        <v>1165.97</v>
      </c>
      <c r="C70" s="135">
        <f>SUM(Parcelamentos!G539:G543)</f>
        <v>0</v>
      </c>
      <c r="D70" s="891">
        <f t="shared" si="1"/>
        <v>-630.45999999999981</v>
      </c>
    </row>
    <row r="71" spans="1:4" ht="13.5">
      <c r="A71" s="890">
        <v>39356</v>
      </c>
      <c r="B71" s="135">
        <f>SUM(Parcelamentos!E545:E548)</f>
        <v>1165.97</v>
      </c>
      <c r="C71" s="135">
        <f>SUM(Parcelamentos!G544:G548)</f>
        <v>0</v>
      </c>
      <c r="D71" s="891">
        <f t="shared" si="1"/>
        <v>0</v>
      </c>
    </row>
    <row r="72" spans="1:4" ht="13.5">
      <c r="A72" s="890">
        <v>39387</v>
      </c>
      <c r="B72" s="135">
        <f>SUM(Parcelamentos!E550:E553)</f>
        <v>720.80000000000007</v>
      </c>
      <c r="C72" s="135">
        <f>SUM(Parcelamentos!G549:G553)</f>
        <v>0</v>
      </c>
      <c r="D72" s="891">
        <f t="shared" si="1"/>
        <v>-445.16999999999996</v>
      </c>
    </row>
    <row r="73" spans="1:4" ht="13.5">
      <c r="A73" s="892">
        <v>39417</v>
      </c>
      <c r="B73" s="790">
        <f>SUM(Parcelamentos!E555:E558)</f>
        <v>720.80000000000007</v>
      </c>
      <c r="C73" s="790">
        <f>SUM(Parcelamentos!G554:G558)</f>
        <v>0</v>
      </c>
      <c r="D73" s="1003">
        <f t="shared" si="1"/>
        <v>0</v>
      </c>
    </row>
    <row r="74" spans="1:4" ht="13.5">
      <c r="A74" s="889">
        <v>39448</v>
      </c>
      <c r="B74" s="784">
        <f>SUM(Parcelamentos!E560:E565)</f>
        <v>1425.44</v>
      </c>
      <c r="C74" s="784">
        <f>SUM(Parcelamentos!G560:G565)</f>
        <v>0</v>
      </c>
      <c r="D74" s="768">
        <f t="shared" si="1"/>
        <v>704.64</v>
      </c>
    </row>
    <row r="75" spans="1:4" ht="13.5">
      <c r="A75" s="890">
        <v>39479</v>
      </c>
      <c r="B75" s="135">
        <f>SUM(Parcelamentos!E567:E570)</f>
        <v>1004.53</v>
      </c>
      <c r="C75" s="135">
        <f>SUM(Parcelamentos!G560:G565)</f>
        <v>0</v>
      </c>
      <c r="D75" s="891">
        <f t="shared" si="1"/>
        <v>-420.91000000000008</v>
      </c>
    </row>
    <row r="76" spans="1:4" ht="13.5">
      <c r="A76" s="890">
        <v>39508</v>
      </c>
      <c r="B76" s="135">
        <f>SUM(Parcelamentos!E572:E575)</f>
        <v>1004.53</v>
      </c>
      <c r="C76" s="135">
        <f>SUM(Parcelamentos!G571:G575)</f>
        <v>0</v>
      </c>
      <c r="D76" s="891">
        <f t="shared" si="1"/>
        <v>0</v>
      </c>
    </row>
    <row r="77" spans="1:4" ht="13.5">
      <c r="A77" s="890">
        <v>39539</v>
      </c>
      <c r="B77" s="135">
        <f>SUM(Parcelamentos!E577)</f>
        <v>471.63</v>
      </c>
      <c r="C77" s="135">
        <f>SUM(Parcelamentos!G577)</f>
        <v>0</v>
      </c>
      <c r="D77" s="891">
        <f t="shared" si="1"/>
        <v>-532.9</v>
      </c>
    </row>
    <row r="78" spans="1:4" ht="13.5">
      <c r="A78" s="890">
        <v>39569</v>
      </c>
      <c r="B78" s="135">
        <f>SUM(Parcelamentos!E579)</f>
        <v>680</v>
      </c>
      <c r="C78" s="135">
        <f>SUM(Parcelamentos!G579)</f>
        <v>0</v>
      </c>
      <c r="D78" s="891">
        <f t="shared" si="1"/>
        <v>208.37</v>
      </c>
    </row>
    <row r="79" spans="1:4" ht="13.5">
      <c r="A79" s="890">
        <v>39600</v>
      </c>
      <c r="B79" s="135">
        <f>SUM(Parcelamentos!E581)</f>
        <v>680</v>
      </c>
      <c r="C79" s="135">
        <f>SUM(Parcelamentos!G581)</f>
        <v>0</v>
      </c>
      <c r="D79" s="891">
        <f t="shared" si="1"/>
        <v>0</v>
      </c>
    </row>
    <row r="80" spans="1:4" ht="13.5">
      <c r="A80" s="890">
        <v>39630</v>
      </c>
      <c r="B80" s="135">
        <v>0</v>
      </c>
      <c r="C80" s="135">
        <v>0</v>
      </c>
      <c r="D80" s="891">
        <f t="shared" si="1"/>
        <v>-680</v>
      </c>
    </row>
    <row r="81" spans="1:4" ht="13.5">
      <c r="A81" s="890">
        <v>39661</v>
      </c>
      <c r="B81" s="135">
        <f>SUM(Parcelamentos!E583:E584)</f>
        <v>197.39</v>
      </c>
      <c r="C81" s="135">
        <f>SUM(Parcelamentos!G583:G584)</f>
        <v>0</v>
      </c>
      <c r="D81" s="891">
        <f t="shared" si="1"/>
        <v>197.39</v>
      </c>
    </row>
    <row r="82" spans="1:4" ht="13.5">
      <c r="A82" s="890">
        <v>39692</v>
      </c>
      <c r="B82" s="135">
        <f>SUM(Parcelamentos!E586:E589)</f>
        <v>1618.3899999999999</v>
      </c>
      <c r="C82" s="135">
        <f>SUM(Parcelamentos!G586:G589)</f>
        <v>0</v>
      </c>
      <c r="D82" s="891">
        <f t="shared" si="1"/>
        <v>1421</v>
      </c>
    </row>
    <row r="83" spans="1:4" ht="13.5">
      <c r="A83" s="890">
        <v>39722</v>
      </c>
      <c r="B83" s="135">
        <f>SUM(Parcelamentos!E591:E594)</f>
        <v>1793</v>
      </c>
      <c r="C83" s="135">
        <f>SUM(Parcelamentos!G591:G594)</f>
        <v>0</v>
      </c>
      <c r="D83" s="891">
        <f t="shared" si="1"/>
        <v>174.61000000000013</v>
      </c>
    </row>
    <row r="84" spans="1:4" ht="13.5">
      <c r="A84" s="890">
        <v>39753</v>
      </c>
      <c r="B84" s="135">
        <f>SUM(Parcelamentos!E596:E604)</f>
        <v>2670.98</v>
      </c>
      <c r="C84" s="135">
        <f>SUM(Parcelamentos!G596:G604)</f>
        <v>0</v>
      </c>
      <c r="D84" s="891">
        <f t="shared" si="1"/>
        <v>877.98</v>
      </c>
    </row>
    <row r="85" spans="1:4" ht="13.5">
      <c r="A85" s="892">
        <v>39783</v>
      </c>
      <c r="B85" s="790">
        <f>SUM(Parcelamentos!E606:E614)</f>
        <v>2795.2799999999997</v>
      </c>
      <c r="C85" s="790">
        <f>SUM(Parcelamentos!G606:G614)</f>
        <v>0</v>
      </c>
      <c r="D85" s="1003">
        <f t="shared" si="1"/>
        <v>124.29999999999973</v>
      </c>
    </row>
    <row r="86" spans="1:4" ht="13.5">
      <c r="A86" s="889">
        <v>39814</v>
      </c>
      <c r="B86" s="784">
        <f>SUM(Parcelamentos!E616:E624)</f>
        <v>2694.25</v>
      </c>
      <c r="C86" s="784">
        <f>SUM(Parcelamentos!G616:G624)</f>
        <v>0</v>
      </c>
      <c r="D86" s="768">
        <f t="shared" si="1"/>
        <v>-101.02999999999975</v>
      </c>
    </row>
    <row r="87" spans="1:4" ht="13.5">
      <c r="A87" s="890">
        <v>39845</v>
      </c>
      <c r="B87" s="135">
        <f>SUM(Parcelamentos!E626:E633)</f>
        <v>2184.23</v>
      </c>
      <c r="C87" s="135">
        <f>SUM(Parcelamentos!G626:G633)</f>
        <v>0</v>
      </c>
      <c r="D87" s="891">
        <f t="shared" si="1"/>
        <v>-510.02</v>
      </c>
    </row>
    <row r="88" spans="1:4" ht="13.5">
      <c r="A88" s="890">
        <v>39873</v>
      </c>
      <c r="B88" s="135">
        <f>SUM(Parcelamentos!E635:E643)</f>
        <v>2197.3000000000002</v>
      </c>
      <c r="C88" s="135">
        <f>SUM(Parcelamentos!G627:G634)</f>
        <v>0</v>
      </c>
      <c r="D88" s="891">
        <f t="shared" si="1"/>
        <v>13.070000000000164</v>
      </c>
    </row>
    <row r="89" spans="1:4" ht="13.5">
      <c r="A89" s="890">
        <v>39904</v>
      </c>
      <c r="B89" s="135">
        <f>SUM(Parcelamentos!E645:E653)</f>
        <v>2113.6999999999998</v>
      </c>
      <c r="C89" s="135">
        <f>SUM(Parcelamentos!G628:G634)</f>
        <v>0</v>
      </c>
      <c r="D89" s="891">
        <f t="shared" si="1"/>
        <v>-83.600000000000364</v>
      </c>
    </row>
    <row r="90" spans="1:4" ht="13.5">
      <c r="A90" s="890">
        <v>39934</v>
      </c>
      <c r="B90" s="135">
        <f>SUM(Parcelamentos!E655:E662)</f>
        <v>2004.55</v>
      </c>
      <c r="C90" s="135">
        <f>SUM(Parcelamentos!G629:G635)</f>
        <v>0</v>
      </c>
      <c r="D90" s="891">
        <f t="shared" si="1"/>
        <v>-109.14999999999986</v>
      </c>
    </row>
    <row r="91" spans="1:4" ht="13.5">
      <c r="A91" s="890">
        <v>39965</v>
      </c>
      <c r="B91" s="135">
        <f>SUM(Parcelamentos!E664:E667)</f>
        <v>926.09999999999991</v>
      </c>
      <c r="C91" s="135">
        <f>SUM(Parcelamentos!G630:G636)</f>
        <v>0</v>
      </c>
      <c r="D91" s="891">
        <f t="shared" si="1"/>
        <v>-1078.45</v>
      </c>
    </row>
    <row r="92" spans="1:4" ht="13.5">
      <c r="A92" s="890">
        <v>39995</v>
      </c>
      <c r="B92" s="135">
        <f>SUM(Parcelamentos!E669:E672)</f>
        <v>540.09999999999991</v>
      </c>
      <c r="C92" s="135">
        <f>SUM(Parcelamentos!G631:G637)</f>
        <v>0</v>
      </c>
      <c r="D92" s="891">
        <f t="shared" si="1"/>
        <v>-386</v>
      </c>
    </row>
    <row r="93" spans="1:4" ht="13.5">
      <c r="A93" s="890">
        <v>40026</v>
      </c>
      <c r="B93" s="135">
        <f>SUM(Parcelamentos!E674:E677)</f>
        <v>1169.1500000000001</v>
      </c>
      <c r="C93" s="135">
        <f>SUM(Parcelamentos!G632:G638)</f>
        <v>0</v>
      </c>
      <c r="D93" s="891">
        <f t="shared" si="1"/>
        <v>629.05000000000018</v>
      </c>
    </row>
    <row r="94" spans="1:4" ht="13.5">
      <c r="A94" s="890">
        <v>40057</v>
      </c>
      <c r="B94" s="135">
        <f>SUM(Parcelamentos!E679:E684)</f>
        <v>2109.4549999999999</v>
      </c>
      <c r="C94" s="135">
        <f>SUM(Parcelamentos!G633:G639)</f>
        <v>0</v>
      </c>
      <c r="D94" s="891">
        <f t="shared" si="1"/>
        <v>940.30499999999984</v>
      </c>
    </row>
    <row r="95" spans="1:4" ht="13.5">
      <c r="A95" s="890">
        <v>40087</v>
      </c>
      <c r="B95" s="135">
        <f>SUM(Parcelamentos!E686:E690)</f>
        <v>1857.5550000000001</v>
      </c>
      <c r="C95" s="135">
        <f>SUM(Parcelamentos!G634:G640)</f>
        <v>0</v>
      </c>
      <c r="D95" s="891">
        <f t="shared" si="1"/>
        <v>-251.89999999999986</v>
      </c>
    </row>
    <row r="96" spans="1:4" ht="13.5">
      <c r="A96" s="890">
        <v>40118</v>
      </c>
      <c r="B96" s="135">
        <f>SUM(Parcelamentos!E692:E697)</f>
        <v>2479.3050000000003</v>
      </c>
      <c r="C96" s="135">
        <f>SUM(Parcelamentos!G634:G642)</f>
        <v>0</v>
      </c>
      <c r="D96" s="891">
        <f t="shared" si="1"/>
        <v>621.75000000000023</v>
      </c>
    </row>
    <row r="97" spans="1:4" ht="13.5">
      <c r="A97" s="892">
        <v>40148</v>
      </c>
      <c r="B97" s="790">
        <f>SUM(Parcelamentos!E699:E703)</f>
        <v>2116.6350000000002</v>
      </c>
      <c r="C97" s="790">
        <f>SUM(Parcelamentos!G635:G643)</f>
        <v>0</v>
      </c>
      <c r="D97" s="1003">
        <f t="shared" si="1"/>
        <v>-362.67000000000007</v>
      </c>
    </row>
    <row r="98" spans="1:4" ht="13.5">
      <c r="A98" s="889">
        <v>40179</v>
      </c>
      <c r="B98" s="784">
        <f>SUM(Parcelamentos!E705:E707)</f>
        <v>1922.415</v>
      </c>
      <c r="C98" s="784">
        <f>SUM(Parcelamentos!G635:G643)</f>
        <v>0</v>
      </c>
      <c r="D98" s="768">
        <f t="shared" si="1"/>
        <v>-194.22000000000025</v>
      </c>
    </row>
    <row r="99" spans="1:4" ht="13.5">
      <c r="A99" s="890">
        <v>40210</v>
      </c>
      <c r="B99" s="135">
        <f>SUM(Parcelamentos!E709:E713)</f>
        <v>2922.1150000000002</v>
      </c>
      <c r="C99" s="135">
        <f>SUM(Parcelamentos!G636:G644)</f>
        <v>0</v>
      </c>
      <c r="D99" s="891">
        <f t="shared" si="1"/>
        <v>999.70000000000027</v>
      </c>
    </row>
    <row r="100" spans="1:4" ht="13.5">
      <c r="A100" s="890">
        <v>40238</v>
      </c>
      <c r="B100" s="135">
        <f>SUM(Parcelamentos!E715:E717)</f>
        <v>1572.93</v>
      </c>
      <c r="C100" s="135">
        <f>SUM(Parcelamentos!G637:G644)</f>
        <v>0</v>
      </c>
      <c r="D100" s="891">
        <f t="shared" si="1"/>
        <v>-1349.1850000000002</v>
      </c>
    </row>
    <row r="101" spans="1:4" ht="13.5">
      <c r="A101" s="890">
        <v>40269</v>
      </c>
      <c r="B101" s="135">
        <f>SUM(Parcelamentos!E719:E720)</f>
        <v>1322.43</v>
      </c>
      <c r="C101" s="135">
        <f>SUM(Parcelamentos!G638:G645)</f>
        <v>0</v>
      </c>
      <c r="D101" s="891">
        <f t="shared" si="1"/>
        <v>-250.5</v>
      </c>
    </row>
    <row r="102" spans="1:4" ht="13.5">
      <c r="A102" s="890">
        <v>40299</v>
      </c>
      <c r="B102" s="135">
        <f>SUM(Parcelamentos!E722:E723)</f>
        <v>954.96</v>
      </c>
      <c r="C102" s="135">
        <f>SUM(Parcelamentos!G639:G646)</f>
        <v>0</v>
      </c>
      <c r="D102" s="891">
        <f t="shared" si="1"/>
        <v>-367.47</v>
      </c>
    </row>
    <row r="103" spans="1:4" ht="13.5">
      <c r="A103" s="890">
        <v>40330</v>
      </c>
      <c r="B103" s="135">
        <f>SUM(Parcelamentos!E725:E728)</f>
        <v>1440.0000000000002</v>
      </c>
      <c r="C103" s="135">
        <f>SUM(Parcelamentos!G640:G647)</f>
        <v>0</v>
      </c>
      <c r="D103" s="891">
        <f t="shared" si="1"/>
        <v>485.04000000000019</v>
      </c>
    </row>
    <row r="104" spans="1:4" ht="13.5">
      <c r="A104" s="890">
        <v>40360</v>
      </c>
      <c r="B104" s="135">
        <f>SUM(Parcelamentos!E730:E733)</f>
        <v>1441.9500000000003</v>
      </c>
      <c r="C104" s="135">
        <f>SUM(Parcelamentos!G642:G648)</f>
        <v>0</v>
      </c>
      <c r="D104" s="891">
        <f t="shared" si="1"/>
        <v>1.9500000000000455</v>
      </c>
    </row>
    <row r="105" spans="1:4" ht="13.5">
      <c r="A105" s="890">
        <v>40391</v>
      </c>
      <c r="B105" s="135">
        <f>SUM(Parcelamentos!E735:E738)</f>
        <v>1494.66</v>
      </c>
      <c r="C105" s="135">
        <f>SUM(Parcelamentos!G643:G649)</f>
        <v>0</v>
      </c>
      <c r="D105" s="891">
        <f t="shared" si="1"/>
        <v>52.709999999999809</v>
      </c>
    </row>
    <row r="106" spans="1:4" ht="13.5">
      <c r="A106" s="890">
        <v>40422</v>
      </c>
      <c r="B106" s="135">
        <f>SUM(Parcelamentos!E740:E749)</f>
        <v>3982.5299999999997</v>
      </c>
      <c r="C106" s="135">
        <f>SUM(Parcelamentos!G644:G650)</f>
        <v>0</v>
      </c>
      <c r="D106" s="891">
        <f t="shared" si="1"/>
        <v>2487.87</v>
      </c>
    </row>
    <row r="107" spans="1:4" ht="13.5">
      <c r="A107" s="890">
        <v>40452</v>
      </c>
      <c r="B107" s="135">
        <f>SUM(Parcelamentos!E751:E756)</f>
        <v>2096.17</v>
      </c>
      <c r="C107" s="135">
        <f>SUM(Parcelamentos!G644:G651)</f>
        <v>0</v>
      </c>
      <c r="D107" s="891">
        <f t="shared" si="1"/>
        <v>-1886.3599999999997</v>
      </c>
    </row>
    <row r="108" spans="1:4" ht="13.5">
      <c r="A108" s="890">
        <v>40483</v>
      </c>
      <c r="B108" s="135">
        <f>SUM(Parcelamentos!E758:E764)</f>
        <v>2373.2000000000003</v>
      </c>
      <c r="C108" s="135">
        <f>SUM(Parcelamentos!G645:G653)</f>
        <v>0</v>
      </c>
      <c r="D108" s="891">
        <f t="shared" si="1"/>
        <v>277.0300000000002</v>
      </c>
    </row>
    <row r="109" spans="1:4" ht="13.5">
      <c r="A109" s="892">
        <v>40513</v>
      </c>
      <c r="B109" s="790">
        <f>SUM(Parcelamentos!E766:E770)</f>
        <v>1938.04</v>
      </c>
      <c r="C109" s="790">
        <f>SUM(Parcelamentos!G645:G653)</f>
        <v>0</v>
      </c>
      <c r="D109" s="1003">
        <f t="shared" si="1"/>
        <v>-435.16000000000031</v>
      </c>
    </row>
    <row r="110" spans="1:4" ht="13.5">
      <c r="A110" s="889">
        <v>40544</v>
      </c>
      <c r="B110" s="784">
        <f>SUM(Parcelamentos!E772:E775)</f>
        <v>1663.04</v>
      </c>
      <c r="C110" s="784">
        <f>SUM(Parcelamentos!G772:G775)</f>
        <v>0</v>
      </c>
      <c r="D110" s="768">
        <f t="shared" si="1"/>
        <v>-275</v>
      </c>
    </row>
    <row r="111" spans="1:4" ht="13.5">
      <c r="A111" s="890">
        <v>40575</v>
      </c>
      <c r="B111" s="135">
        <f>SUM(Parcelamentos!E777:E779)</f>
        <v>1231.1799999999998</v>
      </c>
      <c r="C111" s="135">
        <f>SUM(Parcelamentos!G777:G779)</f>
        <v>0</v>
      </c>
      <c r="D111" s="891">
        <f t="shared" si="1"/>
        <v>-431.86000000000013</v>
      </c>
    </row>
    <row r="112" spans="1:4" ht="13.5">
      <c r="A112" s="890">
        <v>40603</v>
      </c>
      <c r="B112" s="135">
        <f>SUM(Parcelamentos!E781:E784)</f>
        <v>1321.5199999999998</v>
      </c>
      <c r="C112" s="135">
        <f>SUM(Parcelamentos!G781:G784)</f>
        <v>0</v>
      </c>
      <c r="D112" s="891">
        <f t="shared" si="1"/>
        <v>90.339999999999918</v>
      </c>
    </row>
    <row r="113" spans="1:4" ht="13.5">
      <c r="A113" s="890">
        <v>40635</v>
      </c>
      <c r="B113" s="135">
        <f>SUM(Parcelamentos!E786:E790)</f>
        <v>2078.98</v>
      </c>
      <c r="C113" s="135">
        <f>SUM(Parcelamentos!G786:G790)</f>
        <v>0</v>
      </c>
      <c r="D113" s="891">
        <f t="shared" si="1"/>
        <v>757.46000000000026</v>
      </c>
    </row>
    <row r="114" spans="1:4" ht="13.5">
      <c r="A114" s="890">
        <v>40666</v>
      </c>
      <c r="B114" s="135">
        <f>SUM(Parcelamentos!E792:E796)</f>
        <v>2118.13</v>
      </c>
      <c r="C114" s="135">
        <f>SUM(Parcelamentos!G792:G796)</f>
        <v>0</v>
      </c>
      <c r="D114" s="891">
        <f t="shared" si="1"/>
        <v>39.150000000000091</v>
      </c>
    </row>
    <row r="115" spans="1:4" ht="13.5">
      <c r="A115" s="890">
        <v>40695</v>
      </c>
      <c r="B115" s="135">
        <f>SUM(Parcelamentos!E798:E805)</f>
        <v>3280.6099999999997</v>
      </c>
      <c r="C115" s="135">
        <f>SUM(Parcelamentos!G798:G805)</f>
        <v>0</v>
      </c>
      <c r="D115" s="891">
        <f t="shared" si="1"/>
        <v>1162.4799999999996</v>
      </c>
    </row>
    <row r="116" spans="1:4" ht="13.5">
      <c r="A116" s="890">
        <v>40725</v>
      </c>
      <c r="B116" s="135">
        <f>SUM(Parcelamentos!E807:E818)</f>
        <v>4725.04</v>
      </c>
      <c r="C116" s="135">
        <f>SUM(Parcelamentos!G807:G818)</f>
        <v>0</v>
      </c>
      <c r="D116" s="891">
        <f t="shared" si="1"/>
        <v>1444.4300000000003</v>
      </c>
    </row>
    <row r="117" spans="1:4" ht="13.5">
      <c r="A117" s="890">
        <v>40756</v>
      </c>
      <c r="B117" s="135">
        <f>SUM(Parcelamentos!E820:E831)</f>
        <v>4670.46</v>
      </c>
      <c r="C117" s="135">
        <f>SUM(Parcelamentos!G820:G831)</f>
        <v>0</v>
      </c>
      <c r="D117" s="891">
        <f t="shared" si="1"/>
        <v>-54.579999999999927</v>
      </c>
    </row>
    <row r="118" spans="1:4" ht="13.5">
      <c r="A118" s="890">
        <v>40787</v>
      </c>
      <c r="B118" s="135">
        <f>SUM(Parcelamentos!E833:E841)</f>
        <v>2881.74</v>
      </c>
      <c r="C118" s="135">
        <f>SUM(Parcelamentos!G833:G841)</f>
        <v>0</v>
      </c>
      <c r="D118" s="891">
        <f t="shared" si="1"/>
        <v>-1788.7200000000003</v>
      </c>
    </row>
    <row r="119" spans="1:4" ht="13.5">
      <c r="A119" s="890">
        <v>40817</v>
      </c>
      <c r="B119" s="135">
        <f>SUM(Parcelamentos!E843:E849)</f>
        <v>2158.0499999999997</v>
      </c>
      <c r="C119" s="135">
        <f>SUM(Parcelamentos!G843:G849)</f>
        <v>0</v>
      </c>
      <c r="D119" s="891">
        <f t="shared" si="1"/>
        <v>-723.69</v>
      </c>
    </row>
    <row r="120" spans="1:4" ht="13.5">
      <c r="A120" s="890">
        <v>40848</v>
      </c>
      <c r="B120" s="135">
        <f>SUM(Parcelamentos!E851:E857)</f>
        <v>2411.9</v>
      </c>
      <c r="C120" s="135">
        <f>SUM(Parcelamentos!G851:G857)</f>
        <v>0</v>
      </c>
      <c r="D120" s="891">
        <f t="shared" si="1"/>
        <v>253.85000000000036</v>
      </c>
    </row>
    <row r="121" spans="1:4" ht="13.5">
      <c r="A121" s="892">
        <v>40878</v>
      </c>
      <c r="B121" s="790">
        <f>SUM(Parcelamentos!E859:E865)</f>
        <v>3722.0700000000006</v>
      </c>
      <c r="C121" s="790">
        <f>SUM(Parcelamentos!G859:G865)</f>
        <v>0</v>
      </c>
      <c r="D121" s="1003">
        <f t="shared" si="1"/>
        <v>1310.1700000000005</v>
      </c>
    </row>
    <row r="122" spans="1:4" ht="13.5">
      <c r="A122" s="460">
        <v>40909</v>
      </c>
      <c r="B122" s="135">
        <f>SUM(Parcelamentos!E867:E871)</f>
        <v>2677.44</v>
      </c>
      <c r="C122" s="135">
        <f>SUM(Parcelamentos!G867:G871)</f>
        <v>0</v>
      </c>
      <c r="D122" s="112">
        <f t="shared" si="1"/>
        <v>-1044.6300000000006</v>
      </c>
    </row>
    <row r="123" spans="1:4" ht="13.5">
      <c r="A123" s="460">
        <v>40940</v>
      </c>
      <c r="B123" s="135">
        <f>SUM(Parcelamentos!E873:E879)</f>
        <v>3543.67</v>
      </c>
      <c r="C123" s="135">
        <f>SUM(Parcelamentos!G873:G879)</f>
        <v>0</v>
      </c>
      <c r="D123" s="112">
        <f t="shared" si="1"/>
        <v>866.23</v>
      </c>
    </row>
    <row r="124" spans="1:4" ht="13.5">
      <c r="A124" s="460">
        <v>40969</v>
      </c>
      <c r="B124" s="135">
        <f>SUM(Parcelamentos!E881:E885)</f>
        <v>2179.12</v>
      </c>
      <c r="C124" s="135">
        <f>SUM(Parcelamentos!G881:G885)</f>
        <v>0</v>
      </c>
      <c r="D124" s="112">
        <f t="shared" si="1"/>
        <v>-1364.5500000000002</v>
      </c>
    </row>
    <row r="125" spans="1:4" ht="13.5">
      <c r="A125" s="460">
        <v>41000</v>
      </c>
      <c r="B125" s="135">
        <f>SUM(Parcelamentos!E887:E887)</f>
        <v>139.94999999999999</v>
      </c>
      <c r="C125" s="135">
        <f>SUM(Parcelamentos!G887:G887)</f>
        <v>0</v>
      </c>
      <c r="D125" s="112">
        <f t="shared" si="1"/>
        <v>-2039.1699999999998</v>
      </c>
    </row>
    <row r="126" spans="1:4" ht="13.5">
      <c r="A126" s="460">
        <v>41030</v>
      </c>
      <c r="B126" s="135">
        <f>SUM(Parcelamentos!E892:E895)</f>
        <v>1109.23</v>
      </c>
      <c r="C126" s="135">
        <f>SUM(Parcelamentos!G892:G895)</f>
        <v>0</v>
      </c>
      <c r="D126" s="112">
        <f t="shared" si="1"/>
        <v>969.28</v>
      </c>
    </row>
    <row r="127" spans="1:4" ht="13.5">
      <c r="A127" s="460">
        <v>41061</v>
      </c>
      <c r="B127" s="135">
        <f>SUM(Parcelamentos!E897:E900)</f>
        <v>1112.08</v>
      </c>
      <c r="C127" s="135">
        <f>SUM(Parcelamentos!G897:G900)</f>
        <v>0</v>
      </c>
      <c r="D127" s="112">
        <f t="shared" si="1"/>
        <v>2.8499999999999091</v>
      </c>
    </row>
    <row r="128" spans="1:4" ht="13.5">
      <c r="A128" s="460">
        <v>41091</v>
      </c>
      <c r="B128" s="135">
        <f>SUM(Parcelamentos!E902:E905)</f>
        <v>1001.24</v>
      </c>
      <c r="C128" s="135">
        <f>SUM(Parcelamentos!G902:G905)</f>
        <v>0</v>
      </c>
      <c r="D128" s="112">
        <f t="shared" si="1"/>
        <v>-110.83999999999992</v>
      </c>
    </row>
    <row r="129" spans="1:4" ht="13.5">
      <c r="A129" s="460">
        <v>41122</v>
      </c>
      <c r="B129" s="135">
        <f>SUM(Parcelamentos!E907:E909)</f>
        <v>522.97</v>
      </c>
      <c r="C129" s="135">
        <f>SUM(Parcelamentos!G907:G909)</f>
        <v>0</v>
      </c>
      <c r="D129" s="112">
        <f t="shared" si="1"/>
        <v>-478.27</v>
      </c>
    </row>
    <row r="130" spans="1:4" ht="13.5">
      <c r="A130" s="460">
        <v>41153</v>
      </c>
      <c r="B130" s="135">
        <f>SUM(Parcelamentos!E911:E913)</f>
        <v>526.53</v>
      </c>
      <c r="C130" s="135">
        <f>SUM(Parcelamentos!G911:G913)</f>
        <v>0</v>
      </c>
      <c r="D130" s="112">
        <f t="shared" ref="D130:D135" si="2">B130-B129</f>
        <v>3.5599999999999454</v>
      </c>
    </row>
    <row r="131" spans="1:4" ht="13.5">
      <c r="A131" s="460">
        <v>41183</v>
      </c>
      <c r="B131" s="135">
        <f>SUM(Parcelamentos!E915:E917)</f>
        <v>934.98</v>
      </c>
      <c r="C131" s="135">
        <f>SUM(Parcelamentos!G915:G917)</f>
        <v>0</v>
      </c>
      <c r="D131" s="112">
        <f t="shared" si="2"/>
        <v>408.45000000000005</v>
      </c>
    </row>
    <row r="132" spans="1:4" ht="13.5">
      <c r="A132" s="460">
        <v>41214</v>
      </c>
      <c r="B132" s="135">
        <f>SUM(Parcelamentos!E919:E924)</f>
        <v>1816.9099999999999</v>
      </c>
      <c r="C132" s="135">
        <f>SUM(Parcelamentos!G919:G924)</f>
        <v>0</v>
      </c>
      <c r="D132" s="112">
        <f t="shared" si="2"/>
        <v>881.92999999999984</v>
      </c>
    </row>
    <row r="133" spans="1:4" ht="13.5">
      <c r="A133" s="460">
        <v>41244</v>
      </c>
      <c r="B133" s="135">
        <f>Parcelamentos!E925</f>
        <v>1732.11</v>
      </c>
      <c r="C133" s="135">
        <f>SUM(Parcelamentos!G926:G931)</f>
        <v>0</v>
      </c>
      <c r="D133" s="112">
        <f t="shared" si="2"/>
        <v>-84.799999999999955</v>
      </c>
    </row>
    <row r="134" spans="1:4" ht="13.5">
      <c r="A134" s="889">
        <v>41275</v>
      </c>
      <c r="B134" s="784">
        <f>Parcelamentos!E932</f>
        <v>1090.81</v>
      </c>
      <c r="C134" s="784">
        <f>SUM(Parcelamentos!G933:G936)</f>
        <v>0</v>
      </c>
      <c r="D134" s="768">
        <f t="shared" si="2"/>
        <v>-641.29999999999995</v>
      </c>
    </row>
    <row r="135" spans="1:4" ht="13.5">
      <c r="A135" s="890">
        <v>41306</v>
      </c>
      <c r="B135" s="135">
        <f>Parcelamentos!E937</f>
        <v>1469.66</v>
      </c>
      <c r="C135" s="135">
        <f>SUM(Parcelamentos!G938:G942)</f>
        <v>0</v>
      </c>
      <c r="D135" s="891">
        <f t="shared" si="2"/>
        <v>378.85000000000014</v>
      </c>
    </row>
    <row r="136" spans="1:4" ht="13.5">
      <c r="A136" s="890">
        <v>41334</v>
      </c>
      <c r="B136" s="135">
        <f>Parcelamentos!E943</f>
        <v>731.71</v>
      </c>
      <c r="C136" s="135">
        <f>SUM(Parcelamentos!G944:G946)</f>
        <v>0</v>
      </c>
      <c r="D136" s="891">
        <f t="shared" ref="D136:D146" si="3">B136-B135</f>
        <v>-737.95</v>
      </c>
    </row>
    <row r="137" spans="1:4" ht="13.5">
      <c r="A137" s="890">
        <v>41365</v>
      </c>
      <c r="B137" s="135">
        <f>Parcelamentos!E947</f>
        <v>1026.27</v>
      </c>
      <c r="C137" s="135">
        <f>SUM(Parcelamentos!G948:G951)</f>
        <v>0</v>
      </c>
      <c r="D137" s="891">
        <f t="shared" si="3"/>
        <v>294.55999999999995</v>
      </c>
    </row>
    <row r="138" spans="1:4" ht="13.5">
      <c r="A138" s="890">
        <v>41395</v>
      </c>
      <c r="B138" s="135">
        <f>Parcelamentos!E952</f>
        <v>1029.21</v>
      </c>
      <c r="C138" s="135">
        <f>SUM(Parcelamentos!G952:G956)</f>
        <v>0</v>
      </c>
      <c r="D138" s="891">
        <f t="shared" si="3"/>
        <v>2.9400000000000546</v>
      </c>
    </row>
    <row r="139" spans="1:4" ht="13.5">
      <c r="A139" s="890">
        <v>41426</v>
      </c>
      <c r="B139" s="135">
        <f>Parcelamentos!E957</f>
        <v>1433.89</v>
      </c>
      <c r="C139" s="135">
        <f>SUM(Parcelamentos!G958:G963)</f>
        <v>0</v>
      </c>
      <c r="D139" s="891">
        <f t="shared" si="3"/>
        <v>404.68000000000006</v>
      </c>
    </row>
    <row r="140" spans="1:4" ht="13.5">
      <c r="A140" s="890">
        <v>41456</v>
      </c>
      <c r="B140" s="135">
        <f>Parcelamentos!E964</f>
        <v>1875.6699999999998</v>
      </c>
      <c r="C140" s="135">
        <f>SUM(Parcelamentos!G965:G971)</f>
        <v>0</v>
      </c>
      <c r="D140" s="891">
        <f t="shared" si="3"/>
        <v>441.77999999999975</v>
      </c>
    </row>
    <row r="141" spans="1:4" ht="13.5">
      <c r="A141" s="890">
        <v>41487</v>
      </c>
      <c r="B141" s="135">
        <f>Parcelamentos!E972</f>
        <v>1877.8</v>
      </c>
      <c r="C141" s="135">
        <f>SUM(Parcelamentos!G973:G979)</f>
        <v>0</v>
      </c>
      <c r="D141" s="891">
        <f t="shared" si="3"/>
        <v>2.1300000000001091</v>
      </c>
    </row>
    <row r="142" spans="1:4" ht="13.5">
      <c r="A142" s="890">
        <v>41518</v>
      </c>
      <c r="B142" s="135">
        <f>Parcelamentos!E980</f>
        <v>2414.58</v>
      </c>
      <c r="C142" s="135">
        <f>SUM(Parcelamentos!G981:G988)</f>
        <v>0</v>
      </c>
      <c r="D142" s="891">
        <f t="shared" si="3"/>
        <v>536.78</v>
      </c>
    </row>
    <row r="143" spans="1:4" ht="13.5">
      <c r="A143" s="890">
        <v>41548</v>
      </c>
      <c r="B143" s="135">
        <f>Parcelamentos!E989</f>
        <v>3126.4433333333332</v>
      </c>
      <c r="C143" s="135">
        <f>SUM(Parcelamentos!G990:G1000)</f>
        <v>0</v>
      </c>
      <c r="D143" s="891">
        <f t="shared" si="3"/>
        <v>711.86333333333323</v>
      </c>
    </row>
    <row r="144" spans="1:4" ht="13.5">
      <c r="A144" s="890">
        <v>41579</v>
      </c>
      <c r="B144" s="135">
        <f>Parcelamentos!E1001</f>
        <v>3143.0833333333335</v>
      </c>
      <c r="C144" s="135">
        <f>SUM(Parcelamentos!G1002:G1014)</f>
        <v>0</v>
      </c>
      <c r="D144" s="891">
        <f t="shared" si="3"/>
        <v>16.640000000000327</v>
      </c>
    </row>
    <row r="145" spans="1:4" ht="13.5">
      <c r="A145" s="892">
        <v>41609</v>
      </c>
      <c r="B145" s="790">
        <f>Parcelamentos!E1015</f>
        <v>2337.7733333333331</v>
      </c>
      <c r="C145" s="790">
        <f>SUM(Parcelamentos!G1016:G1025)</f>
        <v>0</v>
      </c>
      <c r="D145" s="1003">
        <f t="shared" si="3"/>
        <v>-805.3100000000004</v>
      </c>
    </row>
    <row r="146" spans="1:4" ht="13.5">
      <c r="A146" s="1002">
        <v>41640</v>
      </c>
      <c r="B146" s="784">
        <f>Parcelamentos!E1026</f>
        <v>2168.1933333333336</v>
      </c>
      <c r="C146" s="784">
        <f>SUM(Parcelamentos!G1027:G1036)</f>
        <v>0</v>
      </c>
      <c r="D146" s="768">
        <f t="shared" si="3"/>
        <v>-169.57999999999947</v>
      </c>
    </row>
    <row r="147" spans="1:4" ht="13.5">
      <c r="A147" s="890">
        <v>41671</v>
      </c>
      <c r="B147" s="135">
        <f>Parcelamentos!E1037</f>
        <v>1623.6033333333332</v>
      </c>
      <c r="C147" s="135">
        <f>SUM(Parcelamentos!G1038:G1045)</f>
        <v>0</v>
      </c>
      <c r="D147" s="891">
        <f>B147-B146</f>
        <v>-544.59000000000037</v>
      </c>
    </row>
    <row r="148" spans="1:4" ht="13.5">
      <c r="A148" s="890">
        <v>41699</v>
      </c>
      <c r="B148" s="135">
        <f>Parcelamentos!E1046</f>
        <v>1377.6033333333335</v>
      </c>
      <c r="C148" s="135">
        <f>SUM(Parcelamentos!G1047:G1053)</f>
        <v>0</v>
      </c>
      <c r="D148" s="891">
        <f>B148-B147</f>
        <v>-245.99999999999977</v>
      </c>
    </row>
    <row r="149" spans="1:4" ht="13.5">
      <c r="A149" s="890">
        <v>41730</v>
      </c>
      <c r="B149" s="135">
        <f>Parcelamentos!E1054</f>
        <v>1001.32</v>
      </c>
      <c r="C149" s="135">
        <f>SUM(Parcelamentos!G1055:G1059)</f>
        <v>0</v>
      </c>
      <c r="D149" s="891">
        <f t="shared" ref="D149:D157" si="4">B149-B148</f>
        <v>-376.28333333333342</v>
      </c>
    </row>
    <row r="150" spans="1:4" ht="13.5">
      <c r="A150" s="890">
        <v>41760</v>
      </c>
      <c r="B150" s="135">
        <f>Parcelamentos!E1060</f>
        <v>469.32</v>
      </c>
      <c r="C150" s="135">
        <f>SUM(Parcelamentos!G1061:G1064)</f>
        <v>0</v>
      </c>
      <c r="D150" s="891">
        <f t="shared" si="4"/>
        <v>-532</v>
      </c>
    </row>
    <row r="151" spans="1:4" ht="13.5">
      <c r="A151" s="890">
        <v>41791</v>
      </c>
      <c r="B151" s="135">
        <f>Parcelamentos!E1065</f>
        <v>549.22</v>
      </c>
      <c r="C151" s="135">
        <f>SUM(Parcelamentos!G1066:G1070)</f>
        <v>0</v>
      </c>
      <c r="D151" s="891">
        <f t="shared" si="4"/>
        <v>79.900000000000034</v>
      </c>
    </row>
    <row r="152" spans="1:4" ht="13.5">
      <c r="A152" s="890">
        <v>41821</v>
      </c>
      <c r="B152" s="135">
        <f>Parcelamentos!E1071</f>
        <v>549.22</v>
      </c>
      <c r="C152" s="135">
        <f>SUM(Parcelamentos!G1072:G1076)</f>
        <v>0</v>
      </c>
      <c r="D152" s="891">
        <f t="shared" si="4"/>
        <v>0</v>
      </c>
    </row>
    <row r="153" spans="1:4" ht="13.5">
      <c r="A153" s="890">
        <v>41852</v>
      </c>
      <c r="B153" s="135">
        <f>Parcelamentos!E1077</f>
        <v>637.5100000000001</v>
      </c>
      <c r="C153" s="135">
        <f>SUM(Parcelamentos!G1078:G1083)</f>
        <v>0</v>
      </c>
      <c r="D153" s="891">
        <f t="shared" si="4"/>
        <v>88.290000000000077</v>
      </c>
    </row>
    <row r="154" spans="1:4" ht="13.5">
      <c r="A154" s="890">
        <v>41883</v>
      </c>
      <c r="B154" s="135">
        <f>Parcelamentos!E1084</f>
        <v>878.15000000000009</v>
      </c>
      <c r="C154" s="135">
        <f>SUM(Parcelamentos!G1086:G1089)</f>
        <v>0</v>
      </c>
      <c r="D154" s="891">
        <f t="shared" si="4"/>
        <v>240.64</v>
      </c>
    </row>
    <row r="155" spans="1:4" ht="13.5">
      <c r="A155" s="890">
        <v>41913</v>
      </c>
      <c r="B155" s="135">
        <f>Parcelamentos!E1090</f>
        <v>1660.13</v>
      </c>
      <c r="C155" s="135">
        <f>SUM(Parcelamentos!G1095:G1099)</f>
        <v>0</v>
      </c>
      <c r="D155" s="891">
        <f t="shared" si="4"/>
        <v>781.98</v>
      </c>
    </row>
    <row r="156" spans="1:4" ht="13.5">
      <c r="A156" s="890">
        <v>41944</v>
      </c>
      <c r="B156" s="135">
        <f>Parcelamentos!E1100</f>
        <v>2372.0600000000004</v>
      </c>
      <c r="C156" s="135">
        <f>SUM(Parcelamentos!G1107:G1110)</f>
        <v>0</v>
      </c>
      <c r="D156" s="891">
        <f t="shared" si="4"/>
        <v>711.93000000000029</v>
      </c>
    </row>
    <row r="157" spans="1:4" ht="13.5">
      <c r="A157" s="892">
        <v>41974</v>
      </c>
      <c r="B157" s="790">
        <f>Parcelamentos!E1111</f>
        <v>2439.16</v>
      </c>
      <c r="C157" s="790">
        <f>SUM(Parcelamentos!G1118:G1121)</f>
        <v>0</v>
      </c>
      <c r="D157" s="1003">
        <f t="shared" si="4"/>
        <v>67.099999999999454</v>
      </c>
    </row>
    <row r="158" spans="1:4" ht="13.5">
      <c r="A158" s="1002">
        <v>42005</v>
      </c>
      <c r="B158" s="784">
        <f>Parcelamentos!E1122</f>
        <v>2311.86</v>
      </c>
      <c r="C158" s="784">
        <f>SUM(Parcelamentos!G1122:G1131)</f>
        <v>0</v>
      </c>
      <c r="D158" s="768">
        <f>B158-B157</f>
        <v>-127.29999999999973</v>
      </c>
    </row>
    <row r="159" spans="1:4" ht="13.5">
      <c r="A159" s="890">
        <v>42036</v>
      </c>
      <c r="B159" s="135">
        <f>Parcelamentos!E1132</f>
        <v>2345.4500000000003</v>
      </c>
      <c r="C159" s="135">
        <f>SUM(Parcelamentos!G1132:G1141)</f>
        <v>0</v>
      </c>
      <c r="D159" s="891">
        <f t="shared" ref="D159:D193" si="5">B159-B158</f>
        <v>33.590000000000146</v>
      </c>
    </row>
    <row r="160" spans="1:4" ht="13.5">
      <c r="A160" s="890">
        <v>42064</v>
      </c>
      <c r="B160" s="135">
        <f>Parcelamentos!E1142</f>
        <v>1848.33</v>
      </c>
      <c r="C160" s="135">
        <f>SUM(Parcelamentos!G1142:G1149)</f>
        <v>0</v>
      </c>
      <c r="D160" s="891">
        <f t="shared" si="5"/>
        <v>-497.12000000000035</v>
      </c>
    </row>
    <row r="161" spans="1:4" ht="13.5">
      <c r="A161" s="890">
        <v>42095</v>
      </c>
      <c r="B161" s="135">
        <f>Parcelamentos!E1150</f>
        <v>1489.9599999999998</v>
      </c>
      <c r="C161" s="135">
        <f>SUM(Parcelamentos!G1150:G1157)</f>
        <v>0</v>
      </c>
      <c r="D161" s="891">
        <f t="shared" si="5"/>
        <v>-358.37000000000012</v>
      </c>
    </row>
    <row r="162" spans="1:4" ht="13.5">
      <c r="A162" s="890">
        <v>42125</v>
      </c>
      <c r="B162" s="135">
        <f>Parcelamentos!E1158</f>
        <v>1551.59</v>
      </c>
      <c r="C162" s="135">
        <f>SUM(Parcelamentos!G1158:G1166)</f>
        <v>0</v>
      </c>
      <c r="D162" s="891">
        <f t="shared" si="5"/>
        <v>61.630000000000109</v>
      </c>
    </row>
    <row r="163" spans="1:4" ht="13.5">
      <c r="A163" s="890">
        <v>42156</v>
      </c>
      <c r="B163" s="135">
        <f>Parcelamentos!E1167</f>
        <v>1312.24</v>
      </c>
      <c r="C163" s="135">
        <f>SUM(Parcelamentos!G1167:G1173)</f>
        <v>0</v>
      </c>
      <c r="D163" s="891">
        <f t="shared" si="5"/>
        <v>-239.34999999999991</v>
      </c>
    </row>
    <row r="164" spans="1:4" ht="13.5">
      <c r="A164" s="890">
        <v>42186</v>
      </c>
      <c r="B164" s="135">
        <f>Parcelamentos!E1174</f>
        <v>1819.8899999999999</v>
      </c>
      <c r="C164" s="135">
        <f>SUM(Parcelamentos!G1174:G1181)</f>
        <v>0</v>
      </c>
      <c r="D164" s="891">
        <f t="shared" si="5"/>
        <v>507.64999999999986</v>
      </c>
    </row>
    <row r="165" spans="1:4" ht="13.5">
      <c r="A165" s="890">
        <v>42217</v>
      </c>
      <c r="B165" s="135">
        <f>Parcelamentos!E1182</f>
        <v>2152.5</v>
      </c>
      <c r="C165" s="135">
        <f>SUM(Parcelamentos!G1182:G1190)</f>
        <v>0</v>
      </c>
      <c r="D165" s="891">
        <f t="shared" si="5"/>
        <v>332.61000000000013</v>
      </c>
    </row>
    <row r="166" spans="1:4" ht="13.5">
      <c r="A166" s="890">
        <v>42248</v>
      </c>
      <c r="B166" s="135">
        <f>SUM(Parcelamentos!E1192:E1200)</f>
        <v>2897.5</v>
      </c>
      <c r="C166" s="135">
        <f>SUM(Parcelamentos!G1192:G1200)</f>
        <v>0</v>
      </c>
      <c r="D166" s="891">
        <f t="shared" si="5"/>
        <v>745</v>
      </c>
    </row>
    <row r="167" spans="1:4" ht="13.5">
      <c r="A167" s="890">
        <v>42278</v>
      </c>
      <c r="B167" s="135">
        <f>SUM(Parcelamentos!E1202:E1207)</f>
        <v>1971.6999999999998</v>
      </c>
      <c r="C167" s="135">
        <f>SUM(Parcelamentos!G1202:G1207)</f>
        <v>0</v>
      </c>
      <c r="D167" s="891">
        <f t="shared" si="5"/>
        <v>-925.80000000000018</v>
      </c>
    </row>
    <row r="168" spans="1:4" ht="13.5">
      <c r="A168" s="890">
        <v>42309</v>
      </c>
      <c r="B168" s="135">
        <f>SUM(Parcelamentos!E1209:E1217)</f>
        <v>2486.0033333333331</v>
      </c>
      <c r="C168" s="135">
        <f>SUM(Parcelamentos!G1209:G1217)</f>
        <v>0</v>
      </c>
      <c r="D168" s="891">
        <f t="shared" si="5"/>
        <v>514.30333333333328</v>
      </c>
    </row>
    <row r="169" spans="1:4" ht="13.5">
      <c r="A169" s="892">
        <v>42339</v>
      </c>
      <c r="B169" s="790">
        <f>SUM(Parcelamentos!E1219:E1226)</f>
        <v>2576.2533333333331</v>
      </c>
      <c r="C169" s="790">
        <f>SUM(Parcelamentos!G1219:G1226)</f>
        <v>0</v>
      </c>
      <c r="D169" s="1003">
        <f t="shared" si="5"/>
        <v>90.25</v>
      </c>
    </row>
    <row r="170" spans="1:4" ht="13.5">
      <c r="A170" s="1002">
        <v>42370</v>
      </c>
      <c r="B170" s="784">
        <f>SUM(Parcelamentos!E1228:E1232)</f>
        <v>1390.6333333333334</v>
      </c>
      <c r="C170" s="784">
        <f>SUM(Parcelamentos!G1228:G1232)</f>
        <v>0</v>
      </c>
      <c r="D170" s="768">
        <f>B170-B169</f>
        <v>-1185.6199999999997</v>
      </c>
    </row>
    <row r="171" spans="1:4" ht="13.5">
      <c r="A171" s="890">
        <v>42401</v>
      </c>
      <c r="B171" s="135">
        <f>SUM(Parcelamentos!E1234:E1241)</f>
        <v>1689.2633333333335</v>
      </c>
      <c r="C171" s="135">
        <f>SUM(Parcelamentos!G1234:G1241)</f>
        <v>0</v>
      </c>
      <c r="D171" s="891">
        <f t="shared" si="5"/>
        <v>298.63000000000011</v>
      </c>
    </row>
    <row r="172" spans="1:4" ht="13.5">
      <c r="A172" s="890">
        <v>42430</v>
      </c>
      <c r="B172" s="135">
        <f>SUM(Parcelamentos!E1243:E1249)</f>
        <v>1288.6733333333334</v>
      </c>
      <c r="C172" s="135">
        <f>SUM(Parcelamentos!G1243:G1249)</f>
        <v>0</v>
      </c>
      <c r="D172" s="891">
        <f t="shared" si="5"/>
        <v>-400.59000000000015</v>
      </c>
    </row>
    <row r="173" spans="1:4" ht="13.5">
      <c r="A173" s="890">
        <v>42461</v>
      </c>
      <c r="B173" s="135">
        <f>SUM(Parcelamentos!E1251:E1258)</f>
        <v>1395.7233333333334</v>
      </c>
      <c r="C173" s="135">
        <f>SUM(Parcelamentos!G1251:G1258)</f>
        <v>0</v>
      </c>
      <c r="D173" s="891">
        <f t="shared" si="5"/>
        <v>107.04999999999995</v>
      </c>
    </row>
    <row r="174" spans="1:4" ht="13.5">
      <c r="A174" s="890">
        <v>42491</v>
      </c>
      <c r="B174" s="135">
        <f>SUM(Parcelamentos!E1260:E1266)</f>
        <v>1372.0900000000001</v>
      </c>
      <c r="C174" s="135">
        <f>SUM(Parcelamentos!G1260:G1266)</f>
        <v>0</v>
      </c>
      <c r="D174" s="891">
        <f t="shared" si="5"/>
        <v>-23.633333333333212</v>
      </c>
    </row>
    <row r="175" spans="1:4" ht="13.5">
      <c r="A175" s="890">
        <v>42522</v>
      </c>
      <c r="B175" s="135">
        <f>SUM(Parcelamentos!E1268:E1275)</f>
        <v>1596.69</v>
      </c>
      <c r="C175" s="135">
        <f>SUM(Parcelamentos!G1268:G1275)</f>
        <v>0</v>
      </c>
      <c r="D175" s="891">
        <f t="shared" si="5"/>
        <v>224.59999999999991</v>
      </c>
    </row>
    <row r="176" spans="1:4" ht="13.5">
      <c r="A176" s="890">
        <v>42552</v>
      </c>
      <c r="B176" s="135">
        <f>SUM(Parcelamentos!E1277:E1285)</f>
        <v>1415.7</v>
      </c>
      <c r="C176" s="135">
        <f>SUM(Parcelamentos!G1277:G1285)</f>
        <v>0</v>
      </c>
      <c r="D176" s="891">
        <f t="shared" si="5"/>
        <v>-180.99</v>
      </c>
    </row>
    <row r="177" spans="1:4" ht="13.5">
      <c r="A177" s="890">
        <v>42583</v>
      </c>
      <c r="B177" s="135">
        <f>SUM(Parcelamentos!E1287:E1293)</f>
        <v>1668.4550000000002</v>
      </c>
      <c r="C177" s="135">
        <f>SUM(Parcelamentos!G1287:G1293)</f>
        <v>0</v>
      </c>
      <c r="D177" s="891">
        <f t="shared" si="5"/>
        <v>252.75500000000011</v>
      </c>
    </row>
    <row r="178" spans="1:4" ht="13.5">
      <c r="A178" s="890">
        <v>42614</v>
      </c>
      <c r="B178" s="135">
        <f>SUM(Parcelamentos!E1295:E1303)</f>
        <v>2149.9349999999999</v>
      </c>
      <c r="C178" s="135">
        <f>SUM(Parcelamentos!G1295:G1303)</f>
        <v>0</v>
      </c>
      <c r="D178" s="891">
        <f t="shared" si="5"/>
        <v>481.47999999999979</v>
      </c>
    </row>
    <row r="179" spans="1:4" ht="13.5">
      <c r="A179" s="890">
        <v>42644</v>
      </c>
      <c r="B179" s="135">
        <f>SUM(Parcelamentos!E1305:E1311)</f>
        <v>2210.8249999999998</v>
      </c>
      <c r="C179" s="135">
        <f>SUM(Parcelamentos!G1305:G1311)</f>
        <v>0</v>
      </c>
      <c r="D179" s="891">
        <f t="shared" si="5"/>
        <v>60.889999999999873</v>
      </c>
    </row>
    <row r="180" spans="1:4" ht="13.5">
      <c r="A180" s="890">
        <v>42675</v>
      </c>
      <c r="B180" s="135">
        <f>SUM(Parcelamentos!E1313:E1321)</f>
        <v>2688.7950000000001</v>
      </c>
      <c r="C180" s="135">
        <f>SUM(Parcelamentos!G1313:G1321)</f>
        <v>0</v>
      </c>
      <c r="D180" s="891">
        <f t="shared" si="5"/>
        <v>477.97000000000025</v>
      </c>
    </row>
    <row r="181" spans="1:4" ht="13.5">
      <c r="A181" s="892">
        <v>42705</v>
      </c>
      <c r="B181" s="790">
        <f>SUM(Parcelamentos!E1323:E1330)</f>
        <v>2188.5899999999997</v>
      </c>
      <c r="C181" s="790">
        <f>SUM(Parcelamentos!G1323:G1330)</f>
        <v>0</v>
      </c>
      <c r="D181" s="1003">
        <f t="shared" si="5"/>
        <v>-500.20500000000038</v>
      </c>
    </row>
    <row r="182" spans="1:4" ht="13.5">
      <c r="A182" s="1002">
        <v>42736</v>
      </c>
      <c r="B182" s="784">
        <f>SUM(Parcelamentos!E1332:E1345)</f>
        <v>3095.1206666666662</v>
      </c>
      <c r="C182" s="784">
        <f>SUM(Parcelamentos!G1332:G1345)</f>
        <v>0</v>
      </c>
      <c r="D182" s="768">
        <f>B182-B181</f>
        <v>906.53066666666655</v>
      </c>
    </row>
    <row r="183" spans="1:4" ht="13.5">
      <c r="A183" s="890">
        <v>42767</v>
      </c>
      <c r="B183" s="135">
        <f>SUM(Parcelamentos!E1347:E1360)</f>
        <v>3075.8706666666671</v>
      </c>
      <c r="C183" s="135">
        <f>SUM(Parcelamentos!G1347:G1360)</f>
        <v>0</v>
      </c>
      <c r="D183" s="891">
        <f t="shared" si="5"/>
        <v>-19.249999999999091</v>
      </c>
    </row>
    <row r="184" spans="1:4" ht="13.5">
      <c r="A184" s="890">
        <v>42795</v>
      </c>
      <c r="B184" s="135">
        <f>SUM(Parcelamentos!E1362:E1374)</f>
        <v>3567.1506666666669</v>
      </c>
      <c r="C184" s="135">
        <f>SUM(Parcelamentos!G1362:G1374)</f>
        <v>0</v>
      </c>
      <c r="D184" s="891">
        <f t="shared" si="5"/>
        <v>491.27999999999975</v>
      </c>
    </row>
    <row r="185" spans="1:4" ht="13.5">
      <c r="A185" s="890">
        <v>42826</v>
      </c>
      <c r="B185" s="135">
        <f>SUM(Parcelamentos!E1376:E1382)</f>
        <v>2372.5639999999999</v>
      </c>
      <c r="C185" s="135">
        <f>SUM(Parcelamentos!G1376:G1382)</f>
        <v>0</v>
      </c>
      <c r="D185" s="891">
        <f t="shared" si="5"/>
        <v>-1194.586666666667</v>
      </c>
    </row>
    <row r="186" spans="1:4" ht="13.5">
      <c r="A186" s="890">
        <v>42856</v>
      </c>
      <c r="B186" s="135">
        <f>SUM(Parcelamentos!E1384:E1392)</f>
        <v>3334.9439999999995</v>
      </c>
      <c r="C186" s="135">
        <f>SUM(Parcelamentos!G1384:G1392)</f>
        <v>0</v>
      </c>
      <c r="D186" s="891">
        <f t="shared" si="5"/>
        <v>962.37999999999965</v>
      </c>
    </row>
    <row r="187" spans="1:4" ht="13.5">
      <c r="A187" s="890">
        <v>42887</v>
      </c>
      <c r="B187" s="135">
        <f>SUM(Parcelamentos!E1394:E1402)</f>
        <v>3338.7239999999997</v>
      </c>
      <c r="C187" s="135">
        <f>SUM(Parcelamentos!G1394:G1402)</f>
        <v>0</v>
      </c>
      <c r="D187" s="891">
        <f t="shared" si="5"/>
        <v>3.7800000000002001</v>
      </c>
    </row>
    <row r="188" spans="1:4" ht="13.5">
      <c r="A188" s="890">
        <v>42917</v>
      </c>
      <c r="B188" s="135">
        <f>SUM(Parcelamentos!E1404:E1414)</f>
        <v>3696.3539999999998</v>
      </c>
      <c r="C188" s="135">
        <f>SUM(Parcelamentos!G1404:G1414)</f>
        <v>0</v>
      </c>
      <c r="D188" s="891">
        <f t="shared" si="5"/>
        <v>357.63000000000011</v>
      </c>
    </row>
    <row r="189" spans="1:4" ht="13.5">
      <c r="A189" s="890">
        <v>42948</v>
      </c>
      <c r="B189" s="135">
        <f>SUM(Parcelamentos!E1416:E1428)</f>
        <v>4321.6040000000003</v>
      </c>
      <c r="C189" s="135">
        <f>SUM(Parcelamentos!G1416:G1428)</f>
        <v>0</v>
      </c>
      <c r="D189" s="891">
        <f t="shared" si="5"/>
        <v>625.25000000000045</v>
      </c>
    </row>
    <row r="190" spans="1:4" ht="13.5">
      <c r="A190" s="890">
        <v>42979</v>
      </c>
      <c r="B190" s="135">
        <f>SUM(Parcelamentos!E1430:E1441)</f>
        <v>3794.3139999999999</v>
      </c>
      <c r="C190" s="135">
        <f>SUM(Parcelamentos!G1430:G1441)</f>
        <v>0</v>
      </c>
      <c r="D190" s="891">
        <f t="shared" si="5"/>
        <v>-527.29000000000042</v>
      </c>
    </row>
    <row r="191" spans="1:4" ht="13.5">
      <c r="A191" s="890">
        <v>43009</v>
      </c>
      <c r="B191" s="135">
        <f>SUM(Parcelamentos!E1443:E1454)</f>
        <v>3642.9339999999997</v>
      </c>
      <c r="C191" s="135">
        <f>SUM(Parcelamentos!G1443:G1454)</f>
        <v>0</v>
      </c>
      <c r="D191" s="891">
        <f t="shared" si="5"/>
        <v>-151.38000000000011</v>
      </c>
    </row>
    <row r="192" spans="1:4" ht="13.5">
      <c r="A192" s="890">
        <v>43040</v>
      </c>
      <c r="B192" s="135">
        <f>SUM(Parcelamentos!E1456:E1469)</f>
        <v>3635.88</v>
      </c>
      <c r="C192" s="135">
        <f>SUM(Parcelamentos!G1456:G1469)</f>
        <v>0</v>
      </c>
      <c r="D192" s="891">
        <f t="shared" si="5"/>
        <v>-7.0539999999996326</v>
      </c>
    </row>
    <row r="193" spans="1:4" ht="13.5">
      <c r="A193" s="890">
        <v>43070</v>
      </c>
      <c r="B193" s="790">
        <f>SUM(Parcelamentos!E1471:E1483)</f>
        <v>2908.92</v>
      </c>
      <c r="C193" s="790">
        <f>SUM(Parcelamentos!G1471:G1483)</f>
        <v>0</v>
      </c>
      <c r="D193" s="1003">
        <f t="shared" si="5"/>
        <v>-726.96</v>
      </c>
    </row>
    <row r="194" spans="1:4" ht="13.5">
      <c r="A194" s="1002">
        <v>43101</v>
      </c>
      <c r="B194" s="784">
        <f>SUM(Parcelamentos!E1485:E1499)</f>
        <v>3426.0600000000004</v>
      </c>
      <c r="C194" s="784">
        <f>SUM(Parcelamentos!G1485:G1499)</f>
        <v>0</v>
      </c>
      <c r="D194" s="768">
        <f t="shared" ref="D194:D266" si="6">B194-B193</f>
        <v>517.14000000000033</v>
      </c>
    </row>
    <row r="195" spans="1:4" ht="13.5">
      <c r="A195" s="890">
        <v>43132</v>
      </c>
      <c r="B195" s="135">
        <f>SUM(Parcelamentos!E1501:E1511)</f>
        <v>2386.11</v>
      </c>
      <c r="C195" s="135">
        <f>SUM(Parcelamentos!G1501:G1511)</f>
        <v>0</v>
      </c>
      <c r="D195" s="891">
        <f t="shared" si="6"/>
        <v>-1039.9500000000003</v>
      </c>
    </row>
    <row r="196" spans="1:4" ht="13.5">
      <c r="A196" s="890">
        <v>43160</v>
      </c>
      <c r="B196" s="135">
        <f>SUM(Parcelamentos!E1513:E1521)</f>
        <v>2835.7900000000004</v>
      </c>
      <c r="C196" s="135">
        <f>SUM(Parcelamentos!G1513:G1521)</f>
        <v>0</v>
      </c>
      <c r="D196" s="891">
        <f t="shared" si="6"/>
        <v>449.68000000000029</v>
      </c>
    </row>
    <row r="197" spans="1:4" ht="13.5">
      <c r="A197" s="890">
        <v>43191</v>
      </c>
      <c r="B197" s="135">
        <f>SUM(Parcelamentos!E1523:E1534)</f>
        <v>3695.5700000000006</v>
      </c>
      <c r="C197" s="135">
        <f>SUM(Parcelamentos!G1523:G1534)</f>
        <v>0</v>
      </c>
      <c r="D197" s="891">
        <f t="shared" si="6"/>
        <v>859.7800000000002</v>
      </c>
    </row>
    <row r="198" spans="1:4" ht="13.5">
      <c r="A198" s="890">
        <v>43221</v>
      </c>
      <c r="B198" s="135">
        <f>SUM(Parcelamentos!E1536:E1547)</f>
        <v>3483.9</v>
      </c>
      <c r="C198" s="135">
        <f>SUM(Parcelamentos!G1536:G1547)</f>
        <v>0</v>
      </c>
      <c r="D198" s="891">
        <f t="shared" si="6"/>
        <v>-211.67000000000053</v>
      </c>
    </row>
    <row r="199" spans="1:4" ht="13.5">
      <c r="A199" s="890">
        <v>43252</v>
      </c>
      <c r="B199" s="135">
        <f>SUM(Parcelamentos!E1549:E1562)</f>
        <v>3399.7000000000003</v>
      </c>
      <c r="C199" s="135">
        <f>SUM(Parcelamentos!G1549:G1562)</f>
        <v>0</v>
      </c>
      <c r="D199" s="891">
        <f t="shared" si="6"/>
        <v>-84.199999999999818</v>
      </c>
    </row>
    <row r="200" spans="1:4" ht="13.5">
      <c r="A200" s="890">
        <v>43282</v>
      </c>
      <c r="B200" s="135">
        <f>SUM(Parcelamentos!E1564:E1574)</f>
        <v>2684.7000000000003</v>
      </c>
      <c r="C200" s="135">
        <f>SUM(Parcelamentos!G1564:G1574)</f>
        <v>0</v>
      </c>
      <c r="D200" s="891">
        <f t="shared" si="6"/>
        <v>-715</v>
      </c>
    </row>
    <row r="201" spans="1:4" ht="13.5">
      <c r="A201" s="890">
        <v>43313</v>
      </c>
      <c r="B201" s="135">
        <f>SUM(Parcelamentos!E1576:E1588)</f>
        <v>3633.3900000000008</v>
      </c>
      <c r="C201" s="135">
        <f>SUM(Parcelamentos!G1576:G1588)</f>
        <v>0</v>
      </c>
      <c r="D201" s="891">
        <f t="shared" si="6"/>
        <v>948.69000000000051</v>
      </c>
    </row>
    <row r="202" spans="1:4" ht="13.5">
      <c r="A202" s="890">
        <v>43344</v>
      </c>
      <c r="B202" s="135">
        <f>SUM(Parcelamentos!E1590:E1603)</f>
        <v>3806.6800000000003</v>
      </c>
      <c r="C202" s="135">
        <f>SUM(Parcelamentos!G1590:G1603)</f>
        <v>0</v>
      </c>
      <c r="D202" s="891">
        <f t="shared" si="6"/>
        <v>173.28999999999951</v>
      </c>
    </row>
    <row r="203" spans="1:4" ht="13.5">
      <c r="A203" s="890">
        <v>43374</v>
      </c>
      <c r="B203" s="135">
        <f>SUM(Parcelamentos!E1605:E1617)</f>
        <v>3902.52</v>
      </c>
      <c r="C203" s="135">
        <f>SUM(Parcelamentos!G1605:G1617)</f>
        <v>0</v>
      </c>
      <c r="D203" s="891">
        <f t="shared" si="6"/>
        <v>95.839999999999691</v>
      </c>
    </row>
    <row r="204" spans="1:4" ht="13.5">
      <c r="A204" s="890">
        <v>43405</v>
      </c>
      <c r="B204" s="135">
        <f>SUM(Parcelamentos!E1619:E1631)</f>
        <v>4101.87</v>
      </c>
      <c r="C204" s="135">
        <f>SUM(Parcelamentos!G1619:G1631)</f>
        <v>0</v>
      </c>
      <c r="D204" s="891">
        <f t="shared" si="6"/>
        <v>199.34999999999991</v>
      </c>
    </row>
    <row r="205" spans="1:4" ht="13.5">
      <c r="A205" s="890">
        <v>43435</v>
      </c>
      <c r="B205" s="790">
        <f>SUM(Parcelamentos!E1633:E1646)</f>
        <v>4224.1899999999996</v>
      </c>
      <c r="C205" s="790">
        <f>SUM(Parcelamentos!G1633:G1646)</f>
        <v>0</v>
      </c>
      <c r="D205" s="1003">
        <f t="shared" si="6"/>
        <v>122.31999999999971</v>
      </c>
    </row>
    <row r="206" spans="1:4" ht="13.5">
      <c r="A206" s="1002">
        <v>43466</v>
      </c>
      <c r="B206" s="784">
        <f>SUM(Parcelamentos!E1648:E1660)</f>
        <v>3314.56</v>
      </c>
      <c r="C206" s="784">
        <f>SUM(Parcelamentos!G1648:G1660)</f>
        <v>0</v>
      </c>
      <c r="D206" s="768">
        <f t="shared" si="6"/>
        <v>-909.62999999999965</v>
      </c>
    </row>
    <row r="207" spans="1:4" ht="13.5">
      <c r="A207" s="890">
        <v>43497</v>
      </c>
      <c r="B207" s="135">
        <f>SUM(Parcelamentos!E1662:E1674)</f>
        <v>2723.84</v>
      </c>
      <c r="C207" s="135">
        <f>SUM(Parcelamentos!G1662:G1674)</f>
        <v>0</v>
      </c>
      <c r="D207" s="891">
        <f t="shared" si="6"/>
        <v>-590.7199999999998</v>
      </c>
    </row>
    <row r="208" spans="1:4" ht="13.5">
      <c r="A208" s="890">
        <v>43525</v>
      </c>
      <c r="B208" s="135">
        <f>SUM(Parcelamentos!E1676:E1686)</f>
        <v>2858.44</v>
      </c>
      <c r="C208" s="135">
        <f>SUM(Parcelamentos!G1676:G1686)</f>
        <v>0</v>
      </c>
      <c r="D208" s="891">
        <f t="shared" si="6"/>
        <v>134.59999999999991</v>
      </c>
    </row>
    <row r="209" spans="1:4" ht="13.5">
      <c r="A209" s="890">
        <v>43556</v>
      </c>
      <c r="B209" s="135">
        <f>Parcelamentos!E1687</f>
        <v>3678.85</v>
      </c>
      <c r="C209" s="135">
        <f>SUM(Parcelamentos!G1691:G1698)</f>
        <v>0</v>
      </c>
      <c r="D209" s="891">
        <f t="shared" si="6"/>
        <v>820.40999999999985</v>
      </c>
    </row>
    <row r="210" spans="1:4" ht="13.5">
      <c r="A210" s="890">
        <v>43586</v>
      </c>
      <c r="B210" s="135">
        <f>SUM(Parcelamentos!E1700:E1708)</f>
        <v>3370.67</v>
      </c>
      <c r="C210" s="135">
        <f>SUM(Parcelamentos!G1700:G1708)</f>
        <v>0</v>
      </c>
      <c r="D210" s="891">
        <f t="shared" si="6"/>
        <v>-308.17999999999984</v>
      </c>
    </row>
    <row r="211" spans="1:4" ht="13.5">
      <c r="A211" s="890">
        <v>43617</v>
      </c>
      <c r="B211" s="135">
        <f>Parcelamentos!E1709</f>
        <v>3889.03</v>
      </c>
      <c r="C211" s="135">
        <f>SUM(Parcelamentos!G1709:G1721)</f>
        <v>0</v>
      </c>
      <c r="D211" s="891">
        <f t="shared" si="6"/>
        <v>518.36000000000013</v>
      </c>
    </row>
    <row r="212" spans="1:4" ht="13.5">
      <c r="A212" s="890">
        <v>43647</v>
      </c>
      <c r="B212" s="135">
        <f>Parcelamentos!E1722</f>
        <v>3982.4999999999995</v>
      </c>
      <c r="C212" s="135">
        <f>SUM(Parcelamentos!G1722:G1735)</f>
        <v>0</v>
      </c>
      <c r="D212" s="891">
        <f t="shared" si="6"/>
        <v>93.469999999999345</v>
      </c>
    </row>
    <row r="213" spans="1:4" ht="13.5">
      <c r="A213" s="890">
        <v>43678</v>
      </c>
      <c r="B213" s="135">
        <f>Parcelamentos!E1736</f>
        <v>2677.18</v>
      </c>
      <c r="C213" s="135">
        <f>SUM(Parcelamentos!G1736:G1746)</f>
        <v>0</v>
      </c>
      <c r="D213" s="891">
        <f t="shared" si="6"/>
        <v>-1305.3199999999997</v>
      </c>
    </row>
    <row r="214" spans="1:4" ht="13.5">
      <c r="A214" s="890">
        <v>43709</v>
      </c>
      <c r="B214" s="135">
        <f>Parcelamentos!E1747</f>
        <v>2347.6000000000004</v>
      </c>
      <c r="C214" s="135">
        <f>SUM(Parcelamentos!G1747:G1757)</f>
        <v>0</v>
      </c>
      <c r="D214" s="891">
        <f t="shared" si="6"/>
        <v>-329.57999999999947</v>
      </c>
    </row>
    <row r="215" spans="1:4" ht="13.5">
      <c r="A215" s="890">
        <v>43739</v>
      </c>
      <c r="B215" s="135">
        <f>Parcelamentos!E1758</f>
        <v>2176.25</v>
      </c>
      <c r="C215" s="135">
        <f>SUM(Parcelamentos!G1758:G1768)</f>
        <v>0</v>
      </c>
      <c r="D215" s="891">
        <f t="shared" si="6"/>
        <v>-171.35000000000036</v>
      </c>
    </row>
    <row r="216" spans="1:4" ht="13.5">
      <c r="A216" s="890">
        <v>43770</v>
      </c>
      <c r="B216" s="135">
        <f>Parcelamentos!E1769</f>
        <v>2949.96</v>
      </c>
      <c r="C216" s="135">
        <f>SUM(Parcelamentos!G1769:G1782)</f>
        <v>0</v>
      </c>
      <c r="D216" s="891">
        <f t="shared" si="6"/>
        <v>773.71</v>
      </c>
    </row>
    <row r="217" spans="1:4" ht="13.5">
      <c r="A217" s="890">
        <v>43800</v>
      </c>
      <c r="B217" s="790">
        <f>Parcelamentos!E1783</f>
        <v>1747.22</v>
      </c>
      <c r="C217" s="790">
        <f>SUM(Parcelamentos!G1784:G1791)</f>
        <v>0</v>
      </c>
      <c r="D217" s="1003">
        <f t="shared" si="6"/>
        <v>-1202.74</v>
      </c>
    </row>
    <row r="218" spans="1:4" ht="13.5">
      <c r="A218" s="1002">
        <v>43831</v>
      </c>
      <c r="B218" s="784">
        <f>Parcelamentos!E1792</f>
        <v>3064.1266666666666</v>
      </c>
      <c r="C218" s="784">
        <f>SUM(Parcelamentos!G1792:G1801)</f>
        <v>0</v>
      </c>
      <c r="D218" s="768">
        <f t="shared" si="6"/>
        <v>1316.9066666666665</v>
      </c>
    </row>
    <row r="219" spans="1:4" ht="13.5">
      <c r="A219" s="890">
        <v>43862</v>
      </c>
      <c r="B219" s="135">
        <f>Parcelamentos!E1802</f>
        <v>2378.7266666666665</v>
      </c>
      <c r="C219" s="135">
        <f>SUM(Parcelamentos!G1803:G1809)</f>
        <v>0</v>
      </c>
      <c r="D219" s="891">
        <f t="shared" si="6"/>
        <v>-685.40000000000009</v>
      </c>
    </row>
    <row r="220" spans="1:4" ht="13.5">
      <c r="A220" s="890">
        <v>43891</v>
      </c>
      <c r="B220" s="135">
        <f>Parcelamentos!E1810</f>
        <v>2336.1066666666666</v>
      </c>
      <c r="C220" s="135">
        <f>SUM(Parcelamentos!G1811:G1818)</f>
        <v>0</v>
      </c>
      <c r="D220" s="891">
        <f t="shared" si="6"/>
        <v>-42.619999999999891</v>
      </c>
    </row>
    <row r="221" spans="1:4" ht="13.5">
      <c r="A221" s="890">
        <v>43922</v>
      </c>
      <c r="B221" s="135">
        <f>Parcelamentos!E1819</f>
        <v>2280.3199999999997</v>
      </c>
      <c r="C221" s="135">
        <f>SUM(Parcelamentos!G1820:G1826)</f>
        <v>0</v>
      </c>
      <c r="D221" s="891">
        <f t="shared" si="6"/>
        <v>-55.786666666666861</v>
      </c>
    </row>
    <row r="222" spans="1:4" ht="13.5">
      <c r="A222" s="890">
        <v>43952</v>
      </c>
      <c r="B222" s="135">
        <f>Parcelamentos!E1827</f>
        <v>1932.61</v>
      </c>
      <c r="C222" s="135">
        <f>SUM(Parcelamentos!G1828:G1833)</f>
        <v>0</v>
      </c>
      <c r="D222" s="891">
        <f t="shared" si="6"/>
        <v>-347.70999999999981</v>
      </c>
    </row>
    <row r="223" spans="1:4" ht="13.5">
      <c r="A223" s="890">
        <v>43983</v>
      </c>
      <c r="B223" s="135">
        <f>Parcelamentos!E1834</f>
        <v>2204.7799999999997</v>
      </c>
      <c r="C223" s="135">
        <f>SUM(Parcelamentos!G1835:G1842)</f>
        <v>0</v>
      </c>
      <c r="D223" s="891">
        <f t="shared" si="6"/>
        <v>272.16999999999985</v>
      </c>
    </row>
    <row r="224" spans="1:4" ht="13.5">
      <c r="A224" s="890">
        <v>44013</v>
      </c>
      <c r="B224" s="135">
        <f>Parcelamentos!E1843</f>
        <v>2204.7799999999997</v>
      </c>
      <c r="C224" s="135">
        <f>SUM(Parcelamentos!G1844:G1851)</f>
        <v>0</v>
      </c>
      <c r="D224" s="891">
        <f t="shared" si="6"/>
        <v>0</v>
      </c>
    </row>
    <row r="225" spans="1:4" ht="13.5">
      <c r="A225" s="890">
        <v>44044</v>
      </c>
      <c r="B225" s="135">
        <f>Parcelamentos!E1852</f>
        <v>2297.66</v>
      </c>
      <c r="C225" s="135">
        <f>SUM(Parcelamentos!G1853:G1860)</f>
        <v>0</v>
      </c>
      <c r="D225" s="891">
        <f t="shared" si="6"/>
        <v>92.880000000000109</v>
      </c>
    </row>
    <row r="226" spans="1:4" ht="13.5">
      <c r="A226" s="890">
        <v>44075</v>
      </c>
      <c r="B226" s="135">
        <f>Parcelamentos!E1861</f>
        <v>3525.4</v>
      </c>
      <c r="C226" s="135">
        <f>SUM(Parcelamentos!G1862:G1872)</f>
        <v>0</v>
      </c>
      <c r="D226" s="891">
        <f t="shared" si="6"/>
        <v>1227.7400000000002</v>
      </c>
    </row>
    <row r="227" spans="1:4" ht="13.5">
      <c r="A227" s="890">
        <v>44105</v>
      </c>
      <c r="B227" s="135">
        <f>Parcelamentos!E1873</f>
        <v>3519.4</v>
      </c>
      <c r="C227" s="135">
        <f>SUM(Parcelamentos!G1874:G1884)</f>
        <v>0</v>
      </c>
      <c r="D227" s="891">
        <f t="shared" si="6"/>
        <v>-6</v>
      </c>
    </row>
    <row r="228" spans="1:4" ht="13.5">
      <c r="A228" s="890">
        <v>44136</v>
      </c>
      <c r="B228" s="135">
        <f>Parcelamentos!E1885</f>
        <v>4089.9599999999996</v>
      </c>
      <c r="C228" s="135">
        <f>SUM(Parcelamentos!G1886:G1897)</f>
        <v>0</v>
      </c>
      <c r="D228" s="891">
        <f t="shared" si="6"/>
        <v>570.55999999999949</v>
      </c>
    </row>
    <row r="229" spans="1:4" ht="13.5">
      <c r="A229" s="890">
        <v>44166</v>
      </c>
      <c r="B229" s="790">
        <f>Parcelamentos!E1898</f>
        <v>4900.2800000000007</v>
      </c>
      <c r="C229" s="790">
        <f>SUM(Parcelamentos!G1899:G1910)</f>
        <v>0</v>
      </c>
      <c r="D229" s="1003">
        <f t="shared" si="6"/>
        <v>810.32000000000107</v>
      </c>
    </row>
    <row r="230" spans="1:4" ht="13.5">
      <c r="A230" s="1002">
        <v>44197</v>
      </c>
      <c r="B230" s="784">
        <f>Parcelamentos!E1911</f>
        <v>4117.43</v>
      </c>
      <c r="C230" s="784">
        <f>SUM(Parcelamentos!G1911:G1922)</f>
        <v>0</v>
      </c>
      <c r="D230" s="768">
        <f t="shared" si="6"/>
        <v>-782.85000000000036</v>
      </c>
    </row>
    <row r="231" spans="1:4" ht="13.5">
      <c r="A231" s="890">
        <v>44228</v>
      </c>
      <c r="B231" s="135">
        <f>Parcelamentos!E1923</f>
        <v>4117.43</v>
      </c>
      <c r="C231" s="135">
        <f>SUM(Parcelamentos!G1924:G1934)</f>
        <v>0</v>
      </c>
      <c r="D231" s="891">
        <f t="shared" si="6"/>
        <v>0</v>
      </c>
    </row>
    <row r="232" spans="1:4" ht="13.5">
      <c r="A232" s="890">
        <v>44256</v>
      </c>
      <c r="B232" s="135">
        <f>Parcelamentos!E1935</f>
        <v>4447.6400000000003</v>
      </c>
      <c r="C232" s="135">
        <f>SUM(Parcelamentos!G1936:G1946)</f>
        <v>0</v>
      </c>
      <c r="D232" s="891">
        <f t="shared" si="6"/>
        <v>330.21000000000004</v>
      </c>
    </row>
    <row r="233" spans="1:4" ht="13.5">
      <c r="A233" s="890">
        <v>44287</v>
      </c>
      <c r="B233" s="135">
        <f>Parcelamentos!E1947</f>
        <v>3324.04</v>
      </c>
      <c r="C233" s="135">
        <f>SUM(Parcelamentos!G1948:G1959)</f>
        <v>0</v>
      </c>
      <c r="D233" s="891">
        <f t="shared" si="6"/>
        <v>-1123.6000000000004</v>
      </c>
    </row>
    <row r="234" spans="1:4" ht="13.5">
      <c r="A234" s="890">
        <v>44317</v>
      </c>
      <c r="B234" s="135">
        <f>Parcelamentos!E1960</f>
        <v>2763.15</v>
      </c>
      <c r="C234" s="135">
        <f>SUM(Parcelamentos!G1961:G1972)</f>
        <v>0</v>
      </c>
      <c r="D234" s="891">
        <f t="shared" si="6"/>
        <v>-560.88999999999987</v>
      </c>
    </row>
    <row r="235" spans="1:4" ht="13.5">
      <c r="A235" s="890">
        <v>44348</v>
      </c>
      <c r="B235" s="135">
        <f>Parcelamentos!E1973</f>
        <v>2272.84</v>
      </c>
      <c r="C235" s="135">
        <f>SUM(Parcelamentos!G1974:G1983)</f>
        <v>0</v>
      </c>
      <c r="D235" s="891">
        <f t="shared" si="6"/>
        <v>-490.30999999999995</v>
      </c>
    </row>
    <row r="236" spans="1:4" ht="13.5">
      <c r="A236" s="890">
        <v>44378</v>
      </c>
      <c r="B236" s="135">
        <f>Parcelamentos!E1984</f>
        <v>1781.08</v>
      </c>
      <c r="C236" s="135">
        <f>SUM(Parcelamentos!G1985:G1993)</f>
        <v>0</v>
      </c>
      <c r="D236" s="891">
        <f t="shared" si="6"/>
        <v>-491.76000000000022</v>
      </c>
    </row>
    <row r="237" spans="1:4" ht="13.5">
      <c r="A237" s="890">
        <v>44409</v>
      </c>
      <c r="B237" s="135">
        <f>Parcelamentos!E1994</f>
        <v>1527.58</v>
      </c>
      <c r="C237" s="135">
        <f>SUM(Parcelamentos!G1995:G2001)</f>
        <v>0</v>
      </c>
      <c r="D237" s="891">
        <f t="shared" si="6"/>
        <v>-253.5</v>
      </c>
    </row>
    <row r="238" spans="1:4" ht="13.5">
      <c r="A238" s="890">
        <v>44440</v>
      </c>
      <c r="B238" s="135">
        <f>Parcelamentos!E2002</f>
        <v>1371.3200000000002</v>
      </c>
      <c r="C238" s="135">
        <f>SUM(Parcelamentos!G2003:G2008)</f>
        <v>0</v>
      </c>
      <c r="D238" s="891">
        <f t="shared" si="6"/>
        <v>-156.25999999999976</v>
      </c>
    </row>
    <row r="239" spans="1:4" ht="13.5">
      <c r="A239" s="890">
        <v>44470</v>
      </c>
      <c r="B239" s="135">
        <f>Parcelamentos!E2009</f>
        <v>1031.18</v>
      </c>
      <c r="C239" s="135">
        <f>SUM(Parcelamentos!G2010:G2013)</f>
        <v>0</v>
      </c>
      <c r="D239" s="891">
        <f t="shared" si="6"/>
        <v>-340.1400000000001</v>
      </c>
    </row>
    <row r="240" spans="1:4" ht="13.5">
      <c r="A240" s="890">
        <v>44501</v>
      </c>
      <c r="B240" s="135">
        <f>Parcelamentos!E2014</f>
        <v>1457.55</v>
      </c>
      <c r="C240" s="135">
        <f>SUM(Parcelamentos!G2015:G2019)</f>
        <v>0</v>
      </c>
      <c r="D240" s="891">
        <f t="shared" si="6"/>
        <v>426.36999999999989</v>
      </c>
    </row>
    <row r="241" spans="1:4" ht="13.5">
      <c r="A241" s="890">
        <v>44531</v>
      </c>
      <c r="B241" s="790">
        <f>Parcelamentos!E2020</f>
        <v>1457.55</v>
      </c>
      <c r="C241" s="790">
        <f>SUM(Parcelamentos!G2021:G2025)</f>
        <v>0</v>
      </c>
      <c r="D241" s="1003">
        <f t="shared" si="6"/>
        <v>0</v>
      </c>
    </row>
    <row r="242" spans="1:4" ht="13.5">
      <c r="A242" s="1002">
        <v>44562</v>
      </c>
      <c r="B242" s="784">
        <f>Parcelamentos!E2026</f>
        <v>1806.3999999999999</v>
      </c>
      <c r="C242" s="784">
        <f>SUM(Parcelamentos!G2027:G2034)</f>
        <v>0</v>
      </c>
      <c r="D242" s="768">
        <f t="shared" si="6"/>
        <v>348.84999999999991</v>
      </c>
    </row>
    <row r="243" spans="1:4" ht="13.5">
      <c r="A243" s="890">
        <v>44593</v>
      </c>
      <c r="B243" s="135">
        <f>Parcelamentos!E2035</f>
        <v>2509.0100000000002</v>
      </c>
      <c r="C243" s="135">
        <f>SUM(Parcelamentos!G2035:G2045)</f>
        <v>0</v>
      </c>
      <c r="D243" s="891">
        <f t="shared" si="6"/>
        <v>702.61000000000035</v>
      </c>
    </row>
    <row r="244" spans="1:4" ht="13.5">
      <c r="A244" s="890">
        <v>44621</v>
      </c>
      <c r="B244" s="135">
        <f>Parcelamentos!E2046</f>
        <v>1763.3999999999999</v>
      </c>
      <c r="C244" s="135">
        <f>SUM(Parcelamentos!G2046:G2054)</f>
        <v>0</v>
      </c>
      <c r="D244" s="891">
        <f t="shared" si="6"/>
        <v>-745.61000000000035</v>
      </c>
    </row>
    <row r="245" spans="1:4" ht="13.5">
      <c r="A245" s="890">
        <v>44652</v>
      </c>
      <c r="B245" s="135">
        <f>Parcelamentos!E2055</f>
        <v>1763.3999999999999</v>
      </c>
      <c r="C245" s="135">
        <f>SUM(Parcelamentos!G2055:G2063)</f>
        <v>0</v>
      </c>
      <c r="D245" s="891">
        <f t="shared" si="6"/>
        <v>0</v>
      </c>
    </row>
    <row r="246" spans="1:4" ht="13.5">
      <c r="A246" s="890">
        <v>44682</v>
      </c>
      <c r="B246" s="135">
        <f>Parcelamentos!E2064</f>
        <v>924.64</v>
      </c>
      <c r="C246" s="135">
        <f>SUM(Parcelamentos!G2064:G2068)</f>
        <v>0</v>
      </c>
      <c r="D246" s="891">
        <f t="shared" si="6"/>
        <v>-838.75999999999988</v>
      </c>
    </row>
    <row r="247" spans="1:4" ht="13.5">
      <c r="A247" s="890">
        <v>44713</v>
      </c>
      <c r="B247" s="135">
        <f>Parcelamentos!E2069</f>
        <v>924.64</v>
      </c>
      <c r="C247" s="135">
        <f>SUM(Parcelamentos!G2069:G2073)</f>
        <v>0</v>
      </c>
      <c r="D247" s="891">
        <f t="shared" si="6"/>
        <v>0</v>
      </c>
    </row>
    <row r="248" spans="1:4" ht="13.5">
      <c r="A248" s="890">
        <v>44743</v>
      </c>
      <c r="B248" s="135">
        <f>Parcelamentos!E2074</f>
        <v>1381.6799999999998</v>
      </c>
      <c r="C248" s="135">
        <f>SUM(Parcelamentos!G2074:G2078)</f>
        <v>0</v>
      </c>
      <c r="D248" s="891">
        <f t="shared" si="6"/>
        <v>457.03999999999985</v>
      </c>
    </row>
    <row r="249" spans="1:4" ht="13.5">
      <c r="A249" s="890">
        <v>44774</v>
      </c>
      <c r="B249" s="135">
        <f>Parcelamentos!E2079</f>
        <v>1381.6799999999998</v>
      </c>
      <c r="C249" s="135">
        <f>SUM(Parcelamentos!G2079:G2083)</f>
        <v>0</v>
      </c>
      <c r="D249" s="891">
        <f t="shared" si="6"/>
        <v>0</v>
      </c>
    </row>
    <row r="250" spans="1:4" ht="13.5">
      <c r="A250" s="890">
        <v>44805</v>
      </c>
      <c r="B250" s="135">
        <f>Parcelamentos!E2084</f>
        <v>1381.6799999999998</v>
      </c>
      <c r="C250" s="135">
        <f>SUM(Parcelamentos!G2084:G2088)</f>
        <v>0</v>
      </c>
      <c r="D250" s="891">
        <f t="shared" si="6"/>
        <v>0</v>
      </c>
    </row>
    <row r="251" spans="1:4" ht="13.5">
      <c r="A251" s="890">
        <v>44835</v>
      </c>
      <c r="B251" s="135">
        <f>Parcelamentos!E2089</f>
        <v>1272.9899999999998</v>
      </c>
      <c r="C251" s="135">
        <f>SUM(Parcelamentos!G2089:G2093)</f>
        <v>0</v>
      </c>
      <c r="D251" s="891">
        <f t="shared" si="6"/>
        <v>-108.69000000000005</v>
      </c>
    </row>
    <row r="252" spans="1:4" ht="13.5">
      <c r="A252" s="890">
        <v>44866</v>
      </c>
      <c r="B252" s="135">
        <f>Parcelamentos!E2094</f>
        <v>1391.03</v>
      </c>
      <c r="C252" s="135">
        <f>SUM(Parcelamentos!G2094:G2098)</f>
        <v>0</v>
      </c>
      <c r="D252" s="891">
        <f t="shared" si="6"/>
        <v>118.04000000000019</v>
      </c>
    </row>
    <row r="253" spans="1:4" ht="13.5">
      <c r="A253" s="892">
        <v>44896</v>
      </c>
      <c r="B253" s="790">
        <f>Parcelamentos!E2099</f>
        <v>1930.8000000000002</v>
      </c>
      <c r="C253" s="790">
        <f>SUM(Parcelamentos!G2099:G2105)</f>
        <v>0</v>
      </c>
      <c r="D253" s="891">
        <f t="shared" si="6"/>
        <v>539.77000000000021</v>
      </c>
    </row>
    <row r="254" spans="1:4" ht="13.5">
      <c r="A254" s="1002">
        <v>44927</v>
      </c>
      <c r="B254" s="784">
        <f>Parcelamentos!E2106</f>
        <v>2515.5100000000002</v>
      </c>
      <c r="C254" s="784">
        <f>SUM(Parcelamentos!G2106:G2115)</f>
        <v>0</v>
      </c>
      <c r="D254" s="768">
        <f t="shared" si="6"/>
        <v>584.71</v>
      </c>
    </row>
    <row r="255" spans="1:4" ht="13.5">
      <c r="A255" s="890">
        <v>44958</v>
      </c>
      <c r="B255" s="135">
        <f>Parcelamentos!E2116</f>
        <v>3011.86</v>
      </c>
      <c r="C255" s="135">
        <f>SUM(Parcelamentos!G2116:G2126)</f>
        <v>0</v>
      </c>
      <c r="D255" s="891">
        <f t="shared" si="6"/>
        <v>496.34999999999991</v>
      </c>
    </row>
    <row r="256" spans="1:4" ht="13.5">
      <c r="A256" s="890">
        <v>44986</v>
      </c>
      <c r="B256" s="135">
        <f>Parcelamentos!E2127</f>
        <v>5406.6600000000017</v>
      </c>
      <c r="C256" s="135">
        <f>SUM(Parcelamentos!G2127:G2150)</f>
        <v>0</v>
      </c>
      <c r="D256" s="891">
        <f t="shared" si="6"/>
        <v>2394.8000000000015</v>
      </c>
    </row>
    <row r="257" spans="1:4" ht="13.5">
      <c r="A257" s="890">
        <v>45017</v>
      </c>
      <c r="B257" s="135">
        <f>Parcelamentos!E2151</f>
        <v>1988.47</v>
      </c>
      <c r="C257" s="135">
        <f>SUM(Parcelamentos!G2151:G2157)</f>
        <v>0</v>
      </c>
      <c r="D257" s="891">
        <f t="shared" si="6"/>
        <v>-3418.1900000000014</v>
      </c>
    </row>
    <row r="258" spans="1:4" ht="13.5">
      <c r="A258" s="890">
        <v>45047</v>
      </c>
      <c r="B258" s="135">
        <f>Parcelamentos!E2158</f>
        <v>1477.88</v>
      </c>
      <c r="C258" s="135">
        <f>SUM(Parcelamentos!G2158:G2163)</f>
        <v>0</v>
      </c>
      <c r="D258" s="891">
        <f t="shared" si="6"/>
        <v>-510.58999999999992</v>
      </c>
    </row>
    <row r="259" spans="1:4" ht="13.5">
      <c r="A259" s="890">
        <v>45078</v>
      </c>
      <c r="B259" s="135">
        <f>Parcelamentos!E2164</f>
        <v>1105.71</v>
      </c>
      <c r="C259" s="135">
        <f>SUM(Parcelamentos!G2164:G2169)</f>
        <v>0</v>
      </c>
      <c r="D259" s="891">
        <f t="shared" si="6"/>
        <v>-372.17000000000007</v>
      </c>
    </row>
    <row r="260" spans="1:4" ht="13.5">
      <c r="A260" s="890">
        <v>45108</v>
      </c>
      <c r="B260" s="135">
        <f>Parcelamentos!E2170</f>
        <v>1016.65</v>
      </c>
      <c r="C260" s="135">
        <f>SUM(Parcelamentos!G2170:G2174)</f>
        <v>0</v>
      </c>
      <c r="D260" s="891">
        <f t="shared" si="6"/>
        <v>-89.060000000000059</v>
      </c>
    </row>
    <row r="261" spans="1:4" ht="13.5">
      <c r="A261" s="890">
        <v>45139</v>
      </c>
      <c r="B261" s="135">
        <f>Parcelamentos!E2175</f>
        <v>1098.83</v>
      </c>
      <c r="C261" s="135">
        <f>SUM(Parcelamentos!G2175:G2180)</f>
        <v>0</v>
      </c>
      <c r="D261" s="891">
        <f t="shared" si="6"/>
        <v>82.17999999999995</v>
      </c>
    </row>
    <row r="262" spans="1:4" ht="13.5">
      <c r="A262" s="890">
        <v>45170</v>
      </c>
      <c r="B262" s="135">
        <f>Parcelamentos!E2181</f>
        <v>1507.5299999999997</v>
      </c>
      <c r="C262" s="135">
        <f>SUM(Parcelamentos!G2181:G2187)</f>
        <v>0</v>
      </c>
      <c r="D262" s="891">
        <f t="shared" si="6"/>
        <v>408.69999999999982</v>
      </c>
    </row>
    <row r="263" spans="1:4" ht="13.5">
      <c r="A263" s="890">
        <v>45200</v>
      </c>
      <c r="B263" s="135">
        <f>Parcelamentos!E2188</f>
        <v>2150.08</v>
      </c>
      <c r="C263" s="135">
        <f>SUM(Parcelamentos!G2188:G2197)</f>
        <v>0</v>
      </c>
      <c r="D263" s="891">
        <f t="shared" si="6"/>
        <v>642.55000000000018</v>
      </c>
    </row>
    <row r="264" spans="1:4" ht="13.5">
      <c r="A264" s="890">
        <v>45231</v>
      </c>
      <c r="B264" s="135">
        <f>Parcelamentos!E2198</f>
        <v>1892.3000000000002</v>
      </c>
      <c r="C264" s="135">
        <f>SUM(Parcelamentos!G2198:G2207)</f>
        <v>0</v>
      </c>
      <c r="D264" s="891">
        <f t="shared" si="6"/>
        <v>-257.77999999999975</v>
      </c>
    </row>
    <row r="265" spans="1:4" ht="13.5">
      <c r="A265" s="890">
        <v>45261</v>
      </c>
      <c r="B265" s="135">
        <f>Parcelamentos!E2208</f>
        <v>3010.2599999999998</v>
      </c>
      <c r="C265" s="135">
        <f>SUM(Parcelamentos!G2208:G2223)</f>
        <v>0</v>
      </c>
      <c r="D265" s="891">
        <f t="shared" si="6"/>
        <v>1117.9599999999996</v>
      </c>
    </row>
    <row r="266" spans="1:4" ht="13.5">
      <c r="A266" s="1650">
        <v>45292</v>
      </c>
      <c r="B266" s="1651">
        <f>Parcelamentos!E2224</f>
        <v>3473.06</v>
      </c>
      <c r="C266" s="1651">
        <f>SUM(Parcelamentos!G2224:G2242)</f>
        <v>0</v>
      </c>
      <c r="D266" s="1652">
        <f t="shared" si="6"/>
        <v>462.80000000000018</v>
      </c>
    </row>
    <row r="267" spans="1:4" ht="13.5">
      <c r="A267" s="1653">
        <v>45323</v>
      </c>
      <c r="B267" s="135">
        <f>Parcelamentos!E2244</f>
        <v>3396.01</v>
      </c>
      <c r="C267" s="135">
        <f>SUM(Parcelamentos!G2245:G2260)</f>
        <v>0</v>
      </c>
      <c r="D267" s="1654">
        <f t="shared" ref="D267:D289" si="7">B267-B266</f>
        <v>-77.049999999999727</v>
      </c>
    </row>
    <row r="268" spans="1:4" ht="13.5">
      <c r="A268" s="1653">
        <v>45352</v>
      </c>
      <c r="B268" s="135">
        <f>Parcelamentos!E2261</f>
        <v>2968.8800000000006</v>
      </c>
      <c r="C268" s="135">
        <f>SUM(Parcelamentos!G2262:G2275)</f>
        <v>0</v>
      </c>
      <c r="D268" s="1654">
        <f t="shared" si="7"/>
        <v>-427.12999999999965</v>
      </c>
    </row>
    <row r="269" spans="1:4" ht="13.5">
      <c r="A269" s="1653">
        <v>45383</v>
      </c>
      <c r="B269" s="135">
        <f>Parcelamentos!E2276</f>
        <v>3097.9300000000003</v>
      </c>
      <c r="C269" s="135">
        <f>SUM(Parcelamentos!G2277:G2289)</f>
        <v>0</v>
      </c>
      <c r="D269" s="1654">
        <f t="shared" si="7"/>
        <v>129.04999999999973</v>
      </c>
    </row>
    <row r="270" spans="1:4" ht="13.5">
      <c r="A270" s="1653">
        <v>45413</v>
      </c>
      <c r="B270" s="135">
        <f>Parcelamentos!E2290</f>
        <v>3097.2999999999997</v>
      </c>
      <c r="C270" s="135">
        <f>SUM(Parcelamentos!G2291:G2302)</f>
        <v>0</v>
      </c>
      <c r="D270" s="1654">
        <f t="shared" si="7"/>
        <v>-0.63000000000056389</v>
      </c>
    </row>
    <row r="271" spans="1:4" ht="13.5">
      <c r="A271" s="1653">
        <v>45444</v>
      </c>
      <c r="B271" s="135">
        <f>Parcelamentos!E2303</f>
        <v>2420.2199999999998</v>
      </c>
      <c r="C271" s="135">
        <f>SUM(Parcelamentos!G2304:G2311)</f>
        <v>0</v>
      </c>
      <c r="D271" s="1654">
        <f t="shared" si="7"/>
        <v>-677.07999999999993</v>
      </c>
    </row>
    <row r="272" spans="1:4" ht="13.5">
      <c r="A272" s="1653">
        <v>45474</v>
      </c>
      <c r="B272" s="135">
        <f>Parcelamentos!E2312</f>
        <v>2376.09</v>
      </c>
      <c r="C272" s="135">
        <f>SUM(Parcelamentos!G2313:G2321)</f>
        <v>0</v>
      </c>
      <c r="D272" s="1654">
        <f t="shared" si="7"/>
        <v>-44.129999999999654</v>
      </c>
    </row>
    <row r="273" spans="1:4" ht="13.5">
      <c r="A273" s="1653">
        <v>45505</v>
      </c>
      <c r="B273" s="135">
        <f>Parcelamentos!E2322</f>
        <v>3788.9100000000003</v>
      </c>
      <c r="C273" s="135">
        <f>SUM(Parcelamentos!G2323:G2334)</f>
        <v>0</v>
      </c>
      <c r="D273" s="1654">
        <f t="shared" si="7"/>
        <v>1412.8200000000002</v>
      </c>
    </row>
    <row r="274" spans="1:4" ht="13.5">
      <c r="A274" s="1653">
        <v>45536</v>
      </c>
      <c r="B274" s="135">
        <f>Parcelamentos!E2335</f>
        <v>4206.37</v>
      </c>
      <c r="C274" s="135">
        <f>SUM(Parcelamentos!G2336:G2348)</f>
        <v>0</v>
      </c>
      <c r="D274" s="1654">
        <f t="shared" si="7"/>
        <v>417.45999999999958</v>
      </c>
    </row>
    <row r="275" spans="1:4" ht="13.5">
      <c r="A275" s="1653">
        <v>45566</v>
      </c>
      <c r="B275" s="135">
        <f>Parcelamentos!E2349</f>
        <v>4869.63</v>
      </c>
      <c r="C275" s="135">
        <f>SUM(Parcelamentos!G2350:G2364)</f>
        <v>0</v>
      </c>
      <c r="D275" s="1654">
        <f t="shared" si="7"/>
        <v>663.26000000000022</v>
      </c>
    </row>
    <row r="276" spans="1:4" ht="13.5">
      <c r="A276" s="1653">
        <v>45597</v>
      </c>
      <c r="B276" s="135">
        <f>Parcelamentos!E2365</f>
        <v>4302.9000000000005</v>
      </c>
      <c r="C276" s="135">
        <f>SUM(Parcelamentos!G2366:G2378)</f>
        <v>0</v>
      </c>
      <c r="D276" s="1654">
        <f t="shared" si="7"/>
        <v>-566.72999999999956</v>
      </c>
    </row>
    <row r="277" spans="1:4" ht="13.5">
      <c r="A277" s="1653">
        <v>45627</v>
      </c>
      <c r="B277" s="135">
        <f>Parcelamentos!E2379</f>
        <v>3593.04</v>
      </c>
      <c r="C277" s="135">
        <f>SUM(Parcelamentos!G2380:G2389)</f>
        <v>0</v>
      </c>
      <c r="D277" s="1654">
        <f t="shared" si="7"/>
        <v>-709.86000000000058</v>
      </c>
    </row>
    <row r="278" spans="1:4" ht="13.5">
      <c r="A278" s="1002">
        <v>45658</v>
      </c>
      <c r="B278" s="784">
        <f>Parcelamentos!E2390</f>
        <v>3851.51</v>
      </c>
      <c r="C278" s="784">
        <f>SUM(Parcelamentos!G2391:G2401)</f>
        <v>0</v>
      </c>
      <c r="D278" s="768">
        <f t="shared" si="7"/>
        <v>258.47000000000025</v>
      </c>
    </row>
    <row r="279" spans="1:4" ht="13.5">
      <c r="A279" s="890">
        <v>45689</v>
      </c>
      <c r="B279" s="135">
        <f>Parcelamentos!E2402</f>
        <v>2746.42</v>
      </c>
      <c r="C279" s="135">
        <f>SUM(Parcelamentos!G2403:G2412)</f>
        <v>0</v>
      </c>
      <c r="D279" s="891">
        <f t="shared" si="7"/>
        <v>-1105.0900000000001</v>
      </c>
    </row>
    <row r="280" spans="1:4" ht="13.5">
      <c r="A280" s="890">
        <v>45717</v>
      </c>
      <c r="B280" s="135">
        <f>Parcelamentos!E2413</f>
        <v>1832.1899999999998</v>
      </c>
      <c r="C280" s="135">
        <f>SUM(Parcelamentos!G2414:G2419)</f>
        <v>0</v>
      </c>
      <c r="D280" s="891">
        <f t="shared" si="7"/>
        <v>-914.23000000000025</v>
      </c>
    </row>
    <row r="281" spans="1:4" ht="13.5">
      <c r="A281" s="890">
        <v>45748</v>
      </c>
      <c r="B281" s="135">
        <f>Parcelamentos!E2420</f>
        <v>1778.3600000000001</v>
      </c>
      <c r="C281" s="135">
        <f>SUM(Parcelamentos!G2421:G2428)</f>
        <v>0</v>
      </c>
      <c r="D281" s="891">
        <f t="shared" si="7"/>
        <v>-53.8299999999997</v>
      </c>
    </row>
    <row r="282" spans="1:4" ht="13.5">
      <c r="A282" s="890">
        <v>45778</v>
      </c>
      <c r="B282" s="135">
        <f>Parcelamentos!E2429</f>
        <v>2368.36</v>
      </c>
      <c r="C282" s="135">
        <f>SUM(Parcelamentos!G2430:G2441)</f>
        <v>0</v>
      </c>
      <c r="D282" s="891">
        <f t="shared" si="7"/>
        <v>590</v>
      </c>
    </row>
    <row r="283" spans="1:4" ht="13.5">
      <c r="A283" s="890">
        <v>45809</v>
      </c>
      <c r="B283" s="135">
        <f>Parcelamentos!E2442</f>
        <v>3595.6499999999996</v>
      </c>
      <c r="C283" s="135">
        <f>SUM(Parcelamentos!G2443:G2457)</f>
        <v>0</v>
      </c>
      <c r="D283" s="891">
        <f t="shared" si="7"/>
        <v>1227.2899999999995</v>
      </c>
    </row>
    <row r="284" spans="1:4" ht="13.5">
      <c r="A284" s="890">
        <v>45839</v>
      </c>
      <c r="B284" s="135">
        <f>Parcelamentos!E2458</f>
        <v>3603.7099999999996</v>
      </c>
      <c r="C284" s="135">
        <f>SUM(Parcelamentos!G2458:G2474)</f>
        <v>0</v>
      </c>
      <c r="D284" s="891">
        <f t="shared" si="7"/>
        <v>8.0599999999999454</v>
      </c>
    </row>
    <row r="285" spans="1:4" ht="13.5">
      <c r="A285" s="890">
        <v>45870</v>
      </c>
      <c r="B285" s="135">
        <f>Parcelamentos!E2475</f>
        <v>2875.66</v>
      </c>
      <c r="C285" s="135">
        <f>SUM(Parcelamentos!G2475:G2489)</f>
        <v>0</v>
      </c>
      <c r="D285" s="891">
        <f t="shared" si="7"/>
        <v>-728.04999999999973</v>
      </c>
    </row>
    <row r="286" spans="1:4" ht="13.5">
      <c r="A286" s="890">
        <v>45901</v>
      </c>
      <c r="B286" s="135">
        <f>Parcelamentos!E2490</f>
        <v>2593.16</v>
      </c>
      <c r="C286" s="135">
        <f>SUM(Parcelamentos!G2490:G2502)</f>
        <v>0</v>
      </c>
      <c r="D286" s="891">
        <f t="shared" si="7"/>
        <v>-282.5</v>
      </c>
    </row>
    <row r="287" spans="1:4" ht="13.5">
      <c r="A287" s="890">
        <v>45931</v>
      </c>
      <c r="B287" s="135">
        <f>Parcelamentos!E2503</f>
        <v>2547.7499999999995</v>
      </c>
      <c r="C287" s="135">
        <f>SUM(Parcelamentos!G2503:G2515)</f>
        <v>0</v>
      </c>
      <c r="D287" s="891">
        <f t="shared" si="7"/>
        <v>-45.410000000000309</v>
      </c>
    </row>
    <row r="288" spans="1:4" ht="13.5">
      <c r="A288" s="890">
        <v>45962</v>
      </c>
      <c r="B288" s="135">
        <f>Parcelamentos!E2516</f>
        <v>3432.5499999999993</v>
      </c>
      <c r="C288" s="135">
        <f>SUM(Parcelamentos!G2516:G2531)</f>
        <v>0</v>
      </c>
      <c r="D288" s="891">
        <f t="shared" si="7"/>
        <v>884.79999999999973</v>
      </c>
    </row>
    <row r="289" spans="1:4" ht="13.5">
      <c r="A289" s="892">
        <v>45992</v>
      </c>
      <c r="B289" s="790">
        <f>Parcelamentos!E2532</f>
        <v>2738.0199999999995</v>
      </c>
      <c r="C289" s="790">
        <f>SUM(Parcelamentos!G2532:G2543)</f>
        <v>0</v>
      </c>
      <c r="D289" s="1003">
        <f t="shared" si="7"/>
        <v>-694.52999999999975</v>
      </c>
    </row>
    <row r="290" spans="1:4" ht="13.5">
      <c r="A290" s="1002">
        <v>46023</v>
      </c>
      <c r="B290" s="784">
        <f>Parcelamentos!E2544</f>
        <v>2805.9799999999996</v>
      </c>
      <c r="C290" s="784">
        <f>SUM(Parcelamentos!G2544:G2555)</f>
        <v>0</v>
      </c>
      <c r="D290" s="768">
        <f t="shared" ref="D290:D305" si="8">B290-B289</f>
        <v>67.960000000000036</v>
      </c>
    </row>
    <row r="291" spans="1:4" ht="13.5">
      <c r="A291" s="890">
        <v>46054</v>
      </c>
      <c r="B291" s="135">
        <f>Parcelamentos!E2556</f>
        <v>2550.15</v>
      </c>
      <c r="C291" s="135">
        <f>SUM(Parcelamentos!G2556:G2565)</f>
        <v>0</v>
      </c>
      <c r="D291" s="891">
        <f t="shared" si="8"/>
        <v>-255.82999999999947</v>
      </c>
    </row>
    <row r="292" spans="1:4" ht="13.5">
      <c r="A292" s="890">
        <v>46082</v>
      </c>
      <c r="B292" s="135">
        <f>Parcelamentos!E2566</f>
        <v>2550.15</v>
      </c>
      <c r="C292" s="135">
        <f>SUM(Parcelamentos!G2566:G2575)</f>
        <v>0</v>
      </c>
      <c r="D292" s="891">
        <f t="shared" si="8"/>
        <v>0</v>
      </c>
    </row>
    <row r="293" spans="1:4" ht="14.25" customHeight="1">
      <c r="A293" s="890">
        <v>46113</v>
      </c>
      <c r="B293" s="135">
        <f>Parcelamentos!E2576</f>
        <v>2335.48</v>
      </c>
      <c r="C293" s="135">
        <f>SUM(Parcelamentos!G2576:G2584)</f>
        <v>0</v>
      </c>
      <c r="D293" s="891">
        <f t="shared" si="8"/>
        <v>-214.67000000000007</v>
      </c>
    </row>
    <row r="294" spans="1:4" ht="13.5">
      <c r="A294" s="890">
        <v>46143</v>
      </c>
      <c r="B294" s="135">
        <f>Parcelamentos!E2585</f>
        <v>3313.9266666666663</v>
      </c>
      <c r="C294" s="135">
        <f>SUM(Parcelamentos!G2585:G2595)</f>
        <v>0</v>
      </c>
      <c r="D294" s="891">
        <f t="shared" si="8"/>
        <v>978.44666666666626</v>
      </c>
    </row>
    <row r="295" spans="1:4" ht="13.5">
      <c r="A295" s="890">
        <v>46174</v>
      </c>
      <c r="B295" s="135">
        <f>Parcelamentos!E2596</f>
        <v>2225.0066666666667</v>
      </c>
      <c r="C295" s="135">
        <f>SUM(Parcelamentos!G2596:G2606)</f>
        <v>2225.0066666666667</v>
      </c>
      <c r="D295" s="891">
        <f t="shared" si="8"/>
        <v>-1088.9199999999996</v>
      </c>
    </row>
    <row r="296" spans="1:4" ht="13.5">
      <c r="A296" s="890">
        <v>46204</v>
      </c>
      <c r="B296" s="135">
        <f>Parcelamentos!E2607</f>
        <v>2030.8666666666668</v>
      </c>
      <c r="C296" s="135">
        <f>SUM(Parcelamentos!G2608:G2617)</f>
        <v>2030.8666666666668</v>
      </c>
      <c r="D296" s="891">
        <f t="shared" si="8"/>
        <v>-194.13999999999987</v>
      </c>
    </row>
    <row r="297" spans="1:4" ht="13.5">
      <c r="A297" s="890">
        <v>46235</v>
      </c>
      <c r="B297" s="135">
        <f>Parcelamentos!E2618</f>
        <v>1176.07</v>
      </c>
      <c r="C297" s="135">
        <f>SUM(Parcelamentos!G2619:G2624)</f>
        <v>1176.07</v>
      </c>
      <c r="D297" s="891">
        <f t="shared" si="8"/>
        <v>-854.79666666666685</v>
      </c>
    </row>
    <row r="298" spans="1:4" ht="13.5">
      <c r="A298" s="890">
        <v>46266</v>
      </c>
      <c r="B298" s="135">
        <f>Parcelamentos!E2625</f>
        <v>738.06999999999994</v>
      </c>
      <c r="C298" s="135">
        <f>SUM(Parcelamentos!G2626:G2630)</f>
        <v>738.06999999999994</v>
      </c>
      <c r="D298" s="891">
        <f t="shared" si="8"/>
        <v>-438</v>
      </c>
    </row>
    <row r="299" spans="1:4" ht="13.5">
      <c r="A299" s="890">
        <v>46296</v>
      </c>
      <c r="B299" s="135">
        <f>Parcelamentos!E2631</f>
        <v>738.06999999999994</v>
      </c>
      <c r="C299" s="135">
        <f>SUM(Parcelamentos!G2632:G2636)</f>
        <v>738.06999999999994</v>
      </c>
      <c r="D299" s="891">
        <f t="shared" si="8"/>
        <v>0</v>
      </c>
    </row>
    <row r="300" spans="1:4" ht="13.5">
      <c r="A300" s="890">
        <v>46327</v>
      </c>
      <c r="B300" s="135">
        <f>Parcelamentos!E2637</f>
        <v>164.4</v>
      </c>
      <c r="C300" s="135">
        <f>SUM(Parcelamentos!G2638:G2642)</f>
        <v>164.4</v>
      </c>
      <c r="D300" s="891">
        <f t="shared" si="8"/>
        <v>-573.66999999999996</v>
      </c>
    </row>
    <row r="301" spans="1:4" ht="13.5">
      <c r="A301" s="892">
        <v>46357</v>
      </c>
      <c r="B301" s="790">
        <f>Parcelamentos!E2643</f>
        <v>0</v>
      </c>
      <c r="C301" s="790">
        <f>SUM(Parcelamentos!G2643:G2648)</f>
        <v>0</v>
      </c>
      <c r="D301" s="1003">
        <f t="shared" si="8"/>
        <v>-164.4</v>
      </c>
    </row>
    <row r="302" spans="1:4" ht="13.5">
      <c r="A302" s="1953">
        <v>46388</v>
      </c>
      <c r="B302" s="135">
        <f>Parcelamentos!E2649</f>
        <v>0</v>
      </c>
      <c r="C302" s="135">
        <f>SUM(Parcelamentos!G2650:G2654)</f>
        <v>0</v>
      </c>
      <c r="D302" s="891">
        <f t="shared" si="8"/>
        <v>0</v>
      </c>
    </row>
    <row r="303" spans="1:4" ht="13.5">
      <c r="A303" s="890">
        <v>46419</v>
      </c>
      <c r="B303" s="135">
        <f>Parcelamentos!E2655</f>
        <v>0</v>
      </c>
      <c r="C303" s="135">
        <f>SUM(Parcelamentos!G2655:G2660)</f>
        <v>0</v>
      </c>
      <c r="D303" s="891">
        <f t="shared" si="8"/>
        <v>0</v>
      </c>
    </row>
    <row r="304" spans="1:4" ht="13.5">
      <c r="A304" s="890">
        <v>46447</v>
      </c>
      <c r="B304" s="135">
        <f>Parcelamentos!E2661</f>
        <v>0</v>
      </c>
      <c r="C304" s="135">
        <f>SUM(Parcelamentos!G2662:G2666)</f>
        <v>0</v>
      </c>
      <c r="D304" s="891">
        <f t="shared" si="8"/>
        <v>0</v>
      </c>
    </row>
    <row r="305" spans="1:4" ht="13.5">
      <c r="A305" s="890">
        <v>46478</v>
      </c>
      <c r="B305" s="135">
        <f>Parcelamentos!E2667</f>
        <v>0</v>
      </c>
      <c r="C305" s="135">
        <f>SUM(Parcelamentos!G2667:G2673)</f>
        <v>0</v>
      </c>
      <c r="D305" s="891">
        <f t="shared" si="8"/>
        <v>0</v>
      </c>
    </row>
    <row r="306" spans="1:4" ht="13.5">
      <c r="A306" s="890">
        <v>46508</v>
      </c>
      <c r="B306" s="135">
        <f>Parcelamentos!E2674</f>
        <v>0</v>
      </c>
      <c r="C306" s="135"/>
      <c r="D306" s="891"/>
    </row>
    <row r="307" spans="1:4" ht="13.5">
      <c r="A307" s="890">
        <v>46539</v>
      </c>
      <c r="B307" s="135"/>
      <c r="C307" s="135"/>
      <c r="D307" s="891"/>
    </row>
    <row r="308" spans="1:4" ht="13.5">
      <c r="A308" s="890">
        <v>46569</v>
      </c>
      <c r="B308" s="135"/>
      <c r="C308" s="135"/>
      <c r="D308" s="891"/>
    </row>
    <row r="309" spans="1:4" ht="13.5">
      <c r="A309" s="890">
        <v>46600</v>
      </c>
      <c r="B309" s="135"/>
      <c r="C309" s="135"/>
      <c r="D309" s="891"/>
    </row>
    <row r="310" spans="1:4" ht="13.5">
      <c r="A310" s="890">
        <v>46631</v>
      </c>
      <c r="B310" s="135"/>
      <c r="C310" s="135"/>
      <c r="D310" s="891"/>
    </row>
    <row r="311" spans="1:4" ht="13.5">
      <c r="A311" s="890">
        <v>46661</v>
      </c>
      <c r="B311" s="135"/>
      <c r="C311" s="135"/>
      <c r="D311" s="891"/>
    </row>
    <row r="312" spans="1:4" ht="13.5">
      <c r="A312" s="890">
        <v>46692</v>
      </c>
      <c r="B312" s="135"/>
      <c r="C312" s="135"/>
      <c r="D312" s="891"/>
    </row>
    <row r="313" spans="1:4" ht="13.5">
      <c r="A313" s="892">
        <v>46722</v>
      </c>
      <c r="B313" s="790"/>
      <c r="C313" s="790"/>
      <c r="D313" s="1003"/>
    </row>
    <row r="314" spans="1:4">
      <c r="A314" s="1002">
        <v>46753</v>
      </c>
    </row>
    <row r="315" spans="1:4">
      <c r="A315" s="890">
        <v>46784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ilha20"/>
  <dimension ref="A1:I69"/>
  <sheetViews>
    <sheetView workbookViewId="0">
      <pane ySplit="1" topLeftCell="A41" activePane="bottomLeft" state="frozen"/>
      <selection pane="bottomLeft" activeCell="D62" sqref="D62"/>
    </sheetView>
  </sheetViews>
  <sheetFormatPr defaultColWidth="9" defaultRowHeight="13.5"/>
  <cols>
    <col min="1" max="1" width="13.7109375" style="3" bestFit="1" customWidth="1"/>
    <col min="2" max="2" width="21.42578125" style="3" customWidth="1"/>
    <col min="3" max="3" width="48.42578125" style="3" customWidth="1"/>
    <col min="4" max="4" width="16" style="3" bestFit="1" customWidth="1"/>
    <col min="5" max="5" width="16" style="221" bestFit="1" customWidth="1"/>
    <col min="6" max="6" width="22.42578125" style="3" bestFit="1" customWidth="1"/>
    <col min="7" max="7" width="17.85546875" style="3" bestFit="1" customWidth="1"/>
    <col min="8" max="8" width="27" style="3" bestFit="1" customWidth="1"/>
    <col min="9" max="9" width="6.7109375" style="3" bestFit="1" customWidth="1"/>
    <col min="10" max="16384" width="9" style="3"/>
  </cols>
  <sheetData>
    <row r="1" spans="1:9" ht="14.25" thickBot="1">
      <c r="A1" s="67" t="s">
        <v>0</v>
      </c>
      <c r="B1" s="68" t="s">
        <v>1</v>
      </c>
      <c r="C1" s="69" t="s">
        <v>2</v>
      </c>
      <c r="D1" s="70" t="s">
        <v>3</v>
      </c>
      <c r="E1" s="1189" t="s">
        <v>4</v>
      </c>
      <c r="F1" s="72" t="s">
        <v>14057</v>
      </c>
      <c r="G1" s="72" t="s">
        <v>14058</v>
      </c>
      <c r="H1" s="72" t="s">
        <v>14059</v>
      </c>
      <c r="I1" s="72" t="s">
        <v>829</v>
      </c>
    </row>
    <row r="2" spans="1:9">
      <c r="A2" s="981"/>
      <c r="B2" s="982"/>
      <c r="C2" s="1337" t="s">
        <v>7</v>
      </c>
      <c r="D2" s="983"/>
      <c r="E2" s="1615"/>
      <c r="F2" s="1615"/>
      <c r="G2" s="1615"/>
      <c r="H2" s="1615"/>
      <c r="I2" s="984"/>
    </row>
    <row r="3" spans="1:9">
      <c r="A3" s="884">
        <v>43800</v>
      </c>
      <c r="B3" s="240" t="str">
        <f>TiposLancamentos!B77</f>
        <v>Esporádico</v>
      </c>
      <c r="C3" s="878" t="s">
        <v>8</v>
      </c>
      <c r="D3" s="63">
        <v>0.01</v>
      </c>
      <c r="E3" s="231"/>
      <c r="F3" s="1193"/>
      <c r="G3" s="1193"/>
      <c r="H3" s="1193"/>
      <c r="I3" s="899"/>
    </row>
    <row r="4" spans="1:9">
      <c r="A4" s="884">
        <v>43800</v>
      </c>
      <c r="B4" s="240" t="str">
        <f>TiposLancamentos!B78</f>
        <v>Diferenças</v>
      </c>
      <c r="C4" s="878" t="s">
        <v>10276</v>
      </c>
      <c r="D4" s="63"/>
      <c r="E4" s="231">
        <v>0.01</v>
      </c>
      <c r="F4" s="1193"/>
      <c r="G4" s="1193"/>
      <c r="H4" s="1193"/>
      <c r="I4" s="899"/>
    </row>
    <row r="5" spans="1:9">
      <c r="A5" s="884"/>
      <c r="B5" s="240"/>
      <c r="C5" s="878"/>
      <c r="D5" s="63"/>
      <c r="E5" s="231"/>
      <c r="F5" s="1193"/>
      <c r="G5" s="1193"/>
      <c r="H5" s="1193"/>
      <c r="I5" s="899"/>
    </row>
    <row r="6" spans="1:9">
      <c r="A6" s="884">
        <v>43859</v>
      </c>
      <c r="B6" s="240" t="s">
        <v>14060</v>
      </c>
      <c r="C6" s="878" t="s">
        <v>14061</v>
      </c>
      <c r="D6" s="63">
        <v>40</v>
      </c>
      <c r="E6" s="231"/>
      <c r="F6" s="1193" t="s">
        <v>14062</v>
      </c>
      <c r="G6" s="1193" t="s">
        <v>14063</v>
      </c>
      <c r="H6" s="1193" t="s">
        <v>14064</v>
      </c>
      <c r="I6" s="899"/>
    </row>
    <row r="7" spans="1:9">
      <c r="A7" s="884"/>
      <c r="B7" s="240"/>
      <c r="C7" s="878"/>
      <c r="D7" s="63"/>
      <c r="E7" s="231"/>
      <c r="F7" s="1193"/>
      <c r="G7" s="1193"/>
      <c r="H7" s="1193"/>
      <c r="I7" s="899"/>
    </row>
    <row r="8" spans="1:9">
      <c r="A8" s="884">
        <v>43865</v>
      </c>
      <c r="B8" s="240" t="s">
        <v>14065</v>
      </c>
      <c r="C8" s="878" t="s">
        <v>14066</v>
      </c>
      <c r="D8" s="63">
        <v>35</v>
      </c>
      <c r="E8" s="231"/>
      <c r="F8" s="1193" t="s">
        <v>14067</v>
      </c>
      <c r="G8" s="1193" t="s">
        <v>14063</v>
      </c>
      <c r="H8" s="1193" t="s">
        <v>14068</v>
      </c>
      <c r="I8" s="899"/>
    </row>
    <row r="9" spans="1:9">
      <c r="A9" s="884">
        <v>43865</v>
      </c>
      <c r="B9" s="240" t="s">
        <v>14065</v>
      </c>
      <c r="C9" s="878" t="s">
        <v>275</v>
      </c>
      <c r="D9" s="63">
        <v>35</v>
      </c>
      <c r="E9" s="231"/>
      <c r="F9" s="1193" t="s">
        <v>14067</v>
      </c>
      <c r="G9" s="1193" t="s">
        <v>14063</v>
      </c>
      <c r="H9" s="1193" t="s">
        <v>14068</v>
      </c>
      <c r="I9" s="899"/>
    </row>
    <row r="10" spans="1:9">
      <c r="A10" s="884"/>
      <c r="B10" s="240"/>
      <c r="C10" s="878"/>
      <c r="D10" s="63"/>
      <c r="E10" s="231"/>
      <c r="F10" s="1193"/>
      <c r="G10" s="1193"/>
      <c r="H10" s="1193"/>
      <c r="I10" s="899"/>
    </row>
    <row r="11" spans="1:9">
      <c r="A11" s="884">
        <v>43878</v>
      </c>
      <c r="B11" s="240" t="s">
        <v>14060</v>
      </c>
      <c r="C11" s="878" t="s">
        <v>14069</v>
      </c>
      <c r="D11" s="63">
        <v>500</v>
      </c>
      <c r="E11" s="231"/>
      <c r="F11" s="1193" t="s">
        <v>14070</v>
      </c>
      <c r="G11" s="1193" t="s">
        <v>14071</v>
      </c>
      <c r="H11" s="1193" t="s">
        <v>14072</v>
      </c>
      <c r="I11" s="899"/>
    </row>
    <row r="12" spans="1:9">
      <c r="A12" s="884"/>
      <c r="B12" s="240"/>
      <c r="C12" s="878"/>
      <c r="D12" s="63"/>
      <c r="E12" s="231"/>
      <c r="F12" s="1193"/>
      <c r="G12" s="1193"/>
      <c r="H12" s="1193"/>
      <c r="I12" s="899"/>
    </row>
    <row r="13" spans="1:9">
      <c r="A13" s="884">
        <v>43891</v>
      </c>
      <c r="B13" s="240" t="s">
        <v>14073</v>
      </c>
      <c r="C13" s="878" t="s">
        <v>14073</v>
      </c>
      <c r="D13" s="63">
        <v>60</v>
      </c>
      <c r="E13" s="231"/>
      <c r="F13" s="1193" t="s">
        <v>14070</v>
      </c>
      <c r="G13" s="1193" t="s">
        <v>14071</v>
      </c>
      <c r="H13" s="1193" t="s">
        <v>14074</v>
      </c>
      <c r="I13" s="899"/>
    </row>
    <row r="14" spans="1:9">
      <c r="A14" s="884"/>
      <c r="B14" s="240"/>
      <c r="C14" s="878"/>
      <c r="D14" s="63"/>
      <c r="E14" s="231"/>
      <c r="F14" s="1193"/>
      <c r="G14" s="1193"/>
      <c r="H14" s="1193"/>
      <c r="I14" s="899"/>
    </row>
    <row r="15" spans="1:9">
      <c r="A15" s="884">
        <v>43904</v>
      </c>
      <c r="B15" s="240" t="s">
        <v>14075</v>
      </c>
      <c r="C15" s="878" t="s">
        <v>14076</v>
      </c>
      <c r="D15" s="63">
        <v>0</v>
      </c>
      <c r="E15" s="231"/>
      <c r="F15" s="1193" t="s">
        <v>14070</v>
      </c>
      <c r="G15" s="1193" t="s">
        <v>14077</v>
      </c>
      <c r="H15" s="1193" t="s">
        <v>14078</v>
      </c>
      <c r="I15" s="899"/>
    </row>
    <row r="16" spans="1:9">
      <c r="A16" s="884"/>
      <c r="B16" s="240"/>
      <c r="C16" s="878"/>
      <c r="D16" s="63"/>
      <c r="E16" s="231"/>
      <c r="F16" s="1193"/>
      <c r="G16" s="1193"/>
      <c r="H16" s="1193"/>
      <c r="I16" s="899"/>
    </row>
    <row r="17" spans="1:9">
      <c r="A17" s="884">
        <v>43907</v>
      </c>
      <c r="B17" s="240" t="s">
        <v>14075</v>
      </c>
      <c r="C17" s="878" t="s">
        <v>14079</v>
      </c>
      <c r="D17" s="63">
        <v>0</v>
      </c>
      <c r="E17" s="231"/>
      <c r="F17" s="1193" t="s">
        <v>14070</v>
      </c>
      <c r="G17" s="1193" t="s">
        <v>14077</v>
      </c>
      <c r="H17" s="1193" t="s">
        <v>14080</v>
      </c>
      <c r="I17" s="899"/>
    </row>
    <row r="18" spans="1:9">
      <c r="A18" s="884"/>
      <c r="B18" s="240"/>
      <c r="C18" s="878"/>
      <c r="D18" s="63"/>
      <c r="E18" s="231"/>
      <c r="F18" s="1193"/>
      <c r="G18" s="1193"/>
      <c r="H18" s="1193"/>
      <c r="I18" s="899"/>
    </row>
    <row r="19" spans="1:9">
      <c r="A19" s="884">
        <v>43920</v>
      </c>
      <c r="B19" s="240" t="s">
        <v>14081</v>
      </c>
      <c r="C19" s="878" t="s">
        <v>14082</v>
      </c>
      <c r="D19" s="63">
        <v>120</v>
      </c>
      <c r="E19" s="231"/>
      <c r="F19" s="1193" t="s">
        <v>14067</v>
      </c>
      <c r="G19" s="1193" t="s">
        <v>14063</v>
      </c>
      <c r="H19" s="1193" t="s">
        <v>14083</v>
      </c>
      <c r="I19" s="899"/>
    </row>
    <row r="20" spans="1:9">
      <c r="A20" s="884"/>
      <c r="B20" s="240"/>
      <c r="C20" s="878"/>
      <c r="D20" s="63"/>
      <c r="E20" s="231"/>
      <c r="F20" s="1193"/>
      <c r="G20" s="1193"/>
      <c r="H20" s="1193"/>
      <c r="I20" s="899"/>
    </row>
    <row r="21" spans="1:9">
      <c r="A21" s="884">
        <v>44039</v>
      </c>
      <c r="B21" s="240" t="s">
        <v>14084</v>
      </c>
      <c r="C21" s="878" t="s">
        <v>14085</v>
      </c>
      <c r="D21" s="63">
        <v>78</v>
      </c>
      <c r="E21" s="231"/>
      <c r="F21" s="1193" t="s">
        <v>301</v>
      </c>
      <c r="G21" s="1193" t="s">
        <v>14086</v>
      </c>
      <c r="H21" s="1193" t="s">
        <v>14087</v>
      </c>
      <c r="I21" s="899"/>
    </row>
    <row r="22" spans="1:9">
      <c r="A22" s="884">
        <v>44039</v>
      </c>
      <c r="B22" s="240" t="s">
        <v>14088</v>
      </c>
      <c r="C22" s="878" t="s">
        <v>7630</v>
      </c>
      <c r="D22" s="63">
        <v>94</v>
      </c>
      <c r="E22" s="231"/>
      <c r="F22" s="1193" t="s">
        <v>14070</v>
      </c>
      <c r="G22" s="1193" t="s">
        <v>14071</v>
      </c>
      <c r="H22" s="1193" t="s">
        <v>14089</v>
      </c>
      <c r="I22" s="899"/>
    </row>
    <row r="23" spans="1:9">
      <c r="A23" s="884"/>
      <c r="B23" s="240"/>
      <c r="C23" s="878"/>
      <c r="D23" s="63"/>
      <c r="E23" s="231"/>
      <c r="F23" s="1193"/>
      <c r="G23" s="1193"/>
      <c r="H23" s="1193"/>
      <c r="I23" s="899"/>
    </row>
    <row r="24" spans="1:9">
      <c r="A24" s="884">
        <v>44118</v>
      </c>
      <c r="B24" s="240" t="s">
        <v>1724</v>
      </c>
      <c r="C24" s="878" t="s">
        <v>14090</v>
      </c>
      <c r="D24" s="63">
        <v>19.899999999999999</v>
      </c>
      <c r="E24" s="231"/>
      <c r="F24" s="1193" t="s">
        <v>301</v>
      </c>
      <c r="G24" s="1193" t="s">
        <v>14086</v>
      </c>
      <c r="H24" s="1193" t="s">
        <v>14091</v>
      </c>
      <c r="I24" s="899"/>
    </row>
    <row r="25" spans="1:9">
      <c r="A25" s="884"/>
      <c r="B25" s="240"/>
      <c r="C25" s="878"/>
      <c r="D25" s="63"/>
      <c r="E25" s="231"/>
      <c r="F25" s="1193"/>
      <c r="G25" s="1193"/>
      <c r="H25" s="1193"/>
      <c r="I25" s="899"/>
    </row>
    <row r="26" spans="1:9">
      <c r="A26" s="884">
        <v>44170</v>
      </c>
      <c r="B26" s="240" t="s">
        <v>14065</v>
      </c>
      <c r="C26" s="878" t="s">
        <v>14092</v>
      </c>
      <c r="D26" s="63">
        <v>50</v>
      </c>
      <c r="E26" s="231"/>
      <c r="F26" s="1193" t="s">
        <v>352</v>
      </c>
      <c r="G26" s="1193" t="s">
        <v>14093</v>
      </c>
      <c r="H26" s="1193" t="s">
        <v>14094</v>
      </c>
      <c r="I26" s="899"/>
    </row>
    <row r="27" spans="1:9">
      <c r="A27" s="884">
        <v>44170</v>
      </c>
      <c r="B27" s="240" t="s">
        <v>14065</v>
      </c>
      <c r="C27" s="878" t="s">
        <v>285</v>
      </c>
      <c r="D27" s="63">
        <v>40</v>
      </c>
      <c r="E27" s="231"/>
      <c r="F27" s="1193" t="s">
        <v>352</v>
      </c>
      <c r="G27" s="1193" t="s">
        <v>14093</v>
      </c>
      <c r="H27" s="1193" t="s">
        <v>14095</v>
      </c>
      <c r="I27" s="899"/>
    </row>
    <row r="28" spans="1:9">
      <c r="A28" s="884">
        <v>44170</v>
      </c>
      <c r="B28" s="240" t="s">
        <v>14065</v>
      </c>
      <c r="C28" s="878" t="s">
        <v>14096</v>
      </c>
      <c r="D28" s="63">
        <v>65</v>
      </c>
      <c r="E28" s="231"/>
      <c r="F28" s="1193" t="s">
        <v>352</v>
      </c>
      <c r="G28" s="1193" t="s">
        <v>14093</v>
      </c>
      <c r="H28" s="1193" t="s">
        <v>14095</v>
      </c>
      <c r="I28" s="899"/>
    </row>
    <row r="29" spans="1:9">
      <c r="A29" s="884"/>
      <c r="B29" s="240"/>
      <c r="C29" s="878"/>
      <c r="D29" s="63"/>
      <c r="E29" s="231"/>
      <c r="F29" s="1193"/>
      <c r="G29" s="1193"/>
      <c r="H29" s="1193"/>
      <c r="I29" s="899"/>
    </row>
    <row r="30" spans="1:9">
      <c r="A30" s="884">
        <v>44222</v>
      </c>
      <c r="B30" s="240" t="s">
        <v>1724</v>
      </c>
      <c r="C30" s="878" t="s">
        <v>14097</v>
      </c>
      <c r="D30" s="63">
        <v>120</v>
      </c>
      <c r="E30" s="231"/>
      <c r="F30" s="1193" t="s">
        <v>301</v>
      </c>
      <c r="G30" s="1193" t="s">
        <v>14086</v>
      </c>
      <c r="H30" s="1193" t="s">
        <v>14098</v>
      </c>
      <c r="I30" s="899"/>
    </row>
    <row r="31" spans="1:9">
      <c r="A31" s="884"/>
      <c r="B31" s="240"/>
      <c r="C31" s="878"/>
      <c r="D31" s="63"/>
      <c r="E31" s="231"/>
      <c r="F31" s="1193"/>
      <c r="G31" s="1193"/>
      <c r="H31" s="1193"/>
      <c r="I31" s="899"/>
    </row>
    <row r="32" spans="1:9">
      <c r="A32" s="884">
        <v>44408</v>
      </c>
      <c r="B32" s="240" t="s">
        <v>1777</v>
      </c>
      <c r="C32" s="878" t="s">
        <v>14099</v>
      </c>
      <c r="D32" s="63">
        <v>120</v>
      </c>
      <c r="E32" s="231"/>
      <c r="F32" s="1193" t="s">
        <v>14100</v>
      </c>
      <c r="G32" s="1193" t="s">
        <v>14063</v>
      </c>
      <c r="H32" s="1193" t="s">
        <v>14101</v>
      </c>
      <c r="I32" s="899"/>
    </row>
    <row r="33" spans="1:9">
      <c r="A33" s="884"/>
      <c r="B33" s="240"/>
      <c r="C33" s="878"/>
      <c r="D33" s="63"/>
      <c r="E33" s="231"/>
      <c r="F33" s="1193"/>
      <c r="G33" s="1193"/>
      <c r="H33" s="1193"/>
      <c r="I33" s="899"/>
    </row>
    <row r="34" spans="1:9">
      <c r="A34" s="884">
        <v>44736</v>
      </c>
      <c r="B34" s="240" t="s">
        <v>1804</v>
      </c>
      <c r="C34" s="878" t="s">
        <v>14102</v>
      </c>
      <c r="D34" s="63">
        <v>500</v>
      </c>
      <c r="E34" s="231"/>
      <c r="F34" s="1193" t="s">
        <v>14103</v>
      </c>
      <c r="G34" s="1193" t="s">
        <v>14104</v>
      </c>
      <c r="H34" s="1193" t="s">
        <v>14105</v>
      </c>
      <c r="I34" s="899"/>
    </row>
    <row r="35" spans="1:9">
      <c r="A35" s="884">
        <v>44738</v>
      </c>
      <c r="B35" s="240" t="s">
        <v>1804</v>
      </c>
      <c r="C35" s="878" t="s">
        <v>14106</v>
      </c>
      <c r="D35" s="63">
        <v>989</v>
      </c>
      <c r="E35" s="231"/>
      <c r="F35" s="1193" t="s">
        <v>14062</v>
      </c>
      <c r="G35" s="1193" t="s">
        <v>14107</v>
      </c>
      <c r="H35" s="1193" t="s">
        <v>14105</v>
      </c>
      <c r="I35" s="899"/>
    </row>
    <row r="36" spans="1:9">
      <c r="A36" s="884"/>
      <c r="B36" s="240"/>
      <c r="C36" s="878"/>
      <c r="D36" s="63"/>
      <c r="E36" s="231"/>
      <c r="F36" s="1193"/>
      <c r="G36" s="1193"/>
      <c r="H36" s="1193"/>
      <c r="I36" s="899"/>
    </row>
    <row r="37" spans="1:9">
      <c r="A37" s="884">
        <v>44741</v>
      </c>
      <c r="B37" s="240" t="s">
        <v>1777</v>
      </c>
      <c r="C37" s="878" t="s">
        <v>14108</v>
      </c>
      <c r="D37" s="63">
        <v>280</v>
      </c>
      <c r="E37" s="231"/>
      <c r="F37" s="1193" t="s">
        <v>14109</v>
      </c>
      <c r="G37" s="1193" t="s">
        <v>14110</v>
      </c>
      <c r="H37" s="1193" t="s">
        <v>14111</v>
      </c>
      <c r="I37" s="899"/>
    </row>
    <row r="38" spans="1:9">
      <c r="A38" s="884"/>
      <c r="B38" s="240"/>
      <c r="C38" s="878"/>
      <c r="D38" s="63"/>
      <c r="E38" s="231"/>
      <c r="F38" s="1193"/>
      <c r="G38" s="1193"/>
      <c r="H38" s="1193"/>
      <c r="I38" s="899"/>
    </row>
    <row r="39" spans="1:9">
      <c r="A39" s="884">
        <v>45731</v>
      </c>
      <c r="B39" s="240" t="s">
        <v>14112</v>
      </c>
      <c r="C39" s="878" t="str">
        <f>TiposLancamentos!B88</f>
        <v>Ford Ecosport XLT</v>
      </c>
      <c r="D39" s="63">
        <v>17500</v>
      </c>
      <c r="E39" s="231"/>
      <c r="F39" s="1193" t="s">
        <v>14113</v>
      </c>
      <c r="G39" s="1193" t="s">
        <v>14114</v>
      </c>
      <c r="H39" s="1193"/>
      <c r="I39" s="899"/>
    </row>
    <row r="40" spans="1:9">
      <c r="A40" s="884"/>
      <c r="B40" s="240"/>
      <c r="C40" s="878"/>
      <c r="D40" s="63"/>
      <c r="E40" s="231"/>
      <c r="F40" s="1193"/>
      <c r="G40" s="1193"/>
      <c r="H40" s="1193"/>
      <c r="I40" s="899"/>
    </row>
    <row r="41" spans="1:9">
      <c r="A41" s="884">
        <v>45735</v>
      </c>
      <c r="B41" s="240" t="s">
        <v>119</v>
      </c>
      <c r="C41" s="878" t="s">
        <v>14115</v>
      </c>
      <c r="D41" s="63">
        <v>349</v>
      </c>
      <c r="E41" s="231"/>
      <c r="F41" s="1193" t="s">
        <v>14067</v>
      </c>
      <c r="G41" s="1193" t="s">
        <v>14116</v>
      </c>
      <c r="H41" s="1193" t="s">
        <v>14117</v>
      </c>
      <c r="I41" s="899"/>
    </row>
    <row r="42" spans="1:9">
      <c r="A42" s="884"/>
      <c r="B42" s="240"/>
      <c r="C42" s="878"/>
      <c r="D42" s="63"/>
      <c r="E42" s="231"/>
      <c r="F42" s="1193"/>
      <c r="G42" s="1193"/>
      <c r="H42" s="1193"/>
      <c r="I42" s="899"/>
    </row>
    <row r="43" spans="1:9">
      <c r="A43" s="884">
        <v>45799</v>
      </c>
      <c r="B43" s="240" t="s">
        <v>1763</v>
      </c>
      <c r="C43" s="878" t="s">
        <v>14118</v>
      </c>
      <c r="D43" s="63">
        <v>1449</v>
      </c>
      <c r="E43" s="231"/>
      <c r="F43" s="1193" t="s">
        <v>14119</v>
      </c>
      <c r="G43" s="1193" t="s">
        <v>14104</v>
      </c>
      <c r="H43" s="3" t="s">
        <v>14120</v>
      </c>
      <c r="I43" s="899"/>
    </row>
    <row r="44" spans="1:9">
      <c r="A44" s="884"/>
      <c r="B44" s="240"/>
      <c r="C44" s="878"/>
      <c r="D44" s="63"/>
      <c r="E44" s="231"/>
      <c r="F44" s="1193"/>
      <c r="G44" s="1193"/>
      <c r="H44" s="1193"/>
      <c r="I44" s="899"/>
    </row>
    <row r="45" spans="1:9">
      <c r="A45" s="884">
        <v>45855</v>
      </c>
      <c r="B45" s="240" t="s">
        <v>14121</v>
      </c>
      <c r="C45" s="878" t="s">
        <v>14122</v>
      </c>
      <c r="D45" s="63">
        <v>150</v>
      </c>
      <c r="E45" s="231"/>
      <c r="F45" s="1193" t="s">
        <v>14123</v>
      </c>
      <c r="G45" s="1193" t="s">
        <v>14124</v>
      </c>
      <c r="H45" s="1193" t="s">
        <v>14125</v>
      </c>
      <c r="I45" s="899"/>
    </row>
    <row r="46" spans="1:9">
      <c r="A46" s="884"/>
      <c r="B46" s="240"/>
      <c r="C46" s="878"/>
      <c r="D46" s="63"/>
      <c r="E46" s="231"/>
      <c r="F46" s="1193"/>
      <c r="G46" s="1193"/>
      <c r="H46" s="1193"/>
      <c r="I46" s="899"/>
    </row>
    <row r="47" spans="1:9">
      <c r="A47" s="884"/>
      <c r="B47" s="240"/>
      <c r="C47" s="878"/>
      <c r="D47" s="63"/>
      <c r="E47" s="231"/>
      <c r="F47" s="1193"/>
      <c r="G47" s="1193"/>
      <c r="H47" s="1193"/>
      <c r="I47" s="899"/>
    </row>
    <row r="48" spans="1:9">
      <c r="A48" s="884"/>
      <c r="B48" s="240"/>
      <c r="C48" s="878"/>
      <c r="D48" s="63"/>
      <c r="E48" s="231"/>
      <c r="F48" s="1193"/>
      <c r="G48" s="1193"/>
      <c r="H48" s="1193"/>
      <c r="I48" s="899"/>
    </row>
    <row r="49" spans="1:9">
      <c r="A49" s="884"/>
      <c r="B49" s="240"/>
      <c r="C49" s="878"/>
      <c r="D49" s="63"/>
      <c r="E49" s="231"/>
      <c r="F49" s="1193"/>
      <c r="G49" s="1193"/>
      <c r="H49" s="1193"/>
      <c r="I49" s="899"/>
    </row>
    <row r="50" spans="1:9">
      <c r="A50" s="884"/>
      <c r="B50" s="240"/>
      <c r="C50" s="878"/>
      <c r="D50" s="63"/>
      <c r="E50" s="231"/>
      <c r="F50" s="1193"/>
      <c r="G50" s="1193"/>
      <c r="H50" s="1193"/>
      <c r="I50" s="899"/>
    </row>
    <row r="51" spans="1:9">
      <c r="A51" s="884"/>
      <c r="B51" s="240"/>
      <c r="C51" s="878"/>
      <c r="D51" s="63"/>
      <c r="E51" s="231"/>
      <c r="F51" s="1193"/>
      <c r="G51" s="1193"/>
      <c r="H51" s="1193"/>
      <c r="I51" s="899"/>
    </row>
    <row r="52" spans="1:9">
      <c r="A52" s="884"/>
      <c r="B52" s="240"/>
      <c r="C52" s="878"/>
      <c r="D52" s="63"/>
      <c r="E52" s="231"/>
      <c r="F52" s="1193"/>
      <c r="G52" s="1193"/>
      <c r="H52" s="1193"/>
      <c r="I52" s="899"/>
    </row>
    <row r="53" spans="1:9">
      <c r="A53" s="884"/>
      <c r="B53" s="240"/>
      <c r="C53" s="878"/>
      <c r="D53" s="63"/>
      <c r="E53" s="231"/>
      <c r="F53" s="1193"/>
      <c r="G53" s="1193"/>
      <c r="H53" s="1193"/>
      <c r="I53" s="899"/>
    </row>
    <row r="54" spans="1:9">
      <c r="A54" s="884"/>
      <c r="B54" s="240"/>
      <c r="C54" s="878"/>
      <c r="D54" s="63"/>
      <c r="E54" s="231"/>
      <c r="F54" s="1193"/>
      <c r="G54" s="1193"/>
      <c r="H54" s="1193"/>
      <c r="I54" s="899"/>
    </row>
    <row r="55" spans="1:9">
      <c r="A55" s="884"/>
      <c r="B55" s="240"/>
      <c r="C55" s="878"/>
      <c r="D55" s="63"/>
      <c r="E55" s="231"/>
      <c r="F55" s="1193"/>
      <c r="G55" s="1193"/>
      <c r="H55" s="1193"/>
      <c r="I55" s="899"/>
    </row>
    <row r="56" spans="1:9">
      <c r="A56" s="884"/>
      <c r="B56" s="240"/>
      <c r="C56" s="878"/>
      <c r="D56" s="63"/>
      <c r="E56" s="231"/>
      <c r="F56" s="1193"/>
      <c r="G56" s="1193"/>
      <c r="H56" s="1193"/>
      <c r="I56" s="899"/>
    </row>
    <row r="57" spans="1:9">
      <c r="A57" s="884"/>
      <c r="B57" s="240"/>
      <c r="C57" s="878"/>
      <c r="D57" s="63"/>
      <c r="E57" s="231"/>
      <c r="F57" s="1193"/>
      <c r="G57" s="1193"/>
      <c r="H57" s="1193"/>
      <c r="I57" s="899"/>
    </row>
    <row r="58" spans="1:9">
      <c r="A58" s="884"/>
      <c r="B58" s="240"/>
      <c r="C58" s="878"/>
      <c r="D58" s="63"/>
      <c r="E58" s="231"/>
      <c r="F58" s="1193"/>
      <c r="G58" s="1193"/>
      <c r="H58" s="1193"/>
      <c r="I58" s="899"/>
    </row>
    <row r="59" spans="1:9">
      <c r="A59" s="884"/>
      <c r="B59" s="240"/>
      <c r="C59" s="878"/>
      <c r="D59" s="63"/>
      <c r="E59" s="231"/>
      <c r="F59" s="1193"/>
      <c r="G59" s="1193"/>
      <c r="H59" s="1193"/>
      <c r="I59" s="899"/>
    </row>
    <row r="60" spans="1:9">
      <c r="A60" s="884"/>
      <c r="B60" s="240"/>
      <c r="C60" s="878"/>
      <c r="D60" s="63"/>
      <c r="E60" s="231"/>
      <c r="F60" s="1193"/>
      <c r="G60" s="1193"/>
      <c r="H60" s="1193"/>
      <c r="I60" s="899"/>
    </row>
    <row r="61" spans="1:9">
      <c r="A61" s="884"/>
      <c r="B61" s="240"/>
      <c r="C61" s="878"/>
      <c r="D61" s="63"/>
      <c r="E61" s="231"/>
      <c r="F61" s="1193"/>
      <c r="G61" s="1193"/>
      <c r="H61" s="1193"/>
      <c r="I61" s="899"/>
    </row>
    <row r="62" spans="1:9">
      <c r="A62" s="884"/>
      <c r="B62" s="240"/>
      <c r="C62" s="878"/>
      <c r="D62" s="63"/>
      <c r="E62" s="231"/>
      <c r="F62" s="1193"/>
      <c r="G62" s="1193"/>
      <c r="H62" s="1193"/>
      <c r="I62" s="899"/>
    </row>
    <row r="63" spans="1:9">
      <c r="A63" s="872"/>
      <c r="B63" s="162"/>
      <c r="C63" s="163" t="s">
        <v>9739</v>
      </c>
      <c r="D63" s="163"/>
      <c r="E63" s="1331"/>
      <c r="F63" s="1332"/>
      <c r="G63" s="1332"/>
      <c r="H63" s="1332"/>
      <c r="I63" s="1338"/>
    </row>
    <row r="64" spans="1:9">
      <c r="A64" s="884"/>
      <c r="B64" s="240"/>
      <c r="C64" s="878"/>
      <c r="D64" s="63"/>
      <c r="E64" s="231"/>
      <c r="F64" s="1336" t="s">
        <v>10275</v>
      </c>
      <c r="G64" s="1336"/>
      <c r="H64" s="1336" t="s">
        <v>10275</v>
      </c>
      <c r="I64" s="1339" t="s">
        <v>10275</v>
      </c>
    </row>
    <row r="65" spans="1:9">
      <c r="A65" s="46"/>
      <c r="B65" s="116"/>
      <c r="C65" s="117" t="s">
        <v>12</v>
      </c>
      <c r="D65" s="185">
        <f>SUM(D2:D64)</f>
        <v>22593.91</v>
      </c>
      <c r="E65" s="609">
        <f>SUM(E2:E64)</f>
        <v>0.01</v>
      </c>
      <c r="F65" s="224"/>
      <c r="G65" s="224"/>
      <c r="H65" s="224"/>
      <c r="I65" s="224"/>
    </row>
    <row r="66" spans="1:9">
      <c r="A66" s="119"/>
      <c r="B66" s="120"/>
      <c r="C66" s="24" t="s">
        <v>13</v>
      </c>
      <c r="D66" s="177"/>
      <c r="E66" s="302">
        <f>D65-E65</f>
        <v>22593.9</v>
      </c>
      <c r="F66" s="177"/>
      <c r="G66" s="177"/>
      <c r="H66" s="177"/>
      <c r="I66" s="177"/>
    </row>
    <row r="67" spans="1:9">
      <c r="A67" s="65"/>
      <c r="B67" s="65"/>
    </row>
    <row r="68" spans="1:9">
      <c r="C68" s="23"/>
    </row>
    <row r="69" spans="1:9">
      <c r="B69" s="77"/>
      <c r="C69" s="36"/>
    </row>
  </sheetData>
  <conditionalFormatting sqref="E2:I2">
    <cfRule type="cellIs" dxfId="126" priority="1" stopIfTrue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8335-AF85-49D6-9E6D-7A949ACE7C5C}">
  <sheetPr codeName="Planilha32">
    <tabColor rgb="FFFF0000"/>
  </sheetPr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Plan54"/>
  <dimension ref="A1:F35"/>
  <sheetViews>
    <sheetView workbookViewId="0">
      <pane xSplit="6" ySplit="1" topLeftCell="G5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.140625" defaultRowHeight="13.5"/>
  <cols>
    <col min="1" max="1" width="17.5703125" style="3" customWidth="1"/>
    <col min="2" max="2" width="21.42578125" style="3" customWidth="1"/>
    <col min="3" max="3" width="35.42578125" style="3" customWidth="1"/>
    <col min="4" max="4" width="15.140625" style="3" customWidth="1"/>
    <col min="5" max="5" width="15.140625" style="221" customWidth="1"/>
    <col min="6" max="6" width="14.42578125" style="3" customWidth="1"/>
    <col min="7" max="16384" width="9.140625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83">
        <v>38290</v>
      </c>
      <c r="B2" s="91" t="str">
        <f>TiposLancamentos!B78</f>
        <v>Diferenças</v>
      </c>
      <c r="C2" s="43" t="s">
        <v>2488</v>
      </c>
      <c r="D2" s="93"/>
      <c r="E2" s="230">
        <v>2.58</v>
      </c>
      <c r="F2" s="223"/>
    </row>
    <row r="3" spans="1:6">
      <c r="A3" s="75">
        <v>38291</v>
      </c>
      <c r="B3" s="86" t="str">
        <f>TiposLancamentos!B22</f>
        <v>Combustivel</v>
      </c>
      <c r="C3" s="52" t="s">
        <v>2514</v>
      </c>
      <c r="D3" s="63"/>
      <c r="E3" s="231">
        <v>22.91</v>
      </c>
      <c r="F3" s="224"/>
    </row>
    <row r="4" spans="1:6">
      <c r="A4" s="83"/>
      <c r="B4" s="91"/>
      <c r="C4" s="43" t="s">
        <v>2704</v>
      </c>
      <c r="D4" s="93"/>
      <c r="E4" s="230"/>
      <c r="F4" s="223"/>
    </row>
    <row r="5" spans="1:6">
      <c r="A5" s="75">
        <v>38297</v>
      </c>
      <c r="B5" s="86" t="str">
        <f>TiposLancamentos!B19</f>
        <v>Restaurantes</v>
      </c>
      <c r="C5" s="52" t="s">
        <v>2502</v>
      </c>
      <c r="D5" s="63">
        <v>0</v>
      </c>
      <c r="E5" s="231">
        <v>24.2</v>
      </c>
      <c r="F5" s="224"/>
    </row>
    <row r="6" spans="1:6">
      <c r="A6" s="75">
        <v>38301</v>
      </c>
      <c r="B6" s="86" t="str">
        <f>B3</f>
        <v>Combustivel</v>
      </c>
      <c r="C6" s="52" t="s">
        <v>2514</v>
      </c>
      <c r="D6" s="63">
        <v>0</v>
      </c>
      <c r="E6" s="231">
        <v>23.06</v>
      </c>
      <c r="F6" s="224"/>
    </row>
    <row r="7" spans="1:6">
      <c r="A7" s="75">
        <v>38313</v>
      </c>
      <c r="B7" s="86" t="str">
        <f>TiposLancamentos!B15</f>
        <v>Cartões de Crédito</v>
      </c>
      <c r="C7" s="52" t="s">
        <v>14126</v>
      </c>
      <c r="D7" s="63">
        <v>70.17</v>
      </c>
      <c r="E7" s="231"/>
      <c r="F7" s="224"/>
    </row>
    <row r="8" spans="1:6">
      <c r="A8" s="75">
        <v>38315</v>
      </c>
      <c r="B8" s="86" t="str">
        <f>B6</f>
        <v>Combustivel</v>
      </c>
      <c r="C8" s="52" t="str">
        <f>C6</f>
        <v>Gasolina na motoca</v>
      </c>
      <c r="D8" s="63"/>
      <c r="E8" s="231">
        <v>24.82</v>
      </c>
      <c r="F8" s="224"/>
    </row>
    <row r="9" spans="1:6">
      <c r="A9" s="79"/>
      <c r="B9" s="95"/>
      <c r="C9" s="477"/>
      <c r="D9" s="85"/>
      <c r="E9" s="589"/>
      <c r="F9" s="177"/>
    </row>
    <row r="10" spans="1:6">
      <c r="A10" s="91"/>
      <c r="B10" s="191"/>
      <c r="C10" s="43" t="s">
        <v>14127</v>
      </c>
      <c r="D10" s="93"/>
      <c r="E10" s="230"/>
      <c r="F10" s="223"/>
    </row>
    <row r="11" spans="1:6">
      <c r="A11" s="86">
        <v>38333</v>
      </c>
      <c r="B11" s="192" t="str">
        <f>B6</f>
        <v>Combustivel</v>
      </c>
      <c r="C11" s="52" t="s">
        <v>5146</v>
      </c>
      <c r="D11" s="63"/>
      <c r="E11" s="231">
        <v>25.38</v>
      </c>
      <c r="F11" s="224"/>
    </row>
    <row r="12" spans="1:6">
      <c r="A12" s="95">
        <v>38345</v>
      </c>
      <c r="B12" s="193" t="str">
        <f>B7</f>
        <v>Cartões de Crédito</v>
      </c>
      <c r="C12" s="477" t="str">
        <f>C7</f>
        <v>Pagamento Fatura</v>
      </c>
      <c r="D12" s="85">
        <v>50.2</v>
      </c>
      <c r="E12" s="589"/>
      <c r="F12" s="177"/>
    </row>
    <row r="13" spans="1:6">
      <c r="A13" s="91"/>
      <c r="B13" s="191"/>
      <c r="C13" s="43" t="s">
        <v>2764</v>
      </c>
      <c r="D13" s="93"/>
      <c r="E13" s="230"/>
      <c r="F13" s="223"/>
    </row>
    <row r="14" spans="1:6">
      <c r="A14" s="86">
        <v>38356</v>
      </c>
      <c r="B14" s="192" t="str">
        <f>B11</f>
        <v>Combustivel</v>
      </c>
      <c r="C14" s="52" t="s">
        <v>5146</v>
      </c>
      <c r="D14" s="63"/>
      <c r="E14" s="231">
        <v>25</v>
      </c>
      <c r="F14" s="224"/>
    </row>
    <row r="15" spans="1:6">
      <c r="A15" s="86">
        <v>38366</v>
      </c>
      <c r="B15" s="192" t="str">
        <f>B14</f>
        <v>Combustivel</v>
      </c>
      <c r="C15" s="52" t="str">
        <f>C14</f>
        <v>Gasolina na Motoca</v>
      </c>
      <c r="D15" s="63"/>
      <c r="E15" s="231">
        <v>25</v>
      </c>
      <c r="F15" s="224"/>
    </row>
    <row r="16" spans="1:6">
      <c r="A16" s="86"/>
      <c r="B16" s="192"/>
      <c r="C16" s="52"/>
      <c r="D16" s="63"/>
      <c r="E16" s="231"/>
      <c r="F16" s="224"/>
    </row>
    <row r="17" spans="1:6">
      <c r="A17" s="86">
        <v>38373</v>
      </c>
      <c r="B17" s="192" t="str">
        <f>B5</f>
        <v>Restaurantes</v>
      </c>
      <c r="C17" s="52" t="s">
        <v>2502</v>
      </c>
      <c r="D17" s="63"/>
      <c r="E17" s="231">
        <v>29.8</v>
      </c>
      <c r="F17" s="224"/>
    </row>
    <row r="18" spans="1:6">
      <c r="A18" s="86">
        <v>38375</v>
      </c>
      <c r="B18" s="192" t="str">
        <f>B15</f>
        <v>Combustivel</v>
      </c>
      <c r="C18" s="52" t="s">
        <v>5146</v>
      </c>
      <c r="D18" s="63"/>
      <c r="E18" s="231">
        <v>24.2</v>
      </c>
      <c r="F18" s="224"/>
    </row>
    <row r="19" spans="1:6">
      <c r="A19" s="86">
        <v>38376</v>
      </c>
      <c r="B19" s="192" t="str">
        <f>B12</f>
        <v>Cartões de Crédito</v>
      </c>
      <c r="C19" s="52" t="s">
        <v>14128</v>
      </c>
      <c r="D19" s="63">
        <v>50</v>
      </c>
      <c r="E19" s="231"/>
      <c r="F19" s="224"/>
    </row>
    <row r="20" spans="1:6">
      <c r="A20" s="91"/>
      <c r="B20" s="191"/>
      <c r="C20" s="43" t="s">
        <v>14129</v>
      </c>
      <c r="D20" s="93"/>
      <c r="E20" s="230"/>
      <c r="F20" s="223"/>
    </row>
    <row r="21" spans="1:6">
      <c r="A21" s="86">
        <v>38387</v>
      </c>
      <c r="B21" s="192" t="str">
        <f>B18</f>
        <v>Combustivel</v>
      </c>
      <c r="C21" s="52" t="s">
        <v>5146</v>
      </c>
      <c r="D21" s="63"/>
      <c r="E21" s="231">
        <v>25.01</v>
      </c>
      <c r="F21" s="224"/>
    </row>
    <row r="22" spans="1:6">
      <c r="A22" s="86">
        <v>38396</v>
      </c>
      <c r="B22" s="192" t="str">
        <f>B24</f>
        <v>Restaurantes</v>
      </c>
      <c r="C22" s="52" t="s">
        <v>2502</v>
      </c>
      <c r="D22" s="63"/>
      <c r="E22" s="231">
        <v>64.900000000000006</v>
      </c>
      <c r="F22" s="224"/>
    </row>
    <row r="23" spans="1:6">
      <c r="A23" s="86">
        <v>38398</v>
      </c>
      <c r="B23" s="192" t="str">
        <f>TiposLancamentos!B22</f>
        <v>Combustivel</v>
      </c>
      <c r="C23" s="52" t="s">
        <v>5146</v>
      </c>
      <c r="D23" s="63"/>
      <c r="E23" s="231">
        <v>25.44</v>
      </c>
      <c r="F23" s="224"/>
    </row>
    <row r="24" spans="1:6">
      <c r="A24" s="86">
        <v>38399</v>
      </c>
      <c r="B24" s="192" t="str">
        <f>B17</f>
        <v>Restaurantes</v>
      </c>
      <c r="C24" s="52" t="s">
        <v>2502</v>
      </c>
      <c r="D24" s="63"/>
      <c r="E24" s="231">
        <v>48.4</v>
      </c>
      <c r="F24" s="224"/>
    </row>
    <row r="25" spans="1:6">
      <c r="A25" s="86"/>
      <c r="B25" s="192"/>
      <c r="C25" s="52"/>
      <c r="D25" s="63"/>
      <c r="E25" s="231"/>
      <c r="F25" s="224"/>
    </row>
    <row r="26" spans="1:6">
      <c r="A26" s="86">
        <v>38406</v>
      </c>
      <c r="B26" s="192" t="str">
        <f>TiposLancamentos!B22</f>
        <v>Combustivel</v>
      </c>
      <c r="C26" s="52" t="s">
        <v>5146</v>
      </c>
      <c r="D26" s="63"/>
      <c r="E26" s="231">
        <v>26</v>
      </c>
      <c r="F26" s="224"/>
    </row>
    <row r="27" spans="1:6">
      <c r="A27" s="95">
        <v>38407</v>
      </c>
      <c r="B27" s="193" t="str">
        <f>B19</f>
        <v>Cartões de Crédito</v>
      </c>
      <c r="C27" s="477" t="s">
        <v>14128</v>
      </c>
      <c r="D27" s="85">
        <v>217.75</v>
      </c>
      <c r="E27" s="589"/>
      <c r="F27" s="177"/>
    </row>
    <row r="28" spans="1:6">
      <c r="A28" s="86"/>
      <c r="B28" s="192"/>
      <c r="C28" s="52" t="s">
        <v>2806</v>
      </c>
      <c r="D28" s="63"/>
      <c r="E28" s="231"/>
      <c r="F28" s="224"/>
    </row>
    <row r="29" spans="1:6">
      <c r="A29" s="86">
        <v>38414</v>
      </c>
      <c r="B29" s="192" t="str">
        <f>TiposLancamentos!B22</f>
        <v>Combustivel</v>
      </c>
      <c r="C29" s="52" t="s">
        <v>5146</v>
      </c>
      <c r="D29" s="63"/>
      <c r="E29" s="231">
        <v>26</v>
      </c>
      <c r="F29" s="224"/>
    </row>
    <row r="30" spans="1:6">
      <c r="A30" s="86">
        <v>38442</v>
      </c>
      <c r="B30" s="192" t="str">
        <f>B19</f>
        <v>Cartões de Crédito</v>
      </c>
      <c r="C30" s="52" t="s">
        <v>14126</v>
      </c>
      <c r="D30" s="63">
        <v>52</v>
      </c>
      <c r="E30" s="231"/>
      <c r="F30" s="224"/>
    </row>
    <row r="31" spans="1:6">
      <c r="A31" s="75">
        <v>38656</v>
      </c>
      <c r="B31" s="125" t="str">
        <f>B19</f>
        <v>Cartões de Crédito</v>
      </c>
      <c r="C31" s="52" t="s">
        <v>14126</v>
      </c>
      <c r="D31" s="63">
        <v>2.58</v>
      </c>
      <c r="E31" s="231"/>
      <c r="F31" s="224"/>
    </row>
    <row r="32" spans="1:6">
      <c r="A32" s="46"/>
      <c r="B32" s="116"/>
      <c r="C32" s="184" t="s">
        <v>12</v>
      </c>
      <c r="D32" s="426">
        <f>SUM(D1:D31)</f>
        <v>442.7</v>
      </c>
      <c r="E32" s="591">
        <f>SUM(E1:E30)</f>
        <v>442.7</v>
      </c>
      <c r="F32" s="224"/>
    </row>
    <row r="33" spans="1:6">
      <c r="A33" s="119"/>
      <c r="B33" s="120"/>
      <c r="C33" s="24" t="s">
        <v>13</v>
      </c>
      <c r="D33" s="177"/>
      <c r="E33" s="610">
        <f>D32-E32</f>
        <v>0</v>
      </c>
      <c r="F33" s="177"/>
    </row>
    <row r="35" spans="1:6">
      <c r="B35" s="3" t="s">
        <v>14130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Plan55"/>
  <dimension ref="A1:G77"/>
  <sheetViews>
    <sheetView workbookViewId="0">
      <pane xSplit="6" ySplit="1" topLeftCell="G11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" defaultRowHeight="13.5"/>
  <cols>
    <col min="1" max="1" width="17.5703125" style="3" customWidth="1"/>
    <col min="2" max="2" width="21.42578125" style="3" customWidth="1"/>
    <col min="3" max="3" width="48.42578125" style="3" customWidth="1"/>
    <col min="4" max="4" width="16" style="3" customWidth="1"/>
    <col min="5" max="5" width="17" style="221" customWidth="1"/>
    <col min="6" max="6" width="16" style="3" customWidth="1"/>
    <col min="7" max="7" width="14.85546875" style="3" customWidth="1"/>
    <col min="8" max="16384" width="9" style="3"/>
  </cols>
  <sheetData>
    <row r="1" spans="1:7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6</v>
      </c>
    </row>
    <row r="2" spans="1:7">
      <c r="A2" s="258"/>
      <c r="B2" s="259"/>
      <c r="C2" s="270" t="s">
        <v>13483</v>
      </c>
      <c r="D2" s="110"/>
      <c r="E2" s="260"/>
      <c r="F2" s="263"/>
      <c r="G2" s="154"/>
    </row>
    <row r="3" spans="1:7">
      <c r="A3" s="262">
        <v>40525</v>
      </c>
      <c r="B3" s="76" t="str">
        <f>TiposLancamentos!B4</f>
        <v>Taxas Bancarias</v>
      </c>
      <c r="C3" s="147" t="s">
        <v>14131</v>
      </c>
      <c r="D3" s="63"/>
      <c r="E3" s="231">
        <v>23.5</v>
      </c>
      <c r="F3" s="263"/>
      <c r="G3" s="154"/>
    </row>
    <row r="4" spans="1:7">
      <c r="A4" s="262">
        <v>40535</v>
      </c>
      <c r="B4" s="76" t="str">
        <f>TiposLancamentos!B22</f>
        <v>Combustivel</v>
      </c>
      <c r="C4" s="147" t="s">
        <v>14132</v>
      </c>
      <c r="D4" s="63"/>
      <c r="E4" s="231">
        <v>94.02</v>
      </c>
      <c r="F4" s="263"/>
      <c r="G4" s="154"/>
    </row>
    <row r="5" spans="1:7">
      <c r="A5" s="262">
        <v>40537</v>
      </c>
      <c r="B5" s="76" t="str">
        <f>TiposLancamentos!B22</f>
        <v>Combustivel</v>
      </c>
      <c r="C5" s="147" t="s">
        <v>14133</v>
      </c>
      <c r="D5" s="63"/>
      <c r="E5" s="231">
        <v>112.16</v>
      </c>
      <c r="F5" s="263"/>
      <c r="G5" s="154"/>
    </row>
    <row r="6" spans="1:7">
      <c r="A6" s="262">
        <v>40537</v>
      </c>
      <c r="B6" s="76" t="str">
        <f>TiposLancamentos!B56</f>
        <v>Farmácia</v>
      </c>
      <c r="C6" s="147" t="s">
        <v>14134</v>
      </c>
      <c r="D6" s="63"/>
      <c r="E6" s="231">
        <v>15.4</v>
      </c>
      <c r="F6" s="263"/>
      <c r="G6" s="154"/>
    </row>
    <row r="7" spans="1:7">
      <c r="A7" s="192">
        <v>40540</v>
      </c>
      <c r="B7" s="76" t="str">
        <f>TiposLancamentos!B4</f>
        <v>Taxas Bancarias</v>
      </c>
      <c r="C7" s="147" t="s">
        <v>14135</v>
      </c>
      <c r="D7" s="63"/>
      <c r="E7" s="231">
        <v>8.73</v>
      </c>
      <c r="F7" s="263"/>
      <c r="G7" s="154"/>
    </row>
    <row r="8" spans="1:7">
      <c r="A8" s="192">
        <v>40540</v>
      </c>
      <c r="B8" s="76" t="str">
        <f>TiposLancamentos!B4</f>
        <v>Taxas Bancarias</v>
      </c>
      <c r="C8" s="147" t="s">
        <v>14136</v>
      </c>
      <c r="D8" s="63"/>
      <c r="E8" s="231">
        <v>5</v>
      </c>
      <c r="F8" s="263"/>
      <c r="G8" s="154"/>
    </row>
    <row r="9" spans="1:7">
      <c r="A9" s="192">
        <v>40544</v>
      </c>
      <c r="B9" s="76" t="str">
        <f>TiposLancamentos!B30</f>
        <v>Cinema</v>
      </c>
      <c r="C9" s="147" t="s">
        <v>14137</v>
      </c>
      <c r="D9" s="63"/>
      <c r="E9" s="231">
        <v>33</v>
      </c>
      <c r="F9" s="263"/>
      <c r="G9" s="154"/>
    </row>
    <row r="10" spans="1:7">
      <c r="A10" s="192">
        <v>40544</v>
      </c>
      <c r="B10" s="76" t="str">
        <f>TiposLancamentos!B18</f>
        <v>Alimentacao</v>
      </c>
      <c r="C10" s="147" t="s">
        <v>4027</v>
      </c>
      <c r="D10" s="63"/>
      <c r="E10" s="231">
        <v>25</v>
      </c>
      <c r="F10" s="263"/>
      <c r="G10" s="154"/>
    </row>
    <row r="11" spans="1:7">
      <c r="A11" s="264"/>
      <c r="B11" s="226"/>
      <c r="C11" s="227" t="s">
        <v>10</v>
      </c>
      <c r="D11" s="228"/>
      <c r="E11" s="228"/>
      <c r="F11" s="273"/>
      <c r="G11" s="154"/>
    </row>
    <row r="12" spans="1:7">
      <c r="A12" s="262"/>
      <c r="B12" s="76"/>
      <c r="C12" s="147"/>
      <c r="D12" s="63"/>
      <c r="E12" s="231"/>
      <c r="F12" s="263">
        <f>SUM(E2:E10)</f>
        <v>316.81</v>
      </c>
      <c r="G12" s="154"/>
    </row>
    <row r="13" spans="1:7">
      <c r="A13" s="192">
        <v>40551</v>
      </c>
      <c r="B13" s="76" t="str">
        <f>TiposLancamentos!B22</f>
        <v>Combustivel</v>
      </c>
      <c r="C13" s="147" t="s">
        <v>4404</v>
      </c>
      <c r="D13" s="63"/>
      <c r="E13" s="231">
        <v>73</v>
      </c>
      <c r="F13" s="263"/>
      <c r="G13" s="154"/>
    </row>
    <row r="14" spans="1:7">
      <c r="A14" s="192">
        <v>40551</v>
      </c>
      <c r="B14" s="76" t="str">
        <f>TiposLancamentos!B87</f>
        <v>P207-1.6-XS</v>
      </c>
      <c r="C14" s="147" t="s">
        <v>14138</v>
      </c>
      <c r="D14" s="63"/>
      <c r="E14" s="231">
        <f>131.99-E13</f>
        <v>58.990000000000009</v>
      </c>
      <c r="F14" s="263">
        <f>SUM(E13:E14)</f>
        <v>131.99</v>
      </c>
      <c r="G14" s="154"/>
    </row>
    <row r="15" spans="1:7" ht="14.25" customHeight="1">
      <c r="A15" s="192">
        <v>40554</v>
      </c>
      <c r="B15" s="76" t="str">
        <f>TiposLancamentos!B15</f>
        <v>Cartões de Crédito</v>
      </c>
      <c r="C15" s="147" t="s">
        <v>14126</v>
      </c>
      <c r="D15" s="63">
        <v>316.16000000000003</v>
      </c>
      <c r="E15" s="231"/>
      <c r="F15" s="263"/>
      <c r="G15" s="154"/>
    </row>
    <row r="16" spans="1:7">
      <c r="A16" s="192">
        <v>40571</v>
      </c>
      <c r="B16" s="76" t="str">
        <f>TiposLancamentos!B4</f>
        <v>Taxas Bancarias</v>
      </c>
      <c r="C16" s="147" t="s">
        <v>14135</v>
      </c>
      <c r="D16" s="63"/>
      <c r="E16" s="231">
        <v>8.73</v>
      </c>
      <c r="F16" s="263"/>
      <c r="G16" s="154"/>
    </row>
    <row r="17" spans="1:7">
      <c r="A17" s="192">
        <v>40571</v>
      </c>
      <c r="B17" s="76" t="str">
        <f>TiposLancamentos!B4</f>
        <v>Taxas Bancarias</v>
      </c>
      <c r="C17" s="147" t="s">
        <v>14136</v>
      </c>
      <c r="D17" s="63"/>
      <c r="E17" s="231">
        <v>5</v>
      </c>
      <c r="F17" s="263"/>
      <c r="G17" s="154"/>
    </row>
    <row r="18" spans="1:7">
      <c r="A18" s="258"/>
      <c r="B18" s="259"/>
      <c r="C18" s="270" t="s">
        <v>14139</v>
      </c>
      <c r="D18" s="110"/>
      <c r="E18" s="260"/>
      <c r="F18" s="261"/>
      <c r="G18" s="154"/>
    </row>
    <row r="19" spans="1:7">
      <c r="A19" s="262">
        <v>40587</v>
      </c>
      <c r="B19" s="76" t="str">
        <f>TiposLancamentos!B4</f>
        <v>Taxas Bancarias</v>
      </c>
      <c r="C19" s="147" t="s">
        <v>14140</v>
      </c>
      <c r="D19" s="63"/>
      <c r="E19" s="231">
        <v>23.5</v>
      </c>
      <c r="F19" s="263"/>
      <c r="G19" s="154"/>
    </row>
    <row r="20" spans="1:7">
      <c r="A20" s="264"/>
      <c r="B20" s="226"/>
      <c r="C20" s="227" t="s">
        <v>10</v>
      </c>
      <c r="D20" s="228"/>
      <c r="E20" s="228"/>
      <c r="F20" s="273"/>
      <c r="G20" s="154"/>
    </row>
    <row r="21" spans="1:7">
      <c r="A21" s="262">
        <v>40587</v>
      </c>
      <c r="B21" s="76" t="str">
        <f>TiposLancamentos!B4</f>
        <v>Taxas Bancarias</v>
      </c>
      <c r="C21" s="147" t="s">
        <v>14141</v>
      </c>
      <c r="D21" s="63"/>
      <c r="E21" s="231">
        <v>23.5</v>
      </c>
      <c r="F21" s="263"/>
      <c r="G21" s="154"/>
    </row>
    <row r="22" spans="1:7">
      <c r="A22" s="262">
        <v>40589</v>
      </c>
      <c r="B22" s="76" t="str">
        <f>TiposLancamentos!B15</f>
        <v>Cartões de Crédito</v>
      </c>
      <c r="C22" s="147" t="s">
        <v>14142</v>
      </c>
      <c r="D22" s="63">
        <v>169.96</v>
      </c>
      <c r="E22" s="231"/>
      <c r="F22" s="263"/>
      <c r="G22" s="154"/>
    </row>
    <row r="23" spans="1:7">
      <c r="A23" s="262">
        <v>40596</v>
      </c>
      <c r="B23" s="76" t="str">
        <f>TiposLancamentos!B4</f>
        <v>Taxas Bancarias</v>
      </c>
      <c r="C23" s="147" t="s">
        <v>14135</v>
      </c>
      <c r="D23" s="63"/>
      <c r="E23" s="231">
        <v>8.73</v>
      </c>
      <c r="F23" s="263"/>
      <c r="G23" s="154"/>
    </row>
    <row r="24" spans="1:7">
      <c r="A24" s="262">
        <v>40596</v>
      </c>
      <c r="B24" s="76" t="str">
        <f>TiposLancamentos!B4</f>
        <v>Taxas Bancarias</v>
      </c>
      <c r="C24" s="147" t="s">
        <v>14136</v>
      </c>
      <c r="D24" s="63"/>
      <c r="E24" s="231">
        <v>5</v>
      </c>
      <c r="F24" s="263"/>
      <c r="G24" s="154"/>
    </row>
    <row r="25" spans="1:7">
      <c r="A25" s="262">
        <v>40599</v>
      </c>
      <c r="B25" s="76" t="str">
        <f>TiposLancamentos!B64</f>
        <v>Viagens</v>
      </c>
      <c r="C25" s="147" t="s">
        <v>14143</v>
      </c>
      <c r="D25" s="63"/>
      <c r="E25" s="231">
        <v>429</v>
      </c>
      <c r="F25" s="263"/>
      <c r="G25" s="154"/>
    </row>
    <row r="26" spans="1:7">
      <c r="A26" s="264"/>
      <c r="B26" s="226"/>
      <c r="C26" s="227" t="s">
        <v>10</v>
      </c>
      <c r="D26" s="228"/>
      <c r="E26" s="228"/>
      <c r="F26" s="273"/>
      <c r="G26" s="154"/>
    </row>
    <row r="27" spans="1:7">
      <c r="A27" s="258"/>
      <c r="B27" s="259"/>
      <c r="C27" s="270" t="s">
        <v>4122</v>
      </c>
      <c r="D27" s="110"/>
      <c r="E27" s="260"/>
      <c r="F27" s="261">
        <f>SUM(E21:E25)</f>
        <v>466.23</v>
      </c>
      <c r="G27" s="154"/>
    </row>
    <row r="28" spans="1:7">
      <c r="A28" s="258">
        <v>40617</v>
      </c>
      <c r="B28" s="259" t="str">
        <f>TiposLancamentos!B15</f>
        <v>Cartões de Crédito</v>
      </c>
      <c r="C28" s="270" t="s">
        <v>14142</v>
      </c>
      <c r="D28" s="110">
        <v>466.23</v>
      </c>
      <c r="E28" s="260"/>
      <c r="F28" s="261"/>
      <c r="G28" s="154"/>
    </row>
    <row r="29" spans="1:7">
      <c r="A29" s="262">
        <v>40621</v>
      </c>
      <c r="B29" s="76" t="str">
        <f>TiposLancamentos!B19</f>
        <v>Restaurantes</v>
      </c>
      <c r="C29" s="147" t="s">
        <v>14144</v>
      </c>
      <c r="D29" s="63"/>
      <c r="E29" s="231">
        <v>112.85</v>
      </c>
      <c r="F29" s="263"/>
      <c r="G29" s="154"/>
    </row>
    <row r="30" spans="1:7">
      <c r="A30" s="262">
        <v>40627</v>
      </c>
      <c r="B30" s="76" t="str">
        <f>TiposLancamentos!B4</f>
        <v>Taxas Bancarias</v>
      </c>
      <c r="C30" s="147" t="s">
        <v>14135</v>
      </c>
      <c r="D30" s="63"/>
      <c r="E30" s="231">
        <v>8.73</v>
      </c>
      <c r="F30" s="263"/>
      <c r="G30" s="154"/>
    </row>
    <row r="31" spans="1:7">
      <c r="A31" s="262">
        <v>40627</v>
      </c>
      <c r="B31" s="76" t="str">
        <f>TiposLancamentos!B4</f>
        <v>Taxas Bancarias</v>
      </c>
      <c r="C31" s="147" t="s">
        <v>14136</v>
      </c>
      <c r="D31" s="63"/>
      <c r="E31" s="231">
        <v>5</v>
      </c>
      <c r="F31" s="263"/>
      <c r="G31" s="154"/>
    </row>
    <row r="32" spans="1:7">
      <c r="A32" s="262">
        <v>40633</v>
      </c>
      <c r="B32" s="76" t="str">
        <f>TiposLancamentos!B30</f>
        <v>Cinema</v>
      </c>
      <c r="C32" s="147" t="s">
        <v>14145</v>
      </c>
      <c r="D32" s="63"/>
      <c r="E32" s="231">
        <v>21</v>
      </c>
      <c r="F32" s="263"/>
      <c r="G32" s="154"/>
    </row>
    <row r="33" spans="1:7">
      <c r="A33" s="258"/>
      <c r="B33" s="259"/>
      <c r="C33" s="270" t="s">
        <v>4130</v>
      </c>
      <c r="D33" s="110"/>
      <c r="E33" s="260"/>
      <c r="F33" s="261"/>
      <c r="G33" s="154"/>
    </row>
    <row r="34" spans="1:7">
      <c r="A34" s="264"/>
      <c r="B34" s="226"/>
      <c r="C34" s="227" t="s">
        <v>10</v>
      </c>
      <c r="D34" s="228"/>
      <c r="E34" s="228"/>
      <c r="F34" s="273"/>
      <c r="G34" s="154"/>
    </row>
    <row r="35" spans="1:7">
      <c r="A35" s="262">
        <v>40648</v>
      </c>
      <c r="B35" s="76" t="str">
        <f>TiposLancamentos!B15</f>
        <v>Cartões de Crédito</v>
      </c>
      <c r="C35" s="147" t="s">
        <v>14142</v>
      </c>
      <c r="D35" s="63">
        <v>147.58000000000001</v>
      </c>
      <c r="E35" s="231"/>
      <c r="F35" s="263"/>
      <c r="G35" s="154"/>
    </row>
    <row r="36" spans="1:7">
      <c r="A36" s="262">
        <v>40657</v>
      </c>
      <c r="B36" s="76" t="str">
        <f>TiposLancamentos!B4</f>
        <v>Taxas Bancarias</v>
      </c>
      <c r="C36" s="147" t="s">
        <v>14135</v>
      </c>
      <c r="D36" s="63"/>
      <c r="E36" s="231">
        <v>8.73</v>
      </c>
      <c r="F36" s="263"/>
      <c r="G36" s="154"/>
    </row>
    <row r="37" spans="1:7">
      <c r="A37" s="266">
        <v>40657</v>
      </c>
      <c r="B37" s="115" t="str">
        <f>TiposLancamentos!B4</f>
        <v>Taxas Bancarias</v>
      </c>
      <c r="C37" s="267" t="s">
        <v>14136</v>
      </c>
      <c r="D37" s="113"/>
      <c r="E37" s="268">
        <v>5</v>
      </c>
      <c r="F37" s="269"/>
      <c r="G37" s="154"/>
    </row>
    <row r="38" spans="1:7">
      <c r="A38" s="192"/>
      <c r="B38" s="76"/>
      <c r="C38" s="147" t="s">
        <v>4139</v>
      </c>
      <c r="D38" s="63"/>
      <c r="E38" s="231"/>
      <c r="F38" s="263">
        <f>SUM(E35:E41)</f>
        <v>62.03</v>
      </c>
      <c r="G38" s="154"/>
    </row>
    <row r="39" spans="1:7">
      <c r="A39" s="192">
        <v>40666</v>
      </c>
      <c r="B39" s="76" t="str">
        <f>TiposLancamentos!B30</f>
        <v>Cinema</v>
      </c>
      <c r="C39" s="147" t="s">
        <v>14146</v>
      </c>
      <c r="D39" s="63"/>
      <c r="E39" s="231">
        <v>48.3</v>
      </c>
      <c r="F39" s="263"/>
      <c r="G39" s="154"/>
    </row>
    <row r="40" spans="1:7">
      <c r="A40" s="264"/>
      <c r="B40" s="226"/>
      <c r="C40" s="227" t="s">
        <v>10</v>
      </c>
      <c r="D40" s="228"/>
      <c r="E40" s="228"/>
      <c r="F40" s="273"/>
      <c r="G40" s="154"/>
    </row>
    <row r="41" spans="1:7">
      <c r="A41" s="192">
        <v>40672</v>
      </c>
      <c r="B41" s="76" t="str">
        <f>TiposLancamentos!B15</f>
        <v>Cartões de Crédito</v>
      </c>
      <c r="C41" s="147" t="s">
        <v>14126</v>
      </c>
      <c r="D41" s="63">
        <v>62.03</v>
      </c>
      <c r="E41" s="231"/>
      <c r="F41" s="263"/>
      <c r="G41" s="154"/>
    </row>
    <row r="42" spans="1:7">
      <c r="A42" s="262">
        <v>40687</v>
      </c>
      <c r="B42" s="76" t="str">
        <f>TiposLancamentos!B4</f>
        <v>Taxas Bancarias</v>
      </c>
      <c r="C42" s="147" t="s">
        <v>14135</v>
      </c>
      <c r="D42" s="63"/>
      <c r="E42" s="231">
        <v>8.73</v>
      </c>
      <c r="F42" s="263"/>
      <c r="G42" s="154"/>
    </row>
    <row r="43" spans="1:7">
      <c r="A43" s="266">
        <v>40687</v>
      </c>
      <c r="B43" s="115" t="str">
        <f>TiposLancamentos!B4</f>
        <v>Taxas Bancarias</v>
      </c>
      <c r="C43" s="267" t="s">
        <v>14136</v>
      </c>
      <c r="D43" s="113"/>
      <c r="E43" s="268">
        <v>5</v>
      </c>
      <c r="F43" s="263"/>
      <c r="G43" s="154"/>
    </row>
    <row r="44" spans="1:7">
      <c r="A44" s="192"/>
      <c r="B44" s="76"/>
      <c r="C44" s="147" t="s">
        <v>14147</v>
      </c>
      <c r="D44" s="63"/>
      <c r="E44" s="231"/>
      <c r="F44" s="263">
        <f>SUM(E41:E43)</f>
        <v>13.73</v>
      </c>
      <c r="G44" s="154"/>
    </row>
    <row r="45" spans="1:7">
      <c r="A45" s="192">
        <v>40702</v>
      </c>
      <c r="B45" s="76" t="str">
        <f>TiposLancamentos!B15</f>
        <v>Cartões de Crédito</v>
      </c>
      <c r="C45" s="147" t="s">
        <v>14126</v>
      </c>
      <c r="D45" s="63">
        <v>13.73</v>
      </c>
      <c r="E45" s="231"/>
      <c r="F45" s="263"/>
      <c r="G45" s="154"/>
    </row>
    <row r="46" spans="1:7">
      <c r="A46" s="125">
        <v>40739</v>
      </c>
      <c r="B46" s="76" t="str">
        <f>TiposLancamentos!B15</f>
        <v>Cartões de Crédito</v>
      </c>
      <c r="C46" s="147" t="s">
        <v>14126</v>
      </c>
      <c r="D46" s="63">
        <v>13.73</v>
      </c>
      <c r="E46" s="231"/>
      <c r="F46" s="1455"/>
      <c r="G46" s="154"/>
    </row>
    <row r="47" spans="1:7">
      <c r="A47" s="264"/>
      <c r="B47" s="226"/>
      <c r="C47" s="227" t="s">
        <v>10</v>
      </c>
      <c r="D47" s="228"/>
      <c r="E47" s="228"/>
      <c r="F47" s="273"/>
      <c r="G47" s="154"/>
    </row>
    <row r="48" spans="1:7">
      <c r="A48" s="266">
        <v>40748</v>
      </c>
      <c r="B48" s="76" t="str">
        <f>TiposLancamentos!B4</f>
        <v>Taxas Bancarias</v>
      </c>
      <c r="C48" s="147" t="s">
        <v>14135</v>
      </c>
      <c r="D48" s="63"/>
      <c r="E48" s="231">
        <v>8.73</v>
      </c>
      <c r="F48" s="263"/>
      <c r="G48" s="154"/>
    </row>
    <row r="49" spans="1:7">
      <c r="A49" s="266">
        <v>40748</v>
      </c>
      <c r="B49" s="115" t="str">
        <f>TiposLancamentos!B4</f>
        <v>Taxas Bancarias</v>
      </c>
      <c r="C49" s="267" t="s">
        <v>14136</v>
      </c>
      <c r="D49" s="113"/>
      <c r="E49" s="268">
        <v>5</v>
      </c>
      <c r="F49" s="263"/>
      <c r="G49" s="154"/>
    </row>
    <row r="50" spans="1:7">
      <c r="A50" s="192">
        <v>40760</v>
      </c>
      <c r="B50" s="76" t="str">
        <f>TiposLancamentos!B22</f>
        <v>Combustivel</v>
      </c>
      <c r="C50" s="147" t="s">
        <v>14148</v>
      </c>
      <c r="D50" s="63"/>
      <c r="E50" s="231">
        <v>121.01</v>
      </c>
      <c r="F50" s="263"/>
      <c r="G50" s="154"/>
    </row>
    <row r="51" spans="1:7">
      <c r="A51" s="192">
        <v>40761</v>
      </c>
      <c r="B51" s="76" t="str">
        <f>TiposLancamentos!B72</f>
        <v>Presentes</v>
      </c>
      <c r="C51" s="147" t="s">
        <v>14149</v>
      </c>
      <c r="D51" s="63"/>
      <c r="E51" s="231">
        <v>57.94</v>
      </c>
      <c r="F51" s="263"/>
      <c r="G51" s="154"/>
    </row>
    <row r="52" spans="1:7">
      <c r="A52" s="192">
        <v>40761</v>
      </c>
      <c r="B52" s="76" t="str">
        <f>TiposLancamentos!B72</f>
        <v>Presentes</v>
      </c>
      <c r="C52" s="147" t="s">
        <v>14150</v>
      </c>
      <c r="D52" s="63"/>
      <c r="E52" s="231">
        <v>98.79</v>
      </c>
      <c r="F52" s="263"/>
      <c r="G52" s="154"/>
    </row>
    <row r="53" spans="1:7">
      <c r="A53" s="192">
        <v>40761</v>
      </c>
      <c r="B53" s="76" t="str">
        <f>TiposLancamentos!B64</f>
        <v>Viagens</v>
      </c>
      <c r="C53" s="147" t="s">
        <v>14151</v>
      </c>
      <c r="D53" s="63"/>
      <c r="E53" s="231">
        <v>136.5</v>
      </c>
      <c r="F53" s="263"/>
      <c r="G53" s="154"/>
    </row>
    <row r="54" spans="1:7">
      <c r="A54" s="192">
        <v>40761</v>
      </c>
      <c r="B54" s="76" t="str">
        <f>TiposLancamentos!B19</f>
        <v>Restaurantes</v>
      </c>
      <c r="C54" s="147" t="s">
        <v>14152</v>
      </c>
      <c r="D54" s="63"/>
      <c r="E54" s="231">
        <v>137.83000000000001</v>
      </c>
      <c r="F54" s="263"/>
      <c r="G54" s="154"/>
    </row>
    <row r="55" spans="1:7">
      <c r="A55" s="192">
        <v>40762</v>
      </c>
      <c r="B55" s="76" t="str">
        <f>TiposLancamentos!B64</f>
        <v>Viagens</v>
      </c>
      <c r="C55" s="147" t="s">
        <v>14153</v>
      </c>
      <c r="D55" s="63"/>
      <c r="E55" s="231">
        <v>36</v>
      </c>
      <c r="F55" s="263"/>
      <c r="G55" s="154"/>
    </row>
    <row r="56" spans="1:7">
      <c r="A56" s="192">
        <v>40762</v>
      </c>
      <c r="B56" s="76" t="str">
        <f>TiposLancamentos!B72</f>
        <v>Presentes</v>
      </c>
      <c r="C56" s="147" t="s">
        <v>14154</v>
      </c>
      <c r="D56" s="63"/>
      <c r="E56" s="231">
        <v>37.89</v>
      </c>
      <c r="F56" s="263"/>
      <c r="G56" s="154"/>
    </row>
    <row r="57" spans="1:7">
      <c r="A57" s="192">
        <v>40762</v>
      </c>
      <c r="B57" s="76" t="str">
        <f>TiposLancamentos!B22</f>
        <v>Combustivel</v>
      </c>
      <c r="C57" s="147" t="s">
        <v>14155</v>
      </c>
      <c r="D57" s="63"/>
      <c r="E57" s="231">
        <v>100.01</v>
      </c>
      <c r="F57" s="263"/>
      <c r="G57" s="154"/>
    </row>
    <row r="58" spans="1:7">
      <c r="A58" s="264"/>
      <c r="B58" s="226"/>
      <c r="C58" s="227" t="s">
        <v>10</v>
      </c>
      <c r="D58" s="228"/>
      <c r="E58" s="228"/>
      <c r="F58" s="273"/>
      <c r="G58" s="154"/>
    </row>
    <row r="59" spans="1:7">
      <c r="A59" s="192">
        <v>40770</v>
      </c>
      <c r="B59" s="76" t="str">
        <f>TiposLancamentos!B15</f>
        <v>Cartões de Crédito</v>
      </c>
      <c r="C59" s="147" t="s">
        <v>14156</v>
      </c>
      <c r="D59" s="63">
        <v>13.73</v>
      </c>
      <c r="E59" s="231"/>
      <c r="F59" s="263"/>
      <c r="G59" s="154"/>
    </row>
    <row r="60" spans="1:7">
      <c r="A60" s="192">
        <v>40801</v>
      </c>
      <c r="B60" s="76" t="str">
        <f>TiposLancamentos!B15</f>
        <v>Cartões de Crédito</v>
      </c>
      <c r="C60" s="147" t="s">
        <v>14156</v>
      </c>
      <c r="D60" s="63">
        <v>739.69</v>
      </c>
      <c r="E60" s="231"/>
      <c r="F60" s="263"/>
      <c r="G60" s="154"/>
    </row>
    <row r="61" spans="1:7">
      <c r="A61" s="192">
        <v>40817</v>
      </c>
      <c r="B61" s="76" t="str">
        <f>TiposLancamentos!B15</f>
        <v>Cartões de Crédito</v>
      </c>
      <c r="C61" s="147" t="s">
        <v>14126</v>
      </c>
      <c r="D61" s="63">
        <v>13.73</v>
      </c>
      <c r="E61" s="231"/>
      <c r="F61" s="263"/>
      <c r="G61" s="154"/>
    </row>
    <row r="62" spans="1:7">
      <c r="A62" s="192">
        <v>40848</v>
      </c>
      <c r="B62" s="76" t="str">
        <f>TiposLancamentos!B15</f>
        <v>Cartões de Crédito</v>
      </c>
      <c r="C62" s="147" t="s">
        <v>14126</v>
      </c>
      <c r="D62" s="63">
        <v>13.73</v>
      </c>
      <c r="E62" s="231"/>
      <c r="F62" s="263"/>
      <c r="G62" s="154"/>
    </row>
    <row r="63" spans="1:7">
      <c r="A63" s="192">
        <v>40873</v>
      </c>
      <c r="B63" s="76" t="str">
        <f>TiposLancamentos!B77</f>
        <v>Esporádico</v>
      </c>
      <c r="C63" s="147" t="s">
        <v>14157</v>
      </c>
      <c r="D63" s="63"/>
      <c r="E63" s="231">
        <v>101.4</v>
      </c>
      <c r="F63" s="263"/>
      <c r="G63" s="154"/>
    </row>
    <row r="64" spans="1:7">
      <c r="A64" s="192">
        <v>40892</v>
      </c>
      <c r="B64" s="76" t="str">
        <f>TiposLancamentos!B4</f>
        <v>Taxas Bancarias</v>
      </c>
      <c r="C64" s="147" t="s">
        <v>14158</v>
      </c>
      <c r="D64" s="63"/>
      <c r="E64" s="231"/>
      <c r="F64" s="263"/>
      <c r="G64" s="154"/>
    </row>
    <row r="65" spans="1:7">
      <c r="A65" s="192">
        <v>40892</v>
      </c>
      <c r="B65" s="76" t="str">
        <f>TiposLancamentos!B15</f>
        <v>Cartões de Crédito</v>
      </c>
      <c r="C65" s="147" t="s">
        <v>14126</v>
      </c>
      <c r="D65" s="63">
        <v>175.13</v>
      </c>
      <c r="E65" s="231"/>
      <c r="F65" s="263"/>
      <c r="G65" s="154"/>
    </row>
    <row r="66" spans="1:7">
      <c r="A66" s="262">
        <v>40892</v>
      </c>
      <c r="B66" s="76" t="str">
        <f>TiposLancamentos!B78</f>
        <v>Diferenças</v>
      </c>
      <c r="C66" s="147" t="s">
        <v>14159</v>
      </c>
      <c r="D66" s="63"/>
      <c r="E66" s="231">
        <v>128.72999999999999</v>
      </c>
      <c r="F66" s="263"/>
    </row>
    <row r="67" spans="1:7">
      <c r="A67" s="266"/>
      <c r="B67" s="306"/>
      <c r="C67" s="267"/>
      <c r="D67" s="113"/>
      <c r="E67" s="268"/>
      <c r="F67" s="269"/>
      <c r="G67" s="36"/>
    </row>
    <row r="68" spans="1:7">
      <c r="A68" s="46"/>
      <c r="B68" s="116"/>
      <c r="C68" s="117" t="s">
        <v>12</v>
      </c>
      <c r="D68" s="185">
        <f>SUM(D2:D67)</f>
        <v>2145.4300000000003</v>
      </c>
      <c r="E68" s="118">
        <f>SUM(E2:E67)</f>
        <v>2145.4299999999998</v>
      </c>
      <c r="F68" s="301"/>
      <c r="G68" s="36"/>
    </row>
    <row r="69" spans="1:7">
      <c r="A69" s="119"/>
      <c r="B69" s="120"/>
      <c r="C69" s="24" t="s">
        <v>13</v>
      </c>
      <c r="D69" s="177"/>
      <c r="E69" s="302">
        <f>D68-E68</f>
        <v>0</v>
      </c>
      <c r="F69" s="177"/>
    </row>
    <row r="70" spans="1:7">
      <c r="A70" s="65"/>
      <c r="B70" s="65"/>
    </row>
    <row r="71" spans="1:7">
      <c r="C71" s="23"/>
      <c r="D71" s="25" t="s">
        <v>14</v>
      </c>
      <c r="E71" s="303" t="s">
        <v>15</v>
      </c>
      <c r="F71" s="25" t="s">
        <v>16</v>
      </c>
    </row>
    <row r="72" spans="1:7">
      <c r="B72" s="77" t="s">
        <v>17</v>
      </c>
      <c r="C72" s="36"/>
      <c r="D72" s="60"/>
      <c r="E72" s="34">
        <f>E69</f>
        <v>0</v>
      </c>
      <c r="F72" s="62">
        <f>D72+E72</f>
        <v>0</v>
      </c>
    </row>
    <row r="73" spans="1:7">
      <c r="C73" s="23"/>
      <c r="D73" s="77"/>
      <c r="E73" s="77"/>
      <c r="F73" s="304"/>
    </row>
    <row r="74" spans="1:7">
      <c r="C74" s="23"/>
      <c r="D74" s="36"/>
    </row>
    <row r="75" spans="1:7">
      <c r="B75" s="77"/>
      <c r="C75" s="305"/>
    </row>
    <row r="76" spans="1:7">
      <c r="B76" s="77"/>
      <c r="C76" s="77"/>
    </row>
    <row r="77" spans="1:7">
      <c r="B77" s="77"/>
      <c r="C77" s="77"/>
      <c r="G77" s="3" t="s">
        <v>14160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Plan48"/>
  <dimension ref="A1:F814"/>
  <sheetViews>
    <sheetView workbookViewId="0">
      <pane xSplit="5" ySplit="1" topLeftCell="F191" activePane="bottomRight" state="frozen"/>
      <selection pane="bottomRight" activeCell="F1" sqref="F1"/>
      <selection pane="bottomLeft" activeCell="A788" sqref="A788"/>
      <selection pane="topRight" activeCell="F1" sqref="F1"/>
    </sheetView>
  </sheetViews>
  <sheetFormatPr defaultColWidth="9" defaultRowHeight="13.5"/>
  <cols>
    <col min="1" max="1" width="18.7109375" style="3" customWidth="1"/>
    <col min="2" max="2" width="19.42578125" style="3" customWidth="1"/>
    <col min="3" max="3" width="59.140625" style="3" customWidth="1"/>
    <col min="4" max="4" width="17.85546875" style="3" customWidth="1"/>
    <col min="5" max="5" width="18.28515625" style="3" customWidth="1"/>
    <col min="6" max="6" width="13.7109375" style="3" bestFit="1" customWidth="1"/>
    <col min="7" max="16384" width="9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75">
        <v>37511</v>
      </c>
      <c r="B2" s="86" t="str">
        <f>TiposLancamentos!B78</f>
        <v>Diferenças</v>
      </c>
      <c r="C2" s="43" t="s">
        <v>2488</v>
      </c>
      <c r="D2" s="179">
        <v>0</v>
      </c>
      <c r="E2" s="180">
        <v>24.92</v>
      </c>
    </row>
    <row r="3" spans="1:6">
      <c r="A3" s="188"/>
      <c r="B3" s="189"/>
      <c r="C3" s="43" t="s">
        <v>14161</v>
      </c>
      <c r="D3" s="600"/>
      <c r="E3" s="180"/>
    </row>
    <row r="4" spans="1:6">
      <c r="A4" s="75">
        <v>37511</v>
      </c>
      <c r="B4" s="86" t="str">
        <f>TiposLancamentos!B95</f>
        <v>Salarios</v>
      </c>
      <c r="C4" s="52" t="s">
        <v>14162</v>
      </c>
      <c r="D4" s="63">
        <v>579.6</v>
      </c>
      <c r="E4" s="98"/>
    </row>
    <row r="5" spans="1:6">
      <c r="A5" s="75">
        <v>37512</v>
      </c>
      <c r="B5" s="86" t="str">
        <f>TiposLancamentos!B2</f>
        <v>Telefonia</v>
      </c>
      <c r="C5" s="3" t="s">
        <v>14163</v>
      </c>
      <c r="D5" s="63"/>
      <c r="E5" s="98">
        <v>83.72</v>
      </c>
    </row>
    <row r="6" spans="1:6">
      <c r="A6" s="75">
        <v>37512</v>
      </c>
      <c r="B6" s="86" t="str">
        <f>TiposLancamentos!B105</f>
        <v>Transf. Bco</v>
      </c>
      <c r="C6" s="52" t="s">
        <v>14164</v>
      </c>
      <c r="D6" s="63"/>
      <c r="E6" s="98">
        <v>495.88</v>
      </c>
    </row>
    <row r="7" spans="1:6">
      <c r="A7" s="75">
        <v>37519</v>
      </c>
      <c r="B7" s="86" t="str">
        <f>TiposLancamentos!B4</f>
        <v>Taxas Bancarias</v>
      </c>
      <c r="C7" s="52" t="s">
        <v>5065</v>
      </c>
      <c r="D7" s="63"/>
      <c r="E7" s="98">
        <v>0.31</v>
      </c>
    </row>
    <row r="8" spans="1:6">
      <c r="A8" s="75">
        <v>37526</v>
      </c>
      <c r="B8" s="86" t="str">
        <f>TiposLancamentos!B95</f>
        <v>Salarios</v>
      </c>
      <c r="C8" s="52" t="s">
        <v>14165</v>
      </c>
      <c r="D8" s="63">
        <v>617.48</v>
      </c>
      <c r="E8" s="98"/>
    </row>
    <row r="9" spans="1:6">
      <c r="A9" s="75">
        <v>37529</v>
      </c>
      <c r="B9" s="86" t="str">
        <f>TiposLancamentos!B105</f>
        <v>Transf. Bco</v>
      </c>
      <c r="C9" s="52" t="s">
        <v>14166</v>
      </c>
      <c r="D9" s="63"/>
      <c r="E9" s="98">
        <v>122</v>
      </c>
    </row>
    <row r="10" spans="1:6">
      <c r="A10" s="75">
        <v>37529</v>
      </c>
      <c r="B10" s="86" t="str">
        <f>TiposLancamentos!B105</f>
        <v>Transf. Bco</v>
      </c>
      <c r="C10" s="52" t="s">
        <v>14167</v>
      </c>
      <c r="D10" s="63"/>
      <c r="E10" s="98">
        <v>495.17</v>
      </c>
    </row>
    <row r="11" spans="1:6">
      <c r="A11" s="83"/>
      <c r="B11" s="91"/>
      <c r="C11" s="43" t="s">
        <v>14168</v>
      </c>
      <c r="D11" s="93"/>
      <c r="E11" s="94"/>
    </row>
    <row r="12" spans="1:6">
      <c r="A12" s="75">
        <v>37544</v>
      </c>
      <c r="B12" s="86" t="str">
        <f>TiposLancamentos!B95</f>
        <v>Salarios</v>
      </c>
      <c r="C12" s="52" t="s">
        <v>14165</v>
      </c>
      <c r="D12" s="63">
        <v>596.6</v>
      </c>
      <c r="E12" s="98"/>
    </row>
    <row r="13" spans="1:6">
      <c r="A13" s="75">
        <v>37544</v>
      </c>
      <c r="B13" s="86" t="str">
        <f>TiposLancamentos!B2</f>
        <v>Telefonia</v>
      </c>
      <c r="C13" s="3" t="s">
        <v>14163</v>
      </c>
      <c r="D13" s="63"/>
      <c r="E13" s="98">
        <v>63.45</v>
      </c>
    </row>
    <row r="14" spans="1:6">
      <c r="A14" s="75">
        <v>37544</v>
      </c>
      <c r="B14" s="86" t="str">
        <f>TiposLancamentos!B105</f>
        <v>Transf. Bco</v>
      </c>
      <c r="C14" s="52" t="s">
        <v>14167</v>
      </c>
      <c r="D14" s="63"/>
      <c r="E14" s="98">
        <v>513</v>
      </c>
    </row>
    <row r="15" spans="1:6">
      <c r="A15" s="75">
        <v>37544</v>
      </c>
      <c r="B15" s="86" t="str">
        <f>TiposLancamentos!B105</f>
        <v>Transf. Bco</v>
      </c>
      <c r="C15" s="52" t="s">
        <v>14169</v>
      </c>
      <c r="D15" s="63"/>
      <c r="E15" s="98">
        <v>23</v>
      </c>
    </row>
    <row r="16" spans="1:6">
      <c r="A16" s="75">
        <v>37547</v>
      </c>
      <c r="B16" s="86" t="str">
        <f>TiposLancamentos!B4</f>
        <v>Taxas Bancarias</v>
      </c>
      <c r="C16" s="52" t="s">
        <v>5065</v>
      </c>
      <c r="D16" s="63"/>
      <c r="E16" s="98">
        <v>0.24</v>
      </c>
    </row>
    <row r="17" spans="1:5">
      <c r="A17" s="75">
        <v>37547</v>
      </c>
      <c r="B17" s="86" t="str">
        <f>TiposLancamentos!B4</f>
        <v>Taxas Bancarias</v>
      </c>
      <c r="C17" s="52" t="s">
        <v>5065</v>
      </c>
      <c r="D17" s="63"/>
      <c r="E17" s="98">
        <v>2.89</v>
      </c>
    </row>
    <row r="18" spans="1:5">
      <c r="A18" s="75">
        <v>37559</v>
      </c>
      <c r="B18" s="86" t="str">
        <f>TiposLancamentos!B95</f>
        <v>Salarios</v>
      </c>
      <c r="C18" s="52" t="s">
        <v>14170</v>
      </c>
      <c r="D18" s="63">
        <v>866.92</v>
      </c>
      <c r="E18" s="98"/>
    </row>
    <row r="19" spans="1:5">
      <c r="A19" s="75">
        <v>37559</v>
      </c>
      <c r="B19" s="86" t="str">
        <f>TiposLancamentos!B105</f>
        <v>Transf. Bco</v>
      </c>
      <c r="C19" s="52" t="s">
        <v>14171</v>
      </c>
      <c r="D19" s="63"/>
      <c r="E19" s="98">
        <v>815.92</v>
      </c>
    </row>
    <row r="20" spans="1:5">
      <c r="A20" s="79">
        <v>37559</v>
      </c>
      <c r="B20" s="95" t="str">
        <f>TiposLancamentos!B105</f>
        <v>Transf. Bco</v>
      </c>
      <c r="C20" s="477" t="s">
        <v>14172</v>
      </c>
      <c r="D20" s="85"/>
      <c r="E20" s="97">
        <v>51</v>
      </c>
    </row>
    <row r="21" spans="1:5">
      <c r="A21" s="83"/>
      <c r="B21" s="91"/>
      <c r="C21" s="43" t="s">
        <v>12829</v>
      </c>
      <c r="D21" s="93"/>
      <c r="E21" s="94"/>
    </row>
    <row r="22" spans="1:5">
      <c r="A22" s="75">
        <v>37561</v>
      </c>
      <c r="B22" s="86" t="str">
        <f>TiposLancamentos!B4</f>
        <v>Taxas Bancarias</v>
      </c>
      <c r="C22" s="52" t="s">
        <v>5065</v>
      </c>
      <c r="D22" s="63"/>
      <c r="E22" s="98">
        <v>0.01</v>
      </c>
    </row>
    <row r="23" spans="1:5">
      <c r="A23" s="75">
        <v>37574</v>
      </c>
      <c r="B23" s="86" t="str">
        <f>TiposLancamentos!B95</f>
        <v>Salarios</v>
      </c>
      <c r="C23" s="52" t="s">
        <v>14162</v>
      </c>
      <c r="D23" s="63">
        <v>596.79</v>
      </c>
      <c r="E23" s="98"/>
    </row>
    <row r="24" spans="1:5">
      <c r="A24" s="75">
        <v>37574</v>
      </c>
      <c r="B24" s="86" t="str">
        <f>TiposLancamentos!B5</f>
        <v>Supermercado</v>
      </c>
      <c r="C24" s="52" t="s">
        <v>14173</v>
      </c>
      <c r="D24" s="63"/>
      <c r="E24" s="98">
        <v>29.9</v>
      </c>
    </row>
    <row r="25" spans="1:5">
      <c r="A25" s="75">
        <v>37574</v>
      </c>
      <c r="B25" s="86" t="str">
        <f>TiposLancamentos!B2</f>
        <v>Telefonia</v>
      </c>
      <c r="C25" s="3" t="s">
        <v>14163</v>
      </c>
      <c r="D25" s="63"/>
      <c r="E25" s="98">
        <v>11.01</v>
      </c>
    </row>
    <row r="26" spans="1:5">
      <c r="A26" s="75">
        <v>37574</v>
      </c>
      <c r="B26" s="86" t="str">
        <f>TiposLancamentos!B105</f>
        <v>Transf. Bco</v>
      </c>
      <c r="C26" s="52" t="s">
        <v>14174</v>
      </c>
      <c r="D26" s="63"/>
      <c r="E26" s="98">
        <v>549.89</v>
      </c>
    </row>
    <row r="27" spans="1:5">
      <c r="A27" s="75">
        <v>37589</v>
      </c>
      <c r="B27" s="86" t="str">
        <f>TiposLancamentos!B95</f>
        <v>Salarios</v>
      </c>
      <c r="C27" s="52" t="s">
        <v>14165</v>
      </c>
      <c r="D27" s="63">
        <v>1380.37</v>
      </c>
      <c r="E27" s="98"/>
    </row>
    <row r="28" spans="1:5">
      <c r="A28" s="75">
        <v>37589</v>
      </c>
      <c r="B28" s="86" t="str">
        <f>TiposLancamentos!B9</f>
        <v>Condominio</v>
      </c>
      <c r="C28" s="52" t="s">
        <v>1684</v>
      </c>
      <c r="D28" s="63"/>
      <c r="E28" s="98">
        <v>149.74</v>
      </c>
    </row>
    <row r="29" spans="1:5">
      <c r="A29" s="79">
        <v>37589</v>
      </c>
      <c r="B29" s="95" t="str">
        <f>TiposLancamentos!B105</f>
        <v>Transf. Bco</v>
      </c>
      <c r="C29" s="477" t="s">
        <v>14175</v>
      </c>
      <c r="D29" s="85"/>
      <c r="E29" s="97">
        <v>1230</v>
      </c>
    </row>
    <row r="30" spans="1:5">
      <c r="A30" s="83"/>
      <c r="B30" s="91"/>
      <c r="C30" s="43" t="s">
        <v>14176</v>
      </c>
      <c r="D30" s="93"/>
      <c r="E30" s="94"/>
    </row>
    <row r="31" spans="1:5">
      <c r="A31" s="75">
        <v>37596</v>
      </c>
      <c r="B31" s="86" t="str">
        <f>TiposLancamentos!B4</f>
        <v>Taxas Bancarias</v>
      </c>
      <c r="C31" s="52" t="s">
        <v>14177</v>
      </c>
      <c r="D31" s="63"/>
      <c r="E31" s="98">
        <v>0.56000000000000005</v>
      </c>
    </row>
    <row r="32" spans="1:5">
      <c r="A32" s="75">
        <v>37600</v>
      </c>
      <c r="B32" s="86" t="str">
        <f>TiposLancamentos!B15</f>
        <v>Cartões de Crédito</v>
      </c>
      <c r="C32" s="52" t="s">
        <v>5115</v>
      </c>
      <c r="D32" s="63"/>
      <c r="E32" s="98">
        <v>61.3</v>
      </c>
    </row>
    <row r="33" spans="1:5">
      <c r="A33" s="75">
        <v>37603</v>
      </c>
      <c r="B33" s="86" t="str">
        <f>TiposLancamentos!B95</f>
        <v>Salarios</v>
      </c>
      <c r="C33" s="52" t="s">
        <v>14162</v>
      </c>
      <c r="D33" s="63">
        <v>1162.49</v>
      </c>
      <c r="E33" s="98"/>
    </row>
    <row r="34" spans="1:5">
      <c r="A34" s="75">
        <v>37603</v>
      </c>
      <c r="B34" s="86" t="str">
        <f>TiposLancamentos!B105</f>
        <v>Transf. Bco</v>
      </c>
      <c r="C34" s="52" t="s">
        <v>14178</v>
      </c>
      <c r="D34" s="63"/>
      <c r="E34" s="98">
        <v>400</v>
      </c>
    </row>
    <row r="35" spans="1:5">
      <c r="A35" s="75">
        <v>37603</v>
      </c>
      <c r="B35" s="86" t="str">
        <f>TiposLancamentos!B105</f>
        <v>Transf. Bco</v>
      </c>
      <c r="C35" s="52" t="s">
        <v>14179</v>
      </c>
      <c r="D35" s="63"/>
      <c r="E35" s="98">
        <v>92</v>
      </c>
    </row>
    <row r="36" spans="1:5">
      <c r="A36" s="75">
        <v>37603</v>
      </c>
      <c r="B36" s="86" t="str">
        <f>TiposLancamentos!B105</f>
        <v>Transf. Bco</v>
      </c>
      <c r="C36" s="52" t="s">
        <v>14180</v>
      </c>
      <c r="D36" s="63"/>
      <c r="E36" s="98">
        <v>612</v>
      </c>
    </row>
    <row r="37" spans="1:5">
      <c r="A37" s="75">
        <v>37604</v>
      </c>
      <c r="B37" s="86" t="str">
        <f>TiposLancamentos!B71</f>
        <v>Itens Pessoais</v>
      </c>
      <c r="C37" s="52" t="s">
        <v>14181</v>
      </c>
      <c r="D37" s="63"/>
      <c r="E37" s="98">
        <v>5.73</v>
      </c>
    </row>
    <row r="38" spans="1:5">
      <c r="A38" s="75">
        <v>37620</v>
      </c>
      <c r="B38" s="86" t="str">
        <f>TiposLancamentos!B95</f>
        <v>Salarios</v>
      </c>
      <c r="C38" s="52" t="s">
        <v>14182</v>
      </c>
      <c r="D38" s="63">
        <v>629.82000000000005</v>
      </c>
      <c r="E38" s="98"/>
    </row>
    <row r="39" spans="1:5">
      <c r="A39" s="75">
        <v>37620</v>
      </c>
      <c r="B39" s="86" t="str">
        <f>TiposLancamentos!B105</f>
        <v>Transf. Bco</v>
      </c>
      <c r="C39" s="52" t="s">
        <v>14179</v>
      </c>
      <c r="D39" s="63"/>
      <c r="E39" s="98">
        <v>620</v>
      </c>
    </row>
    <row r="40" spans="1:5">
      <c r="A40" s="75">
        <v>37621</v>
      </c>
      <c r="B40" s="86" t="str">
        <f>TiposLancamentos!B64</f>
        <v>Viagens</v>
      </c>
      <c r="C40" s="52" t="s">
        <v>14183</v>
      </c>
      <c r="D40" s="63"/>
      <c r="E40" s="98">
        <v>30</v>
      </c>
    </row>
    <row r="41" spans="1:5">
      <c r="A41" s="83"/>
      <c r="B41" s="91"/>
      <c r="C41" s="59" t="s">
        <v>12840</v>
      </c>
      <c r="D41" s="93"/>
      <c r="E41" s="94"/>
    </row>
    <row r="42" spans="1:5">
      <c r="A42" s="75">
        <v>37623</v>
      </c>
      <c r="B42" s="86" t="str">
        <f>TiposLancamentos!B4</f>
        <v>Taxas Bancarias</v>
      </c>
      <c r="C42" s="52" t="s">
        <v>14184</v>
      </c>
      <c r="D42" s="63"/>
      <c r="E42" s="98">
        <v>0.74</v>
      </c>
    </row>
    <row r="43" spans="1:5">
      <c r="A43" s="75">
        <v>37624</v>
      </c>
      <c r="B43" s="86" t="str">
        <f>TiposLancamentos!B4</f>
        <v>Taxas Bancarias</v>
      </c>
      <c r="C43" s="52" t="s">
        <v>5065</v>
      </c>
      <c r="D43" s="63"/>
      <c r="E43" s="98">
        <v>0.12</v>
      </c>
    </row>
    <row r="44" spans="1:5">
      <c r="A44" s="75">
        <v>37636</v>
      </c>
      <c r="B44" s="86" t="str">
        <f>TiposLancamentos!B95</f>
        <v>Salarios</v>
      </c>
      <c r="C44" s="52" t="s">
        <v>14165</v>
      </c>
      <c r="D44" s="63">
        <v>596.79999999999995</v>
      </c>
      <c r="E44" s="98"/>
    </row>
    <row r="45" spans="1:5">
      <c r="A45" s="75">
        <v>37636</v>
      </c>
      <c r="B45" s="86" t="str">
        <f>TiposLancamentos!B2</f>
        <v>Telefonia</v>
      </c>
      <c r="C45" s="3" t="s">
        <v>14185</v>
      </c>
      <c r="D45" s="63"/>
      <c r="E45" s="98">
        <v>61.39</v>
      </c>
    </row>
    <row r="46" spans="1:5">
      <c r="A46" s="75">
        <v>37636</v>
      </c>
      <c r="B46" s="86" t="str">
        <f>TiposLancamentos!B2</f>
        <v>Telefonia</v>
      </c>
      <c r="C46" s="3" t="s">
        <v>14186</v>
      </c>
      <c r="D46" s="63"/>
      <c r="E46" s="98">
        <v>65.739999999999995</v>
      </c>
    </row>
    <row r="47" spans="1:5">
      <c r="A47" s="75">
        <v>37636</v>
      </c>
      <c r="B47" s="86" t="str">
        <f>TiposLancamentos!B5</f>
        <v>Supermercado</v>
      </c>
      <c r="C47" s="52" t="s">
        <v>1262</v>
      </c>
      <c r="D47" s="63"/>
      <c r="E47" s="98">
        <v>41.89</v>
      </c>
    </row>
    <row r="48" spans="1:5">
      <c r="A48" s="75">
        <v>37636</v>
      </c>
      <c r="B48" s="86" t="str">
        <f>TiposLancamentos!B105</f>
        <v>Transf. Bco</v>
      </c>
      <c r="C48" s="52" t="s">
        <v>14174</v>
      </c>
      <c r="D48" s="63"/>
      <c r="E48" s="98">
        <v>400</v>
      </c>
    </row>
    <row r="49" spans="1:5">
      <c r="A49" s="75">
        <v>37638</v>
      </c>
      <c r="B49" s="86" t="str">
        <f>TiposLancamentos!B4</f>
        <v>Taxas Bancarias</v>
      </c>
      <c r="C49" s="52" t="s">
        <v>5065</v>
      </c>
      <c r="D49" s="63"/>
      <c r="E49" s="98">
        <v>0.71</v>
      </c>
    </row>
    <row r="50" spans="1:5">
      <c r="A50" s="75">
        <v>37642</v>
      </c>
      <c r="B50" s="86" t="str">
        <f>TiposLancamentos!B6</f>
        <v>Energia Eletrica</v>
      </c>
      <c r="C50" s="52" t="s">
        <v>14187</v>
      </c>
      <c r="D50" s="63"/>
      <c r="E50" s="98">
        <v>25</v>
      </c>
    </row>
    <row r="51" spans="1:5">
      <c r="A51" s="75">
        <v>37645</v>
      </c>
      <c r="B51" s="86" t="str">
        <f>TiposLancamentos!B4</f>
        <v>Taxas Bancarias</v>
      </c>
      <c r="C51" s="52" t="s">
        <v>5065</v>
      </c>
      <c r="D51" s="63"/>
      <c r="E51" s="98">
        <v>0.09</v>
      </c>
    </row>
    <row r="52" spans="1:5">
      <c r="A52" s="75">
        <v>37651</v>
      </c>
      <c r="B52" s="86" t="str">
        <f>TiposLancamentos!B95</f>
        <v>Salarios</v>
      </c>
      <c r="C52" s="52" t="s">
        <v>14165</v>
      </c>
      <c r="D52" s="63">
        <v>627.82000000000005</v>
      </c>
      <c r="E52" s="98"/>
    </row>
    <row r="53" spans="1:5">
      <c r="A53" s="75">
        <v>37652</v>
      </c>
      <c r="B53" s="86" t="str">
        <f>TiposLancamentos!B105</f>
        <v>Transf. Bco</v>
      </c>
      <c r="C53" s="3" t="s">
        <v>14188</v>
      </c>
      <c r="D53" s="63"/>
      <c r="E53" s="98">
        <v>600</v>
      </c>
    </row>
    <row r="54" spans="1:5">
      <c r="A54" s="83"/>
      <c r="B54" s="91"/>
      <c r="C54" s="92" t="s">
        <v>12846</v>
      </c>
      <c r="D54" s="93"/>
      <c r="E54" s="94"/>
    </row>
    <row r="55" spans="1:5">
      <c r="A55" s="75">
        <v>37653</v>
      </c>
      <c r="B55" s="86" t="str">
        <f>TiposLancamentos!B64</f>
        <v>Viagens</v>
      </c>
      <c r="C55" s="3" t="s">
        <v>14189</v>
      </c>
      <c r="D55" s="63"/>
      <c r="E55" s="98">
        <v>20</v>
      </c>
    </row>
    <row r="56" spans="1:5">
      <c r="A56" s="75">
        <v>37655</v>
      </c>
      <c r="B56" s="86" t="str">
        <f>TiposLancamentos!B4</f>
        <v>Taxas Bancarias</v>
      </c>
      <c r="C56" s="3" t="s">
        <v>14190</v>
      </c>
      <c r="D56" s="63"/>
      <c r="E56" s="98">
        <v>0.02</v>
      </c>
    </row>
    <row r="57" spans="1:5">
      <c r="A57" s="75">
        <v>37655</v>
      </c>
      <c r="B57" s="86" t="str">
        <f>TiposLancamentos!B4</f>
        <v>Taxas Bancarias</v>
      </c>
      <c r="C57" s="3" t="s">
        <v>14184</v>
      </c>
      <c r="D57" s="63"/>
      <c r="E57" s="98">
        <v>1.21</v>
      </c>
    </row>
    <row r="58" spans="1:5">
      <c r="A58" s="75">
        <v>37659</v>
      </c>
      <c r="B58" s="86" t="str">
        <f>TiposLancamentos!B4</f>
        <v>Taxas Bancarias</v>
      </c>
      <c r="C58" s="3" t="s">
        <v>5065</v>
      </c>
      <c r="D58" s="63"/>
      <c r="E58" s="98">
        <v>0.15</v>
      </c>
    </row>
    <row r="59" spans="1:5">
      <c r="A59" s="75">
        <v>37666</v>
      </c>
      <c r="B59" s="86" t="str">
        <f>TiposLancamentos!B95</f>
        <v>Salarios</v>
      </c>
      <c r="C59" s="3" t="s">
        <v>14162</v>
      </c>
      <c r="D59" s="63">
        <v>596.79999999999995</v>
      </c>
      <c r="E59" s="98"/>
    </row>
    <row r="60" spans="1:5">
      <c r="A60" s="75">
        <v>37666</v>
      </c>
      <c r="B60" s="86" t="str">
        <f>TiposLancamentos!B105</f>
        <v>Transf. Bco</v>
      </c>
      <c r="C60" s="3" t="s">
        <v>14174</v>
      </c>
      <c r="D60" s="63"/>
      <c r="E60" s="98">
        <v>580</v>
      </c>
    </row>
    <row r="61" spans="1:5">
      <c r="A61" s="75">
        <v>37673</v>
      </c>
      <c r="B61" s="86" t="str">
        <f>TiposLancamentos!B4</f>
        <v>Taxas Bancarias</v>
      </c>
      <c r="C61" s="3" t="s">
        <v>5065</v>
      </c>
      <c r="D61" s="63"/>
      <c r="E61" s="98">
        <v>0.05</v>
      </c>
    </row>
    <row r="62" spans="1:5">
      <c r="A62" s="79">
        <v>37680</v>
      </c>
      <c r="B62" s="95" t="str">
        <f>TiposLancamentos!B95</f>
        <v>Salarios</v>
      </c>
      <c r="C62" s="96" t="s">
        <v>14162</v>
      </c>
      <c r="D62" s="85">
        <v>4202.6499999999996</v>
      </c>
      <c r="E62" s="97"/>
    </row>
    <row r="63" spans="1:5">
      <c r="A63" s="83"/>
      <c r="B63" s="91"/>
      <c r="C63" s="92" t="s">
        <v>14191</v>
      </c>
      <c r="D63" s="93"/>
      <c r="E63" s="94"/>
    </row>
    <row r="64" spans="1:5">
      <c r="A64" s="75">
        <v>37683</v>
      </c>
      <c r="B64" s="86" t="str">
        <f>TiposLancamentos!B64</f>
        <v>Viagens</v>
      </c>
      <c r="C64" s="3" t="s">
        <v>14183</v>
      </c>
      <c r="D64" s="63"/>
      <c r="E64" s="98">
        <v>30</v>
      </c>
    </row>
    <row r="65" spans="1:5">
      <c r="A65" s="75">
        <v>37685</v>
      </c>
      <c r="B65" s="86" t="str">
        <f>TiposLancamentos!B64</f>
        <v>Viagens</v>
      </c>
      <c r="C65" s="3" t="s">
        <v>14192</v>
      </c>
      <c r="D65" s="63"/>
      <c r="E65" s="98">
        <v>10</v>
      </c>
    </row>
    <row r="66" spans="1:5">
      <c r="A66" s="75">
        <v>37686</v>
      </c>
      <c r="B66" s="86" t="str">
        <f>TiposLancamentos!B9</f>
        <v>Condominio</v>
      </c>
      <c r="C66" s="3" t="s">
        <v>4812</v>
      </c>
      <c r="D66" s="63"/>
      <c r="E66" s="98">
        <v>77.91</v>
      </c>
    </row>
    <row r="67" spans="1:5">
      <c r="A67" s="75">
        <v>37686</v>
      </c>
      <c r="B67" s="86" t="str">
        <f>TiposLancamentos!B6</f>
        <v>Energia Eletrica</v>
      </c>
      <c r="C67" s="3" t="s">
        <v>14187</v>
      </c>
      <c r="D67" s="63"/>
      <c r="E67" s="98">
        <v>60</v>
      </c>
    </row>
    <row r="68" spans="1:5">
      <c r="A68" s="75">
        <v>37686</v>
      </c>
      <c r="B68" s="86" t="str">
        <f>TiposLancamentos!B105</f>
        <v>Transf. Bco</v>
      </c>
      <c r="C68" s="3" t="s">
        <v>14188</v>
      </c>
      <c r="D68" s="63"/>
      <c r="E68" s="98">
        <v>640</v>
      </c>
    </row>
    <row r="69" spans="1:5">
      <c r="A69" s="75">
        <v>37687</v>
      </c>
      <c r="B69" s="86" t="str">
        <f>TiposLancamentos!B73</f>
        <v>Cursos</v>
      </c>
      <c r="C69" s="3" t="s">
        <v>14193</v>
      </c>
      <c r="D69" s="63"/>
      <c r="E69" s="98">
        <v>189.5</v>
      </c>
    </row>
    <row r="70" spans="1:5">
      <c r="A70" s="75">
        <v>37688</v>
      </c>
      <c r="B70" s="86" t="str">
        <f>TiposLancamentos!B71</f>
        <v>Itens Pessoais</v>
      </c>
      <c r="C70" s="3" t="s">
        <v>14194</v>
      </c>
      <c r="D70" s="63"/>
      <c r="E70" s="98">
        <v>30</v>
      </c>
    </row>
    <row r="71" spans="1:5">
      <c r="A71" s="75">
        <v>37688</v>
      </c>
      <c r="B71" s="86" t="str">
        <f>TiposLancamentos!B5</f>
        <v>Supermercado</v>
      </c>
      <c r="C71" s="3" t="s">
        <v>14195</v>
      </c>
      <c r="D71" s="63"/>
      <c r="E71" s="98">
        <v>21.22</v>
      </c>
    </row>
    <row r="72" spans="1:5">
      <c r="A72" s="75">
        <v>37690</v>
      </c>
      <c r="B72" s="86" t="str">
        <f>TiposLancamentos!B56</f>
        <v>Farmácia</v>
      </c>
      <c r="C72" s="3" t="s">
        <v>14196</v>
      </c>
      <c r="D72" s="63"/>
      <c r="E72" s="98">
        <v>67.95</v>
      </c>
    </row>
    <row r="73" spans="1:5">
      <c r="A73" s="75">
        <v>37690</v>
      </c>
      <c r="B73" s="86" t="str">
        <f>TiposLancamentos!B5</f>
        <v>Supermercado</v>
      </c>
      <c r="C73" s="3" t="s">
        <v>14197</v>
      </c>
      <c r="D73" s="63"/>
      <c r="E73" s="98">
        <v>14.5</v>
      </c>
    </row>
    <row r="74" spans="1:5">
      <c r="A74" s="75">
        <v>37690</v>
      </c>
      <c r="B74" s="86" t="str">
        <f>TiposLancamentos!B56</f>
        <v>Farmácia</v>
      </c>
      <c r="C74" s="3" t="s">
        <v>14198</v>
      </c>
      <c r="D74" s="63"/>
      <c r="E74" s="98">
        <v>62</v>
      </c>
    </row>
    <row r="75" spans="1:5">
      <c r="A75" s="75">
        <v>37690</v>
      </c>
      <c r="B75" s="86" t="str">
        <f>TiposLancamentos!B105</f>
        <v>Transf. Bco</v>
      </c>
      <c r="C75" s="3" t="s">
        <v>14199</v>
      </c>
      <c r="D75" s="63"/>
      <c r="E75" s="98">
        <v>3000</v>
      </c>
    </row>
    <row r="76" spans="1:5">
      <c r="A76" s="75">
        <v>37691</v>
      </c>
      <c r="B76" s="86" t="str">
        <f>TiposLancamentos!B44</f>
        <v>Academia</v>
      </c>
      <c r="C76" s="3" t="s">
        <v>14200</v>
      </c>
      <c r="D76" s="63"/>
      <c r="E76" s="98">
        <v>60</v>
      </c>
    </row>
    <row r="77" spans="1:5">
      <c r="A77" s="75">
        <v>37694</v>
      </c>
      <c r="B77" s="86" t="str">
        <f>TiposLancamentos!B95</f>
        <v>Salarios</v>
      </c>
      <c r="C77" s="3" t="s">
        <v>14182</v>
      </c>
      <c r="D77" s="63">
        <v>596.79999999999995</v>
      </c>
      <c r="E77" s="98"/>
    </row>
    <row r="78" spans="1:5">
      <c r="A78" s="75">
        <v>37694</v>
      </c>
      <c r="B78" s="86" t="str">
        <f>TiposLancamentos!B4</f>
        <v>Taxas Bancarias</v>
      </c>
      <c r="C78" s="3" t="s">
        <v>5065</v>
      </c>
      <c r="D78" s="63"/>
      <c r="E78" s="98">
        <v>2.17</v>
      </c>
    </row>
    <row r="79" spans="1:5">
      <c r="A79" s="75">
        <v>37696</v>
      </c>
      <c r="B79" s="86" t="str">
        <f>TiposLancamentos!B5</f>
        <v>Supermercado</v>
      </c>
      <c r="C79" s="3" t="s">
        <v>2567</v>
      </c>
      <c r="D79" s="63"/>
      <c r="E79" s="98">
        <v>39.340000000000003</v>
      </c>
    </row>
    <row r="80" spans="1:5">
      <c r="A80" s="75">
        <v>37637</v>
      </c>
      <c r="B80" s="86" t="str">
        <f>TiposLancamentos!B13</f>
        <v>Moradia</v>
      </c>
      <c r="C80" s="3" t="s">
        <v>14201</v>
      </c>
      <c r="D80" s="63"/>
      <c r="E80" s="98">
        <v>192.15</v>
      </c>
    </row>
    <row r="81" spans="1:5">
      <c r="A81" s="75">
        <v>37697</v>
      </c>
      <c r="B81" s="86" t="str">
        <f>TiposLancamentos!B90</f>
        <v>Locadora</v>
      </c>
      <c r="C81" s="3" t="s">
        <v>14202</v>
      </c>
      <c r="D81" s="63"/>
      <c r="E81" s="98">
        <v>10</v>
      </c>
    </row>
    <row r="82" spans="1:5">
      <c r="A82" s="75">
        <v>37698</v>
      </c>
      <c r="B82" s="86" t="str">
        <f>TiposLancamentos!B66</f>
        <v>Faxineira</v>
      </c>
      <c r="C82" s="3" t="s">
        <v>14203</v>
      </c>
      <c r="D82" s="63"/>
      <c r="E82" s="98">
        <v>80</v>
      </c>
    </row>
    <row r="83" spans="1:5">
      <c r="A83" s="75">
        <v>37700</v>
      </c>
      <c r="B83" s="86" t="str">
        <f>TiposLancamentos!B8</f>
        <v>Aluguel</v>
      </c>
      <c r="C83" s="3" t="s">
        <v>1682</v>
      </c>
      <c r="D83" s="63"/>
      <c r="E83" s="98">
        <v>200</v>
      </c>
    </row>
    <row r="84" spans="1:5">
      <c r="A84" s="75">
        <v>37701</v>
      </c>
      <c r="B84" s="86" t="str">
        <f>TiposLancamentos!B4</f>
        <v>Taxas Bancarias</v>
      </c>
      <c r="C84" s="3" t="s">
        <v>5065</v>
      </c>
      <c r="D84" s="63"/>
      <c r="E84" s="98">
        <v>1.42</v>
      </c>
    </row>
    <row r="85" spans="1:5">
      <c r="A85" s="75">
        <v>37702</v>
      </c>
      <c r="B85" s="86" t="str">
        <f>TiposLancamentos!B74</f>
        <v>Noite</v>
      </c>
      <c r="C85" s="3" t="s">
        <v>14204</v>
      </c>
      <c r="D85" s="63"/>
      <c r="E85" s="98">
        <v>20</v>
      </c>
    </row>
    <row r="86" spans="1:5">
      <c r="A86" s="75">
        <v>37708</v>
      </c>
      <c r="B86" s="86" t="str">
        <f>TiposLancamentos!B5</f>
        <v>Supermercado</v>
      </c>
      <c r="C86" s="3" t="s">
        <v>2567</v>
      </c>
      <c r="D86" s="63"/>
      <c r="E86" s="98">
        <v>15.32</v>
      </c>
    </row>
    <row r="87" spans="1:5">
      <c r="A87" s="75">
        <v>37708</v>
      </c>
      <c r="B87" s="86" t="str">
        <f>TiposLancamentos!B5</f>
        <v>Supermercado</v>
      </c>
      <c r="C87" s="3" t="s">
        <v>5065</v>
      </c>
      <c r="D87" s="63"/>
      <c r="E87" s="98">
        <v>0.83</v>
      </c>
    </row>
    <row r="88" spans="1:5">
      <c r="A88" s="75">
        <v>37709</v>
      </c>
      <c r="B88" s="86" t="str">
        <f>TiposLancamentos!B74</f>
        <v>Noite</v>
      </c>
      <c r="C88" s="3" t="s">
        <v>14204</v>
      </c>
      <c r="D88" s="63"/>
      <c r="E88" s="98">
        <v>20</v>
      </c>
    </row>
    <row r="89" spans="1:5">
      <c r="A89" s="75">
        <v>37711</v>
      </c>
      <c r="B89" s="86" t="str">
        <f>TiposLancamentos!B95</f>
        <v>Salarios</v>
      </c>
      <c r="C89" s="3" t="s">
        <v>14165</v>
      </c>
      <c r="D89" s="63">
        <v>582.09</v>
      </c>
      <c r="E89" s="98"/>
    </row>
    <row r="90" spans="1:5">
      <c r="A90" s="75">
        <v>37711</v>
      </c>
      <c r="B90" s="86" t="str">
        <f>TiposLancamentos!B93</f>
        <v>Lanc.Multiplos</v>
      </c>
      <c r="C90" s="3" t="s">
        <v>14205</v>
      </c>
      <c r="D90" s="63"/>
      <c r="E90" s="98">
        <v>170</v>
      </c>
    </row>
    <row r="91" spans="1:5">
      <c r="A91" s="79">
        <v>37711</v>
      </c>
      <c r="B91" s="95" t="str">
        <f>TiposLancamentos!B105</f>
        <v>Transf. Bco</v>
      </c>
      <c r="C91" s="96" t="s">
        <v>14188</v>
      </c>
      <c r="D91" s="85"/>
      <c r="E91" s="97">
        <v>115</v>
      </c>
    </row>
    <row r="92" spans="1:5">
      <c r="A92" s="83"/>
      <c r="B92" s="91"/>
      <c r="C92" s="92" t="s">
        <v>12857</v>
      </c>
      <c r="D92" s="93"/>
      <c r="E92" s="94"/>
    </row>
    <row r="93" spans="1:5">
      <c r="A93" s="75">
        <v>37712</v>
      </c>
      <c r="B93" s="86" t="str">
        <f>TiposLancamentos!B56</f>
        <v>Farmácia</v>
      </c>
      <c r="C93" s="3" t="s">
        <v>14206</v>
      </c>
      <c r="D93" s="63"/>
      <c r="E93" s="98">
        <v>6</v>
      </c>
    </row>
    <row r="94" spans="1:5">
      <c r="A94" s="75">
        <v>37712</v>
      </c>
      <c r="B94" s="86" t="str">
        <f>TiposLancamentos!B4</f>
        <v>Taxas Bancarias</v>
      </c>
      <c r="C94" s="3" t="s">
        <v>14184</v>
      </c>
      <c r="D94" s="63"/>
      <c r="E94" s="98">
        <v>0.84</v>
      </c>
    </row>
    <row r="95" spans="1:5">
      <c r="A95" s="75">
        <v>37713</v>
      </c>
      <c r="B95" s="86" t="str">
        <f>TiposLancamentos!B5</f>
        <v>Supermercado</v>
      </c>
      <c r="C95" s="3" t="s">
        <v>14207</v>
      </c>
      <c r="D95" s="63"/>
      <c r="E95" s="98">
        <v>21.97</v>
      </c>
    </row>
    <row r="96" spans="1:5">
      <c r="A96" s="75">
        <v>37713</v>
      </c>
      <c r="B96" s="86" t="str">
        <f>TiposLancamentos!B83</f>
        <v>Artigos Moto</v>
      </c>
      <c r="C96" s="3" t="s">
        <v>14208</v>
      </c>
      <c r="D96" s="63"/>
      <c r="E96" s="98">
        <v>42.7</v>
      </c>
    </row>
    <row r="97" spans="1:5">
      <c r="A97" s="75">
        <v>37713</v>
      </c>
      <c r="B97" s="86" t="str">
        <f>TiposLancamentos!B71</f>
        <v>Itens Pessoais</v>
      </c>
      <c r="C97" s="3" t="s">
        <v>14209</v>
      </c>
      <c r="D97" s="63"/>
      <c r="E97" s="98">
        <v>30</v>
      </c>
    </row>
    <row r="98" spans="1:5">
      <c r="A98" s="75">
        <v>37715</v>
      </c>
      <c r="B98" s="86" t="str">
        <f>TiposLancamentos!B19</f>
        <v>Restaurantes</v>
      </c>
      <c r="C98" s="3" t="s">
        <v>14210</v>
      </c>
      <c r="D98" s="63"/>
      <c r="E98" s="98">
        <v>18.32</v>
      </c>
    </row>
    <row r="99" spans="1:5">
      <c r="A99" s="75">
        <v>37715</v>
      </c>
      <c r="B99" s="86" t="str">
        <f>TiposLancamentos!B4</f>
        <v>Taxas Bancarias</v>
      </c>
      <c r="C99" s="3" t="s">
        <v>14211</v>
      </c>
      <c r="D99" s="63"/>
      <c r="E99" s="98">
        <v>0.92</v>
      </c>
    </row>
    <row r="100" spans="1:5">
      <c r="A100" s="75">
        <v>37718</v>
      </c>
      <c r="B100" s="86" t="str">
        <f>TiposLancamentos!B68</f>
        <v>Bombas</v>
      </c>
      <c r="C100" s="3" t="s">
        <v>14212</v>
      </c>
      <c r="D100" s="63"/>
      <c r="E100" s="98">
        <v>16.2</v>
      </c>
    </row>
    <row r="101" spans="1:5">
      <c r="A101" s="75">
        <v>37718</v>
      </c>
      <c r="B101" s="86" t="str">
        <f>TiposLancamentos!B68</f>
        <v>Bombas</v>
      </c>
      <c r="C101" s="3" t="s">
        <v>14213</v>
      </c>
      <c r="D101" s="63"/>
      <c r="E101" s="98">
        <v>12.39</v>
      </c>
    </row>
    <row r="102" spans="1:5">
      <c r="A102" s="75">
        <v>37719</v>
      </c>
      <c r="B102" s="86" t="str">
        <f>TiposLancamentos!B5</f>
        <v>Supermercado</v>
      </c>
      <c r="C102" s="3" t="s">
        <v>4816</v>
      </c>
      <c r="D102" s="63"/>
      <c r="E102" s="98">
        <v>5.57</v>
      </c>
    </row>
    <row r="103" spans="1:5">
      <c r="A103" s="75">
        <v>37720</v>
      </c>
      <c r="B103" s="86" t="str">
        <f>TiposLancamentos!B4</f>
        <v>Taxas Bancarias</v>
      </c>
      <c r="C103" s="3" t="s">
        <v>14214</v>
      </c>
      <c r="D103" s="63"/>
      <c r="E103" s="98">
        <v>0.5</v>
      </c>
    </row>
    <row r="104" spans="1:5">
      <c r="A104" s="75">
        <v>37721</v>
      </c>
      <c r="B104" s="86" t="str">
        <f>TiposLancamentos!B9</f>
        <v>Condominio</v>
      </c>
      <c r="C104" s="3" t="s">
        <v>14215</v>
      </c>
      <c r="D104" s="63"/>
      <c r="E104" s="98">
        <v>70.27</v>
      </c>
    </row>
    <row r="105" spans="1:5">
      <c r="A105" s="75">
        <v>37690</v>
      </c>
      <c r="B105" s="86" t="str">
        <f>TiposLancamentos!B5</f>
        <v>Supermercado</v>
      </c>
      <c r="C105" s="3" t="s">
        <v>14197</v>
      </c>
      <c r="D105" s="63"/>
      <c r="E105" s="98">
        <v>18.02</v>
      </c>
    </row>
    <row r="106" spans="1:5">
      <c r="A106" s="75">
        <v>37722</v>
      </c>
      <c r="B106" s="86" t="str">
        <f>TiposLancamentos!B4</f>
        <v>Taxas Bancarias</v>
      </c>
      <c r="C106" s="3" t="s">
        <v>14214</v>
      </c>
      <c r="D106" s="63"/>
      <c r="E106" s="98">
        <v>0.5</v>
      </c>
    </row>
    <row r="107" spans="1:5">
      <c r="A107" s="75">
        <v>37722</v>
      </c>
      <c r="B107" s="86" t="str">
        <f>TiposLancamentos!B4</f>
        <v>Taxas Bancarias</v>
      </c>
      <c r="C107" s="3" t="s">
        <v>5065</v>
      </c>
      <c r="D107" s="63"/>
      <c r="E107" s="98">
        <v>0.32</v>
      </c>
    </row>
    <row r="108" spans="1:5">
      <c r="A108" s="75">
        <v>37725</v>
      </c>
      <c r="B108" s="86" t="str">
        <f>TiposLancamentos!B4</f>
        <v>Taxas Bancarias</v>
      </c>
      <c r="C108" s="3" t="s">
        <v>14214</v>
      </c>
      <c r="D108" s="63"/>
      <c r="E108" s="98">
        <v>0.5</v>
      </c>
    </row>
    <row r="109" spans="1:5">
      <c r="A109" s="75">
        <v>37726</v>
      </c>
      <c r="B109" s="86" t="str">
        <f>TiposLancamentos!B95</f>
        <v>Salarios</v>
      </c>
      <c r="C109" s="3" t="s">
        <v>14216</v>
      </c>
      <c r="D109" s="63">
        <v>596.79999999999995</v>
      </c>
      <c r="E109" s="98"/>
    </row>
    <row r="110" spans="1:5">
      <c r="A110" s="75">
        <v>37726</v>
      </c>
      <c r="B110" s="86" t="str">
        <f>TiposLancamentos!B13</f>
        <v>Moradia</v>
      </c>
      <c r="C110" s="3" t="s">
        <v>14217</v>
      </c>
      <c r="D110" s="63"/>
      <c r="E110" s="98">
        <v>192.15</v>
      </c>
    </row>
    <row r="111" spans="1:5">
      <c r="A111" s="75">
        <v>37726</v>
      </c>
      <c r="B111" s="86" t="str">
        <f>TiposLancamentos!B93</f>
        <v>Lanc.Multiplos</v>
      </c>
      <c r="C111" s="3" t="s">
        <v>14218</v>
      </c>
      <c r="D111" s="63"/>
      <c r="E111" s="98">
        <v>130</v>
      </c>
    </row>
    <row r="112" spans="1:5">
      <c r="A112" s="75">
        <v>37726</v>
      </c>
      <c r="B112" s="86" t="str">
        <f>TiposLancamentos!B96</f>
        <v>Resg.Poup.</v>
      </c>
      <c r="C112" s="3" t="s">
        <v>14219</v>
      </c>
      <c r="D112" s="63">
        <v>1000</v>
      </c>
      <c r="E112" s="98"/>
    </row>
    <row r="113" spans="1:5">
      <c r="A113" s="75">
        <v>37726</v>
      </c>
      <c r="B113" s="86" t="str">
        <f>TiposLancamentos!B96</f>
        <v>Resg.Poup.</v>
      </c>
      <c r="C113" s="3" t="s">
        <v>14219</v>
      </c>
      <c r="D113" s="63">
        <v>375</v>
      </c>
      <c r="E113" s="98"/>
    </row>
    <row r="114" spans="1:5">
      <c r="A114" s="75">
        <v>37726</v>
      </c>
      <c r="B114" s="86" t="str">
        <f>TiposLancamentos!B57</f>
        <v>Informática</v>
      </c>
      <c r="C114" s="3" t="s">
        <v>14220</v>
      </c>
      <c r="D114" s="63"/>
      <c r="E114" s="98">
        <v>1000</v>
      </c>
    </row>
    <row r="115" spans="1:5">
      <c r="A115" s="75">
        <v>37726</v>
      </c>
      <c r="B115" s="86" t="str">
        <f>TiposLancamentos!B93</f>
        <v>Lanc.Multiplos</v>
      </c>
      <c r="C115" s="3" t="s">
        <v>14220</v>
      </c>
      <c r="D115" s="63"/>
      <c r="E115" s="98">
        <v>375</v>
      </c>
    </row>
    <row r="116" spans="1:5">
      <c r="A116" s="75">
        <v>37728</v>
      </c>
      <c r="B116" s="86" t="str">
        <f>TiposLancamentos!B4</f>
        <v>Taxas Bancarias</v>
      </c>
      <c r="C116" s="3" t="s">
        <v>5065</v>
      </c>
      <c r="D116" s="63"/>
      <c r="E116" s="98">
        <v>6.86</v>
      </c>
    </row>
    <row r="117" spans="1:5">
      <c r="A117" s="75">
        <v>37729</v>
      </c>
      <c r="B117" s="86" t="str">
        <f>TiposLancamentos!B74</f>
        <v>Noite</v>
      </c>
      <c r="C117" s="3" t="s">
        <v>14221</v>
      </c>
      <c r="D117" s="63"/>
      <c r="E117" s="98">
        <v>53</v>
      </c>
    </row>
    <row r="118" spans="1:5">
      <c r="A118" s="75">
        <v>37730</v>
      </c>
      <c r="B118" s="86" t="str">
        <f>TiposLancamentos!B64</f>
        <v>Viagens</v>
      </c>
      <c r="C118" s="3" t="s">
        <v>1706</v>
      </c>
      <c r="D118" s="63"/>
      <c r="E118" s="98">
        <v>50</v>
      </c>
    </row>
    <row r="119" spans="1:5">
      <c r="A119" s="75">
        <v>37731</v>
      </c>
      <c r="B119" s="86" t="str">
        <f>TiposLancamentos!B76</f>
        <v>Motel</v>
      </c>
      <c r="C119" s="3" t="s">
        <v>14222</v>
      </c>
      <c r="D119" s="63"/>
      <c r="E119" s="98">
        <v>23</v>
      </c>
    </row>
    <row r="120" spans="1:5">
      <c r="A120" s="75">
        <v>37733</v>
      </c>
      <c r="B120" s="86" t="str">
        <f>TiposLancamentos!B8</f>
        <v>Aluguel</v>
      </c>
      <c r="C120" s="3" t="s">
        <v>14223</v>
      </c>
      <c r="D120" s="63"/>
      <c r="E120" s="98">
        <v>243.61</v>
      </c>
    </row>
    <row r="121" spans="1:5">
      <c r="A121" s="75">
        <v>37734</v>
      </c>
      <c r="B121" s="86" t="str">
        <f>TiposLancamentos!B5</f>
        <v>Supermercado</v>
      </c>
      <c r="C121" s="3" t="s">
        <v>14224</v>
      </c>
      <c r="D121" s="63"/>
      <c r="E121" s="98">
        <v>33.03</v>
      </c>
    </row>
    <row r="122" spans="1:5">
      <c r="A122" s="75">
        <v>37736</v>
      </c>
      <c r="B122" s="86" t="str">
        <f>TiposLancamentos!B4</f>
        <v>Taxas Bancarias</v>
      </c>
      <c r="C122" s="3" t="s">
        <v>5065</v>
      </c>
      <c r="D122" s="63"/>
      <c r="E122" s="98">
        <v>1.3</v>
      </c>
    </row>
    <row r="123" spans="1:5">
      <c r="A123" s="75">
        <v>37737</v>
      </c>
      <c r="B123" s="86" t="str">
        <f>TiposLancamentos!B19</f>
        <v>Restaurantes</v>
      </c>
      <c r="C123" s="3" t="s">
        <v>14225</v>
      </c>
      <c r="D123" s="63"/>
      <c r="E123" s="98">
        <v>20</v>
      </c>
    </row>
    <row r="124" spans="1:5">
      <c r="A124" s="75">
        <v>37740</v>
      </c>
      <c r="B124" s="86" t="str">
        <f>TiposLancamentos!B90</f>
        <v>Locadora</v>
      </c>
      <c r="C124" s="3" t="s">
        <v>14226</v>
      </c>
      <c r="D124" s="63"/>
      <c r="E124" s="98">
        <v>20</v>
      </c>
    </row>
    <row r="125" spans="1:5">
      <c r="A125" s="75">
        <v>37741</v>
      </c>
      <c r="B125" s="86" t="str">
        <f>TiposLancamentos!B5</f>
        <v>Supermercado</v>
      </c>
      <c r="C125" s="3" t="s">
        <v>14227</v>
      </c>
      <c r="D125" s="63"/>
      <c r="E125" s="98">
        <v>14.06</v>
      </c>
    </row>
    <row r="126" spans="1:5">
      <c r="A126" s="75">
        <v>37741</v>
      </c>
      <c r="B126" s="86" t="str">
        <f>TiposLancamentos!B95</f>
        <v>Salarios</v>
      </c>
      <c r="C126" s="3" t="s">
        <v>14228</v>
      </c>
      <c r="D126" s="63">
        <v>633.82000000000005</v>
      </c>
      <c r="E126" s="98"/>
    </row>
    <row r="127" spans="1:5">
      <c r="A127" s="83"/>
      <c r="B127" s="91"/>
      <c r="C127" s="92" t="s">
        <v>14229</v>
      </c>
      <c r="D127" s="93"/>
      <c r="E127" s="94"/>
    </row>
    <row r="128" spans="1:5">
      <c r="A128" s="75">
        <v>37743</v>
      </c>
      <c r="B128" s="86" t="str">
        <f>TiposLancamentos!B2</f>
        <v>Telefonia</v>
      </c>
      <c r="C128" s="3" t="s">
        <v>14230</v>
      </c>
      <c r="D128" s="63"/>
      <c r="E128" s="98">
        <v>14.66</v>
      </c>
    </row>
    <row r="129" spans="1:5">
      <c r="A129" s="75">
        <v>37743</v>
      </c>
      <c r="B129" s="86" t="str">
        <f>TiposLancamentos!B4</f>
        <v>Taxas Bancarias</v>
      </c>
      <c r="C129" s="3" t="s">
        <v>5065</v>
      </c>
      <c r="D129" s="63"/>
      <c r="E129" s="98">
        <v>0.27</v>
      </c>
    </row>
    <row r="130" spans="1:5">
      <c r="A130" s="75">
        <v>37743</v>
      </c>
      <c r="B130" s="86" t="str">
        <f>TiposLancamentos!B4</f>
        <v>Taxas Bancarias</v>
      </c>
      <c r="C130" s="3" t="s">
        <v>14231</v>
      </c>
      <c r="D130" s="63"/>
      <c r="E130" s="98">
        <v>0.03</v>
      </c>
    </row>
    <row r="131" spans="1:5">
      <c r="A131" s="75">
        <v>37743</v>
      </c>
      <c r="B131" s="86" t="str">
        <f>TiposLancamentos!B4</f>
        <v>Taxas Bancarias</v>
      </c>
      <c r="C131" s="3" t="s">
        <v>14232</v>
      </c>
      <c r="D131" s="63"/>
      <c r="E131" s="98">
        <v>2.0299999999999998</v>
      </c>
    </row>
    <row r="132" spans="1:5">
      <c r="A132" s="75">
        <v>37744</v>
      </c>
      <c r="B132" s="86" t="str">
        <f>TiposLancamentos!B25</f>
        <v>CD_DVD_BD</v>
      </c>
      <c r="C132" s="3" t="s">
        <v>14233</v>
      </c>
      <c r="D132" s="63"/>
      <c r="E132" s="98">
        <v>73.040000000000006</v>
      </c>
    </row>
    <row r="133" spans="1:5">
      <c r="A133" s="75">
        <v>37744</v>
      </c>
      <c r="B133" s="86" t="str">
        <f>TiposLancamentos!B20</f>
        <v>Saques</v>
      </c>
      <c r="C133" s="3" t="s">
        <v>2655</v>
      </c>
      <c r="D133" s="63"/>
      <c r="E133" s="98">
        <v>10</v>
      </c>
    </row>
    <row r="134" spans="1:5">
      <c r="A134" s="75">
        <v>37746</v>
      </c>
      <c r="B134" s="86" t="str">
        <f>TiposLancamentos!B13</f>
        <v>Moradia</v>
      </c>
      <c r="C134" s="3" t="s">
        <v>14234</v>
      </c>
      <c r="D134" s="63"/>
      <c r="E134" s="98">
        <v>25</v>
      </c>
    </row>
    <row r="135" spans="1:5">
      <c r="A135" s="75">
        <v>37747</v>
      </c>
      <c r="B135" s="86" t="str">
        <f>TiposLancamentos!B2</f>
        <v>Telefonia</v>
      </c>
      <c r="C135" s="3" t="s">
        <v>2515</v>
      </c>
      <c r="D135" s="63"/>
      <c r="E135" s="98">
        <v>74.39</v>
      </c>
    </row>
    <row r="136" spans="1:5">
      <c r="A136" s="75">
        <v>37747</v>
      </c>
      <c r="B136" s="86" t="str">
        <f>TiposLancamentos!B90</f>
        <v>Locadora</v>
      </c>
      <c r="C136" s="3" t="s">
        <v>14235</v>
      </c>
      <c r="D136" s="63"/>
      <c r="E136" s="98">
        <v>15</v>
      </c>
    </row>
    <row r="137" spans="1:5">
      <c r="A137" s="75">
        <v>37747</v>
      </c>
      <c r="B137" s="86" t="str">
        <f>TiposLancamentos!B56</f>
        <v>Farmácia</v>
      </c>
      <c r="C137" s="3" t="s">
        <v>14236</v>
      </c>
      <c r="D137" s="63"/>
      <c r="E137" s="98">
        <v>10</v>
      </c>
    </row>
    <row r="138" spans="1:5">
      <c r="A138" s="75">
        <v>37748</v>
      </c>
      <c r="B138" s="86" t="str">
        <f>TiposLancamentos!B6</f>
        <v>Energia Eletrica</v>
      </c>
      <c r="C138" s="3" t="s">
        <v>2522</v>
      </c>
      <c r="D138" s="63"/>
      <c r="E138" s="98">
        <v>43.94</v>
      </c>
    </row>
    <row r="139" spans="1:5">
      <c r="A139" s="75">
        <v>37749</v>
      </c>
      <c r="B139" s="86" t="str">
        <f>TiposLancamentos!B56</f>
        <v>Farmácia</v>
      </c>
      <c r="C139" s="3" t="s">
        <v>14237</v>
      </c>
      <c r="D139" s="63"/>
      <c r="E139" s="98">
        <v>2.4500000000000002</v>
      </c>
    </row>
    <row r="140" spans="1:5">
      <c r="A140" s="75">
        <v>37749</v>
      </c>
      <c r="B140" s="86" t="str">
        <f>TiposLancamentos!B2</f>
        <v>Telefonia</v>
      </c>
      <c r="C140" s="3" t="s">
        <v>14238</v>
      </c>
      <c r="D140" s="63"/>
      <c r="E140" s="98">
        <v>20</v>
      </c>
    </row>
    <row r="141" spans="1:5">
      <c r="A141" s="75">
        <v>37750</v>
      </c>
      <c r="B141" s="86" t="str">
        <f>TiposLancamentos!B25</f>
        <v>CD_DVD_BD</v>
      </c>
      <c r="C141" s="3" t="s">
        <v>14239</v>
      </c>
      <c r="D141" s="63"/>
      <c r="E141" s="98">
        <v>31.89</v>
      </c>
    </row>
    <row r="142" spans="1:5">
      <c r="A142" s="75">
        <v>37750</v>
      </c>
      <c r="B142" s="86" t="str">
        <f>TiposLancamentos!B4</f>
        <v>Taxas Bancarias</v>
      </c>
      <c r="C142" s="3" t="s">
        <v>5065</v>
      </c>
      <c r="D142" s="63"/>
      <c r="E142" s="98">
        <v>1.55</v>
      </c>
    </row>
    <row r="143" spans="1:5">
      <c r="A143" s="75">
        <v>37751</v>
      </c>
      <c r="B143" s="86" t="str">
        <f>TiposLancamentos!B9</f>
        <v>Condominio</v>
      </c>
      <c r="C143" s="3" t="s">
        <v>1684</v>
      </c>
      <c r="D143" s="63"/>
      <c r="E143" s="98">
        <v>76.959999999999994</v>
      </c>
    </row>
    <row r="144" spans="1:5">
      <c r="A144" s="75">
        <v>37753</v>
      </c>
      <c r="B144" s="86" t="str">
        <f>TiposLancamentos!B44</f>
        <v>Academia</v>
      </c>
      <c r="C144" s="3" t="s">
        <v>14240</v>
      </c>
      <c r="D144" s="63"/>
      <c r="E144" s="98">
        <v>50</v>
      </c>
    </row>
    <row r="145" spans="1:5">
      <c r="A145" s="75">
        <v>37754</v>
      </c>
      <c r="B145" s="86" t="str">
        <f>TiposLancamentos!B19</f>
        <v>Restaurantes</v>
      </c>
      <c r="C145" s="3" t="s">
        <v>14241</v>
      </c>
      <c r="D145" s="63"/>
      <c r="E145" s="98">
        <v>8</v>
      </c>
    </row>
    <row r="146" spans="1:5">
      <c r="A146" s="75">
        <v>37755</v>
      </c>
      <c r="B146" s="86" t="str">
        <f>TiposLancamentos!B71</f>
        <v>Itens Pessoais</v>
      </c>
      <c r="C146" s="3" t="s">
        <v>14242</v>
      </c>
      <c r="D146" s="63"/>
      <c r="E146" s="98">
        <v>24</v>
      </c>
    </row>
    <row r="147" spans="1:5">
      <c r="A147" s="75">
        <v>37756</v>
      </c>
      <c r="B147" s="86" t="str">
        <f>TiposLancamentos!B95</f>
        <v>Salarios</v>
      </c>
      <c r="C147" s="3" t="s">
        <v>14228</v>
      </c>
      <c r="D147" s="63">
        <v>596.79999999999995</v>
      </c>
      <c r="E147" s="98"/>
    </row>
    <row r="148" spans="1:5">
      <c r="A148" s="75">
        <v>37756</v>
      </c>
      <c r="B148" s="86" t="str">
        <f>TiposLancamentos!B5</f>
        <v>Supermercado</v>
      </c>
      <c r="C148" s="3" t="s">
        <v>1262</v>
      </c>
      <c r="D148" s="63"/>
      <c r="E148" s="98">
        <v>55.11</v>
      </c>
    </row>
    <row r="149" spans="1:5">
      <c r="A149" s="75">
        <v>37756</v>
      </c>
      <c r="B149" s="86" t="str">
        <f>TiposLancamentos!B73</f>
        <v>Cursos</v>
      </c>
      <c r="C149" s="3" t="s">
        <v>14243</v>
      </c>
      <c r="D149" s="63"/>
      <c r="E149" s="98">
        <v>161.07</v>
      </c>
    </row>
    <row r="150" spans="1:5">
      <c r="A150" s="75">
        <v>37757</v>
      </c>
      <c r="B150" s="86" t="str">
        <f>TiposLancamentos!B4</f>
        <v>Taxas Bancarias</v>
      </c>
      <c r="C150" s="3" t="s">
        <v>5065</v>
      </c>
      <c r="D150" s="63"/>
      <c r="E150" s="98">
        <v>0.6</v>
      </c>
    </row>
    <row r="151" spans="1:5">
      <c r="A151" s="75">
        <v>37758</v>
      </c>
      <c r="B151" s="86" t="str">
        <f>TiposLancamentos!B13</f>
        <v>Moradia</v>
      </c>
      <c r="C151" s="3" t="s">
        <v>14244</v>
      </c>
      <c r="D151" s="63"/>
      <c r="E151" s="98">
        <v>192.15</v>
      </c>
    </row>
    <row r="152" spans="1:5">
      <c r="A152" s="75">
        <v>37759</v>
      </c>
      <c r="B152" s="86" t="str">
        <f>TiposLancamentos!B19</f>
        <v>Restaurantes</v>
      </c>
      <c r="C152" s="3" t="s">
        <v>14245</v>
      </c>
      <c r="D152" s="63"/>
      <c r="E152" s="98">
        <v>20</v>
      </c>
    </row>
    <row r="153" spans="1:5">
      <c r="A153" s="75">
        <v>37760</v>
      </c>
      <c r="B153" s="86" t="str">
        <f>TiposLancamentos!B68</f>
        <v>Bombas</v>
      </c>
      <c r="C153" s="3" t="s">
        <v>14246</v>
      </c>
      <c r="D153" s="63"/>
      <c r="E153" s="98">
        <v>15.4</v>
      </c>
    </row>
    <row r="154" spans="1:5">
      <c r="A154" s="75">
        <v>37760</v>
      </c>
      <c r="B154" s="86" t="str">
        <f>TiposLancamentos!B66</f>
        <v>Faxineira</v>
      </c>
      <c r="C154" s="3" t="s">
        <v>14247</v>
      </c>
      <c r="D154" s="63"/>
      <c r="E154" s="98">
        <v>100</v>
      </c>
    </row>
    <row r="155" spans="1:5">
      <c r="A155" s="75">
        <v>37761</v>
      </c>
      <c r="B155" s="86" t="str">
        <f>TiposLancamentos!B8</f>
        <v>Aluguel</v>
      </c>
      <c r="C155" s="3" t="s">
        <v>14248</v>
      </c>
      <c r="D155" s="63"/>
      <c r="E155" s="98">
        <v>243</v>
      </c>
    </row>
    <row r="156" spans="1:5">
      <c r="A156" s="75">
        <v>37764</v>
      </c>
      <c r="B156" s="86" t="str">
        <f>TiposLancamentos!B19</f>
        <v>Restaurantes</v>
      </c>
      <c r="C156" s="3" t="s">
        <v>14241</v>
      </c>
      <c r="D156" s="63"/>
      <c r="E156" s="98">
        <v>6.8</v>
      </c>
    </row>
    <row r="157" spans="1:5">
      <c r="A157" s="75">
        <v>37764</v>
      </c>
      <c r="B157" s="86" t="str">
        <f>TiposLancamentos!B4</f>
        <v>Taxas Bancarias</v>
      </c>
      <c r="C157" s="3" t="s">
        <v>5065</v>
      </c>
      <c r="D157" s="63"/>
      <c r="E157" s="98">
        <v>3.24</v>
      </c>
    </row>
    <row r="158" spans="1:5">
      <c r="A158" s="75">
        <v>37765</v>
      </c>
      <c r="B158" s="86" t="str">
        <f>TiposLancamentos!B30</f>
        <v>Cinema</v>
      </c>
      <c r="C158" s="3" t="s">
        <v>14249</v>
      </c>
      <c r="D158" s="63"/>
      <c r="E158" s="98">
        <v>30</v>
      </c>
    </row>
    <row r="159" spans="1:5">
      <c r="A159" s="75">
        <v>37765</v>
      </c>
      <c r="B159" s="86" t="str">
        <f>TiposLancamentos!B70</f>
        <v>Vestuário</v>
      </c>
      <c r="C159" s="3" t="s">
        <v>12863</v>
      </c>
      <c r="D159" s="63"/>
      <c r="E159" s="98">
        <v>36.56</v>
      </c>
    </row>
    <row r="160" spans="1:5">
      <c r="A160" s="75">
        <v>37767</v>
      </c>
      <c r="B160" s="86" t="str">
        <f>TiposLancamentos!B56</f>
        <v>Farmácia</v>
      </c>
      <c r="C160" s="3" t="s">
        <v>14206</v>
      </c>
      <c r="D160" s="63"/>
      <c r="E160" s="98">
        <v>60</v>
      </c>
    </row>
    <row r="161" spans="1:5">
      <c r="A161" s="75">
        <v>37769</v>
      </c>
      <c r="B161" s="86" t="str">
        <f>TiposLancamentos!B19</f>
        <v>Restaurantes</v>
      </c>
      <c r="C161" s="3" t="s">
        <v>14241</v>
      </c>
      <c r="D161" s="63"/>
      <c r="E161" s="98">
        <v>9</v>
      </c>
    </row>
    <row r="162" spans="1:5">
      <c r="A162" s="75">
        <v>37771</v>
      </c>
      <c r="B162" s="86" t="str">
        <f>TiposLancamentos!B95</f>
        <v>Salarios</v>
      </c>
      <c r="C162" s="3" t="s">
        <v>14250</v>
      </c>
      <c r="D162" s="63">
        <v>627.82000000000005</v>
      </c>
      <c r="E162" s="98"/>
    </row>
    <row r="163" spans="1:5">
      <c r="A163" s="75">
        <v>37771</v>
      </c>
      <c r="B163" s="86" t="str">
        <f>TiposLancamentos!B5</f>
        <v>Supermercado</v>
      </c>
      <c r="C163" s="3" t="s">
        <v>14251</v>
      </c>
      <c r="D163" s="63"/>
      <c r="E163" s="98">
        <v>62.88</v>
      </c>
    </row>
    <row r="164" spans="1:5">
      <c r="A164" s="75">
        <v>37771</v>
      </c>
      <c r="B164" s="86" t="str">
        <f>TiposLancamentos!B4</f>
        <v>Taxas Bancarias</v>
      </c>
      <c r="C164" s="3" t="s">
        <v>5065</v>
      </c>
      <c r="D164" s="63"/>
      <c r="E164" s="98">
        <v>0.48</v>
      </c>
    </row>
    <row r="165" spans="1:5">
      <c r="A165" s="75">
        <v>37772</v>
      </c>
      <c r="B165" s="86" t="str">
        <f>TiposLancamentos!B20</f>
        <v>Saques</v>
      </c>
      <c r="C165" s="3" t="s">
        <v>2668</v>
      </c>
      <c r="D165" s="63"/>
      <c r="E165" s="98">
        <v>10</v>
      </c>
    </row>
    <row r="166" spans="1:5">
      <c r="A166" s="83"/>
      <c r="B166" s="91"/>
      <c r="C166" s="92" t="s">
        <v>14252</v>
      </c>
      <c r="D166" s="93"/>
      <c r="E166" s="94"/>
    </row>
    <row r="167" spans="1:5">
      <c r="A167" s="75">
        <v>37774</v>
      </c>
      <c r="B167" s="86" t="str">
        <f>TiposLancamentos!B4</f>
        <v>Taxas Bancarias</v>
      </c>
      <c r="C167" s="3" t="s">
        <v>14231</v>
      </c>
      <c r="D167" s="63"/>
      <c r="E167" s="98">
        <v>0.09</v>
      </c>
    </row>
    <row r="168" spans="1:5">
      <c r="A168" s="75">
        <v>37774</v>
      </c>
      <c r="B168" s="86" t="str">
        <f>TiposLancamentos!B4</f>
        <v>Taxas Bancarias</v>
      </c>
      <c r="C168" s="3" t="s">
        <v>14232</v>
      </c>
      <c r="D168" s="63"/>
      <c r="E168" s="98">
        <v>8.0500000000000007</v>
      </c>
    </row>
    <row r="169" spans="1:5">
      <c r="A169" s="75">
        <v>37775</v>
      </c>
      <c r="B169" s="86" t="str">
        <f>TiposLancamentos!B2</f>
        <v>Telefonia</v>
      </c>
      <c r="C169" s="3" t="s">
        <v>2515</v>
      </c>
      <c r="D169" s="63"/>
      <c r="E169" s="98">
        <v>63.87</v>
      </c>
    </row>
    <row r="170" spans="1:5">
      <c r="A170" s="75">
        <v>37775</v>
      </c>
      <c r="B170" s="86" t="str">
        <f>TiposLancamentos!B60</f>
        <v>Correio</v>
      </c>
      <c r="C170" s="3" t="s">
        <v>14253</v>
      </c>
      <c r="D170" s="63"/>
      <c r="E170" s="98">
        <v>24</v>
      </c>
    </row>
    <row r="171" spans="1:5">
      <c r="A171" s="75">
        <v>37776</v>
      </c>
      <c r="B171" s="86" t="str">
        <f>TiposLancamentos!B19</f>
        <v>Restaurantes</v>
      </c>
      <c r="C171" s="3" t="s">
        <v>14254</v>
      </c>
      <c r="D171" s="63"/>
      <c r="E171" s="98">
        <v>10</v>
      </c>
    </row>
    <row r="172" spans="1:5">
      <c r="A172" s="75">
        <v>37776</v>
      </c>
      <c r="B172" s="86" t="str">
        <f>TiposLancamentos!B4</f>
        <v>Taxas Bancarias</v>
      </c>
      <c r="C172" s="3" t="s">
        <v>14255</v>
      </c>
      <c r="D172" s="63"/>
      <c r="E172" s="98">
        <v>1.5</v>
      </c>
    </row>
    <row r="173" spans="1:5">
      <c r="A173" s="75">
        <v>37777</v>
      </c>
      <c r="B173" s="86" t="str">
        <f>TiposLancamentos!B13</f>
        <v>Moradia</v>
      </c>
      <c r="C173" s="3" t="s">
        <v>14256</v>
      </c>
      <c r="D173" s="63"/>
      <c r="E173" s="98">
        <v>25.85</v>
      </c>
    </row>
    <row r="174" spans="1:5">
      <c r="A174" s="75">
        <v>37778</v>
      </c>
      <c r="B174" s="86" t="str">
        <f>TiposLancamentos!B4</f>
        <v>Taxas Bancarias</v>
      </c>
      <c r="C174" s="3" t="s">
        <v>5065</v>
      </c>
      <c r="D174" s="63"/>
      <c r="E174" s="98">
        <v>2.04</v>
      </c>
    </row>
    <row r="175" spans="1:5">
      <c r="A175" s="75">
        <v>37778</v>
      </c>
      <c r="B175" s="86" t="str">
        <f>TiposLancamentos!B4</f>
        <v>Taxas Bancarias</v>
      </c>
      <c r="C175" s="3" t="s">
        <v>14255</v>
      </c>
      <c r="D175" s="63"/>
      <c r="E175" s="98">
        <v>1.5</v>
      </c>
    </row>
    <row r="176" spans="1:5">
      <c r="A176" s="75">
        <v>37779</v>
      </c>
      <c r="B176" s="86" t="str">
        <f>TiposLancamentos!B6</f>
        <v>Energia Eletrica</v>
      </c>
      <c r="C176" s="3" t="s">
        <v>2522</v>
      </c>
      <c r="D176" s="63"/>
      <c r="E176" s="98">
        <v>39.01</v>
      </c>
    </row>
    <row r="177" spans="1:5">
      <c r="A177" s="75">
        <v>37780</v>
      </c>
      <c r="B177" s="86" t="str">
        <f>TiposLancamentos!B64</f>
        <v>Viagens</v>
      </c>
      <c r="C177" s="3" t="s">
        <v>14183</v>
      </c>
      <c r="D177" s="63"/>
      <c r="E177" s="98">
        <v>30</v>
      </c>
    </row>
    <row r="178" spans="1:5">
      <c r="A178" s="75">
        <v>37781</v>
      </c>
      <c r="B178" s="86" t="str">
        <f>TiposLancamentos!B5</f>
        <v>Supermercado</v>
      </c>
      <c r="C178" s="3" t="s">
        <v>14257</v>
      </c>
      <c r="D178" s="63"/>
      <c r="E178" s="98">
        <v>30.25</v>
      </c>
    </row>
    <row r="179" spans="1:5">
      <c r="A179" s="75">
        <v>37782</v>
      </c>
      <c r="B179" s="86" t="str">
        <f>TiposLancamentos!B9</f>
        <v>Condominio</v>
      </c>
      <c r="C179" s="3" t="s">
        <v>1684</v>
      </c>
      <c r="D179" s="63"/>
      <c r="E179" s="98">
        <v>92.12</v>
      </c>
    </row>
    <row r="180" spans="1:5">
      <c r="A180" s="75">
        <v>37782</v>
      </c>
      <c r="B180" s="86" t="str">
        <f>TiposLancamentos!B73</f>
        <v>Cursos</v>
      </c>
      <c r="C180" s="3" t="s">
        <v>14258</v>
      </c>
      <c r="D180" s="63"/>
      <c r="E180" s="98">
        <v>161.07</v>
      </c>
    </row>
    <row r="181" spans="1:5">
      <c r="A181" s="75">
        <v>37782</v>
      </c>
      <c r="B181" s="86" t="str">
        <f>TiposLancamentos!B97</f>
        <v>Deposito Terc.</v>
      </c>
      <c r="C181" s="3" t="s">
        <v>14259</v>
      </c>
      <c r="D181" s="63">
        <v>100</v>
      </c>
      <c r="E181" s="98"/>
    </row>
    <row r="182" spans="1:5">
      <c r="A182" s="75">
        <v>37782</v>
      </c>
      <c r="B182" s="86" t="str">
        <f>TiposLancamentos!B13</f>
        <v>Moradia</v>
      </c>
      <c r="C182" s="3" t="s">
        <v>14260</v>
      </c>
      <c r="D182" s="63"/>
      <c r="E182" s="98">
        <v>100</v>
      </c>
    </row>
    <row r="183" spans="1:5">
      <c r="A183" s="75">
        <v>37782</v>
      </c>
      <c r="B183" s="86" t="str">
        <f>TiposLancamentos!B13</f>
        <v>Moradia</v>
      </c>
      <c r="C183" s="3" t="s">
        <v>14261</v>
      </c>
      <c r="D183" s="63"/>
      <c r="E183" s="98">
        <v>29.99</v>
      </c>
    </row>
    <row r="184" spans="1:5">
      <c r="A184" s="75">
        <v>37782</v>
      </c>
      <c r="B184" s="86" t="str">
        <f>TiposLancamentos!B44</f>
        <v>Academia</v>
      </c>
      <c r="C184" s="3" t="s">
        <v>14262</v>
      </c>
      <c r="D184" s="63"/>
      <c r="E184" s="98">
        <v>50</v>
      </c>
    </row>
    <row r="185" spans="1:5">
      <c r="A185" s="75">
        <v>37782</v>
      </c>
      <c r="B185" s="86" t="str">
        <f>TiposLancamentos!B4</f>
        <v>Taxas Bancarias</v>
      </c>
      <c r="C185" s="3" t="s">
        <v>14255</v>
      </c>
      <c r="D185" s="63"/>
      <c r="E185" s="98">
        <v>1.5</v>
      </c>
    </row>
    <row r="186" spans="1:5">
      <c r="A186" s="75">
        <v>37783</v>
      </c>
      <c r="B186" s="86" t="str">
        <f>TiposLancamentos!B57</f>
        <v>Informática</v>
      </c>
      <c r="C186" s="3" t="s">
        <v>14263</v>
      </c>
      <c r="D186" s="63"/>
      <c r="E186" s="98">
        <v>13</v>
      </c>
    </row>
    <row r="187" spans="1:5">
      <c r="A187" s="75">
        <v>37783</v>
      </c>
      <c r="B187" s="86" t="str">
        <f>TiposLancamentos!B4</f>
        <v>Taxas Bancarias</v>
      </c>
      <c r="C187" s="3" t="s">
        <v>14255</v>
      </c>
      <c r="D187" s="63"/>
      <c r="E187" s="98">
        <v>1.5</v>
      </c>
    </row>
    <row r="188" spans="1:5">
      <c r="A188" s="75">
        <v>37784</v>
      </c>
      <c r="B188" s="86" t="str">
        <f>TiposLancamentos!B64</f>
        <v>Viagens</v>
      </c>
      <c r="C188" s="3" t="s">
        <v>14264</v>
      </c>
      <c r="D188" s="63"/>
      <c r="E188" s="98">
        <v>79.05</v>
      </c>
    </row>
    <row r="189" spans="1:5">
      <c r="A189" s="75">
        <v>37785</v>
      </c>
      <c r="B189" s="86" t="str">
        <f>TiposLancamentos!B95</f>
        <v>Salarios</v>
      </c>
      <c r="C189" s="3" t="s">
        <v>2521</v>
      </c>
      <c r="D189" s="63">
        <v>596.79999999999995</v>
      </c>
      <c r="E189" s="98"/>
    </row>
    <row r="190" spans="1:5">
      <c r="A190" s="75">
        <v>37785</v>
      </c>
      <c r="B190" s="86" t="str">
        <f>TiposLancamentos!B98</f>
        <v>Restituições</v>
      </c>
      <c r="C190" s="3" t="s">
        <v>14265</v>
      </c>
      <c r="D190" s="63">
        <v>190.7</v>
      </c>
      <c r="E190" s="98"/>
    </row>
    <row r="191" spans="1:5">
      <c r="A191" s="75">
        <v>37785</v>
      </c>
      <c r="B191" s="86" t="str">
        <f>TiposLancamentos!B13</f>
        <v>Moradia</v>
      </c>
      <c r="C191" s="3" t="s">
        <v>14266</v>
      </c>
      <c r="D191" s="63"/>
      <c r="E191" s="98">
        <v>600</v>
      </c>
    </row>
    <row r="192" spans="1:5">
      <c r="A192" s="75">
        <v>37785</v>
      </c>
      <c r="B192" s="86" t="str">
        <f>TiposLancamentos!B4</f>
        <v>Taxas Bancarias</v>
      </c>
      <c r="C192" s="3" t="s">
        <v>5065</v>
      </c>
      <c r="D192" s="63"/>
      <c r="E192" s="98">
        <v>1.86</v>
      </c>
    </row>
    <row r="193" spans="1:5">
      <c r="A193" s="75">
        <v>37786</v>
      </c>
      <c r="B193" s="86" t="str">
        <f>TiposLancamentos!B64</f>
        <v>Viagens</v>
      </c>
      <c r="C193" s="3" t="s">
        <v>14267</v>
      </c>
      <c r="D193" s="63"/>
      <c r="E193" s="98">
        <v>30</v>
      </c>
    </row>
    <row r="194" spans="1:5">
      <c r="A194" s="75">
        <v>37786</v>
      </c>
      <c r="B194" s="86" t="str">
        <f>TiposLancamentos!B72</f>
        <v>Presentes</v>
      </c>
      <c r="C194" s="3" t="s">
        <v>14268</v>
      </c>
      <c r="D194" s="63"/>
      <c r="E194" s="98">
        <v>73</v>
      </c>
    </row>
    <row r="195" spans="1:5">
      <c r="A195" s="75">
        <v>37787</v>
      </c>
      <c r="B195" s="86" t="str">
        <f>TiposLancamentos!B64</f>
        <v>Viagens</v>
      </c>
      <c r="C195" s="3" t="s">
        <v>14267</v>
      </c>
      <c r="D195" s="63"/>
      <c r="E195" s="98">
        <v>10</v>
      </c>
    </row>
    <row r="196" spans="1:5">
      <c r="A196" s="75">
        <v>37789</v>
      </c>
      <c r="B196" s="86" t="str">
        <f>TiposLancamentos!B13</f>
        <v>Moradia</v>
      </c>
      <c r="C196" s="3" t="s">
        <v>14269</v>
      </c>
      <c r="D196" s="63"/>
      <c r="E196" s="98">
        <v>192.15</v>
      </c>
    </row>
    <row r="197" spans="1:5">
      <c r="A197" s="75">
        <v>37789</v>
      </c>
      <c r="B197" s="86" t="str">
        <f>TiposLancamentos!B4</f>
        <v>Taxas Bancarias</v>
      </c>
      <c r="C197" s="3" t="s">
        <v>14255</v>
      </c>
      <c r="D197" s="63"/>
      <c r="E197" s="98">
        <v>1.5</v>
      </c>
    </row>
    <row r="198" spans="1:5">
      <c r="A198" s="75">
        <v>37790</v>
      </c>
      <c r="B198" s="86" t="str">
        <f>TiposLancamentos!B96</f>
        <v>Resg.Poup.</v>
      </c>
      <c r="C198" s="3" t="s">
        <v>14219</v>
      </c>
      <c r="D198" s="63">
        <v>750</v>
      </c>
      <c r="E198" s="98"/>
    </row>
    <row r="199" spans="1:5">
      <c r="A199" s="75">
        <v>37790</v>
      </c>
      <c r="B199" s="86" t="str">
        <f>TiposLancamentos!B64</f>
        <v>Viagens</v>
      </c>
      <c r="C199" s="3" t="s">
        <v>14267</v>
      </c>
      <c r="D199" s="63"/>
      <c r="E199" s="98">
        <v>100</v>
      </c>
    </row>
    <row r="200" spans="1:5">
      <c r="A200" s="75">
        <v>37792</v>
      </c>
      <c r="B200" s="86" t="str">
        <f>TiposLancamentos!B4</f>
        <v>Taxas Bancarias</v>
      </c>
      <c r="C200" s="3" t="s">
        <v>5065</v>
      </c>
      <c r="D200" s="63"/>
      <c r="E200" s="98">
        <v>5.26</v>
      </c>
    </row>
    <row r="201" spans="1:5">
      <c r="A201" s="75">
        <v>37793</v>
      </c>
      <c r="B201" s="86" t="str">
        <f>TiposLancamentos!B64</f>
        <v>Viagens</v>
      </c>
      <c r="C201" s="3" t="s">
        <v>14270</v>
      </c>
      <c r="D201" s="63"/>
      <c r="E201" s="98">
        <v>30</v>
      </c>
    </row>
    <row r="202" spans="1:5">
      <c r="A202" s="75">
        <v>37795</v>
      </c>
      <c r="B202" s="86" t="str">
        <f>TiposLancamentos!B8</f>
        <v>Aluguel</v>
      </c>
      <c r="C202" s="3" t="s">
        <v>14271</v>
      </c>
      <c r="D202" s="63"/>
      <c r="E202" s="98">
        <v>241.63</v>
      </c>
    </row>
    <row r="203" spans="1:5">
      <c r="A203" s="75">
        <v>37795</v>
      </c>
      <c r="B203" s="86" t="str">
        <f>TiposLancamentos!B66</f>
        <v>Faxineira</v>
      </c>
      <c r="C203" s="3" t="s">
        <v>14272</v>
      </c>
      <c r="D203" s="63"/>
      <c r="E203" s="98">
        <v>80</v>
      </c>
    </row>
    <row r="204" spans="1:5">
      <c r="A204" s="75">
        <v>37795</v>
      </c>
      <c r="B204" s="86" t="str">
        <f>TiposLancamentos!B5</f>
        <v>Supermercado</v>
      </c>
      <c r="C204" s="3" t="s">
        <v>14273</v>
      </c>
      <c r="D204" s="63"/>
      <c r="E204" s="98">
        <v>32.049999999999997</v>
      </c>
    </row>
    <row r="205" spans="1:5" ht="13.5" customHeight="1">
      <c r="A205" s="75">
        <v>37796</v>
      </c>
      <c r="B205" s="86" t="str">
        <f>TiposLancamentos!B4</f>
        <v>Taxas Bancarias</v>
      </c>
      <c r="C205" s="3" t="s">
        <v>14255</v>
      </c>
      <c r="D205" s="63"/>
      <c r="E205" s="98">
        <v>1.5</v>
      </c>
    </row>
    <row r="206" spans="1:5">
      <c r="A206" s="75">
        <v>37796</v>
      </c>
      <c r="B206" s="86" t="str">
        <f>TiposLancamentos!B70</f>
        <v>Vestuário</v>
      </c>
      <c r="C206" s="3" t="s">
        <v>12868</v>
      </c>
      <c r="D206" s="63"/>
      <c r="E206" s="98">
        <v>36.56</v>
      </c>
    </row>
    <row r="207" spans="1:5">
      <c r="A207" s="75">
        <v>37796</v>
      </c>
      <c r="B207" s="86" t="str">
        <f>TiposLancamentos!B68</f>
        <v>Bombas</v>
      </c>
      <c r="C207" s="3" t="s">
        <v>14274</v>
      </c>
      <c r="D207" s="63"/>
      <c r="E207" s="98">
        <v>15</v>
      </c>
    </row>
    <row r="208" spans="1:5">
      <c r="A208" s="75">
        <v>37797</v>
      </c>
      <c r="B208" s="86" t="str">
        <f>TiposLancamentos!B4</f>
        <v>Taxas Bancarias</v>
      </c>
      <c r="C208" s="3" t="s">
        <v>14255</v>
      </c>
      <c r="D208" s="63"/>
      <c r="E208" s="98">
        <v>1.5</v>
      </c>
    </row>
    <row r="209" spans="1:5">
      <c r="A209" s="75">
        <v>37798</v>
      </c>
      <c r="B209" s="86" t="str">
        <f>TiposLancamentos!B56</f>
        <v>Farmácia</v>
      </c>
      <c r="C209" s="3" t="s">
        <v>14275</v>
      </c>
      <c r="D209" s="63"/>
      <c r="E209" s="98">
        <v>37</v>
      </c>
    </row>
    <row r="210" spans="1:5">
      <c r="A210" s="75">
        <v>37799</v>
      </c>
      <c r="B210" s="86" t="str">
        <f>TiposLancamentos!B4</f>
        <v>Taxas Bancarias</v>
      </c>
      <c r="C210" s="3" t="s">
        <v>5065</v>
      </c>
      <c r="D210" s="63"/>
      <c r="E210" s="98">
        <v>4.26</v>
      </c>
    </row>
    <row r="211" spans="1:5">
      <c r="A211" s="75">
        <v>37801</v>
      </c>
      <c r="B211" s="86" t="str">
        <f>TiposLancamentos!B71</f>
        <v>Itens Pessoais</v>
      </c>
      <c r="C211" s="3" t="s">
        <v>14276</v>
      </c>
      <c r="D211" s="63"/>
      <c r="E211" s="98">
        <v>24.9</v>
      </c>
    </row>
    <row r="212" spans="1:5">
      <c r="A212" s="75">
        <v>37800</v>
      </c>
      <c r="B212" s="86" t="str">
        <f>TiposLancamentos!B20</f>
        <v>Saques</v>
      </c>
      <c r="C212" s="3" t="s">
        <v>4955</v>
      </c>
      <c r="D212" s="63"/>
      <c r="E212" s="98">
        <v>30</v>
      </c>
    </row>
    <row r="213" spans="1:5">
      <c r="A213" s="75">
        <v>37802</v>
      </c>
      <c r="B213" s="86" t="str">
        <f>TiposLancamentos!B72</f>
        <v>Presentes</v>
      </c>
      <c r="C213" s="52" t="s">
        <v>14277</v>
      </c>
      <c r="D213" s="63"/>
      <c r="E213" s="49">
        <v>65</v>
      </c>
    </row>
    <row r="214" spans="1:5">
      <c r="A214" s="75">
        <v>37802</v>
      </c>
      <c r="B214" s="86" t="str">
        <f>TiposLancamentos!B95</f>
        <v>Salarios</v>
      </c>
      <c r="C214" s="3" t="s">
        <v>14250</v>
      </c>
      <c r="D214" s="63">
        <v>701.9</v>
      </c>
      <c r="E214" s="98"/>
    </row>
    <row r="215" spans="1:5">
      <c r="A215" s="75">
        <v>37802</v>
      </c>
      <c r="B215" s="86" t="str">
        <f>TiposLancamentos!B57</f>
        <v>Informática</v>
      </c>
      <c r="C215" s="3" t="s">
        <v>14278</v>
      </c>
      <c r="D215" s="63"/>
      <c r="E215" s="98">
        <v>17.5</v>
      </c>
    </row>
    <row r="216" spans="1:5">
      <c r="A216" s="83"/>
      <c r="B216" s="91"/>
      <c r="C216" s="92" t="s">
        <v>14279</v>
      </c>
      <c r="D216" s="93"/>
      <c r="E216" s="94"/>
    </row>
    <row r="217" spans="1:5">
      <c r="A217" s="75">
        <v>37803</v>
      </c>
      <c r="B217" s="86" t="str">
        <f>TiposLancamentos!B4</f>
        <v>Taxas Bancarias</v>
      </c>
      <c r="C217" s="3" t="s">
        <v>14280</v>
      </c>
      <c r="D217" s="63"/>
      <c r="E217" s="98">
        <v>13.06</v>
      </c>
    </row>
    <row r="218" spans="1:5">
      <c r="A218" s="75">
        <v>37803</v>
      </c>
      <c r="B218" s="86" t="str">
        <f>TiposLancamentos!B4</f>
        <v>Taxas Bancarias</v>
      </c>
      <c r="C218" s="3" t="s">
        <v>14231</v>
      </c>
      <c r="D218" s="63"/>
      <c r="E218" s="98">
        <v>0.15</v>
      </c>
    </row>
    <row r="219" spans="1:5">
      <c r="A219" s="75">
        <v>37773</v>
      </c>
      <c r="B219" s="86" t="str">
        <f>TiposLancamentos!B57</f>
        <v>Informática</v>
      </c>
      <c r="C219" s="3" t="s">
        <v>14281</v>
      </c>
      <c r="D219" s="63"/>
      <c r="E219" s="98">
        <v>67.27</v>
      </c>
    </row>
    <row r="220" spans="1:5">
      <c r="A220" s="75">
        <v>37804</v>
      </c>
      <c r="B220" s="86" t="str">
        <f>TiposLancamentos!B9</f>
        <v>Condominio</v>
      </c>
      <c r="C220" s="3" t="s">
        <v>1684</v>
      </c>
      <c r="D220" s="63"/>
      <c r="E220" s="98">
        <v>89.06</v>
      </c>
    </row>
    <row r="221" spans="1:5">
      <c r="A221" s="75">
        <v>37806</v>
      </c>
      <c r="B221" s="86" t="str">
        <f>TiposLancamentos!B4</f>
        <v>Taxas Bancarias</v>
      </c>
      <c r="C221" s="3" t="s">
        <v>14211</v>
      </c>
      <c r="D221" s="63"/>
      <c r="E221" s="98">
        <v>2.56</v>
      </c>
    </row>
    <row r="222" spans="1:5">
      <c r="A222" s="75">
        <v>37806</v>
      </c>
      <c r="B222" s="86" t="str">
        <f>TiposLancamentos!B4</f>
        <v>Taxas Bancarias</v>
      </c>
      <c r="C222" s="3" t="s">
        <v>14282</v>
      </c>
      <c r="D222" s="63"/>
      <c r="E222" s="98">
        <v>0.5</v>
      </c>
    </row>
    <row r="223" spans="1:5">
      <c r="A223" s="75">
        <v>37807</v>
      </c>
      <c r="B223" s="86" t="str">
        <f>TiposLancamentos!B5</f>
        <v>Supermercado</v>
      </c>
      <c r="C223" s="3" t="s">
        <v>14283</v>
      </c>
      <c r="D223" s="63"/>
      <c r="E223" s="98">
        <v>40.770000000000003</v>
      </c>
    </row>
    <row r="224" spans="1:5">
      <c r="A224" s="75">
        <v>37807</v>
      </c>
      <c r="B224" s="86" t="str">
        <f>TiposLancamentos!B13</f>
        <v>Moradia</v>
      </c>
      <c r="C224" s="3" t="s">
        <v>14284</v>
      </c>
      <c r="D224" s="63"/>
      <c r="E224" s="98">
        <v>25.85</v>
      </c>
    </row>
    <row r="225" spans="1:5">
      <c r="A225" s="75">
        <v>37809</v>
      </c>
      <c r="B225" s="86" t="str">
        <f>TiposLancamentos!B90</f>
        <v>Locadora</v>
      </c>
      <c r="C225" s="3" t="s">
        <v>14285</v>
      </c>
      <c r="D225" s="63"/>
      <c r="E225" s="98">
        <v>14.5</v>
      </c>
    </row>
    <row r="226" spans="1:5">
      <c r="A226" s="75">
        <v>37808</v>
      </c>
      <c r="B226" s="86" t="str">
        <f>TiposLancamentos!B2</f>
        <v>Telefonia</v>
      </c>
      <c r="C226" s="3" t="s">
        <v>2515</v>
      </c>
      <c r="D226" s="63"/>
      <c r="E226" s="98">
        <v>72.709999999999994</v>
      </c>
    </row>
    <row r="227" spans="1:5">
      <c r="A227" s="75">
        <v>37807</v>
      </c>
      <c r="B227" s="86" t="str">
        <f>TiposLancamentos!B6</f>
        <v>Energia Eletrica</v>
      </c>
      <c r="C227" s="3" t="s">
        <v>2522</v>
      </c>
      <c r="D227" s="63"/>
      <c r="E227" s="98">
        <v>32.380000000000003</v>
      </c>
    </row>
    <row r="228" spans="1:5">
      <c r="A228" s="75">
        <v>37811</v>
      </c>
      <c r="B228" s="86" t="str">
        <f>TiposLancamentos!B97</f>
        <v>Deposito Terc.</v>
      </c>
      <c r="C228" s="3" t="s">
        <v>14286</v>
      </c>
      <c r="D228" s="63">
        <v>100</v>
      </c>
      <c r="E228" s="98"/>
    </row>
    <row r="229" spans="1:5">
      <c r="A229" s="75">
        <v>37813</v>
      </c>
      <c r="B229" s="86" t="str">
        <f>TiposLancamentos!B4</f>
        <v>Taxas Bancarias</v>
      </c>
      <c r="C229" s="3" t="s">
        <v>5065</v>
      </c>
      <c r="D229" s="63"/>
      <c r="E229" s="98">
        <v>0.83</v>
      </c>
    </row>
    <row r="230" spans="1:5">
      <c r="A230" s="75">
        <v>37813</v>
      </c>
      <c r="B230" s="86" t="str">
        <f>TiposLancamentos!B5</f>
        <v>Supermercado</v>
      </c>
      <c r="C230" s="3" t="s">
        <v>14282</v>
      </c>
      <c r="D230" s="63"/>
      <c r="E230" s="98">
        <v>0.5</v>
      </c>
    </row>
    <row r="231" spans="1:5">
      <c r="A231" s="75">
        <v>37817</v>
      </c>
      <c r="B231" s="86" t="str">
        <f>TiposLancamentos!B95</f>
        <v>Salarios</v>
      </c>
      <c r="C231" s="3" t="s">
        <v>14250</v>
      </c>
      <c r="D231" s="63">
        <v>596.79999999999995</v>
      </c>
      <c r="E231" s="98"/>
    </row>
    <row r="232" spans="1:5">
      <c r="A232" s="75">
        <v>37817</v>
      </c>
      <c r="B232" s="86" t="str">
        <f>TiposLancamentos!B66</f>
        <v>Faxineira</v>
      </c>
      <c r="C232" s="3" t="s">
        <v>14272</v>
      </c>
      <c r="D232" s="63"/>
      <c r="E232" s="98">
        <v>80</v>
      </c>
    </row>
    <row r="233" spans="1:5">
      <c r="A233" s="75">
        <v>37818</v>
      </c>
      <c r="B233" s="86" t="str">
        <f>TiposLancamentos!B5</f>
        <v>Supermercado</v>
      </c>
      <c r="C233" s="3" t="s">
        <v>14287</v>
      </c>
      <c r="D233" s="63"/>
      <c r="E233" s="98">
        <v>40.39</v>
      </c>
    </row>
    <row r="234" spans="1:5">
      <c r="A234" s="75">
        <v>37819</v>
      </c>
      <c r="B234" s="86" t="str">
        <f>TiposLancamentos!B16</f>
        <v>Cristiane</v>
      </c>
      <c r="C234" s="3" t="s">
        <v>14288</v>
      </c>
      <c r="D234" s="63"/>
      <c r="E234" s="98">
        <v>40</v>
      </c>
    </row>
    <row r="235" spans="1:5">
      <c r="A235" s="75">
        <v>37819</v>
      </c>
      <c r="B235" s="86" t="str">
        <f>TiposLancamentos!B13</f>
        <v>Moradia</v>
      </c>
      <c r="C235" s="3" t="s">
        <v>14289</v>
      </c>
      <c r="D235" s="63"/>
      <c r="E235" s="98">
        <v>192.15</v>
      </c>
    </row>
    <row r="236" spans="1:5">
      <c r="A236" s="79">
        <v>37826</v>
      </c>
      <c r="B236" s="566" t="str">
        <f>TiposLancamentos!B70</f>
        <v>Vestuário</v>
      </c>
      <c r="C236" s="601" t="s">
        <v>12872</v>
      </c>
      <c r="D236" s="407"/>
      <c r="E236" s="97">
        <v>36.56</v>
      </c>
    </row>
    <row r="237" spans="1:5">
      <c r="A237" s="75"/>
      <c r="B237" s="86"/>
      <c r="C237" s="602" t="s">
        <v>14290</v>
      </c>
      <c r="D237" s="63"/>
      <c r="E237" s="98"/>
    </row>
    <row r="238" spans="1:5">
      <c r="A238" s="75"/>
      <c r="B238" s="86"/>
      <c r="C238" s="602" t="s">
        <v>14291</v>
      </c>
      <c r="D238" s="63"/>
      <c r="E238" s="98"/>
    </row>
    <row r="239" spans="1:5">
      <c r="A239" s="75">
        <v>37963</v>
      </c>
      <c r="B239" s="86" t="str">
        <f>TiposLancamentos!B96</f>
        <v>Resg.Poup.</v>
      </c>
      <c r="C239" s="3" t="s">
        <v>14292</v>
      </c>
      <c r="D239" s="63">
        <v>250</v>
      </c>
      <c r="E239" s="98"/>
    </row>
    <row r="240" spans="1:5">
      <c r="A240" s="75">
        <v>37963</v>
      </c>
      <c r="B240" s="86" t="str">
        <f>TiposLancamentos!B6</f>
        <v>Energia Eletrica</v>
      </c>
      <c r="C240" s="3" t="s">
        <v>14293</v>
      </c>
      <c r="D240" s="63"/>
      <c r="E240" s="98">
        <v>45.39</v>
      </c>
    </row>
    <row r="241" spans="1:5">
      <c r="A241" s="75">
        <v>37963</v>
      </c>
      <c r="B241" s="86" t="str">
        <f>TiposLancamentos!B5</f>
        <v>Supermercado</v>
      </c>
      <c r="C241" s="3" t="s">
        <v>14294</v>
      </c>
      <c r="D241" s="63"/>
      <c r="E241" s="98">
        <v>23.91</v>
      </c>
    </row>
    <row r="242" spans="1:5">
      <c r="A242" s="75">
        <v>37963</v>
      </c>
      <c r="B242" s="86" t="str">
        <f>TiposLancamentos!B19</f>
        <v>Restaurantes</v>
      </c>
      <c r="C242" s="3" t="s">
        <v>14295</v>
      </c>
      <c r="D242" s="63"/>
      <c r="E242" s="98">
        <v>21.45</v>
      </c>
    </row>
    <row r="243" spans="1:5">
      <c r="A243" s="75">
        <v>37963</v>
      </c>
      <c r="B243" s="86" t="str">
        <f>TiposLancamentos!B71</f>
        <v>Itens Pessoais</v>
      </c>
      <c r="C243" s="3" t="s">
        <v>12887</v>
      </c>
      <c r="D243" s="63"/>
      <c r="E243" s="98">
        <v>270</v>
      </c>
    </row>
    <row r="244" spans="1:5">
      <c r="A244" s="75">
        <v>37965</v>
      </c>
      <c r="B244" s="86" t="str">
        <f>TiposLancamentos!B9</f>
        <v>Condominio</v>
      </c>
      <c r="C244" s="3" t="s">
        <v>1684</v>
      </c>
      <c r="D244" s="63"/>
      <c r="E244" s="98">
        <v>89.74</v>
      </c>
    </row>
    <row r="245" spans="1:5">
      <c r="A245" s="75">
        <v>37965</v>
      </c>
      <c r="B245" s="86" t="str">
        <f>TiposLancamentos!B74</f>
        <v>Noite</v>
      </c>
      <c r="C245" s="3" t="s">
        <v>14296</v>
      </c>
      <c r="D245" s="63"/>
      <c r="E245" s="98">
        <v>20</v>
      </c>
    </row>
    <row r="246" spans="1:5">
      <c r="A246" s="75">
        <v>37967</v>
      </c>
      <c r="B246" s="86" t="str">
        <f>TiposLancamentos!B4</f>
        <v>Taxas Bancarias</v>
      </c>
      <c r="C246" s="3" t="s">
        <v>4976</v>
      </c>
      <c r="D246" s="63"/>
      <c r="E246" s="98">
        <v>1.92</v>
      </c>
    </row>
    <row r="247" spans="1:5">
      <c r="A247" s="75">
        <v>37970</v>
      </c>
      <c r="B247" s="86" t="str">
        <f>TiposLancamentos!B96</f>
        <v>Resg.Poup.</v>
      </c>
      <c r="C247" s="3" t="s">
        <v>14292</v>
      </c>
      <c r="D247" s="63">
        <v>500</v>
      </c>
      <c r="E247" s="98"/>
    </row>
    <row r="248" spans="1:5">
      <c r="A248" s="75">
        <v>37970</v>
      </c>
      <c r="B248" s="86" t="str">
        <f>TiposLancamentos!B16</f>
        <v>Cristiane</v>
      </c>
      <c r="C248" s="3" t="s">
        <v>14297</v>
      </c>
      <c r="D248" s="63"/>
      <c r="E248" s="98">
        <v>90</v>
      </c>
    </row>
    <row r="249" spans="1:5">
      <c r="A249" s="75">
        <v>37970</v>
      </c>
      <c r="B249" s="86" t="str">
        <f>TiposLancamentos!B71</f>
        <v>Itens Pessoais</v>
      </c>
      <c r="C249" s="3" t="s">
        <v>12888</v>
      </c>
      <c r="D249" s="63"/>
      <c r="E249" s="98">
        <v>530</v>
      </c>
    </row>
    <row r="250" spans="1:5">
      <c r="A250" s="75">
        <v>37971</v>
      </c>
      <c r="B250" s="86" t="str">
        <f>TiposLancamentos!B96</f>
        <v>Resg.Poup.</v>
      </c>
      <c r="C250" s="3" t="s">
        <v>14298</v>
      </c>
      <c r="D250" s="63">
        <v>750</v>
      </c>
      <c r="E250" s="98"/>
    </row>
    <row r="251" spans="1:5">
      <c r="A251" s="75">
        <v>37971</v>
      </c>
      <c r="B251" s="86" t="str">
        <f>TiposLancamentos!B56</f>
        <v>Farmácia</v>
      </c>
      <c r="C251" s="3" t="s">
        <v>14299</v>
      </c>
      <c r="D251" s="63"/>
      <c r="E251" s="98">
        <v>15.79</v>
      </c>
    </row>
    <row r="252" spans="1:5">
      <c r="A252" s="75">
        <v>37971</v>
      </c>
      <c r="B252" s="86" t="str">
        <f>TiposLancamentos!B16</f>
        <v>Cristiane</v>
      </c>
      <c r="C252" s="3" t="s">
        <v>14300</v>
      </c>
      <c r="D252" s="63"/>
      <c r="E252" s="98">
        <v>20</v>
      </c>
    </row>
    <row r="253" spans="1:5">
      <c r="A253" s="75">
        <v>37973</v>
      </c>
      <c r="B253" s="86" t="str">
        <f>TiposLancamentos!B20</f>
        <v>Saques</v>
      </c>
      <c r="C253" s="3" t="s">
        <v>14301</v>
      </c>
      <c r="D253" s="63"/>
      <c r="E253" s="98">
        <v>20</v>
      </c>
    </row>
    <row r="254" spans="1:5">
      <c r="A254" s="75">
        <v>37974</v>
      </c>
      <c r="B254" s="86" t="str">
        <f>TiposLancamentos!B95</f>
        <v>Salarios</v>
      </c>
      <c r="C254" s="3" t="s">
        <v>14302</v>
      </c>
      <c r="D254" s="63">
        <v>85</v>
      </c>
      <c r="E254" s="98"/>
    </row>
    <row r="255" spans="1:5">
      <c r="A255" s="75">
        <v>37974</v>
      </c>
      <c r="B255" s="86" t="str">
        <f>TiposLancamentos!B4</f>
        <v>Taxas Bancarias</v>
      </c>
      <c r="C255" s="3" t="s">
        <v>4976</v>
      </c>
      <c r="D255" s="63"/>
      <c r="E255" s="98">
        <v>3.9</v>
      </c>
    </row>
    <row r="256" spans="1:5">
      <c r="A256" s="75">
        <v>37974</v>
      </c>
      <c r="B256" s="86" t="str">
        <f>TiposLancamentos!B64</f>
        <v>Viagens</v>
      </c>
      <c r="C256" s="3" t="s">
        <v>14303</v>
      </c>
      <c r="D256" s="63"/>
      <c r="E256" s="98">
        <v>100</v>
      </c>
    </row>
    <row r="257" spans="1:5">
      <c r="A257" s="75">
        <v>37977</v>
      </c>
      <c r="B257" s="86" t="str">
        <f>TiposLancamentos!B5</f>
        <v>Supermercado</v>
      </c>
      <c r="C257" s="3" t="s">
        <v>14304</v>
      </c>
      <c r="D257" s="63"/>
      <c r="E257" s="98">
        <v>18.62</v>
      </c>
    </row>
    <row r="258" spans="1:5">
      <c r="A258" s="75">
        <v>37977</v>
      </c>
      <c r="B258" s="86" t="str">
        <f>TiposLancamentos!B64</f>
        <v>Viagens</v>
      </c>
      <c r="C258" s="3" t="s">
        <v>14305</v>
      </c>
      <c r="D258" s="63"/>
      <c r="E258" s="98">
        <v>20</v>
      </c>
    </row>
    <row r="259" spans="1:5">
      <c r="A259" s="75">
        <v>37978</v>
      </c>
      <c r="B259" s="86" t="str">
        <f>TiposLancamentos!B64</f>
        <v>Viagens</v>
      </c>
      <c r="C259" s="3" t="s">
        <v>14306</v>
      </c>
      <c r="D259" s="63"/>
      <c r="E259" s="98">
        <v>20</v>
      </c>
    </row>
    <row r="260" spans="1:5">
      <c r="A260" s="75">
        <v>37978</v>
      </c>
      <c r="B260" s="86" t="str">
        <f>TiposLancamentos!B66</f>
        <v>Faxineira</v>
      </c>
      <c r="C260" s="3" t="s">
        <v>14307</v>
      </c>
      <c r="D260" s="63"/>
      <c r="E260" s="98">
        <v>12</v>
      </c>
    </row>
    <row r="261" spans="1:5">
      <c r="A261" s="75">
        <v>37978</v>
      </c>
      <c r="B261" s="86" t="str">
        <f>TiposLancamentos!B8</f>
        <v>Aluguel</v>
      </c>
      <c r="C261" s="3" t="s">
        <v>14308</v>
      </c>
      <c r="D261" s="63"/>
      <c r="E261" s="98">
        <v>241.91</v>
      </c>
    </row>
    <row r="262" spans="1:5">
      <c r="A262" s="75">
        <v>37979</v>
      </c>
      <c r="B262" s="86" t="str">
        <f>TiposLancamentos!B4</f>
        <v>Taxas Bancarias</v>
      </c>
      <c r="C262" s="3" t="s">
        <v>14309</v>
      </c>
      <c r="D262" s="63"/>
      <c r="E262" s="98">
        <v>0.5</v>
      </c>
    </row>
    <row r="263" spans="1:5">
      <c r="A263" s="75">
        <v>37979</v>
      </c>
      <c r="B263" s="86" t="str">
        <f>TiposLancamentos!B64</f>
        <v>Viagens</v>
      </c>
      <c r="C263" s="3" t="s">
        <v>14310</v>
      </c>
      <c r="D263" s="63"/>
      <c r="E263" s="98">
        <v>20</v>
      </c>
    </row>
    <row r="264" spans="1:5">
      <c r="A264" s="75">
        <v>37981</v>
      </c>
      <c r="B264" s="86" t="str">
        <f>TiposLancamentos!B4</f>
        <v>Taxas Bancarias</v>
      </c>
      <c r="C264" s="3" t="s">
        <v>4976</v>
      </c>
      <c r="D264" s="63"/>
      <c r="E264" s="98">
        <v>1.26</v>
      </c>
    </row>
    <row r="265" spans="1:5">
      <c r="A265" s="75">
        <v>37984</v>
      </c>
      <c r="B265" s="86" t="str">
        <f>TiposLancamentos!B96</f>
        <v>Resg.Poup.</v>
      </c>
      <c r="C265" s="3" t="s">
        <v>14298</v>
      </c>
      <c r="D265" s="63">
        <v>2615</v>
      </c>
      <c r="E265" s="98"/>
    </row>
    <row r="266" spans="1:5">
      <c r="A266" s="75">
        <v>37984</v>
      </c>
      <c r="B266" s="86" t="str">
        <f>TiposLancamentos!B13</f>
        <v>Moradia</v>
      </c>
      <c r="C266" s="3" t="s">
        <v>14311</v>
      </c>
      <c r="D266" s="63"/>
      <c r="E266" s="98">
        <v>26.9</v>
      </c>
    </row>
    <row r="267" spans="1:5">
      <c r="A267" s="75">
        <v>37984</v>
      </c>
      <c r="B267" s="86" t="str">
        <f>TiposLancamentos!B71</f>
        <v>Itens Pessoais</v>
      </c>
      <c r="C267" s="3" t="s">
        <v>14312</v>
      </c>
      <c r="D267" s="63"/>
      <c r="E267" s="98">
        <v>17.899999999999999</v>
      </c>
    </row>
    <row r="268" spans="1:5">
      <c r="A268" s="75">
        <v>37984</v>
      </c>
      <c r="B268" s="86" t="str">
        <f>TiposLancamentos!B5</f>
        <v>Supermercado</v>
      </c>
      <c r="C268" s="3" t="s">
        <v>14313</v>
      </c>
      <c r="D268" s="63"/>
      <c r="E268" s="98">
        <v>21.16</v>
      </c>
    </row>
    <row r="269" spans="1:5">
      <c r="A269" s="75">
        <v>37984</v>
      </c>
      <c r="B269" s="86" t="str">
        <f>TiposLancamentos!B19</f>
        <v>Restaurantes</v>
      </c>
      <c r="C269" s="3" t="s">
        <v>14314</v>
      </c>
      <c r="D269" s="63"/>
      <c r="E269" s="98">
        <v>22.2</v>
      </c>
    </row>
    <row r="270" spans="1:5">
      <c r="A270" s="75">
        <v>37984</v>
      </c>
      <c r="B270" s="86" t="str">
        <f>TiposLancamentos!B16</f>
        <v>Cristiane</v>
      </c>
      <c r="C270" s="3" t="s">
        <v>14315</v>
      </c>
      <c r="D270" s="63"/>
      <c r="E270" s="98">
        <v>10</v>
      </c>
    </row>
    <row r="271" spans="1:5">
      <c r="A271" s="75">
        <v>37985</v>
      </c>
      <c r="B271" s="86" t="str">
        <f>TiposLancamentos!B4</f>
        <v>Taxas Bancarias</v>
      </c>
      <c r="C271" s="3" t="s">
        <v>14309</v>
      </c>
      <c r="D271" s="63"/>
      <c r="E271" s="98">
        <v>0.5</v>
      </c>
    </row>
    <row r="272" spans="1:5">
      <c r="A272" s="75">
        <v>37985</v>
      </c>
      <c r="B272" s="86" t="str">
        <f>TiposLancamentos!B82</f>
        <v>CG Titan 125</v>
      </c>
      <c r="C272" s="3" t="s">
        <v>14316</v>
      </c>
      <c r="D272" s="63"/>
      <c r="E272" s="98">
        <v>2500</v>
      </c>
    </row>
    <row r="273" spans="1:5">
      <c r="A273" s="75">
        <v>37985</v>
      </c>
      <c r="B273" s="86" t="str">
        <f>TiposLancamentos!B74</f>
        <v>Noite</v>
      </c>
      <c r="C273" s="3" t="s">
        <v>14317</v>
      </c>
      <c r="D273" s="63"/>
      <c r="E273" s="98">
        <v>10</v>
      </c>
    </row>
    <row r="274" spans="1:5">
      <c r="A274" s="75">
        <v>37985</v>
      </c>
      <c r="B274" s="86" t="str">
        <f>TiposLancamentos!B5</f>
        <v>Supermercado</v>
      </c>
      <c r="C274" s="3" t="s">
        <v>14318</v>
      </c>
      <c r="D274" s="63"/>
      <c r="E274" s="98">
        <v>17.34</v>
      </c>
    </row>
    <row r="275" spans="1:5">
      <c r="A275" s="75">
        <v>37986</v>
      </c>
      <c r="B275" s="86" t="str">
        <f>TiposLancamentos!B82</f>
        <v>CG Titan 125</v>
      </c>
      <c r="C275" s="3" t="s">
        <v>14319</v>
      </c>
      <c r="D275" s="63"/>
      <c r="E275" s="98">
        <v>40</v>
      </c>
    </row>
    <row r="276" spans="1:5">
      <c r="A276" s="75">
        <v>37986</v>
      </c>
      <c r="B276" s="86" t="str">
        <f>TiposLancamentos!B74</f>
        <v>Noite</v>
      </c>
      <c r="C276" s="3" t="s">
        <v>14320</v>
      </c>
      <c r="D276" s="63"/>
      <c r="E276" s="98">
        <v>10</v>
      </c>
    </row>
    <row r="277" spans="1:5">
      <c r="A277" s="83"/>
      <c r="B277" s="91"/>
      <c r="C277" s="92" t="s">
        <v>14321</v>
      </c>
      <c r="D277" s="93"/>
      <c r="E277" s="94"/>
    </row>
    <row r="278" spans="1:5">
      <c r="A278" s="75">
        <v>37988</v>
      </c>
      <c r="B278" s="86" t="str">
        <f>TiposLancamentos!B4</f>
        <v>Taxas Bancarias</v>
      </c>
      <c r="C278" s="3" t="s">
        <v>14322</v>
      </c>
      <c r="D278" s="63"/>
      <c r="E278" s="98">
        <v>0.08</v>
      </c>
    </row>
    <row r="279" spans="1:5">
      <c r="A279" s="75">
        <v>37988</v>
      </c>
      <c r="B279" s="86" t="str">
        <f>TiposLancamentos!B4</f>
        <v>Taxas Bancarias</v>
      </c>
      <c r="C279" s="3" t="s">
        <v>14323</v>
      </c>
      <c r="D279" s="63"/>
      <c r="E279" s="98">
        <v>5.84</v>
      </c>
    </row>
    <row r="280" spans="1:5">
      <c r="A280" s="75">
        <v>37988</v>
      </c>
      <c r="B280" s="86" t="str">
        <f>TiposLancamentos!B4</f>
        <v>Taxas Bancarias</v>
      </c>
      <c r="C280" s="3" t="s">
        <v>4976</v>
      </c>
      <c r="D280" s="63"/>
      <c r="E280" s="98">
        <v>10.01</v>
      </c>
    </row>
    <row r="281" spans="1:5">
      <c r="A281" s="75">
        <v>37991</v>
      </c>
      <c r="B281" s="86" t="str">
        <f>TiposLancamentos!B20</f>
        <v>Saques</v>
      </c>
      <c r="C281" s="3" t="s">
        <v>14324</v>
      </c>
      <c r="D281" s="63"/>
      <c r="E281" s="98">
        <v>10</v>
      </c>
    </row>
    <row r="282" spans="1:5">
      <c r="A282" s="75">
        <v>37991</v>
      </c>
      <c r="B282" s="86" t="str">
        <f>TiposLancamentos!B20</f>
        <v>Saques</v>
      </c>
      <c r="C282" s="3" t="s">
        <v>14325</v>
      </c>
      <c r="D282" s="63"/>
      <c r="E282" s="98">
        <v>20</v>
      </c>
    </row>
    <row r="283" spans="1:5">
      <c r="A283" s="75">
        <v>37991</v>
      </c>
      <c r="B283" s="86" t="str">
        <f>TiposLancamentos!B3</f>
        <v>Internet</v>
      </c>
      <c r="C283" s="3" t="s">
        <v>14326</v>
      </c>
      <c r="D283" s="63"/>
      <c r="E283" s="98">
        <v>49.5</v>
      </c>
    </row>
    <row r="284" spans="1:5">
      <c r="A284" s="75">
        <v>37991</v>
      </c>
      <c r="B284" s="86" t="str">
        <f>TiposLancamentos!B15</f>
        <v>Cartões de Crédito</v>
      </c>
      <c r="C284" s="3" t="s">
        <v>14327</v>
      </c>
      <c r="D284" s="63"/>
      <c r="E284" s="98">
        <v>53.64</v>
      </c>
    </row>
    <row r="285" spans="1:5">
      <c r="A285" s="75">
        <v>37991</v>
      </c>
      <c r="B285" s="86" t="str">
        <f>TiposLancamentos!B4</f>
        <v>Taxas Bancarias</v>
      </c>
      <c r="C285" s="3" t="s">
        <v>14328</v>
      </c>
      <c r="D285" s="63"/>
      <c r="E285" s="98">
        <v>5.95</v>
      </c>
    </row>
    <row r="286" spans="1:5">
      <c r="A286" s="75">
        <v>37991</v>
      </c>
      <c r="B286" s="86" t="str">
        <f>TiposLancamentos!B20</f>
        <v>Saques</v>
      </c>
      <c r="C286" s="3" t="s">
        <v>14329</v>
      </c>
      <c r="D286" s="63"/>
      <c r="E286" s="98">
        <v>10</v>
      </c>
    </row>
    <row r="287" spans="1:5">
      <c r="A287" s="75">
        <v>37991</v>
      </c>
      <c r="B287" s="86" t="str">
        <f>TiposLancamentos!B5</f>
        <v>Supermercado</v>
      </c>
      <c r="C287" s="3" t="s">
        <v>14330</v>
      </c>
      <c r="D287" s="63"/>
      <c r="E287" s="98">
        <v>25.36</v>
      </c>
    </row>
    <row r="288" spans="1:5">
      <c r="A288" s="75">
        <v>37992</v>
      </c>
      <c r="B288" s="86" t="str">
        <f>TiposLancamentos!B20</f>
        <v>Saques</v>
      </c>
      <c r="C288" s="3" t="s">
        <v>14331</v>
      </c>
      <c r="D288" s="63"/>
      <c r="E288" s="98">
        <v>10</v>
      </c>
    </row>
    <row r="289" spans="1:5">
      <c r="A289" s="75">
        <v>37993</v>
      </c>
      <c r="B289" s="86" t="str">
        <f>TiposLancamentos!B6</f>
        <v>Energia Eletrica</v>
      </c>
      <c r="C289" s="3" t="s">
        <v>14293</v>
      </c>
      <c r="D289" s="63"/>
      <c r="E289" s="98">
        <v>44.14</v>
      </c>
    </row>
    <row r="290" spans="1:5">
      <c r="A290" s="75">
        <v>37994</v>
      </c>
      <c r="B290" s="86" t="str">
        <f>TiposLancamentos!B95</f>
        <v>Salarios</v>
      </c>
      <c r="C290" s="3" t="s">
        <v>14332</v>
      </c>
      <c r="D290" s="63">
        <v>878</v>
      </c>
      <c r="E290" s="98"/>
    </row>
    <row r="291" spans="1:5">
      <c r="A291" s="75">
        <v>37994</v>
      </c>
      <c r="B291" s="86" t="str">
        <f>TiposLancamentos!B20</f>
        <v>Saques</v>
      </c>
      <c r="C291" s="3" t="s">
        <v>14333</v>
      </c>
      <c r="D291" s="63"/>
      <c r="E291" s="98">
        <v>20</v>
      </c>
    </row>
    <row r="292" spans="1:5">
      <c r="A292" s="75">
        <v>37994</v>
      </c>
      <c r="B292" s="86" t="str">
        <f>TiposLancamentos!B66</f>
        <v>Faxineira</v>
      </c>
      <c r="C292" s="3" t="s">
        <v>14334</v>
      </c>
      <c r="D292" s="63"/>
      <c r="E292" s="98">
        <v>100</v>
      </c>
    </row>
    <row r="293" spans="1:5">
      <c r="A293" s="75">
        <v>37995</v>
      </c>
      <c r="B293" s="86" t="str">
        <f>TiposLancamentos!B4</f>
        <v>Taxas Bancarias</v>
      </c>
      <c r="C293" s="3" t="s">
        <v>4976</v>
      </c>
      <c r="D293" s="63"/>
      <c r="E293" s="98">
        <v>1.01</v>
      </c>
    </row>
    <row r="294" spans="1:5">
      <c r="A294" s="75">
        <v>37995</v>
      </c>
      <c r="B294" s="86" t="str">
        <f>TiposLancamentos!B4</f>
        <v>Taxas Bancarias</v>
      </c>
      <c r="C294" s="3" t="s">
        <v>14255</v>
      </c>
      <c r="D294" s="63"/>
      <c r="E294" s="98">
        <v>1.5</v>
      </c>
    </row>
    <row r="295" spans="1:5">
      <c r="A295" s="75">
        <v>37995</v>
      </c>
      <c r="B295" s="86" t="str">
        <f>TiposLancamentos!B5</f>
        <v>Supermercado</v>
      </c>
      <c r="C295" s="3" t="s">
        <v>14335</v>
      </c>
      <c r="D295" s="63"/>
      <c r="E295" s="98">
        <v>21.56</v>
      </c>
    </row>
    <row r="296" spans="1:5">
      <c r="A296" s="75">
        <v>37998</v>
      </c>
      <c r="B296" s="86" t="str">
        <f>TiposLancamentos!B9</f>
        <v>Condominio</v>
      </c>
      <c r="C296" s="3" t="s">
        <v>1684</v>
      </c>
      <c r="D296" s="63"/>
      <c r="E296" s="98">
        <v>78.88</v>
      </c>
    </row>
    <row r="297" spans="1:5">
      <c r="A297" s="75">
        <v>37998</v>
      </c>
      <c r="B297" s="86" t="str">
        <f>TiposLancamentos!B19</f>
        <v>Restaurantes</v>
      </c>
      <c r="C297" s="3" t="s">
        <v>14336</v>
      </c>
      <c r="D297" s="63"/>
      <c r="E297" s="98">
        <v>4.88</v>
      </c>
    </row>
    <row r="298" spans="1:5">
      <c r="A298" s="75">
        <v>37998</v>
      </c>
      <c r="B298" s="86" t="str">
        <f>TiposLancamentos!B20</f>
        <v>Saques</v>
      </c>
      <c r="C298" s="3" t="s">
        <v>14337</v>
      </c>
      <c r="D298" s="63"/>
      <c r="E298" s="98">
        <v>10</v>
      </c>
    </row>
    <row r="299" spans="1:5">
      <c r="A299" s="75">
        <v>38001</v>
      </c>
      <c r="B299" s="86" t="str">
        <f>TiposLancamentos!B5</f>
        <v>Supermercado</v>
      </c>
      <c r="C299" s="3" t="s">
        <v>14338</v>
      </c>
      <c r="D299" s="63"/>
      <c r="E299" s="98">
        <v>10.42</v>
      </c>
    </row>
    <row r="300" spans="1:5">
      <c r="A300" s="75">
        <v>38001</v>
      </c>
      <c r="B300" s="86" t="str">
        <f>TiposLancamentos!B20</f>
        <v>Saques</v>
      </c>
      <c r="C300" s="3" t="s">
        <v>14339</v>
      </c>
      <c r="D300" s="63"/>
      <c r="E300" s="98">
        <v>10</v>
      </c>
    </row>
    <row r="301" spans="1:5">
      <c r="A301" s="75">
        <v>38002</v>
      </c>
      <c r="B301" s="86" t="str">
        <f>TiposLancamentos!B4</f>
        <v>Taxas Bancarias</v>
      </c>
      <c r="C301" s="3" t="s">
        <v>4976</v>
      </c>
      <c r="D301" s="63"/>
      <c r="E301" s="98">
        <v>1.81</v>
      </c>
    </row>
    <row r="302" spans="1:5">
      <c r="A302" s="75">
        <v>38002</v>
      </c>
      <c r="B302" s="86" t="str">
        <f>TiposLancamentos!B64</f>
        <v>Viagens</v>
      </c>
      <c r="C302" s="3" t="s">
        <v>14340</v>
      </c>
      <c r="D302" s="63"/>
      <c r="E302" s="98">
        <v>80</v>
      </c>
    </row>
    <row r="303" spans="1:5">
      <c r="A303" s="75">
        <v>38002</v>
      </c>
      <c r="B303" s="86" t="str">
        <f>TiposLancamentos!B64</f>
        <v>Viagens</v>
      </c>
      <c r="C303" s="3" t="s">
        <v>14341</v>
      </c>
      <c r="D303" s="63"/>
      <c r="E303" s="98">
        <v>40</v>
      </c>
    </row>
    <row r="304" spans="1:5">
      <c r="A304" s="75">
        <v>38005</v>
      </c>
      <c r="B304" s="86" t="str">
        <f>TiposLancamentos!B20</f>
        <v>Saques</v>
      </c>
      <c r="C304" s="3" t="s">
        <v>14342</v>
      </c>
      <c r="D304" s="63"/>
      <c r="E304" s="98">
        <v>20</v>
      </c>
    </row>
    <row r="305" spans="1:5">
      <c r="A305" s="75">
        <v>38005</v>
      </c>
      <c r="B305" s="86" t="str">
        <f>TiposLancamentos!B59</f>
        <v>Documentos</v>
      </c>
      <c r="C305" s="3" t="s">
        <v>14343</v>
      </c>
      <c r="D305" s="63"/>
      <c r="E305" s="98">
        <v>100</v>
      </c>
    </row>
    <row r="306" spans="1:5">
      <c r="A306" s="75">
        <v>38005</v>
      </c>
      <c r="B306" s="86" t="str">
        <f>TiposLancamentos!B19</f>
        <v>Restaurantes</v>
      </c>
      <c r="C306" s="3" t="s">
        <v>14344</v>
      </c>
      <c r="D306" s="63"/>
      <c r="E306" s="98">
        <v>9.1999999999999993</v>
      </c>
    </row>
    <row r="307" spans="1:5">
      <c r="A307" s="75">
        <v>38005</v>
      </c>
      <c r="B307" s="86" t="str">
        <f>TiposLancamentos!B19</f>
        <v>Restaurantes</v>
      </c>
      <c r="C307" s="3" t="s">
        <v>14345</v>
      </c>
      <c r="D307" s="63"/>
      <c r="E307" s="98">
        <v>9.65</v>
      </c>
    </row>
    <row r="308" spans="1:5">
      <c r="A308" s="75">
        <v>38005</v>
      </c>
      <c r="B308" s="86" t="str">
        <f>TiposLancamentos!B20</f>
        <v>Saques</v>
      </c>
      <c r="C308" s="3" t="s">
        <v>14346</v>
      </c>
      <c r="D308" s="63"/>
      <c r="E308" s="98">
        <v>20</v>
      </c>
    </row>
    <row r="309" spans="1:5">
      <c r="A309" s="75">
        <v>38007</v>
      </c>
      <c r="B309" s="86" t="str">
        <f>TiposLancamentos!B8</f>
        <v>Aluguel</v>
      </c>
      <c r="C309" s="3" t="s">
        <v>14347</v>
      </c>
      <c r="D309" s="63"/>
      <c r="E309" s="98">
        <v>242.83</v>
      </c>
    </row>
    <row r="310" spans="1:5">
      <c r="A310" s="75">
        <v>38007</v>
      </c>
      <c r="B310" s="86" t="str">
        <f>TiposLancamentos!B5</f>
        <v>Supermercado</v>
      </c>
      <c r="C310" s="3" t="s">
        <v>14348</v>
      </c>
      <c r="D310" s="63"/>
      <c r="E310" s="98">
        <v>25.9</v>
      </c>
    </row>
    <row r="311" spans="1:5">
      <c r="A311" s="75">
        <v>38009</v>
      </c>
      <c r="B311" s="86" t="str">
        <f>TiposLancamentos!B4</f>
        <v>Taxas Bancarias</v>
      </c>
      <c r="C311" s="3" t="s">
        <v>4976</v>
      </c>
      <c r="D311" s="63"/>
      <c r="E311" s="98">
        <v>2.1</v>
      </c>
    </row>
    <row r="312" spans="1:5">
      <c r="A312" s="75">
        <v>38012</v>
      </c>
      <c r="B312" s="86" t="str">
        <f>TiposLancamentos!B4</f>
        <v>Taxas Bancarias</v>
      </c>
      <c r="C312" s="3" t="s">
        <v>14349</v>
      </c>
      <c r="D312" s="63"/>
      <c r="E312" s="98">
        <v>11.8</v>
      </c>
    </row>
    <row r="313" spans="1:5">
      <c r="A313" s="75">
        <v>38012</v>
      </c>
      <c r="B313" s="86" t="str">
        <f>TiposLancamentos!B68</f>
        <v>Bombas</v>
      </c>
      <c r="C313" s="3" t="s">
        <v>14350</v>
      </c>
      <c r="D313" s="63"/>
      <c r="E313" s="98">
        <v>52</v>
      </c>
    </row>
    <row r="314" spans="1:5">
      <c r="A314" s="75">
        <v>38012</v>
      </c>
      <c r="B314" s="86" t="str">
        <f>TiposLancamentos!B20</f>
        <v>Saques</v>
      </c>
      <c r="C314" s="3" t="s">
        <v>14351</v>
      </c>
      <c r="D314" s="63"/>
      <c r="E314" s="98">
        <v>20</v>
      </c>
    </row>
    <row r="315" spans="1:5">
      <c r="A315" s="75">
        <v>38012</v>
      </c>
      <c r="B315" s="86" t="str">
        <f>TiposLancamentos!B20</f>
        <v>Saques</v>
      </c>
      <c r="C315" s="3" t="s">
        <v>14351</v>
      </c>
      <c r="D315" s="63"/>
      <c r="E315" s="98">
        <v>20</v>
      </c>
    </row>
    <row r="316" spans="1:5">
      <c r="A316" s="75">
        <v>38012</v>
      </c>
      <c r="B316" s="86" t="str">
        <f>TiposLancamentos!B20</f>
        <v>Saques</v>
      </c>
      <c r="C316" s="3" t="s">
        <v>14351</v>
      </c>
      <c r="D316" s="63"/>
      <c r="E316" s="98">
        <v>20</v>
      </c>
    </row>
    <row r="317" spans="1:5">
      <c r="A317" s="75">
        <v>38012</v>
      </c>
      <c r="B317" s="86" t="str">
        <f>TiposLancamentos!B20</f>
        <v>Saques</v>
      </c>
      <c r="C317" s="3" t="s">
        <v>14352</v>
      </c>
      <c r="D317" s="63"/>
      <c r="E317" s="98">
        <v>10</v>
      </c>
    </row>
    <row r="318" spans="1:5">
      <c r="A318" s="75">
        <v>38012</v>
      </c>
      <c r="B318" s="86" t="str">
        <f>TiposLancamentos!B20</f>
        <v>Saques</v>
      </c>
      <c r="C318" s="3" t="s">
        <v>14352</v>
      </c>
      <c r="D318" s="63"/>
      <c r="E318" s="98">
        <v>10</v>
      </c>
    </row>
    <row r="319" spans="1:5">
      <c r="A319" s="75">
        <v>38013</v>
      </c>
      <c r="B319" s="86" t="str">
        <f>TiposLancamentos!B98</f>
        <v>Restituições</v>
      </c>
      <c r="C319" s="3" t="s">
        <v>14353</v>
      </c>
      <c r="D319" s="63">
        <v>20</v>
      </c>
      <c r="E319" s="98"/>
    </row>
    <row r="320" spans="1:5">
      <c r="A320" s="75">
        <v>38013</v>
      </c>
      <c r="B320" s="86" t="str">
        <f>TiposLancamentos!B98</f>
        <v>Restituições</v>
      </c>
      <c r="C320" s="3" t="s">
        <v>14353</v>
      </c>
      <c r="D320" s="63">
        <v>20</v>
      </c>
      <c r="E320" s="98"/>
    </row>
    <row r="321" spans="1:5">
      <c r="A321" s="75">
        <v>38013</v>
      </c>
      <c r="B321" s="86" t="str">
        <f>TiposLancamentos!B98</f>
        <v>Restituições</v>
      </c>
      <c r="C321" s="3" t="s">
        <v>14353</v>
      </c>
      <c r="D321" s="63">
        <v>10</v>
      </c>
      <c r="E321" s="98"/>
    </row>
    <row r="322" spans="1:5">
      <c r="A322" s="75">
        <v>38013</v>
      </c>
      <c r="B322" s="86" t="str">
        <f>TiposLancamentos!B2</f>
        <v>Telefonia</v>
      </c>
      <c r="C322" s="3" t="s">
        <v>14354</v>
      </c>
      <c r="D322" s="63"/>
      <c r="E322" s="98">
        <v>25</v>
      </c>
    </row>
    <row r="323" spans="1:5">
      <c r="A323" s="75">
        <v>38014</v>
      </c>
      <c r="B323" s="86" t="str">
        <f>TiposLancamentos!B5</f>
        <v>Supermercado</v>
      </c>
      <c r="C323" s="3" t="s">
        <v>14355</v>
      </c>
      <c r="D323" s="63"/>
      <c r="E323" s="98">
        <v>26.75</v>
      </c>
    </row>
    <row r="324" spans="1:5">
      <c r="A324" s="75">
        <v>38014</v>
      </c>
      <c r="B324" s="86" t="str">
        <f>TiposLancamentos!B83</f>
        <v>Artigos Moto</v>
      </c>
      <c r="C324" s="3" t="s">
        <v>14356</v>
      </c>
      <c r="D324" s="63"/>
      <c r="E324" s="98">
        <v>55</v>
      </c>
    </row>
    <row r="325" spans="1:5">
      <c r="A325" s="75">
        <v>38015</v>
      </c>
      <c r="B325" s="86" t="str">
        <f>TiposLancamentos!B2</f>
        <v>Telefonia</v>
      </c>
      <c r="C325" s="3" t="s">
        <v>14357</v>
      </c>
      <c r="D325" s="63"/>
      <c r="E325" s="98">
        <v>156.71</v>
      </c>
    </row>
    <row r="326" spans="1:5">
      <c r="A326" s="75">
        <v>38016</v>
      </c>
      <c r="B326" s="86" t="str">
        <f>TiposLancamentos!B98</f>
        <v>Restituições</v>
      </c>
      <c r="C326" s="3" t="s">
        <v>14358</v>
      </c>
      <c r="D326" s="63">
        <v>0.17</v>
      </c>
      <c r="E326" s="98"/>
    </row>
    <row r="327" spans="1:5">
      <c r="A327" s="75">
        <v>38016</v>
      </c>
      <c r="B327" s="86" t="str">
        <f>TiposLancamentos!B98</f>
        <v>Restituições</v>
      </c>
      <c r="C327" s="3" t="s">
        <v>14358</v>
      </c>
      <c r="D327" s="63">
        <v>0.19</v>
      </c>
      <c r="E327" s="98"/>
    </row>
    <row r="328" spans="1:5">
      <c r="A328" s="75">
        <v>38016</v>
      </c>
      <c r="B328" s="86" t="str">
        <f>TiposLancamentos!B4</f>
        <v>Taxas Bancarias</v>
      </c>
      <c r="C328" s="3" t="s">
        <v>4976</v>
      </c>
      <c r="D328" s="63"/>
      <c r="E328" s="98">
        <v>0.98</v>
      </c>
    </row>
    <row r="329" spans="1:5">
      <c r="A329" s="83"/>
      <c r="B329" s="91"/>
      <c r="C329" s="92" t="s">
        <v>14359</v>
      </c>
      <c r="D329" s="93"/>
      <c r="E329" s="94"/>
    </row>
    <row r="330" spans="1:5">
      <c r="A330" s="75">
        <v>38018</v>
      </c>
      <c r="B330" s="86" t="str">
        <f>TiposLancamentos!B76</f>
        <v>Motel</v>
      </c>
      <c r="C330" s="3" t="s">
        <v>14360</v>
      </c>
      <c r="D330" s="63"/>
      <c r="E330" s="98">
        <v>20</v>
      </c>
    </row>
    <row r="331" spans="1:5">
      <c r="A331" s="75">
        <v>38019</v>
      </c>
      <c r="B331" s="86" t="str">
        <f>TiposLancamentos!B98</f>
        <v>Restituições</v>
      </c>
      <c r="C331" s="3" t="s">
        <v>14361</v>
      </c>
      <c r="D331" s="63">
        <v>0.2</v>
      </c>
      <c r="E331" s="98"/>
    </row>
    <row r="332" spans="1:5">
      <c r="A332" s="75">
        <v>38019</v>
      </c>
      <c r="B332" s="86" t="str">
        <f>TiposLancamentos!B4</f>
        <v>Taxas Bancarias</v>
      </c>
      <c r="C332" s="3" t="s">
        <v>14322</v>
      </c>
      <c r="D332" s="63"/>
      <c r="E332" s="98">
        <v>0.17</v>
      </c>
    </row>
    <row r="333" spans="1:5">
      <c r="A333" s="75">
        <v>38019</v>
      </c>
      <c r="B333" s="86" t="str">
        <f>TiposLancamentos!B4</f>
        <v>Taxas Bancarias</v>
      </c>
      <c r="C333" s="3" t="s">
        <v>14323</v>
      </c>
      <c r="D333" s="63"/>
      <c r="E333" s="98">
        <v>15.04</v>
      </c>
    </row>
    <row r="334" spans="1:5">
      <c r="A334" s="75">
        <v>38019</v>
      </c>
      <c r="B334" s="86" t="str">
        <f>TiposLancamentos!B2</f>
        <v>Telefonia</v>
      </c>
      <c r="C334" s="3" t="s">
        <v>14357</v>
      </c>
      <c r="D334" s="63"/>
      <c r="E334" s="98">
        <v>267.14</v>
      </c>
    </row>
    <row r="335" spans="1:5">
      <c r="A335" s="75">
        <v>38019</v>
      </c>
      <c r="B335" s="86" t="str">
        <f>TiposLancamentos!B64</f>
        <v>Viagens</v>
      </c>
      <c r="C335" s="3" t="s">
        <v>14362</v>
      </c>
      <c r="D335" s="63"/>
      <c r="E335" s="98">
        <v>20</v>
      </c>
    </row>
    <row r="336" spans="1:5">
      <c r="A336" s="75">
        <v>38019</v>
      </c>
      <c r="B336" s="86" t="str">
        <f>TiposLancamentos!B64</f>
        <v>Viagens</v>
      </c>
      <c r="C336" s="3" t="s">
        <v>14363</v>
      </c>
      <c r="D336" s="63"/>
      <c r="E336" s="98">
        <v>20</v>
      </c>
    </row>
    <row r="337" spans="1:5">
      <c r="A337" s="75">
        <v>38020</v>
      </c>
      <c r="B337" s="86" t="str">
        <f>TiposLancamentos!B97</f>
        <v>Deposito Terc.</v>
      </c>
      <c r="C337" s="3" t="s">
        <v>14364</v>
      </c>
      <c r="D337" s="63">
        <v>684.32</v>
      </c>
      <c r="E337" s="98"/>
    </row>
    <row r="338" spans="1:5">
      <c r="A338" s="75">
        <v>38020</v>
      </c>
      <c r="B338" s="86" t="str">
        <f>TiposLancamentos!B66</f>
        <v>Faxineira</v>
      </c>
      <c r="C338" s="3" t="s">
        <v>14365</v>
      </c>
      <c r="D338" s="63"/>
      <c r="E338" s="98">
        <v>90</v>
      </c>
    </row>
    <row r="339" spans="1:5">
      <c r="A339" s="75">
        <v>38021</v>
      </c>
      <c r="B339" s="86" t="str">
        <f>TiposLancamentos!B5</f>
        <v>Supermercado</v>
      </c>
      <c r="C339" s="3" t="s">
        <v>14366</v>
      </c>
      <c r="D339" s="63"/>
      <c r="E339" s="98">
        <v>20.149999999999999</v>
      </c>
    </row>
    <row r="340" spans="1:5">
      <c r="A340" s="75">
        <v>38022</v>
      </c>
      <c r="B340" s="86" t="str">
        <f>TiposLancamentos!B3</f>
        <v>Internet</v>
      </c>
      <c r="C340" s="3" t="s">
        <v>14326</v>
      </c>
      <c r="D340" s="63"/>
      <c r="E340" s="98">
        <v>49.5</v>
      </c>
    </row>
    <row r="341" spans="1:5">
      <c r="A341" s="75">
        <v>38022</v>
      </c>
      <c r="B341" s="86" t="str">
        <f>TiposLancamentos!B15</f>
        <v>Cartões de Crédito</v>
      </c>
      <c r="C341" s="3" t="s">
        <v>14327</v>
      </c>
      <c r="D341" s="63"/>
      <c r="E341" s="98">
        <v>212.96</v>
      </c>
    </row>
    <row r="342" spans="1:5">
      <c r="A342" s="75">
        <v>38023</v>
      </c>
      <c r="B342" s="86" t="str">
        <f>TiposLancamentos!B95</f>
        <v>Salarios</v>
      </c>
      <c r="C342" s="3" t="s">
        <v>14332</v>
      </c>
      <c r="D342" s="63">
        <v>1037</v>
      </c>
      <c r="E342" s="98"/>
    </row>
    <row r="343" spans="1:5">
      <c r="A343" s="75">
        <v>38023</v>
      </c>
      <c r="B343" s="86" t="str">
        <f>TiposLancamentos!B19</f>
        <v>Restaurantes</v>
      </c>
      <c r="C343" s="3" t="s">
        <v>14367</v>
      </c>
      <c r="D343" s="63"/>
      <c r="E343" s="98">
        <v>92.45</v>
      </c>
    </row>
    <row r="344" spans="1:5">
      <c r="A344" s="75">
        <v>38023</v>
      </c>
      <c r="B344" s="86" t="str">
        <f>TiposLancamentos!B4</f>
        <v>Taxas Bancarias</v>
      </c>
      <c r="C344" s="3" t="s">
        <v>5065</v>
      </c>
      <c r="D344" s="63"/>
      <c r="E344" s="98">
        <v>4.45</v>
      </c>
    </row>
    <row r="345" spans="1:5">
      <c r="A345" s="75">
        <v>38023</v>
      </c>
      <c r="B345" s="86" t="str">
        <f>TiposLancamentos!B4</f>
        <v>Taxas Bancarias</v>
      </c>
      <c r="C345" s="3" t="s">
        <v>14309</v>
      </c>
      <c r="D345" s="63"/>
      <c r="E345" s="98">
        <v>0.5</v>
      </c>
    </row>
    <row r="346" spans="1:5">
      <c r="A346" s="75">
        <v>38024</v>
      </c>
      <c r="B346" s="86" t="str">
        <f>TiposLancamentos!B71</f>
        <v>Itens Pessoais</v>
      </c>
      <c r="C346" s="3" t="s">
        <v>14368</v>
      </c>
      <c r="D346" s="63"/>
      <c r="E346" s="98">
        <v>20</v>
      </c>
    </row>
    <row r="347" spans="1:5">
      <c r="A347" s="75">
        <v>38024</v>
      </c>
      <c r="B347" s="86" t="str">
        <f>TiposLancamentos!B5</f>
        <v>Supermercado</v>
      </c>
      <c r="C347" s="3" t="s">
        <v>14369</v>
      </c>
      <c r="D347" s="63"/>
      <c r="E347" s="98">
        <v>29.49</v>
      </c>
    </row>
    <row r="348" spans="1:5">
      <c r="A348" s="75">
        <v>38024</v>
      </c>
      <c r="B348" s="86" t="str">
        <f>TiposLancamentos!B6</f>
        <v>Energia Eletrica</v>
      </c>
      <c r="C348" s="3" t="s">
        <v>2522</v>
      </c>
      <c r="D348" s="63"/>
      <c r="E348" s="98">
        <v>46.48</v>
      </c>
    </row>
    <row r="349" spans="1:5">
      <c r="A349" s="75">
        <v>38026</v>
      </c>
      <c r="B349" s="86" t="str">
        <f>TiposLancamentos!B4</f>
        <v>Taxas Bancarias</v>
      </c>
      <c r="C349" s="3" t="str">
        <f>C345</f>
        <v>Tarifa Emis.Cheq.Inf. Ou Igual A R$25</v>
      </c>
      <c r="D349" s="63"/>
      <c r="E349" s="98">
        <v>0.5</v>
      </c>
    </row>
    <row r="350" spans="1:5">
      <c r="A350" s="75">
        <v>38026</v>
      </c>
      <c r="B350" s="86" t="str">
        <f>TiposLancamentos!B4</f>
        <v>Taxas Bancarias</v>
      </c>
      <c r="C350" s="3" t="s">
        <v>14328</v>
      </c>
      <c r="D350" s="63"/>
      <c r="E350" s="98">
        <v>4.47</v>
      </c>
    </row>
    <row r="351" spans="1:5">
      <c r="A351" s="75">
        <v>38027</v>
      </c>
      <c r="B351" s="86" t="str">
        <f>TiposLancamentos!B9</f>
        <v>Condominio</v>
      </c>
      <c r="C351" s="3" t="s">
        <v>1684</v>
      </c>
      <c r="D351" s="63"/>
      <c r="E351" s="98">
        <v>91.71</v>
      </c>
    </row>
    <row r="352" spans="1:5">
      <c r="A352" s="75">
        <v>38027</v>
      </c>
      <c r="B352" s="86" t="str">
        <f>TiposLancamentos!B2</f>
        <v>Telefonia</v>
      </c>
      <c r="C352" s="3" t="s">
        <v>14370</v>
      </c>
      <c r="D352" s="63"/>
      <c r="E352" s="98">
        <v>41.55</v>
      </c>
    </row>
    <row r="353" spans="1:5">
      <c r="A353" s="75">
        <v>38027</v>
      </c>
      <c r="B353" s="86" t="str">
        <f>TiposLancamentos!B82</f>
        <v>CG Titan 125</v>
      </c>
      <c r="C353" s="3" t="s">
        <v>14371</v>
      </c>
      <c r="D353" s="63"/>
      <c r="E353" s="98">
        <v>133.1</v>
      </c>
    </row>
    <row r="354" spans="1:5">
      <c r="A354" s="75">
        <v>38030</v>
      </c>
      <c r="B354" s="86" t="str">
        <f>TiposLancamentos!B5</f>
        <v>Supermercado</v>
      </c>
      <c r="C354" s="3" t="s">
        <v>14372</v>
      </c>
      <c r="D354" s="63"/>
      <c r="E354" s="98">
        <v>48.91</v>
      </c>
    </row>
    <row r="355" spans="1:5">
      <c r="A355" s="75">
        <v>38030</v>
      </c>
      <c r="B355" s="86" t="str">
        <f>TiposLancamentos!B4</f>
        <v>Taxas Bancarias</v>
      </c>
      <c r="C355" s="3" t="s">
        <v>5065</v>
      </c>
      <c r="D355" s="63"/>
      <c r="E355" s="98">
        <v>4.84</v>
      </c>
    </row>
    <row r="356" spans="1:5">
      <c r="A356" s="75">
        <v>38030</v>
      </c>
      <c r="B356" s="86" t="str">
        <f>TiposLancamentos!B74</f>
        <v>Noite</v>
      </c>
      <c r="C356" s="3" t="s">
        <v>14373</v>
      </c>
      <c r="D356" s="63"/>
      <c r="E356" s="98">
        <v>20</v>
      </c>
    </row>
    <row r="357" spans="1:5">
      <c r="A357" s="75">
        <v>38031</v>
      </c>
      <c r="B357" s="86" t="str">
        <f>TiposLancamentos!B19</f>
        <v>Restaurantes</v>
      </c>
      <c r="C357" s="3" t="s">
        <v>14374</v>
      </c>
      <c r="D357" s="63"/>
      <c r="E357" s="98">
        <v>23</v>
      </c>
    </row>
    <row r="358" spans="1:5">
      <c r="A358" s="75">
        <v>38032</v>
      </c>
      <c r="B358" s="86" t="str">
        <f>TiposLancamentos!B33</f>
        <v>Pedágios</v>
      </c>
      <c r="C358" s="3" t="s">
        <v>14375</v>
      </c>
      <c r="D358" s="63"/>
      <c r="E358" s="98">
        <v>10</v>
      </c>
    </row>
    <row r="359" spans="1:5">
      <c r="A359" s="75">
        <v>38034</v>
      </c>
      <c r="B359" s="86" t="str">
        <f>TiposLancamentos!B97</f>
        <v>Deposito Terc.</v>
      </c>
      <c r="C359" s="3" t="s">
        <v>14376</v>
      </c>
      <c r="D359" s="63">
        <v>156.71</v>
      </c>
      <c r="E359" s="98"/>
    </row>
    <row r="360" spans="1:5">
      <c r="A360" s="75">
        <v>38034</v>
      </c>
      <c r="B360" s="86" t="str">
        <f>TiposLancamentos!B59</f>
        <v>Documentos</v>
      </c>
      <c r="C360" s="3" t="s">
        <v>14377</v>
      </c>
      <c r="D360" s="63"/>
      <c r="E360" s="98">
        <v>150</v>
      </c>
    </row>
    <row r="361" spans="1:5">
      <c r="A361" s="75">
        <v>38035</v>
      </c>
      <c r="B361" s="86" t="str">
        <f>TiposLancamentos!B20</f>
        <v>Saques</v>
      </c>
      <c r="C361" s="3" t="s">
        <v>14378</v>
      </c>
      <c r="D361" s="63"/>
      <c r="E361" s="98">
        <v>10</v>
      </c>
    </row>
    <row r="362" spans="1:5">
      <c r="A362" s="75">
        <v>38033</v>
      </c>
      <c r="B362" s="86" t="str">
        <f>TiposLancamentos!B68</f>
        <v>Bombas</v>
      </c>
      <c r="C362" s="3" t="s">
        <v>14379</v>
      </c>
      <c r="D362" s="63"/>
      <c r="E362" s="98">
        <v>66</v>
      </c>
    </row>
    <row r="363" spans="1:5">
      <c r="A363" s="75">
        <v>38035</v>
      </c>
      <c r="B363" s="86" t="str">
        <f>TiposLancamentos!B4</f>
        <v>Taxas Bancarias</v>
      </c>
      <c r="C363" s="3" t="str">
        <f>C349</f>
        <v>Tarifa Emis.Cheq.Inf. Ou Igual A R$25</v>
      </c>
      <c r="D363" s="63"/>
      <c r="E363" s="98">
        <v>1</v>
      </c>
    </row>
    <row r="364" spans="1:5">
      <c r="A364" s="75">
        <v>38036</v>
      </c>
      <c r="B364" s="86" t="str">
        <f>TiposLancamentos!B59</f>
        <v>Documentos</v>
      </c>
      <c r="C364" s="3" t="s">
        <v>14380</v>
      </c>
      <c r="D364" s="63"/>
      <c r="E364" s="98">
        <v>80</v>
      </c>
    </row>
    <row r="365" spans="1:5">
      <c r="A365" s="75">
        <v>38037</v>
      </c>
      <c r="B365" s="86" t="str">
        <f>TiposLancamentos!B4</f>
        <v>Taxas Bancarias</v>
      </c>
      <c r="C365" s="3" t="s">
        <v>5065</v>
      </c>
      <c r="D365" s="63"/>
      <c r="E365" s="98">
        <v>0.94</v>
      </c>
    </row>
    <row r="366" spans="1:5">
      <c r="A366" s="75">
        <v>38037</v>
      </c>
      <c r="B366" s="86" t="str">
        <f>TiposLancamentos!B8</f>
        <v>Aluguel</v>
      </c>
      <c r="C366" s="3" t="s">
        <v>14381</v>
      </c>
      <c r="D366" s="63"/>
      <c r="E366" s="98">
        <v>238.88</v>
      </c>
    </row>
    <row r="367" spans="1:5">
      <c r="A367" s="75">
        <v>38038</v>
      </c>
      <c r="B367" s="86" t="str">
        <f>TiposLancamentos!B64</f>
        <v>Viagens</v>
      </c>
      <c r="C367" s="3" t="s">
        <v>14382</v>
      </c>
      <c r="D367" s="63"/>
      <c r="E367" s="98">
        <v>40</v>
      </c>
    </row>
    <row r="368" spans="1:5">
      <c r="A368" s="75">
        <v>38042</v>
      </c>
      <c r="B368" s="86" t="str">
        <f>TiposLancamentos!B20</f>
        <v>Saques</v>
      </c>
      <c r="C368" s="3" t="s">
        <v>2668</v>
      </c>
      <c r="D368" s="63"/>
      <c r="E368" s="98">
        <v>10</v>
      </c>
    </row>
    <row r="369" spans="1:5">
      <c r="A369" s="75">
        <v>38042</v>
      </c>
      <c r="B369" s="86" t="str">
        <f>TiposLancamentos!B44</f>
        <v>Academia</v>
      </c>
      <c r="C369" s="3" t="s">
        <v>14383</v>
      </c>
      <c r="D369" s="63"/>
      <c r="E369" s="98">
        <v>70</v>
      </c>
    </row>
    <row r="370" spans="1:5">
      <c r="A370" s="75">
        <v>38043</v>
      </c>
      <c r="B370" s="86" t="str">
        <f>TiposLancamentos!B83</f>
        <v>Artigos Moto</v>
      </c>
      <c r="C370" s="3" t="s">
        <v>14384</v>
      </c>
      <c r="D370" s="63"/>
      <c r="E370" s="98">
        <v>20</v>
      </c>
    </row>
    <row r="371" spans="1:5">
      <c r="A371" s="75">
        <v>38043</v>
      </c>
      <c r="B371" s="86" t="str">
        <f>TiposLancamentos!B5</f>
        <v>Supermercado</v>
      </c>
      <c r="C371" s="3" t="s">
        <v>14385</v>
      </c>
      <c r="D371" s="63"/>
      <c r="E371" s="98">
        <v>57.97</v>
      </c>
    </row>
    <row r="372" spans="1:5">
      <c r="A372" s="75">
        <v>38044</v>
      </c>
      <c r="B372" s="86" t="str">
        <f>TiposLancamentos!B4</f>
        <v>Taxas Bancarias</v>
      </c>
      <c r="C372" s="3" t="s">
        <v>5065</v>
      </c>
      <c r="D372" s="63"/>
      <c r="E372" s="98">
        <v>1.66</v>
      </c>
    </row>
    <row r="373" spans="1:5">
      <c r="A373" s="75">
        <v>38045</v>
      </c>
      <c r="B373" s="86" t="str">
        <f>TiposLancamentos!B20</f>
        <v>Saques</v>
      </c>
      <c r="C373" s="3" t="s">
        <v>2668</v>
      </c>
      <c r="D373" s="63"/>
      <c r="E373" s="98">
        <v>20</v>
      </c>
    </row>
    <row r="374" spans="1:5">
      <c r="A374" s="83"/>
      <c r="B374" s="91"/>
      <c r="C374" s="603" t="s">
        <v>14386</v>
      </c>
      <c r="D374" s="93"/>
      <c r="E374" s="94"/>
    </row>
    <row r="375" spans="1:5">
      <c r="A375" s="75">
        <v>38047</v>
      </c>
      <c r="B375" s="86" t="str">
        <f>TiposLancamentos!B56</f>
        <v>Farmácia</v>
      </c>
      <c r="C375" s="602" t="s">
        <v>14387</v>
      </c>
      <c r="D375" s="63"/>
      <c r="E375" s="98">
        <v>23.61</v>
      </c>
    </row>
    <row r="376" spans="1:5">
      <c r="A376" s="75">
        <v>38047</v>
      </c>
      <c r="B376" s="86" t="str">
        <f>TiposLancamentos!B98</f>
        <v>Restituições</v>
      </c>
      <c r="C376" s="602" t="s">
        <v>14388</v>
      </c>
      <c r="D376" s="63">
        <v>11.8</v>
      </c>
      <c r="E376" s="98"/>
    </row>
    <row r="377" spans="1:5">
      <c r="A377" s="75">
        <v>38047</v>
      </c>
      <c r="B377" s="86" t="str">
        <f>TiposLancamentos!B4</f>
        <v>Taxas Bancarias</v>
      </c>
      <c r="C377" s="602" t="s">
        <v>14322</v>
      </c>
      <c r="D377" s="63"/>
      <c r="E377" s="98">
        <v>0.28000000000000003</v>
      </c>
    </row>
    <row r="378" spans="1:5">
      <c r="A378" s="75">
        <v>38048</v>
      </c>
      <c r="B378" s="86" t="str">
        <f>TiposLancamentos!B56</f>
        <v>Farmácia</v>
      </c>
      <c r="C378" s="602" t="s">
        <v>14389</v>
      </c>
      <c r="D378" s="63"/>
      <c r="E378" s="98">
        <v>25.75</v>
      </c>
    </row>
    <row r="379" spans="1:5">
      <c r="A379" s="75">
        <v>38049</v>
      </c>
      <c r="B379" s="86" t="str">
        <f>TiposLancamentos!B4</f>
        <v>Taxas Bancarias</v>
      </c>
      <c r="C379" s="602" t="str">
        <f>C363</f>
        <v>Tarifa Emis.Cheq.Inf. Ou Igual A R$25</v>
      </c>
      <c r="D379" s="63"/>
      <c r="E379" s="98">
        <v>0.5</v>
      </c>
    </row>
    <row r="380" spans="1:5">
      <c r="A380" s="75">
        <v>38050</v>
      </c>
      <c r="B380" s="86" t="str">
        <f>TiposLancamentos!B2</f>
        <v>Telefonia</v>
      </c>
      <c r="C380" s="602" t="s">
        <v>14390</v>
      </c>
      <c r="D380" s="63"/>
      <c r="E380" s="98">
        <v>50.25</v>
      </c>
    </row>
    <row r="381" spans="1:5">
      <c r="A381" s="75">
        <v>38051</v>
      </c>
      <c r="B381" s="86" t="str">
        <f>TiposLancamentos!B98</f>
        <v>Restituições</v>
      </c>
      <c r="C381" s="602" t="s">
        <v>14391</v>
      </c>
      <c r="D381" s="63">
        <v>0.04</v>
      </c>
      <c r="E381" s="98"/>
    </row>
    <row r="382" spans="1:5">
      <c r="A382" s="75">
        <v>38051</v>
      </c>
      <c r="B382" s="86" t="str">
        <f>TiposLancamentos!B4</f>
        <v>Taxas Bancarias</v>
      </c>
      <c r="C382" s="602" t="s">
        <v>5065</v>
      </c>
      <c r="D382" s="63"/>
      <c r="E382" s="98">
        <v>0.78</v>
      </c>
    </row>
    <row r="383" spans="1:5">
      <c r="A383" s="75">
        <v>38051</v>
      </c>
      <c r="B383" s="86" t="str">
        <f>TiposLancamentos!B15</f>
        <v>Cartões de Crédito</v>
      </c>
      <c r="C383" s="602" t="s">
        <v>14327</v>
      </c>
      <c r="D383" s="63"/>
      <c r="E383" s="98">
        <v>208.68</v>
      </c>
    </row>
    <row r="384" spans="1:5">
      <c r="A384" s="75">
        <v>38051</v>
      </c>
      <c r="B384" s="86" t="str">
        <f>TiposLancamentos!B3</f>
        <v>Internet</v>
      </c>
      <c r="C384" s="602" t="s">
        <v>14326</v>
      </c>
      <c r="D384" s="63"/>
      <c r="E384" s="98">
        <v>49.5</v>
      </c>
    </row>
    <row r="385" spans="1:5">
      <c r="A385" s="75">
        <v>38051</v>
      </c>
      <c r="B385" s="86" t="str">
        <f>TiposLancamentos!B95</f>
        <v>Salarios</v>
      </c>
      <c r="C385" s="602" t="s">
        <v>14392</v>
      </c>
      <c r="D385" s="63">
        <v>1036</v>
      </c>
      <c r="E385" s="98"/>
    </row>
    <row r="386" spans="1:5">
      <c r="A386" s="75">
        <v>38051</v>
      </c>
      <c r="B386" s="86" t="str">
        <f>TiposLancamentos!B4</f>
        <v>Taxas Bancarias</v>
      </c>
      <c r="C386" s="602" t="str">
        <f>C350</f>
        <v>Formula Banco 1 Executiva</v>
      </c>
      <c r="D386" s="63"/>
      <c r="E386" s="98">
        <v>5.95</v>
      </c>
    </row>
    <row r="387" spans="1:5">
      <c r="A387" s="75">
        <v>38052</v>
      </c>
      <c r="B387" s="86" t="str">
        <f>TiposLancamentos!B20</f>
        <v>Saques</v>
      </c>
      <c r="C387" s="602" t="s">
        <v>2668</v>
      </c>
      <c r="D387" s="63"/>
      <c r="E387" s="98">
        <v>20</v>
      </c>
    </row>
    <row r="388" spans="1:5">
      <c r="A388" s="75">
        <v>38053</v>
      </c>
      <c r="B388" s="86" t="str">
        <f>TiposLancamentos!B6</f>
        <v>Energia Eletrica</v>
      </c>
      <c r="C388" s="602" t="s">
        <v>2522</v>
      </c>
      <c r="D388" s="63"/>
      <c r="E388" s="98">
        <v>46.48</v>
      </c>
    </row>
    <row r="389" spans="1:5">
      <c r="A389" s="75">
        <v>38054</v>
      </c>
      <c r="B389" s="86" t="str">
        <f>TiposLancamentos!B19</f>
        <v>Restaurantes</v>
      </c>
      <c r="C389" s="602" t="s">
        <v>14393</v>
      </c>
      <c r="D389" s="63"/>
      <c r="E389" s="98">
        <v>88.67</v>
      </c>
    </row>
    <row r="390" spans="1:5">
      <c r="A390" s="75">
        <v>38055</v>
      </c>
      <c r="B390" s="86" t="str">
        <f>TiposLancamentos!B66</f>
        <v>Faxineira</v>
      </c>
      <c r="C390" s="602" t="s">
        <v>14394</v>
      </c>
      <c r="D390" s="63"/>
      <c r="E390" s="98">
        <v>110</v>
      </c>
    </row>
    <row r="391" spans="1:5">
      <c r="A391" s="75">
        <v>38056</v>
      </c>
      <c r="B391" s="86" t="str">
        <f>TiposLancamentos!B57</f>
        <v>Informática</v>
      </c>
      <c r="C391" s="602" t="s">
        <v>14395</v>
      </c>
      <c r="D391" s="63"/>
      <c r="E391" s="98">
        <v>31.5</v>
      </c>
    </row>
    <row r="392" spans="1:5">
      <c r="A392" s="75">
        <v>38056</v>
      </c>
      <c r="B392" s="86" t="str">
        <f>TiposLancamentos!B9</f>
        <v>Condominio</v>
      </c>
      <c r="C392" s="602" t="s">
        <v>1684</v>
      </c>
      <c r="D392" s="63"/>
      <c r="E392" s="98">
        <v>90.73</v>
      </c>
    </row>
    <row r="393" spans="1:5">
      <c r="A393" s="75">
        <v>38056</v>
      </c>
      <c r="B393" s="86" t="str">
        <f>TiposLancamentos!B77</f>
        <v>Esporádico</v>
      </c>
      <c r="C393" s="3" t="s">
        <v>14396</v>
      </c>
      <c r="D393" s="63"/>
      <c r="E393" s="98">
        <v>20</v>
      </c>
    </row>
    <row r="394" spans="1:5">
      <c r="A394" s="75">
        <v>38056</v>
      </c>
      <c r="B394" s="86" t="str">
        <f>TiposLancamentos!B2</f>
        <v>Telefonia</v>
      </c>
      <c r="C394" s="3" t="s">
        <v>2540</v>
      </c>
      <c r="D394" s="63"/>
      <c r="E394" s="98">
        <v>55.82</v>
      </c>
    </row>
    <row r="395" spans="1:5">
      <c r="A395" s="75">
        <v>38057</v>
      </c>
      <c r="B395" s="86" t="str">
        <f>TiposLancamentos!B82</f>
        <v>CG Titan 125</v>
      </c>
      <c r="C395" s="3" t="s">
        <v>14397</v>
      </c>
      <c r="D395" s="63"/>
      <c r="E395" s="98">
        <v>133.1</v>
      </c>
    </row>
    <row r="396" spans="1:5">
      <c r="A396" s="75">
        <v>38057</v>
      </c>
      <c r="B396" s="86" t="str">
        <f>TiposLancamentos!B98</f>
        <v>Restituições</v>
      </c>
      <c r="C396" s="3" t="s">
        <v>14398</v>
      </c>
      <c r="D396" s="63">
        <v>5.95</v>
      </c>
      <c r="E396" s="98"/>
    </row>
    <row r="397" spans="1:5">
      <c r="A397" s="75">
        <v>38057</v>
      </c>
      <c r="B397" s="86" t="str">
        <f>TiposLancamentos!B98</f>
        <v>Restituições</v>
      </c>
      <c r="C397" s="3" t="s">
        <v>14398</v>
      </c>
      <c r="D397" s="63">
        <v>4.47</v>
      </c>
      <c r="E397" s="98"/>
    </row>
    <row r="398" spans="1:5">
      <c r="A398" s="75">
        <v>38057</v>
      </c>
      <c r="B398" s="86" t="str">
        <f>TiposLancamentos!B98</f>
        <v>Restituições</v>
      </c>
      <c r="C398" s="3" t="s">
        <v>14398</v>
      </c>
      <c r="D398" s="63">
        <v>5.95</v>
      </c>
      <c r="E398" s="98"/>
    </row>
    <row r="399" spans="1:5">
      <c r="A399" s="75">
        <v>38057</v>
      </c>
      <c r="B399" s="86" t="str">
        <f>TiposLancamentos!B98</f>
        <v>Restituições</v>
      </c>
      <c r="C399" s="3" t="s">
        <v>14398</v>
      </c>
      <c r="D399" s="63">
        <v>4.47</v>
      </c>
      <c r="E399" s="98"/>
    </row>
    <row r="400" spans="1:5">
      <c r="A400" s="75">
        <v>38058</v>
      </c>
      <c r="B400" s="86" t="str">
        <f>TiposLancamentos!B4</f>
        <v>Taxas Bancarias</v>
      </c>
      <c r="C400" s="3" t="s">
        <v>5065</v>
      </c>
      <c r="D400" s="63"/>
      <c r="E400" s="98">
        <v>5.47</v>
      </c>
    </row>
    <row r="401" spans="1:5">
      <c r="A401" s="75">
        <v>38058</v>
      </c>
      <c r="B401" s="86" t="str">
        <f>TiposLancamentos!B5</f>
        <v>Supermercado</v>
      </c>
      <c r="C401" s="3" t="s">
        <v>14399</v>
      </c>
      <c r="D401" s="63"/>
      <c r="E401" s="98">
        <v>31.26</v>
      </c>
    </row>
    <row r="402" spans="1:5">
      <c r="A402" s="75">
        <v>38058</v>
      </c>
      <c r="B402" s="86" t="str">
        <f>TiposLancamentos!B19</f>
        <v>Restaurantes</v>
      </c>
      <c r="C402" s="3" t="s">
        <v>14400</v>
      </c>
      <c r="D402" s="63"/>
      <c r="E402" s="98">
        <v>27.4</v>
      </c>
    </row>
    <row r="403" spans="1:5">
      <c r="A403" s="75">
        <v>38060</v>
      </c>
      <c r="B403" s="86" t="str">
        <f>TiposLancamentos!B20</f>
        <v>Saques</v>
      </c>
      <c r="C403" s="3" t="s">
        <v>2668</v>
      </c>
      <c r="D403" s="63"/>
      <c r="E403" s="98">
        <v>10</v>
      </c>
    </row>
    <row r="404" spans="1:5">
      <c r="A404" s="75">
        <v>38063</v>
      </c>
      <c r="B404" s="86" t="str">
        <f>TiposLancamentos!B68</f>
        <v>Bombas</v>
      </c>
      <c r="C404" s="3" t="s">
        <v>14401</v>
      </c>
      <c r="D404" s="63"/>
      <c r="E404" s="98">
        <v>54</v>
      </c>
    </row>
    <row r="405" spans="1:5">
      <c r="A405" s="75">
        <v>38065</v>
      </c>
      <c r="B405" s="86" t="str">
        <f>TiposLancamentos!B4</f>
        <v>Taxas Bancarias</v>
      </c>
      <c r="C405" s="3" t="s">
        <v>5065</v>
      </c>
      <c r="D405" s="63"/>
      <c r="E405" s="98">
        <v>0.97</v>
      </c>
    </row>
    <row r="406" spans="1:5">
      <c r="A406" s="75">
        <v>38065</v>
      </c>
      <c r="B406" s="86" t="str">
        <f>TiposLancamentos!B19</f>
        <v>Restaurantes</v>
      </c>
      <c r="C406" s="3" t="s">
        <v>14402</v>
      </c>
      <c r="D406" s="63"/>
      <c r="E406" s="98">
        <v>23.43</v>
      </c>
    </row>
    <row r="407" spans="1:5">
      <c r="A407" s="75">
        <v>38066</v>
      </c>
      <c r="B407" s="86" t="str">
        <f>TiposLancamentos!B82</f>
        <v>CG Titan 125</v>
      </c>
      <c r="C407" s="3" t="s">
        <v>14403</v>
      </c>
      <c r="D407" s="63"/>
      <c r="E407" s="98">
        <v>49</v>
      </c>
    </row>
    <row r="408" spans="1:5">
      <c r="A408" s="75">
        <v>38066</v>
      </c>
      <c r="B408" s="86" t="str">
        <f>TiposLancamentos!B22</f>
        <v>Combustivel</v>
      </c>
      <c r="C408" s="3" t="s">
        <v>14404</v>
      </c>
      <c r="D408" s="63"/>
      <c r="E408" s="98">
        <v>18.5</v>
      </c>
    </row>
    <row r="409" spans="1:5">
      <c r="A409" s="75">
        <v>38066</v>
      </c>
      <c r="B409" s="86" t="str">
        <f>TiposLancamentos!B33</f>
        <v>Pedágios</v>
      </c>
      <c r="C409" s="3" t="s">
        <v>14405</v>
      </c>
      <c r="D409" s="63"/>
      <c r="E409" s="98">
        <v>10</v>
      </c>
    </row>
    <row r="410" spans="1:5">
      <c r="A410" s="75">
        <v>38068</v>
      </c>
      <c r="B410" s="86" t="str">
        <f>TiposLancamentos!B8</f>
        <v>Aluguel</v>
      </c>
      <c r="C410" s="3" t="s">
        <v>14406</v>
      </c>
      <c r="D410" s="63"/>
      <c r="E410" s="98">
        <v>238.73</v>
      </c>
    </row>
    <row r="411" spans="1:5">
      <c r="A411" s="75">
        <v>38069</v>
      </c>
      <c r="B411" s="86" t="str">
        <f>TiposLancamentos!B5</f>
        <v>Supermercado</v>
      </c>
      <c r="C411" s="3" t="s">
        <v>4816</v>
      </c>
      <c r="D411" s="63"/>
      <c r="E411" s="98">
        <v>22.52</v>
      </c>
    </row>
    <row r="412" spans="1:5">
      <c r="A412" s="75">
        <v>38070</v>
      </c>
      <c r="B412" s="86" t="str">
        <f>TiposLancamentos!B98</f>
        <v>Restituições</v>
      </c>
      <c r="C412" s="3" t="s">
        <v>14407</v>
      </c>
      <c r="D412" s="63">
        <v>4.75</v>
      </c>
      <c r="E412" s="98"/>
    </row>
    <row r="413" spans="1:5">
      <c r="A413" s="75">
        <v>38070</v>
      </c>
      <c r="B413" s="86" t="str">
        <f>TiposLancamentos!B5</f>
        <v>Supermercado</v>
      </c>
      <c r="C413" s="3" t="s">
        <v>14408</v>
      </c>
      <c r="D413" s="63"/>
      <c r="E413" s="98">
        <v>30</v>
      </c>
    </row>
    <row r="414" spans="1:5">
      <c r="A414" s="75">
        <v>38070</v>
      </c>
      <c r="B414" s="86" t="str">
        <f>TiposLancamentos!B4</f>
        <v>Taxas Bancarias</v>
      </c>
      <c r="C414" s="602" t="str">
        <f>C379</f>
        <v>Tarifa Emis.Cheq.Inf. Ou Igual A R$25</v>
      </c>
      <c r="D414" s="63"/>
      <c r="E414" s="98">
        <v>0.5</v>
      </c>
    </row>
    <row r="415" spans="1:5">
      <c r="A415" s="75">
        <v>38070</v>
      </c>
      <c r="B415" s="86" t="str">
        <f>TiposLancamentos!B5</f>
        <v>Supermercado</v>
      </c>
      <c r="C415" s="3" t="s">
        <v>4816</v>
      </c>
      <c r="D415" s="63"/>
      <c r="E415" s="98">
        <v>22.52</v>
      </c>
    </row>
    <row r="416" spans="1:5">
      <c r="A416" s="75">
        <v>38072</v>
      </c>
      <c r="B416" s="86" t="str">
        <f>TiposLancamentos!B4</f>
        <v>Taxas Bancarias</v>
      </c>
      <c r="C416" s="3" t="s">
        <v>5065</v>
      </c>
      <c r="D416" s="63"/>
      <c r="E416" s="98">
        <v>1.49</v>
      </c>
    </row>
    <row r="417" spans="1:5">
      <c r="A417" s="75">
        <v>38073</v>
      </c>
      <c r="B417" s="86" t="str">
        <f>TiposLancamentos!B20</f>
        <v>Saques</v>
      </c>
      <c r="C417" s="3" t="s">
        <v>14409</v>
      </c>
      <c r="D417" s="63"/>
      <c r="E417" s="98">
        <v>10</v>
      </c>
    </row>
    <row r="418" spans="1:5">
      <c r="A418" s="75">
        <v>38074</v>
      </c>
      <c r="B418" s="86" t="str">
        <f>TiposLancamentos!B19</f>
        <v>Restaurantes</v>
      </c>
      <c r="C418" s="3" t="s">
        <v>14410</v>
      </c>
      <c r="D418" s="63"/>
      <c r="E418" s="98">
        <v>8.9</v>
      </c>
    </row>
    <row r="419" spans="1:5">
      <c r="A419" s="75">
        <v>38074</v>
      </c>
      <c r="B419" s="86" t="str">
        <f>TiposLancamentos!B20</f>
        <v>Saques</v>
      </c>
      <c r="C419" s="3" t="s">
        <v>14409</v>
      </c>
      <c r="D419" s="63"/>
      <c r="E419" s="98">
        <v>10</v>
      </c>
    </row>
    <row r="420" spans="1:5">
      <c r="A420" s="83"/>
      <c r="B420" s="91"/>
      <c r="C420" s="92" t="s">
        <v>14411</v>
      </c>
      <c r="D420" s="93"/>
      <c r="E420" s="94"/>
    </row>
    <row r="421" spans="1:5">
      <c r="A421" s="75">
        <v>38078</v>
      </c>
      <c r="B421" s="86" t="str">
        <f>TiposLancamentos!B2</f>
        <v>Telefonia</v>
      </c>
      <c r="C421" s="3" t="s">
        <v>14390</v>
      </c>
      <c r="D421" s="63"/>
      <c r="E421" s="98">
        <v>53.32</v>
      </c>
    </row>
    <row r="422" spans="1:5">
      <c r="A422" s="75">
        <v>38078</v>
      </c>
      <c r="B422" s="86" t="str">
        <f>TiposLancamentos!B4</f>
        <v>Taxas Bancarias</v>
      </c>
      <c r="C422" s="3" t="s">
        <v>14231</v>
      </c>
      <c r="D422" s="63"/>
      <c r="E422" s="98">
        <v>0.87</v>
      </c>
    </row>
    <row r="423" spans="1:5">
      <c r="A423" s="75">
        <v>38078</v>
      </c>
      <c r="B423" s="86" t="str">
        <f>TiposLancamentos!B4</f>
        <v>Taxas Bancarias</v>
      </c>
      <c r="C423" s="3" t="s">
        <v>14232</v>
      </c>
      <c r="D423" s="63"/>
      <c r="E423" s="98">
        <v>66.599999999999994</v>
      </c>
    </row>
    <row r="424" spans="1:5">
      <c r="A424" s="75">
        <v>38079</v>
      </c>
      <c r="B424" s="86" t="str">
        <f>TiposLancamentos!B4</f>
        <v>Taxas Bancarias</v>
      </c>
      <c r="C424" s="3" t="s">
        <v>5065</v>
      </c>
      <c r="D424" s="63"/>
      <c r="E424" s="98">
        <v>0.38</v>
      </c>
    </row>
    <row r="425" spans="1:5">
      <c r="A425" s="75">
        <v>38080</v>
      </c>
      <c r="B425" s="86" t="str">
        <f>TiposLancamentos!B5</f>
        <v>Supermercado</v>
      </c>
      <c r="C425" s="3" t="s">
        <v>14412</v>
      </c>
      <c r="D425" s="63"/>
      <c r="E425" s="98">
        <v>31.29</v>
      </c>
    </row>
    <row r="426" spans="1:5">
      <c r="A426" s="75">
        <v>38080</v>
      </c>
      <c r="B426" s="86" t="str">
        <f>TiposLancamentos!B16</f>
        <v>Cristiane</v>
      </c>
      <c r="C426" s="3" t="s">
        <v>2668</v>
      </c>
      <c r="D426" s="63"/>
      <c r="E426" s="98">
        <v>20</v>
      </c>
    </row>
    <row r="427" spans="1:5">
      <c r="A427" s="75">
        <v>38080</v>
      </c>
      <c r="B427" s="86" t="str">
        <f>TiposLancamentos!B5</f>
        <v>Supermercado</v>
      </c>
      <c r="C427" s="3" t="s">
        <v>14413</v>
      </c>
      <c r="D427" s="63"/>
      <c r="E427" s="98">
        <v>9.68</v>
      </c>
    </row>
    <row r="428" spans="1:5">
      <c r="A428" s="75">
        <v>38081</v>
      </c>
      <c r="B428" s="86" t="str">
        <f>TiposLancamentos!B96</f>
        <v>Resg.Poup.</v>
      </c>
      <c r="C428" s="3" t="s">
        <v>14414</v>
      </c>
      <c r="D428" s="63">
        <v>440</v>
      </c>
      <c r="E428" s="98"/>
    </row>
    <row r="429" spans="1:5">
      <c r="A429" s="75">
        <v>38082</v>
      </c>
      <c r="B429" s="86" t="str">
        <f>TiposLancamentos!B5</f>
        <v>Supermercado</v>
      </c>
      <c r="C429" s="3" t="s">
        <v>14415</v>
      </c>
      <c r="D429" s="63"/>
      <c r="E429" s="98">
        <v>37.93</v>
      </c>
    </row>
    <row r="430" spans="1:5">
      <c r="A430" s="75">
        <v>38082</v>
      </c>
      <c r="B430" s="86" t="str">
        <f>TiposLancamentos!B3</f>
        <v>Internet</v>
      </c>
      <c r="C430" s="3" t="s">
        <v>14326</v>
      </c>
      <c r="D430" s="63"/>
      <c r="E430" s="98">
        <v>49.5</v>
      </c>
    </row>
    <row r="431" spans="1:5">
      <c r="A431" s="75">
        <v>38082</v>
      </c>
      <c r="B431" s="86" t="str">
        <f>TiposLancamentos!B15</f>
        <v>Cartões de Crédito</v>
      </c>
      <c r="C431" s="3" t="s">
        <v>5414</v>
      </c>
      <c r="D431" s="63"/>
      <c r="E431" s="98">
        <v>190.52</v>
      </c>
    </row>
    <row r="432" spans="1:5">
      <c r="A432" s="75">
        <v>38082</v>
      </c>
      <c r="B432" s="86" t="str">
        <f>TiposLancamentos!B4</f>
        <v>Taxas Bancarias</v>
      </c>
      <c r="C432" s="602" t="str">
        <f>C414</f>
        <v>Tarifa Emis.Cheq.Inf. Ou Igual A R$25</v>
      </c>
      <c r="D432" s="63"/>
      <c r="E432" s="98">
        <v>0.5</v>
      </c>
    </row>
    <row r="433" spans="1:5">
      <c r="A433" s="75">
        <v>38083</v>
      </c>
      <c r="B433" s="86" t="str">
        <f>TiposLancamentos!B66</f>
        <v>Faxineira</v>
      </c>
      <c r="C433" s="3" t="s">
        <v>14416</v>
      </c>
      <c r="D433" s="63"/>
      <c r="E433" s="98">
        <v>90</v>
      </c>
    </row>
    <row r="434" spans="1:5">
      <c r="A434" s="75">
        <v>38083</v>
      </c>
      <c r="B434" s="86" t="str">
        <f>TiposLancamentos!B2</f>
        <v>Telefonia</v>
      </c>
      <c r="C434" s="3" t="s">
        <v>14417</v>
      </c>
      <c r="D434" s="63"/>
      <c r="E434" s="98">
        <v>3.75</v>
      </c>
    </row>
    <row r="435" spans="1:5">
      <c r="A435" s="75">
        <v>38084</v>
      </c>
      <c r="B435" s="86" t="str">
        <f>TiposLancamentos!B6</f>
        <v>Energia Eletrica</v>
      </c>
      <c r="C435" s="3" t="s">
        <v>2522</v>
      </c>
      <c r="D435" s="63"/>
      <c r="E435" s="98">
        <v>46.48</v>
      </c>
    </row>
    <row r="436" spans="1:5">
      <c r="A436" s="75">
        <v>38084</v>
      </c>
      <c r="B436" s="86" t="str">
        <f>TiposLancamentos!B95</f>
        <v>Salarios</v>
      </c>
      <c r="C436" s="3" t="s">
        <v>14418</v>
      </c>
      <c r="D436" s="63">
        <v>999</v>
      </c>
      <c r="E436" s="98"/>
    </row>
    <row r="437" spans="1:5">
      <c r="A437" s="75">
        <v>38084</v>
      </c>
      <c r="B437" s="86" t="str">
        <f>TiposLancamentos!B19</f>
        <v>Restaurantes</v>
      </c>
      <c r="C437" s="3" t="s">
        <v>14419</v>
      </c>
      <c r="D437" s="63"/>
      <c r="E437" s="98">
        <v>113.6</v>
      </c>
    </row>
    <row r="438" spans="1:5">
      <c r="A438" s="75">
        <v>38084</v>
      </c>
      <c r="B438" s="86" t="str">
        <f>TiposLancamentos!B73</f>
        <v>Cursos</v>
      </c>
      <c r="C438" s="3" t="s">
        <v>14420</v>
      </c>
      <c r="D438" s="63"/>
      <c r="E438" s="98">
        <v>15</v>
      </c>
    </row>
    <row r="439" spans="1:5">
      <c r="A439" s="75">
        <v>38085</v>
      </c>
      <c r="B439" s="86" t="str">
        <f>TiposLancamentos!B4</f>
        <v>Taxas Bancarias</v>
      </c>
      <c r="C439" s="3" t="s">
        <v>5065</v>
      </c>
      <c r="D439" s="63"/>
      <c r="E439" s="98">
        <v>2.66</v>
      </c>
    </row>
    <row r="440" spans="1:5">
      <c r="A440" s="75">
        <v>38086</v>
      </c>
      <c r="B440" s="86" t="str">
        <f>TiposLancamentos!B20</f>
        <v>Saques</v>
      </c>
      <c r="C440" s="3" t="s">
        <v>2655</v>
      </c>
      <c r="D440" s="63"/>
      <c r="E440" s="98">
        <v>20</v>
      </c>
    </row>
    <row r="441" spans="1:5">
      <c r="A441" s="75">
        <v>38087</v>
      </c>
      <c r="B441" s="86" t="str">
        <f>TiposLancamentos!B9</f>
        <v>Condominio</v>
      </c>
      <c r="C441" s="3" t="s">
        <v>1684</v>
      </c>
      <c r="D441" s="63"/>
      <c r="E441" s="98">
        <v>98.75</v>
      </c>
    </row>
    <row r="442" spans="1:5">
      <c r="A442" s="75">
        <v>38087</v>
      </c>
      <c r="B442" s="86" t="str">
        <f>TiposLancamentos!B2</f>
        <v>Telefonia</v>
      </c>
      <c r="C442" s="3" t="s">
        <v>2540</v>
      </c>
      <c r="D442" s="63"/>
      <c r="E442" s="98">
        <v>64.58</v>
      </c>
    </row>
    <row r="443" spans="1:5">
      <c r="A443" s="75">
        <v>38088</v>
      </c>
      <c r="B443" s="86" t="str">
        <f>TiposLancamentos!B82</f>
        <v>CG Titan 125</v>
      </c>
      <c r="C443" s="3" t="s">
        <v>14421</v>
      </c>
      <c r="D443" s="63"/>
      <c r="E443" s="98">
        <v>133.1</v>
      </c>
    </row>
    <row r="444" spans="1:5">
      <c r="A444" s="75">
        <v>38089</v>
      </c>
      <c r="B444" s="86" t="str">
        <f>TiposLancamentos!B20</f>
        <v>Saques</v>
      </c>
      <c r="C444" s="3" t="s">
        <v>14422</v>
      </c>
      <c r="D444" s="63"/>
      <c r="E444" s="98">
        <v>30</v>
      </c>
    </row>
    <row r="445" spans="1:5">
      <c r="A445" s="75">
        <v>38093</v>
      </c>
      <c r="B445" s="86" t="str">
        <f>TiposLancamentos!B4</f>
        <v>Taxas Bancarias</v>
      </c>
      <c r="C445" s="3" t="s">
        <v>5065</v>
      </c>
      <c r="D445" s="63"/>
      <c r="E445" s="98">
        <v>5.69</v>
      </c>
    </row>
    <row r="446" spans="1:5">
      <c r="A446" s="75">
        <v>38094</v>
      </c>
      <c r="B446" s="86" t="str">
        <f>TiposLancamentos!B5</f>
        <v>Supermercado</v>
      </c>
      <c r="C446" s="3" t="s">
        <v>14423</v>
      </c>
      <c r="D446" s="63"/>
      <c r="E446" s="98">
        <v>22.42</v>
      </c>
    </row>
    <row r="447" spans="1:5">
      <c r="A447" s="75">
        <v>38096</v>
      </c>
      <c r="B447" s="86" t="str">
        <f>TiposLancamentos!B90</f>
        <v>Locadora</v>
      </c>
      <c r="C447" s="3" t="s">
        <v>14202</v>
      </c>
      <c r="D447" s="63"/>
      <c r="E447" s="98">
        <v>20</v>
      </c>
    </row>
    <row r="448" spans="1:5">
      <c r="A448" s="75">
        <v>38096</v>
      </c>
      <c r="B448" s="86" t="str">
        <f>TiposLancamentos!B5</f>
        <v>Supermercado</v>
      </c>
      <c r="C448" s="3" t="s">
        <v>2567</v>
      </c>
      <c r="D448" s="63"/>
      <c r="E448" s="98">
        <v>10.48</v>
      </c>
    </row>
    <row r="449" spans="1:5">
      <c r="A449" s="75">
        <v>38098</v>
      </c>
      <c r="B449" s="86" t="str">
        <f>TiposLancamentos!B20</f>
        <v>Saques</v>
      </c>
      <c r="C449" s="3" t="s">
        <v>14424</v>
      </c>
      <c r="D449" s="63"/>
      <c r="E449" s="98">
        <v>10</v>
      </c>
    </row>
    <row r="450" spans="1:5">
      <c r="A450" s="75">
        <v>38099</v>
      </c>
      <c r="B450" s="86" t="str">
        <f>TiposLancamentos!B8</f>
        <v>Aluguel</v>
      </c>
      <c r="C450" s="3" t="s">
        <v>14425</v>
      </c>
      <c r="D450" s="63"/>
      <c r="E450" s="98">
        <v>238.33</v>
      </c>
    </row>
    <row r="451" spans="1:5">
      <c r="A451" s="75">
        <v>38100</v>
      </c>
      <c r="B451" s="86" t="str">
        <f>TiposLancamentos!B19</f>
        <v>Restaurantes</v>
      </c>
      <c r="C451" s="3" t="s">
        <v>14426</v>
      </c>
      <c r="D451" s="63"/>
      <c r="E451" s="98">
        <v>20.13</v>
      </c>
    </row>
    <row r="452" spans="1:5">
      <c r="A452" s="75">
        <v>38100</v>
      </c>
      <c r="B452" s="86" t="str">
        <f>TiposLancamentos!B4</f>
        <v>Taxas Bancarias</v>
      </c>
      <c r="C452" s="3" t="s">
        <v>5065</v>
      </c>
      <c r="D452" s="63"/>
      <c r="E452" s="98">
        <v>0.1</v>
      </c>
    </row>
    <row r="453" spans="1:5" ht="13.5" customHeight="1">
      <c r="A453" s="75">
        <v>38100</v>
      </c>
      <c r="B453" s="86" t="str">
        <f>TiposLancamentos!B4</f>
        <v>Taxas Bancarias</v>
      </c>
      <c r="C453" s="602" t="str">
        <f>C432</f>
        <v>Tarifa Emis.Cheq.Inf. Ou Igual A R$25</v>
      </c>
      <c r="D453" s="63"/>
      <c r="E453" s="98">
        <v>0.5</v>
      </c>
    </row>
    <row r="454" spans="1:5">
      <c r="A454" s="75">
        <v>38101</v>
      </c>
      <c r="B454" s="86" t="str">
        <f>TiposLancamentos!B19</f>
        <v>Restaurantes</v>
      </c>
      <c r="C454" s="3" t="s">
        <v>14427</v>
      </c>
      <c r="D454" s="63"/>
      <c r="E454" s="98">
        <v>16.850000000000001</v>
      </c>
    </row>
    <row r="455" spans="1:5">
      <c r="A455" s="75">
        <v>38101</v>
      </c>
      <c r="B455" s="86" t="str">
        <f>TiposLancamentos!B5</f>
        <v>Supermercado</v>
      </c>
      <c r="C455" s="3" t="s">
        <v>14428</v>
      </c>
      <c r="D455" s="63"/>
      <c r="E455" s="98">
        <v>22.04</v>
      </c>
    </row>
    <row r="456" spans="1:5">
      <c r="A456" s="75">
        <v>38103</v>
      </c>
      <c r="B456" s="86" t="str">
        <f>TiposLancamentos!B5</f>
        <v>Supermercado</v>
      </c>
      <c r="C456" s="3" t="s">
        <v>14429</v>
      </c>
      <c r="D456" s="63"/>
      <c r="E456" s="98">
        <v>9.42</v>
      </c>
    </row>
    <row r="457" spans="1:5">
      <c r="A457" s="75">
        <v>38104</v>
      </c>
      <c r="B457" s="86" t="str">
        <f>TiposLancamentos!B44</f>
        <v>Academia</v>
      </c>
      <c r="C457" s="3" t="s">
        <v>14430</v>
      </c>
      <c r="D457" s="63"/>
      <c r="E457" s="98">
        <v>27</v>
      </c>
    </row>
    <row r="458" spans="1:5">
      <c r="A458" s="75">
        <v>38105</v>
      </c>
      <c r="B458" s="86" t="str">
        <f>TiposLancamentos!B4</f>
        <v>Taxas Bancarias</v>
      </c>
      <c r="C458" s="602" t="str">
        <f>C453</f>
        <v>Tarifa Emis.Cheq.Inf. Ou Igual A R$25</v>
      </c>
      <c r="D458" s="63"/>
      <c r="E458" s="98">
        <v>1</v>
      </c>
    </row>
    <row r="459" spans="1:5">
      <c r="A459" s="75">
        <v>38106</v>
      </c>
      <c r="B459" s="86" t="str">
        <f>TiposLancamentos!B4</f>
        <v>Taxas Bancarias</v>
      </c>
      <c r="C459" s="602" t="str">
        <f>C458</f>
        <v>Tarifa Emis.Cheq.Inf. Ou Igual A R$25</v>
      </c>
      <c r="D459" s="63"/>
      <c r="E459" s="98">
        <v>0.5</v>
      </c>
    </row>
    <row r="460" spans="1:5">
      <c r="A460" s="75">
        <v>38106</v>
      </c>
      <c r="B460" s="86" t="str">
        <f>TiposLancamentos!B19</f>
        <v>Restaurantes</v>
      </c>
      <c r="C460" s="3" t="s">
        <v>14431</v>
      </c>
      <c r="D460" s="63"/>
      <c r="E460" s="98">
        <v>21.1</v>
      </c>
    </row>
    <row r="461" spans="1:5">
      <c r="A461" s="75">
        <v>38106</v>
      </c>
      <c r="B461" s="86" t="str">
        <f>TiposLancamentos!B16</f>
        <v>Cristiane</v>
      </c>
      <c r="C461" s="3" t="s">
        <v>2655</v>
      </c>
      <c r="D461" s="63"/>
      <c r="E461" s="98">
        <v>10</v>
      </c>
    </row>
    <row r="462" spans="1:5">
      <c r="A462" s="75">
        <v>38107</v>
      </c>
      <c r="B462" s="86" t="str">
        <f>TiposLancamentos!B4</f>
        <v>Taxas Bancarias</v>
      </c>
      <c r="C462" s="3" t="s">
        <v>5065</v>
      </c>
      <c r="D462" s="63"/>
      <c r="E462" s="98">
        <v>1.25</v>
      </c>
    </row>
    <row r="463" spans="1:5">
      <c r="A463" s="83"/>
      <c r="B463" s="91"/>
      <c r="C463" s="92" t="s">
        <v>12906</v>
      </c>
      <c r="D463" s="93"/>
      <c r="E463" s="94"/>
    </row>
    <row r="464" spans="1:5">
      <c r="A464" s="75">
        <v>38108</v>
      </c>
      <c r="B464" s="86" t="str">
        <f>TiposLancamentos!B2</f>
        <v>Telefonia</v>
      </c>
      <c r="C464" s="3" t="s">
        <v>14390</v>
      </c>
      <c r="D464" s="63"/>
      <c r="E464" s="98">
        <v>42.11</v>
      </c>
    </row>
    <row r="465" spans="1:5">
      <c r="A465" s="75">
        <v>38108</v>
      </c>
      <c r="B465" s="86" t="str">
        <f>TiposLancamentos!B20</f>
        <v>Saques</v>
      </c>
      <c r="C465" s="3" t="s">
        <v>2618</v>
      </c>
      <c r="D465" s="63"/>
      <c r="E465" s="98">
        <v>10</v>
      </c>
    </row>
    <row r="466" spans="1:5">
      <c r="A466" s="75">
        <v>38108</v>
      </c>
      <c r="B466" s="86" t="str">
        <f>TiposLancamentos!B19</f>
        <v>Restaurantes</v>
      </c>
      <c r="C466" s="3" t="s">
        <v>14432</v>
      </c>
      <c r="D466" s="63"/>
      <c r="E466" s="98">
        <v>17.8</v>
      </c>
    </row>
    <row r="467" spans="1:5">
      <c r="A467" s="75">
        <v>38108</v>
      </c>
      <c r="B467" s="86" t="str">
        <f>TiposLancamentos!B5</f>
        <v>Supermercado</v>
      </c>
      <c r="C467" s="3" t="s">
        <v>2567</v>
      </c>
      <c r="D467" s="63"/>
      <c r="E467" s="98">
        <v>11.04</v>
      </c>
    </row>
    <row r="468" spans="1:5">
      <c r="A468" s="75">
        <v>38109</v>
      </c>
      <c r="B468" s="86" t="str">
        <f>TiposLancamentos!B19</f>
        <v>Restaurantes</v>
      </c>
      <c r="C468" s="3" t="s">
        <v>14433</v>
      </c>
      <c r="D468" s="63"/>
      <c r="E468" s="98">
        <v>22.65</v>
      </c>
    </row>
    <row r="469" spans="1:5">
      <c r="A469" s="75">
        <v>38110</v>
      </c>
      <c r="B469" s="86" t="str">
        <f>TiposLancamentos!B5</f>
        <v>Supermercado</v>
      </c>
      <c r="C469" s="3" t="s">
        <v>2567</v>
      </c>
      <c r="D469" s="63"/>
      <c r="E469" s="98">
        <v>9.32</v>
      </c>
    </row>
    <row r="470" spans="1:5">
      <c r="A470" s="75">
        <v>38111</v>
      </c>
      <c r="B470" s="86" t="str">
        <f>TiposLancamentos!B4</f>
        <v>Taxas Bancarias</v>
      </c>
      <c r="C470" s="3" t="s">
        <v>14434</v>
      </c>
      <c r="D470" s="63"/>
      <c r="E470" s="98">
        <v>1.1399999999999999</v>
      </c>
    </row>
    <row r="471" spans="1:5">
      <c r="A471" s="75">
        <v>38111</v>
      </c>
      <c r="B471" s="86" t="str">
        <f>TiposLancamentos!B4</f>
        <v>Taxas Bancarias</v>
      </c>
      <c r="C471" s="3" t="s">
        <v>14435</v>
      </c>
      <c r="D471" s="63"/>
      <c r="E471" s="98">
        <v>89.72</v>
      </c>
    </row>
    <row r="472" spans="1:5">
      <c r="A472" s="75">
        <v>38111</v>
      </c>
      <c r="B472" s="86" t="str">
        <f>TiposLancamentos!B4</f>
        <v>Taxas Bancarias</v>
      </c>
      <c r="C472" s="602" t="str">
        <f>C459</f>
        <v>Tarifa Emis.Cheq.Inf. Ou Igual A R$25</v>
      </c>
      <c r="D472" s="63"/>
      <c r="E472" s="98">
        <v>0.5</v>
      </c>
    </row>
    <row r="473" spans="1:5">
      <c r="A473" s="75">
        <v>38112</v>
      </c>
      <c r="B473" s="86" t="str">
        <f>TiposLancamentos!B4</f>
        <v>Taxas Bancarias</v>
      </c>
      <c r="C473" s="602" t="str">
        <f>C472</f>
        <v>Tarifa Emis.Cheq.Inf. Ou Igual A R$25</v>
      </c>
      <c r="D473" s="63"/>
      <c r="E473" s="98">
        <v>1</v>
      </c>
    </row>
    <row r="474" spans="1:5">
      <c r="A474" s="75">
        <v>38112</v>
      </c>
      <c r="B474" s="86" t="str">
        <f>TiposLancamentos!B15</f>
        <v>Cartões de Crédito</v>
      </c>
      <c r="C474" s="3" t="s">
        <v>14436</v>
      </c>
      <c r="D474" s="63"/>
      <c r="E474" s="98">
        <v>182.54</v>
      </c>
    </row>
    <row r="475" spans="1:5">
      <c r="A475" s="75">
        <v>38112</v>
      </c>
      <c r="B475" s="86" t="str">
        <f>TiposLancamentos!B3</f>
        <v>Internet</v>
      </c>
      <c r="C475" s="3" t="s">
        <v>14326</v>
      </c>
      <c r="D475" s="63"/>
      <c r="E475" s="98">
        <v>49.5</v>
      </c>
    </row>
    <row r="476" spans="1:5">
      <c r="A476" s="75">
        <v>38112</v>
      </c>
      <c r="B476" s="86" t="str">
        <f>TiposLancamentos!B19</f>
        <v>Restaurantes</v>
      </c>
      <c r="C476" s="52" t="s">
        <v>14437</v>
      </c>
      <c r="D476" s="63"/>
      <c r="E476" s="98">
        <v>127.05</v>
      </c>
    </row>
    <row r="477" spans="1:5">
      <c r="A477" s="75">
        <v>38113</v>
      </c>
      <c r="B477" s="86" t="str">
        <f>TiposLancamentos!B5</f>
        <v>Supermercado</v>
      </c>
      <c r="C477" s="3" t="s">
        <v>14429</v>
      </c>
      <c r="D477" s="63"/>
      <c r="E477" s="98">
        <v>10.51</v>
      </c>
    </row>
    <row r="478" spans="1:5">
      <c r="A478" s="75">
        <v>38114</v>
      </c>
      <c r="B478" s="86" t="str">
        <f>TiposLancamentos!B6</f>
        <v>Energia Eletrica</v>
      </c>
      <c r="C478" s="3" t="s">
        <v>2522</v>
      </c>
      <c r="D478" s="63"/>
      <c r="E478" s="98">
        <v>50.38</v>
      </c>
    </row>
    <row r="479" spans="1:5">
      <c r="A479" s="75">
        <v>38114</v>
      </c>
      <c r="B479" s="86" t="str">
        <f>TiposLancamentos!B95</f>
        <v>Salarios</v>
      </c>
      <c r="C479" s="3" t="s">
        <v>2489</v>
      </c>
      <c r="D479" s="63">
        <v>1036</v>
      </c>
      <c r="E479" s="98"/>
    </row>
    <row r="480" spans="1:5">
      <c r="A480" s="75">
        <v>38114</v>
      </c>
      <c r="B480" s="86" t="str">
        <f>TiposLancamentos!B64</f>
        <v>Viagens</v>
      </c>
      <c r="C480" s="3" t="s">
        <v>14438</v>
      </c>
      <c r="D480" s="63"/>
      <c r="E480" s="98">
        <v>30</v>
      </c>
    </row>
    <row r="481" spans="1:5">
      <c r="A481" s="75">
        <v>38114</v>
      </c>
      <c r="B481" s="86" t="str">
        <f>TiposLancamentos!B4</f>
        <v>Taxas Bancarias</v>
      </c>
      <c r="C481" s="3" t="s">
        <v>5065</v>
      </c>
      <c r="D481" s="63"/>
      <c r="E481" s="98">
        <v>1.82</v>
      </c>
    </row>
    <row r="482" spans="1:5">
      <c r="A482" s="75">
        <v>38117</v>
      </c>
      <c r="B482" s="86" t="str">
        <f>TiposLancamentos!B2</f>
        <v>Telefonia</v>
      </c>
      <c r="C482" s="3" t="s">
        <v>2540</v>
      </c>
      <c r="D482" s="63"/>
      <c r="E482" s="98">
        <v>96.15</v>
      </c>
    </row>
    <row r="483" spans="1:5">
      <c r="A483" s="75">
        <v>38118</v>
      </c>
      <c r="B483" s="86" t="str">
        <f>TiposLancamentos!B66</f>
        <v>Faxineira</v>
      </c>
      <c r="C483" s="52" t="s">
        <v>14439</v>
      </c>
      <c r="D483" s="63"/>
      <c r="E483" s="98">
        <v>90</v>
      </c>
    </row>
    <row r="484" spans="1:5">
      <c r="A484" s="75">
        <v>38118</v>
      </c>
      <c r="B484" s="86" t="str">
        <f>TiposLancamentos!B9</f>
        <v>Condominio</v>
      </c>
      <c r="C484" s="52" t="s">
        <v>14440</v>
      </c>
      <c r="D484" s="63"/>
      <c r="E484" s="98">
        <v>100</v>
      </c>
    </row>
    <row r="485" spans="1:5">
      <c r="A485" s="75">
        <v>38118</v>
      </c>
      <c r="B485" s="86" t="str">
        <f>TiposLancamentos!B82</f>
        <v>CG Titan 125</v>
      </c>
      <c r="C485" s="3" t="s">
        <v>14441</v>
      </c>
      <c r="D485" s="63"/>
      <c r="E485" s="98">
        <v>133.1</v>
      </c>
    </row>
    <row r="486" spans="1:5">
      <c r="A486" s="75">
        <v>38121</v>
      </c>
      <c r="B486" s="86" t="str">
        <f>TiposLancamentos!B4</f>
        <v>Taxas Bancarias</v>
      </c>
      <c r="C486" s="3" t="s">
        <v>5065</v>
      </c>
      <c r="D486" s="63"/>
      <c r="E486" s="98">
        <v>5.49</v>
      </c>
    </row>
    <row r="487" spans="1:5">
      <c r="A487" s="75">
        <v>38122</v>
      </c>
      <c r="B487" s="86" t="str">
        <f>TiposLancamentos!B20</f>
        <v>Saques</v>
      </c>
      <c r="C487" s="3" t="s">
        <v>2668</v>
      </c>
      <c r="D487" s="63"/>
      <c r="E487" s="98">
        <v>10</v>
      </c>
    </row>
    <row r="488" spans="1:5">
      <c r="A488" s="75">
        <v>38122</v>
      </c>
      <c r="B488" s="86" t="str">
        <f>TiposLancamentos!B5</f>
        <v>Supermercado</v>
      </c>
      <c r="C488" s="3" t="s">
        <v>14442</v>
      </c>
      <c r="D488" s="63"/>
      <c r="E488" s="98">
        <v>23.48</v>
      </c>
    </row>
    <row r="489" spans="1:5">
      <c r="A489" s="75">
        <v>38126</v>
      </c>
      <c r="B489" s="86" t="str">
        <f>TiposLancamentos!B4</f>
        <v>Taxas Bancarias</v>
      </c>
      <c r="C489" s="602" t="str">
        <f>C459</f>
        <v>Tarifa Emis.Cheq.Inf. Ou Igual A R$25</v>
      </c>
      <c r="D489" s="63"/>
      <c r="E489" s="98">
        <v>0.5</v>
      </c>
    </row>
    <row r="490" spans="1:5">
      <c r="A490" s="75">
        <v>38127</v>
      </c>
      <c r="B490" s="86" t="str">
        <f>TiposLancamentos!B8</f>
        <v>Aluguel</v>
      </c>
      <c r="C490" s="52" t="s">
        <v>14443</v>
      </c>
      <c r="D490" s="63"/>
      <c r="E490" s="98">
        <v>237.89</v>
      </c>
    </row>
    <row r="491" spans="1:5">
      <c r="A491" s="75">
        <v>38128</v>
      </c>
      <c r="B491" s="86" t="str">
        <f>TiposLancamentos!B4</f>
        <v>Taxas Bancarias</v>
      </c>
      <c r="C491" s="52" t="s">
        <v>5065</v>
      </c>
      <c r="D491" s="63"/>
      <c r="E491" s="98">
        <v>0.11</v>
      </c>
    </row>
    <row r="492" spans="1:5">
      <c r="A492" s="75">
        <v>38128</v>
      </c>
      <c r="B492" s="86" t="str">
        <f>TiposLancamentos!B19</f>
        <v>Restaurantes</v>
      </c>
      <c r="C492" s="52" t="s">
        <v>14444</v>
      </c>
      <c r="D492" s="63"/>
      <c r="E492" s="98">
        <v>15.18</v>
      </c>
    </row>
    <row r="493" spans="1:5">
      <c r="A493" s="75">
        <v>38129</v>
      </c>
      <c r="B493" s="86" t="str">
        <f>TiposLancamentos!B20</f>
        <v>Saques</v>
      </c>
      <c r="C493" s="52" t="s">
        <v>2668</v>
      </c>
      <c r="D493" s="63"/>
      <c r="E493" s="98">
        <v>10</v>
      </c>
    </row>
    <row r="494" spans="1:5">
      <c r="A494" s="75">
        <v>38129</v>
      </c>
      <c r="B494" s="86" t="str">
        <f>TiposLancamentos!B5</f>
        <v>Supermercado</v>
      </c>
      <c r="C494" s="52" t="s">
        <v>14445</v>
      </c>
      <c r="D494" s="63"/>
      <c r="E494" s="98">
        <v>40.06</v>
      </c>
    </row>
    <row r="495" spans="1:5">
      <c r="A495" s="75">
        <v>38132</v>
      </c>
      <c r="B495" s="86" t="str">
        <f>TiposLancamentos!B5</f>
        <v>Supermercado</v>
      </c>
      <c r="C495" s="52" t="s">
        <v>14429</v>
      </c>
      <c r="D495" s="63"/>
      <c r="E495" s="98">
        <v>9.91</v>
      </c>
    </row>
    <row r="496" spans="1:5">
      <c r="A496" s="75">
        <v>38133</v>
      </c>
      <c r="B496" s="86" t="str">
        <f>TiposLancamentos!B90</f>
        <v>Locadora</v>
      </c>
      <c r="C496" s="52" t="s">
        <v>14446</v>
      </c>
      <c r="D496" s="63"/>
      <c r="E496" s="98">
        <v>20</v>
      </c>
    </row>
    <row r="497" spans="1:5">
      <c r="A497" s="75">
        <v>38135</v>
      </c>
      <c r="B497" s="86" t="str">
        <f>TiposLancamentos!B4</f>
        <v>Taxas Bancarias</v>
      </c>
      <c r="C497" s="52" t="s">
        <v>5065</v>
      </c>
      <c r="D497" s="63"/>
      <c r="E497" s="98">
        <v>1.18</v>
      </c>
    </row>
    <row r="498" spans="1:5">
      <c r="A498" s="75">
        <v>38136</v>
      </c>
      <c r="B498" s="86" t="str">
        <f>TiposLancamentos!B93</f>
        <v>Lanc.Multiplos</v>
      </c>
      <c r="C498" s="52" t="s">
        <v>14447</v>
      </c>
      <c r="D498" s="63"/>
      <c r="E498" s="98">
        <v>10</v>
      </c>
    </row>
    <row r="499" spans="1:5">
      <c r="A499" s="75">
        <v>38136</v>
      </c>
      <c r="B499" s="86" t="str">
        <f>TiposLancamentos!B83</f>
        <v>Artigos Moto</v>
      </c>
      <c r="C499" s="52" t="s">
        <v>14448</v>
      </c>
      <c r="D499" s="63"/>
      <c r="E499" s="98">
        <v>20</v>
      </c>
    </row>
    <row r="500" spans="1:5">
      <c r="A500" s="75">
        <v>38138</v>
      </c>
      <c r="B500" s="86" t="str">
        <f>TiposLancamentos!B4</f>
        <v>Taxas Bancarias</v>
      </c>
      <c r="C500" s="47" t="str">
        <f>C489</f>
        <v>Tarifa Emis.Cheq.Inf. Ou Igual A R$25</v>
      </c>
      <c r="D500" s="63"/>
      <c r="E500" s="98">
        <v>0.5</v>
      </c>
    </row>
    <row r="501" spans="1:5">
      <c r="A501" s="75">
        <v>38138</v>
      </c>
      <c r="B501" s="95" t="str">
        <f>TiposLancamentos!B5</f>
        <v>Supermercado</v>
      </c>
      <c r="C501" s="52" t="s">
        <v>14449</v>
      </c>
      <c r="D501" s="63"/>
      <c r="E501" s="98">
        <v>38.57</v>
      </c>
    </row>
    <row r="502" spans="1:5">
      <c r="A502" s="83"/>
      <c r="B502" s="91"/>
      <c r="C502" s="92" t="s">
        <v>2487</v>
      </c>
      <c r="D502" s="93"/>
      <c r="E502" s="94"/>
    </row>
    <row r="503" spans="1:5">
      <c r="A503" s="75">
        <v>38139</v>
      </c>
      <c r="B503" s="86" t="str">
        <f>TiposLancamentos!B2</f>
        <v>Telefonia</v>
      </c>
      <c r="C503" s="3" t="s">
        <v>14390</v>
      </c>
      <c r="D503" s="63"/>
      <c r="E503" s="98">
        <v>44.7</v>
      </c>
    </row>
    <row r="504" spans="1:5">
      <c r="A504" s="75">
        <v>38139</v>
      </c>
      <c r="B504" s="86" t="str">
        <f>TiposLancamentos!B4</f>
        <v>Taxas Bancarias</v>
      </c>
      <c r="C504" s="3" t="s">
        <v>14232</v>
      </c>
      <c r="D504" s="63"/>
      <c r="E504" s="98">
        <v>130.08000000000001</v>
      </c>
    </row>
    <row r="505" spans="1:5">
      <c r="A505" s="75">
        <v>38139</v>
      </c>
      <c r="B505" s="86" t="str">
        <f>TiposLancamentos!B4</f>
        <v>Taxas Bancarias</v>
      </c>
      <c r="C505" s="3" t="s">
        <v>14190</v>
      </c>
      <c r="D505" s="63"/>
      <c r="E505" s="98">
        <v>1.77</v>
      </c>
    </row>
    <row r="506" spans="1:5">
      <c r="A506" s="75">
        <v>38140</v>
      </c>
      <c r="B506" s="86" t="str">
        <f>TiposLancamentos!B4</f>
        <v>Taxas Bancarias</v>
      </c>
      <c r="C506" s="602" t="str">
        <f>C500</f>
        <v>Tarifa Emis.Cheq.Inf. Ou Igual A R$25</v>
      </c>
      <c r="D506" s="63"/>
      <c r="E506" s="98">
        <v>0.5</v>
      </c>
    </row>
    <row r="507" spans="1:5">
      <c r="A507" s="75">
        <v>38140</v>
      </c>
      <c r="B507" s="86" t="str">
        <f>TiposLancamentos!B5</f>
        <v>Supermercado</v>
      </c>
      <c r="C507" s="3" t="s">
        <v>2567</v>
      </c>
      <c r="D507" s="63"/>
      <c r="E507" s="98">
        <v>5.26</v>
      </c>
    </row>
    <row r="508" spans="1:5">
      <c r="A508" s="75">
        <v>38140</v>
      </c>
      <c r="B508" s="86" t="str">
        <f>TiposLancamentos!B56</f>
        <v>Farmácia</v>
      </c>
      <c r="C508" s="3" t="s">
        <v>14450</v>
      </c>
      <c r="D508" s="63"/>
      <c r="E508" s="98">
        <v>49</v>
      </c>
    </row>
    <row r="509" spans="1:5">
      <c r="A509" s="75">
        <v>38141</v>
      </c>
      <c r="B509" s="86" t="str">
        <f>TiposLancamentos!B2</f>
        <v>Telefonia</v>
      </c>
      <c r="C509" s="3" t="s">
        <v>14451</v>
      </c>
      <c r="D509" s="63"/>
      <c r="E509" s="98">
        <v>20</v>
      </c>
    </row>
    <row r="510" spans="1:5">
      <c r="A510" s="75">
        <v>38142</v>
      </c>
      <c r="B510" s="86" t="str">
        <f>TiposLancamentos!B4</f>
        <v>Taxas Bancarias</v>
      </c>
      <c r="C510" s="3" t="s">
        <v>5065</v>
      </c>
      <c r="D510" s="63"/>
      <c r="E510" s="98">
        <v>0.94</v>
      </c>
    </row>
    <row r="511" spans="1:5">
      <c r="A511" s="75">
        <v>38146</v>
      </c>
      <c r="B511" s="86" t="str">
        <f>TiposLancamentos!B97</f>
        <v>Deposito Terc.</v>
      </c>
      <c r="C511" s="3" t="s">
        <v>14452</v>
      </c>
      <c r="D511" s="63">
        <v>30</v>
      </c>
      <c r="E511" s="98"/>
    </row>
    <row r="512" spans="1:5">
      <c r="A512" s="75">
        <v>38146</v>
      </c>
      <c r="B512" s="86" t="str">
        <f>TiposLancamentos!B95</f>
        <v>Salarios</v>
      </c>
      <c r="C512" s="3" t="s">
        <v>14453</v>
      </c>
      <c r="D512" s="63">
        <v>853</v>
      </c>
      <c r="E512" s="98"/>
    </row>
    <row r="513" spans="1:5">
      <c r="A513" s="75">
        <v>38146</v>
      </c>
      <c r="B513" s="86" t="str">
        <f>TiposLancamentos!B19</f>
        <v>Restaurantes</v>
      </c>
      <c r="C513" s="3" t="s">
        <v>14454</v>
      </c>
      <c r="D513" s="63"/>
      <c r="E513" s="98">
        <v>112.89</v>
      </c>
    </row>
    <row r="514" spans="1:5">
      <c r="A514" s="75">
        <v>38148</v>
      </c>
      <c r="B514" s="86" t="str">
        <f>TiposLancamentos!B9</f>
        <v>Condominio</v>
      </c>
      <c r="C514" s="3" t="s">
        <v>1684</v>
      </c>
      <c r="D514" s="63"/>
      <c r="E514" s="98">
        <v>101.69</v>
      </c>
    </row>
    <row r="515" spans="1:5">
      <c r="A515" s="75">
        <v>38149</v>
      </c>
      <c r="B515" s="86" t="str">
        <f>TiposLancamentos!B82</f>
        <v>CG Titan 125</v>
      </c>
      <c r="C515" s="3" t="s">
        <v>14455</v>
      </c>
      <c r="D515" s="63"/>
      <c r="E515" s="98">
        <v>133.1</v>
      </c>
    </row>
    <row r="516" spans="1:5">
      <c r="A516" s="75">
        <v>38149</v>
      </c>
      <c r="B516" s="86" t="str">
        <f>TiposLancamentos!B4</f>
        <v>Taxas Bancarias</v>
      </c>
      <c r="C516" s="3" t="s">
        <v>5065</v>
      </c>
      <c r="D516" s="63"/>
      <c r="E516" s="98">
        <v>3.61</v>
      </c>
    </row>
    <row r="517" spans="1:5">
      <c r="A517" s="75">
        <v>38153</v>
      </c>
      <c r="B517" s="86" t="str">
        <f>TiposLancamentos!B2</f>
        <v>Telefonia</v>
      </c>
      <c r="C517" s="3" t="s">
        <v>14456</v>
      </c>
      <c r="D517" s="63"/>
      <c r="E517" s="98">
        <v>16.010000000000002</v>
      </c>
    </row>
    <row r="518" spans="1:5">
      <c r="A518" s="75">
        <v>38153</v>
      </c>
      <c r="B518" s="86" t="str">
        <f>TiposLancamentos!B6</f>
        <v>Energia Eletrica</v>
      </c>
      <c r="C518" s="3" t="s">
        <v>2522</v>
      </c>
      <c r="D518" s="63"/>
      <c r="E518" s="98">
        <v>46.83</v>
      </c>
    </row>
    <row r="519" spans="1:5">
      <c r="A519" s="75">
        <v>38153</v>
      </c>
      <c r="B519" s="86" t="str">
        <f>TiposLancamentos!B2</f>
        <v>Telefonia</v>
      </c>
      <c r="C519" s="3" t="s">
        <v>14457</v>
      </c>
      <c r="D519" s="63"/>
      <c r="E519" s="98">
        <v>58.52</v>
      </c>
    </row>
    <row r="520" spans="1:5">
      <c r="A520" s="75">
        <v>38153</v>
      </c>
      <c r="B520" s="86" t="str">
        <f>TiposLancamentos!B15</f>
        <v>Cartões de Crédito</v>
      </c>
      <c r="C520" s="3" t="s">
        <v>14458</v>
      </c>
      <c r="D520" s="63"/>
      <c r="E520" s="98">
        <v>184.47</v>
      </c>
    </row>
    <row r="521" spans="1:5">
      <c r="A521" s="75">
        <v>38156</v>
      </c>
      <c r="B521" s="86" t="str">
        <f>TiposLancamentos!B4</f>
        <v>Taxas Bancarias</v>
      </c>
      <c r="C521" s="3" t="s">
        <v>5065</v>
      </c>
      <c r="D521" s="63"/>
      <c r="E521" s="98">
        <v>2.4500000000000002</v>
      </c>
    </row>
    <row r="522" spans="1:5">
      <c r="A522" s="75">
        <v>38159</v>
      </c>
      <c r="B522" s="86" t="str">
        <f>TiposLancamentos!B8</f>
        <v>Aluguel</v>
      </c>
      <c r="C522" s="3" t="s">
        <v>14459</v>
      </c>
      <c r="D522" s="63"/>
      <c r="E522" s="98">
        <v>220</v>
      </c>
    </row>
    <row r="523" spans="1:5">
      <c r="A523" s="75">
        <v>38159</v>
      </c>
      <c r="B523" s="86" t="str">
        <f>TiposLancamentos!B100</f>
        <v>Emprestimos</v>
      </c>
      <c r="C523" s="3" t="s">
        <v>14460</v>
      </c>
      <c r="D523" s="63">
        <v>1421</v>
      </c>
      <c r="E523" s="98"/>
    </row>
    <row r="524" spans="1:5">
      <c r="A524" s="75">
        <v>38160</v>
      </c>
      <c r="B524" s="86" t="str">
        <f>TiposLancamentos!B99</f>
        <v>Venda de algo</v>
      </c>
      <c r="C524" s="3" t="s">
        <v>14461</v>
      </c>
      <c r="D524" s="63">
        <v>30</v>
      </c>
      <c r="E524" s="98"/>
    </row>
    <row r="525" spans="1:5">
      <c r="A525" s="75">
        <v>38161</v>
      </c>
      <c r="B525" s="86" t="str">
        <f>TiposLancamentos!B20</f>
        <v>Saques</v>
      </c>
      <c r="C525" s="3" t="s">
        <v>1783</v>
      </c>
      <c r="D525" s="63"/>
      <c r="E525" s="98">
        <v>10</v>
      </c>
    </row>
    <row r="526" spans="1:5">
      <c r="A526" s="79">
        <v>38163</v>
      </c>
      <c r="B526" s="95" t="str">
        <f>TiposLancamentos!B4</f>
        <v>Taxas Bancarias</v>
      </c>
      <c r="C526" s="96" t="s">
        <v>5065</v>
      </c>
      <c r="D526" s="85"/>
      <c r="E526" s="97">
        <v>5.49</v>
      </c>
    </row>
    <row r="527" spans="1:5">
      <c r="A527" s="83"/>
      <c r="B527" s="91"/>
      <c r="C527" s="92" t="s">
        <v>12913</v>
      </c>
      <c r="D527" s="93"/>
      <c r="E527" s="94"/>
    </row>
    <row r="528" spans="1:5">
      <c r="A528" s="75">
        <v>38169</v>
      </c>
      <c r="B528" s="86" t="str">
        <f>TiposLancamentos!B4</f>
        <v>Taxas Bancarias</v>
      </c>
      <c r="C528" s="3" t="str">
        <f>C505</f>
        <v xml:space="preserve">Imposto S/ Operações de credito </v>
      </c>
      <c r="D528" s="63"/>
      <c r="E528" s="98">
        <v>1.61</v>
      </c>
    </row>
    <row r="529" spans="1:5">
      <c r="A529" s="75">
        <v>38169</v>
      </c>
      <c r="B529" s="86" t="str">
        <f>TiposLancamentos!B4</f>
        <v>Taxas Bancarias</v>
      </c>
      <c r="C529" s="3" t="str">
        <f>C504</f>
        <v>DEBITO DE JUROS</v>
      </c>
      <c r="D529" s="63"/>
      <c r="E529" s="98">
        <v>112.3</v>
      </c>
    </row>
    <row r="530" spans="1:5">
      <c r="A530" s="75">
        <v>38180</v>
      </c>
      <c r="B530" s="86" t="str">
        <f>TiposLancamentos!B4</f>
        <v>Taxas Bancarias</v>
      </c>
      <c r="C530" s="3" t="s">
        <v>5065</v>
      </c>
      <c r="D530" s="63"/>
      <c r="E530" s="98">
        <v>0.42</v>
      </c>
    </row>
    <row r="531" spans="1:5">
      <c r="A531" s="75">
        <v>38183</v>
      </c>
      <c r="B531" s="86" t="str">
        <f>TiposLancamentos!B98</f>
        <v>Restituições</v>
      </c>
      <c r="C531" s="3" t="s">
        <v>14265</v>
      </c>
      <c r="D531" s="63">
        <v>757.88</v>
      </c>
      <c r="E531" s="98"/>
    </row>
    <row r="532" spans="1:5">
      <c r="A532" s="75">
        <v>38184</v>
      </c>
      <c r="B532" s="86" t="str">
        <f>TiposLancamentos!B4</f>
        <v>Taxas Bancarias</v>
      </c>
      <c r="C532" s="3" t="s">
        <v>5065</v>
      </c>
      <c r="D532" s="63"/>
      <c r="E532" s="98">
        <v>2.5499999999999998</v>
      </c>
    </row>
    <row r="533" spans="1:5">
      <c r="A533" s="75">
        <v>38191</v>
      </c>
      <c r="B533" s="86" t="str">
        <f>TiposLancamentos!B82</f>
        <v>CG Titan 125</v>
      </c>
      <c r="C533" s="3" t="s">
        <v>14462</v>
      </c>
      <c r="D533" s="63"/>
      <c r="E533" s="98">
        <v>23</v>
      </c>
    </row>
    <row r="534" spans="1:5">
      <c r="A534" s="75">
        <v>38194</v>
      </c>
      <c r="B534" s="86" t="str">
        <f>TiposLancamentos!B83</f>
        <v>Artigos Moto</v>
      </c>
      <c r="C534" s="3" t="s">
        <v>14463</v>
      </c>
      <c r="D534" s="63"/>
      <c r="E534" s="98">
        <v>40.15</v>
      </c>
    </row>
    <row r="535" spans="1:5">
      <c r="A535" s="75">
        <v>38197</v>
      </c>
      <c r="B535" s="86" t="str">
        <f>TiposLancamentos!B97</f>
        <v>Deposito Terc.</v>
      </c>
      <c r="C535" s="3" t="s">
        <v>14464</v>
      </c>
      <c r="D535" s="63">
        <v>20</v>
      </c>
      <c r="E535" s="98"/>
    </row>
    <row r="536" spans="1:5">
      <c r="A536" s="75">
        <v>38198</v>
      </c>
      <c r="B536" s="86" t="str">
        <f>TiposLancamentos!B4</f>
        <v>Taxas Bancarias</v>
      </c>
      <c r="C536" s="3" t="s">
        <v>5065</v>
      </c>
      <c r="D536" s="63"/>
      <c r="E536" s="98">
        <v>0.15</v>
      </c>
    </row>
    <row r="537" spans="1:5">
      <c r="A537" s="79">
        <v>38198</v>
      </c>
      <c r="B537" s="86" t="str">
        <f>TiposLancamentos!B4</f>
        <v>Taxas Bancarias</v>
      </c>
      <c r="C537" s="604" t="str">
        <f>C506</f>
        <v>Tarifa Emis.Cheq.Inf. Ou Igual A R$25</v>
      </c>
      <c r="D537" s="85"/>
      <c r="E537" s="97">
        <v>0.5</v>
      </c>
    </row>
    <row r="538" spans="1:5">
      <c r="A538" s="83"/>
      <c r="B538" s="91"/>
      <c r="C538" s="92" t="s">
        <v>2568</v>
      </c>
      <c r="D538" s="93"/>
      <c r="E538" s="94"/>
    </row>
    <row r="539" spans="1:5">
      <c r="A539" s="75">
        <v>38201</v>
      </c>
      <c r="B539" s="86" t="str">
        <f>TiposLancamentos!B4</f>
        <v>Taxas Bancarias</v>
      </c>
      <c r="C539" s="3" t="str">
        <f>C528</f>
        <v xml:space="preserve">Imposto S/ Operações de credito </v>
      </c>
      <c r="D539" s="63"/>
      <c r="E539" s="98">
        <v>0.35</v>
      </c>
    </row>
    <row r="540" spans="1:5">
      <c r="A540" s="75">
        <v>38201</v>
      </c>
      <c r="B540" s="86" t="str">
        <f>TiposLancamentos!B4</f>
        <v>Taxas Bancarias</v>
      </c>
      <c r="C540" s="3" t="s">
        <v>14435</v>
      </c>
      <c r="D540" s="63"/>
      <c r="E540" s="98">
        <v>24.75</v>
      </c>
    </row>
    <row r="541" spans="1:5">
      <c r="A541" s="75">
        <v>38205</v>
      </c>
      <c r="B541" s="86" t="str">
        <f>TiposLancamentos!B97</f>
        <v>Deposito Terc.</v>
      </c>
      <c r="C541" s="3" t="s">
        <v>14465</v>
      </c>
      <c r="D541" s="63">
        <v>106</v>
      </c>
      <c r="E541" s="98"/>
    </row>
    <row r="542" spans="1:5">
      <c r="A542" s="75">
        <v>38205</v>
      </c>
      <c r="B542" s="86" t="str">
        <f>TiposLancamentos!B4</f>
        <v>Taxas Bancarias</v>
      </c>
      <c r="C542" s="3" t="s">
        <v>5065</v>
      </c>
      <c r="D542" s="63"/>
      <c r="E542" s="98">
        <v>0.17</v>
      </c>
    </row>
    <row r="543" spans="1:5">
      <c r="A543" s="75">
        <v>38211</v>
      </c>
      <c r="B543" s="86" t="str">
        <f>TiposLancamentos!B79</f>
        <v>Financiamento Banco</v>
      </c>
      <c r="C543" s="3" t="s">
        <v>14466</v>
      </c>
      <c r="D543" s="63"/>
      <c r="E543" s="98">
        <v>114.21</v>
      </c>
    </row>
    <row r="544" spans="1:5">
      <c r="A544" s="79">
        <v>38219</v>
      </c>
      <c r="B544" s="95" t="str">
        <f>TiposLancamentos!B4</f>
        <v>Taxas Bancarias</v>
      </c>
      <c r="C544" s="96" t="s">
        <v>5065</v>
      </c>
      <c r="D544" s="85"/>
      <c r="E544" s="97">
        <v>0.43</v>
      </c>
    </row>
    <row r="545" spans="1:5">
      <c r="A545" s="83"/>
      <c r="B545" s="91"/>
      <c r="C545" s="92" t="s">
        <v>14467</v>
      </c>
      <c r="D545" s="93"/>
      <c r="E545" s="94"/>
    </row>
    <row r="546" spans="1:5">
      <c r="A546" s="75">
        <v>38236</v>
      </c>
      <c r="B546" s="86" t="str">
        <f>B544</f>
        <v>Taxas Bancarias</v>
      </c>
      <c r="C546" s="3" t="s">
        <v>14468</v>
      </c>
      <c r="D546" s="63">
        <v>0.02</v>
      </c>
      <c r="E546" s="98"/>
    </row>
    <row r="547" spans="1:5">
      <c r="A547" s="75">
        <v>38238</v>
      </c>
      <c r="B547" s="86" t="str">
        <f>TiposLancamentos!B59</f>
        <v>Documentos</v>
      </c>
      <c r="C547" s="3" t="s">
        <v>14469</v>
      </c>
      <c r="D547" s="63"/>
      <c r="E547" s="98">
        <v>93.5</v>
      </c>
    </row>
    <row r="548" spans="1:5">
      <c r="A548" s="75">
        <v>38238</v>
      </c>
      <c r="B548" s="86" t="str">
        <f>TiposLancamentos!B97</f>
        <v>Deposito Terc.</v>
      </c>
      <c r="C548" s="3" t="s">
        <v>14464</v>
      </c>
      <c r="D548" s="63">
        <v>210</v>
      </c>
      <c r="E548" s="98"/>
    </row>
    <row r="549" spans="1:5">
      <c r="A549" s="75">
        <v>38239</v>
      </c>
      <c r="B549" s="86" t="str">
        <f>TiposLancamentos!B97</f>
        <v>Deposito Terc.</v>
      </c>
      <c r="C549" s="3" t="s">
        <v>14470</v>
      </c>
      <c r="D549" s="63">
        <v>770</v>
      </c>
      <c r="E549" s="98"/>
    </row>
    <row r="550" spans="1:5">
      <c r="A550" s="75">
        <v>38242</v>
      </c>
      <c r="B550" s="86" t="str">
        <f>TiposLancamentos!B79</f>
        <v>Financiamento Banco</v>
      </c>
      <c r="C550" s="3" t="s">
        <v>14471</v>
      </c>
      <c r="D550" s="63"/>
      <c r="E550" s="98">
        <v>114.21</v>
      </c>
    </row>
    <row r="551" spans="1:5">
      <c r="A551" s="75">
        <v>38245</v>
      </c>
      <c r="B551" s="86" t="str">
        <f>TiposLancamentos!B80</f>
        <v>Mudanças</v>
      </c>
      <c r="C551" s="3" t="s">
        <v>14472</v>
      </c>
      <c r="D551" s="63"/>
      <c r="E551" s="98">
        <v>767</v>
      </c>
    </row>
    <row r="552" spans="1:5">
      <c r="A552" s="75">
        <v>38245</v>
      </c>
      <c r="B552" s="86" t="str">
        <f>TiposLancamentos!B15</f>
        <v>Cartões de Crédito</v>
      </c>
      <c r="C552" s="3" t="str">
        <f>C520</f>
        <v>Fatura Mastercard</v>
      </c>
      <c r="D552" s="63"/>
      <c r="E552" s="98">
        <v>303.57</v>
      </c>
    </row>
    <row r="553" spans="1:5">
      <c r="A553" s="75">
        <v>38247</v>
      </c>
      <c r="B553" s="86" t="str">
        <f>B546</f>
        <v>Taxas Bancarias</v>
      </c>
      <c r="C553" s="3" t="s">
        <v>5065</v>
      </c>
      <c r="D553" s="63"/>
      <c r="E553" s="98">
        <v>4.84</v>
      </c>
    </row>
    <row r="554" spans="1:5">
      <c r="A554" s="75">
        <v>38255</v>
      </c>
      <c r="B554" s="86" t="str">
        <f>TiposLancamentos!B20</f>
        <v>Saques</v>
      </c>
      <c r="C554" s="3" t="s">
        <v>14473</v>
      </c>
      <c r="D554" s="63"/>
      <c r="E554" s="98">
        <v>50</v>
      </c>
    </row>
    <row r="555" spans="1:5">
      <c r="A555" s="75">
        <v>38256</v>
      </c>
      <c r="B555" s="86" t="str">
        <f>B554</f>
        <v>Saques</v>
      </c>
      <c r="C555" s="3" t="str">
        <f>C554</f>
        <v>Saque pro taxi</v>
      </c>
      <c r="D555" s="63"/>
      <c r="E555" s="98">
        <v>30</v>
      </c>
    </row>
    <row r="556" spans="1:5">
      <c r="A556" s="79">
        <v>38258</v>
      </c>
      <c r="B556" s="95" t="str">
        <f>B553</f>
        <v>Taxas Bancarias</v>
      </c>
      <c r="C556" s="96" t="s">
        <v>14255</v>
      </c>
      <c r="D556" s="85"/>
      <c r="E556" s="97">
        <v>3</v>
      </c>
    </row>
    <row r="557" spans="1:5">
      <c r="A557" s="83"/>
      <c r="B557" s="91"/>
      <c r="C557" s="92" t="s">
        <v>2660</v>
      </c>
      <c r="D557" s="93"/>
      <c r="E557" s="94"/>
    </row>
    <row r="558" spans="1:5">
      <c r="A558" s="75">
        <v>38261</v>
      </c>
      <c r="B558" s="86" t="str">
        <f>B556</f>
        <v>Taxas Bancarias</v>
      </c>
      <c r="C558" s="3" t="s">
        <v>5065</v>
      </c>
      <c r="D558" s="63"/>
      <c r="E558" s="98">
        <v>0.31</v>
      </c>
    </row>
    <row r="559" spans="1:5">
      <c r="A559" s="75">
        <v>38261</v>
      </c>
      <c r="B559" s="86" t="str">
        <f>B555</f>
        <v>Saques</v>
      </c>
      <c r="C559" s="3" t="str">
        <f>C555</f>
        <v>Saque pro taxi</v>
      </c>
      <c r="D559" s="63"/>
      <c r="E559" s="98">
        <v>30</v>
      </c>
    </row>
    <row r="560" spans="1:5">
      <c r="A560" s="75">
        <v>38261</v>
      </c>
      <c r="B560" s="86" t="str">
        <f>B558</f>
        <v>Taxas Bancarias</v>
      </c>
      <c r="C560" s="3" t="s">
        <v>14474</v>
      </c>
      <c r="D560" s="63"/>
      <c r="E560" s="98">
        <v>0.2</v>
      </c>
    </row>
    <row r="561" spans="1:5">
      <c r="A561" s="75">
        <v>38261</v>
      </c>
      <c r="B561" s="86" t="str">
        <f>B558</f>
        <v>Taxas Bancarias</v>
      </c>
      <c r="C561" s="3" t="s">
        <v>14435</v>
      </c>
      <c r="D561" s="63"/>
      <c r="E561" s="98">
        <v>15.95</v>
      </c>
    </row>
    <row r="562" spans="1:5">
      <c r="A562" s="75">
        <v>38262</v>
      </c>
      <c r="B562" s="86" t="str">
        <f>B559</f>
        <v>Saques</v>
      </c>
      <c r="C562" s="3" t="s">
        <v>2668</v>
      </c>
      <c r="D562" s="63"/>
      <c r="E562" s="98">
        <v>20</v>
      </c>
    </row>
    <row r="563" spans="1:5">
      <c r="A563" s="75">
        <v>38264</v>
      </c>
      <c r="B563" s="86" t="str">
        <f>B562</f>
        <v>Saques</v>
      </c>
      <c r="C563" s="3" t="s">
        <v>2618</v>
      </c>
      <c r="D563" s="63"/>
      <c r="E563" s="98">
        <v>10</v>
      </c>
    </row>
    <row r="564" spans="1:5">
      <c r="A564" s="75">
        <v>38265</v>
      </c>
      <c r="B564" s="86" t="str">
        <f>TiposLancamentos!B105</f>
        <v>Transf. Bco</v>
      </c>
      <c r="C564" s="3" t="s">
        <v>14475</v>
      </c>
      <c r="D564" s="63">
        <v>700</v>
      </c>
      <c r="E564" s="98"/>
    </row>
    <row r="565" spans="1:5">
      <c r="A565" s="75">
        <v>38265</v>
      </c>
      <c r="B565" s="86" t="str">
        <f>B560</f>
        <v>Taxas Bancarias</v>
      </c>
      <c r="C565" s="3" t="str">
        <f>C556</f>
        <v>Tarifa Saque Rede Interligada Bco 24H</v>
      </c>
      <c r="D565" s="63"/>
      <c r="E565" s="98">
        <v>4.5</v>
      </c>
    </row>
    <row r="566" spans="1:5">
      <c r="A566" s="75">
        <v>38266</v>
      </c>
      <c r="B566" s="86" t="str">
        <f>B562</f>
        <v>Saques</v>
      </c>
      <c r="C566" s="3" t="s">
        <v>2668</v>
      </c>
      <c r="D566" s="63"/>
      <c r="E566" s="98">
        <v>50</v>
      </c>
    </row>
    <row r="567" spans="1:5">
      <c r="A567" s="75">
        <v>38266</v>
      </c>
      <c r="B567" s="86" t="str">
        <f>TiposLancamentos!B59</f>
        <v>Documentos</v>
      </c>
      <c r="C567" s="3" t="s">
        <v>14476</v>
      </c>
      <c r="D567" s="63"/>
      <c r="E567" s="98">
        <v>50</v>
      </c>
    </row>
    <row r="568" spans="1:5">
      <c r="A568" s="75">
        <v>38267</v>
      </c>
      <c r="B568" s="86" t="str">
        <f>B565</f>
        <v>Taxas Bancarias</v>
      </c>
      <c r="C568" s="3" t="str">
        <f>C565</f>
        <v>Tarifa Saque Rede Interligada Bco 24H</v>
      </c>
      <c r="D568" s="63"/>
      <c r="E568" s="98">
        <v>1.5</v>
      </c>
    </row>
    <row r="569" spans="1:5">
      <c r="A569" s="75">
        <v>38268</v>
      </c>
      <c r="B569" s="86" t="str">
        <f>B568</f>
        <v>Taxas Bancarias</v>
      </c>
      <c r="C569" s="3" t="s">
        <v>5065</v>
      </c>
      <c r="D569" s="63"/>
      <c r="E569" s="98">
        <v>1.98</v>
      </c>
    </row>
    <row r="570" spans="1:5">
      <c r="A570" s="75">
        <v>38268</v>
      </c>
      <c r="B570" s="86" t="str">
        <f>B566</f>
        <v>Saques</v>
      </c>
      <c r="C570" s="3" t="s">
        <v>2668</v>
      </c>
      <c r="D570" s="63"/>
      <c r="E570" s="98">
        <v>20</v>
      </c>
    </row>
    <row r="571" spans="1:5">
      <c r="A571" s="75">
        <v>38269</v>
      </c>
      <c r="B571" s="86" t="str">
        <f>B570</f>
        <v>Saques</v>
      </c>
      <c r="C571" s="3" t="s">
        <v>2668</v>
      </c>
      <c r="D571" s="63"/>
      <c r="E571" s="98">
        <v>20</v>
      </c>
    </row>
    <row r="572" spans="1:5">
      <c r="A572" s="75">
        <v>38270</v>
      </c>
      <c r="B572" s="86" t="str">
        <f>B571</f>
        <v>Saques</v>
      </c>
      <c r="C572" s="3" t="s">
        <v>1706</v>
      </c>
      <c r="D572" s="63"/>
      <c r="E572" s="98">
        <v>40</v>
      </c>
    </row>
    <row r="573" spans="1:5">
      <c r="A573" s="75">
        <v>38272</v>
      </c>
      <c r="B573" s="86" t="str">
        <f>TiposLancamentos!B79</f>
        <v>Financiamento Banco</v>
      </c>
      <c r="C573" s="3" t="s">
        <v>14477</v>
      </c>
      <c r="D573" s="63"/>
      <c r="E573" s="98">
        <v>114.21</v>
      </c>
    </row>
    <row r="574" spans="1:5">
      <c r="A574" s="75">
        <v>38273</v>
      </c>
      <c r="B574" s="86" t="str">
        <f>B568</f>
        <v>Taxas Bancarias</v>
      </c>
      <c r="C574" s="3" t="str">
        <f>C568</f>
        <v>Tarifa Saque Rede Interligada Bco 24H</v>
      </c>
      <c r="D574" s="63"/>
      <c r="E574" s="98">
        <v>4.5</v>
      </c>
    </row>
    <row r="575" spans="1:5">
      <c r="A575" s="75">
        <v>38274</v>
      </c>
      <c r="B575" s="86" t="str">
        <f>TiposLancamentos!B59</f>
        <v>Documentos</v>
      </c>
      <c r="C575" s="3" t="s">
        <v>14478</v>
      </c>
      <c r="D575" s="63"/>
      <c r="E575" s="98">
        <v>175</v>
      </c>
    </row>
    <row r="576" spans="1:5">
      <c r="A576" s="75">
        <v>38275</v>
      </c>
      <c r="B576" s="86" t="str">
        <f>B568</f>
        <v>Taxas Bancarias</v>
      </c>
      <c r="C576" s="3" t="str">
        <f>C569</f>
        <v>CPMF</v>
      </c>
      <c r="D576" s="63"/>
      <c r="E576" s="98">
        <v>0.92</v>
      </c>
    </row>
    <row r="577" spans="1:5">
      <c r="A577" s="75">
        <v>38282</v>
      </c>
      <c r="B577" s="86" t="str">
        <f>B576</f>
        <v>Taxas Bancarias</v>
      </c>
      <c r="C577" s="3" t="s">
        <v>5065</v>
      </c>
      <c r="D577" s="63"/>
      <c r="E577" s="98">
        <v>0.66</v>
      </c>
    </row>
    <row r="578" spans="1:5">
      <c r="A578" s="83"/>
      <c r="B578" s="91"/>
      <c r="C578" s="92" t="s">
        <v>2704</v>
      </c>
      <c r="D578" s="93"/>
      <c r="E578" s="94"/>
    </row>
    <row r="579" spans="1:5">
      <c r="A579" s="75">
        <v>38292</v>
      </c>
      <c r="B579" s="86" t="str">
        <f>B577</f>
        <v>Taxas Bancarias</v>
      </c>
      <c r="C579" s="3" t="str">
        <f>C560</f>
        <v>Impost Operação S credito</v>
      </c>
      <c r="D579" s="63"/>
      <c r="E579" s="98">
        <v>0.2</v>
      </c>
    </row>
    <row r="580" spans="1:5">
      <c r="A580" s="75">
        <v>38292</v>
      </c>
      <c r="B580" s="86" t="str">
        <f>B576</f>
        <v>Taxas Bancarias</v>
      </c>
      <c r="C580" s="3" t="str">
        <f>C561</f>
        <v>Debito de Juros</v>
      </c>
      <c r="D580" s="63"/>
      <c r="E580" s="98">
        <v>12.89</v>
      </c>
    </row>
    <row r="581" spans="1:5">
      <c r="A581" s="75">
        <v>38296</v>
      </c>
      <c r="B581" s="86" t="str">
        <f>B580</f>
        <v>Taxas Bancarias</v>
      </c>
      <c r="C581" s="3" t="s">
        <v>14211</v>
      </c>
      <c r="D581" s="63"/>
      <c r="E581" s="98">
        <v>0.04</v>
      </c>
    </row>
    <row r="582" spans="1:5">
      <c r="A582" s="75">
        <v>38299</v>
      </c>
      <c r="B582" s="86" t="str">
        <f>TiposLancamentos!B16</f>
        <v>Cristiane</v>
      </c>
      <c r="C582" s="3" t="s">
        <v>14479</v>
      </c>
      <c r="D582" s="63">
        <v>800</v>
      </c>
      <c r="E582" s="98"/>
    </row>
    <row r="583" spans="1:5">
      <c r="A583" s="75">
        <v>38301</v>
      </c>
      <c r="B583" s="86" t="str">
        <f>TiposLancamentos!B13</f>
        <v>Moradia</v>
      </c>
      <c r="C583" s="3" t="s">
        <v>14480</v>
      </c>
      <c r="D583" s="63"/>
      <c r="E583" s="98">
        <v>500</v>
      </c>
    </row>
    <row r="584" spans="1:5">
      <c r="A584" s="75">
        <v>38303</v>
      </c>
      <c r="B584" s="86" t="str">
        <f>TiposLancamentos!B79</f>
        <v>Financiamento Banco</v>
      </c>
      <c r="C584" s="3" t="s">
        <v>14481</v>
      </c>
      <c r="D584" s="63"/>
      <c r="E584" s="98">
        <v>114.21</v>
      </c>
    </row>
    <row r="585" spans="1:5">
      <c r="A585" s="75">
        <v>38303</v>
      </c>
      <c r="B585" s="86" t="str">
        <f>B564</f>
        <v>Transf. Bco</v>
      </c>
      <c r="C585" s="3" t="str">
        <f>C564</f>
        <v>Transf . Citibank</v>
      </c>
      <c r="D585" s="63">
        <v>80</v>
      </c>
      <c r="E585" s="98"/>
    </row>
    <row r="586" spans="1:5">
      <c r="A586" s="75">
        <v>38303</v>
      </c>
      <c r="B586" s="86" t="str">
        <f>B580</f>
        <v>Taxas Bancarias</v>
      </c>
      <c r="C586" s="3" t="s">
        <v>14211</v>
      </c>
      <c r="D586" s="63"/>
      <c r="E586" s="98">
        <v>0.96</v>
      </c>
    </row>
    <row r="587" spans="1:5">
      <c r="A587" s="75">
        <v>38309</v>
      </c>
      <c r="B587" s="86" t="str">
        <f>TiposLancamentos!B72</f>
        <v>Presentes</v>
      </c>
      <c r="C587" s="3" t="s">
        <v>14482</v>
      </c>
      <c r="D587" s="63"/>
      <c r="E587" s="98">
        <v>35</v>
      </c>
    </row>
    <row r="588" spans="1:5">
      <c r="A588" s="75">
        <v>38310</v>
      </c>
      <c r="B588" s="86" t="str">
        <f>B581</f>
        <v>Taxas Bancarias</v>
      </c>
      <c r="C588" s="3" t="s">
        <v>14211</v>
      </c>
      <c r="D588" s="63"/>
      <c r="E588" s="98">
        <v>2.33</v>
      </c>
    </row>
    <row r="589" spans="1:5">
      <c r="A589" s="75">
        <v>38314</v>
      </c>
      <c r="B589" s="86" t="str">
        <f>TiposLancamentos!B16</f>
        <v>Cristiane</v>
      </c>
      <c r="C589" s="3" t="s">
        <v>14483</v>
      </c>
      <c r="D589" s="63"/>
      <c r="E589" s="98">
        <v>33.700000000000003</v>
      </c>
    </row>
    <row r="590" spans="1:5">
      <c r="A590" s="75">
        <v>38314</v>
      </c>
      <c r="B590" s="86" t="str">
        <f>TiposLancamentos!B59</f>
        <v>Documentos</v>
      </c>
      <c r="C590" s="3" t="s">
        <v>14484</v>
      </c>
      <c r="D590" s="63"/>
      <c r="E590" s="98">
        <v>25</v>
      </c>
    </row>
    <row r="591" spans="1:5">
      <c r="A591" s="75">
        <v>38315</v>
      </c>
      <c r="B591" s="86" t="str">
        <f>TiposLancamentos!B5</f>
        <v>Supermercado</v>
      </c>
      <c r="C591" s="3" t="s">
        <v>4816</v>
      </c>
      <c r="D591" s="63"/>
      <c r="E591" s="98">
        <v>22.69</v>
      </c>
    </row>
    <row r="592" spans="1:5">
      <c r="A592" s="75">
        <v>38317</v>
      </c>
      <c r="B592" s="86" t="str">
        <f>B586</f>
        <v>Taxas Bancarias</v>
      </c>
      <c r="C592" s="3" t="str">
        <f>C586</f>
        <v>cpmf</v>
      </c>
      <c r="D592" s="63"/>
      <c r="E592" s="98">
        <v>0.25</v>
      </c>
    </row>
    <row r="593" spans="1:5">
      <c r="A593" s="75">
        <v>38320</v>
      </c>
      <c r="B593" s="86" t="str">
        <f>TiposLancamentos!B13</f>
        <v>Moradia</v>
      </c>
      <c r="C593" s="3" t="s">
        <v>12955</v>
      </c>
      <c r="D593" s="78"/>
      <c r="E593" s="49">
        <v>130.6</v>
      </c>
    </row>
    <row r="594" spans="1:5">
      <c r="A594" s="75">
        <v>38321</v>
      </c>
      <c r="B594" s="86" t="str">
        <f>TiposLancamentos!B72</f>
        <v>Presentes</v>
      </c>
      <c r="C594" s="3" t="s">
        <v>14485</v>
      </c>
      <c r="D594" s="78"/>
      <c r="E594" s="49">
        <v>66</v>
      </c>
    </row>
    <row r="595" spans="1:5">
      <c r="A595" s="75">
        <v>38321</v>
      </c>
      <c r="B595" s="86" t="str">
        <f>B598</f>
        <v>Cristiane</v>
      </c>
      <c r="C595" s="3" t="s">
        <v>12957</v>
      </c>
      <c r="D595" s="78"/>
      <c r="E595" s="58">
        <v>50</v>
      </c>
    </row>
    <row r="596" spans="1:5">
      <c r="A596" s="83"/>
      <c r="B596" s="91"/>
      <c r="C596" s="92" t="s">
        <v>14127</v>
      </c>
      <c r="D596" s="74"/>
      <c r="E596" s="44"/>
    </row>
    <row r="597" spans="1:5">
      <c r="A597" s="75">
        <v>38322</v>
      </c>
      <c r="B597" s="86" t="str">
        <f>B585</f>
        <v>Transf. Bco</v>
      </c>
      <c r="C597" s="3" t="str">
        <f>C585</f>
        <v>Transf . Citibank</v>
      </c>
      <c r="D597" s="78">
        <v>120</v>
      </c>
      <c r="E597" s="49"/>
    </row>
    <row r="598" spans="1:5">
      <c r="A598" s="75">
        <v>38322</v>
      </c>
      <c r="B598" s="86" t="str">
        <f>TiposLancamentos!B16</f>
        <v>Cristiane</v>
      </c>
      <c r="C598" s="3" t="s">
        <v>14486</v>
      </c>
      <c r="D598" s="78"/>
      <c r="E598" s="49">
        <v>50</v>
      </c>
    </row>
    <row r="599" spans="1:5">
      <c r="A599" s="75">
        <v>38322</v>
      </c>
      <c r="B599" s="86" t="str">
        <f>B579</f>
        <v>Taxas Bancarias</v>
      </c>
      <c r="C599" s="3" t="str">
        <f>C579</f>
        <v>Impost Operação S credito</v>
      </c>
      <c r="D599" s="78"/>
      <c r="E599" s="49">
        <v>0.11</v>
      </c>
    </row>
    <row r="600" spans="1:5">
      <c r="A600" s="75">
        <v>38322</v>
      </c>
      <c r="B600" s="86" t="str">
        <f>B580</f>
        <v>Taxas Bancarias</v>
      </c>
      <c r="C600" s="3" t="str">
        <f>C580</f>
        <v>Debito de Juros</v>
      </c>
      <c r="D600" s="78"/>
      <c r="E600" s="49">
        <v>7.61</v>
      </c>
    </row>
    <row r="601" spans="1:5">
      <c r="A601" s="75">
        <v>38324</v>
      </c>
      <c r="B601" s="86" t="str">
        <f>B600</f>
        <v>Taxas Bancarias</v>
      </c>
      <c r="C601" s="3" t="s">
        <v>5065</v>
      </c>
      <c r="D601" s="78"/>
      <c r="E601" s="49">
        <v>1.31</v>
      </c>
    </row>
    <row r="602" spans="1:5">
      <c r="A602" s="75">
        <v>38326</v>
      </c>
      <c r="B602" s="86" t="str">
        <f>B595</f>
        <v>Cristiane</v>
      </c>
      <c r="C602" s="3" t="s">
        <v>14487</v>
      </c>
      <c r="D602" s="78"/>
      <c r="E602" s="49">
        <v>35</v>
      </c>
    </row>
    <row r="603" spans="1:5">
      <c r="A603" s="75">
        <v>38331</v>
      </c>
      <c r="B603" s="86" t="str">
        <f>B600</f>
        <v>Taxas Bancarias</v>
      </c>
      <c r="C603" s="3" t="str">
        <f>C601</f>
        <v>CPMF</v>
      </c>
      <c r="D603" s="78"/>
      <c r="E603" s="49">
        <v>0.13</v>
      </c>
    </row>
    <row r="604" spans="1:5">
      <c r="A604" s="75">
        <v>38335</v>
      </c>
      <c r="B604" s="86" t="str">
        <f>TiposLancamentos!B79</f>
        <v>Financiamento Banco</v>
      </c>
      <c r="C604" s="3" t="s">
        <v>14488</v>
      </c>
      <c r="D604" s="78"/>
      <c r="E604" s="49">
        <v>114.21</v>
      </c>
    </row>
    <row r="605" spans="1:5">
      <c r="A605" s="75">
        <v>38335</v>
      </c>
      <c r="B605" s="86" t="str">
        <f>B602</f>
        <v>Cristiane</v>
      </c>
      <c r="C605" s="3" t="s">
        <v>14489</v>
      </c>
      <c r="D605" s="78"/>
      <c r="E605" s="49">
        <v>21</v>
      </c>
    </row>
    <row r="606" spans="1:5">
      <c r="A606" s="75">
        <v>38336</v>
      </c>
      <c r="B606" s="86" t="str">
        <f>B597</f>
        <v>Transf. Bco</v>
      </c>
      <c r="C606" s="3" t="s">
        <v>14475</v>
      </c>
      <c r="D606" s="78">
        <v>150</v>
      </c>
      <c r="E606" s="49"/>
    </row>
    <row r="607" spans="1:5">
      <c r="A607" s="75">
        <v>38336</v>
      </c>
      <c r="B607" s="86" t="str">
        <f>TiposLancamentos!B13</f>
        <v>Moradia</v>
      </c>
      <c r="C607" s="3" t="s">
        <v>12972</v>
      </c>
      <c r="D607" s="78"/>
      <c r="E607" s="49">
        <v>124.7</v>
      </c>
    </row>
    <row r="608" spans="1:5">
      <c r="A608" s="75">
        <v>38336</v>
      </c>
      <c r="B608" s="86" t="str">
        <f>B600</f>
        <v>Taxas Bancarias</v>
      </c>
      <c r="C608" s="3" t="s">
        <v>14490</v>
      </c>
      <c r="D608" s="78"/>
      <c r="E608" s="49">
        <v>0.5</v>
      </c>
    </row>
    <row r="609" spans="1:5">
      <c r="A609" s="75">
        <v>38338</v>
      </c>
      <c r="B609" s="86" t="str">
        <f>B608</f>
        <v>Taxas Bancarias</v>
      </c>
      <c r="C609" s="3" t="s">
        <v>5065</v>
      </c>
      <c r="D609" s="78"/>
      <c r="E609" s="49">
        <v>0.99</v>
      </c>
    </row>
    <row r="610" spans="1:5">
      <c r="A610" s="75">
        <v>38340</v>
      </c>
      <c r="B610" s="86" t="str">
        <f>TiposLancamentos!B97</f>
        <v>Deposito Terc.</v>
      </c>
      <c r="C610" s="3" t="s">
        <v>14464</v>
      </c>
      <c r="D610" s="78">
        <v>90</v>
      </c>
      <c r="E610" s="49"/>
    </row>
    <row r="611" spans="1:5">
      <c r="A611" s="75">
        <v>38341</v>
      </c>
      <c r="B611" s="86" t="str">
        <f>B598</f>
        <v>Cristiane</v>
      </c>
      <c r="C611" s="3" t="s">
        <v>12973</v>
      </c>
      <c r="D611" s="78"/>
      <c r="E611" s="49">
        <v>75</v>
      </c>
    </row>
    <row r="612" spans="1:5">
      <c r="A612" s="75">
        <v>38345</v>
      </c>
      <c r="B612" s="86" t="str">
        <f>B608</f>
        <v>Taxas Bancarias</v>
      </c>
      <c r="C612" s="3" t="s">
        <v>5065</v>
      </c>
      <c r="D612" s="78"/>
      <c r="E612" s="49">
        <v>0.81</v>
      </c>
    </row>
    <row r="613" spans="1:5">
      <c r="A613" s="75">
        <v>38345</v>
      </c>
      <c r="B613" s="86" t="str">
        <f>B612</f>
        <v>Taxas Bancarias</v>
      </c>
      <c r="C613" s="3" t="s">
        <v>14491</v>
      </c>
      <c r="D613" s="78"/>
      <c r="E613" s="49">
        <v>7.0000000000000007E-2</v>
      </c>
    </row>
    <row r="614" spans="1:5">
      <c r="A614" s="83"/>
      <c r="B614" s="91"/>
      <c r="C614" s="92" t="s">
        <v>14492</v>
      </c>
      <c r="D614" s="93"/>
      <c r="E614" s="94"/>
    </row>
    <row r="615" spans="1:5">
      <c r="A615" s="75">
        <v>38355</v>
      </c>
      <c r="B615" s="86" t="str">
        <f>B599</f>
        <v>Taxas Bancarias</v>
      </c>
      <c r="C615" s="3" t="s">
        <v>14493</v>
      </c>
      <c r="D615" s="63"/>
      <c r="E615" s="98">
        <v>29.94</v>
      </c>
    </row>
    <row r="616" spans="1:5">
      <c r="A616" s="75">
        <v>38355</v>
      </c>
      <c r="B616" s="86" t="str">
        <f>B599</f>
        <v>Taxas Bancarias</v>
      </c>
      <c r="C616" s="3" t="str">
        <f>C599</f>
        <v>Impost Operação S credito</v>
      </c>
      <c r="D616" s="63"/>
      <c r="E616" s="98">
        <v>0.42</v>
      </c>
    </row>
    <row r="617" spans="1:5">
      <c r="A617" s="75">
        <v>38357</v>
      </c>
      <c r="B617" s="86" t="str">
        <f>B616</f>
        <v>Taxas Bancarias</v>
      </c>
      <c r="C617" s="3" t="s">
        <v>14494</v>
      </c>
      <c r="D617" s="63"/>
      <c r="E617" s="98">
        <v>12</v>
      </c>
    </row>
    <row r="618" spans="1:5">
      <c r="A618" s="75">
        <v>38359</v>
      </c>
      <c r="B618" s="86" t="str">
        <f>B617</f>
        <v>Taxas Bancarias</v>
      </c>
      <c r="C618" s="3" t="s">
        <v>5065</v>
      </c>
      <c r="D618" s="63"/>
      <c r="E618" s="98">
        <v>0.43</v>
      </c>
    </row>
    <row r="619" spans="1:5">
      <c r="A619" s="75">
        <v>38362</v>
      </c>
      <c r="B619" s="86" t="str">
        <f>TiposLancamentos!B97</f>
        <v>Deposito Terc.</v>
      </c>
      <c r="C619" s="3" t="s">
        <v>14495</v>
      </c>
      <c r="D619" s="63">
        <v>437.57</v>
      </c>
      <c r="E619" s="98"/>
    </row>
    <row r="620" spans="1:5">
      <c r="A620" s="75">
        <v>38364</v>
      </c>
      <c r="B620" s="86" t="str">
        <f>TiposLancamentos!B79</f>
        <v>Financiamento Banco</v>
      </c>
      <c r="C620" s="3" t="s">
        <v>14496</v>
      </c>
      <c r="D620" s="63"/>
      <c r="E620" s="98">
        <v>114.21</v>
      </c>
    </row>
    <row r="621" spans="1:5">
      <c r="A621" s="75">
        <v>38366</v>
      </c>
      <c r="B621" s="86" t="str">
        <f>TiposLancamentos!B16</f>
        <v>Cristiane</v>
      </c>
      <c r="C621" s="3" t="s">
        <v>14464</v>
      </c>
      <c r="D621" s="63">
        <v>62</v>
      </c>
      <c r="E621" s="98"/>
    </row>
    <row r="622" spans="1:5">
      <c r="A622" s="75">
        <v>38366</v>
      </c>
      <c r="B622" s="86" t="str">
        <f>B617</f>
        <v>Taxas Bancarias</v>
      </c>
      <c r="C622" s="3" t="s">
        <v>5065</v>
      </c>
      <c r="D622" s="63"/>
      <c r="E622" s="98">
        <v>2.09</v>
      </c>
    </row>
    <row r="623" spans="1:5">
      <c r="A623" s="75">
        <v>38370</v>
      </c>
      <c r="B623" s="86" t="str">
        <f>B602</f>
        <v>Cristiane</v>
      </c>
      <c r="C623" s="3" t="s">
        <v>14497</v>
      </c>
      <c r="D623" s="63"/>
      <c r="E623" s="98">
        <v>94</v>
      </c>
    </row>
    <row r="624" spans="1:5">
      <c r="A624" s="79">
        <v>38373</v>
      </c>
      <c r="B624" s="95" t="str">
        <f>B622</f>
        <v>Taxas Bancarias</v>
      </c>
      <c r="C624" s="96" t="s">
        <v>5065</v>
      </c>
      <c r="D624" s="85"/>
      <c r="E624" s="97">
        <v>0.56999999999999995</v>
      </c>
    </row>
    <row r="625" spans="1:5">
      <c r="A625" s="83"/>
      <c r="B625" s="91"/>
      <c r="C625" s="92" t="s">
        <v>2785</v>
      </c>
      <c r="D625" s="93"/>
      <c r="E625" s="34"/>
    </row>
    <row r="626" spans="1:5">
      <c r="A626" s="75">
        <v>38384</v>
      </c>
      <c r="B626" s="86" t="str">
        <f>B617</f>
        <v>Taxas Bancarias</v>
      </c>
      <c r="C626" s="3" t="s">
        <v>14435</v>
      </c>
      <c r="D626" s="63"/>
      <c r="E626" s="98">
        <v>26.5</v>
      </c>
    </row>
    <row r="627" spans="1:5">
      <c r="A627" s="75">
        <v>38384</v>
      </c>
      <c r="B627" s="86" t="str">
        <f>B617</f>
        <v>Taxas Bancarias</v>
      </c>
      <c r="C627" s="3" t="str">
        <f>C616</f>
        <v>Impost Operação S credito</v>
      </c>
      <c r="D627" s="63"/>
      <c r="E627" s="98">
        <v>0.3</v>
      </c>
    </row>
    <row r="628" spans="1:5">
      <c r="A628" s="75">
        <v>38386</v>
      </c>
      <c r="B628" s="86" t="str">
        <f>B616</f>
        <v>Taxas Bancarias</v>
      </c>
      <c r="C628" s="3" t="s">
        <v>14498</v>
      </c>
      <c r="D628" s="63"/>
      <c r="E628" s="98">
        <v>1.45</v>
      </c>
    </row>
    <row r="629" spans="1:5">
      <c r="A629" s="75">
        <v>38387</v>
      </c>
      <c r="B629" s="86" t="str">
        <f>B627</f>
        <v>Taxas Bancarias</v>
      </c>
      <c r="C629" s="3" t="s">
        <v>5065</v>
      </c>
      <c r="D629" s="63"/>
      <c r="E629" s="98">
        <v>0.1</v>
      </c>
    </row>
    <row r="630" spans="1:5">
      <c r="A630" s="75">
        <v>38392</v>
      </c>
      <c r="B630" s="86" t="str">
        <f>B617</f>
        <v>Taxas Bancarias</v>
      </c>
      <c r="C630" s="3" t="s">
        <v>14499</v>
      </c>
      <c r="D630" s="63"/>
      <c r="E630" s="98">
        <v>12</v>
      </c>
    </row>
    <row r="631" spans="1:5">
      <c r="A631" s="75">
        <v>38394</v>
      </c>
      <c r="B631" s="86" t="str">
        <f>B630</f>
        <v>Taxas Bancarias</v>
      </c>
      <c r="C631" s="3" t="s">
        <v>5065</v>
      </c>
      <c r="D631" s="63"/>
      <c r="E631" s="98">
        <v>0.04</v>
      </c>
    </row>
    <row r="632" spans="1:5">
      <c r="A632" s="75">
        <v>38397</v>
      </c>
      <c r="B632" s="86" t="str">
        <f>TiposLancamentos!B79</f>
        <v>Financiamento Banco</v>
      </c>
      <c r="C632" s="3" t="s">
        <v>14500</v>
      </c>
      <c r="D632" s="63"/>
      <c r="E632" s="98">
        <v>114.21</v>
      </c>
    </row>
    <row r="633" spans="1:5">
      <c r="A633" s="75">
        <v>38398</v>
      </c>
      <c r="B633" s="86" t="str">
        <f>TiposLancamentos!B105</f>
        <v>Transf. Bco</v>
      </c>
      <c r="C633" s="3" t="s">
        <v>14501</v>
      </c>
      <c r="D633" s="63">
        <v>200</v>
      </c>
      <c r="E633" s="98"/>
    </row>
    <row r="634" spans="1:5">
      <c r="A634" s="79">
        <v>38401</v>
      </c>
      <c r="B634" s="95" t="str">
        <f>B630</f>
        <v>Taxas Bancarias</v>
      </c>
      <c r="C634" s="96" t="s">
        <v>5065</v>
      </c>
      <c r="D634" s="85"/>
      <c r="E634" s="97">
        <v>1.19</v>
      </c>
    </row>
    <row r="635" spans="1:5">
      <c r="A635" s="83"/>
      <c r="B635" s="91"/>
      <c r="C635" s="92" t="s">
        <v>14502</v>
      </c>
      <c r="D635" s="93"/>
      <c r="E635" s="94"/>
    </row>
    <row r="636" spans="1:5">
      <c r="A636" s="75">
        <v>38412</v>
      </c>
      <c r="B636" s="86" t="str">
        <f>TiposLancamentos!B4</f>
        <v>Taxas Bancarias</v>
      </c>
      <c r="C636" s="3" t="s">
        <v>14503</v>
      </c>
      <c r="D636" s="63"/>
      <c r="E636" s="98">
        <v>19.22</v>
      </c>
    </row>
    <row r="637" spans="1:5">
      <c r="A637" s="75">
        <v>38412</v>
      </c>
      <c r="B637" s="86" t="str">
        <f>TiposLancamentos!B4</f>
        <v>Taxas Bancarias</v>
      </c>
      <c r="C637" s="3" t="s">
        <v>14231</v>
      </c>
      <c r="D637" s="63"/>
      <c r="E637" s="98">
        <v>0.2</v>
      </c>
    </row>
    <row r="638" spans="1:5">
      <c r="A638" s="75">
        <v>38415</v>
      </c>
      <c r="B638" s="86" t="str">
        <f>TiposLancamentos!B4</f>
        <v>Taxas Bancarias</v>
      </c>
      <c r="C638" s="3" t="s">
        <v>14504</v>
      </c>
      <c r="D638" s="63"/>
      <c r="E638" s="98">
        <v>0.06</v>
      </c>
    </row>
    <row r="639" spans="1:5">
      <c r="A639" s="75">
        <v>38418</v>
      </c>
      <c r="B639" s="86" t="str">
        <f>TiposLancamentos!B4</f>
        <v>Taxas Bancarias</v>
      </c>
      <c r="C639" s="3" t="s">
        <v>14505</v>
      </c>
      <c r="D639" s="63"/>
      <c r="E639" s="98">
        <v>20</v>
      </c>
    </row>
    <row r="640" spans="1:5">
      <c r="A640" s="75">
        <v>38422</v>
      </c>
      <c r="B640" s="86" t="str">
        <f>TiposLancamentos!B97</f>
        <v>Deposito Terc.</v>
      </c>
      <c r="C640" s="3" t="s">
        <v>14506</v>
      </c>
      <c r="D640" s="63">
        <v>200</v>
      </c>
      <c r="E640" s="98"/>
    </row>
    <row r="641" spans="1:5">
      <c r="A641" s="75">
        <v>38422</v>
      </c>
      <c r="B641" s="86" t="str">
        <f>TiposLancamentos!B4</f>
        <v>Taxas Bancarias</v>
      </c>
      <c r="C641" s="3" t="s">
        <v>5065</v>
      </c>
      <c r="D641" s="63"/>
      <c r="E641" s="98">
        <v>7.0000000000000007E-2</v>
      </c>
    </row>
    <row r="642" spans="1:5">
      <c r="A642" s="75">
        <v>38425</v>
      </c>
      <c r="B642" s="86" t="str">
        <f>TiposLancamentos!B79</f>
        <v>Financiamento Banco</v>
      </c>
      <c r="C642" s="3" t="s">
        <v>14507</v>
      </c>
      <c r="D642" s="63"/>
      <c r="E642" s="98">
        <v>114.21</v>
      </c>
    </row>
    <row r="643" spans="1:5">
      <c r="A643" s="79">
        <v>38429</v>
      </c>
      <c r="B643" s="95" t="str">
        <f>TiposLancamentos!B4</f>
        <v>Taxas Bancarias</v>
      </c>
      <c r="C643" s="96" t="s">
        <v>5065</v>
      </c>
      <c r="D643" s="85"/>
      <c r="E643" s="97">
        <v>1.0900000000000001</v>
      </c>
    </row>
    <row r="644" spans="1:5">
      <c r="A644" s="83"/>
      <c r="B644" s="91"/>
      <c r="C644" s="92" t="s">
        <v>2824</v>
      </c>
      <c r="D644" s="93"/>
      <c r="E644" s="94"/>
    </row>
    <row r="645" spans="1:5">
      <c r="A645" s="75">
        <v>38443</v>
      </c>
      <c r="B645" s="86" t="str">
        <f>TiposLancamentos!B4</f>
        <v>Taxas Bancarias</v>
      </c>
      <c r="C645" s="3" t="s">
        <v>14503</v>
      </c>
      <c r="D645" s="63"/>
      <c r="E645" s="98">
        <v>13.02</v>
      </c>
    </row>
    <row r="646" spans="1:5">
      <c r="A646" s="75">
        <v>38443</v>
      </c>
      <c r="B646" s="86" t="str">
        <f>TiposLancamentos!B4</f>
        <v>Taxas Bancarias</v>
      </c>
      <c r="C646" s="3" t="s">
        <v>14434</v>
      </c>
      <c r="D646" s="63"/>
      <c r="E646" s="98">
        <v>0.13</v>
      </c>
    </row>
    <row r="647" spans="1:5">
      <c r="A647" s="75">
        <v>38447</v>
      </c>
      <c r="B647" s="86" t="str">
        <f>TiposLancamentos!B4</f>
        <v>Taxas Bancarias</v>
      </c>
      <c r="C647" s="3" t="s">
        <v>14508</v>
      </c>
      <c r="D647" s="63"/>
      <c r="E647" s="98">
        <v>20</v>
      </c>
    </row>
    <row r="648" spans="1:5">
      <c r="A648" s="75">
        <v>38450</v>
      </c>
      <c r="B648" s="86" t="str">
        <f>TiposLancamentos!B16</f>
        <v>Cristiane</v>
      </c>
      <c r="C648" s="3" t="s">
        <v>14464</v>
      </c>
      <c r="D648" s="63">
        <v>350</v>
      </c>
      <c r="E648" s="98"/>
    </row>
    <row r="649" spans="1:5">
      <c r="A649" s="75">
        <v>38450</v>
      </c>
      <c r="B649" s="86" t="str">
        <f>TiposLancamentos!B15</f>
        <v>Cartões de Crédito</v>
      </c>
      <c r="C649" s="3" t="s">
        <v>14509</v>
      </c>
      <c r="D649" s="63"/>
      <c r="E649" s="98">
        <v>49.9</v>
      </c>
    </row>
    <row r="650" spans="1:5">
      <c r="A650" s="75">
        <v>38450</v>
      </c>
      <c r="B650" s="86" t="str">
        <f>TiposLancamentos!B4</f>
        <v>Taxas Bancarias</v>
      </c>
      <c r="C650" s="3" t="s">
        <v>5065</v>
      </c>
      <c r="D650" s="63"/>
      <c r="E650" s="98">
        <v>0.11</v>
      </c>
    </row>
    <row r="651" spans="1:5">
      <c r="A651" s="75">
        <v>38454</v>
      </c>
      <c r="B651" s="86" t="str">
        <f>TiposLancamentos!B79</f>
        <v>Financiamento Banco</v>
      </c>
      <c r="C651" s="3" t="s">
        <v>14510</v>
      </c>
      <c r="D651" s="63"/>
      <c r="E651" s="98">
        <v>114.21</v>
      </c>
    </row>
    <row r="652" spans="1:5">
      <c r="A652" s="75">
        <v>38457</v>
      </c>
      <c r="B652" s="86" t="str">
        <f>TiposLancamentos!B4</f>
        <v>Taxas Bancarias</v>
      </c>
      <c r="C652" s="3" t="s">
        <v>4853</v>
      </c>
      <c r="D652" s="63"/>
      <c r="E652" s="98">
        <v>1.08</v>
      </c>
    </row>
    <row r="653" spans="1:5">
      <c r="A653" s="75">
        <v>38462</v>
      </c>
      <c r="B653" s="86" t="str">
        <f>TiposLancamentos!B2</f>
        <v>Telefonia</v>
      </c>
      <c r="C653" s="3" t="s">
        <v>2731</v>
      </c>
      <c r="D653" s="63"/>
      <c r="E653" s="98">
        <v>38.99</v>
      </c>
    </row>
    <row r="654" spans="1:5">
      <c r="A654" s="75">
        <v>38468</v>
      </c>
      <c r="B654" s="86" t="str">
        <f>TiposLancamentos!B20</f>
        <v>Saques</v>
      </c>
      <c r="C654" s="3" t="s">
        <v>2668</v>
      </c>
      <c r="D654" s="63"/>
      <c r="E654" s="98">
        <v>20</v>
      </c>
    </row>
    <row r="655" spans="1:5">
      <c r="A655" s="75">
        <v>38470</v>
      </c>
      <c r="B655" s="86" t="str">
        <f>TiposLancamentos!B4</f>
        <v>Taxas Bancarias</v>
      </c>
      <c r="C655" s="3" t="s">
        <v>14511</v>
      </c>
      <c r="D655" s="63"/>
      <c r="E655" s="98">
        <v>2.2999999999999998</v>
      </c>
    </row>
    <row r="656" spans="1:5">
      <c r="A656" s="79">
        <v>38471</v>
      </c>
      <c r="B656" s="95" t="str">
        <f>TiposLancamentos!B4</f>
        <v>Taxas Bancarias</v>
      </c>
      <c r="C656" s="96" t="s">
        <v>4853</v>
      </c>
      <c r="D656" s="85"/>
      <c r="E656" s="97">
        <v>0.21</v>
      </c>
    </row>
    <row r="657" spans="1:5">
      <c r="A657" s="83"/>
      <c r="B657" s="91"/>
      <c r="C657" s="92" t="s">
        <v>14512</v>
      </c>
      <c r="D657" s="93"/>
      <c r="E657" s="94"/>
    </row>
    <row r="658" spans="1:5">
      <c r="A658" s="75">
        <v>38474</v>
      </c>
      <c r="B658" s="86" t="str">
        <f>TiposLancamentos!B4</f>
        <v>Taxas Bancarias</v>
      </c>
      <c r="C658" s="3" t="s">
        <v>14503</v>
      </c>
      <c r="D658" s="63"/>
      <c r="E658" s="98">
        <v>3.35</v>
      </c>
    </row>
    <row r="659" spans="1:5">
      <c r="A659" s="75">
        <v>38474</v>
      </c>
      <c r="B659" s="86" t="str">
        <f>TiposLancamentos!B4</f>
        <v>Taxas Bancarias</v>
      </c>
      <c r="C659" s="3" t="s">
        <v>14434</v>
      </c>
      <c r="D659" s="63"/>
      <c r="E659" s="98">
        <v>0.03</v>
      </c>
    </row>
    <row r="660" spans="1:5">
      <c r="A660" s="75">
        <v>38477</v>
      </c>
      <c r="B660" s="86" t="str">
        <f>TiposLancamentos!B4</f>
        <v>Taxas Bancarias</v>
      </c>
      <c r="C660" s="3" t="s">
        <v>14513</v>
      </c>
      <c r="D660" s="63"/>
      <c r="E660" s="98">
        <v>20</v>
      </c>
    </row>
    <row r="661" spans="1:5">
      <c r="A661" s="75">
        <v>38478</v>
      </c>
      <c r="B661" s="86" t="str">
        <f>TiposLancamentos!B16</f>
        <v>Cristiane</v>
      </c>
      <c r="C661" s="3" t="s">
        <v>14514</v>
      </c>
      <c r="D661" s="63">
        <v>288.06</v>
      </c>
      <c r="E661" s="98"/>
    </row>
    <row r="662" spans="1:5">
      <c r="A662" s="75">
        <v>38483</v>
      </c>
      <c r="B662" s="86" t="str">
        <f>TiposLancamentos!B82</f>
        <v>CG Titan 125</v>
      </c>
      <c r="C662" s="3" t="s">
        <v>14515</v>
      </c>
      <c r="D662" s="63"/>
      <c r="E662" s="98">
        <v>133.1</v>
      </c>
    </row>
    <row r="663" spans="1:5">
      <c r="A663" s="75">
        <v>38484</v>
      </c>
      <c r="B663" s="86" t="str">
        <f>TiposLancamentos!B79</f>
        <v>Financiamento Banco</v>
      </c>
      <c r="C663" s="3" t="s">
        <v>14516</v>
      </c>
      <c r="D663" s="63"/>
      <c r="E663" s="98">
        <v>114.21</v>
      </c>
    </row>
    <row r="664" spans="1:5">
      <c r="A664" s="75">
        <v>38485</v>
      </c>
      <c r="B664" s="86" t="str">
        <f>TiposLancamentos!B4</f>
        <v>Taxas Bancarias</v>
      </c>
      <c r="C664" s="3" t="s">
        <v>4822</v>
      </c>
      <c r="D664" s="63"/>
      <c r="E664" s="98">
        <v>0.66</v>
      </c>
    </row>
    <row r="665" spans="1:5">
      <c r="A665" s="75">
        <v>38486</v>
      </c>
      <c r="B665" s="86" t="str">
        <f>TiposLancamentos!B22</f>
        <v>Combustivel</v>
      </c>
      <c r="C665" s="3" t="s">
        <v>14517</v>
      </c>
      <c r="D665" s="63"/>
      <c r="E665" s="98">
        <v>6</v>
      </c>
    </row>
    <row r="666" spans="1:5">
      <c r="A666" s="75">
        <v>38486</v>
      </c>
      <c r="B666" s="86" t="str">
        <f>TiposLancamentos!B18</f>
        <v>Alimentacao</v>
      </c>
      <c r="C666" s="3" t="s">
        <v>14518</v>
      </c>
      <c r="D666" s="63"/>
      <c r="E666" s="98">
        <v>4.8</v>
      </c>
    </row>
    <row r="667" spans="1:5">
      <c r="A667" s="79">
        <v>38492</v>
      </c>
      <c r="B667" s="95" t="str">
        <f>TiposLancamentos!B4</f>
        <v>Taxas Bancarias</v>
      </c>
      <c r="C667" s="96" t="s">
        <v>4822</v>
      </c>
      <c r="D667" s="85"/>
      <c r="E667" s="97">
        <v>0.46</v>
      </c>
    </row>
    <row r="668" spans="1:5">
      <c r="A668" s="83"/>
      <c r="B668" s="91"/>
      <c r="C668" s="92" t="s">
        <v>14519</v>
      </c>
      <c r="D668" s="93"/>
      <c r="E668" s="94"/>
    </row>
    <row r="669" spans="1:5">
      <c r="A669" s="75">
        <v>38504</v>
      </c>
      <c r="B669" s="86" t="str">
        <f>TiposLancamentos!B4</f>
        <v>Taxas Bancarias</v>
      </c>
      <c r="C669" s="605" t="s">
        <v>14520</v>
      </c>
      <c r="D669" s="63"/>
      <c r="E669" s="98">
        <v>0.11</v>
      </c>
    </row>
    <row r="670" spans="1:5">
      <c r="A670" s="75">
        <v>38508</v>
      </c>
      <c r="B670" s="86" t="str">
        <f>TiposLancamentos!B19</f>
        <v>Restaurantes</v>
      </c>
      <c r="C670" s="3" t="s">
        <v>14521</v>
      </c>
      <c r="D670" s="63"/>
      <c r="E670" s="98">
        <v>35</v>
      </c>
    </row>
    <row r="671" spans="1:5">
      <c r="A671" s="75">
        <v>38509</v>
      </c>
      <c r="B671" s="86" t="str">
        <f>TiposLancamentos!B4</f>
        <v>Taxas Bancarias</v>
      </c>
      <c r="C671" s="3" t="s">
        <v>14522</v>
      </c>
      <c r="D671" s="63"/>
      <c r="E671" s="98">
        <v>20</v>
      </c>
    </row>
    <row r="672" spans="1:5">
      <c r="A672" s="75">
        <v>38509</v>
      </c>
      <c r="B672" s="86" t="str">
        <f>TiposLancamentos!B98</f>
        <v>Restituições</v>
      </c>
      <c r="C672" s="3" t="s">
        <v>14468</v>
      </c>
      <c r="D672" s="63">
        <v>0.02</v>
      </c>
      <c r="E672" s="98"/>
    </row>
    <row r="673" spans="1:5">
      <c r="A673" s="75">
        <v>38511</v>
      </c>
      <c r="B673" s="86" t="str">
        <f>TiposLancamentos!B16</f>
        <v>Cristiane</v>
      </c>
      <c r="C673" s="605" t="s">
        <v>14523</v>
      </c>
      <c r="D673" s="63"/>
      <c r="E673" s="98">
        <v>66.400000000000006</v>
      </c>
    </row>
    <row r="674" spans="1:5">
      <c r="A674" s="75">
        <v>38511</v>
      </c>
      <c r="B674" s="86" t="str">
        <f>TiposLancamentos!B16</f>
        <v>Cristiane</v>
      </c>
      <c r="C674" s="605" t="s">
        <v>14464</v>
      </c>
      <c r="D674" s="63">
        <v>470</v>
      </c>
      <c r="E674" s="98"/>
    </row>
    <row r="675" spans="1:5">
      <c r="A675" s="75">
        <v>38513</v>
      </c>
      <c r="B675" s="86" t="str">
        <f>TiposLancamentos!B4</f>
        <v>Taxas Bancarias</v>
      </c>
      <c r="C675" s="605" t="s">
        <v>4853</v>
      </c>
      <c r="D675" s="63"/>
      <c r="E675" s="98">
        <v>0.12</v>
      </c>
    </row>
    <row r="676" spans="1:5">
      <c r="A676" s="75">
        <v>38516</v>
      </c>
      <c r="B676" s="86" t="str">
        <f>TiposLancamentos!B4</f>
        <v>Taxas Bancarias</v>
      </c>
      <c r="C676" s="605" t="s">
        <v>14524</v>
      </c>
      <c r="D676" s="63"/>
      <c r="E676" s="98">
        <v>5.4</v>
      </c>
    </row>
    <row r="677" spans="1:5">
      <c r="A677" s="75">
        <v>38516</v>
      </c>
      <c r="B677" s="86" t="str">
        <f>TiposLancamentos!B105</f>
        <v>Transf. Bco</v>
      </c>
      <c r="C677" s="605" t="s">
        <v>14525</v>
      </c>
      <c r="D677" s="63"/>
      <c r="E677" s="98">
        <v>133.1</v>
      </c>
    </row>
    <row r="678" spans="1:5">
      <c r="A678" s="75">
        <v>38516</v>
      </c>
      <c r="B678" s="86" t="str">
        <f>TiposLancamentos!B79</f>
        <v>Financiamento Banco</v>
      </c>
      <c r="C678" s="605" t="s">
        <v>14526</v>
      </c>
      <c r="D678" s="63"/>
      <c r="E678" s="98">
        <v>114.21</v>
      </c>
    </row>
    <row r="679" spans="1:5">
      <c r="A679" s="75">
        <v>38518</v>
      </c>
      <c r="B679" s="86" t="str">
        <f>TiposLancamentos!B15</f>
        <v>Cartões de Crédito</v>
      </c>
      <c r="C679" s="3" t="s">
        <v>14509</v>
      </c>
      <c r="D679" s="63"/>
      <c r="E679" s="98">
        <v>56.64</v>
      </c>
    </row>
    <row r="680" spans="1:5">
      <c r="A680" s="75">
        <v>38519</v>
      </c>
      <c r="B680" s="86" t="str">
        <f>TiposLancamentos!B16</f>
        <v>Cristiane</v>
      </c>
      <c r="C680" s="605" t="s">
        <v>14527</v>
      </c>
      <c r="D680" s="63"/>
      <c r="E680" s="98">
        <v>53.25</v>
      </c>
    </row>
    <row r="681" spans="1:5">
      <c r="A681" s="75">
        <v>38520</v>
      </c>
      <c r="B681" s="86" t="str">
        <f>TiposLancamentos!B4</f>
        <v>Taxas Bancarias</v>
      </c>
      <c r="C681" s="3" t="s">
        <v>4853</v>
      </c>
      <c r="D681" s="63"/>
      <c r="E681" s="98">
        <v>1.04</v>
      </c>
    </row>
    <row r="682" spans="1:5">
      <c r="A682" s="75">
        <v>38527</v>
      </c>
      <c r="B682" s="86" t="str">
        <f>TiposLancamentos!B4</f>
        <v>Taxas Bancarias</v>
      </c>
      <c r="C682" s="3" t="s">
        <v>4853</v>
      </c>
      <c r="D682" s="63"/>
      <c r="E682" s="98">
        <v>0.2</v>
      </c>
    </row>
    <row r="683" spans="1:5">
      <c r="A683" s="75">
        <v>38528</v>
      </c>
      <c r="B683" s="86" t="str">
        <f>TiposLancamentos!B19</f>
        <v>Restaurantes</v>
      </c>
      <c r="C683" s="3" t="s">
        <v>14528</v>
      </c>
      <c r="D683" s="63"/>
      <c r="E683" s="98">
        <v>27.5</v>
      </c>
    </row>
    <row r="684" spans="1:5">
      <c r="A684" s="83"/>
      <c r="B684" s="91"/>
      <c r="C684" s="92" t="s">
        <v>14529</v>
      </c>
      <c r="D684" s="93"/>
      <c r="E684" s="94"/>
    </row>
    <row r="685" spans="1:5">
      <c r="A685" s="75">
        <v>38534</v>
      </c>
      <c r="B685" s="86" t="str">
        <f>TiposLancamentos!B4</f>
        <v>Taxas Bancarias</v>
      </c>
      <c r="C685" s="3" t="s">
        <v>14530</v>
      </c>
      <c r="D685" s="63"/>
      <c r="E685" s="98">
        <v>0.49</v>
      </c>
    </row>
    <row r="686" spans="1:5">
      <c r="A686" s="75">
        <v>38538</v>
      </c>
      <c r="B686" s="86" t="str">
        <f>TiposLancamentos!B4</f>
        <v>Taxas Bancarias</v>
      </c>
      <c r="C686" s="3" t="s">
        <v>14531</v>
      </c>
      <c r="D686" s="63"/>
      <c r="E686" s="98">
        <v>20</v>
      </c>
    </row>
    <row r="687" spans="1:5">
      <c r="A687" s="75">
        <v>38539</v>
      </c>
      <c r="B687" s="86" t="str">
        <f>TiposLancamentos!B13</f>
        <v>Moradia</v>
      </c>
      <c r="C687" s="3" t="s">
        <v>14532</v>
      </c>
      <c r="D687" s="63"/>
      <c r="E687" s="98">
        <v>36</v>
      </c>
    </row>
    <row r="688" spans="1:5">
      <c r="A688" s="75">
        <v>38540</v>
      </c>
      <c r="B688" s="86" t="str">
        <f>TiposLancamentos!B16</f>
        <v>Cristiane</v>
      </c>
      <c r="C688" s="3" t="s">
        <v>14514</v>
      </c>
      <c r="D688" s="63">
        <v>450</v>
      </c>
      <c r="E688" s="98"/>
    </row>
    <row r="689" spans="1:5">
      <c r="A689" s="75">
        <v>38540</v>
      </c>
      <c r="B689" s="86" t="str">
        <f>TiposLancamentos!B4</f>
        <v>Taxas Bancarias</v>
      </c>
      <c r="C689" s="3" t="s">
        <v>14533</v>
      </c>
      <c r="D689" s="63"/>
      <c r="E689" s="98">
        <v>0.5</v>
      </c>
    </row>
    <row r="690" spans="1:5">
      <c r="A690" s="75">
        <v>38541</v>
      </c>
      <c r="B690" s="86" t="str">
        <f>TiposLancamentos!B4</f>
        <v>Taxas Bancarias</v>
      </c>
      <c r="C690" s="3" t="s">
        <v>4853</v>
      </c>
      <c r="D690" s="63"/>
      <c r="E690" s="98">
        <v>0.17</v>
      </c>
    </row>
    <row r="691" spans="1:5">
      <c r="A691" s="75">
        <v>38545</v>
      </c>
      <c r="B691" s="86" t="str">
        <f>TiposLancamentos!B79</f>
        <v>Financiamento Banco</v>
      </c>
      <c r="C691" s="3" t="s">
        <v>14534</v>
      </c>
      <c r="D691" s="63"/>
      <c r="E691" s="98">
        <v>114.21</v>
      </c>
    </row>
    <row r="692" spans="1:5">
      <c r="A692" s="75">
        <v>38545</v>
      </c>
      <c r="B692" s="86" t="str">
        <f>TiposLancamentos!B105</f>
        <v>Transf. Bco</v>
      </c>
      <c r="C692" s="3" t="s">
        <v>14535</v>
      </c>
      <c r="D692" s="63"/>
      <c r="E692" s="98">
        <v>133.1</v>
      </c>
    </row>
    <row r="693" spans="1:5">
      <c r="A693" s="75">
        <v>38545</v>
      </c>
      <c r="B693" s="86" t="str">
        <f>TiposLancamentos!B4</f>
        <v>Taxas Bancarias</v>
      </c>
      <c r="C693" s="3" t="s">
        <v>14524</v>
      </c>
      <c r="D693" s="63"/>
      <c r="E693" s="98">
        <v>5.4</v>
      </c>
    </row>
    <row r="694" spans="1:5">
      <c r="A694" s="75">
        <v>38548</v>
      </c>
      <c r="B694" s="86" t="str">
        <f>TiposLancamentos!B4</f>
        <v>Taxas Bancarias</v>
      </c>
      <c r="C694" s="3" t="s">
        <v>4853</v>
      </c>
      <c r="D694" s="63"/>
      <c r="E694" s="98">
        <v>0.8</v>
      </c>
    </row>
    <row r="695" spans="1:5">
      <c r="A695" s="75">
        <v>38548</v>
      </c>
      <c r="B695" s="86" t="str">
        <f>TiposLancamentos!B15</f>
        <v>Cartões de Crédito</v>
      </c>
      <c r="C695" s="3" t="s">
        <v>14509</v>
      </c>
      <c r="D695" s="63"/>
      <c r="E695" s="98">
        <v>41.5</v>
      </c>
    </row>
    <row r="696" spans="1:5">
      <c r="A696" s="75">
        <v>38553</v>
      </c>
      <c r="B696" s="86" t="str">
        <f>TiposLancamentos!B6</f>
        <v>Energia Eletrica</v>
      </c>
      <c r="C696" s="3" t="s">
        <v>4831</v>
      </c>
      <c r="D696" s="63"/>
      <c r="E696" s="98">
        <v>62.15</v>
      </c>
    </row>
    <row r="697" spans="1:5">
      <c r="A697" s="75">
        <v>38555</v>
      </c>
      <c r="B697" s="86" t="str">
        <f>TiposLancamentos!B4</f>
        <v>Taxas Bancarias</v>
      </c>
      <c r="C697" s="3" t="s">
        <v>4853</v>
      </c>
      <c r="D697" s="63"/>
      <c r="E697" s="98">
        <v>0.38</v>
      </c>
    </row>
    <row r="698" spans="1:5">
      <c r="A698" s="75">
        <v>38555</v>
      </c>
      <c r="B698" s="86" t="str">
        <f>TiposLancamentos!B16</f>
        <v>Cristiane</v>
      </c>
      <c r="C698" s="3" t="s">
        <v>14536</v>
      </c>
      <c r="D698" s="63"/>
      <c r="E698" s="98">
        <v>20</v>
      </c>
    </row>
    <row r="699" spans="1:5">
      <c r="A699" s="75">
        <v>38556</v>
      </c>
      <c r="B699" s="86" t="str">
        <f>TiposLancamentos!B16</f>
        <v>Cristiane</v>
      </c>
      <c r="C699" s="3" t="s">
        <v>14537</v>
      </c>
      <c r="D699" s="63"/>
      <c r="E699" s="98">
        <v>50</v>
      </c>
    </row>
    <row r="700" spans="1:5">
      <c r="A700" s="75">
        <v>38559</v>
      </c>
      <c r="B700" s="86" t="str">
        <f>TiposLancamentos!B4</f>
        <v>Taxas Bancarias</v>
      </c>
      <c r="C700" s="3" t="s">
        <v>14533</v>
      </c>
      <c r="D700" s="63"/>
      <c r="E700" s="98">
        <v>0.5</v>
      </c>
    </row>
    <row r="701" spans="1:5">
      <c r="A701" s="75">
        <v>38562</v>
      </c>
      <c r="B701" s="86" t="str">
        <f>TiposLancamentos!B4</f>
        <v>Taxas Bancarias</v>
      </c>
      <c r="C701" s="3" t="s">
        <v>4853</v>
      </c>
      <c r="D701" s="63"/>
      <c r="E701" s="98">
        <v>0.26</v>
      </c>
    </row>
    <row r="702" spans="1:5">
      <c r="A702" s="83"/>
      <c r="B702" s="91"/>
      <c r="C702" s="92" t="s">
        <v>2882</v>
      </c>
      <c r="D702" s="93"/>
      <c r="E702" s="94"/>
    </row>
    <row r="703" spans="1:5">
      <c r="A703" s="75">
        <v>38565</v>
      </c>
      <c r="B703" s="86" t="str">
        <f>TiposLancamentos!B16</f>
        <v>Cristiane</v>
      </c>
      <c r="C703" s="3" t="s">
        <v>14538</v>
      </c>
      <c r="D703" s="63"/>
      <c r="E703" s="98">
        <v>120</v>
      </c>
    </row>
    <row r="704" spans="1:5">
      <c r="A704" s="75">
        <v>38565</v>
      </c>
      <c r="B704" s="86" t="str">
        <f>TiposLancamentos!B44</f>
        <v>Academia</v>
      </c>
      <c r="C704" s="3" t="s">
        <v>14539</v>
      </c>
      <c r="D704" s="63"/>
      <c r="E704" s="98">
        <v>105</v>
      </c>
    </row>
    <row r="705" spans="1:5">
      <c r="A705" s="75">
        <v>38565</v>
      </c>
      <c r="B705" s="86" t="str">
        <f>TiposLancamentos!B4</f>
        <v>Taxas Bancarias</v>
      </c>
      <c r="C705" s="3" t="s">
        <v>14530</v>
      </c>
      <c r="D705" s="63"/>
      <c r="E705" s="98">
        <v>2.02</v>
      </c>
    </row>
    <row r="706" spans="1:5">
      <c r="A706" s="75">
        <v>38565</v>
      </c>
      <c r="B706" s="86" t="str">
        <f>TiposLancamentos!B4</f>
        <v>Taxas Bancarias</v>
      </c>
      <c r="C706" s="3" t="s">
        <v>14540</v>
      </c>
      <c r="D706" s="63"/>
      <c r="E706" s="98">
        <v>0.02</v>
      </c>
    </row>
    <row r="707" spans="1:5">
      <c r="A707" s="75">
        <v>38569</v>
      </c>
      <c r="B707" s="86" t="str">
        <f>TiposLancamentos!B4</f>
        <v>Taxas Bancarias</v>
      </c>
      <c r="C707" s="3" t="s">
        <v>14541</v>
      </c>
      <c r="D707" s="63"/>
      <c r="E707" s="98">
        <v>20</v>
      </c>
    </row>
    <row r="708" spans="1:5">
      <c r="A708" s="75">
        <v>38569</v>
      </c>
      <c r="B708" s="86" t="str">
        <f>TiposLancamentos!B4</f>
        <v>Taxas Bancarias</v>
      </c>
      <c r="C708" s="3" t="s">
        <v>4853</v>
      </c>
      <c r="D708" s="63"/>
      <c r="E708" s="98">
        <v>0.45</v>
      </c>
    </row>
    <row r="709" spans="1:5">
      <c r="A709" s="75">
        <v>38575</v>
      </c>
      <c r="B709" s="86" t="str">
        <f>TiposLancamentos!B82</f>
        <v>CG Titan 125</v>
      </c>
      <c r="C709" s="3" t="s">
        <v>14542</v>
      </c>
      <c r="D709" s="63"/>
      <c r="E709" s="98">
        <v>133.1</v>
      </c>
    </row>
    <row r="710" spans="1:5">
      <c r="A710" s="75">
        <v>38576</v>
      </c>
      <c r="B710" s="86" t="str">
        <f>TiposLancamentos!B79</f>
        <v>Financiamento Banco</v>
      </c>
      <c r="C710" s="3" t="s">
        <v>14543</v>
      </c>
      <c r="D710" s="63"/>
      <c r="E710" s="98">
        <v>114.21</v>
      </c>
    </row>
    <row r="711" spans="1:5">
      <c r="A711" s="75">
        <v>38576</v>
      </c>
      <c r="B711" s="86" t="str">
        <f>TiposLancamentos!B4</f>
        <v>Taxas Bancarias</v>
      </c>
      <c r="C711" s="3" t="s">
        <v>4853</v>
      </c>
      <c r="D711" s="63"/>
      <c r="E711" s="98">
        <v>0.46</v>
      </c>
    </row>
    <row r="712" spans="1:5">
      <c r="A712" s="75">
        <v>38583</v>
      </c>
      <c r="B712" s="86" t="str">
        <f>TiposLancamentos!B4</f>
        <v>Taxas Bancarias</v>
      </c>
      <c r="C712" s="3" t="s">
        <v>4853</v>
      </c>
      <c r="D712" s="63"/>
      <c r="E712" s="98">
        <v>0.93</v>
      </c>
    </row>
    <row r="713" spans="1:5">
      <c r="A713" s="75">
        <v>38588</v>
      </c>
      <c r="B713" s="86" t="str">
        <f>TiposLancamentos!B72</f>
        <v>Presentes</v>
      </c>
      <c r="C713" s="3" t="s">
        <v>14544</v>
      </c>
      <c r="D713" s="63"/>
      <c r="E713" s="98">
        <v>28</v>
      </c>
    </row>
    <row r="714" spans="1:5">
      <c r="A714" s="75">
        <v>38590</v>
      </c>
      <c r="B714" s="86" t="str">
        <f>TiposLancamentos!B4</f>
        <v>Taxas Bancarias</v>
      </c>
      <c r="C714" s="3" t="s">
        <v>4822</v>
      </c>
      <c r="D714" s="63"/>
      <c r="E714" s="98">
        <v>0.1</v>
      </c>
    </row>
    <row r="715" spans="1:5">
      <c r="A715" s="83"/>
      <c r="B715" s="91"/>
      <c r="C715" s="92" t="s">
        <v>2895</v>
      </c>
      <c r="D715" s="93"/>
      <c r="E715" s="94"/>
    </row>
    <row r="716" spans="1:5">
      <c r="A716" s="75">
        <v>38596</v>
      </c>
      <c r="B716" s="86" t="str">
        <f>TiposLancamentos!B4</f>
        <v>Taxas Bancarias</v>
      </c>
      <c r="C716" s="3" t="s">
        <v>14530</v>
      </c>
      <c r="D716" s="63"/>
      <c r="E716" s="98">
        <v>48.23</v>
      </c>
    </row>
    <row r="717" spans="1:5">
      <c r="A717" s="75">
        <v>38596</v>
      </c>
      <c r="B717" s="86" t="str">
        <f>TiposLancamentos!B4</f>
        <v>Taxas Bancarias</v>
      </c>
      <c r="C717" s="3" t="s">
        <v>14540</v>
      </c>
      <c r="D717" s="63"/>
      <c r="E717" s="98">
        <v>0.59</v>
      </c>
    </row>
    <row r="718" spans="1:5">
      <c r="A718" s="75">
        <v>38600</v>
      </c>
      <c r="B718" s="86" t="str">
        <f>TiposLancamentos!B4</f>
        <v>Taxas Bancarias</v>
      </c>
      <c r="C718" s="3" t="s">
        <v>14545</v>
      </c>
      <c r="D718" s="63"/>
      <c r="E718" s="98">
        <v>20</v>
      </c>
    </row>
    <row r="719" spans="1:5">
      <c r="A719" s="75">
        <v>38602</v>
      </c>
      <c r="B719" s="86" t="str">
        <f>TiposLancamentos!B20</f>
        <v>Saques</v>
      </c>
      <c r="C719" s="3" t="s">
        <v>2668</v>
      </c>
      <c r="D719" s="63"/>
      <c r="E719" s="98">
        <v>10</v>
      </c>
    </row>
    <row r="720" spans="1:5">
      <c r="A720" s="75">
        <v>38604</v>
      </c>
      <c r="B720" s="86" t="str">
        <f>TiposLancamentos!B16</f>
        <v>Cristiane</v>
      </c>
      <c r="C720" s="3" t="s">
        <v>14464</v>
      </c>
      <c r="D720" s="63">
        <v>450</v>
      </c>
      <c r="E720" s="98"/>
    </row>
    <row r="721" spans="1:5">
      <c r="A721" s="75">
        <v>38604</v>
      </c>
      <c r="B721" s="86" t="str">
        <f>TiposLancamentos!B4</f>
        <v>Taxas Bancarias</v>
      </c>
      <c r="C721" s="3" t="s">
        <v>5065</v>
      </c>
      <c r="D721" s="63"/>
      <c r="E721" s="98">
        <v>0.24</v>
      </c>
    </row>
    <row r="722" spans="1:5">
      <c r="A722" s="75">
        <v>38607</v>
      </c>
      <c r="B722" s="86" t="str">
        <f>TiposLancamentos!B82</f>
        <v>CG Titan 125</v>
      </c>
      <c r="C722" s="3" t="s">
        <v>14546</v>
      </c>
      <c r="D722" s="63"/>
      <c r="E722" s="98">
        <v>133.1</v>
      </c>
    </row>
    <row r="723" spans="1:5">
      <c r="A723" s="75">
        <v>38607</v>
      </c>
      <c r="B723" s="86" t="str">
        <f>TiposLancamentos!B79</f>
        <v>Financiamento Banco</v>
      </c>
      <c r="C723" s="3" t="s">
        <v>14547</v>
      </c>
      <c r="D723" s="63"/>
      <c r="E723" s="98">
        <v>114.21</v>
      </c>
    </row>
    <row r="724" spans="1:5">
      <c r="A724" s="75">
        <v>38607</v>
      </c>
      <c r="B724" s="86" t="str">
        <f>TiposLancamentos!B16</f>
        <v>Cristiane</v>
      </c>
      <c r="C724" s="3" t="s">
        <v>14548</v>
      </c>
      <c r="D724" s="63"/>
      <c r="E724" s="98">
        <v>35</v>
      </c>
    </row>
    <row r="725" spans="1:5">
      <c r="A725" s="75">
        <v>38609</v>
      </c>
      <c r="B725" s="86" t="str">
        <f>TiposLancamentos!B8</f>
        <v>Aluguel</v>
      </c>
      <c r="C725" s="3" t="s">
        <v>2542</v>
      </c>
      <c r="D725" s="63"/>
      <c r="E725" s="98">
        <v>733.5</v>
      </c>
    </row>
    <row r="726" spans="1:5">
      <c r="A726" s="79">
        <v>38611</v>
      </c>
      <c r="B726" s="95" t="str">
        <f>TiposLancamentos!B4</f>
        <v>Taxas Bancarias</v>
      </c>
      <c r="C726" s="96" t="s">
        <v>4853</v>
      </c>
      <c r="D726" s="85"/>
      <c r="E726" s="97">
        <v>5.57</v>
      </c>
    </row>
    <row r="727" spans="1:5">
      <c r="A727" s="83"/>
      <c r="B727" s="91"/>
      <c r="C727" s="92" t="s">
        <v>2901</v>
      </c>
      <c r="D727" s="93"/>
      <c r="E727" s="94"/>
    </row>
    <row r="728" spans="1:5">
      <c r="A728" s="75">
        <v>38628</v>
      </c>
      <c r="B728" s="86" t="str">
        <f>TiposLancamentos!B4</f>
        <v>Taxas Bancarias</v>
      </c>
      <c r="C728" s="3" t="s">
        <v>14530</v>
      </c>
      <c r="D728" s="63"/>
      <c r="E728" s="98">
        <v>107.35</v>
      </c>
    </row>
    <row r="729" spans="1:5">
      <c r="A729" s="75">
        <v>38628</v>
      </c>
      <c r="B729" s="86" t="str">
        <f>TiposLancamentos!B4</f>
        <v>Taxas Bancarias</v>
      </c>
      <c r="C729" s="3" t="s">
        <v>14540</v>
      </c>
      <c r="D729" s="63"/>
      <c r="E729" s="98">
        <v>1.1499999999999999</v>
      </c>
    </row>
    <row r="730" spans="1:5">
      <c r="A730" s="75">
        <v>38630</v>
      </c>
      <c r="B730" s="86" t="str">
        <f>TiposLancamentos!B4</f>
        <v>Taxas Bancarias</v>
      </c>
      <c r="C730" s="3" t="s">
        <v>14549</v>
      </c>
      <c r="D730" s="63"/>
      <c r="E730" s="98">
        <v>20</v>
      </c>
    </row>
    <row r="731" spans="1:5">
      <c r="A731" s="75">
        <v>38632</v>
      </c>
      <c r="B731" s="86" t="str">
        <f>TiposLancamentos!B4</f>
        <v>Taxas Bancarias</v>
      </c>
      <c r="C731" s="3" t="s">
        <v>4853</v>
      </c>
      <c r="D731" s="63"/>
      <c r="E731" s="98">
        <v>0.46</v>
      </c>
    </row>
    <row r="732" spans="1:5">
      <c r="A732" s="75">
        <v>38635</v>
      </c>
      <c r="B732" s="86" t="str">
        <f>TiposLancamentos!B16</f>
        <v>Cristiane</v>
      </c>
      <c r="C732" s="3" t="s">
        <v>14464</v>
      </c>
      <c r="D732" s="63">
        <v>650.13</v>
      </c>
      <c r="E732" s="98"/>
    </row>
    <row r="733" spans="1:5">
      <c r="A733" s="75">
        <v>38637</v>
      </c>
      <c r="B733" s="86" t="str">
        <f>TiposLancamentos!B79</f>
        <v>Financiamento Banco</v>
      </c>
      <c r="C733" s="3" t="s">
        <v>13106</v>
      </c>
      <c r="D733" s="63"/>
      <c r="E733" s="98">
        <v>114.21</v>
      </c>
    </row>
    <row r="734" spans="1:5">
      <c r="A734" s="75">
        <v>38639</v>
      </c>
      <c r="B734" s="86" t="str">
        <f>TiposLancamentos!B20</f>
        <v>Saques</v>
      </c>
      <c r="C734" s="3" t="s">
        <v>2668</v>
      </c>
      <c r="D734" s="63"/>
      <c r="E734" s="98">
        <v>10</v>
      </c>
    </row>
    <row r="735" spans="1:5">
      <c r="A735" s="75">
        <v>38639</v>
      </c>
      <c r="B735" s="86" t="str">
        <f>TiposLancamentos!B4</f>
        <v>Taxas Bancarias</v>
      </c>
      <c r="C735" s="3" t="s">
        <v>4853</v>
      </c>
      <c r="D735" s="63"/>
      <c r="E735" s="98">
        <v>2.4700000000000002</v>
      </c>
    </row>
    <row r="736" spans="1:5">
      <c r="A736" s="75">
        <v>38642</v>
      </c>
      <c r="B736" s="86" t="str">
        <f>TiposLancamentos!B98</f>
        <v>Restituições</v>
      </c>
      <c r="C736" s="3" t="s">
        <v>14550</v>
      </c>
      <c r="D736" s="63">
        <v>540.15</v>
      </c>
      <c r="E736" s="98"/>
    </row>
    <row r="737" spans="1:5">
      <c r="A737" s="75">
        <v>38642</v>
      </c>
      <c r="B737" s="86" t="str">
        <f>TiposLancamentos!B4</f>
        <v>Taxas Bancarias</v>
      </c>
      <c r="C737" s="3" t="s">
        <v>14551</v>
      </c>
      <c r="D737" s="63"/>
      <c r="E737" s="98">
        <v>1.8</v>
      </c>
    </row>
    <row r="738" spans="1:5">
      <c r="A738" s="75">
        <v>38643</v>
      </c>
      <c r="B738" s="86" t="str">
        <f>TiposLancamentos!B16</f>
        <v>Cristiane</v>
      </c>
      <c r="C738" s="3" t="s">
        <v>14552</v>
      </c>
      <c r="D738" s="63"/>
      <c r="E738" s="98">
        <v>48</v>
      </c>
    </row>
    <row r="739" spans="1:5">
      <c r="A739" s="75">
        <v>38644</v>
      </c>
      <c r="B739" s="86" t="str">
        <f>TiposLancamentos!B16</f>
        <v>Cristiane</v>
      </c>
      <c r="C739" s="3" t="s">
        <v>14553</v>
      </c>
      <c r="D739" s="63"/>
      <c r="E739" s="98">
        <v>51.5</v>
      </c>
    </row>
    <row r="740" spans="1:5">
      <c r="A740" s="75">
        <v>38644</v>
      </c>
      <c r="B740" s="86" t="str">
        <f>TiposLancamentos!B20</f>
        <v>Saques</v>
      </c>
      <c r="C740" s="3" t="s">
        <v>14554</v>
      </c>
      <c r="D740" s="63"/>
      <c r="E740" s="98">
        <v>300</v>
      </c>
    </row>
    <row r="741" spans="1:5">
      <c r="A741" s="75">
        <v>38644</v>
      </c>
      <c r="B741" s="86" t="str">
        <f>TiposLancamentos!B4</f>
        <v>Taxas Bancarias</v>
      </c>
      <c r="C741" s="3" t="s">
        <v>14551</v>
      </c>
      <c r="D741" s="63"/>
      <c r="E741" s="98">
        <v>1.8</v>
      </c>
    </row>
    <row r="742" spans="1:5">
      <c r="A742" s="75">
        <v>38646</v>
      </c>
      <c r="B742" s="86" t="str">
        <f>TiposLancamentos!B4</f>
        <v>Taxas Bancarias</v>
      </c>
      <c r="C742" s="3" t="s">
        <v>4822</v>
      </c>
      <c r="D742" s="63"/>
      <c r="E742" s="98">
        <v>3.64</v>
      </c>
    </row>
    <row r="743" spans="1:5">
      <c r="A743" s="75">
        <v>38651</v>
      </c>
      <c r="B743" s="86" t="str">
        <f>TiposLancamentos!B17</f>
        <v>GATO</v>
      </c>
      <c r="C743" s="3" t="s">
        <v>14555</v>
      </c>
      <c r="D743" s="63"/>
      <c r="E743" s="98">
        <v>90</v>
      </c>
    </row>
    <row r="744" spans="1:5">
      <c r="A744" s="75">
        <v>38653</v>
      </c>
      <c r="B744" s="86" t="str">
        <f>TiposLancamentos!B82</f>
        <v>CG Titan 125</v>
      </c>
      <c r="C744" s="3" t="s">
        <v>14556</v>
      </c>
      <c r="D744" s="63"/>
      <c r="E744" s="98">
        <v>30.68</v>
      </c>
    </row>
    <row r="745" spans="1:5">
      <c r="A745" s="75">
        <v>38653</v>
      </c>
      <c r="B745" s="86" t="str">
        <f>TiposLancamentos!B19</f>
        <v>Restaurantes</v>
      </c>
      <c r="C745" s="3" t="s">
        <v>14557</v>
      </c>
      <c r="D745" s="63"/>
      <c r="E745" s="98">
        <v>9.75</v>
      </c>
    </row>
    <row r="746" spans="1:5">
      <c r="A746" s="75">
        <v>38653</v>
      </c>
      <c r="B746" s="86" t="str">
        <f>TiposLancamentos!B4</f>
        <v>Taxas Bancarias</v>
      </c>
      <c r="C746" s="3" t="s">
        <v>4853</v>
      </c>
      <c r="D746" s="63"/>
      <c r="E746" s="98">
        <v>0.71</v>
      </c>
    </row>
    <row r="747" spans="1:5">
      <c r="A747" s="75">
        <v>38654</v>
      </c>
      <c r="B747" s="86" t="str">
        <f>TiposLancamentos!B19</f>
        <v>Restaurantes</v>
      </c>
      <c r="C747" s="3" t="s">
        <v>14558</v>
      </c>
      <c r="D747" s="63"/>
      <c r="E747" s="98">
        <v>53</v>
      </c>
    </row>
    <row r="748" spans="1:5">
      <c r="A748" s="75">
        <v>38654</v>
      </c>
      <c r="B748" s="86" t="str">
        <f>TiposLancamentos!B90</f>
        <v>Locadora</v>
      </c>
      <c r="C748" s="3" t="s">
        <v>1726</v>
      </c>
      <c r="D748" s="63"/>
      <c r="E748" s="98">
        <v>16</v>
      </c>
    </row>
    <row r="749" spans="1:5">
      <c r="A749" s="75">
        <v>38654</v>
      </c>
      <c r="B749" s="86" t="str">
        <f>TiposLancamentos!B62</f>
        <v>Papelaria</v>
      </c>
      <c r="C749" s="3" t="s">
        <v>14559</v>
      </c>
      <c r="D749" s="63"/>
      <c r="E749" s="98">
        <v>37.299999999999997</v>
      </c>
    </row>
    <row r="750" spans="1:5">
      <c r="A750" s="75">
        <v>38654</v>
      </c>
      <c r="B750" s="86" t="str">
        <f>TiposLancamentos!B18</f>
        <v>Alimentacao</v>
      </c>
      <c r="C750" s="3" t="s">
        <v>2635</v>
      </c>
      <c r="D750" s="63"/>
      <c r="E750" s="98">
        <v>11.2</v>
      </c>
    </row>
    <row r="751" spans="1:5">
      <c r="A751" s="75">
        <v>38654</v>
      </c>
      <c r="B751" s="86" t="str">
        <f>TiposLancamentos!B5</f>
        <v>Supermercado</v>
      </c>
      <c r="C751" s="3" t="s">
        <v>2567</v>
      </c>
      <c r="D751" s="63"/>
      <c r="E751" s="98">
        <v>8.6</v>
      </c>
    </row>
    <row r="752" spans="1:5">
      <c r="A752" s="75">
        <v>38655</v>
      </c>
      <c r="B752" s="86" t="str">
        <f>TiposLancamentos!B16</f>
        <v>Cristiane</v>
      </c>
      <c r="C752" s="3" t="s">
        <v>14560</v>
      </c>
      <c r="D752" s="63"/>
      <c r="E752" s="98">
        <v>235</v>
      </c>
    </row>
    <row r="753" spans="1:5">
      <c r="A753" s="83"/>
      <c r="B753" s="91"/>
      <c r="C753" s="92" t="s">
        <v>2931</v>
      </c>
      <c r="D753" s="93"/>
      <c r="E753" s="94"/>
    </row>
    <row r="754" spans="1:5">
      <c r="A754" s="75">
        <v>38657</v>
      </c>
      <c r="B754" s="86" t="str">
        <f>TiposLancamentos!B4</f>
        <v>Taxas Bancarias</v>
      </c>
      <c r="C754" s="3" t="s">
        <v>14561</v>
      </c>
      <c r="D754" s="63"/>
      <c r="E754" s="98">
        <v>1.1599999999999999</v>
      </c>
    </row>
    <row r="755" spans="1:5">
      <c r="A755" s="75">
        <v>38659</v>
      </c>
      <c r="B755" s="86" t="str">
        <f>TiposLancamentos!B13</f>
        <v>Moradia</v>
      </c>
      <c r="C755" s="3" t="s">
        <v>14562</v>
      </c>
      <c r="D755" s="63"/>
      <c r="E755" s="98">
        <v>36</v>
      </c>
    </row>
    <row r="756" spans="1:5">
      <c r="A756" s="75">
        <v>38659</v>
      </c>
      <c r="B756" s="86" t="str">
        <f>TiposLancamentos!B4</f>
        <v>Taxas Bancarias</v>
      </c>
      <c r="C756" s="3" t="s">
        <v>14563</v>
      </c>
      <c r="D756" s="63"/>
      <c r="E756" s="98">
        <v>114.23</v>
      </c>
    </row>
    <row r="757" spans="1:5">
      <c r="A757" s="75">
        <v>38660</v>
      </c>
      <c r="B757" s="86" t="str">
        <f>TiposLancamentos!B4</f>
        <v>Taxas Bancarias</v>
      </c>
      <c r="C757" s="3" t="s">
        <v>4853</v>
      </c>
      <c r="D757" s="63"/>
      <c r="E757" s="98">
        <v>1.5</v>
      </c>
    </row>
    <row r="758" spans="1:5">
      <c r="A758" s="75">
        <v>38661</v>
      </c>
      <c r="B758" s="86" t="str">
        <f>TiposLancamentos!B16</f>
        <v>Cristiane</v>
      </c>
      <c r="C758" s="3" t="s">
        <v>14564</v>
      </c>
      <c r="D758" s="63"/>
      <c r="E758" s="98">
        <v>41.4</v>
      </c>
    </row>
    <row r="759" spans="1:5">
      <c r="A759" s="75">
        <v>38663</v>
      </c>
      <c r="B759" s="86" t="str">
        <f>TiposLancamentos!B4</f>
        <v>Taxas Bancarias</v>
      </c>
      <c r="C759" s="3" t="s">
        <v>14565</v>
      </c>
      <c r="D759" s="63"/>
      <c r="E759" s="98">
        <v>20</v>
      </c>
    </row>
    <row r="760" spans="1:5">
      <c r="A760" s="75">
        <v>38663</v>
      </c>
      <c r="B760" s="86" t="str">
        <f>TiposLancamentos!B4</f>
        <v>Taxas Bancarias</v>
      </c>
      <c r="C760" s="3" t="s">
        <v>14566</v>
      </c>
      <c r="D760" s="63"/>
      <c r="E760" s="98">
        <v>0.5</v>
      </c>
    </row>
    <row r="761" spans="1:5">
      <c r="A761" s="75">
        <v>38667</v>
      </c>
      <c r="B761" s="86" t="str">
        <f>TiposLancamentos!B4</f>
        <v>Taxas Bancarias</v>
      </c>
      <c r="C761" s="3" t="s">
        <v>4853</v>
      </c>
      <c r="D761" s="63"/>
      <c r="E761" s="98">
        <v>0.77</v>
      </c>
    </row>
    <row r="762" spans="1:5">
      <c r="A762" s="75">
        <v>38668</v>
      </c>
      <c r="B762" s="86" t="str">
        <f>TiposLancamentos!B79</f>
        <v>Financiamento Banco</v>
      </c>
      <c r="C762" s="3" t="s">
        <v>13111</v>
      </c>
      <c r="D762" s="63"/>
      <c r="E762" s="98">
        <v>114.21</v>
      </c>
    </row>
    <row r="763" spans="1:5">
      <c r="A763" s="75">
        <v>38674</v>
      </c>
      <c r="B763" s="86" t="str">
        <f>TiposLancamentos!B4</f>
        <v>Taxas Bancarias</v>
      </c>
      <c r="C763" s="3" t="s">
        <v>4853</v>
      </c>
      <c r="D763" s="63"/>
      <c r="E763" s="98">
        <v>0.43</v>
      </c>
    </row>
    <row r="764" spans="1:5">
      <c r="A764" s="75">
        <v>38676</v>
      </c>
      <c r="B764" s="86" t="str">
        <f>TiposLancamentos!B5</f>
        <v>Supermercado</v>
      </c>
      <c r="C764" s="3" t="s">
        <v>2567</v>
      </c>
      <c r="D764" s="63"/>
      <c r="E764" s="98">
        <v>8.08</v>
      </c>
    </row>
    <row r="765" spans="1:5">
      <c r="A765" s="75">
        <v>38681</v>
      </c>
      <c r="B765" s="86" t="str">
        <f>TiposLancamentos!B4</f>
        <v>Taxas Bancarias</v>
      </c>
      <c r="C765" s="3" t="s">
        <v>4853</v>
      </c>
      <c r="D765" s="63"/>
      <c r="E765" s="98">
        <v>0.03</v>
      </c>
    </row>
    <row r="766" spans="1:5">
      <c r="A766" s="75">
        <v>38683</v>
      </c>
      <c r="B766" s="86" t="str">
        <f>TiposLancamentos!B20</f>
        <v>Saques</v>
      </c>
      <c r="C766" s="3" t="s">
        <v>2668</v>
      </c>
      <c r="D766" s="63"/>
      <c r="E766" s="98">
        <v>110</v>
      </c>
    </row>
    <row r="767" spans="1:5">
      <c r="A767" s="83"/>
      <c r="B767" s="91"/>
      <c r="C767" s="92" t="s">
        <v>2947</v>
      </c>
      <c r="D767" s="93"/>
      <c r="E767" s="94"/>
    </row>
    <row r="768" spans="1:5">
      <c r="A768" s="75">
        <v>38687</v>
      </c>
      <c r="B768" s="86" t="str">
        <f>TiposLancamentos!B4</f>
        <v>Taxas Bancarias</v>
      </c>
      <c r="C768" s="3" t="s">
        <v>14567</v>
      </c>
      <c r="D768" s="63"/>
      <c r="E768" s="98">
        <v>1.82</v>
      </c>
    </row>
    <row r="769" spans="1:5">
      <c r="A769" s="75">
        <v>38688</v>
      </c>
      <c r="B769" s="86" t="str">
        <f>TiposLancamentos!B4</f>
        <v>Taxas Bancarias</v>
      </c>
      <c r="C769" s="3" t="s">
        <v>4853</v>
      </c>
      <c r="D769" s="63"/>
      <c r="E769" s="98">
        <v>0.41</v>
      </c>
    </row>
    <row r="770" spans="1:5">
      <c r="A770" s="75">
        <v>38691</v>
      </c>
      <c r="B770" s="86" t="str">
        <f>TiposLancamentos!B105</f>
        <v>Transf. Bco</v>
      </c>
      <c r="C770" s="3" t="s">
        <v>14568</v>
      </c>
      <c r="D770" s="63">
        <v>320</v>
      </c>
      <c r="E770" s="98"/>
    </row>
    <row r="771" spans="1:5">
      <c r="A771" s="75">
        <v>38691</v>
      </c>
      <c r="B771" s="86" t="str">
        <f>TiposLancamentos!B4</f>
        <v>Taxas Bancarias</v>
      </c>
      <c r="C771" s="3" t="s">
        <v>14569</v>
      </c>
      <c r="D771" s="63"/>
      <c r="E771" s="98">
        <v>168.54</v>
      </c>
    </row>
    <row r="772" spans="1:5">
      <c r="A772" s="75">
        <v>38691</v>
      </c>
      <c r="B772" s="86" t="str">
        <f>TiposLancamentos!B4</f>
        <v>Taxas Bancarias</v>
      </c>
      <c r="C772" s="3" t="s">
        <v>14570</v>
      </c>
      <c r="D772" s="63"/>
      <c r="E772" s="98">
        <v>20</v>
      </c>
    </row>
    <row r="773" spans="1:5">
      <c r="A773" s="75">
        <v>38695</v>
      </c>
      <c r="B773" s="86" t="str">
        <f>TiposLancamentos!B4</f>
        <v>Taxas Bancarias</v>
      </c>
      <c r="C773" s="3" t="s">
        <v>4853</v>
      </c>
      <c r="D773" s="63"/>
      <c r="E773" s="98">
        <v>1.19</v>
      </c>
    </row>
    <row r="774" spans="1:5">
      <c r="A774" s="75">
        <v>38698</v>
      </c>
      <c r="B774" s="86" t="str">
        <f>TiposLancamentos!B79</f>
        <v>Financiamento Banco</v>
      </c>
      <c r="C774" s="3" t="s">
        <v>13128</v>
      </c>
      <c r="D774" s="63"/>
      <c r="E774" s="98">
        <v>114.21</v>
      </c>
    </row>
    <row r="775" spans="1:5">
      <c r="A775" s="75">
        <v>38702</v>
      </c>
      <c r="B775" s="86" t="str">
        <f>TiposLancamentos!B4</f>
        <v>Taxas Bancarias</v>
      </c>
      <c r="C775" s="3" t="s">
        <v>4853</v>
      </c>
      <c r="D775" s="63"/>
      <c r="E775" s="98">
        <v>0.43</v>
      </c>
    </row>
    <row r="776" spans="1:5">
      <c r="A776" s="83"/>
      <c r="B776" s="91"/>
      <c r="C776" s="92" t="s">
        <v>3004</v>
      </c>
      <c r="D776" s="93"/>
      <c r="E776" s="94"/>
    </row>
    <row r="777" spans="1:5">
      <c r="A777" s="75">
        <v>38719</v>
      </c>
      <c r="B777" s="86" t="str">
        <f>TiposLancamentos!B4</f>
        <v>Taxas Bancarias</v>
      </c>
      <c r="C777" s="3" t="s">
        <v>14571</v>
      </c>
      <c r="D777" s="63"/>
      <c r="E777" s="98">
        <v>2.06</v>
      </c>
    </row>
    <row r="778" spans="1:5">
      <c r="A778" s="75">
        <v>38722</v>
      </c>
      <c r="B778" s="86" t="str">
        <f>TiposLancamentos!B4</f>
        <v>Taxas Bancarias</v>
      </c>
      <c r="C778" s="3" t="s">
        <v>14572</v>
      </c>
      <c r="D778" s="63"/>
      <c r="E778" s="98">
        <v>193.32</v>
      </c>
    </row>
    <row r="779" spans="1:5">
      <c r="A779" s="75">
        <v>38723</v>
      </c>
      <c r="B779" s="86" t="str">
        <f>TiposLancamentos!B97</f>
        <v>Deposito Terc.</v>
      </c>
      <c r="C779" s="3" t="s">
        <v>14573</v>
      </c>
      <c r="D779" s="63">
        <v>2595</v>
      </c>
      <c r="E779" s="98"/>
    </row>
    <row r="780" spans="1:5">
      <c r="A780" s="75">
        <v>38723</v>
      </c>
      <c r="B780" s="86" t="str">
        <f>TiposLancamentos!B4</f>
        <v>Taxas Bancarias</v>
      </c>
      <c r="C780" s="3" t="s">
        <v>14574</v>
      </c>
      <c r="D780" s="63"/>
      <c r="E780" s="98">
        <v>25</v>
      </c>
    </row>
    <row r="781" spans="1:5">
      <c r="A781" s="75">
        <v>38723</v>
      </c>
      <c r="B781" s="86" t="str">
        <f>TiposLancamentos!B79</f>
        <v>Financiamento Banco</v>
      </c>
      <c r="C781" s="3" t="s">
        <v>13137</v>
      </c>
      <c r="D781" s="63"/>
      <c r="E781" s="98">
        <v>113.12</v>
      </c>
    </row>
    <row r="782" spans="1:5">
      <c r="A782" s="75">
        <v>38723</v>
      </c>
      <c r="B782" s="86" t="str">
        <f>TiposLancamentos!B79</f>
        <v>Financiamento Banco</v>
      </c>
      <c r="C782" s="3" t="s">
        <v>13138</v>
      </c>
      <c r="D782" s="63"/>
      <c r="E782" s="98">
        <v>107.5</v>
      </c>
    </row>
    <row r="783" spans="1:5">
      <c r="A783" s="75">
        <v>38723</v>
      </c>
      <c r="B783" s="86" t="str">
        <f>TiposLancamentos!B79</f>
        <v>Financiamento Banco</v>
      </c>
      <c r="C783" s="3" t="s">
        <v>13139</v>
      </c>
      <c r="D783" s="63"/>
      <c r="E783" s="98">
        <v>102.8</v>
      </c>
    </row>
    <row r="784" spans="1:5">
      <c r="A784" s="75">
        <v>38723</v>
      </c>
      <c r="B784" s="86" t="str">
        <f>TiposLancamentos!B79</f>
        <v>Financiamento Banco</v>
      </c>
      <c r="C784" s="3" t="s">
        <v>13140</v>
      </c>
      <c r="D784" s="63"/>
      <c r="E784" s="98">
        <v>98</v>
      </c>
    </row>
    <row r="785" spans="1:5">
      <c r="A785" s="75">
        <v>38723</v>
      </c>
      <c r="B785" s="86" t="str">
        <f>TiposLancamentos!B79</f>
        <v>Financiamento Banco</v>
      </c>
      <c r="C785" s="3" t="s">
        <v>13141</v>
      </c>
      <c r="D785" s="63"/>
      <c r="E785" s="98">
        <v>93.42</v>
      </c>
    </row>
    <row r="786" spans="1:5">
      <c r="A786" s="75">
        <v>38723</v>
      </c>
      <c r="B786" s="86" t="str">
        <f>TiposLancamentos!B79</f>
        <v>Financiamento Banco</v>
      </c>
      <c r="C786" s="3" t="s">
        <v>13142</v>
      </c>
      <c r="D786" s="63"/>
      <c r="E786" s="98">
        <v>88.92</v>
      </c>
    </row>
    <row r="787" spans="1:5">
      <c r="A787" s="75">
        <v>38723</v>
      </c>
      <c r="B787" s="86" t="str">
        <f>TiposLancamentos!B79</f>
        <v>Financiamento Banco</v>
      </c>
      <c r="C787" s="3" t="s">
        <v>13143</v>
      </c>
      <c r="D787" s="63"/>
      <c r="E787" s="98">
        <v>84.76</v>
      </c>
    </row>
    <row r="788" spans="1:5">
      <c r="A788" s="75">
        <v>38723</v>
      </c>
      <c r="B788" s="86" t="str">
        <f>TiposLancamentos!B4</f>
        <v>Taxas Bancarias</v>
      </c>
      <c r="C788" s="3" t="s">
        <v>14575</v>
      </c>
      <c r="D788" s="63"/>
      <c r="E788" s="98">
        <v>20</v>
      </c>
    </row>
    <row r="789" spans="1:5">
      <c r="A789" s="75">
        <v>38723</v>
      </c>
      <c r="B789" s="86" t="str">
        <f>TiposLancamentos!B4</f>
        <v>Taxas Bancarias</v>
      </c>
      <c r="C789" s="3" t="s">
        <v>14572</v>
      </c>
      <c r="D789" s="63"/>
      <c r="E789" s="98">
        <v>42.31</v>
      </c>
    </row>
    <row r="790" spans="1:5">
      <c r="A790" s="75">
        <v>38723</v>
      </c>
      <c r="B790" s="86" t="str">
        <f>TiposLancamentos!B4</f>
        <v>Taxas Bancarias</v>
      </c>
      <c r="C790" s="3" t="s">
        <v>14571</v>
      </c>
      <c r="D790" s="63"/>
      <c r="E790" s="98">
        <v>0.34</v>
      </c>
    </row>
    <row r="791" spans="1:5">
      <c r="A791" s="75">
        <v>38727</v>
      </c>
      <c r="B791" s="86" t="str">
        <f>TiposLancamentos!B97</f>
        <v>Deposito Terc.</v>
      </c>
      <c r="C791" s="3" t="s">
        <v>14576</v>
      </c>
      <c r="D791" s="63">
        <v>41.95</v>
      </c>
      <c r="E791" s="98"/>
    </row>
    <row r="792" spans="1:5">
      <c r="A792" s="75">
        <v>38727</v>
      </c>
      <c r="B792" s="86" t="str">
        <f>TiposLancamentos!B4</f>
        <v>Taxas Bancarias</v>
      </c>
      <c r="C792" s="3" t="s">
        <v>14577</v>
      </c>
      <c r="D792" s="63"/>
      <c r="E792" s="98">
        <v>0.96</v>
      </c>
    </row>
    <row r="793" spans="1:5">
      <c r="A793" s="75">
        <v>38729</v>
      </c>
      <c r="B793" s="86" t="str">
        <f>TiposLancamentos!B4</f>
        <v>Taxas Bancarias</v>
      </c>
      <c r="C793" s="3" t="s">
        <v>14578</v>
      </c>
      <c r="D793" s="63"/>
      <c r="E793" s="98">
        <v>6.09</v>
      </c>
    </row>
    <row r="794" spans="1:5">
      <c r="A794" s="79">
        <v>38730</v>
      </c>
      <c r="B794" s="95" t="str">
        <f>TiposLancamentos!B4</f>
        <v>Taxas Bancarias</v>
      </c>
      <c r="C794" s="96" t="s">
        <v>4853</v>
      </c>
      <c r="D794" s="85"/>
      <c r="E794" s="97">
        <v>10.61</v>
      </c>
    </row>
    <row r="795" spans="1:5">
      <c r="A795" s="46"/>
      <c r="B795" s="116"/>
      <c r="C795" s="184" t="s">
        <v>12</v>
      </c>
      <c r="D795" s="185">
        <f>SUM(D2:D794)</f>
        <v>44247.269999999982</v>
      </c>
      <c r="E795" s="186">
        <f>SUM(E2:E794)</f>
        <v>44247.269999999968</v>
      </c>
    </row>
    <row r="796" spans="1:5">
      <c r="A796" s="46"/>
      <c r="B796" s="116"/>
      <c r="C796" s="52"/>
      <c r="D796" s="51"/>
      <c r="E796" s="98"/>
    </row>
    <row r="797" spans="1:5">
      <c r="A797" s="119"/>
      <c r="B797" s="120"/>
      <c r="C797" s="24" t="s">
        <v>13</v>
      </c>
      <c r="D797" s="121"/>
      <c r="E797" s="35">
        <f>D795-E795</f>
        <v>0</v>
      </c>
    </row>
    <row r="798" spans="1:5">
      <c r="A798" s="116"/>
      <c r="B798" s="116"/>
      <c r="C798" s="52"/>
      <c r="D798" s="606"/>
      <c r="E798" s="64"/>
    </row>
    <row r="799" spans="1:5">
      <c r="A799" s="116"/>
      <c r="B799" s="116"/>
      <c r="C799" s="52"/>
      <c r="D799" s="606"/>
      <c r="E799" s="590"/>
    </row>
    <row r="801" spans="3:5">
      <c r="D801" s="25" t="s">
        <v>1279</v>
      </c>
      <c r="E801" s="607">
        <v>7007</v>
      </c>
    </row>
    <row r="802" spans="3:5">
      <c r="C802" s="36"/>
      <c r="D802" s="25" t="s">
        <v>14579</v>
      </c>
      <c r="E802" s="607" t="s">
        <v>14580</v>
      </c>
    </row>
    <row r="803" spans="3:5">
      <c r="D803" s="25" t="s">
        <v>14581</v>
      </c>
      <c r="E803" s="25">
        <v>6478</v>
      </c>
    </row>
    <row r="804" spans="3:5">
      <c r="D804" s="25" t="s">
        <v>14582</v>
      </c>
      <c r="E804" s="607" t="s">
        <v>14583</v>
      </c>
    </row>
    <row r="805" spans="3:5">
      <c r="D805" s="66" t="s">
        <v>14584</v>
      </c>
      <c r="E805" s="66" t="s">
        <v>931</v>
      </c>
    </row>
    <row r="806" spans="3:5">
      <c r="D806" s="25" t="s">
        <v>14585</v>
      </c>
      <c r="E806" s="608">
        <v>0.1099</v>
      </c>
    </row>
    <row r="807" spans="3:5">
      <c r="D807" s="25" t="s">
        <v>14586</v>
      </c>
      <c r="E807" s="608">
        <v>5.1700000000000003E-2</v>
      </c>
    </row>
    <row r="808" spans="3:5">
      <c r="D808" s="25" t="s">
        <v>4858</v>
      </c>
      <c r="E808" s="608">
        <v>1.25E-3</v>
      </c>
    </row>
    <row r="809" spans="3:5">
      <c r="D809" s="25" t="s">
        <v>14587</v>
      </c>
      <c r="E809" s="608">
        <v>3.5000000000000001E-3</v>
      </c>
    </row>
    <row r="810" spans="3:5">
      <c r="D810" s="458" t="s">
        <v>14588</v>
      </c>
      <c r="E810" s="58">
        <v>0</v>
      </c>
    </row>
    <row r="811" spans="3:5">
      <c r="D811" s="25" t="s">
        <v>9748</v>
      </c>
      <c r="E811" s="34">
        <f>(IF(E797&lt;0,(E797*-1)*E806,0))</f>
        <v>0</v>
      </c>
    </row>
    <row r="812" spans="3:5">
      <c r="C812" s="36"/>
      <c r="D812" s="25" t="s">
        <v>9749</v>
      </c>
      <c r="E812" s="34">
        <f>(IF(E797&lt;0,(E797*-1)*E808,0))</f>
        <v>0</v>
      </c>
    </row>
    <row r="813" spans="3:5">
      <c r="C813" s="36"/>
      <c r="D813" s="25" t="s">
        <v>9750</v>
      </c>
      <c r="E813" s="34">
        <f>IF(E797&lt;0,(E797*-1)*E809,0)</f>
        <v>0</v>
      </c>
    </row>
    <row r="814" spans="3:5">
      <c r="C814" s="36"/>
      <c r="D814" s="177" t="s">
        <v>9751</v>
      </c>
      <c r="E814" s="58">
        <f>IF(E797&lt;0,(E797*-1)+E811+E812,0)</f>
        <v>0</v>
      </c>
    </row>
  </sheetData>
  <sheetProtection selectLockedCells="1" selectUnlockedCells="1"/>
  <conditionalFormatting sqref="E625">
    <cfRule type="cellIs" dxfId="125" priority="1" stopIfTrue="1" operator="lessThan">
      <formula>0</formula>
    </cfRule>
  </conditionalFormatting>
  <pageMargins left="0.78749999999999998" right="0.78749999999999998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Plan50"/>
  <dimension ref="A1:F159"/>
  <sheetViews>
    <sheetView workbookViewId="0">
      <pane xSplit="6" ySplit="1" topLeftCell="G93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" defaultRowHeight="13.5"/>
  <cols>
    <col min="1" max="1" width="17.5703125" style="3" customWidth="1"/>
    <col min="2" max="2" width="21.42578125" style="3" customWidth="1"/>
    <col min="3" max="3" width="39" style="3" customWidth="1"/>
    <col min="4" max="4" width="15.140625" style="3" customWidth="1"/>
    <col min="5" max="5" width="15.140625" style="221" customWidth="1"/>
    <col min="6" max="6" width="14.42578125" style="3" customWidth="1"/>
    <col min="7" max="16384" width="9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83">
        <v>37953</v>
      </c>
      <c r="B2" s="91" t="str">
        <f>TiposLancamentos!B78</f>
        <v>Diferenças</v>
      </c>
      <c r="C2" s="1446" t="s">
        <v>14589</v>
      </c>
      <c r="D2" s="93">
        <v>50.47</v>
      </c>
      <c r="E2" s="230"/>
      <c r="F2" s="223">
        <v>156.91999999999999</v>
      </c>
    </row>
    <row r="3" spans="1:6">
      <c r="A3" s="75"/>
      <c r="B3" s="86"/>
      <c r="C3" s="47" t="s">
        <v>14590</v>
      </c>
      <c r="D3" s="63"/>
      <c r="E3" s="231"/>
      <c r="F3" s="224">
        <v>-106.45</v>
      </c>
    </row>
    <row r="4" spans="1:6">
      <c r="A4" s="75">
        <v>37953</v>
      </c>
      <c r="B4" s="86" t="str">
        <f>TiposLancamentos!B15</f>
        <v>Cartões de Crédito</v>
      </c>
      <c r="C4" s="52" t="s">
        <v>14591</v>
      </c>
      <c r="D4" s="63">
        <v>106.47</v>
      </c>
      <c r="E4" s="231"/>
      <c r="F4" s="224">
        <f>SUM(F2:F3)</f>
        <v>50.469999999999985</v>
      </c>
    </row>
    <row r="5" spans="1:6">
      <c r="A5" s="75">
        <v>37956</v>
      </c>
      <c r="B5" s="86" t="str">
        <f>TiposLancamentos!B70</f>
        <v>Vestuário</v>
      </c>
      <c r="C5" s="52" t="s">
        <v>12706</v>
      </c>
      <c r="D5" s="63"/>
      <c r="E5" s="231">
        <v>24.98</v>
      </c>
      <c r="F5" s="224"/>
    </row>
    <row r="6" spans="1:6">
      <c r="A6" s="79">
        <v>37979</v>
      </c>
      <c r="B6" s="95" t="str">
        <f>TiposLancamentos!B25</f>
        <v>CD_DVD_BD</v>
      </c>
      <c r="C6" s="477" t="s">
        <v>12890</v>
      </c>
      <c r="D6" s="85"/>
      <c r="E6" s="589">
        <v>28.66</v>
      </c>
      <c r="F6" s="177"/>
    </row>
    <row r="7" spans="1:6">
      <c r="A7" s="83"/>
      <c r="B7" s="91"/>
      <c r="C7" s="43" t="s">
        <v>14321</v>
      </c>
      <c r="D7" s="93"/>
      <c r="E7" s="230"/>
      <c r="F7" s="223">
        <f>SUBTOTAL(9,E2:E6)</f>
        <v>53.64</v>
      </c>
    </row>
    <row r="8" spans="1:6">
      <c r="A8" s="75">
        <v>37979</v>
      </c>
      <c r="B8" s="86" t="str">
        <f>TiposLancamentos!B72</f>
        <v>Presentes</v>
      </c>
      <c r="C8" s="52" t="s">
        <v>14592</v>
      </c>
      <c r="D8" s="63"/>
      <c r="E8" s="231">
        <v>39.75</v>
      </c>
      <c r="F8" s="224"/>
    </row>
    <row r="9" spans="1:6">
      <c r="A9" s="75">
        <v>37982</v>
      </c>
      <c r="B9" s="86" t="str">
        <f>TiposLancamentos!B22</f>
        <v>Combustivel</v>
      </c>
      <c r="C9" s="52" t="s">
        <v>918</v>
      </c>
      <c r="D9" s="63"/>
      <c r="E9" s="231">
        <v>15</v>
      </c>
      <c r="F9" s="224"/>
    </row>
    <row r="10" spans="1:6">
      <c r="A10" s="75">
        <v>37987</v>
      </c>
      <c r="B10" s="86" t="str">
        <f>TiposLancamentos!B70</f>
        <v>Vestuário</v>
      </c>
      <c r="C10" s="52" t="s">
        <v>14593</v>
      </c>
      <c r="D10" s="63"/>
      <c r="E10" s="231">
        <v>24.96</v>
      </c>
      <c r="F10" s="224"/>
    </row>
    <row r="11" spans="1:6">
      <c r="A11" s="75">
        <v>37990</v>
      </c>
      <c r="B11" s="86" t="str">
        <f>TiposLancamentos!B22</f>
        <v>Combustivel</v>
      </c>
      <c r="C11" s="52" t="s">
        <v>918</v>
      </c>
      <c r="D11" s="63"/>
      <c r="E11" s="231">
        <v>20.25</v>
      </c>
      <c r="F11" s="224"/>
    </row>
    <row r="12" spans="1:6">
      <c r="A12" s="75">
        <v>37991</v>
      </c>
      <c r="B12" s="86" t="str">
        <f>TiposLancamentos!B15</f>
        <v>Cartões de Crédito</v>
      </c>
      <c r="C12" s="52" t="s">
        <v>14591</v>
      </c>
      <c r="D12" s="63">
        <v>53.64</v>
      </c>
      <c r="E12" s="231"/>
      <c r="F12" s="224"/>
    </row>
    <row r="13" spans="1:6">
      <c r="A13" s="79">
        <v>38001</v>
      </c>
      <c r="B13" s="95" t="str">
        <f>TiposLancamentos!B75</f>
        <v>Shows</v>
      </c>
      <c r="C13" s="477" t="s">
        <v>14594</v>
      </c>
      <c r="D13" s="85"/>
      <c r="E13" s="589">
        <v>113</v>
      </c>
      <c r="F13" s="177"/>
    </row>
    <row r="14" spans="1:6">
      <c r="A14" s="75"/>
      <c r="B14" s="86"/>
      <c r="C14" s="52" t="s">
        <v>14359</v>
      </c>
      <c r="D14" s="63"/>
      <c r="E14" s="231"/>
      <c r="F14" s="224">
        <f>SUBTOTAL(9,E7:E13)</f>
        <v>212.96</v>
      </c>
    </row>
    <row r="15" spans="1:6">
      <c r="A15" s="75">
        <v>38013</v>
      </c>
      <c r="B15" s="86" t="str">
        <f>TiposLancamentos!B71</f>
        <v>Itens Pessoais</v>
      </c>
      <c r="C15" s="52" t="s">
        <v>14595</v>
      </c>
      <c r="D15" s="63"/>
      <c r="E15" s="231">
        <v>28.34</v>
      </c>
      <c r="F15" s="224"/>
    </row>
    <row r="16" spans="1:6">
      <c r="A16" s="75">
        <v>38013</v>
      </c>
      <c r="B16" s="86" t="str">
        <f>TiposLancamentos!B22</f>
        <v>Combustivel</v>
      </c>
      <c r="C16" s="52" t="s">
        <v>918</v>
      </c>
      <c r="D16" s="63"/>
      <c r="E16" s="231">
        <v>20</v>
      </c>
      <c r="F16" s="224"/>
    </row>
    <row r="17" spans="1:6">
      <c r="A17" s="75">
        <v>38018</v>
      </c>
      <c r="B17" s="86" t="str">
        <f>TiposLancamentos!B70</f>
        <v>Vestuário</v>
      </c>
      <c r="C17" s="52" t="s">
        <v>12722</v>
      </c>
      <c r="D17" s="63"/>
      <c r="E17" s="231">
        <v>24.96</v>
      </c>
      <c r="F17" s="224"/>
    </row>
    <row r="18" spans="1:6">
      <c r="A18" s="75">
        <v>38022</v>
      </c>
      <c r="B18" s="86" t="str">
        <f>TiposLancamentos!B15</f>
        <v>Cartões de Crédito</v>
      </c>
      <c r="C18" s="52" t="s">
        <v>14591</v>
      </c>
      <c r="D18" s="63">
        <v>212.96</v>
      </c>
      <c r="E18" s="231"/>
      <c r="F18" s="224"/>
    </row>
    <row r="19" spans="1:6">
      <c r="A19" s="75">
        <v>38024</v>
      </c>
      <c r="B19" s="86" t="str">
        <f>TiposLancamentos!B69</f>
        <v>Consertos</v>
      </c>
      <c r="C19" s="52" t="s">
        <v>14596</v>
      </c>
      <c r="D19" s="63"/>
      <c r="E19" s="231">
        <v>99.58</v>
      </c>
      <c r="F19" s="224"/>
    </row>
    <row r="20" spans="1:6">
      <c r="A20" s="75">
        <v>38031</v>
      </c>
      <c r="B20" s="86" t="str">
        <f>TiposLancamentos!B25</f>
        <v>CD_DVD_BD</v>
      </c>
      <c r="C20" s="52" t="s">
        <v>14597</v>
      </c>
      <c r="D20" s="63"/>
      <c r="E20" s="231">
        <v>15.8</v>
      </c>
      <c r="F20" s="224"/>
    </row>
    <row r="21" spans="1:6">
      <c r="A21" s="75">
        <v>38033</v>
      </c>
      <c r="B21" s="86" t="str">
        <f>TiposLancamentos!B22</f>
        <v>Combustivel</v>
      </c>
      <c r="C21" s="52" t="s">
        <v>918</v>
      </c>
      <c r="D21" s="63"/>
      <c r="E21" s="231">
        <v>20</v>
      </c>
      <c r="F21" s="224"/>
    </row>
    <row r="22" spans="1:6">
      <c r="A22" s="75">
        <v>38046</v>
      </c>
      <c r="B22" s="86" t="str">
        <f>TiposLancamentos!B22</f>
        <v>Combustivel</v>
      </c>
      <c r="C22" s="52" t="s">
        <v>918</v>
      </c>
      <c r="D22" s="63"/>
      <c r="E22" s="231">
        <v>18.850000000000001</v>
      </c>
      <c r="F22" s="224"/>
    </row>
    <row r="23" spans="1:6">
      <c r="A23" s="83"/>
      <c r="B23" s="91"/>
      <c r="C23" s="43" t="s">
        <v>14598</v>
      </c>
      <c r="D23" s="93"/>
      <c r="E23" s="230"/>
      <c r="F23" s="223">
        <f>SUBTOTAL(9,E14:E22)</f>
        <v>227.53</v>
      </c>
    </row>
    <row r="24" spans="1:6">
      <c r="A24" s="75">
        <v>38044</v>
      </c>
      <c r="B24" s="86" t="str">
        <f>TiposLancamentos!B71</f>
        <v>Itens Pessoais</v>
      </c>
      <c r="C24" s="52" t="s">
        <v>14599</v>
      </c>
      <c r="D24" s="63"/>
      <c r="E24" s="231">
        <v>28.34</v>
      </c>
      <c r="F24" s="224"/>
    </row>
    <row r="25" spans="1:6">
      <c r="A25" s="75">
        <v>38051</v>
      </c>
      <c r="B25" s="86" t="str">
        <f>TiposLancamentos!B15</f>
        <v>Cartões de Crédito</v>
      </c>
      <c r="C25" s="52" t="s">
        <v>14591</v>
      </c>
      <c r="D25" s="63">
        <v>208.68</v>
      </c>
      <c r="E25" s="231"/>
      <c r="F25" s="224"/>
    </row>
    <row r="26" spans="1:6">
      <c r="A26" s="75">
        <v>38052</v>
      </c>
      <c r="B26" s="86" t="str">
        <f>TiposLancamentos!B57</f>
        <v>Informática</v>
      </c>
      <c r="C26" s="52" t="s">
        <v>14600</v>
      </c>
      <c r="D26" s="63"/>
      <c r="E26" s="231">
        <v>29.88</v>
      </c>
      <c r="F26" s="224"/>
    </row>
    <row r="27" spans="1:6">
      <c r="A27" s="75">
        <v>38053</v>
      </c>
      <c r="B27" s="86" t="str">
        <f>TiposLancamentos!B69</f>
        <v>Consertos</v>
      </c>
      <c r="C27" s="52" t="s">
        <v>14601</v>
      </c>
      <c r="D27" s="63"/>
      <c r="E27" s="231">
        <v>99.58</v>
      </c>
      <c r="F27" s="224"/>
    </row>
    <row r="28" spans="1:6">
      <c r="A28" s="75">
        <v>38061</v>
      </c>
      <c r="B28" s="86" t="str">
        <f>TiposLancamentos!B45</f>
        <v>Online Services</v>
      </c>
      <c r="C28" s="52" t="s">
        <v>14602</v>
      </c>
      <c r="D28" s="63"/>
      <c r="E28" s="231">
        <v>13.9</v>
      </c>
      <c r="F28" s="224"/>
    </row>
    <row r="29" spans="1:6">
      <c r="A29" s="83"/>
      <c r="B29" s="91"/>
      <c r="C29" s="43" t="s">
        <v>14411</v>
      </c>
      <c r="D29" s="93"/>
      <c r="E29" s="230"/>
      <c r="F29" s="223">
        <f>SUBTOTAL(9,E23:E28)</f>
        <v>171.70000000000002</v>
      </c>
    </row>
    <row r="30" spans="1:6">
      <c r="A30" s="75">
        <v>38073</v>
      </c>
      <c r="B30" s="86" t="str">
        <f>TiposLancamentos!B71</f>
        <v>Itens Pessoais</v>
      </c>
      <c r="C30" s="52" t="s">
        <v>14603</v>
      </c>
      <c r="D30" s="63"/>
      <c r="E30" s="231">
        <v>28.34</v>
      </c>
      <c r="F30" s="224"/>
    </row>
    <row r="31" spans="1:6">
      <c r="A31" s="75">
        <v>38081</v>
      </c>
      <c r="B31" s="86" t="str">
        <f>TiposLancamentos!B22</f>
        <v>Combustivel</v>
      </c>
      <c r="C31" s="52" t="s">
        <v>918</v>
      </c>
      <c r="D31" s="63"/>
      <c r="E31" s="231">
        <v>20.75</v>
      </c>
      <c r="F31" s="224"/>
    </row>
    <row r="32" spans="1:6">
      <c r="A32" s="75">
        <v>38082</v>
      </c>
      <c r="B32" s="86" t="str">
        <f>TiposLancamentos!B15</f>
        <v>Cartões de Crédito</v>
      </c>
      <c r="C32" s="52" t="s">
        <v>14591</v>
      </c>
      <c r="D32" s="63">
        <v>190.52</v>
      </c>
      <c r="E32" s="231"/>
      <c r="F32" s="224"/>
    </row>
    <row r="33" spans="1:6">
      <c r="A33" s="75">
        <v>38084</v>
      </c>
      <c r="B33" s="86" t="str">
        <f>TiposLancamentos!B69</f>
        <v>Consertos</v>
      </c>
      <c r="C33" s="52" t="s">
        <v>14604</v>
      </c>
      <c r="D33" s="63"/>
      <c r="E33" s="231">
        <v>99.58</v>
      </c>
      <c r="F33" s="224"/>
    </row>
    <row r="34" spans="1:6">
      <c r="A34" s="75">
        <v>38092</v>
      </c>
      <c r="B34" s="86" t="str">
        <f>TiposLancamentos!B45</f>
        <v>Online Services</v>
      </c>
      <c r="C34" s="52" t="s">
        <v>14602</v>
      </c>
      <c r="D34" s="63"/>
      <c r="E34" s="231">
        <v>13.9</v>
      </c>
      <c r="F34" s="224"/>
    </row>
    <row r="35" spans="1:6">
      <c r="A35" s="79">
        <v>38094</v>
      </c>
      <c r="B35" s="95" t="str">
        <f>TiposLancamentos!B22</f>
        <v>Combustivel</v>
      </c>
      <c r="C35" s="477" t="s">
        <v>918</v>
      </c>
      <c r="D35" s="85"/>
      <c r="E35" s="589">
        <v>20</v>
      </c>
      <c r="F35" s="177"/>
    </row>
    <row r="36" spans="1:6">
      <c r="A36" s="83"/>
      <c r="B36" s="91"/>
      <c r="C36" s="43" t="s">
        <v>14605</v>
      </c>
      <c r="D36" s="93"/>
      <c r="E36" s="230"/>
      <c r="F36" s="223">
        <f>SUBTOTAL(9,E29:E35)</f>
        <v>182.57000000000002</v>
      </c>
    </row>
    <row r="37" spans="1:6">
      <c r="A37" s="75">
        <v>38109</v>
      </c>
      <c r="B37" s="86" t="str">
        <f>TiposLancamentos!B22</f>
        <v>Combustivel</v>
      </c>
      <c r="C37" s="52" t="s">
        <v>918</v>
      </c>
      <c r="D37" s="63"/>
      <c r="E37" s="231">
        <v>22.5</v>
      </c>
      <c r="F37" s="224"/>
    </row>
    <row r="38" spans="1:6">
      <c r="A38" s="75">
        <v>38112</v>
      </c>
      <c r="B38" s="86" t="str">
        <f>TiposLancamentos!B15</f>
        <v>Cartões de Crédito</v>
      </c>
      <c r="C38" s="52" t="s">
        <v>14591</v>
      </c>
      <c r="D38" s="63">
        <v>182.54</v>
      </c>
      <c r="E38" s="231"/>
      <c r="F38" s="224"/>
    </row>
    <row r="39" spans="1:6">
      <c r="A39" s="75">
        <v>38113</v>
      </c>
      <c r="B39" s="86" t="str">
        <f>TiposLancamentos!B64</f>
        <v>Viagens</v>
      </c>
      <c r="C39" s="52" t="s">
        <v>14606</v>
      </c>
      <c r="D39" s="63"/>
      <c r="E39" s="231">
        <v>81.34</v>
      </c>
      <c r="F39" s="224"/>
    </row>
    <row r="40" spans="1:6">
      <c r="A40" s="75">
        <v>38114</v>
      </c>
      <c r="B40" s="86" t="str">
        <f>TiposLancamentos!B5</f>
        <v>Supermercado</v>
      </c>
      <c r="C40" s="52" t="s">
        <v>1262</v>
      </c>
      <c r="D40" s="63"/>
      <c r="E40" s="231">
        <v>16.170000000000002</v>
      </c>
      <c r="F40" s="224"/>
    </row>
    <row r="41" spans="1:6">
      <c r="A41" s="75">
        <v>38124</v>
      </c>
      <c r="B41" s="86" t="str">
        <f>TiposLancamentos!B26</f>
        <v>LIVROS</v>
      </c>
      <c r="C41" s="52" t="s">
        <v>14607</v>
      </c>
      <c r="D41" s="63"/>
      <c r="E41" s="231">
        <v>42.96</v>
      </c>
      <c r="F41" s="224"/>
    </row>
    <row r="42" spans="1:6">
      <c r="A42" s="75">
        <v>38133</v>
      </c>
      <c r="B42" s="86" t="str">
        <f>TiposLancamentos!B22</f>
        <v>Combustivel</v>
      </c>
      <c r="C42" s="52" t="s">
        <v>918</v>
      </c>
      <c r="D42" s="63"/>
      <c r="E42" s="231">
        <v>21.5</v>
      </c>
      <c r="F42" s="224"/>
    </row>
    <row r="43" spans="1:6">
      <c r="A43" s="83"/>
      <c r="B43" s="91"/>
      <c r="C43" s="43" t="s">
        <v>12909</v>
      </c>
      <c r="D43" s="93"/>
      <c r="E43" s="230"/>
      <c r="F43" s="223">
        <f>SUBTOTAL(9,E36:E42)</f>
        <v>184.47</v>
      </c>
    </row>
    <row r="44" spans="1:6">
      <c r="A44" s="75">
        <v>38144</v>
      </c>
      <c r="B44" s="86" t="str">
        <f>TiposLancamentos!B5</f>
        <v>Supermercado</v>
      </c>
      <c r="C44" s="52" t="s">
        <v>4921</v>
      </c>
      <c r="D44" s="63"/>
      <c r="E44" s="231">
        <v>12.42</v>
      </c>
      <c r="F44" s="224"/>
    </row>
    <row r="45" spans="1:6">
      <c r="A45" s="75">
        <v>38153</v>
      </c>
      <c r="B45" s="86" t="str">
        <f>TiposLancamentos!B15</f>
        <v>Cartões de Crédito</v>
      </c>
      <c r="C45" s="52" t="s">
        <v>14591</v>
      </c>
      <c r="D45" s="63">
        <v>184.47</v>
      </c>
      <c r="E45" s="231"/>
      <c r="F45" s="224"/>
    </row>
    <row r="46" spans="1:6">
      <c r="A46" s="75">
        <v>38155</v>
      </c>
      <c r="B46" s="86" t="str">
        <f>TiposLancamentos!B22</f>
        <v>Combustivel</v>
      </c>
      <c r="C46" s="52" t="s">
        <v>918</v>
      </c>
      <c r="D46" s="63"/>
      <c r="E46" s="231">
        <v>24</v>
      </c>
      <c r="F46" s="224"/>
    </row>
    <row r="47" spans="1:6">
      <c r="A47" s="75">
        <v>38155</v>
      </c>
      <c r="B47" s="86" t="str">
        <f>TiposLancamentos!B26</f>
        <v>LIVROS</v>
      </c>
      <c r="C47" s="52" t="s">
        <v>14608</v>
      </c>
      <c r="D47" s="63"/>
      <c r="E47" s="231">
        <v>42.95</v>
      </c>
      <c r="F47" s="224"/>
    </row>
    <row r="48" spans="1:6">
      <c r="A48" s="75">
        <v>38163</v>
      </c>
      <c r="B48" s="86" t="str">
        <f>TiposLancamentos!B16</f>
        <v>Cristiane</v>
      </c>
      <c r="C48" s="52" t="s">
        <v>14609</v>
      </c>
      <c r="D48" s="63"/>
      <c r="E48" s="231">
        <v>23.73</v>
      </c>
      <c r="F48" s="224"/>
    </row>
    <row r="49" spans="1:6">
      <c r="A49" s="75">
        <v>38164</v>
      </c>
      <c r="B49" s="86" t="str">
        <f>TiposLancamentos!B83</f>
        <v>Artigos Moto</v>
      </c>
      <c r="C49" s="52" t="s">
        <v>14610</v>
      </c>
      <c r="D49" s="63"/>
      <c r="E49" s="231">
        <v>8.5</v>
      </c>
      <c r="F49" s="224"/>
    </row>
    <row r="50" spans="1:6">
      <c r="A50" s="79">
        <v>38164</v>
      </c>
      <c r="B50" s="95" t="str">
        <f>TiposLancamentos!B16</f>
        <v>Cristiane</v>
      </c>
      <c r="C50" s="477" t="s">
        <v>1775</v>
      </c>
      <c r="D50" s="85"/>
      <c r="E50" s="589">
        <v>10</v>
      </c>
      <c r="F50" s="177"/>
    </row>
    <row r="51" spans="1:6">
      <c r="A51" s="75"/>
      <c r="B51" s="86"/>
      <c r="C51" s="52" t="s">
        <v>2512</v>
      </c>
      <c r="D51" s="63"/>
      <c r="E51" s="231"/>
      <c r="F51" s="224">
        <f>SUBTOTAL(9,E43:E52)</f>
        <v>140.10000000000002</v>
      </c>
    </row>
    <row r="52" spans="1:6">
      <c r="A52" s="75">
        <v>38170</v>
      </c>
      <c r="B52" s="86" t="str">
        <f>TiposLancamentos!B19</f>
        <v>Restaurantes</v>
      </c>
      <c r="C52" s="52" t="s">
        <v>14611</v>
      </c>
      <c r="D52" s="63"/>
      <c r="E52" s="231">
        <v>18.5</v>
      </c>
      <c r="F52" s="224"/>
    </row>
    <row r="53" spans="1:6">
      <c r="A53" s="75">
        <v>38178</v>
      </c>
      <c r="B53" s="86" t="str">
        <f>TiposLancamentos!B45</f>
        <v>Online Services</v>
      </c>
      <c r="C53" s="52" t="s">
        <v>14612</v>
      </c>
      <c r="D53" s="63"/>
      <c r="E53" s="231">
        <v>3.75</v>
      </c>
      <c r="F53" s="224"/>
    </row>
    <row r="54" spans="1:6">
      <c r="A54" s="75">
        <v>38183</v>
      </c>
      <c r="B54" s="86" t="str">
        <f>TiposLancamentos!B15</f>
        <v>Cartões de Crédito</v>
      </c>
      <c r="C54" s="52" t="s">
        <v>14591</v>
      </c>
      <c r="D54" s="63">
        <v>140.1</v>
      </c>
      <c r="E54" s="231"/>
      <c r="F54" s="224"/>
    </row>
    <row r="55" spans="1:6">
      <c r="A55" s="75">
        <v>38185</v>
      </c>
      <c r="B55" s="86" t="str">
        <f>TiposLancamentos!B26</f>
        <v>LIVROS</v>
      </c>
      <c r="C55" s="52" t="s">
        <v>14613</v>
      </c>
      <c r="D55" s="63"/>
      <c r="E55" s="231">
        <v>42.95</v>
      </c>
      <c r="F55" s="224"/>
    </row>
    <row r="56" spans="1:6">
      <c r="A56" s="75">
        <v>38188</v>
      </c>
      <c r="B56" s="86" t="str">
        <f>TiposLancamentos!B71</f>
        <v>Itens Pessoais</v>
      </c>
      <c r="C56" s="52" t="s">
        <v>14614</v>
      </c>
      <c r="D56" s="63"/>
      <c r="E56" s="231">
        <v>24.16</v>
      </c>
      <c r="F56" s="224"/>
    </row>
    <row r="57" spans="1:6">
      <c r="A57" s="83"/>
      <c r="B57" s="91"/>
      <c r="C57" s="43" t="s">
        <v>2568</v>
      </c>
      <c r="D57" s="93"/>
      <c r="E57" s="230"/>
      <c r="F57" s="223">
        <f>SUM(E53:E56)</f>
        <v>70.86</v>
      </c>
    </row>
    <row r="58" spans="1:6">
      <c r="A58" s="75">
        <v>38207</v>
      </c>
      <c r="B58" s="86" t="str">
        <f>TiposLancamentos!B13</f>
        <v>Moradia</v>
      </c>
      <c r="C58" s="52" t="s">
        <v>14615</v>
      </c>
      <c r="D58" s="63"/>
      <c r="E58" s="135">
        <v>42</v>
      </c>
      <c r="F58" s="224"/>
    </row>
    <row r="59" spans="1:6">
      <c r="A59" s="75">
        <v>38207</v>
      </c>
      <c r="B59" s="86" t="str">
        <f>TiposLancamentos!B16</f>
        <v>Cristiane</v>
      </c>
      <c r="C59" s="52" t="s">
        <v>14616</v>
      </c>
      <c r="D59" s="63"/>
      <c r="E59" s="135">
        <v>7.9</v>
      </c>
      <c r="F59" s="224"/>
    </row>
    <row r="60" spans="1:6">
      <c r="A60" s="75">
        <v>38214</v>
      </c>
      <c r="B60" s="86" t="str">
        <f>TiposLancamentos!B15</f>
        <v>Cartões de Crédito</v>
      </c>
      <c r="C60" s="52" t="s">
        <v>14591</v>
      </c>
      <c r="D60" s="63">
        <v>70.86</v>
      </c>
      <c r="E60" s="135"/>
      <c r="F60" s="224"/>
    </row>
    <row r="61" spans="1:6">
      <c r="A61" s="75">
        <v>38219</v>
      </c>
      <c r="B61" s="86" t="str">
        <f>TiposLancamentos!B71</f>
        <v>Itens Pessoais</v>
      </c>
      <c r="C61" s="52" t="s">
        <v>14617</v>
      </c>
      <c r="D61" s="63"/>
      <c r="E61" s="231">
        <v>24.16</v>
      </c>
      <c r="F61" s="224"/>
    </row>
    <row r="62" spans="1:6">
      <c r="A62" s="75">
        <v>38225</v>
      </c>
      <c r="B62" s="86" t="str">
        <f>TiposLancamentos!B18</f>
        <v>Alimentacao</v>
      </c>
      <c r="C62" s="52" t="s">
        <v>14618</v>
      </c>
      <c r="D62" s="63"/>
      <c r="E62" s="231">
        <v>5.26</v>
      </c>
      <c r="F62" s="224"/>
    </row>
    <row r="63" spans="1:6">
      <c r="A63" s="75">
        <v>38226</v>
      </c>
      <c r="B63" s="86" t="str">
        <f>TiposLancamentos!B19</f>
        <v>Restaurantes</v>
      </c>
      <c r="C63" s="52" t="s">
        <v>14611</v>
      </c>
      <c r="D63" s="63"/>
      <c r="E63" s="231">
        <v>30.25</v>
      </c>
      <c r="F63" s="224"/>
    </row>
    <row r="64" spans="1:6">
      <c r="A64" s="75">
        <v>38227</v>
      </c>
      <c r="B64" s="86" t="str">
        <f>TiposLancamentos!B5</f>
        <v>Supermercado</v>
      </c>
      <c r="C64" s="52" t="s">
        <v>2780</v>
      </c>
      <c r="D64" s="63"/>
      <c r="E64" s="231">
        <v>13.6</v>
      </c>
      <c r="F64" s="224"/>
    </row>
    <row r="65" spans="1:6">
      <c r="A65" s="75">
        <v>38227</v>
      </c>
      <c r="B65" s="86" t="str">
        <f>TiposLancamentos!B56</f>
        <v>Farmácia</v>
      </c>
      <c r="C65" s="52" t="s">
        <v>14619</v>
      </c>
      <c r="D65" s="63"/>
      <c r="E65" s="231">
        <v>55</v>
      </c>
      <c r="F65" s="224"/>
    </row>
    <row r="66" spans="1:6">
      <c r="A66" s="75">
        <v>38227</v>
      </c>
      <c r="B66" s="86" t="str">
        <f>TiposLancamentos!B5</f>
        <v>Supermercado</v>
      </c>
      <c r="C66" s="52" t="s">
        <v>14620</v>
      </c>
      <c r="D66" s="63"/>
      <c r="E66" s="231">
        <v>14.92</v>
      </c>
      <c r="F66" s="224"/>
    </row>
    <row r="67" spans="1:6">
      <c r="A67" s="75">
        <v>38229</v>
      </c>
      <c r="B67" s="86" t="str">
        <f>TiposLancamentos!B22</f>
        <v>Combustivel</v>
      </c>
      <c r="C67" s="52" t="s">
        <v>918</v>
      </c>
      <c r="D67" s="63"/>
      <c r="E67" s="231">
        <v>23.5</v>
      </c>
      <c r="F67" s="224"/>
    </row>
    <row r="68" spans="1:6">
      <c r="A68" s="83"/>
      <c r="B68" s="91"/>
      <c r="C68" s="43" t="s">
        <v>12922</v>
      </c>
      <c r="D68" s="93"/>
      <c r="E68" s="230"/>
      <c r="F68" s="223">
        <f>SUM(E57:E72)</f>
        <v>303.57</v>
      </c>
    </row>
    <row r="69" spans="1:6">
      <c r="A69" s="75">
        <v>38231</v>
      </c>
      <c r="B69" s="86" t="str">
        <f>TiposLancamentos!B45</f>
        <v>Online Services</v>
      </c>
      <c r="C69" s="52" t="s">
        <v>14602</v>
      </c>
      <c r="D69" s="63"/>
      <c r="E69" s="231">
        <v>13.9</v>
      </c>
      <c r="F69" s="224"/>
    </row>
    <row r="70" spans="1:6">
      <c r="A70" s="75">
        <v>38231</v>
      </c>
      <c r="B70" s="86" t="str">
        <f>TiposLancamentos!B5</f>
        <v>Supermercado</v>
      </c>
      <c r="C70" s="52" t="s">
        <v>2567</v>
      </c>
      <c r="D70" s="63"/>
      <c r="E70" s="231">
        <v>16.68</v>
      </c>
      <c r="F70" s="224"/>
    </row>
    <row r="71" spans="1:6">
      <c r="A71" s="75">
        <v>38232</v>
      </c>
      <c r="B71" s="86" t="str">
        <f>TiposLancamentos!B64</f>
        <v>Viagens</v>
      </c>
      <c r="C71" s="52" t="s">
        <v>14606</v>
      </c>
      <c r="D71" s="63"/>
      <c r="E71" s="231">
        <v>43.2</v>
      </c>
      <c r="F71" s="224"/>
    </row>
    <row r="72" spans="1:6">
      <c r="A72" s="75">
        <v>38233</v>
      </c>
      <c r="B72" s="86" t="str">
        <f>TiposLancamentos!B4</f>
        <v>Taxas Bancarias</v>
      </c>
      <c r="C72" s="52" t="s">
        <v>14621</v>
      </c>
      <c r="D72" s="63"/>
      <c r="E72" s="231">
        <v>13.2</v>
      </c>
      <c r="F72" s="224"/>
    </row>
    <row r="73" spans="1:6">
      <c r="A73" s="75"/>
      <c r="B73" s="86"/>
      <c r="C73" s="52"/>
      <c r="D73" s="63"/>
      <c r="E73" s="231"/>
      <c r="F73" s="224"/>
    </row>
    <row r="74" spans="1:6">
      <c r="A74" s="75">
        <v>38233</v>
      </c>
      <c r="B74" s="86" t="str">
        <f>TiposLancamentos!B19</f>
        <v>Restaurantes</v>
      </c>
      <c r="C74" s="52" t="s">
        <v>14622</v>
      </c>
      <c r="D74" s="63"/>
      <c r="E74" s="231">
        <v>18.600000000000001</v>
      </c>
      <c r="F74" s="224"/>
    </row>
    <row r="75" spans="1:6">
      <c r="A75" s="75">
        <v>38233</v>
      </c>
      <c r="B75" s="86" t="str">
        <f>TiposLancamentos!B20</f>
        <v>Saques</v>
      </c>
      <c r="C75" s="52" t="s">
        <v>14623</v>
      </c>
      <c r="D75" s="63"/>
      <c r="E75" s="231">
        <v>30</v>
      </c>
      <c r="F75" s="224"/>
    </row>
    <row r="76" spans="1:6">
      <c r="A76" s="75">
        <v>38236</v>
      </c>
      <c r="B76" s="86" t="str">
        <f>B72</f>
        <v>Taxas Bancarias</v>
      </c>
      <c r="C76" s="52" t="s">
        <v>14624</v>
      </c>
      <c r="D76" s="63"/>
      <c r="E76" s="135">
        <v>6.9</v>
      </c>
      <c r="F76" s="224"/>
    </row>
    <row r="77" spans="1:6">
      <c r="A77" s="75">
        <v>38238</v>
      </c>
      <c r="B77" s="86" t="str">
        <f>TiposLancamentos!B13</f>
        <v>Moradia</v>
      </c>
      <c r="C77" s="52" t="s">
        <v>14625</v>
      </c>
      <c r="D77" s="63"/>
      <c r="E77" s="135">
        <v>42</v>
      </c>
      <c r="F77" s="224"/>
    </row>
    <row r="78" spans="1:6">
      <c r="A78" s="75">
        <v>38238</v>
      </c>
      <c r="B78" s="86" t="str">
        <f>TiposLancamentos!B16</f>
        <v>Cristiane</v>
      </c>
      <c r="C78" s="52" t="s">
        <v>14626</v>
      </c>
      <c r="D78" s="63"/>
      <c r="E78" s="135">
        <v>7.9</v>
      </c>
      <c r="F78" s="224"/>
    </row>
    <row r="79" spans="1:6">
      <c r="A79" s="75">
        <v>38240</v>
      </c>
      <c r="B79" s="86" t="str">
        <f>TiposLancamentos!B70</f>
        <v>Vestuário</v>
      </c>
      <c r="C79" s="52" t="s">
        <v>14627</v>
      </c>
      <c r="D79" s="63"/>
      <c r="E79" s="135">
        <v>44.58</v>
      </c>
      <c r="F79" s="224"/>
    </row>
    <row r="80" spans="1:6">
      <c r="A80" s="75">
        <v>38241</v>
      </c>
      <c r="B80" s="86" t="str">
        <f>TiposLancamentos!B70</f>
        <v>Vestuário</v>
      </c>
      <c r="C80" s="52" t="s">
        <v>14628</v>
      </c>
      <c r="D80" s="63"/>
      <c r="E80" s="135">
        <v>26.64</v>
      </c>
      <c r="F80" s="224"/>
    </row>
    <row r="81" spans="1:6">
      <c r="A81" s="75">
        <v>38245</v>
      </c>
      <c r="B81" s="86" t="str">
        <f>TiposLancamentos!B15</f>
        <v>Cartões de Crédito</v>
      </c>
      <c r="C81" s="52" t="s">
        <v>14591</v>
      </c>
      <c r="D81" s="63">
        <v>303.57</v>
      </c>
      <c r="E81" s="135"/>
      <c r="F81" s="224"/>
    </row>
    <row r="82" spans="1:6">
      <c r="A82" s="75">
        <v>38246</v>
      </c>
      <c r="B82" s="86" t="str">
        <f>TiposLancamentos!B64</f>
        <v>Viagens</v>
      </c>
      <c r="C82" s="52" t="s">
        <v>14629</v>
      </c>
      <c r="D82" s="63"/>
      <c r="E82" s="135">
        <v>26.4</v>
      </c>
      <c r="F82" s="224"/>
    </row>
    <row r="83" spans="1:6">
      <c r="A83" s="75">
        <v>38250</v>
      </c>
      <c r="B83" s="86" t="str">
        <f>TiposLancamentos!B71</f>
        <v>Itens Pessoais</v>
      </c>
      <c r="C83" s="52" t="s">
        <v>14630</v>
      </c>
      <c r="D83" s="63"/>
      <c r="E83" s="231">
        <v>24.16</v>
      </c>
      <c r="F83" s="224"/>
    </row>
    <row r="84" spans="1:6">
      <c r="A84" s="83"/>
      <c r="B84" s="91"/>
      <c r="C84" s="59" t="s">
        <v>14631</v>
      </c>
      <c r="D84" s="93"/>
      <c r="E84" s="230"/>
      <c r="F84" s="223">
        <f>SUM(E73:E87)</f>
        <v>258.95</v>
      </c>
    </row>
    <row r="85" spans="1:6">
      <c r="A85" s="75">
        <v>38261</v>
      </c>
      <c r="B85" s="86" t="str">
        <f>TiposLancamentos!B45</f>
        <v>Online Services</v>
      </c>
      <c r="C85" s="47" t="s">
        <v>14602</v>
      </c>
      <c r="D85" s="63"/>
      <c r="E85" s="231">
        <f>E69</f>
        <v>13.9</v>
      </c>
      <c r="F85" s="224"/>
    </row>
    <row r="86" spans="1:6">
      <c r="A86" s="75">
        <v>38265</v>
      </c>
      <c r="B86" s="86" t="str">
        <f>B72</f>
        <v>Taxas Bancarias</v>
      </c>
      <c r="C86" s="47" t="s">
        <v>14632</v>
      </c>
      <c r="D86" s="63"/>
      <c r="E86" s="231">
        <v>13.2</v>
      </c>
      <c r="F86" s="224"/>
    </row>
    <row r="87" spans="1:6">
      <c r="A87" s="75">
        <v>38265</v>
      </c>
      <c r="B87" s="86" t="str">
        <f>B72</f>
        <v>Taxas Bancarias</v>
      </c>
      <c r="C87" s="47" t="s">
        <v>14633</v>
      </c>
      <c r="D87" s="63"/>
      <c r="E87" s="231">
        <v>4.67</v>
      </c>
      <c r="F87" s="224"/>
    </row>
    <row r="88" spans="1:6">
      <c r="A88" s="75"/>
      <c r="B88" s="86"/>
      <c r="C88" s="47"/>
      <c r="D88" s="63"/>
      <c r="E88" s="231"/>
      <c r="F88" s="224"/>
    </row>
    <row r="89" spans="1:6">
      <c r="A89" s="75">
        <v>38268</v>
      </c>
      <c r="B89" s="86" t="str">
        <f>TiposLancamentos!B13</f>
        <v>Moradia</v>
      </c>
      <c r="C89" s="52" t="s">
        <v>14634</v>
      </c>
      <c r="D89" s="63"/>
      <c r="E89" s="135">
        <v>42</v>
      </c>
      <c r="F89" s="224"/>
    </row>
    <row r="90" spans="1:6">
      <c r="A90" s="75">
        <v>38268</v>
      </c>
      <c r="B90" s="86" t="str">
        <f>TiposLancamentos!B16</f>
        <v>Cristiane</v>
      </c>
      <c r="C90" s="52" t="s">
        <v>14635</v>
      </c>
      <c r="D90" s="63"/>
      <c r="E90" s="135">
        <v>7.9</v>
      </c>
      <c r="F90" s="224"/>
    </row>
    <row r="91" spans="1:6" ht="12" customHeight="1">
      <c r="A91" s="75">
        <v>38270</v>
      </c>
      <c r="B91" s="86" t="str">
        <f>TiposLancamentos!B70</f>
        <v>Vestuário</v>
      </c>
      <c r="C91" s="52" t="s">
        <v>14636</v>
      </c>
      <c r="D91" s="63"/>
      <c r="E91" s="135">
        <v>44.56</v>
      </c>
      <c r="F91" s="224"/>
    </row>
    <row r="92" spans="1:6">
      <c r="A92" s="75">
        <v>38271</v>
      </c>
      <c r="B92" s="86" t="str">
        <f>TiposLancamentos!B70</f>
        <v>Vestuário</v>
      </c>
      <c r="C92" s="52" t="s">
        <v>14637</v>
      </c>
      <c r="D92" s="63"/>
      <c r="E92" s="135">
        <v>26.63</v>
      </c>
      <c r="F92" s="224"/>
    </row>
    <row r="93" spans="1:6">
      <c r="A93" s="75">
        <v>38272</v>
      </c>
      <c r="B93" s="86" t="str">
        <f>TiposLancamentos!B74</f>
        <v>Noite</v>
      </c>
      <c r="C93" s="52" t="s">
        <v>14638</v>
      </c>
      <c r="D93" s="63"/>
      <c r="E93" s="135">
        <v>103</v>
      </c>
      <c r="F93" s="224"/>
    </row>
    <row r="94" spans="1:6">
      <c r="A94" s="75">
        <v>38275</v>
      </c>
      <c r="B94" s="86" t="str">
        <f>B81</f>
        <v>Cartões de Crédito</v>
      </c>
      <c r="C94" s="52" t="str">
        <f>C81</f>
        <v>Pagamento Fatura Master Card</v>
      </c>
      <c r="D94" s="63">
        <v>258.95</v>
      </c>
      <c r="E94" s="135"/>
      <c r="F94" s="224"/>
    </row>
    <row r="95" spans="1:6">
      <c r="A95" s="75">
        <v>38275</v>
      </c>
      <c r="B95" s="86" t="str">
        <f>TiposLancamentos!B74</f>
        <v>Noite</v>
      </c>
      <c r="C95" s="52" t="s">
        <v>14639</v>
      </c>
      <c r="D95" s="63"/>
      <c r="E95" s="135">
        <v>16.3</v>
      </c>
      <c r="F95" s="224"/>
    </row>
    <row r="96" spans="1:6">
      <c r="A96" s="75">
        <v>38276</v>
      </c>
      <c r="B96" s="86" t="str">
        <f>TiposLancamentos!B18</f>
        <v>Alimentacao</v>
      </c>
      <c r="C96" s="52" t="s">
        <v>14640</v>
      </c>
      <c r="D96" s="63"/>
      <c r="E96" s="135">
        <v>1.35</v>
      </c>
      <c r="F96" s="224"/>
    </row>
    <row r="97" spans="1:6">
      <c r="A97" s="75">
        <v>38277</v>
      </c>
      <c r="B97" s="86" t="str">
        <f>TiposLancamentos!B22</f>
        <v>Combustivel</v>
      </c>
      <c r="C97" s="52" t="s">
        <v>3050</v>
      </c>
      <c r="D97" s="63"/>
      <c r="E97" s="135">
        <v>24.04</v>
      </c>
      <c r="F97" s="224"/>
    </row>
    <row r="98" spans="1:6">
      <c r="A98" s="75">
        <v>38280</v>
      </c>
      <c r="B98" s="86" t="str">
        <f>TiposLancamentos!B71</f>
        <v>Itens Pessoais</v>
      </c>
      <c r="C98" s="52" t="s">
        <v>14641</v>
      </c>
      <c r="D98" s="63"/>
      <c r="E98" s="231">
        <v>24.16</v>
      </c>
      <c r="F98" s="224"/>
    </row>
    <row r="99" spans="1:6">
      <c r="A99" s="83"/>
      <c r="B99" s="91"/>
      <c r="C99" s="43" t="s">
        <v>12942</v>
      </c>
      <c r="D99" s="93"/>
      <c r="E99" s="230"/>
      <c r="F99" s="223">
        <f>SUM(E89:E98)</f>
        <v>289.94000000000005</v>
      </c>
    </row>
    <row r="100" spans="1:6">
      <c r="A100" s="75">
        <v>38299</v>
      </c>
      <c r="B100" s="86" t="str">
        <f>TiposLancamentos!B13</f>
        <v>Moradia</v>
      </c>
      <c r="C100" s="52" t="s">
        <v>14634</v>
      </c>
      <c r="D100" s="63"/>
      <c r="E100" s="135">
        <v>42</v>
      </c>
      <c r="F100" s="224"/>
    </row>
    <row r="101" spans="1:6">
      <c r="A101" s="75">
        <v>38299</v>
      </c>
      <c r="B101" s="86" t="str">
        <f>TiposLancamentos!B16</f>
        <v>Cristiane</v>
      </c>
      <c r="C101" s="52" t="s">
        <v>14635</v>
      </c>
      <c r="D101" s="63"/>
      <c r="E101" s="135">
        <v>7.9</v>
      </c>
      <c r="F101" s="224"/>
    </row>
    <row r="102" spans="1:6">
      <c r="A102" s="75">
        <v>38301</v>
      </c>
      <c r="B102" s="86" t="str">
        <f>TiposLancamentos!B70</f>
        <v>Vestuário</v>
      </c>
      <c r="C102" s="52" t="s">
        <v>14642</v>
      </c>
      <c r="D102" s="63"/>
      <c r="E102" s="135">
        <v>44.58</v>
      </c>
      <c r="F102" s="224"/>
    </row>
    <row r="103" spans="1:6">
      <c r="A103" s="75">
        <v>38302</v>
      </c>
      <c r="B103" s="86" t="str">
        <f>TiposLancamentos!B70</f>
        <v>Vestuário</v>
      </c>
      <c r="C103" s="52" t="s">
        <v>14643</v>
      </c>
      <c r="D103" s="63"/>
      <c r="E103" s="135">
        <v>26.64</v>
      </c>
      <c r="F103" s="224"/>
    </row>
    <row r="104" spans="1:6">
      <c r="A104" s="75">
        <v>38303</v>
      </c>
      <c r="B104" s="86" t="str">
        <f>B94</f>
        <v>Cartões de Crédito</v>
      </c>
      <c r="C104" s="52" t="str">
        <f>C94</f>
        <v>Pagamento Fatura Master Card</v>
      </c>
      <c r="D104" s="63">
        <v>289.94</v>
      </c>
      <c r="E104" s="135"/>
      <c r="F104" s="224"/>
    </row>
    <row r="105" spans="1:6">
      <c r="A105" s="79">
        <v>38311</v>
      </c>
      <c r="B105" s="95" t="str">
        <f>TiposLancamentos!B71</f>
        <v>Itens Pessoais</v>
      </c>
      <c r="C105" s="477" t="s">
        <v>14644</v>
      </c>
      <c r="D105" s="85"/>
      <c r="E105" s="589">
        <v>24.16</v>
      </c>
      <c r="F105" s="177"/>
    </row>
    <row r="106" spans="1:6">
      <c r="A106" s="75"/>
      <c r="B106" s="86"/>
      <c r="C106" s="52" t="s">
        <v>14127</v>
      </c>
      <c r="D106" s="63"/>
      <c r="E106" s="231"/>
      <c r="F106" s="224">
        <f>SUM(E99:E105)</f>
        <v>145.28</v>
      </c>
    </row>
    <row r="107" spans="1:6">
      <c r="A107" s="75">
        <v>38329</v>
      </c>
      <c r="B107" s="86" t="str">
        <f>TiposLancamentos!B13</f>
        <v>Moradia</v>
      </c>
      <c r="C107" s="52" t="s">
        <v>14634</v>
      </c>
      <c r="D107" s="63"/>
      <c r="E107" s="135">
        <v>42</v>
      </c>
      <c r="F107" s="224"/>
    </row>
    <row r="108" spans="1:6">
      <c r="A108" s="75">
        <v>38329</v>
      </c>
      <c r="B108" s="86" t="str">
        <f>TiposLancamentos!B16</f>
        <v>Cristiane</v>
      </c>
      <c r="C108" s="52" t="s">
        <v>14635</v>
      </c>
      <c r="D108" s="63"/>
      <c r="E108" s="135">
        <v>7.9</v>
      </c>
      <c r="F108" s="224"/>
    </row>
    <row r="109" spans="1:6">
      <c r="A109" s="75">
        <v>38329</v>
      </c>
      <c r="B109" s="86" t="str">
        <f>TiposLancamentos!B13</f>
        <v>Moradia</v>
      </c>
      <c r="C109" s="52" t="s">
        <v>14645</v>
      </c>
      <c r="D109" s="63"/>
      <c r="E109" s="135">
        <v>42</v>
      </c>
      <c r="F109" s="224"/>
    </row>
    <row r="110" spans="1:6">
      <c r="A110" s="75">
        <v>38329</v>
      </c>
      <c r="B110" s="86" t="str">
        <f>TiposLancamentos!B16</f>
        <v>Cristiane</v>
      </c>
      <c r="C110" s="52" t="s">
        <v>14646</v>
      </c>
      <c r="D110" s="63"/>
      <c r="E110" s="135">
        <v>7.9</v>
      </c>
      <c r="F110" s="224"/>
    </row>
    <row r="111" spans="1:6">
      <c r="A111" s="75">
        <v>38336</v>
      </c>
      <c r="B111" s="86" t="str">
        <f>B104</f>
        <v>Cartões de Crédito</v>
      </c>
      <c r="C111" s="52" t="s">
        <v>14591</v>
      </c>
      <c r="D111" s="63">
        <v>145.25</v>
      </c>
      <c r="E111" s="135"/>
      <c r="F111" s="224"/>
    </row>
    <row r="112" spans="1:6">
      <c r="A112" s="75">
        <v>38341</v>
      </c>
      <c r="B112" s="86" t="str">
        <f>TiposLancamentos!B71</f>
        <v>Itens Pessoais</v>
      </c>
      <c r="C112" s="52" t="s">
        <v>14647</v>
      </c>
      <c r="D112" s="63"/>
      <c r="E112" s="231">
        <v>24.16</v>
      </c>
      <c r="F112" s="224"/>
    </row>
    <row r="113" spans="1:6">
      <c r="A113" s="83"/>
      <c r="B113" s="91"/>
      <c r="C113" s="43" t="s">
        <v>2764</v>
      </c>
      <c r="D113" s="74"/>
      <c r="E113" s="44"/>
      <c r="F113" s="233">
        <f>SUM(E106:E112)</f>
        <v>123.96000000000001</v>
      </c>
    </row>
    <row r="114" spans="1:6">
      <c r="A114" s="75">
        <v>38360</v>
      </c>
      <c r="B114" s="86" t="str">
        <f>TiposLancamentos!B13</f>
        <v>Moradia</v>
      </c>
      <c r="C114" s="52" t="s">
        <v>14645</v>
      </c>
      <c r="D114" s="78"/>
      <c r="E114" s="49">
        <v>42</v>
      </c>
      <c r="F114" s="224"/>
    </row>
    <row r="115" spans="1:6">
      <c r="A115" s="75">
        <v>38360</v>
      </c>
      <c r="B115" s="86" t="str">
        <f>TiposLancamentos!B16</f>
        <v>Cristiane</v>
      </c>
      <c r="C115" s="52" t="s">
        <v>14646</v>
      </c>
      <c r="D115" s="78"/>
      <c r="E115" s="49">
        <v>7.9</v>
      </c>
      <c r="F115" s="224"/>
    </row>
    <row r="116" spans="1:6">
      <c r="A116" s="75">
        <v>38367</v>
      </c>
      <c r="B116" s="86" t="str">
        <f>B111</f>
        <v>Cartões de Crédito</v>
      </c>
      <c r="C116" s="52" t="s">
        <v>14591</v>
      </c>
      <c r="D116" s="78">
        <v>74.06</v>
      </c>
      <c r="E116" s="126"/>
      <c r="F116" s="126"/>
    </row>
    <row r="117" spans="1:6">
      <c r="A117" s="75">
        <v>38369</v>
      </c>
      <c r="B117" s="86" t="str">
        <f>TiposLancamentos!B4</f>
        <v>Taxas Bancarias</v>
      </c>
      <c r="C117" s="52" t="s">
        <v>14648</v>
      </c>
      <c r="D117" s="78"/>
      <c r="E117" s="58">
        <v>6.18</v>
      </c>
      <c r="F117" s="458"/>
    </row>
    <row r="118" spans="1:6">
      <c r="A118" s="83"/>
      <c r="B118" s="91"/>
      <c r="C118" s="43" t="s">
        <v>4984</v>
      </c>
      <c r="D118" s="93"/>
      <c r="E118" s="230"/>
      <c r="F118" s="223">
        <f>SUM(E113:E115)</f>
        <v>49.9</v>
      </c>
    </row>
    <row r="119" spans="1:6">
      <c r="A119" s="75">
        <v>38387</v>
      </c>
      <c r="B119" s="86" t="str">
        <f>TiposLancamentos!B4</f>
        <v>Taxas Bancarias</v>
      </c>
      <c r="C119" s="52" t="s">
        <v>14648</v>
      </c>
      <c r="D119" s="63"/>
      <c r="E119" s="135">
        <v>6.18</v>
      </c>
      <c r="F119" s="224"/>
    </row>
    <row r="120" spans="1:6">
      <c r="A120" s="75">
        <v>38391</v>
      </c>
      <c r="B120" s="86" t="str">
        <f>TiposLancamentos!B13</f>
        <v>Moradia</v>
      </c>
      <c r="C120" s="52" t="s">
        <v>14649</v>
      </c>
      <c r="D120" s="63"/>
      <c r="E120" s="135">
        <v>42</v>
      </c>
      <c r="F120" s="224"/>
    </row>
    <row r="121" spans="1:6">
      <c r="A121" s="75">
        <v>38391</v>
      </c>
      <c r="B121" s="86" t="str">
        <f>TiposLancamentos!B16</f>
        <v>Cristiane</v>
      </c>
      <c r="C121" s="52" t="s">
        <v>14650</v>
      </c>
      <c r="D121" s="63"/>
      <c r="E121" s="135">
        <v>7.9</v>
      </c>
      <c r="F121" s="224"/>
    </row>
    <row r="122" spans="1:6">
      <c r="A122" s="75">
        <v>38398</v>
      </c>
      <c r="B122" s="86" t="str">
        <f>TiposLancamentos!B15</f>
        <v>Cartões de Crédito</v>
      </c>
      <c r="C122" s="52" t="s">
        <v>14591</v>
      </c>
      <c r="D122" s="63">
        <v>49.9</v>
      </c>
      <c r="E122" s="135"/>
      <c r="F122" s="224"/>
    </row>
    <row r="123" spans="1:6">
      <c r="A123" s="95">
        <v>38401</v>
      </c>
      <c r="B123" s="95" t="str">
        <f>TiposLancamentos!B98</f>
        <v>Restituições</v>
      </c>
      <c r="C123" s="495" t="s">
        <v>14651</v>
      </c>
      <c r="D123" s="85">
        <v>6.18</v>
      </c>
      <c r="E123" s="58"/>
      <c r="F123" s="177"/>
    </row>
    <row r="124" spans="1:6">
      <c r="A124" s="75"/>
      <c r="B124" s="86"/>
      <c r="C124" s="52" t="s">
        <v>12999</v>
      </c>
      <c r="D124" s="63"/>
      <c r="E124" s="231"/>
      <c r="F124" s="224">
        <f>SUM(E118:E121)</f>
        <v>56.08</v>
      </c>
    </row>
    <row r="125" spans="1:6">
      <c r="A125" s="75">
        <v>38415</v>
      </c>
      <c r="B125" s="86" t="str">
        <f>TiposLancamentos!B98</f>
        <v>Restituições</v>
      </c>
      <c r="C125" s="52"/>
      <c r="D125" s="63"/>
      <c r="E125" s="135">
        <v>5.58</v>
      </c>
      <c r="F125" s="224"/>
    </row>
    <row r="126" spans="1:6">
      <c r="A126" s="75">
        <v>38419</v>
      </c>
      <c r="B126" s="86" t="str">
        <f>TiposLancamentos!B13</f>
        <v>Moradia</v>
      </c>
      <c r="C126" s="52" t="s">
        <v>14652</v>
      </c>
      <c r="D126" s="63"/>
      <c r="E126" s="135">
        <v>42</v>
      </c>
      <c r="F126" s="224"/>
    </row>
    <row r="127" spans="1:6">
      <c r="A127" s="75">
        <v>38419</v>
      </c>
      <c r="B127" s="86" t="str">
        <f>TiposLancamentos!B16</f>
        <v>Cristiane</v>
      </c>
      <c r="C127" s="52" t="s">
        <v>14653</v>
      </c>
      <c r="D127" s="63"/>
      <c r="E127" s="135">
        <v>7.9</v>
      </c>
      <c r="F127" s="224"/>
    </row>
    <row r="128" spans="1:6">
      <c r="A128" s="86">
        <v>38421</v>
      </c>
      <c r="B128" s="86" t="str">
        <f>TiposLancamentos!B98</f>
        <v>Restituições</v>
      </c>
      <c r="C128" s="255" t="s">
        <v>14654</v>
      </c>
      <c r="D128" s="63">
        <v>42</v>
      </c>
      <c r="E128" s="49"/>
      <c r="F128" s="224"/>
    </row>
    <row r="129" spans="1:6">
      <c r="A129" s="95">
        <v>38421</v>
      </c>
      <c r="B129" s="95" t="str">
        <f>TiposLancamentos!B4</f>
        <v>Taxas Bancarias</v>
      </c>
      <c r="C129" s="255" t="s">
        <v>14648</v>
      </c>
      <c r="D129" s="85">
        <v>7.9</v>
      </c>
      <c r="E129" s="58"/>
      <c r="F129" s="177"/>
    </row>
    <row r="130" spans="1:6">
      <c r="A130" s="83"/>
      <c r="B130" s="91"/>
      <c r="C130" s="43" t="s">
        <v>4810</v>
      </c>
      <c r="D130" s="93"/>
      <c r="E130" s="230"/>
      <c r="F130" s="223">
        <f>SUM(E124:E127)</f>
        <v>55.48</v>
      </c>
    </row>
    <row r="131" spans="1:6">
      <c r="A131" s="75">
        <v>38447</v>
      </c>
      <c r="B131" s="86" t="str">
        <f>TiposLancamentos!B4</f>
        <v>Taxas Bancarias</v>
      </c>
      <c r="C131" s="52" t="s">
        <v>14648</v>
      </c>
      <c r="D131" s="63"/>
      <c r="E131" s="135">
        <v>0.69</v>
      </c>
      <c r="F131" s="224"/>
    </row>
    <row r="132" spans="1:6">
      <c r="A132" s="75">
        <v>38450</v>
      </c>
      <c r="B132" s="86" t="str">
        <f>TiposLancamentos!B98</f>
        <v>Restituições</v>
      </c>
      <c r="C132" s="52" t="s">
        <v>14651</v>
      </c>
      <c r="D132" s="63">
        <v>5.58</v>
      </c>
      <c r="E132" s="135"/>
      <c r="F132" s="224"/>
    </row>
    <row r="133" spans="1:6">
      <c r="A133" s="75">
        <v>38450</v>
      </c>
      <c r="B133" s="86" t="str">
        <f>TiposLancamentos!B13</f>
        <v>Moradia</v>
      </c>
      <c r="C133" s="52" t="s">
        <v>14655</v>
      </c>
      <c r="D133" s="63"/>
      <c r="E133" s="135">
        <v>42</v>
      </c>
      <c r="F133" s="224"/>
    </row>
    <row r="134" spans="1:6">
      <c r="A134" s="75">
        <v>38450</v>
      </c>
      <c r="B134" s="86" t="str">
        <f>TiposLancamentos!B16</f>
        <v>Cristiane</v>
      </c>
      <c r="C134" s="52" t="s">
        <v>14656</v>
      </c>
      <c r="D134" s="63"/>
      <c r="E134" s="135">
        <v>7.9</v>
      </c>
      <c r="F134" s="224"/>
    </row>
    <row r="135" spans="1:6">
      <c r="A135" s="75">
        <v>38450</v>
      </c>
      <c r="B135" s="86" t="str">
        <f>TiposLancamentos!B15</f>
        <v>Cartões de Crédito</v>
      </c>
      <c r="C135" s="52" t="s">
        <v>14591</v>
      </c>
      <c r="D135" s="63">
        <v>49.9</v>
      </c>
      <c r="E135" s="135"/>
      <c r="F135" s="224"/>
    </row>
    <row r="136" spans="1:6">
      <c r="A136" s="75">
        <v>38467</v>
      </c>
      <c r="B136" s="86" t="str">
        <f>TiposLancamentos!B98</f>
        <v>Restituições</v>
      </c>
      <c r="C136" s="52" t="s">
        <v>14651</v>
      </c>
      <c r="D136" s="63">
        <v>5.58</v>
      </c>
      <c r="E136" s="135"/>
      <c r="F136" s="224"/>
    </row>
    <row r="137" spans="1:6">
      <c r="A137" s="83"/>
      <c r="B137" s="91"/>
      <c r="C137" s="43" t="s">
        <v>4817</v>
      </c>
      <c r="D137" s="93"/>
      <c r="E137" s="309"/>
      <c r="F137" s="223">
        <f>SUM(E130:E136)</f>
        <v>50.589999999999996</v>
      </c>
    </row>
    <row r="138" spans="1:6">
      <c r="A138" s="75">
        <v>38477</v>
      </c>
      <c r="B138" s="86" t="str">
        <f>TiposLancamentos!B4</f>
        <v>Taxas Bancarias</v>
      </c>
      <c r="C138" s="52" t="s">
        <v>14648</v>
      </c>
      <c r="D138" s="63"/>
      <c r="E138" s="135">
        <v>5.39</v>
      </c>
      <c r="F138" s="224"/>
    </row>
    <row r="139" spans="1:6">
      <c r="A139" s="75">
        <v>38480</v>
      </c>
      <c r="B139" s="86" t="str">
        <f>TiposLancamentos!B13</f>
        <v>Moradia</v>
      </c>
      <c r="C139" s="52" t="s">
        <v>14657</v>
      </c>
      <c r="D139" s="63"/>
      <c r="E139" s="135">
        <v>42</v>
      </c>
      <c r="F139" s="224"/>
    </row>
    <row r="140" spans="1:6">
      <c r="A140" s="75">
        <v>38480</v>
      </c>
      <c r="B140" s="86" t="str">
        <f>TiposLancamentos!B16</f>
        <v>Cristiane</v>
      </c>
      <c r="C140" s="52" t="s">
        <v>14658</v>
      </c>
      <c r="D140" s="63"/>
      <c r="E140" s="135">
        <v>7.9</v>
      </c>
      <c r="F140" s="224"/>
    </row>
    <row r="141" spans="1:6">
      <c r="A141" s="75">
        <v>38487</v>
      </c>
      <c r="B141" s="86" t="str">
        <f>TiposLancamentos!B15</f>
        <v>Cartões de Crédito</v>
      </c>
      <c r="C141" s="52" t="s">
        <v>14591</v>
      </c>
      <c r="D141" s="63">
        <v>49.9</v>
      </c>
      <c r="E141" s="135"/>
      <c r="F141" s="224"/>
    </row>
    <row r="142" spans="1:6">
      <c r="A142" s="79"/>
      <c r="B142" s="95"/>
      <c r="C142" s="477"/>
      <c r="D142" s="85"/>
      <c r="E142" s="407"/>
      <c r="F142" s="177"/>
    </row>
    <row r="143" spans="1:6">
      <c r="A143" s="83"/>
      <c r="B143" s="91"/>
      <c r="C143" s="43" t="s">
        <v>2849</v>
      </c>
      <c r="D143" s="93"/>
      <c r="E143" s="309"/>
      <c r="F143" s="223">
        <f>SUM(E137:E140)</f>
        <v>55.29</v>
      </c>
    </row>
    <row r="144" spans="1:6">
      <c r="A144" s="75">
        <v>38508</v>
      </c>
      <c r="B144" s="86" t="str">
        <f>TiposLancamentos!B4</f>
        <v>Taxas Bancarias</v>
      </c>
      <c r="C144" s="52" t="s">
        <v>14659</v>
      </c>
      <c r="D144" s="63"/>
      <c r="E144" s="135">
        <v>6.74</v>
      </c>
      <c r="F144" s="224"/>
    </row>
    <row r="145" spans="1:6">
      <c r="A145" s="75">
        <v>38511</v>
      </c>
      <c r="B145" s="86" t="str">
        <f>TiposLancamentos!B13</f>
        <v>Moradia</v>
      </c>
      <c r="C145" s="52" t="s">
        <v>14660</v>
      </c>
      <c r="D145" s="63"/>
      <c r="E145" s="135">
        <v>42</v>
      </c>
      <c r="F145" s="224"/>
    </row>
    <row r="146" spans="1:6">
      <c r="A146" s="75">
        <v>38511</v>
      </c>
      <c r="B146" s="86" t="str">
        <f>TiposLancamentos!B16</f>
        <v>Cristiane</v>
      </c>
      <c r="C146" s="52" t="s">
        <v>14661</v>
      </c>
      <c r="D146" s="63"/>
      <c r="E146" s="135">
        <v>7.9</v>
      </c>
      <c r="F146" s="224"/>
    </row>
    <row r="147" spans="1:6">
      <c r="A147" s="79">
        <v>38518</v>
      </c>
      <c r="B147" s="95" t="str">
        <f>TiposLancamentos!B15</f>
        <v>Cartões de Crédito</v>
      </c>
      <c r="C147" s="477" t="s">
        <v>14591</v>
      </c>
      <c r="D147" s="85">
        <v>56.64</v>
      </c>
      <c r="E147" s="407"/>
      <c r="F147" s="177"/>
    </row>
    <row r="148" spans="1:6">
      <c r="A148" s="75"/>
      <c r="B148" s="86"/>
      <c r="C148" s="52" t="s">
        <v>4848</v>
      </c>
      <c r="D148" s="63"/>
      <c r="E148" s="135"/>
      <c r="F148" s="224">
        <f>SUM(E143:E147)</f>
        <v>56.64</v>
      </c>
    </row>
    <row r="149" spans="1:6">
      <c r="A149" s="75">
        <v>38541</v>
      </c>
      <c r="B149" s="86" t="str">
        <f>TiposLancamentos!B13</f>
        <v>Moradia</v>
      </c>
      <c r="C149" s="52" t="s">
        <v>14662</v>
      </c>
      <c r="D149" s="63"/>
      <c r="E149" s="135">
        <v>42</v>
      </c>
      <c r="F149" s="224"/>
    </row>
    <row r="150" spans="1:6">
      <c r="A150" s="75">
        <v>38541</v>
      </c>
      <c r="B150" s="86" t="str">
        <f>TiposLancamentos!B16</f>
        <v>Cristiane</v>
      </c>
      <c r="C150" s="52" t="s">
        <v>14663</v>
      </c>
      <c r="D150" s="63"/>
      <c r="E150" s="135">
        <v>7.9</v>
      </c>
      <c r="F150" s="224"/>
    </row>
    <row r="151" spans="1:6">
      <c r="A151" s="75">
        <v>38548</v>
      </c>
      <c r="B151" s="86" t="str">
        <f>TiposLancamentos!B15</f>
        <v>Cartões de Crédito</v>
      </c>
      <c r="C151" s="52" t="s">
        <v>14591</v>
      </c>
      <c r="D151" s="63">
        <v>41.5</v>
      </c>
      <c r="E151" s="135"/>
      <c r="F151" s="224"/>
    </row>
    <row r="152" spans="1:6">
      <c r="A152" s="83"/>
      <c r="B152" s="91"/>
      <c r="C152" s="59" t="s">
        <v>4857</v>
      </c>
      <c r="D152" s="93"/>
      <c r="E152" s="309"/>
      <c r="F152" s="223">
        <f>SUM(E148:E150)</f>
        <v>49.9</v>
      </c>
    </row>
    <row r="153" spans="1:6">
      <c r="A153" s="75">
        <v>38572</v>
      </c>
      <c r="B153" s="86" t="str">
        <f>TiposLancamentos!B13</f>
        <v>Moradia</v>
      </c>
      <c r="C153" s="52" t="s">
        <v>14664</v>
      </c>
      <c r="D153" s="63"/>
      <c r="E153" s="135">
        <v>42</v>
      </c>
      <c r="F153" s="224"/>
    </row>
    <row r="154" spans="1:6">
      <c r="A154" s="83"/>
      <c r="B154" s="91"/>
      <c r="C154" s="43" t="s">
        <v>4868</v>
      </c>
      <c r="D154" s="93"/>
      <c r="E154" s="309"/>
      <c r="F154" s="223">
        <f>SUM(E152:E153)</f>
        <v>42</v>
      </c>
    </row>
    <row r="155" spans="1:6">
      <c r="A155" s="75">
        <v>38603</v>
      </c>
      <c r="B155" s="86" t="str">
        <f>TiposLancamentos!B13</f>
        <v>Moradia</v>
      </c>
      <c r="C155" s="52" t="s">
        <v>14665</v>
      </c>
      <c r="D155" s="63"/>
      <c r="E155" s="135">
        <v>42</v>
      </c>
      <c r="F155" s="224"/>
    </row>
    <row r="156" spans="1:6">
      <c r="A156" s="79">
        <v>38610</v>
      </c>
      <c r="B156" s="95" t="str">
        <f>TiposLancamentos!B15</f>
        <v>Cartões de Crédito</v>
      </c>
      <c r="C156" s="52" t="s">
        <v>14591</v>
      </c>
      <c r="D156" s="85">
        <v>42</v>
      </c>
      <c r="E156" s="407"/>
      <c r="F156" s="177"/>
    </row>
    <row r="157" spans="1:6">
      <c r="A157" s="75">
        <v>38487</v>
      </c>
      <c r="B157" s="125" t="str">
        <f>TiposLancamentos!B78</f>
        <v>Diferenças</v>
      </c>
      <c r="C157" s="52"/>
      <c r="D157" s="85">
        <v>0.03</v>
      </c>
      <c r="E157" s="407"/>
      <c r="F157" s="224"/>
    </row>
    <row r="158" spans="1:6">
      <c r="A158" s="46"/>
      <c r="B158" s="116"/>
      <c r="C158" s="117" t="s">
        <v>12</v>
      </c>
      <c r="D158" s="185">
        <f>SUM(D1:D157)</f>
        <v>2829.5899999999997</v>
      </c>
      <c r="E158" s="609">
        <f>SUM(E1:E155)</f>
        <v>2829.5900000000011</v>
      </c>
      <c r="F158" s="224"/>
    </row>
    <row r="159" spans="1:6">
      <c r="A159" s="119"/>
      <c r="B159" s="120"/>
      <c r="C159" s="24" t="s">
        <v>13</v>
      </c>
      <c r="D159" s="177"/>
      <c r="E159" s="610">
        <f>D158-E158</f>
        <v>0</v>
      </c>
      <c r="F159" s="177"/>
    </row>
  </sheetData>
  <sheetProtection selectLockedCells="1" selectUnlockedCells="1"/>
  <pageMargins left="0.78749999999999998" right="0.78749999999999998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Plan42"/>
  <dimension ref="A1:F78"/>
  <sheetViews>
    <sheetView workbookViewId="0">
      <pane xSplit="6" ySplit="1" topLeftCell="G59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11.42578125" defaultRowHeight="13.5"/>
  <cols>
    <col min="1" max="2" width="17.5703125" style="3" customWidth="1"/>
    <col min="3" max="3" width="35.42578125" style="3" customWidth="1"/>
    <col min="4" max="4" width="15.140625" style="3" customWidth="1"/>
    <col min="5" max="5" width="16" style="3" customWidth="1"/>
    <col min="6" max="6" width="15.140625" style="3" customWidth="1"/>
    <col min="7" max="16384" width="11.42578125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83">
        <v>36245</v>
      </c>
      <c r="B2" s="91" t="str">
        <f>TiposLancamentos!B20</f>
        <v>Saques</v>
      </c>
      <c r="C2" s="43" t="s">
        <v>2668</v>
      </c>
      <c r="D2" s="41"/>
      <c r="E2" s="94">
        <v>30</v>
      </c>
      <c r="F2" s="562"/>
    </row>
    <row r="3" spans="1:6">
      <c r="A3" s="79">
        <v>36250</v>
      </c>
      <c r="B3" s="95" t="str">
        <f>HSBC!B716</f>
        <v>Restaurantes</v>
      </c>
      <c r="C3" s="477" t="s">
        <v>14666</v>
      </c>
      <c r="D3" s="182"/>
      <c r="E3" s="97">
        <v>5</v>
      </c>
      <c r="F3" s="178"/>
    </row>
    <row r="4" spans="1:6">
      <c r="A4" s="75"/>
      <c r="B4" s="86"/>
      <c r="C4" s="52" t="s">
        <v>14667</v>
      </c>
      <c r="D4" s="63"/>
      <c r="E4" s="98"/>
      <c r="F4" s="489">
        <f>SUM(E2:E3)</f>
        <v>35</v>
      </c>
    </row>
    <row r="5" spans="1:6">
      <c r="A5" s="75">
        <v>36263</v>
      </c>
      <c r="B5" s="86" t="str">
        <f>TiposLancamentos!B20</f>
        <v>Saques</v>
      </c>
      <c r="C5" s="52" t="s">
        <v>2668</v>
      </c>
      <c r="D5" s="563"/>
      <c r="E5" s="98">
        <v>30</v>
      </c>
      <c r="F5" s="564"/>
    </row>
    <row r="6" spans="1:6">
      <c r="A6" s="75">
        <v>36265</v>
      </c>
      <c r="B6" s="86" t="str">
        <f>TiposLancamentos!B20</f>
        <v>Saques</v>
      </c>
      <c r="C6" s="52" t="s">
        <v>2668</v>
      </c>
      <c r="D6" s="563"/>
      <c r="E6" s="98">
        <v>10</v>
      </c>
      <c r="F6" s="564"/>
    </row>
    <row r="7" spans="1:6">
      <c r="A7" s="75">
        <v>36274</v>
      </c>
      <c r="B7" s="86" t="str">
        <f>TiposLancamentos!B20</f>
        <v>Saques</v>
      </c>
      <c r="C7" s="52" t="s">
        <v>2668</v>
      </c>
      <c r="D7" s="563"/>
      <c r="E7" s="98">
        <v>20</v>
      </c>
      <c r="F7" s="564"/>
    </row>
    <row r="8" spans="1:6">
      <c r="A8" s="75">
        <v>36278</v>
      </c>
      <c r="B8" s="86" t="str">
        <f>TiposLancamentos!B20</f>
        <v>Saques</v>
      </c>
      <c r="C8" s="52" t="s">
        <v>2668</v>
      </c>
      <c r="D8" s="563"/>
      <c r="E8" s="98">
        <v>10</v>
      </c>
      <c r="F8" s="564"/>
    </row>
    <row r="9" spans="1:6">
      <c r="A9" s="75">
        <v>36280</v>
      </c>
      <c r="B9" s="86" t="str">
        <f>TiposLancamentos!B20</f>
        <v>Saques</v>
      </c>
      <c r="C9" s="52" t="s">
        <v>2655</v>
      </c>
      <c r="D9" s="134"/>
      <c r="E9" s="98">
        <v>40</v>
      </c>
      <c r="F9" s="178"/>
    </row>
    <row r="10" spans="1:6">
      <c r="A10" s="83"/>
      <c r="B10" s="91"/>
      <c r="C10" s="43" t="s">
        <v>14668</v>
      </c>
      <c r="D10" s="93"/>
      <c r="E10" s="94"/>
      <c r="F10" s="489">
        <f>SUM(E4:E9)</f>
        <v>110</v>
      </c>
    </row>
    <row r="11" spans="1:6">
      <c r="A11" s="75">
        <v>36299</v>
      </c>
      <c r="B11" s="86" t="str">
        <f>TiposLancamentos!B61</f>
        <v>Xerox</v>
      </c>
      <c r="C11" s="52" t="s">
        <v>14669</v>
      </c>
      <c r="D11" s="563"/>
      <c r="E11" s="98">
        <v>10</v>
      </c>
      <c r="F11" s="564"/>
    </row>
    <row r="12" spans="1:6">
      <c r="A12" s="79">
        <v>36311</v>
      </c>
      <c r="B12" s="95" t="str">
        <f>TiposLancamentos!B70</f>
        <v>Vestuário</v>
      </c>
      <c r="C12" s="477" t="s">
        <v>14670</v>
      </c>
      <c r="D12" s="565"/>
      <c r="E12" s="97">
        <v>10</v>
      </c>
      <c r="F12" s="178"/>
    </row>
    <row r="13" spans="1:6">
      <c r="A13" s="83"/>
      <c r="B13" s="91"/>
      <c r="C13" s="43" t="s">
        <v>14671</v>
      </c>
      <c r="D13" s="93"/>
      <c r="E13" s="94"/>
      <c r="F13" s="489">
        <f>SUM(E10:E12)</f>
        <v>20</v>
      </c>
    </row>
    <row r="14" spans="1:6">
      <c r="A14" s="79">
        <v>36329</v>
      </c>
      <c r="B14" s="95" t="str">
        <f>TiposLancamentos!B20</f>
        <v>Saques</v>
      </c>
      <c r="C14" s="477" t="s">
        <v>2655</v>
      </c>
      <c r="D14" s="182"/>
      <c r="E14" s="97">
        <v>10</v>
      </c>
      <c r="F14" s="566"/>
    </row>
    <row r="15" spans="1:6">
      <c r="A15" s="83"/>
      <c r="B15" s="91"/>
      <c r="C15" s="567" t="s">
        <v>14672</v>
      </c>
      <c r="D15" s="93"/>
      <c r="E15" s="94"/>
      <c r="F15" s="489">
        <f>SUM(E13:E14)</f>
        <v>10</v>
      </c>
    </row>
    <row r="16" spans="1:6">
      <c r="A16" s="75">
        <v>36350</v>
      </c>
      <c r="B16" s="86" t="str">
        <f>TiposLancamentos!B20</f>
        <v>Saques</v>
      </c>
      <c r="C16" s="52" t="s">
        <v>2655</v>
      </c>
      <c r="D16" s="134"/>
      <c r="E16" s="98">
        <v>20</v>
      </c>
      <c r="F16" s="564"/>
    </row>
    <row r="17" spans="1:6">
      <c r="A17" s="79">
        <v>36360</v>
      </c>
      <c r="B17" s="95" t="str">
        <f>TiposLancamentos!B20</f>
        <v>Saques</v>
      </c>
      <c r="C17" s="477" t="s">
        <v>2655</v>
      </c>
      <c r="D17" s="182"/>
      <c r="E17" s="97">
        <v>10</v>
      </c>
      <c r="F17" s="566"/>
    </row>
    <row r="18" spans="1:6">
      <c r="A18" s="83"/>
      <c r="B18" s="91"/>
      <c r="C18" s="43" t="s">
        <v>14673</v>
      </c>
      <c r="D18" s="93"/>
      <c r="E18" s="94"/>
      <c r="F18" s="489">
        <f>SUM(E15:E17)</f>
        <v>30</v>
      </c>
    </row>
    <row r="19" spans="1:6">
      <c r="A19" s="75">
        <v>36378</v>
      </c>
      <c r="B19" s="86" t="str">
        <f>TiposLancamentos!B20</f>
        <v>Saques</v>
      </c>
      <c r="C19" s="52" t="s">
        <v>2655</v>
      </c>
      <c r="D19" s="134"/>
      <c r="E19" s="98">
        <v>10</v>
      </c>
      <c r="F19" s="564"/>
    </row>
    <row r="20" spans="1:6">
      <c r="A20" s="79">
        <v>36391</v>
      </c>
      <c r="B20" s="95" t="str">
        <f>TiposLancamentos!B20</f>
        <v>Saques</v>
      </c>
      <c r="C20" s="477" t="s">
        <v>2655</v>
      </c>
      <c r="D20" s="182"/>
      <c r="E20" s="97">
        <v>30</v>
      </c>
      <c r="F20" s="566"/>
    </row>
    <row r="21" spans="1:6">
      <c r="A21" s="83"/>
      <c r="B21" s="91"/>
      <c r="C21" s="43" t="s">
        <v>12688</v>
      </c>
      <c r="D21" s="93"/>
      <c r="E21" s="94"/>
      <c r="F21" s="489">
        <f>SUM(E18:E20)</f>
        <v>40</v>
      </c>
    </row>
    <row r="22" spans="1:6">
      <c r="A22" s="75">
        <v>36406</v>
      </c>
      <c r="B22" s="86" t="str">
        <f>TiposLancamentos!B20</f>
        <v>Saques</v>
      </c>
      <c r="C22" s="52" t="s">
        <v>2655</v>
      </c>
      <c r="D22" s="134"/>
      <c r="E22" s="98">
        <v>30</v>
      </c>
      <c r="F22" s="564"/>
    </row>
    <row r="23" spans="1:6" ht="12.75" customHeight="1">
      <c r="A23" s="75">
        <v>36409</v>
      </c>
      <c r="B23" s="86" t="str">
        <f>TiposLancamentos!B20</f>
        <v>Saques</v>
      </c>
      <c r="C23" s="52" t="s">
        <v>2655</v>
      </c>
      <c r="D23" s="134"/>
      <c r="E23" s="98">
        <v>10</v>
      </c>
      <c r="F23" s="134"/>
    </row>
    <row r="24" spans="1:6" ht="12.75" customHeight="1">
      <c r="A24" s="75">
        <v>36418</v>
      </c>
      <c r="B24" s="86" t="str">
        <f>TiposLancamentos!B20</f>
        <v>Saques</v>
      </c>
      <c r="C24" s="52" t="s">
        <v>2655</v>
      </c>
      <c r="D24" s="134"/>
      <c r="E24" s="98">
        <v>20</v>
      </c>
      <c r="F24" s="564"/>
    </row>
    <row r="25" spans="1:6" ht="12.75" customHeight="1">
      <c r="A25" s="75">
        <v>36421</v>
      </c>
      <c r="B25" s="86" t="str">
        <f>TiposLancamentos!B20</f>
        <v>Saques</v>
      </c>
      <c r="C25" s="52" t="s">
        <v>2655</v>
      </c>
      <c r="D25" s="134"/>
      <c r="E25" s="98">
        <v>20</v>
      </c>
      <c r="F25" s="564"/>
    </row>
    <row r="26" spans="1:6" ht="12.75" customHeight="1">
      <c r="A26" s="79">
        <v>36428</v>
      </c>
      <c r="B26" s="95" t="str">
        <f>TiposLancamentos!B20</f>
        <v>Saques</v>
      </c>
      <c r="C26" s="477" t="s">
        <v>2655</v>
      </c>
      <c r="D26" s="182"/>
      <c r="E26" s="97">
        <v>10</v>
      </c>
      <c r="F26" s="566"/>
    </row>
    <row r="27" spans="1:6" ht="12.75" customHeight="1">
      <c r="A27" s="83"/>
      <c r="B27" s="91"/>
      <c r="C27" s="43" t="s">
        <v>14674</v>
      </c>
      <c r="D27" s="93"/>
      <c r="E27" s="94"/>
      <c r="F27" s="489">
        <f>SUM(E21:E26)</f>
        <v>90</v>
      </c>
    </row>
    <row r="28" spans="1:6" ht="12.75" customHeight="1">
      <c r="A28" s="75">
        <v>36447</v>
      </c>
      <c r="B28" s="86" t="str">
        <f>TiposLancamentos!B2</f>
        <v>Telefonia</v>
      </c>
      <c r="C28" s="52" t="s">
        <v>2782</v>
      </c>
      <c r="D28" s="568"/>
      <c r="E28" s="98">
        <v>20</v>
      </c>
      <c r="F28" s="564"/>
    </row>
    <row r="29" spans="1:6" ht="12.75" customHeight="1">
      <c r="A29" s="75">
        <v>36456</v>
      </c>
      <c r="B29" s="86" t="str">
        <f>TiposLancamentos!B71</f>
        <v>Itens Pessoais</v>
      </c>
      <c r="C29" s="52" t="s">
        <v>14675</v>
      </c>
      <c r="D29" s="134"/>
      <c r="E29" s="98">
        <v>10</v>
      </c>
      <c r="F29" s="564"/>
    </row>
    <row r="30" spans="1:6" ht="12.75" customHeight="1">
      <c r="A30" s="79">
        <v>36458</v>
      </c>
      <c r="B30" s="95" t="str">
        <f>TiposLancamentos!B20</f>
        <v>Saques</v>
      </c>
      <c r="C30" s="477" t="s">
        <v>2668</v>
      </c>
      <c r="D30" s="569"/>
      <c r="E30" s="97">
        <v>20</v>
      </c>
      <c r="F30" s="566"/>
    </row>
    <row r="31" spans="1:6" ht="12.75" customHeight="1">
      <c r="A31" s="83"/>
      <c r="B31" s="91"/>
      <c r="C31" s="43" t="s">
        <v>12690</v>
      </c>
      <c r="D31" s="93"/>
      <c r="E31" s="94"/>
      <c r="F31" s="489">
        <f>SUM(E27:E30)</f>
        <v>50</v>
      </c>
    </row>
    <row r="32" spans="1:6" ht="12.75" customHeight="1">
      <c r="A32" s="75">
        <v>36466</v>
      </c>
      <c r="B32" s="86" t="str">
        <f>TiposLancamentos!B20</f>
        <v>Saques</v>
      </c>
      <c r="C32" s="52" t="s">
        <v>2668</v>
      </c>
      <c r="D32" s="563"/>
      <c r="E32" s="98">
        <v>10</v>
      </c>
      <c r="F32" s="566"/>
    </row>
    <row r="33" spans="1:6" ht="12.75" customHeight="1">
      <c r="A33" s="83"/>
      <c r="B33" s="91"/>
      <c r="C33" s="43" t="s">
        <v>12693</v>
      </c>
      <c r="D33" s="93"/>
      <c r="E33" s="94"/>
      <c r="F33" s="489">
        <f>SUM(E31:E32)</f>
        <v>10</v>
      </c>
    </row>
    <row r="34" spans="1:6" ht="12.75" customHeight="1">
      <c r="A34" s="75">
        <v>36504</v>
      </c>
      <c r="B34" s="86" t="str">
        <f>TiposLancamentos!B20</f>
        <v>Saques</v>
      </c>
      <c r="C34" s="52" t="s">
        <v>2668</v>
      </c>
      <c r="D34" s="563"/>
      <c r="E34" s="98">
        <v>10</v>
      </c>
      <c r="F34" s="564"/>
    </row>
    <row r="35" spans="1:6" ht="12.75" customHeight="1">
      <c r="A35" s="79">
        <v>36450</v>
      </c>
      <c r="B35" s="95" t="str">
        <f>TiposLancamentos!B20</f>
        <v>Saques</v>
      </c>
      <c r="C35" s="477" t="s">
        <v>2668</v>
      </c>
      <c r="D35" s="569"/>
      <c r="E35" s="97">
        <v>20</v>
      </c>
      <c r="F35" s="566"/>
    </row>
    <row r="36" spans="1:6" ht="12.75" customHeight="1">
      <c r="A36" s="75"/>
      <c r="B36" s="86"/>
      <c r="C36" s="52" t="s">
        <v>12697</v>
      </c>
      <c r="D36" s="63"/>
      <c r="E36" s="98"/>
      <c r="F36" s="489">
        <f>SUM(E33:E35)</f>
        <v>30</v>
      </c>
    </row>
    <row r="37" spans="1:6" ht="12.75" customHeight="1">
      <c r="A37" s="75">
        <v>36534</v>
      </c>
      <c r="B37" s="86" t="str">
        <f>TiposLancamentos!B20</f>
        <v>Saques</v>
      </c>
      <c r="C37" s="52" t="s">
        <v>2668</v>
      </c>
      <c r="D37" s="563"/>
      <c r="E37" s="98">
        <v>10</v>
      </c>
      <c r="F37" s="564"/>
    </row>
    <row r="38" spans="1:6" ht="12.75" customHeight="1">
      <c r="A38" s="75">
        <v>36539</v>
      </c>
      <c r="B38" s="86" t="str">
        <f>TiposLancamentos!B20</f>
        <v>Saques</v>
      </c>
      <c r="C38" s="52" t="s">
        <v>2668</v>
      </c>
      <c r="D38" s="563"/>
      <c r="E38" s="98">
        <v>20</v>
      </c>
      <c r="F38" s="564"/>
    </row>
    <row r="39" spans="1:6" ht="12.75" customHeight="1">
      <c r="A39" s="75">
        <v>36543</v>
      </c>
      <c r="B39" s="86" t="str">
        <f>TiposLancamentos!B2</f>
        <v>Telefonia</v>
      </c>
      <c r="C39" s="52" t="s">
        <v>2782</v>
      </c>
      <c r="D39" s="568"/>
      <c r="E39" s="98">
        <v>30</v>
      </c>
      <c r="F39" s="564"/>
    </row>
    <row r="40" spans="1:6" ht="12.75" customHeight="1">
      <c r="A40" s="75">
        <v>36547</v>
      </c>
      <c r="B40" s="86" t="str">
        <f>TiposLancamentos!B20</f>
        <v>Saques</v>
      </c>
      <c r="C40" s="52" t="s">
        <v>2668</v>
      </c>
      <c r="D40" s="563"/>
      <c r="E40" s="98">
        <v>20</v>
      </c>
      <c r="F40" s="134"/>
    </row>
    <row r="41" spans="1:6" ht="12.75" customHeight="1">
      <c r="A41" s="75">
        <v>36552</v>
      </c>
      <c r="B41" s="86" t="str">
        <f>TiposLancamentos!B20</f>
        <v>Saques</v>
      </c>
      <c r="C41" s="52" t="s">
        <v>2668</v>
      </c>
      <c r="D41" s="563"/>
      <c r="E41" s="98">
        <v>10</v>
      </c>
      <c r="F41" s="182"/>
    </row>
    <row r="42" spans="1:6">
      <c r="A42" s="83"/>
      <c r="B42" s="91"/>
      <c r="C42" s="43" t="s">
        <v>14676</v>
      </c>
      <c r="D42" s="93"/>
      <c r="E42" s="94"/>
      <c r="F42" s="489">
        <f>SUM(E36:E41)</f>
        <v>90</v>
      </c>
    </row>
    <row r="43" spans="1:6">
      <c r="A43" s="75">
        <v>36558</v>
      </c>
      <c r="B43" s="86" t="str">
        <f>TiposLancamentos!B62</f>
        <v>Papelaria</v>
      </c>
      <c r="C43" s="52" t="s">
        <v>14677</v>
      </c>
      <c r="D43" s="570"/>
      <c r="E43" s="98">
        <v>19.899999999999999</v>
      </c>
      <c r="F43" s="571"/>
    </row>
    <row r="44" spans="1:6">
      <c r="A44" s="75">
        <v>36561</v>
      </c>
      <c r="B44" s="86" t="str">
        <f>TiposLancamentos!B20</f>
        <v>Saques</v>
      </c>
      <c r="C44" s="52" t="s">
        <v>2668</v>
      </c>
      <c r="D44" s="563"/>
      <c r="E44" s="98">
        <v>20</v>
      </c>
      <c r="F44" s="564"/>
    </row>
    <row r="45" spans="1:6">
      <c r="A45" s="75">
        <v>36575</v>
      </c>
      <c r="B45" s="86" t="str">
        <f>TiposLancamentos!B20</f>
        <v>Saques</v>
      </c>
      <c r="C45" s="52" t="s">
        <v>2668</v>
      </c>
      <c r="D45" s="563"/>
      <c r="E45" s="98">
        <v>20</v>
      </c>
      <c r="F45" s="564"/>
    </row>
    <row r="46" spans="1:6">
      <c r="A46" s="75">
        <v>36579</v>
      </c>
      <c r="B46" s="86" t="str">
        <f>TiposLancamentos!B55</f>
        <v>Onibus Urbano</v>
      </c>
      <c r="C46" s="52" t="s">
        <v>14678</v>
      </c>
      <c r="D46" s="134"/>
      <c r="E46" s="98">
        <v>20</v>
      </c>
      <c r="F46" s="564"/>
    </row>
    <row r="47" spans="1:6">
      <c r="A47" s="75">
        <v>36580</v>
      </c>
      <c r="B47" s="86" t="str">
        <f>TiposLancamentos!B26</f>
        <v>LIVROS</v>
      </c>
      <c r="C47" s="52" t="s">
        <v>14679</v>
      </c>
      <c r="D47" s="134"/>
      <c r="E47" s="98">
        <v>54</v>
      </c>
      <c r="F47" s="564"/>
    </row>
    <row r="48" spans="1:6">
      <c r="A48" s="79">
        <v>36581</v>
      </c>
      <c r="B48" s="95" t="str">
        <f>TiposLancamentos!B2</f>
        <v>Telefonia</v>
      </c>
      <c r="C48" s="477" t="s">
        <v>14680</v>
      </c>
      <c r="D48" s="169"/>
      <c r="E48" s="97">
        <v>10</v>
      </c>
      <c r="F48" s="566"/>
    </row>
    <row r="49" spans="1:6" ht="12.75" customHeight="1">
      <c r="A49" s="75"/>
      <c r="B49" s="86"/>
      <c r="C49" s="52" t="s">
        <v>14681</v>
      </c>
      <c r="D49" s="63"/>
      <c r="E49" s="98"/>
      <c r="F49" s="489">
        <f>SUM(E42:E48)</f>
        <v>143.9</v>
      </c>
    </row>
    <row r="50" spans="1:6" ht="12.75" customHeight="1">
      <c r="A50" s="75">
        <v>36599</v>
      </c>
      <c r="B50" s="86" t="str">
        <f>TiposLancamentos!B61</f>
        <v>Xerox</v>
      </c>
      <c r="C50" s="52" t="s">
        <v>14669</v>
      </c>
      <c r="D50" s="563"/>
      <c r="E50" s="98">
        <v>10</v>
      </c>
      <c r="F50" s="564"/>
    </row>
    <row r="51" spans="1:6" ht="12.75" customHeight="1">
      <c r="A51" s="75">
        <v>36599</v>
      </c>
      <c r="B51" s="86" t="str">
        <f>TiposLancamentos!B97</f>
        <v>Deposito Terc.</v>
      </c>
      <c r="C51" s="52" t="s">
        <v>14464</v>
      </c>
      <c r="D51" s="63">
        <v>240</v>
      </c>
      <c r="E51" s="98"/>
      <c r="F51" s="190"/>
    </row>
    <row r="52" spans="1:6" ht="12.75" customHeight="1">
      <c r="A52" s="75">
        <v>36600</v>
      </c>
      <c r="B52" s="86" t="str">
        <f>TiposLancamentos!B2</f>
        <v>Telefonia</v>
      </c>
      <c r="C52" s="52" t="s">
        <v>2782</v>
      </c>
      <c r="D52" s="568"/>
      <c r="E52" s="98">
        <v>70</v>
      </c>
      <c r="F52" s="564"/>
    </row>
    <row r="53" spans="1:6" ht="12.75" customHeight="1">
      <c r="A53" s="75">
        <v>36606</v>
      </c>
      <c r="B53" s="86" t="str">
        <f>TiposLancamentos!B2</f>
        <v>Telefonia</v>
      </c>
      <c r="C53" s="52" t="s">
        <v>2782</v>
      </c>
      <c r="D53" s="568"/>
      <c r="E53" s="98">
        <v>20</v>
      </c>
      <c r="F53" s="564"/>
    </row>
    <row r="54" spans="1:6" ht="12.75" customHeight="1">
      <c r="A54" s="75">
        <v>36608</v>
      </c>
      <c r="B54" s="86" t="str">
        <f>TiposLancamentos!B55</f>
        <v>Onibus Urbano</v>
      </c>
      <c r="C54" s="52" t="s">
        <v>14678</v>
      </c>
      <c r="D54" s="134"/>
      <c r="E54" s="98">
        <v>30</v>
      </c>
      <c r="F54" s="564"/>
    </row>
    <row r="55" spans="1:6" ht="12.75" customHeight="1">
      <c r="A55" s="75">
        <v>36615</v>
      </c>
      <c r="B55" s="86" t="str">
        <f>HSBC!B856</f>
        <v>Supermercado</v>
      </c>
      <c r="C55" s="52" t="s">
        <v>14609</v>
      </c>
      <c r="D55" s="568"/>
      <c r="E55" s="98">
        <v>16.09</v>
      </c>
      <c r="F55" s="178"/>
    </row>
    <row r="56" spans="1:6" ht="12.75" customHeight="1">
      <c r="A56" s="83"/>
      <c r="B56" s="91"/>
      <c r="C56" s="43" t="s">
        <v>14682</v>
      </c>
      <c r="D56" s="93"/>
      <c r="E56" s="94"/>
      <c r="F56" s="489">
        <f>SUM(E49:E55)</f>
        <v>146.09</v>
      </c>
    </row>
    <row r="57" spans="1:6" ht="12.75" customHeight="1">
      <c r="A57" s="75">
        <v>36618</v>
      </c>
      <c r="B57" s="86" t="str">
        <f>TiposLancamentos!B20</f>
        <v>Saques</v>
      </c>
      <c r="C57" s="52" t="s">
        <v>2668</v>
      </c>
      <c r="D57" s="563"/>
      <c r="E57" s="98">
        <v>20</v>
      </c>
      <c r="F57" s="564"/>
    </row>
    <row r="58" spans="1:6" ht="12.75" customHeight="1">
      <c r="A58" s="75">
        <v>36620</v>
      </c>
      <c r="B58" s="86" t="str">
        <f>TiposLancamentos!B57</f>
        <v>Informática</v>
      </c>
      <c r="C58" s="52" t="s">
        <v>14683</v>
      </c>
      <c r="D58" s="572"/>
      <c r="E58" s="98">
        <v>98.3</v>
      </c>
      <c r="F58" s="573"/>
    </row>
    <row r="59" spans="1:6" ht="12.75" customHeight="1">
      <c r="A59" s="75">
        <v>36620</v>
      </c>
      <c r="B59" s="86" t="str">
        <f>TiposLancamentos!B105</f>
        <v>Transf. Bco</v>
      </c>
      <c r="C59" s="52" t="s">
        <v>14684</v>
      </c>
      <c r="D59" s="563"/>
      <c r="E59" s="98">
        <v>35</v>
      </c>
      <c r="F59" s="564"/>
    </row>
    <row r="60" spans="1:6" ht="12.75" customHeight="1">
      <c r="A60" s="75">
        <v>36624</v>
      </c>
      <c r="B60" s="86" t="str">
        <f>TiposLancamentos!B20</f>
        <v>Saques</v>
      </c>
      <c r="C60" s="52" t="s">
        <v>2668</v>
      </c>
      <c r="D60" s="563"/>
      <c r="E60" s="98">
        <v>30</v>
      </c>
      <c r="F60" s="564"/>
    </row>
    <row r="61" spans="1:6" ht="12.75" customHeight="1">
      <c r="A61" s="75">
        <v>36632</v>
      </c>
      <c r="B61" s="86" t="str">
        <f>TiposLancamentos!B20</f>
        <v>Saques</v>
      </c>
      <c r="C61" s="52" t="s">
        <v>2668</v>
      </c>
      <c r="D61" s="563"/>
      <c r="E61" s="98">
        <v>10</v>
      </c>
      <c r="F61" s="564"/>
    </row>
    <row r="62" spans="1:6" ht="12.75" customHeight="1">
      <c r="A62" s="75">
        <v>36636</v>
      </c>
      <c r="B62" s="86" t="str">
        <f>TiposLancamentos!B20</f>
        <v>Saques</v>
      </c>
      <c r="C62" s="52" t="s">
        <v>2668</v>
      </c>
      <c r="D62" s="563"/>
      <c r="E62" s="98">
        <v>50</v>
      </c>
      <c r="F62" s="564"/>
    </row>
    <row r="63" spans="1:6" ht="12.75" customHeight="1">
      <c r="A63" s="75">
        <v>36641</v>
      </c>
      <c r="B63" s="86" t="str">
        <f>TiposLancamentos!B2</f>
        <v>Telefonia</v>
      </c>
      <c r="C63" s="52" t="s">
        <v>14685</v>
      </c>
      <c r="D63" s="568"/>
      <c r="E63" s="98">
        <v>11.22</v>
      </c>
      <c r="F63" s="573"/>
    </row>
    <row r="64" spans="1:6" ht="12.75" customHeight="1">
      <c r="A64" s="75">
        <v>36641</v>
      </c>
      <c r="B64" s="86" t="str">
        <f>TiposLancamentos!B55</f>
        <v>Onibus Urbano</v>
      </c>
      <c r="C64" s="52" t="s">
        <v>14686</v>
      </c>
      <c r="D64" s="134"/>
      <c r="E64" s="98">
        <v>30</v>
      </c>
      <c r="F64" s="564"/>
    </row>
    <row r="65" spans="1:6" ht="12.75" customHeight="1">
      <c r="A65" s="79">
        <v>36643</v>
      </c>
      <c r="B65" s="95" t="str">
        <f>TiposLancamentos!B20</f>
        <v>Saques</v>
      </c>
      <c r="C65" s="477" t="s">
        <v>2668</v>
      </c>
      <c r="D65" s="569"/>
      <c r="E65" s="97">
        <v>10</v>
      </c>
      <c r="F65" s="182"/>
    </row>
    <row r="66" spans="1:6" ht="12.75" customHeight="1">
      <c r="A66" s="75"/>
      <c r="B66" s="86"/>
      <c r="C66" s="52" t="s">
        <v>14687</v>
      </c>
      <c r="D66" s="63"/>
      <c r="E66" s="98"/>
      <c r="F66" s="489">
        <f>SUM(E56:E65)</f>
        <v>294.52</v>
      </c>
    </row>
    <row r="67" spans="1:6" ht="12.75" customHeight="1">
      <c r="A67" s="75">
        <v>36651</v>
      </c>
      <c r="B67" s="86" t="str">
        <f>TiposLancamentos!B20</f>
        <v>Saques</v>
      </c>
      <c r="C67" s="52" t="s">
        <v>2668</v>
      </c>
      <c r="D67" s="563"/>
      <c r="E67" s="98">
        <v>40</v>
      </c>
      <c r="F67" s="564"/>
    </row>
    <row r="68" spans="1:6" ht="12.75" customHeight="1">
      <c r="A68" s="75">
        <v>36650</v>
      </c>
      <c r="B68" s="86" t="str">
        <f>TiposLancamentos!B57</f>
        <v>Informática</v>
      </c>
      <c r="C68" s="52" t="s">
        <v>14688</v>
      </c>
      <c r="D68" s="572"/>
      <c r="E68" s="98">
        <v>98.3</v>
      </c>
      <c r="F68" s="564"/>
    </row>
    <row r="69" spans="1:6" ht="12.75" customHeight="1">
      <c r="A69" s="75">
        <v>36670</v>
      </c>
      <c r="B69" s="86" t="str">
        <f>TiposLancamentos!B56</f>
        <v>Farmácia</v>
      </c>
      <c r="C69" s="52" t="s">
        <v>1775</v>
      </c>
      <c r="D69" s="568"/>
      <c r="E69" s="98">
        <v>20</v>
      </c>
      <c r="F69" s="564"/>
    </row>
    <row r="70" spans="1:6" ht="12.75" customHeight="1">
      <c r="A70" s="75">
        <v>36671</v>
      </c>
      <c r="B70" s="86" t="str">
        <f>TiposLancamentos!B55</f>
        <v>Onibus Urbano</v>
      </c>
      <c r="C70" s="52" t="s">
        <v>14686</v>
      </c>
      <c r="D70" s="134"/>
      <c r="E70" s="98">
        <v>20</v>
      </c>
      <c r="F70" s="564"/>
    </row>
    <row r="71" spans="1:6" ht="12.75" customHeight="1">
      <c r="A71" s="75">
        <v>36672</v>
      </c>
      <c r="B71" s="86" t="str">
        <f>TiposLancamentos!B20</f>
        <v>Saques</v>
      </c>
      <c r="C71" s="52" t="s">
        <v>2668</v>
      </c>
      <c r="D71" s="563"/>
      <c r="E71" s="98">
        <v>10</v>
      </c>
      <c r="F71" s="566"/>
    </row>
    <row r="72" spans="1:6" ht="12.75" customHeight="1">
      <c r="A72" s="83"/>
      <c r="B72" s="91"/>
      <c r="C72" s="43" t="s">
        <v>14689</v>
      </c>
      <c r="D72" s="93"/>
      <c r="E72" s="94"/>
      <c r="F72" s="489">
        <f>SUM(E66:E71)</f>
        <v>188.3</v>
      </c>
    </row>
    <row r="73" spans="1:6" ht="12.75" customHeight="1">
      <c r="A73" s="75">
        <v>36681</v>
      </c>
      <c r="B73" s="86" t="str">
        <f>TiposLancamentos!B57</f>
        <v>Informática</v>
      </c>
      <c r="C73" s="52" t="s">
        <v>14690</v>
      </c>
      <c r="D73" s="63"/>
      <c r="E73" s="98">
        <v>98.3</v>
      </c>
      <c r="F73" s="190"/>
    </row>
    <row r="74" spans="1:6" ht="12.75" customHeight="1">
      <c r="A74" s="79">
        <v>36680</v>
      </c>
      <c r="B74" s="95" t="str">
        <f>TiposLancamentos!B20</f>
        <v>Saques</v>
      </c>
      <c r="C74" s="477" t="s">
        <v>2668</v>
      </c>
      <c r="D74" s="569"/>
      <c r="E74" s="97">
        <v>30</v>
      </c>
      <c r="F74" s="566"/>
    </row>
    <row r="75" spans="1:6" ht="12.75" customHeight="1">
      <c r="A75" s="83"/>
      <c r="B75" s="91"/>
      <c r="C75" s="43" t="s">
        <v>14691</v>
      </c>
      <c r="D75" s="93"/>
      <c r="E75" s="94"/>
      <c r="F75" s="489">
        <f>SUM(E72:E74)</f>
        <v>128.30000000000001</v>
      </c>
    </row>
    <row r="76" spans="1:6" ht="12.75" customHeight="1">
      <c r="A76" s="79">
        <v>36724</v>
      </c>
      <c r="B76" s="95" t="str">
        <f>TiposLancamentos!B20</f>
        <v>Saques</v>
      </c>
      <c r="C76" s="477" t="s">
        <v>2668</v>
      </c>
      <c r="D76" s="569"/>
      <c r="E76" s="97">
        <v>30</v>
      </c>
      <c r="F76" s="566"/>
    </row>
    <row r="77" spans="1:6">
      <c r="A77" s="46"/>
      <c r="B77" s="76"/>
      <c r="C77" s="477" t="s">
        <v>12</v>
      </c>
      <c r="D77" s="185">
        <f>SUM(D1:D76)</f>
        <v>240</v>
      </c>
      <c r="E77" s="118">
        <f>SUM(E2:E76)</f>
        <v>1446.11</v>
      </c>
      <c r="F77" s="341">
        <f>SUM(F2:F76)</f>
        <v>1416.11</v>
      </c>
    </row>
    <row r="78" spans="1:6">
      <c r="A78" s="119"/>
      <c r="B78" s="80"/>
      <c r="C78" s="574" t="s">
        <v>13</v>
      </c>
      <c r="D78" s="128"/>
      <c r="E78" s="575">
        <f>(D77-E77)</f>
        <v>-1206.1099999999999</v>
      </c>
      <c r="F78" s="171"/>
    </row>
  </sheetData>
  <sheetProtection selectLockedCells="1" selectUnlockedCells="1"/>
  <printOptions gridLines="1"/>
  <pageMargins left="0.78749999999999998" right="0.78749999999999998" top="0.78749999999999998" bottom="0.78749999999999998" header="0.51180555555555551" footer="0.51180555555555551"/>
  <pageSetup paperSize="9" firstPageNumber="0" orientation="portrait" horizontalDpi="300" verticalDpi="300" r:id="rId1"/>
  <headerFooter alignWithMargins="0">
    <oddHeader>&amp;C&amp;A</oddHeader>
    <oddFooter>&amp;CSeite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B1EB-E7A7-4729-A5DD-667047A02539}">
  <sheetPr codeName="Planilha30"/>
  <dimension ref="A1:G25"/>
  <sheetViews>
    <sheetView workbookViewId="0">
      <selection activeCell="B8" sqref="B8"/>
    </sheetView>
  </sheetViews>
  <sheetFormatPr defaultColWidth="9" defaultRowHeight="13.5"/>
  <cols>
    <col min="1" max="1" width="13.7109375" style="3" bestFit="1" customWidth="1"/>
    <col min="2" max="2" width="21.42578125" style="3" customWidth="1"/>
    <col min="3" max="3" width="48.42578125" style="3" customWidth="1"/>
    <col min="4" max="4" width="16" style="3" customWidth="1"/>
    <col min="5" max="5" width="17" style="221" customWidth="1"/>
    <col min="6" max="6" width="16" style="3" bestFit="1" customWidth="1"/>
    <col min="7" max="7" width="9" style="3" bestFit="1"/>
    <col min="8" max="16384" width="9" style="3"/>
  </cols>
  <sheetData>
    <row r="1" spans="1:7" ht="14.25" thickBot="1">
      <c r="A1" s="1543" t="s">
        <v>0</v>
      </c>
      <c r="B1" s="1544" t="s">
        <v>1</v>
      </c>
      <c r="C1" s="1545" t="s">
        <v>2</v>
      </c>
      <c r="D1" s="1546" t="s">
        <v>3</v>
      </c>
      <c r="E1" s="1689" t="s">
        <v>4</v>
      </c>
      <c r="F1" s="1660" t="s">
        <v>5</v>
      </c>
      <c r="G1" s="1566" t="s">
        <v>6</v>
      </c>
    </row>
    <row r="2" spans="1:7">
      <c r="A2" s="967"/>
      <c r="B2" s="968"/>
      <c r="C2" s="1093" t="s">
        <v>7</v>
      </c>
      <c r="D2" s="970"/>
      <c r="E2" s="1657"/>
      <c r="F2" s="1042"/>
      <c r="G2" s="1655"/>
    </row>
    <row r="3" spans="1:7">
      <c r="A3" s="884">
        <v>45559</v>
      </c>
      <c r="B3" s="240" t="str">
        <f>TiposLancamentos!B77</f>
        <v>Esporádico</v>
      </c>
      <c r="C3" s="878" t="s">
        <v>8</v>
      </c>
      <c r="D3" s="63">
        <v>0.01</v>
      </c>
      <c r="E3" s="231"/>
      <c r="F3" s="1656"/>
      <c r="G3" s="1686" t="s">
        <v>9</v>
      </c>
    </row>
    <row r="4" spans="1:7">
      <c r="A4" s="884">
        <v>45559</v>
      </c>
      <c r="B4" s="240" t="str">
        <f>TiposLancamentos!B78</f>
        <v>Diferenças</v>
      </c>
      <c r="C4" s="878" t="s">
        <v>8</v>
      </c>
      <c r="D4" s="63"/>
      <c r="E4" s="231">
        <v>0.01</v>
      </c>
      <c r="F4" s="1656"/>
      <c r="G4" s="1686" t="s">
        <v>9</v>
      </c>
    </row>
    <row r="5" spans="1:7">
      <c r="A5" s="934"/>
      <c r="B5" s="243"/>
      <c r="C5" s="389" t="s">
        <v>10</v>
      </c>
      <c r="D5" s="146"/>
      <c r="E5" s="1190"/>
      <c r="F5" s="1690"/>
      <c r="G5" s="1687" t="s">
        <v>11</v>
      </c>
    </row>
    <row r="6" spans="1:7">
      <c r="A6" s="884">
        <v>45559</v>
      </c>
      <c r="B6" s="240" t="str">
        <f>TiposLancamentos!B105</f>
        <v>Transf. Bco</v>
      </c>
      <c r="C6" s="878" t="s">
        <v>14692</v>
      </c>
      <c r="D6" s="63">
        <v>0.93</v>
      </c>
      <c r="E6" s="231"/>
      <c r="F6" s="1656"/>
      <c r="G6" s="1550"/>
    </row>
    <row r="7" spans="1:7">
      <c r="A7" s="884">
        <v>45649</v>
      </c>
      <c r="B7" s="240" t="str">
        <f>TiposLancamentos!B105</f>
        <v>Transf. Bco</v>
      </c>
      <c r="C7" s="878" t="s">
        <v>14693</v>
      </c>
      <c r="D7" s="63"/>
      <c r="E7" s="231">
        <v>0.93</v>
      </c>
      <c r="F7" s="1656"/>
      <c r="G7" s="1550"/>
    </row>
    <row r="8" spans="1:7">
      <c r="A8" s="884"/>
      <c r="B8" s="240"/>
      <c r="C8" s="878"/>
      <c r="D8" s="63"/>
      <c r="E8" s="231"/>
      <c r="F8" s="1656"/>
      <c r="G8" s="1550"/>
    </row>
    <row r="9" spans="1:7">
      <c r="A9" s="884"/>
      <c r="B9" s="240"/>
      <c r="C9" s="878"/>
      <c r="D9" s="63"/>
      <c r="E9" s="231"/>
      <c r="F9" s="1656"/>
      <c r="G9" s="1550"/>
    </row>
    <row r="10" spans="1:7">
      <c r="A10" s="884"/>
      <c r="B10" s="240"/>
      <c r="C10" s="878"/>
      <c r="D10" s="63"/>
      <c r="E10" s="231"/>
      <c r="F10" s="1656"/>
      <c r="G10" s="1550"/>
    </row>
    <row r="11" spans="1:7">
      <c r="A11" s="884"/>
      <c r="B11" s="240"/>
      <c r="C11" s="878"/>
      <c r="D11" s="63"/>
      <c r="E11" s="231"/>
      <c r="F11" s="1656"/>
      <c r="G11" s="1550"/>
    </row>
    <row r="12" spans="1:7" ht="14.25" thickBot="1">
      <c r="A12" s="885"/>
      <c r="B12" s="1232"/>
      <c r="C12" s="1120"/>
      <c r="D12" s="903"/>
      <c r="E12" s="928"/>
      <c r="F12" s="1691"/>
      <c r="G12" s="1551"/>
    </row>
    <row r="13" spans="1:7">
      <c r="A13" s="884"/>
      <c r="B13" s="240"/>
      <c r="C13" s="878"/>
      <c r="D13" s="63"/>
      <c r="E13" s="231"/>
      <c r="F13" s="1656"/>
      <c r="G13" s="1550"/>
    </row>
    <row r="14" spans="1:7">
      <c r="A14" s="884"/>
      <c r="B14" s="240"/>
      <c r="C14" s="878"/>
      <c r="D14" s="63"/>
      <c r="E14" s="231"/>
      <c r="F14" s="1656"/>
      <c r="G14" s="1550"/>
    </row>
    <row r="15" spans="1:7">
      <c r="A15" s="884"/>
      <c r="B15" s="240"/>
      <c r="C15" s="878"/>
      <c r="D15" s="63"/>
      <c r="E15" s="231"/>
      <c r="F15" s="1656"/>
      <c r="G15" s="1550"/>
    </row>
    <row r="16" spans="1:7">
      <c r="A16" s="884"/>
      <c r="B16" s="240"/>
      <c r="C16" s="878"/>
      <c r="D16" s="63"/>
      <c r="E16" s="231"/>
      <c r="F16" s="1656"/>
      <c r="G16" s="1550"/>
    </row>
    <row r="17" spans="1:7">
      <c r="A17" s="884"/>
      <c r="B17" s="240"/>
      <c r="C17" s="878"/>
      <c r="D17" s="63"/>
      <c r="E17" s="231"/>
      <c r="F17" s="1656"/>
      <c r="G17" s="1550"/>
    </row>
    <row r="18" spans="1:7">
      <c r="A18" s="884"/>
      <c r="B18" s="240"/>
      <c r="C18" s="878"/>
      <c r="D18" s="63"/>
      <c r="E18" s="231"/>
      <c r="F18" s="1656"/>
      <c r="G18" s="1550"/>
    </row>
    <row r="19" spans="1:7" ht="14.25" thickBot="1">
      <c r="A19" s="1307"/>
      <c r="B19" s="1124"/>
      <c r="C19" s="1179"/>
      <c r="D19" s="764"/>
      <c r="E19" s="765"/>
      <c r="F19" s="1691"/>
      <c r="G19" s="1550"/>
    </row>
    <row r="20" spans="1:7" ht="14.25" thickBot="1">
      <c r="A20" s="885"/>
      <c r="B20" s="1232"/>
      <c r="C20" s="902"/>
      <c r="D20" s="903"/>
      <c r="E20" s="928"/>
      <c r="F20" s="905"/>
      <c r="G20" s="1688" t="s">
        <v>11</v>
      </c>
    </row>
    <row r="21" spans="1:7">
      <c r="A21" s="46"/>
      <c r="B21" s="116"/>
      <c r="C21" s="117" t="s">
        <v>12</v>
      </c>
      <c r="D21" s="185">
        <f>SUM(D2:D20)</f>
        <v>0.94000000000000006</v>
      </c>
      <c r="E21" s="609">
        <f>SUM(E2:E20)</f>
        <v>0.94000000000000006</v>
      </c>
      <c r="F21" s="224"/>
    </row>
    <row r="22" spans="1:7">
      <c r="A22" s="119"/>
      <c r="B22" s="120"/>
      <c r="C22" s="24" t="s">
        <v>13</v>
      </c>
      <c r="D22" s="177"/>
      <c r="E22" s="302">
        <f>D21-E21</f>
        <v>0</v>
      </c>
      <c r="F22" s="177"/>
    </row>
    <row r="23" spans="1:7">
      <c r="A23" s="65"/>
      <c r="B23" s="65"/>
    </row>
    <row r="24" spans="1:7">
      <c r="C24" s="23"/>
      <c r="D24" s="25" t="s">
        <v>14</v>
      </c>
      <c r="E24" s="303" t="s">
        <v>15</v>
      </c>
      <c r="F24" s="25" t="s">
        <v>16</v>
      </c>
    </row>
    <row r="25" spans="1:7">
      <c r="B25" s="77" t="s">
        <v>17</v>
      </c>
      <c r="C25" s="36"/>
      <c r="D25" s="60"/>
      <c r="E25" s="34">
        <f>E22</f>
        <v>0</v>
      </c>
      <c r="F25" s="62">
        <f>D25+E25</f>
        <v>0</v>
      </c>
    </row>
  </sheetData>
  <conditionalFormatting sqref="E2">
    <cfRule type="cellIs" dxfId="124" priority="1" stopIfTrue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Plan39"/>
  <dimension ref="A1:F71"/>
  <sheetViews>
    <sheetView workbookViewId="0">
      <pane xSplit="5" ySplit="1" topLeftCell="F38" activePane="bottomRight" state="frozen"/>
      <selection pane="bottomRight" activeCell="F1" sqref="F1"/>
      <selection pane="bottomLeft" activeCell="A59" sqref="A59"/>
      <selection pane="topRight" activeCell="F1" sqref="F1"/>
    </sheetView>
  </sheetViews>
  <sheetFormatPr defaultColWidth="9" defaultRowHeight="13.5"/>
  <cols>
    <col min="1" max="1" width="16.5703125" style="3" customWidth="1"/>
    <col min="2" max="2" width="32.28515625" style="3" customWidth="1"/>
    <col min="3" max="3" width="48.5703125" style="3" customWidth="1"/>
    <col min="4" max="5" width="15.140625" style="3" customWidth="1"/>
    <col min="6" max="16384" width="9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83"/>
      <c r="B2" s="83"/>
      <c r="C2" s="1453" t="s">
        <v>14694</v>
      </c>
      <c r="D2" s="63"/>
      <c r="E2" s="180"/>
    </row>
    <row r="3" spans="1:6">
      <c r="A3" s="79">
        <v>37539</v>
      </c>
      <c r="B3" s="79" t="str">
        <f>TiposLancamentos!B13</f>
        <v>Moradia</v>
      </c>
      <c r="C3" s="477" t="s">
        <v>14695</v>
      </c>
      <c r="D3" s="63"/>
      <c r="E3" s="537">
        <v>24.99</v>
      </c>
    </row>
    <row r="4" spans="1:6">
      <c r="A4" s="83"/>
      <c r="B4" s="83"/>
      <c r="C4" s="1453" t="s">
        <v>12829</v>
      </c>
      <c r="D4" s="93"/>
      <c r="E4" s="94"/>
    </row>
    <row r="5" spans="1:6">
      <c r="A5" s="79">
        <v>37574</v>
      </c>
      <c r="B5" s="79" t="str">
        <f>TiposLancamentos!B15</f>
        <v>Cartões de Crédito</v>
      </c>
      <c r="C5" s="477" t="s">
        <v>14696</v>
      </c>
      <c r="D5" s="85">
        <v>24.99</v>
      </c>
      <c r="E5" s="97"/>
    </row>
    <row r="6" spans="1:6">
      <c r="A6" s="75"/>
      <c r="B6" s="75"/>
      <c r="C6" s="1203" t="s">
        <v>12834</v>
      </c>
      <c r="D6" s="63"/>
      <c r="E6" s="98"/>
    </row>
    <row r="7" spans="1:6">
      <c r="A7" s="75">
        <v>37619</v>
      </c>
      <c r="B7" s="75" t="str">
        <f>TiposLancamentos!B25</f>
        <v>CD_DVD_BD</v>
      </c>
      <c r="C7" s="52" t="s">
        <v>14697</v>
      </c>
      <c r="D7" s="63"/>
      <c r="E7" s="98">
        <v>39.9</v>
      </c>
    </row>
    <row r="8" spans="1:6">
      <c r="A8" s="83"/>
      <c r="B8" s="83"/>
      <c r="C8" s="1453" t="s">
        <v>14698</v>
      </c>
      <c r="D8" s="93"/>
      <c r="E8" s="94"/>
    </row>
    <row r="9" spans="1:6">
      <c r="A9" s="75">
        <v>37626</v>
      </c>
      <c r="B9" s="75" t="str">
        <f>TiposLancamentos!B4</f>
        <v>Taxas Bancarias</v>
      </c>
      <c r="C9" s="52" t="s">
        <v>14699</v>
      </c>
      <c r="D9" s="63"/>
      <c r="E9" s="98">
        <v>1.99</v>
      </c>
    </row>
    <row r="10" spans="1:6">
      <c r="A10" s="79">
        <v>37636</v>
      </c>
      <c r="B10" s="79" t="str">
        <f>TiposLancamentos!B15</f>
        <v>Cartões de Crédito</v>
      </c>
      <c r="C10" s="477" t="s">
        <v>14700</v>
      </c>
      <c r="D10" s="85">
        <v>41.89</v>
      </c>
      <c r="E10" s="97"/>
    </row>
    <row r="11" spans="1:6">
      <c r="A11" s="83"/>
      <c r="B11" s="83"/>
      <c r="C11" s="1451" t="s">
        <v>12846</v>
      </c>
      <c r="D11" s="63"/>
      <c r="E11" s="94"/>
    </row>
    <row r="12" spans="1:6">
      <c r="A12" s="75">
        <v>37669</v>
      </c>
      <c r="B12" s="75" t="str">
        <f>TiposLancamentos!B13</f>
        <v>Moradia</v>
      </c>
      <c r="C12" s="52" t="s">
        <v>14701</v>
      </c>
      <c r="D12" s="63"/>
      <c r="E12" s="98">
        <v>192.15</v>
      </c>
    </row>
    <row r="13" spans="1:6">
      <c r="A13" s="83"/>
      <c r="B13" s="83"/>
      <c r="C13" s="1451" t="s">
        <v>12853</v>
      </c>
      <c r="D13" s="93"/>
      <c r="E13" s="94"/>
    </row>
    <row r="14" spans="1:6">
      <c r="A14" s="75">
        <v>37696</v>
      </c>
      <c r="B14" s="75" t="str">
        <f>TiposLancamentos!B15</f>
        <v>Cartões de Crédito</v>
      </c>
      <c r="C14" s="52" t="s">
        <v>14702</v>
      </c>
      <c r="D14" s="63">
        <v>192.15</v>
      </c>
      <c r="E14" s="98"/>
    </row>
    <row r="15" spans="1:6">
      <c r="A15" s="75">
        <v>37697</v>
      </c>
      <c r="B15" s="75" t="str">
        <f>TiposLancamentos!B13</f>
        <v>Moradia</v>
      </c>
      <c r="C15" s="52" t="s">
        <v>14703</v>
      </c>
      <c r="D15" s="85"/>
      <c r="E15" s="98">
        <v>192.15</v>
      </c>
    </row>
    <row r="16" spans="1:6">
      <c r="A16" s="83"/>
      <c r="B16" s="83"/>
      <c r="C16" s="1451" t="s">
        <v>12857</v>
      </c>
      <c r="D16" s="63"/>
      <c r="E16" s="94"/>
    </row>
    <row r="17" spans="1:5">
      <c r="A17" s="75">
        <v>37725</v>
      </c>
      <c r="B17" s="75" t="str">
        <f>TiposLancamentos!B57</f>
        <v>Informática</v>
      </c>
      <c r="C17" s="47" t="s">
        <v>14704</v>
      </c>
      <c r="D17" s="63"/>
      <c r="E17" s="98">
        <v>31.13</v>
      </c>
    </row>
    <row r="18" spans="1:5">
      <c r="A18" s="75">
        <v>37726</v>
      </c>
      <c r="B18" s="75" t="str">
        <f>TiposLancamentos!B15</f>
        <v>Cartões de Crédito</v>
      </c>
      <c r="C18" s="52" t="s">
        <v>14705</v>
      </c>
      <c r="D18" s="63">
        <v>192.15</v>
      </c>
      <c r="E18" s="98"/>
    </row>
    <row r="19" spans="1:5">
      <c r="A19" s="75">
        <v>37728</v>
      </c>
      <c r="B19" s="75" t="str">
        <f>TiposLancamentos!B13</f>
        <v>Moradia</v>
      </c>
      <c r="C19" s="52" t="s">
        <v>14706</v>
      </c>
      <c r="D19" s="63"/>
      <c r="E19" s="98">
        <v>192.15</v>
      </c>
    </row>
    <row r="20" spans="1:5">
      <c r="A20" s="83"/>
      <c r="B20" s="83"/>
      <c r="C20" s="1451" t="s">
        <v>12860</v>
      </c>
      <c r="D20" s="93"/>
      <c r="E20" s="94"/>
    </row>
    <row r="21" spans="1:5">
      <c r="A21" s="75">
        <v>37746</v>
      </c>
      <c r="B21" s="75" t="str">
        <f>TiposLancamentos!B5</f>
        <v>Supermercado</v>
      </c>
      <c r="C21" s="47" t="s">
        <v>14707</v>
      </c>
      <c r="D21" s="63"/>
      <c r="E21" s="98">
        <v>21.45</v>
      </c>
    </row>
    <row r="22" spans="1:5">
      <c r="A22" s="75">
        <v>37756</v>
      </c>
      <c r="B22" s="75" t="str">
        <f>TiposLancamentos!B15</f>
        <v>Cartões de Crédito</v>
      </c>
      <c r="C22" s="52" t="s">
        <v>14696</v>
      </c>
      <c r="D22" s="63">
        <v>55.11</v>
      </c>
      <c r="E22" s="98"/>
    </row>
    <row r="23" spans="1:5">
      <c r="A23" s="75">
        <v>37756</v>
      </c>
      <c r="B23" s="75" t="str">
        <f>TiposLancamentos!B15</f>
        <v>Cartões de Crédito</v>
      </c>
      <c r="C23" s="52" t="s">
        <v>14708</v>
      </c>
      <c r="D23" s="63">
        <v>192.15</v>
      </c>
      <c r="E23" s="98"/>
    </row>
    <row r="24" spans="1:5">
      <c r="A24" s="75">
        <v>37758</v>
      </c>
      <c r="B24" s="75" t="str">
        <f>TiposLancamentos!B13</f>
        <v>Moradia</v>
      </c>
      <c r="C24" s="52" t="s">
        <v>14709</v>
      </c>
      <c r="D24" s="85"/>
      <c r="E24" s="98">
        <v>192.15</v>
      </c>
    </row>
    <row r="25" spans="1:5">
      <c r="A25" s="83"/>
      <c r="B25" s="83"/>
      <c r="C25" s="1451" t="s">
        <v>12864</v>
      </c>
      <c r="D25" s="63"/>
      <c r="E25" s="94"/>
    </row>
    <row r="26" spans="1:5">
      <c r="A26" s="75">
        <v>37777</v>
      </c>
      <c r="B26" s="75" t="str">
        <f>TiposLancamentos!B13</f>
        <v>Moradia</v>
      </c>
      <c r="C26" s="47" t="s">
        <v>14710</v>
      </c>
      <c r="D26" s="63"/>
      <c r="E26" s="98">
        <v>25.85</v>
      </c>
    </row>
    <row r="27" spans="1:5">
      <c r="A27" s="75">
        <v>37777</v>
      </c>
      <c r="B27" s="75" t="str">
        <f>TiposLancamentos!B15</f>
        <v>Cartões de Crédito</v>
      </c>
      <c r="C27" s="52" t="s">
        <v>14711</v>
      </c>
      <c r="D27" s="63">
        <v>25.85</v>
      </c>
      <c r="E27" s="98"/>
    </row>
    <row r="28" spans="1:5">
      <c r="A28" s="75">
        <v>37789</v>
      </c>
      <c r="B28" s="75" t="str">
        <f>TiposLancamentos!B15</f>
        <v>Cartões de Crédito</v>
      </c>
      <c r="C28" s="52" t="s">
        <v>14712</v>
      </c>
      <c r="D28" s="63">
        <v>192.15</v>
      </c>
      <c r="E28" s="98"/>
    </row>
    <row r="29" spans="1:5">
      <c r="A29" s="75">
        <v>37789</v>
      </c>
      <c r="B29" s="75" t="str">
        <f>TiposLancamentos!B13</f>
        <v>Moradia</v>
      </c>
      <c r="C29" s="52" t="s">
        <v>14713</v>
      </c>
      <c r="D29" s="63"/>
      <c r="E29" s="98">
        <v>192.15</v>
      </c>
    </row>
    <row r="30" spans="1:5">
      <c r="A30" s="83"/>
      <c r="B30" s="83"/>
      <c r="C30" s="1451" t="s">
        <v>12869</v>
      </c>
      <c r="D30" s="93"/>
      <c r="E30" s="94"/>
    </row>
    <row r="31" spans="1:5">
      <c r="A31" s="75">
        <v>37807</v>
      </c>
      <c r="B31" s="75" t="str">
        <f>TiposLancamentos!B13</f>
        <v>Moradia</v>
      </c>
      <c r="C31" s="47" t="s">
        <v>14714</v>
      </c>
      <c r="D31" s="63"/>
      <c r="E31" s="98">
        <v>25.85</v>
      </c>
    </row>
    <row r="32" spans="1:5">
      <c r="A32" s="75">
        <v>37807</v>
      </c>
      <c r="B32" s="75" t="str">
        <f>TiposLancamentos!B15</f>
        <v>Cartões de Crédito</v>
      </c>
      <c r="C32" s="52" t="s">
        <v>14711</v>
      </c>
      <c r="D32" s="63">
        <v>25.85</v>
      </c>
      <c r="E32" s="98"/>
    </row>
    <row r="33" spans="1:5">
      <c r="A33" s="75">
        <v>37819</v>
      </c>
      <c r="B33" s="75" t="str">
        <f>TiposLancamentos!B15</f>
        <v>Cartões de Crédito</v>
      </c>
      <c r="C33" s="52" t="s">
        <v>14715</v>
      </c>
      <c r="D33" s="63">
        <v>192.15</v>
      </c>
      <c r="E33" s="98"/>
    </row>
    <row r="34" spans="1:5">
      <c r="A34" s="75">
        <v>37819</v>
      </c>
      <c r="B34" s="75" t="str">
        <f>TiposLancamentos!B13</f>
        <v>Moradia</v>
      </c>
      <c r="C34" s="52" t="s">
        <v>14716</v>
      </c>
      <c r="D34" s="85"/>
      <c r="E34" s="98">
        <v>192.15</v>
      </c>
    </row>
    <row r="35" spans="1:5">
      <c r="A35" s="83"/>
      <c r="B35" s="83"/>
      <c r="C35" s="1451" t="s">
        <v>12873</v>
      </c>
      <c r="D35" s="63"/>
      <c r="E35" s="94"/>
    </row>
    <row r="36" spans="1:5">
      <c r="A36" s="75">
        <v>37850</v>
      </c>
      <c r="B36" s="75" t="str">
        <f>TiposLancamentos!B13</f>
        <v>Moradia</v>
      </c>
      <c r="C36" s="52" t="s">
        <v>14717</v>
      </c>
      <c r="D36" s="63"/>
      <c r="E36" s="98">
        <v>192.15</v>
      </c>
    </row>
    <row r="37" spans="1:5">
      <c r="A37" s="79">
        <v>37850</v>
      </c>
      <c r="B37" s="79" t="str">
        <f>TiposLancamentos!B15</f>
        <v>Cartões de Crédito</v>
      </c>
      <c r="C37" s="477" t="s">
        <v>14718</v>
      </c>
      <c r="D37" s="63">
        <v>192.15</v>
      </c>
      <c r="E37" s="97"/>
    </row>
    <row r="38" spans="1:5">
      <c r="A38" s="83"/>
      <c r="B38" s="83"/>
      <c r="C38" s="1451" t="s">
        <v>14719</v>
      </c>
      <c r="D38" s="93"/>
      <c r="E38" s="94"/>
    </row>
    <row r="39" spans="1:5">
      <c r="A39" s="75">
        <v>37881</v>
      </c>
      <c r="B39" s="75" t="str">
        <f>TiposLancamentos!B13</f>
        <v>Moradia</v>
      </c>
      <c r="C39" s="52" t="s">
        <v>14720</v>
      </c>
      <c r="D39" s="63"/>
      <c r="E39" s="98">
        <v>192.15</v>
      </c>
    </row>
    <row r="40" spans="1:5">
      <c r="A40" s="79">
        <v>37881</v>
      </c>
      <c r="B40" s="79" t="str">
        <f>TiposLancamentos!B15</f>
        <v>Cartões de Crédito</v>
      </c>
      <c r="C40" s="477" t="s">
        <v>14721</v>
      </c>
      <c r="D40" s="85">
        <v>192.15</v>
      </c>
      <c r="E40" s="97"/>
    </row>
    <row r="41" spans="1:5">
      <c r="A41" s="83"/>
      <c r="B41" s="83"/>
      <c r="C41" s="1451" t="s">
        <v>12877</v>
      </c>
      <c r="D41" s="63"/>
      <c r="E41" s="94"/>
    </row>
    <row r="42" spans="1:5">
      <c r="A42" s="75">
        <v>37911</v>
      </c>
      <c r="B42" s="75" t="str">
        <f>TiposLancamentos!B13</f>
        <v>Moradia</v>
      </c>
      <c r="C42" s="52" t="s">
        <v>14722</v>
      </c>
      <c r="D42" s="63"/>
      <c r="E42" s="98">
        <v>192.15</v>
      </c>
    </row>
    <row r="43" spans="1:5">
      <c r="A43" s="79">
        <v>37911</v>
      </c>
      <c r="B43" s="79" t="str">
        <f>TiposLancamentos!B15</f>
        <v>Cartões de Crédito</v>
      </c>
      <c r="C43" s="477" t="s">
        <v>14723</v>
      </c>
      <c r="D43" s="63">
        <v>192.15</v>
      </c>
      <c r="E43" s="97"/>
    </row>
    <row r="44" spans="1:5">
      <c r="A44" s="83"/>
      <c r="B44" s="83"/>
      <c r="C44" s="1451" t="s">
        <v>12879</v>
      </c>
      <c r="D44" s="93"/>
      <c r="E44" s="94"/>
    </row>
    <row r="45" spans="1:5">
      <c r="A45" s="75">
        <v>37942</v>
      </c>
      <c r="B45" s="75" t="str">
        <f>TiposLancamentos!B13</f>
        <v>Moradia</v>
      </c>
      <c r="C45" s="52" t="s">
        <v>14724</v>
      </c>
      <c r="D45" s="63"/>
      <c r="E45" s="98">
        <v>192.15</v>
      </c>
    </row>
    <row r="46" spans="1:5">
      <c r="A46" s="75">
        <v>37942</v>
      </c>
      <c r="B46" s="75" t="str">
        <f>TiposLancamentos!B15</f>
        <v>Cartões de Crédito</v>
      </c>
      <c r="C46" s="52" t="s">
        <v>14725</v>
      </c>
      <c r="D46" s="63">
        <v>192.15</v>
      </c>
      <c r="E46" s="98"/>
    </row>
    <row r="47" spans="1:5">
      <c r="A47" s="83"/>
      <c r="B47" s="83"/>
      <c r="C47" s="1451" t="s">
        <v>12882</v>
      </c>
      <c r="D47" s="93"/>
      <c r="E47" s="94"/>
    </row>
    <row r="48" spans="1:5">
      <c r="A48" s="79">
        <v>37956</v>
      </c>
      <c r="B48" s="79" t="str">
        <f>TiposLancamentos!B15</f>
        <v>Cartões de Crédito</v>
      </c>
      <c r="C48" s="56" t="s">
        <v>14726</v>
      </c>
      <c r="D48" s="85">
        <v>192.15</v>
      </c>
      <c r="E48" s="97"/>
    </row>
    <row r="49" spans="1:5">
      <c r="A49" s="83"/>
      <c r="B49" s="83"/>
      <c r="C49" s="59" t="s">
        <v>2600</v>
      </c>
      <c r="D49" s="93"/>
      <c r="E49" s="94"/>
    </row>
    <row r="50" spans="1:5">
      <c r="A50" s="75">
        <v>38240</v>
      </c>
      <c r="B50" s="75" t="str">
        <f>TiposLancamentos!B64</f>
        <v>Viagens</v>
      </c>
      <c r="C50" s="47" t="s">
        <v>14727</v>
      </c>
      <c r="D50" s="63"/>
      <c r="E50" s="98">
        <v>27.03</v>
      </c>
    </row>
    <row r="51" spans="1:5">
      <c r="A51" s="83"/>
      <c r="B51" s="83"/>
      <c r="C51" s="1451" t="s">
        <v>14631</v>
      </c>
      <c r="D51" s="93"/>
      <c r="E51" s="94"/>
    </row>
    <row r="52" spans="1:5">
      <c r="A52" s="75">
        <v>38270</v>
      </c>
      <c r="B52" s="75" t="str">
        <f>TiposLancamentos!B15</f>
        <v>Cartões de Crédito</v>
      </c>
      <c r="C52" s="47" t="s">
        <v>14728</v>
      </c>
      <c r="D52" s="63">
        <v>27.03</v>
      </c>
      <c r="E52" s="98"/>
    </row>
    <row r="53" spans="1:5">
      <c r="A53" s="75">
        <v>38270</v>
      </c>
      <c r="B53" s="75" t="str">
        <f>TiposLancamentos!B64</f>
        <v>Viagens</v>
      </c>
      <c r="C53" s="47" t="s">
        <v>14729</v>
      </c>
      <c r="D53" s="63"/>
      <c r="E53" s="98">
        <v>27.03</v>
      </c>
    </row>
    <row r="54" spans="1:5">
      <c r="A54" s="79"/>
      <c r="B54" s="79"/>
      <c r="C54" s="56"/>
      <c r="D54" s="85"/>
      <c r="E54" s="97"/>
    </row>
    <row r="55" spans="1:5">
      <c r="A55" s="75"/>
      <c r="B55" s="75"/>
      <c r="C55" s="1452" t="s">
        <v>12942</v>
      </c>
      <c r="D55" s="63"/>
      <c r="E55" s="98"/>
    </row>
    <row r="56" spans="1:5">
      <c r="A56" s="75">
        <v>38301</v>
      </c>
      <c r="B56" s="75" t="str">
        <f>TiposLancamentos!B63</f>
        <v>Parcelamentos</v>
      </c>
      <c r="C56" s="47" t="s">
        <v>14730</v>
      </c>
      <c r="D56" s="63"/>
      <c r="E56" s="98">
        <v>27.03</v>
      </c>
    </row>
    <row r="57" spans="1:5">
      <c r="A57" s="83"/>
      <c r="B57" s="83"/>
      <c r="C57" s="1451" t="s">
        <v>12958</v>
      </c>
      <c r="D57" s="93"/>
      <c r="E57" s="94"/>
    </row>
    <row r="58" spans="1:5">
      <c r="A58" s="75">
        <v>38331</v>
      </c>
      <c r="B58" s="75" t="str">
        <f>TiposLancamentos!B64</f>
        <v>Viagens</v>
      </c>
      <c r="C58" s="47" t="s">
        <v>14731</v>
      </c>
      <c r="D58" s="63"/>
      <c r="E58" s="98">
        <v>27.03</v>
      </c>
    </row>
    <row r="59" spans="1:5">
      <c r="A59" s="75">
        <v>38337</v>
      </c>
      <c r="B59" s="75" t="str">
        <f>TiposLancamentos!B15</f>
        <v>Cartões de Crédito</v>
      </c>
      <c r="C59" s="47" t="s">
        <v>14732</v>
      </c>
      <c r="D59" s="63">
        <v>27.03</v>
      </c>
      <c r="E59" s="98"/>
    </row>
    <row r="60" spans="1:5">
      <c r="A60" s="75">
        <v>38337</v>
      </c>
      <c r="B60" s="75" t="str">
        <f>TiposLancamentos!B15</f>
        <v>Cartões de Crédito</v>
      </c>
      <c r="C60" s="47" t="s">
        <v>14733</v>
      </c>
      <c r="D60" s="63">
        <v>27.03</v>
      </c>
      <c r="E60" s="98"/>
    </row>
    <row r="61" spans="1:5">
      <c r="A61" s="79">
        <v>38337</v>
      </c>
      <c r="B61" s="79" t="str">
        <f>TiposLancamentos!B15</f>
        <v>Cartões de Crédito</v>
      </c>
      <c r="C61" s="56" t="s">
        <v>14734</v>
      </c>
      <c r="D61" s="85">
        <v>27.03</v>
      </c>
      <c r="E61" s="97"/>
    </row>
    <row r="62" spans="1:5">
      <c r="A62" s="75"/>
      <c r="B62" s="75"/>
      <c r="C62" s="1452" t="s">
        <v>12974</v>
      </c>
      <c r="D62" s="63"/>
      <c r="E62" s="98"/>
    </row>
    <row r="63" spans="1:5">
      <c r="A63" s="75">
        <v>38364</v>
      </c>
      <c r="B63" s="75" t="str">
        <f>TiposLancamentos!B63</f>
        <v>Parcelamentos</v>
      </c>
      <c r="C63" s="47"/>
      <c r="D63" s="63"/>
      <c r="E63" s="98">
        <v>27.03</v>
      </c>
    </row>
    <row r="64" spans="1:5">
      <c r="A64" s="91"/>
      <c r="B64" s="124"/>
      <c r="C64" s="1451" t="s">
        <v>4984</v>
      </c>
      <c r="D64" s="93"/>
      <c r="E64" s="94"/>
    </row>
    <row r="65" spans="1:5">
      <c r="A65" s="86">
        <v>38393</v>
      </c>
      <c r="B65" s="125" t="str">
        <f>TiposLancamentos!B15</f>
        <v>Cartões de Crédito</v>
      </c>
      <c r="C65" s="47" t="s">
        <v>14735</v>
      </c>
      <c r="D65" s="63">
        <v>27.03</v>
      </c>
      <c r="E65" s="98"/>
    </row>
    <row r="66" spans="1:5">
      <c r="A66" s="86">
        <v>38393</v>
      </c>
      <c r="B66" s="125" t="str">
        <f>TiposLancamentos!B15</f>
        <v>Cartões de Crédito</v>
      </c>
      <c r="C66" s="47" t="s">
        <v>14736</v>
      </c>
      <c r="D66" s="63">
        <v>27.03</v>
      </c>
      <c r="E66" s="98"/>
    </row>
    <row r="67" spans="1:5">
      <c r="A67" s="86">
        <v>38393</v>
      </c>
      <c r="B67" s="125" t="str">
        <f>TiposLancamentos!B78</f>
        <v>Diferenças</v>
      </c>
      <c r="C67" s="47" t="s">
        <v>2488</v>
      </c>
      <c r="D67" s="63"/>
      <c r="E67" s="135">
        <v>29.56</v>
      </c>
    </row>
    <row r="68" spans="1:5">
      <c r="A68" s="75"/>
      <c r="B68" s="75"/>
      <c r="C68" s="52"/>
      <c r="D68" s="85"/>
      <c r="E68" s="98"/>
    </row>
    <row r="69" spans="1:5">
      <c r="A69" s="46"/>
      <c r="B69" s="46"/>
      <c r="C69" s="184" t="s">
        <v>12</v>
      </c>
      <c r="D69" s="185">
        <f>SUM(D1:D68)</f>
        <v>2257.3700000000017</v>
      </c>
      <c r="E69" s="538">
        <f>SUM(E1:E68)</f>
        <v>2257.3700000000013</v>
      </c>
    </row>
    <row r="70" spans="1:5">
      <c r="A70" s="46"/>
      <c r="B70" s="46"/>
      <c r="C70" s="52"/>
      <c r="D70" s="63"/>
      <c r="E70" s="98"/>
    </row>
    <row r="71" spans="1:5">
      <c r="A71" s="119"/>
      <c r="B71" s="119"/>
      <c r="C71" s="184" t="s">
        <v>13</v>
      </c>
      <c r="D71" s="169"/>
      <c r="E71" s="539">
        <f>D69-E69</f>
        <v>0</v>
      </c>
    </row>
  </sheetData>
  <sheetProtection selectLockedCells="1" selectUnlockedCells="1"/>
  <pageMargins left="0.78749999999999998" right="0.78749999999999998" top="0.78749999999999998" bottom="0.78749999999999998" header="0.51180555555555551" footer="0.51180555555555551"/>
  <pageSetup firstPageNumber="0" orientation="portrait" horizontalDpi="300" verticalDpi="300"/>
  <headerFooter alignWithMargins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Plan74"/>
  <dimension ref="A1:F26"/>
  <sheetViews>
    <sheetView workbookViewId="0">
      <selection activeCell="A14" sqref="A14"/>
    </sheetView>
  </sheetViews>
  <sheetFormatPr defaultColWidth="9" defaultRowHeight="13.5"/>
  <cols>
    <col min="1" max="1" width="17.5703125" style="3" customWidth="1"/>
    <col min="2" max="2" width="21.42578125" style="3" customWidth="1"/>
    <col min="3" max="3" width="48.42578125" style="3" customWidth="1"/>
    <col min="4" max="4" width="16" style="3" customWidth="1"/>
    <col min="5" max="5" width="17" style="221" customWidth="1"/>
    <col min="6" max="6" width="16" style="3" customWidth="1"/>
    <col min="7" max="16384" width="9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242"/>
      <c r="B2" s="226"/>
      <c r="C2" s="227" t="s">
        <v>10</v>
      </c>
      <c r="D2" s="228"/>
      <c r="E2" s="228"/>
      <c r="F2" s="251"/>
    </row>
    <row r="3" spans="1:6">
      <c r="A3" s="129"/>
      <c r="B3" s="247"/>
      <c r="C3" s="237" t="s">
        <v>3782</v>
      </c>
      <c r="D3" s="101"/>
      <c r="E3" s="248"/>
      <c r="F3" s="249"/>
    </row>
    <row r="4" spans="1:6">
      <c r="A4" s="242"/>
      <c r="B4" s="226"/>
      <c r="C4" s="227" t="s">
        <v>10</v>
      </c>
      <c r="D4" s="228"/>
      <c r="E4" s="228"/>
      <c r="F4" s="251"/>
    </row>
    <row r="5" spans="1:6">
      <c r="A5" s="194"/>
      <c r="B5" s="252"/>
      <c r="C5" s="244" t="s">
        <v>5706</v>
      </c>
      <c r="D5" s="106"/>
      <c r="E5" s="253"/>
      <c r="F5" s="254">
        <f>SUM(E2:E3)</f>
        <v>0</v>
      </c>
    </row>
    <row r="6" spans="1:6">
      <c r="A6" s="136"/>
      <c r="B6" s="247"/>
      <c r="C6" s="237" t="s">
        <v>3850</v>
      </c>
      <c r="D6" s="101"/>
      <c r="E6" s="248"/>
      <c r="F6" s="249"/>
    </row>
    <row r="7" spans="1:6">
      <c r="A7" s="138">
        <v>40043</v>
      </c>
      <c r="B7" s="76" t="str">
        <f>TiposLancamentos!B71</f>
        <v>Itens Pessoais</v>
      </c>
      <c r="C7" s="147" t="s">
        <v>14737</v>
      </c>
      <c r="D7" s="63"/>
      <c r="E7" s="49">
        <v>229</v>
      </c>
      <c r="F7" s="250"/>
    </row>
    <row r="8" spans="1:6">
      <c r="A8" s="198"/>
      <c r="B8" s="252"/>
      <c r="C8" s="244"/>
      <c r="D8" s="106"/>
      <c r="E8" s="253"/>
      <c r="F8" s="254"/>
    </row>
    <row r="9" spans="1:6">
      <c r="A9" s="138">
        <v>40066</v>
      </c>
      <c r="B9" s="76" t="str">
        <f>TiposLancamentos!B4</f>
        <v>Taxas Bancarias</v>
      </c>
      <c r="C9" s="147" t="s">
        <v>14738</v>
      </c>
      <c r="D9" s="63"/>
      <c r="E9" s="49">
        <v>9.27</v>
      </c>
      <c r="F9" s="250"/>
    </row>
    <row r="10" spans="1:6">
      <c r="A10" s="138">
        <v>40066</v>
      </c>
      <c r="B10" s="76" t="str">
        <f>TiposLancamentos!B25</f>
        <v>CD_DVD_BD</v>
      </c>
      <c r="C10" s="147" t="s">
        <v>14739</v>
      </c>
      <c r="D10" s="63"/>
      <c r="E10" s="49">
        <v>399.1</v>
      </c>
      <c r="F10" s="250"/>
    </row>
    <row r="11" spans="1:6">
      <c r="A11" s="242"/>
      <c r="B11" s="226"/>
      <c r="C11" s="227" t="s">
        <v>10</v>
      </c>
      <c r="D11" s="228"/>
      <c r="E11" s="228"/>
      <c r="F11" s="251"/>
    </row>
    <row r="12" spans="1:6">
      <c r="A12" s="138">
        <v>40085</v>
      </c>
      <c r="B12" s="76" t="str">
        <f>TiposLancamentos!B15</f>
        <v>Cartões de Crédito</v>
      </c>
      <c r="C12" s="147" t="s">
        <v>14126</v>
      </c>
      <c r="D12" s="63">
        <v>637.37</v>
      </c>
      <c r="E12" s="49"/>
      <c r="F12" s="250">
        <f>SUM(E6:E10)</f>
        <v>637.37</v>
      </c>
    </row>
    <row r="13" spans="1:6">
      <c r="A13" s="138"/>
      <c r="B13" s="76"/>
      <c r="C13" s="147"/>
      <c r="D13" s="63"/>
      <c r="E13" s="49"/>
      <c r="F13" s="250"/>
    </row>
    <row r="14" spans="1:6">
      <c r="A14" s="138"/>
      <c r="B14" s="76"/>
      <c r="C14" s="147"/>
      <c r="D14" s="63"/>
      <c r="E14" s="49"/>
      <c r="F14" s="250"/>
    </row>
    <row r="15" spans="1:6">
      <c r="A15" s="138"/>
      <c r="B15" s="76"/>
      <c r="C15" s="147"/>
      <c r="D15" s="63"/>
      <c r="E15" s="49"/>
      <c r="F15" s="250"/>
    </row>
    <row r="16" spans="1:6">
      <c r="A16" s="138"/>
      <c r="B16" s="76"/>
      <c r="C16" s="147"/>
      <c r="D16" s="63"/>
      <c r="E16" s="49"/>
      <c r="F16" s="250"/>
    </row>
    <row r="17" spans="1:6">
      <c r="A17" s="138"/>
      <c r="B17" s="76"/>
      <c r="C17" s="147"/>
      <c r="D17" s="63"/>
      <c r="E17" s="49"/>
      <c r="F17" s="250"/>
    </row>
    <row r="18" spans="1:6">
      <c r="A18" s="138"/>
      <c r="B18" s="76"/>
      <c r="C18" s="147"/>
      <c r="D18" s="63"/>
      <c r="E18" s="49"/>
      <c r="F18" s="250"/>
    </row>
    <row r="19" spans="1:6">
      <c r="A19" s="138"/>
      <c r="B19" s="76"/>
      <c r="C19" s="147"/>
      <c r="D19" s="63"/>
      <c r="E19" s="49"/>
      <c r="F19" s="250"/>
    </row>
    <row r="20" spans="1:6">
      <c r="A20" s="138"/>
      <c r="B20" s="76"/>
      <c r="C20" s="147"/>
      <c r="D20" s="63"/>
      <c r="E20" s="49"/>
      <c r="F20" s="250"/>
    </row>
    <row r="21" spans="1:6">
      <c r="A21" s="138"/>
      <c r="B21" s="126"/>
      <c r="C21" s="147"/>
      <c r="D21" s="63"/>
      <c r="E21" s="49"/>
      <c r="F21" s="250"/>
    </row>
    <row r="22" spans="1:6">
      <c r="A22" s="356"/>
      <c r="B22" s="385"/>
      <c r="C22" s="659" t="s">
        <v>12</v>
      </c>
      <c r="D22" s="660">
        <f>SUM(D2:D21)</f>
        <v>637.37</v>
      </c>
      <c r="E22" s="661">
        <f>SUM(E2:E21)</f>
        <v>637.37</v>
      </c>
      <c r="F22" s="387"/>
    </row>
    <row r="23" spans="1:6">
      <c r="A23" s="448"/>
      <c r="B23" s="165"/>
      <c r="C23" s="662" t="s">
        <v>13</v>
      </c>
      <c r="D23" s="663"/>
      <c r="E23" s="664">
        <f>D22-E22</f>
        <v>0</v>
      </c>
      <c r="F23" s="254"/>
    </row>
    <row r="24" spans="1:6">
      <c r="A24" s="65"/>
      <c r="B24" s="65"/>
    </row>
    <row r="25" spans="1:6">
      <c r="C25" s="23"/>
      <c r="D25" s="25" t="s">
        <v>14</v>
      </c>
      <c r="E25" s="303" t="s">
        <v>15</v>
      </c>
      <c r="F25" s="25" t="s">
        <v>16</v>
      </c>
    </row>
    <row r="26" spans="1:6">
      <c r="B26" s="77" t="s">
        <v>17</v>
      </c>
      <c r="C26" s="36">
        <f>F3</f>
        <v>0</v>
      </c>
      <c r="D26" s="60">
        <v>3000</v>
      </c>
      <c r="E26" s="34">
        <f>E23</f>
        <v>0</v>
      </c>
      <c r="F26" s="62">
        <f>D26+E26</f>
        <v>3000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Plan18"/>
  <dimension ref="A1:G308"/>
  <sheetViews>
    <sheetView workbookViewId="0">
      <pane xSplit="6" ySplit="1" topLeftCell="G268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.140625" defaultRowHeight="13.5"/>
  <cols>
    <col min="1" max="1" width="13.7109375" style="1246" customWidth="1"/>
    <col min="2" max="2" width="23.85546875" style="1246" customWidth="1"/>
    <col min="3" max="3" width="63" style="1246" customWidth="1"/>
    <col min="4" max="4" width="17.85546875" style="1246" customWidth="1"/>
    <col min="5" max="5" width="17.28515625" style="1246" customWidth="1"/>
    <col min="6" max="6" width="17.85546875" style="1246" bestFit="1" customWidth="1"/>
    <col min="7" max="7" width="16" style="1246" bestFit="1" customWidth="1"/>
    <col min="8" max="16384" width="9.140625" style="1246"/>
  </cols>
  <sheetData>
    <row r="1" spans="1:6" ht="14.25" thickBot="1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967"/>
      <c r="B2" s="968"/>
      <c r="C2" s="969" t="s">
        <v>6470</v>
      </c>
      <c r="D2" s="970"/>
      <c r="E2" s="971"/>
      <c r="F2" s="156"/>
    </row>
    <row r="3" spans="1:6" ht="14.25" thickBot="1">
      <c r="A3" s="856">
        <v>41712</v>
      </c>
      <c r="B3" s="125" t="str">
        <f>TiposLancamentos!B98</f>
        <v>Restituições</v>
      </c>
      <c r="C3" s="139" t="s">
        <v>14740</v>
      </c>
      <c r="D3" s="51">
        <v>231.46</v>
      </c>
      <c r="E3" s="857"/>
      <c r="F3" s="156"/>
    </row>
    <row r="4" spans="1:6">
      <c r="A4" s="967"/>
      <c r="B4" s="968"/>
      <c r="C4" s="969" t="s">
        <v>6557</v>
      </c>
      <c r="D4" s="970"/>
      <c r="E4" s="971"/>
      <c r="F4" s="156"/>
    </row>
    <row r="5" spans="1:6">
      <c r="A5" s="884">
        <v>41764</v>
      </c>
      <c r="B5" s="138" t="str">
        <f>TiposLancamentos!B20</f>
        <v>Saques</v>
      </c>
      <c r="C5" s="3" t="s">
        <v>2655</v>
      </c>
      <c r="D5" s="197"/>
      <c r="E5" s="857">
        <v>80</v>
      </c>
      <c r="F5" s="156"/>
    </row>
    <row r="6" spans="1:6">
      <c r="A6" s="884">
        <v>41764</v>
      </c>
      <c r="B6" s="138" t="str">
        <f>TiposLancamentos!B105</f>
        <v>Transf. Bco</v>
      </c>
      <c r="C6" s="3" t="s">
        <v>14741</v>
      </c>
      <c r="D6" s="197"/>
      <c r="E6" s="857">
        <v>50</v>
      </c>
      <c r="F6" s="156"/>
    </row>
    <row r="7" spans="1:6">
      <c r="A7" s="884">
        <v>41789</v>
      </c>
      <c r="B7" s="138" t="str">
        <f>TiposLancamentos!B97</f>
        <v>Deposito Terc.</v>
      </c>
      <c r="C7" s="3" t="s">
        <v>14742</v>
      </c>
      <c r="D7" s="197">
        <v>2500</v>
      </c>
      <c r="E7" s="857"/>
      <c r="F7" s="156"/>
    </row>
    <row r="8" spans="1:6">
      <c r="A8" s="884">
        <v>41789</v>
      </c>
      <c r="B8" s="138" t="str">
        <f>TiposLancamentos!B97</f>
        <v>Deposito Terc.</v>
      </c>
      <c r="C8" s="3" t="s">
        <v>14743</v>
      </c>
      <c r="D8" s="197">
        <v>185</v>
      </c>
      <c r="E8" s="857"/>
      <c r="F8" s="156"/>
    </row>
    <row r="9" spans="1:6" ht="14.25" thickBot="1">
      <c r="A9" s="884">
        <v>41789</v>
      </c>
      <c r="B9" s="138" t="str">
        <f>TiposLancamentos!B19</f>
        <v>Restaurantes</v>
      </c>
      <c r="C9" s="3" t="s">
        <v>14744</v>
      </c>
      <c r="D9" s="197"/>
      <c r="E9" s="857">
        <v>22.4</v>
      </c>
      <c r="F9" s="156"/>
    </row>
    <row r="10" spans="1:6">
      <c r="A10" s="967"/>
      <c r="B10" s="968"/>
      <c r="C10" s="969" t="s">
        <v>6612</v>
      </c>
      <c r="D10" s="970"/>
      <c r="E10" s="971"/>
      <c r="F10" s="156"/>
    </row>
    <row r="11" spans="1:6">
      <c r="A11" s="884">
        <v>41792</v>
      </c>
      <c r="B11" s="138" t="str">
        <f>TiposLancamentos!B15</f>
        <v>Cartões de Crédito</v>
      </c>
      <c r="C11" s="3" t="s">
        <v>6240</v>
      </c>
      <c r="D11" s="197"/>
      <c r="E11" s="857">
        <v>571.14</v>
      </c>
      <c r="F11" s="156"/>
    </row>
    <row r="12" spans="1:6">
      <c r="A12" s="884">
        <v>41792</v>
      </c>
      <c r="B12" s="138" t="str">
        <f>TiposLancamentos!B15</f>
        <v>Cartões de Crédito</v>
      </c>
      <c r="C12" s="3" t="s">
        <v>14745</v>
      </c>
      <c r="D12" s="197"/>
      <c r="E12" s="857">
        <v>573.47</v>
      </c>
      <c r="F12" s="156"/>
    </row>
    <row r="13" spans="1:6">
      <c r="A13" s="884">
        <v>41792</v>
      </c>
      <c r="B13" s="138" t="str">
        <f>TiposLancamentos!B15</f>
        <v>Cartões de Crédito</v>
      </c>
      <c r="C13" s="3" t="s">
        <v>5924</v>
      </c>
      <c r="D13" s="197"/>
      <c r="E13" s="857">
        <v>15.92</v>
      </c>
      <c r="F13" s="156"/>
    </row>
    <row r="14" spans="1:6">
      <c r="A14" s="884">
        <v>41792</v>
      </c>
      <c r="B14" s="138" t="str">
        <f>TiposLancamentos!B6</f>
        <v>Energia Eletrica</v>
      </c>
      <c r="C14" s="3" t="s">
        <v>5191</v>
      </c>
      <c r="D14" s="197"/>
      <c r="E14" s="857">
        <v>140.96</v>
      </c>
      <c r="F14" s="156"/>
    </row>
    <row r="15" spans="1:6">
      <c r="A15" s="884">
        <v>41796</v>
      </c>
      <c r="B15" s="138" t="str">
        <f>TiposLancamentos!B9</f>
        <v>Condominio</v>
      </c>
      <c r="C15" s="3" t="s">
        <v>14746</v>
      </c>
      <c r="D15" s="197"/>
      <c r="E15" s="857">
        <v>868.93</v>
      </c>
      <c r="F15" s="156"/>
    </row>
    <row r="16" spans="1:6">
      <c r="A16" s="884">
        <v>41797</v>
      </c>
      <c r="B16" s="138" t="str">
        <f>TiposLancamentos!B2</f>
        <v>Telefonia</v>
      </c>
      <c r="C16" s="3" t="s">
        <v>4895</v>
      </c>
      <c r="D16" s="197"/>
      <c r="E16" s="857">
        <v>142.46</v>
      </c>
      <c r="F16" s="156"/>
    </row>
    <row r="17" spans="1:6">
      <c r="A17" s="919">
        <v>41800</v>
      </c>
      <c r="B17" s="830" t="str">
        <f>TiposLancamentos!B35</f>
        <v>Tv à Cabo</v>
      </c>
      <c r="C17" s="915" t="s">
        <v>5834</v>
      </c>
      <c r="D17" s="917"/>
      <c r="E17" s="920">
        <v>120</v>
      </c>
      <c r="F17" s="156"/>
    </row>
    <row r="18" spans="1:6">
      <c r="A18" s="930">
        <v>41800</v>
      </c>
      <c r="B18" s="825" t="str">
        <f>TiposLancamentos!B3</f>
        <v>Internet</v>
      </c>
      <c r="C18" s="88" t="s">
        <v>5835</v>
      </c>
      <c r="D18" s="828"/>
      <c r="E18" s="931">
        <v>59.9</v>
      </c>
      <c r="F18" s="156"/>
    </row>
    <row r="19" spans="1:6">
      <c r="A19" s="921">
        <v>41800</v>
      </c>
      <c r="B19" s="833" t="str">
        <f>TiposLancamentos!B2</f>
        <v>Telefonia</v>
      </c>
      <c r="C19" s="916" t="s">
        <v>5836</v>
      </c>
      <c r="D19" s="918"/>
      <c r="E19" s="922">
        <v>2.42</v>
      </c>
      <c r="F19" s="156">
        <f>SUM(E17:E19)</f>
        <v>182.32</v>
      </c>
    </row>
    <row r="20" spans="1:6">
      <c r="A20" s="884">
        <v>41807</v>
      </c>
      <c r="B20" s="138" t="str">
        <f>TiposLancamentos!B97</f>
        <v>Deposito Terc.</v>
      </c>
      <c r="C20" s="3" t="s">
        <v>14747</v>
      </c>
      <c r="D20" s="197">
        <v>1305</v>
      </c>
      <c r="E20" s="857"/>
      <c r="F20" s="156"/>
    </row>
    <row r="21" spans="1:6">
      <c r="A21" s="884">
        <v>41812</v>
      </c>
      <c r="B21" s="138" t="str">
        <f>TiposLancamentos!B88</f>
        <v>Ford Ecosport XLT</v>
      </c>
      <c r="C21" s="3" t="s">
        <v>14748</v>
      </c>
      <c r="D21" s="197"/>
      <c r="E21" s="857">
        <v>878.64</v>
      </c>
      <c r="F21" s="156"/>
    </row>
    <row r="22" spans="1:6" ht="14.25" thickBot="1">
      <c r="A22" s="884">
        <v>41812</v>
      </c>
      <c r="B22" s="138" t="str">
        <f>TiposLancamentos!B34</f>
        <v>Seguros</v>
      </c>
      <c r="C22" s="3" t="s">
        <v>6373</v>
      </c>
      <c r="D22" s="197"/>
      <c r="E22" s="857">
        <v>63.9</v>
      </c>
      <c r="F22" s="156"/>
    </row>
    <row r="23" spans="1:6">
      <c r="A23" s="967"/>
      <c r="B23" s="968"/>
      <c r="C23" s="969" t="s">
        <v>14749</v>
      </c>
      <c r="D23" s="970"/>
      <c r="E23" s="971"/>
      <c r="F23" s="156"/>
    </row>
    <row r="24" spans="1:6">
      <c r="A24" s="884">
        <v>41821</v>
      </c>
      <c r="B24" s="138" t="str">
        <f>TiposLancamentos!B15</f>
        <v>Cartões de Crédito</v>
      </c>
      <c r="C24" s="3" t="s">
        <v>5700</v>
      </c>
      <c r="D24" s="197"/>
      <c r="E24" s="857">
        <v>529.45000000000005</v>
      </c>
      <c r="F24" s="156"/>
    </row>
    <row r="25" spans="1:6">
      <c r="A25" s="884">
        <v>41836</v>
      </c>
      <c r="B25" s="138" t="str">
        <f>TiposLancamentos!B97</f>
        <v>Deposito Terc.</v>
      </c>
      <c r="C25" s="3" t="s">
        <v>14750</v>
      </c>
      <c r="D25" s="197">
        <v>1304</v>
      </c>
      <c r="E25" s="857"/>
      <c r="F25" s="156"/>
    </row>
    <row r="26" spans="1:6">
      <c r="A26" s="884">
        <v>41842</v>
      </c>
      <c r="B26" s="138" t="str">
        <f>TiposLancamentos!B88</f>
        <v>Ford Ecosport XLT</v>
      </c>
      <c r="C26" s="3" t="s">
        <v>14751</v>
      </c>
      <c r="D26" s="197"/>
      <c r="E26" s="857">
        <v>878.64</v>
      </c>
      <c r="F26" s="156"/>
    </row>
    <row r="27" spans="1:6" ht="14.25" thickBot="1">
      <c r="A27" s="884">
        <v>41842</v>
      </c>
      <c r="B27" s="138" t="str">
        <f>TiposLancamentos!B34</f>
        <v>Seguros</v>
      </c>
      <c r="C27" s="3" t="s">
        <v>6373</v>
      </c>
      <c r="D27" s="197"/>
      <c r="E27" s="857">
        <v>63.9</v>
      </c>
      <c r="F27" s="156"/>
    </row>
    <row r="28" spans="1:6">
      <c r="A28" s="967"/>
      <c r="B28" s="968"/>
      <c r="C28" s="969" t="s">
        <v>6743</v>
      </c>
      <c r="D28" s="970"/>
      <c r="E28" s="971"/>
      <c r="F28" s="156"/>
    </row>
    <row r="29" spans="1:6">
      <c r="A29" s="884">
        <v>41852</v>
      </c>
      <c r="B29" s="138" t="str">
        <f>TiposLancamentos!B15</f>
        <v>Cartões de Crédito</v>
      </c>
      <c r="C29" s="3" t="s">
        <v>6240</v>
      </c>
      <c r="D29" s="197"/>
      <c r="E29" s="857">
        <v>390.92</v>
      </c>
      <c r="F29" s="156"/>
    </row>
    <row r="30" spans="1:6">
      <c r="A30" s="884">
        <v>41867</v>
      </c>
      <c r="B30" s="138" t="str">
        <f>TiposLancamentos!B97</f>
        <v>Deposito Terc.</v>
      </c>
      <c r="C30" s="3" t="s">
        <v>14752</v>
      </c>
      <c r="D30" s="197">
        <v>1305</v>
      </c>
      <c r="E30" s="857"/>
      <c r="F30" s="156"/>
    </row>
    <row r="31" spans="1:6">
      <c r="A31" s="884">
        <v>41873</v>
      </c>
      <c r="B31" s="138" t="str">
        <f>TiposLancamentos!B88</f>
        <v>Ford Ecosport XLT</v>
      </c>
      <c r="C31" s="3" t="s">
        <v>14753</v>
      </c>
      <c r="D31" s="197"/>
      <c r="E31" s="857">
        <v>878.64</v>
      </c>
      <c r="F31" s="156"/>
    </row>
    <row r="32" spans="1:6">
      <c r="A32" s="884">
        <v>41873</v>
      </c>
      <c r="B32" s="138" t="str">
        <f>TiposLancamentos!B34</f>
        <v>Seguros</v>
      </c>
      <c r="C32" s="3" t="s">
        <v>6373</v>
      </c>
      <c r="D32" s="197"/>
      <c r="E32" s="857">
        <v>63.9</v>
      </c>
      <c r="F32" s="156"/>
    </row>
    <row r="33" spans="1:6">
      <c r="A33" s="884">
        <v>41873</v>
      </c>
      <c r="B33" s="138" t="str">
        <f>TiposLancamentos!B105</f>
        <v>Transf. Bco</v>
      </c>
      <c r="C33" s="3" t="s">
        <v>14754</v>
      </c>
      <c r="D33" s="197"/>
      <c r="E33" s="857">
        <v>127</v>
      </c>
      <c r="F33" s="156"/>
    </row>
    <row r="34" spans="1:6">
      <c r="A34" s="884">
        <v>41873</v>
      </c>
      <c r="B34" s="138" t="str">
        <f>TiposLancamentos!B19</f>
        <v>Restaurantes</v>
      </c>
      <c r="C34" s="3" t="s">
        <v>6615</v>
      </c>
      <c r="D34" s="197"/>
      <c r="E34" s="857">
        <v>61.8</v>
      </c>
      <c r="F34" s="156"/>
    </row>
    <row r="35" spans="1:6">
      <c r="A35" s="884">
        <v>41874</v>
      </c>
      <c r="B35" s="138" t="str">
        <f>TiposLancamentos!B19</f>
        <v>Restaurantes</v>
      </c>
      <c r="C35" s="3" t="s">
        <v>3642</v>
      </c>
      <c r="D35" s="197"/>
      <c r="E35" s="857">
        <v>18.5</v>
      </c>
      <c r="F35" s="156"/>
    </row>
    <row r="36" spans="1:6" ht="14.25" thickBot="1">
      <c r="A36" s="884">
        <v>41878</v>
      </c>
      <c r="B36" s="138" t="str">
        <f>TiposLancamentos!B6</f>
        <v>Energia Eletrica</v>
      </c>
      <c r="C36" s="3" t="s">
        <v>5191</v>
      </c>
      <c r="D36" s="197"/>
      <c r="E36" s="857">
        <v>168.1</v>
      </c>
      <c r="F36" s="156"/>
    </row>
    <row r="37" spans="1:6">
      <c r="A37" s="967"/>
      <c r="B37" s="968"/>
      <c r="C37" s="969" t="s">
        <v>6774</v>
      </c>
      <c r="D37" s="970"/>
      <c r="E37" s="971"/>
      <c r="F37" s="156"/>
    </row>
    <row r="38" spans="1:6">
      <c r="A38" s="884">
        <v>41883</v>
      </c>
      <c r="B38" s="138" t="str">
        <f>TiposLancamentos!B13</f>
        <v>Moradia</v>
      </c>
      <c r="C38" s="3" t="s">
        <v>5868</v>
      </c>
      <c r="D38" s="197"/>
      <c r="E38" s="857">
        <v>15.9</v>
      </c>
      <c r="F38" s="156"/>
    </row>
    <row r="39" spans="1:6">
      <c r="A39" s="884">
        <v>41900</v>
      </c>
      <c r="B39" s="138" t="str">
        <f>TiposLancamentos!B19</f>
        <v>Restaurantes</v>
      </c>
      <c r="C39" s="3" t="s">
        <v>6793</v>
      </c>
      <c r="D39" s="197"/>
      <c r="E39" s="857">
        <v>17.25</v>
      </c>
      <c r="F39" s="156"/>
    </row>
    <row r="40" spans="1:6">
      <c r="A40" s="884">
        <v>41901</v>
      </c>
      <c r="B40" s="138" t="str">
        <f>TiposLancamentos!B19</f>
        <v>Restaurantes</v>
      </c>
      <c r="C40" s="3" t="s">
        <v>6795</v>
      </c>
      <c r="D40" s="197"/>
      <c r="E40" s="857">
        <v>5</v>
      </c>
      <c r="F40" s="156"/>
    </row>
    <row r="41" spans="1:6" ht="14.25" thickBot="1">
      <c r="A41" s="885">
        <v>41901</v>
      </c>
      <c r="B41" s="886" t="str">
        <f>TiposLancamentos!B19</f>
        <v>Restaurantes</v>
      </c>
      <c r="C41" s="887" t="s">
        <v>6793</v>
      </c>
      <c r="D41" s="888"/>
      <c r="E41" s="870">
        <v>18.7</v>
      </c>
      <c r="F41" s="156"/>
    </row>
    <row r="42" spans="1:6">
      <c r="A42" s="967"/>
      <c r="B42" s="968"/>
      <c r="C42" s="969" t="s">
        <v>14755</v>
      </c>
      <c r="D42" s="970"/>
      <c r="E42" s="971"/>
      <c r="F42" s="156"/>
    </row>
    <row r="43" spans="1:6">
      <c r="A43" s="884">
        <v>42095</v>
      </c>
      <c r="B43" s="138" t="str">
        <f>TiposLancamentos!B96</f>
        <v>Resg.Poup.</v>
      </c>
      <c r="C43" s="3" t="s">
        <v>14756</v>
      </c>
      <c r="D43" s="197">
        <v>6583.92</v>
      </c>
      <c r="E43" s="857"/>
      <c r="F43" s="156"/>
    </row>
    <row r="44" spans="1:6">
      <c r="A44" s="884">
        <v>42095</v>
      </c>
      <c r="B44" s="138" t="str">
        <f>TiposLancamentos!B15</f>
        <v>Cartões de Crédito</v>
      </c>
      <c r="C44" s="3" t="s">
        <v>14757</v>
      </c>
      <c r="D44" s="197"/>
      <c r="E44" s="857">
        <v>5900.53</v>
      </c>
      <c r="F44" s="156"/>
    </row>
    <row r="45" spans="1:6">
      <c r="A45" s="884">
        <v>42095</v>
      </c>
      <c r="B45" s="138" t="str">
        <f>TiposLancamentos!B103</f>
        <v>Juros_Corr. Poupança</v>
      </c>
      <c r="C45" s="3" t="s">
        <v>14758</v>
      </c>
      <c r="D45" s="197">
        <v>0.3</v>
      </c>
      <c r="E45" s="857"/>
      <c r="F45" s="156"/>
    </row>
    <row r="46" spans="1:6">
      <c r="A46" s="884">
        <v>42096</v>
      </c>
      <c r="B46" s="138" t="str">
        <f>TiposLancamentos!B105</f>
        <v>Transf. Bco</v>
      </c>
      <c r="C46" s="3" t="s">
        <v>3845</v>
      </c>
      <c r="D46" s="197">
        <v>230</v>
      </c>
      <c r="E46" s="857"/>
      <c r="F46" s="156"/>
    </row>
    <row r="47" spans="1:6">
      <c r="A47" s="884">
        <v>42100</v>
      </c>
      <c r="B47" s="138" t="str">
        <f>TiposLancamentos!B96</f>
        <v>Resg.Poup.</v>
      </c>
      <c r="C47" s="3" t="s">
        <v>14756</v>
      </c>
      <c r="D47" s="197">
        <v>9883.6299999999992</v>
      </c>
      <c r="E47" s="857"/>
      <c r="F47" s="156"/>
    </row>
    <row r="48" spans="1:6" ht="14.25" thickBot="1">
      <c r="A48" s="884">
        <v>42100</v>
      </c>
      <c r="B48" s="138" t="str">
        <f>TiposLancamentos!B88</f>
        <v>Ford Ecosport XLT</v>
      </c>
      <c r="C48" s="3" t="s">
        <v>14759</v>
      </c>
      <c r="D48" s="197"/>
      <c r="E48" s="857">
        <v>10786.11</v>
      </c>
      <c r="F48" s="156"/>
    </row>
    <row r="49" spans="1:6">
      <c r="A49" s="967"/>
      <c r="B49" s="968"/>
      <c r="C49" s="969" t="s">
        <v>14755</v>
      </c>
      <c r="D49" s="970"/>
      <c r="E49" s="971"/>
      <c r="F49" s="156"/>
    </row>
    <row r="50" spans="1:6">
      <c r="A50" s="884">
        <v>42128</v>
      </c>
      <c r="B50" s="138" t="str">
        <f>TiposLancamentos!B96</f>
        <v>Resg.Poup.</v>
      </c>
      <c r="C50" s="3" t="s">
        <v>14756</v>
      </c>
      <c r="D50" s="197">
        <v>4423.93</v>
      </c>
      <c r="E50" s="857"/>
      <c r="F50" s="156"/>
    </row>
    <row r="51" spans="1:6">
      <c r="A51" s="884">
        <v>42128</v>
      </c>
      <c r="B51" s="138" t="str">
        <f>TiposLancamentos!B15</f>
        <v>Cartões de Crédito</v>
      </c>
      <c r="C51" s="3" t="s">
        <v>14760</v>
      </c>
      <c r="D51" s="197"/>
      <c r="E51" s="857">
        <v>4668.46</v>
      </c>
      <c r="F51" s="156"/>
    </row>
    <row r="52" spans="1:6" ht="14.25" thickBot="1">
      <c r="A52" s="885">
        <v>42128</v>
      </c>
      <c r="B52" s="886" t="str">
        <f>TiposLancamentos!B105</f>
        <v>Transf. Bco</v>
      </c>
      <c r="C52" s="887" t="s">
        <v>3845</v>
      </c>
      <c r="D52" s="888">
        <v>235</v>
      </c>
      <c r="E52" s="870"/>
      <c r="F52" s="156"/>
    </row>
    <row r="53" spans="1:6">
      <c r="A53" s="967"/>
      <c r="B53" s="968"/>
      <c r="C53" s="969" t="s">
        <v>14761</v>
      </c>
      <c r="D53" s="970"/>
      <c r="E53" s="971"/>
      <c r="F53" s="156"/>
    </row>
    <row r="54" spans="1:6">
      <c r="A54" s="884">
        <v>42431</v>
      </c>
      <c r="B54" s="138" t="str">
        <f>TiposLancamentos!B96</f>
        <v>Resg.Poup.</v>
      </c>
      <c r="C54" s="3" t="s">
        <v>14762</v>
      </c>
      <c r="D54" s="197">
        <v>1585.33</v>
      </c>
      <c r="E54" s="857"/>
      <c r="F54" s="156"/>
    </row>
    <row r="55" spans="1:6">
      <c r="A55" s="884">
        <v>42432</v>
      </c>
      <c r="B55" s="138" t="str">
        <f>TiposLancamentos!B15</f>
        <v>Cartões de Crédito</v>
      </c>
      <c r="C55" s="3" t="s">
        <v>5879</v>
      </c>
      <c r="D55" s="197"/>
      <c r="E55" s="857">
        <v>828.79</v>
      </c>
      <c r="F55" s="156"/>
    </row>
    <row r="56" spans="1:6">
      <c r="A56" s="884">
        <v>42432</v>
      </c>
      <c r="B56" s="138" t="str">
        <f>TiposLancamentos!B3</f>
        <v>Internet</v>
      </c>
      <c r="C56" s="3" t="s">
        <v>6913</v>
      </c>
      <c r="D56" s="197"/>
      <c r="E56" s="857">
        <v>134.91</v>
      </c>
      <c r="F56" s="156"/>
    </row>
    <row r="57" spans="1:6">
      <c r="A57" s="884">
        <v>42436</v>
      </c>
      <c r="B57" s="138" t="str">
        <f>TiposLancamentos!B2</f>
        <v>Telefonia</v>
      </c>
      <c r="C57" s="3" t="s">
        <v>7192</v>
      </c>
      <c r="D57" s="197"/>
      <c r="E57" s="857">
        <v>149.63999999999999</v>
      </c>
      <c r="F57" s="156"/>
    </row>
    <row r="58" spans="1:6">
      <c r="A58" s="884">
        <v>42436</v>
      </c>
      <c r="B58" s="138" t="str">
        <f>TiposLancamentos!B16</f>
        <v>Cristiane</v>
      </c>
      <c r="C58" s="3" t="s">
        <v>14763</v>
      </c>
      <c r="D58" s="197"/>
      <c r="E58" s="857">
        <v>119.73</v>
      </c>
      <c r="F58" s="156"/>
    </row>
    <row r="59" spans="1:6" ht="14.25" thickBot="1">
      <c r="A59" s="884">
        <v>42437</v>
      </c>
      <c r="B59" s="138" t="str">
        <f>TiposLancamentos!B24</f>
        <v>Estacionamentos</v>
      </c>
      <c r="C59" s="3" t="s">
        <v>4589</v>
      </c>
      <c r="D59" s="197"/>
      <c r="E59" s="857">
        <v>170</v>
      </c>
      <c r="F59" s="156"/>
    </row>
    <row r="60" spans="1:6">
      <c r="A60" s="967"/>
      <c r="B60" s="968"/>
      <c r="C60" s="969" t="s">
        <v>14764</v>
      </c>
      <c r="D60" s="970"/>
      <c r="E60" s="971"/>
      <c r="F60" s="156"/>
    </row>
    <row r="61" spans="1:6">
      <c r="A61" s="884">
        <v>42464</v>
      </c>
      <c r="B61" s="138" t="str">
        <f>TiposLancamentos!B3</f>
        <v>Internet</v>
      </c>
      <c r="C61" s="3" t="s">
        <v>6913</v>
      </c>
      <c r="D61" s="197"/>
      <c r="E61" s="857">
        <v>139.19999999999999</v>
      </c>
      <c r="F61" s="156"/>
    </row>
    <row r="62" spans="1:6">
      <c r="A62" s="884">
        <v>42563</v>
      </c>
      <c r="B62" s="138" t="str">
        <f>TiposLancamentos!B21</f>
        <v>Transf. Poupanca</v>
      </c>
      <c r="C62" s="3" t="s">
        <v>14765</v>
      </c>
      <c r="D62" s="197"/>
      <c r="E62" s="857">
        <v>42.55</v>
      </c>
      <c r="F62" s="156"/>
    </row>
    <row r="63" spans="1:6">
      <c r="A63" s="884">
        <v>42979</v>
      </c>
      <c r="B63" s="138" t="str">
        <f>TiposLancamentos!B96</f>
        <v>Resg.Poup.</v>
      </c>
      <c r="C63" s="3" t="s">
        <v>14766</v>
      </c>
      <c r="D63" s="197">
        <v>10282.81</v>
      </c>
      <c r="E63" s="857"/>
      <c r="F63" s="156"/>
    </row>
    <row r="64" spans="1:6">
      <c r="A64" s="884">
        <v>42979</v>
      </c>
      <c r="B64" s="138" t="str">
        <f>TiposLancamentos!B15</f>
        <v>Cartões de Crédito</v>
      </c>
      <c r="C64" s="3" t="s">
        <v>14767</v>
      </c>
      <c r="D64" s="197"/>
      <c r="E64" s="857">
        <v>638.57000000000005</v>
      </c>
      <c r="F64" s="156"/>
    </row>
    <row r="65" spans="1:6">
      <c r="A65" s="884">
        <v>42979</v>
      </c>
      <c r="B65" s="138" t="str">
        <f>TiposLancamentos!B15</f>
        <v>Cartões de Crédito</v>
      </c>
      <c r="C65" s="3" t="s">
        <v>14768</v>
      </c>
      <c r="D65" s="197"/>
      <c r="E65" s="857">
        <v>1241.3499999999999</v>
      </c>
      <c r="F65" s="156"/>
    </row>
    <row r="66" spans="1:6">
      <c r="A66" s="884">
        <v>42979</v>
      </c>
      <c r="B66" s="138" t="str">
        <f>TiposLancamentos!B15</f>
        <v>Cartões de Crédito</v>
      </c>
      <c r="C66" s="3" t="s">
        <v>14769</v>
      </c>
      <c r="D66" s="197"/>
      <c r="E66" s="857">
        <v>2552.14</v>
      </c>
      <c r="F66" s="156"/>
    </row>
    <row r="67" spans="1:6">
      <c r="A67" s="884">
        <v>42984</v>
      </c>
      <c r="B67" s="138" t="str">
        <f>TiposLancamentos!B9</f>
        <v>Condominio</v>
      </c>
      <c r="C67" s="3" t="s">
        <v>14770</v>
      </c>
      <c r="D67" s="197"/>
      <c r="E67" s="857">
        <v>1226.8800000000001</v>
      </c>
      <c r="F67" s="156"/>
    </row>
    <row r="68" spans="1:6">
      <c r="A68" s="884">
        <v>42984</v>
      </c>
      <c r="B68" s="138" t="str">
        <f>TiposLancamentos!B32</f>
        <v>Clinicas e tratamentos</v>
      </c>
      <c r="C68" s="771" t="s">
        <v>14771</v>
      </c>
      <c r="D68" s="197"/>
      <c r="E68" s="857">
        <v>658.64</v>
      </c>
      <c r="F68" s="156"/>
    </row>
    <row r="69" spans="1:6">
      <c r="A69" s="884">
        <v>42986</v>
      </c>
      <c r="B69" s="138" t="str">
        <f>TiposLancamentos!B2</f>
        <v>Telefonia</v>
      </c>
      <c r="C69" s="771" t="s">
        <v>14772</v>
      </c>
      <c r="D69" s="197"/>
      <c r="E69" s="857">
        <v>140.80000000000001</v>
      </c>
      <c r="F69" s="156"/>
    </row>
    <row r="70" spans="1:6">
      <c r="A70" s="919">
        <v>42988</v>
      </c>
      <c r="B70" s="830" t="str">
        <f>TiposLancamentos!B8</f>
        <v>Aluguel</v>
      </c>
      <c r="C70" s="915" t="s">
        <v>6163</v>
      </c>
      <c r="D70" s="917"/>
      <c r="E70" s="920">
        <f>1757+4.8+1.5</f>
        <v>1763.3</v>
      </c>
      <c r="F70" s="135"/>
    </row>
    <row r="71" spans="1:6">
      <c r="A71" s="930">
        <v>42988</v>
      </c>
      <c r="B71" s="825" t="str">
        <f>TiposLancamentos!B12</f>
        <v>IPTU</v>
      </c>
      <c r="C71" s="88" t="s">
        <v>6319</v>
      </c>
      <c r="D71" s="828"/>
      <c r="E71" s="931">
        <v>139.77000000000001</v>
      </c>
      <c r="F71" s="135"/>
    </row>
    <row r="72" spans="1:6">
      <c r="A72" s="921">
        <v>42988</v>
      </c>
      <c r="B72" s="833" t="str">
        <f>TiposLancamentos!B34</f>
        <v>Seguros</v>
      </c>
      <c r="C72" s="916" t="s">
        <v>14773</v>
      </c>
      <c r="D72" s="918"/>
      <c r="E72" s="922">
        <v>262.04000000000002</v>
      </c>
      <c r="F72" s="135">
        <f>SUM(E70:E72)</f>
        <v>2165.11</v>
      </c>
    </row>
    <row r="73" spans="1:6">
      <c r="A73" s="884">
        <v>42988</v>
      </c>
      <c r="B73" s="138"/>
      <c r="C73" s="3" t="s">
        <v>14774</v>
      </c>
      <c r="D73" s="197"/>
      <c r="E73" s="857"/>
      <c r="F73" s="135"/>
    </row>
    <row r="74" spans="1:6">
      <c r="A74" s="919">
        <v>42994</v>
      </c>
      <c r="B74" s="830" t="str">
        <f>TiposLancamentos!B35</f>
        <v>Tv à Cabo</v>
      </c>
      <c r="C74" s="915" t="s">
        <v>5834</v>
      </c>
      <c r="D74" s="917"/>
      <c r="E74" s="920">
        <v>154.68</v>
      </c>
      <c r="F74" s="135"/>
    </row>
    <row r="75" spans="1:6">
      <c r="A75" s="930">
        <v>42994</v>
      </c>
      <c r="B75" s="825" t="str">
        <f>TiposLancamentos!B3</f>
        <v>Internet</v>
      </c>
      <c r="C75" s="88" t="s">
        <v>5835</v>
      </c>
      <c r="D75" s="828"/>
      <c r="E75" s="931">
        <v>91.31</v>
      </c>
      <c r="F75" s="135"/>
    </row>
    <row r="76" spans="1:6">
      <c r="A76" s="921">
        <v>42994</v>
      </c>
      <c r="B76" s="833" t="str">
        <f>TiposLancamentos!B2</f>
        <v>Telefonia</v>
      </c>
      <c r="C76" s="916" t="s">
        <v>7210</v>
      </c>
      <c r="D76" s="918"/>
      <c r="E76" s="922">
        <v>0</v>
      </c>
      <c r="F76" s="135">
        <f>SUM(E74:E76)</f>
        <v>245.99</v>
      </c>
    </row>
    <row r="77" spans="1:6">
      <c r="A77" s="884">
        <v>43005</v>
      </c>
      <c r="B77" s="138" t="str">
        <f>TiposLancamentos!B6</f>
        <v>Energia Eletrica</v>
      </c>
      <c r="C77" s="3" t="s">
        <v>14775</v>
      </c>
      <c r="D77" s="197"/>
      <c r="E77" s="857">
        <v>227.92</v>
      </c>
      <c r="F77" s="135"/>
    </row>
    <row r="78" spans="1:6">
      <c r="A78" s="884">
        <v>43009</v>
      </c>
      <c r="B78" s="138" t="str">
        <f>TiposLancamentos!B78</f>
        <v>Diferenças</v>
      </c>
      <c r="C78" s="3" t="s">
        <v>4784</v>
      </c>
      <c r="D78" s="197"/>
      <c r="E78" s="857">
        <v>185.43</v>
      </c>
      <c r="F78" s="135"/>
    </row>
    <row r="79" spans="1:6">
      <c r="A79" s="884">
        <v>43013</v>
      </c>
      <c r="B79" s="138" t="str">
        <f>TiposLancamentos!B32</f>
        <v>Clinicas e tratamentos</v>
      </c>
      <c r="C79" s="3" t="s">
        <v>14776</v>
      </c>
      <c r="D79" s="197"/>
      <c r="E79" s="857">
        <v>650</v>
      </c>
      <c r="F79" s="135"/>
    </row>
    <row r="80" spans="1:6">
      <c r="A80" s="884">
        <v>43017</v>
      </c>
      <c r="B80" s="138" t="str">
        <f>TiposLancamentos!B2</f>
        <v>Telefonia</v>
      </c>
      <c r="C80" s="3" t="s">
        <v>7192</v>
      </c>
      <c r="D80" s="197"/>
      <c r="E80" s="857">
        <v>146.38</v>
      </c>
      <c r="F80" s="135"/>
    </row>
    <row r="81" spans="1:6">
      <c r="A81" s="884">
        <v>43035</v>
      </c>
      <c r="B81" s="138" t="str">
        <f>TiposLancamentos!B6</f>
        <v>Energia Eletrica</v>
      </c>
      <c r="C81" s="3" t="s">
        <v>14777</v>
      </c>
      <c r="D81" s="197"/>
      <c r="E81" s="857">
        <v>206.07</v>
      </c>
      <c r="F81" s="135"/>
    </row>
    <row r="82" spans="1:6">
      <c r="A82" s="884">
        <v>43042</v>
      </c>
      <c r="B82" s="138" t="str">
        <f>TiposLancamentos!B96</f>
        <v>Resg.Poup.</v>
      </c>
      <c r="C82" s="3" t="s">
        <v>14778</v>
      </c>
      <c r="D82" s="197">
        <v>19099.27</v>
      </c>
      <c r="E82" s="857"/>
      <c r="F82" s="135"/>
    </row>
    <row r="83" spans="1:6">
      <c r="A83" s="884">
        <v>43042</v>
      </c>
      <c r="B83" s="138" t="str">
        <f>TiposLancamentos!B64</f>
        <v>Viagens</v>
      </c>
      <c r="C83" s="3" t="s">
        <v>14779</v>
      </c>
      <c r="D83" s="197"/>
      <c r="E83" s="857">
        <v>18484.64</v>
      </c>
      <c r="F83" s="135"/>
    </row>
    <row r="84" spans="1:6">
      <c r="A84" s="884">
        <v>43045</v>
      </c>
      <c r="B84" s="138" t="str">
        <f>TiposLancamentos!B96</f>
        <v>Resg.Poup.</v>
      </c>
      <c r="C84" s="3" t="s">
        <v>14780</v>
      </c>
      <c r="D84" s="197">
        <v>194</v>
      </c>
      <c r="E84" s="857"/>
      <c r="F84" s="135"/>
    </row>
    <row r="85" spans="1:6">
      <c r="A85" s="884">
        <v>43045</v>
      </c>
      <c r="B85" s="138" t="str">
        <f>TiposLancamentos!B32</f>
        <v>Clinicas e tratamentos</v>
      </c>
      <c r="C85" s="771" t="s">
        <v>14781</v>
      </c>
      <c r="D85" s="197"/>
      <c r="E85" s="857">
        <v>650</v>
      </c>
      <c r="F85" s="135"/>
    </row>
    <row r="86" spans="1:6">
      <c r="A86" s="884">
        <v>43056</v>
      </c>
      <c r="B86" s="138" t="str">
        <f>TiposLancamentos!B20</f>
        <v>Saques</v>
      </c>
      <c r="C86" s="771" t="s">
        <v>3604</v>
      </c>
      <c r="D86" s="197"/>
      <c r="E86" s="857">
        <v>20</v>
      </c>
      <c r="F86" s="135"/>
    </row>
    <row r="87" spans="1:6">
      <c r="A87" s="884">
        <v>43056</v>
      </c>
      <c r="B87" s="138" t="str">
        <f>TiposLancamentos!B26</f>
        <v>LIVROS</v>
      </c>
      <c r="C87" s="771" t="s">
        <v>14782</v>
      </c>
      <c r="D87" s="197"/>
      <c r="E87" s="857">
        <v>65</v>
      </c>
      <c r="F87" s="135"/>
    </row>
    <row r="88" spans="1:6">
      <c r="A88" s="884">
        <v>43157</v>
      </c>
      <c r="B88" s="138" t="str">
        <f>TiposLancamentos!B96</f>
        <v>Resg.Poup.</v>
      </c>
      <c r="C88" s="771" t="s">
        <v>14783</v>
      </c>
      <c r="D88" s="197">
        <v>4567.6499999999996</v>
      </c>
      <c r="E88" s="857"/>
      <c r="F88" s="135"/>
    </row>
    <row r="89" spans="1:6">
      <c r="A89" s="884">
        <v>43157</v>
      </c>
      <c r="B89" s="138" t="str">
        <f>TiposLancamentos!B73</f>
        <v>Cursos</v>
      </c>
      <c r="C89" s="771" t="s">
        <v>14784</v>
      </c>
      <c r="D89" s="197"/>
      <c r="E89" s="857">
        <v>368</v>
      </c>
      <c r="F89" s="135"/>
    </row>
    <row r="90" spans="1:6">
      <c r="A90" s="884">
        <v>43157</v>
      </c>
      <c r="B90" s="138" t="str">
        <f>TiposLancamentos!B16</f>
        <v>Cristiane</v>
      </c>
      <c r="C90" s="771" t="s">
        <v>14784</v>
      </c>
      <c r="D90" s="197"/>
      <c r="E90" s="857">
        <v>368</v>
      </c>
      <c r="F90" s="135"/>
    </row>
    <row r="91" spans="1:6">
      <c r="A91" s="884">
        <v>43157</v>
      </c>
      <c r="B91" s="138" t="str">
        <f>TiposLancamentos!B16</f>
        <v>Cristiane</v>
      </c>
      <c r="C91" s="771" t="s">
        <v>14785</v>
      </c>
      <c r="D91" s="197"/>
      <c r="E91" s="857">
        <f>F91-(E89+E90)</f>
        <v>3532</v>
      </c>
      <c r="F91" s="135">
        <v>4268</v>
      </c>
    </row>
    <row r="92" spans="1:6">
      <c r="A92" s="884">
        <v>43157</v>
      </c>
      <c r="B92" s="138" t="str">
        <f>TiposLancamentos!B20</f>
        <v>Saques</v>
      </c>
      <c r="C92" s="771" t="s">
        <v>3604</v>
      </c>
      <c r="D92" s="197"/>
      <c r="E92" s="857">
        <v>20</v>
      </c>
      <c r="F92" s="135"/>
    </row>
    <row r="93" spans="1:6">
      <c r="A93" s="884">
        <v>43157</v>
      </c>
      <c r="B93" s="138" t="str">
        <f>TiposLancamentos!B19</f>
        <v>Restaurantes</v>
      </c>
      <c r="C93" s="771" t="s">
        <v>10648</v>
      </c>
      <c r="D93" s="197"/>
      <c r="E93" s="857">
        <v>12.91</v>
      </c>
      <c r="F93" s="135"/>
    </row>
    <row r="94" spans="1:6">
      <c r="A94" s="884">
        <v>43157</v>
      </c>
      <c r="B94" s="138" t="str">
        <f>B93</f>
        <v>Restaurantes</v>
      </c>
      <c r="C94" s="771" t="s">
        <v>7000</v>
      </c>
      <c r="D94" s="197"/>
      <c r="E94" s="857">
        <v>8</v>
      </c>
      <c r="F94" s="135"/>
    </row>
    <row r="95" spans="1:6">
      <c r="A95" s="884">
        <v>43157</v>
      </c>
      <c r="B95" s="138" t="str">
        <f>TiposLancamentos!B21</f>
        <v>Transf. Poupanca</v>
      </c>
      <c r="C95" s="771" t="s">
        <v>14786</v>
      </c>
      <c r="D95" s="197"/>
      <c r="E95" s="857">
        <v>334</v>
      </c>
      <c r="F95" s="135"/>
    </row>
    <row r="96" spans="1:6">
      <c r="A96" s="884">
        <v>43157</v>
      </c>
      <c r="B96" s="138" t="str">
        <f>TiposLancamentos!B19</f>
        <v>Restaurantes</v>
      </c>
      <c r="C96" s="771" t="s">
        <v>14787</v>
      </c>
      <c r="D96" s="197"/>
      <c r="E96" s="857">
        <v>13.14</v>
      </c>
      <c r="F96" s="135"/>
    </row>
    <row r="97" spans="1:6">
      <c r="A97" s="884">
        <v>43159</v>
      </c>
      <c r="B97" s="138" t="str">
        <f>TiposLancamentos!B56</f>
        <v>Farmácia</v>
      </c>
      <c r="C97" s="771" t="s">
        <v>14788</v>
      </c>
      <c r="D97" s="197"/>
      <c r="E97" s="857">
        <v>19.95</v>
      </c>
      <c r="F97" s="135"/>
    </row>
    <row r="98" spans="1:6">
      <c r="A98" s="884">
        <v>43159</v>
      </c>
      <c r="B98" s="138" t="str">
        <f>TiposLancamentos!B96</f>
        <v>Resg.Poup.</v>
      </c>
      <c r="C98" s="3" t="s">
        <v>14789</v>
      </c>
      <c r="D98" s="197">
        <v>35</v>
      </c>
      <c r="E98" s="857"/>
      <c r="F98" s="135"/>
    </row>
    <row r="99" spans="1:6">
      <c r="A99" s="884">
        <v>43294</v>
      </c>
      <c r="B99" s="138" t="str">
        <f>TiposLancamentos!B96</f>
        <v>Resg.Poup.</v>
      </c>
      <c r="C99" s="3" t="s">
        <v>14790</v>
      </c>
      <c r="D99" s="197">
        <v>4654.92</v>
      </c>
      <c r="E99" s="857"/>
      <c r="F99" s="135"/>
    </row>
    <row r="100" spans="1:6">
      <c r="A100" s="884">
        <v>43294</v>
      </c>
      <c r="B100" s="138" t="str">
        <f>TiposLancamentos!B105</f>
        <v>Transf. Bco</v>
      </c>
      <c r="C100" s="3" t="s">
        <v>14791</v>
      </c>
      <c r="D100" s="197"/>
      <c r="E100" s="857">
        <v>4680</v>
      </c>
      <c r="F100" s="135"/>
    </row>
    <row r="101" spans="1:6">
      <c r="A101" s="884">
        <v>43294</v>
      </c>
      <c r="B101" s="138" t="str">
        <f>TiposLancamentos!B4</f>
        <v>Taxas Bancarias</v>
      </c>
      <c r="C101" s="3" t="s">
        <v>14792</v>
      </c>
      <c r="D101" s="197"/>
      <c r="E101" s="857">
        <v>9.5</v>
      </c>
      <c r="F101" s="135"/>
    </row>
    <row r="102" spans="1:6">
      <c r="A102" s="884">
        <v>43308</v>
      </c>
      <c r="B102" s="138" t="str">
        <f>TiposLancamentos!B97</f>
        <v>Deposito Terc.</v>
      </c>
      <c r="C102" s="3" t="s">
        <v>14793</v>
      </c>
      <c r="D102" s="197">
        <v>40000</v>
      </c>
      <c r="E102" s="857"/>
      <c r="F102" s="135"/>
    </row>
    <row r="103" spans="1:6">
      <c r="A103" s="884">
        <v>43311</v>
      </c>
      <c r="B103" s="138" t="str">
        <f>TiposLancamentos!B26</f>
        <v>LIVROS</v>
      </c>
      <c r="C103" s="3" t="s">
        <v>14794</v>
      </c>
      <c r="D103" s="197"/>
      <c r="E103" s="857">
        <v>75</v>
      </c>
      <c r="F103" s="135"/>
    </row>
    <row r="104" spans="1:6">
      <c r="A104" s="884">
        <v>43313</v>
      </c>
      <c r="B104" s="138" t="str">
        <f>TiposLancamentos!B21</f>
        <v>Transf. Poupanca</v>
      </c>
      <c r="C104" s="3" t="s">
        <v>14795</v>
      </c>
      <c r="D104" s="197"/>
      <c r="E104" s="857">
        <v>39919</v>
      </c>
      <c r="F104" s="135"/>
    </row>
    <row r="105" spans="1:6">
      <c r="A105" s="884">
        <v>43313</v>
      </c>
      <c r="B105" s="138" t="str">
        <f>TiposLancamentos!B4</f>
        <v>Taxas Bancarias</v>
      </c>
      <c r="C105" s="3" t="s">
        <v>14435</v>
      </c>
      <c r="D105" s="197"/>
      <c r="E105" s="857">
        <v>0.32</v>
      </c>
      <c r="F105" s="135"/>
    </row>
    <row r="106" spans="1:6">
      <c r="A106" s="884">
        <v>43313</v>
      </c>
      <c r="B106" s="138" t="str">
        <f>TiposLancamentos!B4</f>
        <v>Taxas Bancarias</v>
      </c>
      <c r="C106" s="3" t="s">
        <v>14796</v>
      </c>
      <c r="D106" s="197"/>
      <c r="E106" s="857">
        <v>0.02</v>
      </c>
      <c r="F106" s="135"/>
    </row>
    <row r="107" spans="1:6">
      <c r="A107" s="884">
        <v>43315</v>
      </c>
      <c r="B107" s="138" t="str">
        <f>TiposLancamentos!B97</f>
        <v>Deposito Terc.</v>
      </c>
      <c r="C107" s="3" t="s">
        <v>14793</v>
      </c>
      <c r="D107" s="197">
        <v>10000</v>
      </c>
      <c r="E107" s="857"/>
      <c r="F107" s="135"/>
    </row>
    <row r="108" spans="1:6">
      <c r="A108" s="884">
        <v>43320</v>
      </c>
      <c r="B108" s="138" t="str">
        <f>TiposLancamentos!B16</f>
        <v>Cristiane</v>
      </c>
      <c r="C108" s="3" t="s">
        <v>4296</v>
      </c>
      <c r="D108" s="197"/>
      <c r="E108" s="857">
        <v>2000</v>
      </c>
      <c r="F108" s="135"/>
    </row>
    <row r="109" spans="1:6">
      <c r="A109" s="884">
        <v>43320</v>
      </c>
      <c r="B109" s="138" t="str">
        <f>TiposLancamentos!B64</f>
        <v>Viagens</v>
      </c>
      <c r="C109" s="3" t="s">
        <v>14797</v>
      </c>
      <c r="D109" s="197"/>
      <c r="E109" s="857">
        <v>3619.53</v>
      </c>
      <c r="F109" s="135"/>
    </row>
    <row r="110" spans="1:6">
      <c r="A110" s="884">
        <v>43320</v>
      </c>
      <c r="B110" s="138" t="str">
        <f>TiposLancamentos!B71</f>
        <v>Itens Pessoais</v>
      </c>
      <c r="C110" s="3" t="s">
        <v>14798</v>
      </c>
      <c r="D110" s="197"/>
      <c r="E110" s="857">
        <v>1531.9</v>
      </c>
      <c r="F110" s="135"/>
    </row>
    <row r="111" spans="1:6">
      <c r="A111" s="884">
        <v>43320</v>
      </c>
      <c r="B111" s="138" t="str">
        <f>TiposLancamentos!B78</f>
        <v>Diferenças</v>
      </c>
      <c r="C111" s="3" t="s">
        <v>4784</v>
      </c>
      <c r="D111" s="197">
        <v>26.48</v>
      </c>
      <c r="E111" s="857"/>
      <c r="F111" s="135"/>
    </row>
    <row r="112" spans="1:6">
      <c r="A112" s="884">
        <v>43320</v>
      </c>
      <c r="B112" s="138" t="str">
        <f>TiposLancamentos!B24</f>
        <v>Estacionamentos</v>
      </c>
      <c r="C112" s="3" t="s">
        <v>8547</v>
      </c>
      <c r="D112" s="197"/>
      <c r="E112" s="857">
        <v>8</v>
      </c>
      <c r="F112" s="135"/>
    </row>
    <row r="113" spans="1:6">
      <c r="A113" s="884">
        <v>43326</v>
      </c>
      <c r="B113" s="138" t="str">
        <f>TiposLancamentos!B69</f>
        <v>Consertos</v>
      </c>
      <c r="C113" s="3" t="s">
        <v>14799</v>
      </c>
      <c r="D113" s="197"/>
      <c r="E113" s="857">
        <v>700</v>
      </c>
      <c r="F113" s="135"/>
    </row>
    <row r="114" spans="1:6">
      <c r="A114" s="884">
        <v>43361</v>
      </c>
      <c r="B114" s="138" t="str">
        <f>TiposLancamentos!B23</f>
        <v>P208 GRIFFE 1.6 AUT BUSINESS</v>
      </c>
      <c r="C114" s="3" t="s">
        <v>14800</v>
      </c>
      <c r="D114" s="197"/>
      <c r="E114" s="857">
        <v>52990</v>
      </c>
      <c r="F114" s="135"/>
    </row>
    <row r="115" spans="1:6">
      <c r="A115" s="884">
        <v>43361</v>
      </c>
      <c r="B115" s="138" t="str">
        <f>TiposLancamentos!B96</f>
        <v>Resg.Poup.</v>
      </c>
      <c r="C115" s="3" t="s">
        <v>5701</v>
      </c>
      <c r="D115" s="197">
        <v>40000</v>
      </c>
      <c r="E115" s="857"/>
      <c r="F115" s="135"/>
    </row>
    <row r="116" spans="1:6">
      <c r="A116" s="884">
        <v>43361</v>
      </c>
      <c r="B116" s="138" t="str">
        <f>TiposLancamentos!B96</f>
        <v>Resg.Poup.</v>
      </c>
      <c r="C116" s="3" t="s">
        <v>14801</v>
      </c>
      <c r="D116" s="197">
        <v>10568.31</v>
      </c>
      <c r="E116" s="857"/>
      <c r="F116" s="135"/>
    </row>
    <row r="117" spans="1:6">
      <c r="A117" s="884">
        <v>43543</v>
      </c>
      <c r="B117" s="138" t="str">
        <f>TiposLancamentos!B96</f>
        <v>Resg.Poup.</v>
      </c>
      <c r="C117" s="3" t="s">
        <v>6510</v>
      </c>
      <c r="D117" s="197">
        <v>69.45</v>
      </c>
      <c r="E117" s="857"/>
      <c r="F117" s="135"/>
    </row>
    <row r="118" spans="1:6">
      <c r="A118" s="884">
        <v>43545</v>
      </c>
      <c r="B118" s="138" t="str">
        <f>TiposLancamentos!B97</f>
        <v>Deposito Terc.</v>
      </c>
      <c r="C118" s="3" t="s">
        <v>14802</v>
      </c>
      <c r="D118" s="197">
        <v>6122.4</v>
      </c>
      <c r="E118" s="857"/>
      <c r="F118" s="135"/>
    </row>
    <row r="119" spans="1:6">
      <c r="A119" s="884">
        <v>43545</v>
      </c>
      <c r="B119" s="138" t="str">
        <f>TiposLancamentos!B78</f>
        <v>Diferenças</v>
      </c>
      <c r="C119" s="3" t="s">
        <v>14803</v>
      </c>
      <c r="D119" s="197">
        <v>700.98</v>
      </c>
      <c r="E119" s="857"/>
      <c r="F119" s="135"/>
    </row>
    <row r="120" spans="1:6">
      <c r="A120" s="884">
        <v>43545</v>
      </c>
      <c r="B120" s="138" t="str">
        <f>TiposLancamentos!B16</f>
        <v>Cristiane</v>
      </c>
      <c r="C120" s="3" t="s">
        <v>14804</v>
      </c>
      <c r="D120" s="197"/>
      <c r="E120" s="857">
        <v>5000</v>
      </c>
      <c r="F120" s="135"/>
    </row>
    <row r="121" spans="1:6">
      <c r="A121" s="884">
        <v>43565</v>
      </c>
      <c r="B121" s="138" t="str">
        <f>TiposLancamentos!B4</f>
        <v>Taxas Bancarias</v>
      </c>
      <c r="C121" s="3" t="s">
        <v>14805</v>
      </c>
      <c r="D121" s="197"/>
      <c r="E121" s="857">
        <v>12.5</v>
      </c>
      <c r="F121" s="135"/>
    </row>
    <row r="122" spans="1:6">
      <c r="A122" s="884">
        <v>43565</v>
      </c>
      <c r="B122" s="138" t="str">
        <f>TiposLancamentos!B96</f>
        <v>Resg.Poup.</v>
      </c>
      <c r="C122" s="3" t="s">
        <v>14756</v>
      </c>
      <c r="D122" s="197">
        <v>15686.99</v>
      </c>
      <c r="E122" s="857"/>
      <c r="F122" s="135"/>
    </row>
    <row r="123" spans="1:6">
      <c r="A123" s="884">
        <v>43565</v>
      </c>
      <c r="B123" s="138" t="str">
        <f>TiposLancamentos!B105</f>
        <v>Transf. Bco</v>
      </c>
      <c r="C123" s="3" t="s">
        <v>14806</v>
      </c>
      <c r="D123" s="197"/>
      <c r="E123" s="857">
        <v>16500</v>
      </c>
      <c r="F123" s="135"/>
    </row>
    <row r="124" spans="1:6">
      <c r="A124" s="884">
        <v>43577</v>
      </c>
      <c r="B124" s="138" t="str">
        <f>TiposLancamentos!B64</f>
        <v>Viagens</v>
      </c>
      <c r="C124" s="3" t="s">
        <v>14807</v>
      </c>
      <c r="D124" s="197"/>
      <c r="E124" s="857">
        <v>180</v>
      </c>
      <c r="F124" s="135"/>
    </row>
    <row r="125" spans="1:6">
      <c r="A125" s="884">
        <v>43577</v>
      </c>
      <c r="B125" s="138" t="str">
        <f>TiposLancamentos!B4</f>
        <v>Taxas Bancarias</v>
      </c>
      <c r="C125" s="3" t="s">
        <v>14808</v>
      </c>
      <c r="D125" s="197"/>
      <c r="E125" s="857">
        <v>9.5</v>
      </c>
      <c r="F125" s="135"/>
    </row>
    <row r="126" spans="1:6">
      <c r="A126" s="884">
        <v>43595</v>
      </c>
      <c r="B126" s="138" t="str">
        <f>TiposLancamentos!B4</f>
        <v>Taxas Bancarias</v>
      </c>
      <c r="C126" s="3" t="s">
        <v>14809</v>
      </c>
      <c r="D126" s="197"/>
      <c r="E126" s="857">
        <v>12.5</v>
      </c>
      <c r="F126" s="135"/>
    </row>
    <row r="127" spans="1:6">
      <c r="A127" s="884">
        <v>43626</v>
      </c>
      <c r="B127" s="138" t="str">
        <f>TiposLancamentos!B4</f>
        <v>Taxas Bancarias</v>
      </c>
      <c r="C127" s="3" t="s">
        <v>14809</v>
      </c>
      <c r="D127" s="197"/>
      <c r="E127" s="857">
        <v>12.5</v>
      </c>
      <c r="F127" s="135"/>
    </row>
    <row r="128" spans="1:6">
      <c r="A128" s="884">
        <v>43627</v>
      </c>
      <c r="B128" s="138" t="str">
        <f>TiposLancamentos!B2</f>
        <v>Telefonia</v>
      </c>
      <c r="C128" s="3" t="s">
        <v>14810</v>
      </c>
      <c r="D128" s="197"/>
      <c r="E128" s="857">
        <v>126.09</v>
      </c>
      <c r="F128" s="135"/>
    </row>
    <row r="129" spans="1:6">
      <c r="A129" s="884">
        <v>43647</v>
      </c>
      <c r="B129" s="138" t="str">
        <f>TiposLancamentos!B78</f>
        <v>Diferenças</v>
      </c>
      <c r="C129" s="3" t="s">
        <v>14811</v>
      </c>
      <c r="D129" s="197"/>
      <c r="E129" s="857">
        <f>19649.79+90</f>
        <v>19739.79</v>
      </c>
      <c r="F129" s="135"/>
    </row>
    <row r="130" spans="1:6">
      <c r="A130" s="884">
        <v>43656</v>
      </c>
      <c r="B130" s="138" t="str">
        <f>B125</f>
        <v>Taxas Bancarias</v>
      </c>
      <c r="C130" s="3" t="s">
        <v>14809</v>
      </c>
      <c r="D130" s="197"/>
      <c r="E130" s="857">
        <v>12.5</v>
      </c>
      <c r="F130" s="135"/>
    </row>
    <row r="131" spans="1:6">
      <c r="A131" s="884">
        <v>43656</v>
      </c>
      <c r="B131" s="138" t="str">
        <f>TiposLancamentos!B96</f>
        <v>Resg.Poup.</v>
      </c>
      <c r="C131" s="3" t="s">
        <v>14790</v>
      </c>
      <c r="D131" s="197">
        <v>19543.169999999998</v>
      </c>
      <c r="E131" s="857"/>
      <c r="F131" s="135"/>
    </row>
    <row r="132" spans="1:6">
      <c r="A132" s="884">
        <v>43676</v>
      </c>
      <c r="B132" s="138" t="str">
        <f>TiposLancamentos!B96</f>
        <v>Resg.Poup.</v>
      </c>
      <c r="C132" s="3" t="s">
        <v>14812</v>
      </c>
      <c r="D132" s="197">
        <v>57543.3</v>
      </c>
      <c r="E132" s="857"/>
      <c r="F132" s="135"/>
    </row>
    <row r="133" spans="1:6">
      <c r="A133" s="884">
        <v>43679</v>
      </c>
      <c r="B133" s="138" t="str">
        <f>TiposLancamentos!B21</f>
        <v>Transf. Poupanca</v>
      </c>
      <c r="C133" s="3" t="s">
        <v>14813</v>
      </c>
      <c r="D133" s="197"/>
      <c r="E133" s="857">
        <v>30000</v>
      </c>
      <c r="F133" s="135"/>
    </row>
    <row r="134" spans="1:6" ht="14.25" thickBot="1">
      <c r="A134" s="884">
        <v>43687</v>
      </c>
      <c r="B134" s="138" t="str">
        <f>TiposLancamentos!B4</f>
        <v>Taxas Bancarias</v>
      </c>
      <c r="C134" s="3" t="s">
        <v>14809</v>
      </c>
      <c r="D134" s="197"/>
      <c r="E134" s="857">
        <v>12.5</v>
      </c>
      <c r="F134" s="135"/>
    </row>
    <row r="135" spans="1:6">
      <c r="A135" s="967"/>
      <c r="B135" s="968"/>
      <c r="C135" s="1093" t="s">
        <v>14814</v>
      </c>
      <c r="D135" s="970"/>
      <c r="E135" s="971"/>
      <c r="F135" s="135"/>
    </row>
    <row r="136" spans="1:6">
      <c r="A136" s="884">
        <v>43717</v>
      </c>
      <c r="B136" s="138" t="str">
        <f>TiposLancamentos!B2</f>
        <v>Telefonia</v>
      </c>
      <c r="C136" s="3" t="s">
        <v>4895</v>
      </c>
      <c r="D136" s="197"/>
      <c r="E136" s="857">
        <v>126.09</v>
      </c>
      <c r="F136" s="135"/>
    </row>
    <row r="137" spans="1:6">
      <c r="A137" s="919">
        <v>43718</v>
      </c>
      <c r="B137" s="830" t="str">
        <f>TiposLancamentos!B8</f>
        <v>Aluguel</v>
      </c>
      <c r="C137" s="915" t="s">
        <v>6163</v>
      </c>
      <c r="D137" s="917"/>
      <c r="E137" s="920">
        <f>F139-(E138+E139)</f>
        <v>1920.3000000000002</v>
      </c>
      <c r="F137" s="1290"/>
    </row>
    <row r="138" spans="1:6">
      <c r="A138" s="930">
        <v>43718</v>
      </c>
      <c r="B138" s="825" t="str">
        <f>TiposLancamentos!B12</f>
        <v>IPTU</v>
      </c>
      <c r="C138" s="88" t="s">
        <v>6319</v>
      </c>
      <c r="D138" s="828"/>
      <c r="E138" s="931">
        <v>149.81</v>
      </c>
      <c r="F138" s="1043"/>
    </row>
    <row r="139" spans="1:6">
      <c r="A139" s="921">
        <v>43718</v>
      </c>
      <c r="B139" s="833" t="str">
        <f>TiposLancamentos!B34</f>
        <v>Seguros</v>
      </c>
      <c r="C139" s="916" t="s">
        <v>14773</v>
      </c>
      <c r="D139" s="918"/>
      <c r="E139" s="922">
        <v>275.73</v>
      </c>
      <c r="F139" s="1291">
        <v>2345.84</v>
      </c>
    </row>
    <row r="140" spans="1:6">
      <c r="A140" s="884">
        <v>43718</v>
      </c>
      <c r="B140" s="138" t="str">
        <f>TiposLancamentos!B24</f>
        <v>Estacionamentos</v>
      </c>
      <c r="C140" s="3" t="s">
        <v>14815</v>
      </c>
      <c r="D140" s="197"/>
      <c r="E140" s="857">
        <v>13</v>
      </c>
      <c r="F140" s="135"/>
    </row>
    <row r="141" spans="1:6">
      <c r="A141" s="884">
        <v>43718</v>
      </c>
      <c r="B141" s="138" t="str">
        <f>TiposLancamentos!B46</f>
        <v>Maçonaria</v>
      </c>
      <c r="C141" s="3" t="s">
        <v>14816</v>
      </c>
      <c r="D141" s="197"/>
      <c r="E141" s="857"/>
      <c r="F141" s="1094" t="s">
        <v>11</v>
      </c>
    </row>
    <row r="142" spans="1:6">
      <c r="A142" s="884">
        <v>43718</v>
      </c>
      <c r="B142" s="138" t="str">
        <f>TiposLancamentos!B4</f>
        <v>Taxas Bancarias</v>
      </c>
      <c r="C142" s="3" t="s">
        <v>14809</v>
      </c>
      <c r="D142" s="197"/>
      <c r="E142" s="857">
        <v>12.5</v>
      </c>
      <c r="F142" s="135"/>
    </row>
    <row r="143" spans="1:6">
      <c r="A143" s="884">
        <v>43721</v>
      </c>
      <c r="B143" s="138" t="str">
        <f>TiposLancamentos!B98</f>
        <v>Restituições</v>
      </c>
      <c r="C143" s="3" t="s">
        <v>14817</v>
      </c>
      <c r="D143" s="197">
        <v>1991.85</v>
      </c>
      <c r="E143" s="857"/>
      <c r="F143" s="135"/>
    </row>
    <row r="144" spans="1:6">
      <c r="A144" s="884">
        <v>43722</v>
      </c>
      <c r="B144" s="138" t="str">
        <f>TiposLancamentos!B20</f>
        <v>Saques</v>
      </c>
      <c r="C144" s="3" t="s">
        <v>4368</v>
      </c>
      <c r="D144" s="197"/>
      <c r="E144" s="857">
        <v>40</v>
      </c>
      <c r="F144" s="135"/>
    </row>
    <row r="145" spans="1:6">
      <c r="A145" s="884">
        <v>43722</v>
      </c>
      <c r="B145" s="138" t="str">
        <f>TiposLancamentos!B13</f>
        <v>Moradia</v>
      </c>
      <c r="C145" s="3" t="s">
        <v>14818</v>
      </c>
      <c r="D145" s="197"/>
      <c r="E145" s="857">
        <v>15</v>
      </c>
      <c r="F145" s="135"/>
    </row>
    <row r="146" spans="1:6">
      <c r="A146" s="884">
        <v>43722</v>
      </c>
      <c r="B146" s="138" t="str">
        <f>TiposLancamentos!B46</f>
        <v>Maçonaria</v>
      </c>
      <c r="C146" s="3" t="s">
        <v>14819</v>
      </c>
      <c r="D146" s="197"/>
      <c r="E146" s="857">
        <v>16</v>
      </c>
      <c r="F146" s="135"/>
    </row>
    <row r="147" spans="1:6">
      <c r="A147" s="884">
        <v>43722</v>
      </c>
      <c r="B147" s="138" t="str">
        <f>TiposLancamentos!B48</f>
        <v>Baralhos e Oráculos</v>
      </c>
      <c r="C147" s="3" t="s">
        <v>14820</v>
      </c>
      <c r="D147" s="197"/>
      <c r="E147" s="857">
        <v>60</v>
      </c>
      <c r="F147" s="135"/>
    </row>
    <row r="148" spans="1:6">
      <c r="A148" s="884">
        <v>43722</v>
      </c>
      <c r="B148" s="138" t="str">
        <f>TiposLancamentos!B5</f>
        <v>Supermercado</v>
      </c>
      <c r="C148" s="3" t="s">
        <v>14821</v>
      </c>
      <c r="D148" s="197"/>
      <c r="E148" s="857">
        <v>60</v>
      </c>
      <c r="F148" s="135"/>
    </row>
    <row r="149" spans="1:6">
      <c r="A149" s="884">
        <v>43722</v>
      </c>
      <c r="B149" s="138" t="str">
        <f>TiposLancamentos!B19</f>
        <v>Restaurantes</v>
      </c>
      <c r="C149" s="3" t="s">
        <v>14822</v>
      </c>
      <c r="D149" s="197"/>
      <c r="E149" s="857">
        <v>35</v>
      </c>
      <c r="F149" s="135"/>
    </row>
    <row r="150" spans="1:6">
      <c r="A150" s="884">
        <v>43723</v>
      </c>
      <c r="B150" s="138" t="str">
        <f>TiposLancamentos!B19</f>
        <v>Restaurantes</v>
      </c>
      <c r="C150" s="3" t="s">
        <v>6413</v>
      </c>
      <c r="D150" s="197"/>
      <c r="E150" s="857">
        <v>68.5</v>
      </c>
      <c r="F150" s="135"/>
    </row>
    <row r="151" spans="1:6">
      <c r="A151" s="884">
        <v>43723</v>
      </c>
      <c r="B151" s="138" t="str">
        <f>TiposLancamentos!B19</f>
        <v>Restaurantes</v>
      </c>
      <c r="C151" s="3" t="s">
        <v>14823</v>
      </c>
      <c r="D151" s="197"/>
      <c r="E151" s="857">
        <v>42.57</v>
      </c>
      <c r="F151" s="135"/>
    </row>
    <row r="152" spans="1:6">
      <c r="A152" s="884">
        <v>43724</v>
      </c>
      <c r="B152" s="138" t="str">
        <f>TiposLancamentos!B96</f>
        <v>Resg.Poup.</v>
      </c>
      <c r="C152" s="3" t="s">
        <v>14824</v>
      </c>
      <c r="D152" s="197">
        <v>1200</v>
      </c>
      <c r="E152" s="857"/>
      <c r="F152" s="135"/>
    </row>
    <row r="153" spans="1:6">
      <c r="A153" s="884">
        <v>43724</v>
      </c>
      <c r="B153" s="138" t="str">
        <f>TiposLancamentos!B21</f>
        <v>Transf. Poupanca</v>
      </c>
      <c r="C153" s="3" t="s">
        <v>14825</v>
      </c>
      <c r="D153" s="197"/>
      <c r="E153" s="857">
        <v>1200</v>
      </c>
      <c r="F153" s="135"/>
    </row>
    <row r="154" spans="1:6">
      <c r="A154" s="884">
        <v>43724</v>
      </c>
      <c r="B154" s="138" t="str">
        <f>TiposLancamentos!B4</f>
        <v>Taxas Bancarias</v>
      </c>
      <c r="C154" s="3" t="s">
        <v>14826</v>
      </c>
      <c r="D154" s="197"/>
      <c r="E154" s="857">
        <v>10</v>
      </c>
      <c r="F154" s="135"/>
    </row>
    <row r="155" spans="1:6">
      <c r="A155" s="884">
        <v>43724</v>
      </c>
      <c r="B155" s="138" t="str">
        <f>TiposLancamentos!B5</f>
        <v>Supermercado</v>
      </c>
      <c r="C155" s="3" t="s">
        <v>6234</v>
      </c>
      <c r="D155" s="197"/>
      <c r="E155" s="857">
        <v>88.16</v>
      </c>
      <c r="F155" s="135"/>
    </row>
    <row r="156" spans="1:6">
      <c r="A156" s="919">
        <v>43724</v>
      </c>
      <c r="B156" s="830" t="str">
        <f>TiposLancamentos!B35</f>
        <v>Tv à Cabo</v>
      </c>
      <c r="C156" s="915" t="s">
        <v>5834</v>
      </c>
      <c r="D156" s="917"/>
      <c r="E156" s="920">
        <v>140.04</v>
      </c>
      <c r="F156" s="1290"/>
    </row>
    <row r="157" spans="1:6">
      <c r="A157" s="930">
        <v>43724</v>
      </c>
      <c r="B157" s="825" t="str">
        <f>TiposLancamentos!B3</f>
        <v>Internet</v>
      </c>
      <c r="C157" s="88" t="s">
        <v>5835</v>
      </c>
      <c r="D157" s="828"/>
      <c r="E157" s="931">
        <v>102.47</v>
      </c>
      <c r="F157" s="1043"/>
    </row>
    <row r="158" spans="1:6">
      <c r="A158" s="921">
        <v>43724</v>
      </c>
      <c r="B158" s="833" t="str">
        <f>TiposLancamentos!B2</f>
        <v>Telefonia</v>
      </c>
      <c r="C158" s="916" t="s">
        <v>7210</v>
      </c>
      <c r="D158" s="918"/>
      <c r="E158" s="922">
        <v>0</v>
      </c>
      <c r="F158" s="1291">
        <f>SUM(E156:E158)</f>
        <v>242.51</v>
      </c>
    </row>
    <row r="159" spans="1:6">
      <c r="A159" s="884">
        <v>43725</v>
      </c>
      <c r="B159" s="138" t="str">
        <f>TiposLancamentos!B19</f>
        <v>Restaurantes</v>
      </c>
      <c r="C159" s="3" t="s">
        <v>14827</v>
      </c>
      <c r="D159" s="197"/>
      <c r="E159" s="857">
        <v>25.5</v>
      </c>
      <c r="F159" s="135"/>
    </row>
    <row r="160" spans="1:6">
      <c r="A160" s="884">
        <v>43725</v>
      </c>
      <c r="B160" s="138" t="str">
        <f>TiposLancamentos!B24</f>
        <v>Estacionamentos</v>
      </c>
      <c r="C160" s="3" t="s">
        <v>14828</v>
      </c>
      <c r="D160" s="197"/>
      <c r="E160" s="857">
        <v>21</v>
      </c>
      <c r="F160" s="135"/>
    </row>
    <row r="161" spans="1:6">
      <c r="A161" s="884">
        <v>43725</v>
      </c>
      <c r="B161" s="138" t="str">
        <f>TiposLancamentos!B24</f>
        <v>Estacionamentos</v>
      </c>
      <c r="C161" s="3" t="s">
        <v>14829</v>
      </c>
      <c r="D161" s="197"/>
      <c r="E161" s="857">
        <v>13</v>
      </c>
      <c r="F161" s="135"/>
    </row>
    <row r="162" spans="1:6">
      <c r="A162" s="884">
        <v>43725</v>
      </c>
      <c r="B162" s="138" t="str">
        <f>TiposLancamentos!B19</f>
        <v>Restaurantes</v>
      </c>
      <c r="C162" s="3" t="s">
        <v>14830</v>
      </c>
      <c r="D162" s="197"/>
      <c r="E162" s="857">
        <v>14.3</v>
      </c>
      <c r="F162" s="135"/>
    </row>
    <row r="163" spans="1:6">
      <c r="A163" s="884">
        <v>43725</v>
      </c>
      <c r="B163" s="138" t="str">
        <f>TiposLancamentos!B19</f>
        <v>Restaurantes</v>
      </c>
      <c r="C163" s="3" t="s">
        <v>14831</v>
      </c>
      <c r="D163" s="197"/>
      <c r="E163" s="857">
        <v>43.45</v>
      </c>
      <c r="F163" s="135"/>
    </row>
    <row r="164" spans="1:6">
      <c r="A164" s="884">
        <v>43726</v>
      </c>
      <c r="B164" s="138" t="str">
        <f>TiposLancamentos!B19</f>
        <v>Restaurantes</v>
      </c>
      <c r="C164" s="3" t="s">
        <v>14832</v>
      </c>
      <c r="D164" s="197"/>
      <c r="E164" s="857">
        <v>43.9</v>
      </c>
      <c r="F164" s="135"/>
    </row>
    <row r="165" spans="1:6">
      <c r="A165" s="884">
        <v>43726</v>
      </c>
      <c r="B165" s="138" t="str">
        <f>TiposLancamentos!B19</f>
        <v>Restaurantes</v>
      </c>
      <c r="C165" s="3" t="s">
        <v>14833</v>
      </c>
      <c r="D165" s="197"/>
      <c r="E165" s="857">
        <v>60.39</v>
      </c>
      <c r="F165" s="135"/>
    </row>
    <row r="166" spans="1:6">
      <c r="A166" s="884">
        <v>43727</v>
      </c>
      <c r="B166" s="138" t="str">
        <f>TiposLancamentos!B24</f>
        <v>Estacionamentos</v>
      </c>
      <c r="C166" s="3" t="s">
        <v>14834</v>
      </c>
      <c r="D166" s="197"/>
      <c r="E166" s="857">
        <v>15</v>
      </c>
      <c r="F166" s="135"/>
    </row>
    <row r="167" spans="1:6">
      <c r="A167" s="884">
        <v>43728</v>
      </c>
      <c r="B167" s="138" t="str">
        <f>TiposLancamentos!B19</f>
        <v>Restaurantes</v>
      </c>
      <c r="C167" s="3" t="s">
        <v>14835</v>
      </c>
      <c r="D167" s="197"/>
      <c r="E167" s="857">
        <v>15.09</v>
      </c>
      <c r="F167" s="135"/>
    </row>
    <row r="168" spans="1:6">
      <c r="A168" s="884">
        <v>43728</v>
      </c>
      <c r="B168" s="138" t="str">
        <f>TiposLancamentos!B16</f>
        <v>Cristiane</v>
      </c>
      <c r="C168" s="3" t="s">
        <v>14836</v>
      </c>
      <c r="D168" s="197"/>
      <c r="E168" s="857">
        <v>126.87</v>
      </c>
      <c r="F168" s="135"/>
    </row>
    <row r="169" spans="1:6">
      <c r="A169" s="884">
        <v>43728</v>
      </c>
      <c r="B169" s="138" t="str">
        <f>TiposLancamentos!B19</f>
        <v>Restaurantes</v>
      </c>
      <c r="C169" s="3" t="s">
        <v>14837</v>
      </c>
      <c r="D169" s="197"/>
      <c r="E169" s="857">
        <v>51</v>
      </c>
      <c r="F169" s="135"/>
    </row>
    <row r="170" spans="1:6">
      <c r="A170" s="884">
        <v>43728</v>
      </c>
      <c r="B170" s="138" t="str">
        <f>TiposLancamentos!B88</f>
        <v>Ford Ecosport XLT</v>
      </c>
      <c r="C170" s="3" t="s">
        <v>10472</v>
      </c>
      <c r="D170" s="197"/>
      <c r="E170" s="857">
        <v>35</v>
      </c>
      <c r="F170" s="135"/>
    </row>
    <row r="171" spans="1:6">
      <c r="A171" s="884">
        <v>43728</v>
      </c>
      <c r="B171" s="138" t="str">
        <f>TiposLancamentos!B16</f>
        <v>Cristiane</v>
      </c>
      <c r="C171" s="3" t="s">
        <v>14838</v>
      </c>
      <c r="D171" s="197"/>
      <c r="E171" s="857">
        <v>164.75</v>
      </c>
      <c r="F171" s="135"/>
    </row>
    <row r="172" spans="1:6">
      <c r="A172" s="884">
        <v>43729</v>
      </c>
      <c r="B172" s="138" t="str">
        <f>TiposLancamentos!B5</f>
        <v>Supermercado</v>
      </c>
      <c r="C172" s="3" t="s">
        <v>14839</v>
      </c>
      <c r="D172" s="197"/>
      <c r="E172" s="857">
        <v>239.72</v>
      </c>
      <c r="F172" s="135"/>
    </row>
    <row r="173" spans="1:6">
      <c r="A173" s="884">
        <v>43729</v>
      </c>
      <c r="B173" s="138" t="str">
        <f>TiposLancamentos!B19</f>
        <v>Restaurantes</v>
      </c>
      <c r="C173" s="3" t="s">
        <v>5913</v>
      </c>
      <c r="D173" s="197"/>
      <c r="E173" s="857">
        <v>22.1</v>
      </c>
      <c r="F173" s="135"/>
    </row>
    <row r="174" spans="1:6">
      <c r="A174" s="884">
        <v>43730</v>
      </c>
      <c r="B174" s="138" t="str">
        <f>TiposLancamentos!B19</f>
        <v>Restaurantes</v>
      </c>
      <c r="C174" s="3" t="s">
        <v>14840</v>
      </c>
      <c r="D174" s="197"/>
      <c r="E174" s="857">
        <v>227.7</v>
      </c>
      <c r="F174" s="135"/>
    </row>
    <row r="175" spans="1:6">
      <c r="A175" s="884">
        <v>43730</v>
      </c>
      <c r="B175" s="138" t="str">
        <f>TiposLancamentos!B16</f>
        <v>Cristiane</v>
      </c>
      <c r="C175" s="3" t="s">
        <v>14841</v>
      </c>
      <c r="D175" s="197"/>
      <c r="E175" s="857">
        <v>31</v>
      </c>
      <c r="F175" s="135"/>
    </row>
    <row r="176" spans="1:6">
      <c r="A176" s="884">
        <v>43730</v>
      </c>
      <c r="B176" s="138" t="str">
        <f>TiposLancamentos!B46</f>
        <v>Maçonaria</v>
      </c>
      <c r="C176" s="3" t="s">
        <v>14819</v>
      </c>
      <c r="D176" s="197"/>
      <c r="E176" s="857">
        <v>26</v>
      </c>
      <c r="F176" s="135"/>
    </row>
    <row r="177" spans="1:6">
      <c r="A177" s="884">
        <v>43730</v>
      </c>
      <c r="B177" s="138" t="str">
        <f>TiposLancamentos!B13</f>
        <v>Moradia</v>
      </c>
      <c r="C177" s="3" t="s">
        <v>14842</v>
      </c>
      <c r="D177" s="197"/>
      <c r="E177" s="857">
        <v>50</v>
      </c>
      <c r="F177" s="135"/>
    </row>
    <row r="178" spans="1:6">
      <c r="A178" s="884">
        <v>43730</v>
      </c>
      <c r="B178" s="138" t="str">
        <f>TiposLancamentos!B24</f>
        <v>Estacionamentos</v>
      </c>
      <c r="C178" s="3" t="s">
        <v>3617</v>
      </c>
      <c r="D178" s="197"/>
      <c r="E178" s="857">
        <v>20</v>
      </c>
      <c r="F178" s="135"/>
    </row>
    <row r="179" spans="1:6">
      <c r="A179" s="884">
        <v>43730</v>
      </c>
      <c r="B179" s="138" t="str">
        <f>TiposLancamentos!B19</f>
        <v>Restaurantes</v>
      </c>
      <c r="C179" s="3" t="s">
        <v>14843</v>
      </c>
      <c r="D179" s="197"/>
      <c r="E179" s="857">
        <v>38</v>
      </c>
      <c r="F179" s="135"/>
    </row>
    <row r="180" spans="1:6">
      <c r="A180" s="884">
        <v>43733</v>
      </c>
      <c r="B180" s="138" t="str">
        <f>TiposLancamentos!B67</f>
        <v>Lavanderia</v>
      </c>
      <c r="C180" s="3" t="s">
        <v>14844</v>
      </c>
      <c r="D180" s="197"/>
      <c r="E180" s="857">
        <v>51</v>
      </c>
      <c r="F180" s="135"/>
    </row>
    <row r="181" spans="1:6">
      <c r="A181" s="884">
        <v>43733</v>
      </c>
      <c r="B181" s="138" t="str">
        <f>TiposLancamentos!B19</f>
        <v>Restaurantes</v>
      </c>
      <c r="C181" s="3" t="s">
        <v>14845</v>
      </c>
      <c r="D181" s="197"/>
      <c r="E181" s="857">
        <v>85.36</v>
      </c>
      <c r="F181" s="135"/>
    </row>
    <row r="182" spans="1:6">
      <c r="A182" s="884">
        <v>43733</v>
      </c>
      <c r="B182" s="138" t="str">
        <f>TiposLancamentos!B19</f>
        <v>Restaurantes</v>
      </c>
      <c r="C182" s="3" t="s">
        <v>14846</v>
      </c>
      <c r="D182" s="197"/>
      <c r="E182" s="857">
        <v>17.399999999999999</v>
      </c>
      <c r="F182" s="135"/>
    </row>
    <row r="183" spans="1:6">
      <c r="A183" s="884">
        <v>43734</v>
      </c>
      <c r="B183" s="138" t="str">
        <f>TiposLancamentos!B5</f>
        <v>Supermercado</v>
      </c>
      <c r="C183" s="3" t="s">
        <v>6234</v>
      </c>
      <c r="D183" s="197"/>
      <c r="E183" s="857">
        <v>114.57</v>
      </c>
      <c r="F183" s="135"/>
    </row>
    <row r="184" spans="1:6">
      <c r="A184" s="884">
        <v>43734</v>
      </c>
      <c r="B184" s="138" t="str">
        <f>TiposLancamentos!B22</f>
        <v>Combustivel</v>
      </c>
      <c r="C184" s="3" t="s">
        <v>8128</v>
      </c>
      <c r="D184" s="197"/>
      <c r="E184" s="857">
        <v>158</v>
      </c>
      <c r="F184" s="135"/>
    </row>
    <row r="185" spans="1:6">
      <c r="A185" s="884">
        <v>43734</v>
      </c>
      <c r="B185" s="138" t="str">
        <f>TiposLancamentos!B19</f>
        <v>Restaurantes</v>
      </c>
      <c r="C185" s="3" t="s">
        <v>7741</v>
      </c>
      <c r="D185" s="197"/>
      <c r="E185" s="857">
        <v>22.9</v>
      </c>
      <c r="F185" s="135"/>
    </row>
    <row r="186" spans="1:6">
      <c r="A186" s="884">
        <v>43734</v>
      </c>
      <c r="B186" s="138" t="str">
        <f>TiposLancamentos!B19</f>
        <v>Restaurantes</v>
      </c>
      <c r="C186" s="3" t="s">
        <v>14847</v>
      </c>
      <c r="D186" s="197"/>
      <c r="E186" s="857">
        <v>30.76</v>
      </c>
      <c r="F186" s="135"/>
    </row>
    <row r="187" spans="1:6">
      <c r="A187" s="884">
        <v>43735</v>
      </c>
      <c r="B187" s="138" t="str">
        <f>TiposLancamentos!B19</f>
        <v>Restaurantes</v>
      </c>
      <c r="C187" s="3" t="s">
        <v>14848</v>
      </c>
      <c r="D187" s="197"/>
      <c r="E187" s="857">
        <v>45</v>
      </c>
      <c r="F187" s="135"/>
    </row>
    <row r="188" spans="1:6">
      <c r="A188" s="884">
        <v>43736</v>
      </c>
      <c r="B188" s="138" t="str">
        <f>TiposLancamentos!B22</f>
        <v>Combustivel</v>
      </c>
      <c r="C188" s="3" t="s">
        <v>8128</v>
      </c>
      <c r="D188" s="197"/>
      <c r="E188" s="857">
        <v>100</v>
      </c>
      <c r="F188" s="135"/>
    </row>
    <row r="189" spans="1:6">
      <c r="A189" s="884">
        <v>43736</v>
      </c>
      <c r="B189" s="138" t="str">
        <f>TiposLancamentos!B19</f>
        <v>Restaurantes</v>
      </c>
      <c r="C189" s="3" t="s">
        <v>14849</v>
      </c>
      <c r="D189" s="197"/>
      <c r="E189" s="857">
        <v>14.1</v>
      </c>
      <c r="F189" s="135"/>
    </row>
    <row r="190" spans="1:6">
      <c r="A190" s="884">
        <v>43736</v>
      </c>
      <c r="B190" s="138" t="str">
        <f>TiposLancamentos!B19</f>
        <v>Restaurantes</v>
      </c>
      <c r="C190" s="3" t="s">
        <v>14850</v>
      </c>
      <c r="D190" s="197"/>
      <c r="E190" s="857">
        <v>5.5</v>
      </c>
      <c r="F190" s="135"/>
    </row>
    <row r="191" spans="1:6">
      <c r="A191" s="884">
        <v>43738</v>
      </c>
      <c r="B191" s="138" t="str">
        <f>TiposLancamentos!B103</f>
        <v>Juros_Corr. Poupança</v>
      </c>
      <c r="C191" s="3" t="s">
        <v>14851</v>
      </c>
      <c r="D191" s="197">
        <v>42.27</v>
      </c>
      <c r="E191" s="857"/>
      <c r="F191" s="135"/>
    </row>
    <row r="192" spans="1:6">
      <c r="A192" s="884">
        <v>43738</v>
      </c>
      <c r="B192" s="138" t="str">
        <f>TiposLancamentos!B6</f>
        <v>Energia Eletrica</v>
      </c>
      <c r="C192" s="3" t="s">
        <v>14852</v>
      </c>
      <c r="D192" s="197"/>
      <c r="E192" s="857">
        <v>265.77999999999997</v>
      </c>
      <c r="F192" s="135"/>
    </row>
    <row r="193" spans="1:7">
      <c r="A193" s="884">
        <v>43738</v>
      </c>
      <c r="B193" s="138" t="str">
        <f>TiposLancamentos!B23</f>
        <v>P208 GRIFFE 1.6 AUT BUSINESS</v>
      </c>
      <c r="C193" s="3" t="s">
        <v>14853</v>
      </c>
      <c r="D193" s="197"/>
      <c r="E193" s="857">
        <v>117.41</v>
      </c>
      <c r="F193" s="135"/>
      <c r="G193" s="3"/>
    </row>
    <row r="194" spans="1:7">
      <c r="A194" s="884">
        <v>43738</v>
      </c>
      <c r="B194" s="138" t="str">
        <f>TiposLancamentos!B5</f>
        <v>Supermercado</v>
      </c>
      <c r="C194" s="3" t="s">
        <v>14854</v>
      </c>
      <c r="D194" s="197"/>
      <c r="E194" s="857">
        <v>14.95</v>
      </c>
      <c r="F194" s="135"/>
      <c r="G194" s="3"/>
    </row>
    <row r="195" spans="1:7">
      <c r="A195" s="884">
        <v>43738</v>
      </c>
      <c r="B195" s="138" t="str">
        <f>TiposLancamentos!B71</f>
        <v>Itens Pessoais</v>
      </c>
      <c r="C195" s="3" t="s">
        <v>5611</v>
      </c>
      <c r="D195" s="197"/>
      <c r="E195" s="857">
        <v>40</v>
      </c>
      <c r="F195" s="135"/>
      <c r="G195" s="3"/>
    </row>
    <row r="196" spans="1:7">
      <c r="A196" s="884">
        <v>43738</v>
      </c>
      <c r="B196" s="138" t="str">
        <f>TiposLancamentos!B56</f>
        <v>Farmácia</v>
      </c>
      <c r="C196" s="3" t="s">
        <v>6118</v>
      </c>
      <c r="D196" s="197"/>
      <c r="E196" s="857">
        <v>102.69</v>
      </c>
      <c r="F196" s="135"/>
      <c r="G196" s="3"/>
    </row>
    <row r="197" spans="1:7" ht="14.25" thickBot="1">
      <c r="A197" s="884">
        <v>43738</v>
      </c>
      <c r="B197" s="138" t="str">
        <f>TiposLancamentos!B56</f>
        <v>Farmácia</v>
      </c>
      <c r="C197" s="3" t="s">
        <v>14855</v>
      </c>
      <c r="D197" s="197"/>
      <c r="E197" s="857">
        <v>43.03</v>
      </c>
      <c r="F197" s="135"/>
      <c r="G197" s="3"/>
    </row>
    <row r="198" spans="1:7">
      <c r="A198" s="967"/>
      <c r="B198" s="968"/>
      <c r="C198" s="1093" t="s">
        <v>14856</v>
      </c>
      <c r="D198" s="970"/>
      <c r="E198" s="971"/>
      <c r="F198" s="135"/>
      <c r="G198" s="3"/>
    </row>
    <row r="199" spans="1:7">
      <c r="A199" s="884">
        <v>43739</v>
      </c>
      <c r="B199" s="138" t="str">
        <f>TiposLancamentos!B15</f>
        <v>Cartões de Crédito</v>
      </c>
      <c r="C199" s="3" t="s">
        <v>7391</v>
      </c>
      <c r="D199" s="197"/>
      <c r="E199" s="857">
        <v>6775.8</v>
      </c>
      <c r="F199" s="135"/>
      <c r="G199" s="3"/>
    </row>
    <row r="200" spans="1:7">
      <c r="A200" s="884">
        <v>43739</v>
      </c>
      <c r="B200" s="138" t="str">
        <f>TiposLancamentos!B15</f>
        <v>Cartões de Crédito</v>
      </c>
      <c r="C200" s="3" t="s">
        <v>7393</v>
      </c>
      <c r="D200" s="197"/>
      <c r="E200" s="857">
        <v>39.6</v>
      </c>
      <c r="F200" s="135"/>
      <c r="G200" s="3"/>
    </row>
    <row r="201" spans="1:7">
      <c r="A201" s="884">
        <v>43739</v>
      </c>
      <c r="B201" s="138" t="str">
        <f>TiposLancamentos!B15</f>
        <v>Cartões de Crédito</v>
      </c>
      <c r="C201" s="3" t="s">
        <v>7332</v>
      </c>
      <c r="D201" s="197"/>
      <c r="E201" s="857">
        <v>27.74</v>
      </c>
      <c r="F201" s="135"/>
      <c r="G201" s="3"/>
    </row>
    <row r="202" spans="1:7">
      <c r="A202" s="884">
        <v>43739</v>
      </c>
      <c r="B202" s="138" t="str">
        <f>TiposLancamentos!B15</f>
        <v>Cartões de Crédito</v>
      </c>
      <c r="C202" s="3" t="s">
        <v>7392</v>
      </c>
      <c r="D202" s="197"/>
      <c r="E202" s="857">
        <v>157.79</v>
      </c>
      <c r="F202" s="135"/>
      <c r="G202" s="3"/>
    </row>
    <row r="203" spans="1:7">
      <c r="A203" s="884">
        <v>43739</v>
      </c>
      <c r="B203" s="138" t="str">
        <f>TiposLancamentos!B24</f>
        <v>Estacionamentos</v>
      </c>
      <c r="C203" s="3" t="s">
        <v>14857</v>
      </c>
      <c r="D203" s="197"/>
      <c r="E203" s="857">
        <v>13</v>
      </c>
      <c r="F203" s="135"/>
      <c r="G203" s="3"/>
    </row>
    <row r="204" spans="1:7">
      <c r="A204" s="884">
        <v>43740</v>
      </c>
      <c r="B204" s="138" t="str">
        <f>TiposLancamentos!B24</f>
        <v>Estacionamentos</v>
      </c>
      <c r="C204" s="3" t="s">
        <v>14828</v>
      </c>
      <c r="D204" s="197"/>
      <c r="E204" s="857">
        <v>4.5</v>
      </c>
      <c r="F204" s="135"/>
      <c r="G204" s="3"/>
    </row>
    <row r="205" spans="1:7">
      <c r="A205" s="884">
        <v>43740</v>
      </c>
      <c r="B205" s="138" t="str">
        <f>TiposLancamentos!B20</f>
        <v>Saques</v>
      </c>
      <c r="C205" s="3" t="s">
        <v>4716</v>
      </c>
      <c r="D205" s="197"/>
      <c r="E205" s="857">
        <v>40</v>
      </c>
      <c r="F205" s="135"/>
      <c r="G205" s="3"/>
    </row>
    <row r="206" spans="1:7">
      <c r="A206" s="884">
        <v>43740</v>
      </c>
      <c r="B206" s="138" t="str">
        <f>TiposLancamentos!B19</f>
        <v>Restaurantes</v>
      </c>
      <c r="C206" s="3" t="s">
        <v>14858</v>
      </c>
      <c r="D206" s="197"/>
      <c r="E206" s="857">
        <v>31.5</v>
      </c>
      <c r="F206" s="135"/>
      <c r="G206" s="3"/>
    </row>
    <row r="207" spans="1:7">
      <c r="A207" s="884">
        <v>43742</v>
      </c>
      <c r="B207" s="138" t="str">
        <f>TiposLancamentos!B23</f>
        <v>P208 GRIFFE 1.6 AUT BUSINESS</v>
      </c>
      <c r="C207" s="3" t="s">
        <v>14859</v>
      </c>
      <c r="D207" s="197"/>
      <c r="E207" s="857">
        <v>35</v>
      </c>
      <c r="F207" s="135"/>
      <c r="G207" s="3"/>
    </row>
    <row r="208" spans="1:7">
      <c r="A208" s="1226">
        <v>43742</v>
      </c>
      <c r="B208" s="1218" t="str">
        <f>TiposLancamentos!B16</f>
        <v>Cristiane</v>
      </c>
      <c r="C208" s="1219" t="s">
        <v>14860</v>
      </c>
      <c r="D208" s="1220"/>
      <c r="E208" s="1265">
        <v>35</v>
      </c>
      <c r="F208" s="1267"/>
      <c r="G208" s="3"/>
    </row>
    <row r="209" spans="1:7">
      <c r="A209" s="1228">
        <v>43742</v>
      </c>
      <c r="B209" s="1222" t="str">
        <f>TiposLancamentos!B71</f>
        <v>Itens Pessoais</v>
      </c>
      <c r="C209" s="1223" t="s">
        <v>14861</v>
      </c>
      <c r="D209" s="1224"/>
      <c r="E209" s="1266">
        <v>30</v>
      </c>
      <c r="F209" s="1268">
        <v>65</v>
      </c>
      <c r="G209" s="135"/>
    </row>
    <row r="210" spans="1:7">
      <c r="A210" s="884">
        <v>43743</v>
      </c>
      <c r="B210" s="138" t="str">
        <f>TiposLancamentos!B19</f>
        <v>Restaurantes</v>
      </c>
      <c r="C210" s="3" t="s">
        <v>14862</v>
      </c>
      <c r="D210" s="197"/>
      <c r="E210" s="857">
        <v>30</v>
      </c>
      <c r="F210" s="135"/>
      <c r="G210" s="3"/>
    </row>
    <row r="211" spans="1:7">
      <c r="A211" s="884">
        <v>43743</v>
      </c>
      <c r="B211" s="138" t="str">
        <f>TiposLancamentos!B5</f>
        <v>Supermercado</v>
      </c>
      <c r="C211" s="3" t="s">
        <v>7972</v>
      </c>
      <c r="D211" s="197"/>
      <c r="E211" s="857">
        <v>310.89</v>
      </c>
      <c r="F211" s="135"/>
      <c r="G211" s="3"/>
    </row>
    <row r="212" spans="1:7">
      <c r="A212" s="884">
        <v>43744</v>
      </c>
      <c r="B212" s="138" t="str">
        <f>TiposLancamentos!B19</f>
        <v>Restaurantes</v>
      </c>
      <c r="C212" s="3" t="s">
        <v>14863</v>
      </c>
      <c r="D212" s="197"/>
      <c r="E212" s="857">
        <v>62</v>
      </c>
      <c r="F212" s="135"/>
      <c r="G212" s="3"/>
    </row>
    <row r="213" spans="1:7">
      <c r="A213" s="884">
        <v>43744</v>
      </c>
      <c r="B213" s="138" t="str">
        <f>TiposLancamentos!B19</f>
        <v>Restaurantes</v>
      </c>
      <c r="C213" s="3" t="s">
        <v>14864</v>
      </c>
      <c r="D213" s="197"/>
      <c r="E213" s="857">
        <v>13</v>
      </c>
      <c r="F213" s="135"/>
      <c r="G213" s="3"/>
    </row>
    <row r="214" spans="1:7">
      <c r="A214" s="884">
        <v>43744</v>
      </c>
      <c r="B214" s="138" t="str">
        <f>TiposLancamentos!B19</f>
        <v>Restaurantes</v>
      </c>
      <c r="C214" s="3" t="s">
        <v>14865</v>
      </c>
      <c r="D214" s="197"/>
      <c r="E214" s="857">
        <v>30</v>
      </c>
      <c r="F214" s="135"/>
      <c r="G214" s="3"/>
    </row>
    <row r="215" spans="1:7">
      <c r="A215" s="884">
        <v>43744</v>
      </c>
      <c r="B215" s="138" t="str">
        <f>TiposLancamentos!B19</f>
        <v>Restaurantes</v>
      </c>
      <c r="C215" s="3" t="s">
        <v>14866</v>
      </c>
      <c r="D215" s="197"/>
      <c r="E215" s="857">
        <v>10</v>
      </c>
      <c r="F215" s="135"/>
      <c r="G215" s="3"/>
    </row>
    <row r="216" spans="1:7">
      <c r="A216" s="884">
        <v>43744</v>
      </c>
      <c r="B216" s="138" t="str">
        <f>TiposLancamentos!B9</f>
        <v>Condominio</v>
      </c>
      <c r="C216" s="3" t="s">
        <v>1684</v>
      </c>
      <c r="D216" s="197"/>
      <c r="E216" s="857">
        <v>1280.18</v>
      </c>
      <c r="F216" s="135"/>
      <c r="G216" s="3"/>
    </row>
    <row r="217" spans="1:7">
      <c r="A217" s="884">
        <v>43745</v>
      </c>
      <c r="B217" s="138" t="str">
        <f>TiposLancamentos!B2</f>
        <v>Telefonia</v>
      </c>
      <c r="C217" s="3" t="s">
        <v>6318</v>
      </c>
      <c r="D217" s="197"/>
      <c r="E217" s="857">
        <v>116.41</v>
      </c>
      <c r="F217" s="135"/>
      <c r="G217" s="3"/>
    </row>
    <row r="218" spans="1:7">
      <c r="A218" s="884">
        <v>43746</v>
      </c>
      <c r="B218" s="138" t="str">
        <f>TiposLancamentos!B13</f>
        <v>Moradia</v>
      </c>
      <c r="C218" s="3" t="s">
        <v>14867</v>
      </c>
      <c r="D218" s="197"/>
      <c r="E218" s="857">
        <v>750</v>
      </c>
      <c r="F218" s="135"/>
      <c r="G218" s="3"/>
    </row>
    <row r="219" spans="1:7">
      <c r="A219" s="884">
        <v>43746</v>
      </c>
      <c r="B219" s="138" t="str">
        <f>TiposLancamentos!B24</f>
        <v>Estacionamentos</v>
      </c>
      <c r="C219" s="3" t="s">
        <v>9033</v>
      </c>
      <c r="D219" s="197"/>
      <c r="E219" s="857">
        <v>13</v>
      </c>
      <c r="F219" s="135"/>
      <c r="G219" s="3"/>
    </row>
    <row r="220" spans="1:7">
      <c r="A220" s="884">
        <v>43747</v>
      </c>
      <c r="B220" s="138" t="str">
        <f>TiposLancamentos!B5</f>
        <v>Supermercado</v>
      </c>
      <c r="C220" s="3" t="s">
        <v>6234</v>
      </c>
      <c r="D220" s="197"/>
      <c r="E220" s="857">
        <v>23.42</v>
      </c>
      <c r="F220" s="135"/>
      <c r="G220" s="3"/>
    </row>
    <row r="221" spans="1:7">
      <c r="A221" s="884">
        <v>43748</v>
      </c>
      <c r="B221" s="138" t="str">
        <f>TiposLancamentos!B62</f>
        <v>Papelaria</v>
      </c>
      <c r="C221" s="3" t="s">
        <v>14868</v>
      </c>
      <c r="D221" s="197"/>
      <c r="E221" s="857">
        <v>25.5</v>
      </c>
      <c r="F221" s="135"/>
      <c r="G221" s="3"/>
    </row>
    <row r="222" spans="1:7">
      <c r="A222" s="884">
        <v>43748</v>
      </c>
      <c r="B222" s="138" t="str">
        <f>TiposLancamentos!B19</f>
        <v>Restaurantes</v>
      </c>
      <c r="C222" s="3" t="s">
        <v>6943</v>
      </c>
      <c r="D222" s="197"/>
      <c r="E222" s="857">
        <v>31.6</v>
      </c>
      <c r="F222" s="135"/>
      <c r="G222" s="3"/>
    </row>
    <row r="223" spans="1:7">
      <c r="A223" s="884">
        <v>43748</v>
      </c>
      <c r="B223" s="138" t="str">
        <f>TiposLancamentos!B4</f>
        <v>Taxas Bancarias</v>
      </c>
      <c r="C223" s="3" t="s">
        <v>14869</v>
      </c>
      <c r="D223" s="197"/>
      <c r="E223" s="857">
        <v>12.5</v>
      </c>
      <c r="F223" s="135"/>
      <c r="G223" s="3"/>
    </row>
    <row r="224" spans="1:7">
      <c r="A224" s="884">
        <v>43749</v>
      </c>
      <c r="B224" s="138" t="str">
        <f>TiposLancamentos!B23</f>
        <v>P208 GRIFFE 1.6 AUT BUSINESS</v>
      </c>
      <c r="C224" s="3" t="s">
        <v>14870</v>
      </c>
      <c r="D224" s="197"/>
      <c r="E224" s="857">
        <v>633</v>
      </c>
      <c r="F224" s="135"/>
      <c r="G224" s="3"/>
    </row>
    <row r="225" spans="1:6">
      <c r="A225" s="884">
        <v>43749</v>
      </c>
      <c r="B225" s="138" t="str">
        <f>TiposLancamentos!B23</f>
        <v>P208 GRIFFE 1.6 AUT BUSINESS</v>
      </c>
      <c r="C225" s="3" t="s">
        <v>14871</v>
      </c>
      <c r="D225" s="197"/>
      <c r="E225" s="857">
        <v>50</v>
      </c>
      <c r="F225" s="135"/>
    </row>
    <row r="226" spans="1:6">
      <c r="A226" s="884">
        <v>43749</v>
      </c>
      <c r="B226" s="138" t="str">
        <f>TiposLancamentos!B16</f>
        <v>Cristiane</v>
      </c>
      <c r="C226" s="3" t="s">
        <v>14872</v>
      </c>
      <c r="D226" s="197"/>
      <c r="E226" s="857">
        <v>11.95</v>
      </c>
      <c r="F226" s="135"/>
    </row>
    <row r="227" spans="1:6">
      <c r="A227" s="884">
        <v>43749</v>
      </c>
      <c r="B227" s="138" t="str">
        <f>TiposLancamentos!B19</f>
        <v>Restaurantes</v>
      </c>
      <c r="C227" s="3" t="s">
        <v>7068</v>
      </c>
      <c r="D227" s="197"/>
      <c r="E227" s="857">
        <v>44.66</v>
      </c>
      <c r="F227" s="135"/>
    </row>
    <row r="228" spans="1:6">
      <c r="A228" s="884">
        <v>43762</v>
      </c>
      <c r="B228" s="138" t="str">
        <f>TiposLancamentos!B19</f>
        <v>Restaurantes</v>
      </c>
      <c r="C228" s="3" t="s">
        <v>14873</v>
      </c>
      <c r="D228" s="197"/>
      <c r="E228" s="857">
        <v>54.78</v>
      </c>
      <c r="F228" s="135"/>
    </row>
    <row r="229" spans="1:6">
      <c r="A229" s="884">
        <v>43762</v>
      </c>
      <c r="B229" s="138" t="str">
        <f>TiposLancamentos!B16</f>
        <v>Cristiane</v>
      </c>
      <c r="C229" s="3" t="s">
        <v>6052</v>
      </c>
      <c r="D229" s="197"/>
      <c r="E229" s="857">
        <v>18.989999999999998</v>
      </c>
      <c r="F229" s="135"/>
    </row>
    <row r="230" spans="1:6">
      <c r="A230" s="884">
        <v>43762</v>
      </c>
      <c r="B230" s="138" t="str">
        <f>TiposLancamentos!B19</f>
        <v>Restaurantes</v>
      </c>
      <c r="C230" s="3" t="s">
        <v>14874</v>
      </c>
      <c r="D230" s="197"/>
      <c r="E230" s="857">
        <v>13.5</v>
      </c>
      <c r="F230" s="135"/>
    </row>
    <row r="231" spans="1:6">
      <c r="A231" s="884">
        <v>43762</v>
      </c>
      <c r="B231" s="138" t="str">
        <f>TiposLancamentos!B22</f>
        <v>Combustivel</v>
      </c>
      <c r="C231" s="3" t="s">
        <v>14875</v>
      </c>
      <c r="D231" s="197"/>
      <c r="E231" s="857">
        <v>100</v>
      </c>
      <c r="F231" s="135"/>
    </row>
    <row r="232" spans="1:6">
      <c r="A232" s="884">
        <v>43762</v>
      </c>
      <c r="B232" s="138" t="str">
        <f>TiposLancamentos!B20</f>
        <v>Saques</v>
      </c>
      <c r="C232" s="3" t="s">
        <v>3604</v>
      </c>
      <c r="D232" s="197"/>
      <c r="E232" s="857">
        <v>40</v>
      </c>
      <c r="F232" s="135"/>
    </row>
    <row r="233" spans="1:6">
      <c r="A233" s="884">
        <v>43762</v>
      </c>
      <c r="B233" s="138" t="str">
        <f>TiposLancamentos!B19</f>
        <v>Restaurantes</v>
      </c>
      <c r="C233" s="3" t="s">
        <v>4956</v>
      </c>
      <c r="D233" s="197"/>
      <c r="E233" s="857">
        <v>30.9</v>
      </c>
      <c r="F233" s="135"/>
    </row>
    <row r="234" spans="1:6">
      <c r="A234" s="884">
        <v>43763</v>
      </c>
      <c r="B234" s="138" t="str">
        <f>TiposLancamentos!B19</f>
        <v>Restaurantes</v>
      </c>
      <c r="C234" s="3" t="s">
        <v>14876</v>
      </c>
      <c r="D234" s="197"/>
      <c r="E234" s="857">
        <v>39.54</v>
      </c>
      <c r="F234" s="135"/>
    </row>
    <row r="235" spans="1:6">
      <c r="A235" s="884">
        <v>43763</v>
      </c>
      <c r="B235" s="138" t="str">
        <f>TiposLancamentos!B5</f>
        <v>Supermercado</v>
      </c>
      <c r="C235" s="3" t="s">
        <v>6234</v>
      </c>
      <c r="D235" s="197"/>
      <c r="E235" s="857">
        <v>50.48</v>
      </c>
      <c r="F235" s="135"/>
    </row>
    <row r="236" spans="1:6">
      <c r="A236" s="884">
        <v>43764</v>
      </c>
      <c r="B236" s="138" t="str">
        <f>TiposLancamentos!B19</f>
        <v>Restaurantes</v>
      </c>
      <c r="C236" s="3" t="s">
        <v>14877</v>
      </c>
      <c r="D236" s="197"/>
      <c r="E236" s="857">
        <v>32.46</v>
      </c>
      <c r="F236" s="135"/>
    </row>
    <row r="237" spans="1:6">
      <c r="A237" s="884">
        <v>43765</v>
      </c>
      <c r="B237" s="138" t="str">
        <f>TiposLancamentos!B19</f>
        <v>Restaurantes</v>
      </c>
      <c r="C237" s="3" t="s">
        <v>14878</v>
      </c>
      <c r="D237" s="197"/>
      <c r="E237" s="857">
        <v>42.05</v>
      </c>
      <c r="F237" s="135"/>
    </row>
    <row r="238" spans="1:6">
      <c r="A238" s="884">
        <v>43765</v>
      </c>
      <c r="B238" s="138" t="str">
        <f>TiposLancamentos!B19</f>
        <v>Restaurantes</v>
      </c>
      <c r="C238" s="3" t="s">
        <v>2150</v>
      </c>
      <c r="D238" s="197"/>
      <c r="E238" s="857">
        <v>9</v>
      </c>
      <c r="F238" s="135"/>
    </row>
    <row r="239" spans="1:6">
      <c r="A239" s="884">
        <v>43766</v>
      </c>
      <c r="B239" s="138" t="str">
        <f>TiposLancamentos!B19</f>
        <v>Restaurantes</v>
      </c>
      <c r="C239" s="3" t="s">
        <v>6565</v>
      </c>
      <c r="D239" s="197"/>
      <c r="E239" s="857">
        <v>31.46</v>
      </c>
      <c r="F239" s="135"/>
    </row>
    <row r="240" spans="1:6">
      <c r="A240" s="884">
        <v>43766</v>
      </c>
      <c r="B240" s="138" t="str">
        <f>TiposLancamentos!B19</f>
        <v>Restaurantes</v>
      </c>
      <c r="C240" s="3" t="s">
        <v>7068</v>
      </c>
      <c r="D240" s="197"/>
      <c r="E240" s="857">
        <v>59.4</v>
      </c>
      <c r="F240" s="135"/>
    </row>
    <row r="241" spans="1:6">
      <c r="A241" s="884">
        <v>43767</v>
      </c>
      <c r="B241" s="138" t="str">
        <f>TiposLancamentos!B19</f>
        <v>Restaurantes</v>
      </c>
      <c r="C241" s="3" t="s">
        <v>14879</v>
      </c>
      <c r="D241" s="197"/>
      <c r="E241" s="857">
        <v>6</v>
      </c>
      <c r="F241" s="135"/>
    </row>
    <row r="242" spans="1:6">
      <c r="A242" s="884">
        <v>43767</v>
      </c>
      <c r="B242" s="138" t="str">
        <f>TiposLancamentos!B24</f>
        <v>Estacionamentos</v>
      </c>
      <c r="C242" s="3" t="s">
        <v>14880</v>
      </c>
      <c r="D242" s="197"/>
      <c r="E242" s="857">
        <v>40</v>
      </c>
      <c r="F242" s="135"/>
    </row>
    <row r="243" spans="1:6">
      <c r="A243" s="884">
        <v>43767</v>
      </c>
      <c r="B243" s="138" t="str">
        <f>TiposLancamentos!B98</f>
        <v>Restituições</v>
      </c>
      <c r="C243" s="3" t="s">
        <v>14881</v>
      </c>
      <c r="D243" s="197">
        <v>119311.79</v>
      </c>
      <c r="E243" s="857"/>
      <c r="F243" s="135"/>
    </row>
    <row r="244" spans="1:6">
      <c r="A244" s="884">
        <v>43768</v>
      </c>
      <c r="B244" s="138" t="str">
        <f>TiposLancamentos!B19</f>
        <v>Restaurantes</v>
      </c>
      <c r="C244" s="3" t="s">
        <v>14882</v>
      </c>
      <c r="D244" s="197"/>
      <c r="E244" s="857">
        <v>69.8</v>
      </c>
      <c r="F244" s="135"/>
    </row>
    <row r="245" spans="1:6">
      <c r="A245" s="884">
        <v>43768</v>
      </c>
      <c r="B245" s="138" t="str">
        <f>TiposLancamentos!B19</f>
        <v>Restaurantes</v>
      </c>
      <c r="C245" s="3" t="s">
        <v>14883</v>
      </c>
      <c r="D245" s="197"/>
      <c r="E245" s="857">
        <v>21.9</v>
      </c>
      <c r="F245" s="135"/>
    </row>
    <row r="246" spans="1:6">
      <c r="A246" s="884">
        <v>43768</v>
      </c>
      <c r="B246" s="138" t="str">
        <f>TiposLancamentos!B24</f>
        <v>Estacionamentos</v>
      </c>
      <c r="C246" s="3" t="s">
        <v>3398</v>
      </c>
      <c r="D246" s="197"/>
      <c r="E246" s="857">
        <v>14</v>
      </c>
      <c r="F246" s="135"/>
    </row>
    <row r="247" spans="1:6">
      <c r="A247" s="884">
        <v>43768</v>
      </c>
      <c r="B247" s="138" t="str">
        <f>TiposLancamentos!B19</f>
        <v>Restaurantes</v>
      </c>
      <c r="C247" s="3" t="s">
        <v>14884</v>
      </c>
      <c r="D247" s="197"/>
      <c r="E247" s="857">
        <v>14.5</v>
      </c>
      <c r="F247" s="135"/>
    </row>
    <row r="248" spans="1:6">
      <c r="A248" s="884">
        <v>43768</v>
      </c>
      <c r="B248" s="138" t="str">
        <f>TiposLancamentos!B24</f>
        <v>Estacionamentos</v>
      </c>
      <c r="C248" s="3" t="s">
        <v>14885</v>
      </c>
      <c r="D248" s="197"/>
      <c r="E248" s="857">
        <v>6.7</v>
      </c>
      <c r="F248" s="135"/>
    </row>
    <row r="249" spans="1:6">
      <c r="A249" s="884">
        <v>43769</v>
      </c>
      <c r="B249" s="138" t="str">
        <f>TiposLancamentos!B19</f>
        <v>Restaurantes</v>
      </c>
      <c r="C249" s="3" t="s">
        <v>14886</v>
      </c>
      <c r="D249" s="197"/>
      <c r="E249" s="857">
        <v>163.85</v>
      </c>
      <c r="F249" s="135"/>
    </row>
    <row r="250" spans="1:6">
      <c r="A250" s="884">
        <v>43769</v>
      </c>
      <c r="B250" s="138" t="str">
        <f>TiposLancamentos!B103</f>
        <v>Juros_Corr. Poupança</v>
      </c>
      <c r="C250" s="3" t="s">
        <v>14851</v>
      </c>
      <c r="D250" s="197">
        <v>29.35</v>
      </c>
      <c r="E250" s="857"/>
      <c r="F250" s="135"/>
    </row>
    <row r="251" spans="1:6">
      <c r="A251" s="884">
        <v>43769</v>
      </c>
      <c r="B251" s="138" t="str">
        <f>TiposLancamentos!B72</f>
        <v>Presentes</v>
      </c>
      <c r="C251" s="3" t="s">
        <v>14887</v>
      </c>
      <c r="D251" s="197"/>
      <c r="E251" s="857">
        <v>90</v>
      </c>
      <c r="F251" s="135"/>
    </row>
    <row r="252" spans="1:6">
      <c r="A252" s="884">
        <v>43769</v>
      </c>
      <c r="B252" s="138" t="str">
        <f>TiposLancamentos!B56</f>
        <v>Farmácia</v>
      </c>
      <c r="C252" s="3" t="s">
        <v>14888</v>
      </c>
      <c r="D252" s="197"/>
      <c r="E252" s="857">
        <v>39.97</v>
      </c>
      <c r="F252" s="135"/>
    </row>
    <row r="253" spans="1:6">
      <c r="A253" s="884">
        <v>43769</v>
      </c>
      <c r="B253" s="138" t="str">
        <f>TiposLancamentos!B17</f>
        <v>GATO</v>
      </c>
      <c r="C253" s="3" t="s">
        <v>14889</v>
      </c>
      <c r="D253" s="197"/>
      <c r="E253" s="857">
        <v>68.5</v>
      </c>
      <c r="F253" s="135"/>
    </row>
    <row r="254" spans="1:6" ht="14.25" thickBot="1">
      <c r="A254" s="884">
        <v>43769</v>
      </c>
      <c r="B254" s="138" t="str">
        <f>TiposLancamentos!B5</f>
        <v>Supermercado</v>
      </c>
      <c r="C254" s="3" t="s">
        <v>14890</v>
      </c>
      <c r="D254" s="197"/>
      <c r="E254" s="857">
        <v>70.36</v>
      </c>
      <c r="F254" s="135"/>
    </row>
    <row r="255" spans="1:6">
      <c r="A255" s="967"/>
      <c r="B255" s="968"/>
      <c r="C255" s="1093" t="s">
        <v>14891</v>
      </c>
      <c r="D255" s="970"/>
      <c r="E255" s="971"/>
      <c r="F255" s="135"/>
    </row>
    <row r="256" spans="1:6">
      <c r="A256" s="884">
        <v>43770</v>
      </c>
      <c r="B256" s="138" t="str">
        <f>TiposLancamentos!B22</f>
        <v>Combustivel</v>
      </c>
      <c r="C256" s="3" t="s">
        <v>14892</v>
      </c>
      <c r="D256" s="197"/>
      <c r="E256" s="857">
        <v>204.95</v>
      </c>
      <c r="F256" s="135"/>
    </row>
    <row r="257" spans="1:6">
      <c r="A257" s="884">
        <v>43770</v>
      </c>
      <c r="B257" s="138" t="str">
        <f>TiposLancamentos!B19</f>
        <v>Restaurantes</v>
      </c>
      <c r="C257" s="3" t="s">
        <v>14893</v>
      </c>
      <c r="D257" s="197"/>
      <c r="E257" s="857">
        <v>58.2</v>
      </c>
      <c r="F257" s="135"/>
    </row>
    <row r="258" spans="1:6">
      <c r="A258" s="884">
        <v>43770</v>
      </c>
      <c r="B258" s="138" t="str">
        <f>TiposLancamentos!B19</f>
        <v>Restaurantes</v>
      </c>
      <c r="C258" s="3" t="s">
        <v>14894</v>
      </c>
      <c r="D258" s="197"/>
      <c r="E258" s="857">
        <v>29.12</v>
      </c>
      <c r="F258" s="135"/>
    </row>
    <row r="259" spans="1:6">
      <c r="A259" s="884">
        <v>43770</v>
      </c>
      <c r="B259" s="138" t="str">
        <f>TiposLancamentos!B16</f>
        <v>Cristiane</v>
      </c>
      <c r="C259" s="3" t="s">
        <v>14895</v>
      </c>
      <c r="D259" s="197"/>
      <c r="E259" s="857">
        <v>124.6</v>
      </c>
      <c r="F259" s="135"/>
    </row>
    <row r="260" spans="1:6">
      <c r="A260" s="884">
        <v>43771</v>
      </c>
      <c r="B260" s="138" t="str">
        <f>TiposLancamentos!B19</f>
        <v>Restaurantes</v>
      </c>
      <c r="C260" s="3" t="s">
        <v>14896</v>
      </c>
      <c r="D260" s="197"/>
      <c r="E260" s="857">
        <v>86.25</v>
      </c>
      <c r="F260" s="135"/>
    </row>
    <row r="261" spans="1:6">
      <c r="A261" s="884">
        <v>43773</v>
      </c>
      <c r="B261" s="138" t="str">
        <f>TiposLancamentos!B22</f>
        <v>Combustivel</v>
      </c>
      <c r="C261" s="3" t="s">
        <v>1880</v>
      </c>
      <c r="D261" s="197"/>
      <c r="E261" s="857">
        <v>112.04</v>
      </c>
      <c r="F261" s="135"/>
    </row>
    <row r="262" spans="1:6">
      <c r="A262" s="884">
        <v>43773</v>
      </c>
      <c r="B262" s="138" t="str">
        <f>TiposLancamentos!B19</f>
        <v>Restaurantes</v>
      </c>
      <c r="C262" s="3" t="s">
        <v>14897</v>
      </c>
      <c r="D262" s="197"/>
      <c r="E262" s="857">
        <v>31.5</v>
      </c>
      <c r="F262" s="135"/>
    </row>
    <row r="263" spans="1:6">
      <c r="A263" s="884">
        <v>43773</v>
      </c>
      <c r="B263" s="138" t="str">
        <f>TiposLancamentos!B19</f>
        <v>Restaurantes</v>
      </c>
      <c r="C263" s="3" t="s">
        <v>14898</v>
      </c>
      <c r="D263" s="197"/>
      <c r="E263" s="857">
        <v>5.5</v>
      </c>
      <c r="F263" s="135"/>
    </row>
    <row r="264" spans="1:6">
      <c r="A264" s="884">
        <v>43773</v>
      </c>
      <c r="B264" s="138" t="str">
        <f>TiposLancamentos!B19</f>
        <v>Restaurantes</v>
      </c>
      <c r="C264" s="3" t="s">
        <v>7406</v>
      </c>
      <c r="D264" s="197"/>
      <c r="E264" s="857">
        <v>104.28</v>
      </c>
      <c r="F264" s="135"/>
    </row>
    <row r="265" spans="1:6">
      <c r="A265" s="884">
        <v>43773</v>
      </c>
      <c r="B265" s="138" t="str">
        <f>TiposLancamentos!B20</f>
        <v>Saques</v>
      </c>
      <c r="C265" s="3" t="s">
        <v>4325</v>
      </c>
      <c r="D265" s="197"/>
      <c r="E265" s="857">
        <v>100</v>
      </c>
      <c r="F265" s="135"/>
    </row>
    <row r="266" spans="1:6">
      <c r="A266" s="884">
        <v>43779</v>
      </c>
      <c r="B266" s="138" t="str">
        <f>TiposLancamentos!B4</f>
        <v>Taxas Bancarias</v>
      </c>
      <c r="C266" s="3" t="s">
        <v>14899</v>
      </c>
      <c r="D266" s="197"/>
      <c r="E266" s="857">
        <v>12.5</v>
      </c>
      <c r="F266" s="135"/>
    </row>
    <row r="267" spans="1:6">
      <c r="A267" s="884">
        <v>43787</v>
      </c>
      <c r="B267" s="138" t="str">
        <f>TiposLancamentos!B19</f>
        <v>Restaurantes</v>
      </c>
      <c r="C267" s="3" t="s">
        <v>1962</v>
      </c>
      <c r="D267" s="197"/>
      <c r="E267" s="857">
        <v>24.43</v>
      </c>
      <c r="F267" s="135"/>
    </row>
    <row r="268" spans="1:6" ht="14.25" thickBot="1">
      <c r="A268" s="884">
        <v>43789</v>
      </c>
      <c r="B268" s="138" t="str">
        <f>TiposLancamentos!B103</f>
        <v>Juros_Corr. Poupança</v>
      </c>
      <c r="C268" s="3" t="s">
        <v>14900</v>
      </c>
      <c r="D268" s="197">
        <v>303.54000000000002</v>
      </c>
      <c r="E268" s="857"/>
      <c r="F268" s="135"/>
    </row>
    <row r="269" spans="1:6">
      <c r="A269" s="967"/>
      <c r="B269" s="968"/>
      <c r="C269" s="1093" t="s">
        <v>7330</v>
      </c>
      <c r="D269" s="970"/>
      <c r="E269" s="971"/>
      <c r="F269" s="135"/>
    </row>
    <row r="270" spans="1:6">
      <c r="A270" s="884">
        <v>43809</v>
      </c>
      <c r="B270" s="138" t="str">
        <f>TiposLancamentos!B4</f>
        <v>Taxas Bancarias</v>
      </c>
      <c r="C270" s="3" t="s">
        <v>14901</v>
      </c>
      <c r="D270" s="197"/>
      <c r="E270" s="857">
        <v>12.5</v>
      </c>
      <c r="F270" s="135"/>
    </row>
    <row r="271" spans="1:6" ht="14.25" thickBot="1">
      <c r="A271" s="884"/>
      <c r="B271" s="138"/>
      <c r="C271" s="3"/>
      <c r="D271" s="197"/>
      <c r="E271" s="857"/>
      <c r="F271" s="135"/>
    </row>
    <row r="272" spans="1:6">
      <c r="A272" s="967"/>
      <c r="B272" s="968"/>
      <c r="C272" s="1093" t="s">
        <v>14902</v>
      </c>
      <c r="D272" s="970"/>
      <c r="E272" s="971"/>
      <c r="F272" s="135"/>
    </row>
    <row r="273" spans="1:6">
      <c r="A273" s="884">
        <v>43850</v>
      </c>
      <c r="B273" s="138" t="str">
        <f>TiposLancamentos!B103</f>
        <v>Juros_Corr. Poupança</v>
      </c>
      <c r="C273" s="3" t="s">
        <v>14900</v>
      </c>
      <c r="D273" s="197">
        <v>308.39</v>
      </c>
      <c r="E273" s="857"/>
      <c r="F273" s="135"/>
    </row>
    <row r="274" spans="1:6">
      <c r="A274" s="884">
        <v>43850</v>
      </c>
      <c r="B274" s="138" t="str">
        <f>TiposLancamentos!B96</f>
        <v>Resg.Poup.</v>
      </c>
      <c r="C274" s="3" t="s">
        <v>6510</v>
      </c>
      <c r="D274" s="197">
        <v>1754</v>
      </c>
      <c r="E274" s="857"/>
      <c r="F274" s="135"/>
    </row>
    <row r="275" spans="1:6">
      <c r="A275" s="884">
        <v>43850</v>
      </c>
      <c r="B275" s="138" t="str">
        <f>TiposLancamentos!B96</f>
        <v>Resg.Poup.</v>
      </c>
      <c r="C275" s="3" t="s">
        <v>14903</v>
      </c>
      <c r="D275" s="197">
        <v>30585.97</v>
      </c>
      <c r="E275" s="857"/>
      <c r="F275" s="135"/>
    </row>
    <row r="276" spans="1:6">
      <c r="A276" s="884">
        <v>43857</v>
      </c>
      <c r="B276" s="138" t="str">
        <f>TiposLancamentos!B16</f>
        <v>Cristiane</v>
      </c>
      <c r="C276" s="3" t="s">
        <v>14904</v>
      </c>
      <c r="D276" s="197"/>
      <c r="E276" s="857">
        <v>120</v>
      </c>
      <c r="F276" s="135"/>
    </row>
    <row r="277" spans="1:6">
      <c r="A277" s="884">
        <v>43857</v>
      </c>
      <c r="B277" s="138" t="str">
        <f>TiposLancamentos!B103</f>
        <v>Juros_Corr. Poupança</v>
      </c>
      <c r="C277" s="3" t="s">
        <v>14905</v>
      </c>
      <c r="D277" s="197">
        <v>45.26</v>
      </c>
      <c r="E277" s="857"/>
      <c r="F277" s="135"/>
    </row>
    <row r="278" spans="1:6">
      <c r="A278" s="884">
        <v>43858</v>
      </c>
      <c r="B278" s="138" t="str">
        <f>TiposLancamentos!B103</f>
        <v>Juros_Corr. Poupança</v>
      </c>
      <c r="C278" s="3" t="s">
        <v>14906</v>
      </c>
      <c r="D278" s="197">
        <v>16.43</v>
      </c>
      <c r="E278" s="857"/>
      <c r="F278" s="135"/>
    </row>
    <row r="279" spans="1:6">
      <c r="A279" s="884">
        <v>43859</v>
      </c>
      <c r="B279" s="138" t="str">
        <f>TiposLancamentos!B103</f>
        <v>Juros_Corr. Poupança</v>
      </c>
      <c r="C279" s="3" t="s">
        <v>14907</v>
      </c>
      <c r="D279" s="197">
        <v>11.33</v>
      </c>
      <c r="E279" s="857"/>
      <c r="F279" s="135"/>
    </row>
    <row r="280" spans="1:6">
      <c r="A280" s="884">
        <v>43859</v>
      </c>
      <c r="B280" s="138" t="str">
        <f>TiposLancamentos!B105</f>
        <v>Transf. Bco</v>
      </c>
      <c r="C280" s="3" t="s">
        <v>14908</v>
      </c>
      <c r="D280" s="197"/>
      <c r="E280" s="857">
        <v>163688.21</v>
      </c>
      <c r="F280" s="135"/>
    </row>
    <row r="281" spans="1:6">
      <c r="A281" s="872">
        <v>43856</v>
      </c>
      <c r="B281" s="1312"/>
      <c r="C281" s="163" t="s">
        <v>14909</v>
      </c>
      <c r="D281" s="163"/>
      <c r="E281" s="873"/>
      <c r="F281" s="135"/>
    </row>
    <row r="282" spans="1:6">
      <c r="A282" s="884"/>
      <c r="B282" s="138"/>
      <c r="C282" s="3"/>
      <c r="D282" s="197"/>
      <c r="E282" s="857"/>
      <c r="F282" s="135"/>
    </row>
    <row r="283" spans="1:6">
      <c r="A283" s="884"/>
      <c r="B283" s="138"/>
      <c r="C283" s="3"/>
      <c r="D283" s="197"/>
      <c r="E283" s="857"/>
      <c r="F283" s="156"/>
    </row>
    <row r="284" spans="1:6" ht="14.25" thickBot="1">
      <c r="A284" s="885"/>
      <c r="B284" s="886"/>
      <c r="C284" s="887"/>
      <c r="D284" s="888"/>
      <c r="E284" s="870"/>
      <c r="F284" s="156"/>
    </row>
    <row r="285" spans="1:6">
      <c r="A285" s="46"/>
      <c r="B285" s="116"/>
      <c r="C285" s="117" t="s">
        <v>12</v>
      </c>
      <c r="D285" s="1630">
        <f>SUM(D2:D284)</f>
        <v>424467.48</v>
      </c>
      <c r="E285" s="1631">
        <f>SUM(E2:E284)</f>
        <v>424467.4800000001</v>
      </c>
      <c r="F285" s="1309"/>
    </row>
    <row r="286" spans="1:6">
      <c r="A286" s="119"/>
      <c r="B286" s="120"/>
      <c r="C286" s="184" t="s">
        <v>13</v>
      </c>
      <c r="D286" s="200"/>
      <c r="E286" s="35">
        <f>D285-E285</f>
        <v>0</v>
      </c>
      <c r="F286" s="156"/>
    </row>
    <row r="287" spans="1:6">
      <c r="A287" s="116"/>
      <c r="B287" s="116"/>
      <c r="C287" s="52" t="s">
        <v>9740</v>
      </c>
      <c r="D287" s="171"/>
      <c r="E287" s="35"/>
      <c r="F287" s="877"/>
    </row>
    <row r="288" spans="1:6">
      <c r="A288" s="116"/>
      <c r="B288" s="116"/>
      <c r="C288" s="52" t="s">
        <v>9741</v>
      </c>
      <c r="D288" s="171"/>
      <c r="E288" s="35">
        <f>IF(E287&lt;&gt;0,E286-E287,0)</f>
        <v>0</v>
      </c>
      <c r="F288" s="1309"/>
    </row>
    <row r="289" spans="1:6">
      <c r="A289" s="116"/>
      <c r="B289" s="116"/>
      <c r="C289" s="52" t="s">
        <v>14</v>
      </c>
      <c r="D289" s="171"/>
      <c r="E289" s="35">
        <v>5100</v>
      </c>
      <c r="F289" s="3"/>
    </row>
    <row r="290" spans="1:6">
      <c r="A290" s="116"/>
      <c r="B290" s="116"/>
      <c r="C290" s="52" t="s">
        <v>9742</v>
      </c>
      <c r="D290" s="171"/>
      <c r="E290" s="35">
        <f>E289+E286</f>
        <v>5100</v>
      </c>
      <c r="F290" s="3"/>
    </row>
    <row r="291" spans="1:6">
      <c r="A291" s="116"/>
      <c r="B291" s="116"/>
      <c r="C291" s="52"/>
      <c r="D291" s="51"/>
      <c r="E291" s="64"/>
      <c r="F291" s="3"/>
    </row>
    <row r="292" spans="1:6">
      <c r="A292" s="3"/>
      <c r="B292" s="3" t="s">
        <v>9743</v>
      </c>
      <c r="C292" s="3"/>
      <c r="D292" s="66" t="s">
        <v>9744</v>
      </c>
      <c r="E292" s="1052" t="s">
        <v>1008</v>
      </c>
      <c r="F292" s="3"/>
    </row>
    <row r="293" spans="1:6">
      <c r="A293" s="3"/>
      <c r="B293" s="201" t="s">
        <v>9745</v>
      </c>
      <c r="C293" s="3"/>
      <c r="D293" s="66"/>
      <c r="E293" s="66"/>
      <c r="F293" s="3"/>
    </row>
    <row r="294" spans="1:6">
      <c r="A294" s="3"/>
      <c r="B294" s="3"/>
      <c r="C294" s="3"/>
      <c r="D294" s="25" t="s">
        <v>14585</v>
      </c>
      <c r="E294" s="176">
        <v>9.4299999999999995E-2</v>
      </c>
      <c r="F294" s="3"/>
    </row>
    <row r="295" spans="1:6">
      <c r="A295" s="3"/>
      <c r="B295" s="3"/>
      <c r="C295" s="3"/>
      <c r="D295" s="25" t="s">
        <v>9747</v>
      </c>
      <c r="E295" s="176"/>
      <c r="F295" s="3"/>
    </row>
    <row r="296" spans="1:6">
      <c r="A296" s="3"/>
      <c r="B296" s="3"/>
      <c r="C296" s="3"/>
      <c r="D296" s="25" t="s">
        <v>4858</v>
      </c>
      <c r="E296" s="176">
        <v>7.3800000000000004E-2</v>
      </c>
      <c r="F296" s="3"/>
    </row>
    <row r="297" spans="1:6">
      <c r="A297" s="3"/>
      <c r="B297" s="3"/>
      <c r="C297" s="3"/>
      <c r="D297" s="25" t="s">
        <v>5065</v>
      </c>
      <c r="E297" s="176">
        <v>0</v>
      </c>
      <c r="F297" s="3"/>
    </row>
    <row r="298" spans="1:6">
      <c r="A298" s="3"/>
      <c r="B298" s="3"/>
      <c r="C298" s="3"/>
      <c r="D298" s="25"/>
      <c r="E298" s="34"/>
      <c r="F298" s="3"/>
    </row>
    <row r="299" spans="1:6">
      <c r="A299" s="3"/>
      <c r="B299" s="3"/>
      <c r="C299" s="3"/>
      <c r="D299" s="25" t="s">
        <v>9748</v>
      </c>
      <c r="E299" s="34">
        <f>(IF(E286&lt;0,(E286*-1)*E294,0))</f>
        <v>0</v>
      </c>
      <c r="F299" s="3"/>
    </row>
    <row r="300" spans="1:6">
      <c r="A300" s="3"/>
      <c r="B300" s="3"/>
      <c r="C300" s="3"/>
      <c r="D300" s="25" t="s">
        <v>9749</v>
      </c>
      <c r="E300" s="34">
        <f>IF(E286&lt;0,(E286*-1)*E296,0)</f>
        <v>0</v>
      </c>
      <c r="F300" s="3"/>
    </row>
    <row r="301" spans="1:6">
      <c r="A301" s="3"/>
      <c r="B301" s="3"/>
      <c r="C301" s="3"/>
      <c r="D301" s="25" t="s">
        <v>9750</v>
      </c>
      <c r="E301" s="34">
        <f>IF(E289&lt;0,(E289*-1)*E297,0)</f>
        <v>0</v>
      </c>
      <c r="F301" s="3"/>
    </row>
    <row r="302" spans="1:6">
      <c r="A302" s="3"/>
      <c r="B302" s="3"/>
      <c r="C302" s="3"/>
      <c r="D302" s="177" t="s">
        <v>9751</v>
      </c>
      <c r="E302" s="178">
        <f>IF(E289&lt;0,(E289*-1)+E299+E300,0)</f>
        <v>0</v>
      </c>
      <c r="F302" s="3"/>
    </row>
    <row r="308" spans="4:6">
      <c r="D308" s="3"/>
      <c r="E308" s="3"/>
      <c r="F308" s="771" t="s">
        <v>10275</v>
      </c>
    </row>
  </sheetData>
  <conditionalFormatting sqref="E2 E20:E69 E77:E136 E282:E283">
    <cfRule type="cellIs" dxfId="123" priority="59" stopIfTrue="1" operator="lessThan">
      <formula>0</formula>
    </cfRule>
  </conditionalFormatting>
  <conditionalFormatting sqref="E4:E16">
    <cfRule type="cellIs" dxfId="122" priority="53" stopIfTrue="1" operator="lessThan">
      <formula>0</formula>
    </cfRule>
  </conditionalFormatting>
  <conditionalFormatting sqref="E73">
    <cfRule type="cellIs" dxfId="121" priority="33" stopIfTrue="1" operator="lessThan">
      <formula>0</formula>
    </cfRule>
  </conditionalFormatting>
  <conditionalFormatting sqref="E140:E155">
    <cfRule type="cellIs" dxfId="120" priority="133" stopIfTrue="1" operator="lessThan">
      <formula>0</formula>
    </cfRule>
  </conditionalFormatting>
  <conditionalFormatting sqref="E159:E280">
    <cfRule type="cellIs" dxfId="119" priority="1" stopIfTrue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Plan57"/>
  <dimension ref="A1:F483"/>
  <sheetViews>
    <sheetView workbookViewId="0">
      <pane xSplit="5" ySplit="1" topLeftCell="F455" activePane="bottomRight" state="frozen"/>
      <selection pane="bottomRight" activeCell="F1" sqref="F1"/>
      <selection pane="bottomLeft" activeCell="A467" sqref="A467"/>
      <selection pane="topRight" activeCell="F1" sqref="F1"/>
    </sheetView>
  </sheetViews>
  <sheetFormatPr defaultColWidth="9.140625" defaultRowHeight="13.5"/>
  <cols>
    <col min="1" max="1" width="18.42578125" style="3" customWidth="1"/>
    <col min="2" max="2" width="22.140625" style="3" customWidth="1"/>
    <col min="3" max="3" width="51.42578125" style="3" customWidth="1"/>
    <col min="4" max="4" width="17.85546875" style="3" customWidth="1"/>
    <col min="5" max="5" width="18.28515625" style="3" customWidth="1"/>
    <col min="6" max="6" width="13.7109375" style="3" bestFit="1" customWidth="1"/>
    <col min="7" max="16384" width="9.140625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75">
        <v>38259</v>
      </c>
      <c r="B2" s="86" t="str">
        <f>TiposLancamentos!B78</f>
        <v>Diferenças</v>
      </c>
      <c r="C2" s="43" t="s">
        <v>2488</v>
      </c>
      <c r="D2" s="63"/>
      <c r="E2" s="98">
        <v>99.42</v>
      </c>
    </row>
    <row r="3" spans="1:6">
      <c r="A3" s="188"/>
      <c r="B3" s="73"/>
      <c r="C3" s="43" t="s">
        <v>14910</v>
      </c>
      <c r="D3" s="93">
        <v>0</v>
      </c>
      <c r="E3" s="44"/>
    </row>
    <row r="4" spans="1:6">
      <c r="A4" s="79">
        <v>38260</v>
      </c>
      <c r="B4" s="95" t="str">
        <f>TiposLancamentos!B95</f>
        <v>Salarios</v>
      </c>
      <c r="C4" s="96" t="s">
        <v>2489</v>
      </c>
      <c r="D4" s="85">
        <v>1716.96</v>
      </c>
      <c r="E4" s="58"/>
    </row>
    <row r="5" spans="1:6">
      <c r="A5" s="83"/>
      <c r="B5" s="91"/>
      <c r="C5" s="92" t="s">
        <v>2660</v>
      </c>
      <c r="D5" s="93"/>
      <c r="E5" s="94"/>
    </row>
    <row r="6" spans="1:6">
      <c r="A6" s="75">
        <v>38264</v>
      </c>
      <c r="B6" s="86" t="str">
        <f>TiposLancamentos!B105</f>
        <v>Transf. Bco</v>
      </c>
      <c r="C6" s="3" t="s">
        <v>14911</v>
      </c>
      <c r="D6" s="63"/>
      <c r="E6" s="98">
        <v>700</v>
      </c>
    </row>
    <row r="7" spans="1:6">
      <c r="A7" s="75">
        <v>38270</v>
      </c>
      <c r="B7" s="86" t="str">
        <f>TiposLancamentos!B15</f>
        <v>Cartões de Crédito</v>
      </c>
      <c r="C7" s="3" t="s">
        <v>14912</v>
      </c>
      <c r="D7" s="63"/>
      <c r="E7" s="98">
        <v>27.03</v>
      </c>
    </row>
    <row r="8" spans="1:6">
      <c r="A8" s="75">
        <v>38271</v>
      </c>
      <c r="B8" s="86" t="str">
        <f>TiposLancamentos!B4</f>
        <v>Taxas Bancarias</v>
      </c>
      <c r="C8" s="3" t="s">
        <v>5065</v>
      </c>
      <c r="D8" s="63"/>
      <c r="E8" s="98">
        <v>0.95</v>
      </c>
    </row>
    <row r="9" spans="1:6">
      <c r="A9" s="75">
        <v>38271</v>
      </c>
      <c r="B9" s="86" t="str">
        <f>TiposLancamentos!B20</f>
        <v>Saques</v>
      </c>
      <c r="C9" s="3" t="s">
        <v>14913</v>
      </c>
      <c r="D9" s="63"/>
      <c r="E9" s="98">
        <v>250</v>
      </c>
    </row>
    <row r="10" spans="1:6">
      <c r="A10" s="75">
        <v>38274</v>
      </c>
      <c r="B10" s="86" t="str">
        <f>TiposLancamentos!B59</f>
        <v>Documentos</v>
      </c>
      <c r="C10" s="3" t="s">
        <v>14914</v>
      </c>
      <c r="D10" s="63"/>
      <c r="E10" s="49">
        <v>347.93</v>
      </c>
    </row>
    <row r="11" spans="1:6">
      <c r="A11" s="75">
        <v>38275</v>
      </c>
      <c r="B11" s="86" t="str">
        <f>B4</f>
        <v>Salarios</v>
      </c>
      <c r="C11" s="3" t="str">
        <f>C4</f>
        <v>Rec. Salario</v>
      </c>
      <c r="D11" s="63">
        <v>1360</v>
      </c>
      <c r="E11" s="98"/>
    </row>
    <row r="12" spans="1:6">
      <c r="A12" s="75">
        <v>38275</v>
      </c>
      <c r="B12" s="86" t="str">
        <f>TiposLancamentos!B2</f>
        <v>Telefonia</v>
      </c>
      <c r="C12" s="3" t="s">
        <v>2540</v>
      </c>
      <c r="D12" s="63"/>
      <c r="E12" s="98">
        <v>45.61</v>
      </c>
    </row>
    <row r="13" spans="1:6">
      <c r="A13" s="75">
        <v>38275</v>
      </c>
      <c r="B13" s="86" t="str">
        <f>TiposLancamentos!B15</f>
        <v>Cartões de Crédito</v>
      </c>
      <c r="C13" s="3" t="s">
        <v>5262</v>
      </c>
      <c r="D13" s="63"/>
      <c r="E13" s="98">
        <v>258.95</v>
      </c>
    </row>
    <row r="14" spans="1:6">
      <c r="A14" s="75">
        <v>38275</v>
      </c>
      <c r="B14" s="86" t="str">
        <f>B8</f>
        <v>Taxas Bancarias</v>
      </c>
      <c r="C14" s="3" t="s">
        <v>5065</v>
      </c>
      <c r="D14" s="63"/>
      <c r="E14" s="98">
        <v>1.1499999999999999</v>
      </c>
    </row>
    <row r="15" spans="1:6">
      <c r="A15" s="75">
        <v>38276</v>
      </c>
      <c r="B15" s="86" t="str">
        <f>TiposLancamentos!B64</f>
        <v>Viagens</v>
      </c>
      <c r="C15" s="3" t="s">
        <v>14915</v>
      </c>
      <c r="D15" s="63"/>
      <c r="E15" s="98">
        <v>124.21</v>
      </c>
    </row>
    <row r="16" spans="1:6">
      <c r="A16" s="75">
        <v>38276</v>
      </c>
      <c r="B16" s="86" t="str">
        <f>TiposLancamentos!B80</f>
        <v>Mudanças</v>
      </c>
      <c r="C16" s="3" t="s">
        <v>14916</v>
      </c>
      <c r="D16" s="63"/>
      <c r="E16" s="98">
        <v>766</v>
      </c>
    </row>
    <row r="17" spans="1:5">
      <c r="A17" s="75">
        <v>38276</v>
      </c>
      <c r="B17" s="86" t="str">
        <f>TiposLancamentos!B19</f>
        <v>Restaurantes</v>
      </c>
      <c r="C17" s="3" t="s">
        <v>14917</v>
      </c>
      <c r="D17" s="63"/>
      <c r="E17" s="98">
        <v>19.100000000000001</v>
      </c>
    </row>
    <row r="18" spans="1:5">
      <c r="A18" s="75">
        <v>38276</v>
      </c>
      <c r="B18" s="86" t="str">
        <f>TiposLancamentos!B56</f>
        <v>Farmácia</v>
      </c>
      <c r="C18" s="3" t="s">
        <v>14918</v>
      </c>
      <c r="D18" s="63"/>
      <c r="E18" s="98">
        <v>4.87</v>
      </c>
    </row>
    <row r="19" spans="1:5">
      <c r="A19" s="75">
        <v>38278</v>
      </c>
      <c r="B19" s="86" t="str">
        <f>TiposLancamentos!B20</f>
        <v>Saques</v>
      </c>
      <c r="C19" s="3" t="s">
        <v>14919</v>
      </c>
      <c r="D19" s="63"/>
      <c r="E19" s="98">
        <v>10</v>
      </c>
    </row>
    <row r="20" spans="1:5">
      <c r="A20" s="75">
        <v>38278</v>
      </c>
      <c r="B20" s="86" t="str">
        <f>B14</f>
        <v>Taxas Bancarias</v>
      </c>
      <c r="C20" s="3" t="s">
        <v>5065</v>
      </c>
      <c r="D20" s="63"/>
      <c r="E20" s="98">
        <v>1.43</v>
      </c>
    </row>
    <row r="21" spans="1:5">
      <c r="A21" s="75">
        <v>38279</v>
      </c>
      <c r="B21" s="86" t="str">
        <f>B20</f>
        <v>Taxas Bancarias</v>
      </c>
      <c r="C21" s="3" t="str">
        <f>C20</f>
        <v>CPMF</v>
      </c>
      <c r="D21" s="63"/>
      <c r="E21" s="98">
        <v>0.54</v>
      </c>
    </row>
    <row r="22" spans="1:5">
      <c r="A22" s="75">
        <v>38279</v>
      </c>
      <c r="B22" s="86" t="str">
        <f>B19</f>
        <v>Saques</v>
      </c>
      <c r="C22" s="3" t="s">
        <v>2687</v>
      </c>
      <c r="D22" s="63"/>
      <c r="E22" s="98">
        <v>20</v>
      </c>
    </row>
    <row r="23" spans="1:5">
      <c r="A23" s="75">
        <v>38280</v>
      </c>
      <c r="B23" s="86" t="str">
        <f>TiposLancamentos!B6</f>
        <v>Energia Eletrica</v>
      </c>
      <c r="C23" s="3" t="s">
        <v>14920</v>
      </c>
      <c r="D23" s="63"/>
      <c r="E23" s="98">
        <v>4.08</v>
      </c>
    </row>
    <row r="24" spans="1:5">
      <c r="A24" s="75">
        <v>38280</v>
      </c>
      <c r="B24" s="86" t="str">
        <f>B22</f>
        <v>Saques</v>
      </c>
      <c r="C24" s="3" t="s">
        <v>14921</v>
      </c>
      <c r="D24" s="63"/>
      <c r="E24" s="98">
        <v>140</v>
      </c>
    </row>
    <row r="25" spans="1:5">
      <c r="A25" s="75">
        <v>38280</v>
      </c>
      <c r="B25" s="86" t="str">
        <f>B14</f>
        <v>Taxas Bancarias</v>
      </c>
      <c r="C25" s="3" t="str">
        <f>C14</f>
        <v>CPMF</v>
      </c>
      <c r="D25" s="63"/>
      <c r="E25" s="98">
        <v>3.45</v>
      </c>
    </row>
    <row r="26" spans="1:5">
      <c r="A26" s="75">
        <v>38281</v>
      </c>
      <c r="B26" s="86" t="str">
        <f>TiposLancamentos!B74</f>
        <v>Noite</v>
      </c>
      <c r="C26" s="3" t="s">
        <v>14922</v>
      </c>
      <c r="D26" s="63"/>
      <c r="E26" s="98">
        <v>70</v>
      </c>
    </row>
    <row r="27" spans="1:5">
      <c r="A27" s="75">
        <v>38283</v>
      </c>
      <c r="B27" s="86" t="str">
        <f>B24</f>
        <v>Saques</v>
      </c>
      <c r="C27" s="3" t="s">
        <v>2618</v>
      </c>
      <c r="D27" s="63"/>
      <c r="E27" s="98">
        <v>30</v>
      </c>
    </row>
    <row r="28" spans="1:5">
      <c r="A28" s="75">
        <v>38284</v>
      </c>
      <c r="B28" s="86" t="str">
        <f>B27</f>
        <v>Saques</v>
      </c>
      <c r="C28" s="3" t="s">
        <v>2618</v>
      </c>
      <c r="D28" s="63"/>
      <c r="E28" s="98">
        <v>20</v>
      </c>
    </row>
    <row r="29" spans="1:5">
      <c r="A29" s="75">
        <v>38285</v>
      </c>
      <c r="B29" s="86" t="str">
        <f>B25</f>
        <v>Taxas Bancarias</v>
      </c>
      <c r="C29" s="3" t="str">
        <f>C21</f>
        <v>CPMF</v>
      </c>
      <c r="D29" s="63"/>
      <c r="E29" s="98">
        <v>0.44</v>
      </c>
    </row>
    <row r="30" spans="1:5">
      <c r="A30" s="75">
        <v>38285</v>
      </c>
      <c r="B30" s="86" t="str">
        <f>TiposLancamentos!B82</f>
        <v>CG Titan 125</v>
      </c>
      <c r="C30" s="3" t="s">
        <v>14923</v>
      </c>
      <c r="D30" s="63"/>
      <c r="E30" s="98">
        <v>12</v>
      </c>
    </row>
    <row r="31" spans="1:5">
      <c r="A31" s="75">
        <v>38285</v>
      </c>
      <c r="B31" s="86" t="str">
        <f>B28</f>
        <v>Saques</v>
      </c>
      <c r="C31" s="3" t="s">
        <v>14924</v>
      </c>
      <c r="D31" s="63"/>
      <c r="E31" s="98">
        <v>20</v>
      </c>
    </row>
    <row r="32" spans="1:5">
      <c r="A32" s="75">
        <v>38286</v>
      </c>
      <c r="B32" s="86" t="str">
        <f>B29</f>
        <v>Taxas Bancarias</v>
      </c>
      <c r="C32" s="3" t="str">
        <f>C29</f>
        <v>CPMF</v>
      </c>
      <c r="D32" s="63"/>
      <c r="E32" s="98">
        <v>0.11</v>
      </c>
    </row>
    <row r="33" spans="1:5">
      <c r="A33" s="75">
        <v>38287</v>
      </c>
      <c r="B33" s="86" t="str">
        <f>B25</f>
        <v>Taxas Bancarias</v>
      </c>
      <c r="C33" s="3" t="str">
        <f>C29</f>
        <v>CPMF</v>
      </c>
      <c r="D33" s="63"/>
      <c r="E33" s="98">
        <f>0.03</f>
        <v>0.03</v>
      </c>
    </row>
    <row r="34" spans="1:5">
      <c r="A34" s="75">
        <v>38287</v>
      </c>
      <c r="B34" s="86" t="str">
        <f>B31</f>
        <v>Saques</v>
      </c>
      <c r="C34" s="3" t="s">
        <v>2618</v>
      </c>
      <c r="D34" s="63"/>
      <c r="E34" s="98">
        <v>10</v>
      </c>
    </row>
    <row r="35" spans="1:5">
      <c r="A35" s="75">
        <v>38287</v>
      </c>
      <c r="B35" s="86" t="str">
        <f>TiposLancamentos!B5</f>
        <v>Supermercado</v>
      </c>
      <c r="C35" s="3" t="s">
        <v>2533</v>
      </c>
      <c r="D35" s="63"/>
      <c r="E35" s="98">
        <v>6.58</v>
      </c>
    </row>
    <row r="36" spans="1:5">
      <c r="A36" s="75">
        <v>38288</v>
      </c>
      <c r="B36" s="86" t="str">
        <f>B34</f>
        <v>Saques</v>
      </c>
      <c r="C36" s="3" t="str">
        <f>C34</f>
        <v>Almoço</v>
      </c>
      <c r="D36" s="63"/>
      <c r="E36" s="98">
        <v>10</v>
      </c>
    </row>
    <row r="37" spans="1:5">
      <c r="A37" s="75">
        <v>38288</v>
      </c>
      <c r="B37" s="86" t="str">
        <f>B33</f>
        <v>Taxas Bancarias</v>
      </c>
      <c r="C37" s="3" t="str">
        <f>C32</f>
        <v>CPMF</v>
      </c>
      <c r="D37" s="63"/>
      <c r="E37" s="98">
        <v>0.05</v>
      </c>
    </row>
    <row r="38" spans="1:5">
      <c r="A38" s="75">
        <v>38289</v>
      </c>
      <c r="B38" s="86" t="str">
        <f>B36</f>
        <v>Saques</v>
      </c>
      <c r="C38" s="3" t="str">
        <f>C36</f>
        <v>Almoço</v>
      </c>
      <c r="D38" s="63"/>
      <c r="E38" s="98">
        <v>10</v>
      </c>
    </row>
    <row r="39" spans="1:5">
      <c r="A39" s="75">
        <v>38289</v>
      </c>
      <c r="B39" s="86" t="str">
        <f>B33</f>
        <v>Taxas Bancarias</v>
      </c>
      <c r="C39" s="3" t="s">
        <v>5065</v>
      </c>
      <c r="D39" s="63"/>
      <c r="E39" s="98">
        <v>0.03</v>
      </c>
    </row>
    <row r="40" spans="1:5">
      <c r="A40" s="75">
        <v>38289</v>
      </c>
      <c r="B40" s="86" t="str">
        <f>TiposLancamentos!B95</f>
        <v>Salarios</v>
      </c>
      <c r="C40" s="3" t="s">
        <v>2489</v>
      </c>
      <c r="D40" s="63">
        <v>1355.51</v>
      </c>
      <c r="E40" s="98"/>
    </row>
    <row r="41" spans="1:5">
      <c r="A41" s="75">
        <v>38290</v>
      </c>
      <c r="B41" s="86" t="str">
        <f>TiposLancamentos!B19</f>
        <v>Restaurantes</v>
      </c>
      <c r="C41" s="3" t="s">
        <v>14925</v>
      </c>
      <c r="D41" s="63"/>
      <c r="E41" s="98">
        <v>13.35</v>
      </c>
    </row>
    <row r="42" spans="1:5">
      <c r="A42" s="75">
        <v>38290</v>
      </c>
      <c r="B42" s="86" t="str">
        <f>TiposLancamentos!B74</f>
        <v>Noite</v>
      </c>
      <c r="C42" s="3" t="s">
        <v>14926</v>
      </c>
      <c r="D42" s="63"/>
      <c r="E42" s="98">
        <v>46.8</v>
      </c>
    </row>
    <row r="43" spans="1:5">
      <c r="A43" s="75">
        <v>38291</v>
      </c>
      <c r="B43" s="86" t="str">
        <f>TiposLancamentos!B71</f>
        <v>Itens Pessoais</v>
      </c>
      <c r="C43" s="3" t="s">
        <v>14927</v>
      </c>
      <c r="D43" s="63"/>
      <c r="E43" s="98">
        <v>80</v>
      </c>
    </row>
    <row r="44" spans="1:5">
      <c r="A44" s="75">
        <v>38291</v>
      </c>
      <c r="B44" s="86" t="str">
        <f>TiposLancamentos!B70</f>
        <v>Vestuário</v>
      </c>
      <c r="C44" s="3" t="s">
        <v>14928</v>
      </c>
      <c r="D44" s="63"/>
      <c r="E44" s="98">
        <v>60</v>
      </c>
    </row>
    <row r="45" spans="1:5">
      <c r="A45" s="75">
        <v>38291</v>
      </c>
      <c r="B45" s="86" t="str">
        <f>TiposLancamentos!B5</f>
        <v>Supermercado</v>
      </c>
      <c r="C45" s="3" t="s">
        <v>2567</v>
      </c>
      <c r="D45" s="63"/>
      <c r="E45" s="98">
        <v>29.62</v>
      </c>
    </row>
    <row r="46" spans="1:5">
      <c r="A46" s="75">
        <v>38291</v>
      </c>
      <c r="B46" s="86" t="str">
        <f>TiposLancamentos!B13</f>
        <v>Moradia</v>
      </c>
      <c r="C46" s="3" t="s">
        <v>14929</v>
      </c>
      <c r="D46" s="63"/>
      <c r="E46" s="98">
        <v>70</v>
      </c>
    </row>
    <row r="47" spans="1:5">
      <c r="A47" s="75">
        <v>38291</v>
      </c>
      <c r="B47" s="86" t="str">
        <f>B38</f>
        <v>Saques</v>
      </c>
      <c r="C47" s="3" t="s">
        <v>2802</v>
      </c>
      <c r="D47" s="63"/>
      <c r="E47" s="98">
        <v>20</v>
      </c>
    </row>
    <row r="48" spans="1:5">
      <c r="A48" s="75">
        <v>38291</v>
      </c>
      <c r="B48" s="86" t="str">
        <f>TiposLancamentos!B19</f>
        <v>Restaurantes</v>
      </c>
      <c r="C48" s="3" t="s">
        <v>4824</v>
      </c>
      <c r="D48" s="63"/>
      <c r="E48" s="98">
        <v>6.4</v>
      </c>
    </row>
    <row r="49" spans="1:5">
      <c r="A49" s="83"/>
      <c r="B49" s="91"/>
      <c r="C49" s="92" t="s">
        <v>2704</v>
      </c>
      <c r="D49" s="93"/>
      <c r="E49" s="94"/>
    </row>
    <row r="50" spans="1:5">
      <c r="A50" s="75">
        <v>38292</v>
      </c>
      <c r="B50" s="86" t="str">
        <f>TiposLancamentos!B21</f>
        <v>Transf. Poupanca</v>
      </c>
      <c r="C50" s="3" t="s">
        <v>14930</v>
      </c>
      <c r="D50" s="63"/>
      <c r="E50" s="98">
        <v>200</v>
      </c>
    </row>
    <row r="51" spans="1:5">
      <c r="A51" s="75">
        <v>38292</v>
      </c>
      <c r="B51" s="86" t="str">
        <f>TiposLancamentos!B9</f>
        <v>Condominio</v>
      </c>
      <c r="C51" s="3" t="s">
        <v>14931</v>
      </c>
      <c r="D51" s="63"/>
      <c r="E51" s="98">
        <v>225</v>
      </c>
    </row>
    <row r="52" spans="1:5">
      <c r="A52" s="75">
        <v>38292</v>
      </c>
      <c r="B52" s="86" t="str">
        <f>TiposLancamentos!B82</f>
        <v>CG Titan 125</v>
      </c>
      <c r="C52" s="3" t="s">
        <v>12944</v>
      </c>
      <c r="D52" s="63"/>
      <c r="E52" s="98">
        <v>133.1</v>
      </c>
    </row>
    <row r="53" spans="1:5">
      <c r="A53" s="75">
        <v>38292</v>
      </c>
      <c r="B53" s="86" t="str">
        <f>TiposLancamentos!B13</f>
        <v>Moradia</v>
      </c>
      <c r="C53" s="3" t="s">
        <v>14932</v>
      </c>
      <c r="D53" s="63"/>
      <c r="E53" s="98">
        <v>65</v>
      </c>
    </row>
    <row r="54" spans="1:5">
      <c r="A54" s="75">
        <v>38292</v>
      </c>
      <c r="B54" s="86" t="str">
        <f>TiposLancamentos!B5</f>
        <v>Supermercado</v>
      </c>
      <c r="C54" s="3" t="s">
        <v>14933</v>
      </c>
      <c r="D54" s="63"/>
      <c r="E54" s="98">
        <v>7.95</v>
      </c>
    </row>
    <row r="55" spans="1:5">
      <c r="A55" s="75">
        <v>38292</v>
      </c>
      <c r="B55" s="86" t="str">
        <f>B39</f>
        <v>Taxas Bancarias</v>
      </c>
      <c r="C55" s="3" t="s">
        <v>5065</v>
      </c>
      <c r="D55" s="63"/>
      <c r="E55" s="98">
        <v>2.5099999999999998</v>
      </c>
    </row>
    <row r="56" spans="1:5">
      <c r="A56" s="75">
        <v>38293</v>
      </c>
      <c r="B56" s="86" t="str">
        <f>TiposLancamentos!B19</f>
        <v>Restaurantes</v>
      </c>
      <c r="C56" s="3" t="s">
        <v>14934</v>
      </c>
      <c r="D56" s="63"/>
      <c r="E56" s="98">
        <v>9.9</v>
      </c>
    </row>
    <row r="57" spans="1:5">
      <c r="A57" s="75">
        <v>38294</v>
      </c>
      <c r="B57" s="86" t="str">
        <f>B55</f>
        <v>Taxas Bancarias</v>
      </c>
      <c r="C57" s="3" t="s">
        <v>5065</v>
      </c>
      <c r="D57" s="63"/>
      <c r="E57" s="98">
        <v>0.3</v>
      </c>
    </row>
    <row r="58" spans="1:5">
      <c r="A58" s="75">
        <v>38295</v>
      </c>
      <c r="B58" s="86" t="str">
        <f>B47</f>
        <v>Saques</v>
      </c>
      <c r="C58" s="3" t="s">
        <v>14935</v>
      </c>
      <c r="D58" s="63"/>
      <c r="E58" s="98">
        <v>80</v>
      </c>
    </row>
    <row r="59" spans="1:5">
      <c r="A59" s="75">
        <v>38295</v>
      </c>
      <c r="B59" s="86" t="str">
        <f>B57</f>
        <v>Taxas Bancarias</v>
      </c>
      <c r="C59" s="3" t="str">
        <f>C57</f>
        <v>CPMF</v>
      </c>
      <c r="D59" s="63"/>
      <c r="E59" s="98">
        <v>0.3</v>
      </c>
    </row>
    <row r="60" spans="1:5">
      <c r="A60" s="75">
        <v>38296</v>
      </c>
      <c r="B60" s="86" t="str">
        <f>B47</f>
        <v>Saques</v>
      </c>
      <c r="C60" s="3" t="s">
        <v>14936</v>
      </c>
      <c r="D60" s="63"/>
      <c r="E60" s="98">
        <v>20</v>
      </c>
    </row>
    <row r="61" spans="1:5">
      <c r="A61" s="75">
        <v>38296</v>
      </c>
      <c r="B61" s="86" t="str">
        <f>B59</f>
        <v>Taxas Bancarias</v>
      </c>
      <c r="C61" s="3" t="str">
        <f>C59</f>
        <v>CPMF</v>
      </c>
      <c r="D61" s="63"/>
      <c r="E61" s="98">
        <v>0.33</v>
      </c>
    </row>
    <row r="62" spans="1:5">
      <c r="A62" s="75">
        <v>38298</v>
      </c>
      <c r="B62" s="86" t="str">
        <f>B35</f>
        <v>Supermercado</v>
      </c>
      <c r="C62" s="3" t="s">
        <v>14937</v>
      </c>
      <c r="D62" s="63"/>
      <c r="E62" s="98">
        <v>19.739999999999998</v>
      </c>
    </row>
    <row r="63" spans="1:5">
      <c r="A63" s="75">
        <v>38298</v>
      </c>
      <c r="B63" s="86" t="str">
        <f>B48</f>
        <v>Restaurantes</v>
      </c>
      <c r="C63" s="3" t="s">
        <v>14938</v>
      </c>
      <c r="D63" s="63"/>
      <c r="E63" s="98">
        <v>8.9499999999999993</v>
      </c>
    </row>
    <row r="64" spans="1:5">
      <c r="A64" s="75">
        <v>38300</v>
      </c>
      <c r="B64" s="86" t="str">
        <f>TiposLancamentos!B98</f>
        <v>Restituições</v>
      </c>
      <c r="C64" s="3" t="s">
        <v>14939</v>
      </c>
      <c r="D64" s="63">
        <v>1515.93</v>
      </c>
      <c r="E64" s="98"/>
    </row>
    <row r="65" spans="1:5">
      <c r="A65" s="75">
        <v>38300</v>
      </c>
      <c r="B65" s="86" t="str">
        <f>B59</f>
        <v>Taxas Bancarias</v>
      </c>
      <c r="C65" s="3" t="str">
        <f>C61</f>
        <v>CPMF</v>
      </c>
      <c r="D65" s="63"/>
      <c r="E65" s="98">
        <v>0.54</v>
      </c>
    </row>
    <row r="66" spans="1:5">
      <c r="A66" s="75">
        <v>38302</v>
      </c>
      <c r="B66" s="86" t="str">
        <f>TiposLancamentos!B72</f>
        <v>Presentes</v>
      </c>
      <c r="C66" s="3" t="s">
        <v>14940</v>
      </c>
      <c r="D66" s="63"/>
      <c r="E66" s="98">
        <v>50</v>
      </c>
    </row>
    <row r="67" spans="1:5">
      <c r="A67" s="75">
        <v>38302</v>
      </c>
      <c r="B67" s="86" t="str">
        <f>TiposLancamentos!B5</f>
        <v>Supermercado</v>
      </c>
      <c r="C67" s="3" t="s">
        <v>14941</v>
      </c>
      <c r="D67" s="63"/>
      <c r="E67" s="98">
        <v>50.51</v>
      </c>
    </row>
    <row r="68" spans="1:5">
      <c r="A68" s="75">
        <v>38302</v>
      </c>
      <c r="B68" s="86" t="str">
        <f>B60</f>
        <v>Saques</v>
      </c>
      <c r="C68" s="3" t="s">
        <v>14942</v>
      </c>
      <c r="D68" s="63"/>
      <c r="E68" s="98">
        <v>20</v>
      </c>
    </row>
    <row r="69" spans="1:5">
      <c r="A69" s="75">
        <v>38302</v>
      </c>
      <c r="B69" s="86" t="str">
        <f>B65</f>
        <v>Taxas Bancarias</v>
      </c>
      <c r="C69" s="3" t="s">
        <v>5065</v>
      </c>
      <c r="D69" s="63"/>
      <c r="E69" s="98">
        <v>0.19</v>
      </c>
    </row>
    <row r="70" spans="1:5">
      <c r="A70" s="75">
        <v>38303</v>
      </c>
      <c r="B70" s="86" t="str">
        <f>B40</f>
        <v>Salarios</v>
      </c>
      <c r="C70" s="3" t="str">
        <f>C40</f>
        <v>Rec. Salario</v>
      </c>
      <c r="D70" s="63">
        <v>1360</v>
      </c>
      <c r="E70" s="98"/>
    </row>
    <row r="71" spans="1:5">
      <c r="A71" s="75">
        <v>38303</v>
      </c>
      <c r="B71" s="86" t="str">
        <f>B6</f>
        <v>Transf. Bco</v>
      </c>
      <c r="C71" s="3" t="str">
        <f>C6</f>
        <v>Transf P/ Banco1.net</v>
      </c>
      <c r="D71" s="63"/>
      <c r="E71" s="98">
        <v>80</v>
      </c>
    </row>
    <row r="72" spans="1:5">
      <c r="A72" s="75">
        <v>38303</v>
      </c>
      <c r="B72" s="86" t="str">
        <f>TiposLancamentos!B15</f>
        <v>Cartões de Crédito</v>
      </c>
      <c r="C72" s="3" t="s">
        <v>5262</v>
      </c>
      <c r="D72" s="63"/>
      <c r="E72" s="98">
        <v>289.94</v>
      </c>
    </row>
    <row r="73" spans="1:5">
      <c r="A73" s="75">
        <v>38303</v>
      </c>
      <c r="B73" s="86" t="str">
        <f>B41</f>
        <v>Restaurantes</v>
      </c>
      <c r="C73" s="3" t="s">
        <v>14943</v>
      </c>
      <c r="D73" s="63"/>
      <c r="E73" s="98">
        <v>19.5</v>
      </c>
    </row>
    <row r="74" spans="1:5">
      <c r="A74" s="75">
        <v>38303</v>
      </c>
      <c r="B74" s="86" t="str">
        <f>B69</f>
        <v>Taxas Bancarias</v>
      </c>
      <c r="C74" s="3" t="str">
        <f>C69</f>
        <v>CPMF</v>
      </c>
      <c r="D74" s="63"/>
      <c r="E74" s="98">
        <v>1.36</v>
      </c>
    </row>
    <row r="75" spans="1:5">
      <c r="A75" s="75">
        <v>38304</v>
      </c>
      <c r="B75" s="86" t="str">
        <f>TiposLancamentos!B8</f>
        <v>Aluguel</v>
      </c>
      <c r="C75" s="3" t="s">
        <v>14944</v>
      </c>
      <c r="D75" s="63"/>
      <c r="E75" s="98">
        <v>782.94</v>
      </c>
    </row>
    <row r="76" spans="1:5">
      <c r="A76" s="75">
        <v>38304</v>
      </c>
      <c r="B76" s="86" t="str">
        <f>TiposLancamentos!B56</f>
        <v>Farmácia</v>
      </c>
      <c r="C76" s="3" t="s">
        <v>14945</v>
      </c>
      <c r="D76" s="63"/>
      <c r="E76" s="98">
        <v>11.23</v>
      </c>
    </row>
    <row r="77" spans="1:5">
      <c r="A77" s="75">
        <v>38304</v>
      </c>
      <c r="B77" s="86" t="str">
        <f>B68</f>
        <v>Saques</v>
      </c>
      <c r="C77" s="3" t="s">
        <v>14946</v>
      </c>
      <c r="D77" s="63"/>
      <c r="E77" s="98">
        <v>20</v>
      </c>
    </row>
    <row r="78" spans="1:5">
      <c r="A78" s="75">
        <v>38305</v>
      </c>
      <c r="B78" s="86" t="str">
        <f>TiposLancamentos!B71</f>
        <v>Itens Pessoais</v>
      </c>
      <c r="C78" s="3" t="s">
        <v>14947</v>
      </c>
      <c r="D78" s="63"/>
      <c r="E78" s="98">
        <v>250</v>
      </c>
    </row>
    <row r="79" spans="1:5">
      <c r="A79" s="75">
        <v>38305</v>
      </c>
      <c r="B79" s="86" t="str">
        <f>B76</f>
        <v>Farmácia</v>
      </c>
      <c r="C79" s="3" t="s">
        <v>14948</v>
      </c>
      <c r="D79" s="63"/>
      <c r="E79" s="98">
        <v>5.79</v>
      </c>
    </row>
    <row r="80" spans="1:5">
      <c r="A80" s="75">
        <v>38306</v>
      </c>
      <c r="B80" s="86" t="str">
        <f>B63</f>
        <v>Restaurantes</v>
      </c>
      <c r="C80" s="3" t="str">
        <f>C63</f>
        <v>Cheque eletronico - Mc Donalds</v>
      </c>
      <c r="D80" s="63"/>
      <c r="E80" s="98">
        <v>8.9499999999999993</v>
      </c>
    </row>
    <row r="81" spans="1:5">
      <c r="A81" s="75">
        <v>38306</v>
      </c>
      <c r="B81" s="86" t="str">
        <f>TiposLancamentos!B13</f>
        <v>Moradia</v>
      </c>
      <c r="C81" s="3" t="s">
        <v>14949</v>
      </c>
      <c r="D81" s="78"/>
      <c r="E81" s="49">
        <v>280</v>
      </c>
    </row>
    <row r="82" spans="1:5">
      <c r="A82" s="75">
        <v>38307</v>
      </c>
      <c r="B82" s="86" t="str">
        <f>B16</f>
        <v>Mudanças</v>
      </c>
      <c r="C82" s="3" t="s">
        <v>14950</v>
      </c>
      <c r="D82" s="78"/>
      <c r="E82" s="49">
        <v>766</v>
      </c>
    </row>
    <row r="83" spans="1:5">
      <c r="A83" s="75">
        <v>38307</v>
      </c>
      <c r="B83" s="86" t="str">
        <f>B79</f>
        <v>Farmácia</v>
      </c>
      <c r="C83" s="3" t="s">
        <v>14951</v>
      </c>
      <c r="D83" s="63"/>
      <c r="E83" s="98">
        <v>22.86</v>
      </c>
    </row>
    <row r="84" spans="1:5">
      <c r="A84" s="75">
        <v>38307</v>
      </c>
      <c r="B84" s="86" t="str">
        <f>TiposLancamentos!B90</f>
        <v>Locadora</v>
      </c>
      <c r="C84" s="3" t="s">
        <v>44</v>
      </c>
      <c r="D84" s="63"/>
      <c r="E84" s="98">
        <v>12</v>
      </c>
    </row>
    <row r="85" spans="1:5">
      <c r="A85" s="75">
        <v>38307</v>
      </c>
      <c r="B85" s="86" t="str">
        <f>B69</f>
        <v>Taxas Bancarias</v>
      </c>
      <c r="C85" s="3" t="s">
        <v>5065</v>
      </c>
      <c r="D85" s="63"/>
      <c r="E85" s="98">
        <v>4.4800000000000004</v>
      </c>
    </row>
    <row r="86" spans="1:5">
      <c r="A86" s="75">
        <v>38307</v>
      </c>
      <c r="B86" s="86" t="str">
        <f>TiposLancamentos!B59</f>
        <v>Documentos</v>
      </c>
      <c r="C86" s="3" t="s">
        <v>12947</v>
      </c>
      <c r="D86" s="78"/>
      <c r="E86" s="49">
        <v>347.93</v>
      </c>
    </row>
    <row r="87" spans="1:5">
      <c r="A87" s="75">
        <v>38308</v>
      </c>
      <c r="B87" s="86" t="str">
        <f>B74</f>
        <v>Taxas Bancarias</v>
      </c>
      <c r="C87" s="3" t="str">
        <f>C85</f>
        <v>CPMF</v>
      </c>
      <c r="D87" s="63"/>
      <c r="E87" s="98">
        <v>5.04</v>
      </c>
    </row>
    <row r="88" spans="1:5">
      <c r="A88" s="75">
        <v>38309</v>
      </c>
      <c r="B88" s="86" t="str">
        <f>B74</f>
        <v>Taxas Bancarias</v>
      </c>
      <c r="C88" s="3" t="s">
        <v>5065</v>
      </c>
      <c r="D88" s="63"/>
      <c r="E88" s="98">
        <v>7.0000000000000007E-2</v>
      </c>
    </row>
    <row r="89" spans="1:5">
      <c r="A89" s="75">
        <v>38309</v>
      </c>
      <c r="B89" s="86" t="str">
        <f>B77</f>
        <v>Saques</v>
      </c>
      <c r="C89" s="3" t="s">
        <v>1810</v>
      </c>
      <c r="D89" s="63"/>
      <c r="E89" s="98">
        <v>20</v>
      </c>
    </row>
    <row r="90" spans="1:5">
      <c r="A90" s="75">
        <v>38310</v>
      </c>
      <c r="B90" s="86" t="str">
        <f>B89</f>
        <v>Saques</v>
      </c>
      <c r="C90" s="3" t="str">
        <f>C89</f>
        <v>Noite</v>
      </c>
      <c r="D90" s="63"/>
      <c r="E90" s="98">
        <v>10</v>
      </c>
    </row>
    <row r="91" spans="1:5">
      <c r="A91" s="75">
        <v>38311</v>
      </c>
      <c r="B91" s="86" t="str">
        <f>TiposLancamentos!B70</f>
        <v>Vestuário</v>
      </c>
      <c r="C91" s="3" t="s">
        <v>14952</v>
      </c>
      <c r="D91" s="63"/>
      <c r="E91" s="98">
        <v>24</v>
      </c>
    </row>
    <row r="92" spans="1:5">
      <c r="A92" s="75">
        <v>38311</v>
      </c>
      <c r="B92" s="86" t="str">
        <f>TiposLancamentos!B82</f>
        <v>CG Titan 125</v>
      </c>
      <c r="C92" s="3" t="s">
        <v>14953</v>
      </c>
      <c r="D92" s="63"/>
      <c r="E92" s="98">
        <v>59</v>
      </c>
    </row>
    <row r="93" spans="1:5">
      <c r="A93" s="75">
        <v>38311</v>
      </c>
      <c r="B93" s="86" t="str">
        <f>TiposLancamentos!B90</f>
        <v>Locadora</v>
      </c>
      <c r="C93" s="3" t="s">
        <v>44</v>
      </c>
      <c r="D93" s="63"/>
      <c r="E93" s="98">
        <v>24.5</v>
      </c>
    </row>
    <row r="94" spans="1:5">
      <c r="A94" s="75">
        <v>38312</v>
      </c>
      <c r="B94" s="86" t="str">
        <f>TiposLancamentos!B19</f>
        <v>Restaurantes</v>
      </c>
      <c r="C94" s="3" t="s">
        <v>14954</v>
      </c>
      <c r="D94" s="63"/>
      <c r="E94" s="98">
        <v>40.26</v>
      </c>
    </row>
    <row r="95" spans="1:5">
      <c r="A95" s="75">
        <v>38313</v>
      </c>
      <c r="B95" s="86" t="str">
        <f>TiposLancamentos!B5</f>
        <v>Supermercado</v>
      </c>
      <c r="C95" s="3" t="s">
        <v>14955</v>
      </c>
      <c r="D95" s="63"/>
      <c r="E95" s="98">
        <v>5.89</v>
      </c>
    </row>
    <row r="96" spans="1:5">
      <c r="A96" s="75">
        <v>38313</v>
      </c>
      <c r="B96" s="86" t="str">
        <f>TiposLancamentos!B98</f>
        <v>Restituições</v>
      </c>
      <c r="C96" s="3" t="s">
        <v>14956</v>
      </c>
      <c r="D96" s="63">
        <v>56.06</v>
      </c>
      <c r="E96" s="98"/>
    </row>
    <row r="97" spans="1:5">
      <c r="A97" s="75">
        <v>38313</v>
      </c>
      <c r="B97" s="86" t="str">
        <f>TiposLancamentos!B15</f>
        <v>Cartões de Crédito</v>
      </c>
      <c r="C97" s="3" t="s">
        <v>14957</v>
      </c>
      <c r="D97" s="63"/>
      <c r="E97" s="98">
        <v>70.17</v>
      </c>
    </row>
    <row r="98" spans="1:5">
      <c r="A98" s="75">
        <v>38313</v>
      </c>
      <c r="B98" s="86" t="s">
        <v>1706</v>
      </c>
      <c r="C98" s="3" t="s">
        <v>2668</v>
      </c>
      <c r="D98" s="63"/>
      <c r="E98" s="98">
        <v>10</v>
      </c>
    </row>
    <row r="99" spans="1:5">
      <c r="A99" s="75">
        <v>38313</v>
      </c>
      <c r="B99" s="86" t="str">
        <f>B88</f>
        <v>Taxas Bancarias</v>
      </c>
      <c r="C99" s="3" t="str">
        <f>C88</f>
        <v>CPMF</v>
      </c>
      <c r="D99" s="63"/>
      <c r="E99" s="98">
        <v>0.6</v>
      </c>
    </row>
    <row r="100" spans="1:5">
      <c r="A100" s="75">
        <v>38314</v>
      </c>
      <c r="B100" s="86" t="str">
        <f>B80</f>
        <v>Restaurantes</v>
      </c>
      <c r="C100" s="3" t="str">
        <f>C80</f>
        <v>Cheque eletronico - Mc Donalds</v>
      </c>
      <c r="D100" s="63"/>
      <c r="E100" s="98">
        <v>8.9499999999999993</v>
      </c>
    </row>
    <row r="101" spans="1:5">
      <c r="A101" s="75">
        <v>38314</v>
      </c>
      <c r="B101" s="86" t="str">
        <f>B88</f>
        <v>Taxas Bancarias</v>
      </c>
      <c r="C101" s="3" t="str">
        <f>C88</f>
        <v>CPMF</v>
      </c>
      <c r="D101" s="63"/>
      <c r="E101" s="98">
        <v>0.33</v>
      </c>
    </row>
    <row r="102" spans="1:5">
      <c r="A102" s="75">
        <v>38315</v>
      </c>
      <c r="B102" s="86" t="str">
        <f>B101</f>
        <v>Taxas Bancarias</v>
      </c>
      <c r="C102" s="3" t="str">
        <f>C101</f>
        <v>CPMF</v>
      </c>
      <c r="D102" s="63"/>
      <c r="E102" s="98">
        <v>0.03</v>
      </c>
    </row>
    <row r="103" spans="1:5">
      <c r="A103" s="75">
        <v>38317</v>
      </c>
      <c r="B103" s="86" t="str">
        <f>B98</f>
        <v>Saques</v>
      </c>
      <c r="C103" s="3" t="s">
        <v>14958</v>
      </c>
      <c r="D103" s="63"/>
      <c r="E103" s="98">
        <v>10</v>
      </c>
    </row>
    <row r="104" spans="1:5">
      <c r="A104" s="75">
        <v>38317</v>
      </c>
      <c r="B104" s="86" t="str">
        <f>B98</f>
        <v>Saques</v>
      </c>
      <c r="C104" s="3" t="s">
        <v>14958</v>
      </c>
      <c r="D104" s="63"/>
      <c r="E104" s="98">
        <v>20</v>
      </c>
    </row>
    <row r="105" spans="1:5">
      <c r="A105" s="75">
        <v>38317</v>
      </c>
      <c r="B105" s="86" t="str">
        <f>B102</f>
        <v>Taxas Bancarias</v>
      </c>
      <c r="C105" s="3" t="str">
        <f>C101</f>
        <v>CPMF</v>
      </c>
      <c r="D105" s="63"/>
      <c r="E105" s="98">
        <v>0.03</v>
      </c>
    </row>
    <row r="106" spans="1:5">
      <c r="A106" s="75">
        <v>38319</v>
      </c>
      <c r="B106" s="86" t="str">
        <f>B103</f>
        <v>Saques</v>
      </c>
      <c r="C106" s="3" t="s">
        <v>2655</v>
      </c>
      <c r="D106" s="63"/>
      <c r="E106" s="98">
        <v>10</v>
      </c>
    </row>
    <row r="107" spans="1:5">
      <c r="A107" s="75">
        <v>38319</v>
      </c>
      <c r="B107" s="86" t="str">
        <f>TiposLancamentos!B74</f>
        <v>Noite</v>
      </c>
      <c r="C107" s="3" t="s">
        <v>14959</v>
      </c>
      <c r="D107" s="63"/>
      <c r="E107" s="98">
        <v>43</v>
      </c>
    </row>
    <row r="108" spans="1:5">
      <c r="A108" s="75">
        <v>38320</v>
      </c>
      <c r="B108" s="86" t="str">
        <f>B106</f>
        <v>Saques</v>
      </c>
      <c r="D108" s="63"/>
      <c r="E108" s="98">
        <v>10</v>
      </c>
    </row>
    <row r="109" spans="1:5">
      <c r="A109" s="75">
        <v>38320</v>
      </c>
      <c r="B109" s="86" t="str">
        <f>B101</f>
        <v>Taxas Bancarias</v>
      </c>
      <c r="C109" s="3" t="s">
        <v>5065</v>
      </c>
      <c r="D109" s="63"/>
      <c r="E109" s="98">
        <v>0.13</v>
      </c>
    </row>
    <row r="110" spans="1:5">
      <c r="A110" s="75">
        <v>38321</v>
      </c>
      <c r="B110" s="86" t="str">
        <f>B70</f>
        <v>Salarios</v>
      </c>
      <c r="C110" s="3" t="s">
        <v>2489</v>
      </c>
      <c r="D110" s="63">
        <v>1862.18</v>
      </c>
      <c r="E110" s="98"/>
    </row>
    <row r="111" spans="1:5">
      <c r="A111" s="75">
        <v>38321</v>
      </c>
      <c r="B111" s="86" t="str">
        <f>TiposLancamentos!B9</f>
        <v>Condominio</v>
      </c>
      <c r="C111" s="3" t="s">
        <v>4847</v>
      </c>
      <c r="D111" s="63"/>
      <c r="E111" s="98">
        <v>150</v>
      </c>
    </row>
    <row r="112" spans="1:5">
      <c r="A112" s="75">
        <v>38321</v>
      </c>
      <c r="B112" s="86" t="str">
        <f>TiposLancamentos!B13</f>
        <v>Moradia</v>
      </c>
      <c r="C112" s="3" t="s">
        <v>14960</v>
      </c>
      <c r="D112" s="63"/>
      <c r="E112" s="98">
        <v>50</v>
      </c>
    </row>
    <row r="113" spans="1:5">
      <c r="A113" s="75">
        <v>38321</v>
      </c>
      <c r="B113" s="86" t="str">
        <f>TiposLancamentos!B57</f>
        <v>Informática</v>
      </c>
      <c r="C113" s="3" t="s">
        <v>14961</v>
      </c>
      <c r="D113" s="63"/>
      <c r="E113" s="98">
        <v>90</v>
      </c>
    </row>
    <row r="114" spans="1:5">
      <c r="A114" s="83"/>
      <c r="B114" s="91"/>
      <c r="C114" s="92" t="s">
        <v>14127</v>
      </c>
      <c r="D114" s="93"/>
      <c r="E114" s="94"/>
    </row>
    <row r="115" spans="1:5">
      <c r="A115" s="75">
        <v>38322</v>
      </c>
      <c r="B115" s="86" t="str">
        <f>TiposLancamentos!B105</f>
        <v>Transf. Bco</v>
      </c>
      <c r="C115" s="3" t="s">
        <v>14962</v>
      </c>
      <c r="D115" s="63"/>
      <c r="E115" s="98">
        <v>120</v>
      </c>
    </row>
    <row r="116" spans="1:5">
      <c r="A116" s="75">
        <v>38322</v>
      </c>
      <c r="B116" s="86" t="str">
        <f>TiposLancamentos!B21</f>
        <v>Transf. Poupanca</v>
      </c>
      <c r="C116" s="3" t="s">
        <v>14930</v>
      </c>
      <c r="D116" s="63"/>
      <c r="E116" s="98">
        <v>200</v>
      </c>
    </row>
    <row r="117" spans="1:5">
      <c r="A117" s="75">
        <v>38322</v>
      </c>
      <c r="B117" s="86" t="str">
        <f>B106</f>
        <v>Saques</v>
      </c>
      <c r="C117" s="3" t="s">
        <v>14963</v>
      </c>
      <c r="D117" s="63"/>
      <c r="E117" s="98">
        <v>160</v>
      </c>
    </row>
    <row r="118" spans="1:5">
      <c r="A118" s="75">
        <v>38322</v>
      </c>
      <c r="B118" s="86" t="str">
        <f>TiposLancamentos!B5</f>
        <v>Supermercado</v>
      </c>
      <c r="C118" s="3" t="s">
        <v>14964</v>
      </c>
      <c r="D118" s="63"/>
      <c r="E118" s="98">
        <v>31.05</v>
      </c>
    </row>
    <row r="119" spans="1:5">
      <c r="A119" s="75">
        <v>38322</v>
      </c>
      <c r="B119" s="86" t="str">
        <f>B109</f>
        <v>Taxas Bancarias</v>
      </c>
      <c r="C119" s="3" t="s">
        <v>5065</v>
      </c>
      <c r="D119" s="63"/>
      <c r="E119" s="98">
        <v>2.09</v>
      </c>
    </row>
    <row r="120" spans="1:5">
      <c r="A120" s="75">
        <v>38323</v>
      </c>
      <c r="B120" s="86" t="str">
        <f>B119</f>
        <v>Taxas Bancarias</v>
      </c>
      <c r="C120" s="3" t="s">
        <v>5065</v>
      </c>
      <c r="D120" s="63"/>
      <c r="E120" s="98">
        <v>0.53</v>
      </c>
    </row>
    <row r="121" spans="1:5">
      <c r="A121" s="75">
        <v>38324</v>
      </c>
      <c r="B121" s="86" t="str">
        <f>B117</f>
        <v>Saques</v>
      </c>
      <c r="C121" s="3" t="s">
        <v>2644</v>
      </c>
      <c r="D121" s="63"/>
      <c r="E121" s="98">
        <v>20</v>
      </c>
    </row>
    <row r="122" spans="1:5">
      <c r="A122" s="75">
        <v>38325</v>
      </c>
      <c r="B122" s="86" t="str">
        <f>TiposLancamentos!B56</f>
        <v>Farmácia</v>
      </c>
      <c r="C122" s="3" t="s">
        <v>14965</v>
      </c>
      <c r="D122" s="63"/>
      <c r="E122" s="98">
        <v>9.18</v>
      </c>
    </row>
    <row r="123" spans="1:5">
      <c r="A123" s="75">
        <v>38325</v>
      </c>
      <c r="B123" s="86" t="str">
        <f>B91</f>
        <v>Vestuário</v>
      </c>
      <c r="C123" s="3" t="s">
        <v>14966</v>
      </c>
      <c r="D123" s="63"/>
      <c r="E123" s="98">
        <v>24</v>
      </c>
    </row>
    <row r="124" spans="1:5">
      <c r="A124" s="75">
        <v>38325</v>
      </c>
      <c r="B124" s="86" t="str">
        <f>B100</f>
        <v>Restaurantes</v>
      </c>
      <c r="C124" s="3" t="s">
        <v>14967</v>
      </c>
      <c r="D124" s="63"/>
      <c r="E124" s="98">
        <v>27.3</v>
      </c>
    </row>
    <row r="125" spans="1:5">
      <c r="A125" s="75">
        <v>38326</v>
      </c>
      <c r="B125" s="86" t="str">
        <f>B121</f>
        <v>Saques</v>
      </c>
      <c r="C125" s="3" t="str">
        <f>C121</f>
        <v>Cerva no posto</v>
      </c>
      <c r="D125" s="63"/>
      <c r="E125" s="98">
        <v>20</v>
      </c>
    </row>
    <row r="126" spans="1:5">
      <c r="A126" s="75">
        <v>38327</v>
      </c>
      <c r="B126" s="86" t="str">
        <f>B118</f>
        <v>Supermercado</v>
      </c>
      <c r="C126" s="3" t="s">
        <v>4816</v>
      </c>
      <c r="D126" s="63"/>
      <c r="E126" s="98">
        <v>4.91</v>
      </c>
    </row>
    <row r="127" spans="1:5">
      <c r="A127" s="75">
        <v>38327</v>
      </c>
      <c r="B127" s="86" t="str">
        <f>TiposLancamentos!B90</f>
        <v>Locadora</v>
      </c>
      <c r="C127" s="3" t="s">
        <v>14968</v>
      </c>
      <c r="D127" s="63"/>
      <c r="E127" s="98">
        <v>19</v>
      </c>
    </row>
    <row r="128" spans="1:5">
      <c r="A128" s="75">
        <v>38327</v>
      </c>
      <c r="B128" s="86" t="str">
        <f>B119</f>
        <v>Taxas Bancarias</v>
      </c>
      <c r="C128" s="3" t="str">
        <f>C120</f>
        <v>CPMF</v>
      </c>
      <c r="D128" s="63"/>
      <c r="E128" s="98">
        <v>0.28000000000000003</v>
      </c>
    </row>
    <row r="129" spans="1:5">
      <c r="A129" s="75">
        <v>38328</v>
      </c>
      <c r="B129" s="86" t="str">
        <f>B125</f>
        <v>Saques</v>
      </c>
      <c r="C129" s="3" t="s">
        <v>14969</v>
      </c>
      <c r="D129" s="63"/>
      <c r="E129" s="98">
        <v>50</v>
      </c>
    </row>
    <row r="130" spans="1:5">
      <c r="A130" s="75">
        <v>38328</v>
      </c>
      <c r="B130" s="86" t="str">
        <f>B128</f>
        <v>Taxas Bancarias</v>
      </c>
      <c r="C130" s="3" t="str">
        <f>C128</f>
        <v>CPMF</v>
      </c>
      <c r="D130" s="63"/>
      <c r="E130" s="98">
        <v>0.22</v>
      </c>
    </row>
    <row r="131" spans="1:5">
      <c r="A131" s="75">
        <v>38328</v>
      </c>
      <c r="B131" s="86" t="str">
        <f>TiposLancamentos!B98</f>
        <v>Restituições</v>
      </c>
      <c r="C131" s="3" t="s">
        <v>14970</v>
      </c>
      <c r="D131" s="63">
        <v>66.73</v>
      </c>
      <c r="E131" s="98"/>
    </row>
    <row r="132" spans="1:5">
      <c r="A132" s="75">
        <v>38329</v>
      </c>
      <c r="B132" s="86" t="str">
        <f>B129</f>
        <v>Saques</v>
      </c>
      <c r="C132" s="3" t="s">
        <v>2527</v>
      </c>
      <c r="D132" s="63"/>
      <c r="E132" s="98">
        <v>10</v>
      </c>
    </row>
    <row r="133" spans="1:5">
      <c r="A133" s="75">
        <v>38331</v>
      </c>
      <c r="B133" s="86" t="str">
        <f>B127</f>
        <v>Locadora</v>
      </c>
      <c r="C133" s="3" t="s">
        <v>14971</v>
      </c>
      <c r="D133" s="63"/>
      <c r="E133" s="98">
        <v>7</v>
      </c>
    </row>
    <row r="134" spans="1:5">
      <c r="A134" s="75">
        <v>38332</v>
      </c>
      <c r="B134" s="86" t="str">
        <f>B132</f>
        <v>Saques</v>
      </c>
      <c r="C134" s="3" t="s">
        <v>3112</v>
      </c>
      <c r="D134" s="63"/>
      <c r="E134" s="98">
        <v>10</v>
      </c>
    </row>
    <row r="135" spans="1:5">
      <c r="A135" s="75">
        <v>38332</v>
      </c>
      <c r="B135" s="86" t="str">
        <f>B126</f>
        <v>Supermercado</v>
      </c>
      <c r="C135" s="3" t="s">
        <v>4816</v>
      </c>
      <c r="D135" s="63"/>
      <c r="E135" s="98">
        <v>15.52</v>
      </c>
    </row>
    <row r="136" spans="1:5">
      <c r="A136" s="75">
        <v>38333</v>
      </c>
      <c r="B136" s="86" t="str">
        <f>B139</f>
        <v>Restaurantes</v>
      </c>
      <c r="C136" s="3" t="s">
        <v>4824</v>
      </c>
      <c r="D136" s="63"/>
      <c r="E136" s="98">
        <v>10.3</v>
      </c>
    </row>
    <row r="137" spans="1:5">
      <c r="A137" s="75">
        <v>38334</v>
      </c>
      <c r="B137" s="86" t="str">
        <f>TiposLancamentos!B82</f>
        <v>CG Titan 125</v>
      </c>
      <c r="C137" s="3" t="s">
        <v>12960</v>
      </c>
      <c r="D137" s="63"/>
      <c r="E137" s="98">
        <v>133.1</v>
      </c>
    </row>
    <row r="138" spans="1:5">
      <c r="A138" s="75">
        <v>38334</v>
      </c>
      <c r="B138" s="86" t="str">
        <f>B133</f>
        <v>Locadora</v>
      </c>
      <c r="C138" s="3" t="s">
        <v>14968</v>
      </c>
      <c r="D138" s="63"/>
      <c r="E138" s="98">
        <v>12</v>
      </c>
    </row>
    <row r="139" spans="1:5">
      <c r="A139" s="75">
        <v>38334</v>
      </c>
      <c r="B139" s="86" t="str">
        <f>TiposLancamentos!B19</f>
        <v>Restaurantes</v>
      </c>
      <c r="C139" s="3" t="s">
        <v>4824</v>
      </c>
      <c r="D139" s="63"/>
      <c r="E139" s="98">
        <v>10.3</v>
      </c>
    </row>
    <row r="140" spans="1:5">
      <c r="A140" s="75">
        <v>38334</v>
      </c>
      <c r="B140" s="86" t="str">
        <f>B128</f>
        <v>Taxas Bancarias</v>
      </c>
      <c r="C140" s="3" t="s">
        <v>14972</v>
      </c>
      <c r="D140" s="63"/>
      <c r="E140" s="98">
        <v>0.63</v>
      </c>
    </row>
    <row r="141" spans="1:5">
      <c r="A141" s="75">
        <v>38335</v>
      </c>
      <c r="B141" s="86" t="str">
        <f>TiposLancamentos!B6</f>
        <v>Energia Eletrica</v>
      </c>
      <c r="C141" s="3" t="s">
        <v>4831</v>
      </c>
      <c r="D141" s="63"/>
      <c r="E141" s="98">
        <v>11.59</v>
      </c>
    </row>
    <row r="142" spans="1:5">
      <c r="A142" s="75">
        <v>38335</v>
      </c>
      <c r="B142" s="86" t="str">
        <f>B134</f>
        <v>Saques</v>
      </c>
      <c r="C142" s="3" t="s">
        <v>14973</v>
      </c>
      <c r="D142" s="63"/>
      <c r="E142" s="98">
        <v>10</v>
      </c>
    </row>
    <row r="143" spans="1:5">
      <c r="A143" s="75">
        <v>38335</v>
      </c>
      <c r="B143" s="86" t="str">
        <f>B142</f>
        <v>Saques</v>
      </c>
      <c r="C143" s="3" t="s">
        <v>2639</v>
      </c>
      <c r="D143" s="63"/>
      <c r="E143" s="98">
        <v>10</v>
      </c>
    </row>
    <row r="144" spans="1:5">
      <c r="A144" s="75">
        <v>38335</v>
      </c>
      <c r="B144" s="86" t="str">
        <f>Banco1!B583</f>
        <v>Moradia</v>
      </c>
      <c r="C144" s="3" t="s">
        <v>12963</v>
      </c>
      <c r="D144" s="63"/>
      <c r="E144" s="49">
        <v>143.85</v>
      </c>
    </row>
    <row r="145" spans="1:5">
      <c r="A145" s="75">
        <v>38335</v>
      </c>
      <c r="B145" s="86" t="str">
        <f>TiposLancamentos!B59</f>
        <v>Documentos</v>
      </c>
      <c r="C145" s="3" t="s">
        <v>12964</v>
      </c>
      <c r="D145" s="63"/>
      <c r="E145" s="49">
        <v>347.93</v>
      </c>
    </row>
    <row r="146" spans="1:5">
      <c r="A146" s="75">
        <v>38335</v>
      </c>
      <c r="B146" s="86" t="str">
        <f>B140</f>
        <v>Taxas Bancarias</v>
      </c>
      <c r="C146" s="3" t="s">
        <v>5065</v>
      </c>
      <c r="D146" s="63"/>
      <c r="E146" s="98">
        <v>2</v>
      </c>
    </row>
    <row r="147" spans="1:5">
      <c r="A147" s="75">
        <v>38336</v>
      </c>
      <c r="B147" s="86" t="str">
        <f>B110</f>
        <v>Salarios</v>
      </c>
      <c r="C147" s="3" t="s">
        <v>2489</v>
      </c>
      <c r="D147" s="63">
        <v>1360</v>
      </c>
      <c r="E147" s="98"/>
    </row>
    <row r="148" spans="1:5">
      <c r="A148" s="75">
        <v>38336</v>
      </c>
      <c r="B148" s="86" t="str">
        <f>B72</f>
        <v>Cartões de Crédito</v>
      </c>
      <c r="C148" s="3" t="s">
        <v>14458</v>
      </c>
      <c r="D148" s="63"/>
      <c r="E148" s="98">
        <v>145.25</v>
      </c>
    </row>
    <row r="149" spans="1:5">
      <c r="A149" s="75">
        <v>38336</v>
      </c>
      <c r="B149" s="86" t="str">
        <f>TiposLancamentos!B8</f>
        <v>Aluguel</v>
      </c>
      <c r="C149" s="3" t="s">
        <v>14974</v>
      </c>
      <c r="D149" s="63"/>
      <c r="E149" s="98">
        <v>814.11</v>
      </c>
    </row>
    <row r="150" spans="1:5">
      <c r="A150" s="75">
        <v>38336</v>
      </c>
      <c r="B150" s="86" t="str">
        <f>B115</f>
        <v>Transf. Bco</v>
      </c>
      <c r="C150" s="3" t="s">
        <v>14962</v>
      </c>
      <c r="D150" s="63"/>
      <c r="E150" s="98">
        <v>150</v>
      </c>
    </row>
    <row r="151" spans="1:5">
      <c r="A151" s="75">
        <v>38336</v>
      </c>
      <c r="B151" s="86" t="str">
        <f>B146</f>
        <v>Taxas Bancarias</v>
      </c>
      <c r="C151" s="3" t="s">
        <v>5065</v>
      </c>
      <c r="D151" s="63"/>
      <c r="E151" s="98">
        <v>3.67</v>
      </c>
    </row>
    <row r="152" spans="1:5">
      <c r="A152" s="75">
        <v>38337</v>
      </c>
      <c r="B152" s="86" t="str">
        <f>B97</f>
        <v>Cartões de Crédito</v>
      </c>
      <c r="C152" s="3" t="s">
        <v>14912</v>
      </c>
      <c r="D152" s="63"/>
      <c r="E152" s="98">
        <v>81.09</v>
      </c>
    </row>
    <row r="153" spans="1:5">
      <c r="A153" s="75">
        <v>38338</v>
      </c>
      <c r="B153" s="86" t="str">
        <f>TiposLancamentos!B67</f>
        <v>Lavanderia</v>
      </c>
      <c r="C153" s="3" t="s">
        <v>14975</v>
      </c>
      <c r="D153" s="63"/>
      <c r="E153" s="98">
        <v>24</v>
      </c>
    </row>
    <row r="154" spans="1:5">
      <c r="A154" s="75">
        <v>38338</v>
      </c>
      <c r="B154" s="86" t="str">
        <f>TiposLancamentos!B56</f>
        <v>Farmácia</v>
      </c>
      <c r="C154" s="3" t="s">
        <v>2781</v>
      </c>
      <c r="D154" s="63"/>
      <c r="E154" s="98">
        <v>8</v>
      </c>
    </row>
    <row r="155" spans="1:5">
      <c r="A155" s="75">
        <v>38338</v>
      </c>
      <c r="B155" s="86" t="str">
        <f>B142</f>
        <v>Saques</v>
      </c>
      <c r="C155" s="3" t="s">
        <v>14623</v>
      </c>
      <c r="D155" s="63"/>
      <c r="E155" s="98">
        <v>60</v>
      </c>
    </row>
    <row r="156" spans="1:5">
      <c r="A156" s="75">
        <v>38340</v>
      </c>
      <c r="B156" s="86" t="str">
        <f>TiposLancamentos!B2</f>
        <v>Telefonia</v>
      </c>
      <c r="C156" s="3" t="s">
        <v>14976</v>
      </c>
      <c r="D156" s="63"/>
      <c r="E156" s="98">
        <v>63.18</v>
      </c>
    </row>
    <row r="157" spans="1:5">
      <c r="A157" s="75">
        <v>38340</v>
      </c>
      <c r="B157" s="86" t="str">
        <f>TiposLancamentos!B3</f>
        <v>Internet</v>
      </c>
      <c r="C157" s="3" t="s">
        <v>2784</v>
      </c>
      <c r="D157" s="63"/>
      <c r="E157" s="98">
        <v>59.9</v>
      </c>
    </row>
    <row r="158" spans="1:5">
      <c r="A158" s="75">
        <v>38341</v>
      </c>
      <c r="B158" s="86" t="str">
        <f>B151</f>
        <v>Taxas Bancarias</v>
      </c>
      <c r="C158" s="3" t="s">
        <v>14977</v>
      </c>
      <c r="D158" s="63"/>
      <c r="E158" s="98">
        <v>0.71</v>
      </c>
    </row>
    <row r="159" spans="1:5">
      <c r="A159" s="75">
        <v>38341</v>
      </c>
      <c r="B159" s="86" t="str">
        <f>B147</f>
        <v>Salarios</v>
      </c>
      <c r="C159" s="3" t="s">
        <v>14978</v>
      </c>
      <c r="D159" s="63">
        <v>464.66</v>
      </c>
      <c r="E159" s="98"/>
    </row>
    <row r="160" spans="1:5">
      <c r="A160" s="75">
        <v>38341</v>
      </c>
      <c r="B160" s="86" t="str">
        <f>B147</f>
        <v>Salarios</v>
      </c>
      <c r="C160" s="3" t="s">
        <v>14979</v>
      </c>
      <c r="D160" s="63">
        <v>1159.51</v>
      </c>
      <c r="E160" s="98"/>
    </row>
    <row r="161" spans="1:5">
      <c r="A161" s="75">
        <v>38342</v>
      </c>
      <c r="B161" s="86" t="str">
        <f>B163</f>
        <v>Taxas Bancarias</v>
      </c>
      <c r="C161" s="3" t="s">
        <v>5065</v>
      </c>
      <c r="D161" s="63"/>
      <c r="E161" s="98">
        <v>0.09</v>
      </c>
    </row>
    <row r="162" spans="1:5">
      <c r="A162" s="75">
        <v>38345</v>
      </c>
      <c r="B162" s="86" t="str">
        <f>B148</f>
        <v>Cartões de Crédito</v>
      </c>
      <c r="C162" s="3" t="str">
        <f>C97</f>
        <v>Pagamento Fatura AmEx</v>
      </c>
      <c r="D162" s="63"/>
      <c r="E162" s="98">
        <v>50.2</v>
      </c>
    </row>
    <row r="163" spans="1:5">
      <c r="A163" s="75">
        <v>38345</v>
      </c>
      <c r="B163" s="86" t="str">
        <f>B151</f>
        <v>Taxas Bancarias</v>
      </c>
      <c r="C163" s="3" t="s">
        <v>5065</v>
      </c>
      <c r="D163" s="63"/>
      <c r="E163" s="98">
        <v>0.19</v>
      </c>
    </row>
    <row r="164" spans="1:5">
      <c r="A164" s="75">
        <v>38348</v>
      </c>
      <c r="B164" s="86" t="str">
        <f>TiposLancamentos!B13</f>
        <v>Moradia</v>
      </c>
      <c r="C164" s="3" t="s">
        <v>14980</v>
      </c>
      <c r="D164" s="63"/>
      <c r="E164" s="98">
        <v>31.32</v>
      </c>
    </row>
    <row r="165" spans="1:5">
      <c r="A165" s="75">
        <v>38348</v>
      </c>
      <c r="B165" s="86" t="str">
        <f>TiposLancamentos!B19</f>
        <v>Restaurantes</v>
      </c>
      <c r="C165" s="3" t="s">
        <v>2640</v>
      </c>
      <c r="D165" s="63"/>
      <c r="E165" s="98">
        <v>14.8</v>
      </c>
    </row>
    <row r="166" spans="1:5">
      <c r="A166" s="75">
        <v>38349</v>
      </c>
      <c r="B166" s="86" t="str">
        <f>TiposLancamentos!B56</f>
        <v>Farmácia</v>
      </c>
      <c r="C166" s="3" t="s">
        <v>14981</v>
      </c>
      <c r="D166" s="63"/>
      <c r="E166" s="98">
        <v>85</v>
      </c>
    </row>
    <row r="167" spans="1:5">
      <c r="A167" s="75">
        <v>38349</v>
      </c>
      <c r="B167" s="86" t="str">
        <f>TiposLancamentos!B5</f>
        <v>Supermercado</v>
      </c>
      <c r="C167" s="3" t="s">
        <v>4816</v>
      </c>
      <c r="D167" s="63"/>
      <c r="E167" s="98">
        <v>32.21</v>
      </c>
    </row>
    <row r="168" spans="1:5">
      <c r="A168" s="75">
        <v>38349</v>
      </c>
      <c r="B168" s="86" t="str">
        <f>B163</f>
        <v>Taxas Bancarias</v>
      </c>
      <c r="C168" s="3" t="s">
        <v>5065</v>
      </c>
      <c r="D168" s="63"/>
      <c r="E168" s="98">
        <v>0.05</v>
      </c>
    </row>
    <row r="169" spans="1:5">
      <c r="A169" s="75">
        <v>38350</v>
      </c>
      <c r="B169" s="86" t="str">
        <f>B164</f>
        <v>Moradia</v>
      </c>
      <c r="C169" s="3" t="s">
        <v>14982</v>
      </c>
      <c r="D169" s="63"/>
      <c r="E169" s="98">
        <v>68.5</v>
      </c>
    </row>
    <row r="170" spans="1:5">
      <c r="A170" s="75">
        <v>38350</v>
      </c>
      <c r="B170" s="86" t="str">
        <f>B124</f>
        <v>Restaurantes</v>
      </c>
      <c r="C170" s="3" t="s">
        <v>14983</v>
      </c>
      <c r="D170" s="63"/>
      <c r="E170" s="98">
        <v>18.899999999999999</v>
      </c>
    </row>
    <row r="171" spans="1:5">
      <c r="A171" s="75">
        <v>38350</v>
      </c>
      <c r="B171" s="86" t="str">
        <f>B168</f>
        <v>Taxas Bancarias</v>
      </c>
      <c r="C171" s="3" t="str">
        <f>C168</f>
        <v>CPMF</v>
      </c>
      <c r="D171" s="63"/>
      <c r="E171" s="98">
        <v>0.23</v>
      </c>
    </row>
    <row r="172" spans="1:5">
      <c r="A172" s="75">
        <v>38340</v>
      </c>
      <c r="B172" s="86" t="str">
        <f>TiposLancamentos!B4</f>
        <v>Taxas Bancarias</v>
      </c>
      <c r="C172" s="3" t="s">
        <v>5065</v>
      </c>
      <c r="D172" s="63"/>
      <c r="E172" s="98">
        <v>0.23</v>
      </c>
    </row>
    <row r="173" spans="1:5">
      <c r="A173" s="75">
        <v>38351</v>
      </c>
      <c r="B173" s="86" t="str">
        <f>TiposLancamentos!B20</f>
        <v>Saques</v>
      </c>
      <c r="C173" s="3" t="s">
        <v>14984</v>
      </c>
      <c r="D173" s="63"/>
      <c r="E173" s="98">
        <v>330</v>
      </c>
    </row>
    <row r="174" spans="1:5">
      <c r="A174" s="75">
        <v>38351</v>
      </c>
      <c r="B174" s="86" t="str">
        <f>B171</f>
        <v>Taxas Bancarias</v>
      </c>
      <c r="C174" s="3" t="s">
        <v>5065</v>
      </c>
      <c r="D174" s="63"/>
      <c r="E174" s="98">
        <v>1.58</v>
      </c>
    </row>
    <row r="175" spans="1:5">
      <c r="A175" s="75">
        <v>38352</v>
      </c>
      <c r="B175" s="86" t="str">
        <f>TiposLancamentos!B5</f>
        <v>Supermercado</v>
      </c>
      <c r="C175" s="3" t="s">
        <v>14985</v>
      </c>
      <c r="D175" s="63"/>
      <c r="E175" s="98">
        <v>57.13</v>
      </c>
    </row>
    <row r="176" spans="1:5">
      <c r="A176" s="75">
        <v>38352</v>
      </c>
      <c r="B176" s="86" t="str">
        <f>B175</f>
        <v>Supermercado</v>
      </c>
      <c r="C176" s="3" t="s">
        <v>4816</v>
      </c>
      <c r="D176" s="63"/>
      <c r="E176" s="98">
        <v>12.66</v>
      </c>
    </row>
    <row r="177" spans="1:5">
      <c r="A177" s="83"/>
      <c r="B177" s="91"/>
      <c r="C177" s="92" t="s">
        <v>2764</v>
      </c>
      <c r="D177" s="93"/>
      <c r="E177" s="94"/>
    </row>
    <row r="178" spans="1:5">
      <c r="A178" s="75">
        <v>38353</v>
      </c>
      <c r="B178" s="86" t="str">
        <f>TiposLancamentos!B90</f>
        <v>Locadora</v>
      </c>
      <c r="C178" s="3" t="s">
        <v>14986</v>
      </c>
      <c r="D178" s="63"/>
      <c r="E178" s="98">
        <v>26.5</v>
      </c>
    </row>
    <row r="179" spans="1:5">
      <c r="A179" s="75">
        <v>38353</v>
      </c>
      <c r="B179" s="86" t="str">
        <f>B165</f>
        <v>Restaurantes</v>
      </c>
      <c r="C179" s="3" t="s">
        <v>4824</v>
      </c>
      <c r="D179" s="63"/>
      <c r="E179" s="98">
        <v>16.5</v>
      </c>
    </row>
    <row r="180" spans="1:5">
      <c r="A180" s="75">
        <v>38355</v>
      </c>
      <c r="B180" s="86" t="str">
        <f>TiposLancamentos!B15</f>
        <v>Cartões de Crédito</v>
      </c>
      <c r="C180" s="3" t="s">
        <v>5414</v>
      </c>
      <c r="D180" s="63"/>
      <c r="E180" s="98">
        <v>391.88</v>
      </c>
    </row>
    <row r="181" spans="1:5">
      <c r="A181" s="75">
        <v>38355</v>
      </c>
      <c r="B181" s="86" t="str">
        <f>B180</f>
        <v>Cartões de Crédito</v>
      </c>
      <c r="C181" s="3" t="s">
        <v>5142</v>
      </c>
      <c r="D181" s="63"/>
      <c r="E181" s="98">
        <v>21</v>
      </c>
    </row>
    <row r="182" spans="1:5">
      <c r="A182" s="75">
        <v>38355</v>
      </c>
      <c r="B182" s="86" t="str">
        <f>B173</f>
        <v>Saques</v>
      </c>
      <c r="C182" s="3" t="s">
        <v>14254</v>
      </c>
      <c r="D182" s="63"/>
      <c r="E182" s="98">
        <v>10</v>
      </c>
    </row>
    <row r="183" spans="1:5">
      <c r="A183" s="75">
        <v>38355</v>
      </c>
      <c r="B183" s="86" t="str">
        <f>B171</f>
        <v>Taxas Bancarias</v>
      </c>
      <c r="C183" s="3" t="s">
        <v>5065</v>
      </c>
      <c r="D183" s="63"/>
      <c r="E183" s="98">
        <v>2.1</v>
      </c>
    </row>
    <row r="184" spans="1:5">
      <c r="A184" s="75">
        <v>38356</v>
      </c>
      <c r="B184" s="86" t="str">
        <f>B165</f>
        <v>Restaurantes</v>
      </c>
      <c r="C184" s="3" t="s">
        <v>14987</v>
      </c>
      <c r="D184" s="63"/>
      <c r="E184" s="98">
        <v>25.52</v>
      </c>
    </row>
    <row r="185" spans="1:5">
      <c r="A185" s="75">
        <v>38356</v>
      </c>
      <c r="B185" s="86" t="str">
        <f>TiposLancamentos!B44</f>
        <v>Academia</v>
      </c>
      <c r="C185" s="3" t="s">
        <v>14988</v>
      </c>
      <c r="D185" s="63"/>
      <c r="E185" s="98">
        <v>305</v>
      </c>
    </row>
    <row r="186" spans="1:5">
      <c r="A186" s="75">
        <v>38356</v>
      </c>
      <c r="B186" s="86" t="str">
        <f>B183</f>
        <v>Taxas Bancarias</v>
      </c>
      <c r="C186" s="3" t="s">
        <v>5065</v>
      </c>
      <c r="D186" s="63"/>
      <c r="E186" s="98">
        <v>0.21</v>
      </c>
    </row>
    <row r="187" spans="1:5">
      <c r="A187" s="75">
        <v>38357</v>
      </c>
      <c r="B187" s="86" t="str">
        <f>B186</f>
        <v>Taxas Bancarias</v>
      </c>
      <c r="C187" s="3" t="s">
        <v>5065</v>
      </c>
      <c r="D187" s="63"/>
      <c r="E187" s="98">
        <v>1.81</v>
      </c>
    </row>
    <row r="188" spans="1:5">
      <c r="A188" s="75">
        <v>38357</v>
      </c>
      <c r="B188" s="86" t="str">
        <f>TiposLancamentos!B9</f>
        <v>Condominio</v>
      </c>
      <c r="C188" s="3" t="s">
        <v>1684</v>
      </c>
      <c r="D188" s="63"/>
      <c r="E188" s="98">
        <v>150</v>
      </c>
    </row>
    <row r="189" spans="1:5">
      <c r="A189" s="75">
        <v>38357</v>
      </c>
      <c r="B189" s="86" t="str">
        <f>TiposLancamentos!B16</f>
        <v>Cristiane</v>
      </c>
      <c r="C189" s="3" t="s">
        <v>14989</v>
      </c>
      <c r="D189" s="63"/>
      <c r="E189" s="98">
        <v>32</v>
      </c>
    </row>
    <row r="190" spans="1:5">
      <c r="A190" s="75">
        <v>38357</v>
      </c>
      <c r="B190" s="86" t="str">
        <f>B176</f>
        <v>Supermercado</v>
      </c>
      <c r="C190" s="3" t="s">
        <v>4816</v>
      </c>
      <c r="D190" s="63"/>
      <c r="E190" s="98">
        <v>24.77</v>
      </c>
    </row>
    <row r="191" spans="1:5">
      <c r="A191" s="75">
        <v>38357</v>
      </c>
      <c r="B191" s="86" t="str">
        <f>B183</f>
        <v>Taxas Bancarias</v>
      </c>
      <c r="C191" s="3" t="s">
        <v>5065</v>
      </c>
      <c r="D191" s="63"/>
      <c r="E191" s="98">
        <v>1.81</v>
      </c>
    </row>
    <row r="192" spans="1:5">
      <c r="A192" s="75">
        <v>38358</v>
      </c>
      <c r="B192" s="86" t="str">
        <f>B191</f>
        <v>Taxas Bancarias</v>
      </c>
      <c r="C192" s="3" t="s">
        <v>5065</v>
      </c>
      <c r="D192" s="63"/>
      <c r="E192" s="98">
        <v>0.09</v>
      </c>
    </row>
    <row r="193" spans="1:5">
      <c r="A193" s="75">
        <v>38358</v>
      </c>
      <c r="B193" s="86" t="str">
        <f>B182</f>
        <v>Saques</v>
      </c>
      <c r="C193" s="3" t="s">
        <v>14254</v>
      </c>
      <c r="D193" s="63"/>
      <c r="E193" s="98">
        <v>20</v>
      </c>
    </row>
    <row r="194" spans="1:5">
      <c r="A194" s="75">
        <v>38359</v>
      </c>
      <c r="B194" s="86" t="str">
        <f>B191</f>
        <v>Taxas Bancarias</v>
      </c>
      <c r="C194" s="3" t="s">
        <v>5065</v>
      </c>
      <c r="D194" s="63"/>
      <c r="E194" s="98">
        <v>0.19</v>
      </c>
    </row>
    <row r="195" spans="1:5">
      <c r="A195" s="75">
        <v>38359</v>
      </c>
      <c r="B195" s="86" t="str">
        <f>B184</f>
        <v>Restaurantes</v>
      </c>
      <c r="C195" s="3" t="s">
        <v>4824</v>
      </c>
      <c r="D195" s="63"/>
      <c r="E195" s="98">
        <v>19.8</v>
      </c>
    </row>
    <row r="196" spans="1:5">
      <c r="A196" s="75">
        <v>38362</v>
      </c>
      <c r="B196" s="86" t="str">
        <f>B193</f>
        <v>Saques</v>
      </c>
      <c r="C196" s="3" t="s">
        <v>4955</v>
      </c>
      <c r="D196" s="63"/>
      <c r="E196" s="98">
        <v>10</v>
      </c>
    </row>
    <row r="197" spans="1:5">
      <c r="A197" s="75">
        <v>38362</v>
      </c>
      <c r="B197" s="86" t="str">
        <f>B190</f>
        <v>Supermercado</v>
      </c>
      <c r="C197" s="3" t="s">
        <v>14990</v>
      </c>
      <c r="D197" s="78"/>
      <c r="E197" s="49">
        <v>23.99</v>
      </c>
    </row>
    <row r="198" spans="1:5">
      <c r="A198" s="75">
        <v>38362</v>
      </c>
      <c r="B198" s="86" t="str">
        <f>B194</f>
        <v>Taxas Bancarias</v>
      </c>
      <c r="C198" s="3" t="s">
        <v>5065</v>
      </c>
      <c r="D198" s="78"/>
      <c r="E198" s="49">
        <v>7.0000000000000007E-2</v>
      </c>
    </row>
    <row r="199" spans="1:5">
      <c r="A199" s="75">
        <v>38363</v>
      </c>
      <c r="B199" s="86" t="str">
        <f>TiposLancamentos!B82</f>
        <v>CG Titan 125</v>
      </c>
      <c r="C199" s="3" t="s">
        <v>12981</v>
      </c>
      <c r="D199" s="78"/>
      <c r="E199" s="49">
        <v>113.1</v>
      </c>
    </row>
    <row r="200" spans="1:5">
      <c r="A200" s="75">
        <v>38363</v>
      </c>
      <c r="B200" s="86" t="str">
        <f>B198</f>
        <v>Taxas Bancarias</v>
      </c>
      <c r="C200" s="3" t="s">
        <v>5065</v>
      </c>
      <c r="D200" s="78"/>
      <c r="E200" s="49">
        <v>0.62</v>
      </c>
    </row>
    <row r="201" spans="1:5">
      <c r="A201" s="75">
        <v>38364</v>
      </c>
      <c r="B201" s="86" t="str">
        <f>B196</f>
        <v>Saques</v>
      </c>
      <c r="C201" s="3" t="s">
        <v>14991</v>
      </c>
      <c r="D201" s="78"/>
      <c r="E201" s="49">
        <v>10</v>
      </c>
    </row>
    <row r="202" spans="1:5">
      <c r="A202" s="75">
        <v>38364</v>
      </c>
      <c r="B202" s="86" t="str">
        <f>B200</f>
        <v>Taxas Bancarias</v>
      </c>
      <c r="C202" s="3" t="s">
        <v>5065</v>
      </c>
      <c r="D202" s="78"/>
      <c r="E202" s="49">
        <v>0.03</v>
      </c>
    </row>
    <row r="203" spans="1:5">
      <c r="A203" s="75">
        <v>38365</v>
      </c>
      <c r="B203" s="86" t="str">
        <f>B144</f>
        <v>Moradia</v>
      </c>
      <c r="C203" s="3" t="s">
        <v>12983</v>
      </c>
      <c r="D203" s="616"/>
      <c r="E203" s="49">
        <v>143.85</v>
      </c>
    </row>
    <row r="204" spans="1:5">
      <c r="A204" s="75">
        <v>38366</v>
      </c>
      <c r="B204" s="86" t="str">
        <f>TiposLancamentos!B95</f>
        <v>Salarios</v>
      </c>
      <c r="C204" s="3" t="s">
        <v>14992</v>
      </c>
      <c r="D204" s="78">
        <v>1360</v>
      </c>
      <c r="E204" s="49"/>
    </row>
    <row r="205" spans="1:5">
      <c r="A205" s="75">
        <v>38366</v>
      </c>
      <c r="B205" s="86" t="str">
        <f>B145</f>
        <v>Documentos</v>
      </c>
      <c r="C205" s="3" t="s">
        <v>12984</v>
      </c>
      <c r="D205" s="78"/>
      <c r="E205" s="49">
        <v>347.93</v>
      </c>
    </row>
    <row r="206" spans="1:5">
      <c r="A206" s="75">
        <v>38366</v>
      </c>
      <c r="B206" s="86" t="str">
        <f>TiposLancamentos!B8</f>
        <v>Aluguel</v>
      </c>
      <c r="C206" s="3" t="s">
        <v>14993</v>
      </c>
      <c r="D206" s="78"/>
      <c r="E206" s="49">
        <v>733.5</v>
      </c>
    </row>
    <row r="207" spans="1:5">
      <c r="A207" s="75">
        <v>38366</v>
      </c>
      <c r="B207" s="86" t="str">
        <f>B197</f>
        <v>Supermercado</v>
      </c>
      <c r="C207" s="3" t="s">
        <v>4816</v>
      </c>
      <c r="D207" s="78"/>
      <c r="E207" s="49">
        <v>13.72</v>
      </c>
    </row>
    <row r="208" spans="1:5">
      <c r="A208" s="75">
        <v>38366</v>
      </c>
      <c r="B208" s="86" t="str">
        <f>B202</f>
        <v>Taxas Bancarias</v>
      </c>
      <c r="C208" s="3" t="s">
        <v>5065</v>
      </c>
      <c r="D208" s="78"/>
      <c r="E208" s="49">
        <v>4.6399999999999997</v>
      </c>
    </row>
    <row r="209" spans="1:5">
      <c r="A209" s="75">
        <v>38366</v>
      </c>
      <c r="B209" s="86" t="str">
        <f>B208</f>
        <v>Taxas Bancarias</v>
      </c>
      <c r="C209" s="3" t="s">
        <v>14994</v>
      </c>
      <c r="D209" s="78"/>
      <c r="E209" s="49">
        <v>0.28999999999999998</v>
      </c>
    </row>
    <row r="210" spans="1:5">
      <c r="A210" s="75">
        <v>38367</v>
      </c>
      <c r="B210" s="86" t="str">
        <f>B148</f>
        <v>Cartões de Crédito</v>
      </c>
      <c r="C210" s="3" t="s">
        <v>14995</v>
      </c>
      <c r="D210" s="78"/>
      <c r="E210" s="49">
        <v>74.06</v>
      </c>
    </row>
    <row r="211" spans="1:5">
      <c r="A211" s="75">
        <v>38367</v>
      </c>
      <c r="B211" s="86" t="str">
        <f>B197</f>
        <v>Supermercado</v>
      </c>
      <c r="C211" s="3" t="s">
        <v>14996</v>
      </c>
      <c r="D211" s="78"/>
      <c r="E211" s="49">
        <v>42.05</v>
      </c>
    </row>
    <row r="212" spans="1:5">
      <c r="A212" s="75">
        <v>38369</v>
      </c>
      <c r="B212" s="86" t="str">
        <f>B208</f>
        <v>Taxas Bancarias</v>
      </c>
      <c r="C212" s="3" t="s">
        <v>5065</v>
      </c>
      <c r="D212" s="78"/>
      <c r="E212" s="49">
        <v>0.43</v>
      </c>
    </row>
    <row r="213" spans="1:5">
      <c r="A213" s="75">
        <v>38369</v>
      </c>
      <c r="B213" s="86" t="str">
        <f>TiposLancamentos!B16</f>
        <v>Cristiane</v>
      </c>
      <c r="C213" s="3" t="s">
        <v>2774</v>
      </c>
      <c r="D213" s="78"/>
      <c r="E213" s="49">
        <v>10</v>
      </c>
    </row>
    <row r="214" spans="1:5">
      <c r="A214" s="75">
        <v>38369</v>
      </c>
      <c r="B214" s="86" t="str">
        <f>B201</f>
        <v>Saques</v>
      </c>
      <c r="C214" s="3" t="s">
        <v>14997</v>
      </c>
      <c r="D214" s="78"/>
      <c r="E214" s="49">
        <v>20</v>
      </c>
    </row>
    <row r="215" spans="1:5">
      <c r="A215" s="75">
        <v>38369</v>
      </c>
      <c r="B215" s="86" t="str">
        <f>TiposLancamentos!B90</f>
        <v>Locadora</v>
      </c>
      <c r="C215" s="3" t="s">
        <v>1841</v>
      </c>
      <c r="D215" s="78"/>
      <c r="E215" s="49">
        <v>16</v>
      </c>
    </row>
    <row r="216" spans="1:5">
      <c r="A216" s="75">
        <v>38369</v>
      </c>
      <c r="B216" s="86" t="str">
        <f>TiposLancamentos!B5</f>
        <v>Supermercado</v>
      </c>
      <c r="C216" s="3" t="s">
        <v>14195</v>
      </c>
      <c r="D216" s="78"/>
      <c r="E216" s="49">
        <v>16.71</v>
      </c>
    </row>
    <row r="217" spans="1:5">
      <c r="A217" s="75">
        <v>38370</v>
      </c>
      <c r="B217" s="86" t="str">
        <f>B212</f>
        <v>Taxas Bancarias</v>
      </c>
      <c r="C217" s="3" t="str">
        <f>C212</f>
        <v>CPMF</v>
      </c>
      <c r="D217" s="78"/>
      <c r="E217" s="49">
        <v>0.27</v>
      </c>
    </row>
    <row r="218" spans="1:5">
      <c r="A218" s="75">
        <v>38370</v>
      </c>
      <c r="B218" s="86" t="str">
        <f>TiposLancamentos!B96</f>
        <v>Resg.Poup.</v>
      </c>
      <c r="C218" s="3" t="s">
        <v>14998</v>
      </c>
      <c r="D218" s="78">
        <v>250</v>
      </c>
      <c r="E218" s="49"/>
    </row>
    <row r="219" spans="1:5">
      <c r="A219" s="75">
        <v>38370</v>
      </c>
      <c r="B219" s="86" t="str">
        <f>TiposLancamentos!B96</f>
        <v>Resg.Poup.</v>
      </c>
      <c r="C219" s="3" t="s">
        <v>14998</v>
      </c>
      <c r="D219" s="78">
        <v>150</v>
      </c>
      <c r="E219" s="49"/>
    </row>
    <row r="220" spans="1:5">
      <c r="A220" s="75">
        <v>38370</v>
      </c>
      <c r="B220" s="86" t="str">
        <f>B217</f>
        <v>Taxas Bancarias</v>
      </c>
      <c r="C220" s="3" t="s">
        <v>14999</v>
      </c>
      <c r="D220" s="78"/>
      <c r="E220" s="49">
        <v>0.24</v>
      </c>
    </row>
    <row r="221" spans="1:5">
      <c r="A221" s="75">
        <v>38371</v>
      </c>
      <c r="B221" s="86" t="str">
        <f>B220</f>
        <v>Taxas Bancarias</v>
      </c>
      <c r="C221" s="3" t="s">
        <v>5065</v>
      </c>
      <c r="D221" s="78"/>
      <c r="E221" s="49">
        <v>0.65</v>
      </c>
    </row>
    <row r="222" spans="1:5">
      <c r="A222" s="75">
        <v>38371</v>
      </c>
      <c r="B222" s="86" t="str">
        <f>TiposLancamentos!B2</f>
        <v>Telefonia</v>
      </c>
      <c r="C222" s="3" t="s">
        <v>4813</v>
      </c>
      <c r="D222" s="78"/>
      <c r="E222" s="49">
        <v>112.66</v>
      </c>
    </row>
    <row r="223" spans="1:5">
      <c r="A223" s="75">
        <v>38371</v>
      </c>
      <c r="B223" s="86" t="str">
        <f>TiposLancamentos!B3</f>
        <v>Internet</v>
      </c>
      <c r="C223" s="3" t="s">
        <v>2784</v>
      </c>
      <c r="D223" s="78"/>
      <c r="E223" s="49">
        <v>59.9</v>
      </c>
    </row>
    <row r="224" spans="1:5">
      <c r="A224" s="75">
        <v>38372</v>
      </c>
      <c r="B224" s="86" t="str">
        <f>B221</f>
        <v>Taxas Bancarias</v>
      </c>
      <c r="C224" s="3" t="s">
        <v>5065</v>
      </c>
      <c r="D224" s="78"/>
      <c r="E224" s="49">
        <v>7.0000000000000007E-2</v>
      </c>
    </row>
    <row r="225" spans="1:5">
      <c r="A225" s="75">
        <v>38372</v>
      </c>
      <c r="B225" s="86" t="str">
        <f>TiposLancamentos!B6</f>
        <v>Energia Eletrica</v>
      </c>
      <c r="C225" s="3" t="s">
        <v>4831</v>
      </c>
      <c r="D225" s="78"/>
      <c r="E225" s="49">
        <v>20.97</v>
      </c>
    </row>
    <row r="226" spans="1:5">
      <c r="A226" s="75">
        <v>38373</v>
      </c>
      <c r="B226" s="86" t="str">
        <f>TiposLancamentos!B98</f>
        <v>Restituições</v>
      </c>
      <c r="C226" s="3" t="s">
        <v>14956</v>
      </c>
      <c r="D226" s="78">
        <v>63</v>
      </c>
      <c r="E226" s="49"/>
    </row>
    <row r="227" spans="1:5">
      <c r="A227" s="75">
        <v>38374</v>
      </c>
      <c r="B227" s="86" t="str">
        <f>B207</f>
        <v>Supermercado</v>
      </c>
      <c r="C227" s="3" t="s">
        <v>4816</v>
      </c>
      <c r="D227" s="78"/>
      <c r="E227" s="49">
        <v>22.26</v>
      </c>
    </row>
    <row r="228" spans="1:5">
      <c r="A228" s="75">
        <v>38376</v>
      </c>
      <c r="B228" s="86" t="str">
        <f>TiposLancamentos!B15</f>
        <v>Cartões de Crédito</v>
      </c>
      <c r="C228" s="3" t="s">
        <v>2928</v>
      </c>
      <c r="D228" s="78"/>
      <c r="E228" s="49">
        <v>50</v>
      </c>
    </row>
    <row r="229" spans="1:5">
      <c r="A229" s="75">
        <v>38376</v>
      </c>
      <c r="B229" s="86" t="str">
        <f>B224</f>
        <v>Taxas Bancarias</v>
      </c>
      <c r="C229" s="3" t="s">
        <v>5065</v>
      </c>
      <c r="D229" s="78"/>
      <c r="E229" s="49">
        <v>0.27</v>
      </c>
    </row>
    <row r="230" spans="1:5">
      <c r="A230" s="75">
        <v>38377</v>
      </c>
      <c r="B230" s="86" t="str">
        <f>TiposLancamentos!B20</f>
        <v>Saques</v>
      </c>
      <c r="C230" s="3" t="s">
        <v>15000</v>
      </c>
      <c r="D230" s="78"/>
      <c r="E230" s="49">
        <v>20</v>
      </c>
    </row>
    <row r="231" spans="1:5">
      <c r="A231" s="75">
        <v>38377</v>
      </c>
      <c r="B231" s="86" t="str">
        <f>TiposLancamentos!B90</f>
        <v>Locadora</v>
      </c>
      <c r="C231" s="3" t="s">
        <v>14968</v>
      </c>
      <c r="D231" s="78"/>
      <c r="E231" s="49">
        <v>14</v>
      </c>
    </row>
    <row r="232" spans="1:5">
      <c r="A232" s="75">
        <v>38377</v>
      </c>
      <c r="B232" s="86" t="str">
        <f>B227</f>
        <v>Supermercado</v>
      </c>
      <c r="C232" s="3" t="s">
        <v>4816</v>
      </c>
      <c r="D232" s="78"/>
      <c r="E232" s="49">
        <v>17.260000000000002</v>
      </c>
    </row>
    <row r="233" spans="1:5">
      <c r="A233" s="75">
        <v>38377</v>
      </c>
      <c r="B233" s="86" t="str">
        <f>B229</f>
        <v>Taxas Bancarias</v>
      </c>
      <c r="C233" s="3" t="s">
        <v>5065</v>
      </c>
      <c r="D233" s="78"/>
      <c r="E233" s="49">
        <v>7.0000000000000007E-2</v>
      </c>
    </row>
    <row r="234" spans="1:5">
      <c r="A234" s="75">
        <v>38378</v>
      </c>
      <c r="B234" s="86" t="str">
        <f>B233</f>
        <v>Taxas Bancarias</v>
      </c>
      <c r="C234" s="3" t="s">
        <v>5065</v>
      </c>
      <c r="D234" s="78"/>
      <c r="E234" s="49">
        <v>0.11</v>
      </c>
    </row>
    <row r="235" spans="1:5">
      <c r="A235" s="75">
        <v>38379</v>
      </c>
      <c r="B235" s="86" t="str">
        <f>B232</f>
        <v>Supermercado</v>
      </c>
      <c r="C235" s="3" t="s">
        <v>14195</v>
      </c>
      <c r="D235" s="78"/>
      <c r="E235" s="49">
        <v>20.29</v>
      </c>
    </row>
    <row r="236" spans="1:5">
      <c r="A236" s="75">
        <v>38380</v>
      </c>
      <c r="B236" s="86" t="str">
        <f>B234</f>
        <v>Taxas Bancarias</v>
      </c>
      <c r="C236" s="3" t="s">
        <v>5065</v>
      </c>
      <c r="D236" s="78"/>
      <c r="E236" s="49">
        <v>7.0000000000000007E-2</v>
      </c>
    </row>
    <row r="237" spans="1:5">
      <c r="A237" s="75">
        <v>38380</v>
      </c>
      <c r="B237" s="86" t="str">
        <f>B232</f>
        <v>Supermercado</v>
      </c>
      <c r="C237" s="3" t="s">
        <v>15001</v>
      </c>
      <c r="D237" s="78"/>
      <c r="E237" s="49">
        <v>26.79</v>
      </c>
    </row>
    <row r="238" spans="1:5">
      <c r="A238" s="75">
        <v>38381</v>
      </c>
      <c r="B238" s="86" t="str">
        <f>TiposLancamentos!B16</f>
        <v>Cristiane</v>
      </c>
      <c r="C238" s="3" t="s">
        <v>15002</v>
      </c>
      <c r="D238" s="78"/>
      <c r="E238" s="49">
        <v>60</v>
      </c>
    </row>
    <row r="239" spans="1:5">
      <c r="A239" s="75">
        <v>38381</v>
      </c>
      <c r="B239" s="86" t="str">
        <f>TiposLancamentos!B57</f>
        <v>Informática</v>
      </c>
      <c r="C239" s="3" t="s">
        <v>15003</v>
      </c>
      <c r="D239" s="78"/>
      <c r="E239" s="49">
        <v>22.5</v>
      </c>
    </row>
    <row r="240" spans="1:5">
      <c r="A240" s="75">
        <v>38382</v>
      </c>
      <c r="B240" s="86" t="str">
        <f>B230</f>
        <v>Saques</v>
      </c>
      <c r="C240" s="3" t="s">
        <v>2644</v>
      </c>
      <c r="D240" s="78"/>
      <c r="E240" s="49">
        <v>10</v>
      </c>
    </row>
    <row r="241" spans="1:5">
      <c r="A241" s="75">
        <v>38383</v>
      </c>
      <c r="B241" s="86" t="str">
        <f>B213</f>
        <v>Cristiane</v>
      </c>
      <c r="C241" s="3" t="s">
        <v>2774</v>
      </c>
      <c r="D241" s="78"/>
      <c r="E241" s="49">
        <v>20</v>
      </c>
    </row>
    <row r="242" spans="1:5">
      <c r="A242" s="75">
        <v>38383</v>
      </c>
      <c r="B242" s="86" t="str">
        <f>B204</f>
        <v>Salarios</v>
      </c>
      <c r="C242" s="3" t="s">
        <v>14170</v>
      </c>
      <c r="D242" s="78">
        <v>1370.28</v>
      </c>
      <c r="E242" s="49"/>
    </row>
    <row r="243" spans="1:5">
      <c r="A243" s="75">
        <v>38383</v>
      </c>
      <c r="B243" s="86" t="str">
        <f>B230</f>
        <v>Saques</v>
      </c>
      <c r="C243" s="3" t="s">
        <v>14685</v>
      </c>
      <c r="D243" s="78"/>
      <c r="E243" s="49">
        <v>100</v>
      </c>
    </row>
    <row r="244" spans="1:5">
      <c r="A244" s="75">
        <v>38383</v>
      </c>
      <c r="B244" s="86" t="str">
        <f>B234</f>
        <v>Taxas Bancarias</v>
      </c>
      <c r="C244" s="3" t="s">
        <v>15004</v>
      </c>
      <c r="D244" s="78"/>
      <c r="E244" s="49">
        <v>1.39</v>
      </c>
    </row>
    <row r="245" spans="1:5">
      <c r="A245" s="75">
        <v>38383</v>
      </c>
      <c r="B245" s="86" t="str">
        <f>B244</f>
        <v>Taxas Bancarias</v>
      </c>
      <c r="C245" s="3" t="s">
        <v>15005</v>
      </c>
      <c r="D245" s="78"/>
      <c r="E245" s="49">
        <v>0.66</v>
      </c>
    </row>
    <row r="246" spans="1:5">
      <c r="A246" s="75">
        <v>38383</v>
      </c>
      <c r="B246" s="86" t="str">
        <f>B245</f>
        <v>Taxas Bancarias</v>
      </c>
      <c r="C246" s="3" t="s">
        <v>15006</v>
      </c>
      <c r="D246" s="78"/>
      <c r="E246" s="49">
        <v>0.06</v>
      </c>
    </row>
    <row r="247" spans="1:5">
      <c r="A247" s="83"/>
      <c r="B247" s="91"/>
      <c r="C247" s="92" t="s">
        <v>14129</v>
      </c>
      <c r="D247" s="74"/>
      <c r="E247" s="44"/>
    </row>
    <row r="248" spans="1:5">
      <c r="A248" s="75">
        <v>38384</v>
      </c>
      <c r="B248" s="86" t="str">
        <f>B252</f>
        <v>Saques</v>
      </c>
      <c r="C248" s="3" t="s">
        <v>15007</v>
      </c>
      <c r="D248" s="78"/>
      <c r="E248" s="49">
        <v>10</v>
      </c>
    </row>
    <row r="249" spans="1:5">
      <c r="A249" s="75">
        <v>38384</v>
      </c>
      <c r="B249" s="86" t="str">
        <f>B245</f>
        <v>Taxas Bancarias</v>
      </c>
      <c r="C249" s="3" t="s">
        <v>5065</v>
      </c>
      <c r="D249" s="78"/>
      <c r="E249" s="49">
        <v>0.03</v>
      </c>
    </row>
    <row r="250" spans="1:5">
      <c r="A250" s="75">
        <v>38385</v>
      </c>
      <c r="B250" s="86" t="str">
        <f>B180</f>
        <v>Cartões de Crédito</v>
      </c>
      <c r="C250" s="3" t="s">
        <v>15008</v>
      </c>
      <c r="D250" s="78"/>
      <c r="E250" s="49">
        <v>419.34</v>
      </c>
    </row>
    <row r="251" spans="1:5">
      <c r="A251" s="75">
        <v>38385</v>
      </c>
      <c r="B251" s="86" t="str">
        <f>B250</f>
        <v>Cartões de Crédito</v>
      </c>
      <c r="C251" s="3" t="s">
        <v>15009</v>
      </c>
      <c r="D251" s="78"/>
      <c r="E251" s="49">
        <v>1145</v>
      </c>
    </row>
    <row r="252" spans="1:5">
      <c r="A252" s="75">
        <v>38385</v>
      </c>
      <c r="B252" s="86" t="str">
        <f>B243</f>
        <v>Saques</v>
      </c>
      <c r="C252" s="3" t="s">
        <v>2668</v>
      </c>
      <c r="D252" s="78"/>
      <c r="E252" s="49">
        <v>10</v>
      </c>
    </row>
    <row r="253" spans="1:5">
      <c r="A253" s="75">
        <v>38385</v>
      </c>
      <c r="B253" s="86" t="str">
        <f>B249</f>
        <v>Taxas Bancarias</v>
      </c>
      <c r="C253" s="3" t="s">
        <v>5065</v>
      </c>
      <c r="D253" s="78"/>
      <c r="E253" s="49">
        <v>6.19</v>
      </c>
    </row>
    <row r="254" spans="1:5">
      <c r="A254" s="75">
        <v>38385</v>
      </c>
      <c r="B254" s="86" t="str">
        <f>B253</f>
        <v>Taxas Bancarias</v>
      </c>
      <c r="C254" s="3" t="s">
        <v>15010</v>
      </c>
      <c r="D254" s="78">
        <v>60</v>
      </c>
      <c r="E254" s="49">
        <v>60</v>
      </c>
    </row>
    <row r="255" spans="1:5">
      <c r="A255" s="75">
        <v>38386</v>
      </c>
      <c r="B255" s="86" t="str">
        <f>B254</f>
        <v>Taxas Bancarias</v>
      </c>
      <c r="C255" s="3" t="s">
        <v>15011</v>
      </c>
      <c r="D255" s="78"/>
      <c r="E255" s="49">
        <v>0.15</v>
      </c>
    </row>
    <row r="256" spans="1:5">
      <c r="A256" s="75">
        <v>38386</v>
      </c>
      <c r="B256" s="86" t="str">
        <f>TiposLancamentos!B44</f>
        <v>Academia</v>
      </c>
      <c r="C256" s="3" t="s">
        <v>15012</v>
      </c>
      <c r="D256" s="78"/>
      <c r="E256" s="49">
        <v>228</v>
      </c>
    </row>
    <row r="257" spans="1:5">
      <c r="A257" s="75">
        <v>38387</v>
      </c>
      <c r="B257" s="86" t="str">
        <f>B250</f>
        <v>Cartões de Crédito</v>
      </c>
      <c r="C257" s="3" t="s">
        <v>15013</v>
      </c>
      <c r="D257" s="78">
        <v>1145</v>
      </c>
      <c r="E257" s="49"/>
    </row>
    <row r="258" spans="1:5">
      <c r="A258" s="75">
        <v>38388</v>
      </c>
      <c r="B258" s="86" t="str">
        <f>B188</f>
        <v>Condominio</v>
      </c>
      <c r="C258" s="3" t="s">
        <v>15014</v>
      </c>
      <c r="D258" s="78"/>
      <c r="E258" s="49">
        <v>150</v>
      </c>
    </row>
    <row r="259" spans="1:5">
      <c r="A259" s="75">
        <v>38389</v>
      </c>
      <c r="B259" s="86" t="str">
        <f>TiposLancamentos!B20</f>
        <v>Saques</v>
      </c>
      <c r="C259" s="3" t="s">
        <v>15015</v>
      </c>
      <c r="D259" s="78"/>
      <c r="E259" s="49">
        <v>30</v>
      </c>
    </row>
    <row r="260" spans="1:5">
      <c r="A260" s="75">
        <v>38389</v>
      </c>
      <c r="B260" s="86" t="str">
        <f>TiposLancamentos!B56</f>
        <v>Farmácia</v>
      </c>
      <c r="C260" s="3" t="s">
        <v>14206</v>
      </c>
      <c r="D260" s="78"/>
      <c r="E260" s="49">
        <v>44.08</v>
      </c>
    </row>
    <row r="261" spans="1:5">
      <c r="A261" s="75">
        <v>38389</v>
      </c>
      <c r="B261" s="86" t="str">
        <f>TiposLancamentos!B5</f>
        <v>Supermercado</v>
      </c>
      <c r="C261" s="3" t="s">
        <v>15016</v>
      </c>
      <c r="D261" s="78"/>
      <c r="E261" s="49">
        <v>113.15</v>
      </c>
    </row>
    <row r="262" spans="1:5">
      <c r="A262" s="75">
        <v>38391</v>
      </c>
      <c r="B262" s="86" t="str">
        <f>TiposLancamentos!B90</f>
        <v>Locadora</v>
      </c>
      <c r="C262" s="3" t="s">
        <v>14986</v>
      </c>
      <c r="D262" s="78"/>
      <c r="E262" s="49">
        <v>21</v>
      </c>
    </row>
    <row r="263" spans="1:5">
      <c r="A263" s="75">
        <v>38392</v>
      </c>
      <c r="B263" s="86" t="str">
        <f>B255</f>
        <v>Taxas Bancarias</v>
      </c>
      <c r="C263" s="3" t="s">
        <v>5065</v>
      </c>
      <c r="D263" s="78"/>
      <c r="E263" s="49">
        <v>1.77</v>
      </c>
    </row>
    <row r="264" spans="1:5">
      <c r="A264" s="75">
        <v>38393</v>
      </c>
      <c r="B264" s="86" t="str">
        <f>B228</f>
        <v>Cartões de Crédito</v>
      </c>
      <c r="C264" s="3" t="s">
        <v>15017</v>
      </c>
      <c r="D264" s="78"/>
      <c r="E264" s="49">
        <v>27.03</v>
      </c>
    </row>
    <row r="265" spans="1:5">
      <c r="A265" s="75">
        <v>38393</v>
      </c>
      <c r="B265" s="86" t="str">
        <f>B228</f>
        <v>Cartões de Crédito</v>
      </c>
      <c r="C265" s="3" t="s">
        <v>15018</v>
      </c>
      <c r="D265" s="78"/>
      <c r="E265" s="49">
        <v>27.03</v>
      </c>
    </row>
    <row r="266" spans="1:5">
      <c r="A266" s="75">
        <v>38393</v>
      </c>
      <c r="B266" s="86" t="str">
        <f>TiposLancamentos!B4</f>
        <v>Taxas Bancarias</v>
      </c>
      <c r="C266" s="3" t="s">
        <v>5065</v>
      </c>
      <c r="D266" s="78"/>
      <c r="E266" s="49">
        <v>0.62</v>
      </c>
    </row>
    <row r="267" spans="1:5">
      <c r="A267" s="75">
        <v>38394</v>
      </c>
      <c r="B267" s="86" t="str">
        <f>B259</f>
        <v>Saques</v>
      </c>
      <c r="C267" s="3" t="s">
        <v>15019</v>
      </c>
      <c r="D267" s="78"/>
      <c r="E267" s="49">
        <v>10</v>
      </c>
    </row>
    <row r="268" spans="1:5">
      <c r="A268" s="75">
        <v>38394</v>
      </c>
      <c r="B268" s="86" t="str">
        <f>TiposLancamentos!B82</f>
        <v>CG Titan 125</v>
      </c>
      <c r="C268" s="3" t="s">
        <v>12994</v>
      </c>
      <c r="D268" s="78"/>
      <c r="E268" s="49">
        <v>113.1</v>
      </c>
    </row>
    <row r="269" spans="1:5">
      <c r="A269" s="75">
        <v>38394</v>
      </c>
      <c r="B269" s="86" t="str">
        <f>TiposLancamentos!B4</f>
        <v>Taxas Bancarias</v>
      </c>
      <c r="C269" s="3" t="s">
        <v>5065</v>
      </c>
      <c r="D269" s="78"/>
      <c r="E269" s="49">
        <v>0.53</v>
      </c>
    </row>
    <row r="270" spans="1:5">
      <c r="A270" s="75">
        <v>38394</v>
      </c>
      <c r="B270" s="86" t="str">
        <f>TiposLancamentos!B98</f>
        <v>Restituições</v>
      </c>
      <c r="C270" s="3" t="s">
        <v>14970</v>
      </c>
      <c r="D270" s="78">
        <v>25.38</v>
      </c>
      <c r="E270" s="49"/>
    </row>
    <row r="271" spans="1:5">
      <c r="A271" s="75">
        <v>38394</v>
      </c>
      <c r="B271" s="86" t="str">
        <f>TiposLancamentos!B98</f>
        <v>Restituições</v>
      </c>
      <c r="C271" s="3" t="s">
        <v>14970</v>
      </c>
      <c r="D271" s="78">
        <v>106.2</v>
      </c>
      <c r="E271" s="49"/>
    </row>
    <row r="272" spans="1:5">
      <c r="A272" s="75">
        <v>38396</v>
      </c>
      <c r="B272" s="86" t="str">
        <f>B203</f>
        <v>Moradia</v>
      </c>
      <c r="C272" s="3" t="s">
        <v>12996</v>
      </c>
      <c r="D272" s="78"/>
      <c r="E272" s="49">
        <v>143.85</v>
      </c>
    </row>
    <row r="273" spans="1:5">
      <c r="A273" s="75">
        <v>38397</v>
      </c>
      <c r="B273" s="86" t="str">
        <f>TiposLancamentos!B20</f>
        <v>Saques</v>
      </c>
      <c r="C273" s="3" t="s">
        <v>15020</v>
      </c>
      <c r="D273" s="78"/>
      <c r="E273" s="49">
        <v>15</v>
      </c>
    </row>
    <row r="274" spans="1:5">
      <c r="A274" s="75">
        <v>38397</v>
      </c>
      <c r="B274" s="86" t="str">
        <f>TiposLancamentos!B8</f>
        <v>Aluguel</v>
      </c>
      <c r="C274" s="3" t="s">
        <v>1682</v>
      </c>
      <c r="D274" s="78"/>
      <c r="E274" s="49">
        <v>797.76</v>
      </c>
    </row>
    <row r="275" spans="1:5">
      <c r="A275" s="75">
        <v>38397</v>
      </c>
      <c r="B275" s="86" t="str">
        <f>TiposLancamentos!B4</f>
        <v>Taxas Bancarias</v>
      </c>
      <c r="C275" s="3" t="s">
        <v>5065</v>
      </c>
      <c r="D275" s="78"/>
      <c r="E275" s="49">
        <v>3.08</v>
      </c>
    </row>
    <row r="276" spans="1:5">
      <c r="A276" s="75">
        <v>38398</v>
      </c>
      <c r="B276" s="86" t="str">
        <f>TiposLancamentos!B95</f>
        <v>Salarios</v>
      </c>
      <c r="C276" s="3" t="s">
        <v>15021</v>
      </c>
      <c r="D276" s="78">
        <v>1360</v>
      </c>
      <c r="E276" s="49"/>
    </row>
    <row r="277" spans="1:5">
      <c r="A277" s="75">
        <v>38398</v>
      </c>
      <c r="B277" s="86" t="str">
        <f>TiposLancamentos!B15</f>
        <v>Cartões de Crédito</v>
      </c>
      <c r="C277" s="3" t="s">
        <v>15022</v>
      </c>
      <c r="D277" s="78"/>
      <c r="E277" s="49">
        <v>49.9</v>
      </c>
    </row>
    <row r="278" spans="1:5">
      <c r="A278" s="75">
        <v>38398</v>
      </c>
      <c r="B278" s="86" t="str">
        <f>TiposLancamentos!B105</f>
        <v>Transf. Bco</v>
      </c>
      <c r="C278" s="3" t="s">
        <v>14962</v>
      </c>
      <c r="D278" s="78"/>
      <c r="E278" s="49">
        <v>200</v>
      </c>
    </row>
    <row r="279" spans="1:5">
      <c r="A279" s="75">
        <v>38398</v>
      </c>
      <c r="B279" s="86" t="str">
        <f>TiposLancamentos!B90</f>
        <v>Locadora</v>
      </c>
      <c r="C279" s="3" t="s">
        <v>14986</v>
      </c>
      <c r="D279" s="78"/>
      <c r="E279" s="49">
        <v>21</v>
      </c>
    </row>
    <row r="280" spans="1:5">
      <c r="A280" s="75">
        <v>38398</v>
      </c>
      <c r="B280" s="86" t="str">
        <f>TiposLancamentos!B4</f>
        <v>Taxas Bancarias</v>
      </c>
      <c r="C280" s="3" t="s">
        <v>5065</v>
      </c>
      <c r="D280" s="78"/>
      <c r="E280" s="49">
        <v>0.72</v>
      </c>
    </row>
    <row r="281" spans="1:5">
      <c r="A281" s="75">
        <v>38398</v>
      </c>
      <c r="B281" s="86" t="str">
        <f>TiposLancamentos!B4</f>
        <v>Taxas Bancarias</v>
      </c>
      <c r="C281" s="3" t="s">
        <v>15023</v>
      </c>
      <c r="D281" s="78"/>
      <c r="E281" s="49">
        <v>3.05</v>
      </c>
    </row>
    <row r="282" spans="1:5">
      <c r="A282" s="75">
        <v>38399</v>
      </c>
      <c r="B282" s="86" t="str">
        <f>TiposLancamentos!B5</f>
        <v>Supermercado</v>
      </c>
      <c r="C282" s="3" t="s">
        <v>4816</v>
      </c>
      <c r="D282" s="78"/>
      <c r="E282" s="49">
        <v>8.19</v>
      </c>
    </row>
    <row r="283" spans="1:5">
      <c r="A283" s="75">
        <v>38399</v>
      </c>
      <c r="B283" s="86" t="str">
        <f>TiposLancamentos!B4</f>
        <v>Taxas Bancarias</v>
      </c>
      <c r="C283" s="3" t="s">
        <v>5065</v>
      </c>
      <c r="D283" s="78"/>
      <c r="E283" s="49">
        <v>0.1</v>
      </c>
    </row>
    <row r="284" spans="1:5">
      <c r="A284" s="75">
        <v>38400</v>
      </c>
      <c r="B284" s="86" t="str">
        <f>TiposLancamentos!B19</f>
        <v>Restaurantes</v>
      </c>
      <c r="C284" s="3" t="s">
        <v>15024</v>
      </c>
      <c r="D284" s="78"/>
      <c r="E284" s="49">
        <v>6.2</v>
      </c>
    </row>
    <row r="285" spans="1:5">
      <c r="A285" s="75">
        <v>38401</v>
      </c>
      <c r="B285" s="86" t="str">
        <f>TiposLancamentos!B20</f>
        <v>Saques</v>
      </c>
      <c r="C285" s="3" t="s">
        <v>15025</v>
      </c>
      <c r="D285" s="78"/>
      <c r="E285" s="49">
        <v>10</v>
      </c>
    </row>
    <row r="286" spans="1:5">
      <c r="A286" s="75">
        <v>38401</v>
      </c>
      <c r="B286" s="86" t="str">
        <f>TiposLancamentos!B4</f>
        <v>Taxas Bancarias</v>
      </c>
      <c r="C286" s="3" t="s">
        <v>5065</v>
      </c>
      <c r="D286" s="78"/>
      <c r="E286" s="49">
        <v>0.05</v>
      </c>
    </row>
    <row r="287" spans="1:5">
      <c r="A287" s="75">
        <v>38401</v>
      </c>
      <c r="B287" s="86" t="str">
        <f>TiposLancamentos!B90</f>
        <v>Locadora</v>
      </c>
      <c r="C287" s="3" t="s">
        <v>15026</v>
      </c>
      <c r="D287" s="78"/>
      <c r="E287" s="49">
        <v>7</v>
      </c>
    </row>
    <row r="288" spans="1:5">
      <c r="A288" s="75">
        <v>38402</v>
      </c>
      <c r="B288" s="86" t="str">
        <f>TiposLancamentos!B20</f>
        <v>Saques</v>
      </c>
      <c r="C288" s="3" t="s">
        <v>3072</v>
      </c>
      <c r="D288" s="78"/>
      <c r="E288" s="49">
        <v>20</v>
      </c>
    </row>
    <row r="289" spans="1:5">
      <c r="A289" s="75">
        <v>38402</v>
      </c>
      <c r="B289" s="86" t="str">
        <f>TiposLancamentos!B2</f>
        <v>Telefonia</v>
      </c>
      <c r="C289" s="3" t="s">
        <v>4813</v>
      </c>
      <c r="D289" s="78"/>
      <c r="E289" s="49">
        <v>72.02</v>
      </c>
    </row>
    <row r="290" spans="1:5">
      <c r="A290" s="75">
        <v>38402</v>
      </c>
      <c r="B290" s="86" t="str">
        <f>TiposLancamentos!B3</f>
        <v>Internet</v>
      </c>
      <c r="C290" s="3" t="s">
        <v>2784</v>
      </c>
      <c r="D290" s="78"/>
      <c r="E290" s="49">
        <v>59.9</v>
      </c>
    </row>
    <row r="291" spans="1:5">
      <c r="A291" s="75">
        <v>38403</v>
      </c>
      <c r="B291" s="86" t="str">
        <f>TiposLancamentos!B5</f>
        <v>Supermercado</v>
      </c>
      <c r="C291" s="3" t="s">
        <v>15027</v>
      </c>
      <c r="D291" s="78"/>
      <c r="E291" s="49">
        <v>24.49</v>
      </c>
    </row>
    <row r="292" spans="1:5">
      <c r="A292" s="75">
        <v>38404</v>
      </c>
      <c r="B292" s="86" t="str">
        <f>B285</f>
        <v>Saques</v>
      </c>
      <c r="C292" s="3" t="s">
        <v>1698</v>
      </c>
      <c r="D292" s="78"/>
      <c r="E292" s="49">
        <v>10</v>
      </c>
    </row>
    <row r="293" spans="1:5">
      <c r="A293" s="75">
        <v>38404</v>
      </c>
      <c r="B293" s="86" t="str">
        <f>TiposLancamentos!B6</f>
        <v>Energia Eletrica</v>
      </c>
      <c r="C293" s="3" t="s">
        <v>4831</v>
      </c>
      <c r="D293" s="78"/>
      <c r="E293" s="49">
        <v>31.69</v>
      </c>
    </row>
    <row r="294" spans="1:5">
      <c r="A294" s="75">
        <v>38404</v>
      </c>
      <c r="B294" s="86" t="str">
        <f>TiposLancamentos!B5</f>
        <v>Supermercado</v>
      </c>
      <c r="C294" s="3" t="s">
        <v>14195</v>
      </c>
      <c r="D294" s="78"/>
      <c r="E294" s="49">
        <v>29.08</v>
      </c>
    </row>
    <row r="295" spans="1:5">
      <c r="A295" s="75">
        <v>38404</v>
      </c>
      <c r="B295" s="86" t="str">
        <f>TiposLancamentos!B4</f>
        <v>Taxas Bancarias</v>
      </c>
      <c r="C295" s="3" t="s">
        <v>5065</v>
      </c>
      <c r="D295" s="78"/>
      <c r="E295" s="49">
        <v>0.83</v>
      </c>
    </row>
    <row r="296" spans="1:5">
      <c r="A296" s="75">
        <v>38405</v>
      </c>
      <c r="B296" s="86" t="str">
        <f>TiposLancamentos!B4</f>
        <v>Taxas Bancarias</v>
      </c>
      <c r="C296" s="3" t="s">
        <v>5065</v>
      </c>
      <c r="D296" s="78"/>
      <c r="E296" s="49">
        <v>0.11</v>
      </c>
    </row>
    <row r="297" spans="1:5">
      <c r="A297" s="75">
        <v>38405</v>
      </c>
      <c r="B297" s="86" t="str">
        <f>TiposLancamentos!B98</f>
        <v>Restituições</v>
      </c>
      <c r="C297" s="3" t="s">
        <v>14970</v>
      </c>
      <c r="D297" s="78">
        <v>144.49</v>
      </c>
      <c r="E297" s="49"/>
    </row>
    <row r="298" spans="1:5">
      <c r="A298" s="75">
        <v>38405</v>
      </c>
      <c r="B298" s="86" t="str">
        <f>TiposLancamentos!B6</f>
        <v>Energia Eletrica</v>
      </c>
      <c r="C298" s="3" t="s">
        <v>15028</v>
      </c>
      <c r="D298" s="78"/>
      <c r="E298" s="49">
        <v>0.42</v>
      </c>
    </row>
    <row r="299" spans="1:5">
      <c r="A299" s="75">
        <v>38406</v>
      </c>
      <c r="B299" s="86" t="str">
        <f>TiposLancamentos!B20</f>
        <v>Saques</v>
      </c>
      <c r="C299" s="3" t="s">
        <v>15029</v>
      </c>
      <c r="D299" s="78"/>
      <c r="E299" s="49">
        <v>100</v>
      </c>
    </row>
    <row r="300" spans="1:5">
      <c r="A300" s="75">
        <v>38406</v>
      </c>
      <c r="B300" s="86" t="str">
        <f>B296</f>
        <v>Taxas Bancarias</v>
      </c>
      <c r="C300" s="3" t="s">
        <v>5065</v>
      </c>
      <c r="D300" s="78"/>
      <c r="E300" s="49">
        <v>0.38</v>
      </c>
    </row>
    <row r="301" spans="1:5">
      <c r="A301" s="75">
        <v>38407</v>
      </c>
      <c r="B301" s="86" t="str">
        <f>TiposLancamentos!B15</f>
        <v>Cartões de Crédito</v>
      </c>
      <c r="C301" s="3" t="s">
        <v>2928</v>
      </c>
      <c r="D301" s="78"/>
      <c r="E301" s="49">
        <v>217.75</v>
      </c>
    </row>
    <row r="302" spans="1:5">
      <c r="A302" s="75">
        <v>38407</v>
      </c>
      <c r="B302" s="86" t="str">
        <f>TiposLancamentos!B20</f>
        <v>Saques</v>
      </c>
      <c r="C302" s="3" t="s">
        <v>15030</v>
      </c>
      <c r="D302" s="78"/>
      <c r="E302" s="49">
        <v>60</v>
      </c>
    </row>
    <row r="303" spans="1:5">
      <c r="A303" s="75">
        <v>38407</v>
      </c>
      <c r="B303" s="86" t="str">
        <f>TiposLancamentos!B4</f>
        <v>Taxas Bancarias</v>
      </c>
      <c r="C303" s="3" t="s">
        <v>5065</v>
      </c>
      <c r="D303" s="78"/>
      <c r="E303" s="49">
        <v>1.04</v>
      </c>
    </row>
    <row r="304" spans="1:5">
      <c r="A304" s="75">
        <v>38409</v>
      </c>
      <c r="B304" s="86" t="str">
        <f>TiposLancamentos!B5</f>
        <v>Supermercado</v>
      </c>
      <c r="C304" s="3" t="s">
        <v>15031</v>
      </c>
      <c r="D304" s="78"/>
      <c r="E304" s="49">
        <v>30.44</v>
      </c>
    </row>
    <row r="305" spans="1:5">
      <c r="A305" s="75">
        <v>38409</v>
      </c>
      <c r="B305" s="86" t="str">
        <f>TiposLancamentos!B19</f>
        <v>Restaurantes</v>
      </c>
      <c r="C305" s="3" t="s">
        <v>15032</v>
      </c>
      <c r="D305" s="78"/>
      <c r="E305" s="49">
        <v>25.6</v>
      </c>
    </row>
    <row r="306" spans="1:5">
      <c r="A306" s="75">
        <v>38409</v>
      </c>
      <c r="B306" s="86" t="str">
        <f>TiposLancamentos!B20</f>
        <v>Saques</v>
      </c>
      <c r="C306" s="3" t="s">
        <v>2850</v>
      </c>
      <c r="D306" s="78"/>
      <c r="E306" s="49">
        <v>20</v>
      </c>
    </row>
    <row r="307" spans="1:5">
      <c r="A307" s="75">
        <v>38409</v>
      </c>
      <c r="B307" s="86" t="str">
        <f>TiposLancamentos!B5</f>
        <v>Supermercado</v>
      </c>
      <c r="C307" s="3" t="s">
        <v>4816</v>
      </c>
      <c r="D307" s="78"/>
      <c r="E307" s="49">
        <v>10.130000000000001</v>
      </c>
    </row>
    <row r="308" spans="1:5">
      <c r="A308" s="75">
        <v>38411</v>
      </c>
      <c r="B308" s="86" t="str">
        <f>TiposLancamentos!B4</f>
        <v>Taxas Bancarias</v>
      </c>
      <c r="C308" s="3" t="s">
        <v>5065</v>
      </c>
      <c r="D308" s="78"/>
      <c r="E308" s="49">
        <v>0.22</v>
      </c>
    </row>
    <row r="309" spans="1:5">
      <c r="A309" s="75">
        <v>38411</v>
      </c>
      <c r="B309" s="86" t="str">
        <f>TiposLancamentos!B20</f>
        <v>Saques</v>
      </c>
      <c r="C309" s="3" t="s">
        <v>2850</v>
      </c>
      <c r="D309" s="78"/>
      <c r="E309" s="49">
        <v>10</v>
      </c>
    </row>
    <row r="310" spans="1:5">
      <c r="A310" s="75">
        <v>38411</v>
      </c>
      <c r="B310" s="86" t="str">
        <f>TiposLancamentos!B4</f>
        <v>Taxas Bancarias</v>
      </c>
      <c r="C310" s="3" t="s">
        <v>15004</v>
      </c>
      <c r="D310" s="78"/>
      <c r="E310" s="49">
        <v>14.67</v>
      </c>
    </row>
    <row r="311" spans="1:5">
      <c r="A311" s="75">
        <v>38411</v>
      </c>
      <c r="B311" s="86" t="str">
        <f>TiposLancamentos!B4</f>
        <v>Taxas Bancarias</v>
      </c>
      <c r="C311" s="3" t="s">
        <v>5065</v>
      </c>
      <c r="D311" s="78"/>
      <c r="E311" s="49">
        <v>0.27</v>
      </c>
    </row>
    <row r="312" spans="1:5">
      <c r="A312" s="75">
        <v>38411</v>
      </c>
      <c r="B312" s="86" t="str">
        <f>TiposLancamentos!B4</f>
        <v>Taxas Bancarias</v>
      </c>
      <c r="C312" s="3" t="s">
        <v>15033</v>
      </c>
      <c r="D312" s="78"/>
      <c r="E312" s="49">
        <v>0.43</v>
      </c>
    </row>
    <row r="313" spans="1:5">
      <c r="A313" s="75">
        <v>38411</v>
      </c>
      <c r="B313" s="86" t="str">
        <f>TiposLancamentos!B95</f>
        <v>Salarios</v>
      </c>
      <c r="C313" s="3" t="s">
        <v>14170</v>
      </c>
      <c r="D313" s="78">
        <v>1370.28</v>
      </c>
      <c r="E313" s="49"/>
    </row>
    <row r="314" spans="1:5">
      <c r="A314" s="83"/>
      <c r="B314" s="91"/>
      <c r="C314" s="92" t="s">
        <v>2806</v>
      </c>
      <c r="D314" s="74"/>
      <c r="E314" s="44"/>
    </row>
    <row r="315" spans="1:5">
      <c r="A315" s="75">
        <v>38412</v>
      </c>
      <c r="B315" s="86" t="str">
        <f>TiposLancamentos!B82</f>
        <v>CG Titan 125</v>
      </c>
      <c r="C315" s="3" t="s">
        <v>14953</v>
      </c>
      <c r="D315" s="78"/>
      <c r="E315" s="49">
        <v>77</v>
      </c>
    </row>
    <row r="316" spans="1:5">
      <c r="A316" s="75">
        <v>38412</v>
      </c>
      <c r="B316" s="86" t="str">
        <f>TiposLancamentos!B20</f>
        <v>Saques</v>
      </c>
      <c r="C316" s="3" t="s">
        <v>2608</v>
      </c>
      <c r="D316" s="78"/>
      <c r="E316" s="49">
        <v>10</v>
      </c>
    </row>
    <row r="317" spans="1:5">
      <c r="A317" s="75">
        <v>38412</v>
      </c>
      <c r="B317" s="86" t="str">
        <f>B308</f>
        <v>Taxas Bancarias</v>
      </c>
      <c r="C317" s="3" t="s">
        <v>4858</v>
      </c>
      <c r="D317" s="78"/>
      <c r="E317" s="49">
        <v>0.1</v>
      </c>
    </row>
    <row r="318" spans="1:5">
      <c r="A318" s="75">
        <v>38412</v>
      </c>
      <c r="B318" s="86" t="str">
        <f>TiposLancamentos!B4</f>
        <v>Taxas Bancarias</v>
      </c>
      <c r="C318" s="3" t="s">
        <v>5065</v>
      </c>
      <c r="D318" s="78"/>
      <c r="E318" s="49">
        <v>0.11</v>
      </c>
    </row>
    <row r="319" spans="1:5">
      <c r="A319" s="75">
        <v>38413</v>
      </c>
      <c r="B319" s="86" t="str">
        <f>TiposLancamentos!B15</f>
        <v>Cartões de Crédito</v>
      </c>
      <c r="C319" s="3" t="s">
        <v>14509</v>
      </c>
      <c r="D319" s="78"/>
      <c r="E319" s="49">
        <v>446.06</v>
      </c>
    </row>
    <row r="320" spans="1:5">
      <c r="A320" s="75">
        <v>38413</v>
      </c>
      <c r="B320" s="86" t="str">
        <f>TiposLancamentos!B15</f>
        <v>Cartões de Crédito</v>
      </c>
      <c r="C320" s="3" t="s">
        <v>5115</v>
      </c>
      <c r="D320" s="78"/>
      <c r="E320" s="49">
        <v>521.32000000000005</v>
      </c>
    </row>
    <row r="321" spans="1:5">
      <c r="A321" s="75">
        <v>38413</v>
      </c>
      <c r="B321" s="86" t="str">
        <f>TiposLancamentos!B5</f>
        <v>Supermercado</v>
      </c>
      <c r="C321" s="3" t="s">
        <v>14195</v>
      </c>
      <c r="D321" s="78"/>
      <c r="E321" s="49">
        <v>21.81</v>
      </c>
    </row>
    <row r="322" spans="1:5">
      <c r="A322" s="75">
        <v>38413</v>
      </c>
      <c r="B322" s="86" t="str">
        <f>TiposLancamentos!B4</f>
        <v>Taxas Bancarias</v>
      </c>
      <c r="C322" s="3" t="s">
        <v>5065</v>
      </c>
      <c r="D322" s="78"/>
      <c r="E322" s="49">
        <v>3.99</v>
      </c>
    </row>
    <row r="323" spans="1:5">
      <c r="A323" s="75">
        <v>38414</v>
      </c>
      <c r="B323" s="86" t="str">
        <f>TiposLancamentos!B18</f>
        <v>Alimentacao</v>
      </c>
      <c r="C323" s="3" t="s">
        <v>3039</v>
      </c>
      <c r="D323" s="78"/>
      <c r="E323" s="49">
        <v>6.55</v>
      </c>
    </row>
    <row r="324" spans="1:5">
      <c r="A324" s="75">
        <v>38414</v>
      </c>
      <c r="B324" s="86" t="str">
        <f>TiposLancamentos!B20</f>
        <v>Saques</v>
      </c>
      <c r="C324" s="3" t="s">
        <v>15034</v>
      </c>
      <c r="D324" s="78"/>
      <c r="E324" s="49">
        <v>10</v>
      </c>
    </row>
    <row r="325" spans="1:5">
      <c r="A325" s="75">
        <v>38414</v>
      </c>
      <c r="B325" s="86" t="str">
        <f>B322</f>
        <v>Taxas Bancarias</v>
      </c>
      <c r="C325" s="3" t="s">
        <v>5065</v>
      </c>
      <c r="D325" s="78"/>
      <c r="E325" s="49">
        <v>0.05</v>
      </c>
    </row>
    <row r="326" spans="1:5">
      <c r="A326" s="75">
        <v>38415</v>
      </c>
      <c r="B326" s="86" t="str">
        <f>TiposLancamentos!B20</f>
        <v>Saques</v>
      </c>
      <c r="C326" s="3" t="s">
        <v>2668</v>
      </c>
      <c r="D326" s="78"/>
      <c r="E326" s="49">
        <v>10</v>
      </c>
    </row>
    <row r="327" spans="1:5">
      <c r="A327" s="75">
        <v>38416</v>
      </c>
      <c r="B327" s="86" t="str">
        <f>TiposLancamentos!B20</f>
        <v>Saques</v>
      </c>
      <c r="C327" s="3" t="s">
        <v>15035</v>
      </c>
      <c r="D327" s="78"/>
      <c r="E327" s="49">
        <v>60</v>
      </c>
    </row>
    <row r="328" spans="1:5">
      <c r="A328" s="75">
        <v>38418</v>
      </c>
      <c r="B328" s="86" t="str">
        <f>TiposLancamentos!B98</f>
        <v>Restituições</v>
      </c>
      <c r="C328" s="3" t="s">
        <v>15036</v>
      </c>
      <c r="D328" s="78">
        <v>87.77</v>
      </c>
      <c r="E328" s="49"/>
    </row>
    <row r="329" spans="1:5">
      <c r="A329" s="75">
        <v>38418</v>
      </c>
      <c r="B329" s="86" t="str">
        <f>TiposLancamentos!B9</f>
        <v>Condominio</v>
      </c>
      <c r="C329" s="3" t="s">
        <v>1684</v>
      </c>
      <c r="D329" s="78"/>
      <c r="E329" s="49">
        <v>150</v>
      </c>
    </row>
    <row r="330" spans="1:5">
      <c r="A330" s="75">
        <v>38418</v>
      </c>
      <c r="B330" s="86" t="str">
        <f>TiposLancamentos!B4</f>
        <v>Taxas Bancarias</v>
      </c>
      <c r="C330" s="3" t="s">
        <v>5065</v>
      </c>
      <c r="D330" s="78"/>
      <c r="E330" s="49">
        <v>0.79</v>
      </c>
    </row>
    <row r="331" spans="1:5">
      <c r="A331" s="75">
        <v>38419</v>
      </c>
      <c r="B331" s="86" t="str">
        <f>TiposLancamentos!B90</f>
        <v>Locadora</v>
      </c>
      <c r="C331" s="3" t="s">
        <v>15037</v>
      </c>
      <c r="D331" s="78"/>
      <c r="E331" s="49">
        <v>25.5</v>
      </c>
    </row>
    <row r="332" spans="1:5">
      <c r="A332" s="75">
        <v>38420</v>
      </c>
      <c r="B332" s="86" t="str">
        <f>TiposLancamentos!B4</f>
        <v>Taxas Bancarias</v>
      </c>
      <c r="C332" s="3" t="s">
        <v>5065</v>
      </c>
      <c r="D332" s="78"/>
      <c r="E332" s="49">
        <v>0.09</v>
      </c>
    </row>
    <row r="333" spans="1:5">
      <c r="A333" s="75">
        <v>38421</v>
      </c>
      <c r="B333" s="86" t="str">
        <f>TiposLancamentos!B20</f>
        <v>Saques</v>
      </c>
      <c r="C333" s="3" t="s">
        <v>15038</v>
      </c>
      <c r="D333" s="78"/>
      <c r="E333" s="49">
        <v>10</v>
      </c>
    </row>
    <row r="334" spans="1:5">
      <c r="A334" s="75">
        <v>38422</v>
      </c>
      <c r="B334" s="86" t="str">
        <f>TiposLancamentos!B4</f>
        <v>Taxas Bancarias</v>
      </c>
      <c r="C334" s="3" t="s">
        <v>5065</v>
      </c>
      <c r="D334" s="78"/>
      <c r="E334" s="49">
        <v>0.53</v>
      </c>
    </row>
    <row r="335" spans="1:5">
      <c r="A335" s="75">
        <v>38422</v>
      </c>
      <c r="B335" s="86" t="str">
        <f>TiposLancamentos!B82</f>
        <v>CG Titan 125</v>
      </c>
      <c r="C335" s="3" t="s">
        <v>13013</v>
      </c>
      <c r="D335" s="78"/>
      <c r="E335" s="49">
        <v>133.1</v>
      </c>
    </row>
    <row r="336" spans="1:5">
      <c r="A336" s="75">
        <v>38423</v>
      </c>
      <c r="B336" s="86" t="str">
        <f>TiposLancamentos!B90</f>
        <v>Locadora</v>
      </c>
      <c r="C336" s="3" t="s">
        <v>14968</v>
      </c>
      <c r="D336" s="78"/>
      <c r="E336" s="49">
        <v>11.5</v>
      </c>
    </row>
    <row r="337" spans="1:5">
      <c r="A337" s="75">
        <v>38424</v>
      </c>
      <c r="B337" s="86" t="str">
        <f>TiposLancamentos!B57</f>
        <v>Informática</v>
      </c>
      <c r="C337" s="3" t="s">
        <v>15039</v>
      </c>
      <c r="D337" s="78"/>
      <c r="E337" s="49">
        <v>185</v>
      </c>
    </row>
    <row r="338" spans="1:5">
      <c r="A338" s="75">
        <v>38424</v>
      </c>
      <c r="B338" s="86" t="str">
        <f>TiposLancamentos!B56</f>
        <v>Farmácia</v>
      </c>
      <c r="C338" s="3" t="s">
        <v>14206</v>
      </c>
      <c r="D338" s="78"/>
      <c r="E338" s="49">
        <v>17.739999999999998</v>
      </c>
    </row>
    <row r="339" spans="1:5">
      <c r="A339" s="75">
        <v>38425</v>
      </c>
      <c r="B339" s="86" t="str">
        <f>TiposLancamentos!B4</f>
        <v>Taxas Bancarias</v>
      </c>
      <c r="C339" s="3" t="s">
        <v>5065</v>
      </c>
      <c r="D339" s="78"/>
      <c r="E339" s="49">
        <v>0.1</v>
      </c>
    </row>
    <row r="340" spans="1:5">
      <c r="A340" s="75">
        <v>38425</v>
      </c>
      <c r="B340" s="86" t="str">
        <f>TiposLancamentos!B69</f>
        <v>Consertos</v>
      </c>
      <c r="C340" s="3" t="s">
        <v>15040</v>
      </c>
      <c r="D340" s="78"/>
      <c r="E340" s="49">
        <v>20</v>
      </c>
    </row>
    <row r="341" spans="1:5">
      <c r="A341" s="75">
        <v>38425</v>
      </c>
      <c r="B341" s="86" t="str">
        <f>TiposLancamentos!B8</f>
        <v>Aluguel</v>
      </c>
      <c r="C341" s="3" t="s">
        <v>15041</v>
      </c>
      <c r="D341" s="78"/>
      <c r="E341" s="49">
        <v>794.26</v>
      </c>
    </row>
    <row r="342" spans="1:5">
      <c r="A342" s="75">
        <v>38425</v>
      </c>
      <c r="B342" s="86" t="str">
        <f>TiposLancamentos!B5</f>
        <v>Supermercado</v>
      </c>
      <c r="C342" s="3" t="s">
        <v>15001</v>
      </c>
      <c r="D342" s="78"/>
      <c r="E342" s="49">
        <v>37.39</v>
      </c>
    </row>
    <row r="343" spans="1:5">
      <c r="A343" s="75">
        <v>38426</v>
      </c>
      <c r="B343" s="86" t="str">
        <f>TiposLancamentos!B95</f>
        <v>Salarios</v>
      </c>
      <c r="C343" s="3" t="s">
        <v>14170</v>
      </c>
      <c r="D343" s="78">
        <v>1360</v>
      </c>
      <c r="E343" s="49"/>
    </row>
    <row r="344" spans="1:5">
      <c r="A344" s="75">
        <v>38426</v>
      </c>
      <c r="B344" s="86" t="str">
        <f>TiposLancamentos!B16</f>
        <v>Cristiane</v>
      </c>
      <c r="C344" s="3" t="s">
        <v>13016</v>
      </c>
      <c r="D344" s="78"/>
      <c r="E344" s="49">
        <v>53.25</v>
      </c>
    </row>
    <row r="345" spans="1:5">
      <c r="A345" s="75">
        <v>38426</v>
      </c>
      <c r="B345" s="86" t="str">
        <f>TiposLancamentos!B4</f>
        <v>Taxas Bancarias</v>
      </c>
      <c r="C345" s="3" t="s">
        <v>14211</v>
      </c>
      <c r="D345" s="78"/>
      <c r="E345" s="49">
        <v>3.15</v>
      </c>
    </row>
    <row r="346" spans="1:5">
      <c r="A346" s="75">
        <v>38426</v>
      </c>
      <c r="B346" s="86" t="str">
        <f>TiposLancamentos!B4</f>
        <v>Taxas Bancarias</v>
      </c>
      <c r="C346" s="3" t="s">
        <v>15042</v>
      </c>
      <c r="D346" s="78"/>
      <c r="E346" s="49">
        <v>2.08</v>
      </c>
    </row>
    <row r="347" spans="1:5">
      <c r="A347" s="75">
        <v>38426</v>
      </c>
      <c r="B347" s="86" t="str">
        <f>TiposLancamentos!B4</f>
        <v>Taxas Bancarias</v>
      </c>
      <c r="C347" s="3" t="s">
        <v>15010</v>
      </c>
      <c r="D347" s="78">
        <v>24.84</v>
      </c>
      <c r="E347" s="49">
        <v>24.84</v>
      </c>
    </row>
    <row r="348" spans="1:5">
      <c r="A348" s="75">
        <v>38426</v>
      </c>
      <c r="B348" s="86" t="str">
        <f>TiposLancamentos!B5</f>
        <v>Supermercado</v>
      </c>
      <c r="C348" s="3" t="s">
        <v>15043</v>
      </c>
      <c r="D348" s="78"/>
      <c r="E348" s="49">
        <v>9.27</v>
      </c>
    </row>
    <row r="349" spans="1:5">
      <c r="A349" s="75">
        <v>38427</v>
      </c>
      <c r="B349" s="86" t="str">
        <f>TiposLancamentos!B20</f>
        <v>Saques</v>
      </c>
      <c r="C349" s="3" t="s">
        <v>2668</v>
      </c>
      <c r="D349" s="78"/>
      <c r="E349" s="49">
        <v>30</v>
      </c>
    </row>
    <row r="350" spans="1:5">
      <c r="A350" s="75">
        <v>38427</v>
      </c>
      <c r="B350" s="86" t="str">
        <f>TiposLancamentos!B4</f>
        <v>Taxas Bancarias</v>
      </c>
      <c r="C350" s="3" t="s">
        <v>15044</v>
      </c>
      <c r="D350" s="78"/>
      <c r="E350" s="49">
        <v>0.06</v>
      </c>
    </row>
    <row r="351" spans="1:5">
      <c r="A351" s="75">
        <v>38427</v>
      </c>
      <c r="B351" s="86" t="str">
        <f>TiposLancamentos!B4</f>
        <v>Taxas Bancarias</v>
      </c>
      <c r="C351" s="3" t="s">
        <v>15045</v>
      </c>
      <c r="D351" s="78"/>
      <c r="E351" s="49">
        <v>1.1100000000000001</v>
      </c>
    </row>
    <row r="352" spans="1:5">
      <c r="A352" s="75">
        <v>38427</v>
      </c>
      <c r="B352" s="86" t="str">
        <f>TiposLancamentos!B4</f>
        <v>Taxas Bancarias</v>
      </c>
      <c r="C352" s="3" t="s">
        <v>15010</v>
      </c>
      <c r="D352" s="78">
        <v>258.25</v>
      </c>
      <c r="E352" s="49">
        <v>258.25</v>
      </c>
    </row>
    <row r="353" spans="1:5">
      <c r="A353" s="75">
        <v>38428</v>
      </c>
      <c r="B353" s="86" t="str">
        <f>TiposLancamentos!B5</f>
        <v>Supermercado</v>
      </c>
      <c r="C353" s="3" t="s">
        <v>4816</v>
      </c>
      <c r="D353" s="78"/>
      <c r="E353" s="49">
        <v>23.61</v>
      </c>
    </row>
    <row r="354" spans="1:5">
      <c r="A354" s="75">
        <v>38428</v>
      </c>
      <c r="B354" s="86" t="str">
        <f>TiposLancamentos!B4</f>
        <v>Taxas Bancarias</v>
      </c>
      <c r="C354" s="3" t="s">
        <v>15045</v>
      </c>
      <c r="D354" s="78"/>
      <c r="E354" s="49">
        <v>0.64</v>
      </c>
    </row>
    <row r="355" spans="1:5">
      <c r="A355" s="75">
        <v>38429</v>
      </c>
      <c r="B355" s="86" t="str">
        <f>TiposLancamentos!B20</f>
        <v>Saques</v>
      </c>
      <c r="C355" s="3" t="s">
        <v>2668</v>
      </c>
      <c r="D355" s="78"/>
      <c r="E355" s="49">
        <v>20</v>
      </c>
    </row>
    <row r="356" spans="1:5">
      <c r="A356" s="75">
        <v>38429</v>
      </c>
      <c r="B356" s="86" t="str">
        <f>TiposLancamentos!B5</f>
        <v>Supermercado</v>
      </c>
      <c r="C356" s="3" t="s">
        <v>15046</v>
      </c>
      <c r="D356" s="78"/>
      <c r="E356" s="49">
        <v>59.12</v>
      </c>
    </row>
    <row r="357" spans="1:5">
      <c r="A357" s="75">
        <v>38429</v>
      </c>
      <c r="B357" s="86" t="str">
        <f>TiposLancamentos!B4</f>
        <v>Taxas Bancarias</v>
      </c>
      <c r="C357" s="3" t="s">
        <v>5065</v>
      </c>
      <c r="D357" s="78"/>
      <c r="E357" s="49">
        <v>0.08</v>
      </c>
    </row>
    <row r="358" spans="1:5">
      <c r="A358" s="75">
        <v>38430</v>
      </c>
      <c r="B358" s="86" t="str">
        <f>TiposLancamentos!B69</f>
        <v>Consertos</v>
      </c>
      <c r="C358" s="3" t="s">
        <v>13018</v>
      </c>
      <c r="D358" s="78"/>
      <c r="E358" s="49">
        <v>110</v>
      </c>
    </row>
    <row r="359" spans="1:5">
      <c r="A359" s="75">
        <v>38430</v>
      </c>
      <c r="B359" s="86" t="str">
        <f>TiposLancamentos!B2</f>
        <v>Telefonia</v>
      </c>
      <c r="C359" s="3" t="s">
        <v>4813</v>
      </c>
      <c r="D359" s="78"/>
      <c r="E359" s="49">
        <v>123.81</v>
      </c>
    </row>
    <row r="360" spans="1:5">
      <c r="A360" s="75">
        <v>38430</v>
      </c>
      <c r="B360" s="86" t="str">
        <f>TiposLancamentos!B3</f>
        <v>Internet</v>
      </c>
      <c r="C360" s="3" t="s">
        <v>2784</v>
      </c>
      <c r="D360" s="78"/>
      <c r="E360" s="49">
        <v>59.9</v>
      </c>
    </row>
    <row r="361" spans="1:5">
      <c r="A361" s="75">
        <v>38430</v>
      </c>
      <c r="B361" s="86" t="str">
        <f>TiposLancamentos!B13</f>
        <v>Moradia</v>
      </c>
      <c r="C361" s="3" t="s">
        <v>15047</v>
      </c>
      <c r="D361" s="78"/>
      <c r="E361" s="49">
        <v>17.329999999999998</v>
      </c>
    </row>
    <row r="362" spans="1:5">
      <c r="A362" s="75">
        <v>38432</v>
      </c>
      <c r="B362" s="86" t="str">
        <f>TiposLancamentos!B6</f>
        <v>Energia Eletrica</v>
      </c>
      <c r="C362" s="3" t="s">
        <v>4831</v>
      </c>
      <c r="D362" s="78"/>
      <c r="E362" s="49">
        <v>76.849999999999994</v>
      </c>
    </row>
    <row r="363" spans="1:5">
      <c r="A363" s="75">
        <v>38432</v>
      </c>
      <c r="B363" s="86" t="str">
        <f>TiposLancamentos!B20</f>
        <v>Saques</v>
      </c>
      <c r="C363" s="3" t="s">
        <v>2668</v>
      </c>
      <c r="D363" s="78"/>
      <c r="E363" s="49">
        <v>40</v>
      </c>
    </row>
    <row r="364" spans="1:5">
      <c r="A364" s="75">
        <v>38432</v>
      </c>
      <c r="B364" s="86" t="str">
        <f>TiposLancamentos!B5</f>
        <v>Supermercado</v>
      </c>
      <c r="C364" s="3" t="s">
        <v>15048</v>
      </c>
      <c r="D364" s="78"/>
      <c r="E364" s="49">
        <v>6.39</v>
      </c>
    </row>
    <row r="365" spans="1:5">
      <c r="A365" s="75">
        <v>38432</v>
      </c>
      <c r="B365" s="86" t="str">
        <f>TiposLancamentos!B4</f>
        <v>Taxas Bancarias</v>
      </c>
      <c r="C365" s="3" t="s">
        <v>14211</v>
      </c>
      <c r="D365" s="78"/>
      <c r="E365" s="49">
        <v>1.48</v>
      </c>
    </row>
    <row r="366" spans="1:5">
      <c r="A366" s="75">
        <v>38432</v>
      </c>
      <c r="B366" s="86" t="str">
        <f>TiposLancamentos!B4</f>
        <v>Taxas Bancarias</v>
      </c>
      <c r="C366" s="3" t="s">
        <v>15049</v>
      </c>
      <c r="D366" s="78"/>
      <c r="E366" s="49">
        <v>2.6</v>
      </c>
    </row>
    <row r="367" spans="1:5">
      <c r="A367" s="75">
        <v>38433</v>
      </c>
      <c r="B367" s="86" t="str">
        <f>TiposLancamentos!B20</f>
        <v>Saques</v>
      </c>
      <c r="C367" s="3" t="s">
        <v>2668</v>
      </c>
      <c r="D367" s="78"/>
      <c r="E367" s="49">
        <v>10</v>
      </c>
    </row>
    <row r="368" spans="1:5">
      <c r="A368" s="75">
        <v>38433</v>
      </c>
      <c r="B368" s="86" t="str">
        <f>TiposLancamentos!B20</f>
        <v>Saques</v>
      </c>
      <c r="C368" s="3" t="s">
        <v>15050</v>
      </c>
      <c r="D368" s="78"/>
      <c r="E368" s="49">
        <v>250</v>
      </c>
    </row>
    <row r="369" spans="1:5">
      <c r="A369" s="75">
        <v>38433</v>
      </c>
      <c r="B369" s="86" t="str">
        <f>TiposLancamentos!B4</f>
        <v>Taxas Bancarias</v>
      </c>
      <c r="C369" s="3" t="s">
        <v>5065</v>
      </c>
      <c r="D369" s="78"/>
      <c r="E369" s="49">
        <v>0.46</v>
      </c>
    </row>
    <row r="370" spans="1:5">
      <c r="A370" s="75">
        <v>38433</v>
      </c>
      <c r="B370" s="86" t="str">
        <f>TiposLancamentos!B4</f>
        <v>Taxas Bancarias</v>
      </c>
      <c r="C370" s="3" t="s">
        <v>15010</v>
      </c>
      <c r="D370" s="78">
        <v>110</v>
      </c>
      <c r="E370" s="49">
        <v>110</v>
      </c>
    </row>
    <row r="371" spans="1:5">
      <c r="A371" s="75">
        <v>38434</v>
      </c>
      <c r="B371" s="86" t="str">
        <f>TiposLancamentos!B4</f>
        <v>Taxas Bancarias</v>
      </c>
      <c r="C371" s="3" t="s">
        <v>5065</v>
      </c>
      <c r="D371" s="78"/>
      <c r="E371" s="49">
        <v>0.95</v>
      </c>
    </row>
    <row r="372" spans="1:5">
      <c r="A372" s="75">
        <v>38434</v>
      </c>
      <c r="B372" s="86" t="str">
        <f>TiposLancamentos!B4</f>
        <v>Taxas Bancarias</v>
      </c>
      <c r="C372" s="3" t="s">
        <v>15051</v>
      </c>
      <c r="D372" s="78"/>
      <c r="E372" s="49">
        <v>0.27</v>
      </c>
    </row>
    <row r="373" spans="1:5">
      <c r="A373" s="75">
        <v>38434</v>
      </c>
      <c r="B373" s="86" t="str">
        <f>TiposLancamentos!B4</f>
        <v>Taxas Bancarias</v>
      </c>
      <c r="C373" s="3" t="s">
        <v>15052</v>
      </c>
      <c r="D373" s="78"/>
      <c r="E373" s="49">
        <v>2.6</v>
      </c>
    </row>
    <row r="374" spans="1:5">
      <c r="A374" s="75">
        <v>38436</v>
      </c>
      <c r="B374" s="86" t="str">
        <f>TiposLancamentos!B64</f>
        <v>Viagens</v>
      </c>
      <c r="C374" s="3" t="s">
        <v>15053</v>
      </c>
      <c r="D374" s="78"/>
      <c r="E374" s="49">
        <v>200</v>
      </c>
    </row>
    <row r="375" spans="1:5">
      <c r="A375" s="75">
        <v>38436</v>
      </c>
      <c r="B375" s="86" t="str">
        <f>TiposLancamentos!B72</f>
        <v>Presentes</v>
      </c>
      <c r="C375" s="3" t="s">
        <v>15054</v>
      </c>
      <c r="D375" s="78"/>
      <c r="E375" s="49">
        <v>27</v>
      </c>
    </row>
    <row r="376" spans="1:5">
      <c r="A376" s="75">
        <v>38437</v>
      </c>
      <c r="B376" s="86" t="str">
        <f>TiposLancamentos!B19</f>
        <v>Restaurantes</v>
      </c>
      <c r="C376" s="3" t="s">
        <v>15055</v>
      </c>
      <c r="D376" s="78"/>
      <c r="E376" s="49">
        <v>55</v>
      </c>
    </row>
    <row r="377" spans="1:5">
      <c r="A377" s="75">
        <v>38440</v>
      </c>
      <c r="B377" s="86" t="str">
        <f>TiposLancamentos!B20</f>
        <v>Saques</v>
      </c>
      <c r="C377" s="3" t="s">
        <v>15056</v>
      </c>
      <c r="D377" s="78"/>
      <c r="E377" s="49">
        <v>20</v>
      </c>
    </row>
    <row r="378" spans="1:5">
      <c r="A378" s="75">
        <v>38440</v>
      </c>
      <c r="B378" s="86" t="str">
        <f>TiposLancamentos!B13</f>
        <v>Moradia</v>
      </c>
      <c r="C378" s="3" t="s">
        <v>15057</v>
      </c>
      <c r="D378" s="78"/>
      <c r="E378" s="49">
        <v>36</v>
      </c>
    </row>
    <row r="379" spans="1:5">
      <c r="A379" s="75">
        <v>38441</v>
      </c>
      <c r="B379" s="86" t="str">
        <f>TiposLancamentos!B4</f>
        <v>Taxas Bancarias</v>
      </c>
      <c r="C379" s="3" t="s">
        <v>5065</v>
      </c>
      <c r="D379" s="78"/>
      <c r="E379" s="49">
        <v>1.1299999999999999</v>
      </c>
    </row>
    <row r="380" spans="1:5">
      <c r="A380" s="75">
        <v>38441</v>
      </c>
      <c r="B380" s="86" t="str">
        <f>TiposLancamentos!B4</f>
        <v>Taxas Bancarias</v>
      </c>
      <c r="C380" s="3" t="s">
        <v>15052</v>
      </c>
      <c r="D380" s="78"/>
      <c r="E380" s="49">
        <v>260</v>
      </c>
    </row>
    <row r="381" spans="1:5">
      <c r="A381" s="75">
        <v>38441</v>
      </c>
      <c r="B381" s="86" t="str">
        <f>TiposLancamentos!B4</f>
        <v>Taxas Bancarias</v>
      </c>
      <c r="C381" s="3" t="s">
        <v>15010</v>
      </c>
      <c r="D381" s="78">
        <v>282</v>
      </c>
      <c r="E381" s="49">
        <v>282</v>
      </c>
    </row>
    <row r="382" spans="1:5">
      <c r="A382" s="75">
        <v>38442</v>
      </c>
      <c r="B382" s="86" t="str">
        <f>TiposLancamentos!B95</f>
        <v>Salarios</v>
      </c>
      <c r="C382" s="3" t="s">
        <v>15058</v>
      </c>
      <c r="D382" s="78">
        <v>5705.24</v>
      </c>
      <c r="E382" s="49"/>
    </row>
    <row r="383" spans="1:5">
      <c r="A383" s="75">
        <v>38442</v>
      </c>
      <c r="B383" s="86" t="str">
        <f>TiposLancamentos!B5</f>
        <v>Supermercado</v>
      </c>
      <c r="C383" s="3" t="s">
        <v>15059</v>
      </c>
      <c r="D383" s="78"/>
      <c r="E383" s="49">
        <v>32.44</v>
      </c>
    </row>
    <row r="384" spans="1:5">
      <c r="A384" s="75">
        <v>38442</v>
      </c>
      <c r="B384" s="86" t="str">
        <f>TiposLancamentos!B81</f>
        <v>Ferramentas gerais</v>
      </c>
      <c r="C384" s="3" t="s">
        <v>15060</v>
      </c>
      <c r="D384" s="78"/>
      <c r="E384" s="49">
        <v>130</v>
      </c>
    </row>
    <row r="385" spans="1:5">
      <c r="A385" s="75">
        <v>38442</v>
      </c>
      <c r="B385" s="86" t="str">
        <f>TiposLancamentos!B62</f>
        <v>Papelaria</v>
      </c>
      <c r="C385" s="3" t="s">
        <v>15061</v>
      </c>
      <c r="D385" s="78"/>
      <c r="E385" s="49">
        <v>23.1</v>
      </c>
    </row>
    <row r="386" spans="1:5">
      <c r="A386" s="75">
        <v>38442</v>
      </c>
      <c r="B386" s="86" t="str">
        <f>TiposLancamentos!B9</f>
        <v>Condominio</v>
      </c>
      <c r="C386" s="3" t="s">
        <v>4847</v>
      </c>
      <c r="D386" s="78"/>
      <c r="E386" s="49">
        <v>142.5</v>
      </c>
    </row>
    <row r="387" spans="1:5">
      <c r="A387" s="75">
        <v>38442</v>
      </c>
      <c r="B387" s="86" t="str">
        <f>TiposLancamentos!B15</f>
        <v>Cartões de Crédito</v>
      </c>
      <c r="C387" s="3" t="s">
        <v>2928</v>
      </c>
      <c r="D387" s="78"/>
      <c r="E387" s="49">
        <v>52</v>
      </c>
    </row>
    <row r="388" spans="1:5">
      <c r="A388" s="75">
        <v>38442</v>
      </c>
      <c r="B388" s="86" t="str">
        <f>TiposLancamentos!B82</f>
        <v>CG Titan 125</v>
      </c>
      <c r="C388" s="3" t="s">
        <v>13030</v>
      </c>
      <c r="D388" s="78"/>
      <c r="E388" s="49">
        <v>133.1</v>
      </c>
    </row>
    <row r="389" spans="1:5">
      <c r="A389" s="75">
        <v>38442</v>
      </c>
      <c r="B389" s="86" t="str">
        <f>TiposLancamentos!B15</f>
        <v>Cartões de Crédito</v>
      </c>
      <c r="C389" s="3" t="s">
        <v>15062</v>
      </c>
      <c r="D389" s="78"/>
      <c r="E389" s="49">
        <v>579.41999999999996</v>
      </c>
    </row>
    <row r="390" spans="1:5">
      <c r="A390" s="75">
        <v>38442</v>
      </c>
      <c r="B390" s="86" t="str">
        <f>TiposLancamentos!B15</f>
        <v>Cartões de Crédito</v>
      </c>
      <c r="C390" s="3" t="s">
        <v>5142</v>
      </c>
      <c r="D390" s="78"/>
      <c r="E390" s="49">
        <v>672.95</v>
      </c>
    </row>
    <row r="391" spans="1:5">
      <c r="A391" s="75">
        <v>38442</v>
      </c>
      <c r="B391" s="86" t="str">
        <f>TiposLancamentos!B5</f>
        <v>Supermercado</v>
      </c>
      <c r="C391" s="3" t="s">
        <v>15063</v>
      </c>
      <c r="D391" s="78"/>
      <c r="E391" s="49">
        <v>6.89</v>
      </c>
    </row>
    <row r="392" spans="1:5">
      <c r="A392" s="75">
        <v>38442</v>
      </c>
      <c r="B392" s="86" t="str">
        <f>TiposLancamentos!B4</f>
        <v>Taxas Bancarias</v>
      </c>
      <c r="C392" s="3" t="s">
        <v>5065</v>
      </c>
      <c r="D392" s="78"/>
      <c r="E392" s="49">
        <v>6.25</v>
      </c>
    </row>
    <row r="393" spans="1:5">
      <c r="A393" s="75">
        <v>38442</v>
      </c>
      <c r="B393" s="86" t="str">
        <f>TiposLancamentos!B4</f>
        <v>Taxas Bancarias</v>
      </c>
      <c r="C393" s="3" t="s">
        <v>15064</v>
      </c>
      <c r="D393" s="78"/>
      <c r="E393" s="49">
        <v>0.7</v>
      </c>
    </row>
    <row r="394" spans="1:5">
      <c r="A394" s="75">
        <v>38442</v>
      </c>
      <c r="B394" s="86" t="str">
        <f>TiposLancamentos!B4</f>
        <v>Taxas Bancarias</v>
      </c>
      <c r="C394" s="3" t="s">
        <v>15023</v>
      </c>
      <c r="D394" s="78"/>
      <c r="E394" s="49">
        <v>4.38</v>
      </c>
    </row>
    <row r="395" spans="1:5">
      <c r="A395" s="75">
        <v>38442</v>
      </c>
      <c r="B395" s="86" t="str">
        <f>TiposLancamentos!B4</f>
        <v>Taxas Bancarias</v>
      </c>
      <c r="C395" s="3" t="s">
        <v>15004</v>
      </c>
      <c r="D395" s="78"/>
      <c r="E395" s="49">
        <v>71.42</v>
      </c>
    </row>
    <row r="396" spans="1:5">
      <c r="A396" s="83"/>
      <c r="B396" s="91"/>
      <c r="C396" s="92" t="s">
        <v>2824</v>
      </c>
      <c r="D396" s="74"/>
      <c r="E396" s="44"/>
    </row>
    <row r="397" spans="1:5">
      <c r="A397" s="75">
        <v>38443</v>
      </c>
      <c r="B397" s="86" t="str">
        <f>TiposLancamentos!B20</f>
        <v>Saques</v>
      </c>
      <c r="C397" s="3" t="s">
        <v>15065</v>
      </c>
      <c r="D397" s="78"/>
      <c r="E397" s="49">
        <v>280</v>
      </c>
    </row>
    <row r="398" spans="1:5">
      <c r="A398" s="75">
        <v>38443</v>
      </c>
      <c r="B398" s="86" t="str">
        <f>TiposLancamentos!B5</f>
        <v>Supermercado</v>
      </c>
      <c r="C398" s="3" t="s">
        <v>4816</v>
      </c>
      <c r="D398" s="78"/>
      <c r="E398" s="49">
        <v>13.77</v>
      </c>
    </row>
    <row r="399" spans="1:5">
      <c r="A399" s="75">
        <v>38443</v>
      </c>
      <c r="B399" s="86" t="str">
        <f>TiposLancamentos!B4</f>
        <v>Taxas Bancarias</v>
      </c>
      <c r="C399" s="3" t="s">
        <v>4858</v>
      </c>
      <c r="D399" s="78"/>
      <c r="E399" s="49">
        <v>0.59</v>
      </c>
    </row>
    <row r="400" spans="1:5">
      <c r="A400" s="75">
        <v>38443</v>
      </c>
      <c r="B400" s="86" t="str">
        <f>TiposLancamentos!B4</f>
        <v>Taxas Bancarias</v>
      </c>
      <c r="C400" s="3" t="s">
        <v>5065</v>
      </c>
      <c r="D400" s="78"/>
      <c r="E400" s="49">
        <v>0.84</v>
      </c>
    </row>
    <row r="401" spans="1:5">
      <c r="A401" s="75">
        <v>38444</v>
      </c>
      <c r="B401" s="86" t="str">
        <f>TiposLancamentos!B20</f>
        <v>Saques</v>
      </c>
      <c r="C401" s="3" t="s">
        <v>15066</v>
      </c>
      <c r="D401" s="78"/>
      <c r="E401" s="49">
        <v>30</v>
      </c>
    </row>
    <row r="402" spans="1:5">
      <c r="A402" s="75">
        <v>38444</v>
      </c>
      <c r="B402" s="86" t="str">
        <f>TiposLancamentos!B16</f>
        <v>Cristiane</v>
      </c>
      <c r="C402" s="3" t="s">
        <v>15067</v>
      </c>
      <c r="D402" s="78"/>
      <c r="E402" s="49">
        <v>60</v>
      </c>
    </row>
    <row r="403" spans="1:5">
      <c r="A403" s="75">
        <v>38444</v>
      </c>
      <c r="B403" s="86" t="str">
        <f>TiposLancamentos!B16</f>
        <v>Cristiane</v>
      </c>
      <c r="C403" s="3" t="s">
        <v>15068</v>
      </c>
      <c r="D403" s="78"/>
      <c r="E403" s="49">
        <v>20</v>
      </c>
    </row>
    <row r="404" spans="1:5">
      <c r="A404" s="75">
        <v>38445</v>
      </c>
      <c r="B404" s="86" t="str">
        <f>TiposLancamentos!B74</f>
        <v>Noite</v>
      </c>
      <c r="C404" s="3" t="s">
        <v>15069</v>
      </c>
      <c r="D404" s="78"/>
      <c r="E404" s="49">
        <v>25</v>
      </c>
    </row>
    <row r="405" spans="1:5">
      <c r="A405" s="75">
        <v>38445</v>
      </c>
      <c r="B405" s="86" t="str">
        <f>TiposLancamentos!B19</f>
        <v>Restaurantes</v>
      </c>
      <c r="C405" s="3" t="s">
        <v>4824</v>
      </c>
      <c r="D405" s="78"/>
      <c r="E405" s="49">
        <v>17.8</v>
      </c>
    </row>
    <row r="406" spans="1:5">
      <c r="A406" s="75">
        <v>38445</v>
      </c>
      <c r="B406" s="86" t="str">
        <f>TiposLancamentos!B5</f>
        <v>Supermercado</v>
      </c>
      <c r="C406" s="3" t="s">
        <v>4816</v>
      </c>
      <c r="D406" s="78"/>
      <c r="E406" s="49">
        <v>41.23</v>
      </c>
    </row>
    <row r="407" spans="1:5">
      <c r="A407" s="75">
        <v>38445</v>
      </c>
      <c r="B407" s="86" t="str">
        <f>TiposLancamentos!B13</f>
        <v>Moradia</v>
      </c>
      <c r="C407" s="3" t="s">
        <v>15070</v>
      </c>
      <c r="D407" s="78"/>
      <c r="E407" s="49">
        <v>39.950000000000003</v>
      </c>
    </row>
    <row r="408" spans="1:5">
      <c r="A408" s="75">
        <v>38445</v>
      </c>
      <c r="B408" s="86" t="str">
        <f>TiposLancamentos!B16</f>
        <v>Cristiane</v>
      </c>
      <c r="C408" s="3" t="s">
        <v>1698</v>
      </c>
      <c r="D408" s="78"/>
      <c r="E408" s="49">
        <v>10</v>
      </c>
    </row>
    <row r="409" spans="1:5">
      <c r="A409" s="75">
        <v>38446</v>
      </c>
      <c r="B409" s="86" t="str">
        <f>TiposLancamentos!B4</f>
        <v>Taxas Bancarias</v>
      </c>
      <c r="C409" s="3" t="s">
        <v>5065</v>
      </c>
      <c r="D409" s="78"/>
      <c r="E409" s="49">
        <v>1.68</v>
      </c>
    </row>
    <row r="410" spans="1:5">
      <c r="A410" s="75">
        <v>38447</v>
      </c>
      <c r="B410" s="86" t="str">
        <f>TiposLancamentos!B4</f>
        <v>Taxas Bancarias</v>
      </c>
      <c r="C410" s="3" t="s">
        <v>5065</v>
      </c>
      <c r="D410" s="78"/>
      <c r="E410" s="49">
        <v>0.09</v>
      </c>
    </row>
    <row r="411" spans="1:5">
      <c r="A411" s="75">
        <v>38448</v>
      </c>
      <c r="B411" s="86" t="str">
        <f>TiposLancamentos!B4</f>
        <v>Taxas Bancarias</v>
      </c>
      <c r="C411" s="3" t="s">
        <v>14211</v>
      </c>
      <c r="D411" s="78"/>
      <c r="E411" s="49">
        <v>3.8</v>
      </c>
    </row>
    <row r="412" spans="1:5">
      <c r="A412" s="75">
        <v>38448</v>
      </c>
      <c r="B412" s="86" t="str">
        <f>TiposLancamentos!B21</f>
        <v>Transf. Poupanca</v>
      </c>
      <c r="C412" s="3" t="s">
        <v>5365</v>
      </c>
      <c r="D412" s="78"/>
      <c r="E412" s="49">
        <v>1000</v>
      </c>
    </row>
    <row r="413" spans="1:5">
      <c r="A413" s="75">
        <v>38448</v>
      </c>
      <c r="B413" s="86" t="str">
        <f>TiposLancamentos!B20</f>
        <v>Saques</v>
      </c>
      <c r="C413" s="3" t="s">
        <v>2668</v>
      </c>
      <c r="D413" s="78"/>
      <c r="E413" s="49">
        <v>10</v>
      </c>
    </row>
    <row r="414" spans="1:5">
      <c r="A414" s="75">
        <v>38448</v>
      </c>
      <c r="B414" s="86" t="str">
        <f>TiposLancamentos!B82</f>
        <v>CG Titan 125</v>
      </c>
      <c r="C414" s="3" t="s">
        <v>15071</v>
      </c>
      <c r="D414" s="78"/>
      <c r="E414" s="49">
        <v>12.01</v>
      </c>
    </row>
    <row r="415" spans="1:5">
      <c r="A415" s="75">
        <v>38451</v>
      </c>
      <c r="B415" s="86" t="str">
        <f>TiposLancamentos!B5</f>
        <v>Supermercado</v>
      </c>
      <c r="C415" s="3" t="s">
        <v>4816</v>
      </c>
      <c r="D415" s="78"/>
      <c r="E415" s="49">
        <v>21.07</v>
      </c>
    </row>
    <row r="416" spans="1:5">
      <c r="A416" s="75">
        <v>38451</v>
      </c>
      <c r="B416" s="86" t="str">
        <f>TiposLancamentos!B20</f>
        <v>Saques</v>
      </c>
      <c r="C416" s="3" t="s">
        <v>2668</v>
      </c>
      <c r="D416" s="78"/>
      <c r="E416" s="49">
        <v>10</v>
      </c>
    </row>
    <row r="417" spans="1:5">
      <c r="A417" s="75">
        <v>38451</v>
      </c>
      <c r="B417" s="86" t="str">
        <f>TiposLancamentos!B19</f>
        <v>Restaurantes</v>
      </c>
      <c r="C417" s="3" t="s">
        <v>15072</v>
      </c>
      <c r="D417" s="78"/>
      <c r="E417" s="49">
        <v>95.26</v>
      </c>
    </row>
    <row r="418" spans="1:5">
      <c r="A418" s="75">
        <v>38453</v>
      </c>
      <c r="B418" s="86" t="str">
        <f>TiposLancamentos!B4</f>
        <v>Taxas Bancarias</v>
      </c>
      <c r="C418" s="3" t="s">
        <v>4853</v>
      </c>
      <c r="D418" s="78"/>
      <c r="E418" s="49">
        <v>0.47</v>
      </c>
    </row>
    <row r="419" spans="1:5">
      <c r="A419" s="75">
        <v>38454</v>
      </c>
      <c r="B419" s="86" t="str">
        <f>TiposLancamentos!B4</f>
        <v>Taxas Bancarias</v>
      </c>
      <c r="C419" s="3" t="s">
        <v>4822</v>
      </c>
      <c r="D419" s="78"/>
      <c r="E419" s="49">
        <v>0.22</v>
      </c>
    </row>
    <row r="420" spans="1:5">
      <c r="A420" s="75">
        <v>38455</v>
      </c>
      <c r="B420" s="86" t="str">
        <f>TiposLancamentos!B5</f>
        <v>Supermercado</v>
      </c>
      <c r="C420" s="3" t="s">
        <v>1676</v>
      </c>
      <c r="D420" s="78"/>
      <c r="E420" s="49">
        <v>3.85</v>
      </c>
    </row>
    <row r="421" spans="1:5">
      <c r="A421" s="75">
        <v>38456</v>
      </c>
      <c r="B421" s="86" t="str">
        <f>TiposLancamentos!B20</f>
        <v>Saques</v>
      </c>
      <c r="C421" s="3" t="s">
        <v>15073</v>
      </c>
      <c r="D421" s="78"/>
      <c r="E421" s="49">
        <v>20</v>
      </c>
    </row>
    <row r="422" spans="1:5">
      <c r="A422" s="75">
        <v>38456</v>
      </c>
      <c r="B422" s="86" t="str">
        <f>TiposLancamentos!B96</f>
        <v>Resg.Poup.</v>
      </c>
      <c r="C422" s="3" t="s">
        <v>14219</v>
      </c>
      <c r="D422" s="78">
        <v>680</v>
      </c>
      <c r="E422" s="49"/>
    </row>
    <row r="423" spans="1:5">
      <c r="A423" s="75">
        <v>38456</v>
      </c>
      <c r="B423" s="86" t="str">
        <f>TiposLancamentos!B8</f>
        <v>Aluguel</v>
      </c>
      <c r="C423" s="3" t="s">
        <v>4843</v>
      </c>
      <c r="D423" s="78"/>
      <c r="E423" s="49">
        <v>797.76</v>
      </c>
    </row>
    <row r="424" spans="1:5">
      <c r="A424" s="75">
        <v>38456</v>
      </c>
      <c r="B424" s="86" t="str">
        <f>TiposLancamentos!B5</f>
        <v>Supermercado</v>
      </c>
      <c r="C424" s="3" t="s">
        <v>4816</v>
      </c>
      <c r="D424" s="78"/>
      <c r="E424" s="49">
        <v>55</v>
      </c>
    </row>
    <row r="425" spans="1:5">
      <c r="A425" s="75">
        <v>38456</v>
      </c>
      <c r="B425" s="86" t="str">
        <f>TiposLancamentos!B4</f>
        <v>Taxas Bancarias</v>
      </c>
      <c r="C425" s="3" t="s">
        <v>4853</v>
      </c>
      <c r="D425" s="78"/>
      <c r="E425" s="49">
        <v>3.11</v>
      </c>
    </row>
    <row r="426" spans="1:5">
      <c r="A426" s="75">
        <v>38457</v>
      </c>
      <c r="B426" s="86" t="str">
        <f>TiposLancamentos!B16</f>
        <v>Cristiane</v>
      </c>
      <c r="C426" s="3" t="s">
        <v>13034</v>
      </c>
      <c r="D426" s="78"/>
      <c r="E426" s="49">
        <v>53.25</v>
      </c>
    </row>
    <row r="427" spans="1:5">
      <c r="A427" s="75">
        <v>38457</v>
      </c>
      <c r="B427" s="86" t="str">
        <f>TiposLancamentos!B5</f>
        <v>Supermercado</v>
      </c>
      <c r="C427" s="3" t="s">
        <v>2934</v>
      </c>
      <c r="D427" s="78"/>
      <c r="E427" s="49">
        <v>18.670000000000002</v>
      </c>
    </row>
    <row r="428" spans="1:5">
      <c r="A428" s="75">
        <v>38457</v>
      </c>
      <c r="B428" s="86" t="str">
        <f>TiposLancamentos!B4</f>
        <v>Taxas Bancarias</v>
      </c>
      <c r="C428" s="3" t="s">
        <v>4853</v>
      </c>
      <c r="D428" s="78"/>
      <c r="E428" s="49">
        <v>0.2</v>
      </c>
    </row>
    <row r="429" spans="1:5">
      <c r="A429" s="75">
        <v>38458</v>
      </c>
      <c r="B429" s="86" t="str">
        <f>TiposLancamentos!B19</f>
        <v>Restaurantes</v>
      </c>
      <c r="C429" s="3" t="s">
        <v>15074</v>
      </c>
      <c r="D429" s="78"/>
      <c r="E429" s="49">
        <v>26.4</v>
      </c>
    </row>
    <row r="430" spans="1:5">
      <c r="A430" s="75">
        <v>38458</v>
      </c>
      <c r="B430" s="86" t="str">
        <f>TiposLancamentos!B69</f>
        <v>Consertos</v>
      </c>
      <c r="C430" s="3" t="s">
        <v>13035</v>
      </c>
      <c r="D430" s="78"/>
      <c r="E430" s="49">
        <v>190</v>
      </c>
    </row>
    <row r="431" spans="1:5">
      <c r="A431" s="75">
        <v>38459</v>
      </c>
      <c r="B431" s="86" t="str">
        <f>TiposLancamentos!B5</f>
        <v>Supermercado</v>
      </c>
      <c r="C431" s="3" t="s">
        <v>4816</v>
      </c>
      <c r="D431" s="78"/>
      <c r="E431" s="49">
        <v>24.11</v>
      </c>
    </row>
    <row r="432" spans="1:5">
      <c r="A432" s="75">
        <v>38460</v>
      </c>
      <c r="B432" s="86" t="str">
        <f>TiposLancamentos!B56</f>
        <v>Farmácia</v>
      </c>
      <c r="C432" s="3" t="s">
        <v>14206</v>
      </c>
      <c r="D432" s="78"/>
      <c r="E432" s="49">
        <v>2.82</v>
      </c>
    </row>
    <row r="433" spans="1:5">
      <c r="A433" s="75">
        <v>38460</v>
      </c>
      <c r="B433" s="86" t="str">
        <f>TiposLancamentos!B4</f>
        <v>Taxas Bancarias</v>
      </c>
      <c r="C433" s="3" t="s">
        <v>4822</v>
      </c>
      <c r="D433" s="78"/>
      <c r="E433" s="49">
        <v>0.36</v>
      </c>
    </row>
    <row r="434" spans="1:5">
      <c r="A434" s="75">
        <v>38461</v>
      </c>
      <c r="B434" s="86" t="str">
        <f>TiposLancamentos!B4</f>
        <v>Taxas Bancarias</v>
      </c>
      <c r="C434" s="3" t="s">
        <v>4822</v>
      </c>
      <c r="D434" s="78"/>
      <c r="E434" s="49">
        <v>0.83</v>
      </c>
    </row>
    <row r="435" spans="1:5">
      <c r="A435" s="75">
        <v>38461</v>
      </c>
      <c r="B435" s="86" t="str">
        <f>TiposLancamentos!B5</f>
        <v>Supermercado</v>
      </c>
      <c r="C435" s="3" t="s">
        <v>4816</v>
      </c>
      <c r="D435" s="78"/>
      <c r="E435" s="49">
        <v>34.049999999999997</v>
      </c>
    </row>
    <row r="436" spans="1:5">
      <c r="A436" s="75">
        <v>38462</v>
      </c>
      <c r="B436" s="86" t="str">
        <f>TiposLancamentos!B4</f>
        <v>Taxas Bancarias</v>
      </c>
      <c r="C436" s="3" t="s">
        <v>4822</v>
      </c>
      <c r="D436" s="78"/>
      <c r="E436" s="49">
        <v>0.35</v>
      </c>
    </row>
    <row r="437" spans="1:5">
      <c r="A437" s="75">
        <v>38462</v>
      </c>
      <c r="B437" s="86" t="str">
        <f>TiposLancamentos!B6</f>
        <v>Energia Eletrica</v>
      </c>
      <c r="C437" s="3" t="s">
        <v>4831</v>
      </c>
      <c r="D437" s="78"/>
      <c r="E437" s="49">
        <v>62.95</v>
      </c>
    </row>
    <row r="438" spans="1:5">
      <c r="A438" s="75">
        <v>38462</v>
      </c>
      <c r="B438" s="86" t="str">
        <f>TiposLancamentos!B78</f>
        <v>Diferenças</v>
      </c>
      <c r="C438" s="3" t="s">
        <v>2488</v>
      </c>
      <c r="D438" s="78">
        <v>316.44</v>
      </c>
      <c r="E438" s="49"/>
    </row>
    <row r="439" spans="1:5">
      <c r="A439" s="75">
        <v>38463</v>
      </c>
      <c r="B439" s="86" t="str">
        <f>TiposLancamentos!B18</f>
        <v>Alimentacao</v>
      </c>
      <c r="C439" s="3" t="s">
        <v>15075</v>
      </c>
      <c r="D439" s="78"/>
      <c r="E439" s="49">
        <v>3.4</v>
      </c>
    </row>
    <row r="440" spans="1:5">
      <c r="A440" s="75">
        <v>38464</v>
      </c>
      <c r="B440" s="86" t="str">
        <f>TiposLancamentos!B19</f>
        <v>Restaurantes</v>
      </c>
      <c r="C440" s="3" t="s">
        <v>15076</v>
      </c>
      <c r="D440" s="78"/>
      <c r="E440" s="49">
        <v>18.8</v>
      </c>
    </row>
    <row r="441" spans="1:5">
      <c r="A441" s="75">
        <v>38464</v>
      </c>
      <c r="B441" s="86" t="str">
        <f>TiposLancamentos!B4</f>
        <v>Taxas Bancarias</v>
      </c>
      <c r="C441" s="3" t="s">
        <v>4853</v>
      </c>
      <c r="D441" s="78"/>
      <c r="E441" s="49">
        <v>0.01</v>
      </c>
    </row>
    <row r="442" spans="1:5">
      <c r="A442" s="75">
        <v>38465</v>
      </c>
      <c r="B442" s="86" t="str">
        <f>TiposLancamentos!B20</f>
        <v>Saques</v>
      </c>
      <c r="C442" s="3" t="s">
        <v>2668</v>
      </c>
      <c r="D442" s="78"/>
      <c r="E442" s="49">
        <v>20</v>
      </c>
    </row>
    <row r="443" spans="1:5">
      <c r="A443" s="75">
        <v>38465</v>
      </c>
      <c r="B443" s="86" t="str">
        <f>TiposLancamentos!B19</f>
        <v>Restaurantes</v>
      </c>
      <c r="C443" s="3" t="s">
        <v>15077</v>
      </c>
      <c r="D443" s="78"/>
      <c r="E443" s="49">
        <v>7.3</v>
      </c>
    </row>
    <row r="444" spans="1:5">
      <c r="A444" s="75">
        <v>38465</v>
      </c>
      <c r="B444" s="86" t="str">
        <f>TiposLancamentos!B19</f>
        <v>Restaurantes</v>
      </c>
      <c r="C444" s="3" t="s">
        <v>4824</v>
      </c>
      <c r="D444" s="78"/>
      <c r="E444" s="49">
        <v>4.8</v>
      </c>
    </row>
    <row r="445" spans="1:5">
      <c r="A445" s="75">
        <v>38465</v>
      </c>
      <c r="B445" s="86" t="str">
        <f>TiposLancamentos!B13</f>
        <v>Moradia</v>
      </c>
      <c r="C445" s="3" t="s">
        <v>15078</v>
      </c>
      <c r="D445" s="78"/>
      <c r="E445" s="49">
        <v>8.6999999999999993</v>
      </c>
    </row>
    <row r="446" spans="1:5">
      <c r="A446" s="75">
        <v>38467</v>
      </c>
      <c r="B446" s="86" t="str">
        <f>TiposLancamentos!B4</f>
        <v>Taxas Bancarias</v>
      </c>
      <c r="C446" s="3" t="s">
        <v>4853</v>
      </c>
      <c r="D446" s="78"/>
      <c r="E446" s="49">
        <v>0.2</v>
      </c>
    </row>
    <row r="447" spans="1:5">
      <c r="A447" s="83"/>
      <c r="B447" s="91"/>
      <c r="C447" s="92" t="s">
        <v>14512</v>
      </c>
      <c r="D447" s="74"/>
      <c r="E447" s="44"/>
    </row>
    <row r="448" spans="1:5">
      <c r="A448" s="75">
        <v>38480</v>
      </c>
      <c r="B448" s="86" t="str">
        <f>TiposLancamentos!B5</f>
        <v>Supermercado</v>
      </c>
      <c r="C448" s="3" t="s">
        <v>15079</v>
      </c>
      <c r="D448" s="78"/>
      <c r="E448" s="49">
        <v>66.540000000000006</v>
      </c>
    </row>
    <row r="449" spans="1:5">
      <c r="A449" s="75">
        <v>38481</v>
      </c>
      <c r="B449" s="86" t="str">
        <f>TiposLancamentos!B96</f>
        <v>Resg.Poup.</v>
      </c>
      <c r="C449" s="3" t="s">
        <v>14219</v>
      </c>
      <c r="D449" s="78">
        <v>166.5</v>
      </c>
      <c r="E449" s="49"/>
    </row>
    <row r="450" spans="1:5">
      <c r="A450" s="75">
        <v>38481</v>
      </c>
      <c r="B450" s="86" t="str">
        <f>TiposLancamentos!B4</f>
        <v>Taxas Bancarias</v>
      </c>
      <c r="C450" s="3" t="s">
        <v>4822</v>
      </c>
      <c r="D450" s="78"/>
      <c r="E450" s="49">
        <v>0.03</v>
      </c>
    </row>
    <row r="451" spans="1:5">
      <c r="A451" s="75">
        <v>38481</v>
      </c>
      <c r="B451" s="86" t="str">
        <f>TiposLancamentos!B4</f>
        <v>Taxas Bancarias</v>
      </c>
      <c r="C451" s="3" t="s">
        <v>15080</v>
      </c>
      <c r="D451" s="78"/>
      <c r="E451" s="49">
        <v>8</v>
      </c>
    </row>
    <row r="452" spans="1:5">
      <c r="A452" s="75">
        <v>38483</v>
      </c>
      <c r="B452" s="86" t="str">
        <f>TiposLancamentos!B4</f>
        <v>Taxas Bancarias</v>
      </c>
      <c r="C452" s="3" t="s">
        <v>4853</v>
      </c>
      <c r="D452" s="78"/>
      <c r="E452" s="49">
        <v>0.25</v>
      </c>
    </row>
    <row r="453" spans="1:5">
      <c r="A453" s="75">
        <v>38485</v>
      </c>
      <c r="B453" s="86" t="str">
        <f>TiposLancamentos!B96</f>
        <v>Resg.Poup.</v>
      </c>
      <c r="C453" s="3" t="s">
        <v>14219</v>
      </c>
      <c r="D453" s="78">
        <v>30</v>
      </c>
      <c r="E453" s="49"/>
    </row>
    <row r="454" spans="1:5">
      <c r="A454" s="75">
        <v>38486</v>
      </c>
      <c r="B454" s="86" t="str">
        <f>TiposLancamentos!B22</f>
        <v>Combustivel</v>
      </c>
      <c r="C454" s="3" t="s">
        <v>2514</v>
      </c>
      <c r="D454" s="78"/>
      <c r="E454" s="49">
        <v>20</v>
      </c>
    </row>
    <row r="455" spans="1:5">
      <c r="A455" s="75">
        <v>38486</v>
      </c>
      <c r="B455" s="86" t="str">
        <f>TiposLancamentos!B16</f>
        <v>Cristiane</v>
      </c>
      <c r="C455" s="3" t="s">
        <v>15081</v>
      </c>
      <c r="D455" s="78"/>
      <c r="E455" s="49">
        <v>54.7</v>
      </c>
    </row>
    <row r="456" spans="1:5">
      <c r="A456" s="75">
        <v>38487</v>
      </c>
      <c r="B456" s="86" t="str">
        <f>TiposLancamentos!B16</f>
        <v>Cristiane</v>
      </c>
      <c r="C456" s="3" t="s">
        <v>13047</v>
      </c>
      <c r="D456" s="616"/>
      <c r="E456" s="49">
        <v>53.25</v>
      </c>
    </row>
    <row r="457" spans="1:5">
      <c r="A457" s="75">
        <v>38488</v>
      </c>
      <c r="B457" s="86" t="str">
        <f>TiposLancamentos!B4</f>
        <v>Taxas Bancarias</v>
      </c>
      <c r="C457" s="3" t="s">
        <v>4822</v>
      </c>
      <c r="D457" s="78"/>
      <c r="E457" s="49">
        <v>7.0000000000000007E-2</v>
      </c>
    </row>
    <row r="458" spans="1:5">
      <c r="A458" s="75">
        <v>38489</v>
      </c>
      <c r="B458" s="86" t="str">
        <f>TiposLancamentos!B4</f>
        <v>Taxas Bancarias</v>
      </c>
      <c r="C458" s="3" t="s">
        <v>4822</v>
      </c>
      <c r="D458" s="78"/>
      <c r="E458" s="49">
        <v>0.4</v>
      </c>
    </row>
    <row r="459" spans="1:5">
      <c r="A459" s="75">
        <v>38490</v>
      </c>
      <c r="B459" s="86" t="str">
        <f>TiposLancamentos!B20</f>
        <v>Saques</v>
      </c>
      <c r="C459" s="3" t="s">
        <v>2655</v>
      </c>
      <c r="D459" s="78"/>
      <c r="E459" s="49">
        <v>10</v>
      </c>
    </row>
    <row r="460" spans="1:5">
      <c r="A460" s="75">
        <v>38490</v>
      </c>
      <c r="B460" s="86" t="str">
        <f>TiposLancamentos!B56</f>
        <v>Farmácia</v>
      </c>
      <c r="C460" s="3" t="s">
        <v>1775</v>
      </c>
      <c r="D460" s="78"/>
      <c r="E460" s="49">
        <v>32.5</v>
      </c>
    </row>
    <row r="461" spans="1:5">
      <c r="A461" s="75">
        <v>38490</v>
      </c>
      <c r="B461" s="86" t="str">
        <f>TiposLancamentos!B19</f>
        <v>Restaurantes</v>
      </c>
      <c r="C461" s="3" t="s">
        <v>2640</v>
      </c>
      <c r="D461" s="78"/>
      <c r="E461" s="49">
        <v>17.5</v>
      </c>
    </row>
    <row r="462" spans="1:5">
      <c r="A462" s="75">
        <v>38490</v>
      </c>
      <c r="B462" s="86" t="str">
        <f>TiposLancamentos!B4</f>
        <v>Taxas Bancarias</v>
      </c>
      <c r="C462" s="3" t="s">
        <v>4853</v>
      </c>
      <c r="D462" s="78"/>
      <c r="E462" s="49">
        <v>0.03</v>
      </c>
    </row>
    <row r="463" spans="1:5">
      <c r="A463" s="75">
        <v>38491</v>
      </c>
      <c r="B463" s="86" t="str">
        <f>TiposLancamentos!B20</f>
        <v>Saques</v>
      </c>
      <c r="C463" s="3" t="s">
        <v>2844</v>
      </c>
      <c r="D463" s="78"/>
      <c r="E463" s="49">
        <v>20</v>
      </c>
    </row>
    <row r="464" spans="1:5">
      <c r="A464" s="75">
        <v>38491</v>
      </c>
      <c r="B464" s="86" t="str">
        <f>TiposLancamentos!B19</f>
        <v>Restaurantes</v>
      </c>
      <c r="C464" s="3" t="s">
        <v>15082</v>
      </c>
      <c r="D464" s="78"/>
      <c r="E464" s="49">
        <v>27.5</v>
      </c>
    </row>
    <row r="465" spans="1:5">
      <c r="A465" s="75">
        <v>38491</v>
      </c>
      <c r="B465" s="86" t="str">
        <f>TiposLancamentos!B4</f>
        <v>Taxas Bancarias</v>
      </c>
      <c r="C465" s="3" t="s">
        <v>4822</v>
      </c>
      <c r="D465" s="78"/>
      <c r="E465" s="49">
        <v>0.25</v>
      </c>
    </row>
    <row r="466" spans="1:5">
      <c r="A466" s="75">
        <v>38492</v>
      </c>
      <c r="B466" s="86" t="str">
        <f>TiposLancamentos!B96</f>
        <v>Resg.Poup.</v>
      </c>
      <c r="C466" s="3" t="s">
        <v>14219</v>
      </c>
      <c r="D466" s="78">
        <v>134.41999999999999</v>
      </c>
      <c r="E466" s="49"/>
    </row>
    <row r="467" spans="1:5">
      <c r="A467" s="75">
        <v>38492</v>
      </c>
      <c r="B467" s="86" t="str">
        <f>TiposLancamentos!B4</f>
        <v>Taxas Bancarias</v>
      </c>
      <c r="C467" s="3" t="s">
        <v>4822</v>
      </c>
      <c r="D467" s="78"/>
      <c r="E467" s="49">
        <v>0.3</v>
      </c>
    </row>
    <row r="468" spans="1:5">
      <c r="A468" s="75">
        <v>38493</v>
      </c>
      <c r="B468" s="86" t="str">
        <f>TiposLancamentos!B20</f>
        <v>Saques</v>
      </c>
      <c r="C468" s="3" t="s">
        <v>2668</v>
      </c>
      <c r="D468" s="78"/>
      <c r="E468" s="49">
        <v>20</v>
      </c>
    </row>
    <row r="469" spans="1:5">
      <c r="A469" s="75">
        <v>38495</v>
      </c>
      <c r="B469" s="86" t="str">
        <f>TiposLancamentos!B4</f>
        <v>Taxas Bancarias</v>
      </c>
      <c r="C469" s="3" t="s">
        <v>4822</v>
      </c>
      <c r="D469" s="78"/>
      <c r="E469" s="49">
        <v>0.17</v>
      </c>
    </row>
    <row r="470" spans="1:5">
      <c r="A470" s="75">
        <v>38496</v>
      </c>
      <c r="B470" s="86" t="str">
        <f>TiposLancamentos!B20</f>
        <v>Saques</v>
      </c>
      <c r="C470" s="3" t="s">
        <v>2847</v>
      </c>
      <c r="D470" s="78"/>
      <c r="E470" s="49">
        <v>7.11</v>
      </c>
    </row>
    <row r="471" spans="1:5">
      <c r="A471" s="75">
        <v>38493</v>
      </c>
      <c r="B471" s="86" t="str">
        <f>TiposLancamentos!B4</f>
        <v>Taxas Bancarias</v>
      </c>
      <c r="C471" s="3" t="s">
        <v>4853</v>
      </c>
      <c r="D471" s="78"/>
      <c r="E471" s="49">
        <v>0.02</v>
      </c>
    </row>
    <row r="472" spans="1:5">
      <c r="A472" s="79">
        <v>38503</v>
      </c>
      <c r="B472" s="95" t="str">
        <f>TiposLancamentos!B4</f>
        <v>Taxas Bancarias</v>
      </c>
      <c r="C472" s="96" t="s">
        <v>15004</v>
      </c>
      <c r="D472" s="82"/>
      <c r="E472" s="58">
        <v>0.26</v>
      </c>
    </row>
    <row r="473" spans="1:5">
      <c r="A473" s="75">
        <v>38503</v>
      </c>
      <c r="B473" s="125" t="str">
        <f>TiposLancamentos!B78</f>
        <v>Diferenças</v>
      </c>
      <c r="C473" s="96" t="s">
        <v>15083</v>
      </c>
      <c r="D473" s="82">
        <v>107.58</v>
      </c>
      <c r="E473" s="58"/>
    </row>
    <row r="474" spans="1:5">
      <c r="A474" s="46"/>
      <c r="B474" s="116"/>
      <c r="C474" s="184" t="s">
        <v>12</v>
      </c>
      <c r="D474" s="185">
        <f>SUM(D3:D473)</f>
        <v>28945.210000000003</v>
      </c>
      <c r="E474" s="186">
        <f>SUM(E2:E472)</f>
        <v>28945.209999999985</v>
      </c>
    </row>
    <row r="475" spans="1:5">
      <c r="A475" s="119"/>
      <c r="B475" s="120"/>
      <c r="C475" s="24" t="s">
        <v>13</v>
      </c>
      <c r="D475" s="582"/>
      <c r="E475" s="35">
        <f>D474-E474</f>
        <v>0</v>
      </c>
    </row>
    <row r="476" spans="1:5">
      <c r="A476" s="116"/>
      <c r="B476" s="116"/>
      <c r="C476" s="52"/>
      <c r="D476" s="606"/>
      <c r="E476" s="64"/>
    </row>
    <row r="477" spans="1:5">
      <c r="B477" s="25" t="s">
        <v>1279</v>
      </c>
      <c r="C477" s="607" t="s">
        <v>1376</v>
      </c>
    </row>
    <row r="478" spans="1:5">
      <c r="B478" s="25" t="s">
        <v>14579</v>
      </c>
      <c r="C478" s="607" t="s">
        <v>1377</v>
      </c>
      <c r="E478" s="186"/>
    </row>
    <row r="479" spans="1:5">
      <c r="B479" s="25" t="s">
        <v>14581</v>
      </c>
      <c r="C479" s="25" t="s">
        <v>15084</v>
      </c>
    </row>
    <row r="480" spans="1:5">
      <c r="B480" s="25" t="s">
        <v>15085</v>
      </c>
      <c r="C480" s="25" t="s">
        <v>15086</v>
      </c>
    </row>
    <row r="481" spans="2:3">
      <c r="B481" s="25" t="s">
        <v>15087</v>
      </c>
      <c r="C481" s="25" t="s">
        <v>1378</v>
      </c>
    </row>
    <row r="482" spans="2:3">
      <c r="B482" s="25" t="s">
        <v>14685</v>
      </c>
      <c r="C482" s="25" t="s">
        <v>15088</v>
      </c>
    </row>
    <row r="483" spans="2:3">
      <c r="B483" s="25" t="s">
        <v>15089</v>
      </c>
      <c r="C483" s="25">
        <v>2645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scale="32" firstPageNumber="0"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Plan60"/>
  <dimension ref="A1:F209"/>
  <sheetViews>
    <sheetView workbookViewId="0">
      <pane xSplit="6" ySplit="1" topLeftCell="G194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.140625" defaultRowHeight="13.5"/>
  <cols>
    <col min="1" max="1" width="17.5703125" style="3" customWidth="1"/>
    <col min="2" max="2" width="24" style="3" customWidth="1"/>
    <col min="3" max="3" width="40.5703125" style="3" customWidth="1"/>
    <col min="4" max="4" width="15.140625" style="3" customWidth="1"/>
    <col min="5" max="5" width="17.140625" style="221" customWidth="1"/>
    <col min="6" max="6" width="14.42578125" style="3" customWidth="1"/>
    <col min="7" max="16384" width="9.140625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83">
        <v>38331</v>
      </c>
      <c r="B2" s="91" t="str">
        <f>TiposLancamentos!B78</f>
        <v>Diferenças</v>
      </c>
      <c r="C2" s="43" t="s">
        <v>2488</v>
      </c>
      <c r="D2" s="93"/>
      <c r="E2" s="230">
        <v>3.9</v>
      </c>
      <c r="F2" s="223"/>
    </row>
    <row r="3" spans="1:6">
      <c r="A3" s="83"/>
      <c r="B3" s="91"/>
      <c r="C3" s="43" t="s">
        <v>15090</v>
      </c>
      <c r="D3" s="93"/>
      <c r="E3" s="230"/>
      <c r="F3" s="223"/>
    </row>
    <row r="4" spans="1:6">
      <c r="A4" s="75">
        <v>38331</v>
      </c>
      <c r="B4" s="86" t="str">
        <f>TiposLancamentos!B74</f>
        <v>Noite</v>
      </c>
      <c r="C4" s="52" t="s">
        <v>15091</v>
      </c>
      <c r="D4" s="63"/>
      <c r="E4" s="231">
        <v>21</v>
      </c>
      <c r="F4" s="224"/>
    </row>
    <row r="5" spans="1:6">
      <c r="A5" s="83"/>
      <c r="B5" s="91"/>
      <c r="C5" s="43" t="s">
        <v>2764</v>
      </c>
      <c r="D5" s="93"/>
      <c r="E5" s="230"/>
      <c r="F5" s="223"/>
    </row>
    <row r="6" spans="1:6">
      <c r="A6" s="75">
        <v>38354</v>
      </c>
      <c r="B6" s="86" t="str">
        <f>TiposLancamentos!B15</f>
        <v>Cartões de Crédito</v>
      </c>
      <c r="C6" s="52" t="s">
        <v>14126</v>
      </c>
      <c r="D6" s="63">
        <v>21</v>
      </c>
      <c r="E6" s="231"/>
      <c r="F6" s="224"/>
    </row>
    <row r="7" spans="1:6">
      <c r="A7" s="75">
        <v>38358</v>
      </c>
      <c r="B7" s="86" t="str">
        <f>TiposLancamentos!B16</f>
        <v>Cristiane</v>
      </c>
      <c r="C7" s="52" t="s">
        <v>15092</v>
      </c>
      <c r="D7" s="63"/>
      <c r="E7" s="231">
        <v>90</v>
      </c>
      <c r="F7" s="224"/>
    </row>
    <row r="8" spans="1:6">
      <c r="A8" s="75">
        <v>38361</v>
      </c>
      <c r="B8" s="86" t="str">
        <f>TiposLancamentos!B19</f>
        <v>Restaurantes</v>
      </c>
      <c r="C8" s="52" t="s">
        <v>2618</v>
      </c>
      <c r="D8" s="63"/>
      <c r="E8" s="231">
        <v>21.5</v>
      </c>
      <c r="F8" s="224"/>
    </row>
    <row r="9" spans="1:6">
      <c r="A9" s="75">
        <v>38369</v>
      </c>
      <c r="B9" s="86" t="str">
        <f>CitiBankMastercard!B23</f>
        <v>Taxas Bancarias</v>
      </c>
      <c r="C9" s="52" t="s">
        <v>15093</v>
      </c>
      <c r="D9" s="63"/>
      <c r="E9" s="231">
        <v>3</v>
      </c>
      <c r="F9" s="224"/>
    </row>
    <row r="10" spans="1:6">
      <c r="A10" s="75"/>
      <c r="B10" s="86"/>
      <c r="C10" s="52"/>
      <c r="D10" s="63"/>
      <c r="E10" s="231"/>
      <c r="F10" s="224"/>
    </row>
    <row r="11" spans="1:6">
      <c r="A11" s="75">
        <v>38376</v>
      </c>
      <c r="B11" s="86" t="str">
        <f>B8</f>
        <v>Restaurantes</v>
      </c>
      <c r="C11" s="52" t="s">
        <v>15094</v>
      </c>
      <c r="D11" s="63"/>
      <c r="E11" s="231">
        <v>20.2</v>
      </c>
      <c r="F11" s="224"/>
    </row>
    <row r="12" spans="1:6">
      <c r="A12" s="75">
        <v>38383</v>
      </c>
      <c r="B12" s="86" t="str">
        <f>B7</f>
        <v>Cristiane</v>
      </c>
      <c r="C12" s="52" t="s">
        <v>15095</v>
      </c>
      <c r="D12" s="63"/>
      <c r="E12" s="231">
        <v>49.8</v>
      </c>
      <c r="F12" s="224"/>
    </row>
    <row r="13" spans="1:6">
      <c r="A13" s="83"/>
      <c r="B13" s="91"/>
      <c r="C13" s="43" t="s">
        <v>14129</v>
      </c>
      <c r="D13" s="93"/>
      <c r="E13" s="230"/>
      <c r="F13" s="223">
        <f>SUM(E5:E9)</f>
        <v>114.5</v>
      </c>
    </row>
    <row r="14" spans="1:6">
      <c r="A14" s="75">
        <v>38385</v>
      </c>
      <c r="B14" s="86" t="str">
        <f>B6</f>
        <v>Cartões de Crédito</v>
      </c>
      <c r="C14" s="52" t="s">
        <v>5115</v>
      </c>
      <c r="D14" s="63">
        <v>1145</v>
      </c>
      <c r="E14" s="231"/>
      <c r="F14" s="224"/>
    </row>
    <row r="15" spans="1:6">
      <c r="A15" s="75">
        <v>38385</v>
      </c>
      <c r="B15" s="86" t="str">
        <f>B6</f>
        <v>Cartões de Crédito</v>
      </c>
      <c r="C15" s="52" t="s">
        <v>15096</v>
      </c>
      <c r="D15" s="63"/>
      <c r="E15" s="231">
        <v>1145</v>
      </c>
      <c r="F15" s="224"/>
    </row>
    <row r="16" spans="1:6">
      <c r="A16" s="75">
        <v>38386</v>
      </c>
      <c r="B16" s="86" t="str">
        <f>B11</f>
        <v>Restaurantes</v>
      </c>
      <c r="C16" s="52" t="s">
        <v>15097</v>
      </c>
      <c r="D16" s="63"/>
      <c r="E16" s="231">
        <v>7.05</v>
      </c>
      <c r="F16" s="224"/>
    </row>
    <row r="17" spans="1:6">
      <c r="A17" s="75">
        <v>38388</v>
      </c>
      <c r="B17" s="86" t="str">
        <f>TiposLancamentos!B19</f>
        <v>Restaurantes</v>
      </c>
      <c r="C17" s="52" t="s">
        <v>5154</v>
      </c>
      <c r="D17" s="63"/>
      <c r="E17" s="231">
        <v>18.899999999999999</v>
      </c>
      <c r="F17" s="224"/>
    </row>
    <row r="18" spans="1:6">
      <c r="A18" s="75">
        <v>38391</v>
      </c>
      <c r="B18" s="86" t="str">
        <f>B4</f>
        <v>Noite</v>
      </c>
      <c r="C18" s="52" t="s">
        <v>15098</v>
      </c>
      <c r="D18" s="63"/>
      <c r="E18" s="231">
        <v>54.75</v>
      </c>
      <c r="F18" s="224"/>
    </row>
    <row r="19" spans="1:6">
      <c r="A19" s="307">
        <v>38393</v>
      </c>
      <c r="B19" s="330" t="str">
        <f>B24</f>
        <v>Cristiane</v>
      </c>
      <c r="C19" s="280" t="s">
        <v>15099</v>
      </c>
      <c r="D19" s="292"/>
      <c r="E19" s="293">
        <v>22.9</v>
      </c>
      <c r="F19" s="627"/>
    </row>
    <row r="20" spans="1:6">
      <c r="A20" s="75">
        <v>38395</v>
      </c>
      <c r="B20" s="86" t="str">
        <f>TiposLancamentos!B18</f>
        <v>Alimentacao</v>
      </c>
      <c r="C20" s="52" t="s">
        <v>15100</v>
      </c>
      <c r="D20" s="63"/>
      <c r="E20" s="231">
        <v>20.6</v>
      </c>
      <c r="F20" s="224"/>
    </row>
    <row r="21" spans="1:6">
      <c r="A21" s="75">
        <v>38395</v>
      </c>
      <c r="B21" s="86" t="str">
        <f>TiposLancamentos!B58</f>
        <v>Fotografias</v>
      </c>
      <c r="C21" s="52" t="s">
        <v>15101</v>
      </c>
      <c r="D21" s="63"/>
      <c r="E21" s="231">
        <v>43.94</v>
      </c>
      <c r="F21" s="224"/>
    </row>
    <row r="22" spans="1:6">
      <c r="A22" s="75">
        <v>38398</v>
      </c>
      <c r="B22" s="86" t="str">
        <f>B16</f>
        <v>Restaurantes</v>
      </c>
      <c r="C22" s="52" t="s">
        <v>14611</v>
      </c>
      <c r="D22" s="63"/>
      <c r="E22" s="231">
        <v>36.299999999999997</v>
      </c>
      <c r="F22" s="224"/>
    </row>
    <row r="23" spans="1:6">
      <c r="A23" s="307">
        <v>38400</v>
      </c>
      <c r="B23" s="330" t="str">
        <f>TiposLancamentos!B56</f>
        <v>Farmácia</v>
      </c>
      <c r="C23" s="280" t="s">
        <v>15102</v>
      </c>
      <c r="D23" s="292"/>
      <c r="E23" s="293">
        <v>5.15</v>
      </c>
      <c r="F23" s="627"/>
    </row>
    <row r="24" spans="1:6">
      <c r="A24" s="307">
        <v>38400</v>
      </c>
      <c r="B24" s="330" t="str">
        <f>B12</f>
        <v>Cristiane</v>
      </c>
      <c r="C24" s="280" t="s">
        <v>15103</v>
      </c>
      <c r="D24" s="292"/>
      <c r="E24" s="293">
        <v>15.98</v>
      </c>
      <c r="F24" s="627"/>
    </row>
    <row r="25" spans="1:6">
      <c r="A25" s="75">
        <v>38400</v>
      </c>
      <c r="B25" s="86" t="str">
        <f>TiposLancamentos!B4</f>
        <v>Taxas Bancarias</v>
      </c>
      <c r="C25" s="52" t="s">
        <v>15104</v>
      </c>
      <c r="D25" s="63"/>
      <c r="E25" s="231">
        <v>6</v>
      </c>
      <c r="F25" s="224"/>
    </row>
    <row r="26" spans="1:6">
      <c r="A26" s="75">
        <v>38402</v>
      </c>
      <c r="B26" s="86" t="str">
        <f>TiposLancamentos!B19</f>
        <v>Restaurantes</v>
      </c>
      <c r="C26" s="52" t="s">
        <v>15105</v>
      </c>
      <c r="D26" s="63"/>
      <c r="E26" s="231">
        <v>30.7</v>
      </c>
      <c r="F26" s="224"/>
    </row>
    <row r="27" spans="1:6">
      <c r="A27" s="75">
        <v>38402</v>
      </c>
      <c r="B27" s="86" t="str">
        <f>TiposLancamentos!B19</f>
        <v>Restaurantes</v>
      </c>
      <c r="C27" s="52" t="s">
        <v>15106</v>
      </c>
      <c r="D27" s="63"/>
      <c r="E27" s="231">
        <v>6.55</v>
      </c>
      <c r="F27" s="224"/>
    </row>
    <row r="28" spans="1:6">
      <c r="A28" s="307">
        <v>38402</v>
      </c>
      <c r="B28" s="330" t="str">
        <f>B12</f>
        <v>Cristiane</v>
      </c>
      <c r="C28" s="280" t="s">
        <v>15107</v>
      </c>
      <c r="D28" s="292"/>
      <c r="E28" s="293">
        <v>65</v>
      </c>
      <c r="F28" s="627"/>
    </row>
    <row r="29" spans="1:6">
      <c r="A29" s="75"/>
      <c r="B29" s="86"/>
      <c r="C29" s="52"/>
      <c r="D29" s="63"/>
      <c r="E29" s="231"/>
      <c r="F29" s="224"/>
    </row>
    <row r="30" spans="1:6">
      <c r="A30" s="307">
        <v>38409</v>
      </c>
      <c r="B30" s="330" t="str">
        <f>TiposLancamentos!B16</f>
        <v>Cristiane</v>
      </c>
      <c r="C30" s="280" t="s">
        <v>15108</v>
      </c>
      <c r="D30" s="292"/>
      <c r="E30" s="293">
        <v>41.3</v>
      </c>
      <c r="F30" s="627"/>
    </row>
    <row r="31" spans="1:6">
      <c r="A31" s="307">
        <v>38409</v>
      </c>
      <c r="B31" s="330" t="str">
        <f>TiposLancamentos!B16</f>
        <v>Cristiane</v>
      </c>
      <c r="C31" s="280" t="s">
        <v>15109</v>
      </c>
      <c r="D31" s="292"/>
      <c r="E31" s="293">
        <v>29.99</v>
      </c>
      <c r="F31" s="627"/>
    </row>
    <row r="32" spans="1:6">
      <c r="A32" s="75">
        <v>38411</v>
      </c>
      <c r="B32" s="86" t="str">
        <f>TiposLancamentos!B57</f>
        <v>Informática</v>
      </c>
      <c r="C32" s="427" t="s">
        <v>13020</v>
      </c>
      <c r="D32" s="333"/>
      <c r="E32" s="49">
        <v>76.650000000000006</v>
      </c>
      <c r="F32" s="224"/>
    </row>
    <row r="33" spans="1:6">
      <c r="A33" s="75">
        <v>38411</v>
      </c>
      <c r="B33" s="86" t="str">
        <f>B26</f>
        <v>Restaurantes</v>
      </c>
      <c r="C33" s="52" t="s">
        <v>15110</v>
      </c>
      <c r="D33" s="63"/>
      <c r="E33" s="231">
        <v>64.900000000000006</v>
      </c>
      <c r="F33" s="224"/>
    </row>
    <row r="34" spans="1:6">
      <c r="A34" s="75">
        <v>38411</v>
      </c>
      <c r="B34" s="86" t="str">
        <f>B12</f>
        <v>Cristiane</v>
      </c>
      <c r="C34" s="52" t="s">
        <v>15111</v>
      </c>
      <c r="D34" s="63"/>
      <c r="E34" s="231">
        <v>49.8</v>
      </c>
      <c r="F34" s="224"/>
    </row>
    <row r="35" spans="1:6">
      <c r="A35" s="307">
        <v>38411</v>
      </c>
      <c r="B35" s="330" t="str">
        <f>TiposLancamentos!B16</f>
        <v>Cristiane</v>
      </c>
      <c r="C35" s="280" t="s">
        <v>15112</v>
      </c>
      <c r="D35" s="292"/>
      <c r="E35" s="293">
        <v>21.19</v>
      </c>
      <c r="F35" s="627"/>
    </row>
    <row r="36" spans="1:6">
      <c r="A36" s="83"/>
      <c r="B36" s="91"/>
      <c r="C36" s="43" t="s">
        <v>2806</v>
      </c>
      <c r="D36" s="93"/>
      <c r="E36" s="230"/>
      <c r="F36" s="223">
        <f>SUM(E11:E28)</f>
        <v>1548.8200000000002</v>
      </c>
    </row>
    <row r="37" spans="1:6">
      <c r="A37" s="307">
        <v>38412</v>
      </c>
      <c r="B37" s="330" t="str">
        <f>TiposLancamentos!B16</f>
        <v>Cristiane</v>
      </c>
      <c r="C37" s="280" t="s">
        <v>15113</v>
      </c>
      <c r="D37" s="292"/>
      <c r="E37" s="293">
        <v>41.7</v>
      </c>
      <c r="F37" s="307"/>
    </row>
    <row r="38" spans="1:6">
      <c r="A38" s="75">
        <v>38413</v>
      </c>
      <c r="B38" s="86" t="str">
        <f>TiposLancamentos!B15</f>
        <v>Cartões de Crédito</v>
      </c>
      <c r="C38" s="52" t="s">
        <v>15114</v>
      </c>
      <c r="D38" s="63">
        <v>521.32000000000005</v>
      </c>
      <c r="E38" s="231"/>
      <c r="F38" s="224"/>
    </row>
    <row r="39" spans="1:6">
      <c r="A39" s="75">
        <v>38416</v>
      </c>
      <c r="B39" s="86" t="str">
        <f>TiposLancamentos!B5</f>
        <v>Supermercado</v>
      </c>
      <c r="C39" s="52" t="s">
        <v>1676</v>
      </c>
      <c r="D39" s="63"/>
      <c r="E39" s="231">
        <v>207.69</v>
      </c>
      <c r="F39" s="224"/>
    </row>
    <row r="40" spans="1:6">
      <c r="A40" s="307">
        <v>38422</v>
      </c>
      <c r="B40" s="330" t="str">
        <f>TiposLancamentos!B16</f>
        <v>Cristiane</v>
      </c>
      <c r="C40" s="280" t="s">
        <v>15115</v>
      </c>
      <c r="D40" s="292"/>
      <c r="E40" s="293">
        <v>45.8</v>
      </c>
      <c r="F40" s="627"/>
    </row>
    <row r="41" spans="1:6">
      <c r="A41" s="75">
        <v>38426</v>
      </c>
      <c r="B41" s="86" t="str">
        <f>TiposLancamentos!B19</f>
        <v>Restaurantes</v>
      </c>
      <c r="C41" s="52" t="s">
        <v>2839</v>
      </c>
      <c r="D41" s="63"/>
      <c r="E41" s="231">
        <v>11.88</v>
      </c>
      <c r="F41" s="224"/>
    </row>
    <row r="42" spans="1:6">
      <c r="A42" s="75">
        <v>38427</v>
      </c>
      <c r="B42" s="86" t="str">
        <f>TiposLancamentos!B74</f>
        <v>Noite</v>
      </c>
      <c r="C42" s="52" t="s">
        <v>15116</v>
      </c>
      <c r="D42" s="63"/>
      <c r="E42" s="231">
        <v>30.19</v>
      </c>
      <c r="F42" s="224"/>
    </row>
    <row r="43" spans="1:6">
      <c r="A43" s="75">
        <v>38427</v>
      </c>
      <c r="B43" s="86" t="str">
        <f>TiposLancamentos!B4</f>
        <v>Taxas Bancarias</v>
      </c>
      <c r="C43" s="52" t="s">
        <v>15117</v>
      </c>
      <c r="D43" s="63"/>
      <c r="E43" s="231">
        <v>6</v>
      </c>
      <c r="F43" s="224"/>
    </row>
    <row r="44" spans="1:6">
      <c r="A44" s="75">
        <v>38429</v>
      </c>
      <c r="B44" s="86" t="str">
        <f>TiposLancamentos!B22</f>
        <v>Combustivel</v>
      </c>
      <c r="C44" s="52" t="s">
        <v>2514</v>
      </c>
      <c r="D44" s="63"/>
      <c r="E44" s="231">
        <v>26</v>
      </c>
      <c r="F44" s="224"/>
    </row>
    <row r="45" spans="1:6">
      <c r="A45" s="75">
        <v>38431</v>
      </c>
      <c r="B45" s="86" t="str">
        <f>TiposLancamentos!B19</f>
        <v>Restaurantes</v>
      </c>
      <c r="C45" s="52" t="s">
        <v>15118</v>
      </c>
      <c r="D45" s="63"/>
      <c r="E45" s="231">
        <v>20</v>
      </c>
      <c r="F45" s="224"/>
    </row>
    <row r="46" spans="1:6">
      <c r="A46" s="75"/>
      <c r="B46" s="86"/>
      <c r="C46" s="52"/>
      <c r="D46" s="63"/>
      <c r="E46" s="231"/>
      <c r="F46" s="224"/>
    </row>
    <row r="47" spans="1:6">
      <c r="A47" s="307">
        <v>38433</v>
      </c>
      <c r="B47" s="330" t="str">
        <f>TiposLancamentos!B16</f>
        <v>Cristiane</v>
      </c>
      <c r="C47" s="280" t="s">
        <v>15119</v>
      </c>
      <c r="D47" s="292"/>
      <c r="E47" s="293">
        <v>34.9</v>
      </c>
      <c r="F47" s="627"/>
    </row>
    <row r="48" spans="1:6">
      <c r="A48" s="75">
        <v>38433</v>
      </c>
      <c r="B48" s="86" t="str">
        <f>TiposLancamentos!B5</f>
        <v>Supermercado</v>
      </c>
      <c r="C48" s="52" t="s">
        <v>2567</v>
      </c>
      <c r="D48" s="63"/>
      <c r="E48" s="231">
        <v>20.57</v>
      </c>
      <c r="F48" s="224"/>
    </row>
    <row r="49" spans="1:6">
      <c r="A49" s="75">
        <v>38433</v>
      </c>
      <c r="B49" s="86" t="str">
        <f>TiposLancamentos!B19</f>
        <v>Restaurantes</v>
      </c>
      <c r="C49" s="52" t="s">
        <v>15120</v>
      </c>
      <c r="D49" s="63"/>
      <c r="E49" s="231">
        <v>17.350000000000001</v>
      </c>
      <c r="F49" s="224"/>
    </row>
    <row r="50" spans="1:6">
      <c r="A50" s="75">
        <v>38435</v>
      </c>
      <c r="B50" s="86" t="str">
        <f>TiposLancamentos!B5</f>
        <v>Supermercado</v>
      </c>
      <c r="C50" s="52" t="s">
        <v>15121</v>
      </c>
      <c r="D50" s="63"/>
      <c r="E50" s="231">
        <v>11.56</v>
      </c>
      <c r="F50" s="224"/>
    </row>
    <row r="51" spans="1:6">
      <c r="A51" s="75">
        <v>38436</v>
      </c>
      <c r="B51" s="86" t="str">
        <f>TiposLancamentos!B72</f>
        <v>Presentes</v>
      </c>
      <c r="C51" s="52" t="s">
        <v>15122</v>
      </c>
      <c r="D51" s="63"/>
      <c r="E51" s="231">
        <v>26</v>
      </c>
      <c r="F51" s="224"/>
    </row>
    <row r="52" spans="1:6">
      <c r="A52" s="307">
        <v>38437</v>
      </c>
      <c r="B52" s="330" t="str">
        <f>TiposLancamentos!B16</f>
        <v>Cristiane</v>
      </c>
      <c r="C52" s="280" t="s">
        <v>15123</v>
      </c>
      <c r="D52" s="292"/>
      <c r="E52" s="293">
        <v>30</v>
      </c>
      <c r="F52" s="627"/>
    </row>
    <row r="53" spans="1:6">
      <c r="A53" s="75">
        <v>38438</v>
      </c>
      <c r="B53" s="86" t="str">
        <f>TiposLancamentos!B19</f>
        <v>Restaurantes</v>
      </c>
      <c r="C53" s="52" t="s">
        <v>2640</v>
      </c>
      <c r="D53" s="63"/>
      <c r="E53" s="231">
        <v>24.4</v>
      </c>
      <c r="F53" s="224"/>
    </row>
    <row r="54" spans="1:6">
      <c r="A54" s="75">
        <v>38438</v>
      </c>
      <c r="B54" s="86" t="str">
        <f>TiposLancamentos!B56</f>
        <v>Farmácia</v>
      </c>
      <c r="C54" s="52" t="s">
        <v>15124</v>
      </c>
      <c r="D54" s="63"/>
      <c r="E54" s="231">
        <v>38.799999999999997</v>
      </c>
      <c r="F54" s="224"/>
    </row>
    <row r="55" spans="1:6">
      <c r="A55" s="75">
        <v>38438</v>
      </c>
      <c r="B55" s="86" t="str">
        <f>TiposLancamentos!B5</f>
        <v>Supermercado</v>
      </c>
      <c r="C55" s="52" t="s">
        <v>15121</v>
      </c>
      <c r="D55" s="63"/>
      <c r="E55" s="231">
        <v>12.82</v>
      </c>
      <c r="F55" s="224"/>
    </row>
    <row r="56" spans="1:6">
      <c r="A56" s="75">
        <v>38439</v>
      </c>
      <c r="B56" s="86" t="str">
        <f>TiposLancamentos!B57</f>
        <v>Informática</v>
      </c>
      <c r="C56" s="427" t="s">
        <v>13036</v>
      </c>
      <c r="D56" s="333"/>
      <c r="E56" s="49">
        <v>76.5</v>
      </c>
      <c r="F56" s="224"/>
    </row>
    <row r="57" spans="1:6">
      <c r="A57" s="75">
        <v>38439</v>
      </c>
      <c r="B57" s="86" t="str">
        <f>TiposLancamentos!B5</f>
        <v>Supermercado</v>
      </c>
      <c r="C57" s="52" t="s">
        <v>15121</v>
      </c>
      <c r="D57" s="333"/>
      <c r="E57" s="231">
        <v>76.97</v>
      </c>
      <c r="F57" s="224"/>
    </row>
    <row r="58" spans="1:6">
      <c r="A58" s="75">
        <v>38439</v>
      </c>
      <c r="B58" s="86" t="str">
        <f>TiposLancamentos!B5</f>
        <v>Supermercado</v>
      </c>
      <c r="C58" s="332" t="s">
        <v>15125</v>
      </c>
      <c r="D58" s="333"/>
      <c r="E58" s="231">
        <v>39.71</v>
      </c>
      <c r="F58" s="224"/>
    </row>
    <row r="59" spans="1:6">
      <c r="A59" s="75">
        <v>38441</v>
      </c>
      <c r="B59" s="86" t="str">
        <f>TiposLancamentos!B22</f>
        <v>Combustivel</v>
      </c>
      <c r="C59" s="332" t="s">
        <v>2514</v>
      </c>
      <c r="D59" s="333"/>
      <c r="E59" s="231">
        <v>24.81</v>
      </c>
      <c r="F59" s="224"/>
    </row>
    <row r="60" spans="1:6">
      <c r="A60" s="75">
        <v>38442</v>
      </c>
      <c r="B60" s="86" t="str">
        <f>B12</f>
        <v>Cristiane</v>
      </c>
      <c r="C60" s="52" t="s">
        <v>15126</v>
      </c>
      <c r="D60" s="63"/>
      <c r="E60" s="231">
        <v>49.8</v>
      </c>
      <c r="F60" s="224"/>
    </row>
    <row r="61" spans="1:6">
      <c r="A61" s="79">
        <v>38442</v>
      </c>
      <c r="B61" s="95" t="str">
        <f>TiposLancamentos!B15</f>
        <v>Cartões de Crédito</v>
      </c>
      <c r="C61" s="477" t="s">
        <v>14126</v>
      </c>
      <c r="D61" s="85">
        <v>672.95</v>
      </c>
      <c r="E61" s="589"/>
      <c r="F61" s="177"/>
    </row>
    <row r="62" spans="1:6">
      <c r="A62" s="83"/>
      <c r="B62" s="91"/>
      <c r="C62" s="43" t="s">
        <v>2824</v>
      </c>
      <c r="D62" s="93"/>
      <c r="E62" s="230"/>
      <c r="F62" s="223">
        <f>SUM(E30:E45)</f>
        <v>673.09</v>
      </c>
    </row>
    <row r="63" spans="1:6">
      <c r="A63" s="307">
        <v>38447</v>
      </c>
      <c r="B63" s="330" t="str">
        <f>TiposLancamentos!B16</f>
        <v>Cristiane</v>
      </c>
      <c r="C63" s="280" t="s">
        <v>15127</v>
      </c>
      <c r="D63" s="292"/>
      <c r="E63" s="293">
        <v>10.5</v>
      </c>
      <c r="F63" s="627"/>
    </row>
    <row r="64" spans="1:6">
      <c r="A64" s="307">
        <v>38449</v>
      </c>
      <c r="B64" s="330" t="str">
        <f>TiposLancamentos!B16</f>
        <v>Cristiane</v>
      </c>
      <c r="C64" s="280" t="s">
        <v>1775</v>
      </c>
      <c r="D64" s="292"/>
      <c r="E64" s="293">
        <v>16.989999999999998</v>
      </c>
      <c r="F64" s="627"/>
    </row>
    <row r="65" spans="1:6">
      <c r="A65" s="307">
        <v>38449</v>
      </c>
      <c r="B65" s="330" t="str">
        <f>TiposLancamentos!B16</f>
        <v>Cristiane</v>
      </c>
      <c r="C65" s="280" t="s">
        <v>10219</v>
      </c>
      <c r="D65" s="292"/>
      <c r="E65" s="293">
        <v>18.27</v>
      </c>
      <c r="F65" s="627"/>
    </row>
    <row r="66" spans="1:6">
      <c r="A66" s="75">
        <v>38450</v>
      </c>
      <c r="B66" s="86" t="str">
        <f>TiposLancamentos!B19</f>
        <v>Restaurantes</v>
      </c>
      <c r="C66" s="52" t="s">
        <v>15128</v>
      </c>
      <c r="D66" s="63"/>
      <c r="E66" s="231">
        <v>12.76</v>
      </c>
      <c r="F66" s="224"/>
    </row>
    <row r="67" spans="1:6">
      <c r="A67" s="75">
        <v>38451</v>
      </c>
      <c r="B67" s="86" t="str">
        <f>TiposLancamentos!B22</f>
        <v>Combustivel</v>
      </c>
      <c r="C67" s="52" t="s">
        <v>15129</v>
      </c>
      <c r="D67" s="63"/>
      <c r="E67" s="231">
        <v>25.03</v>
      </c>
      <c r="F67" s="224"/>
    </row>
    <row r="68" spans="1:6">
      <c r="A68" s="75">
        <v>38451</v>
      </c>
      <c r="B68" s="86" t="str">
        <f>TiposLancamentos!B4</f>
        <v>Taxas Bancarias</v>
      </c>
      <c r="C68" s="52" t="s">
        <v>15130</v>
      </c>
      <c r="D68" s="63"/>
      <c r="E68" s="231">
        <v>6</v>
      </c>
      <c r="F68" s="224"/>
    </row>
    <row r="69" spans="1:6">
      <c r="A69" s="75"/>
      <c r="B69" s="86"/>
      <c r="C69" s="52"/>
      <c r="D69" s="63"/>
      <c r="E69" s="231"/>
      <c r="F69" s="224"/>
    </row>
    <row r="70" spans="1:6">
      <c r="A70" s="75">
        <v>38463</v>
      </c>
      <c r="B70" s="86" t="str">
        <f>TiposLancamentos!B19</f>
        <v>Restaurantes</v>
      </c>
      <c r="C70" s="52" t="s">
        <v>15131</v>
      </c>
      <c r="D70" s="63"/>
      <c r="E70" s="231">
        <v>33.6</v>
      </c>
      <c r="F70" s="224"/>
    </row>
    <row r="71" spans="1:6">
      <c r="A71" s="75">
        <v>38463</v>
      </c>
      <c r="B71" s="86" t="str">
        <f>TiposLancamentos!B22</f>
        <v>Combustivel</v>
      </c>
      <c r="C71" s="52" t="s">
        <v>5146</v>
      </c>
      <c r="D71" s="63"/>
      <c r="E71" s="231">
        <v>25</v>
      </c>
      <c r="F71" s="224"/>
    </row>
    <row r="72" spans="1:6">
      <c r="A72" s="75">
        <v>38463</v>
      </c>
      <c r="B72" s="86" t="str">
        <f>TiposLancamentos!B74</f>
        <v>Noite</v>
      </c>
      <c r="C72" s="52" t="s">
        <v>15132</v>
      </c>
      <c r="D72" s="63"/>
      <c r="E72" s="231">
        <v>33.99</v>
      </c>
      <c r="F72" s="224"/>
    </row>
    <row r="73" spans="1:6">
      <c r="A73" s="75">
        <v>38464</v>
      </c>
      <c r="B73" s="86" t="str">
        <f>TiposLancamentos!B13</f>
        <v>Moradia</v>
      </c>
      <c r="C73" s="52" t="s">
        <v>15133</v>
      </c>
      <c r="D73" s="63"/>
      <c r="E73" s="231">
        <v>98.9</v>
      </c>
      <c r="F73" s="224"/>
    </row>
    <row r="74" spans="1:6">
      <c r="A74" s="75">
        <v>38464</v>
      </c>
      <c r="B74" s="86" t="str">
        <f>TiposLancamentos!B5</f>
        <v>Supermercado</v>
      </c>
      <c r="C74" s="52" t="s">
        <v>2567</v>
      </c>
      <c r="D74" s="63"/>
      <c r="E74" s="231">
        <v>76.45</v>
      </c>
      <c r="F74" s="224"/>
    </row>
    <row r="75" spans="1:6">
      <c r="A75" s="307">
        <v>38464</v>
      </c>
      <c r="B75" s="330" t="str">
        <f>B12</f>
        <v>Cristiane</v>
      </c>
      <c r="C75" s="280" t="s">
        <v>13055</v>
      </c>
      <c r="D75" s="292"/>
      <c r="E75" s="293">
        <v>207.32</v>
      </c>
      <c r="F75" s="627"/>
    </row>
    <row r="76" spans="1:6">
      <c r="A76" s="307">
        <v>38465</v>
      </c>
      <c r="B76" s="330" t="str">
        <f>B12</f>
        <v>Cristiane</v>
      </c>
      <c r="C76" s="280" t="s">
        <v>15134</v>
      </c>
      <c r="D76" s="292"/>
      <c r="E76" s="293">
        <v>30</v>
      </c>
      <c r="F76" s="627"/>
    </row>
    <row r="77" spans="1:6">
      <c r="A77" s="307">
        <v>38465</v>
      </c>
      <c r="B77" s="330" t="str">
        <f>B12</f>
        <v>Cristiane</v>
      </c>
      <c r="C77" s="280" t="s">
        <v>5944</v>
      </c>
      <c r="D77" s="292"/>
      <c r="E77" s="293">
        <v>52.34</v>
      </c>
      <c r="F77" s="627"/>
    </row>
    <row r="78" spans="1:6">
      <c r="A78" s="75">
        <v>38465</v>
      </c>
      <c r="B78" s="86" t="str">
        <f>TiposLancamentos!B13</f>
        <v>Moradia</v>
      </c>
      <c r="C78" s="52" t="s">
        <v>15135</v>
      </c>
      <c r="D78" s="63"/>
      <c r="E78" s="231">
        <v>28.93</v>
      </c>
      <c r="F78" s="224"/>
    </row>
    <row r="79" spans="1:6">
      <c r="A79" s="75">
        <v>38466</v>
      </c>
      <c r="B79" s="86" t="str">
        <f>TiposLancamentos!B5</f>
        <v>Supermercado</v>
      </c>
      <c r="C79" s="52" t="s">
        <v>15136</v>
      </c>
      <c r="D79" s="63"/>
      <c r="E79" s="231">
        <v>26.76</v>
      </c>
      <c r="F79" s="224"/>
    </row>
    <row r="80" spans="1:6">
      <c r="A80" s="75">
        <v>38466</v>
      </c>
      <c r="B80" s="86" t="str">
        <f>TiposLancamentos!B57</f>
        <v>Informática</v>
      </c>
      <c r="C80" s="52" t="s">
        <v>15137</v>
      </c>
      <c r="D80" s="63"/>
      <c r="E80" s="231">
        <v>65</v>
      </c>
      <c r="F80" s="224"/>
    </row>
    <row r="81" spans="1:6">
      <c r="A81" s="75">
        <v>38468</v>
      </c>
      <c r="B81" s="86" t="str">
        <f>TiposLancamentos!B19</f>
        <v>Restaurantes</v>
      </c>
      <c r="C81" s="52" t="s">
        <v>2654</v>
      </c>
      <c r="D81" s="63"/>
      <c r="E81" s="231">
        <v>38.21</v>
      </c>
      <c r="F81" s="224"/>
    </row>
    <row r="82" spans="1:6">
      <c r="A82" s="75">
        <v>38470</v>
      </c>
      <c r="B82" s="86" t="str">
        <f>TiposLancamentos!B57</f>
        <v>Informática</v>
      </c>
      <c r="C82" s="427" t="s">
        <v>13048</v>
      </c>
      <c r="D82" s="333"/>
      <c r="E82" s="49">
        <v>76.5</v>
      </c>
      <c r="F82" s="224"/>
    </row>
    <row r="83" spans="1:6">
      <c r="A83" s="75">
        <v>38471</v>
      </c>
      <c r="B83" s="86" t="str">
        <f>TiposLancamentos!B19</f>
        <v>Restaurantes</v>
      </c>
      <c r="C83" s="332" t="s">
        <v>5154</v>
      </c>
      <c r="D83" s="333"/>
      <c r="E83" s="231">
        <v>9.4499999999999993</v>
      </c>
      <c r="F83" s="224"/>
    </row>
    <row r="84" spans="1:6">
      <c r="A84" s="75">
        <v>38471</v>
      </c>
      <c r="B84" s="86" t="str">
        <f>TiposLancamentos!B15</f>
        <v>Cartões de Crédito</v>
      </c>
      <c r="C84" s="332" t="s">
        <v>14126</v>
      </c>
      <c r="D84" s="63">
        <v>573.74</v>
      </c>
      <c r="E84" s="231"/>
      <c r="F84" s="224"/>
    </row>
    <row r="85" spans="1:6">
      <c r="A85" s="75">
        <v>38472</v>
      </c>
      <c r="B85" s="86" t="str">
        <f>B12</f>
        <v>Cristiane</v>
      </c>
      <c r="C85" s="52" t="s">
        <v>15138</v>
      </c>
      <c r="D85" s="63"/>
      <c r="E85" s="231">
        <v>49.8</v>
      </c>
      <c r="F85" s="224"/>
    </row>
    <row r="86" spans="1:6">
      <c r="A86" s="83"/>
      <c r="B86" s="91"/>
      <c r="C86" s="43" t="s">
        <v>2836</v>
      </c>
      <c r="D86" s="93"/>
      <c r="E86" s="230"/>
      <c r="F86" s="223">
        <f>SUM(E47:E69)</f>
        <v>573.74</v>
      </c>
    </row>
    <row r="87" spans="1:6">
      <c r="A87" s="75">
        <v>38482</v>
      </c>
      <c r="B87" s="86" t="str">
        <f>TiposLancamentos!B19</f>
        <v>Restaurantes</v>
      </c>
      <c r="C87" s="52" t="s">
        <v>5154</v>
      </c>
      <c r="D87" s="63"/>
      <c r="E87" s="231">
        <v>23.9</v>
      </c>
      <c r="F87" s="224"/>
    </row>
    <row r="88" spans="1:6">
      <c r="A88" s="75">
        <v>38487</v>
      </c>
      <c r="B88" s="86" t="str">
        <f>TiposLancamentos!B5</f>
        <v>Supermercado</v>
      </c>
      <c r="C88" s="52" t="s">
        <v>2567</v>
      </c>
      <c r="D88" s="63"/>
      <c r="E88" s="231">
        <v>20.66</v>
      </c>
      <c r="F88" s="224"/>
    </row>
    <row r="89" spans="1:6">
      <c r="A89" s="75">
        <v>38489</v>
      </c>
      <c r="B89" s="86" t="str">
        <f>TiposLancamentos!B4</f>
        <v>Taxas Bancarias</v>
      </c>
      <c r="C89" s="52" t="s">
        <v>15139</v>
      </c>
      <c r="D89" s="63"/>
      <c r="E89" s="231">
        <v>6</v>
      </c>
      <c r="F89" s="224"/>
    </row>
    <row r="90" spans="1:6">
      <c r="A90" s="75"/>
      <c r="B90" s="86"/>
      <c r="C90" s="52"/>
      <c r="D90" s="63"/>
      <c r="E90" s="231"/>
      <c r="F90" s="224"/>
    </row>
    <row r="91" spans="1:6">
      <c r="A91" s="307">
        <v>38493</v>
      </c>
      <c r="B91" s="330" t="str">
        <f>TiposLancamentos!B16</f>
        <v>Cristiane</v>
      </c>
      <c r="C91" s="280" t="s">
        <v>15140</v>
      </c>
      <c r="D91" s="292"/>
      <c r="E91" s="293">
        <v>55.7</v>
      </c>
      <c r="F91" s="627"/>
    </row>
    <row r="92" spans="1:6">
      <c r="A92" s="75">
        <v>38493</v>
      </c>
      <c r="B92" s="86" t="str">
        <f>TiposLancamentos!B5</f>
        <v>Supermercado</v>
      </c>
      <c r="C92" s="52" t="s">
        <v>1676</v>
      </c>
      <c r="D92" s="63"/>
      <c r="E92" s="231">
        <v>25.52</v>
      </c>
      <c r="F92" s="224"/>
    </row>
    <row r="93" spans="1:6">
      <c r="A93" s="75">
        <v>38493</v>
      </c>
      <c r="B93" s="86" t="str">
        <f>TiposLancamentos!B13</f>
        <v>Moradia</v>
      </c>
      <c r="C93" s="52" t="s">
        <v>15141</v>
      </c>
      <c r="D93" s="63"/>
      <c r="E93" s="231">
        <v>18</v>
      </c>
      <c r="F93" s="224"/>
    </row>
    <row r="94" spans="1:6">
      <c r="A94" s="75">
        <v>38493</v>
      </c>
      <c r="B94" s="86" t="str">
        <f>TiposLancamentos!B17</f>
        <v>GATO</v>
      </c>
      <c r="C94" s="52" t="s">
        <v>15142</v>
      </c>
      <c r="D94" s="63"/>
      <c r="E94" s="231">
        <v>44</v>
      </c>
      <c r="F94" s="224"/>
    </row>
    <row r="95" spans="1:6">
      <c r="A95" s="75">
        <v>38493</v>
      </c>
      <c r="B95" s="86" t="str">
        <f>TiposLancamentos!B19</f>
        <v>Restaurantes</v>
      </c>
      <c r="C95" s="52" t="s">
        <v>15143</v>
      </c>
      <c r="D95" s="63"/>
      <c r="E95" s="231">
        <v>22</v>
      </c>
      <c r="F95" s="224"/>
    </row>
    <row r="96" spans="1:6">
      <c r="A96" s="75">
        <v>38493</v>
      </c>
      <c r="B96" s="86" t="str">
        <f>TiposLancamentos!B19</f>
        <v>Restaurantes</v>
      </c>
      <c r="C96" s="52" t="s">
        <v>15144</v>
      </c>
      <c r="D96" s="63"/>
      <c r="E96" s="231">
        <v>7.2</v>
      </c>
      <c r="F96" s="224"/>
    </row>
    <row r="97" spans="1:6">
      <c r="A97" s="307">
        <v>38494</v>
      </c>
      <c r="B97" s="330" t="str">
        <f>TiposLancamentos!B16</f>
        <v>Cristiane</v>
      </c>
      <c r="C97" s="280" t="s">
        <v>13055</v>
      </c>
      <c r="D97" s="292"/>
      <c r="E97" s="293">
        <v>207.32</v>
      </c>
      <c r="F97" s="627"/>
    </row>
    <row r="98" spans="1:6">
      <c r="A98" s="75">
        <v>38494</v>
      </c>
      <c r="B98" s="86" t="str">
        <f>TiposLancamentos!B5</f>
        <v>Supermercado</v>
      </c>
      <c r="C98" s="52" t="s">
        <v>2567</v>
      </c>
      <c r="D98" s="63"/>
      <c r="E98" s="231">
        <v>31.97</v>
      </c>
      <c r="F98" s="224"/>
    </row>
    <row r="99" spans="1:6">
      <c r="A99" s="75">
        <v>38495</v>
      </c>
      <c r="B99" s="86" t="str">
        <f>TiposLancamentos!B5</f>
        <v>Supermercado</v>
      </c>
      <c r="C99" s="52" t="s">
        <v>2567</v>
      </c>
      <c r="D99" s="63"/>
      <c r="E99" s="231">
        <v>13.85</v>
      </c>
      <c r="F99" s="224"/>
    </row>
    <row r="100" spans="1:6">
      <c r="A100" s="75">
        <v>38498</v>
      </c>
      <c r="B100" s="86" t="str">
        <f>TiposLancamentos!B19</f>
        <v>Restaurantes</v>
      </c>
      <c r="C100" s="52" t="s">
        <v>15143</v>
      </c>
      <c r="D100" s="63"/>
      <c r="E100" s="231">
        <v>23.9</v>
      </c>
      <c r="F100" s="224"/>
    </row>
    <row r="101" spans="1:6">
      <c r="A101" s="75">
        <v>38498</v>
      </c>
      <c r="B101" s="86" t="str">
        <f>TiposLancamentos!B19</f>
        <v>Restaurantes</v>
      </c>
      <c r="C101" s="52" t="s">
        <v>15144</v>
      </c>
      <c r="D101" s="63"/>
      <c r="E101" s="231">
        <v>7.2</v>
      </c>
      <c r="F101" s="224"/>
    </row>
    <row r="102" spans="1:6">
      <c r="A102" s="75">
        <v>38499</v>
      </c>
      <c r="B102" s="86" t="str">
        <f>TiposLancamentos!B19</f>
        <v>Restaurantes</v>
      </c>
      <c r="C102" s="52" t="s">
        <v>2839</v>
      </c>
      <c r="D102" s="63"/>
      <c r="E102" s="231">
        <v>23.43</v>
      </c>
      <c r="F102" s="224"/>
    </row>
    <row r="103" spans="1:6" ht="12" customHeight="1">
      <c r="A103" s="75">
        <v>38500</v>
      </c>
      <c r="B103" s="86" t="str">
        <f>TiposLancamentos!B57</f>
        <v>Informática</v>
      </c>
      <c r="C103" s="427" t="s">
        <v>13061</v>
      </c>
      <c r="D103" s="333"/>
      <c r="E103" s="49">
        <v>76.5</v>
      </c>
      <c r="F103" s="224"/>
    </row>
    <row r="104" spans="1:6" ht="12" customHeight="1">
      <c r="A104" s="75">
        <v>38500</v>
      </c>
      <c r="B104" s="86" t="str">
        <f>TiposLancamentos!B17</f>
        <v>GATO</v>
      </c>
      <c r="C104" s="332" t="s">
        <v>15145</v>
      </c>
      <c r="D104" s="333"/>
      <c r="E104" s="231">
        <v>12</v>
      </c>
      <c r="F104" s="224"/>
    </row>
    <row r="105" spans="1:6" ht="12" customHeight="1">
      <c r="A105" s="75">
        <v>38500</v>
      </c>
      <c r="B105" s="86" t="str">
        <f>TiposLancamentos!B5</f>
        <v>Supermercado</v>
      </c>
      <c r="C105" s="332" t="s">
        <v>2567</v>
      </c>
      <c r="D105" s="333"/>
      <c r="E105" s="231">
        <v>35.880000000000003</v>
      </c>
      <c r="F105" s="224"/>
    </row>
    <row r="106" spans="1:6">
      <c r="A106" s="307">
        <v>38503</v>
      </c>
      <c r="B106" s="330" t="str">
        <f>TiposLancamentos!B16</f>
        <v>Cristiane</v>
      </c>
      <c r="C106" s="280" t="s">
        <v>15146</v>
      </c>
      <c r="D106" s="292"/>
      <c r="E106" s="293">
        <v>49.8</v>
      </c>
      <c r="F106" s="627"/>
    </row>
    <row r="107" spans="1:6">
      <c r="A107" s="79">
        <v>38503</v>
      </c>
      <c r="B107" s="95" t="str">
        <f>TiposLancamentos!B15</f>
        <v>Cartões de Crédito</v>
      </c>
      <c r="C107" s="477" t="s">
        <v>14126</v>
      </c>
      <c r="D107" s="63">
        <v>902.81</v>
      </c>
      <c r="E107" s="589"/>
      <c r="F107" s="177"/>
    </row>
    <row r="108" spans="1:6">
      <c r="A108" s="91"/>
      <c r="B108" s="124"/>
      <c r="C108" s="38" t="s">
        <v>14519</v>
      </c>
      <c r="D108" s="54"/>
      <c r="E108" s="44"/>
      <c r="F108" s="223">
        <f>SUM(E70:E90)</f>
        <v>902.81</v>
      </c>
    </row>
    <row r="109" spans="1:6">
      <c r="A109" s="86">
        <v>38510</v>
      </c>
      <c r="B109" s="86" t="str">
        <f>TiposLancamentos!B19</f>
        <v>Restaurantes</v>
      </c>
      <c r="C109" s="52" t="s">
        <v>15143</v>
      </c>
      <c r="D109" s="63"/>
      <c r="E109" s="49">
        <v>11.95</v>
      </c>
      <c r="F109" s="224"/>
    </row>
    <row r="110" spans="1:6">
      <c r="A110" s="86">
        <v>38510</v>
      </c>
      <c r="B110" s="86" t="str">
        <f>TiposLancamentos!B19</f>
        <v>Restaurantes</v>
      </c>
      <c r="C110" s="52" t="s">
        <v>15144</v>
      </c>
      <c r="D110" s="63"/>
      <c r="E110" s="49">
        <v>3.6</v>
      </c>
      <c r="F110" s="224"/>
    </row>
    <row r="111" spans="1:6">
      <c r="A111" s="86">
        <v>38513</v>
      </c>
      <c r="B111" s="86" t="str">
        <f>TiposLancamentos!B16</f>
        <v>Cristiane</v>
      </c>
      <c r="C111" s="52" t="s">
        <v>15147</v>
      </c>
      <c r="D111" s="63"/>
      <c r="E111" s="49">
        <v>55.4</v>
      </c>
      <c r="F111" s="224"/>
    </row>
    <row r="112" spans="1:6">
      <c r="A112" s="86">
        <v>38513</v>
      </c>
      <c r="B112" s="86" t="str">
        <f>TiposLancamentos!B16</f>
        <v>Cristiane</v>
      </c>
      <c r="C112" s="52" t="s">
        <v>15148</v>
      </c>
      <c r="D112" s="63"/>
      <c r="E112" s="49">
        <v>22.9</v>
      </c>
      <c r="F112" s="224"/>
    </row>
    <row r="113" spans="1:6">
      <c r="A113" s="86">
        <v>38513</v>
      </c>
      <c r="B113" s="86" t="str">
        <f>TiposLancamentos!B19</f>
        <v>Restaurantes</v>
      </c>
      <c r="C113" s="52" t="s">
        <v>15149</v>
      </c>
      <c r="D113" s="63"/>
      <c r="E113" s="49">
        <v>23.9</v>
      </c>
      <c r="F113" s="224"/>
    </row>
    <row r="114" spans="1:6">
      <c r="A114" s="307">
        <v>38514</v>
      </c>
      <c r="B114" s="330" t="str">
        <f>TiposLancamentos!B16</f>
        <v>Cristiane</v>
      </c>
      <c r="C114" s="280" t="s">
        <v>15150</v>
      </c>
      <c r="D114" s="292"/>
      <c r="E114" s="293">
        <v>53.74</v>
      </c>
      <c r="F114" s="627"/>
    </row>
    <row r="115" spans="1:6">
      <c r="A115" s="86">
        <v>38514</v>
      </c>
      <c r="B115" s="86" t="str">
        <f>TiposLancamentos!B72</f>
        <v>Presentes</v>
      </c>
      <c r="C115" s="52" t="s">
        <v>15151</v>
      </c>
      <c r="D115" s="63"/>
      <c r="E115" s="49">
        <v>59.9</v>
      </c>
      <c r="F115" s="224"/>
    </row>
    <row r="116" spans="1:6">
      <c r="A116" s="86">
        <v>38514</v>
      </c>
      <c r="B116" s="86" t="s">
        <v>1806</v>
      </c>
      <c r="C116" s="52" t="s">
        <v>15152</v>
      </c>
      <c r="D116" s="63"/>
      <c r="E116" s="49">
        <v>25</v>
      </c>
      <c r="F116" s="224"/>
    </row>
    <row r="117" spans="1:6">
      <c r="A117" s="86">
        <v>38514</v>
      </c>
      <c r="B117" s="86" t="str">
        <f>TiposLancamentos!B70</f>
        <v>Vestuário</v>
      </c>
      <c r="C117" s="52" t="s">
        <v>15153</v>
      </c>
      <c r="D117" s="63"/>
      <c r="E117" s="49">
        <f>179.9/2</f>
        <v>89.95</v>
      </c>
      <c r="F117" s="224"/>
    </row>
    <row r="118" spans="1:6">
      <c r="A118" s="86">
        <v>38515</v>
      </c>
      <c r="B118" s="86" t="str">
        <f>TiposLancamentos!B57</f>
        <v>Informática</v>
      </c>
      <c r="C118" s="52" t="s">
        <v>15154</v>
      </c>
      <c r="D118" s="63"/>
      <c r="E118" s="49">
        <v>105</v>
      </c>
      <c r="F118" s="224"/>
    </row>
    <row r="119" spans="1:6">
      <c r="A119" s="86">
        <v>38519</v>
      </c>
      <c r="B119" s="86" t="str">
        <f>TiposLancamentos!B19</f>
        <v>Restaurantes</v>
      </c>
      <c r="C119" s="52" t="s">
        <v>15143</v>
      </c>
      <c r="D119" s="63"/>
      <c r="E119" s="49">
        <v>11.95</v>
      </c>
      <c r="F119" s="224"/>
    </row>
    <row r="120" spans="1:6">
      <c r="A120" s="86">
        <v>38519</v>
      </c>
      <c r="B120" s="86" t="str">
        <f>TiposLancamentos!B19</f>
        <v>Restaurantes</v>
      </c>
      <c r="C120" s="52" t="s">
        <v>15144</v>
      </c>
      <c r="D120" s="63"/>
      <c r="E120" s="49">
        <v>3.6</v>
      </c>
      <c r="F120" s="224"/>
    </row>
    <row r="121" spans="1:6">
      <c r="A121" s="86">
        <v>38519</v>
      </c>
      <c r="B121" s="86" t="str">
        <f>TiposLancamentos!B4</f>
        <v>Taxas Bancarias</v>
      </c>
      <c r="C121" s="52" t="s">
        <v>15155</v>
      </c>
      <c r="D121" s="63"/>
      <c r="E121" s="49">
        <v>6</v>
      </c>
      <c r="F121" s="224"/>
    </row>
    <row r="122" spans="1:6">
      <c r="A122" s="86">
        <v>38522</v>
      </c>
      <c r="B122" s="86" t="str">
        <f>TiposLancamentos!B19</f>
        <v>Restaurantes</v>
      </c>
      <c r="C122" s="52" t="s">
        <v>15156</v>
      </c>
      <c r="D122" s="63"/>
      <c r="E122" s="49">
        <v>23.9</v>
      </c>
      <c r="F122" s="224"/>
    </row>
    <row r="123" spans="1:6">
      <c r="A123" s="86">
        <v>38524</v>
      </c>
      <c r="B123" s="86" t="str">
        <f>TiposLancamentos!B56</f>
        <v>Farmácia</v>
      </c>
      <c r="C123" s="52" t="s">
        <v>1775</v>
      </c>
      <c r="D123" s="63"/>
      <c r="E123" s="49">
        <v>26.1</v>
      </c>
      <c r="F123" s="224"/>
    </row>
    <row r="124" spans="1:6">
      <c r="A124" s="86"/>
      <c r="B124" s="86"/>
      <c r="C124" s="52"/>
      <c r="D124" s="63"/>
      <c r="E124" s="49"/>
      <c r="F124" s="224"/>
    </row>
    <row r="125" spans="1:6">
      <c r="A125" s="86">
        <v>38525</v>
      </c>
      <c r="B125" s="86" t="str">
        <f>TiposLancamentos!B5</f>
        <v>Supermercado</v>
      </c>
      <c r="C125" s="52" t="s">
        <v>1676</v>
      </c>
      <c r="D125" s="63"/>
      <c r="E125" s="49">
        <v>61.23</v>
      </c>
      <c r="F125" s="224"/>
    </row>
    <row r="126" spans="1:6">
      <c r="A126" s="86">
        <v>38527</v>
      </c>
      <c r="B126" s="86" t="str">
        <f>TiposLancamentos!B19</f>
        <v>Restaurantes</v>
      </c>
      <c r="C126" s="52" t="s">
        <v>2618</v>
      </c>
      <c r="D126" s="63"/>
      <c r="E126" s="49">
        <v>28.69</v>
      </c>
      <c r="F126" s="224"/>
    </row>
    <row r="127" spans="1:6">
      <c r="A127" s="86">
        <v>38527</v>
      </c>
      <c r="B127" s="86" t="str">
        <f>TiposLancamentos!B22</f>
        <v>Combustivel</v>
      </c>
      <c r="C127" s="52" t="s">
        <v>3050</v>
      </c>
      <c r="D127" s="63"/>
      <c r="E127" s="49">
        <v>25.4</v>
      </c>
      <c r="F127" s="224"/>
    </row>
    <row r="128" spans="1:6">
      <c r="A128" s="86">
        <v>38527</v>
      </c>
      <c r="B128" s="86" t="str">
        <f>TiposLancamentos!B56</f>
        <v>Farmácia</v>
      </c>
      <c r="C128" s="52" t="s">
        <v>15157</v>
      </c>
      <c r="D128" s="63"/>
      <c r="E128" s="49">
        <v>108.5</v>
      </c>
      <c r="F128" s="224"/>
    </row>
    <row r="129" spans="1:6">
      <c r="A129" s="86">
        <v>38528</v>
      </c>
      <c r="B129" s="86" t="str">
        <f>TiposLancamentos!B17</f>
        <v>GATO</v>
      </c>
      <c r="C129" s="52" t="s">
        <v>15158</v>
      </c>
      <c r="D129" s="63"/>
      <c r="E129" s="49">
        <v>15</v>
      </c>
      <c r="F129" s="224"/>
    </row>
    <row r="130" spans="1:6">
      <c r="A130" s="86">
        <v>38528</v>
      </c>
      <c r="B130" s="86" t="str">
        <f>TiposLancamentos!B5</f>
        <v>Supermercado</v>
      </c>
      <c r="C130" s="52" t="s">
        <v>15159</v>
      </c>
      <c r="D130" s="63"/>
      <c r="E130" s="49">
        <v>16.29</v>
      </c>
      <c r="F130" s="224"/>
    </row>
    <row r="131" spans="1:6">
      <c r="A131" s="86">
        <v>38529</v>
      </c>
      <c r="B131" s="86" t="str">
        <f>TiposLancamentos!B5</f>
        <v>Supermercado</v>
      </c>
      <c r="C131" s="52" t="s">
        <v>15160</v>
      </c>
      <c r="D131" s="63"/>
      <c r="E131" s="49">
        <v>5.5</v>
      </c>
      <c r="F131" s="224"/>
    </row>
    <row r="132" spans="1:6">
      <c r="A132" s="86">
        <v>38530</v>
      </c>
      <c r="B132" s="86" t="str">
        <f>TiposLancamentos!B5</f>
        <v>Supermercado</v>
      </c>
      <c r="C132" s="52" t="s">
        <v>15161</v>
      </c>
      <c r="D132" s="63"/>
      <c r="E132" s="49">
        <v>11.76</v>
      </c>
      <c r="F132" s="224"/>
    </row>
    <row r="133" spans="1:6">
      <c r="A133" s="86">
        <v>38530</v>
      </c>
      <c r="B133" s="86" t="str">
        <f>TiposLancamentos!B19</f>
        <v>Restaurantes</v>
      </c>
      <c r="C133" s="52" t="s">
        <v>15162</v>
      </c>
      <c r="D133" s="63"/>
      <c r="E133" s="49">
        <v>37.200000000000003</v>
      </c>
      <c r="F133" s="224"/>
    </row>
    <row r="134" spans="1:6">
      <c r="A134" s="86">
        <v>38531</v>
      </c>
      <c r="B134" s="86" t="str">
        <f>TiposLancamentos!B57</f>
        <v>Informática</v>
      </c>
      <c r="C134" s="342" t="s">
        <v>13074</v>
      </c>
      <c r="D134" s="63"/>
      <c r="E134" s="49">
        <v>76.5</v>
      </c>
      <c r="F134" s="224"/>
    </row>
    <row r="135" spans="1:6">
      <c r="A135" s="86">
        <v>38531</v>
      </c>
      <c r="B135" s="125" t="str">
        <f>TiposLancamentos!B5</f>
        <v>Supermercado</v>
      </c>
      <c r="C135" s="255" t="s">
        <v>2567</v>
      </c>
      <c r="D135" s="51"/>
      <c r="E135" s="49">
        <v>23.71</v>
      </c>
      <c r="F135" s="224"/>
    </row>
    <row r="136" spans="1:6">
      <c r="A136" s="86">
        <v>38532</v>
      </c>
      <c r="B136" s="125" t="str">
        <f>TiposLancamentos!B19</f>
        <v>Restaurantes</v>
      </c>
      <c r="C136" s="255" t="s">
        <v>15163</v>
      </c>
      <c r="D136" s="51"/>
      <c r="E136" s="49">
        <v>52.69</v>
      </c>
      <c r="F136" s="224"/>
    </row>
    <row r="137" spans="1:6">
      <c r="A137" s="95">
        <v>38533</v>
      </c>
      <c r="B137" s="628" t="str">
        <f>TiposLancamentos!B15</f>
        <v>Cartões de Crédito</v>
      </c>
      <c r="C137" s="495" t="s">
        <v>14126</v>
      </c>
      <c r="D137" s="63">
        <v>1177.1600000000001</v>
      </c>
      <c r="E137" s="58"/>
      <c r="F137" s="177"/>
    </row>
    <row r="138" spans="1:6">
      <c r="A138" s="91"/>
      <c r="B138" s="124"/>
      <c r="C138" s="38" t="s">
        <v>2870</v>
      </c>
      <c r="D138" s="54"/>
      <c r="E138" s="44"/>
      <c r="F138" s="223">
        <f>SUM(E91:E123)</f>
        <v>1177.1600000000001</v>
      </c>
    </row>
    <row r="139" spans="1:6">
      <c r="A139" s="86">
        <v>38539</v>
      </c>
      <c r="B139" s="125" t="str">
        <f>TiposLancamentos!B17</f>
        <v>GATO</v>
      </c>
      <c r="C139" s="255" t="s">
        <v>4862</v>
      </c>
      <c r="D139" s="51"/>
      <c r="E139" s="49">
        <v>49.6</v>
      </c>
      <c r="F139" s="224"/>
    </row>
    <row r="140" spans="1:6">
      <c r="A140" s="86">
        <v>38540</v>
      </c>
      <c r="B140" s="125" t="str">
        <f>TiposLancamentos!B19</f>
        <v>Restaurantes</v>
      </c>
      <c r="C140" s="255" t="s">
        <v>7006</v>
      </c>
      <c r="D140" s="51"/>
      <c r="E140" s="49">
        <v>11.95</v>
      </c>
      <c r="F140" s="224"/>
    </row>
    <row r="141" spans="1:6">
      <c r="A141" s="86">
        <v>38541</v>
      </c>
      <c r="B141" s="125" t="str">
        <f>TiposLancamentos!B22</f>
        <v>Combustivel</v>
      </c>
      <c r="C141" s="255" t="s">
        <v>3050</v>
      </c>
      <c r="D141" s="51"/>
      <c r="E141" s="49">
        <v>25.9</v>
      </c>
      <c r="F141" s="224"/>
    </row>
    <row r="142" spans="1:6">
      <c r="A142" s="86">
        <v>38542</v>
      </c>
      <c r="B142" s="125" t="str">
        <f>TiposLancamentos!B69</f>
        <v>Consertos</v>
      </c>
      <c r="C142" s="255" t="s">
        <v>15164</v>
      </c>
      <c r="D142" s="51"/>
      <c r="E142" s="49">
        <v>3</v>
      </c>
      <c r="F142" s="224"/>
    </row>
    <row r="143" spans="1:6">
      <c r="A143" s="86">
        <v>38544</v>
      </c>
      <c r="B143" s="125" t="str">
        <f>TiposLancamentos!B83</f>
        <v>Artigos Moto</v>
      </c>
      <c r="C143" s="255" t="s">
        <v>15165</v>
      </c>
      <c r="D143" s="51"/>
      <c r="E143" s="49">
        <v>73.34</v>
      </c>
      <c r="F143" s="224"/>
    </row>
    <row r="144" spans="1:6">
      <c r="A144" s="86">
        <v>38544</v>
      </c>
      <c r="B144" s="125" t="str">
        <f>TiposLancamentos!B70</f>
        <v>Vestuário</v>
      </c>
      <c r="C144" s="255" t="s">
        <v>15166</v>
      </c>
      <c r="D144" s="51"/>
      <c r="E144" s="49">
        <v>89.95</v>
      </c>
      <c r="F144" s="224"/>
    </row>
    <row r="145" spans="1:6">
      <c r="A145" s="86">
        <v>38545</v>
      </c>
      <c r="B145" s="125" t="str">
        <f>TiposLancamentos!B19</f>
        <v>Restaurantes</v>
      </c>
      <c r="C145" s="255" t="s">
        <v>7006</v>
      </c>
      <c r="D145" s="51"/>
      <c r="E145" s="49">
        <v>11.95</v>
      </c>
      <c r="F145" s="224"/>
    </row>
    <row r="146" spans="1:6">
      <c r="A146" s="86">
        <v>38548</v>
      </c>
      <c r="B146" s="125" t="str">
        <f>TiposLancamentos!B5</f>
        <v>Supermercado</v>
      </c>
      <c r="C146" s="255" t="s">
        <v>2567</v>
      </c>
      <c r="D146" s="51"/>
      <c r="E146" s="49">
        <v>13.82</v>
      </c>
      <c r="F146" s="224"/>
    </row>
    <row r="147" spans="1:6">
      <c r="A147" s="86">
        <v>38549</v>
      </c>
      <c r="B147" s="125" t="str">
        <f>TiposLancamentos!B5</f>
        <v>Supermercado</v>
      </c>
      <c r="C147" s="255" t="s">
        <v>2567</v>
      </c>
      <c r="D147" s="51"/>
      <c r="E147" s="49">
        <v>13.59</v>
      </c>
      <c r="F147" s="224"/>
    </row>
    <row r="148" spans="1:6">
      <c r="A148" s="86">
        <v>38549</v>
      </c>
      <c r="B148" s="125" t="str">
        <f>TiposLancamentos!B4</f>
        <v>Taxas Bancarias</v>
      </c>
      <c r="C148" s="255" t="s">
        <v>15167</v>
      </c>
      <c r="D148" s="51"/>
      <c r="E148" s="49">
        <v>6</v>
      </c>
      <c r="F148" s="224"/>
    </row>
    <row r="149" spans="1:6">
      <c r="A149" s="330">
        <v>38551</v>
      </c>
      <c r="B149" s="629" t="str">
        <f>TiposLancamentos!B16</f>
        <v>Cristiane</v>
      </c>
      <c r="C149" s="630" t="s">
        <v>15168</v>
      </c>
      <c r="D149" s="631"/>
      <c r="E149" s="331">
        <v>100.8</v>
      </c>
      <c r="F149" s="627"/>
    </row>
    <row r="150" spans="1:6">
      <c r="A150" s="86">
        <v>38552</v>
      </c>
      <c r="B150" s="125" t="str">
        <f>TiposLancamentos!B19</f>
        <v>Restaurantes</v>
      </c>
      <c r="C150" s="255" t="s">
        <v>15169</v>
      </c>
      <c r="D150" s="51"/>
      <c r="E150" s="49"/>
      <c r="F150" s="224"/>
    </row>
    <row r="151" spans="1:6">
      <c r="A151" s="86">
        <v>38552</v>
      </c>
      <c r="B151" s="125" t="str">
        <f>TiposLancamentos!B19</f>
        <v>Restaurantes</v>
      </c>
      <c r="C151" s="255" t="s">
        <v>2942</v>
      </c>
      <c r="D151" s="51"/>
      <c r="E151" s="49">
        <v>3.6</v>
      </c>
      <c r="F151" s="224"/>
    </row>
    <row r="152" spans="1:6">
      <c r="A152" s="86">
        <v>38552</v>
      </c>
      <c r="B152" s="125" t="str">
        <f>TiposLancamentos!B5</f>
        <v>Supermercado</v>
      </c>
      <c r="C152" s="255" t="s">
        <v>2567</v>
      </c>
      <c r="D152" s="51"/>
      <c r="E152" s="49">
        <v>12.93</v>
      </c>
      <c r="F152" s="224"/>
    </row>
    <row r="153" spans="1:6">
      <c r="A153" s="86">
        <v>38555</v>
      </c>
      <c r="B153" s="125" t="str">
        <f>TiposLancamentos!B18</f>
        <v>Alimentacao</v>
      </c>
      <c r="C153" s="255" t="s">
        <v>2771</v>
      </c>
      <c r="D153" s="51"/>
      <c r="E153" s="49">
        <v>7.25</v>
      </c>
      <c r="F153" s="126"/>
    </row>
    <row r="154" spans="1:6">
      <c r="A154" s="86">
        <v>38555</v>
      </c>
      <c r="B154" s="125" t="str">
        <f>TiposLancamentos!B82</f>
        <v>CG Titan 125</v>
      </c>
      <c r="C154" s="255" t="s">
        <v>15170</v>
      </c>
      <c r="D154" s="51"/>
      <c r="E154" s="49">
        <v>100</v>
      </c>
      <c r="F154" s="126"/>
    </row>
    <row r="155" spans="1:6">
      <c r="A155" s="86">
        <v>38555</v>
      </c>
      <c r="B155" s="125" t="str">
        <f>TiposLancamentos!B18</f>
        <v>Alimentacao</v>
      </c>
      <c r="C155" s="255" t="s">
        <v>15171</v>
      </c>
      <c r="D155" s="51"/>
      <c r="E155" s="49">
        <v>2.9</v>
      </c>
      <c r="F155" s="126"/>
    </row>
    <row r="156" spans="1:6">
      <c r="A156" s="86">
        <v>38555</v>
      </c>
      <c r="B156" s="125" t="str">
        <f>TiposLancamentos!B5</f>
        <v>Supermercado</v>
      </c>
      <c r="C156" s="255" t="s">
        <v>2567</v>
      </c>
      <c r="D156" s="51"/>
      <c r="E156" s="49">
        <v>8.6300000000000008</v>
      </c>
      <c r="F156" s="126"/>
    </row>
    <row r="157" spans="1:6">
      <c r="A157" s="86"/>
      <c r="B157" s="125"/>
      <c r="C157" s="255"/>
      <c r="D157" s="51"/>
      <c r="E157" s="49"/>
      <c r="F157" s="126"/>
    </row>
    <row r="158" spans="1:6">
      <c r="A158" s="330">
        <v>38554</v>
      </c>
      <c r="B158" s="629" t="str">
        <f>TiposLancamentos!B16</f>
        <v>Cristiane</v>
      </c>
      <c r="C158" s="630" t="s">
        <v>12107</v>
      </c>
      <c r="D158" s="631"/>
      <c r="E158" s="331">
        <v>18.670000000000002</v>
      </c>
      <c r="F158" s="632"/>
    </row>
    <row r="159" spans="1:6">
      <c r="A159" s="86">
        <v>38556</v>
      </c>
      <c r="B159" s="125" t="str">
        <f>TiposLancamentos!B17</f>
        <v>GATO</v>
      </c>
      <c r="C159" s="255" t="s">
        <v>15158</v>
      </c>
      <c r="D159" s="51"/>
      <c r="E159" s="49">
        <v>21</v>
      </c>
      <c r="F159" s="126"/>
    </row>
    <row r="160" spans="1:6">
      <c r="A160" s="86">
        <v>38556</v>
      </c>
      <c r="B160" s="125" t="str">
        <f>TiposLancamentos!B56</f>
        <v>Farmácia</v>
      </c>
      <c r="C160" s="255" t="s">
        <v>15172</v>
      </c>
      <c r="D160" s="51"/>
      <c r="E160" s="49">
        <v>26.28</v>
      </c>
      <c r="F160" s="126"/>
    </row>
    <row r="161" spans="1:6">
      <c r="A161" s="86">
        <v>38556</v>
      </c>
      <c r="B161" s="125" t="str">
        <f>TiposLancamentos!B5</f>
        <v>Supermercado</v>
      </c>
      <c r="C161" s="255" t="s">
        <v>15173</v>
      </c>
      <c r="D161" s="51"/>
      <c r="E161" s="49">
        <v>18.739999999999998</v>
      </c>
      <c r="F161" s="126"/>
    </row>
    <row r="162" spans="1:6">
      <c r="A162" s="86">
        <v>38557</v>
      </c>
      <c r="B162" s="125" t="str">
        <f>TiposLancamentos!B16</f>
        <v>Cristiane</v>
      </c>
      <c r="C162" s="255" t="s">
        <v>15172</v>
      </c>
      <c r="D162" s="51"/>
      <c r="E162" s="49">
        <v>58</v>
      </c>
      <c r="F162" s="126"/>
    </row>
    <row r="163" spans="1:6">
      <c r="A163" s="86">
        <v>38557</v>
      </c>
      <c r="B163" s="125" t="str">
        <f>TiposLancamentos!B5</f>
        <v>Supermercado</v>
      </c>
      <c r="C163" s="255" t="s">
        <v>15174</v>
      </c>
      <c r="D163" s="51"/>
      <c r="E163" s="49">
        <v>48.17</v>
      </c>
      <c r="F163" s="126"/>
    </row>
    <row r="164" spans="1:6">
      <c r="A164" s="86">
        <v>38559</v>
      </c>
      <c r="B164" s="125" t="str">
        <f>TiposLancamentos!B5</f>
        <v>Supermercado</v>
      </c>
      <c r="C164" s="255" t="s">
        <v>15175</v>
      </c>
      <c r="D164" s="51"/>
      <c r="E164" s="49">
        <v>20.6</v>
      </c>
      <c r="F164" s="126"/>
    </row>
    <row r="165" spans="1:6">
      <c r="A165" s="86">
        <v>38560</v>
      </c>
      <c r="B165" s="125" t="str">
        <f>TiposLancamentos!B5</f>
        <v>Supermercado</v>
      </c>
      <c r="C165" s="255" t="s">
        <v>15175</v>
      </c>
      <c r="D165" s="51"/>
      <c r="E165" s="49">
        <v>7.91</v>
      </c>
      <c r="F165" s="126"/>
    </row>
    <row r="166" spans="1:6">
      <c r="A166" s="86">
        <v>38561</v>
      </c>
      <c r="B166" s="125" t="str">
        <f>TiposLancamentos!B57</f>
        <v>Informática</v>
      </c>
      <c r="C166" s="342" t="s">
        <v>13087</v>
      </c>
      <c r="D166" s="51"/>
      <c r="E166" s="49">
        <v>76.5</v>
      </c>
      <c r="F166" s="224"/>
    </row>
    <row r="167" spans="1:6">
      <c r="A167" s="86">
        <v>38561</v>
      </c>
      <c r="B167" s="125" t="str">
        <f>TiposLancamentos!B56</f>
        <v>Farmácia</v>
      </c>
      <c r="C167" s="342" t="s">
        <v>15176</v>
      </c>
      <c r="D167" s="51"/>
      <c r="E167" s="49">
        <v>32.869999999999997</v>
      </c>
      <c r="F167" s="224"/>
    </row>
    <row r="168" spans="1:6">
      <c r="A168" s="86">
        <v>38562</v>
      </c>
      <c r="B168" s="125" t="str">
        <f>TiposLancamentos!B15</f>
        <v>Cartões de Crédito</v>
      </c>
      <c r="C168" s="255" t="s">
        <v>14126</v>
      </c>
      <c r="D168" s="63">
        <v>1009.63</v>
      </c>
      <c r="E168" s="49"/>
      <c r="F168" s="224"/>
    </row>
    <row r="169" spans="1:6">
      <c r="A169" s="95">
        <v>38563</v>
      </c>
      <c r="B169" s="628" t="str">
        <f>TiposLancamentos!B5</f>
        <v>Supermercado</v>
      </c>
      <c r="C169" s="495" t="s">
        <v>2567</v>
      </c>
      <c r="D169" s="633"/>
      <c r="E169" s="58">
        <v>14.65</v>
      </c>
      <c r="F169" s="177"/>
    </row>
    <row r="170" spans="1:6">
      <c r="A170" s="86"/>
      <c r="B170" s="125"/>
      <c r="C170" s="342" t="s">
        <v>2882</v>
      </c>
      <c r="D170" s="584"/>
      <c r="E170" s="49"/>
      <c r="F170" s="224">
        <f>SUM(E125:E156)</f>
        <v>997.68000000000006</v>
      </c>
    </row>
    <row r="171" spans="1:6">
      <c r="A171" s="86">
        <v>38574</v>
      </c>
      <c r="B171" s="125" t="str">
        <f>TiposLancamentos!B16</f>
        <v>Cristiane</v>
      </c>
      <c r="C171" s="342" t="s">
        <v>15177</v>
      </c>
      <c r="D171" s="584"/>
      <c r="E171" s="49">
        <v>99.65</v>
      </c>
      <c r="F171" s="224"/>
    </row>
    <row r="172" spans="1:6">
      <c r="A172" s="86">
        <v>38575</v>
      </c>
      <c r="B172" s="125" t="str">
        <f>TiposLancamentos!B83</f>
        <v>Artigos Moto</v>
      </c>
      <c r="C172" s="342" t="s">
        <v>15178</v>
      </c>
      <c r="D172" s="584"/>
      <c r="E172" s="49">
        <v>73.34</v>
      </c>
      <c r="F172" s="224"/>
    </row>
    <row r="173" spans="1:6">
      <c r="A173" s="86">
        <v>38576</v>
      </c>
      <c r="B173" s="125" t="str">
        <f>TiposLancamentos!B18</f>
        <v>Alimentacao</v>
      </c>
      <c r="C173" s="342" t="s">
        <v>15179</v>
      </c>
      <c r="D173" s="584"/>
      <c r="E173" s="49">
        <v>5.8</v>
      </c>
      <c r="F173" s="224"/>
    </row>
    <row r="174" spans="1:6">
      <c r="A174" s="86">
        <v>38577</v>
      </c>
      <c r="B174" s="125" t="str">
        <f>TiposLancamentos!B16</f>
        <v>Cristiane</v>
      </c>
      <c r="C174" s="342" t="s">
        <v>15177</v>
      </c>
      <c r="D174" s="584"/>
      <c r="E174" s="49">
        <v>70.2</v>
      </c>
      <c r="F174" s="224"/>
    </row>
    <row r="175" spans="1:6">
      <c r="A175" s="86">
        <v>38578</v>
      </c>
      <c r="B175" s="125" t="str">
        <f>TiposLancamentos!B18</f>
        <v>Alimentacao</v>
      </c>
      <c r="C175" s="342" t="s">
        <v>15179</v>
      </c>
      <c r="D175" s="584"/>
      <c r="E175" s="49">
        <v>7.8</v>
      </c>
      <c r="F175" s="224"/>
    </row>
    <row r="176" spans="1:6">
      <c r="A176" s="86">
        <v>38579</v>
      </c>
      <c r="B176" s="125" t="str">
        <f>TiposLancamentos!B22</f>
        <v>Combustivel</v>
      </c>
      <c r="C176" s="342" t="s">
        <v>2514</v>
      </c>
      <c r="D176" s="584"/>
      <c r="E176" s="49">
        <v>25.93</v>
      </c>
      <c r="F176" s="224"/>
    </row>
    <row r="177" spans="1:6">
      <c r="A177" s="86">
        <v>38581</v>
      </c>
      <c r="B177" s="125" t="str">
        <f>TiposLancamentos!B4</f>
        <v>Taxas Bancarias</v>
      </c>
      <c r="C177" s="342" t="s">
        <v>15167</v>
      </c>
      <c r="D177" s="584"/>
      <c r="E177" s="49">
        <v>6</v>
      </c>
      <c r="F177" s="224"/>
    </row>
    <row r="178" spans="1:6">
      <c r="A178" s="86">
        <v>38582</v>
      </c>
      <c r="B178" s="125" t="str">
        <f>TiposLancamentos!B16</f>
        <v>Cristiane</v>
      </c>
      <c r="C178" s="342" t="s">
        <v>15172</v>
      </c>
      <c r="D178" s="584"/>
      <c r="E178" s="49">
        <v>40.85</v>
      </c>
      <c r="F178" s="224"/>
    </row>
    <row r="179" spans="1:6">
      <c r="A179" s="86">
        <v>38582</v>
      </c>
      <c r="B179" s="125" t="str">
        <f>TiposLancamentos!B5</f>
        <v>Supermercado</v>
      </c>
      <c r="C179" s="342" t="s">
        <v>2567</v>
      </c>
      <c r="D179" s="584"/>
      <c r="E179" s="49">
        <v>21.22</v>
      </c>
      <c r="F179" s="224"/>
    </row>
    <row r="180" spans="1:6">
      <c r="A180" s="330">
        <v>38582</v>
      </c>
      <c r="B180" s="629" t="str">
        <f>TiposLancamentos!B16</f>
        <v>Cristiane</v>
      </c>
      <c r="C180" s="634" t="s">
        <v>15180</v>
      </c>
      <c r="D180" s="635"/>
      <c r="E180" s="331">
        <v>100.8</v>
      </c>
      <c r="F180" s="627"/>
    </row>
    <row r="181" spans="1:6">
      <c r="A181" s="86">
        <v>38584</v>
      </c>
      <c r="B181" s="125" t="str">
        <f>TiposLancamentos!B5</f>
        <v>Supermercado</v>
      </c>
      <c r="C181" s="342" t="s">
        <v>2567</v>
      </c>
      <c r="D181" s="584"/>
      <c r="E181" s="49">
        <v>69.14</v>
      </c>
      <c r="F181" s="224"/>
    </row>
    <row r="182" spans="1:6">
      <c r="A182" s="86">
        <v>38585</v>
      </c>
      <c r="B182" s="125" t="str">
        <f>TiposLancamentos!B19</f>
        <v>Restaurantes</v>
      </c>
      <c r="C182" s="342" t="s">
        <v>2839</v>
      </c>
      <c r="D182" s="584"/>
      <c r="E182" s="49">
        <v>13.64</v>
      </c>
      <c r="F182" s="224"/>
    </row>
    <row r="183" spans="1:6">
      <c r="A183" s="330">
        <v>38585</v>
      </c>
      <c r="B183" s="629" t="str">
        <f>TiposLancamentos!B16</f>
        <v>Cristiane</v>
      </c>
      <c r="C183" s="634" t="s">
        <v>15181</v>
      </c>
      <c r="D183" s="635"/>
      <c r="E183" s="331">
        <v>41.45</v>
      </c>
      <c r="F183" s="627"/>
    </row>
    <row r="184" spans="1:6">
      <c r="A184" s="86"/>
      <c r="B184" s="125"/>
      <c r="C184" s="342"/>
      <c r="D184" s="584"/>
      <c r="E184" s="49"/>
      <c r="F184" s="224"/>
    </row>
    <row r="185" spans="1:6">
      <c r="A185" s="330">
        <v>38588</v>
      </c>
      <c r="B185" s="629" t="str">
        <f>TiposLancamentos!B16</f>
        <v>Cristiane</v>
      </c>
      <c r="C185" s="634" t="s">
        <v>15182</v>
      </c>
      <c r="D185" s="635"/>
      <c r="E185" s="331">
        <v>16.399999999999999</v>
      </c>
      <c r="F185" s="627"/>
    </row>
    <row r="186" spans="1:6">
      <c r="A186" s="86">
        <v>38595</v>
      </c>
      <c r="B186" s="125" t="str">
        <f>B168</f>
        <v>Cartões de Crédito</v>
      </c>
      <c r="C186" s="342" t="s">
        <v>14126</v>
      </c>
      <c r="D186" s="63">
        <v>919.19</v>
      </c>
      <c r="E186" s="49"/>
      <c r="F186" s="224"/>
    </row>
    <row r="187" spans="1:6">
      <c r="A187" s="91"/>
      <c r="B187" s="124"/>
      <c r="C187" s="343" t="s">
        <v>2895</v>
      </c>
      <c r="D187" s="636"/>
      <c r="E187" s="44"/>
      <c r="F187" s="223">
        <f>SUM(E158:E183)</f>
        <v>919.20999999999992</v>
      </c>
    </row>
    <row r="188" spans="1:6">
      <c r="A188" s="86">
        <v>38598</v>
      </c>
      <c r="B188" s="125" t="str">
        <f>TiposLancamentos!B16</f>
        <v>Cristiane</v>
      </c>
      <c r="C188" s="342" t="s">
        <v>15127</v>
      </c>
      <c r="D188" s="584"/>
      <c r="E188" s="49">
        <v>38.299999999999997</v>
      </c>
      <c r="F188" s="224"/>
    </row>
    <row r="189" spans="1:6">
      <c r="A189" s="86">
        <v>38602</v>
      </c>
      <c r="B189" s="125" t="str">
        <f>TiposLancamentos!B18</f>
        <v>Alimentacao</v>
      </c>
      <c r="C189" s="342" t="s">
        <v>3118</v>
      </c>
      <c r="D189" s="584"/>
      <c r="E189" s="49">
        <v>24.3</v>
      </c>
      <c r="F189" s="224"/>
    </row>
    <row r="190" spans="1:6">
      <c r="A190" s="330">
        <v>38604</v>
      </c>
      <c r="B190" s="629" t="str">
        <f>TiposLancamentos!B16</f>
        <v>Cristiane</v>
      </c>
      <c r="C190" s="634" t="s">
        <v>15183</v>
      </c>
      <c r="D190" s="635"/>
      <c r="E190" s="331">
        <v>98.5</v>
      </c>
      <c r="F190" s="627"/>
    </row>
    <row r="191" spans="1:6">
      <c r="A191" s="86">
        <v>38606</v>
      </c>
      <c r="B191" s="125" t="str">
        <f>TiposLancamentos!B83</f>
        <v>Artigos Moto</v>
      </c>
      <c r="C191" s="342" t="s">
        <v>15184</v>
      </c>
      <c r="D191" s="584"/>
      <c r="E191" s="49">
        <v>73.34</v>
      </c>
      <c r="F191" s="224"/>
    </row>
    <row r="192" spans="1:6">
      <c r="A192" s="86">
        <v>38609</v>
      </c>
      <c r="B192" s="125" t="str">
        <f>TiposLancamentos!B16</f>
        <v>Cristiane</v>
      </c>
      <c r="C192" s="342" t="s">
        <v>15185</v>
      </c>
      <c r="D192" s="584"/>
      <c r="E192" s="49">
        <v>59.96</v>
      </c>
      <c r="F192" s="224"/>
    </row>
    <row r="193" spans="1:6">
      <c r="A193" s="86">
        <v>38610</v>
      </c>
      <c r="B193" s="125" t="str">
        <f>TiposLancamentos!B4</f>
        <v>Taxas Bancarias</v>
      </c>
      <c r="C193" s="342" t="s">
        <v>15186</v>
      </c>
      <c r="D193" s="584"/>
      <c r="E193" s="49">
        <v>6</v>
      </c>
      <c r="F193" s="224"/>
    </row>
    <row r="194" spans="1:6">
      <c r="A194" s="86">
        <v>38612</v>
      </c>
      <c r="B194" s="125" t="str">
        <f>TiposLancamentos!B4</f>
        <v>Taxas Bancarias</v>
      </c>
      <c r="C194" s="342" t="s">
        <v>15187</v>
      </c>
      <c r="D194" s="584"/>
      <c r="E194" s="49">
        <v>44</v>
      </c>
      <c r="F194" s="224"/>
    </row>
    <row r="195" spans="1:6">
      <c r="A195" s="86">
        <v>38612</v>
      </c>
      <c r="B195" s="125" t="str">
        <f>TiposLancamentos!B4</f>
        <v>Taxas Bancarias</v>
      </c>
      <c r="C195" s="342" t="s">
        <v>15188</v>
      </c>
      <c r="D195" s="584"/>
      <c r="E195" s="49">
        <v>22</v>
      </c>
      <c r="F195" s="224"/>
    </row>
    <row r="196" spans="1:6">
      <c r="A196" s="330">
        <v>38616</v>
      </c>
      <c r="B196" s="629" t="str">
        <f>TiposLancamentos!B16</f>
        <v>Cristiane</v>
      </c>
      <c r="C196" s="634" t="s">
        <v>15189</v>
      </c>
      <c r="D196" s="635"/>
      <c r="E196" s="331">
        <v>41.45</v>
      </c>
      <c r="F196" s="627"/>
    </row>
    <row r="197" spans="1:6">
      <c r="A197" s="86"/>
      <c r="B197" s="125"/>
      <c r="C197" s="342"/>
      <c r="D197" s="584"/>
      <c r="E197" s="49"/>
      <c r="F197" s="224"/>
    </row>
    <row r="198" spans="1:6">
      <c r="A198" s="86">
        <v>38619</v>
      </c>
      <c r="B198" s="125" t="str">
        <f>TiposLancamentos!B56</f>
        <v>Farmácia</v>
      </c>
      <c r="C198" s="342" t="s">
        <v>15190</v>
      </c>
      <c r="D198" s="584"/>
      <c r="E198" s="49">
        <v>66.67</v>
      </c>
      <c r="F198" s="224"/>
    </row>
    <row r="199" spans="1:6">
      <c r="A199" s="330">
        <v>38619</v>
      </c>
      <c r="B199" s="629" t="str">
        <f>TiposLancamentos!B16</f>
        <v>Cristiane</v>
      </c>
      <c r="C199" s="634" t="s">
        <v>15191</v>
      </c>
      <c r="D199" s="635"/>
      <c r="E199" s="331">
        <v>22</v>
      </c>
      <c r="F199" s="627"/>
    </row>
    <row r="200" spans="1:6">
      <c r="A200" s="86">
        <v>38621</v>
      </c>
      <c r="B200" s="125" t="str">
        <f>TiposLancamentos!B15</f>
        <v>Cartões de Crédito</v>
      </c>
      <c r="C200" s="342" t="s">
        <v>15192</v>
      </c>
      <c r="D200" s="63"/>
      <c r="E200" s="49"/>
      <c r="F200" s="224"/>
    </row>
    <row r="201" spans="1:6">
      <c r="A201" s="86">
        <v>38621</v>
      </c>
      <c r="B201" s="125" t="str">
        <f>TiposLancamentos!B98</f>
        <v>Restituições</v>
      </c>
      <c r="C201" s="342" t="s">
        <v>15193</v>
      </c>
      <c r="D201" s="63">
        <v>44</v>
      </c>
      <c r="E201" s="49"/>
      <c r="F201" s="224"/>
    </row>
    <row r="202" spans="1:6">
      <c r="A202" s="86">
        <v>38621</v>
      </c>
      <c r="B202" s="125" t="str">
        <f>TiposLancamentos!B98</f>
        <v>Restituições</v>
      </c>
      <c r="C202" s="342" t="s">
        <v>15194</v>
      </c>
      <c r="D202" s="63">
        <v>22</v>
      </c>
      <c r="E202" s="49"/>
      <c r="F202" s="224"/>
    </row>
    <row r="203" spans="1:6">
      <c r="A203" s="86">
        <v>38625</v>
      </c>
      <c r="B203" s="125" t="str">
        <f>TiposLancamentos!B15</f>
        <v>Cartões de Crédito</v>
      </c>
      <c r="C203" s="342" t="s">
        <v>14126</v>
      </c>
      <c r="D203" s="63">
        <v>424.25</v>
      </c>
      <c r="E203" s="49"/>
      <c r="F203" s="224"/>
    </row>
    <row r="204" spans="1:6">
      <c r="A204" s="91"/>
      <c r="B204" s="124"/>
      <c r="C204" s="343" t="s">
        <v>2931</v>
      </c>
      <c r="D204" s="636"/>
      <c r="E204" s="44"/>
      <c r="F204" s="223">
        <f>SUM(E185:E196)</f>
        <v>424.25</v>
      </c>
    </row>
    <row r="205" spans="1:6">
      <c r="A205" s="86">
        <v>38659</v>
      </c>
      <c r="B205" s="125" t="str">
        <f>TiposLancamentos!B78</f>
        <v>Diferenças</v>
      </c>
      <c r="C205" s="342" t="s">
        <v>15195</v>
      </c>
      <c r="D205" s="584"/>
      <c r="E205" s="49">
        <v>10.89</v>
      </c>
      <c r="F205" s="224"/>
    </row>
    <row r="206" spans="1:6">
      <c r="A206" s="95">
        <v>38659</v>
      </c>
      <c r="B206" s="628" t="str">
        <f>TiposLancamentos!B15</f>
        <v>Cartões de Crédito</v>
      </c>
      <c r="C206" s="438" t="s">
        <v>14126</v>
      </c>
      <c r="D206" s="633">
        <v>22.67</v>
      </c>
      <c r="E206" s="58"/>
      <c r="F206" s="177"/>
    </row>
    <row r="207" spans="1:6">
      <c r="A207" s="46"/>
      <c r="B207" s="116"/>
      <c r="C207" s="117" t="s">
        <v>12</v>
      </c>
      <c r="D207" s="185">
        <f>SUM(D2:D206)</f>
        <v>7455.7200000000012</v>
      </c>
      <c r="E207" s="609">
        <f>SUM(E2:E206)</f>
        <v>7455.72</v>
      </c>
      <c r="F207" s="224"/>
    </row>
    <row r="208" spans="1:6">
      <c r="A208" s="119"/>
      <c r="B208" s="120"/>
      <c r="C208" s="24" t="s">
        <v>13</v>
      </c>
      <c r="D208" s="177"/>
      <c r="E208" s="302">
        <f>D207-E207</f>
        <v>0</v>
      </c>
      <c r="F208" s="177"/>
    </row>
    <row r="209" spans="2:2">
      <c r="B209" s="65" t="s">
        <v>15196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Plan61"/>
  <dimension ref="A1:F180"/>
  <sheetViews>
    <sheetView workbookViewId="0">
      <pane xSplit="6" ySplit="1" topLeftCell="G149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.140625" defaultRowHeight="13.5"/>
  <cols>
    <col min="1" max="1" width="17.5703125" style="3" customWidth="1"/>
    <col min="2" max="2" width="24" style="3" customWidth="1"/>
    <col min="3" max="3" width="40.7109375" style="3" customWidth="1"/>
    <col min="4" max="4" width="15.140625" style="3" customWidth="1"/>
    <col min="5" max="5" width="18.140625" style="221" customWidth="1"/>
    <col min="6" max="6" width="14.42578125" style="3" customWidth="1"/>
    <col min="7" max="16384" width="9.140625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75"/>
      <c r="B2" s="91"/>
      <c r="C2" s="43" t="s">
        <v>15197</v>
      </c>
      <c r="D2" s="93"/>
      <c r="E2" s="230"/>
      <c r="F2" s="223"/>
    </row>
    <row r="3" spans="1:6">
      <c r="A3" s="75">
        <v>38320</v>
      </c>
      <c r="B3" s="86" t="str">
        <f>TiposLancamentos!B57</f>
        <v>Informática</v>
      </c>
      <c r="C3" s="52" t="s">
        <v>15198</v>
      </c>
      <c r="D3" s="63"/>
      <c r="E3" s="231">
        <v>34</v>
      </c>
      <c r="F3" s="224"/>
    </row>
    <row r="4" spans="1:6">
      <c r="A4" s="83"/>
      <c r="B4" s="91"/>
      <c r="C4" s="43" t="s">
        <v>15199</v>
      </c>
      <c r="D4" s="93"/>
      <c r="E4" s="230"/>
      <c r="F4" s="223"/>
    </row>
    <row r="5" spans="1:6">
      <c r="A5" s="75">
        <v>38322</v>
      </c>
      <c r="B5" s="86" t="str">
        <f>TiposLancamentos!B72</f>
        <v>Presentes</v>
      </c>
      <c r="C5" s="52" t="s">
        <v>15200</v>
      </c>
      <c r="D5" s="63"/>
      <c r="E5" s="231">
        <v>56.42</v>
      </c>
      <c r="F5" s="224"/>
    </row>
    <row r="6" spans="1:6">
      <c r="A6" s="75">
        <v>38332</v>
      </c>
      <c r="B6" s="86" t="str">
        <f>TiposLancamentos!B64</f>
        <v>Viagens</v>
      </c>
      <c r="C6" s="313" t="s">
        <v>15201</v>
      </c>
      <c r="D6" s="63"/>
      <c r="E6" s="49">
        <v>78.98</v>
      </c>
      <c r="F6" s="224"/>
    </row>
    <row r="7" spans="1:6">
      <c r="A7" s="75">
        <v>38338</v>
      </c>
      <c r="B7" s="86" t="str">
        <f>TiposLancamentos!B22</f>
        <v>Combustivel</v>
      </c>
      <c r="C7" s="52" t="s">
        <v>15202</v>
      </c>
      <c r="D7" s="63"/>
      <c r="E7" s="231">
        <v>101.48</v>
      </c>
      <c r="F7" s="224"/>
    </row>
    <row r="8" spans="1:6">
      <c r="A8" s="75">
        <v>38341</v>
      </c>
      <c r="B8" s="86" t="str">
        <f>B7</f>
        <v>Combustivel</v>
      </c>
      <c r="C8" s="52" t="s">
        <v>15203</v>
      </c>
      <c r="D8" s="63"/>
      <c r="E8" s="231">
        <v>30</v>
      </c>
      <c r="F8" s="224"/>
    </row>
    <row r="9" spans="1:6">
      <c r="A9" s="75">
        <v>38341</v>
      </c>
      <c r="B9" s="86" t="str">
        <f>TiposLancamentos!B19</f>
        <v>Restaurantes</v>
      </c>
      <c r="C9" s="52" t="s">
        <v>15204</v>
      </c>
      <c r="D9" s="63"/>
      <c r="E9" s="231">
        <v>91</v>
      </c>
      <c r="F9" s="224"/>
    </row>
    <row r="10" spans="1:6">
      <c r="A10" s="79">
        <v>38350</v>
      </c>
      <c r="B10" s="95" t="str">
        <f>TiposLancamentos!B57</f>
        <v>Informática</v>
      </c>
      <c r="C10" s="477" t="s">
        <v>15205</v>
      </c>
      <c r="D10" s="85"/>
      <c r="E10" s="589">
        <v>34</v>
      </c>
      <c r="F10" s="177"/>
    </row>
    <row r="11" spans="1:6">
      <c r="A11" s="75"/>
      <c r="B11" s="86"/>
      <c r="C11" s="52" t="s">
        <v>12974</v>
      </c>
      <c r="D11" s="63"/>
      <c r="E11" s="231"/>
      <c r="F11" s="224">
        <f>SUM(E4:E10)</f>
        <v>391.88</v>
      </c>
    </row>
    <row r="12" spans="1:6">
      <c r="A12" s="75">
        <v>38353</v>
      </c>
      <c r="B12" s="86" t="str">
        <f>B5</f>
        <v>Presentes</v>
      </c>
      <c r="C12" s="52" t="s">
        <v>15206</v>
      </c>
      <c r="D12" s="63"/>
      <c r="E12" s="231">
        <v>56.42</v>
      </c>
      <c r="F12" s="224"/>
    </row>
    <row r="13" spans="1:6">
      <c r="A13" s="75">
        <v>38354</v>
      </c>
      <c r="B13" s="86" t="str">
        <f>TiposLancamentos!B15</f>
        <v>Cartões de Crédito</v>
      </c>
      <c r="C13" s="52" t="s">
        <v>14591</v>
      </c>
      <c r="D13" s="63">
        <v>391.88</v>
      </c>
      <c r="E13" s="231"/>
      <c r="F13" s="224"/>
    </row>
    <row r="14" spans="1:6">
      <c r="A14" s="75">
        <v>38354</v>
      </c>
      <c r="B14" s="86" t="str">
        <f>B9</f>
        <v>Restaurantes</v>
      </c>
      <c r="C14" s="52" t="s">
        <v>2502</v>
      </c>
      <c r="D14" s="63"/>
      <c r="E14" s="231">
        <v>34.32</v>
      </c>
      <c r="F14" s="224"/>
    </row>
    <row r="15" spans="1:6">
      <c r="A15" s="75">
        <v>38359</v>
      </c>
      <c r="B15" s="86" t="str">
        <f>TiposLancamentos!B45</f>
        <v>Online Services</v>
      </c>
      <c r="C15" s="52" t="s">
        <v>15207</v>
      </c>
      <c r="D15" s="63"/>
      <c r="E15" s="231">
        <v>10.73</v>
      </c>
      <c r="F15" s="224"/>
    </row>
    <row r="16" spans="1:6">
      <c r="A16" s="75">
        <v>38362</v>
      </c>
      <c r="B16" s="86" t="str">
        <f>TiposLancamentos!B82</f>
        <v>CG Titan 125</v>
      </c>
      <c r="C16" s="52" t="s">
        <v>15208</v>
      </c>
      <c r="D16" s="63"/>
      <c r="E16" s="231">
        <v>11.8</v>
      </c>
      <c r="F16" s="224"/>
    </row>
    <row r="17" spans="1:6">
      <c r="A17" s="75">
        <v>38362</v>
      </c>
      <c r="B17" s="86" t="str">
        <f>B9</f>
        <v>Restaurantes</v>
      </c>
      <c r="C17" s="52" t="s">
        <v>15209</v>
      </c>
      <c r="D17" s="63"/>
      <c r="E17" s="231">
        <v>25.45</v>
      </c>
      <c r="F17" s="224"/>
    </row>
    <row r="18" spans="1:6">
      <c r="A18" s="75">
        <v>38363</v>
      </c>
      <c r="B18" s="86" t="str">
        <f>B6</f>
        <v>Viagens</v>
      </c>
      <c r="C18" s="313" t="s">
        <v>15210</v>
      </c>
      <c r="D18" s="63"/>
      <c r="E18" s="49">
        <v>78.98</v>
      </c>
      <c r="F18" s="224"/>
    </row>
    <row r="19" spans="1:6">
      <c r="A19" s="75">
        <v>38365</v>
      </c>
      <c r="B19" s="86" t="str">
        <f>TiposLancamentos!B16</f>
        <v>Cristiane</v>
      </c>
      <c r="C19" s="77" t="s">
        <v>15211</v>
      </c>
      <c r="D19" s="63"/>
      <c r="E19" s="231">
        <v>17</v>
      </c>
      <c r="F19" s="224"/>
    </row>
    <row r="20" spans="1:6">
      <c r="A20" s="75">
        <v>38367</v>
      </c>
      <c r="B20" s="86" t="str">
        <f>TiposLancamentos!B57</f>
        <v>Informática</v>
      </c>
      <c r="C20" s="52" t="s">
        <v>15212</v>
      </c>
      <c r="D20" s="63"/>
      <c r="E20" s="231">
        <v>40</v>
      </c>
      <c r="F20" s="224"/>
    </row>
    <row r="21" spans="1:6">
      <c r="A21" s="75">
        <v>38367</v>
      </c>
      <c r="B21" s="86" t="str">
        <f>B19</f>
        <v>Cristiane</v>
      </c>
      <c r="C21" s="52" t="s">
        <v>15213</v>
      </c>
      <c r="D21" s="63"/>
      <c r="E21" s="231">
        <v>50</v>
      </c>
      <c r="F21" s="224"/>
    </row>
    <row r="22" spans="1:6">
      <c r="A22" s="75">
        <v>38368</v>
      </c>
      <c r="B22" s="86" t="str">
        <f>B14</f>
        <v>Restaurantes</v>
      </c>
      <c r="C22" s="52" t="s">
        <v>15214</v>
      </c>
      <c r="D22" s="63"/>
      <c r="E22" s="231">
        <v>57.64</v>
      </c>
      <c r="F22" s="224"/>
    </row>
    <row r="23" spans="1:6">
      <c r="A23" s="75">
        <v>38369</v>
      </c>
      <c r="B23" s="86" t="str">
        <f>TiposLancamentos!B4</f>
        <v>Taxas Bancarias</v>
      </c>
      <c r="C23" s="52" t="s">
        <v>15215</v>
      </c>
      <c r="D23" s="63"/>
      <c r="E23" s="231">
        <v>3</v>
      </c>
      <c r="F23" s="224"/>
    </row>
    <row r="24" spans="1:6">
      <c r="A24" s="75">
        <v>38375</v>
      </c>
      <c r="B24" s="86" t="str">
        <f>TiposLancamentos!B13</f>
        <v>Moradia</v>
      </c>
      <c r="C24" s="52" t="s">
        <v>15216</v>
      </c>
      <c r="D24" s="63"/>
      <c r="E24" s="231">
        <v>53.34</v>
      </c>
      <c r="F24" s="224"/>
    </row>
    <row r="25" spans="1:6">
      <c r="A25" s="75">
        <v>38381</v>
      </c>
      <c r="B25" s="86" t="str">
        <f>TiposLancamentos!B57</f>
        <v>Informática</v>
      </c>
      <c r="C25" s="52" t="s">
        <v>15217</v>
      </c>
      <c r="D25" s="63"/>
      <c r="E25" s="231">
        <v>34</v>
      </c>
      <c r="F25" s="224"/>
    </row>
    <row r="26" spans="1:6">
      <c r="A26" s="75">
        <v>38382</v>
      </c>
      <c r="B26" s="86" t="str">
        <f>B22</f>
        <v>Restaurantes</v>
      </c>
      <c r="C26" s="52" t="s">
        <v>15218</v>
      </c>
      <c r="D26" s="63"/>
      <c r="E26" s="231">
        <v>39.82</v>
      </c>
      <c r="F26" s="224"/>
    </row>
    <row r="27" spans="1:6">
      <c r="A27" s="75">
        <v>38382</v>
      </c>
      <c r="B27" s="86" t="str">
        <f>TiposLancamentos!B18</f>
        <v>Alimentacao</v>
      </c>
      <c r="C27" s="52" t="s">
        <v>15219</v>
      </c>
      <c r="D27" s="63"/>
      <c r="E27" s="231">
        <v>7.2</v>
      </c>
      <c r="F27" s="224"/>
    </row>
    <row r="28" spans="1:6">
      <c r="A28" s="75">
        <v>38383</v>
      </c>
      <c r="B28" s="86" t="str">
        <f>B26</f>
        <v>Restaurantes</v>
      </c>
      <c r="C28" s="52" t="s">
        <v>14611</v>
      </c>
      <c r="D28" s="63"/>
      <c r="E28" s="231">
        <v>34.9</v>
      </c>
      <c r="F28" s="224"/>
    </row>
    <row r="29" spans="1:6">
      <c r="A29" s="83"/>
      <c r="B29" s="91"/>
      <c r="C29" s="43" t="s">
        <v>4984</v>
      </c>
      <c r="D29" s="93"/>
      <c r="E29" s="230"/>
      <c r="F29" s="223">
        <f>SUM(E10:E23)</f>
        <v>419.34</v>
      </c>
    </row>
    <row r="30" spans="1:6">
      <c r="A30" s="75">
        <v>38384</v>
      </c>
      <c r="B30" s="86" t="str">
        <f>B12</f>
        <v>Presentes</v>
      </c>
      <c r="C30" s="52" t="s">
        <v>15220</v>
      </c>
      <c r="D30" s="63"/>
      <c r="E30" s="231">
        <v>56.42</v>
      </c>
      <c r="F30" s="224"/>
    </row>
    <row r="31" spans="1:6">
      <c r="A31" s="75">
        <v>38384</v>
      </c>
      <c r="B31" s="86" t="str">
        <f>TiposLancamentos!B45</f>
        <v>Online Services</v>
      </c>
      <c r="C31" s="52" t="s">
        <v>15207</v>
      </c>
      <c r="D31" s="63"/>
      <c r="E31" s="231">
        <v>7.5</v>
      </c>
      <c r="F31" s="224"/>
    </row>
    <row r="32" spans="1:6">
      <c r="A32" s="75">
        <v>38385</v>
      </c>
      <c r="B32" s="86" t="str">
        <f>B13</f>
        <v>Cartões de Crédito</v>
      </c>
      <c r="C32" s="52" t="str">
        <f>C13</f>
        <v>Pagamento Fatura Master Card</v>
      </c>
      <c r="D32" s="63">
        <v>419.34</v>
      </c>
      <c r="E32" s="231"/>
      <c r="F32" s="224"/>
    </row>
    <row r="33" spans="1:6">
      <c r="A33" s="75">
        <v>38386</v>
      </c>
      <c r="B33" s="86" t="str">
        <f>TiposLancamentos!B83</f>
        <v>Artigos Moto</v>
      </c>
      <c r="C33" s="52" t="s">
        <v>15221</v>
      </c>
      <c r="D33" s="63"/>
      <c r="E33" s="231">
        <v>49.33</v>
      </c>
      <c r="F33" s="224"/>
    </row>
    <row r="34" spans="1:6">
      <c r="A34" s="75">
        <v>38387</v>
      </c>
      <c r="B34" s="86" t="str">
        <f>B28</f>
        <v>Restaurantes</v>
      </c>
      <c r="C34" s="52" t="s">
        <v>14622</v>
      </c>
      <c r="D34" s="63"/>
      <c r="E34" s="231">
        <v>41.58</v>
      </c>
      <c r="F34" s="224"/>
    </row>
    <row r="35" spans="1:6">
      <c r="A35" s="75">
        <v>38028</v>
      </c>
      <c r="B35" s="86" t="str">
        <f>B6</f>
        <v>Viagens</v>
      </c>
      <c r="C35" s="313" t="s">
        <v>15222</v>
      </c>
      <c r="D35" s="63"/>
      <c r="E35" s="49">
        <v>78.98</v>
      </c>
      <c r="F35" s="224"/>
    </row>
    <row r="36" spans="1:6">
      <c r="A36" s="75">
        <v>38398</v>
      </c>
      <c r="B36" s="86" t="str">
        <f>TiposLancamentos!B57</f>
        <v>Informática</v>
      </c>
      <c r="C36" s="52" t="s">
        <v>15223</v>
      </c>
      <c r="D36" s="63"/>
      <c r="E36" s="231">
        <v>40</v>
      </c>
      <c r="F36" s="224"/>
    </row>
    <row r="37" spans="1:6">
      <c r="A37" s="75">
        <v>38400</v>
      </c>
      <c r="B37" s="86" t="str">
        <f>B23</f>
        <v>Taxas Bancarias</v>
      </c>
      <c r="C37" s="52" t="str">
        <f>C23</f>
        <v>Seguro Perda-Roubo</v>
      </c>
      <c r="D37" s="63"/>
      <c r="E37" s="231">
        <v>3</v>
      </c>
      <c r="F37" s="224"/>
    </row>
    <row r="38" spans="1:6">
      <c r="A38" s="75">
        <v>38406</v>
      </c>
      <c r="B38" s="86" t="str">
        <f>TiposLancamentos!B13</f>
        <v>Moradia</v>
      </c>
      <c r="C38" s="52" t="s">
        <v>15224</v>
      </c>
      <c r="D38" s="63"/>
      <c r="E38" s="231">
        <v>53.33</v>
      </c>
      <c r="F38" s="224"/>
    </row>
    <row r="39" spans="1:6">
      <c r="A39" s="75">
        <v>38409</v>
      </c>
      <c r="B39" s="86" t="str">
        <f>TiposLancamentos!B57</f>
        <v>Informática</v>
      </c>
      <c r="C39" s="52" t="s">
        <v>15225</v>
      </c>
      <c r="D39" s="63"/>
      <c r="E39" s="231">
        <v>29</v>
      </c>
      <c r="F39" s="224"/>
    </row>
    <row r="40" spans="1:6">
      <c r="A40" s="75">
        <v>38411</v>
      </c>
      <c r="B40" s="86" t="str">
        <f>TiposLancamentos!B57</f>
        <v>Informática</v>
      </c>
      <c r="C40" s="52" t="s">
        <v>15226</v>
      </c>
      <c r="D40" s="63"/>
      <c r="E40" s="231">
        <v>34</v>
      </c>
      <c r="F40" s="224"/>
    </row>
    <row r="41" spans="1:6">
      <c r="A41" s="75"/>
      <c r="B41" s="86"/>
      <c r="C41" s="52" t="s">
        <v>12999</v>
      </c>
      <c r="D41" s="63"/>
      <c r="E41" s="231"/>
      <c r="F41" s="224">
        <f>SUM(E24:E37)</f>
        <v>446.07</v>
      </c>
    </row>
    <row r="42" spans="1:6">
      <c r="A42" s="83">
        <v>38412</v>
      </c>
      <c r="B42" s="91" t="str">
        <f>B12</f>
        <v>Presentes</v>
      </c>
      <c r="C42" s="43" t="s">
        <v>15227</v>
      </c>
      <c r="D42" s="93"/>
      <c r="E42" s="230">
        <v>56.44</v>
      </c>
      <c r="F42" s="223"/>
    </row>
    <row r="43" spans="1:6">
      <c r="A43" s="75">
        <v>38413</v>
      </c>
      <c r="B43" s="86" t="str">
        <f>TiposLancamentos!B15</f>
        <v>Cartões de Crédito</v>
      </c>
      <c r="C43" s="52" t="s">
        <v>14126</v>
      </c>
      <c r="D43" s="63">
        <v>446.06</v>
      </c>
      <c r="E43" s="231"/>
      <c r="F43" s="224"/>
    </row>
    <row r="44" spans="1:6">
      <c r="A44" s="75">
        <v>38414</v>
      </c>
      <c r="B44" s="86" t="str">
        <f>TiposLancamentos!B83</f>
        <v>Artigos Moto</v>
      </c>
      <c r="C44" s="52" t="s">
        <v>15228</v>
      </c>
      <c r="D44" s="63"/>
      <c r="E44" s="231">
        <v>49.33</v>
      </c>
      <c r="F44" s="224"/>
    </row>
    <row r="45" spans="1:6">
      <c r="A45" s="75">
        <v>38414</v>
      </c>
      <c r="B45" s="86" t="str">
        <f>TiposLancamentos!B19</f>
        <v>Restaurantes</v>
      </c>
      <c r="C45" s="52" t="s">
        <v>15229</v>
      </c>
      <c r="D45" s="63"/>
      <c r="E45" s="231">
        <v>72.16</v>
      </c>
      <c r="F45" s="224"/>
    </row>
    <row r="46" spans="1:6">
      <c r="A46" s="75">
        <v>38416</v>
      </c>
      <c r="B46" s="86" t="str">
        <f>TiposLancamentos!B25</f>
        <v>CD_DVD_BD</v>
      </c>
      <c r="C46" s="52" t="s">
        <v>15230</v>
      </c>
      <c r="D46" s="63"/>
      <c r="E46" s="231">
        <v>81</v>
      </c>
      <c r="F46" s="224"/>
    </row>
    <row r="47" spans="1:6">
      <c r="A47" s="75">
        <v>38416</v>
      </c>
      <c r="B47" s="86" t="str">
        <f>TiposLancamentos!B13</f>
        <v>Moradia</v>
      </c>
      <c r="C47" s="52" t="s">
        <v>15231</v>
      </c>
      <c r="D47" s="63"/>
      <c r="E47" s="231">
        <v>34.96</v>
      </c>
      <c r="F47" s="224"/>
    </row>
    <row r="48" spans="1:6">
      <c r="A48" s="75">
        <v>38417</v>
      </c>
      <c r="B48" s="86" t="str">
        <f>TiposLancamentos!B45</f>
        <v>Online Services</v>
      </c>
      <c r="C48" s="52" t="s">
        <v>15207</v>
      </c>
      <c r="D48" s="63"/>
      <c r="E48" s="231">
        <v>14.9</v>
      </c>
      <c r="F48" s="224"/>
    </row>
    <row r="49" spans="1:6">
      <c r="A49" s="75">
        <v>38421</v>
      </c>
      <c r="B49" s="86" t="str">
        <f>TiposLancamentos!B22</f>
        <v>Combustivel</v>
      </c>
      <c r="C49" s="52" t="s">
        <v>2514</v>
      </c>
      <c r="D49" s="63"/>
      <c r="E49" s="231">
        <v>25</v>
      </c>
      <c r="F49" s="224"/>
    </row>
    <row r="50" spans="1:6">
      <c r="A50" s="75">
        <v>38423</v>
      </c>
      <c r="B50" s="86" t="str">
        <f>TiposLancamentos!B57</f>
        <v>Informática</v>
      </c>
      <c r="C50" s="427" t="s">
        <v>13029</v>
      </c>
      <c r="D50" s="333"/>
      <c r="E50" s="49">
        <v>59.9</v>
      </c>
      <c r="F50" s="224"/>
    </row>
    <row r="51" spans="1:6">
      <c r="A51" s="75">
        <v>38424</v>
      </c>
      <c r="B51" s="86" t="str">
        <f>TiposLancamentos!B19</f>
        <v>Restaurantes</v>
      </c>
      <c r="C51" s="332" t="s">
        <v>15232</v>
      </c>
      <c r="D51" s="333"/>
      <c r="E51" s="231">
        <v>26.4</v>
      </c>
      <c r="F51" s="224"/>
    </row>
    <row r="52" spans="1:6">
      <c r="A52" s="75">
        <v>38426</v>
      </c>
      <c r="B52" s="86" t="str">
        <f>TiposLancamentos!B57</f>
        <v>Informática</v>
      </c>
      <c r="C52" s="52" t="s">
        <v>15233</v>
      </c>
      <c r="D52" s="63"/>
      <c r="E52" s="231">
        <v>40</v>
      </c>
      <c r="F52" s="224"/>
    </row>
    <row r="53" spans="1:6">
      <c r="A53" s="75">
        <v>38427</v>
      </c>
      <c r="B53" s="86" t="str">
        <f>TiposLancamentos!B4</f>
        <v>Taxas Bancarias</v>
      </c>
      <c r="C53" s="52" t="s">
        <v>15234</v>
      </c>
      <c r="D53" s="63"/>
      <c r="E53" s="231">
        <v>3</v>
      </c>
      <c r="F53" s="224"/>
    </row>
    <row r="54" spans="1:6">
      <c r="A54" s="75"/>
      <c r="B54" s="86"/>
      <c r="C54" s="52"/>
      <c r="D54" s="63"/>
      <c r="E54" s="231"/>
      <c r="F54" s="224"/>
    </row>
    <row r="55" spans="1:6">
      <c r="A55" s="75">
        <v>38434</v>
      </c>
      <c r="B55" s="86" t="str">
        <f>TiposLancamentos!B13</f>
        <v>Moradia</v>
      </c>
      <c r="C55" s="52" t="s">
        <v>15235</v>
      </c>
      <c r="D55" s="63"/>
      <c r="E55" s="231">
        <v>53.33</v>
      </c>
      <c r="F55" s="224"/>
    </row>
    <row r="56" spans="1:6">
      <c r="A56" s="75">
        <v>38440</v>
      </c>
      <c r="B56" s="86" t="str">
        <f>TiposLancamentos!B57</f>
        <v>Informática</v>
      </c>
      <c r="C56" s="52" t="s">
        <v>15236</v>
      </c>
      <c r="D56" s="63"/>
      <c r="E56" s="231">
        <v>34</v>
      </c>
      <c r="F56" s="224"/>
    </row>
    <row r="57" spans="1:6">
      <c r="A57" s="75">
        <v>38442</v>
      </c>
      <c r="B57" s="86" t="str">
        <f>TiposLancamentos!B45</f>
        <v>Online Services</v>
      </c>
      <c r="C57" s="52" t="s">
        <v>15207</v>
      </c>
      <c r="D57" s="63"/>
      <c r="E57" s="231">
        <v>14.9</v>
      </c>
      <c r="F57" s="224"/>
    </row>
    <row r="58" spans="1:6">
      <c r="A58" s="75">
        <v>38442</v>
      </c>
      <c r="B58" s="86" t="str">
        <f>TiposLancamentos!B15</f>
        <v>Cartões de Crédito</v>
      </c>
      <c r="C58" s="52" t="s">
        <v>14126</v>
      </c>
      <c r="D58" s="63">
        <v>579.41999999999996</v>
      </c>
      <c r="E58" s="231"/>
      <c r="F58" s="224"/>
    </row>
    <row r="59" spans="1:6">
      <c r="A59" s="83"/>
      <c r="B59" s="91"/>
      <c r="C59" s="43" t="s">
        <v>15237</v>
      </c>
      <c r="D59" s="93"/>
      <c r="E59" s="230"/>
      <c r="F59" s="223">
        <f>SUM(E38:E54)</f>
        <v>579.41999999999996</v>
      </c>
    </row>
    <row r="60" spans="1:6">
      <c r="A60" s="75">
        <v>38445</v>
      </c>
      <c r="B60" s="86" t="str">
        <f>TiposLancamentos!B83</f>
        <v>Artigos Moto</v>
      </c>
      <c r="C60" s="52" t="s">
        <v>15238</v>
      </c>
      <c r="D60" s="63"/>
      <c r="E60" s="231">
        <v>49.35</v>
      </c>
      <c r="F60" s="224"/>
    </row>
    <row r="61" spans="1:6">
      <c r="A61" s="75">
        <v>38454</v>
      </c>
      <c r="B61" s="86" t="str">
        <f>TiposLancamentos!B57</f>
        <v>Informática</v>
      </c>
      <c r="C61" s="332" t="s">
        <v>13042</v>
      </c>
      <c r="D61" s="333"/>
      <c r="E61" s="49">
        <v>59.9</v>
      </c>
      <c r="F61" s="224"/>
    </row>
    <row r="62" spans="1:6">
      <c r="A62" s="75">
        <v>38459</v>
      </c>
      <c r="B62" s="86" t="str">
        <f>TiposLancamentos!B4</f>
        <v>Taxas Bancarias</v>
      </c>
      <c r="C62" s="332" t="s">
        <v>15130</v>
      </c>
      <c r="D62" s="333"/>
      <c r="E62" s="231">
        <v>3</v>
      </c>
      <c r="F62" s="224"/>
    </row>
    <row r="63" spans="1:6">
      <c r="A63" s="75"/>
      <c r="B63" s="86"/>
      <c r="C63" s="332"/>
      <c r="D63" s="333"/>
      <c r="E63" s="231"/>
      <c r="F63" s="224"/>
    </row>
    <row r="64" spans="1:6">
      <c r="A64" s="75">
        <v>38465</v>
      </c>
      <c r="B64" s="86" t="str">
        <f>TiposLancamentos!B71</f>
        <v>Itens Pessoais</v>
      </c>
      <c r="C64" s="332" t="s">
        <v>13053</v>
      </c>
      <c r="D64" s="63"/>
      <c r="E64" s="231">
        <v>73</v>
      </c>
      <c r="F64" s="224"/>
    </row>
    <row r="65" spans="1:6">
      <c r="A65" s="75">
        <v>38471</v>
      </c>
      <c r="B65" s="86" t="str">
        <f>TiposLancamentos!B57</f>
        <v>Informática</v>
      </c>
      <c r="C65" s="52" t="s">
        <v>15239</v>
      </c>
      <c r="D65" s="63"/>
      <c r="E65" s="231">
        <v>34</v>
      </c>
      <c r="F65" s="224"/>
    </row>
    <row r="66" spans="1:6">
      <c r="A66" s="79">
        <v>38471</v>
      </c>
      <c r="B66" s="95" t="str">
        <f>TiposLancamentos!B15</f>
        <v>Cartões de Crédito</v>
      </c>
      <c r="C66" s="477" t="s">
        <v>15240</v>
      </c>
      <c r="D66" s="85">
        <v>214.49</v>
      </c>
      <c r="E66" s="589"/>
      <c r="F66" s="177"/>
    </row>
    <row r="67" spans="1:6">
      <c r="A67" s="86"/>
      <c r="B67" s="192"/>
      <c r="C67" s="52" t="s">
        <v>15241</v>
      </c>
      <c r="D67" s="63"/>
      <c r="E67" s="231"/>
      <c r="F67" s="224">
        <f>SUM(E55:E62)</f>
        <v>214.48000000000002</v>
      </c>
    </row>
    <row r="68" spans="1:6">
      <c r="A68" s="86">
        <v>38473</v>
      </c>
      <c r="B68" s="192" t="str">
        <f>TiposLancamentos!B45</f>
        <v>Online Services</v>
      </c>
      <c r="C68" s="52" t="s">
        <v>15207</v>
      </c>
      <c r="D68" s="63"/>
      <c r="E68" s="231">
        <v>14.9</v>
      </c>
      <c r="F68" s="224"/>
    </row>
    <row r="69" spans="1:6">
      <c r="A69" s="86">
        <v>38484</v>
      </c>
      <c r="B69" s="192" t="str">
        <f>TiposLancamentos!B57</f>
        <v>Informática</v>
      </c>
      <c r="C69" s="427" t="s">
        <v>13051</v>
      </c>
      <c r="D69" s="333"/>
      <c r="E69" s="49">
        <v>59.9</v>
      </c>
      <c r="F69" s="224"/>
    </row>
    <row r="70" spans="1:6">
      <c r="A70" s="86">
        <v>38489</v>
      </c>
      <c r="B70" s="192" t="str">
        <f>TiposLancamentos!B4</f>
        <v>Taxas Bancarias</v>
      </c>
      <c r="C70" s="332" t="s">
        <v>15130</v>
      </c>
      <c r="D70" s="333"/>
      <c r="E70" s="231">
        <v>3</v>
      </c>
      <c r="F70" s="224"/>
    </row>
    <row r="71" spans="1:6">
      <c r="A71" s="86"/>
      <c r="B71" s="192"/>
      <c r="C71" s="332"/>
      <c r="D71" s="333"/>
      <c r="E71" s="231"/>
      <c r="F71" s="224"/>
    </row>
    <row r="72" spans="1:6">
      <c r="A72" s="86">
        <v>38495</v>
      </c>
      <c r="B72" s="192" t="str">
        <f>TiposLancamentos!B71</f>
        <v>Itens Pessoais</v>
      </c>
      <c r="C72" s="332" t="s">
        <v>13065</v>
      </c>
      <c r="D72" s="333"/>
      <c r="E72" s="231">
        <v>73</v>
      </c>
      <c r="F72" s="224"/>
    </row>
    <row r="73" spans="1:6">
      <c r="A73" s="86">
        <v>38501</v>
      </c>
      <c r="B73" s="192" t="str">
        <f>TiposLancamentos!B57</f>
        <v>Informática</v>
      </c>
      <c r="C73" s="52" t="s">
        <v>15242</v>
      </c>
      <c r="D73" s="63"/>
      <c r="E73" s="231">
        <v>34</v>
      </c>
      <c r="F73" s="224"/>
    </row>
    <row r="74" spans="1:6">
      <c r="A74" s="86">
        <v>38503</v>
      </c>
      <c r="B74" s="192" t="str">
        <f>TiposLancamentos!B45</f>
        <v>Online Services</v>
      </c>
      <c r="C74" s="52" t="s">
        <v>15207</v>
      </c>
      <c r="D74" s="63"/>
      <c r="E74" s="231">
        <v>14.9</v>
      </c>
      <c r="F74" s="224"/>
    </row>
    <row r="75" spans="1:6">
      <c r="A75" s="86">
        <v>38503</v>
      </c>
      <c r="B75" s="86" t="str">
        <f>TiposLancamentos!B15</f>
        <v>Cartões de Crédito</v>
      </c>
      <c r="C75" s="52" t="s">
        <v>14126</v>
      </c>
      <c r="D75" s="63">
        <v>184.8</v>
      </c>
      <c r="E75" s="231"/>
      <c r="F75" s="224"/>
    </row>
    <row r="76" spans="1:6">
      <c r="A76" s="83"/>
      <c r="B76" s="91"/>
      <c r="C76" s="43" t="s">
        <v>2849</v>
      </c>
      <c r="D76" s="93"/>
      <c r="E76" s="230"/>
      <c r="F76" s="223">
        <f>SUM(E64:E70)</f>
        <v>184.8</v>
      </c>
    </row>
    <row r="77" spans="1:6">
      <c r="A77" s="75">
        <v>38515</v>
      </c>
      <c r="B77" s="86" t="str">
        <f>TiposLancamentos!B57</f>
        <v>Informática</v>
      </c>
      <c r="C77" s="427" t="s">
        <v>13064</v>
      </c>
      <c r="D77" s="333"/>
      <c r="E77" s="49">
        <v>59.9</v>
      </c>
      <c r="F77" s="224"/>
    </row>
    <row r="78" spans="1:6">
      <c r="A78" s="75">
        <v>38519</v>
      </c>
      <c r="B78" s="86" t="str">
        <f>TiposLancamentos!B4</f>
        <v>Taxas Bancarias</v>
      </c>
      <c r="C78" s="332" t="s">
        <v>15130</v>
      </c>
      <c r="D78" s="333"/>
      <c r="E78" s="231">
        <v>3</v>
      </c>
      <c r="F78" s="224"/>
    </row>
    <row r="79" spans="1:6">
      <c r="A79" s="75"/>
      <c r="B79" s="86"/>
      <c r="C79" s="332"/>
      <c r="D79" s="333"/>
      <c r="E79" s="231"/>
      <c r="F79" s="224"/>
    </row>
    <row r="80" spans="1:6">
      <c r="A80" s="75">
        <v>38526</v>
      </c>
      <c r="B80" s="86" t="str">
        <f>TiposLancamentos!B71</f>
        <v>Itens Pessoais</v>
      </c>
      <c r="C80" s="332" t="s">
        <v>13077</v>
      </c>
      <c r="D80" s="333"/>
      <c r="E80" s="231">
        <v>73</v>
      </c>
      <c r="F80" s="224"/>
    </row>
    <row r="81" spans="1:6">
      <c r="A81" s="75">
        <v>38528</v>
      </c>
      <c r="B81" s="86" t="str">
        <f>TiposLancamentos!B16</f>
        <v>Cristiane</v>
      </c>
      <c r="C81" s="332" t="s">
        <v>15243</v>
      </c>
      <c r="D81" s="333"/>
      <c r="E81" s="231">
        <v>111.33</v>
      </c>
      <c r="F81" s="224"/>
    </row>
    <row r="82" spans="1:6">
      <c r="A82" s="75">
        <v>38532</v>
      </c>
      <c r="B82" s="86" t="str">
        <f>TiposLancamentos!B57</f>
        <v>Informática</v>
      </c>
      <c r="C82" s="52" t="s">
        <v>15244</v>
      </c>
      <c r="D82" s="63"/>
      <c r="E82" s="231">
        <v>34</v>
      </c>
      <c r="F82" s="224"/>
    </row>
    <row r="83" spans="1:6">
      <c r="A83" s="79">
        <v>38533</v>
      </c>
      <c r="B83" s="95" t="str">
        <f>TiposLancamentos!B15</f>
        <v>Cartões de Crédito</v>
      </c>
      <c r="C83" s="477" t="s">
        <v>14126</v>
      </c>
      <c r="D83" s="85">
        <v>184.8</v>
      </c>
      <c r="E83" s="589"/>
      <c r="F83" s="177"/>
    </row>
    <row r="84" spans="1:6">
      <c r="A84" s="75"/>
      <c r="B84" s="86"/>
      <c r="C84" s="52" t="s">
        <v>4848</v>
      </c>
      <c r="D84" s="63"/>
      <c r="E84" s="231"/>
      <c r="F84" s="224">
        <f>SUM(E72:E78)</f>
        <v>184.8</v>
      </c>
    </row>
    <row r="85" spans="1:6">
      <c r="A85" s="75">
        <v>38535</v>
      </c>
      <c r="B85" s="86" t="str">
        <f>TiposLancamentos!B45</f>
        <v>Online Services</v>
      </c>
      <c r="C85" s="52" t="s">
        <v>15207</v>
      </c>
      <c r="D85" s="63"/>
      <c r="E85" s="231">
        <v>14.9</v>
      </c>
      <c r="F85" s="224"/>
    </row>
    <row r="86" spans="1:6">
      <c r="A86" s="75">
        <v>38545</v>
      </c>
      <c r="B86" s="86" t="str">
        <f>TiposLancamentos!B57</f>
        <v>Informática</v>
      </c>
      <c r="C86" s="427" t="s">
        <v>13076</v>
      </c>
      <c r="D86" s="333"/>
      <c r="E86" s="49">
        <v>59.9</v>
      </c>
      <c r="F86" s="224"/>
    </row>
    <row r="87" spans="1:6">
      <c r="A87" s="75">
        <v>38550</v>
      </c>
      <c r="B87" s="86" t="str">
        <f>TiposLancamentos!B4</f>
        <v>Taxas Bancarias</v>
      </c>
      <c r="C87" s="332" t="s">
        <v>15245</v>
      </c>
      <c r="D87" s="333"/>
      <c r="E87" s="231">
        <v>3</v>
      </c>
      <c r="F87" s="224"/>
    </row>
    <row r="88" spans="1:6">
      <c r="A88" s="75">
        <v>38553</v>
      </c>
      <c r="B88" s="86" t="str">
        <f>TiposLancamentos!B19</f>
        <v>Restaurantes</v>
      </c>
      <c r="C88" s="332" t="s">
        <v>15246</v>
      </c>
      <c r="D88" s="333"/>
      <c r="E88" s="231">
        <v>9.5</v>
      </c>
      <c r="F88" s="224"/>
    </row>
    <row r="89" spans="1:6">
      <c r="A89" s="75">
        <v>38555</v>
      </c>
      <c r="B89" s="86" t="str">
        <f>TiposLancamentos!B19</f>
        <v>Restaurantes</v>
      </c>
      <c r="C89" s="332" t="s">
        <v>15246</v>
      </c>
      <c r="D89" s="333"/>
      <c r="E89" s="231">
        <v>8.9</v>
      </c>
      <c r="F89" s="224"/>
    </row>
    <row r="90" spans="1:6">
      <c r="A90" s="75"/>
      <c r="B90" s="86"/>
      <c r="C90" s="332"/>
      <c r="D90" s="333"/>
      <c r="E90" s="231"/>
      <c r="F90" s="224"/>
    </row>
    <row r="91" spans="1:6">
      <c r="A91" s="75">
        <v>38556</v>
      </c>
      <c r="B91" s="86" t="str">
        <f>TiposLancamentos!B71</f>
        <v>Itens Pessoais</v>
      </c>
      <c r="C91" s="332" t="s">
        <v>13090</v>
      </c>
      <c r="D91" s="333"/>
      <c r="E91" s="231">
        <v>73</v>
      </c>
      <c r="F91" s="224"/>
    </row>
    <row r="92" spans="1:6">
      <c r="A92" s="75">
        <v>38558</v>
      </c>
      <c r="B92" s="86" t="str">
        <f>TiposLancamentos!B16</f>
        <v>Cristiane</v>
      </c>
      <c r="C92" s="332" t="s">
        <v>15247</v>
      </c>
      <c r="D92" s="333"/>
      <c r="E92" s="231">
        <v>111.33</v>
      </c>
      <c r="F92" s="224"/>
    </row>
    <row r="93" spans="1:6">
      <c r="A93" s="75">
        <v>38561</v>
      </c>
      <c r="B93" s="86" t="str">
        <f>TiposLancamentos!B19</f>
        <v>Restaurantes</v>
      </c>
      <c r="C93" s="332" t="s">
        <v>2941</v>
      </c>
      <c r="D93" s="333"/>
      <c r="E93" s="231">
        <v>23.9</v>
      </c>
      <c r="F93" s="224"/>
    </row>
    <row r="94" spans="1:6">
      <c r="A94" s="75">
        <v>38561</v>
      </c>
      <c r="B94" s="86" t="str">
        <f>TiposLancamentos!B19</f>
        <v>Restaurantes</v>
      </c>
      <c r="C94" s="52" t="s">
        <v>2942</v>
      </c>
      <c r="D94" s="63"/>
      <c r="E94" s="231">
        <v>7.2</v>
      </c>
      <c r="F94" s="224"/>
    </row>
    <row r="95" spans="1:6">
      <c r="A95" s="75">
        <v>38562</v>
      </c>
      <c r="B95" s="86" t="str">
        <f>TiposLancamentos!B57</f>
        <v>Informática</v>
      </c>
      <c r="C95" s="52" t="s">
        <v>15248</v>
      </c>
      <c r="D95" s="63"/>
      <c r="E95" s="231">
        <v>34</v>
      </c>
      <c r="F95" s="224"/>
    </row>
    <row r="96" spans="1:6">
      <c r="A96" s="75">
        <v>38562</v>
      </c>
      <c r="B96" s="86" t="str">
        <f>TiposLancamentos!B15</f>
        <v>Cartões de Crédito</v>
      </c>
      <c r="C96" s="52" t="s">
        <v>14126</v>
      </c>
      <c r="D96" s="63">
        <v>314.52999999999997</v>
      </c>
      <c r="E96" s="231"/>
      <c r="F96" s="224"/>
    </row>
    <row r="97" spans="1:6">
      <c r="A97" s="83"/>
      <c r="B97" s="91"/>
      <c r="C97" s="43" t="s">
        <v>4857</v>
      </c>
      <c r="D97" s="93"/>
      <c r="E97" s="230"/>
      <c r="F97" s="223">
        <f>SUM(E80:E89)</f>
        <v>314.52999999999997</v>
      </c>
    </row>
    <row r="98" spans="1:6">
      <c r="A98" s="75">
        <v>38566</v>
      </c>
      <c r="B98" s="86" t="str">
        <f>TiposLancamentos!B45</f>
        <v>Online Services</v>
      </c>
      <c r="C98" s="52" t="s">
        <v>15207</v>
      </c>
      <c r="D98" s="63"/>
      <c r="E98" s="231">
        <v>14.9</v>
      </c>
      <c r="F98" s="224"/>
    </row>
    <row r="99" spans="1:6">
      <c r="A99" s="75">
        <v>38569</v>
      </c>
      <c r="B99" s="86" t="str">
        <f>TiposLancamentos!B19</f>
        <v>Restaurantes</v>
      </c>
      <c r="C99" s="332" t="s">
        <v>15246</v>
      </c>
      <c r="D99" s="63"/>
      <c r="E99" s="231">
        <v>8.9</v>
      </c>
      <c r="F99" s="224"/>
    </row>
    <row r="100" spans="1:6">
      <c r="A100" s="75">
        <v>38571</v>
      </c>
      <c r="B100" s="86" t="str">
        <f>TiposLancamentos!B19</f>
        <v>Restaurantes</v>
      </c>
      <c r="C100" s="332" t="s">
        <v>2640</v>
      </c>
      <c r="D100" s="63"/>
      <c r="E100" s="231">
        <v>17.8</v>
      </c>
      <c r="F100" s="224"/>
    </row>
    <row r="101" spans="1:6">
      <c r="A101" s="75">
        <v>38576</v>
      </c>
      <c r="B101" s="86" t="str">
        <f>TiposLancamentos!B57</f>
        <v>Informática</v>
      </c>
      <c r="C101" s="427" t="s">
        <v>13089</v>
      </c>
      <c r="D101" s="333"/>
      <c r="E101" s="231">
        <v>59.9</v>
      </c>
      <c r="F101" s="224"/>
    </row>
    <row r="102" spans="1:6">
      <c r="A102" s="75">
        <v>38577</v>
      </c>
      <c r="B102" s="86" t="str">
        <f>TiposLancamentos!B5</f>
        <v>Supermercado</v>
      </c>
      <c r="C102" s="332" t="s">
        <v>2567</v>
      </c>
      <c r="D102" s="333"/>
      <c r="E102" s="231">
        <v>30.33</v>
      </c>
      <c r="F102" s="224"/>
    </row>
    <row r="103" spans="1:6">
      <c r="A103" s="75">
        <v>38581</v>
      </c>
      <c r="B103" s="86" t="str">
        <f>TiposLancamentos!B4</f>
        <v>Taxas Bancarias</v>
      </c>
      <c r="C103" s="332" t="s">
        <v>15245</v>
      </c>
      <c r="D103" s="333"/>
      <c r="E103" s="231">
        <v>3</v>
      </c>
      <c r="F103" s="224"/>
    </row>
    <row r="104" spans="1:6">
      <c r="A104" s="75">
        <v>38587</v>
      </c>
      <c r="B104" s="86" t="str">
        <f>TiposLancamentos!B25</f>
        <v>CD_DVD_BD</v>
      </c>
      <c r="C104" s="332" t="s">
        <v>15249</v>
      </c>
      <c r="D104" s="333"/>
      <c r="E104" s="231">
        <v>60.77</v>
      </c>
      <c r="F104" s="224"/>
    </row>
    <row r="105" spans="1:6">
      <c r="A105" s="75">
        <v>38587</v>
      </c>
      <c r="B105" s="86" t="str">
        <f>TiposLancamentos!B5</f>
        <v>Supermercado</v>
      </c>
      <c r="C105" s="332" t="s">
        <v>2567</v>
      </c>
      <c r="D105" s="333"/>
      <c r="E105" s="231">
        <v>19.28</v>
      </c>
      <c r="F105" s="224"/>
    </row>
    <row r="106" spans="1:6">
      <c r="A106" s="75"/>
      <c r="B106" s="86"/>
      <c r="C106" s="332"/>
      <c r="D106" s="333"/>
      <c r="E106" s="231"/>
      <c r="F106" s="224"/>
    </row>
    <row r="107" spans="1:6">
      <c r="A107" s="75">
        <v>38587</v>
      </c>
      <c r="B107" s="86" t="str">
        <f>TiposLancamentos!B71</f>
        <v>Itens Pessoais</v>
      </c>
      <c r="C107" s="332" t="s">
        <v>13102</v>
      </c>
      <c r="D107" s="333"/>
      <c r="E107" s="231">
        <v>73</v>
      </c>
      <c r="F107" s="224"/>
    </row>
    <row r="108" spans="1:6">
      <c r="A108" s="75">
        <v>38588</v>
      </c>
      <c r="B108" s="86" t="str">
        <f>TiposLancamentos!B57</f>
        <v>Informática</v>
      </c>
      <c r="C108" s="332" t="s">
        <v>15250</v>
      </c>
      <c r="D108" s="333"/>
      <c r="E108" s="231">
        <v>52</v>
      </c>
      <c r="F108" s="224"/>
    </row>
    <row r="109" spans="1:6">
      <c r="A109" s="75">
        <v>38589</v>
      </c>
      <c r="B109" s="86" t="str">
        <f>TiposLancamentos!B16</f>
        <v>Cristiane</v>
      </c>
      <c r="C109" s="332" t="s">
        <v>15251</v>
      </c>
      <c r="D109" s="333"/>
      <c r="E109" s="231">
        <v>111.33</v>
      </c>
      <c r="F109" s="224"/>
    </row>
    <row r="110" spans="1:6">
      <c r="A110" s="75">
        <v>38589</v>
      </c>
      <c r="B110" s="86" t="str">
        <f>TiposLancamentos!B5</f>
        <v>Supermercado</v>
      </c>
      <c r="C110" s="332" t="s">
        <v>2567</v>
      </c>
      <c r="D110" s="333"/>
      <c r="E110" s="231">
        <v>11.91</v>
      </c>
      <c r="F110" s="224"/>
    </row>
    <row r="111" spans="1:6">
      <c r="A111" s="75">
        <v>38589</v>
      </c>
      <c r="B111" s="86" t="str">
        <f>TiposLancamentos!B22</f>
        <v>Combustivel</v>
      </c>
      <c r="C111" s="332" t="s">
        <v>15252</v>
      </c>
      <c r="D111" s="333"/>
      <c r="E111" s="231">
        <v>24.37</v>
      </c>
      <c r="F111" s="224"/>
    </row>
    <row r="112" spans="1:6">
      <c r="A112" s="75">
        <v>38589</v>
      </c>
      <c r="B112" s="86" t="str">
        <f>TiposLancamentos!B19</f>
        <v>Restaurantes</v>
      </c>
      <c r="C112" s="332" t="s">
        <v>15253</v>
      </c>
      <c r="D112" s="333"/>
      <c r="E112" s="231">
        <v>67.38</v>
      </c>
      <c r="F112" s="224"/>
    </row>
    <row r="113" spans="1:6">
      <c r="A113" s="75">
        <v>38590</v>
      </c>
      <c r="B113" s="86" t="str">
        <f>TiposLancamentos!B17</f>
        <v>GATO</v>
      </c>
      <c r="C113" s="332" t="s">
        <v>15254</v>
      </c>
      <c r="D113" s="333"/>
      <c r="E113" s="231">
        <f>9.8+21.8</f>
        <v>31.6</v>
      </c>
      <c r="F113" s="224"/>
    </row>
    <row r="114" spans="1:6">
      <c r="A114" s="75">
        <v>38591</v>
      </c>
      <c r="B114" s="86" t="str">
        <f>TiposLancamentos!B82</f>
        <v>CG Titan 125</v>
      </c>
      <c r="C114" s="332" t="s">
        <v>15255</v>
      </c>
      <c r="D114" s="333"/>
      <c r="E114" s="231">
        <v>12</v>
      </c>
      <c r="F114" s="224"/>
    </row>
    <row r="115" spans="1:6">
      <c r="A115" s="75">
        <v>38591</v>
      </c>
      <c r="B115" s="86" t="str">
        <f>TiposLancamentos!B19</f>
        <v>Restaurantes</v>
      </c>
      <c r="C115" s="332" t="s">
        <v>2640</v>
      </c>
      <c r="D115" s="333"/>
      <c r="E115" s="231">
        <v>18.3</v>
      </c>
      <c r="F115" s="224"/>
    </row>
    <row r="116" spans="1:6">
      <c r="A116" s="75">
        <v>38592</v>
      </c>
      <c r="B116" s="86" t="str">
        <f>TiposLancamentos!B72</f>
        <v>Presentes</v>
      </c>
      <c r="C116" s="332" t="s">
        <v>14592</v>
      </c>
      <c r="D116" s="333"/>
      <c r="E116" s="231">
        <v>35</v>
      </c>
      <c r="F116" s="224"/>
    </row>
    <row r="117" spans="1:6">
      <c r="A117" s="75">
        <v>38592</v>
      </c>
      <c r="B117" s="86" t="str">
        <f>TiposLancamentos!B57</f>
        <v>Informática</v>
      </c>
      <c r="C117" s="332" t="s">
        <v>15256</v>
      </c>
      <c r="D117" s="333"/>
      <c r="E117" s="231">
        <v>36.19</v>
      </c>
      <c r="F117" s="224"/>
    </row>
    <row r="118" spans="1:6">
      <c r="A118" s="75">
        <v>38592</v>
      </c>
      <c r="B118" s="86" t="str">
        <f>TiposLancamentos!B5</f>
        <v>Supermercado</v>
      </c>
      <c r="C118" s="52" t="s">
        <v>2567</v>
      </c>
      <c r="D118" s="63"/>
      <c r="E118" s="231">
        <v>44.13</v>
      </c>
      <c r="F118" s="224"/>
    </row>
    <row r="119" spans="1:6">
      <c r="A119" s="75">
        <v>38593</v>
      </c>
      <c r="B119" s="86" t="str">
        <f>TiposLancamentos!B57</f>
        <v>Informática</v>
      </c>
      <c r="C119" s="52" t="s">
        <v>15257</v>
      </c>
      <c r="D119" s="63"/>
      <c r="E119" s="231">
        <v>34.07</v>
      </c>
      <c r="F119" s="224"/>
    </row>
    <row r="120" spans="1:6">
      <c r="A120" s="75">
        <v>38594</v>
      </c>
      <c r="B120" s="86" t="str">
        <f>TiposLancamentos!B19</f>
        <v>Restaurantes</v>
      </c>
      <c r="C120" s="52" t="s">
        <v>2941</v>
      </c>
      <c r="D120" s="63"/>
      <c r="E120" s="231">
        <v>23.9</v>
      </c>
      <c r="F120" s="224"/>
    </row>
    <row r="121" spans="1:6">
      <c r="A121" s="75">
        <v>38594</v>
      </c>
      <c r="B121" s="86" t="str">
        <f>TiposLancamentos!B19</f>
        <v>Restaurantes</v>
      </c>
      <c r="C121" s="52" t="s">
        <v>3099</v>
      </c>
      <c r="D121" s="63"/>
      <c r="E121" s="231">
        <v>6.55</v>
      </c>
      <c r="F121" s="224"/>
    </row>
    <row r="122" spans="1:6">
      <c r="A122" s="75">
        <v>38595</v>
      </c>
      <c r="B122" s="86" t="str">
        <f>B96</f>
        <v>Cartões de Crédito</v>
      </c>
      <c r="C122" s="52" t="s">
        <v>14126</v>
      </c>
      <c r="D122" s="63">
        <v>464.31</v>
      </c>
      <c r="E122" s="231"/>
      <c r="F122" s="224"/>
    </row>
    <row r="123" spans="1:6">
      <c r="A123" s="83"/>
      <c r="B123" s="91"/>
      <c r="C123" s="43" t="s">
        <v>2895</v>
      </c>
      <c r="D123" s="93"/>
      <c r="E123" s="230"/>
      <c r="F123" s="223">
        <f>SUM(E91:E105)</f>
        <v>464.30999999999995</v>
      </c>
    </row>
    <row r="124" spans="1:6">
      <c r="A124" s="75">
        <v>38596</v>
      </c>
      <c r="B124" s="86" t="str">
        <f>TiposLancamentos!B45</f>
        <v>Online Services</v>
      </c>
      <c r="C124" s="52" t="s">
        <v>15207</v>
      </c>
      <c r="D124" s="63"/>
      <c r="E124" s="231">
        <v>14.9</v>
      </c>
      <c r="F124" s="224"/>
    </row>
    <row r="125" spans="1:6">
      <c r="A125" s="75">
        <v>38598</v>
      </c>
      <c r="B125" s="86" t="str">
        <f>TiposLancamentos!B13</f>
        <v>Moradia</v>
      </c>
      <c r="C125" s="52" t="s">
        <v>15258</v>
      </c>
      <c r="D125" s="63"/>
      <c r="E125" s="231">
        <v>8</v>
      </c>
      <c r="F125" s="224"/>
    </row>
    <row r="126" spans="1:6">
      <c r="A126" s="75">
        <v>38601</v>
      </c>
      <c r="B126" s="86" t="str">
        <f>TiposLancamentos!B22</f>
        <v>Combustivel</v>
      </c>
      <c r="C126" s="52" t="s">
        <v>3050</v>
      </c>
      <c r="D126" s="63"/>
      <c r="E126" s="231">
        <v>24.75</v>
      </c>
      <c r="F126" s="224"/>
    </row>
    <row r="127" spans="1:6">
      <c r="A127" s="75">
        <v>38601</v>
      </c>
      <c r="B127" s="86" t="str">
        <f>TiposLancamentos!B5</f>
        <v>Supermercado</v>
      </c>
      <c r="C127" s="52" t="s">
        <v>4921</v>
      </c>
      <c r="D127" s="63"/>
      <c r="E127" s="231">
        <v>2.41</v>
      </c>
      <c r="F127" s="224"/>
    </row>
    <row r="128" spans="1:6">
      <c r="A128" s="75">
        <v>38605</v>
      </c>
      <c r="B128" s="86" t="str">
        <f>TiposLancamentos!B18</f>
        <v>Alimentacao</v>
      </c>
      <c r="C128" s="52" t="s">
        <v>15259</v>
      </c>
      <c r="D128" s="63"/>
      <c r="E128" s="231">
        <v>9.1</v>
      </c>
      <c r="F128" s="224"/>
    </row>
    <row r="129" spans="1:6">
      <c r="A129" s="75">
        <v>38605</v>
      </c>
      <c r="B129" s="86" t="str">
        <f>TiposLancamentos!B5</f>
        <v>Supermercado</v>
      </c>
      <c r="C129" s="52" t="s">
        <v>2566</v>
      </c>
      <c r="D129" s="63"/>
      <c r="E129" s="231">
        <v>8.4499999999999993</v>
      </c>
      <c r="F129" s="224"/>
    </row>
    <row r="130" spans="1:6">
      <c r="A130" s="75">
        <v>38607</v>
      </c>
      <c r="B130" s="86" t="str">
        <f>TiposLancamentos!B57</f>
        <v>Informática</v>
      </c>
      <c r="C130" s="427" t="s">
        <v>13101</v>
      </c>
      <c r="D130" s="333"/>
      <c r="E130" s="49">
        <v>59.9</v>
      </c>
      <c r="F130" s="224"/>
    </row>
    <row r="131" spans="1:6">
      <c r="A131" s="75">
        <v>38608</v>
      </c>
      <c r="B131" s="86" t="str">
        <f>TiposLancamentos!B19</f>
        <v>Restaurantes</v>
      </c>
      <c r="C131" s="332" t="s">
        <v>14611</v>
      </c>
      <c r="D131" s="333"/>
      <c r="E131" s="231">
        <v>38.5</v>
      </c>
      <c r="F131" s="224"/>
    </row>
    <row r="132" spans="1:6">
      <c r="A132" s="75">
        <v>38609</v>
      </c>
      <c r="B132" s="86" t="str">
        <f>TiposLancamentos!B5</f>
        <v>Supermercado</v>
      </c>
      <c r="C132" s="332" t="s">
        <v>2567</v>
      </c>
      <c r="D132" s="333"/>
      <c r="E132" s="231">
        <v>68.11</v>
      </c>
      <c r="F132" s="224"/>
    </row>
    <row r="133" spans="1:6">
      <c r="A133" s="75">
        <v>38610</v>
      </c>
      <c r="B133" s="86" t="str">
        <f>TiposLancamentos!B19</f>
        <v>Restaurantes</v>
      </c>
      <c r="C133" s="332" t="s">
        <v>5154</v>
      </c>
      <c r="D133" s="333"/>
      <c r="E133" s="231">
        <v>24.9</v>
      </c>
      <c r="F133" s="224"/>
    </row>
    <row r="134" spans="1:6">
      <c r="A134" s="75">
        <v>38610</v>
      </c>
      <c r="B134" s="86" t="str">
        <f>TiposLancamentos!B4</f>
        <v>Taxas Bancarias</v>
      </c>
      <c r="C134" s="332" t="s">
        <v>15260</v>
      </c>
      <c r="D134" s="333"/>
      <c r="E134" s="231">
        <v>3</v>
      </c>
      <c r="F134" s="224"/>
    </row>
    <row r="135" spans="1:6">
      <c r="A135" s="75">
        <v>38611</v>
      </c>
      <c r="B135" s="86" t="str">
        <f>TiposLancamentos!B5</f>
        <v>Supermercado</v>
      </c>
      <c r="C135" s="332" t="s">
        <v>4921</v>
      </c>
      <c r="D135" s="333"/>
      <c r="E135" s="231">
        <v>11.94</v>
      </c>
      <c r="F135" s="224"/>
    </row>
    <row r="136" spans="1:6">
      <c r="A136" s="75">
        <v>38611</v>
      </c>
      <c r="B136" s="86" t="str">
        <f>TiposLancamentos!B5</f>
        <v>Supermercado</v>
      </c>
      <c r="C136" s="332" t="s">
        <v>4921</v>
      </c>
      <c r="D136" s="333"/>
      <c r="E136" s="231">
        <v>11.47</v>
      </c>
      <c r="F136" s="224"/>
    </row>
    <row r="137" spans="1:6">
      <c r="A137" s="75">
        <v>38612</v>
      </c>
      <c r="B137" s="86" t="str">
        <f>TiposLancamentos!B4</f>
        <v>Taxas Bancarias</v>
      </c>
      <c r="C137" s="332" t="s">
        <v>15261</v>
      </c>
      <c r="D137" s="333"/>
      <c r="E137" s="231">
        <v>44</v>
      </c>
      <c r="F137" s="224"/>
    </row>
    <row r="138" spans="1:6">
      <c r="A138" s="75">
        <v>38613</v>
      </c>
      <c r="B138" s="86" t="str">
        <f>TiposLancamentos!B5</f>
        <v>Supermercado</v>
      </c>
      <c r="C138" s="332" t="s">
        <v>4921</v>
      </c>
      <c r="D138" s="333"/>
      <c r="E138" s="231">
        <v>41.81</v>
      </c>
      <c r="F138" s="224"/>
    </row>
    <row r="139" spans="1:6">
      <c r="A139" s="75">
        <v>38613</v>
      </c>
      <c r="B139" s="86" t="str">
        <f>TiposLancamentos!B5</f>
        <v>Supermercado</v>
      </c>
      <c r="C139" s="332" t="s">
        <v>4921</v>
      </c>
      <c r="D139" s="333"/>
      <c r="E139" s="231">
        <v>8.4499999999999993</v>
      </c>
      <c r="F139" s="224"/>
    </row>
    <row r="140" spans="1:6">
      <c r="A140" s="75">
        <v>38614</v>
      </c>
      <c r="B140" s="86" t="str">
        <f>TiposLancamentos!B22</f>
        <v>Combustivel</v>
      </c>
      <c r="C140" s="332" t="s">
        <v>2514</v>
      </c>
      <c r="D140" s="333"/>
      <c r="E140" s="231">
        <v>25.64</v>
      </c>
      <c r="F140" s="224"/>
    </row>
    <row r="141" spans="1:6">
      <c r="A141" s="75">
        <v>38615</v>
      </c>
      <c r="B141" s="86" t="str">
        <f>TiposLancamentos!B19</f>
        <v>Restaurantes</v>
      </c>
      <c r="C141" s="332" t="s">
        <v>15262</v>
      </c>
      <c r="D141" s="333"/>
      <c r="E141" s="231">
        <v>12.65</v>
      </c>
      <c r="F141" s="224"/>
    </row>
    <row r="142" spans="1:6">
      <c r="A142" s="75">
        <v>38616</v>
      </c>
      <c r="B142" s="86" t="str">
        <f>TiposLancamentos!B74</f>
        <v>Noite</v>
      </c>
      <c r="C142" s="332" t="s">
        <v>15263</v>
      </c>
      <c r="D142" s="333"/>
      <c r="E142" s="231">
        <v>23.87</v>
      </c>
      <c r="F142" s="224"/>
    </row>
    <row r="143" spans="1:6">
      <c r="A143" s="75">
        <v>38617</v>
      </c>
      <c r="B143" s="86" t="str">
        <f>TiposLancamentos!B19</f>
        <v>Restaurantes</v>
      </c>
      <c r="C143" s="332" t="s">
        <v>4962</v>
      </c>
      <c r="D143" s="333"/>
      <c r="E143" s="231">
        <v>13.85</v>
      </c>
      <c r="F143" s="224"/>
    </row>
    <row r="144" spans="1:6">
      <c r="A144" s="75"/>
      <c r="B144" s="86"/>
      <c r="C144" s="332"/>
      <c r="D144" s="333"/>
      <c r="E144" s="231"/>
      <c r="F144" s="224"/>
    </row>
    <row r="145" spans="1:6">
      <c r="A145" s="75">
        <v>38618</v>
      </c>
      <c r="B145" s="86" t="str">
        <f>TiposLancamentos!B71</f>
        <v>Itens Pessoais</v>
      </c>
      <c r="C145" s="52" t="s">
        <v>13107</v>
      </c>
      <c r="D145" s="333"/>
      <c r="E145" s="231">
        <v>73</v>
      </c>
      <c r="F145" s="224"/>
    </row>
    <row r="146" spans="1:6">
      <c r="A146" s="75">
        <v>38618</v>
      </c>
      <c r="B146" s="86" t="str">
        <f>TiposLancamentos!B82</f>
        <v>CG Titan 125</v>
      </c>
      <c r="C146" s="52" t="s">
        <v>15264</v>
      </c>
      <c r="D146" s="333"/>
      <c r="E146" s="231">
        <v>55</v>
      </c>
      <c r="F146" s="224"/>
    </row>
    <row r="147" spans="1:6">
      <c r="A147" s="75">
        <v>38618</v>
      </c>
      <c r="B147" s="86" t="str">
        <f>TiposLancamentos!B5</f>
        <v>Supermercado</v>
      </c>
      <c r="C147" s="52" t="s">
        <v>2567</v>
      </c>
      <c r="D147" s="333"/>
      <c r="E147" s="231">
        <v>66.239999999999995</v>
      </c>
      <c r="F147" s="224"/>
    </row>
    <row r="148" spans="1:6">
      <c r="A148" s="75">
        <v>38620</v>
      </c>
      <c r="B148" s="86" t="str">
        <f>TiposLancamentos!B5</f>
        <v>Supermercado</v>
      </c>
      <c r="C148" s="52" t="s">
        <v>2567</v>
      </c>
      <c r="D148" s="333"/>
      <c r="E148" s="231">
        <v>30.12</v>
      </c>
      <c r="F148" s="224"/>
    </row>
    <row r="149" spans="1:6">
      <c r="A149" s="75">
        <v>38621</v>
      </c>
      <c r="B149" s="86" t="str">
        <f>TiposLancamentos!B71</f>
        <v>Itens Pessoais</v>
      </c>
      <c r="C149" s="52" t="s">
        <v>15265</v>
      </c>
      <c r="D149" s="333"/>
      <c r="E149" s="231">
        <v>141</v>
      </c>
      <c r="F149" s="224"/>
    </row>
    <row r="150" spans="1:6">
      <c r="A150" s="75">
        <v>38622</v>
      </c>
      <c r="B150" s="86" t="str">
        <f>TiposLancamentos!B17</f>
        <v>GATO</v>
      </c>
      <c r="C150" s="52" t="s">
        <v>15266</v>
      </c>
      <c r="D150" s="333"/>
      <c r="E150" s="231">
        <v>64</v>
      </c>
      <c r="F150" s="224"/>
    </row>
    <row r="151" spans="1:6">
      <c r="A151" s="75">
        <v>38623</v>
      </c>
      <c r="B151" s="86" t="str">
        <f>TiposLancamentos!B5</f>
        <v>Supermercado</v>
      </c>
      <c r="C151" s="52" t="s">
        <v>2567</v>
      </c>
      <c r="D151" s="333"/>
      <c r="E151" s="231">
        <v>34.99</v>
      </c>
      <c r="F151" s="224"/>
    </row>
    <row r="152" spans="1:6">
      <c r="A152" s="75">
        <v>38624</v>
      </c>
      <c r="B152" s="86" t="str">
        <f>TiposLancamentos!B25</f>
        <v>CD_DVD_BD</v>
      </c>
      <c r="C152" s="52" t="s">
        <v>15267</v>
      </c>
      <c r="D152" s="333"/>
      <c r="E152" s="231">
        <v>51.73</v>
      </c>
      <c r="F152" s="224"/>
    </row>
    <row r="153" spans="1:6">
      <c r="A153" s="75">
        <v>38624</v>
      </c>
      <c r="B153" s="86" t="str">
        <f>TiposLancamentos!B22</f>
        <v>Combustivel</v>
      </c>
      <c r="C153" s="52" t="s">
        <v>15268</v>
      </c>
      <c r="D153" s="333"/>
      <c r="E153" s="231">
        <v>25.74</v>
      </c>
      <c r="F153" s="224"/>
    </row>
    <row r="154" spans="1:6">
      <c r="A154" s="79">
        <v>38625</v>
      </c>
      <c r="B154" s="95" t="str">
        <f>TiposLancamentos!B5</f>
        <v>Supermercado</v>
      </c>
      <c r="C154" s="332" t="s">
        <v>2567</v>
      </c>
      <c r="D154" s="85"/>
      <c r="E154" s="589">
        <v>22.54</v>
      </c>
      <c r="F154" s="177"/>
    </row>
    <row r="155" spans="1:6">
      <c r="A155" s="83"/>
      <c r="B155" s="91"/>
      <c r="C155" s="43" t="s">
        <v>15269</v>
      </c>
      <c r="D155" s="93"/>
      <c r="E155" s="230"/>
      <c r="F155" s="223">
        <f>SUM(E107:E143)</f>
        <v>1037.43</v>
      </c>
    </row>
    <row r="156" spans="1:6">
      <c r="A156" s="75">
        <v>38626</v>
      </c>
      <c r="B156" s="86" t="str">
        <f>TiposLancamentos!B45</f>
        <v>Online Services</v>
      </c>
      <c r="C156" s="52" t="s">
        <v>15207</v>
      </c>
      <c r="D156" s="637"/>
      <c r="E156" s="231">
        <v>14.9</v>
      </c>
      <c r="F156" s="224"/>
    </row>
    <row r="157" spans="1:6">
      <c r="A157" s="75">
        <v>38626</v>
      </c>
      <c r="B157" s="86" t="str">
        <f>TiposLancamentos!B5</f>
        <v>Supermercado</v>
      </c>
      <c r="C157" s="52" t="s">
        <v>2567</v>
      </c>
      <c r="D157" s="63"/>
      <c r="E157" s="231">
        <v>27.85</v>
      </c>
      <c r="F157" s="224"/>
    </row>
    <row r="158" spans="1:6">
      <c r="A158" s="75">
        <v>38627</v>
      </c>
      <c r="B158" s="86" t="str">
        <f>TiposLancamentos!B19</f>
        <v>Restaurantes</v>
      </c>
      <c r="C158" s="52" t="s">
        <v>15270</v>
      </c>
      <c r="D158" s="63"/>
      <c r="E158" s="231">
        <v>17</v>
      </c>
      <c r="F158" s="224"/>
    </row>
    <row r="159" spans="1:6">
      <c r="A159" s="75">
        <v>38627</v>
      </c>
      <c r="B159" s="86" t="str">
        <f>TiposLancamentos!B19</f>
        <v>Restaurantes</v>
      </c>
      <c r="C159" s="52" t="s">
        <v>3099</v>
      </c>
      <c r="D159" s="63"/>
      <c r="E159" s="231">
        <v>7.2</v>
      </c>
      <c r="F159" s="224"/>
    </row>
    <row r="160" spans="1:6">
      <c r="A160" s="75">
        <v>38627</v>
      </c>
      <c r="B160" s="86" t="str">
        <f>TiposLancamentos!B15</f>
        <v>Cartões de Crédito</v>
      </c>
      <c r="C160" s="52" t="s">
        <v>14126</v>
      </c>
      <c r="D160" s="63">
        <v>1037.44</v>
      </c>
      <c r="E160" s="231"/>
      <c r="F160" s="224"/>
    </row>
    <row r="161" spans="1:6">
      <c r="A161" s="75">
        <v>38631</v>
      </c>
      <c r="B161" s="86" t="str">
        <f>TiposLancamentos!B16</f>
        <v>Cristiane</v>
      </c>
      <c r="C161" s="52" t="s">
        <v>15271</v>
      </c>
      <c r="D161" s="63"/>
      <c r="E161" s="231">
        <v>42.14</v>
      </c>
      <c r="F161" s="224"/>
    </row>
    <row r="162" spans="1:6">
      <c r="A162" s="75">
        <v>38633</v>
      </c>
      <c r="B162" s="86" t="str">
        <f>TiposLancamentos!B13</f>
        <v>Moradia</v>
      </c>
      <c r="C162" s="52" t="s">
        <v>15272</v>
      </c>
      <c r="D162" s="63"/>
      <c r="E162" s="231">
        <v>78.959999999999994</v>
      </c>
      <c r="F162" s="224"/>
    </row>
    <row r="163" spans="1:6">
      <c r="A163" s="75">
        <v>38635</v>
      </c>
      <c r="B163" s="86" t="str">
        <f>TiposLancamentos!B15</f>
        <v>Cartões de Crédito</v>
      </c>
      <c r="C163" s="52" t="s">
        <v>15192</v>
      </c>
      <c r="D163" s="63"/>
      <c r="E163" s="231"/>
      <c r="F163" s="224"/>
    </row>
    <row r="164" spans="1:6">
      <c r="A164" s="75">
        <v>38636</v>
      </c>
      <c r="B164" s="86" t="str">
        <f>TiposLancamentos!B98</f>
        <v>Restituições</v>
      </c>
      <c r="C164" s="52" t="s">
        <v>15273</v>
      </c>
      <c r="D164" s="63">
        <v>44</v>
      </c>
      <c r="E164" s="231"/>
      <c r="F164" s="224"/>
    </row>
    <row r="165" spans="1:6">
      <c r="A165" s="75">
        <v>38637</v>
      </c>
      <c r="B165" s="86" t="str">
        <f>TiposLancamentos!B57</f>
        <v>Informática</v>
      </c>
      <c r="C165" s="52" t="s">
        <v>15274</v>
      </c>
      <c r="D165" s="333"/>
      <c r="E165" s="49">
        <v>59.9</v>
      </c>
      <c r="F165" s="224"/>
    </row>
    <row r="166" spans="1:6">
      <c r="A166" s="75"/>
      <c r="B166" s="86"/>
      <c r="C166" s="52"/>
      <c r="D166" s="333"/>
      <c r="E166" s="231"/>
      <c r="F166" s="224"/>
    </row>
    <row r="167" spans="1:6">
      <c r="A167" s="75">
        <v>38651</v>
      </c>
      <c r="B167" s="86" t="str">
        <f>TiposLancamentos!B71</f>
        <v>Itens Pessoais</v>
      </c>
      <c r="C167" s="332" t="s">
        <v>15275</v>
      </c>
      <c r="D167" s="333"/>
      <c r="E167" s="231">
        <v>141</v>
      </c>
      <c r="F167" s="224"/>
    </row>
    <row r="168" spans="1:6">
      <c r="A168" s="83"/>
      <c r="B168" s="91"/>
      <c r="C168" s="43" t="s">
        <v>2931</v>
      </c>
      <c r="D168" s="93"/>
      <c r="E168" s="230"/>
      <c r="F168" s="223">
        <f>SUM(E145:E165)-D164</f>
        <v>768.31000000000006</v>
      </c>
    </row>
    <row r="169" spans="1:6">
      <c r="A169" s="75">
        <v>38659</v>
      </c>
      <c r="B169" s="86" t="str">
        <f>TiposLancamentos!B15</f>
        <v>Cartões de Crédito</v>
      </c>
      <c r="C169" s="52" t="s">
        <v>14126</v>
      </c>
      <c r="D169" s="63">
        <v>768.31</v>
      </c>
      <c r="E169" s="231"/>
      <c r="F169" s="224"/>
    </row>
    <row r="170" spans="1:6">
      <c r="A170" s="79">
        <v>38668</v>
      </c>
      <c r="B170" s="95" t="str">
        <f>TiposLancamentos!B57</f>
        <v>Informática</v>
      </c>
      <c r="C170" s="638" t="s">
        <v>13124</v>
      </c>
      <c r="D170" s="409"/>
      <c r="E170" s="58">
        <v>59.9</v>
      </c>
      <c r="F170" s="177"/>
    </row>
    <row r="171" spans="1:6">
      <c r="A171" s="83"/>
      <c r="B171" s="91"/>
      <c r="C171" s="43" t="s">
        <v>2947</v>
      </c>
      <c r="D171" s="93"/>
      <c r="E171" s="230"/>
      <c r="F171" s="223">
        <f>SUM(E166:E171)</f>
        <v>200.9</v>
      </c>
    </row>
    <row r="172" spans="1:6">
      <c r="A172" s="75">
        <v>38688</v>
      </c>
      <c r="B172" s="86" t="str">
        <f>TiposLancamentos!B15</f>
        <v>Cartões de Crédito</v>
      </c>
      <c r="C172" s="52" t="s">
        <v>14142</v>
      </c>
      <c r="D172" s="63">
        <v>200.9</v>
      </c>
      <c r="E172" s="231"/>
      <c r="F172" s="224"/>
    </row>
    <row r="173" spans="1:6">
      <c r="A173" s="75">
        <v>38698</v>
      </c>
      <c r="B173" s="86" t="str">
        <f>TiposLancamentos!B57</f>
        <v>Informática</v>
      </c>
      <c r="C173" s="427" t="s">
        <v>13136</v>
      </c>
      <c r="D173" s="333"/>
      <c r="E173" s="49">
        <v>59.9</v>
      </c>
      <c r="F173" s="224"/>
    </row>
    <row r="174" spans="1:6">
      <c r="A174" s="79"/>
      <c r="B174" s="95"/>
      <c r="C174" s="477"/>
      <c r="D174" s="85"/>
      <c r="E174" s="589"/>
      <c r="F174" s="177"/>
    </row>
    <row r="175" spans="1:6">
      <c r="A175" s="83"/>
      <c r="B175" s="91"/>
      <c r="C175" s="52" t="s">
        <v>3004</v>
      </c>
      <c r="D175" s="63"/>
      <c r="E175" s="231"/>
      <c r="F175" s="224">
        <f>SUM(E173)</f>
        <v>59.9</v>
      </c>
    </row>
    <row r="176" spans="1:6">
      <c r="A176" s="79">
        <v>38719</v>
      </c>
      <c r="B176" s="95" t="str">
        <f>TiposLancamentos!B15</f>
        <v>Cartões de Crédito</v>
      </c>
      <c r="C176" s="52" t="s">
        <v>15276</v>
      </c>
      <c r="D176" s="63">
        <f>ItaU!E273</f>
        <v>59.9</v>
      </c>
      <c r="E176" s="231"/>
      <c r="F176" s="224"/>
    </row>
    <row r="177" spans="1:6">
      <c r="A177" s="75">
        <v>38719</v>
      </c>
      <c r="B177" s="125" t="str">
        <f>TiposLancamentos!B78</f>
        <v>Diferenças</v>
      </c>
      <c r="C177" s="52" t="s">
        <v>15277</v>
      </c>
      <c r="D177" s="63"/>
      <c r="E177" s="231">
        <v>0.01</v>
      </c>
      <c r="F177" s="224"/>
    </row>
    <row r="178" spans="1:6">
      <c r="A178" s="46"/>
      <c r="B178" s="116"/>
      <c r="C178" s="184" t="s">
        <v>12</v>
      </c>
      <c r="D178" s="426">
        <f>SUM(D1:D176)</f>
        <v>5310.1799999999985</v>
      </c>
      <c r="E178" s="591">
        <f>SUM(E1:E177)</f>
        <v>5310.1799999999994</v>
      </c>
      <c r="F178" s="224"/>
    </row>
    <row r="179" spans="1:6">
      <c r="A179" s="119"/>
      <c r="B179" s="120"/>
      <c r="C179" s="24" t="s">
        <v>13</v>
      </c>
      <c r="D179" s="177"/>
      <c r="E179" s="302">
        <f>D178-E178</f>
        <v>0</v>
      </c>
      <c r="F179" s="177"/>
    </row>
    <row r="180" spans="1:6">
      <c r="B180" s="65" t="s">
        <v>15278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22"/>
  <dimension ref="A1:H1036"/>
  <sheetViews>
    <sheetView zoomScale="98" zoomScaleNormal="98" workbookViewId="0">
      <pane xSplit="7" ySplit="1" topLeftCell="H991" activePane="bottomRight" state="frozen"/>
      <selection pane="bottomRight" activeCell="H1" sqref="H1"/>
      <selection pane="bottomLeft" activeCell="A2" sqref="A2"/>
      <selection pane="topRight" activeCell="H1" sqref="H1"/>
    </sheetView>
  </sheetViews>
  <sheetFormatPr defaultColWidth="9" defaultRowHeight="13.5"/>
  <cols>
    <col min="1" max="1" width="13.7109375" style="1216" bestFit="1" customWidth="1"/>
    <col min="2" max="2" width="21.42578125" style="1216" customWidth="1"/>
    <col min="3" max="3" width="52.140625" style="1216" customWidth="1"/>
    <col min="4" max="4" width="17.5703125" style="1216" bestFit="1" customWidth="1"/>
    <col min="5" max="5" width="17" style="1217" customWidth="1"/>
    <col min="6" max="6" width="16" style="1216" bestFit="1" customWidth="1"/>
    <col min="7" max="7" width="9" style="1216" customWidth="1"/>
    <col min="8" max="8" width="13.7109375" style="1216" bestFit="1" customWidth="1"/>
    <col min="9" max="16384" width="9" style="1216"/>
  </cols>
  <sheetData>
    <row r="1" spans="1:7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6</v>
      </c>
    </row>
    <row r="2" spans="1:7">
      <c r="A2" s="1022"/>
      <c r="B2" s="1121"/>
      <c r="C2" s="802" t="s">
        <v>15279</v>
      </c>
      <c r="D2" s="754"/>
      <c r="E2" s="755"/>
      <c r="F2" s="1454"/>
      <c r="G2" s="3"/>
    </row>
    <row r="3" spans="1:7">
      <c r="A3" s="884">
        <v>43101</v>
      </c>
      <c r="B3" s="240" t="str">
        <f>TiposLancamentos!B78</f>
        <v>Diferenças</v>
      </c>
      <c r="C3" s="878" t="s">
        <v>15280</v>
      </c>
      <c r="D3" s="63">
        <v>1861.3</v>
      </c>
      <c r="E3" s="231">
        <v>22.52</v>
      </c>
      <c r="F3" s="899"/>
      <c r="G3" s="3"/>
    </row>
    <row r="4" spans="1:7">
      <c r="A4" s="884">
        <v>43101</v>
      </c>
      <c r="B4" s="240" t="str">
        <f>TiposLancamentos!B77</f>
        <v>Esporádico</v>
      </c>
      <c r="C4" s="878" t="s">
        <v>15281</v>
      </c>
      <c r="D4" s="63">
        <v>0.01</v>
      </c>
      <c r="E4" s="231"/>
      <c r="F4" s="899"/>
      <c r="G4" s="3"/>
    </row>
    <row r="5" spans="1:7">
      <c r="A5" s="884">
        <v>43101</v>
      </c>
      <c r="B5" s="240" t="str">
        <f>TiposLancamentos!B78</f>
        <v>Diferenças</v>
      </c>
      <c r="C5" s="878" t="s">
        <v>15282</v>
      </c>
      <c r="D5" s="63"/>
      <c r="E5" s="231">
        <v>0.01</v>
      </c>
      <c r="F5" s="899"/>
      <c r="G5" s="3"/>
    </row>
    <row r="6" spans="1:7">
      <c r="A6" s="934"/>
      <c r="B6" s="243"/>
      <c r="C6" s="389" t="s">
        <v>10</v>
      </c>
      <c r="D6" s="146"/>
      <c r="E6" s="1190"/>
      <c r="F6" s="935"/>
      <c r="G6" s="1094" t="s">
        <v>11</v>
      </c>
    </row>
    <row r="7" spans="1:7">
      <c r="A7" s="884">
        <v>43241</v>
      </c>
      <c r="B7" s="240" t="str">
        <f>TiposLancamentos!B71</f>
        <v>Itens Pessoais</v>
      </c>
      <c r="C7" s="878" t="s">
        <v>15283</v>
      </c>
      <c r="D7" s="63"/>
      <c r="E7" s="231">
        <f>F7/10</f>
        <v>459.81000000000006</v>
      </c>
      <c r="F7" s="899">
        <v>4598.1000000000004</v>
      </c>
      <c r="G7" s="3"/>
    </row>
    <row r="8" spans="1:7">
      <c r="A8" s="934"/>
      <c r="B8" s="243"/>
      <c r="C8" s="389" t="s">
        <v>10</v>
      </c>
      <c r="D8" s="146"/>
      <c r="E8" s="1190"/>
      <c r="F8" s="935"/>
      <c r="G8" s="1094" t="s">
        <v>11</v>
      </c>
    </row>
    <row r="9" spans="1:7" ht="14.25" thickBot="1">
      <c r="A9" s="884"/>
      <c r="B9" s="240"/>
      <c r="C9" s="878"/>
      <c r="D9" s="63"/>
      <c r="E9" s="231"/>
      <c r="F9" s="899"/>
      <c r="G9" s="3"/>
    </row>
    <row r="10" spans="1:7">
      <c r="A10" s="1032"/>
      <c r="B10" s="1230"/>
      <c r="C10" s="906" t="s">
        <v>13814</v>
      </c>
      <c r="D10" s="896"/>
      <c r="E10" s="925"/>
      <c r="F10" s="1034"/>
      <c r="G10" s="3"/>
    </row>
    <row r="11" spans="1:7">
      <c r="A11" s="884">
        <v>43252</v>
      </c>
      <c r="B11" s="240" t="str">
        <f>TiposLancamentos!B15</f>
        <v>Cartões de Crédito</v>
      </c>
      <c r="C11" s="878" t="s">
        <v>1874</v>
      </c>
      <c r="D11" s="63">
        <v>459.81</v>
      </c>
      <c r="E11" s="231"/>
      <c r="F11" s="899"/>
      <c r="G11" s="3"/>
    </row>
    <row r="12" spans="1:7">
      <c r="A12" s="884">
        <v>43264</v>
      </c>
      <c r="B12" s="240" t="str">
        <f>TiposLancamentos!B19</f>
        <v>Restaurantes</v>
      </c>
      <c r="C12" s="878" t="s">
        <v>7004</v>
      </c>
      <c r="D12" s="63"/>
      <c r="E12" s="231">
        <v>9.4</v>
      </c>
      <c r="F12" s="899"/>
      <c r="G12" s="3"/>
    </row>
    <row r="13" spans="1:7">
      <c r="A13" s="884">
        <v>43272</v>
      </c>
      <c r="B13" s="240" t="str">
        <f>TiposLancamentos!B71</f>
        <v>Itens Pessoais</v>
      </c>
      <c r="C13" s="878" t="s">
        <v>15284</v>
      </c>
      <c r="D13" s="63"/>
      <c r="E13" s="231">
        <f>F13/10</f>
        <v>459.81000000000006</v>
      </c>
      <c r="F13" s="899">
        <v>4598.1000000000004</v>
      </c>
      <c r="G13" s="3"/>
    </row>
    <row r="14" spans="1:7">
      <c r="A14" s="934"/>
      <c r="B14" s="243"/>
      <c r="C14" s="389" t="s">
        <v>10</v>
      </c>
      <c r="D14" s="146"/>
      <c r="E14" s="1190"/>
      <c r="F14" s="935"/>
      <c r="G14" s="1094" t="s">
        <v>11</v>
      </c>
    </row>
    <row r="15" spans="1:7" ht="12.75" customHeight="1" thickBot="1">
      <c r="A15" s="884"/>
      <c r="B15" s="240"/>
      <c r="C15" s="878"/>
      <c r="D15" s="63"/>
      <c r="E15" s="231"/>
      <c r="F15" s="899"/>
      <c r="G15" s="3"/>
    </row>
    <row r="16" spans="1:7" ht="12.75" customHeight="1">
      <c r="A16" s="1032"/>
      <c r="B16" s="1230"/>
      <c r="C16" s="906" t="s">
        <v>15285</v>
      </c>
      <c r="D16" s="896"/>
      <c r="E16" s="925"/>
      <c r="F16" s="1034">
        <f>SUM(E10:E13)</f>
        <v>469.21000000000004</v>
      </c>
      <c r="G16" s="3"/>
    </row>
    <row r="17" spans="1:7" ht="12.75" customHeight="1">
      <c r="A17" s="884">
        <v>43283</v>
      </c>
      <c r="B17" s="240" t="str">
        <f>TiposLancamentos!B15</f>
        <v>Cartões de Crédito</v>
      </c>
      <c r="C17" s="878" t="s">
        <v>1874</v>
      </c>
      <c r="D17" s="63">
        <v>459.81</v>
      </c>
      <c r="E17" s="231"/>
      <c r="F17" s="899"/>
      <c r="G17" s="3"/>
    </row>
    <row r="18" spans="1:7">
      <c r="A18" s="884">
        <v>43302</v>
      </c>
      <c r="B18" s="240" t="str">
        <f>TiposLancamentos!B71</f>
        <v>Itens Pessoais</v>
      </c>
      <c r="C18" s="878" t="s">
        <v>15286</v>
      </c>
      <c r="D18" s="63"/>
      <c r="E18" s="231">
        <f>F18/10</f>
        <v>459.81000000000006</v>
      </c>
      <c r="F18" s="899">
        <v>4598.1000000000004</v>
      </c>
      <c r="G18" s="3"/>
    </row>
    <row r="19" spans="1:7">
      <c r="A19" s="884">
        <v>43302</v>
      </c>
      <c r="B19" s="240" t="str">
        <f>TiposLancamentos!B78</f>
        <v>Diferenças</v>
      </c>
      <c r="C19" s="878" t="s">
        <v>15287</v>
      </c>
      <c r="D19" s="63"/>
      <c r="E19" s="231">
        <v>10.35</v>
      </c>
      <c r="F19" s="899"/>
      <c r="G19" s="3"/>
    </row>
    <row r="20" spans="1:7">
      <c r="A20" s="934"/>
      <c r="B20" s="243"/>
      <c r="C20" s="389" t="s">
        <v>10</v>
      </c>
      <c r="D20" s="146"/>
      <c r="E20" s="1190"/>
      <c r="F20" s="935"/>
      <c r="G20" s="1094" t="s">
        <v>11</v>
      </c>
    </row>
    <row r="21" spans="1:7" ht="14.25" thickBot="1">
      <c r="A21" s="884"/>
      <c r="B21" s="240"/>
      <c r="C21" s="878"/>
      <c r="D21" s="63"/>
      <c r="E21" s="231"/>
      <c r="F21" s="899"/>
      <c r="G21" s="3"/>
    </row>
    <row r="22" spans="1:7">
      <c r="A22" s="1032"/>
      <c r="B22" s="1230"/>
      <c r="C22" s="906" t="s">
        <v>13819</v>
      </c>
      <c r="D22" s="896"/>
      <c r="E22" s="925"/>
      <c r="F22" s="1034">
        <f>SUM(E15:E19)</f>
        <v>470.16000000000008</v>
      </c>
      <c r="G22" s="3"/>
    </row>
    <row r="23" spans="1:7">
      <c r="A23" s="884">
        <v>43313</v>
      </c>
      <c r="B23" s="240" t="str">
        <f>TiposLancamentos!B15</f>
        <v>Cartões de Crédito</v>
      </c>
      <c r="C23" s="878" t="s">
        <v>1874</v>
      </c>
      <c r="D23" s="63">
        <v>470.16</v>
      </c>
      <c r="E23" s="231"/>
      <c r="F23" s="899"/>
      <c r="G23" s="3"/>
    </row>
    <row r="24" spans="1:7">
      <c r="A24" s="884">
        <v>43333</v>
      </c>
      <c r="B24" s="240" t="str">
        <f>TiposLancamentos!B71</f>
        <v>Itens Pessoais</v>
      </c>
      <c r="C24" s="878" t="s">
        <v>15288</v>
      </c>
      <c r="D24" s="63"/>
      <c r="E24" s="231">
        <f>F24/10</f>
        <v>459.81000000000006</v>
      </c>
      <c r="F24" s="899">
        <v>4598.1000000000004</v>
      </c>
      <c r="G24" s="3"/>
    </row>
    <row r="25" spans="1:7">
      <c r="A25" s="934"/>
      <c r="B25" s="243"/>
      <c r="C25" s="389" t="s">
        <v>10</v>
      </c>
      <c r="D25" s="146"/>
      <c r="E25" s="1190"/>
      <c r="F25" s="935"/>
      <c r="G25" s="1094" t="s">
        <v>11</v>
      </c>
    </row>
    <row r="26" spans="1:7" ht="14.25" thickBot="1">
      <c r="A26" s="884"/>
      <c r="B26" s="240"/>
      <c r="C26" s="878"/>
      <c r="D26" s="63"/>
      <c r="E26" s="231"/>
      <c r="F26" s="899"/>
      <c r="G26" s="3"/>
    </row>
    <row r="27" spans="1:7">
      <c r="A27" s="1032"/>
      <c r="B27" s="1230"/>
      <c r="C27" s="906" t="s">
        <v>13823</v>
      </c>
      <c r="D27" s="896"/>
      <c r="E27" s="925"/>
      <c r="F27" s="1034">
        <f>SUM(E21:E24)</f>
        <v>459.81000000000006</v>
      </c>
      <c r="G27" s="3"/>
    </row>
    <row r="28" spans="1:7">
      <c r="A28" s="884">
        <v>43346</v>
      </c>
      <c r="B28" s="240" t="str">
        <f>TiposLancamentos!B15</f>
        <v>Cartões de Crédito</v>
      </c>
      <c r="C28" s="878" t="s">
        <v>1874</v>
      </c>
      <c r="D28" s="63">
        <v>459.81</v>
      </c>
      <c r="E28" s="231"/>
      <c r="F28" s="899"/>
      <c r="G28" s="3"/>
    </row>
    <row r="29" spans="1:7">
      <c r="A29" s="884">
        <v>43364</v>
      </c>
      <c r="B29" s="240" t="str">
        <f>TiposLancamentos!B71</f>
        <v>Itens Pessoais</v>
      </c>
      <c r="C29" s="878" t="s">
        <v>15289</v>
      </c>
      <c r="D29" s="63"/>
      <c r="E29" s="231">
        <f>F29/10</f>
        <v>459.81000000000006</v>
      </c>
      <c r="F29" s="899">
        <v>4598.1000000000004</v>
      </c>
      <c r="G29" s="3"/>
    </row>
    <row r="30" spans="1:7">
      <c r="A30" s="934"/>
      <c r="B30" s="243"/>
      <c r="C30" s="389" t="s">
        <v>10</v>
      </c>
      <c r="D30" s="146"/>
      <c r="E30" s="1190"/>
      <c r="F30" s="935"/>
      <c r="G30" s="1094" t="s">
        <v>11</v>
      </c>
    </row>
    <row r="31" spans="1:7" ht="14.25" thickBot="1">
      <c r="A31" s="884"/>
      <c r="B31" s="240"/>
      <c r="C31" s="878"/>
      <c r="D31" s="63"/>
      <c r="E31" s="231"/>
      <c r="F31" s="899"/>
      <c r="G31" s="3"/>
    </row>
    <row r="32" spans="1:7">
      <c r="A32" s="1032"/>
      <c r="B32" s="1230"/>
      <c r="C32" s="906" t="s">
        <v>15290</v>
      </c>
      <c r="D32" s="896"/>
      <c r="E32" s="925"/>
      <c r="F32" s="1034">
        <f>SUM(E26:E29)</f>
        <v>459.81000000000006</v>
      </c>
      <c r="G32" s="3"/>
    </row>
    <row r="33" spans="1:7">
      <c r="A33" s="884">
        <v>43374</v>
      </c>
      <c r="B33" s="240" t="str">
        <f>TiposLancamentos!B15</f>
        <v>Cartões de Crédito</v>
      </c>
      <c r="C33" s="878" t="s">
        <v>1874</v>
      </c>
      <c r="D33" s="63">
        <v>459.86</v>
      </c>
      <c r="E33" s="231"/>
      <c r="F33" s="899"/>
      <c r="G33" s="3"/>
    </row>
    <row r="34" spans="1:7">
      <c r="A34" s="884">
        <v>43388</v>
      </c>
      <c r="B34" s="240" t="str">
        <f>TiposLancamentos!B30</f>
        <v>Cinema</v>
      </c>
      <c r="C34" s="878" t="s">
        <v>15291</v>
      </c>
      <c r="D34" s="63"/>
      <c r="E34" s="231">
        <v>31.92</v>
      </c>
      <c r="F34" s="899"/>
      <c r="G34" s="3"/>
    </row>
    <row r="35" spans="1:7">
      <c r="A35" s="884">
        <v>43394</v>
      </c>
      <c r="B35" s="240" t="str">
        <f>TiposLancamentos!B71</f>
        <v>Itens Pessoais</v>
      </c>
      <c r="C35" s="878" t="s">
        <v>15292</v>
      </c>
      <c r="D35" s="63"/>
      <c r="E35" s="231">
        <f>F35/10</f>
        <v>459.81000000000006</v>
      </c>
      <c r="F35" s="899">
        <v>4598.1000000000004</v>
      </c>
      <c r="G35" s="3"/>
    </row>
    <row r="36" spans="1:7">
      <c r="A36" s="934"/>
      <c r="B36" s="243"/>
      <c r="C36" s="389" t="s">
        <v>10</v>
      </c>
      <c r="D36" s="146"/>
      <c r="E36" s="1190"/>
      <c r="F36" s="935"/>
      <c r="G36" s="1094" t="s">
        <v>11</v>
      </c>
    </row>
    <row r="37" spans="1:7" ht="14.25" thickBot="1">
      <c r="A37" s="884"/>
      <c r="B37" s="240"/>
      <c r="C37" s="878"/>
      <c r="D37" s="63"/>
      <c r="E37" s="231"/>
      <c r="F37" s="899"/>
      <c r="G37" s="3"/>
    </row>
    <row r="38" spans="1:7">
      <c r="A38" s="1032"/>
      <c r="B38" s="1230"/>
      <c r="C38" s="906" t="s">
        <v>15293</v>
      </c>
      <c r="D38" s="896"/>
      <c r="E38" s="925"/>
      <c r="F38" s="1034">
        <f>SUM(E32:E35)</f>
        <v>491.73000000000008</v>
      </c>
      <c r="G38" s="3"/>
    </row>
    <row r="39" spans="1:7">
      <c r="A39" s="884">
        <v>43405</v>
      </c>
      <c r="B39" s="240" t="str">
        <f>TiposLancamentos!B15</f>
        <v>Cartões de Crédito</v>
      </c>
      <c r="C39" s="878" t="s">
        <v>1874</v>
      </c>
      <c r="D39" s="63">
        <v>491.73</v>
      </c>
      <c r="E39" s="231"/>
      <c r="F39" s="899"/>
      <c r="G39" s="3"/>
    </row>
    <row r="40" spans="1:7">
      <c r="A40" s="884">
        <v>43405</v>
      </c>
      <c r="B40" s="240" t="str">
        <f>TiposLancamentos!B71</f>
        <v>Itens Pessoais</v>
      </c>
      <c r="C40" s="878" t="s">
        <v>15294</v>
      </c>
      <c r="D40" s="63"/>
      <c r="E40" s="231">
        <f>F40/10</f>
        <v>459.81000000000006</v>
      </c>
      <c r="F40" s="899">
        <v>4598.1000000000004</v>
      </c>
      <c r="G40" s="3"/>
    </row>
    <row r="41" spans="1:7">
      <c r="A41" s="934"/>
      <c r="B41" s="243"/>
      <c r="C41" s="389" t="s">
        <v>10</v>
      </c>
      <c r="D41" s="146"/>
      <c r="E41" s="1190"/>
      <c r="F41" s="935"/>
      <c r="G41" s="1094" t="s">
        <v>11</v>
      </c>
    </row>
    <row r="42" spans="1:7" ht="14.25" thickBot="1">
      <c r="A42" s="884"/>
      <c r="B42" s="240"/>
      <c r="C42" s="878"/>
      <c r="D42" s="63"/>
      <c r="E42" s="231"/>
      <c r="F42" s="899"/>
      <c r="G42" s="3"/>
    </row>
    <row r="43" spans="1:7">
      <c r="A43" s="1032"/>
      <c r="B43" s="1230"/>
      <c r="C43" s="906" t="s">
        <v>13836</v>
      </c>
      <c r="D43" s="896"/>
      <c r="E43" s="925"/>
      <c r="F43" s="1034">
        <f>SUM(E36:E40)</f>
        <v>459.81000000000006</v>
      </c>
      <c r="G43" s="3"/>
    </row>
    <row r="44" spans="1:7">
      <c r="A44" s="884">
        <v>43437</v>
      </c>
      <c r="B44" s="240" t="str">
        <f>TiposLancamentos!B15</f>
        <v>Cartões de Crédito</v>
      </c>
      <c r="C44" s="878" t="s">
        <v>1874</v>
      </c>
      <c r="D44" s="63">
        <v>459.81</v>
      </c>
      <c r="E44" s="231"/>
      <c r="F44" s="899"/>
      <c r="G44" s="3"/>
    </row>
    <row r="45" spans="1:7">
      <c r="A45" s="884">
        <v>43455</v>
      </c>
      <c r="B45" s="240" t="str">
        <f>TiposLancamentos!B71</f>
        <v>Itens Pessoais</v>
      </c>
      <c r="C45" s="878" t="s">
        <v>15295</v>
      </c>
      <c r="D45" s="63"/>
      <c r="E45" s="231">
        <f>F45/10</f>
        <v>459.81000000000006</v>
      </c>
      <c r="F45" s="899">
        <v>4598.1000000000004</v>
      </c>
      <c r="G45" s="3"/>
    </row>
    <row r="46" spans="1:7">
      <c r="A46" s="934"/>
      <c r="B46" s="243"/>
      <c r="C46" s="389" t="s">
        <v>10</v>
      </c>
      <c r="D46" s="146"/>
      <c r="E46" s="1190"/>
      <c r="F46" s="935"/>
      <c r="G46" s="1094" t="s">
        <v>11</v>
      </c>
    </row>
    <row r="47" spans="1:7" ht="14.25" thickBot="1">
      <c r="A47" s="884"/>
      <c r="B47" s="240"/>
      <c r="C47" s="878"/>
      <c r="D47" s="63"/>
      <c r="E47" s="231"/>
      <c r="F47" s="899"/>
      <c r="G47" s="3"/>
    </row>
    <row r="48" spans="1:7">
      <c r="A48" s="1032"/>
      <c r="B48" s="1230"/>
      <c r="C48" s="906" t="s">
        <v>13840</v>
      </c>
      <c r="D48" s="896"/>
      <c r="E48" s="925"/>
      <c r="F48" s="1034">
        <f>SUM(E42:E45)</f>
        <v>459.81000000000006</v>
      </c>
      <c r="G48" s="3"/>
    </row>
    <row r="49" spans="1:7">
      <c r="A49" s="884">
        <v>43467</v>
      </c>
      <c r="B49" s="240" t="str">
        <f>TiposLancamentos!B15</f>
        <v>Cartões de Crédito</v>
      </c>
      <c r="C49" s="878" t="s">
        <v>1874</v>
      </c>
      <c r="D49" s="63">
        <v>459.81</v>
      </c>
      <c r="E49" s="231"/>
      <c r="F49" s="899"/>
      <c r="G49" s="3"/>
    </row>
    <row r="50" spans="1:7">
      <c r="A50" s="884">
        <v>43486</v>
      </c>
      <c r="B50" s="240" t="str">
        <f>TiposLancamentos!B71</f>
        <v>Itens Pessoais</v>
      </c>
      <c r="C50" s="878" t="s">
        <v>15296</v>
      </c>
      <c r="D50" s="63"/>
      <c r="E50" s="231">
        <f>F50/10</f>
        <v>459.81000000000006</v>
      </c>
      <c r="F50" s="899">
        <v>4598.1000000000004</v>
      </c>
      <c r="G50" s="3"/>
    </row>
    <row r="51" spans="1:7">
      <c r="A51" s="934"/>
      <c r="B51" s="243"/>
      <c r="C51" s="389" t="s">
        <v>10</v>
      </c>
      <c r="D51" s="146"/>
      <c r="E51" s="1190"/>
      <c r="F51" s="935"/>
      <c r="G51" s="1094" t="s">
        <v>11</v>
      </c>
    </row>
    <row r="52" spans="1:7" ht="14.25" thickBot="1">
      <c r="A52" s="884">
        <v>43487</v>
      </c>
      <c r="B52" s="240" t="str">
        <f>TiposLancamentos!B19</f>
        <v>Restaurantes</v>
      </c>
      <c r="C52" s="878" t="s">
        <v>15297</v>
      </c>
      <c r="D52" s="63"/>
      <c r="E52" s="231">
        <v>22.25</v>
      </c>
      <c r="F52" s="899"/>
      <c r="G52" s="3"/>
    </row>
    <row r="53" spans="1:7">
      <c r="A53" s="1032"/>
      <c r="B53" s="1230"/>
      <c r="C53" s="906" t="s">
        <v>15298</v>
      </c>
      <c r="D53" s="896"/>
      <c r="E53" s="925"/>
      <c r="F53" s="1034">
        <f>SUM(E47:E50)</f>
        <v>459.81000000000006</v>
      </c>
      <c r="G53" s="3"/>
    </row>
    <row r="54" spans="1:7">
      <c r="A54" s="884">
        <v>43497</v>
      </c>
      <c r="B54" s="240" t="str">
        <f>TiposLancamentos!B15</f>
        <v>Cartões de Crédito</v>
      </c>
      <c r="C54" s="878" t="s">
        <v>1874</v>
      </c>
      <c r="D54" s="63">
        <v>459.81</v>
      </c>
      <c r="E54" s="231"/>
      <c r="F54" s="899"/>
      <c r="G54" s="3"/>
    </row>
    <row r="55" spans="1:7">
      <c r="A55" s="884">
        <v>43502</v>
      </c>
      <c r="B55" s="240" t="str">
        <f>TiposLancamentos!B59</f>
        <v>Documentos</v>
      </c>
      <c r="C55" s="878" t="s">
        <v>15299</v>
      </c>
      <c r="D55" s="63"/>
      <c r="E55" s="231">
        <v>109.31</v>
      </c>
      <c r="F55" s="899"/>
      <c r="G55" s="3"/>
    </row>
    <row r="56" spans="1:7">
      <c r="A56" s="884">
        <v>43517</v>
      </c>
      <c r="B56" s="240" t="str">
        <f>TiposLancamentos!B71</f>
        <v>Itens Pessoais</v>
      </c>
      <c r="C56" s="878" t="s">
        <v>15300</v>
      </c>
      <c r="D56" s="63"/>
      <c r="E56" s="231">
        <f>F56/10</f>
        <v>459.81000000000006</v>
      </c>
      <c r="F56" s="899">
        <v>4598.1000000000004</v>
      </c>
      <c r="G56" s="3"/>
    </row>
    <row r="57" spans="1:7">
      <c r="A57" s="934"/>
      <c r="B57" s="243"/>
      <c r="C57" s="389" t="s">
        <v>10</v>
      </c>
      <c r="D57" s="146"/>
      <c r="E57" s="1190"/>
      <c r="F57" s="935"/>
      <c r="G57" s="1094" t="s">
        <v>11</v>
      </c>
    </row>
    <row r="58" spans="1:7" ht="14.25" thickBot="1">
      <c r="A58" s="884"/>
      <c r="B58" s="240"/>
      <c r="C58" s="878"/>
      <c r="D58" s="63"/>
      <c r="E58" s="231"/>
      <c r="F58" s="899"/>
      <c r="G58" s="3"/>
    </row>
    <row r="59" spans="1:7">
      <c r="A59" s="1032"/>
      <c r="B59" s="1230"/>
      <c r="C59" s="906" t="s">
        <v>15301</v>
      </c>
      <c r="D59" s="896"/>
      <c r="E59" s="925"/>
      <c r="F59" s="1034">
        <f>SUM(E52:E56)</f>
        <v>591.37000000000012</v>
      </c>
      <c r="G59" s="3"/>
    </row>
    <row r="60" spans="1:7">
      <c r="A60" s="884">
        <v>43525</v>
      </c>
      <c r="B60" s="240" t="str">
        <f>TiposLancamentos!B15</f>
        <v>Cartões de Crédito</v>
      </c>
      <c r="C60" s="878" t="s">
        <v>1874</v>
      </c>
      <c r="D60" s="63">
        <v>591.37</v>
      </c>
      <c r="E60" s="231"/>
      <c r="F60" s="899"/>
      <c r="G60" s="3"/>
    </row>
    <row r="61" spans="1:7">
      <c r="A61" s="884"/>
      <c r="B61" s="240"/>
      <c r="C61" s="878"/>
      <c r="D61" s="63"/>
      <c r="E61" s="231"/>
      <c r="F61" s="899"/>
      <c r="G61" s="3"/>
    </row>
    <row r="62" spans="1:7">
      <c r="A62" s="934"/>
      <c r="B62" s="243"/>
      <c r="C62" s="389" t="s">
        <v>10</v>
      </c>
      <c r="D62" s="146"/>
      <c r="E62" s="1190"/>
      <c r="F62" s="935"/>
      <c r="G62" s="3"/>
    </row>
    <row r="63" spans="1:7" ht="14.25" thickBot="1">
      <c r="A63" s="884"/>
      <c r="B63" s="240"/>
      <c r="C63" s="878"/>
      <c r="D63" s="63"/>
      <c r="E63" s="231"/>
      <c r="F63" s="899"/>
      <c r="G63" s="3"/>
    </row>
    <row r="64" spans="1:7">
      <c r="A64" s="1032"/>
      <c r="B64" s="1230"/>
      <c r="C64" s="906" t="s">
        <v>15302</v>
      </c>
      <c r="D64" s="896"/>
      <c r="E64" s="925"/>
      <c r="F64" s="1034">
        <f>SUM(E58:E61)</f>
        <v>0</v>
      </c>
      <c r="G64" s="3"/>
    </row>
    <row r="65" spans="1:6">
      <c r="A65" s="884">
        <v>43658</v>
      </c>
      <c r="B65" s="240" t="str">
        <f>TiposLancamentos!B19</f>
        <v>Restaurantes</v>
      </c>
      <c r="C65" s="878" t="s">
        <v>7215</v>
      </c>
      <c r="D65" s="63"/>
      <c r="E65" s="231">
        <v>13.5</v>
      </c>
      <c r="F65" s="899"/>
    </row>
    <row r="66" spans="1:6" ht="14.25" thickBot="1">
      <c r="A66" s="934"/>
      <c r="B66" s="243"/>
      <c r="C66" s="389" t="s">
        <v>10</v>
      </c>
      <c r="D66" s="146"/>
      <c r="E66" s="1190"/>
      <c r="F66" s="935"/>
    </row>
    <row r="67" spans="1:6">
      <c r="A67" s="1032"/>
      <c r="B67" s="1230"/>
      <c r="C67" s="906" t="s">
        <v>15302</v>
      </c>
      <c r="D67" s="896"/>
      <c r="E67" s="925"/>
      <c r="F67" s="1034">
        <f>SUM(E61:E64)</f>
        <v>0</v>
      </c>
    </row>
    <row r="68" spans="1:6">
      <c r="A68" s="884">
        <v>43678</v>
      </c>
      <c r="B68" s="240" t="str">
        <f>TiposLancamentos!B15</f>
        <v>Cartões de Crédito</v>
      </c>
      <c r="C68" s="878" t="s">
        <v>1874</v>
      </c>
      <c r="D68" s="63">
        <v>13.5</v>
      </c>
      <c r="E68" s="231"/>
      <c r="F68" s="899"/>
    </row>
    <row r="69" spans="1:6">
      <c r="A69" s="884"/>
      <c r="B69" s="240"/>
      <c r="C69" s="878"/>
      <c r="D69" s="63"/>
      <c r="E69" s="231"/>
      <c r="F69" s="899"/>
    </row>
    <row r="70" spans="1:6">
      <c r="A70" s="934"/>
      <c r="B70" s="243"/>
      <c r="C70" s="389" t="s">
        <v>10</v>
      </c>
      <c r="D70" s="146"/>
      <c r="E70" s="1190"/>
      <c r="F70" s="935"/>
    </row>
    <row r="71" spans="1:6">
      <c r="A71" s="884"/>
      <c r="B71" s="240"/>
      <c r="C71" s="878"/>
      <c r="D71" s="63"/>
      <c r="E71" s="231"/>
      <c r="F71" s="899"/>
    </row>
    <row r="72" spans="1:6">
      <c r="A72" s="884">
        <v>43700</v>
      </c>
      <c r="B72" s="240" t="str">
        <f>TiposLancamentos!B19</f>
        <v>Restaurantes</v>
      </c>
      <c r="C72" s="878" t="s">
        <v>7215</v>
      </c>
      <c r="D72" s="63"/>
      <c r="E72" s="231">
        <v>17.399999999999999</v>
      </c>
      <c r="F72" s="899"/>
    </row>
    <row r="73" spans="1:6" ht="14.25" thickBot="1">
      <c r="A73" s="884"/>
      <c r="B73" s="240"/>
      <c r="C73" s="878"/>
      <c r="D73" s="63"/>
      <c r="E73" s="231"/>
      <c r="F73" s="899"/>
    </row>
    <row r="74" spans="1:6">
      <c r="A74" s="1032"/>
      <c r="B74" s="1230"/>
      <c r="C74" s="906" t="s">
        <v>15303</v>
      </c>
      <c r="D74" s="896"/>
      <c r="E74" s="925"/>
      <c r="F74" s="1034">
        <f>SUM(E68:E71)</f>
        <v>0</v>
      </c>
    </row>
    <row r="75" spans="1:6">
      <c r="A75" s="884"/>
      <c r="B75" s="240"/>
      <c r="C75" s="878"/>
      <c r="D75" s="63"/>
      <c r="E75" s="231"/>
      <c r="F75" s="899"/>
    </row>
    <row r="76" spans="1:6">
      <c r="A76" s="884">
        <v>43719</v>
      </c>
      <c r="B76" s="240" t="str">
        <f>TiposLancamentos!B19</f>
        <v>Restaurantes</v>
      </c>
      <c r="C76" s="878" t="s">
        <v>15304</v>
      </c>
      <c r="D76" s="63"/>
      <c r="E76" s="231">
        <v>22.2</v>
      </c>
      <c r="F76" s="899"/>
    </row>
    <row r="77" spans="1:6">
      <c r="A77" s="884"/>
      <c r="B77" s="240"/>
      <c r="C77" s="878"/>
      <c r="D77" s="63"/>
      <c r="E77" s="231"/>
      <c r="F77" s="899"/>
    </row>
    <row r="78" spans="1:6">
      <c r="A78" s="934"/>
      <c r="B78" s="243"/>
      <c r="C78" s="389" t="s">
        <v>10</v>
      </c>
      <c r="D78" s="146"/>
      <c r="E78" s="1190"/>
      <c r="F78" s="935"/>
    </row>
    <row r="79" spans="1:6" ht="14.25" thickBot="1">
      <c r="A79" s="884"/>
      <c r="B79" s="240"/>
      <c r="C79" s="878"/>
      <c r="D79" s="63"/>
      <c r="E79" s="231"/>
      <c r="F79" s="899"/>
    </row>
    <row r="80" spans="1:6">
      <c r="A80" s="1032"/>
      <c r="B80" s="1230"/>
      <c r="C80" s="906" t="s">
        <v>13870</v>
      </c>
      <c r="D80" s="896"/>
      <c r="E80" s="925"/>
      <c r="F80" s="1034">
        <f>SUM(E76:E78)</f>
        <v>22.2</v>
      </c>
    </row>
    <row r="81" spans="1:7">
      <c r="A81" s="884">
        <v>43739</v>
      </c>
      <c r="B81" s="240" t="str">
        <f>TiposLancamentos!B15</f>
        <v>Cartões de Crédito</v>
      </c>
      <c r="C81" s="878" t="s">
        <v>1874</v>
      </c>
      <c r="D81" s="63">
        <v>39.6</v>
      </c>
      <c r="E81" s="231"/>
      <c r="F81" s="899"/>
      <c r="G81" s="3"/>
    </row>
    <row r="82" spans="1:7">
      <c r="A82" s="934"/>
      <c r="B82" s="243"/>
      <c r="C82" s="389" t="s">
        <v>10</v>
      </c>
      <c r="D82" s="146"/>
      <c r="E82" s="1190"/>
      <c r="F82" s="935"/>
      <c r="G82" s="3"/>
    </row>
    <row r="83" spans="1:7">
      <c r="A83" s="884">
        <v>43764</v>
      </c>
      <c r="B83" s="240" t="str">
        <f>TiposLancamentos!B57</f>
        <v>Informática</v>
      </c>
      <c r="C83" s="878" t="s">
        <v>15305</v>
      </c>
      <c r="D83" s="63"/>
      <c r="E83" s="231">
        <v>3.9</v>
      </c>
      <c r="F83" s="899"/>
      <c r="G83" s="3"/>
    </row>
    <row r="84" spans="1:7" ht="14.25" thickBot="1">
      <c r="A84" s="884">
        <v>43764</v>
      </c>
      <c r="B84" s="240" t="str">
        <f>TiposLancamentos!B57</f>
        <v>Informática</v>
      </c>
      <c r="C84" s="878" t="s">
        <v>15306</v>
      </c>
      <c r="D84" s="63"/>
      <c r="E84" s="231">
        <v>10.9</v>
      </c>
      <c r="F84" s="899"/>
      <c r="G84" s="3"/>
    </row>
    <row r="85" spans="1:7">
      <c r="A85" s="1032"/>
      <c r="B85" s="1230"/>
      <c r="C85" s="906" t="s">
        <v>13874</v>
      </c>
      <c r="D85" s="896"/>
      <c r="E85" s="925"/>
      <c r="F85" s="1034">
        <f>SUM(E79:E81)</f>
        <v>0</v>
      </c>
      <c r="G85" s="3"/>
    </row>
    <row r="86" spans="1:7">
      <c r="A86" s="934"/>
      <c r="B86" s="243"/>
      <c r="C86" s="389" t="s">
        <v>10</v>
      </c>
      <c r="D86" s="146"/>
      <c r="E86" s="1190"/>
      <c r="F86" s="935"/>
      <c r="G86" s="3"/>
    </row>
    <row r="87" spans="1:7">
      <c r="A87" s="884">
        <v>43797</v>
      </c>
      <c r="B87" s="240" t="str">
        <f>TiposLancamentos!B54</f>
        <v>Metro</v>
      </c>
      <c r="C87" s="878" t="s">
        <v>11221</v>
      </c>
      <c r="D87" s="63"/>
      <c r="E87" s="231">
        <v>50</v>
      </c>
      <c r="F87" s="899"/>
      <c r="G87" s="3"/>
    </row>
    <row r="88" spans="1:7" ht="14.25" thickBot="1">
      <c r="A88" s="884">
        <v>43797</v>
      </c>
      <c r="B88" s="240" t="str">
        <f>TiposLancamentos!B73</f>
        <v>Cursos</v>
      </c>
      <c r="C88" s="878" t="s">
        <v>15307</v>
      </c>
      <c r="D88" s="63"/>
      <c r="E88" s="231">
        <v>53.32</v>
      </c>
      <c r="F88" s="899">
        <v>159.91999999999999</v>
      </c>
      <c r="G88" s="3"/>
    </row>
    <row r="89" spans="1:7">
      <c r="A89" s="1032"/>
      <c r="B89" s="1230"/>
      <c r="C89" s="906" t="s">
        <v>13878</v>
      </c>
      <c r="D89" s="896"/>
      <c r="E89" s="925"/>
      <c r="F89" s="1034">
        <f>SUM(E83:E85)</f>
        <v>14.8</v>
      </c>
      <c r="G89" s="3"/>
    </row>
    <row r="90" spans="1:7">
      <c r="A90" s="884">
        <v>43800</v>
      </c>
      <c r="B90" s="240" t="str">
        <f>TiposLancamentos!B15</f>
        <v>Cartões de Crédito</v>
      </c>
      <c r="C90" s="878" t="s">
        <v>1874</v>
      </c>
      <c r="D90" s="63">
        <v>14.8</v>
      </c>
      <c r="E90" s="231"/>
      <c r="F90" s="899"/>
      <c r="G90" s="3"/>
    </row>
    <row r="91" spans="1:7">
      <c r="A91" s="884">
        <v>43804</v>
      </c>
      <c r="B91" s="240" t="str">
        <f>TiposLancamentos!B73</f>
        <v>Cursos</v>
      </c>
      <c r="C91" s="878" t="s">
        <v>15308</v>
      </c>
      <c r="D91" s="63"/>
      <c r="E91" s="231">
        <v>19.989999999999998</v>
      </c>
      <c r="F91" s="899"/>
      <c r="G91" s="3"/>
    </row>
    <row r="92" spans="1:7">
      <c r="A92" s="884">
        <v>43805</v>
      </c>
      <c r="B92" s="240" t="str">
        <f>TiposLancamentos!B54</f>
        <v>Metro</v>
      </c>
      <c r="C92" s="878" t="s">
        <v>11221</v>
      </c>
      <c r="D92" s="63"/>
      <c r="E92" s="231">
        <v>50</v>
      </c>
      <c r="F92" s="899"/>
      <c r="G92" s="3"/>
    </row>
    <row r="93" spans="1:7">
      <c r="A93" s="884">
        <v>43808</v>
      </c>
      <c r="B93" s="240" t="str">
        <f>TiposLancamentos!B19</f>
        <v>Restaurantes</v>
      </c>
      <c r="C93" s="878" t="s">
        <v>11101</v>
      </c>
      <c r="D93" s="63"/>
      <c r="E93" s="231">
        <v>52</v>
      </c>
      <c r="F93" s="899"/>
      <c r="G93" s="3"/>
    </row>
    <row r="94" spans="1:7" ht="14.25" customHeight="1">
      <c r="A94" s="884">
        <v>43812</v>
      </c>
      <c r="B94" s="240" t="str">
        <f>TiposLancamentos!B19</f>
        <v>Restaurantes</v>
      </c>
      <c r="C94" s="878" t="s">
        <v>11261</v>
      </c>
      <c r="D94" s="63"/>
      <c r="E94" s="231">
        <v>54</v>
      </c>
      <c r="F94" s="899"/>
      <c r="G94" s="3"/>
    </row>
    <row r="95" spans="1:7" ht="14.25" customHeight="1">
      <c r="A95" s="884">
        <v>43818</v>
      </c>
      <c r="B95" s="240" t="str">
        <f>TiposLancamentos!B54</f>
        <v>Metro</v>
      </c>
      <c r="C95" s="878" t="s">
        <v>11221</v>
      </c>
      <c r="D95" s="63"/>
      <c r="E95" s="231">
        <v>50</v>
      </c>
      <c r="F95" s="899"/>
      <c r="G95" s="3"/>
    </row>
    <row r="96" spans="1:7">
      <c r="A96" s="934"/>
      <c r="B96" s="243"/>
      <c r="C96" s="389" t="s">
        <v>10</v>
      </c>
      <c r="D96" s="146"/>
      <c r="E96" s="1190"/>
      <c r="F96" s="935"/>
      <c r="G96" s="1094" t="s">
        <v>11</v>
      </c>
    </row>
    <row r="97" spans="1:7">
      <c r="A97" s="884">
        <v>43824</v>
      </c>
      <c r="B97" s="240" t="str">
        <f>TiposLancamentos!B54</f>
        <v>Metro</v>
      </c>
      <c r="C97" s="878" t="s">
        <v>11221</v>
      </c>
      <c r="D97" s="63"/>
      <c r="E97" s="231">
        <v>50</v>
      </c>
      <c r="F97" s="899"/>
      <c r="G97" s="3"/>
    </row>
    <row r="98" spans="1:7">
      <c r="A98" s="884">
        <v>43827</v>
      </c>
      <c r="B98" s="240" t="str">
        <f>TiposLancamentos!B45</f>
        <v>Online Services</v>
      </c>
      <c r="C98" s="878" t="s">
        <v>1894</v>
      </c>
      <c r="D98" s="63"/>
      <c r="E98" s="231">
        <v>32.9</v>
      </c>
      <c r="F98" s="899"/>
      <c r="G98" s="3"/>
    </row>
    <row r="99" spans="1:7">
      <c r="A99" s="884">
        <v>43827</v>
      </c>
      <c r="B99" s="240" t="str">
        <f>TiposLancamentos!B73</f>
        <v>Cursos</v>
      </c>
      <c r="C99" s="878" t="s">
        <v>15309</v>
      </c>
      <c r="D99" s="63"/>
      <c r="E99" s="231">
        <f>F99/3</f>
        <v>53.306666666666665</v>
      </c>
      <c r="F99" s="899">
        <v>159.91999999999999</v>
      </c>
      <c r="G99" s="3"/>
    </row>
    <row r="100" spans="1:7">
      <c r="A100" s="884">
        <v>43827</v>
      </c>
      <c r="B100" s="240" t="str">
        <f>TiposLancamentos!B19</f>
        <v>Restaurantes</v>
      </c>
      <c r="C100" s="878" t="s">
        <v>15310</v>
      </c>
      <c r="D100" s="63"/>
      <c r="E100" s="231">
        <v>81</v>
      </c>
      <c r="F100" s="899"/>
      <c r="G100" s="3"/>
    </row>
    <row r="101" spans="1:7" ht="14.25" thickBot="1">
      <c r="A101" s="884">
        <v>43828</v>
      </c>
      <c r="B101" s="240" t="str">
        <f>TiposLancamentos!B5</f>
        <v>Supermercado</v>
      </c>
      <c r="C101" s="878" t="s">
        <v>6234</v>
      </c>
      <c r="D101" s="63"/>
      <c r="E101" s="231">
        <v>28.94</v>
      </c>
      <c r="F101" s="899"/>
      <c r="G101" s="3"/>
    </row>
    <row r="102" spans="1:7">
      <c r="A102" s="1032"/>
      <c r="B102" s="1230"/>
      <c r="C102" s="906" t="s">
        <v>15311</v>
      </c>
      <c r="D102" s="896"/>
      <c r="E102" s="925"/>
      <c r="F102" s="1034">
        <f>SUM(E87:E95)</f>
        <v>329.31</v>
      </c>
      <c r="G102" s="3"/>
    </row>
    <row r="103" spans="1:7">
      <c r="A103" s="884">
        <v>43831</v>
      </c>
      <c r="B103" s="240" t="str">
        <f>TiposLancamentos!B19</f>
        <v>Restaurantes</v>
      </c>
      <c r="C103" s="878" t="s">
        <v>15312</v>
      </c>
      <c r="D103" s="63"/>
      <c r="E103" s="231">
        <v>37</v>
      </c>
      <c r="F103" s="899"/>
      <c r="G103" s="3"/>
    </row>
    <row r="104" spans="1:7">
      <c r="A104" s="884">
        <v>43832</v>
      </c>
      <c r="B104" s="240" t="str">
        <f>TiposLancamentos!B15</f>
        <v>Cartões de Crédito</v>
      </c>
      <c r="C104" s="878" t="s">
        <v>1874</v>
      </c>
      <c r="D104" s="63">
        <v>329.31</v>
      </c>
      <c r="E104" s="231"/>
      <c r="F104" s="899"/>
      <c r="G104" s="3"/>
    </row>
    <row r="105" spans="1:7">
      <c r="A105" s="884">
        <v>43832</v>
      </c>
      <c r="B105" s="240" t="str">
        <f>TiposLancamentos!B13</f>
        <v>Moradia</v>
      </c>
      <c r="C105" s="878" t="s">
        <v>15313</v>
      </c>
      <c r="D105" s="63"/>
      <c r="E105" s="231">
        <v>6</v>
      </c>
      <c r="F105" s="899"/>
      <c r="G105" s="3"/>
    </row>
    <row r="106" spans="1:7">
      <c r="A106" s="884">
        <v>43840</v>
      </c>
      <c r="B106" s="240" t="str">
        <f>TiposLancamentos!B19</f>
        <v>Restaurantes</v>
      </c>
      <c r="C106" s="878" t="s">
        <v>10955</v>
      </c>
      <c r="D106" s="63"/>
      <c r="E106" s="231">
        <v>44</v>
      </c>
      <c r="F106" s="899"/>
      <c r="G106" s="3"/>
    </row>
    <row r="107" spans="1:7">
      <c r="A107" s="884">
        <v>43844</v>
      </c>
      <c r="B107" s="240" t="str">
        <f>TiposLancamentos!B19</f>
        <v>Restaurantes</v>
      </c>
      <c r="C107" s="878" t="s">
        <v>10955</v>
      </c>
      <c r="D107" s="63"/>
      <c r="E107" s="231">
        <v>39</v>
      </c>
      <c r="F107" s="899"/>
      <c r="G107" s="3"/>
    </row>
    <row r="108" spans="1:7">
      <c r="A108" s="884">
        <v>43845</v>
      </c>
      <c r="B108" s="240" t="str">
        <f>TiposLancamentos!B54</f>
        <v>Metro</v>
      </c>
      <c r="C108" s="878" t="s">
        <v>11221</v>
      </c>
      <c r="D108" s="63"/>
      <c r="E108" s="231">
        <v>50</v>
      </c>
      <c r="F108" s="899"/>
      <c r="G108" s="3"/>
    </row>
    <row r="109" spans="1:7">
      <c r="A109" s="884">
        <v>43849</v>
      </c>
      <c r="B109" s="240" t="str">
        <f>TiposLancamentos!B19</f>
        <v>Restaurantes</v>
      </c>
      <c r="C109" s="878" t="s">
        <v>15314</v>
      </c>
      <c r="D109" s="63"/>
      <c r="E109" s="231">
        <v>54</v>
      </c>
      <c r="F109" s="899"/>
      <c r="G109" s="3"/>
    </row>
    <row r="110" spans="1:7">
      <c r="A110" s="884">
        <v>43853</v>
      </c>
      <c r="B110" s="240" t="str">
        <f>TiposLancamentos!B78</f>
        <v>Diferenças</v>
      </c>
      <c r="C110" s="878" t="s">
        <v>4784</v>
      </c>
      <c r="D110" s="63">
        <v>0.03</v>
      </c>
      <c r="E110" s="231"/>
      <c r="F110" s="899"/>
      <c r="G110" s="3"/>
    </row>
    <row r="111" spans="1:7">
      <c r="A111" s="934"/>
      <c r="B111" s="243"/>
      <c r="C111" s="389" t="s">
        <v>10</v>
      </c>
      <c r="D111" s="146"/>
      <c r="E111" s="1190"/>
      <c r="F111" s="935"/>
      <c r="G111" s="1094" t="s">
        <v>11</v>
      </c>
    </row>
    <row r="112" spans="1:7">
      <c r="A112" s="884">
        <v>43853</v>
      </c>
      <c r="B112" s="240" t="str">
        <f>TiposLancamentos!B54</f>
        <v>Metro</v>
      </c>
      <c r="C112" s="878" t="s">
        <v>11221</v>
      </c>
      <c r="D112" s="63"/>
      <c r="E112" s="231">
        <v>50</v>
      </c>
      <c r="F112" s="899"/>
      <c r="G112" s="3"/>
    </row>
    <row r="113" spans="1:7">
      <c r="A113" s="884">
        <v>43855</v>
      </c>
      <c r="B113" s="240" t="str">
        <f>TiposLancamentos!B19</f>
        <v>Restaurantes</v>
      </c>
      <c r="C113" s="878" t="s">
        <v>15315</v>
      </c>
      <c r="D113" s="63"/>
      <c r="E113" s="231">
        <v>54</v>
      </c>
      <c r="F113" s="899"/>
      <c r="G113" s="3"/>
    </row>
    <row r="114" spans="1:7">
      <c r="A114" s="884">
        <v>43858</v>
      </c>
      <c r="B114" s="240" t="str">
        <f>TiposLancamentos!B16</f>
        <v>Cristiane</v>
      </c>
      <c r="C114" s="878" t="s">
        <v>15316</v>
      </c>
      <c r="D114" s="63"/>
      <c r="E114" s="231">
        <f>F114/6</f>
        <v>110.66666666666667</v>
      </c>
      <c r="F114" s="899">
        <v>664</v>
      </c>
      <c r="G114" s="3"/>
    </row>
    <row r="115" spans="1:7">
      <c r="A115" s="884">
        <v>43858</v>
      </c>
      <c r="B115" s="240" t="str">
        <f>TiposLancamentos!B73</f>
        <v>Cursos</v>
      </c>
      <c r="C115" s="878" t="s">
        <v>15317</v>
      </c>
      <c r="D115" s="63"/>
      <c r="E115" s="231">
        <f>F115/3</f>
        <v>53.306666666666665</v>
      </c>
      <c r="F115" s="899">
        <v>159.91999999999999</v>
      </c>
      <c r="G115" s="3"/>
    </row>
    <row r="116" spans="1:7">
      <c r="A116" s="884">
        <v>43858</v>
      </c>
      <c r="B116" s="240" t="str">
        <f>TiposLancamentos!B45</f>
        <v>Online Services</v>
      </c>
      <c r="C116" s="878" t="s">
        <v>1894</v>
      </c>
      <c r="D116" s="63"/>
      <c r="E116" s="231">
        <v>32.9</v>
      </c>
      <c r="F116" s="899"/>
      <c r="G116" s="3"/>
    </row>
    <row r="117" spans="1:7">
      <c r="A117" s="884">
        <v>43860</v>
      </c>
      <c r="B117" s="240" t="str">
        <f>TiposLancamentos!B19</f>
        <v>Restaurantes</v>
      </c>
      <c r="C117" s="878" t="s">
        <v>15315</v>
      </c>
      <c r="D117" s="63"/>
      <c r="E117" s="231">
        <v>54</v>
      </c>
      <c r="F117" s="899"/>
      <c r="G117" s="3"/>
    </row>
    <row r="118" spans="1:7" ht="14.25" thickBot="1">
      <c r="A118" s="884">
        <v>43861</v>
      </c>
      <c r="B118" s="240" t="str">
        <f>TiposLancamentos!B19</f>
        <v>Restaurantes</v>
      </c>
      <c r="C118" s="878" t="s">
        <v>15318</v>
      </c>
      <c r="D118" s="63"/>
      <c r="E118" s="231">
        <v>70</v>
      </c>
      <c r="F118" s="899"/>
      <c r="G118" s="3"/>
    </row>
    <row r="119" spans="1:7">
      <c r="A119" s="1032"/>
      <c r="B119" s="1230"/>
      <c r="C119" s="906" t="s">
        <v>13883</v>
      </c>
      <c r="D119" s="896"/>
      <c r="E119" s="925"/>
      <c r="F119" s="1034">
        <f>SUM(E97:E110)-D110</f>
        <v>476.11666666666667</v>
      </c>
      <c r="G119" s="3"/>
    </row>
    <row r="120" spans="1:7">
      <c r="A120" s="884">
        <v>43864</v>
      </c>
      <c r="B120" s="240" t="str">
        <f>TiposLancamentos!B15</f>
        <v>Cartões de Crédito</v>
      </c>
      <c r="C120" s="878" t="s">
        <v>1874</v>
      </c>
      <c r="D120" s="63">
        <v>476.12</v>
      </c>
      <c r="E120" s="231"/>
      <c r="F120" s="899">
        <f>F119-F102</f>
        <v>146.80666666666667</v>
      </c>
      <c r="G120" s="3"/>
    </row>
    <row r="121" spans="1:7">
      <c r="A121" s="884">
        <v>43870</v>
      </c>
      <c r="B121" s="240" t="str">
        <f>TiposLancamentos!B26</f>
        <v>LIVROS</v>
      </c>
      <c r="C121" s="878" t="s">
        <v>15319</v>
      </c>
      <c r="D121" s="63"/>
      <c r="E121" s="231">
        <f>F121/3</f>
        <v>125.38333333333333</v>
      </c>
      <c r="F121" s="899">
        <v>376.15</v>
      </c>
      <c r="G121" s="3"/>
    </row>
    <row r="122" spans="1:7">
      <c r="A122" s="884">
        <v>43872</v>
      </c>
      <c r="B122" s="240" t="str">
        <f>TiposLancamentos!B19</f>
        <v>Restaurantes</v>
      </c>
      <c r="C122" s="878" t="s">
        <v>11261</v>
      </c>
      <c r="D122" s="63"/>
      <c r="E122" s="231">
        <v>48</v>
      </c>
      <c r="F122" s="899"/>
      <c r="G122" s="3"/>
    </row>
    <row r="123" spans="1:7">
      <c r="A123" s="884">
        <v>43875</v>
      </c>
      <c r="B123" s="240" t="str">
        <f>TiposLancamentos!B19</f>
        <v>Restaurantes</v>
      </c>
      <c r="C123" s="878" t="s">
        <v>11261</v>
      </c>
      <c r="D123" s="63"/>
      <c r="E123" s="231">
        <v>63</v>
      </c>
      <c r="F123" s="899"/>
      <c r="G123" s="3"/>
    </row>
    <row r="124" spans="1:7">
      <c r="A124" s="884">
        <v>43881</v>
      </c>
      <c r="B124" s="240" t="str">
        <f>TiposLancamentos!B78</f>
        <v>Diferenças</v>
      </c>
      <c r="C124" s="878" t="s">
        <v>15320</v>
      </c>
      <c r="D124" s="63"/>
      <c r="E124" s="231">
        <v>0.05</v>
      </c>
      <c r="F124" s="899"/>
      <c r="G124" s="3"/>
    </row>
    <row r="125" spans="1:7">
      <c r="A125" s="934"/>
      <c r="B125" s="243"/>
      <c r="C125" s="389" t="s">
        <v>10</v>
      </c>
      <c r="D125" s="146"/>
      <c r="E125" s="1190"/>
      <c r="F125" s="935"/>
      <c r="G125" s="1094" t="s">
        <v>11</v>
      </c>
    </row>
    <row r="126" spans="1:7">
      <c r="A126" s="884">
        <v>43881</v>
      </c>
      <c r="B126" s="240" t="str">
        <f>TiposLancamentos!B19</f>
        <v>Restaurantes</v>
      </c>
      <c r="C126" s="878" t="s">
        <v>11261</v>
      </c>
      <c r="D126" s="63"/>
      <c r="E126" s="231">
        <v>48</v>
      </c>
      <c r="F126" s="899"/>
      <c r="G126" s="1152" t="s">
        <v>9</v>
      </c>
    </row>
    <row r="127" spans="1:7">
      <c r="A127" s="884">
        <v>43882</v>
      </c>
      <c r="B127" s="240" t="str">
        <f>TiposLancamentos!B72</f>
        <v>Presentes</v>
      </c>
      <c r="C127" s="878" t="s">
        <v>15321</v>
      </c>
      <c r="D127" s="63"/>
      <c r="E127" s="231">
        <v>180</v>
      </c>
      <c r="F127" s="899"/>
      <c r="G127" s="1152" t="s">
        <v>9</v>
      </c>
    </row>
    <row r="128" spans="1:7">
      <c r="A128" s="884">
        <v>43883</v>
      </c>
      <c r="B128" s="240" t="str">
        <f>TiposLancamentos!B16</f>
        <v>Cristiane</v>
      </c>
      <c r="C128" s="878" t="s">
        <v>15322</v>
      </c>
      <c r="D128" s="63"/>
      <c r="E128" s="231">
        <v>33.6</v>
      </c>
      <c r="F128" s="899"/>
      <c r="G128" s="1152" t="s">
        <v>9</v>
      </c>
    </row>
    <row r="129" spans="1:7">
      <c r="A129" s="884">
        <v>43883</v>
      </c>
      <c r="B129" s="240" t="str">
        <f>TiposLancamentos!B5</f>
        <v>Supermercado</v>
      </c>
      <c r="C129" s="878" t="s">
        <v>15323</v>
      </c>
      <c r="D129" s="63"/>
      <c r="E129" s="231">
        <v>94.22</v>
      </c>
      <c r="F129" s="899"/>
      <c r="G129" s="1152" t="s">
        <v>9</v>
      </c>
    </row>
    <row r="130" spans="1:7">
      <c r="A130" s="884">
        <v>43886</v>
      </c>
      <c r="B130" s="240" t="str">
        <f>TiposLancamentos!B5</f>
        <v>Supermercado</v>
      </c>
      <c r="C130" s="878" t="s">
        <v>15323</v>
      </c>
      <c r="D130" s="63"/>
      <c r="E130" s="231">
        <v>208.8</v>
      </c>
      <c r="F130" s="899"/>
      <c r="G130" s="1152" t="s">
        <v>9</v>
      </c>
    </row>
    <row r="131" spans="1:7">
      <c r="A131" s="884">
        <v>43883</v>
      </c>
      <c r="B131" s="240" t="str">
        <f>TiposLancamentos!B22</f>
        <v>Combustivel</v>
      </c>
      <c r="C131" s="878" t="s">
        <v>1880</v>
      </c>
      <c r="D131" s="63"/>
      <c r="E131" s="231">
        <v>181.31</v>
      </c>
      <c r="F131" s="899"/>
      <c r="G131" s="1152" t="s">
        <v>9</v>
      </c>
    </row>
    <row r="132" spans="1:7">
      <c r="A132" s="884">
        <v>43883</v>
      </c>
      <c r="B132" s="240" t="str">
        <f>TiposLancamentos!B19</f>
        <v>Restaurantes</v>
      </c>
      <c r="C132" s="878" t="s">
        <v>15324</v>
      </c>
      <c r="D132" s="63"/>
      <c r="E132" s="231">
        <v>88</v>
      </c>
      <c r="F132" s="899"/>
      <c r="G132" s="1152" t="s">
        <v>9</v>
      </c>
    </row>
    <row r="133" spans="1:7">
      <c r="A133" s="884">
        <v>43886</v>
      </c>
      <c r="B133" s="240" t="str">
        <f>TiposLancamentos!B19</f>
        <v>Restaurantes</v>
      </c>
      <c r="C133" s="878" t="s">
        <v>7744</v>
      </c>
      <c r="D133" s="63"/>
      <c r="E133" s="231">
        <v>12.5</v>
      </c>
      <c r="F133" s="899"/>
      <c r="G133" s="1152" t="s">
        <v>9</v>
      </c>
    </row>
    <row r="134" spans="1:7">
      <c r="A134" s="884">
        <v>43886</v>
      </c>
      <c r="B134" s="240" t="str">
        <f>TiposLancamentos!B19</f>
        <v>Restaurantes</v>
      </c>
      <c r="C134" s="878" t="s">
        <v>15325</v>
      </c>
      <c r="D134" s="63"/>
      <c r="E134" s="231">
        <v>43.2</v>
      </c>
      <c r="F134" s="899"/>
      <c r="G134" s="1152" t="s">
        <v>9</v>
      </c>
    </row>
    <row r="135" spans="1:7">
      <c r="A135" s="884">
        <v>43886</v>
      </c>
      <c r="B135" s="240" t="str">
        <f>TiposLancamentos!B19</f>
        <v>Restaurantes</v>
      </c>
      <c r="C135" s="878" t="s">
        <v>15326</v>
      </c>
      <c r="D135" s="63"/>
      <c r="E135" s="231">
        <v>96.7</v>
      </c>
      <c r="F135" s="899"/>
      <c r="G135" s="1152" t="s">
        <v>9</v>
      </c>
    </row>
    <row r="136" spans="1:7">
      <c r="A136" s="884">
        <v>43889</v>
      </c>
      <c r="B136" s="240" t="str">
        <f>TiposLancamentos!B45</f>
        <v>Online Services</v>
      </c>
      <c r="C136" s="878" t="s">
        <v>1894</v>
      </c>
      <c r="D136" s="63"/>
      <c r="E136" s="231">
        <v>32.9</v>
      </c>
      <c r="F136" s="899"/>
      <c r="G136" s="1152" t="s">
        <v>9</v>
      </c>
    </row>
    <row r="137" spans="1:7">
      <c r="A137" s="884">
        <v>43889</v>
      </c>
      <c r="B137" s="240" t="str">
        <f>TiposLancamentos!B16</f>
        <v>Cristiane</v>
      </c>
      <c r="C137" s="878" t="s">
        <v>15327</v>
      </c>
      <c r="D137" s="63"/>
      <c r="E137" s="231">
        <v>110.7</v>
      </c>
      <c r="F137" s="899">
        <v>664</v>
      </c>
      <c r="G137" s="1152" t="s">
        <v>9</v>
      </c>
    </row>
    <row r="138" spans="1:7">
      <c r="A138" s="884">
        <v>43889</v>
      </c>
      <c r="B138" s="240" t="str">
        <f>TiposLancamentos!B98</f>
        <v>Restituições</v>
      </c>
      <c r="C138" s="878" t="s">
        <v>15328</v>
      </c>
      <c r="D138" s="63">
        <v>0.2</v>
      </c>
      <c r="E138" s="231"/>
      <c r="F138" s="899"/>
      <c r="G138" s="1152" t="s">
        <v>9</v>
      </c>
    </row>
    <row r="139" spans="1:7" ht="14.25" thickBot="1">
      <c r="A139" s="884">
        <v>43889</v>
      </c>
      <c r="B139" s="240" t="str">
        <f>TiposLancamentos!B19</f>
        <v>Restaurantes</v>
      </c>
      <c r="C139" s="878" t="s">
        <v>15314</v>
      </c>
      <c r="D139" s="63"/>
      <c r="E139" s="231">
        <v>50</v>
      </c>
      <c r="F139" s="899"/>
      <c r="G139" s="1152" t="s">
        <v>9</v>
      </c>
    </row>
    <row r="140" spans="1:7">
      <c r="A140" s="1032"/>
      <c r="B140" s="1230"/>
      <c r="C140" s="906" t="s">
        <v>13885</v>
      </c>
      <c r="D140" s="896"/>
      <c r="E140" s="925"/>
      <c r="F140" s="1034">
        <f>SUM(E112:E124)</f>
        <v>661.30666666666662</v>
      </c>
      <c r="G140" s="3"/>
    </row>
    <row r="141" spans="1:7" s="1345" customFormat="1" ht="15">
      <c r="A141" s="884">
        <v>43892</v>
      </c>
      <c r="B141" s="1340" t="str">
        <f>TiposLancamentos!B15</f>
        <v>Cartões de Crédito</v>
      </c>
      <c r="C141" s="1341" t="s">
        <v>10915</v>
      </c>
      <c r="D141" s="1342">
        <v>661.31</v>
      </c>
      <c r="E141" s="1343"/>
      <c r="F141" s="1344">
        <f>F140-F119</f>
        <v>185.18999999999994</v>
      </c>
      <c r="G141" s="1152" t="s">
        <v>9</v>
      </c>
    </row>
    <row r="142" spans="1:7">
      <c r="A142" s="884">
        <v>43895</v>
      </c>
      <c r="B142" s="240" t="str">
        <f>TiposLancamentos!B13</f>
        <v>Moradia</v>
      </c>
      <c r="C142" s="878" t="s">
        <v>15329</v>
      </c>
      <c r="D142" s="63"/>
      <c r="E142" s="231">
        <v>31.96</v>
      </c>
      <c r="F142" s="899"/>
      <c r="G142" s="1152" t="s">
        <v>9</v>
      </c>
    </row>
    <row r="143" spans="1:7">
      <c r="A143" s="884">
        <v>43896</v>
      </c>
      <c r="B143" s="240" t="str">
        <f>TiposLancamentos!B16</f>
        <v>Cristiane</v>
      </c>
      <c r="C143" s="878" t="s">
        <v>15330</v>
      </c>
      <c r="D143" s="63"/>
      <c r="E143" s="231">
        <v>147.9</v>
      </c>
      <c r="F143" s="899"/>
      <c r="G143" s="1152" t="s">
        <v>9</v>
      </c>
    </row>
    <row r="144" spans="1:7">
      <c r="A144" s="884">
        <v>43896</v>
      </c>
      <c r="B144" s="240" t="str">
        <f>TiposLancamentos!B19</f>
        <v>Restaurantes</v>
      </c>
      <c r="C144" s="878" t="s">
        <v>11101</v>
      </c>
      <c r="D144" s="63"/>
      <c r="E144" s="231">
        <v>63</v>
      </c>
      <c r="F144" s="899"/>
      <c r="G144" s="1152" t="s">
        <v>9</v>
      </c>
    </row>
    <row r="145" spans="1:7">
      <c r="A145" s="884">
        <v>43899</v>
      </c>
      <c r="B145" s="240" t="str">
        <f>TiposLancamentos!B26</f>
        <v>LIVROS</v>
      </c>
      <c r="C145" s="878" t="s">
        <v>15331</v>
      </c>
      <c r="D145" s="63"/>
      <c r="E145" s="231">
        <v>125.39</v>
      </c>
      <c r="F145" s="899">
        <v>376.15</v>
      </c>
      <c r="G145" s="1152" t="s">
        <v>9</v>
      </c>
    </row>
    <row r="146" spans="1:7">
      <c r="A146" s="884">
        <v>43899</v>
      </c>
      <c r="B146" s="240" t="str">
        <f>TiposLancamentos!B98</f>
        <v>Restituições</v>
      </c>
      <c r="C146" s="878" t="s">
        <v>15332</v>
      </c>
      <c r="D146" s="63">
        <v>0.02</v>
      </c>
      <c r="E146" s="231"/>
      <c r="F146" s="899"/>
      <c r="G146" s="1152" t="s">
        <v>9</v>
      </c>
    </row>
    <row r="147" spans="1:7">
      <c r="A147" s="884">
        <v>43901</v>
      </c>
      <c r="B147" s="240" t="str">
        <f>TiposLancamentos!B19</f>
        <v>Restaurantes</v>
      </c>
      <c r="C147" s="878" t="s">
        <v>15333</v>
      </c>
      <c r="D147" s="63"/>
      <c r="E147" s="231">
        <v>63</v>
      </c>
      <c r="F147" s="899"/>
      <c r="G147" s="1152" t="s">
        <v>9</v>
      </c>
    </row>
    <row r="148" spans="1:7">
      <c r="A148" s="884">
        <v>43902</v>
      </c>
      <c r="B148" s="240" t="str">
        <f>TiposLancamentos!B16</f>
        <v>Cristiane</v>
      </c>
      <c r="C148" s="878" t="s">
        <v>15334</v>
      </c>
      <c r="D148" s="63"/>
      <c r="E148" s="231">
        <v>98.19</v>
      </c>
      <c r="F148" s="899"/>
      <c r="G148" s="1152" t="s">
        <v>9</v>
      </c>
    </row>
    <row r="149" spans="1:7">
      <c r="A149" s="884">
        <v>43903</v>
      </c>
      <c r="B149" s="240" t="str">
        <f>TiposLancamentos!B19</f>
        <v>Restaurantes</v>
      </c>
      <c r="C149" s="878" t="s">
        <v>15335</v>
      </c>
      <c r="D149" s="63"/>
      <c r="E149" s="231">
        <v>103.8</v>
      </c>
      <c r="F149" s="899"/>
      <c r="G149" s="1152" t="s">
        <v>9</v>
      </c>
    </row>
    <row r="150" spans="1:7">
      <c r="A150" s="884">
        <v>43905</v>
      </c>
      <c r="B150" s="240" t="str">
        <f>TiposLancamentos!B19</f>
        <v>Restaurantes</v>
      </c>
      <c r="C150" s="878" t="s">
        <v>15336</v>
      </c>
      <c r="D150" s="63"/>
      <c r="E150" s="231">
        <v>52.5</v>
      </c>
      <c r="F150" s="899"/>
      <c r="G150" s="1152" t="s">
        <v>9</v>
      </c>
    </row>
    <row r="151" spans="1:7">
      <c r="A151" s="884">
        <v>43906</v>
      </c>
      <c r="B151" s="240" t="str">
        <f>TiposLancamentos!B5</f>
        <v>Supermercado</v>
      </c>
      <c r="C151" s="878" t="s">
        <v>7552</v>
      </c>
      <c r="D151" s="63"/>
      <c r="E151" s="231">
        <v>105.58</v>
      </c>
      <c r="F151" s="899"/>
      <c r="G151" s="1152" t="s">
        <v>9</v>
      </c>
    </row>
    <row r="152" spans="1:7">
      <c r="A152" s="884">
        <v>43908</v>
      </c>
      <c r="B152" s="240" t="str">
        <f>TiposLancamentos!B5</f>
        <v>Supermercado</v>
      </c>
      <c r="C152" s="878" t="s">
        <v>15337</v>
      </c>
      <c r="D152" s="63"/>
      <c r="E152" s="231">
        <v>344.47</v>
      </c>
      <c r="F152" s="899"/>
      <c r="G152" s="1152" t="s">
        <v>9</v>
      </c>
    </row>
    <row r="153" spans="1:7">
      <c r="A153" s="884">
        <v>43909</v>
      </c>
      <c r="B153" s="240" t="str">
        <f>TiposLancamentos!B19</f>
        <v>Restaurantes</v>
      </c>
      <c r="C153" s="878" t="s">
        <v>15338</v>
      </c>
      <c r="D153" s="63"/>
      <c r="E153" s="231">
        <v>46.9</v>
      </c>
      <c r="F153" s="899"/>
      <c r="G153" s="1152" t="s">
        <v>9</v>
      </c>
    </row>
    <row r="154" spans="1:7">
      <c r="A154" s="934"/>
      <c r="B154" s="243"/>
      <c r="C154" s="389" t="s">
        <v>10</v>
      </c>
      <c r="D154" s="146"/>
      <c r="E154" s="1190"/>
      <c r="F154" s="935"/>
      <c r="G154" s="1094" t="s">
        <v>11</v>
      </c>
    </row>
    <row r="155" spans="1:7">
      <c r="A155" s="884">
        <v>43913</v>
      </c>
      <c r="B155" s="240" t="str">
        <f>TiposLancamentos!B5</f>
        <v>Supermercado</v>
      </c>
      <c r="C155" s="878" t="s">
        <v>7388</v>
      </c>
      <c r="D155" s="63"/>
      <c r="E155" s="231">
        <v>374.91</v>
      </c>
      <c r="F155" s="899"/>
      <c r="G155" s="1152" t="s">
        <v>9</v>
      </c>
    </row>
    <row r="156" spans="1:7">
      <c r="A156" s="884">
        <v>43913</v>
      </c>
      <c r="B156" s="240" t="str">
        <f>TiposLancamentos!B56</f>
        <v>Farmácia</v>
      </c>
      <c r="C156" s="878" t="s">
        <v>15339</v>
      </c>
      <c r="D156" s="63"/>
      <c r="E156" s="231">
        <v>139.88</v>
      </c>
      <c r="F156" s="899"/>
      <c r="G156" s="1152" t="s">
        <v>9</v>
      </c>
    </row>
    <row r="157" spans="1:7">
      <c r="A157" s="884">
        <v>43916</v>
      </c>
      <c r="B157" s="240" t="str">
        <f>TiposLancamentos!B19</f>
        <v>Restaurantes</v>
      </c>
      <c r="C157" s="878" t="s">
        <v>15315</v>
      </c>
      <c r="D157" s="63"/>
      <c r="E157" s="231">
        <v>50</v>
      </c>
      <c r="F157" s="899"/>
      <c r="G157" s="1152" t="s">
        <v>9</v>
      </c>
    </row>
    <row r="158" spans="1:7">
      <c r="A158" s="884">
        <v>43917</v>
      </c>
      <c r="B158" s="240" t="str">
        <f>TiposLancamentos!B57</f>
        <v>Informática</v>
      </c>
      <c r="C158" s="878" t="s">
        <v>15340</v>
      </c>
      <c r="D158" s="63"/>
      <c r="E158" s="231">
        <v>3.9</v>
      </c>
      <c r="F158" s="899"/>
      <c r="G158" s="1152" t="s">
        <v>9</v>
      </c>
    </row>
    <row r="159" spans="1:7">
      <c r="A159" s="884">
        <v>43918</v>
      </c>
      <c r="B159" s="240" t="str">
        <f>TiposLancamentos!B45</f>
        <v>Online Services</v>
      </c>
      <c r="C159" s="878" t="s">
        <v>1894</v>
      </c>
      <c r="D159" s="63"/>
      <c r="E159" s="231">
        <v>32.9</v>
      </c>
      <c r="F159" s="899"/>
      <c r="G159" s="1152" t="s">
        <v>9</v>
      </c>
    </row>
    <row r="160" spans="1:7">
      <c r="A160" s="884">
        <v>43918</v>
      </c>
      <c r="B160" s="240" t="str">
        <f>TiposLancamentos!B16</f>
        <v>Cristiane</v>
      </c>
      <c r="C160" s="878" t="s">
        <v>15341</v>
      </c>
      <c r="D160" s="63"/>
      <c r="E160" s="231">
        <v>110.7</v>
      </c>
      <c r="F160" s="899">
        <v>664</v>
      </c>
      <c r="G160" s="1152" t="s">
        <v>9</v>
      </c>
    </row>
    <row r="161" spans="1:7" ht="14.25" thickBot="1">
      <c r="A161" s="884">
        <v>43919</v>
      </c>
      <c r="B161" s="240" t="str">
        <f>TiposLancamentos!B19</f>
        <v>Restaurantes</v>
      </c>
      <c r="C161" s="878" t="s">
        <v>15342</v>
      </c>
      <c r="D161" s="63"/>
      <c r="E161" s="231">
        <v>50</v>
      </c>
      <c r="F161" s="899"/>
      <c r="G161" s="1152" t="s">
        <v>9</v>
      </c>
    </row>
    <row r="162" spans="1:7">
      <c r="A162" s="1032"/>
      <c r="B162" s="1230"/>
      <c r="C162" s="906" t="s">
        <v>13889</v>
      </c>
      <c r="D162" s="896"/>
      <c r="E162" s="925"/>
      <c r="F162" s="1034">
        <f>SUM(E126:E153)-(D146+D138)</f>
        <v>2362.4000000000005</v>
      </c>
      <c r="G162" s="3"/>
    </row>
    <row r="163" spans="1:7">
      <c r="A163" s="884">
        <v>43922</v>
      </c>
      <c r="B163" s="240" t="str">
        <f>TiposLancamentos!B15</f>
        <v>Cartões de Crédito</v>
      </c>
      <c r="C163" s="878" t="s">
        <v>1874</v>
      </c>
      <c r="D163" s="63">
        <v>2362.4</v>
      </c>
      <c r="E163" s="231"/>
      <c r="F163" s="899">
        <f>F162-F140</f>
        <v>1701.0933333333339</v>
      </c>
      <c r="G163" s="1152" t="s">
        <v>9</v>
      </c>
    </row>
    <row r="164" spans="1:7">
      <c r="A164" s="884">
        <v>43926</v>
      </c>
      <c r="B164" s="240" t="str">
        <f>TiposLancamentos!B19</f>
        <v>Restaurantes</v>
      </c>
      <c r="C164" s="878" t="s">
        <v>15343</v>
      </c>
      <c r="D164" s="63"/>
      <c r="E164" s="231">
        <v>59.7</v>
      </c>
      <c r="F164" s="899"/>
      <c r="G164" s="1152" t="s">
        <v>9</v>
      </c>
    </row>
    <row r="165" spans="1:7">
      <c r="A165" s="884">
        <v>43930</v>
      </c>
      <c r="B165" s="240" t="str">
        <f>TiposLancamentos!B26</f>
        <v>LIVROS</v>
      </c>
      <c r="C165" s="878" t="s">
        <v>15344</v>
      </c>
      <c r="D165" s="63"/>
      <c r="E165" s="231">
        <v>125.39</v>
      </c>
      <c r="F165" s="899">
        <v>376.15</v>
      </c>
      <c r="G165" s="1152" t="s">
        <v>9</v>
      </c>
    </row>
    <row r="166" spans="1:7">
      <c r="A166" s="884">
        <v>43941</v>
      </c>
      <c r="B166" s="240" t="str">
        <f>TiposLancamentos!B57</f>
        <v>Informática</v>
      </c>
      <c r="C166" s="878" t="s">
        <v>15345</v>
      </c>
      <c r="D166" s="63"/>
      <c r="E166" s="231">
        <v>7.9</v>
      </c>
      <c r="F166" s="899"/>
      <c r="G166" s="1152" t="s">
        <v>9</v>
      </c>
    </row>
    <row r="167" spans="1:7">
      <c r="A167" s="934"/>
      <c r="B167" s="243"/>
      <c r="C167" s="389" t="s">
        <v>10</v>
      </c>
      <c r="D167" s="146"/>
      <c r="E167" s="1190"/>
      <c r="F167" s="935"/>
      <c r="G167" s="1094" t="s">
        <v>11</v>
      </c>
    </row>
    <row r="168" spans="1:7">
      <c r="A168" s="884">
        <v>43943</v>
      </c>
      <c r="B168" s="240" t="str">
        <f>TiposLancamentos!B16</f>
        <v>Cristiane</v>
      </c>
      <c r="C168" s="878" t="s">
        <v>15346</v>
      </c>
      <c r="D168" s="63"/>
      <c r="E168" s="231">
        <f>F168/10</f>
        <v>269.89999999999998</v>
      </c>
      <c r="F168" s="899">
        <v>2699</v>
      </c>
      <c r="G168" s="1152" t="s">
        <v>9</v>
      </c>
    </row>
    <row r="169" spans="1:7">
      <c r="A169" s="884">
        <v>43943</v>
      </c>
      <c r="B169" s="240" t="str">
        <f>TiposLancamentos!B50</f>
        <v>Guitarra</v>
      </c>
      <c r="C169" s="878" t="s">
        <v>15347</v>
      </c>
      <c r="D169" s="63"/>
      <c r="E169" s="231">
        <v>89.68</v>
      </c>
      <c r="F169" s="899">
        <f>E169*6</f>
        <v>538.08000000000004</v>
      </c>
      <c r="G169" s="1152" t="s">
        <v>9</v>
      </c>
    </row>
    <row r="170" spans="1:7">
      <c r="A170" s="884">
        <v>43943</v>
      </c>
      <c r="B170" s="240" t="str">
        <f>TiposLancamentos!B50</f>
        <v>Guitarra</v>
      </c>
      <c r="C170" s="878" t="s">
        <v>15348</v>
      </c>
      <c r="D170" s="63"/>
      <c r="E170" s="231">
        <v>37.979999999999997</v>
      </c>
      <c r="F170" s="899">
        <f>E170*3</f>
        <v>113.94</v>
      </c>
      <c r="G170" s="1152" t="s">
        <v>9</v>
      </c>
    </row>
    <row r="171" spans="1:7">
      <c r="A171" s="884">
        <v>43946</v>
      </c>
      <c r="B171" s="240" t="str">
        <f>TiposLancamentos!B3</f>
        <v>Internet</v>
      </c>
      <c r="C171" s="878" t="s">
        <v>15349</v>
      </c>
      <c r="D171" s="63"/>
      <c r="E171" s="231">
        <v>64.900000000000006</v>
      </c>
      <c r="F171" s="899"/>
      <c r="G171" s="1152" t="s">
        <v>9</v>
      </c>
    </row>
    <row r="172" spans="1:7">
      <c r="A172" s="884">
        <v>43947</v>
      </c>
      <c r="B172" s="240" t="str">
        <f>TiposLancamentos!B19</f>
        <v>Restaurantes</v>
      </c>
      <c r="C172" s="878" t="s">
        <v>15350</v>
      </c>
      <c r="D172" s="63"/>
      <c r="E172" s="231">
        <v>76.5</v>
      </c>
      <c r="F172" s="899"/>
      <c r="G172" s="1152" t="s">
        <v>9</v>
      </c>
    </row>
    <row r="173" spans="1:7">
      <c r="A173" s="884">
        <v>43949</v>
      </c>
      <c r="B173" s="240" t="str">
        <f>TiposLancamentos!B45</f>
        <v>Online Services</v>
      </c>
      <c r="C173" s="878" t="s">
        <v>1894</v>
      </c>
      <c r="D173" s="63"/>
      <c r="E173" s="231">
        <v>32.9</v>
      </c>
      <c r="F173" s="899"/>
      <c r="G173" s="1152" t="s">
        <v>9</v>
      </c>
    </row>
    <row r="174" spans="1:7" ht="14.25" thickBot="1">
      <c r="A174" s="884">
        <v>43949</v>
      </c>
      <c r="B174" s="240" t="str">
        <f>TiposLancamentos!B16</f>
        <v>Cristiane</v>
      </c>
      <c r="C174" s="878" t="s">
        <v>15351</v>
      </c>
      <c r="D174" s="63"/>
      <c r="E174" s="231">
        <v>110.7</v>
      </c>
      <c r="F174" s="899">
        <v>664</v>
      </c>
      <c r="G174" s="1152" t="s">
        <v>9</v>
      </c>
    </row>
    <row r="175" spans="1:7">
      <c r="A175" s="1032"/>
      <c r="B175" s="1230"/>
      <c r="C175" s="906" t="s">
        <v>13892</v>
      </c>
      <c r="D175" s="896"/>
      <c r="E175" s="925"/>
      <c r="F175" s="1034">
        <f>SUM(E155:E166)</f>
        <v>955.28</v>
      </c>
      <c r="G175" s="3"/>
    </row>
    <row r="176" spans="1:7">
      <c r="A176" s="884">
        <v>43952</v>
      </c>
      <c r="B176" s="240" t="str">
        <f>TiposLancamentos!B15</f>
        <v>Cartões de Crédito</v>
      </c>
      <c r="C176" s="878" t="s">
        <v>1874</v>
      </c>
      <c r="D176" s="63">
        <v>955.28</v>
      </c>
      <c r="E176" s="231"/>
      <c r="F176" s="899">
        <f>F175-F162</f>
        <v>-1407.1200000000006</v>
      </c>
      <c r="G176" s="1152" t="s">
        <v>9</v>
      </c>
    </row>
    <row r="177" spans="1:7">
      <c r="A177" s="884">
        <v>43970</v>
      </c>
      <c r="B177" s="240" t="str">
        <f>TiposLancamentos!B19</f>
        <v>Restaurantes</v>
      </c>
      <c r="C177" s="878" t="s">
        <v>15352</v>
      </c>
      <c r="D177" s="63"/>
      <c r="E177" s="231">
        <v>104.8</v>
      </c>
      <c r="F177" s="899"/>
      <c r="G177" s="1152" t="s">
        <v>9</v>
      </c>
    </row>
    <row r="178" spans="1:7">
      <c r="A178" s="934"/>
      <c r="B178" s="243"/>
      <c r="C178" s="389" t="s">
        <v>10</v>
      </c>
      <c r="D178" s="146"/>
      <c r="E178" s="1190"/>
      <c r="F178" s="935"/>
      <c r="G178" s="1094" t="s">
        <v>11</v>
      </c>
    </row>
    <row r="179" spans="1:7">
      <c r="A179" s="884">
        <v>43973</v>
      </c>
      <c r="B179" s="240" t="str">
        <f>TiposLancamentos!B16</f>
        <v>Cristiane</v>
      </c>
      <c r="C179" s="878" t="s">
        <v>15353</v>
      </c>
      <c r="D179" s="63"/>
      <c r="E179" s="231">
        <f>F179/10</f>
        <v>269.89999999999998</v>
      </c>
      <c r="F179" s="899">
        <v>2699</v>
      </c>
      <c r="G179" s="1152" t="s">
        <v>9</v>
      </c>
    </row>
    <row r="180" spans="1:7">
      <c r="A180" s="884">
        <v>43973</v>
      </c>
      <c r="B180" s="240" t="str">
        <f>TiposLancamentos!B50</f>
        <v>Guitarra</v>
      </c>
      <c r="C180" s="878" t="s">
        <v>15354</v>
      </c>
      <c r="D180" s="63"/>
      <c r="E180" s="231">
        <v>89.68</v>
      </c>
      <c r="F180" s="899">
        <f>E180*6</f>
        <v>538.08000000000004</v>
      </c>
      <c r="G180" s="1152" t="s">
        <v>9</v>
      </c>
    </row>
    <row r="181" spans="1:7">
      <c r="A181" s="884">
        <v>43973</v>
      </c>
      <c r="B181" s="240" t="str">
        <f>TiposLancamentos!B50</f>
        <v>Guitarra</v>
      </c>
      <c r="C181" s="878" t="s">
        <v>15355</v>
      </c>
      <c r="D181" s="63"/>
      <c r="E181" s="231">
        <v>37.979999999999997</v>
      </c>
      <c r="F181" s="899">
        <f>E181*3</f>
        <v>113.94</v>
      </c>
      <c r="G181" s="1152" t="s">
        <v>9</v>
      </c>
    </row>
    <row r="182" spans="1:7">
      <c r="A182" s="884">
        <v>43973</v>
      </c>
      <c r="B182" s="240" t="str">
        <f>TiposLancamentos!B102</f>
        <v>ESTORNO</v>
      </c>
      <c r="C182" s="878" t="s">
        <v>5385</v>
      </c>
      <c r="D182" s="63">
        <v>0.04</v>
      </c>
      <c r="E182" s="231"/>
      <c r="F182" s="899"/>
      <c r="G182" s="1152" t="s">
        <v>9</v>
      </c>
    </row>
    <row r="183" spans="1:7">
      <c r="A183" s="884">
        <v>43974</v>
      </c>
      <c r="B183" s="240" t="str">
        <f>TiposLancamentos!B57</f>
        <v>Informática</v>
      </c>
      <c r="C183" s="878" t="s">
        <v>15345</v>
      </c>
      <c r="D183" s="63"/>
      <c r="E183" s="231">
        <v>18.899999999999999</v>
      </c>
      <c r="F183" s="899"/>
      <c r="G183" s="1152" t="s">
        <v>9</v>
      </c>
    </row>
    <row r="184" spans="1:7">
      <c r="A184" s="884">
        <v>43974</v>
      </c>
      <c r="B184" s="240" t="str">
        <f>TiposLancamentos!B57</f>
        <v>Informática</v>
      </c>
      <c r="C184" s="878" t="s">
        <v>15345</v>
      </c>
      <c r="D184" s="63"/>
      <c r="E184" s="231">
        <v>7.9</v>
      </c>
      <c r="F184" s="899"/>
      <c r="G184" s="1152" t="s">
        <v>9</v>
      </c>
    </row>
    <row r="185" spans="1:7">
      <c r="A185" s="884">
        <v>43976</v>
      </c>
      <c r="B185" s="240" t="str">
        <f>TiposLancamentos!B3</f>
        <v>Internet</v>
      </c>
      <c r="C185" s="878" t="s">
        <v>10734</v>
      </c>
      <c r="D185" s="63"/>
      <c r="E185" s="231">
        <v>64.900000000000006</v>
      </c>
      <c r="F185" s="899"/>
      <c r="G185" s="1152" t="s">
        <v>9</v>
      </c>
    </row>
    <row r="186" spans="1:7">
      <c r="A186" s="884">
        <v>43979</v>
      </c>
      <c r="B186" s="240" t="str">
        <f>TiposLancamentos!B19</f>
        <v>Restaurantes</v>
      </c>
      <c r="C186" s="878" t="s">
        <v>15356</v>
      </c>
      <c r="D186" s="63"/>
      <c r="E186" s="231">
        <v>65</v>
      </c>
      <c r="F186" s="899"/>
      <c r="G186" s="1152" t="s">
        <v>9</v>
      </c>
    </row>
    <row r="187" spans="1:7">
      <c r="A187" s="884">
        <v>43979</v>
      </c>
      <c r="B187" s="240" t="str">
        <f>TiposLancamentos!B45</f>
        <v>Online Services</v>
      </c>
      <c r="C187" s="878" t="s">
        <v>1894</v>
      </c>
      <c r="D187" s="63"/>
      <c r="E187" s="231">
        <v>32.9</v>
      </c>
      <c r="F187" s="899"/>
      <c r="G187" s="1152" t="s">
        <v>9</v>
      </c>
    </row>
    <row r="188" spans="1:7">
      <c r="A188" s="884">
        <v>43979</v>
      </c>
      <c r="B188" s="240" t="str">
        <f>TiposLancamentos!B16</f>
        <v>Cristiane</v>
      </c>
      <c r="C188" s="878" t="s">
        <v>15357</v>
      </c>
      <c r="D188" s="63"/>
      <c r="E188" s="231">
        <v>110.7</v>
      </c>
      <c r="F188" s="899">
        <v>664</v>
      </c>
      <c r="G188" s="1152" t="s">
        <v>9</v>
      </c>
    </row>
    <row r="189" spans="1:7" ht="14.25" thickBot="1">
      <c r="A189" s="884">
        <v>43981</v>
      </c>
      <c r="B189" s="240" t="str">
        <f>B186</f>
        <v>Restaurantes</v>
      </c>
      <c r="C189" s="878" t="s">
        <v>15358</v>
      </c>
      <c r="D189" s="63"/>
      <c r="E189" s="231">
        <v>54.99</v>
      </c>
      <c r="F189" s="899"/>
      <c r="G189" s="1152" t="s">
        <v>9</v>
      </c>
    </row>
    <row r="190" spans="1:7">
      <c r="A190" s="1032"/>
      <c r="B190" s="1230"/>
      <c r="C190" s="906" t="s">
        <v>13894</v>
      </c>
      <c r="D190" s="896"/>
      <c r="E190" s="925"/>
      <c r="F190" s="1034">
        <f>SUM(E168:E177)</f>
        <v>787.36</v>
      </c>
      <c r="G190" s="3"/>
    </row>
    <row r="191" spans="1:7">
      <c r="A191" s="884">
        <v>43983</v>
      </c>
      <c r="B191" s="240" t="str">
        <f>TiposLancamentos!B15</f>
        <v>Cartões de Crédito</v>
      </c>
      <c r="C191" s="878" t="s">
        <v>1874</v>
      </c>
      <c r="D191" s="63">
        <v>787.36</v>
      </c>
      <c r="E191" s="231"/>
      <c r="F191" s="899">
        <f>F190-F175</f>
        <v>-167.91999999999996</v>
      </c>
      <c r="G191" s="1152" t="s">
        <v>9</v>
      </c>
    </row>
    <row r="192" spans="1:7">
      <c r="A192" s="934"/>
      <c r="B192" s="243"/>
      <c r="C192" s="389" t="s">
        <v>10</v>
      </c>
      <c r="D192" s="146"/>
      <c r="E192" s="1190"/>
      <c r="F192" s="935"/>
      <c r="G192" s="1094" t="s">
        <v>11</v>
      </c>
    </row>
    <row r="193" spans="1:7">
      <c r="A193" s="884">
        <v>44004</v>
      </c>
      <c r="B193" s="240" t="str">
        <f>TiposLancamentos!B16</f>
        <v>Cristiane</v>
      </c>
      <c r="C193" s="878" t="s">
        <v>15359</v>
      </c>
      <c r="D193" s="63"/>
      <c r="E193" s="231">
        <f>F193/10</f>
        <v>269.89999999999998</v>
      </c>
      <c r="F193" s="899">
        <v>2699</v>
      </c>
      <c r="G193" s="1152" t="s">
        <v>9</v>
      </c>
    </row>
    <row r="194" spans="1:7">
      <c r="A194" s="884">
        <v>44004</v>
      </c>
      <c r="B194" s="240" t="str">
        <f>TiposLancamentos!B50</f>
        <v>Guitarra</v>
      </c>
      <c r="C194" s="878" t="s">
        <v>15360</v>
      </c>
      <c r="D194" s="63"/>
      <c r="E194" s="231">
        <v>89.68</v>
      </c>
      <c r="F194" s="899">
        <f>E194*6</f>
        <v>538.08000000000004</v>
      </c>
      <c r="G194" s="1152" t="s">
        <v>9</v>
      </c>
    </row>
    <row r="195" spans="1:7">
      <c r="A195" s="884">
        <v>44004</v>
      </c>
      <c r="B195" s="240" t="str">
        <f>TiposLancamentos!B50</f>
        <v>Guitarra</v>
      </c>
      <c r="C195" s="878" t="s">
        <v>15361</v>
      </c>
      <c r="D195" s="63"/>
      <c r="E195" s="231">
        <v>37.979999999999997</v>
      </c>
      <c r="F195" s="899">
        <f>E195*3</f>
        <v>113.94</v>
      </c>
      <c r="G195" s="1152" t="s">
        <v>9</v>
      </c>
    </row>
    <row r="196" spans="1:7">
      <c r="A196" s="884">
        <v>44008</v>
      </c>
      <c r="B196" s="240" t="str">
        <f>TiposLancamentos!B57</f>
        <v>Informática</v>
      </c>
      <c r="C196" s="878" t="s">
        <v>15345</v>
      </c>
      <c r="D196" s="63"/>
      <c r="E196" s="231">
        <v>37.9</v>
      </c>
      <c r="F196" s="899"/>
      <c r="G196" s="1152" t="s">
        <v>9</v>
      </c>
    </row>
    <row r="197" spans="1:7">
      <c r="A197" s="884">
        <v>44008</v>
      </c>
      <c r="B197" s="240" t="str">
        <f>TiposLancamentos!B19</f>
        <v>Restaurantes</v>
      </c>
      <c r="C197" s="878" t="s">
        <v>15362</v>
      </c>
      <c r="D197" s="63"/>
      <c r="E197" s="231">
        <v>69.7</v>
      </c>
      <c r="F197" s="899"/>
      <c r="G197" s="1152" t="s">
        <v>9</v>
      </c>
    </row>
    <row r="198" spans="1:7">
      <c r="A198" s="884">
        <v>44010</v>
      </c>
      <c r="B198" s="240" t="str">
        <f>TiposLancamentos!B45</f>
        <v>Online Services</v>
      </c>
      <c r="C198" s="878" t="s">
        <v>1894</v>
      </c>
      <c r="D198" s="63"/>
      <c r="E198" s="231">
        <v>32.9</v>
      </c>
      <c r="F198" s="899"/>
      <c r="G198" s="1152" t="s">
        <v>9</v>
      </c>
    </row>
    <row r="199" spans="1:7" ht="14.25" thickBot="1">
      <c r="A199" s="884">
        <v>44010</v>
      </c>
      <c r="B199" s="240" t="str">
        <f>TiposLancamentos!B16</f>
        <v>Cristiane</v>
      </c>
      <c r="C199" s="878" t="s">
        <v>15363</v>
      </c>
      <c r="D199" s="63"/>
      <c r="E199" s="231">
        <v>110.7</v>
      </c>
      <c r="F199" s="899">
        <v>664</v>
      </c>
      <c r="G199" s="1152" t="s">
        <v>9</v>
      </c>
    </row>
    <row r="200" spans="1:7">
      <c r="A200" s="1032"/>
      <c r="B200" s="1230"/>
      <c r="C200" s="906" t="s">
        <v>13899</v>
      </c>
      <c r="D200" s="896"/>
      <c r="E200" s="925"/>
      <c r="F200" s="1034">
        <f>SUM(E179:E191)-D182</f>
        <v>752.81000000000006</v>
      </c>
      <c r="G200" s="3"/>
    </row>
    <row r="201" spans="1:7">
      <c r="A201" s="884">
        <v>44013</v>
      </c>
      <c r="B201" s="240" t="str">
        <f>TiposLancamentos!B15</f>
        <v>Cartões de Crédito</v>
      </c>
      <c r="C201" s="878" t="s">
        <v>1874</v>
      </c>
      <c r="D201" s="63">
        <v>752.81</v>
      </c>
      <c r="E201" s="231"/>
      <c r="F201" s="899">
        <f>F200-F190</f>
        <v>-34.549999999999955</v>
      </c>
      <c r="G201" s="1152" t="s">
        <v>9</v>
      </c>
    </row>
    <row r="202" spans="1:7">
      <c r="A202" s="884">
        <v>44020</v>
      </c>
      <c r="B202" s="240" t="str">
        <f>TiposLancamentos!B19</f>
        <v>Restaurantes</v>
      </c>
      <c r="C202" s="878" t="s">
        <v>15314</v>
      </c>
      <c r="D202" s="63"/>
      <c r="E202" s="231">
        <v>56</v>
      </c>
      <c r="F202" s="899"/>
      <c r="G202" s="1152" t="s">
        <v>9</v>
      </c>
    </row>
    <row r="203" spans="1:7">
      <c r="A203" s="884">
        <v>44031</v>
      </c>
      <c r="B203" s="240" t="str">
        <f>TiposLancamentos!B19</f>
        <v>Restaurantes</v>
      </c>
      <c r="C203" s="878" t="s">
        <v>15314</v>
      </c>
      <c r="D203" s="63"/>
      <c r="E203" s="231">
        <v>66</v>
      </c>
      <c r="F203" s="899"/>
      <c r="G203" s="1152" t="s">
        <v>9</v>
      </c>
    </row>
    <row r="204" spans="1:7">
      <c r="A204" s="934"/>
      <c r="B204" s="243"/>
      <c r="C204" s="389" t="s">
        <v>10</v>
      </c>
      <c r="D204" s="146"/>
      <c r="E204" s="1190"/>
      <c r="F204" s="935"/>
      <c r="G204" s="1094" t="s">
        <v>11</v>
      </c>
    </row>
    <row r="205" spans="1:7">
      <c r="A205" s="884">
        <v>44034</v>
      </c>
      <c r="B205" s="240" t="str">
        <f>TiposLancamentos!B16</f>
        <v>Cristiane</v>
      </c>
      <c r="C205" s="878" t="s">
        <v>15364</v>
      </c>
      <c r="D205" s="63"/>
      <c r="E205" s="231">
        <f>F205/10</f>
        <v>269.89999999999998</v>
      </c>
      <c r="F205" s="899">
        <v>2699</v>
      </c>
      <c r="G205" s="1152" t="s">
        <v>9</v>
      </c>
    </row>
    <row r="206" spans="1:7">
      <c r="A206" s="884">
        <v>44034</v>
      </c>
      <c r="B206" s="240" t="str">
        <f>TiposLancamentos!B50</f>
        <v>Guitarra</v>
      </c>
      <c r="C206" s="878" t="s">
        <v>15365</v>
      </c>
      <c r="D206" s="63"/>
      <c r="E206" s="231">
        <v>89.69</v>
      </c>
      <c r="F206" s="899">
        <f>E206*6</f>
        <v>538.14</v>
      </c>
      <c r="G206" s="1152" t="s">
        <v>9</v>
      </c>
    </row>
    <row r="207" spans="1:7">
      <c r="A207" s="884">
        <v>44035</v>
      </c>
      <c r="B207" s="240" t="str">
        <f>TiposLancamentos!B57</f>
        <v>Informática</v>
      </c>
      <c r="C207" s="878" t="s">
        <v>15366</v>
      </c>
      <c r="D207" s="63"/>
      <c r="E207" s="231">
        <v>703.54</v>
      </c>
      <c r="F207" s="899"/>
      <c r="G207" s="1152" t="s">
        <v>9</v>
      </c>
    </row>
    <row r="208" spans="1:7">
      <c r="A208" s="884">
        <v>44035</v>
      </c>
      <c r="B208" s="240" t="str">
        <f>TiposLancamentos!B34</f>
        <v>Seguros</v>
      </c>
      <c r="C208" s="878" t="s">
        <v>15367</v>
      </c>
      <c r="D208" s="63"/>
      <c r="E208" s="231">
        <v>220.71</v>
      </c>
      <c r="F208" s="899">
        <v>1324.71</v>
      </c>
      <c r="G208" s="1152" t="s">
        <v>9</v>
      </c>
    </row>
    <row r="209" spans="1:7">
      <c r="A209" s="858">
        <v>44035</v>
      </c>
      <c r="B209" s="822" t="str">
        <f>TiposLancamentos!B57</f>
        <v>Informática</v>
      </c>
      <c r="C209" s="808" t="s">
        <v>15368</v>
      </c>
      <c r="D209" s="747"/>
      <c r="E209" s="1139">
        <v>79.84</v>
      </c>
      <c r="F209" s="1145"/>
      <c r="G209" s="1152" t="s">
        <v>9</v>
      </c>
    </row>
    <row r="210" spans="1:7">
      <c r="A210" s="862">
        <v>44035</v>
      </c>
      <c r="B210" s="823" t="str">
        <f>TiposLancamentos!B28</f>
        <v>ComicBook</v>
      </c>
      <c r="C210" s="812" t="s">
        <v>15369</v>
      </c>
      <c r="D210" s="849"/>
      <c r="E210" s="1141">
        <v>18.75</v>
      </c>
      <c r="F210" s="1146">
        <f>SUM(E209:E210)</f>
        <v>98.59</v>
      </c>
      <c r="G210" s="1152" t="s">
        <v>9</v>
      </c>
    </row>
    <row r="211" spans="1:7">
      <c r="A211" s="884">
        <v>44035</v>
      </c>
      <c r="B211" s="240" t="str">
        <f>TiposLancamentos!B19</f>
        <v>Restaurantes</v>
      </c>
      <c r="C211" s="878" t="s">
        <v>15370</v>
      </c>
      <c r="D211" s="63"/>
      <c r="E211" s="231">
        <v>111.69</v>
      </c>
      <c r="F211" s="899"/>
      <c r="G211" s="1152" t="s">
        <v>9</v>
      </c>
    </row>
    <row r="212" spans="1:7" ht="14.25" thickBot="1">
      <c r="A212" s="884">
        <v>44040</v>
      </c>
      <c r="B212" s="240" t="str">
        <f>TiposLancamentos!B45</f>
        <v>Online Services</v>
      </c>
      <c r="C212" s="878" t="s">
        <v>1894</v>
      </c>
      <c r="D212" s="63"/>
      <c r="E212" s="231">
        <v>32.9</v>
      </c>
      <c r="F212" s="899"/>
      <c r="G212" s="1152" t="s">
        <v>9</v>
      </c>
    </row>
    <row r="213" spans="1:7">
      <c r="A213" s="1032"/>
      <c r="B213" s="1230"/>
      <c r="C213" s="906" t="s">
        <v>13901</v>
      </c>
      <c r="D213" s="896"/>
      <c r="E213" s="925"/>
      <c r="F213" s="1034">
        <f>SUM(E193:E203)</f>
        <v>770.76</v>
      </c>
      <c r="G213" s="3"/>
    </row>
    <row r="214" spans="1:7">
      <c r="A214" s="884">
        <v>44044</v>
      </c>
      <c r="B214" s="240" t="str">
        <f>TiposLancamentos!B15</f>
        <v>Cartões de Crédito</v>
      </c>
      <c r="C214" s="878" t="s">
        <v>1874</v>
      </c>
      <c r="D214" s="63">
        <v>770.76</v>
      </c>
      <c r="E214" s="231"/>
      <c r="F214" s="899">
        <f>F213-F200</f>
        <v>17.949999999999932</v>
      </c>
      <c r="G214" s="1152" t="s">
        <v>9</v>
      </c>
    </row>
    <row r="215" spans="1:7">
      <c r="A215" s="884">
        <v>44050</v>
      </c>
      <c r="B215" s="240" t="str">
        <f>ItaU!B5158</f>
        <v>Mangá</v>
      </c>
      <c r="C215" s="878" t="s">
        <v>15371</v>
      </c>
      <c r="D215" s="63"/>
      <c r="E215" s="231">
        <v>16.52</v>
      </c>
      <c r="F215" s="899"/>
      <c r="G215" s="1152" t="s">
        <v>9</v>
      </c>
    </row>
    <row r="216" spans="1:7">
      <c r="A216" s="884">
        <v>44063</v>
      </c>
      <c r="B216" s="240" t="str">
        <f>TiposLancamentos!B19</f>
        <v>Restaurantes</v>
      </c>
      <c r="C216" s="878" t="s">
        <v>15372</v>
      </c>
      <c r="D216" s="63"/>
      <c r="E216" s="231">
        <v>66</v>
      </c>
      <c r="F216" s="899"/>
      <c r="G216" s="1152" t="s">
        <v>9</v>
      </c>
    </row>
    <row r="217" spans="1:7">
      <c r="A217" s="934"/>
      <c r="B217" s="243"/>
      <c r="C217" s="389" t="s">
        <v>10</v>
      </c>
      <c r="D217" s="146"/>
      <c r="E217" s="1190"/>
      <c r="F217" s="935"/>
      <c r="G217" s="1094" t="s">
        <v>11</v>
      </c>
    </row>
    <row r="218" spans="1:7">
      <c r="A218" s="884">
        <v>44065</v>
      </c>
      <c r="B218" s="240" t="str">
        <f>TiposLancamentos!B16</f>
        <v>Cristiane</v>
      </c>
      <c r="C218" s="878" t="s">
        <v>15373</v>
      </c>
      <c r="D218" s="63"/>
      <c r="E218" s="231">
        <f>F218/10</f>
        <v>269.89999999999998</v>
      </c>
      <c r="F218" s="899">
        <v>2699</v>
      </c>
      <c r="G218" s="1152" t="s">
        <v>9</v>
      </c>
    </row>
    <row r="219" spans="1:7">
      <c r="A219" s="884">
        <v>44065</v>
      </c>
      <c r="B219" s="240" t="str">
        <f>TiposLancamentos!B50</f>
        <v>Guitarra</v>
      </c>
      <c r="C219" s="878" t="s">
        <v>15374</v>
      </c>
      <c r="D219" s="63"/>
      <c r="E219" s="231">
        <v>89.68</v>
      </c>
      <c r="F219" s="899">
        <f>E219*6</f>
        <v>538.08000000000004</v>
      </c>
      <c r="G219" s="1152" t="s">
        <v>9</v>
      </c>
    </row>
    <row r="220" spans="1:7">
      <c r="A220" s="884">
        <v>44066</v>
      </c>
      <c r="B220" s="240" t="str">
        <f>TiposLancamentos!B57</f>
        <v>Informática</v>
      </c>
      <c r="C220" s="878" t="s">
        <v>15375</v>
      </c>
      <c r="D220" s="63"/>
      <c r="E220" s="231">
        <v>703.53</v>
      </c>
      <c r="F220" s="899"/>
      <c r="G220" s="1152" t="s">
        <v>9</v>
      </c>
    </row>
    <row r="221" spans="1:7">
      <c r="A221" s="884">
        <v>44066</v>
      </c>
      <c r="B221" s="240" t="str">
        <f>TiposLancamentos!B34</f>
        <v>Seguros</v>
      </c>
      <c r="C221" s="878" t="s">
        <v>15376</v>
      </c>
      <c r="D221" s="63"/>
      <c r="E221" s="231">
        <v>220.71</v>
      </c>
      <c r="F221" s="899">
        <v>1324.71</v>
      </c>
      <c r="G221" s="1152" t="s">
        <v>9</v>
      </c>
    </row>
    <row r="222" spans="1:7">
      <c r="A222" s="858">
        <v>44066</v>
      </c>
      <c r="B222" s="822" t="str">
        <f>TiposLancamentos!B57</f>
        <v>Informática</v>
      </c>
      <c r="C222" s="808" t="s">
        <v>15377</v>
      </c>
      <c r="D222" s="747"/>
      <c r="E222" s="1139">
        <v>79.86</v>
      </c>
      <c r="F222" s="1145"/>
      <c r="G222" s="1152" t="s">
        <v>9</v>
      </c>
    </row>
    <row r="223" spans="1:7">
      <c r="A223" s="862">
        <v>44066</v>
      </c>
      <c r="B223" s="823" t="str">
        <f>TiposLancamentos!B28</f>
        <v>ComicBook</v>
      </c>
      <c r="C223" s="812" t="s">
        <v>15378</v>
      </c>
      <c r="D223" s="849"/>
      <c r="E223" s="1141">
        <v>18.75</v>
      </c>
      <c r="F223" s="1146">
        <f>SUM(E222:E223)</f>
        <v>98.61</v>
      </c>
      <c r="G223" s="1152" t="s">
        <v>9</v>
      </c>
    </row>
    <row r="224" spans="1:7">
      <c r="A224" s="884">
        <v>44066</v>
      </c>
      <c r="B224" s="240" t="str">
        <f>TiposLancamentos!B98</f>
        <v>Restituições</v>
      </c>
      <c r="C224" s="878" t="s">
        <v>15379</v>
      </c>
      <c r="D224" s="63">
        <v>0.25</v>
      </c>
      <c r="E224" s="231"/>
      <c r="F224" s="899"/>
      <c r="G224" s="1152" t="s">
        <v>9</v>
      </c>
    </row>
    <row r="225" spans="1:7" ht="14.25" thickBot="1">
      <c r="A225" s="884">
        <v>44071</v>
      </c>
      <c r="B225" s="240" t="str">
        <f>TiposLancamentos!B45</f>
        <v>Online Services</v>
      </c>
      <c r="C225" s="878" t="s">
        <v>1894</v>
      </c>
      <c r="D225" s="63"/>
      <c r="E225" s="231">
        <v>32.9</v>
      </c>
      <c r="F225" s="899"/>
      <c r="G225" s="1152" t="s">
        <v>9</v>
      </c>
    </row>
    <row r="226" spans="1:7">
      <c r="A226" s="1032"/>
      <c r="B226" s="1230"/>
      <c r="C226" s="906" t="s">
        <v>13904</v>
      </c>
      <c r="D226" s="896"/>
      <c r="E226" s="925"/>
      <c r="F226" s="1034">
        <f>SUM(E205:E216)</f>
        <v>1609.54</v>
      </c>
      <c r="G226" s="3"/>
    </row>
    <row r="227" spans="1:7">
      <c r="A227" s="884">
        <v>44075</v>
      </c>
      <c r="B227" s="240" t="str">
        <f>TiposLancamentos!B15</f>
        <v>Cartões de Crédito</v>
      </c>
      <c r="C227" s="878" t="s">
        <v>1874</v>
      </c>
      <c r="D227" s="63">
        <v>1609.54</v>
      </c>
      <c r="E227" s="231"/>
      <c r="F227" s="899">
        <f>F226-F213</f>
        <v>838.78</v>
      </c>
      <c r="G227" s="1152" t="s">
        <v>9</v>
      </c>
    </row>
    <row r="228" spans="1:7">
      <c r="A228" s="884">
        <v>44077</v>
      </c>
      <c r="B228" s="240" t="str">
        <f>TiposLancamentos!B19</f>
        <v>Restaurantes</v>
      </c>
      <c r="C228" s="878" t="s">
        <v>15380</v>
      </c>
      <c r="D228" s="63"/>
      <c r="E228" s="231">
        <v>66</v>
      </c>
      <c r="F228" s="899"/>
      <c r="G228" s="1152" t="s">
        <v>9</v>
      </c>
    </row>
    <row r="229" spans="1:7">
      <c r="A229" s="884">
        <v>44079</v>
      </c>
      <c r="B229" s="240" t="str">
        <f>TiposLancamentos!B19</f>
        <v>Restaurantes</v>
      </c>
      <c r="C229" s="878" t="s">
        <v>15380</v>
      </c>
      <c r="D229" s="63"/>
      <c r="E229" s="231">
        <v>68</v>
      </c>
      <c r="F229" s="899"/>
      <c r="G229" s="1152" t="s">
        <v>9</v>
      </c>
    </row>
    <row r="230" spans="1:7">
      <c r="A230" s="884">
        <v>44080</v>
      </c>
      <c r="B230" s="240" t="str">
        <f>TiposLancamentos!B19</f>
        <v>Restaurantes</v>
      </c>
      <c r="C230" s="878" t="s">
        <v>15381</v>
      </c>
      <c r="D230" s="63"/>
      <c r="E230" s="231">
        <v>54.99</v>
      </c>
      <c r="F230" s="899"/>
      <c r="G230" s="1152" t="s">
        <v>9</v>
      </c>
    </row>
    <row r="231" spans="1:7">
      <c r="A231" s="884">
        <v>44084</v>
      </c>
      <c r="B231" s="240" t="str">
        <f>TiposLancamentos!B19</f>
        <v>Restaurantes</v>
      </c>
      <c r="C231" s="878" t="s">
        <v>15380</v>
      </c>
      <c r="D231" s="63"/>
      <c r="E231" s="231">
        <v>68</v>
      </c>
      <c r="F231" s="899"/>
      <c r="G231" s="1152" t="s">
        <v>9</v>
      </c>
    </row>
    <row r="232" spans="1:7">
      <c r="A232" s="884">
        <v>44091</v>
      </c>
      <c r="B232" s="240" t="str">
        <f>TiposLancamentos!B19</f>
        <v>Restaurantes</v>
      </c>
      <c r="C232" s="878" t="s">
        <v>15382</v>
      </c>
      <c r="D232" s="63"/>
      <c r="E232" s="231">
        <v>27.2</v>
      </c>
      <c r="F232" s="899"/>
      <c r="G232" s="1152" t="s">
        <v>9</v>
      </c>
    </row>
    <row r="233" spans="1:7">
      <c r="A233" s="934"/>
      <c r="B233" s="243"/>
      <c r="C233" s="389" t="s">
        <v>10</v>
      </c>
      <c r="D233" s="146"/>
      <c r="E233" s="1190"/>
      <c r="F233" s="935"/>
      <c r="G233" s="1094" t="s">
        <v>11</v>
      </c>
    </row>
    <row r="234" spans="1:7">
      <c r="A234" s="884">
        <v>44096</v>
      </c>
      <c r="B234" s="240" t="str">
        <f>TiposLancamentos!B16</f>
        <v>Cristiane</v>
      </c>
      <c r="C234" s="878" t="s">
        <v>15383</v>
      </c>
      <c r="D234" s="63"/>
      <c r="E234" s="231">
        <f>F234/10</f>
        <v>269.89999999999998</v>
      </c>
      <c r="F234" s="899">
        <v>2699</v>
      </c>
      <c r="G234" s="1152" t="s">
        <v>9</v>
      </c>
    </row>
    <row r="235" spans="1:7">
      <c r="A235" s="884">
        <v>44096</v>
      </c>
      <c r="B235" s="240" t="str">
        <f>TiposLancamentos!B50</f>
        <v>Guitarra</v>
      </c>
      <c r="C235" s="878" t="s">
        <v>15384</v>
      </c>
      <c r="D235" s="63"/>
      <c r="E235" s="231">
        <v>89.68</v>
      </c>
      <c r="F235" s="899">
        <f>E235*6</f>
        <v>538.08000000000004</v>
      </c>
      <c r="G235" s="1152" t="s">
        <v>9</v>
      </c>
    </row>
    <row r="236" spans="1:7">
      <c r="A236" s="884">
        <v>44097</v>
      </c>
      <c r="B236" s="240" t="str">
        <f>TiposLancamentos!B57</f>
        <v>Informática</v>
      </c>
      <c r="C236" s="878" t="s">
        <v>15385</v>
      </c>
      <c r="D236" s="63"/>
      <c r="E236" s="231">
        <v>703.53</v>
      </c>
      <c r="F236" s="899"/>
      <c r="G236" s="1152" t="s">
        <v>9</v>
      </c>
    </row>
    <row r="237" spans="1:7">
      <c r="A237" s="858">
        <v>44097</v>
      </c>
      <c r="B237" s="822" t="str">
        <f>TiposLancamentos!B57</f>
        <v>Informática</v>
      </c>
      <c r="C237" s="808" t="s">
        <v>15386</v>
      </c>
      <c r="D237" s="747"/>
      <c r="E237" s="1139">
        <v>79.87</v>
      </c>
      <c r="F237" s="1145"/>
      <c r="G237" s="1152" t="s">
        <v>9</v>
      </c>
    </row>
    <row r="238" spans="1:7">
      <c r="A238" s="862">
        <v>44097</v>
      </c>
      <c r="B238" s="823" t="str">
        <f>TiposLancamentos!B28</f>
        <v>ComicBook</v>
      </c>
      <c r="C238" s="812" t="s">
        <v>15387</v>
      </c>
      <c r="D238" s="849"/>
      <c r="E238" s="1141">
        <f>(37.7+33+41.71)/6</f>
        <v>18.734999999999999</v>
      </c>
      <c r="F238" s="1146">
        <f>SUM(E237:E238)</f>
        <v>98.605000000000004</v>
      </c>
      <c r="G238" s="1152" t="s">
        <v>9</v>
      </c>
    </row>
    <row r="239" spans="1:7">
      <c r="A239" s="884">
        <v>44098</v>
      </c>
      <c r="B239" s="240" t="str">
        <f>TiposLancamentos!B34</f>
        <v>Seguros</v>
      </c>
      <c r="C239" s="878" t="s">
        <v>15388</v>
      </c>
      <c r="D239" s="63"/>
      <c r="E239" s="231">
        <v>288.94</v>
      </c>
      <c r="F239" s="899"/>
      <c r="G239" s="1152" t="s">
        <v>9</v>
      </c>
    </row>
    <row r="240" spans="1:7">
      <c r="A240" s="884">
        <v>44098</v>
      </c>
      <c r="B240" s="240" t="str">
        <f>TiposLancamentos!B19</f>
        <v>Restaurantes</v>
      </c>
      <c r="C240" s="878" t="s">
        <v>15389</v>
      </c>
      <c r="D240" s="63"/>
      <c r="E240" s="231">
        <v>68</v>
      </c>
      <c r="F240" s="899"/>
      <c r="G240" s="1152" t="s">
        <v>9</v>
      </c>
    </row>
    <row r="241" spans="1:7">
      <c r="A241" s="884">
        <v>44102</v>
      </c>
      <c r="B241" s="240" t="str">
        <f>TiposLancamentos!B45</f>
        <v>Online Services</v>
      </c>
      <c r="C241" s="878" t="s">
        <v>1894</v>
      </c>
      <c r="D241" s="63"/>
      <c r="E241" s="231">
        <v>32.9</v>
      </c>
      <c r="F241" s="899"/>
      <c r="G241" s="1152" t="s">
        <v>9</v>
      </c>
    </row>
    <row r="242" spans="1:7" ht="14.25" thickBot="1">
      <c r="A242" s="884">
        <v>44103</v>
      </c>
      <c r="B242" s="240" t="str">
        <f>TiposLancamentos!B19</f>
        <v>Restaurantes</v>
      </c>
      <c r="C242" s="878" t="s">
        <v>15390</v>
      </c>
      <c r="D242" s="63"/>
      <c r="E242" s="231">
        <v>51.9</v>
      </c>
      <c r="F242" s="899"/>
      <c r="G242" s="1152" t="s">
        <v>9</v>
      </c>
    </row>
    <row r="243" spans="1:7">
      <c r="A243" s="1032"/>
      <c r="B243" s="1230"/>
      <c r="C243" s="906" t="s">
        <v>13911</v>
      </c>
      <c r="D243" s="896"/>
      <c r="E243" s="925"/>
      <c r="F243" s="1034">
        <f>SUM(E218:E232)-D224</f>
        <v>1699.27</v>
      </c>
      <c r="G243" s="3"/>
    </row>
    <row r="244" spans="1:7">
      <c r="A244" s="884">
        <v>44105</v>
      </c>
      <c r="B244" s="240" t="str">
        <f>TiposLancamentos!B15</f>
        <v>Cartões de Crédito</v>
      </c>
      <c r="C244" s="878" t="s">
        <v>1874</v>
      </c>
      <c r="D244" s="63">
        <v>1699.27</v>
      </c>
      <c r="E244" s="231"/>
      <c r="F244" s="899">
        <f>F243-F226</f>
        <v>89.730000000000018</v>
      </c>
      <c r="G244" s="1152" t="s">
        <v>9</v>
      </c>
    </row>
    <row r="245" spans="1:7">
      <c r="A245" s="884">
        <v>44108</v>
      </c>
      <c r="B245" s="240" t="str">
        <f>TiposLancamentos!B19</f>
        <v>Restaurantes</v>
      </c>
      <c r="C245" s="878" t="s">
        <v>15391</v>
      </c>
      <c r="D245" s="63"/>
      <c r="E245" s="231">
        <v>84.89</v>
      </c>
      <c r="F245" s="899"/>
      <c r="G245" s="1152" t="s">
        <v>9</v>
      </c>
    </row>
    <row r="246" spans="1:7">
      <c r="A246" s="884">
        <v>44109</v>
      </c>
      <c r="B246" s="240" t="str">
        <f>TiposLancamentos!B34</f>
        <v>Seguros</v>
      </c>
      <c r="C246" s="878" t="s">
        <v>15392</v>
      </c>
      <c r="D246" s="63"/>
      <c r="E246" s="231">
        <v>220.71</v>
      </c>
      <c r="F246" s="899">
        <v>1324.71</v>
      </c>
      <c r="G246" s="1152" t="s">
        <v>9</v>
      </c>
    </row>
    <row r="247" spans="1:7">
      <c r="A247" s="884">
        <v>44113</v>
      </c>
      <c r="B247" s="240" t="str">
        <f>TiposLancamentos!B57</f>
        <v>Informática</v>
      </c>
      <c r="C247" s="878" t="s">
        <v>15393</v>
      </c>
      <c r="D247" s="63"/>
      <c r="E247" s="231">
        <v>3.9</v>
      </c>
      <c r="F247" s="899"/>
      <c r="G247" s="1152" t="s">
        <v>9</v>
      </c>
    </row>
    <row r="248" spans="1:7">
      <c r="A248" s="884">
        <v>44116</v>
      </c>
      <c r="B248" s="240" t="str">
        <f>TiposLancamentos!B19</f>
        <v>Restaurantes</v>
      </c>
      <c r="C248" s="878" t="s">
        <v>15390</v>
      </c>
      <c r="D248" s="63"/>
      <c r="E248" s="231">
        <v>68</v>
      </c>
      <c r="F248" s="899"/>
      <c r="G248" s="1152" t="s">
        <v>9</v>
      </c>
    </row>
    <row r="249" spans="1:7">
      <c r="A249" s="884">
        <v>44120</v>
      </c>
      <c r="B249" s="240" t="str">
        <f>TiposLancamentos!B23</f>
        <v>P208 GRIFFE 1.6 AUT BUSINESS</v>
      </c>
      <c r="C249" s="878" t="s">
        <v>15394</v>
      </c>
      <c r="D249" s="63"/>
      <c r="E249" s="231">
        <f>F249/6</f>
        <v>500</v>
      </c>
      <c r="F249" s="899">
        <v>3000</v>
      </c>
      <c r="G249" s="1152" t="s">
        <v>9</v>
      </c>
    </row>
    <row r="250" spans="1:7">
      <c r="A250" s="884">
        <v>44121</v>
      </c>
      <c r="B250" s="240" t="str">
        <f>TiposLancamentos!B19</f>
        <v>Restaurantes</v>
      </c>
      <c r="C250" s="878" t="s">
        <v>15395</v>
      </c>
      <c r="D250" s="63"/>
      <c r="E250" s="231">
        <v>47.6</v>
      </c>
      <c r="F250" s="899"/>
      <c r="G250" s="1152" t="s">
        <v>9</v>
      </c>
    </row>
    <row r="251" spans="1:7">
      <c r="A251" s="884">
        <v>44122</v>
      </c>
      <c r="B251" s="240" t="str">
        <f>TiposLancamentos!B19</f>
        <v>Restaurantes</v>
      </c>
      <c r="C251" s="878" t="s">
        <v>15396</v>
      </c>
      <c r="D251" s="63"/>
      <c r="E251" s="231">
        <v>51.9</v>
      </c>
      <c r="F251" s="899"/>
      <c r="G251" s="1152" t="s">
        <v>9</v>
      </c>
    </row>
    <row r="252" spans="1:7">
      <c r="A252" s="934"/>
      <c r="B252" s="243"/>
      <c r="C252" s="389" t="s">
        <v>10</v>
      </c>
      <c r="D252" s="146"/>
      <c r="E252" s="1190"/>
      <c r="F252" s="935"/>
      <c r="G252" s="1094" t="s">
        <v>11</v>
      </c>
    </row>
    <row r="253" spans="1:7">
      <c r="A253" s="884">
        <v>44126</v>
      </c>
      <c r="B253" s="240" t="str">
        <f>TiposLancamentos!B16</f>
        <v>Cristiane</v>
      </c>
      <c r="C253" s="878" t="s">
        <v>15397</v>
      </c>
      <c r="D253" s="63"/>
      <c r="E253" s="231">
        <f>F253/10</f>
        <v>269.89999999999998</v>
      </c>
      <c r="F253" s="899">
        <v>2699</v>
      </c>
      <c r="G253" s="1152" t="s">
        <v>9</v>
      </c>
    </row>
    <row r="254" spans="1:7">
      <c r="A254" s="884">
        <v>44127</v>
      </c>
      <c r="B254" s="240" t="str">
        <f>TiposLancamentos!B57</f>
        <v>Informática</v>
      </c>
      <c r="C254" s="878" t="s">
        <v>15398</v>
      </c>
      <c r="D254" s="63"/>
      <c r="E254" s="231">
        <v>703.53</v>
      </c>
      <c r="F254" s="899"/>
      <c r="G254" s="1152" t="s">
        <v>9</v>
      </c>
    </row>
    <row r="255" spans="1:7">
      <c r="A255" s="858">
        <v>44127</v>
      </c>
      <c r="B255" s="822" t="str">
        <f>TiposLancamentos!B57</f>
        <v>Informática</v>
      </c>
      <c r="C255" s="808" t="s">
        <v>15399</v>
      </c>
      <c r="D255" s="747"/>
      <c r="E255" s="1139">
        <v>79.87</v>
      </c>
      <c r="F255" s="1145"/>
      <c r="G255" s="1152" t="s">
        <v>9</v>
      </c>
    </row>
    <row r="256" spans="1:7">
      <c r="A256" s="862">
        <v>44127</v>
      </c>
      <c r="B256" s="823" t="str">
        <f>TiposLancamentos!B28</f>
        <v>ComicBook</v>
      </c>
      <c r="C256" s="812" t="s">
        <v>15400</v>
      </c>
      <c r="D256" s="849"/>
      <c r="E256" s="1141">
        <f>(37.7+33+41.71)/6</f>
        <v>18.734999999999999</v>
      </c>
      <c r="F256" s="1146">
        <f>SUM(E255:E256)</f>
        <v>98.605000000000004</v>
      </c>
      <c r="G256" s="1152" t="s">
        <v>9</v>
      </c>
    </row>
    <row r="257" spans="1:7">
      <c r="A257" s="884">
        <v>44127</v>
      </c>
      <c r="B257" s="240" t="str">
        <f>TiposLancamentos!B73</f>
        <v>Cursos</v>
      </c>
      <c r="C257" s="878" t="s">
        <v>15401</v>
      </c>
      <c r="D257" s="63"/>
      <c r="E257" s="231">
        <v>900</v>
      </c>
      <c r="F257" s="899">
        <f>E257*4</f>
        <v>3600</v>
      </c>
      <c r="G257" s="1152" t="s">
        <v>9</v>
      </c>
    </row>
    <row r="258" spans="1:7">
      <c r="A258" s="884">
        <v>44128</v>
      </c>
      <c r="B258" s="240" t="str">
        <f>TiposLancamentos!B19</f>
        <v>Restaurantes</v>
      </c>
      <c r="C258" s="878" t="s">
        <v>15402</v>
      </c>
      <c r="D258" s="63"/>
      <c r="E258" s="231">
        <v>49.89</v>
      </c>
      <c r="F258" s="899"/>
      <c r="G258" s="1152" t="s">
        <v>9</v>
      </c>
    </row>
    <row r="259" spans="1:7">
      <c r="A259" s="884">
        <v>44129</v>
      </c>
      <c r="B259" s="240" t="str">
        <f>TiposLancamentos!B19</f>
        <v>Restaurantes</v>
      </c>
      <c r="C259" s="878" t="s">
        <v>15403</v>
      </c>
      <c r="D259" s="63"/>
      <c r="E259" s="231">
        <v>51.9</v>
      </c>
      <c r="F259" s="899"/>
      <c r="G259" s="1152" t="s">
        <v>9</v>
      </c>
    </row>
    <row r="260" spans="1:7" ht="14.25" thickBot="1">
      <c r="A260" s="884">
        <v>44132</v>
      </c>
      <c r="B260" s="240" t="str">
        <f>TiposLancamentos!B45</f>
        <v>Online Services</v>
      </c>
      <c r="C260" s="878" t="s">
        <v>1894</v>
      </c>
      <c r="D260" s="63"/>
      <c r="E260" s="231">
        <v>32.9</v>
      </c>
      <c r="F260" s="899"/>
      <c r="G260" s="1152" t="s">
        <v>9</v>
      </c>
    </row>
    <row r="261" spans="1:7">
      <c r="A261" s="1032"/>
      <c r="B261" s="1230"/>
      <c r="C261" s="906" t="s">
        <v>13914</v>
      </c>
      <c r="D261" s="896"/>
      <c r="E261" s="925"/>
      <c r="F261" s="1034">
        <f>SUM(E234:E251)</f>
        <v>2580.4550000000004</v>
      </c>
      <c r="G261" s="3"/>
    </row>
    <row r="262" spans="1:7">
      <c r="A262" s="884">
        <v>44137</v>
      </c>
      <c r="B262" s="240" t="str">
        <f>TiposLancamentos!B38</f>
        <v>Playstation 4</v>
      </c>
      <c r="C262" s="878" t="s">
        <v>15404</v>
      </c>
      <c r="D262" s="63"/>
      <c r="E262" s="231">
        <v>114.85</v>
      </c>
      <c r="F262" s="899">
        <f>F261-F243</f>
        <v>881.1850000000004</v>
      </c>
      <c r="G262" s="1152" t="s">
        <v>9</v>
      </c>
    </row>
    <row r="263" spans="1:7">
      <c r="A263" s="884">
        <v>44138</v>
      </c>
      <c r="B263" s="240" t="str">
        <f>TiposLancamentos!B15</f>
        <v>Cartões de Crédito</v>
      </c>
      <c r="C263" s="878" t="s">
        <v>15405</v>
      </c>
      <c r="D263" s="63">
        <v>2580.46</v>
      </c>
      <c r="E263" s="231"/>
      <c r="F263" s="899"/>
      <c r="G263" s="1152" t="s">
        <v>9</v>
      </c>
    </row>
    <row r="264" spans="1:7">
      <c r="A264" s="884">
        <v>44140</v>
      </c>
      <c r="B264" s="240" t="str">
        <f>TiposLancamentos!B19</f>
        <v>Restaurantes</v>
      </c>
      <c r="C264" s="878" t="s">
        <v>15406</v>
      </c>
      <c r="D264" s="63"/>
      <c r="E264" s="231">
        <v>53.3</v>
      </c>
      <c r="F264" s="899"/>
      <c r="G264" s="1152" t="s">
        <v>9</v>
      </c>
    </row>
    <row r="265" spans="1:7">
      <c r="A265" s="884">
        <v>44140</v>
      </c>
      <c r="B265" s="240" t="str">
        <f>TiposLancamentos!B34</f>
        <v>Seguros</v>
      </c>
      <c r="C265" s="878" t="s">
        <v>15407</v>
      </c>
      <c r="D265" s="63"/>
      <c r="E265" s="231">
        <v>288.94</v>
      </c>
      <c r="F265" s="899"/>
      <c r="G265" s="1152" t="s">
        <v>9</v>
      </c>
    </row>
    <row r="266" spans="1:7">
      <c r="A266" s="884">
        <v>44140</v>
      </c>
      <c r="B266" s="240" t="str">
        <f>TiposLancamentos!B34</f>
        <v>Seguros</v>
      </c>
      <c r="C266" s="878" t="s">
        <v>15408</v>
      </c>
      <c r="D266" s="63"/>
      <c r="E266" s="231">
        <v>220.71</v>
      </c>
      <c r="F266" s="899">
        <v>1324.71</v>
      </c>
      <c r="G266" s="1152" t="s">
        <v>9</v>
      </c>
    </row>
    <row r="267" spans="1:7">
      <c r="A267" s="884">
        <v>44141</v>
      </c>
      <c r="B267" s="240" t="str">
        <f>TiposLancamentos!B19</f>
        <v>Restaurantes</v>
      </c>
      <c r="C267" s="878" t="s">
        <v>15409</v>
      </c>
      <c r="D267" s="63"/>
      <c r="E267" s="231">
        <v>35</v>
      </c>
      <c r="F267" s="899"/>
      <c r="G267" s="1152" t="s">
        <v>9</v>
      </c>
    </row>
    <row r="268" spans="1:7">
      <c r="A268" s="884">
        <v>44146</v>
      </c>
      <c r="B268" s="240" t="str">
        <f>TiposLancamentos!B16</f>
        <v>Cristiane</v>
      </c>
      <c r="C268" s="878" t="s">
        <v>15410</v>
      </c>
      <c r="D268" s="63"/>
      <c r="E268" s="231">
        <v>56.27</v>
      </c>
      <c r="F268" s="899"/>
      <c r="G268" s="1152" t="s">
        <v>9</v>
      </c>
    </row>
    <row r="269" spans="1:7">
      <c r="A269" s="884">
        <v>44146</v>
      </c>
      <c r="B269" s="240" t="str">
        <f>TiposLancamentos!B16</f>
        <v>Cristiane</v>
      </c>
      <c r="C269" s="878" t="s">
        <v>15411</v>
      </c>
      <c r="D269" s="63"/>
      <c r="E269" s="231">
        <v>189.99</v>
      </c>
      <c r="F269" s="899"/>
      <c r="G269" s="1152" t="s">
        <v>9</v>
      </c>
    </row>
    <row r="270" spans="1:7">
      <c r="A270" s="884">
        <v>44146</v>
      </c>
      <c r="B270" s="240" t="str">
        <f>TiposLancamentos!B16</f>
        <v>Cristiane</v>
      </c>
      <c r="C270" s="878" t="s">
        <v>15412</v>
      </c>
      <c r="D270" s="63"/>
      <c r="E270" s="231">
        <v>26.97</v>
      </c>
      <c r="F270" s="899"/>
      <c r="G270" s="1152" t="s">
        <v>9</v>
      </c>
    </row>
    <row r="271" spans="1:7">
      <c r="A271" s="884">
        <v>44147</v>
      </c>
      <c r="B271" s="240" t="str">
        <f>TiposLancamentos!B19</f>
        <v>Restaurantes</v>
      </c>
      <c r="C271" s="878" t="s">
        <v>15389</v>
      </c>
      <c r="D271" s="63"/>
      <c r="E271" s="231">
        <v>68</v>
      </c>
      <c r="F271" s="899"/>
      <c r="G271" s="1152" t="s">
        <v>9</v>
      </c>
    </row>
    <row r="272" spans="1:7">
      <c r="A272" s="884">
        <v>44148</v>
      </c>
      <c r="B272" s="240" t="str">
        <f>TiposLancamentos!B5</f>
        <v>Supermercado</v>
      </c>
      <c r="C272" s="878" t="s">
        <v>7068</v>
      </c>
      <c r="D272" s="63"/>
      <c r="E272" s="231">
        <v>19.48</v>
      </c>
      <c r="F272" s="899"/>
      <c r="G272" s="1152" t="s">
        <v>9</v>
      </c>
    </row>
    <row r="273" spans="1:7">
      <c r="A273" s="884">
        <v>44149</v>
      </c>
      <c r="B273" s="240" t="str">
        <f>TiposLancamentos!B16</f>
        <v>Cristiane</v>
      </c>
      <c r="C273" s="878" t="s">
        <v>15413</v>
      </c>
      <c r="D273" s="63"/>
      <c r="E273" s="231">
        <v>73</v>
      </c>
      <c r="F273" s="899"/>
      <c r="G273" s="1152" t="s">
        <v>9</v>
      </c>
    </row>
    <row r="274" spans="1:7">
      <c r="A274" s="884">
        <v>44151</v>
      </c>
      <c r="B274" s="240" t="str">
        <f>TiposLancamentos!B23</f>
        <v>P208 GRIFFE 1.6 AUT BUSINESS</v>
      </c>
      <c r="C274" s="878" t="s">
        <v>15414</v>
      </c>
      <c r="D274" s="63"/>
      <c r="E274" s="231">
        <f>F274/6</f>
        <v>500</v>
      </c>
      <c r="F274" s="899">
        <v>3000</v>
      </c>
      <c r="G274" s="1152" t="s">
        <v>9</v>
      </c>
    </row>
    <row r="275" spans="1:7">
      <c r="A275" s="884">
        <v>44155</v>
      </c>
      <c r="B275" s="240" t="str">
        <f>TiposLancamentos!B5</f>
        <v>Supermercado</v>
      </c>
      <c r="C275" s="878" t="s">
        <v>15415</v>
      </c>
      <c r="D275" s="63"/>
      <c r="E275" s="231">
        <v>38</v>
      </c>
      <c r="F275" s="899"/>
      <c r="G275" s="1152" t="s">
        <v>9</v>
      </c>
    </row>
    <row r="276" spans="1:7">
      <c r="A276" s="934"/>
      <c r="B276" s="243"/>
      <c r="C276" s="389" t="s">
        <v>10</v>
      </c>
      <c r="D276" s="146"/>
      <c r="E276" s="1190"/>
      <c r="F276" s="935"/>
      <c r="G276" s="1094" t="s">
        <v>11</v>
      </c>
    </row>
    <row r="277" spans="1:7">
      <c r="A277" s="884">
        <v>44157</v>
      </c>
      <c r="B277" s="240" t="str">
        <f>TiposLancamentos!B16</f>
        <v>Cristiane</v>
      </c>
      <c r="C277" s="878" t="s">
        <v>15416</v>
      </c>
      <c r="D277" s="63"/>
      <c r="E277" s="231">
        <f>F277/10</f>
        <v>269.89999999999998</v>
      </c>
      <c r="F277" s="899">
        <v>2699</v>
      </c>
      <c r="G277" s="1152" t="s">
        <v>9</v>
      </c>
    </row>
    <row r="278" spans="1:7">
      <c r="A278" s="884">
        <v>44157</v>
      </c>
      <c r="B278" s="240" t="str">
        <f>TiposLancamentos!B38</f>
        <v>Playstation 4</v>
      </c>
      <c r="C278" s="878" t="s">
        <v>15417</v>
      </c>
      <c r="D278" s="63"/>
      <c r="E278" s="231">
        <v>70.02</v>
      </c>
      <c r="F278" s="899"/>
      <c r="G278" s="1152" t="s">
        <v>9</v>
      </c>
    </row>
    <row r="279" spans="1:7">
      <c r="A279" s="858">
        <v>44157</v>
      </c>
      <c r="B279" s="822" t="str">
        <f>TiposLancamentos!B71</f>
        <v>Itens Pessoais</v>
      </c>
      <c r="C279" s="808" t="s">
        <v>15418</v>
      </c>
      <c r="D279" s="747"/>
      <c r="E279" s="1139">
        <v>29.9</v>
      </c>
      <c r="F279" s="1145"/>
      <c r="G279" s="1152" t="s">
        <v>9</v>
      </c>
    </row>
    <row r="280" spans="1:7">
      <c r="A280" s="862">
        <v>44157</v>
      </c>
      <c r="B280" s="823" t="str">
        <f>TiposLancamentos!B28</f>
        <v>ComicBook</v>
      </c>
      <c r="C280" s="812" t="s">
        <v>15419</v>
      </c>
      <c r="D280" s="849"/>
      <c r="E280" s="1141">
        <v>48.42</v>
      </c>
      <c r="F280" s="1146">
        <f>SUM(E279:E280)</f>
        <v>78.319999999999993</v>
      </c>
      <c r="G280" s="1152" t="s">
        <v>9</v>
      </c>
    </row>
    <row r="281" spans="1:7">
      <c r="A281" s="884">
        <v>44158</v>
      </c>
      <c r="B281" s="240" t="str">
        <f>TiposLancamentos!B57</f>
        <v>Informática</v>
      </c>
      <c r="C281" s="878" t="s">
        <v>15420</v>
      </c>
      <c r="D281" s="63"/>
      <c r="E281" s="231">
        <v>703.53</v>
      </c>
      <c r="F281" s="899"/>
      <c r="G281" s="1152" t="s">
        <v>9</v>
      </c>
    </row>
    <row r="282" spans="1:7">
      <c r="A282" s="858">
        <v>44158</v>
      </c>
      <c r="B282" s="822" t="str">
        <f>TiposLancamentos!B57</f>
        <v>Informática</v>
      </c>
      <c r="C282" s="808" t="s">
        <v>15421</v>
      </c>
      <c r="D282" s="747"/>
      <c r="E282" s="1139">
        <v>79.86</v>
      </c>
      <c r="F282" s="1145"/>
      <c r="G282" s="1152" t="s">
        <v>9</v>
      </c>
    </row>
    <row r="283" spans="1:7">
      <c r="A283" s="862">
        <v>44158</v>
      </c>
      <c r="B283" s="823" t="str">
        <f>TiposLancamentos!B28</f>
        <v>ComicBook</v>
      </c>
      <c r="C283" s="812" t="s">
        <v>15422</v>
      </c>
      <c r="D283" s="849"/>
      <c r="E283" s="1141">
        <v>18.75</v>
      </c>
      <c r="F283" s="1146">
        <f>SUM(E282:E283)</f>
        <v>98.61</v>
      </c>
      <c r="G283" s="1152" t="s">
        <v>9</v>
      </c>
    </row>
    <row r="284" spans="1:7">
      <c r="A284" s="884">
        <v>44158</v>
      </c>
      <c r="B284" s="240" t="str">
        <f>TiposLancamentos!B73</f>
        <v>Cursos</v>
      </c>
      <c r="C284" s="878" t="s">
        <v>15423</v>
      </c>
      <c r="D284" s="63"/>
      <c r="E284" s="231">
        <v>900</v>
      </c>
      <c r="F284" s="899"/>
      <c r="G284" s="1152" t="s">
        <v>9</v>
      </c>
    </row>
    <row r="285" spans="1:7">
      <c r="A285" s="884">
        <v>44161</v>
      </c>
      <c r="B285" s="240" t="str">
        <f>TiposLancamentos!B16</f>
        <v>Cristiane</v>
      </c>
      <c r="C285" s="878" t="s">
        <v>15424</v>
      </c>
      <c r="D285" s="63"/>
      <c r="E285" s="231">
        <v>202.6</v>
      </c>
      <c r="F285" s="899"/>
      <c r="G285" s="1152" t="s">
        <v>9</v>
      </c>
    </row>
    <row r="286" spans="1:7">
      <c r="A286" s="884">
        <v>44161</v>
      </c>
      <c r="B286" s="240" t="str">
        <f>TiposLancamentos!B5</f>
        <v>Supermercado</v>
      </c>
      <c r="C286" s="878" t="s">
        <v>15425</v>
      </c>
      <c r="D286" s="63"/>
      <c r="E286" s="231">
        <v>63.4</v>
      </c>
      <c r="F286" s="899"/>
      <c r="G286" s="1152" t="s">
        <v>9</v>
      </c>
    </row>
    <row r="287" spans="1:7">
      <c r="A287" s="884">
        <v>44162</v>
      </c>
      <c r="B287" s="240" t="str">
        <f>TiposLancamentos!B16</f>
        <v>Cristiane</v>
      </c>
      <c r="C287" s="878" t="s">
        <v>15426</v>
      </c>
      <c r="D287" s="63"/>
      <c r="E287" s="231">
        <v>97.62</v>
      </c>
      <c r="F287" s="899"/>
      <c r="G287" s="1152" t="s">
        <v>9</v>
      </c>
    </row>
    <row r="288" spans="1:7">
      <c r="A288" s="884">
        <v>44163</v>
      </c>
      <c r="B288" s="240" t="str">
        <f>TiposLancamentos!B16</f>
        <v>Cristiane</v>
      </c>
      <c r="C288" s="878" t="s">
        <v>15427</v>
      </c>
      <c r="D288" s="63"/>
      <c r="E288" s="231">
        <v>35.68</v>
      </c>
      <c r="F288" s="899"/>
      <c r="G288" s="1152" t="s">
        <v>9</v>
      </c>
    </row>
    <row r="289" spans="1:7">
      <c r="A289" s="884">
        <v>44163</v>
      </c>
      <c r="B289" s="240" t="str">
        <f>TiposLancamentos!B16</f>
        <v>Cristiane</v>
      </c>
      <c r="C289" s="878" t="s">
        <v>7863</v>
      </c>
      <c r="D289" s="63"/>
      <c r="E289" s="231">
        <v>47.59</v>
      </c>
      <c r="F289" s="899"/>
      <c r="G289" s="1152" t="s">
        <v>9</v>
      </c>
    </row>
    <row r="290" spans="1:7" ht="14.25" thickBot="1">
      <c r="A290" s="884">
        <v>44163</v>
      </c>
      <c r="B290" s="240" t="str">
        <f>TiposLancamentos!B45</f>
        <v>Online Services</v>
      </c>
      <c r="C290" s="878" t="s">
        <v>1894</v>
      </c>
      <c r="D290" s="63"/>
      <c r="E290" s="231">
        <v>32.9</v>
      </c>
      <c r="F290" s="899"/>
      <c r="G290" s="1152" t="s">
        <v>9</v>
      </c>
    </row>
    <row r="291" spans="1:7">
      <c r="A291" s="1032"/>
      <c r="B291" s="1230"/>
      <c r="C291" s="906" t="s">
        <v>13918</v>
      </c>
      <c r="D291" s="896"/>
      <c r="E291" s="925"/>
      <c r="F291" s="1034">
        <f>SUM(E253:E275)</f>
        <v>3791.2349999999997</v>
      </c>
      <c r="G291" s="3"/>
    </row>
    <row r="292" spans="1:7">
      <c r="A292" s="884">
        <v>44166</v>
      </c>
      <c r="B292" s="240" t="str">
        <f>TiposLancamentos!B15</f>
        <v>Cartões de Crédito</v>
      </c>
      <c r="C292" s="878" t="s">
        <v>1874</v>
      </c>
      <c r="D292" s="63">
        <v>3791.24</v>
      </c>
      <c r="E292" s="231"/>
      <c r="F292" s="899">
        <f>F291-F261</f>
        <v>1210.7799999999993</v>
      </c>
      <c r="G292" s="1152" t="s">
        <v>9</v>
      </c>
    </row>
    <row r="293" spans="1:7">
      <c r="A293" s="884">
        <v>44167</v>
      </c>
      <c r="B293" s="240" t="str">
        <f>TiposLancamentos!B102</f>
        <v>ESTORNO</v>
      </c>
      <c r="C293" s="878" t="s">
        <v>15428</v>
      </c>
      <c r="D293" s="63">
        <v>0.2</v>
      </c>
      <c r="E293" s="231"/>
      <c r="F293" s="899"/>
      <c r="G293" s="1152" t="s">
        <v>9</v>
      </c>
    </row>
    <row r="294" spans="1:7">
      <c r="A294" s="884">
        <v>44167</v>
      </c>
      <c r="B294" s="240" t="str">
        <f>TiposLancamentos!B19</f>
        <v>Restaurantes</v>
      </c>
      <c r="C294" s="878" t="s">
        <v>15429</v>
      </c>
      <c r="D294" s="63"/>
      <c r="E294" s="231">
        <v>69</v>
      </c>
      <c r="F294" s="899"/>
      <c r="G294" s="1152" t="s">
        <v>9</v>
      </c>
    </row>
    <row r="295" spans="1:7">
      <c r="A295" s="884">
        <v>44168</v>
      </c>
      <c r="B295" s="240" t="str">
        <f>TiposLancamentos!B34</f>
        <v>Seguros</v>
      </c>
      <c r="C295" s="878" t="s">
        <v>15430</v>
      </c>
      <c r="D295" s="63"/>
      <c r="E295" s="231">
        <v>220.71</v>
      </c>
      <c r="F295" s="899">
        <v>1324.71</v>
      </c>
      <c r="G295" s="1152" t="s">
        <v>9</v>
      </c>
    </row>
    <row r="296" spans="1:7">
      <c r="A296" s="884">
        <v>44168</v>
      </c>
      <c r="B296" s="240" t="str">
        <f>TiposLancamentos!B34</f>
        <v>Seguros</v>
      </c>
      <c r="C296" s="878" t="s">
        <v>15431</v>
      </c>
      <c r="D296" s="63"/>
      <c r="E296" s="231">
        <v>288.94</v>
      </c>
      <c r="F296" s="899"/>
      <c r="G296" s="1152" t="s">
        <v>9</v>
      </c>
    </row>
    <row r="297" spans="1:7">
      <c r="A297" s="884">
        <v>44173</v>
      </c>
      <c r="B297" s="240" t="str">
        <f>TiposLancamentos!B19</f>
        <v>Restaurantes</v>
      </c>
      <c r="C297" s="878" t="s">
        <v>15432</v>
      </c>
      <c r="D297" s="63"/>
      <c r="E297" s="231">
        <v>76</v>
      </c>
      <c r="F297" s="899"/>
      <c r="G297" s="1152" t="s">
        <v>9</v>
      </c>
    </row>
    <row r="298" spans="1:7">
      <c r="A298" s="884">
        <v>44176</v>
      </c>
      <c r="B298" s="240" t="str">
        <f>TiposLancamentos!B19</f>
        <v>Restaurantes</v>
      </c>
      <c r="C298" s="878" t="s">
        <v>15433</v>
      </c>
      <c r="D298" s="63"/>
      <c r="E298" s="231">
        <v>72</v>
      </c>
      <c r="F298" s="899"/>
      <c r="G298" s="1152" t="s">
        <v>9</v>
      </c>
    </row>
    <row r="299" spans="1:7">
      <c r="A299" s="884">
        <v>44176</v>
      </c>
      <c r="B299" s="240" t="str">
        <f>TiposLancamentos!B19</f>
        <v>Restaurantes</v>
      </c>
      <c r="C299" s="878" t="s">
        <v>15434</v>
      </c>
      <c r="D299" s="63"/>
      <c r="E299" s="231">
        <v>65.900000000000006</v>
      </c>
      <c r="F299" s="899"/>
      <c r="G299" s="1152" t="s">
        <v>9</v>
      </c>
    </row>
    <row r="300" spans="1:7">
      <c r="A300" s="884">
        <v>44181</v>
      </c>
      <c r="B300" s="240" t="str">
        <f>TiposLancamentos!B23</f>
        <v>P208 GRIFFE 1.6 AUT BUSINESS</v>
      </c>
      <c r="C300" s="878" t="s">
        <v>15435</v>
      </c>
      <c r="D300" s="63"/>
      <c r="E300" s="231">
        <f>F300/6</f>
        <v>500</v>
      </c>
      <c r="F300" s="899">
        <v>3000</v>
      </c>
      <c r="G300" s="1152" t="s">
        <v>9</v>
      </c>
    </row>
    <row r="301" spans="1:7">
      <c r="A301" s="884">
        <v>44187</v>
      </c>
      <c r="B301" s="240" t="str">
        <f>TiposLancamentos!B4</f>
        <v>Taxas Bancarias</v>
      </c>
      <c r="C301" s="878" t="s">
        <v>15436</v>
      </c>
      <c r="D301" s="63"/>
      <c r="E301" s="231">
        <v>5.5</v>
      </c>
      <c r="F301" s="899"/>
      <c r="G301" s="1152" t="s">
        <v>9</v>
      </c>
    </row>
    <row r="302" spans="1:7">
      <c r="A302" s="934"/>
      <c r="B302" s="243"/>
      <c r="C302" s="389" t="s">
        <v>10</v>
      </c>
      <c r="D302" s="146"/>
      <c r="E302" s="1190"/>
      <c r="F302" s="935"/>
      <c r="G302" s="1094" t="s">
        <v>11</v>
      </c>
    </row>
    <row r="303" spans="1:7">
      <c r="A303" s="884">
        <v>44187</v>
      </c>
      <c r="B303" s="240" t="str">
        <f>TiposLancamentos!B16</f>
        <v>Cristiane</v>
      </c>
      <c r="C303" s="878" t="s">
        <v>15437</v>
      </c>
      <c r="D303" s="63"/>
      <c r="E303" s="231">
        <f>F303/10</f>
        <v>269.89999999999998</v>
      </c>
      <c r="F303" s="899">
        <v>2699</v>
      </c>
      <c r="G303" s="1152" t="s">
        <v>9</v>
      </c>
    </row>
    <row r="304" spans="1:7">
      <c r="A304" s="884">
        <v>44188</v>
      </c>
      <c r="B304" s="240" t="str">
        <f>TiposLancamentos!B57</f>
        <v>Informática</v>
      </c>
      <c r="C304" s="878" t="s">
        <v>15438</v>
      </c>
      <c r="D304" s="63"/>
      <c r="E304" s="231">
        <v>703.53</v>
      </c>
      <c r="F304" s="899"/>
      <c r="G304" s="1152" t="s">
        <v>9</v>
      </c>
    </row>
    <row r="305" spans="1:7">
      <c r="A305" s="884">
        <v>44187</v>
      </c>
      <c r="B305" s="240" t="str">
        <f>TiposLancamentos!B4</f>
        <v>Taxas Bancarias</v>
      </c>
      <c r="C305" s="878" t="s">
        <v>15439</v>
      </c>
      <c r="D305" s="63"/>
      <c r="E305" s="231">
        <v>5.5</v>
      </c>
      <c r="F305" s="899"/>
      <c r="G305" s="1152" t="s">
        <v>9</v>
      </c>
    </row>
    <row r="306" spans="1:7">
      <c r="A306" s="858">
        <v>44188</v>
      </c>
      <c r="B306" s="822" t="str">
        <f>B282</f>
        <v>Informática</v>
      </c>
      <c r="C306" s="808" t="s">
        <v>15440</v>
      </c>
      <c r="D306" s="747"/>
      <c r="E306" s="1139">
        <v>79.849999999999994</v>
      </c>
      <c r="F306" s="1145"/>
      <c r="G306" s="1152" t="s">
        <v>9</v>
      </c>
    </row>
    <row r="307" spans="1:7">
      <c r="A307" s="862">
        <v>44188</v>
      </c>
      <c r="B307" s="823" t="str">
        <f>B283</f>
        <v>ComicBook</v>
      </c>
      <c r="C307" s="812" t="s">
        <v>15441</v>
      </c>
      <c r="D307" s="849"/>
      <c r="E307" s="1141">
        <v>18.760000000000002</v>
      </c>
      <c r="F307" s="1146">
        <f>SUM(E306:E307)</f>
        <v>98.61</v>
      </c>
      <c r="G307" s="1152" t="s">
        <v>9</v>
      </c>
    </row>
    <row r="308" spans="1:7">
      <c r="A308" s="884">
        <v>44188</v>
      </c>
      <c r="B308" s="240" t="str">
        <f>B284</f>
        <v>Cursos</v>
      </c>
      <c r="C308" s="878" t="s">
        <v>15442</v>
      </c>
      <c r="D308" s="63"/>
      <c r="E308" s="231">
        <v>900</v>
      </c>
      <c r="F308" s="899"/>
      <c r="G308" s="1152" t="s">
        <v>9</v>
      </c>
    </row>
    <row r="309" spans="1:7" ht="14.25" thickBot="1">
      <c r="A309" s="884">
        <v>44193</v>
      </c>
      <c r="B309" s="240" t="str">
        <f>TiposLancamentos!B45</f>
        <v>Online Services</v>
      </c>
      <c r="C309" s="878" t="s">
        <v>1894</v>
      </c>
      <c r="D309" s="63"/>
      <c r="E309" s="231">
        <v>32.9</v>
      </c>
      <c r="F309" s="899"/>
      <c r="G309" s="1152" t="s">
        <v>9</v>
      </c>
    </row>
    <row r="310" spans="1:7">
      <c r="A310" s="1032"/>
      <c r="B310" s="1230"/>
      <c r="C310" s="906" t="s">
        <v>13920</v>
      </c>
      <c r="D310" s="896"/>
      <c r="E310" s="925"/>
      <c r="F310" s="1034">
        <f>SUM(E277:E301)-D293</f>
        <v>3898.0200000000004</v>
      </c>
      <c r="G310" s="3"/>
    </row>
    <row r="311" spans="1:7">
      <c r="A311" s="884">
        <v>44200</v>
      </c>
      <c r="B311" s="240" t="str">
        <f>TiposLancamentos!B15</f>
        <v>Cartões de Crédito</v>
      </c>
      <c r="C311" s="878" t="s">
        <v>11109</v>
      </c>
      <c r="D311" s="63">
        <v>3898.02</v>
      </c>
      <c r="E311" s="231"/>
      <c r="F311" s="899">
        <f>F310-F291</f>
        <v>106.78500000000076</v>
      </c>
      <c r="G311" s="1152" t="s">
        <v>9</v>
      </c>
    </row>
    <row r="312" spans="1:7">
      <c r="A312" s="884">
        <v>44202</v>
      </c>
      <c r="B312" s="240" t="str">
        <f>TiposLancamentos!B34</f>
        <v>Seguros</v>
      </c>
      <c r="C312" s="878" t="s">
        <v>15443</v>
      </c>
      <c r="D312" s="63"/>
      <c r="E312" s="231">
        <v>221.16</v>
      </c>
      <c r="F312" s="899">
        <v>1324.71</v>
      </c>
      <c r="G312" s="1152" t="s">
        <v>9</v>
      </c>
    </row>
    <row r="313" spans="1:7">
      <c r="A313" s="884">
        <v>44202</v>
      </c>
      <c r="B313" s="240" t="str">
        <f>TiposLancamentos!B34</f>
        <v>Seguros</v>
      </c>
      <c r="C313" s="878" t="s">
        <v>15444</v>
      </c>
      <c r="D313" s="63"/>
      <c r="E313" s="231">
        <v>288.94</v>
      </c>
      <c r="F313" s="899"/>
      <c r="G313" s="1152" t="s">
        <v>9</v>
      </c>
    </row>
    <row r="314" spans="1:7">
      <c r="A314" s="884">
        <v>44202</v>
      </c>
      <c r="B314" s="240" t="str">
        <f>TiposLancamentos!B19</f>
        <v>Restaurantes</v>
      </c>
      <c r="C314" s="878" t="s">
        <v>8332</v>
      </c>
      <c r="D314" s="63"/>
      <c r="E314" s="231">
        <v>87.8</v>
      </c>
      <c r="F314" s="899"/>
      <c r="G314" s="1152" t="s">
        <v>9</v>
      </c>
    </row>
    <row r="315" spans="1:7">
      <c r="A315" s="884">
        <v>44203</v>
      </c>
      <c r="B315" s="240" t="str">
        <f>TiposLancamentos!B38</f>
        <v>Playstation 4</v>
      </c>
      <c r="C315" s="878" t="s">
        <v>15445</v>
      </c>
      <c r="D315" s="63"/>
      <c r="E315" s="231">
        <v>40.1</v>
      </c>
      <c r="F315" s="899"/>
      <c r="G315" s="1152" t="s">
        <v>9</v>
      </c>
    </row>
    <row r="316" spans="1:7">
      <c r="A316" s="884">
        <v>44205</v>
      </c>
      <c r="B316" s="240" t="str">
        <f>TiposLancamentos!B19</f>
        <v>Restaurantes</v>
      </c>
      <c r="C316" s="878" t="s">
        <v>15389</v>
      </c>
      <c r="D316" s="63"/>
      <c r="E316" s="231">
        <v>69</v>
      </c>
      <c r="F316" s="899"/>
      <c r="G316" s="1152" t="s">
        <v>9</v>
      </c>
    </row>
    <row r="317" spans="1:7">
      <c r="A317" s="884">
        <v>44210</v>
      </c>
      <c r="B317" s="240" t="str">
        <f>TiposLancamentos!B19</f>
        <v>Restaurantes</v>
      </c>
      <c r="C317" s="878" t="s">
        <v>15446</v>
      </c>
      <c r="D317" s="63"/>
      <c r="E317" s="231">
        <v>49.7</v>
      </c>
      <c r="F317" s="899"/>
      <c r="G317" s="1152" t="s">
        <v>9</v>
      </c>
    </row>
    <row r="318" spans="1:7">
      <c r="A318" s="884">
        <v>44211</v>
      </c>
      <c r="B318" s="240" t="str">
        <f>TiposLancamentos!B19</f>
        <v>Restaurantes</v>
      </c>
      <c r="C318" s="878" t="s">
        <v>15447</v>
      </c>
      <c r="D318" s="63"/>
      <c r="E318" s="231">
        <v>139.99</v>
      </c>
      <c r="F318" s="899"/>
      <c r="G318" s="1152" t="s">
        <v>9</v>
      </c>
    </row>
    <row r="319" spans="1:7">
      <c r="A319" s="884">
        <v>44212</v>
      </c>
      <c r="B319" s="240" t="str">
        <f>TiposLancamentos!B23</f>
        <v>P208 GRIFFE 1.6 AUT BUSINESS</v>
      </c>
      <c r="C319" s="878" t="s">
        <v>15448</v>
      </c>
      <c r="D319" s="63"/>
      <c r="E319" s="231">
        <f>F319/6</f>
        <v>500</v>
      </c>
      <c r="F319" s="899">
        <v>3000</v>
      </c>
      <c r="G319" s="1152" t="s">
        <v>9</v>
      </c>
    </row>
    <row r="320" spans="1:7">
      <c r="A320" s="934"/>
      <c r="B320" s="243"/>
      <c r="C320" s="389" t="s">
        <v>10</v>
      </c>
      <c r="D320" s="146"/>
      <c r="E320" s="1190"/>
      <c r="F320" s="935"/>
      <c r="G320" s="1094" t="s">
        <v>11</v>
      </c>
    </row>
    <row r="321" spans="1:7">
      <c r="A321" s="884">
        <v>44218</v>
      </c>
      <c r="B321" s="240" t="str">
        <f>TiposLancamentos!B16</f>
        <v>Cristiane</v>
      </c>
      <c r="C321" s="878" t="s">
        <v>15449</v>
      </c>
      <c r="D321" s="63"/>
      <c r="E321" s="231">
        <f>F321/10</f>
        <v>269.89999999999998</v>
      </c>
      <c r="F321" s="899">
        <v>2699</v>
      </c>
      <c r="G321" s="1094" t="s">
        <v>11</v>
      </c>
    </row>
    <row r="322" spans="1:7">
      <c r="A322" s="884">
        <v>44218</v>
      </c>
      <c r="B322" s="240" t="str">
        <f>TiposLancamentos!B4</f>
        <v>Taxas Bancarias</v>
      </c>
      <c r="C322" s="878" t="s">
        <v>15439</v>
      </c>
      <c r="D322" s="63"/>
      <c r="E322" s="231">
        <v>5.5</v>
      </c>
      <c r="F322" s="899"/>
      <c r="G322" s="1152" t="s">
        <v>9</v>
      </c>
    </row>
    <row r="323" spans="1:7">
      <c r="A323" s="884">
        <v>44219</v>
      </c>
      <c r="B323" s="240" t="str">
        <f>TiposLancamentos!B57</f>
        <v>Informática</v>
      </c>
      <c r="C323" s="878" t="s">
        <v>15450</v>
      </c>
      <c r="D323" s="63"/>
      <c r="E323" s="231">
        <v>703.53</v>
      </c>
      <c r="F323" s="899"/>
      <c r="G323" s="1094" t="s">
        <v>11</v>
      </c>
    </row>
    <row r="324" spans="1:7">
      <c r="A324" s="884">
        <v>44219</v>
      </c>
      <c r="B324" s="240" t="str">
        <f>B284</f>
        <v>Cursos</v>
      </c>
      <c r="C324" s="878" t="s">
        <v>15451</v>
      </c>
      <c r="D324" s="63"/>
      <c r="E324" s="231">
        <v>900</v>
      </c>
      <c r="F324" s="899"/>
      <c r="G324" s="1094" t="s">
        <v>11</v>
      </c>
    </row>
    <row r="325" spans="1:7">
      <c r="A325" s="884">
        <v>44219</v>
      </c>
      <c r="B325" s="240" t="str">
        <f>TiposLancamentos!B19</f>
        <v>Restaurantes</v>
      </c>
      <c r="C325" s="878" t="s">
        <v>15389</v>
      </c>
      <c r="D325" s="63"/>
      <c r="E325" s="231">
        <v>69</v>
      </c>
      <c r="F325" s="899"/>
      <c r="G325" s="1152" t="s">
        <v>9</v>
      </c>
    </row>
    <row r="326" spans="1:7">
      <c r="A326" s="884">
        <v>44221</v>
      </c>
      <c r="B326" s="240" t="str">
        <f>B325</f>
        <v>Restaurantes</v>
      </c>
      <c r="C326" s="878" t="s">
        <v>9760</v>
      </c>
      <c r="D326" s="63"/>
      <c r="E326" s="231">
        <v>54.52</v>
      </c>
      <c r="F326" s="899"/>
      <c r="G326" s="1152" t="s">
        <v>9</v>
      </c>
    </row>
    <row r="327" spans="1:7">
      <c r="A327" s="884">
        <v>44223</v>
      </c>
      <c r="B327" s="240" t="str">
        <f>TiposLancamentos!B19</f>
        <v>Restaurantes</v>
      </c>
      <c r="C327" s="878" t="s">
        <v>15452</v>
      </c>
      <c r="D327" s="63"/>
      <c r="E327" s="231">
        <v>51.8</v>
      </c>
      <c r="F327" s="899"/>
      <c r="G327" s="1152" t="s">
        <v>9</v>
      </c>
    </row>
    <row r="328" spans="1:7">
      <c r="A328" s="884">
        <v>44223</v>
      </c>
      <c r="B328" s="240" t="str">
        <f>TiposLancamentos!B19</f>
        <v>Restaurantes</v>
      </c>
      <c r="C328" s="878" t="s">
        <v>15389</v>
      </c>
      <c r="D328" s="63"/>
      <c r="E328" s="231">
        <v>69</v>
      </c>
      <c r="F328" s="899"/>
      <c r="G328" s="1152" t="s">
        <v>9</v>
      </c>
    </row>
    <row r="329" spans="1:7">
      <c r="A329" s="884">
        <v>44224</v>
      </c>
      <c r="B329" s="240" t="str">
        <f>TiposLancamentos!B45</f>
        <v>Online Services</v>
      </c>
      <c r="C329" s="878" t="s">
        <v>1894</v>
      </c>
      <c r="D329" s="63"/>
      <c r="E329" s="231">
        <v>32.9</v>
      </c>
      <c r="F329" s="899"/>
      <c r="G329" s="1152" t="s">
        <v>9</v>
      </c>
    </row>
    <row r="330" spans="1:7">
      <c r="A330" s="884">
        <v>44224</v>
      </c>
      <c r="B330" s="240" t="str">
        <f>TiposLancamentos!B13</f>
        <v>Moradia</v>
      </c>
      <c r="C330" s="878" t="s">
        <v>15453</v>
      </c>
      <c r="D330" s="63"/>
      <c r="E330" s="231">
        <v>164.9</v>
      </c>
      <c r="F330" s="899"/>
      <c r="G330" s="1152" t="s">
        <v>9</v>
      </c>
    </row>
    <row r="331" spans="1:7" ht="14.25" thickBot="1">
      <c r="A331" s="884">
        <v>44225</v>
      </c>
      <c r="B331" s="240" t="str">
        <f>TiposLancamentos!B70</f>
        <v>Vestuário</v>
      </c>
      <c r="C331" s="878" t="s">
        <v>15454</v>
      </c>
      <c r="D331" s="63"/>
      <c r="E331" s="231">
        <v>260</v>
      </c>
      <c r="F331" s="899">
        <v>779.98</v>
      </c>
      <c r="G331" s="1152" t="s">
        <v>9</v>
      </c>
    </row>
    <row r="332" spans="1:7">
      <c r="A332" s="1032"/>
      <c r="B332" s="1230"/>
      <c r="C332" s="906" t="s">
        <v>13922</v>
      </c>
      <c r="D332" s="896"/>
      <c r="E332" s="925"/>
      <c r="F332" s="1034">
        <f>SUM(E303:E319)</f>
        <v>3407.13</v>
      </c>
      <c r="G332" s="3"/>
    </row>
    <row r="333" spans="1:7">
      <c r="A333" s="884">
        <v>44228</v>
      </c>
      <c r="B333" s="240" t="str">
        <f>TiposLancamentos!B15</f>
        <v>Cartões de Crédito</v>
      </c>
      <c r="C333" s="878" t="s">
        <v>1874</v>
      </c>
      <c r="D333" s="63">
        <v>3407.13</v>
      </c>
      <c r="E333" s="231"/>
      <c r="F333" s="899">
        <f>F332-F310</f>
        <v>-490.89000000000033</v>
      </c>
      <c r="G333" s="1152" t="s">
        <v>9</v>
      </c>
    </row>
    <row r="334" spans="1:7">
      <c r="A334" s="884">
        <v>44230</v>
      </c>
      <c r="B334" s="240" t="str">
        <f>TiposLancamentos!B70</f>
        <v>Vestuário</v>
      </c>
      <c r="C334" s="878" t="s">
        <v>15455</v>
      </c>
      <c r="D334" s="63"/>
      <c r="E334" s="231">
        <f>F334/3</f>
        <v>233.33</v>
      </c>
      <c r="F334" s="899">
        <v>699.99</v>
      </c>
      <c r="G334" s="1152" t="s">
        <v>9</v>
      </c>
    </row>
    <row r="335" spans="1:7">
      <c r="A335" s="884">
        <v>44231</v>
      </c>
      <c r="B335" s="240" t="str">
        <f>TiposLancamentos!B34</f>
        <v>Seguros</v>
      </c>
      <c r="C335" s="878" t="s">
        <v>15456</v>
      </c>
      <c r="D335" s="63"/>
      <c r="E335" s="231">
        <v>288.94</v>
      </c>
      <c r="F335" s="899"/>
      <c r="G335" s="1152" t="s">
        <v>9</v>
      </c>
    </row>
    <row r="336" spans="1:7">
      <c r="A336" s="884">
        <v>44233</v>
      </c>
      <c r="B336" s="240" t="str">
        <f>TiposLancamentos!B19</f>
        <v>Restaurantes</v>
      </c>
      <c r="C336" s="878" t="s">
        <v>15457</v>
      </c>
      <c r="D336" s="63"/>
      <c r="E336" s="231">
        <v>78.7</v>
      </c>
      <c r="F336" s="899"/>
      <c r="G336" s="1152" t="s">
        <v>9</v>
      </c>
    </row>
    <row r="337" spans="1:7">
      <c r="A337" s="884">
        <v>44234</v>
      </c>
      <c r="B337" s="240" t="str">
        <f>TiposLancamentos!B19</f>
        <v>Restaurantes</v>
      </c>
      <c r="C337" s="878" t="s">
        <v>15458</v>
      </c>
      <c r="D337" s="63"/>
      <c r="E337" s="231">
        <v>65.599999999999994</v>
      </c>
      <c r="F337" s="899"/>
      <c r="G337" s="1152" t="s">
        <v>9</v>
      </c>
    </row>
    <row r="338" spans="1:7">
      <c r="A338" s="884">
        <v>44239</v>
      </c>
      <c r="B338" s="240" t="str">
        <f>TiposLancamentos!B19</f>
        <v>Restaurantes</v>
      </c>
      <c r="C338" s="878" t="s">
        <v>15459</v>
      </c>
      <c r="D338" s="63"/>
      <c r="E338" s="231">
        <v>34.9</v>
      </c>
      <c r="F338" s="899"/>
      <c r="G338" s="1152" t="s">
        <v>9</v>
      </c>
    </row>
    <row r="339" spans="1:7">
      <c r="A339" s="884">
        <v>44243</v>
      </c>
      <c r="B339" s="240" t="str">
        <f>TiposLancamentos!B57</f>
        <v>Informática</v>
      </c>
      <c r="C339" s="878" t="s">
        <v>15345</v>
      </c>
      <c r="D339" s="63"/>
      <c r="E339" s="231">
        <v>27.9</v>
      </c>
      <c r="F339" s="899"/>
      <c r="G339" s="1152" t="s">
        <v>9</v>
      </c>
    </row>
    <row r="340" spans="1:7">
      <c r="A340" s="884">
        <v>44243</v>
      </c>
      <c r="B340" s="240" t="str">
        <f>TiposLancamentos!B57</f>
        <v>Informática</v>
      </c>
      <c r="C340" s="878" t="s">
        <v>15345</v>
      </c>
      <c r="D340" s="63"/>
      <c r="E340" s="231">
        <v>10.9</v>
      </c>
      <c r="F340" s="899"/>
      <c r="G340" s="1152" t="s">
        <v>9</v>
      </c>
    </row>
    <row r="341" spans="1:7">
      <c r="A341" s="884">
        <v>44243</v>
      </c>
      <c r="B341" s="240" t="str">
        <f>TiposLancamentos!B23</f>
        <v>P208 GRIFFE 1.6 AUT BUSINESS</v>
      </c>
      <c r="C341" s="878" t="s">
        <v>15460</v>
      </c>
      <c r="D341" s="63"/>
      <c r="E341" s="231">
        <f>F341/6</f>
        <v>500</v>
      </c>
      <c r="F341" s="899">
        <v>3000</v>
      </c>
      <c r="G341" s="1152" t="s">
        <v>9</v>
      </c>
    </row>
    <row r="342" spans="1:7">
      <c r="A342" s="934"/>
      <c r="B342" s="243"/>
      <c r="C342" s="389" t="s">
        <v>10</v>
      </c>
      <c r="D342" s="146"/>
      <c r="E342" s="1190"/>
      <c r="F342" s="935"/>
      <c r="G342" s="1094" t="s">
        <v>11</v>
      </c>
    </row>
    <row r="343" spans="1:7">
      <c r="A343" s="884">
        <v>44246</v>
      </c>
      <c r="B343" s="240" t="str">
        <f>B322</f>
        <v>Taxas Bancarias</v>
      </c>
      <c r="C343" s="878" t="s">
        <v>15439</v>
      </c>
      <c r="D343" s="63"/>
      <c r="E343" s="231">
        <v>5.99</v>
      </c>
      <c r="F343" s="899"/>
      <c r="G343" s="1152" t="s">
        <v>9</v>
      </c>
    </row>
    <row r="344" spans="1:7">
      <c r="A344" s="884">
        <v>44247</v>
      </c>
      <c r="B344" s="240" t="str">
        <f>TiposLancamentos!B16</f>
        <v>Cristiane</v>
      </c>
      <c r="C344" s="878" t="s">
        <v>15461</v>
      </c>
      <c r="D344" s="63"/>
      <c r="E344" s="231">
        <f>F344/3</f>
        <v>166.68</v>
      </c>
      <c r="F344" s="899">
        <v>500.04</v>
      </c>
      <c r="G344" s="1152" t="s">
        <v>9</v>
      </c>
    </row>
    <row r="345" spans="1:7">
      <c r="A345" s="884">
        <v>44247</v>
      </c>
      <c r="B345" s="240" t="str">
        <f>TiposLancamentos!B102</f>
        <v>ESTORNO</v>
      </c>
      <c r="C345" s="878" t="s">
        <v>15462</v>
      </c>
      <c r="D345" s="63">
        <v>0.04</v>
      </c>
      <c r="E345" s="231"/>
      <c r="F345" s="899"/>
      <c r="G345" s="1152" t="s">
        <v>9</v>
      </c>
    </row>
    <row r="346" spans="1:7">
      <c r="A346" s="884">
        <v>44247</v>
      </c>
      <c r="B346" s="240" t="str">
        <f>TiposLancamentos!B71</f>
        <v>Itens Pessoais</v>
      </c>
      <c r="C346" s="878" t="s">
        <v>15463</v>
      </c>
      <c r="D346" s="63"/>
      <c r="E346" s="231">
        <v>370.01</v>
      </c>
      <c r="F346" s="899" t="s">
        <v>15464</v>
      </c>
      <c r="G346" s="1152" t="s">
        <v>9</v>
      </c>
    </row>
    <row r="347" spans="1:7">
      <c r="A347" s="884">
        <v>44247</v>
      </c>
      <c r="B347" s="240" t="str">
        <f>TiposLancamentos!B19</f>
        <v>Restaurantes</v>
      </c>
      <c r="C347" s="878" t="s">
        <v>15389</v>
      </c>
      <c r="D347" s="63"/>
      <c r="E347" s="231">
        <v>69</v>
      </c>
      <c r="F347" s="899"/>
      <c r="G347" s="1152" t="s">
        <v>9</v>
      </c>
    </row>
    <row r="348" spans="1:7">
      <c r="A348" s="884">
        <v>44247</v>
      </c>
      <c r="B348" s="240" t="str">
        <f>TiposLancamentos!B102</f>
        <v>ESTORNO</v>
      </c>
      <c r="C348" s="878" t="s">
        <v>15389</v>
      </c>
      <c r="D348" s="63">
        <v>69</v>
      </c>
      <c r="E348" s="231"/>
      <c r="F348" s="899"/>
      <c r="G348" s="1152" t="s">
        <v>9</v>
      </c>
    </row>
    <row r="349" spans="1:7">
      <c r="A349" s="884">
        <v>44250</v>
      </c>
      <c r="B349" s="240" t="str">
        <f>TiposLancamentos!B57</f>
        <v>Informática</v>
      </c>
      <c r="C349" s="878" t="s">
        <v>15465</v>
      </c>
      <c r="D349" s="63"/>
      <c r="E349" s="231">
        <v>703.53</v>
      </c>
      <c r="F349" s="899"/>
      <c r="G349" s="1152" t="s">
        <v>9</v>
      </c>
    </row>
    <row r="350" spans="1:7">
      <c r="A350" s="884">
        <v>44251</v>
      </c>
      <c r="B350" s="240" t="str">
        <f>TiposLancamentos!B16</f>
        <v>Cristiane</v>
      </c>
      <c r="C350" s="878" t="s">
        <v>15466</v>
      </c>
      <c r="D350" s="63"/>
      <c r="E350" s="231">
        <f>F350/2</f>
        <v>197.5</v>
      </c>
      <c r="F350" s="899">
        <v>395</v>
      </c>
      <c r="G350" s="1152" t="s">
        <v>9</v>
      </c>
    </row>
    <row r="351" spans="1:7">
      <c r="A351" s="884">
        <v>44253</v>
      </c>
      <c r="B351" s="240" t="str">
        <f>TiposLancamentos!B19</f>
        <v>Restaurantes</v>
      </c>
      <c r="C351" s="878" t="s">
        <v>15467</v>
      </c>
      <c r="D351" s="63"/>
      <c r="E351" s="231">
        <v>73.5</v>
      </c>
      <c r="F351" s="899"/>
      <c r="G351" s="1152" t="s">
        <v>9</v>
      </c>
    </row>
    <row r="352" spans="1:7">
      <c r="A352" s="884">
        <v>44255</v>
      </c>
      <c r="B352" s="240" t="str">
        <f>TiposLancamentos!B45</f>
        <v>Online Services</v>
      </c>
      <c r="C352" s="878" t="s">
        <v>1894</v>
      </c>
      <c r="D352" s="63"/>
      <c r="E352" s="231">
        <v>32.9</v>
      </c>
      <c r="F352" s="899"/>
      <c r="G352" s="1152" t="s">
        <v>9</v>
      </c>
    </row>
    <row r="353" spans="1:7" ht="14.25" thickBot="1">
      <c r="A353" s="884">
        <v>44255</v>
      </c>
      <c r="B353" s="240" t="str">
        <f>TiposLancamentos!B70</f>
        <v>Vestuário</v>
      </c>
      <c r="C353" s="878" t="s">
        <v>15468</v>
      </c>
      <c r="D353" s="63"/>
      <c r="E353" s="231">
        <v>260</v>
      </c>
      <c r="F353" s="899">
        <v>779.98</v>
      </c>
      <c r="G353" s="1152" t="s">
        <v>9</v>
      </c>
    </row>
    <row r="354" spans="1:7">
      <c r="A354" s="1032"/>
      <c r="B354" s="1230"/>
      <c r="C354" s="906" t="s">
        <v>13923</v>
      </c>
      <c r="D354" s="896"/>
      <c r="E354" s="925"/>
      <c r="F354" s="1034">
        <f>SUM(E321:E341)</f>
        <v>3821.32</v>
      </c>
      <c r="G354" s="3"/>
    </row>
    <row r="355" spans="1:7">
      <c r="A355" s="884">
        <v>44256</v>
      </c>
      <c r="B355" s="240" t="str">
        <f>TiposLancamentos!B15</f>
        <v>Cartões de Crédito</v>
      </c>
      <c r="C355" s="878" t="s">
        <v>1874</v>
      </c>
      <c r="D355" s="63">
        <v>3821.32</v>
      </c>
      <c r="E355" s="231"/>
      <c r="F355" s="899">
        <f>F354-F332</f>
        <v>414.19000000000005</v>
      </c>
      <c r="G355" s="1152" t="s">
        <v>9</v>
      </c>
    </row>
    <row r="356" spans="1:7">
      <c r="A356" s="884">
        <v>44256</v>
      </c>
      <c r="B356" s="240" t="str">
        <f>TiposLancamentos!B28</f>
        <v>ComicBook</v>
      </c>
      <c r="C356" s="878" t="s">
        <v>15469</v>
      </c>
      <c r="D356" s="63"/>
      <c r="E356" s="231">
        <v>52</v>
      </c>
      <c r="F356" s="899"/>
      <c r="G356" s="1152" t="s">
        <v>9</v>
      </c>
    </row>
    <row r="357" spans="1:7">
      <c r="A357" s="884">
        <v>44256</v>
      </c>
      <c r="B357" s="240" t="str">
        <f>TiposLancamentos!B102</f>
        <v>ESTORNO</v>
      </c>
      <c r="C357" s="878" t="s">
        <v>15470</v>
      </c>
      <c r="D357" s="63">
        <v>0.02</v>
      </c>
      <c r="E357" s="231"/>
      <c r="F357" s="899"/>
      <c r="G357" s="1152"/>
    </row>
    <row r="358" spans="1:7">
      <c r="A358" s="884">
        <v>44257</v>
      </c>
      <c r="B358" s="240" t="str">
        <f>TiposLancamentos!B31</f>
        <v>Action Figures</v>
      </c>
      <c r="C358" s="878" t="s">
        <v>15471</v>
      </c>
      <c r="D358" s="63"/>
      <c r="E358" s="231">
        <v>250.17</v>
      </c>
      <c r="F358" s="899"/>
      <c r="G358" s="1152" t="s">
        <v>9</v>
      </c>
    </row>
    <row r="359" spans="1:7">
      <c r="A359" s="884">
        <v>44258</v>
      </c>
      <c r="B359" s="240" t="str">
        <f>TiposLancamentos!B70</f>
        <v>Vestuário</v>
      </c>
      <c r="C359" s="878" t="s">
        <v>15472</v>
      </c>
      <c r="D359" s="63"/>
      <c r="E359" s="231">
        <f>F359/3</f>
        <v>233.33</v>
      </c>
      <c r="F359" s="899">
        <v>699.99</v>
      </c>
      <c r="G359" s="1152" t="s">
        <v>9</v>
      </c>
    </row>
    <row r="360" spans="1:7">
      <c r="A360" s="884">
        <v>44258</v>
      </c>
      <c r="B360" s="240" t="str">
        <f>TiposLancamentos!B34</f>
        <v>Seguros</v>
      </c>
      <c r="C360" s="878" t="s">
        <v>15473</v>
      </c>
      <c r="D360" s="63"/>
      <c r="E360" s="231">
        <v>289.45</v>
      </c>
      <c r="F360" s="899"/>
      <c r="G360" s="1152" t="s">
        <v>9</v>
      </c>
    </row>
    <row r="361" spans="1:7">
      <c r="A361" s="884">
        <v>44259</v>
      </c>
      <c r="B361" s="240" t="str">
        <f>TiposLancamentos!B73</f>
        <v>Cursos</v>
      </c>
      <c r="C361" s="878" t="s">
        <v>15474</v>
      </c>
      <c r="D361" s="63"/>
      <c r="E361" s="231">
        <f>F361/4</f>
        <v>53</v>
      </c>
      <c r="F361" s="899">
        <v>212</v>
      </c>
      <c r="G361" s="1152" t="s">
        <v>9</v>
      </c>
    </row>
    <row r="362" spans="1:7">
      <c r="A362" s="884">
        <v>44261</v>
      </c>
      <c r="B362" s="240" t="str">
        <f>TiposLancamentos!B19</f>
        <v>Restaurantes</v>
      </c>
      <c r="C362" s="878" t="s">
        <v>15475</v>
      </c>
      <c r="D362" s="63"/>
      <c r="E362" s="231">
        <v>51.9</v>
      </c>
      <c r="F362" s="899"/>
      <c r="G362" s="1152" t="s">
        <v>9</v>
      </c>
    </row>
    <row r="363" spans="1:7">
      <c r="A363" s="884">
        <v>44265</v>
      </c>
      <c r="B363" s="240" t="str">
        <f>TiposLancamentos!B26</f>
        <v>LIVROS</v>
      </c>
      <c r="C363" s="878" t="s">
        <v>15476</v>
      </c>
      <c r="D363" s="63"/>
      <c r="E363" s="231">
        <v>340.9</v>
      </c>
      <c r="F363" s="899"/>
      <c r="G363" s="1152" t="s">
        <v>9</v>
      </c>
    </row>
    <row r="364" spans="1:7">
      <c r="A364" s="884">
        <v>44265</v>
      </c>
      <c r="B364" s="240" t="str">
        <f>TiposLancamentos!B19</f>
        <v>Restaurantes</v>
      </c>
      <c r="C364" s="878" t="s">
        <v>8332</v>
      </c>
      <c r="D364" s="63"/>
      <c r="E364" s="231">
        <v>77.5</v>
      </c>
      <c r="F364" s="899"/>
      <c r="G364" s="1152" t="s">
        <v>9</v>
      </c>
    </row>
    <row r="365" spans="1:7">
      <c r="A365" s="884">
        <v>44268</v>
      </c>
      <c r="B365" s="240" t="str">
        <f>TiposLancamentos!B16</f>
        <v>Cristiane</v>
      </c>
      <c r="C365" s="878" t="s">
        <v>15477</v>
      </c>
      <c r="D365" s="63"/>
      <c r="E365" s="231">
        <v>333.35</v>
      </c>
      <c r="F365" s="899">
        <v>2000</v>
      </c>
      <c r="G365" s="1152" t="s">
        <v>9</v>
      </c>
    </row>
    <row r="366" spans="1:7">
      <c r="A366" s="884">
        <v>44268</v>
      </c>
      <c r="B366" s="240" t="str">
        <f>TiposLancamentos!B19</f>
        <v>Restaurantes</v>
      </c>
      <c r="C366" s="878" t="s">
        <v>15478</v>
      </c>
      <c r="D366" s="63"/>
      <c r="E366" s="231">
        <v>72.400000000000006</v>
      </c>
      <c r="F366" s="899"/>
      <c r="G366" s="1152" t="s">
        <v>9</v>
      </c>
    </row>
    <row r="367" spans="1:7">
      <c r="A367" s="858">
        <v>44271</v>
      </c>
      <c r="B367" s="822" t="str">
        <f>TiposLancamentos!B16</f>
        <v>Cristiane</v>
      </c>
      <c r="C367" s="808" t="s">
        <v>15479</v>
      </c>
      <c r="D367" s="747"/>
      <c r="E367" s="1139">
        <v>71.77</v>
      </c>
      <c r="F367" s="1628"/>
      <c r="G367" s="1152" t="s">
        <v>9</v>
      </c>
    </row>
    <row r="368" spans="1:7">
      <c r="A368" s="860">
        <v>44271</v>
      </c>
      <c r="B368" s="275" t="str">
        <f>TiposLancamentos!B16</f>
        <v>Cristiane</v>
      </c>
      <c r="C368" s="141" t="s">
        <v>15480</v>
      </c>
      <c r="D368" s="51"/>
      <c r="E368" s="1147">
        <v>9.59</v>
      </c>
      <c r="F368" s="1629"/>
      <c r="G368" s="1152" t="s">
        <v>9</v>
      </c>
    </row>
    <row r="369" spans="1:7">
      <c r="A369" s="860">
        <v>44271</v>
      </c>
      <c r="B369" s="275" t="str">
        <f>TiposLancamentos!B16</f>
        <v>Cristiane</v>
      </c>
      <c r="C369" s="141" t="s">
        <v>15481</v>
      </c>
      <c r="D369" s="51"/>
      <c r="E369" s="1147">
        <v>7.19</v>
      </c>
      <c r="F369" s="1629"/>
      <c r="G369" s="1152" t="s">
        <v>9</v>
      </c>
    </row>
    <row r="370" spans="1:7">
      <c r="A370" s="862">
        <v>44271</v>
      </c>
      <c r="B370" s="823" t="str">
        <f>TiposLancamentos!B16</f>
        <v>Cristiane</v>
      </c>
      <c r="C370" s="812" t="s">
        <v>15481</v>
      </c>
      <c r="D370" s="849"/>
      <c r="E370" s="1141">
        <v>54.9</v>
      </c>
      <c r="F370" s="855">
        <f>SUM(E367:E370)</f>
        <v>143.44999999999999</v>
      </c>
      <c r="G370" s="1152" t="s">
        <v>9</v>
      </c>
    </row>
    <row r="371" spans="1:7">
      <c r="A371" s="884">
        <v>44271</v>
      </c>
      <c r="B371" s="240" t="str">
        <f>TiposLancamentos!B23</f>
        <v>P208 GRIFFE 1.6 AUT BUSINESS</v>
      </c>
      <c r="C371" s="878" t="s">
        <v>15482</v>
      </c>
      <c r="D371" s="63"/>
      <c r="E371" s="231">
        <f>F371/6</f>
        <v>500</v>
      </c>
      <c r="F371" s="899">
        <v>3000</v>
      </c>
      <c r="G371" s="1152" t="s">
        <v>9</v>
      </c>
    </row>
    <row r="372" spans="1:7">
      <c r="A372" s="884">
        <v>44274</v>
      </c>
      <c r="B372" s="240" t="str">
        <f>TiposLancamentos!B16</f>
        <v>Cristiane</v>
      </c>
      <c r="C372" s="878" t="s">
        <v>15483</v>
      </c>
      <c r="D372" s="63"/>
      <c r="E372" s="231">
        <v>20.9</v>
      </c>
      <c r="F372" s="899"/>
      <c r="G372" s="1152" t="s">
        <v>9</v>
      </c>
    </row>
    <row r="373" spans="1:7">
      <c r="A373" s="934"/>
      <c r="B373" s="243"/>
      <c r="C373" s="389" t="s">
        <v>10</v>
      </c>
      <c r="D373" s="146"/>
      <c r="E373" s="1190"/>
      <c r="F373" s="935"/>
      <c r="G373" s="1094" t="s">
        <v>11</v>
      </c>
    </row>
    <row r="374" spans="1:7">
      <c r="A374" s="884">
        <v>44275</v>
      </c>
      <c r="B374" s="240" t="str">
        <f>TiposLancamentos!B16</f>
        <v>Cristiane</v>
      </c>
      <c r="C374" s="878" t="s">
        <v>15484</v>
      </c>
      <c r="D374" s="63"/>
      <c r="E374" s="231">
        <v>166.68</v>
      </c>
      <c r="F374" s="899">
        <v>500</v>
      </c>
      <c r="G374" s="1152" t="s">
        <v>9</v>
      </c>
    </row>
    <row r="375" spans="1:7">
      <c r="A375" s="884">
        <v>44276</v>
      </c>
      <c r="B375" s="240" t="str">
        <f>TiposLancamentos!B19</f>
        <v>Restaurantes</v>
      </c>
      <c r="C375" s="878" t="s">
        <v>15467</v>
      </c>
      <c r="D375" s="63"/>
      <c r="E375" s="231">
        <v>75.5</v>
      </c>
      <c r="F375" s="899"/>
      <c r="G375" s="1152" t="s">
        <v>9</v>
      </c>
    </row>
    <row r="376" spans="1:7">
      <c r="A376" s="884">
        <v>44277</v>
      </c>
      <c r="B376" s="240" t="str">
        <f>TiposLancamentos!B4</f>
        <v>Taxas Bancarias</v>
      </c>
      <c r="C376" s="878" t="s">
        <v>15485</v>
      </c>
      <c r="D376" s="63"/>
      <c r="E376" s="231">
        <v>5.99</v>
      </c>
      <c r="F376" s="899"/>
      <c r="G376" s="1152" t="s">
        <v>9</v>
      </c>
    </row>
    <row r="377" spans="1:7">
      <c r="A377" s="884">
        <v>44278</v>
      </c>
      <c r="B377" s="240" t="str">
        <f>TiposLancamentos!B57</f>
        <v>Informática</v>
      </c>
      <c r="C377" s="878" t="s">
        <v>15486</v>
      </c>
      <c r="D377" s="63"/>
      <c r="E377" s="231">
        <v>703.53</v>
      </c>
      <c r="F377" s="899"/>
      <c r="G377" s="1152" t="s">
        <v>9</v>
      </c>
    </row>
    <row r="378" spans="1:7">
      <c r="A378" s="884">
        <v>44279</v>
      </c>
      <c r="B378" s="240" t="str">
        <f>TiposLancamentos!B16</f>
        <v>Cristiane</v>
      </c>
      <c r="C378" s="878" t="s">
        <v>15487</v>
      </c>
      <c r="D378" s="63"/>
      <c r="E378" s="231">
        <f>F378/2</f>
        <v>197.5</v>
      </c>
      <c r="F378" s="899">
        <v>395</v>
      </c>
      <c r="G378" s="1152" t="s">
        <v>9</v>
      </c>
    </row>
    <row r="379" spans="1:7">
      <c r="A379" s="884">
        <v>44281</v>
      </c>
      <c r="B379" s="240" t="str">
        <f>TiposLancamentos!B19</f>
        <v>Restaurantes</v>
      </c>
      <c r="C379" s="878" t="s">
        <v>15488</v>
      </c>
      <c r="D379" s="63"/>
      <c r="E379" s="231">
        <v>45</v>
      </c>
      <c r="F379" s="899"/>
      <c r="G379" s="1152" t="s">
        <v>9</v>
      </c>
    </row>
    <row r="380" spans="1:7">
      <c r="A380" s="884">
        <v>44282</v>
      </c>
      <c r="B380" s="240" t="str">
        <f>TiposLancamentos!B19</f>
        <v>Restaurantes</v>
      </c>
      <c r="C380" s="878" t="s">
        <v>15395</v>
      </c>
      <c r="D380" s="63"/>
      <c r="E380" s="231">
        <v>81.3</v>
      </c>
      <c r="F380" s="899"/>
      <c r="G380" s="1152" t="s">
        <v>9</v>
      </c>
    </row>
    <row r="381" spans="1:7">
      <c r="A381" s="884">
        <v>44282</v>
      </c>
      <c r="B381" s="240" t="str">
        <f>TiposLancamentos!B57</f>
        <v>Informática</v>
      </c>
      <c r="C381" s="878" t="s">
        <v>15489</v>
      </c>
      <c r="D381" s="63"/>
      <c r="E381" s="231">
        <f>F381/6</f>
        <v>79.739999999999995</v>
      </c>
      <c r="F381" s="899">
        <v>478.44</v>
      </c>
      <c r="G381" s="1152" t="s">
        <v>9</v>
      </c>
    </row>
    <row r="382" spans="1:7">
      <c r="A382" s="884">
        <v>44283</v>
      </c>
      <c r="B382" s="240" t="str">
        <f>TiposLancamentos!B45</f>
        <v>Online Services</v>
      </c>
      <c r="C382" s="878" t="s">
        <v>1894</v>
      </c>
      <c r="D382" s="63"/>
      <c r="E382" s="231">
        <v>32.9</v>
      </c>
      <c r="F382" s="899"/>
      <c r="G382" s="1152" t="s">
        <v>9</v>
      </c>
    </row>
    <row r="383" spans="1:7">
      <c r="A383" s="884">
        <v>44284</v>
      </c>
      <c r="B383" s="240" t="str">
        <f>TiposLancamentos!B70</f>
        <v>Vestuário</v>
      </c>
      <c r="C383" s="878" t="s">
        <v>15490</v>
      </c>
      <c r="D383" s="63"/>
      <c r="E383" s="231">
        <v>260</v>
      </c>
      <c r="F383" s="899">
        <v>779.98</v>
      </c>
      <c r="G383" s="1152" t="s">
        <v>9</v>
      </c>
    </row>
    <row r="384" spans="1:7">
      <c r="A384" s="884">
        <v>44286</v>
      </c>
      <c r="B384" s="240" t="str">
        <f>TiposLancamentos!B16</f>
        <v>Cristiane</v>
      </c>
      <c r="C384" s="878" t="s">
        <v>15491</v>
      </c>
      <c r="D384" s="63"/>
      <c r="E384" s="231">
        <v>182.6</v>
      </c>
      <c r="F384" s="899"/>
      <c r="G384" s="1152" t="s">
        <v>9</v>
      </c>
    </row>
    <row r="385" spans="1:7" ht="14.25" thickBot="1">
      <c r="A385" s="884">
        <v>44286</v>
      </c>
      <c r="B385" s="240" t="str">
        <f>TiposLancamentos!B5</f>
        <v>Supermercado</v>
      </c>
      <c r="C385" s="878" t="s">
        <v>15492</v>
      </c>
      <c r="D385" s="63"/>
      <c r="E385" s="231">
        <v>117.5</v>
      </c>
      <c r="F385" s="899"/>
      <c r="G385" s="1152" t="s">
        <v>9</v>
      </c>
    </row>
    <row r="386" spans="1:7">
      <c r="A386" s="1032"/>
      <c r="B386" s="1230"/>
      <c r="C386" s="906" t="s">
        <v>13927</v>
      </c>
      <c r="D386" s="896"/>
      <c r="E386" s="925"/>
      <c r="F386" s="1034">
        <f>SUM(E343:E372)-(D348+D345+D357)</f>
        <v>4228.3999999999996</v>
      </c>
      <c r="G386" s="3"/>
    </row>
    <row r="387" spans="1:7">
      <c r="A387" s="884">
        <v>44287</v>
      </c>
      <c r="B387" s="240" t="str">
        <f>TiposLancamentos!B15</f>
        <v>Cartões de Crédito</v>
      </c>
      <c r="C387" s="878" t="s">
        <v>15493</v>
      </c>
      <c r="D387" s="63">
        <v>4228.3999999999996</v>
      </c>
      <c r="E387" s="231"/>
      <c r="F387" s="899">
        <f>F386-F354</f>
        <v>407.07999999999947</v>
      </c>
      <c r="G387" s="1152" t="s">
        <v>9</v>
      </c>
    </row>
    <row r="388" spans="1:7">
      <c r="A388" s="884">
        <v>44289</v>
      </c>
      <c r="B388" s="240" t="str">
        <f>B383</f>
        <v>Vestuário</v>
      </c>
      <c r="C388" s="878" t="s">
        <v>15494</v>
      </c>
      <c r="D388" s="63"/>
      <c r="E388" s="231">
        <f>F388/3</f>
        <v>233.33</v>
      </c>
      <c r="F388" s="899">
        <v>699.99</v>
      </c>
      <c r="G388" s="1152" t="s">
        <v>9</v>
      </c>
    </row>
    <row r="389" spans="1:7">
      <c r="A389" s="884">
        <v>44289</v>
      </c>
      <c r="B389" s="240" t="str">
        <f>TiposLancamentos!B13</f>
        <v>Moradia</v>
      </c>
      <c r="C389" s="878" t="s">
        <v>15495</v>
      </c>
      <c r="D389" s="63"/>
      <c r="E389" s="231">
        <v>148.37</v>
      </c>
      <c r="F389" s="899">
        <v>1780</v>
      </c>
      <c r="G389" s="1152" t="s">
        <v>9</v>
      </c>
    </row>
    <row r="390" spans="1:7">
      <c r="A390" s="884">
        <v>44290</v>
      </c>
      <c r="B390" s="240" t="str">
        <f>TiposLancamentos!B73</f>
        <v>Cursos</v>
      </c>
      <c r="C390" s="878" t="s">
        <v>15496</v>
      </c>
      <c r="D390" s="63"/>
      <c r="E390" s="231">
        <f>F390/4</f>
        <v>53</v>
      </c>
      <c r="F390" s="899">
        <v>212</v>
      </c>
      <c r="G390" s="1152" t="s">
        <v>9</v>
      </c>
    </row>
    <row r="391" spans="1:7">
      <c r="A391" s="884">
        <v>44290</v>
      </c>
      <c r="B391" s="240" t="str">
        <f>TiposLancamentos!B16</f>
        <v>Cristiane</v>
      </c>
      <c r="C391" s="878" t="s">
        <v>8305</v>
      </c>
      <c r="D391" s="63"/>
      <c r="E391" s="231">
        <v>53.98</v>
      </c>
      <c r="F391" s="899"/>
      <c r="G391" s="1152" t="s">
        <v>9</v>
      </c>
    </row>
    <row r="392" spans="1:7">
      <c r="A392" s="884">
        <v>44295</v>
      </c>
      <c r="B392" s="240" t="str">
        <f>TiposLancamentos!B29</f>
        <v>Mangá</v>
      </c>
      <c r="C392" s="878" t="s">
        <v>15497</v>
      </c>
      <c r="D392" s="63"/>
      <c r="E392" s="231">
        <v>33.85</v>
      </c>
      <c r="F392" s="899"/>
      <c r="G392" s="1152" t="s">
        <v>9</v>
      </c>
    </row>
    <row r="393" spans="1:7">
      <c r="A393" s="884">
        <v>44295</v>
      </c>
      <c r="B393" s="240" t="str">
        <f>TiposLancamentos!B57</f>
        <v>Informática</v>
      </c>
      <c r="C393" s="878" t="s">
        <v>15498</v>
      </c>
      <c r="D393" s="63"/>
      <c r="E393" s="231">
        <v>74.3</v>
      </c>
      <c r="F393" s="899"/>
      <c r="G393" s="1152" t="s">
        <v>9</v>
      </c>
    </row>
    <row r="394" spans="1:7">
      <c r="A394" s="884">
        <v>44296</v>
      </c>
      <c r="B394" s="240" t="str">
        <f>TiposLancamentos!B19</f>
        <v>Restaurantes</v>
      </c>
      <c r="C394" s="878" t="s">
        <v>15499</v>
      </c>
      <c r="D394" s="63"/>
      <c r="E394" s="231">
        <v>87.3</v>
      </c>
      <c r="F394" s="899"/>
      <c r="G394" s="1152" t="s">
        <v>9</v>
      </c>
    </row>
    <row r="395" spans="1:7">
      <c r="A395" s="884">
        <v>44299</v>
      </c>
      <c r="B395" s="240" t="str">
        <f>TiposLancamentos!B16</f>
        <v>Cristiane</v>
      </c>
      <c r="C395" s="878" t="s">
        <v>15500</v>
      </c>
      <c r="D395" s="63"/>
      <c r="E395" s="231">
        <v>333.35</v>
      </c>
      <c r="F395" s="899">
        <v>2000</v>
      </c>
      <c r="G395" s="1152" t="s">
        <v>9</v>
      </c>
    </row>
    <row r="396" spans="1:7">
      <c r="A396" s="884">
        <v>44299</v>
      </c>
      <c r="B396" s="240" t="str">
        <f>TiposLancamentos!B102</f>
        <v>ESTORNO</v>
      </c>
      <c r="C396" s="878" t="s">
        <v>15500</v>
      </c>
      <c r="D396" s="63">
        <v>0.1</v>
      </c>
      <c r="E396" s="231"/>
      <c r="F396" s="899"/>
      <c r="G396" s="1152"/>
    </row>
    <row r="397" spans="1:7">
      <c r="A397" s="884">
        <v>44302</v>
      </c>
      <c r="B397" s="240" t="str">
        <f>TiposLancamentos!B19</f>
        <v>Restaurantes</v>
      </c>
      <c r="C397" s="878" t="s">
        <v>8898</v>
      </c>
      <c r="D397" s="63"/>
      <c r="E397" s="231">
        <v>103.5</v>
      </c>
      <c r="F397" s="899"/>
      <c r="G397" s="1152" t="s">
        <v>9</v>
      </c>
    </row>
    <row r="398" spans="1:7">
      <c r="A398" s="884">
        <v>44305</v>
      </c>
      <c r="B398" s="240" t="str">
        <f>B384</f>
        <v>Cristiane</v>
      </c>
      <c r="C398" s="878" t="s">
        <v>15483</v>
      </c>
      <c r="D398" s="63"/>
      <c r="E398" s="231">
        <v>20.9</v>
      </c>
      <c r="F398" s="899"/>
      <c r="G398" s="1152" t="s">
        <v>9</v>
      </c>
    </row>
    <row r="399" spans="1:7">
      <c r="A399" s="884">
        <v>44306</v>
      </c>
      <c r="B399" s="240" t="str">
        <f>TiposLancamentos!B45</f>
        <v>Online Services</v>
      </c>
      <c r="C399" s="878" t="s">
        <v>11309</v>
      </c>
      <c r="D399" s="63"/>
      <c r="E399" s="231">
        <v>9.9</v>
      </c>
      <c r="F399" s="899"/>
      <c r="G399" s="1152" t="s">
        <v>9</v>
      </c>
    </row>
    <row r="400" spans="1:7">
      <c r="A400" s="934"/>
      <c r="B400" s="243"/>
      <c r="C400" s="389" t="s">
        <v>10</v>
      </c>
      <c r="D400" s="146"/>
      <c r="E400" s="1190"/>
      <c r="F400" s="935"/>
      <c r="G400" s="1094" t="s">
        <v>11</v>
      </c>
    </row>
    <row r="401" spans="1:7">
      <c r="A401" s="884">
        <v>44306</v>
      </c>
      <c r="B401" s="240" t="str">
        <f>TiposLancamentos!B16</f>
        <v>Cristiane</v>
      </c>
      <c r="C401" s="878" t="s">
        <v>15501</v>
      </c>
      <c r="D401" s="63"/>
      <c r="E401" s="231">
        <v>166.68</v>
      </c>
      <c r="F401" s="899">
        <v>500</v>
      </c>
      <c r="G401" s="1152" t="s">
        <v>9</v>
      </c>
    </row>
    <row r="402" spans="1:7">
      <c r="A402" s="884">
        <v>44307</v>
      </c>
      <c r="B402" s="240" t="str">
        <f>TiposLancamentos!B4</f>
        <v>Taxas Bancarias</v>
      </c>
      <c r="C402" s="878" t="s">
        <v>15485</v>
      </c>
      <c r="D402" s="63"/>
      <c r="E402" s="231">
        <v>5.99</v>
      </c>
      <c r="F402" s="899"/>
      <c r="G402" s="1152" t="s">
        <v>9</v>
      </c>
    </row>
    <row r="403" spans="1:7">
      <c r="A403" s="884">
        <v>44309</v>
      </c>
      <c r="B403" s="240" t="str">
        <f>B377</f>
        <v>Informática</v>
      </c>
      <c r="C403" s="878" t="s">
        <v>15502</v>
      </c>
      <c r="D403" s="63"/>
      <c r="E403" s="231">
        <v>703.53</v>
      </c>
      <c r="F403" s="899"/>
      <c r="G403" s="1152" t="s">
        <v>9</v>
      </c>
    </row>
    <row r="404" spans="1:7">
      <c r="A404" s="884">
        <v>44311</v>
      </c>
      <c r="B404" s="240" t="str">
        <f>TiposLancamentos!B3</f>
        <v>Internet</v>
      </c>
      <c r="C404" s="878" t="s">
        <v>15349</v>
      </c>
      <c r="D404" s="63"/>
      <c r="E404" s="231">
        <v>64.900000000000006</v>
      </c>
      <c r="F404" s="899"/>
      <c r="G404" s="1152" t="s">
        <v>9</v>
      </c>
    </row>
    <row r="405" spans="1:7">
      <c r="A405" s="884">
        <v>44313</v>
      </c>
      <c r="B405" s="240" t="str">
        <f>B381</f>
        <v>Informática</v>
      </c>
      <c r="C405" s="878" t="s">
        <v>15503</v>
      </c>
      <c r="D405" s="63"/>
      <c r="E405" s="231">
        <v>79.739999999999995</v>
      </c>
      <c r="F405" s="899">
        <v>478.39</v>
      </c>
      <c r="G405" s="1152" t="s">
        <v>9</v>
      </c>
    </row>
    <row r="406" spans="1:7">
      <c r="A406" s="884">
        <v>44313</v>
      </c>
      <c r="B406" s="240" t="str">
        <f>TiposLancamentos!B102</f>
        <v>ESTORNO</v>
      </c>
      <c r="C406" s="878" t="s">
        <v>15504</v>
      </c>
      <c r="D406" s="63">
        <v>0.05</v>
      </c>
      <c r="E406" s="231"/>
      <c r="F406" s="899"/>
      <c r="G406" s="1152" t="s">
        <v>9</v>
      </c>
    </row>
    <row r="407" spans="1:7">
      <c r="A407" s="884">
        <v>44314</v>
      </c>
      <c r="B407" s="240" t="str">
        <f>TiposLancamentos!B45</f>
        <v>Online Services</v>
      </c>
      <c r="C407" s="878" t="s">
        <v>1894</v>
      </c>
      <c r="D407" s="63"/>
      <c r="E407" s="231">
        <v>32.9</v>
      </c>
      <c r="F407" s="899"/>
      <c r="G407" s="1152" t="s">
        <v>9</v>
      </c>
    </row>
    <row r="408" spans="1:7">
      <c r="A408" s="884">
        <v>44314</v>
      </c>
      <c r="B408" s="240" t="str">
        <f>TiposLancamentos!B16</f>
        <v>Cristiane</v>
      </c>
      <c r="C408" s="878" t="s">
        <v>15505</v>
      </c>
      <c r="D408" s="63"/>
      <c r="E408" s="231">
        <v>200.5</v>
      </c>
      <c r="F408" s="899"/>
      <c r="G408" s="1152" t="s">
        <v>9</v>
      </c>
    </row>
    <row r="409" spans="1:7" ht="14.25" thickBot="1">
      <c r="A409" s="884">
        <v>44316</v>
      </c>
      <c r="B409" s="240" t="str">
        <f>TiposLancamentos!B19</f>
        <v>Restaurantes</v>
      </c>
      <c r="C409" s="878" t="s">
        <v>15506</v>
      </c>
      <c r="D409" s="63"/>
      <c r="E409" s="231">
        <v>66.8</v>
      </c>
      <c r="F409" s="899"/>
      <c r="G409" s="1152" t="s">
        <v>9</v>
      </c>
    </row>
    <row r="410" spans="1:7">
      <c r="A410" s="1032"/>
      <c r="B410" s="1230"/>
      <c r="C410" s="906" t="s">
        <v>11782</v>
      </c>
      <c r="D410" s="896"/>
      <c r="E410" s="925"/>
      <c r="F410" s="1034">
        <f>SUM(E374:E399)-D396</f>
        <v>3099.9200000000005</v>
      </c>
      <c r="G410" s="3"/>
    </row>
    <row r="411" spans="1:7">
      <c r="A411" s="884">
        <v>44318</v>
      </c>
      <c r="B411" s="240" t="str">
        <f>TiposLancamentos!B15</f>
        <v>Cartões de Crédito</v>
      </c>
      <c r="C411" s="878" t="s">
        <v>15507</v>
      </c>
      <c r="D411" s="63">
        <v>3099.92</v>
      </c>
      <c r="E411" s="231"/>
      <c r="F411" s="899">
        <f>F410-F386</f>
        <v>-1128.4799999999991</v>
      </c>
      <c r="G411" s="1152" t="s">
        <v>9</v>
      </c>
    </row>
    <row r="412" spans="1:7">
      <c r="A412" s="884">
        <v>44319</v>
      </c>
      <c r="B412" s="240" t="str">
        <f>B389</f>
        <v>Moradia</v>
      </c>
      <c r="C412" s="878" t="s">
        <v>15508</v>
      </c>
      <c r="D412" s="63"/>
      <c r="E412" s="231">
        <v>148.37</v>
      </c>
      <c r="F412" s="899">
        <v>1780</v>
      </c>
      <c r="G412" s="1152" t="s">
        <v>9</v>
      </c>
    </row>
    <row r="413" spans="1:7">
      <c r="A413" s="884">
        <v>44319</v>
      </c>
      <c r="B413" s="240" t="str">
        <f>TiposLancamentos!B102</f>
        <v>ESTORNO</v>
      </c>
      <c r="C413" s="878" t="s">
        <v>15504</v>
      </c>
      <c r="D413" s="63">
        <v>0.44</v>
      </c>
      <c r="E413" s="231"/>
      <c r="F413" s="899"/>
      <c r="G413" s="1152" t="s">
        <v>9</v>
      </c>
    </row>
    <row r="414" spans="1:7">
      <c r="A414" s="884">
        <v>44320</v>
      </c>
      <c r="B414" s="240" t="str">
        <f>TiposLancamentos!B73</f>
        <v>Cursos</v>
      </c>
      <c r="C414" s="878" t="s">
        <v>15509</v>
      </c>
      <c r="D414" s="63"/>
      <c r="E414" s="231">
        <f>F414/4</f>
        <v>53</v>
      </c>
      <c r="F414" s="899">
        <v>212</v>
      </c>
      <c r="G414" s="1152" t="s">
        <v>9</v>
      </c>
    </row>
    <row r="415" spans="1:7">
      <c r="A415" s="884">
        <v>44329</v>
      </c>
      <c r="B415" s="240" t="str">
        <f>TiposLancamentos!B16</f>
        <v>Cristiane</v>
      </c>
      <c r="C415" s="878" t="s">
        <v>15510</v>
      </c>
      <c r="D415" s="63"/>
      <c r="E415" s="231">
        <v>333.35</v>
      </c>
      <c r="F415" s="899">
        <v>2000</v>
      </c>
      <c r="G415" s="1152" t="s">
        <v>9</v>
      </c>
    </row>
    <row r="416" spans="1:7">
      <c r="A416" s="884">
        <v>44335</v>
      </c>
      <c r="B416" s="240" t="str">
        <f>B402</f>
        <v>Taxas Bancarias</v>
      </c>
      <c r="C416" s="878" t="s">
        <v>15483</v>
      </c>
      <c r="D416" s="63"/>
      <c r="E416" s="231">
        <v>20.9</v>
      </c>
      <c r="F416" s="899"/>
      <c r="G416" s="1152" t="s">
        <v>9</v>
      </c>
    </row>
    <row r="417" spans="1:7">
      <c r="A417" s="934"/>
      <c r="B417" s="243"/>
      <c r="C417" s="389" t="s">
        <v>10</v>
      </c>
      <c r="D417" s="146"/>
      <c r="E417" s="1190"/>
      <c r="F417" s="935"/>
      <c r="G417" s="1094" t="s">
        <v>11</v>
      </c>
    </row>
    <row r="418" spans="1:7">
      <c r="A418" s="884">
        <v>44341</v>
      </c>
      <c r="B418" s="240" t="str">
        <f>TiposLancamentos!B3</f>
        <v>Internet</v>
      </c>
      <c r="C418" s="878" t="s">
        <v>10734</v>
      </c>
      <c r="D418" s="63"/>
      <c r="E418" s="231">
        <v>64.900000000000006</v>
      </c>
      <c r="F418" s="899"/>
      <c r="G418" s="1152" t="s">
        <v>9</v>
      </c>
    </row>
    <row r="419" spans="1:7">
      <c r="A419" s="884">
        <v>44338</v>
      </c>
      <c r="B419" s="240" t="str">
        <f>TiposLancamentos!B4</f>
        <v>Taxas Bancarias</v>
      </c>
      <c r="C419" s="878" t="s">
        <v>15485</v>
      </c>
      <c r="D419" s="63"/>
      <c r="E419" s="231">
        <v>5.99</v>
      </c>
      <c r="F419" s="899"/>
      <c r="G419" s="1152" t="s">
        <v>9</v>
      </c>
    </row>
    <row r="420" spans="1:7">
      <c r="A420" s="884">
        <v>44343</v>
      </c>
      <c r="B420" s="240" t="str">
        <f>TiposLancamentos!B57</f>
        <v>Informática</v>
      </c>
      <c r="C420" s="878" t="s">
        <v>15511</v>
      </c>
      <c r="D420" s="63"/>
      <c r="E420" s="231">
        <v>79.739999999999995</v>
      </c>
      <c r="F420" s="899">
        <v>478.39</v>
      </c>
      <c r="G420" s="1152" t="s">
        <v>9</v>
      </c>
    </row>
    <row r="421" spans="1:7">
      <c r="A421" s="884">
        <v>44344</v>
      </c>
      <c r="B421" s="240" t="str">
        <f>TiposLancamentos!B45</f>
        <v>Online Services</v>
      </c>
      <c r="C421" s="878" t="s">
        <v>1894</v>
      </c>
      <c r="D421" s="63"/>
      <c r="E421" s="231">
        <v>32.9</v>
      </c>
      <c r="F421" s="899"/>
      <c r="G421" s="1152" t="s">
        <v>9</v>
      </c>
    </row>
    <row r="422" spans="1:7">
      <c r="A422" s="884">
        <v>44344</v>
      </c>
      <c r="B422" s="240" t="str">
        <f>TiposLancamentos!B16</f>
        <v>Cristiane</v>
      </c>
      <c r="C422" s="878" t="s">
        <v>15512</v>
      </c>
      <c r="D422" s="63"/>
      <c r="E422" s="231">
        <v>200.5</v>
      </c>
      <c r="F422" s="899"/>
      <c r="G422" s="1152" t="s">
        <v>9</v>
      </c>
    </row>
    <row r="423" spans="1:7" ht="14.25" thickBot="1">
      <c r="A423" s="884">
        <v>44345</v>
      </c>
      <c r="B423" s="240" t="str">
        <f>TiposLancamentos!B16</f>
        <v>Cristiane</v>
      </c>
      <c r="C423" s="878" t="s">
        <v>15513</v>
      </c>
      <c r="D423" s="63"/>
      <c r="E423" s="231">
        <v>8.31</v>
      </c>
      <c r="F423" s="899"/>
      <c r="G423" s="1152" t="s">
        <v>9</v>
      </c>
    </row>
    <row r="424" spans="1:7">
      <c r="A424" s="1032"/>
      <c r="B424" s="1230"/>
      <c r="C424" s="906" t="s">
        <v>11797</v>
      </c>
      <c r="D424" s="896"/>
      <c r="E424" s="925"/>
      <c r="F424" s="1034">
        <f>SUM(E400:E417)-(D406+D413)</f>
        <v>1876.1699999999998</v>
      </c>
      <c r="G424" s="3"/>
    </row>
    <row r="425" spans="1:7">
      <c r="A425" s="884">
        <v>44348</v>
      </c>
      <c r="B425" s="240" t="str">
        <f>TiposLancamentos!B15</f>
        <v>Cartões de Crédito</v>
      </c>
      <c r="C425" s="878" t="s">
        <v>1874</v>
      </c>
      <c r="D425" s="63">
        <v>1876.17</v>
      </c>
      <c r="E425" s="231"/>
      <c r="F425" s="899">
        <f>F424-F410</f>
        <v>-1223.7500000000007</v>
      </c>
      <c r="G425" s="1152" t="s">
        <v>9</v>
      </c>
    </row>
    <row r="426" spans="1:7">
      <c r="A426" s="884">
        <v>44350</v>
      </c>
      <c r="B426" s="240" t="str">
        <f>B412</f>
        <v>Moradia</v>
      </c>
      <c r="C426" s="878" t="s">
        <v>15514</v>
      </c>
      <c r="D426" s="63"/>
      <c r="E426" s="231">
        <v>148.37</v>
      </c>
      <c r="F426" s="899">
        <v>1780</v>
      </c>
      <c r="G426" s="1152" t="s">
        <v>9</v>
      </c>
    </row>
    <row r="427" spans="1:7">
      <c r="A427" s="884">
        <v>44352</v>
      </c>
      <c r="B427" s="240" t="str">
        <f>B414</f>
        <v>Cursos</v>
      </c>
      <c r="C427" s="878" t="s">
        <v>15515</v>
      </c>
      <c r="D427" s="63"/>
      <c r="E427" s="231">
        <f>F427/4</f>
        <v>53</v>
      </c>
      <c r="F427" s="899">
        <v>212</v>
      </c>
      <c r="G427" s="1152" t="s">
        <v>9</v>
      </c>
    </row>
    <row r="428" spans="1:7">
      <c r="A428" s="884">
        <v>44359</v>
      </c>
      <c r="B428" s="240" t="str">
        <f>TiposLancamentos!B88</f>
        <v>Ford Ecosport XLT</v>
      </c>
      <c r="C428" s="878" t="s">
        <v>15516</v>
      </c>
      <c r="D428" s="63"/>
      <c r="E428" s="231">
        <f>F428/6</f>
        <v>573.35</v>
      </c>
      <c r="F428" s="899">
        <v>3440.1</v>
      </c>
      <c r="G428" s="1152" t="s">
        <v>9</v>
      </c>
    </row>
    <row r="429" spans="1:7">
      <c r="A429" s="884">
        <v>44360</v>
      </c>
      <c r="B429" s="240" t="str">
        <f>TiposLancamentos!B16</f>
        <v>Cristiane</v>
      </c>
      <c r="C429" s="878" t="s">
        <v>15517</v>
      </c>
      <c r="D429" s="63"/>
      <c r="E429" s="231">
        <v>333.35</v>
      </c>
      <c r="F429" s="899">
        <v>2000</v>
      </c>
      <c r="G429" s="1152" t="s">
        <v>9</v>
      </c>
    </row>
    <row r="430" spans="1:7">
      <c r="A430" s="884">
        <v>44361</v>
      </c>
      <c r="B430" s="240" t="str">
        <f>TiposLancamentos!B73</f>
        <v>Cursos</v>
      </c>
      <c r="C430" s="878" t="s">
        <v>15518</v>
      </c>
      <c r="D430" s="63"/>
      <c r="E430" s="231">
        <f>F430/3</f>
        <v>158.6</v>
      </c>
      <c r="F430" s="899">
        <v>475.8</v>
      </c>
      <c r="G430" s="1152" t="s">
        <v>9</v>
      </c>
    </row>
    <row r="431" spans="1:7">
      <c r="A431" s="934"/>
      <c r="B431" s="243"/>
      <c r="C431" s="389" t="s">
        <v>10</v>
      </c>
      <c r="D431" s="146"/>
      <c r="E431" s="1190"/>
      <c r="F431" s="935"/>
      <c r="G431" s="1094" t="s">
        <v>11</v>
      </c>
    </row>
    <row r="432" spans="1:7">
      <c r="A432" s="884">
        <v>44369</v>
      </c>
      <c r="B432" s="240" t="str">
        <f>TiposLancamentos!B4</f>
        <v>Taxas Bancarias</v>
      </c>
      <c r="C432" s="878" t="s">
        <v>15485</v>
      </c>
      <c r="D432" s="63"/>
      <c r="E432" s="231">
        <v>5.99</v>
      </c>
      <c r="F432" s="899"/>
      <c r="G432" s="1152" t="s">
        <v>9</v>
      </c>
    </row>
    <row r="433" spans="1:7">
      <c r="A433" s="884">
        <v>44374</v>
      </c>
      <c r="B433" s="240" t="str">
        <f>TiposLancamentos!B57</f>
        <v>Informática</v>
      </c>
      <c r="C433" s="878" t="s">
        <v>15519</v>
      </c>
      <c r="D433" s="63"/>
      <c r="E433" s="231">
        <v>79.739999999999995</v>
      </c>
      <c r="F433" s="899">
        <v>478.39</v>
      </c>
      <c r="G433" s="1152" t="s">
        <v>9</v>
      </c>
    </row>
    <row r="434" spans="1:7">
      <c r="A434" s="884">
        <v>44375</v>
      </c>
      <c r="B434" s="240" t="str">
        <f>TiposLancamentos!B45</f>
        <v>Online Services</v>
      </c>
      <c r="C434" s="878" t="s">
        <v>1894</v>
      </c>
      <c r="D434" s="63"/>
      <c r="E434" s="231">
        <v>32.9</v>
      </c>
      <c r="F434" s="899"/>
      <c r="G434" s="1152" t="s">
        <v>9</v>
      </c>
    </row>
    <row r="435" spans="1:7" ht="14.25" thickBot="1">
      <c r="A435" s="884">
        <v>44375</v>
      </c>
      <c r="B435" s="240" t="str">
        <f>TiposLancamentos!B16</f>
        <v>Cristiane</v>
      </c>
      <c r="C435" s="878" t="s">
        <v>15520</v>
      </c>
      <c r="D435" s="63"/>
      <c r="E435" s="231">
        <v>84.77</v>
      </c>
      <c r="F435" s="899"/>
      <c r="G435" s="1152" t="s">
        <v>9</v>
      </c>
    </row>
    <row r="436" spans="1:7">
      <c r="A436" s="1032"/>
      <c r="B436" s="1230"/>
      <c r="C436" s="906" t="s">
        <v>11644</v>
      </c>
      <c r="D436" s="896"/>
      <c r="E436" s="925"/>
      <c r="F436" s="1034">
        <f>SUM(E417:E431)</f>
        <v>1659.0099999999998</v>
      </c>
      <c r="G436" s="3"/>
    </row>
    <row r="437" spans="1:7">
      <c r="A437" s="884">
        <v>44378</v>
      </c>
      <c r="B437" s="240" t="str">
        <f>TiposLancamentos!B15</f>
        <v>Cartões de Crédito</v>
      </c>
      <c r="C437" s="878" t="s">
        <v>1874</v>
      </c>
      <c r="D437" s="63">
        <v>1659.01</v>
      </c>
      <c r="E437" s="231"/>
      <c r="F437" s="899">
        <f>F436-F424</f>
        <v>-217.16000000000008</v>
      </c>
      <c r="G437" s="1152" t="s">
        <v>9</v>
      </c>
    </row>
    <row r="438" spans="1:7">
      <c r="A438" s="884">
        <v>44380</v>
      </c>
      <c r="B438" s="240" t="str">
        <f>TiposLancamentos!B13</f>
        <v>Moradia</v>
      </c>
      <c r="C438" s="878" t="s">
        <v>15521</v>
      </c>
      <c r="D438" s="63"/>
      <c r="E438" s="231">
        <v>148.37</v>
      </c>
      <c r="F438" s="899">
        <v>1780</v>
      </c>
      <c r="G438" s="1152" t="s">
        <v>9</v>
      </c>
    </row>
    <row r="439" spans="1:7">
      <c r="A439" s="884">
        <v>44389</v>
      </c>
      <c r="B439" s="240" t="str">
        <f>TiposLancamentos!B102</f>
        <v>ESTORNO</v>
      </c>
      <c r="C439" s="878" t="s">
        <v>15522</v>
      </c>
      <c r="D439" s="63">
        <v>0.1</v>
      </c>
      <c r="E439" s="231"/>
      <c r="F439" s="899"/>
      <c r="G439" s="1152" t="s">
        <v>9</v>
      </c>
    </row>
    <row r="440" spans="1:7">
      <c r="A440" s="884">
        <v>44390</v>
      </c>
      <c r="B440" s="240" t="str">
        <f>TiposLancamentos!B88</f>
        <v>Ford Ecosport XLT</v>
      </c>
      <c r="C440" s="878" t="s">
        <v>15523</v>
      </c>
      <c r="D440" s="63"/>
      <c r="E440" s="231">
        <v>573.35</v>
      </c>
      <c r="F440" s="899">
        <v>3440</v>
      </c>
      <c r="G440" s="1152" t="s">
        <v>9</v>
      </c>
    </row>
    <row r="441" spans="1:7">
      <c r="A441" s="884">
        <v>44390</v>
      </c>
      <c r="B441" s="240" t="str">
        <f>TiposLancamentos!B16</f>
        <v>Cristiane</v>
      </c>
      <c r="C441" s="878" t="s">
        <v>15524</v>
      </c>
      <c r="D441" s="63"/>
      <c r="E441" s="231">
        <v>333.35</v>
      </c>
      <c r="F441" s="899">
        <v>2000</v>
      </c>
      <c r="G441" s="1152" t="s">
        <v>9</v>
      </c>
    </row>
    <row r="442" spans="1:7">
      <c r="A442" s="884">
        <v>44391</v>
      </c>
      <c r="B442" s="240" t="str">
        <f>TiposLancamentos!B73</f>
        <v>Cursos</v>
      </c>
      <c r="C442" s="878" t="s">
        <v>15525</v>
      </c>
      <c r="D442" s="63"/>
      <c r="E442" s="231">
        <f>F442/3</f>
        <v>158.6</v>
      </c>
      <c r="F442" s="899">
        <v>475.8</v>
      </c>
      <c r="G442" s="1152" t="s">
        <v>9</v>
      </c>
    </row>
    <row r="443" spans="1:7">
      <c r="A443" s="934"/>
      <c r="B443" s="243"/>
      <c r="C443" s="389" t="s">
        <v>10</v>
      </c>
      <c r="D443" s="146"/>
      <c r="E443" s="1190"/>
      <c r="F443" s="935"/>
      <c r="G443" s="1094" t="s">
        <v>11</v>
      </c>
    </row>
    <row r="444" spans="1:7">
      <c r="A444" s="884">
        <v>44399</v>
      </c>
      <c r="B444" s="240" t="str">
        <f>TiposLancamentos!B4</f>
        <v>Taxas Bancarias</v>
      </c>
      <c r="C444" s="878" t="s">
        <v>15485</v>
      </c>
      <c r="D444" s="63"/>
      <c r="E444" s="231">
        <v>5.99</v>
      </c>
      <c r="F444" s="899"/>
      <c r="G444" s="1152" t="s">
        <v>9</v>
      </c>
    </row>
    <row r="445" spans="1:7">
      <c r="A445" s="884">
        <v>44404</v>
      </c>
      <c r="B445" s="240" t="str">
        <f>TiposLancamentos!B57</f>
        <v>Informática</v>
      </c>
      <c r="C445" s="878" t="s">
        <v>15526</v>
      </c>
      <c r="D445" s="63"/>
      <c r="E445" s="231">
        <v>79.739999999999995</v>
      </c>
      <c r="F445" s="899">
        <v>478.39</v>
      </c>
      <c r="G445" s="1152" t="s">
        <v>9</v>
      </c>
    </row>
    <row r="446" spans="1:7" ht="14.25" thickBot="1">
      <c r="A446" s="884">
        <v>44405</v>
      </c>
      <c r="B446" s="240" t="str">
        <f>TiposLancamentos!B45</f>
        <v>Online Services</v>
      </c>
      <c r="C446" s="878" t="s">
        <v>1894</v>
      </c>
      <c r="D446" s="63"/>
      <c r="E446" s="231">
        <v>32.9</v>
      </c>
      <c r="F446" s="899"/>
      <c r="G446" s="1152" t="s">
        <v>9</v>
      </c>
    </row>
    <row r="447" spans="1:7">
      <c r="A447" s="1032"/>
      <c r="B447" s="1230"/>
      <c r="C447" s="906" t="s">
        <v>13937</v>
      </c>
      <c r="D447" s="896"/>
      <c r="E447" s="925"/>
      <c r="F447" s="1034">
        <f>SUM(E431:E443)-D439</f>
        <v>1416.97</v>
      </c>
      <c r="G447" s="3"/>
    </row>
    <row r="448" spans="1:7">
      <c r="A448" s="884">
        <v>44410</v>
      </c>
      <c r="B448" s="240" t="str">
        <f>TiposLancamentos!B15</f>
        <v>Cartões de Crédito</v>
      </c>
      <c r="C448" s="878" t="s">
        <v>1874</v>
      </c>
      <c r="D448" s="63">
        <v>1416.97</v>
      </c>
      <c r="E448" s="231"/>
      <c r="F448" s="899">
        <f>F447-F436</f>
        <v>-242.03999999999974</v>
      </c>
      <c r="G448" s="1152" t="s">
        <v>9</v>
      </c>
    </row>
    <row r="449" spans="1:8">
      <c r="A449" s="884">
        <v>44411</v>
      </c>
      <c r="B449" s="240" t="str">
        <f>TiposLancamentos!B16</f>
        <v>Cristiane</v>
      </c>
      <c r="C449" s="878" t="s">
        <v>15527</v>
      </c>
      <c r="D449" s="63"/>
      <c r="E449" s="231">
        <v>42.34</v>
      </c>
      <c r="F449" s="899"/>
      <c r="G449" s="1152" t="s">
        <v>9</v>
      </c>
      <c r="H449" s="3"/>
    </row>
    <row r="450" spans="1:8">
      <c r="A450" s="884">
        <v>44411</v>
      </c>
      <c r="B450" s="240" t="str">
        <f>TiposLancamentos!B13</f>
        <v>Moradia</v>
      </c>
      <c r="C450" s="878" t="s">
        <v>15528</v>
      </c>
      <c r="D450" s="63"/>
      <c r="E450" s="231">
        <v>148.37</v>
      </c>
      <c r="F450" s="899">
        <v>1780</v>
      </c>
      <c r="G450" s="1152" t="s">
        <v>9</v>
      </c>
      <c r="H450" s="3"/>
    </row>
    <row r="451" spans="1:8">
      <c r="A451" s="884">
        <v>44418</v>
      </c>
      <c r="B451" s="240" t="str">
        <f>TiposLancamentos!B16</f>
        <v>Cristiane</v>
      </c>
      <c r="C451" s="878" t="s">
        <v>15529</v>
      </c>
      <c r="D451" s="63"/>
      <c r="E451" s="231">
        <v>35.049999999999997</v>
      </c>
      <c r="F451" s="899"/>
      <c r="G451" s="1152" t="s">
        <v>9</v>
      </c>
      <c r="H451" s="3"/>
    </row>
    <row r="452" spans="1:8">
      <c r="A452" s="884">
        <v>44421</v>
      </c>
      <c r="B452" s="240" t="str">
        <f>TiposLancamentos!B88</f>
        <v>Ford Ecosport XLT</v>
      </c>
      <c r="C452" s="878" t="s">
        <v>15530</v>
      </c>
      <c r="D452" s="63"/>
      <c r="E452" s="231">
        <v>573.35</v>
      </c>
      <c r="F452" s="899">
        <v>3440</v>
      </c>
      <c r="G452" s="1152" t="s">
        <v>9</v>
      </c>
      <c r="H452" s="3"/>
    </row>
    <row r="453" spans="1:8">
      <c r="A453" s="884">
        <v>44421</v>
      </c>
      <c r="B453" s="240" t="str">
        <f>TiposLancamentos!B16</f>
        <v>Cristiane</v>
      </c>
      <c r="C453" s="878" t="s">
        <v>15531</v>
      </c>
      <c r="D453" s="63"/>
      <c r="E453" s="231">
        <v>333.35</v>
      </c>
      <c r="F453" s="899">
        <v>2000</v>
      </c>
      <c r="G453" s="1152" t="s">
        <v>9</v>
      </c>
      <c r="H453" s="3"/>
    </row>
    <row r="454" spans="1:8">
      <c r="A454" s="884">
        <v>44422</v>
      </c>
      <c r="B454" s="240" t="str">
        <f>TiposLancamentos!B73</f>
        <v>Cursos</v>
      </c>
      <c r="C454" s="878" t="s">
        <v>15532</v>
      </c>
      <c r="D454" s="63"/>
      <c r="E454" s="231">
        <f>F454/3</f>
        <v>158.6</v>
      </c>
      <c r="F454" s="899">
        <v>475.8</v>
      </c>
      <c r="G454" s="1152" t="s">
        <v>9</v>
      </c>
      <c r="H454" s="877"/>
    </row>
    <row r="455" spans="1:8">
      <c r="A455" s="934"/>
      <c r="B455" s="243"/>
      <c r="C455" s="389" t="s">
        <v>10</v>
      </c>
      <c r="D455" s="146"/>
      <c r="E455" s="1190"/>
      <c r="F455" s="935"/>
      <c r="G455" s="1094" t="s">
        <v>11</v>
      </c>
      <c r="H455" s="3"/>
    </row>
    <row r="456" spans="1:8">
      <c r="A456" s="884">
        <v>44430</v>
      </c>
      <c r="B456" s="240" t="str">
        <f>TiposLancamentos!B4</f>
        <v>Taxas Bancarias</v>
      </c>
      <c r="C456" s="878" t="s">
        <v>15485</v>
      </c>
      <c r="D456" s="63"/>
      <c r="E456" s="231">
        <v>5.99</v>
      </c>
      <c r="F456" s="899"/>
      <c r="G456" s="1152" t="s">
        <v>9</v>
      </c>
      <c r="H456" s="3"/>
    </row>
    <row r="457" spans="1:8">
      <c r="A457" s="884">
        <v>44435</v>
      </c>
      <c r="B457" s="240" t="str">
        <f>TiposLancamentos!B57</f>
        <v>Informática</v>
      </c>
      <c r="C457" s="878" t="s">
        <v>15533</v>
      </c>
      <c r="D457" s="63"/>
      <c r="E457" s="231">
        <v>79.739999999999995</v>
      </c>
      <c r="F457" s="899">
        <v>478.39</v>
      </c>
      <c r="G457" s="1152" t="s">
        <v>9</v>
      </c>
      <c r="H457" s="3"/>
    </row>
    <row r="458" spans="1:8" ht="14.25" thickBot="1">
      <c r="A458" s="884">
        <v>44436</v>
      </c>
      <c r="B458" s="240" t="str">
        <f>TiposLancamentos!B45</f>
        <v>Online Services</v>
      </c>
      <c r="C458" s="878" t="s">
        <v>1894</v>
      </c>
      <c r="D458" s="63"/>
      <c r="E458" s="231">
        <v>39.9</v>
      </c>
      <c r="F458" s="899"/>
      <c r="G458" s="1152" t="s">
        <v>9</v>
      </c>
      <c r="H458" s="3"/>
    </row>
    <row r="459" spans="1:8">
      <c r="A459" s="1032"/>
      <c r="B459" s="1230"/>
      <c r="C459" s="906" t="s">
        <v>8219</v>
      </c>
      <c r="D459" s="896"/>
      <c r="E459" s="925"/>
      <c r="F459" s="1034">
        <f>SUM(E443:E455)</f>
        <v>1409.69</v>
      </c>
      <c r="G459" s="3"/>
      <c r="H459" s="3"/>
    </row>
    <row r="460" spans="1:8">
      <c r="A460" s="884">
        <v>44440</v>
      </c>
      <c r="B460" s="240" t="str">
        <f>TiposLancamentos!B15</f>
        <v>Cartões de Crédito</v>
      </c>
      <c r="C460" s="878" t="s">
        <v>1874</v>
      </c>
      <c r="D460" s="63">
        <v>1409.69</v>
      </c>
      <c r="E460" s="231"/>
      <c r="F460" s="899">
        <f>F459-F447</f>
        <v>-7.2799999999999727</v>
      </c>
      <c r="G460" s="3"/>
      <c r="H460" s="3"/>
    </row>
    <row r="461" spans="1:8">
      <c r="A461" s="884">
        <v>44442</v>
      </c>
      <c r="B461" s="240" t="str">
        <f>TiposLancamentos!B13</f>
        <v>Moradia</v>
      </c>
      <c r="C461" s="878" t="s">
        <v>15534</v>
      </c>
      <c r="D461" s="63"/>
      <c r="E461" s="231">
        <v>148.37</v>
      </c>
      <c r="F461" s="899">
        <v>1780</v>
      </c>
      <c r="G461" s="1152" t="s">
        <v>9</v>
      </c>
      <c r="H461" s="3"/>
    </row>
    <row r="462" spans="1:8">
      <c r="A462" s="884">
        <v>44449</v>
      </c>
      <c r="B462" s="240" t="str">
        <f>TiposLancamentos!B16</f>
        <v>Cristiane</v>
      </c>
      <c r="C462" s="878" t="s">
        <v>15535</v>
      </c>
      <c r="D462" s="63"/>
      <c r="E462" s="231">
        <v>13.88</v>
      </c>
      <c r="F462" s="899"/>
      <c r="G462" s="1152" t="s">
        <v>9</v>
      </c>
      <c r="H462" s="3"/>
    </row>
    <row r="463" spans="1:8">
      <c r="A463" s="884">
        <v>44449</v>
      </c>
      <c r="B463" s="240" t="str">
        <f>TiposLancamentos!B16</f>
        <v>Cristiane</v>
      </c>
      <c r="C463" s="878" t="s">
        <v>15536</v>
      </c>
      <c r="D463" s="63"/>
      <c r="E463" s="231">
        <v>10.93</v>
      </c>
      <c r="F463" s="899"/>
      <c r="G463" s="1152" t="s">
        <v>9</v>
      </c>
      <c r="H463" s="3"/>
    </row>
    <row r="464" spans="1:8">
      <c r="A464" s="884">
        <v>44451</v>
      </c>
      <c r="B464" s="240" t="str">
        <f>TiposLancamentos!B13</f>
        <v>Moradia</v>
      </c>
      <c r="C464" s="878" t="s">
        <v>15537</v>
      </c>
      <c r="D464" s="63"/>
      <c r="E464" s="231">
        <v>229.77</v>
      </c>
      <c r="F464" s="899">
        <v>2756.8</v>
      </c>
      <c r="G464" s="1152" t="s">
        <v>9</v>
      </c>
      <c r="H464" s="3"/>
    </row>
    <row r="465" spans="1:7">
      <c r="A465" s="884">
        <v>44452</v>
      </c>
      <c r="B465" s="240" t="str">
        <f>TiposLancamentos!B88</f>
        <v>Ford Ecosport XLT</v>
      </c>
      <c r="C465" s="878" t="s">
        <v>15538</v>
      </c>
      <c r="D465" s="63"/>
      <c r="E465" s="231">
        <v>573.35</v>
      </c>
      <c r="F465" s="899">
        <v>3440</v>
      </c>
      <c r="G465" s="1152" t="s">
        <v>9</v>
      </c>
    </row>
    <row r="466" spans="1:7">
      <c r="A466" s="884">
        <v>44452</v>
      </c>
      <c r="B466" s="240" t="str">
        <f>TiposLancamentos!B16</f>
        <v>Cristiane</v>
      </c>
      <c r="C466" s="878" t="s">
        <v>15539</v>
      </c>
      <c r="D466" s="63"/>
      <c r="E466" s="231">
        <v>23.73</v>
      </c>
      <c r="F466" s="899"/>
      <c r="G466" s="1152" t="s">
        <v>9</v>
      </c>
    </row>
    <row r="467" spans="1:7">
      <c r="A467" s="934"/>
      <c r="B467" s="243"/>
      <c r="C467" s="389" t="s">
        <v>10</v>
      </c>
      <c r="D467" s="146"/>
      <c r="E467" s="1190"/>
      <c r="F467" s="935"/>
      <c r="G467" s="1094" t="s">
        <v>11</v>
      </c>
    </row>
    <row r="468" spans="1:7">
      <c r="A468" s="884">
        <v>44460</v>
      </c>
      <c r="B468" s="240" t="str">
        <f>TiposLancamentos!B4</f>
        <v>Taxas Bancarias</v>
      </c>
      <c r="C468" s="878" t="s">
        <v>15485</v>
      </c>
      <c r="D468" s="63"/>
      <c r="E468" s="231">
        <v>5.99</v>
      </c>
      <c r="F468" s="899"/>
      <c r="G468" s="1152" t="s">
        <v>9</v>
      </c>
    </row>
    <row r="469" spans="1:7">
      <c r="A469" s="884">
        <v>44462</v>
      </c>
      <c r="B469" s="240" t="str">
        <f>TiposLancamentos!B34</f>
        <v>Seguros</v>
      </c>
      <c r="C469" s="878" t="s">
        <v>15540</v>
      </c>
      <c r="D469" s="63"/>
      <c r="E469" s="231">
        <v>254</v>
      </c>
      <c r="F469" s="899"/>
      <c r="G469" s="1152" t="s">
        <v>9</v>
      </c>
    </row>
    <row r="470" spans="1:7" ht="14.25" thickBot="1">
      <c r="A470" s="884">
        <v>44467</v>
      </c>
      <c r="B470" s="240" t="str">
        <f>TiposLancamentos!B45</f>
        <v>Online Services</v>
      </c>
      <c r="C470" s="878" t="s">
        <v>1894</v>
      </c>
      <c r="D470" s="63"/>
      <c r="E470" s="231">
        <v>39.9</v>
      </c>
      <c r="F470" s="899"/>
      <c r="G470" s="1152" t="s">
        <v>9</v>
      </c>
    </row>
    <row r="471" spans="1:7">
      <c r="A471" s="1032"/>
      <c r="B471" s="1230"/>
      <c r="C471" s="906" t="s">
        <v>8251</v>
      </c>
      <c r="D471" s="896"/>
      <c r="E471" s="925"/>
      <c r="F471" s="1034">
        <f>SUM(E455:E467)</f>
        <v>1125.6600000000001</v>
      </c>
      <c r="G471" s="3"/>
    </row>
    <row r="472" spans="1:7">
      <c r="A472" s="884">
        <v>44470</v>
      </c>
      <c r="B472" s="240" t="str">
        <f>TiposLancamentos!B15</f>
        <v>Cartões de Crédito</v>
      </c>
      <c r="C472" s="878" t="s">
        <v>1874</v>
      </c>
      <c r="D472" s="63">
        <v>1125.6600000000001</v>
      </c>
      <c r="E472" s="231"/>
      <c r="F472" s="899">
        <f>F471-F459</f>
        <v>-284.02999999999997</v>
      </c>
      <c r="G472" s="1152" t="s">
        <v>9</v>
      </c>
    </row>
    <row r="473" spans="1:7">
      <c r="A473" s="884">
        <v>44470</v>
      </c>
      <c r="B473" s="240" t="str">
        <f>TiposLancamentos!B16</f>
        <v>Cristiane</v>
      </c>
      <c r="C473" s="878" t="s">
        <v>15541</v>
      </c>
      <c r="D473" s="63"/>
      <c r="E473" s="231">
        <v>9.1300000000000008</v>
      </c>
      <c r="F473" s="899"/>
      <c r="G473" s="1152" t="s">
        <v>9</v>
      </c>
    </row>
    <row r="474" spans="1:7">
      <c r="A474" s="884">
        <v>44472</v>
      </c>
      <c r="B474" s="240" t="str">
        <f>TiposLancamentos!B13</f>
        <v>Moradia</v>
      </c>
      <c r="C474" s="878" t="s">
        <v>15542</v>
      </c>
      <c r="D474" s="63"/>
      <c r="E474" s="231">
        <v>148.37</v>
      </c>
      <c r="F474" s="899">
        <v>1780</v>
      </c>
      <c r="G474" s="1152" t="s">
        <v>9</v>
      </c>
    </row>
    <row r="475" spans="1:7">
      <c r="A475" s="884">
        <v>44481</v>
      </c>
      <c r="B475" s="240" t="str">
        <f>B464</f>
        <v>Moradia</v>
      </c>
      <c r="C475" s="878" t="s">
        <v>15543</v>
      </c>
      <c r="D475" s="63"/>
      <c r="E475" s="231">
        <v>229.77</v>
      </c>
      <c r="F475" s="899">
        <v>2756.8</v>
      </c>
      <c r="G475" s="1152" t="s">
        <v>9</v>
      </c>
    </row>
    <row r="476" spans="1:7">
      <c r="A476" s="884">
        <v>44481</v>
      </c>
      <c r="B476" s="240" t="str">
        <f>TiposLancamentos!B102</f>
        <v>ESTORNO</v>
      </c>
      <c r="C476" s="878" t="s">
        <v>15544</v>
      </c>
      <c r="D476" s="63">
        <v>0.44</v>
      </c>
      <c r="E476" s="231"/>
      <c r="F476" s="899"/>
      <c r="G476" s="1152" t="s">
        <v>9</v>
      </c>
    </row>
    <row r="477" spans="1:7">
      <c r="A477" s="884">
        <v>44482</v>
      </c>
      <c r="B477" s="240" t="str">
        <f>TiposLancamentos!B88</f>
        <v>Ford Ecosport XLT</v>
      </c>
      <c r="C477" s="878" t="s">
        <v>15545</v>
      </c>
      <c r="D477" s="63"/>
      <c r="E477" s="231">
        <v>573.35</v>
      </c>
      <c r="F477" s="899">
        <v>3440</v>
      </c>
      <c r="G477" s="3"/>
    </row>
    <row r="478" spans="1:7">
      <c r="A478" s="884">
        <v>44485</v>
      </c>
      <c r="B478" s="240" t="str">
        <f>TiposLancamentos!B16</f>
        <v>Cristiane</v>
      </c>
      <c r="C478" s="878" t="s">
        <v>15546</v>
      </c>
      <c r="D478" s="63"/>
      <c r="E478" s="231">
        <v>12.81</v>
      </c>
      <c r="F478" s="899"/>
      <c r="G478" s="1152" t="s">
        <v>9</v>
      </c>
    </row>
    <row r="479" spans="1:7">
      <c r="A479" s="884">
        <v>44490</v>
      </c>
      <c r="B479" s="240" t="str">
        <f>TiposLancamentos!B23</f>
        <v>P208 GRIFFE 1.6 AUT BUSINESS</v>
      </c>
      <c r="C479" s="878" t="s">
        <v>15547</v>
      </c>
      <c r="D479" s="63"/>
      <c r="E479" s="231">
        <f>F479/6</f>
        <v>252.1</v>
      </c>
      <c r="F479" s="899">
        <v>1512.6</v>
      </c>
      <c r="G479" s="1152" t="s">
        <v>9</v>
      </c>
    </row>
    <row r="480" spans="1:7">
      <c r="A480" s="934"/>
      <c r="B480" s="243"/>
      <c r="C480" s="389" t="s">
        <v>10</v>
      </c>
      <c r="D480" s="146"/>
      <c r="E480" s="1190"/>
      <c r="F480" s="935"/>
      <c r="G480" s="1094" t="s">
        <v>11</v>
      </c>
    </row>
    <row r="481" spans="1:7">
      <c r="A481" s="884">
        <v>44497</v>
      </c>
      <c r="B481" s="240" t="str">
        <f>TiposLancamentos!B45</f>
        <v>Online Services</v>
      </c>
      <c r="C481" s="878" t="s">
        <v>1894</v>
      </c>
      <c r="D481" s="63"/>
      <c r="E481" s="231">
        <v>39.9</v>
      </c>
      <c r="F481" s="899"/>
      <c r="G481" s="1152" t="s">
        <v>9</v>
      </c>
    </row>
    <row r="482" spans="1:7">
      <c r="A482" s="884">
        <v>44499</v>
      </c>
      <c r="B482" s="240" t="str">
        <f>TiposLancamentos!B54</f>
        <v>Metro</v>
      </c>
      <c r="C482" s="878" t="s">
        <v>15548</v>
      </c>
      <c r="D482" s="63"/>
      <c r="E482" s="231">
        <v>10</v>
      </c>
      <c r="F482" s="899"/>
      <c r="G482" s="1152" t="s">
        <v>9</v>
      </c>
    </row>
    <row r="483" spans="1:7">
      <c r="A483" s="884">
        <v>44499</v>
      </c>
      <c r="B483" s="240" t="str">
        <f>TiposLancamentos!B54</f>
        <v>Metro</v>
      </c>
      <c r="C483" s="878" t="s">
        <v>15549</v>
      </c>
      <c r="D483" s="63"/>
      <c r="E483" s="231">
        <v>10</v>
      </c>
      <c r="F483" s="899"/>
      <c r="G483" s="1152" t="s">
        <v>9</v>
      </c>
    </row>
    <row r="484" spans="1:7">
      <c r="A484" s="884">
        <v>44499</v>
      </c>
      <c r="B484" s="240" t="str">
        <f>TiposLancamentos!B65</f>
        <v>Taxi</v>
      </c>
      <c r="C484" s="878" t="s">
        <v>15550</v>
      </c>
      <c r="D484" s="63"/>
      <c r="E484" s="231">
        <v>30.43</v>
      </c>
      <c r="F484" s="899"/>
      <c r="G484" s="1152" t="s">
        <v>9</v>
      </c>
    </row>
    <row r="485" spans="1:7" ht="14.25" thickBot="1">
      <c r="A485" s="884">
        <v>44499</v>
      </c>
      <c r="B485" s="240" t="str">
        <f>TiposLancamentos!B65</f>
        <v>Taxi</v>
      </c>
      <c r="C485" s="878" t="s">
        <v>15551</v>
      </c>
      <c r="D485" s="63"/>
      <c r="E485" s="231">
        <v>26.62</v>
      </c>
      <c r="F485" s="899"/>
      <c r="G485" s="1152" t="s">
        <v>9</v>
      </c>
    </row>
    <row r="486" spans="1:7">
      <c r="A486" s="1032"/>
      <c r="B486" s="1230"/>
      <c r="C486" s="906" t="s">
        <v>1604</v>
      </c>
      <c r="D486" s="896"/>
      <c r="E486" s="925"/>
      <c r="F486" s="1034">
        <f>SUM(E467:E480)-D476</f>
        <v>1524.9799999999998</v>
      </c>
      <c r="G486" s="3"/>
    </row>
    <row r="487" spans="1:7">
      <c r="A487" s="884">
        <v>44501</v>
      </c>
      <c r="B487" s="240" t="str">
        <f>TiposLancamentos!B15</f>
        <v>Cartões de Crédito</v>
      </c>
      <c r="C487" s="878" t="s">
        <v>1874</v>
      </c>
      <c r="D487" s="63">
        <v>1524.98</v>
      </c>
      <c r="E487" s="231"/>
      <c r="F487" s="899">
        <f>F486-F471</f>
        <v>399.31999999999971</v>
      </c>
      <c r="G487" s="1152" t="s">
        <v>9</v>
      </c>
    </row>
    <row r="488" spans="1:7">
      <c r="A488" s="884">
        <v>44503</v>
      </c>
      <c r="B488" s="240" t="str">
        <f>TiposLancamentos!B16</f>
        <v>Cristiane</v>
      </c>
      <c r="C488" s="878" t="s">
        <v>15549</v>
      </c>
      <c r="D488" s="63"/>
      <c r="E488" s="231">
        <v>10</v>
      </c>
      <c r="F488" s="899"/>
      <c r="G488" s="1152" t="s">
        <v>9</v>
      </c>
    </row>
    <row r="489" spans="1:7">
      <c r="A489" s="884">
        <v>44503</v>
      </c>
      <c r="B489" s="240" t="str">
        <f>TiposLancamentos!B13</f>
        <v>Moradia</v>
      </c>
      <c r="C489" s="878" t="s">
        <v>15552</v>
      </c>
      <c r="D489" s="63"/>
      <c r="E489" s="231">
        <v>148.37</v>
      </c>
      <c r="F489" s="899">
        <v>1780</v>
      </c>
      <c r="G489" s="1152" t="s">
        <v>9</v>
      </c>
    </row>
    <row r="490" spans="1:7">
      <c r="A490" s="884">
        <v>44504</v>
      </c>
      <c r="B490" s="240" t="str">
        <f>TiposLancamentos!B34</f>
        <v>Seguros</v>
      </c>
      <c r="C490" s="878" t="s">
        <v>15553</v>
      </c>
      <c r="D490" s="63"/>
      <c r="E490" s="231">
        <v>254</v>
      </c>
      <c r="F490" s="899"/>
      <c r="G490" s="1152" t="s">
        <v>9</v>
      </c>
    </row>
    <row r="491" spans="1:7">
      <c r="A491" s="884">
        <v>44510</v>
      </c>
      <c r="B491" s="240" t="str">
        <f>TiposLancamentos!B16</f>
        <v>Cristiane</v>
      </c>
      <c r="C491" s="878" t="s">
        <v>8305</v>
      </c>
      <c r="D491" s="63"/>
      <c r="E491" s="231">
        <v>33.96</v>
      </c>
      <c r="F491" s="899"/>
      <c r="G491" s="1152" t="s">
        <v>9</v>
      </c>
    </row>
    <row r="492" spans="1:7">
      <c r="A492" s="884">
        <v>44512</v>
      </c>
      <c r="B492" s="240" t="str">
        <f>TiposLancamentos!B13</f>
        <v>Moradia</v>
      </c>
      <c r="C492" s="878" t="s">
        <v>15554</v>
      </c>
      <c r="D492" s="63"/>
      <c r="E492" s="231">
        <v>229.77</v>
      </c>
      <c r="F492" s="899">
        <v>2756.8</v>
      </c>
      <c r="G492" s="1152" t="s">
        <v>9</v>
      </c>
    </row>
    <row r="493" spans="1:7">
      <c r="A493" s="884">
        <v>44513</v>
      </c>
      <c r="B493" s="240" t="str">
        <f>TiposLancamentos!B88</f>
        <v>Ford Ecosport XLT</v>
      </c>
      <c r="C493" s="878" t="s">
        <v>15555</v>
      </c>
      <c r="D493" s="63"/>
      <c r="E493" s="231">
        <v>573.35</v>
      </c>
      <c r="F493" s="899">
        <v>3440</v>
      </c>
      <c r="G493" s="1152" t="s">
        <v>9</v>
      </c>
    </row>
    <row r="494" spans="1:7">
      <c r="A494" s="884">
        <v>44521</v>
      </c>
      <c r="B494" s="240" t="str">
        <f>TiposLancamentos!B4</f>
        <v>Taxas Bancarias</v>
      </c>
      <c r="C494" s="878" t="s">
        <v>15556</v>
      </c>
      <c r="D494" s="63"/>
      <c r="E494" s="231">
        <v>5.99</v>
      </c>
      <c r="F494" s="899"/>
      <c r="G494" s="1152" t="s">
        <v>9</v>
      </c>
    </row>
    <row r="495" spans="1:7">
      <c r="A495" s="884">
        <v>44521</v>
      </c>
      <c r="B495" s="240" t="str">
        <f>TiposLancamentos!B23</f>
        <v>P208 GRIFFE 1.6 AUT BUSINESS</v>
      </c>
      <c r="C495" s="878" t="s">
        <v>15557</v>
      </c>
      <c r="D495" s="63"/>
      <c r="E495" s="231">
        <f>F495/6</f>
        <v>252.1</v>
      </c>
      <c r="F495" s="899">
        <v>1512.6</v>
      </c>
      <c r="G495" s="1152" t="s">
        <v>9</v>
      </c>
    </row>
    <row r="496" spans="1:7">
      <c r="A496" s="934"/>
      <c r="B496" s="243"/>
      <c r="C496" s="389" t="s">
        <v>10</v>
      </c>
      <c r="D496" s="146"/>
      <c r="E496" s="1190"/>
      <c r="F496" s="935"/>
      <c r="G496" s="1094" t="s">
        <v>11</v>
      </c>
    </row>
    <row r="497" spans="1:7">
      <c r="A497" s="884">
        <v>44527</v>
      </c>
      <c r="B497" s="240" t="str">
        <f>TiposLancamentos!B71</f>
        <v>Itens Pessoais</v>
      </c>
      <c r="C497" s="878" t="s">
        <v>15558</v>
      </c>
      <c r="D497" s="63"/>
      <c r="E497" s="231">
        <v>435.42</v>
      </c>
      <c r="F497" s="899">
        <v>5224.05</v>
      </c>
      <c r="G497" s="1152" t="s">
        <v>9</v>
      </c>
    </row>
    <row r="498" spans="1:7" ht="14.25" thickBot="1">
      <c r="A498" s="884">
        <v>44528</v>
      </c>
      <c r="B498" s="240" t="str">
        <f>TiposLancamentos!B45</f>
        <v>Online Services</v>
      </c>
      <c r="C498" s="878" t="s">
        <v>1894</v>
      </c>
      <c r="D498" s="63"/>
      <c r="E498" s="231">
        <v>39.9</v>
      </c>
      <c r="F498" s="899"/>
      <c r="G498" s="1152" t="s">
        <v>9</v>
      </c>
    </row>
    <row r="499" spans="1:7">
      <c r="A499" s="1032"/>
      <c r="B499" s="1230"/>
      <c r="C499" s="906" t="s">
        <v>1605</v>
      </c>
      <c r="D499" s="896"/>
      <c r="E499" s="925"/>
      <c r="F499" s="1034">
        <f>SUM(E480:E496)</f>
        <v>1624.49</v>
      </c>
      <c r="G499" s="3"/>
    </row>
    <row r="500" spans="1:7">
      <c r="A500" s="884">
        <v>44531</v>
      </c>
      <c r="B500" s="240" t="str">
        <f>TiposLancamentos!B15</f>
        <v>Cartões de Crédito</v>
      </c>
      <c r="C500" s="878" t="s">
        <v>1874</v>
      </c>
      <c r="D500" s="63">
        <v>1624.49</v>
      </c>
      <c r="E500" s="231"/>
      <c r="F500" s="899">
        <f>F499-F486</f>
        <v>99.510000000000218</v>
      </c>
      <c r="G500" s="1152" t="s">
        <v>9</v>
      </c>
    </row>
    <row r="501" spans="1:7">
      <c r="A501" s="884">
        <v>44533</v>
      </c>
      <c r="B501" s="240" t="str">
        <f>TiposLancamentos!B13</f>
        <v>Moradia</v>
      </c>
      <c r="C501" s="878" t="s">
        <v>15559</v>
      </c>
      <c r="D501" s="63"/>
      <c r="E501" s="231">
        <v>148.37</v>
      </c>
      <c r="F501" s="899">
        <v>1780</v>
      </c>
      <c r="G501" s="1152" t="s">
        <v>9</v>
      </c>
    </row>
    <row r="502" spans="1:7">
      <c r="A502" s="884">
        <v>44533</v>
      </c>
      <c r="B502" s="240" t="str">
        <f>TiposLancamentos!B34</f>
        <v>Seguros</v>
      </c>
      <c r="C502" s="878" t="s">
        <v>15560</v>
      </c>
      <c r="D502" s="63"/>
      <c r="E502" s="231">
        <v>254</v>
      </c>
      <c r="F502" s="899"/>
      <c r="G502" s="1152" t="s">
        <v>9</v>
      </c>
    </row>
    <row r="503" spans="1:7">
      <c r="A503" s="884">
        <v>44536</v>
      </c>
      <c r="B503" s="240" t="str">
        <f>TiposLancamentos!B72</f>
        <v>Presentes</v>
      </c>
      <c r="C503" s="878" t="s">
        <v>15561</v>
      </c>
      <c r="D503" s="63"/>
      <c r="E503" s="231">
        <v>142.35</v>
      </c>
      <c r="F503" s="899">
        <v>854.05</v>
      </c>
      <c r="G503" s="1152" t="s">
        <v>9</v>
      </c>
    </row>
    <row r="504" spans="1:7">
      <c r="A504" s="884">
        <v>44536</v>
      </c>
      <c r="B504" s="240" t="str">
        <f>TiposLancamentos!B32</f>
        <v>Clinicas e tratamentos</v>
      </c>
      <c r="C504" s="878" t="s">
        <v>15562</v>
      </c>
      <c r="D504" s="63"/>
      <c r="E504" s="231">
        <f>F504/2</f>
        <v>238</v>
      </c>
      <c r="F504" s="899">
        <v>476</v>
      </c>
      <c r="G504" s="1152" t="s">
        <v>9</v>
      </c>
    </row>
    <row r="505" spans="1:7">
      <c r="A505" s="884">
        <v>44537</v>
      </c>
      <c r="B505" s="240" t="str">
        <f>TiposLancamentos!B17</f>
        <v>GATO</v>
      </c>
      <c r="C505" s="878" t="s">
        <v>15563</v>
      </c>
      <c r="D505" s="63"/>
      <c r="E505" s="231">
        <f>F505/4</f>
        <v>107.5</v>
      </c>
      <c r="F505" s="899">
        <v>430</v>
      </c>
      <c r="G505" s="1152" t="s">
        <v>9</v>
      </c>
    </row>
    <row r="506" spans="1:7">
      <c r="A506" s="884">
        <v>44537</v>
      </c>
      <c r="B506" s="240" t="str">
        <f>TiposLancamentos!B19</f>
        <v>Restaurantes</v>
      </c>
      <c r="C506" s="878" t="s">
        <v>15564</v>
      </c>
      <c r="D506" s="63"/>
      <c r="E506" s="231">
        <v>92.4</v>
      </c>
      <c r="F506" s="899"/>
      <c r="G506" s="1152" t="s">
        <v>9</v>
      </c>
    </row>
    <row r="507" spans="1:7">
      <c r="A507" s="884">
        <v>44542</v>
      </c>
      <c r="B507" s="240" t="str">
        <f>TiposLancamentos!B13</f>
        <v>Moradia</v>
      </c>
      <c r="C507" s="878" t="s">
        <v>15565</v>
      </c>
      <c r="D507" s="63"/>
      <c r="E507" s="231">
        <v>229.77</v>
      </c>
      <c r="F507" s="899">
        <v>2756.8</v>
      </c>
      <c r="G507" s="1152" t="s">
        <v>9</v>
      </c>
    </row>
    <row r="508" spans="1:7">
      <c r="A508" s="884">
        <v>44547</v>
      </c>
      <c r="B508" s="240" t="str">
        <f>TiposLancamentos!B16</f>
        <v>Cristiane</v>
      </c>
      <c r="C508" s="878" t="s">
        <v>15566</v>
      </c>
      <c r="D508" s="63"/>
      <c r="E508" s="231">
        <v>20.98</v>
      </c>
      <c r="F508" s="899"/>
      <c r="G508" s="1152" t="s">
        <v>9</v>
      </c>
    </row>
    <row r="509" spans="1:7">
      <c r="A509" s="884">
        <v>44551</v>
      </c>
      <c r="B509" s="240" t="str">
        <f>TiposLancamentos!B23</f>
        <v>P208 GRIFFE 1.6 AUT BUSINESS</v>
      </c>
      <c r="C509" s="878" t="s">
        <v>15567</v>
      </c>
      <c r="D509" s="63"/>
      <c r="E509" s="231">
        <f>F509/6</f>
        <v>252.1</v>
      </c>
      <c r="F509" s="899">
        <v>1512.6</v>
      </c>
      <c r="G509" s="1152" t="s">
        <v>9</v>
      </c>
    </row>
    <row r="510" spans="1:7">
      <c r="A510" s="884">
        <v>44552</v>
      </c>
      <c r="B510" s="240" t="str">
        <f>TiposLancamentos!B4</f>
        <v>Taxas Bancarias</v>
      </c>
      <c r="C510" s="878" t="s">
        <v>15568</v>
      </c>
      <c r="D510" s="63"/>
      <c r="E510" s="231">
        <v>5.99</v>
      </c>
      <c r="F510" s="899"/>
      <c r="G510" s="1152" t="s">
        <v>9</v>
      </c>
    </row>
    <row r="511" spans="1:7">
      <c r="A511" s="934"/>
      <c r="B511" s="243"/>
      <c r="C511" s="389" t="s">
        <v>10</v>
      </c>
      <c r="D511" s="146"/>
      <c r="E511" s="1190"/>
      <c r="F511" s="935"/>
      <c r="G511" s="1094" t="s">
        <v>11</v>
      </c>
    </row>
    <row r="512" spans="1:7">
      <c r="A512" s="884">
        <v>44557</v>
      </c>
      <c r="B512" s="240" t="str">
        <f>B497</f>
        <v>Itens Pessoais</v>
      </c>
      <c r="C512" s="878" t="s">
        <v>15569</v>
      </c>
      <c r="D512" s="63"/>
      <c r="E512" s="231">
        <v>435.42</v>
      </c>
      <c r="F512" s="899">
        <v>5224.05</v>
      </c>
      <c r="G512" s="3"/>
    </row>
    <row r="513" spans="1:7" ht="14.25" thickBot="1">
      <c r="A513" s="884">
        <v>44558</v>
      </c>
      <c r="B513" s="240" t="str">
        <f>TiposLancamentos!B45</f>
        <v>Online Services</v>
      </c>
      <c r="C513" s="878" t="s">
        <v>1894</v>
      </c>
      <c r="D513" s="63"/>
      <c r="E513" s="231">
        <v>39.9</v>
      </c>
      <c r="F513" s="899"/>
      <c r="G513" s="1152" t="s">
        <v>9</v>
      </c>
    </row>
    <row r="514" spans="1:7">
      <c r="A514" s="1032"/>
      <c r="B514" s="1230"/>
      <c r="C514" s="906" t="s">
        <v>1606</v>
      </c>
      <c r="D514" s="896"/>
      <c r="E514" s="925"/>
      <c r="F514" s="1034">
        <f>SUM(E496:E511)</f>
        <v>1966.78</v>
      </c>
      <c r="G514" s="1152" t="s">
        <v>9</v>
      </c>
    </row>
    <row r="515" spans="1:7">
      <c r="A515" s="884">
        <v>44564</v>
      </c>
      <c r="B515" s="240" t="str">
        <f>TiposLancamentos!B15</f>
        <v>Cartões de Crédito</v>
      </c>
      <c r="C515" s="878" t="s">
        <v>1874</v>
      </c>
      <c r="D515" s="63">
        <f>ItaU!E6531</f>
        <v>1966.78</v>
      </c>
      <c r="E515" s="231"/>
      <c r="F515" s="899">
        <f>F514-F499</f>
        <v>342.28999999999996</v>
      </c>
      <c r="G515" s="1094" t="s">
        <v>11</v>
      </c>
    </row>
    <row r="516" spans="1:7">
      <c r="A516" s="884">
        <v>44564</v>
      </c>
      <c r="B516" s="240" t="str">
        <f>TiposLancamentos!B13</f>
        <v>Moradia</v>
      </c>
      <c r="C516" s="878" t="s">
        <v>15570</v>
      </c>
      <c r="D516" s="63"/>
      <c r="E516" s="231">
        <v>148.37</v>
      </c>
      <c r="F516" s="899">
        <v>1780</v>
      </c>
      <c r="G516" s="1152" t="s">
        <v>9</v>
      </c>
    </row>
    <row r="517" spans="1:7">
      <c r="A517" s="884">
        <v>44564</v>
      </c>
      <c r="B517" s="240" t="str">
        <f>TiposLancamentos!B34</f>
        <v>Seguros</v>
      </c>
      <c r="C517" s="878" t="s">
        <v>15571</v>
      </c>
      <c r="D517" s="63"/>
      <c r="E517" s="231">
        <v>254</v>
      </c>
      <c r="F517" s="899"/>
      <c r="G517" s="1152" t="s">
        <v>9</v>
      </c>
    </row>
    <row r="518" spans="1:7">
      <c r="A518" s="884">
        <v>44567</v>
      </c>
      <c r="B518" s="240" t="str">
        <f>TiposLancamentos!B72</f>
        <v>Presentes</v>
      </c>
      <c r="C518" s="878" t="s">
        <v>15572</v>
      </c>
      <c r="D518" s="63"/>
      <c r="E518" s="231">
        <v>142.35</v>
      </c>
      <c r="F518" s="899">
        <v>854.05</v>
      </c>
      <c r="G518" s="1152" t="s">
        <v>9</v>
      </c>
    </row>
    <row r="519" spans="1:7">
      <c r="A519" s="884">
        <v>44567</v>
      </c>
      <c r="B519" s="240" t="str">
        <f>TiposLancamentos!B32</f>
        <v>Clinicas e tratamentos</v>
      </c>
      <c r="C519" s="878" t="s">
        <v>15573</v>
      </c>
      <c r="D519" s="63"/>
      <c r="E519" s="231">
        <f>F519/2</f>
        <v>238</v>
      </c>
      <c r="F519" s="899">
        <v>476</v>
      </c>
      <c r="G519" s="1152" t="s">
        <v>9</v>
      </c>
    </row>
    <row r="520" spans="1:7">
      <c r="A520" s="884">
        <v>44567</v>
      </c>
      <c r="B520" s="240" t="str">
        <f>TiposLancamentos!B102</f>
        <v>ESTORNO</v>
      </c>
      <c r="C520" s="878" t="s">
        <v>15574</v>
      </c>
      <c r="D520" s="63">
        <v>0.05</v>
      </c>
      <c r="E520" s="231"/>
      <c r="F520" s="899"/>
      <c r="G520" s="1152" t="s">
        <v>9</v>
      </c>
    </row>
    <row r="521" spans="1:7">
      <c r="A521" s="884">
        <v>44567</v>
      </c>
      <c r="B521" s="240" t="str">
        <f>TiposLancamentos!B102</f>
        <v>ESTORNO</v>
      </c>
      <c r="C521" s="878" t="s">
        <v>15574</v>
      </c>
      <c r="D521" s="63">
        <v>0.99</v>
      </c>
      <c r="E521" s="231"/>
      <c r="F521" s="899"/>
      <c r="G521" s="1152" t="s">
        <v>9</v>
      </c>
    </row>
    <row r="522" spans="1:7">
      <c r="A522" s="884">
        <v>44568</v>
      </c>
      <c r="B522" s="240" t="str">
        <f>TiposLancamentos!B17</f>
        <v>GATO</v>
      </c>
      <c r="C522" s="878" t="s">
        <v>15575</v>
      </c>
      <c r="D522" s="63"/>
      <c r="E522" s="231">
        <f>F522/4</f>
        <v>107.5</v>
      </c>
      <c r="F522" s="899">
        <v>430</v>
      </c>
      <c r="G522" s="1152" t="s">
        <v>9</v>
      </c>
    </row>
    <row r="523" spans="1:7">
      <c r="A523" s="884">
        <v>44573</v>
      </c>
      <c r="B523" s="240" t="str">
        <f>TiposLancamentos!B13</f>
        <v>Moradia</v>
      </c>
      <c r="C523" s="878" t="s">
        <v>15576</v>
      </c>
      <c r="D523" s="63"/>
      <c r="E523" s="231">
        <v>229.77</v>
      </c>
      <c r="F523" s="899">
        <v>2756.8</v>
      </c>
      <c r="G523" s="1152" t="s">
        <v>9</v>
      </c>
    </row>
    <row r="524" spans="1:7">
      <c r="A524" s="884">
        <v>44576</v>
      </c>
      <c r="B524" s="240" t="str">
        <f>TiposLancamentos!B16</f>
        <v>Cristiane</v>
      </c>
      <c r="C524" s="878" t="s">
        <v>15577</v>
      </c>
      <c r="D524" s="63"/>
      <c r="E524" s="231">
        <v>8.9600000000000009</v>
      </c>
      <c r="F524" s="899"/>
      <c r="G524" s="1152" t="s">
        <v>9</v>
      </c>
    </row>
    <row r="525" spans="1:7">
      <c r="A525" s="884">
        <v>44582</v>
      </c>
      <c r="B525" s="240" t="str">
        <f>TiposLancamentos!B23</f>
        <v>P208 GRIFFE 1.6 AUT BUSINESS</v>
      </c>
      <c r="C525" s="878" t="s">
        <v>15578</v>
      </c>
      <c r="D525" s="63"/>
      <c r="E525" s="231">
        <f>F525/6</f>
        <v>252.1</v>
      </c>
      <c r="F525" s="899">
        <v>1512.6</v>
      </c>
      <c r="G525" s="1152" t="s">
        <v>9</v>
      </c>
    </row>
    <row r="526" spans="1:7">
      <c r="A526" s="884">
        <v>44583</v>
      </c>
      <c r="B526" s="240" t="str">
        <f>TiposLancamentos!B4</f>
        <v>Taxas Bancarias</v>
      </c>
      <c r="C526" s="878" t="s">
        <v>15568</v>
      </c>
      <c r="D526" s="63"/>
      <c r="E526" s="231">
        <v>5.99</v>
      </c>
      <c r="F526" s="899"/>
      <c r="G526" s="1152" t="s">
        <v>9</v>
      </c>
    </row>
    <row r="527" spans="1:7">
      <c r="A527" s="934"/>
      <c r="B527" s="243"/>
      <c r="C527" s="389" t="s">
        <v>10</v>
      </c>
      <c r="D527" s="146"/>
      <c r="E527" s="1190"/>
      <c r="F527" s="935"/>
      <c r="G527" s="1094" t="s">
        <v>11</v>
      </c>
    </row>
    <row r="528" spans="1:7">
      <c r="A528" s="884">
        <v>44588</v>
      </c>
      <c r="B528" s="240" t="str">
        <f>TiposLancamentos!B71</f>
        <v>Itens Pessoais</v>
      </c>
      <c r="C528" s="878" t="s">
        <v>15579</v>
      </c>
      <c r="D528" s="63"/>
      <c r="E528" s="231">
        <v>435.42</v>
      </c>
      <c r="F528" s="899">
        <v>5224.05</v>
      </c>
      <c r="G528" s="1152" t="s">
        <v>9</v>
      </c>
    </row>
    <row r="529" spans="1:7" ht="14.25" thickBot="1">
      <c r="A529" s="884">
        <v>44589</v>
      </c>
      <c r="B529" s="240" t="str">
        <f>TiposLancamentos!B45</f>
        <v>Online Services</v>
      </c>
      <c r="C529" s="878" t="s">
        <v>1894</v>
      </c>
      <c r="D529" s="63"/>
      <c r="E529" s="231">
        <v>39.9</v>
      </c>
      <c r="F529" s="899"/>
      <c r="G529" s="1152" t="s">
        <v>9</v>
      </c>
    </row>
    <row r="530" spans="1:7">
      <c r="A530" s="1032"/>
      <c r="B530" s="1230"/>
      <c r="C530" s="906" t="s">
        <v>1607</v>
      </c>
      <c r="D530" s="896"/>
      <c r="E530" s="925"/>
      <c r="F530" s="1034">
        <f>SUM(E511:E527)-(D520+D521)</f>
        <v>1861.32</v>
      </c>
      <c r="G530" s="3"/>
    </row>
    <row r="531" spans="1:7">
      <c r="A531" s="884">
        <v>44593</v>
      </c>
      <c r="B531" s="240" t="str">
        <f>TiposLancamentos!B15</f>
        <v>Cartões de Crédito</v>
      </c>
      <c r="C531" s="878" t="s">
        <v>1874</v>
      </c>
      <c r="D531" s="63">
        <v>1861.32</v>
      </c>
      <c r="E531" s="231"/>
      <c r="F531" s="899">
        <f>F530-F514</f>
        <v>-105.46000000000004</v>
      </c>
      <c r="G531" s="1152" t="s">
        <v>9</v>
      </c>
    </row>
    <row r="532" spans="1:7">
      <c r="A532" s="884">
        <v>44595</v>
      </c>
      <c r="B532" s="240" t="str">
        <f>TiposLancamentos!B13</f>
        <v>Moradia</v>
      </c>
      <c r="C532" s="878" t="s">
        <v>15580</v>
      </c>
      <c r="D532" s="63"/>
      <c r="E532" s="231">
        <v>148.37</v>
      </c>
      <c r="F532" s="899">
        <v>1780</v>
      </c>
      <c r="G532" s="1152" t="s">
        <v>9</v>
      </c>
    </row>
    <row r="533" spans="1:7">
      <c r="A533" s="884">
        <v>44595</v>
      </c>
      <c r="B533" s="240" t="str">
        <f>TiposLancamentos!B34</f>
        <v>Seguros</v>
      </c>
      <c r="C533" s="878" t="s">
        <v>15581</v>
      </c>
      <c r="D533" s="63"/>
      <c r="E533" s="231">
        <v>254</v>
      </c>
      <c r="F533" s="899"/>
      <c r="G533" s="1152" t="s">
        <v>9</v>
      </c>
    </row>
    <row r="534" spans="1:7">
      <c r="A534" s="884">
        <v>44598</v>
      </c>
      <c r="B534" s="240" t="str">
        <f>TiposLancamentos!B72</f>
        <v>Presentes</v>
      </c>
      <c r="C534" s="878" t="s">
        <v>15582</v>
      </c>
      <c r="D534" s="63"/>
      <c r="E534" s="231">
        <v>142.35</v>
      </c>
      <c r="F534" s="899">
        <v>854.05</v>
      </c>
      <c r="G534" s="1152" t="s">
        <v>9</v>
      </c>
    </row>
    <row r="535" spans="1:7">
      <c r="A535" s="884">
        <v>44599</v>
      </c>
      <c r="B535" s="240" t="str">
        <f>TiposLancamentos!B17</f>
        <v>GATO</v>
      </c>
      <c r="C535" s="878" t="s">
        <v>15583</v>
      </c>
      <c r="D535" s="63"/>
      <c r="E535" s="231">
        <f>F535/4</f>
        <v>107.5</v>
      </c>
      <c r="F535" s="899">
        <v>430</v>
      </c>
      <c r="G535" s="1152" t="s">
        <v>9</v>
      </c>
    </row>
    <row r="536" spans="1:7">
      <c r="A536" s="884">
        <v>44600</v>
      </c>
      <c r="B536" s="240" t="str">
        <f>TiposLancamentos!B69</f>
        <v>Consertos</v>
      </c>
      <c r="C536" s="878" t="s">
        <v>15584</v>
      </c>
      <c r="D536" s="63"/>
      <c r="E536" s="231">
        <f>F536/2</f>
        <v>195</v>
      </c>
      <c r="F536" s="899">
        <v>390</v>
      </c>
      <c r="G536" s="1152" t="s">
        <v>9</v>
      </c>
    </row>
    <row r="537" spans="1:7">
      <c r="A537" s="884">
        <v>44604</v>
      </c>
      <c r="B537" s="240" t="str">
        <f>TiposLancamentos!B13</f>
        <v>Moradia</v>
      </c>
      <c r="C537" s="878" t="s">
        <v>15585</v>
      </c>
      <c r="D537" s="63"/>
      <c r="E537" s="231">
        <v>229.77</v>
      </c>
      <c r="F537" s="899">
        <v>2756.8</v>
      </c>
      <c r="G537" s="1152" t="s">
        <v>9</v>
      </c>
    </row>
    <row r="538" spans="1:7">
      <c r="A538" s="884">
        <v>44612</v>
      </c>
      <c r="B538" s="240" t="str">
        <f>TiposLancamentos!B4</f>
        <v>Taxas Bancarias</v>
      </c>
      <c r="C538" s="878" t="s">
        <v>15568</v>
      </c>
      <c r="D538" s="63"/>
      <c r="E538" s="231">
        <v>5.99</v>
      </c>
      <c r="F538" s="899"/>
      <c r="G538" s="1152" t="s">
        <v>9</v>
      </c>
    </row>
    <row r="539" spans="1:7">
      <c r="A539" s="884">
        <v>44613</v>
      </c>
      <c r="B539" s="240" t="str">
        <f>TiposLancamentos!B23</f>
        <v>P208 GRIFFE 1.6 AUT BUSINESS</v>
      </c>
      <c r="C539" s="878" t="s">
        <v>15586</v>
      </c>
      <c r="D539" s="63"/>
      <c r="E539" s="231">
        <f>F539/6</f>
        <v>252.1</v>
      </c>
      <c r="F539" s="899">
        <v>1512.6</v>
      </c>
      <c r="G539" s="1152" t="s">
        <v>9</v>
      </c>
    </row>
    <row r="540" spans="1:7">
      <c r="A540" s="934"/>
      <c r="B540" s="243"/>
      <c r="C540" s="389" t="s">
        <v>10</v>
      </c>
      <c r="D540" s="146"/>
      <c r="E540" s="1190"/>
      <c r="F540" s="935"/>
      <c r="G540" s="1094" t="s">
        <v>11</v>
      </c>
    </row>
    <row r="541" spans="1:7">
      <c r="A541" s="884">
        <v>44619</v>
      </c>
      <c r="B541" s="240" t="str">
        <f>B528</f>
        <v>Itens Pessoais</v>
      </c>
      <c r="C541" s="878" t="s">
        <v>15587</v>
      </c>
      <c r="D541" s="63"/>
      <c r="E541" s="231">
        <v>435.42</v>
      </c>
      <c r="F541" s="899">
        <v>5224.05</v>
      </c>
      <c r="G541" s="1152" t="s">
        <v>9</v>
      </c>
    </row>
    <row r="542" spans="1:7" ht="14.25" thickBot="1">
      <c r="A542" s="884">
        <v>44620</v>
      </c>
      <c r="B542" s="240" t="str">
        <f>TiposLancamentos!B45</f>
        <v>Online Services</v>
      </c>
      <c r="C542" s="878" t="s">
        <v>1894</v>
      </c>
      <c r="D542" s="63"/>
      <c r="E542" s="231">
        <v>39.9</v>
      </c>
      <c r="F542" s="899"/>
      <c r="G542" s="1152" t="s">
        <v>9</v>
      </c>
    </row>
    <row r="543" spans="1:7">
      <c r="A543" s="1032"/>
      <c r="B543" s="1230"/>
      <c r="C543" s="906" t="s">
        <v>1608</v>
      </c>
      <c r="D543" s="896"/>
      <c r="E543" s="925"/>
      <c r="F543" s="1034">
        <f>SUM(E527:E540)</f>
        <v>1810.3999999999999</v>
      </c>
      <c r="G543" s="3"/>
    </row>
    <row r="544" spans="1:7">
      <c r="A544" s="884">
        <v>44622</v>
      </c>
      <c r="B544" s="240" t="str">
        <f>TiposLancamentos!B15</f>
        <v>Cartões de Crédito</v>
      </c>
      <c r="C544" s="878" t="s">
        <v>1874</v>
      </c>
      <c r="D544" s="63">
        <v>1810.4</v>
      </c>
      <c r="E544" s="231"/>
      <c r="F544" s="899">
        <f>F543-F530</f>
        <v>-50.920000000000073</v>
      </c>
      <c r="G544" s="1152" t="s">
        <v>9</v>
      </c>
    </row>
    <row r="545" spans="1:7">
      <c r="A545" s="884">
        <v>44623</v>
      </c>
      <c r="B545" s="240" t="str">
        <f>B532</f>
        <v>Moradia</v>
      </c>
      <c r="C545" s="878" t="s">
        <v>15588</v>
      </c>
      <c r="D545" s="63"/>
      <c r="E545" s="231">
        <v>148.37</v>
      </c>
      <c r="F545" s="899">
        <v>1780</v>
      </c>
      <c r="G545" s="1152" t="s">
        <v>9</v>
      </c>
    </row>
    <row r="546" spans="1:7">
      <c r="A546" s="884">
        <v>44623</v>
      </c>
      <c r="B546" s="240" t="str">
        <f>TiposLancamentos!B34</f>
        <v>Seguros</v>
      </c>
      <c r="C546" s="878" t="s">
        <v>15589</v>
      </c>
      <c r="D546" s="63"/>
      <c r="E546" s="231">
        <v>254.36</v>
      </c>
      <c r="F546" s="899"/>
      <c r="G546" s="1152" t="s">
        <v>9</v>
      </c>
    </row>
    <row r="547" spans="1:7">
      <c r="A547" s="884">
        <v>44626</v>
      </c>
      <c r="B547" s="240" t="str">
        <f>TiposLancamentos!B72</f>
        <v>Presentes</v>
      </c>
      <c r="C547" s="878" t="s">
        <v>15590</v>
      </c>
      <c r="D547" s="63"/>
      <c r="E547" s="231">
        <v>142.35</v>
      </c>
      <c r="F547" s="899">
        <v>854.05</v>
      </c>
      <c r="G547" s="1152" t="s">
        <v>9</v>
      </c>
    </row>
    <row r="548" spans="1:7">
      <c r="A548" s="884">
        <v>44627</v>
      </c>
      <c r="B548" s="240" t="str">
        <f>TiposLancamentos!B17</f>
        <v>GATO</v>
      </c>
      <c r="C548" s="878" t="s">
        <v>15591</v>
      </c>
      <c r="D548" s="63"/>
      <c r="E548" s="231">
        <f>F548/4</f>
        <v>107.5</v>
      </c>
      <c r="F548" s="899">
        <v>430</v>
      </c>
      <c r="G548" s="1152" t="s">
        <v>9</v>
      </c>
    </row>
    <row r="549" spans="1:7">
      <c r="A549" s="884">
        <v>44628</v>
      </c>
      <c r="B549" s="240" t="str">
        <f>TiposLancamentos!B69</f>
        <v>Consertos</v>
      </c>
      <c r="C549" s="878" t="s">
        <v>15592</v>
      </c>
      <c r="D549" s="63"/>
      <c r="E549" s="231">
        <f>F549/2</f>
        <v>195</v>
      </c>
      <c r="F549" s="899">
        <v>390</v>
      </c>
      <c r="G549" s="1152" t="s">
        <v>9</v>
      </c>
    </row>
    <row r="550" spans="1:7">
      <c r="A550" s="884">
        <v>44628</v>
      </c>
      <c r="B550" s="240" t="str">
        <f>TiposLancamentos!B16</f>
        <v>Cristiane</v>
      </c>
      <c r="C550" s="878" t="s">
        <v>8305</v>
      </c>
      <c r="D550" s="63"/>
      <c r="E550" s="231">
        <v>58.94</v>
      </c>
      <c r="F550" s="899"/>
      <c r="G550" s="1152" t="s">
        <v>9</v>
      </c>
    </row>
    <row r="551" spans="1:7">
      <c r="A551" s="884">
        <v>44632</v>
      </c>
      <c r="B551" s="240" t="str">
        <f>TiposLancamentos!B13</f>
        <v>Moradia</v>
      </c>
      <c r="C551" s="878" t="s">
        <v>15593</v>
      </c>
      <c r="D551" s="63"/>
      <c r="E551" s="231">
        <v>229.77</v>
      </c>
      <c r="F551" s="899">
        <v>2756.8</v>
      </c>
      <c r="G551" s="1152" t="s">
        <v>9</v>
      </c>
    </row>
    <row r="552" spans="1:7">
      <c r="A552" s="884">
        <v>44640</v>
      </c>
      <c r="B552" s="240" t="str">
        <f>TiposLancamentos!B19</f>
        <v>Restaurantes</v>
      </c>
      <c r="C552" s="878" t="s">
        <v>10370</v>
      </c>
      <c r="D552" s="63"/>
      <c r="E552" s="231">
        <v>63.78</v>
      </c>
      <c r="F552" s="899"/>
      <c r="G552" s="1152" t="s">
        <v>9</v>
      </c>
    </row>
    <row r="553" spans="1:7">
      <c r="A553" s="884">
        <v>44641</v>
      </c>
      <c r="B553" s="240" t="str">
        <f>TiposLancamentos!B23</f>
        <v>P208 GRIFFE 1.6 AUT BUSINESS</v>
      </c>
      <c r="C553" s="878" t="s">
        <v>15594</v>
      </c>
      <c r="D553" s="63"/>
      <c r="E553" s="231">
        <f>F553/6</f>
        <v>252.1</v>
      </c>
      <c r="F553" s="899">
        <v>1512.6</v>
      </c>
      <c r="G553" s="1152" t="s">
        <v>9</v>
      </c>
    </row>
    <row r="554" spans="1:7">
      <c r="A554" s="884">
        <v>44641</v>
      </c>
      <c r="B554" s="240" t="str">
        <f>TiposLancamentos!B4</f>
        <v>Taxas Bancarias</v>
      </c>
      <c r="C554" s="878" t="s">
        <v>15568</v>
      </c>
      <c r="D554" s="63"/>
      <c r="E554" s="231">
        <v>5.99</v>
      </c>
      <c r="F554" s="899"/>
      <c r="G554" s="1152" t="s">
        <v>9</v>
      </c>
    </row>
    <row r="555" spans="1:7">
      <c r="A555" s="934"/>
      <c r="B555" s="243"/>
      <c r="C555" s="389" t="s">
        <v>10</v>
      </c>
      <c r="D555" s="146"/>
      <c r="E555" s="1190"/>
      <c r="F555" s="935"/>
      <c r="G555" s="1094" t="s">
        <v>11</v>
      </c>
    </row>
    <row r="556" spans="1:7">
      <c r="A556" s="884">
        <v>44647</v>
      </c>
      <c r="B556" s="240" t="str">
        <f>TiposLancamentos!B71</f>
        <v>Itens Pessoais</v>
      </c>
      <c r="C556" s="878" t="s">
        <v>15595</v>
      </c>
      <c r="D556" s="63"/>
      <c r="E556" s="231">
        <v>435.42</v>
      </c>
      <c r="F556" s="899">
        <v>5224.05</v>
      </c>
      <c r="G556" s="1152" t="s">
        <v>9</v>
      </c>
    </row>
    <row r="557" spans="1:7">
      <c r="A557" s="884">
        <v>44648</v>
      </c>
      <c r="B557" s="240" t="str">
        <f>TiposLancamentos!B45</f>
        <v>Online Services</v>
      </c>
      <c r="C557" s="878" t="s">
        <v>1894</v>
      </c>
      <c r="D557" s="63"/>
      <c r="E557" s="231">
        <v>39.9</v>
      </c>
      <c r="F557" s="899"/>
      <c r="G557" s="1152" t="s">
        <v>9</v>
      </c>
    </row>
    <row r="558" spans="1:7" ht="14.25" thickBot="1">
      <c r="A558" s="884">
        <v>44651</v>
      </c>
      <c r="B558" s="240" t="str">
        <f>TiposLancamentos!B16</f>
        <v>Cristiane</v>
      </c>
      <c r="C558" s="878" t="s">
        <v>2155</v>
      </c>
      <c r="D558" s="63"/>
      <c r="E558" s="231">
        <v>9.93</v>
      </c>
      <c r="F558" s="899"/>
      <c r="G558" s="1152" t="s">
        <v>9</v>
      </c>
    </row>
    <row r="559" spans="1:7">
      <c r="A559" s="1032"/>
      <c r="B559" s="1230"/>
      <c r="C559" s="906" t="s">
        <v>1609</v>
      </c>
      <c r="D559" s="896"/>
      <c r="E559" s="925"/>
      <c r="F559" s="1034">
        <f>SUM(E540:E555)</f>
        <v>1933.48</v>
      </c>
      <c r="G559" s="3"/>
    </row>
    <row r="560" spans="1:7">
      <c r="A560" s="884">
        <v>44652</v>
      </c>
      <c r="B560" s="240" t="str">
        <f>TiposLancamentos!B15</f>
        <v>Cartões de Crédito</v>
      </c>
      <c r="C560" s="878" t="s">
        <v>1874</v>
      </c>
      <c r="D560" s="63">
        <v>1933.48</v>
      </c>
      <c r="E560" s="231"/>
      <c r="F560" s="899">
        <f>F559-F543</f>
        <v>123.08000000000015</v>
      </c>
      <c r="G560" s="1152" t="s">
        <v>9</v>
      </c>
    </row>
    <row r="561" spans="1:7">
      <c r="A561" s="884">
        <v>44657</v>
      </c>
      <c r="B561" s="240" t="str">
        <f>TiposLancamentos!B72</f>
        <v>Presentes</v>
      </c>
      <c r="C561" s="878" t="s">
        <v>15596</v>
      </c>
      <c r="D561" s="63"/>
      <c r="E561" s="231">
        <v>142.35</v>
      </c>
      <c r="F561" s="899">
        <v>854.05</v>
      </c>
      <c r="G561" s="1152" t="s">
        <v>9</v>
      </c>
    </row>
    <row r="562" spans="1:7">
      <c r="A562" s="884">
        <v>44663</v>
      </c>
      <c r="B562" s="240" t="str">
        <f>TiposLancamentos!B13</f>
        <v>Moradia</v>
      </c>
      <c r="C562" s="878" t="s">
        <v>15597</v>
      </c>
      <c r="D562" s="63"/>
      <c r="E562" s="231">
        <v>229.77</v>
      </c>
      <c r="F562" s="899">
        <v>2756.8</v>
      </c>
      <c r="G562" s="1152" t="s">
        <v>9</v>
      </c>
    </row>
    <row r="563" spans="1:7">
      <c r="A563" s="884">
        <v>44667</v>
      </c>
      <c r="B563" s="240" t="str">
        <f>TiposLancamentos!B57</f>
        <v>Informática</v>
      </c>
      <c r="C563" s="878" t="s">
        <v>15598</v>
      </c>
      <c r="D563" s="63"/>
      <c r="E563" s="231">
        <v>118.2</v>
      </c>
      <c r="F563" s="899">
        <v>709</v>
      </c>
      <c r="G563" s="1152" t="s">
        <v>9</v>
      </c>
    </row>
    <row r="564" spans="1:7">
      <c r="A564" s="884">
        <v>44670</v>
      </c>
      <c r="B564" s="240" t="str">
        <f>TiposLancamentos!B16</f>
        <v>Cristiane</v>
      </c>
      <c r="C564" s="878" t="s">
        <v>12214</v>
      </c>
      <c r="D564" s="63"/>
      <c r="E564" s="231">
        <v>35.89</v>
      </c>
      <c r="F564" s="899"/>
      <c r="G564" s="3"/>
    </row>
    <row r="565" spans="1:7">
      <c r="A565" s="884">
        <v>44672</v>
      </c>
      <c r="B565" s="240" t="str">
        <f>TiposLancamentos!B4</f>
        <v>Taxas Bancarias</v>
      </c>
      <c r="C565" s="878" t="s">
        <v>15568</v>
      </c>
      <c r="D565" s="63"/>
      <c r="E565" s="231">
        <v>5.99</v>
      </c>
      <c r="F565" s="899"/>
      <c r="G565" s="1152" t="s">
        <v>9</v>
      </c>
    </row>
    <row r="566" spans="1:7">
      <c r="A566" s="934"/>
      <c r="B566" s="243"/>
      <c r="C566" s="389" t="s">
        <v>10</v>
      </c>
      <c r="D566" s="146"/>
      <c r="E566" s="1190"/>
      <c r="F566" s="935"/>
      <c r="G566" s="1094" t="s">
        <v>11</v>
      </c>
    </row>
    <row r="567" spans="1:7">
      <c r="A567" s="884">
        <v>44673</v>
      </c>
      <c r="B567" s="240" t="str">
        <f>TiposLancamentos!B71</f>
        <v>Itens Pessoais</v>
      </c>
      <c r="C567" s="878" t="s">
        <v>15599</v>
      </c>
      <c r="D567" s="63"/>
      <c r="E567" s="231">
        <v>73.41</v>
      </c>
      <c r="F567" s="899"/>
      <c r="G567" s="1152" t="s">
        <v>9</v>
      </c>
    </row>
    <row r="568" spans="1:7">
      <c r="A568" s="858">
        <v>44674</v>
      </c>
      <c r="B568" s="822" t="str">
        <f>TiposLancamentos!B56</f>
        <v>Farmácia</v>
      </c>
      <c r="C568" s="808" t="s">
        <v>15600</v>
      </c>
      <c r="D568" s="747"/>
      <c r="E568" s="1139">
        <v>97.65</v>
      </c>
      <c r="F568" s="1145"/>
      <c r="G568" s="1152" t="s">
        <v>9</v>
      </c>
    </row>
    <row r="569" spans="1:7">
      <c r="A569" s="862">
        <v>44674</v>
      </c>
      <c r="B569" s="823" t="str">
        <f>TiposLancamentos!B16</f>
        <v>Cristiane</v>
      </c>
      <c r="C569" s="812" t="s">
        <v>15600</v>
      </c>
      <c r="D569" s="849"/>
      <c r="E569" s="1141">
        <v>97.65</v>
      </c>
      <c r="F569" s="1146">
        <f>SUM(E568:E569)</f>
        <v>195.3</v>
      </c>
      <c r="G569" s="1152" t="s">
        <v>9</v>
      </c>
    </row>
    <row r="570" spans="1:7">
      <c r="A570" s="884">
        <v>44676</v>
      </c>
      <c r="B570" s="240" t="str">
        <f>TiposLancamentos!B3</f>
        <v>Internet</v>
      </c>
      <c r="C570" s="878" t="s">
        <v>15349</v>
      </c>
      <c r="D570" s="63"/>
      <c r="E570" s="231">
        <v>64.900000000000006</v>
      </c>
      <c r="F570" s="899"/>
      <c r="G570" s="1152" t="s">
        <v>9</v>
      </c>
    </row>
    <row r="571" spans="1:7">
      <c r="A571" s="884">
        <v>44678</v>
      </c>
      <c r="B571" s="240" t="str">
        <f>B556</f>
        <v>Itens Pessoais</v>
      </c>
      <c r="C571" s="878" t="s">
        <v>15601</v>
      </c>
      <c r="D571" s="63"/>
      <c r="E571" s="231">
        <v>435.42</v>
      </c>
      <c r="F571" s="899">
        <v>5224.05</v>
      </c>
      <c r="G571" s="1152" t="s">
        <v>9</v>
      </c>
    </row>
    <row r="572" spans="1:7" ht="14.25" thickBot="1">
      <c r="A572" s="884">
        <v>44679</v>
      </c>
      <c r="B572" s="240" t="str">
        <f>TiposLancamentos!B45</f>
        <v>Online Services</v>
      </c>
      <c r="C572" s="878" t="s">
        <v>1894</v>
      </c>
      <c r="D572" s="63"/>
      <c r="E572" s="231">
        <v>39.9</v>
      </c>
      <c r="F572" s="899"/>
      <c r="G572" s="1152" t="s">
        <v>9</v>
      </c>
    </row>
    <row r="573" spans="1:7">
      <c r="A573" s="1032"/>
      <c r="B573" s="1230"/>
      <c r="C573" s="906" t="s">
        <v>1610</v>
      </c>
      <c r="D573" s="896"/>
      <c r="E573" s="925"/>
      <c r="F573" s="1034">
        <f>SUM(E555:E566)</f>
        <v>1017.45</v>
      </c>
      <c r="G573" s="3"/>
    </row>
    <row r="574" spans="1:7">
      <c r="A574" s="884">
        <v>44683</v>
      </c>
      <c r="B574" s="240" t="str">
        <f>TiposLancamentos!B15</f>
        <v>Cartões de Crédito</v>
      </c>
      <c r="C574" s="878" t="s">
        <v>1874</v>
      </c>
      <c r="D574" s="63">
        <v>1017.45</v>
      </c>
      <c r="E574" s="231"/>
      <c r="F574" s="899">
        <f>F573-F559</f>
        <v>-916.03</v>
      </c>
      <c r="G574" s="1152" t="s">
        <v>9</v>
      </c>
    </row>
    <row r="575" spans="1:7">
      <c r="A575" s="884">
        <v>44322</v>
      </c>
      <c r="B575" s="240" t="str">
        <f>TiposLancamentos!B72</f>
        <v>Presentes</v>
      </c>
      <c r="C575" s="878" t="s">
        <v>15602</v>
      </c>
      <c r="D575" s="63"/>
      <c r="E575" s="231">
        <v>142.35</v>
      </c>
      <c r="F575" s="899">
        <v>854.05</v>
      </c>
      <c r="G575" s="1152" t="s">
        <v>9</v>
      </c>
    </row>
    <row r="576" spans="1:7">
      <c r="A576" s="884">
        <v>44688</v>
      </c>
      <c r="B576" s="240" t="str">
        <f>TiposLancamentos!B16</f>
        <v>Cristiane</v>
      </c>
      <c r="C576" s="878" t="s">
        <v>15603</v>
      </c>
      <c r="D576" s="63"/>
      <c r="E576" s="231">
        <v>19.989999999999998</v>
      </c>
      <c r="F576" s="899"/>
      <c r="G576" s="1152" t="s">
        <v>9</v>
      </c>
    </row>
    <row r="577" spans="1:7">
      <c r="A577" s="884">
        <v>44693</v>
      </c>
      <c r="B577" s="240" t="str">
        <f>TiposLancamentos!B13</f>
        <v>Moradia</v>
      </c>
      <c r="C577" s="878" t="s">
        <v>15604</v>
      </c>
      <c r="D577" s="63"/>
      <c r="E577" s="231">
        <v>229.77</v>
      </c>
      <c r="F577" s="899">
        <v>2756.8</v>
      </c>
      <c r="G577" s="1152" t="s">
        <v>9</v>
      </c>
    </row>
    <row r="578" spans="1:7">
      <c r="A578" s="884">
        <v>44695</v>
      </c>
      <c r="B578" s="240" t="str">
        <f>TiposLancamentos!B16</f>
        <v>Cristiane</v>
      </c>
      <c r="C578" s="878" t="s">
        <v>12161</v>
      </c>
      <c r="D578" s="63"/>
      <c r="E578" s="231">
        <v>22.97</v>
      </c>
      <c r="F578" s="899"/>
      <c r="G578" s="1152" t="s">
        <v>9</v>
      </c>
    </row>
    <row r="579" spans="1:7">
      <c r="A579" s="884">
        <v>44697</v>
      </c>
      <c r="B579" s="240" t="str">
        <f>TiposLancamentos!B57</f>
        <v>Informática</v>
      </c>
      <c r="C579" s="878" t="s">
        <v>15605</v>
      </c>
      <c r="D579" s="63"/>
      <c r="E579" s="231">
        <v>118.2</v>
      </c>
      <c r="F579" s="899">
        <v>709</v>
      </c>
      <c r="G579" s="1152" t="s">
        <v>9</v>
      </c>
    </row>
    <row r="580" spans="1:7">
      <c r="A580" s="884">
        <v>44697</v>
      </c>
      <c r="B580" s="240" t="str">
        <f>TiposLancamentos!B102</f>
        <v>ESTORNO</v>
      </c>
      <c r="C580" s="878" t="s">
        <v>15606</v>
      </c>
      <c r="D580" s="63">
        <v>0.2</v>
      </c>
      <c r="E580" s="231"/>
      <c r="F580" s="899"/>
      <c r="G580" s="1152" t="s">
        <v>9</v>
      </c>
    </row>
    <row r="581" spans="1:7">
      <c r="A581" s="884">
        <v>44702</v>
      </c>
      <c r="B581" s="240" t="str">
        <f>TiposLancamentos!B4</f>
        <v>Taxas Bancarias</v>
      </c>
      <c r="C581" s="878" t="s">
        <v>15568</v>
      </c>
      <c r="D581" s="63"/>
      <c r="E581" s="231">
        <v>5.99</v>
      </c>
      <c r="F581" s="899"/>
      <c r="G581" s="1152" t="s">
        <v>9</v>
      </c>
    </row>
    <row r="582" spans="1:7">
      <c r="A582" s="934"/>
      <c r="B582" s="243"/>
      <c r="C582" s="389" t="s">
        <v>10</v>
      </c>
      <c r="D582" s="146"/>
      <c r="E582" s="1190"/>
      <c r="F582" s="935"/>
      <c r="G582" s="1094" t="s">
        <v>11</v>
      </c>
    </row>
    <row r="583" spans="1:7">
      <c r="A583" s="884">
        <v>44702</v>
      </c>
      <c r="B583" s="240" t="str">
        <f>TiposLancamentos!B19</f>
        <v>Restaurantes</v>
      </c>
      <c r="C583" s="878" t="s">
        <v>15607</v>
      </c>
      <c r="D583" s="63"/>
      <c r="E583" s="231">
        <v>107.94</v>
      </c>
      <c r="F583" s="899"/>
      <c r="G583" s="1152" t="s">
        <v>9</v>
      </c>
    </row>
    <row r="584" spans="1:7">
      <c r="A584" s="884">
        <v>44704</v>
      </c>
      <c r="B584" s="240" t="str">
        <f>TiposLancamentos!B45</f>
        <v>Online Services</v>
      </c>
      <c r="C584" s="878" t="s">
        <v>1876</v>
      </c>
      <c r="D584" s="63"/>
      <c r="E584" s="231">
        <v>3.5</v>
      </c>
      <c r="F584" s="899"/>
      <c r="G584" s="1152" t="s">
        <v>9</v>
      </c>
    </row>
    <row r="585" spans="1:7">
      <c r="A585" s="884">
        <v>44706</v>
      </c>
      <c r="B585" s="240" t="str">
        <f>TiposLancamentos!B3</f>
        <v>Internet</v>
      </c>
      <c r="C585" s="878" t="s">
        <v>10734</v>
      </c>
      <c r="D585" s="63"/>
      <c r="E585" s="231">
        <v>64.900000000000006</v>
      </c>
      <c r="F585" s="899"/>
      <c r="G585" s="1152" t="s">
        <v>9</v>
      </c>
    </row>
    <row r="586" spans="1:7">
      <c r="A586" s="884">
        <v>44707</v>
      </c>
      <c r="B586" s="240" t="str">
        <f>TiposLancamentos!B16</f>
        <v>Cristiane</v>
      </c>
      <c r="C586" s="878" t="s">
        <v>15603</v>
      </c>
      <c r="D586" s="63"/>
      <c r="E586" s="231">
        <v>21.98</v>
      </c>
      <c r="F586" s="899"/>
      <c r="G586" s="1152" t="s">
        <v>9</v>
      </c>
    </row>
    <row r="587" spans="1:7">
      <c r="A587" s="884">
        <v>44708</v>
      </c>
      <c r="B587" s="240" t="str">
        <f>TiposLancamentos!B71</f>
        <v>Itens Pessoais</v>
      </c>
      <c r="C587" s="878" t="s">
        <v>15608</v>
      </c>
      <c r="D587" s="63"/>
      <c r="E587" s="231">
        <v>435.42</v>
      </c>
      <c r="F587" s="899">
        <v>5224.05</v>
      </c>
      <c r="G587" s="1152" t="s">
        <v>9</v>
      </c>
    </row>
    <row r="588" spans="1:7">
      <c r="A588" s="884">
        <v>44709</v>
      </c>
      <c r="B588" s="240" t="str">
        <f>TiposLancamentos!B45</f>
        <v>Online Services</v>
      </c>
      <c r="C588" s="878" t="s">
        <v>1894</v>
      </c>
      <c r="D588" s="63"/>
      <c r="E588" s="231">
        <v>39.9</v>
      </c>
      <c r="F588" s="899"/>
      <c r="G588" s="1152" t="s">
        <v>9</v>
      </c>
    </row>
    <row r="589" spans="1:7" ht="14.25" thickBot="1">
      <c r="A589" s="884">
        <v>44709</v>
      </c>
      <c r="B589" s="240" t="str">
        <f>TiposLancamentos!B71</f>
        <v>Itens Pessoais</v>
      </c>
      <c r="C589" s="878" t="s">
        <v>15609</v>
      </c>
      <c r="D589" s="63"/>
      <c r="E589" s="231">
        <v>599.46</v>
      </c>
      <c r="F589" s="899">
        <v>5993.79</v>
      </c>
      <c r="G589" s="1152" t="s">
        <v>9</v>
      </c>
    </row>
    <row r="590" spans="1:7">
      <c r="A590" s="1032"/>
      <c r="B590" s="1230"/>
      <c r="C590" s="906" t="s">
        <v>15610</v>
      </c>
      <c r="D590" s="896"/>
      <c r="E590" s="925"/>
      <c r="F590" s="1034">
        <f>SUM(E566:E581)-D580</f>
        <v>1348</v>
      </c>
      <c r="G590" s="3"/>
    </row>
    <row r="591" spans="1:7">
      <c r="A591" s="884">
        <v>44713</v>
      </c>
      <c r="B591" s="240" t="str">
        <f>TiposLancamentos!B15</f>
        <v>Cartões de Crédito</v>
      </c>
      <c r="C591" s="878" t="s">
        <v>15405</v>
      </c>
      <c r="D591" s="63">
        <v>1348</v>
      </c>
      <c r="E591" s="231"/>
      <c r="F591" s="899">
        <f>F590-F573</f>
        <v>330.54999999999995</v>
      </c>
      <c r="G591" s="1152" t="s">
        <v>9</v>
      </c>
    </row>
    <row r="592" spans="1:7">
      <c r="A592" s="884">
        <v>44724</v>
      </c>
      <c r="B592" s="240" t="str">
        <f>TiposLancamentos!B13</f>
        <v>Moradia</v>
      </c>
      <c r="C592" s="878" t="s">
        <v>15611</v>
      </c>
      <c r="D592" s="63"/>
      <c r="E592" s="231">
        <v>229.77</v>
      </c>
      <c r="F592" s="899">
        <v>2756.8</v>
      </c>
      <c r="G592" s="1152" t="s">
        <v>9</v>
      </c>
    </row>
    <row r="593" spans="1:7">
      <c r="A593" s="884">
        <v>44728</v>
      </c>
      <c r="B593" s="240" t="str">
        <f>TiposLancamentos!B57</f>
        <v>Informática</v>
      </c>
      <c r="C593" s="878" t="s">
        <v>15612</v>
      </c>
      <c r="D593" s="63"/>
      <c r="E593" s="231">
        <v>118.2</v>
      </c>
      <c r="F593" s="899">
        <v>709</v>
      </c>
      <c r="G593" s="1152" t="s">
        <v>9</v>
      </c>
    </row>
    <row r="594" spans="1:7">
      <c r="A594" s="884">
        <v>44728</v>
      </c>
      <c r="B594" s="240" t="str">
        <f>TiposLancamentos!B16</f>
        <v>Cristiane</v>
      </c>
      <c r="C594" s="878" t="s">
        <v>11788</v>
      </c>
      <c r="D594" s="63"/>
      <c r="E594" s="231">
        <v>52.8</v>
      </c>
      <c r="F594" s="899"/>
      <c r="G594" s="1152" t="s">
        <v>9</v>
      </c>
    </row>
    <row r="595" spans="1:7">
      <c r="A595" s="884">
        <v>44733</v>
      </c>
      <c r="B595" s="240" t="str">
        <f>B581</f>
        <v>Taxas Bancarias</v>
      </c>
      <c r="C595" s="878" t="s">
        <v>15568</v>
      </c>
      <c r="D595" s="63"/>
      <c r="E595" s="231">
        <v>5.99</v>
      </c>
      <c r="F595" s="899"/>
      <c r="G595" s="1152" t="s">
        <v>9</v>
      </c>
    </row>
    <row r="596" spans="1:7">
      <c r="A596" s="934"/>
      <c r="B596" s="243"/>
      <c r="C596" s="389" t="s">
        <v>10</v>
      </c>
      <c r="D596" s="146"/>
      <c r="E596" s="1190"/>
      <c r="F596" s="935"/>
      <c r="G596" s="1094" t="s">
        <v>11</v>
      </c>
    </row>
    <row r="597" spans="1:7">
      <c r="A597" s="884">
        <v>44735</v>
      </c>
      <c r="B597" s="240" t="str">
        <f>TiposLancamentos!B45</f>
        <v>Online Services</v>
      </c>
      <c r="C597" s="878" t="s">
        <v>1876</v>
      </c>
      <c r="D597" s="63"/>
      <c r="E597" s="231">
        <v>3.5</v>
      </c>
      <c r="F597" s="899"/>
      <c r="G597" s="1152" t="s">
        <v>9</v>
      </c>
    </row>
    <row r="598" spans="1:7">
      <c r="A598" s="884">
        <v>44736</v>
      </c>
      <c r="B598" s="240" t="str">
        <f>TiposLancamentos!B16</f>
        <v>Cristiane</v>
      </c>
      <c r="C598" s="878" t="s">
        <v>15613</v>
      </c>
      <c r="D598" s="63"/>
      <c r="E598" s="231">
        <v>44.96</v>
      </c>
      <c r="F598" s="899"/>
      <c r="G598" s="1152" t="s">
        <v>9</v>
      </c>
    </row>
    <row r="599" spans="1:7">
      <c r="A599" s="884">
        <v>44739</v>
      </c>
      <c r="B599" s="240" t="str">
        <f>TiposLancamentos!B71</f>
        <v>Itens Pessoais</v>
      </c>
      <c r="C599" s="878" t="s">
        <v>15614</v>
      </c>
      <c r="D599" s="63"/>
      <c r="E599" s="231">
        <v>435.42</v>
      </c>
      <c r="F599" s="899">
        <v>5224.05</v>
      </c>
      <c r="G599" s="1152" t="s">
        <v>9</v>
      </c>
    </row>
    <row r="600" spans="1:7">
      <c r="A600" s="884">
        <v>44740</v>
      </c>
      <c r="B600" s="240" t="str">
        <f>TiposLancamentos!B45</f>
        <v>Online Services</v>
      </c>
      <c r="C600" s="878" t="s">
        <v>1894</v>
      </c>
      <c r="D600" s="63"/>
      <c r="E600" s="231">
        <v>39.9</v>
      </c>
      <c r="F600" s="899"/>
      <c r="G600" s="1152" t="s">
        <v>9</v>
      </c>
    </row>
    <row r="601" spans="1:7">
      <c r="A601" s="884">
        <v>44740</v>
      </c>
      <c r="B601" s="240" t="str">
        <f>TiposLancamentos!B71</f>
        <v>Itens Pessoais</v>
      </c>
      <c r="C601" s="878" t="s">
        <v>15615</v>
      </c>
      <c r="D601" s="63"/>
      <c r="E601" s="231">
        <v>599.46</v>
      </c>
      <c r="F601" s="899">
        <v>5993.79</v>
      </c>
      <c r="G601" s="1152" t="s">
        <v>9</v>
      </c>
    </row>
    <row r="602" spans="1:7">
      <c r="A602" s="884">
        <v>44740</v>
      </c>
      <c r="B602" s="240" t="str">
        <f>TiposLancamentos!B102</f>
        <v>ESTORNO</v>
      </c>
      <c r="C602" s="878" t="s">
        <v>15616</v>
      </c>
      <c r="D602" s="63">
        <v>0.81</v>
      </c>
      <c r="E602" s="231"/>
      <c r="F602" s="899"/>
      <c r="G602" s="1094" t="s">
        <v>11</v>
      </c>
    </row>
    <row r="603" spans="1:7">
      <c r="A603" s="884">
        <v>44740</v>
      </c>
      <c r="B603" s="240" t="str">
        <f>TiposLancamentos!B16</f>
        <v>Cristiane</v>
      </c>
      <c r="C603" s="878" t="s">
        <v>12161</v>
      </c>
      <c r="D603" s="63"/>
      <c r="E603" s="231">
        <v>13.9</v>
      </c>
      <c r="F603" s="899"/>
      <c r="G603" s="1152" t="s">
        <v>9</v>
      </c>
    </row>
    <row r="604" spans="1:7" ht="14.25" thickBot="1">
      <c r="A604" s="884">
        <v>44741</v>
      </c>
      <c r="B604" s="240" t="str">
        <f>TiposLancamentos!B16</f>
        <v>Cristiane</v>
      </c>
      <c r="C604" s="878" t="s">
        <v>15617</v>
      </c>
      <c r="D604" s="63"/>
      <c r="E604" s="231">
        <v>15.45</v>
      </c>
      <c r="F604" s="899"/>
      <c r="G604" s="1152" t="s">
        <v>9</v>
      </c>
    </row>
    <row r="605" spans="1:7">
      <c r="A605" s="1032"/>
      <c r="B605" s="1230"/>
      <c r="C605" s="906" t="s">
        <v>1612</v>
      </c>
      <c r="D605" s="896"/>
      <c r="E605" s="925"/>
      <c r="F605" s="1034">
        <f>SUM(E583:E596)</f>
        <v>1679.86</v>
      </c>
      <c r="G605" s="3"/>
    </row>
    <row r="606" spans="1:7">
      <c r="A606" s="884">
        <v>44743</v>
      </c>
      <c r="B606" s="240" t="str">
        <f>TiposLancamentos!B15</f>
        <v>Cartões de Crédito</v>
      </c>
      <c r="C606" s="878" t="s">
        <v>1874</v>
      </c>
      <c r="D606" s="63">
        <v>1679.86</v>
      </c>
      <c r="E606" s="231"/>
      <c r="F606" s="899">
        <f>F605-F590</f>
        <v>331.8599999999999</v>
      </c>
      <c r="G606" s="1152" t="s">
        <v>9</v>
      </c>
    </row>
    <row r="607" spans="1:7">
      <c r="A607" s="884">
        <v>44754</v>
      </c>
      <c r="B607" s="240" t="str">
        <f>TiposLancamentos!B13</f>
        <v>Moradia</v>
      </c>
      <c r="C607" s="878" t="s">
        <v>15618</v>
      </c>
      <c r="D607" s="63"/>
      <c r="E607" s="231">
        <v>229.77</v>
      </c>
      <c r="F607" s="899">
        <v>2756.8</v>
      </c>
      <c r="G607" s="1152" t="s">
        <v>9</v>
      </c>
    </row>
    <row r="608" spans="1:7">
      <c r="A608" s="884">
        <v>44758</v>
      </c>
      <c r="B608" s="240" t="str">
        <f>TiposLancamentos!B57</f>
        <v>Informática</v>
      </c>
      <c r="C608" s="878" t="s">
        <v>15619</v>
      </c>
      <c r="D608" s="63"/>
      <c r="E608" s="231">
        <v>118.2</v>
      </c>
      <c r="F608" s="899">
        <v>709</v>
      </c>
      <c r="G608" s="1152" t="s">
        <v>9</v>
      </c>
    </row>
    <row r="609" spans="1:7">
      <c r="A609" s="884">
        <v>44764</v>
      </c>
      <c r="B609" s="240" t="str">
        <f>B595</f>
        <v>Taxas Bancarias</v>
      </c>
      <c r="C609" s="878" t="s">
        <v>15568</v>
      </c>
      <c r="D609" s="63"/>
      <c r="E609" s="231">
        <v>5.99</v>
      </c>
      <c r="F609" s="899"/>
      <c r="G609" s="1152" t="s">
        <v>9</v>
      </c>
    </row>
    <row r="610" spans="1:7">
      <c r="A610" s="934"/>
      <c r="B610" s="243"/>
      <c r="C610" s="389" t="s">
        <v>10</v>
      </c>
      <c r="D610" s="146"/>
      <c r="E610" s="1190"/>
      <c r="F610" s="935"/>
      <c r="G610" s="1094" t="s">
        <v>11</v>
      </c>
    </row>
    <row r="611" spans="1:7">
      <c r="A611" s="884">
        <v>44765</v>
      </c>
      <c r="B611" s="240" t="str">
        <f>TiposLancamentos!B45</f>
        <v>Online Services</v>
      </c>
      <c r="C611" s="878" t="s">
        <v>1876</v>
      </c>
      <c r="D611" s="63"/>
      <c r="E611" s="231">
        <v>3.5</v>
      </c>
      <c r="F611" s="899"/>
      <c r="G611" s="1152" t="s">
        <v>9</v>
      </c>
    </row>
    <row r="612" spans="1:7">
      <c r="A612" s="884">
        <v>44768</v>
      </c>
      <c r="B612" s="240" t="str">
        <f>TiposLancamentos!B16</f>
        <v>Cristiane</v>
      </c>
      <c r="C612" s="878" t="s">
        <v>15620</v>
      </c>
      <c r="D612" s="63"/>
      <c r="E612" s="231">
        <v>12.96</v>
      </c>
      <c r="F612" s="899"/>
      <c r="G612" s="1152" t="s">
        <v>9</v>
      </c>
    </row>
    <row r="613" spans="1:7">
      <c r="A613" s="884">
        <v>44769</v>
      </c>
      <c r="B613" s="240" t="str">
        <f>TiposLancamentos!B71</f>
        <v>Itens Pessoais</v>
      </c>
      <c r="C613" s="878" t="s">
        <v>15621</v>
      </c>
      <c r="D613" s="63"/>
      <c r="E613" s="231">
        <v>435.42</v>
      </c>
      <c r="F613" s="899">
        <v>5224.05</v>
      </c>
      <c r="G613" s="1152" t="s">
        <v>9</v>
      </c>
    </row>
    <row r="614" spans="1:7">
      <c r="A614" s="884">
        <v>44770</v>
      </c>
      <c r="B614" s="240" t="str">
        <f>TiposLancamentos!B45</f>
        <v>Online Services</v>
      </c>
      <c r="C614" s="878" t="s">
        <v>1894</v>
      </c>
      <c r="D614" s="63"/>
      <c r="E614" s="231">
        <v>39.9</v>
      </c>
      <c r="F614" s="899"/>
      <c r="G614" s="1152" t="s">
        <v>9</v>
      </c>
    </row>
    <row r="615" spans="1:7" ht="14.25" thickBot="1">
      <c r="A615" s="884">
        <v>44770</v>
      </c>
      <c r="B615" s="240" t="str">
        <f>TiposLancamentos!B71</f>
        <v>Itens Pessoais</v>
      </c>
      <c r="C615" s="878" t="s">
        <v>15622</v>
      </c>
      <c r="D615" s="63"/>
      <c r="E615" s="231">
        <v>599.46</v>
      </c>
      <c r="F615" s="899">
        <v>5993.79</v>
      </c>
      <c r="G615" s="1152" t="s">
        <v>9</v>
      </c>
    </row>
    <row r="616" spans="1:7">
      <c r="A616" s="1032"/>
      <c r="B616" s="1230"/>
      <c r="C616" s="906" t="s">
        <v>1613</v>
      </c>
      <c r="D616" s="896"/>
      <c r="E616" s="925"/>
      <c r="F616" s="1034">
        <f>SUM(E596:E610)-D602</f>
        <v>1505.7400000000002</v>
      </c>
      <c r="G616" s="3"/>
    </row>
    <row r="617" spans="1:7">
      <c r="A617" s="884">
        <v>44774</v>
      </c>
      <c r="B617" s="240" t="str">
        <f>TiposLancamentos!B15</f>
        <v>Cartões de Crédito</v>
      </c>
      <c r="C617" s="878" t="s">
        <v>1874</v>
      </c>
      <c r="D617" s="63">
        <v>1505.74</v>
      </c>
      <c r="E617" s="231"/>
      <c r="F617" s="899">
        <f>F616-F605</f>
        <v>-174.11999999999966</v>
      </c>
      <c r="G617" s="1152" t="s">
        <v>9</v>
      </c>
    </row>
    <row r="618" spans="1:7">
      <c r="A618" s="884">
        <v>44785</v>
      </c>
      <c r="B618" s="240" t="str">
        <f>TiposLancamentos!B13</f>
        <v>Moradia</v>
      </c>
      <c r="C618" s="878" t="s">
        <v>15623</v>
      </c>
      <c r="D618" s="63"/>
      <c r="E618" s="231">
        <v>229.77</v>
      </c>
      <c r="F618" s="899">
        <v>2756.8</v>
      </c>
      <c r="G618" s="1152" t="s">
        <v>9</v>
      </c>
    </row>
    <row r="619" spans="1:7">
      <c r="A619" s="884">
        <v>44789</v>
      </c>
      <c r="B619" s="240" t="str">
        <f>TiposLancamentos!B16</f>
        <v>Cristiane</v>
      </c>
      <c r="C619" s="878" t="s">
        <v>12161</v>
      </c>
      <c r="D619" s="63"/>
      <c r="E619" s="231">
        <v>9.92</v>
      </c>
      <c r="F619" s="899"/>
      <c r="G619" s="1152" t="s">
        <v>9</v>
      </c>
    </row>
    <row r="620" spans="1:7">
      <c r="A620" s="884">
        <v>44789</v>
      </c>
      <c r="B620" s="240" t="str">
        <f>TiposLancamentos!B57</f>
        <v>Informática</v>
      </c>
      <c r="C620" s="878" t="s">
        <v>15624</v>
      </c>
      <c r="D620" s="63"/>
      <c r="E620" s="231">
        <v>118.2</v>
      </c>
      <c r="F620" s="899">
        <v>709</v>
      </c>
      <c r="G620" s="1152" t="s">
        <v>9</v>
      </c>
    </row>
    <row r="621" spans="1:7">
      <c r="A621" s="884">
        <v>44795</v>
      </c>
      <c r="B621" s="240" t="str">
        <f>B609</f>
        <v>Taxas Bancarias</v>
      </c>
      <c r="C621" s="878" t="s">
        <v>15568</v>
      </c>
      <c r="D621" s="63"/>
      <c r="E621" s="231">
        <v>5.99</v>
      </c>
      <c r="F621" s="899"/>
      <c r="G621" s="1152" t="s">
        <v>9</v>
      </c>
    </row>
    <row r="622" spans="1:7">
      <c r="A622" s="934"/>
      <c r="B622" s="243"/>
      <c r="C622" s="389" t="s">
        <v>10</v>
      </c>
      <c r="D622" s="146"/>
      <c r="E622" s="1190"/>
      <c r="F622" s="935"/>
      <c r="G622" s="1094" t="s">
        <v>11</v>
      </c>
    </row>
    <row r="623" spans="1:7">
      <c r="A623" s="884">
        <v>44796</v>
      </c>
      <c r="B623" s="240" t="str">
        <f>TiposLancamentos!B45</f>
        <v>Online Services</v>
      </c>
      <c r="C623" s="878" t="s">
        <v>1876</v>
      </c>
      <c r="D623" s="63"/>
      <c r="E623" s="231">
        <v>3.5</v>
      </c>
      <c r="F623" s="899"/>
      <c r="G623" s="1152" t="s">
        <v>9</v>
      </c>
    </row>
    <row r="624" spans="1:7">
      <c r="A624" s="884">
        <v>44800</v>
      </c>
      <c r="B624" s="240" t="str">
        <f>TiposLancamentos!B71</f>
        <v>Itens Pessoais</v>
      </c>
      <c r="C624" s="878" t="s">
        <v>15625</v>
      </c>
      <c r="D624" s="63"/>
      <c r="E624" s="231">
        <v>435.42</v>
      </c>
      <c r="F624" s="899">
        <v>5224.05</v>
      </c>
      <c r="G624" s="1152" t="s">
        <v>9</v>
      </c>
    </row>
    <row r="625" spans="1:7">
      <c r="A625" s="884">
        <v>44801</v>
      </c>
      <c r="B625" s="240" t="str">
        <f>TiposLancamentos!B45</f>
        <v>Online Services</v>
      </c>
      <c r="C625" s="878" t="s">
        <v>1894</v>
      </c>
      <c r="D625" s="63"/>
      <c r="E625" s="231">
        <v>39.9</v>
      </c>
      <c r="F625" s="899"/>
      <c r="G625" s="1152" t="s">
        <v>9</v>
      </c>
    </row>
    <row r="626" spans="1:7" ht="14.25" thickBot="1">
      <c r="A626" s="884">
        <v>44801</v>
      </c>
      <c r="B626" s="240" t="str">
        <f>TiposLancamentos!B71</f>
        <v>Itens Pessoais</v>
      </c>
      <c r="C626" s="878" t="s">
        <v>15626</v>
      </c>
      <c r="D626" s="63"/>
      <c r="E626" s="231">
        <v>599.46</v>
      </c>
      <c r="F626" s="899">
        <v>5993.79</v>
      </c>
      <c r="G626" s="1152" t="s">
        <v>9</v>
      </c>
    </row>
    <row r="627" spans="1:7">
      <c r="A627" s="1032"/>
      <c r="B627" s="1230"/>
      <c r="C627" s="906" t="s">
        <v>1614</v>
      </c>
      <c r="D627" s="896"/>
      <c r="E627" s="925"/>
      <c r="F627" s="1034">
        <f>SUM(E611:E622)</f>
        <v>1455.1200000000001</v>
      </c>
      <c r="G627" s="3"/>
    </row>
    <row r="628" spans="1:7">
      <c r="A628" s="884">
        <v>44805</v>
      </c>
      <c r="B628" s="240" t="str">
        <f>TiposLancamentos!B15</f>
        <v>Cartões de Crédito</v>
      </c>
      <c r="C628" s="878" t="s">
        <v>1874</v>
      </c>
      <c r="D628" s="63">
        <v>1455.12</v>
      </c>
      <c r="E628" s="231"/>
      <c r="F628" s="899">
        <f>F627-F616</f>
        <v>-50.620000000000118</v>
      </c>
      <c r="G628" s="1152" t="s">
        <v>9</v>
      </c>
    </row>
    <row r="629" spans="1:7">
      <c r="A629" s="884">
        <v>44810</v>
      </c>
      <c r="B629" s="240" t="str">
        <f>TiposLancamentos!B16</f>
        <v>Cristiane</v>
      </c>
      <c r="C629" s="878" t="s">
        <v>15627</v>
      </c>
      <c r="D629" s="63"/>
      <c r="E629" s="231">
        <v>54.96</v>
      </c>
      <c r="F629" s="899"/>
      <c r="G629" s="1152" t="s">
        <v>9</v>
      </c>
    </row>
    <row r="630" spans="1:7">
      <c r="A630" s="884">
        <v>44817</v>
      </c>
      <c r="B630" s="240" t="str">
        <f>TiposLancamentos!B19</f>
        <v>Restaurantes</v>
      </c>
      <c r="C630" s="878" t="s">
        <v>15628</v>
      </c>
      <c r="D630" s="63"/>
      <c r="E630" s="231">
        <v>70</v>
      </c>
      <c r="F630" s="899"/>
      <c r="G630" s="1152" t="s">
        <v>9</v>
      </c>
    </row>
    <row r="631" spans="1:7">
      <c r="A631" s="884">
        <v>44820</v>
      </c>
      <c r="B631" s="240" t="str">
        <f>TiposLancamentos!B57</f>
        <v>Informática</v>
      </c>
      <c r="C631" s="878" t="s">
        <v>15629</v>
      </c>
      <c r="D631" s="63"/>
      <c r="E631" s="231">
        <v>118.2</v>
      </c>
      <c r="F631" s="899">
        <v>709</v>
      </c>
      <c r="G631" s="1152" t="s">
        <v>9</v>
      </c>
    </row>
    <row r="632" spans="1:7">
      <c r="A632" s="884">
        <v>44820</v>
      </c>
      <c r="B632" s="240" t="str">
        <f>TiposLancamentos!B16</f>
        <v>Cristiane</v>
      </c>
      <c r="C632" s="878" t="s">
        <v>12161</v>
      </c>
      <c r="D632" s="63"/>
      <c r="E632" s="231">
        <v>14.64</v>
      </c>
      <c r="F632" s="899"/>
      <c r="G632" s="1152" t="s">
        <v>9</v>
      </c>
    </row>
    <row r="633" spans="1:7">
      <c r="A633" s="884">
        <v>44820</v>
      </c>
      <c r="B633" s="240" t="str">
        <f>TiposLancamentos!B16</f>
        <v>Cristiane</v>
      </c>
      <c r="C633" s="878" t="s">
        <v>12161</v>
      </c>
      <c r="D633" s="63"/>
      <c r="E633" s="231">
        <v>19.899999999999999</v>
      </c>
      <c r="F633" s="899"/>
      <c r="G633" s="1152" t="s">
        <v>9</v>
      </c>
    </row>
    <row r="634" spans="1:7">
      <c r="A634" s="884">
        <v>44826</v>
      </c>
      <c r="B634" s="240" t="str">
        <f>B621</f>
        <v>Taxas Bancarias</v>
      </c>
      <c r="C634" s="878" t="s">
        <v>15568</v>
      </c>
      <c r="D634" s="63"/>
      <c r="E634" s="231">
        <v>5.99</v>
      </c>
      <c r="F634" s="899"/>
      <c r="G634" s="1152" t="s">
        <v>9</v>
      </c>
    </row>
    <row r="635" spans="1:7">
      <c r="A635" s="934"/>
      <c r="B635" s="243"/>
      <c r="C635" s="389" t="s">
        <v>10</v>
      </c>
      <c r="D635" s="146"/>
      <c r="E635" s="1190"/>
      <c r="F635" s="935"/>
      <c r="G635" s="1094" t="s">
        <v>11</v>
      </c>
    </row>
    <row r="636" spans="1:7">
      <c r="A636" s="884">
        <v>44827</v>
      </c>
      <c r="B636" s="240" t="str">
        <f>TiposLancamentos!B45</f>
        <v>Online Services</v>
      </c>
      <c r="C636" s="878" t="s">
        <v>1876</v>
      </c>
      <c r="D636" s="63"/>
      <c r="E636" s="231">
        <v>3.5</v>
      </c>
      <c r="F636" s="899"/>
      <c r="G636" s="1152" t="s">
        <v>9</v>
      </c>
    </row>
    <row r="637" spans="1:7">
      <c r="A637" s="884">
        <v>44831</v>
      </c>
      <c r="B637" s="240" t="str">
        <f>TiposLancamentos!B71</f>
        <v>Itens Pessoais</v>
      </c>
      <c r="C637" s="878" t="s">
        <v>15630</v>
      </c>
      <c r="D637" s="63"/>
      <c r="E637" s="231">
        <v>435.42</v>
      </c>
      <c r="F637" s="899">
        <v>5224.05</v>
      </c>
      <c r="G637" s="1152" t="s">
        <v>9</v>
      </c>
    </row>
    <row r="638" spans="1:7">
      <c r="A638" s="884">
        <v>44832</v>
      </c>
      <c r="B638" s="240" t="str">
        <f>TiposLancamentos!B45</f>
        <v>Online Services</v>
      </c>
      <c r="C638" s="878" t="s">
        <v>1894</v>
      </c>
      <c r="D638" s="63"/>
      <c r="E638" s="231">
        <v>39.9</v>
      </c>
      <c r="F638" s="899"/>
      <c r="G638" s="1152" t="s">
        <v>9</v>
      </c>
    </row>
    <row r="639" spans="1:7" ht="14.25" thickBot="1">
      <c r="A639" s="884">
        <v>44832</v>
      </c>
      <c r="B639" s="240" t="str">
        <f>TiposLancamentos!B71</f>
        <v>Itens Pessoais</v>
      </c>
      <c r="C639" s="878" t="s">
        <v>15631</v>
      </c>
      <c r="D639" s="63"/>
      <c r="E639" s="231">
        <v>599.46</v>
      </c>
      <c r="F639" s="899">
        <v>5993.79</v>
      </c>
      <c r="G639" s="1152" t="s">
        <v>9</v>
      </c>
    </row>
    <row r="640" spans="1:7">
      <c r="A640" s="1032"/>
      <c r="B640" s="1230"/>
      <c r="C640" s="906" t="s">
        <v>1615</v>
      </c>
      <c r="D640" s="896"/>
      <c r="E640" s="925"/>
      <c r="F640" s="1034">
        <f>SUM(E622:E635)</f>
        <v>1361.9700000000003</v>
      </c>
      <c r="G640" s="3"/>
    </row>
    <row r="641" spans="1:7">
      <c r="A641" s="884">
        <v>44837</v>
      </c>
      <c r="B641" s="240" t="str">
        <f>B628</f>
        <v>Cartões de Crédito</v>
      </c>
      <c r="C641" s="878" t="s">
        <v>1874</v>
      </c>
      <c r="D641" s="63">
        <v>1361.97</v>
      </c>
      <c r="E641" s="231"/>
      <c r="F641" s="899">
        <f>F640-F627</f>
        <v>-93.149999999999864</v>
      </c>
      <c r="G641" s="1152" t="s">
        <v>9</v>
      </c>
    </row>
    <row r="642" spans="1:7">
      <c r="A642" s="884">
        <v>44839</v>
      </c>
      <c r="B642" s="240" t="str">
        <f>B632</f>
        <v>Cristiane</v>
      </c>
      <c r="C642" s="878" t="s">
        <v>12161</v>
      </c>
      <c r="D642" s="63"/>
      <c r="E642" s="231">
        <v>9.91</v>
      </c>
      <c r="F642" s="899"/>
      <c r="G642" s="1152" t="s">
        <v>9</v>
      </c>
    </row>
    <row r="643" spans="1:7">
      <c r="A643" s="884">
        <v>44850</v>
      </c>
      <c r="B643" s="240" t="str">
        <f>TiposLancamentos!B70</f>
        <v>Vestuário</v>
      </c>
      <c r="C643" s="878" t="s">
        <v>15632</v>
      </c>
      <c r="D643" s="63"/>
      <c r="E643" s="231">
        <v>236.22</v>
      </c>
      <c r="F643" s="899">
        <v>1417.27</v>
      </c>
      <c r="G643" s="1094" t="s">
        <v>11</v>
      </c>
    </row>
    <row r="644" spans="1:7">
      <c r="A644" s="884">
        <v>44853</v>
      </c>
      <c r="B644" s="240" t="str">
        <f>B642</f>
        <v>Cristiane</v>
      </c>
      <c r="C644" s="878" t="str">
        <f>C642</f>
        <v>UBER</v>
      </c>
      <c r="D644" s="63"/>
      <c r="E644" s="231">
        <v>9.91</v>
      </c>
      <c r="F644" s="899"/>
      <c r="G644" s="1152" t="s">
        <v>9</v>
      </c>
    </row>
    <row r="645" spans="1:7">
      <c r="A645" s="858">
        <v>44855</v>
      </c>
      <c r="B645" s="822" t="str">
        <f>TiposLancamentos!B4</f>
        <v>Taxas Bancarias</v>
      </c>
      <c r="C645" s="808" t="s">
        <v>15633</v>
      </c>
      <c r="D645" s="747"/>
      <c r="E645" s="1139">
        <v>0.93</v>
      </c>
      <c r="F645" s="1628"/>
      <c r="G645" s="1152" t="s">
        <v>9</v>
      </c>
    </row>
    <row r="646" spans="1:7">
      <c r="A646" s="860">
        <v>44855</v>
      </c>
      <c r="B646" s="275" t="str">
        <f>TiposLancamentos!B38</f>
        <v>Playstation 4</v>
      </c>
      <c r="C646" s="141" t="s">
        <v>15634</v>
      </c>
      <c r="D646" s="51"/>
      <c r="E646" s="1147">
        <v>99.5</v>
      </c>
      <c r="F646" s="1629"/>
      <c r="G646" s="1152" t="s">
        <v>9</v>
      </c>
    </row>
    <row r="647" spans="1:7">
      <c r="A647" s="860">
        <v>44855</v>
      </c>
      <c r="B647" s="275" t="str">
        <f>TiposLancamentos!B38</f>
        <v>Playstation 4</v>
      </c>
      <c r="C647" s="141" t="s">
        <v>15635</v>
      </c>
      <c r="D647" s="51"/>
      <c r="E647" s="1147">
        <v>104.9</v>
      </c>
      <c r="F647" s="1629"/>
      <c r="G647" s="1152" t="s">
        <v>9</v>
      </c>
    </row>
    <row r="648" spans="1:7">
      <c r="A648" s="862">
        <v>44855</v>
      </c>
      <c r="B648" s="823" t="str">
        <f>TiposLancamentos!B38</f>
        <v>Playstation 4</v>
      </c>
      <c r="C648" s="812" t="s">
        <v>15636</v>
      </c>
      <c r="D648" s="849"/>
      <c r="E648" s="1141">
        <v>39.950000000000003</v>
      </c>
      <c r="F648" s="855">
        <f>SUM(E645:E648)</f>
        <v>245.28000000000003</v>
      </c>
      <c r="G648" s="1152" t="s">
        <v>9</v>
      </c>
    </row>
    <row r="649" spans="1:7">
      <c r="A649" s="884">
        <v>44856</v>
      </c>
      <c r="B649" s="240" t="str">
        <f>TiposLancamentos!B4</f>
        <v>Taxas Bancarias</v>
      </c>
      <c r="C649" s="878" t="s">
        <v>15568</v>
      </c>
      <c r="D649" s="63"/>
      <c r="E649" s="231">
        <v>6.99</v>
      </c>
      <c r="F649" s="899"/>
      <c r="G649" s="1152" t="s">
        <v>9</v>
      </c>
    </row>
    <row r="650" spans="1:7">
      <c r="A650" s="934"/>
      <c r="B650" s="243"/>
      <c r="C650" s="389" t="s">
        <v>10</v>
      </c>
      <c r="D650" s="146"/>
      <c r="E650" s="1190"/>
      <c r="F650" s="935"/>
      <c r="G650" s="1094" t="s">
        <v>11</v>
      </c>
    </row>
    <row r="651" spans="1:7">
      <c r="A651" s="884">
        <v>44857</v>
      </c>
      <c r="B651" s="240" t="str">
        <f>TiposLancamentos!B45</f>
        <v>Online Services</v>
      </c>
      <c r="C651" s="878" t="s">
        <v>1876</v>
      </c>
      <c r="D651" s="63"/>
      <c r="E651" s="231">
        <v>3.5</v>
      </c>
      <c r="F651" s="899"/>
      <c r="G651" s="1152" t="s">
        <v>9</v>
      </c>
    </row>
    <row r="652" spans="1:7">
      <c r="A652" s="884">
        <v>44858</v>
      </c>
      <c r="B652" s="240" t="str">
        <f>TiposLancamentos!B44</f>
        <v>Academia</v>
      </c>
      <c r="C652" s="878" t="s">
        <v>11287</v>
      </c>
      <c r="D652" s="63"/>
      <c r="E652" s="231">
        <v>114.88</v>
      </c>
      <c r="F652" s="899"/>
      <c r="G652" s="1152" t="s">
        <v>9</v>
      </c>
    </row>
    <row r="653" spans="1:7">
      <c r="A653" s="884">
        <v>44860</v>
      </c>
      <c r="B653" s="240" t="str">
        <f>TiposLancamentos!B23</f>
        <v>P208 GRIFFE 1.6 AUT BUSINESS</v>
      </c>
      <c r="C653" s="878" t="s">
        <v>15637</v>
      </c>
      <c r="D653" s="63"/>
      <c r="E653" s="231">
        <v>335.62</v>
      </c>
      <c r="F653" s="899">
        <v>2013.82</v>
      </c>
      <c r="G653" s="1152" t="s">
        <v>9</v>
      </c>
    </row>
    <row r="654" spans="1:7">
      <c r="A654" s="884">
        <v>44861</v>
      </c>
      <c r="B654" s="240" t="str">
        <f>TiposLancamentos!B71</f>
        <v>Itens Pessoais</v>
      </c>
      <c r="C654" s="878" t="s">
        <v>15638</v>
      </c>
      <c r="D654" s="63"/>
      <c r="E654" s="231">
        <v>435.42</v>
      </c>
      <c r="F654" s="899">
        <v>5224.05</v>
      </c>
      <c r="G654" s="1152" t="s">
        <v>9</v>
      </c>
    </row>
    <row r="655" spans="1:7">
      <c r="A655" s="884">
        <v>44862</v>
      </c>
      <c r="B655" s="240" t="str">
        <f>TiposLancamentos!B45</f>
        <v>Online Services</v>
      </c>
      <c r="C655" s="878" t="s">
        <v>1894</v>
      </c>
      <c r="D655" s="63"/>
      <c r="E655" s="231">
        <v>39.9</v>
      </c>
      <c r="F655" s="899"/>
      <c r="G655" s="1152" t="s">
        <v>9</v>
      </c>
    </row>
    <row r="656" spans="1:7" ht="14.25" thickBot="1">
      <c r="A656" s="884">
        <v>44862</v>
      </c>
      <c r="B656" s="240" t="str">
        <f>TiposLancamentos!B71</f>
        <v>Itens Pessoais</v>
      </c>
      <c r="C656" s="878" t="s">
        <v>15639</v>
      </c>
      <c r="D656" s="63"/>
      <c r="E656" s="231">
        <v>599.46</v>
      </c>
      <c r="F656" s="899">
        <v>5993.79</v>
      </c>
      <c r="G656" s="1152" t="s">
        <v>9</v>
      </c>
    </row>
    <row r="657" spans="1:7">
      <c r="A657" s="1032"/>
      <c r="B657" s="1230"/>
      <c r="C657" s="906" t="s">
        <v>1616</v>
      </c>
      <c r="D657" s="896"/>
      <c r="E657" s="925"/>
      <c r="F657" s="1034">
        <f>SUM(E635:E650)</f>
        <v>1586.5900000000004</v>
      </c>
      <c r="G657" s="3"/>
    </row>
    <row r="658" spans="1:7">
      <c r="A658" s="884">
        <v>44866</v>
      </c>
      <c r="B658" s="240" t="str">
        <f>TiposLancamentos!B15</f>
        <v>Cartões de Crédito</v>
      </c>
      <c r="C658" s="878" t="s">
        <v>1874</v>
      </c>
      <c r="D658" s="63">
        <v>1586.59</v>
      </c>
      <c r="E658" s="231"/>
      <c r="F658" s="899">
        <f>F657-F640</f>
        <v>224.62000000000012</v>
      </c>
      <c r="G658" s="1152" t="s">
        <v>9</v>
      </c>
    </row>
    <row r="659" spans="1:7">
      <c r="A659" s="884">
        <v>44866</v>
      </c>
      <c r="B659" s="240" t="str">
        <f>TiposLancamentos!B19</f>
        <v>Restaurantes</v>
      </c>
      <c r="C659" s="878" t="s">
        <v>15640</v>
      </c>
      <c r="D659" s="63"/>
      <c r="E659" s="231">
        <v>71</v>
      </c>
      <c r="F659" s="899"/>
      <c r="G659" s="1152" t="s">
        <v>9</v>
      </c>
    </row>
    <row r="660" spans="1:7">
      <c r="A660" s="884">
        <v>44881</v>
      </c>
      <c r="B660" s="240" t="str">
        <f>TiposLancamentos!B70</f>
        <v>Vestuário</v>
      </c>
      <c r="C660" s="878" t="s">
        <v>15641</v>
      </c>
      <c r="D660" s="63"/>
      <c r="E660" s="231">
        <v>236.22</v>
      </c>
      <c r="F660" s="899">
        <v>1417.27</v>
      </c>
      <c r="G660" s="1152" t="s">
        <v>9</v>
      </c>
    </row>
    <row r="661" spans="1:7">
      <c r="A661" s="884">
        <v>44881</v>
      </c>
      <c r="B661" s="240" t="str">
        <f>TiposLancamentos!B98</f>
        <v>Restituições</v>
      </c>
      <c r="C661" s="878" t="s">
        <v>15642</v>
      </c>
      <c r="D661" s="63">
        <v>0.05</v>
      </c>
      <c r="E661" s="231"/>
      <c r="F661" s="899"/>
      <c r="G661" s="1152" t="s">
        <v>9</v>
      </c>
    </row>
    <row r="662" spans="1:7">
      <c r="A662" s="884">
        <v>44866</v>
      </c>
      <c r="B662" s="240" t="str">
        <f>TiposLancamentos!B19</f>
        <v>Restaurantes</v>
      </c>
      <c r="C662" s="878" t="s">
        <v>10366</v>
      </c>
      <c r="D662" s="63"/>
      <c r="E662" s="231">
        <v>57</v>
      </c>
      <c r="F662" s="899"/>
      <c r="G662" s="1152" t="s">
        <v>9</v>
      </c>
    </row>
    <row r="663" spans="1:7">
      <c r="A663" s="884">
        <v>44887</v>
      </c>
      <c r="B663" s="240" t="str">
        <f>TiposLancamentos!B4</f>
        <v>Taxas Bancarias</v>
      </c>
      <c r="C663" s="878" t="s">
        <v>15568</v>
      </c>
      <c r="D663" s="63"/>
      <c r="E663" s="231">
        <v>6.99</v>
      </c>
      <c r="F663" s="899"/>
      <c r="G663" s="1152" t="s">
        <v>9</v>
      </c>
    </row>
    <row r="664" spans="1:7">
      <c r="A664" s="934"/>
      <c r="B664" s="243"/>
      <c r="C664" s="389" t="s">
        <v>10</v>
      </c>
      <c r="D664" s="146"/>
      <c r="E664" s="1190"/>
      <c r="F664" s="935"/>
      <c r="G664" s="1094" t="s">
        <v>11</v>
      </c>
    </row>
    <row r="665" spans="1:7">
      <c r="A665" s="884">
        <v>44888</v>
      </c>
      <c r="B665" s="240" t="str">
        <f>TiposLancamentos!B45</f>
        <v>Online Services</v>
      </c>
      <c r="C665" s="878" t="s">
        <v>1876</v>
      </c>
      <c r="D665" s="63"/>
      <c r="E665" s="231">
        <v>3.5</v>
      </c>
      <c r="F665" s="899"/>
      <c r="G665" s="1152" t="s">
        <v>9</v>
      </c>
    </row>
    <row r="666" spans="1:7">
      <c r="A666" s="884">
        <v>44890</v>
      </c>
      <c r="B666" s="240" t="str">
        <f>TiposLancamentos!B38</f>
        <v>Playstation 4</v>
      </c>
      <c r="C666" s="878" t="s">
        <v>15643</v>
      </c>
      <c r="D666" s="63"/>
      <c r="E666" s="231">
        <f>F666/6</f>
        <v>89.100000000000009</v>
      </c>
      <c r="F666" s="899">
        <v>534.6</v>
      </c>
      <c r="G666" s="1152" t="s">
        <v>9</v>
      </c>
    </row>
    <row r="667" spans="1:7">
      <c r="A667" s="858">
        <v>44890</v>
      </c>
      <c r="B667" s="822" t="str">
        <f>TiposLancamentos!B38</f>
        <v>Playstation 4</v>
      </c>
      <c r="C667" s="808" t="s">
        <v>15644</v>
      </c>
      <c r="D667" s="747"/>
      <c r="E667" s="1139">
        <v>25.37</v>
      </c>
      <c r="F667" s="1145"/>
      <c r="G667" s="1152" t="s">
        <v>9</v>
      </c>
    </row>
    <row r="668" spans="1:7">
      <c r="A668" s="862">
        <v>44890</v>
      </c>
      <c r="B668" s="823" t="str">
        <f>TiposLancamentos!B37</f>
        <v>Playstation 3</v>
      </c>
      <c r="C668" s="812" t="s">
        <v>15645</v>
      </c>
      <c r="D668" s="849"/>
      <c r="E668" s="1141">
        <v>25.38</v>
      </c>
      <c r="F668" s="1146">
        <f>SUM(E667:E668)</f>
        <v>50.75</v>
      </c>
      <c r="G668" s="1152" t="s">
        <v>9</v>
      </c>
    </row>
    <row r="669" spans="1:7">
      <c r="A669" s="884">
        <v>44891</v>
      </c>
      <c r="B669" s="240" t="str">
        <f>TiposLancamentos!B38</f>
        <v>Playstation 4</v>
      </c>
      <c r="C669" s="878" t="s">
        <v>15646</v>
      </c>
      <c r="D669" s="63"/>
      <c r="E669" s="231">
        <v>57.91</v>
      </c>
      <c r="F669" s="899"/>
      <c r="G669" s="1152" t="s">
        <v>9</v>
      </c>
    </row>
    <row r="670" spans="1:7">
      <c r="A670" s="884">
        <v>44891</v>
      </c>
      <c r="B670" s="240" t="str">
        <f>TiposLancamentos!B23</f>
        <v>P208 GRIFFE 1.6 AUT BUSINESS</v>
      </c>
      <c r="C670" s="878" t="s">
        <v>15647</v>
      </c>
      <c r="D670" s="63"/>
      <c r="E670" s="231">
        <v>335.62</v>
      </c>
      <c r="F670" s="899">
        <v>2013.82</v>
      </c>
      <c r="G670" s="1152" t="s">
        <v>9</v>
      </c>
    </row>
    <row r="671" spans="1:7">
      <c r="A671" s="884">
        <v>44893</v>
      </c>
      <c r="B671" s="240" t="str">
        <f>TiposLancamentos!B45</f>
        <v>Online Services</v>
      </c>
      <c r="C671" s="878" t="s">
        <v>1894</v>
      </c>
      <c r="D671" s="63"/>
      <c r="E671" s="231">
        <v>39.9</v>
      </c>
      <c r="F671" s="899"/>
      <c r="G671" s="1152" t="s">
        <v>9</v>
      </c>
    </row>
    <row r="672" spans="1:7" ht="14.25" thickBot="1">
      <c r="A672" s="884">
        <v>44893</v>
      </c>
      <c r="B672" s="240" t="str">
        <f>TiposLancamentos!B71</f>
        <v>Itens Pessoais</v>
      </c>
      <c r="C672" s="878" t="s">
        <v>15648</v>
      </c>
      <c r="D672" s="63"/>
      <c r="E672" s="231">
        <v>599.46</v>
      </c>
      <c r="F672" s="899">
        <v>5993.79</v>
      </c>
      <c r="G672" s="1094" t="s">
        <v>11</v>
      </c>
    </row>
    <row r="673" spans="1:7">
      <c r="A673" s="1032"/>
      <c r="B673" s="1230"/>
      <c r="C673" s="906" t="s">
        <v>1617</v>
      </c>
      <c r="D673" s="896"/>
      <c r="E673" s="925"/>
      <c r="F673" s="1034">
        <f>SUM(E650:E664)-D661</f>
        <v>1899.9400000000003</v>
      </c>
      <c r="G673" s="3"/>
    </row>
    <row r="674" spans="1:7">
      <c r="A674" s="884">
        <v>44896</v>
      </c>
      <c r="B674" s="240" t="str">
        <f>TiposLancamentos!B15</f>
        <v>Cartões de Crédito</v>
      </c>
      <c r="C674" s="878" t="s">
        <v>1874</v>
      </c>
      <c r="D674" s="63">
        <v>1899.94</v>
      </c>
      <c r="E674" s="231"/>
      <c r="F674" s="899">
        <f>F673-F657</f>
        <v>313.34999999999991</v>
      </c>
      <c r="G674" s="1152" t="s">
        <v>9</v>
      </c>
    </row>
    <row r="675" spans="1:7">
      <c r="A675" s="884">
        <v>44900</v>
      </c>
      <c r="B675" s="240" t="str">
        <f>TiposLancamentos!B39</f>
        <v>Playstation 5</v>
      </c>
      <c r="C675" s="878" t="s">
        <v>15649</v>
      </c>
      <c r="D675" s="63"/>
      <c r="E675" s="231">
        <f>F675/10</f>
        <v>479.98999999999995</v>
      </c>
      <c r="F675" s="899">
        <v>4799.8999999999996</v>
      </c>
      <c r="G675" s="1152" t="s">
        <v>9</v>
      </c>
    </row>
    <row r="676" spans="1:7">
      <c r="A676" s="884">
        <v>44905</v>
      </c>
      <c r="B676" s="240" t="str">
        <f>TiposLancamentos!B45</f>
        <v>Online Services</v>
      </c>
      <c r="C676" s="878" t="s">
        <v>1919</v>
      </c>
      <c r="D676" s="63"/>
      <c r="E676" s="231">
        <v>119</v>
      </c>
      <c r="F676" s="899"/>
      <c r="G676" s="1152" t="s">
        <v>9</v>
      </c>
    </row>
    <row r="677" spans="1:7">
      <c r="A677" s="884">
        <v>44907</v>
      </c>
      <c r="B677" s="240" t="str">
        <f>TiposLancamentos!B16</f>
        <v>Cristiane</v>
      </c>
      <c r="C677" s="878" t="s">
        <v>15650</v>
      </c>
      <c r="D677" s="63"/>
      <c r="E677" s="231">
        <v>100.16</v>
      </c>
      <c r="F677" s="899"/>
      <c r="G677" s="1152" t="s">
        <v>9</v>
      </c>
    </row>
    <row r="678" spans="1:7">
      <c r="A678" s="884">
        <v>44907</v>
      </c>
      <c r="B678" s="240" t="str">
        <f>TiposLancamentos!B16</f>
        <v>Cristiane</v>
      </c>
      <c r="C678" s="878" t="s">
        <v>15650</v>
      </c>
      <c r="D678" s="63"/>
      <c r="E678" s="231">
        <v>99.98</v>
      </c>
      <c r="F678" s="899"/>
      <c r="G678" s="1152" t="s">
        <v>9</v>
      </c>
    </row>
    <row r="679" spans="1:7">
      <c r="A679" s="884">
        <v>44908</v>
      </c>
      <c r="B679" s="240" t="str">
        <f>TiposLancamentos!B16</f>
        <v>Cristiane</v>
      </c>
      <c r="C679" s="878" t="s">
        <v>15651</v>
      </c>
      <c r="D679" s="63"/>
      <c r="E679" s="231">
        <v>450</v>
      </c>
      <c r="F679" s="899"/>
      <c r="G679" s="1152" t="s">
        <v>9</v>
      </c>
    </row>
    <row r="680" spans="1:7">
      <c r="A680" s="884">
        <v>44911</v>
      </c>
      <c r="B680" s="240" t="str">
        <f>TiposLancamentos!B70</f>
        <v>Vestuário</v>
      </c>
      <c r="C680" s="878" t="s">
        <v>15652</v>
      </c>
      <c r="D680" s="63"/>
      <c r="E680" s="231">
        <v>236.22</v>
      </c>
      <c r="F680" s="899">
        <v>1417.27</v>
      </c>
      <c r="G680" s="1152" t="s">
        <v>9</v>
      </c>
    </row>
    <row r="681" spans="1:7">
      <c r="A681" s="884">
        <v>44913</v>
      </c>
      <c r="B681" s="240" t="str">
        <f>TiposLancamentos!B16</f>
        <v>Cristiane</v>
      </c>
      <c r="C681" s="878" t="s">
        <v>12214</v>
      </c>
      <c r="D681" s="63"/>
      <c r="E681" s="231">
        <v>34.97</v>
      </c>
      <c r="F681" s="899"/>
      <c r="G681" s="1152" t="s">
        <v>9</v>
      </c>
    </row>
    <row r="682" spans="1:7">
      <c r="A682" s="884">
        <v>44917</v>
      </c>
      <c r="B682" s="240" t="str">
        <f>B663</f>
        <v>Taxas Bancarias</v>
      </c>
      <c r="C682" s="878" t="s">
        <v>15568</v>
      </c>
      <c r="D682" s="63"/>
      <c r="E682" s="231">
        <v>6.99</v>
      </c>
      <c r="F682" s="899"/>
      <c r="G682" s="1152" t="s">
        <v>9</v>
      </c>
    </row>
    <row r="683" spans="1:7">
      <c r="A683" s="934"/>
      <c r="B683" s="243"/>
      <c r="C683" s="389" t="s">
        <v>10</v>
      </c>
      <c r="D683" s="146"/>
      <c r="E683" s="1190"/>
      <c r="F683" s="935"/>
      <c r="G683" s="1094" t="s">
        <v>11</v>
      </c>
    </row>
    <row r="684" spans="1:7">
      <c r="A684" s="884">
        <v>44918</v>
      </c>
      <c r="B684" s="240" t="str">
        <f>TiposLancamentos!B45</f>
        <v>Online Services</v>
      </c>
      <c r="C684" s="878" t="s">
        <v>1876</v>
      </c>
      <c r="D684" s="63"/>
      <c r="E684" s="231">
        <v>3.5</v>
      </c>
      <c r="F684" s="899"/>
      <c r="G684" s="1152" t="s">
        <v>9</v>
      </c>
    </row>
    <row r="685" spans="1:7">
      <c r="A685" s="884">
        <v>44919</v>
      </c>
      <c r="B685" s="240" t="str">
        <f>TiposLancamentos!B57</f>
        <v>Informática</v>
      </c>
      <c r="C685" s="878" t="s">
        <v>15653</v>
      </c>
      <c r="D685" s="63"/>
      <c r="E685" s="231">
        <v>95.9</v>
      </c>
      <c r="F685" s="899"/>
      <c r="G685" s="1152" t="s">
        <v>9</v>
      </c>
    </row>
    <row r="686" spans="1:7">
      <c r="A686" s="884">
        <v>44920</v>
      </c>
      <c r="B686" s="240" t="str">
        <f>TiposLancamentos!B38</f>
        <v>Playstation 4</v>
      </c>
      <c r="C686" s="878" t="s">
        <v>15654</v>
      </c>
      <c r="D686" s="63"/>
      <c r="E686" s="231">
        <v>89.1</v>
      </c>
      <c r="F686" s="899">
        <v>534.35</v>
      </c>
      <c r="G686" s="1152" t="s">
        <v>9</v>
      </c>
    </row>
    <row r="687" spans="1:7">
      <c r="A687" s="884">
        <v>44920</v>
      </c>
      <c r="B687" s="240" t="str">
        <f>TiposLancamentos!B102</f>
        <v>ESTORNO</v>
      </c>
      <c r="C687" s="878" t="s">
        <v>15655</v>
      </c>
      <c r="D687" s="63">
        <v>0.25</v>
      </c>
      <c r="E687" s="231"/>
      <c r="F687" s="899"/>
      <c r="G687" s="1152" t="s">
        <v>9</v>
      </c>
    </row>
    <row r="688" spans="1:7">
      <c r="A688" s="884">
        <v>44921</v>
      </c>
      <c r="B688" s="240" t="str">
        <f>TiposLancamentos!B23</f>
        <v>P208 GRIFFE 1.6 AUT BUSINESS</v>
      </c>
      <c r="C688" s="878" t="s">
        <v>15656</v>
      </c>
      <c r="D688" s="63"/>
      <c r="E688" s="231">
        <v>335.62</v>
      </c>
      <c r="F688" s="899">
        <v>2013.82</v>
      </c>
      <c r="G688" s="1152" t="s">
        <v>9</v>
      </c>
    </row>
    <row r="689" spans="1:7">
      <c r="A689" s="884">
        <v>44923</v>
      </c>
      <c r="B689" s="240" t="str">
        <f>TiposLancamentos!B45</f>
        <v>Online Services</v>
      </c>
      <c r="C689" s="878" t="s">
        <v>1894</v>
      </c>
      <c r="D689" s="63"/>
      <c r="E689" s="231">
        <v>39.9</v>
      </c>
      <c r="F689" s="899"/>
      <c r="G689" s="1152" t="s">
        <v>9</v>
      </c>
    </row>
    <row r="690" spans="1:7" ht="14.25" thickBot="1">
      <c r="A690" s="884">
        <v>44923</v>
      </c>
      <c r="B690" s="240" t="str">
        <f>TiposLancamentos!B71</f>
        <v>Itens Pessoais</v>
      </c>
      <c r="C690" s="878" t="s">
        <v>15657</v>
      </c>
      <c r="D690" s="63"/>
      <c r="E690" s="231">
        <v>599.46</v>
      </c>
      <c r="F690" s="899">
        <v>5993.79</v>
      </c>
      <c r="G690" s="1152" t="s">
        <v>9</v>
      </c>
    </row>
    <row r="691" spans="1:7">
      <c r="A691" s="1032"/>
      <c r="B691" s="1230"/>
      <c r="C691" s="906" t="s">
        <v>1618</v>
      </c>
      <c r="D691" s="896"/>
      <c r="E691" s="925"/>
      <c r="F691" s="1034">
        <f>SUM(E664:E683)</f>
        <v>2703.5499999999993</v>
      </c>
      <c r="G691" s="3"/>
    </row>
    <row r="692" spans="1:7">
      <c r="A692" s="884">
        <v>44928</v>
      </c>
      <c r="B692" s="240" t="str">
        <f>TiposLancamentos!B15</f>
        <v>Cartões de Crédito</v>
      </c>
      <c r="C692" s="878" t="s">
        <v>15658</v>
      </c>
      <c r="D692" s="63">
        <v>2703.55</v>
      </c>
      <c r="E692" s="231"/>
      <c r="F692" s="899">
        <f>F691-F673</f>
        <v>803.60999999999899</v>
      </c>
      <c r="G692" s="1152" t="s">
        <v>9</v>
      </c>
    </row>
    <row r="693" spans="1:7">
      <c r="A693" s="884">
        <v>44931</v>
      </c>
      <c r="B693" s="240" t="str">
        <f>TiposLancamentos!B39</f>
        <v>Playstation 5</v>
      </c>
      <c r="C693" s="878" t="s">
        <v>15659</v>
      </c>
      <c r="D693" s="63"/>
      <c r="E693" s="231">
        <f>F693/10</f>
        <v>479.98999999999995</v>
      </c>
      <c r="F693" s="899">
        <v>4799.8999999999996</v>
      </c>
      <c r="G693" s="1152" t="s">
        <v>9</v>
      </c>
    </row>
    <row r="694" spans="1:7">
      <c r="A694" s="884">
        <v>44939</v>
      </c>
      <c r="B694" s="240" t="str">
        <f>TiposLancamentos!B16</f>
        <v>Cristiane</v>
      </c>
      <c r="C694" s="878" t="s">
        <v>15660</v>
      </c>
      <c r="D694" s="63"/>
      <c r="E694" s="231">
        <v>450</v>
      </c>
      <c r="F694" s="899"/>
      <c r="G694" s="1152" t="s">
        <v>9</v>
      </c>
    </row>
    <row r="695" spans="1:7">
      <c r="A695" s="884">
        <v>44942</v>
      </c>
      <c r="B695" s="240" t="str">
        <f>TiposLancamentos!B70</f>
        <v>Vestuário</v>
      </c>
      <c r="C695" s="878" t="s">
        <v>15661</v>
      </c>
      <c r="D695" s="63"/>
      <c r="E695" s="231">
        <v>236.22</v>
      </c>
      <c r="F695" s="899">
        <v>1417.27</v>
      </c>
      <c r="G695" s="1152" t="s">
        <v>9</v>
      </c>
    </row>
    <row r="696" spans="1:7">
      <c r="A696" s="884">
        <v>44948</v>
      </c>
      <c r="B696" s="240" t="str">
        <f>B682</f>
        <v>Taxas Bancarias</v>
      </c>
      <c r="C696" s="878" t="s">
        <v>15568</v>
      </c>
      <c r="D696" s="63"/>
      <c r="E696" s="231">
        <v>6.99</v>
      </c>
      <c r="F696" s="899"/>
      <c r="G696" s="1152" t="s">
        <v>9</v>
      </c>
    </row>
    <row r="697" spans="1:7">
      <c r="A697" s="934"/>
      <c r="B697" s="243"/>
      <c r="C697" s="389" t="s">
        <v>10</v>
      </c>
      <c r="D697" s="146"/>
      <c r="E697" s="1190"/>
      <c r="F697" s="935"/>
      <c r="G697" s="1094" t="s">
        <v>11</v>
      </c>
    </row>
    <row r="698" spans="1:7">
      <c r="A698" s="884">
        <v>44949</v>
      </c>
      <c r="B698" s="240" t="str">
        <f>TiposLancamentos!B45</f>
        <v>Online Services</v>
      </c>
      <c r="C698" s="878" t="s">
        <v>1876</v>
      </c>
      <c r="D698" s="63"/>
      <c r="E698" s="231">
        <v>3.5</v>
      </c>
      <c r="F698" s="899"/>
      <c r="G698" s="1152" t="s">
        <v>9</v>
      </c>
    </row>
    <row r="699" spans="1:7">
      <c r="A699" s="884">
        <v>44949</v>
      </c>
      <c r="B699" s="240" t="str">
        <f>TiposLancamentos!B19</f>
        <v>Restaurantes</v>
      </c>
      <c r="C699" s="878" t="s">
        <v>15662</v>
      </c>
      <c r="D699" s="63"/>
      <c r="E699" s="231">
        <v>82.1</v>
      </c>
      <c r="F699" s="899"/>
      <c r="G699" s="1152" t="s">
        <v>9</v>
      </c>
    </row>
    <row r="700" spans="1:7">
      <c r="A700" s="884">
        <v>44950</v>
      </c>
      <c r="B700" s="240" t="str">
        <f>TiposLancamentos!B19</f>
        <v>Restaurantes</v>
      </c>
      <c r="C700" s="878" t="s">
        <v>15663</v>
      </c>
      <c r="D700" s="63"/>
      <c r="E700" s="231">
        <v>48.04</v>
      </c>
      <c r="F700" s="899"/>
      <c r="G700" s="1152" t="s">
        <v>9</v>
      </c>
    </row>
    <row r="701" spans="1:7">
      <c r="A701" s="884">
        <v>44950</v>
      </c>
      <c r="B701" s="240" t="str">
        <f>TiposLancamentos!B19</f>
        <v>Restaurantes</v>
      </c>
      <c r="C701" s="878" t="s">
        <v>7338</v>
      </c>
      <c r="D701" s="63"/>
      <c r="E701" s="231">
        <v>6.5</v>
      </c>
      <c r="F701" s="899"/>
      <c r="G701" s="1152" t="s">
        <v>9</v>
      </c>
    </row>
    <row r="702" spans="1:7">
      <c r="A702" s="884">
        <v>44951</v>
      </c>
      <c r="B702" s="240" t="str">
        <f>TiposLancamentos!B38</f>
        <v>Playstation 4</v>
      </c>
      <c r="C702" s="878" t="s">
        <v>15664</v>
      </c>
      <c r="D702" s="63"/>
      <c r="E702" s="231">
        <v>89.1</v>
      </c>
      <c r="F702" s="899">
        <v>534.35</v>
      </c>
      <c r="G702" s="1152" t="s">
        <v>9</v>
      </c>
    </row>
    <row r="703" spans="1:7">
      <c r="A703" s="884">
        <v>44952</v>
      </c>
      <c r="B703" s="240" t="str">
        <f>TiposLancamentos!B23</f>
        <v>P208 GRIFFE 1.6 AUT BUSINESS</v>
      </c>
      <c r="C703" s="878" t="s">
        <v>15665</v>
      </c>
      <c r="D703" s="63"/>
      <c r="E703" s="231">
        <v>335.62</v>
      </c>
      <c r="F703" s="899">
        <v>2013.82</v>
      </c>
      <c r="G703" s="1152" t="s">
        <v>9</v>
      </c>
    </row>
    <row r="704" spans="1:7">
      <c r="A704" s="884">
        <v>44954</v>
      </c>
      <c r="B704" s="240" t="str">
        <f>TiposLancamentos!B45</f>
        <v>Online Services</v>
      </c>
      <c r="C704" s="878" t="s">
        <v>1894</v>
      </c>
      <c r="D704" s="63"/>
      <c r="E704" s="231">
        <v>39.9</v>
      </c>
      <c r="F704" s="899"/>
      <c r="G704" s="1152" t="s">
        <v>9</v>
      </c>
    </row>
    <row r="705" spans="1:7" ht="14.25" thickBot="1">
      <c r="A705" s="884">
        <v>44954</v>
      </c>
      <c r="B705" s="240" t="str">
        <f>TiposLancamentos!B71</f>
        <v>Itens Pessoais</v>
      </c>
      <c r="C705" s="878" t="s">
        <v>15666</v>
      </c>
      <c r="D705" s="63"/>
      <c r="E705" s="231">
        <v>599.46</v>
      </c>
      <c r="F705" s="899">
        <v>5993.79</v>
      </c>
      <c r="G705" s="1152" t="s">
        <v>9</v>
      </c>
    </row>
    <row r="706" spans="1:7">
      <c r="A706" s="1032"/>
      <c r="B706" s="1230"/>
      <c r="C706" s="1092" t="s">
        <v>1619</v>
      </c>
      <c r="D706" s="896"/>
      <c r="E706" s="925"/>
      <c r="F706" s="1034">
        <f>SUM(E683:E697)-D687</f>
        <v>2336.4299999999998</v>
      </c>
      <c r="G706" s="3"/>
    </row>
    <row r="707" spans="1:7">
      <c r="A707" s="884">
        <v>44958</v>
      </c>
      <c r="B707" s="240" t="str">
        <f>TiposLancamentos!B15</f>
        <v>Cartões de Crédito</v>
      </c>
      <c r="C707" s="878" t="s">
        <v>15658</v>
      </c>
      <c r="D707" s="63">
        <v>2336.4299999999998</v>
      </c>
      <c r="E707" s="231"/>
      <c r="F707" s="899">
        <f>F706-F691</f>
        <v>-367.11999999999944</v>
      </c>
      <c r="G707" s="1152" t="s">
        <v>9</v>
      </c>
    </row>
    <row r="708" spans="1:7">
      <c r="A708" s="884">
        <v>44962</v>
      </c>
      <c r="B708" s="240" t="str">
        <f>TiposLancamentos!B39</f>
        <v>Playstation 5</v>
      </c>
      <c r="C708" s="878" t="s">
        <v>15667</v>
      </c>
      <c r="D708" s="63"/>
      <c r="E708" s="231">
        <f>F708/10</f>
        <v>479.98999999999995</v>
      </c>
      <c r="F708" s="899">
        <v>4799.8999999999996</v>
      </c>
      <c r="G708" s="1152" t="s">
        <v>9</v>
      </c>
    </row>
    <row r="709" spans="1:7">
      <c r="A709" s="884">
        <v>44973</v>
      </c>
      <c r="B709" s="240" t="str">
        <f>TiposLancamentos!B70</f>
        <v>Vestuário</v>
      </c>
      <c r="C709" s="878" t="s">
        <v>15668</v>
      </c>
      <c r="D709" s="63"/>
      <c r="E709" s="231">
        <v>236.22</v>
      </c>
      <c r="F709" s="899">
        <v>1417.27</v>
      </c>
      <c r="G709" s="1152" t="s">
        <v>9</v>
      </c>
    </row>
    <row r="710" spans="1:7">
      <c r="A710" s="884">
        <v>44977</v>
      </c>
      <c r="B710" s="240" t="str">
        <f>TiposLancamentos!B4</f>
        <v>Taxas Bancarias</v>
      </c>
      <c r="C710" s="878" t="s">
        <v>15568</v>
      </c>
      <c r="D710" s="63"/>
      <c r="E710" s="231">
        <v>6.99</v>
      </c>
      <c r="F710" s="899"/>
      <c r="G710" s="1152" t="s">
        <v>9</v>
      </c>
    </row>
    <row r="711" spans="1:7">
      <c r="A711" s="934"/>
      <c r="B711" s="243"/>
      <c r="C711" s="389" t="s">
        <v>10</v>
      </c>
      <c r="D711" s="146"/>
      <c r="E711" s="1190"/>
      <c r="F711" s="935"/>
      <c r="G711" s="1094" t="s">
        <v>11</v>
      </c>
    </row>
    <row r="712" spans="1:7">
      <c r="A712" s="884">
        <v>44980</v>
      </c>
      <c r="B712" s="240" t="str">
        <f>TiposLancamentos!B45</f>
        <v>Online Services</v>
      </c>
      <c r="C712" s="878" t="s">
        <v>1876</v>
      </c>
      <c r="D712" s="63"/>
      <c r="E712" s="231">
        <v>3.5</v>
      </c>
      <c r="F712" s="899"/>
      <c r="G712" s="1152" t="s">
        <v>9</v>
      </c>
    </row>
    <row r="713" spans="1:7">
      <c r="A713" s="125">
        <v>44982</v>
      </c>
      <c r="B713" s="240" t="str">
        <f>TiposLancamentos!B38</f>
        <v>Playstation 4</v>
      </c>
      <c r="C713" s="878" t="s">
        <v>15669</v>
      </c>
      <c r="D713" s="63"/>
      <c r="E713" s="231">
        <v>89.1</v>
      </c>
      <c r="F713" s="899">
        <v>534.35</v>
      </c>
      <c r="G713" s="1152" t="s">
        <v>9</v>
      </c>
    </row>
    <row r="714" spans="1:7">
      <c r="A714" s="884">
        <v>44983</v>
      </c>
      <c r="B714" s="240" t="str">
        <f>TiposLancamentos!B23</f>
        <v>P208 GRIFFE 1.6 AUT BUSINESS</v>
      </c>
      <c r="C714" s="878" t="s">
        <v>15670</v>
      </c>
      <c r="D714" s="63"/>
      <c r="E714" s="231">
        <v>335.62</v>
      </c>
      <c r="F714" s="899">
        <v>2013.82</v>
      </c>
      <c r="G714" s="1152" t="s">
        <v>9</v>
      </c>
    </row>
    <row r="715" spans="1:7">
      <c r="A715" s="884">
        <v>44985</v>
      </c>
      <c r="B715" s="240" t="str">
        <f>TiposLancamentos!B45</f>
        <v>Online Services</v>
      </c>
      <c r="C715" s="878" t="s">
        <v>1894</v>
      </c>
      <c r="D715" s="63"/>
      <c r="E715" s="231">
        <v>39.9</v>
      </c>
      <c r="F715" s="899"/>
      <c r="G715" s="1152" t="s">
        <v>9</v>
      </c>
    </row>
    <row r="716" spans="1:7" ht="14.25" thickBot="1">
      <c r="A716" s="884">
        <v>44985</v>
      </c>
      <c r="B716" s="240" t="str">
        <f>TiposLancamentos!B71</f>
        <v>Itens Pessoais</v>
      </c>
      <c r="C716" s="878" t="s">
        <v>15671</v>
      </c>
      <c r="D716" s="63"/>
      <c r="E716" s="231">
        <v>599.46</v>
      </c>
      <c r="F716" s="899">
        <v>5993.79</v>
      </c>
      <c r="G716" s="1152" t="s">
        <v>9</v>
      </c>
    </row>
    <row r="717" spans="1:7">
      <c r="A717" s="1032"/>
      <c r="B717" s="1230"/>
      <c r="C717" s="1092" t="s">
        <v>1620</v>
      </c>
      <c r="D717" s="896"/>
      <c r="E717" s="925"/>
      <c r="F717" s="1034">
        <f>SUM(E697:E711)</f>
        <v>1927.42</v>
      </c>
      <c r="G717" s="3"/>
    </row>
    <row r="718" spans="1:7">
      <c r="A718" s="884">
        <v>44986</v>
      </c>
      <c r="B718" s="240" t="str">
        <f>TiposLancamentos!B15</f>
        <v>Cartões de Crédito</v>
      </c>
      <c r="C718" s="878" t="s">
        <v>15658</v>
      </c>
      <c r="D718" s="63">
        <v>1927.42</v>
      </c>
      <c r="E718" s="231"/>
      <c r="F718" s="899">
        <f>F717-F706</f>
        <v>-409.00999999999976</v>
      </c>
      <c r="G718" s="1152" t="s">
        <v>9</v>
      </c>
    </row>
    <row r="719" spans="1:7">
      <c r="A719" s="884">
        <v>44990</v>
      </c>
      <c r="B719" s="240" t="str">
        <f>TiposLancamentos!B39</f>
        <v>Playstation 5</v>
      </c>
      <c r="C719" s="878" t="s">
        <v>15672</v>
      </c>
      <c r="D719" s="63"/>
      <c r="E719" s="231">
        <f>F719/10</f>
        <v>479.98999999999995</v>
      </c>
      <c r="F719" s="899">
        <v>4799.8999999999996</v>
      </c>
      <c r="G719" s="1152" t="s">
        <v>9</v>
      </c>
    </row>
    <row r="720" spans="1:7">
      <c r="A720" s="884">
        <v>44992</v>
      </c>
      <c r="B720" s="240" t="str">
        <f>TiposLancamentos!B16</f>
        <v>Cristiane</v>
      </c>
      <c r="C720" s="878" t="s">
        <v>15673</v>
      </c>
      <c r="D720" s="63"/>
      <c r="E720" s="231">
        <v>52.87</v>
      </c>
      <c r="F720" s="899"/>
      <c r="G720" s="1152" t="s">
        <v>9</v>
      </c>
    </row>
    <row r="721" spans="1:7">
      <c r="A721" s="884">
        <v>44993</v>
      </c>
      <c r="B721" s="240" t="str">
        <f>TiposLancamentos!B19</f>
        <v>Restaurantes</v>
      </c>
      <c r="C721" s="878" t="s">
        <v>8771</v>
      </c>
      <c r="D721" s="63"/>
      <c r="E721" s="231">
        <v>71</v>
      </c>
      <c r="F721" s="899"/>
      <c r="G721" s="1152" t="s">
        <v>9</v>
      </c>
    </row>
    <row r="722" spans="1:7">
      <c r="A722" s="884">
        <v>45001</v>
      </c>
      <c r="B722" s="240" t="str">
        <f>TiposLancamentos!B70</f>
        <v>Vestuário</v>
      </c>
      <c r="C722" s="878" t="s">
        <v>15674</v>
      </c>
      <c r="D722" s="63"/>
      <c r="E722" s="231">
        <v>236.22</v>
      </c>
      <c r="F722" s="899">
        <v>1417.27</v>
      </c>
      <c r="G722" s="1152" t="s">
        <v>9</v>
      </c>
    </row>
    <row r="723" spans="1:7">
      <c r="A723" s="884">
        <v>45007</v>
      </c>
      <c r="B723" s="240" t="str">
        <f>TiposLancamentos!B4</f>
        <v>Taxas Bancarias</v>
      </c>
      <c r="C723" s="878" t="s">
        <v>15568</v>
      </c>
      <c r="D723" s="63"/>
      <c r="E723" s="231">
        <v>6.99</v>
      </c>
      <c r="F723" s="899"/>
      <c r="G723" s="1152" t="s">
        <v>9</v>
      </c>
    </row>
    <row r="724" spans="1:7">
      <c r="A724" s="934"/>
      <c r="B724" s="243"/>
      <c r="C724" s="389" t="s">
        <v>10</v>
      </c>
      <c r="D724" s="146"/>
      <c r="E724" s="1190"/>
      <c r="F724" s="935"/>
      <c r="G724" s="1094" t="s">
        <v>11</v>
      </c>
    </row>
    <row r="725" spans="1:7">
      <c r="A725" s="884">
        <v>45008</v>
      </c>
      <c r="B725" s="240" t="str">
        <f>TiposLancamentos!B45</f>
        <v>Online Services</v>
      </c>
      <c r="C725" s="878" t="s">
        <v>1876</v>
      </c>
      <c r="D725" s="63"/>
      <c r="E725" s="231">
        <v>3.5</v>
      </c>
      <c r="F725" s="899"/>
      <c r="G725" s="1152" t="s">
        <v>9</v>
      </c>
    </row>
    <row r="726" spans="1:7">
      <c r="A726" s="884">
        <v>45010</v>
      </c>
      <c r="B726" s="240" t="str">
        <f>TiposLancamentos!B38</f>
        <v>Playstation 4</v>
      </c>
      <c r="C726" s="878" t="s">
        <v>15675</v>
      </c>
      <c r="D726" s="63"/>
      <c r="E726" s="231">
        <v>89.1</v>
      </c>
      <c r="F726" s="899">
        <v>534.35</v>
      </c>
      <c r="G726" s="1152" t="s">
        <v>9</v>
      </c>
    </row>
    <row r="727" spans="1:7">
      <c r="A727" s="884">
        <v>45011</v>
      </c>
      <c r="B727" s="240" t="str">
        <f>TiposLancamentos!B23</f>
        <v>P208 GRIFFE 1.6 AUT BUSINESS</v>
      </c>
      <c r="C727" s="878" t="s">
        <v>15676</v>
      </c>
      <c r="D727" s="63"/>
      <c r="E727" s="231">
        <v>335.62</v>
      </c>
      <c r="F727" s="899">
        <v>2013.82</v>
      </c>
      <c r="G727" s="1152" t="s">
        <v>9</v>
      </c>
    </row>
    <row r="728" spans="1:7" ht="14.25" thickBot="1">
      <c r="A728" s="884">
        <v>45013</v>
      </c>
      <c r="B728" s="240" t="str">
        <f>TiposLancamentos!B45</f>
        <v>Online Services</v>
      </c>
      <c r="C728" s="878" t="s">
        <v>1894</v>
      </c>
      <c r="D728" s="63"/>
      <c r="E728" s="231">
        <v>39.9</v>
      </c>
      <c r="F728" s="899"/>
      <c r="G728" s="1152" t="s">
        <v>9</v>
      </c>
    </row>
    <row r="729" spans="1:7">
      <c r="A729" s="1032"/>
      <c r="B729" s="1230"/>
      <c r="C729" s="1092" t="s">
        <v>15677</v>
      </c>
      <c r="D729" s="896"/>
      <c r="E729" s="925"/>
      <c r="F729" s="1034">
        <f>SUM(E711:E724)</f>
        <v>1914.6499999999999</v>
      </c>
      <c r="G729" s="3"/>
    </row>
    <row r="730" spans="1:7">
      <c r="A730" s="884">
        <v>45018</v>
      </c>
      <c r="B730" s="240" t="str">
        <f>TiposLancamentos!B15</f>
        <v>Cartões de Crédito</v>
      </c>
      <c r="C730" s="878" t="s">
        <v>15658</v>
      </c>
      <c r="D730" s="63">
        <v>1914.65</v>
      </c>
      <c r="E730" s="231"/>
      <c r="F730" s="899">
        <f>F729-F717</f>
        <v>-12.770000000000209</v>
      </c>
      <c r="G730" s="1152" t="s">
        <v>9</v>
      </c>
    </row>
    <row r="731" spans="1:7">
      <c r="A731" s="884">
        <v>45021</v>
      </c>
      <c r="B731" s="240" t="str">
        <f>TiposLancamentos!B39</f>
        <v>Playstation 5</v>
      </c>
      <c r="C731" s="878" t="s">
        <v>15678</v>
      </c>
      <c r="D731" s="63"/>
      <c r="E731" s="231">
        <f>F731/10</f>
        <v>479.98999999999995</v>
      </c>
      <c r="F731" s="899">
        <v>4799.8999999999996</v>
      </c>
      <c r="G731" s="1152" t="s">
        <v>9</v>
      </c>
    </row>
    <row r="732" spans="1:7">
      <c r="A732" s="884">
        <v>45027</v>
      </c>
      <c r="B732" s="240" t="str">
        <f>TiposLancamentos!B59</f>
        <v>Documentos</v>
      </c>
      <c r="C732" s="878" t="s">
        <v>15679</v>
      </c>
      <c r="D732" s="63"/>
      <c r="E732" s="231">
        <v>325</v>
      </c>
      <c r="F732" s="899">
        <v>1300</v>
      </c>
      <c r="G732" s="1152" t="s">
        <v>9</v>
      </c>
    </row>
    <row r="733" spans="1:7">
      <c r="A733" s="884">
        <v>45039</v>
      </c>
      <c r="B733" s="240" t="str">
        <f>TiposLancamentos!B4</f>
        <v>Taxas Bancarias</v>
      </c>
      <c r="C733" s="878" t="s">
        <v>15568</v>
      </c>
      <c r="D733" s="63"/>
      <c r="E733" s="231">
        <v>6.99</v>
      </c>
      <c r="F733" s="899"/>
      <c r="G733" s="1152" t="s">
        <v>9</v>
      </c>
    </row>
    <row r="734" spans="1:7">
      <c r="A734" s="934"/>
      <c r="B734" s="243"/>
      <c r="C734" s="389" t="s">
        <v>10</v>
      </c>
      <c r="D734" s="146"/>
      <c r="E734" s="1190"/>
      <c r="F734" s="935"/>
      <c r="G734" s="1094" t="s">
        <v>11</v>
      </c>
    </row>
    <row r="735" spans="1:7">
      <c r="A735" s="884">
        <v>45039</v>
      </c>
      <c r="B735" s="240" t="str">
        <f>TiposLancamentos!B45</f>
        <v>Online Services</v>
      </c>
      <c r="C735" s="878" t="s">
        <v>1876</v>
      </c>
      <c r="D735" s="63"/>
      <c r="E735" s="231">
        <v>3.5</v>
      </c>
      <c r="F735" s="899"/>
      <c r="G735" s="1152" t="s">
        <v>9</v>
      </c>
    </row>
    <row r="736" spans="1:7">
      <c r="A736" s="884">
        <v>45041</v>
      </c>
      <c r="B736" s="240" t="str">
        <f>TiposLancamentos!B38</f>
        <v>Playstation 4</v>
      </c>
      <c r="C736" s="878" t="s">
        <v>15680</v>
      </c>
      <c r="D736" s="63"/>
      <c r="E736" s="231">
        <v>89.1</v>
      </c>
      <c r="F736" s="899">
        <v>534.35</v>
      </c>
      <c r="G736" s="1152" t="s">
        <v>9</v>
      </c>
    </row>
    <row r="737" spans="1:7" ht="14.25" thickBot="1">
      <c r="A737" s="884">
        <v>45044</v>
      </c>
      <c r="B737" s="240" t="str">
        <f>TiposLancamentos!B45</f>
        <v>Online Services</v>
      </c>
      <c r="C737" s="878" t="s">
        <v>1894</v>
      </c>
      <c r="D737" s="63"/>
      <c r="E737" s="231">
        <v>39.9</v>
      </c>
      <c r="F737" s="899"/>
      <c r="G737" s="1152" t="s">
        <v>9</v>
      </c>
    </row>
    <row r="738" spans="1:7">
      <c r="A738" s="1032"/>
      <c r="B738" s="1230"/>
      <c r="C738" s="1092" t="s">
        <v>15681</v>
      </c>
      <c r="D738" s="896"/>
      <c r="E738" s="925"/>
      <c r="F738" s="1034">
        <f>SUM(E724:E734)</f>
        <v>1280.0999999999999</v>
      </c>
      <c r="G738" s="3"/>
    </row>
    <row r="739" spans="1:7">
      <c r="A739" s="884">
        <v>45047</v>
      </c>
      <c r="B739" s="240" t="str">
        <f>TiposLancamentos!B15</f>
        <v>Cartões de Crédito</v>
      </c>
      <c r="C739" s="878" t="s">
        <v>1874</v>
      </c>
      <c r="D739" s="63">
        <v>1280.0999999999999</v>
      </c>
      <c r="E739" s="231"/>
      <c r="F739" s="899">
        <f>F738-F729</f>
        <v>-634.54999999999995</v>
      </c>
      <c r="G739" s="1152" t="s">
        <v>9</v>
      </c>
    </row>
    <row r="740" spans="1:7">
      <c r="A740" s="884">
        <v>45051</v>
      </c>
      <c r="B740" s="240" t="str">
        <f>TiposLancamentos!B39</f>
        <v>Playstation 5</v>
      </c>
      <c r="C740" s="878" t="s">
        <v>15682</v>
      </c>
      <c r="D740" s="63"/>
      <c r="E740" s="231">
        <f>F740/10</f>
        <v>479.98999999999995</v>
      </c>
      <c r="F740" s="899">
        <v>4799.8999999999996</v>
      </c>
      <c r="G740" s="1152" t="s">
        <v>9</v>
      </c>
    </row>
    <row r="741" spans="1:7">
      <c r="A741" s="884">
        <v>45052</v>
      </c>
      <c r="B741" s="240" t="str">
        <f>TiposLancamentos!B16</f>
        <v>Cristiane</v>
      </c>
      <c r="C741" s="878" t="s">
        <v>12161</v>
      </c>
      <c r="D741" s="63"/>
      <c r="E741" s="231">
        <v>10.89</v>
      </c>
      <c r="F741" s="899"/>
      <c r="G741" s="1152" t="s">
        <v>9</v>
      </c>
    </row>
    <row r="742" spans="1:7">
      <c r="A742" s="884">
        <v>45052</v>
      </c>
      <c r="B742" s="240" t="str">
        <f>TiposLancamentos!B16</f>
        <v>Cristiane</v>
      </c>
      <c r="C742" s="878" t="s">
        <v>12161</v>
      </c>
      <c r="D742" s="63"/>
      <c r="E742" s="231">
        <v>20.6</v>
      </c>
      <c r="F742" s="899"/>
      <c r="G742" s="1152" t="s">
        <v>9</v>
      </c>
    </row>
    <row r="743" spans="1:7">
      <c r="A743" s="884">
        <v>45057</v>
      </c>
      <c r="B743" s="240" t="str">
        <f>TiposLancamentos!B59</f>
        <v>Documentos</v>
      </c>
      <c r="C743" s="878" t="s">
        <v>15683</v>
      </c>
      <c r="D743" s="63"/>
      <c r="E743" s="231">
        <v>325</v>
      </c>
      <c r="F743" s="899">
        <v>1300</v>
      </c>
      <c r="G743" s="1152" t="s">
        <v>9</v>
      </c>
    </row>
    <row r="744" spans="1:7">
      <c r="A744" s="884">
        <v>45069</v>
      </c>
      <c r="B744" s="240" t="str">
        <f>TiposLancamentos!B4</f>
        <v>Taxas Bancarias</v>
      </c>
      <c r="C744" s="878" t="s">
        <v>15568</v>
      </c>
      <c r="D744" s="63"/>
      <c r="E744" s="231">
        <v>6.99</v>
      </c>
      <c r="F744" s="899"/>
      <c r="G744" s="1152" t="s">
        <v>9</v>
      </c>
    </row>
    <row r="745" spans="1:7">
      <c r="A745" s="884">
        <v>45069</v>
      </c>
      <c r="B745" s="240" t="str">
        <f>TiposLancamentos!B45</f>
        <v>Online Services</v>
      </c>
      <c r="C745" s="878" t="s">
        <v>1876</v>
      </c>
      <c r="D745" s="63"/>
      <c r="E745" s="231">
        <v>3.5</v>
      </c>
      <c r="F745" s="899"/>
      <c r="G745" s="1152" t="s">
        <v>9</v>
      </c>
    </row>
    <row r="746" spans="1:7">
      <c r="A746" s="934"/>
      <c r="B746" s="243"/>
      <c r="C746" s="389" t="s">
        <v>10</v>
      </c>
      <c r="D746" s="146"/>
      <c r="E746" s="1190"/>
      <c r="F746" s="935"/>
      <c r="G746" s="1094" t="s">
        <v>11</v>
      </c>
    </row>
    <row r="747" spans="1:7">
      <c r="A747" s="884"/>
      <c r="B747" s="240"/>
      <c r="C747" s="878" t="s">
        <v>1868</v>
      </c>
      <c r="D747" s="63"/>
      <c r="E747" s="231"/>
      <c r="F747" s="899"/>
      <c r="G747" s="1152" t="s">
        <v>9</v>
      </c>
    </row>
    <row r="748" spans="1:7">
      <c r="A748" s="884">
        <v>45074</v>
      </c>
      <c r="B748" s="240" t="str">
        <f>TiposLancamentos!B45</f>
        <v>Online Services</v>
      </c>
      <c r="C748" s="878" t="s">
        <v>1894</v>
      </c>
      <c r="D748" s="63"/>
      <c r="E748" s="231">
        <v>39.9</v>
      </c>
      <c r="F748" s="899"/>
      <c r="G748" s="1152" t="s">
        <v>9</v>
      </c>
    </row>
    <row r="749" spans="1:7">
      <c r="A749" s="884">
        <v>45076</v>
      </c>
      <c r="B749" s="240" t="str">
        <f>TiposLancamentos!B5</f>
        <v>Supermercado</v>
      </c>
      <c r="C749" s="878" t="s">
        <v>15684</v>
      </c>
      <c r="D749" s="63"/>
      <c r="E749" s="231">
        <v>260.18</v>
      </c>
      <c r="F749" s="899"/>
      <c r="G749" s="1152" t="s">
        <v>9</v>
      </c>
    </row>
    <row r="750" spans="1:7" ht="14.25" thickBot="1">
      <c r="A750" s="884"/>
      <c r="B750" s="240"/>
      <c r="C750" s="878" t="s">
        <v>1868</v>
      </c>
      <c r="D750" s="63"/>
      <c r="E750" s="231"/>
      <c r="F750" s="899"/>
      <c r="G750" s="1152" t="s">
        <v>9</v>
      </c>
    </row>
    <row r="751" spans="1:7">
      <c r="A751" s="1032"/>
      <c r="B751" s="1230"/>
      <c r="C751" s="1092" t="s">
        <v>15685</v>
      </c>
      <c r="D751" s="896"/>
      <c r="E751" s="925"/>
      <c r="F751" s="1034">
        <f>SUM(E734:E746)</f>
        <v>979.47</v>
      </c>
      <c r="G751" s="3"/>
    </row>
    <row r="752" spans="1:7">
      <c r="A752" s="884">
        <v>45078</v>
      </c>
      <c r="B752" s="240" t="str">
        <f>TiposLancamentos!B15</f>
        <v>Cartões de Crédito</v>
      </c>
      <c r="C752" s="878" t="s">
        <v>1874</v>
      </c>
      <c r="D752" s="63">
        <v>979.47</v>
      </c>
      <c r="E752" s="231"/>
      <c r="F752" s="899">
        <f>F751-F738</f>
        <v>-300.62999999999988</v>
      </c>
      <c r="G752" s="1152" t="s">
        <v>9</v>
      </c>
    </row>
    <row r="753" spans="1:7">
      <c r="A753" s="884">
        <v>45082</v>
      </c>
      <c r="B753" s="240" t="str">
        <f>TiposLancamentos!B39</f>
        <v>Playstation 5</v>
      </c>
      <c r="C753" s="878" t="s">
        <v>15686</v>
      </c>
      <c r="D753" s="63"/>
      <c r="E753" s="231">
        <f>F753/10</f>
        <v>479.98999999999995</v>
      </c>
      <c r="F753" s="899">
        <v>4799.8999999999996</v>
      </c>
      <c r="G753" s="1152" t="s">
        <v>9</v>
      </c>
    </row>
    <row r="754" spans="1:7">
      <c r="A754" s="884">
        <v>45088</v>
      </c>
      <c r="B754" s="240" t="str">
        <f>TiposLancamentos!B59</f>
        <v>Documentos</v>
      </c>
      <c r="C754" s="878" t="s">
        <v>15687</v>
      </c>
      <c r="D754" s="63"/>
      <c r="E754" s="231">
        <v>325</v>
      </c>
      <c r="F754" s="899">
        <v>1300</v>
      </c>
      <c r="G754" s="1152" t="s">
        <v>9</v>
      </c>
    </row>
    <row r="755" spans="1:7">
      <c r="A755" s="884">
        <v>45100</v>
      </c>
      <c r="B755" s="240" t="str">
        <f>TiposLancamentos!B4</f>
        <v>Taxas Bancarias</v>
      </c>
      <c r="C755" s="878" t="s">
        <v>15568</v>
      </c>
      <c r="D755" s="63"/>
      <c r="E755" s="231">
        <v>6.99</v>
      </c>
      <c r="F755" s="899"/>
      <c r="G755" s="1152" t="s">
        <v>9</v>
      </c>
    </row>
    <row r="756" spans="1:7">
      <c r="A756" s="934"/>
      <c r="B756" s="243"/>
      <c r="C756" s="389" t="s">
        <v>10</v>
      </c>
      <c r="D756" s="146"/>
      <c r="E756" s="1190"/>
      <c r="F756" s="935"/>
      <c r="G756" s="1094" t="s">
        <v>11</v>
      </c>
    </row>
    <row r="757" spans="1:7">
      <c r="A757" s="884">
        <v>45100</v>
      </c>
      <c r="B757" s="240" t="str">
        <f>TiposLancamentos!B45</f>
        <v>Online Services</v>
      </c>
      <c r="C757" s="878" t="s">
        <v>1876</v>
      </c>
      <c r="D757" s="63"/>
      <c r="E757" s="231">
        <v>3.5</v>
      </c>
      <c r="F757" s="899"/>
      <c r="G757" s="1152" t="s">
        <v>9</v>
      </c>
    </row>
    <row r="758" spans="1:7">
      <c r="A758" s="884">
        <v>45105</v>
      </c>
      <c r="B758" s="240" t="str">
        <f>TiposLancamentos!B45</f>
        <v>Online Services</v>
      </c>
      <c r="C758" s="878" t="s">
        <v>1894</v>
      </c>
      <c r="D758" s="63"/>
      <c r="E758" s="231">
        <v>39.9</v>
      </c>
      <c r="F758" s="899"/>
      <c r="G758" s="1152" t="s">
        <v>9</v>
      </c>
    </row>
    <row r="759" spans="1:7" ht="14.25" thickBot="1">
      <c r="A759" s="884">
        <v>45107</v>
      </c>
      <c r="B759" s="240" t="str">
        <f>TiposLancamentos!B16</f>
        <v>Cristiane</v>
      </c>
      <c r="C759" s="878" t="s">
        <v>15688</v>
      </c>
      <c r="D759" s="63"/>
      <c r="E759" s="231">
        <v>8.27</v>
      </c>
      <c r="F759" s="899"/>
      <c r="G759" s="1152" t="s">
        <v>9</v>
      </c>
    </row>
    <row r="760" spans="1:7">
      <c r="A760" s="1032"/>
      <c r="B760" s="1230"/>
      <c r="C760" s="1092" t="s">
        <v>15689</v>
      </c>
      <c r="D760" s="896"/>
      <c r="E760" s="925"/>
      <c r="F760" s="1034">
        <f>SUM(E746:E756)</f>
        <v>1112.06</v>
      </c>
      <c r="G760" s="1152" t="s">
        <v>9</v>
      </c>
    </row>
    <row r="761" spans="1:7">
      <c r="A761" s="884">
        <v>45108</v>
      </c>
      <c r="B761" s="240" t="str">
        <f>TiposLancamentos!B15</f>
        <v>Cartões de Crédito</v>
      </c>
      <c r="C761" s="878" t="s">
        <v>1874</v>
      </c>
      <c r="D761" s="63">
        <v>1112.06</v>
      </c>
      <c r="E761" s="231"/>
      <c r="F761" s="899">
        <f>F760-F751</f>
        <v>132.58999999999992</v>
      </c>
      <c r="G761" s="1152" t="s">
        <v>9</v>
      </c>
    </row>
    <row r="762" spans="1:7">
      <c r="A762" s="884">
        <v>45111</v>
      </c>
      <c r="B762" s="240" t="str">
        <f>TiposLancamentos!B16</f>
        <v>Cristiane</v>
      </c>
      <c r="C762" s="878" t="s">
        <v>15690</v>
      </c>
      <c r="D762" s="63"/>
      <c r="E762" s="231">
        <v>11.25</v>
      </c>
      <c r="F762" s="899"/>
      <c r="G762" s="1152" t="s">
        <v>9</v>
      </c>
    </row>
    <row r="763" spans="1:7">
      <c r="A763" s="884">
        <v>45112</v>
      </c>
      <c r="B763" s="240" t="str">
        <f>TiposLancamentos!B39</f>
        <v>Playstation 5</v>
      </c>
      <c r="C763" s="878" t="s">
        <v>15691</v>
      </c>
      <c r="D763" s="63"/>
      <c r="E763" s="231">
        <f>F763/10</f>
        <v>479.98999999999995</v>
      </c>
      <c r="F763" s="899">
        <v>4799.8999999999996</v>
      </c>
      <c r="G763" s="1152" t="s">
        <v>9</v>
      </c>
    </row>
    <row r="764" spans="1:7">
      <c r="A764" s="884">
        <v>45118</v>
      </c>
      <c r="B764" s="240" t="str">
        <f>TiposLancamentos!B59</f>
        <v>Documentos</v>
      </c>
      <c r="C764" s="878" t="s">
        <v>15692</v>
      </c>
      <c r="D764" s="63"/>
      <c r="E764" s="231">
        <v>325</v>
      </c>
      <c r="F764" s="899">
        <v>1300</v>
      </c>
      <c r="G764" s="1152" t="s">
        <v>9</v>
      </c>
    </row>
    <row r="765" spans="1:7">
      <c r="A765" s="884">
        <v>45122</v>
      </c>
      <c r="B765" s="240" t="str">
        <f>TiposLancamentos!B16</f>
        <v>Cristiane</v>
      </c>
      <c r="C765" s="878" t="s">
        <v>15693</v>
      </c>
      <c r="D765" s="63"/>
      <c r="E765" s="231">
        <v>12.91</v>
      </c>
      <c r="F765" s="899"/>
      <c r="G765" s="1152" t="s">
        <v>9</v>
      </c>
    </row>
    <row r="766" spans="1:7">
      <c r="A766" s="884">
        <v>45123</v>
      </c>
      <c r="B766" s="240" t="str">
        <f>TiposLancamentos!B16</f>
        <v>Cristiane</v>
      </c>
      <c r="C766" s="878" t="s">
        <v>15694</v>
      </c>
      <c r="D766" s="63"/>
      <c r="E766" s="231">
        <v>8.9499999999999993</v>
      </c>
      <c r="F766" s="899"/>
      <c r="G766" s="1152" t="s">
        <v>9</v>
      </c>
    </row>
    <row r="767" spans="1:7">
      <c r="A767" s="884">
        <v>45126</v>
      </c>
      <c r="B767" s="240" t="str">
        <f>TiposLancamentos!B16</f>
        <v>Cristiane</v>
      </c>
      <c r="C767" s="878" t="s">
        <v>12161</v>
      </c>
      <c r="D767" s="63"/>
      <c r="E767" s="231">
        <v>9.92</v>
      </c>
      <c r="F767" s="899"/>
      <c r="G767" s="1152" t="s">
        <v>9</v>
      </c>
    </row>
    <row r="768" spans="1:7">
      <c r="A768" s="884">
        <v>45130</v>
      </c>
      <c r="B768" s="240" t="str">
        <f>TiposLancamentos!B45</f>
        <v>Online Services</v>
      </c>
      <c r="C768" s="878" t="s">
        <v>1876</v>
      </c>
      <c r="D768" s="63"/>
      <c r="E768" s="231">
        <v>3.5</v>
      </c>
      <c r="F768" s="899"/>
      <c r="G768" s="1152" t="s">
        <v>9</v>
      </c>
    </row>
    <row r="769" spans="1:7">
      <c r="A769" s="884">
        <v>45131</v>
      </c>
      <c r="B769" s="240" t="str">
        <f>TiposLancamentos!B4</f>
        <v>Taxas Bancarias</v>
      </c>
      <c r="C769" s="878" t="s">
        <v>15568</v>
      </c>
      <c r="D769" s="63"/>
      <c r="E769" s="231">
        <v>6.99</v>
      </c>
      <c r="F769" s="899"/>
      <c r="G769" s="1152" t="s">
        <v>9</v>
      </c>
    </row>
    <row r="770" spans="1:7">
      <c r="A770" s="934"/>
      <c r="B770" s="243"/>
      <c r="C770" s="389" t="s">
        <v>10</v>
      </c>
      <c r="D770" s="146"/>
      <c r="E770" s="1190"/>
      <c r="F770" s="935"/>
      <c r="G770" s="1094" t="s">
        <v>11</v>
      </c>
    </row>
    <row r="771" spans="1:7">
      <c r="A771" s="884">
        <v>45130</v>
      </c>
      <c r="B771" s="240" t="str">
        <f>TiposLancamentos!B34</f>
        <v>Seguros</v>
      </c>
      <c r="C771" s="878" t="s">
        <v>15695</v>
      </c>
      <c r="D771" s="63"/>
      <c r="E771" s="231">
        <v>283.89999999999998</v>
      </c>
      <c r="F771" s="899"/>
      <c r="G771" s="1094" t="s">
        <v>11</v>
      </c>
    </row>
    <row r="772" spans="1:7" ht="14.25" thickBot="1">
      <c r="A772" s="884">
        <v>45135</v>
      </c>
      <c r="B772" s="240" t="str">
        <f>TiposLancamentos!B45</f>
        <v>Online Services</v>
      </c>
      <c r="C772" s="878" t="s">
        <v>1894</v>
      </c>
      <c r="D772" s="63"/>
      <c r="E772" s="231">
        <v>39.9</v>
      </c>
      <c r="F772" s="899"/>
      <c r="G772" s="1152" t="s">
        <v>9</v>
      </c>
    </row>
    <row r="773" spans="1:7">
      <c r="A773" s="1032"/>
      <c r="B773" s="1230"/>
      <c r="C773" s="1092" t="s">
        <v>15696</v>
      </c>
      <c r="D773" s="896"/>
      <c r="E773" s="925"/>
      <c r="F773" s="1034">
        <f>SUM(E756:E770)</f>
        <v>910.18</v>
      </c>
      <c r="G773" s="3"/>
    </row>
    <row r="774" spans="1:7">
      <c r="A774" s="884">
        <v>45139</v>
      </c>
      <c r="B774" s="240" t="str">
        <f>TiposLancamentos!B15</f>
        <v>Cartões de Crédito</v>
      </c>
      <c r="C774" s="878" t="s">
        <v>1874</v>
      </c>
      <c r="D774" s="63">
        <v>910.18</v>
      </c>
      <c r="E774" s="231"/>
      <c r="F774" s="899">
        <f>F773-F760</f>
        <v>-201.88</v>
      </c>
      <c r="G774" s="1152" t="s">
        <v>9</v>
      </c>
    </row>
    <row r="775" spans="1:7">
      <c r="A775" s="884">
        <v>45143</v>
      </c>
      <c r="B775" s="240" t="str">
        <f>TiposLancamentos!B16</f>
        <v>Cristiane</v>
      </c>
      <c r="C775" s="878" t="s">
        <v>12161</v>
      </c>
      <c r="D775" s="63"/>
      <c r="E775" s="231">
        <v>12.9</v>
      </c>
      <c r="F775" s="899"/>
      <c r="G775" s="1152" t="s">
        <v>9</v>
      </c>
    </row>
    <row r="776" spans="1:7">
      <c r="A776" s="884">
        <v>45143</v>
      </c>
      <c r="B776" s="240" t="str">
        <f>TiposLancamentos!B16</f>
        <v>Cristiane</v>
      </c>
      <c r="C776" s="878" t="s">
        <v>12161</v>
      </c>
      <c r="D776" s="63"/>
      <c r="E776" s="231">
        <v>25.38</v>
      </c>
      <c r="F776" s="899"/>
      <c r="G776" s="1152" t="s">
        <v>9</v>
      </c>
    </row>
    <row r="777" spans="1:7">
      <c r="A777" s="884">
        <v>45143</v>
      </c>
      <c r="B777" s="240" t="str">
        <f>TiposLancamentos!B16</f>
        <v>Cristiane</v>
      </c>
      <c r="C777" s="878" t="s">
        <v>12161</v>
      </c>
      <c r="D777" s="63"/>
      <c r="E777" s="231">
        <v>10.95</v>
      </c>
      <c r="F777" s="899"/>
      <c r="G777" s="1152" t="s">
        <v>9</v>
      </c>
    </row>
    <row r="778" spans="1:7">
      <c r="A778" s="884">
        <v>45143</v>
      </c>
      <c r="B778" s="240" t="str">
        <f>TiposLancamentos!B16</f>
        <v>Cristiane</v>
      </c>
      <c r="C778" s="878" t="s">
        <v>12161</v>
      </c>
      <c r="D778" s="63"/>
      <c r="E778" s="231">
        <v>10.91</v>
      </c>
      <c r="F778" s="899"/>
      <c r="G778" s="1152" t="s">
        <v>9</v>
      </c>
    </row>
    <row r="779" spans="1:7">
      <c r="A779" s="884">
        <v>45143</v>
      </c>
      <c r="B779" s="240" t="str">
        <f>TiposLancamentos!B39</f>
        <v>Playstation 5</v>
      </c>
      <c r="C779" s="878" t="s">
        <v>15697</v>
      </c>
      <c r="D779" s="63"/>
      <c r="E779" s="231">
        <f>F779/10</f>
        <v>479.98999999999995</v>
      </c>
      <c r="F779" s="899">
        <v>4799.8999999999996</v>
      </c>
      <c r="G779" s="1152" t="s">
        <v>9</v>
      </c>
    </row>
    <row r="780" spans="1:7">
      <c r="A780" s="884">
        <v>45143</v>
      </c>
      <c r="B780" s="240" t="str">
        <f>TiposLancamentos!B16</f>
        <v>Cristiane</v>
      </c>
      <c r="C780" s="878" t="s">
        <v>12161</v>
      </c>
      <c r="D780" s="63"/>
      <c r="E780" s="231">
        <v>19.97</v>
      </c>
      <c r="F780" s="899"/>
      <c r="G780" s="1152" t="s">
        <v>9</v>
      </c>
    </row>
    <row r="781" spans="1:7">
      <c r="A781" s="884">
        <v>45143</v>
      </c>
      <c r="B781" s="240" t="str">
        <f>TiposLancamentos!B16</f>
        <v>Cristiane</v>
      </c>
      <c r="C781" s="878" t="s">
        <v>12161</v>
      </c>
      <c r="D781" s="63"/>
      <c r="E781" s="231">
        <v>14.97</v>
      </c>
      <c r="F781" s="899"/>
      <c r="G781" s="1152" t="s">
        <v>9</v>
      </c>
    </row>
    <row r="782" spans="1:7">
      <c r="A782" s="884">
        <v>45144</v>
      </c>
      <c r="B782" s="240" t="str">
        <f>TiposLancamentos!B16</f>
        <v>Cristiane</v>
      </c>
      <c r="C782" s="878" t="s">
        <v>12161</v>
      </c>
      <c r="D782" s="63"/>
      <c r="E782" s="231">
        <v>10.9</v>
      </c>
      <c r="F782" s="899"/>
      <c r="G782" s="1152" t="s">
        <v>9</v>
      </c>
    </row>
    <row r="783" spans="1:7">
      <c r="A783" s="884">
        <v>45144</v>
      </c>
      <c r="B783" s="240" t="str">
        <f>TiposLancamentos!B16</f>
        <v>Cristiane</v>
      </c>
      <c r="C783" s="878" t="s">
        <v>12161</v>
      </c>
      <c r="D783" s="63"/>
      <c r="E783" s="231">
        <v>30.9</v>
      </c>
      <c r="F783" s="899"/>
      <c r="G783" s="1152" t="s">
        <v>9</v>
      </c>
    </row>
    <row r="784" spans="1:7">
      <c r="A784" s="884">
        <v>45145</v>
      </c>
      <c r="B784" s="240" t="str">
        <f>TiposLancamentos!B16</f>
        <v>Cristiane</v>
      </c>
      <c r="C784" s="878" t="s">
        <v>12161</v>
      </c>
      <c r="D784" s="63"/>
      <c r="E784" s="231">
        <v>19.91</v>
      </c>
      <c r="F784" s="899"/>
      <c r="G784" s="1152" t="s">
        <v>9</v>
      </c>
    </row>
    <row r="785" spans="1:7">
      <c r="A785" s="884">
        <v>45161</v>
      </c>
      <c r="B785" s="240" t="str">
        <f>TiposLancamentos!B45</f>
        <v>Online Services</v>
      </c>
      <c r="C785" s="878" t="s">
        <v>1876</v>
      </c>
      <c r="D785" s="63"/>
      <c r="E785" s="231">
        <v>4.9000000000000004</v>
      </c>
      <c r="F785" s="899"/>
      <c r="G785" s="1152" t="s">
        <v>9</v>
      </c>
    </row>
    <row r="786" spans="1:7">
      <c r="A786" s="884">
        <v>45161</v>
      </c>
      <c r="B786" s="240" t="str">
        <f>TiposLancamentos!B16</f>
        <v>Cristiane</v>
      </c>
      <c r="C786" s="878" t="s">
        <v>12161</v>
      </c>
      <c r="D786" s="63"/>
      <c r="E786" s="231">
        <v>6.92</v>
      </c>
      <c r="F786" s="899"/>
      <c r="G786" s="1152" t="s">
        <v>9</v>
      </c>
    </row>
    <row r="787" spans="1:7">
      <c r="A787" s="884">
        <v>45161</v>
      </c>
      <c r="B787" s="240" t="str">
        <f>TiposLancamentos!B16</f>
        <v>Cristiane</v>
      </c>
      <c r="C787" s="878" t="s">
        <v>12161</v>
      </c>
      <c r="D787" s="63"/>
      <c r="E787" s="231">
        <v>10.93</v>
      </c>
      <c r="F787" s="899"/>
      <c r="G787" s="1152" t="s">
        <v>9</v>
      </c>
    </row>
    <row r="788" spans="1:7">
      <c r="A788" s="884">
        <v>45161</v>
      </c>
      <c r="B788" s="240" t="str">
        <f>TiposLancamentos!B16</f>
        <v>Cristiane</v>
      </c>
      <c r="C788" s="878" t="s">
        <v>12161</v>
      </c>
      <c r="D788" s="63"/>
      <c r="E788" s="231">
        <v>10.97</v>
      </c>
      <c r="F788" s="899"/>
      <c r="G788" s="1152" t="s">
        <v>9</v>
      </c>
    </row>
    <row r="789" spans="1:7">
      <c r="A789" s="884">
        <v>45162</v>
      </c>
      <c r="B789" s="240" t="str">
        <f>TiposLancamentos!B4</f>
        <v>Taxas Bancarias</v>
      </c>
      <c r="C789" s="878" t="s">
        <v>15568</v>
      </c>
      <c r="D789" s="63"/>
      <c r="E789" s="231">
        <v>6.99</v>
      </c>
      <c r="F789" s="899"/>
      <c r="G789" s="1152" t="s">
        <v>9</v>
      </c>
    </row>
    <row r="790" spans="1:7">
      <c r="A790" s="934"/>
      <c r="B790" s="243"/>
      <c r="C790" s="389" t="s">
        <v>10</v>
      </c>
      <c r="D790" s="146"/>
      <c r="E790" s="1190"/>
      <c r="F790" s="935"/>
      <c r="G790" s="1094" t="s">
        <v>11</v>
      </c>
    </row>
    <row r="791" spans="1:7" ht="14.25" thickBot="1">
      <c r="A791" s="884">
        <v>45166</v>
      </c>
      <c r="B791" s="240" t="str">
        <f>TiposLancamentos!B45</f>
        <v>Online Services</v>
      </c>
      <c r="C791" s="878" t="s">
        <v>1894</v>
      </c>
      <c r="D791" s="63"/>
      <c r="E791" s="231">
        <v>39.9</v>
      </c>
      <c r="F791" s="899"/>
      <c r="G791" s="1152" t="s">
        <v>9</v>
      </c>
    </row>
    <row r="792" spans="1:7">
      <c r="A792" s="1032"/>
      <c r="B792" s="1230"/>
      <c r="C792" s="1092" t="s">
        <v>15698</v>
      </c>
      <c r="D792" s="896"/>
      <c r="E792" s="925"/>
      <c r="F792" s="1034">
        <f>SUM(E770:E790)</f>
        <v>1001.2899999999997</v>
      </c>
      <c r="G792" s="3"/>
    </row>
    <row r="793" spans="1:7">
      <c r="A793" s="884">
        <v>45170</v>
      </c>
      <c r="B793" s="240" t="str">
        <f>TiposLancamentos!B15</f>
        <v>Cartões de Crédito</v>
      </c>
      <c r="C793" s="878" t="s">
        <v>1874</v>
      </c>
      <c r="D793" s="63">
        <v>1001.29</v>
      </c>
      <c r="E793" s="231"/>
      <c r="F793" s="899">
        <f>F792-F773</f>
        <v>91.109999999999786</v>
      </c>
      <c r="G793" s="1152" t="s">
        <v>9</v>
      </c>
    </row>
    <row r="794" spans="1:7">
      <c r="A794" s="884">
        <v>45171</v>
      </c>
      <c r="B794" s="240" t="str">
        <f>TiposLancamentos!B34</f>
        <v>Seguros</v>
      </c>
      <c r="C794" s="878" t="s">
        <v>15699</v>
      </c>
      <c r="D794" s="63"/>
      <c r="E794" s="231">
        <v>367.57</v>
      </c>
      <c r="F794" s="899"/>
      <c r="G794" s="1152" t="s">
        <v>9</v>
      </c>
    </row>
    <row r="795" spans="1:7">
      <c r="A795" s="884">
        <v>45174</v>
      </c>
      <c r="B795" s="240" t="str">
        <f>TiposLancamentos!B39</f>
        <v>Playstation 5</v>
      </c>
      <c r="C795" s="878" t="s">
        <v>15700</v>
      </c>
      <c r="D795" s="63"/>
      <c r="E795" s="231">
        <f>F795/10</f>
        <v>479.98999999999995</v>
      </c>
      <c r="F795" s="899">
        <v>4799.8999999999996</v>
      </c>
      <c r="G795" s="1152" t="s">
        <v>9</v>
      </c>
    </row>
    <row r="796" spans="1:7">
      <c r="A796" s="884">
        <v>45174</v>
      </c>
      <c r="B796" s="240" t="str">
        <f>TiposLancamentos!B34</f>
        <v>Seguros</v>
      </c>
      <c r="C796" s="878" t="s">
        <v>15701</v>
      </c>
      <c r="D796" s="63"/>
      <c r="E796" s="231">
        <v>283.89999999999998</v>
      </c>
      <c r="F796" s="899"/>
      <c r="G796" s="1152" t="s">
        <v>9</v>
      </c>
    </row>
    <row r="797" spans="1:7">
      <c r="A797" s="884">
        <v>45181</v>
      </c>
      <c r="B797" s="240" t="str">
        <f>TiposLancamentos!B16</f>
        <v>Cristiane</v>
      </c>
      <c r="C797" s="878" t="s">
        <v>2155</v>
      </c>
      <c r="D797" s="63"/>
      <c r="E797" s="231">
        <v>9.98</v>
      </c>
      <c r="F797" s="899"/>
      <c r="G797" s="1152" t="s">
        <v>9</v>
      </c>
    </row>
    <row r="798" spans="1:7">
      <c r="A798" s="884">
        <v>45181</v>
      </c>
      <c r="B798" s="240" t="str">
        <f>TiposLancamentos!B16</f>
        <v>Cristiane</v>
      </c>
      <c r="C798" s="878" t="s">
        <v>15702</v>
      </c>
      <c r="D798" s="63"/>
      <c r="E798" s="231">
        <v>14.91</v>
      </c>
      <c r="F798" s="899"/>
      <c r="G798" s="1152" t="s">
        <v>9</v>
      </c>
    </row>
    <row r="799" spans="1:7">
      <c r="A799" s="884">
        <v>45181</v>
      </c>
      <c r="B799" s="240" t="str">
        <f>TiposLancamentos!B16</f>
        <v>Cristiane</v>
      </c>
      <c r="C799" s="878" t="s">
        <v>15703</v>
      </c>
      <c r="D799" s="63"/>
      <c r="E799" s="231">
        <v>17.899999999999999</v>
      </c>
      <c r="F799" s="899"/>
      <c r="G799" s="1152" t="s">
        <v>9</v>
      </c>
    </row>
    <row r="800" spans="1:7">
      <c r="A800" s="884">
        <v>45188</v>
      </c>
      <c r="B800" s="240" t="str">
        <f>TiposLancamentos!B16</f>
        <v>Cristiane</v>
      </c>
      <c r="C800" s="878" t="s">
        <v>2155</v>
      </c>
      <c r="D800" s="63"/>
      <c r="E800" s="231">
        <v>10.94</v>
      </c>
      <c r="F800" s="899"/>
      <c r="G800" s="1152" t="s">
        <v>9</v>
      </c>
    </row>
    <row r="801" spans="1:7">
      <c r="A801" s="884">
        <v>45191</v>
      </c>
      <c r="B801" s="240" t="str">
        <f>TiposLancamentos!B16</f>
        <v>Cristiane</v>
      </c>
      <c r="C801" s="878" t="s">
        <v>15704</v>
      </c>
      <c r="D801" s="63"/>
      <c r="E801" s="231">
        <v>11.03</v>
      </c>
      <c r="F801" s="899"/>
      <c r="G801" s="1152" t="s">
        <v>9</v>
      </c>
    </row>
    <row r="802" spans="1:7">
      <c r="A802" s="884">
        <v>45193</v>
      </c>
      <c r="B802" s="240" t="str">
        <f>TiposLancamentos!B4</f>
        <v>Taxas Bancarias</v>
      </c>
      <c r="C802" s="878" t="s">
        <v>15568</v>
      </c>
      <c r="D802" s="63"/>
      <c r="E802" s="231">
        <v>6.99</v>
      </c>
      <c r="F802" s="899"/>
      <c r="G802" s="1152" t="s">
        <v>9</v>
      </c>
    </row>
    <row r="803" spans="1:7">
      <c r="A803" s="934"/>
      <c r="B803" s="243"/>
      <c r="C803" s="389" t="s">
        <v>10</v>
      </c>
      <c r="D803" s="146"/>
      <c r="E803" s="1190"/>
      <c r="F803" s="935"/>
      <c r="G803" s="1094" t="s">
        <v>11</v>
      </c>
    </row>
    <row r="804" spans="1:7">
      <c r="A804" s="884">
        <v>45192</v>
      </c>
      <c r="B804" s="240" t="str">
        <f>TiposLancamentos!B45</f>
        <v>Online Services</v>
      </c>
      <c r="C804" s="878" t="s">
        <v>1876</v>
      </c>
      <c r="D804" s="63"/>
      <c r="E804" s="231">
        <v>4.9000000000000004</v>
      </c>
      <c r="F804" s="899"/>
      <c r="G804" s="1152" t="s">
        <v>9</v>
      </c>
    </row>
    <row r="805" spans="1:7">
      <c r="A805" s="884">
        <v>45196</v>
      </c>
      <c r="B805" s="240" t="str">
        <f>TiposLancamentos!B16</f>
        <v>Cristiane</v>
      </c>
      <c r="C805" s="878" t="s">
        <v>12161</v>
      </c>
      <c r="D805" s="63"/>
      <c r="E805" s="231">
        <v>10.9</v>
      </c>
      <c r="F805" s="899"/>
      <c r="G805" s="1152" t="s">
        <v>9</v>
      </c>
    </row>
    <row r="806" spans="1:7">
      <c r="A806" s="884">
        <v>45197</v>
      </c>
      <c r="B806" s="240" t="str">
        <f>TiposLancamentos!B45</f>
        <v>Online Services</v>
      </c>
      <c r="C806" s="878" t="s">
        <v>1894</v>
      </c>
      <c r="D806" s="63"/>
      <c r="E806" s="231">
        <v>39.9</v>
      </c>
      <c r="F806" s="899"/>
      <c r="G806" s="1152" t="s">
        <v>9</v>
      </c>
    </row>
    <row r="807" spans="1:7">
      <c r="A807" s="884">
        <v>45199</v>
      </c>
      <c r="B807" s="240" t="str">
        <f>TiposLancamentos!B22</f>
        <v>Combustivel</v>
      </c>
      <c r="C807" s="878" t="s">
        <v>15705</v>
      </c>
      <c r="D807" s="63"/>
      <c r="E807" s="231">
        <v>120</v>
      </c>
      <c r="F807" s="899"/>
      <c r="G807" s="1152" t="s">
        <v>9</v>
      </c>
    </row>
    <row r="808" spans="1:7">
      <c r="A808" s="884">
        <v>45199</v>
      </c>
      <c r="B808" s="240" t="str">
        <f>TiposLancamentos!B5</f>
        <v>Supermercado</v>
      </c>
      <c r="C808" s="878" t="s">
        <v>7538</v>
      </c>
      <c r="D808" s="63"/>
      <c r="E808" s="231">
        <v>297.25</v>
      </c>
      <c r="F808" s="899"/>
      <c r="G808" s="1152" t="s">
        <v>9</v>
      </c>
    </row>
    <row r="809" spans="1:7" ht="14.25" thickBot="1">
      <c r="A809" s="884">
        <v>45199</v>
      </c>
      <c r="B809" s="240" t="str">
        <f>TiposLancamentos!B16</f>
        <v>Cristiane</v>
      </c>
      <c r="C809" s="878" t="s">
        <v>12161</v>
      </c>
      <c r="D809" s="63"/>
      <c r="E809" s="231">
        <v>11.98</v>
      </c>
      <c r="F809" s="899"/>
      <c r="G809" s="1152" t="s">
        <v>9</v>
      </c>
    </row>
    <row r="810" spans="1:7">
      <c r="A810" s="1032"/>
      <c r="B810" s="1230"/>
      <c r="C810" s="1092" t="s">
        <v>15706</v>
      </c>
      <c r="D810" s="896"/>
      <c r="E810" s="925"/>
      <c r="F810" s="1034">
        <f>SUM(E790:E803)</f>
        <v>1243.1100000000001</v>
      </c>
      <c r="G810" s="3"/>
    </row>
    <row r="811" spans="1:7">
      <c r="A811" s="884">
        <v>45200</v>
      </c>
      <c r="B811" s="240" t="str">
        <f>TiposLancamentos!B15</f>
        <v>Cartões de Crédito</v>
      </c>
      <c r="C811" s="878" t="s">
        <v>1874</v>
      </c>
      <c r="D811" s="63">
        <v>1243.1099999999999</v>
      </c>
      <c r="E811" s="231"/>
      <c r="F811" s="899">
        <f>F810-F792</f>
        <v>241.82000000000039</v>
      </c>
      <c r="G811" s="3"/>
    </row>
    <row r="812" spans="1:7">
      <c r="A812" s="884">
        <v>45201</v>
      </c>
      <c r="B812" s="240" t="str">
        <f>TiposLancamentos!B34</f>
        <v>Seguros</v>
      </c>
      <c r="C812" s="878" t="s">
        <v>15707</v>
      </c>
      <c r="D812" s="63"/>
      <c r="E812" s="231">
        <v>367.57</v>
      </c>
      <c r="F812" s="899"/>
      <c r="G812" s="1152" t="s">
        <v>9</v>
      </c>
    </row>
    <row r="813" spans="1:7">
      <c r="A813" s="884">
        <v>45202</v>
      </c>
      <c r="B813" s="240" t="str">
        <f>TiposLancamentos!B16</f>
        <v>Cristiane</v>
      </c>
      <c r="C813" s="878" t="s">
        <v>15708</v>
      </c>
      <c r="D813" s="63"/>
      <c r="E813" s="231">
        <v>46.96</v>
      </c>
      <c r="F813" s="899"/>
      <c r="G813" s="1152" t="s">
        <v>9</v>
      </c>
    </row>
    <row r="814" spans="1:7">
      <c r="A814" s="884">
        <v>45204</v>
      </c>
      <c r="B814" s="240" t="str">
        <f>TiposLancamentos!B34</f>
        <v>Seguros</v>
      </c>
      <c r="C814" s="878" t="s">
        <v>15709</v>
      </c>
      <c r="D814" s="63"/>
      <c r="E814" s="231">
        <v>283.89999999999998</v>
      </c>
      <c r="F814" s="899"/>
      <c r="G814" s="1152" t="s">
        <v>9</v>
      </c>
    </row>
    <row r="815" spans="1:7">
      <c r="A815" s="884">
        <v>45207</v>
      </c>
      <c r="B815" s="240" t="str">
        <f>TiposLancamentos!B19</f>
        <v>Restaurantes</v>
      </c>
      <c r="C815" s="878" t="s">
        <v>15710</v>
      </c>
      <c r="D815" s="63"/>
      <c r="E815" s="231">
        <v>72.900000000000006</v>
      </c>
      <c r="F815" s="899"/>
      <c r="G815" s="1152" t="s">
        <v>9</v>
      </c>
    </row>
    <row r="816" spans="1:7">
      <c r="A816" s="884">
        <v>45214</v>
      </c>
      <c r="B816" s="240" t="str">
        <f>TiposLancamentos!B57</f>
        <v>Informática</v>
      </c>
      <c r="C816" s="878" t="s">
        <v>15711</v>
      </c>
      <c r="D816" s="63"/>
      <c r="E816" s="231">
        <v>49.9</v>
      </c>
      <c r="F816" s="899"/>
      <c r="G816" s="1152" t="s">
        <v>9</v>
      </c>
    </row>
    <row r="817" spans="1:7">
      <c r="A817" s="884">
        <v>45220</v>
      </c>
      <c r="B817" s="240" t="str">
        <f>TiposLancamentos!B16</f>
        <v>Cristiane</v>
      </c>
      <c r="C817" s="878" t="s">
        <v>12161</v>
      </c>
      <c r="D817" s="63"/>
      <c r="E817" s="231">
        <v>10.97</v>
      </c>
      <c r="F817" s="899"/>
      <c r="G817" s="1152" t="s">
        <v>9</v>
      </c>
    </row>
    <row r="818" spans="1:7">
      <c r="A818" s="884">
        <v>45220</v>
      </c>
      <c r="B818" s="240" t="str">
        <f>TiposLancamentos!B16</f>
        <v>Cristiane</v>
      </c>
      <c r="C818" s="878" t="s">
        <v>12161</v>
      </c>
      <c r="D818" s="63"/>
      <c r="E818" s="231">
        <v>11.95</v>
      </c>
      <c r="F818" s="899"/>
      <c r="G818" s="1152" t="s">
        <v>9</v>
      </c>
    </row>
    <row r="819" spans="1:7">
      <c r="A819" s="884">
        <v>45222</v>
      </c>
      <c r="B819" s="240" t="str">
        <f>TiposLancamentos!B45</f>
        <v>Online Services</v>
      </c>
      <c r="C819" s="878" t="s">
        <v>1876</v>
      </c>
      <c r="D819" s="63"/>
      <c r="E819" s="231">
        <v>4.9000000000000004</v>
      </c>
      <c r="F819" s="899"/>
      <c r="G819" s="1152" t="s">
        <v>9</v>
      </c>
    </row>
    <row r="820" spans="1:7">
      <c r="A820" s="884">
        <v>45223</v>
      </c>
      <c r="B820" s="240" t="str">
        <f>TiposLancamentos!B4</f>
        <v>Taxas Bancarias</v>
      </c>
      <c r="C820" s="878" t="s">
        <v>15568</v>
      </c>
      <c r="D820" s="63"/>
      <c r="E820" s="231">
        <v>7.49</v>
      </c>
      <c r="F820" s="899"/>
      <c r="G820" s="1152" t="s">
        <v>9</v>
      </c>
    </row>
    <row r="821" spans="1:7">
      <c r="A821" s="934"/>
      <c r="B821" s="243"/>
      <c r="C821" s="389" t="s">
        <v>10</v>
      </c>
      <c r="D821" s="146"/>
      <c r="E821" s="1190"/>
      <c r="F821" s="935"/>
      <c r="G821" s="1094" t="s">
        <v>11</v>
      </c>
    </row>
    <row r="822" spans="1:7">
      <c r="A822" s="884">
        <v>45224</v>
      </c>
      <c r="B822" s="240" t="str">
        <f>TiposLancamentos!B16</f>
        <v>Cristiane</v>
      </c>
      <c r="C822" s="878" t="s">
        <v>12161</v>
      </c>
      <c r="D822" s="63"/>
      <c r="E822" s="231">
        <v>22.98</v>
      </c>
      <c r="F822" s="899"/>
      <c r="G822" s="1152" t="s">
        <v>9</v>
      </c>
    </row>
    <row r="823" spans="1:7">
      <c r="A823" s="884">
        <v>45224</v>
      </c>
      <c r="B823" s="240" t="str">
        <f>TiposLancamentos!B16</f>
        <v>Cristiane</v>
      </c>
      <c r="C823" s="878" t="s">
        <v>12161</v>
      </c>
      <c r="D823" s="63"/>
      <c r="E823" s="231">
        <v>7.74</v>
      </c>
      <c r="F823" s="899"/>
      <c r="G823" s="1152" t="s">
        <v>9</v>
      </c>
    </row>
    <row r="824" spans="1:7">
      <c r="A824" s="884">
        <v>45227</v>
      </c>
      <c r="B824" s="240" t="str">
        <f>TiposLancamentos!B16</f>
        <v>Cristiane</v>
      </c>
      <c r="C824" s="878" t="s">
        <v>15712</v>
      </c>
      <c r="D824" s="63"/>
      <c r="E824" s="231">
        <v>130.57</v>
      </c>
      <c r="F824" s="899"/>
      <c r="G824" s="1152" t="s">
        <v>9</v>
      </c>
    </row>
    <row r="825" spans="1:7">
      <c r="A825" s="884">
        <v>45227</v>
      </c>
      <c r="B825" s="240" t="str">
        <f>TiposLancamentos!B45</f>
        <v>Online Services</v>
      </c>
      <c r="C825" s="878" t="s">
        <v>1894</v>
      </c>
      <c r="D825" s="63"/>
      <c r="E825" s="231">
        <v>39.9</v>
      </c>
      <c r="F825" s="899"/>
      <c r="G825" s="1152" t="s">
        <v>9</v>
      </c>
    </row>
    <row r="826" spans="1:7" ht="14.25" thickBot="1">
      <c r="A826" s="884">
        <v>45229</v>
      </c>
      <c r="B826" s="240" t="str">
        <f>TiposLancamentos!B17</f>
        <v>GATO</v>
      </c>
      <c r="C826" s="878" t="s">
        <v>15713</v>
      </c>
      <c r="D826" s="63"/>
      <c r="E826" s="231">
        <v>172.45</v>
      </c>
      <c r="F826" s="899"/>
      <c r="G826" s="1152" t="s">
        <v>9</v>
      </c>
    </row>
    <row r="827" spans="1:7">
      <c r="A827" s="1032"/>
      <c r="B827" s="1230"/>
      <c r="C827" s="1092" t="s">
        <v>15714</v>
      </c>
      <c r="D827" s="896"/>
      <c r="E827" s="925"/>
      <c r="F827" s="1034">
        <f>SUM(E803:E821)</f>
        <v>1341.4700000000005</v>
      </c>
      <c r="G827" s="3"/>
    </row>
    <row r="828" spans="1:7">
      <c r="A828" s="884">
        <v>45231</v>
      </c>
      <c r="B828" s="240" t="str">
        <f>TiposLancamentos!B15</f>
        <v>Cartões de Crédito</v>
      </c>
      <c r="C828" s="878" t="s">
        <v>1874</v>
      </c>
      <c r="D828" s="63">
        <v>1341.47</v>
      </c>
      <c r="E828" s="231"/>
      <c r="F828" s="899">
        <f>F827-F810</f>
        <v>98.360000000000355</v>
      </c>
      <c r="G828" s="1152" t="s">
        <v>9</v>
      </c>
    </row>
    <row r="829" spans="1:7">
      <c r="A829" s="884">
        <v>45236</v>
      </c>
      <c r="B829" s="240" t="str">
        <f>TiposLancamentos!B34</f>
        <v>Seguros</v>
      </c>
      <c r="C829" s="878" t="s">
        <v>15715</v>
      </c>
      <c r="D829" s="63"/>
      <c r="E829" s="231">
        <v>367.57</v>
      </c>
      <c r="F829" s="899"/>
      <c r="G829" s="1152" t="s">
        <v>9</v>
      </c>
    </row>
    <row r="830" spans="1:7">
      <c r="A830" s="884">
        <v>45236</v>
      </c>
      <c r="B830" s="240" t="str">
        <f>TiposLancamentos!B34</f>
        <v>Seguros</v>
      </c>
      <c r="C830" s="878" t="s">
        <v>15716</v>
      </c>
      <c r="D830" s="63"/>
      <c r="E830" s="231">
        <v>283.89999999999998</v>
      </c>
      <c r="F830" s="899"/>
      <c r="G830" s="1152" t="s">
        <v>9</v>
      </c>
    </row>
    <row r="831" spans="1:7">
      <c r="A831" s="884">
        <v>45240</v>
      </c>
      <c r="B831" s="240" t="str">
        <f>TiposLancamentos!B23</f>
        <v>P208 GRIFFE 1.6 AUT BUSINESS</v>
      </c>
      <c r="C831" s="878" t="s">
        <v>15717</v>
      </c>
      <c r="D831" s="63"/>
      <c r="E831" s="231">
        <v>521.51</v>
      </c>
      <c r="F831" s="899">
        <v>3129.01</v>
      </c>
      <c r="G831" s="1152" t="s">
        <v>9</v>
      </c>
    </row>
    <row r="832" spans="1:7">
      <c r="A832" s="884">
        <v>45209</v>
      </c>
      <c r="B832" s="240" t="str">
        <f>TiposLancamentos!B19</f>
        <v>Restaurantes</v>
      </c>
      <c r="C832" s="878" t="s">
        <v>1888</v>
      </c>
      <c r="D832" s="63"/>
      <c r="E832" s="231">
        <v>80.900000000000006</v>
      </c>
      <c r="F832" s="899"/>
      <c r="G832" s="1152" t="s">
        <v>9</v>
      </c>
    </row>
    <row r="833" spans="1:7">
      <c r="A833" s="884">
        <v>45214</v>
      </c>
      <c r="B833" s="240" t="str">
        <f>TiposLancamentos!B19</f>
        <v>Restaurantes</v>
      </c>
      <c r="C833" s="878" t="s">
        <v>15718</v>
      </c>
      <c r="D833" s="63"/>
      <c r="E833" s="231">
        <v>78.48</v>
      </c>
      <c r="F833" s="899"/>
      <c r="G833" s="1152" t="s">
        <v>9</v>
      </c>
    </row>
    <row r="834" spans="1:7">
      <c r="A834" s="884">
        <v>45252</v>
      </c>
      <c r="B834" s="240" t="str">
        <f>TiposLancamentos!B16</f>
        <v>Cristiane</v>
      </c>
      <c r="C834" s="878" t="s">
        <v>2155</v>
      </c>
      <c r="D834" s="63"/>
      <c r="E834" s="231">
        <v>25.06</v>
      </c>
      <c r="F834" s="899"/>
      <c r="G834" s="1152" t="s">
        <v>9</v>
      </c>
    </row>
    <row r="835" spans="1:7">
      <c r="A835" s="884">
        <v>45252</v>
      </c>
      <c r="B835" s="240" t="str">
        <f>TiposLancamentos!B16</f>
        <v>Cristiane</v>
      </c>
      <c r="C835" s="878" t="s">
        <v>2155</v>
      </c>
      <c r="D835" s="63"/>
      <c r="E835" s="231">
        <v>22.97</v>
      </c>
      <c r="F835" s="899"/>
      <c r="G835" s="1152" t="s">
        <v>9</v>
      </c>
    </row>
    <row r="836" spans="1:7">
      <c r="A836" s="884">
        <v>45254</v>
      </c>
      <c r="B836" s="240" t="str">
        <f>TiposLancamentos!B4</f>
        <v>Taxas Bancarias</v>
      </c>
      <c r="C836" s="878" t="s">
        <v>15568</v>
      </c>
      <c r="D836" s="63"/>
      <c r="E836" s="231">
        <v>7.49</v>
      </c>
      <c r="F836" s="899"/>
      <c r="G836" s="1152" t="s">
        <v>9</v>
      </c>
    </row>
    <row r="837" spans="1:7">
      <c r="A837" s="934"/>
      <c r="B837" s="243"/>
      <c r="C837" s="389" t="s">
        <v>10</v>
      </c>
      <c r="D837" s="146"/>
      <c r="E837" s="1190"/>
      <c r="F837" s="935"/>
      <c r="G837" s="1094" t="s">
        <v>11</v>
      </c>
    </row>
    <row r="838" spans="1:7">
      <c r="A838" s="884">
        <v>45255</v>
      </c>
      <c r="B838" s="240" t="str">
        <f>TiposLancamentos!B16</f>
        <v>Cristiane</v>
      </c>
      <c r="C838" s="878" t="s">
        <v>2155</v>
      </c>
      <c r="D838" s="63"/>
      <c r="E838" s="231">
        <v>11.92</v>
      </c>
      <c r="F838" s="899"/>
      <c r="G838" s="1152" t="s">
        <v>9</v>
      </c>
    </row>
    <row r="839" spans="1:7" ht="14.25" thickBot="1">
      <c r="A839" s="884"/>
      <c r="B839" s="240"/>
      <c r="C839" s="878" t="s">
        <v>1868</v>
      </c>
      <c r="D839" s="63"/>
      <c r="E839" s="231"/>
      <c r="F839" s="899"/>
      <c r="G839" s="3"/>
    </row>
    <row r="840" spans="1:7">
      <c r="A840" s="1032"/>
      <c r="B840" s="1230"/>
      <c r="C840" s="1092" t="s">
        <v>15719</v>
      </c>
      <c r="D840" s="896"/>
      <c r="E840" s="925"/>
      <c r="F840" s="1034">
        <f>SUM(E821:E837)</f>
        <v>1761.5200000000002</v>
      </c>
      <c r="G840" s="1152" t="s">
        <v>9</v>
      </c>
    </row>
    <row r="841" spans="1:7">
      <c r="A841" s="884">
        <v>45261</v>
      </c>
      <c r="B841" s="240" t="str">
        <f>TiposLancamentos!B15</f>
        <v>Cartões de Crédito</v>
      </c>
      <c r="C841" s="878" t="s">
        <v>1874</v>
      </c>
      <c r="D841" s="63">
        <v>1761.52</v>
      </c>
      <c r="E841" s="231"/>
      <c r="F841" s="899">
        <f>F840-F827</f>
        <v>420.04999999999973</v>
      </c>
      <c r="G841" s="1152" t="s">
        <v>9</v>
      </c>
    </row>
    <row r="842" spans="1:7">
      <c r="A842" s="884">
        <v>45265</v>
      </c>
      <c r="B842" s="240" t="str">
        <f>TiposLancamentos!B34</f>
        <v>Seguros</v>
      </c>
      <c r="C842" s="878" t="s">
        <v>15720</v>
      </c>
      <c r="D842" s="63"/>
      <c r="E842" s="231">
        <v>367.57</v>
      </c>
      <c r="F842" s="899"/>
      <c r="G842" s="1152" t="s">
        <v>9</v>
      </c>
    </row>
    <row r="843" spans="1:7">
      <c r="A843" s="884">
        <v>45265</v>
      </c>
      <c r="B843" s="240" t="str">
        <f>TiposLancamentos!B34</f>
        <v>Seguros</v>
      </c>
      <c r="C843" s="878" t="s">
        <v>15721</v>
      </c>
      <c r="D843" s="63"/>
      <c r="E843" s="231">
        <v>283.89999999999998</v>
      </c>
      <c r="F843" s="899"/>
      <c r="G843" s="1152" t="s">
        <v>9</v>
      </c>
    </row>
    <row r="844" spans="1:7">
      <c r="A844" s="884">
        <v>45265</v>
      </c>
      <c r="B844" s="240" t="str">
        <f>TiposLancamentos!B16</f>
        <v>Cristiane</v>
      </c>
      <c r="C844" s="878" t="s">
        <v>2155</v>
      </c>
      <c r="D844" s="63"/>
      <c r="E844" s="231">
        <v>12.93</v>
      </c>
      <c r="F844" s="899"/>
      <c r="G844" s="1152" t="s">
        <v>9</v>
      </c>
    </row>
    <row r="845" spans="1:7">
      <c r="A845" s="884">
        <v>45265</v>
      </c>
      <c r="B845" s="240" t="str">
        <f>TiposLancamentos!B16</f>
        <v>Cristiane</v>
      </c>
      <c r="C845" s="878" t="s">
        <v>2155</v>
      </c>
      <c r="D845" s="63"/>
      <c r="E845" s="231">
        <v>14.9</v>
      </c>
      <c r="F845" s="899"/>
      <c r="G845" s="1152" t="s">
        <v>9</v>
      </c>
    </row>
    <row r="846" spans="1:7">
      <c r="A846" s="884">
        <v>45270</v>
      </c>
      <c r="B846" s="240" t="str">
        <f>TiposLancamentos!B23</f>
        <v>P208 GRIFFE 1.6 AUT BUSINESS</v>
      </c>
      <c r="C846" s="878" t="s">
        <v>15722</v>
      </c>
      <c r="D846" s="63"/>
      <c r="E846" s="231">
        <v>521.51</v>
      </c>
      <c r="F846" s="899">
        <v>3129.01</v>
      </c>
      <c r="G846" s="1152" t="s">
        <v>9</v>
      </c>
    </row>
    <row r="847" spans="1:7">
      <c r="A847" s="884">
        <v>45270</v>
      </c>
      <c r="B847" s="240" t="str">
        <f>TiposLancamentos!B102</f>
        <v>ESTORNO</v>
      </c>
      <c r="C847" s="878" t="s">
        <v>15722</v>
      </c>
      <c r="D847" s="63">
        <v>0.05</v>
      </c>
      <c r="E847" s="231"/>
      <c r="F847" s="899"/>
      <c r="G847" s="1152" t="s">
        <v>9</v>
      </c>
    </row>
    <row r="848" spans="1:7" ht="13.15" customHeight="1">
      <c r="A848" s="884">
        <v>45278</v>
      </c>
      <c r="B848" s="240" t="str">
        <f>TiposLancamentos!B16</f>
        <v>Cristiane</v>
      </c>
      <c r="C848" s="878" t="s">
        <v>2155</v>
      </c>
      <c r="D848" s="63"/>
      <c r="E848" s="231">
        <v>13.99</v>
      </c>
      <c r="F848" s="899"/>
      <c r="G848" s="1152" t="s">
        <v>9</v>
      </c>
    </row>
    <row r="849" spans="1:7" ht="13.15" customHeight="1">
      <c r="A849" s="884">
        <v>45278</v>
      </c>
      <c r="B849" s="240" t="str">
        <f>TiposLancamentos!B16</f>
        <v>Cristiane</v>
      </c>
      <c r="C849" s="878" t="s">
        <v>12161</v>
      </c>
      <c r="D849" s="63"/>
      <c r="E849" s="231">
        <v>14.98</v>
      </c>
      <c r="F849" s="899"/>
      <c r="G849" s="1152" t="s">
        <v>9</v>
      </c>
    </row>
    <row r="850" spans="1:7">
      <c r="A850" s="884">
        <v>45284</v>
      </c>
      <c r="B850" s="240" t="str">
        <f>TiposLancamentos!B4</f>
        <v>Taxas Bancarias</v>
      </c>
      <c r="C850" s="878" t="s">
        <v>15568</v>
      </c>
      <c r="D850" s="63"/>
      <c r="E850" s="231">
        <v>7.49</v>
      </c>
      <c r="F850" s="899"/>
      <c r="G850" s="1152" t="s">
        <v>9</v>
      </c>
    </row>
    <row r="851" spans="1:7">
      <c r="A851" s="934"/>
      <c r="B851" s="243"/>
      <c r="C851" s="389" t="s">
        <v>10</v>
      </c>
      <c r="D851" s="146"/>
      <c r="E851" s="1190"/>
      <c r="F851" s="935"/>
      <c r="G851" s="1094" t="s">
        <v>11</v>
      </c>
    </row>
    <row r="852" spans="1:7">
      <c r="A852" s="884">
        <v>45286</v>
      </c>
      <c r="B852" s="240" t="str">
        <f>TiposLancamentos!B16</f>
        <v>Cristiane</v>
      </c>
      <c r="C852" s="878" t="s">
        <v>2155</v>
      </c>
      <c r="D852" s="63"/>
      <c r="E852" s="231">
        <v>12.06</v>
      </c>
      <c r="F852" s="899"/>
      <c r="G852" s="1152" t="s">
        <v>9</v>
      </c>
    </row>
    <row r="853" spans="1:7" ht="14.25" thickBot="1">
      <c r="A853" s="884">
        <v>45286</v>
      </c>
      <c r="B853" s="240" t="str">
        <f>TiposLancamentos!B16</f>
        <v>Cristiane</v>
      </c>
      <c r="C853" s="878" t="s">
        <v>12161</v>
      </c>
      <c r="D853" s="63"/>
      <c r="E853" s="231">
        <v>10.91</v>
      </c>
      <c r="F853" s="899"/>
      <c r="G853" s="1152" t="s">
        <v>9</v>
      </c>
    </row>
    <row r="854" spans="1:7">
      <c r="A854" s="1032"/>
      <c r="B854" s="1230"/>
      <c r="C854" s="1092" t="s">
        <v>15723</v>
      </c>
      <c r="D854" s="896"/>
      <c r="E854" s="925"/>
      <c r="F854" s="1034">
        <f>SUM(E837:E851)-D847</f>
        <v>1249.1400000000001</v>
      </c>
      <c r="G854" s="3"/>
    </row>
    <row r="855" spans="1:7">
      <c r="A855" s="884">
        <v>45292</v>
      </c>
      <c r="B855" s="240" t="str">
        <f>TiposLancamentos!B15</f>
        <v>Cartões de Crédito</v>
      </c>
      <c r="C855" s="878" t="s">
        <v>1874</v>
      </c>
      <c r="D855" s="63">
        <v>1249.1400000000001</v>
      </c>
      <c r="E855" s="231"/>
      <c r="F855" s="899">
        <f>F854-F840</f>
        <v>-512.38000000000011</v>
      </c>
      <c r="G855" s="1152" t="s">
        <v>9</v>
      </c>
    </row>
    <row r="856" spans="1:7">
      <c r="A856" s="884">
        <v>45295</v>
      </c>
      <c r="B856" s="240" t="str">
        <f>TiposLancamentos!B34</f>
        <v>Seguros</v>
      </c>
      <c r="C856" s="878" t="s">
        <v>15724</v>
      </c>
      <c r="D856" s="63"/>
      <c r="E856" s="231">
        <v>367.57</v>
      </c>
      <c r="F856" s="899"/>
      <c r="G856" s="1152" t="s">
        <v>9</v>
      </c>
    </row>
    <row r="857" spans="1:7">
      <c r="A857" s="884">
        <v>45295</v>
      </c>
      <c r="B857" s="240" t="str">
        <f>TiposLancamentos!B34</f>
        <v>Seguros</v>
      </c>
      <c r="C857" s="878" t="s">
        <v>15725</v>
      </c>
      <c r="D857" s="63"/>
      <c r="E857" s="231">
        <v>284.36</v>
      </c>
      <c r="F857" s="899"/>
      <c r="G857" s="1152" t="s">
        <v>9</v>
      </c>
    </row>
    <row r="858" spans="1:7">
      <c r="A858" s="884">
        <v>45301</v>
      </c>
      <c r="B858" s="240" t="str">
        <f>TiposLancamentos!B23</f>
        <v>P208 GRIFFE 1.6 AUT BUSINESS</v>
      </c>
      <c r="C858" s="878" t="s">
        <v>15726</v>
      </c>
      <c r="D858" s="63"/>
      <c r="E858" s="231">
        <v>521.51</v>
      </c>
      <c r="F858" s="899">
        <v>3129.01</v>
      </c>
      <c r="G858" s="1152" t="s">
        <v>9</v>
      </c>
    </row>
    <row r="859" spans="1:7">
      <c r="A859" s="884">
        <v>45304</v>
      </c>
      <c r="B859" s="240" t="str">
        <f>TiposLancamentos!B16</f>
        <v>Cristiane</v>
      </c>
      <c r="C859" s="878" t="s">
        <v>12161</v>
      </c>
      <c r="D859" s="63"/>
      <c r="E859" s="231">
        <v>9.9600000000000009</v>
      </c>
      <c r="F859" s="899"/>
      <c r="G859" s="1152" t="s">
        <v>9</v>
      </c>
    </row>
    <row r="860" spans="1:7">
      <c r="A860" s="884">
        <v>45315</v>
      </c>
      <c r="B860" s="240" t="str">
        <f>TiposLancamentos!B4</f>
        <v>Taxas Bancarias</v>
      </c>
      <c r="C860" s="878" t="s">
        <v>15568</v>
      </c>
      <c r="D860" s="63"/>
      <c r="E860" s="231">
        <v>7.49</v>
      </c>
      <c r="F860" s="899"/>
      <c r="G860" s="1152" t="s">
        <v>9</v>
      </c>
    </row>
    <row r="861" spans="1:7">
      <c r="A861" s="934"/>
      <c r="B861" s="243"/>
      <c r="C861" s="389" t="s">
        <v>10</v>
      </c>
      <c r="D861" s="146"/>
      <c r="E861" s="1190"/>
      <c r="F861" s="935"/>
      <c r="G861" s="1094" t="s">
        <v>11</v>
      </c>
    </row>
    <row r="862" spans="1:7" ht="14.25" thickBot="1">
      <c r="A862" s="884"/>
      <c r="B862" s="240"/>
      <c r="C862" s="878" t="s">
        <v>1868</v>
      </c>
      <c r="D862" s="63"/>
      <c r="E862" s="231"/>
      <c r="F862" s="899"/>
      <c r="G862" s="3"/>
    </row>
    <row r="863" spans="1:7">
      <c r="A863" s="1032"/>
      <c r="B863" s="1230"/>
      <c r="C863" s="1092" t="s">
        <v>15727</v>
      </c>
      <c r="D863" s="896"/>
      <c r="E863" s="925"/>
      <c r="F863" s="1034">
        <f>SUM(E851:E861)</f>
        <v>1213.8599999999999</v>
      </c>
      <c r="G863" s="3"/>
    </row>
    <row r="864" spans="1:7">
      <c r="A864" s="884">
        <v>45323</v>
      </c>
      <c r="B864" s="240" t="str">
        <f>TiposLancamentos!B15</f>
        <v>Cartões de Crédito</v>
      </c>
      <c r="C864" s="878" t="s">
        <v>1874</v>
      </c>
      <c r="D864" s="63">
        <v>1213.8599999999999</v>
      </c>
      <c r="E864" s="231"/>
      <c r="F864" s="899">
        <f>F863-F854</f>
        <v>-35.2800000000002</v>
      </c>
      <c r="G864" s="1152" t="s">
        <v>9</v>
      </c>
    </row>
    <row r="865" spans="1:7">
      <c r="A865" s="884">
        <v>45326</v>
      </c>
      <c r="B865" s="240" t="str">
        <f>TiposLancamentos!B19</f>
        <v>Restaurantes</v>
      </c>
      <c r="C865" s="878" t="s">
        <v>12224</v>
      </c>
      <c r="D865" s="63"/>
      <c r="E865" s="231">
        <v>46.99</v>
      </c>
      <c r="F865" s="899"/>
      <c r="G865" s="1152" t="s">
        <v>9</v>
      </c>
    </row>
    <row r="866" spans="1:7">
      <c r="A866" s="884">
        <v>45327</v>
      </c>
      <c r="B866" s="240" t="str">
        <f>TiposLancamentos!B34</f>
        <v>Seguros</v>
      </c>
      <c r="C866" s="878" t="s">
        <v>15728</v>
      </c>
      <c r="D866" s="63"/>
      <c r="E866" s="231">
        <v>368.08</v>
      </c>
      <c r="F866" s="899"/>
      <c r="G866" s="1152" t="s">
        <v>9</v>
      </c>
    </row>
    <row r="867" spans="1:7">
      <c r="A867" s="884">
        <v>44967</v>
      </c>
      <c r="B867" s="240" t="str">
        <f>TiposLancamentos!B23</f>
        <v>P208 GRIFFE 1.6 AUT BUSINESS</v>
      </c>
      <c r="C867" s="878" t="s">
        <v>15729</v>
      </c>
      <c r="D867" s="63"/>
      <c r="E867" s="231">
        <v>521.51</v>
      </c>
      <c r="F867" s="899">
        <v>3129.01</v>
      </c>
      <c r="G867" s="1152" t="s">
        <v>9</v>
      </c>
    </row>
    <row r="868" spans="1:7">
      <c r="A868" s="884">
        <v>45343</v>
      </c>
      <c r="B868" s="240" t="str">
        <f>TiposLancamentos!B16</f>
        <v>Cristiane</v>
      </c>
      <c r="C868" s="878" t="s">
        <v>12161</v>
      </c>
      <c r="D868" s="63"/>
      <c r="E868" s="231">
        <v>17.239999999999998</v>
      </c>
      <c r="F868" s="899"/>
      <c r="G868" s="1152" t="s">
        <v>9</v>
      </c>
    </row>
    <row r="869" spans="1:7">
      <c r="A869" s="884">
        <v>45346</v>
      </c>
      <c r="B869" s="240" t="str">
        <f>TiposLancamentos!B4</f>
        <v>Taxas Bancarias</v>
      </c>
      <c r="C869" s="878" t="s">
        <v>15568</v>
      </c>
      <c r="D869" s="63"/>
      <c r="E869" s="231">
        <v>7.49</v>
      </c>
      <c r="F869" s="899"/>
      <c r="G869" s="1152" t="s">
        <v>9</v>
      </c>
    </row>
    <row r="870" spans="1:7">
      <c r="A870" s="934"/>
      <c r="B870" s="243"/>
      <c r="C870" s="389" t="s">
        <v>10</v>
      </c>
      <c r="D870" s="146"/>
      <c r="E870" s="1190"/>
      <c r="F870" s="935"/>
      <c r="G870" s="1094" t="s">
        <v>11</v>
      </c>
    </row>
    <row r="871" spans="1:7" ht="14.25" thickBot="1">
      <c r="A871" s="884"/>
      <c r="B871" s="240"/>
      <c r="C871" s="878" t="s">
        <v>1868</v>
      </c>
      <c r="D871" s="63"/>
      <c r="E871" s="231"/>
      <c r="F871" s="899"/>
      <c r="G871" s="3"/>
    </row>
    <row r="872" spans="1:7">
      <c r="A872" s="1032"/>
      <c r="B872" s="1230"/>
      <c r="C872" s="1092" t="s">
        <v>15730</v>
      </c>
      <c r="D872" s="896"/>
      <c r="E872" s="925"/>
      <c r="F872" s="1034">
        <f>SUM(E861:E870)</f>
        <v>961.31</v>
      </c>
      <c r="G872" s="3"/>
    </row>
    <row r="873" spans="1:7">
      <c r="A873" s="884">
        <v>45352</v>
      </c>
      <c r="B873" s="240" t="str">
        <f>TiposLancamentos!B15</f>
        <v>Cartões de Crédito</v>
      </c>
      <c r="C873" s="878" t="s">
        <v>1874</v>
      </c>
      <c r="D873" s="63">
        <v>961.31</v>
      </c>
      <c r="E873" s="231"/>
      <c r="F873" s="899">
        <f>F872-F863</f>
        <v>-252.54999999999995</v>
      </c>
      <c r="G873" s="1152" t="s">
        <v>9</v>
      </c>
    </row>
    <row r="874" spans="1:7">
      <c r="A874" s="884">
        <v>45361</v>
      </c>
      <c r="B874" s="240" t="str">
        <f>TiposLancamentos!B23</f>
        <v>P208 GRIFFE 1.6 AUT BUSINESS</v>
      </c>
      <c r="C874" s="878" t="s">
        <v>15731</v>
      </c>
      <c r="D874" s="63"/>
      <c r="E874" s="231">
        <v>521.51</v>
      </c>
      <c r="F874" s="899">
        <v>3129.01</v>
      </c>
      <c r="G874" s="1152" t="s">
        <v>9</v>
      </c>
    </row>
    <row r="875" spans="1:7">
      <c r="A875" s="884">
        <v>45363</v>
      </c>
      <c r="B875" s="240" t="str">
        <f>TiposLancamentos!B88</f>
        <v>Ford Ecosport XLT</v>
      </c>
      <c r="C875" s="878" t="s">
        <v>15732</v>
      </c>
      <c r="D875" s="63"/>
      <c r="E875" s="231">
        <f>F875/10</f>
        <v>798.6</v>
      </c>
      <c r="F875" s="899">
        <v>7986</v>
      </c>
      <c r="G875" s="1152" t="s">
        <v>9</v>
      </c>
    </row>
    <row r="876" spans="1:7">
      <c r="A876" s="884">
        <v>45375</v>
      </c>
      <c r="B876" s="240" t="str">
        <f>TiposLancamentos!B4</f>
        <v>Taxas Bancarias</v>
      </c>
      <c r="C876" s="878" t="s">
        <v>15568</v>
      </c>
      <c r="D876" s="63"/>
      <c r="E876" s="231">
        <v>7.49</v>
      </c>
      <c r="F876" s="899"/>
      <c r="G876" s="1152" t="s">
        <v>9</v>
      </c>
    </row>
    <row r="877" spans="1:7">
      <c r="A877" s="934"/>
      <c r="B877" s="243"/>
      <c r="C877" s="389" t="s">
        <v>10</v>
      </c>
      <c r="D877" s="146"/>
      <c r="E877" s="1190"/>
      <c r="F877" s="935"/>
      <c r="G877" s="1094" t="s">
        <v>11</v>
      </c>
    </row>
    <row r="878" spans="1:7" ht="14.25" thickBot="1">
      <c r="A878" s="884"/>
      <c r="B878" s="240"/>
      <c r="C878" s="878" t="s">
        <v>1947</v>
      </c>
      <c r="D878" s="63"/>
      <c r="E878" s="231"/>
      <c r="F878" s="899"/>
      <c r="G878" s="3"/>
    </row>
    <row r="879" spans="1:7">
      <c r="A879" s="1032"/>
      <c r="B879" s="1230"/>
      <c r="C879" s="1092" t="s">
        <v>15733</v>
      </c>
      <c r="D879" s="896"/>
      <c r="E879" s="925"/>
      <c r="F879" s="1034">
        <f>SUM(E870:E877)</f>
        <v>1327.6000000000001</v>
      </c>
      <c r="G879" s="3"/>
    </row>
    <row r="880" spans="1:7">
      <c r="A880" s="884">
        <v>45383</v>
      </c>
      <c r="B880" s="240" t="str">
        <f>TiposLancamentos!B15</f>
        <v>Cartões de Crédito</v>
      </c>
      <c r="C880" s="878" t="s">
        <v>1874</v>
      </c>
      <c r="D880" s="63">
        <v>1327.6</v>
      </c>
      <c r="E880" s="231"/>
      <c r="F880" s="899">
        <f>F879-F872</f>
        <v>366.29000000000019</v>
      </c>
      <c r="G880" s="1152" t="s">
        <v>9</v>
      </c>
    </row>
    <row r="881" spans="1:7">
      <c r="A881" s="884">
        <v>45392</v>
      </c>
      <c r="B881" s="240" t="str">
        <f>TiposLancamentos!B23</f>
        <v>P208 GRIFFE 1.6 AUT BUSINESS</v>
      </c>
      <c r="C881" s="878" t="s">
        <v>15734</v>
      </c>
      <c r="D881" s="63"/>
      <c r="E881" s="231">
        <v>521.51</v>
      </c>
      <c r="F881" s="899">
        <v>3129.01</v>
      </c>
      <c r="G881" s="1152" t="s">
        <v>9</v>
      </c>
    </row>
    <row r="882" spans="1:7">
      <c r="A882" s="884">
        <v>45394</v>
      </c>
      <c r="B882" s="240" t="str">
        <f>TiposLancamentos!B88</f>
        <v>Ford Ecosport XLT</v>
      </c>
      <c r="C882" s="878" t="s">
        <v>15735</v>
      </c>
      <c r="D882" s="63"/>
      <c r="E882" s="231">
        <f>F882/10</f>
        <v>798.6</v>
      </c>
      <c r="F882" s="899">
        <v>7986</v>
      </c>
      <c r="G882" s="1152" t="s">
        <v>9</v>
      </c>
    </row>
    <row r="883" spans="1:7">
      <c r="A883" s="884">
        <v>45406</v>
      </c>
      <c r="B883" s="240" t="str">
        <f>TiposLancamentos!B4</f>
        <v>Taxas Bancarias</v>
      </c>
      <c r="C883" s="878" t="s">
        <v>15568</v>
      </c>
      <c r="D883" s="63"/>
      <c r="E883" s="231">
        <v>7.49</v>
      </c>
      <c r="F883" s="899"/>
      <c r="G883" s="1152" t="s">
        <v>9</v>
      </c>
    </row>
    <row r="884" spans="1:7">
      <c r="A884" s="934"/>
      <c r="B884" s="243"/>
      <c r="C884" s="389" t="s">
        <v>10</v>
      </c>
      <c r="D884" s="146"/>
      <c r="E884" s="1190"/>
      <c r="F884" s="935"/>
      <c r="G884" s="1094" t="s">
        <v>11</v>
      </c>
    </row>
    <row r="885" spans="1:7">
      <c r="A885" s="884">
        <v>45405</v>
      </c>
      <c r="B885" s="240" t="str">
        <f>TiposLancamentos!B19</f>
        <v>Restaurantes</v>
      </c>
      <c r="C885" s="878" t="s">
        <v>1994</v>
      </c>
      <c r="D885" s="63"/>
      <c r="E885" s="231">
        <v>105</v>
      </c>
      <c r="F885" s="899"/>
      <c r="G885" s="1152" t="s">
        <v>9</v>
      </c>
    </row>
    <row r="886" spans="1:7" ht="14.25" thickBot="1">
      <c r="A886" s="884">
        <v>45406</v>
      </c>
      <c r="B886" s="240" t="str">
        <f>TiposLancamentos!B16</f>
        <v>Cristiane</v>
      </c>
      <c r="C886" s="878" t="s">
        <v>12161</v>
      </c>
      <c r="D886" s="63"/>
      <c r="E886" s="231">
        <v>22.06</v>
      </c>
      <c r="F886" s="899"/>
      <c r="G886" s="1152" t="s">
        <v>9</v>
      </c>
    </row>
    <row r="887" spans="1:7">
      <c r="A887" s="1032"/>
      <c r="B887" s="1230"/>
      <c r="C887" s="1092" t="s">
        <v>1634</v>
      </c>
      <c r="D887" s="896"/>
      <c r="E887" s="925"/>
      <c r="F887" s="1034">
        <f>SUM(E878:E884)</f>
        <v>1327.6000000000001</v>
      </c>
      <c r="G887" s="3"/>
    </row>
    <row r="888" spans="1:7">
      <c r="A888" s="884">
        <v>45413</v>
      </c>
      <c r="B888" s="240" t="str">
        <f>TiposLancamentos!B15</f>
        <v>Cartões de Crédito</v>
      </c>
      <c r="C888" s="878" t="s">
        <v>1874</v>
      </c>
      <c r="D888" s="63">
        <v>1327.6</v>
      </c>
      <c r="E888" s="231"/>
      <c r="F888" s="899">
        <f>F887-F879</f>
        <v>0</v>
      </c>
      <c r="G888" s="1152" t="s">
        <v>9</v>
      </c>
    </row>
    <row r="889" spans="1:7">
      <c r="A889" s="884">
        <v>45419</v>
      </c>
      <c r="B889" s="240" t="str">
        <f>TiposLancamentos!B18</f>
        <v>Alimentacao</v>
      </c>
      <c r="C889" s="878" t="s">
        <v>15736</v>
      </c>
      <c r="D889" s="63"/>
      <c r="E889" s="231">
        <v>138.91</v>
      </c>
      <c r="F889" s="899"/>
      <c r="G889" s="1152" t="s">
        <v>9</v>
      </c>
    </row>
    <row r="890" spans="1:7">
      <c r="A890" s="884">
        <v>45424</v>
      </c>
      <c r="B890" s="240" t="str">
        <f>TiposLancamentos!B88</f>
        <v>Ford Ecosport XLT</v>
      </c>
      <c r="C890" s="878" t="s">
        <v>15737</v>
      </c>
      <c r="D890" s="63"/>
      <c r="E890" s="231">
        <f>F890/10</f>
        <v>798.6</v>
      </c>
      <c r="F890" s="899">
        <v>7986</v>
      </c>
      <c r="G890" s="1152" t="s">
        <v>9</v>
      </c>
    </row>
    <row r="891" spans="1:7">
      <c r="A891" s="884">
        <v>45430</v>
      </c>
      <c r="B891" s="240" t="str">
        <f>TiposLancamentos!B16</f>
        <v>Cristiane</v>
      </c>
      <c r="C891" s="878" t="s">
        <v>2238</v>
      </c>
      <c r="D891" s="63"/>
      <c r="E891" s="231">
        <v>58.5</v>
      </c>
      <c r="F891" s="899"/>
      <c r="G891" s="1152" t="s">
        <v>9</v>
      </c>
    </row>
    <row r="892" spans="1:7">
      <c r="A892" s="884">
        <v>45433</v>
      </c>
      <c r="B892" s="240" t="str">
        <f>TiposLancamentos!B16</f>
        <v>Cristiane</v>
      </c>
      <c r="C892" s="878" t="s">
        <v>12161</v>
      </c>
      <c r="D892" s="63"/>
      <c r="E892" s="231">
        <v>22.99</v>
      </c>
      <c r="F892" s="899"/>
      <c r="G892" s="1152" t="s">
        <v>9</v>
      </c>
    </row>
    <row r="893" spans="1:7">
      <c r="A893" s="884">
        <v>45436</v>
      </c>
      <c r="B893" s="240" t="str">
        <f>TiposLancamentos!B4</f>
        <v>Taxas Bancarias</v>
      </c>
      <c r="C893" s="878" t="s">
        <v>15568</v>
      </c>
      <c r="D893" s="63"/>
      <c r="E893" s="231">
        <v>7.49</v>
      </c>
      <c r="F893" s="899"/>
      <c r="G893" s="1152" t="s">
        <v>9</v>
      </c>
    </row>
    <row r="894" spans="1:7">
      <c r="A894" s="934"/>
      <c r="B894" s="243"/>
      <c r="C894" s="389" t="s">
        <v>10</v>
      </c>
      <c r="D894" s="146"/>
      <c r="E894" s="1190"/>
      <c r="F894" s="935"/>
      <c r="G894" s="1094" t="s">
        <v>11</v>
      </c>
    </row>
    <row r="895" spans="1:7" ht="14.25" thickBot="1">
      <c r="A895" s="884"/>
      <c r="B895" s="240"/>
      <c r="C895" s="878" t="s">
        <v>1947</v>
      </c>
      <c r="D895" s="63"/>
      <c r="E895" s="231"/>
      <c r="F895" s="899"/>
      <c r="G895" s="3"/>
    </row>
    <row r="896" spans="1:7">
      <c r="A896" s="1032"/>
      <c r="B896" s="1230"/>
      <c r="C896" s="1092" t="s">
        <v>15738</v>
      </c>
      <c r="D896" s="896"/>
      <c r="E896" s="925"/>
      <c r="F896" s="1034">
        <f>SUM(E884:E894)</f>
        <v>1153.5500000000002</v>
      </c>
      <c r="G896" s="3"/>
    </row>
    <row r="897" spans="1:7">
      <c r="A897" s="884">
        <v>45445</v>
      </c>
      <c r="B897" s="240" t="str">
        <f>TiposLancamentos!B15</f>
        <v>Cartões de Crédito</v>
      </c>
      <c r="C897" s="878" t="s">
        <v>1874</v>
      </c>
      <c r="D897" s="63">
        <v>1153.55</v>
      </c>
      <c r="E897" s="231"/>
      <c r="F897" s="899">
        <f>F896-F887</f>
        <v>-174.04999999999995</v>
      </c>
      <c r="G897" s="1152" t="s">
        <v>9</v>
      </c>
    </row>
    <row r="898" spans="1:7">
      <c r="A898" s="884">
        <v>45446</v>
      </c>
      <c r="B898" s="240" t="str">
        <f>TiposLancamentos!B16</f>
        <v>Cristiane</v>
      </c>
      <c r="C898" s="878" t="s">
        <v>12161</v>
      </c>
      <c r="D898" s="63"/>
      <c r="E898" s="231">
        <v>12.99</v>
      </c>
      <c r="F898" s="899"/>
      <c r="G898" s="1152" t="s">
        <v>9</v>
      </c>
    </row>
    <row r="899" spans="1:7">
      <c r="A899" s="884">
        <v>45453</v>
      </c>
      <c r="B899" s="240" t="str">
        <f>TiposLancamentos!B16</f>
        <v>Cristiane</v>
      </c>
      <c r="C899" s="878" t="s">
        <v>12161</v>
      </c>
      <c r="D899" s="63"/>
      <c r="E899" s="231">
        <v>11.96</v>
      </c>
      <c r="F899" s="899"/>
      <c r="G899" s="1152" t="s">
        <v>9</v>
      </c>
    </row>
    <row r="900" spans="1:7">
      <c r="A900" s="884">
        <v>45454</v>
      </c>
      <c r="B900" s="240" t="str">
        <f>TiposLancamentos!B16</f>
        <v>Cristiane</v>
      </c>
      <c r="C900" s="878" t="s">
        <v>10041</v>
      </c>
      <c r="D900" s="63"/>
      <c r="E900" s="231">
        <v>58.5</v>
      </c>
      <c r="F900" s="899"/>
      <c r="G900" s="1152" t="s">
        <v>9</v>
      </c>
    </row>
    <row r="901" spans="1:7">
      <c r="A901" s="884">
        <v>45455</v>
      </c>
      <c r="B901" s="240" t="str">
        <f>TiposLancamentos!B88</f>
        <v>Ford Ecosport XLT</v>
      </c>
      <c r="C901" s="878" t="s">
        <v>15739</v>
      </c>
      <c r="D901" s="63"/>
      <c r="E901" s="231">
        <f>F901/10</f>
        <v>798.6</v>
      </c>
      <c r="F901" s="899">
        <v>7986</v>
      </c>
      <c r="G901" s="1152" t="s">
        <v>9</v>
      </c>
    </row>
    <row r="902" spans="1:7">
      <c r="A902" s="884">
        <v>45455</v>
      </c>
      <c r="B902" s="240" t="str">
        <f>TiposLancamentos!B65</f>
        <v>Taxi</v>
      </c>
      <c r="C902" s="878" t="s">
        <v>12161</v>
      </c>
      <c r="D902" s="63"/>
      <c r="E902" s="231">
        <v>8.9700000000000006</v>
      </c>
      <c r="F902" s="899"/>
      <c r="G902" s="1152" t="s">
        <v>9</v>
      </c>
    </row>
    <row r="903" spans="1:7">
      <c r="A903" s="884">
        <v>45461</v>
      </c>
      <c r="B903" s="240" t="str">
        <f>TiposLancamentos!B16</f>
        <v>Cristiane</v>
      </c>
      <c r="C903" s="878" t="s">
        <v>10041</v>
      </c>
      <c r="D903" s="63"/>
      <c r="E903" s="231">
        <v>58.5</v>
      </c>
      <c r="F903" s="899"/>
      <c r="G903" s="1152" t="s">
        <v>9</v>
      </c>
    </row>
    <row r="904" spans="1:7">
      <c r="A904" s="884">
        <v>45467</v>
      </c>
      <c r="B904" s="240" t="str">
        <f>TiposLancamentos!B4</f>
        <v>Taxas Bancarias</v>
      </c>
      <c r="C904" s="878" t="s">
        <v>15568</v>
      </c>
      <c r="D904" s="63"/>
      <c r="E904" s="231">
        <v>7.49</v>
      </c>
      <c r="F904" s="899"/>
      <c r="G904" s="1152" t="s">
        <v>9</v>
      </c>
    </row>
    <row r="905" spans="1:7">
      <c r="A905" s="934"/>
      <c r="B905" s="243"/>
      <c r="C905" s="389" t="s">
        <v>10</v>
      </c>
      <c r="D905" s="146"/>
      <c r="E905" s="1190"/>
      <c r="F905" s="935"/>
      <c r="G905" s="1094" t="s">
        <v>11</v>
      </c>
    </row>
    <row r="906" spans="1:7" ht="14.25" thickBot="1">
      <c r="A906" s="884"/>
      <c r="B906" s="240"/>
      <c r="C906" s="878" t="s">
        <v>1868</v>
      </c>
      <c r="D906" s="63"/>
      <c r="E906" s="231"/>
      <c r="F906" s="899"/>
      <c r="G906" s="3"/>
    </row>
    <row r="907" spans="1:7">
      <c r="A907" s="1032"/>
      <c r="B907" s="1230"/>
      <c r="C907" s="1092" t="s">
        <v>15740</v>
      </c>
      <c r="D907" s="896"/>
      <c r="E907" s="925"/>
      <c r="F907" s="1034">
        <f>SUM(E894:E905)</f>
        <v>957.0100000000001</v>
      </c>
      <c r="G907" s="3"/>
    </row>
    <row r="908" spans="1:7">
      <c r="A908" s="884">
        <v>45474</v>
      </c>
      <c r="B908" s="240" t="str">
        <f>TiposLancamentos!B15</f>
        <v>Cartões de Crédito</v>
      </c>
      <c r="C908" s="878" t="s">
        <v>1874</v>
      </c>
      <c r="D908" s="63">
        <v>957.01</v>
      </c>
      <c r="E908" s="231"/>
      <c r="F908" s="899">
        <f>F907-F896</f>
        <v>-196.54000000000008</v>
      </c>
      <c r="G908" s="1152" t="s">
        <v>9</v>
      </c>
    </row>
    <row r="909" spans="1:7">
      <c r="A909" s="884">
        <v>45482</v>
      </c>
      <c r="B909" s="240" t="str">
        <f>TiposLancamentos!B19</f>
        <v>Restaurantes</v>
      </c>
      <c r="C909" s="878" t="s">
        <v>15741</v>
      </c>
      <c r="D909" s="63"/>
      <c r="E909" s="231">
        <v>99.61</v>
      </c>
      <c r="F909" s="899"/>
      <c r="G909" s="1152" t="s">
        <v>9</v>
      </c>
    </row>
    <row r="910" spans="1:7">
      <c r="A910" s="884">
        <v>45485</v>
      </c>
      <c r="B910" s="240" t="str">
        <f>TiposLancamentos!B88</f>
        <v>Ford Ecosport XLT</v>
      </c>
      <c r="C910" s="878" t="s">
        <v>15742</v>
      </c>
      <c r="D910" s="63"/>
      <c r="E910" s="231">
        <f>F910/10</f>
        <v>798.6</v>
      </c>
      <c r="F910" s="899">
        <v>7986</v>
      </c>
      <c r="G910" s="1152" t="s">
        <v>9</v>
      </c>
    </row>
    <row r="911" spans="1:7">
      <c r="A911" s="884">
        <v>45490</v>
      </c>
      <c r="B911" s="240" t="str">
        <f>TiposLancamentos!B16</f>
        <v>Cristiane</v>
      </c>
      <c r="C911" s="878" t="s">
        <v>15743</v>
      </c>
      <c r="D911" s="63"/>
      <c r="E911" s="231">
        <v>37.9</v>
      </c>
      <c r="F911" s="899"/>
      <c r="G911" s="1152" t="s">
        <v>9</v>
      </c>
    </row>
    <row r="912" spans="1:7">
      <c r="A912" s="884">
        <v>45493</v>
      </c>
      <c r="B912" s="240" t="str">
        <f>TiposLancamentos!B88</f>
        <v>Ford Ecosport XLT</v>
      </c>
      <c r="C912" s="878" t="s">
        <v>15744</v>
      </c>
      <c r="D912" s="63"/>
      <c r="E912" s="231">
        <v>533.35</v>
      </c>
      <c r="F912" s="899">
        <v>3200</v>
      </c>
      <c r="G912" s="1152" t="s">
        <v>9</v>
      </c>
    </row>
    <row r="913" spans="1:8">
      <c r="A913" s="884">
        <v>45496</v>
      </c>
      <c r="B913" s="240" t="str">
        <f>TiposLancamentos!B34</f>
        <v>Seguros</v>
      </c>
      <c r="C913" s="878" t="s">
        <v>15745</v>
      </c>
      <c r="D913" s="63"/>
      <c r="E913" s="231">
        <v>275.36</v>
      </c>
      <c r="F913" s="899">
        <f>E913*6</f>
        <v>1652.16</v>
      </c>
      <c r="G913" s="1152" t="s">
        <v>9</v>
      </c>
      <c r="H913" s="3"/>
    </row>
    <row r="914" spans="1:8">
      <c r="A914" s="884">
        <v>45497</v>
      </c>
      <c r="B914" s="240" t="str">
        <f>TiposLancamentos!B4</f>
        <v>Taxas Bancarias</v>
      </c>
      <c r="C914" s="878" t="s">
        <v>15568</v>
      </c>
      <c r="D914" s="63"/>
      <c r="E914" s="231">
        <v>7.49</v>
      </c>
      <c r="F914" s="899"/>
      <c r="G914" s="1152" t="s">
        <v>9</v>
      </c>
      <c r="H914" s="3"/>
    </row>
    <row r="915" spans="1:8">
      <c r="A915" s="934"/>
      <c r="B915" s="243"/>
      <c r="C915" s="389" t="s">
        <v>10</v>
      </c>
      <c r="D915" s="146"/>
      <c r="E915" s="1190"/>
      <c r="F915" s="935"/>
      <c r="G915" s="1094" t="s">
        <v>11</v>
      </c>
      <c r="H915" s="3"/>
    </row>
    <row r="916" spans="1:8" ht="14.25" thickBot="1">
      <c r="A916" s="884"/>
      <c r="B916" s="240"/>
      <c r="C916" s="878" t="s">
        <v>1868</v>
      </c>
      <c r="D916" s="63"/>
      <c r="E916" s="231"/>
      <c r="F916" s="899"/>
      <c r="G916" s="3"/>
      <c r="H916" s="3"/>
    </row>
    <row r="917" spans="1:8">
      <c r="A917" s="1032"/>
      <c r="B917" s="1230"/>
      <c r="C917" s="1092" t="s">
        <v>15746</v>
      </c>
      <c r="D917" s="896"/>
      <c r="E917" s="925"/>
      <c r="F917" s="1034">
        <f>SUM(E905:E915)</f>
        <v>1752.3100000000002</v>
      </c>
      <c r="G917" s="3"/>
      <c r="H917" s="3"/>
    </row>
    <row r="918" spans="1:8">
      <c r="A918" s="884">
        <v>45505</v>
      </c>
      <c r="B918" s="240" t="str">
        <f>TiposLancamentos!B15</f>
        <v>Cartões de Crédito</v>
      </c>
      <c r="C918" s="878" t="s">
        <v>1874</v>
      </c>
      <c r="D918" s="63">
        <v>1752.31</v>
      </c>
      <c r="E918" s="231"/>
      <c r="F918" s="899">
        <f>F917-F907</f>
        <v>795.30000000000007</v>
      </c>
      <c r="G918" s="1152" t="s">
        <v>9</v>
      </c>
      <c r="H918" s="3"/>
    </row>
    <row r="919" spans="1:8">
      <c r="A919" s="884">
        <v>45508</v>
      </c>
      <c r="B919" s="240" t="str">
        <f>TiposLancamentos!B16</f>
        <v>Cristiane</v>
      </c>
      <c r="C919" s="878" t="s">
        <v>15747</v>
      </c>
      <c r="D919" s="63"/>
      <c r="E919" s="231">
        <v>68.8</v>
      </c>
      <c r="F919" s="899"/>
      <c r="G919" s="1152" t="s">
        <v>9</v>
      </c>
      <c r="H919" s="3"/>
    </row>
    <row r="920" spans="1:8">
      <c r="A920" s="884">
        <v>45516</v>
      </c>
      <c r="B920" s="240" t="str">
        <f>TiposLancamentos!B88</f>
        <v>Ford Ecosport XLT</v>
      </c>
      <c r="C920" s="878" t="s">
        <v>15748</v>
      </c>
      <c r="D920" s="63"/>
      <c r="E920" s="231">
        <f>F920/10</f>
        <v>798.6</v>
      </c>
      <c r="F920" s="899">
        <v>7986</v>
      </c>
      <c r="G920" s="1152" t="s">
        <v>9</v>
      </c>
      <c r="H920" s="3"/>
    </row>
    <row r="921" spans="1:8">
      <c r="A921" s="884">
        <v>45518</v>
      </c>
      <c r="B921" s="240" t="str">
        <f>TiposLancamentos!B16</f>
        <v>Cristiane</v>
      </c>
      <c r="C921" s="878" t="s">
        <v>15747</v>
      </c>
      <c r="D921" s="63"/>
      <c r="E921" s="231">
        <v>36.9</v>
      </c>
      <c r="F921" s="899"/>
      <c r="G921" s="1152" t="s">
        <v>9</v>
      </c>
      <c r="H921" s="3"/>
    </row>
    <row r="922" spans="1:8">
      <c r="A922" s="884">
        <v>45524</v>
      </c>
      <c r="B922" s="240" t="str">
        <f>TiposLancamentos!B88</f>
        <v>Ford Ecosport XLT</v>
      </c>
      <c r="C922" s="878" t="s">
        <v>15749</v>
      </c>
      <c r="D922" s="63"/>
      <c r="E922" s="231">
        <v>533.35</v>
      </c>
      <c r="F922" s="899">
        <v>3200</v>
      </c>
      <c r="G922" s="1152" t="s">
        <v>9</v>
      </c>
      <c r="H922" s="3"/>
    </row>
    <row r="923" spans="1:8">
      <c r="A923" s="884">
        <v>45524</v>
      </c>
      <c r="B923" s="240" t="str">
        <f>TiposLancamentos!B102</f>
        <v>ESTORNO</v>
      </c>
      <c r="C923" s="878" t="s">
        <v>15750</v>
      </c>
      <c r="D923" s="63">
        <v>0.1</v>
      </c>
      <c r="E923" s="231"/>
      <c r="F923" s="899"/>
      <c r="G923" s="1152" t="s">
        <v>9</v>
      </c>
      <c r="H923" s="3"/>
    </row>
    <row r="924" spans="1:8">
      <c r="A924" s="884">
        <v>45525</v>
      </c>
      <c r="B924" s="240" t="str">
        <f>TiposLancamentos!B16</f>
        <v>Cristiane</v>
      </c>
      <c r="C924" s="878" t="s">
        <v>12161</v>
      </c>
      <c r="D924" s="63"/>
      <c r="E924" s="231">
        <v>6.97</v>
      </c>
      <c r="F924" s="899"/>
      <c r="G924" s="1152" t="s">
        <v>9</v>
      </c>
      <c r="H924" s="3"/>
    </row>
    <row r="925" spans="1:8">
      <c r="A925" s="884">
        <v>45528</v>
      </c>
      <c r="B925" s="240" t="str">
        <f>TiposLancamentos!B4</f>
        <v>Taxas Bancarias</v>
      </c>
      <c r="C925" s="878" t="s">
        <v>15568</v>
      </c>
      <c r="D925" s="63"/>
      <c r="E925" s="231">
        <v>7.49</v>
      </c>
      <c r="F925" s="899"/>
      <c r="G925" s="1152" t="s">
        <v>9</v>
      </c>
      <c r="H925" s="3"/>
    </row>
    <row r="926" spans="1:8">
      <c r="A926" s="934"/>
      <c r="B926" s="243"/>
      <c r="C926" s="389" t="s">
        <v>10</v>
      </c>
      <c r="D926" s="146"/>
      <c r="E926" s="1190"/>
      <c r="F926" s="935"/>
      <c r="G926" s="1094" t="s">
        <v>11</v>
      </c>
      <c r="H926" s="3"/>
    </row>
    <row r="927" spans="1:8">
      <c r="A927" s="884">
        <v>45530</v>
      </c>
      <c r="B927" s="240" t="str">
        <f>TiposLancamentos!B16</f>
        <v>Cristiane</v>
      </c>
      <c r="C927" s="878" t="s">
        <v>15751</v>
      </c>
      <c r="D927" s="63"/>
      <c r="E927" s="231">
        <f>F927/2</f>
        <v>170.57</v>
      </c>
      <c r="F927" s="899">
        <v>341.14</v>
      </c>
      <c r="G927" s="1152" t="s">
        <v>9</v>
      </c>
      <c r="H927" s="3"/>
    </row>
    <row r="928" spans="1:8">
      <c r="A928" s="884">
        <v>45534</v>
      </c>
      <c r="B928" s="240" t="str">
        <f>TiposLancamentos!B13</f>
        <v>Moradia</v>
      </c>
      <c r="C928" s="878" t="s">
        <v>15752</v>
      </c>
      <c r="D928" s="63"/>
      <c r="E928" s="231">
        <f>F928/2</f>
        <v>278.3</v>
      </c>
      <c r="F928" s="899">
        <v>556.6</v>
      </c>
      <c r="G928" s="1152" t="s">
        <v>9</v>
      </c>
      <c r="H928" s="3"/>
    </row>
    <row r="929" spans="1:8" ht="14.25" thickBot="1">
      <c r="A929" s="884"/>
      <c r="B929" s="240"/>
      <c r="C929" s="878" t="s">
        <v>1868</v>
      </c>
      <c r="D929" s="63"/>
      <c r="E929" s="231"/>
      <c r="F929" s="899"/>
      <c r="G929" s="3"/>
      <c r="H929" s="3"/>
    </row>
    <row r="930" spans="1:8">
      <c r="A930" s="1032"/>
      <c r="B930" s="1230"/>
      <c r="C930" s="1092" t="s">
        <v>15753</v>
      </c>
      <c r="D930" s="896"/>
      <c r="E930" s="925"/>
      <c r="F930" s="1034">
        <f>SUM(E915:E926)-D923</f>
        <v>1452.0100000000002</v>
      </c>
      <c r="G930" s="3"/>
      <c r="H930" s="3"/>
    </row>
    <row r="931" spans="1:8">
      <c r="A931" s="884">
        <v>45536</v>
      </c>
      <c r="B931" s="240" t="str">
        <f>TiposLancamentos!B15</f>
        <v>Cartões de Crédito</v>
      </c>
      <c r="C931" s="878" t="s">
        <v>1874</v>
      </c>
      <c r="D931" s="63">
        <v>1452.01</v>
      </c>
      <c r="E931" s="231"/>
      <c r="F931" s="899">
        <f>F930-F917</f>
        <v>-300.29999999999995</v>
      </c>
      <c r="G931" s="1152" t="s">
        <v>9</v>
      </c>
      <c r="H931" s="3"/>
    </row>
    <row r="932" spans="1:8">
      <c r="A932" s="884">
        <v>45539</v>
      </c>
      <c r="B932" s="240" t="str">
        <f>TiposLancamentos!B34</f>
        <v>Seguros</v>
      </c>
      <c r="C932" s="878" t="s">
        <v>15754</v>
      </c>
      <c r="D932" s="63"/>
      <c r="E932" s="231">
        <v>275.36</v>
      </c>
      <c r="F932" s="899">
        <f>E932*6</f>
        <v>1652.16</v>
      </c>
      <c r="G932" s="1152" t="s">
        <v>9</v>
      </c>
      <c r="H932" s="3"/>
    </row>
    <row r="933" spans="1:8">
      <c r="A933" s="884">
        <v>45539</v>
      </c>
      <c r="B933" s="240" t="str">
        <f>TiposLancamentos!B65</f>
        <v>Taxi</v>
      </c>
      <c r="C933" s="878" t="s">
        <v>12161</v>
      </c>
      <c r="D933" s="63"/>
      <c r="E933" s="231">
        <v>8.9700000000000006</v>
      </c>
      <c r="F933" s="899"/>
      <c r="G933" s="1152" t="s">
        <v>9</v>
      </c>
      <c r="H933" s="3"/>
    </row>
    <row r="934" spans="1:8">
      <c r="A934" s="884">
        <v>45545</v>
      </c>
      <c r="B934" s="240" t="str">
        <f>TiposLancamentos!B16</f>
        <v>Cristiane</v>
      </c>
      <c r="C934" s="878" t="s">
        <v>2155</v>
      </c>
      <c r="D934" s="63"/>
      <c r="E934" s="231">
        <v>10.91</v>
      </c>
      <c r="F934" s="899"/>
      <c r="G934" s="1152" t="s">
        <v>9</v>
      </c>
      <c r="H934" s="3"/>
    </row>
    <row r="935" spans="1:8">
      <c r="A935" s="884">
        <v>45547</v>
      </c>
      <c r="B935" s="240" t="str">
        <f>TiposLancamentos!B88</f>
        <v>Ford Ecosport XLT</v>
      </c>
      <c r="C935" s="878" t="s">
        <v>15755</v>
      </c>
      <c r="D935" s="63"/>
      <c r="E935" s="231">
        <f>F935/10</f>
        <v>798.6</v>
      </c>
      <c r="F935" s="899">
        <v>7986</v>
      </c>
      <c r="G935" s="1152" t="s">
        <v>9</v>
      </c>
      <c r="H935" s="3"/>
    </row>
    <row r="936" spans="1:8">
      <c r="A936" s="884">
        <v>45553</v>
      </c>
      <c r="B936" s="240" t="str">
        <f>TiposLancamentos!B16</f>
        <v>Cristiane</v>
      </c>
      <c r="C936" s="878" t="s">
        <v>2238</v>
      </c>
      <c r="D936" s="63"/>
      <c r="E936" s="231">
        <v>47.9</v>
      </c>
      <c r="F936" s="899"/>
      <c r="G936" s="1152" t="s">
        <v>9</v>
      </c>
      <c r="H936" s="3"/>
    </row>
    <row r="937" spans="1:8">
      <c r="A937" s="884">
        <v>45555</v>
      </c>
      <c r="B937" s="240" t="str">
        <f>TiposLancamentos!B88</f>
        <v>Ford Ecosport XLT</v>
      </c>
      <c r="C937" s="878" t="s">
        <v>15756</v>
      </c>
      <c r="D937" s="63"/>
      <c r="E937" s="231">
        <v>533.35</v>
      </c>
      <c r="F937" s="899">
        <v>3200</v>
      </c>
      <c r="G937" s="1152" t="s">
        <v>9</v>
      </c>
      <c r="H937" s="3"/>
    </row>
    <row r="938" spans="1:8">
      <c r="A938" s="884">
        <v>45555</v>
      </c>
      <c r="B938" s="240" t="str">
        <f>TiposLancamentos!B34</f>
        <v>Seguros</v>
      </c>
      <c r="C938" s="878" t="s">
        <v>15757</v>
      </c>
      <c r="D938" s="63"/>
      <c r="E938" s="231">
        <v>304.75</v>
      </c>
      <c r="F938" s="899">
        <v>1828.3</v>
      </c>
      <c r="G938" s="1152" t="s">
        <v>9</v>
      </c>
      <c r="H938" s="3"/>
    </row>
    <row r="939" spans="1:8">
      <c r="A939" s="884">
        <v>45559</v>
      </c>
      <c r="B939" s="240" t="str">
        <f>TiposLancamentos!B4</f>
        <v>Taxas Bancarias</v>
      </c>
      <c r="C939" s="878" t="s">
        <v>15568</v>
      </c>
      <c r="D939" s="63"/>
      <c r="E939" s="231">
        <v>7.49</v>
      </c>
      <c r="F939" s="899"/>
      <c r="G939" s="1152" t="s">
        <v>9</v>
      </c>
      <c r="H939" s="3"/>
    </row>
    <row r="940" spans="1:8">
      <c r="A940" s="934"/>
      <c r="B940" s="243"/>
      <c r="C940" s="389" t="s">
        <v>10</v>
      </c>
      <c r="D940" s="146"/>
      <c r="E940" s="1190"/>
      <c r="F940" s="935"/>
      <c r="G940" s="1094" t="s">
        <v>11</v>
      </c>
      <c r="H940" s="3"/>
    </row>
    <row r="941" spans="1:8">
      <c r="A941" s="884">
        <v>45560</v>
      </c>
      <c r="B941" s="240" t="str">
        <f>TiposLancamentos!B16</f>
        <v>Cristiane</v>
      </c>
      <c r="C941" s="878" t="s">
        <v>2155</v>
      </c>
      <c r="D941" s="63"/>
      <c r="E941" s="231">
        <v>7.94</v>
      </c>
      <c r="F941" s="899"/>
      <c r="G941" s="1152" t="s">
        <v>9</v>
      </c>
      <c r="H941" s="3"/>
    </row>
    <row r="942" spans="1:8">
      <c r="A942" s="884">
        <v>45560</v>
      </c>
      <c r="B942" s="240" t="str">
        <f>TiposLancamentos!B16</f>
        <v>Cristiane</v>
      </c>
      <c r="C942" s="878" t="s">
        <v>2155</v>
      </c>
      <c r="D942" s="63"/>
      <c r="E942" s="231">
        <v>1</v>
      </c>
      <c r="F942" s="899"/>
      <c r="G942" s="1152" t="s">
        <v>9</v>
      </c>
      <c r="H942" s="3"/>
    </row>
    <row r="943" spans="1:8">
      <c r="A943" s="884">
        <v>45561</v>
      </c>
      <c r="B943" s="240" t="str">
        <f>TiposLancamentos!B16</f>
        <v>Cristiane</v>
      </c>
      <c r="C943" s="878" t="s">
        <v>15758</v>
      </c>
      <c r="D943" s="63"/>
      <c r="E943" s="231">
        <f>F943/2</f>
        <v>170.57</v>
      </c>
      <c r="F943" s="899">
        <v>341.14</v>
      </c>
      <c r="G943" s="1152" t="s">
        <v>9</v>
      </c>
      <c r="H943" s="3"/>
    </row>
    <row r="944" spans="1:8" ht="14.25" thickBot="1">
      <c r="A944" s="884">
        <v>45565</v>
      </c>
      <c r="B944" s="240" t="str">
        <f>TiposLancamentos!B13</f>
        <v>Moradia</v>
      </c>
      <c r="C944" s="878" t="s">
        <v>15759</v>
      </c>
      <c r="D944" s="63"/>
      <c r="E944" s="231">
        <f>F944/2</f>
        <v>278.3</v>
      </c>
      <c r="F944" s="899">
        <v>556.6</v>
      </c>
      <c r="G944" s="1152" t="s">
        <v>9</v>
      </c>
      <c r="H944" s="3"/>
    </row>
    <row r="945" spans="1:8">
      <c r="A945" s="1032"/>
      <c r="B945" s="1230"/>
      <c r="C945" s="1092" t="s">
        <v>1639</v>
      </c>
      <c r="D945" s="896"/>
      <c r="E945" s="925"/>
      <c r="F945" s="1034">
        <f>SUM(E926:E940)</f>
        <v>2436.1999999999998</v>
      </c>
      <c r="G945" s="3"/>
      <c r="H945" s="3"/>
    </row>
    <row r="946" spans="1:8">
      <c r="A946" s="884">
        <v>45566</v>
      </c>
      <c r="B946" s="240" t="str">
        <f>TiposLancamentos!B15</f>
        <v>Cartões de Crédito</v>
      </c>
      <c r="C946" s="878" t="s">
        <v>1874</v>
      </c>
      <c r="D946" s="63">
        <v>2436.1999999999998</v>
      </c>
      <c r="E946" s="231"/>
      <c r="F946" s="899">
        <f>F945-F930</f>
        <v>984.1899999999996</v>
      </c>
      <c r="G946" s="1152" t="s">
        <v>9</v>
      </c>
      <c r="H946" s="3"/>
    </row>
    <row r="947" spans="1:8">
      <c r="A947" s="884">
        <v>45566</v>
      </c>
      <c r="B947" s="240" t="str">
        <f>TiposLancamentos!B16</f>
        <v>Cristiane</v>
      </c>
      <c r="C947" s="878" t="s">
        <v>10366</v>
      </c>
      <c r="D947" s="63"/>
      <c r="E947" s="231">
        <v>42.4</v>
      </c>
      <c r="F947" s="899"/>
      <c r="G947" s="1152" t="s">
        <v>9</v>
      </c>
      <c r="H947" s="3"/>
    </row>
    <row r="948" spans="1:8">
      <c r="A948" s="884">
        <v>45568</v>
      </c>
      <c r="B948" s="240" t="str">
        <f>TiposLancamentos!B34</f>
        <v>Seguros</v>
      </c>
      <c r="C948" s="878" t="s">
        <v>15760</v>
      </c>
      <c r="D948" s="63"/>
      <c r="E948" s="231">
        <v>275.36</v>
      </c>
      <c r="F948" s="899">
        <f>E948*6</f>
        <v>1652.16</v>
      </c>
      <c r="G948" s="1152" t="s">
        <v>9</v>
      </c>
      <c r="H948" s="3"/>
    </row>
    <row r="949" spans="1:8">
      <c r="A949" s="884">
        <v>45577</v>
      </c>
      <c r="B949" s="240" t="str">
        <f>TiposLancamentos!B88</f>
        <v>Ford Ecosport XLT</v>
      </c>
      <c r="C949" s="878" t="s">
        <v>15761</v>
      </c>
      <c r="D949" s="63"/>
      <c r="E949" s="231">
        <f>F949/10</f>
        <v>798.6</v>
      </c>
      <c r="F949" s="899">
        <v>7986</v>
      </c>
      <c r="G949" s="1152" t="s">
        <v>9</v>
      </c>
      <c r="H949" s="3"/>
    </row>
    <row r="950" spans="1:8">
      <c r="A950" s="884">
        <v>45585</v>
      </c>
      <c r="B950" s="240" t="str">
        <f>TiposLancamentos!B88</f>
        <v>Ford Ecosport XLT</v>
      </c>
      <c r="C950" s="878" t="s">
        <v>15762</v>
      </c>
      <c r="D950" s="63"/>
      <c r="E950" s="231">
        <v>533.35</v>
      </c>
      <c r="F950" s="899">
        <v>3200</v>
      </c>
      <c r="G950" s="1152" t="s">
        <v>9</v>
      </c>
      <c r="H950" s="3"/>
    </row>
    <row r="951" spans="1:8">
      <c r="A951" s="884">
        <v>45585</v>
      </c>
      <c r="B951" s="240" t="str">
        <f>TiposLancamentos!B34</f>
        <v>Seguros</v>
      </c>
      <c r="C951" s="878" t="s">
        <v>15763</v>
      </c>
      <c r="D951" s="63"/>
      <c r="E951" s="231">
        <v>304.75</v>
      </c>
      <c r="F951" s="899">
        <v>1828.3</v>
      </c>
      <c r="G951" s="1152" t="s">
        <v>9</v>
      </c>
      <c r="H951" s="3"/>
    </row>
    <row r="952" spans="1:8">
      <c r="A952" s="884">
        <v>45585</v>
      </c>
      <c r="B952" s="240" t="str">
        <f>TiposLancamentos!B102</f>
        <v>ESTORNO</v>
      </c>
      <c r="C952" s="878" t="s">
        <v>15764</v>
      </c>
      <c r="D952" s="63">
        <v>0.2</v>
      </c>
      <c r="E952" s="231"/>
      <c r="F952" s="899"/>
      <c r="G952" s="1152" t="s">
        <v>9</v>
      </c>
      <c r="H952" s="3"/>
    </row>
    <row r="953" spans="1:8">
      <c r="A953" s="884">
        <v>45588</v>
      </c>
      <c r="B953" s="240" t="str">
        <f>TiposLancamentos!B16</f>
        <v>Cristiane</v>
      </c>
      <c r="C953" s="878" t="s">
        <v>2155</v>
      </c>
      <c r="D953" s="63"/>
      <c r="E953" s="231">
        <v>21.91</v>
      </c>
      <c r="F953" s="899"/>
      <c r="G953" s="1152" t="s">
        <v>9</v>
      </c>
      <c r="H953" s="3"/>
    </row>
    <row r="954" spans="1:8">
      <c r="A954" s="884">
        <v>45589</v>
      </c>
      <c r="B954" s="240" t="str">
        <f>TiposLancamentos!B4</f>
        <v>Taxas Bancarias</v>
      </c>
      <c r="C954" s="878" t="s">
        <v>15568</v>
      </c>
      <c r="D954" s="63"/>
      <c r="E954" s="231">
        <v>7.49</v>
      </c>
      <c r="F954" s="899"/>
      <c r="G954" s="1152" t="s">
        <v>9</v>
      </c>
      <c r="H954" s="3"/>
    </row>
    <row r="955" spans="1:8">
      <c r="A955" s="934"/>
      <c r="B955" s="243"/>
      <c r="C955" s="389" t="s">
        <v>10</v>
      </c>
      <c r="D955" s="146"/>
      <c r="E955" s="1190"/>
      <c r="F955" s="935"/>
      <c r="G955" s="1094" t="s">
        <v>11</v>
      </c>
      <c r="H955" s="3"/>
    </row>
    <row r="956" spans="1:8">
      <c r="A956" s="884">
        <v>45593</v>
      </c>
      <c r="B956" s="240" t="str">
        <f>TiposLancamentos!B16</f>
        <v>Cristiane</v>
      </c>
      <c r="C956" s="878" t="s">
        <v>2155</v>
      </c>
      <c r="D956" s="63"/>
      <c r="E956" s="231">
        <v>28.98</v>
      </c>
      <c r="F956" s="899"/>
      <c r="G956" s="1152" t="s">
        <v>9</v>
      </c>
      <c r="H956" s="3"/>
    </row>
    <row r="957" spans="1:8" ht="14.25" thickBot="1">
      <c r="A957" s="884"/>
      <c r="B957" s="240"/>
      <c r="C957" s="878" t="s">
        <v>1947</v>
      </c>
      <c r="D957" s="63"/>
      <c r="E957" s="231"/>
      <c r="F957" s="899"/>
      <c r="G957" s="3"/>
      <c r="H957" s="3"/>
    </row>
    <row r="958" spans="1:8">
      <c r="A958" s="1032"/>
      <c r="B958" s="1230"/>
      <c r="C958" s="1092" t="s">
        <v>1640</v>
      </c>
      <c r="D958" s="896"/>
      <c r="E958" s="925"/>
      <c r="F958" s="1034">
        <f>SUM(E940:E955)-D952</f>
        <v>2441.4699999999998</v>
      </c>
      <c r="G958" s="3"/>
      <c r="H958" s="3"/>
    </row>
    <row r="959" spans="1:8">
      <c r="A959" s="884">
        <v>45597</v>
      </c>
      <c r="B959" s="240" t="str">
        <f>TiposLancamentos!B15</f>
        <v>Cartões de Crédito</v>
      </c>
      <c r="C959" s="878" t="s">
        <v>1874</v>
      </c>
      <c r="D959" s="63">
        <v>2441.4699999999998</v>
      </c>
      <c r="E959" s="231"/>
      <c r="F959" s="899">
        <f>F958-F945</f>
        <v>5.2699999999999818</v>
      </c>
      <c r="G959" s="1152" t="s">
        <v>9</v>
      </c>
      <c r="H959" s="3"/>
    </row>
    <row r="960" spans="1:8">
      <c r="A960" s="884">
        <v>45601</v>
      </c>
      <c r="B960" s="240" t="str">
        <f>TiposLancamentos!B34</f>
        <v>Seguros</v>
      </c>
      <c r="C960" s="878" t="s">
        <v>15765</v>
      </c>
      <c r="D960" s="63"/>
      <c r="E960" s="231">
        <v>275.36</v>
      </c>
      <c r="F960" s="899">
        <f>E960*6</f>
        <v>1652.16</v>
      </c>
      <c r="G960" s="1152" t="s">
        <v>9</v>
      </c>
      <c r="H960" s="3"/>
    </row>
    <row r="961" spans="1:8">
      <c r="A961" s="884">
        <v>45608</v>
      </c>
      <c r="B961" s="240" t="str">
        <f>TiposLancamentos!B88</f>
        <v>Ford Ecosport XLT</v>
      </c>
      <c r="C961" s="878" t="s">
        <v>15766</v>
      </c>
      <c r="D961" s="63"/>
      <c r="E961" s="231">
        <f>F961/10</f>
        <v>798.6</v>
      </c>
      <c r="F961" s="899">
        <v>7986</v>
      </c>
      <c r="G961" s="1152" t="s">
        <v>9</v>
      </c>
      <c r="H961" s="3"/>
    </row>
    <row r="962" spans="1:8">
      <c r="A962" s="884">
        <v>45616</v>
      </c>
      <c r="B962" s="240" t="str">
        <f>TiposLancamentos!B88</f>
        <v>Ford Ecosport XLT</v>
      </c>
      <c r="C962" s="878" t="s">
        <v>15767</v>
      </c>
      <c r="D962" s="63"/>
      <c r="E962" s="231">
        <v>533.35</v>
      </c>
      <c r="F962" s="899">
        <v>3200</v>
      </c>
      <c r="G962" s="1152" t="s">
        <v>9</v>
      </c>
      <c r="H962" s="3"/>
    </row>
    <row r="963" spans="1:8">
      <c r="A963" s="884">
        <v>45616</v>
      </c>
      <c r="B963" s="240" t="str">
        <f>TiposLancamentos!B88</f>
        <v>Ford Ecosport XLT</v>
      </c>
      <c r="C963" s="878" t="s">
        <v>15768</v>
      </c>
      <c r="D963" s="63"/>
      <c r="E963" s="231">
        <v>304.75</v>
      </c>
      <c r="F963" s="899">
        <v>1828.3</v>
      </c>
      <c r="G963" s="1152" t="s">
        <v>9</v>
      </c>
      <c r="H963" s="3"/>
    </row>
    <row r="964" spans="1:8">
      <c r="A964" s="884">
        <v>45620</v>
      </c>
      <c r="B964" s="240" t="str">
        <f>TiposLancamentos!B4</f>
        <v>Taxas Bancarias</v>
      </c>
      <c r="C964" s="878" t="s">
        <v>15568</v>
      </c>
      <c r="D964" s="63"/>
      <c r="E964" s="231">
        <v>7.49</v>
      </c>
      <c r="F964" s="899"/>
      <c r="G964" s="3"/>
      <c r="H964" s="3"/>
    </row>
    <row r="965" spans="1:8">
      <c r="A965" s="934"/>
      <c r="B965" s="243"/>
      <c r="C965" s="389" t="s">
        <v>10</v>
      </c>
      <c r="D965" s="146"/>
      <c r="E965" s="1190"/>
      <c r="F965" s="935"/>
      <c r="G965" s="1094" t="s">
        <v>11</v>
      </c>
      <c r="H965" s="3"/>
    </row>
    <row r="966" spans="1:8" ht="14.25" thickBot="1">
      <c r="A966" s="884"/>
      <c r="B966" s="240"/>
      <c r="C966" s="878" t="s">
        <v>1947</v>
      </c>
      <c r="D966" s="63"/>
      <c r="E966" s="231"/>
      <c r="F966" s="899"/>
      <c r="G966" s="3"/>
      <c r="H966" s="3"/>
    </row>
    <row r="967" spans="1:8">
      <c r="A967" s="1032"/>
      <c r="B967" s="1230"/>
      <c r="C967" s="1092" t="s">
        <v>1641</v>
      </c>
      <c r="D967" s="896"/>
      <c r="E967" s="925"/>
      <c r="F967" s="1034">
        <f>SUM(E955:E965)</f>
        <v>1948.53</v>
      </c>
      <c r="G967" s="3"/>
      <c r="H967" s="3"/>
    </row>
    <row r="968" spans="1:8">
      <c r="A968" s="884">
        <v>45628</v>
      </c>
      <c r="B968" s="240" t="str">
        <f>TiposLancamentos!B15</f>
        <v>Cartões de Crédito</v>
      </c>
      <c r="C968" s="878" t="s">
        <v>1874</v>
      </c>
      <c r="D968" s="63">
        <v>1948.53</v>
      </c>
      <c r="E968" s="231"/>
      <c r="F968" s="899">
        <f>F967-F958</f>
        <v>-492.93999999999983</v>
      </c>
      <c r="G968" s="1152" t="s">
        <v>9</v>
      </c>
      <c r="H968" s="3"/>
    </row>
    <row r="969" spans="1:8">
      <c r="A969" s="884">
        <v>45630</v>
      </c>
      <c r="B969" s="240" t="str">
        <f>TiposLancamentos!B34</f>
        <v>Seguros</v>
      </c>
      <c r="C969" s="878" t="s">
        <v>15769</v>
      </c>
      <c r="D969" s="63"/>
      <c r="E969" s="231">
        <v>275.36</v>
      </c>
      <c r="F969" s="899">
        <f>E969*6</f>
        <v>1652.16</v>
      </c>
      <c r="G969" s="1152" t="s">
        <v>9</v>
      </c>
      <c r="H969" s="3"/>
    </row>
    <row r="970" spans="1:8">
      <c r="A970" s="884">
        <v>45638</v>
      </c>
      <c r="B970" s="240" t="str">
        <f>TiposLancamentos!B88</f>
        <v>Ford Ecosport XLT</v>
      </c>
      <c r="C970" s="878" t="s">
        <v>15770</v>
      </c>
      <c r="D970" s="63"/>
      <c r="E970" s="231">
        <f>F970/10</f>
        <v>798.6</v>
      </c>
      <c r="F970" s="899">
        <v>7986</v>
      </c>
      <c r="G970" s="1152" t="s">
        <v>9</v>
      </c>
      <c r="H970" s="3"/>
    </row>
    <row r="971" spans="1:8">
      <c r="A971" s="884">
        <v>45646</v>
      </c>
      <c r="B971" s="240" t="str">
        <f>TiposLancamentos!B88</f>
        <v>Ford Ecosport XLT</v>
      </c>
      <c r="C971" s="878" t="s">
        <v>15771</v>
      </c>
      <c r="D971" s="63"/>
      <c r="E971" s="231">
        <v>533.35</v>
      </c>
      <c r="F971" s="899">
        <v>3200</v>
      </c>
      <c r="G971" s="1152" t="s">
        <v>9</v>
      </c>
      <c r="H971" s="3"/>
    </row>
    <row r="972" spans="1:8">
      <c r="A972" s="884">
        <v>45646</v>
      </c>
      <c r="B972" s="240" t="str">
        <f>TiposLancamentos!B34</f>
        <v>Seguros</v>
      </c>
      <c r="C972" s="878" t="s">
        <v>15772</v>
      </c>
      <c r="D972" s="63"/>
      <c r="E972" s="231">
        <v>304.75</v>
      </c>
      <c r="F972" s="899">
        <v>1828.3</v>
      </c>
      <c r="G972" s="1152" t="s">
        <v>9</v>
      </c>
      <c r="H972" s="3"/>
    </row>
    <row r="973" spans="1:8">
      <c r="A973" s="884">
        <v>45650</v>
      </c>
      <c r="B973" s="240" t="str">
        <f>TiposLancamentos!B4</f>
        <v>Taxas Bancarias</v>
      </c>
      <c r="C973" s="878" t="s">
        <v>15568</v>
      </c>
      <c r="D973" s="63"/>
      <c r="E973" s="231">
        <v>7.49</v>
      </c>
      <c r="F973" s="899"/>
      <c r="G973" s="1152" t="s">
        <v>9</v>
      </c>
      <c r="H973" s="3"/>
    </row>
    <row r="974" spans="1:8">
      <c r="A974" s="934"/>
      <c r="B974" s="243"/>
      <c r="C974" s="389" t="s">
        <v>10</v>
      </c>
      <c r="D974" s="146"/>
      <c r="E974" s="1190"/>
      <c r="F974" s="935"/>
      <c r="G974" s="1094" t="s">
        <v>11</v>
      </c>
      <c r="H974" s="3"/>
    </row>
    <row r="975" spans="1:8" ht="14.25" thickBot="1">
      <c r="A975" s="884"/>
      <c r="B975" s="240"/>
      <c r="C975" s="878" t="s">
        <v>1868</v>
      </c>
      <c r="D975" s="63"/>
      <c r="E975" s="231"/>
      <c r="F975" s="899"/>
      <c r="G975" s="3"/>
      <c r="H975" s="3"/>
    </row>
    <row r="976" spans="1:8">
      <c r="A976" s="1032"/>
      <c r="B976" s="1230"/>
      <c r="C976" s="1092" t="s">
        <v>1642</v>
      </c>
      <c r="D976" s="896"/>
      <c r="E976" s="925"/>
      <c r="F976" s="1034">
        <f>SUM(E965:E974)</f>
        <v>1919.55</v>
      </c>
      <c r="G976" s="3"/>
      <c r="H976" s="3"/>
    </row>
    <row r="977" spans="1:8">
      <c r="A977" s="884">
        <v>45659</v>
      </c>
      <c r="B977" s="240" t="str">
        <f>TiposLancamentos!B15</f>
        <v>Cartões de Crédito</v>
      </c>
      <c r="C977" s="878" t="s">
        <v>1874</v>
      </c>
      <c r="D977" s="63">
        <v>1919.55</v>
      </c>
      <c r="E977" s="231"/>
      <c r="F977" s="899">
        <f>F976-F967</f>
        <v>-28.980000000000018</v>
      </c>
      <c r="G977" s="1152" t="s">
        <v>9</v>
      </c>
      <c r="H977" s="3"/>
    </row>
    <row r="978" spans="1:8">
      <c r="A978" s="884">
        <v>45660</v>
      </c>
      <c r="B978" s="240" t="str">
        <f>TiposLancamentos!B34</f>
        <v>Seguros</v>
      </c>
      <c r="C978" s="878" t="s">
        <v>15773</v>
      </c>
      <c r="D978" s="63"/>
      <c r="E978" s="231">
        <v>275.79000000000002</v>
      </c>
      <c r="F978" s="899">
        <f>E978*6</f>
        <v>1654.7400000000002</v>
      </c>
      <c r="G978" s="1152" t="s">
        <v>9</v>
      </c>
      <c r="H978" s="3"/>
    </row>
    <row r="979" spans="1:8">
      <c r="A979" s="884">
        <v>45677</v>
      </c>
      <c r="B979" s="240" t="str">
        <f>TiposLancamentos!B34</f>
        <v>Seguros</v>
      </c>
      <c r="C979" s="878" t="s">
        <v>15774</v>
      </c>
      <c r="D979" s="63"/>
      <c r="E979" s="231">
        <v>304.75</v>
      </c>
      <c r="F979" s="899">
        <v>1828.3</v>
      </c>
      <c r="G979" s="1152" t="s">
        <v>9</v>
      </c>
      <c r="H979" s="3"/>
    </row>
    <row r="980" spans="1:8">
      <c r="A980" s="884">
        <v>45650</v>
      </c>
      <c r="B980" s="240" t="str">
        <f>TiposLancamentos!B4</f>
        <v>Taxas Bancarias</v>
      </c>
      <c r="C980" s="878" t="s">
        <v>15568</v>
      </c>
      <c r="D980" s="63"/>
      <c r="E980" s="231">
        <v>7.49</v>
      </c>
      <c r="F980" s="899"/>
      <c r="G980" s="1152" t="s">
        <v>9</v>
      </c>
      <c r="H980" s="3"/>
    </row>
    <row r="981" spans="1:8">
      <c r="A981" s="934"/>
      <c r="B981" s="243"/>
      <c r="C981" s="389" t="s">
        <v>10</v>
      </c>
      <c r="D981" s="146"/>
      <c r="E981" s="1190"/>
      <c r="F981" s="935"/>
      <c r="G981" s="1094" t="s">
        <v>11</v>
      </c>
      <c r="H981" s="3"/>
    </row>
    <row r="982" spans="1:8" ht="14.25" thickBot="1">
      <c r="A982" s="884"/>
      <c r="B982" s="240"/>
      <c r="C982" s="878" t="s">
        <v>1868</v>
      </c>
      <c r="D982" s="63"/>
      <c r="E982" s="231"/>
      <c r="F982" s="899"/>
      <c r="G982" s="3"/>
      <c r="H982" s="3"/>
    </row>
    <row r="983" spans="1:8">
      <c r="A983" s="1032"/>
      <c r="B983" s="1230"/>
      <c r="C983" s="1092" t="s">
        <v>1643</v>
      </c>
      <c r="D983" s="896"/>
      <c r="E983" s="925"/>
      <c r="F983" s="1034">
        <f>SUM(E974:E981)</f>
        <v>588.03</v>
      </c>
      <c r="G983" s="3"/>
      <c r="H983" s="3"/>
    </row>
    <row r="984" spans="1:8">
      <c r="A984" s="884">
        <v>45691</v>
      </c>
      <c r="B984" s="240" t="str">
        <f>TiposLancamentos!B15</f>
        <v>Cartões de Crédito</v>
      </c>
      <c r="C984" s="878" t="s">
        <v>1874</v>
      </c>
      <c r="D984" s="63">
        <v>588.03</v>
      </c>
      <c r="E984" s="231"/>
      <c r="F984" s="899">
        <f>F983-F976</f>
        <v>-1331.52</v>
      </c>
      <c r="G984" s="1152" t="s">
        <v>9</v>
      </c>
      <c r="H984" s="3"/>
    </row>
    <row r="985" spans="1:8">
      <c r="A985" s="884">
        <v>45708</v>
      </c>
      <c r="B985" s="240" t="str">
        <f>TiposLancamentos!B34</f>
        <v>Seguros</v>
      </c>
      <c r="C985" s="878" t="s">
        <v>15775</v>
      </c>
      <c r="D985" s="63"/>
      <c r="E985" s="231">
        <v>304.75</v>
      </c>
      <c r="F985" s="899">
        <v>1828.3</v>
      </c>
      <c r="G985" s="1152" t="s">
        <v>9</v>
      </c>
      <c r="H985" s="3"/>
    </row>
    <row r="986" spans="1:8">
      <c r="A986" s="884">
        <v>45710</v>
      </c>
      <c r="B986" s="240" t="str">
        <f>TiposLancamentos!B4</f>
        <v>Taxas Bancarias</v>
      </c>
      <c r="C986" s="878" t="s">
        <v>15568</v>
      </c>
      <c r="D986" s="63"/>
      <c r="E986" s="231">
        <v>7.49</v>
      </c>
      <c r="F986" s="899"/>
      <c r="G986" s="1152" t="s">
        <v>9</v>
      </c>
      <c r="H986" s="3"/>
    </row>
    <row r="987" spans="1:8">
      <c r="A987" s="934"/>
      <c r="B987" s="243"/>
      <c r="C987" s="389" t="s">
        <v>10</v>
      </c>
      <c r="D987" s="146"/>
      <c r="E987" s="1190"/>
      <c r="F987" s="935"/>
      <c r="G987" s="1094" t="s">
        <v>11</v>
      </c>
      <c r="H987" s="3"/>
    </row>
    <row r="988" spans="1:8" ht="14.25" thickBot="1">
      <c r="A988" s="884"/>
      <c r="B988" s="240"/>
      <c r="C988" s="878" t="s">
        <v>1868</v>
      </c>
      <c r="D988" s="63"/>
      <c r="E988" s="231"/>
      <c r="F988" s="899"/>
      <c r="G988" s="3"/>
      <c r="H988" s="3"/>
    </row>
    <row r="989" spans="1:8">
      <c r="A989" s="1032"/>
      <c r="B989" s="1230"/>
      <c r="C989" s="1092" t="s">
        <v>1644</v>
      </c>
      <c r="D989" s="896"/>
      <c r="E989" s="925"/>
      <c r="F989" s="1034">
        <f>SUM(E981:E987)</f>
        <v>312.24</v>
      </c>
      <c r="G989" s="3"/>
      <c r="H989" s="3"/>
    </row>
    <row r="990" spans="1:8">
      <c r="A990" s="884">
        <v>45721</v>
      </c>
      <c r="B990" s="240" t="str">
        <f>TiposLancamentos!B15</f>
        <v>Cartões de Crédito</v>
      </c>
      <c r="C990" s="878" t="s">
        <v>1874</v>
      </c>
      <c r="D990" s="63">
        <v>312.24</v>
      </c>
      <c r="E990" s="231"/>
      <c r="F990" s="899">
        <f>F989-F983</f>
        <v>-275.78999999999996</v>
      </c>
      <c r="G990" s="3"/>
      <c r="H990" s="3"/>
    </row>
    <row r="991" spans="1:8">
      <c r="A991" s="934">
        <v>45730</v>
      </c>
      <c r="B991" s="243"/>
      <c r="C991" s="389" t="s">
        <v>15776</v>
      </c>
      <c r="D991" s="146"/>
      <c r="E991" s="1190"/>
      <c r="F991" s="935"/>
      <c r="G991" s="1094" t="s">
        <v>11</v>
      </c>
      <c r="H991" s="3"/>
    </row>
    <row r="992" spans="1:8" ht="14.25" thickBot="1">
      <c r="A992" s="884"/>
      <c r="B992" s="240"/>
      <c r="C992" s="878" t="s">
        <v>1868</v>
      </c>
      <c r="D992" s="63"/>
      <c r="E992" s="231"/>
      <c r="F992" s="899"/>
      <c r="G992" s="3"/>
      <c r="H992" s="3"/>
    </row>
    <row r="993" spans="1:8">
      <c r="A993" s="1032"/>
      <c r="B993" s="1230"/>
      <c r="C993" s="1092" t="s">
        <v>1644</v>
      </c>
      <c r="D993" s="896"/>
      <c r="E993" s="925"/>
      <c r="F993" s="1034">
        <f>SUM(E987:E991)</f>
        <v>0</v>
      </c>
      <c r="G993" s="3"/>
      <c r="H993" s="3"/>
    </row>
    <row r="994" spans="1:8">
      <c r="A994" s="884">
        <v>45748</v>
      </c>
      <c r="B994" s="240"/>
      <c r="C994" s="878" t="s">
        <v>1874</v>
      </c>
      <c r="D994" s="63"/>
      <c r="E994" s="231"/>
      <c r="F994" s="899">
        <f>F993-F990</f>
        <v>275.78999999999996</v>
      </c>
      <c r="G994" s="3"/>
      <c r="H994" s="3"/>
    </row>
    <row r="995" spans="1:8">
      <c r="A995" s="884"/>
      <c r="B995" s="240"/>
      <c r="C995" s="878"/>
      <c r="D995" s="63"/>
      <c r="E995" s="231"/>
      <c r="F995" s="899"/>
      <c r="G995" s="3"/>
      <c r="H995" s="3"/>
    </row>
    <row r="996" spans="1:8">
      <c r="A996" s="884"/>
      <c r="B996" s="240"/>
      <c r="C996" s="878"/>
      <c r="D996" s="63"/>
      <c r="E996" s="231"/>
      <c r="F996" s="899"/>
      <c r="G996" s="3"/>
      <c r="H996" s="3"/>
    </row>
    <row r="997" spans="1:8">
      <c r="A997" s="884"/>
      <c r="B997" s="240"/>
      <c r="C997" s="878"/>
      <c r="D997" s="63"/>
      <c r="E997" s="231"/>
      <c r="F997" s="899"/>
      <c r="G997" s="3"/>
      <c r="H997" s="3"/>
    </row>
    <row r="998" spans="1:8">
      <c r="A998" s="884"/>
      <c r="B998" s="240"/>
      <c r="C998" s="878"/>
      <c r="D998" s="63"/>
      <c r="E998" s="231"/>
      <c r="F998" s="899"/>
      <c r="G998" s="3"/>
      <c r="H998" s="3"/>
    </row>
    <row r="999" spans="1:8">
      <c r="A999" s="884"/>
      <c r="B999" s="240"/>
      <c r="C999" s="878"/>
      <c r="D999" s="63"/>
      <c r="E999" s="231"/>
      <c r="F999" s="899"/>
      <c r="G999" s="3"/>
      <c r="H999" s="3"/>
    </row>
    <row r="1000" spans="1:8">
      <c r="A1000" s="884"/>
      <c r="B1000" s="240"/>
      <c r="C1000" s="878"/>
      <c r="D1000" s="63"/>
      <c r="E1000" s="231"/>
      <c r="F1000" s="899"/>
      <c r="G1000" s="3"/>
      <c r="H1000" s="3"/>
    </row>
    <row r="1001" spans="1:8">
      <c r="A1001" s="884"/>
      <c r="B1001" s="240"/>
      <c r="C1001" s="878"/>
      <c r="D1001" s="63"/>
      <c r="E1001" s="231"/>
      <c r="F1001" s="899"/>
      <c r="G1001" s="3"/>
      <c r="H1001" s="3"/>
    </row>
    <row r="1002" spans="1:8">
      <c r="A1002" s="884"/>
      <c r="B1002" s="240"/>
      <c r="C1002" s="878"/>
      <c r="D1002" s="63"/>
      <c r="E1002" s="231"/>
      <c r="F1002" s="899"/>
      <c r="G1002" s="3"/>
      <c r="H1002" s="3"/>
    </row>
    <row r="1003" spans="1:8" ht="14.25" thickBot="1">
      <c r="A1003" s="885"/>
      <c r="B1003" s="1232"/>
      <c r="C1003" s="1120"/>
      <c r="D1003" s="903"/>
      <c r="E1003" s="928"/>
      <c r="F1003" s="905"/>
      <c r="G1003" s="3"/>
      <c r="H1003" s="3"/>
    </row>
    <row r="1004" spans="1:8">
      <c r="A1004" s="770"/>
      <c r="B1004" s="1124"/>
      <c r="C1004" s="763"/>
      <c r="D1004" s="764"/>
      <c r="E1004" s="765"/>
      <c r="F1004" s="1192"/>
      <c r="G1004" s="1094" t="s">
        <v>11</v>
      </c>
      <c r="H1004" s="3"/>
    </row>
    <row r="1005" spans="1:8">
      <c r="A1005" s="46"/>
      <c r="B1005" s="116"/>
      <c r="C1005" s="117" t="s">
        <v>12</v>
      </c>
      <c r="D1005" s="185">
        <f>SUM(D2:D1004)</f>
        <v>111620.75000000001</v>
      </c>
      <c r="E1005" s="609">
        <f>SUM(E2:E1004)</f>
        <v>109791.30333333348</v>
      </c>
      <c r="F1005" s="224"/>
      <c r="G1005" s="3"/>
      <c r="H1005" s="3"/>
    </row>
    <row r="1006" spans="1:8">
      <c r="A1006" s="119"/>
      <c r="B1006" s="120"/>
      <c r="C1006" s="24" t="s">
        <v>13</v>
      </c>
      <c r="D1006" s="177"/>
      <c r="E1006" s="302">
        <f>D1005-E1005</f>
        <v>1829.4466666665394</v>
      </c>
      <c r="F1006" s="177"/>
      <c r="G1006" s="3"/>
      <c r="H1006" s="3"/>
    </row>
    <row r="1007" spans="1:8">
      <c r="A1007" s="65"/>
      <c r="B1007" s="65"/>
      <c r="C1007" s="3"/>
      <c r="D1007" s="3"/>
      <c r="E1007" s="221"/>
      <c r="F1007" s="3"/>
      <c r="G1007" s="3"/>
      <c r="H1007" s="3"/>
    </row>
    <row r="1008" spans="1:8">
      <c r="A1008" s="3"/>
      <c r="B1008" s="3"/>
      <c r="C1008" s="3"/>
      <c r="D1008" s="3"/>
      <c r="E1008" s="221"/>
      <c r="F1008" s="3"/>
      <c r="G1008" s="3"/>
      <c r="H1008" s="3"/>
    </row>
    <row r="1009" spans="1:8">
      <c r="A1009" s="3"/>
      <c r="B1009" s="3"/>
      <c r="C1009" s="23"/>
      <c r="D1009" s="25" t="s">
        <v>14</v>
      </c>
      <c r="E1009" s="303" t="s">
        <v>15</v>
      </c>
      <c r="F1009" s="25" t="s">
        <v>16</v>
      </c>
      <c r="G1009" s="3"/>
      <c r="H1009" s="3"/>
    </row>
    <row r="1010" spans="1:8">
      <c r="A1010" s="3"/>
      <c r="B1010" s="77" t="s">
        <v>17</v>
      </c>
      <c r="C1010" s="36"/>
      <c r="D1010" s="60">
        <f>CARTOES!H37</f>
        <v>2500</v>
      </c>
      <c r="E1010" s="34">
        <f>E1006</f>
        <v>1829.4466666665394</v>
      </c>
      <c r="F1010" s="62">
        <f>D1010+E1010</f>
        <v>4329.4466666665394</v>
      </c>
      <c r="G1010" s="3"/>
      <c r="H1010" s="3"/>
    </row>
    <row r="1011" spans="1:8">
      <c r="A1011" s="3"/>
      <c r="B1011" s="3"/>
      <c r="C1011" s="3"/>
      <c r="D1011" s="3"/>
      <c r="E1011" s="221"/>
      <c r="F1011" s="3"/>
      <c r="G1011" s="3"/>
      <c r="H1011" s="3"/>
    </row>
    <row r="1012" spans="1:8">
      <c r="A1012" s="3"/>
      <c r="B1012" s="3"/>
      <c r="C1012" s="3"/>
      <c r="D1012" s="3"/>
      <c r="E1012" s="221"/>
      <c r="F1012" s="3"/>
      <c r="G1012" s="3"/>
      <c r="H1012" s="3"/>
    </row>
    <row r="1013" spans="1:8">
      <c r="A1013" s="3"/>
      <c r="B1013" s="3"/>
      <c r="C1013" s="3"/>
      <c r="D1013" s="3"/>
      <c r="E1013" s="221"/>
      <c r="F1013" s="3"/>
      <c r="G1013" s="3"/>
      <c r="H1013" s="3"/>
    </row>
    <row r="1014" spans="1:8">
      <c r="A1014" s="3"/>
      <c r="B1014" s="3"/>
      <c r="C1014" s="3"/>
      <c r="D1014" s="3"/>
      <c r="E1014" s="221"/>
      <c r="F1014" s="3"/>
      <c r="G1014" s="3"/>
      <c r="H1014" s="3"/>
    </row>
    <row r="1015" spans="1:8">
      <c r="A1015" s="3"/>
      <c r="B1015" s="3"/>
      <c r="C1015" s="3"/>
      <c r="D1015" s="3"/>
      <c r="E1015" s="221"/>
      <c r="F1015" s="3"/>
      <c r="G1015" s="3"/>
      <c r="H1015" s="3"/>
    </row>
    <row r="1016" spans="1:8">
      <c r="A1016" s="3"/>
      <c r="B1016" s="3"/>
      <c r="C1016" s="3"/>
      <c r="D1016" s="3"/>
      <c r="E1016" s="221"/>
      <c r="F1016" s="3"/>
      <c r="G1016" s="3"/>
      <c r="H1016" s="3"/>
    </row>
    <row r="1017" spans="1:8">
      <c r="A1017" s="3"/>
      <c r="B1017" s="3"/>
      <c r="C1017" s="3"/>
      <c r="D1017" s="3"/>
      <c r="E1017" s="221"/>
      <c r="F1017" s="3"/>
      <c r="G1017" s="3"/>
      <c r="H1017" s="3"/>
    </row>
    <row r="1018" spans="1:8">
      <c r="A1018" s="3"/>
      <c r="B1018" s="3"/>
      <c r="C1018" s="3"/>
      <c r="D1018" s="3"/>
      <c r="E1018" s="221"/>
      <c r="F1018" s="3"/>
      <c r="G1018" s="3"/>
      <c r="H1018" s="3"/>
    </row>
    <row r="1019" spans="1:8">
      <c r="A1019" s="3"/>
      <c r="B1019" s="3"/>
      <c r="C1019" s="3"/>
      <c r="D1019" s="3"/>
      <c r="E1019" s="221"/>
      <c r="F1019" s="3"/>
      <c r="G1019" s="3"/>
      <c r="H1019" s="3"/>
    </row>
    <row r="1020" spans="1:8">
      <c r="A1020" s="3"/>
      <c r="B1020" s="3"/>
      <c r="C1020" s="3"/>
      <c r="D1020" s="3"/>
      <c r="E1020" s="221"/>
      <c r="F1020" s="3"/>
      <c r="G1020" s="3"/>
      <c r="H1020" s="3"/>
    </row>
    <row r="1021" spans="1:8">
      <c r="A1021" s="3"/>
      <c r="B1021" s="3"/>
      <c r="C1021" s="3"/>
      <c r="D1021" s="3"/>
      <c r="E1021" s="221"/>
      <c r="F1021" s="3"/>
      <c r="G1021" s="3"/>
      <c r="H1021" s="3"/>
    </row>
    <row r="1022" spans="1:8">
      <c r="A1022" s="3"/>
      <c r="B1022" s="3"/>
      <c r="C1022" s="3"/>
      <c r="D1022" s="3"/>
      <c r="E1022" s="221"/>
      <c r="F1022" s="3"/>
      <c r="G1022" s="3"/>
      <c r="H1022" s="3"/>
    </row>
    <row r="1023" spans="1:8">
      <c r="A1023" s="3"/>
      <c r="B1023" s="3"/>
      <c r="C1023" s="3"/>
      <c r="D1023" s="3"/>
      <c r="E1023" s="221"/>
      <c r="F1023" s="3"/>
      <c r="G1023" s="3"/>
      <c r="H1023" s="3"/>
    </row>
    <row r="1024" spans="1:8">
      <c r="A1024" s="3"/>
      <c r="B1024" s="3"/>
      <c r="C1024" s="3"/>
      <c r="D1024" s="3"/>
      <c r="E1024" s="221"/>
      <c r="F1024" s="3"/>
      <c r="G1024" s="3"/>
      <c r="H1024" s="3"/>
    </row>
    <row r="1025" spans="1:8">
      <c r="A1025" s="3"/>
      <c r="B1025" s="3"/>
      <c r="C1025" s="3"/>
      <c r="D1025" s="3"/>
      <c r="E1025" s="221"/>
      <c r="F1025" s="3"/>
      <c r="G1025" s="3"/>
      <c r="H1025" s="3"/>
    </row>
    <row r="1026" spans="1:8">
      <c r="A1026" s="3"/>
      <c r="B1026" s="3"/>
      <c r="C1026" s="3"/>
      <c r="D1026" s="3"/>
      <c r="E1026" s="221"/>
      <c r="F1026" s="3"/>
      <c r="G1026" s="3"/>
      <c r="H1026" s="3"/>
    </row>
    <row r="1027" spans="1:8">
      <c r="A1027" s="3"/>
      <c r="B1027" s="3"/>
      <c r="C1027" s="3"/>
      <c r="D1027" s="3"/>
      <c r="E1027" s="221"/>
      <c r="F1027" s="3"/>
      <c r="G1027" s="3"/>
      <c r="H1027" s="3"/>
    </row>
    <row r="1028" spans="1:8">
      <c r="A1028" s="3"/>
      <c r="B1028" s="3"/>
      <c r="C1028" s="3"/>
      <c r="D1028" s="3"/>
      <c r="E1028" s="221"/>
      <c r="F1028" s="3"/>
      <c r="G1028" s="3"/>
      <c r="H1028" s="3"/>
    </row>
    <row r="1029" spans="1:8">
      <c r="A1029" s="3"/>
      <c r="B1029" s="3"/>
      <c r="C1029" s="3"/>
      <c r="D1029" s="3"/>
      <c r="E1029" s="221"/>
      <c r="F1029" s="3"/>
      <c r="G1029" s="3"/>
      <c r="H1029" s="3"/>
    </row>
    <row r="1030" spans="1:8">
      <c r="A1030" s="3"/>
      <c r="B1030" s="3"/>
      <c r="C1030" s="3"/>
      <c r="D1030" s="3"/>
      <c r="E1030" s="221"/>
      <c r="F1030" s="3"/>
      <c r="G1030" s="3"/>
      <c r="H1030" s="3"/>
    </row>
    <row r="1031" spans="1:8">
      <c r="A1031" s="3"/>
      <c r="B1031" s="3"/>
      <c r="C1031" s="3"/>
      <c r="D1031" s="3"/>
      <c r="E1031" s="221"/>
      <c r="F1031" s="3"/>
      <c r="G1031" s="3"/>
      <c r="H1031" s="3"/>
    </row>
    <row r="1032" spans="1:8">
      <c r="A1032" s="3"/>
      <c r="B1032" s="3"/>
      <c r="C1032" s="3"/>
      <c r="D1032" s="3"/>
      <c r="E1032" s="221"/>
      <c r="F1032" s="3"/>
      <c r="G1032" s="3"/>
      <c r="H1032" s="3"/>
    </row>
    <row r="1033" spans="1:8">
      <c r="A1033" s="3"/>
      <c r="B1033" s="3"/>
      <c r="C1033" s="3"/>
      <c r="D1033" s="3"/>
      <c r="E1033" s="221"/>
      <c r="F1033" s="3"/>
      <c r="G1033" s="3"/>
      <c r="H1033" s="3"/>
    </row>
    <row r="1034" spans="1:8">
      <c r="A1034" s="3"/>
      <c r="B1034" s="3"/>
      <c r="C1034" s="3"/>
      <c r="D1034" s="3"/>
      <c r="E1034" s="221"/>
      <c r="F1034" s="3"/>
      <c r="G1034" s="3"/>
      <c r="H1034" s="3"/>
    </row>
    <row r="1035" spans="1:8">
      <c r="A1035" s="3"/>
      <c r="B1035" s="3"/>
      <c r="C1035" s="3"/>
      <c r="D1035" s="3"/>
      <c r="E1035" s="221"/>
      <c r="F1035" s="3"/>
      <c r="G1035" s="3"/>
      <c r="H1035" s="3"/>
    </row>
    <row r="1036" spans="1:8">
      <c r="A1036" s="3"/>
      <c r="B1036" s="3"/>
      <c r="C1036" s="3"/>
      <c r="D1036" s="3"/>
      <c r="E1036" s="221"/>
      <c r="F1036" s="3"/>
      <c r="G1036" s="3"/>
      <c r="H1036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Plan23"/>
  <dimension ref="A1:H263"/>
  <sheetViews>
    <sheetView workbookViewId="0">
      <pane xSplit="6" ySplit="1" topLeftCell="G225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" defaultRowHeight="13.5"/>
  <cols>
    <col min="1" max="1" width="13.7109375" style="3" customWidth="1"/>
    <col min="2" max="2" width="21.42578125" style="3" customWidth="1"/>
    <col min="3" max="3" width="48.42578125" style="3" customWidth="1"/>
    <col min="4" max="4" width="16" style="3" customWidth="1"/>
    <col min="5" max="5" width="17" style="221" customWidth="1"/>
    <col min="6" max="6" width="16" style="3" customWidth="1"/>
    <col min="7" max="7" width="8.42578125" style="3" customWidth="1"/>
    <col min="8" max="8" width="13.7109375" style="3" bestFit="1" customWidth="1"/>
    <col min="9" max="16384" width="9" style="3"/>
  </cols>
  <sheetData>
    <row r="1" spans="1:7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6</v>
      </c>
    </row>
    <row r="2" spans="1:7">
      <c r="A2" s="767"/>
      <c r="B2" s="1121"/>
      <c r="C2" s="802" t="s">
        <v>13737</v>
      </c>
      <c r="D2" s="754"/>
      <c r="E2" s="755"/>
      <c r="F2" s="1122"/>
    </row>
    <row r="3" spans="1:7">
      <c r="A3" s="769">
        <v>42741</v>
      </c>
      <c r="B3" s="240" t="str">
        <f>TiposLancamentos!B16</f>
        <v>Cristiane</v>
      </c>
      <c r="C3" s="878" t="s">
        <v>15777</v>
      </c>
      <c r="D3" s="63"/>
      <c r="E3" s="231">
        <v>409.74</v>
      </c>
      <c r="F3" s="1123"/>
      <c r="G3" s="1152" t="s">
        <v>9</v>
      </c>
    </row>
    <row r="4" spans="1:7">
      <c r="A4" s="759"/>
      <c r="B4" s="243"/>
      <c r="C4" s="389" t="s">
        <v>10</v>
      </c>
      <c r="D4" s="146"/>
      <c r="E4" s="146"/>
      <c r="F4" s="1138"/>
      <c r="G4" s="1094" t="s">
        <v>11</v>
      </c>
    </row>
    <row r="5" spans="1:7">
      <c r="A5" s="767"/>
      <c r="B5" s="1121"/>
      <c r="C5" s="802" t="s">
        <v>10968</v>
      </c>
      <c r="D5" s="754"/>
      <c r="E5" s="755"/>
      <c r="F5" s="1122">
        <f>SUM(E3:E3)</f>
        <v>409.74</v>
      </c>
    </row>
    <row r="6" spans="1:7">
      <c r="A6" s="769">
        <v>42767</v>
      </c>
      <c r="B6" s="240" t="str">
        <f>TiposLancamentos!B15</f>
        <v>Cartões de Crédito</v>
      </c>
      <c r="C6" s="878" t="s">
        <v>1874</v>
      </c>
      <c r="D6" s="63">
        <v>409.74</v>
      </c>
      <c r="E6" s="231"/>
      <c r="F6" s="1123">
        <f>F5-F2</f>
        <v>409.74</v>
      </c>
    </row>
    <row r="7" spans="1:7">
      <c r="A7" s="759"/>
      <c r="B7" s="243"/>
      <c r="C7" s="389" t="s">
        <v>10</v>
      </c>
      <c r="D7" s="146"/>
      <c r="E7" s="146"/>
      <c r="F7" s="1138"/>
    </row>
    <row r="8" spans="1:7">
      <c r="A8" s="767"/>
      <c r="B8" s="1121"/>
      <c r="C8" s="802" t="s">
        <v>15778</v>
      </c>
      <c r="D8" s="754"/>
      <c r="E8" s="755"/>
      <c r="F8" s="1122">
        <f>SUM(E5:E6)</f>
        <v>0</v>
      </c>
    </row>
    <row r="9" spans="1:7">
      <c r="A9" s="759"/>
      <c r="B9" s="243"/>
      <c r="C9" s="389" t="s">
        <v>10</v>
      </c>
      <c r="D9" s="146"/>
      <c r="E9" s="146"/>
      <c r="F9" s="1138"/>
    </row>
    <row r="10" spans="1:7">
      <c r="A10" s="767"/>
      <c r="B10" s="1121"/>
      <c r="C10" s="802" t="s">
        <v>15779</v>
      </c>
      <c r="D10" s="754"/>
      <c r="E10" s="755"/>
      <c r="F10" s="1122">
        <f>SUM(E8:E8)</f>
        <v>0</v>
      </c>
    </row>
    <row r="11" spans="1:7" ht="14.25" thickBot="1">
      <c r="A11" s="759"/>
      <c r="B11" s="243"/>
      <c r="C11" s="389" t="s">
        <v>10</v>
      </c>
      <c r="D11" s="146"/>
      <c r="E11" s="146"/>
      <c r="F11" s="1138"/>
    </row>
    <row r="12" spans="1:7">
      <c r="A12" s="1032"/>
      <c r="B12" s="1230"/>
      <c r="C12" s="906" t="s">
        <v>15780</v>
      </c>
      <c r="D12" s="896"/>
      <c r="E12" s="925"/>
      <c r="F12" s="1034"/>
    </row>
    <row r="13" spans="1:7">
      <c r="A13" s="884">
        <v>42893</v>
      </c>
      <c r="B13" s="240" t="str">
        <f>TiposLancamentos!B64</f>
        <v>Viagens</v>
      </c>
      <c r="C13" s="878" t="s">
        <v>15781</v>
      </c>
      <c r="D13" s="63"/>
      <c r="E13" s="231">
        <f>F13/7</f>
        <v>86.690000000000012</v>
      </c>
      <c r="F13" s="1016">
        <v>606.83000000000004</v>
      </c>
      <c r="G13" s="1152" t="s">
        <v>9</v>
      </c>
    </row>
    <row r="14" spans="1:7">
      <c r="A14" s="884">
        <v>42893</v>
      </c>
      <c r="B14" s="240" t="str">
        <f>TiposLancamentos!B64</f>
        <v>Viagens</v>
      </c>
      <c r="C14" s="878" t="s">
        <v>15782</v>
      </c>
      <c r="D14" s="63"/>
      <c r="E14" s="231">
        <f>F14/7</f>
        <v>16.122857142857143</v>
      </c>
      <c r="F14" s="1016">
        <v>112.86</v>
      </c>
      <c r="G14" s="1152" t="s">
        <v>9</v>
      </c>
    </row>
    <row r="15" spans="1:7">
      <c r="A15" s="884">
        <v>42893</v>
      </c>
      <c r="B15" s="240" t="str">
        <f>TiposLancamentos!B64</f>
        <v>Viagens</v>
      </c>
      <c r="C15" s="878" t="s">
        <v>15783</v>
      </c>
      <c r="D15" s="63"/>
      <c r="E15" s="231">
        <f>F15/7</f>
        <v>299.93</v>
      </c>
      <c r="F15" s="1016">
        <v>2099.5100000000002</v>
      </c>
      <c r="G15" s="1152" t="s">
        <v>9</v>
      </c>
    </row>
    <row r="16" spans="1:7">
      <c r="A16" s="884">
        <v>42897</v>
      </c>
      <c r="B16" s="240" t="str">
        <f>TiposLancamentos!B19</f>
        <v>Restaurantes</v>
      </c>
      <c r="C16" s="878" t="s">
        <v>15784</v>
      </c>
      <c r="D16" s="63"/>
      <c r="E16" s="231">
        <v>84.54</v>
      </c>
      <c r="F16" s="1016"/>
      <c r="G16" s="1152" t="s">
        <v>9</v>
      </c>
    </row>
    <row r="17" spans="1:8">
      <c r="A17" s="884">
        <v>42900</v>
      </c>
      <c r="B17" s="240" t="str">
        <f>TiposLancamentos!B56</f>
        <v>Farmácia</v>
      </c>
      <c r="C17" s="878" t="s">
        <v>15785</v>
      </c>
      <c r="D17" s="63"/>
      <c r="E17" s="231">
        <v>14.34</v>
      </c>
      <c r="F17" s="1016"/>
      <c r="G17" s="1152" t="s">
        <v>9</v>
      </c>
    </row>
    <row r="18" spans="1:8">
      <c r="A18" s="884">
        <v>42901</v>
      </c>
      <c r="B18" s="240" t="str">
        <f>TiposLancamentos!B19</f>
        <v>Restaurantes</v>
      </c>
      <c r="C18" s="878" t="s">
        <v>15786</v>
      </c>
      <c r="D18" s="63"/>
      <c r="E18" s="231">
        <v>223.75</v>
      </c>
      <c r="F18" s="1016"/>
      <c r="G18" s="1152" t="s">
        <v>9</v>
      </c>
    </row>
    <row r="19" spans="1:8">
      <c r="A19" s="884">
        <v>42902</v>
      </c>
      <c r="B19" s="240" t="str">
        <f>TiposLancamentos!B19</f>
        <v>Restaurantes</v>
      </c>
      <c r="C19" s="878" t="s">
        <v>8144</v>
      </c>
      <c r="D19" s="63"/>
      <c r="E19" s="231">
        <v>129.34</v>
      </c>
      <c r="F19" s="1016"/>
      <c r="G19" s="1152" t="s">
        <v>9</v>
      </c>
    </row>
    <row r="20" spans="1:8">
      <c r="A20" s="884">
        <v>42903</v>
      </c>
      <c r="B20" s="240" t="str">
        <f>TiposLancamentos!B19</f>
        <v>Restaurantes</v>
      </c>
      <c r="C20" s="878" t="s">
        <v>15787</v>
      </c>
      <c r="D20" s="63"/>
      <c r="E20" s="231">
        <v>107.58</v>
      </c>
      <c r="F20" s="1016"/>
      <c r="G20" s="1152" t="s">
        <v>9</v>
      </c>
    </row>
    <row r="21" spans="1:8">
      <c r="A21" s="884">
        <v>42903</v>
      </c>
      <c r="B21" s="240" t="str">
        <f>TiposLancamentos!B5</f>
        <v>Supermercado</v>
      </c>
      <c r="C21" s="878" t="s">
        <v>6234</v>
      </c>
      <c r="D21" s="63"/>
      <c r="E21" s="231">
        <v>152.94999999999999</v>
      </c>
      <c r="F21" s="1016"/>
      <c r="G21" s="1152" t="s">
        <v>9</v>
      </c>
    </row>
    <row r="22" spans="1:8">
      <c r="A22" s="884">
        <v>42904</v>
      </c>
      <c r="B22" s="240" t="str">
        <f>TiposLancamentos!B19</f>
        <v>Restaurantes</v>
      </c>
      <c r="C22" s="878" t="s">
        <v>15788</v>
      </c>
      <c r="D22" s="63"/>
      <c r="E22" s="231">
        <v>83.76</v>
      </c>
      <c r="F22" s="1016"/>
      <c r="G22" s="1152" t="s">
        <v>9</v>
      </c>
    </row>
    <row r="23" spans="1:8">
      <c r="A23" s="884">
        <v>42904</v>
      </c>
      <c r="B23" s="240" t="str">
        <f>TiposLancamentos!B13</f>
        <v>Moradia</v>
      </c>
      <c r="C23" s="878" t="s">
        <v>15789</v>
      </c>
      <c r="D23" s="63"/>
      <c r="E23" s="231">
        <v>269.8</v>
      </c>
      <c r="F23" s="1016"/>
      <c r="G23" s="1152" t="s">
        <v>9</v>
      </c>
    </row>
    <row r="24" spans="1:8">
      <c r="A24" s="934"/>
      <c r="B24" s="243"/>
      <c r="C24" s="389" t="s">
        <v>10</v>
      </c>
      <c r="D24" s="146"/>
      <c r="E24" s="146"/>
      <c r="F24" s="1231"/>
      <c r="G24" s="1094" t="s">
        <v>11</v>
      </c>
    </row>
    <row r="25" spans="1:8">
      <c r="A25" s="884">
        <v>42908</v>
      </c>
      <c r="B25" s="240" t="str">
        <f>TiposLancamentos!B48</f>
        <v>Baralhos e Oráculos</v>
      </c>
      <c r="C25" s="878" t="s">
        <v>15790</v>
      </c>
      <c r="D25" s="63"/>
      <c r="E25" s="231">
        <v>134.9</v>
      </c>
      <c r="F25" s="1016"/>
      <c r="G25" s="1152" t="s">
        <v>9</v>
      </c>
    </row>
    <row r="26" spans="1:8">
      <c r="A26" s="884">
        <v>42908</v>
      </c>
      <c r="B26" s="240" t="str">
        <f>TiposLancamentos!B26</f>
        <v>LIVROS</v>
      </c>
      <c r="C26" s="878" t="s">
        <v>15791</v>
      </c>
      <c r="D26" s="63"/>
      <c r="E26" s="231">
        <v>81.2</v>
      </c>
      <c r="F26" s="1016"/>
      <c r="G26" s="1152" t="s">
        <v>9</v>
      </c>
    </row>
    <row r="27" spans="1:8">
      <c r="A27" s="884">
        <v>42909</v>
      </c>
      <c r="B27" s="240" t="str">
        <f>TiposLancamentos!B56</f>
        <v>Farmácia</v>
      </c>
      <c r="C27" s="878" t="s">
        <v>15792</v>
      </c>
      <c r="D27" s="63"/>
      <c r="E27" s="231">
        <v>102.97</v>
      </c>
      <c r="F27" s="1016"/>
      <c r="G27" s="1152" t="s">
        <v>9</v>
      </c>
    </row>
    <row r="28" spans="1:8">
      <c r="A28" s="884">
        <v>42910</v>
      </c>
      <c r="B28" s="240" t="str">
        <f>TiposLancamentos!B81</f>
        <v>Ferramentas gerais</v>
      </c>
      <c r="C28" s="878" t="s">
        <v>15793</v>
      </c>
      <c r="D28" s="63"/>
      <c r="E28" s="231">
        <v>157.43</v>
      </c>
      <c r="F28" s="1016"/>
      <c r="G28" s="1152" t="s">
        <v>9</v>
      </c>
    </row>
    <row r="29" spans="1:8">
      <c r="A29" s="884">
        <v>42911</v>
      </c>
      <c r="B29" s="240" t="str">
        <f>TiposLancamentos!B19</f>
        <v>Restaurantes</v>
      </c>
      <c r="C29" s="878" t="s">
        <v>15794</v>
      </c>
      <c r="D29" s="63"/>
      <c r="E29" s="231">
        <v>159.16999999999999</v>
      </c>
      <c r="F29" s="1016"/>
      <c r="G29" s="1152" t="s">
        <v>9</v>
      </c>
    </row>
    <row r="30" spans="1:8">
      <c r="A30" s="884">
        <v>42911</v>
      </c>
      <c r="B30" s="240" t="str">
        <f>TiposLancamentos!B19</f>
        <v>Restaurantes</v>
      </c>
      <c r="C30" s="878" t="s">
        <v>15795</v>
      </c>
      <c r="D30" s="63"/>
      <c r="E30" s="231">
        <v>37.799999999999997</v>
      </c>
      <c r="F30" s="1016"/>
      <c r="G30" s="1152" t="s">
        <v>9</v>
      </c>
    </row>
    <row r="31" spans="1:8">
      <c r="A31" s="884">
        <v>42911</v>
      </c>
      <c r="B31" s="240" t="str">
        <f>TiposLancamentos!B16</f>
        <v>Cristiane</v>
      </c>
      <c r="C31" s="878" t="s">
        <v>15796</v>
      </c>
      <c r="D31" s="63"/>
      <c r="E31" s="231">
        <v>149</v>
      </c>
      <c r="F31" s="1016"/>
      <c r="G31" s="1152" t="s">
        <v>9</v>
      </c>
    </row>
    <row r="32" spans="1:8">
      <c r="A32" s="1226">
        <v>42911</v>
      </c>
      <c r="B32" s="1218" t="str">
        <f>TiposLancamentos!B81</f>
        <v>Ferramentas gerais</v>
      </c>
      <c r="C32" s="1219" t="s">
        <v>15797</v>
      </c>
      <c r="D32" s="1220"/>
      <c r="E32" s="1221">
        <v>8.99</v>
      </c>
      <c r="F32" s="1227"/>
      <c r="G32" s="1152" t="s">
        <v>9</v>
      </c>
      <c r="H32" s="877"/>
    </row>
    <row r="33" spans="1:8">
      <c r="A33" s="1228">
        <v>42911</v>
      </c>
      <c r="B33" s="1222" t="str">
        <f>TiposLancamentos!B16</f>
        <v>Cristiane</v>
      </c>
      <c r="C33" s="1223" t="s">
        <v>2533</v>
      </c>
      <c r="D33" s="1224"/>
      <c r="E33" s="1225">
        <f>F33-E32</f>
        <v>7.9799999999999986</v>
      </c>
      <c r="F33" s="1229">
        <v>16.97</v>
      </c>
      <c r="G33" s="1152" t="s">
        <v>9</v>
      </c>
      <c r="H33" s="877"/>
    </row>
    <row r="34" spans="1:8">
      <c r="A34" s="1022">
        <v>42911</v>
      </c>
      <c r="B34" s="1121" t="str">
        <f>TiposLancamentos!B81</f>
        <v>Ferramentas gerais</v>
      </c>
      <c r="C34" s="802" t="s">
        <v>15798</v>
      </c>
      <c r="D34" s="754"/>
      <c r="E34" s="755">
        <v>59.9</v>
      </c>
      <c r="F34" s="1023"/>
      <c r="G34" s="1152" t="s">
        <v>9</v>
      </c>
    </row>
    <row r="35" spans="1:8">
      <c r="A35" s="884">
        <v>42911</v>
      </c>
      <c r="B35" s="240" t="str">
        <f>TiposLancamentos!B5</f>
        <v>Supermercado</v>
      </c>
      <c r="C35" s="878" t="s">
        <v>7068</v>
      </c>
      <c r="D35" s="63"/>
      <c r="E35" s="231">
        <v>40.57</v>
      </c>
      <c r="F35" s="1016"/>
      <c r="G35" s="1152" t="s">
        <v>9</v>
      </c>
    </row>
    <row r="36" spans="1:8">
      <c r="A36" s="884">
        <v>42912</v>
      </c>
      <c r="B36" s="240" t="str">
        <f>TiposLancamentos!B5</f>
        <v>Supermercado</v>
      </c>
      <c r="C36" s="878" t="s">
        <v>6234</v>
      </c>
      <c r="D36" s="63"/>
      <c r="E36" s="231">
        <v>194.69</v>
      </c>
      <c r="F36" s="1016"/>
      <c r="G36" s="1152" t="s">
        <v>9</v>
      </c>
    </row>
    <row r="37" spans="1:8">
      <c r="A37" s="884">
        <v>42915</v>
      </c>
      <c r="B37" s="240" t="str">
        <f>TiposLancamentos!B19</f>
        <v>Restaurantes</v>
      </c>
      <c r="C37" s="878" t="s">
        <v>15799</v>
      </c>
      <c r="D37" s="63"/>
      <c r="E37" s="231">
        <v>12.92</v>
      </c>
      <c r="F37" s="1016"/>
      <c r="G37" s="1152" t="s">
        <v>9</v>
      </c>
    </row>
    <row r="38" spans="1:8">
      <c r="A38" s="884">
        <v>42915</v>
      </c>
      <c r="B38" s="240" t="str">
        <f>TiposLancamentos!B19</f>
        <v>Restaurantes</v>
      </c>
      <c r="C38" s="878" t="s">
        <v>15800</v>
      </c>
      <c r="D38" s="63"/>
      <c r="E38" s="231">
        <v>16.16</v>
      </c>
      <c r="F38" s="1016"/>
      <c r="G38" s="1152" t="s">
        <v>9</v>
      </c>
    </row>
    <row r="39" spans="1:8">
      <c r="A39" s="884">
        <v>42915</v>
      </c>
      <c r="B39" s="240" t="str">
        <f>TiposLancamentos!B19</f>
        <v>Restaurantes</v>
      </c>
      <c r="C39" s="878" t="s">
        <v>15801</v>
      </c>
      <c r="D39" s="63"/>
      <c r="E39" s="231">
        <v>90.2</v>
      </c>
      <c r="F39" s="1016"/>
      <c r="G39" s="1152" t="s">
        <v>9</v>
      </c>
    </row>
    <row r="40" spans="1:8" ht="14.25" thickBot="1">
      <c r="A40" s="885">
        <v>42916</v>
      </c>
      <c r="B40" s="1232" t="str">
        <f>TiposLancamentos!B31</f>
        <v>Action Figures</v>
      </c>
      <c r="C40" s="1120" t="s">
        <v>15802</v>
      </c>
      <c r="D40" s="903"/>
      <c r="E40" s="928">
        <f>F40/3</f>
        <v>134.34666666666666</v>
      </c>
      <c r="F40" s="1036">
        <v>403.04</v>
      </c>
      <c r="G40" s="1152" t="s">
        <v>9</v>
      </c>
    </row>
    <row r="41" spans="1:8">
      <c r="A41" s="1032"/>
      <c r="B41" s="1230"/>
      <c r="C41" s="906" t="s">
        <v>11096</v>
      </c>
      <c r="D41" s="896"/>
      <c r="E41" s="925"/>
      <c r="F41" s="1034">
        <f>SUM(E12:E23)</f>
        <v>1468.8028571428572</v>
      </c>
    </row>
    <row r="42" spans="1:8">
      <c r="A42" s="884">
        <v>42919</v>
      </c>
      <c r="B42" s="240" t="str">
        <f>TiposLancamentos!B15</f>
        <v>Cartões de Crédito</v>
      </c>
      <c r="C42" s="878" t="s">
        <v>15803</v>
      </c>
      <c r="D42" s="63">
        <v>1468.8</v>
      </c>
      <c r="E42" s="231"/>
      <c r="F42" s="1016"/>
      <c r="G42" s="1152" t="s">
        <v>9</v>
      </c>
    </row>
    <row r="43" spans="1:8">
      <c r="A43" s="1233">
        <v>42920</v>
      </c>
      <c r="B43" s="1208" t="str">
        <f>TiposLancamentos!B48</f>
        <v>Baralhos e Oráculos</v>
      </c>
      <c r="C43" s="1209" t="s">
        <v>15804</v>
      </c>
      <c r="D43" s="1210"/>
      <c r="E43" s="1211">
        <v>105</v>
      </c>
      <c r="F43" s="1234"/>
      <c r="G43" s="1152" t="s">
        <v>9</v>
      </c>
    </row>
    <row r="44" spans="1:8">
      <c r="A44" s="1235">
        <v>42920</v>
      </c>
      <c r="B44" s="1204" t="str">
        <f>TiposLancamentos!B16</f>
        <v>Cristiane</v>
      </c>
      <c r="C44" s="1205" t="s">
        <v>15805</v>
      </c>
      <c r="D44" s="1206"/>
      <c r="E44" s="1207">
        <v>5</v>
      </c>
      <c r="F44" s="1236"/>
      <c r="G44" s="1152" t="s">
        <v>9</v>
      </c>
    </row>
    <row r="45" spans="1:8">
      <c r="A45" s="1237">
        <v>42920</v>
      </c>
      <c r="B45" s="1212" t="str">
        <f>TiposLancamentos!B13</f>
        <v>Moradia</v>
      </c>
      <c r="C45" s="1213" t="s">
        <v>15806</v>
      </c>
      <c r="D45" s="1214"/>
      <c r="E45" s="1215">
        <f>F45-(E43+E44)</f>
        <v>28</v>
      </c>
      <c r="F45" s="1238">
        <v>138</v>
      </c>
      <c r="G45" s="1152" t="s">
        <v>9</v>
      </c>
    </row>
    <row r="46" spans="1:8">
      <c r="A46" s="884">
        <v>42920</v>
      </c>
      <c r="B46" s="240" t="str">
        <f>TiposLancamentos!B56</f>
        <v>Farmácia</v>
      </c>
      <c r="C46" s="878" t="s">
        <v>15807</v>
      </c>
      <c r="D46" s="63"/>
      <c r="E46" s="231">
        <v>53.09</v>
      </c>
      <c r="F46" s="1016"/>
      <c r="G46" s="1152" t="s">
        <v>9</v>
      </c>
    </row>
    <row r="47" spans="1:8">
      <c r="A47" s="884">
        <v>42920</v>
      </c>
      <c r="B47" s="240" t="str">
        <f>TiposLancamentos!B56</f>
        <v>Farmácia</v>
      </c>
      <c r="C47" s="878" t="s">
        <v>6118</v>
      </c>
      <c r="D47" s="63"/>
      <c r="E47" s="231">
        <v>74.16</v>
      </c>
      <c r="F47" s="1016"/>
      <c r="G47" s="1152" t="s">
        <v>9</v>
      </c>
    </row>
    <row r="48" spans="1:8">
      <c r="A48" s="884">
        <v>42920</v>
      </c>
      <c r="B48" s="240" t="str">
        <f>TiposLancamentos!B19</f>
        <v>Restaurantes</v>
      </c>
      <c r="C48" s="878" t="s">
        <v>15808</v>
      </c>
      <c r="D48" s="63"/>
      <c r="E48" s="231">
        <v>90.53</v>
      </c>
      <c r="F48" s="1016"/>
      <c r="G48" s="1152" t="s">
        <v>9</v>
      </c>
    </row>
    <row r="49" spans="1:7">
      <c r="A49" s="884">
        <v>42921</v>
      </c>
      <c r="B49" s="240" t="str">
        <f>TiposLancamentos!B5</f>
        <v>Supermercado</v>
      </c>
      <c r="C49" s="878" t="s">
        <v>6201</v>
      </c>
      <c r="D49" s="63"/>
      <c r="E49" s="231">
        <v>27.34</v>
      </c>
      <c r="F49" s="1016"/>
      <c r="G49" s="1152" t="s">
        <v>9</v>
      </c>
    </row>
    <row r="50" spans="1:7">
      <c r="A50" s="884">
        <v>42921</v>
      </c>
      <c r="B50" s="240" t="str">
        <f>TiposLancamentos!B19</f>
        <v>Restaurantes</v>
      </c>
      <c r="C50" s="878" t="s">
        <v>15809</v>
      </c>
      <c r="D50" s="63"/>
      <c r="E50" s="231">
        <v>59.1</v>
      </c>
      <c r="F50" s="1016"/>
      <c r="G50" s="1152" t="s">
        <v>9</v>
      </c>
    </row>
    <row r="51" spans="1:7">
      <c r="A51" s="884">
        <v>42923</v>
      </c>
      <c r="B51" s="240" t="str">
        <f>TiposLancamentos!B64</f>
        <v>Viagens</v>
      </c>
      <c r="C51" s="878" t="s">
        <v>15810</v>
      </c>
      <c r="D51" s="63"/>
      <c r="E51" s="231">
        <f>F51/7</f>
        <v>86.690000000000012</v>
      </c>
      <c r="F51" s="1016">
        <v>606.83000000000004</v>
      </c>
      <c r="G51" s="1152" t="s">
        <v>9</v>
      </c>
    </row>
    <row r="52" spans="1:7">
      <c r="A52" s="884">
        <v>42923</v>
      </c>
      <c r="B52" s="240" t="str">
        <f>TiposLancamentos!B64</f>
        <v>Viagens</v>
      </c>
      <c r="C52" s="878" t="s">
        <v>15811</v>
      </c>
      <c r="D52" s="63"/>
      <c r="E52" s="231">
        <f>F52/7</f>
        <v>16.122857142857143</v>
      </c>
      <c r="F52" s="1016">
        <v>112.86</v>
      </c>
      <c r="G52" s="1152" t="s">
        <v>9</v>
      </c>
    </row>
    <row r="53" spans="1:7">
      <c r="A53" s="884">
        <v>42923</v>
      </c>
      <c r="B53" s="240" t="str">
        <f>TiposLancamentos!B64</f>
        <v>Viagens</v>
      </c>
      <c r="C53" s="878" t="s">
        <v>15812</v>
      </c>
      <c r="D53" s="63"/>
      <c r="E53" s="231">
        <v>299.94</v>
      </c>
      <c r="F53" s="1016">
        <v>2099.5100000000002</v>
      </c>
      <c r="G53" s="1152" t="s">
        <v>9</v>
      </c>
    </row>
    <row r="54" spans="1:7">
      <c r="A54" s="884">
        <v>42924</v>
      </c>
      <c r="B54" s="240" t="str">
        <f>TiposLancamentos!B19</f>
        <v>Restaurantes</v>
      </c>
      <c r="C54" s="878" t="s">
        <v>15813</v>
      </c>
      <c r="D54" s="63"/>
      <c r="E54" s="231">
        <v>70.400000000000006</v>
      </c>
      <c r="F54" s="1016"/>
      <c r="G54" s="1152" t="s">
        <v>9</v>
      </c>
    </row>
    <row r="55" spans="1:7">
      <c r="A55" s="884">
        <v>42925</v>
      </c>
      <c r="B55" s="240" t="str">
        <f>TiposLancamentos!B56</f>
        <v>Farmácia</v>
      </c>
      <c r="C55" s="878" t="s">
        <v>15814</v>
      </c>
      <c r="D55" s="63"/>
      <c r="E55" s="231">
        <v>26.62</v>
      </c>
      <c r="F55" s="1016"/>
      <c r="G55" s="1152" t="s">
        <v>9</v>
      </c>
    </row>
    <row r="56" spans="1:7">
      <c r="A56" s="884">
        <v>42925</v>
      </c>
      <c r="B56" s="240" t="str">
        <f>TiposLancamentos!B5</f>
        <v>Supermercado</v>
      </c>
      <c r="C56" s="878" t="s">
        <v>15815</v>
      </c>
      <c r="D56" s="63"/>
      <c r="E56" s="231">
        <v>28</v>
      </c>
      <c r="F56" s="1016"/>
      <c r="G56" s="1152" t="s">
        <v>9</v>
      </c>
    </row>
    <row r="57" spans="1:7">
      <c r="A57" s="884">
        <v>42926</v>
      </c>
      <c r="B57" s="240" t="str">
        <f>TiposLancamentos!B5</f>
        <v>Supermercado</v>
      </c>
      <c r="C57" s="878" t="s">
        <v>15816</v>
      </c>
      <c r="D57" s="63"/>
      <c r="E57" s="231">
        <v>16.93</v>
      </c>
      <c r="F57" s="1016"/>
      <c r="G57" s="1152" t="s">
        <v>9</v>
      </c>
    </row>
    <row r="58" spans="1:7">
      <c r="A58" s="884">
        <v>42926</v>
      </c>
      <c r="B58" s="240" t="str">
        <f>TiposLancamentos!B19</f>
        <v>Restaurantes</v>
      </c>
      <c r="C58" s="878" t="s">
        <v>15817</v>
      </c>
      <c r="D58" s="63"/>
      <c r="E58" s="231">
        <v>14</v>
      </c>
      <c r="F58" s="1016"/>
      <c r="G58" s="1152" t="s">
        <v>9</v>
      </c>
    </row>
    <row r="59" spans="1:7">
      <c r="A59" s="884">
        <v>42926</v>
      </c>
      <c r="B59" s="240" t="str">
        <f>TiposLancamentos!B16</f>
        <v>Cristiane</v>
      </c>
      <c r="C59" s="878" t="s">
        <v>15818</v>
      </c>
      <c r="D59" s="63"/>
      <c r="E59" s="231">
        <v>46.4</v>
      </c>
      <c r="F59" s="1016"/>
      <c r="G59" s="1152" t="s">
        <v>9</v>
      </c>
    </row>
    <row r="60" spans="1:7">
      <c r="A60" s="884">
        <v>42926</v>
      </c>
      <c r="B60" s="240" t="str">
        <f>TiposLancamentos!B13</f>
        <v>Moradia</v>
      </c>
      <c r="C60" s="878" t="s">
        <v>6618</v>
      </c>
      <c r="D60" s="63"/>
      <c r="E60" s="231">
        <v>62.96</v>
      </c>
      <c r="F60" s="1016"/>
      <c r="G60" s="1152" t="s">
        <v>9</v>
      </c>
    </row>
    <row r="61" spans="1:7">
      <c r="A61" s="884">
        <v>42926</v>
      </c>
      <c r="B61" s="240" t="str">
        <f>TiposLancamentos!B5</f>
        <v>Supermercado</v>
      </c>
      <c r="C61" s="878" t="s">
        <v>15819</v>
      </c>
      <c r="D61" s="63"/>
      <c r="E61" s="231">
        <v>27.13</v>
      </c>
      <c r="F61" s="1016"/>
      <c r="G61" s="1152" t="s">
        <v>9</v>
      </c>
    </row>
    <row r="62" spans="1:7">
      <c r="A62" s="884">
        <v>42926</v>
      </c>
      <c r="B62" s="240" t="str">
        <f>TiposLancamentos!B5</f>
        <v>Supermercado</v>
      </c>
      <c r="C62" s="878" t="s">
        <v>15820</v>
      </c>
      <c r="D62" s="63"/>
      <c r="E62" s="231">
        <v>44.66</v>
      </c>
      <c r="F62" s="1016"/>
      <c r="G62" s="1152" t="s">
        <v>9</v>
      </c>
    </row>
    <row r="63" spans="1:7">
      <c r="A63" s="884">
        <v>42928</v>
      </c>
      <c r="B63" s="240" t="str">
        <f>TiposLancamentos!B69</f>
        <v>Consertos</v>
      </c>
      <c r="C63" s="878" t="s">
        <v>15821</v>
      </c>
      <c r="D63" s="63"/>
      <c r="E63" s="231">
        <v>116.8</v>
      </c>
      <c r="F63" s="1016"/>
      <c r="G63" s="1152" t="s">
        <v>9</v>
      </c>
    </row>
    <row r="64" spans="1:7">
      <c r="A64" s="884">
        <v>42929</v>
      </c>
      <c r="B64" s="240" t="str">
        <f>TiposLancamentos!B19</f>
        <v>Restaurantes</v>
      </c>
      <c r="C64" s="878" t="s">
        <v>15822</v>
      </c>
      <c r="D64" s="63"/>
      <c r="E64" s="231">
        <v>153.27000000000001</v>
      </c>
      <c r="F64" s="1016"/>
      <c r="G64" s="1152" t="s">
        <v>9</v>
      </c>
    </row>
    <row r="65" spans="1:7">
      <c r="A65" s="884">
        <v>42930</v>
      </c>
      <c r="B65" s="240" t="str">
        <f>TiposLancamentos!B5</f>
        <v>Supermercado</v>
      </c>
      <c r="C65" s="878" t="s">
        <v>6414</v>
      </c>
      <c r="D65" s="63"/>
      <c r="E65" s="231">
        <v>137.22999999999999</v>
      </c>
      <c r="F65" s="1016"/>
      <c r="G65" s="1152" t="s">
        <v>9</v>
      </c>
    </row>
    <row r="66" spans="1:7">
      <c r="A66" s="884">
        <v>42931</v>
      </c>
      <c r="B66" s="240" t="str">
        <f>TiposLancamentos!B19</f>
        <v>Restaurantes</v>
      </c>
      <c r="C66" s="878" t="s">
        <v>15823</v>
      </c>
      <c r="D66" s="63"/>
      <c r="E66" s="231">
        <v>59.5</v>
      </c>
      <c r="F66" s="1016"/>
      <c r="G66" s="1152" t="s">
        <v>9</v>
      </c>
    </row>
    <row r="67" spans="1:7">
      <c r="A67" s="884">
        <v>42932</v>
      </c>
      <c r="B67" s="240" t="str">
        <f>TiposLancamentos!B5</f>
        <v>Supermercado</v>
      </c>
      <c r="C67" s="878" t="s">
        <v>6414</v>
      </c>
      <c r="D67" s="63"/>
      <c r="E67" s="231">
        <v>18.73</v>
      </c>
      <c r="F67" s="1016"/>
      <c r="G67" s="1152" t="s">
        <v>9</v>
      </c>
    </row>
    <row r="68" spans="1:7">
      <c r="A68" s="884">
        <v>42932</v>
      </c>
      <c r="B68" s="240" t="str">
        <f>TiposLancamentos!B19</f>
        <v>Restaurantes</v>
      </c>
      <c r="C68" s="878" t="s">
        <v>15824</v>
      </c>
      <c r="D68" s="63"/>
      <c r="E68" s="231">
        <v>141.29</v>
      </c>
      <c r="F68" s="1016"/>
      <c r="G68" s="1152" t="s">
        <v>9</v>
      </c>
    </row>
    <row r="69" spans="1:7">
      <c r="A69" s="884">
        <v>42932</v>
      </c>
      <c r="B69" s="240" t="str">
        <f>TiposLancamentos!B56</f>
        <v>Farmácia</v>
      </c>
      <c r="C69" s="878" t="s">
        <v>15825</v>
      </c>
      <c r="D69" s="63"/>
      <c r="E69" s="231">
        <v>54.08</v>
      </c>
      <c r="F69" s="1016"/>
      <c r="G69" s="1152" t="s">
        <v>9</v>
      </c>
    </row>
    <row r="70" spans="1:7">
      <c r="A70" s="884">
        <v>42933</v>
      </c>
      <c r="B70" s="240" t="str">
        <f>TiposLancamentos!B5</f>
        <v>Supermercado</v>
      </c>
      <c r="C70" s="878" t="s">
        <v>6414</v>
      </c>
      <c r="D70" s="63"/>
      <c r="E70" s="231">
        <v>36.44</v>
      </c>
      <c r="F70" s="1016"/>
      <c r="G70" s="1152" t="s">
        <v>9</v>
      </c>
    </row>
    <row r="71" spans="1:7">
      <c r="A71" s="884">
        <v>42936</v>
      </c>
      <c r="B71" s="240" t="str">
        <f>TiposLancamentos!B19</f>
        <v>Restaurantes</v>
      </c>
      <c r="C71" s="878" t="s">
        <v>15826</v>
      </c>
      <c r="D71" s="63"/>
      <c r="E71" s="231">
        <v>40.96</v>
      </c>
      <c r="F71" s="1016"/>
      <c r="G71" s="1152" t="s">
        <v>9</v>
      </c>
    </row>
    <row r="72" spans="1:7">
      <c r="A72" s="934"/>
      <c r="B72" s="243"/>
      <c r="C72" s="389" t="s">
        <v>10</v>
      </c>
      <c r="D72" s="146"/>
      <c r="E72" s="146"/>
      <c r="F72" s="1231"/>
      <c r="G72" s="1094" t="s">
        <v>11</v>
      </c>
    </row>
    <row r="73" spans="1:7">
      <c r="A73" s="884">
        <v>42937</v>
      </c>
      <c r="B73" s="240" t="str">
        <f>TiposLancamentos!B56</f>
        <v>Farmácia</v>
      </c>
      <c r="C73" s="878" t="s">
        <v>15827</v>
      </c>
      <c r="D73" s="63"/>
      <c r="E73" s="231">
        <v>6.4</v>
      </c>
      <c r="F73" s="1016"/>
      <c r="G73" s="1152" t="s">
        <v>9</v>
      </c>
    </row>
    <row r="74" spans="1:7">
      <c r="A74" s="884">
        <v>42937</v>
      </c>
      <c r="B74" s="240" t="str">
        <f>TiposLancamentos!B56</f>
        <v>Farmácia</v>
      </c>
      <c r="C74" s="878" t="s">
        <v>15828</v>
      </c>
      <c r="D74" s="63"/>
      <c r="E74" s="231">
        <v>15.9</v>
      </c>
      <c r="F74" s="1016"/>
      <c r="G74" s="1152" t="s">
        <v>9</v>
      </c>
    </row>
    <row r="75" spans="1:7">
      <c r="A75" s="1226">
        <v>42945</v>
      </c>
      <c r="B75" s="1218" t="str">
        <f>TiposLancamentos!B31</f>
        <v>Action Figures</v>
      </c>
      <c r="C75" s="1219" t="s">
        <v>15829</v>
      </c>
      <c r="D75" s="1220"/>
      <c r="E75" s="1221">
        <v>389.99</v>
      </c>
      <c r="F75" s="1227"/>
      <c r="G75" s="1152" t="s">
        <v>9</v>
      </c>
    </row>
    <row r="76" spans="1:7">
      <c r="A76" s="1228">
        <v>42945</v>
      </c>
      <c r="B76" s="1222" t="str">
        <f>TiposLancamentos!B16</f>
        <v>Cristiane</v>
      </c>
      <c r="C76" s="1223" t="s">
        <v>15830</v>
      </c>
      <c r="D76" s="1224"/>
      <c r="E76" s="1225">
        <f>F76-E75</f>
        <v>59.990000000000009</v>
      </c>
      <c r="F76" s="1229">
        <v>449.98</v>
      </c>
      <c r="G76" s="1152" t="s">
        <v>9</v>
      </c>
    </row>
    <row r="77" spans="1:7">
      <c r="A77" s="1226">
        <v>42945</v>
      </c>
      <c r="B77" s="1218" t="str">
        <f>TiposLancamentos!B71</f>
        <v>Itens Pessoais</v>
      </c>
      <c r="C77" s="1219" t="s">
        <v>15831</v>
      </c>
      <c r="D77" s="1220"/>
      <c r="E77" s="1221">
        <v>62</v>
      </c>
      <c r="F77" s="1227"/>
      <c r="G77" s="1152" t="s">
        <v>9</v>
      </c>
    </row>
    <row r="78" spans="1:7">
      <c r="A78" s="1228">
        <v>42945</v>
      </c>
      <c r="B78" s="1222" t="str">
        <f>TiposLancamentos!B16</f>
        <v>Cristiane</v>
      </c>
      <c r="C78" s="1223" t="s">
        <v>15832</v>
      </c>
      <c r="D78" s="1224"/>
      <c r="E78" s="1225">
        <f>F78-E77</f>
        <v>8.7999999999999972</v>
      </c>
      <c r="F78" s="1229">
        <v>70.8</v>
      </c>
      <c r="G78" s="1152" t="s">
        <v>9</v>
      </c>
    </row>
    <row r="79" spans="1:7">
      <c r="A79" s="884">
        <v>42945</v>
      </c>
      <c r="B79" s="240" t="str">
        <f>TiposLancamentos!B19</f>
        <v>Restaurantes</v>
      </c>
      <c r="C79" s="878" t="s">
        <v>15833</v>
      </c>
      <c r="D79" s="63"/>
      <c r="E79" s="231">
        <v>156.19999999999999</v>
      </c>
      <c r="F79" s="1016"/>
      <c r="G79" s="1152" t="s">
        <v>9</v>
      </c>
    </row>
    <row r="80" spans="1:7" ht="14.25" thickBot="1">
      <c r="A80" s="885">
        <v>42946</v>
      </c>
      <c r="B80" s="1232" t="str">
        <f>TiposLancamentos!B31</f>
        <v>Action Figures</v>
      </c>
      <c r="C80" s="1120" t="s">
        <v>15834</v>
      </c>
      <c r="D80" s="903"/>
      <c r="E80" s="928">
        <v>134.34</v>
      </c>
      <c r="F80" s="1036">
        <v>403.04</v>
      </c>
      <c r="G80" s="1152" t="s">
        <v>9</v>
      </c>
    </row>
    <row r="81" spans="1:7">
      <c r="A81" s="1032"/>
      <c r="B81" s="1230"/>
      <c r="C81" s="906" t="s">
        <v>15835</v>
      </c>
      <c r="D81" s="896"/>
      <c r="E81" s="925"/>
      <c r="F81" s="1034">
        <f>SUM(E25:E71)</f>
        <v>3328.5995238095238</v>
      </c>
    </row>
    <row r="82" spans="1:7">
      <c r="A82" s="884">
        <v>42948</v>
      </c>
      <c r="B82" s="240" t="str">
        <f>TiposLancamentos!B15</f>
        <v>Cartões de Crédito</v>
      </c>
      <c r="C82" s="878" t="s">
        <v>1874</v>
      </c>
      <c r="D82" s="63">
        <f>Santander!E780</f>
        <v>3328.6</v>
      </c>
      <c r="E82" s="231"/>
      <c r="F82" s="1016"/>
      <c r="G82" s="1152" t="s">
        <v>9</v>
      </c>
    </row>
    <row r="83" spans="1:7">
      <c r="A83" s="884">
        <v>42954</v>
      </c>
      <c r="B83" s="240" t="str">
        <f>TiposLancamentos!B64</f>
        <v>Viagens</v>
      </c>
      <c r="C83" s="878" t="s">
        <v>15836</v>
      </c>
      <c r="D83" s="63"/>
      <c r="E83" s="231">
        <f>F83/7</f>
        <v>86.690000000000012</v>
      </c>
      <c r="F83" s="1016">
        <v>606.83000000000004</v>
      </c>
      <c r="G83" s="1152" t="s">
        <v>9</v>
      </c>
    </row>
    <row r="84" spans="1:7">
      <c r="A84" s="884">
        <v>42954</v>
      </c>
      <c r="B84" s="240" t="str">
        <f>TiposLancamentos!B64</f>
        <v>Viagens</v>
      </c>
      <c r="C84" s="878" t="s">
        <v>15837</v>
      </c>
      <c r="D84" s="63"/>
      <c r="E84" s="231">
        <f>F84/7</f>
        <v>16.122857142857143</v>
      </c>
      <c r="F84" s="1016">
        <v>112.86</v>
      </c>
      <c r="G84" s="1152" t="s">
        <v>9</v>
      </c>
    </row>
    <row r="85" spans="1:7">
      <c r="A85" s="884">
        <v>42954</v>
      </c>
      <c r="B85" s="240" t="str">
        <f>TiposLancamentos!B64</f>
        <v>Viagens</v>
      </c>
      <c r="C85" s="878" t="s">
        <v>15838</v>
      </c>
      <c r="D85" s="63"/>
      <c r="E85" s="231">
        <f>F85/7</f>
        <v>299.93</v>
      </c>
      <c r="F85" s="1016">
        <v>2099.5100000000002</v>
      </c>
      <c r="G85" s="1152" t="s">
        <v>9</v>
      </c>
    </row>
    <row r="86" spans="1:7">
      <c r="A86" s="884">
        <v>42969</v>
      </c>
      <c r="B86" s="240" t="str">
        <f>TiposLancamentos!B4</f>
        <v>Taxas Bancarias</v>
      </c>
      <c r="C86" s="878" t="s">
        <v>15839</v>
      </c>
      <c r="D86" s="63"/>
      <c r="E86" s="231">
        <v>4.99</v>
      </c>
      <c r="F86" s="1016"/>
      <c r="G86" s="1152" t="s">
        <v>9</v>
      </c>
    </row>
    <row r="87" spans="1:7">
      <c r="A87" s="934"/>
      <c r="B87" s="243"/>
      <c r="C87" s="389" t="s">
        <v>10</v>
      </c>
      <c r="D87" s="146"/>
      <c r="E87" s="146"/>
      <c r="F87" s="1231"/>
      <c r="G87" s="1094" t="s">
        <v>11</v>
      </c>
    </row>
    <row r="88" spans="1:7">
      <c r="A88" s="884">
        <v>42969</v>
      </c>
      <c r="B88" s="240" t="str">
        <f>TiposLancamentos!B72</f>
        <v>Presentes</v>
      </c>
      <c r="C88" s="878" t="s">
        <v>15840</v>
      </c>
      <c r="D88" s="63"/>
      <c r="E88" s="231">
        <v>62</v>
      </c>
      <c r="F88" s="1016"/>
      <c r="G88" s="1152" t="s">
        <v>9</v>
      </c>
    </row>
    <row r="89" spans="1:7">
      <c r="A89" s="884">
        <v>42969</v>
      </c>
      <c r="B89" s="240" t="str">
        <f>TiposLancamentos!B19</f>
        <v>Restaurantes</v>
      </c>
      <c r="C89" s="878" t="s">
        <v>15841</v>
      </c>
      <c r="D89" s="63"/>
      <c r="E89" s="231">
        <v>12.92</v>
      </c>
      <c r="F89" s="1016"/>
      <c r="G89" s="1152" t="s">
        <v>9</v>
      </c>
    </row>
    <row r="90" spans="1:7">
      <c r="A90" s="884">
        <v>42969</v>
      </c>
      <c r="B90" s="240" t="str">
        <f>TiposLancamentos!B18</f>
        <v>Alimentacao</v>
      </c>
      <c r="C90" s="878" t="s">
        <v>15842</v>
      </c>
      <c r="D90" s="63"/>
      <c r="E90" s="231">
        <v>5.18</v>
      </c>
      <c r="F90" s="1016"/>
      <c r="G90" s="1152" t="s">
        <v>9</v>
      </c>
    </row>
    <row r="91" spans="1:7">
      <c r="A91" s="884">
        <v>42969</v>
      </c>
      <c r="B91" s="240" t="str">
        <f>TiposLancamentos!B19</f>
        <v>Restaurantes</v>
      </c>
      <c r="C91" s="878" t="s">
        <v>15843</v>
      </c>
      <c r="D91" s="63"/>
      <c r="E91" s="231">
        <v>11.37</v>
      </c>
      <c r="F91" s="1016"/>
      <c r="G91" s="1152" t="s">
        <v>9</v>
      </c>
    </row>
    <row r="92" spans="1:7">
      <c r="A92" s="884">
        <v>42969</v>
      </c>
      <c r="B92" s="240" t="str">
        <f>TiposLancamentos!B56</f>
        <v>Farmácia</v>
      </c>
      <c r="C92" s="878" t="s">
        <v>15844</v>
      </c>
      <c r="D92" s="63"/>
      <c r="E92" s="231">
        <v>6.4</v>
      </c>
      <c r="F92" s="1016"/>
      <c r="G92" s="1152" t="s">
        <v>9</v>
      </c>
    </row>
    <row r="93" spans="1:7">
      <c r="A93" s="884">
        <v>42972</v>
      </c>
      <c r="B93" s="240" t="str">
        <f>TiposLancamentos!B19</f>
        <v>Restaurantes</v>
      </c>
      <c r="C93" s="878" t="s">
        <v>11140</v>
      </c>
      <c r="D93" s="63"/>
      <c r="E93" s="231">
        <v>118.41</v>
      </c>
      <c r="F93" s="1016"/>
      <c r="G93" s="1094" t="s">
        <v>11</v>
      </c>
    </row>
    <row r="94" spans="1:7">
      <c r="A94" s="884">
        <v>42972</v>
      </c>
      <c r="B94" s="240" t="str">
        <f>TiposLancamentos!B16</f>
        <v>Cristiane</v>
      </c>
      <c r="C94" s="878" t="s">
        <v>15845</v>
      </c>
      <c r="D94" s="63"/>
      <c r="E94" s="231">
        <v>707.66</v>
      </c>
      <c r="F94" s="1016"/>
      <c r="G94" s="1094" t="s">
        <v>11</v>
      </c>
    </row>
    <row r="95" spans="1:7">
      <c r="A95" s="884">
        <v>42972</v>
      </c>
      <c r="B95" s="240" t="str">
        <f>TiposLancamentos!B19</f>
        <v>Restaurantes</v>
      </c>
      <c r="C95" s="878" t="s">
        <v>15846</v>
      </c>
      <c r="D95" s="63"/>
      <c r="E95" s="231">
        <v>73.64</v>
      </c>
      <c r="F95" s="1016"/>
      <c r="G95" s="1094" t="s">
        <v>11</v>
      </c>
    </row>
    <row r="96" spans="1:7">
      <c r="A96" s="884">
        <v>42975</v>
      </c>
      <c r="B96" s="240" t="str">
        <f>TiposLancamentos!B19</f>
        <v>Restaurantes</v>
      </c>
      <c r="C96" s="878" t="s">
        <v>15847</v>
      </c>
      <c r="D96" s="63"/>
      <c r="E96" s="231">
        <v>12.92</v>
      </c>
      <c r="F96" s="1016"/>
      <c r="G96" s="1152" t="s">
        <v>9</v>
      </c>
    </row>
    <row r="97" spans="1:7">
      <c r="A97" s="884">
        <v>42975</v>
      </c>
      <c r="B97" s="240" t="str">
        <f>TiposLancamentos!B19</f>
        <v>Restaurantes</v>
      </c>
      <c r="C97" s="878" t="s">
        <v>7000</v>
      </c>
      <c r="D97" s="63"/>
      <c r="E97" s="231">
        <v>7.9</v>
      </c>
      <c r="F97" s="1016"/>
      <c r="G97" s="1152" t="s">
        <v>9</v>
      </c>
    </row>
    <row r="98" spans="1:7">
      <c r="A98" s="884">
        <v>42975</v>
      </c>
      <c r="B98" s="240" t="str">
        <f>TiposLancamentos!B5</f>
        <v>Supermercado</v>
      </c>
      <c r="C98" s="878" t="s">
        <v>6234</v>
      </c>
      <c r="D98" s="63"/>
      <c r="E98" s="231">
        <v>111.84</v>
      </c>
      <c r="F98" s="1016"/>
      <c r="G98" s="1152" t="s">
        <v>9</v>
      </c>
    </row>
    <row r="99" spans="1:7">
      <c r="A99" s="884">
        <v>42976</v>
      </c>
      <c r="B99" s="240" t="str">
        <f>TiposLancamentos!B19</f>
        <v>Restaurantes</v>
      </c>
      <c r="C99" s="878" t="s">
        <v>15847</v>
      </c>
      <c r="D99" s="63"/>
      <c r="E99" s="231">
        <v>12.92</v>
      </c>
      <c r="F99" s="1016"/>
      <c r="G99" s="1152" t="s">
        <v>9</v>
      </c>
    </row>
    <row r="100" spans="1:7">
      <c r="A100" s="884">
        <v>42976</v>
      </c>
      <c r="B100" s="240" t="str">
        <f>TiposLancamentos!B19</f>
        <v>Restaurantes</v>
      </c>
      <c r="C100" s="878" t="s">
        <v>15848</v>
      </c>
      <c r="D100" s="63"/>
      <c r="E100" s="231">
        <v>9.0399999999999991</v>
      </c>
      <c r="F100" s="1016"/>
      <c r="G100" s="1152" t="s">
        <v>9</v>
      </c>
    </row>
    <row r="101" spans="1:7" ht="14.25" thickBot="1">
      <c r="A101" s="884">
        <v>42977</v>
      </c>
      <c r="B101" s="240" t="str">
        <f>TiposLancamentos!B31</f>
        <v>Action Figures</v>
      </c>
      <c r="C101" s="878" t="s">
        <v>15849</v>
      </c>
      <c r="D101" s="63"/>
      <c r="E101" s="231">
        <v>134.34</v>
      </c>
      <c r="F101" s="1016">
        <v>403.04</v>
      </c>
      <c r="G101" s="1152" t="s">
        <v>9</v>
      </c>
    </row>
    <row r="102" spans="1:7">
      <c r="A102" s="1032"/>
      <c r="B102" s="1230"/>
      <c r="C102" s="906" t="s">
        <v>15850</v>
      </c>
      <c r="D102" s="896"/>
      <c r="E102" s="925"/>
      <c r="F102" s="1034">
        <f>SUM(E73:E86)</f>
        <v>1241.3528571428571</v>
      </c>
    </row>
    <row r="103" spans="1:7">
      <c r="A103" s="884">
        <v>42979</v>
      </c>
      <c r="B103" s="240" t="str">
        <f>TiposLancamentos!B15</f>
        <v>Cartões de Crédito</v>
      </c>
      <c r="C103" s="878" t="s">
        <v>1874</v>
      </c>
      <c r="D103" s="63">
        <v>1241.3499999999999</v>
      </c>
      <c r="E103" s="231"/>
      <c r="F103" s="1016"/>
      <c r="G103" s="1152" t="s">
        <v>9</v>
      </c>
    </row>
    <row r="104" spans="1:7">
      <c r="A104" s="884">
        <v>42985</v>
      </c>
      <c r="B104" s="240" t="str">
        <f>TiposLancamentos!B64</f>
        <v>Viagens</v>
      </c>
      <c r="C104" s="878" t="s">
        <v>15851</v>
      </c>
      <c r="D104" s="63"/>
      <c r="E104" s="231">
        <f>F104/7</f>
        <v>86.690000000000012</v>
      </c>
      <c r="F104" s="1016">
        <v>606.83000000000004</v>
      </c>
      <c r="G104" s="1152" t="s">
        <v>9</v>
      </c>
    </row>
    <row r="105" spans="1:7">
      <c r="A105" s="884">
        <v>42985</v>
      </c>
      <c r="B105" s="240" t="str">
        <f>TiposLancamentos!B64</f>
        <v>Viagens</v>
      </c>
      <c r="C105" s="878" t="s">
        <v>15852</v>
      </c>
      <c r="D105" s="63"/>
      <c r="E105" s="231">
        <f>F105/7</f>
        <v>16.122857142857143</v>
      </c>
      <c r="F105" s="1016">
        <v>112.86</v>
      </c>
      <c r="G105" s="1152" t="s">
        <v>9</v>
      </c>
    </row>
    <row r="106" spans="1:7">
      <c r="A106" s="884">
        <v>42985</v>
      </c>
      <c r="B106" s="240" t="str">
        <f>TiposLancamentos!B64</f>
        <v>Viagens</v>
      </c>
      <c r="C106" s="878" t="s">
        <v>15853</v>
      </c>
      <c r="D106" s="63"/>
      <c r="E106" s="231">
        <f>F106/7</f>
        <v>299.93</v>
      </c>
      <c r="F106" s="1016">
        <v>2099.5100000000002</v>
      </c>
      <c r="G106" s="1152" t="s">
        <v>9</v>
      </c>
    </row>
    <row r="107" spans="1:7">
      <c r="A107" s="884">
        <v>42999</v>
      </c>
      <c r="B107" s="240" t="str">
        <f>TiposLancamentos!B4</f>
        <v>Taxas Bancarias</v>
      </c>
      <c r="C107" s="878" t="s">
        <v>15854</v>
      </c>
      <c r="D107" s="63"/>
      <c r="E107" s="231">
        <v>57.05</v>
      </c>
      <c r="F107" s="1016"/>
      <c r="G107" s="1152" t="s">
        <v>9</v>
      </c>
    </row>
    <row r="108" spans="1:7" ht="14.25" thickBot="1">
      <c r="A108" s="1113"/>
      <c r="B108" s="1239"/>
      <c r="C108" s="1240" t="s">
        <v>10</v>
      </c>
      <c r="D108" s="1241"/>
      <c r="E108" s="1241"/>
      <c r="F108" s="1242"/>
      <c r="G108" s="1094" t="s">
        <v>11</v>
      </c>
    </row>
    <row r="109" spans="1:7">
      <c r="A109" s="1032"/>
      <c r="B109" s="1230"/>
      <c r="C109" s="906" t="s">
        <v>11182</v>
      </c>
      <c r="D109" s="896"/>
      <c r="E109" s="925"/>
      <c r="F109" s="1034">
        <f>SUM(E88:E107)</f>
        <v>1746.3328571428569</v>
      </c>
    </row>
    <row r="110" spans="1:7">
      <c r="A110" s="884">
        <v>43009</v>
      </c>
      <c r="B110" s="240" t="str">
        <f>TiposLancamentos!B15</f>
        <v>Cartões de Crédito</v>
      </c>
      <c r="C110" s="878" t="s">
        <v>1874</v>
      </c>
      <c r="D110" s="63">
        <v>1746.3330000000001</v>
      </c>
      <c r="E110" s="231"/>
      <c r="F110" s="1016">
        <f>F109-F102</f>
        <v>504.97999999999979</v>
      </c>
      <c r="G110" s="1152" t="s">
        <v>9</v>
      </c>
    </row>
    <row r="111" spans="1:7">
      <c r="A111" s="884">
        <v>43015</v>
      </c>
      <c r="B111" s="240" t="str">
        <f>TiposLancamentos!B64</f>
        <v>Viagens</v>
      </c>
      <c r="C111" s="878" t="s">
        <v>15855</v>
      </c>
      <c r="D111" s="63"/>
      <c r="E111" s="231">
        <f>F111/7</f>
        <v>86.690000000000012</v>
      </c>
      <c r="F111" s="1016">
        <v>606.83000000000004</v>
      </c>
      <c r="G111" s="1152" t="s">
        <v>9</v>
      </c>
    </row>
    <row r="112" spans="1:7">
      <c r="A112" s="884">
        <v>43015</v>
      </c>
      <c r="B112" s="240" t="str">
        <f>TiposLancamentos!B64</f>
        <v>Viagens</v>
      </c>
      <c r="C112" s="878" t="s">
        <v>15856</v>
      </c>
      <c r="D112" s="63"/>
      <c r="E112" s="231">
        <f>F112/7</f>
        <v>16.122857142857143</v>
      </c>
      <c r="F112" s="1016">
        <v>112.86</v>
      </c>
      <c r="G112" s="1152" t="s">
        <v>9</v>
      </c>
    </row>
    <row r="113" spans="1:7">
      <c r="A113" s="884">
        <v>43015</v>
      </c>
      <c r="B113" s="240" t="str">
        <f>TiposLancamentos!B64</f>
        <v>Viagens</v>
      </c>
      <c r="C113" s="878" t="s">
        <v>15857</v>
      </c>
      <c r="D113" s="63"/>
      <c r="E113" s="231">
        <f>F113/7</f>
        <v>299.93</v>
      </c>
      <c r="F113" s="1016">
        <v>2099.5100000000002</v>
      </c>
      <c r="G113" s="1152" t="s">
        <v>9</v>
      </c>
    </row>
    <row r="114" spans="1:7" ht="14.25" thickBot="1">
      <c r="A114" s="934"/>
      <c r="B114" s="243"/>
      <c r="C114" s="389" t="s">
        <v>10</v>
      </c>
      <c r="D114" s="146"/>
      <c r="E114" s="146"/>
      <c r="F114" s="1231"/>
      <c r="G114" s="1094" t="s">
        <v>11</v>
      </c>
    </row>
    <row r="115" spans="1:7">
      <c r="A115" s="1032"/>
      <c r="B115" s="1230"/>
      <c r="C115" s="906" t="s">
        <v>11188</v>
      </c>
      <c r="D115" s="896"/>
      <c r="E115" s="925"/>
      <c r="F115" s="1034">
        <f>SUM(E109:E113)</f>
        <v>402.74285714285713</v>
      </c>
    </row>
    <row r="116" spans="1:7">
      <c r="A116" s="884">
        <v>43040</v>
      </c>
      <c r="B116" s="240" t="str">
        <f>TiposLancamentos!B15</f>
        <v>Cartões de Crédito</v>
      </c>
      <c r="C116" s="878" t="s">
        <v>1874</v>
      </c>
      <c r="D116" s="63">
        <v>402.74</v>
      </c>
      <c r="E116" s="231"/>
      <c r="F116" s="1016">
        <f>F115-F109</f>
        <v>-1343.5899999999997</v>
      </c>
      <c r="G116" s="1152" t="s">
        <v>9</v>
      </c>
    </row>
    <row r="117" spans="1:7">
      <c r="A117" s="884">
        <v>43046</v>
      </c>
      <c r="B117" s="240" t="str">
        <f>TiposLancamentos!B64</f>
        <v>Viagens</v>
      </c>
      <c r="C117" s="878" t="s">
        <v>15858</v>
      </c>
      <c r="D117" s="63"/>
      <c r="E117" s="231">
        <f>F117/7</f>
        <v>86.690000000000012</v>
      </c>
      <c r="F117" s="1016">
        <v>606.83000000000004</v>
      </c>
      <c r="G117" s="1152" t="s">
        <v>9</v>
      </c>
    </row>
    <row r="118" spans="1:7">
      <c r="A118" s="884">
        <v>43046</v>
      </c>
      <c r="B118" s="240" t="str">
        <f>TiposLancamentos!B64</f>
        <v>Viagens</v>
      </c>
      <c r="C118" s="878" t="s">
        <v>15859</v>
      </c>
      <c r="D118" s="63"/>
      <c r="E118" s="231">
        <f>F118/7</f>
        <v>16.122857142857143</v>
      </c>
      <c r="F118" s="1016">
        <v>112.86</v>
      </c>
      <c r="G118" s="1152" t="s">
        <v>9</v>
      </c>
    </row>
    <row r="119" spans="1:7">
      <c r="A119" s="884">
        <v>43046</v>
      </c>
      <c r="B119" s="240" t="str">
        <f>TiposLancamentos!B64</f>
        <v>Viagens</v>
      </c>
      <c r="C119" s="878" t="s">
        <v>15860</v>
      </c>
      <c r="D119" s="63"/>
      <c r="E119" s="231">
        <f>F119/7</f>
        <v>299.93</v>
      </c>
      <c r="F119" s="1016">
        <v>2099.5100000000002</v>
      </c>
      <c r="G119" s="1152" t="s">
        <v>9</v>
      </c>
    </row>
    <row r="120" spans="1:7" ht="14.25" thickBot="1">
      <c r="A120" s="934"/>
      <c r="B120" s="243"/>
      <c r="C120" s="389" t="s">
        <v>10</v>
      </c>
      <c r="D120" s="146"/>
      <c r="E120" s="146"/>
      <c r="F120" s="1231"/>
      <c r="G120" s="1094" t="s">
        <v>11</v>
      </c>
    </row>
    <row r="121" spans="1:7">
      <c r="A121" s="1032"/>
      <c r="B121" s="1230"/>
      <c r="C121" s="906" t="s">
        <v>11191</v>
      </c>
      <c r="D121" s="896"/>
      <c r="E121" s="925"/>
      <c r="F121" s="1034">
        <f>SUM(E115:E119)</f>
        <v>402.74285714285713</v>
      </c>
    </row>
    <row r="122" spans="1:7">
      <c r="A122" s="884">
        <v>43070</v>
      </c>
      <c r="B122" s="240" t="str">
        <f>TiposLancamentos!B15</f>
        <v>Cartões de Crédito</v>
      </c>
      <c r="C122" s="878" t="s">
        <v>1874</v>
      </c>
      <c r="D122" s="63">
        <v>402.74</v>
      </c>
      <c r="E122" s="231"/>
      <c r="F122" s="1016">
        <f>F121-F115</f>
        <v>0</v>
      </c>
      <c r="G122" s="1152"/>
    </row>
    <row r="123" spans="1:7">
      <c r="A123" s="884">
        <v>43076</v>
      </c>
      <c r="B123" s="240" t="str">
        <f>TiposLancamentos!B64</f>
        <v>Viagens</v>
      </c>
      <c r="C123" s="878" t="s">
        <v>15861</v>
      </c>
      <c r="D123" s="63"/>
      <c r="E123" s="231">
        <f>F123/7</f>
        <v>86.690000000000012</v>
      </c>
      <c r="F123" s="1016">
        <v>606.83000000000004</v>
      </c>
      <c r="G123" s="1152" t="s">
        <v>9</v>
      </c>
    </row>
    <row r="124" spans="1:7">
      <c r="A124" s="884">
        <v>43076</v>
      </c>
      <c r="B124" s="240" t="str">
        <f>TiposLancamentos!B64</f>
        <v>Viagens</v>
      </c>
      <c r="C124" s="878" t="s">
        <v>15862</v>
      </c>
      <c r="D124" s="63"/>
      <c r="E124" s="231">
        <f>F124/7</f>
        <v>16.122857142857143</v>
      </c>
      <c r="F124" s="1016">
        <v>112.86</v>
      </c>
      <c r="G124" s="1152" t="s">
        <v>9</v>
      </c>
    </row>
    <row r="125" spans="1:7">
      <c r="A125" s="884">
        <v>43076</v>
      </c>
      <c r="B125" s="240" t="str">
        <f>TiposLancamentos!B64</f>
        <v>Viagens</v>
      </c>
      <c r="C125" s="878" t="s">
        <v>15863</v>
      </c>
      <c r="D125" s="63"/>
      <c r="E125" s="231">
        <f>F125/7</f>
        <v>299.93</v>
      </c>
      <c r="F125" s="1016">
        <v>2099.5100000000002</v>
      </c>
      <c r="G125" s="1152" t="s">
        <v>9</v>
      </c>
    </row>
    <row r="126" spans="1:7">
      <c r="A126" s="934"/>
      <c r="B126" s="243"/>
      <c r="C126" s="389" t="s">
        <v>10</v>
      </c>
      <c r="D126" s="146"/>
      <c r="E126" s="146"/>
      <c r="F126" s="1231"/>
      <c r="G126" s="1094" t="s">
        <v>11</v>
      </c>
    </row>
    <row r="127" spans="1:7">
      <c r="A127" s="884">
        <v>43092</v>
      </c>
      <c r="B127" s="240" t="str">
        <f>TiposLancamentos!B64</f>
        <v>Viagens</v>
      </c>
      <c r="C127" s="878" t="s">
        <v>15864</v>
      </c>
      <c r="D127" s="63"/>
      <c r="E127" s="231">
        <v>502.35</v>
      </c>
      <c r="F127" s="1016"/>
      <c r="G127" s="1152" t="s">
        <v>9</v>
      </c>
    </row>
    <row r="128" spans="1:7">
      <c r="A128" s="884">
        <v>43094</v>
      </c>
      <c r="B128" s="240" t="str">
        <f>TiposLancamentos!B16</f>
        <v>Cristiane</v>
      </c>
      <c r="C128" s="878" t="s">
        <v>15865</v>
      </c>
      <c r="D128" s="63"/>
      <c r="E128" s="231">
        <v>211.8</v>
      </c>
      <c r="F128" s="1016"/>
      <c r="G128" s="1152" t="s">
        <v>9</v>
      </c>
    </row>
    <row r="129" spans="1:7">
      <c r="A129" s="884">
        <v>43094</v>
      </c>
      <c r="B129" s="240" t="str">
        <f>TiposLancamentos!B16</f>
        <v>Cristiane</v>
      </c>
      <c r="C129" s="878" t="s">
        <v>15866</v>
      </c>
      <c r="D129" s="63"/>
      <c r="E129" s="231">
        <v>750.38</v>
      </c>
      <c r="F129" s="1016"/>
      <c r="G129" s="1152" t="s">
        <v>9</v>
      </c>
    </row>
    <row r="130" spans="1:7">
      <c r="A130" s="884">
        <v>43094</v>
      </c>
      <c r="B130" s="240" t="str">
        <f>TiposLancamentos!B71</f>
        <v>Itens Pessoais</v>
      </c>
      <c r="C130" s="878" t="s">
        <v>15867</v>
      </c>
      <c r="D130" s="63"/>
      <c r="E130" s="231">
        <v>634.79999999999995</v>
      </c>
      <c r="F130" s="1016"/>
      <c r="G130" s="1152" t="s">
        <v>9</v>
      </c>
    </row>
    <row r="131" spans="1:7" ht="14.25" thickBot="1">
      <c r="A131" s="884">
        <v>43095</v>
      </c>
      <c r="B131" s="240" t="str">
        <f>TiposLancamentos!B64</f>
        <v>Viagens</v>
      </c>
      <c r="C131" s="878" t="s">
        <v>15868</v>
      </c>
      <c r="D131" s="63"/>
      <c r="E131" s="231">
        <v>1672.35</v>
      </c>
      <c r="F131" s="1016"/>
      <c r="G131" s="1152" t="s">
        <v>9</v>
      </c>
    </row>
    <row r="132" spans="1:7">
      <c r="A132" s="1032"/>
      <c r="B132" s="1230"/>
      <c r="C132" s="906" t="s">
        <v>13737</v>
      </c>
      <c r="D132" s="896"/>
      <c r="E132" s="925"/>
      <c r="F132" s="1034">
        <f>SUM(E121:E125)</f>
        <v>402.74285714285713</v>
      </c>
    </row>
    <row r="133" spans="1:7">
      <c r="A133" s="884">
        <v>43102</v>
      </c>
      <c r="B133" s="240" t="str">
        <f>TiposLancamentos!B15</f>
        <v>Cartões de Crédito</v>
      </c>
      <c r="C133" s="878" t="s">
        <v>1874</v>
      </c>
      <c r="D133" s="63">
        <v>402.74</v>
      </c>
      <c r="E133" s="231"/>
      <c r="F133" s="1016">
        <f>F132-F121</f>
        <v>0</v>
      </c>
    </row>
    <row r="134" spans="1:7">
      <c r="A134" s="884">
        <v>43122</v>
      </c>
      <c r="B134" s="240" t="str">
        <f>TiposLancamentos!B4</f>
        <v>Taxas Bancarias</v>
      </c>
      <c r="C134" s="878" t="s">
        <v>15869</v>
      </c>
      <c r="D134" s="63"/>
      <c r="E134" s="231">
        <v>231.57</v>
      </c>
      <c r="F134" s="1016"/>
      <c r="G134" s="1152" t="s">
        <v>9</v>
      </c>
    </row>
    <row r="135" spans="1:7">
      <c r="A135" s="934"/>
      <c r="B135" s="243"/>
      <c r="C135" s="389" t="s">
        <v>10</v>
      </c>
      <c r="D135" s="146"/>
      <c r="E135" s="146"/>
      <c r="F135" s="1231"/>
      <c r="G135" s="1094" t="s">
        <v>11</v>
      </c>
    </row>
    <row r="136" spans="1:7" ht="14.25" thickBot="1">
      <c r="A136" s="885"/>
      <c r="B136" s="1232"/>
      <c r="C136" s="1120"/>
      <c r="D136" s="903"/>
      <c r="E136" s="928"/>
      <c r="F136" s="1036"/>
    </row>
    <row r="137" spans="1:7">
      <c r="A137" s="1032"/>
      <c r="B137" s="1230"/>
      <c r="C137" s="906" t="s">
        <v>11197</v>
      </c>
      <c r="D137" s="896"/>
      <c r="E137" s="925"/>
      <c r="F137" s="1034">
        <f>SUM(E127:E134)</f>
        <v>4003.25</v>
      </c>
    </row>
    <row r="138" spans="1:7">
      <c r="A138" s="884">
        <v>43132</v>
      </c>
      <c r="B138" s="240" t="str">
        <f>TiposLancamentos!B15</f>
        <v>Cartões de Crédito</v>
      </c>
      <c r="C138" s="878" t="s">
        <v>1874</v>
      </c>
      <c r="D138" s="63">
        <v>4003.25</v>
      </c>
      <c r="E138" s="231"/>
      <c r="F138" s="1016">
        <f>F137-F132</f>
        <v>3600.5071428571428</v>
      </c>
    </row>
    <row r="139" spans="1:7">
      <c r="A139" s="934"/>
      <c r="B139" s="243"/>
      <c r="C139" s="389" t="s">
        <v>10</v>
      </c>
      <c r="D139" s="146"/>
      <c r="E139" s="146"/>
      <c r="F139" s="1231"/>
      <c r="G139" s="1094" t="s">
        <v>11</v>
      </c>
    </row>
    <row r="140" spans="1:7">
      <c r="A140" s="884">
        <v>43132</v>
      </c>
      <c r="B140" s="240" t="str">
        <f>TiposLancamentos!B102</f>
        <v>ESTORNO</v>
      </c>
      <c r="C140" s="878" t="s">
        <v>15870</v>
      </c>
      <c r="D140" s="63">
        <v>163.99</v>
      </c>
      <c r="E140" s="231"/>
      <c r="F140" s="1016"/>
    </row>
    <row r="141" spans="1:7">
      <c r="A141" s="884">
        <v>43153</v>
      </c>
      <c r="B141" s="240" t="str">
        <f>TiposLancamentos!B57</f>
        <v>Informática</v>
      </c>
      <c r="C141" s="878" t="s">
        <v>15871</v>
      </c>
      <c r="D141" s="63"/>
      <c r="E141" s="231">
        <v>18.7</v>
      </c>
      <c r="F141" s="1016"/>
    </row>
    <row r="142" spans="1:7">
      <c r="A142" s="1226">
        <v>43153</v>
      </c>
      <c r="B142" s="1218" t="str">
        <f>TiposLancamentos!B16</f>
        <v>Cristiane</v>
      </c>
      <c r="C142" s="1219" t="s">
        <v>15872</v>
      </c>
      <c r="D142" s="1220"/>
      <c r="E142" s="1221">
        <f>F142/12</f>
        <v>120.5</v>
      </c>
      <c r="F142" s="1227">
        <v>1446</v>
      </c>
    </row>
    <row r="143" spans="1:7" ht="14.25" thickBot="1">
      <c r="A143" s="1228">
        <v>43153</v>
      </c>
      <c r="B143" s="1222" t="str">
        <f>TiposLancamentos!B49</f>
        <v>Mergulho</v>
      </c>
      <c r="C143" s="1223" t="s">
        <v>15873</v>
      </c>
      <c r="D143" s="1224"/>
      <c r="E143" s="1225">
        <f>F143/12</f>
        <v>152.58333333333334</v>
      </c>
      <c r="F143" s="1229">
        <v>1831</v>
      </c>
    </row>
    <row r="144" spans="1:7">
      <c r="A144" s="1032"/>
      <c r="B144" s="1230"/>
      <c r="C144" s="906" t="s">
        <v>11199</v>
      </c>
      <c r="D144" s="896"/>
      <c r="E144" s="925"/>
      <c r="F144" s="1034">
        <f>SUM(E136:E139)</f>
        <v>0</v>
      </c>
    </row>
    <row r="145" spans="1:7">
      <c r="A145" s="934"/>
      <c r="B145" s="243"/>
      <c r="C145" s="389" t="s">
        <v>10</v>
      </c>
      <c r="D145" s="146"/>
      <c r="E145" s="146"/>
      <c r="F145" s="1231"/>
      <c r="G145" s="1094" t="s">
        <v>11</v>
      </c>
    </row>
    <row r="146" spans="1:7">
      <c r="A146" s="1226">
        <v>43181</v>
      </c>
      <c r="B146" s="1218" t="str">
        <f>TiposLancamentos!B16</f>
        <v>Cristiane</v>
      </c>
      <c r="C146" s="1219" t="s">
        <v>15874</v>
      </c>
      <c r="D146" s="1220"/>
      <c r="E146" s="1221">
        <f>F146/12</f>
        <v>120.5</v>
      </c>
      <c r="F146" s="1227">
        <v>1446</v>
      </c>
    </row>
    <row r="147" spans="1:7">
      <c r="A147" s="1228">
        <v>43181</v>
      </c>
      <c r="B147" s="1222" t="str">
        <f>TiposLancamentos!B49</f>
        <v>Mergulho</v>
      </c>
      <c r="C147" s="1223" t="s">
        <v>15875</v>
      </c>
      <c r="D147" s="1224"/>
      <c r="E147" s="1225">
        <f>F147/12</f>
        <v>152.58333333333334</v>
      </c>
      <c r="F147" s="1229">
        <v>1831</v>
      </c>
    </row>
    <row r="148" spans="1:7">
      <c r="A148" s="884"/>
      <c r="B148" s="240"/>
      <c r="C148" s="878" t="s">
        <v>15876</v>
      </c>
      <c r="D148" s="63"/>
      <c r="E148" s="231"/>
      <c r="F148" s="1016">
        <f>SUM(E140:E144)-(D140)</f>
        <v>127.79333333333329</v>
      </c>
    </row>
    <row r="149" spans="1:7">
      <c r="A149" s="884">
        <v>43192</v>
      </c>
      <c r="B149" s="240" t="str">
        <f>TiposLancamentos!B15</f>
        <v>Cartões de Crédito</v>
      </c>
      <c r="C149" s="878" t="s">
        <v>1874</v>
      </c>
      <c r="D149" s="63">
        <v>127.83</v>
      </c>
      <c r="E149" s="231"/>
      <c r="F149" s="1016"/>
    </row>
    <row r="150" spans="1:7">
      <c r="A150" s="934"/>
      <c r="B150" s="243"/>
      <c r="C150" s="389" t="s">
        <v>10</v>
      </c>
      <c r="D150" s="146"/>
      <c r="E150" s="146"/>
      <c r="F150" s="1231"/>
      <c r="G150" s="1094" t="s">
        <v>11</v>
      </c>
    </row>
    <row r="151" spans="1:7">
      <c r="A151" s="1226">
        <v>43212</v>
      </c>
      <c r="B151" s="1218" t="str">
        <f>TiposLancamentos!B16</f>
        <v>Cristiane</v>
      </c>
      <c r="C151" s="1219" t="s">
        <v>15877</v>
      </c>
      <c r="D151" s="1220"/>
      <c r="E151" s="1221">
        <f>F151/12</f>
        <v>120.5</v>
      </c>
      <c r="F151" s="1227">
        <v>1446</v>
      </c>
    </row>
    <row r="152" spans="1:7">
      <c r="A152" s="1228">
        <v>43212</v>
      </c>
      <c r="B152" s="1222" t="str">
        <f>TiposLancamentos!B49</f>
        <v>Mergulho</v>
      </c>
      <c r="C152" s="1223" t="s">
        <v>15878</v>
      </c>
      <c r="D152" s="1224"/>
      <c r="E152" s="1225">
        <f>F152/12</f>
        <v>152.58333333333334</v>
      </c>
      <c r="F152" s="1229">
        <v>1831</v>
      </c>
    </row>
    <row r="153" spans="1:7">
      <c r="A153" s="884"/>
      <c r="B153" s="240"/>
      <c r="C153" s="878" t="s">
        <v>13812</v>
      </c>
      <c r="D153" s="63"/>
      <c r="E153" s="231"/>
      <c r="F153" s="1016">
        <f>SUM(E146:E149)</f>
        <v>273.08333333333337</v>
      </c>
    </row>
    <row r="154" spans="1:7">
      <c r="A154" s="884">
        <v>43222</v>
      </c>
      <c r="B154" s="240" t="str">
        <f>TiposLancamentos!B15</f>
        <v>Cartões de Crédito</v>
      </c>
      <c r="C154" s="878" t="s">
        <v>1874</v>
      </c>
      <c r="D154" s="63">
        <v>273.08</v>
      </c>
      <c r="E154" s="231"/>
      <c r="F154" s="1016"/>
    </row>
    <row r="155" spans="1:7">
      <c r="A155" s="934"/>
      <c r="B155" s="243"/>
      <c r="C155" s="389" t="s">
        <v>10</v>
      </c>
      <c r="D155" s="146"/>
      <c r="E155" s="146"/>
      <c r="F155" s="1231"/>
      <c r="G155" s="1094" t="s">
        <v>11</v>
      </c>
    </row>
    <row r="156" spans="1:7">
      <c r="A156" s="1226">
        <v>43242</v>
      </c>
      <c r="B156" s="1218" t="str">
        <f>TiposLancamentos!B16</f>
        <v>Cristiane</v>
      </c>
      <c r="C156" s="1219" t="s">
        <v>15879</v>
      </c>
      <c r="D156" s="1220"/>
      <c r="E156" s="1221">
        <f>F156/12</f>
        <v>120.5</v>
      </c>
      <c r="F156" s="1227">
        <v>1446</v>
      </c>
    </row>
    <row r="157" spans="1:7" ht="14.25" thickBot="1">
      <c r="A157" s="1292">
        <v>43242</v>
      </c>
      <c r="B157" s="1259" t="str">
        <f>TiposLancamentos!B49</f>
        <v>Mergulho</v>
      </c>
      <c r="C157" s="1260" t="s">
        <v>15880</v>
      </c>
      <c r="D157" s="1261"/>
      <c r="E157" s="1262">
        <f>F157/12</f>
        <v>152.58333333333334</v>
      </c>
      <c r="F157" s="1263">
        <v>1831</v>
      </c>
    </row>
    <row r="158" spans="1:7">
      <c r="A158" s="1032"/>
      <c r="B158" s="1230"/>
      <c r="C158" s="906" t="s">
        <v>13814</v>
      </c>
      <c r="D158" s="896"/>
      <c r="E158" s="925"/>
      <c r="F158" s="1034">
        <f>SUM(E151:E154)</f>
        <v>273.08333333333337</v>
      </c>
    </row>
    <row r="159" spans="1:7">
      <c r="A159" s="884">
        <v>43252</v>
      </c>
      <c r="B159" s="240" t="str">
        <f>TiposLancamentos!B15</f>
        <v>Cartões de Crédito</v>
      </c>
      <c r="C159" s="878" t="s">
        <v>1874</v>
      </c>
      <c r="D159" s="63">
        <v>273.08</v>
      </c>
      <c r="E159" s="231"/>
      <c r="F159" s="1016"/>
    </row>
    <row r="160" spans="1:7">
      <c r="A160" s="934"/>
      <c r="B160" s="243"/>
      <c r="C160" s="389" t="s">
        <v>10</v>
      </c>
      <c r="D160" s="146"/>
      <c r="E160" s="146"/>
      <c r="F160" s="1231"/>
      <c r="G160" s="1094" t="s">
        <v>11</v>
      </c>
    </row>
    <row r="161" spans="1:6">
      <c r="A161" s="884"/>
      <c r="B161" s="240"/>
      <c r="C161" s="878"/>
      <c r="D161" s="63"/>
      <c r="E161" s="231"/>
      <c r="F161" s="1016"/>
    </row>
    <row r="162" spans="1:6">
      <c r="A162" s="1226">
        <v>43273</v>
      </c>
      <c r="B162" s="1218" t="str">
        <f>TiposLancamentos!B16</f>
        <v>Cristiane</v>
      </c>
      <c r="C162" s="1219" t="s">
        <v>15881</v>
      </c>
      <c r="D162" s="1220"/>
      <c r="E162" s="1221">
        <f>F162/12</f>
        <v>120.5</v>
      </c>
      <c r="F162" s="1227">
        <v>1446</v>
      </c>
    </row>
    <row r="163" spans="1:6">
      <c r="A163" s="1228">
        <v>43273</v>
      </c>
      <c r="B163" s="1222" t="str">
        <f>TiposLancamentos!B49</f>
        <v>Mergulho</v>
      </c>
      <c r="C163" s="1223" t="s">
        <v>15882</v>
      </c>
      <c r="D163" s="1224"/>
      <c r="E163" s="1225">
        <f>F163/12</f>
        <v>152.58333333333334</v>
      </c>
      <c r="F163" s="1229">
        <v>1831</v>
      </c>
    </row>
    <row r="164" spans="1:6" ht="14.25" thickBot="1">
      <c r="A164" s="885"/>
      <c r="B164" s="1232"/>
      <c r="C164" s="1120"/>
      <c r="D164" s="903"/>
      <c r="E164" s="928"/>
      <c r="F164" s="1036"/>
    </row>
    <row r="165" spans="1:6">
      <c r="A165" s="1032"/>
      <c r="B165" s="1230"/>
      <c r="C165" s="906" t="s">
        <v>13818</v>
      </c>
      <c r="D165" s="896"/>
      <c r="E165" s="925"/>
      <c r="F165" s="1034">
        <f>SUM(E156:E159)</f>
        <v>273.08333333333337</v>
      </c>
    </row>
    <row r="166" spans="1:6">
      <c r="A166" s="884">
        <v>43283</v>
      </c>
      <c r="B166" s="240" t="str">
        <f>TiposLancamentos!B15</f>
        <v>Cartões de Crédito</v>
      </c>
      <c r="C166" s="878" t="s">
        <v>10915</v>
      </c>
      <c r="D166" s="63">
        <v>273.08</v>
      </c>
      <c r="E166" s="231"/>
      <c r="F166" s="1016"/>
    </row>
    <row r="167" spans="1:6">
      <c r="A167" s="884"/>
      <c r="B167" s="240"/>
      <c r="C167" s="878"/>
      <c r="D167" s="63"/>
      <c r="E167" s="231"/>
      <c r="F167" s="1016"/>
    </row>
    <row r="168" spans="1:6">
      <c r="A168" s="934"/>
      <c r="B168" s="243"/>
      <c r="C168" s="389" t="s">
        <v>10</v>
      </c>
      <c r="D168" s="146"/>
      <c r="E168" s="146"/>
      <c r="F168" s="1231"/>
    </row>
    <row r="169" spans="1:6">
      <c r="A169" s="884"/>
      <c r="B169" s="240"/>
      <c r="C169" s="878"/>
      <c r="D169" s="63"/>
      <c r="E169" s="231"/>
      <c r="F169" s="1016"/>
    </row>
    <row r="170" spans="1:6">
      <c r="A170" s="1226">
        <v>43303</v>
      </c>
      <c r="B170" s="1218" t="str">
        <f>TiposLancamentos!B16</f>
        <v>Cristiane</v>
      </c>
      <c r="C170" s="1219" t="s">
        <v>15883</v>
      </c>
      <c r="D170" s="1220"/>
      <c r="E170" s="1221">
        <f>F170/12</f>
        <v>120.5</v>
      </c>
      <c r="F170" s="1227">
        <v>1446</v>
      </c>
    </row>
    <row r="171" spans="1:6">
      <c r="A171" s="1228">
        <v>43303</v>
      </c>
      <c r="B171" s="1222" t="str">
        <f>TiposLancamentos!B49</f>
        <v>Mergulho</v>
      </c>
      <c r="C171" s="1223" t="s">
        <v>15884</v>
      </c>
      <c r="D171" s="1224"/>
      <c r="E171" s="1225">
        <f>F171/12</f>
        <v>152.58333333333334</v>
      </c>
      <c r="F171" s="1229">
        <v>1831</v>
      </c>
    </row>
    <row r="172" spans="1:6" ht="14.25" thickBot="1">
      <c r="A172" s="885"/>
      <c r="B172" s="1232"/>
      <c r="C172" s="1120"/>
      <c r="D172" s="903"/>
      <c r="E172" s="928"/>
      <c r="F172" s="1036"/>
    </row>
    <row r="173" spans="1:6">
      <c r="A173" s="884"/>
      <c r="B173" s="240"/>
      <c r="C173" s="878" t="s">
        <v>13819</v>
      </c>
      <c r="D173" s="63"/>
      <c r="E173" s="231"/>
      <c r="F173" s="1016">
        <f>SUM(E161:E167)</f>
        <v>273.08333333333337</v>
      </c>
    </row>
    <row r="174" spans="1:6">
      <c r="A174" s="884">
        <v>43313</v>
      </c>
      <c r="B174" s="240" t="str">
        <f>TiposLancamentos!B15</f>
        <v>Cartões de Crédito</v>
      </c>
      <c r="C174" s="878" t="s">
        <v>10915</v>
      </c>
      <c r="D174" s="63">
        <v>273.08</v>
      </c>
      <c r="E174" s="231"/>
      <c r="F174" s="1016"/>
    </row>
    <row r="175" spans="1:6">
      <c r="A175" s="884"/>
      <c r="B175" s="240"/>
      <c r="C175" s="878"/>
      <c r="D175" s="63"/>
      <c r="E175" s="231"/>
      <c r="F175" s="1016"/>
    </row>
    <row r="176" spans="1:6">
      <c r="A176" s="934"/>
      <c r="B176" s="243"/>
      <c r="C176" s="389" t="s">
        <v>10</v>
      </c>
      <c r="D176" s="146"/>
      <c r="E176" s="146"/>
      <c r="F176" s="1231"/>
    </row>
    <row r="177" spans="1:6">
      <c r="A177" s="884"/>
      <c r="B177" s="240"/>
      <c r="C177" s="878"/>
      <c r="D177" s="63"/>
      <c r="E177" s="231"/>
      <c r="F177" s="1016"/>
    </row>
    <row r="178" spans="1:6">
      <c r="A178" s="1226">
        <v>43334</v>
      </c>
      <c r="B178" s="1218" t="str">
        <f>TiposLancamentos!B16</f>
        <v>Cristiane</v>
      </c>
      <c r="C178" s="1219" t="s">
        <v>15885</v>
      </c>
      <c r="D178" s="1220"/>
      <c r="E178" s="1221">
        <f>F178/12</f>
        <v>120.5</v>
      </c>
      <c r="F178" s="1227">
        <v>1446</v>
      </c>
    </row>
    <row r="179" spans="1:6">
      <c r="A179" s="1228">
        <v>43334</v>
      </c>
      <c r="B179" s="1222" t="str">
        <f>TiposLancamentos!B49</f>
        <v>Mergulho</v>
      </c>
      <c r="C179" s="1223" t="s">
        <v>15886</v>
      </c>
      <c r="D179" s="1224"/>
      <c r="E179" s="1225">
        <f>F179/12</f>
        <v>152.58333333333334</v>
      </c>
      <c r="F179" s="1229">
        <v>1831</v>
      </c>
    </row>
    <row r="180" spans="1:6" ht="14.25" thickBot="1">
      <c r="A180" s="885"/>
      <c r="B180" s="1232"/>
      <c r="C180" s="1120"/>
      <c r="D180" s="903"/>
      <c r="E180" s="928"/>
      <c r="F180" s="1036"/>
    </row>
    <row r="181" spans="1:6">
      <c r="A181" s="884"/>
      <c r="B181" s="240"/>
      <c r="C181" s="878" t="s">
        <v>15887</v>
      </c>
      <c r="D181" s="63"/>
      <c r="E181" s="231"/>
      <c r="F181" s="1016">
        <f>SUM(E169:E175)</f>
        <v>273.08333333333337</v>
      </c>
    </row>
    <row r="182" spans="1:6">
      <c r="A182" s="884">
        <v>43346</v>
      </c>
      <c r="B182" s="240" t="str">
        <f>TiposLancamentos!B15</f>
        <v>Cartões de Crédito</v>
      </c>
      <c r="C182" s="878" t="s">
        <v>1874</v>
      </c>
      <c r="D182" s="63">
        <v>273.08</v>
      </c>
      <c r="E182" s="231"/>
      <c r="F182" s="1016"/>
    </row>
    <row r="183" spans="1:6">
      <c r="A183" s="884"/>
      <c r="B183" s="240"/>
      <c r="C183" s="878"/>
      <c r="D183" s="63"/>
      <c r="E183" s="231"/>
      <c r="F183" s="1016"/>
    </row>
    <row r="184" spans="1:6">
      <c r="A184" s="934"/>
      <c r="B184" s="243"/>
      <c r="C184" s="389" t="s">
        <v>10</v>
      </c>
      <c r="D184" s="146"/>
      <c r="E184" s="146"/>
      <c r="F184" s="1231"/>
    </row>
    <row r="185" spans="1:6">
      <c r="A185" s="884"/>
      <c r="B185" s="240"/>
      <c r="C185" s="878"/>
      <c r="D185" s="63"/>
      <c r="E185" s="231"/>
      <c r="F185" s="1016"/>
    </row>
    <row r="186" spans="1:6">
      <c r="A186" s="1226">
        <v>43365</v>
      </c>
      <c r="B186" s="1218" t="str">
        <f>TiposLancamentos!B16</f>
        <v>Cristiane</v>
      </c>
      <c r="C186" s="1219" t="s">
        <v>15888</v>
      </c>
      <c r="D186" s="1220"/>
      <c r="E186" s="1221">
        <f>F186/12</f>
        <v>120.5</v>
      </c>
      <c r="F186" s="1227">
        <v>1446</v>
      </c>
    </row>
    <row r="187" spans="1:6">
      <c r="A187" s="1228">
        <v>43365</v>
      </c>
      <c r="B187" s="1222" t="str">
        <f>TiposLancamentos!B49</f>
        <v>Mergulho</v>
      </c>
      <c r="C187" s="1223" t="s">
        <v>15889</v>
      </c>
      <c r="D187" s="1224"/>
      <c r="E187" s="1225">
        <f>F187/12</f>
        <v>152.58333333333334</v>
      </c>
      <c r="F187" s="1229">
        <v>1831</v>
      </c>
    </row>
    <row r="188" spans="1:6" ht="14.25" thickBot="1">
      <c r="A188" s="885"/>
      <c r="B188" s="1232"/>
      <c r="C188" s="1120"/>
      <c r="D188" s="903"/>
      <c r="E188" s="928"/>
      <c r="F188" s="1036"/>
    </row>
    <row r="189" spans="1:6">
      <c r="A189" s="884"/>
      <c r="B189" s="240"/>
      <c r="C189" s="878" t="s">
        <v>13828</v>
      </c>
      <c r="D189" s="63"/>
      <c r="E189" s="231"/>
      <c r="F189" s="1016">
        <f>SUM(E177:E183)</f>
        <v>273.08333333333337</v>
      </c>
    </row>
    <row r="190" spans="1:6">
      <c r="A190" s="884">
        <v>43374</v>
      </c>
      <c r="B190" s="240" t="str">
        <f>TiposLancamentos!B15</f>
        <v>Cartões de Crédito</v>
      </c>
      <c r="C190" s="878" t="s">
        <v>1874</v>
      </c>
      <c r="D190" s="63">
        <v>273.08</v>
      </c>
      <c r="E190" s="231"/>
      <c r="F190" s="1016"/>
    </row>
    <row r="191" spans="1:6">
      <c r="A191" s="884"/>
      <c r="B191" s="240"/>
      <c r="C191" s="878"/>
      <c r="D191" s="63"/>
      <c r="E191" s="231"/>
      <c r="F191" s="1016"/>
    </row>
    <row r="192" spans="1:6">
      <c r="A192" s="934"/>
      <c r="B192" s="243"/>
      <c r="C192" s="389" t="s">
        <v>10</v>
      </c>
      <c r="D192" s="146"/>
      <c r="E192" s="146"/>
      <c r="F192" s="1231"/>
    </row>
    <row r="193" spans="1:6">
      <c r="A193" s="884"/>
      <c r="B193" s="240"/>
      <c r="C193" s="878"/>
      <c r="D193" s="63"/>
      <c r="E193" s="231"/>
      <c r="F193" s="1016"/>
    </row>
    <row r="194" spans="1:6">
      <c r="A194" s="1226">
        <v>43395</v>
      </c>
      <c r="B194" s="1218" t="str">
        <f>TiposLancamentos!B16</f>
        <v>Cristiane</v>
      </c>
      <c r="C194" s="1219" t="s">
        <v>15890</v>
      </c>
      <c r="D194" s="1220"/>
      <c r="E194" s="1221">
        <f>F194/12</f>
        <v>120.5</v>
      </c>
      <c r="F194" s="1227">
        <v>1446</v>
      </c>
    </row>
    <row r="195" spans="1:6">
      <c r="A195" s="1228">
        <v>43395</v>
      </c>
      <c r="B195" s="1222" t="str">
        <f>TiposLancamentos!B49</f>
        <v>Mergulho</v>
      </c>
      <c r="C195" s="1223" t="s">
        <v>15891</v>
      </c>
      <c r="D195" s="1224"/>
      <c r="E195" s="1225">
        <f>F195/12</f>
        <v>152.58333333333334</v>
      </c>
      <c r="F195" s="1229">
        <v>1831</v>
      </c>
    </row>
    <row r="196" spans="1:6" ht="14.25" thickBot="1">
      <c r="A196" s="885"/>
      <c r="B196" s="1232"/>
      <c r="C196" s="1120"/>
      <c r="D196" s="903"/>
      <c r="E196" s="928"/>
      <c r="F196" s="1036"/>
    </row>
    <row r="197" spans="1:6">
      <c r="A197" s="884"/>
      <c r="B197" s="240"/>
      <c r="C197" s="878" t="s">
        <v>13830</v>
      </c>
      <c r="D197" s="63"/>
      <c r="E197" s="231"/>
      <c r="F197" s="1016">
        <f>SUM(E185:E190)</f>
        <v>273.08333333333337</v>
      </c>
    </row>
    <row r="198" spans="1:6">
      <c r="A198" s="884">
        <v>43405</v>
      </c>
      <c r="B198" s="240" t="str">
        <f>TiposLancamentos!B15</f>
        <v>Cartões de Crédito</v>
      </c>
      <c r="C198" s="878" t="s">
        <v>1874</v>
      </c>
      <c r="D198" s="63">
        <v>273.08</v>
      </c>
      <c r="E198" s="231"/>
      <c r="F198" s="1016"/>
    </row>
    <row r="199" spans="1:6">
      <c r="A199" s="884"/>
      <c r="B199" s="240"/>
      <c r="C199" s="878"/>
      <c r="D199" s="63"/>
      <c r="E199" s="231"/>
      <c r="F199" s="1016"/>
    </row>
    <row r="200" spans="1:6">
      <c r="A200" s="934"/>
      <c r="B200" s="243"/>
      <c r="C200" s="389" t="s">
        <v>10</v>
      </c>
      <c r="D200" s="146"/>
      <c r="E200" s="146"/>
      <c r="F200" s="1231"/>
    </row>
    <row r="201" spans="1:6">
      <c r="A201" s="884"/>
      <c r="B201" s="240"/>
      <c r="C201" s="878"/>
      <c r="D201" s="63"/>
      <c r="E201" s="231"/>
      <c r="F201" s="1016"/>
    </row>
    <row r="202" spans="1:6">
      <c r="A202" s="1226">
        <v>43426</v>
      </c>
      <c r="B202" s="1218" t="str">
        <f>TiposLancamentos!B16</f>
        <v>Cristiane</v>
      </c>
      <c r="C202" s="1219" t="s">
        <v>15892</v>
      </c>
      <c r="D202" s="1220"/>
      <c r="E202" s="1221">
        <f>F202/12</f>
        <v>120.5</v>
      </c>
      <c r="F202" s="1227">
        <v>1446</v>
      </c>
    </row>
    <row r="203" spans="1:6">
      <c r="A203" s="1228">
        <v>43426</v>
      </c>
      <c r="B203" s="1222" t="str">
        <f>TiposLancamentos!B49</f>
        <v>Mergulho</v>
      </c>
      <c r="C203" s="1223" t="s">
        <v>15893</v>
      </c>
      <c r="D203" s="1224"/>
      <c r="E203" s="1225">
        <f>F203/12</f>
        <v>152.58333333333334</v>
      </c>
      <c r="F203" s="1229">
        <v>1831</v>
      </c>
    </row>
    <row r="204" spans="1:6" ht="14.25" thickBot="1">
      <c r="A204" s="885"/>
      <c r="B204" s="1232"/>
      <c r="C204" s="1120"/>
      <c r="D204" s="903"/>
      <c r="E204" s="928"/>
      <c r="F204" s="1036"/>
    </row>
    <row r="205" spans="1:6">
      <c r="A205" s="884"/>
      <c r="B205" s="240"/>
      <c r="C205" s="878" t="s">
        <v>15894</v>
      </c>
      <c r="D205" s="63"/>
      <c r="E205" s="231"/>
      <c r="F205" s="1016">
        <f>SUM(E193:E199)</f>
        <v>273.08333333333337</v>
      </c>
    </row>
    <row r="206" spans="1:6">
      <c r="A206" s="884">
        <v>43437</v>
      </c>
      <c r="B206" s="240" t="str">
        <f>TiposLancamentos!B15</f>
        <v>Cartões de Crédito</v>
      </c>
      <c r="C206" s="878" t="s">
        <v>1874</v>
      </c>
      <c r="D206" s="63">
        <v>273.08</v>
      </c>
      <c r="E206" s="231"/>
      <c r="F206" s="1016"/>
    </row>
    <row r="207" spans="1:6">
      <c r="A207" s="884"/>
      <c r="B207" s="240"/>
      <c r="C207" s="878"/>
      <c r="D207" s="63"/>
      <c r="E207" s="231"/>
      <c r="F207" s="1016"/>
    </row>
    <row r="208" spans="1:6">
      <c r="A208" s="934"/>
      <c r="B208" s="243"/>
      <c r="C208" s="389" t="s">
        <v>10</v>
      </c>
      <c r="D208" s="146"/>
      <c r="E208" s="146"/>
      <c r="F208" s="1231"/>
    </row>
    <row r="209" spans="1:6">
      <c r="A209" s="884"/>
      <c r="B209" s="240"/>
      <c r="C209" s="878"/>
      <c r="D209" s="63"/>
      <c r="E209" s="231"/>
      <c r="F209" s="1016"/>
    </row>
    <row r="210" spans="1:6">
      <c r="A210" s="1226">
        <v>43456</v>
      </c>
      <c r="B210" s="1218" t="str">
        <f>TiposLancamentos!B16</f>
        <v>Cristiane</v>
      </c>
      <c r="C210" s="1219" t="s">
        <v>15895</v>
      </c>
      <c r="D210" s="1220"/>
      <c r="E210" s="1221">
        <f>F210/12</f>
        <v>120.5</v>
      </c>
      <c r="F210" s="1227">
        <v>1446</v>
      </c>
    </row>
    <row r="211" spans="1:6">
      <c r="A211" s="1228">
        <v>43456</v>
      </c>
      <c r="B211" s="1222" t="str">
        <f>TiposLancamentos!B49</f>
        <v>Mergulho</v>
      </c>
      <c r="C211" s="1223" t="s">
        <v>15896</v>
      </c>
      <c r="D211" s="1224"/>
      <c r="E211" s="1225">
        <f>F211/12</f>
        <v>152.58333333333334</v>
      </c>
      <c r="F211" s="1229">
        <v>1831</v>
      </c>
    </row>
    <row r="212" spans="1:6" ht="14.25" thickBot="1">
      <c r="A212" s="885"/>
      <c r="B212" s="1232"/>
      <c r="C212" s="1120"/>
      <c r="D212" s="903"/>
      <c r="E212" s="928"/>
      <c r="F212" s="1036"/>
    </row>
    <row r="213" spans="1:6">
      <c r="A213" s="884"/>
      <c r="B213" s="240"/>
      <c r="C213" s="878" t="s">
        <v>15897</v>
      </c>
      <c r="D213" s="63"/>
      <c r="E213" s="231"/>
      <c r="F213" s="1016">
        <f>SUM(E201:E207)</f>
        <v>273.08333333333337</v>
      </c>
    </row>
    <row r="214" spans="1:6">
      <c r="A214" s="884">
        <v>43467</v>
      </c>
      <c r="B214" s="240" t="str">
        <f>TiposLancamentos!B15</f>
        <v>Cartões de Crédito</v>
      </c>
      <c r="C214" s="878" t="s">
        <v>1874</v>
      </c>
      <c r="D214" s="63">
        <v>273.08</v>
      </c>
      <c r="E214" s="231"/>
      <c r="F214" s="1016"/>
    </row>
    <row r="215" spans="1:6">
      <c r="A215" s="884"/>
      <c r="B215" s="240"/>
      <c r="C215" s="878"/>
      <c r="D215" s="63"/>
      <c r="E215" s="231"/>
      <c r="F215" s="1016"/>
    </row>
    <row r="216" spans="1:6">
      <c r="A216" s="934"/>
      <c r="B216" s="243"/>
      <c r="C216" s="389" t="s">
        <v>10</v>
      </c>
      <c r="D216" s="146"/>
      <c r="E216" s="146"/>
      <c r="F216" s="1231"/>
    </row>
    <row r="217" spans="1:6">
      <c r="A217" s="884"/>
      <c r="B217" s="240"/>
      <c r="C217" s="878"/>
      <c r="D217" s="63"/>
      <c r="E217" s="231"/>
      <c r="F217" s="1016"/>
    </row>
    <row r="218" spans="1:6">
      <c r="A218" s="1226">
        <v>43487</v>
      </c>
      <c r="B218" s="1218" t="str">
        <f>TiposLancamentos!B16</f>
        <v>Cristiane</v>
      </c>
      <c r="C218" s="1219" t="s">
        <v>15898</v>
      </c>
      <c r="D218" s="1220"/>
      <c r="E218" s="1221">
        <f>F218/12</f>
        <v>120.5</v>
      </c>
      <c r="F218" s="1227">
        <v>1446</v>
      </c>
    </row>
    <row r="219" spans="1:6">
      <c r="A219" s="1228">
        <v>43487</v>
      </c>
      <c r="B219" s="1222" t="str">
        <f>TiposLancamentos!B49</f>
        <v>Mergulho</v>
      </c>
      <c r="C219" s="1223" t="s">
        <v>15899</v>
      </c>
      <c r="D219" s="1224"/>
      <c r="E219" s="1225">
        <f>F219/12</f>
        <v>152.58333333333334</v>
      </c>
      <c r="F219" s="1229">
        <v>1831</v>
      </c>
    </row>
    <row r="220" spans="1:6">
      <c r="A220" s="1292">
        <v>43487</v>
      </c>
      <c r="B220" s="1259" t="str">
        <f>TiposLancamentos!B102</f>
        <v>ESTORNO</v>
      </c>
      <c r="C220" s="1260" t="s">
        <v>15900</v>
      </c>
      <c r="D220" s="1261">
        <v>1</v>
      </c>
      <c r="E220" s="1262"/>
      <c r="F220" s="1263"/>
    </row>
    <row r="221" spans="1:6" ht="14.25" thickBot="1">
      <c r="A221" s="885"/>
      <c r="B221" s="1232"/>
      <c r="C221" s="1120"/>
      <c r="D221" s="903"/>
      <c r="E221" s="928"/>
      <c r="F221" s="1036"/>
    </row>
    <row r="222" spans="1:6">
      <c r="A222" s="884"/>
      <c r="B222" s="240"/>
      <c r="C222" s="878" t="s">
        <v>15298</v>
      </c>
      <c r="D222" s="63"/>
      <c r="E222" s="231"/>
      <c r="F222" s="1016">
        <f>SUM(E209:E215)</f>
        <v>273.08333333333337</v>
      </c>
    </row>
    <row r="223" spans="1:6">
      <c r="A223" s="884">
        <v>43497</v>
      </c>
      <c r="B223" s="240" t="str">
        <f>TiposLancamentos!B15</f>
        <v>Cartões de Crédito</v>
      </c>
      <c r="C223" s="878" t="s">
        <v>1874</v>
      </c>
      <c r="D223" s="63">
        <v>274.08</v>
      </c>
      <c r="E223" s="231"/>
      <c r="F223" s="1016"/>
    </row>
    <row r="224" spans="1:6">
      <c r="A224" s="884"/>
      <c r="B224" s="240"/>
      <c r="C224" s="878"/>
      <c r="D224" s="63"/>
      <c r="E224" s="231"/>
      <c r="F224" s="1016"/>
    </row>
    <row r="225" spans="1:6">
      <c r="A225" s="934"/>
      <c r="B225" s="243"/>
      <c r="C225" s="389" t="s">
        <v>10</v>
      </c>
      <c r="D225" s="146"/>
      <c r="E225" s="146"/>
      <c r="F225" s="1231"/>
    </row>
    <row r="226" spans="1:6" ht="14.25" thickBot="1">
      <c r="A226" s="885"/>
      <c r="B226" s="1232"/>
      <c r="C226" s="1120"/>
      <c r="D226" s="903"/>
      <c r="E226" s="928"/>
      <c r="F226" s="1036"/>
    </row>
    <row r="227" spans="1:6">
      <c r="A227" s="884"/>
      <c r="B227" s="240"/>
      <c r="C227" s="878" t="s">
        <v>15301</v>
      </c>
      <c r="D227" s="63"/>
      <c r="E227" s="231"/>
      <c r="F227" s="1016">
        <f>SUM(E217:E224)-D220</f>
        <v>272.08333333333337</v>
      </c>
    </row>
    <row r="228" spans="1:6">
      <c r="A228" s="884">
        <v>43525</v>
      </c>
      <c r="B228" s="240" t="str">
        <f>TiposLancamentos!B15</f>
        <v>Cartões de Crédito</v>
      </c>
      <c r="C228" s="878" t="s">
        <v>10915</v>
      </c>
      <c r="D228" s="63">
        <v>272.08</v>
      </c>
      <c r="E228" s="231"/>
      <c r="F228" s="1016"/>
    </row>
    <row r="229" spans="1:6">
      <c r="A229" s="884">
        <v>43683</v>
      </c>
      <c r="B229" s="240" t="str">
        <f>TiposLancamentos!B57</f>
        <v>Informática</v>
      </c>
      <c r="C229" s="878" t="s">
        <v>15901</v>
      </c>
      <c r="D229" s="63"/>
      <c r="E229" s="231">
        <v>129.9</v>
      </c>
      <c r="F229" s="1016"/>
    </row>
    <row r="230" spans="1:6">
      <c r="A230" s="884">
        <v>43685</v>
      </c>
      <c r="B230" s="240" t="str">
        <f>TiposLancamentos!B102</f>
        <v>ESTORNO</v>
      </c>
      <c r="C230" s="878" t="s">
        <v>10024</v>
      </c>
      <c r="D230" s="63">
        <v>129.9</v>
      </c>
      <c r="E230" s="231"/>
      <c r="F230" s="1016"/>
    </row>
    <row r="231" spans="1:6">
      <c r="A231" s="884">
        <v>43691</v>
      </c>
      <c r="B231" s="240" t="str">
        <f>TiposLancamentos!B28</f>
        <v>ComicBook</v>
      </c>
      <c r="C231" s="878" t="s">
        <v>15902</v>
      </c>
      <c r="D231" s="63"/>
      <c r="E231" s="231">
        <v>64</v>
      </c>
      <c r="F231" s="1016"/>
    </row>
    <row r="232" spans="1:6">
      <c r="A232" s="884">
        <v>43693</v>
      </c>
      <c r="B232" s="240" t="str">
        <f>TiposLancamentos!B31</f>
        <v>Action Figures</v>
      </c>
      <c r="C232" s="878" t="s">
        <v>15903</v>
      </c>
      <c r="D232" s="63"/>
      <c r="E232" s="231">
        <v>321.52999999999997</v>
      </c>
      <c r="F232" s="1016"/>
    </row>
    <row r="233" spans="1:6">
      <c r="A233" s="934"/>
      <c r="B233" s="243"/>
      <c r="C233" s="389" t="s">
        <v>10</v>
      </c>
      <c r="D233" s="146"/>
      <c r="E233" s="146"/>
      <c r="F233" s="1231"/>
    </row>
    <row r="234" spans="1:6" ht="14.25" thickBot="1">
      <c r="A234" s="885"/>
      <c r="B234" s="1232"/>
      <c r="C234" s="1120"/>
      <c r="D234" s="903"/>
      <c r="E234" s="928"/>
      <c r="F234" s="1036"/>
    </row>
    <row r="235" spans="1:6">
      <c r="A235" s="884"/>
      <c r="B235" s="240"/>
      <c r="C235" s="878" t="s">
        <v>15303</v>
      </c>
      <c r="D235" s="63"/>
      <c r="E235" s="231"/>
      <c r="F235" s="1016">
        <f>SUM(E226:E232)</f>
        <v>515.42999999999995</v>
      </c>
    </row>
    <row r="236" spans="1:6">
      <c r="A236" s="884">
        <v>43709</v>
      </c>
      <c r="B236" s="240" t="str">
        <f>TiposLancamentos!B15</f>
        <v>Cartões de Crédito</v>
      </c>
      <c r="C236" s="878" t="s">
        <v>10915</v>
      </c>
      <c r="D236" s="63">
        <v>385.53</v>
      </c>
      <c r="E236" s="231"/>
      <c r="F236" s="1016"/>
    </row>
    <row r="237" spans="1:6">
      <c r="A237" s="884">
        <v>43723</v>
      </c>
      <c r="B237" s="240" t="str">
        <f>TiposLancamentos!B73</f>
        <v>Cursos</v>
      </c>
      <c r="C237" s="878" t="s">
        <v>15904</v>
      </c>
      <c r="D237" s="63"/>
      <c r="E237" s="231">
        <v>27.74</v>
      </c>
      <c r="F237" s="1016"/>
    </row>
    <row r="238" spans="1:6">
      <c r="A238" s="934"/>
      <c r="B238" s="243"/>
      <c r="C238" s="389" t="s">
        <v>10</v>
      </c>
      <c r="D238" s="146"/>
      <c r="E238" s="146"/>
      <c r="F238" s="1231"/>
    </row>
    <row r="239" spans="1:6">
      <c r="A239" s="884">
        <v>43738</v>
      </c>
      <c r="B239" s="240" t="str">
        <f>TiposLancamentos!B73</f>
        <v>Cursos</v>
      </c>
      <c r="C239" s="878" t="s">
        <v>15905</v>
      </c>
      <c r="D239" s="63"/>
      <c r="E239" s="231">
        <v>144.24</v>
      </c>
      <c r="F239" s="1016"/>
    </row>
    <row r="240" spans="1:6">
      <c r="A240" s="884"/>
      <c r="B240" s="240"/>
      <c r="C240" s="878" t="s">
        <v>13870</v>
      </c>
      <c r="D240" s="63"/>
      <c r="E240" s="231"/>
      <c r="F240" s="1016">
        <f>SUM(E237:E237)</f>
        <v>27.74</v>
      </c>
    </row>
    <row r="241" spans="1:6">
      <c r="A241" s="884">
        <v>43739</v>
      </c>
      <c r="B241" s="240" t="str">
        <f>TiposLancamentos!B15</f>
        <v>Cartões de Crédito</v>
      </c>
      <c r="C241" s="878" t="s">
        <v>1874</v>
      </c>
      <c r="D241" s="63">
        <v>27.74</v>
      </c>
      <c r="E241" s="231"/>
      <c r="F241" s="1016"/>
    </row>
    <row r="242" spans="1:6">
      <c r="A242" s="934"/>
      <c r="B242" s="243"/>
      <c r="C242" s="389" t="s">
        <v>10</v>
      </c>
      <c r="D242" s="146"/>
      <c r="E242" s="146"/>
      <c r="F242" s="1231"/>
    </row>
    <row r="243" spans="1:6" ht="14.25" thickBot="1">
      <c r="A243" s="885">
        <v>43766</v>
      </c>
      <c r="B243" s="1232" t="str">
        <f>TiposLancamentos!B45</f>
        <v>Online Services</v>
      </c>
      <c r="C243" s="1120" t="s">
        <v>1894</v>
      </c>
      <c r="D243" s="903"/>
      <c r="E243" s="928">
        <v>32.9</v>
      </c>
      <c r="F243" s="1036"/>
    </row>
    <row r="244" spans="1:6">
      <c r="A244" s="884"/>
      <c r="B244" s="240"/>
      <c r="C244" s="878" t="s">
        <v>11216</v>
      </c>
      <c r="D244" s="63"/>
      <c r="E244" s="231"/>
      <c r="F244" s="1016">
        <f>SUM(E239:E241)</f>
        <v>144.24</v>
      </c>
    </row>
    <row r="245" spans="1:6">
      <c r="A245" s="884">
        <v>43770</v>
      </c>
      <c r="B245" s="240" t="str">
        <f>TiposLancamentos!B15</f>
        <v>Cartões de Crédito</v>
      </c>
      <c r="C245" s="878" t="s">
        <v>1874</v>
      </c>
      <c r="D245" s="63">
        <v>144.24</v>
      </c>
      <c r="E245" s="231"/>
      <c r="F245" s="1016"/>
    </row>
    <row r="246" spans="1:6">
      <c r="A246" s="884">
        <v>43778</v>
      </c>
      <c r="B246" s="240" t="str">
        <f>TiposLancamentos!B28</f>
        <v>ComicBook</v>
      </c>
      <c r="C246" s="878" t="s">
        <v>15906</v>
      </c>
      <c r="D246" s="63"/>
      <c r="E246" s="231">
        <v>51</v>
      </c>
      <c r="F246" s="1016"/>
    </row>
    <row r="247" spans="1:6">
      <c r="A247" s="884">
        <v>43780</v>
      </c>
      <c r="B247" s="240" t="str">
        <f>TiposLancamentos!B19</f>
        <v>Restaurantes</v>
      </c>
      <c r="C247" s="878" t="s">
        <v>15907</v>
      </c>
      <c r="D247" s="63"/>
      <c r="E247" s="231">
        <v>34.9</v>
      </c>
      <c r="F247" s="1016"/>
    </row>
    <row r="248" spans="1:6">
      <c r="A248" s="934"/>
      <c r="B248" s="243"/>
      <c r="C248" s="389" t="s">
        <v>10</v>
      </c>
      <c r="D248" s="146"/>
      <c r="E248" s="146"/>
      <c r="F248" s="1231"/>
    </row>
    <row r="249" spans="1:6">
      <c r="A249" s="884">
        <v>43791</v>
      </c>
      <c r="B249" s="240" t="str">
        <f>TiposLancamentos!B19</f>
        <v>Restaurantes</v>
      </c>
      <c r="C249" s="878" t="s">
        <v>5909</v>
      </c>
      <c r="D249" s="63"/>
      <c r="E249" s="231">
        <v>42</v>
      </c>
      <c r="F249" s="1016"/>
    </row>
    <row r="250" spans="1:6" ht="14.25" thickBot="1">
      <c r="A250" s="885">
        <v>43797</v>
      </c>
      <c r="B250" s="1232" t="str">
        <f>TiposLancamentos!B45</f>
        <v>Online Services</v>
      </c>
      <c r="C250" s="1120" t="s">
        <v>1894</v>
      </c>
      <c r="D250" s="903"/>
      <c r="E250" s="928">
        <v>32.9</v>
      </c>
      <c r="F250" s="1036"/>
    </row>
    <row r="251" spans="1:6">
      <c r="A251" s="884"/>
      <c r="B251" s="240"/>
      <c r="C251" s="878" t="s">
        <v>11218</v>
      </c>
      <c r="D251" s="63"/>
      <c r="E251" s="231"/>
      <c r="F251" s="1016">
        <f>SUM(E243:E247)</f>
        <v>118.80000000000001</v>
      </c>
    </row>
    <row r="252" spans="1:6">
      <c r="A252" s="884">
        <v>43800</v>
      </c>
      <c r="B252" s="240" t="str">
        <f>TiposLancamentos!B15</f>
        <v>Cartões de Crédito</v>
      </c>
      <c r="C252" s="878" t="s">
        <v>10915</v>
      </c>
      <c r="D252" s="63">
        <v>118.8</v>
      </c>
      <c r="E252" s="231"/>
      <c r="F252" s="1016"/>
    </row>
    <row r="253" spans="1:6">
      <c r="A253" s="934"/>
      <c r="B253" s="243"/>
      <c r="C253" s="389" t="s">
        <v>10</v>
      </c>
      <c r="D253" s="146"/>
      <c r="E253" s="146"/>
      <c r="F253" s="1231"/>
    </row>
    <row r="254" spans="1:6" ht="14.25" thickBot="1">
      <c r="A254" s="885"/>
      <c r="B254" s="1232"/>
      <c r="C254" s="1120"/>
      <c r="D254" s="903"/>
      <c r="E254" s="928"/>
      <c r="F254" s="1036"/>
    </row>
    <row r="255" spans="1:6">
      <c r="A255" s="884"/>
      <c r="B255" s="240"/>
      <c r="C255" s="878" t="s">
        <v>11225</v>
      </c>
      <c r="D255" s="63"/>
      <c r="E255" s="231"/>
      <c r="F255" s="1016">
        <f>SUM(E249:E252)</f>
        <v>74.900000000000006</v>
      </c>
    </row>
    <row r="256" spans="1:6">
      <c r="A256" s="884">
        <v>43832</v>
      </c>
      <c r="B256" s="240" t="str">
        <f>TiposLancamentos!B15</f>
        <v>Cartões de Crédito</v>
      </c>
      <c r="C256" s="878" t="s">
        <v>10915</v>
      </c>
      <c r="D256" s="63">
        <v>74.900000000000006</v>
      </c>
      <c r="E256" s="231"/>
      <c r="F256" s="1016"/>
    </row>
    <row r="257" spans="1:7">
      <c r="A257" s="884">
        <v>43832</v>
      </c>
      <c r="B257" s="240" t="str">
        <f>TiposLancamentos!B78</f>
        <v>Diferenças</v>
      </c>
      <c r="C257" s="878" t="s">
        <v>15908</v>
      </c>
      <c r="D257" s="63"/>
      <c r="E257" s="231">
        <v>0.99</v>
      </c>
      <c r="F257" s="1016"/>
    </row>
    <row r="258" spans="1:7" ht="14.25" thickBot="1">
      <c r="A258" s="885"/>
      <c r="B258" s="1232"/>
      <c r="C258" s="902"/>
      <c r="D258" s="903"/>
      <c r="E258" s="928"/>
      <c r="F258" s="1036"/>
      <c r="G258" s="1094" t="s">
        <v>11</v>
      </c>
    </row>
    <row r="259" spans="1:7">
      <c r="A259" s="46"/>
      <c r="B259" s="116"/>
      <c r="C259" s="117" t="s">
        <v>12</v>
      </c>
      <c r="D259" s="185">
        <f>SUM(D2:D258)</f>
        <v>17584.103000000006</v>
      </c>
      <c r="E259" s="118">
        <f>SUM(E2:E258)</f>
        <v>17584.106666666677</v>
      </c>
      <c r="F259" s="301"/>
    </row>
    <row r="260" spans="1:7">
      <c r="A260" s="119"/>
      <c r="B260" s="120"/>
      <c r="C260" s="24" t="s">
        <v>13</v>
      </c>
      <c r="D260" s="177"/>
      <c r="E260" s="302">
        <f>D259-E259</f>
        <v>-3.6666666710516438E-3</v>
      </c>
      <c r="F260" s="177"/>
    </row>
    <row r="261" spans="1:7">
      <c r="A261" s="65"/>
      <c r="B261" s="65"/>
    </row>
    <row r="262" spans="1:7">
      <c r="C262" s="23"/>
      <c r="D262" s="25" t="s">
        <v>14</v>
      </c>
      <c r="E262" s="303" t="s">
        <v>15</v>
      </c>
      <c r="F262" s="25" t="s">
        <v>16</v>
      </c>
    </row>
    <row r="263" spans="1:7">
      <c r="B263" s="77" t="s">
        <v>17</v>
      </c>
      <c r="C263" s="36"/>
      <c r="D263" s="60">
        <v>9100</v>
      </c>
      <c r="E263" s="34">
        <f>E260</f>
        <v>-3.6666666710516438E-3</v>
      </c>
      <c r="F263" s="62">
        <f>D263+E263</f>
        <v>9099.9963333333289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Plan43"/>
  <dimension ref="A1:F946"/>
  <sheetViews>
    <sheetView workbookViewId="0">
      <pane xSplit="5" ySplit="1" topLeftCell="F920" activePane="bottomRight" state="frozen"/>
      <selection pane="bottomRight" activeCell="F1" sqref="F1"/>
      <selection pane="bottomLeft" activeCell="A917" sqref="A917"/>
      <selection pane="topRight" activeCell="F1" sqref="F1"/>
    </sheetView>
  </sheetViews>
  <sheetFormatPr defaultColWidth="9" defaultRowHeight="13.5"/>
  <cols>
    <col min="1" max="1" width="18.140625" style="3" customWidth="1"/>
    <col min="2" max="2" width="24.42578125" style="3" customWidth="1"/>
    <col min="3" max="3" width="55.7109375" style="3" customWidth="1"/>
    <col min="4" max="5" width="15.5703125" style="3" customWidth="1"/>
    <col min="6" max="6" width="13.7109375" style="3" bestFit="1" customWidth="1"/>
    <col min="7" max="16384" width="9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79">
        <v>36859</v>
      </c>
      <c r="B2" s="189" t="str">
        <f>TiposLancamentos!B78</f>
        <v>Diferenças</v>
      </c>
      <c r="C2" s="52" t="s">
        <v>2488</v>
      </c>
      <c r="D2" s="576">
        <v>113.59</v>
      </c>
      <c r="E2" s="577"/>
    </row>
    <row r="3" spans="1:6">
      <c r="A3" s="79">
        <v>36860</v>
      </c>
      <c r="B3" s="86" t="str">
        <f>TiposLancamentos!B95</f>
        <v>Salarios</v>
      </c>
      <c r="C3" s="52" t="s">
        <v>15909</v>
      </c>
      <c r="D3" s="63">
        <v>404.16</v>
      </c>
      <c r="E3" s="98"/>
    </row>
    <row r="4" spans="1:6">
      <c r="A4" s="83"/>
      <c r="B4" s="91"/>
      <c r="C4" s="43" t="s">
        <v>12711</v>
      </c>
      <c r="D4" s="93"/>
      <c r="E4" s="94"/>
    </row>
    <row r="5" spans="1:6">
      <c r="A5" s="75">
        <v>36861</v>
      </c>
      <c r="B5" s="86" t="str">
        <f>TiposLancamentos!B20</f>
        <v>Saques</v>
      </c>
      <c r="C5" s="52" t="s">
        <v>15910</v>
      </c>
      <c r="D5" s="63"/>
      <c r="E5" s="98">
        <v>400</v>
      </c>
    </row>
    <row r="6" spans="1:6">
      <c r="A6" s="75">
        <v>36867</v>
      </c>
      <c r="B6" s="86" t="str">
        <f>TiposLancamentos!B4</f>
        <v>Taxas Bancarias</v>
      </c>
      <c r="C6" s="52" t="s">
        <v>5065</v>
      </c>
      <c r="D6" s="63"/>
      <c r="E6" s="98">
        <v>1.2</v>
      </c>
    </row>
    <row r="7" spans="1:6">
      <c r="A7" s="75">
        <v>36875</v>
      </c>
      <c r="B7" s="86" t="str">
        <f>TiposLancamentos!B95</f>
        <v>Salarios</v>
      </c>
      <c r="C7" s="578" t="s">
        <v>15911</v>
      </c>
      <c r="D7" s="63">
        <v>44.58</v>
      </c>
      <c r="E7" s="98"/>
    </row>
    <row r="8" spans="1:6">
      <c r="A8" s="75">
        <v>36880</v>
      </c>
      <c r="B8" s="86" t="str">
        <f>TiposLancamentos!B20</f>
        <v>Saques</v>
      </c>
      <c r="C8" s="52" t="s">
        <v>15910</v>
      </c>
      <c r="D8" s="63"/>
      <c r="E8" s="98">
        <v>45</v>
      </c>
    </row>
    <row r="9" spans="1:6">
      <c r="A9" s="75">
        <v>36882</v>
      </c>
      <c r="B9" s="86" t="str">
        <f>TiposLancamentos!B4</f>
        <v>Taxas Bancarias</v>
      </c>
      <c r="C9" s="52" t="s">
        <v>5065</v>
      </c>
      <c r="D9" s="63"/>
      <c r="E9" s="98">
        <v>0.13</v>
      </c>
    </row>
    <row r="10" spans="1:6">
      <c r="A10" s="75">
        <v>36889</v>
      </c>
      <c r="B10" s="86" t="str">
        <f>TiposLancamentos!B95</f>
        <v>Salarios</v>
      </c>
      <c r="C10" s="52" t="s">
        <v>15912</v>
      </c>
      <c r="D10" s="63">
        <v>802.5</v>
      </c>
      <c r="E10" s="98"/>
    </row>
    <row r="11" spans="1:6">
      <c r="A11" s="75">
        <v>36889</v>
      </c>
      <c r="B11" s="86" t="str">
        <f>TiposLancamentos!B20</f>
        <v>Saques</v>
      </c>
      <c r="C11" s="52" t="s">
        <v>15910</v>
      </c>
      <c r="D11" s="63"/>
      <c r="E11" s="98">
        <v>50</v>
      </c>
    </row>
    <row r="12" spans="1:6">
      <c r="A12" s="83"/>
      <c r="B12" s="91"/>
      <c r="C12" s="43" t="s">
        <v>12720</v>
      </c>
      <c r="D12" s="93"/>
      <c r="E12" s="94"/>
    </row>
    <row r="13" spans="1:6">
      <c r="A13" s="75">
        <v>36893</v>
      </c>
      <c r="B13" s="86" t="str">
        <f>TiposLancamentos!B20</f>
        <v>Saques</v>
      </c>
      <c r="C13" s="52" t="s">
        <v>15910</v>
      </c>
      <c r="D13" s="63"/>
      <c r="E13" s="98">
        <v>460</v>
      </c>
    </row>
    <row r="14" spans="1:6">
      <c r="A14" s="75">
        <v>36895</v>
      </c>
      <c r="B14" s="86" t="str">
        <f>TiposLancamentos!B20</f>
        <v>Saques</v>
      </c>
      <c r="C14" s="52" t="s">
        <v>15910</v>
      </c>
      <c r="D14" s="63"/>
      <c r="E14" s="98">
        <v>10</v>
      </c>
    </row>
    <row r="15" spans="1:6">
      <c r="A15" s="75">
        <v>36896</v>
      </c>
      <c r="B15" s="86" t="str">
        <f>TiposLancamentos!B4</f>
        <v>Taxas Bancarias</v>
      </c>
      <c r="C15" s="52" t="s">
        <v>5065</v>
      </c>
      <c r="D15" s="63"/>
      <c r="E15" s="98">
        <v>1.53</v>
      </c>
    </row>
    <row r="16" spans="1:6">
      <c r="A16" s="75">
        <v>36897</v>
      </c>
      <c r="B16" s="86" t="str">
        <f>TiposLancamentos!B20</f>
        <v>Saques</v>
      </c>
      <c r="C16" s="52" t="s">
        <v>15910</v>
      </c>
      <c r="D16" s="63"/>
      <c r="E16" s="98">
        <v>20</v>
      </c>
    </row>
    <row r="17" spans="1:5">
      <c r="A17" s="75">
        <v>36898</v>
      </c>
      <c r="B17" s="86" t="str">
        <f>TiposLancamentos!B20</f>
        <v>Saques</v>
      </c>
      <c r="C17" s="52" t="s">
        <v>15910</v>
      </c>
      <c r="D17" s="63"/>
      <c r="E17" s="98">
        <v>20</v>
      </c>
    </row>
    <row r="18" spans="1:5">
      <c r="A18" s="75">
        <v>36900</v>
      </c>
      <c r="B18" s="86" t="str">
        <f>TiposLancamentos!B20</f>
        <v>Saques</v>
      </c>
      <c r="C18" s="52" t="s">
        <v>15910</v>
      </c>
      <c r="D18" s="63"/>
      <c r="E18" s="98">
        <v>30</v>
      </c>
    </row>
    <row r="19" spans="1:5">
      <c r="A19" s="75">
        <v>36900</v>
      </c>
      <c r="B19" s="86" t="str">
        <f>TiposLancamentos!B105</f>
        <v>Transf. Bco</v>
      </c>
      <c r="C19" s="578" t="s">
        <v>15913</v>
      </c>
      <c r="D19" s="63"/>
      <c r="E19" s="98">
        <v>75</v>
      </c>
    </row>
    <row r="20" spans="1:5">
      <c r="A20" s="75">
        <v>36900</v>
      </c>
      <c r="B20" s="86" t="str">
        <f>TiposLancamentos!B2</f>
        <v>Telefonia</v>
      </c>
      <c r="C20" s="52" t="s">
        <v>14417</v>
      </c>
      <c r="D20" s="63"/>
      <c r="E20" s="98">
        <v>29.14</v>
      </c>
    </row>
    <row r="21" spans="1:5">
      <c r="A21" s="75">
        <v>36900</v>
      </c>
      <c r="B21" s="86" t="str">
        <f>TiposLancamentos!B2</f>
        <v>Telefonia</v>
      </c>
      <c r="C21" s="52" t="s">
        <v>15914</v>
      </c>
      <c r="D21" s="63"/>
      <c r="E21" s="98">
        <v>16.66</v>
      </c>
    </row>
    <row r="22" spans="1:5">
      <c r="A22" s="75">
        <v>36901</v>
      </c>
      <c r="B22" s="86" t="str">
        <f>TiposLancamentos!B4</f>
        <v>Taxas Bancarias</v>
      </c>
      <c r="C22" s="52" t="s">
        <v>15915</v>
      </c>
      <c r="D22" s="63"/>
      <c r="E22" s="98">
        <v>6</v>
      </c>
    </row>
    <row r="23" spans="1:5">
      <c r="A23" s="75">
        <v>36902</v>
      </c>
      <c r="B23" s="86" t="str">
        <f>TiposLancamentos!B20</f>
        <v>Saques</v>
      </c>
      <c r="C23" s="52" t="s">
        <v>15910</v>
      </c>
      <c r="D23" s="63"/>
      <c r="E23" s="98">
        <v>10</v>
      </c>
    </row>
    <row r="24" spans="1:5">
      <c r="A24" s="75">
        <v>36903</v>
      </c>
      <c r="B24" s="86" t="str">
        <f>TiposLancamentos!B4</f>
        <v>Taxas Bancarias</v>
      </c>
      <c r="C24" s="52" t="s">
        <v>5065</v>
      </c>
      <c r="D24" s="63"/>
      <c r="E24" s="98">
        <v>0.62</v>
      </c>
    </row>
    <row r="25" spans="1:5">
      <c r="A25" s="75">
        <v>36903</v>
      </c>
      <c r="B25" s="86" t="str">
        <f>TiposLancamentos!B20</f>
        <v>Saques</v>
      </c>
      <c r="C25" s="3" t="s">
        <v>15910</v>
      </c>
      <c r="D25" s="63"/>
      <c r="E25" s="98">
        <v>20</v>
      </c>
    </row>
    <row r="26" spans="1:5">
      <c r="A26" s="75">
        <v>36908</v>
      </c>
      <c r="B26" s="86" t="str">
        <f>TiposLancamentos!B19</f>
        <v>Restaurantes</v>
      </c>
      <c r="C26" s="3" t="s">
        <v>15916</v>
      </c>
      <c r="D26" s="63"/>
      <c r="E26" s="98">
        <v>17.16</v>
      </c>
    </row>
    <row r="27" spans="1:5">
      <c r="A27" s="75">
        <v>36910</v>
      </c>
      <c r="B27" s="86" t="str">
        <f>TiposLancamentos!B4</f>
        <v>Taxas Bancarias</v>
      </c>
      <c r="C27" s="3" t="s">
        <v>5065</v>
      </c>
      <c r="D27" s="63"/>
      <c r="E27" s="98">
        <v>0.09</v>
      </c>
    </row>
    <row r="28" spans="1:5">
      <c r="A28" s="75">
        <v>36911</v>
      </c>
      <c r="B28" s="86" t="str">
        <f>TiposLancamentos!B20</f>
        <v>Saques</v>
      </c>
      <c r="C28" s="3" t="s">
        <v>15910</v>
      </c>
      <c r="D28" s="63"/>
      <c r="E28" s="98">
        <v>30</v>
      </c>
    </row>
    <row r="29" spans="1:5">
      <c r="A29" s="75">
        <v>36914</v>
      </c>
      <c r="B29" s="86" t="str">
        <f>TiposLancamentos!B20</f>
        <v>Saques</v>
      </c>
      <c r="C29" s="3" t="s">
        <v>2668</v>
      </c>
      <c r="D29" s="63"/>
      <c r="E29" s="98">
        <v>5</v>
      </c>
    </row>
    <row r="30" spans="1:5">
      <c r="A30" s="75">
        <v>36917</v>
      </c>
      <c r="B30" s="86" t="str">
        <f>TiposLancamentos!B4</f>
        <v>Taxas Bancarias</v>
      </c>
      <c r="C30" s="3" t="s">
        <v>5065</v>
      </c>
      <c r="D30" s="63"/>
      <c r="E30" s="98">
        <v>0.15</v>
      </c>
    </row>
    <row r="31" spans="1:5">
      <c r="A31" s="75">
        <v>36921</v>
      </c>
      <c r="B31" s="86" t="str">
        <f>TiposLancamentos!B95</f>
        <v>Salarios</v>
      </c>
      <c r="C31" s="3" t="s">
        <v>14165</v>
      </c>
      <c r="D31" s="63">
        <v>535</v>
      </c>
      <c r="E31" s="98"/>
    </row>
    <row r="32" spans="1:5">
      <c r="A32" s="79">
        <v>36922</v>
      </c>
      <c r="B32" s="95" t="str">
        <f>TiposLancamentos!B20</f>
        <v>Saques</v>
      </c>
      <c r="C32" s="96" t="s">
        <v>15910</v>
      </c>
      <c r="D32" s="85"/>
      <c r="E32" s="97">
        <v>10</v>
      </c>
    </row>
    <row r="33" spans="1:5">
      <c r="A33" s="83"/>
      <c r="B33" s="91"/>
      <c r="C33" s="92" t="s">
        <v>15917</v>
      </c>
      <c r="D33" s="93"/>
      <c r="E33" s="94"/>
    </row>
    <row r="34" spans="1:5">
      <c r="A34" s="75">
        <v>36923</v>
      </c>
      <c r="B34" s="86" t="str">
        <f>TiposLancamentos!B20</f>
        <v>Saques</v>
      </c>
      <c r="C34" s="3" t="s">
        <v>15910</v>
      </c>
      <c r="D34" s="63"/>
      <c r="E34" s="98">
        <v>10</v>
      </c>
    </row>
    <row r="35" spans="1:5">
      <c r="A35" s="75">
        <v>36927</v>
      </c>
      <c r="B35" s="86" t="str">
        <f>TiposLancamentos!B20</f>
        <v>Saques</v>
      </c>
      <c r="C35" s="3" t="s">
        <v>15910</v>
      </c>
      <c r="D35" s="63"/>
      <c r="E35" s="98">
        <v>10</v>
      </c>
    </row>
    <row r="36" spans="1:5">
      <c r="A36" s="75">
        <v>36928</v>
      </c>
      <c r="B36" s="86" t="str">
        <f>TiposLancamentos!B2</f>
        <v>Telefonia</v>
      </c>
      <c r="C36" s="3" t="s">
        <v>2515</v>
      </c>
      <c r="D36" s="63"/>
      <c r="E36" s="98">
        <v>34.61</v>
      </c>
    </row>
    <row r="37" spans="1:5">
      <c r="A37" s="75">
        <v>36928</v>
      </c>
      <c r="B37" s="86" t="str">
        <f>TiposLancamentos!B20</f>
        <v>Saques</v>
      </c>
      <c r="C37" s="3" t="s">
        <v>15910</v>
      </c>
      <c r="D37" s="63"/>
      <c r="E37" s="98">
        <v>180</v>
      </c>
    </row>
    <row r="38" spans="1:5">
      <c r="A38" s="75">
        <v>36931</v>
      </c>
      <c r="B38" s="86" t="str">
        <f>TiposLancamentos!B20</f>
        <v>Saques</v>
      </c>
      <c r="C38" s="3" t="s">
        <v>15910</v>
      </c>
      <c r="D38" s="63"/>
      <c r="E38" s="98">
        <v>10</v>
      </c>
    </row>
    <row r="39" spans="1:5">
      <c r="A39" s="75">
        <v>36931</v>
      </c>
      <c r="B39" s="86" t="str">
        <f>TiposLancamentos!B4</f>
        <v>Taxas Bancarias</v>
      </c>
      <c r="C39" s="3" t="s">
        <v>5065</v>
      </c>
      <c r="D39" s="63"/>
      <c r="E39" s="98">
        <v>0.73</v>
      </c>
    </row>
    <row r="40" spans="1:5">
      <c r="A40" s="75">
        <v>36932</v>
      </c>
      <c r="B40" s="86" t="str">
        <f>TiposLancamentos!B20</f>
        <v>Saques</v>
      </c>
      <c r="C40" s="3" t="s">
        <v>15910</v>
      </c>
      <c r="D40" s="63"/>
      <c r="E40" s="98">
        <v>25</v>
      </c>
    </row>
    <row r="41" spans="1:5">
      <c r="A41" s="75">
        <v>36932</v>
      </c>
      <c r="B41" s="86" t="str">
        <f>TiposLancamentos!B4</f>
        <v>Taxas Bancarias</v>
      </c>
      <c r="C41" s="52" t="s">
        <v>15915</v>
      </c>
      <c r="D41" s="63"/>
      <c r="E41" s="98">
        <v>6</v>
      </c>
    </row>
    <row r="42" spans="1:5">
      <c r="A42" s="75">
        <v>36935</v>
      </c>
      <c r="B42" s="86" t="str">
        <f>TiposLancamentos!B20</f>
        <v>Saques</v>
      </c>
      <c r="C42" s="3" t="s">
        <v>15910</v>
      </c>
      <c r="D42" s="63"/>
      <c r="E42" s="98">
        <v>30</v>
      </c>
    </row>
    <row r="43" spans="1:5">
      <c r="A43" s="75">
        <v>36928</v>
      </c>
      <c r="B43" s="86" t="str">
        <f>TiposLancamentos!B4</f>
        <v>Taxas Bancarias</v>
      </c>
      <c r="C43" s="3" t="s">
        <v>5065</v>
      </c>
      <c r="D43" s="63"/>
      <c r="E43" s="98">
        <v>0.21</v>
      </c>
    </row>
    <row r="44" spans="1:5">
      <c r="A44" s="75">
        <v>36939</v>
      </c>
      <c r="B44" s="86" t="str">
        <f>TiposLancamentos!B20</f>
        <v>Saques</v>
      </c>
      <c r="C44" s="3" t="s">
        <v>15910</v>
      </c>
      <c r="D44" s="63"/>
      <c r="E44" s="98">
        <v>10</v>
      </c>
    </row>
    <row r="45" spans="1:5">
      <c r="A45" s="75">
        <v>36942</v>
      </c>
      <c r="B45" s="86" t="str">
        <f>TiposLancamentos!B20</f>
        <v>Saques</v>
      </c>
      <c r="C45" s="3" t="s">
        <v>15910</v>
      </c>
      <c r="D45" s="63"/>
      <c r="E45" s="98">
        <v>10</v>
      </c>
    </row>
    <row r="46" spans="1:5">
      <c r="A46" s="75">
        <v>36943</v>
      </c>
      <c r="B46" s="86" t="str">
        <f>TiposLancamentos!B20</f>
        <v>Saques</v>
      </c>
      <c r="C46" s="3" t="s">
        <v>15910</v>
      </c>
      <c r="D46" s="63"/>
      <c r="E46" s="98">
        <v>20</v>
      </c>
    </row>
    <row r="47" spans="1:5">
      <c r="A47" s="75">
        <v>36945</v>
      </c>
      <c r="B47" s="86" t="str">
        <f>TiposLancamentos!B4</f>
        <v>Taxas Bancarias</v>
      </c>
      <c r="C47" s="3" t="s">
        <v>5065</v>
      </c>
      <c r="D47" s="63"/>
      <c r="E47" s="98">
        <v>0.12</v>
      </c>
    </row>
    <row r="48" spans="1:5">
      <c r="A48" s="75">
        <v>36945</v>
      </c>
      <c r="B48" s="86" t="str">
        <f>TiposLancamentos!B20</f>
        <v>Saques</v>
      </c>
      <c r="C48" s="3" t="s">
        <v>15910</v>
      </c>
      <c r="D48" s="63"/>
      <c r="E48" s="98">
        <v>100</v>
      </c>
    </row>
    <row r="49" spans="1:5">
      <c r="A49" s="75">
        <v>36945</v>
      </c>
      <c r="B49" s="86" t="str">
        <f>TiposLancamentos!B20</f>
        <v>Saques</v>
      </c>
      <c r="C49" s="3" t="s">
        <v>15910</v>
      </c>
      <c r="D49" s="63"/>
      <c r="E49" s="98">
        <v>10</v>
      </c>
    </row>
    <row r="50" spans="1:5">
      <c r="A50" s="75">
        <v>36946</v>
      </c>
      <c r="B50" s="86" t="str">
        <f>TiposLancamentos!B20</f>
        <v>Saques</v>
      </c>
      <c r="C50" s="3" t="s">
        <v>15910</v>
      </c>
      <c r="D50" s="63"/>
      <c r="E50" s="98">
        <v>50</v>
      </c>
    </row>
    <row r="51" spans="1:5">
      <c r="A51" s="75">
        <v>36948</v>
      </c>
      <c r="B51" s="86" t="str">
        <f>TiposLancamentos!B19</f>
        <v>Restaurantes</v>
      </c>
      <c r="C51" s="3" t="s">
        <v>15918</v>
      </c>
      <c r="D51" s="63"/>
      <c r="E51" s="98">
        <v>23.76</v>
      </c>
    </row>
    <row r="52" spans="1:5">
      <c r="A52" s="75">
        <v>36950</v>
      </c>
      <c r="B52" s="86" t="str">
        <f>TiposLancamentos!B95</f>
        <v>Salarios</v>
      </c>
      <c r="C52" s="3" t="s">
        <v>14165</v>
      </c>
      <c r="D52" s="63">
        <v>535</v>
      </c>
      <c r="E52" s="98"/>
    </row>
    <row r="53" spans="1:5">
      <c r="A53" s="75">
        <v>36950</v>
      </c>
      <c r="B53" s="86" t="str">
        <f>TiposLancamentos!B20</f>
        <v>Saques</v>
      </c>
      <c r="C53" s="3" t="s">
        <v>15910</v>
      </c>
      <c r="D53" s="63"/>
      <c r="E53" s="98">
        <v>150</v>
      </c>
    </row>
    <row r="54" spans="1:5">
      <c r="A54" s="79">
        <v>36950</v>
      </c>
      <c r="B54" s="95" t="str">
        <f>TiposLancamentos!B26</f>
        <v>LIVROS</v>
      </c>
      <c r="C54" s="96" t="s">
        <v>15919</v>
      </c>
      <c r="D54" s="85"/>
      <c r="E54" s="97">
        <v>67.5</v>
      </c>
    </row>
    <row r="55" spans="1:5">
      <c r="A55" s="83"/>
      <c r="B55" s="91"/>
      <c r="C55" s="92" t="s">
        <v>12728</v>
      </c>
      <c r="D55" s="93"/>
      <c r="E55" s="94"/>
    </row>
    <row r="56" spans="1:5">
      <c r="A56" s="75">
        <v>36951</v>
      </c>
      <c r="B56" s="86" t="str">
        <f>TiposLancamentos!B64</f>
        <v>Viagens</v>
      </c>
      <c r="C56" s="3" t="s">
        <v>15920</v>
      </c>
      <c r="D56" s="63"/>
      <c r="E56" s="98">
        <v>20</v>
      </c>
    </row>
    <row r="57" spans="1:5">
      <c r="A57" s="75">
        <v>36952</v>
      </c>
      <c r="B57" s="86" t="str">
        <f>TiposLancamentos!B19</f>
        <v>Restaurantes</v>
      </c>
      <c r="C57" s="3" t="s">
        <v>15921</v>
      </c>
      <c r="D57" s="63"/>
      <c r="E57" s="98">
        <v>13.29</v>
      </c>
    </row>
    <row r="58" spans="1:5">
      <c r="A58" s="75">
        <v>36952</v>
      </c>
      <c r="B58" s="86" t="str">
        <f>TiposLancamentos!B19</f>
        <v>Restaurantes</v>
      </c>
      <c r="C58" s="3" t="s">
        <v>15922</v>
      </c>
      <c r="D58" s="63"/>
      <c r="E58" s="98">
        <v>23.5</v>
      </c>
    </row>
    <row r="59" spans="1:5">
      <c r="A59" s="75">
        <v>36952</v>
      </c>
      <c r="B59" s="86" t="str">
        <f>TiposLancamentos!B4</f>
        <v>Taxas Bancarias</v>
      </c>
      <c r="C59" s="3" t="s">
        <v>5065</v>
      </c>
      <c r="D59" s="63"/>
      <c r="E59" s="98">
        <v>0.93</v>
      </c>
    </row>
    <row r="60" spans="1:5">
      <c r="A60" s="75">
        <v>36952</v>
      </c>
      <c r="B60" s="86" t="str">
        <f>TiposLancamentos!B20</f>
        <v>Saques</v>
      </c>
      <c r="C60" s="3" t="s">
        <v>15910</v>
      </c>
      <c r="D60" s="63"/>
      <c r="E60" s="98">
        <v>5</v>
      </c>
    </row>
    <row r="61" spans="1:5">
      <c r="A61" s="75">
        <v>36953</v>
      </c>
      <c r="B61" s="86" t="str">
        <f>TiposLancamentos!B20</f>
        <v>Saques</v>
      </c>
      <c r="C61" s="3" t="s">
        <v>15910</v>
      </c>
      <c r="D61" s="63"/>
      <c r="E61" s="98">
        <v>10</v>
      </c>
    </row>
    <row r="62" spans="1:5">
      <c r="A62" s="75">
        <v>36955</v>
      </c>
      <c r="B62" s="86" t="str">
        <f>TiposLancamentos!B20</f>
        <v>Saques</v>
      </c>
      <c r="C62" s="3" t="s">
        <v>15910</v>
      </c>
      <c r="D62" s="63"/>
      <c r="E62" s="98">
        <v>150</v>
      </c>
    </row>
    <row r="63" spans="1:5">
      <c r="A63" s="75">
        <v>36956</v>
      </c>
      <c r="B63" s="86" t="str">
        <f>TiposLancamentos!B2</f>
        <v>Telefonia</v>
      </c>
      <c r="C63" s="3" t="s">
        <v>2515</v>
      </c>
      <c r="D63" s="63"/>
      <c r="E63" s="98">
        <v>58.2</v>
      </c>
    </row>
    <row r="64" spans="1:5">
      <c r="A64" s="75">
        <v>36956</v>
      </c>
      <c r="B64" s="86" t="str">
        <f>TiposLancamentos!B20</f>
        <v>Saques</v>
      </c>
      <c r="C64" s="3" t="s">
        <v>2668</v>
      </c>
      <c r="D64" s="63"/>
      <c r="E64" s="98">
        <v>5</v>
      </c>
    </row>
    <row r="65" spans="1:5">
      <c r="A65" s="75">
        <v>36957</v>
      </c>
      <c r="B65" s="86" t="str">
        <f>TiposLancamentos!B70</f>
        <v>Vestuário</v>
      </c>
      <c r="C65" s="3" t="s">
        <v>12730</v>
      </c>
      <c r="D65" s="63"/>
      <c r="E65" s="98">
        <v>23.3</v>
      </c>
    </row>
    <row r="66" spans="1:5">
      <c r="A66" s="75">
        <v>36959</v>
      </c>
      <c r="B66" s="86" t="str">
        <f>TiposLancamentos!B97</f>
        <v>Deposito Terc.</v>
      </c>
      <c r="C66" s="3" t="s">
        <v>14464</v>
      </c>
      <c r="D66" s="63">
        <v>40</v>
      </c>
      <c r="E66" s="98"/>
    </row>
    <row r="67" spans="1:5">
      <c r="A67" s="75">
        <v>36959</v>
      </c>
      <c r="B67" s="86" t="str">
        <f>TiposLancamentos!B64</f>
        <v>Viagens</v>
      </c>
      <c r="C67" s="3" t="s">
        <v>15923</v>
      </c>
      <c r="D67" s="63"/>
      <c r="E67" s="98">
        <v>26.54</v>
      </c>
    </row>
    <row r="68" spans="1:5">
      <c r="A68" s="75">
        <v>36959</v>
      </c>
      <c r="B68" s="86" t="str">
        <f>TiposLancamentos!B4</f>
        <v>Taxas Bancarias</v>
      </c>
      <c r="C68" s="3" t="s">
        <v>5065</v>
      </c>
      <c r="D68" s="63"/>
      <c r="E68" s="98">
        <v>1.05</v>
      </c>
    </row>
    <row r="69" spans="1:5">
      <c r="A69" s="75">
        <v>36960</v>
      </c>
      <c r="B69" s="86" t="str">
        <f>TiposLancamentos!B20</f>
        <v>Saques</v>
      </c>
      <c r="C69" s="3" t="s">
        <v>15910</v>
      </c>
      <c r="D69" s="63"/>
      <c r="E69" s="98">
        <v>5</v>
      </c>
    </row>
    <row r="70" spans="1:5">
      <c r="A70" s="75">
        <v>36962</v>
      </c>
      <c r="B70" s="86" t="str">
        <f>TiposLancamentos!B4</f>
        <v>Taxas Bancarias</v>
      </c>
      <c r="C70" s="3" t="s">
        <v>15915</v>
      </c>
      <c r="D70" s="63"/>
      <c r="E70" s="98">
        <v>7</v>
      </c>
    </row>
    <row r="71" spans="1:5">
      <c r="A71" s="75">
        <v>36966</v>
      </c>
      <c r="B71" s="86" t="str">
        <f>TiposLancamentos!B20</f>
        <v>Saques</v>
      </c>
      <c r="C71" s="3" t="s">
        <v>15910</v>
      </c>
      <c r="D71" s="63"/>
      <c r="E71" s="98">
        <v>5</v>
      </c>
    </row>
    <row r="72" spans="1:5">
      <c r="A72" s="75">
        <v>36966</v>
      </c>
      <c r="B72" s="86" t="str">
        <f>TiposLancamentos!B4</f>
        <v>Taxas Bancarias</v>
      </c>
      <c r="C72" s="3" t="s">
        <v>5065</v>
      </c>
      <c r="D72" s="63"/>
      <c r="E72" s="98">
        <v>0.25</v>
      </c>
    </row>
    <row r="73" spans="1:5">
      <c r="A73" s="75">
        <v>36970</v>
      </c>
      <c r="B73" s="86" t="str">
        <f>TiposLancamentos!B4</f>
        <v>Taxas Bancarias</v>
      </c>
      <c r="C73" s="3" t="s">
        <v>5065</v>
      </c>
      <c r="D73" s="63"/>
      <c r="E73" s="98">
        <v>0.01</v>
      </c>
    </row>
    <row r="74" spans="1:5">
      <c r="A74" s="75">
        <v>36980</v>
      </c>
      <c r="B74" s="86" t="str">
        <f>TiposLancamentos!B95</f>
        <v>Salarios</v>
      </c>
      <c r="C74" s="3" t="s">
        <v>14165</v>
      </c>
      <c r="D74" s="63">
        <v>535</v>
      </c>
      <c r="E74" s="98"/>
    </row>
    <row r="75" spans="1:5">
      <c r="A75" s="75">
        <v>36980</v>
      </c>
      <c r="B75" s="86" t="str">
        <f>TiposLancamentos!B2</f>
        <v>Telefonia</v>
      </c>
      <c r="C75" s="3" t="s">
        <v>14417</v>
      </c>
      <c r="D75" s="63"/>
      <c r="E75" s="98">
        <v>23.27</v>
      </c>
    </row>
    <row r="76" spans="1:5">
      <c r="A76" s="75">
        <v>36980</v>
      </c>
      <c r="B76" s="86" t="str">
        <f>TiposLancamentos!B2</f>
        <v>Telefonia</v>
      </c>
      <c r="C76" s="3" t="s">
        <v>14417</v>
      </c>
      <c r="D76" s="63"/>
      <c r="E76" s="98">
        <v>28.4</v>
      </c>
    </row>
    <row r="77" spans="1:5">
      <c r="A77" s="75">
        <v>36980</v>
      </c>
      <c r="B77" s="86" t="str">
        <f>TiposLancamentos!B2</f>
        <v>Telefonia</v>
      </c>
      <c r="C77" s="3" t="s">
        <v>14417</v>
      </c>
      <c r="D77" s="63"/>
      <c r="E77" s="98">
        <v>29.19</v>
      </c>
    </row>
    <row r="78" spans="1:5">
      <c r="A78" s="75">
        <v>36980</v>
      </c>
      <c r="B78" s="86" t="str">
        <f>TiposLancamentos!B20</f>
        <v>Saques</v>
      </c>
      <c r="C78" s="3" t="s">
        <v>2668</v>
      </c>
      <c r="D78" s="63"/>
      <c r="E78" s="98">
        <v>115</v>
      </c>
    </row>
    <row r="79" spans="1:5">
      <c r="A79" s="75">
        <v>36980</v>
      </c>
      <c r="B79" s="86" t="str">
        <f>TiposLancamentos!B2</f>
        <v>Telefonia</v>
      </c>
      <c r="C79" s="3" t="s">
        <v>15924</v>
      </c>
      <c r="D79" s="63"/>
      <c r="E79" s="98">
        <v>15</v>
      </c>
    </row>
    <row r="80" spans="1:5">
      <c r="A80" s="75">
        <v>36980</v>
      </c>
      <c r="B80" s="86" t="str">
        <f>TiposLancamentos!B57</f>
        <v>Informática</v>
      </c>
      <c r="C80" s="3" t="s">
        <v>15925</v>
      </c>
      <c r="D80" s="63"/>
      <c r="E80" s="98">
        <v>200</v>
      </c>
    </row>
    <row r="81" spans="1:5">
      <c r="A81" s="79">
        <v>36981</v>
      </c>
      <c r="B81" s="86" t="str">
        <f>TiposLancamentos!B20</f>
        <v>Saques</v>
      </c>
      <c r="C81" s="96" t="s">
        <v>2668</v>
      </c>
      <c r="D81" s="85"/>
      <c r="E81" s="97">
        <v>10</v>
      </c>
    </row>
    <row r="82" spans="1:5">
      <c r="A82" s="83"/>
      <c r="B82" s="91"/>
      <c r="C82" s="92" t="s">
        <v>12732</v>
      </c>
      <c r="D82" s="93"/>
      <c r="E82" s="94"/>
    </row>
    <row r="83" spans="1:5">
      <c r="A83" s="75">
        <v>36982</v>
      </c>
      <c r="B83" s="86" t="str">
        <f>TiposLancamentos!B20</f>
        <v>Saques</v>
      </c>
      <c r="C83" s="3" t="s">
        <v>2668</v>
      </c>
      <c r="D83" s="63"/>
      <c r="E83" s="98">
        <v>10</v>
      </c>
    </row>
    <row r="84" spans="1:5">
      <c r="A84" s="75">
        <v>36985</v>
      </c>
      <c r="B84" s="86" t="str">
        <f>TiposLancamentos!B20</f>
        <v>Saques</v>
      </c>
      <c r="C84" s="3" t="s">
        <v>2668</v>
      </c>
      <c r="D84" s="63"/>
      <c r="E84" s="98">
        <v>10</v>
      </c>
    </row>
    <row r="85" spans="1:5">
      <c r="A85" s="75">
        <v>36986</v>
      </c>
      <c r="B85" s="86" t="str">
        <f>TiposLancamentos!B2</f>
        <v>Telefonia</v>
      </c>
      <c r="C85" s="3" t="s">
        <v>2515</v>
      </c>
      <c r="D85" s="63"/>
      <c r="E85" s="98">
        <v>45.78</v>
      </c>
    </row>
    <row r="86" spans="1:5">
      <c r="A86" s="75">
        <v>36987</v>
      </c>
      <c r="B86" s="86" t="str">
        <f>TiposLancamentos!B4</f>
        <v>Taxas Bancarias</v>
      </c>
      <c r="C86" s="3" t="s">
        <v>5065</v>
      </c>
      <c r="D86" s="63"/>
      <c r="E86" s="98">
        <v>1.67</v>
      </c>
    </row>
    <row r="87" spans="1:5">
      <c r="A87" s="75">
        <v>36988</v>
      </c>
      <c r="B87" s="86" t="str">
        <f>TiposLancamentos!B70</f>
        <v>Vestuário</v>
      </c>
      <c r="C87" s="3" t="s">
        <v>12733</v>
      </c>
      <c r="D87" s="63"/>
      <c r="E87" s="98">
        <v>23.3</v>
      </c>
    </row>
    <row r="88" spans="1:5">
      <c r="A88" s="75">
        <v>36989</v>
      </c>
      <c r="B88" s="86" t="str">
        <f>TiposLancamentos!B20</f>
        <v>Saques</v>
      </c>
      <c r="C88" s="3" t="s">
        <v>2655</v>
      </c>
      <c r="D88" s="63"/>
      <c r="E88" s="98">
        <v>10</v>
      </c>
    </row>
    <row r="89" spans="1:5">
      <c r="A89" s="75">
        <v>36991</v>
      </c>
      <c r="B89" s="86" t="str">
        <f>TiposLancamentos!B4</f>
        <v>Taxas Bancarias</v>
      </c>
      <c r="C89" s="3" t="s">
        <v>15915</v>
      </c>
      <c r="D89" s="63"/>
      <c r="E89" s="98">
        <v>7</v>
      </c>
    </row>
    <row r="90" spans="1:5">
      <c r="A90" s="75">
        <v>36993</v>
      </c>
      <c r="B90" s="86" t="str">
        <f>TiposLancamentos!B4</f>
        <v>Taxas Bancarias</v>
      </c>
      <c r="C90" s="3" t="s">
        <v>5065</v>
      </c>
      <c r="D90" s="63"/>
      <c r="E90" s="98">
        <v>0.32</v>
      </c>
    </row>
    <row r="91" spans="1:5">
      <c r="A91" s="75">
        <v>37004</v>
      </c>
      <c r="B91" s="86" t="str">
        <f>TiposLancamentos!B20</f>
        <v>Saques</v>
      </c>
      <c r="C91" s="3" t="s">
        <v>2668</v>
      </c>
      <c r="D91" s="63"/>
      <c r="E91" s="98">
        <v>6</v>
      </c>
    </row>
    <row r="92" spans="1:5">
      <c r="A92" s="75">
        <v>37008</v>
      </c>
      <c r="B92" s="86" t="str">
        <f>TiposLancamentos!B4</f>
        <v>Taxas Bancarias</v>
      </c>
      <c r="C92" s="3" t="s">
        <v>5065</v>
      </c>
      <c r="D92" s="63"/>
      <c r="E92" s="98">
        <v>0.02</v>
      </c>
    </row>
    <row r="93" spans="1:5">
      <c r="A93" s="75">
        <v>37011</v>
      </c>
      <c r="B93" s="86" t="str">
        <f>TiposLancamentos!B95</f>
        <v>Salarios</v>
      </c>
      <c r="C93" s="3" t="s">
        <v>15911</v>
      </c>
      <c r="D93" s="63">
        <v>535</v>
      </c>
      <c r="E93" s="98"/>
    </row>
    <row r="94" spans="1:5">
      <c r="A94" s="75">
        <v>37011</v>
      </c>
      <c r="B94" s="86" t="str">
        <f>TiposLancamentos!B105</f>
        <v>Transf. Bco</v>
      </c>
      <c r="C94" s="3" t="s">
        <v>15926</v>
      </c>
      <c r="D94" s="63"/>
      <c r="E94" s="98">
        <v>243</v>
      </c>
    </row>
    <row r="95" spans="1:5">
      <c r="A95" s="83"/>
      <c r="B95" s="91"/>
      <c r="C95" s="92" t="s">
        <v>15927</v>
      </c>
      <c r="D95" s="93"/>
      <c r="E95" s="94"/>
    </row>
    <row r="96" spans="1:5">
      <c r="A96" s="75">
        <v>37012</v>
      </c>
      <c r="B96" s="86" t="str">
        <f>TiposLancamentos!B19</f>
        <v>Restaurantes</v>
      </c>
      <c r="C96" s="3" t="s">
        <v>15928</v>
      </c>
      <c r="D96" s="63"/>
      <c r="E96" s="98">
        <v>9.6</v>
      </c>
    </row>
    <row r="97" spans="1:5">
      <c r="A97" s="75">
        <v>37013</v>
      </c>
      <c r="B97" s="86" t="str">
        <f>TiposLancamentos!B57</f>
        <v>Informática</v>
      </c>
      <c r="C97" s="3" t="s">
        <v>15929</v>
      </c>
      <c r="D97" s="63"/>
      <c r="E97" s="98">
        <v>138</v>
      </c>
    </row>
    <row r="98" spans="1:5">
      <c r="A98" s="75">
        <v>37014</v>
      </c>
      <c r="B98" s="86" t="str">
        <f>TiposLancamentos!B20</f>
        <v>Saques</v>
      </c>
      <c r="C98" s="3" t="s">
        <v>2668</v>
      </c>
      <c r="D98" s="63"/>
      <c r="E98" s="98">
        <v>10</v>
      </c>
    </row>
    <row r="99" spans="1:5">
      <c r="A99" s="75">
        <v>37015</v>
      </c>
      <c r="B99" s="86" t="str">
        <f>TiposLancamentos!B64</f>
        <v>Viagens</v>
      </c>
      <c r="C99" s="3" t="s">
        <v>15930</v>
      </c>
      <c r="D99" s="63"/>
      <c r="E99" s="98">
        <v>26.54</v>
      </c>
    </row>
    <row r="100" spans="1:5">
      <c r="A100" s="75">
        <v>37015</v>
      </c>
      <c r="B100" s="86" t="str">
        <f>TiposLancamentos!B4</f>
        <v>Taxas Bancarias</v>
      </c>
      <c r="C100" s="3" t="s">
        <v>5065</v>
      </c>
      <c r="D100" s="63"/>
      <c r="E100" s="98">
        <v>0.92</v>
      </c>
    </row>
    <row r="101" spans="1:5">
      <c r="A101" s="75">
        <v>37016</v>
      </c>
      <c r="B101" s="86" t="str">
        <f>TiposLancamentos!B57</f>
        <v>Informática</v>
      </c>
      <c r="C101" s="3" t="s">
        <v>15931</v>
      </c>
      <c r="D101" s="63"/>
      <c r="E101" s="98">
        <v>24.7</v>
      </c>
    </row>
    <row r="102" spans="1:5">
      <c r="A102" s="75">
        <v>37018</v>
      </c>
      <c r="B102" s="86" t="str">
        <f>TiposLancamentos!B70</f>
        <v>Vestuário</v>
      </c>
      <c r="C102" s="3" t="s">
        <v>12738</v>
      </c>
      <c r="D102" s="63"/>
      <c r="E102" s="98">
        <v>23.3</v>
      </c>
    </row>
    <row r="103" spans="1:5">
      <c r="A103" s="75">
        <v>37019</v>
      </c>
      <c r="B103" s="86" t="str">
        <f>TiposLancamentos!B20</f>
        <v>Saques</v>
      </c>
      <c r="C103" s="3" t="s">
        <v>2668</v>
      </c>
      <c r="D103" s="63"/>
      <c r="E103" s="98">
        <v>10</v>
      </c>
    </row>
    <row r="104" spans="1:5">
      <c r="A104" s="75">
        <v>37020</v>
      </c>
      <c r="B104" s="86" t="str">
        <f>TiposLancamentos!B2</f>
        <v>Telefonia</v>
      </c>
      <c r="C104" s="3" t="s">
        <v>2515</v>
      </c>
      <c r="D104" s="63"/>
      <c r="E104" s="98">
        <v>40.1</v>
      </c>
    </row>
    <row r="105" spans="1:5">
      <c r="A105" s="75">
        <v>37021</v>
      </c>
      <c r="B105" s="86" t="str">
        <f>TiposLancamentos!B4</f>
        <v>Taxas Bancarias</v>
      </c>
      <c r="C105" s="3" t="s">
        <v>15915</v>
      </c>
      <c r="D105" s="63"/>
      <c r="E105" s="98">
        <v>7</v>
      </c>
    </row>
    <row r="106" spans="1:5">
      <c r="A106" s="75">
        <v>37022</v>
      </c>
      <c r="B106" s="86" t="str">
        <f>TiposLancamentos!B4</f>
        <v>Taxas Bancarias</v>
      </c>
      <c r="C106" s="3" t="s">
        <v>5065</v>
      </c>
      <c r="D106" s="63"/>
      <c r="E106" s="98">
        <v>1.07</v>
      </c>
    </row>
    <row r="107" spans="1:5">
      <c r="A107" s="75">
        <v>37029</v>
      </c>
      <c r="B107" s="86" t="str">
        <f>TiposLancamentos!B4</f>
        <v>Taxas Bancarias</v>
      </c>
      <c r="C107" s="3" t="s">
        <v>5065</v>
      </c>
      <c r="D107" s="63"/>
      <c r="E107" s="98">
        <v>0.02</v>
      </c>
    </row>
    <row r="108" spans="1:5">
      <c r="A108" s="75">
        <v>37041</v>
      </c>
      <c r="B108" s="86" t="str">
        <f>TiposLancamentos!B95</f>
        <v>Salarios</v>
      </c>
      <c r="C108" s="3" t="s">
        <v>15911</v>
      </c>
      <c r="D108" s="63">
        <v>535</v>
      </c>
      <c r="E108" s="98"/>
    </row>
    <row r="109" spans="1:5">
      <c r="A109" s="83"/>
      <c r="B109" s="91"/>
      <c r="C109" s="92" t="s">
        <v>12740</v>
      </c>
      <c r="D109" s="93"/>
      <c r="E109" s="94"/>
    </row>
    <row r="110" spans="1:5">
      <c r="A110" s="75">
        <v>37043</v>
      </c>
      <c r="B110" s="86" t="str">
        <f>TiposLancamentos!B20</f>
        <v>Saques</v>
      </c>
      <c r="C110" s="3" t="s">
        <v>2668</v>
      </c>
      <c r="D110" s="63"/>
      <c r="E110" s="98">
        <v>20</v>
      </c>
    </row>
    <row r="111" spans="1:5">
      <c r="A111" s="75">
        <v>37044</v>
      </c>
      <c r="B111" s="86" t="str">
        <f>TiposLancamentos!B20</f>
        <v>Saques</v>
      </c>
      <c r="C111" s="3" t="s">
        <v>1706</v>
      </c>
      <c r="D111" s="63"/>
      <c r="E111" s="98">
        <v>30</v>
      </c>
    </row>
    <row r="112" spans="1:5">
      <c r="A112" s="75">
        <v>37045</v>
      </c>
      <c r="B112" s="86" t="str">
        <f>TiposLancamentos!B2</f>
        <v>Telefonia</v>
      </c>
      <c r="C112" s="3" t="s">
        <v>15932</v>
      </c>
      <c r="D112" s="63"/>
      <c r="E112" s="98">
        <v>15</v>
      </c>
    </row>
    <row r="113" spans="1:5">
      <c r="A113" s="75">
        <v>37045</v>
      </c>
      <c r="B113" s="86" t="str">
        <f>TiposLancamentos!B19</f>
        <v>Restaurantes</v>
      </c>
      <c r="C113" s="3" t="s">
        <v>15933</v>
      </c>
      <c r="D113" s="63"/>
      <c r="E113" s="98">
        <v>15.18</v>
      </c>
    </row>
    <row r="114" spans="1:5">
      <c r="A114" s="75">
        <v>37045</v>
      </c>
      <c r="B114" s="86" t="str">
        <f>TiposLancamentos!B97</f>
        <v>Deposito Terc.</v>
      </c>
      <c r="C114" s="3" t="s">
        <v>14464</v>
      </c>
      <c r="D114" s="63">
        <v>95</v>
      </c>
      <c r="E114" s="98"/>
    </row>
    <row r="115" spans="1:5">
      <c r="A115" s="75">
        <v>37046</v>
      </c>
      <c r="B115" s="86" t="str">
        <f>TiposLancamentos!B71</f>
        <v>Itens Pessoais</v>
      </c>
      <c r="C115" s="3" t="s">
        <v>12742</v>
      </c>
      <c r="D115" s="63"/>
      <c r="E115" s="98">
        <v>139.6</v>
      </c>
    </row>
    <row r="116" spans="1:5">
      <c r="A116" s="75">
        <v>37046</v>
      </c>
      <c r="B116" s="86" t="str">
        <f>TiposLancamentos!B4</f>
        <v>Taxas Bancarias</v>
      </c>
      <c r="C116" s="3" t="s">
        <v>5065</v>
      </c>
      <c r="D116" s="63"/>
      <c r="E116" s="98"/>
    </row>
    <row r="117" spans="1:5">
      <c r="A117" s="75">
        <v>37048</v>
      </c>
      <c r="B117" s="86" t="str">
        <f>TiposLancamentos!B105</f>
        <v>Transf. Bco</v>
      </c>
      <c r="C117" s="3" t="s">
        <v>15934</v>
      </c>
      <c r="D117" s="63"/>
      <c r="E117" s="98">
        <v>170</v>
      </c>
    </row>
    <row r="118" spans="1:5">
      <c r="A118" s="75">
        <v>37048</v>
      </c>
      <c r="B118" s="86" t="str">
        <f>TiposLancamentos!B2</f>
        <v>Telefonia</v>
      </c>
      <c r="C118" s="3" t="s">
        <v>14417</v>
      </c>
      <c r="D118" s="63"/>
      <c r="E118" s="98">
        <v>19.09</v>
      </c>
    </row>
    <row r="119" spans="1:5">
      <c r="A119" s="75">
        <v>37048</v>
      </c>
      <c r="B119" s="86" t="str">
        <f>TiposLancamentos!B2</f>
        <v>Telefonia</v>
      </c>
      <c r="C119" s="3" t="s">
        <v>2515</v>
      </c>
      <c r="D119" s="63"/>
      <c r="E119" s="98">
        <v>70.08</v>
      </c>
    </row>
    <row r="120" spans="1:5">
      <c r="A120" s="75">
        <v>37049</v>
      </c>
      <c r="B120" s="86" t="str">
        <f>TiposLancamentos!B2</f>
        <v>Telefonia</v>
      </c>
      <c r="C120" s="3" t="s">
        <v>14417</v>
      </c>
      <c r="D120" s="63"/>
      <c r="E120" s="98">
        <v>32.93</v>
      </c>
    </row>
    <row r="121" spans="1:5">
      <c r="A121" s="75">
        <v>37049</v>
      </c>
      <c r="B121" s="86" t="str">
        <f>TiposLancamentos!B19</f>
        <v>Restaurantes</v>
      </c>
      <c r="C121" s="3" t="s">
        <v>15935</v>
      </c>
      <c r="D121" s="63"/>
      <c r="E121" s="98">
        <v>24</v>
      </c>
    </row>
    <row r="122" spans="1:5">
      <c r="A122" s="75">
        <v>37050</v>
      </c>
      <c r="B122" s="86" t="str">
        <f>TiposLancamentos!B4</f>
        <v>Taxas Bancarias</v>
      </c>
      <c r="C122" s="3" t="s">
        <v>5065</v>
      </c>
      <c r="D122" s="63"/>
      <c r="E122" s="98">
        <v>1.76</v>
      </c>
    </row>
    <row r="123" spans="1:5">
      <c r="A123" s="75">
        <v>37050</v>
      </c>
      <c r="B123" s="86" t="str">
        <f>TiposLancamentos!B20</f>
        <v>Saques</v>
      </c>
      <c r="C123" s="3" t="s">
        <v>2668</v>
      </c>
      <c r="D123" s="63"/>
      <c r="E123" s="98">
        <v>15</v>
      </c>
    </row>
    <row r="124" spans="1:5">
      <c r="A124" s="75">
        <v>37053</v>
      </c>
      <c r="B124" s="86" t="str">
        <f>TiposLancamentos!B20</f>
        <v>Saques</v>
      </c>
      <c r="C124" s="3" t="s">
        <v>2668</v>
      </c>
      <c r="D124" s="63"/>
      <c r="E124" s="98">
        <v>10</v>
      </c>
    </row>
    <row r="125" spans="1:5">
      <c r="A125" s="75">
        <v>37053</v>
      </c>
      <c r="B125" s="86" t="str">
        <f>TiposLancamentos!B20</f>
        <v>Saques</v>
      </c>
      <c r="C125" s="3" t="s">
        <v>2668</v>
      </c>
      <c r="D125" s="63"/>
      <c r="E125" s="98">
        <v>60</v>
      </c>
    </row>
    <row r="126" spans="1:5">
      <c r="A126" s="75">
        <v>37053</v>
      </c>
      <c r="B126" s="86" t="str">
        <f>TiposLancamentos!B4</f>
        <v>Taxas Bancarias</v>
      </c>
      <c r="C126" s="3" t="s">
        <v>15915</v>
      </c>
      <c r="D126" s="63"/>
      <c r="E126" s="98">
        <v>7</v>
      </c>
    </row>
    <row r="127" spans="1:5">
      <c r="A127" s="75">
        <v>37054</v>
      </c>
      <c r="B127" s="86" t="str">
        <f>TiposLancamentos!B19</f>
        <v>Restaurantes</v>
      </c>
      <c r="C127" s="3" t="s">
        <v>15936</v>
      </c>
      <c r="D127" s="63"/>
      <c r="E127" s="98">
        <v>11.8</v>
      </c>
    </row>
    <row r="128" spans="1:5">
      <c r="A128" s="75">
        <v>37057</v>
      </c>
      <c r="B128" s="86" t="str">
        <f>TiposLancamentos!B97</f>
        <v>Deposito Terc.</v>
      </c>
      <c r="C128" s="3" t="s">
        <v>14464</v>
      </c>
      <c r="D128" s="63">
        <v>10</v>
      </c>
      <c r="E128" s="98"/>
    </row>
    <row r="129" spans="1:5">
      <c r="A129" s="75">
        <v>37057</v>
      </c>
      <c r="B129" s="86" t="str">
        <f>TiposLancamentos!B4</f>
        <v>Taxas Bancarias</v>
      </c>
      <c r="C129" s="3" t="s">
        <v>5065</v>
      </c>
      <c r="D129" s="63"/>
      <c r="E129" s="98">
        <v>0.62</v>
      </c>
    </row>
    <row r="130" spans="1:5">
      <c r="A130" s="75">
        <v>37066</v>
      </c>
      <c r="B130" s="86" t="str">
        <f>TiposLancamentos!B19</f>
        <v>Restaurantes</v>
      </c>
      <c r="C130" s="3" t="s">
        <v>14622</v>
      </c>
      <c r="D130" s="63"/>
      <c r="E130" s="98">
        <v>7.5</v>
      </c>
    </row>
    <row r="131" spans="1:5">
      <c r="A131" s="75">
        <v>37068</v>
      </c>
      <c r="B131" s="86" t="str">
        <f>TiposLancamentos!B4</f>
        <v>Taxas Bancarias</v>
      </c>
      <c r="C131" s="3" t="s">
        <v>5065</v>
      </c>
      <c r="D131" s="63"/>
      <c r="E131" s="98">
        <v>0.04</v>
      </c>
    </row>
    <row r="132" spans="1:5">
      <c r="A132" s="75">
        <v>37070</v>
      </c>
      <c r="B132" s="86" t="str">
        <f>TiposLancamentos!B64</f>
        <v>Viagens</v>
      </c>
      <c r="C132" s="3" t="s">
        <v>15937</v>
      </c>
      <c r="D132" s="63"/>
      <c r="E132" s="98">
        <v>26.54</v>
      </c>
    </row>
    <row r="133" spans="1:5">
      <c r="A133" s="75">
        <v>37071</v>
      </c>
      <c r="B133" s="86" t="str">
        <f>TiposLancamentos!B95</f>
        <v>Salarios</v>
      </c>
      <c r="C133" s="3" t="s">
        <v>15911</v>
      </c>
      <c r="D133" s="63">
        <v>535</v>
      </c>
      <c r="E133" s="98"/>
    </row>
    <row r="134" spans="1:5">
      <c r="A134" s="75">
        <v>37071</v>
      </c>
      <c r="B134" s="86" t="str">
        <f>TiposLancamentos!B105</f>
        <v>Transf. Bco</v>
      </c>
      <c r="C134" s="3" t="s">
        <v>15934</v>
      </c>
      <c r="D134" s="63"/>
      <c r="E134" s="98">
        <v>30</v>
      </c>
    </row>
    <row r="135" spans="1:5">
      <c r="A135" s="79">
        <v>37072</v>
      </c>
      <c r="B135" s="95" t="str">
        <f>TiposLancamentos!B19</f>
        <v>Restaurantes</v>
      </c>
      <c r="C135" s="96" t="s">
        <v>15938</v>
      </c>
      <c r="D135" s="85"/>
      <c r="E135" s="97">
        <v>13.5</v>
      </c>
    </row>
    <row r="136" spans="1:5">
      <c r="A136" s="83"/>
      <c r="B136" s="91"/>
      <c r="C136" s="92" t="s">
        <v>15939</v>
      </c>
      <c r="D136" s="93"/>
      <c r="E136" s="94"/>
    </row>
    <row r="137" spans="1:5">
      <c r="A137" s="75">
        <v>37074</v>
      </c>
      <c r="B137" s="86" t="str">
        <f>TiposLancamentos!B25</f>
        <v>CD_DVD_BD</v>
      </c>
      <c r="C137" s="3" t="s">
        <v>15940</v>
      </c>
      <c r="D137" s="63"/>
      <c r="E137" s="98">
        <v>43.8</v>
      </c>
    </row>
    <row r="138" spans="1:5">
      <c r="A138" s="75">
        <v>37076</v>
      </c>
      <c r="B138" s="86" t="str">
        <f>TiposLancamentos!B71</f>
        <v>Itens Pessoais</v>
      </c>
      <c r="C138" s="52" t="s">
        <v>12745</v>
      </c>
      <c r="D138" s="579"/>
      <c r="E138" s="98">
        <v>139.6</v>
      </c>
    </row>
    <row r="139" spans="1:5">
      <c r="A139" s="75">
        <v>37078</v>
      </c>
      <c r="B139" s="86" t="str">
        <f>TiposLancamentos!B2</f>
        <v>Telefonia</v>
      </c>
      <c r="C139" s="3" t="s">
        <v>2515</v>
      </c>
      <c r="D139" s="63"/>
      <c r="E139" s="98">
        <v>50.84</v>
      </c>
    </row>
    <row r="140" spans="1:5">
      <c r="A140" s="75">
        <v>37078</v>
      </c>
      <c r="B140" s="86" t="str">
        <f>TiposLancamentos!B105</f>
        <v>Transf. Bco</v>
      </c>
      <c r="C140" s="3" t="s">
        <v>15941</v>
      </c>
      <c r="D140" s="63"/>
      <c r="E140" s="98">
        <v>140</v>
      </c>
    </row>
    <row r="141" spans="1:5">
      <c r="A141" s="75">
        <v>37078</v>
      </c>
      <c r="B141" s="86" t="str">
        <f>TiposLancamentos!B4</f>
        <v>Taxas Bancarias</v>
      </c>
      <c r="C141" s="3" t="s">
        <v>5065</v>
      </c>
      <c r="D141" s="63"/>
      <c r="E141" s="98">
        <v>0.46</v>
      </c>
    </row>
    <row r="142" spans="1:5">
      <c r="A142" s="75">
        <v>37079</v>
      </c>
      <c r="B142" s="86" t="str">
        <f>TiposLancamentos!B5</f>
        <v>Supermercado</v>
      </c>
      <c r="C142" s="3" t="s">
        <v>15942</v>
      </c>
      <c r="D142" s="63"/>
      <c r="E142" s="98">
        <v>13.37</v>
      </c>
    </row>
    <row r="143" spans="1:5">
      <c r="A143" s="75">
        <v>37081</v>
      </c>
      <c r="B143" s="86" t="str">
        <f>TiposLancamentos!B2</f>
        <v>Telefonia</v>
      </c>
      <c r="C143" s="3" t="s">
        <v>15943</v>
      </c>
      <c r="D143" s="63"/>
      <c r="E143" s="98">
        <v>40.840000000000003</v>
      </c>
    </row>
    <row r="144" spans="1:5">
      <c r="A144" s="75">
        <v>37082</v>
      </c>
      <c r="B144" s="86" t="str">
        <f>TiposLancamentos!B4</f>
        <v>Taxas Bancarias</v>
      </c>
      <c r="C144" s="3" t="s">
        <v>15915</v>
      </c>
      <c r="D144" s="63"/>
      <c r="E144" s="98">
        <v>7</v>
      </c>
    </row>
    <row r="145" spans="1:5">
      <c r="A145" s="75">
        <v>37083</v>
      </c>
      <c r="B145" s="86" t="str">
        <f>TiposLancamentos!B20</f>
        <v>Saques</v>
      </c>
      <c r="C145" s="3" t="s">
        <v>2876</v>
      </c>
      <c r="D145" s="63"/>
      <c r="E145" s="98">
        <v>10</v>
      </c>
    </row>
    <row r="146" spans="1:5">
      <c r="A146" s="75">
        <v>37084</v>
      </c>
      <c r="B146" s="86" t="str">
        <f>TiposLancamentos!B74</f>
        <v>Noite</v>
      </c>
      <c r="C146" s="3" t="s">
        <v>15944</v>
      </c>
      <c r="D146" s="63"/>
      <c r="E146" s="98">
        <v>38.4</v>
      </c>
    </row>
    <row r="147" spans="1:5">
      <c r="A147" s="75">
        <v>37085</v>
      </c>
      <c r="B147" s="86" t="str">
        <f>TiposLancamentos!B20</f>
        <v>Saques</v>
      </c>
      <c r="C147" s="3" t="s">
        <v>2668</v>
      </c>
      <c r="D147" s="63"/>
      <c r="E147" s="98">
        <v>6</v>
      </c>
    </row>
    <row r="148" spans="1:5">
      <c r="A148" s="75">
        <v>37085</v>
      </c>
      <c r="B148" s="86" t="str">
        <f>TiposLancamentos!B95</f>
        <v>Salarios</v>
      </c>
      <c r="C148" s="3" t="s">
        <v>15945</v>
      </c>
      <c r="D148" s="63">
        <v>557.20000000000005</v>
      </c>
      <c r="E148" s="98"/>
    </row>
    <row r="149" spans="1:5">
      <c r="A149" s="75">
        <v>37085</v>
      </c>
      <c r="B149" s="86" t="str">
        <f>TiposLancamentos!B4</f>
        <v>Taxas Bancarias</v>
      </c>
      <c r="C149" s="3" t="s">
        <v>5065</v>
      </c>
      <c r="D149" s="63"/>
      <c r="E149" s="98">
        <v>1.47</v>
      </c>
    </row>
    <row r="150" spans="1:5">
      <c r="A150" s="75">
        <v>37086</v>
      </c>
      <c r="B150" s="86" t="str">
        <f>TiposLancamentos!B2</f>
        <v>Telefonia</v>
      </c>
      <c r="C150" s="3" t="s">
        <v>15946</v>
      </c>
      <c r="D150" s="63"/>
      <c r="E150" s="98">
        <v>75</v>
      </c>
    </row>
    <row r="151" spans="1:5">
      <c r="A151" s="75">
        <v>37086</v>
      </c>
      <c r="B151" s="86" t="str">
        <f>TiposLancamentos!B20</f>
        <v>Saques</v>
      </c>
      <c r="C151" s="3" t="s">
        <v>2655</v>
      </c>
      <c r="D151" s="63"/>
      <c r="E151" s="98">
        <v>20</v>
      </c>
    </row>
    <row r="152" spans="1:5">
      <c r="A152" s="75">
        <v>37086</v>
      </c>
      <c r="B152" s="86" t="str">
        <f>TiposLancamentos!B5</f>
        <v>Supermercado</v>
      </c>
      <c r="C152" s="3" t="s">
        <v>15947</v>
      </c>
      <c r="D152" s="63"/>
      <c r="E152" s="98">
        <v>22.82</v>
      </c>
    </row>
    <row r="153" spans="1:5">
      <c r="A153" s="75">
        <v>37089</v>
      </c>
      <c r="B153" s="86" t="str">
        <f>TiposLancamentos!B20</f>
        <v>Saques</v>
      </c>
      <c r="C153" s="3" t="s">
        <v>2655</v>
      </c>
      <c r="D153" s="63"/>
      <c r="E153" s="98">
        <v>10</v>
      </c>
    </row>
    <row r="154" spans="1:5">
      <c r="A154" s="75">
        <v>37091</v>
      </c>
      <c r="B154" s="86" t="str">
        <f>TiposLancamentos!B20</f>
        <v>Saques</v>
      </c>
      <c r="C154" s="3" t="s">
        <v>2668</v>
      </c>
      <c r="D154" s="63"/>
      <c r="E154" s="98">
        <v>10</v>
      </c>
    </row>
    <row r="155" spans="1:5">
      <c r="A155" s="75">
        <v>37091</v>
      </c>
      <c r="B155" s="86" t="str">
        <f>TiposLancamentos!B70</f>
        <v>Vestuário</v>
      </c>
      <c r="C155" s="3" t="s">
        <v>15948</v>
      </c>
      <c r="D155" s="63"/>
      <c r="E155" s="98">
        <v>87.6</v>
      </c>
    </row>
    <row r="156" spans="1:5">
      <c r="A156" s="75">
        <v>37092</v>
      </c>
      <c r="B156" s="86" t="str">
        <f>TiposLancamentos!B4</f>
        <v>Taxas Bancarias</v>
      </c>
      <c r="C156" s="3" t="s">
        <v>5065</v>
      </c>
      <c r="D156" s="63"/>
      <c r="E156" s="98">
        <v>0.61</v>
      </c>
    </row>
    <row r="157" spans="1:5">
      <c r="A157" s="75">
        <v>37095</v>
      </c>
      <c r="B157" s="86" t="str">
        <f>TiposLancamentos!B20</f>
        <v>Saques</v>
      </c>
      <c r="C157" s="3" t="s">
        <v>1706</v>
      </c>
      <c r="D157" s="63"/>
      <c r="E157" s="98">
        <v>40</v>
      </c>
    </row>
    <row r="158" spans="1:5">
      <c r="A158" s="75">
        <v>37099</v>
      </c>
      <c r="B158" s="86" t="str">
        <f>TiposLancamentos!B4</f>
        <v>Taxas Bancarias</v>
      </c>
      <c r="C158" s="3" t="s">
        <v>5065</v>
      </c>
      <c r="D158" s="63"/>
      <c r="E158" s="98">
        <v>0.6</v>
      </c>
    </row>
    <row r="159" spans="1:5">
      <c r="A159" s="75">
        <v>37100</v>
      </c>
      <c r="B159" s="86" t="str">
        <f>TiposLancamentos!B5</f>
        <v>Supermercado</v>
      </c>
      <c r="C159" s="3" t="s">
        <v>15949</v>
      </c>
      <c r="D159" s="63"/>
      <c r="E159" s="98">
        <v>30.83</v>
      </c>
    </row>
    <row r="160" spans="1:5">
      <c r="A160" s="75">
        <v>37100</v>
      </c>
      <c r="B160" s="86" t="str">
        <f>TiposLancamentos!B19</f>
        <v>Restaurantes</v>
      </c>
      <c r="C160" s="3" t="s">
        <v>15950</v>
      </c>
      <c r="D160" s="63"/>
      <c r="E160" s="98">
        <v>12.5</v>
      </c>
    </row>
    <row r="161" spans="1:5">
      <c r="A161" s="75">
        <v>37100</v>
      </c>
      <c r="B161" s="86" t="str">
        <f>TiposLancamentos!B20</f>
        <v>Saques</v>
      </c>
      <c r="C161" s="3" t="s">
        <v>2655</v>
      </c>
      <c r="D161" s="63"/>
      <c r="E161" s="98">
        <v>40</v>
      </c>
    </row>
    <row r="162" spans="1:5">
      <c r="A162" s="75">
        <v>37101</v>
      </c>
      <c r="B162" s="86" t="str">
        <f>TiposLancamentos!B70</f>
        <v>Vestuário</v>
      </c>
      <c r="C162" s="3" t="s">
        <v>15951</v>
      </c>
      <c r="D162" s="63"/>
      <c r="E162" s="98">
        <v>53.5</v>
      </c>
    </row>
    <row r="163" spans="1:5">
      <c r="A163" s="75">
        <v>37102</v>
      </c>
      <c r="B163" s="86" t="str">
        <f>TiposLancamentos!B95</f>
        <v>Salarios</v>
      </c>
      <c r="C163" s="3" t="s">
        <v>15945</v>
      </c>
      <c r="D163" s="63">
        <v>571.17999999999995</v>
      </c>
      <c r="E163" s="98"/>
    </row>
    <row r="164" spans="1:5">
      <c r="A164" s="75">
        <v>37103</v>
      </c>
      <c r="B164" s="86" t="str">
        <f>TiposLancamentos!B2</f>
        <v>Telefonia</v>
      </c>
      <c r="C164" s="3" t="s">
        <v>14417</v>
      </c>
      <c r="D164" s="63"/>
      <c r="E164" s="98">
        <v>32.08</v>
      </c>
    </row>
    <row r="165" spans="1:5">
      <c r="A165" s="75">
        <v>37103</v>
      </c>
      <c r="B165" s="86" t="str">
        <f>TiposLancamentos!B20</f>
        <v>Saques</v>
      </c>
      <c r="C165" s="3" t="s">
        <v>2655</v>
      </c>
      <c r="D165" s="63"/>
      <c r="E165" s="98">
        <v>15</v>
      </c>
    </row>
    <row r="166" spans="1:5">
      <c r="A166" s="79">
        <v>37103</v>
      </c>
      <c r="B166" s="95" t="str">
        <f>TiposLancamentos!B73</f>
        <v>Cursos</v>
      </c>
      <c r="C166" s="96" t="s">
        <v>15952</v>
      </c>
      <c r="D166" s="85"/>
      <c r="E166" s="97">
        <v>469.2</v>
      </c>
    </row>
    <row r="167" spans="1:5">
      <c r="A167" s="83"/>
      <c r="B167" s="91"/>
      <c r="C167" s="92" t="s">
        <v>15953</v>
      </c>
      <c r="D167" s="93"/>
      <c r="E167" s="94"/>
    </row>
    <row r="168" spans="1:5">
      <c r="A168" s="75">
        <v>37105</v>
      </c>
      <c r="B168" s="86" t="str">
        <f>TiposLancamentos!B105</f>
        <v>Transf. Bco</v>
      </c>
      <c r="C168" s="3" t="s">
        <v>15934</v>
      </c>
      <c r="D168" s="63"/>
      <c r="E168" s="98">
        <v>140</v>
      </c>
    </row>
    <row r="169" spans="1:5">
      <c r="A169" s="75">
        <v>37106</v>
      </c>
      <c r="B169" s="86" t="str">
        <f>TiposLancamentos!B20</f>
        <v>Saques</v>
      </c>
      <c r="C169" s="3" t="s">
        <v>2876</v>
      </c>
      <c r="D169" s="63"/>
      <c r="E169" s="98">
        <v>10</v>
      </c>
    </row>
    <row r="170" spans="1:5">
      <c r="A170" s="75">
        <v>37106</v>
      </c>
      <c r="B170" s="86" t="str">
        <f>TiposLancamentos!B4</f>
        <v>Taxas Bancarias</v>
      </c>
      <c r="C170" s="3" t="s">
        <v>5065</v>
      </c>
      <c r="D170" s="63"/>
      <c r="E170" s="98">
        <v>2.27</v>
      </c>
    </row>
    <row r="171" spans="1:5">
      <c r="A171" s="75">
        <v>37110</v>
      </c>
      <c r="B171" s="86" t="str">
        <f>TiposLancamentos!B64</f>
        <v>Viagens</v>
      </c>
      <c r="C171" s="3" t="s">
        <v>15954</v>
      </c>
      <c r="D171" s="63"/>
      <c r="E171" s="98">
        <v>31.9</v>
      </c>
    </row>
    <row r="172" spans="1:5">
      <c r="A172" s="75">
        <v>37113</v>
      </c>
      <c r="B172" s="86" t="str">
        <f>TiposLancamentos!B20</f>
        <v>Saques</v>
      </c>
      <c r="C172" s="3" t="s">
        <v>2655</v>
      </c>
      <c r="D172" s="63"/>
      <c r="E172" s="98">
        <v>5</v>
      </c>
    </row>
    <row r="173" spans="1:5">
      <c r="A173" s="75">
        <v>37113</v>
      </c>
      <c r="B173" s="86" t="str">
        <f>TiposLancamentos!B4</f>
        <v>Taxas Bancarias</v>
      </c>
      <c r="C173" s="3" t="s">
        <v>15915</v>
      </c>
      <c r="D173" s="63"/>
      <c r="E173" s="98">
        <v>7</v>
      </c>
    </row>
    <row r="174" spans="1:5">
      <c r="A174" s="75">
        <v>37113</v>
      </c>
      <c r="B174" s="86" t="str">
        <f>TiposLancamentos!B4</f>
        <v>Taxas Bancarias</v>
      </c>
      <c r="C174" s="3" t="s">
        <v>5065</v>
      </c>
      <c r="D174" s="63"/>
      <c r="E174" s="98">
        <v>0.77</v>
      </c>
    </row>
    <row r="175" spans="1:5">
      <c r="A175" s="75">
        <v>37117</v>
      </c>
      <c r="B175" s="86" t="str">
        <f>TiposLancamentos!B16</f>
        <v>Cristiane</v>
      </c>
      <c r="C175" s="52" t="s">
        <v>12750</v>
      </c>
      <c r="D175" s="63"/>
      <c r="E175" s="98">
        <v>50</v>
      </c>
    </row>
    <row r="176" spans="1:5">
      <c r="A176" s="75">
        <v>37118</v>
      </c>
      <c r="B176" s="86" t="str">
        <f>TiposLancamentos!B2</f>
        <v>Telefonia</v>
      </c>
      <c r="C176" s="3" t="s">
        <v>2515</v>
      </c>
      <c r="D176" s="63"/>
      <c r="E176" s="98">
        <v>55.73</v>
      </c>
    </row>
    <row r="177" spans="1:5">
      <c r="A177" s="75">
        <v>37118</v>
      </c>
      <c r="B177" s="86" t="str">
        <f>TiposLancamentos!B2</f>
        <v>Telefonia</v>
      </c>
      <c r="C177" s="3" t="s">
        <v>14230</v>
      </c>
      <c r="D177" s="63"/>
      <c r="E177" s="98">
        <v>111.57</v>
      </c>
    </row>
    <row r="178" spans="1:5">
      <c r="A178" s="75">
        <v>37118</v>
      </c>
      <c r="B178" s="86" t="str">
        <f>TiposLancamentos!B95</f>
        <v>Salarios</v>
      </c>
      <c r="C178" s="3" t="s">
        <v>15945</v>
      </c>
      <c r="D178" s="63">
        <v>557.20000000000005</v>
      </c>
      <c r="E178" s="98"/>
    </row>
    <row r="179" spans="1:5">
      <c r="A179" s="75">
        <v>37118</v>
      </c>
      <c r="B179" s="86" t="str">
        <f>TiposLancamentos!B16</f>
        <v>Cristiane</v>
      </c>
      <c r="C179" s="3" t="s">
        <v>15955</v>
      </c>
      <c r="D179" s="63">
        <v>100</v>
      </c>
      <c r="E179" s="98"/>
    </row>
    <row r="180" spans="1:5">
      <c r="A180" s="75">
        <v>37118</v>
      </c>
      <c r="B180" s="86" t="str">
        <f>TiposLancamentos!B8</f>
        <v>Aluguel</v>
      </c>
      <c r="C180" s="3" t="s">
        <v>15956</v>
      </c>
      <c r="D180" s="63"/>
      <c r="E180" s="98">
        <v>200</v>
      </c>
    </row>
    <row r="181" spans="1:5">
      <c r="A181" s="75">
        <v>37119</v>
      </c>
      <c r="B181" s="86" t="str">
        <f>TiposLancamentos!B57</f>
        <v>Informática</v>
      </c>
      <c r="C181" s="3" t="s">
        <v>15957</v>
      </c>
      <c r="D181" s="63"/>
      <c r="E181" s="98">
        <v>15</v>
      </c>
    </row>
    <row r="182" spans="1:5">
      <c r="A182" s="75">
        <v>37119</v>
      </c>
      <c r="B182" s="86" t="str">
        <f>TiposLancamentos!B5</f>
        <v>Supermercado</v>
      </c>
      <c r="C182" s="3" t="s">
        <v>15958</v>
      </c>
      <c r="D182" s="63"/>
      <c r="E182" s="98">
        <v>16.100000000000001</v>
      </c>
    </row>
    <row r="183" spans="1:5">
      <c r="A183" s="75">
        <v>37120</v>
      </c>
      <c r="B183" s="86" t="str">
        <f>TiposLancamentos!B4</f>
        <v>Taxas Bancarias</v>
      </c>
      <c r="C183" s="3" t="s">
        <v>5065</v>
      </c>
      <c r="D183" s="63"/>
      <c r="E183" s="98">
        <v>1.65</v>
      </c>
    </row>
    <row r="184" spans="1:5">
      <c r="A184" s="75">
        <v>37123</v>
      </c>
      <c r="B184" s="86" t="str">
        <f>TiposLancamentos!B20</f>
        <v>Saques</v>
      </c>
      <c r="C184" s="3" t="s">
        <v>1706</v>
      </c>
      <c r="D184" s="63"/>
      <c r="E184" s="98">
        <v>60</v>
      </c>
    </row>
    <row r="185" spans="1:5">
      <c r="A185" s="75">
        <v>37125</v>
      </c>
      <c r="B185" s="86" t="str">
        <f>TiposLancamentos!B20</f>
        <v>Saques</v>
      </c>
      <c r="C185" s="3" t="s">
        <v>2655</v>
      </c>
      <c r="D185" s="63"/>
      <c r="E185" s="98">
        <v>10</v>
      </c>
    </row>
    <row r="186" spans="1:5">
      <c r="A186" s="75">
        <v>37127</v>
      </c>
      <c r="B186" s="86" t="str">
        <f>TiposLancamentos!B4</f>
        <v>Taxas Bancarias</v>
      </c>
      <c r="C186" s="3" t="s">
        <v>5065</v>
      </c>
      <c r="D186" s="63"/>
      <c r="E186" s="98">
        <v>0.56999999999999995</v>
      </c>
    </row>
    <row r="187" spans="1:5">
      <c r="A187" s="75">
        <v>37129</v>
      </c>
      <c r="B187" s="86" t="str">
        <f>TiposLancamentos!B20</f>
        <v>Saques</v>
      </c>
      <c r="C187" s="3" t="s">
        <v>2655</v>
      </c>
      <c r="D187" s="63"/>
      <c r="E187" s="98">
        <v>40</v>
      </c>
    </row>
    <row r="188" spans="1:5">
      <c r="A188" s="75">
        <v>37129</v>
      </c>
      <c r="B188" s="86" t="str">
        <f>TiposLancamentos!B19</f>
        <v>Restaurantes</v>
      </c>
      <c r="C188" s="3" t="s">
        <v>15959</v>
      </c>
      <c r="D188" s="63"/>
      <c r="E188" s="98">
        <v>6.65</v>
      </c>
    </row>
    <row r="189" spans="1:5">
      <c r="A189" s="75">
        <v>37132</v>
      </c>
      <c r="B189" s="86" t="str">
        <f>TiposLancamentos!B70</f>
        <v>Vestuário</v>
      </c>
      <c r="C189" s="3" t="s">
        <v>15960</v>
      </c>
      <c r="D189" s="63"/>
      <c r="E189" s="98">
        <v>53.6</v>
      </c>
    </row>
    <row r="190" spans="1:5">
      <c r="A190" s="75">
        <v>37133</v>
      </c>
      <c r="B190" s="86" t="str">
        <f>TiposLancamentos!B72</f>
        <v>Presentes</v>
      </c>
      <c r="C190" s="3" t="s">
        <v>15961</v>
      </c>
      <c r="D190" s="63"/>
      <c r="E190" s="98">
        <v>35.15</v>
      </c>
    </row>
    <row r="191" spans="1:5">
      <c r="A191" s="75">
        <v>37134</v>
      </c>
      <c r="B191" s="86" t="str">
        <f>TiposLancamentos!B73</f>
        <v>Cursos</v>
      </c>
      <c r="C191" s="3" t="s">
        <v>15962</v>
      </c>
      <c r="D191" s="63"/>
      <c r="E191" s="98">
        <v>14</v>
      </c>
    </row>
    <row r="192" spans="1:5">
      <c r="A192" s="75">
        <v>37134</v>
      </c>
      <c r="B192" s="86" t="str">
        <f>TiposLancamentos!B95</f>
        <v>Salarios</v>
      </c>
      <c r="C192" s="3" t="s">
        <v>15945</v>
      </c>
      <c r="D192" s="63">
        <v>695.03</v>
      </c>
      <c r="E192" s="98"/>
    </row>
    <row r="193" spans="1:5">
      <c r="A193" s="79">
        <v>37134</v>
      </c>
      <c r="B193" s="95" t="str">
        <f>TiposLancamentos!B4</f>
        <v>Taxas Bancarias</v>
      </c>
      <c r="C193" s="96" t="s">
        <v>5065</v>
      </c>
      <c r="D193" s="85"/>
      <c r="E193" s="97">
        <v>0.17</v>
      </c>
    </row>
    <row r="194" spans="1:5">
      <c r="A194" s="83"/>
      <c r="B194" s="91"/>
      <c r="C194" s="92" t="s">
        <v>12752</v>
      </c>
      <c r="D194" s="93"/>
      <c r="E194" s="94"/>
    </row>
    <row r="195" spans="1:5">
      <c r="A195" s="75">
        <v>37135</v>
      </c>
      <c r="B195" s="86" t="str">
        <f>TiposLancamentos!B20</f>
        <v>Saques</v>
      </c>
      <c r="C195" s="3" t="s">
        <v>2655</v>
      </c>
      <c r="D195" s="63"/>
      <c r="E195" s="98">
        <v>40</v>
      </c>
    </row>
    <row r="196" spans="1:5">
      <c r="A196" s="75">
        <v>37137</v>
      </c>
      <c r="B196" s="86" t="str">
        <f>TiposLancamentos!B4</f>
        <v>Taxas Bancarias</v>
      </c>
      <c r="C196" s="580" t="s">
        <v>15963</v>
      </c>
      <c r="D196" s="63"/>
      <c r="E196" s="98">
        <v>0.22</v>
      </c>
    </row>
    <row r="197" spans="1:5">
      <c r="A197" s="75">
        <v>37140</v>
      </c>
      <c r="B197" s="86" t="str">
        <f>TiposLancamentos!B4</f>
        <v>Taxas Bancarias</v>
      </c>
      <c r="C197" s="3" t="s">
        <v>5065</v>
      </c>
      <c r="D197" s="63"/>
      <c r="E197" s="98">
        <v>0.35</v>
      </c>
    </row>
    <row r="198" spans="1:5">
      <c r="A198" s="75">
        <v>37144</v>
      </c>
      <c r="B198" s="86" t="str">
        <f>TiposLancamentos!B20</f>
        <v>Saques</v>
      </c>
      <c r="C198" s="3" t="s">
        <v>2668</v>
      </c>
      <c r="D198" s="63"/>
      <c r="E198" s="98">
        <v>40</v>
      </c>
    </row>
    <row r="199" spans="1:5">
      <c r="A199" s="75">
        <v>37144</v>
      </c>
      <c r="B199" s="86" t="str">
        <f>TiposLancamentos!B73</f>
        <v>Cursos</v>
      </c>
      <c r="C199" s="3" t="s">
        <v>15964</v>
      </c>
      <c r="D199" s="63"/>
      <c r="E199" s="98">
        <v>469.2</v>
      </c>
    </row>
    <row r="200" spans="1:5">
      <c r="A200" s="75">
        <v>37144</v>
      </c>
      <c r="B200" s="86" t="str">
        <f>TiposLancamentos!B4</f>
        <v>Taxas Bancarias</v>
      </c>
      <c r="C200" s="3" t="s">
        <v>15915</v>
      </c>
      <c r="D200" s="63"/>
      <c r="E200" s="98">
        <v>7</v>
      </c>
    </row>
    <row r="201" spans="1:5">
      <c r="A201" s="75">
        <v>37146</v>
      </c>
      <c r="B201" s="86" t="str">
        <f>TiposLancamentos!B20</f>
        <v>Saques</v>
      </c>
      <c r="C201" s="3" t="s">
        <v>2668</v>
      </c>
      <c r="D201" s="63"/>
      <c r="E201" s="98">
        <v>10</v>
      </c>
    </row>
    <row r="202" spans="1:5">
      <c r="A202" s="75">
        <v>37147</v>
      </c>
      <c r="B202" s="86" t="str">
        <f>TiposLancamentos!B20</f>
        <v>Saques</v>
      </c>
      <c r="C202" s="3" t="s">
        <v>2668</v>
      </c>
      <c r="D202" s="63"/>
      <c r="E202" s="98">
        <v>10</v>
      </c>
    </row>
    <row r="203" spans="1:5">
      <c r="A203" s="75">
        <v>37148</v>
      </c>
      <c r="B203" s="86" t="str">
        <f>TiposLancamentos!B20</f>
        <v>Saques</v>
      </c>
      <c r="C203" s="3" t="s">
        <v>2668</v>
      </c>
      <c r="D203" s="63"/>
      <c r="E203" s="98">
        <v>10</v>
      </c>
    </row>
    <row r="204" spans="1:5">
      <c r="A204" s="75">
        <v>37148</v>
      </c>
      <c r="B204" s="86" t="str">
        <f>TiposLancamentos!B95</f>
        <v>Salarios</v>
      </c>
      <c r="C204" s="3" t="s">
        <v>15945</v>
      </c>
      <c r="D204" s="63">
        <v>557.20000000000005</v>
      </c>
      <c r="E204" s="98"/>
    </row>
    <row r="205" spans="1:5">
      <c r="A205" s="75">
        <v>37148</v>
      </c>
      <c r="B205" s="86" t="str">
        <f>TiposLancamentos!B4</f>
        <v>Taxas Bancarias</v>
      </c>
      <c r="C205" s="3" t="s">
        <v>5065</v>
      </c>
      <c r="D205" s="63"/>
      <c r="E205" s="98">
        <v>2.13</v>
      </c>
    </row>
    <row r="206" spans="1:5">
      <c r="A206" s="75">
        <v>37148</v>
      </c>
      <c r="B206" s="86" t="str">
        <f>TiposLancamentos!B16</f>
        <v>Cristiane</v>
      </c>
      <c r="C206" s="52" t="s">
        <v>12753</v>
      </c>
      <c r="D206" s="63"/>
      <c r="E206" s="98">
        <v>50</v>
      </c>
    </row>
    <row r="207" spans="1:5">
      <c r="A207" s="75">
        <v>37148</v>
      </c>
      <c r="B207" s="86" t="str">
        <f>TiposLancamentos!B2</f>
        <v>Telefonia</v>
      </c>
      <c r="C207" s="52" t="s">
        <v>2515</v>
      </c>
      <c r="D207" s="63"/>
      <c r="E207" s="98">
        <v>245.35</v>
      </c>
    </row>
    <row r="208" spans="1:5">
      <c r="A208" s="75">
        <v>37148</v>
      </c>
      <c r="B208" s="86" t="str">
        <f>TiposLancamentos!B2</f>
        <v>Telefonia</v>
      </c>
      <c r="C208" s="52" t="s">
        <v>14230</v>
      </c>
      <c r="D208" s="63"/>
      <c r="E208" s="98">
        <v>165.01</v>
      </c>
    </row>
    <row r="209" spans="1:5">
      <c r="A209" s="75">
        <v>37148</v>
      </c>
      <c r="B209" s="86" t="str">
        <f>TiposLancamentos!B20</f>
        <v>Saques</v>
      </c>
      <c r="C209" s="52" t="s">
        <v>2655</v>
      </c>
      <c r="D209" s="63"/>
      <c r="E209" s="98">
        <v>10</v>
      </c>
    </row>
    <row r="210" spans="1:5">
      <c r="A210" s="75">
        <v>37149</v>
      </c>
      <c r="B210" s="86" t="str">
        <f>TiposLancamentos!B20</f>
        <v>Saques</v>
      </c>
      <c r="C210" s="52" t="s">
        <v>2668</v>
      </c>
      <c r="D210" s="63"/>
      <c r="E210" s="98">
        <v>170</v>
      </c>
    </row>
    <row r="211" spans="1:5">
      <c r="A211" s="75">
        <v>37153</v>
      </c>
      <c r="B211" s="86" t="str">
        <f>TiposLancamentos!B19</f>
        <v>Restaurantes</v>
      </c>
      <c r="C211" s="52" t="s">
        <v>15965</v>
      </c>
      <c r="D211" s="63"/>
      <c r="E211" s="98">
        <v>13.4</v>
      </c>
    </row>
    <row r="212" spans="1:5">
      <c r="A212" s="75">
        <v>37153</v>
      </c>
      <c r="B212" s="86" t="str">
        <f>TiposLancamentos!B20</f>
        <v>Saques</v>
      </c>
      <c r="C212" s="52" t="s">
        <v>2655</v>
      </c>
      <c r="D212" s="63"/>
      <c r="E212" s="98">
        <v>10</v>
      </c>
    </row>
    <row r="213" spans="1:5">
      <c r="A213" s="75">
        <v>37154</v>
      </c>
      <c r="B213" s="86" t="str">
        <f>TiposLancamentos!B97</f>
        <v>Deposito Terc.</v>
      </c>
      <c r="C213" s="52" t="s">
        <v>14464</v>
      </c>
      <c r="D213" s="63">
        <v>30</v>
      </c>
      <c r="E213" s="98"/>
    </row>
    <row r="214" spans="1:5">
      <c r="A214" s="75">
        <v>37155</v>
      </c>
      <c r="B214" s="86" t="str">
        <f>TiposLancamentos!B4</f>
        <v>Taxas Bancarias</v>
      </c>
      <c r="C214" s="3" t="s">
        <v>5065</v>
      </c>
      <c r="D214" s="63"/>
      <c r="E214" s="98">
        <v>2.52</v>
      </c>
    </row>
    <row r="215" spans="1:5">
      <c r="A215" s="75">
        <v>37161</v>
      </c>
      <c r="B215" s="86" t="str">
        <f>TiposLancamentos!B73</f>
        <v>Cursos</v>
      </c>
      <c r="C215" s="52" t="s">
        <v>15966</v>
      </c>
      <c r="D215" s="63"/>
      <c r="E215" s="98">
        <v>20</v>
      </c>
    </row>
    <row r="216" spans="1:5">
      <c r="A216" s="75">
        <v>37162</v>
      </c>
      <c r="B216" s="86" t="str">
        <f>TiposLancamentos!B95</f>
        <v>Salarios</v>
      </c>
      <c r="C216" s="52" t="s">
        <v>14165</v>
      </c>
      <c r="D216" s="63">
        <v>693.12</v>
      </c>
      <c r="E216" s="98"/>
    </row>
    <row r="217" spans="1:5">
      <c r="A217" s="75">
        <v>37162</v>
      </c>
      <c r="B217" s="86" t="str">
        <f>TiposLancamentos!B2</f>
        <v>Telefonia</v>
      </c>
      <c r="C217" s="52" t="s">
        <v>15967</v>
      </c>
      <c r="D217" s="63"/>
      <c r="E217" s="98">
        <v>48.63</v>
      </c>
    </row>
    <row r="218" spans="1:5">
      <c r="A218" s="75">
        <v>37162</v>
      </c>
      <c r="B218" s="86" t="str">
        <f>TiposLancamentos!B64</f>
        <v>Viagens</v>
      </c>
      <c r="C218" s="52" t="s">
        <v>15968</v>
      </c>
      <c r="D218" s="63"/>
      <c r="E218" s="98">
        <v>25</v>
      </c>
    </row>
    <row r="219" spans="1:5">
      <c r="A219" s="75">
        <v>37162</v>
      </c>
      <c r="B219" s="86" t="str">
        <f>TiposLancamentos!B4</f>
        <v>Taxas Bancarias</v>
      </c>
      <c r="C219" s="3" t="s">
        <v>5065</v>
      </c>
      <c r="D219" s="63"/>
      <c r="E219" s="98">
        <v>0.1</v>
      </c>
    </row>
    <row r="220" spans="1:5">
      <c r="A220" s="75">
        <v>37163</v>
      </c>
      <c r="B220" s="86" t="str">
        <f>TiposLancamentos!B20</f>
        <v>Saques</v>
      </c>
      <c r="C220" s="52" t="s">
        <v>2655</v>
      </c>
      <c r="D220" s="63"/>
      <c r="E220" s="98">
        <v>25</v>
      </c>
    </row>
    <row r="221" spans="1:5">
      <c r="A221" s="79">
        <v>37163</v>
      </c>
      <c r="B221" s="95" t="str">
        <f>TiposLancamentos!B70</f>
        <v>Vestuário</v>
      </c>
      <c r="C221" s="96" t="s">
        <v>15969</v>
      </c>
      <c r="D221" s="85"/>
      <c r="E221" s="97">
        <v>53.5</v>
      </c>
    </row>
    <row r="222" spans="1:5">
      <c r="A222" s="83"/>
      <c r="B222" s="91"/>
      <c r="C222" s="92" t="s">
        <v>12755</v>
      </c>
      <c r="D222" s="93"/>
      <c r="E222" s="94"/>
    </row>
    <row r="223" spans="1:5">
      <c r="A223" s="75">
        <v>37165</v>
      </c>
      <c r="B223" s="86" t="str">
        <f>TiposLancamentos!B20</f>
        <v>Saques</v>
      </c>
      <c r="C223" s="3" t="s">
        <v>2668</v>
      </c>
      <c r="D223" s="63"/>
      <c r="E223" s="98">
        <v>40</v>
      </c>
    </row>
    <row r="224" spans="1:5">
      <c r="A224" s="75">
        <v>37167</v>
      </c>
      <c r="B224" s="86" t="str">
        <f>TiposLancamentos!B95</f>
        <v>Salarios</v>
      </c>
      <c r="C224" s="3" t="s">
        <v>15911</v>
      </c>
      <c r="D224" s="63">
        <v>144.9</v>
      </c>
      <c r="E224" s="98"/>
    </row>
    <row r="225" spans="1:5">
      <c r="A225" s="75">
        <v>37168</v>
      </c>
      <c r="B225" s="86" t="str">
        <f>TiposLancamentos!B20</f>
        <v>Saques</v>
      </c>
      <c r="C225" s="3" t="s">
        <v>2668</v>
      </c>
      <c r="D225" s="63"/>
      <c r="E225" s="98">
        <v>5</v>
      </c>
    </row>
    <row r="226" spans="1:5">
      <c r="A226" s="75">
        <v>37168</v>
      </c>
      <c r="B226" s="86" t="str">
        <f>TiposLancamentos!B19</f>
        <v>Restaurantes</v>
      </c>
      <c r="C226" s="3" t="s">
        <v>15970</v>
      </c>
      <c r="D226" s="63"/>
      <c r="E226" s="98">
        <v>10.7</v>
      </c>
    </row>
    <row r="227" spans="1:5">
      <c r="A227" s="75">
        <v>37169</v>
      </c>
      <c r="B227" s="86" t="str">
        <f>TiposLancamentos!B4</f>
        <v>Taxas Bancarias</v>
      </c>
      <c r="C227" s="3" t="s">
        <v>5065</v>
      </c>
      <c r="D227" s="63"/>
      <c r="E227" s="98">
        <v>0.88</v>
      </c>
    </row>
    <row r="228" spans="1:5">
      <c r="A228" s="75">
        <v>37169</v>
      </c>
      <c r="B228" s="86" t="str">
        <f>TiposLancamentos!B19</f>
        <v>Restaurantes</v>
      </c>
      <c r="C228" s="3" t="s">
        <v>15971</v>
      </c>
      <c r="D228" s="63"/>
      <c r="E228" s="98">
        <v>21.15</v>
      </c>
    </row>
    <row r="229" spans="1:5">
      <c r="A229" s="75">
        <v>37170</v>
      </c>
      <c r="B229" s="86" t="str">
        <f>TiposLancamentos!B71</f>
        <v>Itens Pessoais</v>
      </c>
      <c r="C229" s="3" t="s">
        <v>15972</v>
      </c>
      <c r="D229" s="63"/>
      <c r="E229" s="98">
        <v>42</v>
      </c>
    </row>
    <row r="230" spans="1:5">
      <c r="A230" s="75">
        <v>37170</v>
      </c>
      <c r="B230" s="86" t="str">
        <f>TiposLancamentos!B71</f>
        <v>Itens Pessoais</v>
      </c>
      <c r="C230" s="3" t="s">
        <v>15973</v>
      </c>
      <c r="D230" s="63"/>
      <c r="E230" s="98">
        <v>40</v>
      </c>
    </row>
    <row r="231" spans="1:5">
      <c r="A231" s="75">
        <v>37170</v>
      </c>
      <c r="B231" s="86" t="str">
        <f>TiposLancamentos!B5</f>
        <v>Supermercado</v>
      </c>
      <c r="C231" s="3" t="s">
        <v>15974</v>
      </c>
      <c r="D231" s="63"/>
      <c r="E231" s="98">
        <v>76.06</v>
      </c>
    </row>
    <row r="232" spans="1:5">
      <c r="A232" s="75">
        <v>37172</v>
      </c>
      <c r="B232" s="86" t="str">
        <f>TiposLancamentos!B20</f>
        <v>Saques</v>
      </c>
      <c r="C232" s="3" t="s">
        <v>2668</v>
      </c>
      <c r="D232" s="63"/>
      <c r="E232" s="98">
        <v>5</v>
      </c>
    </row>
    <row r="233" spans="1:5">
      <c r="A233" s="75">
        <v>37172</v>
      </c>
      <c r="B233" s="86" t="str">
        <f>TiposLancamentos!B97</f>
        <v>Deposito Terc.</v>
      </c>
      <c r="C233" s="3" t="s">
        <v>14464</v>
      </c>
      <c r="D233" s="63">
        <v>200</v>
      </c>
      <c r="E233" s="98"/>
    </row>
    <row r="234" spans="1:5">
      <c r="A234" s="75">
        <v>37172</v>
      </c>
      <c r="B234" s="86" t="str">
        <f>TiposLancamentos!B73</f>
        <v>Cursos</v>
      </c>
      <c r="C234" s="3" t="s">
        <v>15975</v>
      </c>
      <c r="D234" s="63"/>
      <c r="E234" s="98">
        <v>469.2</v>
      </c>
    </row>
    <row r="235" spans="1:5">
      <c r="A235" s="75">
        <v>37173</v>
      </c>
      <c r="B235" s="86" t="str">
        <f>TiposLancamentos!B5</f>
        <v>Supermercado</v>
      </c>
      <c r="C235" s="3" t="s">
        <v>15976</v>
      </c>
      <c r="D235" s="63"/>
      <c r="E235" s="98">
        <v>49.54</v>
      </c>
    </row>
    <row r="236" spans="1:5">
      <c r="A236" s="75">
        <v>37174</v>
      </c>
      <c r="B236" s="86" t="str">
        <f>TiposLancamentos!B71</f>
        <v>Itens Pessoais</v>
      </c>
      <c r="C236" s="3" t="s">
        <v>15977</v>
      </c>
      <c r="D236" s="63"/>
      <c r="E236" s="98">
        <v>10</v>
      </c>
    </row>
    <row r="237" spans="1:5">
      <c r="A237" s="75">
        <v>37174</v>
      </c>
      <c r="B237" s="86" t="str">
        <f>TiposLancamentos!B5</f>
        <v>Supermercado</v>
      </c>
      <c r="C237" s="3" t="s">
        <v>15978</v>
      </c>
      <c r="D237" s="63"/>
      <c r="E237" s="98">
        <v>41.58</v>
      </c>
    </row>
    <row r="238" spans="1:5">
      <c r="A238" s="75">
        <v>37174</v>
      </c>
      <c r="B238" s="86" t="str">
        <f>TiposLancamentos!B4</f>
        <v>Taxas Bancarias</v>
      </c>
      <c r="C238" s="3" t="s">
        <v>15915</v>
      </c>
      <c r="D238" s="63"/>
      <c r="E238" s="98">
        <v>7</v>
      </c>
    </row>
    <row r="239" spans="1:5">
      <c r="A239" s="75">
        <v>37175</v>
      </c>
      <c r="B239" s="86" t="str">
        <f>TiposLancamentos!B20</f>
        <v>Saques</v>
      </c>
      <c r="C239" s="3" t="s">
        <v>2668</v>
      </c>
      <c r="D239" s="63"/>
      <c r="E239" s="98">
        <v>10</v>
      </c>
    </row>
    <row r="240" spans="1:5">
      <c r="A240" s="75">
        <v>37175</v>
      </c>
      <c r="B240" s="86" t="str">
        <f>TiposLancamentos!B4</f>
        <v>Taxas Bancarias</v>
      </c>
      <c r="C240" s="3" t="s">
        <v>5065</v>
      </c>
      <c r="D240" s="63"/>
      <c r="E240" s="98">
        <v>2.39</v>
      </c>
    </row>
    <row r="241" spans="1:5">
      <c r="A241" s="75">
        <v>37178</v>
      </c>
      <c r="B241" s="86" t="str">
        <f>TiposLancamentos!B16</f>
        <v>Cristiane</v>
      </c>
      <c r="C241" s="52" t="s">
        <v>12756</v>
      </c>
      <c r="D241" s="63"/>
      <c r="E241" s="98">
        <v>50</v>
      </c>
    </row>
    <row r="242" spans="1:5">
      <c r="A242" s="75">
        <v>37179</v>
      </c>
      <c r="B242" s="86" t="str">
        <f>TiposLancamentos!B95</f>
        <v>Salarios</v>
      </c>
      <c r="C242" s="3" t="s">
        <v>14165</v>
      </c>
      <c r="D242" s="63">
        <v>579.6</v>
      </c>
      <c r="E242" s="98"/>
    </row>
    <row r="243" spans="1:5">
      <c r="A243" s="75">
        <v>37179</v>
      </c>
      <c r="B243" s="86" t="str">
        <f>TiposLancamentos!B2</f>
        <v>Telefonia</v>
      </c>
      <c r="C243" s="3" t="s">
        <v>2515</v>
      </c>
      <c r="D243" s="63"/>
      <c r="E243" s="98">
        <v>90.49</v>
      </c>
    </row>
    <row r="244" spans="1:5">
      <c r="A244" s="75">
        <v>37179</v>
      </c>
      <c r="B244" s="86" t="str">
        <f>TiposLancamentos!B2</f>
        <v>Telefonia</v>
      </c>
      <c r="C244" s="3" t="s">
        <v>14230</v>
      </c>
      <c r="D244" s="63"/>
      <c r="E244" s="98">
        <v>35.07</v>
      </c>
    </row>
    <row r="245" spans="1:5">
      <c r="A245" s="75">
        <v>37179</v>
      </c>
      <c r="B245" s="86" t="str">
        <f>TiposLancamentos!B58</f>
        <v>Fotografias</v>
      </c>
      <c r="C245" s="3" t="s">
        <v>15979</v>
      </c>
      <c r="D245" s="63"/>
      <c r="E245" s="98">
        <v>18.149999999999999</v>
      </c>
    </row>
    <row r="246" spans="1:5">
      <c r="A246" s="75">
        <v>37179</v>
      </c>
      <c r="B246" s="86" t="str">
        <f>TiposLancamentos!B25</f>
        <v>CD_DVD_BD</v>
      </c>
      <c r="C246" s="3" t="s">
        <v>15980</v>
      </c>
      <c r="D246" s="63"/>
      <c r="E246" s="98">
        <v>17.899999999999999</v>
      </c>
    </row>
    <row r="247" spans="1:5">
      <c r="A247" s="75">
        <v>37181</v>
      </c>
      <c r="B247" s="86" t="str">
        <f>TiposLancamentos!B13</f>
        <v>Moradia</v>
      </c>
      <c r="C247" s="52" t="s">
        <v>15981</v>
      </c>
      <c r="D247" s="63"/>
      <c r="E247" s="98">
        <v>29</v>
      </c>
    </row>
    <row r="248" spans="1:5">
      <c r="A248" s="75">
        <v>37181</v>
      </c>
      <c r="B248" s="86" t="str">
        <f>TiposLancamentos!B58</f>
        <v>Fotografias</v>
      </c>
      <c r="C248" s="3" t="s">
        <v>15982</v>
      </c>
      <c r="D248" s="63"/>
      <c r="E248" s="98">
        <v>19.75</v>
      </c>
    </row>
    <row r="249" spans="1:5">
      <c r="A249" s="75">
        <v>37183</v>
      </c>
      <c r="B249" s="86" t="str">
        <f>TiposLancamentos!B4</f>
        <v>Taxas Bancarias</v>
      </c>
      <c r="C249" s="3" t="s">
        <v>5065</v>
      </c>
      <c r="D249" s="63"/>
      <c r="E249" s="98">
        <v>1.4</v>
      </c>
    </row>
    <row r="250" spans="1:5">
      <c r="A250" s="75">
        <v>37183</v>
      </c>
      <c r="B250" s="86" t="str">
        <f>TiposLancamentos!B20</f>
        <v>Saques</v>
      </c>
      <c r="C250" s="3" t="s">
        <v>2655</v>
      </c>
      <c r="D250" s="63"/>
      <c r="E250" s="98">
        <v>30</v>
      </c>
    </row>
    <row r="251" spans="1:5">
      <c r="A251" s="75">
        <v>37187</v>
      </c>
      <c r="B251" s="86" t="str">
        <f>TiposLancamentos!B13</f>
        <v>Moradia</v>
      </c>
      <c r="C251" s="3" t="s">
        <v>15983</v>
      </c>
      <c r="D251" s="63"/>
      <c r="E251" s="98">
        <v>125</v>
      </c>
    </row>
    <row r="252" spans="1:5">
      <c r="A252" s="75">
        <v>37188</v>
      </c>
      <c r="B252" s="86" t="str">
        <f>TiposLancamentos!B20</f>
        <v>Saques</v>
      </c>
      <c r="C252" s="3" t="s">
        <v>2668</v>
      </c>
      <c r="D252" s="63"/>
      <c r="E252" s="98">
        <v>10</v>
      </c>
    </row>
    <row r="253" spans="1:5">
      <c r="A253" s="75">
        <v>37189</v>
      </c>
      <c r="B253" s="86" t="str">
        <f>TiposLancamentos!B97</f>
        <v>Deposito Terc.</v>
      </c>
      <c r="C253" s="3" t="s">
        <v>14464</v>
      </c>
      <c r="D253" s="63">
        <v>50</v>
      </c>
      <c r="E253" s="98"/>
    </row>
    <row r="254" spans="1:5">
      <c r="A254" s="75">
        <v>37190</v>
      </c>
      <c r="B254" s="86" t="str">
        <f>TiposLancamentos!B4</f>
        <v>Taxas Bancarias</v>
      </c>
      <c r="C254" s="3" t="s">
        <v>5065</v>
      </c>
      <c r="D254" s="63"/>
      <c r="E254" s="98">
        <v>0.22</v>
      </c>
    </row>
    <row r="255" spans="1:5">
      <c r="A255" s="75">
        <v>37191</v>
      </c>
      <c r="B255" s="86" t="str">
        <f>TiposLancamentos!B20</f>
        <v>Saques</v>
      </c>
      <c r="C255" s="3" t="s">
        <v>2668</v>
      </c>
      <c r="D255" s="63"/>
      <c r="E255" s="98">
        <v>20</v>
      </c>
    </row>
    <row r="256" spans="1:5">
      <c r="A256" s="75">
        <v>37192</v>
      </c>
      <c r="B256" s="86" t="str">
        <f>TiposLancamentos!B20</f>
        <v>Saques</v>
      </c>
      <c r="C256" s="3" t="s">
        <v>2668</v>
      </c>
      <c r="D256" s="63"/>
      <c r="E256" s="98">
        <v>10</v>
      </c>
    </row>
    <row r="257" spans="1:5">
      <c r="A257" s="75">
        <v>37193</v>
      </c>
      <c r="B257" s="86" t="str">
        <f>TiposLancamentos!B20</f>
        <v>Saques</v>
      </c>
      <c r="C257" s="3" t="s">
        <v>2668</v>
      </c>
      <c r="D257" s="63"/>
      <c r="E257" s="98">
        <v>10</v>
      </c>
    </row>
    <row r="258" spans="1:5">
      <c r="A258" s="75">
        <v>37193</v>
      </c>
      <c r="B258" s="86" t="str">
        <f>TiposLancamentos!B5</f>
        <v>Supermercado</v>
      </c>
      <c r="C258" s="3" t="s">
        <v>15984</v>
      </c>
      <c r="D258" s="63"/>
      <c r="E258" s="98">
        <v>39</v>
      </c>
    </row>
    <row r="259" spans="1:5">
      <c r="A259" s="75">
        <v>37193</v>
      </c>
      <c r="B259" s="86" t="str">
        <f>TiposLancamentos!B69</f>
        <v>Consertos</v>
      </c>
      <c r="C259" s="3" t="s">
        <v>15985</v>
      </c>
      <c r="D259" s="63"/>
      <c r="E259" s="98">
        <v>17.28</v>
      </c>
    </row>
    <row r="260" spans="1:5">
      <c r="A260" s="75">
        <v>37194</v>
      </c>
      <c r="B260" s="86" t="str">
        <f>TiposLancamentos!B95</f>
        <v>Salarios</v>
      </c>
      <c r="C260" s="3" t="s">
        <v>14165</v>
      </c>
      <c r="D260" s="63">
        <v>888.03</v>
      </c>
      <c r="E260" s="98"/>
    </row>
    <row r="261" spans="1:5">
      <c r="A261" s="79">
        <v>37194</v>
      </c>
      <c r="B261" s="95" t="str">
        <f>TiposLancamentos!B73</f>
        <v>Cursos</v>
      </c>
      <c r="C261" s="96" t="s">
        <v>15986</v>
      </c>
      <c r="D261" s="85"/>
      <c r="E261" s="97">
        <v>469.2</v>
      </c>
    </row>
    <row r="262" spans="1:5">
      <c r="A262" s="83"/>
      <c r="B262" s="91"/>
      <c r="C262" s="92" t="s">
        <v>12757</v>
      </c>
      <c r="D262" s="93"/>
      <c r="E262" s="94"/>
    </row>
    <row r="263" spans="1:5">
      <c r="A263" s="75">
        <v>37196</v>
      </c>
      <c r="B263" s="86" t="str">
        <f>TiposLancamentos!B4</f>
        <v>Taxas Bancarias</v>
      </c>
      <c r="C263" s="3" t="s">
        <v>5065</v>
      </c>
      <c r="D263" s="63"/>
      <c r="E263" s="98">
        <v>2.52</v>
      </c>
    </row>
    <row r="264" spans="1:5">
      <c r="A264" s="75">
        <v>37196</v>
      </c>
      <c r="B264" s="86" t="str">
        <f>TiposLancamentos!B13</f>
        <v>Moradia</v>
      </c>
      <c r="C264" s="3" t="s">
        <v>15987</v>
      </c>
      <c r="D264" s="63"/>
      <c r="E264" s="98">
        <v>35</v>
      </c>
    </row>
    <row r="265" spans="1:5">
      <c r="A265" s="75">
        <v>37197</v>
      </c>
      <c r="B265" s="86" t="str">
        <f>TiposLancamentos!B71</f>
        <v>Itens Pessoais</v>
      </c>
      <c r="C265" s="3" t="s">
        <v>15988</v>
      </c>
      <c r="D265" s="63"/>
      <c r="E265" s="98">
        <v>18.899999999999999</v>
      </c>
    </row>
    <row r="266" spans="1:5">
      <c r="A266" s="75">
        <v>37198</v>
      </c>
      <c r="B266" s="86" t="str">
        <f>TiposLancamentos!B57</f>
        <v>Informática</v>
      </c>
      <c r="C266" s="3" t="s">
        <v>15989</v>
      </c>
      <c r="D266" s="63"/>
      <c r="E266" s="98">
        <v>60</v>
      </c>
    </row>
    <row r="267" spans="1:5">
      <c r="A267" s="75">
        <v>37198</v>
      </c>
      <c r="B267" s="86" t="str">
        <f>TiposLancamentos!B13</f>
        <v>Moradia</v>
      </c>
      <c r="C267" s="3" t="s">
        <v>15990</v>
      </c>
      <c r="D267" s="63"/>
      <c r="E267" s="98">
        <v>75</v>
      </c>
    </row>
    <row r="268" spans="1:5">
      <c r="A268" s="75">
        <v>37198</v>
      </c>
      <c r="B268" s="86" t="str">
        <f>TiposLancamentos!B13</f>
        <v>Moradia</v>
      </c>
      <c r="C268" s="3" t="s">
        <v>15991</v>
      </c>
      <c r="D268" s="63"/>
      <c r="E268" s="98">
        <v>65</v>
      </c>
    </row>
    <row r="269" spans="1:5">
      <c r="A269" s="75">
        <v>37198</v>
      </c>
      <c r="B269" s="86" t="str">
        <f>TiposLancamentos!B5</f>
        <v>Supermercado</v>
      </c>
      <c r="C269" s="3" t="s">
        <v>15992</v>
      </c>
      <c r="D269" s="63"/>
      <c r="E269" s="98">
        <v>59.94</v>
      </c>
    </row>
    <row r="270" spans="1:5">
      <c r="A270" s="75">
        <v>37200</v>
      </c>
      <c r="B270" s="86" t="str">
        <f>TiposLancamentos!B20</f>
        <v>Saques</v>
      </c>
      <c r="C270" s="3" t="s">
        <v>1706</v>
      </c>
      <c r="D270" s="63"/>
      <c r="E270" s="98">
        <v>30</v>
      </c>
    </row>
    <row r="271" spans="1:5">
      <c r="A271" s="75">
        <v>37204</v>
      </c>
      <c r="B271" s="86" t="str">
        <f>TiposLancamentos!B4</f>
        <v>Taxas Bancarias</v>
      </c>
      <c r="C271" s="3" t="s">
        <v>5065</v>
      </c>
      <c r="D271" s="63"/>
      <c r="E271" s="98">
        <v>1.52</v>
      </c>
    </row>
    <row r="272" spans="1:5">
      <c r="A272" s="75">
        <v>37204</v>
      </c>
      <c r="B272" s="86" t="str">
        <f>TiposLancamentos!B4</f>
        <v>Taxas Bancarias</v>
      </c>
      <c r="C272" s="3" t="s">
        <v>15993</v>
      </c>
      <c r="D272" s="63"/>
      <c r="E272" s="98">
        <v>16</v>
      </c>
    </row>
    <row r="273" spans="1:5">
      <c r="A273" s="75">
        <v>37205</v>
      </c>
      <c r="B273" s="86" t="str">
        <f>TiposLancamentos!B20</f>
        <v>Saques</v>
      </c>
      <c r="C273" s="3" t="s">
        <v>2655</v>
      </c>
      <c r="D273" s="63"/>
      <c r="E273" s="98">
        <v>10</v>
      </c>
    </row>
    <row r="274" spans="1:5" ht="12" customHeight="1">
      <c r="A274" s="75">
        <v>37207</v>
      </c>
      <c r="B274" s="86" t="str">
        <f>TiposLancamentos!B8</f>
        <v>Aluguel</v>
      </c>
      <c r="C274" s="3" t="s">
        <v>15994</v>
      </c>
      <c r="D274" s="63"/>
      <c r="E274" s="98">
        <v>200</v>
      </c>
    </row>
    <row r="275" spans="1:5" ht="12" customHeight="1">
      <c r="A275" s="75">
        <v>37207</v>
      </c>
      <c r="B275" s="86" t="str">
        <f>TiposLancamentos!B4</f>
        <v>Taxas Bancarias</v>
      </c>
      <c r="C275" s="3" t="s">
        <v>15915</v>
      </c>
      <c r="D275" s="63"/>
      <c r="E275" s="98">
        <v>7</v>
      </c>
    </row>
    <row r="276" spans="1:5">
      <c r="A276" s="75">
        <v>37209</v>
      </c>
      <c r="B276" s="86" t="str">
        <f>TiposLancamentos!B95</f>
        <v>Salarios</v>
      </c>
      <c r="C276" s="3" t="s">
        <v>14165</v>
      </c>
      <c r="D276" s="63">
        <v>579.6</v>
      </c>
      <c r="E276" s="98"/>
    </row>
    <row r="277" spans="1:5">
      <c r="A277" s="75">
        <v>37209</v>
      </c>
      <c r="B277" s="86" t="str">
        <f>TiposLancamentos!B2</f>
        <v>Telefonia</v>
      </c>
      <c r="C277" s="3" t="s">
        <v>2515</v>
      </c>
      <c r="D277" s="63"/>
      <c r="E277" s="98">
        <v>108.72</v>
      </c>
    </row>
    <row r="278" spans="1:5">
      <c r="A278" s="75">
        <v>37209</v>
      </c>
      <c r="B278" s="86" t="str">
        <f>TiposLancamentos!B2</f>
        <v>Telefonia</v>
      </c>
      <c r="C278" s="3" t="s">
        <v>14230</v>
      </c>
      <c r="D278" s="63"/>
      <c r="E278" s="98">
        <v>34.479999999999997</v>
      </c>
    </row>
    <row r="279" spans="1:5">
      <c r="A279" s="75">
        <v>37209</v>
      </c>
      <c r="B279" s="86" t="str">
        <f>TiposLancamentos!B20</f>
        <v>Saques</v>
      </c>
      <c r="C279" s="3" t="s">
        <v>2668</v>
      </c>
      <c r="D279" s="63"/>
      <c r="E279" s="98">
        <v>11</v>
      </c>
    </row>
    <row r="280" spans="1:5">
      <c r="A280" s="75">
        <v>37209</v>
      </c>
      <c r="B280" s="86" t="str">
        <f>TiposLancamentos!B71</f>
        <v>Itens Pessoais</v>
      </c>
      <c r="C280" s="3" t="s">
        <v>15995</v>
      </c>
      <c r="D280" s="63"/>
      <c r="E280" s="98">
        <v>61.85</v>
      </c>
    </row>
    <row r="281" spans="1:5">
      <c r="A281" s="75">
        <v>37210</v>
      </c>
      <c r="B281" s="86" t="str">
        <f>TiposLancamentos!B20</f>
        <v>Saques</v>
      </c>
      <c r="C281" s="3" t="s">
        <v>2668</v>
      </c>
      <c r="D281" s="63"/>
      <c r="E281" s="98">
        <v>20</v>
      </c>
    </row>
    <row r="282" spans="1:5">
      <c r="A282" s="75">
        <v>37210</v>
      </c>
      <c r="B282" s="86" t="str">
        <f>TiposLancamentos!B16</f>
        <v>Cristiane</v>
      </c>
      <c r="C282" s="52" t="s">
        <v>12758</v>
      </c>
      <c r="D282" s="63"/>
      <c r="E282" s="98">
        <v>50</v>
      </c>
    </row>
    <row r="283" spans="1:5">
      <c r="A283" s="75">
        <v>37211</v>
      </c>
      <c r="B283" s="86" t="str">
        <f>TiposLancamentos!B20</f>
        <v>Saques</v>
      </c>
      <c r="C283" s="3" t="s">
        <v>2668</v>
      </c>
      <c r="D283" s="63"/>
      <c r="E283" s="98">
        <v>10</v>
      </c>
    </row>
    <row r="284" spans="1:5">
      <c r="A284" s="75">
        <v>37211</v>
      </c>
      <c r="B284" s="86" t="str">
        <f>TiposLancamentos!B4</f>
        <v>Taxas Bancarias</v>
      </c>
      <c r="C284" s="3" t="s">
        <v>5065</v>
      </c>
      <c r="D284" s="63"/>
      <c r="E284" s="98">
        <v>0.12</v>
      </c>
    </row>
    <row r="285" spans="1:5">
      <c r="A285" s="75">
        <v>37211</v>
      </c>
      <c r="B285" s="86" t="str">
        <f>TiposLancamentos!B20</f>
        <v>Saques</v>
      </c>
      <c r="C285" s="3" t="s">
        <v>2668</v>
      </c>
      <c r="D285" s="63"/>
      <c r="E285" s="98">
        <v>15</v>
      </c>
    </row>
    <row r="286" spans="1:5">
      <c r="A286" s="75">
        <v>37212</v>
      </c>
      <c r="B286" s="86" t="str">
        <f>TiposLancamentos!B90</f>
        <v>Locadora</v>
      </c>
      <c r="C286" s="3" t="s">
        <v>15996</v>
      </c>
      <c r="D286" s="63"/>
      <c r="E286" s="98">
        <v>6</v>
      </c>
    </row>
    <row r="287" spans="1:5">
      <c r="A287" s="75">
        <v>37215</v>
      </c>
      <c r="B287" s="86" t="str">
        <f>TiposLancamentos!B9</f>
        <v>Condominio</v>
      </c>
      <c r="C287" s="3" t="s">
        <v>4847</v>
      </c>
      <c r="D287" s="63"/>
      <c r="E287" s="98">
        <v>135</v>
      </c>
    </row>
    <row r="288" spans="1:5">
      <c r="A288" s="75">
        <v>37218</v>
      </c>
      <c r="B288" s="86" t="str">
        <f>TiposLancamentos!B105</f>
        <v>Transf. Bco</v>
      </c>
      <c r="C288" s="3" t="s">
        <v>15934</v>
      </c>
      <c r="D288" s="63"/>
      <c r="E288" s="98">
        <v>60</v>
      </c>
    </row>
    <row r="289" spans="1:5">
      <c r="A289" s="75">
        <v>37218</v>
      </c>
      <c r="B289" s="86" t="str">
        <f>TiposLancamentos!B73</f>
        <v>Cursos</v>
      </c>
      <c r="C289" s="3" t="s">
        <v>15997</v>
      </c>
      <c r="D289" s="63"/>
      <c r="E289" s="98">
        <v>20</v>
      </c>
    </row>
    <row r="290" spans="1:5">
      <c r="A290" s="75">
        <v>37218</v>
      </c>
      <c r="B290" s="86" t="str">
        <f>TiposLancamentos!B4</f>
        <v>Taxas Bancarias</v>
      </c>
      <c r="C290" s="3" t="s">
        <v>5065</v>
      </c>
      <c r="D290" s="63"/>
      <c r="E290" s="98">
        <v>2.4700000000000002</v>
      </c>
    </row>
    <row r="291" spans="1:5">
      <c r="A291" s="75">
        <v>37219</v>
      </c>
      <c r="B291" s="86" t="str">
        <f>TiposLancamentos!B19</f>
        <v>Restaurantes</v>
      </c>
      <c r="C291" s="3" t="s">
        <v>15998</v>
      </c>
      <c r="D291" s="63"/>
      <c r="E291" s="98">
        <v>17</v>
      </c>
    </row>
    <row r="292" spans="1:5">
      <c r="A292" s="75">
        <v>37220</v>
      </c>
      <c r="B292" s="86" t="str">
        <f>TiposLancamentos!B20</f>
        <v>Saques</v>
      </c>
      <c r="C292" s="3" t="s">
        <v>2668</v>
      </c>
      <c r="D292" s="63"/>
      <c r="E292" s="98">
        <v>15</v>
      </c>
    </row>
    <row r="293" spans="1:5">
      <c r="A293" s="75">
        <v>37220</v>
      </c>
      <c r="B293" s="86" t="str">
        <f>TiposLancamentos!B22</f>
        <v>Combustivel</v>
      </c>
      <c r="C293" s="3" t="s">
        <v>15999</v>
      </c>
      <c r="D293" s="63"/>
      <c r="E293" s="98">
        <v>10</v>
      </c>
    </row>
    <row r="294" spans="1:5">
      <c r="A294" s="75">
        <v>37220</v>
      </c>
      <c r="B294" s="86" t="str">
        <f>TiposLancamentos!B19</f>
        <v>Restaurantes</v>
      </c>
      <c r="C294" s="3" t="s">
        <v>16000</v>
      </c>
      <c r="D294" s="63"/>
      <c r="E294" s="98">
        <v>9</v>
      </c>
    </row>
    <row r="295" spans="1:5">
      <c r="A295" s="75">
        <v>37221</v>
      </c>
      <c r="B295" s="86" t="str">
        <f>TiposLancamentos!B19</f>
        <v>Restaurantes</v>
      </c>
      <c r="C295" s="3" t="s">
        <v>16001</v>
      </c>
      <c r="D295" s="63"/>
      <c r="E295" s="98">
        <v>7.05</v>
      </c>
    </row>
    <row r="296" spans="1:5">
      <c r="A296" s="75">
        <v>37222</v>
      </c>
      <c r="B296" s="86" t="str">
        <f>TiposLancamentos!B20</f>
        <v>Saques</v>
      </c>
      <c r="C296" s="3" t="s">
        <v>2655</v>
      </c>
      <c r="D296" s="63"/>
      <c r="E296" s="98">
        <v>5</v>
      </c>
    </row>
    <row r="297" spans="1:5">
      <c r="A297" s="75">
        <v>37225</v>
      </c>
      <c r="B297" s="86" t="str">
        <f>TiposLancamentos!B95</f>
        <v>Salarios</v>
      </c>
      <c r="C297" s="3" t="s">
        <v>14165</v>
      </c>
      <c r="D297" s="63">
        <v>1349.94</v>
      </c>
      <c r="E297" s="98"/>
    </row>
    <row r="298" spans="1:5">
      <c r="A298" s="79">
        <v>37225</v>
      </c>
      <c r="B298" s="95" t="str">
        <f>TiposLancamentos!B4</f>
        <v>Taxas Bancarias</v>
      </c>
      <c r="C298" s="96" t="s">
        <v>5065</v>
      </c>
      <c r="D298" s="85"/>
      <c r="E298" s="97">
        <v>0.54</v>
      </c>
    </row>
    <row r="299" spans="1:5">
      <c r="A299" s="83"/>
      <c r="B299" s="91"/>
      <c r="C299" s="92" t="s">
        <v>12761</v>
      </c>
      <c r="D299" s="93"/>
      <c r="E299" s="94"/>
    </row>
    <row r="300" spans="1:5">
      <c r="A300" s="75">
        <v>37226</v>
      </c>
      <c r="B300" s="86" t="str">
        <f>TiposLancamentos!B5</f>
        <v>Supermercado</v>
      </c>
      <c r="C300" s="3" t="s">
        <v>16002</v>
      </c>
      <c r="D300" s="63"/>
      <c r="E300" s="98">
        <v>29.16</v>
      </c>
    </row>
    <row r="301" spans="1:5">
      <c r="A301" s="75">
        <v>37228</v>
      </c>
      <c r="B301" s="86" t="str">
        <f>TiposLancamentos!B8</f>
        <v>Aluguel</v>
      </c>
      <c r="C301" s="3" t="s">
        <v>16003</v>
      </c>
      <c r="D301" s="63"/>
      <c r="E301" s="98">
        <v>268</v>
      </c>
    </row>
    <row r="302" spans="1:5">
      <c r="A302" s="75">
        <v>37228</v>
      </c>
      <c r="B302" s="86" t="str">
        <f>TiposLancamentos!B73</f>
        <v>Cursos</v>
      </c>
      <c r="C302" s="3" t="s">
        <v>16004</v>
      </c>
      <c r="D302" s="63"/>
      <c r="E302" s="98">
        <v>469.2</v>
      </c>
    </row>
    <row r="303" spans="1:5">
      <c r="A303" s="75">
        <v>37228</v>
      </c>
      <c r="B303" s="86" t="str">
        <f>TiposLancamentos!B73</f>
        <v>Cursos</v>
      </c>
      <c r="C303" s="3" t="s">
        <v>16005</v>
      </c>
      <c r="D303" s="63"/>
      <c r="E303" s="98">
        <v>233.5</v>
      </c>
    </row>
    <row r="304" spans="1:5">
      <c r="A304" s="75">
        <v>37228</v>
      </c>
      <c r="B304" s="86" t="str">
        <f>TiposLancamentos!B105</f>
        <v>Transf. Bco</v>
      </c>
      <c r="C304" s="3" t="s">
        <v>16006</v>
      </c>
      <c r="D304" s="63"/>
      <c r="E304" s="98">
        <v>155</v>
      </c>
    </row>
    <row r="305" spans="1:5">
      <c r="A305" s="75">
        <v>37229</v>
      </c>
      <c r="B305" s="86" t="str">
        <f>TiposLancamentos!B20</f>
        <v>Saques</v>
      </c>
      <c r="C305" s="3" t="s">
        <v>2668</v>
      </c>
      <c r="D305" s="63"/>
      <c r="E305" s="98">
        <v>15</v>
      </c>
    </row>
    <row r="306" spans="1:5">
      <c r="A306" s="75">
        <v>37232</v>
      </c>
      <c r="B306" s="86" t="str">
        <f>TiposLancamentos!B20</f>
        <v>Saques</v>
      </c>
      <c r="C306" s="3" t="s">
        <v>2655</v>
      </c>
      <c r="D306" s="63"/>
      <c r="E306" s="98">
        <v>10</v>
      </c>
    </row>
    <row r="307" spans="1:5">
      <c r="A307" s="75">
        <v>37232</v>
      </c>
      <c r="B307" s="86" t="str">
        <f>TiposLancamentos!B26</f>
        <v>LIVROS</v>
      </c>
      <c r="C307" s="3" t="s">
        <v>16007</v>
      </c>
      <c r="D307" s="63"/>
      <c r="E307" s="98">
        <v>50</v>
      </c>
    </row>
    <row r="308" spans="1:5">
      <c r="A308" s="75">
        <v>37232</v>
      </c>
      <c r="B308" s="86" t="str">
        <f>TiposLancamentos!B20</f>
        <v>Saques</v>
      </c>
      <c r="C308" s="3" t="s">
        <v>2655</v>
      </c>
      <c r="D308" s="63"/>
      <c r="E308" s="98">
        <v>10</v>
      </c>
    </row>
    <row r="309" spans="1:5">
      <c r="A309" s="75">
        <v>37232</v>
      </c>
      <c r="B309" s="86" t="str">
        <f>TiposLancamentos!B4</f>
        <v>Taxas Bancarias</v>
      </c>
      <c r="C309" s="3" t="s">
        <v>5065</v>
      </c>
      <c r="D309" s="63"/>
      <c r="E309" s="98">
        <v>2.68</v>
      </c>
    </row>
    <row r="310" spans="1:5">
      <c r="A310" s="75">
        <v>37233</v>
      </c>
      <c r="B310" s="86" t="str">
        <f>TiposLancamentos!B5</f>
        <v>Supermercado</v>
      </c>
      <c r="C310" s="3" t="s">
        <v>16008</v>
      </c>
      <c r="D310" s="63"/>
      <c r="E310" s="98">
        <v>43.71</v>
      </c>
    </row>
    <row r="311" spans="1:5">
      <c r="A311" s="75">
        <v>37235</v>
      </c>
      <c r="B311" s="86" t="str">
        <f>TiposLancamentos!B4</f>
        <v>Taxas Bancarias</v>
      </c>
      <c r="C311" s="3" t="s">
        <v>15915</v>
      </c>
      <c r="D311" s="63"/>
      <c r="E311" s="98">
        <v>7</v>
      </c>
    </row>
    <row r="312" spans="1:5">
      <c r="A312" s="75">
        <v>37237</v>
      </c>
      <c r="B312" s="86" t="str">
        <f>TiposLancamentos!B19</f>
        <v>Restaurantes</v>
      </c>
      <c r="C312" s="3" t="s">
        <v>16009</v>
      </c>
      <c r="D312" s="63"/>
      <c r="E312" s="98">
        <v>30</v>
      </c>
    </row>
    <row r="313" spans="1:5">
      <c r="A313" s="75">
        <v>37239</v>
      </c>
      <c r="B313" s="86" t="str">
        <f>TiposLancamentos!B4</f>
        <v>Taxas Bancarias</v>
      </c>
      <c r="C313" s="3" t="s">
        <v>5065</v>
      </c>
      <c r="D313" s="63"/>
      <c r="E313" s="98">
        <v>2.3199999999999998</v>
      </c>
    </row>
    <row r="314" spans="1:5">
      <c r="A314" s="75">
        <v>37239</v>
      </c>
      <c r="B314" s="86" t="str">
        <f>TiposLancamentos!B16</f>
        <v>Cristiane</v>
      </c>
      <c r="C314" s="52" t="s">
        <v>12762</v>
      </c>
      <c r="D314" s="63"/>
      <c r="E314" s="98">
        <v>50</v>
      </c>
    </row>
    <row r="315" spans="1:5">
      <c r="A315" s="75">
        <v>37239</v>
      </c>
      <c r="B315" s="86" t="str">
        <f>TiposLancamentos!B95</f>
        <v>Salarios</v>
      </c>
      <c r="C315" s="3" t="s">
        <v>14165</v>
      </c>
      <c r="D315" s="63">
        <v>579.6</v>
      </c>
      <c r="E315" s="98"/>
    </row>
    <row r="316" spans="1:5">
      <c r="A316" s="75">
        <v>37239</v>
      </c>
      <c r="B316" s="86" t="str">
        <f>TiposLancamentos!B56</f>
        <v>Farmácia</v>
      </c>
      <c r="C316" s="3" t="s">
        <v>16010</v>
      </c>
      <c r="D316" s="63"/>
      <c r="E316" s="98">
        <v>15</v>
      </c>
    </row>
    <row r="317" spans="1:5">
      <c r="A317" s="75">
        <v>37240</v>
      </c>
      <c r="B317" s="86" t="str">
        <f>TiposLancamentos!B15</f>
        <v>Cartões de Crédito</v>
      </c>
      <c r="C317" s="3" t="s">
        <v>5142</v>
      </c>
      <c r="D317" s="63"/>
      <c r="E317" s="98">
        <v>158.79</v>
      </c>
    </row>
    <row r="318" spans="1:5">
      <c r="A318" s="75">
        <v>37240</v>
      </c>
      <c r="B318" s="86" t="str">
        <f>TiposLancamentos!B20</f>
        <v>Saques</v>
      </c>
      <c r="C318" s="3" t="s">
        <v>2668</v>
      </c>
      <c r="D318" s="63"/>
      <c r="E318" s="98">
        <v>20</v>
      </c>
    </row>
    <row r="319" spans="1:5">
      <c r="A319" s="75">
        <v>37242</v>
      </c>
      <c r="B319" s="86" t="str">
        <f>TiposLancamentos!B2</f>
        <v>Telefonia</v>
      </c>
      <c r="C319" s="3" t="s">
        <v>2515</v>
      </c>
      <c r="D319" s="63"/>
      <c r="E319" s="98">
        <v>135.57</v>
      </c>
    </row>
    <row r="320" spans="1:5">
      <c r="A320" s="75">
        <v>37242</v>
      </c>
      <c r="B320" s="86" t="str">
        <f>TiposLancamentos!B2</f>
        <v>Telefonia</v>
      </c>
      <c r="C320" s="3" t="s">
        <v>14417</v>
      </c>
      <c r="D320" s="63"/>
      <c r="E320" s="98">
        <v>18.329999999999998</v>
      </c>
    </row>
    <row r="321" spans="1:5">
      <c r="A321" s="75">
        <v>37242</v>
      </c>
      <c r="B321" s="86" t="str">
        <f>TiposLancamentos!B2</f>
        <v>Telefonia</v>
      </c>
      <c r="C321" s="3" t="s">
        <v>14230</v>
      </c>
      <c r="D321" s="63"/>
      <c r="E321" s="98">
        <v>51.03</v>
      </c>
    </row>
    <row r="322" spans="1:5">
      <c r="A322" s="75">
        <v>37244</v>
      </c>
      <c r="B322" s="86" t="str">
        <f>TiposLancamentos!B19</f>
        <v>Restaurantes</v>
      </c>
      <c r="C322" s="3" t="s">
        <v>16011</v>
      </c>
      <c r="D322" s="63"/>
      <c r="E322" s="98">
        <v>11.25</v>
      </c>
    </row>
    <row r="323" spans="1:5">
      <c r="A323" s="75">
        <v>37245</v>
      </c>
      <c r="B323" s="86" t="str">
        <f>TiposLancamentos!B13</f>
        <v>Moradia</v>
      </c>
      <c r="C323" s="3" t="s">
        <v>16012</v>
      </c>
      <c r="D323" s="63"/>
      <c r="E323" s="98">
        <v>35</v>
      </c>
    </row>
    <row r="324" spans="1:5">
      <c r="A324" s="75">
        <v>37246</v>
      </c>
      <c r="B324" s="86" t="str">
        <f>TiposLancamentos!B4</f>
        <v>Taxas Bancarias</v>
      </c>
      <c r="C324" s="3" t="s">
        <v>5065</v>
      </c>
      <c r="D324" s="63"/>
      <c r="E324" s="98">
        <v>1.81</v>
      </c>
    </row>
    <row r="325" spans="1:5">
      <c r="A325" s="75">
        <v>37246</v>
      </c>
      <c r="B325" s="86" t="str">
        <f>TiposLancamentos!B20</f>
        <v>Saques</v>
      </c>
      <c r="C325" s="3" t="s">
        <v>2668</v>
      </c>
      <c r="D325" s="63"/>
      <c r="E325" s="98">
        <v>20</v>
      </c>
    </row>
    <row r="326" spans="1:5">
      <c r="A326" s="75">
        <v>37247</v>
      </c>
      <c r="B326" s="86" t="str">
        <f>TiposLancamentos!B80</f>
        <v>Mudanças</v>
      </c>
      <c r="C326" s="3" t="s">
        <v>16013</v>
      </c>
      <c r="D326" s="63"/>
      <c r="E326" s="98">
        <v>125</v>
      </c>
    </row>
    <row r="327" spans="1:5">
      <c r="A327" s="75">
        <v>37249</v>
      </c>
      <c r="B327" s="86" t="str">
        <f>TiposLancamentos!B20</f>
        <v>Saques</v>
      </c>
      <c r="C327" s="3" t="s">
        <v>2668</v>
      </c>
      <c r="D327" s="63"/>
      <c r="E327" s="98">
        <v>20</v>
      </c>
    </row>
    <row r="328" spans="1:5">
      <c r="A328" s="75">
        <v>37253</v>
      </c>
      <c r="B328" s="86" t="str">
        <f>TiposLancamentos!B95</f>
        <v>Salarios</v>
      </c>
      <c r="C328" s="3" t="s">
        <v>14165</v>
      </c>
      <c r="D328" s="63">
        <v>599.79</v>
      </c>
      <c r="E328" s="98"/>
    </row>
    <row r="329" spans="1:5">
      <c r="A329" s="75">
        <v>37618</v>
      </c>
      <c r="B329" s="86" t="str">
        <f>TiposLancamentos!B20</f>
        <v>Saques</v>
      </c>
      <c r="C329" s="3" t="s">
        <v>2668</v>
      </c>
      <c r="D329" s="63"/>
      <c r="E329" s="98">
        <v>10</v>
      </c>
    </row>
    <row r="330" spans="1:5">
      <c r="A330" s="75">
        <v>37618</v>
      </c>
      <c r="B330" s="86" t="str">
        <f>TiposLancamentos!B4</f>
        <v>Taxas Bancarias</v>
      </c>
      <c r="C330" s="3" t="s">
        <v>5065</v>
      </c>
      <c r="D330" s="63"/>
      <c r="E330" s="98">
        <v>0.32</v>
      </c>
    </row>
    <row r="331" spans="1:5">
      <c r="A331" s="79">
        <v>37256</v>
      </c>
      <c r="B331" s="86" t="str">
        <f>TiposLancamentos!B8</f>
        <v>Aluguel</v>
      </c>
      <c r="C331" s="96" t="s">
        <v>16014</v>
      </c>
      <c r="D331" s="85"/>
      <c r="E331" s="97">
        <v>250</v>
      </c>
    </row>
    <row r="332" spans="1:5">
      <c r="A332" s="83"/>
      <c r="B332" s="91"/>
      <c r="C332" s="92" t="s">
        <v>12764</v>
      </c>
      <c r="D332" s="93"/>
      <c r="E332" s="94"/>
    </row>
    <row r="333" spans="1:5">
      <c r="A333" s="75">
        <v>37258</v>
      </c>
      <c r="B333" s="86" t="str">
        <f>TiposLancamentos!B4</f>
        <v>Taxas Bancarias</v>
      </c>
      <c r="C333" s="3" t="s">
        <v>16015</v>
      </c>
      <c r="D333" s="63"/>
      <c r="E333" s="98">
        <v>0.25</v>
      </c>
    </row>
    <row r="334" spans="1:5">
      <c r="A334" s="75">
        <v>37260</v>
      </c>
      <c r="B334" s="86" t="str">
        <f>TiposLancamentos!B9</f>
        <v>Condominio</v>
      </c>
      <c r="C334" s="3" t="s">
        <v>16016</v>
      </c>
      <c r="D334" s="63"/>
      <c r="E334" s="98">
        <v>103.84</v>
      </c>
    </row>
    <row r="335" spans="1:5">
      <c r="A335" s="75">
        <v>37260</v>
      </c>
      <c r="B335" s="86" t="str">
        <f>TiposLancamentos!B4</f>
        <v>Taxas Bancarias</v>
      </c>
      <c r="C335" s="3" t="s">
        <v>5065</v>
      </c>
      <c r="D335" s="63"/>
      <c r="E335" s="98">
        <v>0.91</v>
      </c>
    </row>
    <row r="336" spans="1:5">
      <c r="A336" s="75">
        <v>37261</v>
      </c>
      <c r="B336" s="86" t="str">
        <f>TiposLancamentos!B73</f>
        <v>Cursos</v>
      </c>
      <c r="C336" s="3" t="s">
        <v>16017</v>
      </c>
      <c r="D336" s="63"/>
      <c r="E336" s="98">
        <v>233.5</v>
      </c>
    </row>
    <row r="337" spans="1:5">
      <c r="A337" s="75">
        <v>37263</v>
      </c>
      <c r="B337" s="86" t="str">
        <f>TiposLancamentos!B97</f>
        <v>Deposito Terc.</v>
      </c>
      <c r="C337" s="3" t="s">
        <v>14464</v>
      </c>
      <c r="D337" s="63">
        <v>70</v>
      </c>
      <c r="E337" s="98"/>
    </row>
    <row r="338" spans="1:5">
      <c r="A338" s="75">
        <v>37265</v>
      </c>
      <c r="B338" s="86" t="str">
        <f>TiposLancamentos!B97</f>
        <v>Deposito Terc.</v>
      </c>
      <c r="C338" s="3" t="s">
        <v>14464</v>
      </c>
      <c r="D338" s="63">
        <v>20</v>
      </c>
      <c r="E338" s="98"/>
    </row>
    <row r="339" spans="1:5">
      <c r="A339" s="75">
        <v>37266</v>
      </c>
      <c r="B339" s="86" t="str">
        <f>TiposLancamentos!B20</f>
        <v>Saques</v>
      </c>
      <c r="C339" s="3" t="s">
        <v>2668</v>
      </c>
      <c r="D339" s="63"/>
      <c r="E339" s="98">
        <v>10</v>
      </c>
    </row>
    <row r="340" spans="1:5">
      <c r="A340" s="75">
        <v>37266</v>
      </c>
      <c r="B340" s="86" t="str">
        <f>TiposLancamentos!B4</f>
        <v>Taxas Bancarias</v>
      </c>
      <c r="C340" s="3" t="s">
        <v>15915</v>
      </c>
      <c r="D340" s="63"/>
      <c r="E340" s="98">
        <v>7</v>
      </c>
    </row>
    <row r="341" spans="1:5">
      <c r="A341" s="75">
        <v>37267</v>
      </c>
      <c r="B341" s="86" t="str">
        <f>TiposLancamentos!B4</f>
        <v>Taxas Bancarias</v>
      </c>
      <c r="C341" s="3" t="s">
        <v>5065</v>
      </c>
      <c r="D341" s="63"/>
      <c r="E341" s="98">
        <v>2.23</v>
      </c>
    </row>
    <row r="342" spans="1:5">
      <c r="A342" s="75">
        <v>37268</v>
      </c>
      <c r="B342" s="86" t="str">
        <f>TiposLancamentos!B20</f>
        <v>Saques</v>
      </c>
      <c r="C342" s="3" t="s">
        <v>2668</v>
      </c>
      <c r="D342" s="63"/>
      <c r="E342" s="98">
        <v>5</v>
      </c>
    </row>
    <row r="343" spans="1:5">
      <c r="A343" s="75">
        <v>37270</v>
      </c>
      <c r="B343" s="86" t="str">
        <f>TiposLancamentos!B4</f>
        <v>Taxas Bancarias</v>
      </c>
      <c r="C343" s="3" t="s">
        <v>16018</v>
      </c>
      <c r="D343" s="63"/>
      <c r="E343" s="98">
        <v>5</v>
      </c>
    </row>
    <row r="344" spans="1:5">
      <c r="A344" s="75">
        <v>37270</v>
      </c>
      <c r="B344" s="86" t="str">
        <f>TiposLancamentos!B97</f>
        <v>Deposito Terc.</v>
      </c>
      <c r="C344" s="3" t="s">
        <v>16019</v>
      </c>
      <c r="D344" s="63">
        <v>800</v>
      </c>
      <c r="E344" s="98"/>
    </row>
    <row r="345" spans="1:5">
      <c r="A345" s="75">
        <v>37270</v>
      </c>
      <c r="B345" s="86" t="str">
        <f>TiposLancamentos!B16</f>
        <v>Cristiane</v>
      </c>
      <c r="C345" s="52" t="s">
        <v>12766</v>
      </c>
      <c r="D345" s="63"/>
      <c r="E345" s="98">
        <v>50</v>
      </c>
    </row>
    <row r="346" spans="1:5">
      <c r="A346" s="75">
        <v>37271</v>
      </c>
      <c r="B346" s="86" t="str">
        <f>TiposLancamentos!B95</f>
        <v>Salarios</v>
      </c>
      <c r="C346" s="3" t="s">
        <v>14165</v>
      </c>
      <c r="D346" s="63">
        <v>579.6</v>
      </c>
      <c r="E346" s="98"/>
    </row>
    <row r="347" spans="1:5">
      <c r="A347" s="75">
        <v>37271</v>
      </c>
      <c r="B347" s="86" t="str">
        <f>TiposLancamentos!B15</f>
        <v>Cartões de Crédito</v>
      </c>
      <c r="C347" s="3" t="s">
        <v>5142</v>
      </c>
      <c r="D347" s="63"/>
      <c r="E347" s="98">
        <v>160.72999999999999</v>
      </c>
    </row>
    <row r="348" spans="1:5">
      <c r="A348" s="75">
        <v>37271</v>
      </c>
      <c r="B348" s="86" t="str">
        <f>TiposLancamentos!B2</f>
        <v>Telefonia</v>
      </c>
      <c r="C348" s="3" t="s">
        <v>14417</v>
      </c>
      <c r="D348" s="63"/>
      <c r="E348" s="98">
        <v>25.09</v>
      </c>
    </row>
    <row r="349" spans="1:5">
      <c r="A349" s="75">
        <v>37422</v>
      </c>
      <c r="B349" s="86" t="str">
        <f>TiposLancamentos!B2</f>
        <v>Telefonia</v>
      </c>
      <c r="C349" s="3" t="s">
        <v>2515</v>
      </c>
      <c r="D349" s="63"/>
      <c r="E349" s="98">
        <v>131.22</v>
      </c>
    </row>
    <row r="350" spans="1:5">
      <c r="A350" s="75">
        <v>37271</v>
      </c>
      <c r="B350" s="86" t="str">
        <f>TiposLancamentos!B2</f>
        <v>Telefonia</v>
      </c>
      <c r="C350" s="3" t="s">
        <v>14230</v>
      </c>
      <c r="D350" s="63"/>
      <c r="E350" s="98">
        <v>26</v>
      </c>
    </row>
    <row r="351" spans="1:5">
      <c r="A351" s="75">
        <v>37271</v>
      </c>
      <c r="B351" s="86" t="str">
        <f>TiposLancamentos!B77</f>
        <v>Esporádico</v>
      </c>
      <c r="C351" s="3" t="s">
        <v>16020</v>
      </c>
      <c r="D351" s="63"/>
      <c r="E351" s="98">
        <v>824.6</v>
      </c>
    </row>
    <row r="352" spans="1:5">
      <c r="A352" s="75">
        <v>37272</v>
      </c>
      <c r="B352" s="86" t="str">
        <f>TiposLancamentos!B20</f>
        <v>Saques</v>
      </c>
      <c r="C352" s="3" t="s">
        <v>2668</v>
      </c>
      <c r="D352" s="63"/>
      <c r="E352" s="98">
        <v>5</v>
      </c>
    </row>
    <row r="353" spans="1:5">
      <c r="A353" s="75">
        <v>37274</v>
      </c>
      <c r="B353" s="86" t="str">
        <f>TiposLancamentos!B4</f>
        <v>Taxas Bancarias</v>
      </c>
      <c r="C353" s="3" t="s">
        <v>5065</v>
      </c>
      <c r="D353" s="63"/>
      <c r="E353" s="98">
        <v>4.84</v>
      </c>
    </row>
    <row r="354" spans="1:5">
      <c r="A354" s="75">
        <v>37277</v>
      </c>
      <c r="B354" s="86" t="str">
        <f>TiposLancamentos!B20</f>
        <v>Saques</v>
      </c>
      <c r="C354" s="52" t="s">
        <v>1706</v>
      </c>
      <c r="D354" s="63"/>
      <c r="E354" s="98">
        <v>30</v>
      </c>
    </row>
    <row r="355" spans="1:5">
      <c r="A355" s="75">
        <v>37278</v>
      </c>
      <c r="B355" s="86" t="str">
        <f>TiposLancamentos!B66</f>
        <v>Faxineira</v>
      </c>
      <c r="C355" s="52" t="s">
        <v>16021</v>
      </c>
      <c r="D355" s="63"/>
      <c r="E355" s="98">
        <v>12.3</v>
      </c>
    </row>
    <row r="356" spans="1:5">
      <c r="A356" s="75">
        <v>37281</v>
      </c>
      <c r="B356" s="86" t="str">
        <f>TiposLancamentos!B4</f>
        <v>Taxas Bancarias</v>
      </c>
      <c r="C356" s="3" t="s">
        <v>5065</v>
      </c>
      <c r="D356" s="63"/>
      <c r="E356" s="98">
        <v>0.11</v>
      </c>
    </row>
    <row r="357" spans="1:5">
      <c r="A357" s="75">
        <v>37282</v>
      </c>
      <c r="B357" s="86" t="str">
        <f>TiposLancamentos!B20</f>
        <v>Saques</v>
      </c>
      <c r="C357" s="52" t="s">
        <v>2668</v>
      </c>
      <c r="D357" s="63"/>
      <c r="E357" s="98">
        <v>5</v>
      </c>
    </row>
    <row r="358" spans="1:5">
      <c r="A358" s="75">
        <v>37286</v>
      </c>
      <c r="B358" s="86" t="str">
        <f>TiposLancamentos!B95</f>
        <v>Salarios</v>
      </c>
      <c r="C358" s="52" t="s">
        <v>14165</v>
      </c>
      <c r="D358" s="63">
        <v>619.89</v>
      </c>
      <c r="E358" s="98"/>
    </row>
    <row r="359" spans="1:5">
      <c r="A359" s="75">
        <v>37286</v>
      </c>
      <c r="B359" s="86" t="str">
        <f>TiposLancamentos!B6</f>
        <v>Energia Eletrica</v>
      </c>
      <c r="C359" s="52" t="s">
        <v>16022</v>
      </c>
      <c r="D359" s="63"/>
      <c r="E359" s="98">
        <v>18.36</v>
      </c>
    </row>
    <row r="360" spans="1:5">
      <c r="A360" s="75">
        <v>37286</v>
      </c>
      <c r="B360" s="86" t="str">
        <f>TiposLancamentos!B73</f>
        <v>Cursos</v>
      </c>
      <c r="C360" s="52" t="s">
        <v>15986</v>
      </c>
      <c r="D360" s="63"/>
      <c r="E360" s="98">
        <v>424</v>
      </c>
    </row>
    <row r="361" spans="1:5">
      <c r="A361" s="75">
        <v>37287</v>
      </c>
      <c r="B361" s="86" t="str">
        <f>TiposLancamentos!B9</f>
        <v>Condominio</v>
      </c>
      <c r="C361" s="52" t="s">
        <v>1684</v>
      </c>
      <c r="D361" s="63"/>
      <c r="E361" s="98">
        <v>161.44999999999999</v>
      </c>
    </row>
    <row r="362" spans="1:5">
      <c r="A362" s="79">
        <v>37287</v>
      </c>
      <c r="B362" s="95" t="str">
        <f>TiposLancamentos!B20</f>
        <v>Saques</v>
      </c>
      <c r="C362" s="477" t="s">
        <v>2668</v>
      </c>
      <c r="D362" s="85"/>
      <c r="E362" s="97">
        <v>5</v>
      </c>
    </row>
    <row r="363" spans="1:5">
      <c r="A363" s="75"/>
      <c r="B363" s="91"/>
      <c r="C363" s="43" t="s">
        <v>16023</v>
      </c>
      <c r="D363" s="93"/>
      <c r="E363" s="94"/>
    </row>
    <row r="364" spans="1:5">
      <c r="A364" s="75">
        <v>37288</v>
      </c>
      <c r="B364" s="86" t="str">
        <f>TiposLancamentos!B20</f>
        <v>Saques</v>
      </c>
      <c r="C364" s="52" t="s">
        <v>2668</v>
      </c>
      <c r="D364" s="63"/>
      <c r="E364" s="98">
        <v>5</v>
      </c>
    </row>
    <row r="365" spans="1:5">
      <c r="A365" s="75">
        <v>37288</v>
      </c>
      <c r="B365" s="86" t="str">
        <f>TiposLancamentos!B4</f>
        <v>Taxas Bancarias</v>
      </c>
      <c r="C365" s="52" t="s">
        <v>16015</v>
      </c>
      <c r="D365" s="63"/>
      <c r="E365" s="98">
        <v>0.22</v>
      </c>
    </row>
    <row r="366" spans="1:5">
      <c r="A366" s="75">
        <v>37288</v>
      </c>
      <c r="B366" s="86" t="str">
        <f>TiposLancamentos!B4</f>
        <v>Taxas Bancarias</v>
      </c>
      <c r="C366" s="52" t="s">
        <v>5065</v>
      </c>
      <c r="D366" s="63"/>
      <c r="E366" s="98">
        <v>1.74</v>
      </c>
    </row>
    <row r="367" spans="1:5">
      <c r="A367" s="75">
        <v>37289</v>
      </c>
      <c r="B367" s="86" t="str">
        <f>TiposLancamentos!B20</f>
        <v>Saques</v>
      </c>
      <c r="C367" s="52" t="s">
        <v>2668</v>
      </c>
      <c r="D367" s="63"/>
      <c r="E367" s="98">
        <v>15</v>
      </c>
    </row>
    <row r="368" spans="1:5">
      <c r="A368" s="75">
        <v>37289</v>
      </c>
      <c r="B368" s="86" t="str">
        <f>TiposLancamentos!B19</f>
        <v>Restaurantes</v>
      </c>
      <c r="C368" s="52" t="s">
        <v>16024</v>
      </c>
      <c r="D368" s="63"/>
      <c r="E368" s="98">
        <v>9.5500000000000007</v>
      </c>
    </row>
    <row r="369" spans="1:5">
      <c r="A369" s="75">
        <v>37291</v>
      </c>
      <c r="B369" s="86" t="str">
        <f>TiposLancamentos!B20</f>
        <v>Saques</v>
      </c>
      <c r="C369" s="52" t="s">
        <v>2668</v>
      </c>
      <c r="D369" s="63"/>
      <c r="E369" s="98">
        <v>5</v>
      </c>
    </row>
    <row r="370" spans="1:5">
      <c r="A370" s="75">
        <v>37293</v>
      </c>
      <c r="B370" s="86" t="str">
        <f>TiposLancamentos!B19</f>
        <v>Restaurantes</v>
      </c>
      <c r="C370" s="52" t="s">
        <v>16025</v>
      </c>
      <c r="D370" s="63"/>
      <c r="E370" s="98">
        <v>6.65</v>
      </c>
    </row>
    <row r="371" spans="1:5">
      <c r="A371" s="75">
        <v>37295</v>
      </c>
      <c r="B371" s="86" t="str">
        <f>TiposLancamentos!B4</f>
        <v>Taxas Bancarias</v>
      </c>
      <c r="C371" s="52" t="s">
        <v>5065</v>
      </c>
      <c r="D371" s="63"/>
      <c r="E371" s="98">
        <v>0.76</v>
      </c>
    </row>
    <row r="372" spans="1:5">
      <c r="A372" s="75">
        <v>37296</v>
      </c>
      <c r="B372" s="86" t="str">
        <f>TiposLancamentos!B20</f>
        <v>Saques</v>
      </c>
      <c r="C372" s="52" t="s">
        <v>2668</v>
      </c>
      <c r="D372" s="63"/>
      <c r="E372" s="98">
        <v>15</v>
      </c>
    </row>
    <row r="373" spans="1:5">
      <c r="A373" s="75">
        <v>37297</v>
      </c>
      <c r="B373" s="86" t="str">
        <f>TiposLancamentos!B20</f>
        <v>Saques</v>
      </c>
      <c r="C373" s="52" t="s">
        <v>2668</v>
      </c>
      <c r="D373" s="63"/>
      <c r="E373" s="98">
        <v>10</v>
      </c>
    </row>
    <row r="374" spans="1:5">
      <c r="A374" s="75">
        <v>37298</v>
      </c>
      <c r="B374" s="86" t="str">
        <f>TiposLancamentos!B76</f>
        <v>Motel</v>
      </c>
      <c r="C374" s="52" t="s">
        <v>16026</v>
      </c>
      <c r="D374" s="63"/>
      <c r="E374" s="98">
        <v>30</v>
      </c>
    </row>
    <row r="375" spans="1:5">
      <c r="A375" s="75">
        <v>37299</v>
      </c>
      <c r="B375" s="86" t="str">
        <f>TiposLancamentos!B22</f>
        <v>Combustivel</v>
      </c>
      <c r="C375" s="52" t="s">
        <v>16027</v>
      </c>
      <c r="D375" s="63"/>
      <c r="E375" s="98">
        <v>10</v>
      </c>
    </row>
    <row r="376" spans="1:5">
      <c r="A376" s="75">
        <v>37300</v>
      </c>
      <c r="B376" s="86" t="str">
        <f>TiposLancamentos!B20</f>
        <v>Saques</v>
      </c>
      <c r="C376" s="52" t="s">
        <v>2668</v>
      </c>
      <c r="D376" s="63"/>
      <c r="E376" s="98">
        <v>6</v>
      </c>
    </row>
    <row r="377" spans="1:5">
      <c r="A377" s="75">
        <v>37300</v>
      </c>
      <c r="B377" s="86" t="str">
        <f>TiposLancamentos!B4</f>
        <v>Taxas Bancarias</v>
      </c>
      <c r="C377" s="52" t="s">
        <v>15915</v>
      </c>
      <c r="D377" s="63"/>
      <c r="E377" s="98">
        <v>7</v>
      </c>
    </row>
    <row r="378" spans="1:5">
      <c r="A378" s="75">
        <v>37302</v>
      </c>
      <c r="B378" s="86" t="str">
        <f>TiposLancamentos!B95</f>
        <v>Salarios</v>
      </c>
      <c r="C378" s="52" t="s">
        <v>14165</v>
      </c>
      <c r="D378" s="63">
        <v>579.6</v>
      </c>
      <c r="E378" s="98"/>
    </row>
    <row r="379" spans="1:5">
      <c r="A379" s="75">
        <v>37302</v>
      </c>
      <c r="B379" s="86" t="str">
        <f>TiposLancamentos!B79</f>
        <v>Financiamento Banco</v>
      </c>
      <c r="C379" s="52" t="s">
        <v>16028</v>
      </c>
      <c r="D379" s="63"/>
      <c r="E379" s="98">
        <v>72.48</v>
      </c>
    </row>
    <row r="380" spans="1:5">
      <c r="A380" s="75">
        <v>37302</v>
      </c>
      <c r="B380" s="86" t="str">
        <f>TiposLancamentos!B15</f>
        <v>Cartões de Crédito</v>
      </c>
      <c r="C380" s="52" t="s">
        <v>5142</v>
      </c>
      <c r="D380" s="63"/>
      <c r="E380" s="98">
        <v>145.9</v>
      </c>
    </row>
    <row r="381" spans="1:5">
      <c r="A381" s="75">
        <v>37302</v>
      </c>
      <c r="B381" s="86" t="str">
        <f>TiposLancamentos!B2</f>
        <v>Telefonia</v>
      </c>
      <c r="C381" s="52" t="s">
        <v>14230</v>
      </c>
      <c r="D381" s="63"/>
      <c r="E381" s="98">
        <v>3.16</v>
      </c>
    </row>
    <row r="382" spans="1:5">
      <c r="A382" s="75">
        <v>37305</v>
      </c>
      <c r="B382" s="86" t="str">
        <f>TiposLancamentos!B20</f>
        <v>Saques</v>
      </c>
      <c r="C382" s="52" t="s">
        <v>1706</v>
      </c>
      <c r="D382" s="63"/>
      <c r="E382" s="98">
        <v>15</v>
      </c>
    </row>
    <row r="383" spans="1:5">
      <c r="A383" s="75">
        <v>37305</v>
      </c>
      <c r="B383" s="86" t="str">
        <f>TiposLancamentos!B2</f>
        <v>Telefonia</v>
      </c>
      <c r="C383" s="52" t="s">
        <v>14417</v>
      </c>
      <c r="D383" s="63"/>
      <c r="E383" s="98">
        <v>20.010000000000002</v>
      </c>
    </row>
    <row r="384" spans="1:5">
      <c r="A384" s="75">
        <v>37306</v>
      </c>
      <c r="B384" s="86" t="str">
        <f>TiposLancamentos!B20</f>
        <v>Saques</v>
      </c>
      <c r="C384" s="52" t="s">
        <v>1706</v>
      </c>
      <c r="D384" s="63"/>
      <c r="E384" s="98">
        <v>16</v>
      </c>
    </row>
    <row r="385" spans="1:5">
      <c r="A385" s="75">
        <v>37307</v>
      </c>
      <c r="B385" s="86" t="str">
        <f>TiposLancamentos!B73</f>
        <v>Cursos</v>
      </c>
      <c r="C385" s="52" t="s">
        <v>16029</v>
      </c>
      <c r="D385" s="63"/>
      <c r="E385" s="98">
        <v>17</v>
      </c>
    </row>
    <row r="386" spans="1:5">
      <c r="A386" s="75">
        <v>37309</v>
      </c>
      <c r="B386" s="86" t="str">
        <f>TiposLancamentos!B19</f>
        <v>Restaurantes</v>
      </c>
      <c r="C386" s="52" t="s">
        <v>16030</v>
      </c>
      <c r="D386" s="63"/>
      <c r="E386" s="98">
        <v>8.5</v>
      </c>
    </row>
    <row r="387" spans="1:5">
      <c r="A387" s="75">
        <v>37309</v>
      </c>
      <c r="B387" s="86" t="str">
        <f>TiposLancamentos!B4</f>
        <v>Taxas Bancarias</v>
      </c>
      <c r="C387" s="52" t="s">
        <v>5065</v>
      </c>
      <c r="D387" s="63"/>
      <c r="E387" s="98">
        <v>1.36</v>
      </c>
    </row>
    <row r="388" spans="1:5">
      <c r="A388" s="75">
        <v>37311</v>
      </c>
      <c r="B388" s="86" t="str">
        <f>TiposLancamentos!B19</f>
        <v>Restaurantes</v>
      </c>
      <c r="C388" s="52" t="s">
        <v>16031</v>
      </c>
      <c r="D388" s="63"/>
      <c r="E388" s="98">
        <v>7.6</v>
      </c>
    </row>
    <row r="389" spans="1:5">
      <c r="A389" s="75">
        <v>37312</v>
      </c>
      <c r="B389" s="86" t="str">
        <f>TiposLancamentos!B20</f>
        <v>Saques</v>
      </c>
      <c r="C389" s="52" t="s">
        <v>1706</v>
      </c>
      <c r="D389" s="63"/>
      <c r="E389" s="98">
        <v>30</v>
      </c>
    </row>
    <row r="390" spans="1:5">
      <c r="A390" s="75">
        <v>37312</v>
      </c>
      <c r="B390" s="86" t="str">
        <f>TiposLancamentos!B8</f>
        <v>Aluguel</v>
      </c>
      <c r="C390" s="52" t="s">
        <v>16032</v>
      </c>
      <c r="D390" s="63"/>
      <c r="E390" s="98">
        <v>236.15</v>
      </c>
    </row>
    <row r="391" spans="1:5">
      <c r="A391" s="75">
        <v>37312</v>
      </c>
      <c r="B391" s="86" t="str">
        <f>TiposLancamentos!B20</f>
        <v>Saques</v>
      </c>
      <c r="C391" s="52" t="s">
        <v>2668</v>
      </c>
      <c r="D391" s="63"/>
      <c r="E391" s="98">
        <v>5</v>
      </c>
    </row>
    <row r="392" spans="1:5">
      <c r="A392" s="75">
        <v>37314</v>
      </c>
      <c r="B392" s="86" t="str">
        <f>TiposLancamentos!B20</f>
        <v>Saques</v>
      </c>
      <c r="C392" s="52" t="s">
        <v>2668</v>
      </c>
      <c r="D392" s="63"/>
      <c r="E392" s="98">
        <v>10</v>
      </c>
    </row>
    <row r="393" spans="1:5">
      <c r="A393" s="75">
        <v>37315</v>
      </c>
      <c r="B393" s="86" t="str">
        <f>TiposLancamentos!B95</f>
        <v>Salarios</v>
      </c>
      <c r="C393" s="52" t="s">
        <v>14165</v>
      </c>
      <c r="D393" s="63">
        <v>625.29</v>
      </c>
      <c r="E393" s="98"/>
    </row>
    <row r="394" spans="1:5">
      <c r="A394" s="75">
        <v>37315</v>
      </c>
      <c r="B394" s="86" t="str">
        <f>TiposLancamentos!B19</f>
        <v>Restaurantes</v>
      </c>
      <c r="C394" s="52" t="s">
        <v>16033</v>
      </c>
      <c r="D394" s="85"/>
      <c r="E394" s="97">
        <v>9.6</v>
      </c>
    </row>
    <row r="395" spans="1:5">
      <c r="A395" s="83"/>
      <c r="B395" s="91"/>
      <c r="C395" s="43" t="s">
        <v>16034</v>
      </c>
      <c r="D395" s="93"/>
      <c r="E395" s="94"/>
    </row>
    <row r="396" spans="1:5">
      <c r="A396" s="75">
        <v>37316</v>
      </c>
      <c r="B396" s="86" t="str">
        <f>TiposLancamentos!B6</f>
        <v>Energia Eletrica</v>
      </c>
      <c r="C396" s="52" t="s">
        <v>16022</v>
      </c>
      <c r="D396" s="63"/>
      <c r="E396" s="98">
        <v>19.010000000000002</v>
      </c>
    </row>
    <row r="397" spans="1:5">
      <c r="A397" s="75">
        <v>37316</v>
      </c>
      <c r="B397" s="86" t="str">
        <f>TiposLancamentos!B2</f>
        <v>Telefonia</v>
      </c>
      <c r="C397" s="52" t="s">
        <v>2515</v>
      </c>
      <c r="D397" s="63"/>
      <c r="E397" s="98">
        <v>80.849999999999994</v>
      </c>
    </row>
    <row r="398" spans="1:5">
      <c r="A398" s="75">
        <v>37316</v>
      </c>
      <c r="B398" s="86" t="str">
        <f>TiposLancamentos!B20</f>
        <v>Saques</v>
      </c>
      <c r="C398" s="52" t="s">
        <v>2668</v>
      </c>
      <c r="D398" s="63"/>
      <c r="E398" s="98">
        <v>10</v>
      </c>
    </row>
    <row r="399" spans="1:5">
      <c r="A399" s="75">
        <v>37316</v>
      </c>
      <c r="B399" s="86" t="str">
        <f>TiposLancamentos!B4</f>
        <v>Taxas Bancarias</v>
      </c>
      <c r="C399" s="52" t="s">
        <v>16015</v>
      </c>
      <c r="D399" s="63"/>
      <c r="E399" s="98">
        <v>0.28999999999999998</v>
      </c>
    </row>
    <row r="400" spans="1:5">
      <c r="A400" s="75">
        <v>37316</v>
      </c>
      <c r="B400" s="86" t="str">
        <f>TiposLancamentos!B4</f>
        <v>Taxas Bancarias</v>
      </c>
      <c r="C400" s="52" t="s">
        <v>5065</v>
      </c>
      <c r="D400" s="63"/>
      <c r="E400" s="98">
        <v>1.1599999999999999</v>
      </c>
    </row>
    <row r="401" spans="1:5">
      <c r="A401" s="75">
        <v>37316</v>
      </c>
      <c r="B401" s="86" t="str">
        <f>TiposLancamentos!B73</f>
        <v>Cursos</v>
      </c>
      <c r="C401" s="52" t="s">
        <v>15986</v>
      </c>
      <c r="D401" s="63"/>
      <c r="E401" s="98">
        <v>508.4</v>
      </c>
    </row>
    <row r="402" spans="1:5">
      <c r="A402" s="75">
        <v>37318</v>
      </c>
      <c r="B402" s="86" t="str">
        <f>TiposLancamentos!B25</f>
        <v>CD_DVD_BD</v>
      </c>
      <c r="C402" s="52" t="s">
        <v>16035</v>
      </c>
      <c r="D402" s="63"/>
      <c r="E402" s="98">
        <v>51</v>
      </c>
    </row>
    <row r="403" spans="1:5">
      <c r="A403" s="75">
        <v>37318</v>
      </c>
      <c r="B403" s="86" t="str">
        <f>TiposLancamentos!B20</f>
        <v>Saques</v>
      </c>
      <c r="C403" s="52" t="s">
        <v>2668</v>
      </c>
      <c r="D403" s="63"/>
      <c r="E403" s="98">
        <v>20</v>
      </c>
    </row>
    <row r="404" spans="1:5">
      <c r="A404" s="75">
        <v>37319</v>
      </c>
      <c r="B404" s="86" t="str">
        <f>TiposLancamentos!B9</f>
        <v>Condominio</v>
      </c>
      <c r="C404" s="52" t="s">
        <v>1684</v>
      </c>
      <c r="D404" s="63"/>
      <c r="E404" s="98">
        <v>170.36</v>
      </c>
    </row>
    <row r="405" spans="1:5">
      <c r="A405" s="75">
        <v>37319</v>
      </c>
      <c r="B405" s="86" t="str">
        <f>TiposLancamentos!B97</f>
        <v>Deposito Terc.</v>
      </c>
      <c r="C405" s="52" t="s">
        <v>16036</v>
      </c>
      <c r="D405" s="63">
        <v>510</v>
      </c>
      <c r="E405" s="98"/>
    </row>
    <row r="406" spans="1:5">
      <c r="A406" s="75">
        <v>37320</v>
      </c>
      <c r="B406" s="86" t="str">
        <f>TiposLancamentos!B90</f>
        <v>Locadora</v>
      </c>
      <c r="C406" s="52" t="s">
        <v>16037</v>
      </c>
      <c r="D406" s="63"/>
      <c r="E406" s="98">
        <v>9</v>
      </c>
    </row>
    <row r="407" spans="1:5">
      <c r="A407" s="75">
        <v>37322</v>
      </c>
      <c r="B407" s="86" t="str">
        <f>TiposLancamentos!B90</f>
        <v>Locadora</v>
      </c>
      <c r="C407" s="52" t="s">
        <v>16038</v>
      </c>
      <c r="D407" s="63"/>
      <c r="E407" s="98">
        <v>4.5</v>
      </c>
    </row>
    <row r="408" spans="1:5">
      <c r="A408" s="75">
        <v>37322</v>
      </c>
      <c r="B408" s="86" t="str">
        <f>TiposLancamentos!B70</f>
        <v>Vestuário</v>
      </c>
      <c r="C408" s="52" t="s">
        <v>16039</v>
      </c>
      <c r="D408" s="63"/>
      <c r="E408" s="98">
        <v>13</v>
      </c>
    </row>
    <row r="409" spans="1:5">
      <c r="A409" s="75">
        <v>37323</v>
      </c>
      <c r="B409" s="86" t="str">
        <f>TiposLancamentos!B4</f>
        <v>Taxas Bancarias</v>
      </c>
      <c r="C409" s="52" t="s">
        <v>5065</v>
      </c>
      <c r="D409" s="63"/>
      <c r="E409" s="98">
        <v>3.49</v>
      </c>
    </row>
    <row r="410" spans="1:5">
      <c r="A410" s="75">
        <v>37324</v>
      </c>
      <c r="B410" s="86" t="str">
        <f>TiposLancamentos!B19</f>
        <v>Restaurantes</v>
      </c>
      <c r="C410" s="52" t="s">
        <v>16040</v>
      </c>
      <c r="D410" s="63"/>
      <c r="E410" s="98">
        <v>5.4</v>
      </c>
    </row>
    <row r="411" spans="1:5">
      <c r="A411" s="75">
        <v>37324</v>
      </c>
      <c r="B411" s="86" t="str">
        <f>TiposLancamentos!B64</f>
        <v>Viagens</v>
      </c>
      <c r="C411" s="52" t="s">
        <v>16041</v>
      </c>
      <c r="D411" s="63"/>
      <c r="E411" s="98">
        <v>15</v>
      </c>
    </row>
    <row r="412" spans="1:5">
      <c r="A412" s="75">
        <v>37324</v>
      </c>
      <c r="B412" s="86" t="str">
        <f>TiposLancamentos!B64</f>
        <v>Viagens</v>
      </c>
      <c r="C412" s="52" t="s">
        <v>16042</v>
      </c>
      <c r="D412" s="63"/>
      <c r="E412" s="98">
        <v>14.19</v>
      </c>
    </row>
    <row r="413" spans="1:5">
      <c r="A413" s="75">
        <v>37325</v>
      </c>
      <c r="B413" s="86" t="str">
        <f>TiposLancamentos!B4</f>
        <v>Taxas Bancarias</v>
      </c>
      <c r="C413" s="52" t="s">
        <v>15915</v>
      </c>
      <c r="D413" s="63"/>
      <c r="E413" s="98">
        <v>14</v>
      </c>
    </row>
    <row r="414" spans="1:5">
      <c r="A414" s="75">
        <v>37327</v>
      </c>
      <c r="B414" s="86" t="str">
        <f>TiposLancamentos!B19</f>
        <v>Restaurantes</v>
      </c>
      <c r="C414" s="52" t="s">
        <v>16043</v>
      </c>
      <c r="D414" s="63"/>
      <c r="E414" s="98">
        <v>14.21</v>
      </c>
    </row>
    <row r="415" spans="1:5">
      <c r="A415" s="75">
        <v>37329</v>
      </c>
      <c r="B415" s="86" t="str">
        <f>TiposLancamentos!B19</f>
        <v>Restaurantes</v>
      </c>
      <c r="C415" s="52" t="s">
        <v>16044</v>
      </c>
      <c r="D415" s="63"/>
      <c r="E415" s="98">
        <v>12.78</v>
      </c>
    </row>
    <row r="416" spans="1:5">
      <c r="A416" s="75">
        <v>37330</v>
      </c>
      <c r="B416" s="86" t="str">
        <f>TiposLancamentos!B13</f>
        <v>Moradia</v>
      </c>
      <c r="C416" s="52" t="s">
        <v>12775</v>
      </c>
      <c r="D416" s="63"/>
      <c r="E416" s="98">
        <v>33.630000000000003</v>
      </c>
    </row>
    <row r="417" spans="1:5">
      <c r="A417" s="75">
        <v>37330</v>
      </c>
      <c r="B417" s="86" t="str">
        <f>TiposLancamentos!B15</f>
        <v>Cartões de Crédito</v>
      </c>
      <c r="C417" s="3" t="s">
        <v>5142</v>
      </c>
      <c r="D417" s="63"/>
      <c r="E417" s="98">
        <v>134.88</v>
      </c>
    </row>
    <row r="418" spans="1:5">
      <c r="A418" s="75">
        <v>37330</v>
      </c>
      <c r="B418" s="86" t="str">
        <f>TiposLancamentos!B79</f>
        <v>Financiamento Banco</v>
      </c>
      <c r="C418" s="52" t="s">
        <v>16045</v>
      </c>
      <c r="D418" s="63"/>
      <c r="E418" s="98">
        <v>72.48</v>
      </c>
    </row>
    <row r="419" spans="1:5">
      <c r="A419" s="75">
        <v>37330</v>
      </c>
      <c r="B419" s="86" t="str">
        <f>TiposLancamentos!B95</f>
        <v>Salarios</v>
      </c>
      <c r="C419" s="52" t="s">
        <v>14165</v>
      </c>
      <c r="D419" s="63">
        <v>579.6</v>
      </c>
      <c r="E419" s="98"/>
    </row>
    <row r="420" spans="1:5">
      <c r="A420" s="75">
        <v>37330</v>
      </c>
      <c r="B420" s="86" t="str">
        <f>TiposLancamentos!B2</f>
        <v>Telefonia</v>
      </c>
      <c r="C420" s="52" t="s">
        <v>14230</v>
      </c>
      <c r="D420" s="63"/>
      <c r="E420" s="98">
        <v>3.34</v>
      </c>
    </row>
    <row r="421" spans="1:5">
      <c r="A421" s="75">
        <v>37330</v>
      </c>
      <c r="B421" s="86" t="str">
        <f>TiposLancamentos!B2</f>
        <v>Telefonia</v>
      </c>
      <c r="C421" s="52" t="s">
        <v>2515</v>
      </c>
      <c r="D421" s="63"/>
      <c r="E421" s="98">
        <v>66.44</v>
      </c>
    </row>
    <row r="422" spans="1:5">
      <c r="A422" s="75">
        <v>37330</v>
      </c>
      <c r="B422" s="86" t="str">
        <f>TiposLancamentos!B2</f>
        <v>Telefonia</v>
      </c>
      <c r="C422" s="52" t="s">
        <v>14417</v>
      </c>
      <c r="D422" s="63"/>
      <c r="E422" s="98">
        <v>100.64</v>
      </c>
    </row>
    <row r="423" spans="1:5">
      <c r="A423" s="75">
        <v>37330</v>
      </c>
      <c r="B423" s="86" t="str">
        <f>TiposLancamentos!B19</f>
        <v>Restaurantes</v>
      </c>
      <c r="C423" s="52" t="s">
        <v>16046</v>
      </c>
      <c r="D423" s="63"/>
      <c r="E423" s="98">
        <v>4.9000000000000004</v>
      </c>
    </row>
    <row r="424" spans="1:5">
      <c r="A424" s="75">
        <v>37330</v>
      </c>
      <c r="B424" s="86" t="str">
        <f>TiposLancamentos!B90</f>
        <v>Locadora</v>
      </c>
      <c r="C424" s="52" t="s">
        <v>16047</v>
      </c>
      <c r="D424" s="63"/>
      <c r="E424" s="98">
        <v>4.5</v>
      </c>
    </row>
    <row r="425" spans="1:5">
      <c r="A425" s="75">
        <v>37330</v>
      </c>
      <c r="B425" s="86" t="str">
        <f>TiposLancamentos!B4</f>
        <v>Taxas Bancarias</v>
      </c>
      <c r="C425" s="52" t="s">
        <v>5065</v>
      </c>
      <c r="D425" s="63"/>
      <c r="E425" s="98">
        <v>0.19</v>
      </c>
    </row>
    <row r="426" spans="1:5">
      <c r="A426" s="75">
        <v>37331</v>
      </c>
      <c r="B426" s="86" t="str">
        <f>TiposLancamentos!B19</f>
        <v>Restaurantes</v>
      </c>
      <c r="C426" s="52" t="s">
        <v>16048</v>
      </c>
      <c r="D426" s="63"/>
      <c r="E426" s="98">
        <v>10.4</v>
      </c>
    </row>
    <row r="427" spans="1:5">
      <c r="A427" s="75">
        <v>37331</v>
      </c>
      <c r="B427" s="86" t="str">
        <f>TiposLancamentos!B20</f>
        <v>Saques</v>
      </c>
      <c r="C427" s="52" t="s">
        <v>2668</v>
      </c>
      <c r="D427" s="63"/>
      <c r="E427" s="98">
        <v>20</v>
      </c>
    </row>
    <row r="428" spans="1:5">
      <c r="A428" s="75">
        <v>37331</v>
      </c>
      <c r="B428" s="86" t="str">
        <f>TiposLancamentos!B70</f>
        <v>Vestuário</v>
      </c>
      <c r="C428" s="52" t="s">
        <v>16049</v>
      </c>
      <c r="D428" s="63"/>
      <c r="E428" s="98">
        <v>19.899999999999999</v>
      </c>
    </row>
    <row r="429" spans="1:5">
      <c r="A429" s="75">
        <v>37334</v>
      </c>
      <c r="B429" s="86" t="str">
        <f>TiposLancamentos!B2</f>
        <v>Telefonia</v>
      </c>
      <c r="C429" s="52" t="s">
        <v>16050</v>
      </c>
      <c r="D429" s="63"/>
      <c r="E429" s="98">
        <v>30</v>
      </c>
    </row>
    <row r="430" spans="1:5">
      <c r="A430" s="75">
        <v>37334</v>
      </c>
      <c r="B430" s="86" t="str">
        <f>TiposLancamentos!B66</f>
        <v>Faxineira</v>
      </c>
      <c r="C430" s="52" t="s">
        <v>16051</v>
      </c>
      <c r="D430" s="63"/>
      <c r="E430" s="98">
        <v>25</v>
      </c>
    </row>
    <row r="431" spans="1:5">
      <c r="A431" s="75">
        <v>37334</v>
      </c>
      <c r="B431" s="86" t="str">
        <f>TiposLancamentos!B19</f>
        <v>Restaurantes</v>
      </c>
      <c r="C431" s="52" t="s">
        <v>16052</v>
      </c>
      <c r="D431" s="63"/>
      <c r="E431" s="98">
        <v>8.6300000000000008</v>
      </c>
    </row>
    <row r="432" spans="1:5">
      <c r="A432" s="75">
        <v>37334</v>
      </c>
      <c r="B432" s="86" t="str">
        <f>TiposLancamentos!B4</f>
        <v>Taxas Bancarias</v>
      </c>
      <c r="C432" s="52" t="s">
        <v>16053</v>
      </c>
      <c r="D432" s="63"/>
      <c r="E432" s="98">
        <v>4.5</v>
      </c>
    </row>
    <row r="433" spans="1:5">
      <c r="A433" s="75">
        <v>37337</v>
      </c>
      <c r="B433" s="86" t="str">
        <f>TiposLancamentos!B77</f>
        <v>Esporádico</v>
      </c>
      <c r="C433" s="52" t="s">
        <v>16054</v>
      </c>
      <c r="D433" s="63">
        <v>8.6300000000000008</v>
      </c>
      <c r="E433" s="98"/>
    </row>
    <row r="434" spans="1:5">
      <c r="A434" s="75">
        <v>37337</v>
      </c>
      <c r="B434" s="86" t="str">
        <f>TiposLancamentos!B4</f>
        <v>Taxas Bancarias</v>
      </c>
      <c r="C434" s="52" t="s">
        <v>5065</v>
      </c>
      <c r="D434" s="63"/>
      <c r="E434" s="98">
        <v>2.21</v>
      </c>
    </row>
    <row r="435" spans="1:5">
      <c r="A435" s="75">
        <v>37337</v>
      </c>
      <c r="B435" s="86" t="str">
        <f>TiposLancamentos!B4</f>
        <v>Taxas Bancarias</v>
      </c>
      <c r="C435" s="52" t="s">
        <v>16055</v>
      </c>
      <c r="D435" s="63"/>
      <c r="E435" s="98">
        <v>0.35</v>
      </c>
    </row>
    <row r="436" spans="1:5">
      <c r="A436" s="75">
        <v>37337</v>
      </c>
      <c r="B436" s="86" t="str">
        <f>TiposLancamentos!B13</f>
        <v>Moradia</v>
      </c>
      <c r="C436" s="52" t="s">
        <v>12778</v>
      </c>
      <c r="D436" s="63"/>
      <c r="E436" s="98">
        <v>66</v>
      </c>
    </row>
    <row r="437" spans="1:5">
      <c r="A437" s="75">
        <v>37338</v>
      </c>
      <c r="B437" s="86" t="str">
        <f>TiposLancamentos!B19</f>
        <v>Restaurantes</v>
      </c>
      <c r="C437" s="52" t="s">
        <v>16056</v>
      </c>
      <c r="D437" s="63"/>
      <c r="E437" s="98">
        <v>6.2</v>
      </c>
    </row>
    <row r="438" spans="1:5">
      <c r="A438" s="75">
        <v>37338</v>
      </c>
      <c r="B438" s="86" t="str">
        <f>TiposLancamentos!B73</f>
        <v>Cursos</v>
      </c>
      <c r="C438" s="52" t="s">
        <v>16057</v>
      </c>
      <c r="D438" s="63"/>
      <c r="E438" s="98">
        <v>8.1999999999999993</v>
      </c>
    </row>
    <row r="439" spans="1:5">
      <c r="A439" s="75">
        <v>37338</v>
      </c>
      <c r="B439" s="86" t="str">
        <f>TiposLancamentos!B19</f>
        <v>Restaurantes</v>
      </c>
      <c r="C439" s="52" t="s">
        <v>16058</v>
      </c>
      <c r="D439" s="63"/>
      <c r="E439" s="98">
        <v>7.4</v>
      </c>
    </row>
    <row r="440" spans="1:5">
      <c r="A440" s="75">
        <v>37339</v>
      </c>
      <c r="B440" s="86" t="str">
        <f>TiposLancamentos!B19</f>
        <v>Restaurantes</v>
      </c>
      <c r="C440" s="52" t="s">
        <v>16059</v>
      </c>
      <c r="D440" s="63"/>
      <c r="E440" s="98">
        <v>20</v>
      </c>
    </row>
    <row r="441" spans="1:5">
      <c r="A441" s="75">
        <v>37340</v>
      </c>
      <c r="B441" s="86" t="str">
        <f>TiposLancamentos!B8</f>
        <v>Aluguel</v>
      </c>
      <c r="C441" s="52" t="s">
        <v>16060</v>
      </c>
      <c r="D441" s="63"/>
      <c r="E441" s="98">
        <v>240.78</v>
      </c>
    </row>
    <row r="442" spans="1:5">
      <c r="A442" s="75">
        <v>37341</v>
      </c>
      <c r="B442" s="86" t="str">
        <f>TiposLancamentos!B90</f>
        <v>Locadora</v>
      </c>
      <c r="C442" s="52" t="s">
        <v>16061</v>
      </c>
      <c r="D442" s="63"/>
      <c r="E442" s="98">
        <v>6</v>
      </c>
    </row>
    <row r="443" spans="1:5">
      <c r="A443" s="75">
        <v>37341</v>
      </c>
      <c r="B443" s="86" t="str">
        <f>TiposLancamentos!B64</f>
        <v>Viagens</v>
      </c>
      <c r="C443" s="52" t="s">
        <v>16062</v>
      </c>
      <c r="D443" s="63"/>
      <c r="E443" s="98">
        <v>32.700000000000003</v>
      </c>
    </row>
    <row r="444" spans="1:5">
      <c r="A444" s="75">
        <v>37341</v>
      </c>
      <c r="B444" s="86" t="str">
        <f>TiposLancamentos!B19</f>
        <v>Restaurantes</v>
      </c>
      <c r="C444" s="52" t="s">
        <v>16063</v>
      </c>
      <c r="D444" s="63"/>
      <c r="E444" s="98">
        <v>8.3000000000000007</v>
      </c>
    </row>
    <row r="445" spans="1:5">
      <c r="A445" s="75">
        <v>37342</v>
      </c>
      <c r="B445" s="86" t="str">
        <f>TiposLancamentos!B19</f>
        <v>Restaurantes</v>
      </c>
      <c r="C445" s="52" t="s">
        <v>16064</v>
      </c>
      <c r="D445" s="63"/>
      <c r="E445" s="98">
        <v>19.2</v>
      </c>
    </row>
    <row r="446" spans="1:5">
      <c r="A446" s="75">
        <v>37342</v>
      </c>
      <c r="B446" s="86" t="str">
        <f>TiposLancamentos!B98</f>
        <v>Restituições</v>
      </c>
      <c r="C446" s="52" t="s">
        <v>16065</v>
      </c>
      <c r="D446" s="63">
        <v>240.78</v>
      </c>
      <c r="E446" s="98"/>
    </row>
    <row r="447" spans="1:5">
      <c r="A447" s="75">
        <v>37343</v>
      </c>
      <c r="B447" s="86" t="str">
        <f>TiposLancamentos!B95</f>
        <v>Salarios</v>
      </c>
      <c r="C447" s="52" t="s">
        <v>14165</v>
      </c>
      <c r="D447" s="63">
        <v>575.19000000000005</v>
      </c>
      <c r="E447" s="98"/>
    </row>
    <row r="448" spans="1:5">
      <c r="A448" s="75">
        <v>37343</v>
      </c>
      <c r="B448" s="86" t="str">
        <f>TiposLancamentos!B6</f>
        <v>Energia Eletrica</v>
      </c>
      <c r="C448" s="52" t="s">
        <v>16022</v>
      </c>
      <c r="D448" s="63"/>
      <c r="E448" s="98">
        <v>15.44</v>
      </c>
    </row>
    <row r="449" spans="1:5">
      <c r="A449" s="75">
        <v>37343</v>
      </c>
      <c r="B449" s="86" t="str">
        <f>TiposLancamentos!B64</f>
        <v>Viagens</v>
      </c>
      <c r="C449" s="52" t="s">
        <v>16066</v>
      </c>
      <c r="D449" s="63"/>
      <c r="E449" s="98">
        <v>60</v>
      </c>
    </row>
    <row r="450" spans="1:5">
      <c r="A450" s="75">
        <v>37343</v>
      </c>
      <c r="B450" s="86" t="str">
        <f>TiposLancamentos!B98</f>
        <v>Restituições</v>
      </c>
      <c r="C450" s="52" t="s">
        <v>16067</v>
      </c>
      <c r="D450" s="63">
        <v>6</v>
      </c>
      <c r="E450" s="98"/>
    </row>
    <row r="451" spans="1:5">
      <c r="A451" s="79">
        <v>37343</v>
      </c>
      <c r="B451" s="95" t="str">
        <f>TiposLancamentos!B4</f>
        <v>Taxas Bancarias</v>
      </c>
      <c r="C451" s="477" t="s">
        <v>5065</v>
      </c>
      <c r="D451" s="85"/>
      <c r="E451" s="97">
        <v>0.32</v>
      </c>
    </row>
    <row r="452" spans="1:5">
      <c r="A452" s="83"/>
      <c r="B452" s="91"/>
      <c r="C452" s="43" t="s">
        <v>12779</v>
      </c>
      <c r="D452" s="93"/>
      <c r="E452" s="94"/>
    </row>
    <row r="453" spans="1:5">
      <c r="A453" s="75">
        <v>37347</v>
      </c>
      <c r="B453" s="86" t="str">
        <f>TiposLancamentos!B9</f>
        <v>Condominio</v>
      </c>
      <c r="C453" s="52" t="s">
        <v>5925</v>
      </c>
      <c r="D453" s="63"/>
      <c r="E453" s="98">
        <v>171.07</v>
      </c>
    </row>
    <row r="454" spans="1:5">
      <c r="A454" s="75">
        <v>37347</v>
      </c>
      <c r="B454" s="86" t="str">
        <f>TiposLancamentos!B4</f>
        <v>Taxas Bancarias</v>
      </c>
      <c r="C454" s="52" t="s">
        <v>16068</v>
      </c>
      <c r="D454" s="63"/>
      <c r="E454" s="98">
        <v>1.5</v>
      </c>
    </row>
    <row r="455" spans="1:5">
      <c r="A455" s="75">
        <v>37347</v>
      </c>
      <c r="B455" s="86" t="str">
        <f>TiposLancamentos!B19</f>
        <v>Restaurantes</v>
      </c>
      <c r="C455" s="3" t="s">
        <v>16069</v>
      </c>
      <c r="D455" s="63"/>
      <c r="E455" s="98">
        <v>25</v>
      </c>
    </row>
    <row r="456" spans="1:5">
      <c r="A456" s="75">
        <v>37348</v>
      </c>
      <c r="B456" s="86" t="str">
        <f>TiposLancamentos!B90</f>
        <v>Locadora</v>
      </c>
      <c r="C456" s="3" t="s">
        <v>16070</v>
      </c>
      <c r="D456" s="63"/>
      <c r="E456" s="98">
        <v>6</v>
      </c>
    </row>
    <row r="457" spans="1:5">
      <c r="A457" s="75">
        <v>37351</v>
      </c>
      <c r="B457" s="86" t="str">
        <f>TiposLancamentos!B4</f>
        <v>Taxas Bancarias</v>
      </c>
      <c r="C457" s="3" t="s">
        <v>5065</v>
      </c>
      <c r="D457" s="63"/>
      <c r="E457" s="98">
        <v>1.41</v>
      </c>
    </row>
    <row r="458" spans="1:5">
      <c r="A458" s="75">
        <v>37351</v>
      </c>
      <c r="B458" s="86" t="str">
        <f>TiposLancamentos!B20</f>
        <v>Saques</v>
      </c>
      <c r="C458" s="3" t="s">
        <v>2668</v>
      </c>
      <c r="D458" s="63"/>
      <c r="E458" s="98">
        <v>10</v>
      </c>
    </row>
    <row r="459" spans="1:5">
      <c r="A459" s="75">
        <v>37353</v>
      </c>
      <c r="B459" s="86" t="str">
        <f>TiposLancamentos!B20</f>
        <v>Saques</v>
      </c>
      <c r="C459" s="3" t="s">
        <v>2668</v>
      </c>
      <c r="D459" s="63"/>
      <c r="E459" s="98">
        <v>10</v>
      </c>
    </row>
    <row r="460" spans="1:5">
      <c r="A460" s="75">
        <v>37353</v>
      </c>
      <c r="B460" s="86" t="str">
        <f>TiposLancamentos!B19</f>
        <v>Restaurantes</v>
      </c>
      <c r="C460" s="3" t="s">
        <v>16071</v>
      </c>
      <c r="D460" s="63"/>
      <c r="E460" s="98">
        <v>10.7</v>
      </c>
    </row>
    <row r="461" spans="1:5">
      <c r="A461" s="75">
        <v>37354</v>
      </c>
      <c r="B461" s="86" t="str">
        <f>TiposLancamentos!B90</f>
        <v>Locadora</v>
      </c>
      <c r="C461" s="3" t="s">
        <v>14202</v>
      </c>
      <c r="D461" s="63"/>
      <c r="E461" s="98">
        <v>10</v>
      </c>
    </row>
    <row r="462" spans="1:5">
      <c r="A462" s="75">
        <v>37356</v>
      </c>
      <c r="B462" s="86" t="str">
        <f>TiposLancamentos!B20</f>
        <v>Saques</v>
      </c>
      <c r="C462" s="3" t="s">
        <v>2668</v>
      </c>
      <c r="D462" s="63"/>
      <c r="E462" s="98">
        <v>10</v>
      </c>
    </row>
    <row r="463" spans="1:5">
      <c r="A463" s="75">
        <v>37358</v>
      </c>
      <c r="B463" s="86" t="str">
        <f>TiposLancamentos!B8</f>
        <v>Aluguel</v>
      </c>
      <c r="C463" s="3" t="s">
        <v>16072</v>
      </c>
      <c r="D463" s="63"/>
      <c r="E463" s="98">
        <v>253</v>
      </c>
    </row>
    <row r="464" spans="1:5">
      <c r="A464" s="75">
        <v>37358</v>
      </c>
      <c r="B464" s="86" t="str">
        <f>TiposLancamentos!B20</f>
        <v>Saques</v>
      </c>
      <c r="C464" s="3" t="s">
        <v>2655</v>
      </c>
      <c r="D464" s="63"/>
      <c r="E464" s="98">
        <v>20</v>
      </c>
    </row>
    <row r="465" spans="1:5">
      <c r="A465" s="75">
        <v>37358</v>
      </c>
      <c r="B465" s="86" t="str">
        <f>TiposLancamentos!B4</f>
        <v>Taxas Bancarias</v>
      </c>
      <c r="C465" s="3" t="s">
        <v>5065</v>
      </c>
      <c r="D465" s="63"/>
      <c r="E465" s="98">
        <v>0.12</v>
      </c>
    </row>
    <row r="466" spans="1:5">
      <c r="A466" s="75">
        <v>37361</v>
      </c>
      <c r="B466" s="86" t="str">
        <f>TiposLancamentos!B95</f>
        <v>Salarios</v>
      </c>
      <c r="C466" s="3" t="s">
        <v>14182</v>
      </c>
      <c r="D466" s="63">
        <v>579.6</v>
      </c>
      <c r="E466" s="98"/>
    </row>
    <row r="467" spans="1:5">
      <c r="A467" s="75">
        <v>37361</v>
      </c>
      <c r="B467" s="86" t="str">
        <f>TiposLancamentos!B15</f>
        <v>Cartões de Crédito</v>
      </c>
      <c r="C467" s="3" t="s">
        <v>5142</v>
      </c>
      <c r="D467" s="63"/>
      <c r="E467" s="98">
        <v>99.53</v>
      </c>
    </row>
    <row r="468" spans="1:5">
      <c r="A468" s="75">
        <v>37361</v>
      </c>
      <c r="B468" s="86" t="str">
        <f>TiposLancamentos!B79</f>
        <v>Financiamento Banco</v>
      </c>
      <c r="C468" s="3" t="s">
        <v>16073</v>
      </c>
      <c r="D468" s="63"/>
      <c r="E468" s="98">
        <v>72.48</v>
      </c>
    </row>
    <row r="469" spans="1:5">
      <c r="A469" s="75">
        <v>37361</v>
      </c>
      <c r="B469" s="86" t="str">
        <f>TiposLancamentos!B2</f>
        <v>Telefonia</v>
      </c>
      <c r="C469" s="3" t="s">
        <v>2515</v>
      </c>
      <c r="D469" s="63"/>
      <c r="E469" s="98">
        <v>52.55</v>
      </c>
    </row>
    <row r="470" spans="1:5">
      <c r="A470" s="75">
        <v>37361</v>
      </c>
      <c r="B470" s="86" t="str">
        <f>TiposLancamentos!B2</f>
        <v>Telefonia</v>
      </c>
      <c r="C470" s="3" t="s">
        <v>14417</v>
      </c>
      <c r="D470" s="63"/>
      <c r="E470" s="98">
        <v>84.19</v>
      </c>
    </row>
    <row r="471" spans="1:5">
      <c r="A471" s="75">
        <v>37361</v>
      </c>
      <c r="B471" s="86" t="str">
        <f>TiposLancamentos!B2</f>
        <v>Telefonia</v>
      </c>
      <c r="C471" s="3" t="s">
        <v>14230</v>
      </c>
      <c r="D471" s="63"/>
      <c r="E471" s="98">
        <v>5.0999999999999996</v>
      </c>
    </row>
    <row r="472" spans="1:5">
      <c r="A472" s="75">
        <v>37361</v>
      </c>
      <c r="B472" s="86" t="str">
        <f>TiposLancamentos!B13</f>
        <v>Moradia</v>
      </c>
      <c r="C472" s="52" t="s">
        <v>12781</v>
      </c>
      <c r="D472" s="63"/>
      <c r="E472" s="98">
        <v>33.630000000000003</v>
      </c>
    </row>
    <row r="473" spans="1:5">
      <c r="A473" s="75">
        <v>37362</v>
      </c>
      <c r="B473" s="86" t="str">
        <f>TiposLancamentos!B19</f>
        <v>Restaurantes</v>
      </c>
      <c r="C473" s="3" t="s">
        <v>16074</v>
      </c>
      <c r="D473" s="63"/>
      <c r="E473" s="98">
        <v>9</v>
      </c>
    </row>
    <row r="474" spans="1:5">
      <c r="A474" s="75">
        <v>37365</v>
      </c>
      <c r="B474" s="86" t="str">
        <f>TiposLancamentos!B4</f>
        <v>Taxas Bancarias</v>
      </c>
      <c r="C474" s="3" t="s">
        <v>5065</v>
      </c>
      <c r="D474" s="63"/>
      <c r="E474" s="98">
        <v>2.39</v>
      </c>
    </row>
    <row r="475" spans="1:5">
      <c r="A475" s="75">
        <v>37365</v>
      </c>
      <c r="B475" s="86" t="str">
        <f>TiposLancamentos!B20</f>
        <v>Saques</v>
      </c>
      <c r="C475" s="3" t="s">
        <v>2655</v>
      </c>
      <c r="D475" s="63"/>
      <c r="E475" s="98">
        <v>27</v>
      </c>
    </row>
    <row r="476" spans="1:5">
      <c r="A476" s="75">
        <v>37366</v>
      </c>
      <c r="B476" s="86" t="str">
        <f>TiposLancamentos!B66</f>
        <v>Faxineira</v>
      </c>
      <c r="C476" s="3" t="s">
        <v>16075</v>
      </c>
      <c r="D476" s="63"/>
      <c r="E476" s="98">
        <v>12.75</v>
      </c>
    </row>
    <row r="477" spans="1:5">
      <c r="A477" s="75">
        <v>37367</v>
      </c>
      <c r="B477" s="86" t="str">
        <f>TiposLancamentos!B19</f>
        <v>Restaurantes</v>
      </c>
      <c r="C477" s="3" t="s">
        <v>16076</v>
      </c>
      <c r="D477" s="63"/>
      <c r="E477" s="98">
        <v>7.05</v>
      </c>
    </row>
    <row r="478" spans="1:5">
      <c r="A478" s="75">
        <v>37368</v>
      </c>
      <c r="B478" s="86" t="str">
        <f>TiposLancamentos!B20</f>
        <v>Saques</v>
      </c>
      <c r="C478" s="3" t="s">
        <v>2668</v>
      </c>
      <c r="D478" s="63"/>
      <c r="E478" s="98">
        <v>10</v>
      </c>
    </row>
    <row r="479" spans="1:5">
      <c r="A479" s="75">
        <v>37368</v>
      </c>
      <c r="B479" s="86" t="str">
        <f>TiposLancamentos!B13</f>
        <v>Moradia</v>
      </c>
      <c r="C479" s="52" t="s">
        <v>12783</v>
      </c>
      <c r="D479" s="63"/>
      <c r="E479" s="98">
        <v>66</v>
      </c>
    </row>
    <row r="480" spans="1:5">
      <c r="A480" s="75">
        <v>37369</v>
      </c>
      <c r="B480" s="86" t="str">
        <f>TiposLancamentos!B20</f>
        <v>Saques</v>
      </c>
      <c r="C480" s="52" t="s">
        <v>2668</v>
      </c>
      <c r="D480" s="63"/>
      <c r="E480" s="98">
        <v>6</v>
      </c>
    </row>
    <row r="481" spans="1:5">
      <c r="A481" s="75">
        <v>37371</v>
      </c>
      <c r="B481" s="86" t="str">
        <f>TiposLancamentos!B8</f>
        <v>Aluguel</v>
      </c>
      <c r="C481" s="52" t="s">
        <v>16077</v>
      </c>
      <c r="D481" s="63"/>
      <c r="E481" s="98">
        <v>242.62</v>
      </c>
    </row>
    <row r="482" spans="1:5">
      <c r="A482" s="75">
        <v>37371</v>
      </c>
      <c r="B482" s="86" t="str">
        <f>TiposLancamentos!B64</f>
        <v>Viagens</v>
      </c>
      <c r="C482" s="52" t="s">
        <v>16078</v>
      </c>
      <c r="D482" s="63"/>
      <c r="E482" s="98">
        <v>65.7</v>
      </c>
    </row>
    <row r="483" spans="1:5">
      <c r="A483" s="75">
        <v>37372</v>
      </c>
      <c r="B483" s="86" t="str">
        <f>TiposLancamentos!B4</f>
        <v>Taxas Bancarias</v>
      </c>
      <c r="C483" s="52" t="s">
        <v>5065</v>
      </c>
      <c r="D483" s="63"/>
      <c r="E483" s="98">
        <v>0.52</v>
      </c>
    </row>
    <row r="484" spans="1:5">
      <c r="A484" s="75">
        <v>37373</v>
      </c>
      <c r="B484" s="86" t="str">
        <f>TiposLancamentos!B20</f>
        <v>Saques</v>
      </c>
      <c r="C484" s="52" t="s">
        <v>2668</v>
      </c>
      <c r="D484" s="63"/>
      <c r="E484" s="98">
        <v>30</v>
      </c>
    </row>
    <row r="485" spans="1:5">
      <c r="A485" s="75">
        <v>37376</v>
      </c>
      <c r="B485" s="86" t="str">
        <f>TiposLancamentos!B95</f>
        <v>Salarios</v>
      </c>
      <c r="C485" s="52" t="s">
        <v>14165</v>
      </c>
      <c r="D485" s="63">
        <v>619.89</v>
      </c>
      <c r="E485" s="98"/>
    </row>
    <row r="486" spans="1:5">
      <c r="A486" s="75">
        <v>37376</v>
      </c>
      <c r="B486" s="86" t="str">
        <f>TiposLancamentos!B6</f>
        <v>Energia Eletrica</v>
      </c>
      <c r="C486" s="52" t="s">
        <v>16022</v>
      </c>
      <c r="D486" s="63"/>
      <c r="E486" s="98">
        <v>15.47</v>
      </c>
    </row>
    <row r="487" spans="1:5">
      <c r="A487" s="79">
        <v>37376</v>
      </c>
      <c r="B487" s="95" t="str">
        <f>TiposLancamentos!B27</f>
        <v>Jornais e revistas</v>
      </c>
      <c r="C487" s="477" t="s">
        <v>16079</v>
      </c>
      <c r="D487" s="85"/>
      <c r="E487" s="97">
        <v>10.3</v>
      </c>
    </row>
    <row r="488" spans="1:5">
      <c r="A488" s="83"/>
      <c r="B488" s="91"/>
      <c r="C488" s="43" t="s">
        <v>12786</v>
      </c>
      <c r="D488" s="93"/>
      <c r="E488" s="94"/>
    </row>
    <row r="489" spans="1:5">
      <c r="A489" s="75">
        <v>37378</v>
      </c>
      <c r="B489" s="86" t="str">
        <f>TiposLancamentos!B73</f>
        <v>Cursos</v>
      </c>
      <c r="C489" s="52" t="s">
        <v>16080</v>
      </c>
      <c r="D489" s="63"/>
      <c r="E489" s="98">
        <v>508.4</v>
      </c>
    </row>
    <row r="490" spans="1:5">
      <c r="A490" s="75">
        <v>37378</v>
      </c>
      <c r="B490" s="86" t="str">
        <f>TiposLancamentos!B19</f>
        <v>Restaurantes</v>
      </c>
      <c r="C490" s="52" t="s">
        <v>16081</v>
      </c>
      <c r="D490" s="63"/>
      <c r="E490" s="98">
        <v>50</v>
      </c>
    </row>
    <row r="491" spans="1:5">
      <c r="A491" s="75">
        <v>37378</v>
      </c>
      <c r="B491" s="86" t="str">
        <f>TiposLancamentos!B4</f>
        <v>Taxas Bancarias</v>
      </c>
      <c r="C491" s="52" t="s">
        <v>16015</v>
      </c>
      <c r="D491" s="63"/>
      <c r="E491" s="98">
        <v>2.17</v>
      </c>
    </row>
    <row r="492" spans="1:5">
      <c r="A492" s="75">
        <v>37378</v>
      </c>
      <c r="B492" s="86" t="str">
        <f>TiposLancamentos!B4</f>
        <v>Taxas Bancarias</v>
      </c>
      <c r="C492" s="52" t="s">
        <v>16082</v>
      </c>
      <c r="D492" s="63"/>
      <c r="E492" s="98">
        <v>0.03</v>
      </c>
    </row>
    <row r="493" spans="1:5">
      <c r="A493" s="75">
        <v>37379</v>
      </c>
      <c r="B493" s="86" t="str">
        <f>TiposLancamentos!B9</f>
        <v>Condominio</v>
      </c>
      <c r="C493" s="52" t="s">
        <v>1684</v>
      </c>
      <c r="D493" s="63"/>
      <c r="E493" s="98">
        <v>168.62</v>
      </c>
    </row>
    <row r="494" spans="1:5">
      <c r="A494" s="75">
        <v>37379</v>
      </c>
      <c r="B494" s="86" t="str">
        <f>TiposLancamentos!B97</f>
        <v>Deposito Terc.</v>
      </c>
      <c r="C494" s="52" t="s">
        <v>16036</v>
      </c>
      <c r="D494" s="63">
        <v>510</v>
      </c>
      <c r="E494" s="98"/>
    </row>
    <row r="495" spans="1:5">
      <c r="A495" s="75">
        <v>37379</v>
      </c>
      <c r="B495" s="86" t="str">
        <f>TiposLancamentos!B4</f>
        <v>Taxas Bancarias</v>
      </c>
      <c r="C495" s="52" t="s">
        <v>5065</v>
      </c>
      <c r="D495" s="63"/>
      <c r="E495" s="98">
        <v>2.44</v>
      </c>
    </row>
    <row r="496" spans="1:5">
      <c r="A496" s="75">
        <v>37380</v>
      </c>
      <c r="B496" s="86" t="str">
        <f>TiposLancamentos!B20</f>
        <v>Saques</v>
      </c>
      <c r="C496" s="52" t="s">
        <v>2668</v>
      </c>
      <c r="D496" s="63"/>
      <c r="E496" s="98">
        <v>60</v>
      </c>
    </row>
    <row r="497" spans="1:5">
      <c r="A497" s="75">
        <v>37380</v>
      </c>
      <c r="B497" s="86" t="str">
        <f>TiposLancamentos!B76</f>
        <v>Motel</v>
      </c>
      <c r="C497" s="52" t="s">
        <v>16083</v>
      </c>
      <c r="D497" s="63"/>
      <c r="E497" s="98">
        <v>20</v>
      </c>
    </row>
    <row r="498" spans="1:5">
      <c r="A498" s="75">
        <v>37383</v>
      </c>
      <c r="B498" s="86" t="str">
        <f>TiposLancamentos!B19</f>
        <v>Restaurantes</v>
      </c>
      <c r="C498" s="52" t="s">
        <v>16084</v>
      </c>
      <c r="D498" s="63"/>
      <c r="E498" s="98">
        <v>8.4499999999999993</v>
      </c>
    </row>
    <row r="499" spans="1:5">
      <c r="A499" s="75">
        <v>37383</v>
      </c>
      <c r="B499" s="86" t="str">
        <f>TiposLancamentos!B70</f>
        <v>Vestuário</v>
      </c>
      <c r="C499" s="52" t="s">
        <v>16085</v>
      </c>
      <c r="D499" s="63"/>
      <c r="E499" s="98">
        <v>79.900000000000006</v>
      </c>
    </row>
    <row r="500" spans="1:5">
      <c r="A500" s="75">
        <v>37386</v>
      </c>
      <c r="B500" s="86" t="str">
        <f>TiposLancamentos!B4</f>
        <v>Taxas Bancarias</v>
      </c>
      <c r="C500" s="52" t="s">
        <v>5065</v>
      </c>
      <c r="D500" s="63"/>
      <c r="E500" s="98">
        <v>2.88</v>
      </c>
    </row>
    <row r="501" spans="1:5">
      <c r="A501" s="75">
        <v>37386</v>
      </c>
      <c r="B501" s="86" t="str">
        <f>TiposLancamentos!B4</f>
        <v>Taxas Bancarias</v>
      </c>
      <c r="C501" s="52" t="s">
        <v>15915</v>
      </c>
      <c r="D501" s="63"/>
      <c r="E501" s="98">
        <v>7</v>
      </c>
    </row>
    <row r="502" spans="1:5">
      <c r="A502" s="75">
        <v>37387</v>
      </c>
      <c r="B502" s="86" t="str">
        <f>TiposLancamentos!B20</f>
        <v>Saques</v>
      </c>
      <c r="C502" s="52" t="s">
        <v>2668</v>
      </c>
      <c r="D502" s="63"/>
      <c r="E502" s="98">
        <v>10</v>
      </c>
    </row>
    <row r="503" spans="1:5">
      <c r="A503" s="75">
        <v>37389</v>
      </c>
      <c r="B503" s="86" t="str">
        <f>TiposLancamentos!B20</f>
        <v>Saques</v>
      </c>
      <c r="C503" s="52" t="s">
        <v>2655</v>
      </c>
      <c r="D503" s="63"/>
      <c r="E503" s="98">
        <v>10</v>
      </c>
    </row>
    <row r="504" spans="1:5">
      <c r="A504" s="75">
        <v>37391</v>
      </c>
      <c r="B504" s="86" t="str">
        <f>TiposLancamentos!B13</f>
        <v>Moradia</v>
      </c>
      <c r="C504" s="52" t="s">
        <v>12788</v>
      </c>
      <c r="D504" s="63"/>
      <c r="E504" s="98">
        <v>33.630000000000003</v>
      </c>
    </row>
    <row r="505" spans="1:5">
      <c r="A505" s="75">
        <v>37391</v>
      </c>
      <c r="B505" s="86" t="str">
        <f>TiposLancamentos!B79</f>
        <v>Financiamento Banco</v>
      </c>
      <c r="C505" s="52" t="s">
        <v>16086</v>
      </c>
      <c r="D505" s="63"/>
      <c r="E505" s="98">
        <v>72.48</v>
      </c>
    </row>
    <row r="506" spans="1:5">
      <c r="A506" s="75">
        <v>37391</v>
      </c>
      <c r="B506" s="86" t="str">
        <f>TiposLancamentos!B15</f>
        <v>Cartões de Crédito</v>
      </c>
      <c r="C506" s="52" t="s">
        <v>5142</v>
      </c>
      <c r="D506" s="63"/>
      <c r="E506" s="98">
        <v>227.37</v>
      </c>
    </row>
    <row r="507" spans="1:5">
      <c r="A507" s="75">
        <v>37391</v>
      </c>
      <c r="B507" s="86" t="str">
        <f>TiposLancamentos!B2</f>
        <v>Telefonia</v>
      </c>
      <c r="C507" s="52" t="s">
        <v>2515</v>
      </c>
      <c r="D507" s="63"/>
      <c r="E507" s="98">
        <v>51.16</v>
      </c>
    </row>
    <row r="508" spans="1:5">
      <c r="A508" s="75">
        <v>37391</v>
      </c>
      <c r="B508" s="86" t="str">
        <f>TiposLancamentos!B2</f>
        <v>Telefonia</v>
      </c>
      <c r="C508" s="52" t="s">
        <v>14230</v>
      </c>
      <c r="D508" s="63"/>
      <c r="E508" s="98">
        <v>1.9</v>
      </c>
    </row>
    <row r="509" spans="1:5">
      <c r="A509" s="75">
        <v>37391</v>
      </c>
      <c r="B509" s="86" t="str">
        <f>TiposLancamentos!B2</f>
        <v>Telefonia</v>
      </c>
      <c r="C509" s="52" t="s">
        <v>14417</v>
      </c>
      <c r="D509" s="63"/>
      <c r="E509" s="98">
        <v>67.709999999999994</v>
      </c>
    </row>
    <row r="510" spans="1:5">
      <c r="A510" s="75">
        <v>37391</v>
      </c>
      <c r="B510" s="86" t="str">
        <f>TiposLancamentos!B95</f>
        <v>Salarios</v>
      </c>
      <c r="C510" s="52" t="s">
        <v>14165</v>
      </c>
      <c r="D510" s="63">
        <v>579.6</v>
      </c>
      <c r="E510" s="98"/>
    </row>
    <row r="511" spans="1:5">
      <c r="A511" s="75">
        <v>37396</v>
      </c>
      <c r="B511" s="86" t="str">
        <f>TiposLancamentos!B20</f>
        <v>Saques</v>
      </c>
      <c r="C511" s="52" t="s">
        <v>2668</v>
      </c>
      <c r="D511" s="63"/>
      <c r="E511" s="98">
        <v>15</v>
      </c>
    </row>
    <row r="512" spans="1:5">
      <c r="A512" s="75">
        <v>37396</v>
      </c>
      <c r="B512" s="86" t="str">
        <f>TiposLancamentos!B77</f>
        <v>Esporádico</v>
      </c>
      <c r="C512" s="52" t="s">
        <v>16087</v>
      </c>
      <c r="D512" s="63"/>
      <c r="E512" s="98">
        <v>15.45</v>
      </c>
    </row>
    <row r="513" spans="1:5">
      <c r="A513" s="75">
        <v>37396</v>
      </c>
      <c r="B513" s="86" t="str">
        <f>TiposLancamentos!B5</f>
        <v>Supermercado</v>
      </c>
      <c r="C513" s="52" t="s">
        <v>16088</v>
      </c>
      <c r="D513" s="63"/>
      <c r="E513" s="98">
        <v>15</v>
      </c>
    </row>
    <row r="514" spans="1:5">
      <c r="A514" s="75">
        <v>37396</v>
      </c>
      <c r="B514" s="86" t="str">
        <f>TiposLancamentos!B5</f>
        <v>Supermercado</v>
      </c>
      <c r="C514" s="52" t="s">
        <v>16089</v>
      </c>
      <c r="D514" s="63"/>
      <c r="E514" s="98">
        <v>20.010000000000002</v>
      </c>
    </row>
    <row r="515" spans="1:5">
      <c r="A515" s="75">
        <v>37398</v>
      </c>
      <c r="B515" s="86" t="str">
        <f>TiposLancamentos!B13</f>
        <v>Moradia</v>
      </c>
      <c r="C515" s="52" t="s">
        <v>12789</v>
      </c>
      <c r="D515" s="63"/>
      <c r="E515" s="98">
        <v>66</v>
      </c>
    </row>
    <row r="516" spans="1:5">
      <c r="A516" s="75">
        <v>37399</v>
      </c>
      <c r="B516" s="86" t="str">
        <f>TiposLancamentos!B20</f>
        <v>Saques</v>
      </c>
      <c r="C516" s="52" t="s">
        <v>2668</v>
      </c>
      <c r="D516" s="63"/>
      <c r="E516" s="98">
        <v>10</v>
      </c>
    </row>
    <row r="517" spans="1:5">
      <c r="A517" s="75">
        <v>37400</v>
      </c>
      <c r="B517" s="86" t="str">
        <f>TiposLancamentos!B19</f>
        <v>Restaurantes</v>
      </c>
      <c r="C517" s="52" t="s">
        <v>16090</v>
      </c>
      <c r="D517" s="63"/>
      <c r="E517" s="98">
        <v>6.65</v>
      </c>
    </row>
    <row r="518" spans="1:5">
      <c r="A518" s="75">
        <v>37400</v>
      </c>
      <c r="B518" s="86" t="str">
        <f>TiposLancamentos!B4</f>
        <v>Taxas Bancarias</v>
      </c>
      <c r="C518" s="52" t="s">
        <v>5065</v>
      </c>
      <c r="D518" s="63"/>
      <c r="E518" s="98">
        <v>0.3</v>
      </c>
    </row>
    <row r="519" spans="1:5">
      <c r="A519" s="75">
        <v>37401</v>
      </c>
      <c r="B519" s="86" t="str">
        <f>TiposLancamentos!B8</f>
        <v>Aluguel</v>
      </c>
      <c r="C519" s="52" t="s">
        <v>16091</v>
      </c>
      <c r="D519" s="63"/>
      <c r="E519" s="98">
        <v>242.83</v>
      </c>
    </row>
    <row r="520" spans="1:5">
      <c r="A520" s="75">
        <v>37403</v>
      </c>
      <c r="B520" s="86" t="str">
        <f>TiposLancamentos!B90</f>
        <v>Locadora</v>
      </c>
      <c r="C520" s="52" t="s">
        <v>16092</v>
      </c>
      <c r="D520" s="63"/>
      <c r="E520" s="98">
        <v>10.5</v>
      </c>
    </row>
    <row r="521" spans="1:5">
      <c r="A521" s="75">
        <v>37404</v>
      </c>
      <c r="B521" s="86" t="str">
        <f>TiposLancamentos!B20</f>
        <v>Saques</v>
      </c>
      <c r="C521" s="52" t="s">
        <v>2668</v>
      </c>
      <c r="D521" s="63"/>
      <c r="E521" s="98">
        <v>20</v>
      </c>
    </row>
    <row r="522" spans="1:5">
      <c r="A522" s="75">
        <v>37405</v>
      </c>
      <c r="B522" s="86" t="str">
        <f>TiposLancamentos!B95</f>
        <v>Salarios</v>
      </c>
      <c r="C522" s="52" t="s">
        <v>14165</v>
      </c>
      <c r="D522" s="63">
        <v>626.1</v>
      </c>
      <c r="E522" s="98"/>
    </row>
    <row r="523" spans="1:5">
      <c r="A523" s="75">
        <v>37405</v>
      </c>
      <c r="B523" s="86" t="str">
        <f>TiposLancamentos!B9</f>
        <v>Condominio</v>
      </c>
      <c r="C523" s="52" t="s">
        <v>5925</v>
      </c>
      <c r="D523" s="63"/>
      <c r="E523" s="98">
        <v>189.29</v>
      </c>
    </row>
    <row r="524" spans="1:5">
      <c r="A524" s="75">
        <v>37407</v>
      </c>
      <c r="B524" s="86" t="str">
        <f>TiposLancamentos!B4</f>
        <v>Taxas Bancarias</v>
      </c>
      <c r="C524" s="52" t="s">
        <v>5065</v>
      </c>
      <c r="D524" s="495"/>
      <c r="E524" s="98">
        <v>0.43</v>
      </c>
    </row>
    <row r="525" spans="1:5">
      <c r="A525" s="83"/>
      <c r="B525" s="91"/>
      <c r="C525" s="92" t="s">
        <v>16093</v>
      </c>
      <c r="D525" s="93"/>
      <c r="E525" s="94"/>
    </row>
    <row r="526" spans="1:5">
      <c r="A526" s="75">
        <v>37408</v>
      </c>
      <c r="B526" s="86" t="str">
        <f>TiposLancamentos!B20</f>
        <v>Saques</v>
      </c>
      <c r="C526" s="3" t="s">
        <v>2655</v>
      </c>
      <c r="D526" s="63"/>
      <c r="E526" s="98">
        <v>30</v>
      </c>
    </row>
    <row r="527" spans="1:5">
      <c r="A527" s="75">
        <v>37412</v>
      </c>
      <c r="B527" s="86" t="str">
        <f>TiposLancamentos!B20</f>
        <v>Saques</v>
      </c>
      <c r="C527" s="3" t="s">
        <v>2668</v>
      </c>
      <c r="D527" s="63"/>
      <c r="E527" s="98">
        <v>10</v>
      </c>
    </row>
    <row r="528" spans="1:5">
      <c r="A528" s="75">
        <v>37412</v>
      </c>
      <c r="B528" s="86" t="str">
        <f>TiposLancamentos!B19</f>
        <v>Restaurantes</v>
      </c>
      <c r="C528" s="3" t="s">
        <v>16094</v>
      </c>
      <c r="D528" s="63"/>
      <c r="E528" s="98">
        <v>60.45</v>
      </c>
    </row>
    <row r="529" spans="1:5">
      <c r="A529" s="75">
        <v>37415</v>
      </c>
      <c r="B529" s="86" t="str">
        <f>TiposLancamentos!B20</f>
        <v>Saques</v>
      </c>
      <c r="C529" s="3" t="s">
        <v>2668</v>
      </c>
      <c r="D529" s="63"/>
      <c r="E529" s="98">
        <v>20</v>
      </c>
    </row>
    <row r="530" spans="1:5">
      <c r="A530" s="75">
        <v>37415</v>
      </c>
      <c r="B530" s="86" t="str">
        <f>TiposLancamentos!B19</f>
        <v>Restaurantes</v>
      </c>
      <c r="C530" s="3" t="s">
        <v>16095</v>
      </c>
      <c r="D530" s="63"/>
      <c r="E530" s="98">
        <v>10.7</v>
      </c>
    </row>
    <row r="531" spans="1:5">
      <c r="A531" s="75">
        <v>37417</v>
      </c>
      <c r="B531" s="86" t="str">
        <f>TiposLancamentos!B4</f>
        <v>Taxas Bancarias</v>
      </c>
      <c r="C531" s="3" t="s">
        <v>15915</v>
      </c>
      <c r="D531" s="63"/>
      <c r="E531" s="98">
        <v>7</v>
      </c>
    </row>
    <row r="532" spans="1:5">
      <c r="A532" s="75">
        <v>37421</v>
      </c>
      <c r="B532" s="86" t="str">
        <f>TiposLancamentos!B2</f>
        <v>Telefonia</v>
      </c>
      <c r="C532" s="3" t="s">
        <v>2515</v>
      </c>
      <c r="D532" s="63"/>
      <c r="E532" s="98">
        <v>43.24</v>
      </c>
    </row>
    <row r="533" spans="1:5">
      <c r="A533" s="75">
        <v>37421</v>
      </c>
      <c r="B533" s="86" t="str">
        <f>TiposLancamentos!B2</f>
        <v>Telefonia</v>
      </c>
      <c r="C533" s="3" t="s">
        <v>14417</v>
      </c>
      <c r="D533" s="63"/>
      <c r="E533" s="98">
        <v>69.05</v>
      </c>
    </row>
    <row r="534" spans="1:5">
      <c r="A534" s="75">
        <v>37421</v>
      </c>
      <c r="B534" s="86" t="str">
        <f>TiposLancamentos!B95</f>
        <v>Salarios</v>
      </c>
      <c r="C534" s="3" t="s">
        <v>14165</v>
      </c>
      <c r="D534" s="63">
        <v>579.6</v>
      </c>
      <c r="E534" s="98"/>
    </row>
    <row r="535" spans="1:5">
      <c r="A535" s="75">
        <v>37422</v>
      </c>
      <c r="B535" s="86" t="str">
        <f>TiposLancamentos!B20</f>
        <v>Saques</v>
      </c>
      <c r="C535" s="3" t="s">
        <v>2668</v>
      </c>
      <c r="D535" s="63"/>
      <c r="E535" s="98">
        <v>20</v>
      </c>
    </row>
    <row r="536" spans="1:5">
      <c r="A536" s="75">
        <v>37422</v>
      </c>
      <c r="B536" s="86" t="str">
        <f>TiposLancamentos!B13</f>
        <v>Moradia</v>
      </c>
      <c r="C536" s="3" t="s">
        <v>16096</v>
      </c>
      <c r="D536" s="63"/>
      <c r="E536" s="98">
        <v>10.45</v>
      </c>
    </row>
    <row r="537" spans="1:5">
      <c r="A537" s="75">
        <v>37422</v>
      </c>
      <c r="B537" s="86" t="str">
        <f>TiposLancamentos!B5</f>
        <v>Supermercado</v>
      </c>
      <c r="C537" s="3" t="s">
        <v>16097</v>
      </c>
      <c r="D537" s="63"/>
      <c r="E537" s="98">
        <v>35.520000000000003</v>
      </c>
    </row>
    <row r="538" spans="1:5">
      <c r="A538" s="75">
        <v>37422</v>
      </c>
      <c r="B538" s="86" t="str">
        <f>TiposLancamentos!B15</f>
        <v>Cartões de Crédito</v>
      </c>
      <c r="C538" s="3" t="s">
        <v>16098</v>
      </c>
      <c r="D538" s="63"/>
      <c r="E538" s="98">
        <v>74.349999999999994</v>
      </c>
    </row>
    <row r="539" spans="1:5">
      <c r="A539" s="75">
        <v>37422</v>
      </c>
      <c r="B539" s="86" t="str">
        <f>TiposLancamentos!B13</f>
        <v>Moradia</v>
      </c>
      <c r="C539" s="52" t="s">
        <v>12793</v>
      </c>
      <c r="D539" s="63"/>
      <c r="E539" s="98">
        <v>33.630000000000003</v>
      </c>
    </row>
    <row r="540" spans="1:5">
      <c r="A540" s="75">
        <v>37424</v>
      </c>
      <c r="B540" s="86" t="str">
        <f>TiposLancamentos!B79</f>
        <v>Financiamento Banco</v>
      </c>
      <c r="C540" s="52" t="s">
        <v>16099</v>
      </c>
      <c r="D540" s="63"/>
      <c r="E540" s="98">
        <v>72.48</v>
      </c>
    </row>
    <row r="541" spans="1:5">
      <c r="A541" s="75">
        <v>37424</v>
      </c>
      <c r="B541" s="86" t="str">
        <f>TiposLancamentos!B90</f>
        <v>Locadora</v>
      </c>
      <c r="C541" s="52" t="s">
        <v>16100</v>
      </c>
      <c r="D541" s="63"/>
      <c r="E541" s="98">
        <v>12</v>
      </c>
    </row>
    <row r="542" spans="1:5">
      <c r="A542" s="75">
        <v>37425</v>
      </c>
      <c r="B542" s="86" t="str">
        <f>TiposLancamentos!B20</f>
        <v>Saques</v>
      </c>
      <c r="C542" s="52" t="s">
        <v>2668</v>
      </c>
      <c r="D542" s="63"/>
      <c r="E542" s="98">
        <v>15</v>
      </c>
    </row>
    <row r="543" spans="1:5">
      <c r="A543" s="75">
        <v>37427</v>
      </c>
      <c r="B543" s="86" t="str">
        <f>TiposLancamentos!B57</f>
        <v>Informática</v>
      </c>
      <c r="C543" s="52" t="s">
        <v>12796</v>
      </c>
      <c r="D543" s="63"/>
      <c r="E543" s="98">
        <v>92</v>
      </c>
    </row>
    <row r="544" spans="1:5">
      <c r="A544" s="75">
        <v>37427</v>
      </c>
      <c r="B544" s="86" t="str">
        <f>TiposLancamentos!B57</f>
        <v>Informática</v>
      </c>
      <c r="C544" s="52" t="s">
        <v>16101</v>
      </c>
      <c r="D544" s="63"/>
      <c r="E544" s="98">
        <v>10</v>
      </c>
    </row>
    <row r="545" spans="1:5">
      <c r="A545" s="75">
        <v>37428</v>
      </c>
      <c r="B545" s="86" t="str">
        <f>TiposLancamentos!B19</f>
        <v>Restaurantes</v>
      </c>
      <c r="C545" s="52" t="s">
        <v>16102</v>
      </c>
      <c r="D545" s="63"/>
      <c r="E545" s="98">
        <v>12.5</v>
      </c>
    </row>
    <row r="546" spans="1:5">
      <c r="A546" s="75">
        <v>37429</v>
      </c>
      <c r="B546" s="86" t="str">
        <f>TiposLancamentos!B5</f>
        <v>Supermercado</v>
      </c>
      <c r="C546" s="52" t="s">
        <v>16103</v>
      </c>
      <c r="D546" s="63"/>
      <c r="E546" s="98">
        <v>17.2</v>
      </c>
    </row>
    <row r="547" spans="1:5">
      <c r="A547" s="75">
        <v>37432</v>
      </c>
      <c r="B547" s="86" t="str">
        <f>TiposLancamentos!B8</f>
        <v>Aluguel</v>
      </c>
      <c r="C547" s="52" t="s">
        <v>16104</v>
      </c>
      <c r="D547" s="63"/>
      <c r="E547" s="98">
        <v>239.14</v>
      </c>
    </row>
    <row r="548" spans="1:5">
      <c r="A548" s="75">
        <v>37434</v>
      </c>
      <c r="B548" s="86" t="str">
        <f>TiposLancamentos!B20</f>
        <v>Saques</v>
      </c>
      <c r="C548" s="52" t="s">
        <v>2668</v>
      </c>
      <c r="D548" s="63"/>
      <c r="E548" s="98">
        <v>10</v>
      </c>
    </row>
    <row r="549" spans="1:5">
      <c r="A549" s="75">
        <v>37435</v>
      </c>
      <c r="B549" s="86" t="str">
        <f>TiposLancamentos!B95</f>
        <v>Salarios</v>
      </c>
      <c r="C549" s="52" t="s">
        <v>14182</v>
      </c>
      <c r="D549" s="63">
        <v>643.94000000000005</v>
      </c>
      <c r="E549" s="98"/>
    </row>
    <row r="550" spans="1:5">
      <c r="A550" s="75">
        <v>37435</v>
      </c>
      <c r="B550" s="86" t="str">
        <f>TiposLancamentos!B58</f>
        <v>Fotografias</v>
      </c>
      <c r="C550" s="52" t="s">
        <v>16105</v>
      </c>
      <c r="D550" s="63"/>
      <c r="E550" s="98">
        <v>28.75</v>
      </c>
    </row>
    <row r="551" spans="1:5">
      <c r="A551" s="75">
        <v>37435</v>
      </c>
      <c r="B551" s="86" t="str">
        <f>TiposLancamentos!B20</f>
        <v>Saques</v>
      </c>
      <c r="C551" s="52" t="s">
        <v>2668</v>
      </c>
      <c r="D551" s="63"/>
      <c r="E551" s="98">
        <v>10</v>
      </c>
    </row>
    <row r="552" spans="1:5">
      <c r="A552" s="75">
        <v>37435</v>
      </c>
      <c r="B552" s="86" t="str">
        <f>TiposLancamentos!B4</f>
        <v>Taxas Bancarias</v>
      </c>
      <c r="C552" s="52" t="s">
        <v>5065</v>
      </c>
      <c r="D552" s="63"/>
      <c r="E552" s="98">
        <v>1.4</v>
      </c>
    </row>
    <row r="553" spans="1:5">
      <c r="A553" s="75">
        <v>37436</v>
      </c>
      <c r="B553" s="86" t="str">
        <f>TiposLancamentos!B5</f>
        <v>Supermercado</v>
      </c>
      <c r="C553" s="52" t="s">
        <v>16106</v>
      </c>
      <c r="D553" s="63"/>
      <c r="E553" s="98">
        <v>12.88</v>
      </c>
    </row>
    <row r="554" spans="1:5">
      <c r="A554" s="79">
        <v>37436</v>
      </c>
      <c r="B554" s="95" t="str">
        <f>TiposLancamentos!B20</f>
        <v>Saques</v>
      </c>
      <c r="C554" s="477" t="s">
        <v>2668</v>
      </c>
      <c r="D554" s="85"/>
      <c r="E554" s="97">
        <v>10</v>
      </c>
    </row>
    <row r="555" spans="1:5">
      <c r="A555" s="83"/>
      <c r="B555" s="91"/>
      <c r="C555" s="43" t="s">
        <v>12797</v>
      </c>
      <c r="D555" s="93"/>
      <c r="E555" s="94"/>
    </row>
    <row r="556" spans="1:5">
      <c r="A556" s="75">
        <v>37438</v>
      </c>
      <c r="B556" s="86" t="str">
        <f>TiposLancamentos!B6</f>
        <v>Energia Eletrica</v>
      </c>
      <c r="C556" s="52" t="s">
        <v>16022</v>
      </c>
      <c r="D556" s="63"/>
      <c r="E556" s="98">
        <v>32.67</v>
      </c>
    </row>
    <row r="557" spans="1:5">
      <c r="A557" s="75">
        <v>37438</v>
      </c>
      <c r="B557" s="86" t="str">
        <f>TiposLancamentos!B9</f>
        <v>Condominio</v>
      </c>
      <c r="C557" s="52" t="s">
        <v>1684</v>
      </c>
      <c r="D557" s="63"/>
      <c r="E557" s="98">
        <v>121.5</v>
      </c>
    </row>
    <row r="558" spans="1:5">
      <c r="A558" s="75">
        <v>37438</v>
      </c>
      <c r="B558" s="86" t="str">
        <f>TiposLancamentos!B105</f>
        <v>Transf. Bco</v>
      </c>
      <c r="C558" s="52" t="s">
        <v>16107</v>
      </c>
      <c r="D558" s="63"/>
      <c r="E558" s="98">
        <v>75</v>
      </c>
    </row>
    <row r="559" spans="1:5">
      <c r="A559" s="75">
        <v>37438</v>
      </c>
      <c r="B559" s="86" t="str">
        <f>TiposLancamentos!B19</f>
        <v>Restaurantes</v>
      </c>
      <c r="C559" s="52" t="s">
        <v>16108</v>
      </c>
      <c r="D559" s="63"/>
      <c r="E559" s="98">
        <v>22.35</v>
      </c>
    </row>
    <row r="560" spans="1:5">
      <c r="A560" s="75">
        <v>37438</v>
      </c>
      <c r="B560" s="86" t="str">
        <f>TiposLancamentos!B5</f>
        <v>Supermercado</v>
      </c>
      <c r="C560" s="52" t="s">
        <v>16109</v>
      </c>
      <c r="D560" s="63"/>
      <c r="E560" s="98">
        <v>11.91</v>
      </c>
    </row>
    <row r="561" spans="1:5">
      <c r="A561" s="75">
        <v>37438</v>
      </c>
      <c r="B561" s="86" t="str">
        <f>TiposLancamentos!B4</f>
        <v>Taxas Bancarias</v>
      </c>
      <c r="C561" s="52" t="s">
        <v>16082</v>
      </c>
      <c r="D561" s="63"/>
      <c r="E561" s="98">
        <v>0.05</v>
      </c>
    </row>
    <row r="562" spans="1:5">
      <c r="A562" s="75">
        <v>37441</v>
      </c>
      <c r="B562" s="86" t="str">
        <f>TiposLancamentos!B66</f>
        <v>Faxineira</v>
      </c>
      <c r="C562" s="52" t="s">
        <v>16110</v>
      </c>
      <c r="D562" s="63"/>
      <c r="E562" s="98">
        <v>70</v>
      </c>
    </row>
    <row r="563" spans="1:5">
      <c r="A563" s="75">
        <v>37442</v>
      </c>
      <c r="B563" s="86" t="str">
        <f>TiposLancamentos!B4</f>
        <v>Taxas Bancarias</v>
      </c>
      <c r="C563" s="52" t="s">
        <v>5065</v>
      </c>
      <c r="D563" s="63"/>
      <c r="E563" s="98">
        <v>2.25</v>
      </c>
    </row>
    <row r="564" spans="1:5">
      <c r="A564" s="75">
        <v>37443</v>
      </c>
      <c r="B564" s="86" t="str">
        <f>TiposLancamentos!B20</f>
        <v>Saques</v>
      </c>
      <c r="C564" s="52" t="s">
        <v>2655</v>
      </c>
      <c r="D564" s="63"/>
      <c r="E564" s="98">
        <v>20</v>
      </c>
    </row>
    <row r="565" spans="1:5">
      <c r="A565" s="75">
        <v>37445</v>
      </c>
      <c r="B565" s="86" t="str">
        <f>TiposLancamentos!B20</f>
        <v>Saques</v>
      </c>
      <c r="C565" s="52" t="s">
        <v>2668</v>
      </c>
      <c r="D565" s="63"/>
      <c r="E565" s="98">
        <v>10</v>
      </c>
    </row>
    <row r="566" spans="1:5">
      <c r="A566" s="75">
        <v>37447</v>
      </c>
      <c r="B566" s="86" t="str">
        <f>TiposLancamentos!B5</f>
        <v>Supermercado</v>
      </c>
      <c r="C566" s="52" t="s">
        <v>16111</v>
      </c>
      <c r="D566" s="63"/>
      <c r="E566" s="98">
        <v>14.61</v>
      </c>
    </row>
    <row r="567" spans="1:5">
      <c r="A567" s="75">
        <v>37447</v>
      </c>
      <c r="B567" s="86" t="str">
        <f>TiposLancamentos!B4</f>
        <v>Taxas Bancarias</v>
      </c>
      <c r="C567" s="52" t="s">
        <v>15915</v>
      </c>
      <c r="D567" s="63"/>
      <c r="E567" s="98">
        <v>7</v>
      </c>
    </row>
    <row r="568" spans="1:5">
      <c r="A568" s="75">
        <v>37448</v>
      </c>
      <c r="B568" s="86" t="str">
        <f>TiposLancamentos!B73</f>
        <v>Cursos</v>
      </c>
      <c r="C568" s="52" t="s">
        <v>16112</v>
      </c>
      <c r="D568" s="63"/>
      <c r="E568" s="98">
        <v>20</v>
      </c>
    </row>
    <row r="569" spans="1:5">
      <c r="A569" s="75">
        <v>37449</v>
      </c>
      <c r="B569" s="86" t="str">
        <f>TiposLancamentos!B20</f>
        <v>Saques</v>
      </c>
      <c r="C569" s="52" t="s">
        <v>2655</v>
      </c>
      <c r="D569" s="63"/>
      <c r="E569" s="98">
        <v>9</v>
      </c>
    </row>
    <row r="570" spans="1:5">
      <c r="A570" s="75">
        <v>37449</v>
      </c>
      <c r="B570" s="86" t="str">
        <f>TiposLancamentos!B97</f>
        <v>Deposito Terc.</v>
      </c>
      <c r="C570" s="52" t="s">
        <v>5748</v>
      </c>
      <c r="D570" s="63">
        <v>448.43</v>
      </c>
      <c r="E570" s="98"/>
    </row>
    <row r="571" spans="1:5">
      <c r="A571" s="75">
        <v>37449</v>
      </c>
      <c r="B571" s="86" t="str">
        <f>TiposLancamentos!B4</f>
        <v>Taxas Bancarias</v>
      </c>
      <c r="C571" s="52" t="s">
        <v>5065</v>
      </c>
      <c r="D571" s="63"/>
      <c r="E571" s="98">
        <v>0.49</v>
      </c>
    </row>
    <row r="572" spans="1:5">
      <c r="A572" s="75">
        <v>37452</v>
      </c>
      <c r="B572" s="86" t="str">
        <f>TiposLancamentos!B79</f>
        <v>Financiamento Banco</v>
      </c>
      <c r="C572" s="52" t="s">
        <v>16113</v>
      </c>
      <c r="D572" s="63"/>
      <c r="E572" s="98">
        <v>72.48</v>
      </c>
    </row>
    <row r="573" spans="1:5">
      <c r="A573" s="75">
        <v>37452</v>
      </c>
      <c r="B573" s="86" t="str">
        <f>TiposLancamentos!B15</f>
        <v>Cartões de Crédito</v>
      </c>
      <c r="C573" s="52" t="s">
        <v>5142</v>
      </c>
      <c r="D573" s="63"/>
      <c r="E573" s="98">
        <v>102.7</v>
      </c>
    </row>
    <row r="574" spans="1:5">
      <c r="A574" s="75">
        <v>37452</v>
      </c>
      <c r="B574" s="86" t="str">
        <f>TiposLancamentos!B13</f>
        <v>Moradia</v>
      </c>
      <c r="C574" s="52" t="s">
        <v>12803</v>
      </c>
      <c r="D574" s="63"/>
      <c r="E574" s="98">
        <v>33.630000000000003</v>
      </c>
    </row>
    <row r="575" spans="1:5">
      <c r="A575" s="75">
        <v>37452</v>
      </c>
      <c r="B575" s="86" t="str">
        <f>TiposLancamentos!B95</f>
        <v>Salarios</v>
      </c>
      <c r="C575" s="52" t="s">
        <v>14165</v>
      </c>
      <c r="D575" s="63">
        <v>579.6</v>
      </c>
      <c r="E575" s="98"/>
    </row>
    <row r="576" spans="1:5">
      <c r="A576" s="75">
        <v>37452</v>
      </c>
      <c r="B576" s="86" t="str">
        <f>TiposLancamentos!B97</f>
        <v>Deposito Terc.</v>
      </c>
      <c r="C576" s="52" t="s">
        <v>16114</v>
      </c>
      <c r="D576" s="63"/>
      <c r="E576" s="98">
        <v>450</v>
      </c>
    </row>
    <row r="577" spans="1:5">
      <c r="A577" s="75">
        <v>37452</v>
      </c>
      <c r="B577" s="86" t="str">
        <f>TiposLancamentos!B2</f>
        <v>Telefonia</v>
      </c>
      <c r="C577" s="52" t="s">
        <v>2515</v>
      </c>
      <c r="D577" s="63"/>
      <c r="E577" s="98">
        <v>44.59</v>
      </c>
    </row>
    <row r="578" spans="1:5">
      <c r="A578" s="75">
        <v>37452</v>
      </c>
      <c r="B578" s="86" t="str">
        <f>TiposLancamentos!B2</f>
        <v>Telefonia</v>
      </c>
      <c r="C578" s="52" t="s">
        <v>14417</v>
      </c>
      <c r="D578" s="63"/>
      <c r="E578" s="98">
        <v>84.19</v>
      </c>
    </row>
    <row r="579" spans="1:5">
      <c r="A579" s="75">
        <v>37452</v>
      </c>
      <c r="B579" s="86" t="str">
        <f>TiposLancamentos!B20</f>
        <v>Saques</v>
      </c>
      <c r="C579" s="52" t="s">
        <v>2668</v>
      </c>
      <c r="D579" s="63"/>
      <c r="E579" s="98">
        <v>70</v>
      </c>
    </row>
    <row r="580" spans="1:5">
      <c r="A580" s="75">
        <v>37452</v>
      </c>
      <c r="B580" s="86" t="str">
        <f>TiposLancamentos!B2</f>
        <v>Telefonia</v>
      </c>
      <c r="C580" s="52" t="s">
        <v>14230</v>
      </c>
      <c r="D580" s="63"/>
      <c r="E580" s="98">
        <v>0.36</v>
      </c>
    </row>
    <row r="581" spans="1:5">
      <c r="A581" s="75">
        <v>37452</v>
      </c>
      <c r="B581" s="86" t="str">
        <f>TiposLancamentos!B90</f>
        <v>Locadora</v>
      </c>
      <c r="C581" s="52" t="s">
        <v>16115</v>
      </c>
      <c r="D581" s="63"/>
      <c r="E581" s="98">
        <v>9</v>
      </c>
    </row>
    <row r="582" spans="1:5">
      <c r="A582" s="75">
        <v>37453</v>
      </c>
      <c r="B582" s="86" t="str">
        <f>TiposLancamentos!B19</f>
        <v>Restaurantes</v>
      </c>
      <c r="C582" s="52" t="s">
        <v>16116</v>
      </c>
      <c r="D582" s="63"/>
      <c r="E582" s="98">
        <v>9.6</v>
      </c>
    </row>
    <row r="583" spans="1:5">
      <c r="A583" s="75">
        <v>37455</v>
      </c>
      <c r="B583" s="86" t="str">
        <f>TiposLancamentos!B74</f>
        <v>Noite</v>
      </c>
      <c r="C583" s="52" t="s">
        <v>16117</v>
      </c>
      <c r="D583" s="63"/>
      <c r="E583" s="98">
        <v>12.3</v>
      </c>
    </row>
    <row r="584" spans="1:5">
      <c r="A584" s="75">
        <v>37455</v>
      </c>
      <c r="B584" s="86" t="str">
        <f>TiposLancamentos!B20</f>
        <v>Saques</v>
      </c>
      <c r="C584" s="52" t="s">
        <v>2668</v>
      </c>
      <c r="D584" s="63"/>
      <c r="E584" s="98">
        <v>24</v>
      </c>
    </row>
    <row r="585" spans="1:5">
      <c r="A585" s="75">
        <v>37456</v>
      </c>
      <c r="B585" s="86" t="str">
        <f>TiposLancamentos!B4</f>
        <v>Taxas Bancarias</v>
      </c>
      <c r="C585" s="52" t="s">
        <v>5065</v>
      </c>
      <c r="D585" s="63"/>
      <c r="E585" s="98">
        <v>3.77</v>
      </c>
    </row>
    <row r="586" spans="1:5">
      <c r="A586" s="75">
        <v>37457</v>
      </c>
      <c r="B586" s="86" t="str">
        <f>TiposLancamentos!B57</f>
        <v>Informática</v>
      </c>
      <c r="C586" s="52" t="s">
        <v>12804</v>
      </c>
      <c r="D586" s="63"/>
      <c r="E586" s="98">
        <v>92</v>
      </c>
    </row>
    <row r="587" spans="1:5">
      <c r="A587" s="75">
        <v>37462</v>
      </c>
      <c r="B587" s="86" t="str">
        <f>TiposLancamentos!B20</f>
        <v>Saques</v>
      </c>
      <c r="C587" s="52" t="s">
        <v>2668</v>
      </c>
      <c r="D587" s="63"/>
      <c r="E587" s="98">
        <v>30</v>
      </c>
    </row>
    <row r="588" spans="1:5">
      <c r="A588" s="75">
        <v>37463</v>
      </c>
      <c r="B588" s="86" t="str">
        <f>TiposLancamentos!B8</f>
        <v>Aluguel</v>
      </c>
      <c r="C588" s="52" t="s">
        <v>16118</v>
      </c>
      <c r="D588" s="63"/>
      <c r="E588" s="98">
        <v>244.35</v>
      </c>
    </row>
    <row r="589" spans="1:5">
      <c r="A589" s="75">
        <v>37463</v>
      </c>
      <c r="B589" s="86" t="str">
        <f>TiposLancamentos!B4</f>
        <v>Taxas Bancarias</v>
      </c>
      <c r="C589" s="52" t="s">
        <v>5065</v>
      </c>
      <c r="D589" s="63"/>
      <c r="E589" s="98">
        <v>0.21</v>
      </c>
    </row>
    <row r="590" spans="1:5">
      <c r="A590" s="75">
        <v>37464</v>
      </c>
      <c r="B590" s="86" t="str">
        <f>TiposLancamentos!B20</f>
        <v>Saques</v>
      </c>
      <c r="C590" s="52" t="s">
        <v>2668</v>
      </c>
      <c r="D590" s="63"/>
      <c r="E590" s="98">
        <v>29</v>
      </c>
    </row>
    <row r="591" spans="1:5">
      <c r="A591" s="75">
        <v>37467</v>
      </c>
      <c r="B591" s="86" t="str">
        <f>TiposLancamentos!B95</f>
        <v>Salarios</v>
      </c>
      <c r="C591" s="52" t="s">
        <v>14165</v>
      </c>
      <c r="D591" s="63">
        <v>799.94</v>
      </c>
      <c r="E591" s="98"/>
    </row>
    <row r="592" spans="1:5">
      <c r="A592" s="75">
        <v>37467</v>
      </c>
      <c r="B592" s="86" t="str">
        <f>TiposLancamentos!B9</f>
        <v>Condominio</v>
      </c>
      <c r="C592" s="52" t="s">
        <v>1684</v>
      </c>
      <c r="D592" s="63"/>
      <c r="E592" s="98">
        <v>136.94</v>
      </c>
    </row>
    <row r="593" spans="1:5">
      <c r="A593" s="75">
        <v>37467</v>
      </c>
      <c r="B593" s="86" t="str">
        <f>TiposLancamentos!B6</f>
        <v>Energia Eletrica</v>
      </c>
      <c r="C593" s="52" t="s">
        <v>16022</v>
      </c>
      <c r="D593" s="63"/>
      <c r="E593" s="98">
        <v>27.61</v>
      </c>
    </row>
    <row r="594" spans="1:5">
      <c r="A594" s="75">
        <v>37467</v>
      </c>
      <c r="B594" s="86" t="str">
        <f>TiposLancamentos!B95</f>
        <v>Salarios</v>
      </c>
      <c r="C594" s="52" t="s">
        <v>16119</v>
      </c>
      <c r="D594" s="63">
        <v>1742.54</v>
      </c>
      <c r="E594" s="98"/>
    </row>
    <row r="595" spans="1:5">
      <c r="A595" s="75">
        <v>37468</v>
      </c>
      <c r="B595" s="86" t="str">
        <f>TiposLancamentos!B20</f>
        <v>Saques</v>
      </c>
      <c r="C595" s="52" t="s">
        <v>2668</v>
      </c>
      <c r="D595" s="63"/>
      <c r="E595" s="98">
        <v>125</v>
      </c>
    </row>
    <row r="596" spans="1:5">
      <c r="A596" s="75">
        <v>37468</v>
      </c>
      <c r="B596" s="86" t="str">
        <f>TiposLancamentos!B64</f>
        <v>Viagens</v>
      </c>
      <c r="C596" s="52" t="s">
        <v>16120</v>
      </c>
      <c r="D596" s="63"/>
      <c r="E596" s="98">
        <v>35.96</v>
      </c>
    </row>
    <row r="597" spans="1:5">
      <c r="A597" s="79">
        <v>37468</v>
      </c>
      <c r="B597" s="95" t="str">
        <f>TiposLancamentos!B105</f>
        <v>Transf. Bco</v>
      </c>
      <c r="C597" s="477" t="s">
        <v>15941</v>
      </c>
      <c r="D597" s="85"/>
      <c r="E597" s="97">
        <v>125</v>
      </c>
    </row>
    <row r="598" spans="1:5">
      <c r="A598" s="83"/>
      <c r="B598" s="91"/>
      <c r="C598" s="59" t="s">
        <v>12805</v>
      </c>
      <c r="D598" s="93"/>
      <c r="E598" s="94"/>
    </row>
    <row r="599" spans="1:5">
      <c r="A599" s="75">
        <v>37469</v>
      </c>
      <c r="B599" s="86" t="str">
        <f>TiposLancamentos!B4</f>
        <v>Taxas Bancarias</v>
      </c>
      <c r="C599" s="47" t="s">
        <v>16015</v>
      </c>
      <c r="D599" s="63"/>
      <c r="E599" s="98">
        <v>2.94</v>
      </c>
    </row>
    <row r="600" spans="1:5">
      <c r="A600" s="75">
        <v>37469</v>
      </c>
      <c r="B600" s="86" t="str">
        <f>TiposLancamentos!B4</f>
        <v>Taxas Bancarias</v>
      </c>
      <c r="C600" s="47" t="s">
        <v>16082</v>
      </c>
      <c r="D600" s="63"/>
      <c r="E600" s="98">
        <v>0.05</v>
      </c>
    </row>
    <row r="601" spans="1:5">
      <c r="A601" s="75">
        <v>37470</v>
      </c>
      <c r="B601" s="86" t="str">
        <f>TiposLancamentos!B4</f>
        <v>Taxas Bancarias</v>
      </c>
      <c r="C601" s="3" t="s">
        <v>5065</v>
      </c>
      <c r="D601" s="63"/>
      <c r="E601" s="98">
        <v>3.84</v>
      </c>
    </row>
    <row r="602" spans="1:5">
      <c r="A602" s="75">
        <v>37474</v>
      </c>
      <c r="B602" s="86" t="str">
        <f>TiposLancamentos!B25</f>
        <v>CD_DVD_BD</v>
      </c>
      <c r="C602" s="52" t="s">
        <v>16121</v>
      </c>
      <c r="D602" s="63"/>
      <c r="E602" s="98">
        <v>25.9</v>
      </c>
    </row>
    <row r="603" spans="1:5">
      <c r="A603" s="75">
        <v>37475</v>
      </c>
      <c r="B603" s="86" t="str">
        <f>TiposLancamentos!B20</f>
        <v>Saques</v>
      </c>
      <c r="C603" s="52" t="s">
        <v>2668</v>
      </c>
      <c r="D603" s="63"/>
      <c r="E603" s="98">
        <v>70</v>
      </c>
    </row>
    <row r="604" spans="1:5">
      <c r="A604" s="75">
        <v>37475</v>
      </c>
      <c r="B604" s="86" t="str">
        <f>TiposLancamentos!B20</f>
        <v>Saques</v>
      </c>
      <c r="C604" s="52" t="s">
        <v>2668</v>
      </c>
      <c r="D604" s="63"/>
      <c r="E604" s="98">
        <v>75</v>
      </c>
    </row>
    <row r="605" spans="1:5">
      <c r="A605" s="75">
        <v>37476</v>
      </c>
      <c r="B605" s="86" t="str">
        <f>TiposLancamentos!B70</f>
        <v>Vestuário</v>
      </c>
      <c r="C605" s="52" t="s">
        <v>16122</v>
      </c>
      <c r="D605" s="63"/>
      <c r="E605" s="98">
        <v>106.85</v>
      </c>
    </row>
    <row r="606" spans="1:5">
      <c r="A606" s="75">
        <v>37476</v>
      </c>
      <c r="B606" s="86" t="str">
        <f>TiposLancamentos!B56</f>
        <v>Farmácia</v>
      </c>
      <c r="C606" s="52" t="s">
        <v>16123</v>
      </c>
      <c r="D606" s="63"/>
      <c r="E606" s="98">
        <v>36.43</v>
      </c>
    </row>
    <row r="607" spans="1:5">
      <c r="A607" s="75">
        <v>37476</v>
      </c>
      <c r="B607" s="86" t="str">
        <f>TiposLancamentos!B5</f>
        <v>Supermercado</v>
      </c>
      <c r="C607" s="52" t="s">
        <v>16124</v>
      </c>
      <c r="D607" s="63"/>
      <c r="E607" s="98">
        <v>27.05</v>
      </c>
    </row>
    <row r="608" spans="1:5">
      <c r="A608" s="75">
        <v>37477</v>
      </c>
      <c r="B608" s="86" t="str">
        <f>TiposLancamentos!B20</f>
        <v>Saques</v>
      </c>
      <c r="C608" s="52" t="s">
        <v>2876</v>
      </c>
      <c r="D608" s="63"/>
      <c r="E608" s="98">
        <v>10</v>
      </c>
    </row>
    <row r="609" spans="1:5">
      <c r="A609" s="75">
        <v>37477</v>
      </c>
      <c r="B609" s="86" t="str">
        <f>TiposLancamentos!B4</f>
        <v>Taxas Bancarias</v>
      </c>
      <c r="C609" s="3" t="s">
        <v>5065</v>
      </c>
      <c r="D609" s="63"/>
      <c r="E609" s="98">
        <v>0.41</v>
      </c>
    </row>
    <row r="610" spans="1:5">
      <c r="A610" s="75">
        <v>37480</v>
      </c>
      <c r="B610" s="86" t="str">
        <f>TiposLancamentos!B13</f>
        <v>Moradia</v>
      </c>
      <c r="C610" s="52" t="s">
        <v>16125</v>
      </c>
      <c r="D610" s="63"/>
      <c r="E610" s="98">
        <v>140</v>
      </c>
    </row>
    <row r="611" spans="1:5">
      <c r="A611" s="75">
        <v>37480</v>
      </c>
      <c r="B611" s="86" t="str">
        <f>TiposLancamentos!B90</f>
        <v>Locadora</v>
      </c>
      <c r="C611" s="52" t="s">
        <v>16126</v>
      </c>
      <c r="D611" s="63"/>
      <c r="E611" s="98">
        <v>10.5</v>
      </c>
    </row>
    <row r="612" spans="1:5">
      <c r="A612" s="75">
        <v>37480</v>
      </c>
      <c r="B612" s="86" t="str">
        <f>TiposLancamentos!B4</f>
        <v>Taxas Bancarias</v>
      </c>
      <c r="C612" s="52" t="s">
        <v>15915</v>
      </c>
      <c r="D612" s="63"/>
      <c r="E612" s="98">
        <v>7</v>
      </c>
    </row>
    <row r="613" spans="1:5">
      <c r="A613" s="75">
        <v>37481</v>
      </c>
      <c r="B613" s="86" t="str">
        <f>TiposLancamentos!B57</f>
        <v>Informática</v>
      </c>
      <c r="C613" s="52" t="s">
        <v>16127</v>
      </c>
      <c r="D613" s="63"/>
      <c r="E613" s="98">
        <v>298</v>
      </c>
    </row>
    <row r="614" spans="1:5">
      <c r="A614" s="75">
        <v>37481</v>
      </c>
      <c r="B614" s="86" t="str">
        <f>TiposLancamentos!B20</f>
        <v>Saques</v>
      </c>
      <c r="C614" s="52" t="s">
        <v>2668</v>
      </c>
      <c r="D614" s="63"/>
      <c r="E614" s="98">
        <v>30</v>
      </c>
    </row>
    <row r="615" spans="1:5">
      <c r="A615" s="75">
        <v>37483</v>
      </c>
      <c r="B615" s="86" t="str">
        <f>TiposLancamentos!B59</f>
        <v>Documentos</v>
      </c>
      <c r="C615" s="52" t="s">
        <v>16128</v>
      </c>
      <c r="D615" s="63"/>
      <c r="E615" s="98">
        <v>30</v>
      </c>
    </row>
    <row r="616" spans="1:5">
      <c r="A616" s="75">
        <v>37483</v>
      </c>
      <c r="B616" s="86" t="str">
        <f>TiposLancamentos!B15</f>
        <v>Cartões de Crédito</v>
      </c>
      <c r="C616" s="52" t="s">
        <v>5142</v>
      </c>
      <c r="D616" s="63"/>
      <c r="E616" s="98">
        <v>97.76</v>
      </c>
    </row>
    <row r="617" spans="1:5">
      <c r="A617" s="75">
        <v>37483</v>
      </c>
      <c r="B617" s="86" t="str">
        <f>TiposLancamentos!B79</f>
        <v>Financiamento Banco</v>
      </c>
      <c r="C617" s="52" t="s">
        <v>16129</v>
      </c>
      <c r="D617" s="63"/>
      <c r="E617" s="98">
        <v>72.48</v>
      </c>
    </row>
    <row r="618" spans="1:5">
      <c r="A618" s="75">
        <v>37483</v>
      </c>
      <c r="B618" s="86" t="str">
        <f>TiposLancamentos!B13</f>
        <v>Moradia</v>
      </c>
      <c r="C618" s="52" t="s">
        <v>12810</v>
      </c>
      <c r="D618" s="63"/>
      <c r="E618" s="98">
        <v>33.630000000000003</v>
      </c>
    </row>
    <row r="619" spans="1:5">
      <c r="A619" s="75">
        <v>37483</v>
      </c>
      <c r="B619" s="86" t="str">
        <f>TiposLancamentos!B2</f>
        <v>Telefonia</v>
      </c>
      <c r="C619" s="52" t="s">
        <v>2515</v>
      </c>
      <c r="D619" s="63"/>
      <c r="E619" s="98">
        <v>75.72</v>
      </c>
    </row>
    <row r="620" spans="1:5">
      <c r="A620" s="75">
        <v>37483</v>
      </c>
      <c r="B620" s="86" t="str">
        <f>TiposLancamentos!B2</f>
        <v>Telefonia</v>
      </c>
      <c r="C620" s="52" t="s">
        <v>14417</v>
      </c>
      <c r="D620" s="63"/>
      <c r="E620" s="98">
        <v>99.5</v>
      </c>
    </row>
    <row r="621" spans="1:5">
      <c r="A621" s="75">
        <v>37483</v>
      </c>
      <c r="B621" s="86" t="str">
        <f>TiposLancamentos!B2</f>
        <v>Telefonia</v>
      </c>
      <c r="C621" s="52" t="s">
        <v>14230</v>
      </c>
      <c r="D621" s="63"/>
      <c r="E621" s="98">
        <v>16.829999999999998</v>
      </c>
    </row>
    <row r="622" spans="1:5">
      <c r="A622" s="75">
        <v>37483</v>
      </c>
      <c r="B622" s="86" t="str">
        <f>TiposLancamentos!B13</f>
        <v>Moradia</v>
      </c>
      <c r="C622" s="52" t="s">
        <v>16130</v>
      </c>
      <c r="D622" s="63"/>
      <c r="E622" s="98">
        <v>4.9000000000000004</v>
      </c>
    </row>
    <row r="623" spans="1:5">
      <c r="A623" s="75">
        <v>37484</v>
      </c>
      <c r="B623" s="86" t="str">
        <f>TiposLancamentos!B74</f>
        <v>Noite</v>
      </c>
      <c r="C623" s="52" t="s">
        <v>16131</v>
      </c>
      <c r="D623" s="63"/>
      <c r="E623" s="98">
        <v>42</v>
      </c>
    </row>
    <row r="624" spans="1:5">
      <c r="A624" s="75">
        <v>37484</v>
      </c>
      <c r="B624" s="86" t="str">
        <f>TiposLancamentos!B20</f>
        <v>Saques</v>
      </c>
      <c r="C624" s="52" t="s">
        <v>2668</v>
      </c>
      <c r="D624" s="63"/>
      <c r="E624" s="98">
        <v>20</v>
      </c>
    </row>
    <row r="625" spans="1:5">
      <c r="A625" s="75">
        <v>37484</v>
      </c>
      <c r="B625" s="86" t="str">
        <f>TiposLancamentos!B4</f>
        <v>Taxas Bancarias</v>
      </c>
      <c r="C625" s="3" t="s">
        <v>5065</v>
      </c>
      <c r="D625" s="63"/>
      <c r="E625" s="98">
        <v>2.91</v>
      </c>
    </row>
    <row r="626" spans="1:5">
      <c r="A626" s="75">
        <v>37485</v>
      </c>
      <c r="B626" s="86" t="str">
        <f>TiposLancamentos!B19</f>
        <v>Restaurantes</v>
      </c>
      <c r="C626" s="52" t="s">
        <v>16132</v>
      </c>
      <c r="D626" s="63"/>
      <c r="E626" s="98">
        <v>16.5</v>
      </c>
    </row>
    <row r="627" spans="1:5">
      <c r="A627" s="75">
        <v>37487</v>
      </c>
      <c r="B627" s="86" t="str">
        <f>TiposLancamentos!B90</f>
        <v>Locadora</v>
      </c>
      <c r="C627" s="52" t="s">
        <v>16133</v>
      </c>
      <c r="D627" s="63"/>
      <c r="E627" s="98">
        <v>14</v>
      </c>
    </row>
    <row r="628" spans="1:5">
      <c r="A628" s="75">
        <v>37487</v>
      </c>
      <c r="B628" s="86" t="str">
        <f>TiposLancamentos!B66</f>
        <v>Faxineira</v>
      </c>
      <c r="C628" s="52" t="s">
        <v>16134</v>
      </c>
      <c r="D628" s="63"/>
      <c r="E628" s="98">
        <v>25</v>
      </c>
    </row>
    <row r="629" spans="1:5">
      <c r="A629" s="75">
        <v>37488</v>
      </c>
      <c r="B629" s="86" t="str">
        <f>TiposLancamentos!B57</f>
        <v>Informática</v>
      </c>
      <c r="C629" s="52" t="s">
        <v>12811</v>
      </c>
      <c r="D629" s="63"/>
      <c r="E629" s="98">
        <v>92</v>
      </c>
    </row>
    <row r="630" spans="1:5">
      <c r="A630" s="75">
        <v>37489</v>
      </c>
      <c r="B630" s="86" t="str">
        <f>TiposLancamentos!B19</f>
        <v>Restaurantes</v>
      </c>
      <c r="C630" s="52" t="s">
        <v>16135</v>
      </c>
      <c r="D630" s="63"/>
      <c r="E630" s="98">
        <v>13</v>
      </c>
    </row>
    <row r="631" spans="1:5">
      <c r="A631" s="75">
        <v>37491</v>
      </c>
      <c r="B631" s="86" t="str">
        <f>TiposLancamentos!B20</f>
        <v>Saques</v>
      </c>
      <c r="C631" s="52" t="s">
        <v>2668</v>
      </c>
      <c r="D631" s="63"/>
      <c r="E631" s="98">
        <v>20</v>
      </c>
    </row>
    <row r="632" spans="1:5">
      <c r="A632" s="75">
        <v>37492</v>
      </c>
      <c r="B632" s="86" t="str">
        <f>TiposLancamentos!B77</f>
        <v>Esporádico</v>
      </c>
      <c r="C632" s="52" t="s">
        <v>16136</v>
      </c>
      <c r="D632" s="63"/>
      <c r="E632" s="98">
        <v>10</v>
      </c>
    </row>
    <row r="633" spans="1:5">
      <c r="A633" s="75">
        <v>37493</v>
      </c>
      <c r="B633" s="86" t="str">
        <f>TiposLancamentos!B19</f>
        <v>Restaurantes</v>
      </c>
      <c r="C633" s="52" t="s">
        <v>16137</v>
      </c>
      <c r="D633" s="63"/>
      <c r="E633" s="98">
        <v>11.75</v>
      </c>
    </row>
    <row r="634" spans="1:5">
      <c r="A634" s="75">
        <v>37493</v>
      </c>
      <c r="B634" s="86" t="str">
        <f>TiposLancamentos!B20</f>
        <v>Saques</v>
      </c>
      <c r="C634" s="52" t="s">
        <v>2668</v>
      </c>
      <c r="D634" s="63"/>
      <c r="E634" s="98">
        <v>10</v>
      </c>
    </row>
    <row r="635" spans="1:5">
      <c r="A635" s="75">
        <v>37494</v>
      </c>
      <c r="B635" s="86" t="str">
        <f>TiposLancamentos!B8</f>
        <v>Aluguel</v>
      </c>
      <c r="C635" s="52" t="s">
        <v>16138</v>
      </c>
      <c r="D635" s="63"/>
      <c r="E635" s="98">
        <v>243</v>
      </c>
    </row>
    <row r="636" spans="1:5">
      <c r="A636" s="75">
        <v>37494</v>
      </c>
      <c r="B636" s="86" t="str">
        <f>TiposLancamentos!B95</f>
        <v>Salarios</v>
      </c>
      <c r="C636" s="52" t="s">
        <v>14165</v>
      </c>
      <c r="D636" s="63">
        <v>443.81</v>
      </c>
      <c r="E636" s="98"/>
    </row>
    <row r="637" spans="1:5">
      <c r="A637" s="75">
        <v>37494</v>
      </c>
      <c r="B637" s="86" t="str">
        <f>TiposLancamentos!B4</f>
        <v>Taxas Bancarias</v>
      </c>
      <c r="C637" s="52" t="s">
        <v>16068</v>
      </c>
      <c r="D637" s="63"/>
      <c r="E637" s="98">
        <v>1.6</v>
      </c>
    </row>
    <row r="638" spans="1:5">
      <c r="A638" s="75">
        <v>37494</v>
      </c>
      <c r="B638" s="86" t="str">
        <f>TiposLancamentos!B6</f>
        <v>Energia Eletrica</v>
      </c>
      <c r="C638" s="52" t="s">
        <v>16022</v>
      </c>
      <c r="D638" s="63"/>
      <c r="E638" s="98">
        <v>28.98</v>
      </c>
    </row>
    <row r="639" spans="1:5">
      <c r="A639" s="75">
        <v>37497</v>
      </c>
      <c r="B639" s="86" t="str">
        <f>TiposLancamentos!B9</f>
        <v>Condominio</v>
      </c>
      <c r="C639" s="52" t="s">
        <v>1684</v>
      </c>
      <c r="D639" s="63"/>
      <c r="E639" s="98">
        <v>138.5</v>
      </c>
    </row>
    <row r="640" spans="1:5">
      <c r="A640" s="75">
        <v>37498</v>
      </c>
      <c r="B640" s="86" t="str">
        <f>TiposLancamentos!B20</f>
        <v>Saques</v>
      </c>
      <c r="C640" s="52" t="s">
        <v>2668</v>
      </c>
      <c r="D640" s="63"/>
      <c r="E640" s="98">
        <v>20</v>
      </c>
    </row>
    <row r="641" spans="1:5">
      <c r="A641" s="75">
        <v>37498</v>
      </c>
      <c r="B641" s="86" t="str">
        <f>TiposLancamentos!B4</f>
        <v>Taxas Bancarias</v>
      </c>
      <c r="C641" s="3" t="s">
        <v>5065</v>
      </c>
      <c r="D641" s="63"/>
      <c r="E641" s="98">
        <v>1.4</v>
      </c>
    </row>
    <row r="642" spans="1:5">
      <c r="A642" s="79">
        <v>37499</v>
      </c>
      <c r="B642" s="95" t="str">
        <f>TiposLancamentos!B5</f>
        <v>Supermercado</v>
      </c>
      <c r="C642" s="477" t="s">
        <v>16139</v>
      </c>
      <c r="D642" s="85"/>
      <c r="E642" s="97">
        <v>17.79</v>
      </c>
    </row>
    <row r="643" spans="1:5">
      <c r="A643" s="83"/>
      <c r="B643" s="91"/>
      <c r="C643" s="43" t="s">
        <v>14161</v>
      </c>
      <c r="D643" s="93"/>
      <c r="E643" s="94"/>
    </row>
    <row r="644" spans="1:5">
      <c r="A644" s="75">
        <v>37501</v>
      </c>
      <c r="B644" s="86" t="str">
        <f>TiposLancamentos!B105</f>
        <v>Transf. Bco</v>
      </c>
      <c r="C644" s="52" t="s">
        <v>15934</v>
      </c>
      <c r="D644" s="63"/>
      <c r="E644" s="98">
        <v>60</v>
      </c>
    </row>
    <row r="645" spans="1:5">
      <c r="A645" s="75">
        <v>37502</v>
      </c>
      <c r="B645" s="86" t="str">
        <f>TiposLancamentos!B19</f>
        <v>Restaurantes</v>
      </c>
      <c r="C645" s="52" t="s">
        <v>16140</v>
      </c>
      <c r="D645" s="63"/>
      <c r="E645" s="98">
        <v>23.5</v>
      </c>
    </row>
    <row r="646" spans="1:5">
      <c r="A646" s="75">
        <v>37505</v>
      </c>
      <c r="B646" s="86" t="str">
        <f>TiposLancamentos!B4</f>
        <v>Taxas Bancarias</v>
      </c>
      <c r="C646" s="52" t="s">
        <v>5065</v>
      </c>
      <c r="D646" s="63"/>
      <c r="E646" s="98">
        <v>0.89</v>
      </c>
    </row>
    <row r="647" spans="1:5">
      <c r="A647" s="75">
        <v>37506</v>
      </c>
      <c r="B647" s="86" t="str">
        <f>TiposLancamentos!B20</f>
        <v>Saques</v>
      </c>
      <c r="C647" s="52" t="s">
        <v>2655</v>
      </c>
      <c r="D647" s="63"/>
      <c r="E647" s="98">
        <v>13</v>
      </c>
    </row>
    <row r="648" spans="1:5">
      <c r="A648" s="75">
        <v>37507</v>
      </c>
      <c r="B648" s="86" t="str">
        <f>TiposLancamentos!B20</f>
        <v>Saques</v>
      </c>
      <c r="C648" s="52" t="s">
        <v>2668</v>
      </c>
      <c r="D648" s="63"/>
      <c r="E648" s="98">
        <v>10</v>
      </c>
    </row>
    <row r="649" spans="1:5">
      <c r="A649" s="75">
        <v>37508</v>
      </c>
      <c r="B649" s="86" t="str">
        <f>TiposLancamentos!B66</f>
        <v>Faxineira</v>
      </c>
      <c r="C649" s="52" t="s">
        <v>16110</v>
      </c>
      <c r="D649" s="63"/>
      <c r="E649" s="98">
        <v>70</v>
      </c>
    </row>
    <row r="650" spans="1:5">
      <c r="A650" s="75">
        <v>37508</v>
      </c>
      <c r="B650" s="86" t="str">
        <f>TiposLancamentos!B20</f>
        <v>Saques</v>
      </c>
      <c r="C650" s="52" t="s">
        <v>2668</v>
      </c>
      <c r="D650" s="63"/>
      <c r="E650" s="98">
        <v>5</v>
      </c>
    </row>
    <row r="651" spans="1:5">
      <c r="A651" s="75">
        <v>37509</v>
      </c>
      <c r="B651" s="86" t="str">
        <f>TiposLancamentos!B4</f>
        <v>Taxas Bancarias</v>
      </c>
      <c r="C651" s="52" t="s">
        <v>15915</v>
      </c>
      <c r="D651" s="63"/>
      <c r="E651" s="98">
        <v>7</v>
      </c>
    </row>
    <row r="652" spans="1:5">
      <c r="A652" s="75">
        <v>37511</v>
      </c>
      <c r="B652" s="86" t="str">
        <f>TiposLancamentos!B20</f>
        <v>Saques</v>
      </c>
      <c r="C652" s="52" t="s">
        <v>2668</v>
      </c>
      <c r="D652" s="63"/>
      <c r="E652" s="98">
        <v>10</v>
      </c>
    </row>
    <row r="653" spans="1:5">
      <c r="A653" s="75">
        <v>37512</v>
      </c>
      <c r="B653" s="86" t="str">
        <f>TiposLancamentos!B4</f>
        <v>Taxas Bancarias</v>
      </c>
      <c r="C653" s="3" t="s">
        <v>5065</v>
      </c>
      <c r="D653" s="63"/>
      <c r="E653" s="98">
        <v>0.48</v>
      </c>
    </row>
    <row r="654" spans="1:5">
      <c r="A654" s="75">
        <v>37513</v>
      </c>
      <c r="B654" s="86" t="str">
        <f>TiposLancamentos!B20</f>
        <v>Saques</v>
      </c>
      <c r="C654" s="52" t="s">
        <v>2668</v>
      </c>
      <c r="D654" s="63"/>
      <c r="E654" s="98">
        <v>10</v>
      </c>
    </row>
    <row r="655" spans="1:5">
      <c r="A655" s="75">
        <v>37513</v>
      </c>
      <c r="B655" s="86" t="str">
        <f>TiposLancamentos!B19</f>
        <v>Restaurantes</v>
      </c>
      <c r="C655" s="52" t="s">
        <v>16141</v>
      </c>
      <c r="D655" s="63"/>
      <c r="E655" s="98">
        <v>15</v>
      </c>
    </row>
    <row r="656" spans="1:5">
      <c r="A656" s="75">
        <v>37513</v>
      </c>
      <c r="B656" s="86" t="str">
        <f>TiposLancamentos!B5</f>
        <v>Supermercado</v>
      </c>
      <c r="C656" s="52" t="s">
        <v>16142</v>
      </c>
      <c r="D656" s="63"/>
      <c r="E656" s="98">
        <v>30.63</v>
      </c>
    </row>
    <row r="657" spans="1:5">
      <c r="A657" s="75">
        <v>37515</v>
      </c>
      <c r="B657" s="86" t="str">
        <f>TiposLancamentos!B105</f>
        <v>Transf. Bco</v>
      </c>
      <c r="C657" s="52" t="s">
        <v>16143</v>
      </c>
      <c r="D657" s="63">
        <v>495.88</v>
      </c>
      <c r="E657" s="98"/>
    </row>
    <row r="658" spans="1:5">
      <c r="A658" s="75">
        <v>37515</v>
      </c>
      <c r="B658" s="86" t="str">
        <f>TiposLancamentos!B15</f>
        <v>Cartões de Crédito</v>
      </c>
      <c r="C658" s="52" t="s">
        <v>5142</v>
      </c>
      <c r="D658" s="63"/>
      <c r="E658" s="98">
        <v>127.98</v>
      </c>
    </row>
    <row r="659" spans="1:5">
      <c r="A659" s="75">
        <v>37515</v>
      </c>
      <c r="B659" s="86" t="str">
        <f>TiposLancamentos!B2</f>
        <v>Telefonia</v>
      </c>
      <c r="C659" s="52" t="s">
        <v>14230</v>
      </c>
      <c r="D659" s="63"/>
      <c r="E659" s="98">
        <v>30.05</v>
      </c>
    </row>
    <row r="660" spans="1:5">
      <c r="A660" s="75">
        <v>37515</v>
      </c>
      <c r="B660" s="86" t="str">
        <f>TiposLancamentos!B79</f>
        <v>Financiamento Banco</v>
      </c>
      <c r="C660" s="52" t="s">
        <v>16144</v>
      </c>
      <c r="D660" s="63"/>
      <c r="E660" s="98">
        <v>72.48</v>
      </c>
    </row>
    <row r="661" spans="1:5">
      <c r="A661" s="75">
        <v>37515</v>
      </c>
      <c r="B661" s="86" t="str">
        <f>TiposLancamentos!B13</f>
        <v>Moradia</v>
      </c>
      <c r="C661" s="52" t="s">
        <v>12820</v>
      </c>
      <c r="D661" s="63"/>
      <c r="E661" s="98">
        <v>33.630000000000003</v>
      </c>
    </row>
    <row r="662" spans="1:5">
      <c r="A662" s="75">
        <v>37515</v>
      </c>
      <c r="B662" s="86" t="str">
        <f>TiposLancamentos!B2</f>
        <v>Telefonia</v>
      </c>
      <c r="C662" s="52" t="s">
        <v>2515</v>
      </c>
      <c r="D662" s="63"/>
      <c r="E662" s="98">
        <v>76.599999999999994</v>
      </c>
    </row>
    <row r="663" spans="1:5">
      <c r="A663" s="75">
        <v>37520</v>
      </c>
      <c r="B663" s="86" t="str">
        <f>TiposLancamentos!B20</f>
        <v>Saques</v>
      </c>
      <c r="C663" s="52" t="s">
        <v>2876</v>
      </c>
      <c r="D663" s="63"/>
      <c r="E663" s="98">
        <v>20</v>
      </c>
    </row>
    <row r="664" spans="1:5">
      <c r="A664" s="75">
        <v>37522</v>
      </c>
      <c r="B664" s="86" t="str">
        <f>TiposLancamentos!B19</f>
        <v>Restaurantes</v>
      </c>
      <c r="C664" s="52" t="s">
        <v>16145</v>
      </c>
      <c r="D664" s="63"/>
      <c r="E664" s="98">
        <v>11.5</v>
      </c>
    </row>
    <row r="665" spans="1:5">
      <c r="A665" s="75">
        <v>37523</v>
      </c>
      <c r="B665" s="86" t="str">
        <f>TiposLancamentos!B20</f>
        <v>Saques</v>
      </c>
      <c r="C665" s="52" t="s">
        <v>2668</v>
      </c>
      <c r="D665" s="63"/>
      <c r="E665" s="98">
        <v>10</v>
      </c>
    </row>
    <row r="666" spans="1:5">
      <c r="A666" s="75">
        <v>37523</v>
      </c>
      <c r="B666" s="86" t="str">
        <f>TiposLancamentos!B5</f>
        <v>Supermercado</v>
      </c>
      <c r="C666" s="52" t="s">
        <v>16146</v>
      </c>
      <c r="D666" s="63"/>
      <c r="E666" s="98">
        <v>28.89</v>
      </c>
    </row>
    <row r="667" spans="1:5">
      <c r="A667" s="75">
        <v>37524</v>
      </c>
      <c r="B667" s="86" t="str">
        <f>TiposLancamentos!B8</f>
        <v>Aluguel</v>
      </c>
      <c r="C667" s="52" t="s">
        <v>16147</v>
      </c>
      <c r="D667" s="63"/>
      <c r="E667" s="98">
        <v>237.4</v>
      </c>
    </row>
    <row r="668" spans="1:5">
      <c r="A668" s="75">
        <v>37526</v>
      </c>
      <c r="B668" s="86" t="str">
        <f>TiposLancamentos!B73</f>
        <v>Cursos</v>
      </c>
      <c r="C668" s="52" t="s">
        <v>16148</v>
      </c>
      <c r="D668" s="63"/>
      <c r="E668" s="98">
        <v>40.69</v>
      </c>
    </row>
    <row r="669" spans="1:5">
      <c r="A669" s="75">
        <v>37526</v>
      </c>
      <c r="B669" s="86" t="str">
        <f>TiposLancamentos!B4</f>
        <v>Taxas Bancarias</v>
      </c>
      <c r="C669" s="52" t="s">
        <v>5065</v>
      </c>
      <c r="D669" s="63"/>
      <c r="E669" s="98">
        <v>0.15</v>
      </c>
    </row>
    <row r="670" spans="1:5" ht="13.5" customHeight="1">
      <c r="A670" s="75">
        <v>37527</v>
      </c>
      <c r="B670" s="86" t="str">
        <f>TiposLancamentos!B16</f>
        <v>Cristiane</v>
      </c>
      <c r="C670" s="52" t="s">
        <v>16149</v>
      </c>
      <c r="D670" s="63"/>
      <c r="E670" s="98">
        <v>27.5</v>
      </c>
    </row>
    <row r="671" spans="1:5">
      <c r="A671" s="79">
        <v>37529</v>
      </c>
      <c r="B671" s="86" t="str">
        <f>TiposLancamentos!B105</f>
        <v>Transf. Bco</v>
      </c>
      <c r="C671" s="477" t="s">
        <v>16143</v>
      </c>
      <c r="D671" s="85">
        <v>495.17</v>
      </c>
      <c r="E671" s="97"/>
    </row>
    <row r="672" spans="1:5">
      <c r="A672" s="83"/>
      <c r="B672" s="91"/>
      <c r="C672" s="43" t="s">
        <v>12822</v>
      </c>
      <c r="D672" s="93"/>
      <c r="E672" s="94"/>
    </row>
    <row r="673" spans="1:5">
      <c r="A673" s="75">
        <v>37530</v>
      </c>
      <c r="B673" s="86" t="str">
        <f>TiposLancamentos!B6</f>
        <v>Energia Eletrica</v>
      </c>
      <c r="C673" s="52" t="s">
        <v>16022</v>
      </c>
      <c r="D673" s="63"/>
      <c r="E673" s="98">
        <v>31.76</v>
      </c>
    </row>
    <row r="674" spans="1:5">
      <c r="A674" s="75">
        <v>37530</v>
      </c>
      <c r="B674" s="86" t="str">
        <f>TiposLancamentos!B9</f>
        <v>Condominio</v>
      </c>
      <c r="C674" s="52" t="s">
        <v>5925</v>
      </c>
      <c r="D674" s="63"/>
      <c r="E674" s="98">
        <v>136.27000000000001</v>
      </c>
    </row>
    <row r="675" spans="1:5">
      <c r="A675" s="75">
        <v>37530</v>
      </c>
      <c r="B675" s="86" t="str">
        <f>TiposLancamentos!B4</f>
        <v>Taxas Bancarias</v>
      </c>
      <c r="C675" s="52" t="s">
        <v>16015</v>
      </c>
      <c r="D675" s="63"/>
      <c r="E675" s="98">
        <v>1.82</v>
      </c>
    </row>
    <row r="676" spans="1:5">
      <c r="A676" s="75">
        <v>37530</v>
      </c>
      <c r="B676" s="86" t="str">
        <f>TiposLancamentos!B4</f>
        <v>Taxas Bancarias</v>
      </c>
      <c r="C676" s="52" t="s">
        <v>16082</v>
      </c>
      <c r="D676" s="63"/>
      <c r="E676" s="98">
        <v>0.03</v>
      </c>
    </row>
    <row r="677" spans="1:5">
      <c r="A677" s="75">
        <v>37531</v>
      </c>
      <c r="B677" s="86" t="str">
        <f>TiposLancamentos!B4</f>
        <v>Taxas Bancarias</v>
      </c>
      <c r="C677" s="52" t="s">
        <v>5065</v>
      </c>
      <c r="D677" s="63"/>
      <c r="E677" s="98">
        <v>2.4700000000000002</v>
      </c>
    </row>
    <row r="678" spans="1:5">
      <c r="A678" s="75">
        <v>37532</v>
      </c>
      <c r="B678" s="86" t="str">
        <f>TiposLancamentos!B5</f>
        <v>Supermercado</v>
      </c>
      <c r="C678" s="52" t="s">
        <v>16150</v>
      </c>
      <c r="D678" s="63"/>
      <c r="E678" s="98">
        <v>19.510000000000002</v>
      </c>
    </row>
    <row r="679" spans="1:5">
      <c r="A679" s="75">
        <v>37533</v>
      </c>
      <c r="B679" s="86" t="str">
        <f>TiposLancamentos!B72</f>
        <v>Presentes</v>
      </c>
      <c r="C679" s="52" t="s">
        <v>16151</v>
      </c>
      <c r="D679" s="63"/>
      <c r="E679" s="98">
        <v>10.9</v>
      </c>
    </row>
    <row r="680" spans="1:5">
      <c r="A680" s="75">
        <v>37534</v>
      </c>
      <c r="B680" s="86" t="str">
        <f>TiposLancamentos!B20</f>
        <v>Saques</v>
      </c>
      <c r="C680" s="52" t="s">
        <v>2876</v>
      </c>
      <c r="D680" s="63"/>
      <c r="E680" s="98">
        <v>20</v>
      </c>
    </row>
    <row r="681" spans="1:5">
      <c r="A681" s="75">
        <v>37536</v>
      </c>
      <c r="B681" s="86" t="str">
        <f>TiposLancamentos!B66</f>
        <v>Faxineira</v>
      </c>
      <c r="C681" s="52" t="s">
        <v>16110</v>
      </c>
      <c r="D681" s="63"/>
      <c r="E681" s="98">
        <v>70</v>
      </c>
    </row>
    <row r="682" spans="1:5">
      <c r="A682" s="75">
        <v>37536</v>
      </c>
      <c r="B682" s="86" t="str">
        <f>TiposLancamentos!B19</f>
        <v>Restaurantes</v>
      </c>
      <c r="C682" s="52" t="s">
        <v>16152</v>
      </c>
      <c r="D682" s="63"/>
      <c r="E682" s="98">
        <v>32.1</v>
      </c>
    </row>
    <row r="683" spans="1:5">
      <c r="A683" s="75">
        <v>37540</v>
      </c>
      <c r="B683" s="86" t="str">
        <f>TiposLancamentos!B4</f>
        <v>Taxas Bancarias</v>
      </c>
      <c r="C683" s="52" t="s">
        <v>5065</v>
      </c>
      <c r="D683" s="63"/>
      <c r="E683" s="98">
        <v>0.56000000000000005</v>
      </c>
    </row>
    <row r="684" spans="1:5">
      <c r="A684" s="75">
        <v>37540</v>
      </c>
      <c r="B684" s="86" t="str">
        <f>TiposLancamentos!B5</f>
        <v>Supermercado</v>
      </c>
      <c r="C684" s="52" t="s">
        <v>16153</v>
      </c>
      <c r="D684" s="63"/>
      <c r="E684" s="98">
        <v>24.99</v>
      </c>
    </row>
    <row r="685" spans="1:5">
      <c r="A685" s="75">
        <v>37541</v>
      </c>
      <c r="B685" s="86" t="str">
        <f>TiposLancamentos!B20</f>
        <v>Saques</v>
      </c>
      <c r="C685" s="52" t="s">
        <v>2668</v>
      </c>
      <c r="D685" s="63"/>
      <c r="E685" s="98">
        <v>30</v>
      </c>
    </row>
    <row r="686" spans="1:5">
      <c r="A686" s="75">
        <v>37541</v>
      </c>
      <c r="B686" s="86" t="str">
        <f>TiposLancamentos!B76</f>
        <v>Motel</v>
      </c>
      <c r="C686" s="52" t="s">
        <v>16154</v>
      </c>
      <c r="D686" s="63"/>
      <c r="E686" s="98">
        <v>20</v>
      </c>
    </row>
    <row r="687" spans="1:5">
      <c r="A687" s="75">
        <v>37544</v>
      </c>
      <c r="B687" s="86" t="str">
        <f>TiposLancamentos!B2</f>
        <v>Telefonia</v>
      </c>
      <c r="C687" s="52" t="s">
        <v>14230</v>
      </c>
      <c r="D687" s="63"/>
      <c r="E687" s="98">
        <v>36.630000000000003</v>
      </c>
    </row>
    <row r="688" spans="1:5">
      <c r="A688" s="75">
        <v>37544</v>
      </c>
      <c r="B688" s="86" t="str">
        <f>TiposLancamentos!B13</f>
        <v>Moradia</v>
      </c>
      <c r="C688" s="52" t="s">
        <v>12827</v>
      </c>
      <c r="D688" s="63"/>
      <c r="E688" s="98">
        <v>33.630000000000003</v>
      </c>
    </row>
    <row r="689" spans="1:5">
      <c r="A689" s="75">
        <v>37544</v>
      </c>
      <c r="B689" s="86" t="str">
        <f>TiposLancamentos!B15</f>
        <v>Cartões de Crédito</v>
      </c>
      <c r="C689" s="52" t="s">
        <v>5142</v>
      </c>
      <c r="D689" s="63"/>
      <c r="E689" s="98">
        <v>163.96</v>
      </c>
    </row>
    <row r="690" spans="1:5">
      <c r="A690" s="75">
        <v>37544</v>
      </c>
      <c r="B690" s="86" t="str">
        <f>TiposLancamentos!B79</f>
        <v>Financiamento Banco</v>
      </c>
      <c r="C690" s="52" t="s">
        <v>16155</v>
      </c>
      <c r="D690" s="63"/>
      <c r="E690" s="98">
        <v>72.48</v>
      </c>
    </row>
    <row r="691" spans="1:5">
      <c r="A691" s="75">
        <v>37544</v>
      </c>
      <c r="B691" s="86" t="str">
        <f>TiposLancamentos!B2</f>
        <v>Telefonia</v>
      </c>
      <c r="C691" s="52" t="s">
        <v>2515</v>
      </c>
      <c r="D691" s="63"/>
      <c r="E691" s="98">
        <v>77.59</v>
      </c>
    </row>
    <row r="692" spans="1:5">
      <c r="A692" s="75">
        <v>37544</v>
      </c>
      <c r="B692" s="86" t="str">
        <f>TiposLancamentos!B105</f>
        <v>Transf. Bco</v>
      </c>
      <c r="C692" s="52" t="s">
        <v>16143</v>
      </c>
      <c r="D692" s="63">
        <v>513</v>
      </c>
      <c r="E692" s="98"/>
    </row>
    <row r="693" spans="1:5">
      <c r="A693" s="75">
        <v>37545</v>
      </c>
      <c r="B693" s="86" t="str">
        <f>TiposLancamentos!B20</f>
        <v>Saques</v>
      </c>
      <c r="C693" s="52" t="s">
        <v>2668</v>
      </c>
      <c r="D693" s="63"/>
      <c r="E693" s="98">
        <v>6</v>
      </c>
    </row>
    <row r="694" spans="1:5">
      <c r="A694" s="75">
        <v>37546</v>
      </c>
      <c r="B694" s="86" t="str">
        <f>TiposLancamentos!B13</f>
        <v>Moradia</v>
      </c>
      <c r="C694" s="52" t="s">
        <v>16156</v>
      </c>
      <c r="D694" s="63"/>
      <c r="E694" s="98">
        <v>39.46</v>
      </c>
    </row>
    <row r="695" spans="1:5">
      <c r="A695" s="75">
        <v>37547</v>
      </c>
      <c r="B695" s="86" t="str">
        <f>TiposLancamentos!B4</f>
        <v>Taxas Bancarias</v>
      </c>
      <c r="C695" s="3" t="s">
        <v>5065</v>
      </c>
      <c r="D695" s="63"/>
      <c r="E695" s="98">
        <v>2.08</v>
      </c>
    </row>
    <row r="696" spans="1:5">
      <c r="A696" s="75">
        <v>37547</v>
      </c>
      <c r="B696" s="86" t="str">
        <f>TiposLancamentos!B20</f>
        <v>Saques</v>
      </c>
      <c r="C696" s="52" t="s">
        <v>2668</v>
      </c>
      <c r="D696" s="63"/>
      <c r="E696" s="98">
        <v>5</v>
      </c>
    </row>
    <row r="697" spans="1:5">
      <c r="A697" s="75">
        <v>37547</v>
      </c>
      <c r="B697" s="86" t="str">
        <f>TiposLancamentos!B20</f>
        <v>Saques</v>
      </c>
      <c r="C697" s="52" t="s">
        <v>2668</v>
      </c>
      <c r="D697" s="63"/>
      <c r="E697" s="98">
        <v>10</v>
      </c>
    </row>
    <row r="698" spans="1:5">
      <c r="A698" s="75">
        <v>37548</v>
      </c>
      <c r="B698" s="86" t="str">
        <f>TiposLancamentos!B20</f>
        <v>Saques</v>
      </c>
      <c r="C698" s="52" t="s">
        <v>2668</v>
      </c>
      <c r="D698" s="63"/>
      <c r="E698" s="98">
        <v>20</v>
      </c>
    </row>
    <row r="699" spans="1:5">
      <c r="A699" s="75">
        <v>37554</v>
      </c>
      <c r="B699" s="86" t="str">
        <f>TiposLancamentos!B4</f>
        <v>Taxas Bancarias</v>
      </c>
      <c r="C699" s="3" t="s">
        <v>5065</v>
      </c>
      <c r="D699" s="63"/>
      <c r="E699" s="98">
        <v>0.4</v>
      </c>
    </row>
    <row r="700" spans="1:5">
      <c r="A700" s="75">
        <v>37554</v>
      </c>
      <c r="B700" s="86" t="str">
        <f>TiposLancamentos!B8</f>
        <v>Aluguel</v>
      </c>
      <c r="C700" s="52" t="s">
        <v>16157</v>
      </c>
      <c r="D700" s="63"/>
      <c r="E700" s="98">
        <v>237.61</v>
      </c>
    </row>
    <row r="701" spans="1:5">
      <c r="A701" s="75">
        <v>37554</v>
      </c>
      <c r="B701" s="86" t="str">
        <f>TiposLancamentos!B66</f>
        <v>Faxineira</v>
      </c>
      <c r="C701" s="52" t="s">
        <v>16158</v>
      </c>
      <c r="D701" s="63"/>
      <c r="E701" s="98">
        <v>70</v>
      </c>
    </row>
    <row r="702" spans="1:5">
      <c r="A702" s="75">
        <v>37555</v>
      </c>
      <c r="B702" s="86" t="str">
        <f>TiposLancamentos!B20</f>
        <v>Saques</v>
      </c>
      <c r="C702" s="52" t="s">
        <v>2668</v>
      </c>
      <c r="D702" s="63"/>
      <c r="E702" s="98">
        <v>12</v>
      </c>
    </row>
    <row r="703" spans="1:5">
      <c r="A703" s="75">
        <v>37556</v>
      </c>
      <c r="B703" s="86" t="str">
        <f>TiposLancamentos!B5</f>
        <v>Supermercado</v>
      </c>
      <c r="C703" s="52" t="s">
        <v>16159</v>
      </c>
      <c r="D703" s="63"/>
      <c r="E703" s="98">
        <v>27.51</v>
      </c>
    </row>
    <row r="704" spans="1:5">
      <c r="A704" s="75">
        <v>37557</v>
      </c>
      <c r="B704" s="86" t="str">
        <f>TiposLancamentos!B20</f>
        <v>Saques</v>
      </c>
      <c r="C704" s="52" t="s">
        <v>2876</v>
      </c>
      <c r="D704" s="63"/>
      <c r="E704" s="98">
        <v>20</v>
      </c>
    </row>
    <row r="705" spans="1:5">
      <c r="A705" s="75">
        <v>37559</v>
      </c>
      <c r="B705" s="86" t="str">
        <f>TiposLancamentos!B105</f>
        <v>Transf. Bco</v>
      </c>
      <c r="C705" s="52" t="s">
        <v>16143</v>
      </c>
      <c r="D705" s="63">
        <v>815.92</v>
      </c>
      <c r="E705" s="98"/>
    </row>
    <row r="706" spans="1:5">
      <c r="A706" s="79">
        <v>37560</v>
      </c>
      <c r="B706" s="95" t="str">
        <f>TiposLancamentos!B56</f>
        <v>Farmácia</v>
      </c>
      <c r="C706" s="477" t="s">
        <v>16160</v>
      </c>
      <c r="D706" s="85"/>
      <c r="E706" s="97">
        <v>19.399999999999999</v>
      </c>
    </row>
    <row r="707" spans="1:5">
      <c r="A707" s="75"/>
      <c r="B707" s="86"/>
      <c r="C707" s="52" t="s">
        <v>12829</v>
      </c>
      <c r="D707" s="63"/>
      <c r="E707" s="98"/>
    </row>
    <row r="708" spans="1:5">
      <c r="A708" s="75">
        <v>37561</v>
      </c>
      <c r="B708" s="86" t="str">
        <f>TiposLancamentos!B4</f>
        <v>Taxas Bancarias</v>
      </c>
      <c r="C708" s="52" t="s">
        <v>16082</v>
      </c>
      <c r="D708" s="63"/>
      <c r="E708" s="98">
        <v>0.08</v>
      </c>
    </row>
    <row r="709" spans="1:5">
      <c r="A709" s="75">
        <v>37561</v>
      </c>
      <c r="B709" s="86" t="str">
        <f>TiposLancamentos!B4</f>
        <v>Taxas Bancarias</v>
      </c>
      <c r="C709" s="3" t="s">
        <v>16161</v>
      </c>
      <c r="D709" s="63"/>
      <c r="E709" s="98">
        <v>5.1100000000000003</v>
      </c>
    </row>
    <row r="710" spans="1:5">
      <c r="A710" s="75">
        <v>37561</v>
      </c>
      <c r="B710" s="86" t="str">
        <f>TiposLancamentos!B4</f>
        <v>Taxas Bancarias</v>
      </c>
      <c r="C710" s="52" t="s">
        <v>5065</v>
      </c>
      <c r="D710" s="63"/>
      <c r="E710" s="98">
        <v>3.24</v>
      </c>
    </row>
    <row r="711" spans="1:5">
      <c r="A711" s="75">
        <v>37561</v>
      </c>
      <c r="B711" s="86" t="str">
        <f>TiposLancamentos!B5</f>
        <v>Supermercado</v>
      </c>
      <c r="C711" s="52" t="s">
        <v>16162</v>
      </c>
      <c r="D711" s="63"/>
      <c r="E711" s="98">
        <v>20.399999999999999</v>
      </c>
    </row>
    <row r="712" spans="1:5">
      <c r="A712" s="75">
        <v>37561</v>
      </c>
      <c r="B712" s="86" t="str">
        <f>TiposLancamentos!B9</f>
        <v>Condominio</v>
      </c>
      <c r="C712" s="52" t="s">
        <v>5925</v>
      </c>
      <c r="D712" s="63"/>
      <c r="E712" s="98">
        <v>138.01</v>
      </c>
    </row>
    <row r="713" spans="1:5">
      <c r="A713" s="75">
        <v>37561</v>
      </c>
      <c r="B713" s="86" t="str">
        <f>TiposLancamentos!B72</f>
        <v>Presentes</v>
      </c>
      <c r="C713" s="52" t="s">
        <v>16163</v>
      </c>
      <c r="D713" s="63"/>
      <c r="E713" s="98">
        <v>160</v>
      </c>
    </row>
    <row r="714" spans="1:5">
      <c r="A714" s="75">
        <v>37564</v>
      </c>
      <c r="B714" s="86" t="str">
        <f>TiposLancamentos!B4</f>
        <v>Taxas Bancarias</v>
      </c>
      <c r="C714" s="52" t="s">
        <v>5065</v>
      </c>
      <c r="D714" s="63"/>
      <c r="E714" s="98">
        <v>0.82</v>
      </c>
    </row>
    <row r="715" spans="1:5">
      <c r="A715" s="75">
        <v>37565</v>
      </c>
      <c r="B715" s="86" t="str">
        <f>TiposLancamentos!B20</f>
        <v>Saques</v>
      </c>
      <c r="C715" s="52" t="s">
        <v>2668</v>
      </c>
      <c r="D715" s="63"/>
      <c r="E715" s="98">
        <v>4</v>
      </c>
    </row>
    <row r="716" spans="1:5">
      <c r="A716" s="75">
        <v>37565</v>
      </c>
      <c r="B716" s="86" t="str">
        <f>TiposLancamentos!B19</f>
        <v>Restaurantes</v>
      </c>
      <c r="C716" s="52" t="s">
        <v>16164</v>
      </c>
      <c r="D716" s="63"/>
      <c r="E716" s="98">
        <v>19.8</v>
      </c>
    </row>
    <row r="717" spans="1:5">
      <c r="A717" s="75">
        <v>37566</v>
      </c>
      <c r="B717" s="86" t="str">
        <f>TiposLancamentos!B57</f>
        <v>Informática</v>
      </c>
      <c r="C717" s="52" t="s">
        <v>16165</v>
      </c>
      <c r="D717" s="63"/>
      <c r="E717" s="98">
        <v>27.95</v>
      </c>
    </row>
    <row r="718" spans="1:5">
      <c r="A718" s="75">
        <v>37568</v>
      </c>
      <c r="B718" s="86" t="str">
        <f>TiposLancamentos!B4</f>
        <v>Taxas Bancarias</v>
      </c>
      <c r="C718" s="3" t="s">
        <v>5065</v>
      </c>
      <c r="D718" s="63"/>
      <c r="E718" s="98">
        <v>1.35</v>
      </c>
    </row>
    <row r="719" spans="1:5">
      <c r="A719" s="75">
        <v>37570</v>
      </c>
      <c r="B719" s="86" t="str">
        <f>TiposLancamentos!B5</f>
        <v>Supermercado</v>
      </c>
      <c r="C719" s="52" t="s">
        <v>16166</v>
      </c>
      <c r="D719" s="63"/>
      <c r="E719" s="98">
        <v>33.79</v>
      </c>
    </row>
    <row r="720" spans="1:5">
      <c r="A720" s="75">
        <v>37570</v>
      </c>
      <c r="B720" s="86" t="str">
        <f>TiposLancamentos!B20</f>
        <v>Saques</v>
      </c>
      <c r="C720" s="52" t="s">
        <v>2655</v>
      </c>
      <c r="D720" s="63"/>
      <c r="E720" s="98">
        <v>13</v>
      </c>
    </row>
    <row r="721" spans="1:5">
      <c r="A721" s="75">
        <v>37571</v>
      </c>
      <c r="B721" s="86" t="str">
        <f>TiposLancamentos!B20</f>
        <v>Saques</v>
      </c>
      <c r="C721" s="52" t="s">
        <v>2668</v>
      </c>
      <c r="D721" s="63"/>
      <c r="E721" s="98">
        <v>20</v>
      </c>
    </row>
    <row r="722" spans="1:5">
      <c r="A722" s="75">
        <v>37571</v>
      </c>
      <c r="B722" s="86" t="str">
        <f>TiposLancamentos!B4</f>
        <v>Taxas Bancarias</v>
      </c>
      <c r="C722" s="52" t="s">
        <v>15915</v>
      </c>
      <c r="D722" s="63"/>
      <c r="E722" s="98">
        <v>7</v>
      </c>
    </row>
    <row r="723" spans="1:5">
      <c r="A723" s="75">
        <v>37574</v>
      </c>
      <c r="B723" s="86" t="str">
        <f>TiposLancamentos!B2</f>
        <v>Telefonia</v>
      </c>
      <c r="C723" s="52" t="s">
        <v>2515</v>
      </c>
      <c r="D723" s="63"/>
      <c r="E723" s="98">
        <v>97.81</v>
      </c>
    </row>
    <row r="724" spans="1:5">
      <c r="A724" s="75">
        <v>37574</v>
      </c>
      <c r="B724" s="86" t="str">
        <f>TiposLancamentos!B74</f>
        <v>Noite</v>
      </c>
      <c r="C724" s="52" t="s">
        <v>16167</v>
      </c>
      <c r="D724" s="63"/>
      <c r="E724" s="98">
        <v>30</v>
      </c>
    </row>
    <row r="725" spans="1:5">
      <c r="A725" s="75">
        <v>37574</v>
      </c>
      <c r="B725" s="86" t="str">
        <f>TiposLancamentos!B105</f>
        <v>Transf. Bco</v>
      </c>
      <c r="C725" s="52" t="s">
        <v>16168</v>
      </c>
      <c r="D725" s="63">
        <v>30</v>
      </c>
      <c r="E725" s="98"/>
    </row>
    <row r="726" spans="1:5">
      <c r="A726" s="75">
        <v>37574</v>
      </c>
      <c r="B726" s="86" t="str">
        <f>TiposLancamentos!B105</f>
        <v>Transf. Bco</v>
      </c>
      <c r="C726" s="52" t="s">
        <v>16143</v>
      </c>
      <c r="D726" s="63">
        <v>549.89</v>
      </c>
      <c r="E726" s="98"/>
    </row>
    <row r="727" spans="1:5">
      <c r="A727" s="75">
        <v>37574</v>
      </c>
      <c r="B727" s="86" t="str">
        <f>TiposLancamentos!B4</f>
        <v>Taxas Bancarias</v>
      </c>
      <c r="C727" s="52" t="s">
        <v>5065</v>
      </c>
      <c r="D727" s="63"/>
      <c r="E727" s="98">
        <v>0.46</v>
      </c>
    </row>
    <row r="728" spans="1:5">
      <c r="A728" s="75">
        <v>37574</v>
      </c>
      <c r="B728" s="86" t="str">
        <f>TiposLancamentos!B70</f>
        <v>Vestuário</v>
      </c>
      <c r="C728" s="52" t="s">
        <v>16169</v>
      </c>
      <c r="D728" s="63"/>
      <c r="E728" s="98">
        <v>78.72</v>
      </c>
    </row>
    <row r="729" spans="1:5">
      <c r="A729" s="75">
        <v>37574</v>
      </c>
      <c r="B729" s="86" t="str">
        <f>TiposLancamentos!B20</f>
        <v>Saques</v>
      </c>
      <c r="C729" s="52" t="s">
        <v>2668</v>
      </c>
      <c r="D729" s="63"/>
      <c r="E729" s="98">
        <v>15</v>
      </c>
    </row>
    <row r="730" spans="1:5">
      <c r="A730" s="75">
        <v>37575</v>
      </c>
      <c r="B730" s="86" t="str">
        <f>TiposLancamentos!B15</f>
        <v>Cartões de Crédito</v>
      </c>
      <c r="C730" s="52" t="s">
        <v>16098</v>
      </c>
      <c r="D730" s="63"/>
      <c r="E730" s="98">
        <v>99.46</v>
      </c>
    </row>
    <row r="731" spans="1:5">
      <c r="A731" s="75">
        <v>37575</v>
      </c>
      <c r="B731" s="86" t="str">
        <f>TiposLancamentos!B2</f>
        <v>Telefonia</v>
      </c>
      <c r="C731" s="52" t="s">
        <v>14230</v>
      </c>
      <c r="D731" s="63"/>
      <c r="E731" s="98">
        <v>93.96</v>
      </c>
    </row>
    <row r="732" spans="1:5">
      <c r="A732" s="75">
        <v>37575</v>
      </c>
      <c r="B732" s="86" t="str">
        <f>TiposLancamentos!B79</f>
        <v>Financiamento Banco</v>
      </c>
      <c r="C732" s="52" t="s">
        <v>16170</v>
      </c>
      <c r="D732" s="63"/>
      <c r="E732" s="98">
        <v>72.48</v>
      </c>
    </row>
    <row r="733" spans="1:5">
      <c r="A733" s="75">
        <v>37577</v>
      </c>
      <c r="B733" s="86" t="str">
        <f>TiposLancamentos!B5</f>
        <v>Supermercado</v>
      </c>
      <c r="C733" s="52" t="s">
        <v>4816</v>
      </c>
      <c r="D733" s="63"/>
      <c r="E733" s="98">
        <v>16.64</v>
      </c>
    </row>
    <row r="734" spans="1:5">
      <c r="A734" s="75">
        <v>37579</v>
      </c>
      <c r="B734" s="86" t="str">
        <f>TiposLancamentos!B66</f>
        <v>Faxineira</v>
      </c>
      <c r="C734" s="52" t="s">
        <v>16110</v>
      </c>
      <c r="D734" s="63"/>
      <c r="E734" s="98">
        <v>70</v>
      </c>
    </row>
    <row r="735" spans="1:5">
      <c r="A735" s="75">
        <v>37581</v>
      </c>
      <c r="B735" s="86" t="str">
        <f>TiposLancamentos!B16</f>
        <v>Cristiane</v>
      </c>
      <c r="C735" s="52" t="s">
        <v>16171</v>
      </c>
      <c r="D735" s="63"/>
      <c r="E735" s="98">
        <v>50</v>
      </c>
    </row>
    <row r="736" spans="1:5">
      <c r="A736" s="75">
        <v>37582</v>
      </c>
      <c r="B736" s="86" t="str">
        <f>TiposLancamentos!B20</f>
        <v>Saques</v>
      </c>
      <c r="C736" s="52" t="s">
        <v>2668</v>
      </c>
      <c r="D736" s="63"/>
      <c r="E736" s="98">
        <v>10</v>
      </c>
    </row>
    <row r="737" spans="1:5">
      <c r="A737" s="75">
        <v>37582</v>
      </c>
      <c r="B737" s="86" t="str">
        <f>TiposLancamentos!B4</f>
        <v>Taxas Bancarias</v>
      </c>
      <c r="C737" s="52" t="s">
        <v>5065</v>
      </c>
      <c r="D737" s="63"/>
      <c r="E737" s="98">
        <v>2.74</v>
      </c>
    </row>
    <row r="738" spans="1:5">
      <c r="A738" s="75">
        <v>37583</v>
      </c>
      <c r="B738" s="86" t="str">
        <f>TiposLancamentos!B70</f>
        <v>Vestuário</v>
      </c>
      <c r="C738" s="52" t="s">
        <v>16172</v>
      </c>
      <c r="D738" s="63"/>
      <c r="E738" s="98">
        <v>74.8</v>
      </c>
    </row>
    <row r="739" spans="1:5">
      <c r="A739" s="75">
        <v>37584</v>
      </c>
      <c r="B739" s="86" t="str">
        <f>TiposLancamentos!B76</f>
        <v>Motel</v>
      </c>
      <c r="C739" s="52" t="s">
        <v>16173</v>
      </c>
      <c r="D739" s="63"/>
      <c r="E739" s="98">
        <v>20</v>
      </c>
    </row>
    <row r="740" spans="1:5">
      <c r="A740" s="75">
        <v>37585</v>
      </c>
      <c r="B740" s="86" t="str">
        <f>TiposLancamentos!B8</f>
        <v>Aluguel</v>
      </c>
      <c r="C740" s="52" t="s">
        <v>16174</v>
      </c>
      <c r="D740" s="63"/>
      <c r="E740" s="98">
        <v>237.46</v>
      </c>
    </row>
    <row r="741" spans="1:5">
      <c r="A741" s="75">
        <v>37585</v>
      </c>
      <c r="B741" s="86" t="str">
        <f>TiposLancamentos!B71</f>
        <v>Itens Pessoais</v>
      </c>
      <c r="C741" s="52" t="s">
        <v>16175</v>
      </c>
      <c r="D741" s="63"/>
      <c r="E741" s="98">
        <v>130</v>
      </c>
    </row>
    <row r="742" spans="1:5">
      <c r="A742" s="75">
        <v>37585</v>
      </c>
      <c r="B742" s="86" t="str">
        <f>TiposLancamentos!B5</f>
        <v>Supermercado</v>
      </c>
      <c r="C742" s="52" t="s">
        <v>4816</v>
      </c>
      <c r="D742" s="63"/>
      <c r="E742" s="98">
        <v>30.13</v>
      </c>
    </row>
    <row r="743" spans="1:5">
      <c r="A743" s="75">
        <v>37588</v>
      </c>
      <c r="B743" s="86" t="str">
        <f>TiposLancamentos!B20</f>
        <v>Saques</v>
      </c>
      <c r="C743" s="52" t="s">
        <v>2668</v>
      </c>
      <c r="D743" s="63"/>
      <c r="E743" s="98">
        <v>10</v>
      </c>
    </row>
    <row r="744" spans="1:5">
      <c r="A744" s="75">
        <v>37588</v>
      </c>
      <c r="B744" s="86" t="str">
        <f>TiposLancamentos!B4</f>
        <v>Taxas Bancarias</v>
      </c>
      <c r="C744" s="52" t="s">
        <v>15993</v>
      </c>
      <c r="D744" s="63"/>
      <c r="E744" s="98">
        <v>16</v>
      </c>
    </row>
    <row r="745" spans="1:5">
      <c r="A745" s="75">
        <v>37589</v>
      </c>
      <c r="B745" s="86" t="str">
        <f>TiposLancamentos!B105</f>
        <v>Transf. Bco</v>
      </c>
      <c r="C745" s="52" t="s">
        <v>16143</v>
      </c>
      <c r="D745" s="63">
        <v>1230</v>
      </c>
      <c r="E745" s="98"/>
    </row>
    <row r="746" spans="1:5">
      <c r="A746" s="75">
        <v>37589</v>
      </c>
      <c r="B746" s="86" t="str">
        <f>TiposLancamentos!B73</f>
        <v>Cursos</v>
      </c>
      <c r="C746" s="52" t="s">
        <v>16176</v>
      </c>
      <c r="D746" s="63"/>
      <c r="E746" s="98">
        <v>5</v>
      </c>
    </row>
    <row r="747" spans="1:5">
      <c r="A747" s="75">
        <v>37589</v>
      </c>
      <c r="B747" s="86" t="str">
        <f>TiposLancamentos!B4</f>
        <v>Taxas Bancarias</v>
      </c>
      <c r="C747" s="52" t="s">
        <v>5065</v>
      </c>
      <c r="D747" s="63"/>
      <c r="E747" s="98">
        <v>2.02</v>
      </c>
    </row>
    <row r="748" spans="1:5">
      <c r="A748" s="75">
        <v>37590</v>
      </c>
      <c r="B748" s="86" t="str">
        <f>TiposLancamentos!B19</f>
        <v>Restaurantes</v>
      </c>
      <c r="C748" s="52" t="s">
        <v>16177</v>
      </c>
      <c r="D748" s="63"/>
      <c r="E748" s="98">
        <v>23</v>
      </c>
    </row>
    <row r="749" spans="1:5">
      <c r="A749" s="83"/>
      <c r="B749" s="91"/>
      <c r="C749" s="43" t="s">
        <v>12834</v>
      </c>
      <c r="D749" s="93"/>
      <c r="E749" s="94"/>
    </row>
    <row r="750" spans="1:5">
      <c r="A750" s="75">
        <v>37592</v>
      </c>
      <c r="B750" s="86" t="str">
        <f>TiposLancamentos!B105</f>
        <v>Transf. Bco</v>
      </c>
      <c r="C750" s="52" t="s">
        <v>16178</v>
      </c>
      <c r="D750" s="63">
        <v>150</v>
      </c>
      <c r="E750" s="98"/>
    </row>
    <row r="751" spans="1:5">
      <c r="A751" s="75">
        <v>37592</v>
      </c>
      <c r="B751" s="86" t="str">
        <f>TiposLancamentos!B4</f>
        <v>Taxas Bancarias</v>
      </c>
      <c r="C751" s="52" t="s">
        <v>16082</v>
      </c>
      <c r="D751" s="63"/>
      <c r="E751" s="98">
        <v>0.16</v>
      </c>
    </row>
    <row r="752" spans="1:5">
      <c r="A752" s="75">
        <v>37592</v>
      </c>
      <c r="B752" s="86" t="str">
        <f>TiposLancamentos!B4</f>
        <v>Taxas Bancarias</v>
      </c>
      <c r="C752" s="3" t="s">
        <v>16161</v>
      </c>
      <c r="D752" s="63"/>
      <c r="E752" s="98">
        <v>10.3</v>
      </c>
    </row>
    <row r="753" spans="1:5">
      <c r="A753" s="75">
        <v>37592</v>
      </c>
      <c r="B753" s="86" t="str">
        <f>TiposLancamentos!B79</f>
        <v>Financiamento Banco</v>
      </c>
      <c r="C753" s="52" t="s">
        <v>16179</v>
      </c>
      <c r="D753" s="63"/>
      <c r="E753" s="98">
        <v>471.77</v>
      </c>
    </row>
    <row r="754" spans="1:5">
      <c r="A754" s="75">
        <v>37594</v>
      </c>
      <c r="B754" s="86" t="str">
        <f>TiposLancamentos!B73</f>
        <v>Cursos</v>
      </c>
      <c r="C754" s="52" t="s">
        <v>16180</v>
      </c>
      <c r="D754" s="63"/>
      <c r="E754" s="98">
        <v>10</v>
      </c>
    </row>
    <row r="755" spans="1:5">
      <c r="A755" s="75">
        <v>37596</v>
      </c>
      <c r="B755" s="86" t="str">
        <f>TiposLancamentos!B4</f>
        <v>Taxas Bancarias</v>
      </c>
      <c r="C755" s="52" t="s">
        <v>5065</v>
      </c>
      <c r="D755" s="63"/>
      <c r="E755" s="98">
        <v>4.7300000000000004</v>
      </c>
    </row>
    <row r="756" spans="1:5">
      <c r="A756" s="75">
        <v>37596</v>
      </c>
      <c r="B756" s="86" t="str">
        <f>TiposLancamentos!B5</f>
        <v>Supermercado</v>
      </c>
      <c r="C756" s="52" t="s">
        <v>16181</v>
      </c>
      <c r="D756" s="63"/>
      <c r="E756" s="98">
        <v>31.89</v>
      </c>
    </row>
    <row r="757" spans="1:5">
      <c r="A757" s="75">
        <v>37596</v>
      </c>
      <c r="B757" s="86" t="str">
        <f>TiposLancamentos!B74</f>
        <v>Noite</v>
      </c>
      <c r="C757" s="52" t="s">
        <v>14204</v>
      </c>
      <c r="D757" s="63"/>
      <c r="E757" s="98">
        <v>20</v>
      </c>
    </row>
    <row r="758" spans="1:5">
      <c r="A758" s="75">
        <v>37597</v>
      </c>
      <c r="B758" s="86" t="str">
        <f>TiposLancamentos!B64</f>
        <v>Viagens</v>
      </c>
      <c r="C758" s="52" t="s">
        <v>14183</v>
      </c>
      <c r="D758" s="63"/>
      <c r="E758" s="98">
        <v>40</v>
      </c>
    </row>
    <row r="759" spans="1:5">
      <c r="A759" s="75">
        <v>37597</v>
      </c>
      <c r="B759" s="86" t="str">
        <f>TiposLancamentos!B5</f>
        <v>Supermercado</v>
      </c>
      <c r="C759" s="52" t="s">
        <v>4816</v>
      </c>
      <c r="D759" s="63"/>
      <c r="E759" s="98">
        <v>27.01</v>
      </c>
    </row>
    <row r="760" spans="1:5">
      <c r="A760" s="75">
        <v>37600</v>
      </c>
      <c r="B760" s="86" t="str">
        <f>TiposLancamentos!B4</f>
        <v>Taxas Bancarias</v>
      </c>
      <c r="C760" s="52" t="s">
        <v>15915</v>
      </c>
      <c r="D760" s="63"/>
      <c r="E760" s="98">
        <v>7</v>
      </c>
    </row>
    <row r="761" spans="1:5">
      <c r="A761" s="75">
        <v>37600</v>
      </c>
      <c r="B761" s="86" t="str">
        <f>TiposLancamentos!B56</f>
        <v>Farmácia</v>
      </c>
      <c r="C761" s="52" t="s">
        <v>16182</v>
      </c>
      <c r="D761" s="63"/>
      <c r="E761" s="98">
        <v>20</v>
      </c>
    </row>
    <row r="762" spans="1:5">
      <c r="A762" s="75">
        <v>37601</v>
      </c>
      <c r="B762" s="86" t="str">
        <f>TiposLancamentos!B64</f>
        <v>Viagens</v>
      </c>
      <c r="C762" s="52" t="s">
        <v>16183</v>
      </c>
      <c r="D762" s="63"/>
      <c r="E762" s="98">
        <v>72.58</v>
      </c>
    </row>
    <row r="763" spans="1:5">
      <c r="A763" s="75">
        <v>37601</v>
      </c>
      <c r="B763" s="86" t="str">
        <f>TiposLancamentos!B71</f>
        <v>Itens Pessoais</v>
      </c>
      <c r="C763" s="52" t="s">
        <v>16184</v>
      </c>
      <c r="D763" s="63"/>
      <c r="E763" s="98">
        <v>39.799999999999997</v>
      </c>
    </row>
    <row r="764" spans="1:5">
      <c r="A764" s="75">
        <v>37603</v>
      </c>
      <c r="B764" s="86" t="str">
        <f>TiposLancamentos!B105</f>
        <v>Transf. Bco</v>
      </c>
      <c r="C764" s="52" t="s">
        <v>16143</v>
      </c>
      <c r="D764" s="63">
        <v>612</v>
      </c>
      <c r="E764" s="98"/>
    </row>
    <row r="765" spans="1:5">
      <c r="A765" s="75">
        <v>37603</v>
      </c>
      <c r="B765" s="86" t="str">
        <f>TiposLancamentos!B105</f>
        <v>Transf. Bco</v>
      </c>
      <c r="C765" s="52" t="s">
        <v>16143</v>
      </c>
      <c r="D765" s="63">
        <v>92</v>
      </c>
      <c r="E765" s="98"/>
    </row>
    <row r="766" spans="1:5">
      <c r="A766" s="75">
        <v>37603</v>
      </c>
      <c r="B766" s="86" t="str">
        <f>TiposLancamentos!B2</f>
        <v>Telefonia</v>
      </c>
      <c r="C766" s="52" t="s">
        <v>2515</v>
      </c>
      <c r="D766" s="63"/>
      <c r="E766" s="98">
        <v>87.82</v>
      </c>
    </row>
    <row r="767" spans="1:5">
      <c r="A767" s="75">
        <v>37603</v>
      </c>
      <c r="B767" s="86" t="str">
        <f>TiposLancamentos!B72</f>
        <v>Presentes</v>
      </c>
      <c r="C767" s="52" t="s">
        <v>16185</v>
      </c>
      <c r="D767" s="63"/>
      <c r="E767" s="98">
        <v>40</v>
      </c>
    </row>
    <row r="768" spans="1:5">
      <c r="A768" s="75">
        <v>37603</v>
      </c>
      <c r="B768" s="86" t="str">
        <f>TiposLancamentos!B19</f>
        <v>Restaurantes</v>
      </c>
      <c r="C768" s="52" t="s">
        <v>16186</v>
      </c>
      <c r="D768" s="63"/>
      <c r="E768" s="98">
        <v>14.5</v>
      </c>
    </row>
    <row r="769" spans="1:5">
      <c r="A769" s="75">
        <v>37603</v>
      </c>
      <c r="B769" s="86" t="str">
        <f>TiposLancamentos!B72</f>
        <v>Presentes</v>
      </c>
      <c r="C769" s="52" t="s">
        <v>16187</v>
      </c>
      <c r="D769" s="63"/>
      <c r="E769" s="98">
        <v>41.97</v>
      </c>
    </row>
    <row r="770" spans="1:5">
      <c r="A770" s="75">
        <v>37603</v>
      </c>
      <c r="B770" s="86" t="str">
        <f>TiposLancamentos!B72</f>
        <v>Presentes</v>
      </c>
      <c r="C770" s="52" t="s">
        <v>16188</v>
      </c>
      <c r="D770" s="63"/>
      <c r="E770" s="98">
        <v>47.45</v>
      </c>
    </row>
    <row r="771" spans="1:5">
      <c r="A771" s="75">
        <v>37603</v>
      </c>
      <c r="B771" s="86" t="str">
        <f>TiposLancamentos!B105</f>
        <v>Transf. Bco</v>
      </c>
      <c r="C771" s="52" t="s">
        <v>16189</v>
      </c>
      <c r="D771" s="63">
        <v>37.5</v>
      </c>
      <c r="E771" s="98"/>
    </row>
    <row r="772" spans="1:5">
      <c r="A772" s="75">
        <v>37603</v>
      </c>
      <c r="B772" s="86" t="str">
        <f>TiposLancamentos!B59</f>
        <v>Documentos</v>
      </c>
      <c r="C772" s="52" t="s">
        <v>16190</v>
      </c>
      <c r="D772" s="63"/>
      <c r="E772" s="98">
        <v>120</v>
      </c>
    </row>
    <row r="773" spans="1:5">
      <c r="A773" s="75">
        <v>37603</v>
      </c>
      <c r="B773" s="86" t="str">
        <f>TiposLancamentos!B16</f>
        <v>Cristiane</v>
      </c>
      <c r="C773" s="52" t="s">
        <v>16191</v>
      </c>
      <c r="D773" s="63"/>
      <c r="E773" s="98">
        <v>40</v>
      </c>
    </row>
    <row r="774" spans="1:5">
      <c r="A774" s="75">
        <v>37603</v>
      </c>
      <c r="B774" s="86" t="str">
        <f>TiposLancamentos!B4</f>
        <v>Taxas Bancarias</v>
      </c>
      <c r="C774" s="52" t="s">
        <v>5065</v>
      </c>
      <c r="D774" s="63"/>
      <c r="E774" s="98">
        <v>0.64</v>
      </c>
    </row>
    <row r="775" spans="1:5">
      <c r="A775" s="75">
        <v>37604</v>
      </c>
      <c r="B775" s="86" t="str">
        <f>TiposLancamentos!B71</f>
        <v>Itens Pessoais</v>
      </c>
      <c r="C775" s="52" t="s">
        <v>16192</v>
      </c>
      <c r="D775" s="63"/>
      <c r="E775" s="98">
        <v>59.9</v>
      </c>
    </row>
    <row r="776" spans="1:5">
      <c r="A776" s="75">
        <v>37604</v>
      </c>
      <c r="B776" s="86" t="str">
        <f>TiposLancamentos!B16</f>
        <v>Cristiane</v>
      </c>
      <c r="C776" s="52" t="s">
        <v>16193</v>
      </c>
      <c r="D776" s="63"/>
      <c r="E776" s="98">
        <v>80</v>
      </c>
    </row>
    <row r="777" spans="1:5">
      <c r="A777" s="75">
        <v>37604</v>
      </c>
      <c r="B777" s="86" t="str">
        <f>TiposLancamentos!B64</f>
        <v>Viagens</v>
      </c>
      <c r="C777" s="52" t="s">
        <v>14183</v>
      </c>
      <c r="D777" s="63"/>
      <c r="E777" s="98">
        <v>20</v>
      </c>
    </row>
    <row r="778" spans="1:5">
      <c r="A778" s="75">
        <v>37604</v>
      </c>
      <c r="B778" s="86" t="str">
        <f>TiposLancamentos!B70</f>
        <v>Vestuário</v>
      </c>
      <c r="C778" s="52" t="s">
        <v>16194</v>
      </c>
      <c r="D778" s="63"/>
      <c r="E778" s="98">
        <v>78</v>
      </c>
    </row>
    <row r="779" spans="1:5">
      <c r="A779" s="75">
        <v>37604</v>
      </c>
      <c r="B779" s="86" t="str">
        <f>TiposLancamentos!B76</f>
        <v>Motel</v>
      </c>
      <c r="C779" s="52" t="s">
        <v>16195</v>
      </c>
      <c r="D779" s="63"/>
      <c r="E779" s="98">
        <v>12</v>
      </c>
    </row>
    <row r="780" spans="1:5">
      <c r="A780" s="75">
        <v>37605</v>
      </c>
      <c r="B780" s="86" t="str">
        <f>TiposLancamentos!B15</f>
        <v>Cartões de Crédito</v>
      </c>
      <c r="C780" s="52" t="s">
        <v>5142</v>
      </c>
      <c r="D780" s="63"/>
      <c r="E780" s="98">
        <v>49.9</v>
      </c>
    </row>
    <row r="781" spans="1:5">
      <c r="A781" s="75">
        <v>37605</v>
      </c>
      <c r="B781" s="86" t="str">
        <f>TiposLancamentos!B2</f>
        <v>Telefonia</v>
      </c>
      <c r="C781" s="52" t="s">
        <v>14230</v>
      </c>
      <c r="D781" s="63"/>
      <c r="E781" s="98">
        <v>26.6</v>
      </c>
    </row>
    <row r="782" spans="1:5">
      <c r="A782" s="75">
        <v>37606</v>
      </c>
      <c r="B782" s="86" t="str">
        <f>TiposLancamentos!B70</f>
        <v>Vestuário</v>
      </c>
      <c r="C782" s="52" t="s">
        <v>16196</v>
      </c>
      <c r="D782" s="63"/>
      <c r="E782" s="98">
        <v>58</v>
      </c>
    </row>
    <row r="783" spans="1:5">
      <c r="A783" s="75">
        <v>37606</v>
      </c>
      <c r="B783" s="86" t="str">
        <f>TiposLancamentos!B70</f>
        <v>Vestuário</v>
      </c>
      <c r="C783" s="52" t="s">
        <v>12837</v>
      </c>
      <c r="D783" s="63"/>
      <c r="E783" s="98">
        <v>74.95</v>
      </c>
    </row>
    <row r="784" spans="1:5">
      <c r="A784" s="75">
        <v>37607</v>
      </c>
      <c r="B784" s="86" t="str">
        <f>TiposLancamentos!B66</f>
        <v>Faxineira</v>
      </c>
      <c r="C784" s="52" t="s">
        <v>14203</v>
      </c>
      <c r="D784" s="63"/>
      <c r="E784" s="98">
        <v>70</v>
      </c>
    </row>
    <row r="785" spans="1:5">
      <c r="A785" s="75">
        <v>37608</v>
      </c>
      <c r="B785" s="86" t="str">
        <f>TiposLancamentos!B57</f>
        <v>Informática</v>
      </c>
      <c r="C785" s="52" t="s">
        <v>16197</v>
      </c>
      <c r="D785" s="63"/>
      <c r="E785" s="98">
        <v>27.25</v>
      </c>
    </row>
    <row r="786" spans="1:5">
      <c r="A786" s="75">
        <v>37608</v>
      </c>
      <c r="B786" s="86" t="str">
        <f>TiposLancamentos!B71</f>
        <v>Itens Pessoais</v>
      </c>
      <c r="C786" s="52" t="s">
        <v>12839</v>
      </c>
      <c r="D786" s="63"/>
      <c r="E786" s="98">
        <v>74.95</v>
      </c>
    </row>
    <row r="787" spans="1:5">
      <c r="A787" s="75">
        <v>37610</v>
      </c>
      <c r="B787" s="86" t="str">
        <f>TiposLancamentos!B56</f>
        <v>Farmácia</v>
      </c>
      <c r="C787" s="52" t="s">
        <v>16198</v>
      </c>
      <c r="D787" s="63"/>
      <c r="E787" s="98">
        <v>17.34</v>
      </c>
    </row>
    <row r="788" spans="1:5">
      <c r="A788" s="75">
        <v>37610</v>
      </c>
      <c r="B788" s="86" t="str">
        <f>TiposLancamentos!B4</f>
        <v>Taxas Bancarias</v>
      </c>
      <c r="C788" s="52" t="s">
        <v>5065</v>
      </c>
      <c r="D788" s="63"/>
      <c r="E788" s="98">
        <v>3.16</v>
      </c>
    </row>
    <row r="789" spans="1:5">
      <c r="A789" s="75">
        <v>37610</v>
      </c>
      <c r="B789" s="86" t="str">
        <f>TiposLancamentos!B20</f>
        <v>Saques</v>
      </c>
      <c r="C789" s="52" t="s">
        <v>2668</v>
      </c>
      <c r="D789" s="63"/>
      <c r="E789" s="98">
        <v>20</v>
      </c>
    </row>
    <row r="790" spans="1:5">
      <c r="A790" s="75">
        <v>37611</v>
      </c>
      <c r="B790" s="86" t="str">
        <f>TiposLancamentos!B20</f>
        <v>Saques</v>
      </c>
      <c r="C790" s="52" t="s">
        <v>2655</v>
      </c>
      <c r="D790" s="63"/>
      <c r="E790" s="98">
        <v>50</v>
      </c>
    </row>
    <row r="791" spans="1:5">
      <c r="A791" s="75">
        <v>37612</v>
      </c>
      <c r="B791" s="86" t="str">
        <f>TiposLancamentos!B70</f>
        <v>Vestuário</v>
      </c>
      <c r="C791" s="52" t="s">
        <v>16199</v>
      </c>
      <c r="D791" s="63"/>
      <c r="E791" s="98">
        <v>15.9</v>
      </c>
    </row>
    <row r="792" spans="1:5">
      <c r="A792" s="75">
        <v>37614</v>
      </c>
      <c r="B792" s="86" t="str">
        <f>TiposLancamentos!B13</f>
        <v>Moradia</v>
      </c>
      <c r="C792" s="52" t="s">
        <v>16200</v>
      </c>
      <c r="D792" s="63"/>
      <c r="E792" s="98">
        <v>19</v>
      </c>
    </row>
    <row r="793" spans="1:5">
      <c r="A793" s="75">
        <v>37616</v>
      </c>
      <c r="B793" s="86" t="str">
        <f>TiposLancamentos!B8</f>
        <v>Aluguel</v>
      </c>
      <c r="C793" s="52" t="s">
        <v>16201</v>
      </c>
      <c r="D793" s="63"/>
      <c r="E793" s="98">
        <v>236.39</v>
      </c>
    </row>
    <row r="794" spans="1:5">
      <c r="A794" s="75">
        <v>37616</v>
      </c>
      <c r="B794" s="86" t="str">
        <f>TiposLancamentos!B16</f>
        <v>Cristiane</v>
      </c>
      <c r="C794" s="52" t="s">
        <v>15068</v>
      </c>
      <c r="D794" s="63"/>
      <c r="E794" s="98">
        <v>30</v>
      </c>
    </row>
    <row r="795" spans="1:5">
      <c r="A795" s="75">
        <v>37617</v>
      </c>
      <c r="B795" s="86" t="str">
        <f>TiposLancamentos!B5</f>
        <v>Supermercado</v>
      </c>
      <c r="C795" s="52" t="s">
        <v>16202</v>
      </c>
      <c r="D795" s="63"/>
      <c r="E795" s="98">
        <v>35.53</v>
      </c>
    </row>
    <row r="796" spans="1:5">
      <c r="A796" s="75">
        <v>37617</v>
      </c>
      <c r="B796" s="86" t="str">
        <f>TiposLancamentos!B4</f>
        <v>Taxas Bancarias</v>
      </c>
      <c r="C796" s="52" t="s">
        <v>5065</v>
      </c>
      <c r="D796" s="63"/>
      <c r="E796" s="98">
        <v>1.48</v>
      </c>
    </row>
    <row r="797" spans="1:5">
      <c r="A797" s="75">
        <v>37618</v>
      </c>
      <c r="B797" s="86" t="str">
        <f>TiposLancamentos!B5</f>
        <v>Supermercado</v>
      </c>
      <c r="C797" s="52" t="s">
        <v>16203</v>
      </c>
      <c r="D797" s="63"/>
      <c r="E797" s="98">
        <v>14.38</v>
      </c>
    </row>
    <row r="798" spans="1:5">
      <c r="A798" s="75">
        <v>37619</v>
      </c>
      <c r="B798" s="86" t="str">
        <f>TiposLancamentos!B19</f>
        <v>Restaurantes</v>
      </c>
      <c r="C798" s="52" t="s">
        <v>16204</v>
      </c>
      <c r="D798" s="63"/>
      <c r="E798" s="98">
        <v>12</v>
      </c>
    </row>
    <row r="799" spans="1:5">
      <c r="A799" s="75">
        <v>37620</v>
      </c>
      <c r="B799" s="86" t="str">
        <f>TiposLancamentos!B105</f>
        <v>Transf. Bco</v>
      </c>
      <c r="C799" s="52" t="s">
        <v>16143</v>
      </c>
      <c r="D799" s="63">
        <v>620</v>
      </c>
      <c r="E799" s="98"/>
    </row>
    <row r="800" spans="1:5">
      <c r="A800" s="75">
        <v>37620</v>
      </c>
      <c r="B800" s="86" t="str">
        <f>TiposLancamentos!B98</f>
        <v>Restituições</v>
      </c>
      <c r="C800" s="52" t="s">
        <v>14219</v>
      </c>
      <c r="D800" s="63">
        <v>500</v>
      </c>
      <c r="E800" s="98"/>
    </row>
    <row r="801" spans="1:5">
      <c r="A801" s="75">
        <v>37620</v>
      </c>
      <c r="B801" s="86" t="str">
        <f>TiposLancamentos!B9</f>
        <v>Condominio</v>
      </c>
      <c r="C801" s="52" t="s">
        <v>1684</v>
      </c>
      <c r="D801" s="63"/>
      <c r="E801" s="98">
        <v>151.31</v>
      </c>
    </row>
    <row r="802" spans="1:5">
      <c r="A802" s="75">
        <v>37620</v>
      </c>
      <c r="B802" s="86" t="str">
        <f>TiposLancamentos!B90</f>
        <v>Locadora</v>
      </c>
      <c r="C802" s="52" t="s">
        <v>16205</v>
      </c>
      <c r="D802" s="63"/>
      <c r="E802" s="98">
        <v>14</v>
      </c>
    </row>
    <row r="803" spans="1:5">
      <c r="A803" s="83"/>
      <c r="B803" s="91"/>
      <c r="C803" s="59" t="s">
        <v>12840</v>
      </c>
      <c r="D803" s="93"/>
      <c r="E803" s="94"/>
    </row>
    <row r="804" spans="1:5">
      <c r="A804" s="75">
        <v>37623</v>
      </c>
      <c r="B804" s="86" t="str">
        <f>TiposLancamentos!B19</f>
        <v>Restaurantes</v>
      </c>
      <c r="C804" s="52" t="s">
        <v>16206</v>
      </c>
      <c r="D804" s="63"/>
      <c r="E804" s="98">
        <v>8.19</v>
      </c>
    </row>
    <row r="805" spans="1:5">
      <c r="A805" s="75">
        <v>37623</v>
      </c>
      <c r="B805" s="86" t="str">
        <f>TiposLancamentos!B19</f>
        <v>Restaurantes</v>
      </c>
      <c r="C805" s="52" t="s">
        <v>16207</v>
      </c>
      <c r="D805" s="63"/>
      <c r="E805" s="98">
        <v>10.199999999999999</v>
      </c>
    </row>
    <row r="806" spans="1:5">
      <c r="A806" s="75">
        <v>37623</v>
      </c>
      <c r="B806" s="86" t="str">
        <f>TiposLancamentos!B4</f>
        <v>Taxas Bancarias</v>
      </c>
      <c r="C806" s="52" t="s">
        <v>16082</v>
      </c>
      <c r="D806" s="63"/>
      <c r="E806" s="98">
        <v>0.22</v>
      </c>
    </row>
    <row r="807" spans="1:5">
      <c r="A807" s="75">
        <v>37623</v>
      </c>
      <c r="B807" s="86" t="str">
        <f>TiposLancamentos!B4</f>
        <v>Taxas Bancarias</v>
      </c>
      <c r="C807" s="3" t="s">
        <v>16161</v>
      </c>
      <c r="D807" s="63"/>
      <c r="E807" s="98">
        <v>14.28</v>
      </c>
    </row>
    <row r="808" spans="1:5">
      <c r="A808" s="75">
        <v>37624</v>
      </c>
      <c r="B808" s="86" t="str">
        <f>TiposLancamentos!B59</f>
        <v>Documentos</v>
      </c>
      <c r="C808" s="52" t="s">
        <v>16208</v>
      </c>
      <c r="D808" s="63"/>
      <c r="E808" s="98">
        <v>20</v>
      </c>
    </row>
    <row r="809" spans="1:5">
      <c r="A809" s="75">
        <v>37624</v>
      </c>
      <c r="B809" s="86" t="str">
        <f>TiposLancamentos!B56</f>
        <v>Farmácia</v>
      </c>
      <c r="C809" s="52" t="s">
        <v>16209</v>
      </c>
      <c r="D809" s="63"/>
      <c r="E809" s="98">
        <v>12.04</v>
      </c>
    </row>
    <row r="810" spans="1:5">
      <c r="A810" s="75">
        <v>37624</v>
      </c>
      <c r="B810" s="86" t="str">
        <f>TiposLancamentos!B4</f>
        <v>Taxas Bancarias</v>
      </c>
      <c r="C810" s="52" t="s">
        <v>5065</v>
      </c>
      <c r="D810" s="63"/>
      <c r="E810" s="98">
        <v>5.07</v>
      </c>
    </row>
    <row r="811" spans="1:5">
      <c r="A811" s="75">
        <v>37625</v>
      </c>
      <c r="B811" s="86" t="str">
        <f>TiposLancamentos!B64</f>
        <v>Viagens</v>
      </c>
      <c r="C811" s="52" t="s">
        <v>16066</v>
      </c>
      <c r="D811" s="63"/>
      <c r="E811" s="98">
        <v>30</v>
      </c>
    </row>
    <row r="812" spans="1:5">
      <c r="A812" s="75">
        <v>37629</v>
      </c>
      <c r="B812" s="86" t="str">
        <f>TiposLancamentos!B60</f>
        <v>Correio</v>
      </c>
      <c r="C812" s="52" t="s">
        <v>16210</v>
      </c>
      <c r="D812" s="63"/>
      <c r="E812" s="98">
        <v>30</v>
      </c>
    </row>
    <row r="813" spans="1:5">
      <c r="A813" s="75">
        <v>37629</v>
      </c>
      <c r="B813" s="86" t="str">
        <f>TiposLancamentos!B16</f>
        <v>Cristiane</v>
      </c>
      <c r="C813" s="52" t="s">
        <v>16211</v>
      </c>
      <c r="D813" s="63"/>
      <c r="E813" s="98">
        <v>23.66</v>
      </c>
    </row>
    <row r="814" spans="1:5">
      <c r="A814" s="75">
        <v>37631</v>
      </c>
      <c r="B814" s="86" t="str">
        <f>TiposLancamentos!B4</f>
        <v>Taxas Bancarias</v>
      </c>
      <c r="C814" s="52" t="s">
        <v>15915</v>
      </c>
      <c r="D814" s="63"/>
      <c r="E814" s="98">
        <v>7</v>
      </c>
    </row>
    <row r="815" spans="1:5">
      <c r="A815" s="75">
        <v>37631</v>
      </c>
      <c r="B815" s="86" t="str">
        <f>TiposLancamentos!B20</f>
        <v>Saques</v>
      </c>
      <c r="C815" s="52" t="s">
        <v>2655</v>
      </c>
      <c r="D815" s="63"/>
      <c r="E815" s="98">
        <v>15</v>
      </c>
    </row>
    <row r="816" spans="1:5">
      <c r="A816" s="75">
        <v>37631</v>
      </c>
      <c r="B816" s="86" t="str">
        <f>TiposLancamentos!B4</f>
        <v>Taxas Bancarias</v>
      </c>
      <c r="C816" s="52" t="s">
        <v>5065</v>
      </c>
      <c r="D816" s="63"/>
      <c r="E816" s="98">
        <v>0.52</v>
      </c>
    </row>
    <row r="817" spans="1:5">
      <c r="A817" s="75">
        <v>37632</v>
      </c>
      <c r="B817" s="86" t="str">
        <f>TiposLancamentos!B70</f>
        <v>Vestuário</v>
      </c>
      <c r="C817" s="52" t="s">
        <v>16212</v>
      </c>
      <c r="D817" s="63"/>
      <c r="E817" s="98">
        <v>20</v>
      </c>
    </row>
    <row r="818" spans="1:5">
      <c r="A818" s="75">
        <v>37635</v>
      </c>
      <c r="B818" s="86" t="str">
        <f>TiposLancamentos!B72</f>
        <v>Presentes</v>
      </c>
      <c r="C818" s="52" t="s">
        <v>16213</v>
      </c>
      <c r="D818" s="63"/>
      <c r="E818" s="98">
        <v>52</v>
      </c>
    </row>
    <row r="819" spans="1:5">
      <c r="A819" s="75">
        <v>37635</v>
      </c>
      <c r="B819" s="86" t="str">
        <f>TiposLancamentos!B56</f>
        <v>Farmácia</v>
      </c>
      <c r="C819" s="52" t="s">
        <v>16214</v>
      </c>
      <c r="D819" s="63"/>
      <c r="E819" s="98">
        <v>11</v>
      </c>
    </row>
    <row r="820" spans="1:5">
      <c r="A820" s="75">
        <v>37636</v>
      </c>
      <c r="B820" s="86" t="str">
        <f>TiposLancamentos!B105</f>
        <v>Transf. Bco</v>
      </c>
      <c r="C820" s="52" t="s">
        <v>16143</v>
      </c>
      <c r="D820" s="63">
        <v>400</v>
      </c>
      <c r="E820" s="98"/>
    </row>
    <row r="821" spans="1:5">
      <c r="A821" s="75">
        <v>37636</v>
      </c>
      <c r="B821" s="86" t="str">
        <f>TiposLancamentos!B2</f>
        <v>Telefonia</v>
      </c>
      <c r="C821" s="52" t="s">
        <v>14230</v>
      </c>
      <c r="D821" s="63"/>
      <c r="E821" s="98">
        <v>23.2</v>
      </c>
    </row>
    <row r="822" spans="1:5">
      <c r="A822" s="75">
        <v>37636</v>
      </c>
      <c r="B822" s="86" t="str">
        <f>TiposLancamentos!B2</f>
        <v>Telefonia</v>
      </c>
      <c r="C822" s="52" t="s">
        <v>2515</v>
      </c>
      <c r="D822" s="63"/>
      <c r="E822" s="98">
        <v>80.400000000000006</v>
      </c>
    </row>
    <row r="823" spans="1:5">
      <c r="A823" s="75">
        <v>37636</v>
      </c>
      <c r="B823" s="86" t="str">
        <f>TiposLancamentos!B70</f>
        <v>Vestuário</v>
      </c>
      <c r="C823" s="52" t="s">
        <v>12842</v>
      </c>
      <c r="D823" s="63"/>
      <c r="E823" s="98">
        <v>74.5</v>
      </c>
    </row>
    <row r="824" spans="1:5">
      <c r="A824" s="75">
        <v>37636</v>
      </c>
      <c r="B824" s="86" t="str">
        <f>TiposLancamentos!B15</f>
        <v>Cartões de Crédito</v>
      </c>
      <c r="C824" s="52" t="s">
        <v>5142</v>
      </c>
      <c r="D824" s="63"/>
      <c r="E824" s="98">
        <v>49.9</v>
      </c>
    </row>
    <row r="825" spans="1:5">
      <c r="A825" s="75">
        <v>37638</v>
      </c>
      <c r="B825" s="86" t="str">
        <f>TiposLancamentos!B4</f>
        <v>Taxas Bancarias</v>
      </c>
      <c r="C825" s="52" t="s">
        <v>5065</v>
      </c>
      <c r="D825" s="63"/>
      <c r="E825" s="98">
        <v>1.61</v>
      </c>
    </row>
    <row r="826" spans="1:5">
      <c r="A826" s="75">
        <v>37638</v>
      </c>
      <c r="B826" s="86" t="str">
        <f>TiposLancamentos!B80</f>
        <v>Mudanças</v>
      </c>
      <c r="C826" s="52" t="s">
        <v>16215</v>
      </c>
      <c r="D826" s="63"/>
      <c r="E826" s="98">
        <v>85</v>
      </c>
    </row>
    <row r="827" spans="1:5">
      <c r="A827" s="75">
        <v>37638</v>
      </c>
      <c r="B827" s="86" t="str">
        <f>TiposLancamentos!B5</f>
        <v>Supermercado</v>
      </c>
      <c r="C827" s="52" t="s">
        <v>16216</v>
      </c>
      <c r="D827" s="63"/>
      <c r="E827" s="98">
        <v>13.57</v>
      </c>
    </row>
    <row r="828" spans="1:5">
      <c r="A828" s="75">
        <v>37638</v>
      </c>
      <c r="B828" s="86" t="str">
        <f>TiposLancamentos!B16</f>
        <v>Cristiane</v>
      </c>
      <c r="C828" s="52" t="s">
        <v>5553</v>
      </c>
      <c r="D828" s="63"/>
      <c r="E828" s="98">
        <v>20</v>
      </c>
    </row>
    <row r="829" spans="1:5">
      <c r="A829" s="75">
        <v>37638</v>
      </c>
      <c r="B829" s="86" t="str">
        <f>TiposLancamentos!B19</f>
        <v>Restaurantes</v>
      </c>
      <c r="C829" s="52" t="s">
        <v>16217</v>
      </c>
      <c r="D829" s="63"/>
      <c r="E829" s="98">
        <v>12.6</v>
      </c>
    </row>
    <row r="830" spans="1:5">
      <c r="A830" s="75">
        <v>37639</v>
      </c>
      <c r="B830" s="86" t="str">
        <f>TiposLancamentos!B13</f>
        <v>Moradia</v>
      </c>
      <c r="C830" s="52" t="s">
        <v>16218</v>
      </c>
      <c r="D830" s="63"/>
      <c r="E830" s="98">
        <v>50</v>
      </c>
    </row>
    <row r="831" spans="1:5">
      <c r="A831" s="75">
        <v>37639</v>
      </c>
      <c r="B831" s="86" t="str">
        <f>TiposLancamentos!B71</f>
        <v>Itens Pessoais</v>
      </c>
      <c r="C831" s="3" t="s">
        <v>12843</v>
      </c>
      <c r="D831" s="63"/>
      <c r="E831" s="98">
        <v>74.95</v>
      </c>
    </row>
    <row r="832" spans="1:5">
      <c r="A832" s="75">
        <v>37639</v>
      </c>
      <c r="B832" s="86" t="str">
        <f>TiposLancamentos!B16</f>
        <v>Cristiane</v>
      </c>
      <c r="C832" s="52" t="s">
        <v>16219</v>
      </c>
      <c r="D832" s="63"/>
      <c r="E832" s="98">
        <v>12</v>
      </c>
    </row>
    <row r="833" spans="1:5">
      <c r="A833" s="75">
        <v>37640</v>
      </c>
      <c r="B833" s="86" t="str">
        <f>TiposLancamentos!B13</f>
        <v>Moradia</v>
      </c>
      <c r="C833" s="52" t="s">
        <v>16220</v>
      </c>
      <c r="D833" s="63"/>
      <c r="E833" s="98">
        <v>20</v>
      </c>
    </row>
    <row r="834" spans="1:5">
      <c r="A834" s="75">
        <v>37641</v>
      </c>
      <c r="B834" s="86" t="str">
        <f>TiposLancamentos!B80</f>
        <v>Mudanças</v>
      </c>
      <c r="C834" s="52" t="s">
        <v>16221</v>
      </c>
      <c r="D834" s="63"/>
      <c r="E834" s="98">
        <v>60</v>
      </c>
    </row>
    <row r="835" spans="1:5">
      <c r="A835" s="75">
        <v>37642</v>
      </c>
      <c r="B835" s="86" t="str">
        <f>TiposLancamentos!B66</f>
        <v>Faxineira</v>
      </c>
      <c r="C835" s="52" t="s">
        <v>14203</v>
      </c>
      <c r="D835" s="63"/>
      <c r="E835" s="98">
        <v>80</v>
      </c>
    </row>
    <row r="836" spans="1:5">
      <c r="A836" s="75">
        <v>37642</v>
      </c>
      <c r="B836" s="86" t="str">
        <f>TiposLancamentos!B16</f>
        <v>Cristiane</v>
      </c>
      <c r="C836" s="52" t="s">
        <v>12845</v>
      </c>
      <c r="D836" s="63"/>
      <c r="E836" s="98">
        <v>120.37</v>
      </c>
    </row>
    <row r="837" spans="1:5">
      <c r="A837" s="75">
        <v>37644</v>
      </c>
      <c r="B837" s="86" t="str">
        <f>TiposLancamentos!B56</f>
        <v>Farmácia</v>
      </c>
      <c r="C837" s="52" t="s">
        <v>16222</v>
      </c>
      <c r="D837" s="63"/>
      <c r="E837" s="98">
        <v>30</v>
      </c>
    </row>
    <row r="838" spans="1:5">
      <c r="A838" s="75">
        <v>37644</v>
      </c>
      <c r="B838" s="86" t="str">
        <f>TiposLancamentos!B5</f>
        <v>Supermercado</v>
      </c>
      <c r="C838" s="52" t="s">
        <v>4816</v>
      </c>
      <c r="D838" s="63"/>
      <c r="E838" s="98">
        <v>9.26</v>
      </c>
    </row>
    <row r="839" spans="1:5">
      <c r="A839" s="75">
        <v>37645</v>
      </c>
      <c r="B839" s="86" t="str">
        <f>TiposLancamentos!B64</f>
        <v>Viagens</v>
      </c>
      <c r="C839" s="52" t="s">
        <v>16066</v>
      </c>
      <c r="D839" s="63"/>
      <c r="E839" s="98">
        <v>35</v>
      </c>
    </row>
    <row r="840" spans="1:5">
      <c r="A840" s="75">
        <v>37645</v>
      </c>
      <c r="B840" s="86" t="str">
        <f>TiposLancamentos!B4</f>
        <v>Taxas Bancarias</v>
      </c>
      <c r="C840" s="52" t="s">
        <v>5065</v>
      </c>
      <c r="D840" s="63"/>
      <c r="E840" s="98">
        <v>1.5</v>
      </c>
    </row>
    <row r="841" spans="1:5">
      <c r="A841" s="75">
        <v>37646</v>
      </c>
      <c r="B841" s="86" t="str">
        <f>TiposLancamentos!B70</f>
        <v>Vestuário</v>
      </c>
      <c r="C841" s="52" t="s">
        <v>16223</v>
      </c>
      <c r="D841" s="63"/>
      <c r="E841" s="98">
        <v>29.9</v>
      </c>
    </row>
    <row r="842" spans="1:5">
      <c r="A842" s="75">
        <v>37646</v>
      </c>
      <c r="B842" s="86" t="str">
        <f>TiposLancamentos!B22</f>
        <v>Combustivel</v>
      </c>
      <c r="C842" s="52" t="s">
        <v>16224</v>
      </c>
      <c r="D842" s="63"/>
      <c r="E842" s="98">
        <v>21</v>
      </c>
    </row>
    <row r="843" spans="1:5">
      <c r="A843" s="75">
        <v>37646</v>
      </c>
      <c r="B843" s="86" t="str">
        <f>TiposLancamentos!B76</f>
        <v>Motel</v>
      </c>
      <c r="C843" s="52" t="s">
        <v>16225</v>
      </c>
      <c r="D843" s="63"/>
      <c r="E843" s="98">
        <v>22</v>
      </c>
    </row>
    <row r="844" spans="1:5">
      <c r="A844" s="75">
        <v>37649</v>
      </c>
      <c r="B844" s="86" t="str">
        <f>TiposLancamentos!B20</f>
        <v>Saques</v>
      </c>
      <c r="C844" s="52" t="s">
        <v>2668</v>
      </c>
      <c r="D844" s="63"/>
      <c r="E844" s="98">
        <v>15</v>
      </c>
    </row>
    <row r="845" spans="1:5">
      <c r="A845" s="75">
        <v>37649</v>
      </c>
      <c r="B845" s="86" t="str">
        <f>TiposLancamentos!B73</f>
        <v>Cursos</v>
      </c>
      <c r="C845" s="52" t="s">
        <v>16226</v>
      </c>
      <c r="D845" s="63"/>
      <c r="E845" s="98">
        <v>50</v>
      </c>
    </row>
    <row r="846" spans="1:5">
      <c r="A846" s="75">
        <v>37650</v>
      </c>
      <c r="B846" s="86" t="str">
        <f>TiposLancamentos!B19</f>
        <v>Restaurantes</v>
      </c>
      <c r="C846" s="52" t="s">
        <v>16227</v>
      </c>
      <c r="D846" s="63"/>
      <c r="E846" s="98">
        <v>10</v>
      </c>
    </row>
    <row r="847" spans="1:5">
      <c r="A847" s="75">
        <v>37650</v>
      </c>
      <c r="B847" s="86" t="str">
        <f>TiposLancamentos!B5</f>
        <v>Supermercado</v>
      </c>
      <c r="C847" s="52" t="s">
        <v>16228</v>
      </c>
      <c r="D847" s="63"/>
      <c r="E847" s="98">
        <v>31.97</v>
      </c>
    </row>
    <row r="848" spans="1:5">
      <c r="A848" s="75">
        <v>37650</v>
      </c>
      <c r="B848" s="86" t="str">
        <f>TiposLancamentos!B19</f>
        <v>Restaurantes</v>
      </c>
      <c r="C848" s="52" t="s">
        <v>16229</v>
      </c>
      <c r="D848" s="63"/>
      <c r="E848" s="98">
        <v>10</v>
      </c>
    </row>
    <row r="849" spans="1:5">
      <c r="A849" s="75">
        <v>37650</v>
      </c>
      <c r="B849" s="86" t="str">
        <f>TiposLancamentos!B97</f>
        <v>Deposito Terc.</v>
      </c>
      <c r="C849" s="52" t="s">
        <v>16230</v>
      </c>
      <c r="D849" s="63">
        <v>127</v>
      </c>
      <c r="E849" s="98"/>
    </row>
    <row r="850" spans="1:5">
      <c r="A850" s="75">
        <v>37651</v>
      </c>
      <c r="B850" s="86" t="str">
        <f>TiposLancamentos!B105</f>
        <v>Transf. Bco</v>
      </c>
      <c r="C850" s="52" t="s">
        <v>16143</v>
      </c>
      <c r="D850" s="63">
        <v>600</v>
      </c>
      <c r="E850" s="98"/>
    </row>
    <row r="851" spans="1:5">
      <c r="A851" s="75">
        <v>37652</v>
      </c>
      <c r="B851" s="86" t="str">
        <f>TiposLancamentos!B97</f>
        <v>Deposito Terc.</v>
      </c>
      <c r="C851" s="52" t="s">
        <v>16231</v>
      </c>
      <c r="D851" s="63">
        <v>373.12</v>
      </c>
      <c r="E851" s="98"/>
    </row>
    <row r="852" spans="1:5">
      <c r="A852" s="75">
        <v>37652</v>
      </c>
      <c r="B852" s="86" t="str">
        <f>TiposLancamentos!B90</f>
        <v>Locadora</v>
      </c>
      <c r="C852" s="52" t="s">
        <v>16232</v>
      </c>
      <c r="D852" s="63"/>
      <c r="E852" s="98">
        <v>9.5</v>
      </c>
    </row>
    <row r="853" spans="1:5">
      <c r="A853" s="75">
        <v>37652</v>
      </c>
      <c r="B853" s="86" t="str">
        <f>TiposLancamentos!B4</f>
        <v>Taxas Bancarias</v>
      </c>
      <c r="C853" s="52" t="s">
        <v>5065</v>
      </c>
      <c r="D853" s="63"/>
      <c r="E853" s="98">
        <v>1.79</v>
      </c>
    </row>
    <row r="854" spans="1:5">
      <c r="A854" s="75">
        <v>37652</v>
      </c>
      <c r="B854" s="86" t="str">
        <f>TiposLancamentos!B20</f>
        <v>Saques</v>
      </c>
      <c r="C854" s="52" t="s">
        <v>2668</v>
      </c>
      <c r="D854" s="63"/>
      <c r="E854" s="98">
        <v>6</v>
      </c>
    </row>
    <row r="855" spans="1:5">
      <c r="A855" s="83"/>
      <c r="B855" s="91"/>
      <c r="C855" s="59" t="s">
        <v>12846</v>
      </c>
      <c r="D855" s="93"/>
      <c r="E855" s="94"/>
    </row>
    <row r="856" spans="1:5">
      <c r="A856" s="75">
        <v>37653</v>
      </c>
      <c r="B856" s="86" t="str">
        <f>TiposLancamentos!B5</f>
        <v>Supermercado</v>
      </c>
      <c r="C856" s="52" t="s">
        <v>16233</v>
      </c>
      <c r="D856" s="63"/>
      <c r="E856" s="98">
        <v>11.97</v>
      </c>
    </row>
    <row r="857" spans="1:5">
      <c r="A857" s="75">
        <v>37654</v>
      </c>
      <c r="B857" s="86" t="str">
        <f>TiposLancamentos!B72</f>
        <v>Presentes</v>
      </c>
      <c r="C857" s="52" t="s">
        <v>16234</v>
      </c>
      <c r="D857" s="63"/>
      <c r="E857" s="98">
        <v>13.9</v>
      </c>
    </row>
    <row r="858" spans="1:5">
      <c r="A858" s="75">
        <v>37654</v>
      </c>
      <c r="B858" s="86" t="str">
        <f>TiposLancamentos!B58</f>
        <v>Fotografias</v>
      </c>
      <c r="C858" s="52" t="s">
        <v>16235</v>
      </c>
      <c r="D858" s="63"/>
      <c r="E858" s="98">
        <v>35.9</v>
      </c>
    </row>
    <row r="859" spans="1:5">
      <c r="A859" s="75">
        <v>37655</v>
      </c>
      <c r="B859" s="86" t="str">
        <f>TiposLancamentos!B4</f>
        <v>Taxas Bancarias</v>
      </c>
      <c r="C859" s="3" t="s">
        <v>16161</v>
      </c>
      <c r="D859" s="63"/>
      <c r="E859" s="98">
        <v>13.71</v>
      </c>
    </row>
    <row r="860" spans="1:5">
      <c r="A860" s="75">
        <v>37655</v>
      </c>
      <c r="B860" s="86" t="str">
        <f>TiposLancamentos!B4</f>
        <v>Taxas Bancarias</v>
      </c>
      <c r="C860" s="52" t="s">
        <v>16082</v>
      </c>
      <c r="D860" s="63"/>
      <c r="E860" s="98">
        <v>0.2</v>
      </c>
    </row>
    <row r="861" spans="1:5">
      <c r="A861" s="75">
        <v>37655</v>
      </c>
      <c r="B861" s="86" t="str">
        <f>TiposLancamentos!B4</f>
        <v>Taxas Bancarias</v>
      </c>
      <c r="C861" s="52" t="s">
        <v>16236</v>
      </c>
      <c r="D861" s="63"/>
      <c r="E861" s="98">
        <v>0.15</v>
      </c>
    </row>
    <row r="862" spans="1:5">
      <c r="A862" s="75">
        <v>37656</v>
      </c>
      <c r="B862" s="86" t="str">
        <f>TiposLancamentos!B5</f>
        <v>Supermercado</v>
      </c>
      <c r="C862" s="52" t="s">
        <v>4816</v>
      </c>
      <c r="D862" s="63"/>
      <c r="E862" s="98">
        <v>15.9</v>
      </c>
    </row>
    <row r="863" spans="1:5">
      <c r="A863" s="75">
        <v>37659</v>
      </c>
      <c r="B863" s="86" t="str">
        <f>TiposLancamentos!B4</f>
        <v>Taxas Bancarias</v>
      </c>
      <c r="C863" s="3" t="s">
        <v>5065</v>
      </c>
      <c r="D863" s="63"/>
      <c r="E863" s="98">
        <v>2.83</v>
      </c>
    </row>
    <row r="864" spans="1:5">
      <c r="A864" s="75">
        <v>37659</v>
      </c>
      <c r="B864" s="86" t="str">
        <f>TiposLancamentos!B64</f>
        <v>Viagens</v>
      </c>
      <c r="C864" s="52" t="s">
        <v>16066</v>
      </c>
      <c r="D864" s="63"/>
      <c r="E864" s="98">
        <v>25</v>
      </c>
    </row>
    <row r="865" spans="1:5">
      <c r="A865" s="75">
        <v>37659</v>
      </c>
      <c r="B865" s="86" t="str">
        <f>TiposLancamentos!B22</f>
        <v>Combustivel</v>
      </c>
      <c r="C865" s="52" t="s">
        <v>16237</v>
      </c>
      <c r="D865" s="63"/>
      <c r="E865" s="98">
        <v>19.5</v>
      </c>
    </row>
    <row r="866" spans="1:5">
      <c r="A866" s="75">
        <v>37659</v>
      </c>
      <c r="B866" s="86" t="str">
        <f>TiposLancamentos!B76</f>
        <v>Motel</v>
      </c>
      <c r="C866" s="52" t="s">
        <v>16238</v>
      </c>
      <c r="D866" s="63"/>
      <c r="E866" s="98">
        <v>21.5</v>
      </c>
    </row>
    <row r="867" spans="1:5">
      <c r="A867" s="75">
        <v>37659</v>
      </c>
      <c r="B867" s="86" t="str">
        <f>TiposLancamentos!B16</f>
        <v>Cristiane</v>
      </c>
      <c r="C867" s="52" t="s">
        <v>16239</v>
      </c>
      <c r="D867" s="63"/>
      <c r="E867" s="98">
        <v>150</v>
      </c>
    </row>
    <row r="868" spans="1:5">
      <c r="A868" s="75">
        <v>37662</v>
      </c>
      <c r="B868" s="86" t="str">
        <f>TiposLancamentos!B20</f>
        <v>Saques</v>
      </c>
      <c r="C868" s="52" t="s">
        <v>2668</v>
      </c>
      <c r="D868" s="63"/>
      <c r="E868" s="98">
        <v>5</v>
      </c>
    </row>
    <row r="869" spans="1:5">
      <c r="A869" s="75">
        <v>37662</v>
      </c>
      <c r="B869" s="86" t="str">
        <f>TiposLancamentos!B4</f>
        <v>Taxas Bancarias</v>
      </c>
      <c r="C869" s="52" t="s">
        <v>15915</v>
      </c>
      <c r="D869" s="63"/>
      <c r="E869" s="98">
        <v>7</v>
      </c>
    </row>
    <row r="870" spans="1:5">
      <c r="A870" s="75">
        <v>37663</v>
      </c>
      <c r="B870" s="86" t="str">
        <f>TiposLancamentos!B16</f>
        <v>Cristiane</v>
      </c>
      <c r="C870" s="52" t="s">
        <v>15068</v>
      </c>
      <c r="D870" s="63"/>
      <c r="E870" s="98">
        <v>15</v>
      </c>
    </row>
    <row r="871" spans="1:5">
      <c r="A871" s="75">
        <v>37663</v>
      </c>
      <c r="B871" s="86" t="str">
        <f>TiposLancamentos!B20</f>
        <v>Saques</v>
      </c>
      <c r="C871" s="52" t="s">
        <v>2668</v>
      </c>
      <c r="D871" s="63"/>
      <c r="E871" s="98">
        <v>5</v>
      </c>
    </row>
    <row r="872" spans="1:5">
      <c r="A872" s="75">
        <v>37665</v>
      </c>
      <c r="B872" s="86" t="str">
        <f>TiposLancamentos!B5</f>
        <v>Supermercado</v>
      </c>
      <c r="C872" s="52" t="s">
        <v>16240</v>
      </c>
      <c r="D872" s="63"/>
      <c r="E872" s="98">
        <v>19.75</v>
      </c>
    </row>
    <row r="873" spans="1:5">
      <c r="A873" s="75">
        <v>37666</v>
      </c>
      <c r="B873" s="86" t="str">
        <f>TiposLancamentos!B4</f>
        <v>Taxas Bancarias</v>
      </c>
      <c r="C873" s="3" t="s">
        <v>5065</v>
      </c>
      <c r="D873" s="63"/>
      <c r="E873" s="98">
        <v>1.03</v>
      </c>
    </row>
    <row r="874" spans="1:5">
      <c r="A874" s="75">
        <v>37666</v>
      </c>
      <c r="B874" s="86" t="str">
        <f>TiposLancamentos!B20</f>
        <v>Saques</v>
      </c>
      <c r="C874" s="52" t="s">
        <v>2655</v>
      </c>
      <c r="D874" s="63"/>
      <c r="E874" s="98">
        <v>6</v>
      </c>
    </row>
    <row r="875" spans="1:5">
      <c r="A875" s="75">
        <v>37666</v>
      </c>
      <c r="B875" s="86" t="str">
        <f>TiposLancamentos!B105</f>
        <v>Transf. Bco</v>
      </c>
      <c r="C875" s="52" t="s">
        <v>16143</v>
      </c>
      <c r="D875" s="63">
        <v>580</v>
      </c>
      <c r="E875" s="98"/>
    </row>
    <row r="876" spans="1:5">
      <c r="A876" s="75">
        <v>37666</v>
      </c>
      <c r="B876" s="86" t="str">
        <f>TiposLancamentos!B13</f>
        <v>Moradia</v>
      </c>
      <c r="C876" s="52" t="s">
        <v>12849</v>
      </c>
      <c r="D876" s="63"/>
      <c r="E876" s="98">
        <v>42</v>
      </c>
    </row>
    <row r="877" spans="1:5">
      <c r="A877" s="75">
        <v>37667</v>
      </c>
      <c r="B877" s="86" t="str">
        <f>TiposLancamentos!B2</f>
        <v>Telefonia</v>
      </c>
      <c r="C877" s="52" t="s">
        <v>14230</v>
      </c>
      <c r="D877" s="63"/>
      <c r="E877" s="98">
        <v>22.4</v>
      </c>
    </row>
    <row r="878" spans="1:5">
      <c r="A878" s="75">
        <v>37667</v>
      </c>
      <c r="B878" s="86" t="str">
        <f>TiposLancamentos!B15</f>
        <v>Cartões de Crédito</v>
      </c>
      <c r="C878" s="52" t="s">
        <v>5142</v>
      </c>
      <c r="D878" s="63"/>
      <c r="E878" s="98">
        <v>49.9</v>
      </c>
    </row>
    <row r="879" spans="1:5">
      <c r="A879" s="75">
        <v>37668</v>
      </c>
      <c r="B879" s="86" t="str">
        <f>TiposLancamentos!B20</f>
        <v>Saques</v>
      </c>
      <c r="C879" s="52" t="s">
        <v>2668</v>
      </c>
      <c r="D879" s="63"/>
      <c r="E879" s="98">
        <v>5</v>
      </c>
    </row>
    <row r="880" spans="1:5">
      <c r="A880" s="75">
        <v>37669</v>
      </c>
      <c r="B880" s="86" t="str">
        <f>TiposLancamentos!B2</f>
        <v>Telefonia</v>
      </c>
      <c r="C880" s="52" t="s">
        <v>2515</v>
      </c>
      <c r="D880" s="63"/>
      <c r="E880" s="98">
        <v>133.4</v>
      </c>
    </row>
    <row r="881" spans="1:5">
      <c r="A881" s="75">
        <v>37670</v>
      </c>
      <c r="B881" s="86" t="str">
        <f>TiposLancamentos!B66</f>
        <v>Faxineira</v>
      </c>
      <c r="C881" s="52" t="s">
        <v>16241</v>
      </c>
      <c r="D881" s="63"/>
      <c r="E881" s="98">
        <v>80</v>
      </c>
    </row>
    <row r="882" spans="1:5">
      <c r="A882" s="75">
        <v>37670</v>
      </c>
      <c r="B882" s="86" t="str">
        <f>TiposLancamentos!B4</f>
        <v>Taxas Bancarias</v>
      </c>
      <c r="C882" s="52" t="s">
        <v>16242</v>
      </c>
      <c r="D882" s="63"/>
      <c r="E882" s="98">
        <v>0.25</v>
      </c>
    </row>
    <row r="883" spans="1:5">
      <c r="A883" s="75">
        <v>37671</v>
      </c>
      <c r="B883" s="86" t="str">
        <f>TiposLancamentos!B57</f>
        <v>Informática</v>
      </c>
      <c r="C883" s="52" t="s">
        <v>16243</v>
      </c>
      <c r="D883" s="63"/>
      <c r="E883" s="98">
        <v>16.21</v>
      </c>
    </row>
    <row r="884" spans="1:5">
      <c r="A884" s="75">
        <v>37672</v>
      </c>
      <c r="B884" s="86" t="str">
        <f>TiposLancamentos!B8</f>
        <v>Aluguel</v>
      </c>
      <c r="C884" s="52" t="s">
        <v>16244</v>
      </c>
      <c r="D884" s="63"/>
      <c r="E884" s="98">
        <v>272.52999999999997</v>
      </c>
    </row>
    <row r="885" spans="1:5">
      <c r="A885" s="75">
        <v>37672</v>
      </c>
      <c r="B885" s="86" t="str">
        <f>TiposLancamentos!B71</f>
        <v>Itens Pessoais</v>
      </c>
      <c r="C885" s="52" t="s">
        <v>16245</v>
      </c>
      <c r="D885" s="63"/>
      <c r="E885" s="98">
        <v>5</v>
      </c>
    </row>
    <row r="886" spans="1:5">
      <c r="A886" s="75">
        <v>37673</v>
      </c>
      <c r="B886" s="86" t="str">
        <f>TiposLancamentos!B16</f>
        <v>Cristiane</v>
      </c>
      <c r="C886" s="52" t="s">
        <v>12852</v>
      </c>
      <c r="D886" s="63"/>
      <c r="E886" s="98">
        <v>120.37</v>
      </c>
    </row>
    <row r="887" spans="1:5">
      <c r="A887" s="75">
        <v>37673</v>
      </c>
      <c r="B887" s="86" t="str">
        <f>TiposLancamentos!B13</f>
        <v>Moradia</v>
      </c>
      <c r="C887" s="52" t="s">
        <v>16246</v>
      </c>
      <c r="D887" s="63"/>
      <c r="E887" s="98">
        <v>20</v>
      </c>
    </row>
    <row r="888" spans="1:5">
      <c r="A888" s="75">
        <v>37673</v>
      </c>
      <c r="B888" s="86" t="str">
        <f>TiposLancamentos!B5</f>
        <v>Supermercado</v>
      </c>
      <c r="C888" s="52" t="s">
        <v>16247</v>
      </c>
      <c r="D888" s="63"/>
      <c r="E888" s="98">
        <v>34.31</v>
      </c>
    </row>
    <row r="889" spans="1:5">
      <c r="A889" s="75">
        <v>37673</v>
      </c>
      <c r="B889" s="86" t="str">
        <f>TiposLancamentos!B4</f>
        <v>Taxas Bancarias</v>
      </c>
      <c r="C889" s="52" t="s">
        <v>5065</v>
      </c>
      <c r="D889" s="63"/>
      <c r="E889" s="98">
        <v>1.62</v>
      </c>
    </row>
    <row r="890" spans="1:5">
      <c r="A890" s="75">
        <v>37674</v>
      </c>
      <c r="B890" s="86" t="str">
        <f>TiposLancamentos!B16</f>
        <v>Cristiane</v>
      </c>
      <c r="C890" s="52" t="s">
        <v>15068</v>
      </c>
      <c r="D890" s="63"/>
      <c r="E890" s="98">
        <v>20</v>
      </c>
    </row>
    <row r="891" spans="1:5">
      <c r="A891" s="75">
        <v>37675</v>
      </c>
      <c r="B891" s="86" t="str">
        <f>TiposLancamentos!B16</f>
        <v>Cristiane</v>
      </c>
      <c r="C891" s="52" t="s">
        <v>15068</v>
      </c>
      <c r="D891" s="63"/>
      <c r="E891" s="98">
        <v>5</v>
      </c>
    </row>
    <row r="892" spans="1:5">
      <c r="A892" s="75">
        <v>37676</v>
      </c>
      <c r="B892" s="86" t="str">
        <f>TiposLancamentos!B19</f>
        <v>Restaurantes</v>
      </c>
      <c r="C892" s="52" t="s">
        <v>16204</v>
      </c>
      <c r="D892" s="63"/>
      <c r="E892" s="98">
        <v>8</v>
      </c>
    </row>
    <row r="893" spans="1:5">
      <c r="A893" s="75">
        <v>37676</v>
      </c>
      <c r="B893" s="86" t="str">
        <f>TiposLancamentos!B4</f>
        <v>Taxas Bancarias</v>
      </c>
      <c r="C893" s="52" t="s">
        <v>16242</v>
      </c>
      <c r="D893" s="63"/>
      <c r="E893" s="98">
        <v>0.25</v>
      </c>
    </row>
    <row r="894" spans="1:5">
      <c r="A894" s="75">
        <v>37677</v>
      </c>
      <c r="B894" s="86" t="str">
        <f>TiposLancamentos!B19</f>
        <v>Restaurantes</v>
      </c>
      <c r="C894" s="52" t="s">
        <v>16204</v>
      </c>
      <c r="D894" s="63"/>
      <c r="E894" s="98">
        <v>10</v>
      </c>
    </row>
    <row r="895" spans="1:5">
      <c r="A895" s="75">
        <v>37679</v>
      </c>
      <c r="B895" s="86" t="str">
        <f>TiposLancamentos!B5</f>
        <v>Supermercado</v>
      </c>
      <c r="C895" s="52" t="s">
        <v>16248</v>
      </c>
      <c r="D895" s="63"/>
      <c r="E895" s="98">
        <v>20</v>
      </c>
    </row>
    <row r="896" spans="1:5">
      <c r="A896" s="75">
        <v>37680</v>
      </c>
      <c r="B896" s="86" t="str">
        <f>TiposLancamentos!B4</f>
        <v>Taxas Bancarias</v>
      </c>
      <c r="C896" s="3" t="s">
        <v>5065</v>
      </c>
      <c r="D896" s="63"/>
      <c r="E896" s="98">
        <v>1.94</v>
      </c>
    </row>
    <row r="897" spans="1:5">
      <c r="A897" s="75">
        <v>37680</v>
      </c>
      <c r="B897" s="86" t="str">
        <f>TiposLancamentos!B77</f>
        <v>Esporádico</v>
      </c>
      <c r="C897" s="52" t="s">
        <v>16249</v>
      </c>
      <c r="D897" s="63"/>
      <c r="E897" s="98">
        <v>35</v>
      </c>
    </row>
    <row r="898" spans="1:5">
      <c r="A898" s="83"/>
      <c r="B898" s="91"/>
      <c r="C898" s="43" t="s">
        <v>12853</v>
      </c>
      <c r="D898" s="93"/>
      <c r="E898" s="94"/>
    </row>
    <row r="899" spans="1:5">
      <c r="A899" s="75">
        <v>37684</v>
      </c>
      <c r="B899" s="86" t="str">
        <f>TiposLancamentos!B22</f>
        <v>Combustivel</v>
      </c>
      <c r="C899" s="52" t="s">
        <v>16250</v>
      </c>
      <c r="D899" s="63"/>
      <c r="E899" s="98">
        <v>16.600000000000001</v>
      </c>
    </row>
    <row r="900" spans="1:5">
      <c r="A900" s="75">
        <v>37684</v>
      </c>
      <c r="B900" s="86" t="str">
        <f>TiposLancamentos!B76</f>
        <v>Motel</v>
      </c>
      <c r="C900" s="52" t="s">
        <v>16251</v>
      </c>
      <c r="D900" s="63"/>
      <c r="E900" s="98">
        <v>18</v>
      </c>
    </row>
    <row r="901" spans="1:5">
      <c r="A901" s="75">
        <v>37685</v>
      </c>
      <c r="B901" s="86" t="str">
        <f>TiposLancamentos!B16</f>
        <v>Cristiane</v>
      </c>
      <c r="C901" s="52" t="s">
        <v>16252</v>
      </c>
      <c r="D901" s="63"/>
      <c r="E901" s="98">
        <v>60</v>
      </c>
    </row>
    <row r="902" spans="1:5">
      <c r="A902" s="75">
        <v>37685</v>
      </c>
      <c r="B902" s="86" t="str">
        <f>TiposLancamentos!B4</f>
        <v>Taxas Bancarias</v>
      </c>
      <c r="C902" s="3" t="s">
        <v>16161</v>
      </c>
      <c r="D902" s="63"/>
      <c r="E902" s="98">
        <v>6.62</v>
      </c>
    </row>
    <row r="903" spans="1:5">
      <c r="A903" s="75">
        <v>37685</v>
      </c>
      <c r="B903" s="86" t="str">
        <f>TiposLancamentos!B4</f>
        <v>Taxas Bancarias</v>
      </c>
      <c r="C903" s="3" t="s">
        <v>16082</v>
      </c>
      <c r="D903" s="63"/>
      <c r="E903" s="98">
        <v>0.1</v>
      </c>
    </row>
    <row r="904" spans="1:5">
      <c r="A904" s="75">
        <v>37686</v>
      </c>
      <c r="B904" s="86" t="str">
        <f>TiposLancamentos!B105</f>
        <v>Transf. Bco</v>
      </c>
      <c r="C904" s="3" t="s">
        <v>16143</v>
      </c>
      <c r="D904" s="63">
        <v>640</v>
      </c>
      <c r="E904" s="98"/>
    </row>
    <row r="905" spans="1:5">
      <c r="A905" s="75">
        <v>37687</v>
      </c>
      <c r="B905" s="86" t="str">
        <f>TiposLancamentos!B4</f>
        <v>Taxas Bancarias</v>
      </c>
      <c r="C905" s="3" t="s">
        <v>5065</v>
      </c>
      <c r="D905" s="63"/>
      <c r="E905" s="98">
        <v>0.1</v>
      </c>
    </row>
    <row r="906" spans="1:5">
      <c r="A906" s="75">
        <v>37690</v>
      </c>
      <c r="B906" s="86" t="str">
        <f>TiposLancamentos!B4</f>
        <v>Taxas Bancarias</v>
      </c>
      <c r="C906" s="3" t="s">
        <v>16242</v>
      </c>
      <c r="D906" s="63"/>
      <c r="E906" s="98">
        <v>0.5</v>
      </c>
    </row>
    <row r="907" spans="1:5">
      <c r="A907" s="75">
        <v>37690</v>
      </c>
      <c r="B907" s="86" t="str">
        <f>TiposLancamentos!B4</f>
        <v>Taxas Bancarias</v>
      </c>
      <c r="C907" s="3" t="s">
        <v>15915</v>
      </c>
      <c r="D907" s="63"/>
      <c r="E907" s="98">
        <v>7</v>
      </c>
    </row>
    <row r="908" spans="1:5">
      <c r="A908" s="75">
        <v>37694</v>
      </c>
      <c r="B908" s="86" t="str">
        <f>TiposLancamentos!B13</f>
        <v>Moradia</v>
      </c>
      <c r="C908" s="3" t="s">
        <v>12855</v>
      </c>
      <c r="D908" s="63"/>
      <c r="E908" s="98">
        <v>42</v>
      </c>
    </row>
    <row r="909" spans="1:5">
      <c r="A909" s="75">
        <v>37697</v>
      </c>
      <c r="B909" s="86" t="str">
        <f>TiposLancamentos!B4</f>
        <v>Taxas Bancarias</v>
      </c>
      <c r="C909" s="3" t="s">
        <v>5065</v>
      </c>
      <c r="D909" s="63"/>
      <c r="E909" s="98">
        <v>2</v>
      </c>
    </row>
    <row r="910" spans="1:5">
      <c r="A910" s="75">
        <v>37697</v>
      </c>
      <c r="B910" s="86" t="str">
        <f>TiposLancamentos!B2</f>
        <v>Telefonia</v>
      </c>
      <c r="C910" s="52" t="s">
        <v>14230</v>
      </c>
      <c r="D910" s="63"/>
      <c r="E910" s="98">
        <v>10.73</v>
      </c>
    </row>
    <row r="911" spans="1:5">
      <c r="A911" s="75">
        <v>37700</v>
      </c>
      <c r="B911" s="86" t="str">
        <f>TiposLancamentos!B8</f>
        <v>Aluguel</v>
      </c>
      <c r="C911" s="3" t="s">
        <v>16253</v>
      </c>
      <c r="D911" s="63"/>
      <c r="E911" s="98">
        <v>50</v>
      </c>
    </row>
    <row r="912" spans="1:5">
      <c r="A912" s="75">
        <v>37701</v>
      </c>
      <c r="B912" s="86" t="str">
        <f>TiposLancamentos!B4</f>
        <v>Taxas Bancarias</v>
      </c>
      <c r="C912" s="3" t="s">
        <v>5065</v>
      </c>
      <c r="D912" s="63"/>
      <c r="E912" s="98">
        <v>0.2</v>
      </c>
    </row>
    <row r="913" spans="1:5">
      <c r="A913" s="75">
        <v>37708</v>
      </c>
      <c r="B913" s="86" t="str">
        <f>TiposLancamentos!B19</f>
        <v>Restaurantes</v>
      </c>
      <c r="C913" s="3" t="s">
        <v>16254</v>
      </c>
      <c r="D913" s="63"/>
      <c r="E913" s="98">
        <v>19</v>
      </c>
    </row>
    <row r="914" spans="1:5">
      <c r="A914" s="75">
        <v>37708</v>
      </c>
      <c r="B914" s="86" t="str">
        <f>TiposLancamentos!B4</f>
        <v>Taxas Bancarias</v>
      </c>
      <c r="C914" s="3" t="s">
        <v>5065</v>
      </c>
      <c r="D914" s="63"/>
      <c r="E914" s="98">
        <v>0.19</v>
      </c>
    </row>
    <row r="915" spans="1:5">
      <c r="A915" s="79">
        <v>37711</v>
      </c>
      <c r="B915" s="95" t="str">
        <f>TiposLancamentos!B105</f>
        <v>Transf. Bco</v>
      </c>
      <c r="C915" s="96" t="s">
        <v>16143</v>
      </c>
      <c r="D915" s="85">
        <v>115</v>
      </c>
      <c r="E915" s="97"/>
    </row>
    <row r="916" spans="1:5">
      <c r="A916" s="83"/>
      <c r="B916" s="91"/>
      <c r="C916" s="92" t="s">
        <v>12857</v>
      </c>
      <c r="D916" s="93"/>
      <c r="E916" s="94"/>
    </row>
    <row r="917" spans="1:5">
      <c r="A917" s="75">
        <v>37712</v>
      </c>
      <c r="B917" s="86" t="str">
        <f>TiposLancamentos!B15</f>
        <v>Cartões de Crédito</v>
      </c>
      <c r="C917" s="52" t="s">
        <v>5142</v>
      </c>
      <c r="D917" s="63"/>
      <c r="E917" s="98">
        <v>99.8</v>
      </c>
    </row>
    <row r="918" spans="1:5">
      <c r="A918" s="75">
        <v>37712</v>
      </c>
      <c r="B918" s="86" t="str">
        <f>TiposLancamentos!B4</f>
        <v>Taxas Bancarias</v>
      </c>
      <c r="C918" s="3" t="s">
        <v>16161</v>
      </c>
      <c r="D918" s="63"/>
      <c r="E918" s="98">
        <v>5.35</v>
      </c>
    </row>
    <row r="919" spans="1:5">
      <c r="A919" s="75">
        <v>37712</v>
      </c>
      <c r="B919" s="86" t="str">
        <f>TiposLancamentos!B4</f>
        <v>Taxas Bancarias</v>
      </c>
      <c r="C919" s="3" t="s">
        <v>16082</v>
      </c>
      <c r="D919" s="63"/>
      <c r="E919" s="98">
        <v>0.08</v>
      </c>
    </row>
    <row r="920" spans="1:5">
      <c r="A920" s="75">
        <v>37713</v>
      </c>
      <c r="B920" s="86" t="str">
        <f>TiposLancamentos!B97</f>
        <v>Deposito Terc.</v>
      </c>
      <c r="C920" s="3" t="s">
        <v>16255</v>
      </c>
      <c r="D920" s="63">
        <v>20</v>
      </c>
      <c r="E920" s="98"/>
    </row>
    <row r="921" spans="1:5">
      <c r="A921" s="75">
        <v>37714</v>
      </c>
      <c r="B921" s="86" t="str">
        <f>TiposLancamentos!B4</f>
        <v>Taxas Bancarias</v>
      </c>
      <c r="C921" s="3" t="s">
        <v>16242</v>
      </c>
      <c r="D921" s="63"/>
      <c r="E921" s="98">
        <v>0.25</v>
      </c>
    </row>
    <row r="922" spans="1:5">
      <c r="A922" s="75">
        <v>37715</v>
      </c>
      <c r="B922" s="86" t="str">
        <f>TiposLancamentos!B4</f>
        <v>Taxas Bancarias</v>
      </c>
      <c r="C922" s="3" t="s">
        <v>5065</v>
      </c>
      <c r="D922" s="63"/>
      <c r="E922" s="98">
        <v>0.47</v>
      </c>
    </row>
    <row r="923" spans="1:5">
      <c r="A923" s="75">
        <v>37719</v>
      </c>
      <c r="B923" s="86" t="str">
        <f>TiposLancamentos!B90</f>
        <v>Locadora</v>
      </c>
      <c r="C923" s="3" t="s">
        <v>14202</v>
      </c>
      <c r="D923" s="63"/>
      <c r="E923" s="98">
        <v>6</v>
      </c>
    </row>
    <row r="924" spans="1:5">
      <c r="A924" s="75">
        <v>37721</v>
      </c>
      <c r="B924" s="86" t="str">
        <f>TiposLancamentos!B4</f>
        <v>Taxas Bancarias</v>
      </c>
      <c r="C924" s="3" t="s">
        <v>15915</v>
      </c>
      <c r="D924" s="63"/>
      <c r="E924" s="98">
        <v>7</v>
      </c>
    </row>
    <row r="925" spans="1:5">
      <c r="A925" s="75">
        <v>37722</v>
      </c>
      <c r="B925" s="86" t="str">
        <f>TiposLancamentos!B4</f>
        <v>Taxas Bancarias</v>
      </c>
      <c r="C925" s="3" t="s">
        <v>5065</v>
      </c>
      <c r="D925" s="63"/>
      <c r="E925" s="98">
        <v>0.02</v>
      </c>
    </row>
    <row r="926" spans="1:5">
      <c r="A926" s="75">
        <v>37725</v>
      </c>
      <c r="B926" s="86" t="str">
        <f>TiposLancamentos!B105</f>
        <v>Transf. Bco</v>
      </c>
      <c r="C926" s="3" t="s">
        <v>16256</v>
      </c>
      <c r="D926" s="63">
        <v>3032</v>
      </c>
      <c r="E926" s="98"/>
    </row>
    <row r="927" spans="1:5">
      <c r="A927" s="75">
        <v>37725</v>
      </c>
      <c r="B927" s="86" t="str">
        <f>TiposLancamentos!B105</f>
        <v>Transf. Bco</v>
      </c>
      <c r="C927" s="3" t="s">
        <v>16257</v>
      </c>
      <c r="D927" s="63"/>
      <c r="E927" s="98">
        <v>3000</v>
      </c>
    </row>
    <row r="928" spans="1:5">
      <c r="A928" s="75">
        <v>37725</v>
      </c>
      <c r="B928" s="86" t="str">
        <f>TiposLancamentos!B4</f>
        <v>Taxas Bancarias</v>
      </c>
      <c r="C928" s="3" t="s">
        <v>16258</v>
      </c>
      <c r="D928" s="63"/>
      <c r="E928" s="98">
        <v>4</v>
      </c>
    </row>
    <row r="929" spans="1:5">
      <c r="A929" s="75">
        <v>37725</v>
      </c>
      <c r="B929" s="86" t="str">
        <f>TiposLancamentos!B13</f>
        <v>Moradia</v>
      </c>
      <c r="C929" s="3" t="s">
        <v>12858</v>
      </c>
      <c r="D929" s="63"/>
      <c r="E929" s="98">
        <v>42</v>
      </c>
    </row>
    <row r="930" spans="1:5">
      <c r="A930" s="75">
        <v>37726</v>
      </c>
      <c r="B930" s="86" t="str">
        <f>TiposLancamentos!B105</f>
        <v>Transf. Bco</v>
      </c>
      <c r="C930" s="3" t="s">
        <v>16256</v>
      </c>
      <c r="D930" s="63">
        <v>37</v>
      </c>
      <c r="E930" s="98"/>
    </row>
    <row r="931" spans="1:5">
      <c r="A931" s="75">
        <v>37726</v>
      </c>
      <c r="B931" s="86" t="str">
        <f>TiposLancamentos!B90</f>
        <v>Locadora</v>
      </c>
      <c r="C931" s="3" t="s">
        <v>16259</v>
      </c>
      <c r="D931" s="581"/>
      <c r="E931" s="98">
        <v>10</v>
      </c>
    </row>
    <row r="932" spans="1:5">
      <c r="A932" s="75">
        <v>37728</v>
      </c>
      <c r="B932" s="86" t="str">
        <f>TiposLancamentos!B4</f>
        <v>Taxas Bancarias</v>
      </c>
      <c r="C932" s="3" t="s">
        <v>5065</v>
      </c>
      <c r="D932" s="581"/>
      <c r="E932" s="98">
        <v>0.2</v>
      </c>
    </row>
    <row r="933" spans="1:5">
      <c r="A933" s="75">
        <v>37733</v>
      </c>
      <c r="B933" s="86" t="str">
        <f>TiposLancamentos!B57</f>
        <v>Informática</v>
      </c>
      <c r="C933" s="3" t="s">
        <v>16260</v>
      </c>
      <c r="D933" s="63"/>
      <c r="E933" s="98">
        <v>10</v>
      </c>
    </row>
    <row r="934" spans="1:5">
      <c r="A934" s="75">
        <v>37736</v>
      </c>
      <c r="B934" s="86" t="str">
        <f>TiposLancamentos!B71</f>
        <v>Itens Pessoais</v>
      </c>
      <c r="C934" s="3" t="s">
        <v>16261</v>
      </c>
      <c r="D934" s="63"/>
      <c r="E934" s="98">
        <v>5</v>
      </c>
    </row>
    <row r="935" spans="1:5">
      <c r="A935" s="75">
        <v>37736</v>
      </c>
      <c r="B935" s="86" t="str">
        <f>TiposLancamentos!B4</f>
        <v>Taxas Bancarias</v>
      </c>
      <c r="C935" s="3" t="s">
        <v>5065</v>
      </c>
      <c r="D935" s="63"/>
      <c r="E935" s="98">
        <v>7.0000000000000007E-2</v>
      </c>
    </row>
    <row r="936" spans="1:5">
      <c r="A936" s="83"/>
      <c r="B936" s="91"/>
      <c r="C936" s="92" t="s">
        <v>12860</v>
      </c>
      <c r="D936" s="93"/>
      <c r="E936" s="94"/>
    </row>
    <row r="937" spans="1:5">
      <c r="A937" s="75">
        <v>37743</v>
      </c>
      <c r="B937" s="86" t="str">
        <f>TiposLancamentos!B4</f>
        <v>Taxas Bancarias</v>
      </c>
      <c r="C937" s="3" t="s">
        <v>5065</v>
      </c>
      <c r="D937" s="63"/>
      <c r="E937" s="98">
        <v>0.01</v>
      </c>
    </row>
    <row r="938" spans="1:5">
      <c r="A938" s="75">
        <v>37748</v>
      </c>
      <c r="B938" s="86" t="str">
        <f>TiposLancamentos!B105</f>
        <v>Transf. Bco</v>
      </c>
      <c r="C938" s="3" t="s">
        <v>16262</v>
      </c>
      <c r="D938" s="63">
        <v>6</v>
      </c>
      <c r="E938" s="98"/>
    </row>
    <row r="939" spans="1:5">
      <c r="A939" s="75">
        <v>37753</v>
      </c>
      <c r="B939" s="86" t="str">
        <f>TiposLancamentos!B4</f>
        <v>Taxas Bancarias</v>
      </c>
      <c r="C939" s="3" t="s">
        <v>15915</v>
      </c>
      <c r="D939" s="63"/>
      <c r="E939" s="98">
        <v>7</v>
      </c>
    </row>
    <row r="940" spans="1:5">
      <c r="A940" s="75">
        <v>37757</v>
      </c>
      <c r="B940" s="86" t="str">
        <f>TiposLancamentos!B4</f>
        <v>Taxas Bancarias</v>
      </c>
      <c r="C940" s="3" t="s">
        <v>5065</v>
      </c>
      <c r="D940" s="63"/>
      <c r="E940" s="98">
        <v>0.02</v>
      </c>
    </row>
    <row r="941" spans="1:5">
      <c r="A941" s="95">
        <v>37762</v>
      </c>
      <c r="B941" s="95" t="str">
        <f>TiposLancamentos!B4</f>
        <v>Taxas Bancarias</v>
      </c>
      <c r="C941" s="3" t="s">
        <v>16263</v>
      </c>
      <c r="D941" s="63"/>
      <c r="E941" s="98">
        <v>0.12</v>
      </c>
    </row>
    <row r="942" spans="1:5">
      <c r="A942" s="46"/>
      <c r="B942" s="337"/>
      <c r="C942" s="184" t="s">
        <v>12</v>
      </c>
      <c r="D942" s="1648">
        <f>SUM(D2:D941)</f>
        <v>38891.329999999994</v>
      </c>
      <c r="E942" s="538">
        <f>SUM(E2:E941)</f>
        <v>38891.330000000024</v>
      </c>
    </row>
    <row r="943" spans="1:5">
      <c r="A943" s="119"/>
      <c r="B943" s="455"/>
      <c r="C943" s="24" t="s">
        <v>13</v>
      </c>
      <c r="D943" s="582"/>
      <c r="E943" s="583">
        <f>D942-E942</f>
        <v>0</v>
      </c>
    </row>
    <row r="946" spans="4:5">
      <c r="D946" s="877"/>
      <c r="E946" s="877"/>
    </row>
  </sheetData>
  <sheetProtection selectLockedCells="1" selectUnlockedCells="1"/>
  <pageMargins left="0.19652777777777777" right="0.1965277777777777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Plan45"/>
  <dimension ref="A1:G92"/>
  <sheetViews>
    <sheetView workbookViewId="0">
      <pane xSplit="6" ySplit="1" topLeftCell="G65" activePane="bottomRight" state="frozen"/>
      <selection pane="bottomRight" activeCell="G1" sqref="G1"/>
      <selection pane="bottomLeft" activeCell="A80" sqref="A80"/>
      <selection pane="topRight" activeCell="G1" sqref="G1"/>
    </sheetView>
  </sheetViews>
  <sheetFormatPr defaultColWidth="9" defaultRowHeight="13.5"/>
  <cols>
    <col min="1" max="1" width="17.5703125" style="3" customWidth="1"/>
    <col min="2" max="2" width="22" style="3" customWidth="1"/>
    <col min="3" max="3" width="35.42578125" style="3" customWidth="1"/>
    <col min="4" max="4" width="15.140625" style="3" customWidth="1"/>
    <col min="5" max="5" width="15.140625" style="221" customWidth="1"/>
    <col min="6" max="6" width="14.42578125" style="3" customWidth="1"/>
    <col min="7" max="7" width="9" style="3"/>
    <col min="8" max="8" width="10" style="3" customWidth="1"/>
    <col min="9" max="9" width="9" style="3"/>
    <col min="10" max="10" width="8.85546875" style="3" customWidth="1"/>
    <col min="11" max="16384" width="9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1680">
        <v>36908</v>
      </c>
      <c r="B2" s="80" t="str">
        <f>TiposLancamentos!B78</f>
        <v>Diferenças</v>
      </c>
      <c r="C2" s="477" t="s">
        <v>2488</v>
      </c>
      <c r="D2" s="409"/>
      <c r="E2" s="585">
        <v>3.05</v>
      </c>
      <c r="F2" s="224"/>
    </row>
    <row r="3" spans="1:6">
      <c r="A3" s="586"/>
      <c r="B3" s="84"/>
      <c r="C3" s="59" t="s">
        <v>12757</v>
      </c>
      <c r="D3" s="93"/>
      <c r="E3" s="230"/>
      <c r="F3" s="223"/>
    </row>
    <row r="4" spans="1:6">
      <c r="A4" s="75">
        <v>37212</v>
      </c>
      <c r="B4" s="86" t="str">
        <f>TiposLancamentos!B57</f>
        <v>Informática</v>
      </c>
      <c r="C4" s="52" t="s">
        <v>16264</v>
      </c>
      <c r="D4" s="587"/>
      <c r="E4" s="231">
        <v>99.52</v>
      </c>
      <c r="F4" s="224"/>
    </row>
    <row r="5" spans="1:6">
      <c r="A5" s="79">
        <v>37219</v>
      </c>
      <c r="B5" s="95" t="str">
        <f>TiposLancamentos!B5</f>
        <v>Supermercado</v>
      </c>
      <c r="C5" s="477" t="s">
        <v>2567</v>
      </c>
      <c r="D5" s="588"/>
      <c r="E5" s="589">
        <v>59.24</v>
      </c>
      <c r="F5" s="177"/>
    </row>
    <row r="6" spans="1:6">
      <c r="A6" s="75"/>
      <c r="B6" s="86"/>
      <c r="C6" s="52" t="s">
        <v>12761</v>
      </c>
      <c r="D6" s="63"/>
      <c r="E6" s="231"/>
      <c r="F6" s="224">
        <f>SUM(E3:E5)</f>
        <v>158.76</v>
      </c>
    </row>
    <row r="7" spans="1:6">
      <c r="A7" s="75">
        <v>37240</v>
      </c>
      <c r="B7" s="86" t="str">
        <f>TiposLancamentos!B15</f>
        <v>Cartões de Crédito</v>
      </c>
      <c r="C7" s="52" t="s">
        <v>14126</v>
      </c>
      <c r="D7" s="63">
        <v>158.76</v>
      </c>
      <c r="E7" s="231"/>
      <c r="F7" s="224"/>
    </row>
    <row r="8" spans="1:6">
      <c r="A8" s="75">
        <v>37242</v>
      </c>
      <c r="B8" s="86" t="str">
        <f>TiposLancamentos!B57</f>
        <v>Informática</v>
      </c>
      <c r="C8" s="52" t="s">
        <v>16265</v>
      </c>
      <c r="D8" s="63"/>
      <c r="E8" s="231">
        <v>99.52</v>
      </c>
      <c r="F8" s="224"/>
    </row>
    <row r="9" spans="1:6">
      <c r="A9" s="75">
        <v>37247</v>
      </c>
      <c r="B9" s="86" t="str">
        <f>TiposLancamentos!B72</f>
        <v>Presentes</v>
      </c>
      <c r="C9" s="52" t="s">
        <v>14592</v>
      </c>
      <c r="D9" s="63"/>
      <c r="E9" s="231">
        <v>28.5</v>
      </c>
      <c r="F9" s="224"/>
    </row>
    <row r="10" spans="1:6">
      <c r="A10" s="75">
        <v>37251</v>
      </c>
      <c r="B10" s="86" t="str">
        <f>TiposLancamentos!B64</f>
        <v>Viagens</v>
      </c>
      <c r="C10" s="52" t="s">
        <v>12107</v>
      </c>
      <c r="D10" s="63"/>
      <c r="E10" s="231">
        <v>32.700000000000003</v>
      </c>
      <c r="F10" s="224"/>
    </row>
    <row r="11" spans="1:6">
      <c r="A11" s="83"/>
      <c r="B11" s="91"/>
      <c r="C11" s="43" t="s">
        <v>12764</v>
      </c>
      <c r="D11" s="93"/>
      <c r="E11" s="230"/>
      <c r="F11" s="223">
        <f>SUM(E6:E10)</f>
        <v>160.71999999999997</v>
      </c>
    </row>
    <row r="12" spans="1:6">
      <c r="A12" s="75">
        <v>37273</v>
      </c>
      <c r="B12" s="86" t="str">
        <f>TiposLancamentos!B57</f>
        <v>Informática</v>
      </c>
      <c r="C12" s="52" t="s">
        <v>16266</v>
      </c>
      <c r="D12" s="63"/>
      <c r="E12" s="231">
        <v>99.53</v>
      </c>
      <c r="F12" s="224"/>
    </row>
    <row r="13" spans="1:6">
      <c r="A13" s="75">
        <v>37268</v>
      </c>
      <c r="B13" s="86" t="str">
        <f>TiposLancamentos!B5</f>
        <v>Supermercado</v>
      </c>
      <c r="C13" s="52" t="s">
        <v>2567</v>
      </c>
      <c r="D13" s="63"/>
      <c r="E13" s="231">
        <v>5.6</v>
      </c>
      <c r="F13" s="224"/>
    </row>
    <row r="14" spans="1:6">
      <c r="A14" s="75">
        <v>37271</v>
      </c>
      <c r="B14" s="86" t="str">
        <f>TiposLancamentos!B15</f>
        <v>Cartões de Crédito</v>
      </c>
      <c r="C14" s="52" t="s">
        <v>14126</v>
      </c>
      <c r="D14" s="63">
        <v>160.75</v>
      </c>
      <c r="E14" s="231"/>
      <c r="F14" s="224"/>
    </row>
    <row r="15" spans="1:6">
      <c r="A15" s="75">
        <v>37275</v>
      </c>
      <c r="B15" s="86" t="str">
        <f>TiposLancamentos!B5</f>
        <v>Supermercado</v>
      </c>
      <c r="C15" s="52" t="s">
        <v>14609</v>
      </c>
      <c r="D15" s="63"/>
      <c r="E15" s="231">
        <v>31.79</v>
      </c>
      <c r="F15" s="224"/>
    </row>
    <row r="16" spans="1:6">
      <c r="A16" s="75">
        <v>37279</v>
      </c>
      <c r="B16" s="86" t="str">
        <f>TiposLancamentos!B62</f>
        <v>Papelaria</v>
      </c>
      <c r="C16" s="52" t="s">
        <v>16267</v>
      </c>
      <c r="D16" s="63"/>
      <c r="E16" s="231">
        <v>5.53</v>
      </c>
      <c r="F16" s="224"/>
    </row>
    <row r="17" spans="1:6">
      <c r="A17" s="79">
        <v>37283</v>
      </c>
      <c r="B17" s="95" t="str">
        <f>TiposLancamentos!B45</f>
        <v>Online Services</v>
      </c>
      <c r="C17" s="477" t="s">
        <v>14602</v>
      </c>
      <c r="D17" s="85"/>
      <c r="E17" s="589">
        <v>3.45</v>
      </c>
      <c r="F17" s="177"/>
    </row>
    <row r="18" spans="1:6">
      <c r="A18" s="75"/>
      <c r="B18" s="86"/>
      <c r="C18" s="52" t="s">
        <v>12768</v>
      </c>
      <c r="D18" s="63"/>
      <c r="E18" s="231"/>
      <c r="F18" s="224">
        <f>SUM(E11:E17)</f>
        <v>145.89999999999998</v>
      </c>
    </row>
    <row r="19" spans="1:6">
      <c r="A19" s="75">
        <v>37302</v>
      </c>
      <c r="B19" s="86" t="str">
        <f>TiposLancamentos!B15</f>
        <v>Cartões de Crédito</v>
      </c>
      <c r="C19" s="52" t="s">
        <v>14126</v>
      </c>
      <c r="D19" s="63">
        <v>145.9</v>
      </c>
      <c r="E19" s="231"/>
      <c r="F19" s="224"/>
    </row>
    <row r="20" spans="1:6">
      <c r="A20" s="75">
        <v>37304</v>
      </c>
      <c r="B20" s="86" t="str">
        <f>TiposLancamentos!B57</f>
        <v>Informática</v>
      </c>
      <c r="C20" s="52" t="s">
        <v>16268</v>
      </c>
      <c r="D20" s="63"/>
      <c r="E20" s="231">
        <v>99.53</v>
      </c>
      <c r="F20" s="224"/>
    </row>
    <row r="21" spans="1:6">
      <c r="A21" s="75">
        <v>37307</v>
      </c>
      <c r="B21" s="86" t="str">
        <f>TiposLancamentos!B62</f>
        <v>Papelaria</v>
      </c>
      <c r="C21" s="52" t="s">
        <v>16269</v>
      </c>
      <c r="D21" s="63"/>
      <c r="E21" s="231">
        <v>10.64</v>
      </c>
      <c r="F21" s="224"/>
    </row>
    <row r="22" spans="1:6">
      <c r="A22" s="75">
        <v>37311</v>
      </c>
      <c r="B22" s="86" t="str">
        <f>TiposLancamentos!B5</f>
        <v>Supermercado</v>
      </c>
      <c r="C22" s="52" t="s">
        <v>2567</v>
      </c>
      <c r="D22" s="63"/>
      <c r="E22" s="231">
        <v>17.21</v>
      </c>
      <c r="F22" s="224"/>
    </row>
    <row r="23" spans="1:6">
      <c r="A23" s="75">
        <v>37311</v>
      </c>
      <c r="B23" s="86" t="str">
        <f>TiposLancamentos!B45</f>
        <v>Online Services</v>
      </c>
      <c r="C23" s="52" t="s">
        <v>14602</v>
      </c>
      <c r="D23" s="63"/>
      <c r="E23" s="231">
        <v>7.5</v>
      </c>
      <c r="F23" s="224"/>
    </row>
    <row r="24" spans="1:6">
      <c r="A24" s="83"/>
      <c r="B24" s="91"/>
      <c r="C24" s="43" t="s">
        <v>16034</v>
      </c>
      <c r="D24" s="93"/>
      <c r="E24" s="230"/>
      <c r="F24" s="223">
        <f>SUM(E18:E23)</f>
        <v>134.88</v>
      </c>
    </row>
    <row r="25" spans="1:6">
      <c r="A25" s="75">
        <v>37330</v>
      </c>
      <c r="B25" s="86" t="str">
        <f>TiposLancamentos!B15</f>
        <v>Cartões de Crédito</v>
      </c>
      <c r="C25" s="52" t="s">
        <v>14126</v>
      </c>
      <c r="D25" s="63">
        <v>137.88</v>
      </c>
      <c r="E25" s="231"/>
      <c r="F25" s="224"/>
    </row>
    <row r="26" spans="1:6">
      <c r="A26" s="79">
        <v>37332</v>
      </c>
      <c r="B26" s="95" t="str">
        <f>TiposLancamentos!B57</f>
        <v>Informática</v>
      </c>
      <c r="C26" s="477" t="s">
        <v>16270</v>
      </c>
      <c r="D26" s="85"/>
      <c r="E26" s="589">
        <v>99.55</v>
      </c>
      <c r="F26" s="177"/>
    </row>
    <row r="27" spans="1:6">
      <c r="A27" s="75"/>
      <c r="B27" s="86"/>
      <c r="C27" s="52" t="s">
        <v>12779</v>
      </c>
      <c r="D27" s="63"/>
      <c r="E27" s="231"/>
      <c r="F27" s="224">
        <f>SUM(E24:E26)</f>
        <v>99.55</v>
      </c>
    </row>
    <row r="28" spans="1:6">
      <c r="A28" s="75">
        <v>37359</v>
      </c>
      <c r="B28" s="86" t="str">
        <f>TiposLancamentos!B25</f>
        <v>CD_DVD_BD</v>
      </c>
      <c r="C28" s="52" t="s">
        <v>16271</v>
      </c>
      <c r="D28" s="63"/>
      <c r="E28" s="231">
        <v>56.8</v>
      </c>
      <c r="F28" s="224"/>
    </row>
    <row r="29" spans="1:6">
      <c r="A29" s="75">
        <v>37361</v>
      </c>
      <c r="B29" s="86" t="str">
        <f>TiposLancamentos!B15</f>
        <v>Cartões de Crédito</v>
      </c>
      <c r="C29" s="52" t="s">
        <v>14126</v>
      </c>
      <c r="D29" s="63">
        <v>99.55</v>
      </c>
      <c r="E29" s="231"/>
      <c r="F29" s="224"/>
    </row>
    <row r="30" spans="1:6">
      <c r="A30" s="75">
        <v>37363</v>
      </c>
      <c r="B30" s="86" t="str">
        <f>TiposLancamentos!B57</f>
        <v>Informática</v>
      </c>
      <c r="C30" s="47" t="s">
        <v>16272</v>
      </c>
      <c r="D30" s="63"/>
      <c r="E30" s="231">
        <v>99.53</v>
      </c>
      <c r="F30" s="224"/>
    </row>
    <row r="31" spans="1:6">
      <c r="A31" s="75">
        <v>37366</v>
      </c>
      <c r="B31" s="86" t="str">
        <f>TiposLancamentos!B45</f>
        <v>Online Services</v>
      </c>
      <c r="C31" s="52" t="s">
        <v>14602</v>
      </c>
      <c r="D31" s="63"/>
      <c r="E31" s="231">
        <v>7.5</v>
      </c>
      <c r="F31" s="224"/>
    </row>
    <row r="32" spans="1:6">
      <c r="A32" s="75">
        <v>37368</v>
      </c>
      <c r="B32" s="86" t="str">
        <f>TiposLancamentos!B26</f>
        <v>LIVROS</v>
      </c>
      <c r="C32" s="47" t="s">
        <v>16273</v>
      </c>
      <c r="D32" s="63"/>
      <c r="E32" s="231">
        <v>56.04</v>
      </c>
      <c r="F32" s="224"/>
    </row>
    <row r="33" spans="1:7">
      <c r="A33" s="75">
        <v>37372</v>
      </c>
      <c r="B33" s="86" t="str">
        <f>TiposLancamentos!B45</f>
        <v>Online Services</v>
      </c>
      <c r="C33" s="47" t="s">
        <v>14602</v>
      </c>
      <c r="D33" s="63"/>
      <c r="E33" s="231">
        <v>7.5</v>
      </c>
      <c r="F33" s="224"/>
    </row>
    <row r="34" spans="1:7">
      <c r="A34" s="83"/>
      <c r="B34" s="91"/>
      <c r="C34" s="43" t="s">
        <v>12786</v>
      </c>
      <c r="D34" s="93"/>
      <c r="E34" s="230"/>
      <c r="F34" s="223">
        <f>SUM(E27:E33)</f>
        <v>227.36999999999998</v>
      </c>
    </row>
    <row r="35" spans="1:7">
      <c r="A35" s="75">
        <v>37391</v>
      </c>
      <c r="B35" s="86" t="str">
        <f>TiposLancamentos!B15</f>
        <v>Cartões de Crédito</v>
      </c>
      <c r="C35" s="52" t="s">
        <v>14126</v>
      </c>
      <c r="D35" s="63">
        <v>227.39</v>
      </c>
      <c r="E35" s="231"/>
      <c r="F35" s="224"/>
    </row>
    <row r="36" spans="1:7">
      <c r="A36" s="75">
        <v>37401</v>
      </c>
      <c r="B36" s="86" t="str">
        <f>TiposLancamentos!B25</f>
        <v>CD_DVD_BD</v>
      </c>
      <c r="C36" s="52" t="s">
        <v>16274</v>
      </c>
      <c r="D36" s="63"/>
      <c r="E36" s="231">
        <v>18.899999999999999</v>
      </c>
      <c r="F36" s="224"/>
    </row>
    <row r="37" spans="1:7">
      <c r="A37" s="79">
        <v>37402</v>
      </c>
      <c r="B37" s="95" t="str">
        <f>TiposLancamentos!B45</f>
        <v>Online Services</v>
      </c>
      <c r="C37" s="477" t="s">
        <v>14602</v>
      </c>
      <c r="D37" s="85"/>
      <c r="E37" s="589">
        <v>7.5</v>
      </c>
      <c r="F37" s="177"/>
    </row>
    <row r="38" spans="1:7">
      <c r="A38" s="75"/>
      <c r="B38" s="86"/>
      <c r="C38" s="52" t="s">
        <v>16275</v>
      </c>
      <c r="D38" s="63"/>
      <c r="E38" s="231"/>
      <c r="F38" s="224"/>
    </row>
    <row r="39" spans="1:7">
      <c r="A39" s="75">
        <v>37408</v>
      </c>
      <c r="B39" s="86" t="str">
        <f>TiposLancamentos!B72</f>
        <v>Presentes</v>
      </c>
      <c r="C39" s="52" t="s">
        <v>14592</v>
      </c>
      <c r="D39" s="63"/>
      <c r="E39" s="231">
        <v>47.95</v>
      </c>
      <c r="F39" s="224">
        <f>E39+E37+E36</f>
        <v>74.349999999999994</v>
      </c>
    </row>
    <row r="40" spans="1:7">
      <c r="A40" s="75">
        <v>37415</v>
      </c>
      <c r="B40" s="86" t="str">
        <f>TiposLancamentos!B13</f>
        <v>Moradia</v>
      </c>
      <c r="C40" s="52" t="s">
        <v>16276</v>
      </c>
      <c r="D40" s="63"/>
      <c r="E40" s="231">
        <v>49.9</v>
      </c>
      <c r="F40" s="224"/>
    </row>
    <row r="41" spans="1:7">
      <c r="A41" s="75">
        <v>37415</v>
      </c>
      <c r="B41" s="86" t="str">
        <f>TiposLancamentos!B71</f>
        <v>Itens Pessoais</v>
      </c>
      <c r="C41" s="52" t="s">
        <v>16277</v>
      </c>
      <c r="D41" s="63"/>
      <c r="E41" s="231">
        <v>35</v>
      </c>
      <c r="F41" s="224"/>
    </row>
    <row r="42" spans="1:7">
      <c r="A42" s="75">
        <v>37424</v>
      </c>
      <c r="B42" s="86" t="str">
        <f>TiposLancamentos!B15</f>
        <v>Cartões de Crédito</v>
      </c>
      <c r="C42" s="52" t="s">
        <v>14126</v>
      </c>
      <c r="D42" s="63">
        <v>74.349999999999994</v>
      </c>
      <c r="E42" s="231"/>
      <c r="F42" s="224"/>
      <c r="G42" s="36"/>
    </row>
    <row r="43" spans="1:7">
      <c r="A43" s="75">
        <v>37424</v>
      </c>
      <c r="B43" s="86" t="str">
        <f>TiposLancamentos!B27</f>
        <v>Jornais e revistas</v>
      </c>
      <c r="C43" s="52" t="s">
        <v>16278</v>
      </c>
      <c r="D43" s="63"/>
      <c r="E43" s="231">
        <v>10.3</v>
      </c>
      <c r="F43" s="224"/>
      <c r="G43" s="36"/>
    </row>
    <row r="44" spans="1:7">
      <c r="A44" s="75">
        <v>37433</v>
      </c>
      <c r="B44" s="86" t="str">
        <f>TiposLancamentos!B45</f>
        <v>Online Services</v>
      </c>
      <c r="C44" s="52" t="s">
        <v>14602</v>
      </c>
      <c r="D44" s="63"/>
      <c r="E44" s="231">
        <v>7.5</v>
      </c>
      <c r="F44" s="224"/>
      <c r="G44" s="36"/>
    </row>
    <row r="45" spans="1:7">
      <c r="A45" s="83"/>
      <c r="B45" s="91"/>
      <c r="C45" s="43" t="s">
        <v>16279</v>
      </c>
      <c r="D45" s="93"/>
      <c r="E45" s="309"/>
      <c r="F45" s="223">
        <f>SUM(E38:E44)</f>
        <v>150.65</v>
      </c>
    </row>
    <row r="46" spans="1:7">
      <c r="A46" s="75">
        <v>37445</v>
      </c>
      <c r="B46" s="86" t="str">
        <f>TiposLancamentos!B13</f>
        <v>Moradia</v>
      </c>
      <c r="C46" s="52" t="s">
        <v>16280</v>
      </c>
      <c r="D46" s="63"/>
      <c r="E46" s="135">
        <v>49.9</v>
      </c>
      <c r="F46" s="224"/>
    </row>
    <row r="47" spans="1:7">
      <c r="A47" s="75">
        <v>37451</v>
      </c>
      <c r="B47" s="86" t="str">
        <f>TiposLancamentos!B5</f>
        <v>Supermercado</v>
      </c>
      <c r="C47" s="52" t="s">
        <v>2567</v>
      </c>
      <c r="D47" s="63"/>
      <c r="E47" s="135">
        <v>12.53</v>
      </c>
      <c r="F47" s="224"/>
    </row>
    <row r="48" spans="1:7">
      <c r="A48" s="75">
        <v>37452</v>
      </c>
      <c r="B48" s="86" t="str">
        <f>TiposLancamentos!B15</f>
        <v>Cartões de Crédito</v>
      </c>
      <c r="C48" s="52" t="s">
        <v>14126</v>
      </c>
      <c r="D48" s="63">
        <v>102.7</v>
      </c>
      <c r="E48" s="135"/>
      <c r="F48" s="224"/>
    </row>
    <row r="49" spans="1:6">
      <c r="A49" s="75">
        <v>37454</v>
      </c>
      <c r="B49" s="86" t="str">
        <f>TiposLancamentos!B27</f>
        <v>Jornais e revistas</v>
      </c>
      <c r="C49" s="52" t="s">
        <v>16281</v>
      </c>
      <c r="D49" s="63"/>
      <c r="E49" s="135">
        <v>10.3</v>
      </c>
      <c r="F49" s="224"/>
    </row>
    <row r="50" spans="1:6">
      <c r="A50" s="79">
        <v>37455</v>
      </c>
      <c r="B50" s="95" t="str">
        <f>TiposLancamentos!B5</f>
        <v>Supermercado</v>
      </c>
      <c r="C50" s="477" t="s">
        <v>2567</v>
      </c>
      <c r="D50" s="85"/>
      <c r="E50" s="407">
        <v>25.03</v>
      </c>
      <c r="F50" s="177"/>
    </row>
    <row r="51" spans="1:6">
      <c r="A51" s="75"/>
      <c r="B51" s="86"/>
      <c r="C51" s="52" t="s">
        <v>16282</v>
      </c>
      <c r="D51" s="63"/>
      <c r="E51" s="231"/>
      <c r="F51" s="224">
        <f>SUM(E46:E50)</f>
        <v>97.76</v>
      </c>
    </row>
    <row r="52" spans="1:6">
      <c r="A52" s="75">
        <v>37476</v>
      </c>
      <c r="B52" s="86" t="str">
        <f>TiposLancamentos!B13</f>
        <v>Moradia</v>
      </c>
      <c r="C52" s="52" t="s">
        <v>16283</v>
      </c>
      <c r="D52" s="63"/>
      <c r="E52" s="231">
        <v>49.9</v>
      </c>
      <c r="F52" s="224"/>
    </row>
    <row r="53" spans="1:6">
      <c r="A53" s="75">
        <v>37480</v>
      </c>
      <c r="B53" s="86" t="str">
        <f>TiposLancamentos!B5</f>
        <v>Supermercado</v>
      </c>
      <c r="C53" s="52" t="s">
        <v>14609</v>
      </c>
      <c r="D53" s="63"/>
      <c r="E53" s="231">
        <v>7.2</v>
      </c>
      <c r="F53" s="224"/>
    </row>
    <row r="54" spans="1:6">
      <c r="A54" s="75">
        <v>37483</v>
      </c>
      <c r="B54" s="86" t="str">
        <f>TiposLancamentos!B15</f>
        <v>Cartões de Crédito</v>
      </c>
      <c r="C54" s="52" t="s">
        <v>14126</v>
      </c>
      <c r="D54" s="63">
        <v>97.76</v>
      </c>
      <c r="E54" s="231"/>
      <c r="F54" s="224"/>
    </row>
    <row r="55" spans="1:6">
      <c r="A55" s="75">
        <v>37484</v>
      </c>
      <c r="B55" s="86" t="str">
        <f>TiposLancamentos!B5</f>
        <v>Supermercado</v>
      </c>
      <c r="C55" s="52" t="s">
        <v>14609</v>
      </c>
      <c r="D55" s="63"/>
      <c r="E55" s="231">
        <v>12.9</v>
      </c>
      <c r="F55" s="224"/>
    </row>
    <row r="56" spans="1:6">
      <c r="A56" s="75">
        <v>37485</v>
      </c>
      <c r="B56" s="86" t="str">
        <f>TiposLancamentos!B27</f>
        <v>Jornais e revistas</v>
      </c>
      <c r="C56" s="52" t="s">
        <v>16284</v>
      </c>
      <c r="D56" s="63"/>
      <c r="E56" s="231">
        <v>10.3</v>
      </c>
      <c r="F56" s="224"/>
    </row>
    <row r="57" spans="1:6">
      <c r="A57" s="75">
        <v>37488</v>
      </c>
      <c r="B57" s="86" t="str">
        <f>TiposLancamentos!B5</f>
        <v>Supermercado</v>
      </c>
      <c r="C57" s="52" t="s">
        <v>2567</v>
      </c>
      <c r="D57" s="63"/>
      <c r="E57" s="231">
        <v>21.32</v>
      </c>
      <c r="F57" s="224"/>
    </row>
    <row r="58" spans="1:6">
      <c r="A58" s="75">
        <v>37488</v>
      </c>
      <c r="B58" s="86" t="str">
        <f>TiposLancamentos!B25</f>
        <v>CD_DVD_BD</v>
      </c>
      <c r="C58" s="52" t="s">
        <v>16285</v>
      </c>
      <c r="D58" s="63"/>
      <c r="E58" s="231">
        <v>26.36</v>
      </c>
      <c r="F58" s="224"/>
    </row>
    <row r="59" spans="1:6">
      <c r="A59" s="83"/>
      <c r="B59" s="91"/>
      <c r="C59" s="43" t="s">
        <v>12814</v>
      </c>
      <c r="D59" s="93"/>
      <c r="E59" s="230"/>
      <c r="F59" s="223">
        <f>SUM(E51:E58)</f>
        <v>127.98</v>
      </c>
    </row>
    <row r="60" spans="1:6">
      <c r="A60" s="75">
        <v>37506</v>
      </c>
      <c r="B60" s="86" t="str">
        <f>TiposLancamentos!B72</f>
        <v>Presentes</v>
      </c>
      <c r="C60" s="52" t="s">
        <v>14592</v>
      </c>
      <c r="D60" s="63"/>
      <c r="E60" s="231">
        <v>48</v>
      </c>
      <c r="F60" s="224"/>
    </row>
    <row r="61" spans="1:6">
      <c r="A61" s="75">
        <v>37507</v>
      </c>
      <c r="B61" s="86" t="str">
        <f>TiposLancamentos!B13</f>
        <v>Moradia</v>
      </c>
      <c r="C61" s="52" t="s">
        <v>16286</v>
      </c>
      <c r="D61" s="63"/>
      <c r="E61" s="231">
        <v>49.9</v>
      </c>
      <c r="F61" s="224"/>
    </row>
    <row r="62" spans="1:6">
      <c r="A62" s="75">
        <v>37513</v>
      </c>
      <c r="B62" s="86" t="str">
        <f>TiposLancamentos!B56</f>
        <v>Farmácia</v>
      </c>
      <c r="C62" s="52" t="s">
        <v>1775</v>
      </c>
      <c r="D62" s="63"/>
      <c r="E62" s="231">
        <v>15.3</v>
      </c>
      <c r="F62" s="224"/>
    </row>
    <row r="63" spans="1:6">
      <c r="A63" s="75">
        <v>37515</v>
      </c>
      <c r="B63" s="86" t="str">
        <f>TiposLancamentos!B15</f>
        <v>Cartões de Crédito</v>
      </c>
      <c r="C63" s="52" t="s">
        <v>14126</v>
      </c>
      <c r="D63" s="63">
        <v>127.98</v>
      </c>
      <c r="E63" s="231"/>
      <c r="F63" s="224"/>
    </row>
    <row r="64" spans="1:6">
      <c r="A64" s="75">
        <v>37516</v>
      </c>
      <c r="B64" s="86" t="str">
        <f>TiposLancamentos!B27</f>
        <v>Jornais e revistas</v>
      </c>
      <c r="C64" s="52" t="s">
        <v>16287</v>
      </c>
      <c r="D64" s="63"/>
      <c r="E64" s="231">
        <v>10.3</v>
      </c>
      <c r="F64" s="224"/>
    </row>
    <row r="65" spans="1:6">
      <c r="A65" s="75">
        <v>37519</v>
      </c>
      <c r="B65" s="86" t="str">
        <f>TiposLancamentos!B25</f>
        <v>CD_DVD_BD</v>
      </c>
      <c r="C65" s="52" t="s">
        <v>16288</v>
      </c>
      <c r="D65" s="63"/>
      <c r="E65" s="231">
        <v>26.36</v>
      </c>
      <c r="F65" s="224"/>
    </row>
    <row r="66" spans="1:6">
      <c r="A66" s="79">
        <v>37527</v>
      </c>
      <c r="B66" s="95" t="str">
        <f>TiposLancamentos!B5</f>
        <v>Supermercado</v>
      </c>
      <c r="C66" s="477" t="s">
        <v>2567</v>
      </c>
      <c r="D66" s="85"/>
      <c r="E66" s="589">
        <v>14.1</v>
      </c>
      <c r="F66" s="177"/>
    </row>
    <row r="67" spans="1:6">
      <c r="A67" s="75"/>
      <c r="B67" s="86"/>
      <c r="C67" s="52" t="s">
        <v>12822</v>
      </c>
      <c r="D67" s="63"/>
      <c r="E67" s="231"/>
      <c r="F67" s="224">
        <f>SUM(E59:E66)</f>
        <v>163.96</v>
      </c>
    </row>
    <row r="68" spans="1:6">
      <c r="A68" s="75">
        <v>37537</v>
      </c>
      <c r="B68" s="86" t="str">
        <f>TiposLancamentos!B13</f>
        <v>Moradia</v>
      </c>
      <c r="C68" s="52" t="s">
        <v>16289</v>
      </c>
      <c r="D68" s="63"/>
      <c r="E68" s="231">
        <v>49.9</v>
      </c>
      <c r="F68" s="224"/>
    </row>
    <row r="69" spans="1:6">
      <c r="A69" s="75">
        <v>37540</v>
      </c>
      <c r="B69" s="86" t="str">
        <f>TiposLancamentos!B5</f>
        <v>Supermercado</v>
      </c>
      <c r="C69" s="52" t="s">
        <v>2567</v>
      </c>
      <c r="D69" s="63"/>
      <c r="E69" s="231">
        <v>11.41</v>
      </c>
      <c r="F69" s="224"/>
    </row>
    <row r="70" spans="1:6">
      <c r="A70" s="75">
        <v>37543</v>
      </c>
      <c r="B70" s="86" t="str">
        <f>TiposLancamentos!B56</f>
        <v>Farmácia</v>
      </c>
      <c r="C70" s="52" t="s">
        <v>1775</v>
      </c>
      <c r="D70" s="63"/>
      <c r="E70" s="231">
        <v>3.69</v>
      </c>
      <c r="F70" s="224"/>
    </row>
    <row r="71" spans="1:6">
      <c r="A71" s="75">
        <v>37544</v>
      </c>
      <c r="B71" s="86" t="str">
        <f>TiposLancamentos!B15</f>
        <v>Cartões de Crédito</v>
      </c>
      <c r="C71" s="52" t="s">
        <v>14126</v>
      </c>
      <c r="D71" s="63">
        <v>163.96</v>
      </c>
      <c r="E71" s="231"/>
      <c r="F71" s="224"/>
    </row>
    <row r="72" spans="1:6">
      <c r="A72" s="75">
        <v>37546</v>
      </c>
      <c r="B72" s="86" t="str">
        <f>TiposLancamentos!B57</f>
        <v>Informática</v>
      </c>
      <c r="C72" s="52" t="s">
        <v>16290</v>
      </c>
      <c r="D72" s="63"/>
      <c r="E72" s="231">
        <v>8.1</v>
      </c>
      <c r="F72" s="224"/>
    </row>
    <row r="73" spans="1:6">
      <c r="A73" s="75">
        <v>37549</v>
      </c>
      <c r="B73" s="86" t="str">
        <f>TiposLancamentos!B25</f>
        <v>CD_DVD_BD</v>
      </c>
      <c r="C73" s="52" t="s">
        <v>16291</v>
      </c>
      <c r="D73" s="63"/>
      <c r="E73" s="231">
        <v>26.36</v>
      </c>
      <c r="F73" s="224"/>
    </row>
    <row r="74" spans="1:6">
      <c r="A74" s="83"/>
      <c r="B74" s="91"/>
      <c r="C74" s="43" t="s">
        <v>12829</v>
      </c>
      <c r="D74" s="93"/>
      <c r="E74" s="230"/>
      <c r="F74" s="223">
        <f>SUM(E67:E73)</f>
        <v>99.46</v>
      </c>
    </row>
    <row r="75" spans="1:6">
      <c r="A75" s="75">
        <v>37568</v>
      </c>
      <c r="B75" s="86" t="str">
        <f>TiposLancamentos!B13</f>
        <v>Moradia</v>
      </c>
      <c r="C75" s="52" t="s">
        <v>16292</v>
      </c>
      <c r="D75" s="63"/>
      <c r="E75" s="231">
        <v>49.9</v>
      </c>
      <c r="F75" s="224"/>
    </row>
    <row r="76" spans="1:6">
      <c r="A76" s="75">
        <v>37572</v>
      </c>
      <c r="B76" s="86" t="str">
        <f>B90</f>
        <v>Cartões de Crédito</v>
      </c>
      <c r="C76" s="590" t="s">
        <v>15192</v>
      </c>
      <c r="D76" s="63"/>
      <c r="E76" s="231"/>
      <c r="F76" s="224"/>
    </row>
    <row r="77" spans="1:6">
      <c r="A77" s="75">
        <v>37575</v>
      </c>
      <c r="B77" s="86" t="str">
        <f>TiposLancamentos!B15</f>
        <v>Cartões de Crédito</v>
      </c>
      <c r="C77" s="52" t="s">
        <v>14126</v>
      </c>
      <c r="D77" s="63">
        <v>99.46</v>
      </c>
      <c r="E77" s="231"/>
      <c r="F77" s="224"/>
    </row>
    <row r="78" spans="1:6">
      <c r="A78" s="83"/>
      <c r="B78" s="91"/>
      <c r="C78" s="43" t="s">
        <v>12834</v>
      </c>
      <c r="D78" s="93"/>
      <c r="E78" s="230"/>
      <c r="F78" s="223">
        <f>SUM(E74:E77)</f>
        <v>49.9</v>
      </c>
    </row>
    <row r="79" spans="1:6">
      <c r="A79" s="75">
        <v>37598</v>
      </c>
      <c r="B79" s="86" t="str">
        <f>TiposLancamentos!B13</f>
        <v>Moradia</v>
      </c>
      <c r="C79" s="52" t="s">
        <v>16293</v>
      </c>
      <c r="D79" s="63"/>
      <c r="E79" s="231">
        <v>49.9</v>
      </c>
      <c r="F79" s="224"/>
    </row>
    <row r="80" spans="1:6">
      <c r="A80" s="75">
        <v>37605</v>
      </c>
      <c r="B80" s="86" t="str">
        <f>TiposLancamentos!B15</f>
        <v>Cartões de Crédito</v>
      </c>
      <c r="C80" s="52" t="s">
        <v>14126</v>
      </c>
      <c r="D80" s="63">
        <v>49.9</v>
      </c>
      <c r="E80" s="231"/>
      <c r="F80" s="224"/>
    </row>
    <row r="81" spans="1:6">
      <c r="A81" s="83"/>
      <c r="B81" s="91"/>
      <c r="C81" s="43" t="s">
        <v>12840</v>
      </c>
      <c r="D81" s="93"/>
      <c r="E81" s="230"/>
      <c r="F81" s="223">
        <f>SUM(E78:E80)</f>
        <v>49.9</v>
      </c>
    </row>
    <row r="82" spans="1:6">
      <c r="A82" s="75">
        <v>37629</v>
      </c>
      <c r="B82" s="86" t="str">
        <f>TiposLancamentos!B13</f>
        <v>Moradia</v>
      </c>
      <c r="C82" s="52" t="s">
        <v>16294</v>
      </c>
      <c r="D82" s="63"/>
      <c r="E82" s="231">
        <v>49.9</v>
      </c>
      <c r="F82" s="224"/>
    </row>
    <row r="83" spans="1:6">
      <c r="A83" s="75">
        <v>37636</v>
      </c>
      <c r="B83" s="86" t="str">
        <f>TiposLancamentos!B15</f>
        <v>Cartões de Crédito</v>
      </c>
      <c r="C83" s="52" t="s">
        <v>14126</v>
      </c>
      <c r="D83" s="63">
        <v>49.9</v>
      </c>
      <c r="E83" s="231"/>
      <c r="F83" s="224"/>
    </row>
    <row r="84" spans="1:6">
      <c r="A84" s="75"/>
      <c r="B84" s="86"/>
      <c r="C84" s="52" t="s">
        <v>12846</v>
      </c>
      <c r="D84" s="63"/>
      <c r="E84" s="231"/>
      <c r="F84" s="224">
        <f>SUM(E81:E83)</f>
        <v>49.9</v>
      </c>
    </row>
    <row r="85" spans="1:6">
      <c r="A85" s="75">
        <v>37660</v>
      </c>
      <c r="B85" s="86" t="str">
        <f>TiposLancamentos!B13</f>
        <v>Moradia</v>
      </c>
      <c r="C85" s="52" t="s">
        <v>16295</v>
      </c>
      <c r="D85" s="63"/>
      <c r="E85" s="231">
        <v>49.9</v>
      </c>
      <c r="F85" s="224"/>
    </row>
    <row r="86" spans="1:6">
      <c r="A86" s="75">
        <v>37667</v>
      </c>
      <c r="B86" s="86" t="str">
        <f>TiposLancamentos!B15</f>
        <v>Cartões de Crédito</v>
      </c>
      <c r="C86" s="52" t="s">
        <v>14126</v>
      </c>
      <c r="D86" s="63">
        <v>49.9</v>
      </c>
      <c r="E86" s="231"/>
      <c r="F86" s="224"/>
    </row>
    <row r="87" spans="1:6">
      <c r="A87" s="83"/>
      <c r="B87" s="91"/>
      <c r="C87" s="43" t="s">
        <v>12853</v>
      </c>
      <c r="D87" s="93"/>
      <c r="E87" s="230"/>
      <c r="F87" s="223">
        <f>SUM(E84:E86)</f>
        <v>49.9</v>
      </c>
    </row>
    <row r="88" spans="1:6">
      <c r="A88" s="79">
        <v>37688</v>
      </c>
      <c r="B88" s="95" t="str">
        <f>TiposLancamentos!B13</f>
        <v>Moradia</v>
      </c>
      <c r="C88" s="477" t="s">
        <v>16296</v>
      </c>
      <c r="D88" s="85"/>
      <c r="E88" s="589">
        <v>49.9</v>
      </c>
      <c r="F88" s="177"/>
    </row>
    <row r="89" spans="1:6">
      <c r="A89" s="75"/>
      <c r="B89" s="86"/>
      <c r="C89" s="52" t="s">
        <v>12857</v>
      </c>
      <c r="D89" s="63"/>
      <c r="E89" s="231"/>
      <c r="F89" s="224">
        <f>SUM(E87:E88)</f>
        <v>49.9</v>
      </c>
    </row>
    <row r="90" spans="1:6">
      <c r="A90" s="75">
        <v>37712</v>
      </c>
      <c r="B90" s="95" t="str">
        <f>TiposLancamentos!B15</f>
        <v>Cartões de Crédito</v>
      </c>
      <c r="C90" s="52" t="s">
        <v>14126</v>
      </c>
      <c r="D90" s="63">
        <v>99.8</v>
      </c>
      <c r="E90" s="231"/>
      <c r="F90" s="224"/>
    </row>
    <row r="91" spans="1:6">
      <c r="A91" s="42"/>
      <c r="B91" s="116"/>
      <c r="C91" s="184" t="s">
        <v>12</v>
      </c>
      <c r="D91" s="426">
        <f>SUM(D1:D90)</f>
        <v>1845.9400000000003</v>
      </c>
      <c r="E91" s="591">
        <f>SUM(E1:E90)</f>
        <v>1845.94</v>
      </c>
      <c r="F91" s="224"/>
    </row>
    <row r="92" spans="1:6">
      <c r="A92" s="119"/>
      <c r="B92" s="120"/>
      <c r="C92" s="24" t="s">
        <v>13</v>
      </c>
      <c r="D92" s="177"/>
      <c r="E92" s="302">
        <f>D91-E91</f>
        <v>0</v>
      </c>
      <c r="F92" s="177"/>
    </row>
  </sheetData>
  <sheetProtection selectLockedCells="1" selectUnlockedCells="1"/>
  <pageMargins left="0.78749999999999998" right="0.78749999999999998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Plan25"/>
  <dimension ref="A1:H1426"/>
  <sheetViews>
    <sheetView zoomScaleNormal="100" workbookViewId="0">
      <pane ySplit="1" topLeftCell="A1387" activePane="bottomLeft" state="frozen"/>
      <selection pane="bottomLeft" activeCell="I1426" sqref="I1426"/>
    </sheetView>
  </sheetViews>
  <sheetFormatPr defaultColWidth="9" defaultRowHeight="13.5"/>
  <cols>
    <col min="1" max="1" width="13.7109375" style="3" bestFit="1" customWidth="1"/>
    <col min="2" max="2" width="21.42578125" style="3" customWidth="1"/>
    <col min="3" max="3" width="51.140625" style="3" customWidth="1"/>
    <col min="4" max="4" width="17.28515625" style="3" bestFit="1" customWidth="1"/>
    <col min="5" max="5" width="17" style="221" customWidth="1"/>
    <col min="6" max="6" width="18" style="3" customWidth="1"/>
    <col min="7" max="7" width="7.7109375" style="3" customWidth="1"/>
    <col min="8" max="9" width="8.85546875" style="3" customWidth="1"/>
    <col min="10" max="16384" width="9" style="3"/>
  </cols>
  <sheetData>
    <row r="1" spans="1:7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6</v>
      </c>
    </row>
    <row r="2" spans="1:7">
      <c r="A2" s="83"/>
      <c r="B2" s="37"/>
      <c r="C2" s="222" t="s">
        <v>2931</v>
      </c>
      <c r="D2" s="93"/>
      <c r="E2" s="44"/>
      <c r="F2" s="223"/>
    </row>
    <row r="3" spans="1:7">
      <c r="A3" s="75">
        <v>38673</v>
      </c>
      <c r="B3" s="76" t="str">
        <f>TiposLancamentos!B4</f>
        <v>Taxas Bancarias</v>
      </c>
      <c r="C3" s="147" t="s">
        <v>16297</v>
      </c>
      <c r="D3" s="63"/>
      <c r="E3" s="135">
        <v>5.6</v>
      </c>
      <c r="F3" s="224"/>
    </row>
    <row r="4" spans="1:7">
      <c r="A4" s="75">
        <v>38679</v>
      </c>
      <c r="B4" s="76" t="str">
        <f>TiposLancamentos!B64</f>
        <v>Viagens</v>
      </c>
      <c r="C4" s="147" t="s">
        <v>16298</v>
      </c>
      <c r="D4" s="63"/>
      <c r="E4" s="135">
        <v>141.81</v>
      </c>
      <c r="F4" s="224"/>
    </row>
    <row r="5" spans="1:7">
      <c r="A5" s="75">
        <v>38679</v>
      </c>
      <c r="B5" s="76" t="str">
        <f>TiposLancamentos!B72</f>
        <v>Presentes</v>
      </c>
      <c r="C5" s="147" t="s">
        <v>16299</v>
      </c>
      <c r="D5" s="63"/>
      <c r="E5" s="135">
        <v>47.09</v>
      </c>
      <c r="F5" s="224"/>
    </row>
    <row r="6" spans="1:7">
      <c r="A6" s="75">
        <v>38679</v>
      </c>
      <c r="B6" s="76" t="str">
        <f>TiposLancamentos!B58</f>
        <v>Fotografias</v>
      </c>
      <c r="C6" s="147" t="s">
        <v>16300</v>
      </c>
      <c r="D6" s="63"/>
      <c r="E6" s="135">
        <v>15.5</v>
      </c>
      <c r="F6" s="224"/>
    </row>
    <row r="7" spans="1:7">
      <c r="A7" s="75">
        <v>38679</v>
      </c>
      <c r="B7" s="76" t="str">
        <f>TiposLancamentos!B19</f>
        <v>Restaurantes</v>
      </c>
      <c r="C7" s="147" t="s">
        <v>3063</v>
      </c>
      <c r="D7" s="63"/>
      <c r="E7" s="49">
        <v>7.2</v>
      </c>
      <c r="F7" s="224"/>
    </row>
    <row r="8" spans="1:7">
      <c r="A8" s="307">
        <v>38679</v>
      </c>
      <c r="B8" s="295" t="str">
        <f>TiposLancamentos!B16</f>
        <v>Cristiane</v>
      </c>
      <c r="C8" s="291" t="s">
        <v>16301</v>
      </c>
      <c r="D8" s="292"/>
      <c r="E8" s="308">
        <v>29.94</v>
      </c>
      <c r="F8" s="224"/>
    </row>
    <row r="9" spans="1:7">
      <c r="A9" s="75">
        <v>38679</v>
      </c>
      <c r="B9" s="76" t="str">
        <f>TiposLancamentos!B5</f>
        <v>Supermercado</v>
      </c>
      <c r="C9" s="147" t="s">
        <v>16302</v>
      </c>
      <c r="D9" s="63"/>
      <c r="E9" s="135">
        <v>14.75</v>
      </c>
      <c r="F9" s="224"/>
    </row>
    <row r="10" spans="1:7">
      <c r="A10" s="75">
        <v>38680</v>
      </c>
      <c r="B10" s="76" t="str">
        <f>TiposLancamentos!B5</f>
        <v>Supermercado</v>
      </c>
      <c r="C10" s="147" t="s">
        <v>14609</v>
      </c>
      <c r="D10" s="63"/>
      <c r="E10" s="135">
        <v>56.5</v>
      </c>
      <c r="F10" s="224"/>
    </row>
    <row r="11" spans="1:7">
      <c r="A11" s="75">
        <v>38680</v>
      </c>
      <c r="B11" s="76" t="str">
        <f>TiposLancamentos!B19</f>
        <v>Restaurantes</v>
      </c>
      <c r="C11" s="147" t="s">
        <v>16303</v>
      </c>
      <c r="D11" s="63"/>
      <c r="E11" s="135">
        <v>28.27</v>
      </c>
      <c r="F11" s="224"/>
    </row>
    <row r="12" spans="1:7">
      <c r="A12" s="75">
        <v>38681</v>
      </c>
      <c r="B12" s="76" t="str">
        <f>TiposLancamentos!B5</f>
        <v>Supermercado</v>
      </c>
      <c r="C12" s="147" t="s">
        <v>2567</v>
      </c>
      <c r="D12" s="63"/>
      <c r="E12" s="135">
        <v>46.5</v>
      </c>
      <c r="F12" s="224"/>
    </row>
    <row r="13" spans="1:7">
      <c r="A13" s="75">
        <v>38681</v>
      </c>
      <c r="B13" s="76" t="str">
        <f>TiposLancamentos!B22</f>
        <v>Combustivel</v>
      </c>
      <c r="C13" s="147" t="s">
        <v>2514</v>
      </c>
      <c r="D13" s="63"/>
      <c r="E13" s="135">
        <v>10</v>
      </c>
      <c r="F13" s="224"/>
    </row>
    <row r="14" spans="1:7">
      <c r="A14" s="75">
        <v>38681</v>
      </c>
      <c r="B14" s="76" t="str">
        <f>TiposLancamentos!B16</f>
        <v>Cristiane</v>
      </c>
      <c r="C14" s="147" t="s">
        <v>1775</v>
      </c>
      <c r="D14" s="63"/>
      <c r="E14" s="135">
        <v>41.52</v>
      </c>
      <c r="F14" s="224"/>
    </row>
    <row r="15" spans="1:7">
      <c r="A15" s="75">
        <v>38681</v>
      </c>
      <c r="B15" s="76" t="str">
        <f>TiposLancamentos!B17</f>
        <v>GATO</v>
      </c>
      <c r="C15" s="147" t="s">
        <v>16304</v>
      </c>
      <c r="D15" s="63"/>
      <c r="E15" s="135">
        <v>55.7</v>
      </c>
      <c r="F15" s="224"/>
    </row>
    <row r="16" spans="1:7">
      <c r="A16" s="75">
        <v>38681</v>
      </c>
      <c r="B16" s="76" t="str">
        <f>TiposLancamentos!B17</f>
        <v>GATO</v>
      </c>
      <c r="C16" s="147" t="s">
        <v>16305</v>
      </c>
      <c r="D16" s="63"/>
      <c r="E16" s="135">
        <v>90</v>
      </c>
      <c r="F16" s="224"/>
    </row>
    <row r="17" spans="1:6">
      <c r="A17" s="75">
        <v>38682</v>
      </c>
      <c r="B17" s="76" t="str">
        <f>TiposLancamentos!B17</f>
        <v>GATO</v>
      </c>
      <c r="C17" s="147" t="s">
        <v>16306</v>
      </c>
      <c r="D17" s="63"/>
      <c r="E17" s="135">
        <v>40</v>
      </c>
      <c r="F17" s="224"/>
    </row>
    <row r="18" spans="1:6">
      <c r="A18" s="75">
        <v>38683</v>
      </c>
      <c r="B18" s="76" t="str">
        <f>TiposLancamentos!B5</f>
        <v>Supermercado</v>
      </c>
      <c r="C18" s="147" t="s">
        <v>2567</v>
      </c>
      <c r="D18" s="63"/>
      <c r="E18" s="135">
        <v>12.3</v>
      </c>
      <c r="F18" s="224"/>
    </row>
    <row r="19" spans="1:6">
      <c r="A19" s="75">
        <v>38683</v>
      </c>
      <c r="B19" s="76" t="str">
        <f>TiposLancamentos!B19</f>
        <v>Restaurantes</v>
      </c>
      <c r="C19" s="147" t="s">
        <v>2640</v>
      </c>
      <c r="D19" s="63"/>
      <c r="E19" s="135">
        <v>23.2</v>
      </c>
      <c r="F19" s="224"/>
    </row>
    <row r="20" spans="1:6">
      <c r="A20" s="307">
        <v>38684</v>
      </c>
      <c r="B20" s="295" t="str">
        <f>TiposLancamentos!B16</f>
        <v>Cristiane</v>
      </c>
      <c r="C20" s="291" t="s">
        <v>16307</v>
      </c>
      <c r="D20" s="292"/>
      <c r="E20" s="308">
        <v>58.7</v>
      </c>
      <c r="F20" s="224"/>
    </row>
    <row r="21" spans="1:6">
      <c r="A21" s="307">
        <v>38685</v>
      </c>
      <c r="B21" s="295" t="str">
        <f>TiposLancamentos!B5</f>
        <v>Supermercado</v>
      </c>
      <c r="C21" s="291" t="s">
        <v>2567</v>
      </c>
      <c r="D21" s="292"/>
      <c r="E21" s="308">
        <v>39.31</v>
      </c>
      <c r="F21" s="224"/>
    </row>
    <row r="22" spans="1:6">
      <c r="A22" s="79"/>
      <c r="B22" s="80"/>
      <c r="C22" s="229"/>
      <c r="D22" s="85"/>
      <c r="E22" s="58"/>
      <c r="F22" s="177"/>
    </row>
    <row r="23" spans="1:6">
      <c r="A23" s="83"/>
      <c r="B23" s="37"/>
      <c r="C23" s="222" t="s">
        <v>2947</v>
      </c>
      <c r="D23" s="93"/>
      <c r="E23" s="44"/>
      <c r="F23" s="223">
        <f>SUM(E2:E22)</f>
        <v>763.88999999999987</v>
      </c>
    </row>
    <row r="24" spans="1:6">
      <c r="A24" s="307">
        <v>38688</v>
      </c>
      <c r="B24" s="295" t="str">
        <f>TiposLancamentos!B5</f>
        <v>Supermercado</v>
      </c>
      <c r="C24" s="291" t="s">
        <v>2567</v>
      </c>
      <c r="D24" s="292"/>
      <c r="E24" s="308">
        <v>33.380000000000003</v>
      </c>
      <c r="F24" s="224"/>
    </row>
    <row r="25" spans="1:6">
      <c r="A25" s="307">
        <v>38692</v>
      </c>
      <c r="B25" s="295" t="str">
        <f>TiposLancamentos!B16</f>
        <v>Cristiane</v>
      </c>
      <c r="C25" s="291" t="s">
        <v>16308</v>
      </c>
      <c r="D25" s="292"/>
      <c r="E25" s="308">
        <v>13</v>
      </c>
      <c r="F25" s="224"/>
    </row>
    <row r="26" spans="1:6">
      <c r="A26" s="307">
        <v>38695</v>
      </c>
      <c r="B26" s="295" t="str">
        <f>TiposLancamentos!B5</f>
        <v>Supermercado</v>
      </c>
      <c r="C26" s="291" t="s">
        <v>2567</v>
      </c>
      <c r="D26" s="292"/>
      <c r="E26" s="308">
        <v>57.31</v>
      </c>
      <c r="F26" s="224"/>
    </row>
    <row r="27" spans="1:6">
      <c r="A27" s="75">
        <v>38702</v>
      </c>
      <c r="B27" s="76" t="str">
        <f>TiposLancamentos!B72</f>
        <v>Presentes</v>
      </c>
      <c r="C27" s="147" t="s">
        <v>16309</v>
      </c>
      <c r="D27" s="63"/>
      <c r="E27" s="49">
        <v>60.9</v>
      </c>
      <c r="F27" s="224"/>
    </row>
    <row r="28" spans="1:6">
      <c r="A28" s="307">
        <v>38702</v>
      </c>
      <c r="B28" s="295" t="str">
        <f>TiposLancamentos!B17</f>
        <v>GATO</v>
      </c>
      <c r="C28" s="291" t="s">
        <v>16310</v>
      </c>
      <c r="D28" s="292"/>
      <c r="E28" s="308">
        <v>75</v>
      </c>
      <c r="F28" s="224"/>
    </row>
    <row r="29" spans="1:6">
      <c r="A29" s="307">
        <v>38704</v>
      </c>
      <c r="B29" s="295" t="str">
        <f>TiposLancamentos!B17</f>
        <v>GATO</v>
      </c>
      <c r="C29" s="291" t="s">
        <v>16311</v>
      </c>
      <c r="D29" s="292"/>
      <c r="E29" s="308">
        <v>80</v>
      </c>
      <c r="F29" s="224"/>
    </row>
    <row r="30" spans="1:6">
      <c r="A30" s="75">
        <v>38706</v>
      </c>
      <c r="B30" s="76" t="str">
        <f>TiposLancamentos!B13</f>
        <v>Moradia</v>
      </c>
      <c r="C30" s="147" t="s">
        <v>16312</v>
      </c>
      <c r="D30" s="63"/>
      <c r="E30" s="49">
        <v>36.35</v>
      </c>
      <c r="F30" s="224"/>
    </row>
    <row r="31" spans="1:6">
      <c r="A31" s="225"/>
      <c r="B31" s="226"/>
      <c r="C31" s="227" t="s">
        <v>10</v>
      </c>
      <c r="D31" s="228"/>
      <c r="E31" s="228"/>
      <c r="F31" s="228"/>
    </row>
    <row r="32" spans="1:6">
      <c r="A32" s="75">
        <v>38708</v>
      </c>
      <c r="B32" s="76" t="str">
        <f>TiposLancamentos!B5</f>
        <v>Supermercado</v>
      </c>
      <c r="C32" s="147" t="s">
        <v>16313</v>
      </c>
      <c r="D32" s="63"/>
      <c r="E32" s="49">
        <v>6.99</v>
      </c>
      <c r="F32" s="224"/>
    </row>
    <row r="33" spans="1:6">
      <c r="A33" s="75">
        <v>38709</v>
      </c>
      <c r="B33" s="76" t="str">
        <f>TiposLancamentos!B64</f>
        <v>Viagens</v>
      </c>
      <c r="C33" s="147" t="s">
        <v>16314</v>
      </c>
      <c r="D33" s="63"/>
      <c r="E33" s="135">
        <v>141.81</v>
      </c>
      <c r="F33" s="224"/>
    </row>
    <row r="34" spans="1:6">
      <c r="A34" s="83"/>
      <c r="B34" s="37"/>
      <c r="C34" s="222" t="s">
        <v>16315</v>
      </c>
      <c r="D34" s="93"/>
      <c r="E34" s="309"/>
      <c r="F34" s="223">
        <f>SUM(E24:E30)+F23</f>
        <v>1119.83</v>
      </c>
    </row>
    <row r="35" spans="1:6">
      <c r="A35" s="75">
        <v>38718</v>
      </c>
      <c r="B35" s="76" t="str">
        <f>TiposLancamentos!B45</f>
        <v>Online Services</v>
      </c>
      <c r="C35" s="147" t="s">
        <v>15207</v>
      </c>
      <c r="D35" s="63"/>
      <c r="E35" s="135">
        <v>7.41</v>
      </c>
      <c r="F35" s="224"/>
    </row>
    <row r="36" spans="1:6">
      <c r="A36" s="75">
        <v>38719</v>
      </c>
      <c r="B36" s="76" t="str">
        <f>TiposLancamentos!B15</f>
        <v>Cartões de Crédito</v>
      </c>
      <c r="C36" s="147" t="s">
        <v>16316</v>
      </c>
      <c r="D36" s="63">
        <f>ItaU!E271</f>
        <v>1119.96</v>
      </c>
      <c r="E36" s="135"/>
      <c r="F36" s="224"/>
    </row>
    <row r="37" spans="1:6">
      <c r="A37" s="75">
        <v>38721</v>
      </c>
      <c r="B37" s="76" t="str">
        <f>TiposLancamentos!B64</f>
        <v>Viagens</v>
      </c>
      <c r="C37" s="147" t="s">
        <v>16317</v>
      </c>
      <c r="D37" s="63"/>
      <c r="E37" s="135">
        <v>156.6</v>
      </c>
      <c r="F37" s="224"/>
    </row>
    <row r="38" spans="1:6">
      <c r="A38" s="310">
        <v>38722</v>
      </c>
      <c r="B38" s="311" t="str">
        <f>TiposLancamentos!B25</f>
        <v>CD_DVD_BD</v>
      </c>
      <c r="C38" s="312" t="s">
        <v>16318</v>
      </c>
      <c r="D38" s="63"/>
      <c r="E38" s="135">
        <f>12.9+2.12</f>
        <v>15.02</v>
      </c>
      <c r="F38" s="224"/>
    </row>
    <row r="39" spans="1:6">
      <c r="A39" s="310">
        <v>38722</v>
      </c>
      <c r="B39" s="311" t="str">
        <f>TiposLancamentos!B26</f>
        <v>LIVROS</v>
      </c>
      <c r="C39" s="312" t="s">
        <v>16319</v>
      </c>
      <c r="D39" s="63"/>
      <c r="E39" s="135">
        <v>49.14</v>
      </c>
      <c r="F39" s="224"/>
    </row>
    <row r="40" spans="1:6">
      <c r="A40" s="75">
        <v>38722</v>
      </c>
      <c r="B40" s="76" t="str">
        <f>TiposLancamentos!B16</f>
        <v>Cristiane</v>
      </c>
      <c r="C40" s="147" t="s">
        <v>16320</v>
      </c>
      <c r="D40" s="63"/>
      <c r="E40" s="135">
        <v>29.1</v>
      </c>
      <c r="F40" s="224"/>
    </row>
    <row r="41" spans="1:6">
      <c r="A41" s="75">
        <v>38722</v>
      </c>
      <c r="B41" s="76" t="str">
        <f>TiposLancamentos!B81</f>
        <v>Ferramentas gerais</v>
      </c>
      <c r="C41" s="147" t="s">
        <v>16321</v>
      </c>
      <c r="D41" s="63"/>
      <c r="E41" s="135">
        <v>52.02</v>
      </c>
      <c r="F41" s="224"/>
    </row>
    <row r="42" spans="1:6">
      <c r="A42" s="75">
        <v>38725</v>
      </c>
      <c r="B42" s="76" t="str">
        <f>TiposLancamentos!B17</f>
        <v>GATO</v>
      </c>
      <c r="C42" s="147" t="s">
        <v>16322</v>
      </c>
      <c r="D42" s="63"/>
      <c r="E42" s="135">
        <v>11.75</v>
      </c>
      <c r="F42" s="224"/>
    </row>
    <row r="43" spans="1:6">
      <c r="A43" s="75">
        <v>38731</v>
      </c>
      <c r="B43" s="76" t="str">
        <f>TiposLancamentos!B69</f>
        <v>Consertos</v>
      </c>
      <c r="C43" s="147" t="s">
        <v>16323</v>
      </c>
      <c r="D43" s="63"/>
      <c r="E43" s="135">
        <v>42</v>
      </c>
      <c r="F43" s="224"/>
    </row>
    <row r="44" spans="1:6">
      <c r="A44" s="75">
        <v>38731</v>
      </c>
      <c r="B44" s="76" t="str">
        <f>TiposLancamentos!B5</f>
        <v>Supermercado</v>
      </c>
      <c r="C44" s="147" t="s">
        <v>16313</v>
      </c>
      <c r="D44" s="63"/>
      <c r="E44" s="135">
        <v>12.11</v>
      </c>
      <c r="F44" s="224"/>
    </row>
    <row r="45" spans="1:6">
      <c r="A45" s="75">
        <v>38734</v>
      </c>
      <c r="B45" s="76" t="str">
        <f>TiposLancamentos!B4</f>
        <v>Taxas Bancarias</v>
      </c>
      <c r="C45" s="147" t="s">
        <v>16324</v>
      </c>
      <c r="D45" s="63"/>
      <c r="E45" s="135">
        <v>5.6</v>
      </c>
      <c r="F45" s="224"/>
    </row>
    <row r="46" spans="1:6">
      <c r="A46" s="225"/>
      <c r="B46" s="226"/>
      <c r="C46" s="227" t="s">
        <v>10</v>
      </c>
      <c r="D46" s="228"/>
      <c r="E46" s="228"/>
      <c r="F46" s="228"/>
    </row>
    <row r="47" spans="1:6">
      <c r="A47" s="307">
        <v>38743</v>
      </c>
      <c r="B47" s="295" t="str">
        <f>TiposLancamentos!B5</f>
        <v>Supermercado</v>
      </c>
      <c r="C47" s="291" t="s">
        <v>2567</v>
      </c>
      <c r="D47" s="292"/>
      <c r="E47" s="308">
        <v>30.58</v>
      </c>
      <c r="F47" s="224"/>
    </row>
    <row r="48" spans="1:6">
      <c r="A48" s="307">
        <v>38743</v>
      </c>
      <c r="B48" s="295" t="str">
        <f>TiposLancamentos!B16</f>
        <v>Cristiane</v>
      </c>
      <c r="C48" s="291" t="s">
        <v>16325</v>
      </c>
      <c r="D48" s="292"/>
      <c r="E48" s="308">
        <v>112.8</v>
      </c>
      <c r="F48" s="224"/>
    </row>
    <row r="49" spans="1:6">
      <c r="A49" s="75">
        <v>38746</v>
      </c>
      <c r="B49" s="76" t="str">
        <f>TiposLancamentos!B70</f>
        <v>Vestuário</v>
      </c>
      <c r="C49" s="147" t="s">
        <v>16326</v>
      </c>
      <c r="D49" s="63"/>
      <c r="E49" s="135">
        <v>40.799999999999997</v>
      </c>
      <c r="F49" s="224"/>
    </row>
    <row r="50" spans="1:6">
      <c r="A50" s="75">
        <v>38746</v>
      </c>
      <c r="B50" s="76" t="str">
        <f>TiposLancamentos!B70</f>
        <v>Vestuário</v>
      </c>
      <c r="C50" s="147" t="s">
        <v>16327</v>
      </c>
      <c r="D50" s="63"/>
      <c r="E50" s="135">
        <v>99.99</v>
      </c>
      <c r="F50" s="224"/>
    </row>
    <row r="51" spans="1:6">
      <c r="A51" s="307">
        <v>38748</v>
      </c>
      <c r="B51" s="295" t="str">
        <f>TiposLancamentos!B16</f>
        <v>Cristiane</v>
      </c>
      <c r="C51" s="291" t="s">
        <v>2640</v>
      </c>
      <c r="D51" s="292"/>
      <c r="E51" s="308">
        <v>9.4</v>
      </c>
      <c r="F51" s="224"/>
    </row>
    <row r="52" spans="1:6">
      <c r="A52" s="83"/>
      <c r="B52" s="37"/>
      <c r="C52" s="222" t="s">
        <v>3026</v>
      </c>
      <c r="D52" s="93"/>
      <c r="E52" s="309"/>
      <c r="F52" s="223">
        <f>SUM(E32:E45)</f>
        <v>529.54999999999995</v>
      </c>
    </row>
    <row r="53" spans="1:6">
      <c r="A53" s="75">
        <v>38749</v>
      </c>
      <c r="B53" s="76" t="str">
        <f>TiposLancamentos!B45</f>
        <v>Online Services</v>
      </c>
      <c r="C53" s="147" t="s">
        <v>15207</v>
      </c>
      <c r="D53" s="63"/>
      <c r="E53" s="135">
        <v>29.14</v>
      </c>
      <c r="F53" s="224"/>
    </row>
    <row r="54" spans="1:6">
      <c r="A54" s="307">
        <v>38749</v>
      </c>
      <c r="B54" s="295" t="str">
        <f>TiposLancamentos!B16</f>
        <v>Cristiane</v>
      </c>
      <c r="C54" s="291" t="s">
        <v>16328</v>
      </c>
      <c r="D54" s="292"/>
      <c r="E54" s="308">
        <v>20.3</v>
      </c>
      <c r="F54" s="224"/>
    </row>
    <row r="55" spans="1:6">
      <c r="A55" s="75">
        <v>38750</v>
      </c>
      <c r="B55" s="76" t="str">
        <f>TiposLancamentos!B15</f>
        <v>Cartões de Crédito</v>
      </c>
      <c r="C55" s="147" t="s">
        <v>16329</v>
      </c>
      <c r="D55" s="63">
        <v>529.54999999999995</v>
      </c>
      <c r="E55" s="135"/>
      <c r="F55" s="224"/>
    </row>
    <row r="56" spans="1:6">
      <c r="A56" s="307">
        <v>38750</v>
      </c>
      <c r="B56" s="295" t="str">
        <f>TiposLancamentos!B16</f>
        <v>Cristiane</v>
      </c>
      <c r="C56" s="291" t="s">
        <v>1698</v>
      </c>
      <c r="D56" s="292"/>
      <c r="E56" s="308">
        <v>39.9</v>
      </c>
      <c r="F56" s="224"/>
    </row>
    <row r="57" spans="1:6">
      <c r="A57" s="75">
        <v>38751</v>
      </c>
      <c r="B57" s="76" t="str">
        <f>TiposLancamentos!B19</f>
        <v>Restaurantes</v>
      </c>
      <c r="C57" s="147" t="s">
        <v>2640</v>
      </c>
      <c r="D57" s="63"/>
      <c r="E57" s="135">
        <v>9.5</v>
      </c>
      <c r="F57" s="224"/>
    </row>
    <row r="58" spans="1:6">
      <c r="A58" s="307">
        <v>38751</v>
      </c>
      <c r="B58" s="295" t="str">
        <f>TiposLancamentos!B16</f>
        <v>Cristiane</v>
      </c>
      <c r="C58" s="291" t="s">
        <v>16330</v>
      </c>
      <c r="D58" s="292"/>
      <c r="E58" s="308">
        <v>29.7</v>
      </c>
      <c r="F58" s="224"/>
    </row>
    <row r="59" spans="1:6">
      <c r="A59" s="307">
        <v>38751</v>
      </c>
      <c r="B59" s="295" t="str">
        <f>TiposLancamentos!B16</f>
        <v>Cristiane</v>
      </c>
      <c r="C59" s="291" t="s">
        <v>4999</v>
      </c>
      <c r="D59" s="292"/>
      <c r="E59" s="308">
        <v>16.73</v>
      </c>
      <c r="F59" s="224"/>
    </row>
    <row r="60" spans="1:6">
      <c r="A60" s="75">
        <v>38757</v>
      </c>
      <c r="B60" s="76" t="str">
        <f>TiposLancamentos!B19</f>
        <v>Restaurantes</v>
      </c>
      <c r="C60" s="147" t="s">
        <v>16331</v>
      </c>
      <c r="D60" s="63"/>
      <c r="E60" s="135">
        <v>21.28</v>
      </c>
      <c r="F60" s="224"/>
    </row>
    <row r="61" spans="1:6">
      <c r="A61" s="307">
        <v>38758</v>
      </c>
      <c r="B61" s="295" t="str">
        <f>TiposLancamentos!B16</f>
        <v>Cristiane</v>
      </c>
      <c r="C61" s="291" t="s">
        <v>16332</v>
      </c>
      <c r="D61" s="292"/>
      <c r="E61" s="308">
        <v>33.1</v>
      </c>
      <c r="F61" s="224"/>
    </row>
    <row r="62" spans="1:6">
      <c r="A62" s="225"/>
      <c r="B62" s="226"/>
      <c r="C62" s="227" t="s">
        <v>10</v>
      </c>
      <c r="D62" s="228"/>
      <c r="E62" s="228"/>
      <c r="F62" s="228"/>
    </row>
    <row r="63" spans="1:6">
      <c r="A63" s="75">
        <v>38770</v>
      </c>
      <c r="B63" s="76" t="str">
        <f>TiposLancamentos!B78</f>
        <v>Diferenças</v>
      </c>
      <c r="C63" s="147" t="s">
        <v>16333</v>
      </c>
      <c r="D63" s="63"/>
      <c r="E63" s="135">
        <v>0.13</v>
      </c>
      <c r="F63" s="224"/>
    </row>
    <row r="64" spans="1:6">
      <c r="A64" s="75">
        <v>38773</v>
      </c>
      <c r="B64" s="76" t="str">
        <f>TiposLancamentos!B98</f>
        <v>Restituições</v>
      </c>
      <c r="C64" s="52" t="s">
        <v>16334</v>
      </c>
      <c r="D64" s="63">
        <v>0.19</v>
      </c>
      <c r="E64" s="135"/>
      <c r="F64" s="224"/>
    </row>
    <row r="65" spans="1:6">
      <c r="A65" s="75">
        <v>38773</v>
      </c>
      <c r="B65" s="76" t="str">
        <f>TiposLancamentos!B13</f>
        <v>Moradia</v>
      </c>
      <c r="C65" s="313" t="s">
        <v>16335</v>
      </c>
      <c r="D65" s="63"/>
      <c r="E65" s="135">
        <v>172.7</v>
      </c>
      <c r="F65" s="224"/>
    </row>
    <row r="66" spans="1:6">
      <c r="A66" s="314"/>
      <c r="B66" s="37"/>
      <c r="C66" s="222" t="s">
        <v>2806</v>
      </c>
      <c r="D66" s="93"/>
      <c r="E66" s="309"/>
      <c r="F66" s="223">
        <f>SUM(E47:E61)</f>
        <v>493.22</v>
      </c>
    </row>
    <row r="67" spans="1:6">
      <c r="A67" s="75">
        <v>38778</v>
      </c>
      <c r="B67" s="76" t="str">
        <f>TiposLancamentos!B15</f>
        <v>Cartões de Crédito</v>
      </c>
      <c r="C67" s="147" t="s">
        <v>14126</v>
      </c>
      <c r="D67" s="63">
        <v>493.22</v>
      </c>
      <c r="E67" s="135"/>
      <c r="F67" s="224"/>
    </row>
    <row r="68" spans="1:6">
      <c r="A68" s="75">
        <v>38779</v>
      </c>
      <c r="B68" s="76" t="str">
        <f>TiposLancamentos!B45</f>
        <v>Online Services</v>
      </c>
      <c r="C68" s="147" t="s">
        <v>15207</v>
      </c>
      <c r="D68" s="63"/>
      <c r="E68" s="135">
        <v>19.899999999999999</v>
      </c>
      <c r="F68" s="224"/>
    </row>
    <row r="69" spans="1:6">
      <c r="A69" s="75">
        <v>38788</v>
      </c>
      <c r="B69" s="76" t="str">
        <f>TiposLancamentos!B16</f>
        <v>Cristiane</v>
      </c>
      <c r="C69" s="147" t="s">
        <v>16336</v>
      </c>
      <c r="D69" s="63"/>
      <c r="E69" s="135">
        <v>18</v>
      </c>
      <c r="F69" s="224"/>
    </row>
    <row r="70" spans="1:6">
      <c r="A70" s="75">
        <v>38788</v>
      </c>
      <c r="B70" s="76" t="str">
        <f>TiposLancamentos!B26</f>
        <v>LIVROS</v>
      </c>
      <c r="C70" s="147" t="s">
        <v>16337</v>
      </c>
      <c r="D70" s="63"/>
      <c r="E70" s="135">
        <v>90.05</v>
      </c>
      <c r="F70" s="224"/>
    </row>
    <row r="71" spans="1:6">
      <c r="A71" s="75">
        <v>38788</v>
      </c>
      <c r="B71" s="76" t="str">
        <f>TiposLancamentos!B26</f>
        <v>LIVROS</v>
      </c>
      <c r="C71" s="147" t="s">
        <v>16338</v>
      </c>
      <c r="D71" s="63"/>
      <c r="E71" s="135">
        <v>32.64</v>
      </c>
      <c r="F71" s="224"/>
    </row>
    <row r="72" spans="1:6">
      <c r="A72" s="307">
        <v>38790</v>
      </c>
      <c r="B72" s="295" t="str">
        <f>TiposLancamentos!B16</f>
        <v>Cristiane</v>
      </c>
      <c r="C72" s="291" t="s">
        <v>16339</v>
      </c>
      <c r="D72" s="292"/>
      <c r="E72" s="308">
        <v>12.4</v>
      </c>
      <c r="F72" s="224"/>
    </row>
    <row r="73" spans="1:6">
      <c r="A73" s="75">
        <v>38793</v>
      </c>
      <c r="B73" s="76" t="str">
        <f>TiposLancamentos!B4</f>
        <v>Taxas Bancarias</v>
      </c>
      <c r="C73" s="147" t="s">
        <v>16340</v>
      </c>
      <c r="D73" s="63"/>
      <c r="E73" s="135">
        <v>5.6</v>
      </c>
      <c r="F73" s="224"/>
    </row>
    <row r="74" spans="1:6">
      <c r="A74" s="75">
        <v>38793</v>
      </c>
      <c r="B74" s="76" t="str">
        <f>TiposLancamentos!B4</f>
        <v>Taxas Bancarias</v>
      </c>
      <c r="C74" s="147" t="s">
        <v>16341</v>
      </c>
      <c r="D74" s="63"/>
      <c r="E74" s="135">
        <v>5.6</v>
      </c>
      <c r="F74" s="224"/>
    </row>
    <row r="75" spans="1:6">
      <c r="A75" s="225"/>
      <c r="B75" s="226"/>
      <c r="C75" s="227" t="s">
        <v>10</v>
      </c>
      <c r="D75" s="228"/>
      <c r="E75" s="228"/>
      <c r="F75" s="228"/>
    </row>
    <row r="76" spans="1:6">
      <c r="A76" s="307">
        <v>38796</v>
      </c>
      <c r="B76" s="295" t="str">
        <f>TiposLancamentos!B16</f>
        <v>Cristiane</v>
      </c>
      <c r="C76" s="291" t="s">
        <v>16342</v>
      </c>
      <c r="D76" s="292"/>
      <c r="E76" s="308">
        <v>24</v>
      </c>
      <c r="F76" s="224"/>
    </row>
    <row r="77" spans="1:6">
      <c r="A77" s="307">
        <v>38799</v>
      </c>
      <c r="B77" s="295" t="str">
        <f>TiposLancamentos!B16</f>
        <v>Cristiane</v>
      </c>
      <c r="C77" s="291" t="s">
        <v>16343</v>
      </c>
      <c r="D77" s="292"/>
      <c r="E77" s="308">
        <v>157</v>
      </c>
      <c r="F77" s="224"/>
    </row>
    <row r="78" spans="1:6">
      <c r="A78" s="75">
        <v>38801</v>
      </c>
      <c r="B78" s="76" t="str">
        <f>TiposLancamentos!B13</f>
        <v>Moradia</v>
      </c>
      <c r="C78" s="313" t="s">
        <v>16344</v>
      </c>
      <c r="D78" s="63"/>
      <c r="E78" s="135">
        <v>172.7</v>
      </c>
      <c r="F78" s="224"/>
    </row>
    <row r="79" spans="1:6">
      <c r="A79" s="307">
        <v>38805</v>
      </c>
      <c r="B79" s="295" t="str">
        <f>TiposLancamentos!B16</f>
        <v>Cristiane</v>
      </c>
      <c r="C79" s="291" t="s">
        <v>16345</v>
      </c>
      <c r="D79" s="292"/>
      <c r="E79" s="308">
        <v>46.7</v>
      </c>
      <c r="F79" s="224"/>
    </row>
    <row r="80" spans="1:6">
      <c r="A80" s="83"/>
      <c r="B80" s="37"/>
      <c r="C80" s="188" t="s">
        <v>3073</v>
      </c>
      <c r="D80" s="93"/>
      <c r="E80" s="309"/>
      <c r="F80" s="223">
        <f>SUM(E65:E74)</f>
        <v>356.89</v>
      </c>
    </row>
    <row r="81" spans="1:6">
      <c r="A81" s="75">
        <v>38809</v>
      </c>
      <c r="B81" s="76" t="str">
        <f>TiposLancamentos!B45</f>
        <v>Online Services</v>
      </c>
      <c r="C81" s="77" t="s">
        <v>15207</v>
      </c>
      <c r="D81" s="63"/>
      <c r="E81" s="135">
        <v>19.899999999999999</v>
      </c>
      <c r="F81" s="224"/>
    </row>
    <row r="82" spans="1:6">
      <c r="A82" s="75">
        <v>38810</v>
      </c>
      <c r="B82" s="76" t="str">
        <f>TiposLancamentos!B15</f>
        <v>Cartões de Crédito</v>
      </c>
      <c r="C82" s="77" t="s">
        <v>14126</v>
      </c>
      <c r="D82" s="63">
        <v>356.89</v>
      </c>
      <c r="E82" s="135"/>
      <c r="F82" s="224"/>
    </row>
    <row r="83" spans="1:6">
      <c r="A83" s="75">
        <v>38810</v>
      </c>
      <c r="B83" s="76" t="str">
        <f>TiposLancamentos!B70</f>
        <v>Vestuário</v>
      </c>
      <c r="C83" s="77" t="s">
        <v>16346</v>
      </c>
      <c r="D83" s="63"/>
      <c r="E83" s="135">
        <v>100</v>
      </c>
      <c r="F83" s="224"/>
    </row>
    <row r="84" spans="1:6">
      <c r="A84" s="75">
        <v>38817</v>
      </c>
      <c r="B84" s="76" t="str">
        <f>TiposLancamentos!B64</f>
        <v>Viagens</v>
      </c>
      <c r="C84" s="77" t="s">
        <v>16347</v>
      </c>
      <c r="D84" s="63"/>
      <c r="E84" s="135">
        <v>308.60000000000002</v>
      </c>
      <c r="F84" s="224"/>
    </row>
    <row r="85" spans="1:6">
      <c r="A85" s="75">
        <v>38824</v>
      </c>
      <c r="B85" s="76" t="str">
        <f>TiposLancamentos!B4</f>
        <v>Taxas Bancarias</v>
      </c>
      <c r="C85" s="77" t="s">
        <v>16348</v>
      </c>
      <c r="D85" s="63"/>
      <c r="E85" s="135">
        <v>5.6</v>
      </c>
      <c r="F85" s="224"/>
    </row>
    <row r="86" spans="1:6">
      <c r="A86" s="225"/>
      <c r="B86" s="226"/>
      <c r="C86" s="227" t="s">
        <v>10</v>
      </c>
      <c r="D86" s="228"/>
      <c r="E86" s="228"/>
      <c r="F86" s="228"/>
    </row>
    <row r="87" spans="1:6">
      <c r="A87" s="307">
        <v>38827</v>
      </c>
      <c r="B87" s="295" t="str">
        <f>TiposLancamentos!B16</f>
        <v>Cristiane</v>
      </c>
      <c r="C87" s="291" t="s">
        <v>16349</v>
      </c>
      <c r="D87" s="292"/>
      <c r="E87" s="308">
        <v>24</v>
      </c>
      <c r="F87" s="224"/>
    </row>
    <row r="88" spans="1:6">
      <c r="A88" s="315">
        <v>38832</v>
      </c>
      <c r="B88" s="76" t="str">
        <f>TiposLancamentos!B13</f>
        <v>Moradia</v>
      </c>
      <c r="C88" s="313" t="s">
        <v>16350</v>
      </c>
      <c r="D88" s="63"/>
      <c r="E88" s="135">
        <v>172.7</v>
      </c>
      <c r="F88" s="224"/>
    </row>
    <row r="89" spans="1:6">
      <c r="A89" s="314"/>
      <c r="B89" s="37"/>
      <c r="C89" s="188" t="s">
        <v>3087</v>
      </c>
      <c r="D89" s="93"/>
      <c r="E89" s="309"/>
      <c r="F89" s="223">
        <f>SUM(E76:E86)</f>
        <v>834.5</v>
      </c>
    </row>
    <row r="90" spans="1:6">
      <c r="A90" s="75">
        <v>38839</v>
      </c>
      <c r="B90" s="76" t="str">
        <f>TiposLancamentos!B15</f>
        <v>Cartões de Crédito</v>
      </c>
      <c r="C90" s="77" t="s">
        <v>14142</v>
      </c>
      <c r="D90" s="63">
        <v>834.3</v>
      </c>
      <c r="E90" s="135"/>
      <c r="F90" s="224"/>
    </row>
    <row r="91" spans="1:6">
      <c r="A91" s="75">
        <v>38839</v>
      </c>
      <c r="B91" s="76" t="str">
        <f>TiposLancamentos!B45</f>
        <v>Online Services</v>
      </c>
      <c r="C91" s="77" t="s">
        <v>15207</v>
      </c>
      <c r="D91" s="63"/>
      <c r="E91" s="135">
        <v>28.15</v>
      </c>
      <c r="F91" s="224"/>
    </row>
    <row r="92" spans="1:6">
      <c r="A92" s="75">
        <v>38840</v>
      </c>
      <c r="B92" s="76" t="str">
        <f>TiposLancamentos!B70</f>
        <v>Vestuário</v>
      </c>
      <c r="C92" s="77" t="s">
        <v>16351</v>
      </c>
      <c r="D92" s="63"/>
      <c r="E92" s="135">
        <v>100</v>
      </c>
      <c r="F92" s="224"/>
    </row>
    <row r="93" spans="1:6">
      <c r="A93" s="75">
        <v>38842</v>
      </c>
      <c r="B93" s="76" t="str">
        <f>TiposLancamentos!B16</f>
        <v>Cristiane</v>
      </c>
      <c r="C93" s="77" t="s">
        <v>16352</v>
      </c>
      <c r="D93" s="63"/>
      <c r="E93" s="135">
        <v>15</v>
      </c>
      <c r="F93" s="224"/>
    </row>
    <row r="94" spans="1:6">
      <c r="A94" s="75">
        <v>38845</v>
      </c>
      <c r="B94" s="76" t="str">
        <f>TiposLancamentos!B17</f>
        <v>GATO</v>
      </c>
      <c r="C94" s="77" t="s">
        <v>16353</v>
      </c>
      <c r="D94" s="63"/>
      <c r="E94" s="135">
        <v>34.46</v>
      </c>
      <c r="F94" s="224"/>
    </row>
    <row r="95" spans="1:6">
      <c r="A95" s="75">
        <v>38845</v>
      </c>
      <c r="B95" s="76" t="str">
        <f>TiposLancamentos!B5</f>
        <v>Supermercado</v>
      </c>
      <c r="C95" s="77" t="s">
        <v>3902</v>
      </c>
      <c r="D95" s="63"/>
      <c r="E95" s="135">
        <v>38.65</v>
      </c>
      <c r="F95" s="224"/>
    </row>
    <row r="96" spans="1:6">
      <c r="A96" s="307">
        <v>38847</v>
      </c>
      <c r="B96" s="295" t="str">
        <f>TiposLancamentos!B16</f>
        <v>Cristiane</v>
      </c>
      <c r="C96" s="316" t="s">
        <v>4277</v>
      </c>
      <c r="D96" s="292"/>
      <c r="E96" s="308">
        <v>52.7</v>
      </c>
      <c r="F96" s="224"/>
    </row>
    <row r="97" spans="1:6">
      <c r="A97" s="75">
        <v>38848</v>
      </c>
      <c r="B97" s="76" t="str">
        <f>TiposLancamentos!B19</f>
        <v>Restaurantes</v>
      </c>
      <c r="C97" s="77" t="s">
        <v>2618</v>
      </c>
      <c r="D97" s="63"/>
      <c r="E97" s="135">
        <v>34.75</v>
      </c>
      <c r="F97" s="224"/>
    </row>
    <row r="98" spans="1:6">
      <c r="A98" s="75">
        <v>38848</v>
      </c>
      <c r="B98" s="76" t="str">
        <f>TiposLancamentos!B19</f>
        <v>Restaurantes</v>
      </c>
      <c r="C98" s="77" t="s">
        <v>2502</v>
      </c>
      <c r="D98" s="63"/>
      <c r="E98" s="135">
        <v>9.6999999999999993</v>
      </c>
      <c r="F98" s="224"/>
    </row>
    <row r="99" spans="1:6">
      <c r="A99" s="75">
        <v>38849</v>
      </c>
      <c r="B99" s="76" t="str">
        <f>TiposLancamentos!B64</f>
        <v>Viagens</v>
      </c>
      <c r="C99" s="77" t="s">
        <v>4999</v>
      </c>
      <c r="D99" s="63"/>
      <c r="E99" s="135">
        <v>45</v>
      </c>
      <c r="F99" s="224"/>
    </row>
    <row r="100" spans="1:6">
      <c r="A100" s="75">
        <v>38854</v>
      </c>
      <c r="B100" s="76" t="str">
        <f>TiposLancamentos!B4</f>
        <v>Taxas Bancarias</v>
      </c>
      <c r="C100" s="77" t="s">
        <v>16354</v>
      </c>
      <c r="D100" s="63"/>
      <c r="E100" s="135">
        <v>5.6</v>
      </c>
      <c r="F100" s="224"/>
    </row>
    <row r="101" spans="1:6">
      <c r="A101" s="307">
        <v>38859</v>
      </c>
      <c r="B101" s="295" t="str">
        <f>TiposLancamentos!B5</f>
        <v>Supermercado</v>
      </c>
      <c r="C101" s="316" t="s">
        <v>2567</v>
      </c>
      <c r="D101" s="292"/>
      <c r="E101" s="308">
        <v>37.14</v>
      </c>
      <c r="F101" s="224"/>
    </row>
    <row r="102" spans="1:6">
      <c r="A102" s="225"/>
      <c r="B102" s="226"/>
      <c r="C102" s="227" t="s">
        <v>10</v>
      </c>
      <c r="D102" s="228"/>
      <c r="E102" s="228"/>
      <c r="F102" s="228"/>
    </row>
    <row r="103" spans="1:6">
      <c r="A103" s="75">
        <v>38860</v>
      </c>
      <c r="B103" s="76" t="str">
        <f>TiposLancamentos!B25</f>
        <v>CD_DVD_BD</v>
      </c>
      <c r="C103" s="77" t="s">
        <v>16355</v>
      </c>
      <c r="D103" s="63"/>
      <c r="E103" s="135">
        <v>84.6</v>
      </c>
      <c r="F103" s="224"/>
    </row>
    <row r="104" spans="1:6">
      <c r="A104" s="315">
        <v>38862</v>
      </c>
      <c r="B104" s="76" t="str">
        <f>TiposLancamentos!B13</f>
        <v>Moradia</v>
      </c>
      <c r="C104" s="317" t="s">
        <v>16356</v>
      </c>
      <c r="D104" s="63"/>
      <c r="E104" s="135">
        <v>172.7</v>
      </c>
      <c r="F104" s="224"/>
    </row>
    <row r="105" spans="1:6">
      <c r="A105" s="315">
        <v>38862</v>
      </c>
      <c r="B105" s="76" t="str">
        <f>TiposLancamentos!B19</f>
        <v>Restaurantes</v>
      </c>
      <c r="C105" s="77" t="s">
        <v>5124</v>
      </c>
      <c r="D105" s="63"/>
      <c r="E105" s="135">
        <v>18.5</v>
      </c>
      <c r="F105" s="224"/>
    </row>
    <row r="106" spans="1:6">
      <c r="A106" s="315">
        <v>38862</v>
      </c>
      <c r="B106" s="76" t="str">
        <f>TiposLancamentos!B56</f>
        <v>Farmácia</v>
      </c>
      <c r="C106" s="77" t="s">
        <v>1775</v>
      </c>
      <c r="D106" s="63"/>
      <c r="E106" s="135">
        <v>18.95</v>
      </c>
      <c r="F106" s="224"/>
    </row>
    <row r="107" spans="1:6">
      <c r="A107" s="315">
        <v>38863</v>
      </c>
      <c r="B107" s="76" t="str">
        <f>TiposLancamentos!B19</f>
        <v>Restaurantes</v>
      </c>
      <c r="C107" s="77" t="s">
        <v>6687</v>
      </c>
      <c r="D107" s="63"/>
      <c r="E107" s="135">
        <v>10.35</v>
      </c>
      <c r="F107" s="224"/>
    </row>
    <row r="108" spans="1:6">
      <c r="A108" s="307">
        <v>38863</v>
      </c>
      <c r="B108" s="295" t="str">
        <f>TiposLancamentos!B16</f>
        <v>Cristiane</v>
      </c>
      <c r="C108" s="316" t="s">
        <v>5071</v>
      </c>
      <c r="D108" s="292"/>
      <c r="E108" s="308">
        <v>42.5</v>
      </c>
      <c r="F108" s="224"/>
    </row>
    <row r="109" spans="1:6">
      <c r="A109" s="315">
        <v>38864</v>
      </c>
      <c r="B109" s="76" t="str">
        <f>TiposLancamentos!B19</f>
        <v>Restaurantes</v>
      </c>
      <c r="C109" s="77" t="s">
        <v>16357</v>
      </c>
      <c r="D109" s="63"/>
      <c r="E109" s="135">
        <v>16.170000000000002</v>
      </c>
      <c r="F109" s="224"/>
    </row>
    <row r="110" spans="1:6">
      <c r="A110" s="315">
        <v>38864</v>
      </c>
      <c r="B110" s="76" t="str">
        <f>TiposLancamentos!B56</f>
        <v>Farmácia</v>
      </c>
      <c r="C110" s="77" t="s">
        <v>1775</v>
      </c>
      <c r="D110" s="63"/>
      <c r="E110" s="135">
        <v>29</v>
      </c>
      <c r="F110" s="224"/>
    </row>
    <row r="111" spans="1:6">
      <c r="A111" s="315">
        <v>38865</v>
      </c>
      <c r="B111" s="76" t="str">
        <f>TiposLancamentos!B19</f>
        <v>Restaurantes</v>
      </c>
      <c r="C111" s="77" t="s">
        <v>2618</v>
      </c>
      <c r="D111" s="63"/>
      <c r="E111" s="135">
        <v>10.79</v>
      </c>
      <c r="F111" s="224"/>
    </row>
    <row r="112" spans="1:6">
      <c r="A112" s="315">
        <v>38865</v>
      </c>
      <c r="B112" s="76" t="str">
        <f>TiposLancamentos!B19</f>
        <v>Restaurantes</v>
      </c>
      <c r="C112" s="77" t="s">
        <v>16358</v>
      </c>
      <c r="D112" s="63"/>
      <c r="E112" s="135">
        <v>10.050000000000001</v>
      </c>
      <c r="F112" s="224"/>
    </row>
    <row r="113" spans="1:6">
      <c r="A113" s="315">
        <v>38866</v>
      </c>
      <c r="B113" s="76" t="str">
        <f>TiposLancamentos!B19</f>
        <v>Restaurantes</v>
      </c>
      <c r="C113" s="77" t="s">
        <v>2618</v>
      </c>
      <c r="D113" s="63"/>
      <c r="E113" s="135">
        <v>11.2</v>
      </c>
      <c r="F113" s="224"/>
    </row>
    <row r="114" spans="1:6">
      <c r="A114" s="315">
        <v>38867</v>
      </c>
      <c r="B114" s="76" t="str">
        <f>TiposLancamentos!B19</f>
        <v>Restaurantes</v>
      </c>
      <c r="C114" s="77" t="s">
        <v>2618</v>
      </c>
      <c r="D114" s="63"/>
      <c r="E114" s="135">
        <v>23</v>
      </c>
      <c r="F114" s="224"/>
    </row>
    <row r="115" spans="1:6">
      <c r="A115" s="315">
        <v>38867</v>
      </c>
      <c r="B115" s="76" t="str">
        <f>TiposLancamentos!B19</f>
        <v>Restaurantes</v>
      </c>
      <c r="C115" s="77" t="s">
        <v>5124</v>
      </c>
      <c r="D115" s="63"/>
      <c r="E115" s="135">
        <v>10.050000000000001</v>
      </c>
      <c r="F115" s="224"/>
    </row>
    <row r="116" spans="1:6">
      <c r="A116" s="315">
        <v>38868</v>
      </c>
      <c r="B116" s="76" t="str">
        <f>TiposLancamentos!B64</f>
        <v>Viagens</v>
      </c>
      <c r="C116" s="77" t="s">
        <v>16359</v>
      </c>
      <c r="D116" s="63"/>
      <c r="E116" s="135">
        <v>173.44</v>
      </c>
      <c r="F116" s="224"/>
    </row>
    <row r="117" spans="1:6">
      <c r="A117" s="314"/>
      <c r="B117" s="37"/>
      <c r="C117" s="188" t="s">
        <v>3098</v>
      </c>
      <c r="D117" s="93"/>
      <c r="E117" s="309"/>
      <c r="F117" s="223">
        <f>SUM(E87:E101)</f>
        <v>597.84999999999991</v>
      </c>
    </row>
    <row r="118" spans="1:6">
      <c r="A118" s="315">
        <v>38869</v>
      </c>
      <c r="B118" s="76" t="str">
        <f>TiposLancamentos!B45</f>
        <v>Online Services</v>
      </c>
      <c r="C118" s="77" t="s">
        <v>15207</v>
      </c>
      <c r="D118" s="63"/>
      <c r="E118" s="135">
        <v>28.15</v>
      </c>
      <c r="F118" s="224"/>
    </row>
    <row r="119" spans="1:6">
      <c r="A119" s="315">
        <v>38870</v>
      </c>
      <c r="B119" s="76" t="str">
        <f>TiposLancamentos!B15</f>
        <v>Cartões de Crédito</v>
      </c>
      <c r="C119" s="77" t="s">
        <v>5115</v>
      </c>
      <c r="D119" s="63">
        <v>597.85</v>
      </c>
      <c r="E119" s="135"/>
      <c r="F119" s="224"/>
    </row>
    <row r="120" spans="1:6">
      <c r="A120" s="75">
        <v>38871</v>
      </c>
      <c r="B120" s="76" t="str">
        <f>TiposLancamentos!B70</f>
        <v>Vestuário</v>
      </c>
      <c r="C120" s="77" t="s">
        <v>16360</v>
      </c>
      <c r="D120" s="63"/>
      <c r="E120" s="135">
        <v>100</v>
      </c>
      <c r="F120" s="224"/>
    </row>
    <row r="121" spans="1:6">
      <c r="A121" s="75">
        <v>38878</v>
      </c>
      <c r="B121" s="76" t="str">
        <f>TiposLancamentos!B16</f>
        <v>Cristiane</v>
      </c>
      <c r="C121" s="77" t="s">
        <v>1775</v>
      </c>
      <c r="D121" s="63"/>
      <c r="E121" s="135">
        <v>19.79</v>
      </c>
      <c r="F121" s="224"/>
    </row>
    <row r="122" spans="1:6">
      <c r="A122" s="75">
        <v>38885</v>
      </c>
      <c r="B122" s="76" t="str">
        <f>TiposLancamentos!B5</f>
        <v>Supermercado</v>
      </c>
      <c r="C122" s="77" t="s">
        <v>2567</v>
      </c>
      <c r="D122" s="63"/>
      <c r="E122" s="135">
        <v>12.45</v>
      </c>
      <c r="F122" s="224"/>
    </row>
    <row r="123" spans="1:6">
      <c r="A123" s="75">
        <v>38887</v>
      </c>
      <c r="B123" s="76" t="str">
        <f>TiposLancamentos!B17</f>
        <v>GATO</v>
      </c>
      <c r="C123" s="77" t="s">
        <v>16361</v>
      </c>
      <c r="D123" s="63"/>
      <c r="E123" s="135">
        <v>40</v>
      </c>
      <c r="F123" s="224"/>
    </row>
    <row r="124" spans="1:6">
      <c r="A124" s="75">
        <v>38887</v>
      </c>
      <c r="B124" s="76" t="str">
        <f>TiposLancamentos!B5</f>
        <v>Supermercado</v>
      </c>
      <c r="C124" s="77" t="s">
        <v>16362</v>
      </c>
      <c r="D124" s="63"/>
      <c r="E124" s="135">
        <v>15.04</v>
      </c>
      <c r="F124" s="224"/>
    </row>
    <row r="125" spans="1:6">
      <c r="A125" s="225"/>
      <c r="B125" s="226"/>
      <c r="C125" s="227" t="s">
        <v>10</v>
      </c>
      <c r="D125" s="228"/>
      <c r="E125" s="228"/>
      <c r="F125" s="228"/>
    </row>
    <row r="126" spans="1:6">
      <c r="A126" s="75">
        <v>38889</v>
      </c>
      <c r="B126" s="76" t="str">
        <f>TiposLancamentos!B17</f>
        <v>GATO</v>
      </c>
      <c r="C126" s="77" t="s">
        <v>16363</v>
      </c>
      <c r="D126" s="63"/>
      <c r="E126" s="135">
        <v>47</v>
      </c>
      <c r="F126" s="224"/>
    </row>
    <row r="127" spans="1:6">
      <c r="A127" s="75">
        <v>38890</v>
      </c>
      <c r="B127" s="76" t="str">
        <f>TiposLancamentos!B56</f>
        <v>Farmácia</v>
      </c>
      <c r="C127" s="77" t="s">
        <v>16364</v>
      </c>
      <c r="D127" s="63"/>
      <c r="E127" s="135">
        <f>27.52</f>
        <v>27.52</v>
      </c>
      <c r="F127" s="224"/>
    </row>
    <row r="128" spans="1:6">
      <c r="A128" s="75">
        <v>38891</v>
      </c>
      <c r="B128" s="76" t="str">
        <f>TiposLancamentos!B19</f>
        <v>Restaurantes</v>
      </c>
      <c r="C128" s="77" t="s">
        <v>2618</v>
      </c>
      <c r="D128" s="63"/>
      <c r="E128" s="135">
        <v>7.6</v>
      </c>
      <c r="F128" s="224"/>
    </row>
    <row r="129" spans="1:6">
      <c r="A129" s="75">
        <v>38891</v>
      </c>
      <c r="B129" s="76" t="str">
        <f>TiposLancamentos!B19</f>
        <v>Restaurantes</v>
      </c>
      <c r="C129" s="77" t="s">
        <v>3099</v>
      </c>
      <c r="D129" s="63"/>
      <c r="E129" s="135">
        <v>3.95</v>
      </c>
      <c r="F129" s="224"/>
    </row>
    <row r="130" spans="1:6">
      <c r="A130" s="75">
        <v>38891</v>
      </c>
      <c r="B130" s="76" t="str">
        <f>TiposLancamentos!B17</f>
        <v>GATO</v>
      </c>
      <c r="C130" s="77" t="s">
        <v>8478</v>
      </c>
      <c r="D130" s="63"/>
      <c r="E130" s="135">
        <v>46.83</v>
      </c>
      <c r="F130" s="224"/>
    </row>
    <row r="131" spans="1:6">
      <c r="A131" s="75">
        <v>38892</v>
      </c>
      <c r="B131" s="76" t="str">
        <f>TiposLancamentos!B13</f>
        <v>Moradia</v>
      </c>
      <c r="C131" s="77" t="s">
        <v>16365</v>
      </c>
      <c r="D131" s="63"/>
      <c r="E131" s="135">
        <v>29.9</v>
      </c>
      <c r="F131" s="224"/>
    </row>
    <row r="132" spans="1:6">
      <c r="A132" s="75">
        <v>38892</v>
      </c>
      <c r="B132" s="76" t="str">
        <f>TiposLancamentos!B19</f>
        <v>Restaurantes</v>
      </c>
      <c r="C132" s="77" t="s">
        <v>3287</v>
      </c>
      <c r="D132" s="63"/>
      <c r="E132" s="135">
        <v>32.35</v>
      </c>
      <c r="F132" s="224"/>
    </row>
    <row r="133" spans="1:6">
      <c r="A133" s="75">
        <v>38892</v>
      </c>
      <c r="B133" s="76" t="str">
        <f>TiposLancamentos!B71</f>
        <v>Itens Pessoais</v>
      </c>
      <c r="C133" s="77" t="s">
        <v>16366</v>
      </c>
      <c r="D133" s="63"/>
      <c r="E133" s="135">
        <v>50</v>
      </c>
      <c r="F133" s="224"/>
    </row>
    <row r="134" spans="1:6">
      <c r="A134" s="75">
        <v>38892</v>
      </c>
      <c r="B134" s="76" t="str">
        <f>TiposLancamentos!B5</f>
        <v>Supermercado</v>
      </c>
      <c r="C134" s="77" t="s">
        <v>16362</v>
      </c>
      <c r="D134" s="63"/>
      <c r="E134" s="135">
        <v>56.15</v>
      </c>
      <c r="F134" s="224"/>
    </row>
    <row r="135" spans="1:6">
      <c r="A135" s="315">
        <v>38893</v>
      </c>
      <c r="B135" s="76" t="str">
        <f>TiposLancamentos!B13</f>
        <v>Moradia</v>
      </c>
      <c r="C135" s="317" t="s">
        <v>16367</v>
      </c>
      <c r="D135" s="63"/>
      <c r="E135" s="135">
        <v>172.7</v>
      </c>
      <c r="F135" s="224"/>
    </row>
    <row r="136" spans="1:6">
      <c r="A136" s="75">
        <v>38894</v>
      </c>
      <c r="B136" s="76" t="str">
        <f>TiposLancamentos!B56</f>
        <v>Farmácia</v>
      </c>
      <c r="C136" s="77" t="s">
        <v>16368</v>
      </c>
      <c r="D136" s="63"/>
      <c r="E136" s="135">
        <v>20.77</v>
      </c>
      <c r="F136" s="224"/>
    </row>
    <row r="137" spans="1:6">
      <c r="A137" s="75">
        <v>38895</v>
      </c>
      <c r="B137" s="76" t="str">
        <f>TiposLancamentos!B5</f>
        <v>Supermercado</v>
      </c>
      <c r="C137" s="77" t="s">
        <v>16369</v>
      </c>
      <c r="D137" s="63"/>
      <c r="E137" s="135">
        <v>5.94</v>
      </c>
      <c r="F137" s="224"/>
    </row>
    <row r="138" spans="1:6">
      <c r="A138" s="75">
        <v>38896</v>
      </c>
      <c r="B138" s="76" t="str">
        <f>TiposLancamentos!B16</f>
        <v>Cristiane</v>
      </c>
      <c r="C138" s="77" t="s">
        <v>1775</v>
      </c>
      <c r="D138" s="63"/>
      <c r="E138" s="135">
        <v>35.33</v>
      </c>
      <c r="F138" s="224"/>
    </row>
    <row r="139" spans="1:6">
      <c r="A139" s="318">
        <v>38896</v>
      </c>
      <c r="B139" s="319" t="str">
        <f>TiposLancamentos!B5</f>
        <v>Supermercado</v>
      </c>
      <c r="C139" s="320" t="s">
        <v>2567</v>
      </c>
      <c r="D139" s="321"/>
      <c r="E139" s="322">
        <v>18.8</v>
      </c>
      <c r="F139" s="177"/>
    </row>
    <row r="140" spans="1:6">
      <c r="A140" s="75"/>
      <c r="B140" s="76"/>
      <c r="C140" s="313" t="s">
        <v>16370</v>
      </c>
      <c r="D140" s="63"/>
      <c r="E140" s="135"/>
      <c r="F140" s="224">
        <f>SUM(E102:E124)</f>
        <v>846.7299999999999</v>
      </c>
    </row>
    <row r="141" spans="1:6">
      <c r="A141" s="75">
        <v>38899</v>
      </c>
      <c r="B141" s="76" t="str">
        <f>TiposLancamentos!B82</f>
        <v>CG Titan 125</v>
      </c>
      <c r="C141" s="77" t="s">
        <v>16371</v>
      </c>
      <c r="D141" s="63"/>
      <c r="E141" s="135">
        <v>174.49</v>
      </c>
      <c r="F141" s="224"/>
    </row>
    <row r="142" spans="1:6">
      <c r="A142" s="315">
        <v>38901</v>
      </c>
      <c r="B142" s="76" t="str">
        <f>TiposLancamentos!B45</f>
        <v>Online Services</v>
      </c>
      <c r="C142" s="77" t="s">
        <v>15207</v>
      </c>
      <c r="D142" s="63"/>
      <c r="E142" s="135">
        <v>9.9499999999999993</v>
      </c>
      <c r="F142" s="224"/>
    </row>
    <row r="143" spans="1:6">
      <c r="A143" s="75">
        <v>38901</v>
      </c>
      <c r="B143" s="76" t="str">
        <f>TiposLancamentos!B70</f>
        <v>Vestuário</v>
      </c>
      <c r="C143" s="323" t="s">
        <v>16372</v>
      </c>
      <c r="D143" s="63"/>
      <c r="E143" s="135">
        <v>100</v>
      </c>
      <c r="F143" s="224"/>
    </row>
    <row r="144" spans="1:6">
      <c r="A144" s="75">
        <v>38901</v>
      </c>
      <c r="B144" s="76" t="str">
        <f>TiposLancamentos!B15</f>
        <v>Cartões de Crédito</v>
      </c>
      <c r="C144" s="77" t="s">
        <v>14142</v>
      </c>
      <c r="D144" s="63">
        <v>846.73</v>
      </c>
      <c r="E144" s="135"/>
      <c r="F144" s="224"/>
    </row>
    <row r="145" spans="1:6">
      <c r="A145" s="307">
        <v>38901</v>
      </c>
      <c r="B145" s="295" t="str">
        <f>TiposLancamentos!B16</f>
        <v>Cristiane</v>
      </c>
      <c r="C145" s="316" t="s">
        <v>16373</v>
      </c>
      <c r="D145" s="292"/>
      <c r="E145" s="324">
        <v>9.99</v>
      </c>
      <c r="F145" s="224"/>
    </row>
    <row r="146" spans="1:6">
      <c r="A146" s="75">
        <v>38908</v>
      </c>
      <c r="B146" s="76" t="str">
        <f>TiposLancamentos!B56</f>
        <v>Farmácia</v>
      </c>
      <c r="C146" s="77" t="s">
        <v>16374</v>
      </c>
      <c r="D146" s="63"/>
      <c r="E146" s="135">
        <v>27.25</v>
      </c>
      <c r="F146" s="224"/>
    </row>
    <row r="147" spans="1:6">
      <c r="A147" s="307">
        <v>38909</v>
      </c>
      <c r="B147" s="295" t="str">
        <f>TiposLancamentos!B16</f>
        <v>Cristiane</v>
      </c>
      <c r="C147" s="316" t="s">
        <v>16375</v>
      </c>
      <c r="D147" s="292"/>
      <c r="E147" s="324">
        <v>47</v>
      </c>
      <c r="F147" s="224"/>
    </row>
    <row r="148" spans="1:6">
      <c r="A148" s="75">
        <v>38910</v>
      </c>
      <c r="B148" s="76" t="str">
        <f>TiposLancamentos!B19</f>
        <v>Restaurantes</v>
      </c>
      <c r="C148" s="77" t="s">
        <v>16376</v>
      </c>
      <c r="D148" s="63"/>
      <c r="E148" s="135">
        <v>11</v>
      </c>
      <c r="F148" s="224"/>
    </row>
    <row r="149" spans="1:6">
      <c r="A149" s="75">
        <v>38919</v>
      </c>
      <c r="B149" s="76" t="str">
        <f>TiposLancamentos!B5</f>
        <v>Supermercado</v>
      </c>
      <c r="C149" s="77" t="s">
        <v>2567</v>
      </c>
      <c r="D149" s="63"/>
      <c r="E149" s="135">
        <v>22.07</v>
      </c>
      <c r="F149" s="224"/>
    </row>
    <row r="150" spans="1:6">
      <c r="A150" s="75">
        <v>38920</v>
      </c>
      <c r="B150" s="76" t="str">
        <f>TiposLancamentos!B71</f>
        <v>Itens Pessoais</v>
      </c>
      <c r="C150" s="77" t="s">
        <v>16377</v>
      </c>
      <c r="D150" s="63"/>
      <c r="E150" s="135">
        <v>30</v>
      </c>
      <c r="F150" s="224"/>
    </row>
    <row r="151" spans="1:6">
      <c r="A151" s="75">
        <v>38920</v>
      </c>
      <c r="B151" s="76" t="str">
        <f>TiposLancamentos!B17</f>
        <v>GATO</v>
      </c>
      <c r="C151" s="77" t="s">
        <v>16378</v>
      </c>
      <c r="D151" s="63"/>
      <c r="E151" s="135">
        <v>46.83</v>
      </c>
      <c r="F151" s="224"/>
    </row>
    <row r="152" spans="1:6">
      <c r="A152" s="75">
        <v>38920</v>
      </c>
      <c r="B152" s="76" t="str">
        <f>TiposLancamentos!B58</f>
        <v>Fotografias</v>
      </c>
      <c r="C152" s="77" t="s">
        <v>16379</v>
      </c>
      <c r="D152" s="63"/>
      <c r="E152" s="135">
        <v>49</v>
      </c>
      <c r="F152" s="224"/>
    </row>
    <row r="153" spans="1:6">
      <c r="A153" s="75">
        <v>38920</v>
      </c>
      <c r="B153" s="76" t="str">
        <f>TiposLancamentos!B5</f>
        <v>Supermercado</v>
      </c>
      <c r="C153" s="77" t="s">
        <v>16380</v>
      </c>
      <c r="D153" s="63"/>
      <c r="E153" s="135">
        <v>25.21</v>
      </c>
      <c r="F153" s="224"/>
    </row>
    <row r="154" spans="1:6">
      <c r="A154" s="225"/>
      <c r="B154" s="226"/>
      <c r="C154" s="227" t="s">
        <v>10</v>
      </c>
      <c r="D154" s="228"/>
      <c r="E154" s="228"/>
      <c r="F154" s="228"/>
    </row>
    <row r="155" spans="1:6">
      <c r="A155" s="315">
        <v>38923</v>
      </c>
      <c r="B155" s="76" t="str">
        <f>TiposLancamentos!B13</f>
        <v>Moradia</v>
      </c>
      <c r="C155" s="323" t="s">
        <v>16381</v>
      </c>
      <c r="D155" s="63"/>
      <c r="E155" s="135">
        <v>172.7</v>
      </c>
      <c r="F155" s="224"/>
    </row>
    <row r="156" spans="1:6">
      <c r="A156" s="315">
        <v>38924</v>
      </c>
      <c r="B156" s="76" t="str">
        <f>TiposLancamentos!B19</f>
        <v>Restaurantes</v>
      </c>
      <c r="C156" s="77" t="s">
        <v>2618</v>
      </c>
      <c r="D156" s="63"/>
      <c r="E156" s="135">
        <v>9.32</v>
      </c>
      <c r="F156" s="224"/>
    </row>
    <row r="157" spans="1:6">
      <c r="A157" s="315">
        <v>38924</v>
      </c>
      <c r="B157" s="76" t="str">
        <f>TiposLancamentos!B19</f>
        <v>Restaurantes</v>
      </c>
      <c r="C157" s="77" t="s">
        <v>5002</v>
      </c>
      <c r="D157" s="63"/>
      <c r="E157" s="135">
        <v>19.899999999999999</v>
      </c>
      <c r="F157" s="224"/>
    </row>
    <row r="158" spans="1:6">
      <c r="A158" s="315">
        <v>38925</v>
      </c>
      <c r="B158" s="76" t="str">
        <f>TiposLancamentos!B19</f>
        <v>Restaurantes</v>
      </c>
      <c r="C158" s="77" t="s">
        <v>2618</v>
      </c>
      <c r="D158" s="63"/>
      <c r="E158" s="135">
        <v>11.79</v>
      </c>
      <c r="F158" s="224"/>
    </row>
    <row r="159" spans="1:6">
      <c r="A159" s="315">
        <v>38925</v>
      </c>
      <c r="B159" s="76" t="str">
        <f>TiposLancamentos!B5</f>
        <v>Supermercado</v>
      </c>
      <c r="C159" s="77" t="s">
        <v>16382</v>
      </c>
      <c r="D159" s="63"/>
      <c r="E159" s="135">
        <v>44.8</v>
      </c>
      <c r="F159" s="224"/>
    </row>
    <row r="160" spans="1:6">
      <c r="A160" s="315">
        <v>38926</v>
      </c>
      <c r="B160" s="76" t="str">
        <f>TiposLancamentos!B19</f>
        <v>Restaurantes</v>
      </c>
      <c r="C160" s="77" t="s">
        <v>14611</v>
      </c>
      <c r="D160" s="63"/>
      <c r="E160" s="135">
        <v>54.12</v>
      </c>
      <c r="F160" s="224"/>
    </row>
    <row r="161" spans="1:6">
      <c r="A161" s="83"/>
      <c r="B161" s="37"/>
      <c r="C161" s="222" t="s">
        <v>16383</v>
      </c>
      <c r="D161" s="93"/>
      <c r="E161" s="309"/>
      <c r="F161" s="223">
        <f>SUM(E126:E153)</f>
        <v>1107.6300000000001</v>
      </c>
    </row>
    <row r="162" spans="1:6">
      <c r="A162" s="75">
        <v>38931</v>
      </c>
      <c r="B162" s="76" t="str">
        <f>TiposLancamentos!B15</f>
        <v>Cartões de Crédito</v>
      </c>
      <c r="C162" s="52" t="s">
        <v>14126</v>
      </c>
      <c r="D162" s="63">
        <v>1107.6300000000001</v>
      </c>
      <c r="E162" s="135"/>
      <c r="F162" s="224"/>
    </row>
    <row r="163" spans="1:6">
      <c r="A163" s="75">
        <v>38932</v>
      </c>
      <c r="B163" s="76" t="str">
        <f>TiposLancamentos!B45</f>
        <v>Online Services</v>
      </c>
      <c r="C163" s="77" t="s">
        <v>15207</v>
      </c>
      <c r="D163" s="63"/>
      <c r="E163" s="135">
        <v>13.93</v>
      </c>
      <c r="F163" s="224"/>
    </row>
    <row r="164" spans="1:6">
      <c r="A164" s="75">
        <v>38933</v>
      </c>
      <c r="B164" s="76" t="str">
        <f>TiposLancamentos!B19</f>
        <v>Restaurantes</v>
      </c>
      <c r="C164" s="52" t="s">
        <v>3287</v>
      </c>
      <c r="D164" s="63"/>
      <c r="E164" s="135">
        <v>11.27</v>
      </c>
      <c r="F164" s="224"/>
    </row>
    <row r="165" spans="1:6">
      <c r="A165" s="307">
        <v>38933</v>
      </c>
      <c r="B165" s="295" t="str">
        <f>TiposLancamentos!B16</f>
        <v>Cristiane</v>
      </c>
      <c r="C165" s="316" t="s">
        <v>16384</v>
      </c>
      <c r="D165" s="292"/>
      <c r="E165" s="324">
        <v>57.8</v>
      </c>
      <c r="F165" s="224"/>
    </row>
    <row r="166" spans="1:6">
      <c r="A166" s="75">
        <v>38934</v>
      </c>
      <c r="B166" s="76" t="str">
        <f>TiposLancamentos!B22</f>
        <v>Combustivel</v>
      </c>
      <c r="C166" s="52" t="s">
        <v>3050</v>
      </c>
      <c r="D166" s="63"/>
      <c r="E166" s="135">
        <v>30</v>
      </c>
      <c r="F166" s="224"/>
    </row>
    <row r="167" spans="1:6">
      <c r="A167" s="75">
        <v>38936</v>
      </c>
      <c r="B167" s="76" t="str">
        <f>TiposLancamentos!B19</f>
        <v>Restaurantes</v>
      </c>
      <c r="C167" s="52" t="s">
        <v>5002</v>
      </c>
      <c r="D167" s="63"/>
      <c r="E167" s="135">
        <v>13.9</v>
      </c>
      <c r="F167" s="224"/>
    </row>
    <row r="168" spans="1:6">
      <c r="A168" s="75">
        <v>38937</v>
      </c>
      <c r="B168" s="76" t="str">
        <f>TiposLancamentos!B5</f>
        <v>Supermercado</v>
      </c>
      <c r="C168" s="52" t="s">
        <v>16382</v>
      </c>
      <c r="D168" s="63"/>
      <c r="E168" s="135">
        <v>2.65</v>
      </c>
      <c r="F168" s="224"/>
    </row>
    <row r="169" spans="1:6">
      <c r="A169" s="75">
        <v>38937</v>
      </c>
      <c r="B169" s="76" t="str">
        <f>TiposLancamentos!B5</f>
        <v>Supermercado</v>
      </c>
      <c r="C169" s="52" t="s">
        <v>3298</v>
      </c>
      <c r="D169" s="63"/>
      <c r="E169" s="135">
        <v>24.39</v>
      </c>
      <c r="F169" s="224"/>
    </row>
    <row r="170" spans="1:6">
      <c r="A170" s="307">
        <v>38939</v>
      </c>
      <c r="B170" s="295" t="str">
        <f>TiposLancamentos!B5</f>
        <v>Supermercado</v>
      </c>
      <c r="C170" s="316" t="s">
        <v>3298</v>
      </c>
      <c r="D170" s="292"/>
      <c r="E170" s="324">
        <v>19.14</v>
      </c>
      <c r="F170" s="224"/>
    </row>
    <row r="171" spans="1:6">
      <c r="A171" s="307">
        <v>38946</v>
      </c>
      <c r="B171" s="295" t="str">
        <f>TiposLancamentos!B16</f>
        <v>Cristiane</v>
      </c>
      <c r="C171" s="316" t="s">
        <v>16375</v>
      </c>
      <c r="D171" s="292"/>
      <c r="E171" s="324">
        <v>25.5</v>
      </c>
      <c r="F171" s="224"/>
    </row>
    <row r="172" spans="1:6">
      <c r="A172" s="75">
        <v>38940</v>
      </c>
      <c r="B172" s="76" t="str">
        <f>TiposLancamentos!B19</f>
        <v>Restaurantes</v>
      </c>
      <c r="C172" s="52" t="s">
        <v>2618</v>
      </c>
      <c r="D172" s="63"/>
      <c r="E172" s="135">
        <v>14.01</v>
      </c>
      <c r="F172" s="224"/>
    </row>
    <row r="173" spans="1:6">
      <c r="A173" s="75">
        <v>38940</v>
      </c>
      <c r="B173" s="76" t="str">
        <f>TiposLancamentos!B16</f>
        <v>Cristiane</v>
      </c>
      <c r="C173" s="52" t="s">
        <v>16384</v>
      </c>
      <c r="D173" s="63"/>
      <c r="E173" s="135">
        <v>29.9</v>
      </c>
      <c r="F173" s="224"/>
    </row>
    <row r="174" spans="1:6">
      <c r="A174" s="75">
        <v>38941</v>
      </c>
      <c r="B174" s="76" t="str">
        <f>TiposLancamentos!B13</f>
        <v>Moradia</v>
      </c>
      <c r="C174" s="52" t="s">
        <v>16385</v>
      </c>
      <c r="D174" s="63"/>
      <c r="E174" s="135">
        <v>4.5</v>
      </c>
      <c r="F174" s="224"/>
    </row>
    <row r="175" spans="1:6">
      <c r="A175" s="325">
        <v>38941</v>
      </c>
      <c r="B175" s="326" t="str">
        <f>TiposLancamentos!B71</f>
        <v>Itens Pessoais</v>
      </c>
      <c r="C175" s="327" t="s">
        <v>16386</v>
      </c>
      <c r="D175" s="328"/>
      <c r="E175" s="329">
        <f>4.2+4.19</f>
        <v>8.39</v>
      </c>
      <c r="F175" s="224"/>
    </row>
    <row r="176" spans="1:6">
      <c r="A176" s="325">
        <v>38941</v>
      </c>
      <c r="B176" s="326" t="str">
        <f>TiposLancamentos!B16</f>
        <v>Cristiane</v>
      </c>
      <c r="C176" s="327" t="s">
        <v>5190</v>
      </c>
      <c r="D176" s="328"/>
      <c r="E176" s="329">
        <f>92.7-E175</f>
        <v>84.31</v>
      </c>
      <c r="F176" s="224"/>
    </row>
    <row r="177" spans="1:6">
      <c r="A177" s="75">
        <v>38941</v>
      </c>
      <c r="B177" s="76" t="str">
        <f>TiposLancamentos!B19</f>
        <v>Restaurantes</v>
      </c>
      <c r="C177" s="52" t="s">
        <v>16387</v>
      </c>
      <c r="D177" s="63"/>
      <c r="E177" s="135">
        <v>22</v>
      </c>
      <c r="F177" s="224"/>
    </row>
    <row r="178" spans="1:6">
      <c r="A178" s="75">
        <v>38941</v>
      </c>
      <c r="B178" s="76" t="str">
        <f>TiposLancamentos!B19</f>
        <v>Restaurantes</v>
      </c>
      <c r="C178" s="52" t="s">
        <v>16388</v>
      </c>
      <c r="D178" s="63"/>
      <c r="E178" s="135">
        <v>8.9</v>
      </c>
      <c r="F178" s="224"/>
    </row>
    <row r="179" spans="1:6">
      <c r="A179" s="75">
        <v>38941</v>
      </c>
      <c r="B179" s="76" t="str">
        <f>TiposLancamentos!B71</f>
        <v>Itens Pessoais</v>
      </c>
      <c r="C179" s="52" t="s">
        <v>16389</v>
      </c>
      <c r="D179" s="63"/>
      <c r="E179" s="135">
        <v>62</v>
      </c>
      <c r="F179" s="224"/>
    </row>
    <row r="180" spans="1:6">
      <c r="A180" s="75">
        <v>38941</v>
      </c>
      <c r="B180" s="76" t="str">
        <f>TiposLancamentos!B5</f>
        <v>Supermercado</v>
      </c>
      <c r="C180" s="52" t="s">
        <v>16382</v>
      </c>
      <c r="D180" s="63"/>
      <c r="E180" s="135">
        <v>29.17</v>
      </c>
      <c r="F180" s="224"/>
    </row>
    <row r="181" spans="1:6">
      <c r="A181" s="307">
        <v>38948</v>
      </c>
      <c r="B181" s="295" t="str">
        <f>TiposLancamentos!B16</f>
        <v>Cristiane</v>
      </c>
      <c r="C181" s="316" t="s">
        <v>16390</v>
      </c>
      <c r="D181" s="292"/>
      <c r="E181" s="324">
        <v>59.9</v>
      </c>
      <c r="F181" s="224"/>
    </row>
    <row r="182" spans="1:6">
      <c r="A182" s="225"/>
      <c r="B182" s="226"/>
      <c r="C182" s="227" t="s">
        <v>10</v>
      </c>
      <c r="D182" s="228"/>
      <c r="E182" s="228"/>
      <c r="F182" s="228"/>
    </row>
    <row r="183" spans="1:6">
      <c r="A183" s="86">
        <v>38953</v>
      </c>
      <c r="B183" s="76" t="str">
        <f>TiposLancamentos!B19</f>
        <v>Restaurantes</v>
      </c>
      <c r="C183" s="147" t="s">
        <v>16391</v>
      </c>
      <c r="D183" s="63"/>
      <c r="E183" s="49">
        <v>16.52</v>
      </c>
      <c r="F183" s="224"/>
    </row>
    <row r="184" spans="1:6">
      <c r="A184" s="307">
        <v>38953</v>
      </c>
      <c r="B184" s="295" t="str">
        <f>TiposLancamentos!B16</f>
        <v>Cristiane</v>
      </c>
      <c r="C184" s="316" t="s">
        <v>16392</v>
      </c>
      <c r="D184" s="292"/>
      <c r="E184" s="324">
        <v>29.5</v>
      </c>
      <c r="F184" s="224"/>
    </row>
    <row r="185" spans="1:6">
      <c r="A185" s="86">
        <v>38953</v>
      </c>
      <c r="B185" s="76" t="str">
        <f>TiposLancamentos!B56</f>
        <v>Farmácia</v>
      </c>
      <c r="C185" s="147" t="s">
        <v>16393</v>
      </c>
      <c r="D185" s="63"/>
      <c r="E185" s="135">
        <v>33.65</v>
      </c>
      <c r="F185" s="224"/>
    </row>
    <row r="186" spans="1:6">
      <c r="A186" s="75">
        <v>38954</v>
      </c>
      <c r="B186" s="76" t="str">
        <f>TiposLancamentos!B19</f>
        <v>Restaurantes</v>
      </c>
      <c r="C186" s="147" t="s">
        <v>16394</v>
      </c>
      <c r="D186" s="63"/>
      <c r="E186" s="135">
        <v>11.13</v>
      </c>
      <c r="F186" s="224"/>
    </row>
    <row r="187" spans="1:6">
      <c r="A187" s="75">
        <v>38954</v>
      </c>
      <c r="B187" s="76" t="str">
        <f>TiposLancamentos!B19</f>
        <v>Restaurantes</v>
      </c>
      <c r="C187" s="147" t="s">
        <v>3022</v>
      </c>
      <c r="D187" s="63"/>
      <c r="E187" s="135">
        <v>3.95</v>
      </c>
      <c r="F187" s="224"/>
    </row>
    <row r="188" spans="1:6">
      <c r="A188" s="307">
        <v>38954</v>
      </c>
      <c r="B188" s="295" t="str">
        <f>TiposLancamentos!B16</f>
        <v>Cristiane</v>
      </c>
      <c r="C188" s="316" t="s">
        <v>16395</v>
      </c>
      <c r="D188" s="292"/>
      <c r="E188" s="324">
        <v>144</v>
      </c>
      <c r="F188" s="224"/>
    </row>
    <row r="189" spans="1:6">
      <c r="A189" s="307">
        <v>38954</v>
      </c>
      <c r="B189" s="295" t="str">
        <f>TiposLancamentos!B16</f>
        <v>Cristiane</v>
      </c>
      <c r="C189" s="316" t="s">
        <v>16396</v>
      </c>
      <c r="D189" s="292"/>
      <c r="E189" s="324">
        <v>39.380000000000003</v>
      </c>
      <c r="F189" s="224"/>
    </row>
    <row r="190" spans="1:6">
      <c r="A190" s="307">
        <v>38954</v>
      </c>
      <c r="B190" s="295" t="str">
        <f>TiposLancamentos!B16</f>
        <v>Cristiane</v>
      </c>
      <c r="C190" s="316" t="s">
        <v>15185</v>
      </c>
      <c r="D190" s="292"/>
      <c r="E190" s="324">
        <v>66.8</v>
      </c>
      <c r="F190" s="224"/>
    </row>
    <row r="191" spans="1:6">
      <c r="A191" s="307">
        <v>38954</v>
      </c>
      <c r="B191" s="295" t="str">
        <f>TiposLancamentos!B16</f>
        <v>Cristiane</v>
      </c>
      <c r="C191" s="316" t="s">
        <v>16397</v>
      </c>
      <c r="D191" s="292"/>
      <c r="E191" s="324">
        <v>70.2</v>
      </c>
      <c r="F191" s="224"/>
    </row>
    <row r="192" spans="1:6">
      <c r="A192" s="75">
        <v>38954</v>
      </c>
      <c r="B192" s="76" t="str">
        <f>TiposLancamentos!B19</f>
        <v>Restaurantes</v>
      </c>
      <c r="C192" s="147" t="s">
        <v>16398</v>
      </c>
      <c r="D192" s="63"/>
      <c r="E192" s="135">
        <v>54.89</v>
      </c>
      <c r="F192" s="224"/>
    </row>
    <row r="193" spans="1:6">
      <c r="A193" s="75">
        <v>38955</v>
      </c>
      <c r="B193" s="76" t="str">
        <f>TiposLancamentos!B19</f>
        <v>Restaurantes</v>
      </c>
      <c r="C193" s="147" t="s">
        <v>5002</v>
      </c>
      <c r="D193" s="63"/>
      <c r="E193" s="135">
        <v>19.899999999999999</v>
      </c>
      <c r="F193" s="224"/>
    </row>
    <row r="194" spans="1:6">
      <c r="A194" s="75">
        <v>38956</v>
      </c>
      <c r="B194" s="76" t="str">
        <f>TiposLancamentos!B19</f>
        <v>Restaurantes</v>
      </c>
      <c r="C194" s="147" t="s">
        <v>16399</v>
      </c>
      <c r="D194" s="63"/>
      <c r="E194" s="135">
        <v>63.8</v>
      </c>
      <c r="F194" s="224"/>
    </row>
    <row r="195" spans="1:6">
      <c r="A195" s="75">
        <v>38956</v>
      </c>
      <c r="B195" s="76" t="str">
        <f>TiposLancamentos!B13</f>
        <v>Moradia</v>
      </c>
      <c r="C195" s="147" t="s">
        <v>16400</v>
      </c>
      <c r="D195" s="63"/>
      <c r="E195" s="135">
        <v>359</v>
      </c>
      <c r="F195" s="224"/>
    </row>
    <row r="196" spans="1:6">
      <c r="A196" s="75">
        <v>38956</v>
      </c>
      <c r="B196" s="76" t="str">
        <f>TiposLancamentos!B5</f>
        <v>Supermercado</v>
      </c>
      <c r="C196" s="147" t="s">
        <v>16401</v>
      </c>
      <c r="D196" s="63"/>
      <c r="E196" s="135">
        <v>44.74</v>
      </c>
      <c r="F196" s="224"/>
    </row>
    <row r="197" spans="1:6">
      <c r="A197" s="75">
        <v>38957</v>
      </c>
      <c r="B197" s="76" t="str">
        <f>TiposLancamentos!B36</f>
        <v>Playstation 2</v>
      </c>
      <c r="C197" s="147" t="s">
        <v>16402</v>
      </c>
      <c r="D197" s="63"/>
      <c r="E197" s="135">
        <v>89.39</v>
      </c>
      <c r="F197" s="224"/>
    </row>
    <row r="198" spans="1:6">
      <c r="A198" s="91"/>
      <c r="B198" s="37"/>
      <c r="C198" s="222" t="s">
        <v>16403</v>
      </c>
      <c r="D198" s="93"/>
      <c r="E198" s="309"/>
      <c r="F198" s="223">
        <f>SUM(E155:E182)</f>
        <v>834.28999999999985</v>
      </c>
    </row>
    <row r="199" spans="1:6">
      <c r="A199" s="86">
        <v>38964</v>
      </c>
      <c r="B199" s="76" t="str">
        <f>TiposLancamentos!B15</f>
        <v>Cartões de Crédito</v>
      </c>
      <c r="C199" s="147" t="s">
        <v>16404</v>
      </c>
      <c r="D199" s="63">
        <v>834.29</v>
      </c>
      <c r="E199" s="135"/>
      <c r="F199" s="224"/>
    </row>
    <row r="200" spans="1:6">
      <c r="A200" s="75">
        <v>38962</v>
      </c>
      <c r="B200" s="76" t="str">
        <f>TiposLancamentos!B45</f>
        <v>Online Services</v>
      </c>
      <c r="C200" s="52" t="s">
        <v>15207</v>
      </c>
      <c r="D200" s="63"/>
      <c r="E200" s="135">
        <v>13.93</v>
      </c>
      <c r="F200" s="224"/>
    </row>
    <row r="201" spans="1:6">
      <c r="A201" s="307">
        <v>38971</v>
      </c>
      <c r="B201" s="295" t="str">
        <f>TiposLancamentos!B16</f>
        <v>Cristiane</v>
      </c>
      <c r="C201" s="316" t="s">
        <v>16405</v>
      </c>
      <c r="D201" s="292"/>
      <c r="E201" s="324">
        <v>25.5</v>
      </c>
      <c r="F201" s="224"/>
    </row>
    <row r="202" spans="1:6">
      <c r="A202" s="307">
        <v>38973</v>
      </c>
      <c r="B202" s="295" t="str">
        <f>TiposLancamentos!B16</f>
        <v>Cristiane</v>
      </c>
      <c r="C202" s="316" t="s">
        <v>16406</v>
      </c>
      <c r="D202" s="292"/>
      <c r="E202" s="324">
        <v>20</v>
      </c>
      <c r="F202" s="224"/>
    </row>
    <row r="203" spans="1:6">
      <c r="A203" s="86">
        <v>38976</v>
      </c>
      <c r="B203" s="76" t="str">
        <f>TiposLancamentos!B25</f>
        <v>CD_DVD_BD</v>
      </c>
      <c r="C203" s="147" t="s">
        <v>16407</v>
      </c>
      <c r="D203" s="63"/>
      <c r="E203" s="135">
        <v>43</v>
      </c>
      <c r="F203" s="224"/>
    </row>
    <row r="204" spans="1:6">
      <c r="A204" s="225"/>
      <c r="B204" s="226"/>
      <c r="C204" s="227" t="s">
        <v>10</v>
      </c>
      <c r="D204" s="228"/>
      <c r="E204" s="228"/>
      <c r="F204" s="228"/>
    </row>
    <row r="205" spans="1:6">
      <c r="A205" s="87">
        <v>38985</v>
      </c>
      <c r="B205" s="234" t="str">
        <f>TiposLancamentos!B25</f>
        <v>CD_DVD_BD</v>
      </c>
      <c r="C205" s="235" t="s">
        <v>16408</v>
      </c>
      <c r="D205" s="90"/>
      <c r="E205" s="127">
        <f>71.91</f>
        <v>71.91</v>
      </c>
      <c r="F205" s="224"/>
    </row>
    <row r="206" spans="1:6">
      <c r="A206" s="87">
        <v>38985</v>
      </c>
      <c r="B206" s="234" t="str">
        <f>TiposLancamentos!B71</f>
        <v>Itens Pessoais</v>
      </c>
      <c r="C206" s="235" t="s">
        <v>16409</v>
      </c>
      <c r="D206" s="90"/>
      <c r="E206" s="127">
        <v>314.10000000000002</v>
      </c>
      <c r="F206" s="224"/>
    </row>
    <row r="207" spans="1:6">
      <c r="A207" s="91"/>
      <c r="B207" s="37"/>
      <c r="C207" s="222" t="s">
        <v>3163</v>
      </c>
      <c r="D207" s="93"/>
      <c r="E207" s="309"/>
      <c r="F207" s="223">
        <f>SUM(E183:E203)</f>
        <v>1149.28</v>
      </c>
    </row>
    <row r="208" spans="1:6">
      <c r="A208" s="86">
        <v>38992</v>
      </c>
      <c r="B208" s="76" t="str">
        <f>TiposLancamentos!B15</f>
        <v>Cartões de Crédito</v>
      </c>
      <c r="C208" s="147" t="s">
        <v>16410</v>
      </c>
      <c r="D208" s="63">
        <v>1149.28</v>
      </c>
      <c r="E208" s="49"/>
      <c r="F208" s="224"/>
    </row>
    <row r="209" spans="1:6">
      <c r="A209" s="75">
        <v>38993</v>
      </c>
      <c r="B209" s="76" t="str">
        <f>TiposLancamentos!B45</f>
        <v>Online Services</v>
      </c>
      <c r="C209" s="52" t="s">
        <v>15207</v>
      </c>
      <c r="D209" s="63"/>
      <c r="E209" s="98">
        <v>13.93</v>
      </c>
      <c r="F209" s="224"/>
    </row>
    <row r="210" spans="1:6">
      <c r="A210" s="307">
        <v>38996</v>
      </c>
      <c r="B210" s="295" t="str">
        <f>TiposLancamentos!B16</f>
        <v>Cristiane</v>
      </c>
      <c r="C210" s="316" t="s">
        <v>16411</v>
      </c>
      <c r="D210" s="292"/>
      <c r="E210" s="324">
        <v>169.8</v>
      </c>
      <c r="F210" s="224"/>
    </row>
    <row r="211" spans="1:6">
      <c r="A211" s="75">
        <v>38997</v>
      </c>
      <c r="B211" s="86" t="str">
        <f>TiposLancamentos!B19</f>
        <v>Restaurantes</v>
      </c>
      <c r="C211" s="3" t="s">
        <v>2618</v>
      </c>
      <c r="D211" s="78"/>
      <c r="E211" s="49">
        <v>26</v>
      </c>
      <c r="F211" s="224"/>
    </row>
    <row r="212" spans="1:6">
      <c r="A212" s="75">
        <v>38998</v>
      </c>
      <c r="B212" s="86" t="str">
        <f>TiposLancamentos!B16</f>
        <v>Cristiane</v>
      </c>
      <c r="C212" s="3" t="s">
        <v>16412</v>
      </c>
      <c r="D212" s="78"/>
      <c r="E212" s="49">
        <v>359.6</v>
      </c>
      <c r="F212" s="224"/>
    </row>
    <row r="213" spans="1:6">
      <c r="A213" s="75">
        <v>38999</v>
      </c>
      <c r="B213" s="86" t="str">
        <f>TiposLancamentos!B16</f>
        <v>Cristiane</v>
      </c>
      <c r="C213" s="3" t="s">
        <v>16413</v>
      </c>
      <c r="D213" s="78"/>
      <c r="E213" s="49">
        <v>20</v>
      </c>
      <c r="F213" s="224"/>
    </row>
    <row r="214" spans="1:6">
      <c r="A214" s="307">
        <v>39001</v>
      </c>
      <c r="B214" s="295" t="str">
        <f>TiposLancamentos!B16</f>
        <v>Cristiane</v>
      </c>
      <c r="C214" s="316" t="s">
        <v>16414</v>
      </c>
      <c r="D214" s="292"/>
      <c r="E214" s="324">
        <v>25.5</v>
      </c>
      <c r="F214" s="224"/>
    </row>
    <row r="215" spans="1:6">
      <c r="A215" s="75">
        <v>39007</v>
      </c>
      <c r="B215" s="86" t="str">
        <f>TiposLancamentos!B4</f>
        <v>Taxas Bancarias</v>
      </c>
      <c r="C215" s="3" t="s">
        <v>16415</v>
      </c>
      <c r="D215" s="78"/>
      <c r="E215" s="49">
        <v>14</v>
      </c>
      <c r="F215" s="224"/>
    </row>
    <row r="216" spans="1:6">
      <c r="A216" s="307">
        <v>39007</v>
      </c>
      <c r="B216" s="295" t="str">
        <f>TiposLancamentos!B4</f>
        <v>Taxas Bancarias</v>
      </c>
      <c r="C216" s="316" t="s">
        <v>16416</v>
      </c>
      <c r="D216" s="292"/>
      <c r="E216" s="324">
        <v>7</v>
      </c>
      <c r="F216" s="224"/>
    </row>
    <row r="217" spans="1:6">
      <c r="A217" s="307">
        <v>39009</v>
      </c>
      <c r="B217" s="295" t="str">
        <f>TiposLancamentos!B16</f>
        <v>Cristiane</v>
      </c>
      <c r="C217" s="316" t="s">
        <v>16417</v>
      </c>
      <c r="D217" s="292"/>
      <c r="E217" s="324">
        <v>43.33</v>
      </c>
      <c r="F217" s="224"/>
    </row>
    <row r="218" spans="1:6">
      <c r="A218" s="225"/>
      <c r="B218" s="226"/>
      <c r="C218" s="227" t="s">
        <v>10</v>
      </c>
      <c r="D218" s="228"/>
      <c r="E218" s="228"/>
      <c r="F218" s="228"/>
    </row>
    <row r="219" spans="1:6">
      <c r="A219" s="75">
        <v>39013</v>
      </c>
      <c r="B219" s="86" t="str">
        <f>TiposLancamentos!B17</f>
        <v>GATO</v>
      </c>
      <c r="C219" s="3" t="s">
        <v>16418</v>
      </c>
      <c r="D219" s="78"/>
      <c r="E219" s="49">
        <v>47.55</v>
      </c>
      <c r="F219" s="224"/>
    </row>
    <row r="220" spans="1:6">
      <c r="A220" s="75">
        <v>39013</v>
      </c>
      <c r="B220" s="86" t="str">
        <f>TiposLancamentos!B13</f>
        <v>Moradia</v>
      </c>
      <c r="C220" s="3" t="s">
        <v>16419</v>
      </c>
      <c r="D220" s="78"/>
      <c r="E220" s="49">
        <v>505</v>
      </c>
      <c r="F220" s="224"/>
    </row>
    <row r="221" spans="1:6">
      <c r="A221" s="75">
        <v>39015</v>
      </c>
      <c r="B221" s="86" t="str">
        <f>TiposLancamentos!B68</f>
        <v>Bombas</v>
      </c>
      <c r="C221" s="3" t="s">
        <v>5253</v>
      </c>
      <c r="D221" s="78"/>
      <c r="E221" s="49">
        <v>18.55</v>
      </c>
      <c r="F221" s="224"/>
    </row>
    <row r="222" spans="1:6">
      <c r="A222" s="307">
        <v>39017</v>
      </c>
      <c r="B222" s="295" t="str">
        <f>TiposLancamentos!B16</f>
        <v>Cristiane</v>
      </c>
      <c r="C222" s="316" t="s">
        <v>5210</v>
      </c>
      <c r="D222" s="292"/>
      <c r="E222" s="324">
        <v>55.8</v>
      </c>
      <c r="F222" s="224"/>
    </row>
    <row r="223" spans="1:6">
      <c r="A223" s="75">
        <v>39017</v>
      </c>
      <c r="B223" s="86" t="str">
        <f>TiposLancamentos!B19</f>
        <v>Restaurantes</v>
      </c>
      <c r="C223" s="3" t="s">
        <v>2654</v>
      </c>
      <c r="D223" s="78"/>
      <c r="E223" s="49">
        <v>29</v>
      </c>
      <c r="F223" s="224"/>
    </row>
    <row r="224" spans="1:6">
      <c r="A224" s="307">
        <v>39018</v>
      </c>
      <c r="B224" s="295" t="str">
        <f>TiposLancamentos!B16</f>
        <v>Cristiane</v>
      </c>
      <c r="C224" s="316" t="s">
        <v>16420</v>
      </c>
      <c r="D224" s="292"/>
      <c r="E224" s="324">
        <v>65</v>
      </c>
      <c r="F224" s="224"/>
    </row>
    <row r="225" spans="1:6">
      <c r="A225" s="75">
        <v>39018</v>
      </c>
      <c r="B225" s="86" t="str">
        <f>TiposLancamentos!B19</f>
        <v>Restaurantes</v>
      </c>
      <c r="C225" s="3" t="s">
        <v>5002</v>
      </c>
      <c r="D225" s="78"/>
      <c r="E225" s="49">
        <v>18.399999999999999</v>
      </c>
      <c r="F225" s="224"/>
    </row>
    <row r="226" spans="1:6">
      <c r="A226" s="75">
        <v>39018</v>
      </c>
      <c r="B226" s="86" t="str">
        <f>TiposLancamentos!B19</f>
        <v>Restaurantes</v>
      </c>
      <c r="C226" s="3" t="s">
        <v>2899</v>
      </c>
      <c r="D226" s="78"/>
      <c r="E226" s="49">
        <v>10.1</v>
      </c>
      <c r="F226" s="224"/>
    </row>
    <row r="227" spans="1:6">
      <c r="A227" s="87">
        <v>39018</v>
      </c>
      <c r="B227" s="234" t="str">
        <f>TiposLancamentos!B16</f>
        <v>Cristiane</v>
      </c>
      <c r="C227" s="235" t="s">
        <v>16421</v>
      </c>
      <c r="D227" s="90"/>
      <c r="E227" s="127">
        <v>140</v>
      </c>
      <c r="F227" s="224"/>
    </row>
    <row r="228" spans="1:6">
      <c r="A228" s="87">
        <v>39018</v>
      </c>
      <c r="B228" s="234" t="str">
        <f>TiposLancamentos!B70</f>
        <v>Vestuário</v>
      </c>
      <c r="C228" s="235" t="s">
        <v>16422</v>
      </c>
      <c r="D228" s="90"/>
      <c r="E228" s="127">
        <f>380-140</f>
        <v>240</v>
      </c>
      <c r="F228" s="224"/>
    </row>
    <row r="229" spans="1:6">
      <c r="A229" s="75">
        <v>39018</v>
      </c>
      <c r="B229" s="86" t="str">
        <f>TiposLancamentos!B71</f>
        <v>Itens Pessoais</v>
      </c>
      <c r="C229" s="3" t="s">
        <v>16423</v>
      </c>
      <c r="D229" s="78"/>
      <c r="E229" s="49">
        <v>230</v>
      </c>
      <c r="F229" s="224"/>
    </row>
    <row r="230" spans="1:6">
      <c r="A230" s="75">
        <v>39018</v>
      </c>
      <c r="B230" s="86" t="str">
        <f>TiposLancamentos!B5</f>
        <v>Supermercado</v>
      </c>
      <c r="C230" s="3" t="s">
        <v>2567</v>
      </c>
      <c r="D230" s="78"/>
      <c r="E230" s="49">
        <v>79.510000000000005</v>
      </c>
      <c r="F230" s="224"/>
    </row>
    <row r="231" spans="1:6">
      <c r="A231" s="87">
        <v>39019</v>
      </c>
      <c r="B231" s="234" t="str">
        <f>TiposLancamentos!B83</f>
        <v>Artigos Moto</v>
      </c>
      <c r="C231" s="235" t="s">
        <v>16424</v>
      </c>
      <c r="D231" s="90"/>
      <c r="E231" s="127">
        <f>6.5+3.5</f>
        <v>10</v>
      </c>
      <c r="F231" s="224"/>
    </row>
    <row r="232" spans="1:6">
      <c r="A232" s="87">
        <v>39019</v>
      </c>
      <c r="B232" s="234" t="str">
        <f>TiposLancamentos!B16</f>
        <v>Cristiane</v>
      </c>
      <c r="C232" s="235" t="s">
        <v>5210</v>
      </c>
      <c r="D232" s="90"/>
      <c r="E232" s="127">
        <v>14.2</v>
      </c>
      <c r="F232" s="224"/>
    </row>
    <row r="233" spans="1:6">
      <c r="A233" s="75">
        <v>39019</v>
      </c>
      <c r="B233" s="86" t="str">
        <f>TiposLancamentos!B57</f>
        <v>Informática</v>
      </c>
      <c r="C233" s="3" t="s">
        <v>16425</v>
      </c>
      <c r="D233" s="78"/>
      <c r="E233" s="49">
        <v>13.9</v>
      </c>
      <c r="F233" s="224"/>
    </row>
    <row r="234" spans="1:6">
      <c r="A234" s="75">
        <v>39019</v>
      </c>
      <c r="B234" s="86" t="str">
        <f>TiposLancamentos!B19</f>
        <v>Restaurantes</v>
      </c>
      <c r="C234" s="3" t="s">
        <v>16426</v>
      </c>
      <c r="D234" s="78"/>
      <c r="E234" s="49">
        <v>7.9</v>
      </c>
      <c r="F234" s="224"/>
    </row>
    <row r="235" spans="1:6">
      <c r="A235" s="91"/>
      <c r="B235" s="37"/>
      <c r="C235" s="222" t="s">
        <v>16427</v>
      </c>
      <c r="D235" s="93"/>
      <c r="E235" s="44"/>
      <c r="F235" s="223">
        <f>SUM(E205:E217)</f>
        <v>1065.17</v>
      </c>
    </row>
    <row r="236" spans="1:6">
      <c r="A236" s="86">
        <v>39023</v>
      </c>
      <c r="B236" s="76" t="str">
        <f>TiposLancamentos!B15</f>
        <v>Cartões de Crédito</v>
      </c>
      <c r="C236" s="147" t="s">
        <v>16428</v>
      </c>
      <c r="D236" s="63">
        <v>1065.17</v>
      </c>
      <c r="E236" s="49"/>
      <c r="F236" s="224"/>
    </row>
    <row r="237" spans="1:6">
      <c r="A237" s="75">
        <v>39023</v>
      </c>
      <c r="B237" s="76" t="str">
        <f>TiposLancamentos!B45</f>
        <v>Online Services</v>
      </c>
      <c r="C237" s="147" t="s">
        <v>15207</v>
      </c>
      <c r="D237" s="63"/>
      <c r="E237" s="49">
        <v>16.73</v>
      </c>
      <c r="F237" s="224"/>
    </row>
    <row r="238" spans="1:6">
      <c r="A238" s="307">
        <v>39031</v>
      </c>
      <c r="B238" s="295" t="str">
        <f>TiposLancamentos!B16</f>
        <v>Cristiane</v>
      </c>
      <c r="C238" s="316" t="s">
        <v>16405</v>
      </c>
      <c r="D238" s="292"/>
      <c r="E238" s="324">
        <v>25.5</v>
      </c>
      <c r="F238" s="224"/>
    </row>
    <row r="239" spans="1:6">
      <c r="A239" s="75">
        <v>39038</v>
      </c>
      <c r="B239" s="86" t="str">
        <f>TiposLancamentos!B4</f>
        <v>Taxas Bancarias</v>
      </c>
      <c r="C239" s="3" t="s">
        <v>16429</v>
      </c>
      <c r="D239" s="78"/>
      <c r="E239" s="49">
        <v>14</v>
      </c>
      <c r="F239" s="224"/>
    </row>
    <row r="240" spans="1:6">
      <c r="A240" s="307">
        <v>39038</v>
      </c>
      <c r="B240" s="295" t="str">
        <f>TiposLancamentos!B4</f>
        <v>Taxas Bancarias</v>
      </c>
      <c r="C240" s="316" t="s">
        <v>16430</v>
      </c>
      <c r="D240" s="292"/>
      <c r="E240" s="324">
        <v>7</v>
      </c>
      <c r="F240" s="224"/>
    </row>
    <row r="241" spans="1:6">
      <c r="A241" s="225"/>
      <c r="B241" s="226"/>
      <c r="C241" s="227" t="s">
        <v>10</v>
      </c>
      <c r="D241" s="228"/>
      <c r="E241" s="228"/>
      <c r="F241" s="228"/>
    </row>
    <row r="242" spans="1:6">
      <c r="A242" s="87">
        <v>39044</v>
      </c>
      <c r="B242" s="234" t="str">
        <f>TiposLancamentos!B5</f>
        <v>Supermercado</v>
      </c>
      <c r="C242" s="235" t="s">
        <v>2567</v>
      </c>
      <c r="D242" s="90"/>
      <c r="E242" s="127">
        <f>35.86-E243</f>
        <v>25.17</v>
      </c>
      <c r="F242" s="224"/>
    </row>
    <row r="243" spans="1:6">
      <c r="A243" s="87">
        <v>39044</v>
      </c>
      <c r="B243" s="234" t="str">
        <f>TiposLancamentos!B17</f>
        <v>GATO</v>
      </c>
      <c r="C243" s="235" t="s">
        <v>5125</v>
      </c>
      <c r="D243" s="90"/>
      <c r="E243" s="127">
        <v>10.69</v>
      </c>
      <c r="F243" s="224"/>
    </row>
    <row r="244" spans="1:6">
      <c r="A244" s="75">
        <v>39045</v>
      </c>
      <c r="B244" s="86" t="str">
        <f>TiposLancamentos!B19</f>
        <v>Restaurantes</v>
      </c>
      <c r="C244" s="3" t="s">
        <v>16431</v>
      </c>
      <c r="D244" s="78"/>
      <c r="E244" s="49">
        <v>22.25</v>
      </c>
      <c r="F244" s="224"/>
    </row>
    <row r="245" spans="1:6">
      <c r="A245" s="75">
        <v>39045</v>
      </c>
      <c r="B245" s="86" t="str">
        <f>TiposLancamentos!B16</f>
        <v>Cristiane</v>
      </c>
      <c r="C245" s="3" t="s">
        <v>16432</v>
      </c>
      <c r="D245" s="78"/>
      <c r="E245" s="49">
        <v>49.64</v>
      </c>
      <c r="F245" s="224"/>
    </row>
    <row r="246" spans="1:6">
      <c r="A246" s="75">
        <v>39046</v>
      </c>
      <c r="B246" s="86" t="str">
        <f>TiposLancamentos!B19</f>
        <v>Restaurantes</v>
      </c>
      <c r="C246" s="3" t="s">
        <v>16433</v>
      </c>
      <c r="D246" s="78"/>
      <c r="E246" s="49">
        <v>22</v>
      </c>
      <c r="F246" s="224"/>
    </row>
    <row r="247" spans="1:6">
      <c r="A247" s="75">
        <v>39046</v>
      </c>
      <c r="B247" s="86" t="str">
        <f>TiposLancamentos!B19</f>
        <v>Restaurantes</v>
      </c>
      <c r="C247" s="3" t="s">
        <v>16434</v>
      </c>
      <c r="D247" s="78"/>
      <c r="E247" s="49">
        <v>5.4</v>
      </c>
      <c r="F247" s="224"/>
    </row>
    <row r="248" spans="1:6">
      <c r="A248" s="75">
        <v>39046</v>
      </c>
      <c r="B248" s="86" t="str">
        <f>TiposLancamentos!B5</f>
        <v>Supermercado</v>
      </c>
      <c r="C248" s="3" t="s">
        <v>16435</v>
      </c>
      <c r="D248" s="78"/>
      <c r="E248" s="49">
        <v>90.53</v>
      </c>
      <c r="F248" s="224"/>
    </row>
    <row r="249" spans="1:6">
      <c r="A249" s="75">
        <v>39049</v>
      </c>
      <c r="B249" s="86" t="str">
        <f>TiposLancamentos!B98</f>
        <v>Restituições</v>
      </c>
      <c r="C249" s="3" t="s">
        <v>16436</v>
      </c>
      <c r="D249" s="78">
        <v>28</v>
      </c>
      <c r="E249" s="49"/>
      <c r="F249" s="224"/>
    </row>
    <row r="250" spans="1:6">
      <c r="A250" s="307">
        <v>39049</v>
      </c>
      <c r="B250" s="295" t="str">
        <f>TiposLancamentos!B98</f>
        <v>Restituições</v>
      </c>
      <c r="C250" s="316" t="s">
        <v>16437</v>
      </c>
      <c r="D250" s="292">
        <v>14</v>
      </c>
      <c r="E250" s="324"/>
      <c r="F250" s="224"/>
    </row>
    <row r="251" spans="1:6">
      <c r="A251" s="91"/>
      <c r="B251" s="37"/>
      <c r="C251" s="222" t="s">
        <v>3202</v>
      </c>
      <c r="D251" s="93"/>
      <c r="E251" s="44"/>
      <c r="F251" s="223">
        <f>SUM(E219:E240)</f>
        <v>1548.14</v>
      </c>
    </row>
    <row r="252" spans="1:6">
      <c r="A252" s="86">
        <v>39053</v>
      </c>
      <c r="B252" s="76" t="str">
        <f>TiposLancamentos!B45</f>
        <v>Online Services</v>
      </c>
      <c r="C252" s="147" t="s">
        <v>15207</v>
      </c>
      <c r="D252" s="63"/>
      <c r="E252" s="49">
        <v>13.93</v>
      </c>
      <c r="F252" s="224"/>
    </row>
    <row r="253" spans="1:6">
      <c r="A253" s="86">
        <v>39054</v>
      </c>
      <c r="B253" s="76" t="str">
        <f>TiposLancamentos!B15</f>
        <v>Cartões de Crédito</v>
      </c>
      <c r="C253" s="147" t="s">
        <v>16438</v>
      </c>
      <c r="D253" s="63">
        <v>1548.14</v>
      </c>
      <c r="E253" s="49"/>
      <c r="F253" s="224"/>
    </row>
    <row r="254" spans="1:6">
      <c r="A254" s="86">
        <v>39061</v>
      </c>
      <c r="B254" s="76" t="str">
        <f>TiposLancamentos!B19</f>
        <v>Restaurantes</v>
      </c>
      <c r="C254" s="147" t="s">
        <v>16439</v>
      </c>
      <c r="D254" s="63"/>
      <c r="E254" s="49">
        <v>69.599999999999994</v>
      </c>
      <c r="F254" s="224"/>
    </row>
    <row r="255" spans="1:6">
      <c r="A255" s="307">
        <v>39062</v>
      </c>
      <c r="B255" s="295" t="str">
        <f>TiposLancamentos!B16</f>
        <v>Cristiane</v>
      </c>
      <c r="C255" s="316" t="s">
        <v>16440</v>
      </c>
      <c r="D255" s="292"/>
      <c r="E255" s="324">
        <v>25.5</v>
      </c>
      <c r="F255" s="224"/>
    </row>
    <row r="256" spans="1:6">
      <c r="A256" s="225"/>
      <c r="B256" s="226"/>
      <c r="C256" s="227" t="s">
        <v>10</v>
      </c>
      <c r="D256" s="228"/>
      <c r="E256" s="228"/>
      <c r="F256" s="228"/>
    </row>
    <row r="257" spans="1:6">
      <c r="A257" s="86">
        <v>39074</v>
      </c>
      <c r="B257" s="76" t="str">
        <f>TiposLancamentos!B5</f>
        <v>Supermercado</v>
      </c>
      <c r="C257" s="3" t="s">
        <v>16435</v>
      </c>
      <c r="D257" s="63"/>
      <c r="E257" s="49">
        <v>93.5</v>
      </c>
      <c r="F257" s="224"/>
    </row>
    <row r="258" spans="1:6">
      <c r="A258" s="87">
        <v>39075</v>
      </c>
      <c r="B258" s="234" t="str">
        <f>TiposLancamentos!B56</f>
        <v>Farmácia</v>
      </c>
      <c r="C258" s="235" t="s">
        <v>16441</v>
      </c>
      <c r="D258" s="90"/>
      <c r="E258" s="127">
        <f>57.82-37.3</f>
        <v>20.520000000000003</v>
      </c>
      <c r="F258" s="224"/>
    </row>
    <row r="259" spans="1:6">
      <c r="A259" s="87">
        <v>39075</v>
      </c>
      <c r="B259" s="234" t="str">
        <f>TiposLancamentos!B16</f>
        <v>Cristiane</v>
      </c>
      <c r="C259" s="235" t="s">
        <v>16442</v>
      </c>
      <c r="D259" s="90"/>
      <c r="E259" s="127">
        <v>37.299999999999997</v>
      </c>
      <c r="F259" s="224">
        <f>SUM(E258:E259)</f>
        <v>57.82</v>
      </c>
    </row>
    <row r="260" spans="1:6">
      <c r="A260" s="86">
        <v>39075</v>
      </c>
      <c r="B260" s="76" t="str">
        <f>TiposLancamentos!B5</f>
        <v>Supermercado</v>
      </c>
      <c r="C260" s="147" t="s">
        <v>3298</v>
      </c>
      <c r="D260" s="63"/>
      <c r="E260" s="49">
        <v>8.42</v>
      </c>
      <c r="F260" s="224"/>
    </row>
    <row r="261" spans="1:6">
      <c r="A261" s="86">
        <v>39077</v>
      </c>
      <c r="B261" s="76" t="str">
        <f>TiposLancamentos!B27</f>
        <v>Jornais e revistas</v>
      </c>
      <c r="C261" s="147" t="s">
        <v>16443</v>
      </c>
      <c r="D261" s="63"/>
      <c r="E261" s="49">
        <v>109.97</v>
      </c>
      <c r="F261" s="224"/>
    </row>
    <row r="262" spans="1:6">
      <c r="A262" s="86">
        <v>39079</v>
      </c>
      <c r="B262" s="76" t="str">
        <f>TiposLancamentos!B85</f>
        <v>Peugeout 206</v>
      </c>
      <c r="C262" s="147" t="s">
        <v>16444</v>
      </c>
      <c r="D262" s="63"/>
      <c r="E262" s="49">
        <v>93</v>
      </c>
      <c r="F262" s="224"/>
    </row>
    <row r="263" spans="1:6">
      <c r="A263" s="86">
        <v>39079</v>
      </c>
      <c r="B263" s="76" t="str">
        <f>TiposLancamentos!B58</f>
        <v>Fotografias</v>
      </c>
      <c r="C263" s="147" t="s">
        <v>16379</v>
      </c>
      <c r="D263" s="63"/>
      <c r="E263" s="49">
        <v>30.81</v>
      </c>
      <c r="F263" s="224"/>
    </row>
    <row r="264" spans="1:6">
      <c r="A264" s="307">
        <v>39080</v>
      </c>
      <c r="B264" s="295" t="str">
        <f>TiposLancamentos!B16</f>
        <v>Cristiane</v>
      </c>
      <c r="C264" s="316" t="s">
        <v>16384</v>
      </c>
      <c r="D264" s="292"/>
      <c r="E264" s="324">
        <v>166.8</v>
      </c>
      <c r="F264" s="224"/>
    </row>
    <row r="265" spans="1:6">
      <c r="A265" s="87">
        <v>39080</v>
      </c>
      <c r="B265" s="234" t="str">
        <f>TiposLancamentos!B16</f>
        <v>Cristiane</v>
      </c>
      <c r="C265" s="235" t="s">
        <v>16343</v>
      </c>
      <c r="D265" s="90"/>
      <c r="E265" s="127">
        <f>61.61-(21+10.94+8.25)</f>
        <v>21.42</v>
      </c>
      <c r="F265" s="224"/>
    </row>
    <row r="266" spans="1:6">
      <c r="A266" s="87">
        <v>39080</v>
      </c>
      <c r="B266" s="234" t="str">
        <f>TiposLancamentos!B57</f>
        <v>Informática</v>
      </c>
      <c r="C266" s="235" t="s">
        <v>16445</v>
      </c>
      <c r="D266" s="90"/>
      <c r="E266" s="127">
        <f>61.67-21.42</f>
        <v>40.25</v>
      </c>
      <c r="F266" s="224">
        <f>SUM(E265:E266)</f>
        <v>61.67</v>
      </c>
    </row>
    <row r="267" spans="1:6">
      <c r="A267" s="86">
        <v>39080</v>
      </c>
      <c r="B267" s="76" t="str">
        <f>TiposLancamentos!B19</f>
        <v>Restaurantes</v>
      </c>
      <c r="C267" s="147" t="s">
        <v>16446</v>
      </c>
      <c r="D267" s="63"/>
      <c r="E267" s="49">
        <v>41.58</v>
      </c>
      <c r="F267" s="224"/>
    </row>
    <row r="268" spans="1:6">
      <c r="A268" s="86">
        <v>39081</v>
      </c>
      <c r="B268" s="76" t="str">
        <f>TiposLancamentos!B5</f>
        <v>Supermercado</v>
      </c>
      <c r="C268" s="147" t="s">
        <v>16447</v>
      </c>
      <c r="D268" s="63"/>
      <c r="E268" s="49">
        <v>31.23</v>
      </c>
      <c r="F268" s="224"/>
    </row>
    <row r="269" spans="1:6">
      <c r="A269" s="91"/>
      <c r="B269" s="37"/>
      <c r="C269" s="222" t="s">
        <v>3229</v>
      </c>
      <c r="D269" s="93"/>
      <c r="E269" s="44"/>
      <c r="F269" s="223">
        <f>SUM(E242:E255)-(D249+D250)</f>
        <v>292.71000000000004</v>
      </c>
    </row>
    <row r="270" spans="1:6">
      <c r="A270" s="86">
        <v>39083</v>
      </c>
      <c r="B270" s="76" t="str">
        <f>TiposLancamentos!B45</f>
        <v>Online Services</v>
      </c>
      <c r="C270" s="147" t="s">
        <v>15207</v>
      </c>
      <c r="D270" s="63"/>
      <c r="E270" s="49">
        <v>13.93</v>
      </c>
      <c r="F270" s="224"/>
    </row>
    <row r="271" spans="1:6">
      <c r="A271" s="86">
        <v>39084</v>
      </c>
      <c r="B271" s="76" t="str">
        <f>TiposLancamentos!B15</f>
        <v>Cartões de Crédito</v>
      </c>
      <c r="C271" s="147" t="s">
        <v>5115</v>
      </c>
      <c r="D271" s="63">
        <v>292.70999999999998</v>
      </c>
      <c r="E271" s="49"/>
      <c r="F271" s="224"/>
    </row>
    <row r="272" spans="1:6">
      <c r="A272" s="86">
        <v>39084</v>
      </c>
      <c r="B272" s="76" t="str">
        <f>TiposLancamentos!B17</f>
        <v>GATO</v>
      </c>
      <c r="C272" s="147" t="s">
        <v>16448</v>
      </c>
      <c r="D272" s="63"/>
      <c r="E272" s="49">
        <v>74.650000000000006</v>
      </c>
      <c r="F272" s="224"/>
    </row>
    <row r="273" spans="1:6">
      <c r="A273" s="86">
        <v>39084</v>
      </c>
      <c r="B273" s="76" t="str">
        <f>TiposLancamentos!B5</f>
        <v>Supermercado</v>
      </c>
      <c r="C273" s="147" t="s">
        <v>16380</v>
      </c>
      <c r="D273" s="63"/>
      <c r="E273" s="49">
        <v>34.07</v>
      </c>
      <c r="F273" s="224"/>
    </row>
    <row r="274" spans="1:6">
      <c r="A274" s="86">
        <v>39085</v>
      </c>
      <c r="B274" s="76" t="str">
        <f>TiposLancamentos!B22</f>
        <v>Combustivel</v>
      </c>
      <c r="C274" s="147" t="s">
        <v>3331</v>
      </c>
      <c r="D274" s="63"/>
      <c r="E274" s="49">
        <v>20.05</v>
      </c>
      <c r="F274" s="224"/>
    </row>
    <row r="275" spans="1:6">
      <c r="A275" s="86">
        <v>39086</v>
      </c>
      <c r="B275" s="76" t="str">
        <f>TiposLancamentos!B22</f>
        <v>Combustivel</v>
      </c>
      <c r="C275" s="147" t="s">
        <v>3331</v>
      </c>
      <c r="D275" s="63"/>
      <c r="E275" s="49">
        <v>87.02</v>
      </c>
      <c r="F275" s="224"/>
    </row>
    <row r="276" spans="1:6">
      <c r="A276" s="86">
        <v>39089</v>
      </c>
      <c r="B276" s="76" t="str">
        <f>TiposLancamentos!B22</f>
        <v>Combustivel</v>
      </c>
      <c r="C276" s="147" t="s">
        <v>3331</v>
      </c>
      <c r="D276" s="63"/>
      <c r="E276" s="49">
        <v>85.8</v>
      </c>
      <c r="F276" s="224"/>
    </row>
    <row r="277" spans="1:6">
      <c r="A277" s="86">
        <v>39090</v>
      </c>
      <c r="B277" s="76" t="str">
        <f>TiposLancamentos!B16</f>
        <v>Cristiane</v>
      </c>
      <c r="C277" s="147" t="s">
        <v>16449</v>
      </c>
      <c r="D277" s="63"/>
      <c r="E277" s="49">
        <v>158.16</v>
      </c>
      <c r="F277" s="224"/>
    </row>
    <row r="278" spans="1:6">
      <c r="A278" s="307">
        <v>39093</v>
      </c>
      <c r="B278" s="295" t="str">
        <f>TiposLancamentos!B16</f>
        <v>Cristiane</v>
      </c>
      <c r="C278" s="316" t="s">
        <v>16450</v>
      </c>
      <c r="D278" s="292"/>
      <c r="E278" s="324">
        <v>39.299999999999997</v>
      </c>
      <c r="F278" s="224"/>
    </row>
    <row r="279" spans="1:6">
      <c r="A279" s="86">
        <v>39102</v>
      </c>
      <c r="B279" s="76" t="str">
        <f>TiposLancamentos!B5</f>
        <v>Supermercado</v>
      </c>
      <c r="C279" s="147" t="s">
        <v>16313</v>
      </c>
      <c r="D279" s="63"/>
      <c r="E279" s="49">
        <v>53.89</v>
      </c>
      <c r="F279" s="224"/>
    </row>
    <row r="280" spans="1:6">
      <c r="A280" s="86">
        <v>39103</v>
      </c>
      <c r="B280" s="76" t="str">
        <f>TiposLancamentos!B16</f>
        <v>Cristiane</v>
      </c>
      <c r="C280" s="147" t="s">
        <v>16451</v>
      </c>
      <c r="D280" s="63"/>
      <c r="E280" s="49">
        <v>37.35</v>
      </c>
      <c r="F280" s="224"/>
    </row>
    <row r="281" spans="1:6">
      <c r="A281" s="225"/>
      <c r="B281" s="226"/>
      <c r="C281" s="227" t="s">
        <v>10</v>
      </c>
      <c r="D281" s="228"/>
      <c r="E281" s="228"/>
      <c r="F281" s="228"/>
    </row>
    <row r="282" spans="1:6">
      <c r="A282" s="86">
        <v>39105</v>
      </c>
      <c r="B282" s="76" t="str">
        <f>TiposLancamentos!B19</f>
        <v>Restaurantes</v>
      </c>
      <c r="C282" s="147" t="s">
        <v>16452</v>
      </c>
      <c r="D282" s="63"/>
      <c r="E282" s="49">
        <v>15</v>
      </c>
      <c r="F282" s="224"/>
    </row>
    <row r="283" spans="1:6">
      <c r="A283" s="86">
        <v>39105</v>
      </c>
      <c r="B283" s="76" t="str">
        <f>TiposLancamentos!B19</f>
        <v>Restaurantes</v>
      </c>
      <c r="C283" s="147" t="s">
        <v>16453</v>
      </c>
      <c r="D283" s="63"/>
      <c r="E283" s="49">
        <v>3.95</v>
      </c>
      <c r="F283" s="224"/>
    </row>
    <row r="284" spans="1:6">
      <c r="A284" s="86">
        <v>39106</v>
      </c>
      <c r="B284" s="76" t="str">
        <f>TiposLancamentos!B19</f>
        <v>Restaurantes</v>
      </c>
      <c r="C284" s="147" t="s">
        <v>3306</v>
      </c>
      <c r="D284" s="63"/>
      <c r="E284" s="49">
        <v>11.7</v>
      </c>
      <c r="F284" s="224"/>
    </row>
    <row r="285" spans="1:6">
      <c r="A285" s="86">
        <v>39107</v>
      </c>
      <c r="B285" s="76" t="str">
        <f>TiposLancamentos!B19</f>
        <v>Restaurantes</v>
      </c>
      <c r="C285" s="147" t="s">
        <v>16454</v>
      </c>
      <c r="D285" s="63"/>
      <c r="E285" s="49">
        <v>23.8</v>
      </c>
      <c r="F285" s="224"/>
    </row>
    <row r="286" spans="1:6">
      <c r="A286" s="86">
        <v>39108</v>
      </c>
      <c r="B286" s="76" t="str">
        <f>TiposLancamentos!B19</f>
        <v>Restaurantes</v>
      </c>
      <c r="C286" s="147" t="s">
        <v>3306</v>
      </c>
      <c r="D286" s="63"/>
      <c r="E286" s="49">
        <v>15.2</v>
      </c>
      <c r="F286" s="224"/>
    </row>
    <row r="287" spans="1:6">
      <c r="A287" s="86">
        <v>39108</v>
      </c>
      <c r="B287" s="76" t="str">
        <f>TiposLancamentos!B19</f>
        <v>Restaurantes</v>
      </c>
      <c r="C287" s="147" t="s">
        <v>16455</v>
      </c>
      <c r="D287" s="63"/>
      <c r="E287" s="49">
        <v>31.63</v>
      </c>
      <c r="F287" s="224"/>
    </row>
    <row r="288" spans="1:6">
      <c r="A288" s="86">
        <v>39109</v>
      </c>
      <c r="B288" s="76" t="str">
        <f>TiposLancamentos!B22</f>
        <v>Combustivel</v>
      </c>
      <c r="C288" s="147" t="s">
        <v>3331</v>
      </c>
      <c r="D288" s="63"/>
      <c r="E288" s="49">
        <v>50</v>
      </c>
      <c r="F288" s="224"/>
    </row>
    <row r="289" spans="1:6">
      <c r="A289" s="86">
        <v>39109</v>
      </c>
      <c r="B289" s="76" t="str">
        <f>TiposLancamentos!B5</f>
        <v>Supermercado</v>
      </c>
      <c r="C289" s="147" t="s">
        <v>16456</v>
      </c>
      <c r="D289" s="63"/>
      <c r="E289" s="49">
        <v>15.59</v>
      </c>
      <c r="F289" s="224"/>
    </row>
    <row r="290" spans="1:6">
      <c r="A290" s="86">
        <v>39109</v>
      </c>
      <c r="B290" s="76" t="str">
        <f>TiposLancamentos!B58</f>
        <v>Fotografias</v>
      </c>
      <c r="C290" s="147" t="s">
        <v>16457</v>
      </c>
      <c r="D290" s="63"/>
      <c r="E290" s="49">
        <v>15.01</v>
      </c>
      <c r="F290" s="224"/>
    </row>
    <row r="291" spans="1:6">
      <c r="A291" s="86">
        <v>39109</v>
      </c>
      <c r="B291" s="76" t="str">
        <f>TiposLancamentos!B19</f>
        <v>Restaurantes</v>
      </c>
      <c r="C291" s="147" t="s">
        <v>2640</v>
      </c>
      <c r="D291" s="63"/>
      <c r="E291" s="49">
        <v>19.399999999999999</v>
      </c>
      <c r="F291" s="224"/>
    </row>
    <row r="292" spans="1:6">
      <c r="A292" s="86">
        <v>39110</v>
      </c>
      <c r="B292" s="76" t="str">
        <f>TiposLancamentos!B85</f>
        <v>Peugeout 206</v>
      </c>
      <c r="C292" s="147" t="s">
        <v>16458</v>
      </c>
      <c r="D292" s="63"/>
      <c r="E292" s="49">
        <v>93</v>
      </c>
      <c r="F292" s="224"/>
    </row>
    <row r="293" spans="1:6">
      <c r="A293" s="86">
        <v>39110</v>
      </c>
      <c r="B293" s="76" t="str">
        <f>TiposLancamentos!B5</f>
        <v>Supermercado</v>
      </c>
      <c r="C293" s="147" t="s">
        <v>16459</v>
      </c>
      <c r="D293" s="63"/>
      <c r="E293" s="49">
        <v>49.59</v>
      </c>
      <c r="F293" s="224"/>
    </row>
    <row r="294" spans="1:6">
      <c r="A294" s="91"/>
      <c r="B294" s="37"/>
      <c r="C294" s="222" t="s">
        <v>3244</v>
      </c>
      <c r="D294" s="93"/>
      <c r="E294" s="44"/>
      <c r="F294" s="223">
        <f>SUM(E257:E280)</f>
        <v>1299.0199999999998</v>
      </c>
    </row>
    <row r="295" spans="1:6">
      <c r="A295" s="75">
        <v>39114</v>
      </c>
      <c r="B295" s="76" t="str">
        <f>TiposLancamentos!B45</f>
        <v>Online Services</v>
      </c>
      <c r="C295" s="52" t="s">
        <v>15207</v>
      </c>
      <c r="D295" s="63"/>
      <c r="E295" s="98">
        <v>13.93</v>
      </c>
      <c r="F295" s="224"/>
    </row>
    <row r="296" spans="1:6">
      <c r="A296" s="75">
        <v>39115</v>
      </c>
      <c r="B296" s="76" t="str">
        <f>TiposLancamentos!B15</f>
        <v>Cartões de Crédito</v>
      </c>
      <c r="C296" s="52" t="s">
        <v>16460</v>
      </c>
      <c r="D296" s="63">
        <v>1299.02</v>
      </c>
      <c r="E296" s="98"/>
      <c r="F296" s="224"/>
    </row>
    <row r="297" spans="1:6">
      <c r="A297" s="307">
        <v>39121</v>
      </c>
      <c r="B297" s="295" t="str">
        <f>TiposLancamentos!B16</f>
        <v>Cristiane</v>
      </c>
      <c r="C297" s="316" t="s">
        <v>5611</v>
      </c>
      <c r="D297" s="292"/>
      <c r="E297" s="324">
        <v>50</v>
      </c>
      <c r="F297" s="224"/>
    </row>
    <row r="298" spans="1:6">
      <c r="A298" s="307">
        <v>39128</v>
      </c>
      <c r="B298" s="295" t="str">
        <f>TiposLancamentos!B16</f>
        <v>Cristiane</v>
      </c>
      <c r="C298" s="316" t="s">
        <v>1775</v>
      </c>
      <c r="D298" s="292"/>
      <c r="E298" s="324">
        <v>19</v>
      </c>
      <c r="F298" s="224"/>
    </row>
    <row r="299" spans="1:6">
      <c r="A299" s="86">
        <v>39129</v>
      </c>
      <c r="B299" s="76" t="str">
        <f>TiposLancamentos!B19</f>
        <v>Restaurantes</v>
      </c>
      <c r="C299" s="147" t="s">
        <v>16433</v>
      </c>
      <c r="D299" s="63"/>
      <c r="E299" s="49">
        <v>15.5</v>
      </c>
      <c r="F299" s="224"/>
    </row>
    <row r="300" spans="1:6">
      <c r="A300" s="75">
        <v>39129</v>
      </c>
      <c r="B300" s="76" t="str">
        <f>TiposLancamentos!B19</f>
        <v>Restaurantes</v>
      </c>
      <c r="C300" s="147" t="s">
        <v>2899</v>
      </c>
      <c r="D300" s="63"/>
      <c r="E300" s="49">
        <v>5.4</v>
      </c>
      <c r="F300" s="224"/>
    </row>
    <row r="301" spans="1:6">
      <c r="A301" s="75">
        <v>39130</v>
      </c>
      <c r="B301" s="76" t="str">
        <f>TiposLancamentos!B16</f>
        <v>Cristiane</v>
      </c>
      <c r="C301" s="147" t="s">
        <v>16451</v>
      </c>
      <c r="D301" s="63"/>
      <c r="E301" s="49">
        <v>42.12</v>
      </c>
      <c r="F301" s="224"/>
    </row>
    <row r="302" spans="1:6">
      <c r="A302" s="75">
        <v>39130</v>
      </c>
      <c r="B302" s="76" t="str">
        <f>TiposLancamentos!B19</f>
        <v>Restaurantes</v>
      </c>
      <c r="C302" s="147" t="s">
        <v>16461</v>
      </c>
      <c r="D302" s="63"/>
      <c r="E302" s="49">
        <v>10.7</v>
      </c>
      <c r="F302" s="224"/>
    </row>
    <row r="303" spans="1:6">
      <c r="A303" s="75">
        <v>39130</v>
      </c>
      <c r="B303" s="76" t="str">
        <f>TiposLancamentos!B5</f>
        <v>Supermercado</v>
      </c>
      <c r="C303" s="147" t="s">
        <v>16380</v>
      </c>
      <c r="D303" s="63"/>
      <c r="E303" s="49">
        <v>36.61</v>
      </c>
      <c r="F303" s="224"/>
    </row>
    <row r="304" spans="1:6">
      <c r="A304" s="75">
        <v>39131</v>
      </c>
      <c r="B304" s="76" t="str">
        <f>TiposLancamentos!B19</f>
        <v>Restaurantes</v>
      </c>
      <c r="C304" s="147" t="s">
        <v>16462</v>
      </c>
      <c r="D304" s="63"/>
      <c r="E304" s="49">
        <v>30</v>
      </c>
      <c r="F304" s="224"/>
    </row>
    <row r="305" spans="1:6">
      <c r="A305" s="75">
        <v>39131</v>
      </c>
      <c r="B305" s="76" t="str">
        <f>TiposLancamentos!B19</f>
        <v>Restaurantes</v>
      </c>
      <c r="C305" s="147" t="s">
        <v>16463</v>
      </c>
      <c r="D305" s="63"/>
      <c r="E305" s="49">
        <v>7.45</v>
      </c>
      <c r="F305" s="224"/>
    </row>
    <row r="306" spans="1:6">
      <c r="A306" s="75">
        <v>39132</v>
      </c>
      <c r="B306" s="76" t="str">
        <f>TiposLancamentos!B16</f>
        <v>Cristiane</v>
      </c>
      <c r="C306" s="147" t="s">
        <v>16464</v>
      </c>
      <c r="D306" s="63"/>
      <c r="E306" s="49">
        <v>88</v>
      </c>
      <c r="F306" s="224"/>
    </row>
    <row r="307" spans="1:6">
      <c r="A307" s="75">
        <v>39132</v>
      </c>
      <c r="B307" s="76" t="str">
        <f>TiposLancamentos!B16</f>
        <v>Cristiane</v>
      </c>
      <c r="C307" s="147" t="s">
        <v>5944</v>
      </c>
      <c r="D307" s="63"/>
      <c r="E307" s="49">
        <v>139.47999999999999</v>
      </c>
      <c r="F307" s="224"/>
    </row>
    <row r="308" spans="1:6">
      <c r="A308" s="75">
        <v>39132</v>
      </c>
      <c r="B308" s="76" t="str">
        <f>TiposLancamentos!B5</f>
        <v>Supermercado</v>
      </c>
      <c r="C308" s="147" t="s">
        <v>2567</v>
      </c>
      <c r="D308" s="63"/>
      <c r="E308" s="49">
        <v>17.059999999999999</v>
      </c>
      <c r="F308" s="224"/>
    </row>
    <row r="309" spans="1:6">
      <c r="A309" s="225"/>
      <c r="B309" s="226"/>
      <c r="C309" s="227" t="s">
        <v>10</v>
      </c>
      <c r="D309" s="228"/>
      <c r="E309" s="228"/>
      <c r="F309" s="228"/>
    </row>
    <row r="310" spans="1:6">
      <c r="A310" s="75">
        <v>39133</v>
      </c>
      <c r="B310" s="76" t="str">
        <f>TiposLancamentos!B56</f>
        <v>Farmácia</v>
      </c>
      <c r="C310" s="147" t="s">
        <v>16465</v>
      </c>
      <c r="D310" s="63"/>
      <c r="E310" s="49">
        <v>181.4</v>
      </c>
      <c r="F310" s="224"/>
    </row>
    <row r="311" spans="1:6">
      <c r="A311" s="75">
        <v>39133</v>
      </c>
      <c r="B311" s="76" t="str">
        <f>TiposLancamentos!B19</f>
        <v>Restaurantes</v>
      </c>
      <c r="C311" s="147" t="s">
        <v>3287</v>
      </c>
      <c r="D311" s="63"/>
      <c r="E311" s="49">
        <v>32.299999999999997</v>
      </c>
      <c r="F311" s="224"/>
    </row>
    <row r="312" spans="1:6">
      <c r="A312" s="75">
        <v>39133</v>
      </c>
      <c r="B312" s="76" t="str">
        <f>TiposLancamentos!B27</f>
        <v>Jornais e revistas</v>
      </c>
      <c r="C312" s="147" t="s">
        <v>16466</v>
      </c>
      <c r="D312" s="63"/>
      <c r="E312" s="49">
        <v>27.8</v>
      </c>
      <c r="F312" s="224"/>
    </row>
    <row r="313" spans="1:6">
      <c r="A313" s="75">
        <v>39135</v>
      </c>
      <c r="B313" s="76" t="str">
        <f>TiposLancamentos!B5</f>
        <v>Supermercado</v>
      </c>
      <c r="C313" s="147" t="s">
        <v>3298</v>
      </c>
      <c r="D313" s="63"/>
      <c r="E313" s="49">
        <v>26.89</v>
      </c>
      <c r="F313" s="224"/>
    </row>
    <row r="314" spans="1:6">
      <c r="A314" s="75">
        <v>39136</v>
      </c>
      <c r="B314" s="76" t="str">
        <f>TiposLancamentos!B19</f>
        <v>Restaurantes</v>
      </c>
      <c r="C314" s="147" t="s">
        <v>5002</v>
      </c>
      <c r="D314" s="63"/>
      <c r="E314" s="49">
        <v>11.7</v>
      </c>
      <c r="F314" s="224"/>
    </row>
    <row r="315" spans="1:6">
      <c r="A315" s="75">
        <v>39137</v>
      </c>
      <c r="B315" s="76" t="str">
        <f>TiposLancamentos!B5</f>
        <v>Supermercado</v>
      </c>
      <c r="C315" s="147" t="s">
        <v>16467</v>
      </c>
      <c r="D315" s="63"/>
      <c r="E315" s="49">
        <v>41.41</v>
      </c>
      <c r="F315" s="224"/>
    </row>
    <row r="316" spans="1:6">
      <c r="A316" s="75">
        <v>39139</v>
      </c>
      <c r="B316" s="76" t="str">
        <f>TiposLancamentos!B19</f>
        <v>Restaurantes</v>
      </c>
      <c r="C316" s="147" t="s">
        <v>3184</v>
      </c>
      <c r="D316" s="63"/>
      <c r="E316" s="49">
        <v>3.95</v>
      </c>
      <c r="F316" s="224"/>
    </row>
    <row r="317" spans="1:6">
      <c r="A317" s="307">
        <v>39139</v>
      </c>
      <c r="B317" s="295" t="str">
        <f>TiposLancamentos!B16</f>
        <v>Cristiane</v>
      </c>
      <c r="C317" s="316" t="s">
        <v>5002</v>
      </c>
      <c r="D317" s="292"/>
      <c r="E317" s="324">
        <v>10.25</v>
      </c>
      <c r="F317" s="224"/>
    </row>
    <row r="318" spans="1:6">
      <c r="A318" s="91"/>
      <c r="B318" s="37"/>
      <c r="C318" s="222" t="s">
        <v>3258</v>
      </c>
      <c r="D318" s="93"/>
      <c r="E318" s="44"/>
      <c r="F318" s="223">
        <f>SUM(E282:E308)</f>
        <v>819.12</v>
      </c>
    </row>
    <row r="319" spans="1:6">
      <c r="A319" s="86">
        <v>39143</v>
      </c>
      <c r="B319" s="76" t="str">
        <f>TiposLancamentos!B15</f>
        <v>Cartões de Crédito</v>
      </c>
      <c r="C319" s="147" t="s">
        <v>5115</v>
      </c>
      <c r="D319" s="63">
        <v>820.02</v>
      </c>
      <c r="E319" s="49"/>
      <c r="F319" s="224"/>
    </row>
    <row r="320" spans="1:6">
      <c r="A320" s="86">
        <v>39144</v>
      </c>
      <c r="B320" s="76" t="str">
        <f>TiposLancamentos!B64</f>
        <v>Viagens</v>
      </c>
      <c r="C320" s="147" t="s">
        <v>16468</v>
      </c>
      <c r="D320" s="63"/>
      <c r="E320" s="49">
        <v>135</v>
      </c>
      <c r="F320" s="224"/>
    </row>
    <row r="321" spans="1:6">
      <c r="A321" s="86">
        <v>39144</v>
      </c>
      <c r="B321" s="76" t="str">
        <f>TiposLancamentos!B45</f>
        <v>Online Services</v>
      </c>
      <c r="C321" s="147" t="s">
        <v>15207</v>
      </c>
      <c r="D321" s="63"/>
      <c r="E321" s="49">
        <v>13.93</v>
      </c>
      <c r="F321" s="224"/>
    </row>
    <row r="322" spans="1:6">
      <c r="A322" s="307">
        <v>39150</v>
      </c>
      <c r="B322" s="295" t="str">
        <f>TiposLancamentos!B16</f>
        <v>Cristiane</v>
      </c>
      <c r="C322" s="316" t="s">
        <v>16469</v>
      </c>
      <c r="D322" s="292"/>
      <c r="E322" s="324">
        <v>110</v>
      </c>
      <c r="F322" s="224"/>
    </row>
    <row r="323" spans="1:6">
      <c r="A323" s="225"/>
      <c r="B323" s="226"/>
      <c r="C323" s="227" t="s">
        <v>10</v>
      </c>
      <c r="D323" s="228"/>
      <c r="E323" s="228"/>
      <c r="F323" s="228"/>
    </row>
    <row r="324" spans="1:6">
      <c r="A324" s="91"/>
      <c r="B324" s="37"/>
      <c r="C324" s="222" t="s">
        <v>3332</v>
      </c>
      <c r="D324" s="93"/>
      <c r="E324" s="44"/>
      <c r="F324" s="223">
        <f>SUM(E310:E322)</f>
        <v>594.63</v>
      </c>
    </row>
    <row r="325" spans="1:6">
      <c r="A325" s="86">
        <v>39173</v>
      </c>
      <c r="B325" s="76" t="str">
        <f>TiposLancamentos!B64</f>
        <v>Viagens</v>
      </c>
      <c r="C325" s="147" t="s">
        <v>16468</v>
      </c>
      <c r="D325" s="63"/>
      <c r="E325" s="49">
        <v>158</v>
      </c>
      <c r="F325" s="224"/>
    </row>
    <row r="326" spans="1:6">
      <c r="A326" s="86">
        <v>39173</v>
      </c>
      <c r="B326" s="76" t="str">
        <f>TiposLancamentos!B45</f>
        <v>Online Services</v>
      </c>
      <c r="C326" s="147" t="s">
        <v>15207</v>
      </c>
      <c r="D326" s="63"/>
      <c r="E326" s="49">
        <v>13.93</v>
      </c>
      <c r="F326" s="224"/>
    </row>
    <row r="327" spans="1:6">
      <c r="A327" s="86">
        <v>39174</v>
      </c>
      <c r="B327" s="76" t="str">
        <f>TiposLancamentos!B15</f>
        <v>Cartões de Crédito</v>
      </c>
      <c r="C327" s="147" t="s">
        <v>14126</v>
      </c>
      <c r="D327" s="63">
        <v>594.63</v>
      </c>
      <c r="E327" s="49"/>
      <c r="F327" s="224"/>
    </row>
    <row r="328" spans="1:6">
      <c r="A328" s="86">
        <v>39179</v>
      </c>
      <c r="B328" s="76" t="str">
        <f>TiposLancamentos!B70</f>
        <v>Vestuário</v>
      </c>
      <c r="C328" s="147" t="s">
        <v>16470</v>
      </c>
      <c r="D328" s="63"/>
      <c r="E328" s="49">
        <v>119.85</v>
      </c>
      <c r="F328" s="224"/>
    </row>
    <row r="329" spans="1:6">
      <c r="A329" s="330">
        <v>39185</v>
      </c>
      <c r="B329" s="295" t="str">
        <f>TiposLancamentos!B16</f>
        <v>Cristiane</v>
      </c>
      <c r="C329" s="291" t="s">
        <v>16442</v>
      </c>
      <c r="D329" s="292"/>
      <c r="E329" s="331">
        <v>39.840000000000003</v>
      </c>
      <c r="F329" s="224"/>
    </row>
    <row r="330" spans="1:6">
      <c r="A330" s="330">
        <v>39187</v>
      </c>
      <c r="B330" s="295" t="str">
        <f>TiposLancamentos!B16</f>
        <v>Cristiane</v>
      </c>
      <c r="C330" s="291" t="s">
        <v>15185</v>
      </c>
      <c r="D330" s="292"/>
      <c r="E330" s="331">
        <v>177.95</v>
      </c>
      <c r="F330" s="224"/>
    </row>
    <row r="331" spans="1:6">
      <c r="A331" s="225"/>
      <c r="B331" s="226"/>
      <c r="C331" s="227" t="s">
        <v>10</v>
      </c>
      <c r="D331" s="228"/>
      <c r="E331" s="228"/>
      <c r="F331" s="228"/>
    </row>
    <row r="332" spans="1:6">
      <c r="A332" s="83"/>
      <c r="B332" s="37"/>
      <c r="C332" s="222" t="s">
        <v>16471</v>
      </c>
      <c r="D332" s="93"/>
      <c r="E332" s="44"/>
      <c r="F332" s="223">
        <f>SUM(E324:E330)</f>
        <v>509.57</v>
      </c>
    </row>
    <row r="333" spans="1:6">
      <c r="A333" s="75">
        <v>39204</v>
      </c>
      <c r="B333" s="76" t="str">
        <f>TiposLancamentos!B15</f>
        <v>Cartões de Crédito</v>
      </c>
      <c r="C333" s="147" t="s">
        <v>14126</v>
      </c>
      <c r="D333" s="63">
        <v>509.57</v>
      </c>
      <c r="E333" s="49"/>
      <c r="F333" s="224"/>
    </row>
    <row r="334" spans="1:6">
      <c r="A334" s="75">
        <v>39206</v>
      </c>
      <c r="B334" s="76" t="str">
        <f>TiposLancamentos!B13</f>
        <v>Moradia</v>
      </c>
      <c r="C334" s="332" t="s">
        <v>16472</v>
      </c>
      <c r="D334" s="333"/>
      <c r="E334" s="135">
        <v>200</v>
      </c>
      <c r="F334" s="224"/>
    </row>
    <row r="335" spans="1:6">
      <c r="A335" s="307">
        <v>39208</v>
      </c>
      <c r="B335" s="295" t="str">
        <f>TiposLancamentos!B16</f>
        <v>Cristiane</v>
      </c>
      <c r="C335" s="291" t="s">
        <v>16473</v>
      </c>
      <c r="D335" s="292"/>
      <c r="E335" s="331">
        <v>139.9</v>
      </c>
      <c r="F335" s="224"/>
    </row>
    <row r="336" spans="1:6">
      <c r="A336" s="307">
        <v>39209</v>
      </c>
      <c r="B336" s="295" t="str">
        <f>TiposLancamentos!B16</f>
        <v>Cristiane</v>
      </c>
      <c r="C336" s="280" t="s">
        <v>16474</v>
      </c>
      <c r="D336" s="292"/>
      <c r="E336" s="308">
        <v>50</v>
      </c>
      <c r="F336" s="224"/>
    </row>
    <row r="337" spans="1:6">
      <c r="A337" s="225"/>
      <c r="B337" s="226"/>
      <c r="C337" s="227" t="s">
        <v>10</v>
      </c>
      <c r="D337" s="228"/>
      <c r="E337" s="228"/>
      <c r="F337" s="228"/>
    </row>
    <row r="338" spans="1:6">
      <c r="A338" s="307">
        <v>39226</v>
      </c>
      <c r="B338" s="295" t="str">
        <f>TiposLancamentos!B16</f>
        <v>Cristiane</v>
      </c>
      <c r="C338" s="291" t="s">
        <v>16475</v>
      </c>
      <c r="D338" s="292"/>
      <c r="E338" s="331">
        <v>20.350000000000001</v>
      </c>
      <c r="F338" s="224"/>
    </row>
    <row r="339" spans="1:6">
      <c r="A339" s="307">
        <v>39230</v>
      </c>
      <c r="B339" s="295" t="str">
        <f>TiposLancamentos!B16</f>
        <v>Cristiane</v>
      </c>
      <c r="C339" s="291" t="s">
        <v>16476</v>
      </c>
      <c r="D339" s="292"/>
      <c r="E339" s="331">
        <v>47.7</v>
      </c>
      <c r="F339" s="224"/>
    </row>
    <row r="340" spans="1:6">
      <c r="A340" s="91"/>
      <c r="B340" s="334"/>
      <c r="C340" s="335" t="s">
        <v>3366</v>
      </c>
      <c r="D340" s="336"/>
      <c r="E340" s="309"/>
      <c r="F340" s="223"/>
    </row>
    <row r="341" spans="1:6">
      <c r="A341" s="86">
        <v>39234</v>
      </c>
      <c r="B341" s="337" t="str">
        <f>TiposLancamentos!B15</f>
        <v>Cartões de Crédito</v>
      </c>
      <c r="C341" s="332" t="s">
        <v>16316</v>
      </c>
      <c r="D341" s="333">
        <v>389.9</v>
      </c>
      <c r="E341" s="135"/>
      <c r="F341" s="224">
        <f>SUM(E332:E336)</f>
        <v>389.9</v>
      </c>
    </row>
    <row r="342" spans="1:6">
      <c r="A342" s="86">
        <v>39237</v>
      </c>
      <c r="B342" s="337" t="str">
        <f>TiposLancamentos!B13</f>
        <v>Moradia</v>
      </c>
      <c r="C342" s="332" t="s">
        <v>16477</v>
      </c>
      <c r="D342" s="333"/>
      <c r="E342" s="135">
        <v>200</v>
      </c>
      <c r="F342" s="224"/>
    </row>
    <row r="343" spans="1:6">
      <c r="A343" s="307">
        <v>39239</v>
      </c>
      <c r="B343" s="295" t="str">
        <f>TiposLancamentos!B16</f>
        <v>Cristiane</v>
      </c>
      <c r="C343" s="291" t="s">
        <v>16432</v>
      </c>
      <c r="D343" s="292"/>
      <c r="E343" s="331">
        <v>35.74</v>
      </c>
      <c r="F343" s="224"/>
    </row>
    <row r="344" spans="1:6">
      <c r="A344" s="307">
        <v>39243</v>
      </c>
      <c r="B344" s="295" t="str">
        <f>TiposLancamentos!B16</f>
        <v>Cristiane</v>
      </c>
      <c r="C344" s="291" t="s">
        <v>16478</v>
      </c>
      <c r="D344" s="292"/>
      <c r="E344" s="331">
        <v>233.4</v>
      </c>
      <c r="F344" s="224"/>
    </row>
    <row r="345" spans="1:6">
      <c r="A345" s="225"/>
      <c r="B345" s="226"/>
      <c r="C345" s="227" t="s">
        <v>10</v>
      </c>
      <c r="D345" s="228"/>
      <c r="E345" s="228"/>
      <c r="F345" s="228"/>
    </row>
    <row r="346" spans="1:6">
      <c r="A346" s="307">
        <v>39291</v>
      </c>
      <c r="B346" s="295" t="str">
        <f>TiposLancamentos!B16</f>
        <v>Cristiane</v>
      </c>
      <c r="C346" s="291" t="s">
        <v>16474</v>
      </c>
      <c r="D346" s="292"/>
      <c r="E346" s="331">
        <v>80</v>
      </c>
      <c r="F346" s="224"/>
    </row>
    <row r="347" spans="1:6">
      <c r="A347" s="91"/>
      <c r="B347" s="334"/>
      <c r="C347" s="335" t="s">
        <v>16479</v>
      </c>
      <c r="D347" s="336"/>
      <c r="E347" s="309"/>
      <c r="F347" s="223">
        <f>SUM(E338:E344)</f>
        <v>537.19000000000005</v>
      </c>
    </row>
    <row r="348" spans="1:6">
      <c r="A348" s="86">
        <v>39265</v>
      </c>
      <c r="B348" s="337" t="str">
        <f>TiposLancamentos!B15</f>
        <v>Cartões de Crédito</v>
      </c>
      <c r="C348" s="332" t="s">
        <v>15114</v>
      </c>
      <c r="D348" s="333">
        <v>537.19000000000005</v>
      </c>
      <c r="E348" s="135"/>
      <c r="F348" s="224"/>
    </row>
    <row r="349" spans="1:6">
      <c r="A349" s="86">
        <v>39267</v>
      </c>
      <c r="B349" s="337" t="str">
        <f>TiposLancamentos!B13</f>
        <v>Moradia</v>
      </c>
      <c r="C349" s="332" t="s">
        <v>16480</v>
      </c>
      <c r="D349" s="333"/>
      <c r="E349" s="135">
        <v>200</v>
      </c>
      <c r="F349" s="224"/>
    </row>
    <row r="350" spans="1:6">
      <c r="A350" s="307">
        <v>39267</v>
      </c>
      <c r="B350" s="295" t="str">
        <f>TiposLancamentos!B16</f>
        <v>Cristiane</v>
      </c>
      <c r="C350" s="291" t="s">
        <v>5444</v>
      </c>
      <c r="D350" s="292"/>
      <c r="E350" s="331">
        <v>38.96</v>
      </c>
      <c r="F350" s="224"/>
    </row>
    <row r="351" spans="1:6">
      <c r="A351" s="338"/>
      <c r="B351" s="339"/>
      <c r="C351" s="340" t="s">
        <v>10</v>
      </c>
      <c r="D351" s="341"/>
      <c r="E351" s="341"/>
      <c r="F351" s="341"/>
    </row>
    <row r="352" spans="1:6">
      <c r="A352" s="86"/>
      <c r="B352" s="337"/>
      <c r="C352" s="332" t="s">
        <v>16481</v>
      </c>
      <c r="D352" s="333"/>
      <c r="E352" s="135"/>
      <c r="F352" s="224">
        <f>SUM(E346:E350)</f>
        <v>318.95999999999998</v>
      </c>
    </row>
    <row r="353" spans="1:6">
      <c r="A353" s="86">
        <v>39296</v>
      </c>
      <c r="B353" s="337" t="str">
        <f>TiposLancamentos!B15</f>
        <v>Cartões de Crédito</v>
      </c>
      <c r="C353" s="332" t="s">
        <v>16410</v>
      </c>
      <c r="D353" s="333">
        <v>318.95999999999998</v>
      </c>
      <c r="E353" s="135"/>
      <c r="F353" s="224"/>
    </row>
    <row r="354" spans="1:6">
      <c r="A354" s="86">
        <v>39298</v>
      </c>
      <c r="B354" s="337" t="str">
        <f>TiposLancamentos!B13</f>
        <v>Moradia</v>
      </c>
      <c r="C354" s="332" t="s">
        <v>16482</v>
      </c>
      <c r="D354" s="333"/>
      <c r="E354" s="135">
        <v>200</v>
      </c>
      <c r="F354" s="224"/>
    </row>
    <row r="355" spans="1:6">
      <c r="A355" s="307">
        <v>39304</v>
      </c>
      <c r="B355" s="295" t="str">
        <f>TiposLancamentos!B16</f>
        <v>Cristiane</v>
      </c>
      <c r="C355" s="291" t="s">
        <v>16483</v>
      </c>
      <c r="D355" s="292"/>
      <c r="E355" s="331">
        <v>83.8</v>
      </c>
      <c r="F355" s="224"/>
    </row>
    <row r="356" spans="1:6">
      <c r="A356" s="307">
        <v>39308</v>
      </c>
      <c r="B356" s="295" t="str">
        <f>TiposLancamentos!B16</f>
        <v>Cristiane</v>
      </c>
      <c r="C356" s="291" t="s">
        <v>16484</v>
      </c>
      <c r="D356" s="292"/>
      <c r="E356" s="331">
        <v>101.5</v>
      </c>
      <c r="F356" s="224"/>
    </row>
    <row r="357" spans="1:6">
      <c r="A357" s="225"/>
      <c r="B357" s="226"/>
      <c r="C357" s="227" t="s">
        <v>10</v>
      </c>
      <c r="D357" s="228"/>
      <c r="E357" s="228"/>
      <c r="F357" s="228"/>
    </row>
    <row r="358" spans="1:6">
      <c r="A358" s="307">
        <v>39319</v>
      </c>
      <c r="B358" s="295" t="str">
        <f>TiposLancamentos!B56</f>
        <v>Farmácia</v>
      </c>
      <c r="C358" s="291" t="s">
        <v>16485</v>
      </c>
      <c r="D358" s="292"/>
      <c r="E358" s="331">
        <v>77.28</v>
      </c>
      <c r="F358" s="224"/>
    </row>
    <row r="359" spans="1:6">
      <c r="A359" s="307">
        <v>39323</v>
      </c>
      <c r="B359" s="295" t="str">
        <f>TiposLancamentos!B16</f>
        <v>Cristiane</v>
      </c>
      <c r="C359" s="291" t="s">
        <v>16308</v>
      </c>
      <c r="D359" s="292"/>
      <c r="E359" s="331">
        <v>20</v>
      </c>
      <c r="F359" s="224"/>
    </row>
    <row r="360" spans="1:6">
      <c r="A360" s="307">
        <v>39325</v>
      </c>
      <c r="B360" s="295" t="str">
        <f>TiposLancamentos!B5</f>
        <v>Supermercado</v>
      </c>
      <c r="C360" s="291" t="s">
        <v>2567</v>
      </c>
      <c r="D360" s="292"/>
      <c r="E360" s="331">
        <v>155.49</v>
      </c>
      <c r="F360" s="224"/>
    </row>
    <row r="361" spans="1:6">
      <c r="A361" s="91"/>
      <c r="B361" s="334"/>
      <c r="C361" s="335" t="s">
        <v>16486</v>
      </c>
      <c r="D361" s="336"/>
      <c r="E361" s="309"/>
      <c r="F361" s="223">
        <f>SUM(E352:E356)</f>
        <v>385.3</v>
      </c>
    </row>
    <row r="362" spans="1:6">
      <c r="A362" s="307">
        <v>39327</v>
      </c>
      <c r="B362" s="295" t="str">
        <f>TiposLancamentos!B5</f>
        <v>Supermercado</v>
      </c>
      <c r="C362" s="291" t="s">
        <v>16487</v>
      </c>
      <c r="D362" s="292"/>
      <c r="E362" s="331">
        <v>42.98</v>
      </c>
      <c r="F362" s="224"/>
    </row>
    <row r="363" spans="1:6">
      <c r="A363" s="86">
        <v>39328</v>
      </c>
      <c r="B363" s="337" t="str">
        <f>TiposLancamentos!B15</f>
        <v>Cartões de Crédito</v>
      </c>
      <c r="C363" s="332" t="s">
        <v>14126</v>
      </c>
      <c r="D363" s="333">
        <v>385.3</v>
      </c>
      <c r="E363" s="135"/>
      <c r="F363" s="224"/>
    </row>
    <row r="364" spans="1:6">
      <c r="A364" s="86">
        <v>39329</v>
      </c>
      <c r="B364" s="337" t="str">
        <f>TiposLancamentos!B13</f>
        <v>Moradia</v>
      </c>
      <c r="C364" s="342" t="s">
        <v>16488</v>
      </c>
      <c r="D364" s="333"/>
      <c r="E364" s="98">
        <v>200</v>
      </c>
      <c r="F364" s="224"/>
    </row>
    <row r="365" spans="1:6">
      <c r="A365" s="307">
        <v>39330</v>
      </c>
      <c r="B365" s="295" t="str">
        <f>TiposLancamentos!B16</f>
        <v>Cristiane</v>
      </c>
      <c r="C365" s="291" t="s">
        <v>16489</v>
      </c>
      <c r="D365" s="292"/>
      <c r="E365" s="331">
        <v>40</v>
      </c>
      <c r="F365" s="224"/>
    </row>
    <row r="366" spans="1:6">
      <c r="A366" s="225"/>
      <c r="B366" s="226"/>
      <c r="C366" s="227" t="s">
        <v>10</v>
      </c>
      <c r="D366" s="228"/>
      <c r="E366" s="228"/>
      <c r="F366" s="228"/>
    </row>
    <row r="367" spans="1:6">
      <c r="A367" s="307">
        <v>39352</v>
      </c>
      <c r="B367" s="295" t="str">
        <f>TiposLancamentos!B16</f>
        <v>Cristiane</v>
      </c>
      <c r="C367" s="291" t="s">
        <v>16490</v>
      </c>
      <c r="D367" s="292"/>
      <c r="E367" s="331">
        <v>60</v>
      </c>
      <c r="F367" s="224"/>
    </row>
    <row r="368" spans="1:6">
      <c r="A368" s="91"/>
      <c r="B368" s="334"/>
      <c r="C368" s="343" t="s">
        <v>16491</v>
      </c>
      <c r="D368" s="336"/>
      <c r="E368" s="94"/>
      <c r="F368" s="223">
        <f>SUM(E358:E365)</f>
        <v>535.75</v>
      </c>
    </row>
    <row r="369" spans="1:6">
      <c r="A369" s="86">
        <v>39357</v>
      </c>
      <c r="B369" s="337" t="str">
        <f>TiposLancamentos!B15</f>
        <v>Cartões de Crédito</v>
      </c>
      <c r="C369" s="342" t="s">
        <v>16316</v>
      </c>
      <c r="D369" s="333">
        <v>535.75</v>
      </c>
      <c r="E369" s="98"/>
      <c r="F369" s="224"/>
    </row>
    <row r="370" spans="1:6">
      <c r="A370" s="86">
        <v>39359</v>
      </c>
      <c r="B370" s="337" t="str">
        <f>TiposLancamentos!B13</f>
        <v>Moradia</v>
      </c>
      <c r="C370" s="342" t="s">
        <v>16492</v>
      </c>
      <c r="D370" s="333"/>
      <c r="E370" s="98">
        <v>200</v>
      </c>
      <c r="F370" s="224"/>
    </row>
    <row r="371" spans="1:6">
      <c r="A371" s="307">
        <v>39360</v>
      </c>
      <c r="B371" s="295" t="str">
        <f>TiposLancamentos!B5</f>
        <v>Supermercado</v>
      </c>
      <c r="C371" s="291" t="s">
        <v>2567</v>
      </c>
      <c r="D371" s="292"/>
      <c r="E371" s="331">
        <v>17.309999999999999</v>
      </c>
      <c r="F371" s="224"/>
    </row>
    <row r="372" spans="1:6">
      <c r="A372" s="307">
        <v>39368</v>
      </c>
      <c r="B372" s="295" t="str">
        <f>TiposLancamentos!B5</f>
        <v>Supermercado</v>
      </c>
      <c r="C372" s="291" t="s">
        <v>5551</v>
      </c>
      <c r="D372" s="292"/>
      <c r="E372" s="331">
        <v>38.700000000000003</v>
      </c>
      <c r="F372" s="224"/>
    </row>
    <row r="373" spans="1:6">
      <c r="A373" s="307">
        <v>39373</v>
      </c>
      <c r="B373" s="295" t="str">
        <f>TiposLancamentos!B16</f>
        <v>Cristiane</v>
      </c>
      <c r="C373" s="291" t="s">
        <v>16493</v>
      </c>
      <c r="D373" s="292"/>
      <c r="E373" s="331">
        <v>94.98</v>
      </c>
      <c r="F373" s="224"/>
    </row>
    <row r="374" spans="1:6">
      <c r="A374" s="225"/>
      <c r="B374" s="226"/>
      <c r="C374" s="227" t="s">
        <v>10</v>
      </c>
      <c r="D374" s="228"/>
      <c r="E374" s="228"/>
      <c r="F374" s="228"/>
    </row>
    <row r="375" spans="1:6">
      <c r="A375" s="91"/>
      <c r="B375" s="334"/>
      <c r="C375" s="343" t="s">
        <v>16494</v>
      </c>
      <c r="D375" s="336"/>
      <c r="E375" s="94"/>
      <c r="F375" s="223">
        <f>SUM(E367:E373)</f>
        <v>410.99</v>
      </c>
    </row>
    <row r="376" spans="1:6">
      <c r="A376" s="307">
        <v>39388</v>
      </c>
      <c r="B376" s="295" t="str">
        <f>TiposLancamentos!B16</f>
        <v>Cristiane</v>
      </c>
      <c r="C376" s="291" t="s">
        <v>16495</v>
      </c>
      <c r="D376" s="292"/>
      <c r="E376" s="331">
        <v>105.54</v>
      </c>
      <c r="F376" s="224"/>
    </row>
    <row r="377" spans="1:6">
      <c r="A377" s="307">
        <v>39389</v>
      </c>
      <c r="B377" s="295" t="str">
        <f>TiposLancamentos!B60</f>
        <v>Correio</v>
      </c>
      <c r="C377" s="291" t="s">
        <v>16496</v>
      </c>
      <c r="D377" s="292"/>
      <c r="E377" s="331">
        <v>60</v>
      </c>
      <c r="F377" s="224"/>
    </row>
    <row r="378" spans="1:6">
      <c r="A378" s="307">
        <v>39389</v>
      </c>
      <c r="B378" s="295" t="str">
        <f>TiposLancamentos!B56</f>
        <v>Farmácia</v>
      </c>
      <c r="C378" s="291" t="s">
        <v>16497</v>
      </c>
      <c r="D378" s="292"/>
      <c r="E378" s="331">
        <v>41.33</v>
      </c>
      <c r="F378" s="224"/>
    </row>
    <row r="379" spans="1:6">
      <c r="A379" s="307">
        <v>39389</v>
      </c>
      <c r="B379" s="295" t="str">
        <f>TiposLancamentos!B16</f>
        <v>Cristiane</v>
      </c>
      <c r="C379" s="291" t="s">
        <v>16498</v>
      </c>
      <c r="D379" s="292"/>
      <c r="E379" s="331">
        <v>100</v>
      </c>
      <c r="F379" s="224"/>
    </row>
    <row r="380" spans="1:6">
      <c r="A380" s="86">
        <v>39390</v>
      </c>
      <c r="B380" s="337" t="str">
        <f>TiposLancamentos!B13</f>
        <v>Moradia</v>
      </c>
      <c r="C380" s="342" t="s">
        <v>16499</v>
      </c>
      <c r="D380" s="333"/>
      <c r="E380" s="98">
        <v>200</v>
      </c>
      <c r="F380" s="224"/>
    </row>
    <row r="381" spans="1:6">
      <c r="A381" s="86">
        <v>39391</v>
      </c>
      <c r="B381" s="337" t="str">
        <f>TiposLancamentos!B15</f>
        <v>Cartões de Crédito</v>
      </c>
      <c r="C381" s="342" t="s">
        <v>7254</v>
      </c>
      <c r="D381" s="333">
        <v>410.99</v>
      </c>
      <c r="E381" s="98"/>
      <c r="F381" s="224"/>
    </row>
    <row r="382" spans="1:6">
      <c r="A382" s="307">
        <v>39395</v>
      </c>
      <c r="B382" s="295" t="str">
        <f>TiposLancamentos!B16</f>
        <v>Cristiane</v>
      </c>
      <c r="C382" s="291" t="s">
        <v>16384</v>
      </c>
      <c r="D382" s="292"/>
      <c r="E382" s="331">
        <v>57.51</v>
      </c>
      <c r="F382" s="224"/>
    </row>
    <row r="383" spans="1:6">
      <c r="A383" s="225"/>
      <c r="B383" s="226"/>
      <c r="C383" s="227" t="s">
        <v>10</v>
      </c>
      <c r="D383" s="228"/>
      <c r="E383" s="228"/>
      <c r="F383" s="228"/>
    </row>
    <row r="384" spans="1:6">
      <c r="A384" s="307">
        <v>39410</v>
      </c>
      <c r="B384" s="295" t="str">
        <f>TiposLancamentos!B16</f>
        <v>Cristiane</v>
      </c>
      <c r="C384" s="291" t="s">
        <v>16500</v>
      </c>
      <c r="D384" s="292"/>
      <c r="E384" s="331">
        <v>50.64</v>
      </c>
      <c r="F384" s="224"/>
    </row>
    <row r="385" spans="1:6">
      <c r="A385" s="307">
        <v>39413</v>
      </c>
      <c r="B385" s="295" t="str">
        <f>TiposLancamentos!B16</f>
        <v>Cristiane</v>
      </c>
      <c r="C385" s="291" t="s">
        <v>16384</v>
      </c>
      <c r="D385" s="292"/>
      <c r="E385" s="331">
        <v>13</v>
      </c>
      <c r="F385" s="224"/>
    </row>
    <row r="386" spans="1:6">
      <c r="A386" s="129"/>
      <c r="B386" s="344"/>
      <c r="C386" s="345" t="s">
        <v>3409</v>
      </c>
      <c r="D386" s="346"/>
      <c r="E386" s="347"/>
      <c r="F386" s="249">
        <f>SUM(E375:E382)</f>
        <v>564.38</v>
      </c>
    </row>
    <row r="387" spans="1:6">
      <c r="A387" s="130">
        <v>39419</v>
      </c>
      <c r="B387" s="337" t="str">
        <f>TiposLancamentos!B15</f>
        <v>Cartões de Crédito</v>
      </c>
      <c r="C387" s="342" t="s">
        <v>16501</v>
      </c>
      <c r="D387" s="333">
        <v>564.38</v>
      </c>
      <c r="E387" s="98"/>
      <c r="F387" s="250"/>
    </row>
    <row r="388" spans="1:6">
      <c r="A388" s="130">
        <v>39420</v>
      </c>
      <c r="B388" s="337" t="str">
        <f>TiposLancamentos!B13</f>
        <v>Moradia</v>
      </c>
      <c r="C388" s="342" t="s">
        <v>16502</v>
      </c>
      <c r="D388" s="333"/>
      <c r="E388" s="98">
        <v>200</v>
      </c>
      <c r="F388" s="250"/>
    </row>
    <row r="389" spans="1:6">
      <c r="A389" s="278">
        <v>39424</v>
      </c>
      <c r="B389" s="295" t="str">
        <f>TiposLancamentos!B16</f>
        <v>Cristiane</v>
      </c>
      <c r="C389" s="291" t="s">
        <v>16503</v>
      </c>
      <c r="D389" s="292"/>
      <c r="E389" s="331">
        <v>81.16</v>
      </c>
      <c r="F389" s="250"/>
    </row>
    <row r="390" spans="1:6">
      <c r="A390" s="242"/>
      <c r="B390" s="226"/>
      <c r="C390" s="227" t="s">
        <v>10</v>
      </c>
      <c r="D390" s="228"/>
      <c r="E390" s="228"/>
      <c r="F390" s="251"/>
    </row>
    <row r="391" spans="1:6">
      <c r="A391" s="278">
        <v>39440</v>
      </c>
      <c r="B391" s="295" t="str">
        <f>TiposLancamentos!B16</f>
        <v>Cristiane</v>
      </c>
      <c r="C391" s="291" t="s">
        <v>16504</v>
      </c>
      <c r="D391" s="292"/>
      <c r="E391" s="331">
        <v>245</v>
      </c>
      <c r="F391" s="224"/>
    </row>
    <row r="392" spans="1:6">
      <c r="A392" s="278">
        <v>39440</v>
      </c>
      <c r="B392" s="295" t="str">
        <f>TiposLancamentos!B16</f>
        <v>Cristiane</v>
      </c>
      <c r="C392" s="291" t="s">
        <v>5944</v>
      </c>
      <c r="D392" s="292"/>
      <c r="E392" s="331">
        <v>42.25</v>
      </c>
      <c r="F392" s="224"/>
    </row>
    <row r="393" spans="1:6">
      <c r="A393" s="278">
        <v>39440</v>
      </c>
      <c r="B393" s="295" t="str">
        <f>TiposLancamentos!B16</f>
        <v>Cristiane</v>
      </c>
      <c r="C393" s="291" t="s">
        <v>2626</v>
      </c>
      <c r="D393" s="292"/>
      <c r="E393" s="331">
        <v>126.8</v>
      </c>
      <c r="F393" s="224"/>
    </row>
    <row r="394" spans="1:6">
      <c r="A394" s="278">
        <v>39443</v>
      </c>
      <c r="B394" s="295" t="str">
        <f>TiposLancamentos!B50</f>
        <v>Guitarra</v>
      </c>
      <c r="C394" s="291" t="s">
        <v>16505</v>
      </c>
      <c r="D394" s="292"/>
      <c r="E394" s="324">
        <v>63</v>
      </c>
      <c r="F394" s="224"/>
    </row>
    <row r="395" spans="1:6">
      <c r="A395" s="99"/>
      <c r="B395" s="236"/>
      <c r="C395" s="348" t="s">
        <v>16506</v>
      </c>
      <c r="D395" s="346"/>
      <c r="E395" s="347"/>
      <c r="F395" s="249">
        <f>SUM(E384:E389)</f>
        <v>344.79999999999995</v>
      </c>
    </row>
    <row r="396" spans="1:6">
      <c r="A396" s="103">
        <v>39449</v>
      </c>
      <c r="B396" s="240" t="str">
        <f>TiposLancamentos!B15</f>
        <v>Cartões de Crédito</v>
      </c>
      <c r="C396" s="349" t="s">
        <v>16507</v>
      </c>
      <c r="D396" s="333">
        <v>344.8</v>
      </c>
      <c r="E396" s="98"/>
      <c r="F396" s="250"/>
    </row>
    <row r="397" spans="1:6">
      <c r="A397" s="103">
        <v>39451</v>
      </c>
      <c r="B397" s="240" t="str">
        <f>TiposLancamentos!B13</f>
        <v>Moradia</v>
      </c>
      <c r="C397" s="349" t="s">
        <v>16508</v>
      </c>
      <c r="D397" s="333"/>
      <c r="E397" s="98">
        <v>200</v>
      </c>
      <c r="F397" s="250"/>
    </row>
    <row r="398" spans="1:6">
      <c r="A398" s="278">
        <v>39461</v>
      </c>
      <c r="B398" s="279" t="str">
        <f>TiposLancamentos!B56</f>
        <v>Farmácia</v>
      </c>
      <c r="C398" s="291" t="s">
        <v>16509</v>
      </c>
      <c r="D398" s="292"/>
      <c r="E398" s="331">
        <v>43.84</v>
      </c>
      <c r="F398" s="250"/>
    </row>
    <row r="399" spans="1:6">
      <c r="A399" s="278">
        <v>39462</v>
      </c>
      <c r="B399" s="279" t="str">
        <f>TiposLancamentos!B56</f>
        <v>Farmácia</v>
      </c>
      <c r="C399" s="291" t="s">
        <v>16510</v>
      </c>
      <c r="D399" s="292"/>
      <c r="E399" s="331">
        <v>31.98</v>
      </c>
      <c r="F399" s="250"/>
    </row>
    <row r="400" spans="1:6">
      <c r="A400" s="278">
        <v>39464</v>
      </c>
      <c r="B400" s="279" t="str">
        <f>TiposLancamentos!B16</f>
        <v>Cristiane</v>
      </c>
      <c r="C400" s="291" t="s">
        <v>16511</v>
      </c>
      <c r="D400" s="292"/>
      <c r="E400" s="324">
        <v>79.900000000000006</v>
      </c>
      <c r="F400" s="250"/>
    </row>
    <row r="401" spans="1:6">
      <c r="A401" s="278">
        <v>39465</v>
      </c>
      <c r="B401" s="279" t="str">
        <f>TiposLancamentos!B16</f>
        <v>Cristiane</v>
      </c>
      <c r="C401" s="291" t="s">
        <v>16511</v>
      </c>
      <c r="D401" s="292"/>
      <c r="E401" s="324">
        <v>128.01</v>
      </c>
      <c r="F401" s="250"/>
    </row>
    <row r="402" spans="1:6">
      <c r="A402" s="278">
        <v>39465</v>
      </c>
      <c r="B402" s="279" t="str">
        <f>TiposLancamentos!B16</f>
        <v>Cristiane</v>
      </c>
      <c r="C402" s="291" t="s">
        <v>16511</v>
      </c>
      <c r="D402" s="292"/>
      <c r="E402" s="324">
        <v>102.4</v>
      </c>
      <c r="F402" s="250"/>
    </row>
    <row r="403" spans="1:6">
      <c r="A403" s="103">
        <v>39468</v>
      </c>
      <c r="B403" s="240" t="str">
        <f>TiposLancamentos!B102</f>
        <v>ESTORNO</v>
      </c>
      <c r="C403" s="349" t="s">
        <v>16512</v>
      </c>
      <c r="D403" s="333">
        <v>1.79</v>
      </c>
      <c r="E403" s="98"/>
      <c r="F403" s="250"/>
    </row>
    <row r="404" spans="1:6">
      <c r="A404" s="242"/>
      <c r="B404" s="243"/>
      <c r="C404" s="227" t="s">
        <v>10</v>
      </c>
      <c r="D404" s="228"/>
      <c r="E404" s="228"/>
      <c r="F404" s="251"/>
    </row>
    <row r="405" spans="1:6">
      <c r="A405" s="278">
        <v>39471</v>
      </c>
      <c r="B405" s="295" t="str">
        <f>TiposLancamentos!B16</f>
        <v>Cristiane</v>
      </c>
      <c r="C405" s="291" t="s">
        <v>16513</v>
      </c>
      <c r="D405" s="292"/>
      <c r="E405" s="331">
        <v>159.19999999999999</v>
      </c>
      <c r="F405" s="250"/>
    </row>
    <row r="406" spans="1:6">
      <c r="A406" s="129"/>
      <c r="B406" s="344"/>
      <c r="C406" s="345" t="s">
        <v>3431</v>
      </c>
      <c r="D406" s="346"/>
      <c r="E406" s="347"/>
      <c r="F406" s="249">
        <f>SUM(E391:E403)</f>
        <v>1063.18</v>
      </c>
    </row>
    <row r="407" spans="1:6">
      <c r="A407" s="130">
        <v>39482</v>
      </c>
      <c r="B407" s="337" t="str">
        <f>TiposLancamentos!B15</f>
        <v>Cartões de Crédito</v>
      </c>
      <c r="C407" s="342" t="s">
        <v>5115</v>
      </c>
      <c r="D407" s="333">
        <v>1061.3900000000001</v>
      </c>
      <c r="E407" s="98"/>
      <c r="F407" s="250"/>
    </row>
    <row r="408" spans="1:6">
      <c r="A408" s="130">
        <v>39482</v>
      </c>
      <c r="B408" s="337" t="str">
        <f>TiposLancamentos!B13</f>
        <v>Moradia</v>
      </c>
      <c r="C408" s="350" t="s">
        <v>16514</v>
      </c>
      <c r="D408" s="333"/>
      <c r="E408" s="98">
        <v>200</v>
      </c>
      <c r="F408" s="250"/>
    </row>
    <row r="409" spans="1:6">
      <c r="A409" s="242"/>
      <c r="B409" s="226"/>
      <c r="C409" s="227" t="s">
        <v>10</v>
      </c>
      <c r="D409" s="228"/>
      <c r="E409" s="228"/>
      <c r="F409" s="251"/>
    </row>
    <row r="410" spans="1:6">
      <c r="A410" s="351">
        <v>39501</v>
      </c>
      <c r="B410" s="352" t="str">
        <f>TiposLancamentos!B16</f>
        <v>Cristiane</v>
      </c>
      <c r="C410" s="353" t="s">
        <v>16515</v>
      </c>
      <c r="D410" s="354"/>
      <c r="E410" s="355">
        <v>109.9</v>
      </c>
      <c r="F410" s="254"/>
    </row>
    <row r="411" spans="1:6">
      <c r="A411" s="129"/>
      <c r="B411" s="344"/>
      <c r="C411" s="237" t="s">
        <v>3457</v>
      </c>
      <c r="D411" s="101"/>
      <c r="E411" s="248"/>
      <c r="F411" s="249">
        <f>SUM(E405:E408)</f>
        <v>359.2</v>
      </c>
    </row>
    <row r="412" spans="1:6">
      <c r="A412" s="130">
        <v>39510</v>
      </c>
      <c r="B412" s="337" t="str">
        <f>TiposLancamentos!B15</f>
        <v>Cartões de Crédito</v>
      </c>
      <c r="C412" s="147" t="s">
        <v>7254</v>
      </c>
      <c r="D412" s="63">
        <v>359.2</v>
      </c>
      <c r="E412" s="49"/>
      <c r="F412" s="250"/>
    </row>
    <row r="413" spans="1:6">
      <c r="A413" s="278">
        <v>39525</v>
      </c>
      <c r="B413" s="279" t="str">
        <f>TiposLancamentos!B16</f>
        <v>Cristiane</v>
      </c>
      <c r="C413" s="291" t="s">
        <v>16450</v>
      </c>
      <c r="D413" s="292"/>
      <c r="E413" s="331">
        <v>64.900000000000006</v>
      </c>
      <c r="F413" s="250"/>
    </row>
    <row r="414" spans="1:6">
      <c r="A414" s="242"/>
      <c r="B414" s="226"/>
      <c r="C414" s="227" t="s">
        <v>10</v>
      </c>
      <c r="D414" s="228"/>
      <c r="E414" s="228"/>
      <c r="F414" s="251"/>
    </row>
    <row r="415" spans="1:6">
      <c r="A415" s="278">
        <v>39536</v>
      </c>
      <c r="B415" s="279" t="str">
        <f>TiposLancamentos!B16</f>
        <v>Cristiane</v>
      </c>
      <c r="C415" s="291" t="s">
        <v>16516</v>
      </c>
      <c r="D415" s="292"/>
      <c r="E415" s="331">
        <v>145</v>
      </c>
      <c r="F415" s="250"/>
    </row>
    <row r="416" spans="1:6">
      <c r="A416" s="278">
        <v>39536</v>
      </c>
      <c r="B416" s="279" t="str">
        <f>TiposLancamentos!B16</f>
        <v>Cristiane</v>
      </c>
      <c r="C416" s="291" t="s">
        <v>16517</v>
      </c>
      <c r="D416" s="292"/>
      <c r="E416" s="331">
        <v>69.900000000000006</v>
      </c>
      <c r="F416" s="250"/>
    </row>
    <row r="417" spans="1:6">
      <c r="A417" s="351">
        <v>39538</v>
      </c>
      <c r="B417" s="352" t="str">
        <f>TiposLancamentos!B56</f>
        <v>Farmácia</v>
      </c>
      <c r="C417" s="353" t="s">
        <v>6052</v>
      </c>
      <c r="D417" s="354"/>
      <c r="E417" s="355">
        <v>43.14</v>
      </c>
      <c r="F417" s="254"/>
    </row>
    <row r="418" spans="1:6">
      <c r="A418" s="129"/>
      <c r="B418" s="344"/>
      <c r="C418" s="237" t="s">
        <v>3488</v>
      </c>
      <c r="D418" s="101"/>
      <c r="E418" s="248"/>
      <c r="F418" s="249">
        <f>SUM(E410:E413)</f>
        <v>174.8</v>
      </c>
    </row>
    <row r="419" spans="1:6">
      <c r="A419" s="278">
        <v>39539</v>
      </c>
      <c r="B419" s="279" t="str">
        <f>TiposLancamentos!B15</f>
        <v>Cartões de Crédito</v>
      </c>
      <c r="C419" s="291" t="s">
        <v>5115</v>
      </c>
      <c r="D419" s="292">
        <v>174.8</v>
      </c>
      <c r="E419" s="331"/>
      <c r="F419" s="250"/>
    </row>
    <row r="420" spans="1:6">
      <c r="A420" s="278">
        <v>39543</v>
      </c>
      <c r="B420" s="279" t="str">
        <f>TiposLancamentos!B16</f>
        <v>Cristiane</v>
      </c>
      <c r="C420" s="291" t="s">
        <v>16518</v>
      </c>
      <c r="D420" s="292"/>
      <c r="E420" s="331">
        <v>149.99</v>
      </c>
      <c r="F420" s="250"/>
    </row>
    <row r="421" spans="1:6">
      <c r="A421" s="242"/>
      <c r="B421" s="226"/>
      <c r="C421" s="227" t="s">
        <v>10</v>
      </c>
      <c r="D421" s="228"/>
      <c r="E421" s="228"/>
      <c r="F421" s="251"/>
    </row>
    <row r="422" spans="1:6">
      <c r="A422" s="278">
        <v>39562</v>
      </c>
      <c r="B422" s="279" t="str">
        <f>TiposLancamentos!B16</f>
        <v>Cristiane</v>
      </c>
      <c r="C422" s="291" t="s">
        <v>16450</v>
      </c>
      <c r="D422" s="292"/>
      <c r="E422" s="331">
        <v>31.79</v>
      </c>
      <c r="F422" s="251"/>
    </row>
    <row r="423" spans="1:6">
      <c r="A423" s="278">
        <v>39568</v>
      </c>
      <c r="B423" s="279" t="str">
        <f>TiposLancamentos!B16</f>
        <v>Cristiane</v>
      </c>
      <c r="C423" s="291" t="s">
        <v>16450</v>
      </c>
      <c r="D423" s="292"/>
      <c r="E423" s="331">
        <v>157.19999999999999</v>
      </c>
      <c r="F423" s="251"/>
    </row>
    <row r="424" spans="1:6">
      <c r="A424" s="99"/>
      <c r="B424" s="236"/>
      <c r="C424" s="237" t="s">
        <v>3517</v>
      </c>
      <c r="D424" s="101"/>
      <c r="E424" s="248"/>
      <c r="F424" s="249">
        <f>SUM(E415:E420)</f>
        <v>408.03000000000003</v>
      </c>
    </row>
    <row r="425" spans="1:6">
      <c r="A425" s="103">
        <v>39570</v>
      </c>
      <c r="B425" s="240" t="str">
        <f>TiposLancamentos!B15</f>
        <v>Cartões de Crédito</v>
      </c>
      <c r="C425" s="147" t="s">
        <v>5115</v>
      </c>
      <c r="D425" s="63">
        <v>408.03</v>
      </c>
      <c r="E425" s="49"/>
      <c r="F425" s="250"/>
    </row>
    <row r="426" spans="1:6">
      <c r="A426" s="278">
        <v>39574</v>
      </c>
      <c r="B426" s="279" t="str">
        <f>TiposLancamentos!B13</f>
        <v>Moradia</v>
      </c>
      <c r="C426" s="291" t="s">
        <v>16519</v>
      </c>
      <c r="D426" s="292"/>
      <c r="E426" s="331">
        <v>93.57</v>
      </c>
      <c r="F426" s="250"/>
    </row>
    <row r="427" spans="1:6">
      <c r="A427" s="278">
        <v>39575</v>
      </c>
      <c r="B427" s="279" t="str">
        <f>TiposLancamentos!B16</f>
        <v>Cristiane</v>
      </c>
      <c r="C427" s="291" t="s">
        <v>16520</v>
      </c>
      <c r="D427" s="292"/>
      <c r="E427" s="331">
        <v>277.7</v>
      </c>
      <c r="F427" s="250"/>
    </row>
    <row r="428" spans="1:6">
      <c r="A428" s="278">
        <v>39578</v>
      </c>
      <c r="B428" s="279" t="str">
        <f>TiposLancamentos!B16</f>
        <v>Cristiane</v>
      </c>
      <c r="C428" s="291" t="s">
        <v>16521</v>
      </c>
      <c r="D428" s="292"/>
      <c r="E428" s="331">
        <v>111</v>
      </c>
      <c r="F428" s="250"/>
    </row>
    <row r="429" spans="1:6">
      <c r="A429" s="242"/>
      <c r="B429" s="243"/>
      <c r="C429" s="227" t="s">
        <v>10</v>
      </c>
      <c r="D429" s="228"/>
      <c r="E429" s="228"/>
      <c r="F429" s="251"/>
    </row>
    <row r="430" spans="1:6">
      <c r="A430" s="278">
        <v>39596</v>
      </c>
      <c r="B430" s="279" t="str">
        <f>TiposLancamentos!B18</f>
        <v>Alimentacao</v>
      </c>
      <c r="C430" s="291" t="s">
        <v>16522</v>
      </c>
      <c r="D430" s="292"/>
      <c r="E430" s="331">
        <v>32.9</v>
      </c>
      <c r="F430" s="250"/>
    </row>
    <row r="431" spans="1:6">
      <c r="A431" s="278">
        <v>39597</v>
      </c>
      <c r="B431" s="279" t="str">
        <f>TiposLancamentos!B16</f>
        <v>Cristiane</v>
      </c>
      <c r="C431" s="291" t="s">
        <v>16518</v>
      </c>
      <c r="D431" s="292"/>
      <c r="E431" s="331">
        <v>130.9</v>
      </c>
      <c r="F431" s="250"/>
    </row>
    <row r="432" spans="1:6">
      <c r="A432" s="129"/>
      <c r="B432" s="344"/>
      <c r="C432" s="237" t="s">
        <v>3539</v>
      </c>
      <c r="D432" s="101"/>
      <c r="E432" s="248"/>
      <c r="F432" s="249">
        <f>SUM(E422:E428)</f>
        <v>671.26</v>
      </c>
    </row>
    <row r="433" spans="1:6">
      <c r="A433" s="130">
        <v>39601</v>
      </c>
      <c r="B433" s="337" t="str">
        <f>TiposLancamentos!B15</f>
        <v>Cartões de Crédito</v>
      </c>
      <c r="C433" s="147" t="s">
        <v>16523</v>
      </c>
      <c r="D433" s="63">
        <v>671.26</v>
      </c>
      <c r="E433" s="49"/>
      <c r="F433" s="250"/>
    </row>
    <row r="434" spans="1:6">
      <c r="A434" s="242"/>
      <c r="B434" s="243"/>
      <c r="C434" s="227" t="s">
        <v>10</v>
      </c>
      <c r="D434" s="228"/>
      <c r="E434" s="228"/>
      <c r="F434" s="251"/>
    </row>
    <row r="435" spans="1:6">
      <c r="A435" s="278">
        <v>39624</v>
      </c>
      <c r="B435" s="279" t="str">
        <f>TiposLancamentos!B16</f>
        <v>Cristiane</v>
      </c>
      <c r="C435" s="291" t="s">
        <v>16489</v>
      </c>
      <c r="D435" s="292"/>
      <c r="E435" s="331">
        <v>80</v>
      </c>
      <c r="F435" s="250"/>
    </row>
    <row r="436" spans="1:6">
      <c r="A436" s="130"/>
      <c r="B436" s="337"/>
      <c r="C436" s="147"/>
      <c r="D436" s="63"/>
      <c r="E436" s="49"/>
      <c r="F436" s="250"/>
    </row>
    <row r="437" spans="1:6">
      <c r="A437" s="129"/>
      <c r="B437" s="344"/>
      <c r="C437" s="237" t="s">
        <v>5600</v>
      </c>
      <c r="D437" s="101"/>
      <c r="E437" s="248"/>
      <c r="F437" s="249">
        <f>SUM(E430:E433)</f>
        <v>163.80000000000001</v>
      </c>
    </row>
    <row r="438" spans="1:6">
      <c r="A438" s="130">
        <v>39630</v>
      </c>
      <c r="B438" s="337" t="str">
        <f>TiposLancamentos!B15</f>
        <v>Cartões de Crédito</v>
      </c>
      <c r="C438" s="147" t="s">
        <v>16523</v>
      </c>
      <c r="D438" s="63">
        <v>163.80000000000001</v>
      </c>
      <c r="E438" s="49"/>
      <c r="F438" s="250"/>
    </row>
    <row r="439" spans="1:6">
      <c r="A439" s="278">
        <v>39631</v>
      </c>
      <c r="B439" s="279" t="str">
        <f>TiposLancamentos!B16</f>
        <v>Cristiane</v>
      </c>
      <c r="C439" s="291" t="s">
        <v>16524</v>
      </c>
      <c r="D439" s="292"/>
      <c r="E439" s="331">
        <v>146.9</v>
      </c>
      <c r="F439" s="250"/>
    </row>
    <row r="440" spans="1:6">
      <c r="A440" s="278">
        <v>39634</v>
      </c>
      <c r="B440" s="279" t="str">
        <f>TiposLancamentos!B16</f>
        <v>Cristiane</v>
      </c>
      <c r="C440" s="291" t="s">
        <v>16525</v>
      </c>
      <c r="D440" s="292"/>
      <c r="E440" s="331">
        <v>119</v>
      </c>
      <c r="F440" s="250"/>
    </row>
    <row r="441" spans="1:6">
      <c r="A441" s="278">
        <v>39634</v>
      </c>
      <c r="B441" s="279" t="str">
        <f>TiposLancamentos!B16</f>
        <v>Cristiane</v>
      </c>
      <c r="C441" s="291" t="s">
        <v>16526</v>
      </c>
      <c r="D441" s="292"/>
      <c r="E441" s="331">
        <v>290</v>
      </c>
      <c r="F441" s="250"/>
    </row>
    <row r="442" spans="1:6">
      <c r="A442" s="242"/>
      <c r="B442" s="243"/>
      <c r="C442" s="227" t="s">
        <v>10</v>
      </c>
      <c r="D442" s="228"/>
      <c r="E442" s="228"/>
      <c r="F442" s="251"/>
    </row>
    <row r="443" spans="1:6">
      <c r="A443" s="278">
        <v>39654</v>
      </c>
      <c r="B443" s="279" t="str">
        <f>TiposLancamentos!B16</f>
        <v>Cristiane</v>
      </c>
      <c r="C443" s="291" t="s">
        <v>16527</v>
      </c>
      <c r="D443" s="292"/>
      <c r="E443" s="331">
        <v>292.7</v>
      </c>
      <c r="F443" s="250"/>
    </row>
    <row r="444" spans="1:6">
      <c r="A444" s="278">
        <v>39656</v>
      </c>
      <c r="B444" s="279" t="str">
        <f>TiposLancamentos!B16</f>
        <v>Cristiane</v>
      </c>
      <c r="C444" s="291" t="s">
        <v>16528</v>
      </c>
      <c r="D444" s="292"/>
      <c r="E444" s="331">
        <v>320</v>
      </c>
      <c r="F444" s="250"/>
    </row>
    <row r="445" spans="1:6">
      <c r="A445" s="99"/>
      <c r="B445" s="356"/>
      <c r="C445" s="357" t="s">
        <v>5602</v>
      </c>
      <c r="D445" s="358"/>
      <c r="E445" s="248"/>
      <c r="F445" s="249">
        <f>SUM(E435:E441)</f>
        <v>635.9</v>
      </c>
    </row>
    <row r="446" spans="1:6">
      <c r="A446" s="103">
        <v>39661</v>
      </c>
      <c r="B446" s="359" t="str">
        <f>TiposLancamentos!B15</f>
        <v>Cartões de Crédito</v>
      </c>
      <c r="C446" s="360" t="s">
        <v>16529</v>
      </c>
      <c r="D446" s="48">
        <v>635.9</v>
      </c>
      <c r="E446" s="49"/>
      <c r="F446" s="250"/>
    </row>
    <row r="447" spans="1:6">
      <c r="A447" s="278">
        <v>39665</v>
      </c>
      <c r="B447" s="361" t="str">
        <f>TiposLancamentos!B16</f>
        <v>Cristiane</v>
      </c>
      <c r="C447" s="362" t="s">
        <v>16530</v>
      </c>
      <c r="D447" s="363"/>
      <c r="E447" s="331">
        <v>290</v>
      </c>
      <c r="F447" s="250"/>
    </row>
    <row r="448" spans="1:6">
      <c r="A448" s="278">
        <v>39668</v>
      </c>
      <c r="B448" s="361" t="str">
        <f>TiposLancamentos!B19</f>
        <v>Restaurantes</v>
      </c>
      <c r="C448" s="362" t="s">
        <v>16531</v>
      </c>
      <c r="D448" s="363"/>
      <c r="E448" s="331">
        <v>63.8</v>
      </c>
      <c r="F448" s="250"/>
    </row>
    <row r="449" spans="1:6">
      <c r="A449" s="278">
        <v>39668</v>
      </c>
      <c r="B449" s="361" t="str">
        <f>TiposLancamentos!B19</f>
        <v>Restaurantes</v>
      </c>
      <c r="C449" s="362" t="s">
        <v>16532</v>
      </c>
      <c r="D449" s="363"/>
      <c r="E449" s="331">
        <v>133.75</v>
      </c>
      <c r="F449" s="250"/>
    </row>
    <row r="450" spans="1:6">
      <c r="A450" s="278">
        <v>39669</v>
      </c>
      <c r="B450" s="361" t="str">
        <f>TiposLancamentos!B16</f>
        <v>Cristiane</v>
      </c>
      <c r="C450" s="362" t="s">
        <v>16533</v>
      </c>
      <c r="D450" s="363"/>
      <c r="E450" s="331">
        <v>122.47</v>
      </c>
      <c r="F450" s="250"/>
    </row>
    <row r="451" spans="1:6">
      <c r="A451" s="278">
        <v>39668</v>
      </c>
      <c r="B451" s="361" t="str">
        <f>TiposLancamentos!B16</f>
        <v>Cristiane</v>
      </c>
      <c r="C451" s="362" t="s">
        <v>16534</v>
      </c>
      <c r="D451" s="363"/>
      <c r="E451" s="331">
        <v>112.5</v>
      </c>
      <c r="F451" s="250"/>
    </row>
    <row r="452" spans="1:6">
      <c r="A452" s="278">
        <v>39680</v>
      </c>
      <c r="B452" s="361" t="str">
        <f>TiposLancamentos!B16</f>
        <v>Cristiane</v>
      </c>
      <c r="C452" s="362" t="s">
        <v>16535</v>
      </c>
      <c r="D452" s="363"/>
      <c r="E452" s="331">
        <v>102.4</v>
      </c>
      <c r="F452" s="250"/>
    </row>
    <row r="453" spans="1:6">
      <c r="A453" s="278">
        <v>39683</v>
      </c>
      <c r="B453" s="361" t="str">
        <f>TiposLancamentos!B16</f>
        <v>Cristiane</v>
      </c>
      <c r="C453" s="362" t="s">
        <v>16536</v>
      </c>
      <c r="D453" s="363"/>
      <c r="E453" s="331">
        <v>69.900000000000006</v>
      </c>
      <c r="F453" s="250"/>
    </row>
    <row r="454" spans="1:6">
      <c r="A454" s="278">
        <v>39690</v>
      </c>
      <c r="B454" s="361" t="str">
        <f>TiposLancamentos!B16</f>
        <v>Cristiane</v>
      </c>
      <c r="C454" s="362" t="s">
        <v>16537</v>
      </c>
      <c r="D454" s="363"/>
      <c r="E454" s="331">
        <v>71.650000000000006</v>
      </c>
      <c r="F454" s="250"/>
    </row>
    <row r="455" spans="1:6">
      <c r="A455" s="242"/>
      <c r="B455" s="364"/>
      <c r="C455" s="365" t="s">
        <v>10</v>
      </c>
      <c r="D455" s="366"/>
      <c r="E455" s="228"/>
      <c r="F455" s="251"/>
    </row>
    <row r="456" spans="1:6">
      <c r="A456" s="351">
        <v>39690</v>
      </c>
      <c r="B456" s="351" t="str">
        <f>TiposLancamentos!B16</f>
        <v>Cristiane</v>
      </c>
      <c r="C456" s="367" t="s">
        <v>16537</v>
      </c>
      <c r="D456" s="368"/>
      <c r="E456" s="355">
        <v>71.650000000000006</v>
      </c>
      <c r="F456" s="254"/>
    </row>
    <row r="457" spans="1:6">
      <c r="A457" s="129"/>
      <c r="B457" s="344"/>
      <c r="C457" s="237" t="s">
        <v>16538</v>
      </c>
      <c r="D457" s="101"/>
      <c r="E457" s="238"/>
      <c r="F457" s="239">
        <f>SUM(E443:E453)</f>
        <v>1507.5200000000002</v>
      </c>
    </row>
    <row r="458" spans="1:6">
      <c r="A458" s="130">
        <v>39692</v>
      </c>
      <c r="B458" s="337" t="str">
        <f>TiposLancamentos!B15</f>
        <v>Cartões de Crédito</v>
      </c>
      <c r="C458" s="147" t="s">
        <v>7254</v>
      </c>
      <c r="D458" s="63">
        <v>1507.52</v>
      </c>
      <c r="E458" s="231"/>
      <c r="F458" s="241"/>
    </row>
    <row r="459" spans="1:6">
      <c r="A459" s="278">
        <v>39706</v>
      </c>
      <c r="B459" s="279" t="str">
        <f>TiposLancamentos!B65</f>
        <v>Taxi</v>
      </c>
      <c r="C459" s="291" t="s">
        <v>16539</v>
      </c>
      <c r="D459" s="292"/>
      <c r="E459" s="331">
        <v>15</v>
      </c>
      <c r="F459" s="250"/>
    </row>
    <row r="460" spans="1:6">
      <c r="A460" s="278">
        <v>39708</v>
      </c>
      <c r="B460" s="279" t="str">
        <f>TiposLancamentos!B16</f>
        <v>Cristiane</v>
      </c>
      <c r="C460" s="291" t="s">
        <v>16540</v>
      </c>
      <c r="D460" s="292"/>
      <c r="E460" s="331">
        <v>248.9</v>
      </c>
      <c r="F460" s="250"/>
    </row>
    <row r="461" spans="1:6">
      <c r="A461" s="242"/>
      <c r="B461" s="243"/>
      <c r="C461" s="227" t="s">
        <v>10</v>
      </c>
      <c r="D461" s="228"/>
      <c r="E461" s="228"/>
      <c r="F461" s="251"/>
    </row>
    <row r="462" spans="1:6">
      <c r="A462" s="278">
        <v>39716</v>
      </c>
      <c r="B462" s="361" t="str">
        <f>TiposLancamentos!B16</f>
        <v>Cristiane</v>
      </c>
      <c r="C462" s="362" t="s">
        <v>16541</v>
      </c>
      <c r="D462" s="363"/>
      <c r="E462" s="331">
        <v>158</v>
      </c>
      <c r="F462" s="241"/>
    </row>
    <row r="463" spans="1:6">
      <c r="A463" s="351">
        <v>39717</v>
      </c>
      <c r="B463" s="369" t="str">
        <f>TiposLancamentos!B19</f>
        <v>Restaurantes</v>
      </c>
      <c r="C463" s="367" t="s">
        <v>16542</v>
      </c>
      <c r="D463" s="370"/>
      <c r="E463" s="355">
        <v>46</v>
      </c>
      <c r="F463" s="246"/>
    </row>
    <row r="464" spans="1:6">
      <c r="A464" s="129"/>
      <c r="B464" s="344"/>
      <c r="C464" s="237" t="s">
        <v>3611</v>
      </c>
      <c r="D464" s="101"/>
      <c r="E464" s="238"/>
      <c r="F464" s="239">
        <f>SUM(E456:E460)</f>
        <v>335.55</v>
      </c>
    </row>
    <row r="465" spans="1:6">
      <c r="A465" s="130">
        <v>39722</v>
      </c>
      <c r="B465" s="337" t="str">
        <f>TiposLancamentos!B15</f>
        <v>Cartões de Crédito</v>
      </c>
      <c r="C465" s="147" t="s">
        <v>7254</v>
      </c>
      <c r="D465" s="63">
        <v>355.55</v>
      </c>
      <c r="E465" s="231"/>
      <c r="F465" s="241"/>
    </row>
    <row r="466" spans="1:6">
      <c r="A466" s="278">
        <v>39739</v>
      </c>
      <c r="B466" s="361" t="str">
        <f>TiposLancamentos!B16</f>
        <v>Cristiane</v>
      </c>
      <c r="C466" s="362" t="s">
        <v>16543</v>
      </c>
      <c r="D466" s="363"/>
      <c r="E466" s="331">
        <v>60.6</v>
      </c>
      <c r="F466" s="241"/>
    </row>
    <row r="467" spans="1:6">
      <c r="A467" s="242"/>
      <c r="B467" s="243"/>
      <c r="C467" s="227" t="s">
        <v>10</v>
      </c>
      <c r="D467" s="228"/>
      <c r="E467" s="228"/>
      <c r="F467" s="251"/>
    </row>
    <row r="468" spans="1:6">
      <c r="A468" s="129"/>
      <c r="B468" s="344"/>
      <c r="C468" s="237" t="s">
        <v>3648</v>
      </c>
      <c r="D468" s="101"/>
      <c r="E468" s="238"/>
      <c r="F468" s="239">
        <f>SUM(E462:E466)</f>
        <v>264.60000000000002</v>
      </c>
    </row>
    <row r="469" spans="1:6">
      <c r="A469" s="278">
        <v>39756</v>
      </c>
      <c r="B469" s="279" t="str">
        <f>TiposLancamentos!B16</f>
        <v>Cristiane</v>
      </c>
      <c r="C469" s="291" t="s">
        <v>13325</v>
      </c>
      <c r="D469" s="292"/>
      <c r="E469" s="331">
        <v>208.62</v>
      </c>
      <c r="F469" s="241"/>
    </row>
    <row r="470" spans="1:6">
      <c r="A470" s="278">
        <v>39757</v>
      </c>
      <c r="B470" s="279" t="str">
        <f>TiposLancamentos!B16</f>
        <v>Cristiane</v>
      </c>
      <c r="C470" s="291" t="s">
        <v>16544</v>
      </c>
      <c r="D470" s="292">
        <v>264.60000000000002</v>
      </c>
      <c r="E470" s="331"/>
      <c r="F470" s="241"/>
    </row>
    <row r="471" spans="1:6">
      <c r="A471" s="278">
        <v>39762</v>
      </c>
      <c r="B471" s="279" t="str">
        <f>TiposLancamentos!B16</f>
        <v>Cristiane</v>
      </c>
      <c r="C471" s="291" t="s">
        <v>16545</v>
      </c>
      <c r="D471" s="292"/>
      <c r="E471" s="331">
        <v>149</v>
      </c>
      <c r="F471" s="241"/>
    </row>
    <row r="472" spans="1:6">
      <c r="A472" s="278">
        <v>39765</v>
      </c>
      <c r="B472" s="279" t="str">
        <f>TiposLancamentos!B5</f>
        <v>Supermercado</v>
      </c>
      <c r="C472" s="291" t="s">
        <v>16546</v>
      </c>
      <c r="D472" s="292"/>
      <c r="E472" s="331">
        <v>57.73</v>
      </c>
      <c r="F472" s="241"/>
    </row>
    <row r="473" spans="1:6">
      <c r="A473" s="278">
        <v>39766</v>
      </c>
      <c r="B473" s="279" t="str">
        <f>TiposLancamentos!B16</f>
        <v>Cristiane</v>
      </c>
      <c r="C473" s="291" t="s">
        <v>16547</v>
      </c>
      <c r="D473" s="292"/>
      <c r="E473" s="331">
        <v>32.450000000000003</v>
      </c>
      <c r="F473" s="241"/>
    </row>
    <row r="474" spans="1:6">
      <c r="A474" s="278">
        <v>39773</v>
      </c>
      <c r="B474" s="279" t="str">
        <f>TiposLancamentos!B5</f>
        <v>Supermercado</v>
      </c>
      <c r="C474" s="291" t="s">
        <v>16548</v>
      </c>
      <c r="D474" s="292"/>
      <c r="E474" s="331">
        <v>60.05</v>
      </c>
      <c r="F474" s="241"/>
    </row>
    <row r="475" spans="1:6">
      <c r="A475" s="242"/>
      <c r="B475" s="243"/>
      <c r="C475" s="227" t="s">
        <v>10</v>
      </c>
      <c r="D475" s="228"/>
      <c r="E475" s="228"/>
      <c r="F475" s="251"/>
    </row>
    <row r="476" spans="1:6">
      <c r="A476" s="278">
        <v>39778</v>
      </c>
      <c r="B476" s="279" t="str">
        <f>TiposLancamentos!B4</f>
        <v>Taxas Bancarias</v>
      </c>
      <c r="C476" s="291" t="s">
        <v>16549</v>
      </c>
      <c r="D476" s="292"/>
      <c r="E476" s="331">
        <v>5</v>
      </c>
      <c r="F476" s="241"/>
    </row>
    <row r="477" spans="1:6">
      <c r="A477" s="351">
        <v>39780</v>
      </c>
      <c r="B477" s="352" t="str">
        <f>TiposLancamentos!B16</f>
        <v>Cristiane</v>
      </c>
      <c r="C477" s="353" t="s">
        <v>16550</v>
      </c>
      <c r="D477" s="354"/>
      <c r="E477" s="355">
        <v>39.340000000000003</v>
      </c>
      <c r="F477" s="246"/>
    </row>
    <row r="478" spans="1:6">
      <c r="A478" s="129"/>
      <c r="B478" s="344"/>
      <c r="C478" s="237" t="s">
        <v>3675</v>
      </c>
      <c r="D478" s="101"/>
      <c r="E478" s="238"/>
      <c r="F478" s="239">
        <f>SUM(E468:E474)</f>
        <v>507.85</v>
      </c>
    </row>
    <row r="479" spans="1:6">
      <c r="A479" s="130">
        <v>39783</v>
      </c>
      <c r="B479" s="337" t="str">
        <f>TiposLancamentos!B15</f>
        <v>Cartões de Crédito</v>
      </c>
      <c r="C479" s="147" t="s">
        <v>16551</v>
      </c>
      <c r="D479" s="63">
        <v>487.85</v>
      </c>
      <c r="E479" s="231"/>
      <c r="F479" s="241"/>
    </row>
    <row r="480" spans="1:6">
      <c r="A480" s="278">
        <v>39783</v>
      </c>
      <c r="B480" s="279" t="str">
        <f>TiposLancamentos!B16</f>
        <v>Cristiane</v>
      </c>
      <c r="C480" s="291" t="s">
        <v>16552</v>
      </c>
      <c r="D480" s="292"/>
      <c r="E480" s="331">
        <v>169.8</v>
      </c>
      <c r="F480" s="241"/>
    </row>
    <row r="481" spans="1:6">
      <c r="A481" s="278">
        <v>39787</v>
      </c>
      <c r="B481" s="279" t="str">
        <f>TiposLancamentos!B16</f>
        <v>Cristiane</v>
      </c>
      <c r="C481" s="291" t="s">
        <v>13332</v>
      </c>
      <c r="D481" s="292"/>
      <c r="E481" s="331">
        <v>208.62</v>
      </c>
      <c r="F481" s="241"/>
    </row>
    <row r="482" spans="1:6">
      <c r="A482" s="278">
        <v>39798</v>
      </c>
      <c r="B482" s="279" t="str">
        <f>TiposLancamentos!B5</f>
        <v>Supermercado</v>
      </c>
      <c r="C482" s="291" t="s">
        <v>16548</v>
      </c>
      <c r="D482" s="292"/>
      <c r="E482" s="331">
        <v>62.67</v>
      </c>
      <c r="F482" s="371"/>
    </row>
    <row r="483" spans="1:6">
      <c r="A483" s="242"/>
      <c r="B483" s="243"/>
      <c r="C483" s="227" t="s">
        <v>10</v>
      </c>
      <c r="D483" s="228"/>
      <c r="E483" s="228"/>
      <c r="F483" s="251"/>
    </row>
    <row r="484" spans="1:6">
      <c r="A484" s="278">
        <v>39806</v>
      </c>
      <c r="B484" s="279" t="str">
        <f>TiposLancamentos!B13</f>
        <v>Moradia</v>
      </c>
      <c r="C484" s="291" t="s">
        <v>13341</v>
      </c>
      <c r="D484" s="292"/>
      <c r="E484" s="331">
        <v>188.5</v>
      </c>
      <c r="F484" s="241"/>
    </row>
    <row r="485" spans="1:6">
      <c r="A485" s="278">
        <v>39810</v>
      </c>
      <c r="B485" s="279" t="str">
        <f>TiposLancamentos!B16</f>
        <v>Cristiane</v>
      </c>
      <c r="C485" s="291" t="s">
        <v>16553</v>
      </c>
      <c r="D485" s="292"/>
      <c r="E485" s="331">
        <v>424.75</v>
      </c>
      <c r="F485" s="241"/>
    </row>
    <row r="486" spans="1:6">
      <c r="A486" s="99"/>
      <c r="B486" s="236"/>
      <c r="C486" s="237" t="s">
        <v>16506</v>
      </c>
      <c r="D486" s="101"/>
      <c r="E486" s="238"/>
      <c r="F486" s="239">
        <f>SUM(E476:E482)</f>
        <v>485.43</v>
      </c>
    </row>
    <row r="487" spans="1:6">
      <c r="A487" s="103">
        <v>39815</v>
      </c>
      <c r="B487" s="240" t="str">
        <f>TiposLancamentos!B15</f>
        <v>Cartões de Crédito</v>
      </c>
      <c r="C487" s="147" t="s">
        <v>16523</v>
      </c>
      <c r="D487" s="63">
        <v>485.43</v>
      </c>
      <c r="E487" s="231"/>
      <c r="F487" s="241"/>
    </row>
    <row r="488" spans="1:6">
      <c r="A488" s="278">
        <v>39822</v>
      </c>
      <c r="B488" s="279" t="str">
        <f>TiposLancamentos!B16</f>
        <v>Cristiane</v>
      </c>
      <c r="C488" s="291" t="s">
        <v>16554</v>
      </c>
      <c r="D488" s="292"/>
      <c r="E488" s="331">
        <v>299.89999999999998</v>
      </c>
      <c r="F488" s="241"/>
    </row>
    <row r="489" spans="1:6">
      <c r="A489" s="278">
        <v>39823</v>
      </c>
      <c r="B489" s="279" t="str">
        <f>TiposLancamentos!B5</f>
        <v>Supermercado</v>
      </c>
      <c r="C489" s="291" t="s">
        <v>16555</v>
      </c>
      <c r="D489" s="292"/>
      <c r="E489" s="331">
        <v>25.14</v>
      </c>
      <c r="F489" s="241"/>
    </row>
    <row r="490" spans="1:6">
      <c r="A490" s="278">
        <v>39826</v>
      </c>
      <c r="B490" s="279" t="str">
        <f>TiposLancamentos!B16</f>
        <v>Cristiane</v>
      </c>
      <c r="C490" s="291" t="s">
        <v>16556</v>
      </c>
      <c r="D490" s="292"/>
      <c r="E490" s="331">
        <v>156.4</v>
      </c>
      <c r="F490" s="241"/>
    </row>
    <row r="491" spans="1:6">
      <c r="A491" s="278">
        <v>39829</v>
      </c>
      <c r="B491" s="279" t="str">
        <f>TiposLancamentos!B16</f>
        <v>Cristiane</v>
      </c>
      <c r="C491" s="291" t="s">
        <v>16557</v>
      </c>
      <c r="D491" s="292"/>
      <c r="E491" s="331">
        <v>195.1</v>
      </c>
      <c r="F491" s="241"/>
    </row>
    <row r="492" spans="1:6">
      <c r="A492" s="278">
        <v>39831</v>
      </c>
      <c r="B492" s="279" t="str">
        <f>TiposLancamentos!B16</f>
        <v>Cristiane</v>
      </c>
      <c r="C492" s="291" t="s">
        <v>16558</v>
      </c>
      <c r="D492" s="292"/>
      <c r="E492" s="331">
        <v>159.78</v>
      </c>
      <c r="F492" s="241"/>
    </row>
    <row r="493" spans="1:6">
      <c r="A493" s="278">
        <v>39834</v>
      </c>
      <c r="B493" s="279" t="str">
        <f>TiposLancamentos!B16</f>
        <v>Cristiane</v>
      </c>
      <c r="C493" s="291" t="s">
        <v>16559</v>
      </c>
      <c r="D493" s="292"/>
      <c r="E493" s="293">
        <v>39</v>
      </c>
      <c r="F493" s="241"/>
    </row>
    <row r="494" spans="1:6">
      <c r="A494" s="278">
        <v>39834</v>
      </c>
      <c r="B494" s="279" t="str">
        <f>TiposLancamentos!B16</f>
        <v>Cristiane</v>
      </c>
      <c r="C494" s="291" t="s">
        <v>16560</v>
      </c>
      <c r="D494" s="292"/>
      <c r="E494" s="293">
        <v>120</v>
      </c>
      <c r="F494" s="241"/>
    </row>
    <row r="495" spans="1:6">
      <c r="A495" s="278">
        <v>39836</v>
      </c>
      <c r="B495" s="279" t="str">
        <f>TiposLancamentos!B16</f>
        <v>Cristiane</v>
      </c>
      <c r="C495" s="291" t="s">
        <v>16561</v>
      </c>
      <c r="D495" s="292"/>
      <c r="E495" s="293">
        <v>55</v>
      </c>
      <c r="F495" s="241"/>
    </row>
    <row r="496" spans="1:6">
      <c r="A496" s="278">
        <v>39836</v>
      </c>
      <c r="B496" s="279" t="str">
        <f>TiposLancamentos!B16</f>
        <v>Cristiane</v>
      </c>
      <c r="C496" s="291" t="s">
        <v>16562</v>
      </c>
      <c r="D496" s="292"/>
      <c r="E496" s="293">
        <v>71.900000000000006</v>
      </c>
      <c r="F496" s="241"/>
    </row>
    <row r="497" spans="1:6">
      <c r="A497" s="242"/>
      <c r="B497" s="243"/>
      <c r="C497" s="227" t="s">
        <v>10</v>
      </c>
      <c r="D497" s="228"/>
      <c r="E497" s="228"/>
      <c r="F497" s="251"/>
    </row>
    <row r="498" spans="1:6">
      <c r="A498" s="278">
        <v>39835</v>
      </c>
      <c r="B498" s="279" t="str">
        <f>TiposLancamentos!B16</f>
        <v>Cristiane</v>
      </c>
      <c r="C498" s="291" t="s">
        <v>16563</v>
      </c>
      <c r="D498" s="292"/>
      <c r="E498" s="331">
        <v>109.15</v>
      </c>
      <c r="F498" s="241"/>
    </row>
    <row r="499" spans="1:6">
      <c r="A499" s="278">
        <v>39837</v>
      </c>
      <c r="B499" s="279" t="str">
        <f>TiposLancamentos!B13</f>
        <v>Moradia</v>
      </c>
      <c r="C499" s="291" t="s">
        <v>16564</v>
      </c>
      <c r="D499" s="292"/>
      <c r="E499" s="331">
        <v>188.5</v>
      </c>
      <c r="F499" s="241"/>
    </row>
    <row r="500" spans="1:6">
      <c r="A500" s="278">
        <v>39841</v>
      </c>
      <c r="B500" s="279" t="str">
        <f>TiposLancamentos!B16</f>
        <v>Cristiane</v>
      </c>
      <c r="C500" s="291" t="s">
        <v>16565</v>
      </c>
      <c r="D500" s="292"/>
      <c r="E500" s="331">
        <v>424.75</v>
      </c>
      <c r="F500" s="241"/>
    </row>
    <row r="501" spans="1:6">
      <c r="A501" s="129"/>
      <c r="B501" s="344"/>
      <c r="C501" s="237" t="s">
        <v>16566</v>
      </c>
      <c r="D501" s="101"/>
      <c r="E501" s="238"/>
      <c r="F501" s="239">
        <f>SUM(E484:E496)</f>
        <v>1735.47</v>
      </c>
    </row>
    <row r="502" spans="1:6">
      <c r="A502" s="130">
        <v>39846</v>
      </c>
      <c r="B502" s="337" t="str">
        <f>TiposLancamentos!B15</f>
        <v>Cartões de Crédito</v>
      </c>
      <c r="C502" s="147" t="s">
        <v>7254</v>
      </c>
      <c r="D502" s="63">
        <v>1735.47</v>
      </c>
      <c r="E502" s="231"/>
      <c r="F502" s="241"/>
    </row>
    <row r="503" spans="1:6">
      <c r="A503" s="278">
        <v>39848</v>
      </c>
      <c r="B503" s="279" t="str">
        <f>TiposLancamentos!B16</f>
        <v>Cristiane</v>
      </c>
      <c r="C503" s="291" t="s">
        <v>16567</v>
      </c>
      <c r="D503" s="292"/>
      <c r="E503" s="331">
        <v>43.6</v>
      </c>
      <c r="F503" s="241"/>
    </row>
    <row r="504" spans="1:6">
      <c r="A504" s="278">
        <v>39855</v>
      </c>
      <c r="B504" s="279" t="str">
        <f>TiposLancamentos!B5</f>
        <v>Supermercado</v>
      </c>
      <c r="C504" s="291" t="s">
        <v>16555</v>
      </c>
      <c r="D504" s="292"/>
      <c r="E504" s="331">
        <v>51.21</v>
      </c>
      <c r="F504" s="241"/>
    </row>
    <row r="505" spans="1:6">
      <c r="A505" s="278">
        <v>39855</v>
      </c>
      <c r="B505" s="279" t="str">
        <f>TiposLancamentos!B16</f>
        <v>Cristiane</v>
      </c>
      <c r="C505" s="291" t="s">
        <v>16568</v>
      </c>
      <c r="D505" s="292"/>
      <c r="E505" s="331">
        <v>75.25</v>
      </c>
      <c r="F505" s="241"/>
    </row>
    <row r="506" spans="1:6">
      <c r="A506" s="278">
        <v>39857</v>
      </c>
      <c r="B506" s="279" t="str">
        <f>TiposLancamentos!B16</f>
        <v>Cristiane</v>
      </c>
      <c r="C506" s="291" t="s">
        <v>16569</v>
      </c>
      <c r="D506" s="292"/>
      <c r="E506" s="372">
        <v>142.1</v>
      </c>
      <c r="F506" s="241"/>
    </row>
    <row r="507" spans="1:6">
      <c r="A507" s="373"/>
      <c r="B507" s="374"/>
      <c r="C507" s="365" t="s">
        <v>10</v>
      </c>
      <c r="D507" s="375"/>
      <c r="E507" s="146"/>
      <c r="F507" s="376"/>
    </row>
    <row r="508" spans="1:6">
      <c r="A508" s="278">
        <v>39863</v>
      </c>
      <c r="B508" s="279" t="str">
        <f>TiposLancamentos!B16</f>
        <v>Cristiane</v>
      </c>
      <c r="C508" s="291" t="s">
        <v>2822</v>
      </c>
      <c r="D508" s="292"/>
      <c r="E508" s="331">
        <v>46.5</v>
      </c>
      <c r="F508" s="241"/>
    </row>
    <row r="509" spans="1:6">
      <c r="A509" s="278">
        <v>39863</v>
      </c>
      <c r="B509" s="279" t="str">
        <f>TiposLancamentos!B16</f>
        <v>Cristiane</v>
      </c>
      <c r="C509" s="291" t="s">
        <v>16570</v>
      </c>
      <c r="D509" s="292"/>
      <c r="E509" s="331">
        <v>70</v>
      </c>
      <c r="F509" s="241"/>
    </row>
    <row r="510" spans="1:6">
      <c r="A510" s="278">
        <v>39866</v>
      </c>
      <c r="B510" s="279" t="str">
        <f>TiposLancamentos!B16</f>
        <v>Cristiane</v>
      </c>
      <c r="C510" s="291" t="s">
        <v>16571</v>
      </c>
      <c r="D510" s="292"/>
      <c r="E510" s="331">
        <v>109.15</v>
      </c>
      <c r="F510" s="241"/>
    </row>
    <row r="511" spans="1:6">
      <c r="A511" s="138">
        <v>39872</v>
      </c>
      <c r="B511" s="116" t="str">
        <f>TiposLancamentos!B16</f>
        <v>Cristiane</v>
      </c>
      <c r="C511" s="360" t="s">
        <v>16572</v>
      </c>
      <c r="D511" s="51"/>
      <c r="E511" s="140">
        <v>424.75</v>
      </c>
      <c r="F511" s="371"/>
    </row>
    <row r="512" spans="1:6">
      <c r="A512" s="99"/>
      <c r="B512" s="236"/>
      <c r="C512" s="237" t="s">
        <v>3747</v>
      </c>
      <c r="D512" s="101"/>
      <c r="E512" s="238"/>
      <c r="F512" s="239">
        <f>SUM(E498:E506)</f>
        <v>1034.56</v>
      </c>
    </row>
    <row r="513" spans="1:6">
      <c r="A513" s="103">
        <v>39874</v>
      </c>
      <c r="B513" s="240" t="str">
        <f>TiposLancamentos!B15</f>
        <v>Cartões de Crédito</v>
      </c>
      <c r="C513" s="147" t="s">
        <v>14142</v>
      </c>
      <c r="D513" s="63">
        <v>1034.56</v>
      </c>
      <c r="E513" s="231"/>
      <c r="F513" s="241"/>
    </row>
    <row r="514" spans="1:6">
      <c r="A514" s="103">
        <v>39874</v>
      </c>
      <c r="B514" s="240" t="str">
        <f>TiposLancamentos!B75</f>
        <v>Shows</v>
      </c>
      <c r="C514" s="147" t="s">
        <v>16573</v>
      </c>
      <c r="D514" s="63"/>
      <c r="E514" s="231">
        <v>341</v>
      </c>
      <c r="F514" s="241"/>
    </row>
    <row r="515" spans="1:6">
      <c r="A515" s="278">
        <v>39878</v>
      </c>
      <c r="B515" s="279" t="str">
        <f>TiposLancamentos!B16</f>
        <v>Cristiane</v>
      </c>
      <c r="C515" s="291" t="s">
        <v>16574</v>
      </c>
      <c r="D515" s="292"/>
      <c r="E515" s="331">
        <v>146</v>
      </c>
      <c r="F515" s="241"/>
    </row>
    <row r="516" spans="1:6">
      <c r="A516" s="278">
        <v>39879</v>
      </c>
      <c r="B516" s="279" t="str">
        <f>TiposLancamentos!B16</f>
        <v>Cristiane</v>
      </c>
      <c r="C516" s="291" t="s">
        <v>16575</v>
      </c>
      <c r="D516" s="292"/>
      <c r="E516" s="293">
        <v>89.9</v>
      </c>
      <c r="F516" s="241"/>
    </row>
    <row r="517" spans="1:6">
      <c r="A517" s="278">
        <v>39885</v>
      </c>
      <c r="B517" s="279" t="str">
        <f>TiposLancamentos!B16</f>
        <v>Cristiane</v>
      </c>
      <c r="C517" s="291" t="s">
        <v>16576</v>
      </c>
      <c r="D517" s="292"/>
      <c r="E517" s="293">
        <v>114.8</v>
      </c>
      <c r="F517" s="241"/>
    </row>
    <row r="518" spans="1:6">
      <c r="A518" s="278">
        <v>39891</v>
      </c>
      <c r="B518" s="279" t="str">
        <f>TiposLancamentos!B60</f>
        <v>Correio</v>
      </c>
      <c r="C518" s="291" t="s">
        <v>16577</v>
      </c>
      <c r="D518" s="292"/>
      <c r="E518" s="293">
        <v>47.6</v>
      </c>
      <c r="F518" s="241"/>
    </row>
    <row r="519" spans="1:6">
      <c r="A519" s="278">
        <v>39891</v>
      </c>
      <c r="B519" s="279" t="str">
        <f>TiposLancamentos!B16</f>
        <v>Cristiane</v>
      </c>
      <c r="C519" s="291" t="s">
        <v>16578</v>
      </c>
      <c r="D519" s="292"/>
      <c r="E519" s="293">
        <v>64.95</v>
      </c>
      <c r="F519" s="241"/>
    </row>
    <row r="520" spans="1:6">
      <c r="A520" s="278">
        <v>39892</v>
      </c>
      <c r="B520" s="279" t="str">
        <f>TiposLancamentos!B16</f>
        <v>Cristiane</v>
      </c>
      <c r="C520" s="291" t="s">
        <v>13367</v>
      </c>
      <c r="D520" s="292"/>
      <c r="E520" s="293">
        <v>118.95</v>
      </c>
      <c r="F520" s="241"/>
    </row>
    <row r="521" spans="1:6">
      <c r="A521" s="278">
        <v>39896</v>
      </c>
      <c r="B521" s="279" t="str">
        <f>TiposLancamentos!B16</f>
        <v>Cristiane</v>
      </c>
      <c r="C521" s="291" t="s">
        <v>16579</v>
      </c>
      <c r="D521" s="292"/>
      <c r="E521" s="293">
        <v>81</v>
      </c>
      <c r="F521" s="241"/>
    </row>
    <row r="522" spans="1:6">
      <c r="A522" s="278">
        <v>39896</v>
      </c>
      <c r="B522" s="279" t="str">
        <f>TiposLancamentos!B16</f>
        <v>Cristiane</v>
      </c>
      <c r="C522" s="291" t="s">
        <v>16580</v>
      </c>
      <c r="D522" s="292"/>
      <c r="E522" s="293">
        <v>142</v>
      </c>
      <c r="F522" s="241"/>
    </row>
    <row r="523" spans="1:6">
      <c r="A523" s="278">
        <v>39896</v>
      </c>
      <c r="B523" s="279" t="str">
        <f>TiposLancamentos!B16</f>
        <v>Cristiane</v>
      </c>
      <c r="C523" s="291" t="s">
        <v>16581</v>
      </c>
      <c r="D523" s="292"/>
      <c r="E523" s="293">
        <v>32.81</v>
      </c>
      <c r="F523" s="241"/>
    </row>
    <row r="524" spans="1:6">
      <c r="A524" s="242"/>
      <c r="B524" s="243"/>
      <c r="C524" s="227" t="s">
        <v>10</v>
      </c>
      <c r="D524" s="228"/>
      <c r="E524" s="228"/>
      <c r="F524" s="251"/>
    </row>
    <row r="525" spans="1:6">
      <c r="A525" s="103"/>
      <c r="B525" s="240"/>
      <c r="C525" s="147"/>
      <c r="D525" s="63"/>
      <c r="E525" s="231"/>
      <c r="F525" s="241"/>
    </row>
    <row r="526" spans="1:6">
      <c r="A526" s="278">
        <v>39897</v>
      </c>
      <c r="B526" s="279" t="str">
        <f>TiposLancamentos!B72</f>
        <v>Presentes</v>
      </c>
      <c r="C526" s="291" t="s">
        <v>16582</v>
      </c>
      <c r="D526" s="292"/>
      <c r="E526" s="293">
        <v>60</v>
      </c>
      <c r="F526" s="241"/>
    </row>
    <row r="527" spans="1:6">
      <c r="A527" s="278">
        <v>39898</v>
      </c>
      <c r="B527" s="279" t="str">
        <f>TiposLancamentos!B16</f>
        <v>Cristiane</v>
      </c>
      <c r="C527" s="291" t="s">
        <v>16583</v>
      </c>
      <c r="D527" s="292"/>
      <c r="E527" s="293">
        <v>166.18</v>
      </c>
      <c r="F527" s="241"/>
    </row>
    <row r="528" spans="1:6">
      <c r="A528" s="278">
        <v>39899</v>
      </c>
      <c r="B528" s="279" t="str">
        <f>TiposLancamentos!B16</f>
        <v>Cristiane</v>
      </c>
      <c r="C528" s="291" t="s">
        <v>16584</v>
      </c>
      <c r="D528" s="292"/>
      <c r="E528" s="293">
        <v>162.97999999999999</v>
      </c>
      <c r="F528" s="241"/>
    </row>
    <row r="529" spans="1:6">
      <c r="A529" s="103">
        <v>39900</v>
      </c>
      <c r="B529" s="240" t="str">
        <f>TiposLancamentos!B16</f>
        <v>Cristiane</v>
      </c>
      <c r="C529" s="147" t="s">
        <v>16585</v>
      </c>
      <c r="D529" s="63"/>
      <c r="E529" s="231">
        <v>424.75</v>
      </c>
      <c r="F529" s="241"/>
    </row>
    <row r="530" spans="1:6">
      <c r="A530" s="129"/>
      <c r="B530" s="344"/>
      <c r="C530" s="237" t="s">
        <v>16586</v>
      </c>
      <c r="D530" s="101"/>
      <c r="E530" s="238"/>
      <c r="F530" s="239">
        <f>SUM(E508:E523)</f>
        <v>1829.41</v>
      </c>
    </row>
    <row r="531" spans="1:6">
      <c r="A531" s="130">
        <v>39904</v>
      </c>
      <c r="B531" s="337" t="str">
        <f>TiposLancamentos!B15</f>
        <v>Cartões de Crédito</v>
      </c>
      <c r="C531" s="147" t="s">
        <v>14126</v>
      </c>
      <c r="D531" s="63">
        <v>1829.41</v>
      </c>
      <c r="E531" s="231"/>
      <c r="F531" s="241"/>
    </row>
    <row r="532" spans="1:6">
      <c r="A532" s="278">
        <v>39922</v>
      </c>
      <c r="B532" s="279" t="str">
        <f>TiposLancamentos!B16</f>
        <v>Cristiane</v>
      </c>
      <c r="C532" s="291" t="s">
        <v>16587</v>
      </c>
      <c r="D532" s="292"/>
      <c r="E532" s="293">
        <v>64.95</v>
      </c>
      <c r="F532" s="241"/>
    </row>
    <row r="533" spans="1:6">
      <c r="A533" s="278">
        <v>39923</v>
      </c>
      <c r="B533" s="279" t="str">
        <f>TiposLancamentos!B16</f>
        <v>Cristiane</v>
      </c>
      <c r="C533" s="291" t="s">
        <v>13375</v>
      </c>
      <c r="D533" s="292"/>
      <c r="E533" s="293">
        <v>118.95</v>
      </c>
      <c r="F533" s="241"/>
    </row>
    <row r="534" spans="1:6">
      <c r="A534" s="242"/>
      <c r="B534" s="243"/>
      <c r="C534" s="227" t="s">
        <v>10</v>
      </c>
      <c r="D534" s="228"/>
      <c r="E534" s="228"/>
      <c r="F534" s="251"/>
    </row>
    <row r="535" spans="1:6">
      <c r="A535" s="278">
        <v>39930</v>
      </c>
      <c r="B535" s="279" t="str">
        <f>TiposLancamentos!B16</f>
        <v>Cristiane</v>
      </c>
      <c r="C535" s="291" t="s">
        <v>16588</v>
      </c>
      <c r="D535" s="292"/>
      <c r="E535" s="293">
        <v>96.98</v>
      </c>
      <c r="F535" s="241"/>
    </row>
    <row r="536" spans="1:6">
      <c r="A536" s="278">
        <v>39930</v>
      </c>
      <c r="B536" s="279" t="str">
        <f>TiposLancamentos!B16</f>
        <v>Cristiane</v>
      </c>
      <c r="C536" s="291" t="s">
        <v>16589</v>
      </c>
      <c r="D536" s="292"/>
      <c r="E536" s="293">
        <v>74.900000000000006</v>
      </c>
      <c r="F536" s="241"/>
    </row>
    <row r="537" spans="1:6">
      <c r="A537" s="129"/>
      <c r="B537" s="344"/>
      <c r="C537" s="237" t="s">
        <v>3782</v>
      </c>
      <c r="D537" s="101"/>
      <c r="E537" s="238"/>
      <c r="F537" s="239">
        <f>SUM(E525:E533)</f>
        <v>997.81000000000006</v>
      </c>
    </row>
    <row r="538" spans="1:6">
      <c r="A538" s="130">
        <v>39937</v>
      </c>
      <c r="B538" s="337" t="str">
        <f>TiposLancamentos!B15</f>
        <v>Cartões de Crédito</v>
      </c>
      <c r="C538" s="147" t="s">
        <v>14126</v>
      </c>
      <c r="D538" s="63">
        <v>997.81</v>
      </c>
      <c r="E538" s="231"/>
      <c r="F538" s="241"/>
    </row>
    <row r="539" spans="1:6">
      <c r="A539" s="278">
        <v>39942</v>
      </c>
      <c r="B539" s="279" t="str">
        <f>TiposLancamentos!B16</f>
        <v>Cristiane</v>
      </c>
      <c r="C539" s="291" t="s">
        <v>16590</v>
      </c>
      <c r="D539" s="292"/>
      <c r="E539" s="293">
        <v>25.91</v>
      </c>
      <c r="F539" s="241"/>
    </row>
    <row r="540" spans="1:6">
      <c r="A540" s="278">
        <v>39945</v>
      </c>
      <c r="B540" s="279" t="str">
        <f>TiposLancamentos!B16</f>
        <v>Cristiane</v>
      </c>
      <c r="C540" s="291" t="s">
        <v>13365</v>
      </c>
      <c r="D540" s="292"/>
      <c r="E540" s="293">
        <v>127.4</v>
      </c>
      <c r="F540" s="241"/>
    </row>
    <row r="541" spans="1:6">
      <c r="A541" s="278">
        <v>39947</v>
      </c>
      <c r="B541" s="279" t="str">
        <f>TiposLancamentos!B16</f>
        <v>Cristiane</v>
      </c>
      <c r="C541" s="291" t="s">
        <v>16591</v>
      </c>
      <c r="D541" s="292"/>
      <c r="E541" s="293">
        <v>182.5</v>
      </c>
      <c r="F541" s="241"/>
    </row>
    <row r="542" spans="1:6">
      <c r="A542" s="278">
        <v>39952</v>
      </c>
      <c r="B542" s="279" t="str">
        <f>TiposLancamentos!B16</f>
        <v>Cristiane</v>
      </c>
      <c r="C542" s="291" t="s">
        <v>13379</v>
      </c>
      <c r="D542" s="292"/>
      <c r="E542" s="293">
        <v>196.13</v>
      </c>
      <c r="F542" s="241"/>
    </row>
    <row r="543" spans="1:6">
      <c r="A543" s="242"/>
      <c r="B543" s="243"/>
      <c r="C543" s="227" t="s">
        <v>10</v>
      </c>
      <c r="D543" s="228"/>
      <c r="E543" s="228"/>
      <c r="F543" s="251"/>
    </row>
    <row r="544" spans="1:6">
      <c r="A544" s="99"/>
      <c r="B544" s="236"/>
      <c r="C544" s="237" t="s">
        <v>16592</v>
      </c>
      <c r="D544" s="101"/>
      <c r="E544" s="238"/>
      <c r="F544" s="239">
        <f>SUM(E535:E542)</f>
        <v>703.81999999999994</v>
      </c>
    </row>
    <row r="545" spans="1:6">
      <c r="A545" s="103">
        <v>39965</v>
      </c>
      <c r="B545" s="240" t="str">
        <f>TiposLancamentos!B15</f>
        <v>Cartões de Crédito</v>
      </c>
      <c r="C545" s="147" t="s">
        <v>14126</v>
      </c>
      <c r="D545" s="63">
        <v>703.82</v>
      </c>
      <c r="E545" s="231"/>
      <c r="F545" s="241"/>
    </row>
    <row r="546" spans="1:6">
      <c r="A546" s="278">
        <v>39967</v>
      </c>
      <c r="B546" s="279" t="str">
        <f>TiposLancamentos!B16</f>
        <v>Cristiane</v>
      </c>
      <c r="C546" s="291" t="s">
        <v>16593</v>
      </c>
      <c r="D546" s="292"/>
      <c r="E546" s="293">
        <v>50.32</v>
      </c>
      <c r="F546" s="241"/>
    </row>
    <row r="547" spans="1:6">
      <c r="A547" s="278">
        <v>39973</v>
      </c>
      <c r="B547" s="279" t="str">
        <f>TiposLancamentos!B16</f>
        <v>Cristiane</v>
      </c>
      <c r="C547" s="291" t="s">
        <v>16594</v>
      </c>
      <c r="D547" s="292"/>
      <c r="E547" s="293">
        <v>97.97</v>
      </c>
      <c r="F547" s="241"/>
    </row>
    <row r="548" spans="1:6">
      <c r="A548" s="278">
        <v>39976</v>
      </c>
      <c r="B548" s="279" t="str">
        <f>TiposLancamentos!B16</f>
        <v>Cristiane</v>
      </c>
      <c r="C548" s="291" t="s">
        <v>16595</v>
      </c>
      <c r="D548" s="292"/>
      <c r="E548" s="293">
        <v>132</v>
      </c>
      <c r="F548" s="241"/>
    </row>
    <row r="549" spans="1:6">
      <c r="A549" s="278">
        <v>39976</v>
      </c>
      <c r="B549" s="279" t="str">
        <f>TiposLancamentos!B16</f>
        <v>Cristiane</v>
      </c>
      <c r="C549" s="291" t="s">
        <v>13374</v>
      </c>
      <c r="D549" s="292"/>
      <c r="E549" s="293">
        <v>127.4</v>
      </c>
      <c r="F549" s="241"/>
    </row>
    <row r="550" spans="1:6">
      <c r="A550" s="278">
        <v>39981</v>
      </c>
      <c r="B550" s="279" t="str">
        <f>TiposLancamentos!B16</f>
        <v>Cristiane</v>
      </c>
      <c r="C550" s="291" t="s">
        <v>10854</v>
      </c>
      <c r="D550" s="292"/>
      <c r="E550" s="293">
        <v>101.7</v>
      </c>
      <c r="F550" s="241"/>
    </row>
    <row r="551" spans="1:6">
      <c r="A551" s="278">
        <v>39983</v>
      </c>
      <c r="B551" s="279" t="str">
        <f>TiposLancamentos!B16</f>
        <v>Cristiane</v>
      </c>
      <c r="C551" s="291" t="s">
        <v>16596</v>
      </c>
      <c r="D551" s="292"/>
      <c r="E551" s="293">
        <v>196.13</v>
      </c>
      <c r="F551" s="241"/>
    </row>
    <row r="552" spans="1:6">
      <c r="A552" s="242"/>
      <c r="B552" s="243"/>
      <c r="C552" s="227" t="s">
        <v>10</v>
      </c>
      <c r="D552" s="228"/>
      <c r="E552" s="228"/>
      <c r="F552" s="251"/>
    </row>
    <row r="553" spans="1:6">
      <c r="A553" s="99"/>
      <c r="B553" s="236"/>
      <c r="C553" s="377" t="s">
        <v>3828</v>
      </c>
      <c r="D553" s="196"/>
      <c r="E553" s="378"/>
      <c r="F553" s="239">
        <f>SUM(E544:E551)</f>
        <v>705.52</v>
      </c>
    </row>
    <row r="554" spans="1:6">
      <c r="A554" s="103">
        <v>39995</v>
      </c>
      <c r="B554" s="240" t="str">
        <f>TiposLancamentos!B15</f>
        <v>Cartões de Crédito</v>
      </c>
      <c r="C554" s="52" t="s">
        <v>14126</v>
      </c>
      <c r="D554" s="197">
        <v>705.51</v>
      </c>
      <c r="E554" s="135"/>
      <c r="F554" s="241"/>
    </row>
    <row r="555" spans="1:6">
      <c r="A555" s="278">
        <v>40006</v>
      </c>
      <c r="B555" s="279" t="str">
        <f>TiposLancamentos!B16</f>
        <v>Cristiane</v>
      </c>
      <c r="C555" s="280" t="s">
        <v>16597</v>
      </c>
      <c r="D555" s="281"/>
      <c r="E555" s="308">
        <v>132</v>
      </c>
      <c r="F555" s="241"/>
    </row>
    <row r="556" spans="1:6">
      <c r="A556" s="278">
        <v>40011</v>
      </c>
      <c r="B556" s="279" t="str">
        <f>TiposLancamentos!B16</f>
        <v>Cristiane</v>
      </c>
      <c r="C556" s="280" t="s">
        <v>16598</v>
      </c>
      <c r="D556" s="281"/>
      <c r="E556" s="308">
        <v>69.900000000000006</v>
      </c>
      <c r="F556" s="241"/>
    </row>
    <row r="557" spans="1:6">
      <c r="A557" s="278">
        <v>40011</v>
      </c>
      <c r="B557" s="279" t="str">
        <f>TiposLancamentos!B16</f>
        <v>Cristiane</v>
      </c>
      <c r="C557" s="280" t="s">
        <v>16599</v>
      </c>
      <c r="D557" s="281"/>
      <c r="E557" s="308">
        <v>42.91</v>
      </c>
      <c r="F557" s="241"/>
    </row>
    <row r="558" spans="1:6">
      <c r="A558" s="278">
        <v>40014</v>
      </c>
      <c r="B558" s="279" t="str">
        <f>TiposLancamentos!B16</f>
        <v>Cristiane</v>
      </c>
      <c r="C558" s="280" t="s">
        <v>16600</v>
      </c>
      <c r="D558" s="281"/>
      <c r="E558" s="308">
        <v>156.30000000000001</v>
      </c>
      <c r="F558" s="241"/>
    </row>
    <row r="559" spans="1:6">
      <c r="A559" s="278">
        <v>40015</v>
      </c>
      <c r="B559" s="279" t="str">
        <f>TiposLancamentos!B16</f>
        <v>Cristiane</v>
      </c>
      <c r="C559" s="280" t="s">
        <v>16601</v>
      </c>
      <c r="D559" s="281"/>
      <c r="E559" s="308">
        <v>115.8</v>
      </c>
      <c r="F559" s="241"/>
    </row>
    <row r="560" spans="1:6">
      <c r="A560" s="278">
        <v>40016</v>
      </c>
      <c r="B560" s="279" t="str">
        <f>TiposLancamentos!B16</f>
        <v>Cristiane</v>
      </c>
      <c r="C560" s="280" t="s">
        <v>13386</v>
      </c>
      <c r="D560" s="281"/>
      <c r="E560" s="308">
        <v>251.89</v>
      </c>
      <c r="F560" s="241"/>
    </row>
    <row r="561" spans="1:6">
      <c r="A561" s="278">
        <v>40017</v>
      </c>
      <c r="B561" s="279" t="str">
        <f>TiposLancamentos!B16</f>
        <v>Cristiane</v>
      </c>
      <c r="C561" s="280" t="s">
        <v>16602</v>
      </c>
      <c r="D561" s="281"/>
      <c r="E561" s="308">
        <v>130.94</v>
      </c>
      <c r="F561" s="241"/>
    </row>
    <row r="562" spans="1:6">
      <c r="A562" s="278">
        <v>40018</v>
      </c>
      <c r="B562" s="279" t="str">
        <f>TiposLancamentos!B16</f>
        <v>Cristiane</v>
      </c>
      <c r="C562" s="280" t="s">
        <v>16603</v>
      </c>
      <c r="D562" s="281"/>
      <c r="E562" s="308">
        <v>85.13</v>
      </c>
      <c r="F562" s="241"/>
    </row>
    <row r="563" spans="1:6">
      <c r="A563" s="379"/>
      <c r="B563" s="380"/>
      <c r="C563" s="381" t="s">
        <v>10</v>
      </c>
      <c r="D563" s="382"/>
      <c r="E563" s="383"/>
      <c r="F563" s="382"/>
    </row>
    <row r="564" spans="1:6">
      <c r="A564" s="278">
        <v>40022</v>
      </c>
      <c r="B564" s="279" t="str">
        <f>TiposLancamentos!B16</f>
        <v>Cristiane</v>
      </c>
      <c r="C564" s="280" t="s">
        <v>16604</v>
      </c>
      <c r="D564" s="384"/>
      <c r="E564" s="308">
        <v>77</v>
      </c>
      <c r="F564" s="241"/>
    </row>
    <row r="565" spans="1:6">
      <c r="A565" s="136"/>
      <c r="B565" s="385"/>
      <c r="C565" s="386" t="s">
        <v>16605</v>
      </c>
      <c r="D565" s="196"/>
      <c r="E565" s="137"/>
      <c r="F565" s="387">
        <f>SUM(E553:E562)</f>
        <v>984.87</v>
      </c>
    </row>
    <row r="566" spans="1:6">
      <c r="A566" s="278">
        <v>40027</v>
      </c>
      <c r="B566" s="279" t="str">
        <f>TiposLancamentos!B16</f>
        <v>Cristiane</v>
      </c>
      <c r="C566" s="280" t="s">
        <v>16606</v>
      </c>
      <c r="D566" s="281"/>
      <c r="E566" s="282">
        <v>180</v>
      </c>
      <c r="F566" s="371"/>
    </row>
    <row r="567" spans="1:6">
      <c r="A567" s="138">
        <v>40028</v>
      </c>
      <c r="B567" s="116" t="str">
        <f>TiposLancamentos!B15</f>
        <v>Cartões de Crédito</v>
      </c>
      <c r="C567" s="388" t="s">
        <v>14126</v>
      </c>
      <c r="D567" s="197">
        <v>984.87</v>
      </c>
      <c r="E567" s="140"/>
      <c r="F567" s="371"/>
    </row>
    <row r="568" spans="1:6">
      <c r="A568" s="278">
        <v>40042</v>
      </c>
      <c r="B568" s="279" t="str">
        <f>TiposLancamentos!B16</f>
        <v>Cristiane</v>
      </c>
      <c r="C568" s="280" t="s">
        <v>16607</v>
      </c>
      <c r="D568" s="281"/>
      <c r="E568" s="282">
        <v>69.900000000000006</v>
      </c>
      <c r="F568" s="371"/>
    </row>
    <row r="569" spans="1:6">
      <c r="A569" s="278">
        <v>40072</v>
      </c>
      <c r="B569" s="279" t="str">
        <f>TiposLancamentos!B16</f>
        <v>Cristiane</v>
      </c>
      <c r="C569" s="280" t="s">
        <v>12029</v>
      </c>
      <c r="D569" s="281"/>
      <c r="E569" s="282">
        <v>54.49</v>
      </c>
      <c r="F569" s="371"/>
    </row>
    <row r="570" spans="1:6">
      <c r="A570" s="278">
        <v>40047</v>
      </c>
      <c r="B570" s="279" t="str">
        <f>TiposLancamentos!B16</f>
        <v>Cristiane</v>
      </c>
      <c r="C570" s="280" t="s">
        <v>13396</v>
      </c>
      <c r="D570" s="281"/>
      <c r="E570" s="282">
        <v>251.89</v>
      </c>
      <c r="F570" s="371"/>
    </row>
    <row r="571" spans="1:6">
      <c r="A571" s="278">
        <v>40078</v>
      </c>
      <c r="B571" s="279" t="str">
        <f>TiposLancamentos!B16</f>
        <v>Cristiane</v>
      </c>
      <c r="C571" s="280" t="s">
        <v>16608</v>
      </c>
      <c r="D571" s="281"/>
      <c r="E571" s="282">
        <v>161.86000000000001</v>
      </c>
      <c r="F571" s="371"/>
    </row>
    <row r="572" spans="1:6">
      <c r="A572" s="278">
        <v>40078</v>
      </c>
      <c r="B572" s="279" t="str">
        <f>TiposLancamentos!B16</f>
        <v>Cristiane</v>
      </c>
      <c r="C572" s="280" t="s">
        <v>16609</v>
      </c>
      <c r="D572" s="281"/>
      <c r="E572" s="282">
        <v>3.85</v>
      </c>
      <c r="F572" s="371"/>
    </row>
    <row r="573" spans="1:6">
      <c r="A573" s="242"/>
      <c r="B573" s="243"/>
      <c r="C573" s="389" t="s">
        <v>10</v>
      </c>
      <c r="D573" s="146"/>
      <c r="E573" s="146"/>
      <c r="F573" s="376"/>
    </row>
    <row r="574" spans="1:6">
      <c r="A574" s="351">
        <v>40051</v>
      </c>
      <c r="B574" s="352" t="str">
        <f>TiposLancamentos!B16</f>
        <v>Cristiane</v>
      </c>
      <c r="C574" s="390" t="s">
        <v>16610</v>
      </c>
      <c r="D574" s="391"/>
      <c r="E574" s="392">
        <v>66.8</v>
      </c>
      <c r="F574" s="393"/>
    </row>
    <row r="575" spans="1:6">
      <c r="A575" s="136"/>
      <c r="B575" s="385"/>
      <c r="C575" s="386" t="s">
        <v>3877</v>
      </c>
      <c r="D575" s="196"/>
      <c r="E575" s="137"/>
      <c r="F575" s="387">
        <f>SUM(E564:E572)</f>
        <v>798.99</v>
      </c>
    </row>
    <row r="576" spans="1:6">
      <c r="A576" s="138">
        <v>40057</v>
      </c>
      <c r="B576" s="116" t="str">
        <f>TiposLancamentos!B15</f>
        <v>Cartões de Crédito</v>
      </c>
      <c r="C576" s="388" t="s">
        <v>14126</v>
      </c>
      <c r="D576" s="197">
        <v>798.99</v>
      </c>
      <c r="E576" s="140"/>
      <c r="F576" s="371"/>
    </row>
    <row r="577" spans="1:6">
      <c r="A577" s="278">
        <v>40069</v>
      </c>
      <c r="B577" s="279" t="str">
        <f>TiposLancamentos!B16</f>
        <v>Cristiane</v>
      </c>
      <c r="C577" s="280" t="s">
        <v>16611</v>
      </c>
      <c r="D577" s="281"/>
      <c r="E577" s="282">
        <v>59.5</v>
      </c>
      <c r="F577" s="371"/>
    </row>
    <row r="578" spans="1:6">
      <c r="A578" s="278">
        <v>40076</v>
      </c>
      <c r="B578" s="279" t="str">
        <f>TiposLancamentos!B16</f>
        <v>Cristiane</v>
      </c>
      <c r="C578" s="280" t="s">
        <v>16612</v>
      </c>
      <c r="D578" s="281"/>
      <c r="E578" s="282">
        <v>85.13</v>
      </c>
      <c r="F578" s="371"/>
    </row>
    <row r="579" spans="1:6">
      <c r="A579" s="278">
        <v>40079</v>
      </c>
      <c r="B579" s="279" t="str">
        <f>TiposLancamentos!B16</f>
        <v>Cristiane</v>
      </c>
      <c r="C579" s="280" t="s">
        <v>16613</v>
      </c>
      <c r="D579" s="281"/>
      <c r="E579" s="282">
        <v>3.56</v>
      </c>
      <c r="F579" s="371"/>
    </row>
    <row r="580" spans="1:6">
      <c r="A580" s="242"/>
      <c r="B580" s="243"/>
      <c r="C580" s="389" t="s">
        <v>10</v>
      </c>
      <c r="D580" s="146"/>
      <c r="E580" s="146"/>
      <c r="F580" s="376"/>
    </row>
    <row r="581" spans="1:6">
      <c r="A581" s="198">
        <v>40084</v>
      </c>
      <c r="B581" s="165" t="str">
        <f>TiposLancamentos!B16</f>
        <v>Cristiane</v>
      </c>
      <c r="C581" s="394" t="s">
        <v>16593</v>
      </c>
      <c r="D581" s="29"/>
      <c r="E581" s="199">
        <v>51.92</v>
      </c>
      <c r="F581" s="393"/>
    </row>
    <row r="582" spans="1:6">
      <c r="A582" s="136"/>
      <c r="B582" s="385"/>
      <c r="C582" s="386" t="s">
        <v>3896</v>
      </c>
      <c r="D582" s="196"/>
      <c r="E582" s="137"/>
      <c r="F582" s="387">
        <f>SUM(E574:E579)</f>
        <v>214.99</v>
      </c>
    </row>
    <row r="583" spans="1:6">
      <c r="A583" s="138">
        <v>40087</v>
      </c>
      <c r="B583" s="116" t="str">
        <f>TiposLancamentos!B15</f>
        <v>Cartões de Crédito</v>
      </c>
      <c r="C583" s="388" t="s">
        <v>14126</v>
      </c>
      <c r="D583" s="197">
        <v>214.99</v>
      </c>
      <c r="E583" s="140"/>
      <c r="F583" s="371"/>
    </row>
    <row r="584" spans="1:6">
      <c r="A584" s="278">
        <v>40095</v>
      </c>
      <c r="B584" s="279" t="str">
        <f>TiposLancamentos!B16</f>
        <v>Cristiane</v>
      </c>
      <c r="C584" s="280" t="s">
        <v>16614</v>
      </c>
      <c r="D584" s="281"/>
      <c r="E584" s="282">
        <v>103</v>
      </c>
      <c r="F584" s="283"/>
    </row>
    <row r="585" spans="1:6">
      <c r="A585" s="278">
        <v>40095</v>
      </c>
      <c r="B585" s="279" t="str">
        <f>TiposLancamentos!B16</f>
        <v>Cristiane</v>
      </c>
      <c r="C585" s="280" t="s">
        <v>16615</v>
      </c>
      <c r="D585" s="281"/>
      <c r="E585" s="282">
        <v>146</v>
      </c>
      <c r="F585" s="283"/>
    </row>
    <row r="586" spans="1:6">
      <c r="A586" s="278">
        <v>40096</v>
      </c>
      <c r="B586" s="279" t="str">
        <f>TiposLancamentos!B16</f>
        <v>Cristiane</v>
      </c>
      <c r="C586" s="280" t="s">
        <v>16616</v>
      </c>
      <c r="D586" s="281"/>
      <c r="E586" s="282">
        <v>169.9</v>
      </c>
      <c r="F586" s="283"/>
    </row>
    <row r="587" spans="1:6">
      <c r="A587" s="242"/>
      <c r="B587" s="243"/>
      <c r="C587" s="389" t="s">
        <v>10</v>
      </c>
      <c r="D587" s="146"/>
      <c r="E587" s="146"/>
      <c r="F587" s="376"/>
    </row>
    <row r="588" spans="1:6">
      <c r="A588" s="278">
        <v>40113</v>
      </c>
      <c r="B588" s="279" t="str">
        <f>TiposLancamentos!B16</f>
        <v>Cristiane</v>
      </c>
      <c r="C588" s="280" t="s">
        <v>16617</v>
      </c>
      <c r="D588" s="281"/>
      <c r="E588" s="282">
        <v>46.52</v>
      </c>
      <c r="F588" s="283" t="s">
        <v>9</v>
      </c>
    </row>
    <row r="589" spans="1:6">
      <c r="A589" s="278">
        <v>40117</v>
      </c>
      <c r="B589" s="279" t="str">
        <f>TiposLancamentos!B16</f>
        <v>Cristiane</v>
      </c>
      <c r="C589" s="280" t="s">
        <v>9840</v>
      </c>
      <c r="D589" s="281"/>
      <c r="E589" s="282">
        <v>78.900000000000006</v>
      </c>
      <c r="F589" s="283"/>
    </row>
    <row r="590" spans="1:6">
      <c r="A590" s="136"/>
      <c r="B590" s="385"/>
      <c r="C590" s="386" t="s">
        <v>5768</v>
      </c>
      <c r="D590" s="196"/>
      <c r="E590" s="137"/>
      <c r="F590" s="387">
        <f>SUM(E581:E586)</f>
        <v>470.82000000000005</v>
      </c>
    </row>
    <row r="591" spans="1:6">
      <c r="A591" s="138">
        <v>40120</v>
      </c>
      <c r="B591" s="116" t="str">
        <f>TiposLancamentos!B15</f>
        <v>Cartões de Crédito</v>
      </c>
      <c r="C591" s="388" t="s">
        <v>14126</v>
      </c>
      <c r="D591" s="197">
        <v>470.82</v>
      </c>
      <c r="E591" s="140"/>
      <c r="F591" s="371"/>
    </row>
    <row r="592" spans="1:6">
      <c r="A592" s="278">
        <v>40125</v>
      </c>
      <c r="B592" s="279" t="str">
        <f>TiposLancamentos!B16</f>
        <v>Cristiane</v>
      </c>
      <c r="C592" s="280" t="s">
        <v>16618</v>
      </c>
      <c r="D592" s="281"/>
      <c r="E592" s="282">
        <v>114.8</v>
      </c>
      <c r="F592" s="283"/>
    </row>
    <row r="593" spans="1:6">
      <c r="A593" s="278">
        <v>40130</v>
      </c>
      <c r="B593" s="279" t="str">
        <f>TiposLancamentos!B16</f>
        <v>Cristiane</v>
      </c>
      <c r="C593" s="280" t="s">
        <v>16588</v>
      </c>
      <c r="D593" s="281"/>
      <c r="E593" s="282">
        <v>42.53</v>
      </c>
      <c r="F593" s="283"/>
    </row>
    <row r="594" spans="1:6">
      <c r="A594" s="278">
        <v>40131</v>
      </c>
      <c r="B594" s="279" t="str">
        <f>TiposLancamentos!B16</f>
        <v>Cristiane</v>
      </c>
      <c r="C594" s="280" t="s">
        <v>16588</v>
      </c>
      <c r="D594" s="281"/>
      <c r="E594" s="282">
        <v>36.03</v>
      </c>
      <c r="F594" s="283"/>
    </row>
    <row r="595" spans="1:6">
      <c r="A595" s="278">
        <v>40141</v>
      </c>
      <c r="B595" s="279" t="str">
        <f>TiposLancamentos!B16</f>
        <v>Cristiane</v>
      </c>
      <c r="C595" s="280" t="s">
        <v>16619</v>
      </c>
      <c r="D595" s="281"/>
      <c r="E595" s="282">
        <v>100</v>
      </c>
      <c r="F595" s="283"/>
    </row>
    <row r="596" spans="1:6">
      <c r="A596" s="278">
        <v>40141</v>
      </c>
      <c r="B596" s="279" t="str">
        <f>TiposLancamentos!B16</f>
        <v>Cristiane</v>
      </c>
      <c r="C596" s="280" t="s">
        <v>16620</v>
      </c>
      <c r="D596" s="281"/>
      <c r="E596" s="282">
        <v>70</v>
      </c>
      <c r="F596" s="283"/>
    </row>
    <row r="597" spans="1:6">
      <c r="A597" s="278">
        <v>40141</v>
      </c>
      <c r="B597" s="279" t="str">
        <f>TiposLancamentos!B16</f>
        <v>Cristiane</v>
      </c>
      <c r="C597" s="280" t="s">
        <v>16621</v>
      </c>
      <c r="D597" s="281"/>
      <c r="E597" s="282">
        <v>42.78</v>
      </c>
      <c r="F597" s="283"/>
    </row>
    <row r="598" spans="1:6">
      <c r="A598" s="278">
        <v>40141</v>
      </c>
      <c r="B598" s="279" t="str">
        <f>TiposLancamentos!B16</f>
        <v>Cristiane</v>
      </c>
      <c r="C598" s="280" t="s">
        <v>16622</v>
      </c>
      <c r="D598" s="281"/>
      <c r="E598" s="282">
        <v>106.3</v>
      </c>
      <c r="F598" s="283"/>
    </row>
    <row r="599" spans="1:6">
      <c r="A599" s="242"/>
      <c r="B599" s="243"/>
      <c r="C599" s="389" t="s">
        <v>10</v>
      </c>
      <c r="D599" s="146"/>
      <c r="E599" s="146"/>
      <c r="F599" s="376"/>
    </row>
    <row r="600" spans="1:6">
      <c r="A600" s="278">
        <v>40142</v>
      </c>
      <c r="B600" s="279" t="str">
        <f>TiposLancamentos!B5</f>
        <v>Supermercado</v>
      </c>
      <c r="C600" s="280" t="s">
        <v>3902</v>
      </c>
      <c r="D600" s="281"/>
      <c r="E600" s="282">
        <v>32.630000000000003</v>
      </c>
      <c r="F600" s="283"/>
    </row>
    <row r="601" spans="1:6">
      <c r="A601" s="103">
        <v>40144</v>
      </c>
      <c r="B601" s="240" t="str">
        <f>TiposLancamentos!B16</f>
        <v>Cristiane</v>
      </c>
      <c r="C601" s="147" t="s">
        <v>2822</v>
      </c>
      <c r="D601" s="63"/>
      <c r="E601" s="231">
        <v>35.1</v>
      </c>
      <c r="F601" s="241"/>
    </row>
    <row r="602" spans="1:6">
      <c r="A602" s="278">
        <v>40145</v>
      </c>
      <c r="B602" s="279" t="str">
        <f>TiposLancamentos!B16</f>
        <v>Cristiane</v>
      </c>
      <c r="C602" s="280" t="s">
        <v>6957</v>
      </c>
      <c r="D602" s="281"/>
      <c r="E602" s="282">
        <v>31.1</v>
      </c>
      <c r="F602" s="283"/>
    </row>
    <row r="603" spans="1:6">
      <c r="A603" s="99"/>
      <c r="B603" s="236"/>
      <c r="C603" s="237" t="s">
        <v>3944</v>
      </c>
      <c r="D603" s="101"/>
      <c r="E603" s="238"/>
      <c r="F603" s="239">
        <f>SUM(E588:E598)</f>
        <v>637.8599999999999</v>
      </c>
    </row>
    <row r="604" spans="1:6">
      <c r="A604" s="103">
        <v>40148</v>
      </c>
      <c r="B604" s="240" t="str">
        <f>TiposLancamentos!B15</f>
        <v>Cartões de Crédito</v>
      </c>
      <c r="C604" s="147" t="s">
        <v>14126</v>
      </c>
      <c r="D604" s="63">
        <f>F603</f>
        <v>637.8599999999999</v>
      </c>
      <c r="E604" s="231"/>
      <c r="F604" s="241"/>
    </row>
    <row r="605" spans="1:6">
      <c r="A605" s="278">
        <v>40152</v>
      </c>
      <c r="B605" s="279" t="str">
        <f>TiposLancamentos!B16</f>
        <v>Cristiane</v>
      </c>
      <c r="C605" s="280" t="s">
        <v>16622</v>
      </c>
      <c r="D605" s="281"/>
      <c r="E605" s="282">
        <v>190</v>
      </c>
      <c r="F605" s="283"/>
    </row>
    <row r="606" spans="1:6">
      <c r="A606" s="379"/>
      <c r="B606" s="380"/>
      <c r="C606" s="381" t="s">
        <v>10</v>
      </c>
      <c r="D606" s="382"/>
      <c r="E606" s="382"/>
      <c r="F606" s="395"/>
    </row>
    <row r="607" spans="1:6" s="103" customFormat="1">
      <c r="A607" s="278">
        <v>40167</v>
      </c>
      <c r="B607" s="279" t="str">
        <f>TiposLancamentos!B16</f>
        <v>Cristiane</v>
      </c>
      <c r="C607" s="280" t="s">
        <v>16623</v>
      </c>
      <c r="D607" s="281"/>
      <c r="E607" s="282">
        <v>178</v>
      </c>
      <c r="F607" s="283"/>
    </row>
    <row r="608" spans="1:6">
      <c r="A608" s="278">
        <v>40168</v>
      </c>
      <c r="B608" s="279" t="str">
        <f>TiposLancamentos!B16</f>
        <v>Cristiane</v>
      </c>
      <c r="C608" s="280" t="s">
        <v>16624</v>
      </c>
      <c r="D608" s="281"/>
      <c r="E608" s="282">
        <v>191.5</v>
      </c>
      <c r="F608" s="283"/>
    </row>
    <row r="609" spans="1:6">
      <c r="A609" s="103">
        <v>40168</v>
      </c>
      <c r="B609" s="240" t="str">
        <f>TiposLancamentos!B5</f>
        <v>Supermercado</v>
      </c>
      <c r="C609" s="147" t="s">
        <v>16625</v>
      </c>
      <c r="D609" s="63"/>
      <c r="E609" s="231">
        <v>41.32</v>
      </c>
      <c r="F609" s="241"/>
    </row>
    <row r="610" spans="1:6">
      <c r="A610" s="278">
        <v>40173</v>
      </c>
      <c r="B610" s="279" t="str">
        <f>TiposLancamentos!B16</f>
        <v>Cristiane</v>
      </c>
      <c r="C610" s="280" t="s">
        <v>16626</v>
      </c>
      <c r="D610" s="281"/>
      <c r="E610" s="282">
        <v>109.98</v>
      </c>
      <c r="F610" s="283"/>
    </row>
    <row r="611" spans="1:6">
      <c r="A611" s="278">
        <v>40177</v>
      </c>
      <c r="B611" s="279" t="str">
        <f>TiposLancamentos!B16</f>
        <v>Cristiane</v>
      </c>
      <c r="C611" s="280" t="s">
        <v>16620</v>
      </c>
      <c r="D611" s="281"/>
      <c r="E611" s="282">
        <v>100</v>
      </c>
      <c r="F611" s="283"/>
    </row>
    <row r="612" spans="1:6">
      <c r="A612" s="99"/>
      <c r="B612" s="236"/>
      <c r="C612" s="237" t="s">
        <v>5777</v>
      </c>
      <c r="D612" s="101"/>
      <c r="E612" s="238"/>
      <c r="F612" s="239">
        <f>SUM(E600:E605)</f>
        <v>288.83000000000004</v>
      </c>
    </row>
    <row r="613" spans="1:6">
      <c r="A613" s="278">
        <v>40180</v>
      </c>
      <c r="B613" s="279" t="str">
        <f>TiposLancamentos!B16</f>
        <v>Cristiane</v>
      </c>
      <c r="C613" s="280" t="s">
        <v>16627</v>
      </c>
      <c r="D613" s="281"/>
      <c r="E613" s="282">
        <v>99.7</v>
      </c>
      <c r="F613" s="283"/>
    </row>
    <row r="614" spans="1:6">
      <c r="A614" s="278">
        <v>40180</v>
      </c>
      <c r="B614" s="279" t="str">
        <f>TiposLancamentos!B16</f>
        <v>Cristiane</v>
      </c>
      <c r="C614" s="280" t="s">
        <v>16628</v>
      </c>
      <c r="D614" s="281"/>
      <c r="E614" s="282">
        <v>179.8</v>
      </c>
      <c r="F614" s="283"/>
    </row>
    <row r="615" spans="1:6">
      <c r="A615" s="103">
        <v>40182</v>
      </c>
      <c r="B615" s="240" t="str">
        <f>TiposLancamentos!B15</f>
        <v>Cartões de Crédito</v>
      </c>
      <c r="C615" s="147" t="s">
        <v>14126</v>
      </c>
      <c r="D615" s="63">
        <v>288.83</v>
      </c>
      <c r="E615" s="231"/>
      <c r="F615" s="241"/>
    </row>
    <row r="616" spans="1:6">
      <c r="A616" s="278">
        <v>40187</v>
      </c>
      <c r="B616" s="279" t="str">
        <f>TiposLancamentos!B16</f>
        <v>Cristiane</v>
      </c>
      <c r="C616" s="280" t="s">
        <v>13424</v>
      </c>
      <c r="D616" s="281"/>
      <c r="E616" s="282">
        <v>250.5</v>
      </c>
      <c r="F616" s="283"/>
    </row>
    <row r="617" spans="1:6">
      <c r="A617" s="103">
        <v>40203</v>
      </c>
      <c r="B617" s="240" t="str">
        <f>TiposLancamentos!B5</f>
        <v>Supermercado</v>
      </c>
      <c r="C617" s="147" t="s">
        <v>16629</v>
      </c>
      <c r="D617" s="63"/>
      <c r="E617" s="231">
        <v>152.82</v>
      </c>
      <c r="F617" s="241"/>
    </row>
    <row r="618" spans="1:6">
      <c r="A618" s="242"/>
      <c r="B618" s="243"/>
      <c r="C618" s="389" t="s">
        <v>10</v>
      </c>
      <c r="D618" s="146"/>
      <c r="E618" s="146"/>
      <c r="F618" s="376"/>
    </row>
    <row r="619" spans="1:6">
      <c r="A619" s="103"/>
      <c r="B619" s="240"/>
      <c r="C619" s="147" t="s">
        <v>16630</v>
      </c>
      <c r="D619" s="63"/>
      <c r="E619" s="231"/>
      <c r="F619" s="241">
        <f>SUM(E607:E617)</f>
        <v>1303.6199999999999</v>
      </c>
    </row>
    <row r="620" spans="1:6">
      <c r="A620" s="103">
        <v>40210</v>
      </c>
      <c r="B620" s="240" t="str">
        <f>TiposLancamentos!B15</f>
        <v>Cartões de Crédito</v>
      </c>
      <c r="C620" s="147" t="s">
        <v>14126</v>
      </c>
      <c r="D620" s="63">
        <v>1303.6199999999999</v>
      </c>
      <c r="E620" s="231"/>
      <c r="F620" s="241"/>
    </row>
    <row r="621" spans="1:6">
      <c r="A621" s="278">
        <v>40218</v>
      </c>
      <c r="B621" s="279" t="str">
        <f>TiposLancamentos!B16</f>
        <v>Cristiane</v>
      </c>
      <c r="C621" s="280" t="s">
        <v>13427</v>
      </c>
      <c r="D621" s="281"/>
      <c r="E621" s="282">
        <v>250.5</v>
      </c>
      <c r="F621" s="283"/>
    </row>
    <row r="622" spans="1:6">
      <c r="A622" s="242"/>
      <c r="B622" s="243"/>
      <c r="C622" s="389" t="s">
        <v>10</v>
      </c>
      <c r="D622" s="146"/>
      <c r="E622" s="146"/>
      <c r="F622" s="376"/>
    </row>
    <row r="623" spans="1:6">
      <c r="A623" s="278">
        <v>40235</v>
      </c>
      <c r="B623" s="279" t="str">
        <f>TiposLancamentos!B16</f>
        <v>Cristiane</v>
      </c>
      <c r="C623" s="280" t="s">
        <v>16631</v>
      </c>
      <c r="D623" s="281"/>
      <c r="E623" s="282">
        <v>42.53</v>
      </c>
      <c r="F623" s="283"/>
    </row>
    <row r="624" spans="1:6">
      <c r="A624" s="108"/>
      <c r="B624" s="396"/>
      <c r="C624" s="270" t="s">
        <v>3996</v>
      </c>
      <c r="D624" s="110"/>
      <c r="E624" s="260"/>
      <c r="F624" s="271">
        <f>SUM(E619:E621)</f>
        <v>250.5</v>
      </c>
    </row>
    <row r="625" spans="1:6">
      <c r="A625" s="111">
        <v>40238</v>
      </c>
      <c r="B625" s="240" t="str">
        <f>TiposLancamentos!B15</f>
        <v>Cartões de Crédito</v>
      </c>
      <c r="C625" s="147" t="s">
        <v>14126</v>
      </c>
      <c r="D625" s="63">
        <v>250.5</v>
      </c>
      <c r="E625" s="231"/>
      <c r="F625" s="272"/>
    </row>
    <row r="626" spans="1:6">
      <c r="A626" s="397">
        <v>40253</v>
      </c>
      <c r="B626" s="279" t="str">
        <f>TiposLancamentos!B16</f>
        <v>Cristiane</v>
      </c>
      <c r="C626" s="280" t="s">
        <v>16632</v>
      </c>
      <c r="D626" s="281"/>
      <c r="E626" s="282">
        <v>362.8</v>
      </c>
      <c r="F626" s="398"/>
    </row>
    <row r="627" spans="1:6">
      <c r="A627" s="397">
        <v>40254</v>
      </c>
      <c r="B627" s="279" t="str">
        <f>TiposLancamentos!B16</f>
        <v>Cristiane</v>
      </c>
      <c r="C627" s="280" t="s">
        <v>16633</v>
      </c>
      <c r="D627" s="281"/>
      <c r="E627" s="282">
        <v>158.9</v>
      </c>
      <c r="F627" s="398"/>
    </row>
    <row r="628" spans="1:6">
      <c r="A628" s="397">
        <v>40259</v>
      </c>
      <c r="B628" s="279" t="str">
        <f>TiposLancamentos!B16</f>
        <v>Cristiane</v>
      </c>
      <c r="C628" s="280" t="s">
        <v>16634</v>
      </c>
      <c r="D628" s="281"/>
      <c r="E628" s="282">
        <v>80.209999999999994</v>
      </c>
      <c r="F628" s="398"/>
    </row>
    <row r="629" spans="1:6">
      <c r="A629" s="242"/>
      <c r="B629" s="243"/>
      <c r="C629" s="389" t="s">
        <v>10</v>
      </c>
      <c r="D629" s="146"/>
      <c r="E629" s="146"/>
      <c r="F629" s="376"/>
    </row>
    <row r="630" spans="1:6">
      <c r="A630" s="397">
        <v>40260</v>
      </c>
      <c r="B630" s="279" t="str">
        <f>TiposLancamentos!B16</f>
        <v>Cristiane</v>
      </c>
      <c r="C630" s="280" t="s">
        <v>16635</v>
      </c>
      <c r="D630" s="281"/>
      <c r="E630" s="282">
        <v>39.9</v>
      </c>
      <c r="F630" s="398"/>
    </row>
    <row r="631" spans="1:6">
      <c r="A631" s="108"/>
      <c r="B631" s="396"/>
      <c r="C631" s="270" t="s">
        <v>4006</v>
      </c>
      <c r="D631" s="110"/>
      <c r="E631" s="260"/>
      <c r="F631" s="271">
        <f>SUM(E623:E630)</f>
        <v>684.34</v>
      </c>
    </row>
    <row r="632" spans="1:6">
      <c r="A632" s="111">
        <v>40269</v>
      </c>
      <c r="B632" s="240" t="str">
        <f>TiposLancamentos!B15</f>
        <v>Cartões de Crédito</v>
      </c>
      <c r="C632" s="147" t="s">
        <v>14126</v>
      </c>
      <c r="D632" s="63">
        <v>644.44000000000005</v>
      </c>
      <c r="E632" s="231"/>
      <c r="F632" s="272"/>
    </row>
    <row r="633" spans="1:6">
      <c r="A633" s="397">
        <v>40284</v>
      </c>
      <c r="B633" s="279" t="str">
        <f>TiposLancamentos!B16</f>
        <v>Cristiane</v>
      </c>
      <c r="C633" s="280" t="s">
        <v>16636</v>
      </c>
      <c r="D633" s="281"/>
      <c r="E633" s="282">
        <v>117.8</v>
      </c>
      <c r="F633" s="398"/>
    </row>
    <row r="634" spans="1:6">
      <c r="A634" s="264"/>
      <c r="B634" s="243"/>
      <c r="C634" s="389" t="s">
        <v>10</v>
      </c>
      <c r="D634" s="146"/>
      <c r="E634" s="146"/>
      <c r="F634" s="399"/>
    </row>
    <row r="635" spans="1:6">
      <c r="A635" s="397">
        <v>40295</v>
      </c>
      <c r="B635" s="279" t="str">
        <f>TiposLancamentos!B16</f>
        <v>Cristiane</v>
      </c>
      <c r="C635" s="280" t="s">
        <v>16637</v>
      </c>
      <c r="D635" s="281"/>
      <c r="E635" s="282">
        <v>175.48</v>
      </c>
      <c r="F635" s="398"/>
    </row>
    <row r="636" spans="1:6">
      <c r="A636" s="397">
        <v>40298</v>
      </c>
      <c r="B636" s="279" t="str">
        <f>TiposLancamentos!B16</f>
        <v>Cristiane</v>
      </c>
      <c r="C636" s="280" t="s">
        <v>16638</v>
      </c>
      <c r="D636" s="281"/>
      <c r="E636" s="282">
        <v>159.9</v>
      </c>
      <c r="F636" s="398"/>
    </row>
    <row r="637" spans="1:6">
      <c r="A637" s="108"/>
      <c r="B637" s="396"/>
      <c r="C637" s="270" t="s">
        <v>4019</v>
      </c>
      <c r="D637" s="110"/>
      <c r="E637" s="260"/>
      <c r="F637" s="271">
        <f>SUM(E630:E633)</f>
        <v>157.69999999999999</v>
      </c>
    </row>
    <row r="638" spans="1:6">
      <c r="A638" s="111">
        <v>40301</v>
      </c>
      <c r="B638" s="240" t="str">
        <f>TiposLancamentos!B15</f>
        <v>Cartões de Crédito</v>
      </c>
      <c r="C638" s="147" t="s">
        <v>14142</v>
      </c>
      <c r="D638" s="63">
        <v>157.69999999999999</v>
      </c>
      <c r="E638" s="231"/>
      <c r="F638" s="272"/>
    </row>
    <row r="639" spans="1:6">
      <c r="A639" s="397">
        <v>40305</v>
      </c>
      <c r="B639" s="279" t="str">
        <f>TiposLancamentos!B16</f>
        <v>Cristiane</v>
      </c>
      <c r="C639" s="280" t="s">
        <v>16639</v>
      </c>
      <c r="D639" s="281"/>
      <c r="E639" s="282">
        <v>149.94999999999999</v>
      </c>
      <c r="F639" s="398"/>
    </row>
    <row r="640" spans="1:6">
      <c r="A640" s="264"/>
      <c r="B640" s="243"/>
      <c r="C640" s="389" t="s">
        <v>10</v>
      </c>
      <c r="D640" s="146"/>
      <c r="E640" s="146"/>
      <c r="F640" s="399"/>
    </row>
    <row r="641" spans="1:6">
      <c r="A641" s="397">
        <v>40324</v>
      </c>
      <c r="B641" s="279" t="str">
        <f>TiposLancamentos!B16</f>
        <v>Cristiane</v>
      </c>
      <c r="C641" s="280" t="s">
        <v>16640</v>
      </c>
      <c r="D641" s="281"/>
      <c r="E641" s="282">
        <v>30.1</v>
      </c>
      <c r="F641" s="398"/>
    </row>
    <row r="642" spans="1:6">
      <c r="A642" s="400">
        <v>40326</v>
      </c>
      <c r="B642" s="401" t="str">
        <f>TiposLancamentos!B16</f>
        <v>Cristiane</v>
      </c>
      <c r="C642" s="402" t="s">
        <v>16641</v>
      </c>
      <c r="D642" s="403"/>
      <c r="E642" s="404">
        <v>51.7</v>
      </c>
      <c r="F642" s="405"/>
    </row>
    <row r="643" spans="1:6">
      <c r="A643" s="108"/>
      <c r="B643" s="396"/>
      <c r="C643" s="270" t="s">
        <v>16642</v>
      </c>
      <c r="D643" s="110"/>
      <c r="E643" s="260"/>
      <c r="F643" s="271">
        <f>SUM(E635:E639)</f>
        <v>485.33</v>
      </c>
    </row>
    <row r="644" spans="1:6">
      <c r="A644" s="111">
        <v>40330</v>
      </c>
      <c r="B644" s="240" t="str">
        <f>TiposLancamentos!B15</f>
        <v>Cartões de Crédito</v>
      </c>
      <c r="C644" s="147" t="s">
        <v>14126</v>
      </c>
      <c r="D644" s="63">
        <v>458.33</v>
      </c>
      <c r="E644" s="231"/>
      <c r="F644" s="272"/>
    </row>
    <row r="645" spans="1:6">
      <c r="A645" s="397">
        <v>40336</v>
      </c>
      <c r="B645" s="279" t="str">
        <f>TiposLancamentos!B16</f>
        <v>Cristiane</v>
      </c>
      <c r="C645" s="280" t="s">
        <v>16643</v>
      </c>
      <c r="D645" s="281"/>
      <c r="E645" s="282">
        <v>149.94999999999999</v>
      </c>
      <c r="F645" s="398"/>
    </row>
    <row r="646" spans="1:6">
      <c r="A646" s="111">
        <v>40336</v>
      </c>
      <c r="B646" s="240" t="str">
        <f>TiposLancamentos!B78</f>
        <v>Diferenças</v>
      </c>
      <c r="C646" s="147" t="s">
        <v>16644</v>
      </c>
      <c r="D646" s="63"/>
      <c r="E646" s="231">
        <v>27</v>
      </c>
      <c r="F646" s="272"/>
    </row>
    <row r="647" spans="1:6">
      <c r="A647" s="111">
        <v>40336</v>
      </c>
      <c r="B647" s="240" t="str">
        <f>TiposLancamentos!B4</f>
        <v>Taxas Bancarias</v>
      </c>
      <c r="C647" s="147" t="s">
        <v>15004</v>
      </c>
      <c r="D647" s="63"/>
      <c r="E647" s="231">
        <v>3.38</v>
      </c>
      <c r="F647" s="272"/>
    </row>
    <row r="648" spans="1:6">
      <c r="A648" s="264"/>
      <c r="B648" s="243"/>
      <c r="C648" s="389" t="s">
        <v>10</v>
      </c>
      <c r="D648" s="146"/>
      <c r="E648" s="146"/>
      <c r="F648" s="399"/>
    </row>
    <row r="649" spans="1:6">
      <c r="A649" s="767"/>
      <c r="B649" s="1121"/>
      <c r="C649" s="753" t="s">
        <v>4045</v>
      </c>
      <c r="D649" s="754"/>
      <c r="E649" s="755"/>
      <c r="F649" s="1122">
        <f>SUM(E641:E647)</f>
        <v>262.13</v>
      </c>
    </row>
    <row r="650" spans="1:6">
      <c r="A650" s="769">
        <v>40360</v>
      </c>
      <c r="B650" s="240" t="str">
        <f>TiposLancamentos!B15</f>
        <v>Cartões de Crédito</v>
      </c>
      <c r="C650" s="147" t="s">
        <v>14142</v>
      </c>
      <c r="D650" s="63">
        <v>262.13</v>
      </c>
      <c r="E650" s="231"/>
      <c r="F650" s="1123"/>
    </row>
    <row r="651" spans="1:6">
      <c r="A651" s="769">
        <v>40350</v>
      </c>
      <c r="B651" s="240" t="str">
        <f>TiposLancamentos!B78</f>
        <v>Diferenças</v>
      </c>
      <c r="C651" s="147" t="s">
        <v>16645</v>
      </c>
      <c r="D651" s="63">
        <v>97.76</v>
      </c>
      <c r="E651" s="231"/>
      <c r="F651" s="1123"/>
    </row>
    <row r="652" spans="1:6">
      <c r="A652" s="1126"/>
      <c r="B652" s="1127"/>
      <c r="C652" s="1128" t="s">
        <v>10</v>
      </c>
      <c r="D652" s="1129"/>
      <c r="E652" s="1129"/>
      <c r="F652" s="1130"/>
    </row>
    <row r="653" spans="1:6">
      <c r="A653" s="767"/>
      <c r="B653" s="1121"/>
      <c r="C653" s="802" t="s">
        <v>7077</v>
      </c>
      <c r="D653" s="754"/>
      <c r="E653" s="755"/>
      <c r="F653" s="1122"/>
    </row>
    <row r="654" spans="1:6">
      <c r="A654" s="769">
        <v>42132</v>
      </c>
      <c r="B654" s="240" t="str">
        <f>TiposLancamentos!B5</f>
        <v>Supermercado</v>
      </c>
      <c r="C654" s="147" t="s">
        <v>11038</v>
      </c>
      <c r="D654" s="63"/>
      <c r="E654" s="231">
        <v>31.16</v>
      </c>
      <c r="F654" s="1123"/>
    </row>
    <row r="655" spans="1:6">
      <c r="A655" s="769">
        <v>42133</v>
      </c>
      <c r="B655" s="240" t="str">
        <f>TiposLancamentos!B88</f>
        <v>Ford Ecosport XLT</v>
      </c>
      <c r="C655" s="147" t="s">
        <v>16646</v>
      </c>
      <c r="D655" s="63"/>
      <c r="E655" s="231">
        <v>260.5</v>
      </c>
      <c r="F655" s="1123"/>
    </row>
    <row r="656" spans="1:6">
      <c r="A656" s="769">
        <v>42133</v>
      </c>
      <c r="B656" s="240" t="str">
        <f>TiposLancamentos!B19</f>
        <v>Restaurantes</v>
      </c>
      <c r="C656" s="147" t="s">
        <v>6536</v>
      </c>
      <c r="D656" s="63"/>
      <c r="E656" s="231">
        <v>140.80000000000001</v>
      </c>
      <c r="F656" s="1123"/>
    </row>
    <row r="657" spans="1:6">
      <c r="A657" s="769">
        <v>42134</v>
      </c>
      <c r="B657" s="240" t="str">
        <f>TiposLancamentos!B4</f>
        <v>Taxas Bancarias</v>
      </c>
      <c r="C657" s="147" t="s">
        <v>16647</v>
      </c>
      <c r="D657" s="63"/>
      <c r="E657" s="231">
        <v>7.77</v>
      </c>
      <c r="F657" s="1123"/>
    </row>
    <row r="658" spans="1:6">
      <c r="A658" s="769">
        <v>42134</v>
      </c>
      <c r="B658" s="240" t="str">
        <f>TiposLancamentos!B98</f>
        <v>Restituições</v>
      </c>
      <c r="C658" s="147" t="s">
        <v>16647</v>
      </c>
      <c r="D658" s="63">
        <v>7.77</v>
      </c>
      <c r="E658" s="231"/>
      <c r="F658" s="1123"/>
    </row>
    <row r="659" spans="1:6">
      <c r="A659" s="769">
        <v>42134</v>
      </c>
      <c r="B659" s="240" t="str">
        <f>TiposLancamentos!B5</f>
        <v>Supermercado</v>
      </c>
      <c r="C659" s="147" t="s">
        <v>11038</v>
      </c>
      <c r="D659" s="63"/>
      <c r="E659" s="231">
        <v>58.69</v>
      </c>
      <c r="F659" s="1123"/>
    </row>
    <row r="660" spans="1:6">
      <c r="A660" s="769">
        <v>42134</v>
      </c>
      <c r="B660" s="240" t="str">
        <f>TiposLancamentos!B4</f>
        <v>Taxas Bancarias</v>
      </c>
      <c r="C660" s="147" t="s">
        <v>16648</v>
      </c>
      <c r="D660" s="63"/>
      <c r="E660" s="231">
        <v>19.41</v>
      </c>
      <c r="F660" s="1123"/>
    </row>
    <row r="661" spans="1:6">
      <c r="A661" s="1131">
        <v>42134</v>
      </c>
      <c r="B661" s="279" t="str">
        <f>TiposLancamentos!B4</f>
        <v>Taxas Bancarias</v>
      </c>
      <c r="C661" s="280" t="s">
        <v>16648</v>
      </c>
      <c r="D661" s="281"/>
      <c r="E661" s="282">
        <v>9.74</v>
      </c>
      <c r="F661" s="1132"/>
    </row>
    <row r="662" spans="1:6">
      <c r="A662" s="769">
        <v>42135</v>
      </c>
      <c r="B662" s="240" t="str">
        <f>TiposLancamentos!B13</f>
        <v>Moradia</v>
      </c>
      <c r="C662" s="147" t="s">
        <v>16649</v>
      </c>
      <c r="D662" s="63"/>
      <c r="E662" s="231">
        <v>24.09</v>
      </c>
      <c r="F662" s="1123"/>
    </row>
    <row r="663" spans="1:6">
      <c r="A663" s="1131">
        <v>42136</v>
      </c>
      <c r="B663" s="279" t="str">
        <f>TiposLancamentos!B16</f>
        <v>Cristiane</v>
      </c>
      <c r="C663" s="280" t="s">
        <v>16650</v>
      </c>
      <c r="D663" s="281"/>
      <c r="E663" s="282">
        <v>25.41</v>
      </c>
      <c r="F663" s="1132"/>
    </row>
    <row r="664" spans="1:6">
      <c r="A664" s="1131">
        <v>42137</v>
      </c>
      <c r="B664" s="279" t="str">
        <f>TiposLancamentos!B88</f>
        <v>Ford Ecosport XLT</v>
      </c>
      <c r="C664" s="280" t="s">
        <v>8373</v>
      </c>
      <c r="D664" s="281"/>
      <c r="E664" s="282">
        <v>35</v>
      </c>
      <c r="F664" s="1132"/>
    </row>
    <row r="665" spans="1:6">
      <c r="A665" s="769">
        <v>42137</v>
      </c>
      <c r="B665" s="240" t="str">
        <f>TiposLancamentos!B48</f>
        <v>Baralhos e Oráculos</v>
      </c>
      <c r="C665" s="147" t="s">
        <v>16651</v>
      </c>
      <c r="D665" s="63"/>
      <c r="E665" s="231">
        <v>29.72</v>
      </c>
      <c r="F665" s="1123"/>
    </row>
    <row r="666" spans="1:6">
      <c r="A666" s="769">
        <v>42137</v>
      </c>
      <c r="B666" s="240" t="str">
        <f>TiposLancamentos!B62</f>
        <v>Papelaria</v>
      </c>
      <c r="C666" s="147" t="s">
        <v>16652</v>
      </c>
      <c r="D666" s="63"/>
      <c r="E666" s="231">
        <v>7.69</v>
      </c>
      <c r="F666" s="1123"/>
    </row>
    <row r="667" spans="1:6">
      <c r="A667" s="1131">
        <v>42137</v>
      </c>
      <c r="B667" s="279" t="str">
        <f>TiposLancamentos!B16</f>
        <v>Cristiane</v>
      </c>
      <c r="C667" s="280" t="s">
        <v>16653</v>
      </c>
      <c r="D667" s="281"/>
      <c r="E667" s="282">
        <v>91.7</v>
      </c>
      <c r="F667" s="1132"/>
    </row>
    <row r="668" spans="1:6">
      <c r="A668" s="769">
        <v>42138</v>
      </c>
      <c r="B668" s="240" t="str">
        <f>TiposLancamentos!B16</f>
        <v>Cristiane</v>
      </c>
      <c r="C668" s="147" t="s">
        <v>16654</v>
      </c>
      <c r="D668" s="63"/>
      <c r="E668" s="231">
        <v>60.19</v>
      </c>
      <c r="F668" s="1123"/>
    </row>
    <row r="669" spans="1:6">
      <c r="A669" s="769">
        <v>42139</v>
      </c>
      <c r="B669" s="240" t="str">
        <f>TiposLancamentos!B19</f>
        <v>Restaurantes</v>
      </c>
      <c r="C669" s="147" t="s">
        <v>16655</v>
      </c>
      <c r="D669" s="63"/>
      <c r="E669" s="231">
        <v>53.3</v>
      </c>
      <c r="F669" s="1123"/>
    </row>
    <row r="670" spans="1:6">
      <c r="A670" s="1131">
        <v>42139</v>
      </c>
      <c r="B670" s="279" t="str">
        <f>TiposLancamentos!B16</f>
        <v>Cristiane</v>
      </c>
      <c r="C670" s="280" t="s">
        <v>16656</v>
      </c>
      <c r="D670" s="281"/>
      <c r="E670" s="282">
        <v>109.7</v>
      </c>
      <c r="F670" s="1132"/>
    </row>
    <row r="671" spans="1:6">
      <c r="A671" s="1131">
        <v>42139</v>
      </c>
      <c r="B671" s="279" t="str">
        <f>TiposLancamentos!B16</f>
        <v>Cristiane</v>
      </c>
      <c r="C671" s="280" t="s">
        <v>16657</v>
      </c>
      <c r="D671" s="281"/>
      <c r="E671" s="282">
        <v>75</v>
      </c>
      <c r="F671" s="1132"/>
    </row>
    <row r="672" spans="1:6">
      <c r="A672" s="1131">
        <v>42139</v>
      </c>
      <c r="B672" s="279" t="str">
        <f>TiposLancamentos!B22</f>
        <v>Combustivel</v>
      </c>
      <c r="C672" s="280" t="s">
        <v>6718</v>
      </c>
      <c r="D672" s="281"/>
      <c r="E672" s="282">
        <v>134.80000000000001</v>
      </c>
      <c r="F672" s="1132"/>
    </row>
    <row r="673" spans="1:6">
      <c r="A673" s="1131">
        <v>42139</v>
      </c>
      <c r="B673" s="279" t="str">
        <f>TiposLancamentos!B56</f>
        <v>Farmácia</v>
      </c>
      <c r="C673" s="280" t="s">
        <v>6052</v>
      </c>
      <c r="D673" s="281"/>
      <c r="E673" s="282">
        <v>35.67</v>
      </c>
      <c r="F673" s="1132"/>
    </row>
    <row r="674" spans="1:6">
      <c r="A674" s="1131">
        <v>42142</v>
      </c>
      <c r="B674" s="279" t="str">
        <f>TiposLancamentos!B5</f>
        <v>Supermercado</v>
      </c>
      <c r="C674" s="280" t="s">
        <v>6234</v>
      </c>
      <c r="D674" s="281"/>
      <c r="E674" s="282">
        <v>227.26</v>
      </c>
      <c r="F674" s="1132"/>
    </row>
    <row r="675" spans="1:6">
      <c r="A675" s="1133"/>
      <c r="B675" s="1134"/>
      <c r="C675" s="1135" t="s">
        <v>10</v>
      </c>
      <c r="D675" s="1136"/>
      <c r="E675" s="1136"/>
      <c r="F675" s="1137"/>
    </row>
    <row r="676" spans="1:6">
      <c r="A676" s="769">
        <v>42145</v>
      </c>
      <c r="B676" s="240" t="str">
        <f>TiposLancamentos!B48</f>
        <v>Baralhos e Oráculos</v>
      </c>
      <c r="C676" s="147" t="s">
        <v>16658</v>
      </c>
      <c r="D676" s="63"/>
      <c r="E676" s="231">
        <v>127.2</v>
      </c>
      <c r="F676" s="1123" t="s">
        <v>16659</v>
      </c>
    </row>
    <row r="677" spans="1:6">
      <c r="A677" s="769">
        <v>42145</v>
      </c>
      <c r="B677" s="240" t="str">
        <f>TiposLancamentos!B4</f>
        <v>Taxas Bancarias</v>
      </c>
      <c r="C677" s="147" t="s">
        <v>16660</v>
      </c>
      <c r="D677" s="63"/>
      <c r="E677" s="231">
        <v>19.37</v>
      </c>
      <c r="F677" s="1123"/>
    </row>
    <row r="678" spans="1:6">
      <c r="A678" s="1131">
        <v>42145</v>
      </c>
      <c r="B678" s="279" t="str">
        <f>TiposLancamentos!B4</f>
        <v>Taxas Bancarias</v>
      </c>
      <c r="C678" s="280" t="s">
        <v>16660</v>
      </c>
      <c r="D678" s="281"/>
      <c r="E678" s="282">
        <v>9.68</v>
      </c>
      <c r="F678" s="1132"/>
    </row>
    <row r="679" spans="1:6">
      <c r="A679" s="769">
        <v>42147</v>
      </c>
      <c r="B679" s="240" t="str">
        <f>TiposLancamentos!B4</f>
        <v>Taxas Bancarias</v>
      </c>
      <c r="C679" s="147" t="s">
        <v>16609</v>
      </c>
      <c r="D679" s="63"/>
      <c r="E679" s="231">
        <v>8.11</v>
      </c>
      <c r="F679" s="1123" t="s">
        <v>16661</v>
      </c>
    </row>
    <row r="680" spans="1:6">
      <c r="A680" s="769">
        <v>42146</v>
      </c>
      <c r="B680" s="240" t="str">
        <f>TiposLancamentos!B4</f>
        <v>Taxas Bancarias</v>
      </c>
      <c r="C680" s="147" t="s">
        <v>16662</v>
      </c>
      <c r="D680" s="63"/>
      <c r="E680" s="231">
        <v>9</v>
      </c>
      <c r="F680" s="1123"/>
    </row>
    <row r="681" spans="1:6">
      <c r="A681" s="769">
        <v>42145</v>
      </c>
      <c r="B681" s="240" t="str">
        <f>TiposLancamentos!B26</f>
        <v>LIVROS</v>
      </c>
      <c r="C681" s="147" t="s">
        <v>16663</v>
      </c>
      <c r="D681" s="63"/>
      <c r="E681" s="231">
        <v>52.8</v>
      </c>
      <c r="F681" s="1123"/>
    </row>
    <row r="682" spans="1:6">
      <c r="A682" s="806">
        <v>42145</v>
      </c>
      <c r="B682" s="822" t="str">
        <f>TiposLancamentos!B26</f>
        <v>LIVROS</v>
      </c>
      <c r="C682" s="808" t="s">
        <v>16664</v>
      </c>
      <c r="D682" s="747"/>
      <c r="E682" s="1139">
        <v>49.79</v>
      </c>
      <c r="F682" s="1140"/>
    </row>
    <row r="683" spans="1:6">
      <c r="A683" s="810">
        <v>42145</v>
      </c>
      <c r="B683" s="823" t="str">
        <f>TiposLancamentos!B26</f>
        <v>LIVROS</v>
      </c>
      <c r="C683" s="812" t="s">
        <v>16665</v>
      </c>
      <c r="D683" s="849"/>
      <c r="E683" s="1141">
        <v>54</v>
      </c>
      <c r="F683" s="1142">
        <f>SUM(E682:E683)</f>
        <v>103.78999999999999</v>
      </c>
    </row>
    <row r="684" spans="1:6">
      <c r="A684" s="769">
        <v>42147</v>
      </c>
      <c r="B684" s="240" t="str">
        <f>TiposLancamentos!B16</f>
        <v>Cristiane</v>
      </c>
      <c r="C684" s="147" t="s">
        <v>16666</v>
      </c>
      <c r="D684" s="63"/>
      <c r="E684" s="231">
        <v>33.35</v>
      </c>
      <c r="F684" s="1123"/>
    </row>
    <row r="685" spans="1:6">
      <c r="A685" s="769">
        <v>42086</v>
      </c>
      <c r="B685" s="240" t="str">
        <f>TiposLancamentos!B28</f>
        <v>ComicBook</v>
      </c>
      <c r="C685" s="147" t="s">
        <v>16667</v>
      </c>
      <c r="D685" s="63"/>
      <c r="E685" s="231">
        <v>64</v>
      </c>
      <c r="F685" s="1123"/>
    </row>
    <row r="686" spans="1:6">
      <c r="A686" s="769">
        <v>42147</v>
      </c>
      <c r="B686" s="240" t="str">
        <f>TiposLancamentos!B16</f>
        <v>Cristiane</v>
      </c>
      <c r="C686" s="147" t="s">
        <v>16668</v>
      </c>
      <c r="D686" s="63"/>
      <c r="E686" s="231">
        <v>152.63999999999999</v>
      </c>
      <c r="F686" s="1123"/>
    </row>
    <row r="687" spans="1:6">
      <c r="A687" s="769">
        <v>42147</v>
      </c>
      <c r="B687" s="240" t="str">
        <f>TiposLancamentos!B19</f>
        <v>Restaurantes</v>
      </c>
      <c r="C687" s="147" t="s">
        <v>16669</v>
      </c>
      <c r="D687" s="63"/>
      <c r="E687" s="231">
        <v>12</v>
      </c>
      <c r="F687" s="1123"/>
    </row>
    <row r="688" spans="1:6">
      <c r="A688" s="769">
        <v>42147</v>
      </c>
      <c r="B688" s="240" t="str">
        <f>TiposLancamentos!B5</f>
        <v>Supermercado</v>
      </c>
      <c r="C688" s="147" t="s">
        <v>16670</v>
      </c>
      <c r="D688" s="63"/>
      <c r="E688" s="231">
        <v>6.84</v>
      </c>
      <c r="F688" s="1123"/>
    </row>
    <row r="689" spans="1:6">
      <c r="A689" s="769">
        <v>42147</v>
      </c>
      <c r="B689" s="240" t="str">
        <f>TiposLancamentos!B19</f>
        <v>Restaurantes</v>
      </c>
      <c r="C689" s="147" t="s">
        <v>16671</v>
      </c>
      <c r="D689" s="63"/>
      <c r="E689" s="231">
        <v>40.799999999999997</v>
      </c>
      <c r="F689" s="1123"/>
    </row>
    <row r="690" spans="1:6">
      <c r="A690" s="769">
        <v>42147</v>
      </c>
      <c r="B690" s="240" t="str">
        <f>TiposLancamentos!B5</f>
        <v>Supermercado</v>
      </c>
      <c r="C690" s="147" t="s">
        <v>16672</v>
      </c>
      <c r="D690" s="63"/>
      <c r="E690" s="231">
        <v>80.92</v>
      </c>
      <c r="F690" s="1123"/>
    </row>
    <row r="691" spans="1:6">
      <c r="A691" s="769">
        <v>42147</v>
      </c>
      <c r="B691" s="240" t="str">
        <f>TiposLancamentos!B19</f>
        <v>Restaurantes</v>
      </c>
      <c r="C691" s="147" t="s">
        <v>6137</v>
      </c>
      <c r="D691" s="63"/>
      <c r="E691" s="231">
        <v>62</v>
      </c>
      <c r="F691" s="1123"/>
    </row>
    <row r="692" spans="1:6">
      <c r="A692" s="769">
        <v>42148</v>
      </c>
      <c r="B692" s="240" t="str">
        <f>TiposLancamentos!B19</f>
        <v>Restaurantes</v>
      </c>
      <c r="C692" s="147" t="s">
        <v>16673</v>
      </c>
      <c r="D692" s="63"/>
      <c r="E692" s="231">
        <v>85.91</v>
      </c>
      <c r="F692" s="1123"/>
    </row>
    <row r="693" spans="1:6">
      <c r="A693" s="769">
        <v>42148</v>
      </c>
      <c r="B693" s="240" t="str">
        <f>TiposLancamentos!B13</f>
        <v>Moradia</v>
      </c>
      <c r="C693" s="147" t="s">
        <v>16674</v>
      </c>
      <c r="D693" s="63"/>
      <c r="E693" s="231">
        <v>399</v>
      </c>
      <c r="F693" s="1123"/>
    </row>
    <row r="694" spans="1:6">
      <c r="A694" s="769">
        <v>42149</v>
      </c>
      <c r="B694" s="240" t="str">
        <f>TiposLancamentos!B3</f>
        <v>Internet</v>
      </c>
      <c r="C694" s="147" t="s">
        <v>10734</v>
      </c>
      <c r="D694" s="63"/>
      <c r="E694" s="231">
        <v>29.9</v>
      </c>
      <c r="F694" s="1123"/>
    </row>
    <row r="695" spans="1:6">
      <c r="A695" s="1131">
        <v>42150</v>
      </c>
      <c r="B695" s="279" t="str">
        <f>TiposLancamentos!B19</f>
        <v>Restaurantes</v>
      </c>
      <c r="C695" s="280" t="s">
        <v>16675</v>
      </c>
      <c r="D695" s="281"/>
      <c r="E695" s="282">
        <v>46.8</v>
      </c>
      <c r="F695" s="1132"/>
    </row>
    <row r="696" spans="1:6">
      <c r="A696" s="1131">
        <v>42150</v>
      </c>
      <c r="B696" s="279" t="str">
        <f>TiposLancamentos!B13</f>
        <v>Moradia</v>
      </c>
      <c r="C696" s="280" t="s">
        <v>16676</v>
      </c>
      <c r="D696" s="281"/>
      <c r="E696" s="282">
        <v>192.8</v>
      </c>
      <c r="F696" s="1132"/>
    </row>
    <row r="697" spans="1:6">
      <c r="A697" s="1131">
        <v>42150</v>
      </c>
      <c r="B697" s="279" t="str">
        <f>TiposLancamentos!B13</f>
        <v>Moradia</v>
      </c>
      <c r="C697" s="280" t="s">
        <v>16677</v>
      </c>
      <c r="D697" s="281"/>
      <c r="E697" s="282">
        <v>169.9</v>
      </c>
      <c r="F697" s="1132"/>
    </row>
    <row r="698" spans="1:6">
      <c r="A698" s="1131">
        <v>42150</v>
      </c>
      <c r="B698" s="279" t="str">
        <f>TiposLancamentos!B13</f>
        <v>Moradia</v>
      </c>
      <c r="C698" s="280" t="s">
        <v>16678</v>
      </c>
      <c r="D698" s="281"/>
      <c r="E698" s="282">
        <v>55.9</v>
      </c>
      <c r="F698" s="1132"/>
    </row>
    <row r="699" spans="1:6">
      <c r="A699" s="1131">
        <v>42151</v>
      </c>
      <c r="B699" s="279" t="str">
        <f>TiposLancamentos!B19</f>
        <v>Restaurantes</v>
      </c>
      <c r="C699" s="280" t="s">
        <v>6234</v>
      </c>
      <c r="D699" s="281"/>
      <c r="E699" s="282">
        <v>265.19</v>
      </c>
      <c r="F699" s="1132"/>
    </row>
    <row r="700" spans="1:6">
      <c r="A700" s="1131">
        <v>42152</v>
      </c>
      <c r="B700" s="279" t="str">
        <f>TiposLancamentos!B16</f>
        <v>Cristiane</v>
      </c>
      <c r="C700" s="280" t="s">
        <v>16679</v>
      </c>
      <c r="D700" s="281"/>
      <c r="E700" s="282">
        <v>143</v>
      </c>
      <c r="F700" s="1132"/>
    </row>
    <row r="701" spans="1:6">
      <c r="A701" s="1131">
        <v>42153</v>
      </c>
      <c r="B701" s="279" t="str">
        <f>TiposLancamentos!B16</f>
        <v>Cristiane</v>
      </c>
      <c r="C701" s="280" t="s">
        <v>16680</v>
      </c>
      <c r="D701" s="281"/>
      <c r="E701" s="282">
        <v>99.6</v>
      </c>
      <c r="F701" s="1132"/>
    </row>
    <row r="702" spans="1:6">
      <c r="A702" s="1131">
        <v>42153</v>
      </c>
      <c r="B702" s="279" t="str">
        <f>TiposLancamentos!B16</f>
        <v>Cristiane</v>
      </c>
      <c r="C702" s="280" t="s">
        <v>16681</v>
      </c>
      <c r="D702" s="281"/>
      <c r="E702" s="282">
        <v>34.5</v>
      </c>
      <c r="F702" s="1132"/>
    </row>
    <row r="703" spans="1:6">
      <c r="A703" s="1131">
        <v>42153</v>
      </c>
      <c r="B703" s="279" t="str">
        <f>TiposLancamentos!B5</f>
        <v>Supermercado</v>
      </c>
      <c r="C703" s="280" t="s">
        <v>16682</v>
      </c>
      <c r="D703" s="281"/>
      <c r="E703" s="282">
        <v>145</v>
      </c>
      <c r="F703" s="1132"/>
    </row>
    <row r="704" spans="1:6">
      <c r="A704" s="1131">
        <v>42154</v>
      </c>
      <c r="B704" s="279" t="str">
        <f>TiposLancamentos!B16</f>
        <v>Cristiane</v>
      </c>
      <c r="C704" s="280" t="s">
        <v>16683</v>
      </c>
      <c r="D704" s="281"/>
      <c r="E704" s="282">
        <v>55</v>
      </c>
      <c r="F704" s="1132"/>
    </row>
    <row r="705" spans="1:6">
      <c r="A705" s="1131">
        <v>42154</v>
      </c>
      <c r="B705" s="279" t="str">
        <f>TiposLancamentos!B5</f>
        <v>Supermercado</v>
      </c>
      <c r="C705" s="280" t="s">
        <v>16684</v>
      </c>
      <c r="D705" s="281"/>
      <c r="E705" s="282">
        <v>111</v>
      </c>
      <c r="F705" s="1132"/>
    </row>
    <row r="706" spans="1:6">
      <c r="A706" s="767"/>
      <c r="B706" s="1121"/>
      <c r="C706" s="802" t="s">
        <v>7109</v>
      </c>
      <c r="D706" s="754"/>
      <c r="E706" s="755"/>
      <c r="F706" s="1122">
        <f>SUM(E653:E674)-D658</f>
        <v>1429.8300000000002</v>
      </c>
    </row>
    <row r="707" spans="1:6">
      <c r="A707" s="769">
        <v>42156</v>
      </c>
      <c r="B707" s="240" t="str">
        <f>TiposLancamentos!B15</f>
        <v>Cartões de Crédito</v>
      </c>
      <c r="C707" s="878" t="s">
        <v>16685</v>
      </c>
      <c r="D707" s="63">
        <v>1429.83</v>
      </c>
      <c r="E707" s="231"/>
      <c r="F707" s="1123"/>
    </row>
    <row r="708" spans="1:6">
      <c r="A708" s="1131">
        <v>42157</v>
      </c>
      <c r="B708" s="279" t="str">
        <f>TiposLancamentos!B5</f>
        <v>Supermercado</v>
      </c>
      <c r="C708" s="280" t="s">
        <v>16686</v>
      </c>
      <c r="D708" s="281"/>
      <c r="E708" s="282">
        <v>73.61</v>
      </c>
      <c r="F708" s="1132"/>
    </row>
    <row r="709" spans="1:6">
      <c r="A709" s="769">
        <v>42158</v>
      </c>
      <c r="B709" s="240" t="str">
        <f>TiposLancamentos!B70</f>
        <v>Vestuário</v>
      </c>
      <c r="C709" s="878" t="s">
        <v>16687</v>
      </c>
      <c r="D709" s="63"/>
      <c r="E709" s="231">
        <v>67.39</v>
      </c>
      <c r="F709" s="1123"/>
    </row>
    <row r="710" spans="1:6">
      <c r="A710" s="769">
        <v>42160</v>
      </c>
      <c r="B710" s="240" t="str">
        <f>TiposLancamentos!B87</f>
        <v>P207-1.6-XS</v>
      </c>
      <c r="C710" s="878" t="s">
        <v>16688</v>
      </c>
      <c r="D710" s="63"/>
      <c r="E710" s="231">
        <v>403</v>
      </c>
      <c r="F710" s="1123">
        <f>1209/3</f>
        <v>403</v>
      </c>
    </row>
    <row r="711" spans="1:6">
      <c r="A711" s="1131">
        <v>42160</v>
      </c>
      <c r="B711" s="279" t="str">
        <f>TiposLancamentos!B5</f>
        <v>Supermercado</v>
      </c>
      <c r="C711" s="280" t="s">
        <v>6234</v>
      </c>
      <c r="D711" s="281"/>
      <c r="E711" s="282">
        <v>103.83</v>
      </c>
      <c r="F711" s="1132"/>
    </row>
    <row r="712" spans="1:6">
      <c r="A712" s="769">
        <v>42160</v>
      </c>
      <c r="B712" s="240" t="str">
        <f>TiposLancamentos!B88</f>
        <v>Ford Ecosport XLT</v>
      </c>
      <c r="C712" s="878" t="s">
        <v>16689</v>
      </c>
      <c r="D712" s="63"/>
      <c r="E712" s="231">
        <v>321.33999999999997</v>
      </c>
      <c r="F712" s="1123"/>
    </row>
    <row r="713" spans="1:6">
      <c r="A713" s="769">
        <v>42160</v>
      </c>
      <c r="B713" s="240" t="str">
        <f>TiposLancamentos!B88</f>
        <v>Ford Ecosport XLT</v>
      </c>
      <c r="C713" s="878" t="s">
        <v>16690</v>
      </c>
      <c r="D713" s="63"/>
      <c r="E713" s="231">
        <v>165.6</v>
      </c>
      <c r="F713" s="1123"/>
    </row>
    <row r="714" spans="1:6">
      <c r="A714" s="1131">
        <v>42166</v>
      </c>
      <c r="B714" s="279" t="str">
        <f>TiposLancamentos!B16</f>
        <v>Cristiane</v>
      </c>
      <c r="C714" s="280" t="s">
        <v>16691</v>
      </c>
      <c r="D714" s="281"/>
      <c r="E714" s="282">
        <v>55.95</v>
      </c>
      <c r="F714" s="1132"/>
    </row>
    <row r="715" spans="1:6">
      <c r="A715" s="1131">
        <v>42166</v>
      </c>
      <c r="B715" s="279" t="str">
        <f>TiposLancamentos!B16</f>
        <v>Cristiane</v>
      </c>
      <c r="C715" s="280" t="s">
        <v>16692</v>
      </c>
      <c r="D715" s="281"/>
      <c r="E715" s="282">
        <v>47.37</v>
      </c>
      <c r="F715" s="1132"/>
    </row>
    <row r="716" spans="1:6">
      <c r="A716" s="1131">
        <v>42166</v>
      </c>
      <c r="B716" s="279" t="str">
        <f>TiposLancamentos!B5</f>
        <v>Supermercado</v>
      </c>
      <c r="C716" s="280" t="s">
        <v>6201</v>
      </c>
      <c r="D716" s="281"/>
      <c r="E716" s="282">
        <v>90.77</v>
      </c>
      <c r="F716" s="1132"/>
    </row>
    <row r="717" spans="1:6">
      <c r="A717" s="769">
        <v>42168</v>
      </c>
      <c r="B717" s="240" t="str">
        <f>TiposLancamentos!B16</f>
        <v>Cristiane</v>
      </c>
      <c r="C717" s="878" t="s">
        <v>16693</v>
      </c>
      <c r="D717" s="63"/>
      <c r="E717" s="231">
        <v>126.4</v>
      </c>
      <c r="F717" s="1123"/>
    </row>
    <row r="718" spans="1:6">
      <c r="A718" s="769">
        <v>42170</v>
      </c>
      <c r="B718" s="240" t="str">
        <f>TiposLancamentos!B26</f>
        <v>LIVROS</v>
      </c>
      <c r="C718" s="878" t="s">
        <v>16694</v>
      </c>
      <c r="D718" s="63"/>
      <c r="E718" s="231">
        <v>55.58</v>
      </c>
      <c r="F718" s="1123"/>
    </row>
    <row r="719" spans="1:6">
      <c r="A719" s="1131">
        <v>42171</v>
      </c>
      <c r="B719" s="279" t="str">
        <f>TiposLancamentos!B5</f>
        <v>Supermercado</v>
      </c>
      <c r="C719" s="280" t="s">
        <v>6234</v>
      </c>
      <c r="D719" s="281"/>
      <c r="E719" s="282">
        <v>219.89</v>
      </c>
      <c r="F719" s="1132"/>
    </row>
    <row r="720" spans="1:6">
      <c r="A720" s="1131">
        <v>42172</v>
      </c>
      <c r="B720" s="279" t="str">
        <f>TiposLancamentos!B16</f>
        <v>Cristiane</v>
      </c>
      <c r="C720" s="280" t="s">
        <v>16695</v>
      </c>
      <c r="D720" s="281"/>
      <c r="E720" s="282">
        <v>79.900000000000006</v>
      </c>
      <c r="F720" s="1132"/>
    </row>
    <row r="721" spans="1:6">
      <c r="A721" s="759"/>
      <c r="B721" s="243"/>
      <c r="C721" s="389" t="s">
        <v>10</v>
      </c>
      <c r="D721" s="146"/>
      <c r="E721" s="146"/>
      <c r="F721" s="1138"/>
    </row>
    <row r="722" spans="1:6">
      <c r="A722" s="769">
        <v>42172</v>
      </c>
      <c r="B722" s="240" t="str">
        <f>TiposLancamentos!B26</f>
        <v>LIVROS</v>
      </c>
      <c r="C722" s="878" t="s">
        <v>16696</v>
      </c>
      <c r="D722" s="63"/>
      <c r="E722" s="231">
        <v>87.42</v>
      </c>
      <c r="F722" s="1123"/>
    </row>
    <row r="723" spans="1:6">
      <c r="A723" s="769">
        <v>42174</v>
      </c>
      <c r="B723" s="240" t="str">
        <f>TiposLancamentos!B4</f>
        <v>Taxas Bancarias</v>
      </c>
      <c r="C723" s="878" t="s">
        <v>16697</v>
      </c>
      <c r="D723" s="63"/>
      <c r="E723" s="231">
        <v>19.37</v>
      </c>
      <c r="F723" s="1123"/>
    </row>
    <row r="724" spans="1:6">
      <c r="A724" s="1131">
        <v>42174</v>
      </c>
      <c r="B724" s="279" t="str">
        <f>TiposLancamentos!B16</f>
        <v>Cristiane</v>
      </c>
      <c r="C724" s="280" t="s">
        <v>16698</v>
      </c>
      <c r="D724" s="281"/>
      <c r="E724" s="282">
        <v>118.1</v>
      </c>
      <c r="F724" s="1132"/>
    </row>
    <row r="725" spans="1:6">
      <c r="A725" s="1131">
        <v>42174</v>
      </c>
      <c r="B725" s="279" t="str">
        <f>TiposLancamentos!B22</f>
        <v>Combustivel</v>
      </c>
      <c r="C725" s="280" t="s">
        <v>6398</v>
      </c>
      <c r="D725" s="281"/>
      <c r="E725" s="282">
        <v>100</v>
      </c>
      <c r="F725" s="1132"/>
    </row>
    <row r="726" spans="1:6">
      <c r="A726" s="1131">
        <v>42174</v>
      </c>
      <c r="B726" s="279" t="str">
        <f>TiposLancamentos!B4</f>
        <v>Taxas Bancarias</v>
      </c>
      <c r="C726" s="280" t="s">
        <v>16697</v>
      </c>
      <c r="D726" s="281"/>
      <c r="E726" s="282">
        <v>9.68</v>
      </c>
      <c r="F726" s="1132"/>
    </row>
    <row r="727" spans="1:6">
      <c r="A727" s="1131">
        <v>42175</v>
      </c>
      <c r="B727" s="279" t="str">
        <f>TiposLancamentos!B16</f>
        <v>Cristiane</v>
      </c>
      <c r="C727" s="280" t="s">
        <v>16699</v>
      </c>
      <c r="D727" s="281"/>
      <c r="E727" s="282">
        <v>168.21</v>
      </c>
      <c r="F727" s="1132"/>
    </row>
    <row r="728" spans="1:6">
      <c r="A728" s="1131">
        <v>42175</v>
      </c>
      <c r="B728" s="279" t="str">
        <f>TiposLancamentos!B16</f>
        <v>Cristiane</v>
      </c>
      <c r="C728" s="280" t="s">
        <v>16700</v>
      </c>
      <c r="D728" s="281"/>
      <c r="E728" s="282">
        <v>61</v>
      </c>
      <c r="F728" s="1132"/>
    </row>
    <row r="729" spans="1:6">
      <c r="A729" s="769">
        <v>42176</v>
      </c>
      <c r="B729" s="240" t="str">
        <f>TiposLancamentos!B48</f>
        <v>Baralhos e Oráculos</v>
      </c>
      <c r="C729" s="878" t="s">
        <v>16701</v>
      </c>
      <c r="D729" s="63"/>
      <c r="E729" s="231">
        <v>182.51</v>
      </c>
      <c r="F729" s="1123"/>
    </row>
    <row r="730" spans="1:6">
      <c r="A730" s="1131">
        <v>42179</v>
      </c>
      <c r="B730" s="279" t="str">
        <f>TiposLancamentos!B16</f>
        <v>Cristiane</v>
      </c>
      <c r="C730" s="280" t="s">
        <v>16702</v>
      </c>
      <c r="D730" s="281"/>
      <c r="E730" s="282">
        <v>63.94</v>
      </c>
      <c r="F730" s="1132"/>
    </row>
    <row r="731" spans="1:6">
      <c r="A731" s="769">
        <v>42179</v>
      </c>
      <c r="B731" s="240" t="str">
        <f>TiposLancamentos!B19</f>
        <v>Restaurantes</v>
      </c>
      <c r="C731" s="878" t="s">
        <v>16703</v>
      </c>
      <c r="D731" s="63"/>
      <c r="E731" s="231">
        <v>23.52</v>
      </c>
      <c r="F731" s="1123"/>
    </row>
    <row r="732" spans="1:6">
      <c r="A732" s="769">
        <v>42180</v>
      </c>
      <c r="B732" s="240" t="str">
        <f>TiposLancamentos!B19</f>
        <v>Restaurantes</v>
      </c>
      <c r="C732" s="878" t="s">
        <v>16704</v>
      </c>
      <c r="D732" s="63"/>
      <c r="E732" s="231">
        <v>60.01</v>
      </c>
      <c r="F732" s="1123"/>
    </row>
    <row r="733" spans="1:6">
      <c r="A733" s="769">
        <v>42180</v>
      </c>
      <c r="B733" s="240" t="str">
        <f>TiposLancamentos!B19</f>
        <v>Restaurantes</v>
      </c>
      <c r="C733" s="878" t="s">
        <v>16705</v>
      </c>
      <c r="D733" s="63"/>
      <c r="E733" s="231">
        <v>14.3</v>
      </c>
      <c r="F733" s="1123"/>
    </row>
    <row r="734" spans="1:6">
      <c r="A734" s="769">
        <v>42180</v>
      </c>
      <c r="B734" s="240" t="str">
        <f>TiposLancamentos!B3</f>
        <v>Internet</v>
      </c>
      <c r="C734" s="878" t="s">
        <v>10734</v>
      </c>
      <c r="D734" s="63"/>
      <c r="E734" s="231">
        <v>29.9</v>
      </c>
      <c r="F734" s="1123"/>
    </row>
    <row r="735" spans="1:6">
      <c r="A735" s="769">
        <v>42180</v>
      </c>
      <c r="B735" s="240" t="str">
        <f>TiposLancamentos!B19</f>
        <v>Restaurantes</v>
      </c>
      <c r="C735" s="878" t="s">
        <v>16706</v>
      </c>
      <c r="D735" s="63"/>
      <c r="E735" s="231">
        <v>13.4</v>
      </c>
      <c r="F735" s="1123"/>
    </row>
    <row r="736" spans="1:6">
      <c r="A736" s="1131">
        <v>42180</v>
      </c>
      <c r="B736" s="279" t="str">
        <f>TiposLancamentos!B5</f>
        <v>Supermercado</v>
      </c>
      <c r="C736" s="280" t="s">
        <v>10663</v>
      </c>
      <c r="D736" s="281"/>
      <c r="E736" s="282">
        <v>99.72</v>
      </c>
      <c r="F736" s="1132"/>
    </row>
    <row r="737" spans="1:6">
      <c r="A737" s="769">
        <v>42182</v>
      </c>
      <c r="B737" s="240" t="str">
        <f>TiposLancamentos!B19</f>
        <v>Restaurantes</v>
      </c>
      <c r="C737" s="878" t="s">
        <v>16707</v>
      </c>
      <c r="D737" s="63"/>
      <c r="E737" s="231">
        <v>182.05</v>
      </c>
      <c r="F737" s="1123"/>
    </row>
    <row r="738" spans="1:6">
      <c r="A738" s="1131">
        <v>42182</v>
      </c>
      <c r="B738" s="279" t="str">
        <f>TiposLancamentos!B16</f>
        <v>Cristiane</v>
      </c>
      <c r="C738" s="280" t="s">
        <v>16708</v>
      </c>
      <c r="D738" s="281"/>
      <c r="E738" s="282">
        <v>248.67</v>
      </c>
      <c r="F738" s="1132"/>
    </row>
    <row r="739" spans="1:6">
      <c r="A739" s="769">
        <v>42183</v>
      </c>
      <c r="B739" s="240" t="str">
        <f>TiposLancamentos!B19</f>
        <v>Restaurantes</v>
      </c>
      <c r="C739" s="878" t="s">
        <v>16709</v>
      </c>
      <c r="D739" s="63"/>
      <c r="E739" s="231">
        <v>44.5</v>
      </c>
      <c r="F739" s="1123"/>
    </row>
    <row r="740" spans="1:6">
      <c r="A740" s="806">
        <v>42183</v>
      </c>
      <c r="B740" s="822" t="str">
        <f>TiposLancamentos!B48</f>
        <v>Baralhos e Oráculos</v>
      </c>
      <c r="C740" s="808" t="s">
        <v>16710</v>
      </c>
      <c r="D740" s="747"/>
      <c r="E740" s="1139">
        <f>140+110</f>
        <v>250</v>
      </c>
      <c r="F740" s="1140"/>
    </row>
    <row r="741" spans="1:6">
      <c r="A741" s="810">
        <v>42183</v>
      </c>
      <c r="B741" s="823" t="str">
        <f>TiposLancamentos!B16</f>
        <v>Cristiane</v>
      </c>
      <c r="C741" s="812" t="s">
        <v>16711</v>
      </c>
      <c r="D741" s="849"/>
      <c r="E741" s="1141">
        <v>35</v>
      </c>
      <c r="F741" s="1142">
        <f>SUM(E740:E741)</f>
        <v>285</v>
      </c>
    </row>
    <row r="742" spans="1:6">
      <c r="A742" s="864">
        <v>42184</v>
      </c>
      <c r="B742" s="76" t="str">
        <f>TiposLancamentos!B26</f>
        <v>LIVROS</v>
      </c>
      <c r="C742" s="147" t="s">
        <v>16712</v>
      </c>
      <c r="D742" s="63"/>
      <c r="E742" s="49">
        <v>69.7</v>
      </c>
      <c r="F742" s="1123"/>
    </row>
    <row r="743" spans="1:6">
      <c r="A743" s="1131">
        <v>42184</v>
      </c>
      <c r="B743" s="279" t="str">
        <f>TiposLancamentos!B5</f>
        <v>Supermercado</v>
      </c>
      <c r="C743" s="280" t="s">
        <v>16713</v>
      </c>
      <c r="D743" s="281"/>
      <c r="E743" s="282">
        <v>22.66</v>
      </c>
      <c r="F743" s="1132"/>
    </row>
    <row r="744" spans="1:6">
      <c r="A744" s="1131">
        <v>42184</v>
      </c>
      <c r="B744" s="279" t="str">
        <f>TiposLancamentos!B13</f>
        <v>Moradia</v>
      </c>
      <c r="C744" s="280" t="s">
        <v>16714</v>
      </c>
      <c r="D744" s="281"/>
      <c r="E744" s="282">
        <v>119.91</v>
      </c>
      <c r="F744" s="1132"/>
    </row>
    <row r="745" spans="1:6">
      <c r="A745" s="767"/>
      <c r="B745" s="1121"/>
      <c r="C745" s="802" t="s">
        <v>7122</v>
      </c>
      <c r="D745" s="754"/>
      <c r="E745" s="755"/>
      <c r="F745" s="1122">
        <f>SUM(E676:E720)</f>
        <v>4426.63</v>
      </c>
    </row>
    <row r="746" spans="1:6">
      <c r="A746" s="769">
        <v>42186</v>
      </c>
      <c r="B746" s="240" t="str">
        <f>TiposLancamentos!B15</f>
        <v>Cartões de Crédito</v>
      </c>
      <c r="C746" s="147" t="s">
        <v>1874</v>
      </c>
      <c r="D746" s="63">
        <v>4426.63</v>
      </c>
      <c r="E746" s="231"/>
      <c r="F746" s="1123">
        <f>F745-F706</f>
        <v>2996.8</v>
      </c>
    </row>
    <row r="747" spans="1:6">
      <c r="A747" s="864">
        <v>42186</v>
      </c>
      <c r="B747" s="76" t="str">
        <f>TiposLancamentos!B17</f>
        <v>GATO</v>
      </c>
      <c r="C747" s="147" t="s">
        <v>16715</v>
      </c>
      <c r="D747" s="63"/>
      <c r="E747" s="49">
        <v>169</v>
      </c>
      <c r="F747" s="1123"/>
    </row>
    <row r="748" spans="1:6">
      <c r="A748" s="864">
        <v>42186</v>
      </c>
      <c r="B748" s="76" t="str">
        <f>TiposLancamentos!B17</f>
        <v>GATO</v>
      </c>
      <c r="C748" s="147" t="s">
        <v>16716</v>
      </c>
      <c r="D748" s="63"/>
      <c r="E748" s="49">
        <v>140.1</v>
      </c>
      <c r="F748" s="1123"/>
    </row>
    <row r="749" spans="1:6">
      <c r="A749" s="864">
        <v>42186</v>
      </c>
      <c r="B749" s="76" t="str">
        <f>TiposLancamentos!B17</f>
        <v>GATO</v>
      </c>
      <c r="C749" s="147" t="s">
        <v>16717</v>
      </c>
      <c r="D749" s="63"/>
      <c r="E749" s="49">
        <v>40.96</v>
      </c>
      <c r="F749" s="1123"/>
    </row>
    <row r="750" spans="1:6">
      <c r="A750" s="1131">
        <v>42186</v>
      </c>
      <c r="B750" s="279" t="str">
        <f>TiposLancamentos!B13</f>
        <v>Moradia</v>
      </c>
      <c r="C750" s="280" t="s">
        <v>16718</v>
      </c>
      <c r="D750" s="281"/>
      <c r="E750" s="282">
        <v>139.9</v>
      </c>
      <c r="F750" s="1132"/>
    </row>
    <row r="751" spans="1:6">
      <c r="A751" s="1131">
        <v>42188</v>
      </c>
      <c r="B751" s="279" t="str">
        <f>TiposLancamentos!B22</f>
        <v>Combustivel</v>
      </c>
      <c r="C751" s="280" t="s">
        <v>16719</v>
      </c>
      <c r="D751" s="281"/>
      <c r="E751" s="282">
        <v>100</v>
      </c>
      <c r="F751" s="1132"/>
    </row>
    <row r="752" spans="1:6">
      <c r="A752" s="1131">
        <v>42188</v>
      </c>
      <c r="B752" s="279" t="str">
        <f>TiposLancamentos!B16</f>
        <v>Cristiane</v>
      </c>
      <c r="C752" s="280" t="s">
        <v>16720</v>
      </c>
      <c r="D752" s="281"/>
      <c r="E752" s="282">
        <v>198</v>
      </c>
      <c r="F752" s="1132"/>
    </row>
    <row r="753" spans="1:6">
      <c r="A753" s="1131">
        <v>42188</v>
      </c>
      <c r="B753" s="279" t="str">
        <f>TiposLancamentos!B16</f>
        <v>Cristiane</v>
      </c>
      <c r="C753" s="280" t="s">
        <v>16721</v>
      </c>
      <c r="D753" s="281"/>
      <c r="E753" s="282">
        <v>51.6</v>
      </c>
      <c r="F753" s="1132"/>
    </row>
    <row r="754" spans="1:6">
      <c r="A754" s="1131">
        <v>42189</v>
      </c>
      <c r="B754" s="279" t="str">
        <f>TiposLancamentos!B16</f>
        <v>Cristiane</v>
      </c>
      <c r="C754" s="280" t="s">
        <v>16722</v>
      </c>
      <c r="D754" s="281"/>
      <c r="E754" s="282">
        <v>137.19999999999999</v>
      </c>
      <c r="F754" s="1132"/>
    </row>
    <row r="755" spans="1:6">
      <c r="A755" s="769">
        <v>42189</v>
      </c>
      <c r="B755" s="240" t="str">
        <f>TiposLancamentos!B19</f>
        <v>Restaurantes</v>
      </c>
      <c r="C755" s="147" t="s">
        <v>16723</v>
      </c>
      <c r="D755" s="63"/>
      <c r="E755" s="231">
        <v>59.5</v>
      </c>
      <c r="F755" s="1123"/>
    </row>
    <row r="756" spans="1:6">
      <c r="A756" s="769">
        <v>42190</v>
      </c>
      <c r="B756" s="240" t="str">
        <f>TiposLancamentos!B16</f>
        <v>Cristiane</v>
      </c>
      <c r="C756" s="147" t="s">
        <v>16724</v>
      </c>
      <c r="D756" s="63"/>
      <c r="E756" s="231">
        <v>89.9</v>
      </c>
      <c r="F756" s="1123"/>
    </row>
    <row r="757" spans="1:6">
      <c r="A757" s="769">
        <v>42190</v>
      </c>
      <c r="B757" s="240" t="str">
        <f>TiposLancamentos!B56</f>
        <v>Farmácia</v>
      </c>
      <c r="C757" s="147" t="s">
        <v>6118</v>
      </c>
      <c r="D757" s="63"/>
      <c r="E757" s="231">
        <v>65.040000000000006</v>
      </c>
      <c r="F757" s="1123"/>
    </row>
    <row r="758" spans="1:6">
      <c r="A758" s="769">
        <v>42190</v>
      </c>
      <c r="B758" s="240" t="str">
        <f>TiposLancamentos!B16</f>
        <v>Cristiane</v>
      </c>
      <c r="C758" s="147" t="s">
        <v>16725</v>
      </c>
      <c r="D758" s="63"/>
      <c r="E758" s="231">
        <v>92.03</v>
      </c>
      <c r="F758" s="1123"/>
    </row>
    <row r="759" spans="1:6">
      <c r="A759" s="769">
        <v>42190</v>
      </c>
      <c r="B759" s="240" t="str">
        <f>TiposLancamentos!B24</f>
        <v>Estacionamentos</v>
      </c>
      <c r="C759" s="147" t="s">
        <v>16726</v>
      </c>
      <c r="D759" s="63"/>
      <c r="E759" s="231">
        <v>13</v>
      </c>
      <c r="F759" s="1123"/>
    </row>
    <row r="760" spans="1:6">
      <c r="A760" s="769">
        <v>42190</v>
      </c>
      <c r="B760" s="240" t="str">
        <f>TiposLancamentos!B87</f>
        <v>P207-1.6-XS</v>
      </c>
      <c r="C760" s="878" t="s">
        <v>16727</v>
      </c>
      <c r="D760" s="63"/>
      <c r="E760" s="231">
        <v>403</v>
      </c>
      <c r="F760" s="1123"/>
    </row>
    <row r="761" spans="1:6">
      <c r="A761" s="769">
        <v>42190</v>
      </c>
      <c r="B761" s="240" t="str">
        <f>TiposLancamentos!B88</f>
        <v>Ford Ecosport XLT</v>
      </c>
      <c r="C761" s="878" t="s">
        <v>16728</v>
      </c>
      <c r="D761" s="63"/>
      <c r="E761" s="231">
        <v>321.33999999999997</v>
      </c>
      <c r="F761" s="1123"/>
    </row>
    <row r="762" spans="1:6">
      <c r="A762" s="769">
        <v>42192</v>
      </c>
      <c r="B762" s="240" t="str">
        <f>TiposLancamentos!B16</f>
        <v>Cristiane</v>
      </c>
      <c r="C762" s="147" t="s">
        <v>16729</v>
      </c>
      <c r="D762" s="63"/>
      <c r="E762" s="231">
        <v>95.2</v>
      </c>
      <c r="F762" s="1123"/>
    </row>
    <row r="763" spans="1:6">
      <c r="A763" s="769">
        <v>42194</v>
      </c>
      <c r="B763" s="240" t="str">
        <f>TiposLancamentos!B19</f>
        <v>Restaurantes</v>
      </c>
      <c r="C763" s="147" t="s">
        <v>16730</v>
      </c>
      <c r="D763" s="63"/>
      <c r="E763" s="231">
        <v>103</v>
      </c>
      <c r="F763" s="1123"/>
    </row>
    <row r="764" spans="1:6">
      <c r="A764" s="769">
        <v>42194</v>
      </c>
      <c r="B764" s="240" t="str">
        <f>TiposLancamentos!B56</f>
        <v>Farmácia</v>
      </c>
      <c r="C764" s="147" t="s">
        <v>16731</v>
      </c>
      <c r="D764" s="63"/>
      <c r="E764" s="231">
        <v>70.64</v>
      </c>
      <c r="F764" s="1123"/>
    </row>
    <row r="765" spans="1:6">
      <c r="A765" s="769">
        <v>42194</v>
      </c>
      <c r="B765" s="240" t="str">
        <f>TiposLancamentos!B5</f>
        <v>Supermercado</v>
      </c>
      <c r="C765" s="147" t="s">
        <v>6943</v>
      </c>
      <c r="D765" s="63"/>
      <c r="E765" s="231">
        <v>31.35</v>
      </c>
      <c r="F765" s="1123"/>
    </row>
    <row r="766" spans="1:6">
      <c r="A766" s="769">
        <v>42195</v>
      </c>
      <c r="B766" s="240" t="str">
        <f>TiposLancamentos!B62</f>
        <v>Papelaria</v>
      </c>
      <c r="C766" s="147" t="s">
        <v>16732</v>
      </c>
      <c r="D766" s="63"/>
      <c r="E766" s="231">
        <v>37.979999999999997</v>
      </c>
      <c r="F766" s="1123"/>
    </row>
    <row r="767" spans="1:6">
      <c r="A767" s="769">
        <v>42196</v>
      </c>
      <c r="B767" s="240" t="str">
        <f>TiposLancamentos!B19</f>
        <v>Restaurantes</v>
      </c>
      <c r="C767" s="147" t="s">
        <v>16733</v>
      </c>
      <c r="D767" s="63"/>
      <c r="E767" s="231">
        <v>84.81</v>
      </c>
      <c r="F767" s="1123"/>
    </row>
    <row r="768" spans="1:6">
      <c r="A768" s="769">
        <v>42196</v>
      </c>
      <c r="B768" s="240" t="str">
        <f>TiposLancamentos!B16</f>
        <v>Cristiane</v>
      </c>
      <c r="C768" s="147" t="s">
        <v>16734</v>
      </c>
      <c r="D768" s="63"/>
      <c r="E768" s="231">
        <v>31.95</v>
      </c>
      <c r="F768" s="1123"/>
    </row>
    <row r="769" spans="1:6">
      <c r="A769" s="769">
        <v>42196</v>
      </c>
      <c r="B769" s="240" t="str">
        <f>TiposLancamentos!B5</f>
        <v>Supermercado</v>
      </c>
      <c r="C769" s="147" t="s">
        <v>16735</v>
      </c>
      <c r="D769" s="63"/>
      <c r="E769" s="231">
        <v>32.950000000000003</v>
      </c>
      <c r="F769" s="1123"/>
    </row>
    <row r="770" spans="1:6">
      <c r="A770" s="769">
        <v>42197</v>
      </c>
      <c r="B770" s="240" t="str">
        <f>TiposLancamentos!B5</f>
        <v>Supermercado</v>
      </c>
      <c r="C770" s="147" t="s">
        <v>14839</v>
      </c>
      <c r="D770" s="63"/>
      <c r="E770" s="231">
        <v>105.18</v>
      </c>
      <c r="F770" s="1123"/>
    </row>
    <row r="771" spans="1:6">
      <c r="A771" s="769">
        <v>42197</v>
      </c>
      <c r="B771" s="240" t="str">
        <f>TiposLancamentos!B16</f>
        <v>Cristiane</v>
      </c>
      <c r="C771" s="147" t="s">
        <v>16736</v>
      </c>
      <c r="D771" s="63"/>
      <c r="E771" s="231">
        <v>129.80000000000001</v>
      </c>
      <c r="F771" s="1123"/>
    </row>
    <row r="772" spans="1:6">
      <c r="A772" s="769">
        <v>42197</v>
      </c>
      <c r="B772" s="240" t="str">
        <f>TiposLancamentos!B17</f>
        <v>GATO</v>
      </c>
      <c r="C772" s="147" t="s">
        <v>16737</v>
      </c>
      <c r="D772" s="63"/>
      <c r="E772" s="231">
        <v>26.56</v>
      </c>
      <c r="F772" s="1123"/>
    </row>
    <row r="773" spans="1:6">
      <c r="A773" s="769">
        <v>42197</v>
      </c>
      <c r="B773" s="240" t="str">
        <f>TiposLancamentos!B71</f>
        <v>Itens Pessoais</v>
      </c>
      <c r="C773" s="147" t="s">
        <v>16738</v>
      </c>
      <c r="D773" s="63"/>
      <c r="E773" s="231">
        <v>259.98</v>
      </c>
      <c r="F773" s="1123"/>
    </row>
    <row r="774" spans="1:6">
      <c r="A774" s="769">
        <v>42197</v>
      </c>
      <c r="B774" s="240" t="str">
        <f>TiposLancamentos!B62</f>
        <v>Papelaria</v>
      </c>
      <c r="C774" s="147" t="s">
        <v>16739</v>
      </c>
      <c r="D774" s="63"/>
      <c r="E774" s="231">
        <v>21.24</v>
      </c>
      <c r="F774" s="1123"/>
    </row>
    <row r="775" spans="1:6">
      <c r="A775" s="769">
        <v>42197</v>
      </c>
      <c r="B775" s="240" t="str">
        <f>TiposLancamentos!B19</f>
        <v>Restaurantes</v>
      </c>
      <c r="C775" s="147" t="s">
        <v>6832</v>
      </c>
      <c r="D775" s="63"/>
      <c r="E775" s="231">
        <v>111.79</v>
      </c>
      <c r="F775" s="1123"/>
    </row>
    <row r="776" spans="1:6">
      <c r="A776" s="1131">
        <v>42198</v>
      </c>
      <c r="B776" s="279" t="str">
        <f>TiposLancamentos!B16</f>
        <v>Cristiane</v>
      </c>
      <c r="C776" s="280" t="s">
        <v>16740</v>
      </c>
      <c r="D776" s="281"/>
      <c r="E776" s="282">
        <v>195</v>
      </c>
      <c r="F776" s="1132"/>
    </row>
    <row r="777" spans="1:6">
      <c r="A777" s="769">
        <v>42199</v>
      </c>
      <c r="B777" s="240" t="str">
        <f>TiposLancamentos!B16</f>
        <v>Cristiane</v>
      </c>
      <c r="C777" s="147" t="s">
        <v>16741</v>
      </c>
      <c r="D777" s="63"/>
      <c r="E777" s="231">
        <v>96.7</v>
      </c>
      <c r="F777" s="1123"/>
    </row>
    <row r="778" spans="1:6">
      <c r="A778" s="769">
        <v>42199</v>
      </c>
      <c r="B778" s="240" t="str">
        <f>TiposLancamentos!B19</f>
        <v>Restaurantes</v>
      </c>
      <c r="C778" s="147" t="s">
        <v>16742</v>
      </c>
      <c r="D778" s="63"/>
      <c r="E778" s="231">
        <v>65.41</v>
      </c>
      <c r="F778" s="1123"/>
    </row>
    <row r="779" spans="1:6">
      <c r="A779" s="769">
        <v>42200</v>
      </c>
      <c r="B779" s="240" t="str">
        <f>TiposLancamentos!B22</f>
        <v>Combustivel</v>
      </c>
      <c r="C779" s="147" t="s">
        <v>6412</v>
      </c>
      <c r="D779" s="63"/>
      <c r="E779" s="231">
        <v>60</v>
      </c>
      <c r="F779" s="1123"/>
    </row>
    <row r="780" spans="1:6">
      <c r="A780" s="1131">
        <v>42200</v>
      </c>
      <c r="B780" s="279" t="str">
        <f>TiposLancamentos!B16</f>
        <v>Cristiane</v>
      </c>
      <c r="C780" s="280" t="s">
        <v>16743</v>
      </c>
      <c r="D780" s="281"/>
      <c r="E780" s="282">
        <v>199.29</v>
      </c>
      <c r="F780" s="1150"/>
    </row>
    <row r="781" spans="1:6">
      <c r="A781" s="769">
        <v>42200</v>
      </c>
      <c r="B781" s="240" t="str">
        <f>TiposLancamentos!B19</f>
        <v>Restaurantes</v>
      </c>
      <c r="C781" s="147" t="s">
        <v>16744</v>
      </c>
      <c r="D781" s="63"/>
      <c r="E781" s="231">
        <v>32.36</v>
      </c>
      <c r="F781" s="1123"/>
    </row>
    <row r="782" spans="1:6">
      <c r="A782" s="769">
        <v>42201</v>
      </c>
      <c r="B782" s="240" t="str">
        <f>TiposLancamentos!B16</f>
        <v>Cristiane</v>
      </c>
      <c r="C782" s="147" t="s">
        <v>16654</v>
      </c>
      <c r="D782" s="63"/>
      <c r="E782" s="231">
        <v>49.1</v>
      </c>
      <c r="F782" s="1123"/>
    </row>
    <row r="783" spans="1:6">
      <c r="A783" s="769">
        <v>42202</v>
      </c>
      <c r="B783" s="240" t="str">
        <f>TiposLancamentos!B19</f>
        <v>Restaurantes</v>
      </c>
      <c r="C783" s="147" t="s">
        <v>16745</v>
      </c>
      <c r="D783" s="63"/>
      <c r="E783" s="231">
        <v>37</v>
      </c>
      <c r="F783" s="1123"/>
    </row>
    <row r="784" spans="1:6">
      <c r="A784" s="769">
        <v>42201</v>
      </c>
      <c r="B784" s="240" t="str">
        <f>TiposLancamentos!B5</f>
        <v>Supermercado</v>
      </c>
      <c r="C784" s="147" t="s">
        <v>6234</v>
      </c>
      <c r="D784" s="63"/>
      <c r="E784" s="231">
        <v>142.13</v>
      </c>
      <c r="F784" s="1123"/>
    </row>
    <row r="785" spans="1:6">
      <c r="A785" s="769">
        <v>42190</v>
      </c>
      <c r="B785" s="240" t="str">
        <f>TiposLancamentos!B98</f>
        <v>Restituições</v>
      </c>
      <c r="C785" s="147" t="s">
        <v>16746</v>
      </c>
      <c r="D785" s="63">
        <v>0.02</v>
      </c>
      <c r="E785" s="231"/>
      <c r="F785" s="1123"/>
    </row>
    <row r="786" spans="1:6">
      <c r="A786" s="769">
        <v>42203</v>
      </c>
      <c r="B786" s="240" t="str">
        <f>TiposLancamentos!B5</f>
        <v>Supermercado</v>
      </c>
      <c r="C786" s="147" t="s">
        <v>16747</v>
      </c>
      <c r="D786" s="63"/>
      <c r="E786" s="231">
        <v>34.590000000000003</v>
      </c>
      <c r="F786" s="1123"/>
    </row>
    <row r="787" spans="1:6">
      <c r="A787" s="769">
        <v>42206</v>
      </c>
      <c r="B787" s="240" t="str">
        <f>TiposLancamentos!B4</f>
        <v>Taxas Bancarias</v>
      </c>
      <c r="C787" s="147" t="s">
        <v>16748</v>
      </c>
      <c r="D787" s="63"/>
      <c r="E787" s="231">
        <v>3</v>
      </c>
      <c r="F787" s="1123"/>
    </row>
    <row r="788" spans="1:6">
      <c r="A788" s="769">
        <v>42204</v>
      </c>
      <c r="B788" s="240" t="str">
        <f>TiposLancamentos!B19</f>
        <v>Restaurantes</v>
      </c>
      <c r="C788" s="147" t="s">
        <v>16733</v>
      </c>
      <c r="D788" s="63"/>
      <c r="E788" s="231">
        <v>113.63</v>
      </c>
      <c r="F788" s="1123"/>
    </row>
    <row r="789" spans="1:6">
      <c r="A789" s="759"/>
      <c r="B789" s="243"/>
      <c r="C789" s="389" t="s">
        <v>10</v>
      </c>
      <c r="D789" s="146"/>
      <c r="E789" s="146"/>
      <c r="F789" s="1138"/>
    </row>
    <row r="790" spans="1:6">
      <c r="A790" s="769">
        <v>42206</v>
      </c>
      <c r="B790" s="240" t="str">
        <f>TiposLancamentos!B19</f>
        <v>Restaurantes</v>
      </c>
      <c r="C790" s="147" t="s">
        <v>16749</v>
      </c>
      <c r="D790" s="63"/>
      <c r="E790" s="231">
        <v>40.1</v>
      </c>
      <c r="F790" s="1123"/>
    </row>
    <row r="791" spans="1:6">
      <c r="A791" s="769">
        <v>42207</v>
      </c>
      <c r="B791" s="240" t="str">
        <f>TiposLancamentos!B4</f>
        <v>Taxas Bancarias</v>
      </c>
      <c r="C791" s="147" t="s">
        <v>16750</v>
      </c>
      <c r="D791" s="63"/>
      <c r="E791" s="231">
        <v>19.37</v>
      </c>
      <c r="F791" s="1123"/>
    </row>
    <row r="792" spans="1:6">
      <c r="A792" s="864">
        <v>42207</v>
      </c>
      <c r="B792" s="76" t="str">
        <f>TiposLancamentos!B19</f>
        <v>Restaurantes</v>
      </c>
      <c r="C792" s="147" t="s">
        <v>16751</v>
      </c>
      <c r="D792" s="63"/>
      <c r="E792" s="49">
        <v>28.6</v>
      </c>
      <c r="F792" s="1123"/>
    </row>
    <row r="793" spans="1:6">
      <c r="A793" s="1131">
        <v>42207</v>
      </c>
      <c r="B793" s="279" t="str">
        <f>TiposLancamentos!B4</f>
        <v>Taxas Bancarias</v>
      </c>
      <c r="C793" s="280" t="s">
        <v>16752</v>
      </c>
      <c r="D793" s="281"/>
      <c r="E793" s="282">
        <v>9.68</v>
      </c>
      <c r="F793" s="1150"/>
    </row>
    <row r="794" spans="1:6">
      <c r="A794" s="769">
        <v>42208</v>
      </c>
      <c r="B794" s="240" t="str">
        <f>TiposLancamentos!B70</f>
        <v>Vestuário</v>
      </c>
      <c r="C794" s="147" t="s">
        <v>16753</v>
      </c>
      <c r="D794" s="63"/>
      <c r="E794" s="231">
        <v>138.78</v>
      </c>
      <c r="F794" s="1123"/>
    </row>
    <row r="795" spans="1:6">
      <c r="A795" s="769">
        <v>42210</v>
      </c>
      <c r="B795" s="240" t="str">
        <f>TiposLancamentos!B3</f>
        <v>Internet</v>
      </c>
      <c r="C795" s="147" t="s">
        <v>10734</v>
      </c>
      <c r="D795" s="63"/>
      <c r="E795" s="231">
        <v>29.9</v>
      </c>
      <c r="F795" s="1123"/>
    </row>
    <row r="796" spans="1:6">
      <c r="A796" s="1131">
        <v>42213</v>
      </c>
      <c r="B796" s="279" t="str">
        <f>TiposLancamentos!B16</f>
        <v>Cristiane</v>
      </c>
      <c r="C796" s="280" t="s">
        <v>10852</v>
      </c>
      <c r="D796" s="281"/>
      <c r="E796" s="282">
        <v>129.25</v>
      </c>
      <c r="F796" s="1150"/>
    </row>
    <row r="797" spans="1:6">
      <c r="A797" s="1131">
        <v>42213</v>
      </c>
      <c r="B797" s="279" t="str">
        <f>TiposLancamentos!B16</f>
        <v>Cristiane</v>
      </c>
      <c r="C797" s="280" t="s">
        <v>16754</v>
      </c>
      <c r="D797" s="281"/>
      <c r="E797" s="282">
        <v>75.900000000000006</v>
      </c>
      <c r="F797" s="1150"/>
    </row>
    <row r="798" spans="1:6">
      <c r="A798" s="769">
        <v>42213</v>
      </c>
      <c r="B798" s="240" t="str">
        <f>TiposLancamentos!B26</f>
        <v>LIVROS</v>
      </c>
      <c r="C798" s="147" t="s">
        <v>16755</v>
      </c>
      <c r="D798" s="63"/>
      <c r="E798" s="231">
        <v>42.11</v>
      </c>
      <c r="F798" s="1123"/>
    </row>
    <row r="799" spans="1:6">
      <c r="A799" s="769">
        <v>42213</v>
      </c>
      <c r="B799" s="240" t="str">
        <f>TiposLancamentos!B98</f>
        <v>Restituições</v>
      </c>
      <c r="C799" s="147" t="s">
        <v>16755</v>
      </c>
      <c r="D799" s="63">
        <v>42.11</v>
      </c>
      <c r="E799" s="231"/>
      <c r="F799" s="1123"/>
    </row>
    <row r="800" spans="1:6">
      <c r="A800" s="1131">
        <v>42214</v>
      </c>
      <c r="B800" s="279" t="str">
        <f>TiposLancamentos!B72</f>
        <v>Presentes</v>
      </c>
      <c r="C800" s="280" t="s">
        <v>16756</v>
      </c>
      <c r="D800" s="281"/>
      <c r="E800" s="282">
        <v>79.900000000000006</v>
      </c>
      <c r="F800" s="1150"/>
    </row>
    <row r="801" spans="1:6">
      <c r="A801" s="1131">
        <v>42214</v>
      </c>
      <c r="B801" s="279" t="str">
        <f>TiposLancamentos!B72</f>
        <v>Presentes</v>
      </c>
      <c r="C801" s="280" t="s">
        <v>16757</v>
      </c>
      <c r="D801" s="281"/>
      <c r="E801" s="282">
        <v>54.9</v>
      </c>
      <c r="F801" s="1150"/>
    </row>
    <row r="802" spans="1:6">
      <c r="A802" s="1131">
        <v>42214</v>
      </c>
      <c r="B802" s="279" t="str">
        <f>TiposLancamentos!B5</f>
        <v>Supermercado</v>
      </c>
      <c r="C802" s="280" t="s">
        <v>6234</v>
      </c>
      <c r="D802" s="281"/>
      <c r="E802" s="282">
        <v>42.71</v>
      </c>
      <c r="F802" s="1150"/>
    </row>
    <row r="803" spans="1:6">
      <c r="A803" s="1131">
        <v>42214</v>
      </c>
      <c r="B803" s="279" t="str">
        <f>TiposLancamentos!B16</f>
        <v>Cristiane</v>
      </c>
      <c r="C803" s="280" t="s">
        <v>16758</v>
      </c>
      <c r="D803" s="281"/>
      <c r="E803" s="282">
        <v>181</v>
      </c>
      <c r="F803" s="1150"/>
    </row>
    <row r="804" spans="1:6">
      <c r="A804" s="769">
        <v>42215</v>
      </c>
      <c r="B804" s="240" t="str">
        <f>TiposLancamentos!B31</f>
        <v>Action Figures</v>
      </c>
      <c r="C804" s="147" t="s">
        <v>16759</v>
      </c>
      <c r="D804" s="63"/>
      <c r="E804" s="231">
        <v>289</v>
      </c>
      <c r="F804" s="1123"/>
    </row>
    <row r="805" spans="1:6">
      <c r="A805" s="769">
        <v>42216</v>
      </c>
      <c r="B805" s="240" t="str">
        <f>TiposLancamentos!B26</f>
        <v>LIVROS</v>
      </c>
      <c r="C805" s="147" t="s">
        <v>16760</v>
      </c>
      <c r="D805" s="63"/>
      <c r="E805" s="231">
        <v>33.479999999999997</v>
      </c>
      <c r="F805" s="1123"/>
    </row>
    <row r="806" spans="1:6">
      <c r="A806" s="767"/>
      <c r="B806" s="1121"/>
      <c r="C806" s="802" t="s">
        <v>13694</v>
      </c>
      <c r="D806" s="754"/>
      <c r="E806" s="755"/>
      <c r="F806" s="1122">
        <f>SUM(E722:E788)-D785</f>
        <v>6214.76</v>
      </c>
    </row>
    <row r="807" spans="1:6">
      <c r="A807" s="1131">
        <v>42217</v>
      </c>
      <c r="B807" s="279" t="str">
        <f>TiposLancamentos!B16</f>
        <v>Cristiane</v>
      </c>
      <c r="C807" s="280" t="s">
        <v>16761</v>
      </c>
      <c r="D807" s="281"/>
      <c r="E807" s="282">
        <v>17.89</v>
      </c>
      <c r="F807" s="1150">
        <f>F806-F745</f>
        <v>1788.13</v>
      </c>
    </row>
    <row r="808" spans="1:6">
      <c r="A808" s="769">
        <v>42219</v>
      </c>
      <c r="B808" s="240" t="str">
        <f>TiposLancamentos!B15</f>
        <v>Cartões de Crédito</v>
      </c>
      <c r="C808" s="147" t="s">
        <v>1874</v>
      </c>
      <c r="D808" s="63">
        <v>6214.76</v>
      </c>
      <c r="E808" s="231"/>
      <c r="F808" s="1123"/>
    </row>
    <row r="809" spans="1:6">
      <c r="A809" s="769">
        <v>42221</v>
      </c>
      <c r="B809" s="240" t="str">
        <f>TiposLancamentos!B5</f>
        <v>Supermercado</v>
      </c>
      <c r="C809" s="147" t="s">
        <v>16762</v>
      </c>
      <c r="D809" s="63"/>
      <c r="E809" s="231">
        <v>79.959999999999994</v>
      </c>
      <c r="F809" s="1123"/>
    </row>
    <row r="810" spans="1:6">
      <c r="A810" s="1131">
        <v>42221</v>
      </c>
      <c r="B810" s="279" t="str">
        <f>TiposLancamentos!B17</f>
        <v>GATO</v>
      </c>
      <c r="C810" s="280" t="s">
        <v>16763</v>
      </c>
      <c r="D810" s="281"/>
      <c r="E810" s="282">
        <v>37.5</v>
      </c>
      <c r="F810" s="1150"/>
    </row>
    <row r="811" spans="1:6">
      <c r="A811" s="1131">
        <v>42221</v>
      </c>
      <c r="B811" s="279" t="str">
        <f>TiposLancamentos!B16</f>
        <v>Cristiane</v>
      </c>
      <c r="C811" s="280" t="s">
        <v>16764</v>
      </c>
      <c r="D811" s="281"/>
      <c r="E811" s="282">
        <v>99.9</v>
      </c>
      <c r="F811" s="1150"/>
    </row>
    <row r="812" spans="1:6">
      <c r="A812" s="1131">
        <v>42221</v>
      </c>
      <c r="B812" s="279" t="str">
        <f>TiposLancamentos!B16</f>
        <v>Cristiane</v>
      </c>
      <c r="C812" s="280" t="s">
        <v>16765</v>
      </c>
      <c r="D812" s="281"/>
      <c r="E812" s="282">
        <v>119.98</v>
      </c>
      <c r="F812" s="1150"/>
    </row>
    <row r="813" spans="1:6">
      <c r="A813" s="769">
        <v>42221</v>
      </c>
      <c r="B813" s="240" t="str">
        <f>TiposLancamentos!B5</f>
        <v>Supermercado</v>
      </c>
      <c r="C813" s="52" t="s">
        <v>3618</v>
      </c>
      <c r="D813" s="63"/>
      <c r="E813" s="231">
        <v>17.64</v>
      </c>
      <c r="F813" s="1123"/>
    </row>
    <row r="814" spans="1:6">
      <c r="A814" s="769">
        <v>42221</v>
      </c>
      <c r="B814" s="240" t="str">
        <f>TiposLancamentos!B87</f>
        <v>P207-1.6-XS</v>
      </c>
      <c r="C814" s="878" t="s">
        <v>16766</v>
      </c>
      <c r="D814" s="63"/>
      <c r="E814" s="231">
        <v>403</v>
      </c>
      <c r="F814" s="1123"/>
    </row>
    <row r="815" spans="1:6">
      <c r="A815" s="769">
        <v>42221</v>
      </c>
      <c r="B815" s="240" t="str">
        <f>TiposLancamentos!B88</f>
        <v>Ford Ecosport XLT</v>
      </c>
      <c r="C815" s="878" t="s">
        <v>16767</v>
      </c>
      <c r="D815" s="63"/>
      <c r="E815" s="231">
        <v>321.33999999999997</v>
      </c>
      <c r="F815" s="1123"/>
    </row>
    <row r="816" spans="1:6">
      <c r="A816" s="769">
        <v>42222</v>
      </c>
      <c r="B816" s="240" t="str">
        <f>TiposLancamentos!B26</f>
        <v>LIVROS</v>
      </c>
      <c r="C816" s="878" t="s">
        <v>16768</v>
      </c>
      <c r="D816" s="63"/>
      <c r="E816" s="231">
        <v>79.37</v>
      </c>
      <c r="F816" s="1123"/>
    </row>
    <row r="817" spans="1:6">
      <c r="A817" s="1151">
        <v>42223</v>
      </c>
      <c r="B817" s="279" t="str">
        <f>TiposLancamentos!B16</f>
        <v>Cristiane</v>
      </c>
      <c r="C817" s="280" t="s">
        <v>16769</v>
      </c>
      <c r="D817" s="281"/>
      <c r="E817" s="282">
        <v>18.37</v>
      </c>
      <c r="F817" s="1150"/>
    </row>
    <row r="818" spans="1:6">
      <c r="A818" s="1151">
        <v>42225</v>
      </c>
      <c r="B818" s="279" t="str">
        <f>TiposLancamentos!B16</f>
        <v>Cristiane</v>
      </c>
      <c r="C818" s="280" t="s">
        <v>16770</v>
      </c>
      <c r="D818" s="281"/>
      <c r="E818" s="282">
        <v>35.22</v>
      </c>
      <c r="F818" s="1150"/>
    </row>
    <row r="819" spans="1:6">
      <c r="A819" s="1151">
        <v>42230</v>
      </c>
      <c r="B819" s="279" t="str">
        <f>TiposLancamentos!B16</f>
        <v>Cristiane</v>
      </c>
      <c r="C819" s="280" t="s">
        <v>16771</v>
      </c>
      <c r="D819" s="281"/>
      <c r="E819" s="282">
        <v>320</v>
      </c>
      <c r="F819" s="1150"/>
    </row>
    <row r="820" spans="1:6">
      <c r="A820" s="769">
        <v>42230</v>
      </c>
      <c r="B820" s="240" t="str">
        <f>TiposLancamentos!B16</f>
        <v>Cristiane</v>
      </c>
      <c r="C820" s="878" t="s">
        <v>10852</v>
      </c>
      <c r="D820" s="63"/>
      <c r="E820" s="231">
        <v>68.64</v>
      </c>
      <c r="F820" s="1123"/>
    </row>
    <row r="821" spans="1:6">
      <c r="A821" s="769">
        <v>42231</v>
      </c>
      <c r="B821" s="240" t="str">
        <f>TiposLancamentos!B56</f>
        <v>Farmácia</v>
      </c>
      <c r="C821" s="878" t="s">
        <v>16772</v>
      </c>
      <c r="D821" s="63"/>
      <c r="E821" s="231">
        <v>35.29</v>
      </c>
      <c r="F821" s="1123"/>
    </row>
    <row r="822" spans="1:6">
      <c r="A822" s="1151">
        <v>42231</v>
      </c>
      <c r="B822" s="279" t="str">
        <f>TiposLancamentos!B5</f>
        <v>Supermercado</v>
      </c>
      <c r="C822" s="280" t="s">
        <v>5844</v>
      </c>
      <c r="D822" s="281"/>
      <c r="E822" s="282">
        <v>107.59</v>
      </c>
      <c r="F822" s="1150"/>
    </row>
    <row r="823" spans="1:6">
      <c r="A823" s="1131">
        <v>42231</v>
      </c>
      <c r="B823" s="279" t="str">
        <f>TiposLancamentos!B16</f>
        <v>Cristiane</v>
      </c>
      <c r="C823" s="280" t="s">
        <v>16773</v>
      </c>
      <c r="D823" s="281"/>
      <c r="E823" s="282">
        <v>199.29</v>
      </c>
      <c r="F823" s="1150"/>
    </row>
    <row r="824" spans="1:6">
      <c r="A824" s="1131">
        <v>42231</v>
      </c>
      <c r="B824" s="279" t="str">
        <f>TiposLancamentos!B16</f>
        <v>Cristiane</v>
      </c>
      <c r="C824" s="280" t="s">
        <v>16774</v>
      </c>
      <c r="D824" s="281">
        <v>0.01</v>
      </c>
      <c r="E824" s="282"/>
      <c r="F824" s="1150"/>
    </row>
    <row r="825" spans="1:6">
      <c r="A825" s="1151">
        <v>42234</v>
      </c>
      <c r="B825" s="279" t="str">
        <f>TiposLancamentos!B5</f>
        <v>Supermercado</v>
      </c>
      <c r="C825" s="280" t="s">
        <v>6234</v>
      </c>
      <c r="D825" s="281"/>
      <c r="E825" s="282">
        <v>82.7</v>
      </c>
      <c r="F825" s="1150"/>
    </row>
    <row r="826" spans="1:6">
      <c r="A826" s="759"/>
      <c r="B826" s="243"/>
      <c r="C826" s="389" t="s">
        <v>10</v>
      </c>
      <c r="D826" s="146"/>
      <c r="E826" s="146"/>
      <c r="F826" s="1138"/>
    </row>
    <row r="827" spans="1:6">
      <c r="A827" s="769">
        <v>42236</v>
      </c>
      <c r="B827" s="240" t="str">
        <f>TiposLancamentos!B4</f>
        <v>Taxas Bancarias</v>
      </c>
      <c r="C827" s="147" t="s">
        <v>16775</v>
      </c>
      <c r="D827" s="63"/>
      <c r="E827" s="231">
        <v>19.37</v>
      </c>
      <c r="F827" s="1123"/>
    </row>
    <row r="828" spans="1:6">
      <c r="A828" s="1151">
        <v>42236</v>
      </c>
      <c r="B828" s="279" t="str">
        <f>TiposLancamentos!B4</f>
        <v>Taxas Bancarias</v>
      </c>
      <c r="C828" s="280" t="s">
        <v>16776</v>
      </c>
      <c r="D828" s="281"/>
      <c r="E828" s="282">
        <v>9.68</v>
      </c>
      <c r="F828" s="1150"/>
    </row>
    <row r="829" spans="1:6">
      <c r="A829" s="1151">
        <v>42237</v>
      </c>
      <c r="B829" s="279" t="str">
        <f>TiposLancamentos!B22</f>
        <v>Combustivel</v>
      </c>
      <c r="C829" s="280" t="s">
        <v>6691</v>
      </c>
      <c r="D829" s="281"/>
      <c r="E829" s="282">
        <v>60</v>
      </c>
      <c r="F829" s="1150"/>
    </row>
    <row r="830" spans="1:6">
      <c r="A830" s="769">
        <v>42237</v>
      </c>
      <c r="B830" s="240" t="str">
        <f>TiposLancamentos!B16</f>
        <v>Cristiane</v>
      </c>
      <c r="C830" s="147" t="s">
        <v>16777</v>
      </c>
      <c r="D830" s="63"/>
      <c r="E830" s="231">
        <v>29.9</v>
      </c>
      <c r="F830" s="1123"/>
    </row>
    <row r="831" spans="1:6">
      <c r="A831" s="1151">
        <v>42239</v>
      </c>
      <c r="B831" s="279" t="str">
        <f>TiposLancamentos!B5</f>
        <v>Supermercado</v>
      </c>
      <c r="C831" s="280" t="s">
        <v>6234</v>
      </c>
      <c r="D831" s="281"/>
      <c r="E831" s="282">
        <v>62.71</v>
      </c>
      <c r="F831" s="1150"/>
    </row>
    <row r="832" spans="1:6">
      <c r="A832" s="769">
        <v>42239</v>
      </c>
      <c r="B832" s="240" t="str">
        <f>TiposLancamentos!B16</f>
        <v>Cristiane</v>
      </c>
      <c r="C832" s="147" t="s">
        <v>16778</v>
      </c>
      <c r="D832" s="63"/>
      <c r="E832" s="231">
        <v>94.94</v>
      </c>
      <c r="F832" s="1123"/>
    </row>
    <row r="833" spans="1:6">
      <c r="A833" s="1151">
        <v>42240</v>
      </c>
      <c r="B833" s="279" t="str">
        <f>TiposLancamentos!B5</f>
        <v>Supermercado</v>
      </c>
      <c r="C833" s="280" t="s">
        <v>16779</v>
      </c>
      <c r="D833" s="281"/>
      <c r="E833" s="282">
        <v>93.8</v>
      </c>
      <c r="F833" s="1150"/>
    </row>
    <row r="834" spans="1:6">
      <c r="A834" s="769">
        <v>42241</v>
      </c>
      <c r="B834" s="240" t="str">
        <f>TiposLancamentos!B3</f>
        <v>Internet</v>
      </c>
      <c r="C834" s="147" t="s">
        <v>10734</v>
      </c>
      <c r="D834" s="63"/>
      <c r="E834" s="231">
        <v>29.9</v>
      </c>
      <c r="F834" s="1123"/>
    </row>
    <row r="835" spans="1:6">
      <c r="A835" s="769">
        <v>42241</v>
      </c>
      <c r="B835" s="240" t="str">
        <f>TiposLancamentos!B16</f>
        <v>Cristiane</v>
      </c>
      <c r="C835" s="147" t="s">
        <v>16780</v>
      </c>
      <c r="D835" s="63"/>
      <c r="E835" s="231">
        <v>139.9</v>
      </c>
      <c r="F835" s="1123"/>
    </row>
    <row r="836" spans="1:6">
      <c r="A836" s="1151">
        <v>42241</v>
      </c>
      <c r="B836" s="279" t="str">
        <f>TiposLancamentos!B16</f>
        <v>Cristiane</v>
      </c>
      <c r="C836" s="280" t="s">
        <v>11010</v>
      </c>
      <c r="D836" s="281"/>
      <c r="E836" s="282">
        <v>68.400000000000006</v>
      </c>
      <c r="F836" s="1150"/>
    </row>
    <row r="837" spans="1:6">
      <c r="A837" s="1151">
        <v>42242</v>
      </c>
      <c r="B837" s="279" t="str">
        <f>TiposLancamentos!B16</f>
        <v>Cristiane</v>
      </c>
      <c r="C837" s="280" t="s">
        <v>16781</v>
      </c>
      <c r="D837" s="281"/>
      <c r="E837" s="282">
        <v>63.91</v>
      </c>
      <c r="F837" s="1150"/>
    </row>
    <row r="838" spans="1:6">
      <c r="A838" s="769">
        <v>42245</v>
      </c>
      <c r="B838" s="240" t="str">
        <f>TiposLancamentos!B72</f>
        <v>Presentes</v>
      </c>
      <c r="C838" s="147" t="s">
        <v>16782</v>
      </c>
      <c r="D838" s="63"/>
      <c r="E838" s="231">
        <v>259.98</v>
      </c>
      <c r="F838" s="1123"/>
    </row>
    <row r="839" spans="1:6">
      <c r="A839" s="769">
        <v>42245</v>
      </c>
      <c r="B839" s="240" t="str">
        <f>TiposLancamentos!B5</f>
        <v>Supermercado</v>
      </c>
      <c r="C839" s="147" t="s">
        <v>6234</v>
      </c>
      <c r="D839" s="63"/>
      <c r="E839" s="231">
        <v>43.19</v>
      </c>
      <c r="F839" s="1123"/>
    </row>
    <row r="840" spans="1:6">
      <c r="A840" s="769">
        <v>42245</v>
      </c>
      <c r="B840" s="240" t="str">
        <f>TiposLancamentos!B26</f>
        <v>LIVROS</v>
      </c>
      <c r="C840" s="147" t="s">
        <v>16783</v>
      </c>
      <c r="D840" s="63"/>
      <c r="E840" s="231">
        <v>55.79</v>
      </c>
      <c r="F840" s="1123"/>
    </row>
    <row r="841" spans="1:6">
      <c r="A841" s="769">
        <v>42246</v>
      </c>
      <c r="B841" s="240" t="str">
        <f>TiposLancamentos!B19</f>
        <v>Restaurantes</v>
      </c>
      <c r="C841" s="147" t="s">
        <v>16784</v>
      </c>
      <c r="D841" s="63"/>
      <c r="E841" s="231">
        <v>145.4</v>
      </c>
      <c r="F841" s="1123"/>
    </row>
    <row r="842" spans="1:6">
      <c r="A842" s="769">
        <v>42246</v>
      </c>
      <c r="B842" s="240" t="str">
        <f>TiposLancamentos!B16</f>
        <v>Cristiane</v>
      </c>
      <c r="C842" s="147" t="s">
        <v>16785</v>
      </c>
      <c r="D842" s="63"/>
      <c r="E842" s="231">
        <v>127.5</v>
      </c>
      <c r="F842" s="1123"/>
    </row>
    <row r="843" spans="1:6">
      <c r="A843" s="767"/>
      <c r="B843" s="1121"/>
      <c r="C843" s="802" t="s">
        <v>16786</v>
      </c>
      <c r="D843" s="754"/>
      <c r="E843" s="755"/>
      <c r="F843" s="1122">
        <f>SUM(E790:E825)-D799-D824</f>
        <v>3196.2399999999993</v>
      </c>
    </row>
    <row r="844" spans="1:6">
      <c r="A844" s="769">
        <v>42248</v>
      </c>
      <c r="B844" s="240" t="str">
        <f>TiposLancamentos!B15</f>
        <v>Cartões de Crédito</v>
      </c>
      <c r="C844" s="147" t="s">
        <v>1874</v>
      </c>
      <c r="D844" s="63">
        <v>3196.24</v>
      </c>
      <c r="E844" s="231"/>
      <c r="F844" s="1123">
        <f>F843-F806</f>
        <v>-3018.5200000000009</v>
      </c>
    </row>
    <row r="845" spans="1:6">
      <c r="A845" s="769">
        <v>42249</v>
      </c>
      <c r="B845" s="240" t="str">
        <f>TiposLancamentos!B5</f>
        <v>Supermercado</v>
      </c>
      <c r="C845" s="147" t="s">
        <v>6234</v>
      </c>
      <c r="D845" s="63"/>
      <c r="E845" s="231">
        <v>171.56</v>
      </c>
      <c r="F845" s="1123"/>
    </row>
    <row r="846" spans="1:6">
      <c r="A846" s="1153">
        <v>42249</v>
      </c>
      <c r="B846" s="1154" t="str">
        <f>TiposLancamentos!B22</f>
        <v>Combustivel</v>
      </c>
      <c r="C846" s="1155" t="s">
        <v>6691</v>
      </c>
      <c r="D846" s="1156"/>
      <c r="E846" s="1157">
        <v>100</v>
      </c>
      <c r="F846" s="1158"/>
    </row>
    <row r="847" spans="1:6">
      <c r="A847" s="1159">
        <v>42249</v>
      </c>
      <c r="B847" s="1160" t="str">
        <f>TiposLancamentos!B16</f>
        <v>Cristiane</v>
      </c>
      <c r="C847" s="1161" t="s">
        <v>16787</v>
      </c>
      <c r="D847" s="1162"/>
      <c r="E847" s="1163">
        <v>5</v>
      </c>
      <c r="F847" s="1164">
        <f>SUM(E846:E847)</f>
        <v>105</v>
      </c>
    </row>
    <row r="848" spans="1:6">
      <c r="A848" s="769">
        <v>42250</v>
      </c>
      <c r="B848" s="240" t="str">
        <f>TiposLancamentos!B19</f>
        <v>Restaurantes</v>
      </c>
      <c r="C848" s="147" t="s">
        <v>6565</v>
      </c>
      <c r="D848" s="63"/>
      <c r="E848" s="231">
        <v>41</v>
      </c>
      <c r="F848" s="1123"/>
    </row>
    <row r="849" spans="1:6">
      <c r="A849" s="769">
        <v>42251</v>
      </c>
      <c r="B849" s="240" t="str">
        <f>TiposLancamentos!B57</f>
        <v>Informática</v>
      </c>
      <c r="C849" s="147" t="s">
        <v>16788</v>
      </c>
      <c r="D849" s="63"/>
      <c r="E849" s="231">
        <v>68</v>
      </c>
      <c r="F849" s="1123"/>
    </row>
    <row r="850" spans="1:6">
      <c r="A850" s="1151">
        <v>42251</v>
      </c>
      <c r="B850" s="279" t="str">
        <f>TiposLancamentos!B16</f>
        <v>Cristiane</v>
      </c>
      <c r="C850" s="280" t="s">
        <v>16789</v>
      </c>
      <c r="D850" s="281"/>
      <c r="E850" s="282">
        <v>111</v>
      </c>
      <c r="F850" s="1150"/>
    </row>
    <row r="851" spans="1:6">
      <c r="A851" s="1151">
        <v>42251</v>
      </c>
      <c r="B851" s="279" t="str">
        <f>TiposLancamentos!B16</f>
        <v>Cristiane</v>
      </c>
      <c r="C851" s="280" t="s">
        <v>16790</v>
      </c>
      <c r="D851" s="281"/>
      <c r="E851" s="282">
        <v>83</v>
      </c>
      <c r="F851" s="1150"/>
    </row>
    <row r="852" spans="1:6">
      <c r="A852" s="769">
        <v>42251</v>
      </c>
      <c r="B852" s="240" t="str">
        <f>TiposLancamentos!B19</f>
        <v>Restaurantes</v>
      </c>
      <c r="C852" s="147" t="s">
        <v>10900</v>
      </c>
      <c r="D852" s="63"/>
      <c r="E852" s="231">
        <v>36</v>
      </c>
      <c r="F852" s="1123"/>
    </row>
    <row r="853" spans="1:6">
      <c r="A853" s="1151">
        <v>42251</v>
      </c>
      <c r="B853" s="279" t="str">
        <f>TiposLancamentos!B16</f>
        <v>Cristiane</v>
      </c>
      <c r="C853" s="280" t="s">
        <v>16791</v>
      </c>
      <c r="D853" s="281"/>
      <c r="E853" s="282">
        <v>29.44</v>
      </c>
      <c r="F853" s="1150"/>
    </row>
    <row r="854" spans="1:6">
      <c r="A854" s="769">
        <v>42251</v>
      </c>
      <c r="B854" s="240" t="str">
        <f>TiposLancamentos!B72</f>
        <v>Presentes</v>
      </c>
      <c r="C854" s="147" t="s">
        <v>16792</v>
      </c>
      <c r="D854" s="63"/>
      <c r="E854" s="231">
        <v>85</v>
      </c>
      <c r="F854" s="1123"/>
    </row>
    <row r="855" spans="1:6">
      <c r="A855" s="769">
        <v>42251</v>
      </c>
      <c r="B855" s="240" t="str">
        <f>TiposLancamentos!B24</f>
        <v>Estacionamentos</v>
      </c>
      <c r="C855" s="147" t="s">
        <v>9097</v>
      </c>
      <c r="D855" s="63"/>
      <c r="E855" s="231">
        <v>7</v>
      </c>
      <c r="F855" s="1123"/>
    </row>
    <row r="856" spans="1:6">
      <c r="A856" s="769">
        <v>42189</v>
      </c>
      <c r="B856" s="240" t="str">
        <f>TiposLancamentos!B19</f>
        <v>Restaurantes</v>
      </c>
      <c r="C856" s="147" t="s">
        <v>16793</v>
      </c>
      <c r="D856" s="63"/>
      <c r="E856" s="231">
        <v>170.94</v>
      </c>
      <c r="F856" s="1123"/>
    </row>
    <row r="857" spans="1:6">
      <c r="A857" s="769">
        <v>42252</v>
      </c>
      <c r="B857" s="240" t="str">
        <f>TiposLancamentos!B5</f>
        <v>Supermercado</v>
      </c>
      <c r="C857" s="147" t="s">
        <v>6234</v>
      </c>
      <c r="D857" s="63"/>
      <c r="E857" s="231">
        <v>12.31</v>
      </c>
      <c r="F857" s="1123"/>
    </row>
    <row r="858" spans="1:6">
      <c r="A858" s="1151">
        <v>42252</v>
      </c>
      <c r="B858" s="279" t="str">
        <f>TiposLancamentos!B16</f>
        <v>Cristiane</v>
      </c>
      <c r="C858" s="280" t="s">
        <v>10852</v>
      </c>
      <c r="D858" s="281"/>
      <c r="E858" s="282">
        <v>145.47999999999999</v>
      </c>
      <c r="F858" s="1150"/>
    </row>
    <row r="859" spans="1:6">
      <c r="A859" s="769">
        <v>42252</v>
      </c>
      <c r="B859" s="240" t="str">
        <f>TiposLancamentos!B19</f>
        <v>Restaurantes</v>
      </c>
      <c r="C859" s="147" t="s">
        <v>6565</v>
      </c>
      <c r="D859" s="63"/>
      <c r="E859" s="231">
        <v>50.2</v>
      </c>
      <c r="F859" s="1123"/>
    </row>
    <row r="860" spans="1:6">
      <c r="A860" s="769">
        <v>42253</v>
      </c>
      <c r="B860" s="240" t="str">
        <f>TiposLancamentos!B73</f>
        <v>Cursos</v>
      </c>
      <c r="C860" s="147" t="s">
        <v>16794</v>
      </c>
      <c r="D860" s="63"/>
      <c r="E860" s="231">
        <v>300</v>
      </c>
      <c r="F860" s="1123"/>
    </row>
    <row r="861" spans="1:6">
      <c r="A861" s="769">
        <v>42254</v>
      </c>
      <c r="B861" s="240" t="str">
        <f>TiposLancamentos!B19</f>
        <v>Restaurantes</v>
      </c>
      <c r="C861" s="147" t="s">
        <v>16795</v>
      </c>
      <c r="D861" s="63"/>
      <c r="E861" s="231">
        <v>93.5</v>
      </c>
      <c r="F861" s="1123"/>
    </row>
    <row r="862" spans="1:6">
      <c r="A862" s="769">
        <v>42254</v>
      </c>
      <c r="B862" s="240" t="str">
        <f>TiposLancamentos!B16</f>
        <v>Cristiane</v>
      </c>
      <c r="C862" s="147" t="s">
        <v>16796</v>
      </c>
      <c r="D862" s="63"/>
      <c r="E862" s="231">
        <v>18.87</v>
      </c>
      <c r="F862" s="1123"/>
    </row>
    <row r="863" spans="1:6">
      <c r="A863" s="769">
        <v>42254</v>
      </c>
      <c r="B863" s="240" t="str">
        <f>TiposLancamentos!B17</f>
        <v>GATO</v>
      </c>
      <c r="C863" s="147" t="s">
        <v>16797</v>
      </c>
      <c r="D863" s="63"/>
      <c r="E863" s="231">
        <v>45</v>
      </c>
      <c r="F863" s="1123"/>
    </row>
    <row r="864" spans="1:6">
      <c r="A864" s="769">
        <v>42254</v>
      </c>
      <c r="B864" s="240" t="str">
        <f>TiposLancamentos!B5</f>
        <v>Supermercado</v>
      </c>
      <c r="C864" s="147" t="s">
        <v>16798</v>
      </c>
      <c r="D864" s="63"/>
      <c r="E864" s="231">
        <v>42.95</v>
      </c>
      <c r="F864" s="1123"/>
    </row>
    <row r="865" spans="1:6">
      <c r="A865" s="769">
        <v>42254</v>
      </c>
      <c r="B865" s="240" t="str">
        <f>TiposLancamentos!B16</f>
        <v>Cristiane</v>
      </c>
      <c r="C865" s="147" t="s">
        <v>16799</v>
      </c>
      <c r="D865" s="63"/>
      <c r="E865" s="231">
        <v>87.26</v>
      </c>
      <c r="F865" s="1123"/>
    </row>
    <row r="866" spans="1:6">
      <c r="A866" s="769">
        <v>42254</v>
      </c>
      <c r="B866" s="240" t="str">
        <f>TiposLancamentos!B16</f>
        <v>Cristiane</v>
      </c>
      <c r="C866" s="147" t="s">
        <v>16800</v>
      </c>
      <c r="D866" s="63"/>
      <c r="E866" s="231">
        <v>335.98</v>
      </c>
      <c r="F866" s="1123"/>
    </row>
    <row r="867" spans="1:6">
      <c r="A867" s="769">
        <v>42256</v>
      </c>
      <c r="B867" s="240" t="str">
        <f>TiposLancamentos!B22</f>
        <v>Combustivel</v>
      </c>
      <c r="C867" s="147" t="s">
        <v>6728</v>
      </c>
      <c r="D867" s="63"/>
      <c r="E867" s="231">
        <v>70</v>
      </c>
      <c r="F867" s="1123"/>
    </row>
    <row r="868" spans="1:6">
      <c r="A868" s="769">
        <v>42256</v>
      </c>
      <c r="B868" s="240" t="str">
        <f>TiposLancamentos!B70</f>
        <v>Vestuário</v>
      </c>
      <c r="C868" s="147" t="s">
        <v>16801</v>
      </c>
      <c r="D868" s="63"/>
      <c r="E868" s="231">
        <v>192.78</v>
      </c>
      <c r="F868" s="1123">
        <v>578.29999999999995</v>
      </c>
    </row>
    <row r="869" spans="1:6">
      <c r="A869" s="1151">
        <v>42256</v>
      </c>
      <c r="B869" s="279" t="str">
        <f>TiposLancamentos!B16</f>
        <v>Cristiane</v>
      </c>
      <c r="C869" s="280" t="s">
        <v>16473</v>
      </c>
      <c r="D869" s="281"/>
      <c r="E869" s="282">
        <v>259.98</v>
      </c>
      <c r="F869" s="1150"/>
    </row>
    <row r="870" spans="1:6">
      <c r="A870" s="769">
        <v>42256</v>
      </c>
      <c r="B870" s="240" t="str">
        <f>TiposLancamentos!B19</f>
        <v>Restaurantes</v>
      </c>
      <c r="C870" s="147" t="s">
        <v>16802</v>
      </c>
      <c r="D870" s="63"/>
      <c r="E870" s="231">
        <v>26</v>
      </c>
      <c r="F870" s="1123"/>
    </row>
    <row r="871" spans="1:6">
      <c r="A871" s="769">
        <v>42256</v>
      </c>
      <c r="B871" s="240" t="str">
        <f>TiposLancamentos!B71</f>
        <v>Itens Pessoais</v>
      </c>
      <c r="C871" s="147" t="s">
        <v>16803</v>
      </c>
      <c r="D871" s="63"/>
      <c r="E871" s="231">
        <v>195</v>
      </c>
      <c r="F871" s="1123"/>
    </row>
    <row r="872" spans="1:6">
      <c r="A872" s="769">
        <v>42256</v>
      </c>
      <c r="B872" s="240" t="str">
        <f>TiposLancamentos!B48</f>
        <v>Baralhos e Oráculos</v>
      </c>
      <c r="C872" s="147" t="s">
        <v>16804</v>
      </c>
      <c r="D872" s="63"/>
      <c r="E872" s="231">
        <v>174.9</v>
      </c>
      <c r="F872" s="1123"/>
    </row>
    <row r="873" spans="1:6">
      <c r="A873" s="1151">
        <v>42256</v>
      </c>
      <c r="B873" s="279" t="str">
        <f>TiposLancamentos!B5</f>
        <v>Supermercado</v>
      </c>
      <c r="C873" s="280" t="s">
        <v>6234</v>
      </c>
      <c r="D873" s="281"/>
      <c r="E873" s="282">
        <v>83.31</v>
      </c>
      <c r="F873" s="1150"/>
    </row>
    <row r="874" spans="1:6">
      <c r="A874" s="769">
        <v>42257</v>
      </c>
      <c r="B874" s="240" t="str">
        <f>TiposLancamentos!B17</f>
        <v>GATO</v>
      </c>
      <c r="C874" s="147" t="s">
        <v>7606</v>
      </c>
      <c r="D874" s="63"/>
      <c r="E874" s="231">
        <v>72.900000000000006</v>
      </c>
      <c r="F874" s="1123"/>
    </row>
    <row r="875" spans="1:6">
      <c r="A875" s="769">
        <v>42258</v>
      </c>
      <c r="B875" s="240" t="str">
        <f>TiposLancamentos!B22</f>
        <v>Combustivel</v>
      </c>
      <c r="C875" s="147" t="s">
        <v>6718</v>
      </c>
      <c r="D875" s="63"/>
      <c r="E875" s="231">
        <v>90</v>
      </c>
      <c r="F875" s="1123"/>
    </row>
    <row r="876" spans="1:6">
      <c r="A876" s="769">
        <v>42258</v>
      </c>
      <c r="B876" s="240" t="str">
        <f>TiposLancamentos!B19</f>
        <v>Restaurantes</v>
      </c>
      <c r="C876" s="147" t="s">
        <v>16805</v>
      </c>
      <c r="D876" s="63"/>
      <c r="E876" s="231">
        <v>66.900000000000006</v>
      </c>
      <c r="F876" s="1123"/>
    </row>
    <row r="877" spans="1:6">
      <c r="A877" s="769">
        <v>42258</v>
      </c>
      <c r="B877" s="240" t="str">
        <f>TiposLancamentos!B22</f>
        <v>Combustivel</v>
      </c>
      <c r="C877" s="147" t="s">
        <v>16806</v>
      </c>
      <c r="D877" s="63"/>
      <c r="E877" s="231">
        <v>86.58</v>
      </c>
      <c r="F877" s="1123"/>
    </row>
    <row r="878" spans="1:6">
      <c r="A878" s="769">
        <v>42258</v>
      </c>
      <c r="B878" s="240" t="str">
        <f>TiposLancamentos!B19</f>
        <v>Restaurantes</v>
      </c>
      <c r="C878" s="147" t="s">
        <v>16807</v>
      </c>
      <c r="D878" s="63"/>
      <c r="E878" s="231">
        <v>26.9</v>
      </c>
      <c r="F878" s="1123"/>
    </row>
    <row r="879" spans="1:6">
      <c r="A879" s="769">
        <v>42260</v>
      </c>
      <c r="B879" s="240" t="str">
        <f>TiposLancamentos!B64</f>
        <v>Viagens</v>
      </c>
      <c r="C879" s="147" t="s">
        <v>16808</v>
      </c>
      <c r="D879" s="63"/>
      <c r="E879" s="231">
        <v>430.06</v>
      </c>
      <c r="F879" s="1123"/>
    </row>
    <row r="880" spans="1:6">
      <c r="A880" s="769">
        <v>42260</v>
      </c>
      <c r="B880" s="240" t="str">
        <f>TiposLancamentos!B22</f>
        <v>Combustivel</v>
      </c>
      <c r="C880" s="147" t="s">
        <v>16809</v>
      </c>
      <c r="D880" s="63"/>
      <c r="E880" s="231">
        <v>128.09</v>
      </c>
      <c r="F880" s="1123"/>
    </row>
    <row r="881" spans="1:6">
      <c r="A881" s="769">
        <v>42260</v>
      </c>
      <c r="B881" s="240" t="str">
        <f>TiposLancamentos!B22</f>
        <v>Combustivel</v>
      </c>
      <c r="C881" s="147" t="s">
        <v>16810</v>
      </c>
      <c r="D881" s="63"/>
      <c r="E881" s="231">
        <v>71.010000000000005</v>
      </c>
      <c r="F881" s="1123"/>
    </row>
    <row r="882" spans="1:6">
      <c r="A882" s="769">
        <v>42260</v>
      </c>
      <c r="B882" s="240" t="str">
        <f>TiposLancamentos!B19</f>
        <v>Restaurantes</v>
      </c>
      <c r="C882" s="147" t="s">
        <v>16811</v>
      </c>
      <c r="D882" s="63"/>
      <c r="E882" s="231">
        <v>23.2</v>
      </c>
      <c r="F882" s="1123"/>
    </row>
    <row r="883" spans="1:6">
      <c r="A883" s="769">
        <v>42260</v>
      </c>
      <c r="B883" s="240" t="str">
        <f>TiposLancamentos!B19</f>
        <v>Restaurantes</v>
      </c>
      <c r="C883" s="147" t="s">
        <v>16812</v>
      </c>
      <c r="D883" s="63"/>
      <c r="E883" s="231">
        <v>24</v>
      </c>
      <c r="F883" s="1123"/>
    </row>
    <row r="884" spans="1:6">
      <c r="A884" s="769">
        <v>42260</v>
      </c>
      <c r="B884" s="240" t="str">
        <f>TiposLancamentos!B19</f>
        <v>Restaurantes</v>
      </c>
      <c r="C884" s="147" t="s">
        <v>16813</v>
      </c>
      <c r="D884" s="63"/>
      <c r="E884" s="231">
        <v>6.2</v>
      </c>
      <c r="F884" s="1123"/>
    </row>
    <row r="885" spans="1:6">
      <c r="A885" s="1151">
        <v>42017</v>
      </c>
      <c r="B885" s="279" t="str">
        <f>TiposLancamentos!B16</f>
        <v>Cristiane</v>
      </c>
      <c r="C885" s="280" t="s">
        <v>16814</v>
      </c>
      <c r="D885" s="281"/>
      <c r="E885" s="282"/>
      <c r="F885" s="1150" t="s">
        <v>16815</v>
      </c>
    </row>
    <row r="886" spans="1:6">
      <c r="A886" s="769">
        <v>42261</v>
      </c>
      <c r="B886" s="240" t="str">
        <f>TiposLancamentos!B56</f>
        <v>Farmácia</v>
      </c>
      <c r="C886" s="147" t="s">
        <v>16816</v>
      </c>
      <c r="D886" s="63"/>
      <c r="E886" s="231">
        <v>148.71</v>
      </c>
      <c r="F886" s="1123"/>
    </row>
    <row r="887" spans="1:6">
      <c r="A887" s="769">
        <v>42262</v>
      </c>
      <c r="B887" s="240" t="str">
        <f>TiposLancamentos!B5</f>
        <v>Supermercado</v>
      </c>
      <c r="C887" s="147" t="s">
        <v>6201</v>
      </c>
      <c r="D887" s="63"/>
      <c r="E887" s="231">
        <v>55.19</v>
      </c>
      <c r="F887" s="1123"/>
    </row>
    <row r="888" spans="1:6">
      <c r="A888" s="1151">
        <v>42263</v>
      </c>
      <c r="B888" s="279" t="str">
        <f>TiposLancamentos!B5</f>
        <v>Supermercado</v>
      </c>
      <c r="C888" s="280" t="s">
        <v>16817</v>
      </c>
      <c r="D888" s="281"/>
      <c r="E888" s="282">
        <v>58.64</v>
      </c>
      <c r="F888" s="1150"/>
    </row>
    <row r="889" spans="1:6">
      <c r="A889" s="769">
        <v>42263</v>
      </c>
      <c r="B889" s="240" t="str">
        <f>TiposLancamentos!B16</f>
        <v>Cristiane</v>
      </c>
      <c r="C889" s="147" t="s">
        <v>16818</v>
      </c>
      <c r="D889" s="63"/>
      <c r="E889" s="231">
        <v>45</v>
      </c>
      <c r="F889" s="1123"/>
    </row>
    <row r="890" spans="1:6">
      <c r="A890" s="769">
        <v>42264</v>
      </c>
      <c r="B890" s="240" t="str">
        <f>TiposLancamentos!B22</f>
        <v>Combustivel</v>
      </c>
      <c r="C890" s="147" t="s">
        <v>16819</v>
      </c>
      <c r="D890" s="63"/>
      <c r="E890" s="231">
        <v>80</v>
      </c>
      <c r="F890" s="1123"/>
    </row>
    <row r="891" spans="1:6">
      <c r="A891" s="769">
        <v>42264</v>
      </c>
      <c r="B891" s="240" t="str">
        <f>TiposLancamentos!B48</f>
        <v>Baralhos e Oráculos</v>
      </c>
      <c r="C891" s="147" t="s">
        <v>16820</v>
      </c>
      <c r="D891" s="63"/>
      <c r="E891" s="231">
        <v>36</v>
      </c>
      <c r="F891" s="1123"/>
    </row>
    <row r="892" spans="1:6">
      <c r="A892" s="769">
        <v>42264</v>
      </c>
      <c r="B892" s="240" t="str">
        <f>TiposLancamentos!B19</f>
        <v>Restaurantes</v>
      </c>
      <c r="C892" s="147" t="s">
        <v>10705</v>
      </c>
      <c r="D892" s="63"/>
      <c r="E892" s="231">
        <v>33</v>
      </c>
      <c r="F892" s="1123"/>
    </row>
    <row r="893" spans="1:6">
      <c r="A893" s="769">
        <v>42265</v>
      </c>
      <c r="B893" s="240" t="str">
        <f>TiposLancamentos!B19</f>
        <v>Restaurantes</v>
      </c>
      <c r="C893" s="147" t="s">
        <v>6502</v>
      </c>
      <c r="D893" s="63"/>
      <c r="E893" s="231">
        <v>82.92</v>
      </c>
      <c r="F893" s="1123"/>
    </row>
    <row r="894" spans="1:6">
      <c r="A894" s="769">
        <v>42266</v>
      </c>
      <c r="B894" s="240" t="str">
        <f>TiposLancamentos!B19</f>
        <v>Restaurantes</v>
      </c>
      <c r="C894" s="147" t="s">
        <v>11022</v>
      </c>
      <c r="D894" s="63"/>
      <c r="E894" s="231">
        <v>92.4</v>
      </c>
      <c r="F894" s="1123"/>
    </row>
    <row r="895" spans="1:6">
      <c r="A895" s="769">
        <v>42266</v>
      </c>
      <c r="B895" s="240" t="str">
        <f>B885</f>
        <v>Cristiane</v>
      </c>
      <c r="C895" s="147" t="s">
        <v>16821</v>
      </c>
      <c r="D895" s="63"/>
      <c r="E895" s="231">
        <v>78.8</v>
      </c>
      <c r="F895" s="1123"/>
    </row>
    <row r="896" spans="1:6">
      <c r="A896" s="769">
        <v>42266</v>
      </c>
      <c r="B896" s="240" t="str">
        <f>TiposLancamentos!B19</f>
        <v>Restaurantes</v>
      </c>
      <c r="C896" s="147" t="s">
        <v>6536</v>
      </c>
      <c r="D896" s="63"/>
      <c r="E896" s="231">
        <v>128.26</v>
      </c>
      <c r="F896" s="1123"/>
    </row>
    <row r="897" spans="1:6">
      <c r="A897" s="759"/>
      <c r="B897" s="243"/>
      <c r="C897" s="389" t="s">
        <v>10</v>
      </c>
      <c r="D897" s="146"/>
      <c r="E897" s="146"/>
      <c r="F897" s="1138"/>
    </row>
    <row r="898" spans="1:6">
      <c r="A898" s="1151">
        <v>42267</v>
      </c>
      <c r="B898" s="279" t="str">
        <f>TiposLancamentos!B5</f>
        <v>Supermercado</v>
      </c>
      <c r="C898" s="280" t="s">
        <v>16822</v>
      </c>
      <c r="D898" s="281"/>
      <c r="E898" s="282">
        <v>75.17</v>
      </c>
      <c r="F898" s="1150"/>
    </row>
    <row r="899" spans="1:6">
      <c r="A899" s="1151">
        <v>42267</v>
      </c>
      <c r="B899" s="279" t="str">
        <f>TiposLancamentos!B5</f>
        <v>Supermercado</v>
      </c>
      <c r="C899" s="280" t="s">
        <v>16823</v>
      </c>
      <c r="D899" s="281"/>
      <c r="E899" s="282">
        <v>52.61</v>
      </c>
      <c r="F899" s="1150"/>
    </row>
    <row r="900" spans="1:6">
      <c r="A900" s="769">
        <v>42267</v>
      </c>
      <c r="B900" s="240" t="str">
        <f>TiposLancamentos!B5</f>
        <v>Supermercado</v>
      </c>
      <c r="C900" s="147" t="s">
        <v>6234</v>
      </c>
      <c r="D900" s="63"/>
      <c r="E900" s="231">
        <v>49.29</v>
      </c>
      <c r="F900" s="1123"/>
    </row>
    <row r="901" spans="1:6">
      <c r="A901" s="769">
        <v>42268</v>
      </c>
      <c r="B901" s="240" t="str">
        <f>TiposLancamentos!B4</f>
        <v>Taxas Bancarias</v>
      </c>
      <c r="C901" s="147" t="s">
        <v>16824</v>
      </c>
      <c r="D901" s="63"/>
      <c r="E901" s="231">
        <v>19.37</v>
      </c>
      <c r="F901" s="1123"/>
    </row>
    <row r="902" spans="1:6">
      <c r="A902" s="1151">
        <v>42268</v>
      </c>
      <c r="B902" s="279" t="str">
        <f>TiposLancamentos!B4</f>
        <v>Taxas Bancarias</v>
      </c>
      <c r="C902" s="280" t="s">
        <v>16824</v>
      </c>
      <c r="D902" s="281"/>
      <c r="E902" s="282">
        <v>9.68</v>
      </c>
      <c r="F902" s="1150"/>
    </row>
    <row r="903" spans="1:6">
      <c r="A903" s="1151">
        <v>42270</v>
      </c>
      <c r="B903" s="279" t="str">
        <f>TiposLancamentos!B5</f>
        <v>Supermercado</v>
      </c>
      <c r="C903" s="280" t="s">
        <v>6234</v>
      </c>
      <c r="D903" s="281"/>
      <c r="E903" s="282">
        <v>150.74</v>
      </c>
      <c r="F903" s="1150"/>
    </row>
    <row r="904" spans="1:6">
      <c r="A904" s="1151">
        <v>42270</v>
      </c>
      <c r="B904" s="279" t="str">
        <f>TiposLancamentos!B16</f>
        <v>Cristiane</v>
      </c>
      <c r="C904" s="280" t="s">
        <v>16708</v>
      </c>
      <c r="D904" s="281"/>
      <c r="E904" s="282">
        <v>259.98</v>
      </c>
      <c r="F904" s="1150"/>
    </row>
    <row r="905" spans="1:6">
      <c r="A905" s="769">
        <v>42272</v>
      </c>
      <c r="B905" s="240" t="str">
        <f>TiposLancamentos!B3</f>
        <v>Internet</v>
      </c>
      <c r="C905" s="147" t="s">
        <v>10734</v>
      </c>
      <c r="D905" s="63"/>
      <c r="E905" s="231">
        <v>29.9</v>
      </c>
      <c r="F905" s="1123"/>
    </row>
    <row r="906" spans="1:6">
      <c r="A906" s="767"/>
      <c r="B906" s="1121"/>
      <c r="C906" s="802" t="s">
        <v>7189</v>
      </c>
      <c r="D906" s="754"/>
      <c r="E906" s="755"/>
      <c r="F906" s="1122">
        <f>SUM(E826:E897)</f>
        <v>6210.5899999999992</v>
      </c>
    </row>
    <row r="907" spans="1:6">
      <c r="A907" s="769">
        <v>42278</v>
      </c>
      <c r="B907" s="240" t="str">
        <f>TiposLancamentos!B15</f>
        <v>Cartões de Crédito</v>
      </c>
      <c r="C907" s="147" t="s">
        <v>10915</v>
      </c>
      <c r="D907" s="63">
        <v>6210.59</v>
      </c>
      <c r="E907" s="231"/>
      <c r="F907" s="1123">
        <f>F906-F843</f>
        <v>3014.35</v>
      </c>
    </row>
    <row r="908" spans="1:6">
      <c r="A908" s="769">
        <v>42279</v>
      </c>
      <c r="B908" s="240" t="str">
        <f>TiposLancamentos!B16</f>
        <v>Cristiane</v>
      </c>
      <c r="C908" s="147" t="s">
        <v>16825</v>
      </c>
      <c r="D908" s="63"/>
      <c r="E908" s="231">
        <v>120.67</v>
      </c>
      <c r="F908" s="1123"/>
    </row>
    <row r="909" spans="1:6">
      <c r="A909" s="1151">
        <v>42279</v>
      </c>
      <c r="B909" s="279" t="str">
        <f>TiposLancamentos!B19</f>
        <v>Restaurantes</v>
      </c>
      <c r="C909" s="280" t="s">
        <v>6328</v>
      </c>
      <c r="D909" s="281"/>
      <c r="E909" s="282">
        <v>55.5</v>
      </c>
      <c r="F909" s="1150"/>
    </row>
    <row r="910" spans="1:6">
      <c r="A910" s="1151">
        <v>42281</v>
      </c>
      <c r="B910" s="279" t="str">
        <f>TiposLancamentos!B19</f>
        <v>Restaurantes</v>
      </c>
      <c r="C910" s="280" t="s">
        <v>16826</v>
      </c>
      <c r="D910" s="281"/>
      <c r="E910" s="282">
        <v>196.13</v>
      </c>
      <c r="F910" s="1150"/>
    </row>
    <row r="911" spans="1:6">
      <c r="A911" s="1151">
        <v>42282</v>
      </c>
      <c r="B911" s="279" t="str">
        <f>TiposLancamentos!B16</f>
        <v>Cristiane</v>
      </c>
      <c r="C911" s="280" t="s">
        <v>16827</v>
      </c>
      <c r="D911" s="281"/>
      <c r="E911" s="282">
        <v>235.1</v>
      </c>
      <c r="F911" s="1150"/>
    </row>
    <row r="912" spans="1:6">
      <c r="A912" s="1151">
        <v>42283</v>
      </c>
      <c r="B912" s="279" t="str">
        <f>TiposLancamentos!B16</f>
        <v>Cristiane</v>
      </c>
      <c r="C912" s="280" t="s">
        <v>16828</v>
      </c>
      <c r="D912" s="281"/>
      <c r="E912" s="282">
        <v>58.9</v>
      </c>
      <c r="F912" s="1150"/>
    </row>
    <row r="913" spans="1:6">
      <c r="A913" s="769">
        <v>42286</v>
      </c>
      <c r="B913" s="240" t="str">
        <f>TiposLancamentos!B70</f>
        <v>Vestuário</v>
      </c>
      <c r="C913" s="147" t="s">
        <v>16829</v>
      </c>
      <c r="D913" s="63"/>
      <c r="E913" s="231">
        <v>192.78</v>
      </c>
      <c r="F913" s="1123"/>
    </row>
    <row r="914" spans="1:6">
      <c r="A914" s="769">
        <v>42286</v>
      </c>
      <c r="B914" s="240" t="str">
        <f>TiposLancamentos!B102</f>
        <v>ESTORNO</v>
      </c>
      <c r="C914" s="147" t="s">
        <v>16830</v>
      </c>
      <c r="D914" s="63">
        <v>0.04</v>
      </c>
      <c r="E914" s="231"/>
      <c r="F914" s="1123"/>
    </row>
    <row r="915" spans="1:6">
      <c r="A915" s="1151">
        <v>42287</v>
      </c>
      <c r="B915" s="279" t="str">
        <f>TiposLancamentos!B16</f>
        <v>Cristiane</v>
      </c>
      <c r="C915" s="280" t="s">
        <v>16831</v>
      </c>
      <c r="D915" s="281"/>
      <c r="E915" s="282">
        <v>73.98</v>
      </c>
      <c r="F915" s="1150"/>
    </row>
    <row r="916" spans="1:6">
      <c r="A916" s="1151">
        <v>42289</v>
      </c>
      <c r="B916" s="279" t="str">
        <f>TiposLancamentos!B16</f>
        <v>Cristiane</v>
      </c>
      <c r="C916" s="280" t="s">
        <v>16832</v>
      </c>
      <c r="D916" s="281"/>
      <c r="E916" s="282">
        <v>125.7</v>
      </c>
      <c r="F916" s="1150"/>
    </row>
    <row r="917" spans="1:6">
      <c r="A917" s="1151">
        <v>42290</v>
      </c>
      <c r="B917" s="279" t="str">
        <f>TiposLancamentos!B16</f>
        <v>Cristiane</v>
      </c>
      <c r="C917" s="280" t="s">
        <v>6234</v>
      </c>
      <c r="D917" s="281"/>
      <c r="E917" s="282">
        <v>165.01</v>
      </c>
      <c r="F917" s="1150"/>
    </row>
    <row r="918" spans="1:6">
      <c r="A918" s="1151">
        <v>42293</v>
      </c>
      <c r="B918" s="279" t="str">
        <f>TiposLancamentos!B16</f>
        <v>Cristiane</v>
      </c>
      <c r="C918" s="280" t="s">
        <v>16833</v>
      </c>
      <c r="D918" s="281"/>
      <c r="E918" s="282">
        <v>59.99</v>
      </c>
      <c r="F918" s="1150"/>
    </row>
    <row r="919" spans="1:6">
      <c r="A919" s="1151">
        <v>42295</v>
      </c>
      <c r="B919" s="279" t="str">
        <f>TiposLancamentos!B5</f>
        <v>Supermercado</v>
      </c>
      <c r="C919" s="280" t="s">
        <v>16817</v>
      </c>
      <c r="D919" s="281"/>
      <c r="E919" s="282">
        <v>102.76</v>
      </c>
      <c r="F919" s="1150"/>
    </row>
    <row r="920" spans="1:6">
      <c r="A920" s="1151">
        <v>42295</v>
      </c>
      <c r="B920" s="279" t="str">
        <f>TiposLancamentos!B22</f>
        <v>Combustivel</v>
      </c>
      <c r="C920" s="280" t="s">
        <v>6691</v>
      </c>
      <c r="D920" s="281"/>
      <c r="E920" s="282">
        <v>80</v>
      </c>
      <c r="F920" s="1150"/>
    </row>
    <row r="921" spans="1:6">
      <c r="A921" s="759"/>
      <c r="B921" s="243"/>
      <c r="C921" s="389" t="s">
        <v>10</v>
      </c>
      <c r="D921" s="146"/>
      <c r="E921" s="146"/>
      <c r="F921" s="1138"/>
    </row>
    <row r="922" spans="1:6">
      <c r="A922" s="769">
        <v>42298</v>
      </c>
      <c r="B922" s="240" t="str">
        <f>TiposLancamentos!B4</f>
        <v>Taxas Bancarias</v>
      </c>
      <c r="C922" s="147" t="s">
        <v>16834</v>
      </c>
      <c r="D922" s="63"/>
      <c r="E922" s="231">
        <v>19.37</v>
      </c>
      <c r="F922" s="1123"/>
    </row>
    <row r="923" spans="1:6">
      <c r="A923" s="1151">
        <v>42298</v>
      </c>
      <c r="B923" s="279" t="str">
        <f>TiposLancamentos!B4</f>
        <v>Taxas Bancarias</v>
      </c>
      <c r="C923" s="280" t="s">
        <v>16834</v>
      </c>
      <c r="D923" s="281"/>
      <c r="E923" s="282">
        <v>9.68</v>
      </c>
      <c r="F923" s="1150"/>
    </row>
    <row r="924" spans="1:6">
      <c r="A924" s="1151">
        <v>42300</v>
      </c>
      <c r="B924" s="279" t="str">
        <f>TiposLancamentos!B16</f>
        <v>Cristiane</v>
      </c>
      <c r="C924" s="280" t="s">
        <v>16777</v>
      </c>
      <c r="D924" s="281"/>
      <c r="E924" s="282">
        <v>49.9</v>
      </c>
      <c r="F924" s="1150"/>
    </row>
    <row r="925" spans="1:6">
      <c r="A925" s="111">
        <v>42302</v>
      </c>
      <c r="B925" s="240" t="str">
        <f>TiposLancamentos!B3</f>
        <v>Internet</v>
      </c>
      <c r="C925" s="147" t="s">
        <v>10734</v>
      </c>
      <c r="D925" s="63"/>
      <c r="E925" s="231">
        <v>29.9</v>
      </c>
      <c r="F925" s="272"/>
    </row>
    <row r="926" spans="1:6">
      <c r="A926" s="1151">
        <v>42302</v>
      </c>
      <c r="B926" s="279" t="str">
        <f>TiposLancamentos!B16</f>
        <v>Cristiane</v>
      </c>
      <c r="C926" s="280" t="s">
        <v>6052</v>
      </c>
      <c r="D926" s="281"/>
      <c r="E926" s="282">
        <v>157.01</v>
      </c>
      <c r="F926" s="1150"/>
    </row>
    <row r="927" spans="1:6">
      <c r="A927" s="111">
        <v>42302</v>
      </c>
      <c r="B927" s="240" t="str">
        <f>TiposLancamentos!B5</f>
        <v>Supermercado</v>
      </c>
      <c r="C927" s="147" t="s">
        <v>16835</v>
      </c>
      <c r="D927" s="63"/>
      <c r="E927" s="231">
        <v>118.2</v>
      </c>
      <c r="F927" s="272"/>
    </row>
    <row r="928" spans="1:6">
      <c r="A928" s="1151">
        <v>42303</v>
      </c>
      <c r="B928" s="279" t="str">
        <f>TiposLancamentos!B16</f>
        <v>Cristiane</v>
      </c>
      <c r="C928" s="280" t="s">
        <v>16836</v>
      </c>
      <c r="D928" s="281"/>
      <c r="E928" s="282">
        <v>37.9</v>
      </c>
      <c r="F928" s="1150"/>
    </row>
    <row r="929" spans="1:6">
      <c r="A929" s="1151">
        <v>42303</v>
      </c>
      <c r="B929" s="279" t="str">
        <f>TiposLancamentos!B16</f>
        <v>Cristiane</v>
      </c>
      <c r="C929" s="280" t="s">
        <v>16837</v>
      </c>
      <c r="D929" s="281"/>
      <c r="E929" s="282">
        <v>35</v>
      </c>
      <c r="F929" s="1150"/>
    </row>
    <row r="930" spans="1:6">
      <c r="A930" s="1151">
        <v>42303</v>
      </c>
      <c r="B930" s="279" t="str">
        <f>TiposLancamentos!B16</f>
        <v>Cristiane</v>
      </c>
      <c r="C930" s="280" t="s">
        <v>16838</v>
      </c>
      <c r="D930" s="281"/>
      <c r="E930" s="282">
        <v>45</v>
      </c>
      <c r="F930" s="1150"/>
    </row>
    <row r="931" spans="1:6">
      <c r="A931" s="1165">
        <v>42305</v>
      </c>
      <c r="B931" s="1166" t="str">
        <f>TiposLancamentos!B22</f>
        <v>Combustivel</v>
      </c>
      <c r="C931" s="1167" t="s">
        <v>12399</v>
      </c>
      <c r="D931" s="1168"/>
      <c r="E931" s="1168">
        <v>80</v>
      </c>
      <c r="F931" s="1169"/>
    </row>
    <row r="932" spans="1:6">
      <c r="A932" s="1170">
        <v>42305</v>
      </c>
      <c r="B932" s="1171" t="str">
        <f>TiposLancamentos!B88</f>
        <v>Ford Ecosport XLT</v>
      </c>
      <c r="C932" s="1172" t="s">
        <v>16839</v>
      </c>
      <c r="D932" s="1173"/>
      <c r="E932" s="1173">
        <v>56.99</v>
      </c>
      <c r="F932" s="1174">
        <f>SUM(E931:E932)</f>
        <v>136.99</v>
      </c>
    </row>
    <row r="933" spans="1:6">
      <c r="A933" s="1151">
        <v>42305</v>
      </c>
      <c r="B933" s="279" t="str">
        <f>TiposLancamentos!B16</f>
        <v>Cristiane</v>
      </c>
      <c r="C933" s="280" t="s">
        <v>16840</v>
      </c>
      <c r="D933" s="281"/>
      <c r="E933" s="282">
        <v>40</v>
      </c>
      <c r="F933" s="1150"/>
    </row>
    <row r="934" spans="1:6">
      <c r="A934" s="1151">
        <v>42306</v>
      </c>
      <c r="B934" s="279" t="str">
        <f>TiposLancamentos!B16</f>
        <v>Cristiane</v>
      </c>
      <c r="C934" s="280" t="s">
        <v>16841</v>
      </c>
      <c r="D934" s="281"/>
      <c r="E934" s="282">
        <v>54.6</v>
      </c>
      <c r="F934" s="1150"/>
    </row>
    <row r="935" spans="1:6">
      <c r="A935" s="1151">
        <v>42307</v>
      </c>
      <c r="B935" s="279" t="str">
        <f>TiposLancamentos!B16</f>
        <v>Cristiane</v>
      </c>
      <c r="C935" s="280" t="s">
        <v>16842</v>
      </c>
      <c r="D935" s="281"/>
      <c r="E935" s="282">
        <v>100.65</v>
      </c>
      <c r="F935" s="1150"/>
    </row>
    <row r="936" spans="1:6">
      <c r="A936" s="1151">
        <v>42307</v>
      </c>
      <c r="B936" s="279" t="str">
        <f>TiposLancamentos!B16</f>
        <v>Cristiane</v>
      </c>
      <c r="C936" s="280" t="s">
        <v>16843</v>
      </c>
      <c r="D936" s="281"/>
      <c r="E936" s="282">
        <v>13.04</v>
      </c>
      <c r="F936" s="1150"/>
    </row>
    <row r="937" spans="1:6">
      <c r="A937" s="767"/>
      <c r="B937" s="1121"/>
      <c r="C937" s="802" t="s">
        <v>7203</v>
      </c>
      <c r="D937" s="754"/>
      <c r="E937" s="755"/>
      <c r="F937" s="1122">
        <f>SUM(E898:E920)-D914</f>
        <v>2113.2200000000003</v>
      </c>
    </row>
    <row r="938" spans="1:6">
      <c r="A938" s="769">
        <v>42311</v>
      </c>
      <c r="B938" s="240" t="str">
        <f>TiposLancamentos!B15</f>
        <v>Cartões de Crédito</v>
      </c>
      <c r="C938" s="147" t="s">
        <v>1874</v>
      </c>
      <c r="D938" s="63">
        <v>2113.2199999999998</v>
      </c>
      <c r="E938" s="231"/>
      <c r="F938" s="1123">
        <f>F937-F906</f>
        <v>-4097.369999999999</v>
      </c>
    </row>
    <row r="939" spans="1:6">
      <c r="A939" s="1151">
        <v>42312</v>
      </c>
      <c r="B939" s="279" t="str">
        <f>TiposLancamentos!B5</f>
        <v>Supermercado</v>
      </c>
      <c r="C939" s="280" t="s">
        <v>6234</v>
      </c>
      <c r="D939" s="281"/>
      <c r="E939" s="282">
        <v>149.72999999999999</v>
      </c>
      <c r="F939" s="1150"/>
    </row>
    <row r="940" spans="1:6">
      <c r="A940" s="1151">
        <v>42314</v>
      </c>
      <c r="B940" s="279" t="str">
        <f>TiposLancamentos!B5</f>
        <v>Supermercado</v>
      </c>
      <c r="C940" s="280" t="s">
        <v>6234</v>
      </c>
      <c r="D940" s="281"/>
      <c r="E940" s="282">
        <v>144.69</v>
      </c>
      <c r="F940" s="1150"/>
    </row>
    <row r="941" spans="1:6">
      <c r="A941" s="1151">
        <v>42316</v>
      </c>
      <c r="B941" s="279" t="str">
        <f>TiposLancamentos!B56</f>
        <v>Farmácia</v>
      </c>
      <c r="C941" s="280" t="s">
        <v>12029</v>
      </c>
      <c r="D941" s="281"/>
      <c r="E941" s="282">
        <v>31.79</v>
      </c>
      <c r="F941" s="1150"/>
    </row>
    <row r="942" spans="1:6">
      <c r="A942" s="1151">
        <v>42316</v>
      </c>
      <c r="B942" s="279" t="str">
        <f>TiposLancamentos!B5</f>
        <v>Supermercado</v>
      </c>
      <c r="C942" s="280" t="s">
        <v>16844</v>
      </c>
      <c r="D942" s="281"/>
      <c r="E942" s="282">
        <v>118.39</v>
      </c>
      <c r="F942" s="1150"/>
    </row>
    <row r="943" spans="1:6">
      <c r="A943" s="769">
        <v>42317</v>
      </c>
      <c r="B943" s="240" t="str">
        <f>TiposLancamentos!B70</f>
        <v>Vestuário</v>
      </c>
      <c r="C943" s="147" t="s">
        <v>16845</v>
      </c>
      <c r="D943" s="63"/>
      <c r="E943" s="231">
        <v>192.78</v>
      </c>
      <c r="F943" s="1123"/>
    </row>
    <row r="944" spans="1:6">
      <c r="A944" s="1151">
        <v>42319</v>
      </c>
      <c r="B944" s="279" t="str">
        <f>TiposLancamentos!B5</f>
        <v>Supermercado</v>
      </c>
      <c r="C944" s="280" t="s">
        <v>16846</v>
      </c>
      <c r="D944" s="281"/>
      <c r="E944" s="282">
        <v>136.66999999999999</v>
      </c>
      <c r="F944" s="1150"/>
    </row>
    <row r="945" spans="1:6">
      <c r="A945" s="1151">
        <v>42319</v>
      </c>
      <c r="B945" s="279" t="str">
        <f>TiposLancamentos!B16</f>
        <v>Cristiane</v>
      </c>
      <c r="C945" s="280" t="s">
        <v>13305</v>
      </c>
      <c r="D945" s="281"/>
      <c r="E945" s="282">
        <v>144.80000000000001</v>
      </c>
      <c r="F945" s="1150"/>
    </row>
    <row r="946" spans="1:6">
      <c r="A946" s="1151">
        <v>42320</v>
      </c>
      <c r="B946" s="279" t="str">
        <f>TiposLancamentos!B16</f>
        <v>Cristiane</v>
      </c>
      <c r="C946" s="280" t="s">
        <v>6052</v>
      </c>
      <c r="D946" s="281"/>
      <c r="E946" s="282">
        <v>65.040000000000006</v>
      </c>
      <c r="F946" s="1150"/>
    </row>
    <row r="947" spans="1:6">
      <c r="A947" s="1151">
        <v>42324</v>
      </c>
      <c r="B947" s="279" t="str">
        <f>TiposLancamentos!B22</f>
        <v>Combustivel</v>
      </c>
      <c r="C947" s="280" t="s">
        <v>16847</v>
      </c>
      <c r="D947" s="281"/>
      <c r="E947" s="282">
        <v>100</v>
      </c>
      <c r="F947" s="1150"/>
    </row>
    <row r="948" spans="1:6">
      <c r="A948" s="769">
        <v>42325</v>
      </c>
      <c r="B948" s="240" t="str">
        <f>TiposLancamentos!B69</f>
        <v>Consertos</v>
      </c>
      <c r="C948" s="147" t="s">
        <v>16848</v>
      </c>
      <c r="D948" s="63"/>
      <c r="E948" s="231">
        <v>583.34</v>
      </c>
      <c r="F948" s="1123">
        <f>1750/3</f>
        <v>583.33333333333337</v>
      </c>
    </row>
    <row r="949" spans="1:6">
      <c r="A949" s="759"/>
      <c r="B949" s="243"/>
      <c r="C949" s="389" t="s">
        <v>10</v>
      </c>
      <c r="D949" s="146"/>
      <c r="E949" s="146"/>
      <c r="F949" s="1138"/>
    </row>
    <row r="950" spans="1:6">
      <c r="A950" s="1151">
        <v>42326</v>
      </c>
      <c r="B950" s="279" t="str">
        <f>TiposLancamentos!B5</f>
        <v>Supermercado</v>
      </c>
      <c r="C950" s="280" t="s">
        <v>6234</v>
      </c>
      <c r="D950" s="281"/>
      <c r="E950" s="282">
        <v>66.95</v>
      </c>
      <c r="F950" s="1150"/>
    </row>
    <row r="951" spans="1:6">
      <c r="A951" s="769">
        <v>42327</v>
      </c>
      <c r="B951" s="240" t="str">
        <f>TiposLancamentos!B4</f>
        <v>Taxas Bancarias</v>
      </c>
      <c r="C951" s="147" t="s">
        <v>16849</v>
      </c>
      <c r="D951" s="63"/>
      <c r="E951" s="231">
        <v>19.37</v>
      </c>
      <c r="F951" s="1123"/>
    </row>
    <row r="952" spans="1:6">
      <c r="A952" s="1151">
        <v>42327</v>
      </c>
      <c r="B952" s="279" t="str">
        <f>TiposLancamentos!B4</f>
        <v>Taxas Bancarias</v>
      </c>
      <c r="C952" s="280" t="s">
        <v>16849</v>
      </c>
      <c r="D952" s="281"/>
      <c r="E952" s="282">
        <v>9.68</v>
      </c>
      <c r="F952" s="1150"/>
    </row>
    <row r="953" spans="1:6">
      <c r="A953" s="1151">
        <v>42332</v>
      </c>
      <c r="B953" s="279" t="str">
        <f>TiposLancamentos!B16</f>
        <v>Cristiane</v>
      </c>
      <c r="C953" s="280" t="s">
        <v>16850</v>
      </c>
      <c r="D953" s="281"/>
      <c r="E953" s="282">
        <v>45</v>
      </c>
      <c r="F953" s="1150"/>
    </row>
    <row r="954" spans="1:6">
      <c r="A954" s="1151">
        <v>42332</v>
      </c>
      <c r="B954" s="279" t="str">
        <f>TiposLancamentos!B5</f>
        <v>Supermercado</v>
      </c>
      <c r="C954" s="280" t="s">
        <v>16851</v>
      </c>
      <c r="D954" s="281"/>
      <c r="E954" s="282">
        <v>28.73</v>
      </c>
      <c r="F954" s="1150"/>
    </row>
    <row r="955" spans="1:6">
      <c r="A955" s="769">
        <v>42333</v>
      </c>
      <c r="B955" s="240" t="str">
        <f>TiposLancamentos!B3</f>
        <v>Internet</v>
      </c>
      <c r="C955" s="147" t="s">
        <v>10734</v>
      </c>
      <c r="D955" s="63"/>
      <c r="E955" s="231">
        <v>29.9</v>
      </c>
      <c r="F955" s="1123"/>
    </row>
    <row r="956" spans="1:6">
      <c r="A956" s="1151">
        <v>42336</v>
      </c>
      <c r="B956" s="279" t="str">
        <f>TiposLancamentos!B5</f>
        <v>Supermercado</v>
      </c>
      <c r="C956" s="280" t="s">
        <v>16851</v>
      </c>
      <c r="D956" s="281"/>
      <c r="E956" s="282">
        <v>57.02</v>
      </c>
      <c r="F956" s="1150"/>
    </row>
    <row r="957" spans="1:6">
      <c r="A957" s="1151">
        <v>42338</v>
      </c>
      <c r="B957" s="279" t="str">
        <f>TiposLancamentos!B5</f>
        <v>Supermercado</v>
      </c>
      <c r="C957" s="280" t="s">
        <v>16844</v>
      </c>
      <c r="D957" s="281"/>
      <c r="E957" s="282">
        <v>28.91</v>
      </c>
      <c r="F957" s="1150"/>
    </row>
    <row r="958" spans="1:6">
      <c r="A958" s="767"/>
      <c r="B958" s="1121"/>
      <c r="C958" s="802" t="s">
        <v>7221</v>
      </c>
      <c r="D958" s="754"/>
      <c r="E958" s="755"/>
      <c r="F958" s="1122">
        <f>SUM(E922:E948)</f>
        <v>2514.4700000000003</v>
      </c>
    </row>
    <row r="959" spans="1:6">
      <c r="A959" s="769">
        <v>42339</v>
      </c>
      <c r="B959" s="240" t="str">
        <f>TiposLancamentos!B15</f>
        <v>Cartões de Crédito</v>
      </c>
      <c r="C959" s="147" t="s">
        <v>1874</v>
      </c>
      <c r="D959" s="63">
        <v>2514.4699999999998</v>
      </c>
      <c r="E959" s="231"/>
      <c r="F959" s="1123">
        <f>F958-F937</f>
        <v>401.25</v>
      </c>
    </row>
    <row r="960" spans="1:6">
      <c r="A960" s="1151">
        <v>42340</v>
      </c>
      <c r="B960" s="279" t="str">
        <f>TiposLancamentos!B16</f>
        <v>Cristiane</v>
      </c>
      <c r="C960" s="280" t="s">
        <v>16852</v>
      </c>
      <c r="D960" s="281"/>
      <c r="E960" s="282">
        <v>31.9</v>
      </c>
      <c r="F960" s="1150"/>
    </row>
    <row r="961" spans="1:6">
      <c r="A961" s="769">
        <v>42340</v>
      </c>
      <c r="B961" s="240" t="str">
        <f>TiposLancamentos!B16</f>
        <v>Cristiane</v>
      </c>
      <c r="C961" s="147" t="s">
        <v>16853</v>
      </c>
      <c r="D961" s="63"/>
      <c r="E961" s="231">
        <v>138</v>
      </c>
      <c r="F961" s="1123"/>
    </row>
    <row r="962" spans="1:6">
      <c r="A962" s="1151">
        <v>42341</v>
      </c>
      <c r="B962" s="279" t="str">
        <f>TiposLancamentos!B5</f>
        <v>Supermercado</v>
      </c>
      <c r="C962" s="280" t="s">
        <v>6981</v>
      </c>
      <c r="D962" s="281"/>
      <c r="E962" s="282">
        <v>26.45</v>
      </c>
      <c r="F962" s="1150"/>
    </row>
    <row r="963" spans="1:6">
      <c r="A963" s="1151">
        <v>42341</v>
      </c>
      <c r="B963" s="279" t="str">
        <f>TiposLancamentos!B22</f>
        <v>Combustivel</v>
      </c>
      <c r="C963" s="280" t="s">
        <v>6718</v>
      </c>
      <c r="D963" s="281"/>
      <c r="E963" s="282">
        <v>100</v>
      </c>
      <c r="F963" s="1150"/>
    </row>
    <row r="964" spans="1:6">
      <c r="A964" s="1151">
        <v>42342</v>
      </c>
      <c r="B964" s="279" t="str">
        <f>TiposLancamentos!B16</f>
        <v>Cristiane</v>
      </c>
      <c r="C964" s="280" t="s">
        <v>16854</v>
      </c>
      <c r="D964" s="281"/>
      <c r="E964" s="282">
        <v>64</v>
      </c>
      <c r="F964" s="1150"/>
    </row>
    <row r="965" spans="1:6">
      <c r="A965" s="1151">
        <v>42342</v>
      </c>
      <c r="B965" s="279" t="str">
        <f>TiposLancamentos!B5</f>
        <v>Supermercado</v>
      </c>
      <c r="C965" s="280" t="s">
        <v>6234</v>
      </c>
      <c r="D965" s="281"/>
      <c r="E965" s="282">
        <v>92.08</v>
      </c>
      <c r="F965" s="1150"/>
    </row>
    <row r="966" spans="1:6">
      <c r="A966" s="1151">
        <v>42346</v>
      </c>
      <c r="B966" s="279" t="str">
        <f>TiposLancamentos!B16</f>
        <v>Cristiane</v>
      </c>
      <c r="C966" s="280" t="s">
        <v>16822</v>
      </c>
      <c r="D966" s="281"/>
      <c r="E966" s="282">
        <v>14.68</v>
      </c>
      <c r="F966" s="1150"/>
    </row>
    <row r="967" spans="1:6">
      <c r="A967" s="1151">
        <v>42347</v>
      </c>
      <c r="B967" s="279" t="str">
        <f>TiposLancamentos!B5</f>
        <v>Supermercado</v>
      </c>
      <c r="C967" s="280" t="s">
        <v>6234</v>
      </c>
      <c r="D967" s="281"/>
      <c r="E967" s="282">
        <v>198.6</v>
      </c>
      <c r="F967" s="1150"/>
    </row>
    <row r="968" spans="1:6">
      <c r="A968" s="1151">
        <v>42347</v>
      </c>
      <c r="B968" s="279" t="str">
        <f>TiposLancamentos!B16</f>
        <v>Cristiane</v>
      </c>
      <c r="C968" s="280" t="s">
        <v>16855</v>
      </c>
      <c r="D968" s="281"/>
      <c r="E968" s="282">
        <v>14.71</v>
      </c>
      <c r="F968" s="1150"/>
    </row>
    <row r="969" spans="1:6">
      <c r="A969" s="1151">
        <v>42348</v>
      </c>
      <c r="B969" s="279" t="str">
        <f>TiposLancamentos!B5</f>
        <v>Supermercado</v>
      </c>
      <c r="C969" s="280" t="s">
        <v>6201</v>
      </c>
      <c r="D969" s="281"/>
      <c r="E969" s="282">
        <v>113.34</v>
      </c>
      <c r="F969" s="1150"/>
    </row>
    <row r="970" spans="1:6">
      <c r="A970" s="1151">
        <v>42349</v>
      </c>
      <c r="B970" s="279" t="str">
        <f>TiposLancamentos!B16</f>
        <v>Cristiane</v>
      </c>
      <c r="C970" s="280" t="s">
        <v>16856</v>
      </c>
      <c r="D970" s="281"/>
      <c r="E970" s="282">
        <v>75.92</v>
      </c>
      <c r="F970" s="1150"/>
    </row>
    <row r="971" spans="1:6">
      <c r="A971" s="1151">
        <v>42351</v>
      </c>
      <c r="B971" s="279" t="str">
        <f>TiposLancamentos!B5</f>
        <v>Supermercado</v>
      </c>
      <c r="C971" s="280" t="s">
        <v>6201</v>
      </c>
      <c r="D971" s="281"/>
      <c r="E971" s="282">
        <v>68.16</v>
      </c>
      <c r="F971" s="1150"/>
    </row>
    <row r="972" spans="1:6">
      <c r="A972" s="1151">
        <v>42353</v>
      </c>
      <c r="B972" s="279" t="str">
        <f>TiposLancamentos!B16</f>
        <v>Cristiane</v>
      </c>
      <c r="C972" s="280" t="s">
        <v>16857</v>
      </c>
      <c r="D972" s="281"/>
      <c r="E972" s="282">
        <v>62.91</v>
      </c>
      <c r="F972" s="1150"/>
    </row>
    <row r="973" spans="1:6">
      <c r="A973" s="1151">
        <v>42353</v>
      </c>
      <c r="B973" s="279" t="str">
        <f>TiposLancamentos!B16</f>
        <v>Cristiane</v>
      </c>
      <c r="C973" s="280" t="s">
        <v>16858</v>
      </c>
      <c r="D973" s="281"/>
      <c r="E973" s="282">
        <v>54.29</v>
      </c>
      <c r="F973" s="1150"/>
    </row>
    <row r="974" spans="1:6">
      <c r="A974" s="1151">
        <v>42353</v>
      </c>
      <c r="B974" s="279" t="str">
        <f>TiposLancamentos!B16</f>
        <v>Cristiane</v>
      </c>
      <c r="C974" s="280" t="s">
        <v>16859</v>
      </c>
      <c r="D974" s="281"/>
      <c r="E974" s="282">
        <v>143.5</v>
      </c>
      <c r="F974" s="1150"/>
    </row>
    <row r="975" spans="1:6">
      <c r="A975" s="769">
        <v>42355</v>
      </c>
      <c r="B975" s="240" t="str">
        <f>TiposLancamentos!B69</f>
        <v>Consertos</v>
      </c>
      <c r="C975" s="147" t="s">
        <v>16860</v>
      </c>
      <c r="D975" s="63"/>
      <c r="E975" s="231">
        <v>583.34</v>
      </c>
      <c r="F975" s="1123"/>
    </row>
    <row r="976" spans="1:6">
      <c r="A976" s="759"/>
      <c r="B976" s="243"/>
      <c r="C976" s="389" t="s">
        <v>10</v>
      </c>
      <c r="D976" s="146"/>
      <c r="E976" s="146"/>
      <c r="F976" s="1138"/>
    </row>
    <row r="977" spans="1:6">
      <c r="A977" s="1151">
        <v>42354</v>
      </c>
      <c r="B977" s="279" t="str">
        <f>TiposLancamentos!B19</f>
        <v>Restaurantes</v>
      </c>
      <c r="C977" s="280" t="s">
        <v>5909</v>
      </c>
      <c r="D977" s="281"/>
      <c r="E977" s="282">
        <v>58</v>
      </c>
      <c r="F977" s="1150"/>
    </row>
    <row r="978" spans="1:6">
      <c r="A978" s="769">
        <v>42325</v>
      </c>
      <c r="B978" s="240" t="str">
        <f>TiposLancamentos!B98</f>
        <v>Restituições</v>
      </c>
      <c r="C978" s="147" t="s">
        <v>16861</v>
      </c>
      <c r="D978" s="63">
        <v>0</v>
      </c>
      <c r="E978" s="231"/>
      <c r="F978" s="1123"/>
    </row>
    <row r="979" spans="1:6">
      <c r="A979" s="1151">
        <v>42356</v>
      </c>
      <c r="B979" s="279" t="str">
        <f>TiposLancamentos!B16</f>
        <v>Cristiane</v>
      </c>
      <c r="C979" s="280" t="s">
        <v>16862</v>
      </c>
      <c r="D979" s="281"/>
      <c r="E979" s="282">
        <v>50</v>
      </c>
      <c r="F979" s="1150"/>
    </row>
    <row r="980" spans="1:6">
      <c r="A980" s="806">
        <v>42358</v>
      </c>
      <c r="B980" s="822" t="str">
        <f>TiposLancamentos!B73</f>
        <v>Cursos</v>
      </c>
      <c r="C980" s="808" t="s">
        <v>16863</v>
      </c>
      <c r="D980" s="747"/>
      <c r="E980" s="1139">
        <v>150</v>
      </c>
      <c r="F980" s="830"/>
    </row>
    <row r="981" spans="1:6">
      <c r="A981" s="773">
        <v>42358</v>
      </c>
      <c r="B981" s="275" t="str">
        <f>TiposLancamentos!B16</f>
        <v>Cristiane</v>
      </c>
      <c r="C981" s="808" t="s">
        <v>16863</v>
      </c>
      <c r="D981" s="51"/>
      <c r="E981" s="1147">
        <v>150</v>
      </c>
      <c r="F981" s="825"/>
    </row>
    <row r="982" spans="1:6">
      <c r="A982" s="773">
        <v>42358</v>
      </c>
      <c r="B982" s="275" t="str">
        <f>TiposLancamentos!B25</f>
        <v>CD_DVD_BD</v>
      </c>
      <c r="C982" s="141" t="s">
        <v>16864</v>
      </c>
      <c r="D982" s="51"/>
      <c r="E982" s="1147">
        <v>50</v>
      </c>
      <c r="F982" s="825"/>
    </row>
    <row r="983" spans="1:6">
      <c r="A983" s="810">
        <v>42358</v>
      </c>
      <c r="B983" s="823" t="str">
        <f>TiposLancamentos!B16</f>
        <v>Cristiane</v>
      </c>
      <c r="C983" s="812" t="s">
        <v>16865</v>
      </c>
      <c r="D983" s="849"/>
      <c r="E983" s="1141">
        <f>F983-(E980+E981+E982)</f>
        <v>125.5</v>
      </c>
      <c r="F983" s="1141">
        <v>475.5</v>
      </c>
    </row>
    <row r="984" spans="1:6">
      <c r="A984" s="1151">
        <v>42358</v>
      </c>
      <c r="B984" s="279" t="str">
        <f>TiposLancamentos!B19</f>
        <v>Restaurantes</v>
      </c>
      <c r="C984" s="280" t="s">
        <v>16866</v>
      </c>
      <c r="D984" s="281"/>
      <c r="E984" s="282">
        <v>49</v>
      </c>
      <c r="F984" s="1150"/>
    </row>
    <row r="985" spans="1:6">
      <c r="A985" s="769">
        <v>42359</v>
      </c>
      <c r="B985" s="240" t="str">
        <f>TiposLancamentos!B98</f>
        <v>Restituições</v>
      </c>
      <c r="C985" s="147" t="s">
        <v>16867</v>
      </c>
      <c r="D985" s="63">
        <v>75.94</v>
      </c>
      <c r="E985" s="231"/>
      <c r="F985" s="1123"/>
    </row>
    <row r="986" spans="1:6">
      <c r="A986" s="1151">
        <v>42359</v>
      </c>
      <c r="B986" s="279" t="str">
        <f>TiposLancamentos!B16</f>
        <v>Cristiane</v>
      </c>
      <c r="C986" s="280" t="s">
        <v>16868</v>
      </c>
      <c r="D986" s="281"/>
      <c r="E986" s="282">
        <v>157.4</v>
      </c>
      <c r="F986" s="1150"/>
    </row>
    <row r="987" spans="1:6">
      <c r="A987" s="1151">
        <v>42359</v>
      </c>
      <c r="B987" s="279" t="str">
        <f>TiposLancamentos!B16</f>
        <v>Cristiane</v>
      </c>
      <c r="C987" s="280" t="s">
        <v>16869</v>
      </c>
      <c r="D987" s="281"/>
      <c r="E987" s="282">
        <v>209.6</v>
      </c>
      <c r="F987" s="1150"/>
    </row>
    <row r="988" spans="1:6">
      <c r="A988" s="1151">
        <v>42359</v>
      </c>
      <c r="B988" s="279" t="str">
        <f>TiposLancamentos!B13</f>
        <v>Moradia</v>
      </c>
      <c r="C988" s="280" t="s">
        <v>16870</v>
      </c>
      <c r="D988" s="281"/>
      <c r="E988" s="282">
        <v>119.6</v>
      </c>
      <c r="F988" s="1150"/>
    </row>
    <row r="989" spans="1:6">
      <c r="A989" s="1151">
        <v>42361</v>
      </c>
      <c r="B989" s="279" t="str">
        <f>TiposLancamentos!B19</f>
        <v>Restaurantes</v>
      </c>
      <c r="C989" s="280" t="s">
        <v>5909</v>
      </c>
      <c r="D989" s="281"/>
      <c r="E989" s="282">
        <v>49</v>
      </c>
      <c r="F989" s="1150"/>
    </row>
    <row r="990" spans="1:6">
      <c r="A990" s="769">
        <v>42361</v>
      </c>
      <c r="B990" s="240" t="str">
        <f>TiposLancamentos!B5</f>
        <v>Supermercado</v>
      </c>
      <c r="C990" s="147" t="s">
        <v>6234</v>
      </c>
      <c r="D990" s="63"/>
      <c r="E990" s="231">
        <v>311.8</v>
      </c>
      <c r="F990" s="1123"/>
    </row>
    <row r="991" spans="1:6">
      <c r="A991" s="769">
        <v>42363</v>
      </c>
      <c r="B991" s="240" t="str">
        <f>TiposLancamentos!B3</f>
        <v>Internet</v>
      </c>
      <c r="C991" s="147" t="s">
        <v>10734</v>
      </c>
      <c r="D991" s="63"/>
      <c r="E991" s="231">
        <v>29.9</v>
      </c>
      <c r="F991" s="1123"/>
    </row>
    <row r="992" spans="1:6">
      <c r="A992" s="769">
        <v>42363</v>
      </c>
      <c r="B992" s="240" t="str">
        <f>TiposLancamentos!B26</f>
        <v>LIVROS</v>
      </c>
      <c r="C992" s="147" t="s">
        <v>16871</v>
      </c>
      <c r="D992" s="63"/>
      <c r="E992" s="231">
        <v>12.32</v>
      </c>
      <c r="F992" s="1123"/>
    </row>
    <row r="993" spans="1:6">
      <c r="A993" s="769">
        <v>42364</v>
      </c>
      <c r="B993" s="240" t="str">
        <f>TiposLancamentos!B22</f>
        <v>Combustivel</v>
      </c>
      <c r="C993" s="147" t="s">
        <v>6412</v>
      </c>
      <c r="D993" s="63"/>
      <c r="E993" s="231">
        <v>80</v>
      </c>
      <c r="F993" s="1123"/>
    </row>
    <row r="994" spans="1:6">
      <c r="A994" s="769">
        <v>42364</v>
      </c>
      <c r="B994" s="240" t="str">
        <f>TiposLancamentos!B72</f>
        <v>Presentes</v>
      </c>
      <c r="C994" s="147" t="s">
        <v>16872</v>
      </c>
      <c r="D994" s="63"/>
      <c r="E994" s="231">
        <v>79.900000000000006</v>
      </c>
      <c r="F994" s="1123"/>
    </row>
    <row r="995" spans="1:6">
      <c r="A995" s="769">
        <v>42364</v>
      </c>
      <c r="B995" s="240" t="str">
        <f>TiposLancamentos!B19</f>
        <v>Restaurantes</v>
      </c>
      <c r="C995" s="147" t="s">
        <v>16873</v>
      </c>
      <c r="D995" s="63"/>
      <c r="E995" s="231">
        <v>119.68</v>
      </c>
      <c r="F995" s="1123"/>
    </row>
    <row r="996" spans="1:6">
      <c r="A996" s="769">
        <v>42364</v>
      </c>
      <c r="B996" s="240" t="str">
        <f>TiposLancamentos!B25</f>
        <v>CD_DVD_BD</v>
      </c>
      <c r="C996" s="147" t="s">
        <v>16874</v>
      </c>
      <c r="D996" s="63"/>
      <c r="E996" s="231">
        <v>99.9</v>
      </c>
      <c r="F996" s="1123"/>
    </row>
    <row r="997" spans="1:6">
      <c r="A997" s="1151">
        <v>42355</v>
      </c>
      <c r="B997" s="279" t="str">
        <f>TiposLancamentos!B16</f>
        <v>Cristiane</v>
      </c>
      <c r="C997" s="280" t="s">
        <v>16875</v>
      </c>
      <c r="D997" s="281"/>
      <c r="E997" s="282">
        <v>36.14</v>
      </c>
      <c r="F997" s="1150"/>
    </row>
    <row r="998" spans="1:6">
      <c r="A998" s="1151">
        <v>42365</v>
      </c>
      <c r="B998" s="279" t="str">
        <f>TiposLancamentos!B22</f>
        <v>Combustivel</v>
      </c>
      <c r="C998" s="280" t="s">
        <v>6718</v>
      </c>
      <c r="D998" s="281"/>
      <c r="E998" s="282">
        <v>100</v>
      </c>
      <c r="F998" s="1150"/>
    </row>
    <row r="999" spans="1:6">
      <c r="A999" s="769">
        <v>42368</v>
      </c>
      <c r="B999" s="240" t="str">
        <f>TiposLancamentos!B19</f>
        <v>Restaurantes</v>
      </c>
      <c r="C999" s="147" t="s">
        <v>16876</v>
      </c>
      <c r="D999" s="63"/>
      <c r="E999" s="1177">
        <v>133.97999999999999</v>
      </c>
      <c r="F999" s="1123"/>
    </row>
    <row r="1000" spans="1:6">
      <c r="A1000" s="1151">
        <v>42369</v>
      </c>
      <c r="B1000" s="279" t="str">
        <f>TiposLancamentos!B16</f>
        <v>Cristiane</v>
      </c>
      <c r="C1000" s="280" t="s">
        <v>16877</v>
      </c>
      <c r="D1000" s="281"/>
      <c r="E1000" s="282">
        <v>34.92</v>
      </c>
      <c r="F1000" s="1150"/>
    </row>
    <row r="1001" spans="1:6">
      <c r="A1001" s="767"/>
      <c r="B1001" s="1121"/>
      <c r="C1001" s="802" t="s">
        <v>7237</v>
      </c>
      <c r="D1001" s="754"/>
      <c r="E1001" s="755"/>
      <c r="F1001" s="1122">
        <f>SUM(E950:E975)</f>
        <v>2067.44</v>
      </c>
    </row>
    <row r="1002" spans="1:6">
      <c r="A1002" s="1151">
        <v>42372</v>
      </c>
      <c r="B1002" s="279" t="str">
        <f>TiposLancamentos!B19</f>
        <v>Restaurantes</v>
      </c>
      <c r="C1002" s="280" t="s">
        <v>16878</v>
      </c>
      <c r="D1002" s="281"/>
      <c r="E1002" s="282">
        <v>58</v>
      </c>
      <c r="F1002" s="1150"/>
    </row>
    <row r="1003" spans="1:6">
      <c r="A1003" s="769">
        <v>42373</v>
      </c>
      <c r="B1003" s="240" t="str">
        <f>TiposLancamentos!B15</f>
        <v>Cartões de Crédito</v>
      </c>
      <c r="C1003" s="878" t="s">
        <v>1874</v>
      </c>
      <c r="D1003" s="63">
        <v>2067.44</v>
      </c>
      <c r="E1003" s="231"/>
      <c r="F1003" s="1123"/>
    </row>
    <row r="1004" spans="1:6">
      <c r="A1004" s="864">
        <v>42373</v>
      </c>
      <c r="B1004" s="76" t="str">
        <f>TiposLancamentos!B71</f>
        <v>Itens Pessoais</v>
      </c>
      <c r="C1004" s="878" t="s">
        <v>16879</v>
      </c>
      <c r="D1004" s="63"/>
      <c r="E1004" s="49">
        <f>F1004/3</f>
        <v>91.990000000000009</v>
      </c>
      <c r="F1004" s="1123">
        <v>275.97000000000003</v>
      </c>
    </row>
    <row r="1005" spans="1:6">
      <c r="A1005" s="769">
        <v>42373</v>
      </c>
      <c r="B1005" s="240" t="str">
        <f>TiposLancamentos!B71</f>
        <v>Itens Pessoais</v>
      </c>
      <c r="C1005" s="147" t="s">
        <v>16880</v>
      </c>
      <c r="D1005" s="63"/>
      <c r="E1005" s="231">
        <v>88.2</v>
      </c>
      <c r="F1005" s="1123">
        <v>529</v>
      </c>
    </row>
    <row r="1006" spans="1:6">
      <c r="A1006" s="806">
        <v>42374</v>
      </c>
      <c r="B1006" s="822" t="str">
        <f>TiposLancamentos!B56</f>
        <v>Farmácia</v>
      </c>
      <c r="C1006" s="808" t="s">
        <v>6922</v>
      </c>
      <c r="D1006" s="747"/>
      <c r="E1006" s="1139">
        <f>47.37-5.21</f>
        <v>42.16</v>
      </c>
      <c r="F1006" s="1140"/>
    </row>
    <row r="1007" spans="1:6">
      <c r="A1007" s="810">
        <v>42374</v>
      </c>
      <c r="B1007" s="823" t="str">
        <f>TiposLancamentos!B16</f>
        <v>Cristiane</v>
      </c>
      <c r="C1007" s="812" t="s">
        <v>16881</v>
      </c>
      <c r="D1007" s="849"/>
      <c r="E1007" s="1141">
        <f>F1007-E1006</f>
        <v>159.1</v>
      </c>
      <c r="F1007" s="1142">
        <v>201.26</v>
      </c>
    </row>
    <row r="1008" spans="1:6">
      <c r="A1008" s="1151">
        <v>42374</v>
      </c>
      <c r="B1008" s="279" t="str">
        <f>TiposLancamentos!B5</f>
        <v>Supermercado</v>
      </c>
      <c r="C1008" s="280" t="s">
        <v>16882</v>
      </c>
      <c r="D1008" s="281"/>
      <c r="E1008" s="282">
        <v>109.78</v>
      </c>
      <c r="F1008" s="1150"/>
    </row>
    <row r="1009" spans="1:6">
      <c r="A1009" s="806">
        <v>42374</v>
      </c>
      <c r="B1009" s="822" t="str">
        <f>TiposLancamentos!B72</f>
        <v>Presentes</v>
      </c>
      <c r="C1009" s="808" t="s">
        <v>16883</v>
      </c>
      <c r="D1009" s="747"/>
      <c r="E1009" s="1139">
        <f>81.9+70.7</f>
        <v>152.60000000000002</v>
      </c>
      <c r="F1009" s="1140"/>
    </row>
    <row r="1010" spans="1:6">
      <c r="A1010" s="810">
        <v>42374</v>
      </c>
      <c r="B1010" s="823" t="str">
        <f>TiposLancamentos!B71</f>
        <v>Itens Pessoais</v>
      </c>
      <c r="C1010" s="812" t="s">
        <v>16883</v>
      </c>
      <c r="D1010" s="849"/>
      <c r="E1010" s="1141">
        <f>F1010-E1009</f>
        <v>135.38999999999999</v>
      </c>
      <c r="F1010" s="1142">
        <v>287.99</v>
      </c>
    </row>
    <row r="1011" spans="1:6">
      <c r="A1011" s="1151">
        <v>42376</v>
      </c>
      <c r="B1011" s="279" t="str">
        <f>TiposLancamentos!B16</f>
        <v>Cristiane</v>
      </c>
      <c r="C1011" s="280" t="s">
        <v>16884</v>
      </c>
      <c r="D1011" s="281"/>
      <c r="E1011" s="282">
        <v>188.9</v>
      </c>
      <c r="F1011" s="1150"/>
    </row>
    <row r="1012" spans="1:6">
      <c r="A1012" s="1151">
        <v>42377</v>
      </c>
      <c r="B1012" s="279" t="str">
        <f>TiposLancamentos!B16</f>
        <v>Cristiane</v>
      </c>
      <c r="C1012" s="280" t="s">
        <v>16885</v>
      </c>
      <c r="D1012" s="281"/>
      <c r="E1012" s="282">
        <v>35.5</v>
      </c>
      <c r="F1012" s="1150"/>
    </row>
    <row r="1013" spans="1:6">
      <c r="A1013" s="1151">
        <v>42379</v>
      </c>
      <c r="B1013" s="279" t="str">
        <f>TiposLancamentos!B17</f>
        <v>GATO</v>
      </c>
      <c r="C1013" s="280" t="s">
        <v>16886</v>
      </c>
      <c r="D1013" s="281"/>
      <c r="E1013" s="282">
        <v>232.49</v>
      </c>
      <c r="F1013" s="1150"/>
    </row>
    <row r="1014" spans="1:6">
      <c r="A1014" s="1151">
        <v>42379</v>
      </c>
      <c r="B1014" s="279" t="str">
        <f>TiposLancamentos!B16</f>
        <v>Cristiane</v>
      </c>
      <c r="C1014" s="280" t="s">
        <v>16887</v>
      </c>
      <c r="D1014" s="281"/>
      <c r="E1014" s="282">
        <v>124.99</v>
      </c>
      <c r="F1014" s="1150"/>
    </row>
    <row r="1015" spans="1:6">
      <c r="A1015" s="769">
        <v>42380</v>
      </c>
      <c r="B1015" s="240" t="str">
        <f>TiposLancamentos!B16</f>
        <v>Cristiane</v>
      </c>
      <c r="C1015" s="147" t="s">
        <v>5216</v>
      </c>
      <c r="D1015" s="63"/>
      <c r="E1015" s="231">
        <v>219.7</v>
      </c>
      <c r="F1015" s="1123"/>
    </row>
    <row r="1016" spans="1:6">
      <c r="A1016" s="1151">
        <v>42381</v>
      </c>
      <c r="B1016" s="279" t="str">
        <f>TiposLancamentos!B16</f>
        <v>Cristiane</v>
      </c>
      <c r="C1016" s="280" t="s">
        <v>16888</v>
      </c>
      <c r="D1016" s="281"/>
      <c r="E1016" s="282">
        <v>65.040000000000006</v>
      </c>
      <c r="F1016" s="1150"/>
    </row>
    <row r="1017" spans="1:6">
      <c r="A1017" s="1151">
        <v>42382</v>
      </c>
      <c r="B1017" s="279" t="str">
        <f>TiposLancamentos!B5</f>
        <v>Supermercado</v>
      </c>
      <c r="C1017" s="280" t="s">
        <v>6234</v>
      </c>
      <c r="D1017" s="281"/>
      <c r="E1017" s="282">
        <v>183.28</v>
      </c>
      <c r="F1017" s="1150"/>
    </row>
    <row r="1018" spans="1:6">
      <c r="A1018" s="1151">
        <v>42384</v>
      </c>
      <c r="B1018" s="279" t="str">
        <f>TiposLancamentos!B5</f>
        <v>Supermercado</v>
      </c>
      <c r="C1018" s="280" t="s">
        <v>6234</v>
      </c>
      <c r="D1018" s="281"/>
      <c r="E1018" s="282">
        <v>131.83000000000001</v>
      </c>
      <c r="F1018" s="1150"/>
    </row>
    <row r="1019" spans="1:6">
      <c r="A1019" s="769">
        <v>42384</v>
      </c>
      <c r="B1019" s="240" t="str">
        <f>TiposLancamentos!B26</f>
        <v>LIVROS</v>
      </c>
      <c r="C1019" s="147" t="s">
        <v>16889</v>
      </c>
      <c r="D1019" s="63"/>
      <c r="E1019" s="231">
        <v>35.85</v>
      </c>
      <c r="F1019" s="1123"/>
    </row>
    <row r="1020" spans="1:6">
      <c r="A1020" s="1151">
        <v>42385</v>
      </c>
      <c r="B1020" s="279" t="str">
        <f>TiposLancamentos!B16</f>
        <v>Cristiane</v>
      </c>
      <c r="C1020" s="280" t="s">
        <v>16890</v>
      </c>
      <c r="D1020" s="281"/>
      <c r="E1020" s="282">
        <v>79.900000000000006</v>
      </c>
      <c r="F1020" s="1150"/>
    </row>
    <row r="1021" spans="1:6">
      <c r="A1021" s="769">
        <v>42386</v>
      </c>
      <c r="B1021" s="240" t="str">
        <f>TiposLancamentos!B69</f>
        <v>Consertos</v>
      </c>
      <c r="C1021" s="147" t="s">
        <v>16891</v>
      </c>
      <c r="D1021" s="63"/>
      <c r="E1021" s="231">
        <v>583.34</v>
      </c>
      <c r="F1021" s="1123"/>
    </row>
    <row r="1022" spans="1:6">
      <c r="A1022" s="759"/>
      <c r="B1022" s="243"/>
      <c r="C1022" s="389" t="s">
        <v>10</v>
      </c>
      <c r="D1022" s="146"/>
      <c r="E1022" s="146"/>
      <c r="F1022" s="1138"/>
    </row>
    <row r="1023" spans="1:6">
      <c r="A1023" s="1151">
        <v>42387</v>
      </c>
      <c r="B1023" s="279" t="str">
        <f>TiposLancamentos!B5</f>
        <v>Supermercado</v>
      </c>
      <c r="C1023" s="280" t="s">
        <v>6234</v>
      </c>
      <c r="D1023" s="281"/>
      <c r="E1023" s="282">
        <v>73.25</v>
      </c>
      <c r="F1023" s="1150"/>
    </row>
    <row r="1024" spans="1:6">
      <c r="A1024" s="769">
        <v>42388</v>
      </c>
      <c r="B1024" s="240" t="str">
        <f>TiposLancamentos!B26</f>
        <v>LIVROS</v>
      </c>
      <c r="C1024" s="147" t="s">
        <v>16892</v>
      </c>
      <c r="D1024" s="63"/>
      <c r="E1024" s="231">
        <v>30.64</v>
      </c>
      <c r="F1024" s="1123"/>
    </row>
    <row r="1025" spans="1:6">
      <c r="A1025" s="769">
        <v>42388</v>
      </c>
      <c r="B1025" s="240" t="str">
        <f>TiposLancamentos!B13</f>
        <v>Moradia</v>
      </c>
      <c r="C1025" s="147" t="s">
        <v>16893</v>
      </c>
      <c r="D1025" s="63"/>
      <c r="E1025" s="231">
        <f>F1025/3</f>
        <v>199.33333333333334</v>
      </c>
      <c r="F1025" s="1123">
        <v>598</v>
      </c>
    </row>
    <row r="1026" spans="1:6">
      <c r="A1026" s="769">
        <v>42388</v>
      </c>
      <c r="B1026" s="240" t="str">
        <f>TiposLancamentos!B16</f>
        <v>Cristiane</v>
      </c>
      <c r="C1026" s="147" t="s">
        <v>16894</v>
      </c>
      <c r="D1026" s="63"/>
      <c r="E1026" s="231">
        <v>16.399999999999999</v>
      </c>
      <c r="F1026" s="1123"/>
    </row>
    <row r="1027" spans="1:6">
      <c r="A1027" s="769">
        <v>42388</v>
      </c>
      <c r="B1027" s="240" t="str">
        <f>TiposLancamentos!B19</f>
        <v>Restaurantes</v>
      </c>
      <c r="C1027" s="147" t="s">
        <v>16895</v>
      </c>
      <c r="D1027" s="63"/>
      <c r="E1027" s="231">
        <v>89.6</v>
      </c>
      <c r="F1027" s="1123"/>
    </row>
    <row r="1028" spans="1:6">
      <c r="A1028" s="806">
        <v>42389</v>
      </c>
      <c r="B1028" s="822" t="str">
        <f>TiposLancamentos!B48</f>
        <v>Baralhos e Oráculos</v>
      </c>
      <c r="C1028" s="808" t="s">
        <v>16896</v>
      </c>
      <c r="D1028" s="747"/>
      <c r="E1028" s="1139">
        <v>105</v>
      </c>
      <c r="F1028" s="1140"/>
    </row>
    <row r="1029" spans="1:6">
      <c r="A1029" s="810">
        <v>42389</v>
      </c>
      <c r="B1029" s="823" t="str">
        <f>TiposLancamentos!B48</f>
        <v>Baralhos e Oráculos</v>
      </c>
      <c r="C1029" s="812" t="s">
        <v>16897</v>
      </c>
      <c r="D1029" s="849"/>
      <c r="E1029" s="1141">
        <v>105</v>
      </c>
      <c r="F1029" s="1142">
        <f>SUM(E1028:E1029)</f>
        <v>210</v>
      </c>
    </row>
    <row r="1030" spans="1:6">
      <c r="A1030" s="769">
        <v>42389</v>
      </c>
      <c r="B1030" s="240" t="str">
        <f>TiposLancamentos!B28</f>
        <v>ComicBook</v>
      </c>
      <c r="C1030" s="147" t="s">
        <v>16898</v>
      </c>
      <c r="D1030" s="63"/>
      <c r="E1030" s="231">
        <v>64.010000000000005</v>
      </c>
      <c r="F1030" s="1123"/>
    </row>
    <row r="1031" spans="1:6">
      <c r="A1031" s="769">
        <v>42389</v>
      </c>
      <c r="B1031" s="240" t="str">
        <f>TiposLancamentos!B48</f>
        <v>Baralhos e Oráculos</v>
      </c>
      <c r="C1031" s="147" t="s">
        <v>16899</v>
      </c>
      <c r="D1031" s="63"/>
      <c r="E1031" s="231">
        <v>40.93</v>
      </c>
      <c r="F1031" s="1123"/>
    </row>
    <row r="1032" spans="1:6">
      <c r="A1032" s="1151">
        <v>42389</v>
      </c>
      <c r="B1032" s="279" t="str">
        <f>TiposLancamentos!B16</f>
        <v>Cristiane</v>
      </c>
      <c r="C1032" s="280" t="s">
        <v>3618</v>
      </c>
      <c r="D1032" s="281"/>
      <c r="E1032" s="282">
        <v>24.81</v>
      </c>
      <c r="F1032" s="1150"/>
    </row>
    <row r="1033" spans="1:6">
      <c r="A1033" s="1151">
        <v>42392</v>
      </c>
      <c r="B1033" s="279" t="str">
        <f>TiposLancamentos!B16</f>
        <v>Cristiane</v>
      </c>
      <c r="C1033" s="280" t="s">
        <v>16777</v>
      </c>
      <c r="D1033" s="281"/>
      <c r="E1033" s="282">
        <v>139.80000000000001</v>
      </c>
      <c r="F1033" s="1150"/>
    </row>
    <row r="1034" spans="1:6">
      <c r="A1034" s="1151">
        <v>42392</v>
      </c>
      <c r="B1034" s="279" t="str">
        <f>TiposLancamentos!B19</f>
        <v>Restaurantes</v>
      </c>
      <c r="C1034" s="280" t="s">
        <v>16900</v>
      </c>
      <c r="D1034" s="281"/>
      <c r="E1034" s="282">
        <v>65</v>
      </c>
      <c r="F1034" s="1150"/>
    </row>
    <row r="1035" spans="1:6">
      <c r="A1035" s="1151">
        <v>42393</v>
      </c>
      <c r="B1035" s="279" t="str">
        <f>TiposLancamentos!B16</f>
        <v>Cristiane</v>
      </c>
      <c r="C1035" s="280" t="s">
        <v>16901</v>
      </c>
      <c r="D1035" s="281"/>
      <c r="E1035" s="282">
        <v>90</v>
      </c>
      <c r="F1035" s="1150"/>
    </row>
    <row r="1036" spans="1:6">
      <c r="A1036" s="1151">
        <v>42393</v>
      </c>
      <c r="B1036" s="279" t="str">
        <f>TiposLancamentos!B16</f>
        <v>Cristiane</v>
      </c>
      <c r="C1036" s="280" t="s">
        <v>6052</v>
      </c>
      <c r="D1036" s="281"/>
      <c r="E1036" s="282">
        <v>108.36</v>
      </c>
      <c r="F1036" s="1150"/>
    </row>
    <row r="1037" spans="1:6">
      <c r="A1037" s="1151">
        <v>42383</v>
      </c>
      <c r="B1037" s="279" t="str">
        <f>TiposLancamentos!B16</f>
        <v>Cristiane</v>
      </c>
      <c r="C1037" s="280" t="s">
        <v>16902</v>
      </c>
      <c r="D1037" s="281"/>
      <c r="E1037" s="282">
        <v>59.9</v>
      </c>
      <c r="F1037" s="1150"/>
    </row>
    <row r="1038" spans="1:6">
      <c r="A1038" s="769">
        <v>42394</v>
      </c>
      <c r="B1038" s="240" t="str">
        <f>TiposLancamentos!B3</f>
        <v>Internet</v>
      </c>
      <c r="C1038" s="147" t="s">
        <v>10734</v>
      </c>
      <c r="D1038" s="63"/>
      <c r="E1038" s="231">
        <v>29.9</v>
      </c>
      <c r="F1038" s="1123"/>
    </row>
    <row r="1039" spans="1:6">
      <c r="A1039" s="769">
        <v>42396</v>
      </c>
      <c r="B1039" s="240" t="str">
        <f>TiposLancamentos!B73</f>
        <v>Cursos</v>
      </c>
      <c r="C1039" s="147" t="s">
        <v>16903</v>
      </c>
      <c r="D1039" s="63"/>
      <c r="E1039" s="231">
        <v>170</v>
      </c>
      <c r="F1039" s="1123"/>
    </row>
    <row r="1040" spans="1:6">
      <c r="A1040" s="1151">
        <v>42397</v>
      </c>
      <c r="B1040" s="279" t="str">
        <f>TiposLancamentos!B16</f>
        <v>Cristiane</v>
      </c>
      <c r="C1040" s="280" t="s">
        <v>16904</v>
      </c>
      <c r="D1040" s="281"/>
      <c r="E1040" s="282">
        <v>61.7</v>
      </c>
      <c r="F1040" s="1150"/>
    </row>
    <row r="1041" spans="1:6">
      <c r="A1041" s="1151">
        <v>42398</v>
      </c>
      <c r="B1041" s="279" t="str">
        <f>TiposLancamentos!B16</f>
        <v>Cristiane</v>
      </c>
      <c r="C1041" s="280" t="s">
        <v>16905</v>
      </c>
      <c r="D1041" s="281"/>
      <c r="E1041" s="282">
        <v>178.36</v>
      </c>
      <c r="F1041" s="1150"/>
    </row>
    <row r="1042" spans="1:6">
      <c r="A1042" s="1151">
        <v>42399</v>
      </c>
      <c r="B1042" s="279" t="str">
        <f>TiposLancamentos!B16</f>
        <v>Cristiane</v>
      </c>
      <c r="C1042" s="280" t="s">
        <v>16906</v>
      </c>
      <c r="D1042" s="281"/>
      <c r="E1042" s="282">
        <v>35.96</v>
      </c>
      <c r="F1042" s="1150"/>
    </row>
    <row r="1043" spans="1:6">
      <c r="A1043" s="767"/>
      <c r="B1043" s="1121"/>
      <c r="C1043" s="802" t="s">
        <v>16907</v>
      </c>
      <c r="D1043" s="754"/>
      <c r="E1043" s="755"/>
      <c r="F1043" s="1122">
        <f>SUM(E977:E1021)-(D978 + D985)</f>
        <v>4848.7400000000007</v>
      </c>
    </row>
    <row r="1044" spans="1:6">
      <c r="A1044" s="769">
        <v>42401</v>
      </c>
      <c r="B1044" s="240" t="str">
        <f>TiposLancamentos!B15</f>
        <v>Cartões de Crédito</v>
      </c>
      <c r="C1044" s="147" t="s">
        <v>1874</v>
      </c>
      <c r="D1044" s="63">
        <v>4848.74</v>
      </c>
      <c r="E1044" s="231"/>
      <c r="F1044" s="1123">
        <f>F1043-F1001</f>
        <v>2781.3000000000006</v>
      </c>
    </row>
    <row r="1045" spans="1:6">
      <c r="A1045" s="1151">
        <v>42402</v>
      </c>
      <c r="B1045" s="279" t="str">
        <f>TiposLancamentos!B16</f>
        <v>Cristiane</v>
      </c>
      <c r="C1045" s="280" t="s">
        <v>16908</v>
      </c>
      <c r="D1045" s="281"/>
      <c r="E1045" s="282">
        <v>89.82</v>
      </c>
      <c r="F1045" s="1150"/>
    </row>
    <row r="1046" spans="1:6">
      <c r="A1046" s="1151">
        <v>42402</v>
      </c>
      <c r="B1046" s="279" t="str">
        <f>TiposLancamentos!B16</f>
        <v>Cristiane</v>
      </c>
      <c r="C1046" s="280" t="s">
        <v>16909</v>
      </c>
      <c r="D1046" s="281"/>
      <c r="E1046" s="282">
        <v>73.8</v>
      </c>
      <c r="F1046" s="1150"/>
    </row>
    <row r="1047" spans="1:6">
      <c r="A1047" s="1151">
        <v>42402</v>
      </c>
      <c r="B1047" s="279" t="str">
        <f>TiposLancamentos!B16</f>
        <v>Cristiane</v>
      </c>
      <c r="C1047" s="280" t="s">
        <v>16910</v>
      </c>
      <c r="D1047" s="281"/>
      <c r="E1047" s="282">
        <v>101.65</v>
      </c>
      <c r="F1047" s="1150"/>
    </row>
    <row r="1048" spans="1:6">
      <c r="A1048" s="1151">
        <v>42403</v>
      </c>
      <c r="B1048" s="279" t="str">
        <f>TiposLancamentos!B16</f>
        <v>Cristiane</v>
      </c>
      <c r="C1048" s="280" t="s">
        <v>16911</v>
      </c>
      <c r="D1048" s="281"/>
      <c r="E1048" s="282">
        <v>56</v>
      </c>
      <c r="F1048" s="1150"/>
    </row>
    <row r="1049" spans="1:6">
      <c r="A1049" s="769">
        <v>42403</v>
      </c>
      <c r="B1049" s="240" t="str">
        <f>TiposLancamentos!B87</f>
        <v>P207-1.6-XS</v>
      </c>
      <c r="C1049" s="147" t="s">
        <v>16912</v>
      </c>
      <c r="D1049" s="63"/>
      <c r="E1049" s="231">
        <v>475.75</v>
      </c>
      <c r="F1049" s="1123">
        <f>E1049*4</f>
        <v>1903</v>
      </c>
    </row>
    <row r="1050" spans="1:6">
      <c r="A1050" s="769">
        <v>42403</v>
      </c>
      <c r="B1050" s="240" t="str">
        <f>TiposLancamentos!B19</f>
        <v>Restaurantes</v>
      </c>
      <c r="C1050" s="147" t="s">
        <v>4956</v>
      </c>
      <c r="D1050" s="63"/>
      <c r="E1050" s="231">
        <v>48.5</v>
      </c>
      <c r="F1050" s="1123"/>
    </row>
    <row r="1051" spans="1:6">
      <c r="A1051" s="769">
        <v>42404</v>
      </c>
      <c r="B1051" s="240" t="str">
        <f>TiposLancamentos!B102</f>
        <v>ESTORNO</v>
      </c>
      <c r="C1051" s="147" t="s">
        <v>16913</v>
      </c>
      <c r="D1051" s="63">
        <v>0.2</v>
      </c>
      <c r="E1051" s="231"/>
      <c r="F1051" s="1123"/>
    </row>
    <row r="1052" spans="1:6">
      <c r="A1052" s="769">
        <v>42404</v>
      </c>
      <c r="B1052" s="240" t="str">
        <f>TiposLancamentos!B71</f>
        <v>Itens Pessoais</v>
      </c>
      <c r="C1052" s="878" t="s">
        <v>16914</v>
      </c>
      <c r="D1052" s="63"/>
      <c r="E1052" s="231">
        <v>91.99</v>
      </c>
      <c r="F1052" s="1123"/>
    </row>
    <row r="1053" spans="1:6">
      <c r="A1053" s="769">
        <v>42404</v>
      </c>
      <c r="B1053" s="240" t="str">
        <f>TiposLancamentos!B71</f>
        <v>Itens Pessoais</v>
      </c>
      <c r="C1053" s="147" t="s">
        <v>16915</v>
      </c>
      <c r="D1053" s="63"/>
      <c r="E1053" s="231">
        <v>88.2</v>
      </c>
      <c r="F1053" s="1123"/>
    </row>
    <row r="1054" spans="1:6">
      <c r="A1054" s="1151">
        <v>42404</v>
      </c>
      <c r="B1054" s="279" t="str">
        <f>TiposLancamentos!B19</f>
        <v>Restaurantes</v>
      </c>
      <c r="C1054" s="280" t="s">
        <v>16916</v>
      </c>
      <c r="D1054" s="281"/>
      <c r="E1054" s="282">
        <v>65</v>
      </c>
      <c r="F1054" s="1150"/>
    </row>
    <row r="1055" spans="1:6">
      <c r="A1055" s="769">
        <v>42405</v>
      </c>
      <c r="B1055" s="240" t="str">
        <f>TiposLancamentos!B22</f>
        <v>Combustivel</v>
      </c>
      <c r="C1055" s="147" t="s">
        <v>6412</v>
      </c>
      <c r="D1055" s="63"/>
      <c r="E1055" s="231">
        <v>50</v>
      </c>
      <c r="F1055" s="1123"/>
    </row>
    <row r="1056" spans="1:6">
      <c r="A1056" s="769">
        <v>42405</v>
      </c>
      <c r="B1056" s="240" t="str">
        <f>TiposLancamentos!B19</f>
        <v>Restaurantes</v>
      </c>
      <c r="C1056" s="147" t="s">
        <v>10655</v>
      </c>
      <c r="D1056" s="63"/>
      <c r="E1056" s="231">
        <v>71.83</v>
      </c>
      <c r="F1056" s="1123"/>
    </row>
    <row r="1057" spans="1:6">
      <c r="A1057" s="769">
        <v>42405</v>
      </c>
      <c r="B1057" s="240" t="str">
        <f>TiposLancamentos!B19</f>
        <v>Restaurantes</v>
      </c>
      <c r="C1057" s="147" t="s">
        <v>4593</v>
      </c>
      <c r="D1057" s="63"/>
      <c r="E1057" s="231">
        <v>8.4</v>
      </c>
      <c r="F1057" s="1123"/>
    </row>
    <row r="1058" spans="1:6">
      <c r="A1058" s="769">
        <v>42405</v>
      </c>
      <c r="B1058" s="240" t="str">
        <f>TiposLancamentos!B16</f>
        <v>Cristiane</v>
      </c>
      <c r="C1058" s="147" t="s">
        <v>16917</v>
      </c>
      <c r="D1058" s="63"/>
      <c r="E1058" s="231">
        <v>9.9</v>
      </c>
      <c r="F1058" s="1123"/>
    </row>
    <row r="1059" spans="1:6">
      <c r="A1059" s="769">
        <v>42406</v>
      </c>
      <c r="B1059" s="240" t="str">
        <f>TiposLancamentos!B19</f>
        <v>Restaurantes</v>
      </c>
      <c r="C1059" s="147" t="s">
        <v>16918</v>
      </c>
      <c r="D1059" s="63"/>
      <c r="E1059" s="231">
        <v>107.8</v>
      </c>
      <c r="F1059" s="1123"/>
    </row>
    <row r="1060" spans="1:6">
      <c r="A1060" s="769">
        <v>42406</v>
      </c>
      <c r="B1060" s="240" t="str">
        <f>TiposLancamentos!B5</f>
        <v>Supermercado</v>
      </c>
      <c r="C1060" s="147" t="s">
        <v>6234</v>
      </c>
      <c r="D1060" s="63"/>
      <c r="E1060" s="231">
        <v>171.7</v>
      </c>
      <c r="F1060" s="1123"/>
    </row>
    <row r="1061" spans="1:6">
      <c r="A1061" s="1151">
        <v>42407</v>
      </c>
      <c r="B1061" s="279" t="str">
        <f>TiposLancamentos!B16</f>
        <v>Cristiane</v>
      </c>
      <c r="C1061" s="280" t="s">
        <v>16919</v>
      </c>
      <c r="D1061" s="281"/>
      <c r="E1061" s="282">
        <v>40</v>
      </c>
      <c r="F1061" s="1150"/>
    </row>
    <row r="1062" spans="1:6">
      <c r="A1062" s="1151">
        <v>42407</v>
      </c>
      <c r="B1062" s="279" t="str">
        <f>TiposLancamentos!B5</f>
        <v>Supermercado</v>
      </c>
      <c r="C1062" s="280" t="s">
        <v>16920</v>
      </c>
      <c r="D1062" s="281"/>
      <c r="E1062" s="282">
        <v>80.180000000000007</v>
      </c>
      <c r="F1062" s="1150"/>
    </row>
    <row r="1063" spans="1:6">
      <c r="A1063" s="769">
        <v>42407</v>
      </c>
      <c r="B1063" s="240" t="str">
        <f>TiposLancamentos!B5</f>
        <v>Supermercado</v>
      </c>
      <c r="C1063" s="147" t="s">
        <v>7068</v>
      </c>
      <c r="D1063" s="63"/>
      <c r="E1063" s="231">
        <v>39.090000000000003</v>
      </c>
      <c r="F1063" s="1123"/>
    </row>
    <row r="1064" spans="1:6">
      <c r="A1064" s="1151">
        <v>42408</v>
      </c>
      <c r="B1064" s="279" t="str">
        <f>TiposLancamentos!B56</f>
        <v>Farmácia</v>
      </c>
      <c r="C1064" s="280" t="s">
        <v>16921</v>
      </c>
      <c r="D1064" s="281"/>
      <c r="E1064" s="282">
        <v>41.38</v>
      </c>
      <c r="F1064" s="1150"/>
    </row>
    <row r="1065" spans="1:6">
      <c r="A1065" s="769">
        <v>42409</v>
      </c>
      <c r="B1065" s="240" t="str">
        <f>TiposLancamentos!B19</f>
        <v>Restaurantes</v>
      </c>
      <c r="C1065" s="147" t="s">
        <v>6032</v>
      </c>
      <c r="D1065" s="63"/>
      <c r="E1065" s="231">
        <v>154.88</v>
      </c>
      <c r="F1065" s="1123"/>
    </row>
    <row r="1066" spans="1:6">
      <c r="A1066" s="769">
        <v>42409</v>
      </c>
      <c r="B1066" s="240" t="str">
        <f>TiposLancamentos!B5</f>
        <v>Supermercado</v>
      </c>
      <c r="C1066" s="147" t="s">
        <v>6234</v>
      </c>
      <c r="D1066" s="63"/>
      <c r="E1066" s="231">
        <v>46.09</v>
      </c>
      <c r="F1066" s="1123"/>
    </row>
    <row r="1067" spans="1:6">
      <c r="A1067" s="769">
        <v>42410</v>
      </c>
      <c r="B1067" s="240" t="str">
        <f>TiposLancamentos!B5</f>
        <v>Supermercado</v>
      </c>
      <c r="C1067" s="147" t="s">
        <v>6234</v>
      </c>
      <c r="D1067" s="63"/>
      <c r="E1067" s="231">
        <v>58.73</v>
      </c>
      <c r="F1067" s="1123"/>
    </row>
    <row r="1068" spans="1:6">
      <c r="A1068" s="769">
        <v>42410</v>
      </c>
      <c r="B1068" s="240" t="str">
        <f>TiposLancamentos!B5</f>
        <v>Supermercado</v>
      </c>
      <c r="C1068" s="147" t="s">
        <v>16922</v>
      </c>
      <c r="D1068" s="63"/>
      <c r="E1068" s="231">
        <v>9.99</v>
      </c>
      <c r="F1068" s="1123"/>
    </row>
    <row r="1069" spans="1:6">
      <c r="A1069" s="769">
        <v>42411</v>
      </c>
      <c r="B1069" s="240" t="str">
        <f>TiposLancamentos!B19</f>
        <v>Restaurantes</v>
      </c>
      <c r="C1069" s="147" t="s">
        <v>7068</v>
      </c>
      <c r="D1069" s="63"/>
      <c r="E1069" s="231">
        <v>42.99</v>
      </c>
      <c r="F1069" s="1123"/>
    </row>
    <row r="1070" spans="1:6">
      <c r="A1070" s="1151">
        <v>42411</v>
      </c>
      <c r="B1070" s="279" t="str">
        <f>TiposLancamentos!B5</f>
        <v>Supermercado</v>
      </c>
      <c r="C1070" s="280" t="s">
        <v>6234</v>
      </c>
      <c r="D1070" s="281"/>
      <c r="E1070" s="282">
        <v>63.84</v>
      </c>
      <c r="F1070" s="1150"/>
    </row>
    <row r="1071" spans="1:6">
      <c r="A1071" s="769">
        <v>42413</v>
      </c>
      <c r="B1071" s="240" t="str">
        <f>TiposLancamentos!B56</f>
        <v>Farmácia</v>
      </c>
      <c r="C1071" s="147" t="s">
        <v>16923</v>
      </c>
      <c r="D1071" s="63"/>
      <c r="E1071" s="231">
        <v>74.22</v>
      </c>
      <c r="F1071" s="1123"/>
    </row>
    <row r="1072" spans="1:6">
      <c r="A1072" s="769">
        <v>42413</v>
      </c>
      <c r="B1072" s="240" t="str">
        <f>TiposLancamentos!B16</f>
        <v>Cristiane</v>
      </c>
      <c r="C1072" s="147" t="s">
        <v>16924</v>
      </c>
      <c r="D1072" s="63"/>
      <c r="E1072" s="231">
        <v>65.040000000000006</v>
      </c>
      <c r="F1072" s="1123"/>
    </row>
    <row r="1073" spans="1:6">
      <c r="A1073" s="769">
        <v>42413</v>
      </c>
      <c r="B1073" s="240" t="str">
        <f>TiposLancamentos!B19</f>
        <v>Restaurantes</v>
      </c>
      <c r="C1073" s="147" t="s">
        <v>10900</v>
      </c>
      <c r="D1073" s="63"/>
      <c r="E1073" s="231">
        <v>40</v>
      </c>
      <c r="F1073" s="1123"/>
    </row>
    <row r="1074" spans="1:6">
      <c r="A1074" s="1151">
        <v>42413</v>
      </c>
      <c r="B1074" s="279" t="str">
        <f>TiposLancamentos!B16</f>
        <v>Cristiane</v>
      </c>
      <c r="C1074" s="280" t="s">
        <v>16790</v>
      </c>
      <c r="D1074" s="281"/>
      <c r="E1074" s="282">
        <v>41</v>
      </c>
      <c r="F1074" s="1150"/>
    </row>
    <row r="1075" spans="1:6">
      <c r="A1075" s="1151">
        <v>42413</v>
      </c>
      <c r="B1075" s="279" t="str">
        <f>TiposLancamentos!B16</f>
        <v>Cristiane</v>
      </c>
      <c r="C1075" s="280" t="s">
        <v>16925</v>
      </c>
      <c r="D1075" s="281"/>
      <c r="E1075" s="282">
        <v>65.98</v>
      </c>
      <c r="F1075" s="1150"/>
    </row>
    <row r="1076" spans="1:6">
      <c r="A1076" s="769">
        <v>42413</v>
      </c>
      <c r="B1076" s="240" t="str">
        <f>TiposLancamentos!B13</f>
        <v>Moradia</v>
      </c>
      <c r="C1076" s="147" t="s">
        <v>3785</v>
      </c>
      <c r="D1076" s="63"/>
      <c r="E1076" s="231">
        <v>35</v>
      </c>
      <c r="F1076" s="1123"/>
    </row>
    <row r="1077" spans="1:6">
      <c r="A1077" s="769">
        <v>42413</v>
      </c>
      <c r="B1077" s="240" t="str">
        <f>TiposLancamentos!B19</f>
        <v>Restaurantes</v>
      </c>
      <c r="C1077" s="147" t="s">
        <v>16900</v>
      </c>
      <c r="D1077" s="63"/>
      <c r="E1077" s="231">
        <v>88</v>
      </c>
      <c r="F1077" s="1123"/>
    </row>
    <row r="1078" spans="1:6">
      <c r="A1078" s="769">
        <v>42415</v>
      </c>
      <c r="B1078" s="240" t="str">
        <f>TiposLancamentos!B19</f>
        <v>Restaurantes</v>
      </c>
      <c r="C1078" s="147" t="s">
        <v>3437</v>
      </c>
      <c r="D1078" s="63"/>
      <c r="E1078" s="231">
        <v>10.3</v>
      </c>
      <c r="F1078" s="1123"/>
    </row>
    <row r="1079" spans="1:6">
      <c r="A1079" s="769">
        <v>42415</v>
      </c>
      <c r="B1079" s="240" t="str">
        <f>TiposLancamentos!B19</f>
        <v>Restaurantes</v>
      </c>
      <c r="C1079" s="147" t="s">
        <v>16926</v>
      </c>
      <c r="D1079" s="63"/>
      <c r="E1079" s="231">
        <v>21.89</v>
      </c>
      <c r="F1079" s="1123"/>
    </row>
    <row r="1080" spans="1:6">
      <c r="A1080" s="1151">
        <v>42415</v>
      </c>
      <c r="B1080" s="279" t="str">
        <f>TiposLancamentos!B5</f>
        <v>Supermercado</v>
      </c>
      <c r="C1080" s="280" t="s">
        <v>6234</v>
      </c>
      <c r="D1080" s="281"/>
      <c r="E1080" s="282">
        <v>89.01</v>
      </c>
      <c r="F1080" s="1150"/>
    </row>
    <row r="1081" spans="1:6">
      <c r="A1081" s="1151">
        <v>42416</v>
      </c>
      <c r="B1081" s="279" t="str">
        <f>TiposLancamentos!B16</f>
        <v>Cristiane</v>
      </c>
      <c r="C1081" s="280" t="s">
        <v>16927</v>
      </c>
      <c r="D1081" s="281"/>
      <c r="E1081" s="282">
        <v>200</v>
      </c>
      <c r="F1081" s="1150"/>
    </row>
    <row r="1082" spans="1:6">
      <c r="A1082" s="769">
        <v>42416</v>
      </c>
      <c r="B1082" s="240" t="str">
        <f>TiposLancamentos!B22</f>
        <v>Combustivel</v>
      </c>
      <c r="C1082" s="147" t="s">
        <v>6412</v>
      </c>
      <c r="D1082" s="63"/>
      <c r="E1082" s="231">
        <v>50</v>
      </c>
      <c r="F1082" s="1123"/>
    </row>
    <row r="1083" spans="1:6">
      <c r="A1083" s="1151">
        <v>42416</v>
      </c>
      <c r="B1083" s="279" t="str">
        <f>TiposLancamentos!B16</f>
        <v>Cristiane</v>
      </c>
      <c r="C1083" s="280" t="s">
        <v>16928</v>
      </c>
      <c r="D1083" s="281"/>
      <c r="E1083" s="282">
        <v>144.5</v>
      </c>
      <c r="F1083" s="1150"/>
    </row>
    <row r="1084" spans="1:6">
      <c r="A1084" s="769">
        <v>42416</v>
      </c>
      <c r="B1084" s="240" t="str">
        <f>TiposLancamentos!B19</f>
        <v>Restaurantes</v>
      </c>
      <c r="C1084" s="147" t="s">
        <v>16929</v>
      </c>
      <c r="D1084" s="63"/>
      <c r="E1084" s="231">
        <v>17</v>
      </c>
      <c r="F1084" s="1123"/>
    </row>
    <row r="1085" spans="1:6">
      <c r="A1085" s="769">
        <v>42416</v>
      </c>
      <c r="B1085" s="240" t="str">
        <f>TiposLancamentos!B16</f>
        <v>Cristiane</v>
      </c>
      <c r="C1085" s="147" t="s">
        <v>16930</v>
      </c>
      <c r="D1085" s="63"/>
      <c r="E1085" s="231">
        <v>24.16</v>
      </c>
      <c r="F1085" s="1123"/>
    </row>
    <row r="1086" spans="1:6">
      <c r="A1086" s="1151">
        <v>42417</v>
      </c>
      <c r="B1086" s="279" t="str">
        <f>TiposLancamentos!B16</f>
        <v>Cristiane</v>
      </c>
      <c r="C1086" s="280" t="s">
        <v>16931</v>
      </c>
      <c r="D1086" s="281"/>
      <c r="E1086" s="282">
        <v>85.79</v>
      </c>
      <c r="F1086" s="1150"/>
    </row>
    <row r="1087" spans="1:6">
      <c r="A1087" s="1151">
        <v>42417</v>
      </c>
      <c r="B1087" s="279" t="str">
        <f>TiposLancamentos!B16</f>
        <v>Cristiane</v>
      </c>
      <c r="C1087" s="280" t="s">
        <v>16932</v>
      </c>
      <c r="D1087" s="281"/>
      <c r="E1087" s="282">
        <v>93.27</v>
      </c>
      <c r="F1087" s="1150"/>
    </row>
    <row r="1088" spans="1:6">
      <c r="A1088" s="769">
        <v>42417</v>
      </c>
      <c r="B1088" s="240" t="str">
        <f>TiposLancamentos!B19</f>
        <v>Restaurantes</v>
      </c>
      <c r="C1088" s="147" t="s">
        <v>16933</v>
      </c>
      <c r="D1088" s="63"/>
      <c r="E1088" s="231">
        <v>12.2</v>
      </c>
      <c r="F1088" s="1123"/>
    </row>
    <row r="1089" spans="1:6">
      <c r="A1089" s="769">
        <v>42417</v>
      </c>
      <c r="B1089" s="240" t="str">
        <f>TiposLancamentos!B19</f>
        <v>Restaurantes</v>
      </c>
      <c r="C1089" s="147" t="s">
        <v>7150</v>
      </c>
      <c r="D1089" s="63"/>
      <c r="E1089" s="231">
        <v>27.9</v>
      </c>
      <c r="F1089" s="1123"/>
    </row>
    <row r="1090" spans="1:6">
      <c r="A1090" s="759"/>
      <c r="B1090" s="243"/>
      <c r="C1090" s="389" t="s">
        <v>10</v>
      </c>
      <c r="D1090" s="146"/>
      <c r="E1090" s="146"/>
      <c r="F1090" s="1138"/>
    </row>
    <row r="1091" spans="1:6">
      <c r="A1091" s="1151">
        <v>42418</v>
      </c>
      <c r="B1091" s="279" t="str">
        <f>TiposLancamentos!B16</f>
        <v>Cristiane</v>
      </c>
      <c r="C1091" s="280" t="s">
        <v>16934</v>
      </c>
      <c r="D1091" s="281"/>
      <c r="E1091" s="282">
        <v>39.99</v>
      </c>
      <c r="F1091" s="1150"/>
    </row>
    <row r="1092" spans="1:6">
      <c r="A1092" s="769">
        <v>42418</v>
      </c>
      <c r="B1092" s="240" t="str">
        <f>TiposLancamentos!B19</f>
        <v>Restaurantes</v>
      </c>
      <c r="C1092" s="147" t="s">
        <v>16935</v>
      </c>
      <c r="D1092" s="63"/>
      <c r="E1092" s="231">
        <v>23</v>
      </c>
      <c r="F1092" s="1123"/>
    </row>
    <row r="1093" spans="1:6">
      <c r="A1093" s="1151">
        <v>42418</v>
      </c>
      <c r="B1093" s="279" t="str">
        <f>TiposLancamentos!B16</f>
        <v>Cristiane</v>
      </c>
      <c r="C1093" s="280" t="s">
        <v>16936</v>
      </c>
      <c r="D1093" s="281"/>
      <c r="E1093" s="282">
        <v>27.08</v>
      </c>
      <c r="F1093" s="1150"/>
    </row>
    <row r="1094" spans="1:6">
      <c r="A1094" s="806">
        <v>42418</v>
      </c>
      <c r="B1094" s="822" t="str">
        <f>TiposLancamentos!B29</f>
        <v>Mangá</v>
      </c>
      <c r="C1094" s="808" t="s">
        <v>16937</v>
      </c>
      <c r="D1094" s="747"/>
      <c r="E1094" s="1139">
        <v>13.8</v>
      </c>
      <c r="F1094" s="1140"/>
    </row>
    <row r="1095" spans="1:6">
      <c r="A1095" s="810">
        <v>42418</v>
      </c>
      <c r="B1095" s="823" t="str">
        <f>TiposLancamentos!B28</f>
        <v>ComicBook</v>
      </c>
      <c r="C1095" s="812" t="s">
        <v>16938</v>
      </c>
      <c r="D1095" s="849"/>
      <c r="E1095" s="1141">
        <v>22</v>
      </c>
      <c r="F1095" s="1142">
        <f>SUM(E1094:E1095)</f>
        <v>35.799999999999997</v>
      </c>
    </row>
    <row r="1096" spans="1:6">
      <c r="A1096" s="1151">
        <v>42418</v>
      </c>
      <c r="B1096" s="279" t="str">
        <f>TiposLancamentos!B16</f>
        <v>Cristiane</v>
      </c>
      <c r="C1096" s="280" t="s">
        <v>16939</v>
      </c>
      <c r="D1096" s="281"/>
      <c r="E1096" s="282">
        <v>70.900000000000006</v>
      </c>
      <c r="F1096" s="1150"/>
    </row>
    <row r="1097" spans="1:6">
      <c r="A1097" s="769">
        <v>42418</v>
      </c>
      <c r="B1097" s="240" t="str">
        <f>TiposLancamentos!B19</f>
        <v>Restaurantes</v>
      </c>
      <c r="C1097" s="147" t="s">
        <v>16940</v>
      </c>
      <c r="D1097" s="63"/>
      <c r="E1097" s="231">
        <v>15.9</v>
      </c>
      <c r="F1097" s="1123"/>
    </row>
    <row r="1098" spans="1:6">
      <c r="A1098" s="769">
        <v>42419</v>
      </c>
      <c r="B1098" s="240" t="str">
        <f>TiposLancamentos!B5</f>
        <v>Supermercado</v>
      </c>
      <c r="C1098" s="147" t="s">
        <v>6234</v>
      </c>
      <c r="D1098" s="63"/>
      <c r="E1098" s="231">
        <v>68.3</v>
      </c>
      <c r="F1098" s="1123"/>
    </row>
    <row r="1099" spans="1:6">
      <c r="A1099" s="769">
        <v>42419</v>
      </c>
      <c r="B1099" s="240" t="str">
        <f>TiposLancamentos!B16</f>
        <v>Cristiane</v>
      </c>
      <c r="C1099" s="147" t="s">
        <v>16941</v>
      </c>
      <c r="D1099" s="63"/>
      <c r="E1099" s="231">
        <v>45</v>
      </c>
      <c r="F1099" s="1123"/>
    </row>
    <row r="1100" spans="1:6">
      <c r="A1100" s="769">
        <v>42419</v>
      </c>
      <c r="B1100" s="240" t="str">
        <f>TiposLancamentos!B19</f>
        <v>Restaurantes</v>
      </c>
      <c r="C1100" s="147" t="s">
        <v>7068</v>
      </c>
      <c r="D1100" s="63"/>
      <c r="E1100" s="231">
        <v>25.5</v>
      </c>
      <c r="F1100" s="1123"/>
    </row>
    <row r="1101" spans="1:6">
      <c r="A1101" s="769">
        <v>42419</v>
      </c>
      <c r="B1101" s="240" t="str">
        <f>TiposLancamentos!B78</f>
        <v>Diferenças</v>
      </c>
      <c r="C1101" s="147" t="s">
        <v>16942</v>
      </c>
      <c r="D1101" s="63">
        <v>0.01</v>
      </c>
      <c r="E1101" s="231"/>
      <c r="F1101" s="1123"/>
    </row>
    <row r="1102" spans="1:6">
      <c r="A1102" s="769">
        <v>42419</v>
      </c>
      <c r="B1102" s="240" t="str">
        <f>TiposLancamentos!B13</f>
        <v>Moradia</v>
      </c>
      <c r="C1102" s="147" t="s">
        <v>16893</v>
      </c>
      <c r="D1102" s="51"/>
      <c r="E1102" s="231">
        <v>199.33</v>
      </c>
      <c r="F1102" s="1123"/>
    </row>
    <row r="1103" spans="1:6">
      <c r="A1103" s="1151">
        <v>42420</v>
      </c>
      <c r="B1103" s="279" t="str">
        <f>TiposLancamentos!B16</f>
        <v>Cristiane</v>
      </c>
      <c r="C1103" s="280" t="s">
        <v>16943</v>
      </c>
      <c r="D1103" s="281"/>
      <c r="E1103" s="282">
        <v>48</v>
      </c>
      <c r="F1103" s="1150"/>
    </row>
    <row r="1104" spans="1:6">
      <c r="A1104" s="1151">
        <v>42420</v>
      </c>
      <c r="B1104" s="279" t="str">
        <f>TiposLancamentos!B16</f>
        <v>Cristiane</v>
      </c>
      <c r="C1104" s="280" t="s">
        <v>16944</v>
      </c>
      <c r="D1104" s="281"/>
      <c r="E1104" s="282">
        <v>680</v>
      </c>
      <c r="F1104" s="1150"/>
    </row>
    <row r="1105" spans="1:6">
      <c r="A1105" s="769">
        <v>42420</v>
      </c>
      <c r="B1105" s="240" t="str">
        <f>TiposLancamentos!B19</f>
        <v>Restaurantes</v>
      </c>
      <c r="C1105" s="147" t="s">
        <v>6565</v>
      </c>
      <c r="D1105" s="63"/>
      <c r="E1105" s="231">
        <v>24.12</v>
      </c>
      <c r="F1105" s="1123"/>
    </row>
    <row r="1106" spans="1:6">
      <c r="A1106" s="769">
        <v>42420</v>
      </c>
      <c r="B1106" s="240" t="str">
        <f>TiposLancamentos!B5</f>
        <v>Supermercado</v>
      </c>
      <c r="C1106" s="147" t="s">
        <v>6234</v>
      </c>
      <c r="D1106" s="63"/>
      <c r="E1106" s="231">
        <v>17.96</v>
      </c>
      <c r="F1106" s="1123"/>
    </row>
    <row r="1107" spans="1:6">
      <c r="A1107" s="769">
        <v>42421</v>
      </c>
      <c r="B1107" s="240" t="str">
        <f>TiposLancamentos!B19</f>
        <v>Restaurantes</v>
      </c>
      <c r="C1107" s="147" t="s">
        <v>15823</v>
      </c>
      <c r="D1107" s="63"/>
      <c r="E1107" s="231">
        <v>26.9</v>
      </c>
      <c r="F1107" s="1123"/>
    </row>
    <row r="1108" spans="1:6">
      <c r="A1108" s="769">
        <v>42421</v>
      </c>
      <c r="B1108" s="240" t="str">
        <f>TiposLancamentos!B19</f>
        <v>Restaurantes</v>
      </c>
      <c r="C1108" s="147" t="s">
        <v>7068</v>
      </c>
      <c r="D1108" s="63"/>
      <c r="E1108" s="231">
        <v>25.5</v>
      </c>
      <c r="F1108" s="1123"/>
    </row>
    <row r="1109" spans="1:6">
      <c r="A1109" s="769">
        <v>42422</v>
      </c>
      <c r="B1109" s="240" t="str">
        <f>TiposLancamentos!B19</f>
        <v>Restaurantes</v>
      </c>
      <c r="C1109" s="147" t="s">
        <v>10692</v>
      </c>
      <c r="D1109" s="63"/>
      <c r="E1109" s="231">
        <v>12.92</v>
      </c>
      <c r="F1109" s="1123"/>
    </row>
    <row r="1110" spans="1:6">
      <c r="A1110" s="769">
        <v>42422</v>
      </c>
      <c r="B1110" s="240" t="str">
        <f>TiposLancamentos!B19</f>
        <v>Restaurantes</v>
      </c>
      <c r="C1110" s="147" t="s">
        <v>16933</v>
      </c>
      <c r="D1110" s="63"/>
      <c r="E1110" s="231">
        <v>11.5</v>
      </c>
      <c r="F1110" s="1123"/>
    </row>
    <row r="1111" spans="1:6">
      <c r="A1111" s="769">
        <v>42422</v>
      </c>
      <c r="B1111" s="240" t="str">
        <f>TiposLancamentos!B19</f>
        <v>Restaurantes</v>
      </c>
      <c r="C1111" s="147" t="s">
        <v>16945</v>
      </c>
      <c r="D1111" s="63"/>
      <c r="E1111" s="231">
        <v>13.91</v>
      </c>
      <c r="F1111" s="1123"/>
    </row>
    <row r="1112" spans="1:6">
      <c r="A1112" s="769">
        <v>42423</v>
      </c>
      <c r="B1112" s="240" t="str">
        <f>TiposLancamentos!B19</f>
        <v>Restaurantes</v>
      </c>
      <c r="C1112" s="147" t="s">
        <v>10692</v>
      </c>
      <c r="D1112" s="63"/>
      <c r="E1112" s="231">
        <v>12.92</v>
      </c>
      <c r="F1112" s="1123"/>
    </row>
    <row r="1113" spans="1:6">
      <c r="A1113" s="769">
        <v>42423</v>
      </c>
      <c r="B1113" s="240" t="str">
        <f>TiposLancamentos!B19</f>
        <v>Restaurantes</v>
      </c>
      <c r="C1113" s="147" t="s">
        <v>16946</v>
      </c>
      <c r="D1113" s="63"/>
      <c r="E1113" s="231">
        <v>11.4</v>
      </c>
      <c r="F1113" s="1123"/>
    </row>
    <row r="1114" spans="1:6">
      <c r="A1114" s="769">
        <v>42423</v>
      </c>
      <c r="B1114" s="240" t="str">
        <f>TiposLancamentos!B19</f>
        <v>Restaurantes</v>
      </c>
      <c r="C1114" s="147" t="s">
        <v>16947</v>
      </c>
      <c r="D1114" s="63"/>
      <c r="E1114" s="231">
        <v>28.9</v>
      </c>
      <c r="F1114" s="1123"/>
    </row>
    <row r="1115" spans="1:6">
      <c r="A1115" s="1151">
        <v>42424</v>
      </c>
      <c r="B1115" s="279" t="str">
        <f>TiposLancamentos!B16</f>
        <v>Cristiane</v>
      </c>
      <c r="C1115" s="280" t="s">
        <v>16948</v>
      </c>
      <c r="D1115" s="281"/>
      <c r="E1115" s="282">
        <v>51</v>
      </c>
      <c r="F1115" s="1150"/>
    </row>
    <row r="1116" spans="1:6">
      <c r="A1116" s="769">
        <v>42424</v>
      </c>
      <c r="B1116" s="240" t="str">
        <f>TiposLancamentos!B19</f>
        <v>Restaurantes</v>
      </c>
      <c r="C1116" s="147" t="s">
        <v>16929</v>
      </c>
      <c r="D1116" s="63"/>
      <c r="E1116" s="231">
        <v>24.5</v>
      </c>
      <c r="F1116" s="1123"/>
    </row>
    <row r="1117" spans="1:6">
      <c r="A1117" s="769">
        <v>42424</v>
      </c>
      <c r="B1117" s="240" t="str">
        <f>TiposLancamentos!B19</f>
        <v>Restaurantes</v>
      </c>
      <c r="C1117" s="147" t="s">
        <v>16926</v>
      </c>
      <c r="D1117" s="63"/>
      <c r="E1117" s="231">
        <v>26.75</v>
      </c>
      <c r="F1117" s="1123"/>
    </row>
    <row r="1118" spans="1:6">
      <c r="A1118" s="769">
        <v>42425</v>
      </c>
      <c r="B1118" s="240" t="str">
        <f>TiposLancamentos!B3</f>
        <v>Internet</v>
      </c>
      <c r="C1118" s="147" t="s">
        <v>10734</v>
      </c>
      <c r="D1118" s="63"/>
      <c r="E1118" s="231">
        <v>32.89</v>
      </c>
      <c r="F1118" s="1123"/>
    </row>
    <row r="1119" spans="1:6">
      <c r="A1119" s="769">
        <v>42425</v>
      </c>
      <c r="B1119" s="240" t="str">
        <f>TiposLancamentos!B5</f>
        <v>Supermercado</v>
      </c>
      <c r="C1119" s="147" t="s">
        <v>6234</v>
      </c>
      <c r="D1119" s="63"/>
      <c r="E1119" s="231">
        <v>59.36</v>
      </c>
      <c r="F1119" s="1123"/>
    </row>
    <row r="1120" spans="1:6">
      <c r="A1120" s="806">
        <v>42426</v>
      </c>
      <c r="B1120" s="822" t="str">
        <f>TiposLancamentos!B48</f>
        <v>Baralhos e Oráculos</v>
      </c>
      <c r="C1120" s="808" t="s">
        <v>16949</v>
      </c>
      <c r="D1120" s="747"/>
      <c r="E1120" s="1139">
        <v>110</v>
      </c>
      <c r="F1120" s="1140"/>
    </row>
    <row r="1121" spans="1:6">
      <c r="A1121" s="810">
        <v>42426</v>
      </c>
      <c r="B1121" s="823" t="str">
        <f>TiposLancamentos!B16</f>
        <v>Cristiane</v>
      </c>
      <c r="C1121" s="812" t="s">
        <v>16950</v>
      </c>
      <c r="D1121" s="849"/>
      <c r="E1121" s="1141">
        <v>10</v>
      </c>
      <c r="F1121" s="1142"/>
    </row>
    <row r="1122" spans="1:6">
      <c r="A1122" s="769">
        <v>42426</v>
      </c>
      <c r="B1122" s="240" t="str">
        <f>TiposLancamentos!B19</f>
        <v>Restaurantes</v>
      </c>
      <c r="C1122" s="147" t="s">
        <v>16951</v>
      </c>
      <c r="D1122" s="63"/>
      <c r="E1122" s="231">
        <v>15</v>
      </c>
      <c r="F1122" s="1123"/>
    </row>
    <row r="1123" spans="1:6">
      <c r="A1123" s="769">
        <v>42426</v>
      </c>
      <c r="B1123" s="240" t="str">
        <f>TiposLancamentos!B30</f>
        <v>Cinema</v>
      </c>
      <c r="C1123" s="147" t="s">
        <v>16952</v>
      </c>
      <c r="D1123" s="63"/>
      <c r="E1123" s="231">
        <v>42.72</v>
      </c>
      <c r="F1123" s="1123"/>
    </row>
    <row r="1124" spans="1:6">
      <c r="A1124" s="769">
        <v>42426</v>
      </c>
      <c r="B1124" s="240" t="str">
        <f>TiposLancamentos!B16</f>
        <v>Cristiane</v>
      </c>
      <c r="C1124" s="147" t="s">
        <v>16953</v>
      </c>
      <c r="D1124" s="63"/>
      <c r="E1124" s="231">
        <v>10.68</v>
      </c>
      <c r="F1124" s="1123"/>
    </row>
    <row r="1125" spans="1:6">
      <c r="A1125" s="769">
        <v>42426</v>
      </c>
      <c r="B1125" s="240" t="str">
        <f>TiposLancamentos!B19</f>
        <v>Restaurantes</v>
      </c>
      <c r="C1125" s="147" t="s">
        <v>16954</v>
      </c>
      <c r="D1125" s="63"/>
      <c r="E1125" s="231">
        <v>80</v>
      </c>
      <c r="F1125" s="1123"/>
    </row>
    <row r="1126" spans="1:6">
      <c r="A1126" s="769">
        <v>42428</v>
      </c>
      <c r="B1126" s="240" t="str">
        <f>TiposLancamentos!B22</f>
        <v>Combustivel</v>
      </c>
      <c r="C1126" s="147" t="s">
        <v>16955</v>
      </c>
      <c r="D1126" s="63"/>
      <c r="E1126" s="231">
        <v>80</v>
      </c>
      <c r="F1126" s="1123"/>
    </row>
    <row r="1127" spans="1:6">
      <c r="A1127" s="769">
        <v>42428</v>
      </c>
      <c r="B1127" s="240" t="str">
        <f>TiposLancamentos!B19</f>
        <v>Restaurantes</v>
      </c>
      <c r="C1127" s="147" t="s">
        <v>16956</v>
      </c>
      <c r="D1127" s="63"/>
      <c r="E1127" s="231">
        <v>105.05</v>
      </c>
      <c r="F1127" s="1123"/>
    </row>
    <row r="1128" spans="1:6">
      <c r="A1128" s="769">
        <v>42428</v>
      </c>
      <c r="B1128" s="240" t="str">
        <f>TiposLancamentos!B19</f>
        <v>Restaurantes</v>
      </c>
      <c r="C1128" s="147" t="s">
        <v>16957</v>
      </c>
      <c r="D1128" s="63"/>
      <c r="E1128" s="231">
        <v>29.92</v>
      </c>
      <c r="F1128" s="1123"/>
    </row>
    <row r="1129" spans="1:6">
      <c r="A1129" s="767"/>
      <c r="B1129" s="1121"/>
      <c r="C1129" s="802" t="s">
        <v>7033</v>
      </c>
      <c r="D1129" s="754"/>
      <c r="E1129" s="755"/>
      <c r="F1129" s="1122">
        <f>SUM(E1023:E1089)-D1051</f>
        <v>4960.5233333333335</v>
      </c>
    </row>
    <row r="1130" spans="1:6">
      <c r="A1130" s="769">
        <v>42430</v>
      </c>
      <c r="B1130" s="240" t="str">
        <f>TiposLancamentos!B15</f>
        <v>Cartões de Crédito</v>
      </c>
      <c r="C1130" s="878" t="s">
        <v>1874</v>
      </c>
      <c r="D1130" s="63">
        <v>4960.53</v>
      </c>
      <c r="E1130" s="231"/>
      <c r="F1130" s="1123">
        <f>F1129-F1043</f>
        <v>111.78333333333285</v>
      </c>
    </row>
    <row r="1131" spans="1:6">
      <c r="A1131" s="769">
        <v>42432</v>
      </c>
      <c r="B1131" s="240" t="str">
        <f>TiposLancamentos!B87</f>
        <v>P207-1.6-XS</v>
      </c>
      <c r="C1131" s="147" t="s">
        <v>16958</v>
      </c>
      <c r="D1131" s="63"/>
      <c r="E1131" s="231">
        <v>475.75</v>
      </c>
      <c r="F1131" s="1123"/>
    </row>
    <row r="1132" spans="1:6">
      <c r="A1132" s="1151">
        <v>42432</v>
      </c>
      <c r="B1132" s="279" t="str">
        <f>TiposLancamentos!B5</f>
        <v>Supermercado</v>
      </c>
      <c r="C1132" s="280" t="s">
        <v>6234</v>
      </c>
      <c r="D1132" s="281"/>
      <c r="E1132" s="282">
        <v>192.08</v>
      </c>
      <c r="F1132" s="1150"/>
    </row>
    <row r="1133" spans="1:6">
      <c r="A1133" s="769">
        <v>42433</v>
      </c>
      <c r="B1133" s="240" t="str">
        <f>TiposLancamentos!B19</f>
        <v>Restaurantes</v>
      </c>
      <c r="C1133" s="878" t="s">
        <v>16959</v>
      </c>
      <c r="D1133" s="63"/>
      <c r="E1133" s="231">
        <v>97.68</v>
      </c>
      <c r="F1133" s="1123"/>
    </row>
    <row r="1134" spans="1:6">
      <c r="A1134" s="769">
        <v>42433</v>
      </c>
      <c r="B1134" s="240" t="str">
        <f>TiposLancamentos!B71</f>
        <v>Itens Pessoais</v>
      </c>
      <c r="C1134" s="878" t="s">
        <v>16960</v>
      </c>
      <c r="D1134" s="63"/>
      <c r="E1134" s="231">
        <v>91.99</v>
      </c>
      <c r="F1134" s="1123"/>
    </row>
    <row r="1135" spans="1:6">
      <c r="A1135" s="769">
        <v>42433</v>
      </c>
      <c r="B1135" s="240" t="str">
        <f>TiposLancamentos!B71</f>
        <v>Itens Pessoais</v>
      </c>
      <c r="C1135" s="147" t="s">
        <v>16961</v>
      </c>
      <c r="D1135" s="63"/>
      <c r="E1135" s="231">
        <v>88.2</v>
      </c>
      <c r="F1135" s="1123"/>
    </row>
    <row r="1136" spans="1:6">
      <c r="A1136" s="1151">
        <v>42433</v>
      </c>
      <c r="B1136" s="279" t="str">
        <f>TiposLancamentos!B16</f>
        <v>Cristiane</v>
      </c>
      <c r="C1136" s="280" t="s">
        <v>16962</v>
      </c>
      <c r="D1136" s="281"/>
      <c r="E1136" s="282">
        <v>31.5</v>
      </c>
      <c r="F1136" s="1150"/>
    </row>
    <row r="1137" spans="1:6">
      <c r="A1137" s="769">
        <v>42435</v>
      </c>
      <c r="B1137" s="240" t="str">
        <f>TiposLancamentos!B19</f>
        <v>Restaurantes</v>
      </c>
      <c r="C1137" s="878" t="s">
        <v>7068</v>
      </c>
      <c r="D1137" s="63"/>
      <c r="E1137" s="231">
        <v>29.88</v>
      </c>
      <c r="F1137" s="1123"/>
    </row>
    <row r="1138" spans="1:6">
      <c r="A1138" s="1151">
        <v>42437</v>
      </c>
      <c r="B1138" s="279" t="str">
        <f>TiposLancamentos!B17</f>
        <v>GATO</v>
      </c>
      <c r="C1138" s="280" t="s">
        <v>16963</v>
      </c>
      <c r="D1138" s="281"/>
      <c r="E1138" s="282">
        <v>37.5</v>
      </c>
      <c r="F1138" s="1150"/>
    </row>
    <row r="1139" spans="1:6">
      <c r="A1139" s="1151">
        <v>42437</v>
      </c>
      <c r="B1139" s="279" t="str">
        <f>TiposLancamentos!B16</f>
        <v>Cristiane</v>
      </c>
      <c r="C1139" s="280" t="s">
        <v>16964</v>
      </c>
      <c r="D1139" s="281"/>
      <c r="E1139" s="282">
        <v>260</v>
      </c>
      <c r="F1139" s="1150"/>
    </row>
    <row r="1140" spans="1:6">
      <c r="A1140" s="769">
        <v>42438</v>
      </c>
      <c r="B1140" s="240" t="str">
        <f>TiposLancamentos!B19</f>
        <v>Restaurantes</v>
      </c>
      <c r="C1140" s="878" t="s">
        <v>7068</v>
      </c>
      <c r="D1140" s="63"/>
      <c r="E1140" s="231">
        <v>59.15</v>
      </c>
      <c r="F1140" s="1123"/>
    </row>
    <row r="1141" spans="1:6">
      <c r="A1141" s="769">
        <v>42439</v>
      </c>
      <c r="B1141" s="240" t="str">
        <f>TiposLancamentos!B44</f>
        <v>Academia</v>
      </c>
      <c r="C1141" s="878" t="s">
        <v>16965</v>
      </c>
      <c r="D1141" s="63"/>
      <c r="E1141" s="231">
        <v>69.900000000000006</v>
      </c>
      <c r="F1141" s="1123"/>
    </row>
    <row r="1142" spans="1:6">
      <c r="A1142" s="769">
        <v>42439</v>
      </c>
      <c r="B1142" s="240" t="str">
        <f>TiposLancamentos!B16</f>
        <v>Cristiane</v>
      </c>
      <c r="C1142" s="878" t="s">
        <v>16965</v>
      </c>
      <c r="D1142" s="63"/>
      <c r="E1142" s="231">
        <v>69.900000000000006</v>
      </c>
      <c r="F1142" s="1123"/>
    </row>
    <row r="1143" spans="1:6">
      <c r="A1143" s="1151">
        <v>42439</v>
      </c>
      <c r="B1143" s="279" t="str">
        <f>TiposLancamentos!B16</f>
        <v>Cristiane</v>
      </c>
      <c r="C1143" s="280" t="s">
        <v>6974</v>
      </c>
      <c r="D1143" s="281"/>
      <c r="E1143" s="282">
        <v>25</v>
      </c>
      <c r="F1143" s="1150"/>
    </row>
    <row r="1144" spans="1:6">
      <c r="A1144" s="1151">
        <v>42439</v>
      </c>
      <c r="B1144" s="279" t="str">
        <f>TiposLancamentos!B5</f>
        <v>Supermercado</v>
      </c>
      <c r="C1144" s="280" t="s">
        <v>16966</v>
      </c>
      <c r="D1144" s="281"/>
      <c r="E1144" s="282">
        <v>76.540000000000006</v>
      </c>
      <c r="F1144" s="1150"/>
    </row>
    <row r="1145" spans="1:6">
      <c r="A1145" s="1151">
        <v>42441</v>
      </c>
      <c r="B1145" s="279" t="str">
        <f>TiposLancamentos!B19</f>
        <v>Restaurantes</v>
      </c>
      <c r="C1145" s="280" t="s">
        <v>16967</v>
      </c>
      <c r="D1145" s="281"/>
      <c r="E1145" s="282">
        <v>81</v>
      </c>
      <c r="F1145" s="1150"/>
    </row>
    <row r="1146" spans="1:6">
      <c r="A1146" s="1151">
        <v>42442</v>
      </c>
      <c r="B1146" s="279" t="str">
        <f>TiposLancamentos!B16</f>
        <v>Cristiane</v>
      </c>
      <c r="C1146" s="280" t="s">
        <v>16968</v>
      </c>
      <c r="D1146" s="281"/>
      <c r="E1146" s="282">
        <v>22.83</v>
      </c>
      <c r="F1146" s="1150"/>
    </row>
    <row r="1147" spans="1:6">
      <c r="A1147" s="1151">
        <v>42442</v>
      </c>
      <c r="B1147" s="279" t="str">
        <f>TiposLancamentos!B5</f>
        <v>Supermercado</v>
      </c>
      <c r="C1147" s="280" t="s">
        <v>6234</v>
      </c>
      <c r="D1147" s="281"/>
      <c r="E1147" s="282">
        <v>149.44</v>
      </c>
      <c r="F1147" s="1150"/>
    </row>
    <row r="1148" spans="1:6">
      <c r="A1148" s="1151">
        <v>42444</v>
      </c>
      <c r="B1148" s="279" t="str">
        <f>TiposLancamentos!B16</f>
        <v>Cristiane</v>
      </c>
      <c r="C1148" s="280" t="s">
        <v>16969</v>
      </c>
      <c r="D1148" s="281"/>
      <c r="E1148" s="282">
        <v>80</v>
      </c>
      <c r="F1148" s="1150"/>
    </row>
    <row r="1149" spans="1:6">
      <c r="A1149" s="1151">
        <v>42446</v>
      </c>
      <c r="B1149" s="279" t="str">
        <f>TiposLancamentos!B16</f>
        <v>Cristiane</v>
      </c>
      <c r="C1149" s="280" t="s">
        <v>16970</v>
      </c>
      <c r="D1149" s="281"/>
      <c r="E1149" s="282">
        <v>200</v>
      </c>
      <c r="F1149" s="1150"/>
    </row>
    <row r="1150" spans="1:6">
      <c r="A1150" s="769">
        <v>42448</v>
      </c>
      <c r="B1150" s="240" t="str">
        <f>TiposLancamentos!B19</f>
        <v>Restaurantes</v>
      </c>
      <c r="C1150" s="878" t="s">
        <v>16971</v>
      </c>
      <c r="D1150" s="63"/>
      <c r="E1150" s="231">
        <v>20.8</v>
      </c>
      <c r="F1150" s="1123"/>
    </row>
    <row r="1151" spans="1:6">
      <c r="A1151" s="769">
        <v>42448</v>
      </c>
      <c r="B1151" s="240" t="str">
        <f>TiposLancamentos!B56</f>
        <v>Farmácia</v>
      </c>
      <c r="C1151" s="878" t="s">
        <v>16972</v>
      </c>
      <c r="D1151" s="63"/>
      <c r="E1151" s="231">
        <v>19.239999999999998</v>
      </c>
      <c r="F1151" s="1123"/>
    </row>
    <row r="1152" spans="1:6">
      <c r="A1152" s="769">
        <v>42449</v>
      </c>
      <c r="B1152" s="240" t="str">
        <f>TiposLancamentos!B17</f>
        <v>GATO</v>
      </c>
      <c r="C1152" s="878" t="s">
        <v>16973</v>
      </c>
      <c r="D1152" s="63"/>
      <c r="E1152" s="231">
        <v>236.89</v>
      </c>
      <c r="F1152" s="1123"/>
    </row>
    <row r="1153" spans="1:6">
      <c r="A1153" s="769">
        <v>42449</v>
      </c>
      <c r="B1153" s="240" t="str">
        <f>TiposLancamentos!B19</f>
        <v>Restaurantes</v>
      </c>
      <c r="C1153" s="878" t="s">
        <v>16974</v>
      </c>
      <c r="D1153" s="63"/>
      <c r="E1153" s="231">
        <v>162.25</v>
      </c>
      <c r="F1153" s="1123"/>
    </row>
    <row r="1154" spans="1:6">
      <c r="A1154" s="769">
        <v>42449</v>
      </c>
      <c r="B1154" s="240" t="str">
        <f>TiposLancamentos!B19</f>
        <v>Restaurantes</v>
      </c>
      <c r="C1154" s="878" t="s">
        <v>2150</v>
      </c>
      <c r="D1154" s="63"/>
      <c r="E1154" s="231">
        <v>15</v>
      </c>
      <c r="F1154" s="1123"/>
    </row>
    <row r="1155" spans="1:6">
      <c r="A1155" s="769">
        <v>42449</v>
      </c>
      <c r="B1155" s="240" t="str">
        <f>TiposLancamentos!B16</f>
        <v>Cristiane</v>
      </c>
      <c r="C1155" s="878" t="s">
        <v>16975</v>
      </c>
      <c r="D1155" s="63"/>
      <c r="E1155" s="231">
        <v>24.61</v>
      </c>
      <c r="F1155" s="1123"/>
    </row>
    <row r="1156" spans="1:6">
      <c r="A1156" s="759"/>
      <c r="B1156" s="243"/>
      <c r="C1156" s="389" t="s">
        <v>10</v>
      </c>
      <c r="D1156" s="146"/>
      <c r="E1156" s="146"/>
      <c r="F1156" s="1138"/>
    </row>
    <row r="1157" spans="1:6">
      <c r="A1157" s="1151">
        <v>42448</v>
      </c>
      <c r="B1157" s="279" t="str">
        <f>TiposLancamentos!B19</f>
        <v>Restaurantes</v>
      </c>
      <c r="C1157" s="280" t="s">
        <v>16976</v>
      </c>
      <c r="D1157" s="281"/>
      <c r="E1157" s="282">
        <v>65</v>
      </c>
      <c r="F1157" s="1150"/>
    </row>
    <row r="1158" spans="1:6">
      <c r="A1158" s="769">
        <v>42450</v>
      </c>
      <c r="B1158" s="240" t="str">
        <f>TiposLancamentos!B5</f>
        <v>Supermercado</v>
      </c>
      <c r="C1158" s="878" t="s">
        <v>6234</v>
      </c>
      <c r="D1158" s="63"/>
      <c r="E1158" s="231">
        <v>17.440000000000001</v>
      </c>
      <c r="F1158" s="1123"/>
    </row>
    <row r="1159" spans="1:6">
      <c r="A1159" s="769">
        <v>42448</v>
      </c>
      <c r="B1159" s="240" t="str">
        <f>TiposLancamentos!B13</f>
        <v>Moradia</v>
      </c>
      <c r="C1159" s="878" t="s">
        <v>16977</v>
      </c>
      <c r="D1159" s="63"/>
      <c r="E1159" s="231">
        <v>199.34</v>
      </c>
      <c r="F1159" s="1123"/>
    </row>
    <row r="1160" spans="1:6">
      <c r="A1160" s="1151">
        <v>42450</v>
      </c>
      <c r="B1160" s="279" t="str">
        <f>TiposLancamentos!B22</f>
        <v>Combustivel</v>
      </c>
      <c r="C1160" s="280" t="s">
        <v>16978</v>
      </c>
      <c r="D1160" s="281"/>
      <c r="E1160" s="282">
        <v>50</v>
      </c>
      <c r="F1160" s="1150"/>
    </row>
    <row r="1161" spans="1:6">
      <c r="A1161" s="1151">
        <v>42451</v>
      </c>
      <c r="B1161" s="279" t="str">
        <f>TiposLancamentos!B16</f>
        <v>Cristiane</v>
      </c>
      <c r="C1161" s="280" t="s">
        <v>16939</v>
      </c>
      <c r="D1161" s="281"/>
      <c r="E1161" s="282">
        <v>140.30000000000001</v>
      </c>
      <c r="F1161" s="1150"/>
    </row>
    <row r="1162" spans="1:6">
      <c r="A1162" s="769">
        <v>42451</v>
      </c>
      <c r="B1162" s="240" t="str">
        <f>TiposLancamentos!B19</f>
        <v>Restaurantes</v>
      </c>
      <c r="C1162" s="147" t="s">
        <v>7000</v>
      </c>
      <c r="D1162" s="63"/>
      <c r="E1162" s="231">
        <v>7</v>
      </c>
      <c r="F1162" s="1123"/>
    </row>
    <row r="1163" spans="1:6">
      <c r="A1163" s="769">
        <v>42452</v>
      </c>
      <c r="B1163" s="240" t="str">
        <f>TiposLancamentos!B5</f>
        <v>Supermercado</v>
      </c>
      <c r="C1163" s="147" t="s">
        <v>16979</v>
      </c>
      <c r="D1163" s="63"/>
      <c r="E1163" s="231">
        <v>78.17</v>
      </c>
      <c r="F1163" s="1123"/>
    </row>
    <row r="1164" spans="1:6">
      <c r="A1164" s="1151">
        <v>42452</v>
      </c>
      <c r="B1164" s="279" t="str">
        <f>TiposLancamentos!B16</f>
        <v>Cristiane</v>
      </c>
      <c r="C1164" s="280" t="s">
        <v>16980</v>
      </c>
      <c r="D1164" s="281"/>
      <c r="E1164" s="282">
        <v>29.75</v>
      </c>
      <c r="F1164" s="1150"/>
    </row>
    <row r="1165" spans="1:6">
      <c r="A1165" s="769">
        <v>42452</v>
      </c>
      <c r="B1165" s="240" t="str">
        <f>TiposLancamentos!B19</f>
        <v>Restaurantes</v>
      </c>
      <c r="C1165" s="147" t="s">
        <v>7068</v>
      </c>
      <c r="D1165" s="63"/>
      <c r="E1165" s="231">
        <v>58.01</v>
      </c>
      <c r="F1165" s="1123"/>
    </row>
    <row r="1166" spans="1:6">
      <c r="A1166" s="769">
        <v>42453</v>
      </c>
      <c r="B1166" s="240" t="str">
        <f>TiposLancamentos!B16</f>
        <v>Cristiane</v>
      </c>
      <c r="C1166" s="147" t="s">
        <v>16981</v>
      </c>
      <c r="D1166" s="63"/>
      <c r="E1166" s="231">
        <v>55.8</v>
      </c>
      <c r="F1166" s="1123"/>
    </row>
    <row r="1167" spans="1:6">
      <c r="A1167" s="864">
        <v>42453</v>
      </c>
      <c r="B1167" s="76" t="str">
        <f>TiposLancamentos!B19</f>
        <v>Restaurantes</v>
      </c>
      <c r="C1167" s="878" t="s">
        <v>16982</v>
      </c>
      <c r="D1167" s="63"/>
      <c r="E1167" s="49">
        <v>85.8</v>
      </c>
      <c r="F1167" s="1123"/>
    </row>
    <row r="1168" spans="1:6">
      <c r="A1168" s="769">
        <v>42453</v>
      </c>
      <c r="B1168" s="240" t="str">
        <f>TiposLancamentos!B19</f>
        <v>Restaurantes</v>
      </c>
      <c r="C1168" s="147" t="s">
        <v>16983</v>
      </c>
      <c r="D1168" s="63"/>
      <c r="E1168" s="231">
        <v>14.91</v>
      </c>
      <c r="F1168" s="1123"/>
    </row>
    <row r="1169" spans="1:6" ht="14.25" customHeight="1">
      <c r="A1169" s="769">
        <v>42453</v>
      </c>
      <c r="B1169" s="240" t="str">
        <f>TiposLancamentos!B5</f>
        <v>Supermercado</v>
      </c>
      <c r="C1169" s="147" t="s">
        <v>16984</v>
      </c>
      <c r="D1169" s="63"/>
      <c r="E1169" s="231">
        <v>80.459999999999994</v>
      </c>
      <c r="F1169" s="1123"/>
    </row>
    <row r="1170" spans="1:6">
      <c r="A1170" s="769">
        <v>42454</v>
      </c>
      <c r="B1170" s="240" t="str">
        <f>TiposLancamentos!B3</f>
        <v>Internet</v>
      </c>
      <c r="C1170" s="147" t="s">
        <v>10734</v>
      </c>
      <c r="D1170" s="63"/>
      <c r="E1170" s="231">
        <v>32.89</v>
      </c>
      <c r="F1170" s="1123"/>
    </row>
    <row r="1171" spans="1:6">
      <c r="A1171" s="769">
        <v>42454</v>
      </c>
      <c r="B1171" s="240" t="str">
        <f>TiposLancamentos!B5</f>
        <v>Supermercado</v>
      </c>
      <c r="C1171" s="147" t="s">
        <v>16985</v>
      </c>
      <c r="D1171" s="63"/>
      <c r="E1171" s="231">
        <v>10.039999999999999</v>
      </c>
      <c r="F1171" s="1123"/>
    </row>
    <row r="1172" spans="1:6">
      <c r="A1172" s="769">
        <v>42454</v>
      </c>
      <c r="B1172" s="240" t="str">
        <f>TiposLancamentos!B19</f>
        <v>Restaurantes</v>
      </c>
      <c r="C1172" s="147" t="s">
        <v>16986</v>
      </c>
      <c r="D1172" s="63"/>
      <c r="E1172" s="231">
        <v>30.9</v>
      </c>
      <c r="F1172" s="1123"/>
    </row>
    <row r="1173" spans="1:6">
      <c r="A1173" s="769">
        <v>42454</v>
      </c>
      <c r="B1173" s="240" t="str">
        <f>TiposLancamentos!B19</f>
        <v>Restaurantes</v>
      </c>
      <c r="C1173" s="147" t="s">
        <v>16987</v>
      </c>
      <c r="D1173" s="63"/>
      <c r="E1173" s="231">
        <v>28.9</v>
      </c>
      <c r="F1173" s="1123"/>
    </row>
    <row r="1174" spans="1:6">
      <c r="A1174" s="769">
        <v>42454</v>
      </c>
      <c r="B1174" s="240" t="str">
        <f>TiposLancamentos!B16</f>
        <v>Cristiane</v>
      </c>
      <c r="C1174" s="147" t="s">
        <v>16988</v>
      </c>
      <c r="D1174" s="63"/>
      <c r="E1174" s="231">
        <v>25.75</v>
      </c>
      <c r="F1174" s="1123"/>
    </row>
    <row r="1175" spans="1:6">
      <c r="A1175" s="769">
        <v>42455</v>
      </c>
      <c r="B1175" s="240" t="str">
        <f>TiposLancamentos!B5</f>
        <v>Supermercado</v>
      </c>
      <c r="C1175" s="147" t="s">
        <v>16989</v>
      </c>
      <c r="D1175" s="63"/>
      <c r="E1175" s="231">
        <v>23.82</v>
      </c>
      <c r="F1175" s="1123"/>
    </row>
    <row r="1176" spans="1:6">
      <c r="A1176" s="769">
        <v>42455</v>
      </c>
      <c r="B1176" s="240" t="str">
        <f>TiposLancamentos!B19</f>
        <v>Restaurantes</v>
      </c>
      <c r="C1176" s="147" t="s">
        <v>16990</v>
      </c>
      <c r="D1176" s="63"/>
      <c r="E1176" s="231">
        <v>87.78</v>
      </c>
      <c r="F1176" s="1123"/>
    </row>
    <row r="1177" spans="1:6">
      <c r="A1177" s="769">
        <v>42456</v>
      </c>
      <c r="B1177" s="240" t="str">
        <f>TiposLancamentos!B16</f>
        <v>Cristiane</v>
      </c>
      <c r="C1177" s="147" t="s">
        <v>16991</v>
      </c>
      <c r="D1177" s="63"/>
      <c r="E1177" s="231">
        <v>12.13</v>
      </c>
      <c r="F1177" s="1123"/>
    </row>
    <row r="1178" spans="1:6">
      <c r="A1178" s="769">
        <v>42456</v>
      </c>
      <c r="B1178" s="240" t="str">
        <f>TiposLancamentos!B19</f>
        <v>Restaurantes</v>
      </c>
      <c r="C1178" s="147" t="s">
        <v>16990</v>
      </c>
      <c r="D1178" s="63"/>
      <c r="E1178" s="231">
        <v>8</v>
      </c>
      <c r="F1178" s="1123"/>
    </row>
    <row r="1179" spans="1:6">
      <c r="A1179" s="769">
        <v>42456</v>
      </c>
      <c r="B1179" s="240" t="str">
        <f>TiposLancamentos!B19</f>
        <v>Restaurantes</v>
      </c>
      <c r="C1179" s="147" t="s">
        <v>16992</v>
      </c>
      <c r="D1179" s="63"/>
      <c r="E1179" s="231">
        <v>74</v>
      </c>
      <c r="F1179" s="1123"/>
    </row>
    <row r="1180" spans="1:6">
      <c r="A1180" s="1151">
        <v>42457</v>
      </c>
      <c r="B1180" s="279" t="str">
        <f>TiposLancamentos!B16</f>
        <v>Cristiane</v>
      </c>
      <c r="C1180" s="280" t="s">
        <v>7068</v>
      </c>
      <c r="D1180" s="281"/>
      <c r="E1180" s="282">
        <v>20.78</v>
      </c>
      <c r="F1180" s="1150"/>
    </row>
    <row r="1181" spans="1:6">
      <c r="A1181" s="1151">
        <v>42459</v>
      </c>
      <c r="B1181" s="279" t="str">
        <f>TiposLancamentos!B16</f>
        <v>Cristiane</v>
      </c>
      <c r="C1181" s="280" t="s">
        <v>16993</v>
      </c>
      <c r="D1181" s="281"/>
      <c r="E1181" s="282">
        <v>41.71</v>
      </c>
      <c r="F1181" s="1150"/>
    </row>
    <row r="1182" spans="1:6">
      <c r="A1182" s="767"/>
      <c r="B1182" s="1121"/>
      <c r="C1182" s="802" t="s">
        <v>7274</v>
      </c>
      <c r="D1182" s="754"/>
      <c r="E1182" s="755"/>
      <c r="F1182" s="1122">
        <f>SUM(E1091:E1155)-D1101</f>
        <v>4759.8200000000006</v>
      </c>
    </row>
    <row r="1183" spans="1:6">
      <c r="A1183" s="769">
        <v>42461</v>
      </c>
      <c r="B1183" s="240" t="str">
        <f>TiposLancamentos!B15</f>
        <v>Cartões de Crédito</v>
      </c>
      <c r="C1183" s="878" t="s">
        <v>1874</v>
      </c>
      <c r="D1183" s="63">
        <v>4759.82</v>
      </c>
      <c r="E1183" s="231"/>
      <c r="F1183" s="1123">
        <f>F1182-F1129</f>
        <v>-200.70333333333292</v>
      </c>
    </row>
    <row r="1184" spans="1:6">
      <c r="A1184" s="1151">
        <v>42461</v>
      </c>
      <c r="B1184" s="279" t="str">
        <f>TiposLancamentos!B5</f>
        <v>Supermercado</v>
      </c>
      <c r="C1184" s="280" t="s">
        <v>6234</v>
      </c>
      <c r="D1184" s="281"/>
      <c r="E1184" s="282">
        <v>229.99</v>
      </c>
      <c r="F1184" s="1150"/>
    </row>
    <row r="1185" spans="1:6">
      <c r="A1185" s="1151">
        <v>42461</v>
      </c>
      <c r="B1185" s="279" t="str">
        <f>TiposLancamentos!B16</f>
        <v>Cristiane</v>
      </c>
      <c r="C1185" s="280" t="s">
        <v>16777</v>
      </c>
      <c r="D1185" s="281"/>
      <c r="E1185" s="282">
        <v>159.80000000000001</v>
      </c>
      <c r="F1185" s="1150"/>
    </row>
    <row r="1186" spans="1:6">
      <c r="A1186" s="1151">
        <v>42462</v>
      </c>
      <c r="B1186" s="279" t="str">
        <f>TiposLancamentos!B5</f>
        <v>Supermercado</v>
      </c>
      <c r="C1186" s="280" t="s">
        <v>10047</v>
      </c>
      <c r="D1186" s="281"/>
      <c r="E1186" s="282">
        <v>65</v>
      </c>
      <c r="F1186" s="1150"/>
    </row>
    <row r="1187" spans="1:6">
      <c r="A1187" s="1151">
        <v>42463</v>
      </c>
      <c r="B1187" s="279" t="str">
        <f>TiposLancamentos!B22</f>
        <v>Combustivel</v>
      </c>
      <c r="C1187" s="280" t="s">
        <v>16847</v>
      </c>
      <c r="D1187" s="281"/>
      <c r="E1187" s="282">
        <v>80</v>
      </c>
      <c r="F1187" s="1150"/>
    </row>
    <row r="1188" spans="1:6">
      <c r="A1188" s="769">
        <v>42463</v>
      </c>
      <c r="B1188" s="240" t="str">
        <f>TiposLancamentos!B87</f>
        <v>P207-1.6-XS</v>
      </c>
      <c r="C1188" s="147" t="s">
        <v>16994</v>
      </c>
      <c r="D1188" s="63"/>
      <c r="E1188" s="231">
        <v>475.75</v>
      </c>
      <c r="F1188" s="1123"/>
    </row>
    <row r="1189" spans="1:6">
      <c r="A1189" s="769">
        <v>42464</v>
      </c>
      <c r="B1189" s="240" t="str">
        <f>TiposLancamentos!B71</f>
        <v>Itens Pessoais</v>
      </c>
      <c r="C1189" s="147" t="s">
        <v>16995</v>
      </c>
      <c r="D1189" s="63"/>
      <c r="E1189" s="231">
        <v>88.2</v>
      </c>
      <c r="F1189" s="1123"/>
    </row>
    <row r="1190" spans="1:6">
      <c r="A1190" s="769">
        <v>42464</v>
      </c>
      <c r="B1190" s="240" t="str">
        <f>TiposLancamentos!B22</f>
        <v>Combustivel</v>
      </c>
      <c r="C1190" s="147" t="s">
        <v>6412</v>
      </c>
      <c r="D1190" s="63"/>
      <c r="E1190" s="231">
        <v>80</v>
      </c>
      <c r="F1190" s="1123"/>
    </row>
    <row r="1191" spans="1:6">
      <c r="A1191" s="1151">
        <v>42464</v>
      </c>
      <c r="B1191" s="279" t="str">
        <f>TiposLancamentos!B16</f>
        <v>Cristiane</v>
      </c>
      <c r="C1191" s="280" t="s">
        <v>6052</v>
      </c>
      <c r="D1191" s="281"/>
      <c r="E1191" s="282">
        <v>30.05</v>
      </c>
      <c r="F1191" s="1150"/>
    </row>
    <row r="1192" spans="1:6">
      <c r="A1192" s="769">
        <v>42464</v>
      </c>
      <c r="B1192" s="240" t="str">
        <f>TiposLancamentos!B62</f>
        <v>Papelaria</v>
      </c>
      <c r="C1192" s="147" t="s">
        <v>16996</v>
      </c>
      <c r="D1192" s="63"/>
      <c r="E1192" s="231">
        <v>31.47</v>
      </c>
      <c r="F1192" s="1123"/>
    </row>
    <row r="1193" spans="1:6">
      <c r="A1193" s="769">
        <v>42464</v>
      </c>
      <c r="B1193" s="240" t="str">
        <f>TiposLancamentos!B16</f>
        <v>Cristiane</v>
      </c>
      <c r="C1193" s="147" t="s">
        <v>16997</v>
      </c>
      <c r="D1193" s="63"/>
      <c r="E1193" s="231">
        <v>73.7</v>
      </c>
      <c r="F1193" s="1123"/>
    </row>
    <row r="1194" spans="1:6">
      <c r="A1194" s="769">
        <v>42465</v>
      </c>
      <c r="B1194" s="240" t="str">
        <f>TiposLancamentos!B56</f>
        <v>Farmácia</v>
      </c>
      <c r="C1194" s="147" t="s">
        <v>16998</v>
      </c>
      <c r="D1194" s="63"/>
      <c r="E1194" s="231">
        <v>65.56</v>
      </c>
      <c r="F1194" s="1123"/>
    </row>
    <row r="1195" spans="1:6">
      <c r="A1195" s="769">
        <v>42466</v>
      </c>
      <c r="B1195" s="240" t="str">
        <f>TiposLancamentos!B19</f>
        <v>Restaurantes</v>
      </c>
      <c r="C1195" s="147" t="s">
        <v>7068</v>
      </c>
      <c r="D1195" s="63"/>
      <c r="E1195" s="231">
        <v>66</v>
      </c>
      <c r="F1195" s="1123"/>
    </row>
    <row r="1196" spans="1:6">
      <c r="A1196" s="1151">
        <v>42467</v>
      </c>
      <c r="B1196" s="279" t="str">
        <f>TiposLancamentos!B16</f>
        <v>Cristiane</v>
      </c>
      <c r="C1196" s="280" t="s">
        <v>16999</v>
      </c>
      <c r="D1196" s="281"/>
      <c r="E1196" s="282">
        <v>44.6</v>
      </c>
      <c r="F1196" s="1150"/>
    </row>
    <row r="1197" spans="1:6">
      <c r="A1197" s="769">
        <v>42468</v>
      </c>
      <c r="B1197" s="240" t="str">
        <f>TiposLancamentos!B5</f>
        <v>Supermercado</v>
      </c>
      <c r="C1197" s="147" t="s">
        <v>6234</v>
      </c>
      <c r="D1197" s="63"/>
      <c r="E1197" s="231">
        <v>83.85</v>
      </c>
      <c r="F1197" s="1123"/>
    </row>
    <row r="1198" spans="1:6">
      <c r="A1198" s="769">
        <v>42468</v>
      </c>
      <c r="B1198" s="240" t="str">
        <f>TiposLancamentos!B71</f>
        <v>Itens Pessoais</v>
      </c>
      <c r="C1198" s="147" t="s">
        <v>3590</v>
      </c>
      <c r="D1198" s="63"/>
      <c r="E1198" s="231">
        <v>30</v>
      </c>
      <c r="F1198" s="1123"/>
    </row>
    <row r="1199" spans="1:6">
      <c r="A1199" s="769">
        <v>42468</v>
      </c>
      <c r="B1199" s="240" t="str">
        <f>TiposLancamentos!B19</f>
        <v>Restaurantes</v>
      </c>
      <c r="C1199" s="147" t="s">
        <v>6536</v>
      </c>
      <c r="D1199" s="63"/>
      <c r="E1199" s="231">
        <v>155.76</v>
      </c>
      <c r="F1199" s="1123"/>
    </row>
    <row r="1200" spans="1:6">
      <c r="A1200" s="769">
        <v>42468</v>
      </c>
      <c r="B1200" s="240" t="str">
        <f>TiposLancamentos!B56</f>
        <v>Farmácia</v>
      </c>
      <c r="C1200" s="147" t="s">
        <v>17000</v>
      </c>
      <c r="D1200" s="63"/>
      <c r="E1200" s="231">
        <v>46.53</v>
      </c>
      <c r="F1200" s="1123"/>
    </row>
    <row r="1201" spans="1:6">
      <c r="A1201" s="769">
        <v>42469</v>
      </c>
      <c r="B1201" s="240" t="str">
        <f>TiposLancamentos!B22</f>
        <v>Combustivel</v>
      </c>
      <c r="C1201" s="147" t="s">
        <v>16955</v>
      </c>
      <c r="D1201" s="63"/>
      <c r="E1201" s="231">
        <v>80</v>
      </c>
      <c r="F1201" s="1123"/>
    </row>
    <row r="1202" spans="1:6">
      <c r="A1202" s="1151">
        <v>42469</v>
      </c>
      <c r="B1202" s="279" t="str">
        <f>TiposLancamentos!B16</f>
        <v>Cristiane</v>
      </c>
      <c r="C1202" s="280" t="s">
        <v>17001</v>
      </c>
      <c r="D1202" s="281"/>
      <c r="E1202" s="282">
        <v>34.33</v>
      </c>
      <c r="F1202" s="1150"/>
    </row>
    <row r="1203" spans="1:6">
      <c r="A1203" s="1151">
        <v>42469</v>
      </c>
      <c r="B1203" s="279" t="str">
        <f>TiposLancamentos!B19</f>
        <v>Restaurantes</v>
      </c>
      <c r="C1203" s="280" t="s">
        <v>5909</v>
      </c>
      <c r="D1203" s="281"/>
      <c r="E1203" s="282">
        <v>64</v>
      </c>
      <c r="F1203" s="1150"/>
    </row>
    <row r="1204" spans="1:6">
      <c r="A1204" s="769">
        <v>42470</v>
      </c>
      <c r="B1204" s="240" t="str">
        <f>TiposLancamentos!B16</f>
        <v>Cristiane</v>
      </c>
      <c r="C1204" s="147" t="s">
        <v>17002</v>
      </c>
      <c r="D1204" s="63"/>
      <c r="E1204" s="231">
        <v>69.900000000000006</v>
      </c>
      <c r="F1204" s="1123"/>
    </row>
    <row r="1205" spans="1:6">
      <c r="A1205" s="769">
        <v>42470</v>
      </c>
      <c r="B1205" s="240" t="str">
        <f>TiposLancamentos!B44</f>
        <v>Academia</v>
      </c>
      <c r="C1205" s="147" t="s">
        <v>17002</v>
      </c>
      <c r="D1205" s="63"/>
      <c r="E1205" s="231">
        <v>69.900000000000006</v>
      </c>
      <c r="F1205" s="1123"/>
    </row>
    <row r="1206" spans="1:6">
      <c r="A1206" s="769">
        <v>42470</v>
      </c>
      <c r="B1206" s="240" t="str">
        <f>TiposLancamentos!B5</f>
        <v>Supermercado</v>
      </c>
      <c r="C1206" s="147" t="s">
        <v>6981</v>
      </c>
      <c r="D1206" s="63"/>
      <c r="E1206" s="231">
        <v>35.340000000000003</v>
      </c>
      <c r="F1206" s="1123"/>
    </row>
    <row r="1207" spans="1:6">
      <c r="A1207" s="769">
        <v>42471</v>
      </c>
      <c r="B1207" s="240" t="str">
        <f>TiposLancamentos!B56</f>
        <v>Farmácia</v>
      </c>
      <c r="C1207" s="147" t="s">
        <v>6118</v>
      </c>
      <c r="D1207" s="63"/>
      <c r="E1207" s="231">
        <v>73.17</v>
      </c>
      <c r="F1207" s="1123"/>
    </row>
    <row r="1208" spans="1:6">
      <c r="A1208" s="769">
        <v>42471</v>
      </c>
      <c r="B1208" s="240" t="str">
        <f>TiposLancamentos!B16</f>
        <v>Cristiane</v>
      </c>
      <c r="C1208" s="147" t="s">
        <v>17003</v>
      </c>
      <c r="D1208" s="63"/>
      <c r="E1208" s="231">
        <v>21.54</v>
      </c>
      <c r="F1208" s="1123"/>
    </row>
    <row r="1209" spans="1:6">
      <c r="A1209" s="769">
        <v>42472</v>
      </c>
      <c r="B1209" s="240" t="str">
        <f>TiposLancamentos!B65</f>
        <v>Taxi</v>
      </c>
      <c r="C1209" s="147" t="s">
        <v>17004</v>
      </c>
      <c r="D1209" s="63"/>
      <c r="E1209" s="231">
        <v>7</v>
      </c>
      <c r="F1209" s="1123"/>
    </row>
    <row r="1210" spans="1:6">
      <c r="A1210" s="769">
        <v>42473</v>
      </c>
      <c r="B1210" s="240" t="str">
        <f>TiposLancamentos!B22</f>
        <v>Combustivel</v>
      </c>
      <c r="C1210" s="147" t="s">
        <v>6412</v>
      </c>
      <c r="D1210" s="63"/>
      <c r="E1210" s="231">
        <v>80</v>
      </c>
      <c r="F1210" s="1123"/>
    </row>
    <row r="1211" spans="1:6">
      <c r="A1211" s="769">
        <v>42473</v>
      </c>
      <c r="B1211" s="240" t="str">
        <f>TiposLancamentos!B24</f>
        <v>Estacionamentos</v>
      </c>
      <c r="C1211" s="147" t="s">
        <v>17005</v>
      </c>
      <c r="D1211" s="63"/>
      <c r="E1211" s="231">
        <v>20</v>
      </c>
      <c r="F1211" s="1123"/>
    </row>
    <row r="1212" spans="1:6">
      <c r="A1212" s="769">
        <v>42473</v>
      </c>
      <c r="B1212" s="240" t="str">
        <f>TiposLancamentos!B26</f>
        <v>LIVROS</v>
      </c>
      <c r="C1212" s="147" t="s">
        <v>17006</v>
      </c>
      <c r="D1212" s="63"/>
      <c r="E1212" s="231">
        <f>F1212/3</f>
        <v>125</v>
      </c>
      <c r="F1212" s="1123">
        <v>375</v>
      </c>
    </row>
    <row r="1213" spans="1:6">
      <c r="A1213" s="769">
        <v>42473</v>
      </c>
      <c r="B1213" s="240" t="str">
        <f>TiposLancamentos!B19</f>
        <v>Restaurantes</v>
      </c>
      <c r="C1213" s="147" t="s">
        <v>6811</v>
      </c>
      <c r="D1213" s="63"/>
      <c r="E1213" s="231">
        <v>61.34</v>
      </c>
      <c r="F1213" s="1123"/>
    </row>
    <row r="1214" spans="1:6">
      <c r="A1214" s="769">
        <v>42475</v>
      </c>
      <c r="B1214" s="240" t="str">
        <f>TiposLancamentos!B56</f>
        <v>Farmácia</v>
      </c>
      <c r="C1214" s="147" t="s">
        <v>17007</v>
      </c>
      <c r="D1214" s="63"/>
      <c r="E1214" s="231">
        <v>36.18</v>
      </c>
      <c r="F1214" s="1123"/>
    </row>
    <row r="1215" spans="1:6">
      <c r="A1215" s="769">
        <v>42475</v>
      </c>
      <c r="B1215" s="240" t="str">
        <f>TiposLancamentos!B19</f>
        <v>Restaurantes</v>
      </c>
      <c r="C1215" s="147" t="s">
        <v>17008</v>
      </c>
      <c r="D1215" s="63"/>
      <c r="E1215" s="231">
        <v>84.06</v>
      </c>
      <c r="F1215" s="1123"/>
    </row>
    <row r="1216" spans="1:6">
      <c r="A1216" s="769">
        <v>42475</v>
      </c>
      <c r="B1216" s="240" t="str">
        <f>TiposLancamentos!B16</f>
        <v>Cristiane</v>
      </c>
      <c r="C1216" s="147" t="s">
        <v>17009</v>
      </c>
      <c r="D1216" s="63"/>
      <c r="E1216" s="231">
        <v>223.8</v>
      </c>
      <c r="F1216" s="1123"/>
    </row>
    <row r="1217" spans="1:8">
      <c r="A1217" s="1151">
        <v>42475</v>
      </c>
      <c r="B1217" s="279" t="str">
        <f>TiposLancamentos!B22</f>
        <v>Combustivel</v>
      </c>
      <c r="C1217" s="280" t="s">
        <v>6718</v>
      </c>
      <c r="D1217" s="281"/>
      <c r="E1217" s="282">
        <v>100</v>
      </c>
      <c r="F1217" s="1150"/>
    </row>
    <row r="1218" spans="1:8">
      <c r="A1218" s="769">
        <v>42476</v>
      </c>
      <c r="B1218" s="240" t="str">
        <f>TiposLancamentos!B5</f>
        <v>Supermercado</v>
      </c>
      <c r="C1218" s="147" t="s">
        <v>17010</v>
      </c>
      <c r="D1218" s="63"/>
      <c r="E1218" s="231">
        <v>15.95</v>
      </c>
      <c r="F1218" s="1123"/>
    </row>
    <row r="1219" spans="1:8">
      <c r="A1219" s="769">
        <v>42476</v>
      </c>
      <c r="B1219" s="240" t="str">
        <f>TiposLancamentos!B17</f>
        <v>GATO</v>
      </c>
      <c r="C1219" s="147" t="s">
        <v>17011</v>
      </c>
      <c r="D1219" s="63"/>
      <c r="E1219" s="231">
        <v>100</v>
      </c>
      <c r="F1219" s="1123"/>
    </row>
    <row r="1220" spans="1:8">
      <c r="A1220" s="769">
        <v>42476</v>
      </c>
      <c r="B1220" s="240" t="str">
        <f>TiposLancamentos!B17</f>
        <v>GATO</v>
      </c>
      <c r="C1220" s="147" t="s">
        <v>17012</v>
      </c>
      <c r="D1220" s="63"/>
      <c r="E1220" s="231">
        <v>15.9</v>
      </c>
      <c r="F1220" s="1123"/>
    </row>
    <row r="1221" spans="1:8">
      <c r="A1221" s="769">
        <v>42476</v>
      </c>
      <c r="B1221" s="240" t="str">
        <f>TiposLancamentos!B16</f>
        <v>Cristiane</v>
      </c>
      <c r="C1221" s="147" t="s">
        <v>16693</v>
      </c>
      <c r="D1221" s="63"/>
      <c r="E1221" s="231">
        <v>46.1</v>
      </c>
      <c r="F1221" s="1123"/>
    </row>
    <row r="1222" spans="1:8">
      <c r="A1222" s="769">
        <v>42476</v>
      </c>
      <c r="B1222" s="240" t="str">
        <f>TiposLancamentos!B5</f>
        <v>Supermercado</v>
      </c>
      <c r="C1222" s="147" t="s">
        <v>17013</v>
      </c>
      <c r="D1222" s="63"/>
      <c r="E1222" s="231">
        <v>35.630000000000003</v>
      </c>
      <c r="F1222" s="1123"/>
    </row>
    <row r="1223" spans="1:8">
      <c r="A1223" s="769">
        <v>42477</v>
      </c>
      <c r="B1223" s="240" t="str">
        <f>TiposLancamentos!B19</f>
        <v>Restaurantes</v>
      </c>
      <c r="C1223" s="147" t="s">
        <v>17014</v>
      </c>
      <c r="D1223" s="63"/>
      <c r="E1223" s="231">
        <v>202.62</v>
      </c>
      <c r="F1223" s="1123"/>
    </row>
    <row r="1224" spans="1:8">
      <c r="A1224" s="1151">
        <v>42478</v>
      </c>
      <c r="B1224" s="279" t="str">
        <f>TiposLancamentos!B5</f>
        <v>Supermercado</v>
      </c>
      <c r="C1224" s="280" t="s">
        <v>6234</v>
      </c>
      <c r="D1224" s="281"/>
      <c r="E1224" s="282">
        <v>174.67</v>
      </c>
      <c r="F1224" s="1150"/>
    </row>
    <row r="1225" spans="1:8">
      <c r="A1225" s="759"/>
      <c r="B1225" s="243"/>
      <c r="C1225" s="389" t="s">
        <v>10</v>
      </c>
      <c r="D1225" s="146"/>
      <c r="E1225" s="146"/>
      <c r="F1225" s="1138"/>
    </row>
    <row r="1226" spans="1:8">
      <c r="A1226" s="769">
        <v>42479</v>
      </c>
      <c r="B1226" s="240" t="str">
        <f>TiposLancamentos!B19</f>
        <v>Restaurantes</v>
      </c>
      <c r="C1226" s="147" t="s">
        <v>17015</v>
      </c>
      <c r="D1226" s="63"/>
      <c r="E1226" s="231">
        <v>12.92</v>
      </c>
      <c r="F1226" s="1123"/>
      <c r="H1226" s="877"/>
    </row>
    <row r="1227" spans="1:8">
      <c r="A1227" s="769">
        <v>42479</v>
      </c>
      <c r="B1227" s="240" t="str">
        <f>TiposLancamentos!B19</f>
        <v>Restaurantes</v>
      </c>
      <c r="C1227" s="147" t="s">
        <v>17016</v>
      </c>
      <c r="D1227" s="63"/>
      <c r="E1227" s="231">
        <v>14.76</v>
      </c>
      <c r="F1227" s="1123"/>
      <c r="H1227" s="877"/>
    </row>
    <row r="1228" spans="1:8">
      <c r="A1228" s="769">
        <v>42479</v>
      </c>
      <c r="B1228" s="240" t="str">
        <f>TiposLancamentos!B56</f>
        <v>Farmácia</v>
      </c>
      <c r="C1228" s="147" t="s">
        <v>17017</v>
      </c>
      <c r="D1228" s="63"/>
      <c r="E1228" s="231">
        <v>29.97</v>
      </c>
      <c r="F1228" s="1123"/>
      <c r="H1228" s="877"/>
    </row>
    <row r="1229" spans="1:8">
      <c r="A1229" s="1151">
        <v>42480</v>
      </c>
      <c r="B1229" s="279" t="str">
        <f>TiposLancamentos!B5</f>
        <v>Supermercado</v>
      </c>
      <c r="C1229" s="280" t="s">
        <v>6234</v>
      </c>
      <c r="D1229" s="281"/>
      <c r="E1229" s="282">
        <v>146.19</v>
      </c>
      <c r="F1229" s="1150"/>
    </row>
    <row r="1230" spans="1:8">
      <c r="A1230" s="769">
        <v>42481</v>
      </c>
      <c r="B1230" s="240" t="str">
        <f>TiposLancamentos!B16</f>
        <v>Cristiane</v>
      </c>
      <c r="C1230" s="147" t="s">
        <v>16825</v>
      </c>
      <c r="D1230" s="63"/>
      <c r="E1230" s="231">
        <v>106.9</v>
      </c>
      <c r="F1230" s="1123"/>
    </row>
    <row r="1231" spans="1:8">
      <c r="A1231" s="1151">
        <v>42482</v>
      </c>
      <c r="B1231" s="279" t="str">
        <f>TiposLancamentos!B19</f>
        <v>Restaurantes</v>
      </c>
      <c r="C1231" s="280" t="s">
        <v>17018</v>
      </c>
      <c r="D1231" s="281"/>
      <c r="E1231" s="282">
        <v>55</v>
      </c>
      <c r="F1231" s="1150"/>
    </row>
    <row r="1232" spans="1:8">
      <c r="A1232" s="769">
        <v>42485</v>
      </c>
      <c r="B1232" s="240" t="str">
        <f>TiposLancamentos!B3</f>
        <v>Internet</v>
      </c>
      <c r="C1232" s="147" t="s">
        <v>10734</v>
      </c>
      <c r="D1232" s="63"/>
      <c r="E1232" s="231">
        <v>72.89</v>
      </c>
      <c r="F1232" s="1123"/>
    </row>
    <row r="1233" spans="1:6">
      <c r="A1233" s="1151">
        <v>42485</v>
      </c>
      <c r="B1233" s="279" t="str">
        <f>TiposLancamentos!B16</f>
        <v>Cristiane</v>
      </c>
      <c r="C1233" s="280" t="s">
        <v>17019</v>
      </c>
      <c r="D1233" s="281"/>
      <c r="E1233" s="282">
        <v>73.17</v>
      </c>
      <c r="F1233" s="1150"/>
    </row>
    <row r="1234" spans="1:6">
      <c r="A1234" s="1151">
        <v>42485</v>
      </c>
      <c r="B1234" s="279" t="str">
        <f>TiposLancamentos!B16</f>
        <v>Cristiane</v>
      </c>
      <c r="C1234" s="280" t="s">
        <v>7068</v>
      </c>
      <c r="D1234" s="281"/>
      <c r="E1234" s="282">
        <v>29.78</v>
      </c>
      <c r="F1234" s="1150"/>
    </row>
    <row r="1235" spans="1:6">
      <c r="A1235" s="1151">
        <v>42488</v>
      </c>
      <c r="B1235" s="279" t="str">
        <f>TiposLancamentos!B22</f>
        <v>Combustivel</v>
      </c>
      <c r="C1235" s="280" t="s">
        <v>6398</v>
      </c>
      <c r="D1235" s="281"/>
      <c r="E1235" s="282">
        <v>100</v>
      </c>
      <c r="F1235" s="1150"/>
    </row>
    <row r="1236" spans="1:6">
      <c r="A1236" s="806">
        <v>42490</v>
      </c>
      <c r="B1236" s="822" t="str">
        <f>TiposLancamentos!B16</f>
        <v>Cristiane</v>
      </c>
      <c r="C1236" s="808" t="s">
        <v>17020</v>
      </c>
      <c r="D1236" s="747"/>
      <c r="E1236" s="1139">
        <v>250</v>
      </c>
      <c r="F1236" s="1140"/>
    </row>
    <row r="1237" spans="1:6">
      <c r="A1237" s="810">
        <v>42490</v>
      </c>
      <c r="B1237" s="823" t="str">
        <f>TiposLancamentos!B48</f>
        <v>Baralhos e Oráculos</v>
      </c>
      <c r="C1237" s="812" t="s">
        <v>17021</v>
      </c>
      <c r="D1237" s="849"/>
      <c r="E1237" s="1141">
        <v>70</v>
      </c>
      <c r="F1237" s="1142">
        <f>SUM(E1236:E1237)</f>
        <v>320</v>
      </c>
    </row>
    <row r="1238" spans="1:6">
      <c r="A1238" s="1151">
        <v>42490</v>
      </c>
      <c r="B1238" s="279" t="str">
        <f>TiposLancamentos!B16</f>
        <v>Cristiane</v>
      </c>
      <c r="C1238" s="280" t="s">
        <v>17022</v>
      </c>
      <c r="D1238" s="281"/>
      <c r="E1238" s="282">
        <v>34</v>
      </c>
      <c r="F1238" s="1150"/>
    </row>
    <row r="1239" spans="1:6">
      <c r="A1239" s="767"/>
      <c r="B1239" s="1121"/>
      <c r="C1239" s="802" t="s">
        <v>10666</v>
      </c>
      <c r="D1239" s="754"/>
      <c r="E1239" s="755"/>
      <c r="F1239" s="1122">
        <f>SUM(E1157:E1224)</f>
        <v>4861.369999999999</v>
      </c>
    </row>
    <row r="1240" spans="1:6">
      <c r="A1240" s="769">
        <v>42492</v>
      </c>
      <c r="B1240" s="240" t="str">
        <f>TiposLancamentos!B15</f>
        <v>Cartões de Crédito</v>
      </c>
      <c r="C1240" s="878" t="s">
        <v>1874</v>
      </c>
      <c r="D1240" s="63">
        <v>4861.47</v>
      </c>
      <c r="E1240" s="231"/>
      <c r="F1240" s="1123">
        <f>F1239-F1182</f>
        <v>101.54999999999836</v>
      </c>
    </row>
    <row r="1241" spans="1:6">
      <c r="A1241" s="769">
        <v>42494</v>
      </c>
      <c r="B1241" s="240" t="str">
        <f>TiposLancamentos!B87</f>
        <v>P207-1.6-XS</v>
      </c>
      <c r="C1241" s="147" t="s">
        <v>17023</v>
      </c>
      <c r="D1241" s="63"/>
      <c r="E1241" s="231">
        <v>475.75</v>
      </c>
      <c r="F1241" s="1123"/>
    </row>
    <row r="1242" spans="1:6">
      <c r="A1242" s="769">
        <v>42494</v>
      </c>
      <c r="B1242" s="240" t="str">
        <f>TiposLancamentos!B71</f>
        <v>Itens Pessoais</v>
      </c>
      <c r="C1242" s="147" t="s">
        <v>17024</v>
      </c>
      <c r="D1242" s="63"/>
      <c r="E1242" s="231">
        <v>88.2</v>
      </c>
      <c r="F1242" s="1123"/>
    </row>
    <row r="1243" spans="1:6">
      <c r="A1243" s="1151">
        <v>42496</v>
      </c>
      <c r="B1243" s="279" t="str">
        <f>TiposLancamentos!B5</f>
        <v>Supermercado</v>
      </c>
      <c r="C1243" s="280" t="s">
        <v>6234</v>
      </c>
      <c r="D1243" s="281"/>
      <c r="E1243" s="282">
        <v>133.05000000000001</v>
      </c>
      <c r="F1243" s="1150"/>
    </row>
    <row r="1244" spans="1:6">
      <c r="A1244" s="1151">
        <v>42497</v>
      </c>
      <c r="B1244" s="279" t="str">
        <f>TiposLancamentos!B19</f>
        <v>Restaurantes</v>
      </c>
      <c r="C1244" s="280" t="s">
        <v>10047</v>
      </c>
      <c r="D1244" s="281"/>
      <c r="E1244" s="282">
        <v>54</v>
      </c>
      <c r="F1244" s="1150"/>
    </row>
    <row r="1245" spans="1:6">
      <c r="A1245" s="769">
        <v>42500</v>
      </c>
      <c r="B1245" s="240" t="str">
        <f>TiposLancamentos!B44</f>
        <v>Academia</v>
      </c>
      <c r="C1245" s="147" t="s">
        <v>17002</v>
      </c>
      <c r="D1245" s="63"/>
      <c r="E1245" s="231">
        <v>69.900000000000006</v>
      </c>
      <c r="F1245" s="1123"/>
    </row>
    <row r="1246" spans="1:6">
      <c r="A1246" s="769">
        <v>42500</v>
      </c>
      <c r="B1246" s="240" t="str">
        <f>TiposLancamentos!B16</f>
        <v>Cristiane</v>
      </c>
      <c r="C1246" s="147" t="s">
        <v>17002</v>
      </c>
      <c r="D1246" s="63"/>
      <c r="E1246" s="231">
        <v>69.900000000000006</v>
      </c>
      <c r="F1246" s="1123"/>
    </row>
    <row r="1247" spans="1:6">
      <c r="A1247" s="769">
        <v>42500</v>
      </c>
      <c r="B1247" s="240" t="str">
        <f>TiposLancamentos!B4</f>
        <v>Taxas Bancarias</v>
      </c>
      <c r="C1247" s="147" t="s">
        <v>17025</v>
      </c>
      <c r="D1247" s="63"/>
      <c r="E1247" s="231">
        <v>22.5</v>
      </c>
      <c r="F1247" s="1123"/>
    </row>
    <row r="1248" spans="1:6">
      <c r="A1248" s="1151">
        <v>42501</v>
      </c>
      <c r="B1248" s="279" t="str">
        <f>TiposLancamentos!B4</f>
        <v>Taxas Bancarias</v>
      </c>
      <c r="C1248" s="280" t="s">
        <v>17025</v>
      </c>
      <c r="D1248" s="281"/>
      <c r="E1248" s="282">
        <v>11.25</v>
      </c>
      <c r="F1248" s="1150"/>
    </row>
    <row r="1249" spans="1:6">
      <c r="A1249" s="1151">
        <v>42503</v>
      </c>
      <c r="B1249" s="279" t="str">
        <f>TiposLancamentos!B60</f>
        <v>Correio</v>
      </c>
      <c r="C1249" s="280" t="s">
        <v>17026</v>
      </c>
      <c r="D1249" s="281"/>
      <c r="E1249" s="282">
        <v>55.9</v>
      </c>
      <c r="F1249" s="1150"/>
    </row>
    <row r="1250" spans="1:6">
      <c r="A1250" s="769">
        <v>42503</v>
      </c>
      <c r="B1250" s="240" t="str">
        <f>TiposLancamentos!B26</f>
        <v>LIVROS</v>
      </c>
      <c r="C1250" s="147" t="s">
        <v>17027</v>
      </c>
      <c r="D1250" s="63"/>
      <c r="E1250" s="231">
        <f>F1250/3</f>
        <v>125</v>
      </c>
      <c r="F1250" s="1123">
        <v>375</v>
      </c>
    </row>
    <row r="1251" spans="1:6">
      <c r="A1251" s="1151">
        <v>42505</v>
      </c>
      <c r="B1251" s="279" t="str">
        <f>TiposLancamentos!B19</f>
        <v>Restaurantes</v>
      </c>
      <c r="C1251" s="280" t="s">
        <v>10047</v>
      </c>
      <c r="D1251" s="281"/>
      <c r="E1251" s="282">
        <v>65</v>
      </c>
      <c r="F1251" s="1150"/>
    </row>
    <row r="1252" spans="1:6">
      <c r="A1252" s="769">
        <v>42509</v>
      </c>
      <c r="B1252" s="240" t="str">
        <f>TiposLancamentos!B78</f>
        <v>Diferenças</v>
      </c>
      <c r="C1252" s="878" t="s">
        <v>17028</v>
      </c>
      <c r="D1252" s="63">
        <v>0.1</v>
      </c>
      <c r="E1252" s="231"/>
      <c r="F1252" s="1123"/>
    </row>
    <row r="1253" spans="1:6">
      <c r="A1253" s="759"/>
      <c r="B1253" s="243"/>
      <c r="C1253" s="389" t="s">
        <v>10</v>
      </c>
      <c r="D1253" s="146"/>
      <c r="E1253" s="146"/>
      <c r="F1253" s="1138"/>
    </row>
    <row r="1254" spans="1:6">
      <c r="A1254" s="1151">
        <v>42508</v>
      </c>
      <c r="B1254" s="279" t="str">
        <f>TiposLancamentos!B5</f>
        <v>Supermercado</v>
      </c>
      <c r="C1254" s="280" t="s">
        <v>6234</v>
      </c>
      <c r="D1254" s="281"/>
      <c r="E1254" s="282">
        <v>212.04</v>
      </c>
      <c r="F1254" s="1150"/>
    </row>
    <row r="1255" spans="1:6">
      <c r="A1255" s="1151">
        <v>42509</v>
      </c>
      <c r="B1255" s="279" t="str">
        <f>TiposLancamentos!B4</f>
        <v>Taxas Bancarias</v>
      </c>
      <c r="C1255" s="280" t="s">
        <v>16660</v>
      </c>
      <c r="D1255" s="281"/>
      <c r="E1255" s="282">
        <v>11.25</v>
      </c>
      <c r="F1255" s="1150"/>
    </row>
    <row r="1256" spans="1:6">
      <c r="A1256" s="769">
        <v>42509</v>
      </c>
      <c r="B1256" s="240" t="str">
        <f>TiposLancamentos!B4</f>
        <v>Taxas Bancarias</v>
      </c>
      <c r="C1256" s="878" t="s">
        <v>16660</v>
      </c>
      <c r="D1256" s="63"/>
      <c r="E1256" s="231">
        <v>22.5</v>
      </c>
      <c r="F1256" s="1123"/>
    </row>
    <row r="1257" spans="1:6">
      <c r="A1257" s="769">
        <v>42511</v>
      </c>
      <c r="B1257" s="240" t="str">
        <f>TiposLancamentos!B16</f>
        <v>Cristiane</v>
      </c>
      <c r="C1257" s="878" t="s">
        <v>17029</v>
      </c>
      <c r="D1257" s="63"/>
      <c r="E1257" s="231">
        <v>302.25</v>
      </c>
      <c r="F1257" s="1123"/>
    </row>
    <row r="1258" spans="1:6">
      <c r="A1258" s="769">
        <v>42511</v>
      </c>
      <c r="B1258" s="240" t="str">
        <f>TiposLancamentos!B16</f>
        <v>Cristiane</v>
      </c>
      <c r="C1258" s="878" t="s">
        <v>3950</v>
      </c>
      <c r="D1258" s="63"/>
      <c r="E1258" s="231">
        <v>44.61</v>
      </c>
      <c r="F1258" s="1123"/>
    </row>
    <row r="1259" spans="1:6">
      <c r="A1259" s="1151">
        <v>42512</v>
      </c>
      <c r="B1259" s="279" t="str">
        <f>TiposLancamentos!B16</f>
        <v>Cristiane</v>
      </c>
      <c r="C1259" s="280" t="s">
        <v>17030</v>
      </c>
      <c r="D1259" s="281"/>
      <c r="E1259" s="282">
        <v>139</v>
      </c>
      <c r="F1259" s="1150"/>
    </row>
    <row r="1260" spans="1:6">
      <c r="A1260" s="769">
        <v>42513</v>
      </c>
      <c r="B1260" s="240" t="str">
        <f>TiposLancamentos!B62</f>
        <v>Papelaria</v>
      </c>
      <c r="C1260" s="878" t="s">
        <v>17031</v>
      </c>
      <c r="D1260" s="63"/>
      <c r="E1260" s="231">
        <v>49.22</v>
      </c>
      <c r="F1260" s="1123"/>
    </row>
    <row r="1261" spans="1:6">
      <c r="A1261" s="769">
        <v>42515</v>
      </c>
      <c r="B1261" s="240" t="str">
        <f>TiposLancamentos!B3</f>
        <v>Internet</v>
      </c>
      <c r="C1261" s="878" t="s">
        <v>10734</v>
      </c>
      <c r="D1261" s="63"/>
      <c r="E1261" s="231">
        <v>72.89</v>
      </c>
      <c r="F1261" s="1123"/>
    </row>
    <row r="1262" spans="1:6">
      <c r="A1262" s="1151">
        <v>42510</v>
      </c>
      <c r="B1262" s="279" t="str">
        <f>TiposLancamentos!B5</f>
        <v>Supermercado</v>
      </c>
      <c r="C1262" s="280" t="s">
        <v>17032</v>
      </c>
      <c r="D1262" s="281"/>
      <c r="E1262" s="282">
        <v>125.55</v>
      </c>
      <c r="F1262" s="1150"/>
    </row>
    <row r="1263" spans="1:6">
      <c r="A1263" s="767"/>
      <c r="B1263" s="1121"/>
      <c r="C1263" s="1182" t="s">
        <v>17033</v>
      </c>
      <c r="D1263" s="754"/>
      <c r="E1263" s="755"/>
      <c r="F1263" s="1122">
        <f>SUM(E1226:E1251)-D1252</f>
        <v>2165.9300000000003</v>
      </c>
    </row>
    <row r="1264" spans="1:6" ht="12.75" customHeight="1">
      <c r="A1264" s="769">
        <v>42522</v>
      </c>
      <c r="B1264" s="240" t="str">
        <f>TiposLancamentos!B15</f>
        <v>Cartões de Crédito</v>
      </c>
      <c r="C1264" s="878" t="s">
        <v>1874</v>
      </c>
      <c r="D1264" s="63">
        <v>2165.9299999999998</v>
      </c>
      <c r="E1264" s="231"/>
      <c r="F1264" s="1123">
        <f>F1263-F1239</f>
        <v>-2695.4399999999987</v>
      </c>
    </row>
    <row r="1265" spans="1:6">
      <c r="A1265" s="1151">
        <v>42524</v>
      </c>
      <c r="B1265" s="279" t="str">
        <f>TiposLancamentos!B17</f>
        <v>GATO</v>
      </c>
      <c r="C1265" s="280" t="s">
        <v>17034</v>
      </c>
      <c r="D1265" s="281"/>
      <c r="E1265" s="282">
        <v>241.75</v>
      </c>
      <c r="F1265" s="1150"/>
    </row>
    <row r="1266" spans="1:6">
      <c r="A1266" s="1151">
        <v>42525</v>
      </c>
      <c r="B1266" s="279" t="str">
        <f>TiposLancamentos!B16</f>
        <v>Cristiane</v>
      </c>
      <c r="C1266" s="280" t="s">
        <v>5518</v>
      </c>
      <c r="D1266" s="281"/>
      <c r="E1266" s="282">
        <v>79.989999999999995</v>
      </c>
      <c r="F1266" s="1150"/>
    </row>
    <row r="1267" spans="1:6">
      <c r="A1267" s="769">
        <v>42525</v>
      </c>
      <c r="B1267" s="240" t="str">
        <f>TiposLancamentos!B71</f>
        <v>Itens Pessoais</v>
      </c>
      <c r="C1267" s="147" t="s">
        <v>17035</v>
      </c>
      <c r="D1267" s="63"/>
      <c r="E1267" s="231">
        <v>88.2</v>
      </c>
      <c r="F1267" s="1123"/>
    </row>
    <row r="1268" spans="1:6">
      <c r="A1268" s="1151">
        <v>42530</v>
      </c>
      <c r="B1268" s="279" t="str">
        <f>TiposLancamentos!B5</f>
        <v>Supermercado</v>
      </c>
      <c r="C1268" s="280" t="s">
        <v>6234</v>
      </c>
      <c r="D1268" s="281"/>
      <c r="E1268" s="282">
        <v>84.96</v>
      </c>
      <c r="F1268" s="1150"/>
    </row>
    <row r="1269" spans="1:6">
      <c r="A1269" s="1151">
        <v>42531</v>
      </c>
      <c r="B1269" s="279" t="str">
        <f>TiposLancamentos!B19</f>
        <v>Restaurantes</v>
      </c>
      <c r="C1269" s="280" t="s">
        <v>10047</v>
      </c>
      <c r="D1269" s="281"/>
      <c r="E1269" s="282">
        <v>60</v>
      </c>
      <c r="F1269" s="1150"/>
    </row>
    <row r="1270" spans="1:6">
      <c r="A1270" s="769">
        <v>42531</v>
      </c>
      <c r="B1270" s="240" t="str">
        <f>TiposLancamentos!B44</f>
        <v>Academia</v>
      </c>
      <c r="C1270" s="878" t="s">
        <v>17036</v>
      </c>
      <c r="D1270" s="63"/>
      <c r="E1270" s="231">
        <v>69.900000000000006</v>
      </c>
      <c r="F1270" s="1123"/>
    </row>
    <row r="1271" spans="1:6">
      <c r="A1271" s="769">
        <v>42534</v>
      </c>
      <c r="B1271" s="240" t="str">
        <f>TiposLancamentos!B26</f>
        <v>LIVROS</v>
      </c>
      <c r="C1271" s="147" t="s">
        <v>17037</v>
      </c>
      <c r="D1271" s="63"/>
      <c r="E1271" s="231">
        <f>F1271/3</f>
        <v>125</v>
      </c>
      <c r="F1271" s="1123">
        <v>375</v>
      </c>
    </row>
    <row r="1272" spans="1:6">
      <c r="A1272" s="1151">
        <v>42537</v>
      </c>
      <c r="B1272" s="279" t="str">
        <f>TiposLancamentos!B16</f>
        <v>Cristiane</v>
      </c>
      <c r="C1272" s="280" t="s">
        <v>17038</v>
      </c>
      <c r="D1272" s="281"/>
      <c r="E1272" s="282">
        <v>159.80000000000001</v>
      </c>
      <c r="F1272" s="1150"/>
    </row>
    <row r="1273" spans="1:6">
      <c r="A1273" s="759"/>
      <c r="B1273" s="243"/>
      <c r="C1273" s="389" t="s">
        <v>10</v>
      </c>
      <c r="D1273" s="146"/>
      <c r="E1273" s="146"/>
      <c r="F1273" s="1138"/>
    </row>
    <row r="1274" spans="1:6">
      <c r="A1274" s="769">
        <v>42540</v>
      </c>
      <c r="B1274" s="240" t="str">
        <f>TiposLancamentos!B19</f>
        <v>Restaurantes</v>
      </c>
      <c r="C1274" s="878" t="s">
        <v>17039</v>
      </c>
      <c r="D1274" s="63"/>
      <c r="E1274" s="231">
        <v>64</v>
      </c>
      <c r="F1274" s="1123"/>
    </row>
    <row r="1275" spans="1:6">
      <c r="A1275" s="769">
        <v>42542</v>
      </c>
      <c r="B1275" s="240" t="str">
        <f>TiposLancamentos!B4</f>
        <v>Taxas Bancarias</v>
      </c>
      <c r="C1275" s="878" t="s">
        <v>17040</v>
      </c>
      <c r="D1275" s="63"/>
      <c r="E1275" s="231">
        <v>22.5</v>
      </c>
      <c r="F1275" s="1123"/>
    </row>
    <row r="1276" spans="1:6">
      <c r="A1276" s="1151">
        <v>42542</v>
      </c>
      <c r="B1276" s="279" t="str">
        <f>TiposLancamentos!B4</f>
        <v>Taxas Bancarias</v>
      </c>
      <c r="C1276" s="280" t="s">
        <v>17040</v>
      </c>
      <c r="D1276" s="281"/>
      <c r="E1276" s="282">
        <v>11.25</v>
      </c>
      <c r="F1276" s="1150"/>
    </row>
    <row r="1277" spans="1:6">
      <c r="A1277" s="1151">
        <v>42544</v>
      </c>
      <c r="B1277" s="279" t="str">
        <f>TiposLancamentos!B19</f>
        <v>Restaurantes</v>
      </c>
      <c r="C1277" s="280" t="s">
        <v>17039</v>
      </c>
      <c r="D1277" s="281"/>
      <c r="E1277" s="282">
        <v>65</v>
      </c>
      <c r="F1277" s="1150"/>
    </row>
    <row r="1278" spans="1:6">
      <c r="A1278" s="1151">
        <v>42545</v>
      </c>
      <c r="B1278" s="279" t="str">
        <f>TiposLancamentos!B5</f>
        <v>Supermercado</v>
      </c>
      <c r="C1278" s="280" t="s">
        <v>6234</v>
      </c>
      <c r="D1278" s="281"/>
      <c r="E1278" s="282">
        <v>149.29</v>
      </c>
      <c r="F1278" s="1150"/>
    </row>
    <row r="1279" spans="1:6">
      <c r="A1279" s="767"/>
      <c r="B1279" s="1121"/>
      <c r="C1279" s="802" t="s">
        <v>7306</v>
      </c>
      <c r="D1279" s="754"/>
      <c r="E1279" s="755"/>
      <c r="F1279" s="1122">
        <f>SUM(E1254:E1272)</f>
        <v>1888.91</v>
      </c>
    </row>
    <row r="1280" spans="1:6">
      <c r="A1280" s="769">
        <v>42552</v>
      </c>
      <c r="B1280" s="240" t="str">
        <f>TiposLancamentos!B15</f>
        <v>Cartões de Crédito</v>
      </c>
      <c r="C1280" s="878" t="s">
        <v>1874</v>
      </c>
      <c r="D1280" s="63">
        <v>1888.91</v>
      </c>
      <c r="E1280" s="231"/>
      <c r="F1280" s="1123">
        <f>F1279-F1263</f>
        <v>-277.02000000000021</v>
      </c>
    </row>
    <row r="1281" spans="1:6">
      <c r="A1281" s="1151">
        <v>42553</v>
      </c>
      <c r="B1281" s="279" t="str">
        <f>TiposLancamentos!B19</f>
        <v>Restaurantes</v>
      </c>
      <c r="C1281" s="280" t="s">
        <v>17039</v>
      </c>
      <c r="D1281" s="281"/>
      <c r="E1281" s="282">
        <v>54</v>
      </c>
      <c r="F1281" s="1150"/>
    </row>
    <row r="1282" spans="1:6">
      <c r="A1282" s="1151">
        <v>42555</v>
      </c>
      <c r="B1282" s="279" t="str">
        <f>TiposLancamentos!B5</f>
        <v>Supermercado</v>
      </c>
      <c r="C1282" s="280" t="s">
        <v>6234</v>
      </c>
      <c r="D1282" s="281"/>
      <c r="E1282" s="282">
        <v>159.86000000000001</v>
      </c>
      <c r="F1282" s="1150"/>
    </row>
    <row r="1283" spans="1:6">
      <c r="A1283" s="769">
        <v>42561</v>
      </c>
      <c r="B1283" s="240" t="str">
        <f>TiposLancamentos!B44</f>
        <v>Academia</v>
      </c>
      <c r="C1283" s="878" t="s">
        <v>17036</v>
      </c>
      <c r="D1283" s="63"/>
      <c r="E1283" s="231">
        <v>69.900000000000006</v>
      </c>
      <c r="F1283" s="1123"/>
    </row>
    <row r="1284" spans="1:6">
      <c r="A1284" s="769">
        <v>42562</v>
      </c>
      <c r="B1284" s="240" t="str">
        <f>TiposLancamentos!B98</f>
        <v>Restituições</v>
      </c>
      <c r="C1284" s="878" t="s">
        <v>17041</v>
      </c>
      <c r="D1284" s="63">
        <v>101.25</v>
      </c>
      <c r="E1284" s="231"/>
      <c r="F1284" s="1123"/>
    </row>
    <row r="1285" spans="1:6">
      <c r="A1285" s="769">
        <v>42565</v>
      </c>
      <c r="B1285" s="240" t="str">
        <f>TiposLancamentos!B57</f>
        <v>Informática</v>
      </c>
      <c r="C1285" s="878" t="s">
        <v>17042</v>
      </c>
      <c r="D1285" s="63"/>
      <c r="E1285" s="231">
        <v>3.4</v>
      </c>
      <c r="F1285" s="1123" t="s">
        <v>10768</v>
      </c>
    </row>
    <row r="1286" spans="1:6">
      <c r="A1286" s="769">
        <v>42566</v>
      </c>
      <c r="B1286" s="240" t="str">
        <f>TiposLancamentos!B4</f>
        <v>Taxas Bancarias</v>
      </c>
      <c r="C1286" s="878" t="s">
        <v>17043</v>
      </c>
      <c r="D1286" s="63"/>
      <c r="E1286" s="231">
        <v>0.2</v>
      </c>
      <c r="F1286" s="1123" t="s">
        <v>17044</v>
      </c>
    </row>
    <row r="1287" spans="1:6">
      <c r="A1287" s="1151">
        <v>42566</v>
      </c>
      <c r="B1287" s="279" t="str">
        <f>TiposLancamentos!B34</f>
        <v>Seguros</v>
      </c>
      <c r="C1287" s="280" t="s">
        <v>17045</v>
      </c>
      <c r="D1287" s="281"/>
      <c r="E1287" s="282">
        <v>506.36</v>
      </c>
      <c r="F1287" s="1150">
        <v>2025.38</v>
      </c>
    </row>
    <row r="1288" spans="1:6">
      <c r="A1288" s="759"/>
      <c r="B1288" s="243"/>
      <c r="C1288" s="389" t="s">
        <v>10</v>
      </c>
      <c r="D1288" s="146"/>
      <c r="E1288" s="146"/>
      <c r="F1288" s="1138"/>
    </row>
    <row r="1289" spans="1:6">
      <c r="A1289" s="769">
        <v>42576</v>
      </c>
      <c r="B1289" s="240" t="str">
        <f>TiposLancamentos!B48</f>
        <v>Baralhos e Oráculos</v>
      </c>
      <c r="C1289" s="878" t="s">
        <v>17046</v>
      </c>
      <c r="D1289" s="63"/>
      <c r="E1289" s="231">
        <v>139.47999999999999</v>
      </c>
      <c r="F1289" s="1123" t="s">
        <v>17047</v>
      </c>
    </row>
    <row r="1290" spans="1:6">
      <c r="A1290" s="769">
        <v>42576</v>
      </c>
      <c r="B1290" s="240" t="str">
        <f>TiposLancamentos!B4</f>
        <v>Taxas Bancarias</v>
      </c>
      <c r="C1290" s="878" t="s">
        <v>17048</v>
      </c>
      <c r="D1290" s="63"/>
      <c r="E1290" s="231">
        <v>8.91</v>
      </c>
      <c r="F1290" s="1123" t="s">
        <v>17049</v>
      </c>
    </row>
    <row r="1291" spans="1:6">
      <c r="A1291" s="769">
        <v>42579</v>
      </c>
      <c r="B1291" s="240" t="str">
        <f>TiposLancamentos!B16</f>
        <v>Cristiane</v>
      </c>
      <c r="C1291" s="878" t="s">
        <v>17050</v>
      </c>
      <c r="D1291" s="63"/>
      <c r="E1291" s="231">
        <v>58.3</v>
      </c>
      <c r="F1291" s="1123"/>
    </row>
    <row r="1292" spans="1:6">
      <c r="A1292" s="769">
        <v>42580</v>
      </c>
      <c r="B1292" s="240" t="str">
        <f>TiposLancamentos!B48</f>
        <v>Baralhos e Oráculos</v>
      </c>
      <c r="C1292" s="878" t="s">
        <v>17051</v>
      </c>
      <c r="D1292" s="63"/>
      <c r="E1292" s="231">
        <v>108.01</v>
      </c>
      <c r="F1292" s="1123" t="s">
        <v>17052</v>
      </c>
    </row>
    <row r="1293" spans="1:6">
      <c r="A1293" s="769">
        <v>42580</v>
      </c>
      <c r="B1293" s="240" t="str">
        <f>TiposLancamentos!B4</f>
        <v>Taxas Bancarias</v>
      </c>
      <c r="C1293" s="878" t="s">
        <v>17053</v>
      </c>
      <c r="D1293" s="63"/>
      <c r="E1293" s="231">
        <v>6.88</v>
      </c>
      <c r="F1293" s="1123" t="s">
        <v>17054</v>
      </c>
    </row>
    <row r="1294" spans="1:6">
      <c r="A1294" s="767"/>
      <c r="B1294" s="1121"/>
      <c r="C1294" s="802" t="s">
        <v>10766</v>
      </c>
      <c r="D1294" s="754"/>
      <c r="E1294" s="755"/>
      <c r="F1294" s="1122">
        <f>SUM(E1274:E1287)-D1284</f>
        <v>1004.51</v>
      </c>
    </row>
    <row r="1295" spans="1:6">
      <c r="A1295" s="769">
        <v>42583</v>
      </c>
      <c r="B1295" s="240" t="str">
        <f>TiposLancamentos!B15</f>
        <v>Cartões de Crédito</v>
      </c>
      <c r="C1295" s="878" t="s">
        <v>1874</v>
      </c>
      <c r="D1295" s="63">
        <v>1004.51</v>
      </c>
      <c r="E1295" s="231"/>
      <c r="F1295" s="1123">
        <f>F1294-F1279</f>
        <v>-884.40000000000009</v>
      </c>
    </row>
    <row r="1296" spans="1:6">
      <c r="A1296" s="769">
        <v>42586</v>
      </c>
      <c r="B1296" s="240" t="str">
        <f>TiposLancamentos!B16</f>
        <v>Cristiane</v>
      </c>
      <c r="C1296" s="878" t="s">
        <v>17055</v>
      </c>
      <c r="D1296" s="63"/>
      <c r="E1296" s="231">
        <v>185.2</v>
      </c>
      <c r="F1296" s="1123"/>
    </row>
    <row r="1297" spans="1:7">
      <c r="A1297" s="769">
        <v>42593</v>
      </c>
      <c r="B1297" s="240" t="str">
        <f>TiposLancamentos!B71</f>
        <v>Itens Pessoais</v>
      </c>
      <c r="C1297" s="878" t="s">
        <v>17056</v>
      </c>
      <c r="D1297" s="63"/>
      <c r="E1297" s="231">
        <f>F1297/10</f>
        <v>319.89999999999998</v>
      </c>
      <c r="F1297" s="1123">
        <v>3199</v>
      </c>
    </row>
    <row r="1298" spans="1:7">
      <c r="A1298" s="769">
        <v>42597</v>
      </c>
      <c r="B1298" s="240" t="str">
        <f>TiposLancamentos!B98</f>
        <v>Restituições</v>
      </c>
      <c r="C1298" s="878" t="s">
        <v>17057</v>
      </c>
      <c r="D1298" s="63">
        <v>0.02</v>
      </c>
      <c r="E1298" s="231"/>
      <c r="F1298" s="1123"/>
    </row>
    <row r="1299" spans="1:7">
      <c r="A1299" s="1151">
        <v>42597</v>
      </c>
      <c r="B1299" s="279" t="str">
        <f>TiposLancamentos!B34</f>
        <v>Seguros</v>
      </c>
      <c r="C1299" s="280" t="s">
        <v>17058</v>
      </c>
      <c r="D1299" s="281"/>
      <c r="E1299" s="282">
        <v>506.36</v>
      </c>
      <c r="F1299" s="1150">
        <v>2025.38</v>
      </c>
    </row>
    <row r="1300" spans="1:7">
      <c r="A1300" s="759"/>
      <c r="B1300" s="243"/>
      <c r="C1300" s="389" t="s">
        <v>10</v>
      </c>
      <c r="D1300" s="146"/>
      <c r="E1300" s="146"/>
      <c r="F1300" s="1138"/>
      <c r="G1300" s="1094" t="s">
        <v>11</v>
      </c>
    </row>
    <row r="1301" spans="1:7">
      <c r="A1301" s="1151">
        <v>42597</v>
      </c>
      <c r="B1301" s="279" t="str">
        <f>TiposLancamentos!B98</f>
        <v>Restituições</v>
      </c>
      <c r="C1301" s="280" t="s">
        <v>17059</v>
      </c>
      <c r="D1301" s="281">
        <v>0.06</v>
      </c>
      <c r="E1301" s="282"/>
      <c r="F1301" s="1150"/>
      <c r="G1301" s="1152" t="s">
        <v>9</v>
      </c>
    </row>
    <row r="1302" spans="1:7">
      <c r="A1302" s="769">
        <v>42599</v>
      </c>
      <c r="B1302" s="240" t="str">
        <f>TiposLancamentos!B48</f>
        <v>Baralhos e Oráculos</v>
      </c>
      <c r="C1302" s="878" t="s">
        <v>17060</v>
      </c>
      <c r="D1302" s="63"/>
      <c r="E1302" s="231">
        <v>116.94</v>
      </c>
      <c r="F1302" s="1123"/>
      <c r="G1302" s="1152" t="s">
        <v>9</v>
      </c>
    </row>
    <row r="1303" spans="1:7">
      <c r="A1303" s="769">
        <v>42603</v>
      </c>
      <c r="B1303" s="240" t="str">
        <f>TiposLancamentos!B5</f>
        <v>Supermercado</v>
      </c>
      <c r="C1303" s="878" t="s">
        <v>6234</v>
      </c>
      <c r="D1303" s="63"/>
      <c r="E1303" s="231">
        <v>190.19</v>
      </c>
      <c r="F1303" s="1123"/>
      <c r="G1303" s="1152" t="s">
        <v>9</v>
      </c>
    </row>
    <row r="1304" spans="1:7">
      <c r="A1304" s="769">
        <v>42604</v>
      </c>
      <c r="B1304" s="240" t="str">
        <f>TiposLancamentos!B17</f>
        <v>GATO</v>
      </c>
      <c r="C1304" s="878" t="s">
        <v>17061</v>
      </c>
      <c r="D1304" s="63"/>
      <c r="E1304" s="231">
        <v>234</v>
      </c>
      <c r="F1304" s="1123"/>
      <c r="G1304" s="1152" t="s">
        <v>9</v>
      </c>
    </row>
    <row r="1305" spans="1:7">
      <c r="A1305" s="769">
        <v>42604</v>
      </c>
      <c r="B1305" s="240" t="str">
        <f>TiposLancamentos!B66</f>
        <v>Faxineira</v>
      </c>
      <c r="C1305" s="878" t="s">
        <v>17062</v>
      </c>
      <c r="D1305" s="63"/>
      <c r="E1305" s="231">
        <v>150</v>
      </c>
      <c r="F1305" s="1123"/>
      <c r="G1305" s="1152" t="s">
        <v>9</v>
      </c>
    </row>
    <row r="1306" spans="1:7">
      <c r="A1306" s="769">
        <v>42604</v>
      </c>
      <c r="B1306" s="240" t="str">
        <f>TiposLancamentos!B13</f>
        <v>Moradia</v>
      </c>
      <c r="C1306" s="878" t="s">
        <v>17063</v>
      </c>
      <c r="D1306" s="63"/>
      <c r="E1306" s="231">
        <v>71.12</v>
      </c>
      <c r="F1306" s="1123"/>
      <c r="G1306" s="1152" t="s">
        <v>9</v>
      </c>
    </row>
    <row r="1307" spans="1:7">
      <c r="A1307" s="769">
        <v>42604</v>
      </c>
      <c r="B1307" s="240" t="str">
        <f>TiposLancamentos!B17</f>
        <v>GATO</v>
      </c>
      <c r="C1307" s="878" t="s">
        <v>17064</v>
      </c>
      <c r="D1307" s="63"/>
      <c r="E1307" s="231">
        <v>310.79000000000002</v>
      </c>
      <c r="F1307" s="1123"/>
      <c r="G1307" s="1152" t="s">
        <v>9</v>
      </c>
    </row>
    <row r="1308" spans="1:7">
      <c r="A1308" s="1151">
        <v>42605</v>
      </c>
      <c r="B1308" s="279" t="str">
        <f>TiposLancamentos!B13</f>
        <v>Moradia</v>
      </c>
      <c r="C1308" s="280" t="s">
        <v>17065</v>
      </c>
      <c r="D1308" s="281"/>
      <c r="E1308" s="282">
        <v>217.4</v>
      </c>
      <c r="F1308" s="1150"/>
      <c r="G1308" s="1152" t="s">
        <v>9</v>
      </c>
    </row>
    <row r="1309" spans="1:7">
      <c r="A1309" s="769">
        <v>42605</v>
      </c>
      <c r="B1309" s="240" t="str">
        <f>TiposLancamentos!B17</f>
        <v>GATO</v>
      </c>
      <c r="C1309" s="878" t="s">
        <v>17066</v>
      </c>
      <c r="D1309" s="63"/>
      <c r="E1309" s="231">
        <v>16.899999999999999</v>
      </c>
      <c r="F1309" s="1123"/>
      <c r="G1309" s="1152" t="s">
        <v>9</v>
      </c>
    </row>
    <row r="1310" spans="1:7">
      <c r="A1310" s="769">
        <v>42606</v>
      </c>
      <c r="B1310" s="240" t="str">
        <f>TiposLancamentos!B17</f>
        <v>GATO</v>
      </c>
      <c r="C1310" s="878" t="s">
        <v>17067</v>
      </c>
      <c r="D1310" s="63"/>
      <c r="E1310" s="231">
        <v>56.15</v>
      </c>
      <c r="F1310" s="1123"/>
      <c r="G1310" s="1152" t="s">
        <v>9</v>
      </c>
    </row>
    <row r="1311" spans="1:7">
      <c r="A1311" s="1151">
        <v>42606</v>
      </c>
      <c r="B1311" s="279" t="str">
        <f>TiposLancamentos!B16</f>
        <v>Cristiane</v>
      </c>
      <c r="C1311" s="280" t="s">
        <v>17068</v>
      </c>
      <c r="D1311" s="281"/>
      <c r="E1311" s="282">
        <v>197.44</v>
      </c>
      <c r="F1311" s="1150"/>
      <c r="G1311" s="1152" t="s">
        <v>9</v>
      </c>
    </row>
    <row r="1312" spans="1:7">
      <c r="A1312" s="1151">
        <v>42606</v>
      </c>
      <c r="B1312" s="279" t="str">
        <f>TiposLancamentos!B5</f>
        <v>Supermercado</v>
      </c>
      <c r="C1312" s="280" t="s">
        <v>6234</v>
      </c>
      <c r="D1312" s="281"/>
      <c r="E1312" s="282">
        <v>67.180000000000007</v>
      </c>
      <c r="F1312" s="1150"/>
      <c r="G1312" s="1152" t="s">
        <v>9</v>
      </c>
    </row>
    <row r="1313" spans="1:7">
      <c r="A1313" s="769">
        <v>42606</v>
      </c>
      <c r="B1313" s="240" t="str">
        <f>TiposLancamentos!B19</f>
        <v>Restaurantes</v>
      </c>
      <c r="C1313" s="878" t="s">
        <v>6328</v>
      </c>
      <c r="D1313" s="63"/>
      <c r="E1313" s="231">
        <v>90.5</v>
      </c>
      <c r="F1313" s="1123"/>
      <c r="G1313" s="1152" t="s">
        <v>9</v>
      </c>
    </row>
    <row r="1314" spans="1:7">
      <c r="A1314" s="1151">
        <v>42606</v>
      </c>
      <c r="B1314" s="279" t="str">
        <f>TiposLancamentos!B17</f>
        <v>GATO</v>
      </c>
      <c r="C1314" s="280" t="s">
        <v>6052</v>
      </c>
      <c r="D1314" s="281"/>
      <c r="E1314" s="282">
        <v>69.66</v>
      </c>
      <c r="F1314" s="1150"/>
      <c r="G1314" s="1152" t="s">
        <v>9</v>
      </c>
    </row>
    <row r="1315" spans="1:7">
      <c r="A1315" s="769">
        <v>42607</v>
      </c>
      <c r="B1315" s="240" t="str">
        <f>TiposLancamentos!B5</f>
        <v>Supermercado</v>
      </c>
      <c r="C1315" s="878" t="s">
        <v>7068</v>
      </c>
      <c r="D1315" s="63"/>
      <c r="E1315" s="231">
        <v>20.51</v>
      </c>
      <c r="F1315" s="1123"/>
      <c r="G1315" s="1152" t="s">
        <v>9</v>
      </c>
    </row>
    <row r="1316" spans="1:7">
      <c r="A1316" s="1151">
        <v>42607</v>
      </c>
      <c r="B1316" s="279" t="str">
        <f>TiposLancamentos!B5</f>
        <v>Supermercado</v>
      </c>
      <c r="C1316" s="280" t="s">
        <v>7046</v>
      </c>
      <c r="D1316" s="281"/>
      <c r="E1316" s="282">
        <v>38.4</v>
      </c>
      <c r="F1316" s="1150"/>
      <c r="G1316" s="1152" t="s">
        <v>9</v>
      </c>
    </row>
    <row r="1317" spans="1:7">
      <c r="A1317" s="769">
        <v>42607</v>
      </c>
      <c r="B1317" s="240" t="str">
        <f>TiposLancamentos!B17</f>
        <v>GATO</v>
      </c>
      <c r="C1317" s="878" t="s">
        <v>17069</v>
      </c>
      <c r="D1317" s="63"/>
      <c r="E1317" s="231">
        <v>526.67999999999995</v>
      </c>
      <c r="F1317" s="1123">
        <v>1580</v>
      </c>
      <c r="G1317" s="1152" t="s">
        <v>9</v>
      </c>
    </row>
    <row r="1318" spans="1:7">
      <c r="A1318" s="769">
        <v>42607</v>
      </c>
      <c r="B1318" s="240" t="str">
        <f>TiposLancamentos!B17</f>
        <v>GATO</v>
      </c>
      <c r="C1318" s="878" t="s">
        <v>17070</v>
      </c>
      <c r="D1318" s="63"/>
      <c r="E1318" s="231">
        <v>42.92</v>
      </c>
      <c r="F1318" s="1123"/>
      <c r="G1318" s="1152" t="s">
        <v>9</v>
      </c>
    </row>
    <row r="1319" spans="1:7">
      <c r="A1319" s="769">
        <v>42607</v>
      </c>
      <c r="B1319" s="240" t="str">
        <f>TiposLancamentos!B19</f>
        <v>Restaurantes</v>
      </c>
      <c r="C1319" s="878" t="s">
        <v>17071</v>
      </c>
      <c r="D1319" s="63"/>
      <c r="E1319" s="231">
        <v>240</v>
      </c>
      <c r="F1319" s="1123"/>
      <c r="G1319" s="1152" t="s">
        <v>9</v>
      </c>
    </row>
    <row r="1320" spans="1:7">
      <c r="A1320" s="769">
        <v>42607</v>
      </c>
      <c r="B1320" s="240" t="str">
        <f>TiposLancamentos!B24</f>
        <v>Estacionamentos</v>
      </c>
      <c r="C1320" s="878" t="s">
        <v>17072</v>
      </c>
      <c r="D1320" s="63"/>
      <c r="E1320" s="231">
        <v>40</v>
      </c>
      <c r="F1320" s="1123"/>
      <c r="G1320" s="1152" t="s">
        <v>9</v>
      </c>
    </row>
    <row r="1321" spans="1:7">
      <c r="A1321" s="769">
        <v>42608</v>
      </c>
      <c r="B1321" s="240" t="str">
        <f>TiposLancamentos!B17</f>
        <v>GATO</v>
      </c>
      <c r="C1321" s="878" t="s">
        <v>17073</v>
      </c>
      <c r="D1321" s="63"/>
      <c r="E1321" s="231">
        <v>38.5</v>
      </c>
      <c r="F1321" s="1123"/>
      <c r="G1321" s="1152" t="s">
        <v>9</v>
      </c>
    </row>
    <row r="1322" spans="1:7">
      <c r="A1322" s="1151">
        <v>42608</v>
      </c>
      <c r="B1322" s="279" t="str">
        <f>TiposLancamentos!B16</f>
        <v>Cristiane</v>
      </c>
      <c r="C1322" s="280" t="s">
        <v>17074</v>
      </c>
      <c r="D1322" s="281"/>
      <c r="E1322" s="282">
        <v>124</v>
      </c>
      <c r="F1322" s="1150"/>
      <c r="G1322" s="1152" t="s">
        <v>9</v>
      </c>
    </row>
    <row r="1323" spans="1:7">
      <c r="A1323" s="767"/>
      <c r="B1323" s="1121"/>
      <c r="C1323" s="802" t="s">
        <v>17075</v>
      </c>
      <c r="D1323" s="754"/>
      <c r="E1323" s="755"/>
      <c r="F1323" s="1122">
        <f>SUM(E1289:E1299)-D1298</f>
        <v>1333.02</v>
      </c>
    </row>
    <row r="1324" spans="1:7">
      <c r="A1324" s="769">
        <v>42614</v>
      </c>
      <c r="B1324" s="240" t="str">
        <f>TiposLancamentos!B15</f>
        <v>Cartões de Crédito</v>
      </c>
      <c r="C1324" s="878" t="s">
        <v>1874</v>
      </c>
      <c r="D1324" s="63">
        <v>1333.02</v>
      </c>
      <c r="E1324" s="231"/>
      <c r="F1324" s="1123">
        <f>F1294-F1323</f>
        <v>-328.51</v>
      </c>
    </row>
    <row r="1325" spans="1:7">
      <c r="A1325" s="1151">
        <v>42614</v>
      </c>
      <c r="B1325" s="279" t="str">
        <f>TiposLancamentos!B19</f>
        <v>Restaurantes</v>
      </c>
      <c r="C1325" s="280" t="s">
        <v>11101</v>
      </c>
      <c r="D1325" s="281"/>
      <c r="E1325" s="282">
        <v>79.2</v>
      </c>
      <c r="F1325" s="1150"/>
      <c r="G1325" s="1152" t="s">
        <v>9</v>
      </c>
    </row>
    <row r="1326" spans="1:7">
      <c r="A1326" s="769">
        <v>42619</v>
      </c>
      <c r="B1326" s="240" t="str">
        <f>TiposLancamentos!B4</f>
        <v>Taxas Bancarias</v>
      </c>
      <c r="C1326" s="878" t="s">
        <v>16748</v>
      </c>
      <c r="D1326" s="63"/>
      <c r="E1326" s="231">
        <v>6.34</v>
      </c>
      <c r="F1326" s="1123"/>
      <c r="G1326" s="1152" t="s">
        <v>9</v>
      </c>
    </row>
    <row r="1327" spans="1:7">
      <c r="A1327" s="769">
        <v>42624</v>
      </c>
      <c r="B1327" s="240" t="str">
        <f>TiposLancamentos!B71</f>
        <v>Itens Pessoais</v>
      </c>
      <c r="C1327" s="878" t="s">
        <v>17076</v>
      </c>
      <c r="D1327" s="63"/>
      <c r="E1327" s="231">
        <f>F1327/10</f>
        <v>319.89999999999998</v>
      </c>
      <c r="F1327" s="1123">
        <v>3199</v>
      </c>
      <c r="G1327" s="1152" t="s">
        <v>9</v>
      </c>
    </row>
    <row r="1328" spans="1:7">
      <c r="A1328" s="1151">
        <v>42628</v>
      </c>
      <c r="B1328" s="279" t="str">
        <f>TiposLancamentos!B34</f>
        <v>Seguros</v>
      </c>
      <c r="C1328" s="280" t="s">
        <v>17077</v>
      </c>
      <c r="D1328" s="281"/>
      <c r="E1328" s="282">
        <v>506.36</v>
      </c>
      <c r="F1328" s="1198">
        <v>2025.38</v>
      </c>
      <c r="G1328" s="1152" t="s">
        <v>9</v>
      </c>
    </row>
    <row r="1329" spans="1:7">
      <c r="A1329" s="759"/>
      <c r="B1329" s="243"/>
      <c r="C1329" s="389" t="s">
        <v>10</v>
      </c>
      <c r="D1329" s="146"/>
      <c r="E1329" s="146"/>
      <c r="F1329" s="1138"/>
      <c r="G1329" s="1094" t="s">
        <v>11</v>
      </c>
    </row>
    <row r="1330" spans="1:7" ht="14.25" customHeight="1">
      <c r="A1330" s="806">
        <v>42632</v>
      </c>
      <c r="B1330" s="822" t="str">
        <f>TiposLancamentos!B48</f>
        <v>Baralhos e Oráculos</v>
      </c>
      <c r="C1330" s="808" t="s">
        <v>17078</v>
      </c>
      <c r="D1330" s="747"/>
      <c r="E1330" s="1139">
        <v>88.02</v>
      </c>
      <c r="F1330" s="1122"/>
      <c r="G1330" s="1152" t="s">
        <v>9</v>
      </c>
    </row>
    <row r="1331" spans="1:7">
      <c r="A1331" s="773">
        <v>42632</v>
      </c>
      <c r="B1331" s="275" t="str">
        <f>TiposLancamentos!B26</f>
        <v>LIVROS</v>
      </c>
      <c r="C1331" s="141" t="s">
        <v>17079</v>
      </c>
      <c r="D1331" s="51"/>
      <c r="E1331" s="1147">
        <f>F1332-(E1330+E1332)</f>
        <v>57.759999999999991</v>
      </c>
      <c r="F1331" s="1123"/>
      <c r="G1331" s="1152" t="s">
        <v>9</v>
      </c>
    </row>
    <row r="1332" spans="1:7">
      <c r="A1332" s="810">
        <v>42632</v>
      </c>
      <c r="B1332" s="823" t="str">
        <f>TiposLancamentos!B28</f>
        <v>ComicBook</v>
      </c>
      <c r="C1332" s="812" t="s">
        <v>17080</v>
      </c>
      <c r="D1332" s="849"/>
      <c r="E1332" s="1141">
        <v>45.14</v>
      </c>
      <c r="F1332" s="1125">
        <v>190.92</v>
      </c>
      <c r="G1332" s="1152" t="s">
        <v>9</v>
      </c>
    </row>
    <row r="1333" spans="1:7">
      <c r="A1333" s="769">
        <v>42632</v>
      </c>
      <c r="B1333" s="240" t="str">
        <f>TiposLancamentos!B56</f>
        <v>Farmácia</v>
      </c>
      <c r="C1333" s="878" t="s">
        <v>17081</v>
      </c>
      <c r="D1333" s="63"/>
      <c r="E1333" s="231">
        <v>56.96</v>
      </c>
      <c r="F1333" s="1123"/>
      <c r="G1333" s="1152" t="s">
        <v>9</v>
      </c>
    </row>
    <row r="1334" spans="1:7">
      <c r="A1334" s="769">
        <v>42633</v>
      </c>
      <c r="B1334" s="240" t="str">
        <f>TiposLancamentos!B19</f>
        <v>Restaurantes</v>
      </c>
      <c r="C1334" s="878" t="s">
        <v>17082</v>
      </c>
      <c r="D1334" s="63"/>
      <c r="E1334" s="231">
        <v>40.869999999999997</v>
      </c>
      <c r="F1334" s="1123"/>
      <c r="G1334" s="1152" t="s">
        <v>9</v>
      </c>
    </row>
    <row r="1335" spans="1:7">
      <c r="A1335" s="1151">
        <v>42635</v>
      </c>
      <c r="B1335" s="279" t="str">
        <f>TiposLancamentos!B34</f>
        <v>Seguros</v>
      </c>
      <c r="C1335" s="280" t="s">
        <v>17083</v>
      </c>
      <c r="D1335" s="281"/>
      <c r="E1335" s="282">
        <f>F1335/4</f>
        <v>323.58999999999997</v>
      </c>
      <c r="F1335" s="1150">
        <v>1294.3599999999999</v>
      </c>
      <c r="G1335" s="1152" t="s">
        <v>9</v>
      </c>
    </row>
    <row r="1336" spans="1:7">
      <c r="A1336" s="769">
        <v>42636</v>
      </c>
      <c r="B1336" s="240" t="str">
        <f>TiposLancamentos!B16</f>
        <v>Cristiane</v>
      </c>
      <c r="C1336" s="878" t="s">
        <v>17084</v>
      </c>
      <c r="D1336" s="63"/>
      <c r="E1336" s="231">
        <v>630</v>
      </c>
      <c r="F1336" s="1123"/>
      <c r="G1336" s="1152" t="s">
        <v>9</v>
      </c>
    </row>
    <row r="1337" spans="1:7">
      <c r="A1337" s="769">
        <v>42636</v>
      </c>
      <c r="B1337" s="240" t="str">
        <f>TiposLancamentos!B19</f>
        <v>Restaurantes</v>
      </c>
      <c r="C1337" s="878" t="s">
        <v>6981</v>
      </c>
      <c r="D1337" s="63"/>
      <c r="E1337" s="231">
        <v>67.31</v>
      </c>
      <c r="F1337" s="1123"/>
      <c r="G1337" s="1152" t="s">
        <v>9</v>
      </c>
    </row>
    <row r="1338" spans="1:7">
      <c r="A1338" s="769">
        <v>42638</v>
      </c>
      <c r="B1338" s="240" t="str">
        <f>TiposLancamentos!B102</f>
        <v>ESTORNO</v>
      </c>
      <c r="C1338" s="878" t="s">
        <v>17085</v>
      </c>
      <c r="D1338" s="63">
        <v>0.04</v>
      </c>
      <c r="E1338" s="231"/>
      <c r="F1338" s="1123"/>
      <c r="G1338" s="1152" t="s">
        <v>9</v>
      </c>
    </row>
    <row r="1339" spans="1:7">
      <c r="A1339" s="769">
        <v>42638</v>
      </c>
      <c r="B1339" s="240" t="str">
        <f>TiposLancamentos!B17</f>
        <v>GATO</v>
      </c>
      <c r="C1339" s="878" t="s">
        <v>17086</v>
      </c>
      <c r="D1339" s="63"/>
      <c r="E1339" s="231">
        <v>526.67999999999995</v>
      </c>
      <c r="F1339" s="1123">
        <v>1580</v>
      </c>
      <c r="G1339" s="1152" t="s">
        <v>9</v>
      </c>
    </row>
    <row r="1340" spans="1:7">
      <c r="A1340" s="767"/>
      <c r="B1340" s="1121"/>
      <c r="C1340" s="802" t="s">
        <v>7310</v>
      </c>
      <c r="D1340" s="754"/>
      <c r="E1340" s="755"/>
      <c r="F1340" s="1122">
        <f>SUM(E1301:E1328)-D1301</f>
        <v>3771.0200000000009</v>
      </c>
      <c r="G1340" s="1152" t="s">
        <v>9</v>
      </c>
    </row>
    <row r="1341" spans="1:7">
      <c r="A1341" s="769">
        <v>42646</v>
      </c>
      <c r="B1341" s="240" t="str">
        <f>TiposLancamentos!B15</f>
        <v>Cartões de Crédito</v>
      </c>
      <c r="C1341" s="878" t="s">
        <v>1874</v>
      </c>
      <c r="D1341" s="63">
        <v>3771.02</v>
      </c>
      <c r="E1341" s="231"/>
      <c r="F1341" s="1123">
        <f>F1340-F1323</f>
        <v>2438.0000000000009</v>
      </c>
      <c r="G1341" s="1152" t="s">
        <v>9</v>
      </c>
    </row>
    <row r="1342" spans="1:7">
      <c r="A1342" s="769">
        <v>42654</v>
      </c>
      <c r="B1342" s="240" t="str">
        <f>TiposLancamentos!B71</f>
        <v>Itens Pessoais</v>
      </c>
      <c r="C1342" s="878" t="s">
        <v>17087</v>
      </c>
      <c r="D1342" s="63"/>
      <c r="E1342" s="231">
        <f>F1342/10</f>
        <v>319.89999999999998</v>
      </c>
      <c r="F1342" s="1123">
        <v>3199</v>
      </c>
      <c r="G1342" s="1152" t="s">
        <v>9</v>
      </c>
    </row>
    <row r="1343" spans="1:7">
      <c r="A1343" s="1151">
        <v>42658</v>
      </c>
      <c r="B1343" s="279" t="str">
        <f>TiposLancamentos!B34</f>
        <v>Seguros</v>
      </c>
      <c r="C1343" s="280" t="s">
        <v>17088</v>
      </c>
      <c r="D1343" s="281"/>
      <c r="E1343" s="282">
        <v>506.36</v>
      </c>
      <c r="F1343" s="1198">
        <v>2025.38</v>
      </c>
      <c r="G1343" s="1152" t="s">
        <v>9</v>
      </c>
    </row>
    <row r="1344" spans="1:7">
      <c r="A1344" s="759"/>
      <c r="B1344" s="243"/>
      <c r="C1344" s="389" t="s">
        <v>10</v>
      </c>
      <c r="D1344" s="146"/>
      <c r="E1344" s="146"/>
      <c r="F1344" s="1138"/>
      <c r="G1344" s="1094" t="s">
        <v>11</v>
      </c>
    </row>
    <row r="1345" spans="1:7">
      <c r="A1345" s="1151">
        <v>42665</v>
      </c>
      <c r="B1345" s="279" t="str">
        <f>TiposLancamentos!B34</f>
        <v>Seguros</v>
      </c>
      <c r="C1345" s="280" t="s">
        <v>17089</v>
      </c>
      <c r="D1345" s="281"/>
      <c r="E1345" s="282">
        <f>F1345/4</f>
        <v>323.58999999999997</v>
      </c>
      <c r="F1345" s="1198">
        <v>1294.3599999999999</v>
      </c>
      <c r="G1345" s="1152" t="s">
        <v>9</v>
      </c>
    </row>
    <row r="1346" spans="1:7">
      <c r="A1346" s="769">
        <v>42668</v>
      </c>
      <c r="B1346" s="240" t="str">
        <f>TiposLancamentos!B17</f>
        <v>GATO</v>
      </c>
      <c r="C1346" s="878" t="s">
        <v>17090</v>
      </c>
      <c r="D1346" s="63"/>
      <c r="E1346" s="231">
        <v>526.67999999999995</v>
      </c>
      <c r="F1346" s="1123">
        <v>1580</v>
      </c>
      <c r="G1346" s="1152" t="s">
        <v>9</v>
      </c>
    </row>
    <row r="1347" spans="1:7">
      <c r="A1347" s="769">
        <v>42674</v>
      </c>
      <c r="B1347" s="240" t="str">
        <f>TiposLancamentos!B16</f>
        <v>Cristiane</v>
      </c>
      <c r="C1347" s="878" t="s">
        <v>17091</v>
      </c>
      <c r="D1347" s="63"/>
      <c r="E1347" s="231">
        <v>92.85</v>
      </c>
      <c r="F1347" s="1123"/>
      <c r="G1347" s="1152" t="s">
        <v>9</v>
      </c>
    </row>
    <row r="1348" spans="1:7">
      <c r="A1348" s="769">
        <v>42674</v>
      </c>
      <c r="B1348" s="240" t="str">
        <f>TiposLancamentos!B16</f>
        <v>Cristiane</v>
      </c>
      <c r="C1348" s="878" t="s">
        <v>17092</v>
      </c>
      <c r="D1348" s="63"/>
      <c r="E1348" s="231">
        <v>105.62</v>
      </c>
      <c r="F1348" s="1123"/>
      <c r="G1348" s="1152" t="s">
        <v>9</v>
      </c>
    </row>
    <row r="1349" spans="1:7">
      <c r="A1349" s="767"/>
      <c r="B1349" s="1121"/>
      <c r="C1349" s="802" t="s">
        <v>17093</v>
      </c>
      <c r="D1349" s="754"/>
      <c r="E1349" s="755"/>
      <c r="F1349" s="1122">
        <f>SUM(E1330:E1343)-D1338</f>
        <v>2662.55</v>
      </c>
    </row>
    <row r="1350" spans="1:7">
      <c r="A1350" s="769">
        <v>42675</v>
      </c>
      <c r="B1350" s="240" t="str">
        <f>TiposLancamentos!B15</f>
        <v>Cartões de Crédito</v>
      </c>
      <c r="C1350" s="878" t="s">
        <v>1874</v>
      </c>
      <c r="D1350" s="63">
        <v>2662.55</v>
      </c>
      <c r="E1350" s="231"/>
      <c r="F1350" s="1123">
        <f>F1349-F1340</f>
        <v>-1108.4700000000007</v>
      </c>
      <c r="G1350" s="1152" t="s">
        <v>9</v>
      </c>
    </row>
    <row r="1351" spans="1:7">
      <c r="A1351" s="769">
        <v>42683</v>
      </c>
      <c r="B1351" s="240" t="str">
        <f>TiposLancamentos!B65</f>
        <v>Taxi</v>
      </c>
      <c r="C1351" s="878" t="s">
        <v>10959</v>
      </c>
      <c r="D1351" s="63"/>
      <c r="E1351" s="231">
        <v>21.83</v>
      </c>
      <c r="F1351" s="1123"/>
      <c r="G1351" s="1152" t="s">
        <v>9</v>
      </c>
    </row>
    <row r="1352" spans="1:7">
      <c r="A1352" s="769">
        <v>42684</v>
      </c>
      <c r="B1352" s="240" t="str">
        <f>TiposLancamentos!B65</f>
        <v>Taxi</v>
      </c>
      <c r="C1352" s="878" t="s">
        <v>10959</v>
      </c>
      <c r="D1352" s="63"/>
      <c r="E1352" s="231">
        <v>7</v>
      </c>
      <c r="F1352" s="1123"/>
      <c r="G1352" s="1152" t="s">
        <v>9</v>
      </c>
    </row>
    <row r="1353" spans="1:7">
      <c r="A1353" s="769">
        <v>42685</v>
      </c>
      <c r="B1353" s="240" t="str">
        <f>TiposLancamentos!B71</f>
        <v>Itens Pessoais</v>
      </c>
      <c r="C1353" s="878" t="s">
        <v>17094</v>
      </c>
      <c r="D1353" s="63"/>
      <c r="E1353" s="231">
        <f>F1353/10</f>
        <v>319.89999999999998</v>
      </c>
      <c r="F1353" s="1123">
        <v>3199</v>
      </c>
      <c r="G1353" s="1152" t="s">
        <v>9</v>
      </c>
    </row>
    <row r="1354" spans="1:7">
      <c r="A1354" s="759"/>
      <c r="B1354" s="243"/>
      <c r="C1354" s="389" t="s">
        <v>10</v>
      </c>
      <c r="D1354" s="146"/>
      <c r="E1354" s="146"/>
      <c r="F1354" s="1138"/>
      <c r="G1354" s="1094" t="s">
        <v>11</v>
      </c>
    </row>
    <row r="1355" spans="1:7">
      <c r="A1355" s="769">
        <v>42694</v>
      </c>
      <c r="B1355" s="240" t="str">
        <f>TiposLancamentos!B64</f>
        <v>Viagens</v>
      </c>
      <c r="C1355" s="878" t="s">
        <v>17095</v>
      </c>
      <c r="D1355" s="63"/>
      <c r="E1355" s="231">
        <v>638.57000000000005</v>
      </c>
      <c r="F1355" s="1123">
        <v>6385.34</v>
      </c>
      <c r="G1355" s="1152" t="s">
        <v>9</v>
      </c>
    </row>
    <row r="1356" spans="1:7">
      <c r="A1356" s="769">
        <v>42695</v>
      </c>
      <c r="B1356" s="240" t="str">
        <f>TiposLancamentos!B48</f>
        <v>Baralhos e Oráculos</v>
      </c>
      <c r="C1356" s="878" t="s">
        <v>17096</v>
      </c>
      <c r="D1356" s="63"/>
      <c r="E1356" s="231">
        <v>204.1</v>
      </c>
      <c r="F1356" s="1123"/>
      <c r="G1356" s="1152" t="s">
        <v>9</v>
      </c>
    </row>
    <row r="1357" spans="1:7">
      <c r="A1357" s="769">
        <v>42696</v>
      </c>
      <c r="B1357" s="240" t="str">
        <f>TiposLancamentos!B34</f>
        <v>Seguros</v>
      </c>
      <c r="C1357" s="878" t="s">
        <v>17097</v>
      </c>
      <c r="D1357" s="63"/>
      <c r="E1357" s="231">
        <f>F1357/4</f>
        <v>323.58999999999997</v>
      </c>
      <c r="F1357" s="1123">
        <v>1294.3599999999999</v>
      </c>
      <c r="G1357" s="1094" t="s">
        <v>11</v>
      </c>
    </row>
    <row r="1358" spans="1:7">
      <c r="A1358" s="769">
        <v>42702</v>
      </c>
      <c r="B1358" s="240" t="str">
        <f>TiposLancamentos!B64</f>
        <v>Viagens</v>
      </c>
      <c r="C1358" s="878" t="s">
        <v>17098</v>
      </c>
      <c r="D1358" s="63"/>
      <c r="E1358" s="231">
        <f>F1358/3</f>
        <v>47.77</v>
      </c>
      <c r="F1358" s="1123">
        <v>143.31</v>
      </c>
      <c r="G1358" s="1152" t="s">
        <v>9</v>
      </c>
    </row>
    <row r="1359" spans="1:7">
      <c r="A1359" s="769">
        <v>42702</v>
      </c>
      <c r="B1359" s="240" t="str">
        <f>TiposLancamentos!B64</f>
        <v>Viagens</v>
      </c>
      <c r="C1359" s="878" t="s">
        <v>17099</v>
      </c>
      <c r="D1359" s="63"/>
      <c r="E1359" s="231">
        <f>F1359/3</f>
        <v>47.77</v>
      </c>
      <c r="F1359" s="1123">
        <v>143.31</v>
      </c>
      <c r="G1359" s="1152" t="s">
        <v>9</v>
      </c>
    </row>
    <row r="1360" spans="1:7">
      <c r="A1360" s="767"/>
      <c r="B1360" s="1121"/>
      <c r="C1360" s="802" t="s">
        <v>10912</v>
      </c>
      <c r="D1360" s="754"/>
      <c r="E1360" s="755"/>
      <c r="F1360" s="1122">
        <f>SUM(E1345:E1353)</f>
        <v>1397.4699999999998</v>
      </c>
    </row>
    <row r="1361" spans="1:7">
      <c r="A1361" s="769">
        <v>42705</v>
      </c>
      <c r="B1361" s="240" t="str">
        <f>TiposLancamentos!B15</f>
        <v>Cartões de Crédito</v>
      </c>
      <c r="C1361" s="878" t="s">
        <v>1874</v>
      </c>
      <c r="D1361" s="63">
        <v>1397.47</v>
      </c>
      <c r="E1361" s="231"/>
      <c r="F1361" s="1123">
        <f>F1360-F1349</f>
        <v>-1265.0800000000004</v>
      </c>
      <c r="G1361" s="1152" t="s">
        <v>9</v>
      </c>
    </row>
    <row r="1362" spans="1:7">
      <c r="A1362" s="769">
        <v>42715</v>
      </c>
      <c r="B1362" s="240" t="str">
        <f>TiposLancamentos!B71</f>
        <v>Itens Pessoais</v>
      </c>
      <c r="C1362" s="878" t="s">
        <v>17100</v>
      </c>
      <c r="D1362" s="63"/>
      <c r="E1362" s="231">
        <f>F1362/10</f>
        <v>319.89999999999998</v>
      </c>
      <c r="F1362" s="1123">
        <v>3199</v>
      </c>
      <c r="G1362" s="1152" t="s">
        <v>9</v>
      </c>
    </row>
    <row r="1363" spans="1:7">
      <c r="A1363" s="759"/>
      <c r="B1363" s="243"/>
      <c r="C1363" s="389" t="s">
        <v>10</v>
      </c>
      <c r="D1363" s="146"/>
      <c r="E1363" s="146"/>
      <c r="F1363" s="1138"/>
      <c r="G1363" s="1094" t="s">
        <v>11</v>
      </c>
    </row>
    <row r="1364" spans="1:7">
      <c r="A1364" s="769">
        <v>42724</v>
      </c>
      <c r="B1364" s="240" t="str">
        <f>TiposLancamentos!B64</f>
        <v>Viagens</v>
      </c>
      <c r="C1364" s="878" t="s">
        <v>17101</v>
      </c>
      <c r="D1364" s="63"/>
      <c r="E1364" s="231">
        <v>638.57000000000005</v>
      </c>
      <c r="F1364" s="1123">
        <v>6385.34</v>
      </c>
      <c r="G1364" s="1152" t="s">
        <v>9</v>
      </c>
    </row>
    <row r="1365" spans="1:7">
      <c r="A1365" s="769">
        <v>43089</v>
      </c>
      <c r="B1365" s="240" t="str">
        <f>TiposLancamentos!B102</f>
        <v>ESTORNO</v>
      </c>
      <c r="C1365" s="878" t="s">
        <v>17102</v>
      </c>
      <c r="D1365" s="63">
        <v>0.36</v>
      </c>
      <c r="E1365" s="231"/>
      <c r="F1365" s="1123"/>
      <c r="G1365" s="1152" t="s">
        <v>9</v>
      </c>
    </row>
    <row r="1366" spans="1:7">
      <c r="A1366" s="769">
        <v>42726</v>
      </c>
      <c r="B1366" s="240" t="str">
        <f>TiposLancamentos!B34</f>
        <v>Seguros</v>
      </c>
      <c r="C1366" s="878" t="s">
        <v>17103</v>
      </c>
      <c r="D1366" s="63"/>
      <c r="E1366" s="231">
        <f>F1366/4</f>
        <v>323.58999999999997</v>
      </c>
      <c r="F1366" s="1123">
        <v>1294.3599999999999</v>
      </c>
    </row>
    <row r="1367" spans="1:7">
      <c r="A1367" s="769">
        <v>42732</v>
      </c>
      <c r="B1367" s="240" t="str">
        <f>TiposLancamentos!B64</f>
        <v>Viagens</v>
      </c>
      <c r="C1367" s="878" t="s">
        <v>17104</v>
      </c>
      <c r="D1367" s="63"/>
      <c r="E1367" s="231">
        <f>F1367/3</f>
        <v>47.77</v>
      </c>
      <c r="F1367" s="1123">
        <v>143.31</v>
      </c>
      <c r="G1367" s="1152" t="s">
        <v>9</v>
      </c>
    </row>
    <row r="1368" spans="1:7">
      <c r="A1368" s="769">
        <v>42733</v>
      </c>
      <c r="B1368" s="240" t="str">
        <f>TiposLancamentos!B102</f>
        <v>ESTORNO</v>
      </c>
      <c r="C1368" s="878" t="s">
        <v>17041</v>
      </c>
      <c r="D1368" s="63">
        <v>56.25</v>
      </c>
      <c r="E1368" s="231"/>
      <c r="F1368" s="1123"/>
      <c r="G1368" s="1152" t="s">
        <v>9</v>
      </c>
    </row>
    <row r="1369" spans="1:7">
      <c r="A1369" s="769">
        <v>42732</v>
      </c>
      <c r="B1369" s="240" t="str">
        <f>TiposLancamentos!B64</f>
        <v>Viagens</v>
      </c>
      <c r="C1369" s="878" t="s">
        <v>17105</v>
      </c>
      <c r="D1369" s="63"/>
      <c r="E1369" s="231">
        <f>F1369/3</f>
        <v>47.77</v>
      </c>
      <c r="F1369" s="1123">
        <v>143.31</v>
      </c>
      <c r="G1369" s="1152" t="s">
        <v>9</v>
      </c>
    </row>
    <row r="1370" spans="1:7">
      <c r="A1370" s="767"/>
      <c r="B1370" s="1121"/>
      <c r="C1370" s="802" t="s">
        <v>13737</v>
      </c>
      <c r="D1370" s="754"/>
      <c r="E1370" s="755"/>
      <c r="F1370" s="1122">
        <f>SUM(E1355:E1362)</f>
        <v>1581.6999999999998</v>
      </c>
    </row>
    <row r="1371" spans="1:7">
      <c r="A1371" s="769">
        <v>42737</v>
      </c>
      <c r="B1371" s="240" t="str">
        <f>TiposLancamentos!B15</f>
        <v>Cartões de Crédito</v>
      </c>
      <c r="C1371" s="878" t="s">
        <v>1874</v>
      </c>
      <c r="D1371" s="63">
        <v>1581.7</v>
      </c>
      <c r="E1371" s="231"/>
      <c r="F1371" s="1123">
        <f>F1370-F1360</f>
        <v>184.23000000000002</v>
      </c>
      <c r="G1371" s="1152" t="s">
        <v>9</v>
      </c>
    </row>
    <row r="1372" spans="1:7">
      <c r="A1372" s="769">
        <v>42746</v>
      </c>
      <c r="B1372" s="240" t="str">
        <f>TiposLancamentos!B71</f>
        <v>Itens Pessoais</v>
      </c>
      <c r="C1372" s="878" t="s">
        <v>17106</v>
      </c>
      <c r="D1372" s="63"/>
      <c r="E1372" s="231">
        <f>F1372/10</f>
        <v>319.89999999999998</v>
      </c>
      <c r="F1372" s="1123">
        <v>3199</v>
      </c>
      <c r="G1372" s="1152" t="s">
        <v>9</v>
      </c>
    </row>
    <row r="1373" spans="1:7">
      <c r="A1373" s="759"/>
      <c r="B1373" s="243"/>
      <c r="C1373" s="389" t="s">
        <v>10</v>
      </c>
      <c r="D1373" s="146"/>
      <c r="E1373" s="146"/>
      <c r="F1373" s="1138"/>
      <c r="G1373" s="1094" t="s">
        <v>11</v>
      </c>
    </row>
    <row r="1374" spans="1:7">
      <c r="A1374" s="769">
        <v>42755</v>
      </c>
      <c r="B1374" s="240" t="str">
        <f>TiposLancamentos!B64</f>
        <v>Viagens</v>
      </c>
      <c r="C1374" s="878" t="s">
        <v>17107</v>
      </c>
      <c r="D1374" s="63"/>
      <c r="E1374" s="231">
        <v>638.57000000000005</v>
      </c>
      <c r="F1374" s="1123">
        <v>6385.34</v>
      </c>
      <c r="G1374" s="1152" t="s">
        <v>9</v>
      </c>
    </row>
    <row r="1375" spans="1:7">
      <c r="A1375" s="769">
        <v>42763</v>
      </c>
      <c r="B1375" s="240" t="str">
        <f>TiposLancamentos!B64</f>
        <v>Viagens</v>
      </c>
      <c r="C1375" s="878" t="s">
        <v>17108</v>
      </c>
      <c r="D1375" s="63"/>
      <c r="E1375" s="231">
        <f>F1375/3</f>
        <v>47.77</v>
      </c>
      <c r="F1375" s="1123">
        <v>143.31</v>
      </c>
      <c r="G1375" s="1152" t="s">
        <v>9</v>
      </c>
    </row>
    <row r="1376" spans="1:7">
      <c r="A1376" s="769">
        <v>42763</v>
      </c>
      <c r="B1376" s="240" t="str">
        <f>TiposLancamentos!B64</f>
        <v>Viagens</v>
      </c>
      <c r="C1376" s="878" t="s">
        <v>17109</v>
      </c>
      <c r="D1376" s="63"/>
      <c r="E1376" s="231">
        <f>F1376/3</f>
        <v>47.77</v>
      </c>
      <c r="F1376" s="1123">
        <v>143.31</v>
      </c>
      <c r="G1376" s="1152" t="s">
        <v>9</v>
      </c>
    </row>
    <row r="1377" spans="1:7">
      <c r="A1377" s="767"/>
      <c r="B1377" s="1121"/>
      <c r="C1377" s="802" t="s">
        <v>10968</v>
      </c>
      <c r="D1377" s="754"/>
      <c r="E1377" s="755"/>
      <c r="F1377" s="1122">
        <f>SUM(E1364:E1372)-D1365-D1368</f>
        <v>1320.99</v>
      </c>
    </row>
    <row r="1378" spans="1:7">
      <c r="A1378" s="769">
        <v>42767</v>
      </c>
      <c r="B1378" s="240" t="str">
        <f>TiposLancamentos!B15</f>
        <v>Cartões de Crédito</v>
      </c>
      <c r="C1378" s="878" t="s">
        <v>1874</v>
      </c>
      <c r="D1378" s="63">
        <v>1320.99</v>
      </c>
      <c r="E1378" s="231"/>
      <c r="F1378" s="1123">
        <f>F1377-F1370</f>
        <v>-260.70999999999981</v>
      </c>
      <c r="G1378" s="877"/>
    </row>
    <row r="1379" spans="1:7">
      <c r="A1379" s="769">
        <v>42777</v>
      </c>
      <c r="B1379" s="240" t="str">
        <f>TiposLancamentos!B71</f>
        <v>Itens Pessoais</v>
      </c>
      <c r="C1379" s="878" t="s">
        <v>17110</v>
      </c>
      <c r="D1379" s="63"/>
      <c r="E1379" s="231">
        <f>F1379/10</f>
        <v>319.89999999999998</v>
      </c>
      <c r="F1379" s="1123">
        <v>3199</v>
      </c>
      <c r="G1379" s="1152" t="s">
        <v>9</v>
      </c>
    </row>
    <row r="1380" spans="1:7">
      <c r="A1380" s="759"/>
      <c r="B1380" s="243"/>
      <c r="C1380" s="389" t="s">
        <v>10</v>
      </c>
      <c r="D1380" s="146"/>
      <c r="E1380" s="146"/>
      <c r="F1380" s="1138"/>
      <c r="G1380" s="1094" t="s">
        <v>11</v>
      </c>
    </row>
    <row r="1381" spans="1:7">
      <c r="A1381" s="767">
        <v>42786</v>
      </c>
      <c r="B1381" s="1121" t="str">
        <f>TiposLancamentos!B64</f>
        <v>Viagens</v>
      </c>
      <c r="C1381" s="802" t="s">
        <v>17111</v>
      </c>
      <c r="D1381" s="754"/>
      <c r="E1381" s="755">
        <f>F1381/10</f>
        <v>638.53399999999999</v>
      </c>
      <c r="F1381" s="1122">
        <v>6385.34</v>
      </c>
    </row>
    <row r="1382" spans="1:7">
      <c r="A1382" s="767"/>
      <c r="B1382" s="1121"/>
      <c r="C1382" s="802" t="s">
        <v>17112</v>
      </c>
      <c r="D1382" s="754"/>
      <c r="E1382" s="755"/>
      <c r="F1382" s="1122">
        <f>SUM(E1374:E1379)</f>
        <v>1054.01</v>
      </c>
    </row>
    <row r="1383" spans="1:7">
      <c r="A1383" s="769">
        <v>42795</v>
      </c>
      <c r="B1383" s="240" t="str">
        <f>TiposLancamentos!B15</f>
        <v>Cartões de Crédito</v>
      </c>
      <c r="C1383" s="878" t="s">
        <v>1874</v>
      </c>
      <c r="D1383" s="63">
        <v>1054.01</v>
      </c>
      <c r="E1383" s="231"/>
      <c r="F1383" s="1123">
        <f>F1382-F1377</f>
        <v>-266.98</v>
      </c>
    </row>
    <row r="1384" spans="1:7">
      <c r="A1384" s="769">
        <v>42805</v>
      </c>
      <c r="B1384" s="240" t="str">
        <f>TiposLancamentos!B71</f>
        <v>Itens Pessoais</v>
      </c>
      <c r="C1384" s="878" t="s">
        <v>17113</v>
      </c>
      <c r="D1384" s="63"/>
      <c r="E1384" s="231">
        <f>F1384/10</f>
        <v>319.89999999999998</v>
      </c>
      <c r="F1384" s="1123">
        <v>3199</v>
      </c>
    </row>
    <row r="1385" spans="1:7">
      <c r="A1385" s="759"/>
      <c r="B1385" s="243"/>
      <c r="C1385" s="389" t="s">
        <v>10</v>
      </c>
      <c r="D1385" s="146"/>
      <c r="E1385" s="146"/>
      <c r="F1385" s="1138"/>
    </row>
    <row r="1386" spans="1:7">
      <c r="A1386" s="770">
        <v>42814</v>
      </c>
      <c r="B1386" s="1124" t="str">
        <f>TiposLancamentos!B64</f>
        <v>Viagens</v>
      </c>
      <c r="C1386" s="1179" t="s">
        <v>17114</v>
      </c>
      <c r="D1386" s="764"/>
      <c r="E1386" s="765">
        <f>F1386/10</f>
        <v>638.53399999999999</v>
      </c>
      <c r="F1386" s="1125">
        <v>6385.34</v>
      </c>
    </row>
    <row r="1387" spans="1:7">
      <c r="A1387" s="769"/>
      <c r="B1387" s="240"/>
      <c r="C1387" s="878" t="s">
        <v>17115</v>
      </c>
      <c r="D1387" s="63"/>
      <c r="E1387" s="231"/>
      <c r="F1387" s="1123">
        <f>SUM(E1381:E1384)</f>
        <v>958.43399999999997</v>
      </c>
    </row>
    <row r="1388" spans="1:7">
      <c r="A1388" s="769">
        <v>42827</v>
      </c>
      <c r="B1388" s="240" t="str">
        <f>TiposLancamentos!B15</f>
        <v>Cartões de Crédito</v>
      </c>
      <c r="C1388" s="878" t="s">
        <v>10915</v>
      </c>
      <c r="D1388" s="63">
        <v>958.47</v>
      </c>
      <c r="E1388" s="231"/>
      <c r="F1388" s="1123">
        <f>F1387-F1382</f>
        <v>-95.576000000000022</v>
      </c>
    </row>
    <row r="1389" spans="1:7">
      <c r="A1389" s="769">
        <v>42836</v>
      </c>
      <c r="B1389" s="240" t="str">
        <f>TiposLancamentos!B71</f>
        <v>Itens Pessoais</v>
      </c>
      <c r="C1389" s="878" t="s">
        <v>17116</v>
      </c>
      <c r="D1389" s="63"/>
      <c r="E1389" s="231">
        <f>F1389/10</f>
        <v>319.89999999999998</v>
      </c>
      <c r="F1389" s="1123">
        <v>3199</v>
      </c>
    </row>
    <row r="1390" spans="1:7">
      <c r="A1390" s="759"/>
      <c r="B1390" s="243"/>
      <c r="C1390" s="389" t="s">
        <v>10</v>
      </c>
      <c r="D1390" s="146"/>
      <c r="E1390" s="146"/>
      <c r="F1390" s="1138"/>
    </row>
    <row r="1391" spans="1:7">
      <c r="A1391" s="769">
        <v>42845</v>
      </c>
      <c r="B1391" s="240" t="str">
        <f>TiposLancamentos!B64</f>
        <v>Viagens</v>
      </c>
      <c r="C1391" s="878" t="s">
        <v>17117</v>
      </c>
      <c r="D1391" s="63"/>
      <c r="E1391" s="231">
        <f>F1391/10</f>
        <v>638.53399999999999</v>
      </c>
      <c r="F1391" s="1123">
        <v>6385.34</v>
      </c>
    </row>
    <row r="1392" spans="1:7">
      <c r="A1392" s="770"/>
      <c r="B1392" s="1124"/>
      <c r="C1392" s="1179"/>
      <c r="D1392" s="764"/>
      <c r="E1392" s="765"/>
      <c r="F1392" s="1125"/>
    </row>
    <row r="1393" spans="1:6">
      <c r="A1393" s="769"/>
      <c r="B1393" s="240"/>
      <c r="C1393" s="878" t="s">
        <v>17118</v>
      </c>
      <c r="D1393" s="63"/>
      <c r="E1393" s="231"/>
      <c r="F1393" s="1123">
        <f>SUM(E1386:E1389)</f>
        <v>958.43399999999997</v>
      </c>
    </row>
    <row r="1394" spans="1:6">
      <c r="A1394" s="769">
        <v>42856</v>
      </c>
      <c r="B1394" s="240" t="str">
        <f>TiposLancamentos!B15</f>
        <v>Cartões de Crédito</v>
      </c>
      <c r="C1394" s="878" t="s">
        <v>1874</v>
      </c>
      <c r="D1394" s="63">
        <v>958.47</v>
      </c>
      <c r="E1394" s="231"/>
      <c r="F1394" s="1123"/>
    </row>
    <row r="1395" spans="1:6">
      <c r="A1395" s="769">
        <v>42866</v>
      </c>
      <c r="B1395" s="240" t="str">
        <f>TiposLancamentos!B71</f>
        <v>Itens Pessoais</v>
      </c>
      <c r="C1395" s="878" t="s">
        <v>17119</v>
      </c>
      <c r="D1395" s="63"/>
      <c r="E1395" s="231">
        <f>F1395/10</f>
        <v>319.89999999999998</v>
      </c>
      <c r="F1395" s="1123">
        <v>3199</v>
      </c>
    </row>
    <row r="1396" spans="1:6">
      <c r="A1396" s="759"/>
      <c r="B1396" s="243"/>
      <c r="C1396" s="389" t="s">
        <v>10</v>
      </c>
      <c r="D1396" s="146"/>
      <c r="E1396" s="146"/>
      <c r="F1396" s="1138"/>
    </row>
    <row r="1397" spans="1:6">
      <c r="A1397" s="769">
        <v>42875</v>
      </c>
      <c r="B1397" s="240" t="str">
        <f>TiposLancamentos!B64</f>
        <v>Viagens</v>
      </c>
      <c r="C1397" s="878" t="s">
        <v>17120</v>
      </c>
      <c r="D1397" s="63"/>
      <c r="E1397" s="231">
        <f>F1397/10</f>
        <v>638.53399999999999</v>
      </c>
      <c r="F1397" s="1123">
        <v>6385.34</v>
      </c>
    </row>
    <row r="1398" spans="1:6">
      <c r="A1398" s="769"/>
      <c r="B1398" s="240"/>
      <c r="C1398" s="878" t="s">
        <v>17121</v>
      </c>
      <c r="D1398" s="63"/>
      <c r="E1398" s="231"/>
      <c r="F1398" s="1123">
        <f>SUM(E1391:E1395)</f>
        <v>958.43399999999997</v>
      </c>
    </row>
    <row r="1399" spans="1:6">
      <c r="A1399" s="769">
        <v>42887</v>
      </c>
      <c r="B1399" s="240" t="str">
        <f>TiposLancamentos!B15</f>
        <v>Cartões de Crédito</v>
      </c>
      <c r="C1399" s="878" t="s">
        <v>1874</v>
      </c>
      <c r="D1399" s="63">
        <v>958.47</v>
      </c>
      <c r="E1399" s="231"/>
      <c r="F1399" s="1123"/>
    </row>
    <row r="1400" spans="1:6">
      <c r="A1400" s="759"/>
      <c r="B1400" s="243"/>
      <c r="C1400" s="389" t="s">
        <v>10</v>
      </c>
      <c r="D1400" s="146"/>
      <c r="E1400" s="146"/>
      <c r="F1400" s="1138"/>
    </row>
    <row r="1401" spans="1:6">
      <c r="A1401" s="769">
        <v>42906</v>
      </c>
      <c r="B1401" s="240" t="str">
        <f>TiposLancamentos!B64</f>
        <v>Viagens</v>
      </c>
      <c r="C1401" s="878" t="s">
        <v>17122</v>
      </c>
      <c r="D1401" s="63"/>
      <c r="E1401" s="231">
        <f>F1401/10</f>
        <v>638.53399999999999</v>
      </c>
      <c r="F1401" s="1123">
        <v>6385.34</v>
      </c>
    </row>
    <row r="1402" spans="1:6">
      <c r="A1402" s="769"/>
      <c r="B1402" s="240"/>
      <c r="C1402" s="878" t="s">
        <v>17123</v>
      </c>
      <c r="D1402" s="63"/>
      <c r="E1402" s="231"/>
      <c r="F1402" s="1123">
        <f>SUM(E1397:E1399)</f>
        <v>638.53399999999999</v>
      </c>
    </row>
    <row r="1403" spans="1:6">
      <c r="A1403" s="769">
        <v>42919</v>
      </c>
      <c r="B1403" s="240" t="str">
        <f>TiposLancamentos!B15</f>
        <v>Cartões de Crédito</v>
      </c>
      <c r="C1403" s="878" t="s">
        <v>1874</v>
      </c>
      <c r="D1403" s="63">
        <v>638.57000000000005</v>
      </c>
      <c r="E1403" s="231"/>
      <c r="F1403" s="1123"/>
    </row>
    <row r="1404" spans="1:6">
      <c r="A1404" s="759"/>
      <c r="B1404" s="243"/>
      <c r="C1404" s="389" t="s">
        <v>10</v>
      </c>
      <c r="D1404" s="146"/>
      <c r="E1404" s="146"/>
      <c r="F1404" s="1138"/>
    </row>
    <row r="1405" spans="1:6">
      <c r="A1405" s="769">
        <v>42936</v>
      </c>
      <c r="B1405" s="240" t="str">
        <f>TiposLancamentos!B64</f>
        <v>Viagens</v>
      </c>
      <c r="C1405" s="878" t="s">
        <v>17124</v>
      </c>
      <c r="D1405" s="63"/>
      <c r="E1405" s="231">
        <f>F1405/10</f>
        <v>638.53399999999999</v>
      </c>
      <c r="F1405" s="1123">
        <v>6385.34</v>
      </c>
    </row>
    <row r="1406" spans="1:6">
      <c r="A1406" s="769"/>
      <c r="B1406" s="240"/>
      <c r="C1406" s="878" t="s">
        <v>17125</v>
      </c>
      <c r="D1406" s="63"/>
      <c r="E1406" s="231"/>
      <c r="F1406" s="1123"/>
    </row>
    <row r="1407" spans="1:6">
      <c r="A1407" s="769">
        <v>42948</v>
      </c>
      <c r="B1407" s="240" t="str">
        <f>TiposLancamentos!B15</f>
        <v>Cartões de Crédito</v>
      </c>
      <c r="C1407" s="878" t="s">
        <v>1874</v>
      </c>
      <c r="D1407" s="63">
        <v>638.57000000000005</v>
      </c>
      <c r="E1407" s="231"/>
      <c r="F1407" s="1123"/>
    </row>
    <row r="1408" spans="1:6">
      <c r="A1408" s="759"/>
      <c r="B1408" s="243"/>
      <c r="C1408" s="389" t="s">
        <v>10</v>
      </c>
      <c r="D1408" s="146"/>
      <c r="E1408" s="146"/>
      <c r="F1408" s="1138"/>
    </row>
    <row r="1409" spans="1:7">
      <c r="A1409" s="769">
        <v>42967</v>
      </c>
      <c r="B1409" s="240" t="str">
        <f>TiposLancamentos!B64</f>
        <v>Viagens</v>
      </c>
      <c r="C1409" s="878" t="s">
        <v>17126</v>
      </c>
      <c r="D1409" s="63"/>
      <c r="E1409" s="231">
        <f>F1409/10</f>
        <v>638.53399999999999</v>
      </c>
      <c r="F1409" s="1123">
        <v>6385.34</v>
      </c>
    </row>
    <row r="1410" spans="1:7">
      <c r="A1410" s="767"/>
      <c r="B1410" s="1121"/>
      <c r="C1410" s="802" t="s">
        <v>17127</v>
      </c>
      <c r="D1410" s="754"/>
      <c r="E1410" s="755"/>
      <c r="F1410" s="1122">
        <f>SUM(E1405:E1407)</f>
        <v>638.53399999999999</v>
      </c>
    </row>
    <row r="1411" spans="1:7">
      <c r="A1411" s="769">
        <v>42979</v>
      </c>
      <c r="B1411" s="240" t="str">
        <f>TiposLancamentos!B15</f>
        <v>Cartões de Crédito</v>
      </c>
      <c r="C1411" s="878" t="s">
        <v>1874</v>
      </c>
      <c r="D1411" s="63">
        <v>638.57000000000005</v>
      </c>
      <c r="E1411" s="231"/>
      <c r="F1411" s="1123"/>
    </row>
    <row r="1412" spans="1:7">
      <c r="A1412" s="759"/>
      <c r="B1412" s="243"/>
      <c r="C1412" s="389" t="s">
        <v>10</v>
      </c>
      <c r="D1412" s="146"/>
      <c r="E1412" s="146"/>
      <c r="F1412" s="1138"/>
    </row>
    <row r="1413" spans="1:7">
      <c r="A1413" s="770"/>
      <c r="B1413" s="1124"/>
      <c r="C1413" s="1179"/>
      <c r="D1413" s="764"/>
      <c r="E1413" s="765"/>
      <c r="F1413" s="1125"/>
    </row>
    <row r="1414" spans="1:7">
      <c r="A1414" s="769"/>
      <c r="B1414" s="240"/>
      <c r="C1414" s="878" t="s">
        <v>11182</v>
      </c>
      <c r="D1414" s="63"/>
      <c r="E1414" s="231"/>
      <c r="F1414" s="1123">
        <f>SUM(E1409:E1411)</f>
        <v>638.53399999999999</v>
      </c>
    </row>
    <row r="1415" spans="1:7">
      <c r="A1415" s="769">
        <v>43009</v>
      </c>
      <c r="B1415" s="240" t="str">
        <f>TiposLancamentos!B15</f>
        <v>Cartões de Crédito</v>
      </c>
      <c r="C1415" s="878" t="s">
        <v>17128</v>
      </c>
      <c r="D1415" s="63">
        <v>638.57000000000005</v>
      </c>
      <c r="E1415" s="231"/>
      <c r="F1415" s="1123"/>
    </row>
    <row r="1416" spans="1:7">
      <c r="A1416" s="769">
        <v>43009</v>
      </c>
      <c r="B1416" s="240" t="str">
        <f>TiposLancamentos!B78</f>
        <v>Diferenças</v>
      </c>
      <c r="C1416" s="878" t="s">
        <v>17129</v>
      </c>
      <c r="D1416" s="63"/>
      <c r="E1416" s="231">
        <v>0.35</v>
      </c>
      <c r="F1416" s="1123"/>
    </row>
    <row r="1417" spans="1:7">
      <c r="A1417" s="769"/>
      <c r="B1417" s="240"/>
      <c r="C1417" s="878"/>
      <c r="D1417" s="63"/>
      <c r="E1417" s="231"/>
      <c r="F1417" s="1123"/>
    </row>
    <row r="1418" spans="1:7">
      <c r="A1418" s="769"/>
      <c r="B1418" s="240"/>
      <c r="C1418" s="878"/>
      <c r="D1418" s="63"/>
      <c r="E1418" s="231"/>
      <c r="F1418" s="1123"/>
    </row>
    <row r="1419" spans="1:7">
      <c r="A1419" s="769"/>
      <c r="B1419" s="240"/>
      <c r="C1419" s="878"/>
      <c r="D1419" s="63"/>
      <c r="E1419" s="231"/>
      <c r="F1419" s="1123"/>
    </row>
    <row r="1420" spans="1:7">
      <c r="A1420" s="769"/>
      <c r="B1420" s="240"/>
      <c r="C1420" s="878"/>
      <c r="D1420" s="63"/>
      <c r="E1420" s="231"/>
      <c r="F1420" s="1123"/>
    </row>
    <row r="1421" spans="1:7">
      <c r="A1421" s="770"/>
      <c r="B1421" s="1124"/>
      <c r="C1421" s="763"/>
      <c r="D1421" s="764"/>
      <c r="E1421" s="765"/>
      <c r="F1421" s="1125"/>
      <c r="G1421" s="1094" t="s">
        <v>11</v>
      </c>
    </row>
    <row r="1422" spans="1:7">
      <c r="A1422" s="46"/>
      <c r="B1422" s="116"/>
      <c r="C1422" s="117" t="s">
        <v>12</v>
      </c>
      <c r="D1422" s="185">
        <f>SUM(D2:D1421)</f>
        <v>109180.68000000002</v>
      </c>
      <c r="E1422" s="118">
        <f>SUM(E2:E1421)</f>
        <v>109180.6813333332</v>
      </c>
      <c r="F1422" s="301"/>
    </row>
    <row r="1423" spans="1:7">
      <c r="A1423" s="119"/>
      <c r="B1423" s="120"/>
      <c r="C1423" s="24" t="s">
        <v>13</v>
      </c>
      <c r="D1423" s="177"/>
      <c r="E1423" s="302">
        <f>D1422-E1422</f>
        <v>-1.3333331735339016E-3</v>
      </c>
      <c r="F1423" s="177"/>
    </row>
    <row r="1424" spans="1:7">
      <c r="A1424" s="65"/>
      <c r="B1424" s="65"/>
    </row>
    <row r="1425" spans="2:6">
      <c r="C1425" s="23"/>
      <c r="D1425" s="25" t="s">
        <v>14</v>
      </c>
      <c r="E1425" s="303" t="s">
        <v>15</v>
      </c>
      <c r="F1425" s="25" t="s">
        <v>16</v>
      </c>
    </row>
    <row r="1426" spans="2:6">
      <c r="B1426" s="77" t="s">
        <v>17</v>
      </c>
      <c r="C1426" s="36">
        <f>F649</f>
        <v>262.13</v>
      </c>
      <c r="D1426" s="60">
        <f>CARTOES!H3</f>
        <v>8800</v>
      </c>
      <c r="E1426" s="34">
        <f>E1423</f>
        <v>-1.3333331735339016E-3</v>
      </c>
      <c r="F1426" s="62">
        <f>D1426+E1426</f>
        <v>8799.9986666668265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Plan70"/>
  <dimension ref="A1:G476"/>
  <sheetViews>
    <sheetView zoomScaleNormal="100" workbookViewId="0">
      <pane xSplit="6" ySplit="1" topLeftCell="G437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" defaultRowHeight="13.5"/>
  <cols>
    <col min="1" max="1" width="13.7109375" style="3" bestFit="1" customWidth="1"/>
    <col min="2" max="2" width="21.42578125" style="3" customWidth="1"/>
    <col min="3" max="3" width="48.42578125" style="3" customWidth="1"/>
    <col min="4" max="4" width="16" style="3" bestFit="1" customWidth="1"/>
    <col min="5" max="5" width="17" style="221" customWidth="1"/>
    <col min="6" max="6" width="16" style="3" bestFit="1" customWidth="1"/>
    <col min="7" max="7" width="8.7109375" style="3" customWidth="1"/>
    <col min="8" max="16384" width="9" style="3"/>
  </cols>
  <sheetData>
    <row r="1" spans="1:7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6</v>
      </c>
    </row>
    <row r="2" spans="1:7">
      <c r="A2" s="1004"/>
      <c r="B2" s="37"/>
      <c r="C2" s="222" t="s">
        <v>3114</v>
      </c>
      <c r="D2" s="93"/>
      <c r="E2" s="44"/>
      <c r="F2" s="1005"/>
    </row>
    <row r="3" spans="1:7">
      <c r="A3" s="884">
        <v>38955</v>
      </c>
      <c r="B3" s="76" t="str">
        <f>TiposLancamentos!B36</f>
        <v>Playstation 2</v>
      </c>
      <c r="C3" s="147" t="s">
        <v>17130</v>
      </c>
      <c r="D3" s="63"/>
      <c r="E3" s="135">
        <v>131.33000000000001</v>
      </c>
      <c r="F3" s="899"/>
    </row>
    <row r="4" spans="1:7">
      <c r="A4" s="1004"/>
      <c r="B4" s="37"/>
      <c r="C4" s="222" t="s">
        <v>3133</v>
      </c>
      <c r="D4" s="93"/>
      <c r="E4" s="309"/>
      <c r="F4" s="1005"/>
    </row>
    <row r="5" spans="1:7">
      <c r="A5" s="972">
        <v>38986</v>
      </c>
      <c r="B5" s="80" t="str">
        <f>TiposLancamentos!B36</f>
        <v>Playstation 2</v>
      </c>
      <c r="C5" s="229" t="s">
        <v>17131</v>
      </c>
      <c r="D5" s="85"/>
      <c r="E5" s="407">
        <v>131.33000000000001</v>
      </c>
      <c r="F5" s="1006"/>
    </row>
    <row r="6" spans="1:7">
      <c r="A6" s="884"/>
      <c r="B6" s="76"/>
      <c r="C6" s="147" t="s">
        <v>3163</v>
      </c>
      <c r="D6" s="63"/>
      <c r="E6" s="135"/>
      <c r="F6" s="899">
        <f>SUM(E2:E4)</f>
        <v>131.33000000000001</v>
      </c>
    </row>
    <row r="7" spans="1:7">
      <c r="A7" s="884">
        <v>38992</v>
      </c>
      <c r="B7" s="76" t="str">
        <f>TiposLancamentos!B15</f>
        <v>Cartões de Crédito</v>
      </c>
      <c r="C7" s="147" t="s">
        <v>14126</v>
      </c>
      <c r="D7" s="63">
        <v>131.33000000000001</v>
      </c>
      <c r="E7" s="135"/>
      <c r="F7" s="899"/>
    </row>
    <row r="8" spans="1:7">
      <c r="A8" s="884">
        <v>39016</v>
      </c>
      <c r="B8" s="76" t="str">
        <f>TiposLancamentos!B36</f>
        <v>Playstation 2</v>
      </c>
      <c r="C8" s="147" t="s">
        <v>17132</v>
      </c>
      <c r="D8" s="63"/>
      <c r="E8" s="135">
        <v>131.33000000000001</v>
      </c>
      <c r="F8" s="899"/>
    </row>
    <row r="9" spans="1:7">
      <c r="A9" s="1004"/>
      <c r="B9" s="37"/>
      <c r="C9" s="222" t="s">
        <v>16427</v>
      </c>
      <c r="D9" s="93"/>
      <c r="E9" s="309"/>
      <c r="F9" s="1005">
        <f>SUM(E8:E9)</f>
        <v>131.33000000000001</v>
      </c>
    </row>
    <row r="10" spans="1:7">
      <c r="A10" s="884">
        <v>39023</v>
      </c>
      <c r="B10" s="76" t="str">
        <f>TiposLancamentos!B15</f>
        <v>Cartões de Crédito</v>
      </c>
      <c r="C10" s="147" t="s">
        <v>14126</v>
      </c>
      <c r="D10" s="63">
        <v>131.33000000000001</v>
      </c>
      <c r="E10" s="135"/>
      <c r="F10" s="899"/>
    </row>
    <row r="11" spans="1:7">
      <c r="A11" s="884">
        <v>39047</v>
      </c>
      <c r="B11" s="76" t="str">
        <f>TiposLancamentos!B36</f>
        <v>Playstation 2</v>
      </c>
      <c r="C11" s="147" t="s">
        <v>17133</v>
      </c>
      <c r="D11" s="63"/>
      <c r="E11" s="135">
        <v>131.33000000000001</v>
      </c>
      <c r="F11" s="899"/>
    </row>
    <row r="12" spans="1:7">
      <c r="A12" s="1004"/>
      <c r="B12" s="37"/>
      <c r="C12" s="222" t="s">
        <v>3202</v>
      </c>
      <c r="D12" s="93"/>
      <c r="E12" s="309"/>
      <c r="F12" s="1005">
        <f>SUM(E11:E12)</f>
        <v>131.33000000000001</v>
      </c>
    </row>
    <row r="13" spans="1:7">
      <c r="A13" s="884">
        <v>39054</v>
      </c>
      <c r="B13" s="76" t="str">
        <f>TiposLancamentos!B15</f>
        <v>Cartões de Crédito</v>
      </c>
      <c r="C13" s="147" t="s">
        <v>14126</v>
      </c>
      <c r="D13" s="63">
        <v>131.33000000000001</v>
      </c>
      <c r="E13" s="135"/>
      <c r="F13" s="899"/>
    </row>
    <row r="14" spans="1:7">
      <c r="A14" s="934"/>
      <c r="B14" s="226"/>
      <c r="C14" s="227" t="s">
        <v>10</v>
      </c>
      <c r="D14" s="228"/>
      <c r="E14" s="228"/>
      <c r="F14" s="935"/>
    </row>
    <row r="15" spans="1:7">
      <c r="A15" s="1004">
        <v>39073</v>
      </c>
      <c r="B15" s="37" t="str">
        <f>TiposLancamentos!B85</f>
        <v>Peugeout 206</v>
      </c>
      <c r="C15" s="222" t="s">
        <v>17134</v>
      </c>
      <c r="D15" s="93"/>
      <c r="E15" s="309">
        <v>313.58</v>
      </c>
      <c r="F15" s="1005"/>
    </row>
    <row r="16" spans="1:7">
      <c r="A16" s="972">
        <v>39077</v>
      </c>
      <c r="B16" s="80" t="str">
        <f>TiposLancamentos!B36</f>
        <v>Playstation 2</v>
      </c>
      <c r="C16" s="229" t="s">
        <v>17135</v>
      </c>
      <c r="D16" s="85"/>
      <c r="E16" s="407">
        <v>131.33000000000001</v>
      </c>
      <c r="F16" s="1006"/>
    </row>
    <row r="17" spans="1:6">
      <c r="A17" s="884"/>
      <c r="B17" s="76"/>
      <c r="C17" s="147" t="s">
        <v>3229</v>
      </c>
      <c r="D17" s="63"/>
      <c r="E17" s="49"/>
      <c r="F17" s="899">
        <f>SUM(D11:D13)</f>
        <v>131.33000000000001</v>
      </c>
    </row>
    <row r="18" spans="1:6">
      <c r="A18" s="884">
        <v>39084</v>
      </c>
      <c r="B18" s="76" t="str">
        <f>TiposLancamentos!B15</f>
        <v>Cartões de Crédito</v>
      </c>
      <c r="C18" s="147" t="s">
        <v>14126</v>
      </c>
      <c r="D18" s="63">
        <v>131.33000000000001</v>
      </c>
      <c r="E18" s="135"/>
      <c r="F18" s="899"/>
    </row>
    <row r="19" spans="1:6">
      <c r="A19" s="884">
        <v>39090</v>
      </c>
      <c r="B19" s="76" t="str">
        <f>TiposLancamentos!B57</f>
        <v>Informática</v>
      </c>
      <c r="C19" s="147" t="s">
        <v>17136</v>
      </c>
      <c r="D19" s="63"/>
      <c r="E19" s="135">
        <v>118.24</v>
      </c>
      <c r="F19" s="899"/>
    </row>
    <row r="20" spans="1:6">
      <c r="A20" s="934"/>
      <c r="B20" s="226"/>
      <c r="C20" s="227" t="s">
        <v>10</v>
      </c>
      <c r="D20" s="228"/>
      <c r="E20" s="228"/>
      <c r="F20" s="935"/>
    </row>
    <row r="21" spans="1:6">
      <c r="A21" s="884">
        <v>39104</v>
      </c>
      <c r="B21" s="76" t="str">
        <f>TiposLancamentos!B85</f>
        <v>Peugeout 206</v>
      </c>
      <c r="C21" s="147" t="s">
        <v>17137</v>
      </c>
      <c r="D21" s="63"/>
      <c r="E21" s="135">
        <v>313.58</v>
      </c>
      <c r="F21" s="899"/>
    </row>
    <row r="22" spans="1:6">
      <c r="A22" s="864">
        <v>39108</v>
      </c>
      <c r="B22" s="76" t="str">
        <f>TiposLancamentos!B36</f>
        <v>Playstation 2</v>
      </c>
      <c r="C22" s="147" t="s">
        <v>17138</v>
      </c>
      <c r="D22" s="63"/>
      <c r="E22" s="135">
        <v>131.33000000000001</v>
      </c>
      <c r="F22" s="899"/>
    </row>
    <row r="23" spans="1:6">
      <c r="A23" s="1004"/>
      <c r="B23" s="37"/>
      <c r="C23" s="222" t="s">
        <v>3244</v>
      </c>
      <c r="D23" s="93"/>
      <c r="E23" s="309"/>
      <c r="F23" s="1005">
        <f>SUM(E15:E19)</f>
        <v>563.15</v>
      </c>
    </row>
    <row r="24" spans="1:6">
      <c r="A24" s="884">
        <v>39115</v>
      </c>
      <c r="B24" s="76" t="str">
        <f>TiposLancamentos!B15</f>
        <v>Cartões de Crédito</v>
      </c>
      <c r="C24" s="147" t="s">
        <v>14126</v>
      </c>
      <c r="D24" s="63">
        <v>563.15</v>
      </c>
      <c r="E24" s="135"/>
      <c r="F24" s="899"/>
    </row>
    <row r="25" spans="1:6">
      <c r="A25" s="884">
        <v>39121</v>
      </c>
      <c r="B25" s="76" t="str">
        <f>TiposLancamentos!B57</f>
        <v>Informática</v>
      </c>
      <c r="C25" s="147" t="s">
        <v>17139</v>
      </c>
      <c r="D25" s="63"/>
      <c r="E25" s="135">
        <v>118.24</v>
      </c>
      <c r="F25" s="899"/>
    </row>
    <row r="26" spans="1:6">
      <c r="A26" s="934"/>
      <c r="B26" s="226"/>
      <c r="C26" s="227" t="s">
        <v>10</v>
      </c>
      <c r="D26" s="228"/>
      <c r="E26" s="228"/>
      <c r="F26" s="935"/>
    </row>
    <row r="27" spans="1:6">
      <c r="A27" s="884">
        <v>39135</v>
      </c>
      <c r="B27" s="76" t="str">
        <f>TiposLancamentos!B85</f>
        <v>Peugeout 206</v>
      </c>
      <c r="C27" s="147" t="s">
        <v>17140</v>
      </c>
      <c r="D27" s="63"/>
      <c r="E27" s="135">
        <v>313.58</v>
      </c>
      <c r="F27" s="899"/>
    </row>
    <row r="28" spans="1:6">
      <c r="A28" s="1004"/>
      <c r="B28" s="37"/>
      <c r="C28" s="222" t="s">
        <v>17141</v>
      </c>
      <c r="D28" s="93"/>
      <c r="E28" s="309"/>
      <c r="F28" s="1005">
        <f>SUM(E21:E25)</f>
        <v>563.15</v>
      </c>
    </row>
    <row r="29" spans="1:6">
      <c r="A29" s="884">
        <v>39143</v>
      </c>
      <c r="B29" s="76" t="str">
        <f>TiposLancamentos!B15</f>
        <v>Cartões de Crédito</v>
      </c>
      <c r="C29" s="147" t="s">
        <v>14126</v>
      </c>
      <c r="D29" s="63">
        <v>563.16999999999996</v>
      </c>
      <c r="E29" s="135"/>
      <c r="F29" s="899"/>
    </row>
    <row r="30" spans="1:6">
      <c r="A30" s="884">
        <v>39149</v>
      </c>
      <c r="B30" s="76" t="str">
        <f>TiposLancamentos!B57</f>
        <v>Informática</v>
      </c>
      <c r="C30" s="147" t="s">
        <v>17142</v>
      </c>
      <c r="D30" s="63"/>
      <c r="E30" s="135">
        <v>118.24</v>
      </c>
      <c r="F30" s="899"/>
    </row>
    <row r="31" spans="1:6">
      <c r="A31" s="884">
        <v>39150</v>
      </c>
      <c r="B31" s="76" t="str">
        <f>TiposLancamentos!B13</f>
        <v>Moradia</v>
      </c>
      <c r="C31" s="147" t="s">
        <v>17143</v>
      </c>
      <c r="D31" s="63"/>
      <c r="E31" s="135">
        <v>159.4</v>
      </c>
      <c r="F31" s="899"/>
    </row>
    <row r="32" spans="1:6">
      <c r="A32" s="934"/>
      <c r="B32" s="226"/>
      <c r="C32" s="227" t="s">
        <v>10</v>
      </c>
      <c r="D32" s="228"/>
      <c r="E32" s="228"/>
      <c r="F32" s="935"/>
    </row>
    <row r="33" spans="1:6">
      <c r="A33" s="1004"/>
      <c r="B33" s="37"/>
      <c r="C33" s="222" t="s">
        <v>17144</v>
      </c>
      <c r="D33" s="93"/>
      <c r="E33" s="309"/>
      <c r="F33" s="1005">
        <f>SUM(E27:E31)</f>
        <v>591.22</v>
      </c>
    </row>
    <row r="34" spans="1:6">
      <c r="A34" s="884">
        <v>39174</v>
      </c>
      <c r="B34" s="76" t="str">
        <f>TiposLancamentos!B15</f>
        <v>Cartões de Crédito</v>
      </c>
      <c r="C34" s="147" t="s">
        <v>14126</v>
      </c>
      <c r="D34" s="63">
        <v>591.23</v>
      </c>
      <c r="E34" s="135"/>
      <c r="F34" s="899"/>
    </row>
    <row r="35" spans="1:6">
      <c r="A35" s="884">
        <v>39180</v>
      </c>
      <c r="B35" s="76" t="str">
        <f>TiposLancamentos!B57</f>
        <v>Informática</v>
      </c>
      <c r="C35" s="147" t="s">
        <v>17145</v>
      </c>
      <c r="D35" s="63"/>
      <c r="E35" s="135">
        <v>118.24</v>
      </c>
      <c r="F35" s="899"/>
    </row>
    <row r="36" spans="1:6">
      <c r="A36" s="884">
        <v>39181</v>
      </c>
      <c r="B36" s="76" t="str">
        <f>TiposLancamentos!B13</f>
        <v>Moradia</v>
      </c>
      <c r="C36" s="147" t="s">
        <v>17146</v>
      </c>
      <c r="D36" s="63"/>
      <c r="E36" s="135">
        <v>159.4</v>
      </c>
      <c r="F36" s="899"/>
    </row>
    <row r="37" spans="1:6">
      <c r="A37" s="934"/>
      <c r="B37" s="226"/>
      <c r="C37" s="227" t="s">
        <v>10</v>
      </c>
      <c r="D37" s="228"/>
      <c r="E37" s="228"/>
      <c r="F37" s="935"/>
    </row>
    <row r="38" spans="1:6">
      <c r="A38" s="972">
        <v>39194</v>
      </c>
      <c r="B38" s="80" t="str">
        <f>TiposLancamentos!B71</f>
        <v>Itens Pessoais</v>
      </c>
      <c r="C38" s="408" t="s">
        <v>13238</v>
      </c>
      <c r="D38" s="85"/>
      <c r="E38" s="407">
        <v>99.9</v>
      </c>
      <c r="F38" s="1006"/>
    </row>
    <row r="39" spans="1:6">
      <c r="A39" s="884"/>
      <c r="B39" s="76"/>
      <c r="C39" s="147" t="s">
        <v>16471</v>
      </c>
      <c r="D39" s="63"/>
      <c r="E39" s="135"/>
      <c r="F39" s="899">
        <f>SUM(E33:E36)</f>
        <v>277.64</v>
      </c>
    </row>
    <row r="40" spans="1:6">
      <c r="A40" s="884">
        <v>39204</v>
      </c>
      <c r="B40" s="76" t="str">
        <f>TiposLancamentos!B15</f>
        <v>Cartões de Crédito</v>
      </c>
      <c r="C40" s="147" t="s">
        <v>14126</v>
      </c>
      <c r="D40" s="63">
        <v>277.64</v>
      </c>
      <c r="E40" s="135"/>
      <c r="F40" s="899"/>
    </row>
    <row r="41" spans="1:6">
      <c r="A41" s="884">
        <v>39210</v>
      </c>
      <c r="B41" s="76" t="str">
        <f>TiposLancamentos!B57</f>
        <v>Informática</v>
      </c>
      <c r="C41" s="147" t="s">
        <v>17147</v>
      </c>
      <c r="D41" s="63"/>
      <c r="E41" s="135">
        <v>118.24</v>
      </c>
      <c r="F41" s="899"/>
    </row>
    <row r="42" spans="1:6">
      <c r="A42" s="884">
        <v>39210</v>
      </c>
      <c r="B42" s="76" t="str">
        <f>TiposLancamentos!B13</f>
        <v>Moradia</v>
      </c>
      <c r="C42" s="147" t="s">
        <v>17148</v>
      </c>
      <c r="D42" s="63"/>
      <c r="E42" s="135">
        <v>159.4</v>
      </c>
      <c r="F42" s="899"/>
    </row>
    <row r="43" spans="1:6">
      <c r="A43" s="934"/>
      <c r="B43" s="226"/>
      <c r="C43" s="227" t="s">
        <v>10</v>
      </c>
      <c r="D43" s="228"/>
      <c r="E43" s="228"/>
      <c r="F43" s="935"/>
    </row>
    <row r="44" spans="1:6">
      <c r="A44" s="884">
        <v>39224</v>
      </c>
      <c r="B44" s="76" t="str">
        <f>TiposLancamentos!B71</f>
        <v>Itens Pessoais</v>
      </c>
      <c r="C44" s="332" t="s">
        <v>13244</v>
      </c>
      <c r="D44" s="333"/>
      <c r="E44" s="135">
        <v>99.9</v>
      </c>
      <c r="F44" s="899"/>
    </row>
    <row r="45" spans="1:6">
      <c r="A45" s="1004"/>
      <c r="B45" s="37"/>
      <c r="C45" s="222" t="s">
        <v>3366</v>
      </c>
      <c r="D45" s="93"/>
      <c r="E45" s="309"/>
      <c r="F45" s="1005">
        <f>SUM(E38:E42)</f>
        <v>377.53999999999996</v>
      </c>
    </row>
    <row r="46" spans="1:6">
      <c r="A46" s="884">
        <v>39234</v>
      </c>
      <c r="B46" s="76" t="str">
        <f>TiposLancamentos!B15</f>
        <v>Cartões de Crédito</v>
      </c>
      <c r="C46" s="147" t="s">
        <v>6744</v>
      </c>
      <c r="D46" s="63">
        <v>377.54</v>
      </c>
      <c r="E46" s="135"/>
      <c r="F46" s="899"/>
    </row>
    <row r="47" spans="1:6">
      <c r="A47" s="884">
        <v>39241</v>
      </c>
      <c r="B47" s="76" t="str">
        <f>TiposLancamentos!B57</f>
        <v>Informática</v>
      </c>
      <c r="C47" s="147" t="s">
        <v>17149</v>
      </c>
      <c r="D47" s="63"/>
      <c r="E47" s="135">
        <v>118.24</v>
      </c>
      <c r="F47" s="899"/>
    </row>
    <row r="48" spans="1:6">
      <c r="A48" s="934"/>
      <c r="B48" s="226"/>
      <c r="C48" s="227" t="s">
        <v>10</v>
      </c>
      <c r="D48" s="228"/>
      <c r="E48" s="228"/>
      <c r="F48" s="935"/>
    </row>
    <row r="49" spans="1:6">
      <c r="A49" s="972">
        <v>39255</v>
      </c>
      <c r="B49" s="80" t="str">
        <f>TiposLancamentos!B71</f>
        <v>Itens Pessoais</v>
      </c>
      <c r="C49" s="408" t="s">
        <v>13249</v>
      </c>
      <c r="D49" s="409"/>
      <c r="E49" s="407">
        <v>99.9</v>
      </c>
      <c r="F49" s="1006"/>
    </row>
    <row r="50" spans="1:6">
      <c r="A50" s="884"/>
      <c r="B50" s="76"/>
      <c r="C50" s="147" t="s">
        <v>3104</v>
      </c>
      <c r="D50" s="63"/>
      <c r="E50" s="135"/>
      <c r="F50" s="899">
        <f>SUM(E44:E47)</f>
        <v>218.14</v>
      </c>
    </row>
    <row r="51" spans="1:6">
      <c r="A51" s="884">
        <v>39265</v>
      </c>
      <c r="B51" s="76" t="str">
        <f>TiposLancamentos!B15</f>
        <v>Cartões de Crédito</v>
      </c>
      <c r="C51" s="147" t="s">
        <v>14142</v>
      </c>
      <c r="D51" s="63">
        <v>218.72</v>
      </c>
      <c r="E51" s="135"/>
      <c r="F51" s="899"/>
    </row>
    <row r="52" spans="1:6">
      <c r="A52" s="884">
        <v>39271</v>
      </c>
      <c r="B52" s="76" t="str">
        <f>TiposLancamentos!B57</f>
        <v>Informática</v>
      </c>
      <c r="C52" s="147" t="s">
        <v>17150</v>
      </c>
      <c r="D52" s="63"/>
      <c r="E52" s="135">
        <v>118.24</v>
      </c>
      <c r="F52" s="899"/>
    </row>
    <row r="53" spans="1:6">
      <c r="A53" s="934"/>
      <c r="B53" s="226"/>
      <c r="C53" s="227" t="s">
        <v>10</v>
      </c>
      <c r="D53" s="228"/>
      <c r="E53" s="228"/>
      <c r="F53" s="935"/>
    </row>
    <row r="54" spans="1:6">
      <c r="A54" s="884">
        <v>39285</v>
      </c>
      <c r="B54" s="76" t="str">
        <f>TiposLancamentos!B71</f>
        <v>Itens Pessoais</v>
      </c>
      <c r="C54" s="332" t="s">
        <v>13255</v>
      </c>
      <c r="D54" s="333"/>
      <c r="E54" s="135">
        <v>99.9</v>
      </c>
      <c r="F54" s="899"/>
    </row>
    <row r="55" spans="1:6">
      <c r="A55" s="1004"/>
      <c r="B55" s="37"/>
      <c r="C55" s="222" t="s">
        <v>16481</v>
      </c>
      <c r="D55" s="93"/>
      <c r="E55" s="309"/>
      <c r="F55" s="1005">
        <f>SUM(E49:E52)</f>
        <v>218.14</v>
      </c>
    </row>
    <row r="56" spans="1:6">
      <c r="A56" s="884">
        <v>39296</v>
      </c>
      <c r="B56" s="76" t="str">
        <f>TiposLancamentos!B15</f>
        <v>Cartões de Crédito</v>
      </c>
      <c r="C56" s="147" t="s">
        <v>17151</v>
      </c>
      <c r="D56" s="63">
        <v>217.56</v>
      </c>
      <c r="E56" s="135"/>
      <c r="F56" s="899"/>
    </row>
    <row r="57" spans="1:6">
      <c r="A57" s="884">
        <v>39302</v>
      </c>
      <c r="B57" s="76" t="str">
        <f>TiposLancamentos!B57</f>
        <v>Informática</v>
      </c>
      <c r="C57" s="147" t="s">
        <v>17152</v>
      </c>
      <c r="D57" s="63"/>
      <c r="E57" s="135">
        <v>118.24</v>
      </c>
      <c r="F57" s="899"/>
    </row>
    <row r="58" spans="1:6">
      <c r="A58" s="934"/>
      <c r="B58" s="226"/>
      <c r="C58" s="227" t="s">
        <v>10</v>
      </c>
      <c r="D58" s="228"/>
      <c r="E58" s="228"/>
      <c r="F58" s="935"/>
    </row>
    <row r="59" spans="1:6">
      <c r="A59" s="972">
        <v>39316</v>
      </c>
      <c r="B59" s="80" t="str">
        <f>TiposLancamentos!B71</f>
        <v>Itens Pessoais</v>
      </c>
      <c r="C59" s="408" t="s">
        <v>13258</v>
      </c>
      <c r="D59" s="409"/>
      <c r="E59" s="407">
        <v>99.9</v>
      </c>
      <c r="F59" s="1006"/>
    </row>
    <row r="60" spans="1:6">
      <c r="A60" s="884"/>
      <c r="B60" s="76"/>
      <c r="C60" s="147" t="s">
        <v>16486</v>
      </c>
      <c r="D60" s="63"/>
      <c r="E60" s="135"/>
      <c r="F60" s="899">
        <f>SUM(E54:E57)</f>
        <v>218.14</v>
      </c>
    </row>
    <row r="61" spans="1:6">
      <c r="A61" s="884">
        <v>39328</v>
      </c>
      <c r="B61" s="76" t="str">
        <f>TiposLancamentos!B15</f>
        <v>Cartões de Crédito</v>
      </c>
      <c r="C61" s="147" t="s">
        <v>14126</v>
      </c>
      <c r="D61" s="63">
        <v>218.14</v>
      </c>
      <c r="E61" s="135"/>
      <c r="F61" s="899"/>
    </row>
    <row r="62" spans="1:6">
      <c r="A62" s="884">
        <v>39333</v>
      </c>
      <c r="B62" s="76" t="str">
        <f>TiposLancamentos!B57</f>
        <v>Informática</v>
      </c>
      <c r="C62" s="147" t="s">
        <v>17153</v>
      </c>
      <c r="D62" s="63"/>
      <c r="E62" s="135">
        <v>118.24</v>
      </c>
      <c r="F62" s="899"/>
    </row>
    <row r="63" spans="1:6">
      <c r="A63" s="934"/>
      <c r="B63" s="226"/>
      <c r="C63" s="227" t="s">
        <v>10</v>
      </c>
      <c r="D63" s="228"/>
      <c r="E63" s="228"/>
      <c r="F63" s="935"/>
    </row>
    <row r="64" spans="1:6">
      <c r="A64" s="884">
        <v>39347</v>
      </c>
      <c r="B64" s="76" t="str">
        <f>TiposLancamentos!B71</f>
        <v>Itens Pessoais</v>
      </c>
      <c r="C64" s="332" t="s">
        <v>13263</v>
      </c>
      <c r="D64" s="333"/>
      <c r="E64" s="135">
        <v>99.9</v>
      </c>
      <c r="F64" s="899"/>
    </row>
    <row r="65" spans="1:6">
      <c r="A65" s="1004"/>
      <c r="B65" s="37"/>
      <c r="C65" s="222" t="s">
        <v>16491</v>
      </c>
      <c r="D65" s="93"/>
      <c r="E65" s="309"/>
      <c r="F65" s="1005">
        <f>SUM(E59:E62)</f>
        <v>218.14</v>
      </c>
    </row>
    <row r="66" spans="1:6">
      <c r="A66" s="884">
        <v>39357</v>
      </c>
      <c r="B66" s="76" t="str">
        <f>TiposLancamentos!B15</f>
        <v>Cartões de Crédito</v>
      </c>
      <c r="C66" s="147" t="s">
        <v>6744</v>
      </c>
      <c r="D66" s="63">
        <v>218.14</v>
      </c>
      <c r="E66" s="135"/>
      <c r="F66" s="899"/>
    </row>
    <row r="67" spans="1:6">
      <c r="A67" s="884">
        <v>39363</v>
      </c>
      <c r="B67" s="76" t="str">
        <f>TiposLancamentos!B57</f>
        <v>Informática</v>
      </c>
      <c r="C67" s="147" t="s">
        <v>17154</v>
      </c>
      <c r="D67" s="63"/>
      <c r="E67" s="135">
        <v>118.24</v>
      </c>
      <c r="F67" s="899"/>
    </row>
    <row r="68" spans="1:6">
      <c r="A68" s="934"/>
      <c r="B68" s="226"/>
      <c r="C68" s="227" t="s">
        <v>10</v>
      </c>
      <c r="D68" s="228"/>
      <c r="E68" s="228"/>
      <c r="F68" s="935"/>
    </row>
    <row r="69" spans="1:6">
      <c r="A69" s="972">
        <v>39377</v>
      </c>
      <c r="B69" s="80" t="str">
        <f>TiposLancamentos!B71</f>
        <v>Itens Pessoais</v>
      </c>
      <c r="C69" s="408" t="s">
        <v>13267</v>
      </c>
      <c r="D69" s="409"/>
      <c r="E69" s="407">
        <v>99.9</v>
      </c>
      <c r="F69" s="1006"/>
    </row>
    <row r="70" spans="1:6">
      <c r="A70" s="884"/>
      <c r="B70" s="76"/>
      <c r="C70" s="147" t="s">
        <v>16494</v>
      </c>
      <c r="D70" s="63"/>
      <c r="E70" s="135"/>
      <c r="F70" s="899">
        <f>SUM(E64:E67)</f>
        <v>218.14</v>
      </c>
    </row>
    <row r="71" spans="1:6">
      <c r="A71" s="884">
        <v>39391</v>
      </c>
      <c r="B71" s="76" t="str">
        <f>TiposLancamentos!B15</f>
        <v>Cartões de Crédito</v>
      </c>
      <c r="C71" s="147" t="s">
        <v>6744</v>
      </c>
      <c r="D71" s="63">
        <v>218.14</v>
      </c>
      <c r="E71" s="135"/>
      <c r="F71" s="899"/>
    </row>
    <row r="72" spans="1:6">
      <c r="A72" s="884">
        <v>39394</v>
      </c>
      <c r="B72" s="76" t="str">
        <f>TiposLancamentos!B57</f>
        <v>Informática</v>
      </c>
      <c r="C72" s="147" t="s">
        <v>17155</v>
      </c>
      <c r="D72" s="63"/>
      <c r="E72" s="135">
        <v>118.24</v>
      </c>
      <c r="F72" s="899"/>
    </row>
    <row r="73" spans="1:6">
      <c r="A73" s="934"/>
      <c r="B73" s="226"/>
      <c r="C73" s="227" t="s">
        <v>10</v>
      </c>
      <c r="D73" s="228"/>
      <c r="E73" s="228"/>
      <c r="F73" s="935"/>
    </row>
    <row r="74" spans="1:6">
      <c r="A74" s="884">
        <v>39408</v>
      </c>
      <c r="B74" s="76" t="str">
        <f>TiposLancamentos!B71</f>
        <v>Itens Pessoais</v>
      </c>
      <c r="C74" s="332" t="s">
        <v>13275</v>
      </c>
      <c r="D74" s="333"/>
      <c r="E74" s="135">
        <v>99.9</v>
      </c>
      <c r="F74" s="899"/>
    </row>
    <row r="75" spans="1:6">
      <c r="A75" s="884">
        <v>39410</v>
      </c>
      <c r="B75" s="76" t="str">
        <f>TiposLancamentos!B25</f>
        <v>CD_DVD_BD</v>
      </c>
      <c r="C75" s="332" t="s">
        <v>17156</v>
      </c>
      <c r="D75" s="333"/>
      <c r="E75" s="135">
        <v>124.9</v>
      </c>
      <c r="F75" s="899"/>
    </row>
    <row r="76" spans="1:6">
      <c r="A76" s="884">
        <v>39413</v>
      </c>
      <c r="B76" s="76" t="str">
        <f>TiposLancamentos!B19</f>
        <v>Restaurantes</v>
      </c>
      <c r="C76" s="332" t="s">
        <v>17157</v>
      </c>
      <c r="D76" s="333"/>
      <c r="E76" s="135">
        <v>15.7</v>
      </c>
      <c r="F76" s="899"/>
    </row>
    <row r="77" spans="1:6">
      <c r="A77" s="1004"/>
      <c r="B77" s="37"/>
      <c r="C77" s="222" t="s">
        <v>3409</v>
      </c>
      <c r="D77" s="93"/>
      <c r="E77" s="309"/>
      <c r="F77" s="1005">
        <f>SUM(E69:E72)</f>
        <v>218.14</v>
      </c>
    </row>
    <row r="78" spans="1:6">
      <c r="A78" s="884">
        <v>39419</v>
      </c>
      <c r="B78" s="76" t="str">
        <f>TiposLancamentos!B15</f>
        <v>Cartões de Crédito</v>
      </c>
      <c r="C78" s="147" t="s">
        <v>17158</v>
      </c>
      <c r="D78" s="63">
        <v>218.14</v>
      </c>
      <c r="E78" s="135"/>
      <c r="F78" s="899"/>
    </row>
    <row r="79" spans="1:6">
      <c r="A79" s="884">
        <v>39424</v>
      </c>
      <c r="B79" s="76" t="str">
        <f>TiposLancamentos!B57</f>
        <v>Informática</v>
      </c>
      <c r="C79" s="147" t="s">
        <v>17159</v>
      </c>
      <c r="D79" s="63"/>
      <c r="E79" s="135">
        <v>118.24</v>
      </c>
      <c r="F79" s="899"/>
    </row>
    <row r="80" spans="1:6">
      <c r="A80" s="934"/>
      <c r="B80" s="226"/>
      <c r="C80" s="227" t="s">
        <v>10</v>
      </c>
      <c r="D80" s="228"/>
      <c r="E80" s="228"/>
      <c r="F80" s="935"/>
    </row>
    <row r="81" spans="1:6">
      <c r="A81" s="884">
        <v>39438</v>
      </c>
      <c r="B81" s="76" t="str">
        <f>TiposLancamentos!B71</f>
        <v>Itens Pessoais</v>
      </c>
      <c r="C81" s="332" t="s">
        <v>13280</v>
      </c>
      <c r="D81" s="333"/>
      <c r="E81" s="135">
        <v>99.9</v>
      </c>
      <c r="F81" s="899"/>
    </row>
    <row r="82" spans="1:6">
      <c r="A82" s="1007"/>
      <c r="B82" s="247"/>
      <c r="C82" s="237" t="s">
        <v>3418</v>
      </c>
      <c r="D82" s="101"/>
      <c r="E82" s="378"/>
      <c r="F82" s="1008">
        <f>SUM(E74:E79)</f>
        <v>358.74</v>
      </c>
    </row>
    <row r="83" spans="1:6">
      <c r="A83" s="884">
        <v>39449</v>
      </c>
      <c r="B83" s="76" t="str">
        <f>TiposLancamentos!B15</f>
        <v>Cartões de Crédito</v>
      </c>
      <c r="C83" s="147" t="s">
        <v>17160</v>
      </c>
      <c r="D83" s="63">
        <v>358.76</v>
      </c>
      <c r="E83" s="135"/>
      <c r="F83" s="899"/>
    </row>
    <row r="84" spans="1:6">
      <c r="A84" s="934"/>
      <c r="B84" s="226"/>
      <c r="C84" s="227" t="s">
        <v>10</v>
      </c>
      <c r="D84" s="228"/>
      <c r="E84" s="228"/>
      <c r="F84" s="935"/>
    </row>
    <row r="85" spans="1:6">
      <c r="A85" s="1009">
        <v>39469</v>
      </c>
      <c r="B85" s="252" t="str">
        <f>TiposLancamentos!B71</f>
        <v>Itens Pessoais</v>
      </c>
      <c r="C85" s="410" t="s">
        <v>13286</v>
      </c>
      <c r="D85" s="411"/>
      <c r="E85" s="412">
        <v>99.9</v>
      </c>
      <c r="F85" s="1010"/>
    </row>
    <row r="86" spans="1:6">
      <c r="A86" s="1007"/>
      <c r="B86" s="247"/>
      <c r="C86" s="237" t="s">
        <v>3431</v>
      </c>
      <c r="D86" s="101"/>
      <c r="E86" s="378"/>
      <c r="F86" s="1008">
        <f>SUM(E81:E83)</f>
        <v>99.9</v>
      </c>
    </row>
    <row r="87" spans="1:6">
      <c r="A87" s="884">
        <v>39480</v>
      </c>
      <c r="B87" s="76" t="str">
        <f>TiposLancamentos!B15</f>
        <v>Cartões de Crédito</v>
      </c>
      <c r="C87" s="147" t="s">
        <v>17160</v>
      </c>
      <c r="D87" s="63">
        <v>99</v>
      </c>
      <c r="E87" s="135"/>
      <c r="F87" s="899"/>
    </row>
    <row r="88" spans="1:6">
      <c r="A88" s="1011"/>
      <c r="B88" s="413"/>
      <c r="C88" s="414" t="s">
        <v>10</v>
      </c>
      <c r="D88" s="415"/>
      <c r="E88" s="415"/>
      <c r="F88" s="1012"/>
    </row>
    <row r="89" spans="1:6">
      <c r="A89" s="1007"/>
      <c r="B89" s="247"/>
      <c r="C89" s="237" t="s">
        <v>3457</v>
      </c>
      <c r="D89" s="101"/>
      <c r="E89" s="378"/>
      <c r="F89" s="899">
        <f>SUM(E82:E85)</f>
        <v>99.9</v>
      </c>
    </row>
    <row r="90" spans="1:6">
      <c r="A90" s="884">
        <v>39510</v>
      </c>
      <c r="B90" s="76" t="str">
        <f>TiposLancamentos!B15</f>
        <v>Cartões de Crédito</v>
      </c>
      <c r="C90" s="147" t="s">
        <v>17160</v>
      </c>
      <c r="D90" s="63">
        <v>100.88</v>
      </c>
      <c r="E90" s="135"/>
      <c r="F90" s="899"/>
    </row>
    <row r="91" spans="1:6">
      <c r="A91" s="884">
        <v>39520</v>
      </c>
      <c r="B91" s="76" t="str">
        <f>TiposLancamentos!B70</f>
        <v>Vestuário</v>
      </c>
      <c r="C91" s="147" t="s">
        <v>17161</v>
      </c>
      <c r="D91" s="63"/>
      <c r="E91" s="135">
        <v>150.72999999999999</v>
      </c>
      <c r="F91" s="899"/>
    </row>
    <row r="92" spans="1:6">
      <c r="A92" s="884">
        <v>39520</v>
      </c>
      <c r="B92" s="76" t="str">
        <f>TiposLancamentos!B16</f>
        <v>Cristiane</v>
      </c>
      <c r="C92" s="147" t="s">
        <v>17162</v>
      </c>
      <c r="D92" s="63"/>
      <c r="E92" s="135">
        <f>1.75*29.93</f>
        <v>52.377499999999998</v>
      </c>
      <c r="F92" s="899"/>
    </row>
    <row r="93" spans="1:6">
      <c r="A93" s="884">
        <v>39530</v>
      </c>
      <c r="B93" s="76" t="str">
        <f>TiposLancamentos!B4</f>
        <v>Taxas Bancarias</v>
      </c>
      <c r="C93" s="147" t="s">
        <v>17163</v>
      </c>
      <c r="D93" s="63"/>
      <c r="E93" s="135">
        <f>1.75*0.71</f>
        <v>1.2424999999999999</v>
      </c>
      <c r="F93" s="899"/>
    </row>
    <row r="94" spans="1:6">
      <c r="A94" s="1013"/>
      <c r="B94" s="417"/>
      <c r="C94" s="418" t="s">
        <v>10</v>
      </c>
      <c r="D94" s="419"/>
      <c r="E94" s="419"/>
      <c r="F94" s="1014"/>
    </row>
    <row r="95" spans="1:6">
      <c r="A95" s="1009">
        <v>39559</v>
      </c>
      <c r="B95" s="252" t="str">
        <f>TiposLancamentos!B4</f>
        <v>Taxas Bancarias</v>
      </c>
      <c r="C95" s="244" t="s">
        <v>17164</v>
      </c>
      <c r="D95" s="106"/>
      <c r="E95" s="412">
        <v>0.3</v>
      </c>
      <c r="F95" s="1010"/>
    </row>
    <row r="96" spans="1:6">
      <c r="A96" s="884"/>
      <c r="B96" s="76"/>
      <c r="C96" s="147" t="s">
        <v>3488</v>
      </c>
      <c r="D96" s="63"/>
      <c r="E96" s="135"/>
      <c r="F96" s="899">
        <f>SUM(E89:E93)</f>
        <v>204.35</v>
      </c>
    </row>
    <row r="97" spans="1:6">
      <c r="A97" s="884">
        <v>39539</v>
      </c>
      <c r="B97" s="76" t="str">
        <f>TiposLancamentos!B15</f>
        <v>Cartões de Crédito</v>
      </c>
      <c r="C97" s="147" t="s">
        <v>6775</v>
      </c>
      <c r="D97" s="63">
        <v>204.35</v>
      </c>
      <c r="E97" s="135"/>
      <c r="F97" s="899"/>
    </row>
    <row r="98" spans="1:6">
      <c r="A98" s="934"/>
      <c r="B98" s="226"/>
      <c r="C98" s="227" t="s">
        <v>10</v>
      </c>
      <c r="D98" s="228"/>
      <c r="E98" s="228"/>
      <c r="F98" s="935"/>
    </row>
    <row r="99" spans="1:6">
      <c r="A99" s="1007"/>
      <c r="B99" s="247"/>
      <c r="C99" s="237" t="s">
        <v>3517</v>
      </c>
      <c r="D99" s="101"/>
      <c r="E99" s="378"/>
      <c r="F99" s="1008">
        <f>SUM(E95:E97)</f>
        <v>0.3</v>
      </c>
    </row>
    <row r="100" spans="1:6">
      <c r="A100" s="884">
        <v>39570</v>
      </c>
      <c r="B100" s="76" t="str">
        <f>TiposLancamentos!B15</f>
        <v>Cartões de Crédito</v>
      </c>
      <c r="C100" s="147" t="s">
        <v>14126</v>
      </c>
      <c r="D100" s="63">
        <v>0.3</v>
      </c>
      <c r="E100" s="135"/>
      <c r="F100" s="899"/>
    </row>
    <row r="101" spans="1:6">
      <c r="A101" s="934"/>
      <c r="B101" s="226"/>
      <c r="C101" s="227" t="s">
        <v>10</v>
      </c>
      <c r="D101" s="228"/>
      <c r="E101" s="228"/>
      <c r="F101" s="935"/>
    </row>
    <row r="102" spans="1:6">
      <c r="A102" s="1007"/>
      <c r="B102" s="247"/>
      <c r="C102" s="237" t="s">
        <v>5605</v>
      </c>
      <c r="D102" s="101"/>
      <c r="E102" s="378"/>
      <c r="F102" s="1008"/>
    </row>
    <row r="103" spans="1:6">
      <c r="A103" s="934"/>
      <c r="B103" s="226"/>
      <c r="C103" s="227" t="s">
        <v>10</v>
      </c>
      <c r="D103" s="228"/>
      <c r="E103" s="228"/>
      <c r="F103" s="935"/>
    </row>
    <row r="104" spans="1:6">
      <c r="A104" s="884">
        <v>39718</v>
      </c>
      <c r="B104" s="76" t="str">
        <f>TiposLancamentos!B71</f>
        <v>Itens Pessoais</v>
      </c>
      <c r="C104" s="147" t="s">
        <v>13314</v>
      </c>
      <c r="D104" s="63"/>
      <c r="E104" s="135">
        <v>274.75</v>
      </c>
      <c r="F104" s="899"/>
    </row>
    <row r="105" spans="1:6">
      <c r="A105" s="1007"/>
      <c r="B105" s="247"/>
      <c r="C105" s="237" t="s">
        <v>17165</v>
      </c>
      <c r="D105" s="101"/>
      <c r="E105" s="378"/>
      <c r="F105" s="1008"/>
    </row>
    <row r="106" spans="1:6">
      <c r="A106" s="934"/>
      <c r="B106" s="226"/>
      <c r="C106" s="227" t="s">
        <v>10</v>
      </c>
      <c r="D106" s="228"/>
      <c r="E106" s="228"/>
      <c r="F106" s="935"/>
    </row>
    <row r="107" spans="1:6">
      <c r="A107" s="884">
        <v>39748</v>
      </c>
      <c r="B107" s="76" t="str">
        <f>TiposLancamentos!B71</f>
        <v>Itens Pessoais</v>
      </c>
      <c r="C107" s="147" t="s">
        <v>13323</v>
      </c>
      <c r="D107" s="63"/>
      <c r="E107" s="135">
        <v>274.75</v>
      </c>
      <c r="F107" s="899"/>
    </row>
    <row r="108" spans="1:6">
      <c r="A108" s="1007"/>
      <c r="B108" s="247"/>
      <c r="C108" s="237" t="s">
        <v>5652</v>
      </c>
      <c r="D108" s="101"/>
      <c r="E108" s="378"/>
      <c r="F108" s="1008">
        <f>SUM(E104:E105)</f>
        <v>274.75</v>
      </c>
    </row>
    <row r="109" spans="1:6">
      <c r="A109" s="884">
        <v>39755</v>
      </c>
      <c r="B109" s="76" t="str">
        <f>TiposLancamentos!B15</f>
        <v>Cartões de Crédito</v>
      </c>
      <c r="C109" s="147" t="s">
        <v>14142</v>
      </c>
      <c r="D109" s="63">
        <v>274.75</v>
      </c>
      <c r="E109" s="135"/>
      <c r="F109" s="899"/>
    </row>
    <row r="110" spans="1:6">
      <c r="A110" s="934"/>
      <c r="B110" s="226"/>
      <c r="C110" s="227" t="s">
        <v>10</v>
      </c>
      <c r="D110" s="228"/>
      <c r="E110" s="228"/>
      <c r="F110" s="935"/>
    </row>
    <row r="111" spans="1:6">
      <c r="A111" s="1009">
        <v>39779</v>
      </c>
      <c r="B111" s="252" t="str">
        <f>TiposLancamentos!B71</f>
        <v>Itens Pessoais</v>
      </c>
      <c r="C111" s="244" t="s">
        <v>13331</v>
      </c>
      <c r="D111" s="106"/>
      <c r="E111" s="412">
        <v>274.75</v>
      </c>
      <c r="F111" s="1010"/>
    </row>
    <row r="112" spans="1:6">
      <c r="A112" s="884"/>
      <c r="B112" s="76"/>
      <c r="C112" s="147" t="s">
        <v>5676</v>
      </c>
      <c r="D112" s="63"/>
      <c r="E112" s="135"/>
      <c r="F112" s="899">
        <f>SUM(E107:E109)</f>
        <v>274.75</v>
      </c>
    </row>
    <row r="113" spans="1:6">
      <c r="A113" s="884">
        <v>39783</v>
      </c>
      <c r="B113" s="76" t="str">
        <f>TiposLancamentos!B15</f>
        <v>Cartões de Crédito</v>
      </c>
      <c r="C113" s="147" t="s">
        <v>6744</v>
      </c>
      <c r="D113" s="63">
        <v>274.75</v>
      </c>
      <c r="E113" s="135"/>
      <c r="F113" s="899"/>
    </row>
    <row r="114" spans="1:6">
      <c r="A114" s="934"/>
      <c r="B114" s="226"/>
      <c r="C114" s="227" t="s">
        <v>10</v>
      </c>
      <c r="D114" s="228"/>
      <c r="E114" s="228"/>
      <c r="F114" s="935"/>
    </row>
    <row r="115" spans="1:6">
      <c r="A115" s="884">
        <v>39809</v>
      </c>
      <c r="B115" s="76" t="str">
        <f>TiposLancamentos!B71</f>
        <v>Itens Pessoais</v>
      </c>
      <c r="C115" s="147" t="s">
        <v>13337</v>
      </c>
      <c r="D115" s="63"/>
      <c r="E115" s="135">
        <v>274.75</v>
      </c>
      <c r="F115" s="899"/>
    </row>
    <row r="116" spans="1:6">
      <c r="A116" s="1007"/>
      <c r="B116" s="247"/>
      <c r="C116" s="256" t="s">
        <v>3709</v>
      </c>
      <c r="D116" s="101"/>
      <c r="E116" s="378"/>
      <c r="F116" s="1008">
        <f>SUM(E111:E113)</f>
        <v>274.75</v>
      </c>
    </row>
    <row r="117" spans="1:6">
      <c r="A117" s="884">
        <v>39815</v>
      </c>
      <c r="B117" s="76" t="str">
        <f>TiposLancamentos!B15</f>
        <v>Cartões de Crédito</v>
      </c>
      <c r="C117" s="147" t="s">
        <v>6744</v>
      </c>
      <c r="D117" s="63">
        <v>274.75</v>
      </c>
      <c r="E117" s="135"/>
      <c r="F117" s="899"/>
    </row>
    <row r="118" spans="1:6">
      <c r="A118" s="934"/>
      <c r="B118" s="226"/>
      <c r="C118" s="227" t="s">
        <v>10</v>
      </c>
      <c r="D118" s="228"/>
      <c r="E118" s="228"/>
      <c r="F118" s="935"/>
    </row>
    <row r="119" spans="1:6">
      <c r="A119" s="1007"/>
      <c r="B119" s="247"/>
      <c r="C119" s="237" t="s">
        <v>3729</v>
      </c>
      <c r="D119" s="101"/>
      <c r="E119" s="378"/>
      <c r="F119" s="1008">
        <f>SUM(E115:E117)</f>
        <v>274.75</v>
      </c>
    </row>
    <row r="120" spans="1:6">
      <c r="A120" s="884">
        <v>39846</v>
      </c>
      <c r="B120" s="76" t="str">
        <f>TiposLancamentos!B15</f>
        <v>Cartões de Crédito</v>
      </c>
      <c r="C120" s="147" t="s">
        <v>6744</v>
      </c>
      <c r="D120" s="63">
        <v>274.75</v>
      </c>
      <c r="E120" s="135"/>
      <c r="F120" s="899"/>
    </row>
    <row r="121" spans="1:6">
      <c r="A121" s="934"/>
      <c r="B121" s="226"/>
      <c r="C121" s="227" t="s">
        <v>10</v>
      </c>
      <c r="D121" s="228"/>
      <c r="E121" s="228"/>
      <c r="F121" s="935"/>
    </row>
    <row r="122" spans="1:6">
      <c r="A122" s="884">
        <v>39869</v>
      </c>
      <c r="B122" s="76" t="str">
        <f>TiposLancamentos!B62</f>
        <v>Papelaria</v>
      </c>
      <c r="C122" s="147" t="s">
        <v>17166</v>
      </c>
      <c r="D122" s="63"/>
      <c r="E122" s="135">
        <v>253.27</v>
      </c>
      <c r="F122" s="899"/>
    </row>
    <row r="123" spans="1:6">
      <c r="A123" s="1007"/>
      <c r="B123" s="247"/>
      <c r="C123" s="237" t="s">
        <v>5696</v>
      </c>
      <c r="D123" s="101"/>
      <c r="E123" s="378"/>
      <c r="F123" s="1008">
        <f>SUM(E119:E120)</f>
        <v>0</v>
      </c>
    </row>
    <row r="124" spans="1:6">
      <c r="A124" s="884">
        <v>39878</v>
      </c>
      <c r="B124" s="76" t="str">
        <f>TiposLancamentos!B28</f>
        <v>ComicBook</v>
      </c>
      <c r="C124" s="147" t="s">
        <v>283</v>
      </c>
      <c r="D124" s="63"/>
      <c r="E124" s="135">
        <v>120</v>
      </c>
      <c r="F124" s="899"/>
    </row>
    <row r="125" spans="1:6">
      <c r="A125" s="884">
        <v>39880</v>
      </c>
      <c r="B125" s="76" t="str">
        <f>TiposLancamentos!B5</f>
        <v>Supermercado</v>
      </c>
      <c r="C125" s="147" t="s">
        <v>17167</v>
      </c>
      <c r="D125" s="63"/>
      <c r="E125" s="135">
        <v>67.87</v>
      </c>
      <c r="F125" s="899"/>
    </row>
    <row r="126" spans="1:6">
      <c r="A126" s="934"/>
      <c r="B126" s="226"/>
      <c r="C126" s="227" t="s">
        <v>10</v>
      </c>
      <c r="D126" s="228"/>
      <c r="E126" s="228"/>
      <c r="F126" s="935"/>
    </row>
    <row r="127" spans="1:6">
      <c r="A127" s="1007"/>
      <c r="B127" s="247"/>
      <c r="C127" s="237" t="s">
        <v>3772</v>
      </c>
      <c r="D127" s="101"/>
      <c r="E127" s="378"/>
      <c r="F127" s="1015">
        <f>SUM(E122:E125)</f>
        <v>441.14</v>
      </c>
    </row>
    <row r="128" spans="1:6">
      <c r="A128" s="884">
        <v>39904</v>
      </c>
      <c r="B128" s="76" t="str">
        <f>TiposLancamentos!B15</f>
        <v>Cartões de Crédito</v>
      </c>
      <c r="C128" s="147" t="s">
        <v>14126</v>
      </c>
      <c r="D128" s="63">
        <v>441.14</v>
      </c>
      <c r="E128" s="135"/>
      <c r="F128" s="1016"/>
    </row>
    <row r="129" spans="1:6">
      <c r="A129" s="934"/>
      <c r="B129" s="226"/>
      <c r="C129" s="227" t="s">
        <v>10</v>
      </c>
      <c r="D129" s="228"/>
      <c r="E129" s="228"/>
      <c r="F129" s="935"/>
    </row>
    <row r="130" spans="1:6">
      <c r="A130" s="1007"/>
      <c r="B130" s="247"/>
      <c r="C130" s="237" t="s">
        <v>5703</v>
      </c>
      <c r="D130" s="101"/>
      <c r="E130" s="378"/>
      <c r="F130" s="1015">
        <f>SUM(E127:E128)</f>
        <v>0</v>
      </c>
    </row>
    <row r="131" spans="1:6">
      <c r="A131" s="1011"/>
      <c r="B131" s="413"/>
      <c r="C131" s="414" t="s">
        <v>10</v>
      </c>
      <c r="D131" s="415"/>
      <c r="E131" s="415"/>
      <c r="F131" s="1012"/>
    </row>
    <row r="132" spans="1:6">
      <c r="A132" s="1007"/>
      <c r="B132" s="247"/>
      <c r="C132" s="237" t="s">
        <v>5706</v>
      </c>
      <c r="D132" s="101"/>
      <c r="E132" s="378"/>
      <c r="F132" s="1015"/>
    </row>
    <row r="133" spans="1:6">
      <c r="A133" s="1011"/>
      <c r="B133" s="413"/>
      <c r="C133" s="414" t="s">
        <v>10</v>
      </c>
      <c r="D133" s="415"/>
      <c r="E133" s="420"/>
      <c r="F133" s="1017"/>
    </row>
    <row r="134" spans="1:6">
      <c r="A134" s="884"/>
      <c r="B134" s="76"/>
      <c r="C134" s="147" t="s">
        <v>5715</v>
      </c>
      <c r="D134" s="63"/>
      <c r="E134" s="135"/>
      <c r="F134" s="1016"/>
    </row>
    <row r="135" spans="1:6">
      <c r="A135" s="1007">
        <v>40117</v>
      </c>
      <c r="B135" s="247" t="str">
        <f>TiposLancamentos!B16</f>
        <v>Cristiane</v>
      </c>
      <c r="C135" s="237" t="s">
        <v>13305</v>
      </c>
      <c r="D135" s="101"/>
      <c r="E135" s="378">
        <v>110</v>
      </c>
      <c r="F135" s="1015"/>
    </row>
    <row r="136" spans="1:6">
      <c r="A136" s="1009"/>
      <c r="B136" s="252"/>
      <c r="C136" s="244"/>
      <c r="D136" s="106"/>
      <c r="E136" s="412"/>
      <c r="F136" s="1018"/>
    </row>
    <row r="137" spans="1:6">
      <c r="A137" s="884"/>
      <c r="B137" s="76"/>
      <c r="C137" s="147" t="s">
        <v>17168</v>
      </c>
      <c r="D137" s="63"/>
      <c r="E137" s="135"/>
      <c r="F137" s="1016"/>
    </row>
    <row r="138" spans="1:6">
      <c r="A138" s="884">
        <v>40148</v>
      </c>
      <c r="B138" s="76" t="str">
        <f>TiposLancamentos!B15</f>
        <v>Cartões de Crédito</v>
      </c>
      <c r="C138" s="147" t="s">
        <v>14126</v>
      </c>
      <c r="D138" s="63">
        <v>110</v>
      </c>
      <c r="E138" s="135"/>
      <c r="F138" s="1016"/>
    </row>
    <row r="139" spans="1:6">
      <c r="A139" s="884">
        <v>40170</v>
      </c>
      <c r="B139" s="76" t="str">
        <f>TiposLancamentos!B16</f>
        <v>Cristiane</v>
      </c>
      <c r="C139" s="147" t="s">
        <v>13305</v>
      </c>
      <c r="D139" s="63"/>
      <c r="E139" s="135">
        <v>202.7</v>
      </c>
      <c r="F139" s="1016"/>
    </row>
    <row r="140" spans="1:6">
      <c r="A140" s="934"/>
      <c r="B140" s="226"/>
      <c r="C140" s="227" t="s">
        <v>10</v>
      </c>
      <c r="D140" s="228"/>
      <c r="E140" s="228"/>
      <c r="F140" s="935"/>
    </row>
    <row r="141" spans="1:6">
      <c r="A141" s="973"/>
      <c r="B141" s="259"/>
      <c r="C141" s="270" t="s">
        <v>5778</v>
      </c>
      <c r="D141" s="110"/>
      <c r="E141" s="421"/>
      <c r="F141" s="1019"/>
    </row>
    <row r="142" spans="1:6">
      <c r="A142" s="884">
        <v>40210</v>
      </c>
      <c r="B142" s="76" t="str">
        <f>TiposLancamentos!B15</f>
        <v>Cartões de Crédito</v>
      </c>
      <c r="C142" s="147" t="s">
        <v>17169</v>
      </c>
      <c r="D142" s="63">
        <v>202.7</v>
      </c>
      <c r="E142" s="135"/>
      <c r="F142" s="1016"/>
    </row>
    <row r="143" spans="1:6">
      <c r="A143" s="1020"/>
      <c r="B143" s="422"/>
      <c r="C143" s="423" t="s">
        <v>10</v>
      </c>
      <c r="D143" s="424"/>
      <c r="E143" s="424"/>
      <c r="F143" s="1021"/>
    </row>
    <row r="144" spans="1:6">
      <c r="A144" s="973"/>
      <c r="B144" s="259"/>
      <c r="C144" s="270" t="s">
        <v>3996</v>
      </c>
      <c r="D144" s="110"/>
      <c r="E144" s="421">
        <f>SUM(E140:E143)</f>
        <v>0</v>
      </c>
      <c r="F144" s="1019"/>
    </row>
    <row r="145" spans="1:6">
      <c r="A145" s="934"/>
      <c r="B145" s="226"/>
      <c r="C145" s="227" t="s">
        <v>10</v>
      </c>
      <c r="D145" s="228"/>
      <c r="E145" s="228"/>
      <c r="F145" s="935"/>
    </row>
    <row r="146" spans="1:6">
      <c r="A146" s="884">
        <v>40241</v>
      </c>
      <c r="B146" s="76" t="str">
        <f>TiposLancamentos!B4</f>
        <v>Taxas Bancarias</v>
      </c>
      <c r="C146" s="147" t="s">
        <v>17170</v>
      </c>
      <c r="D146" s="63"/>
      <c r="E146" s="135">
        <v>23.32</v>
      </c>
      <c r="F146" s="1016"/>
    </row>
    <row r="147" spans="1:6">
      <c r="A147" s="884">
        <v>40241</v>
      </c>
      <c r="B147" s="76" t="str">
        <f>TiposLancamentos!B4</f>
        <v>Taxas Bancarias</v>
      </c>
      <c r="C147" s="147" t="s">
        <v>17171</v>
      </c>
      <c r="D147" s="63"/>
      <c r="E147" s="135">
        <v>23.32</v>
      </c>
      <c r="F147" s="1016"/>
    </row>
    <row r="148" spans="1:6">
      <c r="A148" s="973"/>
      <c r="B148" s="259"/>
      <c r="C148" s="270" t="s">
        <v>4006</v>
      </c>
      <c r="D148" s="110"/>
      <c r="E148" s="421"/>
      <c r="F148" s="1019"/>
    </row>
    <row r="149" spans="1:6">
      <c r="A149" s="884">
        <v>40274</v>
      </c>
      <c r="B149" s="76" t="str">
        <f>TiposLancamentos!B4</f>
        <v>Taxas Bancarias</v>
      </c>
      <c r="C149" s="147" t="s">
        <v>14738</v>
      </c>
      <c r="D149" s="63"/>
      <c r="E149" s="135">
        <v>2.38</v>
      </c>
      <c r="F149" s="1016"/>
    </row>
    <row r="150" spans="1:6">
      <c r="A150" s="884">
        <v>40288</v>
      </c>
      <c r="B150" s="76" t="str">
        <f>TiposLancamentos!B15</f>
        <v>Cartões de Crédito</v>
      </c>
      <c r="C150" s="147" t="s">
        <v>17172</v>
      </c>
      <c r="D150" s="63">
        <v>20</v>
      </c>
      <c r="E150" s="135"/>
      <c r="F150" s="1016"/>
    </row>
    <row r="151" spans="1:6">
      <c r="A151" s="1022"/>
      <c r="B151" s="752"/>
      <c r="C151" s="753" t="s">
        <v>4019</v>
      </c>
      <c r="D151" s="754"/>
      <c r="E151" s="784"/>
      <c r="F151" s="1023"/>
    </row>
    <row r="152" spans="1:6">
      <c r="A152" s="884">
        <v>40301</v>
      </c>
      <c r="B152" s="76" t="str">
        <f>TiposLancamentos!B15</f>
        <v>Cartões de Crédito</v>
      </c>
      <c r="C152" s="147" t="s">
        <v>17173</v>
      </c>
      <c r="D152" s="63">
        <v>5.7</v>
      </c>
      <c r="E152" s="135"/>
      <c r="F152" s="1016"/>
    </row>
    <row r="153" spans="1:6">
      <c r="A153" s="1024">
        <v>40324</v>
      </c>
      <c r="B153" s="279" t="str">
        <f>TiposLancamentos!B5</f>
        <v>Supermercado</v>
      </c>
      <c r="C153" s="280" t="s">
        <v>17174</v>
      </c>
      <c r="D153" s="281"/>
      <c r="E153" s="282">
        <v>99.53</v>
      </c>
      <c r="F153" s="1025"/>
    </row>
    <row r="154" spans="1:6">
      <c r="A154" s="884">
        <v>40360</v>
      </c>
      <c r="B154" s="76" t="str">
        <f>TiposLancamentos!B15</f>
        <v>Cartões de Crédito</v>
      </c>
      <c r="C154" s="147" t="s">
        <v>14142</v>
      </c>
      <c r="D154" s="63">
        <v>99.53</v>
      </c>
      <c r="E154" s="135"/>
      <c r="F154" s="1016"/>
    </row>
    <row r="155" spans="1:6">
      <c r="A155" s="884"/>
      <c r="B155" s="76"/>
      <c r="C155" s="147"/>
      <c r="D155" s="63"/>
      <c r="E155" s="135"/>
      <c r="F155" s="1016"/>
    </row>
    <row r="156" spans="1:6" ht="14.25" thickBot="1">
      <c r="A156" s="884">
        <v>40329</v>
      </c>
      <c r="B156" s="76" t="str">
        <f>TiposLancamentos!B78</f>
        <v>Diferenças</v>
      </c>
      <c r="C156" s="147" t="s">
        <v>16645</v>
      </c>
      <c r="D156" s="63">
        <v>23.51</v>
      </c>
      <c r="E156" s="135"/>
      <c r="F156" s="1016"/>
    </row>
    <row r="157" spans="1:6">
      <c r="A157" s="1032"/>
      <c r="B157" s="894"/>
      <c r="C157" s="906" t="s">
        <v>17175</v>
      </c>
      <c r="D157" s="896"/>
      <c r="E157" s="1033"/>
      <c r="F157" s="1034"/>
    </row>
    <row r="158" spans="1:6">
      <c r="A158" s="934"/>
      <c r="B158" s="226"/>
      <c r="C158" s="227" t="s">
        <v>10</v>
      </c>
      <c r="D158" s="228"/>
      <c r="E158" s="228"/>
      <c r="F158" s="935"/>
    </row>
    <row r="159" spans="1:6">
      <c r="A159" s="884">
        <v>41572</v>
      </c>
      <c r="B159" s="76" t="str">
        <f>TiposLancamentos!B5</f>
        <v>Supermercado</v>
      </c>
      <c r="C159" s="147" t="s">
        <v>5977</v>
      </c>
      <c r="D159" s="63"/>
      <c r="E159" s="135">
        <v>152.57</v>
      </c>
      <c r="F159" s="1016"/>
    </row>
    <row r="160" spans="1:6">
      <c r="A160" s="884">
        <v>41573</v>
      </c>
      <c r="B160" s="76" t="str">
        <f>TiposLancamentos!B19</f>
        <v>Restaurantes</v>
      </c>
      <c r="C160" s="147" t="s">
        <v>5914</v>
      </c>
      <c r="D160" s="63"/>
      <c r="E160" s="135">
        <v>36.200000000000003</v>
      </c>
      <c r="F160" s="1016"/>
    </row>
    <row r="161" spans="1:6">
      <c r="A161" s="884">
        <v>41573</v>
      </c>
      <c r="B161" s="76" t="str">
        <f>TiposLancamentos!B16</f>
        <v>Cristiane</v>
      </c>
      <c r="C161" s="147" t="s">
        <v>17176</v>
      </c>
      <c r="D161" s="63"/>
      <c r="E161" s="135">
        <v>136</v>
      </c>
      <c r="F161" s="1016"/>
    </row>
    <row r="162" spans="1:6">
      <c r="A162" s="884">
        <v>41573</v>
      </c>
      <c r="B162" s="76" t="str">
        <f>TiposLancamentos!B5</f>
        <v>Supermercado</v>
      </c>
      <c r="C162" s="147" t="s">
        <v>5957</v>
      </c>
      <c r="D162" s="63"/>
      <c r="E162" s="135">
        <v>44.71</v>
      </c>
      <c r="F162" s="1016"/>
    </row>
    <row r="163" spans="1:6">
      <c r="A163" s="884">
        <v>41576</v>
      </c>
      <c r="B163" s="76" t="str">
        <f>TiposLancamentos!B19</f>
        <v>Restaurantes</v>
      </c>
      <c r="C163" s="147" t="s">
        <v>17177</v>
      </c>
      <c r="D163" s="63"/>
      <c r="E163" s="135">
        <v>38.880000000000003</v>
      </c>
      <c r="F163" s="1016"/>
    </row>
    <row r="164" spans="1:6">
      <c r="A164" s="884">
        <v>41577</v>
      </c>
      <c r="B164" s="76" t="str">
        <f>TiposLancamentos!B56</f>
        <v>Farmácia</v>
      </c>
      <c r="C164" s="147" t="s">
        <v>17178</v>
      </c>
      <c r="D164" s="63"/>
      <c r="E164" s="135">
        <v>75.88</v>
      </c>
      <c r="F164" s="1016"/>
    </row>
    <row r="165" spans="1:6" ht="14.25" thickBot="1">
      <c r="A165" s="885">
        <v>41578</v>
      </c>
      <c r="B165" s="901" t="str">
        <f>TiposLancamentos!B22</f>
        <v>Combustivel</v>
      </c>
      <c r="C165" s="902" t="s">
        <v>6555</v>
      </c>
      <c r="D165" s="903"/>
      <c r="E165" s="1035">
        <v>121.04</v>
      </c>
      <c r="F165" s="1036"/>
    </row>
    <row r="166" spans="1:6">
      <c r="A166" s="1032"/>
      <c r="B166" s="894"/>
      <c r="C166" s="906" t="s">
        <v>13648</v>
      </c>
      <c r="D166" s="896"/>
      <c r="E166" s="1033"/>
      <c r="F166" s="1034"/>
    </row>
    <row r="167" spans="1:6">
      <c r="A167" s="884">
        <v>41579</v>
      </c>
      <c r="B167" s="76" t="str">
        <f>TiposLancamentos!B28</f>
        <v>ComicBook</v>
      </c>
      <c r="C167" s="147" t="s">
        <v>17179</v>
      </c>
      <c r="D167" s="63"/>
      <c r="E167" s="135">
        <v>27.1</v>
      </c>
      <c r="F167" s="1016"/>
    </row>
    <row r="168" spans="1:6">
      <c r="A168" s="884">
        <v>41580</v>
      </c>
      <c r="B168" s="76" t="str">
        <f>TiposLancamentos!B29</f>
        <v>Mangá</v>
      </c>
      <c r="C168" s="147" t="s">
        <v>17180</v>
      </c>
      <c r="D168" s="63"/>
      <c r="E168" s="135">
        <v>34.42</v>
      </c>
      <c r="F168" s="1016"/>
    </row>
    <row r="169" spans="1:6">
      <c r="A169" s="884">
        <v>41580</v>
      </c>
      <c r="B169" s="76" t="str">
        <f>TiposLancamentos!B22</f>
        <v>Combustivel</v>
      </c>
      <c r="C169" s="147" t="s">
        <v>6718</v>
      </c>
      <c r="D169" s="63"/>
      <c r="E169" s="135">
        <v>120.02</v>
      </c>
      <c r="F169" s="1016"/>
    </row>
    <row r="170" spans="1:6">
      <c r="A170" s="884">
        <v>41580</v>
      </c>
      <c r="B170" s="76" t="str">
        <f>TiposLancamentos!B19</f>
        <v>Restaurantes</v>
      </c>
      <c r="C170" s="147" t="s">
        <v>17181</v>
      </c>
      <c r="D170" s="63"/>
      <c r="E170" s="135">
        <v>83.34</v>
      </c>
      <c r="F170" s="1016"/>
    </row>
    <row r="171" spans="1:6">
      <c r="A171" s="884">
        <v>41581</v>
      </c>
      <c r="B171" s="76" t="str">
        <f>TiposLancamentos!B5</f>
        <v>Supermercado</v>
      </c>
      <c r="C171" s="147" t="s">
        <v>17182</v>
      </c>
      <c r="D171" s="63"/>
      <c r="E171" s="135">
        <v>25.8</v>
      </c>
      <c r="F171" s="1016"/>
    </row>
    <row r="172" spans="1:6">
      <c r="A172" s="884">
        <v>41581</v>
      </c>
      <c r="B172" s="76" t="str">
        <f>TiposLancamentos!B5</f>
        <v>Supermercado</v>
      </c>
      <c r="C172" s="147" t="s">
        <v>17183</v>
      </c>
      <c r="D172" s="63"/>
      <c r="E172" s="135">
        <v>25.88</v>
      </c>
      <c r="F172" s="1016"/>
    </row>
    <row r="173" spans="1:6">
      <c r="A173" s="884">
        <v>41582</v>
      </c>
      <c r="B173" s="76" t="str">
        <f>TiposLancamentos!B29</f>
        <v>Mangá</v>
      </c>
      <c r="C173" s="147" t="s">
        <v>17184</v>
      </c>
      <c r="D173" s="63"/>
      <c r="E173" s="135">
        <v>60</v>
      </c>
      <c r="F173" s="1016"/>
    </row>
    <row r="174" spans="1:6">
      <c r="A174" s="884">
        <v>41583</v>
      </c>
      <c r="B174" s="76" t="str">
        <f>TiposLancamentos!B5</f>
        <v>Supermercado</v>
      </c>
      <c r="C174" s="147" t="s">
        <v>5957</v>
      </c>
      <c r="D174" s="63"/>
      <c r="E174" s="135">
        <v>35.11</v>
      </c>
      <c r="F174" s="1016"/>
    </row>
    <row r="175" spans="1:6">
      <c r="A175" s="884">
        <v>41587</v>
      </c>
      <c r="B175" s="76" t="str">
        <f>TiposLancamentos!B19</f>
        <v>Restaurantes</v>
      </c>
      <c r="C175" s="147" t="s">
        <v>6832</v>
      </c>
      <c r="D175" s="63"/>
      <c r="E175" s="135">
        <v>122.43</v>
      </c>
      <c r="F175" s="1016"/>
    </row>
    <row r="176" spans="1:6">
      <c r="A176" s="884">
        <v>41587</v>
      </c>
      <c r="B176" s="76" t="str">
        <f>TiposLancamentos!B5</f>
        <v>Supermercado</v>
      </c>
      <c r="C176" s="147" t="s">
        <v>5953</v>
      </c>
      <c r="D176" s="63"/>
      <c r="E176" s="135">
        <v>29.14</v>
      </c>
      <c r="F176" s="1016"/>
    </row>
    <row r="177" spans="1:6">
      <c r="A177" s="884">
        <v>41588</v>
      </c>
      <c r="B177" s="76" t="str">
        <f>TiposLancamentos!B5</f>
        <v>Supermercado</v>
      </c>
      <c r="C177" s="147" t="s">
        <v>17185</v>
      </c>
      <c r="D177" s="63"/>
      <c r="E177" s="135">
        <v>8.9499999999999993</v>
      </c>
      <c r="F177" s="1016"/>
    </row>
    <row r="178" spans="1:6">
      <c r="A178" s="884">
        <v>41591</v>
      </c>
      <c r="B178" s="76" t="str">
        <f>TiposLancamentos!B31</f>
        <v>Action Figures</v>
      </c>
      <c r="C178" s="147" t="s">
        <v>17186</v>
      </c>
      <c r="D178" s="63"/>
      <c r="E178" s="135">
        <v>49.9</v>
      </c>
      <c r="F178" s="1016"/>
    </row>
    <row r="179" spans="1:6">
      <c r="A179" s="884">
        <v>41593</v>
      </c>
      <c r="B179" s="76" t="str">
        <f>TiposLancamentos!B19</f>
        <v>Restaurantes</v>
      </c>
      <c r="C179" s="147" t="s">
        <v>17187</v>
      </c>
      <c r="D179" s="63"/>
      <c r="E179" s="135">
        <v>67.650000000000006</v>
      </c>
      <c r="F179" s="1016"/>
    </row>
    <row r="180" spans="1:6">
      <c r="A180" s="884">
        <v>41593</v>
      </c>
      <c r="B180" s="76" t="str">
        <f>TiposLancamentos!B16</f>
        <v>Cristiane</v>
      </c>
      <c r="C180" s="147" t="s">
        <v>17188</v>
      </c>
      <c r="D180" s="63"/>
      <c r="E180" s="135">
        <v>84.99</v>
      </c>
      <c r="F180" s="1016"/>
    </row>
    <row r="181" spans="1:6">
      <c r="A181" s="858">
        <v>41593</v>
      </c>
      <c r="B181" s="822" t="str">
        <f>TiposLancamentos!B56</f>
        <v>Farmácia</v>
      </c>
      <c r="C181" s="808" t="s">
        <v>17189</v>
      </c>
      <c r="D181" s="747"/>
      <c r="E181" s="874">
        <f>F182-E182</f>
        <v>26.599999999999994</v>
      </c>
      <c r="F181" s="959"/>
    </row>
    <row r="182" spans="1:6">
      <c r="A182" s="862">
        <v>41593</v>
      </c>
      <c r="B182" s="823" t="str">
        <f>TiposLancamentos!B16</f>
        <v>Cristiane</v>
      </c>
      <c r="C182" s="812" t="s">
        <v>6050</v>
      </c>
      <c r="D182" s="849"/>
      <c r="E182" s="875">
        <f>88.5+9</f>
        <v>97.5</v>
      </c>
      <c r="F182" s="960">
        <v>124.1</v>
      </c>
    </row>
    <row r="183" spans="1:6">
      <c r="A183" s="884">
        <v>41593</v>
      </c>
      <c r="B183" s="76" t="str">
        <f>TiposLancamentos!B22</f>
        <v>Combustivel</v>
      </c>
      <c r="C183" s="147" t="s">
        <v>6644</v>
      </c>
      <c r="D183" s="63"/>
      <c r="E183" s="135">
        <v>73</v>
      </c>
      <c r="F183" s="1016"/>
    </row>
    <row r="184" spans="1:6">
      <c r="A184" s="884">
        <v>41594</v>
      </c>
      <c r="B184" s="76" t="str">
        <f>TiposLancamentos!B19</f>
        <v>Restaurantes</v>
      </c>
      <c r="C184" s="147" t="s">
        <v>2912</v>
      </c>
      <c r="D184" s="63"/>
      <c r="E184" s="135">
        <v>26.4</v>
      </c>
      <c r="F184" s="1016"/>
    </row>
    <row r="185" spans="1:6">
      <c r="A185" s="884">
        <v>41594</v>
      </c>
      <c r="B185" s="76" t="str">
        <f>TiposLancamentos!B16</f>
        <v>Cristiane</v>
      </c>
      <c r="C185" s="147" t="s">
        <v>17190</v>
      </c>
      <c r="D185" s="63"/>
      <c r="E185" s="135">
        <v>27.25</v>
      </c>
      <c r="F185" s="1016"/>
    </row>
    <row r="186" spans="1:6">
      <c r="A186" s="884">
        <v>41594</v>
      </c>
      <c r="B186" s="76" t="str">
        <f>TiposLancamentos!B71</f>
        <v>Itens Pessoais</v>
      </c>
      <c r="C186" s="147" t="s">
        <v>17191</v>
      </c>
      <c r="D186" s="63"/>
      <c r="E186" s="135">
        <v>59.99</v>
      </c>
      <c r="F186" s="1016"/>
    </row>
    <row r="187" spans="1:6">
      <c r="A187" s="884">
        <v>41595</v>
      </c>
      <c r="B187" s="76" t="str">
        <f>TiposLancamentos!B22</f>
        <v>Combustivel</v>
      </c>
      <c r="C187" s="147" t="s">
        <v>6638</v>
      </c>
      <c r="D187" s="63"/>
      <c r="E187" s="135">
        <v>89</v>
      </c>
      <c r="F187" s="1016"/>
    </row>
    <row r="188" spans="1:6">
      <c r="A188" s="884">
        <v>41595</v>
      </c>
      <c r="B188" s="76" t="str">
        <f>TiposLancamentos!B19</f>
        <v>Restaurantes</v>
      </c>
      <c r="C188" s="147" t="s">
        <v>6528</v>
      </c>
      <c r="D188" s="63"/>
      <c r="E188" s="135">
        <v>53.2</v>
      </c>
      <c r="F188" s="1016"/>
    </row>
    <row r="189" spans="1:6">
      <c r="A189" s="858">
        <v>41597</v>
      </c>
      <c r="B189" s="822" t="str">
        <f>TiposLancamentos!B28</f>
        <v>ComicBook</v>
      </c>
      <c r="C189" s="808" t="s">
        <v>17192</v>
      </c>
      <c r="D189" s="747"/>
      <c r="E189" s="874">
        <v>71.2</v>
      </c>
      <c r="F189" s="959"/>
    </row>
    <row r="190" spans="1:6">
      <c r="A190" s="862">
        <v>41597</v>
      </c>
      <c r="B190" s="823" t="str">
        <f>TiposLancamentos!B28</f>
        <v>ComicBook</v>
      </c>
      <c r="C190" s="812" t="s">
        <v>17193</v>
      </c>
      <c r="D190" s="849"/>
      <c r="E190" s="875">
        <v>44.8</v>
      </c>
      <c r="F190" s="960">
        <f>SUM(E189:E190)</f>
        <v>116</v>
      </c>
    </row>
    <row r="191" spans="1:6">
      <c r="A191" s="934"/>
      <c r="B191" s="226"/>
      <c r="C191" s="227" t="s">
        <v>10</v>
      </c>
      <c r="D191" s="228"/>
      <c r="E191" s="228"/>
      <c r="F191" s="935"/>
    </row>
    <row r="192" spans="1:6">
      <c r="A192" s="884">
        <v>41599</v>
      </c>
      <c r="B192" s="76" t="str">
        <f>TiposLancamentos!B5</f>
        <v>Supermercado</v>
      </c>
      <c r="C192" s="878" t="s">
        <v>6234</v>
      </c>
      <c r="D192" s="63"/>
      <c r="E192" s="135">
        <v>42.68</v>
      </c>
      <c r="F192" s="1016"/>
    </row>
    <row r="193" spans="1:6">
      <c r="A193" s="884">
        <v>41600</v>
      </c>
      <c r="B193" s="76" t="str">
        <f>TiposLancamentos!B22</f>
        <v>Combustivel</v>
      </c>
      <c r="C193" s="878" t="s">
        <v>17194</v>
      </c>
      <c r="D193" s="63"/>
      <c r="E193" s="135">
        <v>112</v>
      </c>
      <c r="F193" s="1016"/>
    </row>
    <row r="194" spans="1:6">
      <c r="A194" s="884">
        <v>41600</v>
      </c>
      <c r="B194" s="76" t="str">
        <f>TiposLancamentos!B72</f>
        <v>Presentes</v>
      </c>
      <c r="C194" s="878" t="s">
        <v>17195</v>
      </c>
      <c r="D194" s="63"/>
      <c r="E194" s="135">
        <v>31.89</v>
      </c>
      <c r="F194" s="1016"/>
    </row>
    <row r="195" spans="1:6">
      <c r="A195" s="884">
        <v>41600</v>
      </c>
      <c r="B195" s="76" t="str">
        <f>TiposLancamentos!B19</f>
        <v>Restaurantes</v>
      </c>
      <c r="C195" s="878" t="s">
        <v>3698</v>
      </c>
      <c r="D195" s="63"/>
      <c r="E195" s="135">
        <v>62.57</v>
      </c>
      <c r="F195" s="1016"/>
    </row>
    <row r="196" spans="1:6">
      <c r="A196" s="884">
        <v>41601</v>
      </c>
      <c r="B196" s="76" t="str">
        <f>TiposLancamentos!B19</f>
        <v>Restaurantes</v>
      </c>
      <c r="C196" s="878" t="s">
        <v>17196</v>
      </c>
      <c r="D196" s="63"/>
      <c r="E196" s="135">
        <v>20.7</v>
      </c>
      <c r="F196" s="1016"/>
    </row>
    <row r="197" spans="1:6">
      <c r="A197" s="884">
        <v>41601</v>
      </c>
      <c r="B197" s="76" t="str">
        <f>TiposLancamentos!B5</f>
        <v>Supermercado</v>
      </c>
      <c r="C197" s="878" t="s">
        <v>6234</v>
      </c>
      <c r="D197" s="63"/>
      <c r="E197" s="135">
        <v>64.84</v>
      </c>
      <c r="F197" s="1016"/>
    </row>
    <row r="198" spans="1:6">
      <c r="A198" s="884">
        <v>41602</v>
      </c>
      <c r="B198" s="76" t="str">
        <f>TiposLancamentos!B19</f>
        <v>Restaurantes</v>
      </c>
      <c r="C198" s="878" t="s">
        <v>17197</v>
      </c>
      <c r="D198" s="63"/>
      <c r="E198" s="135">
        <v>102.3</v>
      </c>
      <c r="F198" s="1016"/>
    </row>
    <row r="199" spans="1:6">
      <c r="A199" s="884">
        <v>41603</v>
      </c>
      <c r="B199" s="76" t="str">
        <f>TiposLancamentos!B16</f>
        <v>Cristiane</v>
      </c>
      <c r="C199" s="878" t="s">
        <v>17198</v>
      </c>
      <c r="D199" s="63"/>
      <c r="E199" s="135">
        <v>29</v>
      </c>
      <c r="F199" s="1016"/>
    </row>
    <row r="200" spans="1:6">
      <c r="A200" s="884">
        <v>41603</v>
      </c>
      <c r="B200" s="76" t="str">
        <f>TiposLancamentos!B19</f>
        <v>Restaurantes</v>
      </c>
      <c r="C200" s="147" t="s">
        <v>6122</v>
      </c>
      <c r="D200" s="63"/>
      <c r="E200" s="135">
        <v>14</v>
      </c>
      <c r="F200" s="1016"/>
    </row>
    <row r="201" spans="1:6">
      <c r="A201" s="884">
        <v>41604</v>
      </c>
      <c r="B201" s="76" t="str">
        <f>TiposLancamentos!B31</f>
        <v>Action Figures</v>
      </c>
      <c r="C201" s="147" t="s">
        <v>17199</v>
      </c>
      <c r="D201" s="63"/>
      <c r="E201" s="135">
        <v>173.32</v>
      </c>
      <c r="F201" s="1016"/>
    </row>
    <row r="202" spans="1:6">
      <c r="A202" s="884">
        <v>41605</v>
      </c>
      <c r="B202" s="76" t="str">
        <f>TiposLancamentos!B88</f>
        <v>Ford Ecosport XLT</v>
      </c>
      <c r="C202" s="147" t="s">
        <v>17200</v>
      </c>
      <c r="D202" s="63"/>
      <c r="E202" s="135">
        <v>12.99</v>
      </c>
      <c r="F202" s="1016"/>
    </row>
    <row r="203" spans="1:6">
      <c r="A203" s="884">
        <v>41605</v>
      </c>
      <c r="B203" s="76" t="str">
        <f>TiposLancamentos!B88</f>
        <v>Ford Ecosport XLT</v>
      </c>
      <c r="C203" s="147" t="s">
        <v>17201</v>
      </c>
      <c r="D203" s="63"/>
      <c r="E203" s="135">
        <v>63</v>
      </c>
      <c r="F203" s="1016"/>
    </row>
    <row r="204" spans="1:6">
      <c r="A204" s="884">
        <v>41606</v>
      </c>
      <c r="B204" s="76" t="str">
        <f>TiposLancamentos!B19</f>
        <v>Restaurantes</v>
      </c>
      <c r="C204" s="147" t="s">
        <v>17202</v>
      </c>
      <c r="D204" s="63"/>
      <c r="E204" s="135">
        <v>114.52</v>
      </c>
      <c r="F204" s="1016"/>
    </row>
    <row r="205" spans="1:6">
      <c r="A205" s="884">
        <v>41607</v>
      </c>
      <c r="B205" s="76" t="str">
        <f>TiposLancamentos!B13</f>
        <v>Moradia</v>
      </c>
      <c r="C205" s="147" t="s">
        <v>17203</v>
      </c>
      <c r="D205" s="63"/>
      <c r="E205" s="135">
        <v>111</v>
      </c>
      <c r="F205" s="1016"/>
    </row>
    <row r="206" spans="1:6" ht="14.25" thickBot="1">
      <c r="A206" s="884">
        <v>41607</v>
      </c>
      <c r="B206" s="76" t="str">
        <f>TiposLancamentos!B88</f>
        <v>Ford Ecosport XLT</v>
      </c>
      <c r="C206" s="147" t="s">
        <v>17204</v>
      </c>
      <c r="D206" s="63"/>
      <c r="E206" s="135">
        <v>132</v>
      </c>
      <c r="F206" s="1016"/>
    </row>
    <row r="207" spans="1:6">
      <c r="A207" s="1032"/>
      <c r="B207" s="894"/>
      <c r="C207" s="906" t="s">
        <v>6381</v>
      </c>
      <c r="D207" s="896"/>
      <c r="E207" s="1033"/>
      <c r="F207" s="1034">
        <f>SUM(E159:E190)</f>
        <v>1948.9500000000003</v>
      </c>
    </row>
    <row r="208" spans="1:6">
      <c r="A208" s="884">
        <v>41609</v>
      </c>
      <c r="B208" s="76" t="str">
        <f>TiposLancamentos!B19</f>
        <v>Restaurantes</v>
      </c>
      <c r="C208" s="878" t="s">
        <v>17205</v>
      </c>
      <c r="D208" s="63"/>
      <c r="E208" s="135">
        <v>114.4</v>
      </c>
      <c r="F208" s="1016"/>
    </row>
    <row r="209" spans="1:6">
      <c r="A209" s="884">
        <v>41609</v>
      </c>
      <c r="B209" s="76" t="str">
        <f>TiposLancamentos!B19</f>
        <v>Restaurantes</v>
      </c>
      <c r="C209" s="878" t="s">
        <v>17206</v>
      </c>
      <c r="D209" s="63"/>
      <c r="E209" s="135">
        <v>21.12</v>
      </c>
      <c r="F209" s="1016"/>
    </row>
    <row r="210" spans="1:6">
      <c r="A210" s="884">
        <v>41609</v>
      </c>
      <c r="B210" s="76" t="str">
        <f>TiposLancamentos!B22</f>
        <v>Combustivel</v>
      </c>
      <c r="C210" s="878" t="s">
        <v>17207</v>
      </c>
      <c r="D210" s="63"/>
      <c r="E210" s="135">
        <v>112</v>
      </c>
      <c r="F210" s="1016"/>
    </row>
    <row r="211" spans="1:6">
      <c r="A211" s="884">
        <v>41610</v>
      </c>
      <c r="B211" s="76" t="str">
        <f>TiposLancamentos!B15</f>
        <v>Cartões de Crédito</v>
      </c>
      <c r="C211" s="878" t="s">
        <v>14126</v>
      </c>
      <c r="D211" s="63">
        <v>1948.95</v>
      </c>
      <c r="E211" s="135"/>
      <c r="F211" s="1016"/>
    </row>
    <row r="212" spans="1:6">
      <c r="A212" s="884">
        <v>41613</v>
      </c>
      <c r="B212" s="76" t="str">
        <f>TiposLancamentos!B5</f>
        <v>Supermercado</v>
      </c>
      <c r="C212" s="878" t="s">
        <v>3618</v>
      </c>
      <c r="D212" s="63"/>
      <c r="E212" s="135">
        <v>37.04</v>
      </c>
      <c r="F212" s="1016"/>
    </row>
    <row r="213" spans="1:6">
      <c r="A213" s="858">
        <v>41614</v>
      </c>
      <c r="B213" s="822" t="str">
        <f>TiposLancamentos!B57</f>
        <v>Informática</v>
      </c>
      <c r="C213" s="808" t="s">
        <v>17208</v>
      </c>
      <c r="D213" s="747"/>
      <c r="E213" s="874">
        <v>174.79</v>
      </c>
      <c r="F213" s="959" t="s">
        <v>17209</v>
      </c>
    </row>
    <row r="214" spans="1:6">
      <c r="A214" s="862">
        <v>41617</v>
      </c>
      <c r="B214" s="823" t="str">
        <f>TiposLancamentos!B4</f>
        <v>Taxas Bancarias</v>
      </c>
      <c r="C214" s="812" t="s">
        <v>6343</v>
      </c>
      <c r="D214" s="849"/>
      <c r="E214" s="875">
        <v>11.15</v>
      </c>
      <c r="F214" s="960" t="s">
        <v>17210</v>
      </c>
    </row>
    <row r="215" spans="1:6">
      <c r="A215" s="884">
        <v>41618</v>
      </c>
      <c r="B215" s="76" t="str">
        <f>TiposLancamentos!B31</f>
        <v>Action Figures</v>
      </c>
      <c r="C215" s="878" t="s">
        <v>17211</v>
      </c>
      <c r="D215" s="63"/>
      <c r="E215" s="135">
        <v>266.33999999999997</v>
      </c>
      <c r="F215" s="1016" t="s">
        <v>17212</v>
      </c>
    </row>
    <row r="216" spans="1:6">
      <c r="A216" s="884">
        <v>41618</v>
      </c>
      <c r="B216" s="76" t="str">
        <f>TiposLancamentos!B26</f>
        <v>LIVROS</v>
      </c>
      <c r="C216" s="878" t="s">
        <v>17213</v>
      </c>
      <c r="D216" s="63"/>
      <c r="E216" s="135">
        <v>36.619999999999997</v>
      </c>
      <c r="F216" s="1016"/>
    </row>
    <row r="217" spans="1:6">
      <c r="A217" s="884">
        <v>41619</v>
      </c>
      <c r="B217" s="76" t="str">
        <f>TiposLancamentos!B4</f>
        <v>Taxas Bancarias</v>
      </c>
      <c r="C217" s="878" t="s">
        <v>4858</v>
      </c>
      <c r="D217" s="63"/>
      <c r="E217" s="135">
        <v>16.989999999999998</v>
      </c>
      <c r="F217" s="1016"/>
    </row>
    <row r="218" spans="1:6">
      <c r="A218" s="884">
        <v>41624</v>
      </c>
      <c r="B218" s="76" t="str">
        <f>TiposLancamentos!B30</f>
        <v>Cinema</v>
      </c>
      <c r="C218" s="878" t="s">
        <v>17214</v>
      </c>
      <c r="D218" s="63"/>
      <c r="E218" s="135">
        <v>46.5</v>
      </c>
      <c r="F218" s="1016"/>
    </row>
    <row r="219" spans="1:6">
      <c r="A219" s="934"/>
      <c r="B219" s="226"/>
      <c r="C219" s="227" t="s">
        <v>10</v>
      </c>
      <c r="D219" s="228"/>
      <c r="E219" s="228"/>
      <c r="F219" s="935"/>
    </row>
    <row r="220" spans="1:6">
      <c r="A220" s="884">
        <v>41627</v>
      </c>
      <c r="B220" s="76" t="str">
        <f>TiposLancamentos!B5</f>
        <v>Supermercado</v>
      </c>
      <c r="C220" s="878" t="s">
        <v>5957</v>
      </c>
      <c r="D220" s="63"/>
      <c r="E220" s="135">
        <v>208.6</v>
      </c>
      <c r="F220" s="1016"/>
    </row>
    <row r="221" spans="1:6">
      <c r="A221" s="884">
        <v>41629</v>
      </c>
      <c r="B221" s="76" t="str">
        <f>TiposLancamentos!B19</f>
        <v>Restaurantes</v>
      </c>
      <c r="C221" s="878" t="s">
        <v>17215</v>
      </c>
      <c r="D221" s="63"/>
      <c r="E221" s="135">
        <v>149.71</v>
      </c>
      <c r="F221" s="1016"/>
    </row>
    <row r="222" spans="1:6">
      <c r="A222" s="884">
        <v>41630</v>
      </c>
      <c r="B222" s="76" t="str">
        <f>TiposLancamentos!B22</f>
        <v>Combustivel</v>
      </c>
      <c r="C222" s="878" t="s">
        <v>6718</v>
      </c>
      <c r="D222" s="63"/>
      <c r="E222" s="135">
        <v>133</v>
      </c>
      <c r="F222" s="1016"/>
    </row>
    <row r="223" spans="1:6">
      <c r="A223" s="884">
        <v>41630</v>
      </c>
      <c r="B223" s="76" t="str">
        <f>TiposLancamentos!B19</f>
        <v>Restaurantes</v>
      </c>
      <c r="C223" s="878" t="s">
        <v>16873</v>
      </c>
      <c r="D223" s="63"/>
      <c r="E223" s="135">
        <v>114.4</v>
      </c>
      <c r="F223" s="1016"/>
    </row>
    <row r="224" spans="1:6">
      <c r="A224" s="884">
        <v>41630</v>
      </c>
      <c r="B224" s="76" t="str">
        <f>TiposLancamentos!B16</f>
        <v>Cristiane</v>
      </c>
      <c r="C224" s="878" t="s">
        <v>17216</v>
      </c>
      <c r="D224" s="63"/>
      <c r="E224" s="135">
        <v>79.8</v>
      </c>
      <c r="F224" s="1016"/>
    </row>
    <row r="225" spans="1:6">
      <c r="A225" s="884">
        <v>41630</v>
      </c>
      <c r="B225" s="76" t="str">
        <f>TiposLancamentos!B24</f>
        <v>Estacionamentos</v>
      </c>
      <c r="C225" s="878" t="s">
        <v>17217</v>
      </c>
      <c r="D225" s="63"/>
      <c r="E225" s="135">
        <v>16</v>
      </c>
      <c r="F225" s="1016"/>
    </row>
    <row r="226" spans="1:6">
      <c r="A226" s="884">
        <v>41630</v>
      </c>
      <c r="B226" s="76" t="str">
        <f>TiposLancamentos!B28</f>
        <v>ComicBook</v>
      </c>
      <c r="C226" s="878" t="s">
        <v>17218</v>
      </c>
      <c r="D226" s="63"/>
      <c r="E226" s="135">
        <v>36.799999999999997</v>
      </c>
      <c r="F226" s="1016"/>
    </row>
    <row r="227" spans="1:6">
      <c r="A227" s="884">
        <v>41630</v>
      </c>
      <c r="B227" s="76" t="str">
        <f>TiposLancamentos!B16</f>
        <v>Cristiane</v>
      </c>
      <c r="C227" s="878" t="s">
        <v>17219</v>
      </c>
      <c r="D227" s="63"/>
      <c r="E227" s="135">
        <v>154.80000000000001</v>
      </c>
      <c r="F227" s="1016"/>
    </row>
    <row r="228" spans="1:6">
      <c r="A228" s="884">
        <v>41630</v>
      </c>
      <c r="B228" s="76" t="str">
        <f>TiposLancamentos!B31</f>
        <v>Action Figures</v>
      </c>
      <c r="C228" s="878" t="s">
        <v>17220</v>
      </c>
      <c r="D228" s="63"/>
      <c r="E228" s="135">
        <v>278.99</v>
      </c>
      <c r="F228" s="1016"/>
    </row>
    <row r="229" spans="1:6">
      <c r="A229" s="884">
        <v>41630</v>
      </c>
      <c r="B229" s="76" t="str">
        <f>TiposLancamentos!B5</f>
        <v>Supermercado</v>
      </c>
      <c r="C229" s="878" t="s">
        <v>6201</v>
      </c>
      <c r="D229" s="63"/>
      <c r="E229" s="135">
        <v>82.79</v>
      </c>
      <c r="F229" s="1016"/>
    </row>
    <row r="230" spans="1:6">
      <c r="A230" s="884">
        <v>41631</v>
      </c>
      <c r="B230" s="76" t="str">
        <f>TiposLancamentos!B45</f>
        <v>Online Services</v>
      </c>
      <c r="C230" s="878" t="s">
        <v>17221</v>
      </c>
      <c r="D230" s="63"/>
      <c r="E230" s="135">
        <v>10</v>
      </c>
      <c r="F230" s="1016"/>
    </row>
    <row r="231" spans="1:6">
      <c r="A231" s="884">
        <v>41632</v>
      </c>
      <c r="B231" s="76" t="str">
        <f>TiposLancamentos!B16</f>
        <v>Cristiane</v>
      </c>
      <c r="C231" s="878" t="s">
        <v>17222</v>
      </c>
      <c r="D231" s="63"/>
      <c r="E231" s="135">
        <v>20.9</v>
      </c>
      <c r="F231" s="1016"/>
    </row>
    <row r="232" spans="1:6">
      <c r="A232" s="884">
        <v>41632</v>
      </c>
      <c r="B232" s="76" t="str">
        <f>TiposLancamentos!B19</f>
        <v>Restaurantes</v>
      </c>
      <c r="C232" s="878" t="s">
        <v>6230</v>
      </c>
      <c r="D232" s="63"/>
      <c r="E232" s="135">
        <v>67.14</v>
      </c>
      <c r="F232" s="1016"/>
    </row>
    <row r="233" spans="1:6">
      <c r="A233" s="884">
        <v>41633</v>
      </c>
      <c r="B233" s="76" t="str">
        <f>TiposLancamentos!B3</f>
        <v>Internet</v>
      </c>
      <c r="C233" s="878" t="s">
        <v>10734</v>
      </c>
      <c r="D233" s="63"/>
      <c r="E233" s="135">
        <v>29</v>
      </c>
      <c r="F233" s="1016"/>
    </row>
    <row r="234" spans="1:6">
      <c r="A234" s="884">
        <v>41633</v>
      </c>
      <c r="B234" s="76" t="str">
        <f>TiposLancamentos!B28</f>
        <v>ComicBook</v>
      </c>
      <c r="C234" s="878" t="s">
        <v>17223</v>
      </c>
      <c r="D234" s="63"/>
      <c r="E234" s="135">
        <v>25.1</v>
      </c>
      <c r="F234" s="1016"/>
    </row>
    <row r="235" spans="1:6">
      <c r="A235" s="884">
        <v>41634</v>
      </c>
      <c r="B235" s="76" t="str">
        <f>TiposLancamentos!B19</f>
        <v>Restaurantes</v>
      </c>
      <c r="C235" s="878" t="s">
        <v>17224</v>
      </c>
      <c r="D235" s="63"/>
      <c r="E235" s="135">
        <v>89.98</v>
      </c>
      <c r="F235" s="1016"/>
    </row>
    <row r="236" spans="1:6">
      <c r="A236" s="884">
        <v>41634</v>
      </c>
      <c r="B236" s="76" t="str">
        <f>TiposLancamentos!B5</f>
        <v>Supermercado</v>
      </c>
      <c r="C236" s="878" t="s">
        <v>17225</v>
      </c>
      <c r="D236" s="63"/>
      <c r="E236" s="135">
        <v>89.03</v>
      </c>
      <c r="F236" s="1016"/>
    </row>
    <row r="237" spans="1:6">
      <c r="A237" s="884">
        <v>41635</v>
      </c>
      <c r="B237" s="76" t="str">
        <f>TiposLancamentos!B19</f>
        <v>Restaurantes</v>
      </c>
      <c r="C237" s="878" t="s">
        <v>10857</v>
      </c>
      <c r="D237" s="63"/>
      <c r="E237" s="135">
        <v>154.66</v>
      </c>
      <c r="F237" s="1016"/>
    </row>
    <row r="238" spans="1:6">
      <c r="A238" s="884">
        <v>41635</v>
      </c>
      <c r="B238" s="76" t="str">
        <f>TiposLancamentos!B16</f>
        <v>Cristiane</v>
      </c>
      <c r="C238" s="878" t="s">
        <v>17226</v>
      </c>
      <c r="D238" s="63"/>
      <c r="E238" s="135">
        <v>69.900000000000006</v>
      </c>
      <c r="F238" s="1016"/>
    </row>
    <row r="239" spans="1:6" ht="14.25" thickBot="1">
      <c r="A239" s="884">
        <v>41636</v>
      </c>
      <c r="B239" s="76" t="str">
        <f>TiposLancamentos!B16</f>
        <v>Cristiane</v>
      </c>
      <c r="C239" s="878" t="s">
        <v>12541</v>
      </c>
      <c r="D239" s="63"/>
      <c r="E239" s="135">
        <v>63.9</v>
      </c>
      <c r="F239" s="1016"/>
    </row>
    <row r="240" spans="1:6">
      <c r="A240" s="1032"/>
      <c r="B240" s="894"/>
      <c r="C240" s="906" t="s">
        <v>6426</v>
      </c>
      <c r="D240" s="896"/>
      <c r="E240" s="1033"/>
      <c r="F240" s="1034">
        <f>SUM(E192:E218)</f>
        <v>1923.7599999999998</v>
      </c>
    </row>
    <row r="241" spans="1:6">
      <c r="A241" s="884">
        <v>41641</v>
      </c>
      <c r="B241" s="76" t="str">
        <f>TiposLancamentos!B15</f>
        <v>Cartões de Crédito</v>
      </c>
      <c r="C241" s="878" t="s">
        <v>1874</v>
      </c>
      <c r="D241" s="63">
        <v>1923.76</v>
      </c>
      <c r="E241" s="135"/>
      <c r="F241" s="1016">
        <f>F240-F207</f>
        <v>-25.190000000000509</v>
      </c>
    </row>
    <row r="242" spans="1:6">
      <c r="A242" s="884">
        <v>41642</v>
      </c>
      <c r="B242" s="76" t="str">
        <f>TiposLancamentos!B19</f>
        <v>Restaurantes</v>
      </c>
      <c r="C242" s="878" t="s">
        <v>17227</v>
      </c>
      <c r="D242" s="63"/>
      <c r="E242" s="135">
        <v>96.58</v>
      </c>
      <c r="F242" s="1016"/>
    </row>
    <row r="243" spans="1:6">
      <c r="A243" s="884">
        <v>41643</v>
      </c>
      <c r="B243" s="76" t="str">
        <f>TiposLancamentos!B16</f>
        <v>Cristiane</v>
      </c>
      <c r="C243" s="878" t="s">
        <v>17228</v>
      </c>
      <c r="D243" s="63"/>
      <c r="E243" s="135">
        <v>76.25</v>
      </c>
      <c r="F243" s="1016"/>
    </row>
    <row r="244" spans="1:6">
      <c r="A244" s="884">
        <v>41643</v>
      </c>
      <c r="B244" s="76" t="str">
        <f>TiposLancamentos!B19</f>
        <v>Restaurantes</v>
      </c>
      <c r="C244" s="878" t="s">
        <v>17229</v>
      </c>
      <c r="D244" s="63"/>
      <c r="E244" s="135">
        <v>59.6</v>
      </c>
      <c r="F244" s="1016"/>
    </row>
    <row r="245" spans="1:6">
      <c r="A245" s="884">
        <v>41643</v>
      </c>
      <c r="B245" s="76" t="str">
        <f>TiposLancamentos!B16</f>
        <v>Cristiane</v>
      </c>
      <c r="C245" s="878" t="s">
        <v>17230</v>
      </c>
      <c r="D245" s="63"/>
      <c r="E245" s="135">
        <v>33.9</v>
      </c>
      <c r="F245" s="1016"/>
    </row>
    <row r="246" spans="1:6">
      <c r="A246" s="884">
        <v>41643</v>
      </c>
      <c r="B246" s="76" t="str">
        <f>TiposLancamentos!B19</f>
        <v>Restaurantes</v>
      </c>
      <c r="C246" s="878" t="s">
        <v>17231</v>
      </c>
      <c r="D246" s="63"/>
      <c r="E246" s="135">
        <v>30.2</v>
      </c>
      <c r="F246" s="1016"/>
    </row>
    <row r="247" spans="1:6">
      <c r="A247" s="884">
        <v>41643</v>
      </c>
      <c r="B247" s="76" t="str">
        <f>TiposLancamentos!B24</f>
        <v>Estacionamentos</v>
      </c>
      <c r="C247" s="878" t="s">
        <v>17232</v>
      </c>
      <c r="D247" s="63"/>
      <c r="E247" s="135">
        <v>16</v>
      </c>
      <c r="F247" s="1016"/>
    </row>
    <row r="248" spans="1:6">
      <c r="A248" s="884">
        <v>41644</v>
      </c>
      <c r="B248" s="76" t="str">
        <f>TiposLancamentos!B5</f>
        <v>Supermercado</v>
      </c>
      <c r="C248" s="878" t="s">
        <v>17233</v>
      </c>
      <c r="D248" s="63"/>
      <c r="E248" s="135">
        <v>24.17</v>
      </c>
      <c r="F248" s="1016"/>
    </row>
    <row r="249" spans="1:6">
      <c r="A249" s="884">
        <v>41644</v>
      </c>
      <c r="B249" s="76" t="str">
        <f>TiposLancamentos!B19</f>
        <v>Restaurantes</v>
      </c>
      <c r="C249" s="878" t="s">
        <v>5909</v>
      </c>
      <c r="D249" s="63"/>
      <c r="E249" s="135">
        <v>36.5</v>
      </c>
      <c r="F249" s="1016"/>
    </row>
    <row r="250" spans="1:6">
      <c r="A250" s="884">
        <v>41645</v>
      </c>
      <c r="B250" s="76" t="str">
        <f>TiposLancamentos!B37</f>
        <v>Playstation 3</v>
      </c>
      <c r="C250" s="878" t="s">
        <v>17234</v>
      </c>
      <c r="D250" s="63"/>
      <c r="E250" s="135">
        <v>107.66</v>
      </c>
      <c r="F250" s="1016"/>
    </row>
    <row r="251" spans="1:6">
      <c r="A251" s="884">
        <v>41649</v>
      </c>
      <c r="B251" s="76" t="str">
        <f>TiposLancamentos!B31</f>
        <v>Action Figures</v>
      </c>
      <c r="C251" s="878" t="s">
        <v>17235</v>
      </c>
      <c r="D251" s="63"/>
      <c r="E251" s="135">
        <v>112.44</v>
      </c>
      <c r="F251" s="1016"/>
    </row>
    <row r="252" spans="1:6">
      <c r="A252" s="884">
        <v>41649</v>
      </c>
      <c r="B252" s="76" t="str">
        <f>TiposLancamentos!B19</f>
        <v>Restaurantes</v>
      </c>
      <c r="C252" s="878" t="s">
        <v>17236</v>
      </c>
      <c r="D252" s="63"/>
      <c r="E252" s="135">
        <v>23.5</v>
      </c>
      <c r="F252" s="1016"/>
    </row>
    <row r="253" spans="1:6">
      <c r="A253" s="884">
        <v>41650</v>
      </c>
      <c r="B253" s="76" t="str">
        <f>TiposLancamentos!B5</f>
        <v>Supermercado</v>
      </c>
      <c r="C253" s="878" t="s">
        <v>17237</v>
      </c>
      <c r="D253" s="63"/>
      <c r="E253" s="135">
        <v>111.45</v>
      </c>
      <c r="F253" s="1016"/>
    </row>
    <row r="254" spans="1:6">
      <c r="A254" s="884">
        <v>41653</v>
      </c>
      <c r="B254" s="76" t="str">
        <f>TiposLancamentos!B5</f>
        <v>Supermercado</v>
      </c>
      <c r="C254" s="878" t="s">
        <v>6414</v>
      </c>
      <c r="D254" s="63"/>
      <c r="E254" s="135">
        <v>21.78</v>
      </c>
      <c r="F254" s="1016"/>
    </row>
    <row r="255" spans="1:6">
      <c r="A255" s="884">
        <v>41654</v>
      </c>
      <c r="B255" s="76" t="str">
        <f>TiposLancamentos!B16</f>
        <v>Cristiane</v>
      </c>
      <c r="C255" s="878" t="s">
        <v>13742</v>
      </c>
      <c r="D255" s="63"/>
      <c r="E255" s="135">
        <v>119.9</v>
      </c>
      <c r="F255" s="1016"/>
    </row>
    <row r="256" spans="1:6">
      <c r="A256" s="884">
        <v>41654</v>
      </c>
      <c r="B256" s="76" t="str">
        <f>TiposLancamentos!B19</f>
        <v>Restaurantes</v>
      </c>
      <c r="C256" s="878" t="s">
        <v>6230</v>
      </c>
      <c r="D256" s="63"/>
      <c r="E256" s="135">
        <v>58.08</v>
      </c>
      <c r="F256" s="1016"/>
    </row>
    <row r="257" spans="1:6">
      <c r="A257" s="884">
        <v>41656</v>
      </c>
      <c r="B257" s="76" t="str">
        <f>TiposLancamentos!B56</f>
        <v>Farmácia</v>
      </c>
      <c r="C257" s="878" t="s">
        <v>6118</v>
      </c>
      <c r="D257" s="63"/>
      <c r="E257" s="135">
        <v>61.33</v>
      </c>
      <c r="F257" s="1016"/>
    </row>
    <row r="258" spans="1:6">
      <c r="A258" s="884">
        <v>41659</v>
      </c>
      <c r="B258" s="76" t="str">
        <f>TiposLancamentos!B22</f>
        <v>Combustivel</v>
      </c>
      <c r="C258" s="878" t="s">
        <v>6718</v>
      </c>
      <c r="D258" s="63"/>
      <c r="E258" s="135">
        <v>60</v>
      </c>
      <c r="F258" s="1016"/>
    </row>
    <row r="259" spans="1:6">
      <c r="A259" s="884">
        <v>41659</v>
      </c>
      <c r="B259" s="76" t="str">
        <f>TiposLancamentos!B19</f>
        <v>Restaurantes</v>
      </c>
      <c r="C259" s="878" t="s">
        <v>17238</v>
      </c>
      <c r="D259" s="63"/>
      <c r="E259" s="135">
        <v>25.31</v>
      </c>
      <c r="F259" s="1016"/>
    </row>
    <row r="260" spans="1:6">
      <c r="A260" s="884">
        <v>41659</v>
      </c>
      <c r="B260" s="76" t="str">
        <f>TiposLancamentos!B22</f>
        <v>Combustivel</v>
      </c>
      <c r="C260" s="878" t="s">
        <v>6412</v>
      </c>
      <c r="D260" s="63"/>
      <c r="E260" s="135">
        <v>60</v>
      </c>
      <c r="F260" s="1016"/>
    </row>
    <row r="261" spans="1:6">
      <c r="A261" s="884">
        <v>41659</v>
      </c>
      <c r="B261" s="76" t="str">
        <f>TiposLancamentos!B19</f>
        <v>Restaurantes</v>
      </c>
      <c r="C261" s="878" t="s">
        <v>17239</v>
      </c>
      <c r="D261" s="63"/>
      <c r="E261" s="135">
        <v>27.17</v>
      </c>
      <c r="F261" s="1016"/>
    </row>
    <row r="262" spans="1:6">
      <c r="A262" s="884">
        <v>41660</v>
      </c>
      <c r="B262" s="76" t="str">
        <f>TiposLancamentos!B4</f>
        <v>Taxas Bancarias</v>
      </c>
      <c r="C262" s="878" t="s">
        <v>17240</v>
      </c>
      <c r="D262" s="63"/>
      <c r="E262" s="135">
        <v>3.88</v>
      </c>
      <c r="F262" s="1016"/>
    </row>
    <row r="263" spans="1:6">
      <c r="A263" s="934"/>
      <c r="B263" s="226"/>
      <c r="C263" s="227" t="s">
        <v>10</v>
      </c>
      <c r="D263" s="228"/>
      <c r="E263" s="228"/>
      <c r="F263" s="935"/>
    </row>
    <row r="264" spans="1:6">
      <c r="A264" s="884">
        <v>41660</v>
      </c>
      <c r="B264" s="76" t="str">
        <f>TiposLancamentos!B19</f>
        <v>Restaurantes</v>
      </c>
      <c r="C264" s="878" t="s">
        <v>5914</v>
      </c>
      <c r="D264" s="63"/>
      <c r="E264" s="135">
        <v>17.3</v>
      </c>
      <c r="F264" s="1016"/>
    </row>
    <row r="265" spans="1:6">
      <c r="A265" s="884">
        <v>41660</v>
      </c>
      <c r="B265" s="76" t="str">
        <f>TiposLancamentos!B5</f>
        <v>Supermercado</v>
      </c>
      <c r="C265" s="878" t="s">
        <v>6414</v>
      </c>
      <c r="D265" s="63"/>
      <c r="E265" s="135">
        <v>146.76</v>
      </c>
      <c r="F265" s="1016"/>
    </row>
    <row r="266" spans="1:6">
      <c r="A266" s="923">
        <v>41661</v>
      </c>
      <c r="B266" s="1065" t="str">
        <f>TiposLancamentos!B28</f>
        <v>ComicBook</v>
      </c>
      <c r="C266" s="915" t="s">
        <v>17241</v>
      </c>
      <c r="D266" s="917"/>
      <c r="E266" s="809">
        <v>99.9</v>
      </c>
      <c r="F266" s="1068"/>
    </row>
    <row r="267" spans="1:6">
      <c r="A267" s="1064">
        <v>41661</v>
      </c>
      <c r="B267" s="1066" t="str">
        <f>TiposLancamentos!B29</f>
        <v>Mangá</v>
      </c>
      <c r="C267" s="88" t="s">
        <v>17242</v>
      </c>
      <c r="D267" s="828"/>
      <c r="E267" s="127">
        <f>(39.9*2)</f>
        <v>79.8</v>
      </c>
      <c r="F267" s="1069"/>
    </row>
    <row r="268" spans="1:6">
      <c r="A268" s="924">
        <v>41661</v>
      </c>
      <c r="B268" s="1067" t="str">
        <f>TiposLancamentos!B60</f>
        <v>Correio</v>
      </c>
      <c r="C268" s="916" t="s">
        <v>17243</v>
      </c>
      <c r="D268" s="918"/>
      <c r="E268" s="813">
        <v>5.98</v>
      </c>
      <c r="F268" s="1070">
        <f>SUM(E266:E268)</f>
        <v>185.67999999999998</v>
      </c>
    </row>
    <row r="269" spans="1:6">
      <c r="A269" s="884">
        <v>41661</v>
      </c>
      <c r="B269" s="76" t="str">
        <f>TiposLancamentos!B19</f>
        <v>Restaurantes</v>
      </c>
      <c r="C269" s="147" t="s">
        <v>5914</v>
      </c>
      <c r="D269" s="63"/>
      <c r="E269" s="135">
        <v>14.3</v>
      </c>
      <c r="F269" s="1016"/>
    </row>
    <row r="270" spans="1:6">
      <c r="A270" s="884">
        <v>41662</v>
      </c>
      <c r="B270" s="76" t="str">
        <f>TiposLancamentos!B19</f>
        <v>Restaurantes</v>
      </c>
      <c r="C270" s="147" t="s">
        <v>17244</v>
      </c>
      <c r="D270" s="63"/>
      <c r="E270" s="135">
        <v>24.72</v>
      </c>
      <c r="F270" s="1016"/>
    </row>
    <row r="271" spans="1:6">
      <c r="A271" s="884">
        <v>41662</v>
      </c>
      <c r="B271" s="76" t="str">
        <f>TiposLancamentos!B56</f>
        <v>Farmácia</v>
      </c>
      <c r="C271" s="147" t="s">
        <v>17245</v>
      </c>
      <c r="D271" s="63"/>
      <c r="E271" s="135">
        <v>26.59</v>
      </c>
      <c r="F271" s="1016"/>
    </row>
    <row r="272" spans="1:6">
      <c r="A272" s="884">
        <v>41662</v>
      </c>
      <c r="B272" s="76" t="str">
        <f>TiposLancamentos!B19</f>
        <v>Restaurantes</v>
      </c>
      <c r="C272" s="147" t="s">
        <v>4956</v>
      </c>
      <c r="D272" s="63"/>
      <c r="E272" s="135">
        <v>56</v>
      </c>
      <c r="F272" s="1016"/>
    </row>
    <row r="273" spans="1:7">
      <c r="A273" s="884">
        <v>41663</v>
      </c>
      <c r="B273" s="76" t="str">
        <f>TiposLancamentos!B22</f>
        <v>Combustivel</v>
      </c>
      <c r="C273" s="147" t="s">
        <v>6398</v>
      </c>
      <c r="D273" s="63"/>
      <c r="E273" s="135">
        <v>95</v>
      </c>
      <c r="F273" s="1016"/>
    </row>
    <row r="274" spans="1:7">
      <c r="A274" s="884">
        <v>41663</v>
      </c>
      <c r="B274" s="76" t="str">
        <f>TiposLancamentos!B56</f>
        <v>Farmácia</v>
      </c>
      <c r="C274" s="147" t="s">
        <v>6050</v>
      </c>
      <c r="D274" s="63"/>
      <c r="E274" s="135">
        <v>206.61</v>
      </c>
      <c r="F274" s="1016"/>
    </row>
    <row r="275" spans="1:7">
      <c r="A275" s="884">
        <v>41663</v>
      </c>
      <c r="B275" s="76" t="str">
        <f>TiposLancamentos!B19</f>
        <v>Restaurantes</v>
      </c>
      <c r="C275" s="147" t="s">
        <v>17246</v>
      </c>
      <c r="D275" s="63"/>
      <c r="E275" s="135">
        <v>167.32</v>
      </c>
      <c r="F275" s="1016"/>
    </row>
    <row r="276" spans="1:7">
      <c r="A276" s="884">
        <v>41664</v>
      </c>
      <c r="B276" s="76" t="str">
        <f>TiposLancamentos!B19</f>
        <v>Restaurantes</v>
      </c>
      <c r="C276" s="147" t="s">
        <v>7741</v>
      </c>
      <c r="D276" s="63"/>
      <c r="E276" s="135">
        <v>13.4</v>
      </c>
      <c r="F276" s="1016"/>
    </row>
    <row r="277" spans="1:7">
      <c r="A277" s="884">
        <v>41664</v>
      </c>
      <c r="B277" s="76" t="str">
        <f>TiposLancamentos!B19</f>
        <v>Restaurantes</v>
      </c>
      <c r="C277" s="147" t="s">
        <v>17247</v>
      </c>
      <c r="D277" s="63"/>
      <c r="E277" s="135">
        <v>17.100000000000001</v>
      </c>
      <c r="F277" s="1016"/>
    </row>
    <row r="278" spans="1:7">
      <c r="A278" s="884">
        <v>41664</v>
      </c>
      <c r="B278" s="76" t="str">
        <f>TiposLancamentos!B3</f>
        <v>Internet</v>
      </c>
      <c r="C278" s="147" t="s">
        <v>10734</v>
      </c>
      <c r="D278" s="63"/>
      <c r="E278" s="135">
        <v>29</v>
      </c>
      <c r="F278" s="1016"/>
    </row>
    <row r="279" spans="1:7">
      <c r="A279" s="923">
        <v>41665</v>
      </c>
      <c r="B279" s="1065" t="str">
        <f>TiposLancamentos!B22</f>
        <v>Combustivel</v>
      </c>
      <c r="C279" s="915" t="s">
        <v>17248</v>
      </c>
      <c r="D279" s="917"/>
      <c r="E279" s="809">
        <v>102.02</v>
      </c>
      <c r="F279" s="1068"/>
    </row>
    <row r="280" spans="1:7">
      <c r="A280" s="924">
        <v>41665</v>
      </c>
      <c r="B280" s="1067" t="str">
        <f>TiposLancamentos!B18</f>
        <v>Alimentacao</v>
      </c>
      <c r="C280" s="916" t="s">
        <v>17249</v>
      </c>
      <c r="D280" s="918"/>
      <c r="E280" s="813">
        <f>F280-E279</f>
        <v>5.4000000000000057</v>
      </c>
      <c r="F280" s="1070">
        <v>107.42</v>
      </c>
    </row>
    <row r="281" spans="1:7">
      <c r="A281" s="923">
        <v>41668</v>
      </c>
      <c r="B281" s="1065" t="str">
        <f>TiposLancamentos!B22</f>
        <v>Combustivel</v>
      </c>
      <c r="C281" s="915" t="s">
        <v>6412</v>
      </c>
      <c r="D281" s="917"/>
      <c r="E281" s="809">
        <v>60</v>
      </c>
      <c r="F281" s="1068"/>
    </row>
    <row r="282" spans="1:7">
      <c r="A282" s="924">
        <v>41668</v>
      </c>
      <c r="B282" s="1067" t="str">
        <f>TiposLancamentos!B22</f>
        <v>Combustivel</v>
      </c>
      <c r="C282" s="916" t="s">
        <v>6398</v>
      </c>
      <c r="D282" s="918"/>
      <c r="E282" s="813">
        <v>60</v>
      </c>
      <c r="F282" s="1070">
        <f>SUM(E281:E282)</f>
        <v>120</v>
      </c>
    </row>
    <row r="283" spans="1:7" ht="14.25" thickBot="1">
      <c r="A283" s="884">
        <v>41669</v>
      </c>
      <c r="B283" s="76" t="str">
        <f>TiposLancamentos!B28</f>
        <v>ComicBook</v>
      </c>
      <c r="C283" s="147" t="s">
        <v>17250</v>
      </c>
      <c r="D283" s="63"/>
      <c r="E283" s="135">
        <v>25.58</v>
      </c>
      <c r="F283" s="1016"/>
    </row>
    <row r="284" spans="1:7">
      <c r="A284" s="1032"/>
      <c r="B284" s="894"/>
      <c r="C284" s="906" t="s">
        <v>6446</v>
      </c>
      <c r="D284" s="896"/>
      <c r="E284" s="1033"/>
      <c r="F284" s="1034">
        <f>SUM(E220:E262)</f>
        <v>3040.2000000000003</v>
      </c>
    </row>
    <row r="285" spans="1:7">
      <c r="A285" s="884">
        <v>41673</v>
      </c>
      <c r="B285" s="76" t="str">
        <f>TiposLancamentos!B15</f>
        <v>Cartões de Crédito</v>
      </c>
      <c r="C285" s="147" t="s">
        <v>14142</v>
      </c>
      <c r="D285" s="63">
        <v>3040.2</v>
      </c>
      <c r="E285" s="135"/>
      <c r="F285" s="1016"/>
    </row>
    <row r="286" spans="1:7">
      <c r="A286" s="884">
        <v>41674</v>
      </c>
      <c r="B286" s="76" t="str">
        <f>TiposLancamentos!B26</f>
        <v>LIVROS</v>
      </c>
      <c r="C286" s="147" t="s">
        <v>17251</v>
      </c>
      <c r="D286" s="63"/>
      <c r="E286" s="135">
        <v>12.9</v>
      </c>
      <c r="F286" s="1016"/>
    </row>
    <row r="287" spans="1:7">
      <c r="A287" s="884">
        <v>41682</v>
      </c>
      <c r="B287" s="76" t="str">
        <f>TiposLancamentos!B22</f>
        <v>Combustivel</v>
      </c>
      <c r="C287" s="147" t="s">
        <v>6412</v>
      </c>
      <c r="D287" s="63"/>
      <c r="E287" s="135">
        <v>60</v>
      </c>
      <c r="F287" s="1016"/>
    </row>
    <row r="288" spans="1:7">
      <c r="A288" s="934"/>
      <c r="B288" s="226"/>
      <c r="C288" s="227" t="s">
        <v>10</v>
      </c>
      <c r="D288" s="228"/>
      <c r="E288" s="228"/>
      <c r="F288" s="935"/>
      <c r="G288" s="877"/>
    </row>
    <row r="289" spans="1:6">
      <c r="A289" s="884">
        <v>41684</v>
      </c>
      <c r="B289" s="76" t="str">
        <f>TiposLancamentos!B5</f>
        <v>Supermercado</v>
      </c>
      <c r="C289" s="147" t="s">
        <v>17252</v>
      </c>
      <c r="D289" s="63"/>
      <c r="E289" s="135">
        <v>56.19</v>
      </c>
      <c r="F289" s="1016"/>
    </row>
    <row r="290" spans="1:6">
      <c r="A290" s="884">
        <v>41685</v>
      </c>
      <c r="B290" s="76" t="str">
        <f>TiposLancamentos!B16</f>
        <v>Cristiane</v>
      </c>
      <c r="C290" s="147" t="s">
        <v>17253</v>
      </c>
      <c r="D290" s="63"/>
      <c r="E290" s="135">
        <v>87.9</v>
      </c>
      <c r="F290" s="1016"/>
    </row>
    <row r="291" spans="1:6">
      <c r="A291" s="884">
        <v>41685</v>
      </c>
      <c r="B291" s="76" t="str">
        <f>TiposLancamentos!B5</f>
        <v>Supermercado</v>
      </c>
      <c r="C291" s="147" t="s">
        <v>10663</v>
      </c>
      <c r="D291" s="63"/>
      <c r="E291" s="135">
        <v>63.44</v>
      </c>
      <c r="F291" s="1016"/>
    </row>
    <row r="292" spans="1:6">
      <c r="A292" s="884">
        <v>41688</v>
      </c>
      <c r="B292" s="76" t="str">
        <f>TiposLancamentos!B19</f>
        <v>Restaurantes</v>
      </c>
      <c r="C292" s="147" t="s">
        <v>17254</v>
      </c>
      <c r="D292" s="63"/>
      <c r="E292" s="135">
        <v>27.5</v>
      </c>
      <c r="F292" s="1016"/>
    </row>
    <row r="293" spans="1:6">
      <c r="A293" s="884">
        <v>41688</v>
      </c>
      <c r="B293" s="76" t="str">
        <f>TiposLancamentos!B71</f>
        <v>Itens Pessoais</v>
      </c>
      <c r="C293" s="147" t="s">
        <v>17255</v>
      </c>
      <c r="D293" s="63"/>
      <c r="E293" s="135">
        <v>31.99</v>
      </c>
      <c r="F293" s="1016"/>
    </row>
    <row r="294" spans="1:6">
      <c r="A294" s="884">
        <v>41688</v>
      </c>
      <c r="B294" s="76" t="str">
        <f>TiposLancamentos!B56</f>
        <v>Farmácia</v>
      </c>
      <c r="C294" s="147" t="s">
        <v>6052</v>
      </c>
      <c r="D294" s="63"/>
      <c r="E294" s="135">
        <v>83.55</v>
      </c>
      <c r="F294" s="1016"/>
    </row>
    <row r="295" spans="1:6">
      <c r="A295" s="884">
        <v>41688</v>
      </c>
      <c r="B295" s="76" t="str">
        <f>TiposLancamentos!B5</f>
        <v>Supermercado</v>
      </c>
      <c r="C295" s="147" t="s">
        <v>6234</v>
      </c>
      <c r="D295" s="63"/>
      <c r="E295" s="135">
        <v>71.3</v>
      </c>
      <c r="F295" s="1016"/>
    </row>
    <row r="296" spans="1:6">
      <c r="A296" s="884">
        <v>41689</v>
      </c>
      <c r="B296" s="76" t="str">
        <f>TiposLancamentos!B71</f>
        <v>Itens Pessoais</v>
      </c>
      <c r="C296" s="147" t="s">
        <v>3762</v>
      </c>
      <c r="D296" s="63"/>
      <c r="E296" s="135">
        <v>23</v>
      </c>
      <c r="F296" s="1016"/>
    </row>
    <row r="297" spans="1:6">
      <c r="A297" s="884">
        <v>41689</v>
      </c>
      <c r="B297" s="76" t="str">
        <f>TiposLancamentos!B5</f>
        <v>Supermercado</v>
      </c>
      <c r="C297" s="147" t="s">
        <v>6004</v>
      </c>
      <c r="D297" s="63"/>
      <c r="E297" s="135">
        <v>28.71</v>
      </c>
      <c r="F297" s="1016"/>
    </row>
    <row r="298" spans="1:6">
      <c r="A298" s="884">
        <v>41691</v>
      </c>
      <c r="B298" s="76" t="str">
        <f>TiposLancamentos!B5</f>
        <v>Supermercado</v>
      </c>
      <c r="C298" s="147" t="s">
        <v>6234</v>
      </c>
      <c r="D298" s="63"/>
      <c r="E298" s="135">
        <v>211.95</v>
      </c>
      <c r="F298" s="1016"/>
    </row>
    <row r="299" spans="1:6">
      <c r="A299" s="884">
        <v>41694</v>
      </c>
      <c r="B299" s="76" t="str">
        <f>TiposLancamentos!B5</f>
        <v>Supermercado</v>
      </c>
      <c r="C299" s="147" t="s">
        <v>6234</v>
      </c>
      <c r="D299" s="63"/>
      <c r="E299" s="135">
        <v>10.050000000000001</v>
      </c>
      <c r="F299" s="1016"/>
    </row>
    <row r="300" spans="1:6">
      <c r="A300" s="884">
        <v>41695</v>
      </c>
      <c r="B300" s="76" t="str">
        <f>TiposLancamentos!B3</f>
        <v>Internet</v>
      </c>
      <c r="C300" s="147" t="s">
        <v>10734</v>
      </c>
      <c r="D300" s="63"/>
      <c r="E300" s="135">
        <v>29</v>
      </c>
      <c r="F300" s="1016"/>
    </row>
    <row r="301" spans="1:6">
      <c r="A301" s="884">
        <v>41695</v>
      </c>
      <c r="B301" s="76" t="str">
        <f>TiposLancamentos!B30</f>
        <v>Cinema</v>
      </c>
      <c r="C301" s="147" t="s">
        <v>17256</v>
      </c>
      <c r="D301" s="63"/>
      <c r="E301" s="135">
        <v>42.52</v>
      </c>
      <c r="F301" s="1016"/>
    </row>
    <row r="302" spans="1:6">
      <c r="A302" s="884">
        <v>41695</v>
      </c>
      <c r="B302" s="76" t="str">
        <f>TiposLancamentos!B19</f>
        <v>Restaurantes</v>
      </c>
      <c r="C302" s="147" t="s">
        <v>17257</v>
      </c>
      <c r="D302" s="63"/>
      <c r="E302" s="135">
        <v>51.6</v>
      </c>
      <c r="F302" s="1016"/>
    </row>
    <row r="303" spans="1:6">
      <c r="A303" s="884">
        <v>41695</v>
      </c>
      <c r="B303" s="76" t="str">
        <f>TiposLancamentos!B71</f>
        <v>Itens Pessoais</v>
      </c>
      <c r="C303" s="147" t="s">
        <v>17258</v>
      </c>
      <c r="D303" s="63"/>
      <c r="E303" s="135">
        <v>29.9</v>
      </c>
      <c r="F303" s="1016"/>
    </row>
    <row r="304" spans="1:6">
      <c r="A304" s="884">
        <v>41695</v>
      </c>
      <c r="B304" s="76" t="str">
        <f>TiposLancamentos!B19</f>
        <v>Restaurantes</v>
      </c>
      <c r="C304" s="147" t="s">
        <v>6659</v>
      </c>
      <c r="D304" s="63"/>
      <c r="E304" s="135">
        <v>11.5</v>
      </c>
      <c r="F304" s="1016"/>
    </row>
    <row r="305" spans="1:7" ht="14.25" thickBot="1">
      <c r="A305" s="884">
        <v>41695</v>
      </c>
      <c r="B305" s="76" t="str">
        <f>TiposLancamentos!B5</f>
        <v>Supermercado</v>
      </c>
      <c r="C305" s="147" t="s">
        <v>17259</v>
      </c>
      <c r="D305" s="63"/>
      <c r="E305" s="135">
        <v>22.18</v>
      </c>
      <c r="F305" s="1016"/>
    </row>
    <row r="306" spans="1:7">
      <c r="A306" s="1032"/>
      <c r="B306" s="894"/>
      <c r="C306" s="906" t="s">
        <v>6470</v>
      </c>
      <c r="D306" s="896"/>
      <c r="E306" s="1033"/>
      <c r="F306" s="1034">
        <f>SUM(E264:E287)</f>
        <v>1325.6800000000003</v>
      </c>
      <c r="G306" s="877"/>
    </row>
    <row r="307" spans="1:7">
      <c r="A307" s="884">
        <v>41701</v>
      </c>
      <c r="B307" s="76" t="str">
        <f>TiposLancamentos!B15</f>
        <v>Cartões de Crédito</v>
      </c>
      <c r="C307" s="147" t="s">
        <v>15114</v>
      </c>
      <c r="D307" s="63">
        <v>1325.68</v>
      </c>
      <c r="E307" s="135"/>
      <c r="F307" s="1016">
        <f>F306-F284</f>
        <v>-1714.52</v>
      </c>
      <c r="G307" s="877"/>
    </row>
    <row r="308" spans="1:7">
      <c r="A308" s="934"/>
      <c r="B308" s="226"/>
      <c r="C308" s="227" t="s">
        <v>10</v>
      </c>
      <c r="D308" s="228"/>
      <c r="E308" s="228"/>
      <c r="F308" s="935"/>
      <c r="G308" s="877"/>
    </row>
    <row r="309" spans="1:7">
      <c r="A309" s="884">
        <v>41719</v>
      </c>
      <c r="B309" s="76" t="str">
        <f>TiposLancamentos!B22</f>
        <v>Combustivel</v>
      </c>
      <c r="C309" s="147" t="s">
        <v>6412</v>
      </c>
      <c r="D309" s="63"/>
      <c r="E309" s="135">
        <v>110</v>
      </c>
      <c r="F309" s="1016"/>
      <c r="G309" s="877"/>
    </row>
    <row r="310" spans="1:7">
      <c r="A310" s="884">
        <v>41719</v>
      </c>
      <c r="B310" s="76" t="str">
        <f>TiposLancamentos!B19</f>
        <v>Restaurantes</v>
      </c>
      <c r="C310" s="147" t="s">
        <v>17260</v>
      </c>
      <c r="D310" s="63"/>
      <c r="E310" s="135">
        <v>32.9</v>
      </c>
      <c r="F310" s="1016"/>
      <c r="G310" s="877"/>
    </row>
    <row r="311" spans="1:7" ht="14.25" thickBot="1">
      <c r="A311" s="884">
        <v>41723</v>
      </c>
      <c r="B311" s="76" t="str">
        <f>TiposLancamentos!B3</f>
        <v>Internet</v>
      </c>
      <c r="C311" s="147" t="s">
        <v>10734</v>
      </c>
      <c r="D311" s="63"/>
      <c r="E311" s="135">
        <v>29</v>
      </c>
      <c r="F311" s="1016"/>
      <c r="G311" s="877"/>
    </row>
    <row r="312" spans="1:7">
      <c r="A312" s="1032"/>
      <c r="B312" s="894"/>
      <c r="C312" s="906" t="s">
        <v>6517</v>
      </c>
      <c r="D312" s="896"/>
      <c r="E312" s="1033"/>
      <c r="F312" s="1034">
        <f>SUM(E289:E307)</f>
        <v>882.27999999999986</v>
      </c>
      <c r="G312" s="877"/>
    </row>
    <row r="313" spans="1:7">
      <c r="A313" s="884">
        <v>41730</v>
      </c>
      <c r="B313" s="76" t="str">
        <f>TiposLancamentos!B15</f>
        <v>Cartões de Crédito</v>
      </c>
      <c r="C313" s="147" t="s">
        <v>14126</v>
      </c>
      <c r="D313" s="63">
        <v>882.28</v>
      </c>
      <c r="E313" s="135"/>
      <c r="F313" s="1016">
        <f>F312-F306</f>
        <v>-443.40000000000043</v>
      </c>
      <c r="G313" s="877"/>
    </row>
    <row r="314" spans="1:7">
      <c r="A314" s="884">
        <v>41744</v>
      </c>
      <c r="B314" s="76" t="str">
        <f>TiposLancamentos!B31</f>
        <v>Action Figures</v>
      </c>
      <c r="C314" s="147" t="s">
        <v>17261</v>
      </c>
      <c r="D314" s="63"/>
      <c r="E314" s="135">
        <v>249.53</v>
      </c>
      <c r="F314" s="1016" t="s">
        <v>17262</v>
      </c>
      <c r="G314" s="877"/>
    </row>
    <row r="315" spans="1:7">
      <c r="A315" s="884">
        <v>41745</v>
      </c>
      <c r="B315" s="76" t="str">
        <f>TiposLancamentos!B4</f>
        <v>Taxas Bancarias</v>
      </c>
      <c r="C315" s="147" t="s">
        <v>4858</v>
      </c>
      <c r="D315" s="63"/>
      <c r="E315" s="135">
        <v>15.92</v>
      </c>
      <c r="F315" s="1016" t="s">
        <v>17263</v>
      </c>
      <c r="G315" s="877"/>
    </row>
    <row r="316" spans="1:7">
      <c r="A316" s="934"/>
      <c r="B316" s="226"/>
      <c r="C316" s="227" t="s">
        <v>10</v>
      </c>
      <c r="D316" s="228"/>
      <c r="E316" s="228"/>
      <c r="F316" s="935"/>
      <c r="G316" s="877"/>
    </row>
    <row r="317" spans="1:7">
      <c r="A317" s="884">
        <v>41780</v>
      </c>
      <c r="B317" s="76" t="str">
        <f>TiposLancamentos!B98</f>
        <v>Restituições</v>
      </c>
      <c r="C317" s="147" t="s">
        <v>17264</v>
      </c>
      <c r="D317" s="63">
        <v>2.25</v>
      </c>
      <c r="E317" s="135"/>
      <c r="F317" s="1016"/>
      <c r="G317" s="877"/>
    </row>
    <row r="318" spans="1:7">
      <c r="A318" s="923">
        <v>41754</v>
      </c>
      <c r="B318" s="1065" t="str">
        <f>TiposLancamentos!B3</f>
        <v>Internet</v>
      </c>
      <c r="C318" s="915" t="s">
        <v>10734</v>
      </c>
      <c r="D318" s="917"/>
      <c r="E318" s="809">
        <f>40+29.9</f>
        <v>69.900000000000006</v>
      </c>
      <c r="F318" s="1068"/>
      <c r="G318" s="877"/>
    </row>
    <row r="319" spans="1:7">
      <c r="A319" s="924">
        <v>41754</v>
      </c>
      <c r="B319" s="1067" t="str">
        <f>TiposLancamentos!B3</f>
        <v>Internet</v>
      </c>
      <c r="C319" s="916" t="s">
        <v>17265</v>
      </c>
      <c r="D319" s="918"/>
      <c r="E319" s="813">
        <v>40</v>
      </c>
      <c r="F319" s="1070">
        <f>SUM(E318:E319)</f>
        <v>109.9</v>
      </c>
      <c r="G319" s="877"/>
    </row>
    <row r="320" spans="1:7">
      <c r="A320" s="884">
        <v>41755</v>
      </c>
      <c r="B320" s="76" t="str">
        <f>TiposLancamentos!B56</f>
        <v>Farmácia</v>
      </c>
      <c r="C320" s="147" t="s">
        <v>6052</v>
      </c>
      <c r="D320" s="63"/>
      <c r="E320" s="135">
        <v>70.59</v>
      </c>
      <c r="F320" s="1016"/>
      <c r="G320" s="877"/>
    </row>
    <row r="321" spans="1:7">
      <c r="A321" s="884">
        <v>41758</v>
      </c>
      <c r="B321" s="76" t="str">
        <f>TiposLancamentos!B45</f>
        <v>Online Services</v>
      </c>
      <c r="C321" s="147" t="s">
        <v>17266</v>
      </c>
      <c r="D321" s="63"/>
      <c r="E321" s="135">
        <v>50.67</v>
      </c>
      <c r="F321" s="1016" t="s">
        <v>17267</v>
      </c>
      <c r="G321" s="877"/>
    </row>
    <row r="322" spans="1:7" ht="14.25" thickBot="1">
      <c r="A322" s="884">
        <v>41759</v>
      </c>
      <c r="B322" s="76" t="str">
        <f>TiposLancamentos!B4</f>
        <v>Taxas Bancarias</v>
      </c>
      <c r="C322" s="147" t="s">
        <v>17268</v>
      </c>
      <c r="D322" s="63"/>
      <c r="E322" s="135">
        <v>3.22</v>
      </c>
      <c r="F322" s="1016" t="s">
        <v>17269</v>
      </c>
      <c r="G322" s="877"/>
    </row>
    <row r="323" spans="1:7">
      <c r="A323" s="1032"/>
      <c r="B323" s="894"/>
      <c r="C323" s="906" t="s">
        <v>13660</v>
      </c>
      <c r="D323" s="896"/>
      <c r="E323" s="1033"/>
      <c r="F323" s="1034">
        <f>SUM(E309:E315)</f>
        <v>437.35</v>
      </c>
      <c r="G323" s="877"/>
    </row>
    <row r="324" spans="1:7">
      <c r="A324" s="884">
        <v>41760</v>
      </c>
      <c r="B324" s="76" t="str">
        <f>TiposLancamentos!B19</f>
        <v>Restaurantes</v>
      </c>
      <c r="C324" s="147" t="s">
        <v>17270</v>
      </c>
      <c r="D324" s="63"/>
      <c r="E324" s="135">
        <v>181.5</v>
      </c>
      <c r="F324" s="1016">
        <f>F323-F312</f>
        <v>-444.92999999999984</v>
      </c>
      <c r="G324" s="877"/>
    </row>
    <row r="325" spans="1:7">
      <c r="A325" s="884">
        <v>41761</v>
      </c>
      <c r="B325" s="76" t="str">
        <f>TiposLancamentos!B15</f>
        <v>Cartões de Crédito</v>
      </c>
      <c r="C325" s="147" t="s">
        <v>14126</v>
      </c>
      <c r="D325" s="63">
        <v>437.35</v>
      </c>
      <c r="E325" s="135"/>
      <c r="F325" s="1016"/>
      <c r="G325" s="877"/>
    </row>
    <row r="326" spans="1:7">
      <c r="A326" s="884">
        <v>41764</v>
      </c>
      <c r="B326" s="76" t="str">
        <f>TiposLancamentos!B45</f>
        <v>Online Services</v>
      </c>
      <c r="C326" s="147" t="s">
        <v>17271</v>
      </c>
      <c r="D326" s="63"/>
      <c r="E326" s="135">
        <v>79.900000000000006</v>
      </c>
      <c r="F326" s="1016"/>
      <c r="G326" s="877"/>
    </row>
    <row r="327" spans="1:7">
      <c r="A327" s="884">
        <v>41765</v>
      </c>
      <c r="B327" s="76" t="str">
        <f>TiposLancamentos!B26</f>
        <v>LIVROS</v>
      </c>
      <c r="C327" s="147" t="s">
        <v>17272</v>
      </c>
      <c r="D327" s="63"/>
      <c r="E327" s="135">
        <v>79.94</v>
      </c>
      <c r="F327" s="1016"/>
      <c r="G327" s="877"/>
    </row>
    <row r="328" spans="1:7">
      <c r="A328" s="934"/>
      <c r="B328" s="226"/>
      <c r="C328" s="227" t="s">
        <v>10</v>
      </c>
      <c r="D328" s="228"/>
      <c r="E328" s="228"/>
      <c r="F328" s="935"/>
      <c r="G328" s="877"/>
    </row>
    <row r="329" spans="1:7">
      <c r="A329" s="884">
        <v>41781</v>
      </c>
      <c r="B329" s="76" t="str">
        <f>TiposLancamentos!B31</f>
        <v>Action Figures</v>
      </c>
      <c r="C329" s="147" t="s">
        <v>17273</v>
      </c>
      <c r="D329" s="63"/>
      <c r="E329" s="135">
        <v>207.34</v>
      </c>
      <c r="F329" s="1016" t="s">
        <v>17262</v>
      </c>
      <c r="G329" s="877"/>
    </row>
    <row r="330" spans="1:7">
      <c r="A330" s="884">
        <v>41782</v>
      </c>
      <c r="B330" s="76" t="str">
        <f>TiposLancamentos!B4</f>
        <v>Taxas Bancarias</v>
      </c>
      <c r="C330" s="147" t="s">
        <v>17274</v>
      </c>
      <c r="D330" s="63"/>
      <c r="E330" s="135">
        <v>13.23</v>
      </c>
      <c r="F330" s="1016" t="s">
        <v>17275</v>
      </c>
      <c r="G330" s="877"/>
    </row>
    <row r="331" spans="1:7">
      <c r="A331" s="884">
        <v>41783</v>
      </c>
      <c r="B331" s="76" t="str">
        <f>TiposLancamentos!B30</f>
        <v>Cinema</v>
      </c>
      <c r="C331" s="147" t="s">
        <v>17276</v>
      </c>
      <c r="D331" s="63"/>
      <c r="E331" s="135">
        <v>51.52</v>
      </c>
      <c r="F331" s="1016"/>
      <c r="G331" s="877"/>
    </row>
    <row r="332" spans="1:7">
      <c r="A332" s="884">
        <v>41784</v>
      </c>
      <c r="B332" s="76" t="str">
        <f>TiposLancamentos!B3</f>
        <v>Internet</v>
      </c>
      <c r="C332" s="147" t="s">
        <v>10734</v>
      </c>
      <c r="D332" s="63"/>
      <c r="E332" s="135">
        <v>29.9</v>
      </c>
      <c r="F332" s="1016"/>
      <c r="G332" s="877"/>
    </row>
    <row r="333" spans="1:7">
      <c r="A333" s="884">
        <v>41785</v>
      </c>
      <c r="B333" s="76" t="str">
        <f>TiposLancamentos!B28</f>
        <v>ComicBook</v>
      </c>
      <c r="C333" s="147" t="s">
        <v>17277</v>
      </c>
      <c r="D333" s="63"/>
      <c r="E333" s="135">
        <v>71.25</v>
      </c>
      <c r="F333" s="1016"/>
      <c r="G333" s="877"/>
    </row>
    <row r="334" spans="1:7">
      <c r="A334" s="884">
        <v>41788</v>
      </c>
      <c r="B334" s="76" t="str">
        <f>TiposLancamentos!B45</f>
        <v>Online Services</v>
      </c>
      <c r="C334" s="147" t="s">
        <v>17266</v>
      </c>
      <c r="D334" s="63"/>
      <c r="E334" s="135">
        <v>51.29</v>
      </c>
      <c r="F334" s="1016" t="s">
        <v>17278</v>
      </c>
      <c r="G334" s="877"/>
    </row>
    <row r="335" spans="1:7" ht="14.25" thickBot="1">
      <c r="A335" s="884">
        <v>41789</v>
      </c>
      <c r="B335" s="76" t="str">
        <f>TiposLancamentos!B4</f>
        <v>Taxas Bancarias</v>
      </c>
      <c r="C335" s="147" t="s">
        <v>17279</v>
      </c>
      <c r="D335" s="63"/>
      <c r="E335" s="135">
        <v>3.28</v>
      </c>
      <c r="F335" s="1016" t="s">
        <v>17269</v>
      </c>
      <c r="G335" s="877"/>
    </row>
    <row r="336" spans="1:7">
      <c r="A336" s="1032"/>
      <c r="B336" s="894"/>
      <c r="C336" s="906" t="s">
        <v>6612</v>
      </c>
      <c r="D336" s="896"/>
      <c r="E336" s="1033"/>
      <c r="F336" s="1034">
        <f>SUM(E318:E327)-D317</f>
        <v>573.47</v>
      </c>
      <c r="G336" s="877"/>
    </row>
    <row r="337" spans="1:7">
      <c r="A337" s="884">
        <v>41792</v>
      </c>
      <c r="B337" s="76" t="str">
        <f>TiposLancamentos!B15</f>
        <v>Cartões de Crédito</v>
      </c>
      <c r="C337" s="147" t="s">
        <v>1874</v>
      </c>
      <c r="D337" s="63">
        <v>573.47</v>
      </c>
      <c r="E337" s="135"/>
      <c r="F337" s="1016">
        <f>F336-F323</f>
        <v>136.12</v>
      </c>
      <c r="G337" s="877"/>
    </row>
    <row r="338" spans="1:7">
      <c r="A338" s="884">
        <v>41794</v>
      </c>
      <c r="B338" s="76" t="str">
        <f>TiposLancamentos!B37</f>
        <v>Playstation 3</v>
      </c>
      <c r="C338" s="147" t="s">
        <v>17280</v>
      </c>
      <c r="D338" s="63"/>
      <c r="E338" s="135">
        <v>21.07</v>
      </c>
      <c r="F338" s="1016"/>
      <c r="G338" s="877"/>
    </row>
    <row r="339" spans="1:7">
      <c r="A339" s="884">
        <v>41795</v>
      </c>
      <c r="B339" s="76" t="str">
        <f>TiposLancamentos!B45</f>
        <v>Online Services</v>
      </c>
      <c r="C339" s="147" t="s">
        <v>17281</v>
      </c>
      <c r="D339" s="63"/>
      <c r="E339" s="135">
        <v>79.900000000000006</v>
      </c>
      <c r="F339" s="1016"/>
      <c r="G339" s="877"/>
    </row>
    <row r="340" spans="1:7">
      <c r="A340" s="884">
        <v>41809</v>
      </c>
      <c r="B340" s="76" t="str">
        <f>TiposLancamentos!B4</f>
        <v>Taxas Bancarias</v>
      </c>
      <c r="C340" s="147" t="s">
        <v>17282</v>
      </c>
      <c r="D340" s="63"/>
      <c r="E340" s="135">
        <v>0.67</v>
      </c>
      <c r="F340" s="1016"/>
      <c r="G340" s="877"/>
    </row>
    <row r="341" spans="1:7">
      <c r="A341" s="934"/>
      <c r="B341" s="226"/>
      <c r="C341" s="227" t="s">
        <v>10</v>
      </c>
      <c r="D341" s="228"/>
      <c r="E341" s="228"/>
      <c r="F341" s="935"/>
      <c r="G341" s="877"/>
    </row>
    <row r="342" spans="1:7">
      <c r="A342" s="884">
        <v>41814</v>
      </c>
      <c r="B342" s="76" t="str">
        <f>TiposLancamentos!B98</f>
        <v>Restituições</v>
      </c>
      <c r="C342" s="147" t="s">
        <v>17276</v>
      </c>
      <c r="D342" s="63">
        <v>51.52</v>
      </c>
      <c r="E342" s="135"/>
      <c r="F342" s="1016"/>
      <c r="G342" s="877"/>
    </row>
    <row r="343" spans="1:7" ht="14.25" thickBot="1">
      <c r="A343" s="884">
        <v>41815</v>
      </c>
      <c r="B343" s="76" t="str">
        <f>TiposLancamentos!B3</f>
        <v>Internet</v>
      </c>
      <c r="C343" s="147" t="s">
        <v>10734</v>
      </c>
      <c r="D343" s="63"/>
      <c r="E343" s="135">
        <v>29.9</v>
      </c>
      <c r="F343" s="1016"/>
      <c r="G343" s="877"/>
    </row>
    <row r="344" spans="1:7">
      <c r="A344" s="1032"/>
      <c r="B344" s="894"/>
      <c r="C344" s="906" t="s">
        <v>14749</v>
      </c>
      <c r="D344" s="896"/>
      <c r="E344" s="1033"/>
      <c r="F344" s="1034">
        <f>SUM(E329:E340)</f>
        <v>529.44999999999993</v>
      </c>
      <c r="G344" s="877"/>
    </row>
    <row r="345" spans="1:7">
      <c r="A345" s="884">
        <v>41821</v>
      </c>
      <c r="B345" s="76" t="str">
        <f>TiposLancamentos!B15</f>
        <v>Cartões de Crédito</v>
      </c>
      <c r="C345" s="147" t="s">
        <v>10915</v>
      </c>
      <c r="D345" s="63">
        <v>529.45000000000005</v>
      </c>
      <c r="E345" s="135"/>
      <c r="F345" s="1016">
        <f>F344-F336</f>
        <v>-44.020000000000095</v>
      </c>
      <c r="G345" s="877"/>
    </row>
    <row r="346" spans="1:7">
      <c r="A346" s="884">
        <v>41795</v>
      </c>
      <c r="B346" s="76" t="str">
        <f>TiposLancamentos!B45</f>
        <v>Online Services</v>
      </c>
      <c r="C346" s="147" t="s">
        <v>17283</v>
      </c>
      <c r="D346" s="63"/>
      <c r="E346" s="135">
        <v>79.900000000000006</v>
      </c>
      <c r="F346" s="1016"/>
      <c r="G346" s="877"/>
    </row>
    <row r="347" spans="1:7">
      <c r="A347" s="884">
        <v>41835</v>
      </c>
      <c r="B347" s="138" t="str">
        <f>TiposLancamentos!B19</f>
        <v>Restaurantes</v>
      </c>
      <c r="C347" s="3" t="s">
        <v>3767</v>
      </c>
      <c r="D347" s="197"/>
      <c r="E347" s="135">
        <v>33.9</v>
      </c>
      <c r="F347" s="1016"/>
      <c r="G347" s="877"/>
    </row>
    <row r="348" spans="1:7">
      <c r="A348" s="884">
        <v>41840</v>
      </c>
      <c r="B348" s="76" t="str">
        <f>TiposLancamentos!B74</f>
        <v>Noite</v>
      </c>
      <c r="C348" s="147" t="s">
        <v>17284</v>
      </c>
      <c r="D348" s="63"/>
      <c r="E348" s="135">
        <v>124</v>
      </c>
      <c r="F348" s="1016"/>
      <c r="G348" s="877"/>
    </row>
    <row r="349" spans="1:7">
      <c r="A349" s="884">
        <v>41841</v>
      </c>
      <c r="B349" s="76" t="str">
        <f>TiposLancamentos!B98</f>
        <v>Restituições</v>
      </c>
      <c r="C349" s="147" t="s">
        <v>17285</v>
      </c>
      <c r="D349" s="63">
        <v>5.88</v>
      </c>
      <c r="E349" s="135"/>
      <c r="F349" s="1016"/>
      <c r="G349" s="877"/>
    </row>
    <row r="350" spans="1:7">
      <c r="A350" s="934"/>
      <c r="B350" s="226"/>
      <c r="C350" s="227" t="s">
        <v>10</v>
      </c>
      <c r="D350" s="228"/>
      <c r="E350" s="228"/>
      <c r="F350" s="935"/>
      <c r="G350" s="877"/>
    </row>
    <row r="351" spans="1:7">
      <c r="A351" s="884">
        <v>41844</v>
      </c>
      <c r="B351" s="76" t="str">
        <f>TiposLancamentos!B57</f>
        <v>Informática</v>
      </c>
      <c r="C351" s="147" t="s">
        <v>17286</v>
      </c>
      <c r="D351" s="63"/>
      <c r="E351" s="135">
        <v>11.73</v>
      </c>
      <c r="F351" s="1016" t="s">
        <v>17287</v>
      </c>
      <c r="G351" s="877"/>
    </row>
    <row r="352" spans="1:7">
      <c r="A352" s="884">
        <v>41845</v>
      </c>
      <c r="B352" s="76" t="str">
        <f>TiposLancamentos!B4</f>
        <v>Taxas Bancarias</v>
      </c>
      <c r="C352" s="147" t="s">
        <v>17288</v>
      </c>
      <c r="D352" s="63"/>
      <c r="E352" s="135">
        <v>0.75</v>
      </c>
      <c r="F352" s="1016" t="s">
        <v>17289</v>
      </c>
      <c r="G352" s="877"/>
    </row>
    <row r="353" spans="1:7" ht="14.25" thickBot="1">
      <c r="A353" s="884">
        <v>41845</v>
      </c>
      <c r="B353" s="76" t="str">
        <f>TiposLancamentos!B3</f>
        <v>Internet</v>
      </c>
      <c r="C353" s="147" t="s">
        <v>10734</v>
      </c>
      <c r="D353" s="63"/>
      <c r="E353" s="135">
        <v>29.9</v>
      </c>
      <c r="F353" s="1016"/>
      <c r="G353" s="877"/>
    </row>
    <row r="354" spans="1:7">
      <c r="A354" s="1032"/>
      <c r="B354" s="894"/>
      <c r="C354" s="906" t="s">
        <v>17290</v>
      </c>
      <c r="D354" s="896"/>
      <c r="E354" s="1033"/>
      <c r="F354" s="1034">
        <f>SUM(E342:E349)-D342-D349</f>
        <v>210.30000000000004</v>
      </c>
      <c r="G354" s="877"/>
    </row>
    <row r="355" spans="1:7">
      <c r="A355" s="884">
        <v>41852</v>
      </c>
      <c r="B355" s="76" t="str">
        <f>TiposLancamentos!B15</f>
        <v>Cartões de Crédito</v>
      </c>
      <c r="C355" s="147" t="s">
        <v>1874</v>
      </c>
      <c r="D355" s="63">
        <v>210.3</v>
      </c>
      <c r="E355" s="135"/>
      <c r="F355" s="1016">
        <f>F354-F344</f>
        <v>-319.14999999999986</v>
      </c>
      <c r="G355" s="877"/>
    </row>
    <row r="356" spans="1:7">
      <c r="A356" s="884">
        <v>41856</v>
      </c>
      <c r="B356" s="76" t="str">
        <f>TiposLancamentos!B45</f>
        <v>Online Services</v>
      </c>
      <c r="C356" s="147" t="s">
        <v>17271</v>
      </c>
      <c r="D356" s="63"/>
      <c r="E356" s="135">
        <v>79.900000000000006</v>
      </c>
      <c r="F356" s="1016"/>
      <c r="G356" s="877"/>
    </row>
    <row r="357" spans="1:7">
      <c r="A357" s="884">
        <v>41861</v>
      </c>
      <c r="B357" s="76" t="str">
        <f>TiposLancamentos!B57</f>
        <v>Informática</v>
      </c>
      <c r="C357" s="147" t="s">
        <v>17291</v>
      </c>
      <c r="D357" s="63"/>
      <c r="E357" s="135">
        <v>7.03</v>
      </c>
      <c r="F357" s="1016" t="s">
        <v>17292</v>
      </c>
      <c r="G357" s="877"/>
    </row>
    <row r="358" spans="1:7">
      <c r="A358" s="884">
        <v>41862</v>
      </c>
      <c r="B358" s="76" t="str">
        <f>TiposLancamentos!B4</f>
        <v>Taxas Bancarias</v>
      </c>
      <c r="C358" s="147" t="s">
        <v>17288</v>
      </c>
      <c r="D358" s="63"/>
      <c r="E358" s="135">
        <v>0.45</v>
      </c>
      <c r="F358" s="1016" t="s">
        <v>17293</v>
      </c>
      <c r="G358" s="877"/>
    </row>
    <row r="359" spans="1:7">
      <c r="A359" s="884">
        <v>41866</v>
      </c>
      <c r="B359" s="76" t="str">
        <f>TiposLancamentos!B30</f>
        <v>Cinema</v>
      </c>
      <c r="C359" s="147" t="s">
        <v>17294</v>
      </c>
      <c r="D359" s="63"/>
      <c r="E359" s="135">
        <v>39.22</v>
      </c>
      <c r="F359" s="1016"/>
      <c r="G359" s="877"/>
    </row>
    <row r="360" spans="1:7">
      <c r="A360" s="934"/>
      <c r="B360" s="226"/>
      <c r="C360" s="227" t="s">
        <v>10</v>
      </c>
      <c r="D360" s="228"/>
      <c r="E360" s="228"/>
      <c r="F360" s="935"/>
      <c r="G360" s="877"/>
    </row>
    <row r="361" spans="1:7">
      <c r="A361" s="884">
        <v>41876</v>
      </c>
      <c r="B361" s="76" t="str">
        <f>TiposLancamentos!B3</f>
        <v>Internet</v>
      </c>
      <c r="C361" s="147" t="s">
        <v>10734</v>
      </c>
      <c r="D361" s="63"/>
      <c r="E361" s="135">
        <v>29.9</v>
      </c>
      <c r="F361" s="1016"/>
      <c r="G361" s="877"/>
    </row>
    <row r="362" spans="1:7" ht="14.25" thickBot="1">
      <c r="A362" s="884">
        <v>41878</v>
      </c>
      <c r="B362" s="76" t="str">
        <f>TiposLancamentos!B48</f>
        <v>Baralhos e Oráculos</v>
      </c>
      <c r="C362" s="147" t="s">
        <v>17295</v>
      </c>
      <c r="D362" s="63"/>
      <c r="E362" s="135">
        <f>148.02/3</f>
        <v>49.34</v>
      </c>
      <c r="F362" s="1016"/>
      <c r="G362" s="877"/>
    </row>
    <row r="363" spans="1:7">
      <c r="A363" s="1032"/>
      <c r="B363" s="894"/>
      <c r="C363" s="906" t="s">
        <v>6774</v>
      </c>
      <c r="D363" s="896"/>
      <c r="E363" s="1033"/>
      <c r="F363" s="1034">
        <f>SUM(E351:E359)</f>
        <v>168.98</v>
      </c>
      <c r="G363" s="877"/>
    </row>
    <row r="364" spans="1:7">
      <c r="A364" s="884">
        <v>41883</v>
      </c>
      <c r="B364" s="76" t="str">
        <f>TiposLancamentos!B15</f>
        <v>Cartões de Crédito</v>
      </c>
      <c r="C364" s="147" t="s">
        <v>1874</v>
      </c>
      <c r="D364" s="63">
        <v>168.98</v>
      </c>
      <c r="E364" s="135"/>
      <c r="F364" s="1016">
        <f>F363-F354</f>
        <v>-41.32000000000005</v>
      </c>
      <c r="G364" s="877"/>
    </row>
    <row r="365" spans="1:7">
      <c r="A365" s="884">
        <v>41887</v>
      </c>
      <c r="B365" s="76" t="str">
        <f>TiposLancamentos!B45</f>
        <v>Online Services</v>
      </c>
      <c r="C365" s="147" t="s">
        <v>17281</v>
      </c>
      <c r="D365" s="63"/>
      <c r="E365" s="135">
        <v>79.900000000000006</v>
      </c>
      <c r="F365" s="1016"/>
      <c r="G365" s="877"/>
    </row>
    <row r="366" spans="1:7">
      <c r="A366" s="884">
        <v>41897</v>
      </c>
      <c r="B366" s="76" t="str">
        <f>TiposLancamentos!B57</f>
        <v>Informática</v>
      </c>
      <c r="C366" s="147" t="s">
        <v>17296</v>
      </c>
      <c r="D366" s="63"/>
      <c r="E366" s="135">
        <v>233</v>
      </c>
      <c r="F366" s="1016"/>
      <c r="G366" s="877"/>
    </row>
    <row r="367" spans="1:7">
      <c r="A367" s="934"/>
      <c r="B367" s="226"/>
      <c r="C367" s="227" t="s">
        <v>10</v>
      </c>
      <c r="D367" s="228"/>
      <c r="E367" s="228"/>
      <c r="F367" s="935"/>
      <c r="G367" s="877"/>
    </row>
    <row r="368" spans="1:7">
      <c r="A368" s="884">
        <v>41901</v>
      </c>
      <c r="B368" s="76" t="str">
        <f>TiposLancamentos!B57</f>
        <v>Informática</v>
      </c>
      <c r="C368" s="147" t="s">
        <v>17297</v>
      </c>
      <c r="D368" s="63"/>
      <c r="E368" s="135">
        <v>84.68</v>
      </c>
      <c r="F368" s="1016">
        <f>254/3</f>
        <v>84.666666666666671</v>
      </c>
      <c r="G368" s="877"/>
    </row>
    <row r="369" spans="1:7">
      <c r="A369" s="884">
        <v>41901</v>
      </c>
      <c r="B369" s="76" t="str">
        <f>TiposLancamentos!B19</f>
        <v>Restaurantes</v>
      </c>
      <c r="C369" s="147" t="s">
        <v>17298</v>
      </c>
      <c r="D369" s="63"/>
      <c r="E369" s="135">
        <v>103.13</v>
      </c>
      <c r="F369" s="1016"/>
      <c r="G369" s="877"/>
    </row>
    <row r="370" spans="1:7">
      <c r="A370" s="884">
        <v>41907</v>
      </c>
      <c r="B370" s="76" t="str">
        <f>TiposLancamentos!B3</f>
        <v>Internet</v>
      </c>
      <c r="C370" s="147" t="s">
        <v>10734</v>
      </c>
      <c r="D370" s="63"/>
      <c r="E370" s="135">
        <v>29.9</v>
      </c>
      <c r="F370" s="1016"/>
      <c r="G370" s="877"/>
    </row>
    <row r="371" spans="1:7" ht="14.25" thickBot="1">
      <c r="A371" s="884">
        <v>41909</v>
      </c>
      <c r="B371" s="76" t="str">
        <f>TiposLancamentos!B48</f>
        <v>Baralhos e Oráculos</v>
      </c>
      <c r="C371" s="147" t="s">
        <v>17299</v>
      </c>
      <c r="D371" s="63"/>
      <c r="E371" s="135">
        <f>148.02/3</f>
        <v>49.34</v>
      </c>
      <c r="F371" s="1016"/>
      <c r="G371" s="877"/>
    </row>
    <row r="372" spans="1:7">
      <c r="A372" s="1032"/>
      <c r="B372" s="894"/>
      <c r="C372" s="906" t="s">
        <v>13668</v>
      </c>
      <c r="D372" s="896"/>
      <c r="E372" s="1033"/>
      <c r="F372" s="1034">
        <f>SUM(E361:E366)</f>
        <v>392.14</v>
      </c>
      <c r="G372" s="877"/>
    </row>
    <row r="373" spans="1:7">
      <c r="A373" s="884">
        <v>41913</v>
      </c>
      <c r="B373" s="76" t="str">
        <f>TiposLancamentos!B15</f>
        <v>Cartões de Crédito</v>
      </c>
      <c r="C373" s="147" t="s">
        <v>14126</v>
      </c>
      <c r="D373" s="63">
        <v>392.07</v>
      </c>
      <c r="E373" s="135"/>
      <c r="F373" s="1016">
        <f>F372-F363</f>
        <v>223.16</v>
      </c>
      <c r="G373" s="877"/>
    </row>
    <row r="374" spans="1:7">
      <c r="A374" s="884">
        <v>41917</v>
      </c>
      <c r="B374" s="76" t="str">
        <f>TiposLancamentos!B45</f>
        <v>Online Services</v>
      </c>
      <c r="C374" s="147" t="s">
        <v>17283</v>
      </c>
      <c r="D374" s="63"/>
      <c r="E374" s="135">
        <v>79.900000000000006</v>
      </c>
      <c r="F374" s="1016"/>
      <c r="G374" s="877"/>
    </row>
    <row r="375" spans="1:7">
      <c r="A375" s="884">
        <v>41918</v>
      </c>
      <c r="B375" s="76" t="str">
        <f>TiposLancamentos!B72</f>
        <v>Presentes</v>
      </c>
      <c r="C375" s="147" t="s">
        <v>17300</v>
      </c>
      <c r="D375" s="63"/>
      <c r="E375" s="135">
        <v>279</v>
      </c>
      <c r="F375" s="1016"/>
      <c r="G375" s="877"/>
    </row>
    <row r="376" spans="1:7">
      <c r="A376" s="884">
        <v>41921</v>
      </c>
      <c r="B376" s="76" t="str">
        <f>TiposLancamentos!B45</f>
        <v>Online Services</v>
      </c>
      <c r="C376" s="147" t="s">
        <v>17301</v>
      </c>
      <c r="D376" s="63"/>
      <c r="E376" s="135">
        <v>44.95</v>
      </c>
      <c r="F376" s="1016" t="s">
        <v>17302</v>
      </c>
      <c r="G376" s="877"/>
    </row>
    <row r="377" spans="1:7">
      <c r="A377" s="884">
        <v>41922</v>
      </c>
      <c r="B377" s="76" t="str">
        <f>TiposLancamentos!B4</f>
        <v>Taxas Bancarias</v>
      </c>
      <c r="C377" s="147" t="s">
        <v>11284</v>
      </c>
      <c r="D377" s="63"/>
      <c r="E377" s="135">
        <v>2.87</v>
      </c>
      <c r="F377" s="1016" t="s">
        <v>17303</v>
      </c>
      <c r="G377" s="877"/>
    </row>
    <row r="378" spans="1:7">
      <c r="A378" s="884">
        <v>41927</v>
      </c>
      <c r="B378" s="76" t="str">
        <f>TiposLancamentos!B57</f>
        <v>Informática</v>
      </c>
      <c r="C378" s="147" t="s">
        <v>17304</v>
      </c>
      <c r="D378" s="63"/>
      <c r="E378" s="135">
        <v>233</v>
      </c>
      <c r="F378" s="1016"/>
      <c r="G378" s="877"/>
    </row>
    <row r="379" spans="1:7">
      <c r="A379" s="934"/>
      <c r="B379" s="226"/>
      <c r="C379" s="227" t="s">
        <v>10</v>
      </c>
      <c r="D379" s="228"/>
      <c r="E379" s="228"/>
      <c r="F379" s="935"/>
      <c r="G379" s="877"/>
    </row>
    <row r="380" spans="1:7">
      <c r="A380" s="884">
        <v>41930</v>
      </c>
      <c r="B380" s="76" t="str">
        <f>TiposLancamentos!B45</f>
        <v>Online Services</v>
      </c>
      <c r="C380" s="147" t="s">
        <v>17305</v>
      </c>
      <c r="D380" s="63"/>
      <c r="E380" s="135">
        <v>19.899999999999999</v>
      </c>
      <c r="F380" s="1016"/>
      <c r="G380" s="877"/>
    </row>
    <row r="381" spans="1:7">
      <c r="A381" s="884">
        <v>41931</v>
      </c>
      <c r="B381" s="76" t="str">
        <f>TiposLancamentos!B57</f>
        <v>Informática</v>
      </c>
      <c r="C381" s="147" t="s">
        <v>17306</v>
      </c>
      <c r="D381" s="63"/>
      <c r="E381" s="135">
        <v>84.68</v>
      </c>
      <c r="F381" s="1016">
        <f>254/3</f>
        <v>84.666666666666671</v>
      </c>
      <c r="G381" s="877"/>
    </row>
    <row r="382" spans="1:7">
      <c r="A382" s="884">
        <v>41931</v>
      </c>
      <c r="B382" s="76" t="str">
        <f>TiposLancamentos!B98</f>
        <v>Restituições</v>
      </c>
      <c r="C382" s="147" t="s">
        <v>17307</v>
      </c>
      <c r="D382" s="63">
        <v>0.03</v>
      </c>
      <c r="E382" s="135"/>
      <c r="F382" s="1016"/>
      <c r="G382" s="877"/>
    </row>
    <row r="383" spans="1:7">
      <c r="A383" s="884">
        <v>41937</v>
      </c>
      <c r="B383" s="76" t="str">
        <f>TiposLancamentos!B30</f>
        <v>Cinema</v>
      </c>
      <c r="C383" s="147" t="s">
        <v>17308</v>
      </c>
      <c r="D383" s="63"/>
      <c r="E383" s="135">
        <v>47.02</v>
      </c>
      <c r="F383" s="1016"/>
      <c r="G383" s="877"/>
    </row>
    <row r="384" spans="1:7">
      <c r="A384" s="884">
        <v>41937</v>
      </c>
      <c r="B384" s="76" t="str">
        <f>TiposLancamentos!B70</f>
        <v>Vestuário</v>
      </c>
      <c r="C384" s="147" t="s">
        <v>17309</v>
      </c>
      <c r="D384" s="63"/>
      <c r="E384" s="135">
        <v>259.60000000000002</v>
      </c>
      <c r="F384" s="1016"/>
      <c r="G384" s="877"/>
    </row>
    <row r="385" spans="1:7">
      <c r="A385" s="884">
        <v>41937</v>
      </c>
      <c r="B385" s="76" t="str">
        <f>TiposLancamentos!B3</f>
        <v>Internet</v>
      </c>
      <c r="C385" s="147" t="s">
        <v>10734</v>
      </c>
      <c r="D385" s="63"/>
      <c r="E385" s="135">
        <v>29.9</v>
      </c>
      <c r="F385" s="1016"/>
      <c r="G385" s="877"/>
    </row>
    <row r="386" spans="1:7" ht="14.25" thickBot="1">
      <c r="A386" s="884">
        <v>41939</v>
      </c>
      <c r="B386" s="76" t="str">
        <f>TiposLancamentos!B48</f>
        <v>Baralhos e Oráculos</v>
      </c>
      <c r="C386" s="147" t="s">
        <v>17310</v>
      </c>
      <c r="D386" s="63"/>
      <c r="E386" s="135">
        <f>148.02/3</f>
        <v>49.34</v>
      </c>
      <c r="F386" s="1016"/>
      <c r="G386" s="877"/>
    </row>
    <row r="387" spans="1:7">
      <c r="A387" s="1032"/>
      <c r="B387" s="894"/>
      <c r="C387" s="906" t="s">
        <v>17311</v>
      </c>
      <c r="D387" s="896"/>
      <c r="E387" s="1033"/>
      <c r="F387" s="1034">
        <f>SUM(E368:E378)</f>
        <v>906.7700000000001</v>
      </c>
      <c r="G387" s="877"/>
    </row>
    <row r="388" spans="1:7">
      <c r="A388" s="884">
        <v>41945</v>
      </c>
      <c r="B388" s="76" t="str">
        <f>TiposLancamentos!B57</f>
        <v>Informática</v>
      </c>
      <c r="C388" s="878" t="s">
        <v>17312</v>
      </c>
      <c r="D388" s="63"/>
      <c r="E388" s="135">
        <v>370.95</v>
      </c>
      <c r="F388" s="1016">
        <f>F387-F372</f>
        <v>514.63000000000011</v>
      </c>
      <c r="G388" s="877"/>
    </row>
    <row r="389" spans="1:7">
      <c r="A389" s="884">
        <v>41946</v>
      </c>
      <c r="B389" s="76" t="str">
        <f>TiposLancamentos!B15</f>
        <v>Cartões de Crédito</v>
      </c>
      <c r="C389" s="878" t="s">
        <v>1874</v>
      </c>
      <c r="D389" s="63">
        <v>906.77</v>
      </c>
      <c r="E389" s="135"/>
      <c r="F389" s="1016"/>
      <c r="G389" s="877"/>
    </row>
    <row r="390" spans="1:7">
      <c r="A390" s="884">
        <v>41946</v>
      </c>
      <c r="B390" s="76" t="str">
        <f>TiposLancamentos!B45</f>
        <v>Online Services</v>
      </c>
      <c r="C390" s="147" t="s">
        <v>17271</v>
      </c>
      <c r="D390" s="63"/>
      <c r="E390" s="135">
        <v>79.900000000000006</v>
      </c>
      <c r="F390" s="1016"/>
      <c r="G390" s="877"/>
    </row>
    <row r="391" spans="1:7">
      <c r="A391" s="884">
        <v>41952</v>
      </c>
      <c r="B391" s="76" t="str">
        <f>TiposLancamentos!B45</f>
        <v>Online Services</v>
      </c>
      <c r="C391" s="147" t="s">
        <v>17301</v>
      </c>
      <c r="D391" s="63"/>
      <c r="E391" s="135">
        <v>43.39</v>
      </c>
      <c r="F391" s="1016" t="s">
        <v>17313</v>
      </c>
      <c r="G391" s="877"/>
    </row>
    <row r="392" spans="1:7">
      <c r="A392" s="884">
        <v>41952</v>
      </c>
      <c r="B392" s="76" t="str">
        <f>TiposLancamentos!B4</f>
        <v>Taxas Bancarias</v>
      </c>
      <c r="C392" s="147" t="s">
        <v>11284</v>
      </c>
      <c r="D392" s="63"/>
      <c r="E392" s="135">
        <v>2.76</v>
      </c>
      <c r="F392" s="1016" t="s">
        <v>17314</v>
      </c>
      <c r="G392" s="877"/>
    </row>
    <row r="393" spans="1:7">
      <c r="A393" s="884">
        <v>41954</v>
      </c>
      <c r="B393" s="76" t="str">
        <f>TiposLancamentos!B26</f>
        <v>LIVROS</v>
      </c>
      <c r="C393" s="147" t="s">
        <v>17315</v>
      </c>
      <c r="D393" s="63"/>
      <c r="E393" s="135">
        <v>101.12</v>
      </c>
      <c r="F393" s="1016"/>
      <c r="G393" s="877"/>
    </row>
    <row r="394" spans="1:7">
      <c r="A394" s="884">
        <v>41958</v>
      </c>
      <c r="B394" s="76" t="str">
        <f>TiposLancamentos!B57</f>
        <v>Informática</v>
      </c>
      <c r="C394" s="147" t="s">
        <v>17316</v>
      </c>
      <c r="D394" s="63"/>
      <c r="E394" s="135">
        <v>233</v>
      </c>
      <c r="F394" s="1016"/>
      <c r="G394" s="877"/>
    </row>
    <row r="395" spans="1:7">
      <c r="A395" s="934"/>
      <c r="B395" s="226"/>
      <c r="C395" s="227" t="s">
        <v>10</v>
      </c>
      <c r="D395" s="228"/>
      <c r="E395" s="228"/>
      <c r="F395" s="935"/>
      <c r="G395" s="877"/>
    </row>
    <row r="396" spans="1:7">
      <c r="A396" s="884">
        <v>41962</v>
      </c>
      <c r="B396" s="76" t="str">
        <f>TiposLancamentos!B57</f>
        <v>Informática</v>
      </c>
      <c r="C396" s="147" t="s">
        <v>17317</v>
      </c>
      <c r="D396" s="63"/>
      <c r="E396" s="135">
        <v>84.68</v>
      </c>
      <c r="F396" s="1016"/>
      <c r="G396" s="877"/>
    </row>
    <row r="397" spans="1:7">
      <c r="A397" s="884">
        <v>41962</v>
      </c>
      <c r="B397" s="76" t="str">
        <f>TiposLancamentos!B98</f>
        <v>Restituições</v>
      </c>
      <c r="C397" s="147" t="s">
        <v>17264</v>
      </c>
      <c r="D397" s="63">
        <v>0.68</v>
      </c>
      <c r="E397" s="135"/>
      <c r="F397" s="1016"/>
      <c r="G397" s="877"/>
    </row>
    <row r="398" spans="1:7">
      <c r="A398" s="884">
        <v>41966</v>
      </c>
      <c r="B398" s="76" t="str">
        <f>TiposLancamentos!B57</f>
        <v>Informática</v>
      </c>
      <c r="C398" s="878" t="s">
        <v>17318</v>
      </c>
      <c r="D398" s="63"/>
      <c r="E398" s="135">
        <v>5.64</v>
      </c>
      <c r="F398" s="1016" t="s">
        <v>17319</v>
      </c>
      <c r="G398" s="877"/>
    </row>
    <row r="399" spans="1:7">
      <c r="A399" s="884">
        <v>41966</v>
      </c>
      <c r="B399" s="76" t="str">
        <f>TiposLancamentos!B4</f>
        <v>Taxas Bancarias</v>
      </c>
      <c r="C399" s="878" t="s">
        <v>17320</v>
      </c>
      <c r="D399" s="63"/>
      <c r="E399" s="135">
        <v>0.36</v>
      </c>
      <c r="F399" s="1016" t="s">
        <v>17321</v>
      </c>
      <c r="G399" s="877"/>
    </row>
    <row r="400" spans="1:7">
      <c r="A400" s="884">
        <v>41968</v>
      </c>
      <c r="B400" s="76" t="str">
        <f>TiposLancamentos!B3</f>
        <v>Internet</v>
      </c>
      <c r="C400" s="147" t="s">
        <v>10734</v>
      </c>
      <c r="D400" s="63"/>
      <c r="E400" s="135">
        <v>29.9</v>
      </c>
      <c r="F400" s="1016"/>
      <c r="G400" s="877"/>
    </row>
    <row r="401" spans="1:7" ht="14.25" thickBot="1">
      <c r="A401" s="884">
        <v>41912</v>
      </c>
      <c r="B401" s="76" t="str">
        <f>TiposLancamentos!B25</f>
        <v>CD_DVD_BD</v>
      </c>
      <c r="C401" s="878" t="s">
        <v>17322</v>
      </c>
      <c r="D401" s="63"/>
      <c r="E401" s="135">
        <v>99.8</v>
      </c>
      <c r="F401" s="1016"/>
      <c r="G401" s="877"/>
    </row>
    <row r="402" spans="1:7">
      <c r="A402" s="1032"/>
      <c r="B402" s="894"/>
      <c r="C402" s="906" t="s">
        <v>13677</v>
      </c>
      <c r="D402" s="896"/>
      <c r="E402" s="1033"/>
      <c r="F402" s="1034">
        <f>SUM(E380:E394)-D382</f>
        <v>1321.53</v>
      </c>
      <c r="G402" s="877"/>
    </row>
    <row r="403" spans="1:7">
      <c r="A403" s="884">
        <v>41974</v>
      </c>
      <c r="B403" s="76" t="str">
        <f>TiposLancamentos!B48</f>
        <v>Baralhos e Oráculos</v>
      </c>
      <c r="C403" s="878" t="s">
        <v>17323</v>
      </c>
      <c r="D403" s="63"/>
      <c r="E403" s="135">
        <v>139.29</v>
      </c>
      <c r="F403" s="1016">
        <f>F402-F387</f>
        <v>414.75999999999988</v>
      </c>
      <c r="G403" s="877"/>
    </row>
    <row r="404" spans="1:7">
      <c r="A404" s="884">
        <v>41974</v>
      </c>
      <c r="B404" s="76" t="str">
        <f>TiposLancamentos!B15</f>
        <v>Cartões de Crédito</v>
      </c>
      <c r="C404" s="878" t="s">
        <v>10915</v>
      </c>
      <c r="D404" s="63">
        <v>1321.53</v>
      </c>
      <c r="E404" s="135"/>
      <c r="F404" s="1016"/>
      <c r="G404" s="877"/>
    </row>
    <row r="405" spans="1:7">
      <c r="A405" s="884">
        <v>41975</v>
      </c>
      <c r="B405" s="76" t="str">
        <f>TiposLancamentos!B98</f>
        <v>Restituições</v>
      </c>
      <c r="C405" s="878" t="s">
        <v>17324</v>
      </c>
      <c r="D405" s="63">
        <v>0.15</v>
      </c>
      <c r="E405" s="135"/>
      <c r="F405" s="1016"/>
      <c r="G405" s="877"/>
    </row>
    <row r="406" spans="1:7">
      <c r="A406" s="884">
        <v>41975</v>
      </c>
      <c r="B406" s="76" t="str">
        <f>TiposLancamentos!B57</f>
        <v>Informática</v>
      </c>
      <c r="C406" s="878" t="s">
        <v>17325</v>
      </c>
      <c r="D406" s="63"/>
      <c r="E406" s="135">
        <v>370.95</v>
      </c>
      <c r="F406" s="1016"/>
      <c r="G406" s="877"/>
    </row>
    <row r="407" spans="1:7">
      <c r="A407" s="884">
        <v>41976</v>
      </c>
      <c r="B407" s="76" t="str">
        <f>TiposLancamentos!B45</f>
        <v>Online Services</v>
      </c>
      <c r="C407" s="147" t="s">
        <v>17281</v>
      </c>
      <c r="D407" s="63"/>
      <c r="E407" s="135">
        <v>79.900000000000006</v>
      </c>
      <c r="F407" s="1016"/>
      <c r="G407" s="877"/>
    </row>
    <row r="408" spans="1:7">
      <c r="A408" s="934"/>
      <c r="B408" s="226"/>
      <c r="C408" s="227" t="s">
        <v>10</v>
      </c>
      <c r="D408" s="228"/>
      <c r="E408" s="228"/>
      <c r="F408" s="935"/>
      <c r="G408" s="877"/>
    </row>
    <row r="409" spans="1:7">
      <c r="A409" s="884">
        <v>41994</v>
      </c>
      <c r="B409" s="76" t="str">
        <f>TiposLancamentos!B64</f>
        <v>Viagens</v>
      </c>
      <c r="C409" s="878" t="s">
        <v>17326</v>
      </c>
      <c r="D409" s="63"/>
      <c r="E409" s="135">
        <v>335</v>
      </c>
      <c r="F409" s="1016"/>
      <c r="G409" s="877"/>
    </row>
    <row r="410" spans="1:7">
      <c r="A410" s="884">
        <v>41996</v>
      </c>
      <c r="B410" s="76" t="str">
        <f>TiposLancamentos!B31</f>
        <v>Action Figures</v>
      </c>
      <c r="C410" s="878" t="s">
        <v>17327</v>
      </c>
      <c r="D410" s="63"/>
      <c r="E410" s="135">
        <v>219.73</v>
      </c>
      <c r="F410" s="1016" t="s">
        <v>17328</v>
      </c>
      <c r="G410" s="877"/>
    </row>
    <row r="411" spans="1:7">
      <c r="A411" s="884">
        <v>41997</v>
      </c>
      <c r="B411" s="76" t="str">
        <f>TiposLancamentos!B4</f>
        <v>Taxas Bancarias</v>
      </c>
      <c r="C411" s="878" t="s">
        <v>17329</v>
      </c>
      <c r="D411" s="63"/>
      <c r="E411" s="135">
        <v>14.02</v>
      </c>
      <c r="F411" s="1016" t="s">
        <v>17330</v>
      </c>
      <c r="G411" s="877"/>
    </row>
    <row r="412" spans="1:7">
      <c r="A412" s="884">
        <v>41996</v>
      </c>
      <c r="B412" s="76" t="str">
        <f>TiposLancamentos!B48</f>
        <v>Baralhos e Oráculos</v>
      </c>
      <c r="C412" s="878" t="s">
        <v>17331</v>
      </c>
      <c r="D412" s="63"/>
      <c r="E412" s="135">
        <v>103.7</v>
      </c>
      <c r="F412" s="1016"/>
      <c r="G412" s="877"/>
    </row>
    <row r="413" spans="1:7">
      <c r="A413" s="884">
        <v>41998</v>
      </c>
      <c r="B413" s="76" t="str">
        <f>TiposLancamentos!B3</f>
        <v>Internet</v>
      </c>
      <c r="C413" s="147" t="s">
        <v>10734</v>
      </c>
      <c r="D413" s="63"/>
      <c r="E413" s="135">
        <v>29.9</v>
      </c>
      <c r="F413" s="1016"/>
      <c r="G413" s="877"/>
    </row>
    <row r="414" spans="1:7">
      <c r="A414" s="884">
        <v>42002</v>
      </c>
      <c r="B414" s="76" t="str">
        <f>TiposLancamentos!B31</f>
        <v>Action Figures</v>
      </c>
      <c r="C414" s="878" t="s">
        <v>17332</v>
      </c>
      <c r="D414" s="63"/>
      <c r="E414" s="135">
        <v>79.849999999999994</v>
      </c>
      <c r="F414" s="1016"/>
      <c r="G414" s="877"/>
    </row>
    <row r="415" spans="1:7" ht="14.25" thickBot="1">
      <c r="A415" s="884">
        <v>42004</v>
      </c>
      <c r="B415" s="76" t="str">
        <f>TiposLancamentos!B30</f>
        <v>Cinema</v>
      </c>
      <c r="C415" s="878" t="s">
        <v>17333</v>
      </c>
      <c r="D415" s="63"/>
      <c r="E415" s="135">
        <v>34.5</v>
      </c>
      <c r="F415" s="1016"/>
      <c r="G415" s="877"/>
    </row>
    <row r="416" spans="1:7">
      <c r="A416" s="1032"/>
      <c r="B416" s="894"/>
      <c r="C416" s="906" t="s">
        <v>6965</v>
      </c>
      <c r="D416" s="896"/>
      <c r="E416" s="1033"/>
      <c r="F416" s="1034">
        <f>SUM(E396:E407)-(D405+D397)</f>
        <v>809.68999999999983</v>
      </c>
      <c r="G416" s="877"/>
    </row>
    <row r="417" spans="1:7">
      <c r="A417" s="884">
        <v>42006</v>
      </c>
      <c r="B417" s="76" t="str">
        <f>TiposLancamentos!B15</f>
        <v>Cartões de Crédito</v>
      </c>
      <c r="C417" s="878" t="s">
        <v>10915</v>
      </c>
      <c r="D417" s="63">
        <v>809.69</v>
      </c>
      <c r="E417" s="135"/>
      <c r="F417" s="1016"/>
      <c r="G417" s="877"/>
    </row>
    <row r="418" spans="1:7">
      <c r="A418" s="884">
        <v>42007</v>
      </c>
      <c r="B418" s="76" t="str">
        <f>TiposLancamentos!B45</f>
        <v>Online Services</v>
      </c>
      <c r="C418" s="147" t="s">
        <v>17283</v>
      </c>
      <c r="D418" s="63"/>
      <c r="E418" s="135">
        <v>79.900000000000006</v>
      </c>
      <c r="F418" s="1016"/>
      <c r="G418" s="877"/>
    </row>
    <row r="419" spans="1:7">
      <c r="A419" s="884">
        <v>42006</v>
      </c>
      <c r="B419" s="76" t="str">
        <f>TiposLancamentos!B57</f>
        <v>Informática</v>
      </c>
      <c r="C419" s="878" t="s">
        <v>17334</v>
      </c>
      <c r="D419" s="63"/>
      <c r="E419" s="135">
        <v>370.95</v>
      </c>
      <c r="F419" s="1016"/>
      <c r="G419" s="877"/>
    </row>
    <row r="420" spans="1:7">
      <c r="A420" s="884">
        <v>42009</v>
      </c>
      <c r="B420" s="76" t="str">
        <f>TiposLancamentos!B29</f>
        <v>Mangá</v>
      </c>
      <c r="C420" s="878" t="s">
        <v>17335</v>
      </c>
      <c r="D420" s="63"/>
      <c r="E420" s="135">
        <v>60</v>
      </c>
      <c r="F420" s="1016"/>
      <c r="G420" s="877"/>
    </row>
    <row r="421" spans="1:7">
      <c r="A421" s="884">
        <v>42020</v>
      </c>
      <c r="B421" s="76" t="str">
        <f>TiposLancamentos!B48</f>
        <v>Baralhos e Oráculos</v>
      </c>
      <c r="C421" s="878" t="s">
        <v>17336</v>
      </c>
      <c r="D421" s="63"/>
      <c r="E421" s="135">
        <v>109.74</v>
      </c>
      <c r="F421" s="1016"/>
      <c r="G421" s="877"/>
    </row>
    <row r="422" spans="1:7">
      <c r="A422" s="884">
        <v>42023</v>
      </c>
      <c r="B422" s="76" t="str">
        <f>TiposLancamentos!B4</f>
        <v>Taxas Bancarias</v>
      </c>
      <c r="C422" s="878" t="s">
        <v>17337</v>
      </c>
      <c r="D422" s="63"/>
      <c r="E422" s="135">
        <f>27.75*2</f>
        <v>55.5</v>
      </c>
      <c r="F422" s="1016"/>
      <c r="G422" s="877"/>
    </row>
    <row r="423" spans="1:7">
      <c r="A423" s="884">
        <v>42023</v>
      </c>
      <c r="B423" s="76" t="str">
        <f>TiposLancamentos!B98</f>
        <v>Restituições</v>
      </c>
      <c r="C423" s="878" t="s">
        <v>17240</v>
      </c>
      <c r="D423" s="63">
        <v>0.12</v>
      </c>
      <c r="E423" s="135"/>
      <c r="F423" s="1016"/>
      <c r="G423" s="877"/>
    </row>
    <row r="424" spans="1:7">
      <c r="A424" s="934"/>
      <c r="B424" s="226"/>
      <c r="C424" s="227" t="s">
        <v>10</v>
      </c>
      <c r="D424" s="228"/>
      <c r="E424" s="228"/>
      <c r="F424" s="935"/>
      <c r="G424" s="877"/>
    </row>
    <row r="425" spans="1:7" ht="14.25" thickBot="1">
      <c r="A425" s="884">
        <v>42029</v>
      </c>
      <c r="B425" s="76" t="str">
        <f>TiposLancamentos!B3</f>
        <v>Internet</v>
      </c>
      <c r="C425" s="878" t="s">
        <v>10734</v>
      </c>
      <c r="D425" s="63"/>
      <c r="E425" s="135">
        <v>29.9</v>
      </c>
      <c r="F425" s="1016"/>
      <c r="G425" s="946" t="s">
        <v>9</v>
      </c>
    </row>
    <row r="426" spans="1:7">
      <c r="A426" s="1032"/>
      <c r="B426" s="894"/>
      <c r="C426" s="906" t="s">
        <v>7019</v>
      </c>
      <c r="D426" s="896"/>
      <c r="E426" s="1033"/>
      <c r="F426" s="1034">
        <f>SUM(E409:E422)-D423</f>
        <v>1492.67</v>
      </c>
      <c r="G426" s="1094" t="s">
        <v>11</v>
      </c>
    </row>
    <row r="427" spans="1:7">
      <c r="A427" s="884">
        <v>42037</v>
      </c>
      <c r="B427" s="76" t="str">
        <f>TiposLancamentos!B15</f>
        <v>Cartões de Crédito</v>
      </c>
      <c r="C427" s="878" t="s">
        <v>10915</v>
      </c>
      <c r="D427" s="63">
        <v>1492.67</v>
      </c>
      <c r="E427" s="135"/>
      <c r="F427" s="1016">
        <f>F426-F416</f>
        <v>682.98000000000025</v>
      </c>
      <c r="G427" s="877"/>
    </row>
    <row r="428" spans="1:7">
      <c r="A428" s="884">
        <v>42037</v>
      </c>
      <c r="B428" s="76" t="str">
        <f>TiposLancamentos!B57</f>
        <v>Informática</v>
      </c>
      <c r="C428" s="878" t="s">
        <v>17338</v>
      </c>
      <c r="D428" s="63"/>
      <c r="E428" s="135">
        <v>370.95</v>
      </c>
      <c r="F428" s="1016"/>
      <c r="G428" s="946" t="s">
        <v>9</v>
      </c>
    </row>
    <row r="429" spans="1:7">
      <c r="A429" s="884">
        <v>42047</v>
      </c>
      <c r="B429" s="76" t="str">
        <f>TiposLancamentos!B4</f>
        <v>Taxas Bancarias</v>
      </c>
      <c r="C429" s="147" t="s">
        <v>17339</v>
      </c>
      <c r="D429" s="63"/>
      <c r="E429" s="135">
        <v>27.75</v>
      </c>
      <c r="F429" s="1016"/>
      <c r="G429" s="946" t="s">
        <v>9</v>
      </c>
    </row>
    <row r="430" spans="1:7">
      <c r="A430" s="884">
        <v>42053</v>
      </c>
      <c r="B430" s="76" t="str">
        <f>TiposLancamentos!B4</f>
        <v>Taxas Bancarias</v>
      </c>
      <c r="C430" s="147" t="s">
        <v>17282</v>
      </c>
      <c r="D430" s="63"/>
      <c r="E430" s="135">
        <v>3.45</v>
      </c>
      <c r="F430" s="1016"/>
      <c r="G430" s="877"/>
    </row>
    <row r="431" spans="1:7" ht="14.25" thickBot="1">
      <c r="A431" s="934"/>
      <c r="B431" s="226"/>
      <c r="C431" s="227" t="s">
        <v>10</v>
      </c>
      <c r="D431" s="228"/>
      <c r="E431" s="228"/>
      <c r="F431" s="935"/>
      <c r="G431" s="877"/>
    </row>
    <row r="432" spans="1:7">
      <c r="A432" s="1032"/>
      <c r="B432" s="894"/>
      <c r="C432" s="906" t="s">
        <v>7033</v>
      </c>
      <c r="D432" s="896"/>
      <c r="E432" s="1033"/>
      <c r="F432" s="1034">
        <f>SUM(E425:E430)</f>
        <v>432.04999999999995</v>
      </c>
      <c r="G432" s="877"/>
    </row>
    <row r="433" spans="1:7">
      <c r="A433" s="884">
        <v>42065</v>
      </c>
      <c r="B433" s="76" t="str">
        <f>TiposLancamentos!B15</f>
        <v>Cartões de Crédito</v>
      </c>
      <c r="C433" s="147" t="s">
        <v>10915</v>
      </c>
      <c r="D433" s="63">
        <v>432.05</v>
      </c>
      <c r="E433" s="135"/>
      <c r="F433" s="1016">
        <f>F432-F426</f>
        <v>-1060.6200000000001</v>
      </c>
      <c r="G433" s="877"/>
    </row>
    <row r="434" spans="1:7">
      <c r="A434" s="884">
        <v>42065</v>
      </c>
      <c r="B434" s="76" t="str">
        <f>TiposLancamentos!B57</f>
        <v>Informática</v>
      </c>
      <c r="C434" s="878" t="s">
        <v>17340</v>
      </c>
      <c r="D434" s="63"/>
      <c r="E434" s="135">
        <v>370.95</v>
      </c>
      <c r="F434" s="1016"/>
      <c r="G434" s="877"/>
    </row>
    <row r="435" spans="1:7">
      <c r="A435" s="884">
        <v>42080</v>
      </c>
      <c r="B435" s="76" t="str">
        <f>TiposLancamentos!B4</f>
        <v>Taxas Bancarias</v>
      </c>
      <c r="C435" s="147" t="s">
        <v>17339</v>
      </c>
      <c r="D435" s="63"/>
      <c r="E435" s="135">
        <v>27.75</v>
      </c>
      <c r="F435" s="1016"/>
      <c r="G435" s="877"/>
    </row>
    <row r="436" spans="1:7" ht="14.25" thickBot="1">
      <c r="A436" s="1113"/>
      <c r="B436" s="1114"/>
      <c r="C436" s="1115" t="s">
        <v>10</v>
      </c>
      <c r="D436" s="1116"/>
      <c r="E436" s="1116"/>
      <c r="F436" s="1117"/>
      <c r="G436" s="877"/>
    </row>
    <row r="437" spans="1:7">
      <c r="A437" s="1032"/>
      <c r="B437" s="894"/>
      <c r="C437" s="906" t="s">
        <v>7055</v>
      </c>
      <c r="D437" s="896"/>
      <c r="E437" s="1033"/>
      <c r="F437" s="1034">
        <f>SUM(E432:E435)</f>
        <v>398.7</v>
      </c>
      <c r="G437" s="877"/>
    </row>
    <row r="438" spans="1:7">
      <c r="A438" s="884">
        <v>42095</v>
      </c>
      <c r="B438" s="76" t="str">
        <f>TiposLancamentos!B15</f>
        <v>Cartões de Crédito</v>
      </c>
      <c r="C438" s="147" t="s">
        <v>1874</v>
      </c>
      <c r="D438" s="63">
        <v>398.7</v>
      </c>
      <c r="E438" s="135"/>
      <c r="F438" s="1016"/>
      <c r="G438" s="877"/>
    </row>
    <row r="439" spans="1:7" ht="14.25" thickBot="1">
      <c r="A439" s="885">
        <v>42096</v>
      </c>
      <c r="B439" s="901" t="str">
        <f>TiposLancamentos!B57</f>
        <v>Informática</v>
      </c>
      <c r="C439" s="1120" t="s">
        <v>17341</v>
      </c>
      <c r="D439" s="903"/>
      <c r="E439" s="1035">
        <v>370.95</v>
      </c>
      <c r="F439" s="1036"/>
      <c r="G439" s="877"/>
    </row>
    <row r="440" spans="1:7">
      <c r="A440" s="884"/>
      <c r="B440" s="76"/>
      <c r="C440" s="878" t="s">
        <v>17342</v>
      </c>
      <c r="D440" s="63"/>
      <c r="E440" s="135"/>
      <c r="F440" s="1016"/>
      <c r="G440" s="877"/>
    </row>
    <row r="441" spans="1:7">
      <c r="A441" s="884">
        <v>42126</v>
      </c>
      <c r="B441" s="76" t="str">
        <f>TiposLancamentos!B15</f>
        <v>Cartões de Crédito</v>
      </c>
      <c r="C441" s="147" t="s">
        <v>10915</v>
      </c>
      <c r="D441" s="63">
        <v>370.95</v>
      </c>
      <c r="E441" s="135"/>
      <c r="F441" s="1016"/>
      <c r="G441" s="877"/>
    </row>
    <row r="442" spans="1:7">
      <c r="A442" s="884">
        <v>42144</v>
      </c>
      <c r="B442" s="76" t="str">
        <f>TiposLancamentos!B78</f>
        <v>Diferenças</v>
      </c>
      <c r="C442" s="147" t="s">
        <v>2488</v>
      </c>
      <c r="D442" s="63">
        <v>0.18</v>
      </c>
      <c r="E442" s="135"/>
      <c r="F442" s="1016"/>
      <c r="G442" s="877"/>
    </row>
    <row r="443" spans="1:7">
      <c r="A443" s="934"/>
      <c r="B443" s="226"/>
      <c r="C443" s="227" t="s">
        <v>10</v>
      </c>
      <c r="D443" s="228"/>
      <c r="E443" s="228"/>
      <c r="F443" s="935"/>
      <c r="G443" s="877"/>
    </row>
    <row r="444" spans="1:7" ht="14.25" thickBot="1">
      <c r="A444" s="885"/>
      <c r="B444" s="901"/>
      <c r="C444" s="1120"/>
      <c r="D444" s="903"/>
      <c r="E444" s="1035"/>
      <c r="F444" s="1036"/>
      <c r="G444" s="877"/>
    </row>
    <row r="445" spans="1:7">
      <c r="A445" s="884"/>
      <c r="B445" s="76"/>
      <c r="C445" s="878" t="s">
        <v>15311</v>
      </c>
      <c r="D445" s="63"/>
      <c r="E445" s="135"/>
      <c r="F445" s="1016"/>
      <c r="G445" s="877"/>
    </row>
    <row r="446" spans="1:7">
      <c r="A446" s="884">
        <v>43840</v>
      </c>
      <c r="B446" s="76" t="str">
        <f>TiposLancamentos!B13</f>
        <v>Moradia</v>
      </c>
      <c r="C446" s="3" t="s">
        <v>17343</v>
      </c>
      <c r="D446" s="63"/>
      <c r="E446" s="135">
        <v>125.69</v>
      </c>
      <c r="F446" s="1016"/>
      <c r="G446" s="877"/>
    </row>
    <row r="447" spans="1:7">
      <c r="A447" s="934"/>
      <c r="B447" s="226"/>
      <c r="C447" s="227" t="s">
        <v>10</v>
      </c>
      <c r="D447" s="228"/>
      <c r="E447" s="228"/>
      <c r="F447" s="935"/>
      <c r="G447" s="877"/>
    </row>
    <row r="448" spans="1:7" ht="14.25" thickBot="1">
      <c r="A448" s="885"/>
      <c r="B448" s="901"/>
      <c r="C448" s="1120"/>
      <c r="D448" s="903"/>
      <c r="E448" s="1035"/>
      <c r="F448" s="1036"/>
      <c r="G448" s="877"/>
    </row>
    <row r="449" spans="1:7">
      <c r="A449" s="884"/>
      <c r="B449" s="76"/>
      <c r="C449" s="878" t="s">
        <v>13883</v>
      </c>
      <c r="D449" s="63"/>
      <c r="E449" s="135"/>
      <c r="F449" s="1016"/>
      <c r="G449" s="877"/>
    </row>
    <row r="450" spans="1:7">
      <c r="A450" s="934"/>
      <c r="B450" s="226"/>
      <c r="C450" s="227" t="s">
        <v>10</v>
      </c>
      <c r="D450" s="228"/>
      <c r="E450" s="228"/>
      <c r="F450" s="935"/>
      <c r="G450" s="877"/>
    </row>
    <row r="451" spans="1:7" ht="14.25" thickBot="1">
      <c r="A451" s="885"/>
      <c r="B451" s="901"/>
      <c r="C451" s="1120"/>
      <c r="D451" s="903"/>
      <c r="E451" s="1035"/>
      <c r="F451" s="1036"/>
      <c r="G451" s="877"/>
    </row>
    <row r="452" spans="1:7">
      <c r="A452" s="884"/>
      <c r="B452" s="76"/>
      <c r="C452" s="878" t="s">
        <v>13885</v>
      </c>
      <c r="D452" s="63"/>
      <c r="E452" s="135"/>
      <c r="F452" s="1016">
        <f>SUM(E444:E449)</f>
        <v>125.69</v>
      </c>
      <c r="G452" s="877"/>
    </row>
    <row r="453" spans="1:7">
      <c r="A453" s="884">
        <v>43892</v>
      </c>
      <c r="B453" s="76" t="str">
        <f>TiposLancamentos!B15</f>
        <v>Cartões de Crédito</v>
      </c>
      <c r="C453" s="1203" t="s">
        <v>10915</v>
      </c>
      <c r="D453" s="63">
        <v>125.69</v>
      </c>
      <c r="E453" s="135"/>
      <c r="F453" s="1016"/>
      <c r="G453" s="877"/>
    </row>
    <row r="454" spans="1:7">
      <c r="A454" s="884"/>
      <c r="B454" s="76"/>
      <c r="D454" s="63"/>
      <c r="E454" s="135"/>
      <c r="F454" s="1016"/>
      <c r="G454" s="877"/>
    </row>
    <row r="455" spans="1:7">
      <c r="A455" s="934"/>
      <c r="B455" s="226"/>
      <c r="C455" s="227" t="s">
        <v>10</v>
      </c>
      <c r="D455" s="228"/>
      <c r="E455" s="228"/>
      <c r="F455" s="935"/>
      <c r="G455" s="877"/>
    </row>
    <row r="456" spans="1:7">
      <c r="A456" s="884"/>
      <c r="B456" s="76"/>
      <c r="C456" s="878"/>
      <c r="D456" s="63"/>
      <c r="E456" s="135"/>
      <c r="F456" s="1016"/>
      <c r="G456" s="877"/>
    </row>
    <row r="457" spans="1:7" ht="14.25" thickBot="1">
      <c r="A457" s="885"/>
      <c r="B457" s="901"/>
      <c r="C457" s="1120"/>
      <c r="D457" s="903"/>
      <c r="E457" s="1035"/>
      <c r="F457" s="1036"/>
      <c r="G457" s="877"/>
    </row>
    <row r="458" spans="1:7">
      <c r="A458" s="884"/>
      <c r="B458" s="76"/>
      <c r="C458" s="878" t="s">
        <v>13901</v>
      </c>
      <c r="D458" s="63"/>
      <c r="E458" s="135"/>
      <c r="F458" s="1016">
        <f>SUM(E451:E454)</f>
        <v>0</v>
      </c>
      <c r="G458" s="877"/>
    </row>
    <row r="459" spans="1:7">
      <c r="A459" s="884">
        <v>44059</v>
      </c>
      <c r="B459" s="76" t="str">
        <f>TiposLancamentos!B19</f>
        <v>Restaurantes</v>
      </c>
      <c r="C459" s="147" t="s">
        <v>17344</v>
      </c>
      <c r="D459" s="63"/>
      <c r="E459" s="135">
        <v>45.8</v>
      </c>
      <c r="F459" s="1016"/>
      <c r="G459" s="877"/>
    </row>
    <row r="460" spans="1:7">
      <c r="A460" s="884"/>
      <c r="B460" s="76"/>
      <c r="C460" s="878"/>
      <c r="D460" s="63"/>
      <c r="E460" s="135"/>
      <c r="F460" s="1016"/>
      <c r="G460" s="877"/>
    </row>
    <row r="461" spans="1:7">
      <c r="A461" s="884">
        <v>44075</v>
      </c>
      <c r="B461" s="76" t="str">
        <f>TiposLancamentos!B15</f>
        <v>Cartões de Crédito</v>
      </c>
      <c r="C461" s="878" t="s">
        <v>10915</v>
      </c>
      <c r="D461" s="63">
        <v>45.8</v>
      </c>
      <c r="E461" s="135"/>
      <c r="F461" s="1016"/>
      <c r="G461" s="877"/>
    </row>
    <row r="462" spans="1:7">
      <c r="A462" s="884"/>
      <c r="B462" s="76"/>
      <c r="C462" s="878"/>
      <c r="D462" s="63"/>
      <c r="E462" s="135"/>
      <c r="F462" s="1016"/>
      <c r="G462" s="877"/>
    </row>
    <row r="463" spans="1:7">
      <c r="A463" s="884">
        <v>44208</v>
      </c>
      <c r="B463" s="76" t="str">
        <f>TiposLancamentos!B4</f>
        <v>Taxas Bancarias</v>
      </c>
      <c r="C463" s="878" t="s">
        <v>17345</v>
      </c>
      <c r="D463" s="63"/>
      <c r="E463" s="135">
        <v>15.99</v>
      </c>
      <c r="F463" s="1016"/>
      <c r="G463" s="877"/>
    </row>
    <row r="464" spans="1:7">
      <c r="A464" s="884"/>
      <c r="B464" s="76"/>
      <c r="C464" s="878"/>
      <c r="D464" s="63"/>
      <c r="E464" s="135"/>
      <c r="F464" s="1016"/>
      <c r="G464" s="877"/>
    </row>
    <row r="465" spans="1:7">
      <c r="A465" s="884">
        <v>44219</v>
      </c>
      <c r="B465" s="76"/>
      <c r="C465" s="878" t="s">
        <v>17346</v>
      </c>
      <c r="D465" s="63"/>
      <c r="E465" s="135"/>
      <c r="F465" s="1016"/>
      <c r="G465" s="877"/>
    </row>
    <row r="466" spans="1:7">
      <c r="A466" s="884"/>
      <c r="B466" s="76"/>
      <c r="C466" s="878"/>
      <c r="D466" s="63"/>
      <c r="E466" s="135"/>
      <c r="F466" s="1016"/>
      <c r="G466" s="877"/>
    </row>
    <row r="467" spans="1:7">
      <c r="A467" s="884">
        <v>44228</v>
      </c>
      <c r="B467" s="76" t="str">
        <f>TiposLancamentos!B15</f>
        <v>Cartões de Crédito</v>
      </c>
      <c r="C467" s="878" t="s">
        <v>10915</v>
      </c>
      <c r="D467" s="63">
        <v>15.99</v>
      </c>
      <c r="E467" s="135"/>
      <c r="F467" s="1016"/>
      <c r="G467" s="877"/>
    </row>
    <row r="468" spans="1:7">
      <c r="A468" s="884">
        <v>44228</v>
      </c>
      <c r="B468" s="76" t="str">
        <f>TiposLancamentos!B78</f>
        <v>Diferenças</v>
      </c>
      <c r="C468" s="147" t="s">
        <v>17347</v>
      </c>
      <c r="D468" s="63"/>
      <c r="E468" s="135">
        <v>0.43</v>
      </c>
      <c r="F468" s="1016"/>
      <c r="G468" s="877"/>
    </row>
    <row r="469" spans="1:7">
      <c r="A469" s="884"/>
      <c r="B469" s="76"/>
      <c r="C469" s="147"/>
      <c r="D469" s="63"/>
      <c r="E469" s="135"/>
      <c r="F469" s="1016"/>
      <c r="G469" s="877"/>
    </row>
    <row r="470" spans="1:7" ht="12.75" customHeight="1">
      <c r="A470" s="1026"/>
      <c r="B470" s="37"/>
      <c r="C470" s="184" t="s">
        <v>12</v>
      </c>
      <c r="D470" s="426">
        <f>SUM(D2:D469)</f>
        <v>24384.9</v>
      </c>
      <c r="E470" s="186">
        <f>SUM(E2:E469)</f>
        <v>24384.90000000002</v>
      </c>
      <c r="F470" s="1027"/>
    </row>
    <row r="471" spans="1:7" ht="14.25" thickBot="1">
      <c r="A471" s="1028"/>
      <c r="B471" s="901"/>
      <c r="C471" s="1029" t="s">
        <v>13</v>
      </c>
      <c r="D471" s="1030"/>
      <c r="E471" s="1031">
        <f>D470-E470</f>
        <v>0</v>
      </c>
      <c r="F471" s="905"/>
    </row>
    <row r="472" spans="1:7">
      <c r="D472" s="426">
        <v>4000</v>
      </c>
      <c r="F472" s="36">
        <f>D472+E471</f>
        <v>4000</v>
      </c>
    </row>
    <row r="475" spans="1:7">
      <c r="D475" s="3">
        <v>24361.91</v>
      </c>
    </row>
    <row r="476" spans="1:7">
      <c r="D476" s="877">
        <f>D470-D475</f>
        <v>22.990000000001601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ilha21"/>
  <dimension ref="A1:G54"/>
  <sheetViews>
    <sheetView topLeftCell="A21" workbookViewId="0">
      <selection activeCell="C52" sqref="C52"/>
    </sheetView>
  </sheetViews>
  <sheetFormatPr defaultColWidth="9" defaultRowHeight="13.5"/>
  <cols>
    <col min="1" max="1" width="13.7109375" style="3" bestFit="1" customWidth="1"/>
    <col min="2" max="2" width="21.42578125" style="3" customWidth="1"/>
    <col min="3" max="3" width="48.42578125" style="3" customWidth="1"/>
    <col min="4" max="4" width="16" style="3" customWidth="1"/>
    <col min="5" max="5" width="17" style="221" customWidth="1"/>
    <col min="6" max="6" width="16" style="3" bestFit="1" customWidth="1"/>
    <col min="7" max="7" width="8.42578125" style="3" customWidth="1"/>
    <col min="8" max="16384" width="9" style="3"/>
  </cols>
  <sheetData>
    <row r="1" spans="1:7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7">
      <c r="A2" s="767"/>
      <c r="B2" s="1121"/>
      <c r="C2" s="802" t="s">
        <v>17348</v>
      </c>
      <c r="D2" s="754"/>
      <c r="E2" s="755"/>
      <c r="F2" s="1191"/>
    </row>
    <row r="3" spans="1:7">
      <c r="A3" s="769">
        <v>44704</v>
      </c>
      <c r="B3" s="240" t="str">
        <f>TiposLancamentos!B77</f>
        <v>Esporádico</v>
      </c>
      <c r="C3" s="878" t="s">
        <v>8</v>
      </c>
      <c r="D3" s="63">
        <v>0.01</v>
      </c>
      <c r="E3" s="231"/>
      <c r="F3" s="1193"/>
    </row>
    <row r="4" spans="1:7">
      <c r="A4" s="769">
        <v>44704</v>
      </c>
      <c r="B4" s="240" t="str">
        <f>TiposLancamentos!B78</f>
        <v>Diferenças</v>
      </c>
      <c r="C4" s="878" t="s">
        <v>8</v>
      </c>
      <c r="D4" s="63"/>
      <c r="E4" s="231">
        <v>0.01</v>
      </c>
      <c r="F4" s="1193"/>
    </row>
    <row r="5" spans="1:7">
      <c r="A5" s="759"/>
      <c r="B5" s="243"/>
      <c r="C5" s="389" t="s">
        <v>10</v>
      </c>
      <c r="D5" s="146"/>
      <c r="E5" s="1190"/>
      <c r="F5" s="760"/>
      <c r="G5" s="1094" t="s">
        <v>11</v>
      </c>
    </row>
    <row r="6" spans="1:7">
      <c r="A6" s="769"/>
      <c r="B6" s="240"/>
      <c r="C6" s="878"/>
      <c r="D6" s="63"/>
      <c r="E6" s="231"/>
      <c r="F6" s="1193"/>
    </row>
    <row r="7" spans="1:7">
      <c r="A7" s="767"/>
      <c r="B7" s="1121"/>
      <c r="C7" s="802" t="s">
        <v>17349</v>
      </c>
      <c r="D7" s="754"/>
      <c r="E7" s="755"/>
      <c r="F7" s="1395"/>
    </row>
    <row r="8" spans="1:7">
      <c r="A8" s="769">
        <v>44714</v>
      </c>
      <c r="B8" s="240" t="str">
        <f>TiposLancamentos!B16</f>
        <v>Cristiane</v>
      </c>
      <c r="C8" s="878" t="s">
        <v>17350</v>
      </c>
      <c r="D8" s="63"/>
      <c r="E8" s="231">
        <v>90.8</v>
      </c>
      <c r="F8" s="1193"/>
      <c r="G8" s="1152" t="s">
        <v>9</v>
      </c>
    </row>
    <row r="9" spans="1:7">
      <c r="A9" s="759"/>
      <c r="B9" s="243"/>
      <c r="C9" s="389" t="s">
        <v>10</v>
      </c>
      <c r="D9" s="146"/>
      <c r="E9" s="1190"/>
      <c r="F9" s="760"/>
      <c r="G9" s="1094" t="s">
        <v>11</v>
      </c>
    </row>
    <row r="10" spans="1:7">
      <c r="A10" s="770"/>
      <c r="B10" s="1124"/>
      <c r="C10" s="1179"/>
      <c r="D10" s="764"/>
      <c r="E10" s="765"/>
      <c r="F10" s="1194"/>
    </row>
    <row r="11" spans="1:7">
      <c r="A11" s="769"/>
      <c r="B11" s="240"/>
      <c r="C11" s="878" t="s">
        <v>17351</v>
      </c>
      <c r="D11" s="63"/>
      <c r="E11" s="231"/>
      <c r="F11" s="1193">
        <f>SUM(E6:E8)</f>
        <v>90.8</v>
      </c>
    </row>
    <row r="12" spans="1:7">
      <c r="A12" s="769">
        <v>44743</v>
      </c>
      <c r="B12" s="240" t="str">
        <f>TiposLancamentos!B15</f>
        <v>Cartões de Crédito</v>
      </c>
      <c r="C12" s="878" t="s">
        <v>1874</v>
      </c>
      <c r="D12" s="63">
        <v>90.8</v>
      </c>
      <c r="E12" s="231"/>
      <c r="F12" s="1193"/>
    </row>
    <row r="13" spans="1:7">
      <c r="A13" s="769"/>
      <c r="B13" s="240"/>
      <c r="C13" s="878"/>
      <c r="D13" s="63"/>
      <c r="E13" s="231"/>
      <c r="F13" s="1193"/>
    </row>
    <row r="14" spans="1:7">
      <c r="A14" s="759"/>
      <c r="B14" s="243"/>
      <c r="C14" s="389" t="s">
        <v>10</v>
      </c>
      <c r="D14" s="146"/>
      <c r="E14" s="1190"/>
      <c r="F14" s="760"/>
    </row>
    <row r="15" spans="1:7">
      <c r="A15" s="770"/>
      <c r="B15" s="1124"/>
      <c r="C15" s="1179" t="s">
        <v>1868</v>
      </c>
      <c r="D15" s="764"/>
      <c r="E15" s="765"/>
      <c r="F15" s="1194"/>
    </row>
    <row r="16" spans="1:7">
      <c r="A16" s="767"/>
      <c r="B16" s="1121"/>
      <c r="C16" s="802" t="s">
        <v>17352</v>
      </c>
      <c r="D16" s="754"/>
      <c r="E16" s="755"/>
      <c r="F16" s="1395">
        <f>SUM(E9:E14)</f>
        <v>0</v>
      </c>
    </row>
    <row r="17" spans="1:7">
      <c r="A17" s="769">
        <v>44856</v>
      </c>
      <c r="B17" s="240"/>
      <c r="C17" s="3" t="s">
        <v>1868</v>
      </c>
      <c r="D17" s="63"/>
      <c r="E17" s="231"/>
      <c r="F17" s="1193">
        <f>F16-F11</f>
        <v>-90.8</v>
      </c>
    </row>
    <row r="18" spans="1:7">
      <c r="A18" s="806">
        <v>44856</v>
      </c>
      <c r="B18" s="822" t="str">
        <f>TiposLancamentos!B38</f>
        <v>Playstation 4</v>
      </c>
      <c r="C18" s="1396" t="s">
        <v>17353</v>
      </c>
      <c r="D18" s="747"/>
      <c r="E18" s="1139">
        <f>49.99-9.01</f>
        <v>40.980000000000004</v>
      </c>
      <c r="F18" s="1140"/>
      <c r="G18" s="1152" t="s">
        <v>9</v>
      </c>
    </row>
    <row r="19" spans="1:7">
      <c r="A19" s="810">
        <v>44856</v>
      </c>
      <c r="B19" s="823" t="str">
        <f>TiposLancamentos!B4</f>
        <v>Taxas Bancarias</v>
      </c>
      <c r="C19" s="1367" t="s">
        <v>17354</v>
      </c>
      <c r="D19" s="849"/>
      <c r="E19" s="1141">
        <v>0.16</v>
      </c>
      <c r="F19" s="1142">
        <f>SUM(E18:E19)</f>
        <v>41.14</v>
      </c>
      <c r="G19" s="1152" t="s">
        <v>9</v>
      </c>
    </row>
    <row r="20" spans="1:7">
      <c r="A20" s="770">
        <v>44856</v>
      </c>
      <c r="B20" s="1124"/>
      <c r="C20" s="1179" t="s">
        <v>1868</v>
      </c>
      <c r="D20" s="764"/>
      <c r="E20" s="765"/>
      <c r="F20" s="1194"/>
      <c r="G20" s="1152" t="s">
        <v>9</v>
      </c>
    </row>
    <row r="21" spans="1:7">
      <c r="A21" s="767"/>
      <c r="B21" s="1121"/>
      <c r="C21" s="802" t="s">
        <v>17355</v>
      </c>
      <c r="D21" s="754"/>
      <c r="E21" s="755"/>
      <c r="F21" s="1395">
        <v>0</v>
      </c>
    </row>
    <row r="22" spans="1:7">
      <c r="A22" s="769"/>
      <c r="B22" s="240"/>
      <c r="C22" s="878" t="s">
        <v>1868</v>
      </c>
      <c r="D22" s="63"/>
      <c r="E22" s="231"/>
      <c r="F22" s="1193"/>
    </row>
    <row r="23" spans="1:7">
      <c r="A23" s="759"/>
      <c r="B23" s="243"/>
      <c r="C23" s="389" t="s">
        <v>10</v>
      </c>
      <c r="D23" s="146"/>
      <c r="E23" s="1190"/>
      <c r="F23" s="760"/>
      <c r="G23" s="1094" t="s">
        <v>11</v>
      </c>
    </row>
    <row r="24" spans="1:7">
      <c r="A24" s="770"/>
      <c r="B24" s="1124"/>
      <c r="C24" s="1179" t="s">
        <v>1868</v>
      </c>
      <c r="D24" s="764"/>
      <c r="E24" s="765"/>
      <c r="F24" s="1194"/>
    </row>
    <row r="25" spans="1:7">
      <c r="A25" s="769"/>
      <c r="B25" s="240"/>
      <c r="C25" s="878" t="s">
        <v>17356</v>
      </c>
      <c r="D25" s="63"/>
      <c r="E25" s="231"/>
      <c r="F25" s="1193">
        <f>SUM(E14:E23)</f>
        <v>41.14</v>
      </c>
    </row>
    <row r="26" spans="1:7">
      <c r="A26" s="769">
        <v>44896</v>
      </c>
      <c r="B26" s="240" t="str">
        <f>TiposLancamentos!B15</f>
        <v>Cartões de Crédito</v>
      </c>
      <c r="C26" s="878" t="s">
        <v>1874</v>
      </c>
      <c r="D26" s="63">
        <v>41.14</v>
      </c>
      <c r="E26" s="231"/>
      <c r="F26" s="1193">
        <f>F25-F21</f>
        <v>41.14</v>
      </c>
      <c r="G26" s="1152" t="s">
        <v>9</v>
      </c>
    </row>
    <row r="27" spans="1:7">
      <c r="A27" s="769">
        <v>44901</v>
      </c>
      <c r="B27" s="240" t="str">
        <f>TiposLancamentos!B37</f>
        <v>Playstation 3</v>
      </c>
      <c r="C27" s="878" t="s">
        <v>17357</v>
      </c>
      <c r="D27" s="63"/>
      <c r="E27" s="231">
        <v>56.46</v>
      </c>
      <c r="F27" s="1193"/>
      <c r="G27" s="1152" t="s">
        <v>9</v>
      </c>
    </row>
    <row r="28" spans="1:7">
      <c r="A28" s="769">
        <v>44917</v>
      </c>
      <c r="B28" s="240"/>
      <c r="C28" s="878" t="s">
        <v>1868</v>
      </c>
      <c r="D28" s="63"/>
      <c r="E28" s="231"/>
      <c r="F28" s="1193"/>
    </row>
    <row r="29" spans="1:7">
      <c r="A29" s="759"/>
      <c r="B29" s="243"/>
      <c r="C29" s="389" t="s">
        <v>10</v>
      </c>
      <c r="D29" s="146"/>
      <c r="E29" s="1190"/>
      <c r="F29" s="760"/>
      <c r="G29" s="1094" t="s">
        <v>11</v>
      </c>
    </row>
    <row r="30" spans="1:7">
      <c r="A30" s="770"/>
      <c r="B30" s="1124"/>
      <c r="C30" s="1179" t="s">
        <v>1868</v>
      </c>
      <c r="D30" s="764"/>
      <c r="E30" s="765"/>
      <c r="F30" s="1194"/>
    </row>
    <row r="31" spans="1:7">
      <c r="A31" s="769"/>
      <c r="B31" s="240"/>
      <c r="C31" s="878" t="s">
        <v>1618</v>
      </c>
      <c r="D31" s="63"/>
      <c r="E31" s="231"/>
      <c r="F31" s="1193">
        <f>SUM(E23:E29)</f>
        <v>56.46</v>
      </c>
    </row>
    <row r="32" spans="1:7">
      <c r="A32" s="769">
        <v>44928</v>
      </c>
      <c r="B32" s="240" t="str">
        <f>TiposLancamentos!B15</f>
        <v>Cartões de Crédito</v>
      </c>
      <c r="C32" s="878" t="s">
        <v>1874</v>
      </c>
      <c r="D32" s="63">
        <v>56.46</v>
      </c>
      <c r="E32" s="231"/>
      <c r="F32" s="1193"/>
    </row>
    <row r="33" spans="1:6">
      <c r="A33" s="769"/>
      <c r="B33" s="240"/>
      <c r="C33" s="878"/>
      <c r="D33" s="63"/>
      <c r="E33" s="231"/>
      <c r="F33" s="1193"/>
    </row>
    <row r="34" spans="1:6">
      <c r="A34" s="769"/>
      <c r="B34" s="240"/>
      <c r="C34" s="878"/>
      <c r="D34" s="63"/>
      <c r="E34" s="231"/>
      <c r="F34" s="1193"/>
    </row>
    <row r="35" spans="1:6">
      <c r="A35" s="769"/>
      <c r="B35" s="240"/>
      <c r="C35" s="878"/>
      <c r="D35" s="63"/>
      <c r="E35" s="231"/>
      <c r="F35" s="1193"/>
    </row>
    <row r="36" spans="1:6">
      <c r="A36" s="769"/>
      <c r="B36" s="240"/>
      <c r="C36" s="878" t="s">
        <v>1868</v>
      </c>
      <c r="D36" s="63"/>
      <c r="E36" s="231"/>
      <c r="F36" s="1193"/>
    </row>
    <row r="37" spans="1:6">
      <c r="A37" s="759"/>
      <c r="B37" s="243"/>
      <c r="C37" s="389" t="s">
        <v>10</v>
      </c>
      <c r="D37" s="146"/>
      <c r="E37" s="1190"/>
      <c r="F37" s="760"/>
    </row>
    <row r="38" spans="1:6">
      <c r="A38" s="769"/>
      <c r="B38" s="240"/>
      <c r="C38" s="878"/>
      <c r="D38" s="63"/>
      <c r="E38" s="231"/>
      <c r="F38" s="1193"/>
    </row>
    <row r="39" spans="1:6">
      <c r="A39" s="769"/>
      <c r="B39" s="240"/>
      <c r="C39" s="878"/>
      <c r="D39" s="63"/>
      <c r="E39" s="231"/>
      <c r="F39" s="1193"/>
    </row>
    <row r="40" spans="1:6">
      <c r="A40" s="769"/>
      <c r="B40" s="240"/>
      <c r="C40" s="878"/>
      <c r="D40" s="63"/>
      <c r="E40" s="231"/>
      <c r="F40" s="1193"/>
    </row>
    <row r="41" spans="1:6">
      <c r="A41" s="770"/>
      <c r="B41" s="1124"/>
      <c r="C41" s="1179" t="s">
        <v>1868</v>
      </c>
      <c r="D41" s="764"/>
      <c r="E41" s="765"/>
      <c r="F41" s="1194"/>
    </row>
    <row r="42" spans="1:6">
      <c r="A42" s="769"/>
      <c r="B42" s="240"/>
      <c r="C42" s="878" t="s">
        <v>1619</v>
      </c>
      <c r="D42" s="63"/>
      <c r="E42" s="231"/>
      <c r="F42" s="1193">
        <f>SUM(E30:E36)</f>
        <v>0</v>
      </c>
    </row>
    <row r="43" spans="1:6">
      <c r="A43" s="769"/>
      <c r="B43" s="240"/>
      <c r="C43" s="878"/>
      <c r="D43" s="63"/>
      <c r="E43" s="231"/>
      <c r="F43" s="1193">
        <f>F42-F31</f>
        <v>-56.46</v>
      </c>
    </row>
    <row r="44" spans="1:6">
      <c r="A44" s="769"/>
      <c r="B44" s="240"/>
      <c r="C44" s="878"/>
      <c r="D44" s="63"/>
      <c r="E44" s="231"/>
      <c r="F44" s="1193"/>
    </row>
    <row r="45" spans="1:6">
      <c r="A45" s="769"/>
      <c r="B45" s="240"/>
      <c r="C45" s="878"/>
      <c r="D45" s="63"/>
      <c r="E45" s="231"/>
      <c r="F45" s="1193"/>
    </row>
    <row r="46" spans="1:6">
      <c r="A46" s="769"/>
      <c r="B46" s="240"/>
      <c r="C46" s="878"/>
      <c r="D46" s="63"/>
      <c r="E46" s="231"/>
      <c r="F46" s="1193"/>
    </row>
    <row r="47" spans="1:6">
      <c r="A47" s="769"/>
      <c r="B47" s="240"/>
      <c r="C47" s="878"/>
      <c r="D47" s="63"/>
      <c r="E47" s="231"/>
      <c r="F47" s="1193"/>
    </row>
    <row r="48" spans="1:6">
      <c r="A48" s="770"/>
      <c r="B48" s="1124"/>
      <c r="C48" s="1179"/>
      <c r="D48" s="764"/>
      <c r="E48" s="765"/>
      <c r="F48" s="1194"/>
    </row>
    <row r="49" spans="1:7">
      <c r="A49" s="770"/>
      <c r="B49" s="1124"/>
      <c r="C49" s="763"/>
      <c r="D49" s="764"/>
      <c r="E49" s="765"/>
      <c r="F49" s="1192"/>
      <c r="G49" s="1094" t="s">
        <v>11</v>
      </c>
    </row>
    <row r="50" spans="1:7">
      <c r="A50" s="46"/>
      <c r="B50" s="116"/>
      <c r="C50" s="117" t="s">
        <v>12</v>
      </c>
      <c r="D50" s="185">
        <f>SUM(D2:D49)</f>
        <v>188.41</v>
      </c>
      <c r="E50" s="609">
        <f>SUM(E2:E49)</f>
        <v>188.41000000000003</v>
      </c>
      <c r="F50" s="224"/>
    </row>
    <row r="51" spans="1:7">
      <c r="A51" s="119"/>
      <c r="B51" s="120"/>
      <c r="C51" s="24" t="s">
        <v>13</v>
      </c>
      <c r="D51" s="177"/>
      <c r="E51" s="302">
        <f>D50-E50</f>
        <v>0</v>
      </c>
      <c r="F51" s="177"/>
    </row>
    <row r="52" spans="1:7">
      <c r="A52" s="65"/>
      <c r="B52" s="65"/>
    </row>
    <row r="53" spans="1:7">
      <c r="C53" s="23"/>
      <c r="D53" s="25" t="s">
        <v>14</v>
      </c>
      <c r="E53" s="303" t="s">
        <v>15</v>
      </c>
      <c r="F53" s="25" t="s">
        <v>16</v>
      </c>
    </row>
    <row r="54" spans="1:7">
      <c r="B54" s="77" t="s">
        <v>17</v>
      </c>
      <c r="C54" s="36"/>
      <c r="D54" s="60"/>
      <c r="E54" s="34">
        <f>E51</f>
        <v>0</v>
      </c>
      <c r="F54" s="62">
        <f>D54+E54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Plan16"/>
  <dimension ref="A1:G2209"/>
  <sheetViews>
    <sheetView zoomScaleNormal="100" workbookViewId="0">
      <pane xSplit="6" ySplit="1" topLeftCell="G2170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.140625" defaultRowHeight="13.5"/>
  <cols>
    <col min="1" max="1" width="13.7109375" style="1248" customWidth="1"/>
    <col min="2" max="2" width="24.42578125" style="1248" customWidth="1"/>
    <col min="3" max="3" width="63" style="1248" customWidth="1"/>
    <col min="4" max="4" width="17.85546875" style="1248" customWidth="1"/>
    <col min="5" max="5" width="17.28515625" style="1248" customWidth="1"/>
    <col min="6" max="6" width="17.28515625" style="1248" bestFit="1" customWidth="1"/>
    <col min="7" max="16384" width="9.140625" style="1248"/>
  </cols>
  <sheetData>
    <row r="1" spans="1:7">
      <c r="A1" s="1543" t="s">
        <v>0</v>
      </c>
      <c r="B1" s="1544" t="s">
        <v>1</v>
      </c>
      <c r="C1" s="1545" t="s">
        <v>2</v>
      </c>
      <c r="D1" s="1546" t="s">
        <v>3</v>
      </c>
      <c r="E1" s="1567" t="s">
        <v>4</v>
      </c>
      <c r="F1" s="1698" t="s">
        <v>5</v>
      </c>
      <c r="G1" s="1660" t="s">
        <v>6</v>
      </c>
    </row>
    <row r="2" spans="1:7" ht="14.25" thickBot="1">
      <c r="A2" s="1692"/>
      <c r="B2" s="189"/>
      <c r="C2" s="43" t="s">
        <v>2488</v>
      </c>
      <c r="D2" s="90"/>
      <c r="E2" s="1646"/>
      <c r="F2" s="3"/>
      <c r="G2" s="1040"/>
    </row>
    <row r="3" spans="1:7">
      <c r="A3" s="967"/>
      <c r="B3" s="968"/>
      <c r="C3" s="1093" t="s">
        <v>17358</v>
      </c>
      <c r="D3" s="970"/>
      <c r="E3" s="971"/>
      <c r="F3" s="1712"/>
      <c r="G3" s="1039"/>
    </row>
    <row r="4" spans="1:7">
      <c r="A4" s="884">
        <v>42475</v>
      </c>
      <c r="B4" s="138" t="str">
        <f>TiposLancamentos!B95</f>
        <v>Salarios</v>
      </c>
      <c r="C4" s="3" t="s">
        <v>17359</v>
      </c>
      <c r="D4" s="197">
        <v>3469.39</v>
      </c>
      <c r="E4" s="857"/>
      <c r="F4" s="135"/>
      <c r="G4" s="1040"/>
    </row>
    <row r="5" spans="1:7">
      <c r="A5" s="884">
        <v>42478</v>
      </c>
      <c r="B5" s="138" t="str">
        <f>TiposLancamentos!B21</f>
        <v>Transf. Poupanca</v>
      </c>
      <c r="C5" s="3" t="s">
        <v>17360</v>
      </c>
      <c r="D5" s="197"/>
      <c r="E5" s="857">
        <v>50</v>
      </c>
      <c r="F5" s="135"/>
      <c r="G5" s="1040"/>
    </row>
    <row r="6" spans="1:7">
      <c r="A6" s="884">
        <v>42479</v>
      </c>
      <c r="B6" s="138" t="str">
        <f>TiposLancamentos!B105</f>
        <v>Transf. Bco</v>
      </c>
      <c r="C6" s="3" t="s">
        <v>17361</v>
      </c>
      <c r="D6" s="197"/>
      <c r="E6" s="857">
        <v>3419.39</v>
      </c>
      <c r="F6" s="135"/>
      <c r="G6" s="1040"/>
    </row>
    <row r="7" spans="1:7" ht="14.25" thickBot="1">
      <c r="A7" s="884">
        <v>42489</v>
      </c>
      <c r="B7" s="138" t="str">
        <f>TiposLancamentos!B95</f>
        <v>Salarios</v>
      </c>
      <c r="C7" s="3" t="s">
        <v>17362</v>
      </c>
      <c r="D7" s="197">
        <v>8850.3700000000008</v>
      </c>
      <c r="E7" s="857"/>
      <c r="F7" s="135"/>
      <c r="G7" s="1040"/>
    </row>
    <row r="8" spans="1:7">
      <c r="A8" s="967"/>
      <c r="B8" s="968"/>
      <c r="C8" s="1093" t="s">
        <v>17363</v>
      </c>
      <c r="D8" s="970"/>
      <c r="E8" s="971"/>
      <c r="F8" s="1712"/>
      <c r="G8" s="1039"/>
    </row>
    <row r="9" spans="1:7">
      <c r="A9" s="884">
        <v>42492</v>
      </c>
      <c r="B9" s="138" t="str">
        <f>TiposLancamentos!B15</f>
        <v>Cartões de Crédito</v>
      </c>
      <c r="C9" s="3" t="s">
        <v>7254</v>
      </c>
      <c r="D9" s="197"/>
      <c r="E9" s="857">
        <v>4861.47</v>
      </c>
      <c r="F9" s="135"/>
      <c r="G9" s="1040"/>
    </row>
    <row r="10" spans="1:7">
      <c r="A10" s="884">
        <v>42493</v>
      </c>
      <c r="B10" s="138" t="str">
        <f>TiposLancamentos!B15</f>
        <v>Cartões de Crédito</v>
      </c>
      <c r="C10" s="3" t="s">
        <v>17364</v>
      </c>
      <c r="D10" s="197"/>
      <c r="E10" s="857">
        <v>2444.71</v>
      </c>
      <c r="F10" s="135"/>
      <c r="G10" s="1040"/>
    </row>
    <row r="11" spans="1:7">
      <c r="A11" s="884">
        <v>42493</v>
      </c>
      <c r="B11" s="138" t="str">
        <f>TiposLancamentos!B53</f>
        <v>Auxilio Idoso</v>
      </c>
      <c r="C11" s="3" t="s">
        <v>17365</v>
      </c>
      <c r="D11" s="197"/>
      <c r="E11" s="857">
        <v>1380</v>
      </c>
      <c r="F11" s="135"/>
      <c r="G11" s="1040"/>
    </row>
    <row r="12" spans="1:7">
      <c r="A12" s="884">
        <v>42493</v>
      </c>
      <c r="B12" s="138" t="str">
        <f>TiposLancamentos!B3</f>
        <v>Internet</v>
      </c>
      <c r="C12" s="3" t="s">
        <v>17366</v>
      </c>
      <c r="D12" s="197"/>
      <c r="E12" s="857">
        <v>139.59</v>
      </c>
      <c r="F12" s="135"/>
      <c r="G12" s="1040"/>
    </row>
    <row r="13" spans="1:7">
      <c r="A13" s="884">
        <v>42493</v>
      </c>
      <c r="B13" s="138" t="str">
        <f>TiposLancamentos!B15</f>
        <v>Cartões de Crédito</v>
      </c>
      <c r="C13" s="3" t="s">
        <v>17367</v>
      </c>
      <c r="D13" s="197"/>
      <c r="E13" s="857">
        <v>24</v>
      </c>
      <c r="F13" s="135"/>
      <c r="G13" s="1040"/>
    </row>
    <row r="14" spans="1:7">
      <c r="A14" s="884">
        <v>42503</v>
      </c>
      <c r="B14" s="138" t="str">
        <f>TiposLancamentos!B95</f>
        <v>Salarios</v>
      </c>
      <c r="C14" s="3" t="s">
        <v>4916</v>
      </c>
      <c r="D14" s="197">
        <v>3469.39</v>
      </c>
      <c r="E14" s="857"/>
      <c r="F14" s="135"/>
      <c r="G14" s="1040"/>
    </row>
    <row r="15" spans="1:7">
      <c r="A15" s="884">
        <v>42509</v>
      </c>
      <c r="B15" s="138" t="str">
        <f>TiposLancamentos!B20</f>
        <v>Saques</v>
      </c>
      <c r="C15" s="3" t="s">
        <v>3604</v>
      </c>
      <c r="D15" s="197"/>
      <c r="E15" s="857">
        <v>20</v>
      </c>
      <c r="F15" s="135"/>
      <c r="G15" s="1040"/>
    </row>
    <row r="16" spans="1:7">
      <c r="A16" s="884">
        <v>42509</v>
      </c>
      <c r="B16" s="138" t="str">
        <f>TiposLancamentos!B21</f>
        <v>Transf. Poupanca</v>
      </c>
      <c r="C16" s="3" t="s">
        <v>17360</v>
      </c>
      <c r="D16" s="197"/>
      <c r="E16" s="857">
        <v>50</v>
      </c>
      <c r="F16" s="135"/>
      <c r="G16" s="1040"/>
    </row>
    <row r="17" spans="1:7">
      <c r="A17" s="884">
        <v>42510</v>
      </c>
      <c r="B17" s="138" t="str">
        <f>TiposLancamentos!B105</f>
        <v>Transf. Bco</v>
      </c>
      <c r="C17" s="3" t="s">
        <v>17368</v>
      </c>
      <c r="D17" s="197"/>
      <c r="E17" s="857">
        <v>3399</v>
      </c>
      <c r="F17" s="135"/>
      <c r="G17" s="1040"/>
    </row>
    <row r="18" spans="1:7" ht="14.25" thickBot="1">
      <c r="A18" s="884">
        <v>42521</v>
      </c>
      <c r="B18" s="138" t="str">
        <f>TiposLancamentos!B95</f>
        <v>Salarios</v>
      </c>
      <c r="C18" s="3" t="s">
        <v>17362</v>
      </c>
      <c r="D18" s="197">
        <v>6821.84</v>
      </c>
      <c r="E18" s="857"/>
      <c r="F18" s="135"/>
      <c r="G18" s="1040"/>
    </row>
    <row r="19" spans="1:7">
      <c r="A19" s="967"/>
      <c r="B19" s="968"/>
      <c r="C19" s="1093" t="s">
        <v>17369</v>
      </c>
      <c r="D19" s="970"/>
      <c r="E19" s="971"/>
      <c r="F19" s="1712"/>
      <c r="G19" s="1039"/>
    </row>
    <row r="20" spans="1:7">
      <c r="A20" s="884">
        <v>42522</v>
      </c>
      <c r="B20" s="138" t="str">
        <f>TiposLancamentos!B15</f>
        <v>Cartões de Crédito</v>
      </c>
      <c r="C20" s="3" t="s">
        <v>17370</v>
      </c>
      <c r="D20" s="197"/>
      <c r="E20" s="857">
        <v>2858.43</v>
      </c>
      <c r="F20" s="135"/>
      <c r="G20" s="1040"/>
    </row>
    <row r="21" spans="1:7">
      <c r="A21" s="884">
        <v>42522</v>
      </c>
      <c r="B21" s="138" t="str">
        <f>TiposLancamentos!B15</f>
        <v>Cartões de Crédito</v>
      </c>
      <c r="C21" s="3" t="s">
        <v>7161</v>
      </c>
      <c r="D21" s="197"/>
      <c r="E21" s="857">
        <v>2165.9299999999998</v>
      </c>
      <c r="F21" s="135"/>
      <c r="G21" s="1040"/>
    </row>
    <row r="22" spans="1:7">
      <c r="A22" s="884">
        <v>42522</v>
      </c>
      <c r="B22" s="138" t="str">
        <f>TiposLancamentos!B15</f>
        <v>Cartões de Crédito</v>
      </c>
      <c r="C22" s="3" t="s">
        <v>5924</v>
      </c>
      <c r="D22" s="197"/>
      <c r="E22" s="857">
        <v>319.05</v>
      </c>
      <c r="F22" s="135"/>
      <c r="G22" s="1040"/>
    </row>
    <row r="23" spans="1:7">
      <c r="A23" s="884">
        <v>42522</v>
      </c>
      <c r="B23" s="138" t="str">
        <f>TiposLancamentos!B3</f>
        <v>Internet</v>
      </c>
      <c r="C23" s="3" t="s">
        <v>17366</v>
      </c>
      <c r="D23" s="197"/>
      <c r="E23" s="857">
        <v>139.19999999999999</v>
      </c>
      <c r="F23" s="135"/>
      <c r="G23" s="1040"/>
    </row>
    <row r="24" spans="1:7">
      <c r="A24" s="884">
        <v>42524</v>
      </c>
      <c r="B24" s="138" t="str">
        <f>TiposLancamentos!B53</f>
        <v>Auxilio Idoso</v>
      </c>
      <c r="C24" s="3" t="s">
        <v>17365</v>
      </c>
      <c r="D24" s="197"/>
      <c r="E24" s="857">
        <v>1380</v>
      </c>
      <c r="F24" s="135"/>
      <c r="G24" s="1040"/>
    </row>
    <row r="25" spans="1:7">
      <c r="A25" s="884">
        <v>42527</v>
      </c>
      <c r="B25" s="138" t="str">
        <f>TiposLancamentos!B102</f>
        <v>ESTORNO</v>
      </c>
      <c r="C25" s="3" t="s">
        <v>17371</v>
      </c>
      <c r="D25" s="197">
        <v>120</v>
      </c>
      <c r="E25" s="857"/>
      <c r="F25" s="135"/>
      <c r="G25" s="1040"/>
    </row>
    <row r="26" spans="1:7">
      <c r="A26" s="884">
        <v>42527</v>
      </c>
      <c r="B26" s="138" t="str">
        <f>TiposLancamentos!B9</f>
        <v>Condominio</v>
      </c>
      <c r="C26" s="3" t="s">
        <v>17372</v>
      </c>
      <c r="D26" s="197"/>
      <c r="E26" s="857">
        <v>1219.26</v>
      </c>
      <c r="F26" s="135"/>
      <c r="G26" s="1040"/>
    </row>
    <row r="27" spans="1:7">
      <c r="A27" s="884">
        <v>42528</v>
      </c>
      <c r="B27" s="138" t="str">
        <f>TiposLancamentos!B2</f>
        <v>Telefonia</v>
      </c>
      <c r="C27" s="3" t="s">
        <v>7192</v>
      </c>
      <c r="D27" s="197"/>
      <c r="E27" s="857">
        <v>150.75</v>
      </c>
      <c r="F27" s="135"/>
      <c r="G27" s="1040"/>
    </row>
    <row r="28" spans="1:7">
      <c r="A28" s="884">
        <v>42529</v>
      </c>
      <c r="B28" s="138" t="str">
        <f>TiposLancamentos!B24</f>
        <v>Estacionamentos</v>
      </c>
      <c r="C28" s="3" t="s">
        <v>4589</v>
      </c>
      <c r="D28" s="197"/>
      <c r="E28" s="857">
        <v>170</v>
      </c>
      <c r="F28" s="135"/>
      <c r="G28" s="1040"/>
    </row>
    <row r="29" spans="1:7">
      <c r="A29" s="858">
        <v>42529</v>
      </c>
      <c r="B29" s="822" t="str">
        <f>TiposLancamentos!B29</f>
        <v>Mangá</v>
      </c>
      <c r="C29" s="808" t="s">
        <v>17373</v>
      </c>
      <c r="D29" s="747"/>
      <c r="E29" s="851">
        <v>12.9</v>
      </c>
      <c r="F29" s="1699"/>
      <c r="G29" s="1040"/>
    </row>
    <row r="30" spans="1:7">
      <c r="A30" s="862">
        <v>42529</v>
      </c>
      <c r="B30" s="823" t="str">
        <f>TiposLancamentos!B18</f>
        <v>Alimentacao</v>
      </c>
      <c r="C30" s="812" t="s">
        <v>17374</v>
      </c>
      <c r="D30" s="849"/>
      <c r="E30" s="855">
        <f>F30-E29</f>
        <v>8.9</v>
      </c>
      <c r="F30" s="1700">
        <v>21.8</v>
      </c>
      <c r="G30" s="1040"/>
    </row>
    <row r="31" spans="1:7">
      <c r="A31" s="884"/>
      <c r="B31" s="138"/>
      <c r="C31" s="3" t="s">
        <v>1868</v>
      </c>
      <c r="D31" s="197"/>
      <c r="E31" s="857"/>
      <c r="F31" s="135"/>
      <c r="G31" s="1040"/>
    </row>
    <row r="32" spans="1:7">
      <c r="A32" s="919">
        <v>42531</v>
      </c>
      <c r="B32" s="830" t="str">
        <f>TiposLancamentos!B8</f>
        <v>Aluguel</v>
      </c>
      <c r="C32" s="915" t="s">
        <v>6163</v>
      </c>
      <c r="D32" s="917"/>
      <c r="E32" s="920">
        <f>F34-(E33+E34)</f>
        <v>1582.3000000000002</v>
      </c>
      <c r="F32" s="784"/>
      <c r="G32" s="1040"/>
    </row>
    <row r="33" spans="1:7">
      <c r="A33" s="930">
        <v>42531</v>
      </c>
      <c r="B33" s="825" t="str">
        <f>TiposLancamentos!B12</f>
        <v>IPTU</v>
      </c>
      <c r="C33" s="88" t="s">
        <v>6575</v>
      </c>
      <c r="D33" s="828"/>
      <c r="E33" s="931">
        <v>130.66</v>
      </c>
      <c r="F33" s="135"/>
      <c r="G33" s="1040"/>
    </row>
    <row r="34" spans="1:7">
      <c r="A34" s="921">
        <v>42531</v>
      </c>
      <c r="B34" s="833" t="str">
        <f>TiposLancamentos!B34</f>
        <v>Seguros</v>
      </c>
      <c r="C34" s="916" t="s">
        <v>17375</v>
      </c>
      <c r="D34" s="918"/>
      <c r="E34" s="922">
        <v>245.43</v>
      </c>
      <c r="F34" s="790">
        <v>1958.39</v>
      </c>
      <c r="G34" s="1040"/>
    </row>
    <row r="35" spans="1:7">
      <c r="A35" s="884"/>
      <c r="B35" s="138"/>
      <c r="C35" s="3" t="s">
        <v>1868</v>
      </c>
      <c r="D35" s="197"/>
      <c r="E35" s="857"/>
      <c r="F35" s="135"/>
      <c r="G35" s="1040"/>
    </row>
    <row r="36" spans="1:7">
      <c r="A36" s="919">
        <v>42531</v>
      </c>
      <c r="B36" s="830" t="str">
        <f>TiposLancamentos!B35</f>
        <v>Tv à Cabo</v>
      </c>
      <c r="C36" s="915" t="s">
        <v>5834</v>
      </c>
      <c r="D36" s="917"/>
      <c r="E36" s="920">
        <v>120</v>
      </c>
      <c r="F36" s="784"/>
      <c r="G36" s="1040"/>
    </row>
    <row r="37" spans="1:7">
      <c r="A37" s="930">
        <v>42531</v>
      </c>
      <c r="B37" s="825" t="str">
        <f>TiposLancamentos!B3</f>
        <v>Internet</v>
      </c>
      <c r="C37" s="88" t="s">
        <v>5835</v>
      </c>
      <c r="D37" s="828"/>
      <c r="E37" s="931">
        <v>89.9</v>
      </c>
      <c r="F37" s="135"/>
      <c r="G37" s="1040"/>
    </row>
    <row r="38" spans="1:7">
      <c r="A38" s="921">
        <v>42531</v>
      </c>
      <c r="B38" s="833" t="str">
        <f>TiposLancamentos!B2</f>
        <v>Telefonia</v>
      </c>
      <c r="C38" s="916" t="s">
        <v>7210</v>
      </c>
      <c r="D38" s="918"/>
      <c r="E38" s="922">
        <v>9.9</v>
      </c>
      <c r="F38" s="790">
        <f>SUM(E36:E38)</f>
        <v>219.8</v>
      </c>
      <c r="G38" s="1040"/>
    </row>
    <row r="39" spans="1:7">
      <c r="A39" s="884">
        <v>42532</v>
      </c>
      <c r="B39" s="138" t="str">
        <f>B28</f>
        <v>Estacionamentos</v>
      </c>
      <c r="C39" s="3" t="s">
        <v>17376</v>
      </c>
      <c r="D39" s="197"/>
      <c r="E39" s="857">
        <v>20</v>
      </c>
      <c r="F39" s="135"/>
      <c r="G39" s="1040"/>
    </row>
    <row r="40" spans="1:7">
      <c r="A40" s="884">
        <v>42533</v>
      </c>
      <c r="B40" s="138" t="str">
        <f>B28</f>
        <v>Estacionamentos</v>
      </c>
      <c r="C40" s="3" t="s">
        <v>17376</v>
      </c>
      <c r="D40" s="197"/>
      <c r="E40" s="857">
        <v>20</v>
      </c>
      <c r="F40" s="135"/>
      <c r="G40" s="1040"/>
    </row>
    <row r="41" spans="1:7">
      <c r="A41" s="884">
        <v>42536</v>
      </c>
      <c r="B41" s="138" t="str">
        <f>TiposLancamentos!B95</f>
        <v>Salarios</v>
      </c>
      <c r="C41" s="3" t="s">
        <v>4916</v>
      </c>
      <c r="D41" s="197">
        <v>3469.39</v>
      </c>
      <c r="E41" s="857"/>
      <c r="F41" s="135"/>
      <c r="G41" s="1040"/>
    </row>
    <row r="42" spans="1:7">
      <c r="A42" s="919">
        <v>42536</v>
      </c>
      <c r="B42" s="830" t="str">
        <f>TiposLancamentos!B33</f>
        <v>Pedágios</v>
      </c>
      <c r="C42" s="915" t="s">
        <v>5392</v>
      </c>
      <c r="D42" s="917"/>
      <c r="E42" s="920">
        <f>F44-(E43+E44)</f>
        <v>29.17</v>
      </c>
      <c r="F42" s="135"/>
      <c r="G42" s="1040"/>
    </row>
    <row r="43" spans="1:7">
      <c r="A43" s="930">
        <v>42536</v>
      </c>
      <c r="B43" s="825" t="str">
        <f>TiposLancamentos!B24</f>
        <v>Estacionamentos</v>
      </c>
      <c r="C43" s="88" t="s">
        <v>5863</v>
      </c>
      <c r="D43" s="828"/>
      <c r="E43" s="931">
        <v>20</v>
      </c>
      <c r="F43" s="135"/>
      <c r="G43" s="1040"/>
    </row>
    <row r="44" spans="1:7">
      <c r="A44" s="921">
        <v>42536</v>
      </c>
      <c r="B44" s="833" t="str">
        <f>TiposLancamentos!B24</f>
        <v>Estacionamentos</v>
      </c>
      <c r="C44" s="916" t="s">
        <v>6297</v>
      </c>
      <c r="D44" s="918"/>
      <c r="E44" s="922">
        <v>13</v>
      </c>
      <c r="F44" s="135">
        <v>62.17</v>
      </c>
      <c r="G44" s="1040"/>
    </row>
    <row r="45" spans="1:7">
      <c r="A45" s="884">
        <v>42537</v>
      </c>
      <c r="B45" s="138" t="str">
        <f>TiposLancamentos!B20</f>
        <v>Saques</v>
      </c>
      <c r="C45" s="3" t="s">
        <v>3604</v>
      </c>
      <c r="D45" s="197"/>
      <c r="E45" s="857">
        <v>20</v>
      </c>
      <c r="F45" s="135"/>
      <c r="G45" s="1040"/>
    </row>
    <row r="46" spans="1:7">
      <c r="A46" s="884">
        <v>42538</v>
      </c>
      <c r="B46" s="138" t="str">
        <f>TiposLancamentos!B73</f>
        <v>Cursos</v>
      </c>
      <c r="C46" s="3" t="s">
        <v>17377</v>
      </c>
      <c r="D46" s="197"/>
      <c r="E46" s="857">
        <v>132</v>
      </c>
      <c r="F46" s="135"/>
      <c r="G46" s="1040"/>
    </row>
    <row r="47" spans="1:7">
      <c r="A47" s="884">
        <v>42538</v>
      </c>
      <c r="B47" s="138" t="str">
        <f>TiposLancamentos!B18</f>
        <v>Alimentacao</v>
      </c>
      <c r="C47" s="3" t="s">
        <v>17378</v>
      </c>
      <c r="D47" s="197"/>
      <c r="E47" s="857">
        <v>4</v>
      </c>
      <c r="F47" s="135"/>
      <c r="G47" s="1040"/>
    </row>
    <row r="48" spans="1:7">
      <c r="A48" s="884">
        <v>42538</v>
      </c>
      <c r="B48" s="138" t="str">
        <f>TiposLancamentos!B3</f>
        <v>Internet</v>
      </c>
      <c r="C48" s="3" t="s">
        <v>17379</v>
      </c>
      <c r="D48" s="197"/>
      <c r="E48" s="857">
        <v>30</v>
      </c>
      <c r="F48" s="135"/>
      <c r="G48" s="1040"/>
    </row>
    <row r="49" spans="1:7">
      <c r="A49" s="884">
        <v>42539</v>
      </c>
      <c r="B49" s="138" t="str">
        <f>TiposLancamentos!B21</f>
        <v>Transf. Poupanca</v>
      </c>
      <c r="C49" s="3" t="s">
        <v>17360</v>
      </c>
      <c r="D49" s="197"/>
      <c r="E49" s="857">
        <v>50</v>
      </c>
      <c r="F49" s="135"/>
      <c r="G49" s="1040"/>
    </row>
    <row r="50" spans="1:7">
      <c r="A50" s="884">
        <v>42539</v>
      </c>
      <c r="B50" s="138" t="str">
        <f>TiposLancamentos!B19</f>
        <v>Restaurantes</v>
      </c>
      <c r="C50" s="3" t="s">
        <v>17380</v>
      </c>
      <c r="D50" s="197"/>
      <c r="E50" s="857">
        <v>18.3</v>
      </c>
      <c r="F50" s="135"/>
      <c r="G50" s="1040"/>
    </row>
    <row r="51" spans="1:7">
      <c r="A51" s="884">
        <v>42541</v>
      </c>
      <c r="B51" s="138" t="str">
        <f>TiposLancamentos!B24</f>
        <v>Estacionamentos</v>
      </c>
      <c r="C51" s="3" t="s">
        <v>17381</v>
      </c>
      <c r="D51" s="197"/>
      <c r="E51" s="857">
        <v>5</v>
      </c>
      <c r="F51" s="135"/>
      <c r="G51" s="1040"/>
    </row>
    <row r="52" spans="1:7">
      <c r="A52" s="884">
        <v>42541</v>
      </c>
      <c r="B52" s="138" t="str">
        <f>TiposLancamentos!B18</f>
        <v>Alimentacao</v>
      </c>
      <c r="C52" s="3" t="s">
        <v>17382</v>
      </c>
      <c r="D52" s="197"/>
      <c r="E52" s="857">
        <v>4.9000000000000004</v>
      </c>
      <c r="F52" s="135"/>
      <c r="G52" s="1040"/>
    </row>
    <row r="53" spans="1:7">
      <c r="A53" s="884">
        <v>42543</v>
      </c>
      <c r="B53" s="138" t="str">
        <f>TiposLancamentos!B18</f>
        <v>Alimentacao</v>
      </c>
      <c r="C53" s="3" t="s">
        <v>17383</v>
      </c>
      <c r="D53" s="197"/>
      <c r="E53" s="857">
        <v>2</v>
      </c>
      <c r="F53" s="135"/>
      <c r="G53" s="1040"/>
    </row>
    <row r="54" spans="1:7">
      <c r="A54" s="884">
        <v>42543</v>
      </c>
      <c r="B54" s="138" t="str">
        <f>TiposLancamentos!B24</f>
        <v>Estacionamentos</v>
      </c>
      <c r="C54" s="3" t="s">
        <v>17384</v>
      </c>
      <c r="D54" s="197"/>
      <c r="E54" s="857">
        <v>20</v>
      </c>
      <c r="F54" s="135"/>
      <c r="G54" s="1040"/>
    </row>
    <row r="55" spans="1:7">
      <c r="A55" s="884">
        <v>42546</v>
      </c>
      <c r="B55" s="138" t="str">
        <f>TiposLancamentos!B19</f>
        <v>Restaurantes</v>
      </c>
      <c r="C55" s="3" t="s">
        <v>17385</v>
      </c>
      <c r="D55" s="197"/>
      <c r="E55" s="857">
        <v>79.94</v>
      </c>
      <c r="F55" s="135"/>
      <c r="G55" s="1040"/>
    </row>
    <row r="56" spans="1:7">
      <c r="A56" s="884">
        <v>42548</v>
      </c>
      <c r="B56" s="138" t="str">
        <f>TiposLancamentos!B6</f>
        <v>Energia Eletrica</v>
      </c>
      <c r="C56" s="3" t="s">
        <v>5191</v>
      </c>
      <c r="D56" s="197"/>
      <c r="E56" s="857">
        <v>308.68</v>
      </c>
      <c r="F56" s="135"/>
      <c r="G56" s="1040"/>
    </row>
    <row r="57" spans="1:7">
      <c r="A57" s="884">
        <v>42548</v>
      </c>
      <c r="B57" s="138" t="str">
        <f>TiposLancamentos!B34</f>
        <v>Seguros</v>
      </c>
      <c r="C57" s="3" t="s">
        <v>6951</v>
      </c>
      <c r="D57" s="197"/>
      <c r="E57" s="857">
        <v>71</v>
      </c>
      <c r="F57" s="135"/>
      <c r="G57" s="1040"/>
    </row>
    <row r="58" spans="1:7">
      <c r="A58" s="884">
        <v>42551</v>
      </c>
      <c r="B58" s="138" t="str">
        <f>TiposLancamentos!B95</f>
        <v>Salarios</v>
      </c>
      <c r="C58" s="3" t="s">
        <v>17386</v>
      </c>
      <c r="D58" s="197">
        <v>4336.74</v>
      </c>
      <c r="E58" s="857"/>
      <c r="F58" s="135"/>
      <c r="G58" s="1040"/>
    </row>
    <row r="59" spans="1:7">
      <c r="A59" s="884">
        <v>42551</v>
      </c>
      <c r="B59" s="138" t="str">
        <f>TiposLancamentos!B95</f>
        <v>Salarios</v>
      </c>
      <c r="C59" s="3" t="s">
        <v>17362</v>
      </c>
      <c r="D59" s="197">
        <v>5720.69</v>
      </c>
      <c r="E59" s="857"/>
      <c r="F59" s="135"/>
      <c r="G59" s="1040"/>
    </row>
    <row r="60" spans="1:7" ht="14.25" thickBot="1">
      <c r="A60" s="884">
        <v>42551</v>
      </c>
      <c r="B60" s="138" t="str">
        <f>TiposLancamentos!B98</f>
        <v>Restituições</v>
      </c>
      <c r="C60" s="3" t="s">
        <v>17387</v>
      </c>
      <c r="D60" s="197">
        <v>120</v>
      </c>
      <c r="E60" s="857"/>
      <c r="F60" s="135"/>
      <c r="G60" s="1040"/>
    </row>
    <row r="61" spans="1:7">
      <c r="A61" s="967"/>
      <c r="B61" s="968"/>
      <c r="C61" s="1093" t="s">
        <v>17388</v>
      </c>
      <c r="D61" s="970"/>
      <c r="E61" s="971"/>
      <c r="F61" s="1712"/>
      <c r="G61" s="1039"/>
    </row>
    <row r="62" spans="1:7">
      <c r="A62" s="884">
        <v>42552</v>
      </c>
      <c r="B62" s="138" t="str">
        <f>TiposLancamentos!B4</f>
        <v>Taxas Bancarias</v>
      </c>
      <c r="C62" s="771" t="s">
        <v>17389</v>
      </c>
      <c r="D62" s="197"/>
      <c r="E62" s="857">
        <v>163.82</v>
      </c>
      <c r="F62" s="135"/>
      <c r="G62" s="1040"/>
    </row>
    <row r="63" spans="1:7">
      <c r="A63" s="884">
        <v>42552</v>
      </c>
      <c r="B63" s="138" t="str">
        <f>TiposLancamentos!B19</f>
        <v>Restaurantes</v>
      </c>
      <c r="C63" s="771" t="s">
        <v>17390</v>
      </c>
      <c r="D63" s="197"/>
      <c r="E63" s="857">
        <v>8.6</v>
      </c>
      <c r="F63" s="135"/>
      <c r="G63" s="1040"/>
    </row>
    <row r="64" spans="1:7">
      <c r="A64" s="884">
        <v>42552</v>
      </c>
      <c r="B64" s="138" t="str">
        <f>TiposLancamentos!B15</f>
        <v>Cartões de Crédito</v>
      </c>
      <c r="C64" s="771" t="s">
        <v>17391</v>
      </c>
      <c r="D64" s="197"/>
      <c r="E64" s="857">
        <v>1888.91</v>
      </c>
      <c r="F64" s="135"/>
      <c r="G64" s="1040"/>
    </row>
    <row r="65" spans="1:7">
      <c r="A65" s="884">
        <v>42552</v>
      </c>
      <c r="B65" s="138" t="str">
        <f>TiposLancamentos!B15</f>
        <v>Cartões de Crédito</v>
      </c>
      <c r="C65" s="771" t="s">
        <v>5924</v>
      </c>
      <c r="D65" s="197"/>
      <c r="E65" s="857">
        <v>331.05</v>
      </c>
      <c r="F65" s="135"/>
      <c r="G65" s="1040"/>
    </row>
    <row r="66" spans="1:7">
      <c r="A66" s="884">
        <v>42552</v>
      </c>
      <c r="B66" s="138" t="str">
        <f>TiposLancamentos!B15</f>
        <v>Cartões de Crédito</v>
      </c>
      <c r="C66" s="771" t="s">
        <v>17392</v>
      </c>
      <c r="D66" s="197"/>
      <c r="E66" s="857">
        <v>3739.51</v>
      </c>
      <c r="F66" s="135"/>
      <c r="G66" s="1040"/>
    </row>
    <row r="67" spans="1:7">
      <c r="A67" s="884">
        <v>42552</v>
      </c>
      <c r="B67" s="138" t="str">
        <f>TiposLancamentos!B15</f>
        <v>Cartões de Crédito</v>
      </c>
      <c r="C67" s="771" t="s">
        <v>7391</v>
      </c>
      <c r="D67" s="197"/>
      <c r="E67" s="857">
        <v>4</v>
      </c>
      <c r="F67" s="135"/>
      <c r="G67" s="1040"/>
    </row>
    <row r="68" spans="1:7">
      <c r="A68" s="884">
        <v>42552</v>
      </c>
      <c r="B68" s="138" t="str">
        <f>TiposLancamentos!B3</f>
        <v>Internet</v>
      </c>
      <c r="C68" s="771" t="s">
        <v>17366</v>
      </c>
      <c r="D68" s="197"/>
      <c r="E68" s="857">
        <v>139.19999999999999</v>
      </c>
      <c r="F68" s="135"/>
      <c r="G68" s="1040"/>
    </row>
    <row r="69" spans="1:7">
      <c r="A69" s="884">
        <v>42552</v>
      </c>
      <c r="B69" s="138" t="str">
        <f>TiposLancamentos!B2</f>
        <v>Telefonia</v>
      </c>
      <c r="C69" s="771" t="s">
        <v>6318</v>
      </c>
      <c r="D69" s="197"/>
      <c r="E69" s="857">
        <v>131.31</v>
      </c>
      <c r="F69" s="135"/>
      <c r="G69" s="1040"/>
    </row>
    <row r="70" spans="1:7">
      <c r="A70" s="884">
        <v>42552</v>
      </c>
      <c r="B70" s="138" t="str">
        <f>TiposLancamentos!B4</f>
        <v>Taxas Bancarias</v>
      </c>
      <c r="C70" s="771" t="s">
        <v>17393</v>
      </c>
      <c r="D70" s="197"/>
      <c r="E70" s="857">
        <v>2.71</v>
      </c>
      <c r="F70" s="135"/>
      <c r="G70" s="1040"/>
    </row>
    <row r="71" spans="1:7">
      <c r="A71" s="884">
        <v>42552</v>
      </c>
      <c r="B71" s="138" t="str">
        <f>TiposLancamentos!B4</f>
        <v>Taxas Bancarias</v>
      </c>
      <c r="C71" s="771" t="s">
        <v>17393</v>
      </c>
      <c r="D71" s="197"/>
      <c r="E71" s="857">
        <v>16.84</v>
      </c>
      <c r="F71" s="135"/>
      <c r="G71" s="1040"/>
    </row>
    <row r="72" spans="1:7">
      <c r="A72" s="884">
        <v>42555</v>
      </c>
      <c r="B72" s="138" t="str">
        <f>TiposLancamentos!B103</f>
        <v>Juros_Corr. Poupança</v>
      </c>
      <c r="C72" s="771" t="s">
        <v>17394</v>
      </c>
      <c r="D72" s="197">
        <v>0.02</v>
      </c>
      <c r="E72" s="857"/>
      <c r="F72" s="135"/>
      <c r="G72" s="1040"/>
    </row>
    <row r="73" spans="1:7">
      <c r="A73" s="884">
        <v>42553</v>
      </c>
      <c r="B73" s="138" t="str">
        <f>TiposLancamentos!B24</f>
        <v>Estacionamentos</v>
      </c>
      <c r="C73" s="771" t="s">
        <v>3398</v>
      </c>
      <c r="D73" s="197"/>
      <c r="E73" s="857">
        <v>7</v>
      </c>
      <c r="F73" s="135"/>
      <c r="G73" s="1040"/>
    </row>
    <row r="74" spans="1:7">
      <c r="A74" s="884">
        <v>42553</v>
      </c>
      <c r="B74" s="138" t="str">
        <f>TiposLancamentos!B17</f>
        <v>GATO</v>
      </c>
      <c r="C74" s="771" t="s">
        <v>17395</v>
      </c>
      <c r="D74" s="197"/>
      <c r="E74" s="857">
        <v>350</v>
      </c>
      <c r="F74" s="135"/>
      <c r="G74" s="1040"/>
    </row>
    <row r="75" spans="1:7">
      <c r="A75" s="884">
        <v>42554</v>
      </c>
      <c r="B75" s="138" t="str">
        <f>TiposLancamentos!B53</f>
        <v>Auxilio Idoso</v>
      </c>
      <c r="C75" s="771" t="s">
        <v>17396</v>
      </c>
      <c r="D75" s="197"/>
      <c r="E75" s="857">
        <v>1320</v>
      </c>
      <c r="F75" s="135"/>
      <c r="G75" s="1040"/>
    </row>
    <row r="76" spans="1:7">
      <c r="A76" s="884">
        <v>42555</v>
      </c>
      <c r="B76" s="138" t="str">
        <f>TiposLancamentos!B103</f>
        <v>Juros_Corr. Poupança</v>
      </c>
      <c r="C76" s="771" t="s">
        <v>17394</v>
      </c>
      <c r="D76" s="197">
        <v>0.04</v>
      </c>
      <c r="E76" s="857"/>
      <c r="F76" s="135"/>
      <c r="G76" s="1040"/>
    </row>
    <row r="77" spans="1:7">
      <c r="A77" s="884">
        <v>42557</v>
      </c>
      <c r="B77" s="138" t="str">
        <f>TiposLancamentos!B105</f>
        <v>Transf. Bco</v>
      </c>
      <c r="C77" s="771" t="s">
        <v>3845</v>
      </c>
      <c r="D77" s="197">
        <v>431.45</v>
      </c>
      <c r="E77" s="857"/>
      <c r="F77" s="135"/>
      <c r="G77" s="1040"/>
    </row>
    <row r="78" spans="1:7">
      <c r="A78" s="884">
        <v>42557</v>
      </c>
      <c r="B78" s="138" t="str">
        <f>TiposLancamentos!B9</f>
        <v>Condominio</v>
      </c>
      <c r="C78" s="771" t="s">
        <v>5925</v>
      </c>
      <c r="D78" s="197"/>
      <c r="E78" s="857">
        <v>1232.94</v>
      </c>
      <c r="F78" s="135"/>
      <c r="G78" s="1040"/>
    </row>
    <row r="79" spans="1:7">
      <c r="A79" s="884">
        <v>42558</v>
      </c>
      <c r="B79" s="138" t="str">
        <f>TiposLancamentos!B24</f>
        <v>Estacionamentos</v>
      </c>
      <c r="C79" s="771" t="s">
        <v>4589</v>
      </c>
      <c r="D79" s="197"/>
      <c r="E79" s="857">
        <v>170</v>
      </c>
      <c r="F79" s="135"/>
      <c r="G79" s="1040"/>
    </row>
    <row r="80" spans="1:7">
      <c r="A80" s="884">
        <v>42557</v>
      </c>
      <c r="B80" s="138" t="str">
        <f>TiposLancamentos!B32</f>
        <v>Clinicas e tratamentos</v>
      </c>
      <c r="C80" s="771" t="s">
        <v>17397</v>
      </c>
      <c r="D80" s="197"/>
      <c r="E80" s="857">
        <v>150</v>
      </c>
      <c r="F80" s="135"/>
      <c r="G80" s="1040"/>
    </row>
    <row r="81" spans="1:7">
      <c r="A81" s="884">
        <v>42557</v>
      </c>
      <c r="B81" s="138" t="str">
        <f>TiposLancamentos!B103</f>
        <v>Juros_Corr. Poupança</v>
      </c>
      <c r="C81" s="771" t="s">
        <v>17394</v>
      </c>
      <c r="D81" s="197">
        <v>7.0000000000000007E-2</v>
      </c>
      <c r="E81" s="857"/>
      <c r="F81" s="135"/>
      <c r="G81" s="1040"/>
    </row>
    <row r="82" spans="1:7">
      <c r="A82" s="884">
        <v>42561</v>
      </c>
      <c r="B82" s="138" t="str">
        <f>TiposLancamentos!B103</f>
        <v>Juros_Corr. Poupança</v>
      </c>
      <c r="C82" s="771" t="s">
        <v>17394</v>
      </c>
      <c r="D82" s="197">
        <v>0.01</v>
      </c>
      <c r="E82" s="857"/>
      <c r="F82" s="135"/>
      <c r="G82" s="1040"/>
    </row>
    <row r="83" spans="1:7">
      <c r="A83" s="884">
        <v>42560</v>
      </c>
      <c r="B83" s="138" t="str">
        <f>TiposLancamentos!B87</f>
        <v>P207-1.6-XS</v>
      </c>
      <c r="C83" s="771" t="s">
        <v>4416</v>
      </c>
      <c r="D83" s="197"/>
      <c r="E83" s="857">
        <v>35</v>
      </c>
      <c r="F83" s="135"/>
      <c r="G83" s="1040"/>
    </row>
    <row r="84" spans="1:7">
      <c r="A84" s="919">
        <v>42561</v>
      </c>
      <c r="B84" s="830" t="str">
        <f>TiposLancamentos!B8</f>
        <v>Aluguel</v>
      </c>
      <c r="C84" s="915" t="s">
        <v>6163</v>
      </c>
      <c r="D84" s="917"/>
      <c r="E84" s="920">
        <f>F86-(E85+E86)</f>
        <v>1582.3000000000002</v>
      </c>
      <c r="F84" s="784"/>
      <c r="G84" s="1040"/>
    </row>
    <row r="85" spans="1:7">
      <c r="A85" s="930">
        <v>42561</v>
      </c>
      <c r="B85" s="825" t="str">
        <f>TiposLancamentos!B12</f>
        <v>IPTU</v>
      </c>
      <c r="C85" s="88" t="s">
        <v>6703</v>
      </c>
      <c r="D85" s="828"/>
      <c r="E85" s="931">
        <v>130.66</v>
      </c>
      <c r="F85" s="135"/>
      <c r="G85" s="1040"/>
    </row>
    <row r="86" spans="1:7">
      <c r="A86" s="921">
        <v>42561</v>
      </c>
      <c r="B86" s="833" t="str">
        <f>TiposLancamentos!B34</f>
        <v>Seguros</v>
      </c>
      <c r="C86" s="916" t="s">
        <v>17398</v>
      </c>
      <c r="D86" s="918"/>
      <c r="E86" s="922">
        <v>245.43</v>
      </c>
      <c r="F86" s="790">
        <v>1958.39</v>
      </c>
      <c r="G86" s="1040"/>
    </row>
    <row r="87" spans="1:7">
      <c r="A87" s="884">
        <v>42561</v>
      </c>
      <c r="B87" s="138" t="str">
        <f>TiposLancamentos!B105</f>
        <v>Transf. Bco</v>
      </c>
      <c r="C87" s="771" t="s">
        <v>17399</v>
      </c>
      <c r="D87" s="197"/>
      <c r="E87" s="857">
        <v>10</v>
      </c>
      <c r="F87" s="135"/>
      <c r="G87" s="1040"/>
    </row>
    <row r="88" spans="1:7">
      <c r="A88" s="919">
        <v>42561</v>
      </c>
      <c r="B88" s="830" t="str">
        <f>TiposLancamentos!B35</f>
        <v>Tv à Cabo</v>
      </c>
      <c r="C88" s="915" t="s">
        <v>5834</v>
      </c>
      <c r="D88" s="917"/>
      <c r="E88" s="920">
        <v>120</v>
      </c>
      <c r="F88" s="784"/>
      <c r="G88" s="1040"/>
    </row>
    <row r="89" spans="1:7">
      <c r="A89" s="930">
        <v>42561</v>
      </c>
      <c r="B89" s="825" t="str">
        <f>TiposLancamentos!B3</f>
        <v>Internet</v>
      </c>
      <c r="C89" s="88" t="s">
        <v>5835</v>
      </c>
      <c r="D89" s="828"/>
      <c r="E89" s="931">
        <v>89.9</v>
      </c>
      <c r="F89" s="135"/>
      <c r="G89" s="1040"/>
    </row>
    <row r="90" spans="1:7">
      <c r="A90" s="921">
        <v>42561</v>
      </c>
      <c r="B90" s="833" t="str">
        <f>TiposLancamentos!B2</f>
        <v>Telefonia</v>
      </c>
      <c r="C90" s="916" t="s">
        <v>7210</v>
      </c>
      <c r="D90" s="918"/>
      <c r="E90" s="922">
        <v>0.57999999999999996</v>
      </c>
      <c r="F90" s="790">
        <f>SUM(E88:E90)</f>
        <v>210.48000000000002</v>
      </c>
      <c r="G90" s="1040"/>
    </row>
    <row r="91" spans="1:7">
      <c r="A91" s="884">
        <v>42562</v>
      </c>
      <c r="B91" s="138" t="str">
        <f>TiposLancamentos!B13</f>
        <v>Moradia</v>
      </c>
      <c r="C91" s="771" t="s">
        <v>17400</v>
      </c>
      <c r="D91" s="197"/>
      <c r="E91" s="857">
        <v>1.2</v>
      </c>
      <c r="F91" s="135"/>
      <c r="G91" s="1040"/>
    </row>
    <row r="92" spans="1:7">
      <c r="A92" s="884">
        <v>42563</v>
      </c>
      <c r="B92" s="138" t="str">
        <f>TiposLancamentos!B62</f>
        <v>Papelaria</v>
      </c>
      <c r="C92" s="771" t="s">
        <v>17401</v>
      </c>
      <c r="D92" s="197"/>
      <c r="E92" s="857">
        <v>8</v>
      </c>
      <c r="F92" s="135"/>
      <c r="G92" s="1040"/>
    </row>
    <row r="93" spans="1:7">
      <c r="A93" s="884">
        <v>42566</v>
      </c>
      <c r="B93" s="138" t="str">
        <f>TiposLancamentos!B95</f>
        <v>Salarios</v>
      </c>
      <c r="C93" s="771" t="s">
        <v>4916</v>
      </c>
      <c r="D93" s="197">
        <v>3469.39</v>
      </c>
      <c r="E93" s="857"/>
      <c r="F93" s="135"/>
      <c r="G93" s="1040"/>
    </row>
    <row r="94" spans="1:7">
      <c r="A94" s="919">
        <v>42566</v>
      </c>
      <c r="B94" s="830" t="str">
        <f>TiposLancamentos!B33</f>
        <v>Pedágios</v>
      </c>
      <c r="C94" s="915" t="s">
        <v>5392</v>
      </c>
      <c r="D94" s="917"/>
      <c r="E94" s="920">
        <f>F96-(E95+E96)</f>
        <v>34.17</v>
      </c>
      <c r="F94" s="135"/>
      <c r="G94" s="1040"/>
    </row>
    <row r="95" spans="1:7">
      <c r="A95" s="930">
        <v>42566</v>
      </c>
      <c r="B95" s="825" t="str">
        <f>TiposLancamentos!B24</f>
        <v>Estacionamentos</v>
      </c>
      <c r="C95" s="88" t="s">
        <v>5863</v>
      </c>
      <c r="D95" s="828"/>
      <c r="E95" s="931">
        <v>5</v>
      </c>
      <c r="F95" s="135"/>
      <c r="G95" s="1040"/>
    </row>
    <row r="96" spans="1:7">
      <c r="A96" s="921">
        <v>42566</v>
      </c>
      <c r="B96" s="833" t="str">
        <f>TiposLancamentos!B24</f>
        <v>Estacionamentos</v>
      </c>
      <c r="C96" s="916" t="s">
        <v>6297</v>
      </c>
      <c r="D96" s="918"/>
      <c r="E96" s="922">
        <v>12</v>
      </c>
      <c r="F96" s="135">
        <v>51.17</v>
      </c>
      <c r="G96" s="1040"/>
    </row>
    <row r="97" spans="1:7">
      <c r="A97" s="884">
        <v>42569</v>
      </c>
      <c r="B97" s="138" t="str">
        <f>TiposLancamentos!B21</f>
        <v>Transf. Poupanca</v>
      </c>
      <c r="C97" s="3" t="s">
        <v>17360</v>
      </c>
      <c r="D97" s="197"/>
      <c r="E97" s="857">
        <v>50</v>
      </c>
      <c r="F97" s="135"/>
      <c r="G97" s="1040"/>
    </row>
    <row r="98" spans="1:7">
      <c r="A98" s="884">
        <v>42570</v>
      </c>
      <c r="B98" s="138" t="str">
        <f>TiposLancamentos!B73</f>
        <v>Cursos</v>
      </c>
      <c r="C98" s="3" t="s">
        <v>17402</v>
      </c>
      <c r="D98" s="197"/>
      <c r="E98" s="857">
        <v>62</v>
      </c>
      <c r="F98" s="135"/>
      <c r="G98" s="1040"/>
    </row>
    <row r="99" spans="1:7">
      <c r="A99" s="884">
        <v>42573</v>
      </c>
      <c r="B99" s="138" t="str">
        <f>TiposLancamentos!B87</f>
        <v>P207-1.6-XS</v>
      </c>
      <c r="C99" s="3" t="s">
        <v>17403</v>
      </c>
      <c r="D99" s="197"/>
      <c r="E99" s="857">
        <v>140</v>
      </c>
      <c r="F99" s="135"/>
      <c r="G99" s="1040"/>
    </row>
    <row r="100" spans="1:7">
      <c r="A100" s="884">
        <v>42573</v>
      </c>
      <c r="B100" s="138" t="str">
        <f>TiposLancamentos!B103</f>
        <v>Juros_Corr. Poupança</v>
      </c>
      <c r="C100" s="3" t="s">
        <v>17394</v>
      </c>
      <c r="D100" s="197">
        <v>0.01</v>
      </c>
      <c r="E100" s="857"/>
      <c r="F100" s="135"/>
      <c r="G100" s="1040"/>
    </row>
    <row r="101" spans="1:7">
      <c r="A101" s="884">
        <v>42576</v>
      </c>
      <c r="B101" s="138" t="str">
        <f>TiposLancamentos!B34</f>
        <v>Seguros</v>
      </c>
      <c r="C101" s="3" t="s">
        <v>6843</v>
      </c>
      <c r="D101" s="197"/>
      <c r="E101" s="857">
        <v>71</v>
      </c>
      <c r="F101" s="135"/>
      <c r="G101" s="1040"/>
    </row>
    <row r="102" spans="1:7">
      <c r="A102" s="884">
        <v>42577</v>
      </c>
      <c r="B102" s="138" t="str">
        <f>TiposLancamentos!B20</f>
        <v>Saques</v>
      </c>
      <c r="C102" s="3" t="s">
        <v>3604</v>
      </c>
      <c r="D102" s="197"/>
      <c r="E102" s="857">
        <v>150</v>
      </c>
      <c r="F102" s="135"/>
      <c r="G102" s="1040"/>
    </row>
    <row r="103" spans="1:7">
      <c r="A103" s="884">
        <v>42576</v>
      </c>
      <c r="B103" s="138" t="str">
        <f>TiposLancamentos!B103</f>
        <v>Juros_Corr. Poupança</v>
      </c>
      <c r="C103" s="3" t="s">
        <v>17394</v>
      </c>
      <c r="D103" s="197">
        <v>0.01</v>
      </c>
      <c r="E103" s="857"/>
      <c r="F103" s="135"/>
      <c r="G103" s="1040"/>
    </row>
    <row r="104" spans="1:7">
      <c r="A104" s="884">
        <v>42577</v>
      </c>
      <c r="B104" s="138" t="str">
        <f>TiposLancamentos!B20</f>
        <v>Saques</v>
      </c>
      <c r="C104" s="3" t="s">
        <v>6245</v>
      </c>
      <c r="D104" s="197"/>
      <c r="E104" s="857">
        <v>50</v>
      </c>
      <c r="F104" s="135"/>
      <c r="G104" s="1040"/>
    </row>
    <row r="105" spans="1:7">
      <c r="A105" s="884">
        <v>42577</v>
      </c>
      <c r="B105" s="138" t="str">
        <f>TiposLancamentos!B103</f>
        <v>Juros_Corr. Poupança</v>
      </c>
      <c r="C105" s="3" t="s">
        <v>17394</v>
      </c>
      <c r="D105" s="197">
        <v>0.04</v>
      </c>
      <c r="E105" s="857"/>
      <c r="F105" s="135"/>
      <c r="G105" s="1040"/>
    </row>
    <row r="106" spans="1:7">
      <c r="A106" s="884">
        <v>42579</v>
      </c>
      <c r="B106" s="138" t="str">
        <f>TiposLancamentos!B6</f>
        <v>Energia Eletrica</v>
      </c>
      <c r="C106" s="3" t="s">
        <v>5191</v>
      </c>
      <c r="D106" s="197"/>
      <c r="E106" s="857">
        <v>260.52999999999997</v>
      </c>
      <c r="F106" s="135"/>
      <c r="G106" s="1040"/>
    </row>
    <row r="107" spans="1:7">
      <c r="A107" s="884">
        <v>42579</v>
      </c>
      <c r="B107" s="138" t="str">
        <f>TiposLancamentos!B17</f>
        <v>GATO</v>
      </c>
      <c r="C107" s="3" t="s">
        <v>17404</v>
      </c>
      <c r="D107" s="197"/>
      <c r="E107" s="857">
        <v>17.899999999999999</v>
      </c>
      <c r="F107" s="135"/>
      <c r="G107" s="1040"/>
    </row>
    <row r="108" spans="1:7">
      <c r="A108" s="884">
        <v>42580</v>
      </c>
      <c r="B108" s="138" t="str">
        <f>TiposLancamentos!B95</f>
        <v>Salarios</v>
      </c>
      <c r="C108" s="3" t="s">
        <v>17362</v>
      </c>
      <c r="D108" s="197">
        <v>8546.41</v>
      </c>
      <c r="E108" s="857"/>
      <c r="F108" s="135"/>
      <c r="G108" s="1040"/>
    </row>
    <row r="109" spans="1:7">
      <c r="A109" s="884">
        <v>42580</v>
      </c>
      <c r="B109" s="138" t="str">
        <f>TiposLancamentos!B62</f>
        <v>Papelaria</v>
      </c>
      <c r="C109" s="3" t="s">
        <v>17405</v>
      </c>
      <c r="D109" s="197"/>
      <c r="E109" s="857">
        <v>16.8</v>
      </c>
      <c r="F109" s="135"/>
      <c r="G109" s="1040"/>
    </row>
    <row r="110" spans="1:7">
      <c r="A110" s="884">
        <v>42581</v>
      </c>
      <c r="B110" s="138" t="str">
        <f>TiposLancamentos!B57</f>
        <v>Informática</v>
      </c>
      <c r="C110" s="3" t="s">
        <v>17406</v>
      </c>
      <c r="D110" s="197"/>
      <c r="E110" s="857">
        <v>90</v>
      </c>
      <c r="F110" s="135"/>
      <c r="G110" s="1040"/>
    </row>
    <row r="111" spans="1:7">
      <c r="A111" s="884">
        <v>42581</v>
      </c>
      <c r="B111" s="138" t="str">
        <f>TiposLancamentos!B13</f>
        <v>Moradia</v>
      </c>
      <c r="C111" s="3" t="s">
        <v>17407</v>
      </c>
      <c r="D111" s="197"/>
      <c r="E111" s="857">
        <v>26</v>
      </c>
      <c r="F111" s="135"/>
      <c r="G111" s="1040"/>
    </row>
    <row r="112" spans="1:7" ht="14.25" thickBot="1">
      <c r="A112" s="884">
        <v>42582</v>
      </c>
      <c r="B112" s="138" t="str">
        <f>TiposLancamentos!B13</f>
        <v>Moradia</v>
      </c>
      <c r="C112" s="3" t="s">
        <v>3524</v>
      </c>
      <c r="D112" s="197"/>
      <c r="E112" s="857">
        <v>7.79</v>
      </c>
      <c r="F112" s="135"/>
      <c r="G112" s="1040"/>
    </row>
    <row r="113" spans="1:7">
      <c r="A113" s="967"/>
      <c r="B113" s="968"/>
      <c r="C113" s="1093" t="s">
        <v>11108</v>
      </c>
      <c r="D113" s="970"/>
      <c r="E113" s="971"/>
      <c r="F113" s="1712"/>
      <c r="G113" s="1039"/>
    </row>
    <row r="114" spans="1:7">
      <c r="A114" s="884">
        <v>42583</v>
      </c>
      <c r="B114" s="138" t="str">
        <f>TiposLancamentos!B15</f>
        <v>Cartões de Crédito</v>
      </c>
      <c r="C114" s="771" t="s">
        <v>17391</v>
      </c>
      <c r="D114" s="197"/>
      <c r="E114" s="857">
        <v>1004.51</v>
      </c>
      <c r="F114" s="135"/>
      <c r="G114" s="1040"/>
    </row>
    <row r="115" spans="1:7">
      <c r="A115" s="884">
        <v>42583</v>
      </c>
      <c r="B115" s="138" t="str">
        <f>TiposLancamentos!B15</f>
        <v>Cartões de Crédito</v>
      </c>
      <c r="C115" s="771" t="s">
        <v>5924</v>
      </c>
      <c r="D115" s="197"/>
      <c r="E115" s="857">
        <v>270.13</v>
      </c>
      <c r="F115" s="135"/>
      <c r="G115" s="1040"/>
    </row>
    <row r="116" spans="1:7">
      <c r="A116" s="884">
        <v>42583</v>
      </c>
      <c r="B116" s="138" t="str">
        <f>TiposLancamentos!B15</f>
        <v>Cartões de Crédito</v>
      </c>
      <c r="C116" s="771" t="s">
        <v>17392</v>
      </c>
      <c r="D116" s="197"/>
      <c r="E116" s="857">
        <v>3190.18</v>
      </c>
      <c r="F116" s="135"/>
      <c r="G116" s="1040"/>
    </row>
    <row r="117" spans="1:7">
      <c r="A117" s="884">
        <v>42583</v>
      </c>
      <c r="B117" s="138" t="str">
        <f>TiposLancamentos!B15</f>
        <v>Cartões de Crédito</v>
      </c>
      <c r="C117" s="771" t="s">
        <v>7391</v>
      </c>
      <c r="D117" s="197"/>
      <c r="E117" s="857">
        <v>706.96</v>
      </c>
      <c r="F117" s="135"/>
      <c r="G117" s="1040"/>
    </row>
    <row r="118" spans="1:7">
      <c r="A118" s="884">
        <v>42583</v>
      </c>
      <c r="B118" s="138" t="str">
        <f>TiposLancamentos!B52</f>
        <v>Multas</v>
      </c>
      <c r="C118" s="771" t="s">
        <v>17408</v>
      </c>
      <c r="D118" s="197"/>
      <c r="E118" s="857">
        <v>68.099999999999994</v>
      </c>
      <c r="F118" s="135"/>
      <c r="G118" s="1040"/>
    </row>
    <row r="119" spans="1:7">
      <c r="A119" s="884">
        <v>42583</v>
      </c>
      <c r="B119" s="138" t="str">
        <f>TiposLancamentos!B4</f>
        <v>Taxas Bancarias</v>
      </c>
      <c r="C119" s="771" t="s">
        <v>17409</v>
      </c>
      <c r="D119" s="197"/>
      <c r="E119" s="857">
        <v>0.78</v>
      </c>
      <c r="F119" s="135"/>
      <c r="G119" s="1040"/>
    </row>
    <row r="120" spans="1:7">
      <c r="A120" s="884">
        <v>42583</v>
      </c>
      <c r="B120" s="138" t="str">
        <f>TiposLancamentos!B4</f>
        <v>Taxas Bancarias</v>
      </c>
      <c r="C120" s="771" t="s">
        <v>17410</v>
      </c>
      <c r="D120" s="197"/>
      <c r="E120" s="857">
        <v>8.77</v>
      </c>
      <c r="F120" s="135"/>
      <c r="G120" s="1040"/>
    </row>
    <row r="121" spans="1:7">
      <c r="A121" s="884">
        <v>42583</v>
      </c>
      <c r="B121" s="138" t="str">
        <f>TiposLancamentos!B103</f>
        <v>Juros_Corr. Poupança</v>
      </c>
      <c r="C121" s="771" t="s">
        <v>17394</v>
      </c>
      <c r="D121" s="197">
        <v>0.2</v>
      </c>
      <c r="E121" s="857"/>
      <c r="F121" s="135"/>
      <c r="G121" s="1040"/>
    </row>
    <row r="122" spans="1:7">
      <c r="A122" s="884">
        <v>42584</v>
      </c>
      <c r="B122" s="138" t="str">
        <f>TiposLancamentos!B16</f>
        <v>Cristiane</v>
      </c>
      <c r="C122" s="771" t="s">
        <v>17411</v>
      </c>
      <c r="D122" s="197"/>
      <c r="E122" s="857">
        <v>120</v>
      </c>
      <c r="F122" s="135"/>
      <c r="G122" s="1040"/>
    </row>
    <row r="123" spans="1:7">
      <c r="A123" s="884">
        <v>42585</v>
      </c>
      <c r="B123" s="138" t="str">
        <f>TiposLancamentos!B53</f>
        <v>Auxilio Idoso</v>
      </c>
      <c r="C123" s="771" t="s">
        <v>17396</v>
      </c>
      <c r="D123" s="197"/>
      <c r="E123" s="857">
        <v>1320</v>
      </c>
      <c r="F123" s="135"/>
      <c r="G123" s="1040"/>
    </row>
    <row r="124" spans="1:7">
      <c r="A124" s="884">
        <v>42585</v>
      </c>
      <c r="B124" s="138" t="str">
        <f>TiposLancamentos!B3</f>
        <v>Internet</v>
      </c>
      <c r="C124" s="771" t="s">
        <v>17366</v>
      </c>
      <c r="D124" s="197"/>
      <c r="E124" s="857">
        <v>20.53</v>
      </c>
      <c r="F124" s="135"/>
      <c r="G124" s="1040"/>
    </row>
    <row r="125" spans="1:7">
      <c r="A125" s="884">
        <v>42585</v>
      </c>
      <c r="B125" s="138" t="str">
        <f>TiposLancamentos!B103</f>
        <v>Juros_Corr. Poupança</v>
      </c>
      <c r="C125" s="771" t="s">
        <v>17394</v>
      </c>
      <c r="D125" s="197">
        <v>0.05</v>
      </c>
      <c r="E125" s="857"/>
      <c r="F125" s="135"/>
      <c r="G125" s="1040"/>
    </row>
    <row r="126" spans="1:7">
      <c r="A126" s="884">
        <v>42586</v>
      </c>
      <c r="B126" s="138" t="str">
        <f>TiposLancamentos!B73</f>
        <v>Cursos</v>
      </c>
      <c r="C126" s="771" t="s">
        <v>17412</v>
      </c>
      <c r="D126" s="197"/>
      <c r="E126" s="857">
        <v>70.010000000000005</v>
      </c>
      <c r="F126" s="135"/>
      <c r="G126" s="1040"/>
    </row>
    <row r="127" spans="1:7">
      <c r="A127" s="884">
        <v>42586</v>
      </c>
      <c r="B127" s="138" t="str">
        <f>TiposLancamentos!B4</f>
        <v>Taxas Bancarias</v>
      </c>
      <c r="C127" s="771" t="s">
        <v>17413</v>
      </c>
      <c r="D127" s="197"/>
      <c r="E127" s="857">
        <v>3.5</v>
      </c>
      <c r="F127" s="135"/>
      <c r="G127" s="1040"/>
    </row>
    <row r="128" spans="1:7">
      <c r="A128" s="884">
        <v>42586</v>
      </c>
      <c r="B128" s="138" t="str">
        <f>TiposLancamentos!B20</f>
        <v>Saques</v>
      </c>
      <c r="C128" s="771" t="s">
        <v>4368</v>
      </c>
      <c r="D128" s="197"/>
      <c r="E128" s="857">
        <v>50</v>
      </c>
      <c r="F128" s="135"/>
      <c r="G128" s="1040"/>
    </row>
    <row r="129" spans="1:7">
      <c r="A129" s="884">
        <v>42588</v>
      </c>
      <c r="B129" s="138" t="str">
        <f>TiposLancamentos!B24</f>
        <v>Estacionamentos</v>
      </c>
      <c r="C129" s="771" t="s">
        <v>3398</v>
      </c>
      <c r="D129" s="197"/>
      <c r="E129" s="857">
        <v>7</v>
      </c>
      <c r="F129" s="135"/>
      <c r="G129" s="1040"/>
    </row>
    <row r="130" spans="1:7">
      <c r="A130" s="884">
        <v>42588</v>
      </c>
      <c r="B130" s="138" t="str">
        <f>TiposLancamentos!B19</f>
        <v>Restaurantes</v>
      </c>
      <c r="C130" s="771" t="s">
        <v>6137</v>
      </c>
      <c r="D130" s="197"/>
      <c r="E130" s="857">
        <v>44.5</v>
      </c>
      <c r="F130" s="135"/>
      <c r="G130" s="1040"/>
    </row>
    <row r="131" spans="1:7">
      <c r="A131" s="884">
        <v>42590</v>
      </c>
      <c r="B131" s="138" t="str">
        <f>TiposLancamentos!B2</f>
        <v>Telefonia</v>
      </c>
      <c r="C131" s="771" t="s">
        <v>6318</v>
      </c>
      <c r="D131" s="197"/>
      <c r="E131" s="857">
        <v>125</v>
      </c>
      <c r="F131" s="135"/>
      <c r="G131" s="1040"/>
    </row>
    <row r="132" spans="1:7">
      <c r="A132" s="884">
        <v>42590</v>
      </c>
      <c r="B132" s="138" t="str">
        <f>TiposLancamentos!B9</f>
        <v>Condominio</v>
      </c>
      <c r="C132" s="771" t="s">
        <v>5925</v>
      </c>
      <c r="D132" s="197"/>
      <c r="E132" s="857">
        <v>1232.94</v>
      </c>
      <c r="F132" s="135"/>
      <c r="G132" s="1040"/>
    </row>
    <row r="133" spans="1:7">
      <c r="A133" s="884">
        <v>42590</v>
      </c>
      <c r="B133" s="138" t="str">
        <f>TiposLancamentos!B24</f>
        <v>Estacionamentos</v>
      </c>
      <c r="C133" s="771" t="s">
        <v>4589</v>
      </c>
      <c r="D133" s="197"/>
      <c r="E133" s="857">
        <v>170</v>
      </c>
      <c r="F133" s="135"/>
      <c r="G133" s="1040"/>
    </row>
    <row r="134" spans="1:7">
      <c r="A134" s="884">
        <v>42590</v>
      </c>
      <c r="B134" s="138" t="str">
        <f>TiposLancamentos!B71</f>
        <v>Itens Pessoais</v>
      </c>
      <c r="C134" s="771" t="s">
        <v>1964</v>
      </c>
      <c r="D134" s="197"/>
      <c r="E134" s="857">
        <v>30</v>
      </c>
      <c r="F134" s="135"/>
      <c r="G134" s="1040"/>
    </row>
    <row r="135" spans="1:7">
      <c r="A135" s="884">
        <v>42591</v>
      </c>
      <c r="B135" s="138" t="str">
        <f>TiposLancamentos!B56</f>
        <v>Farmácia</v>
      </c>
      <c r="C135" s="771" t="s">
        <v>17414</v>
      </c>
      <c r="D135" s="197"/>
      <c r="E135" s="857">
        <v>24.34</v>
      </c>
      <c r="F135" s="135"/>
      <c r="G135" s="1040"/>
    </row>
    <row r="136" spans="1:7">
      <c r="A136" s="884">
        <v>42591</v>
      </c>
      <c r="B136" s="138" t="str">
        <f>TiposLancamentos!B103</f>
        <v>Juros_Corr. Poupança</v>
      </c>
      <c r="C136" s="771" t="s">
        <v>17394</v>
      </c>
      <c r="D136" s="197">
        <v>0.27</v>
      </c>
      <c r="E136" s="857"/>
      <c r="F136" s="135"/>
      <c r="G136" s="1040"/>
    </row>
    <row r="137" spans="1:7">
      <c r="A137" s="884">
        <v>42591</v>
      </c>
      <c r="B137" s="138" t="str">
        <f>TiposLancamentos!B19</f>
        <v>Restaurantes</v>
      </c>
      <c r="C137" s="771" t="s">
        <v>6869</v>
      </c>
      <c r="D137" s="197"/>
      <c r="E137" s="857">
        <v>56.1</v>
      </c>
      <c r="F137" s="135"/>
      <c r="G137" s="1040"/>
    </row>
    <row r="138" spans="1:7">
      <c r="A138" s="884">
        <v>42591</v>
      </c>
      <c r="B138" s="138" t="str">
        <f>TiposLancamentos!B103</f>
        <v>Juros_Corr. Poupança</v>
      </c>
      <c r="C138" s="771" t="s">
        <v>17394</v>
      </c>
      <c r="D138" s="197">
        <v>0.02</v>
      </c>
      <c r="E138" s="857"/>
      <c r="F138" s="135"/>
      <c r="G138" s="1040"/>
    </row>
    <row r="139" spans="1:7">
      <c r="A139" s="919">
        <v>42592</v>
      </c>
      <c r="B139" s="830" t="str">
        <f>TiposLancamentos!B8</f>
        <v>Aluguel</v>
      </c>
      <c r="C139" s="915" t="s">
        <v>6163</v>
      </c>
      <c r="D139" s="917"/>
      <c r="E139" s="920">
        <f>F141-(E140+E141)</f>
        <v>1582.3000000000002</v>
      </c>
      <c r="F139" s="135"/>
      <c r="G139" s="1040"/>
    </row>
    <row r="140" spans="1:7">
      <c r="A140" s="930">
        <v>42592</v>
      </c>
      <c r="B140" s="825" t="str">
        <f>TiposLancamentos!B12</f>
        <v>IPTU</v>
      </c>
      <c r="C140" s="88" t="s">
        <v>6755</v>
      </c>
      <c r="D140" s="828"/>
      <c r="E140" s="931">
        <v>130.66</v>
      </c>
      <c r="F140" s="135"/>
      <c r="G140" s="1040"/>
    </row>
    <row r="141" spans="1:7">
      <c r="A141" s="921">
        <v>42592</v>
      </c>
      <c r="B141" s="833" t="str">
        <f>TiposLancamentos!B34</f>
        <v>Seguros</v>
      </c>
      <c r="C141" s="916" t="s">
        <v>17415</v>
      </c>
      <c r="D141" s="918"/>
      <c r="E141" s="922">
        <v>245.43</v>
      </c>
      <c r="F141" s="135">
        <v>1958.39</v>
      </c>
      <c r="G141" s="1040"/>
    </row>
    <row r="142" spans="1:7">
      <c r="A142" s="884">
        <v>42592</v>
      </c>
      <c r="B142" s="138" t="str">
        <f>TiposLancamentos!B103</f>
        <v>Juros_Corr. Poupança</v>
      </c>
      <c r="C142" s="771" t="s">
        <v>17394</v>
      </c>
      <c r="D142" s="197">
        <v>0.06</v>
      </c>
      <c r="E142" s="857"/>
      <c r="F142" s="135"/>
      <c r="G142" s="1040"/>
    </row>
    <row r="143" spans="1:7">
      <c r="A143" s="919">
        <v>42592</v>
      </c>
      <c r="B143" s="830" t="str">
        <f>TiposLancamentos!B35</f>
        <v>Tv à Cabo</v>
      </c>
      <c r="C143" s="915" t="s">
        <v>5834</v>
      </c>
      <c r="D143" s="917"/>
      <c r="E143" s="920">
        <v>120</v>
      </c>
      <c r="F143" s="135"/>
      <c r="G143" s="1040"/>
    </row>
    <row r="144" spans="1:7">
      <c r="A144" s="930">
        <v>42592</v>
      </c>
      <c r="B144" s="825" t="str">
        <f>TiposLancamentos!B3</f>
        <v>Internet</v>
      </c>
      <c r="C144" s="88" t="s">
        <v>5835</v>
      </c>
      <c r="D144" s="828"/>
      <c r="E144" s="931">
        <v>89.9</v>
      </c>
      <c r="F144" s="135"/>
      <c r="G144" s="1040"/>
    </row>
    <row r="145" spans="1:7">
      <c r="A145" s="921">
        <v>42592</v>
      </c>
      <c r="B145" s="833" t="str">
        <f>TiposLancamentos!B2</f>
        <v>Telefonia</v>
      </c>
      <c r="C145" s="916" t="s">
        <v>7210</v>
      </c>
      <c r="D145" s="918"/>
      <c r="E145" s="922"/>
      <c r="F145" s="135"/>
      <c r="G145" s="1040"/>
    </row>
    <row r="146" spans="1:7">
      <c r="A146" s="884">
        <v>42595</v>
      </c>
      <c r="B146" s="138" t="str">
        <f>TiposLancamentos!B19</f>
        <v>Restaurantes</v>
      </c>
      <c r="C146" s="771" t="s">
        <v>17416</v>
      </c>
      <c r="D146" s="197"/>
      <c r="E146" s="857">
        <v>21.7</v>
      </c>
      <c r="F146" s="135"/>
      <c r="G146" s="1040"/>
    </row>
    <row r="147" spans="1:7">
      <c r="A147" s="884">
        <v>42596</v>
      </c>
      <c r="B147" s="138" t="str">
        <f>TiposLancamentos!B19</f>
        <v>Restaurantes</v>
      </c>
      <c r="C147" s="771" t="s">
        <v>3121</v>
      </c>
      <c r="D147" s="197"/>
      <c r="E147" s="857">
        <v>17</v>
      </c>
      <c r="F147" s="135"/>
      <c r="G147" s="1040"/>
    </row>
    <row r="148" spans="1:7">
      <c r="A148" s="884">
        <v>42597</v>
      </c>
      <c r="B148" s="138" t="str">
        <f>TiposLancamentos!B95</f>
        <v>Salarios</v>
      </c>
      <c r="C148" s="771" t="s">
        <v>4916</v>
      </c>
      <c r="D148" s="197">
        <v>3469.39</v>
      </c>
      <c r="E148" s="857"/>
      <c r="F148" s="135"/>
      <c r="G148" s="1040"/>
    </row>
    <row r="149" spans="1:7">
      <c r="A149" s="919">
        <v>42597</v>
      </c>
      <c r="B149" s="830" t="str">
        <f>TiposLancamentos!B33</f>
        <v>Pedágios</v>
      </c>
      <c r="C149" s="915" t="s">
        <v>5392</v>
      </c>
      <c r="D149" s="917"/>
      <c r="E149" s="920">
        <v>34.17</v>
      </c>
      <c r="F149" s="135"/>
      <c r="G149" s="1040"/>
    </row>
    <row r="150" spans="1:7">
      <c r="A150" s="930">
        <v>42597</v>
      </c>
      <c r="B150" s="825" t="str">
        <f>TiposLancamentos!B24</f>
        <v>Estacionamentos</v>
      </c>
      <c r="C150" s="88" t="s">
        <v>5863</v>
      </c>
      <c r="D150" s="828"/>
      <c r="E150" s="931">
        <v>15</v>
      </c>
      <c r="F150" s="135"/>
      <c r="G150" s="1040"/>
    </row>
    <row r="151" spans="1:7">
      <c r="A151" s="921">
        <v>42597</v>
      </c>
      <c r="B151" s="833" t="str">
        <f>TiposLancamentos!B24</f>
        <v>Estacionamentos</v>
      </c>
      <c r="C151" s="916" t="s">
        <v>6297</v>
      </c>
      <c r="D151" s="918"/>
      <c r="E151" s="922">
        <v>35</v>
      </c>
      <c r="F151" s="135">
        <f>SUM(E149:E151)</f>
        <v>84.17</v>
      </c>
      <c r="G151" s="1040"/>
    </row>
    <row r="152" spans="1:7">
      <c r="A152" s="884">
        <v>42597</v>
      </c>
      <c r="B152" s="138" t="str">
        <f>TiposLancamentos!B19</f>
        <v>Restaurantes</v>
      </c>
      <c r="C152" s="3" t="s">
        <v>11166</v>
      </c>
      <c r="D152" s="197"/>
      <c r="E152" s="857">
        <v>10.5</v>
      </c>
      <c r="F152" s="135"/>
      <c r="G152" s="1040"/>
    </row>
    <row r="153" spans="1:7">
      <c r="A153" s="884">
        <v>42597</v>
      </c>
      <c r="B153" s="138" t="str">
        <f>TiposLancamentos!B26</f>
        <v>LIVROS</v>
      </c>
      <c r="C153" s="3" t="s">
        <v>17417</v>
      </c>
      <c r="D153" s="197"/>
      <c r="E153" s="857">
        <v>56.87</v>
      </c>
      <c r="F153" s="135"/>
      <c r="G153" s="1040"/>
    </row>
    <row r="154" spans="1:7">
      <c r="A154" s="884">
        <v>42600</v>
      </c>
      <c r="B154" s="138" t="str">
        <f>TiposLancamentos!B20</f>
        <v>Saques</v>
      </c>
      <c r="C154" s="3" t="s">
        <v>3604</v>
      </c>
      <c r="D154" s="197"/>
      <c r="E154" s="857">
        <v>90</v>
      </c>
      <c r="F154" s="135"/>
      <c r="G154" s="1040"/>
    </row>
    <row r="155" spans="1:7">
      <c r="A155" s="884">
        <v>42600</v>
      </c>
      <c r="B155" s="138" t="str">
        <f>TiposLancamentos!B87</f>
        <v>P207-1.6-XS</v>
      </c>
      <c r="C155" s="3" t="s">
        <v>17418</v>
      </c>
      <c r="D155" s="197"/>
      <c r="E155" s="857">
        <v>130</v>
      </c>
      <c r="F155" s="135"/>
      <c r="G155" s="1040"/>
    </row>
    <row r="156" spans="1:7">
      <c r="A156" s="884">
        <v>42600</v>
      </c>
      <c r="B156" s="138" t="str">
        <f>TiposLancamentos!B21</f>
        <v>Transf. Poupanca</v>
      </c>
      <c r="C156" s="3" t="s">
        <v>17360</v>
      </c>
      <c r="D156" s="197"/>
      <c r="E156" s="857">
        <v>50</v>
      </c>
      <c r="F156" s="135"/>
      <c r="G156" s="1040"/>
    </row>
    <row r="157" spans="1:7">
      <c r="A157" s="884">
        <v>42603</v>
      </c>
      <c r="B157" s="138" t="str">
        <f>TiposLancamentos!B16</f>
        <v>Cristiane</v>
      </c>
      <c r="C157" s="3" t="s">
        <v>17419</v>
      </c>
      <c r="D157" s="197"/>
      <c r="E157" s="857">
        <v>9</v>
      </c>
      <c r="F157" s="135"/>
      <c r="G157" s="1040"/>
    </row>
    <row r="158" spans="1:7">
      <c r="A158" s="884">
        <v>42603</v>
      </c>
      <c r="B158" s="138" t="str">
        <f>TiposLancamentos!B19</f>
        <v>Restaurantes</v>
      </c>
      <c r="C158" s="3" t="s">
        <v>11166</v>
      </c>
      <c r="D158" s="197"/>
      <c r="E158" s="857">
        <v>27</v>
      </c>
      <c r="F158" s="135"/>
      <c r="G158" s="1040"/>
    </row>
    <row r="159" spans="1:7">
      <c r="A159" s="884">
        <v>42605</v>
      </c>
      <c r="B159" s="138" t="str">
        <f>TiposLancamentos!B97</f>
        <v>Deposito Terc.</v>
      </c>
      <c r="C159" s="3" t="s">
        <v>17420</v>
      </c>
      <c r="D159" s="197">
        <v>128.4</v>
      </c>
      <c r="E159" s="857"/>
      <c r="F159" s="135"/>
      <c r="G159" s="1040"/>
    </row>
    <row r="160" spans="1:7">
      <c r="A160" s="884">
        <v>42605</v>
      </c>
      <c r="B160" s="138" t="str">
        <f>TiposLancamentos!B20</f>
        <v>Saques</v>
      </c>
      <c r="C160" s="3" t="s">
        <v>3604</v>
      </c>
      <c r="D160" s="197"/>
      <c r="E160" s="857">
        <v>70</v>
      </c>
      <c r="F160" s="135"/>
      <c r="G160" s="1040"/>
    </row>
    <row r="161" spans="1:7">
      <c r="A161" s="884">
        <v>42606</v>
      </c>
      <c r="B161" s="138" t="str">
        <f>TiposLancamentos!B19</f>
        <v>Restaurantes</v>
      </c>
      <c r="C161" s="3" t="s">
        <v>4539</v>
      </c>
      <c r="D161" s="197"/>
      <c r="E161" s="857">
        <v>22.5</v>
      </c>
      <c r="F161" s="135"/>
      <c r="G161" s="1040"/>
    </row>
    <row r="162" spans="1:7">
      <c r="A162" s="884">
        <v>42607</v>
      </c>
      <c r="B162" s="138" t="str">
        <f>TiposLancamentos!B20</f>
        <v>Saques</v>
      </c>
      <c r="C162" s="3" t="s">
        <v>17421</v>
      </c>
      <c r="D162" s="197"/>
      <c r="E162" s="857">
        <v>40</v>
      </c>
      <c r="F162" s="135"/>
      <c r="G162" s="1040"/>
    </row>
    <row r="163" spans="1:7">
      <c r="A163" s="884">
        <v>42607</v>
      </c>
      <c r="B163" s="138" t="str">
        <f>TiposLancamentos!B20</f>
        <v>Saques</v>
      </c>
      <c r="C163" s="3" t="s">
        <v>17421</v>
      </c>
      <c r="D163" s="197"/>
      <c r="E163" s="857">
        <v>20</v>
      </c>
      <c r="F163" s="135"/>
      <c r="G163" s="1040"/>
    </row>
    <row r="164" spans="1:7">
      <c r="A164" s="884">
        <v>42608</v>
      </c>
      <c r="B164" s="138" t="str">
        <f>TiposLancamentos!B34</f>
        <v>Seguros</v>
      </c>
      <c r="C164" s="3" t="s">
        <v>6843</v>
      </c>
      <c r="D164" s="197"/>
      <c r="E164" s="857">
        <v>72.44</v>
      </c>
      <c r="F164" s="135"/>
      <c r="G164" s="1040"/>
    </row>
    <row r="165" spans="1:7">
      <c r="A165" s="884">
        <v>42608</v>
      </c>
      <c r="B165" s="138" t="str">
        <f>TiposLancamentos!B103</f>
        <v>Juros_Corr. Poupança</v>
      </c>
      <c r="C165" s="3" t="s">
        <v>17394</v>
      </c>
      <c r="D165" s="197">
        <v>0.02</v>
      </c>
      <c r="E165" s="857"/>
      <c r="F165" s="135"/>
      <c r="G165" s="1040"/>
    </row>
    <row r="166" spans="1:7">
      <c r="A166" s="884">
        <v>42611</v>
      </c>
      <c r="B166" s="138" t="str">
        <f>TiposLancamentos!B6</f>
        <v>Energia Eletrica</v>
      </c>
      <c r="C166" s="3" t="s">
        <v>5191</v>
      </c>
      <c r="D166" s="197"/>
      <c r="E166" s="857">
        <v>239.66</v>
      </c>
      <c r="F166" s="135"/>
      <c r="G166" s="1040"/>
    </row>
    <row r="167" spans="1:7">
      <c r="A167" s="884">
        <v>42612</v>
      </c>
      <c r="B167" s="138" t="str">
        <f>TiposLancamentos!B103</f>
        <v>Juros_Corr. Poupança</v>
      </c>
      <c r="C167" s="3" t="s">
        <v>17394</v>
      </c>
      <c r="D167" s="197">
        <v>0.09</v>
      </c>
      <c r="E167" s="857"/>
      <c r="F167" s="135"/>
      <c r="G167" s="1040"/>
    </row>
    <row r="168" spans="1:7">
      <c r="A168" s="884">
        <v>42613</v>
      </c>
      <c r="B168" s="138" t="str">
        <f>TiposLancamentos!B19</f>
        <v>Restaurantes</v>
      </c>
      <c r="C168" s="3" t="s">
        <v>7172</v>
      </c>
      <c r="D168" s="197"/>
      <c r="E168" s="857">
        <v>9</v>
      </c>
      <c r="F168" s="135"/>
      <c r="G168" s="1040"/>
    </row>
    <row r="169" spans="1:7" ht="14.25" thickBot="1">
      <c r="A169" s="885">
        <v>42613</v>
      </c>
      <c r="B169" s="886" t="str">
        <f>TiposLancamentos!B95</f>
        <v>Salarios</v>
      </c>
      <c r="C169" s="887" t="s">
        <v>17362</v>
      </c>
      <c r="D169" s="888">
        <v>6111.35</v>
      </c>
      <c r="E169" s="870"/>
      <c r="F169" s="135"/>
      <c r="G169" s="1040"/>
    </row>
    <row r="170" spans="1:7">
      <c r="A170" s="967"/>
      <c r="B170" s="968"/>
      <c r="C170" s="1093" t="s">
        <v>17075</v>
      </c>
      <c r="D170" s="970"/>
      <c r="E170" s="971"/>
      <c r="F170" s="1712"/>
      <c r="G170" s="1039"/>
    </row>
    <row r="171" spans="1:7">
      <c r="A171" s="884">
        <v>42614</v>
      </c>
      <c r="B171" s="138" t="str">
        <f>TiposLancamentos!B15</f>
        <v>Cartões de Crédito</v>
      </c>
      <c r="C171" s="771" t="s">
        <v>17391</v>
      </c>
      <c r="D171" s="197"/>
      <c r="E171" s="857">
        <v>1333.02</v>
      </c>
      <c r="F171" s="135"/>
      <c r="G171" s="1040"/>
    </row>
    <row r="172" spans="1:7">
      <c r="A172" s="884">
        <v>42614</v>
      </c>
      <c r="B172" s="138" t="str">
        <f>TiposLancamentos!B15</f>
        <v>Cartões de Crédito</v>
      </c>
      <c r="C172" s="771" t="s">
        <v>7391</v>
      </c>
      <c r="D172" s="197"/>
      <c r="E172" s="857">
        <v>4672.18</v>
      </c>
      <c r="F172" s="135"/>
      <c r="G172" s="1040"/>
    </row>
    <row r="173" spans="1:7">
      <c r="A173" s="884">
        <v>42614</v>
      </c>
      <c r="B173" s="138" t="str">
        <f>TiposLancamentos!B15</f>
        <v>Cartões de Crédito</v>
      </c>
      <c r="C173" s="771" t="s">
        <v>17392</v>
      </c>
      <c r="D173" s="197"/>
      <c r="E173" s="857">
        <v>956.69</v>
      </c>
      <c r="F173" s="135"/>
      <c r="G173" s="1040"/>
    </row>
    <row r="174" spans="1:7">
      <c r="A174" s="884">
        <v>42614</v>
      </c>
      <c r="B174" s="138" t="str">
        <f>TiposLancamentos!B4</f>
        <v>Taxas Bancarias</v>
      </c>
      <c r="C174" s="771" t="s">
        <v>17422</v>
      </c>
      <c r="D174" s="197"/>
      <c r="E174" s="857">
        <v>0.81</v>
      </c>
      <c r="F174" s="135"/>
      <c r="G174" s="1040"/>
    </row>
    <row r="175" spans="1:7">
      <c r="A175" s="884">
        <v>42614</v>
      </c>
      <c r="B175" s="138" t="str">
        <f>TiposLancamentos!B4</f>
        <v>Taxas Bancarias</v>
      </c>
      <c r="C175" s="771" t="s">
        <v>17423</v>
      </c>
      <c r="D175" s="197"/>
      <c r="E175" s="857">
        <v>7.51</v>
      </c>
      <c r="F175" s="135"/>
      <c r="G175" s="1040"/>
    </row>
    <row r="176" spans="1:7">
      <c r="A176" s="884">
        <v>42614</v>
      </c>
      <c r="B176" s="138" t="str">
        <f>TiposLancamentos!B103</f>
        <v>Juros_Corr. Poupança</v>
      </c>
      <c r="C176" s="3" t="s">
        <v>17394</v>
      </c>
      <c r="D176" s="197">
        <v>0.47</v>
      </c>
      <c r="E176" s="857"/>
      <c r="F176" s="135"/>
      <c r="G176" s="1040"/>
    </row>
    <row r="177" spans="1:7">
      <c r="A177" s="884">
        <v>42618</v>
      </c>
      <c r="B177" s="138" t="str">
        <f>TiposLancamentos!B53</f>
        <v>Auxilio Idoso</v>
      </c>
      <c r="C177" s="3" t="s">
        <v>17424</v>
      </c>
      <c r="D177" s="197"/>
      <c r="E177" s="857">
        <v>1320</v>
      </c>
      <c r="F177" s="135"/>
      <c r="G177" s="1040"/>
    </row>
    <row r="178" spans="1:7">
      <c r="A178" s="884">
        <v>42618</v>
      </c>
      <c r="B178" s="138" t="str">
        <f>TiposLancamentos!B17</f>
        <v>GATO</v>
      </c>
      <c r="C178" s="3" t="s">
        <v>17425</v>
      </c>
      <c r="D178" s="197"/>
      <c r="E178" s="857">
        <v>63.82</v>
      </c>
      <c r="F178" s="135"/>
      <c r="G178" s="1040"/>
    </row>
    <row r="179" spans="1:7">
      <c r="A179" s="884">
        <v>42618</v>
      </c>
      <c r="B179" s="138" t="str">
        <f>TiposLancamentos!B19</f>
        <v>Restaurantes</v>
      </c>
      <c r="C179" s="3" t="s">
        <v>7172</v>
      </c>
      <c r="D179" s="197"/>
      <c r="E179" s="857">
        <v>3.5</v>
      </c>
      <c r="F179" s="135"/>
      <c r="G179" s="1040"/>
    </row>
    <row r="180" spans="1:7">
      <c r="A180" s="884">
        <v>42619</v>
      </c>
      <c r="B180" s="138" t="str">
        <f>TiposLancamentos!B9</f>
        <v>Condominio</v>
      </c>
      <c r="C180" s="3" t="s">
        <v>1684</v>
      </c>
      <c r="D180" s="197"/>
      <c r="E180" s="857">
        <v>1219.26</v>
      </c>
      <c r="F180" s="135"/>
      <c r="G180" s="1040"/>
    </row>
    <row r="181" spans="1:7">
      <c r="A181" s="884">
        <v>42621</v>
      </c>
      <c r="B181" s="138" t="str">
        <f>TiposLancamentos!B2</f>
        <v>Telefonia</v>
      </c>
      <c r="C181" s="3" t="s">
        <v>6318</v>
      </c>
      <c r="D181" s="197"/>
      <c r="E181" s="857">
        <v>125</v>
      </c>
      <c r="F181" s="135"/>
      <c r="G181" s="1040"/>
    </row>
    <row r="182" spans="1:7">
      <c r="A182" s="884">
        <v>42621</v>
      </c>
      <c r="B182" s="138" t="str">
        <f>TiposLancamentos!B24</f>
        <v>Estacionamentos</v>
      </c>
      <c r="C182" s="771" t="s">
        <v>4589</v>
      </c>
      <c r="D182" s="197"/>
      <c r="E182" s="857">
        <v>170</v>
      </c>
      <c r="F182" s="135"/>
      <c r="G182" s="1040"/>
    </row>
    <row r="183" spans="1:7">
      <c r="A183" s="884">
        <v>42622</v>
      </c>
      <c r="B183" s="138" t="str">
        <f>TiposLancamentos!B16</f>
        <v>Cristiane</v>
      </c>
      <c r="C183" s="3" t="s">
        <v>17426</v>
      </c>
      <c r="D183" s="197"/>
      <c r="E183" s="857">
        <v>167.3</v>
      </c>
      <c r="F183" s="135"/>
      <c r="G183" s="1040"/>
    </row>
    <row r="184" spans="1:7">
      <c r="A184" s="884">
        <v>42623</v>
      </c>
      <c r="B184" s="884" t="str">
        <f>TiposLancamentos!B16</f>
        <v>Cristiane</v>
      </c>
      <c r="C184" s="3" t="s">
        <v>17427</v>
      </c>
      <c r="D184" s="197"/>
      <c r="E184" s="857">
        <v>20</v>
      </c>
      <c r="F184" s="135"/>
      <c r="G184" s="1040"/>
    </row>
    <row r="185" spans="1:7">
      <c r="A185" s="884">
        <v>42623</v>
      </c>
      <c r="B185" s="138" t="str">
        <f>TiposLancamentos!B24</f>
        <v>Estacionamentos</v>
      </c>
      <c r="C185" s="3" t="s">
        <v>3398</v>
      </c>
      <c r="D185" s="197"/>
      <c r="E185" s="857">
        <v>16</v>
      </c>
      <c r="F185" s="135"/>
      <c r="G185" s="1040"/>
    </row>
    <row r="186" spans="1:7">
      <c r="A186" s="884">
        <v>42624</v>
      </c>
      <c r="B186" s="138" t="str">
        <f>TiposLancamentos!B24</f>
        <v>Estacionamentos</v>
      </c>
      <c r="C186" s="3" t="s">
        <v>4295</v>
      </c>
      <c r="D186" s="197"/>
      <c r="E186" s="857">
        <v>20</v>
      </c>
      <c r="F186" s="135"/>
      <c r="G186" s="1040"/>
    </row>
    <row r="187" spans="1:7">
      <c r="A187" s="919">
        <v>42625</v>
      </c>
      <c r="B187" s="830" t="str">
        <f>TiposLancamentos!B8</f>
        <v>Aluguel</v>
      </c>
      <c r="C187" s="915" t="s">
        <v>6163</v>
      </c>
      <c r="D187" s="917"/>
      <c r="E187" s="920">
        <f>F189-(E188+E189)</f>
        <v>1582.3000000000002</v>
      </c>
      <c r="F187" s="135"/>
      <c r="G187" s="1040"/>
    </row>
    <row r="188" spans="1:7">
      <c r="A188" s="930">
        <v>42625</v>
      </c>
      <c r="B188" s="825" t="str">
        <f>TiposLancamentos!B12</f>
        <v>IPTU</v>
      </c>
      <c r="C188" s="88" t="s">
        <v>6319</v>
      </c>
      <c r="D188" s="828"/>
      <c r="E188" s="931">
        <v>130.66</v>
      </c>
      <c r="F188" s="135"/>
      <c r="G188" s="1040"/>
    </row>
    <row r="189" spans="1:7">
      <c r="A189" s="921">
        <v>42625</v>
      </c>
      <c r="B189" s="833" t="str">
        <f>TiposLancamentos!B34</f>
        <v>Seguros</v>
      </c>
      <c r="C189" s="916" t="s">
        <v>14773</v>
      </c>
      <c r="D189" s="918"/>
      <c r="E189" s="922">
        <v>245.43</v>
      </c>
      <c r="F189" s="135">
        <v>1958.39</v>
      </c>
      <c r="G189" s="1040"/>
    </row>
    <row r="190" spans="1:7">
      <c r="A190" s="884">
        <v>42625</v>
      </c>
      <c r="B190" s="138"/>
      <c r="C190" s="771" t="s">
        <v>17394</v>
      </c>
      <c r="D190" s="197"/>
      <c r="E190" s="857"/>
      <c r="F190" s="135"/>
      <c r="G190" s="1040"/>
    </row>
    <row r="191" spans="1:7">
      <c r="A191" s="919">
        <v>42625</v>
      </c>
      <c r="B191" s="830" t="str">
        <f>TiposLancamentos!B35</f>
        <v>Tv à Cabo</v>
      </c>
      <c r="C191" s="915" t="s">
        <v>5834</v>
      </c>
      <c r="D191" s="917"/>
      <c r="E191" s="920">
        <f>120+9.9</f>
        <v>129.9</v>
      </c>
      <c r="F191" s="135"/>
      <c r="G191" s="1040"/>
    </row>
    <row r="192" spans="1:7">
      <c r="A192" s="930">
        <v>42625</v>
      </c>
      <c r="B192" s="825" t="str">
        <f>TiposLancamentos!B3</f>
        <v>Internet</v>
      </c>
      <c r="C192" s="88" t="s">
        <v>5835</v>
      </c>
      <c r="D192" s="828"/>
      <c r="E192" s="931">
        <v>89.9</v>
      </c>
      <c r="F192" s="135"/>
      <c r="G192" s="1040"/>
    </row>
    <row r="193" spans="1:7">
      <c r="A193" s="921">
        <v>42625</v>
      </c>
      <c r="B193" s="833" t="str">
        <f>TiposLancamentos!B2</f>
        <v>Telefonia</v>
      </c>
      <c r="C193" s="916" t="s">
        <v>7210</v>
      </c>
      <c r="D193" s="918"/>
      <c r="E193" s="922">
        <v>0</v>
      </c>
      <c r="F193" s="135">
        <f>SUM(E191:E193)</f>
        <v>219.8</v>
      </c>
      <c r="G193" s="1040"/>
    </row>
    <row r="194" spans="1:7">
      <c r="A194" s="884">
        <v>42628</v>
      </c>
      <c r="B194" s="138" t="str">
        <f>TiposLancamentos!B95</f>
        <v>Salarios</v>
      </c>
      <c r="C194" s="3" t="s">
        <v>4916</v>
      </c>
      <c r="D194" s="197">
        <v>3469.39</v>
      </c>
      <c r="E194" s="857"/>
      <c r="F194" s="135"/>
      <c r="G194" s="1040"/>
    </row>
    <row r="195" spans="1:7">
      <c r="A195" s="919">
        <v>42628</v>
      </c>
      <c r="B195" s="830" t="str">
        <f>TiposLancamentos!B33</f>
        <v>Pedágios</v>
      </c>
      <c r="C195" s="915" t="s">
        <v>5392</v>
      </c>
      <c r="D195" s="917"/>
      <c r="E195" s="920">
        <f>F197-(E196+E197)</f>
        <v>63.349999999999994</v>
      </c>
      <c r="F195" s="135"/>
      <c r="G195" s="1040"/>
    </row>
    <row r="196" spans="1:7">
      <c r="A196" s="930">
        <v>42628</v>
      </c>
      <c r="B196" s="825" t="str">
        <f>TiposLancamentos!B24</f>
        <v>Estacionamentos</v>
      </c>
      <c r="C196" s="88" t="s">
        <v>5863</v>
      </c>
      <c r="D196" s="828"/>
      <c r="E196" s="931">
        <v>36</v>
      </c>
      <c r="F196" s="135"/>
      <c r="G196" s="1040"/>
    </row>
    <row r="197" spans="1:7">
      <c r="A197" s="921">
        <v>42628</v>
      </c>
      <c r="B197" s="833" t="str">
        <f>TiposLancamentos!B24</f>
        <v>Estacionamentos</v>
      </c>
      <c r="C197" s="916" t="s">
        <v>6297</v>
      </c>
      <c r="D197" s="918"/>
      <c r="E197" s="922">
        <v>41</v>
      </c>
      <c r="F197" s="135">
        <v>140.35</v>
      </c>
      <c r="G197" s="1040"/>
    </row>
    <row r="198" spans="1:7">
      <c r="A198" s="884">
        <v>42629</v>
      </c>
      <c r="B198" s="138" t="str">
        <f>TiposLancamentos!B24</f>
        <v>Estacionamentos</v>
      </c>
      <c r="C198" s="3" t="s">
        <v>3398</v>
      </c>
      <c r="D198" s="197"/>
      <c r="E198" s="857">
        <v>20</v>
      </c>
      <c r="F198" s="135"/>
      <c r="G198" s="1040"/>
    </row>
    <row r="199" spans="1:7">
      <c r="A199" s="884">
        <v>42630</v>
      </c>
      <c r="B199" s="138" t="str">
        <f>TiposLancamentos!B20</f>
        <v>Saques</v>
      </c>
      <c r="C199" s="3" t="s">
        <v>3604</v>
      </c>
      <c r="D199" s="197"/>
      <c r="E199" s="857">
        <v>50</v>
      </c>
      <c r="F199" s="135"/>
      <c r="G199" s="1040"/>
    </row>
    <row r="200" spans="1:7">
      <c r="A200" s="884">
        <v>42634</v>
      </c>
      <c r="B200" s="138" t="str">
        <f>TiposLancamentos!B19</f>
        <v>Restaurantes</v>
      </c>
      <c r="C200" s="3" t="s">
        <v>17428</v>
      </c>
      <c r="D200" s="197"/>
      <c r="E200" s="857">
        <v>13.5</v>
      </c>
      <c r="F200" s="135"/>
      <c r="G200" s="1040"/>
    </row>
    <row r="201" spans="1:7">
      <c r="A201" s="884">
        <v>42639</v>
      </c>
      <c r="B201" s="138" t="str">
        <f>TiposLancamentos!B34</f>
        <v>Seguros</v>
      </c>
      <c r="C201" s="3" t="s">
        <v>17429</v>
      </c>
      <c r="D201" s="197"/>
      <c r="E201" s="857">
        <v>71</v>
      </c>
      <c r="F201" s="135"/>
      <c r="G201" s="1040"/>
    </row>
    <row r="202" spans="1:7">
      <c r="A202" s="884">
        <v>42642</v>
      </c>
      <c r="B202" s="138" t="str">
        <f>TiposLancamentos!B6</f>
        <v>Energia Eletrica</v>
      </c>
      <c r="C202" s="3" t="s">
        <v>5191</v>
      </c>
      <c r="D202" s="197"/>
      <c r="E202" s="857">
        <v>246.58</v>
      </c>
      <c r="F202" s="135"/>
      <c r="G202" s="1040"/>
    </row>
    <row r="203" spans="1:7">
      <c r="A203" s="884">
        <v>42643</v>
      </c>
      <c r="B203" s="138" t="str">
        <f>B194</f>
        <v>Salarios</v>
      </c>
      <c r="C203" s="3" t="s">
        <v>17362</v>
      </c>
      <c r="D203" s="197">
        <v>5720.55</v>
      </c>
      <c r="E203" s="857"/>
      <c r="F203" s="135"/>
      <c r="G203" s="1040"/>
    </row>
    <row r="204" spans="1:7" ht="14.25" thickBot="1">
      <c r="A204" s="884">
        <v>42643</v>
      </c>
      <c r="B204" s="138" t="str">
        <f>TiposLancamentos!B4</f>
        <v>Taxas Bancarias</v>
      </c>
      <c r="C204" s="3" t="s">
        <v>17430</v>
      </c>
      <c r="D204" s="197"/>
      <c r="E204" s="857">
        <v>384.39</v>
      </c>
      <c r="F204" s="135"/>
      <c r="G204" s="1040"/>
    </row>
    <row r="205" spans="1:7">
      <c r="A205" s="967"/>
      <c r="B205" s="968"/>
      <c r="C205" s="1093" t="s">
        <v>10832</v>
      </c>
      <c r="D205" s="970"/>
      <c r="E205" s="971"/>
      <c r="F205" s="1712"/>
      <c r="G205" s="1039"/>
    </row>
    <row r="206" spans="1:7">
      <c r="A206" s="884">
        <v>42644</v>
      </c>
      <c r="B206" s="138" t="str">
        <f>TiposLancamentos!B19</f>
        <v>Restaurantes</v>
      </c>
      <c r="C206" s="3" t="s">
        <v>7246</v>
      </c>
      <c r="D206" s="197"/>
      <c r="E206" s="857">
        <v>75.349999999999994</v>
      </c>
      <c r="F206" s="135"/>
      <c r="G206" s="1040"/>
    </row>
    <row r="207" spans="1:7">
      <c r="A207" s="884">
        <v>42646</v>
      </c>
      <c r="B207" s="138" t="str">
        <f>TiposLancamentos!B15</f>
        <v>Cartões de Crédito</v>
      </c>
      <c r="C207" s="3" t="s">
        <v>17431</v>
      </c>
      <c r="D207" s="197"/>
      <c r="E207" s="857">
        <v>3679.96</v>
      </c>
      <c r="F207" s="135"/>
      <c r="G207" s="1040"/>
    </row>
    <row r="208" spans="1:7">
      <c r="A208" s="884">
        <v>42646</v>
      </c>
      <c r="B208" s="138" t="str">
        <f>TiposLancamentos!B15</f>
        <v>Cartões de Crédito</v>
      </c>
      <c r="C208" s="3" t="s">
        <v>5558</v>
      </c>
      <c r="D208" s="197"/>
      <c r="E208" s="857">
        <v>3771.02</v>
      </c>
      <c r="F208" s="135"/>
      <c r="G208" s="1040"/>
    </row>
    <row r="209" spans="1:7">
      <c r="A209" s="884">
        <v>42646</v>
      </c>
      <c r="B209" s="138" t="str">
        <f>TiposLancamentos!B15</f>
        <v>Cartões de Crédito</v>
      </c>
      <c r="C209" s="3" t="s">
        <v>7391</v>
      </c>
      <c r="D209" s="197"/>
      <c r="E209" s="857">
        <v>1976.16</v>
      </c>
      <c r="F209" s="135"/>
      <c r="G209" s="1040"/>
    </row>
    <row r="210" spans="1:7">
      <c r="A210" s="884">
        <v>42646</v>
      </c>
      <c r="B210" s="138" t="str">
        <f>TiposLancamentos!B4</f>
        <v>Taxas Bancarias</v>
      </c>
      <c r="C210" s="771" t="s">
        <v>17432</v>
      </c>
      <c r="D210" s="197"/>
      <c r="E210" s="857">
        <v>5.86</v>
      </c>
      <c r="F210" s="135"/>
      <c r="G210" s="1040"/>
    </row>
    <row r="211" spans="1:7">
      <c r="A211" s="884">
        <v>42646</v>
      </c>
      <c r="B211" s="138" t="str">
        <f>TiposLancamentos!B4</f>
        <v>Taxas Bancarias</v>
      </c>
      <c r="C211" s="771" t="s">
        <v>17433</v>
      </c>
      <c r="D211" s="197"/>
      <c r="E211" s="857">
        <v>22.41</v>
      </c>
      <c r="F211" s="135"/>
      <c r="G211" s="1040"/>
    </row>
    <row r="212" spans="1:7">
      <c r="A212" s="884">
        <v>42647</v>
      </c>
      <c r="B212" s="138" t="str">
        <f>TiposLancamentos!B20</f>
        <v>Saques</v>
      </c>
      <c r="C212" s="3" t="s">
        <v>4202</v>
      </c>
      <c r="D212" s="197"/>
      <c r="E212" s="857">
        <v>100</v>
      </c>
      <c r="F212" s="135"/>
      <c r="G212" s="1040"/>
    </row>
    <row r="213" spans="1:7">
      <c r="A213" s="884">
        <v>42647</v>
      </c>
      <c r="B213" s="138" t="str">
        <f>TiposLancamentos!B103</f>
        <v>Juros_Corr. Poupança</v>
      </c>
      <c r="C213" s="3" t="s">
        <v>17434</v>
      </c>
      <c r="D213" s="197">
        <v>0.03</v>
      </c>
      <c r="E213" s="857"/>
      <c r="F213" s="135"/>
      <c r="G213" s="1040"/>
    </row>
    <row r="214" spans="1:7">
      <c r="A214" s="884">
        <v>42649</v>
      </c>
      <c r="B214" s="138" t="str">
        <f>TiposLancamentos!B9</f>
        <v>Condominio</v>
      </c>
      <c r="C214" s="3" t="s">
        <v>1684</v>
      </c>
      <c r="D214" s="197"/>
      <c r="E214" s="857">
        <v>1219.26</v>
      </c>
      <c r="F214" s="135"/>
      <c r="G214" s="1040"/>
    </row>
    <row r="215" spans="1:7">
      <c r="A215" s="884">
        <v>42650</v>
      </c>
      <c r="B215" s="138" t="str">
        <f>TiposLancamentos!B2</f>
        <v>Telefonia</v>
      </c>
      <c r="C215" s="3" t="s">
        <v>6318</v>
      </c>
      <c r="D215" s="197"/>
      <c r="E215" s="857">
        <v>125</v>
      </c>
      <c r="F215" s="135"/>
      <c r="G215" s="1040"/>
    </row>
    <row r="216" spans="1:7">
      <c r="A216" s="884">
        <v>42651</v>
      </c>
      <c r="B216" s="138" t="str">
        <f>TiposLancamentos!B19</f>
        <v>Restaurantes</v>
      </c>
      <c r="C216" s="771" t="s">
        <v>17435</v>
      </c>
      <c r="D216" s="197"/>
      <c r="E216" s="857">
        <v>20</v>
      </c>
      <c r="F216" s="135"/>
      <c r="G216" s="1040"/>
    </row>
    <row r="217" spans="1:7">
      <c r="A217" s="919">
        <v>42653</v>
      </c>
      <c r="B217" s="830" t="str">
        <f>TiposLancamentos!B8</f>
        <v>Aluguel</v>
      </c>
      <c r="C217" s="915" t="s">
        <v>6163</v>
      </c>
      <c r="D217" s="917"/>
      <c r="E217" s="920">
        <f>1757+4.8+1.5</f>
        <v>1763.3</v>
      </c>
      <c r="F217" s="135"/>
      <c r="G217" s="1040"/>
    </row>
    <row r="218" spans="1:7">
      <c r="A218" s="930">
        <v>42653</v>
      </c>
      <c r="B218" s="825" t="str">
        <f>TiposLancamentos!B12</f>
        <v>IPTU</v>
      </c>
      <c r="C218" s="88" t="s">
        <v>6351</v>
      </c>
      <c r="D218" s="828"/>
      <c r="E218" s="931">
        <v>130.66</v>
      </c>
      <c r="F218" s="135"/>
      <c r="G218" s="1040"/>
    </row>
    <row r="219" spans="1:7">
      <c r="A219" s="921">
        <v>42653</v>
      </c>
      <c r="B219" s="833" t="str">
        <f>TiposLancamentos!B34</f>
        <v>Seguros</v>
      </c>
      <c r="C219" s="916" t="s">
        <v>17436</v>
      </c>
      <c r="D219" s="918"/>
      <c r="E219" s="922"/>
      <c r="F219" s="135">
        <f>SUM(E217:E219)</f>
        <v>1893.96</v>
      </c>
      <c r="G219" s="1040"/>
    </row>
    <row r="220" spans="1:7">
      <c r="A220" s="884">
        <v>42650</v>
      </c>
      <c r="B220" s="138" t="str">
        <f>TiposLancamentos!B24</f>
        <v>Estacionamentos</v>
      </c>
      <c r="C220" s="771" t="s">
        <v>4589</v>
      </c>
      <c r="D220" s="197"/>
      <c r="E220" s="857">
        <v>170</v>
      </c>
      <c r="F220" s="135"/>
      <c r="G220" s="1040"/>
    </row>
    <row r="221" spans="1:7">
      <c r="A221" s="919">
        <v>42653</v>
      </c>
      <c r="B221" s="830" t="str">
        <f>TiposLancamentos!B35</f>
        <v>Tv à Cabo</v>
      </c>
      <c r="C221" s="915" t="s">
        <v>5834</v>
      </c>
      <c r="D221" s="917"/>
      <c r="E221" s="920">
        <f>120+9.9</f>
        <v>129.9</v>
      </c>
      <c r="F221" s="135"/>
      <c r="G221" s="1040"/>
    </row>
    <row r="222" spans="1:7">
      <c r="A222" s="930">
        <v>42653</v>
      </c>
      <c r="B222" s="825" t="str">
        <f>TiposLancamentos!B3</f>
        <v>Internet</v>
      </c>
      <c r="C222" s="88" t="s">
        <v>5835</v>
      </c>
      <c r="D222" s="828"/>
      <c r="E222" s="931">
        <v>89.9</v>
      </c>
      <c r="F222" s="135"/>
      <c r="G222" s="1040"/>
    </row>
    <row r="223" spans="1:7">
      <c r="A223" s="921">
        <v>42653</v>
      </c>
      <c r="B223" s="833" t="str">
        <f>TiposLancamentos!B2</f>
        <v>Telefonia</v>
      </c>
      <c r="C223" s="916" t="s">
        <v>7210</v>
      </c>
      <c r="D223" s="918"/>
      <c r="E223" s="922">
        <f>1.86</f>
        <v>1.86</v>
      </c>
      <c r="F223" s="135">
        <f>SUM(E221:E223)</f>
        <v>221.66000000000003</v>
      </c>
      <c r="G223" s="1040"/>
    </row>
    <row r="224" spans="1:7">
      <c r="A224" s="884">
        <v>42653</v>
      </c>
      <c r="B224" s="138" t="str">
        <f>TiposLancamentos!B16</f>
        <v>Cristiane</v>
      </c>
      <c r="C224" s="3" t="s">
        <v>16818</v>
      </c>
      <c r="D224" s="197"/>
      <c r="E224" s="857">
        <v>25</v>
      </c>
      <c r="F224" s="135"/>
      <c r="G224" s="1040"/>
    </row>
    <row r="225" spans="1:7">
      <c r="A225" s="884">
        <v>42656</v>
      </c>
      <c r="B225" s="138" t="str">
        <f>TiposLancamentos!B20</f>
        <v>Saques</v>
      </c>
      <c r="C225" s="3" t="s">
        <v>3604</v>
      </c>
      <c r="D225" s="197"/>
      <c r="E225" s="857">
        <v>50</v>
      </c>
      <c r="F225" s="135"/>
      <c r="G225" s="1040"/>
    </row>
    <row r="226" spans="1:7">
      <c r="A226" s="884">
        <v>42656</v>
      </c>
      <c r="B226" s="138" t="str">
        <f>TiposLancamentos!B62</f>
        <v>Papelaria</v>
      </c>
      <c r="C226" s="3" t="s">
        <v>17437</v>
      </c>
      <c r="D226" s="197"/>
      <c r="E226" s="857">
        <v>32.299999999999997</v>
      </c>
      <c r="F226" s="135"/>
      <c r="G226" s="1040"/>
    </row>
    <row r="227" spans="1:7">
      <c r="A227" s="919">
        <v>42658</v>
      </c>
      <c r="B227" s="830" t="str">
        <f>TiposLancamentos!B33</f>
        <v>Pedágios</v>
      </c>
      <c r="C227" s="915" t="s">
        <v>5392</v>
      </c>
      <c r="D227" s="917"/>
      <c r="E227" s="920">
        <f>36.9+21.74+16.41</f>
        <v>75.05</v>
      </c>
      <c r="F227" s="135"/>
      <c r="G227" s="1040"/>
    </row>
    <row r="228" spans="1:7">
      <c r="A228" s="930">
        <v>42658</v>
      </c>
      <c r="B228" s="825" t="str">
        <f>TiposLancamentos!B24</f>
        <v>Estacionamentos</v>
      </c>
      <c r="C228" s="88" t="s">
        <v>5863</v>
      </c>
      <c r="D228" s="828"/>
      <c r="E228" s="931">
        <v>14</v>
      </c>
      <c r="F228" s="135"/>
      <c r="G228" s="1040"/>
    </row>
    <row r="229" spans="1:7">
      <c r="A229" s="921">
        <v>42658</v>
      </c>
      <c r="B229" s="833" t="str">
        <f>TiposLancamentos!B24</f>
        <v>Estacionamentos</v>
      </c>
      <c r="C229" s="916" t="s">
        <v>6297</v>
      </c>
      <c r="D229" s="918"/>
      <c r="E229" s="922">
        <v>7</v>
      </c>
      <c r="F229" s="135">
        <f>SUM(E227:E229)</f>
        <v>96.05</v>
      </c>
      <c r="G229" s="1040"/>
    </row>
    <row r="230" spans="1:7">
      <c r="A230" s="884">
        <v>42658</v>
      </c>
      <c r="B230" s="138" t="str">
        <f>TiposLancamentos!B95</f>
        <v>Salarios</v>
      </c>
      <c r="C230" s="3" t="s">
        <v>4916</v>
      </c>
      <c r="D230" s="197">
        <v>3469.39</v>
      </c>
      <c r="E230" s="857"/>
      <c r="F230" s="135"/>
      <c r="G230" s="1040"/>
    </row>
    <row r="231" spans="1:7">
      <c r="A231" s="884">
        <v>42662</v>
      </c>
      <c r="B231" s="138" t="str">
        <f>TiposLancamentos!B26</f>
        <v>LIVROS</v>
      </c>
      <c r="C231" s="771" t="s">
        <v>17438</v>
      </c>
      <c r="D231" s="197"/>
      <c r="E231" s="857">
        <v>80</v>
      </c>
      <c r="F231" s="135"/>
      <c r="G231" s="1040"/>
    </row>
    <row r="232" spans="1:7">
      <c r="A232" s="884">
        <v>42669</v>
      </c>
      <c r="B232" s="138" t="str">
        <f>TiposLancamentos!B19</f>
        <v>Restaurantes</v>
      </c>
      <c r="C232" s="771" t="s">
        <v>17439</v>
      </c>
      <c r="D232" s="197"/>
      <c r="E232" s="857">
        <v>22</v>
      </c>
      <c r="F232" s="135"/>
      <c r="G232" s="1040"/>
    </row>
    <row r="233" spans="1:7">
      <c r="A233" s="884">
        <v>42670</v>
      </c>
      <c r="B233" s="138" t="str">
        <f>TiposLancamentos!B34</f>
        <v>Seguros</v>
      </c>
      <c r="C233" s="3" t="s">
        <v>17429</v>
      </c>
      <c r="D233" s="197"/>
      <c r="E233" s="857">
        <v>72.459999999999994</v>
      </c>
      <c r="F233" s="135"/>
      <c r="G233" s="1040"/>
    </row>
    <row r="234" spans="1:7">
      <c r="A234" s="884">
        <v>42671</v>
      </c>
      <c r="B234" s="138" t="str">
        <f>TiposLancamentos!B6</f>
        <v>Energia Eletrica</v>
      </c>
      <c r="C234" s="3" t="s">
        <v>5191</v>
      </c>
      <c r="D234" s="197"/>
      <c r="E234" s="857">
        <v>211</v>
      </c>
      <c r="F234" s="135"/>
      <c r="G234" s="1040"/>
    </row>
    <row r="235" spans="1:7">
      <c r="A235" s="884">
        <v>42671</v>
      </c>
      <c r="B235" s="138" t="str">
        <f>TiposLancamentos!B95</f>
        <v>Salarios</v>
      </c>
      <c r="C235" s="771" t="s">
        <v>17362</v>
      </c>
      <c r="D235" s="197">
        <v>11926.51</v>
      </c>
      <c r="E235" s="857"/>
      <c r="F235" s="135"/>
      <c r="G235" s="1040"/>
    </row>
    <row r="236" spans="1:7">
      <c r="A236" s="884">
        <v>42672</v>
      </c>
      <c r="B236" s="138" t="str">
        <f>TiposLancamentos!B19</f>
        <v>Restaurantes</v>
      </c>
      <c r="C236" s="771" t="s">
        <v>6974</v>
      </c>
      <c r="D236" s="197"/>
      <c r="E236" s="857">
        <v>20</v>
      </c>
      <c r="F236" s="135"/>
      <c r="G236" s="1040"/>
    </row>
    <row r="237" spans="1:7">
      <c r="A237" s="884">
        <v>42704</v>
      </c>
      <c r="B237" s="138" t="str">
        <f>TiposLancamentos!B4</f>
        <v>Taxas Bancarias</v>
      </c>
      <c r="C237" s="771" t="s">
        <v>17440</v>
      </c>
      <c r="D237" s="197"/>
      <c r="E237" s="857">
        <v>1098.01</v>
      </c>
      <c r="F237" s="135"/>
      <c r="G237" s="1040"/>
    </row>
    <row r="238" spans="1:7">
      <c r="A238" s="884">
        <v>42674</v>
      </c>
      <c r="B238" s="138" t="str">
        <f>TiposLancamentos!B103</f>
        <v>Juros_Corr. Poupança</v>
      </c>
      <c r="C238" s="771" t="s">
        <v>17394</v>
      </c>
      <c r="D238" s="197">
        <v>0.01</v>
      </c>
      <c r="E238" s="857"/>
      <c r="F238" s="135"/>
      <c r="G238" s="1040"/>
    </row>
    <row r="239" spans="1:7">
      <c r="A239" s="884">
        <v>42674</v>
      </c>
      <c r="B239" s="138" t="str">
        <f>TiposLancamentos!B19</f>
        <v>Restaurantes</v>
      </c>
      <c r="C239" s="771" t="s">
        <v>17441</v>
      </c>
      <c r="D239" s="197"/>
      <c r="E239" s="857">
        <v>33.700000000000003</v>
      </c>
      <c r="F239" s="135"/>
      <c r="G239" s="1040"/>
    </row>
    <row r="240" spans="1:7" ht="14.25" thickBot="1">
      <c r="A240" s="884">
        <v>42674</v>
      </c>
      <c r="B240" s="138" t="str">
        <f>TiposLancamentos!B24</f>
        <v>Estacionamentos</v>
      </c>
      <c r="C240" s="771" t="s">
        <v>3398</v>
      </c>
      <c r="D240" s="197"/>
      <c r="E240" s="857">
        <v>7</v>
      </c>
      <c r="F240" s="135"/>
      <c r="G240" s="1040"/>
    </row>
    <row r="241" spans="1:7">
      <c r="A241" s="967"/>
      <c r="B241" s="968"/>
      <c r="C241" s="1093" t="s">
        <v>17442</v>
      </c>
      <c r="D241" s="970"/>
      <c r="E241" s="971"/>
      <c r="F241" s="1712"/>
      <c r="G241" s="1039"/>
    </row>
    <row r="242" spans="1:7">
      <c r="A242" s="884">
        <v>42675</v>
      </c>
      <c r="B242" s="138" t="str">
        <f>TiposLancamentos!B15</f>
        <v>Cartões de Crédito</v>
      </c>
      <c r="C242" s="771" t="s">
        <v>8252</v>
      </c>
      <c r="D242" s="197"/>
      <c r="E242" s="857">
        <v>5615.21</v>
      </c>
      <c r="F242" s="135"/>
      <c r="G242" s="1040"/>
    </row>
    <row r="243" spans="1:7">
      <c r="A243" s="884">
        <v>42675</v>
      </c>
      <c r="B243" s="138" t="str">
        <f>TiposLancamentos!B15</f>
        <v>Cartões de Crédito</v>
      </c>
      <c r="C243" s="771" t="s">
        <v>7391</v>
      </c>
      <c r="D243" s="197"/>
      <c r="E243" s="857">
        <v>1902.1</v>
      </c>
      <c r="F243" s="135"/>
      <c r="G243" s="1040"/>
    </row>
    <row r="244" spans="1:7">
      <c r="A244" s="884">
        <v>42675</v>
      </c>
      <c r="B244" s="138" t="str">
        <f>TiposLancamentos!B15</f>
        <v>Cartões de Crédito</v>
      </c>
      <c r="C244" s="771" t="s">
        <v>7161</v>
      </c>
      <c r="D244" s="197"/>
      <c r="E244" s="857">
        <v>2662.55</v>
      </c>
      <c r="F244" s="135"/>
      <c r="G244" s="1040"/>
    </row>
    <row r="245" spans="1:7">
      <c r="A245" s="884">
        <v>42675</v>
      </c>
      <c r="B245" s="138" t="str">
        <f>TiposLancamentos!B9</f>
        <v>Condominio</v>
      </c>
      <c r="C245" s="771" t="s">
        <v>1684</v>
      </c>
      <c r="D245" s="197"/>
      <c r="E245" s="857">
        <v>1221.02</v>
      </c>
      <c r="F245" s="135"/>
      <c r="G245" s="1040"/>
    </row>
    <row r="246" spans="1:7">
      <c r="A246" s="884">
        <v>42675</v>
      </c>
      <c r="B246" s="138" t="str">
        <f>TiposLancamentos!B2</f>
        <v>Telefonia</v>
      </c>
      <c r="C246" s="771" t="s">
        <v>14810</v>
      </c>
      <c r="D246" s="197"/>
      <c r="E246" s="857">
        <v>125</v>
      </c>
      <c r="F246" s="135"/>
      <c r="G246" s="1040"/>
    </row>
    <row r="247" spans="1:7">
      <c r="A247" s="884">
        <v>42675</v>
      </c>
      <c r="B247" s="138" t="str">
        <f>TiposLancamentos!B105</f>
        <v>Transf. Bco</v>
      </c>
      <c r="C247" s="771" t="s">
        <v>17443</v>
      </c>
      <c r="D247" s="197">
        <v>9300</v>
      </c>
      <c r="E247" s="857"/>
      <c r="F247" s="135"/>
      <c r="G247" s="1040"/>
    </row>
    <row r="248" spans="1:7">
      <c r="A248" s="884">
        <v>42675</v>
      </c>
      <c r="B248" s="138" t="str">
        <f>TiposLancamentos!B62</f>
        <v>Papelaria</v>
      </c>
      <c r="C248" s="771" t="s">
        <v>17444</v>
      </c>
      <c r="D248" s="197"/>
      <c r="E248" s="857">
        <v>8.56</v>
      </c>
      <c r="F248" s="135"/>
      <c r="G248" s="1040"/>
    </row>
    <row r="249" spans="1:7">
      <c r="A249" s="884">
        <v>42675</v>
      </c>
      <c r="B249" s="138" t="str">
        <f>TiposLancamentos!B4</f>
        <v>Taxas Bancarias</v>
      </c>
      <c r="C249" s="771" t="s">
        <v>17445</v>
      </c>
      <c r="D249" s="197"/>
      <c r="E249" s="857">
        <v>16.21</v>
      </c>
      <c r="F249" s="135"/>
      <c r="G249" s="1040"/>
    </row>
    <row r="250" spans="1:7">
      <c r="A250" s="884">
        <v>42675</v>
      </c>
      <c r="B250" s="138" t="str">
        <f>TiposLancamentos!B4</f>
        <v>Taxas Bancarias</v>
      </c>
      <c r="C250" s="771" t="s">
        <v>17446</v>
      </c>
      <c r="D250" s="197"/>
      <c r="E250" s="857">
        <v>41.4</v>
      </c>
      <c r="F250" s="135"/>
      <c r="G250" s="1040"/>
    </row>
    <row r="251" spans="1:7">
      <c r="A251" s="884">
        <v>42679</v>
      </c>
      <c r="B251" s="138" t="str">
        <f>TiposLancamentos!B19</f>
        <v>Restaurantes</v>
      </c>
      <c r="C251" s="771" t="s">
        <v>6455</v>
      </c>
      <c r="D251" s="197"/>
      <c r="E251" s="857">
        <v>10</v>
      </c>
      <c r="F251" s="135"/>
      <c r="G251" s="1040"/>
    </row>
    <row r="252" spans="1:7">
      <c r="A252" s="884">
        <v>42675</v>
      </c>
      <c r="B252" s="138" t="str">
        <f>TiposLancamentos!B103</f>
        <v>Juros_Corr. Poupança</v>
      </c>
      <c r="C252" s="771" t="s">
        <v>17394</v>
      </c>
      <c r="D252" s="197">
        <v>0.05</v>
      </c>
      <c r="E252" s="857"/>
      <c r="F252" s="135"/>
      <c r="G252" s="1040"/>
    </row>
    <row r="253" spans="1:7">
      <c r="A253" s="884">
        <v>42681</v>
      </c>
      <c r="B253" s="138" t="str">
        <f>TiposLancamentos!B60</f>
        <v>Correio</v>
      </c>
      <c r="C253" s="771" t="s">
        <v>17447</v>
      </c>
      <c r="D253" s="197"/>
      <c r="E253" s="857">
        <v>84.2</v>
      </c>
      <c r="F253" s="135"/>
      <c r="G253" s="1040"/>
    </row>
    <row r="254" spans="1:7">
      <c r="A254" s="884">
        <v>42681</v>
      </c>
      <c r="B254" s="138" t="str">
        <f>TiposLancamentos!B24</f>
        <v>Estacionamentos</v>
      </c>
      <c r="C254" s="771" t="s">
        <v>3253</v>
      </c>
      <c r="D254" s="197"/>
      <c r="E254" s="857">
        <v>5</v>
      </c>
      <c r="F254" s="135"/>
      <c r="G254" s="1040"/>
    </row>
    <row r="255" spans="1:7">
      <c r="A255" s="884">
        <v>42681</v>
      </c>
      <c r="B255" s="138" t="str">
        <f>TiposLancamentos!B103</f>
        <v>Juros_Corr. Poupança</v>
      </c>
      <c r="C255" s="771" t="s">
        <v>17394</v>
      </c>
      <c r="D255" s="197">
        <v>0.01</v>
      </c>
      <c r="E255" s="857"/>
      <c r="F255" s="135"/>
      <c r="G255" s="1040"/>
    </row>
    <row r="256" spans="1:7">
      <c r="A256" s="919">
        <v>42684</v>
      </c>
      <c r="B256" s="830" t="str">
        <f>TiposLancamentos!B8</f>
        <v>Aluguel</v>
      </c>
      <c r="C256" s="915" t="s">
        <v>6163</v>
      </c>
      <c r="D256" s="917"/>
      <c r="E256" s="920">
        <f>1757+4.8+1.5</f>
        <v>1763.3</v>
      </c>
      <c r="F256" s="135"/>
      <c r="G256" s="1040"/>
    </row>
    <row r="257" spans="1:7">
      <c r="A257" s="930">
        <v>42684</v>
      </c>
      <c r="B257" s="825" t="str">
        <f>TiposLancamentos!B12</f>
        <v>IPTU</v>
      </c>
      <c r="C257" s="88" t="s">
        <v>6876</v>
      </c>
      <c r="D257" s="828"/>
      <c r="E257" s="931">
        <v>130.66</v>
      </c>
      <c r="F257" s="135"/>
      <c r="G257" s="1040"/>
    </row>
    <row r="258" spans="1:7">
      <c r="A258" s="921">
        <v>42684</v>
      </c>
      <c r="B258" s="833" t="str">
        <f>TiposLancamentos!B34</f>
        <v>Seguros</v>
      </c>
      <c r="C258" s="916" t="s">
        <v>17448</v>
      </c>
      <c r="D258" s="918"/>
      <c r="E258" s="922">
        <v>262.04000000000002</v>
      </c>
      <c r="F258" s="135">
        <f>SUM(E256:E258)</f>
        <v>2156</v>
      </c>
      <c r="G258" s="1040"/>
    </row>
    <row r="259" spans="1:7">
      <c r="A259" s="884">
        <v>42684</v>
      </c>
      <c r="B259" s="138" t="str">
        <f>TiposLancamentos!B24</f>
        <v>Estacionamentos</v>
      </c>
      <c r="C259" s="771" t="s">
        <v>4589</v>
      </c>
      <c r="D259" s="197"/>
      <c r="E259" s="857">
        <v>170</v>
      </c>
      <c r="F259" s="135"/>
      <c r="G259" s="1040"/>
    </row>
    <row r="260" spans="1:7">
      <c r="A260" s="919">
        <v>42684</v>
      </c>
      <c r="B260" s="830" t="str">
        <f>TiposLancamentos!B35</f>
        <v>Tv à Cabo</v>
      </c>
      <c r="C260" s="915" t="s">
        <v>5834</v>
      </c>
      <c r="D260" s="917"/>
      <c r="E260" s="920">
        <v>120</v>
      </c>
      <c r="F260" s="135"/>
      <c r="G260" s="1040"/>
    </row>
    <row r="261" spans="1:7">
      <c r="A261" s="930">
        <v>42684</v>
      </c>
      <c r="B261" s="825" t="str">
        <f>TiposLancamentos!B3</f>
        <v>Internet</v>
      </c>
      <c r="C261" s="88" t="s">
        <v>5835</v>
      </c>
      <c r="D261" s="828"/>
      <c r="E261" s="931">
        <v>89.9</v>
      </c>
      <c r="F261" s="135"/>
      <c r="G261" s="1040"/>
    </row>
    <row r="262" spans="1:7">
      <c r="A262" s="921">
        <v>42684</v>
      </c>
      <c r="B262" s="833" t="str">
        <f>TiposLancamentos!B2</f>
        <v>Telefonia</v>
      </c>
      <c r="C262" s="916" t="s">
        <v>7210</v>
      </c>
      <c r="D262" s="918"/>
      <c r="E262" s="922">
        <v>0</v>
      </c>
      <c r="F262" s="135">
        <f>SUM(E260:E262)</f>
        <v>209.9</v>
      </c>
      <c r="G262" s="1040"/>
    </row>
    <row r="263" spans="1:7">
      <c r="A263" s="884">
        <v>42684</v>
      </c>
      <c r="B263" s="138" t="str">
        <f>TiposLancamentos!B103</f>
        <v>Juros_Corr. Poupança</v>
      </c>
      <c r="C263" s="771" t="s">
        <v>17394</v>
      </c>
      <c r="D263" s="197">
        <v>0.21</v>
      </c>
      <c r="E263" s="857"/>
      <c r="F263" s="135"/>
      <c r="G263" s="1040"/>
    </row>
    <row r="264" spans="1:7">
      <c r="A264" s="884">
        <v>42685</v>
      </c>
      <c r="B264" s="138" t="str">
        <f>TiposLancamentos!B59</f>
        <v>Documentos</v>
      </c>
      <c r="C264" s="771" t="s">
        <v>1208</v>
      </c>
      <c r="D264" s="197"/>
      <c r="E264" s="857">
        <v>257.25</v>
      </c>
      <c r="F264" s="135"/>
      <c r="G264" s="1040"/>
    </row>
    <row r="265" spans="1:7">
      <c r="A265" s="884">
        <v>42687</v>
      </c>
      <c r="B265" s="138" t="str">
        <f>TiposLancamentos!B5</f>
        <v>Supermercado</v>
      </c>
      <c r="C265" s="771" t="s">
        <v>17449</v>
      </c>
      <c r="D265" s="197"/>
      <c r="E265" s="857">
        <v>6.5</v>
      </c>
      <c r="F265" s="135"/>
      <c r="G265" s="1040"/>
    </row>
    <row r="266" spans="1:7">
      <c r="A266" s="884">
        <v>42687</v>
      </c>
      <c r="B266" s="138" t="str">
        <f>TiposLancamentos!B24</f>
        <v>Estacionamentos</v>
      </c>
      <c r="C266" s="771" t="s">
        <v>7466</v>
      </c>
      <c r="D266" s="197"/>
      <c r="E266" s="857">
        <v>20</v>
      </c>
      <c r="F266" s="135"/>
      <c r="G266" s="1040"/>
    </row>
    <row r="267" spans="1:7">
      <c r="A267" s="884">
        <v>42688</v>
      </c>
      <c r="B267" s="138" t="str">
        <f>TiposLancamentos!B95</f>
        <v>Salarios</v>
      </c>
      <c r="C267" s="771" t="s">
        <v>4916</v>
      </c>
      <c r="D267" s="197">
        <v>3469.39</v>
      </c>
      <c r="E267" s="857"/>
      <c r="F267" s="135"/>
      <c r="G267" s="1040"/>
    </row>
    <row r="268" spans="1:7">
      <c r="A268" s="884">
        <v>42688</v>
      </c>
      <c r="B268" s="138" t="str">
        <f>TiposLancamentos!B24</f>
        <v>Estacionamentos</v>
      </c>
      <c r="C268" s="771" t="s">
        <v>6193</v>
      </c>
      <c r="D268" s="197"/>
      <c r="E268" s="857">
        <v>32</v>
      </c>
      <c r="F268" s="135"/>
      <c r="G268" s="1040"/>
    </row>
    <row r="269" spans="1:7">
      <c r="A269" s="884">
        <v>42689</v>
      </c>
      <c r="B269" s="138" t="str">
        <f>TiposLancamentos!B19</f>
        <v>Restaurantes</v>
      </c>
      <c r="C269" s="771" t="s">
        <v>6413</v>
      </c>
      <c r="D269" s="197"/>
      <c r="E269" s="857">
        <v>66.55</v>
      </c>
      <c r="F269" s="135"/>
      <c r="G269" s="1040"/>
    </row>
    <row r="270" spans="1:7">
      <c r="A270" s="919">
        <v>42689</v>
      </c>
      <c r="B270" s="830" t="str">
        <f>TiposLancamentos!B33</f>
        <v>Pedágios</v>
      </c>
      <c r="C270" s="915" t="s">
        <v>5392</v>
      </c>
      <c r="D270" s="917"/>
      <c r="E270" s="920">
        <v>38.15</v>
      </c>
      <c r="F270" s="135"/>
      <c r="G270" s="1040"/>
    </row>
    <row r="271" spans="1:7">
      <c r="A271" s="930">
        <v>42689</v>
      </c>
      <c r="B271" s="825" t="str">
        <f>TiposLancamentos!B24</f>
        <v>Estacionamentos</v>
      </c>
      <c r="C271" s="88" t="s">
        <v>5863</v>
      </c>
      <c r="D271" s="828"/>
      <c r="E271" s="931">
        <v>34</v>
      </c>
      <c r="F271" s="135"/>
      <c r="G271" s="1040"/>
    </row>
    <row r="272" spans="1:7">
      <c r="A272" s="921">
        <v>42689</v>
      </c>
      <c r="B272" s="833" t="str">
        <f>TiposLancamentos!B24</f>
        <v>Estacionamentos</v>
      </c>
      <c r="C272" s="916" t="s">
        <v>6297</v>
      </c>
      <c r="D272" s="918"/>
      <c r="E272" s="922">
        <v>10</v>
      </c>
      <c r="F272" s="135">
        <f>SUM(E270:E272)</f>
        <v>82.15</v>
      </c>
      <c r="G272" s="1040"/>
    </row>
    <row r="273" spans="1:7">
      <c r="A273" s="884">
        <v>42690</v>
      </c>
      <c r="B273" s="138" t="str">
        <f>TiposLancamentos!B59</f>
        <v>Documentos</v>
      </c>
      <c r="C273" s="771" t="s">
        <v>17450</v>
      </c>
      <c r="D273" s="197"/>
      <c r="E273" s="857">
        <v>35.33</v>
      </c>
      <c r="F273" s="135"/>
      <c r="G273" s="1040"/>
    </row>
    <row r="274" spans="1:7">
      <c r="A274" s="884">
        <v>42690</v>
      </c>
      <c r="B274" s="138" t="str">
        <f>TiposLancamentos!B19</f>
        <v>Restaurantes</v>
      </c>
      <c r="C274" s="771" t="s">
        <v>17451</v>
      </c>
      <c r="D274" s="197"/>
      <c r="E274" s="857">
        <v>16.600000000000001</v>
      </c>
      <c r="F274" s="135"/>
      <c r="G274" s="1040"/>
    </row>
    <row r="275" spans="1:7">
      <c r="A275" s="884">
        <v>42692</v>
      </c>
      <c r="B275" s="138" t="str">
        <f>TiposLancamentos!B21</f>
        <v>Transf. Poupanca</v>
      </c>
      <c r="C275" s="771" t="s">
        <v>17452</v>
      </c>
      <c r="D275" s="197"/>
      <c r="E275" s="857">
        <v>50</v>
      </c>
      <c r="F275" s="135"/>
      <c r="G275" s="1040"/>
    </row>
    <row r="276" spans="1:7">
      <c r="A276" s="884">
        <v>42696</v>
      </c>
      <c r="B276" s="138" t="str">
        <f>TiposLancamentos!B17</f>
        <v>GATO</v>
      </c>
      <c r="C276" s="771" t="s">
        <v>17453</v>
      </c>
      <c r="D276" s="197"/>
      <c r="E276" s="857">
        <v>10.5</v>
      </c>
      <c r="F276" s="135"/>
      <c r="G276" s="1040"/>
    </row>
    <row r="277" spans="1:7">
      <c r="A277" s="884">
        <v>42727</v>
      </c>
      <c r="B277" s="138" t="str">
        <f>TiposLancamentos!B71</f>
        <v>Itens Pessoais</v>
      </c>
      <c r="C277" s="771" t="s">
        <v>17454</v>
      </c>
      <c r="D277" s="197"/>
      <c r="E277" s="857">
        <v>4.9000000000000004</v>
      </c>
      <c r="F277" s="135"/>
      <c r="G277" s="1040"/>
    </row>
    <row r="278" spans="1:7">
      <c r="A278" s="884">
        <v>42698</v>
      </c>
      <c r="B278" s="138" t="str">
        <f>TiposLancamentos!B19</f>
        <v>Restaurantes</v>
      </c>
      <c r="C278" s="771" t="s">
        <v>17455</v>
      </c>
      <c r="D278" s="197"/>
      <c r="E278" s="857">
        <v>9</v>
      </c>
      <c r="F278" s="135"/>
      <c r="G278" s="1040"/>
    </row>
    <row r="279" spans="1:7">
      <c r="A279" s="884">
        <v>42699</v>
      </c>
      <c r="B279" s="138" t="str">
        <f>TiposLancamentos!B34</f>
        <v>Seguros</v>
      </c>
      <c r="C279" s="771" t="s">
        <v>17456</v>
      </c>
      <c r="D279" s="197"/>
      <c r="E279" s="857">
        <v>71</v>
      </c>
      <c r="F279" s="135"/>
      <c r="G279" s="1040"/>
    </row>
    <row r="280" spans="1:7">
      <c r="A280" s="884">
        <v>42699</v>
      </c>
      <c r="B280" s="138" t="str">
        <f>TiposLancamentos!B103</f>
        <v>Juros_Corr. Poupança</v>
      </c>
      <c r="C280" s="771" t="s">
        <v>17394</v>
      </c>
      <c r="D280" s="197">
        <v>0.01</v>
      </c>
      <c r="E280" s="857"/>
      <c r="F280" s="135"/>
      <c r="G280" s="1040"/>
    </row>
    <row r="281" spans="1:7">
      <c r="A281" s="884">
        <v>42700</v>
      </c>
      <c r="B281" s="138" t="str">
        <f>TiposLancamentos!B24</f>
        <v>Estacionamentos</v>
      </c>
      <c r="C281" s="771" t="s">
        <v>3398</v>
      </c>
      <c r="D281" s="197"/>
      <c r="E281" s="857">
        <v>10</v>
      </c>
      <c r="F281" s="135"/>
      <c r="G281" s="1040"/>
    </row>
    <row r="282" spans="1:7">
      <c r="A282" s="884">
        <v>42700</v>
      </c>
      <c r="B282" s="138" t="str">
        <f>TiposLancamentos!B6</f>
        <v>Energia Eletrica</v>
      </c>
      <c r="C282" s="771" t="s">
        <v>5191</v>
      </c>
      <c r="D282" s="197"/>
      <c r="E282" s="857">
        <v>186.6</v>
      </c>
      <c r="F282" s="135"/>
      <c r="G282" s="1040"/>
    </row>
    <row r="283" spans="1:7">
      <c r="A283" s="884">
        <v>42703</v>
      </c>
      <c r="B283" s="138" t="str">
        <f>TiposLancamentos!B103</f>
        <v>Juros_Corr. Poupança</v>
      </c>
      <c r="C283" s="771" t="s">
        <v>17394</v>
      </c>
      <c r="D283" s="197">
        <v>0.06</v>
      </c>
      <c r="E283" s="857"/>
      <c r="F283" s="135"/>
      <c r="G283" s="1040"/>
    </row>
    <row r="284" spans="1:7">
      <c r="A284" s="884">
        <v>42704</v>
      </c>
      <c r="B284" s="138" t="str">
        <f>TiposLancamentos!B87</f>
        <v>P207-1.6-XS</v>
      </c>
      <c r="C284" s="771" t="s">
        <v>17457</v>
      </c>
      <c r="D284" s="197"/>
      <c r="E284" s="857">
        <v>370</v>
      </c>
      <c r="F284" s="135"/>
      <c r="G284" s="1040"/>
    </row>
    <row r="285" spans="1:7">
      <c r="A285" s="884">
        <v>42704</v>
      </c>
      <c r="B285" s="138" t="str">
        <f>TiposLancamentos!B56</f>
        <v>Farmácia</v>
      </c>
      <c r="C285" s="771" t="s">
        <v>17458</v>
      </c>
      <c r="D285" s="197"/>
      <c r="E285" s="857">
        <v>148.15</v>
      </c>
      <c r="F285" s="135"/>
      <c r="G285" s="1040"/>
    </row>
    <row r="286" spans="1:7">
      <c r="A286" s="884">
        <v>42704</v>
      </c>
      <c r="B286" s="138" t="str">
        <f>TiposLancamentos!B95</f>
        <v>Salarios</v>
      </c>
      <c r="C286" s="771" t="s">
        <v>17362</v>
      </c>
      <c r="D286" s="197">
        <v>11121.3</v>
      </c>
      <c r="E286" s="857"/>
      <c r="F286" s="135"/>
      <c r="G286" s="1040"/>
    </row>
    <row r="287" spans="1:7" ht="14.25" thickBot="1">
      <c r="A287" s="884">
        <v>42704</v>
      </c>
      <c r="B287" s="138" t="str">
        <f>TiposLancamentos!B19</f>
        <v>Restaurantes</v>
      </c>
      <c r="C287" s="771" t="s">
        <v>11114</v>
      </c>
      <c r="D287" s="197"/>
      <c r="E287" s="857">
        <v>66.900000000000006</v>
      </c>
      <c r="F287" s="135"/>
      <c r="G287" s="1040"/>
    </row>
    <row r="288" spans="1:7">
      <c r="A288" s="967"/>
      <c r="B288" s="968"/>
      <c r="C288" s="1093" t="s">
        <v>7316</v>
      </c>
      <c r="D288" s="970"/>
      <c r="E288" s="971"/>
      <c r="F288" s="1712"/>
      <c r="G288" s="1039"/>
    </row>
    <row r="289" spans="1:7">
      <c r="A289" s="884">
        <v>42705</v>
      </c>
      <c r="B289" s="138" t="str">
        <f>TiposLancamentos!B15</f>
        <v>Cartões de Crédito</v>
      </c>
      <c r="C289" s="771" t="s">
        <v>17459</v>
      </c>
      <c r="D289" s="197"/>
      <c r="E289" s="857">
        <v>1948.67</v>
      </c>
      <c r="F289" s="135"/>
      <c r="G289" s="1040"/>
    </row>
    <row r="290" spans="1:7">
      <c r="A290" s="884">
        <v>42705</v>
      </c>
      <c r="B290" s="138" t="str">
        <f>TiposLancamentos!B15</f>
        <v>Cartões de Crédito</v>
      </c>
      <c r="C290" s="771" t="s">
        <v>8252</v>
      </c>
      <c r="D290" s="197"/>
      <c r="E290" s="857">
        <v>3736.06</v>
      </c>
      <c r="F290" s="135"/>
      <c r="G290" s="1040"/>
    </row>
    <row r="291" spans="1:7">
      <c r="A291" s="884">
        <v>42705</v>
      </c>
      <c r="B291" s="138" t="str">
        <f>TiposLancamentos!B15</f>
        <v>Cartões de Crédito</v>
      </c>
      <c r="C291" s="771" t="s">
        <v>17460</v>
      </c>
      <c r="D291" s="197"/>
      <c r="E291" s="857">
        <v>1397.47</v>
      </c>
      <c r="F291" s="135"/>
      <c r="G291" s="1040"/>
    </row>
    <row r="292" spans="1:7">
      <c r="A292" s="884">
        <v>42705</v>
      </c>
      <c r="B292" s="138" t="str">
        <f>TiposLancamentos!B103</f>
        <v>Juros_Corr. Poupança</v>
      </c>
      <c r="C292" s="771" t="s">
        <v>17394</v>
      </c>
      <c r="D292" s="197">
        <v>0.47</v>
      </c>
      <c r="E292" s="857"/>
      <c r="F292" s="135"/>
      <c r="G292" s="1040"/>
    </row>
    <row r="293" spans="1:7">
      <c r="A293" s="884">
        <v>42705</v>
      </c>
      <c r="B293" s="138" t="str">
        <f>TiposLancamentos!B4</f>
        <v>Taxas Bancarias</v>
      </c>
      <c r="C293" s="771" t="s">
        <v>17461</v>
      </c>
      <c r="D293" s="197"/>
      <c r="E293" s="857">
        <v>0.65</v>
      </c>
      <c r="F293" s="135"/>
      <c r="G293" s="1040"/>
    </row>
    <row r="294" spans="1:7">
      <c r="A294" s="884">
        <v>42705</v>
      </c>
      <c r="B294" s="138" t="str">
        <f>TiposLancamentos!B4</f>
        <v>Taxas Bancarias</v>
      </c>
      <c r="C294" s="771" t="s">
        <v>17462</v>
      </c>
      <c r="D294" s="197"/>
      <c r="E294" s="857">
        <v>7.82</v>
      </c>
      <c r="F294" s="135"/>
      <c r="G294" s="1040"/>
    </row>
    <row r="295" spans="1:7">
      <c r="A295" s="884">
        <v>42706</v>
      </c>
      <c r="B295" s="138" t="str">
        <f>TiposLancamentos!B57</f>
        <v>Informática</v>
      </c>
      <c r="C295" s="771" t="s">
        <v>17463</v>
      </c>
      <c r="D295" s="197"/>
      <c r="E295" s="857">
        <v>2100</v>
      </c>
      <c r="F295" s="135"/>
      <c r="G295" s="1040"/>
    </row>
    <row r="296" spans="1:7">
      <c r="A296" s="884">
        <v>42706</v>
      </c>
      <c r="B296" s="138" t="str">
        <f>TiposLancamentos!B64</f>
        <v>Viagens</v>
      </c>
      <c r="C296" s="771" t="s">
        <v>17464</v>
      </c>
      <c r="D296" s="197"/>
      <c r="E296" s="857">
        <v>68</v>
      </c>
      <c r="F296" s="135"/>
      <c r="G296" s="1040"/>
    </row>
    <row r="297" spans="1:7">
      <c r="A297" s="884">
        <v>42706</v>
      </c>
      <c r="B297" s="138" t="str">
        <f>TiposLancamentos!B24</f>
        <v>Estacionamentos</v>
      </c>
      <c r="C297" s="771" t="s">
        <v>10823</v>
      </c>
      <c r="D297" s="197"/>
      <c r="E297" s="857">
        <v>13</v>
      </c>
      <c r="F297" s="135"/>
      <c r="G297" s="1040"/>
    </row>
    <row r="298" spans="1:7">
      <c r="A298" s="884">
        <v>42706</v>
      </c>
      <c r="B298" s="138" t="str">
        <f>TiposLancamentos!B103</f>
        <v>Juros_Corr. Poupança</v>
      </c>
      <c r="C298" s="771" t="s">
        <v>17394</v>
      </c>
      <c r="D298" s="197">
        <v>0.03</v>
      </c>
      <c r="E298" s="857"/>
      <c r="F298" s="135"/>
      <c r="G298" s="1040"/>
    </row>
    <row r="299" spans="1:7">
      <c r="A299" s="884">
        <v>42707</v>
      </c>
      <c r="B299" s="138" t="str">
        <f>TiposLancamentos!B19</f>
        <v>Restaurantes</v>
      </c>
      <c r="C299" s="771" t="s">
        <v>6413</v>
      </c>
      <c r="D299" s="197"/>
      <c r="E299" s="857">
        <v>73.150000000000006</v>
      </c>
      <c r="F299" s="135"/>
      <c r="G299" s="1040"/>
    </row>
    <row r="300" spans="1:7">
      <c r="A300" s="884">
        <v>42708</v>
      </c>
      <c r="B300" s="138" t="str">
        <f>TiposLancamentos!B18</f>
        <v>Alimentacao</v>
      </c>
      <c r="C300" s="771" t="s">
        <v>17465</v>
      </c>
      <c r="D300" s="197"/>
      <c r="E300" s="857">
        <v>28</v>
      </c>
      <c r="F300" s="135"/>
      <c r="G300" s="1040"/>
    </row>
    <row r="301" spans="1:7">
      <c r="A301" s="884">
        <v>42708</v>
      </c>
      <c r="B301" s="138" t="str">
        <f>TiposLancamentos!B4</f>
        <v>Taxas Bancarias</v>
      </c>
      <c r="C301" s="771" t="s">
        <v>8274</v>
      </c>
      <c r="D301" s="197"/>
      <c r="E301" s="857">
        <v>33.46</v>
      </c>
      <c r="F301" s="135"/>
      <c r="G301" s="1040"/>
    </row>
    <row r="302" spans="1:7">
      <c r="A302" s="884">
        <v>42710</v>
      </c>
      <c r="B302" s="138" t="str">
        <f>TiposLancamentos!B9</f>
        <v>Condominio</v>
      </c>
      <c r="C302" s="771" t="s">
        <v>1684</v>
      </c>
      <c r="D302" s="197"/>
      <c r="E302" s="857">
        <v>1221.02</v>
      </c>
      <c r="F302" s="135"/>
      <c r="G302" s="1040"/>
    </row>
    <row r="303" spans="1:7">
      <c r="A303" s="884">
        <v>42710</v>
      </c>
      <c r="B303" s="138" t="str">
        <f>TiposLancamentos!B103</f>
        <v>Juros_Corr. Poupança</v>
      </c>
      <c r="C303" s="771" t="s">
        <v>17394</v>
      </c>
      <c r="D303" s="197">
        <v>0.08</v>
      </c>
      <c r="E303" s="857"/>
      <c r="F303" s="135"/>
      <c r="G303" s="1040"/>
    </row>
    <row r="304" spans="1:7">
      <c r="A304" s="884">
        <v>42711</v>
      </c>
      <c r="B304" s="138" t="str">
        <f>TiposLancamentos!B2</f>
        <v>Telefonia</v>
      </c>
      <c r="C304" s="771" t="s">
        <v>6318</v>
      </c>
      <c r="D304" s="197"/>
      <c r="E304" s="857">
        <v>125</v>
      </c>
      <c r="F304" s="135"/>
      <c r="G304" s="1040"/>
    </row>
    <row r="305" spans="1:7">
      <c r="A305" s="884">
        <v>42712</v>
      </c>
      <c r="B305" s="138" t="str">
        <f>TiposLancamentos!B95</f>
        <v>Salarios</v>
      </c>
      <c r="C305" s="771" t="s">
        <v>17466</v>
      </c>
      <c r="D305" s="197">
        <v>14648.79</v>
      </c>
      <c r="E305" s="857"/>
      <c r="F305" s="135"/>
      <c r="G305" s="1040"/>
    </row>
    <row r="306" spans="1:7">
      <c r="A306" s="884">
        <v>42711</v>
      </c>
      <c r="B306" s="138" t="str">
        <f>TiposLancamentos!B103</f>
        <v>Juros_Corr. Poupança</v>
      </c>
      <c r="C306" s="771" t="s">
        <v>17394</v>
      </c>
      <c r="D306" s="197">
        <v>0.01</v>
      </c>
      <c r="E306" s="857"/>
      <c r="F306" s="135"/>
      <c r="G306" s="1040"/>
    </row>
    <row r="307" spans="1:7">
      <c r="A307" s="884">
        <v>42712</v>
      </c>
      <c r="B307" s="138" t="str">
        <f>TiposLancamentos!B24</f>
        <v>Estacionamentos</v>
      </c>
      <c r="C307" s="771" t="s">
        <v>17467</v>
      </c>
      <c r="D307" s="197"/>
      <c r="E307" s="857">
        <v>200</v>
      </c>
      <c r="F307" s="135"/>
      <c r="G307" s="1040"/>
    </row>
    <row r="308" spans="1:7">
      <c r="A308" s="884">
        <v>42713</v>
      </c>
      <c r="B308" s="138" t="str">
        <f>TiposLancamentos!B64</f>
        <v>Viagens</v>
      </c>
      <c r="C308" s="771" t="s">
        <v>17468</v>
      </c>
      <c r="D308" s="197"/>
      <c r="E308" s="857">
        <v>2665.4</v>
      </c>
      <c r="F308" s="135"/>
      <c r="G308" s="1040"/>
    </row>
    <row r="309" spans="1:7">
      <c r="A309" s="884">
        <v>42713</v>
      </c>
      <c r="B309" s="138" t="str">
        <f>TiposLancamentos!B105</f>
        <v>Transf. Bco</v>
      </c>
      <c r="C309" s="771" t="s">
        <v>17469</v>
      </c>
      <c r="D309" s="197"/>
      <c r="E309" s="857">
        <v>133.62</v>
      </c>
      <c r="F309" s="135"/>
      <c r="G309" s="1040"/>
    </row>
    <row r="310" spans="1:7">
      <c r="A310" s="884">
        <v>42713</v>
      </c>
      <c r="B310" s="138" t="str">
        <f>TiposLancamentos!B105</f>
        <v>Transf. Bco</v>
      </c>
      <c r="C310" s="771" t="s">
        <v>17470</v>
      </c>
      <c r="D310" s="197">
        <v>928.1</v>
      </c>
      <c r="E310" s="857"/>
      <c r="F310" s="135"/>
      <c r="G310" s="1040"/>
    </row>
    <row r="311" spans="1:7">
      <c r="A311" s="884">
        <v>42713</v>
      </c>
      <c r="B311" s="138" t="str">
        <f>TiposLancamentos!B16</f>
        <v>Cristiane</v>
      </c>
      <c r="C311" s="771" t="s">
        <v>17471</v>
      </c>
      <c r="D311" s="197"/>
      <c r="E311" s="857">
        <v>36.770000000000003</v>
      </c>
      <c r="F311" s="135"/>
      <c r="G311" s="1040"/>
    </row>
    <row r="312" spans="1:7">
      <c r="A312" s="884">
        <v>42713</v>
      </c>
      <c r="B312" s="138" t="str">
        <f>TiposLancamentos!B103</f>
        <v>Juros_Corr. Poupança</v>
      </c>
      <c r="C312" s="771" t="s">
        <v>17394</v>
      </c>
      <c r="D312" s="197">
        <v>0.11</v>
      </c>
      <c r="E312" s="857"/>
      <c r="F312" s="135"/>
      <c r="G312" s="1040"/>
    </row>
    <row r="313" spans="1:7">
      <c r="A313" s="884">
        <v>42714</v>
      </c>
      <c r="B313" s="138" t="str">
        <f>TiposLancamentos!B72</f>
        <v>Presentes</v>
      </c>
      <c r="C313" s="771" t="s">
        <v>17472</v>
      </c>
      <c r="D313" s="197"/>
      <c r="E313" s="857">
        <v>437.5</v>
      </c>
      <c r="F313" s="135"/>
      <c r="G313" s="1040"/>
    </row>
    <row r="314" spans="1:7">
      <c r="A314" s="884">
        <v>42714</v>
      </c>
      <c r="B314" s="138" t="str">
        <f>TiposLancamentos!B16</f>
        <v>Cristiane</v>
      </c>
      <c r="C314" s="771" t="s">
        <v>17473</v>
      </c>
      <c r="D314" s="197"/>
      <c r="E314" s="857">
        <v>89.97</v>
      </c>
      <c r="F314" s="135"/>
      <c r="G314" s="1040"/>
    </row>
    <row r="315" spans="1:7">
      <c r="A315" s="884">
        <v>42714</v>
      </c>
      <c r="B315" s="138" t="str">
        <f>TiposLancamentos!B19</f>
        <v>Restaurantes</v>
      </c>
      <c r="C315" s="771" t="s">
        <v>17474</v>
      </c>
      <c r="D315" s="197"/>
      <c r="E315" s="857">
        <v>13.4</v>
      </c>
      <c r="F315" s="135"/>
      <c r="G315" s="1040"/>
    </row>
    <row r="316" spans="1:7">
      <c r="A316" s="919">
        <v>42714</v>
      </c>
      <c r="B316" s="830" t="str">
        <f>TiposLancamentos!B38</f>
        <v>Playstation 4</v>
      </c>
      <c r="C316" s="915" t="s">
        <v>17475</v>
      </c>
      <c r="D316" s="917"/>
      <c r="E316" s="920">
        <f>F317-E317</f>
        <v>1799</v>
      </c>
      <c r="F316" s="135"/>
      <c r="G316" s="1040"/>
    </row>
    <row r="317" spans="1:7">
      <c r="A317" s="921">
        <v>42714</v>
      </c>
      <c r="B317" s="833" t="str">
        <f>TiposLancamentos!B38</f>
        <v>Playstation 4</v>
      </c>
      <c r="C317" s="916" t="s">
        <v>17476</v>
      </c>
      <c r="D317" s="918"/>
      <c r="E317" s="922">
        <v>179.9</v>
      </c>
      <c r="F317" s="135">
        <v>1978.9</v>
      </c>
      <c r="G317" s="1040"/>
    </row>
    <row r="318" spans="1:7">
      <c r="A318" s="884">
        <v>42714</v>
      </c>
      <c r="B318" s="138" t="str">
        <f>TiposLancamentos!B19</f>
        <v>Restaurantes</v>
      </c>
      <c r="C318" s="771" t="s">
        <v>17477</v>
      </c>
      <c r="D318" s="197"/>
      <c r="E318" s="857">
        <v>63.93</v>
      </c>
      <c r="F318" s="135"/>
      <c r="G318" s="1040"/>
    </row>
    <row r="319" spans="1:7">
      <c r="A319" s="884">
        <v>42715</v>
      </c>
      <c r="B319" s="138" t="str">
        <f>TiposLancamentos!B5</f>
        <v>Supermercado</v>
      </c>
      <c r="C319" s="771" t="s">
        <v>6201</v>
      </c>
      <c r="D319" s="197"/>
      <c r="E319" s="857">
        <v>29.52</v>
      </c>
      <c r="F319" s="135"/>
      <c r="G319" s="1040"/>
    </row>
    <row r="320" spans="1:7">
      <c r="A320" s="884">
        <v>42715</v>
      </c>
      <c r="B320" s="138" t="str">
        <f>TiposLancamentos!B16</f>
        <v>Cristiane</v>
      </c>
      <c r="C320" s="771" t="s">
        <v>17478</v>
      </c>
      <c r="D320" s="197"/>
      <c r="E320" s="857">
        <v>29.97</v>
      </c>
      <c r="F320" s="135"/>
      <c r="G320" s="1040"/>
    </row>
    <row r="321" spans="1:7">
      <c r="A321" s="884">
        <v>42715</v>
      </c>
      <c r="B321" s="138" t="str">
        <f>TiposLancamentos!B70</f>
        <v>Vestuário</v>
      </c>
      <c r="C321" s="771" t="s">
        <v>17479</v>
      </c>
      <c r="D321" s="197"/>
      <c r="E321" s="857">
        <v>249.97</v>
      </c>
      <c r="F321" s="135"/>
      <c r="G321" s="1040"/>
    </row>
    <row r="322" spans="1:7">
      <c r="A322" s="884">
        <v>42715</v>
      </c>
      <c r="B322" s="138" t="str">
        <f>TiposLancamentos!B70</f>
        <v>Vestuário</v>
      </c>
      <c r="C322" s="771" t="s">
        <v>17480</v>
      </c>
      <c r="D322" s="197"/>
      <c r="E322" s="857">
        <v>549.9</v>
      </c>
      <c r="F322" s="135"/>
      <c r="G322" s="1040"/>
    </row>
    <row r="323" spans="1:7">
      <c r="A323" s="884">
        <v>42715</v>
      </c>
      <c r="B323" s="138" t="str">
        <f>TiposLancamentos!B19</f>
        <v>Restaurantes</v>
      </c>
      <c r="C323" s="771" t="s">
        <v>11245</v>
      </c>
      <c r="D323" s="197"/>
      <c r="E323" s="857">
        <v>117.15</v>
      </c>
      <c r="F323" s="135"/>
      <c r="G323" s="1040"/>
    </row>
    <row r="324" spans="1:7">
      <c r="A324" s="919">
        <v>42716</v>
      </c>
      <c r="B324" s="830" t="str">
        <f>TiposLancamentos!B8</f>
        <v>Aluguel</v>
      </c>
      <c r="C324" s="915" t="s">
        <v>6163</v>
      </c>
      <c r="D324" s="917"/>
      <c r="E324" s="920">
        <f>1757+4.8+1.5</f>
        <v>1763.3</v>
      </c>
      <c r="F324" s="135"/>
      <c r="G324" s="1040"/>
    </row>
    <row r="325" spans="1:7">
      <c r="A325" s="930">
        <v>42716</v>
      </c>
      <c r="B325" s="825" t="str">
        <f>TiposLancamentos!B12</f>
        <v>IPTU</v>
      </c>
      <c r="C325" s="88" t="s">
        <v>17481</v>
      </c>
      <c r="D325" s="828"/>
      <c r="E325" s="931">
        <v>0</v>
      </c>
      <c r="F325" s="135"/>
      <c r="G325" s="1040"/>
    </row>
    <row r="326" spans="1:7">
      <c r="A326" s="921">
        <v>42716</v>
      </c>
      <c r="B326" s="833" t="str">
        <f>TiposLancamentos!B34</f>
        <v>Seguros</v>
      </c>
      <c r="C326" s="916" t="s">
        <v>17482</v>
      </c>
      <c r="D326" s="918"/>
      <c r="E326" s="922">
        <v>262.04000000000002</v>
      </c>
      <c r="F326" s="135">
        <f>SUM(E324:E326)</f>
        <v>2025.34</v>
      </c>
      <c r="G326" s="1040"/>
    </row>
    <row r="327" spans="1:7">
      <c r="A327" s="884">
        <v>42716</v>
      </c>
      <c r="B327" s="138" t="str">
        <f>TiposLancamentos!B64</f>
        <v>Viagens</v>
      </c>
      <c r="C327" s="771" t="s">
        <v>17483</v>
      </c>
      <c r="D327" s="197"/>
      <c r="E327" s="857">
        <v>2013</v>
      </c>
      <c r="F327" s="135"/>
      <c r="G327" s="1040"/>
    </row>
    <row r="328" spans="1:7">
      <c r="A328" s="1647">
        <v>42716</v>
      </c>
      <c r="B328" s="138" t="str">
        <f>TiposLancamentos!B18</f>
        <v>Alimentacao</v>
      </c>
      <c r="C328" s="771" t="s">
        <v>17484</v>
      </c>
      <c r="D328" s="197"/>
      <c r="E328" s="857">
        <v>10</v>
      </c>
      <c r="F328" s="135"/>
      <c r="G328" s="1040"/>
    </row>
    <row r="329" spans="1:7">
      <c r="A329" s="1647">
        <v>42716</v>
      </c>
      <c r="B329" s="138" t="str">
        <f>TiposLancamentos!B103</f>
        <v>Juros_Corr. Poupança</v>
      </c>
      <c r="C329" s="771" t="s">
        <v>17394</v>
      </c>
      <c r="D329" s="197">
        <v>0.17</v>
      </c>
      <c r="E329" s="857"/>
      <c r="F329" s="135"/>
      <c r="G329" s="1040"/>
    </row>
    <row r="330" spans="1:7">
      <c r="A330" s="884">
        <v>42717</v>
      </c>
      <c r="B330" s="138" t="str">
        <f>TiposLancamentos!B56</f>
        <v>Farmácia</v>
      </c>
      <c r="C330" s="771" t="s">
        <v>17485</v>
      </c>
      <c r="D330" s="197"/>
      <c r="E330" s="857">
        <v>304</v>
      </c>
      <c r="F330" s="135"/>
      <c r="G330" s="1040"/>
    </row>
    <row r="331" spans="1:7">
      <c r="A331" s="884">
        <v>42717</v>
      </c>
      <c r="B331" s="138" t="str">
        <f>TiposLancamentos!B71</f>
        <v>Itens Pessoais</v>
      </c>
      <c r="C331" s="771" t="s">
        <v>7698</v>
      </c>
      <c r="D331" s="197"/>
      <c r="E331" s="857">
        <v>25</v>
      </c>
      <c r="F331" s="135"/>
      <c r="G331" s="1040"/>
    </row>
    <row r="332" spans="1:7">
      <c r="A332" s="884">
        <v>42717</v>
      </c>
      <c r="B332" s="138" t="str">
        <f>TiposLancamentos!B70</f>
        <v>Vestuário</v>
      </c>
      <c r="C332" s="771" t="s">
        <v>17486</v>
      </c>
      <c r="D332" s="197"/>
      <c r="E332" s="857">
        <v>64.8</v>
      </c>
      <c r="F332" s="135"/>
      <c r="G332" s="1040"/>
    </row>
    <row r="333" spans="1:7">
      <c r="A333" s="884">
        <v>42717</v>
      </c>
      <c r="B333" s="138" t="str">
        <f>TiposLancamentos!B57</f>
        <v>Informática</v>
      </c>
      <c r="C333" s="771" t="s">
        <v>17487</v>
      </c>
      <c r="D333" s="197"/>
      <c r="E333" s="857">
        <v>79.900000000000006</v>
      </c>
      <c r="F333" s="135"/>
      <c r="G333" s="1040"/>
    </row>
    <row r="334" spans="1:7">
      <c r="A334" s="884">
        <v>42717</v>
      </c>
      <c r="B334" s="138" t="str">
        <f>TiposLancamentos!B70</f>
        <v>Vestuário</v>
      </c>
      <c r="C334" s="771" t="s">
        <v>17488</v>
      </c>
      <c r="D334" s="197"/>
      <c r="E334" s="857">
        <v>40</v>
      </c>
      <c r="F334" s="135"/>
      <c r="G334" s="1040"/>
    </row>
    <row r="335" spans="1:7">
      <c r="A335" s="884">
        <v>42717</v>
      </c>
      <c r="B335" s="138" t="str">
        <f>TiposLancamentos!B5</f>
        <v>Supermercado</v>
      </c>
      <c r="C335" s="771" t="s">
        <v>17489</v>
      </c>
      <c r="D335" s="197"/>
      <c r="E335" s="857">
        <v>45.47</v>
      </c>
      <c r="F335" s="135"/>
      <c r="G335" s="1040"/>
    </row>
    <row r="336" spans="1:7">
      <c r="A336" s="884">
        <v>42717</v>
      </c>
      <c r="B336" s="138" t="str">
        <f>TiposLancamentos!B24</f>
        <v>Estacionamentos</v>
      </c>
      <c r="C336" s="771" t="s">
        <v>3253</v>
      </c>
      <c r="D336" s="197"/>
      <c r="E336" s="857">
        <v>10</v>
      </c>
      <c r="F336" s="135"/>
      <c r="G336" s="1040"/>
    </row>
    <row r="337" spans="1:7">
      <c r="A337" s="884">
        <v>42717</v>
      </c>
      <c r="B337" s="138" t="str">
        <f>TiposLancamentos!B103</f>
        <v>Juros_Corr. Poupança</v>
      </c>
      <c r="C337" s="771" t="s">
        <v>17394</v>
      </c>
      <c r="D337" s="197">
        <v>0.02</v>
      </c>
      <c r="E337" s="857"/>
      <c r="F337" s="135"/>
      <c r="G337" s="1040"/>
    </row>
    <row r="338" spans="1:7">
      <c r="A338" s="884">
        <v>42718</v>
      </c>
      <c r="B338" s="138" t="str">
        <f>TiposLancamentos!B64</f>
        <v>Viagens</v>
      </c>
      <c r="C338" s="771" t="s">
        <v>17490</v>
      </c>
      <c r="D338" s="197"/>
      <c r="E338" s="857">
        <v>720.02</v>
      </c>
      <c r="F338" s="135"/>
      <c r="G338" s="1040"/>
    </row>
    <row r="339" spans="1:7">
      <c r="A339" s="884">
        <v>42718</v>
      </c>
      <c r="B339" s="138" t="str">
        <f>TiposLancamentos!B56</f>
        <v>Farmácia</v>
      </c>
      <c r="C339" s="771" t="s">
        <v>17491</v>
      </c>
      <c r="D339" s="197"/>
      <c r="E339" s="857">
        <v>115.76</v>
      </c>
      <c r="F339" s="135"/>
      <c r="G339" s="1040"/>
    </row>
    <row r="340" spans="1:7">
      <c r="A340" s="884">
        <v>42718</v>
      </c>
      <c r="B340" s="138" t="str">
        <f>TiposLancamentos!B16</f>
        <v>Cristiane</v>
      </c>
      <c r="C340" s="771" t="s">
        <v>17492</v>
      </c>
      <c r="D340" s="197"/>
      <c r="E340" s="857">
        <v>43.8</v>
      </c>
      <c r="F340" s="135"/>
      <c r="G340" s="1040"/>
    </row>
    <row r="341" spans="1:7">
      <c r="A341" s="884">
        <v>42718</v>
      </c>
      <c r="B341" s="138" t="str">
        <f>TiposLancamentos!B103</f>
        <v>Juros_Corr. Poupança</v>
      </c>
      <c r="C341" s="771" t="s">
        <v>17394</v>
      </c>
      <c r="D341" s="197">
        <v>0.05</v>
      </c>
      <c r="E341" s="857"/>
      <c r="F341" s="135"/>
      <c r="G341" s="1040"/>
    </row>
    <row r="342" spans="1:7">
      <c r="A342" s="884">
        <v>42719</v>
      </c>
      <c r="B342" s="138" t="str">
        <f>TiposLancamentos!B95</f>
        <v>Salarios</v>
      </c>
      <c r="C342" s="771" t="s">
        <v>4916</v>
      </c>
      <c r="D342" s="197">
        <v>1176.01</v>
      </c>
      <c r="E342" s="857"/>
      <c r="F342" s="135"/>
      <c r="G342" s="1040"/>
    </row>
    <row r="343" spans="1:7">
      <c r="A343" s="919">
        <v>42719</v>
      </c>
      <c r="B343" s="830" t="str">
        <f>TiposLancamentos!B33</f>
        <v>Pedágios</v>
      </c>
      <c r="C343" s="915" t="s">
        <v>5392</v>
      </c>
      <c r="D343" s="917"/>
      <c r="E343" s="920">
        <f>38.15+5.1</f>
        <v>43.25</v>
      </c>
      <c r="F343" s="135"/>
      <c r="G343" s="1040"/>
    </row>
    <row r="344" spans="1:7">
      <c r="A344" s="930">
        <v>42719</v>
      </c>
      <c r="B344" s="825" t="str">
        <f>TiposLancamentos!B24</f>
        <v>Estacionamentos</v>
      </c>
      <c r="C344" s="88" t="s">
        <v>5863</v>
      </c>
      <c r="D344" s="828"/>
      <c r="E344" s="931">
        <v>63</v>
      </c>
      <c r="F344" s="135"/>
      <c r="G344" s="1040"/>
    </row>
    <row r="345" spans="1:7">
      <c r="A345" s="921">
        <v>42719</v>
      </c>
      <c r="B345" s="833" t="str">
        <f>TiposLancamentos!B24</f>
        <v>Estacionamentos</v>
      </c>
      <c r="C345" s="916" t="s">
        <v>6297</v>
      </c>
      <c r="D345" s="918"/>
      <c r="E345" s="922">
        <v>5</v>
      </c>
      <c r="F345" s="135">
        <f>SUM(E343:E345)</f>
        <v>111.25</v>
      </c>
      <c r="G345" s="1040"/>
    </row>
    <row r="346" spans="1:7">
      <c r="A346" s="884">
        <v>42719</v>
      </c>
      <c r="B346" s="138" t="str">
        <f>TiposLancamentos!B16</f>
        <v>Cristiane</v>
      </c>
      <c r="C346" s="771" t="s">
        <v>17493</v>
      </c>
      <c r="D346" s="197"/>
      <c r="E346" s="857">
        <v>30</v>
      </c>
      <c r="F346" s="135"/>
      <c r="G346" s="1040"/>
    </row>
    <row r="347" spans="1:7">
      <c r="A347" s="884">
        <v>42719</v>
      </c>
      <c r="B347" s="138" t="str">
        <f>TiposLancamentos!B20</f>
        <v>Saques</v>
      </c>
      <c r="C347" s="771" t="s">
        <v>17494</v>
      </c>
      <c r="D347" s="197"/>
      <c r="E347" s="857">
        <v>200</v>
      </c>
      <c r="F347" s="135"/>
      <c r="G347" s="1040"/>
    </row>
    <row r="348" spans="1:7">
      <c r="A348" s="884">
        <v>42719</v>
      </c>
      <c r="B348" s="138" t="str">
        <f>TiposLancamentos!B24</f>
        <v>Estacionamentos</v>
      </c>
      <c r="C348" s="771" t="s">
        <v>3253</v>
      </c>
      <c r="D348" s="197"/>
      <c r="E348" s="857">
        <v>7</v>
      </c>
      <c r="F348" s="135"/>
      <c r="G348" s="1040"/>
    </row>
    <row r="349" spans="1:7">
      <c r="A349" s="919">
        <v>42719</v>
      </c>
      <c r="B349" s="830" t="str">
        <f>TiposLancamentos!B35</f>
        <v>Tv à Cabo</v>
      </c>
      <c r="C349" s="915" t="s">
        <v>5834</v>
      </c>
      <c r="D349" s="917"/>
      <c r="E349" s="920">
        <f>120+16.9</f>
        <v>136.9</v>
      </c>
      <c r="F349" s="135"/>
      <c r="G349" s="1040"/>
    </row>
    <row r="350" spans="1:7">
      <c r="A350" s="930">
        <v>42719</v>
      </c>
      <c r="B350" s="825" t="str">
        <f>TiposLancamentos!B3</f>
        <v>Internet</v>
      </c>
      <c r="C350" s="88" t="s">
        <v>5835</v>
      </c>
      <c r="D350" s="828"/>
      <c r="E350" s="931">
        <v>89.9</v>
      </c>
      <c r="F350" s="135"/>
      <c r="G350" s="1040"/>
    </row>
    <row r="351" spans="1:7">
      <c r="A351" s="921">
        <v>42719</v>
      </c>
      <c r="B351" s="833" t="str">
        <f>TiposLancamentos!B2</f>
        <v>Telefonia</v>
      </c>
      <c r="C351" s="916" t="s">
        <v>7210</v>
      </c>
      <c r="D351" s="918"/>
      <c r="E351" s="922">
        <v>0</v>
      </c>
      <c r="F351" s="135">
        <f>SUM(E349:E351)</f>
        <v>226.8</v>
      </c>
      <c r="G351" s="1040"/>
    </row>
    <row r="352" spans="1:7">
      <c r="A352" s="884">
        <v>42719</v>
      </c>
      <c r="B352" s="138" t="str">
        <f>TiposLancamentos!B19</f>
        <v>Restaurantes</v>
      </c>
      <c r="C352" s="771" t="s">
        <v>11114</v>
      </c>
      <c r="D352" s="197"/>
      <c r="E352" s="857">
        <v>62.7</v>
      </c>
      <c r="F352" s="135"/>
      <c r="G352" s="1040"/>
    </row>
    <row r="353" spans="1:7">
      <c r="A353" s="884">
        <v>42720</v>
      </c>
      <c r="B353" s="138" t="str">
        <f>TiposLancamentos!B19</f>
        <v>Restaurantes</v>
      </c>
      <c r="C353" s="771" t="s">
        <v>17495</v>
      </c>
      <c r="D353" s="197"/>
      <c r="E353" s="857">
        <v>25.3</v>
      </c>
      <c r="F353" s="135"/>
      <c r="G353" s="1040"/>
    </row>
    <row r="354" spans="1:7">
      <c r="A354" s="884">
        <v>42723</v>
      </c>
      <c r="B354" s="138" t="str">
        <f>TiposLancamentos!B21</f>
        <v>Transf. Poupanca</v>
      </c>
      <c r="C354" s="771" t="s">
        <v>17452</v>
      </c>
      <c r="D354" s="197"/>
      <c r="E354" s="857">
        <v>50</v>
      </c>
      <c r="F354" s="135"/>
      <c r="G354" s="1040"/>
    </row>
    <row r="355" spans="1:7">
      <c r="A355" s="884">
        <v>42723</v>
      </c>
      <c r="B355" s="138" t="str">
        <f>TiposLancamentos!B103</f>
        <v>Juros_Corr. Poupança</v>
      </c>
      <c r="C355" s="771" t="s">
        <v>17394</v>
      </c>
      <c r="D355" s="197">
        <v>0.01</v>
      </c>
      <c r="E355" s="857"/>
      <c r="F355" s="135"/>
      <c r="G355" s="1040"/>
    </row>
    <row r="356" spans="1:7">
      <c r="A356" s="884">
        <v>42724</v>
      </c>
      <c r="B356" s="138" t="str">
        <f>TiposLancamentos!B95</f>
        <v>Salarios</v>
      </c>
      <c r="C356" s="771" t="s">
        <v>17496</v>
      </c>
      <c r="D356" s="197">
        <v>7307.03</v>
      </c>
      <c r="E356" s="857"/>
      <c r="F356" s="135"/>
      <c r="G356" s="1040"/>
    </row>
    <row r="357" spans="1:7">
      <c r="A357" s="884">
        <v>42731</v>
      </c>
      <c r="B357" s="138" t="str">
        <f>TiposLancamentos!B6</f>
        <v>Energia Eletrica</v>
      </c>
      <c r="C357" s="771" t="s">
        <v>17497</v>
      </c>
      <c r="D357" s="197"/>
      <c r="E357" s="857">
        <v>186.6</v>
      </c>
      <c r="F357" s="135"/>
      <c r="G357" s="1040"/>
    </row>
    <row r="358" spans="1:7">
      <c r="A358" s="884">
        <v>42731</v>
      </c>
      <c r="B358" s="138" t="str">
        <f>TiposLancamentos!B34</f>
        <v>Seguros</v>
      </c>
      <c r="C358" s="771" t="s">
        <v>17498</v>
      </c>
      <c r="D358" s="197"/>
      <c r="E358" s="857">
        <v>72.489999999999995</v>
      </c>
      <c r="F358" s="135"/>
      <c r="G358" s="1040"/>
    </row>
    <row r="359" spans="1:7">
      <c r="A359" s="884">
        <v>42731</v>
      </c>
      <c r="B359" s="138" t="str">
        <f>TiposLancamentos!B19</f>
        <v>Restaurantes</v>
      </c>
      <c r="C359" s="771" t="s">
        <v>17499</v>
      </c>
      <c r="D359" s="197"/>
      <c r="E359" s="857">
        <v>19</v>
      </c>
      <c r="F359" s="135"/>
      <c r="G359" s="1040"/>
    </row>
    <row r="360" spans="1:7">
      <c r="A360" s="884">
        <v>42731</v>
      </c>
      <c r="B360" s="138" t="str">
        <f>TiposLancamentos!B18</f>
        <v>Alimentacao</v>
      </c>
      <c r="C360" s="771" t="s">
        <v>17500</v>
      </c>
      <c r="D360" s="197"/>
      <c r="E360" s="857">
        <v>39</v>
      </c>
      <c r="F360" s="135"/>
      <c r="G360" s="1040"/>
    </row>
    <row r="361" spans="1:7">
      <c r="A361" s="884">
        <v>42731</v>
      </c>
      <c r="B361" s="138" t="str">
        <f>TiposLancamentos!B17</f>
        <v>GATO</v>
      </c>
      <c r="C361" s="771" t="s">
        <v>17501</v>
      </c>
      <c r="D361" s="197"/>
      <c r="E361" s="857">
        <v>117.78</v>
      </c>
      <c r="F361" s="135"/>
      <c r="G361" s="1040"/>
    </row>
    <row r="362" spans="1:7">
      <c r="A362" s="884">
        <v>42732</v>
      </c>
      <c r="B362" s="138" t="str">
        <f>TiposLancamentos!B103</f>
        <v>Juros_Corr. Poupança</v>
      </c>
      <c r="C362" s="771" t="s">
        <v>17394</v>
      </c>
      <c r="D362" s="197">
        <v>0.28000000000000003</v>
      </c>
      <c r="E362" s="857"/>
      <c r="F362" s="135"/>
      <c r="G362" s="1040"/>
    </row>
    <row r="363" spans="1:7">
      <c r="A363" s="884">
        <v>42732</v>
      </c>
      <c r="B363" s="138" t="str">
        <f>TiposLancamentos!B5</f>
        <v>Supermercado</v>
      </c>
      <c r="C363" s="771" t="s">
        <v>6234</v>
      </c>
      <c r="D363" s="197"/>
      <c r="E363" s="857">
        <v>409.52</v>
      </c>
      <c r="F363" s="135"/>
      <c r="G363" s="1040"/>
    </row>
    <row r="364" spans="1:7">
      <c r="A364" s="884">
        <v>42732</v>
      </c>
      <c r="B364" s="138" t="str">
        <f>TiposLancamentos!B19</f>
        <v>Restaurantes</v>
      </c>
      <c r="C364" s="771" t="s">
        <v>17502</v>
      </c>
      <c r="D364" s="197"/>
      <c r="E364" s="857">
        <v>104.5</v>
      </c>
      <c r="F364" s="135"/>
      <c r="G364" s="1040"/>
    </row>
    <row r="365" spans="1:7">
      <c r="A365" s="884">
        <v>42732</v>
      </c>
      <c r="B365" s="138" t="str">
        <f>TiposLancamentos!B103</f>
        <v>Juros_Corr. Poupança</v>
      </c>
      <c r="C365" s="771" t="s">
        <v>17503</v>
      </c>
      <c r="D365" s="197">
        <v>0.38</v>
      </c>
      <c r="E365" s="857"/>
      <c r="F365" s="135"/>
      <c r="G365" s="1040"/>
    </row>
    <row r="366" spans="1:7">
      <c r="A366" s="884">
        <v>42733</v>
      </c>
      <c r="B366" s="138" t="str">
        <f>TiposLancamentos!B16</f>
        <v>Cristiane</v>
      </c>
      <c r="C366" s="771" t="s">
        <v>17504</v>
      </c>
      <c r="D366" s="197"/>
      <c r="E366" s="857">
        <v>780.9</v>
      </c>
      <c r="F366" s="135"/>
      <c r="G366" s="1040"/>
    </row>
    <row r="367" spans="1:7">
      <c r="A367" s="884">
        <v>42733</v>
      </c>
      <c r="B367" s="138" t="str">
        <f>TiposLancamentos!B24</f>
        <v>Estacionamentos</v>
      </c>
      <c r="C367" s="771" t="s">
        <v>17505</v>
      </c>
      <c r="D367" s="197"/>
      <c r="E367" s="857">
        <v>8</v>
      </c>
      <c r="F367" s="135"/>
      <c r="G367" s="1040"/>
    </row>
    <row r="368" spans="1:7">
      <c r="A368" s="884">
        <v>42733</v>
      </c>
      <c r="B368" s="138" t="str">
        <f>TiposLancamentos!B16</f>
        <v>Cristiane</v>
      </c>
      <c r="C368" s="771" t="s">
        <v>17506</v>
      </c>
      <c r="D368" s="197"/>
      <c r="E368" s="857">
        <v>119.95</v>
      </c>
      <c r="F368" s="135"/>
      <c r="G368" s="1040"/>
    </row>
    <row r="369" spans="1:7">
      <c r="A369" s="884">
        <v>42733</v>
      </c>
      <c r="B369" s="138" t="str">
        <f>TiposLancamentos!B24</f>
        <v>Estacionamentos</v>
      </c>
      <c r="C369" s="771" t="s">
        <v>3398</v>
      </c>
      <c r="D369" s="197"/>
      <c r="E369" s="857">
        <v>7</v>
      </c>
      <c r="F369" s="135"/>
      <c r="G369" s="1040"/>
    </row>
    <row r="370" spans="1:7">
      <c r="A370" s="884">
        <v>42733</v>
      </c>
      <c r="B370" s="138" t="str">
        <f>TiposLancamentos!B95</f>
        <v>Salarios</v>
      </c>
      <c r="C370" s="771" t="s">
        <v>17362</v>
      </c>
      <c r="D370" s="197">
        <v>7202.94</v>
      </c>
      <c r="E370" s="857"/>
      <c r="F370" s="135"/>
      <c r="G370" s="1040"/>
    </row>
    <row r="371" spans="1:7">
      <c r="A371" s="884">
        <v>42734</v>
      </c>
      <c r="B371" s="138" t="str">
        <f>TiposLancamentos!B5</f>
        <v>Supermercado</v>
      </c>
      <c r="C371" s="771" t="s">
        <v>16844</v>
      </c>
      <c r="D371" s="197"/>
      <c r="E371" s="857">
        <v>72.34</v>
      </c>
      <c r="F371" s="135"/>
      <c r="G371" s="1040"/>
    </row>
    <row r="372" spans="1:7">
      <c r="A372" s="884">
        <v>42734</v>
      </c>
      <c r="B372" s="138" t="str">
        <f>TiposLancamentos!B19</f>
        <v>Restaurantes</v>
      </c>
      <c r="C372" s="771" t="s">
        <v>11114</v>
      </c>
      <c r="D372" s="197"/>
      <c r="E372" s="857">
        <v>66.930000000000007</v>
      </c>
      <c r="F372" s="135"/>
      <c r="G372" s="1040"/>
    </row>
    <row r="373" spans="1:7">
      <c r="A373" s="884">
        <v>43099</v>
      </c>
      <c r="B373" s="138" t="str">
        <f>TiposLancamentos!B103</f>
        <v>Juros_Corr. Poupança</v>
      </c>
      <c r="C373" s="771" t="s">
        <v>17394</v>
      </c>
      <c r="D373" s="197">
        <v>0.13</v>
      </c>
      <c r="E373" s="857"/>
      <c r="F373" s="135"/>
      <c r="G373" s="1040"/>
    </row>
    <row r="374" spans="1:7">
      <c r="A374" s="884">
        <v>42735</v>
      </c>
      <c r="B374" s="138" t="str">
        <f>TiposLancamentos!B5</f>
        <v>Supermercado</v>
      </c>
      <c r="C374" s="771" t="s">
        <v>17507</v>
      </c>
      <c r="D374" s="197"/>
      <c r="E374" s="857">
        <v>222.98</v>
      </c>
      <c r="F374" s="135"/>
      <c r="G374" s="1040"/>
    </row>
    <row r="375" spans="1:7">
      <c r="A375" s="884">
        <v>42735</v>
      </c>
      <c r="B375" s="138" t="str">
        <f>TiposLancamentos!B16</f>
        <v>Cristiane</v>
      </c>
      <c r="C375" s="771" t="s">
        <v>17508</v>
      </c>
      <c r="D375" s="197"/>
      <c r="E375" s="857">
        <v>30</v>
      </c>
      <c r="F375" s="135"/>
      <c r="G375" s="1040"/>
    </row>
    <row r="376" spans="1:7" ht="14.25" thickBot="1">
      <c r="A376" s="884">
        <v>42735</v>
      </c>
      <c r="B376" s="138" t="str">
        <f>TiposLancamentos!B5</f>
        <v>Supermercado</v>
      </c>
      <c r="C376" s="771" t="s">
        <v>17509</v>
      </c>
      <c r="D376" s="197"/>
      <c r="E376" s="857">
        <v>14.98</v>
      </c>
      <c r="F376" s="135"/>
      <c r="G376" s="1040"/>
    </row>
    <row r="377" spans="1:7">
      <c r="A377" s="967"/>
      <c r="B377" s="968"/>
      <c r="C377" s="1093" t="s">
        <v>17510</v>
      </c>
      <c r="D377" s="970"/>
      <c r="E377" s="971"/>
      <c r="F377" s="1712"/>
      <c r="G377" s="1039"/>
    </row>
    <row r="378" spans="1:7">
      <c r="A378" s="884">
        <v>42737</v>
      </c>
      <c r="B378" s="138" t="str">
        <f>TiposLancamentos!B57</f>
        <v>Informática</v>
      </c>
      <c r="C378" s="771" t="s">
        <v>17511</v>
      </c>
      <c r="D378" s="197"/>
      <c r="E378" s="857">
        <v>14.99</v>
      </c>
      <c r="F378" s="135"/>
      <c r="G378" s="1040"/>
    </row>
    <row r="379" spans="1:7">
      <c r="A379" s="884">
        <v>42737</v>
      </c>
      <c r="B379" s="138" t="str">
        <f>TiposLancamentos!B15</f>
        <v>Cartões de Crédito</v>
      </c>
      <c r="C379" s="771" t="s">
        <v>5558</v>
      </c>
      <c r="D379" s="197"/>
      <c r="E379" s="857">
        <v>1581.7</v>
      </c>
      <c r="F379" s="135"/>
      <c r="G379" s="1040"/>
    </row>
    <row r="380" spans="1:7">
      <c r="A380" s="884">
        <v>42737</v>
      </c>
      <c r="B380" s="138" t="str">
        <f>TiposLancamentos!B15</f>
        <v>Cartões de Crédito</v>
      </c>
      <c r="C380" s="771" t="s">
        <v>7391</v>
      </c>
      <c r="D380" s="197"/>
      <c r="E380" s="857">
        <v>2087.5500000000002</v>
      </c>
      <c r="F380" s="135"/>
      <c r="G380" s="1040"/>
    </row>
    <row r="381" spans="1:7">
      <c r="A381" s="884">
        <v>42737</v>
      </c>
      <c r="B381" s="138" t="str">
        <f>TiposLancamentos!B15</f>
        <v>Cartões de Crédito</v>
      </c>
      <c r="C381" s="771" t="s">
        <v>7333</v>
      </c>
      <c r="D381" s="197"/>
      <c r="E381" s="857">
        <v>2807.08</v>
      </c>
      <c r="F381" s="135"/>
      <c r="G381" s="1040"/>
    </row>
    <row r="382" spans="1:7">
      <c r="A382" s="884">
        <v>42737</v>
      </c>
      <c r="B382" s="138" t="str">
        <f>TiposLancamentos!B5</f>
        <v>Supermercado</v>
      </c>
      <c r="C382" s="771" t="s">
        <v>6234</v>
      </c>
      <c r="D382" s="197"/>
      <c r="E382" s="857">
        <v>44.88</v>
      </c>
      <c r="F382" s="135"/>
      <c r="G382" s="1040"/>
    </row>
    <row r="383" spans="1:7">
      <c r="A383" s="884">
        <v>42737</v>
      </c>
      <c r="B383" s="138" t="str">
        <f>TiposLancamentos!B103</f>
        <v>Juros_Corr. Poupança</v>
      </c>
      <c r="C383" s="771" t="s">
        <v>17394</v>
      </c>
      <c r="D383" s="197">
        <v>4.63</v>
      </c>
      <c r="E383" s="857"/>
      <c r="F383" s="135"/>
      <c r="G383" s="1040"/>
    </row>
    <row r="384" spans="1:7">
      <c r="A384" s="884">
        <v>42738</v>
      </c>
      <c r="B384" s="138" t="str">
        <f>TiposLancamentos!B16</f>
        <v>Cristiane</v>
      </c>
      <c r="C384" s="771" t="s">
        <v>17512</v>
      </c>
      <c r="D384" s="197"/>
      <c r="E384" s="857">
        <v>185.9</v>
      </c>
      <c r="F384" s="135"/>
      <c r="G384" s="1040"/>
    </row>
    <row r="385" spans="1:7">
      <c r="A385" s="884">
        <v>42738</v>
      </c>
      <c r="B385" s="138" t="str">
        <f>TiposLancamentos!B87</f>
        <v>P207-1.6-XS</v>
      </c>
      <c r="C385" s="771" t="s">
        <v>17513</v>
      </c>
      <c r="D385" s="197"/>
      <c r="E385" s="857">
        <v>690</v>
      </c>
      <c r="F385" s="135"/>
      <c r="G385" s="1040"/>
    </row>
    <row r="386" spans="1:7">
      <c r="A386" s="884">
        <v>42738</v>
      </c>
      <c r="B386" s="138" t="str">
        <f>TiposLancamentos!B5</f>
        <v>Supermercado</v>
      </c>
      <c r="C386" s="771" t="s">
        <v>17514</v>
      </c>
      <c r="D386" s="197"/>
      <c r="E386" s="857">
        <v>50.93</v>
      </c>
      <c r="F386" s="135"/>
      <c r="G386" s="1040"/>
    </row>
    <row r="387" spans="1:7">
      <c r="A387" s="884">
        <v>42738</v>
      </c>
      <c r="B387" s="138" t="str">
        <f>TiposLancamentos!B103</f>
        <v>Juros_Corr. Poupança</v>
      </c>
      <c r="C387" s="771" t="s">
        <v>17394</v>
      </c>
      <c r="D387" s="197">
        <v>0.34</v>
      </c>
      <c r="E387" s="857"/>
      <c r="F387" s="135"/>
      <c r="G387" s="1040"/>
    </row>
    <row r="388" spans="1:7">
      <c r="A388" s="884">
        <v>42740</v>
      </c>
      <c r="B388" s="138" t="str">
        <f>TiposLancamentos!B56</f>
        <v>Farmácia</v>
      </c>
      <c r="C388" s="771" t="s">
        <v>17007</v>
      </c>
      <c r="D388" s="197"/>
      <c r="E388" s="857">
        <v>14.64</v>
      </c>
      <c r="F388" s="135"/>
      <c r="G388" s="1040"/>
    </row>
    <row r="389" spans="1:7">
      <c r="A389" s="884">
        <v>42741</v>
      </c>
      <c r="B389" s="138" t="str">
        <f>TiposLancamentos!B9</f>
        <v>Condominio</v>
      </c>
      <c r="C389" s="771" t="s">
        <v>5925</v>
      </c>
      <c r="D389" s="197"/>
      <c r="E389" s="857">
        <v>1228.47</v>
      </c>
      <c r="F389" s="135"/>
      <c r="G389" s="1040"/>
    </row>
    <row r="390" spans="1:7">
      <c r="A390" s="884">
        <v>42741</v>
      </c>
      <c r="B390" s="138" t="str">
        <f>TiposLancamentos!B103</f>
        <v>Juros_Corr. Poupança</v>
      </c>
      <c r="C390" s="771" t="s">
        <v>17394</v>
      </c>
      <c r="D390" s="197">
        <v>0.71</v>
      </c>
      <c r="E390" s="857"/>
      <c r="F390" s="135"/>
      <c r="G390" s="1040"/>
    </row>
    <row r="391" spans="1:7">
      <c r="A391" s="884">
        <v>42742</v>
      </c>
      <c r="B391" s="138" t="str">
        <f>TiposLancamentos!B19</f>
        <v>Restaurantes</v>
      </c>
      <c r="C391" s="771" t="s">
        <v>17515</v>
      </c>
      <c r="D391" s="197"/>
      <c r="E391" s="857">
        <v>88</v>
      </c>
      <c r="F391" s="135"/>
      <c r="G391" s="1040"/>
    </row>
    <row r="392" spans="1:7">
      <c r="A392" s="884">
        <v>42742</v>
      </c>
      <c r="B392" s="138" t="str">
        <f>TiposLancamentos!B19</f>
        <v>Restaurantes</v>
      </c>
      <c r="C392" s="771" t="s">
        <v>17516</v>
      </c>
      <c r="D392" s="197"/>
      <c r="E392" s="857">
        <v>36</v>
      </c>
      <c r="F392" s="135"/>
      <c r="G392" s="1040"/>
    </row>
    <row r="393" spans="1:7">
      <c r="A393" s="884">
        <v>42742</v>
      </c>
      <c r="B393" s="138" t="str">
        <f>TiposLancamentos!B71</f>
        <v>Itens Pessoais</v>
      </c>
      <c r="C393" s="771" t="s">
        <v>2035</v>
      </c>
      <c r="D393" s="197"/>
      <c r="E393" s="857">
        <v>25</v>
      </c>
      <c r="F393" s="135"/>
      <c r="G393" s="1040"/>
    </row>
    <row r="394" spans="1:7">
      <c r="A394" s="884">
        <v>42742</v>
      </c>
      <c r="B394" s="138" t="str">
        <f>TiposLancamentos!B16</f>
        <v>Cristiane</v>
      </c>
      <c r="C394" s="771" t="s">
        <v>4232</v>
      </c>
      <c r="D394" s="197"/>
      <c r="E394" s="857">
        <v>143.47</v>
      </c>
      <c r="F394" s="135"/>
      <c r="G394" s="1040"/>
    </row>
    <row r="395" spans="1:7">
      <c r="A395" s="884">
        <v>42742</v>
      </c>
      <c r="B395" s="138" t="str">
        <f>TiposLancamentos!B24</f>
        <v>Estacionamentos</v>
      </c>
      <c r="C395" s="771" t="s">
        <v>3398</v>
      </c>
      <c r="D395" s="197"/>
      <c r="E395" s="857">
        <v>10</v>
      </c>
      <c r="F395" s="135"/>
      <c r="G395" s="1040"/>
    </row>
    <row r="396" spans="1:7">
      <c r="A396" s="884">
        <v>42742</v>
      </c>
      <c r="B396" s="138" t="str">
        <f>TiposLancamentos!B5</f>
        <v>Supermercado</v>
      </c>
      <c r="C396" s="771" t="s">
        <v>6234</v>
      </c>
      <c r="D396" s="197"/>
      <c r="E396" s="857">
        <v>145.59</v>
      </c>
      <c r="F396" s="135"/>
      <c r="G396" s="1040"/>
    </row>
    <row r="397" spans="1:7">
      <c r="A397" s="884">
        <v>42743</v>
      </c>
      <c r="B397" s="138" t="str">
        <f>TiposLancamentos!B24</f>
        <v>Estacionamentos</v>
      </c>
      <c r="C397" s="771" t="s">
        <v>4573</v>
      </c>
      <c r="D397" s="197"/>
      <c r="E397" s="857">
        <v>37.5</v>
      </c>
      <c r="F397" s="135"/>
      <c r="G397" s="1040"/>
    </row>
    <row r="398" spans="1:7">
      <c r="A398" s="884">
        <v>42743</v>
      </c>
      <c r="B398" s="138" t="str">
        <f>TiposLancamentos!B19</f>
        <v>Restaurantes</v>
      </c>
      <c r="C398" s="771" t="s">
        <v>17517</v>
      </c>
      <c r="D398" s="197"/>
      <c r="E398" s="857">
        <v>122.1</v>
      </c>
      <c r="F398" s="135"/>
      <c r="G398" s="1040"/>
    </row>
    <row r="399" spans="1:7">
      <c r="A399" s="884">
        <v>42744</v>
      </c>
      <c r="B399" s="138" t="str">
        <f>TiposLancamentos!B103</f>
        <v>Juros_Corr. Poupança</v>
      </c>
      <c r="C399" s="771" t="s">
        <v>17394</v>
      </c>
      <c r="D399" s="197">
        <v>0.69</v>
      </c>
      <c r="E399" s="857"/>
      <c r="F399" s="135"/>
      <c r="G399" s="1040"/>
    </row>
    <row r="400" spans="1:7">
      <c r="A400" s="884">
        <v>42744</v>
      </c>
      <c r="B400" s="138" t="str">
        <f>TiposLancamentos!B24</f>
        <v>Estacionamentos</v>
      </c>
      <c r="C400" s="771" t="s">
        <v>4589</v>
      </c>
      <c r="D400" s="197"/>
      <c r="E400" s="857">
        <v>200</v>
      </c>
      <c r="F400" s="135"/>
      <c r="G400" s="1040"/>
    </row>
    <row r="401" spans="1:7">
      <c r="A401" s="884">
        <v>42744</v>
      </c>
      <c r="B401" s="138" t="str">
        <f>TiposLancamentos!B2</f>
        <v>Telefonia</v>
      </c>
      <c r="C401" s="771" t="s">
        <v>17518</v>
      </c>
      <c r="D401" s="197"/>
      <c r="E401" s="857">
        <v>130.9</v>
      </c>
      <c r="F401" s="135"/>
      <c r="G401" s="1040"/>
    </row>
    <row r="402" spans="1:7">
      <c r="A402" s="884">
        <v>42745</v>
      </c>
      <c r="B402" s="138" t="str">
        <f>TiposLancamentos!B16</f>
        <v>Cristiane</v>
      </c>
      <c r="C402" s="771" t="s">
        <v>6052</v>
      </c>
      <c r="D402" s="197"/>
      <c r="E402" s="857">
        <v>76.64</v>
      </c>
      <c r="F402" s="135"/>
      <c r="G402" s="1040"/>
    </row>
    <row r="403" spans="1:7">
      <c r="A403" s="919">
        <v>42745</v>
      </c>
      <c r="B403" s="830" t="str">
        <f>TiposLancamentos!B8</f>
        <v>Aluguel</v>
      </c>
      <c r="C403" s="915" t="s">
        <v>6163</v>
      </c>
      <c r="D403" s="917"/>
      <c r="E403" s="920">
        <f>1757+4.8+1.5</f>
        <v>1763.3</v>
      </c>
      <c r="F403" s="135"/>
      <c r="G403" s="1040"/>
    </row>
    <row r="404" spans="1:7">
      <c r="A404" s="930">
        <v>42745</v>
      </c>
      <c r="B404" s="825" t="str">
        <f>TiposLancamentos!B12</f>
        <v>IPTU</v>
      </c>
      <c r="C404" s="88" t="s">
        <v>17481</v>
      </c>
      <c r="D404" s="828"/>
      <c r="E404" s="931">
        <v>0</v>
      </c>
      <c r="F404" s="135"/>
      <c r="G404" s="1040"/>
    </row>
    <row r="405" spans="1:7">
      <c r="A405" s="921">
        <v>42745</v>
      </c>
      <c r="B405" s="833" t="str">
        <f>TiposLancamentos!B34</f>
        <v>Seguros</v>
      </c>
      <c r="C405" s="916" t="s">
        <v>17519</v>
      </c>
      <c r="D405" s="918"/>
      <c r="E405" s="922">
        <v>262.04000000000002</v>
      </c>
      <c r="F405" s="135">
        <f>SUM(E403:E405)</f>
        <v>2025.34</v>
      </c>
      <c r="G405" s="1040"/>
    </row>
    <row r="406" spans="1:7">
      <c r="A406" s="884">
        <v>42745</v>
      </c>
      <c r="B406" s="138" t="str">
        <f>TiposLancamentos!B103</f>
        <v>Juros_Corr. Poupança</v>
      </c>
      <c r="C406" s="771" t="s">
        <v>17394</v>
      </c>
      <c r="D406" s="197">
        <v>1.02</v>
      </c>
      <c r="E406" s="857"/>
      <c r="F406" s="135"/>
      <c r="G406" s="1040"/>
    </row>
    <row r="407" spans="1:7">
      <c r="A407" s="884">
        <v>42746</v>
      </c>
      <c r="B407" s="138" t="str">
        <f>TiposLancamentos!B103</f>
        <v>Juros_Corr. Poupança</v>
      </c>
      <c r="C407" s="771" t="s">
        <v>17394</v>
      </c>
      <c r="D407" s="197">
        <v>0.34</v>
      </c>
      <c r="E407" s="857"/>
      <c r="F407" s="135"/>
      <c r="G407" s="1040"/>
    </row>
    <row r="408" spans="1:7">
      <c r="A408" s="884">
        <v>42746</v>
      </c>
      <c r="B408" s="138" t="str">
        <f>TiposLancamentos!B16</f>
        <v>Cristiane</v>
      </c>
      <c r="C408" s="771" t="s">
        <v>17520</v>
      </c>
      <c r="D408" s="197"/>
      <c r="E408" s="857">
        <v>5.98</v>
      </c>
      <c r="F408" s="135"/>
      <c r="G408" s="1040"/>
    </row>
    <row r="409" spans="1:7">
      <c r="A409" s="884">
        <v>42746</v>
      </c>
      <c r="B409" s="138" t="str">
        <f>TiposLancamentos!B59</f>
        <v>Documentos</v>
      </c>
      <c r="C409" s="771" t="s">
        <v>17521</v>
      </c>
      <c r="D409" s="197"/>
      <c r="E409" s="857">
        <v>1088.96</v>
      </c>
      <c r="F409" s="135"/>
      <c r="G409" s="1040"/>
    </row>
    <row r="410" spans="1:7">
      <c r="A410" s="884">
        <v>42747</v>
      </c>
      <c r="B410" s="138" t="str">
        <f>TiposLancamentos!B16</f>
        <v>Cristiane</v>
      </c>
      <c r="C410" s="771" t="s">
        <v>17522</v>
      </c>
      <c r="D410" s="197"/>
      <c r="E410" s="857">
        <v>199.7</v>
      </c>
      <c r="F410" s="135"/>
      <c r="G410" s="1040"/>
    </row>
    <row r="411" spans="1:7">
      <c r="A411" s="884">
        <v>42748</v>
      </c>
      <c r="B411" s="138" t="str">
        <f>TiposLancamentos!B95</f>
        <v>Salarios</v>
      </c>
      <c r="C411" s="771" t="s">
        <v>4916</v>
      </c>
      <c r="D411" s="197">
        <v>3528.04</v>
      </c>
      <c r="E411" s="857"/>
      <c r="F411" s="135"/>
      <c r="G411" s="1040"/>
    </row>
    <row r="412" spans="1:7">
      <c r="A412" s="884">
        <v>42748</v>
      </c>
      <c r="B412" s="138" t="str">
        <f>TiposLancamentos!B103</f>
        <v>Juros_Corr. Poupança</v>
      </c>
      <c r="C412" s="771" t="s">
        <v>17394</v>
      </c>
      <c r="D412" s="197">
        <v>7.0000000000000007E-2</v>
      </c>
      <c r="E412" s="857"/>
      <c r="F412" s="135"/>
      <c r="G412" s="1040"/>
    </row>
    <row r="413" spans="1:7">
      <c r="A413" s="884">
        <v>42748</v>
      </c>
      <c r="B413" s="138" t="str">
        <f>TiposLancamentos!B34</f>
        <v>Seguros</v>
      </c>
      <c r="C413" s="771" t="s">
        <v>17523</v>
      </c>
      <c r="D413" s="197"/>
      <c r="E413" s="857">
        <v>100</v>
      </c>
      <c r="F413" s="135"/>
      <c r="G413" s="1040"/>
    </row>
    <row r="414" spans="1:7">
      <c r="A414" s="884">
        <v>42748</v>
      </c>
      <c r="B414" s="138" t="str">
        <f>TiposLancamentos!B59</f>
        <v>Documentos</v>
      </c>
      <c r="C414" s="771" t="s">
        <v>17524</v>
      </c>
      <c r="D414" s="197"/>
      <c r="E414" s="857">
        <v>753.41</v>
      </c>
      <c r="F414" s="135"/>
      <c r="G414" s="1040"/>
    </row>
    <row r="415" spans="1:7">
      <c r="A415" s="884">
        <v>42748</v>
      </c>
      <c r="B415" s="138" t="str">
        <f>TiposLancamentos!B57</f>
        <v>Informática</v>
      </c>
      <c r="C415" s="771" t="s">
        <v>17525</v>
      </c>
      <c r="D415" s="197"/>
      <c r="E415" s="857">
        <v>879</v>
      </c>
      <c r="F415" s="135"/>
      <c r="G415" s="1040"/>
    </row>
    <row r="416" spans="1:7">
      <c r="A416" s="884">
        <v>42749</v>
      </c>
      <c r="B416" s="138" t="str">
        <f>TiposLancamentos!B57</f>
        <v>Informática</v>
      </c>
      <c r="C416" s="771" t="s">
        <v>17526</v>
      </c>
      <c r="D416" s="197"/>
      <c r="E416" s="857">
        <v>130</v>
      </c>
      <c r="F416" s="135"/>
      <c r="G416" s="1040"/>
    </row>
    <row r="417" spans="1:7">
      <c r="A417" s="884">
        <v>42749</v>
      </c>
      <c r="B417" s="138" t="str">
        <f>TiposLancamentos!B88</f>
        <v>Ford Ecosport XLT</v>
      </c>
      <c r="C417" s="771" t="s">
        <v>17527</v>
      </c>
      <c r="D417" s="197"/>
      <c r="E417" s="857">
        <v>60</v>
      </c>
      <c r="F417" s="135"/>
      <c r="G417" s="1040"/>
    </row>
    <row r="418" spans="1:7">
      <c r="A418" s="884">
        <v>42749</v>
      </c>
      <c r="B418" s="138" t="str">
        <f>TiposLancamentos!B5</f>
        <v>Supermercado</v>
      </c>
      <c r="C418" s="771" t="s">
        <v>6234</v>
      </c>
      <c r="D418" s="197"/>
      <c r="E418" s="857">
        <v>51.42</v>
      </c>
      <c r="F418" s="135"/>
      <c r="G418" s="1040"/>
    </row>
    <row r="419" spans="1:7">
      <c r="A419" s="919">
        <v>42751</v>
      </c>
      <c r="B419" s="830" t="str">
        <f>TiposLancamentos!B33</f>
        <v>Pedágios</v>
      </c>
      <c r="C419" s="915" t="s">
        <v>5392</v>
      </c>
      <c r="D419" s="917"/>
      <c r="E419" s="920">
        <v>38.15</v>
      </c>
      <c r="F419" s="135"/>
      <c r="G419" s="1040"/>
    </row>
    <row r="420" spans="1:7">
      <c r="A420" s="930">
        <v>42751</v>
      </c>
      <c r="B420" s="825" t="str">
        <f>TiposLancamentos!B24</f>
        <v>Estacionamentos</v>
      </c>
      <c r="C420" s="88" t="s">
        <v>5863</v>
      </c>
      <c r="D420" s="828"/>
      <c r="E420" s="931">
        <v>30</v>
      </c>
      <c r="F420" s="135"/>
      <c r="G420" s="1040"/>
    </row>
    <row r="421" spans="1:7">
      <c r="A421" s="921">
        <v>42751</v>
      </c>
      <c r="B421" s="833" t="str">
        <f>TiposLancamentos!B24</f>
        <v>Estacionamentos</v>
      </c>
      <c r="C421" s="916" t="s">
        <v>6297</v>
      </c>
      <c r="D421" s="918"/>
      <c r="E421" s="922">
        <v>23</v>
      </c>
      <c r="F421" s="135">
        <f>SUM(E419:E421)</f>
        <v>91.15</v>
      </c>
      <c r="G421" s="1040"/>
    </row>
    <row r="422" spans="1:7">
      <c r="A422" s="884">
        <v>42751</v>
      </c>
      <c r="B422" s="138" t="str">
        <f>TiposLancamentos!B103</f>
        <v>Juros_Corr. Poupança</v>
      </c>
      <c r="C422" s="771" t="s">
        <v>17394</v>
      </c>
      <c r="D422" s="197">
        <v>0.32</v>
      </c>
      <c r="E422" s="857"/>
      <c r="F422" s="135"/>
      <c r="G422" s="1040"/>
    </row>
    <row r="423" spans="1:7">
      <c r="A423" s="884">
        <v>42751</v>
      </c>
      <c r="B423" s="138" t="str">
        <f>TiposLancamentos!B56</f>
        <v>Farmácia</v>
      </c>
      <c r="C423" s="771" t="s">
        <v>17528</v>
      </c>
      <c r="D423" s="197"/>
      <c r="E423" s="857">
        <v>36.39</v>
      </c>
      <c r="F423" s="135"/>
      <c r="G423" s="1040"/>
    </row>
    <row r="424" spans="1:7">
      <c r="A424" s="919">
        <v>42751</v>
      </c>
      <c r="B424" s="830" t="str">
        <f>TiposLancamentos!B35</f>
        <v>Tv à Cabo</v>
      </c>
      <c r="C424" s="915" t="s">
        <v>5834</v>
      </c>
      <c r="D424" s="917"/>
      <c r="E424" s="920">
        <v>120</v>
      </c>
      <c r="F424" s="135"/>
      <c r="G424" s="1040"/>
    </row>
    <row r="425" spans="1:7">
      <c r="A425" s="930">
        <v>42751</v>
      </c>
      <c r="B425" s="825" t="str">
        <f>TiposLancamentos!B3</f>
        <v>Internet</v>
      </c>
      <c r="C425" s="88" t="s">
        <v>5835</v>
      </c>
      <c r="D425" s="828"/>
      <c r="E425" s="931">
        <v>89.9</v>
      </c>
      <c r="F425" s="135"/>
      <c r="G425" s="1040"/>
    </row>
    <row r="426" spans="1:7">
      <c r="A426" s="921">
        <v>42751</v>
      </c>
      <c r="B426" s="833" t="str">
        <f>TiposLancamentos!B2</f>
        <v>Telefonia</v>
      </c>
      <c r="C426" s="916" t="s">
        <v>7210</v>
      </c>
      <c r="D426" s="918"/>
      <c r="E426" s="922">
        <v>0.86</v>
      </c>
      <c r="F426" s="135">
        <f>SUM(E424:E426)</f>
        <v>210.76000000000002</v>
      </c>
      <c r="G426" s="1040"/>
    </row>
    <row r="427" spans="1:7">
      <c r="A427" s="884">
        <v>42753</v>
      </c>
      <c r="B427" s="138" t="str">
        <f>TiposLancamentos!B103</f>
        <v>Juros_Corr. Poupança</v>
      </c>
      <c r="C427" s="771" t="s">
        <v>17394</v>
      </c>
      <c r="D427" s="197">
        <v>0.27</v>
      </c>
      <c r="E427" s="857"/>
      <c r="F427" s="135"/>
      <c r="G427" s="1040"/>
    </row>
    <row r="428" spans="1:7">
      <c r="A428" s="884">
        <v>42753</v>
      </c>
      <c r="B428" s="138" t="str">
        <f>TiposLancamentos!B17</f>
        <v>GATO</v>
      </c>
      <c r="C428" s="771" t="s">
        <v>17529</v>
      </c>
      <c r="D428" s="197"/>
      <c r="E428" s="857">
        <v>278.99</v>
      </c>
      <c r="F428" s="135"/>
      <c r="G428" s="1040"/>
    </row>
    <row r="429" spans="1:7">
      <c r="A429" s="884">
        <v>42753</v>
      </c>
      <c r="B429" s="138" t="str">
        <f>TiposLancamentos!B56</f>
        <v>Farmácia</v>
      </c>
      <c r="C429" s="771" t="s">
        <v>17530</v>
      </c>
      <c r="D429" s="197"/>
      <c r="E429" s="857">
        <v>48.95</v>
      </c>
      <c r="F429" s="135"/>
      <c r="G429" s="1040"/>
    </row>
    <row r="430" spans="1:7">
      <c r="A430" s="884">
        <v>42754</v>
      </c>
      <c r="B430" s="138" t="str">
        <f>TiposLancamentos!B21</f>
        <v>Transf. Poupanca</v>
      </c>
      <c r="C430" s="771" t="s">
        <v>17452</v>
      </c>
      <c r="D430" s="197"/>
      <c r="E430" s="857">
        <v>50</v>
      </c>
      <c r="F430" s="135"/>
      <c r="G430" s="1040"/>
    </row>
    <row r="431" spans="1:7">
      <c r="A431" s="884">
        <v>42754</v>
      </c>
      <c r="B431" s="138" t="str">
        <f>TiposLancamentos!B20</f>
        <v>Saques</v>
      </c>
      <c r="C431" s="771" t="s">
        <v>3604</v>
      </c>
      <c r="D431" s="197"/>
      <c r="E431" s="857">
        <v>40</v>
      </c>
      <c r="F431" s="135"/>
      <c r="G431" s="1040"/>
    </row>
    <row r="432" spans="1:7">
      <c r="A432" s="884">
        <v>42754</v>
      </c>
      <c r="B432" s="138" t="str">
        <f>TiposLancamentos!B103</f>
        <v>Juros_Corr. Poupança</v>
      </c>
      <c r="C432" s="771" t="s">
        <v>17394</v>
      </c>
      <c r="D432" s="197">
        <v>0.03</v>
      </c>
      <c r="E432" s="857"/>
      <c r="F432" s="135"/>
      <c r="G432" s="1040"/>
    </row>
    <row r="433" spans="1:7">
      <c r="A433" s="884">
        <v>42755</v>
      </c>
      <c r="B433" s="138" t="str">
        <f>TiposLancamentos!B56</f>
        <v>Farmácia</v>
      </c>
      <c r="C433" s="771" t="s">
        <v>17531</v>
      </c>
      <c r="D433" s="197"/>
      <c r="E433" s="857">
        <v>20.63</v>
      </c>
      <c r="F433" s="135"/>
      <c r="G433" s="1040"/>
    </row>
    <row r="434" spans="1:7">
      <c r="A434" s="884">
        <v>42755</v>
      </c>
      <c r="B434" s="138" t="str">
        <f>TiposLancamentos!B103</f>
        <v>Juros_Corr. Poupança</v>
      </c>
      <c r="C434" s="771" t="s">
        <v>17394</v>
      </c>
      <c r="D434" s="197">
        <v>0.01</v>
      </c>
      <c r="E434" s="857"/>
      <c r="F434" s="135"/>
      <c r="G434" s="1040"/>
    </row>
    <row r="435" spans="1:7">
      <c r="A435" s="884">
        <v>42756</v>
      </c>
      <c r="B435" s="138" t="str">
        <f>TiposLancamentos!B19</f>
        <v>Restaurantes</v>
      </c>
      <c r="C435" s="771" t="s">
        <v>8316</v>
      </c>
      <c r="D435" s="197"/>
      <c r="E435" s="857">
        <v>31</v>
      </c>
      <c r="F435" s="135"/>
      <c r="G435" s="1040"/>
    </row>
    <row r="436" spans="1:7">
      <c r="A436" s="884">
        <v>42757</v>
      </c>
      <c r="B436" s="138" t="str">
        <f>TiposLancamentos!B19</f>
        <v>Restaurantes</v>
      </c>
      <c r="C436" s="771" t="s">
        <v>17532</v>
      </c>
      <c r="D436" s="197"/>
      <c r="E436" s="857">
        <v>124.3</v>
      </c>
      <c r="F436" s="135"/>
      <c r="G436" s="1040"/>
    </row>
    <row r="437" spans="1:7">
      <c r="A437" s="884">
        <v>42757</v>
      </c>
      <c r="B437" s="138" t="str">
        <f>TiposLancamentos!B16</f>
        <v>Cristiane</v>
      </c>
      <c r="C437" s="771" t="s">
        <v>17533</v>
      </c>
      <c r="D437" s="197"/>
      <c r="E437" s="857">
        <v>162</v>
      </c>
      <c r="F437" s="135"/>
      <c r="G437" s="1040"/>
    </row>
    <row r="438" spans="1:7">
      <c r="A438" s="884">
        <v>42757</v>
      </c>
      <c r="B438" s="138" t="str">
        <f>TiposLancamentos!B24</f>
        <v>Estacionamentos</v>
      </c>
      <c r="C438" s="771" t="s">
        <v>17534</v>
      </c>
      <c r="D438" s="197"/>
      <c r="E438" s="857">
        <v>18</v>
      </c>
      <c r="F438" s="135"/>
      <c r="G438" s="1040"/>
    </row>
    <row r="439" spans="1:7">
      <c r="A439" s="884">
        <v>42757</v>
      </c>
      <c r="B439" s="138" t="str">
        <f>TiposLancamentos!B24</f>
        <v>Estacionamentos</v>
      </c>
      <c r="C439" s="771" t="s">
        <v>17535</v>
      </c>
      <c r="D439" s="197"/>
      <c r="E439" s="857">
        <v>17</v>
      </c>
      <c r="F439" s="135"/>
      <c r="G439" s="1040"/>
    </row>
    <row r="440" spans="1:7">
      <c r="A440" s="884">
        <v>42758</v>
      </c>
      <c r="B440" s="138" t="str">
        <f>TiposLancamentos!B56</f>
        <v>Farmácia</v>
      </c>
      <c r="C440" s="771" t="s">
        <v>6118</v>
      </c>
      <c r="D440" s="197"/>
      <c r="E440" s="857">
        <v>73.17</v>
      </c>
      <c r="F440" s="135"/>
      <c r="G440" s="1040"/>
    </row>
    <row r="441" spans="1:7">
      <c r="A441" s="884">
        <v>42758</v>
      </c>
      <c r="B441" s="138" t="str">
        <f>TiposLancamentos!B103</f>
        <v>Juros_Corr. Poupança</v>
      </c>
      <c r="C441" s="771" t="s">
        <v>17394</v>
      </c>
      <c r="D441" s="197">
        <v>0.64</v>
      </c>
      <c r="E441" s="857"/>
      <c r="F441" s="135"/>
      <c r="G441" s="1040"/>
    </row>
    <row r="442" spans="1:7">
      <c r="A442" s="884">
        <v>42758</v>
      </c>
      <c r="B442" s="138" t="str">
        <f>TiposLancamentos!B56</f>
        <v>Farmácia</v>
      </c>
      <c r="C442" s="771" t="s">
        <v>17536</v>
      </c>
      <c r="D442" s="197"/>
      <c r="E442" s="857">
        <v>164.9</v>
      </c>
      <c r="F442" s="135"/>
      <c r="G442" s="1040"/>
    </row>
    <row r="443" spans="1:7">
      <c r="A443" s="884">
        <v>42759</v>
      </c>
      <c r="B443" s="138" t="str">
        <f>TiposLancamentos!B34</f>
        <v>Seguros</v>
      </c>
      <c r="C443" s="771" t="s">
        <v>17537</v>
      </c>
      <c r="D443" s="197"/>
      <c r="E443" s="857">
        <v>71</v>
      </c>
      <c r="F443" s="135"/>
      <c r="G443" s="1040"/>
    </row>
    <row r="444" spans="1:7">
      <c r="A444" s="884">
        <v>42759</v>
      </c>
      <c r="B444" s="138" t="str">
        <f>TiposLancamentos!B6</f>
        <v>Energia Eletrica</v>
      </c>
      <c r="C444" s="771" t="s">
        <v>17394</v>
      </c>
      <c r="D444" s="197">
        <v>0.08</v>
      </c>
      <c r="E444" s="857"/>
      <c r="F444" s="135"/>
      <c r="G444" s="1040"/>
    </row>
    <row r="445" spans="1:7">
      <c r="A445" s="884">
        <v>42761</v>
      </c>
      <c r="B445" s="138" t="str">
        <f>TiposLancamentos!B6</f>
        <v>Energia Eletrica</v>
      </c>
      <c r="C445" s="771" t="s">
        <v>17538</v>
      </c>
      <c r="D445" s="197"/>
      <c r="E445" s="857">
        <v>182.38</v>
      </c>
      <c r="F445" s="135"/>
      <c r="G445" s="1040"/>
    </row>
    <row r="446" spans="1:7">
      <c r="A446" s="884">
        <v>42761</v>
      </c>
      <c r="B446" s="138" t="str">
        <f>TiposLancamentos!B103</f>
        <v>Juros_Corr. Poupança</v>
      </c>
      <c r="C446" s="771" t="s">
        <v>17394</v>
      </c>
      <c r="D446" s="197">
        <v>0.47</v>
      </c>
      <c r="E446" s="857"/>
      <c r="F446" s="135"/>
      <c r="G446" s="1040"/>
    </row>
    <row r="447" spans="1:7">
      <c r="A447" s="884">
        <v>42761</v>
      </c>
      <c r="B447" s="138" t="str">
        <f>TiposLancamentos!B19</f>
        <v>Restaurantes</v>
      </c>
      <c r="C447" s="771" t="s">
        <v>17539</v>
      </c>
      <c r="D447" s="197"/>
      <c r="E447" s="857">
        <v>30.9</v>
      </c>
      <c r="F447" s="135"/>
      <c r="G447" s="1040"/>
    </row>
    <row r="448" spans="1:7">
      <c r="A448" s="884">
        <v>42761</v>
      </c>
      <c r="B448" s="138" t="str">
        <f>TiposLancamentos!B19</f>
        <v>Restaurantes</v>
      </c>
      <c r="C448" s="771" t="s">
        <v>17540</v>
      </c>
      <c r="D448" s="197"/>
      <c r="E448" s="857">
        <v>11.86</v>
      </c>
      <c r="F448" s="135"/>
      <c r="G448" s="1040"/>
    </row>
    <row r="449" spans="1:7">
      <c r="A449" s="884">
        <v>42761</v>
      </c>
      <c r="B449" s="138" t="str">
        <f>TiposLancamentos!B19</f>
        <v>Restaurantes</v>
      </c>
      <c r="C449" s="771" t="s">
        <v>11007</v>
      </c>
      <c r="D449" s="197"/>
      <c r="E449" s="857">
        <v>112.64</v>
      </c>
      <c r="F449" s="135"/>
      <c r="G449" s="1040"/>
    </row>
    <row r="450" spans="1:7">
      <c r="A450" s="884">
        <v>42762</v>
      </c>
      <c r="B450" s="138" t="str">
        <f>TiposLancamentos!B19</f>
        <v>Restaurantes</v>
      </c>
      <c r="C450" s="771" t="s">
        <v>17541</v>
      </c>
      <c r="D450" s="197"/>
      <c r="E450" s="857">
        <v>35.799999999999997</v>
      </c>
      <c r="F450" s="135"/>
      <c r="G450" s="1040"/>
    </row>
    <row r="451" spans="1:7">
      <c r="A451" s="884">
        <v>42762</v>
      </c>
      <c r="B451" s="138" t="str">
        <f>TiposLancamentos!B19</f>
        <v>Restaurantes</v>
      </c>
      <c r="C451" s="771" t="s">
        <v>17542</v>
      </c>
      <c r="D451" s="197"/>
      <c r="E451" s="857">
        <v>28.5</v>
      </c>
      <c r="F451" s="135"/>
      <c r="G451" s="1040"/>
    </row>
    <row r="452" spans="1:7">
      <c r="A452" s="884">
        <v>42762</v>
      </c>
      <c r="B452" s="138" t="str">
        <f>TiposLancamentos!B103</f>
        <v>Juros_Corr. Poupança</v>
      </c>
      <c r="C452" s="771" t="s">
        <v>17394</v>
      </c>
      <c r="D452" s="197">
        <v>0.11</v>
      </c>
      <c r="E452" s="857"/>
      <c r="F452" s="135"/>
      <c r="G452" s="1040"/>
    </row>
    <row r="453" spans="1:7">
      <c r="A453" s="884">
        <v>42763</v>
      </c>
      <c r="B453" s="138" t="str">
        <f>TiposLancamentos!B19</f>
        <v>Restaurantes</v>
      </c>
      <c r="C453" s="771" t="s">
        <v>17543</v>
      </c>
      <c r="D453" s="197"/>
      <c r="E453" s="857">
        <v>42.22</v>
      </c>
      <c r="F453" s="135"/>
      <c r="G453" s="1040"/>
    </row>
    <row r="454" spans="1:7">
      <c r="A454" s="884">
        <v>42764</v>
      </c>
      <c r="B454" s="138" t="str">
        <f>TiposLancamentos!B19</f>
        <v>Restaurantes</v>
      </c>
      <c r="C454" s="771" t="s">
        <v>17544</v>
      </c>
      <c r="D454" s="197"/>
      <c r="E454" s="857">
        <v>46.97</v>
      </c>
      <c r="F454" s="135"/>
      <c r="G454" s="1040"/>
    </row>
    <row r="455" spans="1:7">
      <c r="A455" s="884">
        <v>42764</v>
      </c>
      <c r="B455" s="138" t="str">
        <f>TiposLancamentos!B5</f>
        <v>Supermercado</v>
      </c>
      <c r="C455" s="771" t="s">
        <v>6873</v>
      </c>
      <c r="D455" s="197"/>
      <c r="E455" s="857">
        <v>57.12</v>
      </c>
      <c r="F455" s="135"/>
      <c r="G455" s="1040"/>
    </row>
    <row r="456" spans="1:7">
      <c r="A456" s="884">
        <v>42765</v>
      </c>
      <c r="B456" s="138" t="str">
        <f>TiposLancamentos!B95</f>
        <v>Salarios</v>
      </c>
      <c r="C456" s="771" t="s">
        <v>17362</v>
      </c>
      <c r="D456" s="197">
        <v>6985.27</v>
      </c>
      <c r="E456" s="857"/>
      <c r="F456" s="135"/>
      <c r="G456" s="1040"/>
    </row>
    <row r="457" spans="1:7">
      <c r="A457" s="884">
        <v>42765</v>
      </c>
      <c r="B457" s="138" t="str">
        <f>TiposLancamentos!B56</f>
        <v>Farmácia</v>
      </c>
      <c r="C457" s="771" t="s">
        <v>17545</v>
      </c>
      <c r="D457" s="197"/>
      <c r="E457" s="857">
        <v>22.59</v>
      </c>
      <c r="F457" s="135"/>
      <c r="G457" s="1040"/>
    </row>
    <row r="458" spans="1:7">
      <c r="A458" s="884">
        <v>42766</v>
      </c>
      <c r="B458" s="138" t="str">
        <f>TiposLancamentos!B103</f>
        <v>Juros_Corr. Poupança</v>
      </c>
      <c r="C458" s="771" t="s">
        <v>17394</v>
      </c>
      <c r="D458" s="197">
        <v>0.23</v>
      </c>
      <c r="E458" s="857"/>
      <c r="F458" s="135"/>
      <c r="G458" s="1040"/>
    </row>
    <row r="459" spans="1:7" ht="14.25" thickBot="1">
      <c r="A459" s="884">
        <v>42766</v>
      </c>
      <c r="B459" s="138" t="str">
        <f>TiposLancamentos!B5</f>
        <v>Supermercado</v>
      </c>
      <c r="C459" s="771" t="s">
        <v>6234</v>
      </c>
      <c r="D459" s="197"/>
      <c r="E459" s="857">
        <v>135.18</v>
      </c>
      <c r="F459" s="135"/>
      <c r="G459" s="1040"/>
    </row>
    <row r="460" spans="1:7">
      <c r="A460" s="967"/>
      <c r="B460" s="968"/>
      <c r="C460" s="1093" t="s">
        <v>13745</v>
      </c>
      <c r="D460" s="970"/>
      <c r="E460" s="971"/>
      <c r="F460" s="1712"/>
      <c r="G460" s="1039"/>
    </row>
    <row r="461" spans="1:7">
      <c r="A461" s="884">
        <v>42767</v>
      </c>
      <c r="B461" s="138" t="str">
        <f>TiposLancamentos!B15</f>
        <v>Cartões de Crédito</v>
      </c>
      <c r="C461" s="771" t="s">
        <v>7391</v>
      </c>
      <c r="D461" s="197"/>
      <c r="E461" s="857">
        <v>1014.24</v>
      </c>
      <c r="F461" s="135"/>
      <c r="G461" s="1040"/>
    </row>
    <row r="462" spans="1:7">
      <c r="A462" s="884">
        <v>42767</v>
      </c>
      <c r="B462" s="138" t="str">
        <f>TiposLancamentos!B15</f>
        <v>Cartões de Crédito</v>
      </c>
      <c r="C462" s="771" t="s">
        <v>5558</v>
      </c>
      <c r="D462" s="197"/>
      <c r="E462" s="857">
        <v>1320.99</v>
      </c>
      <c r="F462" s="135"/>
      <c r="G462" s="1040"/>
    </row>
    <row r="463" spans="1:7">
      <c r="A463" s="884">
        <v>42767</v>
      </c>
      <c r="B463" s="138" t="str">
        <f>TiposLancamentos!B15</f>
        <v>Cartões de Crédito</v>
      </c>
      <c r="C463" s="771" t="s">
        <v>17546</v>
      </c>
      <c r="D463" s="197"/>
      <c r="E463" s="857">
        <v>3120.07</v>
      </c>
      <c r="F463" s="135"/>
      <c r="G463" s="1040"/>
    </row>
    <row r="464" spans="1:7">
      <c r="A464" s="884">
        <v>42767</v>
      </c>
      <c r="B464" s="138" t="str">
        <f>TiposLancamentos!B15</f>
        <v>Cartões de Crédito</v>
      </c>
      <c r="C464" s="771" t="s">
        <v>7332</v>
      </c>
      <c r="D464" s="197"/>
      <c r="E464" s="857">
        <v>409.74</v>
      </c>
      <c r="F464" s="135"/>
      <c r="G464" s="1040"/>
    </row>
    <row r="465" spans="1:7">
      <c r="A465" s="884">
        <v>42767</v>
      </c>
      <c r="B465" s="138" t="str">
        <f>TiposLancamentos!B103</f>
        <v>Juros_Corr. Poupança</v>
      </c>
      <c r="C465" s="771" t="s">
        <v>17394</v>
      </c>
      <c r="D465" s="197">
        <v>3.94</v>
      </c>
      <c r="E465" s="857"/>
      <c r="F465" s="135"/>
      <c r="G465" s="1040"/>
    </row>
    <row r="466" spans="1:7">
      <c r="A466" s="884">
        <v>42768</v>
      </c>
      <c r="B466" s="138" t="str">
        <f>TiposLancamentos!B73</f>
        <v>Cursos</v>
      </c>
      <c r="C466" s="771" t="s">
        <v>17547</v>
      </c>
      <c r="D466" s="197"/>
      <c r="E466" s="857">
        <v>130</v>
      </c>
      <c r="F466" s="135"/>
      <c r="G466" s="1040"/>
    </row>
    <row r="467" spans="1:7">
      <c r="A467" s="884">
        <v>42769</v>
      </c>
      <c r="B467" s="138" t="str">
        <f>TiposLancamentos!B19</f>
        <v>Restaurantes</v>
      </c>
      <c r="C467" s="771" t="s">
        <v>17548</v>
      </c>
      <c r="D467" s="197"/>
      <c r="E467" s="857">
        <v>145.75</v>
      </c>
      <c r="F467" s="135"/>
      <c r="G467" s="1040"/>
    </row>
    <row r="468" spans="1:7">
      <c r="A468" s="884">
        <v>42770</v>
      </c>
      <c r="B468" s="138" t="str">
        <f>TiposLancamentos!B16</f>
        <v>Cristiane</v>
      </c>
      <c r="C468" s="771" t="s">
        <v>17549</v>
      </c>
      <c r="D468" s="197"/>
      <c r="E468" s="857">
        <v>177.96</v>
      </c>
      <c r="F468" s="135"/>
      <c r="G468" s="1040"/>
    </row>
    <row r="469" spans="1:7">
      <c r="A469" s="884">
        <v>42770</v>
      </c>
      <c r="B469" s="138" t="str">
        <f>TiposLancamentos!B71</f>
        <v>Itens Pessoais</v>
      </c>
      <c r="C469" s="771" t="s">
        <v>2035</v>
      </c>
      <c r="D469" s="197"/>
      <c r="E469" s="857">
        <v>25</v>
      </c>
      <c r="F469" s="135"/>
      <c r="G469" s="1040"/>
    </row>
    <row r="470" spans="1:7">
      <c r="A470" s="884">
        <v>42770</v>
      </c>
      <c r="B470" s="138" t="str">
        <f>TiposLancamentos!B19</f>
        <v>Restaurantes</v>
      </c>
      <c r="C470" s="771" t="s">
        <v>17550</v>
      </c>
      <c r="D470" s="197"/>
      <c r="E470" s="857">
        <v>23.98</v>
      </c>
      <c r="F470" s="135"/>
      <c r="G470" s="1040"/>
    </row>
    <row r="471" spans="1:7">
      <c r="A471" s="884">
        <v>42770</v>
      </c>
      <c r="B471" s="138" t="str">
        <f>TiposLancamentos!B19</f>
        <v>Restaurantes</v>
      </c>
      <c r="C471" s="771" t="s">
        <v>17551</v>
      </c>
      <c r="D471" s="197"/>
      <c r="E471" s="857">
        <v>106.7</v>
      </c>
      <c r="F471" s="135"/>
      <c r="G471" s="1040"/>
    </row>
    <row r="472" spans="1:7">
      <c r="A472" s="884">
        <v>42771</v>
      </c>
      <c r="B472" s="138" t="str">
        <f>TiposLancamentos!B76</f>
        <v>Motel</v>
      </c>
      <c r="C472" s="771" t="s">
        <v>17552</v>
      </c>
      <c r="D472" s="197"/>
      <c r="E472" s="857">
        <v>281.39999999999998</v>
      </c>
      <c r="F472" s="135"/>
      <c r="G472" s="1040"/>
    </row>
    <row r="473" spans="1:7">
      <c r="A473" s="884">
        <v>42771</v>
      </c>
      <c r="B473" s="138" t="str">
        <f>TiposLancamentos!B5</f>
        <v>Supermercado</v>
      </c>
      <c r="C473" s="771" t="s">
        <v>10657</v>
      </c>
      <c r="D473" s="197"/>
      <c r="E473" s="857">
        <v>34.25</v>
      </c>
      <c r="F473" s="135"/>
      <c r="G473" s="1040"/>
    </row>
    <row r="474" spans="1:7">
      <c r="A474" s="884">
        <v>42771</v>
      </c>
      <c r="B474" s="138" t="str">
        <f>TiposLancamentos!B19</f>
        <v>Restaurantes</v>
      </c>
      <c r="C474" s="771" t="s">
        <v>17553</v>
      </c>
      <c r="D474" s="197"/>
      <c r="E474" s="857">
        <v>66.930000000000007</v>
      </c>
      <c r="F474" s="135"/>
      <c r="G474" s="1040"/>
    </row>
    <row r="475" spans="1:7">
      <c r="A475" s="884">
        <v>42772</v>
      </c>
      <c r="B475" s="138" t="str">
        <f>TiposLancamentos!B9</f>
        <v>Condominio</v>
      </c>
      <c r="C475" s="771" t="s">
        <v>17554</v>
      </c>
      <c r="D475" s="197"/>
      <c r="E475" s="857">
        <v>1230.4100000000001</v>
      </c>
      <c r="F475" s="135"/>
      <c r="G475" s="1040"/>
    </row>
    <row r="476" spans="1:7">
      <c r="A476" s="884">
        <v>42772</v>
      </c>
      <c r="B476" s="138" t="str">
        <f>TiposLancamentos!B2</f>
        <v>Telefonia</v>
      </c>
      <c r="C476" s="771" t="s">
        <v>17555</v>
      </c>
      <c r="D476" s="197"/>
      <c r="E476" s="857">
        <v>127.97</v>
      </c>
      <c r="F476" s="135"/>
      <c r="G476" s="1040"/>
    </row>
    <row r="477" spans="1:7">
      <c r="A477" s="884">
        <v>42772</v>
      </c>
      <c r="B477" s="138" t="str">
        <f>TiposLancamentos!B27</f>
        <v>Jornais e revistas</v>
      </c>
      <c r="C477" s="771" t="s">
        <v>17556</v>
      </c>
      <c r="D477" s="197"/>
      <c r="E477" s="857">
        <v>54.98</v>
      </c>
      <c r="F477" s="135"/>
      <c r="G477" s="1040"/>
    </row>
    <row r="478" spans="1:7">
      <c r="A478" s="884">
        <v>42772</v>
      </c>
      <c r="B478" s="138" t="str">
        <f>TiposLancamentos!B103</f>
        <v>Juros_Corr. Poupança</v>
      </c>
      <c r="C478" s="771" t="s">
        <v>17394</v>
      </c>
      <c r="D478" s="197">
        <v>0.19</v>
      </c>
      <c r="E478" s="857"/>
      <c r="F478" s="135"/>
      <c r="G478" s="1040"/>
    </row>
    <row r="479" spans="1:7">
      <c r="A479" s="884">
        <v>42894</v>
      </c>
      <c r="B479" s="138" t="str">
        <f>TiposLancamentos!B103</f>
        <v>Juros_Corr. Poupança</v>
      </c>
      <c r="C479" s="771" t="s">
        <v>17394</v>
      </c>
      <c r="D479" s="197">
        <v>0.03</v>
      </c>
      <c r="E479" s="857"/>
      <c r="F479" s="135"/>
      <c r="G479" s="1040"/>
    </row>
    <row r="480" spans="1:7">
      <c r="A480" s="884">
        <v>42774</v>
      </c>
      <c r="B480" s="138" t="str">
        <f>TiposLancamentos!B24</f>
        <v>Estacionamentos</v>
      </c>
      <c r="C480" s="771" t="s">
        <v>4589</v>
      </c>
      <c r="D480" s="197"/>
      <c r="E480" s="857">
        <v>200</v>
      </c>
      <c r="F480" s="135"/>
      <c r="G480" s="1040"/>
    </row>
    <row r="481" spans="1:7">
      <c r="A481" s="919">
        <v>42776</v>
      </c>
      <c r="B481" s="830" t="str">
        <f>TiposLancamentos!B8</f>
        <v>Aluguel</v>
      </c>
      <c r="C481" s="915" t="s">
        <v>6163</v>
      </c>
      <c r="D481" s="917"/>
      <c r="E481" s="920">
        <f>1757+4.8+1.5</f>
        <v>1763.3</v>
      </c>
      <c r="F481" s="135"/>
      <c r="G481" s="1040"/>
    </row>
    <row r="482" spans="1:7">
      <c r="A482" s="930">
        <v>42776</v>
      </c>
      <c r="B482" s="825" t="str">
        <f>TiposLancamentos!B12</f>
        <v>IPTU</v>
      </c>
      <c r="C482" s="88" t="s">
        <v>6458</v>
      </c>
      <c r="D482" s="828"/>
      <c r="E482" s="931">
        <v>139.77000000000001</v>
      </c>
      <c r="F482" s="135"/>
      <c r="G482" s="1040"/>
    </row>
    <row r="483" spans="1:7">
      <c r="A483" s="921">
        <v>42776</v>
      </c>
      <c r="B483" s="833" t="str">
        <f>TiposLancamentos!B34</f>
        <v>Seguros</v>
      </c>
      <c r="C483" s="916" t="s">
        <v>17519</v>
      </c>
      <c r="D483" s="918"/>
      <c r="E483" s="922">
        <v>262.04000000000002</v>
      </c>
      <c r="F483" s="135">
        <f>SUM(E481:E483)</f>
        <v>2165.11</v>
      </c>
      <c r="G483" s="1040"/>
    </row>
    <row r="484" spans="1:7">
      <c r="A484" s="884">
        <v>42776</v>
      </c>
      <c r="B484" s="138" t="str">
        <f>TiposLancamentos!B103</f>
        <v>Juros_Corr. Poupança</v>
      </c>
      <c r="C484" s="771" t="s">
        <v>17394</v>
      </c>
      <c r="D484" s="197">
        <v>0.42</v>
      </c>
      <c r="E484" s="857"/>
      <c r="F484" s="135"/>
      <c r="G484" s="1040"/>
    </row>
    <row r="485" spans="1:7">
      <c r="A485" s="884">
        <v>42781</v>
      </c>
      <c r="B485" s="138" t="str">
        <f>TiposLancamentos!B95</f>
        <v>Salarios</v>
      </c>
      <c r="C485" s="771" t="s">
        <v>17557</v>
      </c>
      <c r="D485" s="197">
        <v>3528.04</v>
      </c>
      <c r="E485" s="857"/>
      <c r="F485" s="135"/>
      <c r="G485" s="1040"/>
    </row>
    <row r="486" spans="1:7">
      <c r="A486" s="919">
        <v>42781</v>
      </c>
      <c r="B486" s="830" t="str">
        <f>TiposLancamentos!B33</f>
        <v>Pedágios</v>
      </c>
      <c r="C486" s="915" t="s">
        <v>5392</v>
      </c>
      <c r="D486" s="917"/>
      <c r="E486" s="920">
        <v>38.15</v>
      </c>
      <c r="F486" s="135"/>
      <c r="G486" s="1040"/>
    </row>
    <row r="487" spans="1:7">
      <c r="A487" s="930">
        <v>42781</v>
      </c>
      <c r="B487" s="825" t="str">
        <f>TiposLancamentos!B24</f>
        <v>Estacionamentos</v>
      </c>
      <c r="C487" s="88" t="s">
        <v>5863</v>
      </c>
      <c r="D487" s="828"/>
      <c r="E487" s="931">
        <v>23</v>
      </c>
      <c r="F487" s="135"/>
      <c r="G487" s="1040"/>
    </row>
    <row r="488" spans="1:7">
      <c r="A488" s="921">
        <v>42781</v>
      </c>
      <c r="B488" s="833" t="str">
        <f>TiposLancamentos!B24</f>
        <v>Estacionamentos</v>
      </c>
      <c r="C488" s="916" t="s">
        <v>6297</v>
      </c>
      <c r="D488" s="918"/>
      <c r="E488" s="922">
        <v>7</v>
      </c>
      <c r="F488" s="135">
        <f>SUM(E486:E488)</f>
        <v>68.150000000000006</v>
      </c>
      <c r="G488" s="1040"/>
    </row>
    <row r="489" spans="1:7">
      <c r="A489" s="884">
        <v>42781</v>
      </c>
      <c r="B489" s="138" t="str">
        <f>TiposLancamentos!B73</f>
        <v>Cursos</v>
      </c>
      <c r="C489" s="771" t="s">
        <v>17558</v>
      </c>
      <c r="D489" s="197"/>
      <c r="E489" s="857">
        <v>130</v>
      </c>
      <c r="F489" s="135"/>
      <c r="G489" s="1040"/>
    </row>
    <row r="490" spans="1:7">
      <c r="A490" s="884">
        <v>42781</v>
      </c>
      <c r="B490" s="138"/>
      <c r="C490" s="771" t="s">
        <v>14774</v>
      </c>
      <c r="D490" s="197">
        <v>1E-3</v>
      </c>
      <c r="E490" s="857">
        <v>1E-3</v>
      </c>
      <c r="F490" s="135"/>
      <c r="G490" s="1040"/>
    </row>
    <row r="491" spans="1:7">
      <c r="A491" s="919">
        <v>42781</v>
      </c>
      <c r="B491" s="830" t="str">
        <f>TiposLancamentos!B35</f>
        <v>Tv à Cabo</v>
      </c>
      <c r="C491" s="915" t="s">
        <v>5834</v>
      </c>
      <c r="D491" s="917"/>
      <c r="E491" s="920">
        <f>120+11.9</f>
        <v>131.9</v>
      </c>
      <c r="F491" s="135"/>
      <c r="G491" s="1040"/>
    </row>
    <row r="492" spans="1:7">
      <c r="A492" s="930">
        <v>42781</v>
      </c>
      <c r="B492" s="825" t="str">
        <f>TiposLancamentos!B3</f>
        <v>Internet</v>
      </c>
      <c r="C492" s="88" t="s">
        <v>5835</v>
      </c>
      <c r="D492" s="828"/>
      <c r="E492" s="931">
        <v>89.9</v>
      </c>
      <c r="F492" s="135"/>
      <c r="G492" s="1040"/>
    </row>
    <row r="493" spans="1:7">
      <c r="A493" s="921">
        <v>42781</v>
      </c>
      <c r="B493" s="833" t="str">
        <f>TiposLancamentos!B2</f>
        <v>Telefonia</v>
      </c>
      <c r="C493" s="916" t="s">
        <v>7210</v>
      </c>
      <c r="D493" s="918"/>
      <c r="E493" s="922">
        <v>0</v>
      </c>
      <c r="F493" s="135">
        <f>SUM(E491:E493)</f>
        <v>221.8</v>
      </c>
      <c r="G493" s="1040"/>
    </row>
    <row r="494" spans="1:7">
      <c r="A494" s="884">
        <v>42782</v>
      </c>
      <c r="B494" s="138" t="str">
        <f>TiposLancamentos!B17</f>
        <v>GATO</v>
      </c>
      <c r="C494" s="771" t="s">
        <v>17559</v>
      </c>
      <c r="D494" s="197"/>
      <c r="E494" s="857">
        <v>88.99</v>
      </c>
      <c r="F494" s="135"/>
      <c r="G494" s="1040"/>
    </row>
    <row r="495" spans="1:7">
      <c r="A495" s="884">
        <v>42782</v>
      </c>
      <c r="B495" s="138" t="str">
        <f>TiposLancamentos!B19</f>
        <v>Restaurantes</v>
      </c>
      <c r="C495" s="771" t="s">
        <v>7068</v>
      </c>
      <c r="D495" s="197"/>
      <c r="E495" s="857">
        <v>47.11</v>
      </c>
      <c r="F495" s="135"/>
      <c r="G495" s="1040"/>
    </row>
    <row r="496" spans="1:7">
      <c r="A496" s="884">
        <v>42783</v>
      </c>
      <c r="B496" s="138" t="str">
        <f>TiposLancamentos!B19</f>
        <v>Restaurantes</v>
      </c>
      <c r="C496" s="771" t="s">
        <v>17560</v>
      </c>
      <c r="D496" s="197"/>
      <c r="E496" s="857">
        <v>87.34</v>
      </c>
      <c r="F496" s="135"/>
      <c r="G496" s="1040"/>
    </row>
    <row r="497" spans="1:7">
      <c r="A497" s="884">
        <v>42783</v>
      </c>
      <c r="B497" s="138" t="str">
        <f>TiposLancamentos!B20</f>
        <v>Saques</v>
      </c>
      <c r="C497" s="771" t="s">
        <v>3604</v>
      </c>
      <c r="D497" s="197"/>
      <c r="E497" s="857">
        <v>50</v>
      </c>
      <c r="F497" s="135"/>
      <c r="G497" s="1040"/>
    </row>
    <row r="498" spans="1:7">
      <c r="A498" s="884">
        <v>42783</v>
      </c>
      <c r="B498" s="138" t="str">
        <f>TiposLancamentos!B71</f>
        <v>Itens Pessoais</v>
      </c>
      <c r="C498" s="771" t="s">
        <v>17561</v>
      </c>
      <c r="D498" s="197"/>
      <c r="E498" s="857">
        <v>35</v>
      </c>
      <c r="F498" s="135"/>
      <c r="G498" s="1040"/>
    </row>
    <row r="499" spans="1:7">
      <c r="A499" s="884">
        <v>42783</v>
      </c>
      <c r="B499" s="138" t="str">
        <f>TiposLancamentos!B5</f>
        <v>Supermercado</v>
      </c>
      <c r="C499" s="771" t="s">
        <v>17562</v>
      </c>
      <c r="D499" s="197"/>
      <c r="E499" s="857">
        <v>35.159999999999997</v>
      </c>
      <c r="F499" s="135"/>
      <c r="G499" s="1040"/>
    </row>
    <row r="500" spans="1:7">
      <c r="A500" s="884">
        <v>42784</v>
      </c>
      <c r="B500" s="138" t="str">
        <f>TiposLancamentos!B19</f>
        <v>Restaurantes</v>
      </c>
      <c r="C500" s="771" t="s">
        <v>17563</v>
      </c>
      <c r="D500" s="197"/>
      <c r="E500" s="857">
        <v>49.28</v>
      </c>
      <c r="F500" s="135"/>
      <c r="G500" s="1040"/>
    </row>
    <row r="501" spans="1:7">
      <c r="A501" s="884">
        <v>42786</v>
      </c>
      <c r="B501" s="138" t="str">
        <f>TiposLancamentos!B87</f>
        <v>P207-1.6-XS</v>
      </c>
      <c r="C501" s="771" t="s">
        <v>4416</v>
      </c>
      <c r="D501" s="197"/>
      <c r="E501" s="857">
        <v>199.9</v>
      </c>
      <c r="F501" s="135"/>
      <c r="G501" s="1040"/>
    </row>
    <row r="502" spans="1:7">
      <c r="A502" s="884">
        <v>42786</v>
      </c>
      <c r="B502" s="138" t="str">
        <f>TiposLancamentos!B21</f>
        <v>Transf. Poupanca</v>
      </c>
      <c r="C502" s="771" t="s">
        <v>17564</v>
      </c>
      <c r="D502" s="197"/>
      <c r="E502" s="857">
        <v>50</v>
      </c>
      <c r="F502" s="135"/>
      <c r="G502" s="1040"/>
    </row>
    <row r="503" spans="1:7">
      <c r="A503" s="884">
        <v>42786</v>
      </c>
      <c r="B503" s="138" t="str">
        <f>TiposLancamentos!B103</f>
        <v>Juros_Corr. Poupança</v>
      </c>
      <c r="C503" s="771" t="s">
        <v>17394</v>
      </c>
      <c r="D503" s="197">
        <v>0.01</v>
      </c>
      <c r="E503" s="857"/>
      <c r="F503" s="135"/>
      <c r="G503" s="1040"/>
    </row>
    <row r="504" spans="1:7">
      <c r="A504" s="884">
        <v>42787</v>
      </c>
      <c r="B504" s="138" t="str">
        <f>TiposLancamentos!B5</f>
        <v>Supermercado</v>
      </c>
      <c r="C504" s="771" t="s">
        <v>6234</v>
      </c>
      <c r="D504" s="197"/>
      <c r="E504" s="857">
        <v>153.27000000000001</v>
      </c>
      <c r="F504" s="135"/>
      <c r="G504" s="1040"/>
    </row>
    <row r="505" spans="1:7">
      <c r="A505" s="884">
        <v>42756</v>
      </c>
      <c r="B505" s="138" t="str">
        <f>TiposLancamentos!B103</f>
        <v>Juros_Corr. Poupança</v>
      </c>
      <c r="C505" s="771" t="s">
        <v>17394</v>
      </c>
      <c r="D505" s="197">
        <v>0.01</v>
      </c>
      <c r="E505" s="857"/>
      <c r="F505" s="135"/>
      <c r="G505" s="1040"/>
    </row>
    <row r="506" spans="1:7">
      <c r="A506" s="884">
        <v>42788</v>
      </c>
      <c r="B506" s="138" t="str">
        <f>TiposLancamentos!B5</f>
        <v>Supermercado</v>
      </c>
      <c r="C506" s="771" t="s">
        <v>11107</v>
      </c>
      <c r="D506" s="197"/>
      <c r="E506" s="857">
        <v>69.900000000000006</v>
      </c>
      <c r="F506" s="135"/>
      <c r="G506" s="1040"/>
    </row>
    <row r="507" spans="1:7">
      <c r="A507" s="884">
        <v>42788</v>
      </c>
      <c r="B507" s="138" t="str">
        <f>TiposLancamentos!B103</f>
        <v>Juros_Corr. Poupança</v>
      </c>
      <c r="C507" s="771" t="s">
        <v>17394</v>
      </c>
      <c r="D507" s="197">
        <v>0.01</v>
      </c>
      <c r="E507" s="857"/>
      <c r="F507" s="135"/>
      <c r="G507" s="1040"/>
    </row>
    <row r="508" spans="1:7">
      <c r="A508" s="884">
        <v>42789</v>
      </c>
      <c r="B508" s="138" t="str">
        <f>TiposLancamentos!B6</f>
        <v>Energia Eletrica</v>
      </c>
      <c r="C508" s="771" t="s">
        <v>5030</v>
      </c>
      <c r="D508" s="197"/>
      <c r="E508" s="857">
        <v>201.35</v>
      </c>
      <c r="F508" s="135"/>
      <c r="G508" s="1040"/>
    </row>
    <row r="509" spans="1:7">
      <c r="A509" s="884">
        <v>42789</v>
      </c>
      <c r="B509" s="138" t="str">
        <f>TiposLancamentos!B19</f>
        <v>Restaurantes</v>
      </c>
      <c r="C509" s="771" t="s">
        <v>17565</v>
      </c>
      <c r="D509" s="197"/>
      <c r="E509" s="857">
        <v>168.08</v>
      </c>
      <c r="F509" s="135"/>
      <c r="G509" s="1040"/>
    </row>
    <row r="510" spans="1:7">
      <c r="A510" s="884">
        <v>42789</v>
      </c>
      <c r="B510" s="138" t="str">
        <f>TiposLancamentos!B56</f>
        <v>Farmácia</v>
      </c>
      <c r="C510" s="771" t="s">
        <v>17566</v>
      </c>
      <c r="D510" s="197"/>
      <c r="E510" s="857">
        <v>79.180000000000007</v>
      </c>
      <c r="F510" s="135"/>
      <c r="G510" s="1040"/>
    </row>
    <row r="511" spans="1:7">
      <c r="A511" s="884">
        <v>42789</v>
      </c>
      <c r="B511" s="138" t="str">
        <f>TiposLancamentos!B103</f>
        <v>Juros_Corr. Poupança</v>
      </c>
      <c r="C511" s="771" t="s">
        <v>17394</v>
      </c>
      <c r="D511" s="197">
        <v>0.06</v>
      </c>
      <c r="E511" s="857"/>
      <c r="F511" s="135"/>
      <c r="G511" s="1040"/>
    </row>
    <row r="512" spans="1:7">
      <c r="A512" s="884">
        <v>42790</v>
      </c>
      <c r="B512" s="138" t="str">
        <f>TiposLancamentos!B22</f>
        <v>Combustivel</v>
      </c>
      <c r="C512" s="771" t="s">
        <v>17567</v>
      </c>
      <c r="D512" s="197"/>
      <c r="E512" s="857">
        <v>120</v>
      </c>
      <c r="F512" s="135"/>
      <c r="G512" s="1040"/>
    </row>
    <row r="513" spans="1:7">
      <c r="A513" s="884">
        <v>42790</v>
      </c>
      <c r="B513" s="138" t="str">
        <f>TiposLancamentos!B19</f>
        <v>Restaurantes</v>
      </c>
      <c r="C513" s="771" t="s">
        <v>17568</v>
      </c>
      <c r="D513" s="197"/>
      <c r="E513" s="857">
        <v>118.4</v>
      </c>
      <c r="F513" s="135"/>
      <c r="G513" s="1040"/>
    </row>
    <row r="514" spans="1:7">
      <c r="A514" s="884">
        <v>42790</v>
      </c>
      <c r="B514" s="138" t="str">
        <f>TiposLancamentos!B19</f>
        <v>Restaurantes</v>
      </c>
      <c r="C514" s="771" t="s">
        <v>17569</v>
      </c>
      <c r="D514" s="197"/>
      <c r="E514" s="857">
        <v>30.1</v>
      </c>
      <c r="F514" s="135"/>
      <c r="G514" s="1040"/>
    </row>
    <row r="515" spans="1:7">
      <c r="A515" s="884">
        <v>42790</v>
      </c>
      <c r="B515" s="138" t="str">
        <f>TiposLancamentos!B22</f>
        <v>Combustivel</v>
      </c>
      <c r="C515" s="771" t="s">
        <v>17570</v>
      </c>
      <c r="D515" s="197"/>
      <c r="E515" s="857">
        <v>142</v>
      </c>
      <c r="F515" s="135"/>
      <c r="G515" s="1040"/>
    </row>
    <row r="516" spans="1:7">
      <c r="A516" s="884">
        <v>42790</v>
      </c>
      <c r="B516" s="138" t="str">
        <f>TiposLancamentos!B95</f>
        <v>Salarios</v>
      </c>
      <c r="C516" s="771" t="s">
        <v>17362</v>
      </c>
      <c r="D516" s="197">
        <v>6342.38</v>
      </c>
      <c r="E516" s="857"/>
      <c r="F516" s="135"/>
      <c r="G516" s="1040"/>
    </row>
    <row r="517" spans="1:7">
      <c r="A517" s="884">
        <v>42791</v>
      </c>
      <c r="B517" s="138" t="str">
        <f>TiposLancamentos!B16</f>
        <v>Cristiane</v>
      </c>
      <c r="C517" s="771" t="s">
        <v>6052</v>
      </c>
      <c r="D517" s="197"/>
      <c r="E517" s="857">
        <v>133.46</v>
      </c>
      <c r="F517" s="135"/>
      <c r="G517" s="1040"/>
    </row>
    <row r="518" spans="1:7">
      <c r="A518" s="884">
        <v>42791</v>
      </c>
      <c r="B518" s="138" t="str">
        <f>TiposLancamentos!B19</f>
        <v>Restaurantes</v>
      </c>
      <c r="C518" s="771" t="s">
        <v>17571</v>
      </c>
      <c r="D518" s="197"/>
      <c r="E518" s="857">
        <v>9</v>
      </c>
      <c r="F518" s="135"/>
      <c r="G518" s="1040"/>
    </row>
    <row r="519" spans="1:7">
      <c r="A519" s="884">
        <v>42791</v>
      </c>
      <c r="B519" s="138" t="str">
        <f>TiposLancamentos!B19</f>
        <v>Restaurantes</v>
      </c>
      <c r="C519" s="771" t="s">
        <v>17572</v>
      </c>
      <c r="D519" s="197"/>
      <c r="E519" s="857">
        <v>14.8</v>
      </c>
      <c r="F519" s="135"/>
      <c r="G519" s="1040"/>
    </row>
    <row r="520" spans="1:7">
      <c r="A520" s="884">
        <v>42791</v>
      </c>
      <c r="B520" s="138" t="str">
        <f>TiposLancamentos!B19</f>
        <v>Restaurantes</v>
      </c>
      <c r="C520" s="771" t="s">
        <v>17573</v>
      </c>
      <c r="D520" s="197"/>
      <c r="E520" s="857">
        <v>34.799999999999997</v>
      </c>
      <c r="F520" s="135"/>
      <c r="G520" s="1040"/>
    </row>
    <row r="521" spans="1:7">
      <c r="A521" s="884">
        <v>42792</v>
      </c>
      <c r="B521" s="138" t="str">
        <f>TiposLancamentos!B19</f>
        <v>Restaurantes</v>
      </c>
      <c r="C521" s="771" t="s">
        <v>17572</v>
      </c>
      <c r="D521" s="197"/>
      <c r="E521" s="857">
        <v>17.7</v>
      </c>
      <c r="F521" s="135"/>
      <c r="G521" s="1040"/>
    </row>
    <row r="522" spans="1:7">
      <c r="A522" s="884">
        <v>42793</v>
      </c>
      <c r="B522" s="138" t="str">
        <f>TiposLancamentos!B22</f>
        <v>Combustivel</v>
      </c>
      <c r="C522" s="771" t="s">
        <v>17567</v>
      </c>
      <c r="D522" s="197"/>
      <c r="E522" s="857">
        <v>121.26</v>
      </c>
      <c r="F522" s="135"/>
      <c r="G522" s="1040"/>
    </row>
    <row r="523" spans="1:7">
      <c r="A523" s="884">
        <v>42793</v>
      </c>
      <c r="B523" s="138" t="str">
        <f>TiposLancamentos!B19</f>
        <v>Restaurantes</v>
      </c>
      <c r="C523" s="771" t="s">
        <v>17574</v>
      </c>
      <c r="D523" s="197"/>
      <c r="E523" s="857">
        <v>48.2</v>
      </c>
      <c r="F523" s="135"/>
      <c r="G523" s="1040"/>
    </row>
    <row r="524" spans="1:7">
      <c r="A524" s="884">
        <v>42793</v>
      </c>
      <c r="B524" s="138" t="str">
        <f>TiposLancamentos!B19</f>
        <v>Restaurantes</v>
      </c>
      <c r="C524" s="771" t="s">
        <v>17575</v>
      </c>
      <c r="D524" s="197"/>
      <c r="E524" s="857">
        <v>22.77</v>
      </c>
      <c r="F524" s="135"/>
      <c r="G524" s="1040"/>
    </row>
    <row r="525" spans="1:7">
      <c r="A525" s="884">
        <v>42794</v>
      </c>
      <c r="B525" s="138" t="str">
        <f>TiposLancamentos!B19</f>
        <v>Restaurantes</v>
      </c>
      <c r="C525" s="771" t="s">
        <v>6952</v>
      </c>
      <c r="D525" s="197"/>
      <c r="E525" s="857">
        <v>165</v>
      </c>
      <c r="F525" s="135"/>
      <c r="G525" s="1040"/>
    </row>
    <row r="526" spans="1:7">
      <c r="A526" s="884">
        <v>42794</v>
      </c>
      <c r="B526" s="138" t="str">
        <f>TiposLancamentos!B24</f>
        <v>Estacionamentos</v>
      </c>
      <c r="C526" s="771" t="s">
        <v>3617</v>
      </c>
      <c r="D526" s="197"/>
      <c r="E526" s="857">
        <v>18</v>
      </c>
      <c r="F526" s="135"/>
      <c r="G526" s="1040"/>
    </row>
    <row r="527" spans="1:7">
      <c r="A527" s="884">
        <v>42794</v>
      </c>
      <c r="B527" s="138" t="str">
        <f>TiposLancamentos!B24</f>
        <v>Estacionamentos</v>
      </c>
      <c r="C527" s="771" t="s">
        <v>17576</v>
      </c>
      <c r="D527" s="197"/>
      <c r="E527" s="857">
        <v>18</v>
      </c>
      <c r="F527" s="135"/>
      <c r="G527" s="1040"/>
    </row>
    <row r="528" spans="1:7" ht="14.25" thickBot="1">
      <c r="A528" s="884">
        <v>42794</v>
      </c>
      <c r="B528" s="138" t="str">
        <f>TiposLancamentos!B5</f>
        <v>Supermercado</v>
      </c>
      <c r="C528" s="771" t="s">
        <v>6234</v>
      </c>
      <c r="D528" s="197"/>
      <c r="E528" s="857">
        <v>11.47</v>
      </c>
      <c r="F528" s="135"/>
      <c r="G528" s="1040"/>
    </row>
    <row r="529" spans="1:7">
      <c r="A529" s="967"/>
      <c r="B529" s="968"/>
      <c r="C529" s="1093" t="s">
        <v>17112</v>
      </c>
      <c r="D529" s="970"/>
      <c r="E529" s="971"/>
      <c r="F529" s="1712"/>
      <c r="G529" s="1039"/>
    </row>
    <row r="530" spans="1:7">
      <c r="A530" s="884">
        <v>42795</v>
      </c>
      <c r="B530" s="138" t="str">
        <f>TiposLancamentos!B53</f>
        <v>Auxilio Idoso</v>
      </c>
      <c r="C530" s="771" t="s">
        <v>17577</v>
      </c>
      <c r="D530" s="197"/>
      <c r="E530" s="857">
        <v>1500</v>
      </c>
      <c r="F530" s="135"/>
      <c r="G530" s="1040"/>
    </row>
    <row r="531" spans="1:7">
      <c r="A531" s="884">
        <v>42795</v>
      </c>
      <c r="B531" s="138" t="str">
        <f>TiposLancamentos!B15</f>
        <v>Cartões de Crédito</v>
      </c>
      <c r="C531" s="771" t="s">
        <v>7333</v>
      </c>
      <c r="D531" s="197"/>
      <c r="E531" s="857">
        <v>2338.6</v>
      </c>
      <c r="F531" s="135"/>
      <c r="G531" s="1040"/>
    </row>
    <row r="532" spans="1:7">
      <c r="A532" s="884">
        <v>42795</v>
      </c>
      <c r="B532" s="138" t="str">
        <f>TiposLancamentos!B15</f>
        <v>Cartões de Crédito</v>
      </c>
      <c r="C532" s="771" t="s">
        <v>7391</v>
      </c>
      <c r="D532" s="197"/>
      <c r="E532" s="857">
        <v>2253.81</v>
      </c>
      <c r="F532" s="135"/>
      <c r="G532" s="1040"/>
    </row>
    <row r="533" spans="1:7">
      <c r="A533" s="884">
        <v>42795</v>
      </c>
      <c r="B533" s="138" t="str">
        <f>TiposLancamentos!B15</f>
        <v>Cartões de Crédito</v>
      </c>
      <c r="C533" s="771" t="s">
        <v>7161</v>
      </c>
      <c r="D533" s="197"/>
      <c r="E533" s="857">
        <v>1054.01</v>
      </c>
      <c r="F533" s="135"/>
      <c r="G533" s="1040"/>
    </row>
    <row r="534" spans="1:7">
      <c r="A534" s="884">
        <v>42795</v>
      </c>
      <c r="B534" s="138" t="str">
        <f>TiposLancamentos!B4</f>
        <v>Taxas Bancarias</v>
      </c>
      <c r="C534" s="771" t="s">
        <v>17578</v>
      </c>
      <c r="D534" s="197"/>
      <c r="E534" s="857">
        <v>0.2</v>
      </c>
      <c r="F534" s="135"/>
      <c r="G534" s="1040"/>
    </row>
    <row r="535" spans="1:7">
      <c r="A535" s="884">
        <v>42795</v>
      </c>
      <c r="B535" s="138" t="str">
        <f>TiposLancamentos!B4</f>
        <v>Taxas Bancarias</v>
      </c>
      <c r="C535" s="771" t="s">
        <v>17579</v>
      </c>
      <c r="D535" s="197"/>
      <c r="E535" s="857">
        <v>1.86</v>
      </c>
      <c r="F535" s="135"/>
      <c r="G535" s="1040"/>
    </row>
    <row r="536" spans="1:7">
      <c r="A536" s="884">
        <v>42795</v>
      </c>
      <c r="B536" s="138" t="str">
        <f>TiposLancamentos!B103</f>
        <v>Juros_Corr. Poupança</v>
      </c>
      <c r="C536" s="771" t="s">
        <v>17394</v>
      </c>
      <c r="D536" s="197">
        <v>0.45</v>
      </c>
      <c r="E536" s="857"/>
      <c r="F536" s="135"/>
      <c r="G536" s="1040"/>
    </row>
    <row r="537" spans="1:7">
      <c r="A537" s="884">
        <v>42798</v>
      </c>
      <c r="B537" s="138" t="str">
        <f>TiposLancamentos!B24</f>
        <v>Estacionamentos</v>
      </c>
      <c r="C537" s="771" t="s">
        <v>3398</v>
      </c>
      <c r="D537" s="197"/>
      <c r="E537" s="857">
        <v>10</v>
      </c>
      <c r="F537" s="135"/>
      <c r="G537" s="1040"/>
    </row>
    <row r="538" spans="1:7">
      <c r="A538" s="884">
        <v>42800</v>
      </c>
      <c r="B538" s="138" t="str">
        <f>TiposLancamentos!B9</f>
        <v>Condominio</v>
      </c>
      <c r="C538" s="771" t="s">
        <v>7239</v>
      </c>
      <c r="D538" s="197"/>
      <c r="E538" s="857">
        <v>1230.4100000000001</v>
      </c>
      <c r="F538" s="135"/>
      <c r="G538" s="1040"/>
    </row>
    <row r="539" spans="1:7">
      <c r="A539" s="884">
        <v>42801</v>
      </c>
      <c r="B539" s="138" t="str">
        <f>TiposLancamentos!B2</f>
        <v>Telefonia</v>
      </c>
      <c r="C539" s="771" t="s">
        <v>17580</v>
      </c>
      <c r="D539" s="197"/>
      <c r="E539" s="857">
        <v>154.9</v>
      </c>
      <c r="F539" s="135"/>
      <c r="G539" s="1040"/>
    </row>
    <row r="540" spans="1:7">
      <c r="A540" s="884">
        <v>42802</v>
      </c>
      <c r="B540" s="138" t="str">
        <f>TiposLancamentos!B48</f>
        <v>Baralhos e Oráculos</v>
      </c>
      <c r="C540" s="771" t="s">
        <v>17581</v>
      </c>
      <c r="D540" s="197"/>
      <c r="E540" s="857">
        <v>320</v>
      </c>
      <c r="F540" s="135"/>
      <c r="G540" s="1040"/>
    </row>
    <row r="541" spans="1:7">
      <c r="A541" s="884">
        <v>42802</v>
      </c>
      <c r="B541" s="138" t="str">
        <f>TiposLancamentos!B24</f>
        <v>Estacionamentos</v>
      </c>
      <c r="C541" s="771" t="s">
        <v>17582</v>
      </c>
      <c r="D541" s="197"/>
      <c r="E541" s="857">
        <v>200</v>
      </c>
      <c r="F541" s="135"/>
      <c r="G541" s="1040"/>
    </row>
    <row r="542" spans="1:7">
      <c r="A542" s="884">
        <v>42802</v>
      </c>
      <c r="B542" s="138" t="str">
        <f>TiposLancamentos!B19</f>
        <v>Restaurantes</v>
      </c>
      <c r="C542" s="771" t="s">
        <v>7172</v>
      </c>
      <c r="D542" s="197"/>
      <c r="E542" s="857">
        <v>4.5</v>
      </c>
      <c r="F542" s="135"/>
      <c r="G542" s="1040"/>
    </row>
    <row r="543" spans="1:7">
      <c r="A543" s="884">
        <v>42803</v>
      </c>
      <c r="B543" s="138" t="str">
        <f>TiposLancamentos!B19</f>
        <v>Restaurantes</v>
      </c>
      <c r="C543" s="771" t="s">
        <v>6413</v>
      </c>
      <c r="D543" s="197"/>
      <c r="E543" s="857">
        <v>76.45</v>
      </c>
      <c r="F543" s="135"/>
      <c r="G543" s="1040"/>
    </row>
    <row r="544" spans="1:7">
      <c r="A544" s="919">
        <v>42804</v>
      </c>
      <c r="B544" s="830" t="str">
        <f>TiposLancamentos!B8</f>
        <v>Aluguel</v>
      </c>
      <c r="C544" s="915" t="s">
        <v>6163</v>
      </c>
      <c r="D544" s="917"/>
      <c r="E544" s="920">
        <f>1757+4.8+1.5</f>
        <v>1763.3</v>
      </c>
      <c r="F544" s="135"/>
      <c r="G544" s="1040"/>
    </row>
    <row r="545" spans="1:7">
      <c r="A545" s="930">
        <v>42804</v>
      </c>
      <c r="B545" s="825" t="str">
        <f>TiposLancamentos!B12</f>
        <v>IPTU</v>
      </c>
      <c r="C545" s="88" t="s">
        <v>6485</v>
      </c>
      <c r="D545" s="828"/>
      <c r="E545" s="931">
        <v>139.77000000000001</v>
      </c>
      <c r="F545" s="135"/>
      <c r="G545" s="1040"/>
    </row>
    <row r="546" spans="1:7">
      <c r="A546" s="921">
        <v>42804</v>
      </c>
      <c r="B546" s="833" t="str">
        <f>TiposLancamentos!B35</f>
        <v>Tv à Cabo</v>
      </c>
      <c r="C546" s="916" t="s">
        <v>17583</v>
      </c>
      <c r="D546" s="918"/>
      <c r="E546" s="922">
        <v>262.04000000000002</v>
      </c>
      <c r="F546" s="135">
        <f>SUM(E544:E546)</f>
        <v>2165.11</v>
      </c>
      <c r="G546" s="1040"/>
    </row>
    <row r="547" spans="1:7">
      <c r="A547" s="884">
        <v>42804</v>
      </c>
      <c r="B547" s="138" t="str">
        <f>TiposLancamentos!B20</f>
        <v>Saques</v>
      </c>
      <c r="C547" s="771" t="s">
        <v>3604</v>
      </c>
      <c r="D547" s="197"/>
      <c r="E547" s="857">
        <v>100</v>
      </c>
      <c r="F547" s="135"/>
      <c r="G547" s="1040"/>
    </row>
    <row r="548" spans="1:7">
      <c r="A548" s="884">
        <v>42805</v>
      </c>
      <c r="B548" s="138" t="str">
        <f>TiposLancamentos!B19</f>
        <v>Restaurantes</v>
      </c>
      <c r="C548" s="771" t="s">
        <v>17584</v>
      </c>
      <c r="D548" s="197"/>
      <c r="E548" s="857">
        <v>6</v>
      </c>
      <c r="F548" s="135"/>
      <c r="G548" s="1040"/>
    </row>
    <row r="549" spans="1:7">
      <c r="A549" s="919">
        <v>42809</v>
      </c>
      <c r="B549" s="830" t="str">
        <f>TiposLancamentos!B33</f>
        <v>Pedágios</v>
      </c>
      <c r="C549" s="915" t="s">
        <v>5392</v>
      </c>
      <c r="D549" s="917"/>
      <c r="E549" s="920">
        <f>(16.41+21.74+236.4)</f>
        <v>274.55</v>
      </c>
      <c r="F549" s="135"/>
      <c r="G549" s="1040"/>
    </row>
    <row r="550" spans="1:7">
      <c r="A550" s="930">
        <v>42809</v>
      </c>
      <c r="B550" s="825" t="str">
        <f>TiposLancamentos!B24</f>
        <v>Estacionamentos</v>
      </c>
      <c r="C550" s="88" t="s">
        <v>5863</v>
      </c>
      <c r="D550" s="828"/>
      <c r="E550" s="931">
        <v>33</v>
      </c>
      <c r="F550" s="135"/>
      <c r="G550" s="1040"/>
    </row>
    <row r="551" spans="1:7">
      <c r="A551" s="921">
        <v>42809</v>
      </c>
      <c r="B551" s="833" t="str">
        <f>TiposLancamentos!B24</f>
        <v>Estacionamentos</v>
      </c>
      <c r="C551" s="916" t="s">
        <v>6297</v>
      </c>
      <c r="D551" s="918"/>
      <c r="E551" s="922">
        <v>3.5</v>
      </c>
      <c r="F551" s="135">
        <f>SUM(E549:E551)</f>
        <v>311.05</v>
      </c>
      <c r="G551" s="1040"/>
    </row>
    <row r="552" spans="1:7">
      <c r="A552" s="884">
        <v>42809</v>
      </c>
      <c r="B552" s="138"/>
      <c r="C552" s="771" t="s">
        <v>14774</v>
      </c>
      <c r="D552" s="197">
        <v>1E-3</v>
      </c>
      <c r="E552" s="857">
        <v>1E-3</v>
      </c>
      <c r="F552" s="135"/>
      <c r="G552" s="1040"/>
    </row>
    <row r="553" spans="1:7">
      <c r="A553" s="919">
        <v>42809</v>
      </c>
      <c r="B553" s="830" t="str">
        <f>TiposLancamentos!B35</f>
        <v>Tv à Cabo</v>
      </c>
      <c r="C553" s="915" t="s">
        <v>5834</v>
      </c>
      <c r="D553" s="917"/>
      <c r="E553" s="920">
        <f>120</f>
        <v>120</v>
      </c>
      <c r="F553" s="135"/>
      <c r="G553" s="1040"/>
    </row>
    <row r="554" spans="1:7">
      <c r="A554" s="930">
        <v>42809</v>
      </c>
      <c r="B554" s="825" t="str">
        <f>TiposLancamentos!B3</f>
        <v>Internet</v>
      </c>
      <c r="C554" s="88" t="s">
        <v>5835</v>
      </c>
      <c r="D554" s="828"/>
      <c r="E554" s="931">
        <v>89.9</v>
      </c>
      <c r="F554" s="135"/>
      <c r="G554" s="1040"/>
    </row>
    <row r="555" spans="1:7">
      <c r="A555" s="921">
        <v>42809</v>
      </c>
      <c r="B555" s="833" t="str">
        <f>TiposLancamentos!B2</f>
        <v>Telefonia</v>
      </c>
      <c r="C555" s="916" t="s">
        <v>7210</v>
      </c>
      <c r="D555" s="918"/>
      <c r="E555" s="922">
        <v>0</v>
      </c>
      <c r="F555" s="135">
        <f>SUM(E553:E555)</f>
        <v>209.9</v>
      </c>
      <c r="G555" s="1040"/>
    </row>
    <row r="556" spans="1:7">
      <c r="A556" s="884">
        <v>42809</v>
      </c>
      <c r="B556" s="138" t="str">
        <f>TiposLancamentos!B95</f>
        <v>Salarios</v>
      </c>
      <c r="C556" s="771" t="s">
        <v>17557</v>
      </c>
      <c r="D556" s="197">
        <v>3528.04</v>
      </c>
      <c r="E556" s="857"/>
      <c r="F556" s="135"/>
      <c r="G556" s="1040"/>
    </row>
    <row r="557" spans="1:7">
      <c r="A557" s="884">
        <v>42809</v>
      </c>
      <c r="B557" s="138" t="str">
        <f>TiposLancamentos!B19</f>
        <v>Restaurantes</v>
      </c>
      <c r="C557" s="771" t="s">
        <v>17585</v>
      </c>
      <c r="D557" s="197"/>
      <c r="E557" s="857">
        <v>4.5</v>
      </c>
      <c r="F557" s="135"/>
      <c r="G557" s="1040"/>
    </row>
    <row r="558" spans="1:7">
      <c r="A558" s="884">
        <v>42809</v>
      </c>
      <c r="B558" s="138" t="str">
        <f>TiposLancamentos!B59</f>
        <v>Documentos</v>
      </c>
      <c r="C558" s="771" t="s">
        <v>17586</v>
      </c>
      <c r="D558" s="197"/>
      <c r="E558" s="857">
        <v>132.49</v>
      </c>
      <c r="F558" s="135"/>
      <c r="G558" s="1040"/>
    </row>
    <row r="559" spans="1:7">
      <c r="A559" s="884">
        <v>42810</v>
      </c>
      <c r="B559" s="138" t="str">
        <f>TiposLancamentos!B56</f>
        <v>Farmácia</v>
      </c>
      <c r="C559" s="771" t="s">
        <v>17587</v>
      </c>
      <c r="D559" s="197"/>
      <c r="E559" s="857">
        <v>3.69</v>
      </c>
      <c r="F559" s="135"/>
      <c r="G559" s="1040"/>
    </row>
    <row r="560" spans="1:7">
      <c r="A560" s="884">
        <v>42814</v>
      </c>
      <c r="B560" s="138" t="str">
        <f>TiposLancamentos!B26</f>
        <v>LIVROS</v>
      </c>
      <c r="C560" s="771" t="s">
        <v>17588</v>
      </c>
      <c r="D560" s="197"/>
      <c r="E560" s="857">
        <v>165</v>
      </c>
      <c r="F560" s="135"/>
      <c r="G560" s="1040"/>
    </row>
    <row r="561" spans="1:7">
      <c r="A561" s="884">
        <v>42814</v>
      </c>
      <c r="B561" s="138" t="str">
        <f>TiposLancamentos!B102</f>
        <v>ESTORNO</v>
      </c>
      <c r="C561" s="771" t="s">
        <v>17589</v>
      </c>
      <c r="D561" s="197">
        <v>165</v>
      </c>
      <c r="E561" s="857"/>
      <c r="F561" s="135"/>
      <c r="G561" s="1040"/>
    </row>
    <row r="562" spans="1:7">
      <c r="A562" s="884">
        <v>42815</v>
      </c>
      <c r="B562" s="138" t="str">
        <f>TiposLancamentos!B20</f>
        <v>Saques</v>
      </c>
      <c r="C562" s="771" t="s">
        <v>3604</v>
      </c>
      <c r="D562" s="197"/>
      <c r="E562" s="857">
        <v>20</v>
      </c>
      <c r="F562" s="135"/>
      <c r="G562" s="1040"/>
    </row>
    <row r="563" spans="1:7">
      <c r="A563" s="884">
        <v>42815</v>
      </c>
      <c r="B563" s="138" t="str">
        <f>TiposLancamentos!B19</f>
        <v>Restaurantes</v>
      </c>
      <c r="C563" s="771" t="s">
        <v>17590</v>
      </c>
      <c r="D563" s="197"/>
      <c r="E563" s="857">
        <v>4.7</v>
      </c>
      <c r="F563" s="135"/>
      <c r="G563" s="1040"/>
    </row>
    <row r="564" spans="1:7">
      <c r="A564" s="884">
        <v>42817</v>
      </c>
      <c r="B564" s="138" t="str">
        <f>TiposLancamentos!B16</f>
        <v>Cristiane</v>
      </c>
      <c r="C564" s="771" t="s">
        <v>5926</v>
      </c>
      <c r="D564" s="197"/>
      <c r="E564" s="857">
        <v>244.15</v>
      </c>
      <c r="F564" s="135"/>
      <c r="G564" s="1040"/>
    </row>
    <row r="565" spans="1:7">
      <c r="A565" s="884">
        <v>42817</v>
      </c>
      <c r="B565" s="138" t="str">
        <f>TiposLancamentos!B19</f>
        <v>Restaurantes</v>
      </c>
      <c r="C565" s="771" t="s">
        <v>17591</v>
      </c>
      <c r="D565" s="197"/>
      <c r="E565" s="857">
        <v>12.55</v>
      </c>
      <c r="F565" s="135"/>
      <c r="G565" s="1040"/>
    </row>
    <row r="566" spans="1:7">
      <c r="A566" s="884">
        <v>42819</v>
      </c>
      <c r="B566" s="138" t="str">
        <f>TiposLancamentos!B20</f>
        <v>Saques</v>
      </c>
      <c r="C566" s="771" t="s">
        <v>17592</v>
      </c>
      <c r="D566" s="197"/>
      <c r="E566" s="857">
        <v>20</v>
      </c>
      <c r="F566" s="135"/>
      <c r="G566" s="1040"/>
    </row>
    <row r="567" spans="1:7">
      <c r="A567" s="884">
        <v>42819</v>
      </c>
      <c r="B567" s="138" t="str">
        <f>TiposLancamentos!B24</f>
        <v>Estacionamentos</v>
      </c>
      <c r="C567" s="771" t="s">
        <v>7140</v>
      </c>
      <c r="D567" s="197"/>
      <c r="E567" s="857">
        <v>8</v>
      </c>
      <c r="F567" s="135"/>
      <c r="G567" s="1040"/>
    </row>
    <row r="568" spans="1:7">
      <c r="A568" s="884">
        <v>42819</v>
      </c>
      <c r="B568" s="138" t="str">
        <f>TiposLancamentos!B24</f>
        <v>Estacionamentos</v>
      </c>
      <c r="C568" s="771" t="s">
        <v>3398</v>
      </c>
      <c r="D568" s="197"/>
      <c r="E568" s="857">
        <v>10</v>
      </c>
      <c r="F568" s="135"/>
      <c r="G568" s="1040"/>
    </row>
    <row r="569" spans="1:7">
      <c r="A569" s="884">
        <v>42820</v>
      </c>
      <c r="B569" s="138" t="str">
        <f>TiposLancamentos!B19</f>
        <v>Restaurantes</v>
      </c>
      <c r="C569" s="771" t="s">
        <v>17593</v>
      </c>
      <c r="D569" s="197"/>
      <c r="E569" s="857">
        <v>100</v>
      </c>
      <c r="F569" s="135"/>
      <c r="G569" s="1040"/>
    </row>
    <row r="570" spans="1:7">
      <c r="A570" s="884">
        <v>42822</v>
      </c>
      <c r="B570" s="138" t="str">
        <f>TiposLancamentos!B6</f>
        <v>Energia Eletrica</v>
      </c>
      <c r="C570" s="771" t="s">
        <v>17594</v>
      </c>
      <c r="D570" s="197"/>
      <c r="E570" s="857">
        <v>212.62</v>
      </c>
      <c r="F570" s="135"/>
      <c r="G570" s="1040"/>
    </row>
    <row r="571" spans="1:7">
      <c r="A571" s="884">
        <v>42823</v>
      </c>
      <c r="B571" s="138" t="str">
        <f>TiposLancamentos!B19</f>
        <v>Restaurantes</v>
      </c>
      <c r="C571" s="771" t="s">
        <v>17595</v>
      </c>
      <c r="D571" s="197"/>
      <c r="E571" s="857">
        <v>14</v>
      </c>
      <c r="F571" s="135"/>
      <c r="G571" s="1040"/>
    </row>
    <row r="572" spans="1:7">
      <c r="A572" s="884">
        <v>42823</v>
      </c>
      <c r="B572" s="138" t="str">
        <f>TiposLancamentos!B26</f>
        <v>LIVROS</v>
      </c>
      <c r="C572" s="771" t="s">
        <v>17596</v>
      </c>
      <c r="D572" s="197"/>
      <c r="E572" s="857">
        <v>48</v>
      </c>
      <c r="F572" s="135"/>
      <c r="G572" s="1040"/>
    </row>
    <row r="573" spans="1:7">
      <c r="A573" s="884">
        <v>42824</v>
      </c>
      <c r="B573" s="138" t="str">
        <f>TiposLancamentos!B95</f>
        <v>Salarios</v>
      </c>
      <c r="C573" s="771" t="s">
        <v>17362</v>
      </c>
      <c r="D573" s="197">
        <v>8743.0400000000009</v>
      </c>
      <c r="E573" s="857"/>
      <c r="F573" s="135"/>
      <c r="G573" s="1040"/>
    </row>
    <row r="574" spans="1:7">
      <c r="A574" s="884">
        <v>42825</v>
      </c>
      <c r="B574" s="138" t="str">
        <f>TiposLancamentos!B32</f>
        <v>Clinicas e tratamentos</v>
      </c>
      <c r="C574" s="771" t="s">
        <v>17597</v>
      </c>
      <c r="D574" s="197"/>
      <c r="E574" s="857">
        <v>250</v>
      </c>
      <c r="F574" s="135"/>
      <c r="G574" s="1040"/>
    </row>
    <row r="575" spans="1:7">
      <c r="A575" s="884">
        <v>42825</v>
      </c>
      <c r="B575" s="138" t="str">
        <f>TiposLancamentos!B32</f>
        <v>Clinicas e tratamentos</v>
      </c>
      <c r="C575" s="771" t="s">
        <v>17598</v>
      </c>
      <c r="D575" s="197"/>
      <c r="E575" s="857">
        <v>650</v>
      </c>
      <c r="F575" s="135"/>
      <c r="G575" s="1040"/>
    </row>
    <row r="576" spans="1:7">
      <c r="A576" s="884">
        <v>42825</v>
      </c>
      <c r="B576" s="138" t="str">
        <f>TiposLancamentos!B38</f>
        <v>Playstation 4</v>
      </c>
      <c r="C576" s="771" t="s">
        <v>17599</v>
      </c>
      <c r="D576" s="197"/>
      <c r="E576" s="857">
        <v>20</v>
      </c>
      <c r="F576" s="135"/>
      <c r="G576" s="1040"/>
    </row>
    <row r="577" spans="1:7" ht="14.25" thickBot="1">
      <c r="A577" s="884">
        <v>42825</v>
      </c>
      <c r="B577" s="138" t="str">
        <f>TiposLancamentos!B4</f>
        <v>Taxas Bancarias</v>
      </c>
      <c r="C577" s="771" t="s">
        <v>17600</v>
      </c>
      <c r="D577" s="197"/>
      <c r="E577" s="857">
        <v>352.55</v>
      </c>
      <c r="F577" s="135"/>
      <c r="G577" s="1040"/>
    </row>
    <row r="578" spans="1:7">
      <c r="A578" s="967"/>
      <c r="B578" s="968"/>
      <c r="C578" s="1093" t="s">
        <v>17115</v>
      </c>
      <c r="D578" s="970"/>
      <c r="E578" s="971"/>
      <c r="F578" s="1712"/>
      <c r="G578" s="1039"/>
    </row>
    <row r="579" spans="1:7">
      <c r="A579" s="884">
        <v>42827</v>
      </c>
      <c r="B579" s="138" t="str">
        <f>TiposLancamentos!B15</f>
        <v>Cartões de Crédito</v>
      </c>
      <c r="C579" s="771" t="s">
        <v>8252</v>
      </c>
      <c r="D579" s="197"/>
      <c r="E579" s="857">
        <v>4188.6000000000004</v>
      </c>
      <c r="F579" s="135"/>
      <c r="G579" s="1040"/>
    </row>
    <row r="580" spans="1:7">
      <c r="A580" s="884">
        <v>42827</v>
      </c>
      <c r="B580" s="138" t="str">
        <f>TiposLancamentos!B15</f>
        <v>Cartões de Crédito</v>
      </c>
      <c r="C580" s="771" t="s">
        <v>7391</v>
      </c>
      <c r="D580" s="197"/>
      <c r="E580" s="857">
        <v>767.78</v>
      </c>
      <c r="F580" s="135"/>
      <c r="G580" s="1040"/>
    </row>
    <row r="581" spans="1:7">
      <c r="A581" s="884">
        <v>42827</v>
      </c>
      <c r="B581" s="138" t="str">
        <f>TiposLancamentos!B15</f>
        <v>Cartões de Crédito</v>
      </c>
      <c r="C581" s="771" t="s">
        <v>5558</v>
      </c>
      <c r="D581" s="197"/>
      <c r="E581" s="857">
        <v>958.47</v>
      </c>
      <c r="F581" s="135"/>
      <c r="G581" s="1040"/>
    </row>
    <row r="582" spans="1:7">
      <c r="A582" s="884">
        <v>42827</v>
      </c>
      <c r="B582" s="138" t="str">
        <f>TiposLancamentos!B53</f>
        <v>Auxilio Idoso</v>
      </c>
      <c r="C582" s="771" t="s">
        <v>17577</v>
      </c>
      <c r="D582" s="197"/>
      <c r="E582" s="857">
        <v>1500</v>
      </c>
      <c r="F582" s="135"/>
      <c r="G582" s="1040"/>
    </row>
    <row r="583" spans="1:7">
      <c r="A583" s="884">
        <v>42828</v>
      </c>
      <c r="B583" s="138" t="str">
        <f>TiposLancamentos!B4</f>
        <v>Taxas Bancarias</v>
      </c>
      <c r="C583" s="771" t="s">
        <v>17601</v>
      </c>
      <c r="D583" s="197"/>
      <c r="E583" s="857">
        <v>5.48</v>
      </c>
      <c r="F583" s="135"/>
      <c r="G583" s="1040"/>
    </row>
    <row r="584" spans="1:7">
      <c r="A584" s="884">
        <v>42828</v>
      </c>
      <c r="B584" s="138" t="str">
        <f>TiposLancamentos!B4</f>
        <v>Taxas Bancarias</v>
      </c>
      <c r="C584" s="771" t="s">
        <v>17602</v>
      </c>
      <c r="D584" s="197"/>
      <c r="E584" s="857">
        <v>20.82</v>
      </c>
      <c r="F584" s="135"/>
      <c r="G584" s="1040"/>
    </row>
    <row r="585" spans="1:7">
      <c r="A585" s="884">
        <v>42828</v>
      </c>
      <c r="B585" s="138" t="str">
        <f>TiposLancamentos!B103</f>
        <v>Juros_Corr. Poupança</v>
      </c>
      <c r="C585" s="771" t="s">
        <v>17603</v>
      </c>
      <c r="D585" s="197">
        <v>0.11</v>
      </c>
      <c r="E585" s="857"/>
      <c r="F585" s="135"/>
      <c r="G585" s="1040"/>
    </row>
    <row r="586" spans="1:7">
      <c r="A586" s="884">
        <v>42829</v>
      </c>
      <c r="B586" s="138" t="str">
        <f>TiposLancamentos!B19</f>
        <v>Restaurantes</v>
      </c>
      <c r="C586" s="771" t="s">
        <v>6413</v>
      </c>
      <c r="D586" s="197"/>
      <c r="E586" s="857">
        <v>68.75</v>
      </c>
      <c r="F586" s="135"/>
      <c r="G586" s="1040"/>
    </row>
    <row r="587" spans="1:7">
      <c r="A587" s="884">
        <v>42830</v>
      </c>
      <c r="B587" s="138" t="str">
        <f>TiposLancamentos!B19</f>
        <v>Restaurantes</v>
      </c>
      <c r="C587" s="771" t="s">
        <v>17604</v>
      </c>
      <c r="D587" s="197"/>
      <c r="E587" s="857">
        <v>12</v>
      </c>
      <c r="F587" s="135"/>
      <c r="G587" s="1040"/>
    </row>
    <row r="588" spans="1:7">
      <c r="A588" s="884">
        <v>42831</v>
      </c>
      <c r="B588" s="138" t="str">
        <f>TiposLancamentos!B9</f>
        <v>Condominio</v>
      </c>
      <c r="C588" s="771" t="s">
        <v>7239</v>
      </c>
      <c r="D588" s="197"/>
      <c r="E588" s="857">
        <v>1230.4100000000001</v>
      </c>
      <c r="F588" s="135"/>
      <c r="G588" s="1040"/>
    </row>
    <row r="589" spans="1:7">
      <c r="A589" s="884">
        <v>42832</v>
      </c>
      <c r="B589" s="138" t="str">
        <f>TiposLancamentos!B24</f>
        <v>Estacionamentos</v>
      </c>
      <c r="C589" s="771" t="s">
        <v>4589</v>
      </c>
      <c r="D589" s="197"/>
      <c r="E589" s="857">
        <v>200</v>
      </c>
      <c r="F589" s="135"/>
      <c r="G589" s="1040"/>
    </row>
    <row r="590" spans="1:7">
      <c r="A590" s="884">
        <v>42833</v>
      </c>
      <c r="B590" s="138" t="str">
        <f>TiposLancamentos!B19</f>
        <v>Restaurantes</v>
      </c>
      <c r="C590" s="771" t="s">
        <v>16982</v>
      </c>
      <c r="D590" s="197"/>
      <c r="E590" s="857">
        <v>94.6</v>
      </c>
      <c r="F590" s="135"/>
      <c r="G590" s="1040"/>
    </row>
    <row r="591" spans="1:7">
      <c r="A591" s="919">
        <v>42835</v>
      </c>
      <c r="B591" s="830" t="str">
        <f>TiposLancamentos!B8</f>
        <v>Aluguel</v>
      </c>
      <c r="C591" s="915" t="s">
        <v>6163</v>
      </c>
      <c r="D591" s="917"/>
      <c r="E591" s="920">
        <f>1757+4.8+1.5</f>
        <v>1763.3</v>
      </c>
      <c r="F591" s="135"/>
      <c r="G591" s="1040"/>
    </row>
    <row r="592" spans="1:7">
      <c r="A592" s="930">
        <v>42835</v>
      </c>
      <c r="B592" s="825" t="str">
        <f>TiposLancamentos!B12</f>
        <v>IPTU</v>
      </c>
      <c r="C592" s="88" t="s">
        <v>6537</v>
      </c>
      <c r="D592" s="828"/>
      <c r="E592" s="931">
        <v>139.77000000000001</v>
      </c>
      <c r="F592" s="135"/>
      <c r="G592" s="1040"/>
    </row>
    <row r="593" spans="1:7">
      <c r="A593" s="921">
        <v>42835</v>
      </c>
      <c r="B593" s="833" t="str">
        <f>TiposLancamentos!B34</f>
        <v>Seguros</v>
      </c>
      <c r="C593" s="916" t="s">
        <v>17605</v>
      </c>
      <c r="D593" s="918"/>
      <c r="E593" s="922">
        <v>262.04000000000002</v>
      </c>
      <c r="F593" s="135">
        <f>SUM(E591:E593)</f>
        <v>2165.11</v>
      </c>
      <c r="G593" s="1040"/>
    </row>
    <row r="594" spans="1:7">
      <c r="A594" s="884">
        <v>42836</v>
      </c>
      <c r="B594" s="138" t="str">
        <f>TiposLancamentos!B57</f>
        <v>Informática</v>
      </c>
      <c r="C594" s="771" t="s">
        <v>17606</v>
      </c>
      <c r="D594" s="197"/>
      <c r="E594" s="857">
        <v>20</v>
      </c>
      <c r="F594" s="135"/>
      <c r="G594" s="1040"/>
    </row>
    <row r="595" spans="1:7">
      <c r="A595" s="884">
        <v>42836</v>
      </c>
      <c r="B595" s="138" t="str">
        <f>TiposLancamentos!B2</f>
        <v>Telefonia</v>
      </c>
      <c r="C595" s="771" t="s">
        <v>14810</v>
      </c>
      <c r="D595" s="197"/>
      <c r="E595" s="857">
        <v>134.9</v>
      </c>
      <c r="F595" s="135"/>
      <c r="G595" s="1040"/>
    </row>
    <row r="596" spans="1:7">
      <c r="A596" s="884">
        <v>42837</v>
      </c>
      <c r="B596" s="138" t="str">
        <f>TiposLancamentos!B19</f>
        <v>Restaurantes</v>
      </c>
      <c r="C596" s="771" t="s">
        <v>17607</v>
      </c>
      <c r="D596" s="197"/>
      <c r="E596" s="857">
        <v>12</v>
      </c>
      <c r="F596" s="135"/>
      <c r="G596" s="1040"/>
    </row>
    <row r="597" spans="1:7">
      <c r="A597" s="884">
        <v>42837</v>
      </c>
      <c r="B597" s="138" t="str">
        <f>TiposLancamentos!B38</f>
        <v>Playstation 4</v>
      </c>
      <c r="C597" s="771" t="s">
        <v>17608</v>
      </c>
      <c r="D597" s="197"/>
      <c r="E597" s="857">
        <v>288</v>
      </c>
      <c r="F597" s="135"/>
      <c r="G597" s="1040"/>
    </row>
    <row r="598" spans="1:7">
      <c r="A598" s="884">
        <v>42840</v>
      </c>
      <c r="B598" s="138" t="str">
        <f>TiposLancamentos!B95</f>
        <v>Salarios</v>
      </c>
      <c r="C598" s="771" t="s">
        <v>17557</v>
      </c>
      <c r="D598" s="197">
        <v>3792.64</v>
      </c>
      <c r="E598" s="857"/>
      <c r="F598" s="135"/>
      <c r="G598" s="1040"/>
    </row>
    <row r="599" spans="1:7">
      <c r="A599" s="919">
        <v>42840</v>
      </c>
      <c r="B599" s="830" t="str">
        <f>TiposLancamentos!B33</f>
        <v>Pedágios</v>
      </c>
      <c r="C599" s="915" t="s">
        <v>5392</v>
      </c>
      <c r="D599" s="917"/>
      <c r="E599" s="920">
        <f>(21.74+16.41)</f>
        <v>38.15</v>
      </c>
      <c r="F599" s="135"/>
      <c r="G599" s="1040"/>
    </row>
    <row r="600" spans="1:7">
      <c r="A600" s="930">
        <v>42840</v>
      </c>
      <c r="B600" s="825" t="str">
        <f>TiposLancamentos!B24</f>
        <v>Estacionamentos</v>
      </c>
      <c r="C600" s="88" t="s">
        <v>5863</v>
      </c>
      <c r="D600" s="828"/>
      <c r="E600" s="931">
        <v>39</v>
      </c>
      <c r="F600" s="135"/>
      <c r="G600" s="1040"/>
    </row>
    <row r="601" spans="1:7">
      <c r="A601" s="921">
        <v>42840</v>
      </c>
      <c r="B601" s="833" t="str">
        <f>TiposLancamentos!B24</f>
        <v>Estacionamentos</v>
      </c>
      <c r="C601" s="916" t="s">
        <v>6297</v>
      </c>
      <c r="D601" s="918"/>
      <c r="E601" s="922">
        <v>15</v>
      </c>
      <c r="F601" s="135">
        <f>SUM(E599:E601)</f>
        <v>92.15</v>
      </c>
      <c r="G601" s="1040"/>
    </row>
    <row r="602" spans="1:7">
      <c r="A602" s="884">
        <v>42840</v>
      </c>
      <c r="B602" s="138"/>
      <c r="C602" s="771" t="s">
        <v>14774</v>
      </c>
      <c r="D602" s="197">
        <v>1E-3</v>
      </c>
      <c r="E602" s="857">
        <v>1E-3</v>
      </c>
      <c r="F602" s="135"/>
      <c r="G602" s="1040"/>
    </row>
    <row r="603" spans="1:7">
      <c r="A603" s="919">
        <v>42843</v>
      </c>
      <c r="B603" s="830" t="str">
        <f>TiposLancamentos!B35</f>
        <v>Tv à Cabo</v>
      </c>
      <c r="C603" s="915" t="s">
        <v>5834</v>
      </c>
      <c r="D603" s="917"/>
      <c r="E603" s="920">
        <f>120+16.9</f>
        <v>136.9</v>
      </c>
      <c r="F603" s="135"/>
      <c r="G603" s="1040"/>
    </row>
    <row r="604" spans="1:7">
      <c r="A604" s="930">
        <v>42843</v>
      </c>
      <c r="B604" s="825" t="str">
        <f>TiposLancamentos!B3</f>
        <v>Internet</v>
      </c>
      <c r="C604" s="88" t="s">
        <v>5835</v>
      </c>
      <c r="D604" s="828"/>
      <c r="E604" s="931">
        <v>89.9</v>
      </c>
      <c r="F604" s="135"/>
      <c r="G604" s="1040"/>
    </row>
    <row r="605" spans="1:7">
      <c r="A605" s="921">
        <v>42843</v>
      </c>
      <c r="B605" s="833" t="str">
        <f>TiposLancamentos!B2</f>
        <v>Telefonia</v>
      </c>
      <c r="C605" s="916" t="s">
        <v>7210</v>
      </c>
      <c r="D605" s="918"/>
      <c r="E605" s="922">
        <v>0.86</v>
      </c>
      <c r="F605" s="135">
        <f>SUM(E603:E605)</f>
        <v>227.66000000000003</v>
      </c>
      <c r="G605" s="1040"/>
    </row>
    <row r="606" spans="1:7">
      <c r="A606" s="884">
        <v>42842</v>
      </c>
      <c r="B606" s="138" t="str">
        <f>TiposLancamentos!B19</f>
        <v>Restaurantes</v>
      </c>
      <c r="C606" s="771" t="s">
        <v>17609</v>
      </c>
      <c r="D606" s="197"/>
      <c r="E606" s="857">
        <v>8.5</v>
      </c>
      <c r="F606" s="135"/>
      <c r="G606" s="1040"/>
    </row>
    <row r="607" spans="1:7">
      <c r="A607" s="884">
        <v>42847</v>
      </c>
      <c r="B607" s="138" t="str">
        <f>TiposLancamentos!B19</f>
        <v>Restaurantes</v>
      </c>
      <c r="C607" s="771" t="s">
        <v>17610</v>
      </c>
      <c r="D607" s="197"/>
      <c r="E607" s="857">
        <v>24</v>
      </c>
      <c r="F607" s="135"/>
      <c r="G607" s="1040"/>
    </row>
    <row r="608" spans="1:7">
      <c r="A608" s="884">
        <v>42849</v>
      </c>
      <c r="B608" s="138" t="str">
        <f>TiposLancamentos!B71</f>
        <v>Itens Pessoais</v>
      </c>
      <c r="C608" s="771" t="s">
        <v>2035</v>
      </c>
      <c r="D608" s="197"/>
      <c r="E608" s="857">
        <v>25</v>
      </c>
      <c r="F608" s="135"/>
      <c r="G608" s="1040"/>
    </row>
    <row r="609" spans="1:7">
      <c r="A609" s="884">
        <v>42852</v>
      </c>
      <c r="B609" s="138" t="str">
        <f>TiposLancamentos!B62</f>
        <v>Papelaria</v>
      </c>
      <c r="C609" s="771" t="s">
        <v>17611</v>
      </c>
      <c r="D609" s="197"/>
      <c r="E609" s="857">
        <v>7</v>
      </c>
      <c r="F609" s="135"/>
      <c r="G609" s="1040"/>
    </row>
    <row r="610" spans="1:7">
      <c r="A610" s="884">
        <v>42852</v>
      </c>
      <c r="B610" s="138" t="str">
        <f>TiposLancamentos!B19</f>
        <v>Restaurantes</v>
      </c>
      <c r="C610" s="771" t="s">
        <v>7846</v>
      </c>
      <c r="D610" s="197"/>
      <c r="E610" s="857">
        <v>13.5</v>
      </c>
      <c r="F610" s="135"/>
      <c r="G610" s="1040"/>
    </row>
    <row r="611" spans="1:7">
      <c r="A611" s="884">
        <v>42852</v>
      </c>
      <c r="B611" s="138" t="str">
        <f>TiposLancamentos!B19</f>
        <v>Restaurantes</v>
      </c>
      <c r="C611" s="771" t="s">
        <v>7846</v>
      </c>
      <c r="D611" s="197"/>
      <c r="E611" s="857">
        <v>14</v>
      </c>
      <c r="F611" s="135"/>
      <c r="G611" s="1040"/>
    </row>
    <row r="612" spans="1:7">
      <c r="A612" s="884">
        <v>42852</v>
      </c>
      <c r="B612" s="138" t="str">
        <f>TiposLancamentos!B6</f>
        <v>Energia Eletrica</v>
      </c>
      <c r="C612" s="771" t="s">
        <v>5561</v>
      </c>
      <c r="D612" s="197"/>
      <c r="E612" s="857">
        <v>217.63</v>
      </c>
      <c r="F612" s="135"/>
      <c r="G612" s="1040"/>
    </row>
    <row r="613" spans="1:7">
      <c r="A613" s="884">
        <v>42853</v>
      </c>
      <c r="B613" s="138" t="str">
        <f>TiposLancamentos!B24</f>
        <v>Estacionamentos</v>
      </c>
      <c r="C613" s="771" t="s">
        <v>17612</v>
      </c>
      <c r="D613" s="197"/>
      <c r="E613" s="857">
        <v>5</v>
      </c>
      <c r="F613" s="135"/>
      <c r="G613" s="1040"/>
    </row>
    <row r="614" spans="1:7">
      <c r="A614" s="884">
        <v>42853</v>
      </c>
      <c r="B614" s="138" t="str">
        <f>TiposLancamentos!B19</f>
        <v>Restaurantes</v>
      </c>
      <c r="C614" s="771" t="s">
        <v>6751</v>
      </c>
      <c r="D614" s="197"/>
      <c r="E614" s="857">
        <v>87.35</v>
      </c>
      <c r="F614" s="135"/>
      <c r="G614" s="1040"/>
    </row>
    <row r="615" spans="1:7">
      <c r="A615" s="884">
        <v>42853</v>
      </c>
      <c r="B615" s="138" t="str">
        <f>TiposLancamentos!B16</f>
        <v>Cristiane</v>
      </c>
      <c r="C615" s="771" t="s">
        <v>17613</v>
      </c>
      <c r="D615" s="197"/>
      <c r="E615" s="857">
        <v>150</v>
      </c>
      <c r="F615" s="135"/>
      <c r="G615" s="1040"/>
    </row>
    <row r="616" spans="1:7">
      <c r="A616" s="884">
        <v>42853</v>
      </c>
      <c r="B616" s="138" t="str">
        <f>TiposLancamentos!B95</f>
        <v>Salarios</v>
      </c>
      <c r="C616" s="771" t="s">
        <v>17362</v>
      </c>
      <c r="D616" s="197">
        <v>12078.81</v>
      </c>
      <c r="E616" s="857"/>
      <c r="F616" s="135"/>
      <c r="G616" s="1040"/>
    </row>
    <row r="617" spans="1:7">
      <c r="A617" s="884">
        <v>42853</v>
      </c>
      <c r="B617" s="138" t="str">
        <f>TiposLancamentos!B43</f>
        <v>Imposto de Renda</v>
      </c>
      <c r="C617" s="771" t="s">
        <v>17614</v>
      </c>
      <c r="D617" s="197"/>
      <c r="E617" s="857">
        <v>405.76</v>
      </c>
      <c r="F617" s="135"/>
      <c r="G617" s="1040"/>
    </row>
    <row r="618" spans="1:7">
      <c r="A618" s="884">
        <v>42854</v>
      </c>
      <c r="B618" s="138" t="str">
        <f>TiposLancamentos!B19</f>
        <v>Restaurantes</v>
      </c>
      <c r="C618" s="771" t="s">
        <v>17615</v>
      </c>
      <c r="D618" s="197"/>
      <c r="E618" s="857">
        <v>147.30000000000001</v>
      </c>
      <c r="F618" s="135"/>
      <c r="G618" s="1040"/>
    </row>
    <row r="619" spans="1:7">
      <c r="A619" s="884">
        <v>42854</v>
      </c>
      <c r="B619" s="138" t="str">
        <f>TiposLancamentos!B5</f>
        <v>Supermercado</v>
      </c>
      <c r="C619" s="771" t="s">
        <v>6234</v>
      </c>
      <c r="D619" s="197"/>
      <c r="E619" s="857">
        <v>98.12</v>
      </c>
      <c r="F619" s="135"/>
      <c r="G619" s="1040"/>
    </row>
    <row r="620" spans="1:7" ht="14.25" thickBot="1">
      <c r="A620" s="884">
        <v>42855</v>
      </c>
      <c r="B620" s="138" t="str">
        <f>TiposLancamentos!B19</f>
        <v>Restaurantes</v>
      </c>
      <c r="C620" s="771" t="s">
        <v>17616</v>
      </c>
      <c r="D620" s="197"/>
      <c r="E620" s="857">
        <v>149.30000000000001</v>
      </c>
      <c r="F620" s="135"/>
      <c r="G620" s="1040"/>
    </row>
    <row r="621" spans="1:7">
      <c r="A621" s="967"/>
      <c r="B621" s="968"/>
      <c r="C621" s="1093" t="s">
        <v>17617</v>
      </c>
      <c r="D621" s="970"/>
      <c r="E621" s="971"/>
      <c r="F621" s="1712"/>
      <c r="G621" s="1039"/>
    </row>
    <row r="622" spans="1:7">
      <c r="A622" s="884">
        <v>42856</v>
      </c>
      <c r="B622" s="138" t="str">
        <f>TiposLancamentos!B15</f>
        <v>Cartões de Crédito</v>
      </c>
      <c r="C622" s="771" t="s">
        <v>8252</v>
      </c>
      <c r="D622" s="197"/>
      <c r="E622" s="857">
        <v>3138.83</v>
      </c>
      <c r="F622" s="135"/>
      <c r="G622" s="1040"/>
    </row>
    <row r="623" spans="1:7">
      <c r="A623" s="884">
        <v>42856</v>
      </c>
      <c r="B623" s="138" t="str">
        <f>TiposLancamentos!B15</f>
        <v>Cartões de Crédito</v>
      </c>
      <c r="C623" s="771" t="s">
        <v>7391</v>
      </c>
      <c r="D623" s="197"/>
      <c r="E623" s="857">
        <v>2568.33</v>
      </c>
      <c r="F623" s="135"/>
      <c r="G623" s="1040"/>
    </row>
    <row r="624" spans="1:7">
      <c r="A624" s="884">
        <v>42856</v>
      </c>
      <c r="B624" s="138" t="str">
        <f>TiposLancamentos!B15</f>
        <v>Cartões de Crédito</v>
      </c>
      <c r="C624" s="771" t="s">
        <v>5558</v>
      </c>
      <c r="D624" s="197"/>
      <c r="E624" s="857">
        <v>958.47</v>
      </c>
      <c r="F624" s="135"/>
      <c r="G624" s="1040"/>
    </row>
    <row r="625" spans="1:7">
      <c r="A625" s="884">
        <v>42856</v>
      </c>
      <c r="B625" s="138" t="str">
        <f>TiposLancamentos!B5</f>
        <v>Supermercado</v>
      </c>
      <c r="C625" s="771" t="s">
        <v>6234</v>
      </c>
      <c r="D625" s="197"/>
      <c r="E625" s="857">
        <v>64.81</v>
      </c>
      <c r="F625" s="135"/>
      <c r="G625" s="1040"/>
    </row>
    <row r="626" spans="1:7">
      <c r="A626" s="884">
        <v>42857</v>
      </c>
      <c r="B626" s="138" t="str">
        <f>TiposLancamentos!B53</f>
        <v>Auxilio Idoso</v>
      </c>
      <c r="C626" s="771" t="s">
        <v>17577</v>
      </c>
      <c r="D626" s="197"/>
      <c r="E626" s="857">
        <v>1500</v>
      </c>
      <c r="F626" s="135"/>
      <c r="G626" s="1040"/>
    </row>
    <row r="627" spans="1:7">
      <c r="A627" s="884">
        <v>42857</v>
      </c>
      <c r="B627" s="138" t="str">
        <f>TiposLancamentos!B69</f>
        <v>Consertos</v>
      </c>
      <c r="C627" s="771" t="s">
        <v>17618</v>
      </c>
      <c r="D627" s="197"/>
      <c r="E627" s="857">
        <v>11.96</v>
      </c>
      <c r="F627" s="135"/>
      <c r="G627" s="1040"/>
    </row>
    <row r="628" spans="1:7">
      <c r="A628" s="884">
        <v>42857</v>
      </c>
      <c r="B628" s="138" t="str">
        <f>TiposLancamentos!B69</f>
        <v>Consertos</v>
      </c>
      <c r="C628" s="771" t="s">
        <v>17619</v>
      </c>
      <c r="D628" s="197"/>
      <c r="E628" s="857">
        <v>24</v>
      </c>
      <c r="F628" s="135"/>
      <c r="G628" s="1040"/>
    </row>
    <row r="629" spans="1:7">
      <c r="A629" s="884">
        <v>42796</v>
      </c>
      <c r="B629" s="138" t="str">
        <f>TiposLancamentos!B4</f>
        <v>Taxas Bancarias</v>
      </c>
      <c r="C629" s="771" t="s">
        <v>17620</v>
      </c>
      <c r="D629" s="197"/>
      <c r="E629" s="857">
        <v>523.97</v>
      </c>
      <c r="F629" s="135"/>
      <c r="G629" s="1040"/>
    </row>
    <row r="630" spans="1:7">
      <c r="A630" s="884">
        <v>42796</v>
      </c>
      <c r="B630" s="138" t="str">
        <f>TiposLancamentos!B4</f>
        <v>Taxas Bancarias</v>
      </c>
      <c r="C630" s="771" t="s">
        <v>17621</v>
      </c>
      <c r="D630" s="197"/>
      <c r="E630" s="857">
        <v>7.63</v>
      </c>
      <c r="F630" s="135"/>
      <c r="G630" s="1040"/>
    </row>
    <row r="631" spans="1:7">
      <c r="A631" s="884">
        <v>42796</v>
      </c>
      <c r="B631" s="138" t="str">
        <f>TiposLancamentos!B4</f>
        <v>Taxas Bancarias</v>
      </c>
      <c r="C631" s="771" t="s">
        <v>17622</v>
      </c>
      <c r="D631" s="197"/>
      <c r="E631" s="857">
        <v>28.25</v>
      </c>
      <c r="F631" s="135"/>
      <c r="G631" s="1040"/>
    </row>
    <row r="632" spans="1:7">
      <c r="A632" s="884">
        <v>42857</v>
      </c>
      <c r="B632" s="138" t="str">
        <f>TiposLancamentos!B103</f>
        <v>Juros_Corr. Poupança</v>
      </c>
      <c r="C632" s="771" t="s">
        <v>17603</v>
      </c>
      <c r="D632" s="197">
        <v>0.08</v>
      </c>
      <c r="E632" s="857"/>
      <c r="F632" s="135"/>
      <c r="G632" s="1040"/>
    </row>
    <row r="633" spans="1:7">
      <c r="A633" s="884">
        <v>42858</v>
      </c>
      <c r="B633" s="138" t="str">
        <f>TiposLancamentos!B26</f>
        <v>LIVROS</v>
      </c>
      <c r="C633" s="771" t="s">
        <v>17623</v>
      </c>
      <c r="D633" s="197"/>
      <c r="E633" s="857">
        <v>83.8</v>
      </c>
      <c r="F633" s="135"/>
      <c r="G633" s="1040"/>
    </row>
    <row r="634" spans="1:7">
      <c r="A634" s="884">
        <v>42858</v>
      </c>
      <c r="B634" s="138" t="str">
        <f>TiposLancamentos!B27</f>
        <v>Jornais e revistas</v>
      </c>
      <c r="C634" s="771" t="s">
        <v>17624</v>
      </c>
      <c r="D634" s="197"/>
      <c r="E634" s="857">
        <v>36</v>
      </c>
      <c r="F634" s="135"/>
      <c r="G634" s="1040"/>
    </row>
    <row r="635" spans="1:7">
      <c r="A635" s="884">
        <v>42859</v>
      </c>
      <c r="B635" s="138" t="str">
        <f>TiposLancamentos!B19</f>
        <v>Restaurantes</v>
      </c>
      <c r="C635" s="771" t="s">
        <v>17625</v>
      </c>
      <c r="D635" s="197"/>
      <c r="E635" s="857">
        <v>15</v>
      </c>
      <c r="F635" s="135"/>
      <c r="G635" s="1040"/>
    </row>
    <row r="636" spans="1:7">
      <c r="A636" s="884">
        <v>42860</v>
      </c>
      <c r="B636" s="138" t="str">
        <f>TiposLancamentos!B20</f>
        <v>Saques</v>
      </c>
      <c r="C636" s="771" t="s">
        <v>3604</v>
      </c>
      <c r="D636" s="197"/>
      <c r="E636" s="857">
        <v>20</v>
      </c>
      <c r="F636" s="135"/>
      <c r="G636" s="1040"/>
    </row>
    <row r="637" spans="1:7">
      <c r="A637" s="884">
        <v>42860</v>
      </c>
      <c r="B637" s="138" t="str">
        <f>TiposLancamentos!B98</f>
        <v>Restituições</v>
      </c>
      <c r="C637" s="771" t="s">
        <v>17626</v>
      </c>
      <c r="D637" s="197">
        <v>406.61</v>
      </c>
      <c r="E637" s="857"/>
      <c r="F637" s="135"/>
      <c r="G637" s="1040"/>
    </row>
    <row r="638" spans="1:7">
      <c r="A638" s="884">
        <v>42860</v>
      </c>
      <c r="B638" s="138" t="str">
        <f>TiposLancamentos!B32</f>
        <v>Clinicas e tratamentos</v>
      </c>
      <c r="C638" s="771" t="s">
        <v>17627</v>
      </c>
      <c r="D638" s="197"/>
      <c r="E638" s="857">
        <v>650</v>
      </c>
      <c r="F638" s="135"/>
      <c r="G638" s="1040"/>
    </row>
    <row r="639" spans="1:7">
      <c r="A639" s="884">
        <v>42863</v>
      </c>
      <c r="B639" s="138" t="str">
        <f>TiposLancamentos!B9</f>
        <v>Condominio</v>
      </c>
      <c r="C639" s="771" t="s">
        <v>5925</v>
      </c>
      <c r="D639" s="197"/>
      <c r="E639" s="857">
        <v>1230.4100000000001</v>
      </c>
      <c r="F639" s="135"/>
      <c r="G639" s="1040"/>
    </row>
    <row r="640" spans="1:7">
      <c r="A640" s="884">
        <v>42863</v>
      </c>
      <c r="B640" s="138" t="str">
        <f>TiposLancamentos!B24</f>
        <v>Estacionamentos</v>
      </c>
      <c r="C640" s="771" t="s">
        <v>4589</v>
      </c>
      <c r="D640" s="197"/>
      <c r="E640" s="857">
        <v>200</v>
      </c>
      <c r="F640" s="135"/>
      <c r="G640" s="1040"/>
    </row>
    <row r="641" spans="1:7">
      <c r="A641" s="884">
        <v>42863</v>
      </c>
      <c r="B641" s="138" t="str">
        <f>TiposLancamentos!B2</f>
        <v>Telefonia</v>
      </c>
      <c r="C641" s="771" t="s">
        <v>6318</v>
      </c>
      <c r="D641" s="197"/>
      <c r="E641" s="857">
        <v>134.9</v>
      </c>
      <c r="F641" s="135"/>
      <c r="G641" s="1040"/>
    </row>
    <row r="642" spans="1:7">
      <c r="A642" s="884">
        <v>42864</v>
      </c>
      <c r="B642" s="138" t="str">
        <f>TiposLancamentos!B56</f>
        <v>Farmácia</v>
      </c>
      <c r="C642" s="771" t="s">
        <v>17628</v>
      </c>
      <c r="D642" s="197"/>
      <c r="E642" s="857">
        <v>6.4</v>
      </c>
      <c r="F642" s="135"/>
      <c r="G642" s="1040"/>
    </row>
    <row r="643" spans="1:7">
      <c r="A643" s="919">
        <v>42865</v>
      </c>
      <c r="B643" s="830" t="str">
        <f>TiposLancamentos!B8</f>
        <v>Aluguel</v>
      </c>
      <c r="C643" s="915" t="s">
        <v>6163</v>
      </c>
      <c r="D643" s="917"/>
      <c r="E643" s="920">
        <f>1757+4.8+1.5</f>
        <v>1763.3</v>
      </c>
      <c r="F643" s="135"/>
      <c r="G643" s="1040"/>
    </row>
    <row r="644" spans="1:7">
      <c r="A644" s="930">
        <v>42865</v>
      </c>
      <c r="B644" s="825" t="str">
        <f>TiposLancamentos!B12</f>
        <v>IPTU</v>
      </c>
      <c r="C644" s="88" t="s">
        <v>6575</v>
      </c>
      <c r="D644" s="828"/>
      <c r="E644" s="931">
        <v>139.77000000000001</v>
      </c>
      <c r="F644" s="135"/>
      <c r="G644" s="1040"/>
    </row>
    <row r="645" spans="1:7">
      <c r="A645" s="921">
        <v>42865</v>
      </c>
      <c r="B645" s="833" t="str">
        <f>TiposLancamentos!B34</f>
        <v>Seguros</v>
      </c>
      <c r="C645" s="916" t="s">
        <v>17375</v>
      </c>
      <c r="D645" s="918"/>
      <c r="E645" s="922">
        <v>262.04000000000002</v>
      </c>
      <c r="F645" s="135">
        <f>SUM(E643:E645)</f>
        <v>2165.11</v>
      </c>
      <c r="G645" s="1040"/>
    </row>
    <row r="646" spans="1:7">
      <c r="A646" s="884">
        <v>42866</v>
      </c>
      <c r="B646" s="138" t="str">
        <f>TiposLancamentos!B71</f>
        <v>Itens Pessoais</v>
      </c>
      <c r="C646" s="771" t="s">
        <v>3590</v>
      </c>
      <c r="D646" s="197"/>
      <c r="E646" s="857">
        <v>35</v>
      </c>
      <c r="F646" s="135"/>
      <c r="G646" s="1040"/>
    </row>
    <row r="647" spans="1:7">
      <c r="A647" s="884">
        <v>42866</v>
      </c>
      <c r="B647" s="138" t="str">
        <f>TiposLancamentos!B19</f>
        <v>Restaurantes</v>
      </c>
      <c r="C647" s="771" t="s">
        <v>17629</v>
      </c>
      <c r="D647" s="197"/>
      <c r="E647" s="857">
        <v>4.5</v>
      </c>
      <c r="F647" s="135"/>
      <c r="G647" s="1040"/>
    </row>
    <row r="648" spans="1:7">
      <c r="A648" s="884">
        <v>42870</v>
      </c>
      <c r="B648" s="138" t="str">
        <f>TiposLancamentos!B95</f>
        <v>Salarios</v>
      </c>
      <c r="C648" s="771" t="s">
        <v>17557</v>
      </c>
      <c r="D648" s="197">
        <v>3792.64</v>
      </c>
      <c r="E648" s="857"/>
      <c r="F648" s="135"/>
      <c r="G648" s="1040"/>
    </row>
    <row r="649" spans="1:7">
      <c r="A649" s="919">
        <v>42870</v>
      </c>
      <c r="B649" s="830" t="str">
        <f>TiposLancamentos!B33</f>
        <v>Pedágios</v>
      </c>
      <c r="C649" s="915" t="s">
        <v>5392</v>
      </c>
      <c r="D649" s="917"/>
      <c r="E649" s="920">
        <f>(21.74+16.41)</f>
        <v>38.15</v>
      </c>
      <c r="F649" s="135"/>
      <c r="G649" s="1040"/>
    </row>
    <row r="650" spans="1:7">
      <c r="A650" s="930">
        <v>42870</v>
      </c>
      <c r="B650" s="825" t="str">
        <f>TiposLancamentos!B24</f>
        <v>Estacionamentos</v>
      </c>
      <c r="C650" s="88" t="s">
        <v>5863</v>
      </c>
      <c r="D650" s="828"/>
      <c r="E650" s="931">
        <v>16</v>
      </c>
      <c r="F650" s="135"/>
      <c r="G650" s="1040"/>
    </row>
    <row r="651" spans="1:7">
      <c r="A651" s="921">
        <v>42870</v>
      </c>
      <c r="B651" s="833" t="str">
        <f>TiposLancamentos!B24</f>
        <v>Estacionamentos</v>
      </c>
      <c r="C651" s="916" t="s">
        <v>6297</v>
      </c>
      <c r="D651" s="918"/>
      <c r="E651" s="922">
        <v>15</v>
      </c>
      <c r="F651" s="135">
        <f>SUM(E649:E651)</f>
        <v>69.150000000000006</v>
      </c>
      <c r="G651" s="1040"/>
    </row>
    <row r="652" spans="1:7">
      <c r="A652" s="884">
        <v>42870</v>
      </c>
      <c r="B652" s="138"/>
      <c r="C652" s="771" t="s">
        <v>14774</v>
      </c>
      <c r="D652" s="197">
        <v>1E-3</v>
      </c>
      <c r="E652" s="857">
        <v>1E-3</v>
      </c>
      <c r="F652" s="135"/>
      <c r="G652" s="1040"/>
    </row>
    <row r="653" spans="1:7">
      <c r="A653" s="919">
        <v>42870</v>
      </c>
      <c r="B653" s="830" t="str">
        <f>TiposLancamentos!B35</f>
        <v>Tv à Cabo</v>
      </c>
      <c r="C653" s="915" t="s">
        <v>5834</v>
      </c>
      <c r="D653" s="917"/>
      <c r="E653" s="920">
        <f>122.85+4.61</f>
        <v>127.46</v>
      </c>
      <c r="F653" s="135"/>
      <c r="G653" s="1040"/>
    </row>
    <row r="654" spans="1:7">
      <c r="A654" s="930">
        <v>42870</v>
      </c>
      <c r="B654" s="825" t="str">
        <f>TiposLancamentos!B3</f>
        <v>Internet</v>
      </c>
      <c r="C654" s="88" t="s">
        <v>5835</v>
      </c>
      <c r="D654" s="828"/>
      <c r="E654" s="931">
        <v>89.9</v>
      </c>
      <c r="F654" s="135"/>
      <c r="G654" s="1040"/>
    </row>
    <row r="655" spans="1:7">
      <c r="A655" s="921">
        <v>42870</v>
      </c>
      <c r="B655" s="833" t="str">
        <f>TiposLancamentos!B2</f>
        <v>Telefonia</v>
      </c>
      <c r="C655" s="916" t="s">
        <v>7210</v>
      </c>
      <c r="D655" s="918"/>
      <c r="E655" s="922"/>
      <c r="F655" s="135">
        <f>SUM(E653:E655)</f>
        <v>217.36</v>
      </c>
      <c r="G655" s="1040"/>
    </row>
    <row r="656" spans="1:7">
      <c r="A656" s="884">
        <v>42870</v>
      </c>
      <c r="B656" s="138" t="str">
        <f>TiposLancamentos!B87</f>
        <v>P207-1.6-XS</v>
      </c>
      <c r="C656" s="771" t="s">
        <v>17630</v>
      </c>
      <c r="D656" s="197"/>
      <c r="E656" s="857">
        <v>164.34</v>
      </c>
      <c r="F656" s="135"/>
      <c r="G656" s="1040"/>
    </row>
    <row r="657" spans="1:7">
      <c r="A657" s="884">
        <v>42870</v>
      </c>
      <c r="B657" s="138" t="str">
        <f>TiposLancamentos!B88</f>
        <v>Ford Ecosport XLT</v>
      </c>
      <c r="C657" s="771" t="s">
        <v>17631</v>
      </c>
      <c r="D657" s="197"/>
      <c r="E657" s="857">
        <v>164.34</v>
      </c>
      <c r="F657" s="135"/>
      <c r="G657" s="1040"/>
    </row>
    <row r="658" spans="1:7">
      <c r="A658" s="884">
        <v>42870</v>
      </c>
      <c r="B658" s="138" t="str">
        <f>TiposLancamentos!B16</f>
        <v>Cristiane</v>
      </c>
      <c r="C658" s="771" t="s">
        <v>17632</v>
      </c>
      <c r="D658" s="197"/>
      <c r="E658" s="857">
        <v>300</v>
      </c>
      <c r="F658" s="135"/>
      <c r="G658" s="1040"/>
    </row>
    <row r="659" spans="1:7">
      <c r="A659" s="884">
        <v>42872</v>
      </c>
      <c r="B659" s="138" t="str">
        <f>TiposLancamentos!B19</f>
        <v>Restaurantes</v>
      </c>
      <c r="C659" s="771" t="s">
        <v>17633</v>
      </c>
      <c r="D659" s="197"/>
      <c r="E659" s="857">
        <v>4.5</v>
      </c>
      <c r="F659" s="135"/>
      <c r="G659" s="1040"/>
    </row>
    <row r="660" spans="1:7">
      <c r="A660" s="884">
        <v>42873</v>
      </c>
      <c r="B660" s="138" t="str">
        <f>TiposLancamentos!B19</f>
        <v>Restaurantes</v>
      </c>
      <c r="C660" s="771" t="s">
        <v>17633</v>
      </c>
      <c r="D660" s="197"/>
      <c r="E660" s="857">
        <v>12</v>
      </c>
      <c r="F660" s="135"/>
      <c r="G660" s="1040"/>
    </row>
    <row r="661" spans="1:7">
      <c r="A661" s="884">
        <v>42877</v>
      </c>
      <c r="B661" s="138" t="str">
        <f>TiposLancamentos!B73</f>
        <v>Cursos</v>
      </c>
      <c r="C661" s="771" t="s">
        <v>17634</v>
      </c>
      <c r="D661" s="197"/>
      <c r="E661" s="857">
        <v>180</v>
      </c>
      <c r="F661" s="135"/>
      <c r="G661" s="1040"/>
    </row>
    <row r="662" spans="1:7">
      <c r="A662" s="884">
        <v>42877</v>
      </c>
      <c r="B662" s="138" t="str">
        <f>TiposLancamentos!B17</f>
        <v>GATO</v>
      </c>
      <c r="C662" s="771" t="s">
        <v>17635</v>
      </c>
      <c r="D662" s="197"/>
      <c r="E662" s="857">
        <v>20.5</v>
      </c>
      <c r="F662" s="135"/>
      <c r="G662" s="1040"/>
    </row>
    <row r="663" spans="1:7">
      <c r="A663" s="884">
        <v>42878</v>
      </c>
      <c r="B663" s="138" t="str">
        <f>TiposLancamentos!B19</f>
        <v>Restaurantes</v>
      </c>
      <c r="C663" s="771" t="s">
        <v>17636</v>
      </c>
      <c r="D663" s="197"/>
      <c r="E663" s="857">
        <v>12</v>
      </c>
      <c r="F663" s="135"/>
      <c r="G663" s="1040"/>
    </row>
    <row r="664" spans="1:7">
      <c r="A664" s="884">
        <v>42879</v>
      </c>
      <c r="B664" s="138" t="str">
        <f>TiposLancamentos!B19</f>
        <v>Restaurantes</v>
      </c>
      <c r="C664" s="771" t="s">
        <v>17637</v>
      </c>
      <c r="D664" s="197"/>
      <c r="E664" s="857">
        <v>75.900000000000006</v>
      </c>
      <c r="F664" s="135"/>
      <c r="G664" s="1040"/>
    </row>
    <row r="665" spans="1:7">
      <c r="A665" s="884">
        <v>42884</v>
      </c>
      <c r="B665" s="138" t="str">
        <f>TiposLancamentos!B24</f>
        <v>Estacionamentos</v>
      </c>
      <c r="C665" s="771" t="s">
        <v>17638</v>
      </c>
      <c r="D665" s="197"/>
      <c r="E665" s="857">
        <v>8</v>
      </c>
      <c r="F665" s="135"/>
      <c r="G665" s="1040"/>
    </row>
    <row r="666" spans="1:7">
      <c r="A666" s="884">
        <v>42884</v>
      </c>
      <c r="B666" s="138" t="str">
        <f>TiposLancamentos!B19</f>
        <v>Restaurantes</v>
      </c>
      <c r="C666" s="771" t="s">
        <v>17639</v>
      </c>
      <c r="D666" s="197"/>
      <c r="E666" s="857">
        <v>12</v>
      </c>
      <c r="F666" s="135"/>
      <c r="G666" s="1040"/>
    </row>
    <row r="667" spans="1:7">
      <c r="A667" s="884">
        <v>42884</v>
      </c>
      <c r="B667" s="138" t="str">
        <f>TiposLancamentos!B6</f>
        <v>Energia Eletrica</v>
      </c>
      <c r="C667" s="771" t="s">
        <v>7008</v>
      </c>
      <c r="D667" s="197"/>
      <c r="E667" s="857">
        <v>215.93</v>
      </c>
      <c r="F667" s="135"/>
      <c r="G667" s="1040"/>
    </row>
    <row r="668" spans="1:7">
      <c r="A668" s="884">
        <v>42885</v>
      </c>
      <c r="B668" s="138" t="str">
        <f>TiposLancamentos!B95</f>
        <v>Salarios</v>
      </c>
      <c r="C668" s="771" t="s">
        <v>17362</v>
      </c>
      <c r="D668" s="197">
        <v>13352.36</v>
      </c>
      <c r="E668" s="857"/>
      <c r="F668" s="135"/>
      <c r="G668" s="1040"/>
    </row>
    <row r="669" spans="1:7">
      <c r="A669" s="884">
        <v>42885</v>
      </c>
      <c r="B669" s="138" t="str">
        <f>TiposLancamentos!B4</f>
        <v>Taxas Bancarias</v>
      </c>
      <c r="C669" s="771" t="s">
        <v>17640</v>
      </c>
      <c r="D669" s="197"/>
      <c r="E669" s="857">
        <v>477.36</v>
      </c>
      <c r="F669" s="135"/>
      <c r="G669" s="1040"/>
    </row>
    <row r="670" spans="1:7" ht="14.25" thickBot="1">
      <c r="A670" s="884">
        <v>42886</v>
      </c>
      <c r="B670" s="138" t="str">
        <f>TiposLancamentos!B43</f>
        <v>Imposto de Renda</v>
      </c>
      <c r="C670" s="771" t="s">
        <v>17641</v>
      </c>
      <c r="D670" s="197"/>
      <c r="E670" s="857">
        <v>409.81</v>
      </c>
      <c r="F670" s="135"/>
      <c r="G670" s="1040"/>
    </row>
    <row r="671" spans="1:7">
      <c r="A671" s="967"/>
      <c r="B671" s="968"/>
      <c r="C671" s="1093" t="s">
        <v>15780</v>
      </c>
      <c r="D671" s="970"/>
      <c r="E671" s="971"/>
      <c r="F671" s="1712"/>
      <c r="G671" s="1039"/>
    </row>
    <row r="672" spans="1:7">
      <c r="A672" s="884">
        <v>42887</v>
      </c>
      <c r="B672" s="138" t="str">
        <f>TiposLancamentos!B15</f>
        <v>Cartões de Crédito</v>
      </c>
      <c r="C672" s="771" t="s">
        <v>8252</v>
      </c>
      <c r="D672" s="197"/>
      <c r="E672" s="857">
        <v>2490.66</v>
      </c>
      <c r="F672" s="135"/>
      <c r="G672" s="1040"/>
    </row>
    <row r="673" spans="1:7">
      <c r="A673" s="884">
        <v>42887</v>
      </c>
      <c r="B673" s="138" t="str">
        <f>TiposLancamentos!B15</f>
        <v>Cartões de Crédito</v>
      </c>
      <c r="C673" s="771" t="s">
        <v>7391</v>
      </c>
      <c r="D673" s="197"/>
      <c r="E673" s="857">
        <v>2164.94</v>
      </c>
      <c r="F673" s="135"/>
      <c r="G673" s="1040"/>
    </row>
    <row r="674" spans="1:7">
      <c r="A674" s="884">
        <v>42887</v>
      </c>
      <c r="B674" s="138" t="str">
        <f>TiposLancamentos!B15</f>
        <v>Cartões de Crédito</v>
      </c>
      <c r="C674" s="771" t="s">
        <v>5558</v>
      </c>
      <c r="D674" s="197"/>
      <c r="E674" s="857">
        <v>958.47</v>
      </c>
      <c r="F674" s="135"/>
      <c r="G674" s="1040"/>
    </row>
    <row r="675" spans="1:7">
      <c r="A675" s="884">
        <v>42887</v>
      </c>
      <c r="B675" s="138" t="str">
        <f>TiposLancamentos!B53</f>
        <v>Auxilio Idoso</v>
      </c>
      <c r="C675" s="771" t="s">
        <v>17577</v>
      </c>
      <c r="D675" s="197"/>
      <c r="E675" s="857">
        <v>1500</v>
      </c>
      <c r="F675" s="135"/>
      <c r="G675" s="1040"/>
    </row>
    <row r="676" spans="1:7">
      <c r="A676" s="884">
        <v>42887</v>
      </c>
      <c r="B676" s="138" t="str">
        <f>TiposLancamentos!B103</f>
        <v>Juros_Corr. Poupança</v>
      </c>
      <c r="C676" s="771" t="s">
        <v>17642</v>
      </c>
      <c r="D676" s="197">
        <v>7.0000000000000007E-2</v>
      </c>
      <c r="E676" s="857"/>
      <c r="F676" s="135"/>
      <c r="G676" s="1040"/>
    </row>
    <row r="677" spans="1:7">
      <c r="A677" s="884">
        <v>42887</v>
      </c>
      <c r="B677" s="138" t="str">
        <f>TiposLancamentos!B4</f>
        <v>Taxas Bancarias</v>
      </c>
      <c r="C677" s="771" t="s">
        <v>17643</v>
      </c>
      <c r="D677" s="197"/>
      <c r="E677" s="857">
        <v>23.34</v>
      </c>
      <c r="F677" s="135"/>
      <c r="G677" s="1040"/>
    </row>
    <row r="678" spans="1:7">
      <c r="A678" s="884">
        <v>42887</v>
      </c>
      <c r="B678" s="138" t="str">
        <f>TiposLancamentos!B4</f>
        <v>Taxas Bancarias</v>
      </c>
      <c r="C678" s="771" t="s">
        <v>17644</v>
      </c>
      <c r="D678" s="197"/>
      <c r="E678" s="857">
        <v>7.27</v>
      </c>
      <c r="F678" s="135"/>
      <c r="G678" s="1040"/>
    </row>
    <row r="679" spans="1:7">
      <c r="A679" s="884">
        <v>42888</v>
      </c>
      <c r="B679" s="138" t="str">
        <f>TiposLancamentos!B29</f>
        <v>Mangá</v>
      </c>
      <c r="C679" s="771" t="s">
        <v>17645</v>
      </c>
      <c r="D679" s="197"/>
      <c r="E679" s="857">
        <v>19.8</v>
      </c>
      <c r="F679" s="135"/>
      <c r="G679" s="1040"/>
    </row>
    <row r="680" spans="1:7">
      <c r="A680" s="884">
        <v>42888</v>
      </c>
      <c r="B680" s="138" t="str">
        <f>TiposLancamentos!B77</f>
        <v>Esporádico</v>
      </c>
      <c r="C680" s="771" t="s">
        <v>17646</v>
      </c>
      <c r="D680" s="197"/>
      <c r="E680" s="857">
        <v>60</v>
      </c>
      <c r="F680" s="135"/>
      <c r="G680" s="1040"/>
    </row>
    <row r="681" spans="1:7">
      <c r="A681" s="884">
        <v>42888</v>
      </c>
      <c r="B681" s="138" t="str">
        <f>TiposLancamentos!B24</f>
        <v>Estacionamentos</v>
      </c>
      <c r="C681" s="771" t="s">
        <v>17647</v>
      </c>
      <c r="D681" s="197"/>
      <c r="E681" s="857">
        <v>20</v>
      </c>
      <c r="F681" s="135"/>
      <c r="G681" s="1040"/>
    </row>
    <row r="682" spans="1:7">
      <c r="A682" s="884">
        <v>42889</v>
      </c>
      <c r="B682" s="138" t="str">
        <f>TiposLancamentos!B19</f>
        <v>Restaurantes</v>
      </c>
      <c r="C682" s="771" t="s">
        <v>7295</v>
      </c>
      <c r="D682" s="197"/>
      <c r="E682" s="857">
        <v>66</v>
      </c>
      <c r="F682" s="135"/>
      <c r="G682" s="1040"/>
    </row>
    <row r="683" spans="1:7">
      <c r="A683" s="884">
        <v>42891</v>
      </c>
      <c r="B683" s="138" t="str">
        <f>TiposLancamentos!B5</f>
        <v>Supermercado</v>
      </c>
      <c r="C683" s="771" t="s">
        <v>17648</v>
      </c>
      <c r="D683" s="197"/>
      <c r="E683" s="857">
        <v>3.9</v>
      </c>
      <c r="F683" s="135"/>
      <c r="G683" s="1040"/>
    </row>
    <row r="684" spans="1:7">
      <c r="A684" s="884">
        <v>42891</v>
      </c>
      <c r="B684" s="138" t="str">
        <f>TiposLancamentos!B20</f>
        <v>Saques</v>
      </c>
      <c r="C684" s="771" t="s">
        <v>4579</v>
      </c>
      <c r="D684" s="197"/>
      <c r="E684" s="857">
        <v>40</v>
      </c>
      <c r="F684" s="135"/>
      <c r="G684" s="1040"/>
    </row>
    <row r="685" spans="1:7">
      <c r="A685" s="884">
        <v>42892</v>
      </c>
      <c r="B685" s="138" t="str">
        <f>TiposLancamentos!B9</f>
        <v>Condominio</v>
      </c>
      <c r="C685" s="771" t="s">
        <v>17649</v>
      </c>
      <c r="D685" s="197"/>
      <c r="E685" s="857">
        <v>1226.8800000000001</v>
      </c>
      <c r="F685" s="135"/>
      <c r="G685" s="1040"/>
    </row>
    <row r="686" spans="1:7">
      <c r="A686" s="884">
        <v>42892</v>
      </c>
      <c r="B686" s="138" t="str">
        <f>TiposLancamentos!B32</f>
        <v>Clinicas e tratamentos</v>
      </c>
      <c r="C686" s="771" t="s">
        <v>17650</v>
      </c>
      <c r="D686" s="197"/>
      <c r="E686" s="857">
        <v>658.64</v>
      </c>
      <c r="F686" s="135"/>
      <c r="G686" s="1040"/>
    </row>
    <row r="687" spans="1:7">
      <c r="A687" s="884">
        <v>42892</v>
      </c>
      <c r="B687" s="138" t="str">
        <f>TiposLancamentos!B103</f>
        <v>Juros_Corr. Poupança</v>
      </c>
      <c r="C687" s="771" t="s">
        <v>17642</v>
      </c>
      <c r="D687" s="197">
        <v>0.14000000000000001</v>
      </c>
      <c r="E687" s="857"/>
      <c r="F687" s="135"/>
      <c r="G687" s="1040"/>
    </row>
    <row r="688" spans="1:7">
      <c r="A688" s="884">
        <v>42893</v>
      </c>
      <c r="B688" s="138" t="str">
        <f>TiposLancamentos!B2</f>
        <v>Telefonia</v>
      </c>
      <c r="C688" s="771" t="s">
        <v>6318</v>
      </c>
      <c r="D688" s="197"/>
      <c r="E688" s="857">
        <v>143.44</v>
      </c>
      <c r="F688" s="135"/>
      <c r="G688" s="1040"/>
    </row>
    <row r="689" spans="1:7">
      <c r="A689" s="884">
        <v>42893</v>
      </c>
      <c r="B689" s="138" t="str">
        <f>TiposLancamentos!B20</f>
        <v>Saques</v>
      </c>
      <c r="C689" s="771" t="s">
        <v>4368</v>
      </c>
      <c r="D689" s="197"/>
      <c r="E689" s="857">
        <v>50</v>
      </c>
      <c r="F689" s="135"/>
      <c r="G689" s="1040"/>
    </row>
    <row r="690" spans="1:7">
      <c r="A690" s="884">
        <v>42895</v>
      </c>
      <c r="B690" s="138" t="str">
        <f>TiposLancamentos!B24</f>
        <v>Estacionamentos</v>
      </c>
      <c r="C690" s="771" t="s">
        <v>4589</v>
      </c>
      <c r="D690" s="197"/>
      <c r="E690" s="857">
        <v>200</v>
      </c>
      <c r="F690" s="135"/>
      <c r="G690" s="1040"/>
    </row>
    <row r="691" spans="1:7">
      <c r="A691" s="884">
        <v>42897</v>
      </c>
      <c r="B691" s="138" t="str">
        <f>TiposLancamentos!B24</f>
        <v>Estacionamentos</v>
      </c>
      <c r="C691" s="771" t="s">
        <v>17651</v>
      </c>
      <c r="D691" s="197"/>
      <c r="E691" s="857">
        <v>18</v>
      </c>
      <c r="F691" s="135"/>
      <c r="G691" s="1040"/>
    </row>
    <row r="692" spans="1:7">
      <c r="A692" s="919">
        <v>42896</v>
      </c>
      <c r="B692" s="830" t="str">
        <f>TiposLancamentos!B8</f>
        <v>Aluguel</v>
      </c>
      <c r="C692" s="915" t="s">
        <v>6163</v>
      </c>
      <c r="D692" s="917"/>
      <c r="E692" s="920">
        <f>1757+4.8+1.5</f>
        <v>1763.3</v>
      </c>
      <c r="F692" s="135"/>
      <c r="G692" s="1040"/>
    </row>
    <row r="693" spans="1:7">
      <c r="A693" s="930">
        <v>42896</v>
      </c>
      <c r="B693" s="825" t="str">
        <f>TiposLancamentos!B12</f>
        <v>IPTU</v>
      </c>
      <c r="C693" s="88" t="s">
        <v>6629</v>
      </c>
      <c r="D693" s="828"/>
      <c r="E693" s="931">
        <v>139.77000000000001</v>
      </c>
      <c r="F693" s="135"/>
      <c r="G693" s="1040"/>
    </row>
    <row r="694" spans="1:7">
      <c r="A694" s="921">
        <v>42896</v>
      </c>
      <c r="B694" s="833" t="str">
        <f>TiposLancamentos!B34</f>
        <v>Seguros</v>
      </c>
      <c r="C694" s="916" t="s">
        <v>17652</v>
      </c>
      <c r="D694" s="918"/>
      <c r="E694" s="922">
        <v>262.04000000000002</v>
      </c>
      <c r="F694" s="135">
        <f>SUM(E692:E694)</f>
        <v>2165.11</v>
      </c>
      <c r="G694" s="1040"/>
    </row>
    <row r="695" spans="1:7">
      <c r="A695" s="884">
        <v>42900</v>
      </c>
      <c r="B695" s="138" t="str">
        <f>TiposLancamentos!B95</f>
        <v>Salarios</v>
      </c>
      <c r="C695" s="771" t="s">
        <v>17557</v>
      </c>
      <c r="D695" s="197">
        <v>3792.64</v>
      </c>
      <c r="E695" s="857"/>
      <c r="F695" s="135"/>
      <c r="G695" s="1040"/>
    </row>
    <row r="696" spans="1:7">
      <c r="A696" s="884">
        <v>42901</v>
      </c>
      <c r="B696" s="138" t="str">
        <f>TiposLancamentos!B17</f>
        <v>GATO</v>
      </c>
      <c r="C696" s="771" t="s">
        <v>17653</v>
      </c>
      <c r="D696" s="197"/>
      <c r="E696" s="857">
        <v>224.6</v>
      </c>
      <c r="F696" s="135"/>
      <c r="G696" s="1040"/>
    </row>
    <row r="697" spans="1:7">
      <c r="A697" s="919">
        <v>42901</v>
      </c>
      <c r="B697" s="830" t="str">
        <f>TiposLancamentos!B33</f>
        <v>Pedágios</v>
      </c>
      <c r="C697" s="915" t="s">
        <v>5392</v>
      </c>
      <c r="D697" s="917"/>
      <c r="E697" s="920">
        <v>38.15</v>
      </c>
      <c r="F697" s="135"/>
      <c r="G697" s="1040"/>
    </row>
    <row r="698" spans="1:7">
      <c r="A698" s="930">
        <v>42901</v>
      </c>
      <c r="B698" s="825" t="str">
        <f>TiposLancamentos!B24</f>
        <v>Estacionamentos</v>
      </c>
      <c r="C698" s="88" t="s">
        <v>5863</v>
      </c>
      <c r="D698" s="828"/>
      <c r="E698" s="931">
        <v>0</v>
      </c>
      <c r="F698" s="135"/>
      <c r="G698" s="1040"/>
    </row>
    <row r="699" spans="1:7">
      <c r="A699" s="921">
        <v>42901</v>
      </c>
      <c r="B699" s="833" t="str">
        <f>TiposLancamentos!B24</f>
        <v>Estacionamentos</v>
      </c>
      <c r="C699" s="916" t="s">
        <v>6297</v>
      </c>
      <c r="D699" s="918"/>
      <c r="E699" s="922">
        <v>17</v>
      </c>
      <c r="F699" s="135">
        <f>SUM(E697:E699)</f>
        <v>55.15</v>
      </c>
      <c r="G699" s="1040"/>
    </row>
    <row r="700" spans="1:7">
      <c r="A700" s="884">
        <v>42901</v>
      </c>
      <c r="B700" s="138"/>
      <c r="C700" s="771" t="s">
        <v>14774</v>
      </c>
      <c r="D700" s="197">
        <v>1E-3</v>
      </c>
      <c r="E700" s="857">
        <v>1E-3</v>
      </c>
      <c r="F700" s="135"/>
      <c r="G700" s="1040"/>
    </row>
    <row r="701" spans="1:7">
      <c r="A701" s="919">
        <v>42902</v>
      </c>
      <c r="B701" s="830" t="str">
        <f>TiposLancamentos!B35</f>
        <v>Tv à Cabo</v>
      </c>
      <c r="C701" s="915" t="s">
        <v>5834</v>
      </c>
      <c r="D701" s="917"/>
      <c r="E701" s="920">
        <v>135.02000000000001</v>
      </c>
      <c r="F701" s="135"/>
      <c r="G701" s="1040"/>
    </row>
    <row r="702" spans="1:7">
      <c r="A702" s="930">
        <v>42902</v>
      </c>
      <c r="B702" s="825" t="str">
        <f>TiposLancamentos!B3</f>
        <v>Internet</v>
      </c>
      <c r="C702" s="88" t="s">
        <v>5835</v>
      </c>
      <c r="D702" s="828"/>
      <c r="E702" s="931">
        <v>89.9</v>
      </c>
      <c r="F702" s="135"/>
      <c r="G702" s="1040"/>
    </row>
    <row r="703" spans="1:7">
      <c r="A703" s="921">
        <v>42902</v>
      </c>
      <c r="B703" s="833" t="str">
        <f>TiposLancamentos!B2</f>
        <v>Telefonia</v>
      </c>
      <c r="C703" s="916" t="s">
        <v>7210</v>
      </c>
      <c r="D703" s="918"/>
      <c r="E703" s="922">
        <v>0</v>
      </c>
      <c r="F703" s="135">
        <f>SUM(E701:E703)</f>
        <v>224.92000000000002</v>
      </c>
      <c r="G703" s="1040"/>
    </row>
    <row r="704" spans="1:7">
      <c r="A704" s="884">
        <v>42902</v>
      </c>
      <c r="B704" s="138" t="str">
        <f>TiposLancamentos!B48</f>
        <v>Baralhos e Oráculos</v>
      </c>
      <c r="C704" s="771" t="s">
        <v>17654</v>
      </c>
      <c r="D704" s="197"/>
      <c r="E704" s="857">
        <v>246</v>
      </c>
      <c r="F704" s="135"/>
      <c r="G704" s="1040"/>
    </row>
    <row r="705" spans="1:7">
      <c r="A705" s="884">
        <v>42902</v>
      </c>
      <c r="B705" s="138" t="str">
        <f>TiposLancamentos!B71</f>
        <v>Itens Pessoais</v>
      </c>
      <c r="C705" s="771" t="s">
        <v>17655</v>
      </c>
      <c r="D705" s="197"/>
      <c r="E705" s="857">
        <v>25</v>
      </c>
      <c r="F705" s="135"/>
      <c r="G705" s="1040"/>
    </row>
    <row r="706" spans="1:7">
      <c r="A706" s="884">
        <v>42902</v>
      </c>
      <c r="B706" s="138" t="str">
        <f>TiposLancamentos!B103</f>
        <v>Juros_Corr. Poupança</v>
      </c>
      <c r="C706" s="771" t="s">
        <v>17656</v>
      </c>
      <c r="D706" s="197">
        <v>1.4E-2</v>
      </c>
      <c r="E706" s="857"/>
      <c r="F706" s="135"/>
      <c r="G706" s="1040"/>
    </row>
    <row r="707" spans="1:7">
      <c r="A707" s="884">
        <v>42903</v>
      </c>
      <c r="B707" s="138" t="str">
        <f>TiposLancamentos!B24</f>
        <v>Estacionamentos</v>
      </c>
      <c r="C707" s="771" t="s">
        <v>2014</v>
      </c>
      <c r="D707" s="197"/>
      <c r="E707" s="857">
        <v>10</v>
      </c>
      <c r="F707" s="135"/>
      <c r="G707" s="1040"/>
    </row>
    <row r="708" spans="1:7">
      <c r="A708" s="884">
        <v>42905</v>
      </c>
      <c r="B708" s="138" t="str">
        <f>TiposLancamentos!B27</f>
        <v>Jornais e revistas</v>
      </c>
      <c r="C708" s="771" t="s">
        <v>17657</v>
      </c>
      <c r="D708" s="197"/>
      <c r="E708" s="857">
        <v>40.99</v>
      </c>
      <c r="F708" s="135"/>
      <c r="G708" s="1040"/>
    </row>
    <row r="709" spans="1:7">
      <c r="A709" s="884">
        <v>42905</v>
      </c>
      <c r="B709" s="138" t="str">
        <f>TiposLancamentos!B21</f>
        <v>Transf. Poupanca</v>
      </c>
      <c r="C709" s="771" t="s">
        <v>17360</v>
      </c>
      <c r="D709" s="197"/>
      <c r="E709" s="857">
        <v>50</v>
      </c>
      <c r="F709" s="135"/>
      <c r="G709" s="1040"/>
    </row>
    <row r="710" spans="1:7">
      <c r="A710" s="884">
        <v>42907</v>
      </c>
      <c r="B710" s="138" t="str">
        <f>TiposLancamentos!B48</f>
        <v>Baralhos e Oráculos</v>
      </c>
      <c r="C710" s="771" t="s">
        <v>17658</v>
      </c>
      <c r="D710" s="197"/>
      <c r="E710" s="857">
        <v>90</v>
      </c>
      <c r="F710" s="135"/>
      <c r="G710" s="1040"/>
    </row>
    <row r="711" spans="1:7">
      <c r="A711" s="884">
        <v>42907</v>
      </c>
      <c r="B711" s="138" t="str">
        <f>TiposLancamentos!B19</f>
        <v>Restaurantes</v>
      </c>
      <c r="C711" s="771" t="s">
        <v>17659</v>
      </c>
      <c r="D711" s="197"/>
      <c r="E711" s="857">
        <v>12</v>
      </c>
      <c r="F711" s="135"/>
      <c r="G711" s="1040"/>
    </row>
    <row r="712" spans="1:7">
      <c r="A712" s="884">
        <v>42908</v>
      </c>
      <c r="B712" s="138" t="str">
        <f>TiposLancamentos!B71</f>
        <v>Itens Pessoais</v>
      </c>
      <c r="C712" s="771" t="s">
        <v>17660</v>
      </c>
      <c r="D712" s="197"/>
      <c r="E712" s="857">
        <v>10</v>
      </c>
      <c r="F712" s="135"/>
      <c r="G712" s="1040"/>
    </row>
    <row r="713" spans="1:7">
      <c r="A713" s="884">
        <v>42907</v>
      </c>
      <c r="B713" s="138" t="str">
        <f>TiposLancamentos!B103</f>
        <v>Juros_Corr. Poupança</v>
      </c>
      <c r="C713" s="771" t="s">
        <v>17656</v>
      </c>
      <c r="D713" s="197">
        <v>0.01</v>
      </c>
      <c r="E713" s="857"/>
      <c r="F713" s="135"/>
      <c r="G713" s="1040"/>
    </row>
    <row r="714" spans="1:7">
      <c r="A714" s="884">
        <v>42908</v>
      </c>
      <c r="B714" s="138" t="str">
        <f>TiposLancamentos!B81</f>
        <v>Ferramentas gerais</v>
      </c>
      <c r="C714" s="771" t="s">
        <v>17661</v>
      </c>
      <c r="D714" s="197"/>
      <c r="E714" s="857">
        <v>14.6</v>
      </c>
      <c r="F714" s="135"/>
      <c r="G714" s="1040"/>
    </row>
    <row r="715" spans="1:7">
      <c r="A715" s="884">
        <v>42908</v>
      </c>
      <c r="B715" s="138" t="str">
        <f>TiposLancamentos!B81</f>
        <v>Ferramentas gerais</v>
      </c>
      <c r="C715" s="771" t="s">
        <v>17662</v>
      </c>
      <c r="D715" s="197"/>
      <c r="E715" s="857">
        <v>30.6</v>
      </c>
      <c r="F715" s="135"/>
      <c r="G715" s="1040"/>
    </row>
    <row r="716" spans="1:7">
      <c r="A716" s="884">
        <v>42908</v>
      </c>
      <c r="B716" s="138" t="str">
        <f>TiposLancamentos!B81</f>
        <v>Ferramentas gerais</v>
      </c>
      <c r="C716" s="771" t="s">
        <v>17663</v>
      </c>
      <c r="D716" s="197"/>
      <c r="E716" s="857">
        <v>7.2</v>
      </c>
      <c r="F716" s="135"/>
      <c r="G716" s="1040"/>
    </row>
    <row r="717" spans="1:7">
      <c r="A717" s="1226">
        <v>42908</v>
      </c>
      <c r="B717" s="1250" t="str">
        <f>TiposLancamentos!B13</f>
        <v>Moradia</v>
      </c>
      <c r="C717" s="1251" t="s">
        <v>17664</v>
      </c>
      <c r="D717" s="1252"/>
      <c r="E717" s="1227">
        <v>10</v>
      </c>
      <c r="F717" s="135">
        <f>F718/8</f>
        <v>3</v>
      </c>
      <c r="G717" s="1040"/>
    </row>
    <row r="718" spans="1:7">
      <c r="A718" s="1228">
        <v>42908</v>
      </c>
      <c r="B718" s="1254" t="str">
        <f>TiposLancamentos!B81</f>
        <v>Ferramentas gerais</v>
      </c>
      <c r="C718" s="1255" t="s">
        <v>17665</v>
      </c>
      <c r="D718" s="1256"/>
      <c r="E718" s="1229">
        <v>24</v>
      </c>
      <c r="F718" s="135">
        <f>SUM(E718)</f>
        <v>24</v>
      </c>
      <c r="G718" s="1040"/>
    </row>
    <row r="719" spans="1:7">
      <c r="A719" s="884">
        <v>42908</v>
      </c>
      <c r="B719" s="138" t="str">
        <f>TiposLancamentos!B81</f>
        <v>Ferramentas gerais</v>
      </c>
      <c r="C719" s="771" t="s">
        <v>17666</v>
      </c>
      <c r="D719" s="197"/>
      <c r="E719" s="857">
        <v>12.5</v>
      </c>
      <c r="F719" s="135"/>
      <c r="G719" s="1040"/>
    </row>
    <row r="720" spans="1:7">
      <c r="A720" s="884">
        <v>42908</v>
      </c>
      <c r="B720" s="138" t="str">
        <f>TiposLancamentos!B81</f>
        <v>Ferramentas gerais</v>
      </c>
      <c r="C720" s="771" t="s">
        <v>17667</v>
      </c>
      <c r="D720" s="197"/>
      <c r="E720" s="857">
        <v>6</v>
      </c>
      <c r="F720" s="135"/>
      <c r="G720" s="1040"/>
    </row>
    <row r="721" spans="1:7">
      <c r="A721" s="884">
        <v>42908</v>
      </c>
      <c r="B721" s="138" t="str">
        <f>TiposLancamentos!B19</f>
        <v>Restaurantes</v>
      </c>
      <c r="C721" s="771" t="s">
        <v>17668</v>
      </c>
      <c r="D721" s="197"/>
      <c r="E721" s="857">
        <v>69.3</v>
      </c>
      <c r="F721" s="135"/>
      <c r="G721" s="1040"/>
    </row>
    <row r="722" spans="1:7">
      <c r="A722" s="884">
        <v>42908</v>
      </c>
      <c r="B722" s="138" t="str">
        <f>TiposLancamentos!B74</f>
        <v>Noite</v>
      </c>
      <c r="C722" s="771" t="s">
        <v>17669</v>
      </c>
      <c r="D722" s="197"/>
      <c r="E722" s="857">
        <v>20</v>
      </c>
      <c r="F722" s="135"/>
      <c r="G722" s="1040"/>
    </row>
    <row r="723" spans="1:7">
      <c r="A723" s="884">
        <v>42908</v>
      </c>
      <c r="B723" s="138" t="str">
        <f>TiposLancamentos!B19</f>
        <v>Restaurantes</v>
      </c>
      <c r="C723" s="771" t="s">
        <v>17670</v>
      </c>
      <c r="D723" s="197"/>
      <c r="E723" s="857">
        <v>11</v>
      </c>
      <c r="F723" s="135"/>
      <c r="G723" s="1040"/>
    </row>
    <row r="724" spans="1:7">
      <c r="A724" s="884">
        <v>42908</v>
      </c>
      <c r="B724" s="138" t="str">
        <f>TiposLancamentos!B19</f>
        <v>Restaurantes</v>
      </c>
      <c r="C724" s="771" t="s">
        <v>17671</v>
      </c>
      <c r="D724" s="197"/>
      <c r="E724" s="857">
        <v>23</v>
      </c>
      <c r="F724" s="135"/>
      <c r="G724" s="1040"/>
    </row>
    <row r="725" spans="1:7">
      <c r="A725" s="884">
        <v>42908</v>
      </c>
      <c r="B725" s="138" t="str">
        <f>TiposLancamentos!B24</f>
        <v>Estacionamentos</v>
      </c>
      <c r="C725" s="771" t="s">
        <v>17672</v>
      </c>
      <c r="D725" s="197"/>
      <c r="E725" s="857">
        <v>10</v>
      </c>
      <c r="F725" s="135"/>
      <c r="G725" s="1040"/>
    </row>
    <row r="726" spans="1:7">
      <c r="A726" s="884">
        <v>42913</v>
      </c>
      <c r="B726" s="138" t="str">
        <f>TiposLancamentos!B6</f>
        <v>Energia Eletrica</v>
      </c>
      <c r="C726" s="771" t="s">
        <v>5191</v>
      </c>
      <c r="D726" s="197"/>
      <c r="E726" s="857">
        <v>239.39</v>
      </c>
      <c r="F726" s="135"/>
      <c r="G726" s="1040"/>
    </row>
    <row r="727" spans="1:7">
      <c r="A727" s="884">
        <v>42913</v>
      </c>
      <c r="B727" s="138" t="str">
        <f>TiposLancamentos!B103</f>
        <v>Juros_Corr. Poupança</v>
      </c>
      <c r="C727" s="771" t="s">
        <v>17656</v>
      </c>
      <c r="D727" s="197">
        <v>0.04</v>
      </c>
      <c r="E727" s="857"/>
      <c r="F727" s="135"/>
      <c r="G727" s="1040"/>
    </row>
    <row r="728" spans="1:7">
      <c r="A728" s="884">
        <v>42914</v>
      </c>
      <c r="B728" s="138" t="str">
        <f>TiposLancamentos!B19</f>
        <v>Restaurantes</v>
      </c>
      <c r="C728" s="771" t="s">
        <v>17673</v>
      </c>
      <c r="D728" s="197"/>
      <c r="E728" s="857">
        <v>12</v>
      </c>
      <c r="F728" s="135"/>
      <c r="G728" s="1040"/>
    </row>
    <row r="729" spans="1:7">
      <c r="A729" s="884">
        <v>42914</v>
      </c>
      <c r="B729" s="138" t="str">
        <f>TiposLancamentos!B19</f>
        <v>Restaurantes</v>
      </c>
      <c r="C729" s="771" t="s">
        <v>7004</v>
      </c>
      <c r="D729" s="197"/>
      <c r="E729" s="857">
        <v>9.1999999999999993</v>
      </c>
      <c r="F729" s="135"/>
      <c r="G729" s="1040"/>
    </row>
    <row r="730" spans="1:7">
      <c r="A730" s="884">
        <v>42915</v>
      </c>
      <c r="B730" s="138" t="str">
        <f>TiposLancamentos!B19</f>
        <v>Restaurantes</v>
      </c>
      <c r="C730" s="771" t="s">
        <v>17674</v>
      </c>
      <c r="D730" s="197"/>
      <c r="E730" s="857">
        <v>9.1</v>
      </c>
      <c r="F730" s="135"/>
      <c r="G730" s="1040"/>
    </row>
    <row r="731" spans="1:7">
      <c r="A731" s="884">
        <v>42916</v>
      </c>
      <c r="B731" s="138" t="str">
        <f>TiposLancamentos!B43</f>
        <v>Imposto de Renda</v>
      </c>
      <c r="C731" s="771" t="s">
        <v>17675</v>
      </c>
      <c r="D731" s="197"/>
      <c r="E731" s="857">
        <v>413.59</v>
      </c>
      <c r="F731" s="135"/>
      <c r="G731" s="1040"/>
    </row>
    <row r="732" spans="1:7">
      <c r="A732" s="884">
        <v>42916</v>
      </c>
      <c r="B732" s="138" t="str">
        <f>TiposLancamentos!B95</f>
        <v>Salarios</v>
      </c>
      <c r="C732" s="771" t="s">
        <v>17362</v>
      </c>
      <c r="D732" s="197">
        <v>3216.15</v>
      </c>
      <c r="E732" s="857"/>
      <c r="F732" s="135"/>
      <c r="G732" s="1040"/>
    </row>
    <row r="733" spans="1:7">
      <c r="A733" s="884">
        <v>42916</v>
      </c>
      <c r="B733" s="138" t="str">
        <f>TiposLancamentos!B95</f>
        <v>Salarios</v>
      </c>
      <c r="C733" s="771" t="s">
        <v>17362</v>
      </c>
      <c r="D733" s="197">
        <v>4740.8</v>
      </c>
      <c r="E733" s="857"/>
      <c r="F733" s="135"/>
      <c r="G733" s="1040"/>
    </row>
    <row r="734" spans="1:7">
      <c r="A734" s="884">
        <v>42916</v>
      </c>
      <c r="B734" s="138" t="str">
        <f>TiposLancamentos!B16</f>
        <v>Cristiane</v>
      </c>
      <c r="C734" s="771" t="s">
        <v>17676</v>
      </c>
      <c r="D734" s="197"/>
      <c r="E734" s="857">
        <v>8.1999999999999993</v>
      </c>
      <c r="F734" s="135"/>
      <c r="G734" s="1040"/>
    </row>
    <row r="735" spans="1:7">
      <c r="A735" s="884">
        <v>42916</v>
      </c>
      <c r="B735" s="138" t="str">
        <f>TiposLancamentos!B4</f>
        <v>Taxas Bancarias</v>
      </c>
      <c r="C735" s="771" t="s">
        <v>17677</v>
      </c>
      <c r="D735" s="197"/>
      <c r="E735" s="857">
        <v>52.85</v>
      </c>
      <c r="F735" s="135"/>
      <c r="G735" s="1040"/>
    </row>
    <row r="736" spans="1:7" ht="14.25" thickBot="1">
      <c r="A736" s="884">
        <v>42916</v>
      </c>
      <c r="B736" s="138" t="str">
        <f>TiposLancamentos!B19</f>
        <v>Restaurantes</v>
      </c>
      <c r="C736" s="771" t="s">
        <v>17678</v>
      </c>
      <c r="D736" s="197"/>
      <c r="E736" s="857">
        <v>69</v>
      </c>
      <c r="F736" s="135"/>
      <c r="G736" s="1040"/>
    </row>
    <row r="737" spans="1:7">
      <c r="A737" s="967"/>
      <c r="B737" s="968"/>
      <c r="C737" s="1093" t="s">
        <v>11096</v>
      </c>
      <c r="D737" s="970"/>
      <c r="E737" s="971"/>
      <c r="F737" s="1712"/>
      <c r="G737" s="1039"/>
    </row>
    <row r="738" spans="1:7">
      <c r="A738" s="884">
        <v>42917</v>
      </c>
      <c r="B738" s="240" t="str">
        <f>TiposLancamentos!B5</f>
        <v>Supermercado</v>
      </c>
      <c r="C738" s="878" t="s">
        <v>17679</v>
      </c>
      <c r="D738" s="63"/>
      <c r="E738" s="857">
        <v>54.52</v>
      </c>
      <c r="F738" s="135"/>
      <c r="G738" s="1040"/>
    </row>
    <row r="739" spans="1:7">
      <c r="A739" s="884">
        <v>42919</v>
      </c>
      <c r="B739" s="138" t="str">
        <f>TiposLancamentos!B53</f>
        <v>Auxilio Idoso</v>
      </c>
      <c r="C739" s="771" t="s">
        <v>17577</v>
      </c>
      <c r="D739" s="197"/>
      <c r="E739" s="857">
        <v>1500</v>
      </c>
      <c r="F739" s="135"/>
      <c r="G739" s="1040"/>
    </row>
    <row r="740" spans="1:7">
      <c r="A740" s="884">
        <v>42919</v>
      </c>
      <c r="B740" s="138" t="str">
        <f>TiposLancamentos!B15</f>
        <v>Cartões de Crédito</v>
      </c>
      <c r="C740" s="771" t="s">
        <v>7391</v>
      </c>
      <c r="D740" s="197"/>
      <c r="E740" s="857">
        <v>2477.16</v>
      </c>
      <c r="F740" s="135"/>
      <c r="G740" s="1040"/>
    </row>
    <row r="741" spans="1:7">
      <c r="A741" s="884">
        <v>42919</v>
      </c>
      <c r="B741" s="138" t="str">
        <f>TiposLancamentos!B15</f>
        <v>Cartões de Crédito</v>
      </c>
      <c r="C741" s="771" t="s">
        <v>7333</v>
      </c>
      <c r="D741" s="197"/>
      <c r="E741" s="857">
        <v>3537.95</v>
      </c>
      <c r="F741" s="135"/>
      <c r="G741" s="1040"/>
    </row>
    <row r="742" spans="1:7">
      <c r="A742" s="884">
        <v>42919</v>
      </c>
      <c r="B742" s="138" t="str">
        <f>TiposLancamentos!B15</f>
        <v>Cartões de Crédito</v>
      </c>
      <c r="C742" s="771" t="s">
        <v>7332</v>
      </c>
      <c r="D742" s="197"/>
      <c r="E742" s="857">
        <v>1468.8</v>
      </c>
      <c r="F742" s="135"/>
      <c r="G742" s="1040"/>
    </row>
    <row r="743" spans="1:7">
      <c r="A743" s="884">
        <v>42919</v>
      </c>
      <c r="B743" s="138" t="str">
        <f>TiposLancamentos!B15</f>
        <v>Cartões de Crédito</v>
      </c>
      <c r="C743" s="771" t="s">
        <v>5558</v>
      </c>
      <c r="D743" s="197"/>
      <c r="E743" s="857">
        <v>638.57000000000005</v>
      </c>
      <c r="F743" s="135"/>
      <c r="G743" s="1040"/>
    </row>
    <row r="744" spans="1:7">
      <c r="A744" s="884">
        <v>42919</v>
      </c>
      <c r="B744" s="138" t="str">
        <f>TiposLancamentos!B4</f>
        <v>Taxas Bancarias</v>
      </c>
      <c r="C744" s="771" t="s">
        <v>17680</v>
      </c>
      <c r="D744" s="197"/>
      <c r="E744" s="857">
        <v>0.67</v>
      </c>
      <c r="F744" s="135"/>
      <c r="G744" s="1040"/>
    </row>
    <row r="745" spans="1:7">
      <c r="A745" s="884">
        <v>42919</v>
      </c>
      <c r="B745" s="138" t="str">
        <f>TiposLancamentos!B4</f>
        <v>Taxas Bancarias</v>
      </c>
      <c r="C745" s="771" t="s">
        <v>17681</v>
      </c>
      <c r="D745" s="197"/>
      <c r="E745" s="857">
        <v>11.27</v>
      </c>
      <c r="F745" s="135"/>
      <c r="G745" s="1040"/>
    </row>
    <row r="746" spans="1:7">
      <c r="A746" s="884">
        <v>42919</v>
      </c>
      <c r="B746" s="138" t="str">
        <f>TiposLancamentos!B103</f>
        <v>Juros_Corr. Poupança</v>
      </c>
      <c r="C746" s="771" t="s">
        <v>17642</v>
      </c>
      <c r="D746" s="197">
        <v>0.05</v>
      </c>
      <c r="E746" s="857"/>
      <c r="F746" s="135"/>
      <c r="G746" s="1040"/>
    </row>
    <row r="747" spans="1:7">
      <c r="A747" s="884">
        <v>42921</v>
      </c>
      <c r="B747" s="138" t="str">
        <f>TiposLancamentos!B32</f>
        <v>Clinicas e tratamentos</v>
      </c>
      <c r="C747" s="771" t="s">
        <v>17682</v>
      </c>
      <c r="D747" s="197"/>
      <c r="E747" s="857">
        <v>650</v>
      </c>
      <c r="F747" s="135"/>
      <c r="G747" s="1040"/>
    </row>
    <row r="748" spans="1:7">
      <c r="A748" s="884">
        <v>42922</v>
      </c>
      <c r="B748" s="138" t="str">
        <f>TiposLancamentos!B9</f>
        <v>Condominio</v>
      </c>
      <c r="C748" s="771" t="s">
        <v>17683</v>
      </c>
      <c r="D748" s="197"/>
      <c r="E748" s="857">
        <v>1226.8800000000001</v>
      </c>
      <c r="F748" s="135"/>
      <c r="G748" s="1040"/>
    </row>
    <row r="749" spans="1:7">
      <c r="A749" s="884">
        <v>42923</v>
      </c>
      <c r="B749" s="138" t="str">
        <f>TiposLancamentos!B2</f>
        <v>Telefonia</v>
      </c>
      <c r="C749" s="771" t="s">
        <v>6318</v>
      </c>
      <c r="D749" s="197"/>
      <c r="E749" s="857">
        <v>140.80000000000001</v>
      </c>
      <c r="F749" s="135"/>
      <c r="G749" s="1040"/>
    </row>
    <row r="750" spans="1:7">
      <c r="A750" s="884">
        <v>42924</v>
      </c>
      <c r="B750" s="138" t="str">
        <f>TiposLancamentos!B24</f>
        <v>Estacionamentos</v>
      </c>
      <c r="C750" s="771" t="s">
        <v>3398</v>
      </c>
      <c r="D750" s="197"/>
      <c r="E750" s="857">
        <v>10</v>
      </c>
      <c r="F750" s="135"/>
      <c r="G750" s="1040"/>
    </row>
    <row r="751" spans="1:7">
      <c r="A751" s="884">
        <v>42924</v>
      </c>
      <c r="B751" s="138" t="str">
        <f>TiposLancamentos!B5</f>
        <v>Supermercado</v>
      </c>
      <c r="C751" s="771" t="s">
        <v>17684</v>
      </c>
      <c r="D751" s="197"/>
      <c r="E751" s="857">
        <v>13</v>
      </c>
      <c r="F751" s="135"/>
      <c r="G751" s="1040"/>
    </row>
    <row r="752" spans="1:7">
      <c r="A752" s="884">
        <v>42925</v>
      </c>
      <c r="B752" s="138" t="str">
        <f>TiposLancamentos!B18</f>
        <v>Alimentacao</v>
      </c>
      <c r="C752" s="771" t="s">
        <v>17685</v>
      </c>
      <c r="D752" s="197"/>
      <c r="E752" s="857">
        <v>8</v>
      </c>
      <c r="F752" s="135"/>
      <c r="G752" s="1040"/>
    </row>
    <row r="753" spans="1:7">
      <c r="A753" s="884">
        <v>42926</v>
      </c>
      <c r="B753" s="138" t="str">
        <f>TiposLancamentos!B24</f>
        <v>Estacionamentos</v>
      </c>
      <c r="C753" s="771" t="s">
        <v>4589</v>
      </c>
      <c r="D753" s="197"/>
      <c r="E753" s="857">
        <v>200</v>
      </c>
      <c r="F753" s="135"/>
      <c r="G753" s="1040"/>
    </row>
    <row r="754" spans="1:7">
      <c r="A754" s="919">
        <v>42926</v>
      </c>
      <c r="B754" s="830" t="str">
        <f>TiposLancamentos!B8</f>
        <v>Aluguel</v>
      </c>
      <c r="C754" s="915" t="s">
        <v>6163</v>
      </c>
      <c r="D754" s="917"/>
      <c r="E754" s="920">
        <f>1757+4.8+1.5</f>
        <v>1763.3</v>
      </c>
      <c r="F754" s="135"/>
      <c r="G754" s="1040"/>
    </row>
    <row r="755" spans="1:7">
      <c r="A755" s="930">
        <v>42926</v>
      </c>
      <c r="B755" s="825" t="str">
        <f>TiposLancamentos!B12</f>
        <v>IPTU</v>
      </c>
      <c r="C755" s="88" t="s">
        <v>6703</v>
      </c>
      <c r="D755" s="828"/>
      <c r="E755" s="931">
        <v>139.77000000000001</v>
      </c>
      <c r="F755" s="135"/>
      <c r="G755" s="1040"/>
    </row>
    <row r="756" spans="1:7">
      <c r="A756" s="921">
        <v>42926</v>
      </c>
      <c r="B756" s="833" t="str">
        <f>TiposLancamentos!B34</f>
        <v>Seguros</v>
      </c>
      <c r="C756" s="916" t="s">
        <v>17398</v>
      </c>
      <c r="D756" s="918"/>
      <c r="E756" s="922">
        <v>262.04000000000002</v>
      </c>
      <c r="F756" s="135">
        <f>SUM(E754:E756)</f>
        <v>2165.11</v>
      </c>
      <c r="G756" s="1040"/>
    </row>
    <row r="757" spans="1:7">
      <c r="A757" s="884">
        <v>42926</v>
      </c>
      <c r="B757" s="138" t="str">
        <f>TiposLancamentos!B20</f>
        <v>Saques</v>
      </c>
      <c r="C757" s="771" t="s">
        <v>3604</v>
      </c>
      <c r="D757" s="197"/>
      <c r="E757" s="857">
        <v>20</v>
      </c>
      <c r="F757" s="135"/>
      <c r="G757" s="1040"/>
    </row>
    <row r="758" spans="1:7">
      <c r="A758" s="884">
        <v>42927</v>
      </c>
      <c r="B758" s="138" t="str">
        <f>TiposLancamentos!B20</f>
        <v>Saques</v>
      </c>
      <c r="C758" s="771" t="s">
        <v>3604</v>
      </c>
      <c r="D758" s="197"/>
      <c r="E758" s="857">
        <v>20</v>
      </c>
      <c r="F758" s="135"/>
      <c r="G758" s="1040"/>
    </row>
    <row r="759" spans="1:7">
      <c r="A759" s="884">
        <v>42930</v>
      </c>
      <c r="B759" s="138" t="str">
        <f>TiposLancamentos!B95</f>
        <v>Salarios</v>
      </c>
      <c r="C759" s="771" t="s">
        <v>17557</v>
      </c>
      <c r="D759" s="197">
        <v>3792.64</v>
      </c>
      <c r="E759" s="857"/>
      <c r="F759" s="135"/>
      <c r="G759" s="1040"/>
    </row>
    <row r="760" spans="1:7">
      <c r="A760" s="919">
        <v>42933</v>
      </c>
      <c r="B760" s="830" t="str">
        <f>TiposLancamentos!B33</f>
        <v>Pedágios</v>
      </c>
      <c r="C760" s="915" t="s">
        <v>5392</v>
      </c>
      <c r="D760" s="917"/>
      <c r="E760" s="920">
        <v>38.15</v>
      </c>
      <c r="F760" s="135"/>
      <c r="G760" s="1040"/>
    </row>
    <row r="761" spans="1:7">
      <c r="A761" s="930">
        <v>42933</v>
      </c>
      <c r="B761" s="825" t="str">
        <f>TiposLancamentos!B24</f>
        <v>Estacionamentos</v>
      </c>
      <c r="C761" s="88" t="s">
        <v>5863</v>
      </c>
      <c r="D761" s="828"/>
      <c r="E761" s="931">
        <v>42</v>
      </c>
      <c r="F761" s="135"/>
      <c r="G761" s="1040"/>
    </row>
    <row r="762" spans="1:7">
      <c r="A762" s="921">
        <v>42933</v>
      </c>
      <c r="B762" s="833" t="str">
        <f>TiposLancamentos!B24</f>
        <v>Estacionamentos</v>
      </c>
      <c r="C762" s="916" t="s">
        <v>6297</v>
      </c>
      <c r="D762" s="918"/>
      <c r="E762" s="922">
        <v>39</v>
      </c>
      <c r="F762" s="135">
        <f>SUM(E760:E762)</f>
        <v>119.15</v>
      </c>
      <c r="G762" s="1040"/>
    </row>
    <row r="763" spans="1:7">
      <c r="A763" s="884">
        <v>42933</v>
      </c>
      <c r="B763" s="138"/>
      <c r="C763" s="771" t="s">
        <v>1868</v>
      </c>
      <c r="D763" s="197"/>
      <c r="E763" s="857"/>
      <c r="F763" s="135"/>
      <c r="G763" s="1040"/>
    </row>
    <row r="764" spans="1:7">
      <c r="A764" s="919">
        <v>42933</v>
      </c>
      <c r="B764" s="830" t="str">
        <f>TiposLancamentos!B35</f>
        <v>Tv à Cabo</v>
      </c>
      <c r="C764" s="915" t="s">
        <v>5834</v>
      </c>
      <c r="D764" s="917"/>
      <c r="E764" s="920">
        <v>152.75</v>
      </c>
      <c r="F764" s="135"/>
      <c r="G764" s="1040"/>
    </row>
    <row r="765" spans="1:7">
      <c r="A765" s="930">
        <v>42933</v>
      </c>
      <c r="B765" s="825" t="str">
        <f>TiposLancamentos!B3</f>
        <v>Internet</v>
      </c>
      <c r="C765" s="88" t="s">
        <v>5835</v>
      </c>
      <c r="D765" s="828"/>
      <c r="E765" s="931">
        <v>89.9</v>
      </c>
      <c r="F765" s="135"/>
      <c r="G765" s="1040"/>
    </row>
    <row r="766" spans="1:7">
      <c r="A766" s="921">
        <v>42933</v>
      </c>
      <c r="B766" s="833" t="str">
        <f>TiposLancamentos!B2</f>
        <v>Telefonia</v>
      </c>
      <c r="C766" s="916" t="s">
        <v>7210</v>
      </c>
      <c r="D766" s="918"/>
      <c r="E766" s="922">
        <v>1.95</v>
      </c>
      <c r="F766" s="135">
        <f>SUM(E764:E766)</f>
        <v>244.6</v>
      </c>
      <c r="G766" s="1040"/>
    </row>
    <row r="767" spans="1:7">
      <c r="A767" s="884">
        <v>42940</v>
      </c>
      <c r="B767" s="138" t="str">
        <f>TiposLancamentos!B87</f>
        <v>P207-1.6-XS</v>
      </c>
      <c r="C767" s="771" t="s">
        <v>17686</v>
      </c>
      <c r="D767" s="197"/>
      <c r="E767" s="857">
        <v>40</v>
      </c>
      <c r="F767" s="135"/>
      <c r="G767" s="1040"/>
    </row>
    <row r="768" spans="1:7">
      <c r="A768" s="884">
        <v>42941</v>
      </c>
      <c r="B768" s="138" t="str">
        <f>TiposLancamentos!B17</f>
        <v>GATO</v>
      </c>
      <c r="C768" s="771" t="s">
        <v>17687</v>
      </c>
      <c r="D768" s="197"/>
      <c r="E768" s="857">
        <v>30</v>
      </c>
      <c r="F768" s="135"/>
      <c r="G768" s="1040"/>
    </row>
    <row r="769" spans="1:7">
      <c r="A769" s="884">
        <v>42942</v>
      </c>
      <c r="B769" s="138" t="str">
        <f>TiposLancamentos!B19</f>
        <v>Restaurantes</v>
      </c>
      <c r="C769" s="771" t="s">
        <v>17688</v>
      </c>
      <c r="D769" s="197"/>
      <c r="E769" s="857">
        <v>4</v>
      </c>
      <c r="F769" s="135"/>
      <c r="G769" s="1040"/>
    </row>
    <row r="770" spans="1:7">
      <c r="A770" s="884">
        <v>42943</v>
      </c>
      <c r="B770" s="138" t="str">
        <f>TiposLancamentos!B6</f>
        <v>Energia Eletrica</v>
      </c>
      <c r="C770" s="771" t="s">
        <v>5561</v>
      </c>
      <c r="D770" s="197"/>
      <c r="E770" s="857">
        <v>239.39</v>
      </c>
      <c r="F770" s="135"/>
      <c r="G770" s="1040"/>
    </row>
    <row r="771" spans="1:7">
      <c r="A771" s="884">
        <v>42944</v>
      </c>
      <c r="B771" s="138" t="str">
        <f>TiposLancamentos!B95</f>
        <v>Salarios</v>
      </c>
      <c r="C771" s="771" t="s">
        <v>17362</v>
      </c>
      <c r="D771" s="197">
        <v>7293.33</v>
      </c>
      <c r="E771" s="857"/>
      <c r="F771" s="135"/>
      <c r="G771" s="1040"/>
    </row>
    <row r="772" spans="1:7">
      <c r="A772" s="884">
        <v>42945</v>
      </c>
      <c r="B772" s="138" t="str">
        <f>TiposLancamentos!B19</f>
        <v>Restaurantes</v>
      </c>
      <c r="C772" s="771" t="s">
        <v>17689</v>
      </c>
      <c r="D772" s="197"/>
      <c r="E772" s="857">
        <v>68.2</v>
      </c>
      <c r="F772" s="135"/>
      <c r="G772" s="1040"/>
    </row>
    <row r="773" spans="1:7">
      <c r="A773" s="884">
        <v>42947</v>
      </c>
      <c r="B773" s="138" t="str">
        <f>TiposLancamentos!B103</f>
        <v>Juros_Corr. Poupança</v>
      </c>
      <c r="C773" s="771" t="s">
        <v>17642</v>
      </c>
      <c r="D773" s="197">
        <v>0.01</v>
      </c>
      <c r="E773" s="857"/>
      <c r="F773" s="135"/>
      <c r="G773" s="1040"/>
    </row>
    <row r="774" spans="1:7">
      <c r="A774" s="884">
        <v>42947</v>
      </c>
      <c r="B774" s="138" t="str">
        <f>TiposLancamentos!B43</f>
        <v>Imposto de Renda</v>
      </c>
      <c r="C774" s="771" t="s">
        <v>17690</v>
      </c>
      <c r="D774" s="197"/>
      <c r="E774" s="857">
        <v>416.87</v>
      </c>
      <c r="F774" s="135"/>
      <c r="G774" s="1040"/>
    </row>
    <row r="775" spans="1:7" ht="14.25" thickBot="1">
      <c r="A775" s="884">
        <v>42947</v>
      </c>
      <c r="B775" s="138" t="str">
        <f>TiposLancamentos!B4</f>
        <v>Taxas Bancarias</v>
      </c>
      <c r="C775" s="771" t="s">
        <v>17691</v>
      </c>
      <c r="D775" s="197"/>
      <c r="E775" s="857">
        <v>601.59</v>
      </c>
      <c r="F775" s="135"/>
      <c r="G775" s="1040"/>
    </row>
    <row r="776" spans="1:7">
      <c r="A776" s="967"/>
      <c r="B776" s="968"/>
      <c r="C776" s="1093" t="s">
        <v>15835</v>
      </c>
      <c r="D776" s="970"/>
      <c r="E776" s="971"/>
      <c r="F776" s="1712"/>
      <c r="G776" s="1039"/>
    </row>
    <row r="777" spans="1:7">
      <c r="A777" s="884">
        <v>42948</v>
      </c>
      <c r="B777" s="138" t="str">
        <f>TiposLancamentos!B53</f>
        <v>Auxilio Idoso</v>
      </c>
      <c r="C777" s="771" t="s">
        <v>17577</v>
      </c>
      <c r="D777" s="197"/>
      <c r="E777" s="857">
        <v>1500</v>
      </c>
      <c r="F777" s="135"/>
      <c r="G777" s="1040"/>
    </row>
    <row r="778" spans="1:7">
      <c r="A778" s="884">
        <v>42948</v>
      </c>
      <c r="B778" s="138" t="str">
        <f>TiposLancamentos!B15</f>
        <v>Cartões de Crédito</v>
      </c>
      <c r="C778" s="771" t="s">
        <v>17692</v>
      </c>
      <c r="D778" s="197"/>
      <c r="E778" s="857">
        <v>1199.04</v>
      </c>
      <c r="F778" s="135"/>
      <c r="G778" s="1040"/>
    </row>
    <row r="779" spans="1:7">
      <c r="A779" s="884">
        <v>42948</v>
      </c>
      <c r="B779" s="138" t="str">
        <f>TiposLancamentos!B15</f>
        <v>Cartões de Crédito</v>
      </c>
      <c r="C779" s="771" t="s">
        <v>17693</v>
      </c>
      <c r="D779" s="197"/>
      <c r="E779" s="857">
        <v>1815.71</v>
      </c>
      <c r="F779" s="135"/>
      <c r="G779" s="1040"/>
    </row>
    <row r="780" spans="1:7">
      <c r="A780" s="884">
        <v>42948</v>
      </c>
      <c r="B780" s="138" t="str">
        <f>TiposLancamentos!B15</f>
        <v>Cartões de Crédito</v>
      </c>
      <c r="C780" s="771" t="s">
        <v>7332</v>
      </c>
      <c r="D780" s="197"/>
      <c r="E780" s="857">
        <v>3328.6</v>
      </c>
      <c r="F780" s="135"/>
      <c r="G780" s="1040"/>
    </row>
    <row r="781" spans="1:7">
      <c r="A781" s="884">
        <v>42948</v>
      </c>
      <c r="B781" s="138" t="str">
        <f>TiposLancamentos!B15</f>
        <v>Cartões de Crédito</v>
      </c>
      <c r="C781" s="771" t="s">
        <v>7161</v>
      </c>
      <c r="D781" s="197"/>
      <c r="E781" s="857">
        <v>638.57000000000005</v>
      </c>
      <c r="F781" s="135"/>
      <c r="G781" s="1040"/>
    </row>
    <row r="782" spans="1:7">
      <c r="A782" s="884">
        <v>42948</v>
      </c>
      <c r="B782" s="138" t="str">
        <f>TiposLancamentos!B4</f>
        <v>Taxas Bancarias</v>
      </c>
      <c r="C782" s="771" t="s">
        <v>17694</v>
      </c>
      <c r="D782" s="197"/>
      <c r="E782" s="857">
        <v>8.65</v>
      </c>
      <c r="F782" s="135"/>
      <c r="G782" s="1040"/>
    </row>
    <row r="783" spans="1:7">
      <c r="A783" s="884">
        <v>42948</v>
      </c>
      <c r="B783" s="138" t="str">
        <f>TiposLancamentos!B4</f>
        <v>Taxas Bancarias</v>
      </c>
      <c r="C783" s="771" t="s">
        <v>17695</v>
      </c>
      <c r="D783" s="197"/>
      <c r="E783" s="857">
        <v>29.39</v>
      </c>
      <c r="F783" s="135"/>
      <c r="G783" s="1040"/>
    </row>
    <row r="784" spans="1:7">
      <c r="A784" s="884">
        <v>42948</v>
      </c>
      <c r="B784" s="138" t="str">
        <f>TiposLancamentos!B103</f>
        <v>Juros_Corr. Poupança</v>
      </c>
      <c r="C784" s="771" t="s">
        <v>17642</v>
      </c>
      <c r="D784" s="197">
        <v>0.04</v>
      </c>
      <c r="E784" s="857"/>
      <c r="F784" s="135"/>
      <c r="G784" s="1040"/>
    </row>
    <row r="785" spans="1:7">
      <c r="A785" s="884">
        <v>42949</v>
      </c>
      <c r="B785" s="138" t="str">
        <f>TiposLancamentos!B71</f>
        <v>Itens Pessoais</v>
      </c>
      <c r="C785" s="771" t="s">
        <v>17696</v>
      </c>
      <c r="D785" s="197"/>
      <c r="E785" s="857">
        <v>105.79</v>
      </c>
      <c r="F785" s="135"/>
      <c r="G785" s="1040"/>
    </row>
    <row r="786" spans="1:7">
      <c r="A786" s="884">
        <v>42952</v>
      </c>
      <c r="B786" s="138" t="str">
        <f>TiposLancamentos!B19</f>
        <v>Restaurantes</v>
      </c>
      <c r="C786" s="771" t="s">
        <v>6455</v>
      </c>
      <c r="D786" s="197"/>
      <c r="E786" s="857">
        <v>24</v>
      </c>
      <c r="F786" s="135"/>
      <c r="G786" s="1040"/>
    </row>
    <row r="787" spans="1:7">
      <c r="A787" s="884">
        <v>42952</v>
      </c>
      <c r="B787" s="138" t="str">
        <f>TiposLancamentos!B32</f>
        <v>Clinicas e tratamentos</v>
      </c>
      <c r="C787" s="771" t="s">
        <v>17697</v>
      </c>
      <c r="D787" s="197"/>
      <c r="E787" s="857">
        <v>650</v>
      </c>
      <c r="F787" s="135"/>
      <c r="G787" s="1040"/>
    </row>
    <row r="788" spans="1:7">
      <c r="A788" s="884">
        <v>42953</v>
      </c>
      <c r="B788" s="138" t="str">
        <f>TiposLancamentos!B9</f>
        <v>Condominio</v>
      </c>
      <c r="C788" s="771" t="s">
        <v>17683</v>
      </c>
      <c r="D788" s="197"/>
      <c r="E788" s="857">
        <v>1226.8800000000001</v>
      </c>
      <c r="F788" s="135"/>
      <c r="G788" s="1040"/>
    </row>
    <row r="789" spans="1:7">
      <c r="A789" s="884">
        <v>42954</v>
      </c>
      <c r="B789" s="138" t="str">
        <f>TiposLancamentos!B2</f>
        <v>Telefonia</v>
      </c>
      <c r="C789" s="771" t="s">
        <v>6318</v>
      </c>
      <c r="D789" s="197"/>
      <c r="E789" s="857">
        <v>134.9</v>
      </c>
      <c r="F789" s="135"/>
      <c r="G789" s="1040"/>
    </row>
    <row r="790" spans="1:7">
      <c r="A790" s="884">
        <v>42957</v>
      </c>
      <c r="B790" s="138" t="str">
        <f>TiposLancamentos!B24</f>
        <v>Estacionamentos</v>
      </c>
      <c r="C790" s="771" t="s">
        <v>4589</v>
      </c>
      <c r="D790" s="197"/>
      <c r="E790" s="857">
        <v>200</v>
      </c>
      <c r="F790" s="135"/>
      <c r="G790" s="1040"/>
    </row>
    <row r="791" spans="1:7">
      <c r="A791" s="919">
        <v>42957</v>
      </c>
      <c r="B791" s="830" t="str">
        <f>TiposLancamentos!B8</f>
        <v>Aluguel</v>
      </c>
      <c r="C791" s="915" t="s">
        <v>6163</v>
      </c>
      <c r="D791" s="917"/>
      <c r="E791" s="920">
        <f>1757+4.8+1.5</f>
        <v>1763.3</v>
      </c>
      <c r="F791" s="135"/>
      <c r="G791" s="1040"/>
    </row>
    <row r="792" spans="1:7">
      <c r="A792" s="930">
        <v>42957</v>
      </c>
      <c r="B792" s="825" t="str">
        <f>TiposLancamentos!B12</f>
        <v>IPTU</v>
      </c>
      <c r="C792" s="88" t="s">
        <v>6755</v>
      </c>
      <c r="D792" s="828"/>
      <c r="E792" s="931">
        <v>139.77000000000001</v>
      </c>
      <c r="F792" s="135"/>
      <c r="G792" s="1040"/>
    </row>
    <row r="793" spans="1:7">
      <c r="A793" s="921">
        <v>42957</v>
      </c>
      <c r="B793" s="833" t="str">
        <f>TiposLancamentos!B34</f>
        <v>Seguros</v>
      </c>
      <c r="C793" s="916" t="s">
        <v>17415</v>
      </c>
      <c r="D793" s="918"/>
      <c r="E793" s="922">
        <v>262.04000000000002</v>
      </c>
      <c r="F793" s="135">
        <f>SUM(E791:E793)</f>
        <v>2165.11</v>
      </c>
      <c r="G793" s="1040"/>
    </row>
    <row r="794" spans="1:7">
      <c r="A794" s="884">
        <v>42962</v>
      </c>
      <c r="B794" s="138" t="str">
        <f>TiposLancamentos!B95</f>
        <v>Salarios</v>
      </c>
      <c r="C794" s="771" t="s">
        <v>17557</v>
      </c>
      <c r="D794" s="197">
        <v>3792.64</v>
      </c>
      <c r="E794" s="857"/>
      <c r="F794" s="135"/>
      <c r="G794" s="1040"/>
    </row>
    <row r="795" spans="1:7">
      <c r="A795" s="919">
        <v>42962</v>
      </c>
      <c r="B795" s="830" t="str">
        <f>TiposLancamentos!B33</f>
        <v>Pedágios</v>
      </c>
      <c r="C795" s="915" t="s">
        <v>5392</v>
      </c>
      <c r="D795" s="917"/>
      <c r="E795" s="920">
        <v>38.15</v>
      </c>
      <c r="F795" s="135"/>
      <c r="G795" s="1040"/>
    </row>
    <row r="796" spans="1:7">
      <c r="A796" s="930">
        <v>42962</v>
      </c>
      <c r="B796" s="825" t="str">
        <f>TiposLancamentos!B24</f>
        <v>Estacionamentos</v>
      </c>
      <c r="C796" s="88" t="s">
        <v>5863</v>
      </c>
      <c r="D796" s="828"/>
      <c r="E796" s="931">
        <v>32</v>
      </c>
      <c r="F796" s="135"/>
      <c r="G796" s="1040"/>
    </row>
    <row r="797" spans="1:7">
      <c r="A797" s="921">
        <v>42962</v>
      </c>
      <c r="B797" s="833" t="str">
        <f>TiposLancamentos!B24</f>
        <v>Estacionamentos</v>
      </c>
      <c r="C797" s="916" t="s">
        <v>6297</v>
      </c>
      <c r="D797" s="918"/>
      <c r="E797" s="922">
        <v>46</v>
      </c>
      <c r="F797" s="135">
        <f>SUM(E795:E797)</f>
        <v>116.15</v>
      </c>
      <c r="G797" s="1040"/>
    </row>
    <row r="798" spans="1:7">
      <c r="A798" s="884">
        <v>42962</v>
      </c>
      <c r="B798" s="138"/>
      <c r="C798" s="771" t="s">
        <v>1868</v>
      </c>
      <c r="D798" s="197"/>
      <c r="E798" s="857"/>
      <c r="F798" s="135"/>
      <c r="G798" s="1040"/>
    </row>
    <row r="799" spans="1:7">
      <c r="A799" s="919">
        <v>42962</v>
      </c>
      <c r="B799" s="830" t="str">
        <f>TiposLancamentos!B35</f>
        <v>Tv à Cabo</v>
      </c>
      <c r="C799" s="915" t="s">
        <v>5834</v>
      </c>
      <c r="D799" s="917"/>
      <c r="E799" s="920">
        <v>154.68</v>
      </c>
      <c r="F799" s="135"/>
      <c r="G799" s="1040"/>
    </row>
    <row r="800" spans="1:7">
      <c r="A800" s="930">
        <v>42962</v>
      </c>
      <c r="B800" s="825" t="str">
        <f>TiposLancamentos!B3</f>
        <v>Internet</v>
      </c>
      <c r="C800" s="88" t="s">
        <v>5835</v>
      </c>
      <c r="D800" s="828"/>
      <c r="E800" s="931">
        <v>91.31</v>
      </c>
      <c r="F800" s="135"/>
      <c r="G800" s="1040"/>
    </row>
    <row r="801" spans="1:7">
      <c r="A801" s="921">
        <v>42962</v>
      </c>
      <c r="B801" s="833" t="str">
        <f>TiposLancamentos!B2</f>
        <v>Telefonia</v>
      </c>
      <c r="C801" s="916" t="s">
        <v>7210</v>
      </c>
      <c r="D801" s="918"/>
      <c r="E801" s="922">
        <v>0</v>
      </c>
      <c r="F801" s="135">
        <f>SUM(E799:E801)</f>
        <v>245.99</v>
      </c>
      <c r="G801" s="1040"/>
    </row>
    <row r="802" spans="1:7">
      <c r="A802" s="884">
        <v>42962</v>
      </c>
      <c r="B802" s="138" t="str">
        <f>TiposLancamentos!B19</f>
        <v>Restaurantes</v>
      </c>
      <c r="C802" s="771" t="s">
        <v>17673</v>
      </c>
      <c r="D802" s="197"/>
      <c r="E802" s="857">
        <v>13.5</v>
      </c>
      <c r="F802" s="135"/>
      <c r="G802" s="1040"/>
    </row>
    <row r="803" spans="1:7">
      <c r="A803" s="884">
        <v>42965</v>
      </c>
      <c r="B803" s="138" t="str">
        <f>TiposLancamentos!B24</f>
        <v>Estacionamentos</v>
      </c>
      <c r="C803" s="771" t="s">
        <v>17698</v>
      </c>
      <c r="D803" s="197"/>
      <c r="E803" s="857">
        <v>15</v>
      </c>
      <c r="F803" s="135"/>
      <c r="G803" s="1040"/>
    </row>
    <row r="804" spans="1:7">
      <c r="A804" s="884">
        <v>42966</v>
      </c>
      <c r="B804" s="138" t="str">
        <f>TiposLancamentos!B5</f>
        <v>Supermercado</v>
      </c>
      <c r="C804" s="771" t="s">
        <v>17699</v>
      </c>
      <c r="D804" s="197"/>
      <c r="E804" s="857">
        <v>36.200000000000003</v>
      </c>
      <c r="F804" s="135"/>
      <c r="G804" s="1040"/>
    </row>
    <row r="805" spans="1:7">
      <c r="A805" s="884">
        <v>42966</v>
      </c>
      <c r="B805" s="138" t="str">
        <f>TiposLancamentos!B24</f>
        <v>Estacionamentos</v>
      </c>
      <c r="C805" s="771" t="s">
        <v>3617</v>
      </c>
      <c r="D805" s="197"/>
      <c r="E805" s="857">
        <v>22</v>
      </c>
      <c r="F805" s="135"/>
      <c r="G805" s="1040"/>
    </row>
    <row r="806" spans="1:7">
      <c r="A806" s="884">
        <v>42969</v>
      </c>
      <c r="B806" s="138" t="str">
        <f>TiposLancamentos!B19</f>
        <v>Restaurantes</v>
      </c>
      <c r="C806" s="771" t="s">
        <v>17700</v>
      </c>
      <c r="D806" s="197"/>
      <c r="E806" s="857">
        <v>9.6</v>
      </c>
      <c r="F806" s="135"/>
      <c r="G806" s="1040"/>
    </row>
    <row r="807" spans="1:7">
      <c r="A807" s="884">
        <v>42970</v>
      </c>
      <c r="B807" s="138" t="str">
        <f>TiposLancamentos!B19</f>
        <v>Restaurantes</v>
      </c>
      <c r="C807" s="771" t="s">
        <v>14787</v>
      </c>
      <c r="D807" s="197"/>
      <c r="E807" s="857">
        <v>7.6</v>
      </c>
      <c r="F807" s="135"/>
      <c r="G807" s="1040"/>
    </row>
    <row r="808" spans="1:7">
      <c r="A808" s="884">
        <v>42971</v>
      </c>
      <c r="B808" s="138" t="str">
        <f>TiposLancamentos!B60</f>
        <v>Correio</v>
      </c>
      <c r="C808" s="771" t="s">
        <v>17701</v>
      </c>
      <c r="D808" s="197"/>
      <c r="E808" s="857">
        <v>21.45</v>
      </c>
      <c r="F808" s="135"/>
      <c r="G808" s="1040"/>
    </row>
    <row r="809" spans="1:7">
      <c r="A809" s="884">
        <v>42971</v>
      </c>
      <c r="B809" s="138" t="str">
        <f>TiposLancamentos!B19</f>
        <v>Restaurantes</v>
      </c>
      <c r="C809" s="771" t="s">
        <v>17702</v>
      </c>
      <c r="D809" s="197"/>
      <c r="E809" s="857">
        <v>18</v>
      </c>
      <c r="F809" s="135"/>
      <c r="G809" s="1040"/>
    </row>
    <row r="810" spans="1:7">
      <c r="A810" s="884">
        <v>42971</v>
      </c>
      <c r="B810" s="138" t="str">
        <f>TiposLancamentos!B64</f>
        <v>Viagens</v>
      </c>
      <c r="C810" s="771" t="s">
        <v>17703</v>
      </c>
      <c r="D810" s="197"/>
      <c r="E810" s="857">
        <v>806</v>
      </c>
      <c r="F810" s="135"/>
      <c r="G810" s="1040"/>
    </row>
    <row r="811" spans="1:7">
      <c r="A811" s="884">
        <v>42971</v>
      </c>
      <c r="B811" s="138" t="str">
        <f>TiposLancamentos!B20</f>
        <v>Saques</v>
      </c>
      <c r="C811" s="771" t="s">
        <v>4167</v>
      </c>
      <c r="D811" s="197"/>
      <c r="E811" s="857">
        <v>1300</v>
      </c>
      <c r="F811" s="135"/>
      <c r="G811" s="1040"/>
    </row>
    <row r="812" spans="1:7">
      <c r="A812" s="884">
        <v>42971</v>
      </c>
      <c r="B812" s="138" t="str">
        <f>TiposLancamentos!B6</f>
        <v>Energia Eletrica</v>
      </c>
      <c r="C812" s="771" t="s">
        <v>17704</v>
      </c>
      <c r="D812" s="197"/>
      <c r="E812" s="857">
        <v>227.36</v>
      </c>
      <c r="F812" s="135"/>
      <c r="G812" s="1040"/>
    </row>
    <row r="813" spans="1:7">
      <c r="A813" s="872">
        <v>42974</v>
      </c>
      <c r="B813" s="162" t="str">
        <f>TiposLancamentos!B20</f>
        <v>Saques</v>
      </c>
      <c r="C813" s="163" t="s">
        <v>17705</v>
      </c>
      <c r="D813" s="163"/>
      <c r="E813" s="873"/>
      <c r="F813" s="135">
        <v>182.77</v>
      </c>
      <c r="G813" s="1040"/>
    </row>
    <row r="814" spans="1:7">
      <c r="A814" s="884">
        <v>42977</v>
      </c>
      <c r="B814" s="138" t="str">
        <f>TiposLancamentos!B95</f>
        <v>Salarios</v>
      </c>
      <c r="C814" s="771" t="s">
        <v>17362</v>
      </c>
      <c r="D814" s="197">
        <v>11162.4</v>
      </c>
      <c r="E814" s="857"/>
      <c r="F814" s="135"/>
      <c r="G814" s="1040"/>
    </row>
    <row r="815" spans="1:7">
      <c r="A815" s="884">
        <v>42977</v>
      </c>
      <c r="B815" s="138" t="str">
        <f>TiposLancamentos!B56</f>
        <v>Farmácia</v>
      </c>
      <c r="C815" s="771" t="s">
        <v>6641</v>
      </c>
      <c r="D815" s="197"/>
      <c r="E815" s="857">
        <v>24.9</v>
      </c>
      <c r="F815" s="135"/>
      <c r="G815" s="1040"/>
    </row>
    <row r="816" spans="1:7">
      <c r="A816" s="884">
        <v>42978</v>
      </c>
      <c r="B816" s="138" t="str">
        <f>TiposLancamentos!B43</f>
        <v>Imposto de Renda</v>
      </c>
      <c r="C816" s="771" t="s">
        <v>17706</v>
      </c>
      <c r="D816" s="197"/>
      <c r="E816" s="857">
        <v>420.12</v>
      </c>
      <c r="F816" s="135"/>
      <c r="G816" s="1040"/>
    </row>
    <row r="817" spans="1:7" ht="14.25" thickBot="1">
      <c r="A817" s="884">
        <v>42978</v>
      </c>
      <c r="B817" s="138" t="str">
        <f>TiposLancamentos!B4</f>
        <v>Taxas Bancarias</v>
      </c>
      <c r="C817" s="771" t="s">
        <v>17707</v>
      </c>
      <c r="D817" s="197"/>
      <c r="E817" s="857">
        <v>1224.72</v>
      </c>
      <c r="F817" s="135"/>
      <c r="G817" s="1040"/>
    </row>
    <row r="818" spans="1:7">
      <c r="A818" s="967"/>
      <c r="B818" s="968"/>
      <c r="C818" s="1093" t="s">
        <v>17708</v>
      </c>
      <c r="D818" s="970"/>
      <c r="E818" s="971"/>
      <c r="F818" s="1712"/>
      <c r="G818" s="1039"/>
    </row>
    <row r="819" spans="1:7">
      <c r="A819" s="884">
        <v>42979</v>
      </c>
      <c r="B819" s="138" t="str">
        <f>TiposLancamentos!B15</f>
        <v>Cartões de Crédito</v>
      </c>
      <c r="C819" s="771" t="s">
        <v>17709</v>
      </c>
      <c r="D819" s="197"/>
      <c r="E819" s="857">
        <v>5188.21</v>
      </c>
      <c r="F819" s="135"/>
      <c r="G819" s="1040"/>
    </row>
    <row r="820" spans="1:7">
      <c r="A820" s="884">
        <v>42979</v>
      </c>
      <c r="B820" s="138" t="str">
        <f>TiposLancamentos!B53</f>
        <v>Auxilio Idoso</v>
      </c>
      <c r="C820" s="771" t="s">
        <v>17577</v>
      </c>
      <c r="D820" s="197"/>
      <c r="E820" s="857">
        <v>1500</v>
      </c>
      <c r="F820" s="135"/>
      <c r="G820" s="1040"/>
    </row>
    <row r="821" spans="1:7">
      <c r="A821" s="884">
        <v>42979</v>
      </c>
      <c r="B821" s="138" t="str">
        <f>TiposLancamentos!B4</f>
        <v>Taxas Bancarias</v>
      </c>
      <c r="C821" s="771" t="s">
        <v>17710</v>
      </c>
      <c r="D821" s="197"/>
      <c r="E821" s="857">
        <v>19.920000000000002</v>
      </c>
      <c r="F821" s="135"/>
      <c r="G821" s="1040"/>
    </row>
    <row r="822" spans="1:7">
      <c r="A822" s="884">
        <v>42979</v>
      </c>
      <c r="B822" s="138" t="str">
        <f>TiposLancamentos!B4</f>
        <v>Taxas Bancarias</v>
      </c>
      <c r="C822" s="771" t="s">
        <v>17711</v>
      </c>
      <c r="D822" s="197"/>
      <c r="E822" s="857">
        <v>51.48</v>
      </c>
      <c r="F822" s="135"/>
      <c r="G822" s="1040"/>
    </row>
    <row r="823" spans="1:7">
      <c r="A823" s="884">
        <v>42980</v>
      </c>
      <c r="B823" s="138" t="str">
        <f>TiposLancamentos!B48</f>
        <v>Baralhos e Oráculos</v>
      </c>
      <c r="C823" s="771" t="s">
        <v>17712</v>
      </c>
      <c r="D823" s="197"/>
      <c r="E823" s="857">
        <v>520</v>
      </c>
      <c r="F823" s="135"/>
      <c r="G823" s="1040"/>
    </row>
    <row r="824" spans="1:7">
      <c r="A824" s="884">
        <v>42980</v>
      </c>
      <c r="B824" s="138" t="str">
        <f>TiposLancamentos!B19</f>
        <v>Restaurantes</v>
      </c>
      <c r="C824" s="771" t="s">
        <v>17713</v>
      </c>
      <c r="D824" s="197"/>
      <c r="E824" s="857">
        <v>66</v>
      </c>
      <c r="F824" s="135"/>
      <c r="G824" s="1040"/>
    </row>
    <row r="825" spans="1:7">
      <c r="A825" s="884">
        <v>42980</v>
      </c>
      <c r="B825" s="138" t="str">
        <f>TiposLancamentos!B24</f>
        <v>Estacionamentos</v>
      </c>
      <c r="C825" s="771" t="s">
        <v>3398</v>
      </c>
      <c r="D825" s="197"/>
      <c r="E825" s="857">
        <v>7</v>
      </c>
      <c r="F825" s="135"/>
      <c r="G825" s="1040"/>
    </row>
    <row r="826" spans="1:7">
      <c r="A826" s="884">
        <v>42981</v>
      </c>
      <c r="B826" s="138" t="str">
        <f>TiposLancamentos!B18</f>
        <v>Alimentacao</v>
      </c>
      <c r="C826" s="771" t="s">
        <v>17714</v>
      </c>
      <c r="D826" s="197"/>
      <c r="E826" s="857">
        <v>15</v>
      </c>
      <c r="F826" s="135"/>
      <c r="G826" s="1040"/>
    </row>
    <row r="827" spans="1:7">
      <c r="A827" s="884">
        <v>42987</v>
      </c>
      <c r="B827" s="138" t="str">
        <f>TiposLancamentos!B19</f>
        <v>Restaurantes</v>
      </c>
      <c r="C827" s="771" t="s">
        <v>17689</v>
      </c>
      <c r="D827" s="197"/>
      <c r="E827" s="857">
        <v>63.25</v>
      </c>
      <c r="F827" s="135"/>
      <c r="G827" s="1040"/>
    </row>
    <row r="828" spans="1:7">
      <c r="A828" s="884">
        <v>42989</v>
      </c>
      <c r="B828" s="138" t="str">
        <f>TiposLancamentos!B19</f>
        <v>Restaurantes</v>
      </c>
      <c r="C828" s="771" t="s">
        <v>17715</v>
      </c>
      <c r="D828" s="197"/>
      <c r="E828" s="857">
        <v>22</v>
      </c>
      <c r="F828" s="135"/>
      <c r="G828" s="1040"/>
    </row>
    <row r="829" spans="1:7">
      <c r="A829" s="884">
        <v>42989</v>
      </c>
      <c r="B829" s="138" t="str">
        <f>TiposLancamentos!B24</f>
        <v>Estacionamentos</v>
      </c>
      <c r="C829" s="771" t="s">
        <v>17716</v>
      </c>
      <c r="D829" s="197"/>
      <c r="E829" s="857">
        <v>200</v>
      </c>
      <c r="F829" s="135"/>
      <c r="G829" s="1040"/>
    </row>
    <row r="830" spans="1:7">
      <c r="A830" s="884">
        <v>42993</v>
      </c>
      <c r="B830" s="138" t="str">
        <f>TiposLancamentos!B95</f>
        <v>Salarios</v>
      </c>
      <c r="C830" s="771" t="s">
        <v>17557</v>
      </c>
      <c r="D830" s="197">
        <v>3792.64</v>
      </c>
      <c r="E830" s="857"/>
      <c r="F830" s="135"/>
      <c r="G830" s="1040"/>
    </row>
    <row r="831" spans="1:7">
      <c r="A831" s="919">
        <v>42993</v>
      </c>
      <c r="B831" s="830" t="str">
        <f>TiposLancamentos!B33</f>
        <v>Pedágios</v>
      </c>
      <c r="C831" s="915" t="s">
        <v>5392</v>
      </c>
      <c r="D831" s="917"/>
      <c r="E831" s="920">
        <v>38.15</v>
      </c>
      <c r="F831" s="135"/>
      <c r="G831" s="1040"/>
    </row>
    <row r="832" spans="1:7">
      <c r="A832" s="930">
        <v>42993</v>
      </c>
      <c r="B832" s="825" t="str">
        <f>TiposLancamentos!B24</f>
        <v>Estacionamentos</v>
      </c>
      <c r="C832" s="88" t="s">
        <v>5863</v>
      </c>
      <c r="D832" s="828"/>
      <c r="E832" s="931">
        <v>16</v>
      </c>
      <c r="F832" s="135"/>
      <c r="G832" s="1040"/>
    </row>
    <row r="833" spans="1:7">
      <c r="A833" s="921">
        <v>42993</v>
      </c>
      <c r="B833" s="833" t="str">
        <f>TiposLancamentos!B24</f>
        <v>Estacionamentos</v>
      </c>
      <c r="C833" s="916" t="s">
        <v>6297</v>
      </c>
      <c r="D833" s="918"/>
      <c r="E833" s="922">
        <v>24</v>
      </c>
      <c r="F833" s="135">
        <f>SUM(E831:E833)</f>
        <v>78.150000000000006</v>
      </c>
      <c r="G833" s="1040"/>
    </row>
    <row r="834" spans="1:7">
      <c r="A834" s="884">
        <v>42994</v>
      </c>
      <c r="B834" s="138" t="str">
        <f>TiposLancamentos!B19</f>
        <v>Restaurantes</v>
      </c>
      <c r="C834" s="771" t="s">
        <v>17689</v>
      </c>
      <c r="D834" s="197"/>
      <c r="E834" s="857">
        <v>66.55</v>
      </c>
      <c r="F834" s="135"/>
      <c r="G834" s="1040"/>
    </row>
    <row r="835" spans="1:7">
      <c r="A835" s="884">
        <v>42996</v>
      </c>
      <c r="B835" s="138" t="str">
        <f>TiposLancamentos!B24</f>
        <v>Estacionamentos</v>
      </c>
      <c r="C835" s="771" t="s">
        <v>17717</v>
      </c>
      <c r="D835" s="197"/>
      <c r="E835" s="857">
        <v>8</v>
      </c>
      <c r="F835" s="135"/>
      <c r="G835" s="1040"/>
    </row>
    <row r="836" spans="1:7">
      <c r="A836" s="884">
        <v>43000</v>
      </c>
      <c r="B836" s="138" t="str">
        <f>TiposLancamentos!B52</f>
        <v>Multas</v>
      </c>
      <c r="C836" s="771" t="s">
        <v>17718</v>
      </c>
      <c r="D836" s="197"/>
      <c r="E836" s="857">
        <v>296.39999999999998</v>
      </c>
      <c r="F836" s="135"/>
      <c r="G836" s="1040"/>
    </row>
    <row r="837" spans="1:7">
      <c r="A837" s="919">
        <v>43001</v>
      </c>
      <c r="B837" s="830" t="str">
        <f>TiposLancamentos!B16</f>
        <v>Cristiane</v>
      </c>
      <c r="C837" s="915" t="s">
        <v>17719</v>
      </c>
      <c r="D837" s="917"/>
      <c r="E837" s="920">
        <v>145</v>
      </c>
      <c r="F837" s="135"/>
      <c r="G837" s="1040"/>
    </row>
    <row r="838" spans="1:7">
      <c r="A838" s="930">
        <v>43001</v>
      </c>
      <c r="B838" s="825" t="str">
        <f>TiposLancamentos!B48</f>
        <v>Baralhos e Oráculos</v>
      </c>
      <c r="C838" s="88" t="s">
        <v>17720</v>
      </c>
      <c r="D838" s="828"/>
      <c r="E838" s="931">
        <v>110</v>
      </c>
      <c r="F838" s="135"/>
      <c r="G838" s="1040"/>
    </row>
    <row r="839" spans="1:7">
      <c r="A839" s="921">
        <v>43001</v>
      </c>
      <c r="B839" s="833" t="str">
        <f>TiposLancamentos!B48</f>
        <v>Baralhos e Oráculos</v>
      </c>
      <c r="C839" s="916" t="s">
        <v>17721</v>
      </c>
      <c r="D839" s="918"/>
      <c r="E839" s="922">
        <v>145</v>
      </c>
      <c r="F839" s="135"/>
      <c r="G839" s="1040"/>
    </row>
    <row r="840" spans="1:7">
      <c r="A840" s="884">
        <v>43003</v>
      </c>
      <c r="B840" s="138" t="str">
        <f>TiposLancamentos!B19</f>
        <v>Restaurantes</v>
      </c>
      <c r="C840" s="771" t="s">
        <v>17722</v>
      </c>
      <c r="D840" s="197"/>
      <c r="E840" s="857">
        <v>10.44</v>
      </c>
      <c r="F840" s="135"/>
      <c r="G840" s="1040"/>
    </row>
    <row r="841" spans="1:7">
      <c r="A841" s="884">
        <v>43003</v>
      </c>
      <c r="B841" s="138" t="str">
        <f>TiposLancamentos!B71</f>
        <v>Itens Pessoais</v>
      </c>
      <c r="C841" s="771" t="s">
        <v>17723</v>
      </c>
      <c r="D841" s="197"/>
      <c r="E841" s="857">
        <v>25</v>
      </c>
      <c r="F841" s="135"/>
      <c r="G841" s="1040"/>
    </row>
    <row r="842" spans="1:7">
      <c r="A842" s="884">
        <v>43004</v>
      </c>
      <c r="B842" s="138" t="str">
        <f>TiposLancamentos!B19</f>
        <v>Restaurantes</v>
      </c>
      <c r="C842" s="771" t="s">
        <v>17724</v>
      </c>
      <c r="D842" s="197"/>
      <c r="E842" s="857">
        <v>12.92</v>
      </c>
      <c r="F842" s="135"/>
      <c r="G842" s="1040"/>
    </row>
    <row r="843" spans="1:7">
      <c r="A843" s="884">
        <v>43004</v>
      </c>
      <c r="B843" s="138" t="str">
        <f>TiposLancamentos!B19</f>
        <v>Restaurantes</v>
      </c>
      <c r="C843" s="771" t="s">
        <v>17725</v>
      </c>
      <c r="D843" s="197"/>
      <c r="E843" s="857">
        <v>11.52</v>
      </c>
      <c r="F843" s="135"/>
      <c r="G843" s="1040"/>
    </row>
    <row r="844" spans="1:7">
      <c r="A844" s="884">
        <v>43006</v>
      </c>
      <c r="B844" s="138" t="str">
        <f>TiposLancamentos!B19</f>
        <v>Restaurantes</v>
      </c>
      <c r="C844" s="771" t="s">
        <v>17724</v>
      </c>
      <c r="D844" s="197"/>
      <c r="E844" s="857">
        <v>12.92</v>
      </c>
      <c r="F844" s="135"/>
      <c r="G844" s="1040"/>
    </row>
    <row r="845" spans="1:7">
      <c r="A845" s="884">
        <v>43007</v>
      </c>
      <c r="B845" s="138" t="str">
        <f>TiposLancamentos!B95</f>
        <v>Salarios</v>
      </c>
      <c r="C845" s="771" t="s">
        <v>17362</v>
      </c>
      <c r="D845" s="197">
        <v>17307.88</v>
      </c>
      <c r="E845" s="857"/>
      <c r="F845" s="135"/>
      <c r="G845" s="1040"/>
    </row>
    <row r="846" spans="1:7">
      <c r="A846" s="884">
        <v>43007</v>
      </c>
      <c r="B846" s="138" t="str">
        <f>TiposLancamentos!B43</f>
        <v>Imposto de Renda</v>
      </c>
      <c r="C846" s="771" t="s">
        <v>17726</v>
      </c>
      <c r="D846" s="197"/>
      <c r="E846" s="857">
        <v>423.36</v>
      </c>
      <c r="F846" s="135"/>
      <c r="G846" s="1040"/>
    </row>
    <row r="847" spans="1:7" ht="14.25" thickBot="1">
      <c r="A847" s="884">
        <v>43008</v>
      </c>
      <c r="B847" s="138" t="str">
        <f>TiposLancamentos!B27</f>
        <v>Jornais e revistas</v>
      </c>
      <c r="C847" s="771" t="s">
        <v>17727</v>
      </c>
      <c r="D847" s="197"/>
      <c r="E847" s="857">
        <v>29.9</v>
      </c>
      <c r="F847" s="135"/>
      <c r="G847" s="1040"/>
    </row>
    <row r="848" spans="1:7">
      <c r="A848" s="967"/>
      <c r="B848" s="968"/>
      <c r="C848" s="1093" t="s">
        <v>11182</v>
      </c>
      <c r="D848" s="970"/>
      <c r="E848" s="971"/>
      <c r="F848" s="1712"/>
      <c r="G848" s="1039"/>
    </row>
    <row r="849" spans="1:7">
      <c r="A849" s="884">
        <v>43010</v>
      </c>
      <c r="B849" s="138" t="str">
        <f>TiposLancamentos!B53</f>
        <v>Auxilio Idoso</v>
      </c>
      <c r="C849" s="771" t="s">
        <v>17577</v>
      </c>
      <c r="D849" s="197"/>
      <c r="E849" s="857">
        <v>1500</v>
      </c>
      <c r="F849" s="135"/>
      <c r="G849" s="1040"/>
    </row>
    <row r="850" spans="1:7">
      <c r="A850" s="884">
        <v>43010</v>
      </c>
      <c r="B850" s="138" t="str">
        <f>TiposLancamentos!B15</f>
        <v>Cartões de Crédito</v>
      </c>
      <c r="C850" s="771" t="s">
        <v>17692</v>
      </c>
      <c r="D850" s="197"/>
      <c r="E850" s="857">
        <v>4525.67</v>
      </c>
      <c r="F850" s="135"/>
      <c r="G850" s="1040"/>
    </row>
    <row r="851" spans="1:7">
      <c r="A851" s="884">
        <v>43010</v>
      </c>
      <c r="B851" s="138" t="str">
        <f>TiposLancamentos!B15</f>
        <v>Cartões de Crédito</v>
      </c>
      <c r="C851" s="771" t="s">
        <v>17693</v>
      </c>
      <c r="D851" s="197"/>
      <c r="E851" s="857">
        <v>2455.77</v>
      </c>
      <c r="F851" s="135"/>
      <c r="G851" s="1040"/>
    </row>
    <row r="852" spans="1:7">
      <c r="A852" s="884">
        <v>43010</v>
      </c>
      <c r="B852" s="138" t="str">
        <f>TiposLancamentos!B15</f>
        <v>Cartões de Crédito</v>
      </c>
      <c r="C852" s="771" t="s">
        <v>7332</v>
      </c>
      <c r="D852" s="197"/>
      <c r="E852" s="857">
        <v>1746.33</v>
      </c>
      <c r="F852" s="135"/>
      <c r="G852" s="1040"/>
    </row>
    <row r="853" spans="1:7">
      <c r="A853" s="884">
        <v>43010</v>
      </c>
      <c r="B853" s="138" t="str">
        <f>TiposLancamentos!B15</f>
        <v>Cartões de Crédito</v>
      </c>
      <c r="C853" s="771" t="s">
        <v>7161</v>
      </c>
      <c r="D853" s="197"/>
      <c r="E853" s="857">
        <v>638.57000000000005</v>
      </c>
      <c r="F853" s="135"/>
      <c r="G853" s="1040"/>
    </row>
    <row r="854" spans="1:7">
      <c r="A854" s="884">
        <v>43010</v>
      </c>
      <c r="B854" s="138" t="str">
        <f>TiposLancamentos!B4</f>
        <v>Taxas Bancarias</v>
      </c>
      <c r="C854" s="771" t="s">
        <v>17728</v>
      </c>
      <c r="D854" s="197"/>
      <c r="E854" s="857">
        <v>14.05</v>
      </c>
      <c r="F854" s="135"/>
      <c r="G854" s="1040"/>
    </row>
    <row r="855" spans="1:7">
      <c r="A855" s="884">
        <v>43010</v>
      </c>
      <c r="B855" s="138" t="str">
        <f>TiposLancamentos!B4</f>
        <v>Taxas Bancarias</v>
      </c>
      <c r="C855" s="771" t="s">
        <v>17729</v>
      </c>
      <c r="D855" s="197"/>
      <c r="E855" s="857">
        <v>32.25</v>
      </c>
      <c r="F855" s="135"/>
      <c r="G855" s="1040"/>
    </row>
    <row r="856" spans="1:7">
      <c r="A856" s="884">
        <v>43010</v>
      </c>
      <c r="B856" s="138" t="str">
        <f>TiposLancamentos!B56</f>
        <v>Farmácia</v>
      </c>
      <c r="C856" s="771" t="s">
        <v>17730</v>
      </c>
      <c r="D856" s="197"/>
      <c r="E856" s="857">
        <v>17.59</v>
      </c>
      <c r="F856" s="135"/>
      <c r="G856" s="1040"/>
    </row>
    <row r="857" spans="1:7">
      <c r="A857" s="884">
        <v>43010</v>
      </c>
      <c r="B857" s="138" t="str">
        <f>TiposLancamentos!B4</f>
        <v>Taxas Bancarias</v>
      </c>
      <c r="C857" s="771" t="s">
        <v>17731</v>
      </c>
      <c r="D857" s="197"/>
      <c r="E857" s="857">
        <v>821.86</v>
      </c>
      <c r="F857" s="135"/>
      <c r="G857" s="1040"/>
    </row>
    <row r="858" spans="1:7">
      <c r="A858" s="884">
        <v>43010</v>
      </c>
      <c r="B858" s="138" t="str">
        <f>TiposLancamentos!B103</f>
        <v>Juros_Corr. Poupança</v>
      </c>
      <c r="C858" s="771" t="s">
        <v>17642</v>
      </c>
      <c r="D858" s="197">
        <v>0.02</v>
      </c>
      <c r="E858" s="857"/>
      <c r="F858" s="135"/>
      <c r="G858" s="1040"/>
    </row>
    <row r="859" spans="1:7" ht="12.75" customHeight="1">
      <c r="A859" s="884">
        <v>43014</v>
      </c>
      <c r="B859" s="138" t="str">
        <f>TiposLancamentos!B9</f>
        <v>Condominio</v>
      </c>
      <c r="C859" s="771" t="s">
        <v>5925</v>
      </c>
      <c r="D859" s="197"/>
      <c r="E859" s="857">
        <v>1226.8800000000001</v>
      </c>
      <c r="F859" s="135"/>
      <c r="G859" s="1040"/>
    </row>
    <row r="860" spans="1:7" ht="12.75" customHeight="1">
      <c r="A860" s="884">
        <v>43015</v>
      </c>
      <c r="B860" s="138" t="str">
        <f>TiposLancamentos!B19</f>
        <v>Restaurantes</v>
      </c>
      <c r="C860" s="771" t="s">
        <v>17732</v>
      </c>
      <c r="D860" s="197"/>
      <c r="E860" s="857">
        <v>24</v>
      </c>
      <c r="F860" s="135"/>
      <c r="G860" s="1040"/>
    </row>
    <row r="861" spans="1:7" ht="12.75" customHeight="1">
      <c r="A861" s="884">
        <v>43018</v>
      </c>
      <c r="B861" s="138" t="str">
        <f>TiposLancamentos!B24</f>
        <v>Estacionamentos</v>
      </c>
      <c r="C861" s="771" t="s">
        <v>4589</v>
      </c>
      <c r="D861" s="197"/>
      <c r="E861" s="857">
        <v>200</v>
      </c>
      <c r="F861" s="135"/>
      <c r="G861" s="1040"/>
    </row>
    <row r="862" spans="1:7" ht="12.75" customHeight="1">
      <c r="A862" s="919">
        <v>43018</v>
      </c>
      <c r="B862" s="830" t="str">
        <f>TiposLancamentos!B8</f>
        <v>Aluguel</v>
      </c>
      <c r="C862" s="915" t="s">
        <v>6163</v>
      </c>
      <c r="D862" s="917"/>
      <c r="E862" s="920">
        <f>1757+4.8+1.5</f>
        <v>1763.3</v>
      </c>
      <c r="F862" s="135"/>
      <c r="G862" s="1040"/>
    </row>
    <row r="863" spans="1:7" ht="12.75" customHeight="1">
      <c r="A863" s="930">
        <v>43018</v>
      </c>
      <c r="B863" s="825" t="str">
        <f>TiposLancamentos!B12</f>
        <v>IPTU</v>
      </c>
      <c r="C863" s="88" t="s">
        <v>6351</v>
      </c>
      <c r="D863" s="828"/>
      <c r="E863" s="931">
        <v>139.77000000000001</v>
      </c>
      <c r="F863" s="135"/>
      <c r="G863" s="1040"/>
    </row>
    <row r="864" spans="1:7" ht="12.75" customHeight="1">
      <c r="A864" s="921">
        <v>43018</v>
      </c>
      <c r="B864" s="833" t="str">
        <f>TiposLancamentos!B34</f>
        <v>Seguros</v>
      </c>
      <c r="C864" s="916" t="s">
        <v>17436</v>
      </c>
      <c r="D864" s="918"/>
      <c r="E864" s="922">
        <v>0</v>
      </c>
      <c r="F864" s="135">
        <f>SUM(E862:E864)</f>
        <v>1903.07</v>
      </c>
      <c r="G864" s="1040"/>
    </row>
    <row r="865" spans="1:7" ht="12.75" customHeight="1">
      <c r="A865" s="884">
        <v>43021</v>
      </c>
      <c r="B865" s="138" t="str">
        <f>TiposLancamentos!B95</f>
        <v>Salarios</v>
      </c>
      <c r="C865" s="771" t="s">
        <v>17557</v>
      </c>
      <c r="D865" s="197">
        <v>3792.64</v>
      </c>
      <c r="E865" s="857"/>
      <c r="F865" s="135"/>
      <c r="G865" s="1040"/>
    </row>
    <row r="866" spans="1:7" ht="12.75" customHeight="1">
      <c r="A866" s="919">
        <v>43024</v>
      </c>
      <c r="B866" s="830" t="str">
        <f>TiposLancamentos!B33</f>
        <v>Pedágios</v>
      </c>
      <c r="C866" s="915" t="s">
        <v>5392</v>
      </c>
      <c r="D866" s="917"/>
      <c r="E866" s="920">
        <v>38.15</v>
      </c>
      <c r="F866" s="135"/>
      <c r="G866" s="1040"/>
    </row>
    <row r="867" spans="1:7" ht="12.75" customHeight="1">
      <c r="A867" s="930">
        <v>43024</v>
      </c>
      <c r="B867" s="825" t="str">
        <f>TiposLancamentos!B24</f>
        <v>Estacionamentos</v>
      </c>
      <c r="C867" s="88" t="s">
        <v>5863</v>
      </c>
      <c r="D867" s="828"/>
      <c r="E867" s="931">
        <v>0</v>
      </c>
      <c r="F867" s="135"/>
      <c r="G867" s="1040"/>
    </row>
    <row r="868" spans="1:7" ht="12.75" customHeight="1">
      <c r="A868" s="921">
        <v>43024</v>
      </c>
      <c r="B868" s="833" t="str">
        <f>TiposLancamentos!B24</f>
        <v>Estacionamentos</v>
      </c>
      <c r="C868" s="916" t="s">
        <v>6297</v>
      </c>
      <c r="D868" s="918"/>
      <c r="E868" s="922">
        <v>24</v>
      </c>
      <c r="F868" s="135">
        <f>SUM(E866:E868)</f>
        <v>62.15</v>
      </c>
      <c r="G868" s="1040"/>
    </row>
    <row r="869" spans="1:7" ht="12.75" customHeight="1">
      <c r="A869" s="884">
        <v>43024</v>
      </c>
      <c r="B869" s="138"/>
      <c r="C869" s="771" t="s">
        <v>1868</v>
      </c>
      <c r="D869" s="197"/>
      <c r="E869" s="857"/>
      <c r="F869" s="135"/>
      <c r="G869" s="1040"/>
    </row>
    <row r="870" spans="1:7" ht="12.75" customHeight="1">
      <c r="A870" s="919">
        <v>43024</v>
      </c>
      <c r="B870" s="830" t="str">
        <f>TiposLancamentos!B35</f>
        <v>Tv à Cabo</v>
      </c>
      <c r="C870" s="915" t="s">
        <v>5834</v>
      </c>
      <c r="D870" s="917"/>
      <c r="E870" s="920">
        <v>154.68</v>
      </c>
      <c r="F870" s="135"/>
      <c r="G870" s="1040"/>
    </row>
    <row r="871" spans="1:7" ht="12.75" customHeight="1">
      <c r="A871" s="930">
        <v>43024</v>
      </c>
      <c r="B871" s="825" t="str">
        <f>TiposLancamentos!B3</f>
        <v>Internet</v>
      </c>
      <c r="C871" s="88" t="s">
        <v>5835</v>
      </c>
      <c r="D871" s="828"/>
      <c r="E871" s="931">
        <v>91.31</v>
      </c>
      <c r="F871" s="135"/>
      <c r="G871" s="1040"/>
    </row>
    <row r="872" spans="1:7" ht="12.75" customHeight="1">
      <c r="A872" s="921">
        <v>43024</v>
      </c>
      <c r="B872" s="833" t="str">
        <f>TiposLancamentos!B2</f>
        <v>Telefonia</v>
      </c>
      <c r="C872" s="916" t="s">
        <v>7210</v>
      </c>
      <c r="D872" s="918"/>
      <c r="E872" s="922">
        <v>5.16</v>
      </c>
      <c r="F872" s="135">
        <f>SUM(E870:E872)</f>
        <v>251.15</v>
      </c>
      <c r="G872" s="1040"/>
    </row>
    <row r="873" spans="1:7" ht="12.75" customHeight="1">
      <c r="A873" s="884">
        <v>43024</v>
      </c>
      <c r="B873" s="138" t="str">
        <f>TiposLancamentos!B19</f>
        <v>Restaurantes</v>
      </c>
      <c r="C873" s="771" t="s">
        <v>17733</v>
      </c>
      <c r="D873" s="197"/>
      <c r="E873" s="857">
        <v>7.9</v>
      </c>
      <c r="F873" s="135"/>
      <c r="G873" s="1040"/>
    </row>
    <row r="874" spans="1:7" ht="12.75" customHeight="1">
      <c r="A874" s="884">
        <v>42995</v>
      </c>
      <c r="B874" s="138" t="str">
        <f>TiposLancamentos!B13</f>
        <v>Moradia</v>
      </c>
      <c r="C874" s="771" t="s">
        <v>17734</v>
      </c>
      <c r="D874" s="197"/>
      <c r="E874" s="857">
        <v>50</v>
      </c>
      <c r="F874" s="135"/>
      <c r="G874" s="1040"/>
    </row>
    <row r="875" spans="1:7" ht="12.75" customHeight="1">
      <c r="A875" s="884">
        <v>43028</v>
      </c>
      <c r="B875" s="138" t="str">
        <f>TiposLancamentos!B21</f>
        <v>Transf. Poupanca</v>
      </c>
      <c r="C875" s="771" t="s">
        <v>17735</v>
      </c>
      <c r="D875" s="197"/>
      <c r="E875" s="857">
        <v>50</v>
      </c>
      <c r="F875" s="135"/>
      <c r="G875" s="1040"/>
    </row>
    <row r="876" spans="1:7" ht="12.75" customHeight="1">
      <c r="A876" s="884">
        <v>43029</v>
      </c>
      <c r="B876" s="138" t="str">
        <f>TiposLancamentos!B24</f>
        <v>Estacionamentos</v>
      </c>
      <c r="C876" s="771" t="s">
        <v>17736</v>
      </c>
      <c r="D876" s="197"/>
      <c r="E876" s="857">
        <v>4</v>
      </c>
      <c r="F876" s="135"/>
      <c r="G876" s="1040"/>
    </row>
    <row r="877" spans="1:7" ht="12.75" customHeight="1">
      <c r="A877" s="884">
        <v>43036</v>
      </c>
      <c r="B877" s="138" t="str">
        <f>TiposLancamentos!B24</f>
        <v>Estacionamentos</v>
      </c>
      <c r="C877" s="771" t="s">
        <v>3851</v>
      </c>
      <c r="D877" s="197"/>
      <c r="E877" s="857">
        <v>10</v>
      </c>
      <c r="F877" s="135"/>
      <c r="G877" s="1040"/>
    </row>
    <row r="878" spans="1:7" ht="12.75" customHeight="1">
      <c r="A878" s="884">
        <v>43038</v>
      </c>
      <c r="B878" s="138" t="str">
        <f>TiposLancamentos!B95</f>
        <v>Salarios</v>
      </c>
      <c r="C878" s="771" t="s">
        <v>17362</v>
      </c>
      <c r="D878" s="197">
        <v>11241.7</v>
      </c>
      <c r="E878" s="857"/>
      <c r="F878" s="135"/>
      <c r="G878" s="1040"/>
    </row>
    <row r="879" spans="1:7" ht="12.75" customHeight="1">
      <c r="A879" s="884">
        <v>43038</v>
      </c>
      <c r="B879" s="138" t="str">
        <f>TiposLancamentos!B29</f>
        <v>Mangá</v>
      </c>
      <c r="C879" s="771" t="s">
        <v>17737</v>
      </c>
      <c r="D879" s="197"/>
      <c r="E879" s="857">
        <v>13.9</v>
      </c>
      <c r="F879" s="135"/>
      <c r="G879" s="1040"/>
    </row>
    <row r="880" spans="1:7" ht="12.75" customHeight="1">
      <c r="A880" s="884">
        <v>43039</v>
      </c>
      <c r="B880" s="138" t="str">
        <f>TiposLancamentos!B43</f>
        <v>Imposto de Renda</v>
      </c>
      <c r="C880" s="771" t="s">
        <v>17738</v>
      </c>
      <c r="D880" s="197"/>
      <c r="E880" s="857">
        <v>425.96</v>
      </c>
      <c r="F880" s="135"/>
      <c r="G880" s="1040"/>
    </row>
    <row r="881" spans="1:7" ht="12.75" customHeight="1" thickBot="1">
      <c r="A881" s="884">
        <v>43039</v>
      </c>
      <c r="B881" s="138" t="str">
        <f>TiposLancamentos!B4</f>
        <v>Taxas Bancarias</v>
      </c>
      <c r="C881" s="771" t="s">
        <v>17739</v>
      </c>
      <c r="D881" s="197"/>
      <c r="E881" s="857">
        <v>72.83</v>
      </c>
      <c r="F881" s="135"/>
      <c r="G881" s="1040"/>
    </row>
    <row r="882" spans="1:7" ht="12.75" customHeight="1">
      <c r="A882" s="967"/>
      <c r="B882" s="968"/>
      <c r="C882" s="1093" t="s">
        <v>13785</v>
      </c>
      <c r="D882" s="970"/>
      <c r="E882" s="971"/>
      <c r="F882" s="1712"/>
      <c r="G882" s="1039"/>
    </row>
    <row r="883" spans="1:7" ht="12.75" customHeight="1">
      <c r="A883" s="884">
        <v>43040</v>
      </c>
      <c r="B883" s="138" t="str">
        <f>TiposLancamentos!B53</f>
        <v>Auxilio Idoso</v>
      </c>
      <c r="C883" s="771" t="s">
        <v>17577</v>
      </c>
      <c r="D883" s="197"/>
      <c r="E883" s="857">
        <v>1500</v>
      </c>
      <c r="F883" s="135"/>
      <c r="G883" s="1040"/>
    </row>
    <row r="884" spans="1:7" ht="12.75" customHeight="1">
      <c r="A884" s="884">
        <v>43040</v>
      </c>
      <c r="B884" s="138" t="str">
        <f>TiposLancamentos!B15</f>
        <v>Cartões de Crédito</v>
      </c>
      <c r="C884" s="771" t="s">
        <v>17692</v>
      </c>
      <c r="D884" s="197"/>
      <c r="E884" s="857">
        <v>496.97</v>
      </c>
      <c r="F884" s="135"/>
      <c r="G884" s="1040"/>
    </row>
    <row r="885" spans="1:7" ht="12.75" customHeight="1">
      <c r="A885" s="884">
        <v>43040</v>
      </c>
      <c r="B885" s="138" t="str">
        <f>TiposLancamentos!B15</f>
        <v>Cartões de Crédito</v>
      </c>
      <c r="C885" s="771" t="s">
        <v>17693</v>
      </c>
      <c r="D885" s="197"/>
      <c r="E885" s="857">
        <v>6508.31</v>
      </c>
      <c r="F885" s="135"/>
      <c r="G885" s="1040"/>
    </row>
    <row r="886" spans="1:7" ht="12.75" customHeight="1">
      <c r="A886" s="884">
        <v>43040</v>
      </c>
      <c r="B886" s="138" t="str">
        <f>TiposLancamentos!B15</f>
        <v>Cartões de Crédito</v>
      </c>
      <c r="C886" s="771" t="s">
        <v>7332</v>
      </c>
      <c r="D886" s="197"/>
      <c r="E886" s="857">
        <v>402.74</v>
      </c>
      <c r="F886" s="135"/>
      <c r="G886" s="1040"/>
    </row>
    <row r="887" spans="1:7" ht="12.75" customHeight="1">
      <c r="A887" s="884">
        <v>43040</v>
      </c>
      <c r="B887" s="138" t="str">
        <f>TiposLancamentos!B16</f>
        <v>Cristiane</v>
      </c>
      <c r="C887" s="771" t="s">
        <v>17740</v>
      </c>
      <c r="D887" s="197"/>
      <c r="E887" s="857">
        <v>257.25</v>
      </c>
      <c r="F887" s="135"/>
      <c r="G887" s="1040"/>
    </row>
    <row r="888" spans="1:7" ht="12.75" customHeight="1">
      <c r="A888" s="884">
        <v>43040</v>
      </c>
      <c r="B888" s="138" t="str">
        <f>TiposLancamentos!B4</f>
        <v>Taxas Bancarias</v>
      </c>
      <c r="C888" s="771" t="s">
        <v>17741</v>
      </c>
      <c r="D888" s="197"/>
      <c r="E888" s="857">
        <v>1.23</v>
      </c>
      <c r="F888" s="135"/>
      <c r="G888" s="1040"/>
    </row>
    <row r="889" spans="1:7" ht="12.75" customHeight="1">
      <c r="A889" s="884">
        <v>43040</v>
      </c>
      <c r="B889" s="138" t="str">
        <f>TiposLancamentos!B4</f>
        <v>Taxas Bancarias</v>
      </c>
      <c r="C889" s="771" t="s">
        <v>17742</v>
      </c>
      <c r="D889" s="197"/>
      <c r="E889" s="857">
        <v>12.76</v>
      </c>
      <c r="F889" s="135"/>
      <c r="G889" s="1040"/>
    </row>
    <row r="890" spans="1:7" ht="12.75" customHeight="1">
      <c r="A890" s="884">
        <v>43040</v>
      </c>
      <c r="B890" s="138" t="str">
        <f>TiposLancamentos!B103</f>
        <v>Juros_Corr. Poupança</v>
      </c>
      <c r="C890" s="771" t="s">
        <v>17642</v>
      </c>
      <c r="D890" s="197">
        <v>0.03</v>
      </c>
      <c r="E890" s="857"/>
      <c r="F890" s="135"/>
      <c r="G890" s="1040"/>
    </row>
    <row r="891" spans="1:7" ht="12.75" customHeight="1">
      <c r="A891" s="884">
        <v>43041</v>
      </c>
      <c r="B891" s="138" t="str">
        <f>TiposLancamentos!B31</f>
        <v>Action Figures</v>
      </c>
      <c r="C891" s="771" t="s">
        <v>17743</v>
      </c>
      <c r="D891" s="197"/>
      <c r="E891" s="857">
        <v>12.5</v>
      </c>
      <c r="F891" s="135"/>
      <c r="G891" s="1040"/>
    </row>
    <row r="892" spans="1:7" ht="12.75" customHeight="1">
      <c r="A892" s="884">
        <v>43041</v>
      </c>
      <c r="B892" s="138" t="str">
        <f>TiposLancamentos!B24</f>
        <v>Estacionamentos</v>
      </c>
      <c r="C892" s="771" t="s">
        <v>17744</v>
      </c>
      <c r="D892" s="197"/>
      <c r="E892" s="857">
        <v>20</v>
      </c>
      <c r="F892" s="135"/>
      <c r="G892" s="1040"/>
    </row>
    <row r="893" spans="1:7" ht="12.75" customHeight="1">
      <c r="A893" s="884">
        <v>43041</v>
      </c>
      <c r="B893" s="138" t="str">
        <f>TiposLancamentos!B57</f>
        <v>Informática</v>
      </c>
      <c r="C893" s="771" t="s">
        <v>17745</v>
      </c>
      <c r="D893" s="197"/>
      <c r="E893" s="857">
        <v>40</v>
      </c>
      <c r="F893" s="135"/>
      <c r="G893" s="1040"/>
    </row>
    <row r="894" spans="1:7" ht="12.75" customHeight="1">
      <c r="A894" s="884">
        <v>43044</v>
      </c>
      <c r="B894" s="138" t="str">
        <f>TiposLancamentos!B19</f>
        <v>Restaurantes</v>
      </c>
      <c r="C894" s="771" t="s">
        <v>17746</v>
      </c>
      <c r="D894" s="197"/>
      <c r="E894" s="857">
        <v>24.5</v>
      </c>
      <c r="F894" s="135"/>
      <c r="G894" s="1040"/>
    </row>
    <row r="895" spans="1:7" ht="12.75" customHeight="1">
      <c r="A895" s="884">
        <v>43045</v>
      </c>
      <c r="B895" s="138" t="str">
        <f>TiposLancamentos!B9</f>
        <v>Condominio</v>
      </c>
      <c r="C895" s="771" t="s">
        <v>1684</v>
      </c>
      <c r="D895" s="197"/>
      <c r="E895" s="857">
        <v>1212.9000000000001</v>
      </c>
      <c r="F895" s="135"/>
      <c r="G895" s="1040"/>
    </row>
    <row r="896" spans="1:7" ht="12.75" customHeight="1">
      <c r="A896" s="884">
        <v>43045</v>
      </c>
      <c r="B896" s="138" t="str">
        <f>TiposLancamentos!B103</f>
        <v>Juros_Corr. Poupança</v>
      </c>
      <c r="C896" s="771" t="s">
        <v>17642</v>
      </c>
      <c r="D896" s="197">
        <v>0.02</v>
      </c>
      <c r="E896" s="857"/>
      <c r="F896" s="135"/>
      <c r="G896" s="1040"/>
    </row>
    <row r="897" spans="1:7" ht="12.75" customHeight="1">
      <c r="A897" s="884">
        <v>43046</v>
      </c>
      <c r="B897" s="138" t="str">
        <f>TiposLancamentos!B2</f>
        <v>Telefonia</v>
      </c>
      <c r="C897" s="771" t="s">
        <v>4832</v>
      </c>
      <c r="D897" s="197"/>
      <c r="E897" s="857">
        <v>230.5</v>
      </c>
      <c r="F897" s="135"/>
      <c r="G897" s="1040"/>
    </row>
    <row r="898" spans="1:7" ht="12.75" customHeight="1">
      <c r="A898" s="884">
        <v>43046</v>
      </c>
      <c r="B898" s="138" t="str">
        <f>TiposLancamentos!B103</f>
        <v>Juros_Corr. Poupança</v>
      </c>
      <c r="C898" s="771" t="s">
        <v>17642</v>
      </c>
      <c r="D898" s="197">
        <v>0.01</v>
      </c>
      <c r="E898" s="857"/>
      <c r="F898" s="135"/>
      <c r="G898" s="1040"/>
    </row>
    <row r="899" spans="1:7" ht="12.75" customHeight="1">
      <c r="A899" s="884">
        <v>43049</v>
      </c>
      <c r="B899" s="138" t="str">
        <f>TiposLancamentos!B24</f>
        <v>Estacionamentos</v>
      </c>
      <c r="C899" s="771" t="s">
        <v>17747</v>
      </c>
      <c r="D899" s="197"/>
      <c r="E899" s="857">
        <v>12</v>
      </c>
      <c r="F899" s="135"/>
      <c r="G899" s="1040"/>
    </row>
    <row r="900" spans="1:7" ht="12.75" customHeight="1">
      <c r="A900" s="884">
        <v>43049</v>
      </c>
      <c r="B900" s="138" t="str">
        <f>TiposLancamentos!B24</f>
        <v>Estacionamentos</v>
      </c>
      <c r="C900" s="771" t="s">
        <v>4589</v>
      </c>
      <c r="D900" s="197"/>
      <c r="E900" s="857">
        <v>200</v>
      </c>
      <c r="F900" s="135"/>
      <c r="G900" s="1040"/>
    </row>
    <row r="901" spans="1:7" ht="12.75" customHeight="1">
      <c r="A901" s="919">
        <v>43049</v>
      </c>
      <c r="B901" s="830" t="str">
        <f>TiposLancamentos!B8</f>
        <v>Aluguel</v>
      </c>
      <c r="C901" s="915" t="s">
        <v>6163</v>
      </c>
      <c r="D901" s="917"/>
      <c r="E901" s="920">
        <f>F903-(E903+E902)</f>
        <v>1763.3000000000002</v>
      </c>
      <c r="F901" s="135"/>
      <c r="G901" s="1040"/>
    </row>
    <row r="902" spans="1:7" ht="12.75" customHeight="1">
      <c r="A902" s="930">
        <v>43049</v>
      </c>
      <c r="B902" s="825" t="str">
        <f>TiposLancamentos!B12</f>
        <v>IPTU</v>
      </c>
      <c r="C902" s="88" t="s">
        <v>6876</v>
      </c>
      <c r="D902" s="828"/>
      <c r="E902" s="931">
        <v>139.77000000000001</v>
      </c>
      <c r="F902" s="135"/>
      <c r="G902" s="1040"/>
    </row>
    <row r="903" spans="1:7" ht="12.75" customHeight="1">
      <c r="A903" s="921">
        <v>43049</v>
      </c>
      <c r="B903" s="833" t="str">
        <f>TiposLancamentos!B34</f>
        <v>Seguros</v>
      </c>
      <c r="C903" s="916" t="s">
        <v>17748</v>
      </c>
      <c r="D903" s="918"/>
      <c r="E903" s="922">
        <v>258.48</v>
      </c>
      <c r="F903" s="135">
        <v>2161.5500000000002</v>
      </c>
      <c r="G903" s="1040"/>
    </row>
    <row r="904" spans="1:7" ht="12.75" customHeight="1">
      <c r="A904" s="884">
        <v>43050</v>
      </c>
      <c r="B904" s="138" t="str">
        <f>TiposLancamentos!B24</f>
        <v>Estacionamentos</v>
      </c>
      <c r="C904" s="771" t="s">
        <v>17749</v>
      </c>
      <c r="D904" s="197"/>
      <c r="E904" s="857">
        <v>20</v>
      </c>
      <c r="F904" s="135"/>
      <c r="G904" s="1040"/>
    </row>
    <row r="905" spans="1:7" ht="12.75" customHeight="1">
      <c r="A905" s="884">
        <v>43051</v>
      </c>
      <c r="B905" s="138" t="str">
        <f>TiposLancamentos!B19</f>
        <v>Restaurantes</v>
      </c>
      <c r="C905" s="771" t="s">
        <v>17750</v>
      </c>
      <c r="D905" s="197"/>
      <c r="E905" s="857">
        <v>50</v>
      </c>
      <c r="F905" s="135"/>
      <c r="G905" s="1040"/>
    </row>
    <row r="906" spans="1:7" ht="13.5" customHeight="1">
      <c r="A906" s="884">
        <v>43051</v>
      </c>
      <c r="B906" s="138" t="str">
        <f>TiposLancamentos!B24</f>
        <v>Estacionamentos</v>
      </c>
      <c r="C906" s="771" t="s">
        <v>17751</v>
      </c>
      <c r="D906" s="197"/>
      <c r="E906" s="857">
        <v>20</v>
      </c>
      <c r="F906" s="135"/>
      <c r="G906" s="1040"/>
    </row>
    <row r="907" spans="1:7" ht="12.75" customHeight="1">
      <c r="A907" s="884">
        <v>43053</v>
      </c>
      <c r="B907" s="138" t="str">
        <f>TiposLancamentos!B95</f>
        <v>Salarios</v>
      </c>
      <c r="C907" s="771" t="s">
        <v>17557</v>
      </c>
      <c r="D907" s="197">
        <v>3792.64</v>
      </c>
      <c r="E907" s="857"/>
      <c r="F907" s="135"/>
      <c r="G907" s="1040"/>
    </row>
    <row r="908" spans="1:7" ht="12.75" customHeight="1">
      <c r="A908" s="919">
        <v>43055</v>
      </c>
      <c r="B908" s="830" t="str">
        <f>TiposLancamentos!B33</f>
        <v>Pedágios</v>
      </c>
      <c r="C908" s="915" t="s">
        <v>5392</v>
      </c>
      <c r="D908" s="917"/>
      <c r="E908" s="920">
        <v>38.15</v>
      </c>
      <c r="F908" s="135"/>
      <c r="G908" s="1040"/>
    </row>
    <row r="909" spans="1:7" ht="12.75" customHeight="1">
      <c r="A909" s="930">
        <v>43055</v>
      </c>
      <c r="B909" s="825" t="str">
        <f>TiposLancamentos!B24</f>
        <v>Estacionamentos</v>
      </c>
      <c r="C909" s="88" t="s">
        <v>5863</v>
      </c>
      <c r="D909" s="828"/>
      <c r="E909" s="931">
        <v>23</v>
      </c>
      <c r="F909" s="135"/>
      <c r="G909" s="1040"/>
    </row>
    <row r="910" spans="1:7" ht="12.75" customHeight="1">
      <c r="A910" s="921">
        <v>43055</v>
      </c>
      <c r="B910" s="833" t="str">
        <f>TiposLancamentos!B24</f>
        <v>Estacionamentos</v>
      </c>
      <c r="C910" s="916" t="s">
        <v>6297</v>
      </c>
      <c r="D910" s="918"/>
      <c r="E910" s="922">
        <v>14</v>
      </c>
      <c r="F910" s="135">
        <f>SUM(E908:E910)</f>
        <v>75.150000000000006</v>
      </c>
      <c r="G910" s="1040"/>
    </row>
    <row r="911" spans="1:7">
      <c r="A911" s="884">
        <v>43055</v>
      </c>
      <c r="B911" s="138"/>
      <c r="C911" s="771" t="s">
        <v>1868</v>
      </c>
      <c r="D911" s="197"/>
      <c r="E911" s="857"/>
      <c r="F911" s="135"/>
      <c r="G911" s="1040"/>
    </row>
    <row r="912" spans="1:7">
      <c r="A912" s="919">
        <v>43055</v>
      </c>
      <c r="B912" s="830" t="str">
        <f>TiposLancamentos!B35</f>
        <v>Tv à Cabo</v>
      </c>
      <c r="C912" s="915" t="s">
        <v>5834</v>
      </c>
      <c r="D912" s="917"/>
      <c r="E912" s="920">
        <v>154.68</v>
      </c>
      <c r="F912" s="135"/>
      <c r="G912" s="1040"/>
    </row>
    <row r="913" spans="1:7">
      <c r="A913" s="930">
        <v>43055</v>
      </c>
      <c r="B913" s="825" t="str">
        <f>TiposLancamentos!B3</f>
        <v>Internet</v>
      </c>
      <c r="C913" s="88" t="s">
        <v>5835</v>
      </c>
      <c r="D913" s="828"/>
      <c r="E913" s="931">
        <v>91.31</v>
      </c>
      <c r="F913" s="135"/>
      <c r="G913" s="1040"/>
    </row>
    <row r="914" spans="1:7">
      <c r="A914" s="921">
        <v>43055</v>
      </c>
      <c r="B914" s="833" t="str">
        <f>TiposLancamentos!B2</f>
        <v>Telefonia</v>
      </c>
      <c r="C914" s="916" t="s">
        <v>7210</v>
      </c>
      <c r="D914" s="918"/>
      <c r="E914" s="922">
        <v>0</v>
      </c>
      <c r="F914" s="135">
        <f>SUM(E912:E914)</f>
        <v>245.99</v>
      </c>
      <c r="G914" s="1040"/>
    </row>
    <row r="915" spans="1:7">
      <c r="A915" s="884">
        <v>43055</v>
      </c>
      <c r="B915" s="138" t="str">
        <f>TiposLancamentos!B32</f>
        <v>Clinicas e tratamentos</v>
      </c>
      <c r="C915" s="3" t="s">
        <v>17752</v>
      </c>
      <c r="D915" s="197"/>
      <c r="E915" s="857">
        <v>51</v>
      </c>
      <c r="F915" s="135"/>
      <c r="G915" s="1040"/>
    </row>
    <row r="916" spans="1:7">
      <c r="A916" s="884">
        <v>43057</v>
      </c>
      <c r="B916" s="138" t="str">
        <f>TiposLancamentos!B5</f>
        <v>Supermercado</v>
      </c>
      <c r="C916" s="3" t="s">
        <v>17753</v>
      </c>
      <c r="D916" s="197"/>
      <c r="E916" s="857">
        <v>398.7</v>
      </c>
      <c r="F916" s="135"/>
      <c r="G916" s="1040"/>
    </row>
    <row r="917" spans="1:7">
      <c r="A917" s="884">
        <v>43057</v>
      </c>
      <c r="B917" s="138" t="str">
        <f>TiposLancamentos!B19</f>
        <v>Restaurantes</v>
      </c>
      <c r="C917" s="3" t="s">
        <v>17754</v>
      </c>
      <c r="D917" s="197"/>
      <c r="E917" s="857">
        <v>84.77</v>
      </c>
      <c r="F917" s="135"/>
      <c r="G917" s="1040"/>
    </row>
    <row r="918" spans="1:7">
      <c r="A918" s="884">
        <v>43057</v>
      </c>
      <c r="B918" s="138" t="str">
        <f>TiposLancamentos!B5</f>
        <v>Supermercado</v>
      </c>
      <c r="C918" s="3" t="s">
        <v>6234</v>
      </c>
      <c r="D918" s="197"/>
      <c r="E918" s="857">
        <v>26.08</v>
      </c>
      <c r="F918" s="135"/>
      <c r="G918" s="1040"/>
    </row>
    <row r="919" spans="1:7">
      <c r="A919" s="884">
        <v>43058</v>
      </c>
      <c r="B919" s="138" t="str">
        <f>TiposLancamentos!B19</f>
        <v>Restaurantes</v>
      </c>
      <c r="C919" s="3" t="s">
        <v>17755</v>
      </c>
      <c r="D919" s="197"/>
      <c r="E919" s="857">
        <v>105.16</v>
      </c>
      <c r="F919" s="135"/>
      <c r="G919" s="1040"/>
    </row>
    <row r="920" spans="1:7">
      <c r="A920" s="884">
        <v>43058</v>
      </c>
      <c r="B920" s="138" t="str">
        <f>TiposLancamentos!B5</f>
        <v>Supermercado</v>
      </c>
      <c r="C920" s="3" t="s">
        <v>6981</v>
      </c>
      <c r="D920" s="197"/>
      <c r="E920" s="857">
        <v>26.06</v>
      </c>
      <c r="F920" s="135"/>
      <c r="G920" s="1040"/>
    </row>
    <row r="921" spans="1:7">
      <c r="A921" s="884">
        <v>43059</v>
      </c>
      <c r="B921" s="138" t="str">
        <f>TiposLancamentos!B5</f>
        <v>Supermercado</v>
      </c>
      <c r="C921" s="3" t="s">
        <v>6981</v>
      </c>
      <c r="D921" s="197"/>
      <c r="E921" s="857">
        <v>31.94</v>
      </c>
      <c r="F921" s="135"/>
      <c r="G921" s="1040"/>
    </row>
    <row r="922" spans="1:7">
      <c r="A922" s="884">
        <v>43059</v>
      </c>
      <c r="B922" s="138" t="str">
        <f>TiposLancamentos!B21</f>
        <v>Transf. Poupanca</v>
      </c>
      <c r="C922" s="3" t="s">
        <v>17756</v>
      </c>
      <c r="D922" s="197"/>
      <c r="E922" s="857">
        <v>50</v>
      </c>
      <c r="F922" s="135"/>
      <c r="G922" s="1040"/>
    </row>
    <row r="923" spans="1:7">
      <c r="A923" s="884">
        <v>43059</v>
      </c>
      <c r="B923" s="138" t="str">
        <f>TiposLancamentos!B103</f>
        <v>Juros_Corr. Poupança</v>
      </c>
      <c r="C923" s="3" t="s">
        <v>17642</v>
      </c>
      <c r="D923" s="197">
        <v>0.01</v>
      </c>
      <c r="E923" s="857"/>
      <c r="F923" s="135"/>
      <c r="G923" s="1040"/>
    </row>
    <row r="924" spans="1:7">
      <c r="A924" s="884">
        <v>43060</v>
      </c>
      <c r="B924" s="138" t="str">
        <f>TiposLancamentos!B71</f>
        <v>Itens Pessoais</v>
      </c>
      <c r="C924" s="3" t="s">
        <v>3590</v>
      </c>
      <c r="D924" s="197"/>
      <c r="E924" s="857">
        <v>25</v>
      </c>
      <c r="F924" s="135"/>
      <c r="G924" s="1040"/>
    </row>
    <row r="925" spans="1:7">
      <c r="A925" s="884">
        <v>43062</v>
      </c>
      <c r="B925" s="138" t="str">
        <f>TiposLancamentos!B19</f>
        <v>Restaurantes</v>
      </c>
      <c r="C925" s="3" t="s">
        <v>17757</v>
      </c>
      <c r="D925" s="197"/>
      <c r="E925" s="857">
        <v>12.4</v>
      </c>
      <c r="F925" s="135"/>
      <c r="G925" s="1040"/>
    </row>
    <row r="926" spans="1:7">
      <c r="A926" s="884">
        <v>43063</v>
      </c>
      <c r="B926" s="138" t="str">
        <f>TiposLancamentos!B19</f>
        <v>Restaurantes</v>
      </c>
      <c r="C926" s="3" t="s">
        <v>17758</v>
      </c>
      <c r="D926" s="197"/>
      <c r="E926" s="857">
        <v>10</v>
      </c>
      <c r="F926" s="135"/>
      <c r="G926" s="1040"/>
    </row>
    <row r="927" spans="1:7">
      <c r="A927" s="884">
        <v>43063</v>
      </c>
      <c r="B927" s="138" t="str">
        <f>TiposLancamentos!B16</f>
        <v>Cristiane</v>
      </c>
      <c r="C927" s="3" t="s">
        <v>17759</v>
      </c>
      <c r="D927" s="197"/>
      <c r="E927" s="857">
        <v>23.97</v>
      </c>
      <c r="F927" s="135"/>
      <c r="G927" s="1040"/>
    </row>
    <row r="928" spans="1:7">
      <c r="A928" s="884">
        <v>43066</v>
      </c>
      <c r="B928" s="138" t="str">
        <f>TiposLancamentos!B60</f>
        <v>Correio</v>
      </c>
      <c r="C928" s="3" t="s">
        <v>17760</v>
      </c>
      <c r="D928" s="197"/>
      <c r="E928" s="857">
        <v>41</v>
      </c>
      <c r="F928" s="135"/>
      <c r="G928" s="1040"/>
    </row>
    <row r="929" spans="1:7">
      <c r="A929" s="884">
        <v>43066</v>
      </c>
      <c r="B929" s="138" t="str">
        <f>TiposLancamentos!B24</f>
        <v>Estacionamentos</v>
      </c>
      <c r="C929" s="3" t="s">
        <v>3398</v>
      </c>
      <c r="D929" s="197"/>
      <c r="E929" s="857">
        <v>7</v>
      </c>
      <c r="F929" s="135"/>
      <c r="G929" s="1040"/>
    </row>
    <row r="930" spans="1:7">
      <c r="A930" s="884">
        <v>43067</v>
      </c>
      <c r="B930" s="138" t="str">
        <f>TiposLancamentos!B6</f>
        <v>Energia Eletrica</v>
      </c>
      <c r="C930" s="3" t="s">
        <v>17594</v>
      </c>
      <c r="D930" s="197"/>
      <c r="E930" s="857">
        <v>229</v>
      </c>
      <c r="F930" s="135"/>
      <c r="G930" s="1040"/>
    </row>
    <row r="931" spans="1:7">
      <c r="A931" s="884">
        <v>43067</v>
      </c>
      <c r="B931" s="138" t="str">
        <f>TiposLancamentos!B103</f>
        <v>Juros_Corr. Poupança</v>
      </c>
      <c r="C931" s="3" t="s">
        <v>17642</v>
      </c>
      <c r="D931" s="197">
        <v>0.01</v>
      </c>
      <c r="E931" s="857"/>
      <c r="F931" s="135"/>
      <c r="G931" s="1040"/>
    </row>
    <row r="932" spans="1:7">
      <c r="A932" s="884">
        <v>43068</v>
      </c>
      <c r="B932" s="138" t="str">
        <f>TiposLancamentos!B19</f>
        <v>Restaurantes</v>
      </c>
      <c r="C932" s="3" t="s">
        <v>14787</v>
      </c>
      <c r="D932" s="197"/>
      <c r="E932" s="857">
        <v>11</v>
      </c>
      <c r="F932" s="135"/>
      <c r="G932" s="1040"/>
    </row>
    <row r="933" spans="1:7">
      <c r="A933" s="884">
        <v>43069</v>
      </c>
      <c r="B933" s="138" t="str">
        <f>TiposLancamentos!B95</f>
        <v>Salarios</v>
      </c>
      <c r="C933" s="3" t="s">
        <v>17362</v>
      </c>
      <c r="D933" s="197">
        <v>11731.78</v>
      </c>
      <c r="E933" s="857"/>
      <c r="F933" s="135"/>
      <c r="G933" s="1040"/>
    </row>
    <row r="934" spans="1:7">
      <c r="A934" s="884">
        <v>43069</v>
      </c>
      <c r="B934" s="138" t="str">
        <f>TiposLancamentos!B43</f>
        <v>Imposto de Renda</v>
      </c>
      <c r="C934" s="3" t="s">
        <v>17738</v>
      </c>
      <c r="D934" s="197"/>
      <c r="E934" s="857">
        <v>428.56</v>
      </c>
      <c r="F934" s="135"/>
      <c r="G934" s="1040"/>
    </row>
    <row r="935" spans="1:7">
      <c r="A935" s="884">
        <v>43069</v>
      </c>
      <c r="B935" s="138" t="str">
        <f>TiposLancamentos!B56</f>
        <v>Farmácia</v>
      </c>
      <c r="C935" s="3" t="s">
        <v>17761</v>
      </c>
      <c r="D935" s="197"/>
      <c r="E935" s="857">
        <v>6.4</v>
      </c>
      <c r="F935" s="135"/>
      <c r="G935" s="1040"/>
    </row>
    <row r="936" spans="1:7">
      <c r="A936" s="884">
        <v>43069</v>
      </c>
      <c r="B936" s="138" t="str">
        <f>TiposLancamentos!B56</f>
        <v>Farmácia</v>
      </c>
      <c r="C936" s="3" t="s">
        <v>17762</v>
      </c>
      <c r="D936" s="197"/>
      <c r="E936" s="857">
        <v>60.56</v>
      </c>
      <c r="F936" s="135"/>
      <c r="G936" s="1040"/>
    </row>
    <row r="937" spans="1:7">
      <c r="A937" s="884">
        <v>43069</v>
      </c>
      <c r="B937" s="138" t="str">
        <f>TiposLancamentos!B17</f>
        <v>GATO</v>
      </c>
      <c r="C937" s="3" t="s">
        <v>17763</v>
      </c>
      <c r="D937" s="197"/>
      <c r="E937" s="857">
        <v>39.99</v>
      </c>
      <c r="F937" s="135"/>
      <c r="G937" s="1040"/>
    </row>
    <row r="938" spans="1:7">
      <c r="A938" s="884">
        <v>43069</v>
      </c>
      <c r="B938" s="138" t="str">
        <f>TiposLancamentos!B19</f>
        <v>Restaurantes</v>
      </c>
      <c r="C938" s="3" t="s">
        <v>17764</v>
      </c>
      <c r="D938" s="197"/>
      <c r="E938" s="857">
        <v>27.3</v>
      </c>
      <c r="F938" s="135"/>
      <c r="G938" s="1040"/>
    </row>
    <row r="939" spans="1:7" ht="14.25" thickBot="1">
      <c r="A939" s="884">
        <v>43069</v>
      </c>
      <c r="B939" s="138" t="str">
        <f>TiposLancamentos!B19</f>
        <v>Restaurantes</v>
      </c>
      <c r="C939" s="3" t="s">
        <v>17765</v>
      </c>
      <c r="D939" s="197"/>
      <c r="E939" s="857">
        <v>14</v>
      </c>
      <c r="F939" s="135"/>
      <c r="G939" s="1040"/>
    </row>
    <row r="940" spans="1:7">
      <c r="A940" s="967"/>
      <c r="B940" s="968"/>
      <c r="C940" s="1093" t="s">
        <v>13795</v>
      </c>
      <c r="D940" s="970"/>
      <c r="E940" s="971"/>
      <c r="F940" s="1712"/>
      <c r="G940" s="1039"/>
    </row>
    <row r="941" spans="1:7">
      <c r="A941" s="884">
        <v>43070</v>
      </c>
      <c r="B941" s="138" t="str">
        <f>TiposLancamentos!B19</f>
        <v>Restaurantes</v>
      </c>
      <c r="C941" s="3" t="s">
        <v>17766</v>
      </c>
      <c r="D941" s="197"/>
      <c r="E941" s="857">
        <v>11.6</v>
      </c>
      <c r="F941" s="135"/>
      <c r="G941" s="1040"/>
    </row>
    <row r="942" spans="1:7">
      <c r="A942" s="884">
        <v>43070</v>
      </c>
      <c r="B942" s="138" t="str">
        <f>TiposLancamentos!B19</f>
        <v>Restaurantes</v>
      </c>
      <c r="C942" s="3" t="s">
        <v>17767</v>
      </c>
      <c r="D942" s="197"/>
      <c r="E942" s="857">
        <v>42.9</v>
      </c>
      <c r="F942" s="135"/>
      <c r="G942" s="1040"/>
    </row>
    <row r="943" spans="1:7">
      <c r="A943" s="884">
        <v>43070</v>
      </c>
      <c r="B943" s="138" t="str">
        <f>TiposLancamentos!B53</f>
        <v>Auxilio Idoso</v>
      </c>
      <c r="C943" s="771" t="s">
        <v>17577</v>
      </c>
      <c r="D943" s="197"/>
      <c r="E943" s="857">
        <v>1500</v>
      </c>
      <c r="F943" s="135"/>
      <c r="G943" s="1040"/>
    </row>
    <row r="944" spans="1:7">
      <c r="A944" s="884">
        <v>43070</v>
      </c>
      <c r="B944" s="138" t="str">
        <f>TiposLancamentos!B15</f>
        <v>Cartões de Crédito</v>
      </c>
      <c r="C944" s="771" t="s">
        <v>17692</v>
      </c>
      <c r="D944" s="197"/>
      <c r="E944" s="857">
        <v>8639.98</v>
      </c>
      <c r="F944" s="135"/>
      <c r="G944" s="1040"/>
    </row>
    <row r="945" spans="1:7">
      <c r="A945" s="884">
        <v>43070</v>
      </c>
      <c r="B945" s="138" t="str">
        <f>TiposLancamentos!B15</f>
        <v>Cartões de Crédito</v>
      </c>
      <c r="C945" s="771" t="s">
        <v>17693</v>
      </c>
      <c r="D945" s="197"/>
      <c r="E945" s="857">
        <v>279.83</v>
      </c>
      <c r="F945" s="135"/>
      <c r="G945" s="1040"/>
    </row>
    <row r="946" spans="1:7">
      <c r="A946" s="884">
        <v>43070</v>
      </c>
      <c r="B946" s="138" t="str">
        <f>TiposLancamentos!B15</f>
        <v>Cartões de Crédito</v>
      </c>
      <c r="C946" s="771" t="s">
        <v>7332</v>
      </c>
      <c r="D946" s="197"/>
      <c r="E946" s="857">
        <v>402.74</v>
      </c>
      <c r="F946" s="135"/>
      <c r="G946" s="1040"/>
    </row>
    <row r="947" spans="1:7">
      <c r="A947" s="884">
        <v>43070</v>
      </c>
      <c r="B947" s="138" t="str">
        <f>TiposLancamentos!B4</f>
        <v>Taxas Bancarias</v>
      </c>
      <c r="C947" s="771" t="s">
        <v>17768</v>
      </c>
      <c r="D947" s="197"/>
      <c r="E947" s="857">
        <v>0.8</v>
      </c>
      <c r="F947" s="135"/>
      <c r="G947" s="1040"/>
    </row>
    <row r="948" spans="1:7">
      <c r="A948" s="884">
        <v>43070</v>
      </c>
      <c r="B948" s="138" t="str">
        <f>TiposLancamentos!B4</f>
        <v>Taxas Bancarias</v>
      </c>
      <c r="C948" s="771" t="s">
        <v>17769</v>
      </c>
      <c r="D948" s="197"/>
      <c r="E948" s="857">
        <v>9.77</v>
      </c>
      <c r="F948" s="135"/>
      <c r="G948" s="1040"/>
    </row>
    <row r="949" spans="1:7">
      <c r="A949" s="884">
        <v>43070</v>
      </c>
      <c r="B949" s="138" t="str">
        <f>TiposLancamentos!B103</f>
        <v>Juros_Corr. Poupança</v>
      </c>
      <c r="C949" s="3" t="s">
        <v>17642</v>
      </c>
      <c r="D949" s="197">
        <v>0.01</v>
      </c>
      <c r="E949" s="857"/>
      <c r="F949" s="135"/>
      <c r="G949" s="1040"/>
    </row>
    <row r="950" spans="1:7">
      <c r="A950" s="884">
        <v>43071</v>
      </c>
      <c r="B950" s="138" t="str">
        <f>TiposLancamentos!B19</f>
        <v>Restaurantes</v>
      </c>
      <c r="C950" s="3" t="s">
        <v>17770</v>
      </c>
      <c r="D950" s="197"/>
      <c r="E950" s="857">
        <v>76</v>
      </c>
      <c r="F950" s="135"/>
      <c r="G950" s="1040"/>
    </row>
    <row r="951" spans="1:7">
      <c r="A951" s="884">
        <v>43072</v>
      </c>
      <c r="B951" s="138" t="str">
        <f>TiposLancamentos!B19</f>
        <v>Restaurantes</v>
      </c>
      <c r="C951" s="3" t="s">
        <v>17771</v>
      </c>
      <c r="D951" s="197"/>
      <c r="E951" s="857">
        <v>113.63</v>
      </c>
      <c r="F951" s="135"/>
      <c r="G951" s="1040"/>
    </row>
    <row r="952" spans="1:7">
      <c r="A952" s="884">
        <v>43072</v>
      </c>
      <c r="B952" s="138" t="str">
        <f>TiposLancamentos!B75</f>
        <v>Shows</v>
      </c>
      <c r="C952" s="3" t="s">
        <v>17772</v>
      </c>
      <c r="D952" s="197"/>
      <c r="E952" s="857">
        <v>50</v>
      </c>
      <c r="F952" s="135"/>
      <c r="G952" s="1040"/>
    </row>
    <row r="953" spans="1:7">
      <c r="A953" s="884">
        <v>43074</v>
      </c>
      <c r="B953" s="138" t="str">
        <f>TiposLancamentos!B32</f>
        <v>Clinicas e tratamentos</v>
      </c>
      <c r="C953" s="771" t="s">
        <v>17773</v>
      </c>
      <c r="D953" s="197"/>
      <c r="E953" s="857">
        <v>650</v>
      </c>
      <c r="F953" s="135"/>
      <c r="G953" s="1040"/>
    </row>
    <row r="954" spans="1:7">
      <c r="A954" s="884">
        <v>43075</v>
      </c>
      <c r="B954" s="138" t="str">
        <f>TiposLancamentos!B9</f>
        <v>Condominio</v>
      </c>
      <c r="C954" s="771" t="s">
        <v>7239</v>
      </c>
      <c r="D954" s="197"/>
      <c r="E954" s="857">
        <v>1228.6199999999999</v>
      </c>
      <c r="F954" s="135"/>
      <c r="G954" s="1040"/>
    </row>
    <row r="955" spans="1:7">
      <c r="A955" s="884">
        <v>43076</v>
      </c>
      <c r="B955" s="138" t="str">
        <f>TiposLancamentos!B95</f>
        <v>Salarios</v>
      </c>
      <c r="C955" s="771" t="s">
        <v>17774</v>
      </c>
      <c r="D955" s="197">
        <v>19141.95</v>
      </c>
      <c r="E955" s="857"/>
      <c r="F955" s="135"/>
      <c r="G955" s="1040"/>
    </row>
    <row r="956" spans="1:7">
      <c r="A956" s="884">
        <v>43076</v>
      </c>
      <c r="B956" s="138" t="str">
        <f>TiposLancamentos!B2</f>
        <v>Telefonia</v>
      </c>
      <c r="C956" s="771" t="s">
        <v>4832</v>
      </c>
      <c r="D956" s="197"/>
      <c r="E956" s="857">
        <v>140.80000000000001</v>
      </c>
      <c r="F956" s="135"/>
      <c r="G956" s="1040"/>
    </row>
    <row r="957" spans="1:7">
      <c r="A957" s="884">
        <v>43076</v>
      </c>
      <c r="B957" s="138" t="str">
        <f>TiposLancamentos!B72</f>
        <v>Presentes</v>
      </c>
      <c r="C957" s="771" t="s">
        <v>17775</v>
      </c>
      <c r="D957" s="197"/>
      <c r="E957" s="857">
        <v>102.79</v>
      </c>
      <c r="F957" s="135"/>
      <c r="G957" s="1040"/>
    </row>
    <row r="958" spans="1:7">
      <c r="A958" s="884">
        <v>43076</v>
      </c>
      <c r="B958" s="138" t="str">
        <f>TiposLancamentos!B16</f>
        <v>Cristiane</v>
      </c>
      <c r="C958" s="771" t="s">
        <v>17776</v>
      </c>
      <c r="D958" s="197"/>
      <c r="E958" s="857">
        <v>35.68</v>
      </c>
      <c r="F958" s="135"/>
      <c r="G958" s="1040"/>
    </row>
    <row r="959" spans="1:7">
      <c r="A959" s="884">
        <v>43077</v>
      </c>
      <c r="B959" s="138" t="str">
        <f>TiposLancamentos!B5</f>
        <v>Supermercado</v>
      </c>
      <c r="C959" s="771" t="s">
        <v>6234</v>
      </c>
      <c r="D959" s="197"/>
      <c r="E959" s="857">
        <v>72.97</v>
      </c>
      <c r="F959" s="135"/>
      <c r="G959" s="1040"/>
    </row>
    <row r="960" spans="1:7">
      <c r="A960" s="884">
        <v>43077</v>
      </c>
      <c r="B960" s="138" t="str">
        <f>TiposLancamentos!B5</f>
        <v>Supermercado</v>
      </c>
      <c r="C960" s="771" t="s">
        <v>17777</v>
      </c>
      <c r="D960" s="197"/>
      <c r="E960" s="857">
        <v>19.88</v>
      </c>
      <c r="F960" s="135"/>
      <c r="G960" s="1040"/>
    </row>
    <row r="961" spans="1:7">
      <c r="A961" s="884">
        <v>43077</v>
      </c>
      <c r="B961" s="138" t="str">
        <f>TiposLancamentos!B24</f>
        <v>Estacionamentos</v>
      </c>
      <c r="C961" s="3" t="s">
        <v>4589</v>
      </c>
      <c r="D961" s="197"/>
      <c r="E961" s="857">
        <v>200</v>
      </c>
      <c r="F961" s="135"/>
      <c r="G961" s="1040"/>
    </row>
    <row r="962" spans="1:7">
      <c r="A962" s="884">
        <v>43077</v>
      </c>
      <c r="B962" s="138" t="str">
        <f>TiposLancamentos!B16</f>
        <v>Cristiane</v>
      </c>
      <c r="C962" s="3" t="s">
        <v>17778</v>
      </c>
      <c r="D962" s="197"/>
      <c r="E962" s="857">
        <v>297</v>
      </c>
      <c r="F962" s="135"/>
      <c r="G962" s="1040"/>
    </row>
    <row r="963" spans="1:7">
      <c r="A963" s="884">
        <v>43077</v>
      </c>
      <c r="B963" s="138" t="str">
        <f>TiposLancamentos!B71</f>
        <v>Itens Pessoais</v>
      </c>
      <c r="C963" s="3" t="s">
        <v>17779</v>
      </c>
      <c r="D963" s="197"/>
      <c r="E963" s="857">
        <v>1848</v>
      </c>
      <c r="F963" s="135"/>
      <c r="G963" s="1040"/>
    </row>
    <row r="964" spans="1:7">
      <c r="A964" s="884">
        <v>43077</v>
      </c>
      <c r="B964" s="138" t="str">
        <f>TiposLancamentos!B19</f>
        <v>Restaurantes</v>
      </c>
      <c r="C964" s="3" t="s">
        <v>17780</v>
      </c>
      <c r="D964" s="197"/>
      <c r="E964" s="857">
        <v>101.72</v>
      </c>
      <c r="F964" s="135"/>
      <c r="G964" s="1040"/>
    </row>
    <row r="965" spans="1:7">
      <c r="A965" s="884">
        <v>43078</v>
      </c>
      <c r="B965" s="138" t="str">
        <f>TiposLancamentos!B5</f>
        <v>Supermercado</v>
      </c>
      <c r="C965" s="3" t="s">
        <v>17781</v>
      </c>
      <c r="D965" s="197"/>
      <c r="E965" s="857">
        <v>52.08</v>
      </c>
      <c r="F965" s="135"/>
      <c r="G965" s="1040"/>
    </row>
    <row r="966" spans="1:7">
      <c r="A966" s="884">
        <v>43078</v>
      </c>
      <c r="B966" s="138" t="str">
        <f>TiposLancamentos!B5</f>
        <v>Supermercado</v>
      </c>
      <c r="C966" s="3" t="s">
        <v>17782</v>
      </c>
      <c r="D966" s="197"/>
      <c r="E966" s="857">
        <v>81.5</v>
      </c>
      <c r="F966" s="135"/>
      <c r="G966" s="1040"/>
    </row>
    <row r="967" spans="1:7">
      <c r="A967" s="884">
        <v>43078</v>
      </c>
      <c r="B967" s="138" t="str">
        <f>TiposLancamentos!B17</f>
        <v>GATO</v>
      </c>
      <c r="C967" s="3" t="s">
        <v>17783</v>
      </c>
      <c r="D967" s="197"/>
      <c r="E967" s="857">
        <v>284.99</v>
      </c>
      <c r="F967" s="135"/>
      <c r="G967" s="1040"/>
    </row>
    <row r="968" spans="1:7">
      <c r="A968" s="884">
        <v>43078</v>
      </c>
      <c r="B968" s="138" t="str">
        <f>TiposLancamentos!B24</f>
        <v>Estacionamentos</v>
      </c>
      <c r="C968" s="3" t="s">
        <v>3398</v>
      </c>
      <c r="D968" s="197"/>
      <c r="E968" s="857">
        <v>7</v>
      </c>
      <c r="F968" s="135"/>
      <c r="G968" s="1040"/>
    </row>
    <row r="969" spans="1:7">
      <c r="A969" s="884">
        <v>43078</v>
      </c>
      <c r="B969" s="138" t="str">
        <f>TiposLancamentos!B5</f>
        <v>Supermercado</v>
      </c>
      <c r="C969" s="3" t="s">
        <v>17784</v>
      </c>
      <c r="D969" s="197"/>
      <c r="E969" s="857">
        <v>73.69</v>
      </c>
      <c r="F969" s="135"/>
      <c r="G969" s="1040"/>
    </row>
    <row r="970" spans="1:7">
      <c r="A970" s="884">
        <v>43079</v>
      </c>
      <c r="B970" s="138" t="str">
        <f>TiposLancamentos!B5</f>
        <v>Supermercado</v>
      </c>
      <c r="C970" s="3" t="s">
        <v>17785</v>
      </c>
      <c r="D970" s="197"/>
      <c r="E970" s="857">
        <v>71.73</v>
      </c>
      <c r="F970" s="135"/>
      <c r="G970" s="1040"/>
    </row>
    <row r="971" spans="1:7">
      <c r="A971" s="919">
        <v>43080</v>
      </c>
      <c r="B971" s="830" t="str">
        <f>TiposLancamentos!B8</f>
        <v>Aluguel</v>
      </c>
      <c r="C971" s="915" t="s">
        <v>6163</v>
      </c>
      <c r="D971" s="917"/>
      <c r="E971" s="920">
        <f>F973-(E973+E972)</f>
        <v>1764.56</v>
      </c>
      <c r="F971" s="135"/>
      <c r="G971" s="1040"/>
    </row>
    <row r="972" spans="1:7">
      <c r="A972" s="930">
        <v>43080</v>
      </c>
      <c r="B972" s="825" t="str">
        <f>TiposLancamentos!B12</f>
        <v>IPTU</v>
      </c>
      <c r="C972" s="88" t="s">
        <v>7226</v>
      </c>
      <c r="D972" s="828"/>
      <c r="E972" s="931">
        <v>0</v>
      </c>
      <c r="F972" s="135"/>
      <c r="G972" s="1040"/>
    </row>
    <row r="973" spans="1:7">
      <c r="A973" s="921">
        <v>43080</v>
      </c>
      <c r="B973" s="833" t="str">
        <f>TiposLancamentos!B34</f>
        <v>Seguros</v>
      </c>
      <c r="C973" s="916" t="s">
        <v>17786</v>
      </c>
      <c r="D973" s="918"/>
      <c r="E973" s="922">
        <v>258.48</v>
      </c>
      <c r="F973" s="135">
        <v>2023.04</v>
      </c>
      <c r="G973" s="1040"/>
    </row>
    <row r="974" spans="1:7">
      <c r="A974" s="884">
        <v>43080</v>
      </c>
      <c r="B974" s="138" t="str">
        <f>TiposLancamentos!B103</f>
        <v>Juros_Corr. Poupança</v>
      </c>
      <c r="C974" s="3" t="s">
        <v>17642</v>
      </c>
      <c r="D974" s="197">
        <v>0.02</v>
      </c>
      <c r="E974" s="857"/>
      <c r="F974" s="135"/>
      <c r="G974" s="1040"/>
    </row>
    <row r="975" spans="1:7">
      <c r="A975" s="884">
        <v>43081</v>
      </c>
      <c r="B975" s="138" t="str">
        <f>TiposLancamentos!B64</f>
        <v>Viagens</v>
      </c>
      <c r="C975" s="3" t="s">
        <v>17787</v>
      </c>
      <c r="D975" s="197"/>
      <c r="E975" s="857">
        <v>4110</v>
      </c>
      <c r="F975" s="135"/>
      <c r="G975" s="1040"/>
    </row>
    <row r="976" spans="1:7">
      <c r="A976" s="884">
        <v>43081</v>
      </c>
      <c r="B976" s="138" t="str">
        <f>TiposLancamentos!B16</f>
        <v>Cristiane</v>
      </c>
      <c r="C976" s="3" t="s">
        <v>17788</v>
      </c>
      <c r="D976" s="197"/>
      <c r="E976" s="857">
        <v>525</v>
      </c>
      <c r="F976" s="135"/>
      <c r="G976" s="1040"/>
    </row>
    <row r="977" spans="1:7">
      <c r="A977" s="884">
        <v>43081</v>
      </c>
      <c r="B977" s="138" t="str">
        <f>B975</f>
        <v>Viagens</v>
      </c>
      <c r="C977" s="3" t="s">
        <v>17789</v>
      </c>
      <c r="D977" s="197"/>
      <c r="E977" s="857">
        <v>439.7</v>
      </c>
      <c r="F977" s="135"/>
      <c r="G977" s="1040"/>
    </row>
    <row r="978" spans="1:7">
      <c r="A978" s="1226">
        <v>43081</v>
      </c>
      <c r="B978" s="1218" t="str">
        <f>TiposLancamentos!B70</f>
        <v>Vestuário</v>
      </c>
      <c r="C978" s="1219" t="s">
        <v>17790</v>
      </c>
      <c r="D978" s="1220"/>
      <c r="E978" s="1265">
        <f>(F979-E979)</f>
        <v>860.31999999999994</v>
      </c>
      <c r="F978" s="135"/>
      <c r="G978" s="1040"/>
    </row>
    <row r="979" spans="1:7">
      <c r="A979" s="1228">
        <v>43081</v>
      </c>
      <c r="B979" s="1222" t="str">
        <f>B976</f>
        <v>Cristiane</v>
      </c>
      <c r="C979" s="1223" t="s">
        <v>17790</v>
      </c>
      <c r="D979" s="1224"/>
      <c r="E979" s="1266">
        <f>((39.9*5)+79.99+119.99)</f>
        <v>399.48</v>
      </c>
      <c r="F979" s="135">
        <v>1259.8</v>
      </c>
      <c r="G979" s="1040"/>
    </row>
    <row r="980" spans="1:7">
      <c r="A980" s="884">
        <v>43081</v>
      </c>
      <c r="B980" s="138"/>
      <c r="C980" s="771" t="s">
        <v>1868</v>
      </c>
      <c r="D980" s="197"/>
      <c r="E980" s="857"/>
      <c r="F980" s="135"/>
      <c r="G980" s="1040"/>
    </row>
    <row r="981" spans="1:7">
      <c r="A981" s="1226">
        <v>43081</v>
      </c>
      <c r="B981" s="1218" t="str">
        <f>TiposLancamentos!B31</f>
        <v>Action Figures</v>
      </c>
      <c r="C981" s="1219" t="s">
        <v>17791</v>
      </c>
      <c r="D981" s="1220"/>
      <c r="E981" s="1265">
        <f>(12.99)*2</f>
        <v>25.98</v>
      </c>
      <c r="F981" s="135"/>
      <c r="G981" s="1040"/>
    </row>
    <row r="982" spans="1:7">
      <c r="A982" s="1228">
        <v>43081</v>
      </c>
      <c r="B982" s="1222" t="str">
        <f>TiposLancamentos!B72</f>
        <v>Presentes</v>
      </c>
      <c r="C982" s="1223" t="s">
        <v>17792</v>
      </c>
      <c r="D982" s="1224"/>
      <c r="E982" s="1266">
        <f>F982-E981</f>
        <v>199.99</v>
      </c>
      <c r="F982" s="135">
        <v>225.97</v>
      </c>
      <c r="G982" s="1040"/>
    </row>
    <row r="983" spans="1:7">
      <c r="A983" s="884">
        <v>43081</v>
      </c>
      <c r="B983" s="138" t="str">
        <f>TiposLancamentos!B103</f>
        <v>Juros_Corr. Poupança</v>
      </c>
      <c r="C983" s="3" t="s">
        <v>17642</v>
      </c>
      <c r="D983" s="197">
        <v>0.04</v>
      </c>
      <c r="E983" s="857"/>
      <c r="F983" s="135"/>
      <c r="G983" s="1040"/>
    </row>
    <row r="984" spans="1:7">
      <c r="A984" s="884">
        <v>43082</v>
      </c>
      <c r="B984" s="138" t="str">
        <f>TiposLancamentos!B70</f>
        <v>Vestuário</v>
      </c>
      <c r="C984" s="3" t="s">
        <v>17793</v>
      </c>
      <c r="D984" s="197"/>
      <c r="E984" s="857">
        <v>149.9</v>
      </c>
      <c r="F984" s="135"/>
      <c r="G984" s="1040"/>
    </row>
    <row r="985" spans="1:7">
      <c r="A985" s="1226">
        <v>43082</v>
      </c>
      <c r="B985" s="1218" t="str">
        <f>TiposLancamentos!B22</f>
        <v>Combustivel</v>
      </c>
      <c r="C985" s="1219" t="s">
        <v>6398</v>
      </c>
      <c r="D985" s="1220"/>
      <c r="E985" s="1265">
        <v>134.04</v>
      </c>
      <c r="F985" s="135"/>
      <c r="G985" s="1040"/>
    </row>
    <row r="986" spans="1:7">
      <c r="A986" s="1228">
        <v>43082</v>
      </c>
      <c r="B986" s="1222" t="str">
        <f>TiposLancamentos!B88</f>
        <v>Ford Ecosport XLT</v>
      </c>
      <c r="C986" s="1223" t="s">
        <v>17794</v>
      </c>
      <c r="D986" s="1224"/>
      <c r="E986" s="1266">
        <f>F986-E985</f>
        <v>408.40000000000009</v>
      </c>
      <c r="F986" s="135">
        <v>542.44000000000005</v>
      </c>
      <c r="G986" s="1040"/>
    </row>
    <row r="987" spans="1:7">
      <c r="A987" s="884">
        <v>43082</v>
      </c>
      <c r="B987" s="138" t="str">
        <f>B985</f>
        <v>Combustivel</v>
      </c>
      <c r="C987" s="3" t="s">
        <v>6412</v>
      </c>
      <c r="D987" s="197"/>
      <c r="E987" s="857">
        <v>100</v>
      </c>
      <c r="F987" s="135"/>
      <c r="G987" s="1040"/>
    </row>
    <row r="988" spans="1:7">
      <c r="A988" s="884">
        <v>43082</v>
      </c>
      <c r="B988" s="138" t="str">
        <f>TiposLancamentos!B71</f>
        <v>Itens Pessoais</v>
      </c>
      <c r="C988" s="3" t="s">
        <v>2035</v>
      </c>
      <c r="D988" s="197"/>
      <c r="E988" s="857">
        <v>25</v>
      </c>
      <c r="F988" s="135"/>
      <c r="G988" s="1040"/>
    </row>
    <row r="989" spans="1:7">
      <c r="A989" s="884">
        <v>43082</v>
      </c>
      <c r="B989" s="138" t="str">
        <f>TiposLancamentos!B19</f>
        <v>Restaurantes</v>
      </c>
      <c r="C989" s="3" t="s">
        <v>17795</v>
      </c>
      <c r="D989" s="197"/>
      <c r="E989" s="857">
        <v>92.07</v>
      </c>
      <c r="F989" s="135"/>
      <c r="G989" s="1040"/>
    </row>
    <row r="990" spans="1:7">
      <c r="A990" s="884">
        <v>43083</v>
      </c>
      <c r="B990" s="138" t="str">
        <f>TiposLancamentos!B22</f>
        <v>Combustivel</v>
      </c>
      <c r="C990" s="3" t="s">
        <v>6398</v>
      </c>
      <c r="D990" s="197"/>
      <c r="E990" s="857">
        <v>146.52000000000001</v>
      </c>
      <c r="F990" s="135"/>
      <c r="G990" s="1040"/>
    </row>
    <row r="991" spans="1:7">
      <c r="A991" s="884">
        <v>43083</v>
      </c>
      <c r="B991" s="138" t="str">
        <f>TiposLancamentos!B31</f>
        <v>Action Figures</v>
      </c>
      <c r="C991" s="3" t="s">
        <v>17796</v>
      </c>
      <c r="D991" s="197"/>
      <c r="E991" s="857">
        <v>128</v>
      </c>
      <c r="F991" s="135"/>
      <c r="G991" s="1040"/>
    </row>
    <row r="992" spans="1:7">
      <c r="A992" s="884">
        <v>43083</v>
      </c>
      <c r="B992" s="138" t="str">
        <f>TiposLancamentos!B16</f>
        <v>Cristiane</v>
      </c>
      <c r="C992" s="3" t="s">
        <v>17797</v>
      </c>
      <c r="D992" s="197"/>
      <c r="E992" s="857">
        <v>360</v>
      </c>
      <c r="F992" s="135"/>
      <c r="G992" s="1040"/>
    </row>
    <row r="993" spans="1:7">
      <c r="A993" s="884">
        <v>43083</v>
      </c>
      <c r="B993" s="138" t="str">
        <f>TiposLancamentos!B16</f>
        <v>Cristiane</v>
      </c>
      <c r="C993" s="3" t="s">
        <v>17798</v>
      </c>
      <c r="D993" s="197"/>
      <c r="E993" s="857">
        <v>333</v>
      </c>
      <c r="F993" s="135"/>
      <c r="G993" s="1040"/>
    </row>
    <row r="994" spans="1:7">
      <c r="A994" s="919">
        <v>43084</v>
      </c>
      <c r="B994" s="830" t="str">
        <f>TiposLancamentos!B33</f>
        <v>Pedágios</v>
      </c>
      <c r="C994" s="915" t="s">
        <v>5392</v>
      </c>
      <c r="D994" s="917"/>
      <c r="E994" s="920">
        <f>102.1+38.15</f>
        <v>140.25</v>
      </c>
      <c r="F994" s="135"/>
      <c r="G994" s="1040"/>
    </row>
    <row r="995" spans="1:7">
      <c r="A995" s="930">
        <v>43084</v>
      </c>
      <c r="B995" s="825" t="str">
        <f>TiposLancamentos!B24</f>
        <v>Estacionamentos</v>
      </c>
      <c r="C995" s="88" t="s">
        <v>5863</v>
      </c>
      <c r="D995" s="828"/>
      <c r="E995" s="931">
        <v>56</v>
      </c>
      <c r="F995" s="135"/>
      <c r="G995" s="1040"/>
    </row>
    <row r="996" spans="1:7">
      <c r="A996" s="921">
        <v>43084</v>
      </c>
      <c r="B996" s="833" t="str">
        <f>TiposLancamentos!B24</f>
        <v>Estacionamentos</v>
      </c>
      <c r="C996" s="916" t="s">
        <v>6297</v>
      </c>
      <c r="D996" s="918"/>
      <c r="E996" s="922">
        <v>16</v>
      </c>
      <c r="F996" s="135">
        <f>SUM(E994:E996)</f>
        <v>212.25</v>
      </c>
      <c r="G996" s="1040"/>
    </row>
    <row r="997" spans="1:7">
      <c r="A997" s="884">
        <v>43084</v>
      </c>
      <c r="B997" s="138"/>
      <c r="C997" s="771" t="s">
        <v>1868</v>
      </c>
      <c r="D997" s="197"/>
      <c r="E997" s="857"/>
      <c r="F997" s="135"/>
      <c r="G997" s="1040"/>
    </row>
    <row r="998" spans="1:7">
      <c r="A998" s="919">
        <v>43084</v>
      </c>
      <c r="B998" s="830" t="str">
        <f>TiposLancamentos!B35</f>
        <v>Tv à Cabo</v>
      </c>
      <c r="C998" s="915" t="s">
        <v>5834</v>
      </c>
      <c r="D998" s="917"/>
      <c r="E998" s="920">
        <v>154.68</v>
      </c>
      <c r="F998" s="135"/>
      <c r="G998" s="1040"/>
    </row>
    <row r="999" spans="1:7">
      <c r="A999" s="930">
        <v>43084</v>
      </c>
      <c r="B999" s="825" t="str">
        <f>TiposLancamentos!B3</f>
        <v>Internet</v>
      </c>
      <c r="C999" s="88" t="s">
        <v>5835</v>
      </c>
      <c r="D999" s="828"/>
      <c r="E999" s="931">
        <v>91.31</v>
      </c>
      <c r="F999" s="135"/>
      <c r="G999" s="1040"/>
    </row>
    <row r="1000" spans="1:7">
      <c r="A1000" s="921">
        <v>43084</v>
      </c>
      <c r="B1000" s="833" t="str">
        <f>TiposLancamentos!B2</f>
        <v>Telefonia</v>
      </c>
      <c r="C1000" s="916" t="s">
        <v>7210</v>
      </c>
      <c r="D1000" s="918"/>
      <c r="E1000" s="922">
        <v>0</v>
      </c>
      <c r="F1000" s="135">
        <f>SUM(E998:E1000)</f>
        <v>245.99</v>
      </c>
      <c r="G1000" s="1040"/>
    </row>
    <row r="1001" spans="1:7">
      <c r="A1001" s="884">
        <v>43084</v>
      </c>
      <c r="B1001" s="138" t="str">
        <f>TiposLancamentos!B95</f>
        <v>Salarios</v>
      </c>
      <c r="C1001" s="771" t="s">
        <v>17557</v>
      </c>
      <c r="D1001" s="197">
        <v>1264.21</v>
      </c>
      <c r="E1001" s="857"/>
      <c r="F1001" s="135"/>
      <c r="G1001" s="1040"/>
    </row>
    <row r="1002" spans="1:7">
      <c r="A1002" s="884">
        <v>43084</v>
      </c>
      <c r="B1002" s="138" t="str">
        <f>TiposLancamentos!B32</f>
        <v>Clinicas e tratamentos</v>
      </c>
      <c r="C1002" s="771" t="s">
        <v>17799</v>
      </c>
      <c r="D1002" s="197"/>
      <c r="E1002" s="857">
        <v>80</v>
      </c>
      <c r="F1002" s="135"/>
      <c r="G1002" s="1040"/>
    </row>
    <row r="1003" spans="1:7">
      <c r="A1003" s="884">
        <v>43084</v>
      </c>
      <c r="B1003" s="138" t="str">
        <f>TiposLancamentos!B20</f>
        <v>Saques</v>
      </c>
      <c r="C1003" s="771" t="s">
        <v>3604</v>
      </c>
      <c r="D1003" s="197"/>
      <c r="E1003" s="857">
        <v>20</v>
      </c>
      <c r="F1003" s="135"/>
      <c r="G1003" s="1040"/>
    </row>
    <row r="1004" spans="1:7">
      <c r="A1004" s="884">
        <v>43084</v>
      </c>
      <c r="B1004" s="138" t="str">
        <f>TiposLancamentos!B16</f>
        <v>Cristiane</v>
      </c>
      <c r="C1004" s="771" t="s">
        <v>17800</v>
      </c>
      <c r="D1004" s="197"/>
      <c r="E1004" s="857">
        <v>45.98</v>
      </c>
      <c r="F1004" s="135"/>
      <c r="G1004" s="1040"/>
    </row>
    <row r="1005" spans="1:7">
      <c r="A1005" s="884">
        <v>43084</v>
      </c>
      <c r="B1005" s="138" t="str">
        <f>TiposLancamentos!B19</f>
        <v>Restaurantes</v>
      </c>
      <c r="C1005" s="771" t="s">
        <v>17801</v>
      </c>
      <c r="D1005" s="197"/>
      <c r="E1005" s="857">
        <v>7</v>
      </c>
      <c r="F1005" s="135"/>
      <c r="G1005" s="1040"/>
    </row>
    <row r="1006" spans="1:7">
      <c r="A1006" s="884">
        <v>43085</v>
      </c>
      <c r="B1006" s="138" t="str">
        <f>TiposLancamentos!B72</f>
        <v>Presentes</v>
      </c>
      <c r="C1006" s="771" t="s">
        <v>17802</v>
      </c>
      <c r="D1006" s="197"/>
      <c r="E1006" s="857">
        <v>189.96</v>
      </c>
      <c r="F1006" s="135"/>
      <c r="G1006" s="1040"/>
    </row>
    <row r="1007" spans="1:7">
      <c r="A1007" s="884">
        <v>43085</v>
      </c>
      <c r="B1007" s="138" t="str">
        <f>TiposLancamentos!B16</f>
        <v>Cristiane</v>
      </c>
      <c r="C1007" s="771" t="s">
        <v>17803</v>
      </c>
      <c r="D1007" s="197"/>
      <c r="E1007" s="857">
        <v>219.8</v>
      </c>
      <c r="F1007" s="135"/>
      <c r="G1007" s="1040"/>
    </row>
    <row r="1008" spans="1:7">
      <c r="A1008" s="884">
        <v>43085</v>
      </c>
      <c r="B1008" s="138" t="str">
        <f>TiposLancamentos!B70</f>
        <v>Vestuário</v>
      </c>
      <c r="C1008" s="771" t="s">
        <v>17804</v>
      </c>
      <c r="D1008" s="197"/>
      <c r="E1008" s="857">
        <v>105</v>
      </c>
      <c r="F1008" s="135"/>
      <c r="G1008" s="1040"/>
    </row>
    <row r="1009" spans="1:7">
      <c r="A1009" s="884">
        <v>43085</v>
      </c>
      <c r="B1009" s="138" t="str">
        <f>TiposLancamentos!B56</f>
        <v>Farmácia</v>
      </c>
      <c r="C1009" s="771" t="s">
        <v>17805</v>
      </c>
      <c r="D1009" s="197"/>
      <c r="E1009" s="857">
        <v>48.8</v>
      </c>
      <c r="F1009" s="135"/>
      <c r="G1009" s="1040"/>
    </row>
    <row r="1010" spans="1:7">
      <c r="A1010" s="884">
        <v>43086</v>
      </c>
      <c r="B1010" s="138" t="str">
        <f>TiposLancamentos!B22</f>
        <v>Combustivel</v>
      </c>
      <c r="C1010" s="771" t="s">
        <v>6718</v>
      </c>
      <c r="D1010" s="197"/>
      <c r="E1010" s="857">
        <v>198.4</v>
      </c>
      <c r="F1010" s="135"/>
      <c r="G1010" s="1040"/>
    </row>
    <row r="1011" spans="1:7">
      <c r="A1011" s="884">
        <v>43086</v>
      </c>
      <c r="B1011" s="138" t="str">
        <f>TiposLancamentos!B19</f>
        <v>Restaurantes</v>
      </c>
      <c r="C1011" s="771" t="s">
        <v>17806</v>
      </c>
      <c r="D1011" s="197"/>
      <c r="E1011" s="857">
        <v>58.73</v>
      </c>
      <c r="F1011" s="135"/>
      <c r="G1011" s="1040"/>
    </row>
    <row r="1012" spans="1:7">
      <c r="A1012" s="884">
        <v>43086</v>
      </c>
      <c r="B1012" s="138" t="str">
        <f>TiposLancamentos!B19</f>
        <v>Restaurantes</v>
      </c>
      <c r="C1012" s="771" t="s">
        <v>17807</v>
      </c>
      <c r="D1012" s="197"/>
      <c r="E1012" s="857">
        <v>20.6</v>
      </c>
      <c r="F1012" s="135"/>
      <c r="G1012" s="1040"/>
    </row>
    <row r="1013" spans="1:7">
      <c r="A1013" s="884">
        <v>43086</v>
      </c>
      <c r="B1013" s="138" t="str">
        <f>TiposLancamentos!B19</f>
        <v>Restaurantes</v>
      </c>
      <c r="C1013" s="771" t="s">
        <v>17808</v>
      </c>
      <c r="D1013" s="197"/>
      <c r="E1013" s="857">
        <v>35.799999999999997</v>
      </c>
      <c r="F1013" s="135"/>
      <c r="G1013" s="1040"/>
    </row>
    <row r="1014" spans="1:7">
      <c r="A1014" s="884">
        <v>43087</v>
      </c>
      <c r="B1014" s="138" t="str">
        <f>TiposLancamentos!B21</f>
        <v>Transf. Poupanca</v>
      </c>
      <c r="C1014" s="3" t="s">
        <v>17756</v>
      </c>
      <c r="D1014" s="197"/>
      <c r="E1014" s="857">
        <v>50</v>
      </c>
      <c r="F1014" s="135"/>
      <c r="G1014" s="1040"/>
    </row>
    <row r="1015" spans="1:7">
      <c r="A1015" s="884">
        <v>43087</v>
      </c>
      <c r="B1015" s="138" t="str">
        <f>TiposLancamentos!B103</f>
        <v>Juros_Corr. Poupança</v>
      </c>
      <c r="C1015" s="771" t="s">
        <v>17394</v>
      </c>
      <c r="D1015" s="197">
        <v>0.03</v>
      </c>
      <c r="E1015" s="857"/>
      <c r="F1015" s="135"/>
      <c r="G1015" s="1040"/>
    </row>
    <row r="1016" spans="1:7">
      <c r="A1016" s="884">
        <v>43087</v>
      </c>
      <c r="B1016" s="138" t="str">
        <f>TiposLancamentos!B56</f>
        <v>Farmácia</v>
      </c>
      <c r="C1016" s="771" t="s">
        <v>17809</v>
      </c>
      <c r="D1016" s="197"/>
      <c r="E1016" s="857">
        <v>4.09</v>
      </c>
      <c r="F1016" s="135"/>
      <c r="G1016" s="1040"/>
    </row>
    <row r="1017" spans="1:7">
      <c r="A1017" s="884">
        <v>43087</v>
      </c>
      <c r="B1017" s="138" t="str">
        <f>TiposLancamentos!B57</f>
        <v>Informática</v>
      </c>
      <c r="C1017" s="771" t="s">
        <v>17810</v>
      </c>
      <c r="D1017" s="197"/>
      <c r="E1017" s="857">
        <v>37.93</v>
      </c>
      <c r="F1017" s="135"/>
      <c r="G1017" s="1040"/>
    </row>
    <row r="1018" spans="1:7">
      <c r="A1018" s="884">
        <v>43087</v>
      </c>
      <c r="B1018" s="138" t="str">
        <f>TiposLancamentos!B19</f>
        <v>Restaurantes</v>
      </c>
      <c r="C1018" s="771" t="s">
        <v>17811</v>
      </c>
      <c r="D1018" s="197"/>
      <c r="E1018" s="857">
        <v>43.5</v>
      </c>
      <c r="F1018" s="135"/>
      <c r="G1018" s="1040"/>
    </row>
    <row r="1019" spans="1:7">
      <c r="A1019" s="884">
        <v>43087</v>
      </c>
      <c r="B1019" s="138" t="str">
        <f>TiposLancamentos!B69</f>
        <v>Consertos</v>
      </c>
      <c r="C1019" s="771" t="s">
        <v>17812</v>
      </c>
      <c r="D1019" s="197"/>
      <c r="E1019" s="857">
        <v>180</v>
      </c>
      <c r="F1019" s="135"/>
      <c r="G1019" s="1040"/>
    </row>
    <row r="1020" spans="1:7">
      <c r="A1020" s="884">
        <v>43087</v>
      </c>
      <c r="B1020" s="138" t="str">
        <f>TiposLancamentos!B20</f>
        <v>Saques</v>
      </c>
      <c r="C1020" s="771" t="s">
        <v>17813</v>
      </c>
      <c r="D1020" s="197"/>
      <c r="E1020" s="857">
        <v>300</v>
      </c>
      <c r="F1020" s="135"/>
      <c r="G1020" s="1040"/>
    </row>
    <row r="1021" spans="1:7">
      <c r="A1021" s="884">
        <v>43087</v>
      </c>
      <c r="B1021" s="138" t="str">
        <f>TiposLancamentos!B72</f>
        <v>Presentes</v>
      </c>
      <c r="C1021" s="771" t="s">
        <v>17814</v>
      </c>
      <c r="D1021" s="197"/>
      <c r="E1021" s="857">
        <v>24.99</v>
      </c>
      <c r="F1021" s="135"/>
      <c r="G1021" s="1040"/>
    </row>
    <row r="1022" spans="1:7">
      <c r="A1022" s="884">
        <v>43087</v>
      </c>
      <c r="B1022" s="138" t="str">
        <f>TiposLancamentos!B20</f>
        <v>Saques</v>
      </c>
      <c r="C1022" s="771" t="s">
        <v>17815</v>
      </c>
      <c r="D1022" s="197"/>
      <c r="E1022" s="857">
        <v>100</v>
      </c>
      <c r="F1022" s="135"/>
      <c r="G1022" s="1040"/>
    </row>
    <row r="1023" spans="1:7">
      <c r="A1023" s="884">
        <v>42754</v>
      </c>
      <c r="B1023" s="138" t="str">
        <f>TiposLancamentos!B103</f>
        <v>Juros_Corr. Poupança</v>
      </c>
      <c r="C1023" s="771" t="s">
        <v>17394</v>
      </c>
      <c r="D1023" s="197">
        <v>0.01</v>
      </c>
      <c r="E1023" s="857"/>
      <c r="F1023" s="135"/>
      <c r="G1023" s="1040"/>
    </row>
    <row r="1024" spans="1:7">
      <c r="A1024" s="884">
        <v>43088</v>
      </c>
      <c r="B1024" s="138" t="str">
        <f>TiposLancamentos!B19</f>
        <v>Restaurantes</v>
      </c>
      <c r="C1024" s="771" t="s">
        <v>17816</v>
      </c>
      <c r="D1024" s="197"/>
      <c r="E1024" s="857">
        <v>47.9</v>
      </c>
      <c r="F1024" s="135"/>
      <c r="G1024" s="1040"/>
    </row>
    <row r="1025" spans="1:7">
      <c r="A1025" s="884">
        <v>43088</v>
      </c>
      <c r="B1025" s="138" t="str">
        <f>TiposLancamentos!B19</f>
        <v>Restaurantes</v>
      </c>
      <c r="C1025" s="771" t="s">
        <v>17817</v>
      </c>
      <c r="D1025" s="197"/>
      <c r="E1025" s="857">
        <v>23.5</v>
      </c>
      <c r="F1025" s="135"/>
      <c r="G1025" s="1040"/>
    </row>
    <row r="1026" spans="1:7" ht="12.75" customHeight="1">
      <c r="A1026" s="884">
        <v>43088</v>
      </c>
      <c r="B1026" s="138" t="str">
        <f>TiposLancamentos!B16</f>
        <v>Cristiane</v>
      </c>
      <c r="C1026" s="771" t="s">
        <v>17818</v>
      </c>
      <c r="D1026" s="197"/>
      <c r="E1026" s="857">
        <v>100</v>
      </c>
      <c r="F1026" s="135"/>
      <c r="G1026" s="1040"/>
    </row>
    <row r="1027" spans="1:7">
      <c r="A1027" s="884">
        <v>43089</v>
      </c>
      <c r="B1027" s="138" t="str">
        <f>TiposLancamentos!B95</f>
        <v>Salarios</v>
      </c>
      <c r="C1027" s="771" t="s">
        <v>17819</v>
      </c>
      <c r="D1027" s="197">
        <v>9139.8700000000008</v>
      </c>
      <c r="E1027" s="857"/>
      <c r="F1027" s="135"/>
      <c r="G1027" s="1040"/>
    </row>
    <row r="1028" spans="1:7">
      <c r="A1028" s="884">
        <v>43097</v>
      </c>
      <c r="B1028" s="138" t="str">
        <f>TiposLancamentos!B95</f>
        <v>Salarios</v>
      </c>
      <c r="C1028" s="771" t="s">
        <v>17362</v>
      </c>
      <c r="D1028" s="197">
        <v>6549.25</v>
      </c>
      <c r="E1028" s="857"/>
      <c r="F1028" s="135"/>
      <c r="G1028" s="1040"/>
    </row>
    <row r="1029" spans="1:7">
      <c r="A1029" s="884">
        <v>43099</v>
      </c>
      <c r="B1029" s="138" t="str">
        <f>TiposLancamentos!B20</f>
        <v>Saques</v>
      </c>
      <c r="C1029" s="771" t="s">
        <v>3604</v>
      </c>
      <c r="D1029" s="197"/>
      <c r="E1029" s="857">
        <v>100</v>
      </c>
      <c r="F1029" s="135"/>
      <c r="G1029" s="1040"/>
    </row>
    <row r="1030" spans="1:7">
      <c r="A1030" s="884">
        <v>43099</v>
      </c>
      <c r="B1030" s="138" t="str">
        <f>TiposLancamentos!B19</f>
        <v>Restaurantes</v>
      </c>
      <c r="C1030" s="771" t="s">
        <v>17820</v>
      </c>
      <c r="D1030" s="197"/>
      <c r="E1030" s="857">
        <v>62.37</v>
      </c>
      <c r="F1030" s="135"/>
      <c r="G1030" s="1040"/>
    </row>
    <row r="1031" spans="1:7">
      <c r="A1031" s="884">
        <v>43099</v>
      </c>
      <c r="B1031" s="138" t="str">
        <f>TiposLancamentos!B19</f>
        <v>Restaurantes</v>
      </c>
      <c r="C1031" s="771" t="s">
        <v>17821</v>
      </c>
      <c r="D1031" s="197"/>
      <c r="E1031" s="857">
        <v>10</v>
      </c>
      <c r="F1031" s="135"/>
      <c r="G1031" s="1040"/>
    </row>
    <row r="1032" spans="1:7">
      <c r="A1032" s="884">
        <v>43100</v>
      </c>
      <c r="B1032" s="138" t="str">
        <f>TiposLancamentos!B6</f>
        <v>Energia Eletrica</v>
      </c>
      <c r="C1032" s="771" t="s">
        <v>5191</v>
      </c>
      <c r="D1032" s="197"/>
      <c r="E1032" s="857">
        <v>200.19</v>
      </c>
      <c r="F1032" s="135"/>
      <c r="G1032" s="1040"/>
    </row>
    <row r="1033" spans="1:7" ht="14.25" thickBot="1">
      <c r="A1033" s="884">
        <v>43100</v>
      </c>
      <c r="B1033" s="138" t="str">
        <f>TiposLancamentos!B5</f>
        <v>Supermercado</v>
      </c>
      <c r="C1033" s="771" t="s">
        <v>17822</v>
      </c>
      <c r="D1033" s="197"/>
      <c r="E1033" s="857">
        <v>61.4</v>
      </c>
      <c r="F1033" s="135"/>
      <c r="G1033" s="1040"/>
    </row>
    <row r="1034" spans="1:7">
      <c r="A1034" s="967"/>
      <c r="B1034" s="968"/>
      <c r="C1034" s="1093" t="s">
        <v>11195</v>
      </c>
      <c r="D1034" s="970"/>
      <c r="E1034" s="971"/>
      <c r="F1034" s="1712"/>
      <c r="G1034" s="1039"/>
    </row>
    <row r="1035" spans="1:7">
      <c r="A1035" s="884">
        <v>43102</v>
      </c>
      <c r="B1035" s="138" t="str">
        <f>TiposLancamentos!B53</f>
        <v>Auxilio Idoso</v>
      </c>
      <c r="C1035" s="771" t="s">
        <v>17577</v>
      </c>
      <c r="D1035" s="197"/>
      <c r="E1035" s="857">
        <v>1500</v>
      </c>
      <c r="F1035" s="135"/>
      <c r="G1035" s="1040"/>
    </row>
    <row r="1036" spans="1:7">
      <c r="A1036" s="884">
        <v>43102</v>
      </c>
      <c r="B1036" s="138" t="str">
        <f>TiposLancamentos!B15</f>
        <v>Cartões de Crédito</v>
      </c>
      <c r="C1036" s="771" t="s">
        <v>17692</v>
      </c>
      <c r="D1036" s="197"/>
      <c r="E1036" s="857">
        <v>230.03</v>
      </c>
      <c r="F1036" s="135"/>
      <c r="G1036" s="1040"/>
    </row>
    <row r="1037" spans="1:7">
      <c r="A1037" s="884">
        <v>43102</v>
      </c>
      <c r="B1037" s="138" t="str">
        <f>TiposLancamentos!B15</f>
        <v>Cartões de Crédito</v>
      </c>
      <c r="C1037" s="771" t="s">
        <v>17693</v>
      </c>
      <c r="D1037" s="197"/>
      <c r="E1037" s="857">
        <v>6810.41</v>
      </c>
      <c r="F1037" s="135"/>
      <c r="G1037" s="1040"/>
    </row>
    <row r="1038" spans="1:7">
      <c r="A1038" s="884">
        <v>43102</v>
      </c>
      <c r="B1038" s="138" t="str">
        <f>TiposLancamentos!B15</f>
        <v>Cartões de Crédito</v>
      </c>
      <c r="C1038" s="771" t="s">
        <v>7332</v>
      </c>
      <c r="D1038" s="197"/>
      <c r="E1038" s="857">
        <v>402.74</v>
      </c>
      <c r="F1038" s="135"/>
      <c r="G1038" s="1040"/>
    </row>
    <row r="1039" spans="1:7">
      <c r="A1039" s="884">
        <v>43102</v>
      </c>
      <c r="B1039" s="138" t="str">
        <f>TiposLancamentos!B4</f>
        <v>Taxas Bancarias</v>
      </c>
      <c r="C1039" s="771" t="s">
        <v>17823</v>
      </c>
      <c r="D1039" s="197"/>
      <c r="E1039" s="857">
        <v>0.22</v>
      </c>
      <c r="F1039" s="135"/>
      <c r="G1039" s="1040"/>
    </row>
    <row r="1040" spans="1:7">
      <c r="A1040" s="884">
        <v>43102</v>
      </c>
      <c r="B1040" s="138" t="str">
        <f>TiposLancamentos!B4</f>
        <v>Taxas Bancarias</v>
      </c>
      <c r="C1040" s="771" t="s">
        <v>17824</v>
      </c>
      <c r="D1040" s="197"/>
      <c r="E1040" s="857">
        <v>7.47</v>
      </c>
      <c r="F1040" s="135"/>
      <c r="G1040" s="1040"/>
    </row>
    <row r="1041" spans="1:7">
      <c r="A1041" s="884">
        <v>43102</v>
      </c>
      <c r="B1041" s="138" t="str">
        <f>TiposLancamentos!B103</f>
        <v>Juros_Corr. Poupança</v>
      </c>
      <c r="C1041" s="771" t="s">
        <v>17642</v>
      </c>
      <c r="D1041" s="197">
        <v>0.55000000000000004</v>
      </c>
      <c r="E1041" s="857"/>
      <c r="F1041" s="135"/>
      <c r="G1041" s="1040"/>
    </row>
    <row r="1042" spans="1:7">
      <c r="A1042" s="884">
        <v>43104</v>
      </c>
      <c r="B1042" s="138" t="str">
        <f>TiposLancamentos!B5</f>
        <v>Supermercado</v>
      </c>
      <c r="C1042" s="771" t="s">
        <v>6234</v>
      </c>
      <c r="D1042" s="197"/>
      <c r="E1042" s="857">
        <v>25.18</v>
      </c>
      <c r="F1042" s="135"/>
      <c r="G1042" s="1040"/>
    </row>
    <row r="1043" spans="1:7">
      <c r="A1043" s="884">
        <v>43105</v>
      </c>
      <c r="B1043" s="138" t="str">
        <f>TiposLancamentos!B32</f>
        <v>Clinicas e tratamentos</v>
      </c>
      <c r="C1043" s="771" t="s">
        <v>17825</v>
      </c>
      <c r="D1043" s="197"/>
      <c r="E1043" s="857">
        <v>650</v>
      </c>
      <c r="F1043" s="135"/>
      <c r="G1043" s="1040"/>
    </row>
    <row r="1044" spans="1:7">
      <c r="A1044" s="884">
        <v>43105</v>
      </c>
      <c r="B1044" s="138" t="str">
        <f>TiposLancamentos!B19</f>
        <v>Restaurantes</v>
      </c>
      <c r="C1044" s="771" t="s">
        <v>7436</v>
      </c>
      <c r="D1044" s="197"/>
      <c r="E1044" s="857">
        <v>141.24</v>
      </c>
      <c r="F1044" s="135"/>
      <c r="G1044" s="1040"/>
    </row>
    <row r="1045" spans="1:7">
      <c r="A1045" s="884">
        <v>43105</v>
      </c>
      <c r="B1045" s="138" t="str">
        <f>TiposLancamentos!B19</f>
        <v>Restaurantes</v>
      </c>
      <c r="C1045" s="3" t="s">
        <v>17826</v>
      </c>
      <c r="D1045" s="197"/>
      <c r="E1045" s="857">
        <v>18</v>
      </c>
      <c r="F1045" s="135"/>
      <c r="G1045" s="1040"/>
    </row>
    <row r="1046" spans="1:7">
      <c r="A1046" s="884">
        <v>43105</v>
      </c>
      <c r="B1046" s="138" t="str">
        <f>TiposLancamentos!B103</f>
        <v>Juros_Corr. Poupança</v>
      </c>
      <c r="C1046" s="3" t="s">
        <v>17642</v>
      </c>
      <c r="D1046" s="197">
        <v>0.05</v>
      </c>
      <c r="E1046" s="857"/>
      <c r="F1046" s="135"/>
      <c r="G1046" s="1040"/>
    </row>
    <row r="1047" spans="1:7">
      <c r="A1047" s="884">
        <v>43106</v>
      </c>
      <c r="B1047" s="138" t="str">
        <f>TiposLancamentos!B73</f>
        <v>Cursos</v>
      </c>
      <c r="C1047" s="3" t="s">
        <v>17827</v>
      </c>
      <c r="D1047" s="197"/>
      <c r="E1047" s="857">
        <v>590</v>
      </c>
      <c r="F1047" s="135"/>
      <c r="G1047" s="1040"/>
    </row>
    <row r="1048" spans="1:7">
      <c r="A1048" s="884">
        <v>43106</v>
      </c>
      <c r="B1048" s="138" t="str">
        <f>TiposLancamentos!B19</f>
        <v>Restaurantes</v>
      </c>
      <c r="C1048" s="3" t="s">
        <v>6413</v>
      </c>
      <c r="D1048" s="197"/>
      <c r="E1048" s="857">
        <v>100.1</v>
      </c>
      <c r="F1048" s="135"/>
      <c r="G1048" s="1040"/>
    </row>
    <row r="1049" spans="1:7">
      <c r="A1049" s="884">
        <v>43106</v>
      </c>
      <c r="B1049" s="138" t="str">
        <f>TiposLancamentos!B69</f>
        <v>Consertos</v>
      </c>
      <c r="C1049" s="3" t="s">
        <v>17828</v>
      </c>
      <c r="D1049" s="197"/>
      <c r="E1049" s="857">
        <v>10</v>
      </c>
      <c r="F1049" s="135"/>
      <c r="G1049" s="1040"/>
    </row>
    <row r="1050" spans="1:7">
      <c r="A1050" s="884">
        <v>43106</v>
      </c>
      <c r="B1050" s="138" t="str">
        <f>TiposLancamentos!B24</f>
        <v>Estacionamentos</v>
      </c>
      <c r="C1050" s="3" t="s">
        <v>17829</v>
      </c>
      <c r="D1050" s="197"/>
      <c r="E1050" s="857">
        <v>10</v>
      </c>
      <c r="F1050" s="135"/>
      <c r="G1050" s="1040"/>
    </row>
    <row r="1051" spans="1:7">
      <c r="A1051" s="884">
        <v>43107</v>
      </c>
      <c r="B1051" s="138" t="str">
        <f>TiposLancamentos!B19</f>
        <v>Restaurantes</v>
      </c>
      <c r="C1051" s="3" t="s">
        <v>17830</v>
      </c>
      <c r="D1051" s="197"/>
      <c r="E1051" s="857">
        <v>144.21</v>
      </c>
      <c r="F1051" s="135"/>
      <c r="G1051" s="1040"/>
    </row>
    <row r="1052" spans="1:7">
      <c r="A1052" s="884">
        <v>43108</v>
      </c>
      <c r="B1052" s="138" t="str">
        <f>TiposLancamentos!B56</f>
        <v>Farmácia</v>
      </c>
      <c r="C1052" s="3" t="s">
        <v>8519</v>
      </c>
      <c r="D1052" s="197"/>
      <c r="E1052" s="857">
        <v>112.22</v>
      </c>
      <c r="F1052" s="135"/>
      <c r="G1052" s="1040"/>
    </row>
    <row r="1053" spans="1:7">
      <c r="A1053" s="884">
        <v>43108</v>
      </c>
      <c r="B1053" s="138" t="str">
        <f>TiposLancamentos!B56</f>
        <v>Farmácia</v>
      </c>
      <c r="C1053" s="3" t="s">
        <v>17831</v>
      </c>
      <c r="D1053" s="197"/>
      <c r="E1053" s="857">
        <v>10.38</v>
      </c>
      <c r="F1053" s="135"/>
      <c r="G1053" s="1040"/>
    </row>
    <row r="1054" spans="1:7">
      <c r="A1054" s="884">
        <v>43108</v>
      </c>
      <c r="B1054" s="138" t="str">
        <f>TiposLancamentos!B9</f>
        <v>Condominio</v>
      </c>
      <c r="C1054" s="771" t="s">
        <v>5925</v>
      </c>
      <c r="D1054" s="197"/>
      <c r="E1054" s="857">
        <v>1232.8800000000001</v>
      </c>
      <c r="F1054" s="135"/>
      <c r="G1054" s="1040"/>
    </row>
    <row r="1055" spans="1:7">
      <c r="A1055" s="884">
        <v>43108</v>
      </c>
      <c r="B1055" s="138" t="str">
        <f>TiposLancamentos!B2</f>
        <v>Telefonia</v>
      </c>
      <c r="C1055" s="771" t="s">
        <v>6318</v>
      </c>
      <c r="D1055" s="197"/>
      <c r="E1055" s="857">
        <v>140.80000000000001</v>
      </c>
      <c r="F1055" s="135"/>
      <c r="G1055" s="1040"/>
    </row>
    <row r="1056" spans="1:7">
      <c r="A1056" s="884">
        <v>43108</v>
      </c>
      <c r="B1056" s="138" t="str">
        <f>TiposLancamentos!B103</f>
        <v>Juros_Corr. Poupança</v>
      </c>
      <c r="C1056" s="771" t="s">
        <v>17642</v>
      </c>
      <c r="D1056" s="197">
        <v>0.12</v>
      </c>
      <c r="E1056" s="857"/>
      <c r="F1056" s="135"/>
      <c r="G1056" s="1040"/>
    </row>
    <row r="1057" spans="1:7">
      <c r="A1057" s="884">
        <v>43109</v>
      </c>
      <c r="B1057" s="138" t="str">
        <f>TiposLancamentos!B56</f>
        <v>Farmácia</v>
      </c>
      <c r="C1057" s="771" t="s">
        <v>17832</v>
      </c>
      <c r="D1057" s="197"/>
      <c r="E1057" s="857">
        <v>6.69</v>
      </c>
      <c r="F1057" s="135"/>
      <c r="G1057" s="1040"/>
    </row>
    <row r="1058" spans="1:7">
      <c r="A1058" s="884">
        <v>43110</v>
      </c>
      <c r="B1058" s="138" t="str">
        <f>TiposLancamentos!B5</f>
        <v>Supermercado</v>
      </c>
      <c r="C1058" s="771" t="s">
        <v>6234</v>
      </c>
      <c r="D1058" s="197"/>
      <c r="E1058" s="857">
        <v>18.22</v>
      </c>
      <c r="F1058" s="135"/>
      <c r="G1058" s="1040"/>
    </row>
    <row r="1059" spans="1:7">
      <c r="A1059" s="884">
        <v>43110</v>
      </c>
      <c r="B1059" s="138" t="str">
        <f>TiposLancamentos!B24</f>
        <v>Estacionamentos</v>
      </c>
      <c r="C1059" s="771" t="s">
        <v>4589</v>
      </c>
      <c r="D1059" s="197"/>
      <c r="E1059" s="857">
        <v>200</v>
      </c>
      <c r="F1059" s="135"/>
      <c r="G1059" s="1040"/>
    </row>
    <row r="1060" spans="1:7">
      <c r="A1060" s="919">
        <v>43110</v>
      </c>
      <c r="B1060" s="830" t="str">
        <f>TiposLancamentos!B8</f>
        <v>Aluguel</v>
      </c>
      <c r="C1060" s="915" t="s">
        <v>6163</v>
      </c>
      <c r="D1060" s="917"/>
      <c r="E1060" s="920">
        <f>F1062-(E1061+E1062)</f>
        <v>1763.3000000000002</v>
      </c>
      <c r="F1060" s="1701"/>
      <c r="G1060" s="1040"/>
    </row>
    <row r="1061" spans="1:7">
      <c r="A1061" s="930">
        <v>43110</v>
      </c>
      <c r="B1061" s="825" t="str">
        <f>TiposLancamentos!B12</f>
        <v>IPTU</v>
      </c>
      <c r="C1061" s="88" t="s">
        <v>7226</v>
      </c>
      <c r="D1061" s="828"/>
      <c r="E1061" s="931">
        <v>0</v>
      </c>
      <c r="F1061" s="1702"/>
      <c r="G1061" s="1040"/>
    </row>
    <row r="1062" spans="1:7">
      <c r="A1062" s="921">
        <v>43110</v>
      </c>
      <c r="B1062" s="833" t="str">
        <f>TiposLancamentos!B34</f>
        <v>Seguros</v>
      </c>
      <c r="C1062" s="916" t="s">
        <v>17833</v>
      </c>
      <c r="D1062" s="918"/>
      <c r="E1062" s="922">
        <v>259.11</v>
      </c>
      <c r="F1062" s="1703">
        <v>2022.41</v>
      </c>
      <c r="G1062" s="1040"/>
    </row>
    <row r="1063" spans="1:7">
      <c r="A1063" s="884">
        <v>43110</v>
      </c>
      <c r="B1063" s="138" t="str">
        <f>TiposLancamentos!B24</f>
        <v>Estacionamentos</v>
      </c>
      <c r="C1063" s="771" t="s">
        <v>17834</v>
      </c>
      <c r="D1063" s="197"/>
      <c r="E1063" s="857">
        <v>8</v>
      </c>
      <c r="F1063" s="135"/>
      <c r="G1063" s="1040"/>
    </row>
    <row r="1064" spans="1:7">
      <c r="A1064" s="884">
        <v>43110</v>
      </c>
      <c r="B1064" s="138" t="str">
        <f>TiposLancamentos!B19</f>
        <v>Restaurantes</v>
      </c>
      <c r="C1064" s="771" t="s">
        <v>17835</v>
      </c>
      <c r="D1064" s="197"/>
      <c r="E1064" s="857">
        <v>65</v>
      </c>
      <c r="F1064" s="135"/>
      <c r="G1064" s="1040"/>
    </row>
    <row r="1065" spans="1:7">
      <c r="A1065" s="884">
        <v>43110</v>
      </c>
      <c r="B1065" s="138" t="str">
        <f>TiposLancamentos!B103</f>
        <v>Juros_Corr. Poupança</v>
      </c>
      <c r="C1065" s="771" t="s">
        <v>17642</v>
      </c>
      <c r="D1065" s="197">
        <v>0.09</v>
      </c>
      <c r="E1065" s="857"/>
      <c r="F1065" s="135"/>
      <c r="G1065" s="1040"/>
    </row>
    <row r="1066" spans="1:7">
      <c r="A1066" s="884">
        <v>43111</v>
      </c>
      <c r="B1066" s="138" t="str">
        <f>TiposLancamentos!B88</f>
        <v>Ford Ecosport XLT</v>
      </c>
      <c r="C1066" s="771" t="s">
        <v>17836</v>
      </c>
      <c r="D1066" s="197"/>
      <c r="E1066" s="857">
        <v>1028.58</v>
      </c>
      <c r="F1066" s="135"/>
      <c r="G1066" s="1040"/>
    </row>
    <row r="1067" spans="1:7">
      <c r="A1067" s="1226">
        <v>43111</v>
      </c>
      <c r="B1067" s="1218" t="str">
        <f>TiposLancamentos!B49</f>
        <v>Mergulho</v>
      </c>
      <c r="C1067" s="1219" t="s">
        <v>17837</v>
      </c>
      <c r="D1067" s="1220"/>
      <c r="E1067" s="1265">
        <f>(F1068/3)*2</f>
        <v>1318.6666666666667</v>
      </c>
      <c r="F1067" s="135"/>
      <c r="G1067" s="1040"/>
    </row>
    <row r="1068" spans="1:7">
      <c r="A1068" s="1228">
        <v>43111</v>
      </c>
      <c r="B1068" s="1222" t="str">
        <f>TiposLancamentos!B16</f>
        <v>Cristiane</v>
      </c>
      <c r="C1068" s="1223" t="s">
        <v>17838</v>
      </c>
      <c r="D1068" s="1224"/>
      <c r="E1068" s="1266">
        <f>F1068-E1067</f>
        <v>659.33333333333326</v>
      </c>
      <c r="F1068" s="135">
        <v>1978</v>
      </c>
      <c r="G1068" s="1040"/>
    </row>
    <row r="1069" spans="1:7">
      <c r="A1069" s="884">
        <v>43111</v>
      </c>
      <c r="B1069" s="138" t="str">
        <f>TiposLancamentos!B103</f>
        <v>Juros_Corr. Poupança</v>
      </c>
      <c r="C1069" s="771" t="s">
        <v>17642</v>
      </c>
      <c r="D1069" s="197">
        <v>0.14000000000000001</v>
      </c>
      <c r="E1069" s="857"/>
      <c r="F1069" s="135"/>
      <c r="G1069" s="1040"/>
    </row>
    <row r="1070" spans="1:7">
      <c r="A1070" s="884">
        <v>43112</v>
      </c>
      <c r="B1070" s="138" t="str">
        <f>TiposLancamentos!B5</f>
        <v>Supermercado</v>
      </c>
      <c r="C1070" s="771" t="s">
        <v>17839</v>
      </c>
      <c r="D1070" s="197"/>
      <c r="E1070" s="857">
        <v>19.78</v>
      </c>
      <c r="F1070" s="135"/>
      <c r="G1070" s="1040"/>
    </row>
    <row r="1071" spans="1:7">
      <c r="A1071" s="884">
        <v>43112</v>
      </c>
      <c r="B1071" s="138" t="str">
        <f>TiposLancamentos!B19</f>
        <v>Restaurantes</v>
      </c>
      <c r="C1071" s="771" t="s">
        <v>6553</v>
      </c>
      <c r="D1071" s="197"/>
      <c r="E1071" s="857">
        <v>60.5</v>
      </c>
      <c r="F1071" s="135"/>
      <c r="G1071" s="1040"/>
    </row>
    <row r="1072" spans="1:7">
      <c r="A1072" s="884">
        <v>43113</v>
      </c>
      <c r="B1072" s="138" t="str">
        <f>TiposLancamentos!B19</f>
        <v>Restaurantes</v>
      </c>
      <c r="C1072" s="771" t="s">
        <v>7741</v>
      </c>
      <c r="D1072" s="197"/>
      <c r="E1072" s="857">
        <v>45.2</v>
      </c>
      <c r="F1072" s="135"/>
      <c r="G1072" s="1040"/>
    </row>
    <row r="1073" spans="1:7">
      <c r="A1073" s="884">
        <v>43113</v>
      </c>
      <c r="B1073" s="138" t="str">
        <f>TiposLancamentos!B20</f>
        <v>Saques</v>
      </c>
      <c r="C1073" s="771" t="s">
        <v>7074</v>
      </c>
      <c r="D1073" s="197"/>
      <c r="E1073" s="857">
        <v>40</v>
      </c>
      <c r="F1073" s="135"/>
      <c r="G1073" s="1040"/>
    </row>
    <row r="1074" spans="1:7">
      <c r="A1074" s="884">
        <v>43113</v>
      </c>
      <c r="B1074" s="138" t="str">
        <f>TiposLancamentos!B19</f>
        <v>Restaurantes</v>
      </c>
      <c r="C1074" s="771" t="s">
        <v>17840</v>
      </c>
      <c r="D1074" s="197"/>
      <c r="E1074" s="857">
        <v>56.98</v>
      </c>
      <c r="F1074" s="135"/>
      <c r="G1074" s="1040"/>
    </row>
    <row r="1075" spans="1:7">
      <c r="A1075" s="1226">
        <v>43114</v>
      </c>
      <c r="B1075" s="1218" t="str">
        <f>TiposLancamentos!B22</f>
        <v>Combustivel</v>
      </c>
      <c r="C1075" s="1219" t="s">
        <v>6555</v>
      </c>
      <c r="D1075" s="1220"/>
      <c r="E1075" s="1221">
        <v>140.01</v>
      </c>
      <c r="F1075" s="1704"/>
      <c r="G1075" s="1040"/>
    </row>
    <row r="1076" spans="1:7">
      <c r="A1076" s="1228">
        <v>43114</v>
      </c>
      <c r="B1076" s="1222" t="str">
        <f>TiposLancamentos!B26</f>
        <v>LIVROS</v>
      </c>
      <c r="C1076" s="1223" t="s">
        <v>17841</v>
      </c>
      <c r="D1076" s="1224"/>
      <c r="E1076" s="1225">
        <f>F1076-E1075</f>
        <v>22.5</v>
      </c>
      <c r="F1076" s="1705">
        <v>162.51</v>
      </c>
      <c r="G1076" s="1040"/>
    </row>
    <row r="1077" spans="1:7">
      <c r="A1077" s="884">
        <v>43114</v>
      </c>
      <c r="B1077" s="138" t="str">
        <f>TiposLancamentos!B19</f>
        <v>Restaurantes</v>
      </c>
      <c r="C1077" s="771" t="s">
        <v>17842</v>
      </c>
      <c r="D1077" s="197"/>
      <c r="E1077" s="857">
        <v>19.600000000000001</v>
      </c>
      <c r="F1077" s="135"/>
      <c r="G1077" s="1040"/>
    </row>
    <row r="1078" spans="1:7">
      <c r="A1078" s="884">
        <v>43114</v>
      </c>
      <c r="B1078" s="138" t="str">
        <f>TiposLancamentos!B19</f>
        <v>Restaurantes</v>
      </c>
      <c r="C1078" s="771" t="s">
        <v>17843</v>
      </c>
      <c r="D1078" s="197"/>
      <c r="E1078" s="857">
        <v>39.1</v>
      </c>
      <c r="F1078" s="135"/>
      <c r="G1078" s="1040"/>
    </row>
    <row r="1079" spans="1:7">
      <c r="A1079" s="884">
        <v>43115</v>
      </c>
      <c r="B1079" s="138" t="str">
        <f>TiposLancamentos!B95</f>
        <v>Salarios</v>
      </c>
      <c r="C1079" s="771" t="s">
        <v>17557</v>
      </c>
      <c r="D1079" s="197">
        <v>3792.64</v>
      </c>
      <c r="E1079" s="857"/>
      <c r="F1079" s="135"/>
      <c r="G1079" s="1040"/>
    </row>
    <row r="1080" spans="1:7">
      <c r="A1080" s="919">
        <v>43115</v>
      </c>
      <c r="B1080" s="830" t="str">
        <f>TiposLancamentos!B33</f>
        <v>Pedágios</v>
      </c>
      <c r="C1080" s="915" t="s">
        <v>5392</v>
      </c>
      <c r="D1080" s="917"/>
      <c r="E1080" s="920">
        <v>269.05</v>
      </c>
      <c r="F1080" s="1701"/>
      <c r="G1080" s="1040"/>
    </row>
    <row r="1081" spans="1:7">
      <c r="A1081" s="930">
        <v>43115</v>
      </c>
      <c r="B1081" s="825" t="str">
        <f>TiposLancamentos!B24</f>
        <v>Estacionamentos</v>
      </c>
      <c r="C1081" s="88" t="s">
        <v>5863</v>
      </c>
      <c r="D1081" s="828"/>
      <c r="E1081" s="931">
        <v>40</v>
      </c>
      <c r="F1081" s="1702"/>
      <c r="G1081" s="1040"/>
    </row>
    <row r="1082" spans="1:7">
      <c r="A1082" s="921">
        <v>43115</v>
      </c>
      <c r="B1082" s="833" t="str">
        <f>TiposLancamentos!B24</f>
        <v>Estacionamentos</v>
      </c>
      <c r="C1082" s="916" t="s">
        <v>6297</v>
      </c>
      <c r="D1082" s="918"/>
      <c r="E1082" s="922">
        <v>32</v>
      </c>
      <c r="F1082" s="1703">
        <f>SUM(E1080:E1082)</f>
        <v>341.05</v>
      </c>
      <c r="G1082" s="1040"/>
    </row>
    <row r="1083" spans="1:7">
      <c r="A1083" s="884">
        <v>43115</v>
      </c>
      <c r="B1083" s="138"/>
      <c r="C1083" s="771" t="s">
        <v>1868</v>
      </c>
      <c r="D1083" s="197"/>
      <c r="E1083" s="857"/>
      <c r="F1083" s="135"/>
      <c r="G1083" s="1040"/>
    </row>
    <row r="1084" spans="1:7">
      <c r="A1084" s="919">
        <v>43115</v>
      </c>
      <c r="B1084" s="830" t="str">
        <f>TiposLancamentos!B35</f>
        <v>Tv à Cabo</v>
      </c>
      <c r="C1084" s="915" t="s">
        <v>5834</v>
      </c>
      <c r="D1084" s="917"/>
      <c r="E1084" s="920">
        <v>154.68</v>
      </c>
      <c r="F1084" s="1701"/>
      <c r="G1084" s="1040"/>
    </row>
    <row r="1085" spans="1:7">
      <c r="A1085" s="930">
        <v>43115</v>
      </c>
      <c r="B1085" s="825" t="str">
        <f>TiposLancamentos!B3</f>
        <v>Internet</v>
      </c>
      <c r="C1085" s="88" t="s">
        <v>5835</v>
      </c>
      <c r="D1085" s="828"/>
      <c r="E1085" s="931">
        <v>91.31</v>
      </c>
      <c r="F1085" s="1702"/>
      <c r="G1085" s="1040"/>
    </row>
    <row r="1086" spans="1:7">
      <c r="A1086" s="921">
        <v>43115</v>
      </c>
      <c r="B1086" s="833" t="str">
        <f>TiposLancamentos!B2</f>
        <v>Telefonia</v>
      </c>
      <c r="C1086" s="916" t="s">
        <v>7210</v>
      </c>
      <c r="D1086" s="918"/>
      <c r="E1086" s="922"/>
      <c r="F1086" s="1703">
        <f>SUM(E1084:E1086)</f>
        <v>245.99</v>
      </c>
      <c r="G1086" s="1040"/>
    </row>
    <row r="1087" spans="1:7">
      <c r="A1087" s="884">
        <v>43115</v>
      </c>
      <c r="B1087" s="138" t="str">
        <f>TiposLancamentos!B87</f>
        <v>P207-1.6-XS</v>
      </c>
      <c r="C1087" s="3" t="s">
        <v>17844</v>
      </c>
      <c r="D1087" s="197"/>
      <c r="E1087" s="857">
        <v>723.42</v>
      </c>
      <c r="F1087" s="135"/>
      <c r="G1087" s="1040"/>
    </row>
    <row r="1088" spans="1:7">
      <c r="A1088" s="884">
        <v>43116</v>
      </c>
      <c r="B1088" s="138" t="str">
        <f>TiposLancamentos!B19</f>
        <v>Restaurantes</v>
      </c>
      <c r="C1088" s="3" t="s">
        <v>17771</v>
      </c>
      <c r="D1088" s="197"/>
      <c r="E1088" s="857">
        <v>77.3</v>
      </c>
      <c r="F1088" s="135"/>
      <c r="G1088" s="1040"/>
    </row>
    <row r="1089" spans="1:7">
      <c r="A1089" s="884">
        <v>43116</v>
      </c>
      <c r="B1089" s="138" t="str">
        <f>TiposLancamentos!B97</f>
        <v>Deposito Terc.</v>
      </c>
      <c r="C1089" s="3" t="s">
        <v>17845</v>
      </c>
      <c r="D1089" s="197"/>
      <c r="E1089" s="857">
        <v>200</v>
      </c>
      <c r="F1089" s="135"/>
      <c r="G1089" s="1040"/>
    </row>
    <row r="1090" spans="1:7">
      <c r="A1090" s="884">
        <v>43116</v>
      </c>
      <c r="B1090" s="138" t="str">
        <f>TiposLancamentos!B71</f>
        <v>Itens Pessoais</v>
      </c>
      <c r="C1090" s="3" t="s">
        <v>17846</v>
      </c>
      <c r="D1090" s="197"/>
      <c r="E1090" s="857">
        <v>25</v>
      </c>
      <c r="F1090" s="135"/>
      <c r="G1090" s="1040"/>
    </row>
    <row r="1091" spans="1:7">
      <c r="A1091" s="884">
        <v>43117</v>
      </c>
      <c r="B1091" s="138" t="str">
        <f>TiposLancamentos!B5</f>
        <v>Supermercado</v>
      </c>
      <c r="C1091" s="3" t="s">
        <v>6234</v>
      </c>
      <c r="D1091" s="197"/>
      <c r="E1091" s="857">
        <v>159.49</v>
      </c>
      <c r="F1091" s="135"/>
      <c r="G1091" s="1040"/>
    </row>
    <row r="1092" spans="1:7">
      <c r="A1092" s="884">
        <v>43118</v>
      </c>
      <c r="B1092" s="138" t="str">
        <f>TiposLancamentos!B5</f>
        <v>Supermercado</v>
      </c>
      <c r="C1092" s="3" t="s">
        <v>6234</v>
      </c>
      <c r="D1092" s="197"/>
      <c r="E1092" s="857">
        <v>31.92</v>
      </c>
      <c r="F1092" s="135"/>
      <c r="G1092" s="1040"/>
    </row>
    <row r="1093" spans="1:7">
      <c r="A1093" s="884">
        <v>43118</v>
      </c>
      <c r="B1093" s="138" t="str">
        <f>TiposLancamentos!B19</f>
        <v>Restaurantes</v>
      </c>
      <c r="C1093" s="3" t="s">
        <v>17847</v>
      </c>
      <c r="D1093" s="197"/>
      <c r="E1093" s="857">
        <v>122.74</v>
      </c>
      <c r="F1093" s="135"/>
      <c r="G1093" s="1040"/>
    </row>
    <row r="1094" spans="1:7">
      <c r="A1094" s="884">
        <v>43118</v>
      </c>
      <c r="B1094" s="138" t="str">
        <f>TiposLancamentos!B21</f>
        <v>Transf. Poupanca</v>
      </c>
      <c r="C1094" s="3" t="s">
        <v>17756</v>
      </c>
      <c r="D1094" s="197"/>
      <c r="E1094" s="857">
        <v>50</v>
      </c>
      <c r="F1094" s="135"/>
      <c r="G1094" s="1040"/>
    </row>
    <row r="1095" spans="1:7">
      <c r="A1095" s="884">
        <v>43119</v>
      </c>
      <c r="B1095" s="138" t="str">
        <f>TiposLancamentos!B19</f>
        <v>Restaurantes</v>
      </c>
      <c r="C1095" s="3" t="s">
        <v>17848</v>
      </c>
      <c r="D1095" s="197"/>
      <c r="E1095" s="857">
        <v>69.849999999999994</v>
      </c>
      <c r="F1095" s="135"/>
      <c r="G1095" s="1040"/>
    </row>
    <row r="1096" spans="1:7">
      <c r="A1096" s="884">
        <v>43119</v>
      </c>
      <c r="B1096" s="138" t="str">
        <f>B1092</f>
        <v>Supermercado</v>
      </c>
      <c r="C1096" s="3" t="s">
        <v>7068</v>
      </c>
      <c r="D1096" s="197"/>
      <c r="E1096" s="857">
        <v>32</v>
      </c>
      <c r="F1096" s="135"/>
      <c r="G1096" s="1040"/>
    </row>
    <row r="1097" spans="1:7">
      <c r="A1097" s="884">
        <v>43120</v>
      </c>
      <c r="B1097" s="138" t="str">
        <f>TiposLancamentos!B19</f>
        <v>Restaurantes</v>
      </c>
      <c r="C1097" s="3" t="s">
        <v>17849</v>
      </c>
      <c r="D1097" s="197"/>
      <c r="E1097" s="857">
        <v>47.24</v>
      </c>
      <c r="F1097" s="135"/>
      <c r="G1097" s="1040"/>
    </row>
    <row r="1098" spans="1:7">
      <c r="A1098" s="884">
        <v>43121</v>
      </c>
      <c r="B1098" s="138" t="str">
        <f>TiposLancamentos!B19</f>
        <v>Restaurantes</v>
      </c>
      <c r="C1098" s="3" t="s">
        <v>17850</v>
      </c>
      <c r="D1098" s="197"/>
      <c r="E1098" s="857">
        <v>53.44</v>
      </c>
      <c r="F1098" s="135"/>
      <c r="G1098" s="1040"/>
    </row>
    <row r="1099" spans="1:7">
      <c r="A1099" s="884">
        <v>43121</v>
      </c>
      <c r="B1099" s="138" t="str">
        <f>TiposLancamentos!B19</f>
        <v>Restaurantes</v>
      </c>
      <c r="C1099" s="3" t="s">
        <v>6536</v>
      </c>
      <c r="D1099" s="197"/>
      <c r="E1099" s="857">
        <v>132</v>
      </c>
      <c r="F1099" s="135"/>
      <c r="G1099" s="1040"/>
    </row>
    <row r="1100" spans="1:7">
      <c r="A1100" s="884">
        <v>43122</v>
      </c>
      <c r="B1100" s="138" t="str">
        <f>TiposLancamentos!B56</f>
        <v>Farmácia</v>
      </c>
      <c r="C1100" s="3" t="s">
        <v>6808</v>
      </c>
      <c r="D1100" s="197"/>
      <c r="E1100" s="857">
        <v>32.17</v>
      </c>
      <c r="F1100" s="135"/>
      <c r="G1100" s="1040"/>
    </row>
    <row r="1101" spans="1:7">
      <c r="A1101" s="884">
        <v>43123</v>
      </c>
      <c r="B1101" s="138" t="str">
        <f>TiposLancamentos!B22</f>
        <v>Combustivel</v>
      </c>
      <c r="C1101" s="3" t="s">
        <v>6412</v>
      </c>
      <c r="D1101" s="197"/>
      <c r="E1101" s="857">
        <v>50</v>
      </c>
      <c r="F1101" s="135"/>
      <c r="G1101" s="1040"/>
    </row>
    <row r="1102" spans="1:7">
      <c r="A1102" s="884">
        <v>43124</v>
      </c>
      <c r="B1102" s="138" t="str">
        <f>TiposLancamentos!B19</f>
        <v>Restaurantes</v>
      </c>
      <c r="C1102" s="3" t="s">
        <v>7000</v>
      </c>
      <c r="D1102" s="197"/>
      <c r="E1102" s="857">
        <v>8</v>
      </c>
      <c r="F1102" s="135"/>
      <c r="G1102" s="1040"/>
    </row>
    <row r="1103" spans="1:7">
      <c r="A1103" s="884">
        <v>43124</v>
      </c>
      <c r="B1103" s="138" t="str">
        <f>TiposLancamentos!B5</f>
        <v>Supermercado</v>
      </c>
      <c r="C1103" s="3" t="s">
        <v>10657</v>
      </c>
      <c r="D1103" s="197"/>
      <c r="E1103" s="857">
        <v>91.42</v>
      </c>
      <c r="F1103" s="135"/>
      <c r="G1103" s="1040"/>
    </row>
    <row r="1104" spans="1:7">
      <c r="A1104" s="884">
        <v>43125</v>
      </c>
      <c r="B1104" s="138" t="str">
        <f>TiposLancamentos!B19</f>
        <v>Restaurantes</v>
      </c>
      <c r="C1104" s="3" t="s">
        <v>17851</v>
      </c>
      <c r="D1104" s="197"/>
      <c r="E1104" s="857">
        <v>22.9</v>
      </c>
      <c r="F1104" s="135"/>
      <c r="G1104" s="1040"/>
    </row>
    <row r="1105" spans="1:7">
      <c r="A1105" s="884">
        <v>43125</v>
      </c>
      <c r="B1105" s="138" t="str">
        <f>TiposLancamentos!B5</f>
        <v>Supermercado</v>
      </c>
      <c r="C1105" s="3" t="s">
        <v>17852</v>
      </c>
      <c r="D1105" s="197"/>
      <c r="E1105" s="857">
        <v>29.58</v>
      </c>
      <c r="F1105" s="135"/>
      <c r="G1105" s="1040"/>
    </row>
    <row r="1106" spans="1:7">
      <c r="A1106" s="884">
        <v>43126</v>
      </c>
      <c r="B1106" s="138" t="str">
        <f>TiposLancamentos!B6</f>
        <v>Energia Eletrica</v>
      </c>
      <c r="C1106" s="3" t="s">
        <v>17853</v>
      </c>
      <c r="D1106" s="197"/>
      <c r="E1106" s="857">
        <v>189.9</v>
      </c>
      <c r="F1106" s="135"/>
      <c r="G1106" s="1040"/>
    </row>
    <row r="1107" spans="1:7">
      <c r="A1107" s="884">
        <v>43126</v>
      </c>
      <c r="B1107" s="138" t="str">
        <f>TiposLancamentos!B19</f>
        <v>Restaurantes</v>
      </c>
      <c r="C1107" s="3" t="s">
        <v>7152</v>
      </c>
      <c r="D1107" s="197"/>
      <c r="E1107" s="857">
        <v>30</v>
      </c>
      <c r="F1107" s="135"/>
      <c r="G1107" s="1040"/>
    </row>
    <row r="1108" spans="1:7">
      <c r="A1108" s="884">
        <v>43126</v>
      </c>
      <c r="B1108" s="138" t="str">
        <f>TiposLancamentos!B56</f>
        <v>Farmácia</v>
      </c>
      <c r="C1108" s="3" t="s">
        <v>17854</v>
      </c>
      <c r="D1108" s="197"/>
      <c r="E1108" s="857">
        <v>42.21</v>
      </c>
      <c r="F1108" s="135"/>
      <c r="G1108" s="1040"/>
    </row>
    <row r="1109" spans="1:7">
      <c r="A1109" s="884">
        <v>43126</v>
      </c>
      <c r="B1109" s="138" t="str">
        <f>TiposLancamentos!B19</f>
        <v>Restaurantes</v>
      </c>
      <c r="C1109" s="3" t="s">
        <v>17855</v>
      </c>
      <c r="D1109" s="197"/>
      <c r="E1109" s="857">
        <v>63.75</v>
      </c>
      <c r="F1109" s="135"/>
      <c r="G1109" s="1040"/>
    </row>
    <row r="1110" spans="1:7">
      <c r="A1110" s="884">
        <v>43126</v>
      </c>
      <c r="B1110" s="138" t="str">
        <f>TiposLancamentos!B103</f>
        <v>Juros_Corr. Poupança</v>
      </c>
      <c r="C1110" s="3" t="s">
        <v>17642</v>
      </c>
      <c r="D1110" s="197">
        <v>0.02</v>
      </c>
      <c r="E1110" s="857"/>
      <c r="F1110" s="135"/>
      <c r="G1110" s="1040"/>
    </row>
    <row r="1111" spans="1:7">
      <c r="A1111" s="884">
        <v>43127</v>
      </c>
      <c r="B1111" s="138" t="str">
        <f>TiposLancamentos!B19</f>
        <v>Restaurantes</v>
      </c>
      <c r="C1111" s="3" t="s">
        <v>17856</v>
      </c>
      <c r="D1111" s="197"/>
      <c r="E1111" s="857">
        <v>181.28</v>
      </c>
      <c r="F1111" s="135"/>
      <c r="G1111" s="1040"/>
    </row>
    <row r="1112" spans="1:7">
      <c r="A1112" s="884">
        <v>43127</v>
      </c>
      <c r="B1112" s="138" t="str">
        <f>TiposLancamentos!B19</f>
        <v>Restaurantes</v>
      </c>
      <c r="C1112" s="3" t="s">
        <v>17857</v>
      </c>
      <c r="D1112" s="197"/>
      <c r="E1112" s="857">
        <v>34.4</v>
      </c>
      <c r="F1112" s="135"/>
      <c r="G1112" s="1040"/>
    </row>
    <row r="1113" spans="1:7">
      <c r="A1113" s="884">
        <v>43128</v>
      </c>
      <c r="B1113" s="138" t="str">
        <f>TiposLancamentos!B64</f>
        <v>Viagens</v>
      </c>
      <c r="C1113" s="3" t="s">
        <v>17858</v>
      </c>
      <c r="D1113" s="197"/>
      <c r="E1113" s="857">
        <v>72</v>
      </c>
      <c r="F1113" s="135"/>
      <c r="G1113" s="1040"/>
    </row>
    <row r="1114" spans="1:7">
      <c r="A1114" s="884">
        <v>43128</v>
      </c>
      <c r="B1114" s="138" t="str">
        <f>TiposLancamentos!B19</f>
        <v>Restaurantes</v>
      </c>
      <c r="C1114" s="3" t="s">
        <v>17859</v>
      </c>
      <c r="D1114" s="197"/>
      <c r="E1114" s="857">
        <v>115.5</v>
      </c>
      <c r="F1114" s="135"/>
      <c r="G1114" s="1040"/>
    </row>
    <row r="1115" spans="1:7">
      <c r="A1115" s="884">
        <v>43129</v>
      </c>
      <c r="B1115" s="138" t="str">
        <f>TiposLancamentos!B19</f>
        <v>Restaurantes</v>
      </c>
      <c r="C1115" s="3" t="s">
        <v>17015</v>
      </c>
      <c r="D1115" s="197"/>
      <c r="E1115" s="857">
        <v>12.91</v>
      </c>
      <c r="F1115" s="135"/>
      <c r="G1115" s="1040"/>
    </row>
    <row r="1116" spans="1:7">
      <c r="A1116" s="884">
        <v>43129</v>
      </c>
      <c r="B1116" s="138" t="str">
        <f>TiposLancamentos!B19</f>
        <v>Restaurantes</v>
      </c>
      <c r="C1116" s="3" t="s">
        <v>17860</v>
      </c>
      <c r="D1116" s="197"/>
      <c r="E1116" s="857">
        <v>8</v>
      </c>
      <c r="F1116" s="135"/>
      <c r="G1116" s="1040"/>
    </row>
    <row r="1117" spans="1:7">
      <c r="A1117" s="884">
        <v>43129</v>
      </c>
      <c r="B1117" s="138" t="str">
        <f>TiposLancamentos!B19</f>
        <v>Restaurantes</v>
      </c>
      <c r="C1117" s="3" t="s">
        <v>4578</v>
      </c>
      <c r="D1117" s="197"/>
      <c r="E1117" s="857">
        <v>22.03</v>
      </c>
      <c r="F1117" s="135"/>
      <c r="G1117" s="1040"/>
    </row>
    <row r="1118" spans="1:7">
      <c r="A1118" s="884">
        <v>43129</v>
      </c>
      <c r="B1118" s="138" t="str">
        <f>TiposLancamentos!B71</f>
        <v>Itens Pessoais</v>
      </c>
      <c r="C1118" s="3" t="s">
        <v>17861</v>
      </c>
      <c r="D1118" s="197"/>
      <c r="E1118" s="857">
        <v>10</v>
      </c>
      <c r="F1118" s="135"/>
      <c r="G1118" s="1040"/>
    </row>
    <row r="1119" spans="1:7">
      <c r="A1119" s="884">
        <v>43129</v>
      </c>
      <c r="B1119" s="138" t="str">
        <f>TiposLancamentos!B103</f>
        <v>Juros_Corr. Poupança</v>
      </c>
      <c r="C1119" s="3" t="s">
        <v>17642</v>
      </c>
      <c r="D1119" s="197">
        <v>0.03</v>
      </c>
      <c r="E1119" s="857"/>
      <c r="F1119" s="135"/>
      <c r="G1119" s="1040"/>
    </row>
    <row r="1120" spans="1:7">
      <c r="A1120" s="884">
        <v>43131</v>
      </c>
      <c r="B1120" s="138" t="str">
        <f>TiposLancamentos!B95</f>
        <v>Salarios</v>
      </c>
      <c r="C1120" s="3" t="s">
        <v>17362</v>
      </c>
      <c r="D1120" s="197">
        <v>7091.62</v>
      </c>
      <c r="E1120" s="857"/>
      <c r="F1120" s="135"/>
      <c r="G1120" s="1040"/>
    </row>
    <row r="1121" spans="1:7">
      <c r="A1121" s="884">
        <v>43131</v>
      </c>
      <c r="B1121" s="138" t="str">
        <f>TiposLancamentos!B5</f>
        <v>Supermercado</v>
      </c>
      <c r="C1121" s="3" t="s">
        <v>6234</v>
      </c>
      <c r="D1121" s="197"/>
      <c r="E1121" s="857">
        <v>15.98</v>
      </c>
      <c r="F1121" s="135"/>
      <c r="G1121" s="1040"/>
    </row>
    <row r="1122" spans="1:7">
      <c r="A1122" s="884">
        <v>43131</v>
      </c>
      <c r="B1122" s="138" t="str">
        <f>TiposLancamentos!B59</f>
        <v>Documentos</v>
      </c>
      <c r="C1122" s="3" t="s">
        <v>17862</v>
      </c>
      <c r="D1122" s="197"/>
      <c r="E1122" s="857">
        <v>929.59</v>
      </c>
      <c r="F1122" s="135"/>
      <c r="G1122" s="1040"/>
    </row>
    <row r="1123" spans="1:7">
      <c r="A1123" s="884">
        <v>43131</v>
      </c>
      <c r="B1123" s="138" t="str">
        <f>TiposLancamentos!B19</f>
        <v>Restaurantes</v>
      </c>
      <c r="C1123" s="3" t="s">
        <v>17863</v>
      </c>
      <c r="D1123" s="197"/>
      <c r="E1123" s="857">
        <v>7</v>
      </c>
      <c r="F1123" s="135"/>
      <c r="G1123" s="1040"/>
    </row>
    <row r="1124" spans="1:7" ht="14.25" thickBot="1">
      <c r="A1124" s="884">
        <v>43131</v>
      </c>
      <c r="B1124" s="138" t="str">
        <f>TiposLancamentos!B5</f>
        <v>Supermercado</v>
      </c>
      <c r="C1124" s="3" t="s">
        <v>17864</v>
      </c>
      <c r="D1124" s="197"/>
      <c r="E1124" s="857">
        <v>281.58999999999997</v>
      </c>
      <c r="F1124" s="135"/>
      <c r="G1124" s="1040"/>
    </row>
    <row r="1125" spans="1:7">
      <c r="A1125" s="967"/>
      <c r="B1125" s="968"/>
      <c r="C1125" s="1093" t="s">
        <v>11197</v>
      </c>
      <c r="D1125" s="970"/>
      <c r="E1125" s="971"/>
      <c r="F1125" s="1712"/>
      <c r="G1125" s="1039"/>
    </row>
    <row r="1126" spans="1:7">
      <c r="A1126" s="884">
        <v>43132</v>
      </c>
      <c r="B1126" s="138" t="str">
        <f>TiposLancamentos!B58</f>
        <v>Fotografias</v>
      </c>
      <c r="C1126" s="3" t="s">
        <v>17865</v>
      </c>
      <c r="D1126" s="197"/>
      <c r="E1126" s="857">
        <v>8</v>
      </c>
      <c r="F1126" s="135"/>
      <c r="G1126" s="1040"/>
    </row>
    <row r="1127" spans="1:7">
      <c r="A1127" s="884">
        <v>43132</v>
      </c>
      <c r="B1127" s="138" t="str">
        <f>TiposLancamentos!B15</f>
        <v>Cartões de Crédito</v>
      </c>
      <c r="C1127" s="771" t="s">
        <v>17692</v>
      </c>
      <c r="D1127" s="197"/>
      <c r="E1127" s="857">
        <v>96.92</v>
      </c>
      <c r="F1127" s="135"/>
      <c r="G1127" s="1040"/>
    </row>
    <row r="1128" spans="1:7">
      <c r="A1128" s="884">
        <v>43132</v>
      </c>
      <c r="B1128" s="138" t="str">
        <f>TiposLancamentos!B15</f>
        <v>Cartões de Crédito</v>
      </c>
      <c r="C1128" s="771" t="s">
        <v>17693</v>
      </c>
      <c r="D1128" s="197"/>
      <c r="E1128" s="857">
        <v>4841</v>
      </c>
      <c r="F1128" s="135"/>
      <c r="G1128" s="1040"/>
    </row>
    <row r="1129" spans="1:7">
      <c r="A1129" s="884">
        <v>43132</v>
      </c>
      <c r="B1129" s="138" t="str">
        <f>TiposLancamentos!B15</f>
        <v>Cartões de Crédito</v>
      </c>
      <c r="C1129" s="771" t="s">
        <v>7332</v>
      </c>
      <c r="D1129" s="197"/>
      <c r="E1129" s="857">
        <v>4003.25</v>
      </c>
      <c r="F1129" s="135"/>
      <c r="G1129" s="1040"/>
    </row>
    <row r="1130" spans="1:7">
      <c r="A1130" s="884">
        <v>43132</v>
      </c>
      <c r="B1130" s="138" t="str">
        <f>TiposLancamentos!B16</f>
        <v>Cristiane</v>
      </c>
      <c r="C1130" s="3" t="s">
        <v>17866</v>
      </c>
      <c r="D1130" s="197"/>
      <c r="E1130" s="857">
        <v>280</v>
      </c>
      <c r="F1130" s="135"/>
      <c r="G1130" s="1040"/>
    </row>
    <row r="1131" spans="1:7">
      <c r="A1131" s="884">
        <v>43132</v>
      </c>
      <c r="B1131" s="138" t="str">
        <f>TiposLancamentos!B4</f>
        <v>Taxas Bancarias</v>
      </c>
      <c r="C1131" s="3" t="s">
        <v>17867</v>
      </c>
      <c r="D1131" s="197"/>
      <c r="E1131" s="857">
        <v>0.02</v>
      </c>
      <c r="F1131" s="135"/>
      <c r="G1131" s="1040"/>
    </row>
    <row r="1132" spans="1:7">
      <c r="A1132" s="884">
        <v>43132</v>
      </c>
      <c r="B1132" s="138" t="str">
        <f>TiposLancamentos!B4</f>
        <v>Taxas Bancarias</v>
      </c>
      <c r="C1132" s="3" t="s">
        <v>17868</v>
      </c>
      <c r="D1132" s="197"/>
      <c r="E1132" s="857">
        <v>0.37</v>
      </c>
      <c r="F1132" s="135"/>
      <c r="G1132" s="1040"/>
    </row>
    <row r="1133" spans="1:7">
      <c r="A1133" s="884">
        <v>43132</v>
      </c>
      <c r="B1133" s="138" t="str">
        <f>TiposLancamentos!B4</f>
        <v>Taxas Bancarias</v>
      </c>
      <c r="C1133" s="3" t="s">
        <v>17642</v>
      </c>
      <c r="D1133" s="197">
        <v>0.02</v>
      </c>
      <c r="E1133" s="857"/>
      <c r="F1133" s="135"/>
      <c r="G1133" s="1040"/>
    </row>
    <row r="1134" spans="1:7">
      <c r="A1134" s="884">
        <v>43137</v>
      </c>
      <c r="B1134" s="138" t="str">
        <f>TiposLancamentos!B9</f>
        <v>Condominio</v>
      </c>
      <c r="C1134" s="3" t="s">
        <v>1684</v>
      </c>
      <c r="D1134" s="197"/>
      <c r="E1134" s="857">
        <v>1234.4000000000001</v>
      </c>
      <c r="F1134" s="135"/>
      <c r="G1134" s="1040"/>
    </row>
    <row r="1135" spans="1:7">
      <c r="A1135" s="884">
        <v>43138</v>
      </c>
      <c r="B1135" s="138" t="str">
        <f>TiposLancamentos!B2</f>
        <v>Telefonia</v>
      </c>
      <c r="C1135" s="3" t="s">
        <v>6318</v>
      </c>
      <c r="D1135" s="197"/>
      <c r="E1135" s="857">
        <v>143.69999999999999</v>
      </c>
      <c r="F1135" s="135"/>
      <c r="G1135" s="1040"/>
    </row>
    <row r="1136" spans="1:7">
      <c r="A1136" s="884">
        <v>43139</v>
      </c>
      <c r="B1136" s="138" t="str">
        <f>TiposLancamentos!B24</f>
        <v>Estacionamentos</v>
      </c>
      <c r="C1136" s="3" t="s">
        <v>4589</v>
      </c>
      <c r="D1136" s="197"/>
      <c r="E1136" s="857">
        <v>200</v>
      </c>
      <c r="F1136" s="135"/>
      <c r="G1136" s="1040"/>
    </row>
    <row r="1137" spans="1:7">
      <c r="A1137" s="884">
        <v>43141</v>
      </c>
      <c r="B1137" s="138" t="str">
        <f>TiposLancamentos!B13</f>
        <v>Moradia</v>
      </c>
      <c r="C1137" s="3" t="s">
        <v>17869</v>
      </c>
      <c r="D1137" s="197"/>
      <c r="E1137" s="857">
        <v>51</v>
      </c>
      <c r="F1137" s="135"/>
      <c r="G1137" s="1040"/>
    </row>
    <row r="1138" spans="1:7">
      <c r="A1138" s="884">
        <v>43142</v>
      </c>
      <c r="B1138" s="138" t="str">
        <f>TiposLancamentos!B56</f>
        <v>Farmácia</v>
      </c>
      <c r="C1138" s="3" t="s">
        <v>17870</v>
      </c>
      <c r="D1138" s="197"/>
      <c r="E1138" s="857">
        <v>8.76</v>
      </c>
      <c r="F1138" s="135"/>
      <c r="G1138" s="1040"/>
    </row>
    <row r="1139" spans="1:7">
      <c r="A1139" s="919">
        <v>43143</v>
      </c>
      <c r="B1139" s="830" t="str">
        <f>TiposLancamentos!B8</f>
        <v>Aluguel</v>
      </c>
      <c r="C1139" s="915" t="s">
        <v>6163</v>
      </c>
      <c r="D1139" s="917"/>
      <c r="E1139" s="920">
        <f>(F1141)-(E1140+E1141)</f>
        <v>1763.2999999999997</v>
      </c>
      <c r="F1139" s="1701"/>
      <c r="G1139" s="1040"/>
    </row>
    <row r="1140" spans="1:7">
      <c r="A1140" s="930">
        <v>43143</v>
      </c>
      <c r="B1140" s="825" t="str">
        <f>TiposLancamentos!B12</f>
        <v>IPTU</v>
      </c>
      <c r="C1140" s="88" t="s">
        <v>6458</v>
      </c>
      <c r="D1140" s="828"/>
      <c r="E1140" s="931">
        <v>217.79</v>
      </c>
      <c r="F1140" s="1702"/>
      <c r="G1140" s="1040"/>
    </row>
    <row r="1141" spans="1:7">
      <c r="A1141" s="921">
        <v>43143</v>
      </c>
      <c r="B1141" s="833" t="str">
        <f>TiposLancamentos!B34</f>
        <v>Seguros</v>
      </c>
      <c r="C1141" s="916" t="s">
        <v>17871</v>
      </c>
      <c r="D1141" s="918"/>
      <c r="E1141" s="922">
        <v>259.11</v>
      </c>
      <c r="F1141" s="1703">
        <v>2240.1999999999998</v>
      </c>
      <c r="G1141" s="1040"/>
    </row>
    <row r="1142" spans="1:7">
      <c r="A1142" s="884">
        <v>43146</v>
      </c>
      <c r="B1142" s="138" t="str">
        <f>TiposLancamentos!B95</f>
        <v>Salarios</v>
      </c>
      <c r="C1142" s="771" t="s">
        <v>17557</v>
      </c>
      <c r="D1142" s="197">
        <v>3792.64</v>
      </c>
      <c r="E1142" s="857"/>
      <c r="F1142" s="135"/>
      <c r="G1142" s="1040"/>
    </row>
    <row r="1143" spans="1:7">
      <c r="A1143" s="919">
        <v>43146</v>
      </c>
      <c r="B1143" s="830" t="str">
        <f>TiposLancamentos!B33</f>
        <v>Pedágios</v>
      </c>
      <c r="C1143" s="915" t="s">
        <v>5392</v>
      </c>
      <c r="D1143" s="917"/>
      <c r="E1143" s="920">
        <v>153.25</v>
      </c>
      <c r="F1143" s="1701"/>
      <c r="G1143" s="1040"/>
    </row>
    <row r="1144" spans="1:7">
      <c r="A1144" s="930">
        <v>43146</v>
      </c>
      <c r="B1144" s="825" t="str">
        <f>TiposLancamentos!B24</f>
        <v>Estacionamentos</v>
      </c>
      <c r="C1144" s="88" t="s">
        <v>5863</v>
      </c>
      <c r="D1144" s="828"/>
      <c r="E1144" s="931">
        <v>42</v>
      </c>
      <c r="F1144" s="1702"/>
      <c r="G1144" s="1040"/>
    </row>
    <row r="1145" spans="1:7">
      <c r="A1145" s="921">
        <v>43146</v>
      </c>
      <c r="B1145" s="833" t="str">
        <f>TiposLancamentos!B24</f>
        <v>Estacionamentos</v>
      </c>
      <c r="C1145" s="916" t="s">
        <v>6297</v>
      </c>
      <c r="D1145" s="918"/>
      <c r="E1145" s="922">
        <v>17</v>
      </c>
      <c r="F1145" s="1703">
        <f>SUM(E1143:E1145)</f>
        <v>212.25</v>
      </c>
      <c r="G1145" s="1040"/>
    </row>
    <row r="1146" spans="1:7">
      <c r="A1146" s="884">
        <v>43146</v>
      </c>
      <c r="B1146" s="138"/>
      <c r="C1146" s="771" t="s">
        <v>1868</v>
      </c>
      <c r="D1146" s="197"/>
      <c r="E1146" s="857"/>
      <c r="F1146" s="135"/>
      <c r="G1146" s="1040"/>
    </row>
    <row r="1147" spans="1:7">
      <c r="A1147" s="919">
        <v>43146</v>
      </c>
      <c r="B1147" s="830" t="str">
        <f>TiposLancamentos!B35</f>
        <v>Tv à Cabo</v>
      </c>
      <c r="C1147" s="915" t="s">
        <v>5834</v>
      </c>
      <c r="D1147" s="917"/>
      <c r="E1147" s="920">
        <v>154.68</v>
      </c>
      <c r="F1147" s="1701"/>
      <c r="G1147" s="1040"/>
    </row>
    <row r="1148" spans="1:7">
      <c r="A1148" s="930">
        <v>43146</v>
      </c>
      <c r="B1148" s="825" t="str">
        <f>TiposLancamentos!B3</f>
        <v>Internet</v>
      </c>
      <c r="C1148" s="88" t="s">
        <v>5835</v>
      </c>
      <c r="D1148" s="828"/>
      <c r="E1148" s="931">
        <v>91.31</v>
      </c>
      <c r="F1148" s="1702"/>
      <c r="G1148" s="1040"/>
    </row>
    <row r="1149" spans="1:7">
      <c r="A1149" s="921">
        <v>43146</v>
      </c>
      <c r="B1149" s="833" t="str">
        <f>TiposLancamentos!B2</f>
        <v>Telefonia</v>
      </c>
      <c r="C1149" s="916" t="s">
        <v>7210</v>
      </c>
      <c r="D1149" s="918"/>
      <c r="E1149" s="922"/>
      <c r="F1149" s="1703">
        <f>SUM(E1147:E1149)</f>
        <v>245.99</v>
      </c>
      <c r="G1149" s="1040"/>
    </row>
    <row r="1150" spans="1:7">
      <c r="A1150" s="884">
        <v>43146</v>
      </c>
      <c r="B1150" s="138" t="str">
        <f>TiposLancamentos!B71</f>
        <v>Itens Pessoais</v>
      </c>
      <c r="C1150" s="771" t="s">
        <v>7698</v>
      </c>
      <c r="D1150" s="197"/>
      <c r="E1150" s="857">
        <v>25</v>
      </c>
      <c r="F1150" s="135"/>
      <c r="G1150" s="1040"/>
    </row>
    <row r="1151" spans="1:7">
      <c r="A1151" s="884">
        <v>43148</v>
      </c>
      <c r="B1151" s="138" t="str">
        <f>TiposLancamentos!B19</f>
        <v>Restaurantes</v>
      </c>
      <c r="C1151" s="771" t="s">
        <v>17872</v>
      </c>
      <c r="D1151" s="197"/>
      <c r="E1151" s="857">
        <v>75.900000000000006</v>
      </c>
      <c r="F1151" s="135"/>
      <c r="G1151" s="1040"/>
    </row>
    <row r="1152" spans="1:7">
      <c r="A1152" s="884">
        <v>43148</v>
      </c>
      <c r="B1152" s="138" t="str">
        <f>TiposLancamentos!B19</f>
        <v>Restaurantes</v>
      </c>
      <c r="C1152" s="771" t="s">
        <v>17873</v>
      </c>
      <c r="D1152" s="197"/>
      <c r="E1152" s="857">
        <v>19</v>
      </c>
      <c r="F1152" s="135"/>
      <c r="G1152" s="1040"/>
    </row>
    <row r="1153" spans="1:7">
      <c r="A1153" s="884">
        <v>43149</v>
      </c>
      <c r="B1153" s="138" t="str">
        <f>TiposLancamentos!B71</f>
        <v>Itens Pessoais</v>
      </c>
      <c r="C1153" s="771" t="s">
        <v>17874</v>
      </c>
      <c r="D1153" s="197"/>
      <c r="E1153" s="857">
        <v>19.8</v>
      </c>
      <c r="F1153" s="135"/>
      <c r="G1153" s="1040"/>
    </row>
    <row r="1154" spans="1:7">
      <c r="A1154" s="884">
        <v>43149</v>
      </c>
      <c r="B1154" s="138" t="str">
        <f>TiposLancamentos!B71</f>
        <v>Itens Pessoais</v>
      </c>
      <c r="C1154" s="771" t="s">
        <v>17875</v>
      </c>
      <c r="D1154" s="197"/>
      <c r="E1154" s="857">
        <v>12</v>
      </c>
      <c r="F1154" s="135"/>
      <c r="G1154" s="1040"/>
    </row>
    <row r="1155" spans="1:7">
      <c r="A1155" s="1226">
        <v>43150</v>
      </c>
      <c r="B1155" s="1218" t="str">
        <f>TiposLancamentos!B48</f>
        <v>Baralhos e Oráculos</v>
      </c>
      <c r="C1155" s="1219" t="s">
        <v>17876</v>
      </c>
      <c r="D1155" s="1220"/>
      <c r="E1155" s="1269">
        <v>89</v>
      </c>
      <c r="F1155" s="1706"/>
      <c r="G1155" s="1040"/>
    </row>
    <row r="1156" spans="1:7">
      <c r="A1156" s="1226">
        <v>43150</v>
      </c>
      <c r="B1156" s="1218" t="str">
        <f>TiposLancamentos!B48</f>
        <v>Baralhos e Oráculos</v>
      </c>
      <c r="C1156" s="1219" t="s">
        <v>17877</v>
      </c>
      <c r="D1156" s="1220"/>
      <c r="E1156" s="1269">
        <v>99</v>
      </c>
      <c r="F1156" s="1706">
        <f>SUM(E1155:E1156)</f>
        <v>188</v>
      </c>
      <c r="G1156" s="1040"/>
    </row>
    <row r="1157" spans="1:7">
      <c r="A1157" s="1228">
        <v>43157</v>
      </c>
      <c r="B1157" s="1222" t="str">
        <f>TiposLancamentos!B6</f>
        <v>Energia Eletrica</v>
      </c>
      <c r="C1157" s="1223" t="s">
        <v>5191</v>
      </c>
      <c r="D1157" s="1224"/>
      <c r="E1157" s="1270">
        <v>193.43</v>
      </c>
      <c r="F1157" s="1707"/>
      <c r="G1157" s="1040"/>
    </row>
    <row r="1158" spans="1:7">
      <c r="A1158" s="884">
        <v>43157</v>
      </c>
      <c r="B1158" s="138" t="str">
        <f>TiposLancamentos!B48</f>
        <v>Baralhos e Oráculos</v>
      </c>
      <c r="C1158" s="771" t="s">
        <v>17878</v>
      </c>
      <c r="D1158" s="197"/>
      <c r="E1158" s="857">
        <v>250</v>
      </c>
      <c r="F1158" s="135"/>
      <c r="G1158" s="1040"/>
    </row>
    <row r="1159" spans="1:7">
      <c r="A1159" s="884">
        <v>43158</v>
      </c>
      <c r="B1159" s="138" t="str">
        <f>TiposLancamentos!B19</f>
        <v>Restaurantes</v>
      </c>
      <c r="C1159" s="771" t="s">
        <v>17879</v>
      </c>
      <c r="D1159" s="197"/>
      <c r="E1159" s="857">
        <v>11.99</v>
      </c>
      <c r="F1159" s="135"/>
      <c r="G1159" s="1040"/>
    </row>
    <row r="1160" spans="1:7" ht="14.25" thickBot="1">
      <c r="A1160" s="884">
        <v>43159</v>
      </c>
      <c r="B1160" s="138" t="str">
        <f>TiposLancamentos!B95</f>
        <v>Salarios</v>
      </c>
      <c r="C1160" s="771" t="s">
        <v>17362</v>
      </c>
      <c r="D1160" s="197">
        <v>6321.15</v>
      </c>
      <c r="E1160" s="857"/>
      <c r="F1160" s="135"/>
      <c r="G1160" s="1040"/>
    </row>
    <row r="1161" spans="1:7">
      <c r="A1161" s="967"/>
      <c r="B1161" s="968"/>
      <c r="C1161" s="1093" t="s">
        <v>11199</v>
      </c>
      <c r="D1161" s="970"/>
      <c r="E1161" s="971"/>
      <c r="F1161" s="1712"/>
      <c r="G1161" s="1039"/>
    </row>
    <row r="1162" spans="1:7">
      <c r="A1162" s="884">
        <v>43160</v>
      </c>
      <c r="B1162" s="138" t="str">
        <f>TiposLancamentos!B20</f>
        <v>Saques</v>
      </c>
      <c r="C1162" s="771" t="s">
        <v>3604</v>
      </c>
      <c r="D1162" s="197"/>
      <c r="E1162" s="857">
        <v>50</v>
      </c>
      <c r="F1162" s="135"/>
      <c r="G1162" s="1040"/>
    </row>
    <row r="1163" spans="1:7">
      <c r="A1163" s="884">
        <v>43160</v>
      </c>
      <c r="B1163" s="138" t="str">
        <f>TiposLancamentos!B5</f>
        <v>Supermercado</v>
      </c>
      <c r="C1163" s="771" t="s">
        <v>16747</v>
      </c>
      <c r="D1163" s="197"/>
      <c r="E1163" s="857">
        <v>28.07</v>
      </c>
      <c r="F1163" s="135"/>
      <c r="G1163" s="1040"/>
    </row>
    <row r="1164" spans="1:7">
      <c r="A1164" s="884">
        <v>43160</v>
      </c>
      <c r="B1164" s="138" t="str">
        <f>TiposLancamentos!B15</f>
        <v>Cartões de Crédito</v>
      </c>
      <c r="C1164" s="771" t="s">
        <v>17692</v>
      </c>
      <c r="D1164" s="197"/>
      <c r="E1164" s="857">
        <v>68.39</v>
      </c>
      <c r="F1164" s="135"/>
      <c r="G1164" s="1040"/>
    </row>
    <row r="1165" spans="1:7">
      <c r="A1165" s="884">
        <v>43160</v>
      </c>
      <c r="B1165" s="138" t="str">
        <f>TiposLancamentos!B15</f>
        <v>Cartões de Crédito</v>
      </c>
      <c r="C1165" s="771" t="s">
        <v>17693</v>
      </c>
      <c r="D1165" s="197"/>
      <c r="E1165" s="857">
        <v>7659.85</v>
      </c>
      <c r="F1165" s="135"/>
      <c r="G1165" s="1040"/>
    </row>
    <row r="1166" spans="1:7">
      <c r="A1166" s="884">
        <v>43160</v>
      </c>
      <c r="B1166" s="138" t="str">
        <f>TiposLancamentos!B15</f>
        <v>Cartões de Crédito</v>
      </c>
      <c r="C1166" s="771" t="s">
        <v>7332</v>
      </c>
      <c r="D1166" s="197"/>
      <c r="E1166" s="857">
        <v>0</v>
      </c>
      <c r="F1166" s="135"/>
      <c r="G1166" s="1040"/>
    </row>
    <row r="1167" spans="1:7">
      <c r="A1167" s="884">
        <v>43160</v>
      </c>
      <c r="B1167" s="138" t="str">
        <f>TiposLancamentos!B4</f>
        <v>Taxas Bancarias</v>
      </c>
      <c r="C1167" s="771" t="s">
        <v>17880</v>
      </c>
      <c r="D1167" s="197"/>
      <c r="E1167" s="857">
        <v>9.68</v>
      </c>
      <c r="F1167" s="135"/>
      <c r="G1167" s="1040"/>
    </row>
    <row r="1168" spans="1:7">
      <c r="A1168" s="884">
        <v>43160</v>
      </c>
      <c r="B1168" s="138" t="str">
        <f>TiposLancamentos!B4</f>
        <v>Taxas Bancarias</v>
      </c>
      <c r="C1168" s="771" t="s">
        <v>17881</v>
      </c>
      <c r="D1168" s="197"/>
      <c r="E1168" s="857">
        <v>30.43</v>
      </c>
      <c r="F1168" s="135"/>
      <c r="G1168" s="1040"/>
    </row>
    <row r="1169" spans="1:7">
      <c r="A1169" s="884">
        <v>43160</v>
      </c>
      <c r="B1169" s="138" t="str">
        <f>TiposLancamentos!B4</f>
        <v>Taxas Bancarias</v>
      </c>
      <c r="C1169" s="771" t="s">
        <v>17882</v>
      </c>
      <c r="D1169" s="197"/>
      <c r="E1169" s="857">
        <v>581.86</v>
      </c>
      <c r="F1169" s="135"/>
      <c r="G1169" s="1040"/>
    </row>
    <row r="1170" spans="1:7">
      <c r="A1170" s="884">
        <v>43160</v>
      </c>
      <c r="B1170" s="138" t="str">
        <f>TiposLancamentos!B103</f>
        <v>Juros_Corr. Poupança</v>
      </c>
      <c r="C1170" s="771" t="s">
        <v>17642</v>
      </c>
      <c r="D1170" s="197">
        <v>0.01</v>
      </c>
      <c r="E1170" s="857"/>
      <c r="F1170" s="135"/>
      <c r="G1170" s="1040"/>
    </row>
    <row r="1171" spans="1:7">
      <c r="A1171" s="884">
        <v>43165</v>
      </c>
      <c r="B1171" s="138" t="str">
        <f>TiposLancamentos!B9</f>
        <v>Condominio</v>
      </c>
      <c r="C1171" s="771" t="s">
        <v>17883</v>
      </c>
      <c r="D1171" s="197"/>
      <c r="E1171" s="857">
        <v>1234.4000000000001</v>
      </c>
      <c r="F1171" s="135"/>
      <c r="G1171" s="1040"/>
    </row>
    <row r="1172" spans="1:7">
      <c r="A1172" s="884">
        <v>43167</v>
      </c>
      <c r="B1172" s="138" t="str">
        <f>TiposLancamentos!B2</f>
        <v>Telefonia</v>
      </c>
      <c r="C1172" s="771" t="s">
        <v>7192</v>
      </c>
      <c r="D1172" s="197"/>
      <c r="E1172" s="857">
        <v>200.79</v>
      </c>
      <c r="F1172" s="135"/>
      <c r="G1172" s="1040"/>
    </row>
    <row r="1173" spans="1:7">
      <c r="A1173" s="884">
        <v>43169</v>
      </c>
      <c r="B1173" s="138" t="str">
        <f>TiposLancamentos!B24</f>
        <v>Estacionamentos</v>
      </c>
      <c r="C1173" s="771" t="s">
        <v>17884</v>
      </c>
      <c r="D1173" s="197"/>
      <c r="E1173" s="857">
        <v>15</v>
      </c>
      <c r="F1173" s="135"/>
      <c r="G1173" s="1040"/>
    </row>
    <row r="1174" spans="1:7">
      <c r="A1174" s="884">
        <v>43169</v>
      </c>
      <c r="B1174" s="138" t="str">
        <f>TiposLancamentos!B16</f>
        <v>Cristiane</v>
      </c>
      <c r="C1174" s="771" t="s">
        <v>17885</v>
      </c>
      <c r="D1174" s="197"/>
      <c r="E1174" s="857">
        <v>113</v>
      </c>
      <c r="F1174" s="135"/>
      <c r="G1174" s="1040"/>
    </row>
    <row r="1175" spans="1:7">
      <c r="A1175" s="884">
        <v>43169</v>
      </c>
      <c r="B1175" s="138" t="str">
        <f>TiposLancamentos!B16</f>
        <v>Cristiane</v>
      </c>
      <c r="C1175" s="771" t="s">
        <v>17886</v>
      </c>
      <c r="D1175" s="197"/>
      <c r="E1175" s="857">
        <v>130</v>
      </c>
      <c r="F1175" s="135"/>
      <c r="G1175" s="1040"/>
    </row>
    <row r="1176" spans="1:7">
      <c r="A1176" s="884">
        <v>43171</v>
      </c>
      <c r="B1176" s="138" t="str">
        <f>TiposLancamentos!B24</f>
        <v>Estacionamentos</v>
      </c>
      <c r="C1176" s="771" t="s">
        <v>4589</v>
      </c>
      <c r="D1176" s="197"/>
      <c r="E1176" s="857">
        <v>200</v>
      </c>
      <c r="F1176" s="135"/>
      <c r="G1176" s="1040"/>
    </row>
    <row r="1177" spans="1:7">
      <c r="A1177" s="919">
        <v>43171</v>
      </c>
      <c r="B1177" s="830" t="str">
        <f>TiposLancamentos!B8</f>
        <v>Aluguel</v>
      </c>
      <c r="C1177" s="915" t="s">
        <v>6163</v>
      </c>
      <c r="D1177" s="917"/>
      <c r="E1177" s="920">
        <f>(F1179)-(E1178+E1179)</f>
        <v>1763.2999999999997</v>
      </c>
      <c r="F1177" s="1701"/>
      <c r="G1177" s="1040"/>
    </row>
    <row r="1178" spans="1:7">
      <c r="A1178" s="930">
        <v>43171</v>
      </c>
      <c r="B1178" s="825" t="str">
        <f>TiposLancamentos!B12</f>
        <v>IPTU</v>
      </c>
      <c r="C1178" s="88" t="s">
        <v>6485</v>
      </c>
      <c r="D1178" s="828"/>
      <c r="E1178" s="931">
        <v>217.79</v>
      </c>
      <c r="F1178" s="1702"/>
      <c r="G1178" s="1040"/>
    </row>
    <row r="1179" spans="1:7">
      <c r="A1179" s="921">
        <v>43171</v>
      </c>
      <c r="B1179" s="833" t="str">
        <f>TiposLancamentos!B34</f>
        <v>Seguros</v>
      </c>
      <c r="C1179" s="916" t="s">
        <v>17887</v>
      </c>
      <c r="D1179" s="918"/>
      <c r="E1179" s="922">
        <v>259.11</v>
      </c>
      <c r="F1179" s="1703">
        <v>2240.1999999999998</v>
      </c>
      <c r="G1179" s="1040"/>
    </row>
    <row r="1180" spans="1:7">
      <c r="A1180" s="884">
        <v>43172</v>
      </c>
      <c r="B1180" s="138" t="str">
        <f>TiposLancamentos!B29</f>
        <v>Mangá</v>
      </c>
      <c r="C1180" s="771" t="s">
        <v>17888</v>
      </c>
      <c r="D1180" s="197"/>
      <c r="E1180" s="857">
        <v>14.9</v>
      </c>
      <c r="F1180" s="135"/>
      <c r="G1180" s="1040"/>
    </row>
    <row r="1181" spans="1:7">
      <c r="A1181" s="884">
        <v>43174</v>
      </c>
      <c r="B1181" s="138" t="str">
        <f>TiposLancamentos!B95</f>
        <v>Salarios</v>
      </c>
      <c r="C1181" s="771" t="s">
        <v>17557</v>
      </c>
      <c r="D1181" s="197">
        <v>3792.64</v>
      </c>
      <c r="E1181" s="857"/>
      <c r="F1181" s="135"/>
      <c r="G1181" s="1040"/>
    </row>
    <row r="1182" spans="1:7">
      <c r="A1182" s="919">
        <v>43174</v>
      </c>
      <c r="B1182" s="830" t="str">
        <f>TiposLancamentos!B33</f>
        <v>Pedágios</v>
      </c>
      <c r="C1182" s="915" t="s">
        <v>5392</v>
      </c>
      <c r="D1182" s="917"/>
      <c r="E1182" s="920">
        <f>F1184-(E1183+E1184)</f>
        <v>140.75</v>
      </c>
      <c r="F1182" s="1701"/>
      <c r="G1182" s="1040"/>
    </row>
    <row r="1183" spans="1:7">
      <c r="A1183" s="930">
        <v>43174</v>
      </c>
      <c r="B1183" s="825" t="str">
        <f>TiposLancamentos!B24</f>
        <v>Estacionamentos</v>
      </c>
      <c r="C1183" s="88" t="s">
        <v>5863</v>
      </c>
      <c r="D1183" s="828"/>
      <c r="E1183" s="931">
        <v>8</v>
      </c>
      <c r="F1183" s="1702"/>
      <c r="G1183" s="1040"/>
    </row>
    <row r="1184" spans="1:7">
      <c r="A1184" s="921">
        <v>43174</v>
      </c>
      <c r="B1184" s="833" t="str">
        <f>TiposLancamentos!B24</f>
        <v>Estacionamentos</v>
      </c>
      <c r="C1184" s="916" t="s">
        <v>6297</v>
      </c>
      <c r="D1184" s="918"/>
      <c r="E1184" s="922">
        <v>26</v>
      </c>
      <c r="F1184" s="1703">
        <v>174.75</v>
      </c>
      <c r="G1184" s="1040"/>
    </row>
    <row r="1185" spans="1:7">
      <c r="A1185" s="884">
        <v>43174</v>
      </c>
      <c r="B1185" s="138"/>
      <c r="C1185" s="771" t="s">
        <v>1868</v>
      </c>
      <c r="D1185" s="197"/>
      <c r="E1185" s="857"/>
      <c r="F1185" s="135"/>
      <c r="G1185" s="1040"/>
    </row>
    <row r="1186" spans="1:7">
      <c r="A1186" s="919">
        <v>43174</v>
      </c>
      <c r="B1186" s="830" t="str">
        <f>TiposLancamentos!B35</f>
        <v>Tv à Cabo</v>
      </c>
      <c r="C1186" s="915" t="s">
        <v>5834</v>
      </c>
      <c r="D1186" s="917"/>
      <c r="E1186" s="920">
        <f>154.68+14.9</f>
        <v>169.58</v>
      </c>
      <c r="F1186" s="1701"/>
      <c r="G1186" s="1040"/>
    </row>
    <row r="1187" spans="1:7">
      <c r="A1187" s="930">
        <v>43174</v>
      </c>
      <c r="B1187" s="825" t="str">
        <f>TiposLancamentos!B3</f>
        <v>Internet</v>
      </c>
      <c r="C1187" s="88" t="s">
        <v>5835</v>
      </c>
      <c r="D1187" s="828"/>
      <c r="E1187" s="931">
        <v>91.31</v>
      </c>
      <c r="F1187" s="1702"/>
      <c r="G1187" s="1040"/>
    </row>
    <row r="1188" spans="1:7">
      <c r="A1188" s="921">
        <v>43174</v>
      </c>
      <c r="B1188" s="833" t="str">
        <f>TiposLancamentos!B2</f>
        <v>Telefonia</v>
      </c>
      <c r="C1188" s="916" t="s">
        <v>7210</v>
      </c>
      <c r="D1188" s="918"/>
      <c r="E1188" s="922"/>
      <c r="F1188" s="1703">
        <f>SUM(E1186:E1188)</f>
        <v>260.89</v>
      </c>
      <c r="G1188" s="1040"/>
    </row>
    <row r="1189" spans="1:7">
      <c r="A1189" s="884">
        <v>43175</v>
      </c>
      <c r="B1189" s="138" t="str">
        <f>TiposLancamentos!B81</f>
        <v>Ferramentas gerais</v>
      </c>
      <c r="C1189" s="771" t="s">
        <v>17889</v>
      </c>
      <c r="D1189" s="197"/>
      <c r="E1189" s="857">
        <v>10</v>
      </c>
      <c r="F1189" s="135"/>
      <c r="G1189" s="1040"/>
    </row>
    <row r="1190" spans="1:7">
      <c r="A1190" s="884">
        <v>43176</v>
      </c>
      <c r="B1190" s="138" t="str">
        <f>TiposLancamentos!B24</f>
        <v>Estacionamentos</v>
      </c>
      <c r="C1190" s="771" t="s">
        <v>3398</v>
      </c>
      <c r="D1190" s="197"/>
      <c r="E1190" s="857">
        <v>11</v>
      </c>
      <c r="F1190" s="135"/>
      <c r="G1190" s="1040"/>
    </row>
    <row r="1191" spans="1:7">
      <c r="A1191" s="884">
        <v>43178</v>
      </c>
      <c r="B1191" s="138" t="str">
        <f>TiposLancamentos!B71</f>
        <v>Itens Pessoais</v>
      </c>
      <c r="C1191" s="771" t="s">
        <v>17890</v>
      </c>
      <c r="D1191" s="197"/>
      <c r="E1191" s="857">
        <v>25</v>
      </c>
      <c r="F1191" s="135"/>
      <c r="G1191" s="1040"/>
    </row>
    <row r="1192" spans="1:7">
      <c r="A1192" s="884">
        <v>43180</v>
      </c>
      <c r="B1192" s="138" t="str">
        <f>TiposLancamentos!B19</f>
        <v>Restaurantes</v>
      </c>
      <c r="C1192" s="771" t="s">
        <v>17891</v>
      </c>
      <c r="D1192" s="197"/>
      <c r="E1192" s="857">
        <v>12.4</v>
      </c>
      <c r="F1192" s="135"/>
      <c r="G1192" s="1040"/>
    </row>
    <row r="1193" spans="1:7">
      <c r="A1193" s="884">
        <v>43181</v>
      </c>
      <c r="B1193" s="138" t="str">
        <f>TiposLancamentos!B19</f>
        <v>Restaurantes</v>
      </c>
      <c r="C1193" s="771" t="s">
        <v>17892</v>
      </c>
      <c r="D1193" s="197"/>
      <c r="E1193" s="857">
        <v>8.5</v>
      </c>
      <c r="F1193" s="135"/>
      <c r="G1193" s="1040"/>
    </row>
    <row r="1194" spans="1:7">
      <c r="A1194" s="884">
        <v>43182</v>
      </c>
      <c r="B1194" s="138" t="str">
        <f>TiposLancamentos!B71</f>
        <v>Itens Pessoais</v>
      </c>
      <c r="C1194" s="771" t="s">
        <v>17893</v>
      </c>
      <c r="D1194" s="197"/>
      <c r="E1194" s="857">
        <v>30</v>
      </c>
      <c r="F1194" s="135"/>
      <c r="G1194" s="1040"/>
    </row>
    <row r="1195" spans="1:7">
      <c r="A1195" s="884">
        <v>43182</v>
      </c>
      <c r="B1195" s="138" t="str">
        <f>TiposLancamentos!B24</f>
        <v>Estacionamentos</v>
      </c>
      <c r="C1195" s="771" t="s">
        <v>17894</v>
      </c>
      <c r="D1195" s="197"/>
      <c r="E1195" s="857">
        <v>11</v>
      </c>
      <c r="F1195" s="135"/>
      <c r="G1195" s="1040"/>
    </row>
    <row r="1196" spans="1:7">
      <c r="A1196" s="884">
        <v>43182</v>
      </c>
      <c r="B1196" s="138" t="str">
        <f>TiposLancamentos!B16</f>
        <v>Cristiane</v>
      </c>
      <c r="C1196" s="771" t="s">
        <v>17895</v>
      </c>
      <c r="D1196" s="197"/>
      <c r="E1196" s="857">
        <v>296</v>
      </c>
      <c r="F1196" s="135"/>
      <c r="G1196" s="1040"/>
    </row>
    <row r="1197" spans="1:7">
      <c r="A1197" s="884">
        <v>43182</v>
      </c>
      <c r="B1197" s="138" t="str">
        <f>TiposLancamentos!B20</f>
        <v>Saques</v>
      </c>
      <c r="C1197" s="771" t="s">
        <v>17896</v>
      </c>
      <c r="D1197" s="197"/>
      <c r="E1197" s="857">
        <v>150</v>
      </c>
      <c r="F1197" s="135"/>
      <c r="G1197" s="1040"/>
    </row>
    <row r="1198" spans="1:7">
      <c r="A1198" s="884">
        <v>43186</v>
      </c>
      <c r="B1198" s="138" t="str">
        <f>TiposLancamentos!B6</f>
        <v>Energia Eletrica</v>
      </c>
      <c r="C1198" s="771" t="s">
        <v>5191</v>
      </c>
      <c r="D1198" s="197"/>
      <c r="E1198" s="857">
        <v>183.22</v>
      </c>
      <c r="F1198" s="135"/>
      <c r="G1198" s="1040"/>
    </row>
    <row r="1199" spans="1:7">
      <c r="A1199" s="884">
        <v>43186</v>
      </c>
      <c r="B1199" s="138" t="str">
        <f>TiposLancamentos!B59</f>
        <v>Documentos</v>
      </c>
      <c r="C1199" s="771" t="s">
        <v>17897</v>
      </c>
      <c r="D1199" s="197"/>
      <c r="E1199" s="857">
        <v>300</v>
      </c>
      <c r="F1199" s="135"/>
      <c r="G1199" s="1040"/>
    </row>
    <row r="1200" spans="1:7" ht="14.25" thickBot="1">
      <c r="A1200" s="884">
        <v>43188</v>
      </c>
      <c r="B1200" s="138" t="str">
        <f>TiposLancamentos!B95</f>
        <v>Salarios</v>
      </c>
      <c r="C1200" s="771" t="s">
        <v>17362</v>
      </c>
      <c r="D1200" s="197">
        <v>2917.56</v>
      </c>
      <c r="E1200" s="857"/>
      <c r="F1200" s="135"/>
      <c r="G1200" s="1040"/>
    </row>
    <row r="1201" spans="1:7">
      <c r="A1201" s="967"/>
      <c r="B1201" s="968"/>
      <c r="C1201" s="1093" t="s">
        <v>13807</v>
      </c>
      <c r="D1201" s="970"/>
      <c r="E1201" s="971"/>
      <c r="F1201" s="1712"/>
      <c r="G1201" s="1039"/>
    </row>
    <row r="1202" spans="1:7">
      <c r="A1202" s="884">
        <v>43192</v>
      </c>
      <c r="B1202" s="138" t="str">
        <f>TiposLancamentos!B15</f>
        <v>Cartões de Crédito</v>
      </c>
      <c r="C1202" s="771" t="s">
        <v>17692</v>
      </c>
      <c r="D1202" s="197"/>
      <c r="E1202" s="857">
        <v>69.48</v>
      </c>
      <c r="F1202" s="135"/>
      <c r="G1202" s="1040"/>
    </row>
    <row r="1203" spans="1:7">
      <c r="A1203" s="884">
        <v>43192</v>
      </c>
      <c r="B1203" s="138" t="str">
        <f>TiposLancamentos!B15</f>
        <v>Cartões de Crédito</v>
      </c>
      <c r="C1203" s="771" t="s">
        <v>17693</v>
      </c>
      <c r="D1203" s="197"/>
      <c r="E1203" s="857">
        <v>8822.67</v>
      </c>
      <c r="F1203" s="135"/>
      <c r="G1203" s="1040"/>
    </row>
    <row r="1204" spans="1:7">
      <c r="A1204" s="884">
        <v>43192</v>
      </c>
      <c r="B1204" s="138" t="str">
        <f>TiposLancamentos!B15</f>
        <v>Cartões de Crédito</v>
      </c>
      <c r="C1204" s="771" t="s">
        <v>7332</v>
      </c>
      <c r="D1204" s="197"/>
      <c r="E1204" s="857">
        <v>127.83</v>
      </c>
      <c r="F1204" s="135"/>
      <c r="G1204" s="1040"/>
    </row>
    <row r="1205" spans="1:7">
      <c r="A1205" s="884">
        <v>43192</v>
      </c>
      <c r="B1205" s="138" t="str">
        <f>TiposLancamentos!B4</f>
        <v>Taxas Bancarias</v>
      </c>
      <c r="C1205" s="771" t="s">
        <v>17880</v>
      </c>
      <c r="D1205" s="197"/>
      <c r="E1205" s="857">
        <v>20.04</v>
      </c>
      <c r="F1205" s="135"/>
      <c r="G1205" s="1040"/>
    </row>
    <row r="1206" spans="1:7">
      <c r="A1206" s="884">
        <v>43192</v>
      </c>
      <c r="B1206" s="138" t="str">
        <f>TiposLancamentos!B4</f>
        <v>Taxas Bancarias</v>
      </c>
      <c r="C1206" s="771" t="s">
        <v>17881</v>
      </c>
      <c r="D1206" s="197"/>
      <c r="E1206" s="857">
        <v>45.56</v>
      </c>
      <c r="F1206" s="135"/>
      <c r="G1206" s="1040"/>
    </row>
    <row r="1207" spans="1:7">
      <c r="A1207" s="884">
        <v>43192</v>
      </c>
      <c r="B1207" s="138" t="str">
        <f>TiposLancamentos!B4</f>
        <v>Taxas Bancarias</v>
      </c>
      <c r="C1207" s="771" t="s">
        <v>17898</v>
      </c>
      <c r="D1207" s="197"/>
      <c r="E1207" s="857">
        <v>1258.77</v>
      </c>
      <c r="F1207" s="135"/>
      <c r="G1207" s="1040"/>
    </row>
    <row r="1208" spans="1:7">
      <c r="A1208" s="884">
        <v>43194</v>
      </c>
      <c r="B1208" s="138" t="str">
        <f>TiposLancamentos!B56</f>
        <v>Farmácia</v>
      </c>
      <c r="C1208" s="771" t="s">
        <v>17899</v>
      </c>
      <c r="D1208" s="197"/>
      <c r="E1208" s="857">
        <v>81.010000000000005</v>
      </c>
      <c r="F1208" s="135"/>
      <c r="G1208" s="1040"/>
    </row>
    <row r="1209" spans="1:7">
      <c r="A1209" s="884">
        <v>43196</v>
      </c>
      <c r="B1209" s="138" t="str">
        <f>TiposLancamentos!B9</f>
        <v>Condominio</v>
      </c>
      <c r="C1209" s="771" t="s">
        <v>17900</v>
      </c>
      <c r="D1209" s="197"/>
      <c r="E1209" s="857">
        <v>1234.1500000000001</v>
      </c>
      <c r="F1209" s="135"/>
      <c r="G1209" s="1040"/>
    </row>
    <row r="1210" spans="1:7">
      <c r="A1210" s="884">
        <v>43199</v>
      </c>
      <c r="B1210" s="138" t="str">
        <f>TiposLancamentos!B2</f>
        <v>Telefonia</v>
      </c>
      <c r="C1210" s="771" t="s">
        <v>17901</v>
      </c>
      <c r="D1210" s="197"/>
      <c r="E1210" s="857">
        <v>5.15</v>
      </c>
      <c r="F1210" s="135"/>
      <c r="G1210" s="1040"/>
    </row>
    <row r="1211" spans="1:7">
      <c r="A1211" s="884">
        <v>43199</v>
      </c>
      <c r="B1211" s="138" t="str">
        <f>TiposLancamentos!B2</f>
        <v>Telefonia</v>
      </c>
      <c r="C1211" s="771" t="s">
        <v>17902</v>
      </c>
      <c r="D1211" s="197"/>
      <c r="E1211" s="857">
        <v>139.80000000000001</v>
      </c>
      <c r="F1211" s="135"/>
      <c r="G1211" s="1040"/>
    </row>
    <row r="1212" spans="1:7">
      <c r="A1212" s="884">
        <v>43200</v>
      </c>
      <c r="B1212" s="138" t="str">
        <f>TiposLancamentos!B24</f>
        <v>Estacionamentos</v>
      </c>
      <c r="C1212" s="771" t="s">
        <v>4589</v>
      </c>
      <c r="D1212" s="197"/>
      <c r="E1212" s="857">
        <v>200</v>
      </c>
      <c r="F1212" s="135"/>
      <c r="G1212" s="1040"/>
    </row>
    <row r="1213" spans="1:7">
      <c r="A1213" s="919">
        <v>43200</v>
      </c>
      <c r="B1213" s="830" t="str">
        <f>TiposLancamentos!B8</f>
        <v>Aluguel</v>
      </c>
      <c r="C1213" s="915" t="s">
        <v>6163</v>
      </c>
      <c r="D1213" s="917"/>
      <c r="E1213" s="920">
        <f>F1215-(E1214+E1215)</f>
        <v>1614.2800000000002</v>
      </c>
      <c r="F1213" s="1701"/>
      <c r="G1213" s="1040"/>
    </row>
    <row r="1214" spans="1:7">
      <c r="A1214" s="930">
        <v>43200</v>
      </c>
      <c r="B1214" s="825" t="str">
        <f>TiposLancamentos!B12</f>
        <v>IPTU</v>
      </c>
      <c r="C1214" s="88" t="s">
        <v>6537</v>
      </c>
      <c r="D1214" s="828"/>
      <c r="E1214" s="931">
        <v>143.28</v>
      </c>
      <c r="F1214" s="1702"/>
      <c r="G1214" s="1040"/>
    </row>
    <row r="1215" spans="1:7">
      <c r="A1215" s="921">
        <v>43200</v>
      </c>
      <c r="B1215" s="833" t="str">
        <f>TiposLancamentos!B34</f>
        <v>Seguros</v>
      </c>
      <c r="C1215" s="916" t="s">
        <v>17903</v>
      </c>
      <c r="D1215" s="918"/>
      <c r="E1215" s="922">
        <v>259.11</v>
      </c>
      <c r="F1215" s="1703">
        <v>2016.67</v>
      </c>
      <c r="G1215" s="1040"/>
    </row>
    <row r="1216" spans="1:7">
      <c r="A1216" s="884">
        <v>43201</v>
      </c>
      <c r="B1216" s="138" t="str">
        <f>TiposLancamentos!B20</f>
        <v>Saques</v>
      </c>
      <c r="C1216" s="771" t="s">
        <v>3604</v>
      </c>
      <c r="D1216" s="197"/>
      <c r="E1216" s="857">
        <v>80</v>
      </c>
      <c r="F1216" s="135"/>
      <c r="G1216" s="1040"/>
    </row>
    <row r="1217" spans="1:7">
      <c r="A1217" s="884">
        <v>43202</v>
      </c>
      <c r="B1217" s="138" t="str">
        <f>TiposLancamentos!B26</f>
        <v>LIVROS</v>
      </c>
      <c r="C1217" s="771" t="s">
        <v>17904</v>
      </c>
      <c r="D1217" s="197"/>
      <c r="E1217" s="857">
        <v>25</v>
      </c>
      <c r="F1217" s="135"/>
      <c r="G1217" s="1040"/>
    </row>
    <row r="1218" spans="1:7">
      <c r="A1218" s="884">
        <v>43203</v>
      </c>
      <c r="B1218" s="138" t="str">
        <f>TiposLancamentos!B95</f>
        <v>Salarios</v>
      </c>
      <c r="C1218" s="771" t="s">
        <v>17557</v>
      </c>
      <c r="D1218" s="197">
        <v>3792.64</v>
      </c>
      <c r="E1218" s="857"/>
      <c r="F1218" s="135"/>
      <c r="G1218" s="1040"/>
    </row>
    <row r="1219" spans="1:7">
      <c r="A1219" s="884">
        <v>43204</v>
      </c>
      <c r="B1219" s="138" t="str">
        <f>TiposLancamentos!B19</f>
        <v>Restaurantes</v>
      </c>
      <c r="C1219" s="771" t="s">
        <v>6413</v>
      </c>
      <c r="D1219" s="197"/>
      <c r="E1219" s="857">
        <v>66</v>
      </c>
      <c r="F1219" s="135"/>
      <c r="G1219" s="1040"/>
    </row>
    <row r="1220" spans="1:7">
      <c r="A1220" s="884">
        <v>43204</v>
      </c>
      <c r="B1220" s="138" t="str">
        <f>TiposLancamentos!B19</f>
        <v>Restaurantes</v>
      </c>
      <c r="C1220" s="771" t="s">
        <v>17905</v>
      </c>
      <c r="D1220" s="197"/>
      <c r="E1220" s="857">
        <v>29.23</v>
      </c>
      <c r="F1220" s="135"/>
      <c r="G1220" s="1040"/>
    </row>
    <row r="1221" spans="1:7">
      <c r="A1221" s="919">
        <v>43206</v>
      </c>
      <c r="B1221" s="830" t="str">
        <f>TiposLancamentos!B33</f>
        <v>Pedágios</v>
      </c>
      <c r="C1221" s="915" t="s">
        <v>5392</v>
      </c>
      <c r="D1221" s="917"/>
      <c r="E1221" s="920">
        <f>F1223-(E1222+E1223)</f>
        <v>38.150000000000006</v>
      </c>
      <c r="F1221" s="1701"/>
      <c r="G1221" s="1040"/>
    </row>
    <row r="1222" spans="1:7">
      <c r="A1222" s="930">
        <v>43206</v>
      </c>
      <c r="B1222" s="825" t="str">
        <f>TiposLancamentos!B24</f>
        <v>Estacionamentos</v>
      </c>
      <c r="C1222" s="88" t="s">
        <v>5863</v>
      </c>
      <c r="D1222" s="828"/>
      <c r="E1222" s="931">
        <v>18</v>
      </c>
      <c r="F1222" s="1702"/>
      <c r="G1222" s="1040"/>
    </row>
    <row r="1223" spans="1:7">
      <c r="A1223" s="921">
        <v>43206</v>
      </c>
      <c r="B1223" s="833" t="str">
        <f>TiposLancamentos!B24</f>
        <v>Estacionamentos</v>
      </c>
      <c r="C1223" s="916" t="s">
        <v>6297</v>
      </c>
      <c r="D1223" s="918"/>
      <c r="E1223" s="922">
        <v>38</v>
      </c>
      <c r="F1223" s="1703">
        <v>94.15</v>
      </c>
      <c r="G1223" s="1040"/>
    </row>
    <row r="1224" spans="1:7">
      <c r="A1224" s="884">
        <v>43206</v>
      </c>
      <c r="B1224" s="138"/>
      <c r="C1224" s="771" t="s">
        <v>1868</v>
      </c>
      <c r="D1224" s="197"/>
      <c r="E1224" s="857"/>
      <c r="F1224" s="135"/>
      <c r="G1224" s="1040"/>
    </row>
    <row r="1225" spans="1:7">
      <c r="A1225" s="919">
        <v>43206</v>
      </c>
      <c r="B1225" s="830" t="str">
        <f>TiposLancamentos!B35</f>
        <v>Tv à Cabo</v>
      </c>
      <c r="C1225" s="915" t="s">
        <v>5834</v>
      </c>
      <c r="D1225" s="917"/>
      <c r="E1225" s="920">
        <v>154.68</v>
      </c>
      <c r="F1225" s="1701"/>
      <c r="G1225" s="1040"/>
    </row>
    <row r="1226" spans="1:7">
      <c r="A1226" s="930">
        <v>43206</v>
      </c>
      <c r="B1226" s="825" t="str">
        <f>TiposLancamentos!B3</f>
        <v>Internet</v>
      </c>
      <c r="C1226" s="88" t="s">
        <v>5835</v>
      </c>
      <c r="D1226" s="828"/>
      <c r="E1226" s="931">
        <v>91.31</v>
      </c>
      <c r="F1226" s="1702"/>
      <c r="G1226" s="1040"/>
    </row>
    <row r="1227" spans="1:7">
      <c r="A1227" s="921">
        <v>43206</v>
      </c>
      <c r="B1227" s="833" t="str">
        <f>TiposLancamentos!B2</f>
        <v>Telefonia</v>
      </c>
      <c r="C1227" s="916" t="s">
        <v>7210</v>
      </c>
      <c r="D1227" s="918"/>
      <c r="E1227" s="922">
        <v>0</v>
      </c>
      <c r="F1227" s="1703">
        <f>SUM(E1225:E1227)</f>
        <v>245.99</v>
      </c>
      <c r="G1227" s="1040"/>
    </row>
    <row r="1228" spans="1:7">
      <c r="A1228" s="884">
        <v>43206</v>
      </c>
      <c r="B1228" s="138" t="str">
        <f>TiposLancamentos!B20</f>
        <v>Saques</v>
      </c>
      <c r="C1228" s="771" t="s">
        <v>4368</v>
      </c>
      <c r="D1228" s="197"/>
      <c r="E1228" s="857">
        <v>20</v>
      </c>
      <c r="F1228" s="135"/>
      <c r="G1228" s="1040"/>
    </row>
    <row r="1229" spans="1:7">
      <c r="A1229" s="884">
        <v>43207</v>
      </c>
      <c r="B1229" s="138" t="str">
        <f>TiposLancamentos!B98</f>
        <v>Restituições</v>
      </c>
      <c r="C1229" s="771" t="s">
        <v>17906</v>
      </c>
      <c r="D1229" s="197">
        <v>60</v>
      </c>
      <c r="E1229" s="857"/>
      <c r="F1229" s="135"/>
      <c r="G1229" s="1040"/>
    </row>
    <row r="1230" spans="1:7">
      <c r="A1230" s="884">
        <v>43215</v>
      </c>
      <c r="B1230" s="138" t="str">
        <f>TiposLancamentos!B69</f>
        <v>Consertos</v>
      </c>
      <c r="C1230" s="771" t="s">
        <v>17907</v>
      </c>
      <c r="D1230" s="197"/>
      <c r="E1230" s="857">
        <v>758.1</v>
      </c>
      <c r="F1230" s="135"/>
      <c r="G1230" s="1040"/>
    </row>
    <row r="1231" spans="1:7">
      <c r="A1231" s="884">
        <v>43216</v>
      </c>
      <c r="B1231" s="138" t="str">
        <f>TiposLancamentos!B6</f>
        <v>Energia Eletrica</v>
      </c>
      <c r="C1231" s="771" t="s">
        <v>5191</v>
      </c>
      <c r="D1231" s="197"/>
      <c r="E1231" s="857">
        <v>168.95</v>
      </c>
      <c r="F1231" s="135"/>
      <c r="G1231" s="1040"/>
    </row>
    <row r="1232" spans="1:7">
      <c r="A1232" s="884">
        <v>43216</v>
      </c>
      <c r="B1232" s="138" t="str">
        <f>TiposLancamentos!B20</f>
        <v>Saques</v>
      </c>
      <c r="C1232" s="771" t="s">
        <v>4147</v>
      </c>
      <c r="D1232" s="197"/>
      <c r="E1232" s="857">
        <v>140</v>
      </c>
      <c r="F1232" s="135"/>
      <c r="G1232" s="1040"/>
    </row>
    <row r="1233" spans="1:7">
      <c r="A1233" s="884">
        <v>43217</v>
      </c>
      <c r="B1233" s="138" t="str">
        <f>TiposLancamentos!B20</f>
        <v>Saques</v>
      </c>
      <c r="C1233" s="771" t="s">
        <v>4368</v>
      </c>
      <c r="D1233" s="197"/>
      <c r="E1233" s="857">
        <v>100</v>
      </c>
      <c r="F1233" s="135"/>
      <c r="G1233" s="1040"/>
    </row>
    <row r="1234" spans="1:7" ht="14.25" thickBot="1">
      <c r="A1234" s="884">
        <v>43220</v>
      </c>
      <c r="B1234" s="138" t="str">
        <f>TiposLancamentos!B95</f>
        <v>Salarios</v>
      </c>
      <c r="C1234" s="771" t="s">
        <v>17362</v>
      </c>
      <c r="D1234" s="197">
        <v>11569.9</v>
      </c>
      <c r="E1234" s="857"/>
      <c r="F1234" s="135"/>
      <c r="G1234" s="1040"/>
    </row>
    <row r="1235" spans="1:7">
      <c r="A1235" s="967"/>
      <c r="B1235" s="968"/>
      <c r="C1235" s="1093" t="s">
        <v>13812</v>
      </c>
      <c r="D1235" s="970"/>
      <c r="E1235" s="971"/>
      <c r="F1235" s="1712"/>
      <c r="G1235" s="1039"/>
    </row>
    <row r="1236" spans="1:7">
      <c r="A1236" s="884">
        <v>43221</v>
      </c>
      <c r="B1236" s="138" t="str">
        <f>TiposLancamentos!B19</f>
        <v>Restaurantes</v>
      </c>
      <c r="C1236" s="771" t="s">
        <v>17908</v>
      </c>
      <c r="D1236" s="197"/>
      <c r="E1236" s="857">
        <v>121</v>
      </c>
      <c r="F1236" s="135"/>
      <c r="G1236" s="1040"/>
    </row>
    <row r="1237" spans="1:7">
      <c r="A1237" s="884">
        <v>43221</v>
      </c>
      <c r="B1237" s="138" t="str">
        <f>TiposLancamentos!B24</f>
        <v>Estacionamentos</v>
      </c>
      <c r="C1237" s="771" t="s">
        <v>3617</v>
      </c>
      <c r="D1237" s="197"/>
      <c r="E1237" s="857">
        <v>20</v>
      </c>
      <c r="F1237" s="135"/>
      <c r="G1237" s="1040"/>
    </row>
    <row r="1238" spans="1:7">
      <c r="A1238" s="884">
        <v>43222</v>
      </c>
      <c r="B1238" s="138" t="str">
        <f>TiposLancamentos!B15</f>
        <v>Cartões de Crédito</v>
      </c>
      <c r="C1238" s="771" t="s">
        <v>17692</v>
      </c>
      <c r="D1238" s="197"/>
      <c r="E1238" s="857">
        <v>69.48</v>
      </c>
      <c r="F1238" s="135"/>
      <c r="G1238" s="1040"/>
    </row>
    <row r="1239" spans="1:7">
      <c r="A1239" s="884">
        <v>43222</v>
      </c>
      <c r="B1239" s="138" t="str">
        <f>TiposLancamentos!B15</f>
        <v>Cartões de Crédito</v>
      </c>
      <c r="C1239" s="771" t="s">
        <v>17693</v>
      </c>
      <c r="D1239" s="197"/>
      <c r="E1239" s="857">
        <v>8672.7000000000007</v>
      </c>
      <c r="F1239" s="135"/>
      <c r="G1239" s="1040"/>
    </row>
    <row r="1240" spans="1:7">
      <c r="A1240" s="884">
        <v>43222</v>
      </c>
      <c r="B1240" s="138" t="str">
        <f>TiposLancamentos!B15</f>
        <v>Cartões de Crédito</v>
      </c>
      <c r="C1240" s="771" t="s">
        <v>7332</v>
      </c>
      <c r="D1240" s="197"/>
      <c r="E1240" s="857">
        <v>273.08</v>
      </c>
      <c r="F1240" s="135"/>
      <c r="G1240" s="1040"/>
    </row>
    <row r="1241" spans="1:7">
      <c r="A1241" s="884">
        <v>43222</v>
      </c>
      <c r="B1241" s="138" t="str">
        <f>TiposLancamentos!B4</f>
        <v>Taxas Bancarias</v>
      </c>
      <c r="C1241" s="771" t="s">
        <v>17909</v>
      </c>
      <c r="D1241" s="197"/>
      <c r="E1241" s="857">
        <v>40.06</v>
      </c>
      <c r="F1241" s="135"/>
      <c r="G1241" s="1040"/>
    </row>
    <row r="1242" spans="1:7">
      <c r="A1242" s="884">
        <v>43222</v>
      </c>
      <c r="B1242" s="138" t="str">
        <f>TiposLancamentos!B4</f>
        <v>Taxas Bancarias</v>
      </c>
      <c r="C1242" s="771" t="s">
        <v>17910</v>
      </c>
      <c r="D1242" s="197"/>
      <c r="E1242" s="857">
        <v>59.8</v>
      </c>
      <c r="F1242" s="135"/>
      <c r="G1242" s="1040"/>
    </row>
    <row r="1243" spans="1:7">
      <c r="A1243" s="884">
        <v>43222</v>
      </c>
      <c r="B1243" s="138" t="str">
        <f>TiposLancamentos!B4</f>
        <v>Taxas Bancarias</v>
      </c>
      <c r="C1243" s="771" t="s">
        <v>17911</v>
      </c>
      <c r="D1243" s="197"/>
      <c r="E1243" s="857">
        <v>2472.41</v>
      </c>
      <c r="F1243" s="135"/>
      <c r="G1243" s="1040"/>
    </row>
    <row r="1244" spans="1:7">
      <c r="A1244" s="884">
        <v>43224</v>
      </c>
      <c r="B1244" s="138" t="str">
        <f>TiposLancamentos!B96</f>
        <v>Resg.Poup.</v>
      </c>
      <c r="C1244" s="771" t="s">
        <v>17912</v>
      </c>
      <c r="D1244" s="197">
        <v>16100</v>
      </c>
      <c r="E1244" s="857"/>
      <c r="F1244" s="135"/>
      <c r="G1244" s="1040"/>
    </row>
    <row r="1245" spans="1:7">
      <c r="A1245" s="884">
        <v>43225</v>
      </c>
      <c r="B1245" s="138" t="str">
        <f>TiposLancamentos!B57</f>
        <v>Informática</v>
      </c>
      <c r="C1245" s="771" t="s">
        <v>17913</v>
      </c>
      <c r="D1245" s="197"/>
      <c r="E1245" s="857">
        <v>24</v>
      </c>
      <c r="F1245" s="135"/>
      <c r="G1245" s="1040"/>
    </row>
    <row r="1246" spans="1:7">
      <c r="A1246" s="884">
        <v>43227</v>
      </c>
      <c r="B1246" s="138" t="str">
        <f>TiposLancamentos!B9</f>
        <v>Condominio</v>
      </c>
      <c r="C1246" s="771" t="s">
        <v>5925</v>
      </c>
      <c r="D1246" s="197"/>
      <c r="E1246" s="857">
        <v>1234.1500000000001</v>
      </c>
      <c r="F1246" s="135"/>
      <c r="G1246" s="1040"/>
    </row>
    <row r="1247" spans="1:7">
      <c r="A1247" s="884">
        <v>43227</v>
      </c>
      <c r="B1247" s="138" t="str">
        <f>TiposLancamentos!B2</f>
        <v>Telefonia</v>
      </c>
      <c r="C1247" s="771" t="s">
        <v>6318</v>
      </c>
      <c r="D1247" s="197"/>
      <c r="E1247" s="857">
        <v>151.08000000000001</v>
      </c>
      <c r="F1247" s="135"/>
      <c r="G1247" s="1040"/>
    </row>
    <row r="1248" spans="1:7">
      <c r="A1248" s="919">
        <v>43230</v>
      </c>
      <c r="B1248" s="830" t="str">
        <f>TiposLancamentos!B8</f>
        <v>Aluguel</v>
      </c>
      <c r="C1248" s="915" t="s">
        <v>6163</v>
      </c>
      <c r="D1248" s="917"/>
      <c r="E1248" s="920">
        <f>F1250-(E1249+E1250)</f>
        <v>1763.3000000000002</v>
      </c>
      <c r="F1248" s="1701"/>
      <c r="G1248" s="1040"/>
    </row>
    <row r="1249" spans="1:7">
      <c r="A1249" s="930">
        <v>43230</v>
      </c>
      <c r="B1249" s="825" t="str">
        <f>TiposLancamentos!B12</f>
        <v>IPTU</v>
      </c>
      <c r="C1249" s="88" t="s">
        <v>6537</v>
      </c>
      <c r="D1249" s="828"/>
      <c r="E1249" s="931">
        <v>143.28</v>
      </c>
      <c r="F1249" s="1702"/>
      <c r="G1249" s="1040"/>
    </row>
    <row r="1250" spans="1:7">
      <c r="A1250" s="921">
        <v>43230</v>
      </c>
      <c r="B1250" s="833" t="str">
        <f>TiposLancamentos!B34</f>
        <v>Seguros</v>
      </c>
      <c r="C1250" s="916" t="s">
        <v>17375</v>
      </c>
      <c r="D1250" s="918"/>
      <c r="E1250" s="922">
        <v>259.11</v>
      </c>
      <c r="F1250" s="1703">
        <v>2165.69</v>
      </c>
      <c r="G1250" s="1040"/>
    </row>
    <row r="1251" spans="1:7">
      <c r="A1251" s="884">
        <v>43231</v>
      </c>
      <c r="B1251" s="138" t="str">
        <f>TiposLancamentos!B24</f>
        <v>Estacionamentos</v>
      </c>
      <c r="C1251" s="771" t="s">
        <v>17914</v>
      </c>
      <c r="D1251" s="197"/>
      <c r="E1251" s="857">
        <v>200</v>
      </c>
      <c r="F1251" s="135"/>
      <c r="G1251" s="1040"/>
    </row>
    <row r="1252" spans="1:7">
      <c r="A1252" s="884">
        <v>43232</v>
      </c>
      <c r="B1252" s="138" t="str">
        <f>TiposLancamentos!B19</f>
        <v>Restaurantes</v>
      </c>
      <c r="C1252" s="771" t="s">
        <v>6455</v>
      </c>
      <c r="D1252" s="197"/>
      <c r="E1252" s="857">
        <v>30</v>
      </c>
      <c r="F1252" s="135"/>
      <c r="G1252" s="1040"/>
    </row>
    <row r="1253" spans="1:7">
      <c r="A1253" s="884">
        <v>43234</v>
      </c>
      <c r="B1253" s="138" t="str">
        <f>TiposLancamentos!B20</f>
        <v>Saques</v>
      </c>
      <c r="C1253" s="771" t="s">
        <v>4368</v>
      </c>
      <c r="D1253" s="197"/>
      <c r="E1253" s="857">
        <v>20</v>
      </c>
      <c r="F1253" s="135"/>
      <c r="G1253" s="1040"/>
    </row>
    <row r="1254" spans="1:7">
      <c r="A1254" s="884">
        <v>43234</v>
      </c>
      <c r="B1254" s="138" t="str">
        <f>TiposLancamentos!B24</f>
        <v>Estacionamentos</v>
      </c>
      <c r="C1254" s="771" t="s">
        <v>17915</v>
      </c>
      <c r="D1254" s="197"/>
      <c r="E1254" s="857">
        <v>8</v>
      </c>
      <c r="F1254" s="135"/>
      <c r="G1254" s="1040"/>
    </row>
    <row r="1255" spans="1:7">
      <c r="A1255" s="884">
        <v>43235</v>
      </c>
      <c r="B1255" s="138" t="str">
        <f>TiposLancamentos!B95</f>
        <v>Salarios</v>
      </c>
      <c r="C1255" s="771" t="s">
        <v>17557</v>
      </c>
      <c r="D1255" s="197">
        <v>3871.15</v>
      </c>
      <c r="E1255" s="857"/>
      <c r="F1255" s="135"/>
      <c r="G1255" s="1040"/>
    </row>
    <row r="1256" spans="1:7">
      <c r="A1256" s="919">
        <v>43235</v>
      </c>
      <c r="B1256" s="830" t="str">
        <f>TiposLancamentos!B33</f>
        <v>Pedágios</v>
      </c>
      <c r="C1256" s="915" t="s">
        <v>5392</v>
      </c>
      <c r="D1256" s="917"/>
      <c r="E1256" s="920">
        <f>F1258-(E1257+E1258)</f>
        <v>246.64999999999998</v>
      </c>
      <c r="F1256" s="1701"/>
      <c r="G1256" s="1040"/>
    </row>
    <row r="1257" spans="1:7">
      <c r="A1257" s="930">
        <v>43235</v>
      </c>
      <c r="B1257" s="825" t="str">
        <f>TiposLancamentos!B24</f>
        <v>Estacionamentos</v>
      </c>
      <c r="C1257" s="88" t="s">
        <v>5863</v>
      </c>
      <c r="D1257" s="828"/>
      <c r="E1257" s="931">
        <v>80</v>
      </c>
      <c r="F1257" s="1702"/>
      <c r="G1257" s="1040"/>
    </row>
    <row r="1258" spans="1:7">
      <c r="A1258" s="921">
        <v>43235</v>
      </c>
      <c r="B1258" s="833" t="str">
        <f>TiposLancamentos!B24</f>
        <v>Estacionamentos</v>
      </c>
      <c r="C1258" s="916" t="s">
        <v>6297</v>
      </c>
      <c r="D1258" s="918"/>
      <c r="E1258" s="922">
        <v>8</v>
      </c>
      <c r="F1258" s="1703">
        <v>334.65</v>
      </c>
      <c r="G1258" s="1040"/>
    </row>
    <row r="1259" spans="1:7">
      <c r="A1259" s="884">
        <v>43235</v>
      </c>
      <c r="B1259" s="138"/>
      <c r="C1259" s="771" t="s">
        <v>1868</v>
      </c>
      <c r="D1259" s="197"/>
      <c r="E1259" s="857"/>
      <c r="F1259" s="135"/>
      <c r="G1259" s="1040"/>
    </row>
    <row r="1260" spans="1:7">
      <c r="A1260" s="919">
        <v>43235</v>
      </c>
      <c r="B1260" s="830" t="str">
        <f>TiposLancamentos!B35</f>
        <v>Tv à Cabo</v>
      </c>
      <c r="C1260" s="915" t="s">
        <v>5834</v>
      </c>
      <c r="D1260" s="917"/>
      <c r="E1260" s="920">
        <v>154.68</v>
      </c>
      <c r="F1260" s="1701"/>
      <c r="G1260" s="1040"/>
    </row>
    <row r="1261" spans="1:7">
      <c r="A1261" s="930">
        <v>43235</v>
      </c>
      <c r="B1261" s="825" t="str">
        <f>TiposLancamentos!B3</f>
        <v>Internet</v>
      </c>
      <c r="C1261" s="88" t="s">
        <v>5835</v>
      </c>
      <c r="D1261" s="828"/>
      <c r="E1261" s="931">
        <v>91.31</v>
      </c>
      <c r="F1261" s="1702"/>
      <c r="G1261" s="1040"/>
    </row>
    <row r="1262" spans="1:7">
      <c r="A1262" s="921">
        <v>43235</v>
      </c>
      <c r="B1262" s="833" t="str">
        <f>TiposLancamentos!B2</f>
        <v>Telefonia</v>
      </c>
      <c r="C1262" s="916" t="s">
        <v>7210</v>
      </c>
      <c r="D1262" s="918"/>
      <c r="E1262" s="922">
        <v>0</v>
      </c>
      <c r="F1262" s="1703">
        <f>SUM(E1260:E1262)</f>
        <v>245.99</v>
      </c>
      <c r="G1262" s="1040"/>
    </row>
    <row r="1263" spans="1:7">
      <c r="A1263" s="884">
        <v>43235</v>
      </c>
      <c r="B1263" s="138" t="str">
        <f>TiposLancamentos!B71</f>
        <v>Itens Pessoais</v>
      </c>
      <c r="C1263" s="771" t="s">
        <v>17916</v>
      </c>
      <c r="D1263" s="197"/>
      <c r="E1263" s="857">
        <v>25</v>
      </c>
      <c r="F1263" s="135"/>
      <c r="G1263" s="1040"/>
    </row>
    <row r="1264" spans="1:7">
      <c r="A1264" s="884">
        <v>43235</v>
      </c>
      <c r="B1264" s="138" t="str">
        <f>TiposLancamentos!B19</f>
        <v>Restaurantes</v>
      </c>
      <c r="C1264" s="771" t="s">
        <v>17917</v>
      </c>
      <c r="D1264" s="197"/>
      <c r="E1264" s="857">
        <v>37.72</v>
      </c>
      <c r="F1264" s="135"/>
      <c r="G1264" s="1040"/>
    </row>
    <row r="1265" spans="1:7">
      <c r="A1265" s="884">
        <v>43237</v>
      </c>
      <c r="B1265" s="138" t="str">
        <f>TiposLancamentos!B16</f>
        <v>Cristiane</v>
      </c>
      <c r="C1265" s="771" t="s">
        <v>17918</v>
      </c>
      <c r="D1265" s="197"/>
      <c r="E1265" s="857">
        <v>25</v>
      </c>
      <c r="F1265" s="135"/>
      <c r="G1265" s="1040"/>
    </row>
    <row r="1266" spans="1:7">
      <c r="A1266" s="884">
        <v>43238</v>
      </c>
      <c r="B1266" s="138" t="str">
        <f>TiposLancamentos!B64</f>
        <v>Viagens</v>
      </c>
      <c r="C1266" s="771" t="s">
        <v>17919</v>
      </c>
      <c r="D1266" s="197"/>
      <c r="E1266" s="857">
        <v>345</v>
      </c>
      <c r="F1266" s="135"/>
      <c r="G1266" s="1040"/>
    </row>
    <row r="1267" spans="1:7">
      <c r="A1267" s="884">
        <v>43238</v>
      </c>
      <c r="B1267" s="138" t="str">
        <f>TiposLancamentos!B19</f>
        <v>Restaurantes</v>
      </c>
      <c r="C1267" s="771" t="s">
        <v>17920</v>
      </c>
      <c r="D1267" s="197"/>
      <c r="E1267" s="857">
        <v>40</v>
      </c>
      <c r="F1267" s="135"/>
      <c r="G1267" s="1040"/>
    </row>
    <row r="1268" spans="1:7">
      <c r="A1268" s="884">
        <v>43239</v>
      </c>
      <c r="B1268" s="138" t="str">
        <f>TiposLancamentos!B19</f>
        <v>Restaurantes</v>
      </c>
      <c r="C1268" s="771" t="s">
        <v>17921</v>
      </c>
      <c r="D1268" s="197"/>
      <c r="E1268" s="857">
        <v>17</v>
      </c>
      <c r="F1268" s="135"/>
      <c r="G1268" s="1040"/>
    </row>
    <row r="1269" spans="1:7">
      <c r="A1269" s="884">
        <v>43240</v>
      </c>
      <c r="B1269" s="138" t="str">
        <f>TiposLancamentos!B19</f>
        <v>Restaurantes</v>
      </c>
      <c r="C1269" s="771" t="s">
        <v>17922</v>
      </c>
      <c r="D1269" s="197"/>
      <c r="E1269" s="857">
        <v>32</v>
      </c>
      <c r="F1269" s="135"/>
      <c r="G1269" s="1040"/>
    </row>
    <row r="1270" spans="1:7">
      <c r="A1270" s="884">
        <v>43240</v>
      </c>
      <c r="B1270" s="138" t="str">
        <f>TiposLancamentos!B19</f>
        <v>Restaurantes</v>
      </c>
      <c r="C1270" s="771" t="s">
        <v>17923</v>
      </c>
      <c r="D1270" s="197"/>
      <c r="E1270" s="857">
        <v>49.46</v>
      </c>
      <c r="F1270" s="135"/>
      <c r="G1270" s="1040"/>
    </row>
    <row r="1271" spans="1:7">
      <c r="A1271" s="884">
        <v>43241</v>
      </c>
      <c r="B1271" s="138" t="str">
        <f>TiposLancamentos!B71</f>
        <v>Itens Pessoais</v>
      </c>
      <c r="C1271" s="771" t="s">
        <v>17924</v>
      </c>
      <c r="D1271" s="197"/>
      <c r="E1271" s="857">
        <v>242</v>
      </c>
      <c r="F1271" s="135"/>
      <c r="G1271" s="1040"/>
    </row>
    <row r="1272" spans="1:7">
      <c r="A1272" s="884">
        <v>43241</v>
      </c>
      <c r="B1272" s="138" t="str">
        <f>TiposLancamentos!B19</f>
        <v>Restaurantes</v>
      </c>
      <c r="C1272" s="771" t="s">
        <v>17925</v>
      </c>
      <c r="D1272" s="197"/>
      <c r="E1272" s="857">
        <v>49.7</v>
      </c>
      <c r="F1272" s="135"/>
      <c r="G1272" s="1040"/>
    </row>
    <row r="1273" spans="1:7">
      <c r="A1273" s="884">
        <v>43243</v>
      </c>
      <c r="B1273" s="138" t="str">
        <f>TiposLancamentos!B32</f>
        <v>Clinicas e tratamentos</v>
      </c>
      <c r="C1273" s="771" t="s">
        <v>17926</v>
      </c>
      <c r="D1273" s="197"/>
      <c r="E1273" s="857">
        <v>650</v>
      </c>
      <c r="F1273" s="135"/>
      <c r="G1273" s="1040"/>
    </row>
    <row r="1274" spans="1:7">
      <c r="A1274" s="884">
        <v>43245</v>
      </c>
      <c r="B1274" s="138" t="str">
        <f>TiposLancamentos!B20</f>
        <v>Saques</v>
      </c>
      <c r="C1274" s="771" t="s">
        <v>4368</v>
      </c>
      <c r="D1274" s="197"/>
      <c r="E1274" s="857">
        <v>60</v>
      </c>
      <c r="F1274" s="135"/>
      <c r="G1274" s="1040"/>
    </row>
    <row r="1275" spans="1:7">
      <c r="A1275" s="884">
        <v>43246</v>
      </c>
      <c r="B1275" s="138" t="str">
        <f>TiposLancamentos!B19</f>
        <v>Restaurantes</v>
      </c>
      <c r="C1275" s="771" t="s">
        <v>17927</v>
      </c>
      <c r="D1275" s="197"/>
      <c r="E1275" s="857">
        <v>24</v>
      </c>
      <c r="F1275" s="135"/>
      <c r="G1275" s="1040"/>
    </row>
    <row r="1276" spans="1:7">
      <c r="A1276" s="884">
        <v>43248</v>
      </c>
      <c r="B1276" s="138" t="str">
        <f>TiposLancamentos!B20</f>
        <v>Saques</v>
      </c>
      <c r="C1276" s="771" t="s">
        <v>4681</v>
      </c>
      <c r="D1276" s="197"/>
      <c r="E1276" s="857">
        <v>20</v>
      </c>
      <c r="F1276" s="135"/>
      <c r="G1276" s="1040"/>
    </row>
    <row r="1277" spans="1:7">
      <c r="A1277" s="884">
        <v>43248</v>
      </c>
      <c r="B1277" s="138" t="str">
        <f>TiposLancamentos!B69</f>
        <v>Consertos</v>
      </c>
      <c r="C1277" s="771" t="s">
        <v>17928</v>
      </c>
      <c r="D1277" s="197"/>
      <c r="E1277" s="857">
        <v>25</v>
      </c>
      <c r="F1277" s="135"/>
      <c r="G1277" s="1040"/>
    </row>
    <row r="1278" spans="1:7">
      <c r="A1278" s="884">
        <v>43248</v>
      </c>
      <c r="B1278" s="138" t="str">
        <f>TiposLancamentos!B24</f>
        <v>Estacionamentos</v>
      </c>
      <c r="C1278" s="771" t="s">
        <v>17929</v>
      </c>
      <c r="D1278" s="197"/>
      <c r="E1278" s="857">
        <v>10</v>
      </c>
      <c r="F1278" s="135"/>
      <c r="G1278" s="1040"/>
    </row>
    <row r="1279" spans="1:7">
      <c r="A1279" s="884">
        <v>43248</v>
      </c>
      <c r="B1279" s="138" t="str">
        <f>TiposLancamentos!B6</f>
        <v>Energia Eletrica</v>
      </c>
      <c r="C1279" s="771" t="s">
        <v>5191</v>
      </c>
      <c r="D1279" s="197"/>
      <c r="E1279" s="857">
        <v>210.7</v>
      </c>
      <c r="F1279" s="135"/>
      <c r="G1279" s="1040"/>
    </row>
    <row r="1280" spans="1:7">
      <c r="A1280" s="884">
        <v>43250</v>
      </c>
      <c r="B1280" s="138" t="str">
        <f>TiposLancamentos!B32</f>
        <v>Clinicas e tratamentos</v>
      </c>
      <c r="C1280" s="771" t="s">
        <v>17930</v>
      </c>
      <c r="D1280" s="197"/>
      <c r="E1280" s="857">
        <v>1000</v>
      </c>
      <c r="F1280" s="135"/>
      <c r="G1280" s="1040"/>
    </row>
    <row r="1281" spans="1:7" ht="14.25" thickBot="1">
      <c r="A1281" s="884">
        <v>43250</v>
      </c>
      <c r="B1281" s="138" t="str">
        <f>TiposLancamentos!B95</f>
        <v>Salarios</v>
      </c>
      <c r="C1281" s="771" t="s">
        <v>17362</v>
      </c>
      <c r="D1281" s="197">
        <v>11806.95</v>
      </c>
      <c r="E1281" s="857"/>
      <c r="F1281" s="135"/>
      <c r="G1281" s="1040"/>
    </row>
    <row r="1282" spans="1:7">
      <c r="A1282" s="967"/>
      <c r="B1282" s="968"/>
      <c r="C1282" s="1093" t="s">
        <v>13814</v>
      </c>
      <c r="D1282" s="970"/>
      <c r="E1282" s="971"/>
      <c r="F1282" s="1712"/>
      <c r="G1282" s="1039"/>
    </row>
    <row r="1283" spans="1:7">
      <c r="A1283" s="884">
        <v>43252</v>
      </c>
      <c r="B1283" s="138" t="str">
        <f>TiposLancamentos!B15</f>
        <v>Cartões de Crédito</v>
      </c>
      <c r="C1283" s="771" t="s">
        <v>7332</v>
      </c>
      <c r="D1283" s="197"/>
      <c r="E1283" s="857">
        <v>273.08</v>
      </c>
      <c r="F1283" s="135"/>
      <c r="G1283" s="1040"/>
    </row>
    <row r="1284" spans="1:7">
      <c r="A1284" s="884">
        <v>43252</v>
      </c>
      <c r="B1284" s="138" t="str">
        <f>TiposLancamentos!B15</f>
        <v>Cartões de Crédito</v>
      </c>
      <c r="C1284" s="771" t="s">
        <v>7333</v>
      </c>
      <c r="D1284" s="197"/>
      <c r="E1284" s="857">
        <v>285.08</v>
      </c>
      <c r="F1284" s="135"/>
      <c r="G1284" s="1040"/>
    </row>
    <row r="1285" spans="1:7">
      <c r="A1285" s="884">
        <v>43252</v>
      </c>
      <c r="B1285" s="138" t="str">
        <f>TiposLancamentos!B15</f>
        <v>Cartões de Crédito</v>
      </c>
      <c r="C1285" s="771" t="s">
        <v>7781</v>
      </c>
      <c r="D1285" s="197"/>
      <c r="E1285" s="857">
        <v>459.81</v>
      </c>
      <c r="F1285" s="135"/>
      <c r="G1285" s="1040"/>
    </row>
    <row r="1286" spans="1:7">
      <c r="A1286" s="884">
        <v>43252</v>
      </c>
      <c r="B1286" s="138" t="str">
        <f>TiposLancamentos!B15</f>
        <v>Cartões de Crédito</v>
      </c>
      <c r="C1286" s="771" t="s">
        <v>7391</v>
      </c>
      <c r="D1286" s="197"/>
      <c r="E1286" s="857">
        <v>9717.6299999999992</v>
      </c>
      <c r="F1286" s="135"/>
      <c r="G1286" s="1040"/>
    </row>
    <row r="1287" spans="1:7">
      <c r="A1287" s="884">
        <v>43252</v>
      </c>
      <c r="B1287" s="138" t="str">
        <f>TiposLancamentos!B71</f>
        <v>Itens Pessoais</v>
      </c>
      <c r="C1287" s="771" t="s">
        <v>17931</v>
      </c>
      <c r="D1287" s="197"/>
      <c r="E1287" s="857">
        <v>150</v>
      </c>
      <c r="F1287" s="135"/>
      <c r="G1287" s="1040"/>
    </row>
    <row r="1288" spans="1:7">
      <c r="A1288" s="884">
        <v>43252</v>
      </c>
      <c r="B1288" s="138" t="str">
        <f>TiposLancamentos!B4</f>
        <v>Taxas Bancarias</v>
      </c>
      <c r="C1288" s="771" t="s">
        <v>17932</v>
      </c>
      <c r="D1288" s="197"/>
      <c r="E1288" s="857">
        <v>10.76</v>
      </c>
      <c r="F1288" s="135"/>
      <c r="G1288" s="1040"/>
    </row>
    <row r="1289" spans="1:7">
      <c r="A1289" s="884">
        <v>43252</v>
      </c>
      <c r="B1289" s="138" t="str">
        <f>TiposLancamentos!B4</f>
        <v>Taxas Bancarias</v>
      </c>
      <c r="C1289" s="771" t="s">
        <v>17933</v>
      </c>
      <c r="D1289" s="197"/>
      <c r="E1289" s="857">
        <v>65.930000000000007</v>
      </c>
      <c r="F1289" s="135"/>
      <c r="G1289" s="1040"/>
    </row>
    <row r="1290" spans="1:7">
      <c r="A1290" s="884">
        <v>43252</v>
      </c>
      <c r="B1290" s="138" t="str">
        <f>TiposLancamentos!B4</f>
        <v>Taxas Bancarias</v>
      </c>
      <c r="C1290" s="771" t="s">
        <v>17934</v>
      </c>
      <c r="D1290" s="197"/>
      <c r="E1290" s="857">
        <v>719.54</v>
      </c>
      <c r="F1290" s="135"/>
      <c r="G1290" s="1040"/>
    </row>
    <row r="1291" spans="1:7">
      <c r="A1291" s="884">
        <v>43252</v>
      </c>
      <c r="B1291" s="138" t="str">
        <f>TiposLancamentos!B103</f>
        <v>Juros_Corr. Poupança</v>
      </c>
      <c r="C1291" s="771" t="s">
        <v>17394</v>
      </c>
      <c r="D1291" s="197">
        <v>0.01</v>
      </c>
      <c r="E1291" s="857"/>
      <c r="F1291" s="135"/>
      <c r="G1291" s="1040"/>
    </row>
    <row r="1292" spans="1:7">
      <c r="A1292" s="884">
        <v>43257</v>
      </c>
      <c r="B1292" s="138" t="str">
        <f>TiposLancamentos!B9</f>
        <v>Condominio</v>
      </c>
      <c r="C1292" s="771" t="s">
        <v>1684</v>
      </c>
      <c r="D1292" s="197"/>
      <c r="E1292" s="857">
        <v>1234.1500000000001</v>
      </c>
      <c r="F1292" s="135"/>
      <c r="G1292" s="1040"/>
    </row>
    <row r="1293" spans="1:7">
      <c r="A1293" s="884">
        <v>43258</v>
      </c>
      <c r="B1293" s="138" t="str">
        <f>TiposLancamentos!B2</f>
        <v>Telefonia</v>
      </c>
      <c r="C1293" s="771" t="s">
        <v>17935</v>
      </c>
      <c r="D1293" s="197"/>
      <c r="E1293" s="857">
        <v>151.08000000000001</v>
      </c>
      <c r="F1293" s="135"/>
      <c r="G1293" s="1040"/>
    </row>
    <row r="1294" spans="1:7">
      <c r="A1294" s="1226">
        <v>43261</v>
      </c>
      <c r="B1294" s="1218" t="str">
        <f>TiposLancamentos!B73</f>
        <v>Cursos</v>
      </c>
      <c r="C1294" s="1219" t="s">
        <v>17936</v>
      </c>
      <c r="D1294" s="1220"/>
      <c r="E1294" s="1221">
        <v>175</v>
      </c>
      <c r="F1294" s="1704"/>
      <c r="G1294" s="1040"/>
    </row>
    <row r="1295" spans="1:7">
      <c r="A1295" s="1228">
        <v>43261</v>
      </c>
      <c r="B1295" s="1222" t="str">
        <f>TiposLancamentos!B48</f>
        <v>Baralhos e Oráculos</v>
      </c>
      <c r="C1295" s="1223" t="s">
        <v>17937</v>
      </c>
      <c r="D1295" s="1224"/>
      <c r="E1295" s="1225">
        <v>110</v>
      </c>
      <c r="F1295" s="1705">
        <f>SUM(E1294:E1295)</f>
        <v>285</v>
      </c>
      <c r="G1295" s="1040"/>
    </row>
    <row r="1296" spans="1:7">
      <c r="A1296" s="884">
        <v>43261</v>
      </c>
      <c r="B1296" s="138"/>
      <c r="C1296" s="771" t="s">
        <v>1947</v>
      </c>
      <c r="D1296" s="197">
        <v>0</v>
      </c>
      <c r="E1296" s="857">
        <v>0</v>
      </c>
      <c r="F1296" s="135"/>
      <c r="G1296" s="1040"/>
    </row>
    <row r="1297" spans="1:7">
      <c r="A1297" s="919">
        <v>43262</v>
      </c>
      <c r="B1297" s="830" t="str">
        <f>TiposLancamentos!B8</f>
        <v>Aluguel</v>
      </c>
      <c r="C1297" s="915" t="s">
        <v>6163</v>
      </c>
      <c r="D1297" s="917"/>
      <c r="E1297" s="920">
        <f>F1299-(E1298+E1299)</f>
        <v>1763.3000000000002</v>
      </c>
      <c r="F1297" s="1701"/>
      <c r="G1297" s="1040"/>
    </row>
    <row r="1298" spans="1:7">
      <c r="A1298" s="930">
        <v>43262</v>
      </c>
      <c r="B1298" s="825" t="str">
        <f>TiposLancamentos!B12</f>
        <v>IPTU</v>
      </c>
      <c r="C1298" s="88" t="s">
        <v>6575</v>
      </c>
      <c r="D1298" s="828"/>
      <c r="E1298" s="931">
        <v>143.28</v>
      </c>
      <c r="F1298" s="1702"/>
      <c r="G1298" s="1040"/>
    </row>
    <row r="1299" spans="1:7">
      <c r="A1299" s="921">
        <v>43262</v>
      </c>
      <c r="B1299" s="833" t="str">
        <f>TiposLancamentos!B34</f>
        <v>Seguros</v>
      </c>
      <c r="C1299" s="916" t="s">
        <v>17652</v>
      </c>
      <c r="D1299" s="918"/>
      <c r="E1299" s="922">
        <v>259.11</v>
      </c>
      <c r="F1299" s="1703">
        <v>2165.69</v>
      </c>
      <c r="G1299" s="1040"/>
    </row>
    <row r="1300" spans="1:7">
      <c r="A1300" s="884">
        <v>43262</v>
      </c>
      <c r="B1300" s="138" t="str">
        <f>TiposLancamentos!B24</f>
        <v>Estacionamentos</v>
      </c>
      <c r="C1300" s="771" t="s">
        <v>17914</v>
      </c>
      <c r="D1300" s="197"/>
      <c r="E1300" s="857">
        <v>200</v>
      </c>
      <c r="F1300" s="135"/>
      <c r="G1300" s="1040"/>
    </row>
    <row r="1301" spans="1:7">
      <c r="A1301" s="884">
        <v>43262</v>
      </c>
      <c r="B1301" s="138" t="str">
        <f>TiposLancamentos!B24</f>
        <v>Estacionamentos</v>
      </c>
      <c r="C1301" s="771" t="s">
        <v>8547</v>
      </c>
      <c r="D1301" s="197"/>
      <c r="E1301" s="857">
        <v>4</v>
      </c>
      <c r="F1301" s="135"/>
      <c r="G1301" s="1040"/>
    </row>
    <row r="1302" spans="1:7">
      <c r="A1302" s="884">
        <v>43264</v>
      </c>
      <c r="B1302" s="138" t="str">
        <f>TiposLancamentos!B17</f>
        <v>GATO</v>
      </c>
      <c r="C1302" s="771" t="s">
        <v>17938</v>
      </c>
      <c r="D1302" s="197"/>
      <c r="E1302" s="857">
        <v>11</v>
      </c>
      <c r="F1302" s="135"/>
      <c r="G1302" s="1040"/>
    </row>
    <row r="1303" spans="1:7">
      <c r="A1303" s="884">
        <v>43265</v>
      </c>
      <c r="B1303" s="138" t="str">
        <f>TiposLancamentos!B20</f>
        <v>Saques</v>
      </c>
      <c r="C1303" s="771" t="s">
        <v>17939</v>
      </c>
      <c r="D1303" s="197"/>
      <c r="E1303" s="857">
        <v>20</v>
      </c>
      <c r="F1303" s="135"/>
      <c r="G1303" s="1040"/>
    </row>
    <row r="1304" spans="1:7">
      <c r="A1304" s="919">
        <v>43266</v>
      </c>
      <c r="B1304" s="830" t="str">
        <f>TiposLancamentos!B33</f>
        <v>Pedágios</v>
      </c>
      <c r="C1304" s="915" t="s">
        <v>5392</v>
      </c>
      <c r="D1304" s="917"/>
      <c r="E1304" s="920">
        <f>F1306-(E1305+E1306)</f>
        <v>69.05</v>
      </c>
      <c r="F1304" s="1701"/>
      <c r="G1304" s="1040"/>
    </row>
    <row r="1305" spans="1:7">
      <c r="A1305" s="930">
        <v>43266</v>
      </c>
      <c r="B1305" s="825" t="str">
        <f>TiposLancamentos!B24</f>
        <v>Estacionamentos</v>
      </c>
      <c r="C1305" s="88" t="s">
        <v>5863</v>
      </c>
      <c r="D1305" s="828"/>
      <c r="E1305" s="931">
        <v>27</v>
      </c>
      <c r="F1305" s="1702"/>
      <c r="G1305" s="1040"/>
    </row>
    <row r="1306" spans="1:7">
      <c r="A1306" s="921">
        <v>43266</v>
      </c>
      <c r="B1306" s="833" t="str">
        <f>TiposLancamentos!B24</f>
        <v>Estacionamentos</v>
      </c>
      <c r="C1306" s="916" t="s">
        <v>6297</v>
      </c>
      <c r="D1306" s="918"/>
      <c r="E1306" s="922">
        <v>0</v>
      </c>
      <c r="F1306" s="1703">
        <v>96.05</v>
      </c>
      <c r="G1306" s="1040"/>
    </row>
    <row r="1307" spans="1:7">
      <c r="A1307" s="884">
        <v>43266</v>
      </c>
      <c r="B1307" s="138"/>
      <c r="C1307" s="771" t="s">
        <v>1868</v>
      </c>
      <c r="D1307" s="197"/>
      <c r="E1307" s="857"/>
      <c r="F1307" s="135"/>
      <c r="G1307" s="1040"/>
    </row>
    <row r="1308" spans="1:7">
      <c r="A1308" s="919">
        <v>43266</v>
      </c>
      <c r="B1308" s="830" t="str">
        <f>TiposLancamentos!B35</f>
        <v>Tv à Cabo</v>
      </c>
      <c r="C1308" s="915" t="s">
        <v>5834</v>
      </c>
      <c r="D1308" s="917"/>
      <c r="E1308" s="920">
        <v>154.68</v>
      </c>
      <c r="F1308" s="1701"/>
      <c r="G1308" s="1040"/>
    </row>
    <row r="1309" spans="1:7">
      <c r="A1309" s="930">
        <v>43266</v>
      </c>
      <c r="B1309" s="825" t="str">
        <f>TiposLancamentos!B3</f>
        <v>Internet</v>
      </c>
      <c r="C1309" s="88" t="s">
        <v>5835</v>
      </c>
      <c r="D1309" s="828"/>
      <c r="E1309" s="931">
        <v>91.31</v>
      </c>
      <c r="F1309" s="1702"/>
      <c r="G1309" s="1040"/>
    </row>
    <row r="1310" spans="1:7">
      <c r="A1310" s="921">
        <v>43266</v>
      </c>
      <c r="B1310" s="833" t="str">
        <f>TiposLancamentos!B2</f>
        <v>Telefonia</v>
      </c>
      <c r="C1310" s="916" t="s">
        <v>7210</v>
      </c>
      <c r="D1310" s="918"/>
      <c r="E1310" s="922">
        <v>0</v>
      </c>
      <c r="F1310" s="1703">
        <f>SUM(E1308:E1310)</f>
        <v>245.99</v>
      </c>
      <c r="G1310" s="1040"/>
    </row>
    <row r="1311" spans="1:7">
      <c r="A1311" s="884">
        <v>43266</v>
      </c>
      <c r="B1311" s="138" t="str">
        <f>TiposLancamentos!B95</f>
        <v>Salarios</v>
      </c>
      <c r="C1311" s="771" t="s">
        <v>17557</v>
      </c>
      <c r="D1311" s="197">
        <v>3871.15</v>
      </c>
      <c r="E1311" s="857"/>
      <c r="F1311" s="135"/>
      <c r="G1311" s="1040"/>
    </row>
    <row r="1312" spans="1:7">
      <c r="A1312" s="884">
        <v>43267</v>
      </c>
      <c r="B1312" s="138" t="str">
        <f>TiposLancamentos!B71</f>
        <v>Itens Pessoais</v>
      </c>
      <c r="C1312" s="771" t="s">
        <v>17940</v>
      </c>
      <c r="D1312" s="197"/>
      <c r="E1312" s="857">
        <v>21</v>
      </c>
      <c r="F1312" s="135"/>
      <c r="G1312" s="1040"/>
    </row>
    <row r="1313" spans="1:7">
      <c r="A1313" s="884">
        <v>43272</v>
      </c>
      <c r="B1313" s="138" t="str">
        <f>TiposLancamentos!B59</f>
        <v>Documentos</v>
      </c>
      <c r="C1313" s="771" t="s">
        <v>17941</v>
      </c>
      <c r="D1313" s="197"/>
      <c r="E1313" s="857">
        <v>35.94</v>
      </c>
      <c r="F1313" s="135"/>
      <c r="G1313" s="1040"/>
    </row>
    <row r="1314" spans="1:7">
      <c r="A1314" s="884">
        <v>43272</v>
      </c>
      <c r="B1314" s="138" t="str">
        <f>TiposLancamentos!B24</f>
        <v>Estacionamentos</v>
      </c>
      <c r="C1314" s="771" t="s">
        <v>2014</v>
      </c>
      <c r="D1314" s="197"/>
      <c r="E1314" s="857">
        <v>7</v>
      </c>
      <c r="F1314" s="135"/>
      <c r="G1314" s="1040"/>
    </row>
    <row r="1315" spans="1:7">
      <c r="A1315" s="884">
        <v>43273</v>
      </c>
      <c r="B1315" s="138" t="str">
        <f>TiposLancamentos!B59</f>
        <v>Documentos</v>
      </c>
      <c r="C1315" s="771" t="s">
        <v>17942</v>
      </c>
      <c r="D1315" s="197"/>
      <c r="E1315" s="857">
        <v>219.35</v>
      </c>
      <c r="F1315" s="135"/>
      <c r="G1315" s="1040"/>
    </row>
    <row r="1316" spans="1:7">
      <c r="A1316" s="884">
        <v>43274</v>
      </c>
      <c r="B1316" s="138" t="str">
        <f>TiposLancamentos!B19</f>
        <v>Restaurantes</v>
      </c>
      <c r="C1316" s="771" t="s">
        <v>6455</v>
      </c>
      <c r="D1316" s="197"/>
      <c r="E1316" s="857">
        <v>24</v>
      </c>
      <c r="F1316" s="135"/>
      <c r="G1316" s="1040"/>
    </row>
    <row r="1317" spans="1:7">
      <c r="A1317" s="884">
        <v>43276</v>
      </c>
      <c r="B1317" s="138" t="str">
        <f>TiposLancamentos!B59</f>
        <v>Documentos</v>
      </c>
      <c r="C1317" s="771" t="s">
        <v>17943</v>
      </c>
      <c r="D1317" s="197"/>
      <c r="E1317" s="857">
        <v>10.38</v>
      </c>
      <c r="F1317" s="135"/>
      <c r="G1317" s="1040"/>
    </row>
    <row r="1318" spans="1:7">
      <c r="A1318" s="884">
        <v>43276</v>
      </c>
      <c r="B1318" s="138" t="str">
        <f>TiposLancamentos!B24</f>
        <v>Estacionamentos</v>
      </c>
      <c r="C1318" s="771" t="s">
        <v>3398</v>
      </c>
      <c r="D1318" s="197"/>
      <c r="E1318" s="857">
        <v>5</v>
      </c>
      <c r="F1318" s="135"/>
      <c r="G1318" s="1040"/>
    </row>
    <row r="1319" spans="1:7">
      <c r="A1319" s="884">
        <v>43276</v>
      </c>
      <c r="B1319" s="138" t="str">
        <f>TiposLancamentos!B24</f>
        <v>Estacionamentos</v>
      </c>
      <c r="C1319" s="771" t="s">
        <v>17944</v>
      </c>
      <c r="D1319" s="197"/>
      <c r="E1319" s="857">
        <v>8</v>
      </c>
      <c r="F1319" s="135"/>
      <c r="G1319" s="1040"/>
    </row>
    <row r="1320" spans="1:7">
      <c r="A1320" s="884">
        <v>43277</v>
      </c>
      <c r="B1320" s="138" t="str">
        <f>TiposLancamentos!B19</f>
        <v>Restaurantes</v>
      </c>
      <c r="C1320" s="771" t="s">
        <v>7246</v>
      </c>
      <c r="D1320" s="197"/>
      <c r="E1320" s="857">
        <v>66</v>
      </c>
      <c r="F1320" s="135"/>
      <c r="G1320" s="1040"/>
    </row>
    <row r="1321" spans="1:7">
      <c r="A1321" s="884">
        <v>43279</v>
      </c>
      <c r="B1321" s="138" t="str">
        <f>TiposLancamentos!B6</f>
        <v>Energia Eletrica</v>
      </c>
      <c r="C1321" s="771" t="s">
        <v>5191</v>
      </c>
      <c r="D1321" s="197"/>
      <c r="E1321" s="857">
        <v>231.95</v>
      </c>
      <c r="F1321" s="135"/>
      <c r="G1321" s="1040"/>
    </row>
    <row r="1322" spans="1:7">
      <c r="A1322" s="884">
        <v>43279</v>
      </c>
      <c r="B1322" s="138" t="str">
        <f>TiposLancamentos!B19</f>
        <v>Restaurantes</v>
      </c>
      <c r="C1322" s="771" t="s">
        <v>17945</v>
      </c>
      <c r="D1322" s="197"/>
      <c r="E1322" s="857">
        <v>6.1</v>
      </c>
      <c r="F1322" s="135"/>
      <c r="G1322" s="1040"/>
    </row>
    <row r="1323" spans="1:7">
      <c r="A1323" s="884">
        <v>43279</v>
      </c>
      <c r="B1323" s="138" t="str">
        <f>TiposLancamentos!B19</f>
        <v>Restaurantes</v>
      </c>
      <c r="C1323" s="771" t="s">
        <v>7287</v>
      </c>
      <c r="D1323" s="197"/>
      <c r="E1323" s="857">
        <v>5.5</v>
      </c>
      <c r="F1323" s="135"/>
      <c r="G1323" s="1040"/>
    </row>
    <row r="1324" spans="1:7">
      <c r="A1324" s="884">
        <v>43280</v>
      </c>
      <c r="B1324" s="138" t="str">
        <f>TiposLancamentos!B95</f>
        <v>Salarios</v>
      </c>
      <c r="C1324" s="771" t="s">
        <v>17946</v>
      </c>
      <c r="D1324" s="197">
        <v>4838.93</v>
      </c>
      <c r="E1324" s="857"/>
      <c r="F1324" s="135"/>
      <c r="G1324" s="1040"/>
    </row>
    <row r="1325" spans="1:7">
      <c r="A1325" s="884">
        <v>43280</v>
      </c>
      <c r="B1325" s="138" t="str">
        <f>TiposLancamentos!B95</f>
        <v>Salarios</v>
      </c>
      <c r="C1325" s="771" t="s">
        <v>17362</v>
      </c>
      <c r="D1325" s="197">
        <v>8646.73</v>
      </c>
      <c r="E1325" s="857"/>
      <c r="F1325" s="135"/>
      <c r="G1325" s="1040"/>
    </row>
    <row r="1326" spans="1:7">
      <c r="A1326" s="884">
        <v>43280</v>
      </c>
      <c r="B1326" s="138" t="str">
        <f>TiposLancamentos!B19</f>
        <v>Restaurantes</v>
      </c>
      <c r="C1326" s="771" t="s">
        <v>11114</v>
      </c>
      <c r="D1326" s="197"/>
      <c r="E1326" s="857">
        <v>69.03</v>
      </c>
      <c r="F1326" s="135"/>
      <c r="G1326" s="1040"/>
    </row>
    <row r="1327" spans="1:7">
      <c r="A1327" s="884">
        <v>43281</v>
      </c>
      <c r="B1327" s="138" t="str">
        <f>TiposLancamentos!B16</f>
        <v>Cristiane</v>
      </c>
      <c r="C1327" s="771" t="s">
        <v>17947</v>
      </c>
      <c r="D1327" s="197"/>
      <c r="E1327" s="857">
        <v>37.5</v>
      </c>
      <c r="F1327" s="135"/>
      <c r="G1327" s="1040"/>
    </row>
    <row r="1328" spans="1:7">
      <c r="A1328" s="884">
        <v>43281</v>
      </c>
      <c r="B1328" s="138" t="str">
        <f>TiposLancamentos!B71</f>
        <v>Itens Pessoais</v>
      </c>
      <c r="C1328" s="771" t="s">
        <v>4232</v>
      </c>
      <c r="D1328" s="197"/>
      <c r="E1328" s="857">
        <f>F1328-E1327</f>
        <v>55.150000000000006</v>
      </c>
      <c r="F1328" s="135">
        <v>92.65</v>
      </c>
      <c r="G1328" s="1040"/>
    </row>
    <row r="1329" spans="1:7">
      <c r="A1329" s="884">
        <v>43281</v>
      </c>
      <c r="B1329" s="138" t="str">
        <f>TiposLancamentos!B57</f>
        <v>Informática</v>
      </c>
      <c r="C1329" s="771" t="s">
        <v>17948</v>
      </c>
      <c r="D1329" s="197"/>
      <c r="E1329" s="857">
        <v>59.9</v>
      </c>
      <c r="F1329" s="135"/>
      <c r="G1329" s="1040"/>
    </row>
    <row r="1330" spans="1:7">
      <c r="A1330" s="884">
        <v>43281</v>
      </c>
      <c r="B1330" s="138" t="str">
        <f>TiposLancamentos!B19</f>
        <v>Restaurantes</v>
      </c>
      <c r="C1330" s="771" t="s">
        <v>17949</v>
      </c>
      <c r="D1330" s="197"/>
      <c r="E1330" s="857">
        <v>96.91</v>
      </c>
      <c r="F1330" s="135"/>
      <c r="G1330" s="1040"/>
    </row>
    <row r="1331" spans="1:7">
      <c r="A1331" s="884">
        <v>43281</v>
      </c>
      <c r="B1331" s="138" t="str">
        <f>TiposLancamentos!B16</f>
        <v>Cristiane</v>
      </c>
      <c r="C1331" s="771" t="s">
        <v>17950</v>
      </c>
      <c r="D1331" s="197"/>
      <c r="E1331" s="857">
        <v>13.96</v>
      </c>
      <c r="F1331" s="135"/>
      <c r="G1331" s="1040"/>
    </row>
    <row r="1332" spans="1:7" ht="14.25" thickBot="1">
      <c r="A1332" s="884">
        <v>43281</v>
      </c>
      <c r="B1332" s="138" t="str">
        <f>TiposLancamentos!B16</f>
        <v>Cristiane</v>
      </c>
      <c r="C1332" s="771" t="s">
        <v>17951</v>
      </c>
      <c r="D1332" s="197"/>
      <c r="E1332" s="857">
        <v>67.790000000000006</v>
      </c>
      <c r="F1332" s="135"/>
      <c r="G1332" s="1040"/>
    </row>
    <row r="1333" spans="1:7">
      <c r="A1333" s="967"/>
      <c r="B1333" s="968"/>
      <c r="C1333" s="1093" t="s">
        <v>13818</v>
      </c>
      <c r="D1333" s="970"/>
      <c r="E1333" s="971"/>
      <c r="F1333" s="1712"/>
      <c r="G1333" s="1039"/>
    </row>
    <row r="1334" spans="1:7">
      <c r="A1334" s="884">
        <v>43282</v>
      </c>
      <c r="B1334" s="138" t="str">
        <f>TiposLancamentos!B19</f>
        <v>Restaurantes</v>
      </c>
      <c r="C1334" s="771" t="s">
        <v>17952</v>
      </c>
      <c r="D1334" s="197"/>
      <c r="E1334" s="857">
        <v>34</v>
      </c>
      <c r="F1334" s="135"/>
      <c r="G1334" s="1040"/>
    </row>
    <row r="1335" spans="1:7">
      <c r="A1335" s="884">
        <v>43282</v>
      </c>
      <c r="B1335" s="138" t="str">
        <f>TiposLancamentos!B5</f>
        <v>Supermercado</v>
      </c>
      <c r="C1335" s="771" t="s">
        <v>17953</v>
      </c>
      <c r="D1335" s="197"/>
      <c r="E1335" s="857">
        <v>93.06</v>
      </c>
      <c r="F1335" s="135"/>
      <c r="G1335" s="1040"/>
    </row>
    <row r="1336" spans="1:7">
      <c r="A1336" s="884">
        <v>43283</v>
      </c>
      <c r="B1336" s="138" t="str">
        <f>TiposLancamentos!B5</f>
        <v>Supermercado</v>
      </c>
      <c r="C1336" s="771" t="s">
        <v>16846</v>
      </c>
      <c r="D1336" s="197"/>
      <c r="E1336" s="857">
        <v>29.07</v>
      </c>
      <c r="F1336" s="135"/>
      <c r="G1336" s="1040"/>
    </row>
    <row r="1337" spans="1:7">
      <c r="A1337" s="884">
        <v>43283</v>
      </c>
      <c r="B1337" s="138" t="str">
        <f>TiposLancamentos!B15</f>
        <v>Cartões de Crédito</v>
      </c>
      <c r="C1337" s="771" t="s">
        <v>7332</v>
      </c>
      <c r="D1337" s="197"/>
      <c r="E1337" s="857">
        <v>273.08</v>
      </c>
      <c r="F1337" s="135"/>
      <c r="G1337" s="1040"/>
    </row>
    <row r="1338" spans="1:7">
      <c r="A1338" s="884">
        <v>43283</v>
      </c>
      <c r="B1338" s="138" t="str">
        <f>TiposLancamentos!B15</f>
        <v>Cartões de Crédito</v>
      </c>
      <c r="C1338" s="771" t="s">
        <v>7333</v>
      </c>
      <c r="D1338" s="197"/>
      <c r="E1338" s="857">
        <v>69.48</v>
      </c>
      <c r="F1338" s="135"/>
      <c r="G1338" s="1040"/>
    </row>
    <row r="1339" spans="1:7">
      <c r="A1339" s="884">
        <v>43283</v>
      </c>
      <c r="B1339" s="138" t="str">
        <f>TiposLancamentos!B15</f>
        <v>Cartões de Crédito</v>
      </c>
      <c r="C1339" s="771" t="s">
        <v>7781</v>
      </c>
      <c r="D1339" s="197"/>
      <c r="E1339" s="857">
        <v>459.81</v>
      </c>
      <c r="F1339" s="135"/>
      <c r="G1339" s="1040"/>
    </row>
    <row r="1340" spans="1:7">
      <c r="A1340" s="884">
        <v>43283</v>
      </c>
      <c r="B1340" s="138" t="str">
        <f>TiposLancamentos!B15</f>
        <v>Cartões de Crédito</v>
      </c>
      <c r="C1340" s="771" t="s">
        <v>7391</v>
      </c>
      <c r="D1340" s="197"/>
      <c r="E1340" s="857">
        <v>8890.6200000000008</v>
      </c>
      <c r="F1340" s="135"/>
      <c r="G1340" s="1040"/>
    </row>
    <row r="1341" spans="1:7">
      <c r="A1341" s="884">
        <v>43283</v>
      </c>
      <c r="B1341" s="138" t="str">
        <f>TiposLancamentos!B4</f>
        <v>Taxas Bancarias</v>
      </c>
      <c r="C1341" s="771" t="s">
        <v>17954</v>
      </c>
      <c r="D1341" s="197"/>
      <c r="E1341" s="954">
        <v>14.12</v>
      </c>
      <c r="F1341" s="135"/>
      <c r="G1341" s="1040"/>
    </row>
    <row r="1342" spans="1:7">
      <c r="A1342" s="884">
        <v>43283</v>
      </c>
      <c r="B1342" s="138" t="str">
        <f>TiposLancamentos!B4</f>
        <v>Taxas Bancarias</v>
      </c>
      <c r="C1342" s="771" t="s">
        <v>17955</v>
      </c>
      <c r="D1342" s="197"/>
      <c r="E1342" s="954">
        <v>36.700000000000003</v>
      </c>
      <c r="F1342" s="135"/>
      <c r="G1342" s="1040"/>
    </row>
    <row r="1343" spans="1:7">
      <c r="A1343" s="884">
        <v>43283</v>
      </c>
      <c r="B1343" s="138" t="str">
        <f>TiposLancamentos!B4</f>
        <v>Taxas Bancarias</v>
      </c>
      <c r="C1343" s="771" t="s">
        <v>17956</v>
      </c>
      <c r="D1343" s="197"/>
      <c r="E1343" s="954">
        <v>903.1</v>
      </c>
      <c r="F1343" s="135"/>
      <c r="G1343" s="1040"/>
    </row>
    <row r="1344" spans="1:7">
      <c r="A1344" s="884">
        <v>43283</v>
      </c>
      <c r="B1344" s="138" t="str">
        <f>TiposLancamentos!B103</f>
        <v>Juros_Corr. Poupança</v>
      </c>
      <c r="C1344" s="771" t="s">
        <v>17394</v>
      </c>
      <c r="D1344" s="197">
        <v>0.01</v>
      </c>
      <c r="E1344" s="857"/>
      <c r="F1344" s="135"/>
      <c r="G1344" s="1040"/>
    </row>
    <row r="1345" spans="1:7">
      <c r="A1345" s="884">
        <v>43284</v>
      </c>
      <c r="B1345" s="138" t="str">
        <f>TiposLancamentos!B80</f>
        <v>Mudanças</v>
      </c>
      <c r="C1345" s="771" t="s">
        <v>17957</v>
      </c>
      <c r="D1345" s="197"/>
      <c r="E1345" s="857">
        <v>220</v>
      </c>
      <c r="F1345" s="135"/>
      <c r="G1345" s="1040"/>
    </row>
    <row r="1346" spans="1:7">
      <c r="A1346" s="884">
        <v>43285</v>
      </c>
      <c r="B1346" s="138" t="str">
        <f>TiposLancamentos!B19</f>
        <v>Restaurantes</v>
      </c>
      <c r="C1346" s="771" t="s">
        <v>17958</v>
      </c>
      <c r="D1346" s="197"/>
      <c r="E1346" s="857">
        <v>10</v>
      </c>
      <c r="F1346" s="135"/>
      <c r="G1346" s="1040"/>
    </row>
    <row r="1347" spans="1:7">
      <c r="A1347" s="884">
        <v>43287</v>
      </c>
      <c r="B1347" s="138" t="str">
        <f>TiposLancamentos!B9</f>
        <v>Condominio</v>
      </c>
      <c r="C1347" s="771" t="s">
        <v>17683</v>
      </c>
      <c r="D1347" s="197"/>
      <c r="E1347" s="857">
        <v>1217.1600000000001</v>
      </c>
      <c r="F1347" s="135"/>
      <c r="G1347" s="1040"/>
    </row>
    <row r="1348" spans="1:7">
      <c r="A1348" s="884">
        <v>43288</v>
      </c>
      <c r="B1348" s="138" t="str">
        <f>TiposLancamentos!B69</f>
        <v>Consertos</v>
      </c>
      <c r="C1348" s="771" t="s">
        <v>17959</v>
      </c>
      <c r="D1348" s="197"/>
      <c r="E1348" s="857">
        <v>25.3</v>
      </c>
      <c r="F1348" s="135"/>
      <c r="G1348" s="1040"/>
    </row>
    <row r="1349" spans="1:7">
      <c r="A1349" s="884">
        <v>43288</v>
      </c>
      <c r="B1349" s="138" t="str">
        <f>TiposLancamentos!B24</f>
        <v>Estacionamentos</v>
      </c>
      <c r="C1349" s="771" t="s">
        <v>3398</v>
      </c>
      <c r="D1349" s="197"/>
      <c r="E1349" s="857">
        <v>11</v>
      </c>
      <c r="F1349" s="135"/>
      <c r="G1349" s="1040"/>
    </row>
    <row r="1350" spans="1:7">
      <c r="A1350" s="884">
        <v>43291</v>
      </c>
      <c r="B1350" s="138" t="str">
        <f>TiposLancamentos!B2</f>
        <v>Telefonia</v>
      </c>
      <c r="C1350" s="771" t="s">
        <v>17960</v>
      </c>
      <c r="D1350" s="197"/>
      <c r="E1350" s="857">
        <v>151.08000000000001</v>
      </c>
      <c r="F1350" s="135"/>
      <c r="G1350" s="1040"/>
    </row>
    <row r="1351" spans="1:7">
      <c r="A1351" s="919">
        <v>43291</v>
      </c>
      <c r="B1351" s="830" t="str">
        <f>TiposLancamentos!B8</f>
        <v>Aluguel</v>
      </c>
      <c r="C1351" s="915" t="s">
        <v>6163</v>
      </c>
      <c r="D1351" s="917"/>
      <c r="E1351" s="920">
        <f>F1353-(E1352+E1353)</f>
        <v>1763.3000000000002</v>
      </c>
      <c r="F1351" s="1701"/>
      <c r="G1351" s="1040"/>
    </row>
    <row r="1352" spans="1:7">
      <c r="A1352" s="930">
        <v>43291</v>
      </c>
      <c r="B1352" s="825" t="str">
        <f>TiposLancamentos!B12</f>
        <v>IPTU</v>
      </c>
      <c r="C1352" s="88" t="s">
        <v>6629</v>
      </c>
      <c r="D1352" s="828"/>
      <c r="E1352" s="931">
        <v>143.28</v>
      </c>
      <c r="F1352" s="1702"/>
      <c r="G1352" s="1040"/>
    </row>
    <row r="1353" spans="1:7">
      <c r="A1353" s="921">
        <v>43291</v>
      </c>
      <c r="B1353" s="833" t="str">
        <f>TiposLancamentos!B34</f>
        <v>Seguros</v>
      </c>
      <c r="C1353" s="916" t="s">
        <v>17398</v>
      </c>
      <c r="D1353" s="918"/>
      <c r="E1353" s="922">
        <v>259.11</v>
      </c>
      <c r="F1353" s="1703">
        <v>2165.69</v>
      </c>
      <c r="G1353" s="1040"/>
    </row>
    <row r="1354" spans="1:7">
      <c r="A1354" s="884">
        <v>43291</v>
      </c>
      <c r="B1354" s="138" t="str">
        <f>TiposLancamentos!B24</f>
        <v>Estacionamentos</v>
      </c>
      <c r="C1354" s="771" t="s">
        <v>17914</v>
      </c>
      <c r="D1354" s="197"/>
      <c r="E1354" s="857">
        <v>200</v>
      </c>
      <c r="F1354" s="135"/>
      <c r="G1354" s="1040"/>
    </row>
    <row r="1355" spans="1:7">
      <c r="A1355" s="1226">
        <v>43291</v>
      </c>
      <c r="B1355" s="1218" t="str">
        <f>TiposLancamentos!B60</f>
        <v>Correio</v>
      </c>
      <c r="C1355" s="1219" t="s">
        <v>17961</v>
      </c>
      <c r="D1355" s="1220"/>
      <c r="E1355" s="1221">
        <v>28</v>
      </c>
      <c r="F1355" s="1704"/>
      <c r="G1355" s="1040"/>
    </row>
    <row r="1356" spans="1:7">
      <c r="A1356" s="1228">
        <v>43291</v>
      </c>
      <c r="B1356" s="1222" t="str">
        <f>TiposLancamentos!B48</f>
        <v>Baralhos e Oráculos</v>
      </c>
      <c r="C1356" s="1223" t="s">
        <v>17962</v>
      </c>
      <c r="D1356" s="1224"/>
      <c r="E1356" s="1225">
        <v>60</v>
      </c>
      <c r="F1356" s="1705">
        <f>SUM(E1355:E1356)</f>
        <v>88</v>
      </c>
      <c r="G1356" s="1040"/>
    </row>
    <row r="1357" spans="1:7">
      <c r="A1357" s="884">
        <v>43291</v>
      </c>
      <c r="B1357" s="138" t="str">
        <f>TiposLancamentos!B71</f>
        <v>Itens Pessoais</v>
      </c>
      <c r="C1357" s="771" t="s">
        <v>8961</v>
      </c>
      <c r="D1357" s="197"/>
      <c r="E1357" s="857">
        <v>25</v>
      </c>
      <c r="F1357" s="135"/>
      <c r="G1357" s="1040"/>
    </row>
    <row r="1358" spans="1:7">
      <c r="A1358" s="884">
        <v>43292</v>
      </c>
      <c r="B1358" s="138" t="str">
        <f>TiposLancamentos!B88</f>
        <v>Ford Ecosport XLT</v>
      </c>
      <c r="C1358" s="771" t="s">
        <v>17963</v>
      </c>
      <c r="D1358" s="197"/>
      <c r="E1358" s="857">
        <v>45.72</v>
      </c>
      <c r="F1358" s="135"/>
      <c r="G1358" s="1040"/>
    </row>
    <row r="1359" spans="1:7">
      <c r="A1359" s="884">
        <v>43292</v>
      </c>
      <c r="B1359" s="138" t="str">
        <f>TiposLancamentos!B88</f>
        <v>Ford Ecosport XLT</v>
      </c>
      <c r="C1359" s="771" t="s">
        <v>17964</v>
      </c>
      <c r="D1359" s="197"/>
      <c r="E1359" s="857">
        <v>102.13</v>
      </c>
      <c r="F1359" s="135"/>
      <c r="G1359" s="1040"/>
    </row>
    <row r="1360" spans="1:7">
      <c r="A1360" s="884">
        <v>43293</v>
      </c>
      <c r="B1360" s="138" t="str">
        <f>TiposLancamentos!B59</f>
        <v>Documentos</v>
      </c>
      <c r="C1360" s="771" t="s">
        <v>17965</v>
      </c>
      <c r="D1360" s="197"/>
      <c r="E1360" s="857">
        <v>17.3</v>
      </c>
      <c r="F1360" s="135"/>
      <c r="G1360" s="1040"/>
    </row>
    <row r="1361" spans="1:7">
      <c r="A1361" s="884">
        <v>43293</v>
      </c>
      <c r="B1361" s="138" t="str">
        <f>TiposLancamentos!B24</f>
        <v>Estacionamentos</v>
      </c>
      <c r="C1361" s="771" t="s">
        <v>3253</v>
      </c>
      <c r="D1361" s="197"/>
      <c r="E1361" s="857">
        <v>5</v>
      </c>
      <c r="F1361" s="135"/>
      <c r="G1361" s="1040"/>
    </row>
    <row r="1362" spans="1:7">
      <c r="A1362" s="884">
        <v>43294</v>
      </c>
      <c r="B1362" s="138" t="str">
        <f>TiposLancamentos!B95</f>
        <v>Salarios</v>
      </c>
      <c r="C1362" s="771" t="s">
        <v>17966</v>
      </c>
      <c r="D1362" s="197">
        <v>3871.15</v>
      </c>
      <c r="E1362" s="857"/>
      <c r="F1362" s="135"/>
      <c r="G1362" s="1040"/>
    </row>
    <row r="1363" spans="1:7">
      <c r="A1363" s="884">
        <v>43294</v>
      </c>
      <c r="B1363" s="138" t="str">
        <f>TiposLancamentos!B105</f>
        <v>Transf. Bco</v>
      </c>
      <c r="C1363" s="771" t="s">
        <v>17967</v>
      </c>
      <c r="D1363" s="197">
        <v>4680</v>
      </c>
      <c r="E1363" s="857"/>
      <c r="F1363" s="135"/>
      <c r="G1363" s="1040"/>
    </row>
    <row r="1364" spans="1:7">
      <c r="A1364" s="884">
        <v>43295</v>
      </c>
      <c r="B1364" s="138" t="str">
        <f>TiposLancamentos!B16</f>
        <v>Cristiane</v>
      </c>
      <c r="C1364" s="771" t="s">
        <v>17968</v>
      </c>
      <c r="D1364" s="197"/>
      <c r="E1364" s="857">
        <v>23.84</v>
      </c>
      <c r="F1364" s="135"/>
      <c r="G1364" s="1040"/>
    </row>
    <row r="1365" spans="1:7">
      <c r="A1365" s="919">
        <v>43297</v>
      </c>
      <c r="B1365" s="830" t="str">
        <f>TiposLancamentos!B33</f>
        <v>Pedágios</v>
      </c>
      <c r="C1365" s="915" t="s">
        <v>5392</v>
      </c>
      <c r="D1365" s="917"/>
      <c r="E1365" s="920">
        <v>38.15</v>
      </c>
      <c r="F1365" s="1701"/>
      <c r="G1365" s="1040"/>
    </row>
    <row r="1366" spans="1:7">
      <c r="A1366" s="930">
        <v>43297</v>
      </c>
      <c r="B1366" s="825" t="str">
        <f>TiposLancamentos!B24</f>
        <v>Estacionamentos</v>
      </c>
      <c r="C1366" s="88" t="s">
        <v>5863</v>
      </c>
      <c r="D1366" s="828"/>
      <c r="E1366" s="931">
        <v>41</v>
      </c>
      <c r="F1366" s="1702"/>
      <c r="G1366" s="1040"/>
    </row>
    <row r="1367" spans="1:7">
      <c r="A1367" s="921">
        <v>43297</v>
      </c>
      <c r="B1367" s="833" t="str">
        <f>TiposLancamentos!B24</f>
        <v>Estacionamentos</v>
      </c>
      <c r="C1367" s="916" t="s">
        <v>6297</v>
      </c>
      <c r="D1367" s="918"/>
      <c r="E1367" s="922">
        <v>18</v>
      </c>
      <c r="F1367" s="1703">
        <f>SUM(E1365:E1367)</f>
        <v>97.15</v>
      </c>
      <c r="G1367" s="1040"/>
    </row>
    <row r="1368" spans="1:7">
      <c r="A1368" s="884">
        <v>43297</v>
      </c>
      <c r="B1368" s="138"/>
      <c r="C1368" s="771" t="s">
        <v>1868</v>
      </c>
      <c r="D1368" s="197"/>
      <c r="E1368" s="857"/>
      <c r="F1368" s="135"/>
      <c r="G1368" s="1040"/>
    </row>
    <row r="1369" spans="1:7">
      <c r="A1369" s="919">
        <v>43297</v>
      </c>
      <c r="B1369" s="830" t="str">
        <f>TiposLancamentos!B35</f>
        <v>Tv à Cabo</v>
      </c>
      <c r="C1369" s="915" t="s">
        <v>5834</v>
      </c>
      <c r="D1369" s="917"/>
      <c r="E1369" s="920">
        <v>154.68</v>
      </c>
      <c r="F1369" s="1701"/>
      <c r="G1369" s="1040"/>
    </row>
    <row r="1370" spans="1:7">
      <c r="A1370" s="930">
        <v>43297</v>
      </c>
      <c r="B1370" s="825" t="str">
        <f>TiposLancamentos!B3</f>
        <v>Internet</v>
      </c>
      <c r="C1370" s="88" t="s">
        <v>5835</v>
      </c>
      <c r="D1370" s="828"/>
      <c r="E1370" s="931">
        <v>91.31</v>
      </c>
      <c r="F1370" s="1702"/>
      <c r="G1370" s="1040"/>
    </row>
    <row r="1371" spans="1:7">
      <c r="A1371" s="921">
        <v>43297</v>
      </c>
      <c r="B1371" s="833" t="str">
        <f>TiposLancamentos!B2</f>
        <v>Telefonia</v>
      </c>
      <c r="C1371" s="916" t="s">
        <v>7210</v>
      </c>
      <c r="D1371" s="918"/>
      <c r="E1371" s="922">
        <v>0</v>
      </c>
      <c r="F1371" s="1703">
        <f>SUM(E1369:E1371)</f>
        <v>245.99</v>
      </c>
      <c r="G1371" s="1040"/>
    </row>
    <row r="1372" spans="1:7">
      <c r="A1372" s="884">
        <v>43297</v>
      </c>
      <c r="B1372" s="138" t="str">
        <f>TiposLancamentos!B13</f>
        <v>Moradia</v>
      </c>
      <c r="C1372" s="771" t="s">
        <v>17969</v>
      </c>
      <c r="D1372" s="197"/>
      <c r="E1372" s="857">
        <v>84</v>
      </c>
      <c r="F1372" s="135"/>
      <c r="G1372" s="1040"/>
    </row>
    <row r="1373" spans="1:7">
      <c r="A1373" s="884">
        <v>43299</v>
      </c>
      <c r="B1373" s="138" t="str">
        <f>TiposLancamentos!B19</f>
        <v>Restaurantes</v>
      </c>
      <c r="C1373" s="771" t="s">
        <v>7406</v>
      </c>
      <c r="D1373" s="197"/>
      <c r="E1373" s="857">
        <v>105.27</v>
      </c>
      <c r="F1373" s="135"/>
      <c r="G1373" s="1040"/>
    </row>
    <row r="1374" spans="1:7">
      <c r="A1374" s="884">
        <v>43300</v>
      </c>
      <c r="B1374" s="138" t="str">
        <f>TiposLancamentos!B20</f>
        <v>Saques</v>
      </c>
      <c r="C1374" s="771" t="s">
        <v>3604</v>
      </c>
      <c r="D1374" s="197"/>
      <c r="E1374" s="857">
        <v>40</v>
      </c>
      <c r="F1374" s="135"/>
      <c r="G1374" s="1040"/>
    </row>
    <row r="1375" spans="1:7">
      <c r="A1375" s="884">
        <v>43301</v>
      </c>
      <c r="B1375" s="138" t="str">
        <f>TiposLancamentos!B72</f>
        <v>Presentes</v>
      </c>
      <c r="C1375" s="771" t="s">
        <v>17970</v>
      </c>
      <c r="D1375" s="197"/>
      <c r="E1375" s="857">
        <v>62</v>
      </c>
      <c r="F1375" s="135"/>
      <c r="G1375" s="1040"/>
    </row>
    <row r="1376" spans="1:7">
      <c r="A1376" s="884">
        <v>43301</v>
      </c>
      <c r="B1376" s="138" t="str">
        <f>TiposLancamentos!B20</f>
        <v>Saques</v>
      </c>
      <c r="C1376" s="771" t="s">
        <v>4202</v>
      </c>
      <c r="D1376" s="197"/>
      <c r="E1376" s="857">
        <v>40</v>
      </c>
      <c r="F1376" s="135"/>
      <c r="G1376" s="1040"/>
    </row>
    <row r="1377" spans="1:7">
      <c r="A1377" s="884">
        <v>43301</v>
      </c>
      <c r="B1377" s="138" t="str">
        <f>TiposLancamentos!B20</f>
        <v>Saques</v>
      </c>
      <c r="C1377" s="771" t="s">
        <v>17971</v>
      </c>
      <c r="D1377" s="197"/>
      <c r="E1377" s="857">
        <v>90</v>
      </c>
      <c r="F1377" s="135"/>
      <c r="G1377" s="1040"/>
    </row>
    <row r="1378" spans="1:7">
      <c r="A1378" s="884">
        <v>43302</v>
      </c>
      <c r="B1378" s="138" t="str">
        <f>TiposLancamentos!B13</f>
        <v>Moradia</v>
      </c>
      <c r="C1378" s="771" t="s">
        <v>17972</v>
      </c>
      <c r="D1378" s="197"/>
      <c r="E1378" s="857">
        <v>42.8</v>
      </c>
      <c r="F1378" s="135"/>
      <c r="G1378" s="1040"/>
    </row>
    <row r="1379" spans="1:7">
      <c r="A1379" s="884">
        <v>43306</v>
      </c>
      <c r="B1379" s="138" t="str">
        <f>TiposLancamentos!B19</f>
        <v>Restaurantes</v>
      </c>
      <c r="C1379" s="771" t="s">
        <v>17973</v>
      </c>
      <c r="D1379" s="197"/>
      <c r="E1379" s="857">
        <v>23</v>
      </c>
      <c r="F1379" s="135"/>
      <c r="G1379" s="1040"/>
    </row>
    <row r="1380" spans="1:7">
      <c r="A1380" s="884">
        <v>43306</v>
      </c>
      <c r="B1380" s="138" t="str">
        <f>TiposLancamentos!B24</f>
        <v>Estacionamentos</v>
      </c>
      <c r="C1380" s="771" t="s">
        <v>14828</v>
      </c>
      <c r="D1380" s="197"/>
      <c r="E1380" s="857">
        <v>23</v>
      </c>
      <c r="F1380" s="135"/>
      <c r="G1380" s="1040"/>
    </row>
    <row r="1381" spans="1:7">
      <c r="A1381" s="884">
        <v>43307</v>
      </c>
      <c r="B1381" s="138" t="str">
        <f>TiposLancamentos!B27</f>
        <v>Jornais e revistas</v>
      </c>
      <c r="C1381" s="771" t="s">
        <v>17974</v>
      </c>
      <c r="D1381" s="197"/>
      <c r="E1381" s="857">
        <v>22.4</v>
      </c>
      <c r="F1381" s="135"/>
      <c r="G1381" s="1040"/>
    </row>
    <row r="1382" spans="1:7">
      <c r="A1382" s="884">
        <v>43307</v>
      </c>
      <c r="B1382" s="138" t="str">
        <f>TiposLancamentos!B19</f>
        <v>Restaurantes</v>
      </c>
      <c r="C1382" s="771" t="s">
        <v>17975</v>
      </c>
      <c r="D1382" s="197"/>
      <c r="E1382" s="857">
        <v>6.1</v>
      </c>
      <c r="F1382" s="135"/>
      <c r="G1382" s="1040"/>
    </row>
    <row r="1383" spans="1:7">
      <c r="A1383" s="884">
        <v>43308</v>
      </c>
      <c r="B1383" s="138" t="str">
        <f>TiposLancamentos!B19</f>
        <v>Restaurantes</v>
      </c>
      <c r="C1383" s="771" t="s">
        <v>17975</v>
      </c>
      <c r="D1383" s="197"/>
      <c r="E1383" s="857">
        <v>7.9</v>
      </c>
      <c r="F1383" s="135"/>
      <c r="G1383" s="1040"/>
    </row>
    <row r="1384" spans="1:7">
      <c r="A1384" s="884">
        <v>43309</v>
      </c>
      <c r="B1384" s="138" t="str">
        <f>TiposLancamentos!B70</f>
        <v>Vestuário</v>
      </c>
      <c r="C1384" s="771" t="s">
        <v>17976</v>
      </c>
      <c r="D1384" s="197"/>
      <c r="E1384" s="857">
        <v>1218</v>
      </c>
      <c r="F1384" s="135"/>
      <c r="G1384" s="1040"/>
    </row>
    <row r="1385" spans="1:7">
      <c r="A1385" s="884">
        <v>43311</v>
      </c>
      <c r="B1385" s="138" t="str">
        <f>TiposLancamentos!B95</f>
        <v>Salarios</v>
      </c>
      <c r="C1385" s="771" t="s">
        <v>17362</v>
      </c>
      <c r="D1385" s="197">
        <v>10524.2</v>
      </c>
      <c r="E1385" s="857"/>
      <c r="F1385" s="135"/>
      <c r="G1385" s="1040"/>
    </row>
    <row r="1386" spans="1:7">
      <c r="A1386" s="884">
        <v>43311</v>
      </c>
      <c r="B1386" s="138" t="str">
        <f>TiposLancamentos!B56</f>
        <v>Farmácia</v>
      </c>
      <c r="C1386" s="771" t="s">
        <v>17977</v>
      </c>
      <c r="D1386" s="197"/>
      <c r="E1386" s="857">
        <v>112.78</v>
      </c>
      <c r="F1386" s="135"/>
      <c r="G1386" s="1040"/>
    </row>
    <row r="1387" spans="1:7">
      <c r="A1387" s="884">
        <v>43311</v>
      </c>
      <c r="B1387" s="138" t="str">
        <f>TiposLancamentos!B5</f>
        <v>Supermercado</v>
      </c>
      <c r="C1387" s="771" t="s">
        <v>6234</v>
      </c>
      <c r="D1387" s="197"/>
      <c r="E1387" s="857">
        <v>249.09</v>
      </c>
      <c r="F1387" s="135"/>
      <c r="G1387" s="1040"/>
    </row>
    <row r="1388" spans="1:7" ht="14.25" thickBot="1">
      <c r="A1388" s="884">
        <v>43312</v>
      </c>
      <c r="B1388" s="138" t="str">
        <f>TiposLancamentos!B19</f>
        <v>Restaurantes</v>
      </c>
      <c r="C1388" s="771" t="s">
        <v>17978</v>
      </c>
      <c r="D1388" s="197"/>
      <c r="E1388" s="857">
        <v>14.5</v>
      </c>
      <c r="F1388" s="135"/>
      <c r="G1388" s="1040"/>
    </row>
    <row r="1389" spans="1:7">
      <c r="A1389" s="967"/>
      <c r="B1389" s="968"/>
      <c r="C1389" s="1093" t="s">
        <v>13819</v>
      </c>
      <c r="D1389" s="970"/>
      <c r="E1389" s="971"/>
      <c r="F1389" s="1712"/>
      <c r="G1389" s="1039"/>
    </row>
    <row r="1390" spans="1:7">
      <c r="A1390" s="884">
        <v>43313</v>
      </c>
      <c r="B1390" s="138" t="str">
        <f>TiposLancamentos!B24</f>
        <v>Estacionamentos</v>
      </c>
      <c r="C1390" s="771" t="s">
        <v>17698</v>
      </c>
      <c r="D1390" s="197"/>
      <c r="E1390" s="857">
        <v>15</v>
      </c>
      <c r="F1390" s="135"/>
      <c r="G1390" s="1040"/>
    </row>
    <row r="1391" spans="1:7">
      <c r="A1391" s="884">
        <v>43313</v>
      </c>
      <c r="B1391" s="138" t="str">
        <f>TiposLancamentos!B15</f>
        <v>Cartões de Crédito</v>
      </c>
      <c r="C1391" s="771" t="s">
        <v>7332</v>
      </c>
      <c r="D1391" s="197"/>
      <c r="E1391" s="857">
        <v>273.08</v>
      </c>
      <c r="F1391" s="135"/>
      <c r="G1391" s="1040"/>
    </row>
    <row r="1392" spans="1:7">
      <c r="A1392" s="884">
        <v>43313</v>
      </c>
      <c r="B1392" s="138" t="str">
        <f>TiposLancamentos!B15</f>
        <v>Cartões de Crédito</v>
      </c>
      <c r="C1392" s="771" t="s">
        <v>7781</v>
      </c>
      <c r="D1392" s="197"/>
      <c r="E1392" s="857">
        <v>470.16</v>
      </c>
      <c r="F1392" s="135"/>
      <c r="G1392" s="1040"/>
    </row>
    <row r="1393" spans="1:7">
      <c r="A1393" s="884">
        <v>43313</v>
      </c>
      <c r="B1393" s="138" t="str">
        <f>TiposLancamentos!B15</f>
        <v>Cartões de Crédito</v>
      </c>
      <c r="C1393" s="771" t="s">
        <v>7391</v>
      </c>
      <c r="D1393" s="197"/>
      <c r="E1393" s="857">
        <v>8519.7999999999993</v>
      </c>
      <c r="F1393" s="135"/>
      <c r="G1393" s="1040"/>
    </row>
    <row r="1394" spans="1:7">
      <c r="A1394" s="884">
        <v>43313</v>
      </c>
      <c r="B1394" s="138" t="str">
        <f>TiposLancamentos!B4</f>
        <v>Taxas Bancarias</v>
      </c>
      <c r="C1394" s="771" t="s">
        <v>17954</v>
      </c>
      <c r="D1394" s="197"/>
      <c r="E1394" s="857">
        <v>5.45</v>
      </c>
      <c r="F1394" s="135"/>
      <c r="G1394" s="1040"/>
    </row>
    <row r="1395" spans="1:7">
      <c r="A1395" s="884">
        <v>43313</v>
      </c>
      <c r="B1395" s="138" t="str">
        <f>TiposLancamentos!B4</f>
        <v>Taxas Bancarias</v>
      </c>
      <c r="C1395" s="771" t="s">
        <v>17955</v>
      </c>
      <c r="D1395" s="197"/>
      <c r="E1395" s="857">
        <v>32.799999999999997</v>
      </c>
      <c r="F1395" s="135"/>
      <c r="G1395" s="1040"/>
    </row>
    <row r="1396" spans="1:7">
      <c r="A1396" s="884">
        <v>43313</v>
      </c>
      <c r="B1396" s="138" t="str">
        <f>TiposLancamentos!B4</f>
        <v>Taxas Bancarias</v>
      </c>
      <c r="C1396" s="771" t="s">
        <v>17956</v>
      </c>
      <c r="D1396" s="197"/>
      <c r="E1396" s="857">
        <v>379.74</v>
      </c>
      <c r="F1396" s="135"/>
      <c r="G1396" s="1040"/>
    </row>
    <row r="1397" spans="1:7">
      <c r="A1397" s="884">
        <v>43313</v>
      </c>
      <c r="B1397" s="138" t="str">
        <f>TiposLancamentos!B103</f>
        <v>Juros_Corr. Poupança</v>
      </c>
      <c r="C1397" s="771" t="s">
        <v>17394</v>
      </c>
      <c r="D1397" s="197">
        <v>0.02</v>
      </c>
      <c r="E1397" s="857"/>
      <c r="F1397" s="135"/>
      <c r="G1397" s="1040"/>
    </row>
    <row r="1398" spans="1:7">
      <c r="A1398" s="884">
        <v>43317</v>
      </c>
      <c r="B1398" s="138" t="str">
        <f>TiposLancamentos!B19</f>
        <v>Restaurantes</v>
      </c>
      <c r="C1398" s="771" t="s">
        <v>17979</v>
      </c>
      <c r="D1398" s="197"/>
      <c r="E1398" s="857">
        <v>120</v>
      </c>
      <c r="F1398" s="135"/>
      <c r="G1398" s="1040"/>
    </row>
    <row r="1399" spans="1:7">
      <c r="A1399" s="884">
        <v>43317</v>
      </c>
      <c r="B1399" s="138" t="str">
        <f>TiposLancamentos!B16</f>
        <v>Cristiane</v>
      </c>
      <c r="C1399" s="771" t="s">
        <v>17980</v>
      </c>
      <c r="D1399" s="197"/>
      <c r="E1399" s="857">
        <v>70</v>
      </c>
      <c r="F1399" s="135"/>
      <c r="G1399" s="1040"/>
    </row>
    <row r="1400" spans="1:7">
      <c r="A1400" s="884">
        <v>43317</v>
      </c>
      <c r="B1400" s="138" t="str">
        <f>TiposLancamentos!B24</f>
        <v>Estacionamentos</v>
      </c>
      <c r="C1400" s="771" t="s">
        <v>7466</v>
      </c>
      <c r="D1400" s="197"/>
      <c r="E1400" s="857">
        <v>20</v>
      </c>
      <c r="F1400" s="135"/>
      <c r="G1400" s="1040"/>
    </row>
    <row r="1401" spans="1:7">
      <c r="A1401" s="884">
        <v>43318</v>
      </c>
      <c r="B1401" s="138" t="str">
        <f>TiposLancamentos!B9</f>
        <v>Condominio</v>
      </c>
      <c r="C1401" s="771" t="s">
        <v>17981</v>
      </c>
      <c r="D1401" s="197"/>
      <c r="E1401" s="857">
        <v>1251.1400000000001</v>
      </c>
      <c r="F1401" s="135"/>
      <c r="G1401" s="1040"/>
    </row>
    <row r="1402" spans="1:7">
      <c r="A1402" s="884">
        <v>43319</v>
      </c>
      <c r="B1402" s="138" t="str">
        <f>TiposLancamentos!B6</f>
        <v>Energia Eletrica</v>
      </c>
      <c r="C1402" s="771" t="s">
        <v>17982</v>
      </c>
      <c r="D1402" s="197"/>
      <c r="E1402" s="857">
        <v>276.69</v>
      </c>
      <c r="F1402" s="135"/>
      <c r="G1402" s="1040"/>
    </row>
    <row r="1403" spans="1:7">
      <c r="A1403" s="884">
        <v>43319</v>
      </c>
      <c r="B1403" s="138" t="str">
        <f>TiposLancamentos!B2</f>
        <v>Telefonia</v>
      </c>
      <c r="C1403" s="771" t="s">
        <v>14810</v>
      </c>
      <c r="D1403" s="197"/>
      <c r="E1403" s="857">
        <v>151.08000000000001</v>
      </c>
      <c r="F1403" s="135"/>
      <c r="G1403" s="1040"/>
    </row>
    <row r="1404" spans="1:7">
      <c r="A1404" s="919">
        <v>43322</v>
      </c>
      <c r="B1404" s="830" t="str">
        <f>TiposLancamentos!B8</f>
        <v>Aluguel</v>
      </c>
      <c r="C1404" s="915" t="s">
        <v>6163</v>
      </c>
      <c r="D1404" s="917"/>
      <c r="E1404" s="920">
        <f>F1406-(E1405+E1406)</f>
        <v>1761.8000000000002</v>
      </c>
      <c r="F1404" s="1701"/>
      <c r="G1404" s="1040"/>
    </row>
    <row r="1405" spans="1:7">
      <c r="A1405" s="930">
        <v>43322</v>
      </c>
      <c r="B1405" s="825" t="str">
        <f>TiposLancamentos!B12</f>
        <v>IPTU</v>
      </c>
      <c r="C1405" s="88" t="s">
        <v>6703</v>
      </c>
      <c r="D1405" s="828"/>
      <c r="E1405" s="931">
        <v>143.28</v>
      </c>
      <c r="F1405" s="1702"/>
      <c r="G1405" s="1040"/>
    </row>
    <row r="1406" spans="1:7">
      <c r="A1406" s="921">
        <v>43322</v>
      </c>
      <c r="B1406" s="833" t="str">
        <f>TiposLancamentos!B34</f>
        <v>Seguros</v>
      </c>
      <c r="C1406" s="916" t="s">
        <v>17415</v>
      </c>
      <c r="D1406" s="918"/>
      <c r="E1406" s="922">
        <v>259.11</v>
      </c>
      <c r="F1406" s="1703">
        <v>2164.19</v>
      </c>
      <c r="G1406" s="1040"/>
    </row>
    <row r="1407" spans="1:7">
      <c r="A1407" s="884">
        <v>43322</v>
      </c>
      <c r="B1407" s="138" t="str">
        <f>TiposLancamentos!B24</f>
        <v>Estacionamentos</v>
      </c>
      <c r="C1407" s="771" t="s">
        <v>17914</v>
      </c>
      <c r="D1407" s="197"/>
      <c r="E1407" s="857">
        <v>200</v>
      </c>
      <c r="F1407" s="135"/>
      <c r="G1407" s="1040"/>
    </row>
    <row r="1408" spans="1:7">
      <c r="A1408" s="884">
        <v>43323</v>
      </c>
      <c r="B1408" s="138" t="str">
        <f>TiposLancamentos!B20</f>
        <v>Saques</v>
      </c>
      <c r="C1408" s="771" t="s">
        <v>3900</v>
      </c>
      <c r="D1408" s="197"/>
      <c r="E1408" s="857">
        <v>40</v>
      </c>
      <c r="F1408" s="135"/>
      <c r="G1408" s="1040"/>
    </row>
    <row r="1409" spans="1:7">
      <c r="A1409" s="884">
        <v>43325</v>
      </c>
      <c r="B1409" s="138" t="str">
        <f>TiposLancamentos!B71</f>
        <v>Itens Pessoais</v>
      </c>
      <c r="C1409" s="771" t="s">
        <v>17983</v>
      </c>
      <c r="D1409" s="197"/>
      <c r="E1409" s="857">
        <v>25</v>
      </c>
      <c r="F1409" s="135"/>
      <c r="G1409" s="1040"/>
    </row>
    <row r="1410" spans="1:7">
      <c r="A1410" s="884">
        <v>43326</v>
      </c>
      <c r="B1410" s="138" t="str">
        <f>TiposLancamentos!B32</f>
        <v>Clinicas e tratamentos</v>
      </c>
      <c r="C1410" s="771" t="s">
        <v>17984</v>
      </c>
      <c r="D1410" s="197"/>
      <c r="E1410" s="857">
        <v>30</v>
      </c>
      <c r="F1410" s="135"/>
      <c r="G1410" s="1040"/>
    </row>
    <row r="1411" spans="1:7">
      <c r="A1411" s="919">
        <v>43327</v>
      </c>
      <c r="B1411" s="830" t="str">
        <f>TiposLancamentos!B33</f>
        <v>Pedágios</v>
      </c>
      <c r="C1411" s="915" t="s">
        <v>5392</v>
      </c>
      <c r="D1411" s="917"/>
      <c r="E1411" s="920">
        <v>38.15</v>
      </c>
      <c r="F1411" s="1701"/>
      <c r="G1411" s="1040"/>
    </row>
    <row r="1412" spans="1:7">
      <c r="A1412" s="930">
        <v>43327</v>
      </c>
      <c r="B1412" s="825" t="str">
        <f>TiposLancamentos!B24</f>
        <v>Estacionamentos</v>
      </c>
      <c r="C1412" s="88" t="s">
        <v>5863</v>
      </c>
      <c r="D1412" s="828"/>
      <c r="E1412" s="931">
        <v>34</v>
      </c>
      <c r="F1412" s="1702"/>
      <c r="G1412" s="1040"/>
    </row>
    <row r="1413" spans="1:7">
      <c r="A1413" s="921">
        <v>43327</v>
      </c>
      <c r="B1413" s="833" t="str">
        <f>TiposLancamentos!B24</f>
        <v>Estacionamentos</v>
      </c>
      <c r="C1413" s="916" t="s">
        <v>6297</v>
      </c>
      <c r="D1413" s="918"/>
      <c r="E1413" s="922">
        <v>59</v>
      </c>
      <c r="F1413" s="1703">
        <f>SUM(E1411:E1413)</f>
        <v>131.15</v>
      </c>
      <c r="G1413" s="1040"/>
    </row>
    <row r="1414" spans="1:7">
      <c r="A1414" s="884">
        <v>43327</v>
      </c>
      <c r="B1414" s="138"/>
      <c r="C1414" s="771" t="s">
        <v>1868</v>
      </c>
      <c r="D1414" s="197"/>
      <c r="E1414" s="857"/>
      <c r="F1414" s="135"/>
      <c r="G1414" s="1040"/>
    </row>
    <row r="1415" spans="1:7">
      <c r="A1415" s="919">
        <v>43327</v>
      </c>
      <c r="B1415" s="830" t="str">
        <f>TiposLancamentos!B35</f>
        <v>Tv à Cabo</v>
      </c>
      <c r="C1415" s="915" t="s">
        <v>5834</v>
      </c>
      <c r="D1415" s="917"/>
      <c r="E1415" s="920">
        <v>170</v>
      </c>
      <c r="F1415" s="1701"/>
      <c r="G1415" s="1040"/>
    </row>
    <row r="1416" spans="1:7">
      <c r="A1416" s="930">
        <v>43327</v>
      </c>
      <c r="B1416" s="825" t="str">
        <f>TiposLancamentos!B3</f>
        <v>Internet</v>
      </c>
      <c r="C1416" s="88" t="s">
        <v>5835</v>
      </c>
      <c r="D1416" s="828"/>
      <c r="E1416" s="931">
        <v>95.2</v>
      </c>
      <c r="F1416" s="1702"/>
      <c r="G1416" s="1040"/>
    </row>
    <row r="1417" spans="1:7">
      <c r="A1417" s="921">
        <v>43327</v>
      </c>
      <c r="B1417" s="833" t="str">
        <f>TiposLancamentos!B2</f>
        <v>Telefonia</v>
      </c>
      <c r="C1417" s="916" t="s">
        <v>7210</v>
      </c>
      <c r="D1417" s="918"/>
      <c r="E1417" s="922">
        <v>0</v>
      </c>
      <c r="F1417" s="1703">
        <f>SUM(E1415:E1417)</f>
        <v>265.2</v>
      </c>
      <c r="G1417" s="1040"/>
    </row>
    <row r="1418" spans="1:7">
      <c r="A1418" s="884">
        <v>43327</v>
      </c>
      <c r="B1418" s="138" t="str">
        <f>TiposLancamentos!B95</f>
        <v>Salarios</v>
      </c>
      <c r="C1418" s="771" t="s">
        <v>17966</v>
      </c>
      <c r="D1418" s="197">
        <v>3871.15</v>
      </c>
      <c r="E1418" s="857"/>
      <c r="F1418" s="135"/>
      <c r="G1418" s="1040"/>
    </row>
    <row r="1419" spans="1:7">
      <c r="A1419" s="884">
        <v>43332</v>
      </c>
      <c r="B1419" s="138" t="str">
        <f>TiposLancamentos!B20</f>
        <v>Saques</v>
      </c>
      <c r="C1419" s="771" t="s">
        <v>17985</v>
      </c>
      <c r="D1419" s="197"/>
      <c r="E1419" s="857">
        <v>150</v>
      </c>
      <c r="F1419" s="135"/>
      <c r="G1419" s="1040"/>
    </row>
    <row r="1420" spans="1:7">
      <c r="A1420" s="884">
        <v>43339</v>
      </c>
      <c r="B1420" s="138" t="str">
        <f>TiposLancamentos!B6</f>
        <v>Energia Eletrica</v>
      </c>
      <c r="C1420" s="771" t="s">
        <v>17986</v>
      </c>
      <c r="D1420" s="197"/>
      <c r="E1420" s="857">
        <v>319.49</v>
      </c>
      <c r="F1420" s="135"/>
      <c r="G1420" s="1040"/>
    </row>
    <row r="1421" spans="1:7">
      <c r="A1421" s="884">
        <v>43340</v>
      </c>
      <c r="B1421" s="138" t="str">
        <f>TiposLancamentos!B59</f>
        <v>Documentos</v>
      </c>
      <c r="C1421" s="771" t="s">
        <v>17987</v>
      </c>
      <c r="D1421" s="197"/>
      <c r="E1421" s="857">
        <v>900</v>
      </c>
      <c r="F1421" s="135"/>
      <c r="G1421" s="1040"/>
    </row>
    <row r="1422" spans="1:7">
      <c r="A1422" s="884">
        <v>43342</v>
      </c>
      <c r="B1422" s="138" t="str">
        <f>TiposLancamentos!B20</f>
        <v>Saques</v>
      </c>
      <c r="C1422" s="771" t="s">
        <v>17988</v>
      </c>
      <c r="D1422" s="197"/>
      <c r="E1422" s="857">
        <v>40</v>
      </c>
      <c r="F1422" s="135"/>
      <c r="G1422" s="1040"/>
    </row>
    <row r="1423" spans="1:7">
      <c r="A1423" s="884">
        <v>43342</v>
      </c>
      <c r="B1423" s="138" t="str">
        <f>TiposLancamentos!B19</f>
        <v>Restaurantes</v>
      </c>
      <c r="C1423" s="771" t="s">
        <v>7000</v>
      </c>
      <c r="D1423" s="197"/>
      <c r="E1423" s="857">
        <v>8</v>
      </c>
      <c r="F1423" s="135"/>
      <c r="G1423" s="1040"/>
    </row>
    <row r="1424" spans="1:7" ht="14.25" thickBot="1">
      <c r="A1424" s="884">
        <v>43342</v>
      </c>
      <c r="B1424" s="138" t="str">
        <f>TiposLancamentos!B95</f>
        <v>Salarios</v>
      </c>
      <c r="C1424" s="771" t="s">
        <v>17362</v>
      </c>
      <c r="D1424" s="197">
        <v>12188.15</v>
      </c>
      <c r="E1424" s="857"/>
      <c r="F1424" s="135"/>
      <c r="G1424" s="1040"/>
    </row>
    <row r="1425" spans="1:7">
      <c r="A1425" s="967"/>
      <c r="B1425" s="968"/>
      <c r="C1425" s="1093" t="s">
        <v>13823</v>
      </c>
      <c r="D1425" s="970"/>
      <c r="E1425" s="971"/>
      <c r="F1425" s="1712"/>
      <c r="G1425" s="1039"/>
    </row>
    <row r="1426" spans="1:7">
      <c r="A1426" s="884">
        <v>43344</v>
      </c>
      <c r="B1426" s="138" t="str">
        <f>TiposLancamentos!B19</f>
        <v>Restaurantes</v>
      </c>
      <c r="C1426" s="771" t="s">
        <v>17989</v>
      </c>
      <c r="D1426" s="197"/>
      <c r="E1426" s="857">
        <v>75.349999999999994</v>
      </c>
      <c r="F1426" s="135"/>
      <c r="G1426" s="1040"/>
    </row>
    <row r="1427" spans="1:7">
      <c r="A1427" s="884">
        <v>43344</v>
      </c>
      <c r="B1427" s="138" t="str">
        <f>TiposLancamentos!B5</f>
        <v>Supermercado</v>
      </c>
      <c r="C1427" s="771" t="s">
        <v>17990</v>
      </c>
      <c r="D1427" s="197"/>
      <c r="E1427" s="857">
        <v>65.739999999999995</v>
      </c>
      <c r="F1427" s="135"/>
      <c r="G1427" s="1040"/>
    </row>
    <row r="1428" spans="1:7">
      <c r="A1428" s="884">
        <v>43344</v>
      </c>
      <c r="B1428" s="138" t="str">
        <f>TiposLancamentos!B19</f>
        <v>Restaurantes</v>
      </c>
      <c r="C1428" s="771" t="s">
        <v>4790</v>
      </c>
      <c r="D1428" s="197"/>
      <c r="E1428" s="857">
        <v>8</v>
      </c>
      <c r="F1428" s="135"/>
      <c r="G1428" s="1040"/>
    </row>
    <row r="1429" spans="1:7">
      <c r="A1429" s="884">
        <v>43344</v>
      </c>
      <c r="B1429" s="138" t="str">
        <f>TiposLancamentos!B24</f>
        <v>Estacionamentos</v>
      </c>
      <c r="C1429" s="771" t="s">
        <v>3253</v>
      </c>
      <c r="D1429" s="197"/>
      <c r="E1429" s="857">
        <v>8</v>
      </c>
      <c r="F1429" s="135"/>
      <c r="G1429" s="1040"/>
    </row>
    <row r="1430" spans="1:7">
      <c r="A1430" s="884">
        <v>43346</v>
      </c>
      <c r="B1430" s="138" t="str">
        <f>TiposLancamentos!B15</f>
        <v>Cartões de Crédito</v>
      </c>
      <c r="C1430" s="771" t="s">
        <v>7332</v>
      </c>
      <c r="D1430" s="197"/>
      <c r="E1430" s="857">
        <v>273.08</v>
      </c>
      <c r="F1430" s="135"/>
      <c r="G1430" s="1040"/>
    </row>
    <row r="1431" spans="1:7">
      <c r="A1431" s="884">
        <v>43346</v>
      </c>
      <c r="B1431" s="138" t="str">
        <f>TiposLancamentos!B15</f>
        <v>Cartões de Crédito</v>
      </c>
      <c r="C1431" s="771" t="s">
        <v>7781</v>
      </c>
      <c r="D1431" s="197"/>
      <c r="E1431" s="857">
        <v>459.81</v>
      </c>
      <c r="F1431" s="135"/>
      <c r="G1431" s="1040"/>
    </row>
    <row r="1432" spans="1:7">
      <c r="A1432" s="884">
        <v>43346</v>
      </c>
      <c r="B1432" s="138" t="str">
        <f>TiposLancamentos!B15</f>
        <v>Cartões de Crédito</v>
      </c>
      <c r="C1432" s="771" t="s">
        <v>7391</v>
      </c>
      <c r="D1432" s="197"/>
      <c r="E1432" s="857">
        <v>10749.52</v>
      </c>
      <c r="F1432" s="135"/>
      <c r="G1432" s="1040"/>
    </row>
    <row r="1433" spans="1:7">
      <c r="A1433" s="1693">
        <v>43346</v>
      </c>
      <c r="B1433" s="1298" t="str">
        <f>TiposLancamentos!B52</f>
        <v>Multas</v>
      </c>
      <c r="C1433" s="1299" t="s">
        <v>17991</v>
      </c>
      <c r="D1433" s="1300"/>
      <c r="E1433" s="1301">
        <v>199.34</v>
      </c>
      <c r="F1433" s="1708"/>
      <c r="G1433" s="1040"/>
    </row>
    <row r="1434" spans="1:7">
      <c r="A1434" s="1694">
        <v>43346</v>
      </c>
      <c r="B1434" s="1295" t="str">
        <f>TiposLancamentos!B87</f>
        <v>P207-1.6-XS</v>
      </c>
      <c r="C1434" s="1695" t="s">
        <v>17992</v>
      </c>
      <c r="D1434" s="1296"/>
      <c r="E1434" s="1297">
        <v>45.72</v>
      </c>
      <c r="F1434" s="1709"/>
      <c r="G1434" s="1040"/>
    </row>
    <row r="1435" spans="1:7">
      <c r="A1435" s="1694">
        <v>43346</v>
      </c>
      <c r="B1435" s="1295" t="str">
        <f>TiposLancamentos!B87</f>
        <v>P207-1.6-XS</v>
      </c>
      <c r="C1435" s="1695" t="s">
        <v>17993</v>
      </c>
      <c r="D1435" s="1296"/>
      <c r="E1435" s="1297">
        <v>88.54</v>
      </c>
      <c r="F1435" s="1709"/>
      <c r="G1435" s="1040"/>
    </row>
    <row r="1436" spans="1:7">
      <c r="A1436" s="1696">
        <v>43346</v>
      </c>
      <c r="B1436" s="1302" t="str">
        <f>TiposLancamentos!B87</f>
        <v>P207-1.6-XS</v>
      </c>
      <c r="C1436" s="1303" t="s">
        <v>17994</v>
      </c>
      <c r="D1436" s="1304"/>
      <c r="E1436" s="1305">
        <v>11</v>
      </c>
      <c r="F1436" s="1710">
        <f>SUM(E1433:E1436)</f>
        <v>344.6</v>
      </c>
      <c r="G1436" s="1040"/>
    </row>
    <row r="1437" spans="1:7">
      <c r="A1437" s="884">
        <v>43346</v>
      </c>
      <c r="B1437" s="138" t="str">
        <f>TiposLancamentos!B52</f>
        <v>Multas</v>
      </c>
      <c r="C1437" s="771" t="s">
        <v>17995</v>
      </c>
      <c r="D1437" s="197"/>
      <c r="E1437" s="857">
        <v>262.92</v>
      </c>
      <c r="F1437" s="135"/>
      <c r="G1437" s="1040"/>
    </row>
    <row r="1438" spans="1:7">
      <c r="A1438" s="884">
        <v>43346</v>
      </c>
      <c r="B1438" s="138" t="str">
        <f>TiposLancamentos!B4</f>
        <v>Taxas Bancarias</v>
      </c>
      <c r="C1438" s="771" t="s">
        <v>17996</v>
      </c>
      <c r="D1438" s="197"/>
      <c r="E1438" s="857">
        <v>6.79</v>
      </c>
      <c r="F1438" s="135"/>
      <c r="G1438" s="1040"/>
    </row>
    <row r="1439" spans="1:7">
      <c r="A1439" s="884">
        <v>43346</v>
      </c>
      <c r="B1439" s="138" t="str">
        <f>TiposLancamentos!B4</f>
        <v>Taxas Bancarias</v>
      </c>
      <c r="C1439" s="771" t="s">
        <v>17997</v>
      </c>
      <c r="D1439" s="197"/>
      <c r="E1439" s="857">
        <v>26.53</v>
      </c>
      <c r="F1439" s="135"/>
      <c r="G1439" s="1040"/>
    </row>
    <row r="1440" spans="1:7">
      <c r="A1440" s="884">
        <v>43346</v>
      </c>
      <c r="B1440" s="138" t="str">
        <f>TiposLancamentos!B4</f>
        <v>Taxas Bancarias</v>
      </c>
      <c r="C1440" s="771" t="s">
        <v>17998</v>
      </c>
      <c r="D1440" s="197"/>
      <c r="E1440" s="857">
        <v>404.76</v>
      </c>
      <c r="F1440" s="135"/>
      <c r="G1440" s="1040"/>
    </row>
    <row r="1441" spans="1:7">
      <c r="A1441" s="884">
        <v>43346</v>
      </c>
      <c r="B1441" s="138" t="str">
        <f>TiposLancamentos!B103</f>
        <v>Juros_Corr. Poupança</v>
      </c>
      <c r="C1441" s="771" t="s">
        <v>17394</v>
      </c>
      <c r="D1441" s="197">
        <v>0.03</v>
      </c>
      <c r="E1441" s="857"/>
      <c r="F1441" s="135"/>
      <c r="G1441" s="1040"/>
    </row>
    <row r="1442" spans="1:7">
      <c r="A1442" s="884">
        <v>43349</v>
      </c>
      <c r="B1442" s="138" t="str">
        <f>TiposLancamentos!B9</f>
        <v>Condominio</v>
      </c>
      <c r="C1442" s="771" t="s">
        <v>17999</v>
      </c>
      <c r="D1442" s="197"/>
      <c r="E1442" s="857">
        <v>1234.1500000000001</v>
      </c>
      <c r="F1442" s="135"/>
      <c r="G1442" s="1040"/>
    </row>
    <row r="1443" spans="1:7">
      <c r="A1443" s="919">
        <v>43353</v>
      </c>
      <c r="B1443" s="830" t="str">
        <f>TiposLancamentos!B8</f>
        <v>Aluguel</v>
      </c>
      <c r="C1443" s="915" t="s">
        <v>6163</v>
      </c>
      <c r="D1443" s="917"/>
      <c r="E1443" s="920">
        <f>F1445-(E1444+E1445)</f>
        <v>1763.3000000000002</v>
      </c>
      <c r="F1443" s="1701"/>
      <c r="G1443" s="1040"/>
    </row>
    <row r="1444" spans="1:7">
      <c r="A1444" s="930">
        <v>43353</v>
      </c>
      <c r="B1444" s="825" t="str">
        <f>TiposLancamentos!B12</f>
        <v>IPTU</v>
      </c>
      <c r="C1444" s="88" t="s">
        <v>6755</v>
      </c>
      <c r="D1444" s="828"/>
      <c r="E1444" s="931">
        <v>143.28</v>
      </c>
      <c r="F1444" s="1702"/>
      <c r="G1444" s="1040"/>
    </row>
    <row r="1445" spans="1:7">
      <c r="A1445" s="921">
        <v>43353</v>
      </c>
      <c r="B1445" s="833" t="str">
        <f>TiposLancamentos!B34</f>
        <v>Seguros</v>
      </c>
      <c r="C1445" s="916" t="s">
        <v>14773</v>
      </c>
      <c r="D1445" s="918"/>
      <c r="E1445" s="922">
        <v>259.11</v>
      </c>
      <c r="F1445" s="1703">
        <v>2165.69</v>
      </c>
      <c r="G1445" s="1040"/>
    </row>
    <row r="1446" spans="1:7">
      <c r="A1446" s="884">
        <v>43353</v>
      </c>
      <c r="B1446" s="138" t="str">
        <f>TiposLancamentos!B24</f>
        <v>Estacionamentos</v>
      </c>
      <c r="C1446" s="771" t="s">
        <v>17914</v>
      </c>
      <c r="D1446" s="197"/>
      <c r="E1446" s="857">
        <v>200</v>
      </c>
      <c r="F1446" s="135"/>
      <c r="G1446" s="1040"/>
    </row>
    <row r="1447" spans="1:7">
      <c r="A1447" s="884">
        <v>43353</v>
      </c>
      <c r="B1447" s="138" t="str">
        <f>TiposLancamentos!B24</f>
        <v>Estacionamentos</v>
      </c>
      <c r="C1447" s="771" t="s">
        <v>14828</v>
      </c>
      <c r="D1447" s="197"/>
      <c r="E1447" s="857">
        <v>23</v>
      </c>
      <c r="F1447" s="135"/>
      <c r="G1447" s="1040"/>
    </row>
    <row r="1448" spans="1:7">
      <c r="A1448" s="884">
        <v>43353</v>
      </c>
      <c r="B1448" s="138" t="str">
        <f>TiposLancamentos!B2</f>
        <v>Telefonia</v>
      </c>
      <c r="C1448" s="771" t="s">
        <v>18000</v>
      </c>
      <c r="D1448" s="197"/>
      <c r="E1448" s="857">
        <v>151.08000000000001</v>
      </c>
      <c r="F1448" s="135"/>
      <c r="G1448" s="1040"/>
    </row>
    <row r="1449" spans="1:7">
      <c r="A1449" s="884">
        <v>43353</v>
      </c>
      <c r="B1449" s="138" t="str">
        <f>TiposLancamentos!B2</f>
        <v>Telefonia</v>
      </c>
      <c r="C1449" s="771" t="s">
        <v>18001</v>
      </c>
      <c r="D1449" s="197"/>
      <c r="E1449" s="857">
        <v>23.18</v>
      </c>
      <c r="F1449" s="135"/>
      <c r="G1449" s="1040"/>
    </row>
    <row r="1450" spans="1:7">
      <c r="A1450" s="884">
        <v>43354</v>
      </c>
      <c r="B1450" s="138" t="str">
        <f>TiposLancamentos!B24</f>
        <v>Estacionamentos</v>
      </c>
      <c r="C1450" s="771" t="s">
        <v>14828</v>
      </c>
      <c r="D1450" s="197"/>
      <c r="E1450" s="857">
        <v>23</v>
      </c>
      <c r="F1450" s="135"/>
      <c r="G1450" s="1040"/>
    </row>
    <row r="1451" spans="1:7">
      <c r="A1451" s="884">
        <v>43355</v>
      </c>
      <c r="B1451" s="138" t="str">
        <f>TiposLancamentos!B71</f>
        <v>Itens Pessoais</v>
      </c>
      <c r="C1451" s="771" t="s">
        <v>18002</v>
      </c>
      <c r="D1451" s="197"/>
      <c r="E1451" s="857">
        <v>25</v>
      </c>
      <c r="F1451" s="135"/>
      <c r="G1451" s="1040"/>
    </row>
    <row r="1452" spans="1:7">
      <c r="A1452" s="884">
        <v>43357</v>
      </c>
      <c r="B1452" s="138" t="str">
        <f>TiposLancamentos!B95</f>
        <v>Salarios</v>
      </c>
      <c r="C1452" s="771" t="s">
        <v>17966</v>
      </c>
      <c r="D1452" s="197">
        <v>3871.15</v>
      </c>
      <c r="E1452" s="857"/>
      <c r="F1452" s="135"/>
      <c r="G1452" s="1040"/>
    </row>
    <row r="1453" spans="1:7">
      <c r="A1453" s="884">
        <v>43358</v>
      </c>
      <c r="B1453" s="138" t="str">
        <f>TiposLancamentos!B20</f>
        <v>Saques</v>
      </c>
      <c r="C1453" s="771" t="s">
        <v>3604</v>
      </c>
      <c r="D1453" s="197"/>
      <c r="E1453" s="857">
        <v>100</v>
      </c>
      <c r="F1453" s="135"/>
      <c r="G1453" s="1040"/>
    </row>
    <row r="1454" spans="1:7">
      <c r="A1454" s="919">
        <v>43360</v>
      </c>
      <c r="B1454" s="830" t="str">
        <f>TiposLancamentos!B33</f>
        <v>Pedágios</v>
      </c>
      <c r="C1454" s="915" t="s">
        <v>5392</v>
      </c>
      <c r="D1454" s="917"/>
      <c r="E1454" s="920">
        <v>99.8</v>
      </c>
      <c r="F1454" s="1701"/>
      <c r="G1454" s="1040"/>
    </row>
    <row r="1455" spans="1:7">
      <c r="A1455" s="930">
        <v>43360</v>
      </c>
      <c r="B1455" s="825" t="str">
        <f>TiposLancamentos!B24</f>
        <v>Estacionamentos</v>
      </c>
      <c r="C1455" s="88" t="s">
        <v>5863</v>
      </c>
      <c r="D1455" s="828"/>
      <c r="E1455" s="931">
        <v>78</v>
      </c>
      <c r="F1455" s="1702"/>
      <c r="G1455" s="1040"/>
    </row>
    <row r="1456" spans="1:7">
      <c r="A1456" s="921">
        <v>43360</v>
      </c>
      <c r="B1456" s="833" t="str">
        <f>TiposLancamentos!B24</f>
        <v>Estacionamentos</v>
      </c>
      <c r="C1456" s="916" t="s">
        <v>6297</v>
      </c>
      <c r="D1456" s="918"/>
      <c r="E1456" s="922">
        <v>35</v>
      </c>
      <c r="F1456" s="1703">
        <f>SUM(E1454:E1456)</f>
        <v>212.8</v>
      </c>
      <c r="G1456" s="1040"/>
    </row>
    <row r="1457" spans="1:7">
      <c r="A1457" s="884">
        <v>43360</v>
      </c>
      <c r="B1457" s="138"/>
      <c r="C1457" s="771" t="s">
        <v>1868</v>
      </c>
      <c r="D1457" s="197"/>
      <c r="E1457" s="857"/>
      <c r="F1457" s="135"/>
      <c r="G1457" s="1040"/>
    </row>
    <row r="1458" spans="1:7">
      <c r="A1458" s="919">
        <v>43360</v>
      </c>
      <c r="B1458" s="830" t="str">
        <f>TiposLancamentos!B35</f>
        <v>Tv à Cabo</v>
      </c>
      <c r="C1458" s="915" t="s">
        <v>5834</v>
      </c>
      <c r="D1458" s="917"/>
      <c r="E1458" s="920">
        <v>170</v>
      </c>
      <c r="F1458" s="1701"/>
      <c r="G1458" s="1040"/>
    </row>
    <row r="1459" spans="1:7">
      <c r="A1459" s="930">
        <v>43360</v>
      </c>
      <c r="B1459" s="825" t="str">
        <f>TiposLancamentos!B3</f>
        <v>Internet</v>
      </c>
      <c r="C1459" s="88" t="s">
        <v>5835</v>
      </c>
      <c r="D1459" s="828"/>
      <c r="E1459" s="931">
        <v>95.2</v>
      </c>
      <c r="F1459" s="1702"/>
      <c r="G1459" s="1040"/>
    </row>
    <row r="1460" spans="1:7">
      <c r="A1460" s="921">
        <v>43360</v>
      </c>
      <c r="B1460" s="833" t="str">
        <f>TiposLancamentos!B2</f>
        <v>Telefonia</v>
      </c>
      <c r="C1460" s="916" t="s">
        <v>7210</v>
      </c>
      <c r="D1460" s="918"/>
      <c r="E1460" s="922">
        <v>0</v>
      </c>
      <c r="F1460" s="1703">
        <f>SUM(E1458:E1460)</f>
        <v>265.2</v>
      </c>
      <c r="G1460" s="1040"/>
    </row>
    <row r="1461" spans="1:7">
      <c r="A1461" s="884">
        <v>43360</v>
      </c>
      <c r="B1461" s="138" t="str">
        <f>TiposLancamentos!B98</f>
        <v>Restituições</v>
      </c>
      <c r="C1461" s="771" t="s">
        <v>18003</v>
      </c>
      <c r="D1461" s="197">
        <v>1085.54</v>
      </c>
      <c r="E1461" s="857"/>
      <c r="F1461" s="135"/>
      <c r="G1461" s="1040"/>
    </row>
    <row r="1462" spans="1:7">
      <c r="A1462" s="884">
        <v>43365</v>
      </c>
      <c r="B1462" s="138" t="str">
        <f>TiposLancamentos!B20</f>
        <v>Saques</v>
      </c>
      <c r="C1462" s="771" t="s">
        <v>4368</v>
      </c>
      <c r="D1462" s="197"/>
      <c r="E1462" s="857">
        <v>40</v>
      </c>
      <c r="F1462" s="135"/>
      <c r="G1462" s="1040"/>
    </row>
    <row r="1463" spans="1:7">
      <c r="A1463" s="884">
        <v>43372</v>
      </c>
      <c r="B1463" s="138" t="str">
        <f>TiposLancamentos!B6</f>
        <v>Energia Eletrica</v>
      </c>
      <c r="C1463" s="771" t="s">
        <v>17986</v>
      </c>
      <c r="D1463" s="197"/>
      <c r="E1463" s="857">
        <v>238.58</v>
      </c>
      <c r="F1463" s="135"/>
      <c r="G1463" s="1040"/>
    </row>
    <row r="1464" spans="1:7" ht="14.25" thickBot="1">
      <c r="A1464" s="884">
        <v>43371</v>
      </c>
      <c r="B1464" s="138" t="str">
        <f>TiposLancamentos!B95</f>
        <v>Salarios</v>
      </c>
      <c r="C1464" s="771" t="s">
        <v>17362</v>
      </c>
      <c r="D1464" s="197">
        <v>11384.06</v>
      </c>
      <c r="E1464" s="857"/>
      <c r="F1464" s="135"/>
      <c r="G1464" s="1040"/>
    </row>
    <row r="1465" spans="1:7">
      <c r="A1465" s="967"/>
      <c r="B1465" s="968"/>
      <c r="C1465" s="1093" t="s">
        <v>15290</v>
      </c>
      <c r="D1465" s="970"/>
      <c r="E1465" s="971"/>
      <c r="F1465" s="1712"/>
      <c r="G1465" s="1039"/>
    </row>
    <row r="1466" spans="1:7">
      <c r="A1466" s="884">
        <v>43374</v>
      </c>
      <c r="B1466" s="138" t="str">
        <f>TiposLancamentos!B15</f>
        <v>Cartões de Crédito</v>
      </c>
      <c r="C1466" s="771" t="s">
        <v>7332</v>
      </c>
      <c r="D1466" s="197"/>
      <c r="E1466" s="857">
        <v>273.08</v>
      </c>
      <c r="F1466" s="135"/>
      <c r="G1466" s="1040"/>
    </row>
    <row r="1467" spans="1:7">
      <c r="A1467" s="884">
        <v>43374</v>
      </c>
      <c r="B1467" s="138" t="str">
        <f>TiposLancamentos!B15</f>
        <v>Cartões de Crédito</v>
      </c>
      <c r="C1467" s="771" t="s">
        <v>7781</v>
      </c>
      <c r="D1467" s="197"/>
      <c r="E1467" s="857">
        <v>459.86</v>
      </c>
      <c r="F1467" s="135"/>
      <c r="G1467" s="1040"/>
    </row>
    <row r="1468" spans="1:7">
      <c r="A1468" s="884">
        <v>43374</v>
      </c>
      <c r="B1468" s="138" t="str">
        <f>TiposLancamentos!B15</f>
        <v>Cartões de Crédito</v>
      </c>
      <c r="C1468" s="771" t="s">
        <v>7391</v>
      </c>
      <c r="D1468" s="197"/>
      <c r="E1468" s="857">
        <v>10346.16</v>
      </c>
      <c r="F1468" s="135"/>
      <c r="G1468" s="1040"/>
    </row>
    <row r="1469" spans="1:7">
      <c r="A1469" s="884">
        <v>43374</v>
      </c>
      <c r="B1469" s="138" t="str">
        <f>TiposLancamentos!B4</f>
        <v>Taxas Bancarias</v>
      </c>
      <c r="C1469" s="771" t="s">
        <v>18004</v>
      </c>
      <c r="D1469" s="197"/>
      <c r="E1469" s="857">
        <v>9.52</v>
      </c>
      <c r="F1469" s="135"/>
      <c r="G1469" s="1040"/>
    </row>
    <row r="1470" spans="1:7">
      <c r="A1470" s="884">
        <v>43374</v>
      </c>
      <c r="B1470" s="138" t="str">
        <f>TiposLancamentos!B4</f>
        <v>Taxas Bancarias</v>
      </c>
      <c r="C1470" s="771" t="s">
        <v>18005</v>
      </c>
      <c r="D1470" s="197"/>
      <c r="E1470" s="857">
        <v>31.06</v>
      </c>
      <c r="F1470" s="135"/>
      <c r="G1470" s="1040"/>
    </row>
    <row r="1471" spans="1:7">
      <c r="A1471" s="884">
        <v>43374</v>
      </c>
      <c r="B1471" s="138" t="str">
        <f>TiposLancamentos!B4</f>
        <v>Taxas Bancarias</v>
      </c>
      <c r="C1471" s="771" t="s">
        <v>18006</v>
      </c>
      <c r="D1471" s="197"/>
      <c r="E1471" s="857">
        <v>669.51</v>
      </c>
      <c r="F1471" s="135"/>
      <c r="G1471" s="1040"/>
    </row>
    <row r="1472" spans="1:7">
      <c r="A1472" s="884">
        <v>43374</v>
      </c>
      <c r="B1472" s="138" t="str">
        <f>TiposLancamentos!B4</f>
        <v>Taxas Bancarias</v>
      </c>
      <c r="C1472" s="771" t="s">
        <v>17394</v>
      </c>
      <c r="D1472" s="197">
        <v>0.01</v>
      </c>
      <c r="E1472" s="857"/>
      <c r="F1472" s="135"/>
      <c r="G1472" s="1040"/>
    </row>
    <row r="1473" spans="1:7">
      <c r="A1473" s="884">
        <v>43376</v>
      </c>
      <c r="B1473" s="138" t="str">
        <f>TiposLancamentos!B71</f>
        <v>Itens Pessoais</v>
      </c>
      <c r="C1473" s="771" t="s">
        <v>7698</v>
      </c>
      <c r="D1473" s="197"/>
      <c r="E1473" s="857">
        <v>25</v>
      </c>
      <c r="F1473" s="135"/>
      <c r="G1473" s="1040"/>
    </row>
    <row r="1474" spans="1:7">
      <c r="A1474" s="884">
        <v>43376</v>
      </c>
      <c r="B1474" s="138" t="str">
        <f>TiposLancamentos!B59</f>
        <v>Documentos</v>
      </c>
      <c r="C1474" s="771" t="s">
        <v>18007</v>
      </c>
      <c r="D1474" s="197"/>
      <c r="E1474" s="857">
        <v>900</v>
      </c>
      <c r="F1474" s="135"/>
      <c r="G1474" s="1040"/>
    </row>
    <row r="1475" spans="1:7">
      <c r="A1475" s="884">
        <v>43377</v>
      </c>
      <c r="B1475" s="138" t="str">
        <f>TiposLancamentos!B24</f>
        <v>Estacionamentos</v>
      </c>
      <c r="C1475" s="771" t="s">
        <v>14828</v>
      </c>
      <c r="D1475" s="197"/>
      <c r="E1475" s="857">
        <v>23</v>
      </c>
      <c r="F1475" s="135"/>
      <c r="G1475" s="1040"/>
    </row>
    <row r="1476" spans="1:7">
      <c r="A1476" s="884">
        <v>43379</v>
      </c>
      <c r="B1476" s="138" t="str">
        <f>TiposLancamentos!B9</f>
        <v>Condominio</v>
      </c>
      <c r="C1476" s="771" t="s">
        <v>18008</v>
      </c>
      <c r="D1476" s="197"/>
      <c r="E1476" s="857">
        <v>1235.67</v>
      </c>
      <c r="F1476" s="135"/>
      <c r="G1476" s="1040"/>
    </row>
    <row r="1477" spans="1:7">
      <c r="A1477" s="884">
        <v>43380</v>
      </c>
      <c r="B1477" s="138" t="str">
        <f>TiposLancamentos!B2</f>
        <v>Telefonia</v>
      </c>
      <c r="C1477" s="771" t="s">
        <v>18009</v>
      </c>
      <c r="D1477" s="197"/>
      <c r="E1477" s="857">
        <v>169.45</v>
      </c>
      <c r="F1477" s="135"/>
      <c r="G1477" s="1040"/>
    </row>
    <row r="1478" spans="1:7">
      <c r="A1478" s="884">
        <v>43383</v>
      </c>
      <c r="B1478" s="830" t="str">
        <f>TiposLancamentos!B8</f>
        <v>Aluguel</v>
      </c>
      <c r="C1478" s="915" t="s">
        <v>6163</v>
      </c>
      <c r="D1478" s="917"/>
      <c r="E1478" s="920">
        <v>1920.3</v>
      </c>
      <c r="F1478" s="1701"/>
      <c r="G1478" s="1040"/>
    </row>
    <row r="1479" spans="1:7">
      <c r="A1479" s="884">
        <v>43383</v>
      </c>
      <c r="B1479" s="825" t="str">
        <f>TiposLancamentos!B12</f>
        <v>IPTU</v>
      </c>
      <c r="C1479" s="88" t="s">
        <v>6319</v>
      </c>
      <c r="D1479" s="828"/>
      <c r="E1479" s="931">
        <v>143.28</v>
      </c>
      <c r="F1479" s="1702"/>
      <c r="G1479" s="1040"/>
    </row>
    <row r="1480" spans="1:7">
      <c r="A1480" s="884">
        <v>43383</v>
      </c>
      <c r="B1480" s="833" t="str">
        <f>TiposLancamentos!B34</f>
        <v>Seguros</v>
      </c>
      <c r="C1480" s="916" t="s">
        <v>17436</v>
      </c>
      <c r="D1480" s="918"/>
      <c r="E1480" s="922">
        <v>0</v>
      </c>
      <c r="F1480" s="1703">
        <f>SUM(E1478:E1480)</f>
        <v>2063.58</v>
      </c>
      <c r="G1480" s="1040"/>
    </row>
    <row r="1481" spans="1:7">
      <c r="A1481" s="884">
        <v>43383</v>
      </c>
      <c r="B1481" s="138" t="str">
        <f>TiposLancamentos!B24</f>
        <v>Estacionamentos</v>
      </c>
      <c r="C1481" s="771" t="s">
        <v>17914</v>
      </c>
      <c r="D1481" s="197"/>
      <c r="E1481" s="857">
        <v>200</v>
      </c>
      <c r="F1481" s="135"/>
      <c r="G1481" s="1040"/>
    </row>
    <row r="1482" spans="1:7">
      <c r="A1482" s="884">
        <v>43384</v>
      </c>
      <c r="B1482" s="138" t="str">
        <f>TiposLancamentos!B20</f>
        <v>Saques</v>
      </c>
      <c r="C1482" s="771" t="s">
        <v>18010</v>
      </c>
      <c r="D1482" s="197"/>
      <c r="E1482" s="857">
        <v>200</v>
      </c>
      <c r="F1482" s="135"/>
      <c r="G1482" s="1040"/>
    </row>
    <row r="1483" spans="1:7">
      <c r="A1483" s="884">
        <v>43388</v>
      </c>
      <c r="B1483" s="138" t="str">
        <f>TiposLancamentos!B95</f>
        <v>Salarios</v>
      </c>
      <c r="C1483" s="771" t="s">
        <v>17966</v>
      </c>
      <c r="D1483" s="197">
        <v>3871.15</v>
      </c>
      <c r="E1483" s="857"/>
      <c r="F1483" s="135"/>
      <c r="G1483" s="1040"/>
    </row>
    <row r="1484" spans="1:7">
      <c r="A1484" s="884">
        <v>43388</v>
      </c>
      <c r="B1484" s="830" t="str">
        <f>TiposLancamentos!B33</f>
        <v>Pedágios</v>
      </c>
      <c r="C1484" s="915" t="s">
        <v>5392</v>
      </c>
      <c r="D1484" s="917"/>
      <c r="E1484" s="920">
        <f>F1486-E1486</f>
        <v>122.27000000000001</v>
      </c>
      <c r="F1484" s="1701"/>
      <c r="G1484" s="1040"/>
    </row>
    <row r="1485" spans="1:7">
      <c r="A1485" s="884">
        <v>43388</v>
      </c>
      <c r="B1485" s="825" t="str">
        <f>TiposLancamentos!B24</f>
        <v>Estacionamentos</v>
      </c>
      <c r="C1485" s="88" t="s">
        <v>5863</v>
      </c>
      <c r="D1485" s="828"/>
      <c r="E1485" s="931">
        <v>0</v>
      </c>
      <c r="F1485" s="1702"/>
      <c r="G1485" s="1040"/>
    </row>
    <row r="1486" spans="1:7">
      <c r="A1486" s="884">
        <v>43388</v>
      </c>
      <c r="B1486" s="833" t="str">
        <f>TiposLancamentos!B24</f>
        <v>Estacionamentos</v>
      </c>
      <c r="C1486" s="916" t="s">
        <v>6297</v>
      </c>
      <c r="D1486" s="918"/>
      <c r="E1486" s="922">
        <v>86.5</v>
      </c>
      <c r="F1486" s="1703">
        <v>208.77</v>
      </c>
      <c r="G1486" s="1040"/>
    </row>
    <row r="1487" spans="1:7">
      <c r="A1487" s="884">
        <v>43388</v>
      </c>
      <c r="B1487" s="138"/>
      <c r="C1487" s="771" t="s">
        <v>1868</v>
      </c>
      <c r="D1487" s="197"/>
      <c r="E1487" s="857"/>
      <c r="F1487" s="135"/>
      <c r="G1487" s="1040"/>
    </row>
    <row r="1488" spans="1:7">
      <c r="A1488" s="884">
        <v>43388</v>
      </c>
      <c r="B1488" s="830" t="str">
        <f>TiposLancamentos!B35</f>
        <v>Tv à Cabo</v>
      </c>
      <c r="C1488" s="915" t="s">
        <v>5834</v>
      </c>
      <c r="D1488" s="917"/>
      <c r="E1488" s="920">
        <v>170</v>
      </c>
      <c r="F1488" s="1701"/>
      <c r="G1488" s="1040"/>
    </row>
    <row r="1489" spans="1:7">
      <c r="A1489" s="884">
        <v>43388</v>
      </c>
      <c r="B1489" s="825" t="str">
        <f>TiposLancamentos!B3</f>
        <v>Internet</v>
      </c>
      <c r="C1489" s="88" t="s">
        <v>5835</v>
      </c>
      <c r="D1489" s="828"/>
      <c r="E1489" s="931">
        <v>95.2</v>
      </c>
      <c r="F1489" s="1702"/>
      <c r="G1489" s="1040"/>
    </row>
    <row r="1490" spans="1:7">
      <c r="A1490" s="884">
        <v>43388</v>
      </c>
      <c r="B1490" s="833" t="str">
        <f>TiposLancamentos!B2</f>
        <v>Telefonia</v>
      </c>
      <c r="C1490" s="916" t="s">
        <v>7210</v>
      </c>
      <c r="D1490" s="918"/>
      <c r="E1490" s="922">
        <v>0</v>
      </c>
      <c r="F1490" s="1703">
        <f>SUM(E1488:E1490)</f>
        <v>265.2</v>
      </c>
      <c r="G1490" s="1040"/>
    </row>
    <row r="1491" spans="1:7">
      <c r="A1491" s="884">
        <v>43389</v>
      </c>
      <c r="B1491" s="138" t="str">
        <f>TiposLancamentos!B20</f>
        <v>Saques</v>
      </c>
      <c r="C1491" s="771" t="s">
        <v>18011</v>
      </c>
      <c r="D1491" s="197"/>
      <c r="E1491" s="857">
        <v>50</v>
      </c>
      <c r="F1491" s="135"/>
      <c r="G1491" s="1040"/>
    </row>
    <row r="1492" spans="1:7">
      <c r="A1492" s="884">
        <v>43393</v>
      </c>
      <c r="B1492" s="138" t="str">
        <f>TiposLancamentos!B19</f>
        <v>Restaurantes</v>
      </c>
      <c r="C1492" s="771" t="s">
        <v>18012</v>
      </c>
      <c r="D1492" s="197"/>
      <c r="E1492" s="857">
        <v>66.650000000000006</v>
      </c>
      <c r="F1492" s="135"/>
      <c r="G1492" s="1040"/>
    </row>
    <row r="1493" spans="1:7">
      <c r="A1493" s="884">
        <v>43393</v>
      </c>
      <c r="B1493" s="138" t="str">
        <f>TiposLancamentos!B23</f>
        <v>P208 GRIFFE 1.6 AUT BUSINESS</v>
      </c>
      <c r="C1493" s="771" t="s">
        <v>18013</v>
      </c>
      <c r="D1493" s="197"/>
      <c r="E1493" s="857">
        <v>10.9</v>
      </c>
      <c r="F1493" s="135"/>
      <c r="G1493" s="1040"/>
    </row>
    <row r="1494" spans="1:7">
      <c r="A1494" s="884">
        <v>43396</v>
      </c>
      <c r="B1494" s="138" t="str">
        <f>TiposLancamentos!B32</f>
        <v>Clinicas e tratamentos</v>
      </c>
      <c r="C1494" s="771" t="s">
        <v>18014</v>
      </c>
      <c r="D1494" s="197"/>
      <c r="E1494" s="857">
        <v>250</v>
      </c>
      <c r="F1494" s="135"/>
      <c r="G1494" s="1040"/>
    </row>
    <row r="1495" spans="1:7">
      <c r="A1495" s="884">
        <v>43396</v>
      </c>
      <c r="B1495" s="138" t="str">
        <f>TiposLancamentos!B24</f>
        <v>Estacionamentos</v>
      </c>
      <c r="C1495" s="771" t="s">
        <v>18015</v>
      </c>
      <c r="D1495" s="197"/>
      <c r="E1495" s="857">
        <v>10</v>
      </c>
      <c r="F1495" s="135"/>
      <c r="G1495" s="1040"/>
    </row>
    <row r="1496" spans="1:7">
      <c r="A1496" s="884">
        <v>43397</v>
      </c>
      <c r="B1496" s="138" t="str">
        <f>TiposLancamentos!B20</f>
        <v>Saques</v>
      </c>
      <c r="C1496" s="771" t="s">
        <v>4719</v>
      </c>
      <c r="D1496" s="197"/>
      <c r="E1496" s="857">
        <v>20</v>
      </c>
      <c r="F1496" s="135"/>
      <c r="G1496" s="1040"/>
    </row>
    <row r="1497" spans="1:7">
      <c r="A1497" s="884">
        <v>43398</v>
      </c>
      <c r="B1497" s="138" t="str">
        <f>TiposLancamentos!B59</f>
        <v>Documentos</v>
      </c>
      <c r="C1497" s="771" t="s">
        <v>18016</v>
      </c>
      <c r="D1497" s="197"/>
      <c r="E1497" s="857">
        <v>219.35</v>
      </c>
      <c r="F1497" s="135"/>
      <c r="G1497" s="1040"/>
    </row>
    <row r="1498" spans="1:7">
      <c r="A1498" s="884">
        <v>43398</v>
      </c>
      <c r="B1498" s="138" t="str">
        <f>TiposLancamentos!B60</f>
        <v>Correio</v>
      </c>
      <c r="C1498" s="771" t="s">
        <v>18017</v>
      </c>
      <c r="D1498" s="197"/>
      <c r="E1498" s="857">
        <v>23</v>
      </c>
      <c r="F1498" s="135"/>
      <c r="G1498" s="1040"/>
    </row>
    <row r="1499" spans="1:7">
      <c r="A1499" s="884">
        <v>43398</v>
      </c>
      <c r="B1499" s="138" t="str">
        <f>TiposLancamentos!B24</f>
        <v>Estacionamentos</v>
      </c>
      <c r="C1499" s="771" t="s">
        <v>18018</v>
      </c>
      <c r="D1499" s="197"/>
      <c r="E1499" s="857">
        <v>7</v>
      </c>
      <c r="F1499" s="135"/>
      <c r="G1499" s="1040"/>
    </row>
    <row r="1500" spans="1:7">
      <c r="A1500" s="884">
        <v>43401</v>
      </c>
      <c r="B1500" s="138" t="str">
        <f>TiposLancamentos!B19</f>
        <v>Restaurantes</v>
      </c>
      <c r="C1500" s="771" t="s">
        <v>18019</v>
      </c>
      <c r="D1500" s="197"/>
      <c r="E1500" s="857">
        <v>66</v>
      </c>
      <c r="F1500" s="135"/>
      <c r="G1500" s="1040"/>
    </row>
    <row r="1501" spans="1:7">
      <c r="A1501" s="884">
        <v>43401</v>
      </c>
      <c r="B1501" s="138" t="str">
        <f>TiposLancamentos!B24</f>
        <v>Estacionamentos</v>
      </c>
      <c r="C1501" s="771" t="s">
        <v>3617</v>
      </c>
      <c r="D1501" s="197"/>
      <c r="E1501" s="857">
        <v>20</v>
      </c>
      <c r="F1501" s="135"/>
      <c r="G1501" s="1040"/>
    </row>
    <row r="1502" spans="1:7">
      <c r="A1502" s="884">
        <v>43401</v>
      </c>
      <c r="B1502" s="138" t="str">
        <f>TiposLancamentos!B57</f>
        <v>Informática</v>
      </c>
      <c r="C1502" s="771" t="s">
        <v>18020</v>
      </c>
      <c r="D1502" s="197"/>
      <c r="E1502" s="857">
        <v>60</v>
      </c>
      <c r="F1502" s="135"/>
      <c r="G1502" s="1040"/>
    </row>
    <row r="1503" spans="1:7">
      <c r="A1503" s="884">
        <v>43402</v>
      </c>
      <c r="B1503" s="138" t="str">
        <f>TiposLancamentos!B24</f>
        <v>Estacionamentos</v>
      </c>
      <c r="C1503" s="771" t="s">
        <v>18021</v>
      </c>
      <c r="D1503" s="197"/>
      <c r="E1503" s="857">
        <v>10</v>
      </c>
      <c r="F1503" s="135"/>
      <c r="G1503" s="1040"/>
    </row>
    <row r="1504" spans="1:7">
      <c r="A1504" s="884">
        <v>43403</v>
      </c>
      <c r="B1504" s="138" t="str">
        <f>TiposLancamentos!B20</f>
        <v>Saques</v>
      </c>
      <c r="C1504" s="771" t="s">
        <v>3604</v>
      </c>
      <c r="D1504" s="197"/>
      <c r="E1504" s="857">
        <v>40</v>
      </c>
      <c r="F1504" s="135"/>
      <c r="G1504" s="1040"/>
    </row>
    <row r="1505" spans="1:7">
      <c r="A1505" s="884">
        <v>43403</v>
      </c>
      <c r="B1505" s="138" t="str">
        <f>TiposLancamentos!B95</f>
        <v>Salarios</v>
      </c>
      <c r="C1505" s="771" t="s">
        <v>17362</v>
      </c>
      <c r="D1505" s="197">
        <v>5524.23</v>
      </c>
      <c r="E1505" s="857"/>
      <c r="F1505" s="135"/>
      <c r="G1505" s="1040"/>
    </row>
    <row r="1506" spans="1:7">
      <c r="A1506" s="884">
        <v>43404</v>
      </c>
      <c r="B1506" s="138" t="str">
        <f>TiposLancamentos!B6</f>
        <v>Energia Eletrica</v>
      </c>
      <c r="C1506" s="771" t="s">
        <v>17594</v>
      </c>
      <c r="D1506" s="197"/>
      <c r="E1506" s="857">
        <v>216.85</v>
      </c>
      <c r="F1506" s="135"/>
      <c r="G1506" s="1040"/>
    </row>
    <row r="1507" spans="1:7">
      <c r="A1507" s="884">
        <v>43404</v>
      </c>
      <c r="B1507" s="138" t="str">
        <f>TiposLancamentos!B23</f>
        <v>P208 GRIFFE 1.6 AUT BUSINESS</v>
      </c>
      <c r="C1507" s="771" t="s">
        <v>18022</v>
      </c>
      <c r="D1507" s="197"/>
      <c r="E1507" s="857">
        <v>80</v>
      </c>
      <c r="F1507" s="135"/>
      <c r="G1507" s="1040"/>
    </row>
    <row r="1508" spans="1:7" ht="14.25" thickBot="1">
      <c r="A1508" s="884">
        <v>43402</v>
      </c>
      <c r="B1508" s="138" t="str">
        <f>TiposLancamentos!B16</f>
        <v>Cristiane</v>
      </c>
      <c r="C1508" s="771" t="s">
        <v>18023</v>
      </c>
      <c r="D1508" s="197"/>
      <c r="E1508" s="857">
        <v>360</v>
      </c>
      <c r="F1508" s="135"/>
      <c r="G1508" s="1040"/>
    </row>
    <row r="1509" spans="1:7">
      <c r="A1509" s="967"/>
      <c r="B1509" s="968"/>
      <c r="C1509" s="1093" t="s">
        <v>13830</v>
      </c>
      <c r="D1509" s="970"/>
      <c r="E1509" s="971"/>
      <c r="F1509" s="1712"/>
      <c r="G1509" s="1039"/>
    </row>
    <row r="1510" spans="1:7">
      <c r="A1510" s="884">
        <v>43405</v>
      </c>
      <c r="B1510" s="138" t="str">
        <f>TiposLancamentos!B15</f>
        <v>Cartões de Crédito</v>
      </c>
      <c r="C1510" s="771" t="s">
        <v>7332</v>
      </c>
      <c r="D1510" s="197"/>
      <c r="E1510" s="857">
        <v>273.08</v>
      </c>
      <c r="F1510" s="135"/>
      <c r="G1510" s="1040"/>
    </row>
    <row r="1511" spans="1:7">
      <c r="A1511" s="884">
        <v>43405</v>
      </c>
      <c r="B1511" s="138" t="str">
        <f>TiposLancamentos!B15</f>
        <v>Cartões de Crédito</v>
      </c>
      <c r="C1511" s="771" t="s">
        <v>7781</v>
      </c>
      <c r="D1511" s="197"/>
      <c r="E1511" s="857">
        <v>491.73</v>
      </c>
      <c r="F1511" s="135"/>
      <c r="G1511" s="1040"/>
    </row>
    <row r="1512" spans="1:7">
      <c r="A1512" s="884">
        <v>43405</v>
      </c>
      <c r="B1512" s="138" t="str">
        <f>TiposLancamentos!B15</f>
        <v>Cartões de Crédito</v>
      </c>
      <c r="C1512" s="771" t="s">
        <v>7391</v>
      </c>
      <c r="D1512" s="197"/>
      <c r="E1512" s="857">
        <v>10211.469999999999</v>
      </c>
      <c r="F1512" s="135"/>
      <c r="G1512" s="1040"/>
    </row>
    <row r="1513" spans="1:7">
      <c r="A1513" s="884">
        <v>43405</v>
      </c>
      <c r="B1513" s="138" t="str">
        <f>TiposLancamentos!B4</f>
        <v>Taxas Bancarias</v>
      </c>
      <c r="C1513" s="771" t="s">
        <v>17996</v>
      </c>
      <c r="D1513" s="197"/>
      <c r="E1513" s="857">
        <v>15.09</v>
      </c>
      <c r="F1513" s="135"/>
      <c r="G1513" s="1040"/>
    </row>
    <row r="1514" spans="1:7">
      <c r="A1514" s="884">
        <v>43405</v>
      </c>
      <c r="B1514" s="138" t="str">
        <f>TiposLancamentos!B4</f>
        <v>Taxas Bancarias</v>
      </c>
      <c r="C1514" s="771" t="s">
        <v>18024</v>
      </c>
      <c r="D1514" s="197"/>
      <c r="E1514" s="857">
        <v>39.840000000000003</v>
      </c>
      <c r="F1514" s="135"/>
      <c r="G1514" s="1040"/>
    </row>
    <row r="1515" spans="1:7">
      <c r="A1515" s="884">
        <v>43405</v>
      </c>
      <c r="B1515" s="138" t="str">
        <f>TiposLancamentos!B4</f>
        <v>Taxas Bancarias</v>
      </c>
      <c r="C1515" s="771" t="s">
        <v>18025</v>
      </c>
      <c r="D1515" s="197"/>
      <c r="E1515" s="857">
        <v>860.47</v>
      </c>
      <c r="F1515" s="135"/>
      <c r="G1515" s="1040"/>
    </row>
    <row r="1516" spans="1:7">
      <c r="A1516" s="884">
        <v>43407</v>
      </c>
      <c r="B1516" s="138" t="str">
        <f>TiposLancamentos!B24</f>
        <v>Estacionamentos</v>
      </c>
      <c r="C1516" s="771" t="s">
        <v>3398</v>
      </c>
      <c r="D1516" s="197"/>
      <c r="E1516" s="857">
        <v>5</v>
      </c>
      <c r="F1516" s="135"/>
      <c r="G1516" s="1040"/>
    </row>
    <row r="1517" spans="1:7">
      <c r="A1517" s="884">
        <v>43409</v>
      </c>
      <c r="B1517" s="138" t="str">
        <f>TiposLancamentos!B17</f>
        <v>GATO</v>
      </c>
      <c r="C1517" s="771" t="s">
        <v>18026</v>
      </c>
      <c r="D1517" s="197"/>
      <c r="E1517" s="857">
        <v>11</v>
      </c>
      <c r="F1517" s="135"/>
      <c r="G1517" s="1040"/>
    </row>
    <row r="1518" spans="1:7">
      <c r="A1518" s="884">
        <v>43378</v>
      </c>
      <c r="B1518" s="138" t="str">
        <f>TiposLancamentos!B24</f>
        <v>Estacionamentos</v>
      </c>
      <c r="C1518" s="771" t="s">
        <v>18027</v>
      </c>
      <c r="D1518" s="197"/>
      <c r="E1518" s="857">
        <v>10</v>
      </c>
      <c r="F1518" s="135"/>
      <c r="G1518" s="1040"/>
    </row>
    <row r="1519" spans="1:7">
      <c r="A1519" s="884">
        <v>43410</v>
      </c>
      <c r="B1519" s="138" t="str">
        <f>TiposLancamentos!B20</f>
        <v>Saques</v>
      </c>
      <c r="C1519" s="771" t="s">
        <v>18028</v>
      </c>
      <c r="D1519" s="197"/>
      <c r="E1519" s="857">
        <v>20</v>
      </c>
      <c r="F1519" s="135"/>
      <c r="G1519" s="1040"/>
    </row>
    <row r="1520" spans="1:7">
      <c r="A1520" s="884">
        <v>43410</v>
      </c>
      <c r="B1520" s="138" t="str">
        <f>TiposLancamentos!B9</f>
        <v>Condominio</v>
      </c>
      <c r="C1520" s="771" t="s">
        <v>18029</v>
      </c>
      <c r="D1520" s="197"/>
      <c r="E1520" s="857">
        <v>1217.1600000000001</v>
      </c>
      <c r="F1520" s="135"/>
      <c r="G1520" s="1040"/>
    </row>
    <row r="1521" spans="1:7">
      <c r="A1521" s="884">
        <v>43411</v>
      </c>
      <c r="B1521" s="138" t="str">
        <f>TiposLancamentos!B99</f>
        <v>Venda de algo</v>
      </c>
      <c r="C1521" s="771" t="s">
        <v>18030</v>
      </c>
      <c r="D1521" s="197">
        <v>14600</v>
      </c>
      <c r="E1521" s="857"/>
      <c r="F1521" s="135"/>
      <c r="G1521" s="1040"/>
    </row>
    <row r="1522" spans="1:7">
      <c r="A1522" s="884">
        <v>43411</v>
      </c>
      <c r="B1522" s="138" t="str">
        <f>TiposLancamentos!B2</f>
        <v>Telefonia</v>
      </c>
      <c r="C1522" s="771" t="s">
        <v>6318</v>
      </c>
      <c r="D1522" s="197"/>
      <c r="E1522" s="857">
        <v>122.99</v>
      </c>
      <c r="F1522" s="135"/>
      <c r="G1522" s="1040"/>
    </row>
    <row r="1523" spans="1:7">
      <c r="A1523" s="884">
        <v>43411</v>
      </c>
      <c r="B1523" s="138" t="str">
        <f>TiposLancamentos!B2</f>
        <v>Telefonia</v>
      </c>
      <c r="C1523" s="771" t="s">
        <v>18031</v>
      </c>
      <c r="D1523" s="197"/>
      <c r="E1523" s="857">
        <v>70.290000000000006</v>
      </c>
      <c r="F1523" s="135"/>
      <c r="G1523" s="1040"/>
    </row>
    <row r="1524" spans="1:7">
      <c r="A1524" s="884">
        <v>43414</v>
      </c>
      <c r="B1524" s="138" t="str">
        <f>TiposLancamentos!B19</f>
        <v>Restaurantes</v>
      </c>
      <c r="C1524" s="771" t="s">
        <v>18032</v>
      </c>
      <c r="D1524" s="197"/>
      <c r="E1524" s="857">
        <v>126</v>
      </c>
      <c r="F1524" s="135"/>
      <c r="G1524" s="1040"/>
    </row>
    <row r="1525" spans="1:7">
      <c r="A1525" s="884">
        <v>43414</v>
      </c>
      <c r="B1525" s="138" t="str">
        <f>TiposLancamentos!B24</f>
        <v>Estacionamentos</v>
      </c>
      <c r="C1525" s="771" t="s">
        <v>7466</v>
      </c>
      <c r="D1525" s="197"/>
      <c r="E1525" s="857">
        <v>20</v>
      </c>
      <c r="F1525" s="135"/>
      <c r="G1525" s="1040"/>
    </row>
    <row r="1526" spans="1:7">
      <c r="A1526" s="884">
        <v>43413</v>
      </c>
      <c r="B1526" s="138" t="str">
        <f>TiposLancamentos!B71</f>
        <v>Itens Pessoais</v>
      </c>
      <c r="C1526" s="771" t="s">
        <v>2035</v>
      </c>
      <c r="D1526" s="197"/>
      <c r="E1526" s="857">
        <v>30</v>
      </c>
      <c r="F1526" s="135"/>
      <c r="G1526" s="1040"/>
    </row>
    <row r="1527" spans="1:7">
      <c r="A1527" s="884">
        <v>43416</v>
      </c>
      <c r="B1527" s="830" t="str">
        <f>TiposLancamentos!B8</f>
        <v>Aluguel</v>
      </c>
      <c r="C1527" s="915" t="s">
        <v>6163</v>
      </c>
      <c r="D1527" s="917"/>
      <c r="E1527" s="920">
        <f>1914+4.8</f>
        <v>1918.8</v>
      </c>
      <c r="F1527" s="1701"/>
      <c r="G1527" s="1040"/>
    </row>
    <row r="1528" spans="1:7">
      <c r="A1528" s="884">
        <v>43416</v>
      </c>
      <c r="B1528" s="825" t="str">
        <f>TiposLancamentos!B12</f>
        <v>IPTU</v>
      </c>
      <c r="C1528" s="88" t="s">
        <v>6876</v>
      </c>
      <c r="D1528" s="828"/>
      <c r="E1528" s="931">
        <v>143.28</v>
      </c>
      <c r="F1528" s="1702"/>
      <c r="G1528" s="1040"/>
    </row>
    <row r="1529" spans="1:7">
      <c r="A1529" s="884">
        <v>43416</v>
      </c>
      <c r="B1529" s="833" t="str">
        <f>TiposLancamentos!B34</f>
        <v>Seguros</v>
      </c>
      <c r="C1529" s="916" t="s">
        <v>17748</v>
      </c>
      <c r="D1529" s="918"/>
      <c r="E1529" s="922">
        <v>275.73</v>
      </c>
      <c r="F1529" s="1703">
        <f>SUM(E1527:E1529)</f>
        <v>2337.81</v>
      </c>
      <c r="G1529" s="1040"/>
    </row>
    <row r="1530" spans="1:7">
      <c r="A1530" s="884">
        <v>43416</v>
      </c>
      <c r="B1530" s="138" t="str">
        <f>TiposLancamentos!B24</f>
        <v>Estacionamentos</v>
      </c>
      <c r="C1530" s="771" t="s">
        <v>17914</v>
      </c>
      <c r="D1530" s="197"/>
      <c r="E1530" s="857">
        <v>200</v>
      </c>
      <c r="F1530" s="135"/>
      <c r="G1530" s="1040"/>
    </row>
    <row r="1531" spans="1:7">
      <c r="A1531" s="884">
        <v>43416</v>
      </c>
      <c r="B1531" s="138" t="str">
        <f>TiposLancamentos!B24</f>
        <v>Estacionamentos</v>
      </c>
      <c r="C1531" s="771" t="s">
        <v>18033</v>
      </c>
      <c r="D1531" s="197"/>
      <c r="E1531" s="857">
        <v>10</v>
      </c>
      <c r="F1531" s="135"/>
      <c r="G1531" s="1040"/>
    </row>
    <row r="1532" spans="1:7">
      <c r="A1532" s="884">
        <v>43418</v>
      </c>
      <c r="B1532" s="138" t="str">
        <f>TiposLancamentos!B95</f>
        <v>Salarios</v>
      </c>
      <c r="C1532" s="771" t="s">
        <v>17966</v>
      </c>
      <c r="D1532" s="197">
        <v>3871.15</v>
      </c>
      <c r="E1532" s="857"/>
      <c r="F1532" s="135"/>
      <c r="G1532" s="1040"/>
    </row>
    <row r="1533" spans="1:7" ht="14.25" customHeight="1">
      <c r="A1533" s="884">
        <v>43418</v>
      </c>
      <c r="B1533" s="138" t="str">
        <f>TiposLancamentos!B24</f>
        <v>Estacionamentos</v>
      </c>
      <c r="C1533" s="771" t="s">
        <v>18034</v>
      </c>
      <c r="D1533" s="197"/>
      <c r="E1533" s="857">
        <v>8</v>
      </c>
      <c r="F1533" s="135"/>
      <c r="G1533" s="1040"/>
    </row>
    <row r="1534" spans="1:7">
      <c r="A1534" s="884">
        <v>43419</v>
      </c>
      <c r="B1534" s="830" t="str">
        <f>TiposLancamentos!B33</f>
        <v>Pedágios</v>
      </c>
      <c r="C1534" s="915" t="s">
        <v>5392</v>
      </c>
      <c r="D1534" s="917"/>
      <c r="E1534" s="920">
        <f>F1536-E1536</f>
        <v>47.06</v>
      </c>
      <c r="F1534" s="1701"/>
      <c r="G1534" s="1040"/>
    </row>
    <row r="1535" spans="1:7">
      <c r="A1535" s="884">
        <v>43419</v>
      </c>
      <c r="B1535" s="825" t="str">
        <f>TiposLancamentos!B24</f>
        <v>Estacionamentos</v>
      </c>
      <c r="C1535" s="88" t="s">
        <v>7366</v>
      </c>
      <c r="D1535" s="828"/>
      <c r="E1535" s="931">
        <v>0</v>
      </c>
      <c r="F1535" s="1702"/>
      <c r="G1535" s="1040"/>
    </row>
    <row r="1536" spans="1:7">
      <c r="A1536" s="884">
        <v>43419</v>
      </c>
      <c r="B1536" s="833" t="str">
        <f>TiposLancamentos!B24</f>
        <v>Estacionamentos</v>
      </c>
      <c r="C1536" s="916" t="s">
        <v>6297</v>
      </c>
      <c r="D1536" s="918"/>
      <c r="E1536" s="922">
        <v>24</v>
      </c>
      <c r="F1536" s="1703">
        <v>71.06</v>
      </c>
      <c r="G1536" s="1040"/>
    </row>
    <row r="1537" spans="1:7">
      <c r="A1537" s="884">
        <v>43419</v>
      </c>
      <c r="B1537" s="138"/>
      <c r="C1537" s="771" t="s">
        <v>1868</v>
      </c>
      <c r="D1537" s="197"/>
      <c r="E1537" s="857"/>
      <c r="F1537" s="135"/>
      <c r="G1537" s="1040"/>
    </row>
    <row r="1538" spans="1:7">
      <c r="A1538" s="884">
        <v>43420</v>
      </c>
      <c r="B1538" s="830" t="str">
        <f>TiposLancamentos!B35</f>
        <v>Tv à Cabo</v>
      </c>
      <c r="C1538" s="915" t="s">
        <v>5834</v>
      </c>
      <c r="D1538" s="917"/>
      <c r="E1538" s="920">
        <v>170</v>
      </c>
      <c r="F1538" s="1701"/>
      <c r="G1538" s="1040"/>
    </row>
    <row r="1539" spans="1:7">
      <c r="A1539" s="884">
        <v>43420</v>
      </c>
      <c r="B1539" s="825" t="str">
        <f>TiposLancamentos!B3</f>
        <v>Internet</v>
      </c>
      <c r="C1539" s="88" t="s">
        <v>5835</v>
      </c>
      <c r="D1539" s="828"/>
      <c r="E1539" s="931">
        <v>95.2</v>
      </c>
      <c r="F1539" s="1702"/>
      <c r="G1539" s="1040"/>
    </row>
    <row r="1540" spans="1:7">
      <c r="A1540" s="884">
        <v>43420</v>
      </c>
      <c r="B1540" s="833" t="str">
        <f>TiposLancamentos!B2</f>
        <v>Telefonia</v>
      </c>
      <c r="C1540" s="916" t="s">
        <v>7210</v>
      </c>
      <c r="D1540" s="918"/>
      <c r="E1540" s="922">
        <v>0</v>
      </c>
      <c r="F1540" s="1703">
        <f>SUM(E1538:E1540)</f>
        <v>265.2</v>
      </c>
      <c r="G1540" s="1040"/>
    </row>
    <row r="1541" spans="1:7">
      <c r="A1541" s="884">
        <v>43420</v>
      </c>
      <c r="B1541" s="138" t="str">
        <f>TiposLancamentos!B20</f>
        <v>Saques</v>
      </c>
      <c r="C1541" s="771" t="s">
        <v>4368</v>
      </c>
      <c r="D1541" s="197"/>
      <c r="E1541" s="857">
        <v>40</v>
      </c>
      <c r="F1541" s="135"/>
      <c r="G1541" s="1040"/>
    </row>
    <row r="1542" spans="1:7">
      <c r="A1542" s="884">
        <v>43389</v>
      </c>
      <c r="B1542" s="138" t="str">
        <f>TiposLancamentos!B21</f>
        <v>Transf. Poupanca</v>
      </c>
      <c r="C1542" s="771" t="s">
        <v>18035</v>
      </c>
      <c r="D1542" s="197"/>
      <c r="E1542" s="857">
        <v>50</v>
      </c>
      <c r="F1542" s="135"/>
      <c r="G1542" s="1040"/>
    </row>
    <row r="1543" spans="1:7">
      <c r="A1543" s="884">
        <v>43421</v>
      </c>
      <c r="B1543" s="138" t="str">
        <f>TiposLancamentos!B19</f>
        <v>Restaurantes</v>
      </c>
      <c r="C1543" s="771" t="s">
        <v>3680</v>
      </c>
      <c r="D1543" s="197"/>
      <c r="E1543" s="857">
        <v>24.42</v>
      </c>
      <c r="F1543" s="135"/>
      <c r="G1543" s="1040"/>
    </row>
    <row r="1544" spans="1:7">
      <c r="A1544" s="884">
        <v>43421</v>
      </c>
      <c r="B1544" s="138" t="str">
        <f>TiposLancamentos!B5</f>
        <v>Supermercado</v>
      </c>
      <c r="C1544" s="771" t="s">
        <v>7907</v>
      </c>
      <c r="D1544" s="197"/>
      <c r="E1544" s="857">
        <v>39.229999999999997</v>
      </c>
      <c r="F1544" s="135"/>
      <c r="G1544" s="1040"/>
    </row>
    <row r="1545" spans="1:7">
      <c r="A1545" s="884">
        <v>43421</v>
      </c>
      <c r="B1545" s="138" t="str">
        <f>TiposLancamentos!B24</f>
        <v>Estacionamentos</v>
      </c>
      <c r="C1545" s="771" t="s">
        <v>3398</v>
      </c>
      <c r="D1545" s="197"/>
      <c r="E1545" s="857">
        <v>8</v>
      </c>
      <c r="F1545" s="135"/>
      <c r="G1545" s="1040"/>
    </row>
    <row r="1546" spans="1:7">
      <c r="A1546" s="884">
        <v>43421</v>
      </c>
      <c r="B1546" s="138" t="str">
        <f>TiposLancamentos!B19</f>
        <v>Restaurantes</v>
      </c>
      <c r="C1546" s="771" t="s">
        <v>6413</v>
      </c>
      <c r="D1546" s="197"/>
      <c r="E1546" s="857">
        <v>76.45</v>
      </c>
      <c r="F1546" s="135"/>
      <c r="G1546" s="1040"/>
    </row>
    <row r="1547" spans="1:7">
      <c r="A1547" s="884">
        <v>43421</v>
      </c>
      <c r="B1547" s="138" t="str">
        <f>TiposLancamentos!B5</f>
        <v>Supermercado</v>
      </c>
      <c r="C1547" s="771" t="s">
        <v>18036</v>
      </c>
      <c r="D1547" s="197"/>
      <c r="E1547" s="857">
        <v>17</v>
      </c>
      <c r="F1547" s="135"/>
      <c r="G1547" s="1040"/>
    </row>
    <row r="1548" spans="1:7">
      <c r="A1548" s="884">
        <v>43422</v>
      </c>
      <c r="B1548" s="240" t="str">
        <f>TiposLancamentos!B19</f>
        <v>Restaurantes</v>
      </c>
      <c r="C1548" s="878" t="s">
        <v>2934</v>
      </c>
      <c r="D1548" s="63"/>
      <c r="E1548" s="857">
        <v>28.86</v>
      </c>
      <c r="F1548" s="135"/>
      <c r="G1548" s="1040"/>
    </row>
    <row r="1549" spans="1:7">
      <c r="A1549" s="884">
        <v>43422</v>
      </c>
      <c r="B1549" s="138" t="str">
        <f>TiposLancamentos!B69</f>
        <v>Consertos</v>
      </c>
      <c r="C1549" s="771" t="s">
        <v>18037</v>
      </c>
      <c r="D1549" s="197"/>
      <c r="E1549" s="857">
        <v>50</v>
      </c>
      <c r="F1549" s="135"/>
      <c r="G1549" s="1040"/>
    </row>
    <row r="1550" spans="1:7">
      <c r="A1550" s="884">
        <v>43427</v>
      </c>
      <c r="B1550" s="138" t="str">
        <f>TiposLancamentos!B74</f>
        <v>Noite</v>
      </c>
      <c r="C1550" s="771" t="s">
        <v>18038</v>
      </c>
      <c r="D1550" s="197"/>
      <c r="E1550" s="857">
        <v>260</v>
      </c>
      <c r="F1550" s="135"/>
      <c r="G1550" s="1040"/>
    </row>
    <row r="1551" spans="1:7">
      <c r="A1551" s="884">
        <v>43430</v>
      </c>
      <c r="B1551" s="138" t="str">
        <f>TiposLancamentos!B20</f>
        <v>Saques</v>
      </c>
      <c r="C1551" s="771" t="s">
        <v>4325</v>
      </c>
      <c r="D1551" s="197"/>
      <c r="E1551" s="857">
        <v>40</v>
      </c>
      <c r="F1551" s="135"/>
      <c r="G1551" s="1040"/>
    </row>
    <row r="1552" spans="1:7">
      <c r="A1552" s="884">
        <v>43432</v>
      </c>
      <c r="B1552" s="138" t="str">
        <f>TiposLancamentos!B6</f>
        <v>Energia Eletrica</v>
      </c>
      <c r="C1552" s="771" t="s">
        <v>7008</v>
      </c>
      <c r="D1552" s="197"/>
      <c r="E1552" s="857">
        <v>292.33</v>
      </c>
      <c r="F1552" s="135"/>
      <c r="G1552" s="1040"/>
    </row>
    <row r="1553" spans="1:7">
      <c r="A1553" s="884">
        <v>43433</v>
      </c>
      <c r="B1553" s="138" t="str">
        <f>TiposLancamentos!B71</f>
        <v>Itens Pessoais</v>
      </c>
      <c r="C1553" s="771" t="s">
        <v>2035</v>
      </c>
      <c r="D1553" s="197"/>
      <c r="E1553" s="857">
        <v>30</v>
      </c>
      <c r="F1553" s="135"/>
      <c r="G1553" s="1040"/>
    </row>
    <row r="1554" spans="1:7">
      <c r="A1554" s="884">
        <v>43434</v>
      </c>
      <c r="B1554" s="138" t="str">
        <f>TiposLancamentos!B95</f>
        <v>Salarios</v>
      </c>
      <c r="C1554" s="771" t="s">
        <v>17362</v>
      </c>
      <c r="D1554" s="197">
        <v>3377.87</v>
      </c>
      <c r="E1554" s="857"/>
      <c r="F1554" s="135"/>
      <c r="G1554" s="1040"/>
    </row>
    <row r="1555" spans="1:7" ht="14.25" thickBot="1">
      <c r="A1555" s="884">
        <v>43434</v>
      </c>
      <c r="B1555" s="138" t="str">
        <f>TiposLancamentos!B56</f>
        <v>Farmácia</v>
      </c>
      <c r="C1555" s="771" t="s">
        <v>18039</v>
      </c>
      <c r="D1555" s="197"/>
      <c r="E1555" s="857">
        <v>37.130000000000003</v>
      </c>
      <c r="F1555" s="135"/>
      <c r="G1555" s="1040"/>
    </row>
    <row r="1556" spans="1:7">
      <c r="A1556" s="967"/>
      <c r="B1556" s="968"/>
      <c r="C1556" s="1093" t="s">
        <v>15894</v>
      </c>
      <c r="D1556" s="970"/>
      <c r="E1556" s="971"/>
      <c r="F1556" s="1712"/>
      <c r="G1556" s="1039"/>
    </row>
    <row r="1557" spans="1:7">
      <c r="A1557" s="884">
        <v>43435</v>
      </c>
      <c r="B1557" s="138" t="str">
        <f>TiposLancamentos!B5</f>
        <v>Supermercado</v>
      </c>
      <c r="C1557" s="771" t="s">
        <v>18040</v>
      </c>
      <c r="D1557" s="197"/>
      <c r="E1557" s="857">
        <v>4.38</v>
      </c>
      <c r="F1557" s="135"/>
      <c r="G1557" s="1040"/>
    </row>
    <row r="1558" spans="1:7">
      <c r="A1558" s="884">
        <v>43436</v>
      </c>
      <c r="B1558" s="138" t="str">
        <f>TiposLancamentos!B20</f>
        <v>Saques</v>
      </c>
      <c r="C1558" s="771" t="s">
        <v>18041</v>
      </c>
      <c r="D1558" s="197"/>
      <c r="E1558" s="857">
        <v>210</v>
      </c>
      <c r="F1558" s="135"/>
      <c r="G1558" s="1040"/>
    </row>
    <row r="1559" spans="1:7">
      <c r="A1559" s="884">
        <v>43437</v>
      </c>
      <c r="B1559" s="138" t="str">
        <f>TiposLancamentos!B15</f>
        <v>Cartões de Crédito</v>
      </c>
      <c r="C1559" s="771" t="s">
        <v>7332</v>
      </c>
      <c r="D1559" s="197"/>
      <c r="E1559" s="857">
        <v>273.08</v>
      </c>
      <c r="F1559" s="135"/>
      <c r="G1559" s="1040"/>
    </row>
    <row r="1560" spans="1:7">
      <c r="A1560" s="884">
        <v>43437</v>
      </c>
      <c r="B1560" s="138" t="str">
        <f>TiposLancamentos!B15</f>
        <v>Cartões de Crédito</v>
      </c>
      <c r="C1560" s="771" t="s">
        <v>7781</v>
      </c>
      <c r="D1560" s="197"/>
      <c r="E1560" s="857">
        <v>459.81</v>
      </c>
      <c r="F1560" s="135"/>
      <c r="G1560" s="1040"/>
    </row>
    <row r="1561" spans="1:7">
      <c r="A1561" s="884">
        <v>43437</v>
      </c>
      <c r="B1561" s="138" t="str">
        <f>TiposLancamentos!B15</f>
        <v>Cartões de Crédito</v>
      </c>
      <c r="C1561" s="771" t="s">
        <v>7391</v>
      </c>
      <c r="D1561" s="197"/>
      <c r="E1561" s="857">
        <v>9555.4</v>
      </c>
      <c r="F1561" s="135"/>
      <c r="G1561" s="1040"/>
    </row>
    <row r="1562" spans="1:7">
      <c r="A1562" s="884">
        <v>43437</v>
      </c>
      <c r="B1562" s="138" t="str">
        <f>TiposLancamentos!B4</f>
        <v>Taxas Bancarias</v>
      </c>
      <c r="C1562" s="771" t="s">
        <v>18042</v>
      </c>
      <c r="D1562" s="197"/>
      <c r="E1562" s="857">
        <v>7.55</v>
      </c>
      <c r="F1562" s="135"/>
      <c r="G1562" s="1040"/>
    </row>
    <row r="1563" spans="1:7">
      <c r="A1563" s="884">
        <v>43437</v>
      </c>
      <c r="B1563" s="138" t="str">
        <f>TiposLancamentos!B4</f>
        <v>Taxas Bancarias</v>
      </c>
      <c r="C1563" s="771" t="s">
        <v>18043</v>
      </c>
      <c r="D1563" s="197"/>
      <c r="E1563" s="857">
        <v>63.18</v>
      </c>
      <c r="F1563" s="135"/>
      <c r="G1563" s="1040"/>
    </row>
    <row r="1564" spans="1:7">
      <c r="A1564" s="884">
        <v>43437</v>
      </c>
      <c r="B1564" s="138" t="str">
        <f>TiposLancamentos!B4</f>
        <v>Taxas Bancarias</v>
      </c>
      <c r="C1564" s="771" t="s">
        <v>18044</v>
      </c>
      <c r="D1564" s="197"/>
      <c r="E1564" s="857">
        <v>377.46</v>
      </c>
      <c r="F1564" s="135"/>
      <c r="G1564" s="1040"/>
    </row>
    <row r="1565" spans="1:7">
      <c r="A1565" s="884">
        <v>43438</v>
      </c>
      <c r="B1565" s="138" t="str">
        <f>TiposLancamentos!B103</f>
        <v>Juros_Corr. Poupança</v>
      </c>
      <c r="C1565" s="771" t="s">
        <v>17394</v>
      </c>
      <c r="D1565" s="197">
        <v>0.01</v>
      </c>
      <c r="E1565" s="857"/>
      <c r="F1565" s="135"/>
      <c r="G1565" s="1040"/>
    </row>
    <row r="1566" spans="1:7">
      <c r="A1566" s="884">
        <v>43438</v>
      </c>
      <c r="B1566" s="138" t="str">
        <f>TiposLancamentos!B2</f>
        <v>Telefonia</v>
      </c>
      <c r="C1566" s="771" t="s">
        <v>18045</v>
      </c>
      <c r="D1566" s="197"/>
      <c r="E1566" s="857">
        <v>7.97</v>
      </c>
      <c r="F1566" s="135"/>
      <c r="G1566" s="1040"/>
    </row>
    <row r="1567" spans="1:7">
      <c r="A1567" s="884">
        <v>43438</v>
      </c>
      <c r="B1567" s="138" t="str">
        <f>TiposLancamentos!B20</f>
        <v>Saques</v>
      </c>
      <c r="C1567" s="771" t="s">
        <v>4325</v>
      </c>
      <c r="D1567" s="197"/>
      <c r="E1567" s="857">
        <v>70</v>
      </c>
      <c r="F1567" s="135"/>
      <c r="G1567" s="1040"/>
    </row>
    <row r="1568" spans="1:7">
      <c r="A1568" s="884">
        <v>43440</v>
      </c>
      <c r="B1568" s="138" t="str">
        <f>TiposLancamentos!B9</f>
        <v>Condominio</v>
      </c>
      <c r="C1568" s="771" t="s">
        <v>18046</v>
      </c>
      <c r="D1568" s="197"/>
      <c r="E1568" s="857">
        <v>1272.69</v>
      </c>
      <c r="F1568" s="135"/>
      <c r="G1568" s="1040"/>
    </row>
    <row r="1569" spans="1:7">
      <c r="A1569" s="884">
        <v>43440</v>
      </c>
      <c r="B1569" s="138" t="str">
        <f>TiposLancamentos!B20</f>
        <v>Saques</v>
      </c>
      <c r="C1569" s="771" t="s">
        <v>3900</v>
      </c>
      <c r="D1569" s="197"/>
      <c r="E1569" s="857">
        <v>70</v>
      </c>
      <c r="F1569" s="135"/>
      <c r="G1569" s="1040"/>
    </row>
    <row r="1570" spans="1:7">
      <c r="A1570" s="884">
        <v>43441</v>
      </c>
      <c r="B1570" s="138" t="str">
        <f>TiposLancamentos!B2</f>
        <v>Telefonia</v>
      </c>
      <c r="C1570" s="771" t="s">
        <v>6924</v>
      </c>
      <c r="D1570" s="197"/>
      <c r="E1570" s="857">
        <v>99.18</v>
      </c>
      <c r="F1570" s="135"/>
      <c r="G1570" s="1040"/>
    </row>
    <row r="1571" spans="1:7">
      <c r="A1571" s="884">
        <v>43441</v>
      </c>
      <c r="B1571" s="138" t="str">
        <f>TiposLancamentos!B3</f>
        <v>Internet</v>
      </c>
      <c r="C1571" s="771" t="s">
        <v>18047</v>
      </c>
      <c r="D1571" s="197"/>
      <c r="E1571" s="857">
        <v>54.11</v>
      </c>
      <c r="F1571" s="135"/>
      <c r="G1571" s="1040"/>
    </row>
    <row r="1572" spans="1:7">
      <c r="A1572" s="919">
        <v>43444</v>
      </c>
      <c r="B1572" s="830" t="str">
        <f>TiposLancamentos!B8</f>
        <v>Aluguel</v>
      </c>
      <c r="C1572" s="915" t="s">
        <v>6163</v>
      </c>
      <c r="D1572" s="917"/>
      <c r="E1572" s="920">
        <v>1920.3</v>
      </c>
      <c r="F1572" s="1701"/>
      <c r="G1572" s="1040"/>
    </row>
    <row r="1573" spans="1:7">
      <c r="A1573" s="930">
        <v>43444</v>
      </c>
      <c r="B1573" s="825" t="str">
        <f>TiposLancamentos!B12</f>
        <v>IPTU</v>
      </c>
      <c r="C1573" s="88" t="s">
        <v>6876</v>
      </c>
      <c r="D1573" s="828"/>
      <c r="E1573" s="931">
        <v>0</v>
      </c>
      <c r="F1573" s="1702"/>
      <c r="G1573" s="1040"/>
    </row>
    <row r="1574" spans="1:7">
      <c r="A1574" s="921">
        <v>43444</v>
      </c>
      <c r="B1574" s="833" t="str">
        <f>TiposLancamentos!B34</f>
        <v>Seguros</v>
      </c>
      <c r="C1574" s="916" t="s">
        <v>17786</v>
      </c>
      <c r="D1574" s="918"/>
      <c r="E1574" s="922">
        <v>275.73</v>
      </c>
      <c r="F1574" s="1703">
        <f>SUM(E1572:E1574)</f>
        <v>2196.0299999999997</v>
      </c>
      <c r="G1574" s="1040"/>
    </row>
    <row r="1575" spans="1:7">
      <c r="A1575" s="884">
        <v>43444</v>
      </c>
      <c r="B1575" s="138" t="str">
        <f>TiposLancamentos!B24</f>
        <v>Estacionamentos</v>
      </c>
      <c r="C1575" s="771" t="s">
        <v>17914</v>
      </c>
      <c r="D1575" s="197"/>
      <c r="E1575" s="857">
        <v>200</v>
      </c>
      <c r="F1575" s="3"/>
      <c r="G1575" s="1040"/>
    </row>
    <row r="1576" spans="1:7">
      <c r="A1576" s="884">
        <v>43446</v>
      </c>
      <c r="B1576" s="138" t="str">
        <f>TiposLancamentos!B67</f>
        <v>Lavanderia</v>
      </c>
      <c r="C1576" s="771" t="s">
        <v>18048</v>
      </c>
      <c r="D1576" s="197"/>
      <c r="E1576" s="857">
        <v>147</v>
      </c>
      <c r="F1576" s="3"/>
      <c r="G1576" s="1040"/>
    </row>
    <row r="1577" spans="1:7">
      <c r="A1577" s="884">
        <v>43448</v>
      </c>
      <c r="B1577" s="138" t="str">
        <f>TiposLancamentos!B95</f>
        <v>Salarios</v>
      </c>
      <c r="C1577" s="771" t="s">
        <v>17966</v>
      </c>
      <c r="D1577" s="197">
        <v>3871.15</v>
      </c>
      <c r="E1577" s="857"/>
      <c r="F1577" s="3"/>
      <c r="G1577" s="1040"/>
    </row>
    <row r="1578" spans="1:7">
      <c r="A1578" s="919">
        <v>43449</v>
      </c>
      <c r="B1578" s="830" t="str">
        <f>TiposLancamentos!B33</f>
        <v>Pedágios</v>
      </c>
      <c r="C1578" s="915" t="s">
        <v>5392</v>
      </c>
      <c r="D1578" s="917"/>
      <c r="E1578" s="920">
        <f>F1580-(E1579+E1580)</f>
        <v>166.46</v>
      </c>
      <c r="F1578" s="1701"/>
      <c r="G1578" s="1040"/>
    </row>
    <row r="1579" spans="1:7">
      <c r="A1579" s="930">
        <v>43449</v>
      </c>
      <c r="B1579" s="825" t="str">
        <f>TiposLancamentos!B24</f>
        <v>Estacionamentos</v>
      </c>
      <c r="C1579" s="88" t="s">
        <v>7366</v>
      </c>
      <c r="D1579" s="828"/>
      <c r="E1579" s="931">
        <v>21</v>
      </c>
      <c r="F1579" s="1702"/>
      <c r="G1579" s="1040"/>
    </row>
    <row r="1580" spans="1:7">
      <c r="A1580" s="921">
        <v>43449</v>
      </c>
      <c r="B1580" s="833" t="str">
        <f>TiposLancamentos!B24</f>
        <v>Estacionamentos</v>
      </c>
      <c r="C1580" s="916" t="s">
        <v>6297</v>
      </c>
      <c r="D1580" s="918"/>
      <c r="E1580" s="922">
        <v>21</v>
      </c>
      <c r="F1580" s="1703">
        <v>208.46</v>
      </c>
      <c r="G1580" s="1040"/>
    </row>
    <row r="1581" spans="1:7">
      <c r="A1581" s="884">
        <v>43449</v>
      </c>
      <c r="B1581" s="138"/>
      <c r="C1581" s="771" t="s">
        <v>1868</v>
      </c>
      <c r="D1581" s="197"/>
      <c r="E1581" s="857"/>
      <c r="F1581" s="135"/>
      <c r="G1581" s="1040"/>
    </row>
    <row r="1582" spans="1:7">
      <c r="A1582" s="919">
        <v>43451</v>
      </c>
      <c r="B1582" s="830" t="str">
        <f>TiposLancamentos!B35</f>
        <v>Tv à Cabo</v>
      </c>
      <c r="C1582" s="915" t="s">
        <v>5834</v>
      </c>
      <c r="D1582" s="917"/>
      <c r="E1582" s="920">
        <v>170</v>
      </c>
      <c r="F1582" s="1701"/>
      <c r="G1582" s="1040"/>
    </row>
    <row r="1583" spans="1:7">
      <c r="A1583" s="930">
        <v>43451</v>
      </c>
      <c r="B1583" s="825" t="str">
        <f>TiposLancamentos!B3</f>
        <v>Internet</v>
      </c>
      <c r="C1583" s="88" t="s">
        <v>5835</v>
      </c>
      <c r="D1583" s="828"/>
      <c r="E1583" s="931">
        <v>95.2</v>
      </c>
      <c r="F1583" s="1702"/>
      <c r="G1583" s="1040"/>
    </row>
    <row r="1584" spans="1:7">
      <c r="A1584" s="921">
        <v>43451</v>
      </c>
      <c r="B1584" s="833" t="str">
        <f>TiposLancamentos!B2</f>
        <v>Telefonia</v>
      </c>
      <c r="C1584" s="916" t="s">
        <v>7210</v>
      </c>
      <c r="D1584" s="918"/>
      <c r="E1584" s="922">
        <v>0</v>
      </c>
      <c r="F1584" s="1703">
        <f>SUM(E1582:E1584)</f>
        <v>265.2</v>
      </c>
      <c r="G1584" s="1040"/>
    </row>
    <row r="1585" spans="1:7">
      <c r="A1585" s="884">
        <v>43451</v>
      </c>
      <c r="B1585" s="138" t="str">
        <f>TiposLancamentos!B24</f>
        <v>Estacionamentos</v>
      </c>
      <c r="C1585" s="771" t="s">
        <v>4722</v>
      </c>
      <c r="D1585" s="197"/>
      <c r="E1585" s="857">
        <v>12</v>
      </c>
      <c r="F1585" s="3"/>
      <c r="G1585" s="1040"/>
    </row>
    <row r="1586" spans="1:7">
      <c r="A1586" s="884">
        <v>43454</v>
      </c>
      <c r="B1586" s="138" t="str">
        <f>TiposLancamentos!B95</f>
        <v>Salarios</v>
      </c>
      <c r="C1586" s="771" t="s">
        <v>18049</v>
      </c>
      <c r="D1586" s="197">
        <v>7257.66</v>
      </c>
      <c r="E1586" s="857"/>
      <c r="F1586" s="135"/>
      <c r="G1586" s="1040"/>
    </row>
    <row r="1587" spans="1:7">
      <c r="A1587" s="884">
        <v>43455</v>
      </c>
      <c r="B1587" s="138" t="str">
        <f>TiposLancamentos!B71</f>
        <v>Itens Pessoais</v>
      </c>
      <c r="C1587" s="771" t="s">
        <v>18050</v>
      </c>
      <c r="D1587" s="197"/>
      <c r="E1587" s="857">
        <v>20</v>
      </c>
      <c r="F1587" s="135"/>
      <c r="G1587" s="1040"/>
    </row>
    <row r="1588" spans="1:7">
      <c r="A1588" s="884">
        <v>43456</v>
      </c>
      <c r="B1588" s="138" t="str">
        <f>TiposLancamentos!B20</f>
        <v>Saques</v>
      </c>
      <c r="C1588" s="771" t="s">
        <v>18051</v>
      </c>
      <c r="D1588" s="197"/>
      <c r="E1588" s="857">
        <v>150</v>
      </c>
      <c r="F1588" s="135"/>
      <c r="G1588" s="1040"/>
    </row>
    <row r="1589" spans="1:7">
      <c r="A1589" s="884">
        <v>43454</v>
      </c>
      <c r="B1589" s="138" t="str">
        <f>TiposLancamentos!B32</f>
        <v>Clinicas e tratamentos</v>
      </c>
      <c r="C1589" s="771" t="s">
        <v>18052</v>
      </c>
      <c r="D1589" s="197"/>
      <c r="E1589" s="857">
        <v>1500</v>
      </c>
      <c r="F1589" s="135"/>
      <c r="G1589" s="1040"/>
    </row>
    <row r="1590" spans="1:7">
      <c r="A1590" s="884">
        <v>43460</v>
      </c>
      <c r="B1590" s="138" t="str">
        <f>TiposLancamentos!B19</f>
        <v>Restaurantes</v>
      </c>
      <c r="C1590" s="771" t="s">
        <v>18053</v>
      </c>
      <c r="D1590" s="197"/>
      <c r="E1590" s="857">
        <v>14.5</v>
      </c>
      <c r="F1590" s="135"/>
      <c r="G1590" s="1040"/>
    </row>
    <row r="1591" spans="1:7">
      <c r="A1591" s="884">
        <v>43460</v>
      </c>
      <c r="B1591" s="138" t="str">
        <f>TiposLancamentos!B20</f>
        <v>Saques</v>
      </c>
      <c r="C1591" s="771" t="s">
        <v>4681</v>
      </c>
      <c r="D1591" s="197"/>
      <c r="E1591" s="857">
        <v>60</v>
      </c>
      <c r="F1591" s="135"/>
      <c r="G1591" s="1040"/>
    </row>
    <row r="1592" spans="1:7">
      <c r="A1592" s="884">
        <v>43461</v>
      </c>
      <c r="B1592" s="138" t="str">
        <f>TiposLancamentos!B6</f>
        <v>Energia Eletrica</v>
      </c>
      <c r="C1592" s="771" t="s">
        <v>18054</v>
      </c>
      <c r="D1592" s="197"/>
      <c r="E1592" s="857">
        <v>217.57</v>
      </c>
      <c r="F1592" s="135"/>
      <c r="G1592" s="1040"/>
    </row>
    <row r="1593" spans="1:7">
      <c r="A1593" s="884">
        <v>43461</v>
      </c>
      <c r="B1593" s="138" t="str">
        <f>TiposLancamentos!B60</f>
        <v>Correio</v>
      </c>
      <c r="C1593" s="771" t="s">
        <v>18055</v>
      </c>
      <c r="D1593" s="197"/>
      <c r="E1593" s="857">
        <v>20.7</v>
      </c>
      <c r="F1593" s="135"/>
      <c r="G1593" s="1040"/>
    </row>
    <row r="1594" spans="1:7">
      <c r="A1594" s="884">
        <v>43462</v>
      </c>
      <c r="B1594" s="138" t="str">
        <f>TiposLancamentos!B16</f>
        <v>Cristiane</v>
      </c>
      <c r="C1594" s="771" t="s">
        <v>18056</v>
      </c>
      <c r="D1594" s="197"/>
      <c r="E1594" s="857">
        <v>195</v>
      </c>
      <c r="F1594" s="135"/>
      <c r="G1594" s="1040"/>
    </row>
    <row r="1595" spans="1:7">
      <c r="A1595" s="884">
        <v>43462</v>
      </c>
      <c r="B1595" s="138" t="str">
        <f>TiposLancamentos!B95</f>
        <v>Salarios</v>
      </c>
      <c r="C1595" s="771" t="s">
        <v>17362</v>
      </c>
      <c r="D1595" s="197">
        <v>3274.43</v>
      </c>
      <c r="E1595" s="857"/>
      <c r="F1595" s="135"/>
      <c r="G1595" s="1040"/>
    </row>
    <row r="1596" spans="1:7" ht="14.25" thickBot="1">
      <c r="A1596" s="884">
        <v>43465</v>
      </c>
      <c r="B1596" s="138" t="str">
        <f>TiposLancamentos!B16</f>
        <v>Cristiane</v>
      </c>
      <c r="C1596" s="771" t="s">
        <v>18057</v>
      </c>
      <c r="D1596" s="197"/>
      <c r="E1596" s="857">
        <v>34</v>
      </c>
      <c r="F1596" s="135"/>
      <c r="G1596" s="1040"/>
    </row>
    <row r="1597" spans="1:7">
      <c r="A1597" s="967"/>
      <c r="B1597" s="968"/>
      <c r="C1597" s="1093" t="s">
        <v>18058</v>
      </c>
      <c r="D1597" s="970"/>
      <c r="E1597" s="971"/>
      <c r="F1597" s="1712"/>
      <c r="G1597" s="1039"/>
    </row>
    <row r="1598" spans="1:7">
      <c r="A1598" s="884">
        <v>43467</v>
      </c>
      <c r="B1598" s="138" t="str">
        <f>TiposLancamentos!B15</f>
        <v>Cartões de Crédito</v>
      </c>
      <c r="C1598" s="771" t="s">
        <v>7332</v>
      </c>
      <c r="D1598" s="197"/>
      <c r="E1598" s="857">
        <v>273.08</v>
      </c>
      <c r="F1598" s="135"/>
      <c r="G1598" s="1040"/>
    </row>
    <row r="1599" spans="1:7">
      <c r="A1599" s="884">
        <v>43467</v>
      </c>
      <c r="B1599" s="138" t="str">
        <f>TiposLancamentos!B15</f>
        <v>Cartões de Crédito</v>
      </c>
      <c r="C1599" s="771" t="s">
        <v>7781</v>
      </c>
      <c r="D1599" s="197"/>
      <c r="E1599" s="857">
        <v>459.81</v>
      </c>
      <c r="F1599" s="135"/>
      <c r="G1599" s="1040"/>
    </row>
    <row r="1600" spans="1:7">
      <c r="A1600" s="884">
        <v>43467</v>
      </c>
      <c r="B1600" s="138" t="str">
        <f>TiposLancamentos!B15</f>
        <v>Cartões de Crédito</v>
      </c>
      <c r="C1600" s="771" t="s">
        <v>7391</v>
      </c>
      <c r="D1600" s="197"/>
      <c r="E1600" s="857">
        <v>7739.97</v>
      </c>
      <c r="F1600" s="135"/>
      <c r="G1600" s="1040"/>
    </row>
    <row r="1601" spans="1:7">
      <c r="A1601" s="884">
        <v>43467</v>
      </c>
      <c r="B1601" s="138" t="str">
        <f>TiposLancamentos!B4</f>
        <v>Taxas Bancarias</v>
      </c>
      <c r="C1601" s="771" t="s">
        <v>18059</v>
      </c>
      <c r="D1601" s="197"/>
      <c r="E1601" s="857">
        <v>15.58</v>
      </c>
      <c r="F1601" s="135"/>
      <c r="G1601" s="1040"/>
    </row>
    <row r="1602" spans="1:7">
      <c r="A1602" s="884">
        <v>43467</v>
      </c>
      <c r="B1602" s="138" t="str">
        <f>TiposLancamentos!B4</f>
        <v>Taxas Bancarias</v>
      </c>
      <c r="C1602" s="771" t="s">
        <v>18060</v>
      </c>
      <c r="D1602" s="197"/>
      <c r="E1602" s="857">
        <v>55.98</v>
      </c>
      <c r="F1602" s="135"/>
      <c r="G1602" s="1040"/>
    </row>
    <row r="1603" spans="1:7">
      <c r="A1603" s="884">
        <v>43467</v>
      </c>
      <c r="B1603" s="138" t="str">
        <f>TiposLancamentos!B4</f>
        <v>Taxas Bancarias</v>
      </c>
      <c r="C1603" s="771" t="s">
        <v>18061</v>
      </c>
      <c r="D1603" s="197"/>
      <c r="E1603" s="857">
        <v>1106.04</v>
      </c>
      <c r="F1603" s="135"/>
      <c r="G1603" s="1040"/>
    </row>
    <row r="1604" spans="1:7">
      <c r="A1604" s="884">
        <v>43472</v>
      </c>
      <c r="B1604" s="138" t="str">
        <f>TiposLancamentos!B9</f>
        <v>Condominio</v>
      </c>
      <c r="C1604" s="771" t="s">
        <v>18062</v>
      </c>
      <c r="D1604" s="197"/>
      <c r="E1604" s="857">
        <v>1240.52</v>
      </c>
      <c r="F1604" s="135"/>
      <c r="G1604" s="1040"/>
    </row>
    <row r="1605" spans="1:7">
      <c r="A1605" s="884">
        <v>43472</v>
      </c>
      <c r="B1605" s="138" t="str">
        <f>TiposLancamentos!B2</f>
        <v>Telefonia</v>
      </c>
      <c r="C1605" s="771" t="s">
        <v>14810</v>
      </c>
      <c r="D1605" s="197"/>
      <c r="E1605" s="857">
        <v>120.09</v>
      </c>
      <c r="F1605" s="135"/>
      <c r="G1605" s="1040"/>
    </row>
    <row r="1606" spans="1:7">
      <c r="A1606" s="884">
        <v>43472</v>
      </c>
      <c r="B1606" s="138" t="str">
        <f>TiposLancamentos!B24</f>
        <v>Estacionamentos</v>
      </c>
      <c r="C1606" s="771" t="s">
        <v>18033</v>
      </c>
      <c r="D1606" s="197"/>
      <c r="E1606" s="857">
        <v>10</v>
      </c>
      <c r="F1606" s="135"/>
      <c r="G1606" s="1040"/>
    </row>
    <row r="1607" spans="1:7">
      <c r="A1607" s="919">
        <v>43475</v>
      </c>
      <c r="B1607" s="830" t="str">
        <f>TiposLancamentos!B8</f>
        <v>Aluguel</v>
      </c>
      <c r="C1607" s="915" t="s">
        <v>6163</v>
      </c>
      <c r="D1607" s="917"/>
      <c r="E1607" s="920">
        <v>1920.3</v>
      </c>
      <c r="F1607" s="1701"/>
      <c r="G1607" s="1040"/>
    </row>
    <row r="1608" spans="1:7">
      <c r="A1608" s="930">
        <v>43475</v>
      </c>
      <c r="B1608" s="825" t="str">
        <f>TiposLancamentos!B12</f>
        <v>IPTU</v>
      </c>
      <c r="C1608" s="88" t="s">
        <v>6876</v>
      </c>
      <c r="D1608" s="828"/>
      <c r="E1608" s="931">
        <v>0</v>
      </c>
      <c r="F1608" s="1702"/>
      <c r="G1608" s="1040"/>
    </row>
    <row r="1609" spans="1:7">
      <c r="A1609" s="921">
        <v>43475</v>
      </c>
      <c r="B1609" s="833" t="str">
        <f>TiposLancamentos!B34</f>
        <v>Seguros</v>
      </c>
      <c r="C1609" s="916" t="s">
        <v>17833</v>
      </c>
      <c r="D1609" s="918"/>
      <c r="E1609" s="922">
        <v>275.73</v>
      </c>
      <c r="F1609" s="1703">
        <f>SUM(E1607:E1609)</f>
        <v>2196.0299999999997</v>
      </c>
      <c r="G1609" s="1040"/>
    </row>
    <row r="1610" spans="1:7">
      <c r="A1610" s="884">
        <v>43475</v>
      </c>
      <c r="B1610" s="138" t="str">
        <f>TiposLancamentos!B24</f>
        <v>Estacionamentos</v>
      </c>
      <c r="C1610" s="771" t="s">
        <v>17914</v>
      </c>
      <c r="D1610" s="197"/>
      <c r="E1610" s="857">
        <v>200</v>
      </c>
      <c r="F1610" s="3"/>
      <c r="G1610" s="1040"/>
    </row>
    <row r="1611" spans="1:7">
      <c r="A1611" s="884">
        <v>43476</v>
      </c>
      <c r="B1611" s="138" t="str">
        <f>TiposLancamentos!B88</f>
        <v>Ford Ecosport XLT</v>
      </c>
      <c r="C1611" s="771" t="s">
        <v>18063</v>
      </c>
      <c r="D1611" s="197"/>
      <c r="E1611" s="857">
        <v>997.81</v>
      </c>
      <c r="F1611" s="135">
        <v>997.81</v>
      </c>
      <c r="G1611" s="1040"/>
    </row>
    <row r="1612" spans="1:7">
      <c r="A1612" s="884">
        <v>43476</v>
      </c>
      <c r="B1612" s="138" t="str">
        <f>TiposLancamentos!B88</f>
        <v>Ford Ecosport XLT</v>
      </c>
      <c r="C1612" s="771" t="s">
        <v>18064</v>
      </c>
      <c r="D1612" s="197"/>
      <c r="E1612" s="857">
        <v>117.41</v>
      </c>
      <c r="F1612" s="135"/>
      <c r="G1612" s="1040"/>
    </row>
    <row r="1613" spans="1:7">
      <c r="A1613" s="884">
        <v>43477</v>
      </c>
      <c r="B1613" s="138" t="str">
        <f>TiposLancamentos!B24</f>
        <v>Estacionamentos</v>
      </c>
      <c r="C1613" s="771" t="s">
        <v>3398</v>
      </c>
      <c r="D1613" s="197"/>
      <c r="E1613" s="857">
        <v>11</v>
      </c>
      <c r="F1613" s="135"/>
      <c r="G1613" s="1040"/>
    </row>
    <row r="1614" spans="1:7">
      <c r="A1614" s="884">
        <v>43479</v>
      </c>
      <c r="B1614" s="138" t="str">
        <f>TiposLancamentos!B24</f>
        <v>Estacionamentos</v>
      </c>
      <c r="C1614" s="771" t="s">
        <v>18065</v>
      </c>
      <c r="D1614" s="197"/>
      <c r="E1614" s="857">
        <v>10</v>
      </c>
      <c r="F1614" s="135"/>
      <c r="G1614" s="1040"/>
    </row>
    <row r="1615" spans="1:7">
      <c r="A1615" s="884">
        <v>43480</v>
      </c>
      <c r="B1615" s="138" t="str">
        <f>TiposLancamentos!B95</f>
        <v>Salarios</v>
      </c>
      <c r="C1615" s="771" t="s">
        <v>17966</v>
      </c>
      <c r="D1615" s="197">
        <v>3871.15</v>
      </c>
      <c r="E1615" s="857"/>
      <c r="F1615" s="3"/>
      <c r="G1615" s="1040"/>
    </row>
    <row r="1616" spans="1:7">
      <c r="A1616" s="919">
        <v>43480</v>
      </c>
      <c r="B1616" s="830" t="str">
        <f>TiposLancamentos!B33</f>
        <v>Pedágios</v>
      </c>
      <c r="C1616" s="915" t="s">
        <v>5392</v>
      </c>
      <c r="D1616" s="917"/>
      <c r="E1616" s="920">
        <f>F1618-(E1617+E1618)</f>
        <v>161.06</v>
      </c>
      <c r="F1616" s="1701"/>
      <c r="G1616" s="1040"/>
    </row>
    <row r="1617" spans="1:7">
      <c r="A1617" s="930">
        <v>43480</v>
      </c>
      <c r="B1617" s="825" t="str">
        <f>TiposLancamentos!B24</f>
        <v>Estacionamentos</v>
      </c>
      <c r="C1617" s="88" t="s">
        <v>7366</v>
      </c>
      <c r="D1617" s="828"/>
      <c r="E1617" s="931">
        <v>53</v>
      </c>
      <c r="F1617" s="1702"/>
      <c r="G1617" s="1040"/>
    </row>
    <row r="1618" spans="1:7">
      <c r="A1618" s="921">
        <v>43480</v>
      </c>
      <c r="B1618" s="833" t="str">
        <f>TiposLancamentos!B24</f>
        <v>Estacionamentos</v>
      </c>
      <c r="C1618" s="916" t="s">
        <v>6297</v>
      </c>
      <c r="D1618" s="918"/>
      <c r="E1618" s="922">
        <v>27</v>
      </c>
      <c r="F1618" s="1703">
        <v>241.06</v>
      </c>
      <c r="G1618" s="1040"/>
    </row>
    <row r="1619" spans="1:7">
      <c r="A1619" s="884">
        <v>43480</v>
      </c>
      <c r="B1619" s="138"/>
      <c r="C1619" s="771" t="s">
        <v>1868</v>
      </c>
      <c r="D1619" s="197"/>
      <c r="E1619" s="857"/>
      <c r="F1619" s="135"/>
      <c r="G1619" s="1040"/>
    </row>
    <row r="1620" spans="1:7">
      <c r="A1620" s="919">
        <v>43480</v>
      </c>
      <c r="B1620" s="830" t="str">
        <f>TiposLancamentos!B35</f>
        <v>Tv à Cabo</v>
      </c>
      <c r="C1620" s="915" t="s">
        <v>5834</v>
      </c>
      <c r="D1620" s="917"/>
      <c r="E1620" s="920">
        <v>170</v>
      </c>
      <c r="F1620" s="1701"/>
      <c r="G1620" s="1040"/>
    </row>
    <row r="1621" spans="1:7">
      <c r="A1621" s="930">
        <v>43480</v>
      </c>
      <c r="B1621" s="825" t="str">
        <f>TiposLancamentos!B3</f>
        <v>Internet</v>
      </c>
      <c r="C1621" s="88" t="s">
        <v>5835</v>
      </c>
      <c r="D1621" s="828"/>
      <c r="E1621" s="931">
        <v>95.2</v>
      </c>
      <c r="F1621" s="1702"/>
      <c r="G1621" s="1040"/>
    </row>
    <row r="1622" spans="1:7">
      <c r="A1622" s="921">
        <v>43480</v>
      </c>
      <c r="B1622" s="833" t="str">
        <f>TiposLancamentos!B2</f>
        <v>Telefonia</v>
      </c>
      <c r="C1622" s="916" t="s">
        <v>7210</v>
      </c>
      <c r="D1622" s="918"/>
      <c r="E1622" s="922">
        <v>0</v>
      </c>
      <c r="F1622" s="1703">
        <f>SUM(E1620:E1622)</f>
        <v>265.2</v>
      </c>
      <c r="G1622" s="1040"/>
    </row>
    <row r="1623" spans="1:7">
      <c r="A1623" s="884">
        <v>43480</v>
      </c>
      <c r="B1623" s="138" t="str">
        <f>TiposLancamentos!B16</f>
        <v>Cristiane</v>
      </c>
      <c r="C1623" s="771" t="s">
        <v>18066</v>
      </c>
      <c r="D1623" s="197"/>
      <c r="E1623" s="857">
        <v>700</v>
      </c>
      <c r="F1623" s="135">
        <v>700</v>
      </c>
      <c r="G1623" s="1040"/>
    </row>
    <row r="1624" spans="1:7">
      <c r="A1624" s="884">
        <v>43481</v>
      </c>
      <c r="B1624" s="138" t="str">
        <f>TiposLancamentos!B29</f>
        <v>Mangá</v>
      </c>
      <c r="C1624" s="771" t="s">
        <v>18067</v>
      </c>
      <c r="D1624" s="197"/>
      <c r="E1624" s="857">
        <v>16.899999999999999</v>
      </c>
      <c r="F1624" s="135"/>
      <c r="G1624" s="1040"/>
    </row>
    <row r="1625" spans="1:7">
      <c r="A1625" s="884">
        <v>43484</v>
      </c>
      <c r="B1625" s="138" t="str">
        <f>TiposLancamentos!B24</f>
        <v>Estacionamentos</v>
      </c>
      <c r="C1625" s="771" t="s">
        <v>18068</v>
      </c>
      <c r="D1625" s="197"/>
      <c r="E1625" s="857">
        <v>11</v>
      </c>
      <c r="F1625" s="135"/>
      <c r="G1625" s="1040"/>
    </row>
    <row r="1626" spans="1:7">
      <c r="A1626" s="884">
        <v>43493</v>
      </c>
      <c r="B1626" s="138" t="str">
        <f>TiposLancamentos!B6</f>
        <v>Energia Eletrica</v>
      </c>
      <c r="C1626" s="771" t="s">
        <v>18069</v>
      </c>
      <c r="D1626" s="197"/>
      <c r="E1626" s="857">
        <v>200.73</v>
      </c>
      <c r="F1626" s="135"/>
      <c r="G1626" s="1040"/>
    </row>
    <row r="1627" spans="1:7">
      <c r="A1627" s="884">
        <v>43493</v>
      </c>
      <c r="B1627" s="138" t="str">
        <f>TiposLancamentos!B32</f>
        <v>Clinicas e tratamentos</v>
      </c>
      <c r="C1627" s="771" t="s">
        <v>18070</v>
      </c>
      <c r="D1627" s="197"/>
      <c r="E1627" s="857">
        <v>680</v>
      </c>
      <c r="F1627" s="135"/>
      <c r="G1627" s="1040"/>
    </row>
    <row r="1628" spans="1:7">
      <c r="A1628" s="884">
        <v>43493</v>
      </c>
      <c r="B1628" s="138" t="str">
        <f>TiposLancamentos!B24</f>
        <v>Estacionamentos</v>
      </c>
      <c r="C1628" s="771" t="s">
        <v>18071</v>
      </c>
      <c r="D1628" s="197"/>
      <c r="E1628" s="857">
        <v>10</v>
      </c>
      <c r="F1628" s="135"/>
      <c r="G1628" s="1040"/>
    </row>
    <row r="1629" spans="1:7">
      <c r="A1629" s="884">
        <v>43494</v>
      </c>
      <c r="B1629" s="138" t="str">
        <f>TiposLancamentos!B24</f>
        <v>Estacionamentos</v>
      </c>
      <c r="C1629" s="771" t="s">
        <v>4553</v>
      </c>
      <c r="D1629" s="197"/>
      <c r="E1629" s="857">
        <v>8</v>
      </c>
      <c r="F1629" s="135"/>
      <c r="G1629" s="1040"/>
    </row>
    <row r="1630" spans="1:7">
      <c r="A1630" s="884">
        <v>43494</v>
      </c>
      <c r="B1630" s="138" t="str">
        <f>TiposLancamentos!B95</f>
        <v>Salarios</v>
      </c>
      <c r="C1630" s="771" t="s">
        <v>18072</v>
      </c>
      <c r="D1630" s="197">
        <v>18590.7</v>
      </c>
      <c r="E1630" s="857"/>
      <c r="F1630" s="135"/>
      <c r="G1630" s="1040"/>
    </row>
    <row r="1631" spans="1:7">
      <c r="A1631" s="884">
        <v>43495</v>
      </c>
      <c r="B1631" s="138" t="str">
        <f>TiposLancamentos!B95</f>
        <v>Salarios</v>
      </c>
      <c r="C1631" s="771" t="s">
        <v>17362</v>
      </c>
      <c r="D1631" s="197">
        <v>2857.9</v>
      </c>
      <c r="E1631" s="857"/>
      <c r="F1631" s="135"/>
      <c r="G1631" s="1040"/>
    </row>
    <row r="1632" spans="1:7">
      <c r="A1632" s="884">
        <v>43495</v>
      </c>
      <c r="B1632" s="138" t="str">
        <f>TiposLancamentos!B62</f>
        <v>Papelaria</v>
      </c>
      <c r="C1632" s="771" t="s">
        <v>18073</v>
      </c>
      <c r="D1632" s="197"/>
      <c r="E1632" s="857">
        <v>39</v>
      </c>
      <c r="F1632" s="135"/>
      <c r="G1632" s="1040"/>
    </row>
    <row r="1633" spans="1:7" ht="14.25" thickBot="1">
      <c r="A1633" s="884">
        <v>43495</v>
      </c>
      <c r="B1633" s="138" t="str">
        <f>TiposLancamentos!B69</f>
        <v>Consertos</v>
      </c>
      <c r="C1633" s="771" t="s">
        <v>18074</v>
      </c>
      <c r="D1633" s="197"/>
      <c r="E1633" s="857">
        <v>50</v>
      </c>
      <c r="F1633" s="135"/>
      <c r="G1633" s="1040"/>
    </row>
    <row r="1634" spans="1:7">
      <c r="A1634" s="967"/>
      <c r="B1634" s="968"/>
      <c r="C1634" s="1093" t="s">
        <v>18075</v>
      </c>
      <c r="D1634" s="970"/>
      <c r="E1634" s="971"/>
      <c r="F1634" s="1712"/>
      <c r="G1634" s="1039"/>
    </row>
    <row r="1635" spans="1:7">
      <c r="A1635" s="884">
        <v>43497</v>
      </c>
      <c r="B1635" s="138" t="str">
        <f>TiposLancamentos!B15</f>
        <v>Cartões de Crédito</v>
      </c>
      <c r="C1635" s="771" t="s">
        <v>7332</v>
      </c>
      <c r="D1635" s="197"/>
      <c r="E1635" s="857">
        <v>274.08</v>
      </c>
      <c r="F1635" s="135"/>
      <c r="G1635" s="1040"/>
    </row>
    <row r="1636" spans="1:7">
      <c r="A1636" s="884">
        <v>43497</v>
      </c>
      <c r="B1636" s="138" t="str">
        <f>TiposLancamentos!B15</f>
        <v>Cartões de Crédito</v>
      </c>
      <c r="C1636" s="771" t="s">
        <v>7781</v>
      </c>
      <c r="D1636" s="197"/>
      <c r="E1636" s="857">
        <v>459.81</v>
      </c>
      <c r="F1636" s="135"/>
      <c r="G1636" s="1040"/>
    </row>
    <row r="1637" spans="1:7">
      <c r="A1637" s="884">
        <v>43497</v>
      </c>
      <c r="B1637" s="138" t="str">
        <f>TiposLancamentos!B15</f>
        <v>Cartões de Crédito</v>
      </c>
      <c r="C1637" s="771" t="s">
        <v>7391</v>
      </c>
      <c r="D1637" s="197"/>
      <c r="E1637" s="857">
        <v>7854</v>
      </c>
      <c r="F1637" s="135"/>
      <c r="G1637" s="1040"/>
    </row>
    <row r="1638" spans="1:7">
      <c r="A1638" s="884">
        <v>43497</v>
      </c>
      <c r="B1638" s="138" t="str">
        <f>TiposLancamentos!B20</f>
        <v>Saques</v>
      </c>
      <c r="C1638" s="771" t="s">
        <v>3604</v>
      </c>
      <c r="D1638" s="197"/>
      <c r="E1638" s="857">
        <v>70</v>
      </c>
      <c r="F1638" s="135"/>
      <c r="G1638" s="1040"/>
    </row>
    <row r="1639" spans="1:7">
      <c r="A1639" s="884">
        <v>43497</v>
      </c>
      <c r="B1639" s="138" t="str">
        <f>TiposLancamentos!B4</f>
        <v>Taxas Bancarias</v>
      </c>
      <c r="C1639" s="771" t="s">
        <v>18076</v>
      </c>
      <c r="D1639" s="197"/>
      <c r="E1639" s="857">
        <v>27.46</v>
      </c>
      <c r="F1639" s="135"/>
      <c r="G1639" s="1040"/>
    </row>
    <row r="1640" spans="1:7">
      <c r="A1640" s="884">
        <v>43497</v>
      </c>
      <c r="B1640" s="138" t="str">
        <f>TiposLancamentos!B4</f>
        <v>Taxas Bancarias</v>
      </c>
      <c r="C1640" s="771" t="s">
        <v>18077</v>
      </c>
      <c r="D1640" s="197"/>
      <c r="E1640" s="857">
        <v>61.41</v>
      </c>
      <c r="F1640" s="135"/>
      <c r="G1640" s="1040"/>
    </row>
    <row r="1641" spans="1:7">
      <c r="A1641" s="884">
        <v>43497</v>
      </c>
      <c r="B1641" s="138" t="str">
        <f>TiposLancamentos!B4</f>
        <v>Taxas Bancarias</v>
      </c>
      <c r="C1641" s="771" t="s">
        <v>18078</v>
      </c>
      <c r="D1641" s="197"/>
      <c r="E1641" s="857">
        <v>1641.22</v>
      </c>
      <c r="F1641" s="135"/>
      <c r="G1641" s="1040"/>
    </row>
    <row r="1642" spans="1:7">
      <c r="A1642" s="884">
        <v>43497</v>
      </c>
      <c r="B1642" s="138" t="str">
        <f>TiposLancamentos!B103</f>
        <v>Juros_Corr. Poupança</v>
      </c>
      <c r="C1642" s="771" t="s">
        <v>18079</v>
      </c>
      <c r="D1642" s="197">
        <v>0.03</v>
      </c>
      <c r="E1642" s="857"/>
      <c r="F1642" s="135"/>
      <c r="G1642" s="1040"/>
    </row>
    <row r="1643" spans="1:7">
      <c r="A1643" s="884">
        <v>43500</v>
      </c>
      <c r="B1643" s="138" t="str">
        <f>TiposLancamentos!B24</f>
        <v>Estacionamentos</v>
      </c>
      <c r="C1643" s="771" t="s">
        <v>2287</v>
      </c>
      <c r="D1643" s="197"/>
      <c r="E1643" s="857">
        <v>8</v>
      </c>
      <c r="F1643" s="135"/>
      <c r="G1643" s="1040"/>
    </row>
    <row r="1644" spans="1:7">
      <c r="A1644" s="884">
        <v>43502</v>
      </c>
      <c r="B1644" s="138" t="str">
        <f>TiposLancamentos!B5</f>
        <v>Supermercado</v>
      </c>
      <c r="C1644" s="771" t="s">
        <v>6234</v>
      </c>
      <c r="D1644" s="197"/>
      <c r="E1644" s="857">
        <v>4.7</v>
      </c>
      <c r="F1644" s="135"/>
      <c r="G1644" s="1040"/>
    </row>
    <row r="1645" spans="1:7">
      <c r="A1645" s="884">
        <v>43502</v>
      </c>
      <c r="B1645" s="138" t="str">
        <f>TiposLancamentos!B9</f>
        <v>Condominio</v>
      </c>
      <c r="C1645" s="771" t="s">
        <v>18062</v>
      </c>
      <c r="D1645" s="197"/>
      <c r="E1645" s="857">
        <v>1240.52</v>
      </c>
      <c r="F1645" s="135"/>
      <c r="G1645" s="1040"/>
    </row>
    <row r="1646" spans="1:7">
      <c r="A1646" s="884">
        <v>43502</v>
      </c>
      <c r="B1646" s="138" t="str">
        <f>TiposLancamentos!B20</f>
        <v>Saques</v>
      </c>
      <c r="C1646" s="771" t="s">
        <v>4368</v>
      </c>
      <c r="D1646" s="197"/>
      <c r="E1646" s="857">
        <v>60</v>
      </c>
      <c r="F1646" s="135"/>
      <c r="G1646" s="1040"/>
    </row>
    <row r="1647" spans="1:7">
      <c r="A1647" s="884">
        <v>43502</v>
      </c>
      <c r="B1647" s="138" t="str">
        <f>TiposLancamentos!B20</f>
        <v>Saques</v>
      </c>
      <c r="C1647" s="771" t="s">
        <v>18080</v>
      </c>
      <c r="D1647" s="197"/>
      <c r="E1647" s="857">
        <v>40</v>
      </c>
      <c r="F1647" s="135"/>
      <c r="G1647" s="1040"/>
    </row>
    <row r="1648" spans="1:7">
      <c r="A1648" s="884">
        <v>43503</v>
      </c>
      <c r="B1648" s="138" t="str">
        <f>TiposLancamentos!B2</f>
        <v>Telefonia</v>
      </c>
      <c r="C1648" s="771" t="s">
        <v>14810</v>
      </c>
      <c r="D1648" s="197"/>
      <c r="E1648" s="857">
        <v>120.09</v>
      </c>
      <c r="F1648" s="135"/>
      <c r="G1648" s="1040"/>
    </row>
    <row r="1649" spans="1:7">
      <c r="A1649" s="884">
        <v>43505</v>
      </c>
      <c r="B1649" s="138" t="str">
        <f>TiposLancamentos!B19</f>
        <v>Restaurantes</v>
      </c>
      <c r="C1649" s="771" t="s">
        <v>18081</v>
      </c>
      <c r="D1649" s="197"/>
      <c r="E1649" s="857">
        <v>127.6</v>
      </c>
      <c r="F1649" s="135"/>
      <c r="G1649" s="1040"/>
    </row>
    <row r="1650" spans="1:7">
      <c r="A1650" s="884">
        <v>43505</v>
      </c>
      <c r="B1650" s="138" t="str">
        <f>TiposLancamentos!B24</f>
        <v>Estacionamentos</v>
      </c>
      <c r="C1650" s="771" t="s">
        <v>4286</v>
      </c>
      <c r="D1650" s="197"/>
      <c r="E1650" s="857">
        <v>20</v>
      </c>
      <c r="F1650" s="135"/>
      <c r="G1650" s="1040"/>
    </row>
    <row r="1651" spans="1:7">
      <c r="A1651" s="884">
        <v>43505</v>
      </c>
      <c r="B1651" s="138" t="str">
        <f>TiposLancamentos!B19</f>
        <v>Restaurantes</v>
      </c>
      <c r="C1651" s="771" t="s">
        <v>18082</v>
      </c>
      <c r="D1651" s="197"/>
      <c r="E1651" s="857">
        <v>40.33</v>
      </c>
      <c r="F1651" s="135"/>
      <c r="G1651" s="1040"/>
    </row>
    <row r="1652" spans="1:7">
      <c r="A1652" s="919">
        <v>43507</v>
      </c>
      <c r="B1652" s="830" t="str">
        <f>TiposLancamentos!B8</f>
        <v>Aluguel</v>
      </c>
      <c r="C1652" s="915" t="s">
        <v>6163</v>
      </c>
      <c r="D1652" s="917"/>
      <c r="E1652" s="920">
        <v>1920.3</v>
      </c>
      <c r="F1652" s="1701"/>
      <c r="G1652" s="1040"/>
    </row>
    <row r="1653" spans="1:7">
      <c r="A1653" s="930">
        <v>43507</v>
      </c>
      <c r="B1653" s="825" t="str">
        <f>TiposLancamentos!B12</f>
        <v>IPTU</v>
      </c>
      <c r="C1653" s="88" t="s">
        <v>6458</v>
      </c>
      <c r="D1653" s="828"/>
      <c r="E1653" s="931">
        <v>149.81</v>
      </c>
      <c r="F1653" s="1702"/>
      <c r="G1653" s="1040"/>
    </row>
    <row r="1654" spans="1:7">
      <c r="A1654" s="921">
        <v>43507</v>
      </c>
      <c r="B1654" s="833" t="str">
        <f>TiposLancamentos!B34</f>
        <v>Seguros</v>
      </c>
      <c r="C1654" s="916" t="s">
        <v>17871</v>
      </c>
      <c r="D1654" s="918"/>
      <c r="E1654" s="922">
        <v>275.73</v>
      </c>
      <c r="F1654" s="1703">
        <v>2345.84</v>
      </c>
      <c r="G1654" s="1040"/>
    </row>
    <row r="1655" spans="1:7">
      <c r="A1655" s="884">
        <v>43507</v>
      </c>
      <c r="B1655" s="138" t="str">
        <f>TiposLancamentos!B24</f>
        <v>Estacionamentos</v>
      </c>
      <c r="C1655" s="771" t="s">
        <v>17914</v>
      </c>
      <c r="D1655" s="197"/>
      <c r="E1655" s="857">
        <v>200</v>
      </c>
      <c r="F1655" s="3"/>
      <c r="G1655" s="1040"/>
    </row>
    <row r="1656" spans="1:7">
      <c r="A1656" s="884">
        <v>43511</v>
      </c>
      <c r="B1656" s="138" t="str">
        <f>TiposLancamentos!B95</f>
        <v>Salarios</v>
      </c>
      <c r="C1656" s="771" t="s">
        <v>17966</v>
      </c>
      <c r="D1656" s="197">
        <v>258.08</v>
      </c>
      <c r="E1656" s="857"/>
      <c r="F1656" s="135"/>
      <c r="G1656" s="1040"/>
    </row>
    <row r="1657" spans="1:7">
      <c r="A1657" s="919">
        <v>43511</v>
      </c>
      <c r="B1657" s="830" t="str">
        <f>TiposLancamentos!B33</f>
        <v>Pedágios</v>
      </c>
      <c r="C1657" s="915" t="s">
        <v>5392</v>
      </c>
      <c r="D1657" s="917"/>
      <c r="E1657" s="920">
        <f>F1659-(E1658+E1659)</f>
        <v>47.06</v>
      </c>
      <c r="F1657" s="1701"/>
      <c r="G1657" s="1040"/>
    </row>
    <row r="1658" spans="1:7">
      <c r="A1658" s="930">
        <v>43511</v>
      </c>
      <c r="B1658" s="825" t="str">
        <f>TiposLancamentos!B24</f>
        <v>Estacionamentos</v>
      </c>
      <c r="C1658" s="88" t="s">
        <v>7366</v>
      </c>
      <c r="D1658" s="828"/>
      <c r="E1658" s="931">
        <v>31</v>
      </c>
      <c r="F1658" s="1702"/>
      <c r="G1658" s="1040"/>
    </row>
    <row r="1659" spans="1:7">
      <c r="A1659" s="921">
        <v>43511</v>
      </c>
      <c r="B1659" s="833" t="str">
        <f>TiposLancamentos!B24</f>
        <v>Estacionamentos</v>
      </c>
      <c r="C1659" s="916" t="s">
        <v>6297</v>
      </c>
      <c r="D1659" s="918"/>
      <c r="E1659" s="922">
        <v>76</v>
      </c>
      <c r="F1659" s="1703">
        <v>154.06</v>
      </c>
      <c r="G1659" s="1040"/>
    </row>
    <row r="1660" spans="1:7">
      <c r="A1660" s="884">
        <v>43511</v>
      </c>
      <c r="B1660" s="138"/>
      <c r="C1660" s="771" t="s">
        <v>1868</v>
      </c>
      <c r="D1660" s="197"/>
      <c r="E1660" s="857"/>
      <c r="F1660" s="135"/>
      <c r="G1660" s="1040"/>
    </row>
    <row r="1661" spans="1:7">
      <c r="A1661" s="919">
        <v>43511</v>
      </c>
      <c r="B1661" s="830" t="str">
        <f>TiposLancamentos!B35</f>
        <v>Tv à Cabo</v>
      </c>
      <c r="C1661" s="915" t="s">
        <v>5834</v>
      </c>
      <c r="D1661" s="917"/>
      <c r="E1661" s="920">
        <v>170</v>
      </c>
      <c r="F1661" s="1701"/>
      <c r="G1661" s="1040"/>
    </row>
    <row r="1662" spans="1:7">
      <c r="A1662" s="930">
        <v>43511</v>
      </c>
      <c r="B1662" s="825" t="str">
        <f>TiposLancamentos!B3</f>
        <v>Internet</v>
      </c>
      <c r="C1662" s="88" t="s">
        <v>5835</v>
      </c>
      <c r="D1662" s="828"/>
      <c r="E1662" s="931">
        <v>95.2</v>
      </c>
      <c r="F1662" s="1702"/>
      <c r="G1662" s="1040"/>
    </row>
    <row r="1663" spans="1:7">
      <c r="A1663" s="921">
        <v>43511</v>
      </c>
      <c r="B1663" s="833" t="str">
        <f>TiposLancamentos!B2</f>
        <v>Telefonia</v>
      </c>
      <c r="C1663" s="916" t="s">
        <v>7210</v>
      </c>
      <c r="D1663" s="918"/>
      <c r="E1663" s="922"/>
      <c r="F1663" s="1703">
        <f>SUM(E1661:E1663)</f>
        <v>265.2</v>
      </c>
      <c r="G1663" s="1040"/>
    </row>
    <row r="1664" spans="1:7">
      <c r="A1664" s="884">
        <v>43512</v>
      </c>
      <c r="B1664" s="138" t="str">
        <f>TiposLancamentos!B58</f>
        <v>Fotografias</v>
      </c>
      <c r="C1664" s="771" t="s">
        <v>18083</v>
      </c>
      <c r="D1664" s="197"/>
      <c r="E1664" s="857">
        <v>30</v>
      </c>
      <c r="F1664" s="135"/>
      <c r="G1664" s="1040"/>
    </row>
    <row r="1665" spans="1:7">
      <c r="A1665" s="884">
        <v>43513</v>
      </c>
      <c r="B1665" s="138" t="str">
        <f>TiposLancamentos!B19</f>
        <v>Restaurantes</v>
      </c>
      <c r="C1665" s="771" t="s">
        <v>18084</v>
      </c>
      <c r="D1665" s="197"/>
      <c r="E1665" s="857">
        <v>13.2</v>
      </c>
      <c r="F1665" s="135"/>
      <c r="G1665" s="1040"/>
    </row>
    <row r="1666" spans="1:7">
      <c r="A1666" s="884">
        <v>43514</v>
      </c>
      <c r="B1666" s="138" t="str">
        <f>TiposLancamentos!B20</f>
        <v>Saques</v>
      </c>
      <c r="C1666" s="771" t="s">
        <v>4724</v>
      </c>
      <c r="D1666" s="197"/>
      <c r="E1666" s="857">
        <v>20</v>
      </c>
      <c r="F1666" s="135"/>
      <c r="G1666" s="1040"/>
    </row>
    <row r="1667" spans="1:7">
      <c r="A1667" s="884">
        <v>43519</v>
      </c>
      <c r="B1667" s="138" t="str">
        <f>B1665</f>
        <v>Restaurantes</v>
      </c>
      <c r="C1667" s="771" t="s">
        <v>18085</v>
      </c>
      <c r="D1667" s="197"/>
      <c r="E1667" s="857">
        <v>16</v>
      </c>
      <c r="F1667" s="135"/>
      <c r="G1667" s="1040"/>
    </row>
    <row r="1668" spans="1:7">
      <c r="A1668" s="884">
        <v>43519</v>
      </c>
      <c r="B1668" s="138" t="str">
        <f>B1665</f>
        <v>Restaurantes</v>
      </c>
      <c r="C1668" s="771" t="s">
        <v>17989</v>
      </c>
      <c r="D1668" s="197"/>
      <c r="E1668" s="857">
        <v>70.400000000000006</v>
      </c>
      <c r="F1668" s="135"/>
      <c r="G1668" s="1040"/>
    </row>
    <row r="1669" spans="1:7">
      <c r="A1669" s="884">
        <v>43520</v>
      </c>
      <c r="B1669" s="138" t="str">
        <f>TiposLancamentos!B19</f>
        <v>Restaurantes</v>
      </c>
      <c r="C1669" s="771" t="s">
        <v>18086</v>
      </c>
      <c r="D1669" s="197"/>
      <c r="E1669" s="857">
        <v>40.590000000000003</v>
      </c>
      <c r="F1669" s="135"/>
      <c r="G1669" s="1040"/>
    </row>
    <row r="1670" spans="1:7">
      <c r="A1670" s="884">
        <v>43524</v>
      </c>
      <c r="B1670" s="138" t="str">
        <f>TiposLancamentos!B95</f>
        <v>Salarios</v>
      </c>
      <c r="C1670" s="771" t="s">
        <v>17362</v>
      </c>
      <c r="D1670" s="197">
        <v>5680</v>
      </c>
      <c r="E1670" s="857"/>
      <c r="F1670" s="135"/>
      <c r="G1670" s="1040"/>
    </row>
    <row r="1671" spans="1:7">
      <c r="A1671" s="884">
        <v>43524</v>
      </c>
      <c r="B1671" s="138" t="str">
        <f>TiposLancamentos!B19</f>
        <v>Restaurantes</v>
      </c>
      <c r="C1671" s="771" t="s">
        <v>18087</v>
      </c>
      <c r="D1671" s="197"/>
      <c r="E1671" s="857">
        <v>20</v>
      </c>
      <c r="F1671" s="135"/>
      <c r="G1671" s="1040"/>
    </row>
    <row r="1672" spans="1:7" ht="14.25" thickBot="1">
      <c r="A1672" s="884">
        <v>43524</v>
      </c>
      <c r="B1672" s="138" t="str">
        <f>TiposLancamentos!B20</f>
        <v>Saques</v>
      </c>
      <c r="C1672" s="771" t="s">
        <v>3604</v>
      </c>
      <c r="D1672" s="197"/>
      <c r="E1672" s="857">
        <v>200</v>
      </c>
      <c r="F1672" s="135"/>
      <c r="G1672" s="1040"/>
    </row>
    <row r="1673" spans="1:7">
      <c r="A1673" s="967"/>
      <c r="B1673" s="968"/>
      <c r="C1673" s="1093" t="s">
        <v>18088</v>
      </c>
      <c r="D1673" s="970"/>
      <c r="E1673" s="971"/>
      <c r="F1673" s="1712"/>
      <c r="G1673" s="1039"/>
    </row>
    <row r="1674" spans="1:7">
      <c r="A1674" s="884">
        <v>43525</v>
      </c>
      <c r="B1674" s="138" t="str">
        <f>TiposLancamentos!B15</f>
        <v>Cartões de Crédito</v>
      </c>
      <c r="C1674" s="771" t="s">
        <v>7332</v>
      </c>
      <c r="D1674" s="197"/>
      <c r="E1674" s="857">
        <v>272.08</v>
      </c>
      <c r="F1674" s="135"/>
      <c r="G1674" s="1040"/>
    </row>
    <row r="1675" spans="1:7">
      <c r="A1675" s="884">
        <v>43525</v>
      </c>
      <c r="B1675" s="138" t="str">
        <f>TiposLancamentos!B15</f>
        <v>Cartões de Crédito</v>
      </c>
      <c r="C1675" s="771" t="s">
        <v>7781</v>
      </c>
      <c r="D1675" s="197"/>
      <c r="E1675" s="857">
        <v>591.37</v>
      </c>
      <c r="F1675" s="135"/>
      <c r="G1675" s="1040"/>
    </row>
    <row r="1676" spans="1:7">
      <c r="A1676" s="884">
        <v>43525</v>
      </c>
      <c r="B1676" s="138" t="str">
        <f>TiposLancamentos!B15</f>
        <v>Cartões de Crédito</v>
      </c>
      <c r="C1676" s="771" t="s">
        <v>7391</v>
      </c>
      <c r="D1676" s="197"/>
      <c r="E1676" s="857">
        <v>6167.66</v>
      </c>
      <c r="F1676" s="135"/>
      <c r="G1676" s="1040"/>
    </row>
    <row r="1677" spans="1:7">
      <c r="A1677" s="884">
        <v>43525</v>
      </c>
      <c r="B1677" s="138" t="str">
        <f>TiposLancamentos!B6</f>
        <v>Energia Eletrica</v>
      </c>
      <c r="C1677" s="771" t="s">
        <v>18089</v>
      </c>
      <c r="D1677" s="197"/>
      <c r="E1677" s="857">
        <v>289.02</v>
      </c>
      <c r="F1677" s="135"/>
      <c r="G1677" s="1040"/>
    </row>
    <row r="1678" spans="1:7">
      <c r="A1678" s="884">
        <v>43525</v>
      </c>
      <c r="B1678" s="138" t="str">
        <f>TiposLancamentos!B4</f>
        <v>Taxas Bancarias</v>
      </c>
      <c r="C1678" s="771" t="s">
        <v>18090</v>
      </c>
      <c r="D1678" s="197"/>
      <c r="E1678" s="857">
        <v>12.1</v>
      </c>
      <c r="F1678" s="135"/>
      <c r="G1678" s="1040"/>
    </row>
    <row r="1679" spans="1:7">
      <c r="A1679" s="884">
        <v>43525</v>
      </c>
      <c r="B1679" s="138" t="str">
        <f>TiposLancamentos!B4</f>
        <v>Taxas Bancarias</v>
      </c>
      <c r="C1679" s="771" t="s">
        <v>18091</v>
      </c>
      <c r="D1679" s="197"/>
      <c r="E1679" s="857">
        <v>26.35</v>
      </c>
      <c r="F1679" s="135"/>
      <c r="G1679" s="1040"/>
    </row>
    <row r="1680" spans="1:7">
      <c r="A1680" s="884">
        <v>43525</v>
      </c>
      <c r="B1680" s="138" t="str">
        <f>TiposLancamentos!B4</f>
        <v>Taxas Bancarias</v>
      </c>
      <c r="C1680" s="771" t="s">
        <v>18092</v>
      </c>
      <c r="D1680" s="197"/>
      <c r="E1680" s="857">
        <v>753.02</v>
      </c>
      <c r="F1680" s="135"/>
      <c r="G1680" s="1040"/>
    </row>
    <row r="1681" spans="1:7">
      <c r="A1681" s="884">
        <v>43526</v>
      </c>
      <c r="B1681" s="138" t="str">
        <f>TiposLancamentos!B16</f>
        <v>Cristiane</v>
      </c>
      <c r="C1681" s="771" t="s">
        <v>18093</v>
      </c>
      <c r="D1681" s="197"/>
      <c r="E1681" s="857">
        <v>108</v>
      </c>
      <c r="F1681" s="135"/>
      <c r="G1681" s="1040"/>
    </row>
    <row r="1682" spans="1:7">
      <c r="A1682" s="884">
        <v>43528</v>
      </c>
      <c r="B1682" s="138" t="str">
        <f>TiposLancamentos!B57</f>
        <v>Informática</v>
      </c>
      <c r="C1682" s="771" t="s">
        <v>18094</v>
      </c>
      <c r="D1682" s="197"/>
      <c r="E1682" s="857">
        <v>27</v>
      </c>
      <c r="F1682" s="135"/>
      <c r="G1682" s="1040"/>
    </row>
    <row r="1683" spans="1:7">
      <c r="A1683" s="884">
        <v>43528</v>
      </c>
      <c r="B1683" s="138" t="str">
        <f>TiposLancamentos!B23</f>
        <v>P208 GRIFFE 1.6 AUT BUSINESS</v>
      </c>
      <c r="C1683" s="771" t="s">
        <v>18095</v>
      </c>
      <c r="D1683" s="197"/>
      <c r="E1683" s="857">
        <v>70</v>
      </c>
      <c r="F1683" s="135"/>
      <c r="G1683" s="1040"/>
    </row>
    <row r="1684" spans="1:7">
      <c r="A1684" s="884">
        <v>43529</v>
      </c>
      <c r="B1684" s="138" t="str">
        <f>TiposLancamentos!B19</f>
        <v>Restaurantes</v>
      </c>
      <c r="C1684" s="771" t="s">
        <v>18096</v>
      </c>
      <c r="D1684" s="197"/>
      <c r="E1684" s="857">
        <v>29.5</v>
      </c>
      <c r="F1684" s="135"/>
      <c r="G1684" s="1040"/>
    </row>
    <row r="1685" spans="1:7">
      <c r="A1685" s="884">
        <v>43530</v>
      </c>
      <c r="B1685" s="138" t="str">
        <f>TiposLancamentos!B9</f>
        <v>Condominio</v>
      </c>
      <c r="C1685" s="771" t="s">
        <v>18097</v>
      </c>
      <c r="D1685" s="197"/>
      <c r="E1685" s="857">
        <v>1277.54</v>
      </c>
      <c r="F1685" s="135"/>
      <c r="G1685" s="1040"/>
    </row>
    <row r="1686" spans="1:7">
      <c r="A1686" s="884">
        <v>43531</v>
      </c>
      <c r="B1686" s="138" t="str">
        <f>TiposLancamentos!B2</f>
        <v>Telefonia</v>
      </c>
      <c r="C1686" s="771" t="s">
        <v>6318</v>
      </c>
      <c r="D1686" s="197"/>
      <c r="E1686" s="857">
        <v>120.09</v>
      </c>
      <c r="F1686" s="135"/>
      <c r="G1686" s="1040"/>
    </row>
    <row r="1687" spans="1:7">
      <c r="A1687" s="884">
        <v>43532</v>
      </c>
      <c r="B1687" s="138" t="str">
        <f>TiposLancamentos!B19</f>
        <v>Restaurantes</v>
      </c>
      <c r="C1687" s="771" t="s">
        <v>18098</v>
      </c>
      <c r="D1687" s="197"/>
      <c r="E1687" s="857">
        <v>25</v>
      </c>
      <c r="F1687" s="135"/>
      <c r="G1687" s="1040"/>
    </row>
    <row r="1688" spans="1:7">
      <c r="A1688" s="884">
        <v>43532</v>
      </c>
      <c r="B1688" s="138" t="str">
        <f>TiposLancamentos!B24</f>
        <v>Estacionamentos</v>
      </c>
      <c r="C1688" s="771" t="s">
        <v>18099</v>
      </c>
      <c r="D1688" s="197"/>
      <c r="E1688" s="857">
        <v>5</v>
      </c>
      <c r="F1688" s="135"/>
      <c r="G1688" s="1040"/>
    </row>
    <row r="1689" spans="1:7">
      <c r="A1689" s="884">
        <v>43532</v>
      </c>
      <c r="B1689" s="138" t="str">
        <f>TiposLancamentos!B31</f>
        <v>Action Figures</v>
      </c>
      <c r="C1689" s="771" t="s">
        <v>18100</v>
      </c>
      <c r="D1689" s="197"/>
      <c r="E1689" s="857">
        <v>252.93</v>
      </c>
      <c r="F1689" s="135"/>
      <c r="G1689" s="1040"/>
    </row>
    <row r="1690" spans="1:7">
      <c r="A1690" s="884">
        <v>43533</v>
      </c>
      <c r="B1690" s="138" t="str">
        <f>TiposLancamentos!B19</f>
        <v>Restaurantes</v>
      </c>
      <c r="C1690" s="771" t="s">
        <v>18101</v>
      </c>
      <c r="D1690" s="197"/>
      <c r="E1690" s="857">
        <v>29</v>
      </c>
      <c r="F1690" s="135"/>
      <c r="G1690" s="1040"/>
    </row>
    <row r="1691" spans="1:7">
      <c r="A1691" s="884">
        <v>43533</v>
      </c>
      <c r="B1691" s="138" t="str">
        <f>TiposLancamentos!B19</f>
        <v>Restaurantes</v>
      </c>
      <c r="C1691" s="771" t="s">
        <v>18102</v>
      </c>
      <c r="D1691" s="197"/>
      <c r="E1691" s="857">
        <v>12</v>
      </c>
      <c r="F1691" s="135"/>
      <c r="G1691" s="1040"/>
    </row>
    <row r="1692" spans="1:7">
      <c r="A1692" s="919">
        <v>43534</v>
      </c>
      <c r="B1692" s="830" t="str">
        <f>TiposLancamentos!B8</f>
        <v>Aluguel</v>
      </c>
      <c r="C1692" s="915" t="s">
        <v>6163</v>
      </c>
      <c r="D1692" s="917"/>
      <c r="E1692" s="920">
        <v>1920.3</v>
      </c>
      <c r="F1692" s="1701"/>
      <c r="G1692" s="1040"/>
    </row>
    <row r="1693" spans="1:7">
      <c r="A1693" s="930">
        <v>43534</v>
      </c>
      <c r="B1693" s="825" t="str">
        <f>TiposLancamentos!B12</f>
        <v>IPTU</v>
      </c>
      <c r="C1693" s="88" t="s">
        <v>6485</v>
      </c>
      <c r="D1693" s="828"/>
      <c r="E1693" s="931">
        <v>149.81</v>
      </c>
      <c r="F1693" s="1702"/>
      <c r="G1693" s="1040"/>
    </row>
    <row r="1694" spans="1:7">
      <c r="A1694" s="921">
        <v>43534</v>
      </c>
      <c r="B1694" s="833" t="str">
        <f>TiposLancamentos!B34</f>
        <v>Seguros</v>
      </c>
      <c r="C1694" s="916" t="s">
        <v>17887</v>
      </c>
      <c r="D1694" s="918"/>
      <c r="E1694" s="922">
        <v>275.73</v>
      </c>
      <c r="F1694" s="1703">
        <v>2345.84</v>
      </c>
      <c r="G1694" s="1040"/>
    </row>
    <row r="1695" spans="1:7">
      <c r="A1695" s="884">
        <v>43534</v>
      </c>
      <c r="B1695" s="138" t="str">
        <f>TiposLancamentos!B19</f>
        <v>Restaurantes</v>
      </c>
      <c r="C1695" s="771" t="s">
        <v>18102</v>
      </c>
      <c r="D1695" s="197"/>
      <c r="E1695" s="857">
        <v>36</v>
      </c>
      <c r="F1695" s="135"/>
      <c r="G1695" s="1040"/>
    </row>
    <row r="1696" spans="1:7">
      <c r="A1696" s="884">
        <v>43535</v>
      </c>
      <c r="B1696" s="138" t="str">
        <f>TiposLancamentos!B56</f>
        <v>Farmácia</v>
      </c>
      <c r="C1696" s="771" t="s">
        <v>18103</v>
      </c>
      <c r="D1696" s="197"/>
      <c r="E1696" s="857">
        <v>4.8600000000000003</v>
      </c>
      <c r="F1696" s="135"/>
      <c r="G1696" s="1040"/>
    </row>
    <row r="1697" spans="1:7">
      <c r="A1697" s="884">
        <v>43535</v>
      </c>
      <c r="B1697" s="138" t="str">
        <f>B1695</f>
        <v>Restaurantes</v>
      </c>
      <c r="C1697" s="771" t="s">
        <v>18104</v>
      </c>
      <c r="D1697" s="197"/>
      <c r="E1697" s="857">
        <v>11</v>
      </c>
      <c r="F1697" s="135"/>
      <c r="G1697" s="1040"/>
    </row>
    <row r="1698" spans="1:7">
      <c r="A1698" s="884">
        <v>43535</v>
      </c>
      <c r="B1698" s="138" t="str">
        <f>TiposLancamentos!B16</f>
        <v>Cristiane</v>
      </c>
      <c r="C1698" s="771" t="s">
        <v>18105</v>
      </c>
      <c r="D1698" s="197"/>
      <c r="E1698" s="857">
        <v>18</v>
      </c>
      <c r="F1698" s="135"/>
      <c r="G1698" s="1040"/>
    </row>
    <row r="1699" spans="1:7">
      <c r="A1699" s="884">
        <v>43537</v>
      </c>
      <c r="B1699" s="138" t="str">
        <f>TiposLancamentos!B24</f>
        <v>Estacionamentos</v>
      </c>
      <c r="C1699" s="771" t="s">
        <v>8547</v>
      </c>
      <c r="D1699" s="197"/>
      <c r="E1699" s="857">
        <v>10</v>
      </c>
      <c r="F1699" s="135"/>
      <c r="G1699" s="1040"/>
    </row>
    <row r="1700" spans="1:7">
      <c r="A1700" s="884">
        <v>43538</v>
      </c>
      <c r="B1700" s="138" t="str">
        <f>TiposLancamentos!B24</f>
        <v>Estacionamentos</v>
      </c>
      <c r="C1700" s="771" t="s">
        <v>4589</v>
      </c>
      <c r="D1700" s="197"/>
      <c r="E1700" s="857">
        <v>200</v>
      </c>
      <c r="F1700" s="135"/>
      <c r="G1700" s="1040"/>
    </row>
    <row r="1701" spans="1:7">
      <c r="A1701" s="884">
        <v>43539</v>
      </c>
      <c r="B1701" s="138" t="str">
        <f>TiposLancamentos!B95</f>
        <v>Salarios</v>
      </c>
      <c r="C1701" s="771" t="s">
        <v>17966</v>
      </c>
      <c r="D1701" s="197">
        <v>3742.11</v>
      </c>
      <c r="E1701" s="857"/>
      <c r="F1701" s="135"/>
      <c r="G1701" s="1040"/>
    </row>
    <row r="1702" spans="1:7">
      <c r="A1702" s="919">
        <v>43539</v>
      </c>
      <c r="B1702" s="830" t="str">
        <f>TiposLancamentos!B33</f>
        <v>Pedágios</v>
      </c>
      <c r="C1702" s="915" t="s">
        <v>5392</v>
      </c>
      <c r="D1702" s="917"/>
      <c r="E1702" s="920">
        <f>F1704-(E1703+E1704)</f>
        <v>129.46</v>
      </c>
      <c r="F1702" s="1701"/>
      <c r="G1702" s="1040"/>
    </row>
    <row r="1703" spans="1:7">
      <c r="A1703" s="930">
        <v>43539</v>
      </c>
      <c r="B1703" s="825" t="str">
        <f>TiposLancamentos!B24</f>
        <v>Estacionamentos</v>
      </c>
      <c r="C1703" s="88" t="s">
        <v>7366</v>
      </c>
      <c r="D1703" s="828"/>
      <c r="E1703" s="931">
        <v>36</v>
      </c>
      <c r="F1703" s="1702"/>
      <c r="G1703" s="1040"/>
    </row>
    <row r="1704" spans="1:7">
      <c r="A1704" s="921">
        <v>43539</v>
      </c>
      <c r="B1704" s="833" t="str">
        <f>TiposLancamentos!B24</f>
        <v>Estacionamentos</v>
      </c>
      <c r="C1704" s="916" t="s">
        <v>6297</v>
      </c>
      <c r="D1704" s="918"/>
      <c r="E1704" s="922">
        <v>26</v>
      </c>
      <c r="F1704" s="1703">
        <v>191.46</v>
      </c>
      <c r="G1704" s="1040"/>
    </row>
    <row r="1705" spans="1:7">
      <c r="A1705" s="884">
        <v>43539</v>
      </c>
      <c r="B1705" s="138"/>
      <c r="C1705" s="771" t="s">
        <v>1868</v>
      </c>
      <c r="D1705" s="197"/>
      <c r="E1705" s="857"/>
      <c r="F1705" s="135"/>
      <c r="G1705" s="1040"/>
    </row>
    <row r="1706" spans="1:7">
      <c r="A1706" s="919">
        <v>43539</v>
      </c>
      <c r="B1706" s="830" t="str">
        <f>TiposLancamentos!B35</f>
        <v>Tv à Cabo</v>
      </c>
      <c r="C1706" s="915" t="s">
        <v>5834</v>
      </c>
      <c r="D1706" s="917"/>
      <c r="E1706" s="920">
        <v>170</v>
      </c>
      <c r="F1706" s="1701"/>
      <c r="G1706" s="1040"/>
    </row>
    <row r="1707" spans="1:7">
      <c r="A1707" s="930">
        <v>43539</v>
      </c>
      <c r="B1707" s="825" t="str">
        <f>TiposLancamentos!B3</f>
        <v>Internet</v>
      </c>
      <c r="C1707" s="88" t="s">
        <v>5835</v>
      </c>
      <c r="D1707" s="828"/>
      <c r="E1707" s="931">
        <v>95.2</v>
      </c>
      <c r="F1707" s="1702"/>
      <c r="G1707" s="1040"/>
    </row>
    <row r="1708" spans="1:7">
      <c r="A1708" s="921">
        <v>43539</v>
      </c>
      <c r="B1708" s="833" t="str">
        <f>TiposLancamentos!B2</f>
        <v>Telefonia</v>
      </c>
      <c r="C1708" s="916" t="s">
        <v>7210</v>
      </c>
      <c r="D1708" s="918"/>
      <c r="E1708" s="922">
        <v>0</v>
      </c>
      <c r="F1708" s="1703">
        <f>SUM(E1706:E1708)</f>
        <v>265.2</v>
      </c>
      <c r="G1708" s="1040"/>
    </row>
    <row r="1709" spans="1:7">
      <c r="A1709" s="884">
        <v>43540</v>
      </c>
      <c r="B1709" s="138" t="str">
        <f>TiposLancamentos!B20</f>
        <v>Saques</v>
      </c>
      <c r="C1709" s="771" t="s">
        <v>4681</v>
      </c>
      <c r="D1709" s="197"/>
      <c r="E1709" s="857">
        <v>40</v>
      </c>
      <c r="F1709" s="135"/>
      <c r="G1709" s="1040"/>
    </row>
    <row r="1710" spans="1:7">
      <c r="A1710" s="884">
        <v>43542</v>
      </c>
      <c r="B1710" s="138" t="str">
        <f>TiposLancamentos!B24</f>
        <v>Estacionamentos</v>
      </c>
      <c r="C1710" s="771" t="s">
        <v>18106</v>
      </c>
      <c r="D1710" s="197"/>
      <c r="E1710" s="857">
        <v>8</v>
      </c>
      <c r="F1710" s="135"/>
      <c r="G1710" s="1040"/>
    </row>
    <row r="1711" spans="1:7">
      <c r="A1711" s="884">
        <v>43547</v>
      </c>
      <c r="B1711" s="138" t="str">
        <f>TiposLancamentos!B19</f>
        <v>Restaurantes</v>
      </c>
      <c r="C1711" s="771" t="s">
        <v>18107</v>
      </c>
      <c r="D1711" s="197"/>
      <c r="E1711" s="857">
        <v>74.8</v>
      </c>
      <c r="F1711" s="135"/>
      <c r="G1711" s="1040"/>
    </row>
    <row r="1712" spans="1:7">
      <c r="A1712" s="884">
        <v>43547</v>
      </c>
      <c r="B1712" s="138" t="str">
        <f>TiposLancamentos!B19</f>
        <v>Restaurantes</v>
      </c>
      <c r="C1712" s="771" t="s">
        <v>18108</v>
      </c>
      <c r="D1712" s="197"/>
      <c r="E1712" s="857">
        <v>39.54</v>
      </c>
      <c r="F1712" s="135"/>
      <c r="G1712" s="1040"/>
    </row>
    <row r="1713" spans="1:7">
      <c r="A1713" s="884">
        <v>43549</v>
      </c>
      <c r="B1713" s="138" t="str">
        <f>TiposLancamentos!B24</f>
        <v>Estacionamentos</v>
      </c>
      <c r="C1713" s="771" t="s">
        <v>18109</v>
      </c>
      <c r="D1713" s="197"/>
      <c r="E1713" s="857">
        <v>17</v>
      </c>
      <c r="F1713" s="135"/>
      <c r="G1713" s="1040"/>
    </row>
    <row r="1714" spans="1:7">
      <c r="A1714" s="884">
        <v>43552</v>
      </c>
      <c r="B1714" s="138" t="str">
        <f>TiposLancamentos!B6</f>
        <v>Energia Eletrica</v>
      </c>
      <c r="C1714" s="771" t="s">
        <v>18110</v>
      </c>
      <c r="D1714" s="197"/>
      <c r="E1714" s="857">
        <v>175.46</v>
      </c>
      <c r="F1714" s="135"/>
      <c r="G1714" s="1040"/>
    </row>
    <row r="1715" spans="1:7" ht="14.25" thickBot="1">
      <c r="A1715" s="884">
        <v>43554</v>
      </c>
      <c r="B1715" s="138" t="str">
        <f>TiposLancamentos!B95</f>
        <v>Salarios</v>
      </c>
      <c r="C1715" s="771" t="s">
        <v>17362</v>
      </c>
      <c r="D1715" s="197">
        <v>3151.14</v>
      </c>
      <c r="E1715" s="857"/>
      <c r="F1715" s="135"/>
      <c r="G1715" s="1040"/>
    </row>
    <row r="1716" spans="1:7">
      <c r="A1716" s="967"/>
      <c r="B1716" s="968"/>
      <c r="C1716" s="1093" t="s">
        <v>18111</v>
      </c>
      <c r="D1716" s="970"/>
      <c r="E1716" s="971"/>
      <c r="F1716" s="1712"/>
      <c r="G1716" s="1039"/>
    </row>
    <row r="1717" spans="1:7">
      <c r="A1717" s="884">
        <v>43556</v>
      </c>
      <c r="B1717" s="138" t="str">
        <f>TiposLancamentos!B15</f>
        <v>Cartões de Crédito</v>
      </c>
      <c r="C1717" s="771" t="s">
        <v>7391</v>
      </c>
      <c r="D1717" s="197"/>
      <c r="E1717" s="857">
        <v>7952.7</v>
      </c>
      <c r="F1717" s="135"/>
      <c r="G1717" s="1040"/>
    </row>
    <row r="1718" spans="1:7">
      <c r="A1718" s="884">
        <v>43556</v>
      </c>
      <c r="B1718" s="138" t="str">
        <f>TiposLancamentos!B4</f>
        <v>Taxas Bancarias</v>
      </c>
      <c r="C1718" s="771" t="s">
        <v>18090</v>
      </c>
      <c r="D1718" s="197"/>
      <c r="E1718" s="857">
        <v>27.78</v>
      </c>
      <c r="F1718" s="135"/>
      <c r="G1718" s="1040"/>
    </row>
    <row r="1719" spans="1:7">
      <c r="A1719" s="884">
        <v>43556</v>
      </c>
      <c r="B1719" s="138" t="str">
        <f>TiposLancamentos!B4</f>
        <v>Taxas Bancarias</v>
      </c>
      <c r="C1719" s="771" t="s">
        <v>18112</v>
      </c>
      <c r="D1719" s="197"/>
      <c r="E1719" s="857">
        <v>49.53</v>
      </c>
      <c r="F1719" s="135"/>
      <c r="G1719" s="1040"/>
    </row>
    <row r="1720" spans="1:7">
      <c r="A1720" s="884">
        <v>43556</v>
      </c>
      <c r="B1720" s="138" t="str">
        <f>TiposLancamentos!B4</f>
        <v>Taxas Bancarias</v>
      </c>
      <c r="C1720" s="771" t="s">
        <v>18113</v>
      </c>
      <c r="D1720" s="197"/>
      <c r="E1720" s="857">
        <v>1766.93</v>
      </c>
      <c r="F1720" s="135"/>
      <c r="G1720" s="1040"/>
    </row>
    <row r="1721" spans="1:7">
      <c r="A1721" s="884">
        <v>43556</v>
      </c>
      <c r="B1721" s="138" t="str">
        <f>TiposLancamentos!B24</f>
        <v>Estacionamentos</v>
      </c>
      <c r="C1721" s="771" t="s">
        <v>18114</v>
      </c>
      <c r="D1721" s="197"/>
      <c r="E1721" s="857">
        <v>8</v>
      </c>
      <c r="F1721" s="135"/>
      <c r="G1721" s="1040"/>
    </row>
    <row r="1722" spans="1:7">
      <c r="A1722" s="884">
        <v>43563</v>
      </c>
      <c r="B1722" s="138" t="str">
        <f>TiposLancamentos!B9</f>
        <v>Condominio</v>
      </c>
      <c r="C1722" s="771" t="s">
        <v>18115</v>
      </c>
      <c r="D1722" s="197"/>
      <c r="E1722" s="857">
        <v>1240.52</v>
      </c>
      <c r="F1722" s="135"/>
      <c r="G1722" s="1040"/>
    </row>
    <row r="1723" spans="1:7" ht="12.75" customHeight="1">
      <c r="A1723" s="884">
        <v>43564</v>
      </c>
      <c r="B1723" s="138" t="str">
        <f>TiposLancamentos!B2</f>
        <v>Telefonia</v>
      </c>
      <c r="C1723" s="771" t="s">
        <v>6318</v>
      </c>
      <c r="D1723" s="197"/>
      <c r="E1723" s="857">
        <v>126.09</v>
      </c>
      <c r="F1723" s="135"/>
      <c r="G1723" s="1040"/>
    </row>
    <row r="1724" spans="1:7">
      <c r="A1724" s="919">
        <v>43565</v>
      </c>
      <c r="B1724" s="830" t="str">
        <f>TiposLancamentos!B8</f>
        <v>Aluguel</v>
      </c>
      <c r="C1724" s="915" t="s">
        <v>6163</v>
      </c>
      <c r="D1724" s="917"/>
      <c r="E1724" s="920">
        <v>1920.3</v>
      </c>
      <c r="F1724" s="1701">
        <v>1920</v>
      </c>
      <c r="G1724" s="1040"/>
    </row>
    <row r="1725" spans="1:7">
      <c r="A1725" s="930">
        <v>43565</v>
      </c>
      <c r="B1725" s="825" t="str">
        <f>TiposLancamentos!B12</f>
        <v>IPTU</v>
      </c>
      <c r="C1725" s="88" t="s">
        <v>6537</v>
      </c>
      <c r="D1725" s="828"/>
      <c r="E1725" s="931">
        <v>149.81</v>
      </c>
      <c r="F1725" s="1702">
        <v>149.81</v>
      </c>
      <c r="G1725" s="1040"/>
    </row>
    <row r="1726" spans="1:7">
      <c r="A1726" s="921">
        <v>43565</v>
      </c>
      <c r="B1726" s="833" t="str">
        <f>TiposLancamentos!B34</f>
        <v>Seguros</v>
      </c>
      <c r="C1726" s="916" t="s">
        <v>17903</v>
      </c>
      <c r="D1726" s="918"/>
      <c r="E1726" s="922">
        <v>275.73</v>
      </c>
      <c r="F1726" s="1703">
        <v>2345.84</v>
      </c>
      <c r="G1726" s="1040">
        <v>275.73</v>
      </c>
    </row>
    <row r="1727" spans="1:7">
      <c r="A1727" s="884">
        <v>43565</v>
      </c>
      <c r="B1727" s="138" t="str">
        <f>TiposLancamentos!B105</f>
        <v>Transf. Bco</v>
      </c>
      <c r="C1727" s="771" t="s">
        <v>18116</v>
      </c>
      <c r="D1727" s="197">
        <v>16500</v>
      </c>
      <c r="E1727" s="857"/>
      <c r="F1727" s="135"/>
      <c r="G1727" s="1040"/>
    </row>
    <row r="1728" spans="1:7">
      <c r="A1728" s="884">
        <v>43565</v>
      </c>
      <c r="B1728" s="138" t="str">
        <f>TiposLancamentos!B24</f>
        <v>Estacionamentos</v>
      </c>
      <c r="C1728" s="771" t="s">
        <v>4589</v>
      </c>
      <c r="D1728" s="197"/>
      <c r="E1728" s="857">
        <v>200</v>
      </c>
      <c r="F1728" s="135"/>
      <c r="G1728" s="1040"/>
    </row>
    <row r="1729" spans="1:7">
      <c r="A1729" s="884">
        <v>43566</v>
      </c>
      <c r="B1729" s="138" t="str">
        <f>TiposLancamentos!B52</f>
        <v>Multas</v>
      </c>
      <c r="C1729" s="771" t="s">
        <v>18117</v>
      </c>
      <c r="D1729" s="197"/>
      <c r="E1729" s="857">
        <v>104.13</v>
      </c>
      <c r="F1729" s="135"/>
      <c r="G1729" s="1040"/>
    </row>
    <row r="1730" spans="1:7">
      <c r="A1730" s="884">
        <v>43567</v>
      </c>
      <c r="B1730" s="138" t="str">
        <f>TiposLancamentos!B20</f>
        <v>Saques</v>
      </c>
      <c r="C1730" s="771" t="s">
        <v>3604</v>
      </c>
      <c r="D1730" s="197"/>
      <c r="E1730" s="857">
        <v>40</v>
      </c>
      <c r="F1730" s="135"/>
      <c r="G1730" s="1040"/>
    </row>
    <row r="1731" spans="1:7">
      <c r="A1731" s="884">
        <v>43568</v>
      </c>
      <c r="B1731" s="138" t="str">
        <f>TiposLancamentos!B19</f>
        <v>Restaurantes</v>
      </c>
      <c r="C1731" s="771" t="s">
        <v>18118</v>
      </c>
      <c r="D1731" s="197"/>
      <c r="E1731" s="857">
        <v>44.67</v>
      </c>
      <c r="F1731" s="135"/>
      <c r="G1731" s="1040"/>
    </row>
    <row r="1732" spans="1:7">
      <c r="A1732" s="884">
        <v>43570</v>
      </c>
      <c r="B1732" s="138" t="str">
        <f>TiposLancamentos!B16</f>
        <v>Cristiane</v>
      </c>
      <c r="C1732" s="771" t="s">
        <v>18119</v>
      </c>
      <c r="D1732" s="197"/>
      <c r="E1732" s="857">
        <v>25</v>
      </c>
      <c r="F1732" s="135"/>
      <c r="G1732" s="1040"/>
    </row>
    <row r="1733" spans="1:7">
      <c r="A1733" s="884">
        <v>43570</v>
      </c>
      <c r="B1733" s="138" t="str">
        <f>TiposLancamentos!B29</f>
        <v>Mangá</v>
      </c>
      <c r="C1733" s="771" t="s">
        <v>18120</v>
      </c>
      <c r="D1733" s="197"/>
      <c r="E1733" s="857">
        <v>16.899999999999999</v>
      </c>
      <c r="F1733" s="135"/>
      <c r="G1733" s="1040"/>
    </row>
    <row r="1734" spans="1:7">
      <c r="A1734" s="884">
        <v>43570</v>
      </c>
      <c r="B1734" s="138" t="str">
        <f>TiposLancamentos!B95</f>
        <v>Salarios</v>
      </c>
      <c r="C1734" s="771" t="s">
        <v>17966</v>
      </c>
      <c r="D1734" s="197">
        <v>3977.6</v>
      </c>
      <c r="E1734" s="857"/>
      <c r="F1734" s="135"/>
      <c r="G1734" s="1040"/>
    </row>
    <row r="1735" spans="1:7">
      <c r="A1735" s="919">
        <v>43570</v>
      </c>
      <c r="B1735" s="830" t="str">
        <f>TiposLancamentos!B33</f>
        <v>Pedágios</v>
      </c>
      <c r="C1735" s="915" t="s">
        <v>5392</v>
      </c>
      <c r="D1735" s="917"/>
      <c r="E1735" s="920">
        <f>F1737-(E1736+E1737)</f>
        <v>174.46</v>
      </c>
      <c r="F1735" s="1701"/>
      <c r="G1735" s="1040"/>
    </row>
    <row r="1736" spans="1:7">
      <c r="A1736" s="930">
        <v>43570</v>
      </c>
      <c r="B1736" s="825" t="str">
        <f>TiposLancamentos!B24</f>
        <v>Estacionamentos</v>
      </c>
      <c r="C1736" s="88" t="s">
        <v>7366</v>
      </c>
      <c r="D1736" s="828"/>
      <c r="E1736" s="931">
        <v>39</v>
      </c>
      <c r="F1736" s="1702"/>
      <c r="G1736" s="1040"/>
    </row>
    <row r="1737" spans="1:7">
      <c r="A1737" s="921">
        <v>43570</v>
      </c>
      <c r="B1737" s="833" t="str">
        <f>TiposLancamentos!B24</f>
        <v>Estacionamentos</v>
      </c>
      <c r="C1737" s="916" t="s">
        <v>6297</v>
      </c>
      <c r="D1737" s="918"/>
      <c r="E1737" s="922">
        <v>8</v>
      </c>
      <c r="F1737" s="1703">
        <v>221.46</v>
      </c>
      <c r="G1737" s="1040"/>
    </row>
    <row r="1738" spans="1:7">
      <c r="A1738" s="884">
        <v>43570</v>
      </c>
      <c r="B1738" s="138"/>
      <c r="C1738" s="771" t="s">
        <v>1868</v>
      </c>
      <c r="D1738" s="197"/>
      <c r="E1738" s="857"/>
      <c r="F1738" s="135"/>
      <c r="G1738" s="1040"/>
    </row>
    <row r="1739" spans="1:7">
      <c r="A1739" s="919">
        <v>43570</v>
      </c>
      <c r="B1739" s="830" t="str">
        <f>TiposLancamentos!B35</f>
        <v>Tv à Cabo</v>
      </c>
      <c r="C1739" s="915" t="s">
        <v>5834</v>
      </c>
      <c r="D1739" s="917"/>
      <c r="E1739" s="920">
        <v>170</v>
      </c>
      <c r="F1739" s="1701"/>
      <c r="G1739" s="1040"/>
    </row>
    <row r="1740" spans="1:7">
      <c r="A1740" s="930">
        <v>43570</v>
      </c>
      <c r="B1740" s="825" t="str">
        <f>TiposLancamentos!B3</f>
        <v>Internet</v>
      </c>
      <c r="C1740" s="88" t="s">
        <v>5835</v>
      </c>
      <c r="D1740" s="828"/>
      <c r="E1740" s="931">
        <v>95.2</v>
      </c>
      <c r="F1740" s="1702"/>
      <c r="G1740" s="1040"/>
    </row>
    <row r="1741" spans="1:7">
      <c r="A1741" s="921">
        <v>43570</v>
      </c>
      <c r="B1741" s="833" t="str">
        <f>TiposLancamentos!B2</f>
        <v>Telefonia</v>
      </c>
      <c r="C1741" s="916" t="s">
        <v>7210</v>
      </c>
      <c r="D1741" s="918"/>
      <c r="E1741" s="922">
        <v>0</v>
      </c>
      <c r="F1741" s="1703">
        <f>SUM(E1739:E1741)</f>
        <v>265.2</v>
      </c>
      <c r="G1741" s="1040"/>
    </row>
    <row r="1742" spans="1:7">
      <c r="A1742" s="884">
        <v>43570</v>
      </c>
      <c r="B1742" s="138" t="str">
        <f>TiposLancamentos!B24</f>
        <v>Estacionamentos</v>
      </c>
      <c r="C1742" s="771" t="s">
        <v>4722</v>
      </c>
      <c r="D1742" s="197"/>
      <c r="E1742" s="857">
        <v>10</v>
      </c>
      <c r="F1742" s="135"/>
      <c r="G1742" s="1040"/>
    </row>
    <row r="1743" spans="1:7">
      <c r="A1743" s="884">
        <v>43571</v>
      </c>
      <c r="B1743" s="138" t="str">
        <f>TiposLancamentos!B24</f>
        <v>Estacionamentos</v>
      </c>
      <c r="C1743" s="771" t="s">
        <v>18121</v>
      </c>
      <c r="D1743" s="197"/>
      <c r="E1743" s="857">
        <v>8</v>
      </c>
      <c r="F1743" s="135"/>
      <c r="G1743" s="1040"/>
    </row>
    <row r="1744" spans="1:7">
      <c r="A1744" s="884">
        <v>43575</v>
      </c>
      <c r="B1744" s="138" t="str">
        <f>TiposLancamentos!B13</f>
        <v>Moradia</v>
      </c>
      <c r="C1744" s="771" t="s">
        <v>18122</v>
      </c>
      <c r="D1744" s="197"/>
      <c r="E1744" s="857">
        <v>8.6999999999999993</v>
      </c>
      <c r="F1744" s="135"/>
      <c r="G1744" s="1040"/>
    </row>
    <row r="1745" spans="1:7">
      <c r="A1745" s="884">
        <v>43577</v>
      </c>
      <c r="B1745" s="138" t="str">
        <f>TiposLancamentos!B16</f>
        <v>Cristiane</v>
      </c>
      <c r="C1745" s="771" t="s">
        <v>18123</v>
      </c>
      <c r="D1745" s="197"/>
      <c r="E1745" s="857">
        <v>73.98</v>
      </c>
      <c r="F1745" s="135"/>
      <c r="G1745" s="1040"/>
    </row>
    <row r="1746" spans="1:7" ht="14.45" customHeight="1">
      <c r="A1746" s="884">
        <v>43578</v>
      </c>
      <c r="B1746" s="138" t="str">
        <f>TiposLancamentos!B24</f>
        <v>Estacionamentos</v>
      </c>
      <c r="C1746" s="771" t="s">
        <v>18033</v>
      </c>
      <c r="D1746" s="197"/>
      <c r="E1746" s="857">
        <v>10</v>
      </c>
      <c r="F1746" s="135"/>
      <c r="G1746" s="1040"/>
    </row>
    <row r="1747" spans="1:7">
      <c r="A1747" s="884">
        <v>43579</v>
      </c>
      <c r="B1747" s="138" t="str">
        <f>TiposLancamentos!B64</f>
        <v>Viagens</v>
      </c>
      <c r="C1747" s="771" t="s">
        <v>18124</v>
      </c>
      <c r="D1747" s="197"/>
      <c r="E1747" s="857">
        <v>876.4</v>
      </c>
      <c r="F1747" s="135"/>
      <c r="G1747" s="1040"/>
    </row>
    <row r="1748" spans="1:7">
      <c r="A1748" s="884">
        <v>43581</v>
      </c>
      <c r="B1748" s="138" t="str">
        <f>TiposLancamentos!B13</f>
        <v>Moradia</v>
      </c>
      <c r="C1748" s="771" t="s">
        <v>18125</v>
      </c>
      <c r="D1748" s="197"/>
      <c r="E1748" s="857">
        <v>26</v>
      </c>
      <c r="F1748" s="135"/>
      <c r="G1748" s="1040"/>
    </row>
    <row r="1749" spans="1:7">
      <c r="A1749" s="884">
        <v>43581</v>
      </c>
      <c r="B1749" s="138" t="str">
        <f>TiposLancamentos!B13</f>
        <v>Moradia</v>
      </c>
      <c r="C1749" s="771" t="s">
        <v>18126</v>
      </c>
      <c r="D1749" s="197"/>
      <c r="E1749" s="857">
        <v>17.5</v>
      </c>
      <c r="F1749" s="135"/>
      <c r="G1749" s="1040"/>
    </row>
    <row r="1750" spans="1:7">
      <c r="A1750" s="884">
        <v>43584</v>
      </c>
      <c r="B1750" s="138" t="str">
        <f>TiposLancamentos!B6</f>
        <v>Energia Eletrica</v>
      </c>
      <c r="C1750" s="771" t="s">
        <v>18127</v>
      </c>
      <c r="D1750" s="197"/>
      <c r="E1750" s="857">
        <v>251.56</v>
      </c>
      <c r="F1750" s="135"/>
      <c r="G1750" s="1040"/>
    </row>
    <row r="1751" spans="1:7">
      <c r="A1751" s="884">
        <v>43584</v>
      </c>
      <c r="B1751" s="138" t="str">
        <f>TiposLancamentos!B64</f>
        <v>Viagens</v>
      </c>
      <c r="C1751" s="771" t="s">
        <v>18128</v>
      </c>
      <c r="D1751" s="197"/>
      <c r="E1751" s="857">
        <v>3166.42</v>
      </c>
      <c r="F1751" s="135"/>
      <c r="G1751" s="1040"/>
    </row>
    <row r="1752" spans="1:7" ht="14.25" thickBot="1">
      <c r="A1752" s="884">
        <v>43585</v>
      </c>
      <c r="B1752" s="138" t="str">
        <f>TiposLancamentos!B95</f>
        <v>Salarios</v>
      </c>
      <c r="C1752" s="771" t="s">
        <v>17362</v>
      </c>
      <c r="D1752" s="197">
        <v>4417.43</v>
      </c>
      <c r="E1752" s="857"/>
      <c r="F1752" s="135"/>
      <c r="G1752" s="1040"/>
    </row>
    <row r="1753" spans="1:7">
      <c r="A1753" s="967"/>
      <c r="B1753" s="968"/>
      <c r="C1753" s="1093" t="s">
        <v>18129</v>
      </c>
      <c r="D1753" s="970"/>
      <c r="E1753" s="971"/>
      <c r="F1753" s="1712"/>
      <c r="G1753" s="1039"/>
    </row>
    <row r="1754" spans="1:7">
      <c r="A1754" s="884">
        <v>43587</v>
      </c>
      <c r="B1754" s="138" t="str">
        <f>TiposLancamentos!B15</f>
        <v>Cartões de Crédito</v>
      </c>
      <c r="C1754" s="771" t="s">
        <v>7391</v>
      </c>
      <c r="D1754" s="197"/>
      <c r="E1754" s="857">
        <v>7157.3</v>
      </c>
      <c r="F1754" s="135"/>
      <c r="G1754" s="1040"/>
    </row>
    <row r="1755" spans="1:7">
      <c r="A1755" s="884">
        <v>43587</v>
      </c>
      <c r="B1755" s="138" t="str">
        <f>TiposLancamentos!B4</f>
        <v>Taxas Bancarias</v>
      </c>
      <c r="C1755" s="771" t="s">
        <v>18130</v>
      </c>
      <c r="D1755" s="197"/>
      <c r="E1755" s="857">
        <v>19.2</v>
      </c>
      <c r="F1755" s="135"/>
      <c r="G1755" s="1040"/>
    </row>
    <row r="1756" spans="1:7">
      <c r="A1756" s="884">
        <v>43587</v>
      </c>
      <c r="B1756" s="138" t="str">
        <f>TiposLancamentos!B4</f>
        <v>Taxas Bancarias</v>
      </c>
      <c r="C1756" s="771" t="s">
        <v>18131</v>
      </c>
      <c r="D1756" s="197"/>
      <c r="E1756" s="857">
        <v>59.83</v>
      </c>
      <c r="F1756" s="135"/>
      <c r="G1756" s="1040"/>
    </row>
    <row r="1757" spans="1:7">
      <c r="A1757" s="884">
        <v>43587</v>
      </c>
      <c r="B1757" s="138" t="str">
        <f>TiposLancamentos!B4</f>
        <v>Taxas Bancarias</v>
      </c>
      <c r="C1757" s="771" t="s">
        <v>18132</v>
      </c>
      <c r="D1757" s="197"/>
      <c r="E1757" s="857">
        <v>1245.5999999999999</v>
      </c>
      <c r="F1757" s="135"/>
      <c r="G1757" s="1040"/>
    </row>
    <row r="1758" spans="1:7">
      <c r="A1758" s="884">
        <v>43591</v>
      </c>
      <c r="B1758" s="138" t="str">
        <f>TiposLancamentos!B9</f>
        <v>Condominio</v>
      </c>
      <c r="C1758" s="771" t="s">
        <v>18133</v>
      </c>
      <c r="D1758" s="197"/>
      <c r="E1758" s="857">
        <v>1260.17</v>
      </c>
      <c r="F1758" s="135"/>
      <c r="G1758" s="1040"/>
    </row>
    <row r="1759" spans="1:7">
      <c r="A1759" s="884">
        <v>43593</v>
      </c>
      <c r="B1759" s="138" t="str">
        <f>TiposLancamentos!B2</f>
        <v>Telefonia</v>
      </c>
      <c r="C1759" s="771" t="s">
        <v>6318</v>
      </c>
      <c r="D1759" s="197"/>
      <c r="E1759" s="857">
        <v>126.09</v>
      </c>
      <c r="F1759" s="135"/>
      <c r="G1759" s="1040"/>
    </row>
    <row r="1760" spans="1:7">
      <c r="A1760" s="884">
        <v>43594</v>
      </c>
      <c r="B1760" s="138" t="str">
        <f>TiposLancamentos!B64</f>
        <v>Viagens</v>
      </c>
      <c r="C1760" s="771" t="s">
        <v>18134</v>
      </c>
      <c r="D1760" s="197"/>
      <c r="E1760" s="857">
        <v>1933.4</v>
      </c>
      <c r="F1760" s="135"/>
      <c r="G1760" s="1040"/>
    </row>
    <row r="1761" spans="1:7">
      <c r="A1761" s="884">
        <v>43595</v>
      </c>
      <c r="B1761" s="138" t="str">
        <f>TiposLancamentos!B20</f>
        <v>Saques</v>
      </c>
      <c r="C1761" s="771" t="s">
        <v>3604</v>
      </c>
      <c r="D1761" s="197"/>
      <c r="E1761" s="857">
        <v>40</v>
      </c>
      <c r="F1761" s="135"/>
      <c r="G1761" s="1040"/>
    </row>
    <row r="1762" spans="1:7">
      <c r="A1762" s="919">
        <v>43595</v>
      </c>
      <c r="B1762" s="830" t="str">
        <f>TiposLancamentos!B8</f>
        <v>Aluguel</v>
      </c>
      <c r="C1762" s="915" t="s">
        <v>6163</v>
      </c>
      <c r="D1762" s="917"/>
      <c r="E1762" s="920">
        <f>F1764-(E1763+E1764)</f>
        <v>1920.3000000000002</v>
      </c>
      <c r="F1762" s="1701"/>
      <c r="G1762" s="1040"/>
    </row>
    <row r="1763" spans="1:7">
      <c r="A1763" s="930">
        <v>43595</v>
      </c>
      <c r="B1763" s="825" t="str">
        <f>TiposLancamentos!B12</f>
        <v>IPTU</v>
      </c>
      <c r="C1763" s="88" t="s">
        <v>6575</v>
      </c>
      <c r="D1763" s="828"/>
      <c r="E1763" s="931">
        <v>149.81</v>
      </c>
      <c r="F1763" s="1702"/>
      <c r="G1763" s="1040"/>
    </row>
    <row r="1764" spans="1:7">
      <c r="A1764" s="921">
        <v>43595</v>
      </c>
      <c r="B1764" s="833" t="str">
        <f>TiposLancamentos!B34</f>
        <v>Seguros</v>
      </c>
      <c r="C1764" s="916" t="s">
        <v>17375</v>
      </c>
      <c r="D1764" s="918"/>
      <c r="E1764" s="922">
        <v>275.73</v>
      </c>
      <c r="F1764" s="1703">
        <v>2345.84</v>
      </c>
      <c r="G1764" s="1040"/>
    </row>
    <row r="1765" spans="1:7">
      <c r="A1765" s="884">
        <v>43595</v>
      </c>
      <c r="B1765" s="138" t="str">
        <f>TiposLancamentos!B24</f>
        <v>Estacionamentos</v>
      </c>
      <c r="C1765" s="771" t="s">
        <v>4589</v>
      </c>
      <c r="D1765" s="197"/>
      <c r="E1765" s="857">
        <v>200</v>
      </c>
      <c r="F1765" s="135"/>
      <c r="G1765" s="1040"/>
    </row>
    <row r="1766" spans="1:7">
      <c r="A1766" s="884">
        <v>43598</v>
      </c>
      <c r="B1766" s="138" t="str">
        <f>TiposLancamentos!B24</f>
        <v>Estacionamentos</v>
      </c>
      <c r="C1766" s="771" t="s">
        <v>18135</v>
      </c>
      <c r="D1766" s="197"/>
      <c r="E1766" s="857">
        <v>10</v>
      </c>
      <c r="F1766" s="135"/>
      <c r="G1766" s="1040"/>
    </row>
    <row r="1767" spans="1:7">
      <c r="A1767" s="884">
        <v>43599</v>
      </c>
      <c r="B1767" s="138" t="str">
        <f>TiposLancamentos!B31</f>
        <v>Action Figures</v>
      </c>
      <c r="C1767" s="771" t="s">
        <v>18136</v>
      </c>
      <c r="D1767" s="197"/>
      <c r="E1767" s="857">
        <v>260.93</v>
      </c>
      <c r="F1767" s="135"/>
      <c r="G1767" s="1040"/>
    </row>
    <row r="1768" spans="1:7">
      <c r="A1768" s="884">
        <v>43599</v>
      </c>
      <c r="B1768" s="138" t="str">
        <f>TiposLancamentos!B20</f>
        <v>Saques</v>
      </c>
      <c r="C1768" s="771" t="s">
        <v>4325</v>
      </c>
      <c r="D1768" s="197"/>
      <c r="E1768" s="857">
        <v>50</v>
      </c>
      <c r="F1768" s="135"/>
      <c r="G1768" s="1040"/>
    </row>
    <row r="1769" spans="1:7">
      <c r="A1769" s="884">
        <v>43600</v>
      </c>
      <c r="B1769" s="138" t="str">
        <f>TiposLancamentos!B16</f>
        <v>Cristiane</v>
      </c>
      <c r="C1769" s="771" t="s">
        <v>17966</v>
      </c>
      <c r="D1769" s="197">
        <v>3977.6</v>
      </c>
      <c r="E1769" s="857"/>
      <c r="F1769" s="135"/>
      <c r="G1769" s="1040"/>
    </row>
    <row r="1770" spans="1:7">
      <c r="A1770" s="919">
        <v>43600</v>
      </c>
      <c r="B1770" s="830" t="str">
        <f>TiposLancamentos!B33</f>
        <v>Pedágios</v>
      </c>
      <c r="C1770" s="915" t="s">
        <v>5392</v>
      </c>
      <c r="D1770" s="917"/>
      <c r="E1770" s="920">
        <f>F1772-(E1771+E1772)</f>
        <v>47.06</v>
      </c>
      <c r="F1770" s="1701"/>
      <c r="G1770" s="1040"/>
    </row>
    <row r="1771" spans="1:7">
      <c r="A1771" s="930">
        <v>43600</v>
      </c>
      <c r="B1771" s="825" t="str">
        <f>TiposLancamentos!B24</f>
        <v>Estacionamentos</v>
      </c>
      <c r="C1771" s="88" t="s">
        <v>7366</v>
      </c>
      <c r="D1771" s="828"/>
      <c r="E1771" s="931">
        <v>65</v>
      </c>
      <c r="F1771" s="1702"/>
      <c r="G1771" s="1040"/>
    </row>
    <row r="1772" spans="1:7">
      <c r="A1772" s="921">
        <v>43600</v>
      </c>
      <c r="B1772" s="833" t="str">
        <f>TiposLancamentos!B24</f>
        <v>Estacionamentos</v>
      </c>
      <c r="C1772" s="916" t="s">
        <v>6297</v>
      </c>
      <c r="D1772" s="918"/>
      <c r="E1772" s="922">
        <v>35</v>
      </c>
      <c r="F1772" s="1703">
        <v>147.06</v>
      </c>
      <c r="G1772" s="1040"/>
    </row>
    <row r="1773" spans="1:7">
      <c r="A1773" s="884">
        <v>43600</v>
      </c>
      <c r="B1773" s="138" t="str">
        <f>TiposLancamentos!B16</f>
        <v>Cristiane</v>
      </c>
      <c r="C1773" s="771" t="s">
        <v>18123</v>
      </c>
      <c r="D1773" s="197"/>
      <c r="E1773" s="857">
        <v>40.39</v>
      </c>
      <c r="F1773" s="1697"/>
      <c r="G1773" s="1040"/>
    </row>
    <row r="1774" spans="1:7">
      <c r="A1774" s="884">
        <v>43600</v>
      </c>
      <c r="B1774" s="138"/>
      <c r="C1774" s="771" t="s">
        <v>1868</v>
      </c>
      <c r="D1774" s="197"/>
      <c r="E1774" s="857"/>
      <c r="F1774" s="135"/>
      <c r="G1774" s="1040"/>
    </row>
    <row r="1775" spans="1:7">
      <c r="A1775" s="919">
        <v>43600</v>
      </c>
      <c r="B1775" s="830" t="str">
        <f>TiposLancamentos!B35</f>
        <v>Tv à Cabo</v>
      </c>
      <c r="C1775" s="915" t="s">
        <v>5834</v>
      </c>
      <c r="D1775" s="917"/>
      <c r="E1775" s="920">
        <v>170</v>
      </c>
      <c r="F1775" s="1701"/>
      <c r="G1775" s="1040"/>
    </row>
    <row r="1776" spans="1:7">
      <c r="A1776" s="930">
        <v>43600</v>
      </c>
      <c r="B1776" s="825" t="str">
        <f>TiposLancamentos!B3</f>
        <v>Internet</v>
      </c>
      <c r="C1776" s="88" t="s">
        <v>5835</v>
      </c>
      <c r="D1776" s="828"/>
      <c r="E1776" s="931">
        <v>95.2</v>
      </c>
      <c r="F1776" s="1702"/>
      <c r="G1776" s="1040"/>
    </row>
    <row r="1777" spans="1:7">
      <c r="A1777" s="921">
        <v>43600</v>
      </c>
      <c r="B1777" s="833" t="str">
        <f>TiposLancamentos!B2</f>
        <v>Telefonia</v>
      </c>
      <c r="C1777" s="916" t="s">
        <v>7210</v>
      </c>
      <c r="D1777" s="918"/>
      <c r="E1777" s="922">
        <v>0</v>
      </c>
      <c r="F1777" s="1703">
        <f>SUM(E1775:E1777)</f>
        <v>265.2</v>
      </c>
      <c r="G1777" s="1040"/>
    </row>
    <row r="1778" spans="1:7">
      <c r="A1778" s="884">
        <v>43600</v>
      </c>
      <c r="B1778" s="138" t="str">
        <f>TiposLancamentos!B20</f>
        <v>Saques</v>
      </c>
      <c r="C1778" s="771" t="s">
        <v>4325</v>
      </c>
      <c r="D1778" s="197"/>
      <c r="E1778" s="857">
        <v>50</v>
      </c>
      <c r="F1778" s="135"/>
      <c r="G1778" s="1040"/>
    </row>
    <row r="1779" spans="1:7">
      <c r="A1779" s="884">
        <v>43603</v>
      </c>
      <c r="B1779" s="138" t="str">
        <f>TiposLancamentos!B70</f>
        <v>Vestuário</v>
      </c>
      <c r="C1779" s="771" t="s">
        <v>18137</v>
      </c>
      <c r="D1779" s="197"/>
      <c r="E1779" s="857">
        <v>57</v>
      </c>
      <c r="F1779" s="135"/>
      <c r="G1779" s="1040"/>
    </row>
    <row r="1780" spans="1:7">
      <c r="A1780" s="884">
        <v>43604</v>
      </c>
      <c r="B1780" s="138" t="str">
        <f>TiposLancamentos!B19</f>
        <v>Restaurantes</v>
      </c>
      <c r="C1780" s="771" t="s">
        <v>18138</v>
      </c>
      <c r="D1780" s="197"/>
      <c r="E1780" s="857">
        <v>43.89</v>
      </c>
      <c r="F1780" s="135"/>
      <c r="G1780" s="1040"/>
    </row>
    <row r="1781" spans="1:7">
      <c r="A1781" s="884">
        <v>43610</v>
      </c>
      <c r="B1781" s="138" t="str">
        <f>TiposLancamentos!B70</f>
        <v>Vestuário</v>
      </c>
      <c r="C1781" s="771" t="s">
        <v>18139</v>
      </c>
      <c r="D1781" s="197"/>
      <c r="E1781" s="857">
        <v>26</v>
      </c>
      <c r="F1781" s="135"/>
      <c r="G1781" s="1040"/>
    </row>
    <row r="1782" spans="1:7">
      <c r="A1782" s="884">
        <v>43612</v>
      </c>
      <c r="B1782" s="138" t="str">
        <f>TiposLancamentos!B24</f>
        <v>Estacionamentos</v>
      </c>
      <c r="C1782" s="771" t="s">
        <v>18140</v>
      </c>
      <c r="D1782" s="197"/>
      <c r="E1782" s="857">
        <v>8</v>
      </c>
      <c r="F1782" s="135"/>
      <c r="G1782" s="1040"/>
    </row>
    <row r="1783" spans="1:7">
      <c r="A1783" s="884">
        <v>43615</v>
      </c>
      <c r="B1783" s="138" t="str">
        <f>TiposLancamentos!B6</f>
        <v>Energia Eletrica</v>
      </c>
      <c r="C1783" s="771" t="s">
        <v>18141</v>
      </c>
      <c r="D1783" s="197"/>
      <c r="E1783" s="857">
        <v>206.47</v>
      </c>
      <c r="F1783" s="135"/>
      <c r="G1783" s="1040"/>
    </row>
    <row r="1784" spans="1:7" ht="14.25" thickBot="1">
      <c r="A1784" s="884">
        <v>43615</v>
      </c>
      <c r="B1784" s="138" t="str">
        <f>TiposLancamentos!B95</f>
        <v>Salarios</v>
      </c>
      <c r="C1784" s="771" t="s">
        <v>17362</v>
      </c>
      <c r="D1784" s="197">
        <v>3022.44</v>
      </c>
      <c r="E1784" s="857"/>
      <c r="F1784" s="135"/>
      <c r="G1784" s="1040"/>
    </row>
    <row r="1785" spans="1:7">
      <c r="A1785" s="967"/>
      <c r="B1785" s="968"/>
      <c r="C1785" s="1093" t="s">
        <v>18142</v>
      </c>
      <c r="D1785" s="970"/>
      <c r="E1785" s="971"/>
      <c r="F1785" s="1712"/>
      <c r="G1785" s="1039"/>
    </row>
    <row r="1786" spans="1:7">
      <c r="A1786" s="884">
        <v>43619</v>
      </c>
      <c r="B1786" s="138" t="str">
        <f>TiposLancamentos!B4</f>
        <v>Taxas Bancarias</v>
      </c>
      <c r="C1786" s="771" t="s">
        <v>18143</v>
      </c>
      <c r="D1786" s="197"/>
      <c r="E1786" s="857">
        <v>32.65</v>
      </c>
      <c r="F1786" s="135"/>
      <c r="G1786" s="1040"/>
    </row>
    <row r="1787" spans="1:7">
      <c r="A1787" s="884">
        <v>43619</v>
      </c>
      <c r="B1787" s="138" t="str">
        <f>TiposLancamentos!B4</f>
        <v>Taxas Bancarias</v>
      </c>
      <c r="C1787" s="771" t="s">
        <v>18144</v>
      </c>
      <c r="D1787" s="197"/>
      <c r="E1787" s="857">
        <v>57.35</v>
      </c>
      <c r="F1787" s="135"/>
      <c r="G1787" s="1040"/>
    </row>
    <row r="1788" spans="1:7">
      <c r="A1788" s="884">
        <v>43619</v>
      </c>
      <c r="B1788" s="138" t="str">
        <f>TiposLancamentos!B4</f>
        <v>Taxas Bancarias</v>
      </c>
      <c r="C1788" s="771" t="s">
        <v>18145</v>
      </c>
      <c r="D1788" s="197"/>
      <c r="E1788" s="857">
        <v>2024.45</v>
      </c>
      <c r="F1788" s="135"/>
      <c r="G1788" s="1040"/>
    </row>
    <row r="1789" spans="1:7">
      <c r="A1789" s="884">
        <v>43619</v>
      </c>
      <c r="B1789" s="138" t="str">
        <f>TiposLancamentos!B20</f>
        <v>Saques</v>
      </c>
      <c r="C1789" s="771" t="s">
        <v>3604</v>
      </c>
      <c r="D1789" s="197"/>
      <c r="E1789" s="857">
        <v>20</v>
      </c>
      <c r="F1789" s="135"/>
      <c r="G1789" s="1040"/>
    </row>
    <row r="1790" spans="1:7">
      <c r="A1790" s="884">
        <v>43619</v>
      </c>
      <c r="B1790" s="138" t="str">
        <f>TiposLancamentos!B15</f>
        <v>Cartões de Crédito</v>
      </c>
      <c r="C1790" s="771" t="s">
        <v>18146</v>
      </c>
      <c r="D1790" s="197"/>
      <c r="E1790" s="857">
        <v>9552.7999999999993</v>
      </c>
      <c r="F1790" s="135"/>
      <c r="G1790" s="1040"/>
    </row>
    <row r="1791" spans="1:7">
      <c r="A1791" s="884">
        <v>43619</v>
      </c>
      <c r="B1791" s="138" t="str">
        <f>TiposLancamentos!B46</f>
        <v>Maçonaria</v>
      </c>
      <c r="C1791" s="771" t="s">
        <v>18147</v>
      </c>
      <c r="D1791" s="197"/>
      <c r="E1791" s="857">
        <v>1000</v>
      </c>
      <c r="F1791" s="135"/>
      <c r="G1791" s="1040"/>
    </row>
    <row r="1792" spans="1:7">
      <c r="A1792" s="884">
        <v>43620</v>
      </c>
      <c r="B1792" s="138" t="str">
        <f>TiposLancamentos!B58</f>
        <v>Fotografias</v>
      </c>
      <c r="C1792" s="771" t="s">
        <v>18148</v>
      </c>
      <c r="D1792" s="197"/>
      <c r="E1792" s="857">
        <v>15</v>
      </c>
      <c r="F1792" s="135"/>
      <c r="G1792" s="1040"/>
    </row>
    <row r="1793" spans="1:7">
      <c r="A1793" s="884">
        <v>43620</v>
      </c>
      <c r="B1793" s="138" t="str">
        <f>TiposLancamentos!B24</f>
        <v>Estacionamentos</v>
      </c>
      <c r="C1793" s="771" t="s">
        <v>18149</v>
      </c>
      <c r="D1793" s="197"/>
      <c r="E1793" s="857">
        <v>13</v>
      </c>
      <c r="F1793" s="135"/>
      <c r="G1793" s="1040"/>
    </row>
    <row r="1794" spans="1:7">
      <c r="A1794" s="884">
        <v>43621</v>
      </c>
      <c r="B1794" s="138" t="str">
        <f>TiposLancamentos!B19</f>
        <v>Restaurantes</v>
      </c>
      <c r="C1794" s="771" t="s">
        <v>7215</v>
      </c>
      <c r="D1794" s="197"/>
      <c r="E1794" s="857">
        <v>13.5</v>
      </c>
      <c r="F1794" s="135"/>
      <c r="G1794" s="1040"/>
    </row>
    <row r="1795" spans="1:7">
      <c r="A1795" s="884">
        <v>43622</v>
      </c>
      <c r="B1795" s="138" t="str">
        <f>TiposLancamentos!B9</f>
        <v>Condominio</v>
      </c>
      <c r="C1795" s="771" t="s">
        <v>18150</v>
      </c>
      <c r="D1795" s="197"/>
      <c r="E1795" s="857">
        <v>1241.0899999999999</v>
      </c>
      <c r="F1795" s="135"/>
      <c r="G1795" s="1040"/>
    </row>
    <row r="1796" spans="1:7">
      <c r="A1796" s="884">
        <v>43624</v>
      </c>
      <c r="B1796" s="138" t="str">
        <f>TiposLancamentos!B19</f>
        <v>Restaurantes</v>
      </c>
      <c r="C1796" s="771" t="s">
        <v>18151</v>
      </c>
      <c r="D1796" s="197"/>
      <c r="E1796" s="857">
        <v>42.24</v>
      </c>
      <c r="F1796" s="135"/>
      <c r="G1796" s="1040"/>
    </row>
    <row r="1797" spans="1:7">
      <c r="A1797" s="884">
        <v>43624</v>
      </c>
      <c r="B1797" s="138" t="str">
        <f>TiposLancamentos!B24</f>
        <v>Estacionamentos</v>
      </c>
      <c r="C1797" s="771" t="s">
        <v>18152</v>
      </c>
      <c r="D1797" s="197"/>
      <c r="E1797" s="857">
        <v>20</v>
      </c>
      <c r="F1797" s="135"/>
      <c r="G1797" s="1040"/>
    </row>
    <row r="1798" spans="1:7">
      <c r="A1798" s="884">
        <v>43626</v>
      </c>
      <c r="B1798" s="138" t="str">
        <f>TiposLancamentos!B64</f>
        <v>Viagens</v>
      </c>
      <c r="C1798" s="771" t="s">
        <v>18153</v>
      </c>
      <c r="D1798" s="197"/>
      <c r="E1798" s="857">
        <v>876.4</v>
      </c>
      <c r="F1798" s="135"/>
      <c r="G1798" s="1040"/>
    </row>
    <row r="1799" spans="1:7">
      <c r="A1799" s="919">
        <v>43626</v>
      </c>
      <c r="B1799" s="830" t="str">
        <f>TiposLancamentos!B8</f>
        <v>Aluguel</v>
      </c>
      <c r="C1799" s="915" t="s">
        <v>6163</v>
      </c>
      <c r="D1799" s="917"/>
      <c r="E1799" s="920">
        <f>F1801-(E1800+E1801)</f>
        <v>1920.3000000000002</v>
      </c>
      <c r="F1799" s="1701"/>
      <c r="G1799" s="1040"/>
    </row>
    <row r="1800" spans="1:7">
      <c r="A1800" s="930">
        <v>43626</v>
      </c>
      <c r="B1800" s="825" t="str">
        <f>TiposLancamentos!B12</f>
        <v>IPTU</v>
      </c>
      <c r="C1800" s="88" t="s">
        <v>6629</v>
      </c>
      <c r="D1800" s="828"/>
      <c r="E1800" s="931">
        <v>149.81</v>
      </c>
      <c r="F1800" s="1702"/>
      <c r="G1800" s="1040"/>
    </row>
    <row r="1801" spans="1:7">
      <c r="A1801" s="921">
        <v>43626</v>
      </c>
      <c r="B1801" s="833" t="str">
        <f>TiposLancamentos!B34</f>
        <v>Seguros</v>
      </c>
      <c r="C1801" s="916" t="s">
        <v>17652</v>
      </c>
      <c r="D1801" s="918"/>
      <c r="E1801" s="922">
        <v>275.73</v>
      </c>
      <c r="F1801" s="1703">
        <v>2345.84</v>
      </c>
      <c r="G1801" s="1040"/>
    </row>
    <row r="1802" spans="1:7">
      <c r="A1802" s="884">
        <v>43626</v>
      </c>
      <c r="B1802" s="138" t="str">
        <f>TiposLancamentos!B24</f>
        <v>Estacionamentos</v>
      </c>
      <c r="C1802" s="771" t="s">
        <v>4589</v>
      </c>
      <c r="D1802" s="197"/>
      <c r="E1802" s="857">
        <v>200</v>
      </c>
      <c r="F1802" s="135"/>
      <c r="G1802" s="1040"/>
    </row>
    <row r="1803" spans="1:7">
      <c r="A1803" s="884">
        <v>43627</v>
      </c>
      <c r="B1803" s="138" t="str">
        <f>TiposLancamentos!B24</f>
        <v>Estacionamentos</v>
      </c>
      <c r="C1803" s="771" t="s">
        <v>18154</v>
      </c>
      <c r="D1803" s="197"/>
      <c r="E1803" s="857">
        <v>13</v>
      </c>
      <c r="F1803" s="135"/>
      <c r="G1803" s="1040"/>
    </row>
    <row r="1804" spans="1:7">
      <c r="A1804" s="884">
        <v>43628</v>
      </c>
      <c r="B1804" s="138" t="str">
        <f>TiposLancamentos!B69</f>
        <v>Consertos</v>
      </c>
      <c r="C1804" s="771" t="s">
        <v>18155</v>
      </c>
      <c r="D1804" s="197"/>
      <c r="E1804" s="857">
        <v>40</v>
      </c>
      <c r="F1804" s="135"/>
      <c r="G1804" s="1040"/>
    </row>
    <row r="1805" spans="1:7">
      <c r="A1805" s="884">
        <v>43630</v>
      </c>
      <c r="B1805" s="138" t="str">
        <f>TiposLancamentos!B13</f>
        <v>Moradia</v>
      </c>
      <c r="C1805" s="771" t="s">
        <v>18156</v>
      </c>
      <c r="D1805" s="197"/>
      <c r="E1805" s="857">
        <v>18</v>
      </c>
      <c r="F1805" s="135"/>
      <c r="G1805" s="1040"/>
    </row>
    <row r="1806" spans="1:7">
      <c r="A1806" s="884">
        <v>43630</v>
      </c>
      <c r="B1806" s="138" t="str">
        <f>TiposLancamentos!B95</f>
        <v>Salarios</v>
      </c>
      <c r="C1806" s="771" t="s">
        <v>17966</v>
      </c>
      <c r="D1806" s="197">
        <v>3977.6</v>
      </c>
      <c r="E1806" s="857"/>
      <c r="F1806" s="135"/>
      <c r="G1806" s="1040"/>
    </row>
    <row r="1807" spans="1:7">
      <c r="A1807" s="919">
        <v>43631</v>
      </c>
      <c r="B1807" s="830" t="str">
        <f>TiposLancamentos!B33</f>
        <v>Pedágios</v>
      </c>
      <c r="C1807" s="915" t="s">
        <v>5392</v>
      </c>
      <c r="D1807" s="917"/>
      <c r="E1807" s="920">
        <f>F1809-(E1808+E1809)</f>
        <v>47.06</v>
      </c>
      <c r="F1807" s="1701"/>
      <c r="G1807" s="1040"/>
    </row>
    <row r="1808" spans="1:7">
      <c r="A1808" s="930">
        <v>43631</v>
      </c>
      <c r="B1808" s="825" t="str">
        <f>TiposLancamentos!B24</f>
        <v>Estacionamentos</v>
      </c>
      <c r="C1808" s="88" t="s">
        <v>7366</v>
      </c>
      <c r="D1808" s="828"/>
      <c r="E1808" s="931">
        <v>18</v>
      </c>
      <c r="F1808" s="1702"/>
      <c r="G1808" s="1040"/>
    </row>
    <row r="1809" spans="1:7">
      <c r="A1809" s="921">
        <v>43631</v>
      </c>
      <c r="B1809" s="833" t="str">
        <f>TiposLancamentos!B24</f>
        <v>Estacionamentos</v>
      </c>
      <c r="C1809" s="916" t="s">
        <v>6297</v>
      </c>
      <c r="D1809" s="918"/>
      <c r="E1809" s="922">
        <v>32</v>
      </c>
      <c r="F1809" s="1703">
        <v>97.06</v>
      </c>
      <c r="G1809" s="1040"/>
    </row>
    <row r="1810" spans="1:7">
      <c r="A1810" s="884">
        <v>43631</v>
      </c>
      <c r="B1810" s="138" t="str">
        <f>TiposLancamentos!B16</f>
        <v>Cristiane</v>
      </c>
      <c r="C1810" s="771" t="s">
        <v>18123</v>
      </c>
      <c r="D1810" s="197"/>
      <c r="E1810" s="857">
        <v>73.98</v>
      </c>
      <c r="F1810" s="1697"/>
      <c r="G1810" s="1040"/>
    </row>
    <row r="1811" spans="1:7">
      <c r="A1811" s="884">
        <v>43631</v>
      </c>
      <c r="B1811" s="138"/>
      <c r="C1811" s="771" t="s">
        <v>1868</v>
      </c>
      <c r="D1811" s="197"/>
      <c r="E1811" s="857"/>
      <c r="F1811" s="135"/>
      <c r="G1811" s="1040"/>
    </row>
    <row r="1812" spans="1:7">
      <c r="A1812" s="919">
        <v>43633</v>
      </c>
      <c r="B1812" s="830" t="str">
        <f>TiposLancamentos!B35</f>
        <v>Tv à Cabo</v>
      </c>
      <c r="C1812" s="915" t="s">
        <v>5834</v>
      </c>
      <c r="D1812" s="917"/>
      <c r="E1812" s="920">
        <f>170+5.39</f>
        <v>175.39</v>
      </c>
      <c r="F1812" s="1701"/>
      <c r="G1812" s="1040"/>
    </row>
    <row r="1813" spans="1:7">
      <c r="A1813" s="930">
        <v>43633</v>
      </c>
      <c r="B1813" s="825" t="str">
        <f>TiposLancamentos!B3</f>
        <v>Internet</v>
      </c>
      <c r="C1813" s="88" t="s">
        <v>5835</v>
      </c>
      <c r="D1813" s="828"/>
      <c r="E1813" s="931">
        <v>95.2</v>
      </c>
      <c r="F1813" s="1702"/>
      <c r="G1813" s="1040"/>
    </row>
    <row r="1814" spans="1:7">
      <c r="A1814" s="921">
        <v>43633</v>
      </c>
      <c r="B1814" s="833" t="str">
        <f>TiposLancamentos!B2</f>
        <v>Telefonia</v>
      </c>
      <c r="C1814" s="916" t="s">
        <v>7210</v>
      </c>
      <c r="D1814" s="918"/>
      <c r="E1814" s="922">
        <v>0</v>
      </c>
      <c r="F1814" s="1703">
        <f>SUM(E1812:E1814)</f>
        <v>270.58999999999997</v>
      </c>
      <c r="G1814" s="1040"/>
    </row>
    <row r="1815" spans="1:7">
      <c r="A1815" s="884">
        <v>43633</v>
      </c>
      <c r="B1815" s="138" t="str">
        <f>TiposLancamentos!B46</f>
        <v>Maçonaria</v>
      </c>
      <c r="C1815" s="771" t="s">
        <v>18157</v>
      </c>
      <c r="D1815" s="197"/>
      <c r="E1815" s="857">
        <v>180</v>
      </c>
      <c r="F1815" s="135"/>
      <c r="G1815" s="1040"/>
    </row>
    <row r="1816" spans="1:7">
      <c r="A1816" s="884">
        <v>43634</v>
      </c>
      <c r="B1816" s="138" t="str">
        <f>TiposLancamentos!B24</f>
        <v>Estacionamentos</v>
      </c>
      <c r="C1816" s="771" t="s">
        <v>7759</v>
      </c>
      <c r="D1816" s="197"/>
      <c r="E1816" s="857">
        <v>13</v>
      </c>
      <c r="F1816" s="135"/>
      <c r="G1816" s="1040"/>
    </row>
    <row r="1817" spans="1:7">
      <c r="A1817" s="884">
        <v>43634</v>
      </c>
      <c r="B1817" s="138" t="str">
        <f>TiposLancamentos!B16</f>
        <v>Cristiane</v>
      </c>
      <c r="C1817" s="771" t="s">
        <v>18158</v>
      </c>
      <c r="D1817" s="197"/>
      <c r="E1817" s="857">
        <v>280</v>
      </c>
      <c r="F1817" s="135"/>
      <c r="G1817" s="1040"/>
    </row>
    <row r="1818" spans="1:7">
      <c r="A1818" s="884">
        <v>43637</v>
      </c>
      <c r="B1818" s="138" t="str">
        <f>TiposLancamentos!B20</f>
        <v>Saques</v>
      </c>
      <c r="C1818" s="771" t="s">
        <v>3604</v>
      </c>
      <c r="D1818" s="197"/>
      <c r="E1818" s="857">
        <v>150</v>
      </c>
      <c r="F1818" s="135"/>
      <c r="G1818" s="1040"/>
    </row>
    <row r="1819" spans="1:7">
      <c r="A1819" s="884">
        <v>43640</v>
      </c>
      <c r="B1819" s="138" t="str">
        <f>TiposLancamentos!B24</f>
        <v>Estacionamentos</v>
      </c>
      <c r="C1819" s="771" t="s">
        <v>9397</v>
      </c>
      <c r="D1819" s="197"/>
      <c r="E1819" s="857">
        <v>4</v>
      </c>
      <c r="F1819" s="135"/>
      <c r="G1819" s="1040"/>
    </row>
    <row r="1820" spans="1:7">
      <c r="A1820" s="884">
        <v>43641</v>
      </c>
      <c r="B1820" s="138" t="str">
        <f>TiposLancamentos!B20</f>
        <v>Saques</v>
      </c>
      <c r="C1820" s="771" t="s">
        <v>4368</v>
      </c>
      <c r="D1820" s="197"/>
      <c r="E1820" s="857">
        <v>100</v>
      </c>
      <c r="F1820" s="135"/>
      <c r="G1820" s="1040"/>
    </row>
    <row r="1821" spans="1:7">
      <c r="A1821" s="884">
        <v>43641</v>
      </c>
      <c r="B1821" s="138" t="str">
        <f>TiposLancamentos!B19</f>
        <v>Restaurantes</v>
      </c>
      <c r="C1821" s="771" t="s">
        <v>18159</v>
      </c>
      <c r="D1821" s="197"/>
      <c r="E1821" s="857">
        <v>140</v>
      </c>
      <c r="F1821" s="135"/>
      <c r="G1821" s="1040"/>
    </row>
    <row r="1822" spans="1:7">
      <c r="A1822" s="884">
        <v>43642</v>
      </c>
      <c r="B1822" s="138" t="str">
        <f>TiposLancamentos!B24</f>
        <v>Estacionamentos</v>
      </c>
      <c r="C1822" s="771" t="s">
        <v>7759</v>
      </c>
      <c r="D1822" s="197"/>
      <c r="E1822" s="857">
        <v>13</v>
      </c>
      <c r="F1822" s="135"/>
      <c r="G1822" s="1040"/>
    </row>
    <row r="1823" spans="1:7">
      <c r="A1823" s="884">
        <v>43644</v>
      </c>
      <c r="B1823" s="138" t="str">
        <f>TiposLancamentos!B95</f>
        <v>Salarios</v>
      </c>
      <c r="C1823" s="771" t="s">
        <v>17362</v>
      </c>
      <c r="D1823" s="197">
        <v>4972.01</v>
      </c>
      <c r="E1823" s="857"/>
      <c r="F1823" s="135"/>
      <c r="G1823" s="1040"/>
    </row>
    <row r="1824" spans="1:7">
      <c r="A1824" s="884">
        <v>43644</v>
      </c>
      <c r="B1824" s="138" t="str">
        <f>TiposLancamentos!B95</f>
        <v>Salarios</v>
      </c>
      <c r="C1824" s="771" t="s">
        <v>18160</v>
      </c>
      <c r="D1824" s="197">
        <v>5220.01</v>
      </c>
      <c r="E1824" s="857"/>
      <c r="F1824" s="135"/>
      <c r="G1824" s="1040"/>
    </row>
    <row r="1825" spans="1:7">
      <c r="A1825" s="884">
        <v>43644</v>
      </c>
      <c r="B1825" s="138" t="str">
        <f>TiposLancamentos!B6</f>
        <v>Energia Eletrica</v>
      </c>
      <c r="C1825" s="771" t="s">
        <v>18161</v>
      </c>
      <c r="D1825" s="197"/>
      <c r="E1825" s="857">
        <v>252.73</v>
      </c>
      <c r="F1825" s="135"/>
      <c r="G1825" s="1040"/>
    </row>
    <row r="1826" spans="1:7">
      <c r="A1826" s="884">
        <v>43645</v>
      </c>
      <c r="B1826" s="138" t="str">
        <f>TiposLancamentos!B20</f>
        <v>Saques</v>
      </c>
      <c r="C1826" s="771" t="s">
        <v>4325</v>
      </c>
      <c r="D1826" s="197"/>
      <c r="E1826" s="857">
        <v>100</v>
      </c>
      <c r="F1826" s="135"/>
      <c r="G1826" s="1040"/>
    </row>
    <row r="1827" spans="1:7" ht="14.25" thickBot="1">
      <c r="A1827" s="884">
        <v>43645</v>
      </c>
      <c r="B1827" s="138" t="str">
        <f>TiposLancamentos!B19</f>
        <v>Restaurantes</v>
      </c>
      <c r="C1827" s="771" t="s">
        <v>18162</v>
      </c>
      <c r="D1827" s="197"/>
      <c r="E1827" s="857">
        <v>29.8</v>
      </c>
      <c r="F1827" s="135"/>
      <c r="G1827" s="1040"/>
    </row>
    <row r="1828" spans="1:7">
      <c r="A1828" s="967"/>
      <c r="B1828" s="968"/>
      <c r="C1828" s="1093" t="s">
        <v>18163</v>
      </c>
      <c r="D1828" s="970"/>
      <c r="E1828" s="971"/>
      <c r="F1828" s="1712"/>
      <c r="G1828" s="1039"/>
    </row>
    <row r="1829" spans="1:7">
      <c r="A1829" s="884">
        <v>43647</v>
      </c>
      <c r="B1829" s="138" t="str">
        <f>TiposLancamentos!B15</f>
        <v>Cartões de Crédito</v>
      </c>
      <c r="C1829" s="771" t="s">
        <v>1874</v>
      </c>
      <c r="D1829" s="197"/>
      <c r="E1829" s="857">
        <v>7789.08</v>
      </c>
      <c r="F1829" s="135"/>
      <c r="G1829" s="1040"/>
    </row>
    <row r="1830" spans="1:7">
      <c r="A1830" s="884">
        <v>43647</v>
      </c>
      <c r="B1830" s="138" t="str">
        <f>TiposLancamentos!B4</f>
        <v>Taxas Bancarias</v>
      </c>
      <c r="C1830" s="771" t="s">
        <v>18143</v>
      </c>
      <c r="D1830" s="197"/>
      <c r="E1830" s="857">
        <v>57.31</v>
      </c>
      <c r="F1830" s="135"/>
      <c r="G1830" s="1040"/>
    </row>
    <row r="1831" spans="1:7">
      <c r="A1831" s="884">
        <v>43647</v>
      </c>
      <c r="B1831" s="138" t="str">
        <f>TiposLancamentos!B4</f>
        <v>Taxas Bancarias</v>
      </c>
      <c r="C1831" s="771" t="s">
        <v>18144</v>
      </c>
      <c r="D1831" s="197"/>
      <c r="E1831" s="857">
        <v>71.58</v>
      </c>
      <c r="F1831" s="135"/>
      <c r="G1831" s="1040"/>
    </row>
    <row r="1832" spans="1:7">
      <c r="A1832" s="884">
        <v>43647</v>
      </c>
      <c r="B1832" s="138" t="str">
        <f>TiposLancamentos!B4</f>
        <v>Taxas Bancarias</v>
      </c>
      <c r="C1832" s="771" t="s">
        <v>18145</v>
      </c>
      <c r="D1832" s="197"/>
      <c r="E1832" s="857">
        <v>3720.03</v>
      </c>
      <c r="F1832" s="135"/>
      <c r="G1832" s="1040"/>
    </row>
    <row r="1833" spans="1:7">
      <c r="A1833" s="884">
        <v>43647</v>
      </c>
      <c r="B1833" s="138" t="str">
        <f>TiposLancamentos!B32</f>
        <v>Clinicas e tratamentos</v>
      </c>
      <c r="C1833" s="771" t="s">
        <v>18164</v>
      </c>
      <c r="D1833" s="197"/>
      <c r="E1833" s="857">
        <v>170</v>
      </c>
      <c r="F1833" s="135"/>
      <c r="G1833" s="1040"/>
    </row>
    <row r="1834" spans="1:7">
      <c r="A1834" s="884">
        <v>43652</v>
      </c>
      <c r="B1834" s="138" t="str">
        <f>TiposLancamentos!B9</f>
        <v>Condominio</v>
      </c>
      <c r="C1834" s="771" t="s">
        <v>18165</v>
      </c>
      <c r="D1834" s="197"/>
      <c r="E1834" s="857">
        <v>1260.17</v>
      </c>
      <c r="F1834" s="135"/>
      <c r="G1834" s="1040"/>
    </row>
    <row r="1835" spans="1:7">
      <c r="A1835" s="884">
        <v>43653</v>
      </c>
      <c r="B1835" s="138" t="str">
        <f>TiposLancamentos!B2</f>
        <v>Telefonia</v>
      </c>
      <c r="C1835" s="771" t="s">
        <v>18166</v>
      </c>
      <c r="D1835" s="197"/>
      <c r="E1835" s="857">
        <v>155.99</v>
      </c>
      <c r="F1835" s="135"/>
      <c r="G1835" s="1040"/>
    </row>
    <row r="1836" spans="1:7">
      <c r="A1836" s="884">
        <v>43653</v>
      </c>
      <c r="B1836" s="138" t="str">
        <f>TiposLancamentos!B19</f>
        <v>Restaurantes</v>
      </c>
      <c r="C1836" s="771" t="s">
        <v>18167</v>
      </c>
      <c r="D1836" s="197"/>
      <c r="E1836" s="857">
        <v>160.05000000000001</v>
      </c>
      <c r="F1836" s="135"/>
      <c r="G1836" s="1040"/>
    </row>
    <row r="1837" spans="1:7">
      <c r="A1837" s="884">
        <v>43656</v>
      </c>
      <c r="B1837" s="138" t="str">
        <f>TiposLancamentos!B105</f>
        <v>Transf. Bco</v>
      </c>
      <c r="C1837" s="771" t="s">
        <v>18168</v>
      </c>
      <c r="D1837" s="197">
        <v>19900</v>
      </c>
      <c r="E1837" s="857"/>
      <c r="F1837" s="135"/>
      <c r="G1837" s="1040"/>
    </row>
    <row r="1838" spans="1:7">
      <c r="A1838" s="884">
        <v>43656</v>
      </c>
      <c r="B1838" s="138" t="str">
        <f>TiposLancamentos!B64</f>
        <v>Viagens</v>
      </c>
      <c r="C1838" s="771" t="s">
        <v>18169</v>
      </c>
      <c r="D1838" s="197"/>
      <c r="E1838" s="857">
        <v>876.4</v>
      </c>
      <c r="F1838" s="135"/>
      <c r="G1838" s="1040"/>
    </row>
    <row r="1839" spans="1:7">
      <c r="A1839" s="919">
        <v>43656</v>
      </c>
      <c r="B1839" s="830" t="str">
        <f>TiposLancamentos!B8</f>
        <v>Aluguel</v>
      </c>
      <c r="C1839" s="915" t="s">
        <v>6163</v>
      </c>
      <c r="D1839" s="917"/>
      <c r="E1839" s="920">
        <f>F1841-(E1840+E1841)</f>
        <v>1920.3000000000002</v>
      </c>
      <c r="F1839" s="1701"/>
      <c r="G1839" s="1040"/>
    </row>
    <row r="1840" spans="1:7">
      <c r="A1840" s="930">
        <v>43656</v>
      </c>
      <c r="B1840" s="825" t="str">
        <f>TiposLancamentos!B12</f>
        <v>IPTU</v>
      </c>
      <c r="C1840" s="88" t="s">
        <v>6703</v>
      </c>
      <c r="D1840" s="828"/>
      <c r="E1840" s="931">
        <v>149.81</v>
      </c>
      <c r="F1840" s="1702"/>
      <c r="G1840" s="1040"/>
    </row>
    <row r="1841" spans="1:7">
      <c r="A1841" s="921">
        <v>43656</v>
      </c>
      <c r="B1841" s="833" t="str">
        <f>TiposLancamentos!B34</f>
        <v>Seguros</v>
      </c>
      <c r="C1841" s="916" t="s">
        <v>17398</v>
      </c>
      <c r="D1841" s="918"/>
      <c r="E1841" s="922">
        <v>275.73</v>
      </c>
      <c r="F1841" s="1703">
        <v>2345.84</v>
      </c>
      <c r="G1841" s="1040"/>
    </row>
    <row r="1842" spans="1:7">
      <c r="A1842" s="884">
        <v>43656</v>
      </c>
      <c r="B1842" s="138" t="str">
        <f>TiposLancamentos!B24</f>
        <v>Estacionamentos</v>
      </c>
      <c r="C1842" s="771" t="s">
        <v>4589</v>
      </c>
      <c r="D1842" s="197"/>
      <c r="E1842" s="857">
        <v>200</v>
      </c>
      <c r="F1842" s="135"/>
      <c r="G1842" s="1040"/>
    </row>
    <row r="1843" spans="1:7">
      <c r="A1843" s="884">
        <v>43661</v>
      </c>
      <c r="B1843" s="138" t="str">
        <f>TiposLancamentos!B24</f>
        <v>Estacionamentos</v>
      </c>
      <c r="C1843" s="771" t="s">
        <v>18170</v>
      </c>
      <c r="D1843" s="197"/>
      <c r="E1843" s="857">
        <v>12</v>
      </c>
      <c r="F1843" s="135"/>
      <c r="G1843" s="1040"/>
    </row>
    <row r="1844" spans="1:7">
      <c r="A1844" s="884">
        <v>43661</v>
      </c>
      <c r="B1844" s="138" t="str">
        <f>TiposLancamentos!B95</f>
        <v>Salarios</v>
      </c>
      <c r="C1844" s="771" t="s">
        <v>17966</v>
      </c>
      <c r="D1844" s="197">
        <v>3977.6</v>
      </c>
      <c r="E1844" s="857"/>
      <c r="F1844" s="135"/>
      <c r="G1844" s="1040"/>
    </row>
    <row r="1845" spans="1:7">
      <c r="A1845" s="919">
        <v>43661</v>
      </c>
      <c r="B1845" s="830" t="str">
        <f>TiposLancamentos!B33</f>
        <v>Pedágios</v>
      </c>
      <c r="C1845" s="915" t="s">
        <v>5392</v>
      </c>
      <c r="D1845" s="917"/>
      <c r="E1845" s="920">
        <f>F1847-(E1846+E1847)</f>
        <v>161.06</v>
      </c>
      <c r="F1845" s="1701"/>
      <c r="G1845" s="1040"/>
    </row>
    <row r="1846" spans="1:7">
      <c r="A1846" s="930">
        <v>43661</v>
      </c>
      <c r="B1846" s="825" t="str">
        <f>TiposLancamentos!B24</f>
        <v>Estacionamentos</v>
      </c>
      <c r="C1846" s="88" t="s">
        <v>7366</v>
      </c>
      <c r="D1846" s="828"/>
      <c r="E1846" s="931">
        <v>28</v>
      </c>
      <c r="F1846" s="1702"/>
      <c r="G1846" s="1040"/>
    </row>
    <row r="1847" spans="1:7">
      <c r="A1847" s="921">
        <v>43661</v>
      </c>
      <c r="B1847" s="833" t="str">
        <f>TiposLancamentos!B24</f>
        <v>Estacionamentos</v>
      </c>
      <c r="C1847" s="916" t="s">
        <v>6297</v>
      </c>
      <c r="D1847" s="918"/>
      <c r="E1847" s="922">
        <v>17</v>
      </c>
      <c r="F1847" s="1703">
        <v>206.06</v>
      </c>
      <c r="G1847" s="1040"/>
    </row>
    <row r="1848" spans="1:7">
      <c r="A1848" s="884">
        <v>43661</v>
      </c>
      <c r="B1848" s="138" t="str">
        <f>TiposLancamentos!B16</f>
        <v>Cristiane</v>
      </c>
      <c r="C1848" s="771" t="s">
        <v>18123</v>
      </c>
      <c r="D1848" s="197"/>
      <c r="E1848" s="857">
        <v>73.98</v>
      </c>
      <c r="F1848" s="1697"/>
      <c r="G1848" s="1040"/>
    </row>
    <row r="1849" spans="1:7">
      <c r="A1849" s="884">
        <v>43661</v>
      </c>
      <c r="B1849" s="138"/>
      <c r="C1849" s="771" t="s">
        <v>1868</v>
      </c>
      <c r="D1849" s="197"/>
      <c r="E1849" s="857"/>
      <c r="F1849" s="135"/>
      <c r="G1849" s="1040"/>
    </row>
    <row r="1850" spans="1:7">
      <c r="A1850" s="919">
        <v>43662</v>
      </c>
      <c r="B1850" s="830" t="str">
        <f>TiposLancamentos!B35</f>
        <v>Tv à Cabo</v>
      </c>
      <c r="C1850" s="915" t="s">
        <v>5834</v>
      </c>
      <c r="D1850" s="917"/>
      <c r="E1850" s="920">
        <f>F1852-(E1851+E1852)</f>
        <v>124.77999999999999</v>
      </c>
      <c r="F1850" s="1701"/>
      <c r="G1850" s="1040"/>
    </row>
    <row r="1851" spans="1:7">
      <c r="A1851" s="930">
        <v>43662</v>
      </c>
      <c r="B1851" s="825" t="str">
        <f>TiposLancamentos!B3</f>
        <v>Internet</v>
      </c>
      <c r="C1851" s="88" t="s">
        <v>5835</v>
      </c>
      <c r="D1851" s="828"/>
      <c r="E1851" s="931">
        <v>95.2</v>
      </c>
      <c r="F1851" s="1702"/>
      <c r="G1851" s="1040"/>
    </row>
    <row r="1852" spans="1:7">
      <c r="A1852" s="921">
        <v>43662</v>
      </c>
      <c r="B1852" s="833" t="str">
        <f>TiposLancamentos!B2</f>
        <v>Telefonia</v>
      </c>
      <c r="C1852" s="916" t="s">
        <v>7210</v>
      </c>
      <c r="D1852" s="918"/>
      <c r="E1852" s="922">
        <v>0</v>
      </c>
      <c r="F1852" s="1703">
        <v>219.98</v>
      </c>
      <c r="G1852" s="1040"/>
    </row>
    <row r="1853" spans="1:7">
      <c r="A1853" s="884">
        <v>43662</v>
      </c>
      <c r="B1853" s="138" t="str">
        <f>TiposLancamentos!B46</f>
        <v>Maçonaria</v>
      </c>
      <c r="C1853" s="771" t="s">
        <v>18157</v>
      </c>
      <c r="D1853" s="197"/>
      <c r="E1853" s="857">
        <v>180</v>
      </c>
      <c r="F1853" s="135"/>
      <c r="G1853" s="1040"/>
    </row>
    <row r="1854" spans="1:7">
      <c r="A1854" s="884">
        <v>43662</v>
      </c>
      <c r="B1854" s="138" t="str">
        <f>TiposLancamentos!B20</f>
        <v>Saques</v>
      </c>
      <c r="C1854" s="771" t="s">
        <v>4325</v>
      </c>
      <c r="D1854" s="197"/>
      <c r="E1854" s="857">
        <v>40</v>
      </c>
      <c r="F1854" s="135"/>
      <c r="G1854" s="1040"/>
    </row>
    <row r="1855" spans="1:7">
      <c r="A1855" s="884">
        <v>43662</v>
      </c>
      <c r="B1855" s="138" t="str">
        <f>TiposLancamentos!B13</f>
        <v>Moradia</v>
      </c>
      <c r="C1855" s="771" t="s">
        <v>18171</v>
      </c>
      <c r="D1855" s="197"/>
      <c r="E1855" s="857">
        <v>260</v>
      </c>
      <c r="F1855" s="135"/>
      <c r="G1855" s="1040"/>
    </row>
    <row r="1856" spans="1:7">
      <c r="A1856" s="884">
        <v>43666</v>
      </c>
      <c r="B1856" s="138" t="str">
        <f>TiposLancamentos!B19</f>
        <v>Restaurantes</v>
      </c>
      <c r="C1856" s="771" t="s">
        <v>6974</v>
      </c>
      <c r="D1856" s="197"/>
      <c r="E1856" s="857">
        <v>28</v>
      </c>
      <c r="F1856" s="135"/>
      <c r="G1856" s="1040"/>
    </row>
    <row r="1857" spans="1:7">
      <c r="A1857" s="884">
        <v>43668</v>
      </c>
      <c r="B1857" s="138" t="str">
        <f>TiposLancamentos!B20</f>
        <v>Saques</v>
      </c>
      <c r="C1857" s="771" t="s">
        <v>3604</v>
      </c>
      <c r="D1857" s="197"/>
      <c r="E1857" s="857">
        <v>50</v>
      </c>
      <c r="F1857" s="135"/>
      <c r="G1857" s="1040"/>
    </row>
    <row r="1858" spans="1:7">
      <c r="A1858" s="884">
        <v>43669</v>
      </c>
      <c r="B1858" s="138" t="str">
        <f>TiposLancamentos!B19</f>
        <v>Restaurantes</v>
      </c>
      <c r="C1858" s="771" t="s">
        <v>7152</v>
      </c>
      <c r="D1858" s="197"/>
      <c r="E1858" s="857">
        <v>35.700000000000003</v>
      </c>
      <c r="F1858" s="135"/>
      <c r="G1858" s="1040"/>
    </row>
    <row r="1859" spans="1:7">
      <c r="A1859" s="884">
        <v>43670</v>
      </c>
      <c r="B1859" s="138" t="str">
        <f>TiposLancamentos!B23</f>
        <v>P208 GRIFFE 1.6 AUT BUSINESS</v>
      </c>
      <c r="C1859" s="771" t="s">
        <v>7620</v>
      </c>
      <c r="D1859" s="197"/>
      <c r="E1859" s="857">
        <v>20</v>
      </c>
      <c r="F1859" s="135"/>
      <c r="G1859" s="1040"/>
    </row>
    <row r="1860" spans="1:7">
      <c r="A1860" s="884">
        <v>43672</v>
      </c>
      <c r="B1860" s="138" t="str">
        <f>TiposLancamentos!B20</f>
        <v>Saques</v>
      </c>
      <c r="C1860" s="771" t="s">
        <v>4325</v>
      </c>
      <c r="D1860" s="197"/>
      <c r="E1860" s="857">
        <v>30</v>
      </c>
      <c r="F1860" s="135"/>
      <c r="G1860" s="1040"/>
    </row>
    <row r="1861" spans="1:7">
      <c r="A1861" s="884">
        <v>43676</v>
      </c>
      <c r="B1861" s="138" t="str">
        <f>TiposLancamentos!B6</f>
        <v>Energia Eletrica</v>
      </c>
      <c r="C1861" s="771" t="s">
        <v>18172</v>
      </c>
      <c r="D1861" s="197"/>
      <c r="E1861" s="857">
        <v>234.71</v>
      </c>
      <c r="F1861" s="135"/>
      <c r="G1861" s="1040"/>
    </row>
    <row r="1862" spans="1:7" ht="14.25" thickBot="1">
      <c r="A1862" s="884">
        <v>43676</v>
      </c>
      <c r="B1862" s="138" t="str">
        <f>TiposLancamentos!B95</f>
        <v>Salarios</v>
      </c>
      <c r="C1862" s="771" t="s">
        <v>17362</v>
      </c>
      <c r="D1862" s="197">
        <v>3288.05</v>
      </c>
      <c r="E1862" s="857"/>
      <c r="F1862" s="135"/>
      <c r="G1862" s="1040"/>
    </row>
    <row r="1863" spans="1:7">
      <c r="A1863" s="967"/>
      <c r="B1863" s="968"/>
      <c r="C1863" s="1093" t="s">
        <v>18173</v>
      </c>
      <c r="D1863" s="970"/>
      <c r="E1863" s="971"/>
      <c r="F1863" s="1712"/>
      <c r="G1863" s="1039"/>
    </row>
    <row r="1864" spans="1:7">
      <c r="A1864" s="884">
        <v>43678</v>
      </c>
      <c r="B1864" s="138" t="str">
        <f>TiposLancamentos!B15</f>
        <v>Cartões de Crédito</v>
      </c>
      <c r="C1864" s="771" t="s">
        <v>18146</v>
      </c>
      <c r="D1864" s="197"/>
      <c r="E1864" s="857">
        <v>6754.59</v>
      </c>
      <c r="F1864" s="135"/>
      <c r="G1864" s="1040"/>
    </row>
    <row r="1865" spans="1:7">
      <c r="A1865" s="884">
        <v>43678</v>
      </c>
      <c r="B1865" s="138" t="str">
        <f>TiposLancamentos!B15</f>
        <v>Cartões de Crédito</v>
      </c>
      <c r="C1865" s="771" t="s">
        <v>18174</v>
      </c>
      <c r="D1865" s="197"/>
      <c r="E1865" s="857">
        <v>13.5</v>
      </c>
      <c r="F1865" s="135"/>
      <c r="G1865" s="1040"/>
    </row>
    <row r="1866" spans="1:7">
      <c r="A1866" s="884">
        <v>43678</v>
      </c>
      <c r="B1866" s="138" t="str">
        <f>TiposLancamentos!B4</f>
        <v>Taxas Bancarias</v>
      </c>
      <c r="C1866" s="771" t="s">
        <v>18175</v>
      </c>
      <c r="D1866" s="197"/>
      <c r="E1866" s="857">
        <v>38.67</v>
      </c>
      <c r="F1866" s="135"/>
      <c r="G1866" s="1040"/>
    </row>
    <row r="1867" spans="1:7">
      <c r="A1867" s="884">
        <v>43678</v>
      </c>
      <c r="B1867" s="138" t="str">
        <f>TiposLancamentos!B4</f>
        <v>Taxas Bancarias</v>
      </c>
      <c r="C1867" s="771" t="s">
        <v>18176</v>
      </c>
      <c r="D1867" s="197"/>
      <c r="E1867" s="857">
        <v>54.59</v>
      </c>
      <c r="F1867" s="135"/>
      <c r="G1867" s="1040"/>
    </row>
    <row r="1868" spans="1:7">
      <c r="A1868" s="884">
        <v>43678</v>
      </c>
      <c r="B1868" s="138" t="str">
        <f>TiposLancamentos!B4</f>
        <v>Taxas Bancarias</v>
      </c>
      <c r="C1868" s="771" t="s">
        <v>18177</v>
      </c>
      <c r="D1868" s="197"/>
      <c r="E1868" s="857">
        <v>2365.9899999999998</v>
      </c>
      <c r="F1868" s="135"/>
      <c r="G1868" s="1040"/>
    </row>
    <row r="1869" spans="1:7">
      <c r="A1869" s="884">
        <v>43679</v>
      </c>
      <c r="B1869" s="138" t="str">
        <f>TiposLancamentos!B24</f>
        <v>Estacionamentos</v>
      </c>
      <c r="C1869" s="771" t="s">
        <v>18178</v>
      </c>
      <c r="D1869" s="197"/>
      <c r="E1869" s="857">
        <v>15</v>
      </c>
      <c r="F1869" s="135"/>
      <c r="G1869" s="1040"/>
    </row>
    <row r="1870" spans="1:7">
      <c r="A1870" s="884">
        <v>43680</v>
      </c>
      <c r="B1870" s="138" t="str">
        <f>TiposLancamentos!B24</f>
        <v>Estacionamentos</v>
      </c>
      <c r="C1870" s="771" t="s">
        <v>3851</v>
      </c>
      <c r="D1870" s="197"/>
      <c r="E1870" s="857">
        <v>11</v>
      </c>
      <c r="F1870" s="135"/>
      <c r="G1870" s="1040"/>
    </row>
    <row r="1871" spans="1:7">
      <c r="A1871" s="884">
        <v>43683</v>
      </c>
      <c r="B1871" s="138" t="str">
        <f>TiposLancamentos!B9</f>
        <v>Condominio</v>
      </c>
      <c r="C1871" s="771" t="s">
        <v>5925</v>
      </c>
      <c r="D1871" s="197"/>
      <c r="E1871" s="857">
        <v>1260.17</v>
      </c>
      <c r="F1871" s="135"/>
      <c r="G1871" s="1040"/>
    </row>
    <row r="1872" spans="1:7">
      <c r="A1872" s="884">
        <v>43686</v>
      </c>
      <c r="B1872" s="138" t="str">
        <f>TiposLancamentos!B60</f>
        <v>Correio</v>
      </c>
      <c r="C1872" s="771" t="s">
        <v>18179</v>
      </c>
      <c r="D1872" s="197"/>
      <c r="E1872" s="857">
        <v>19.8</v>
      </c>
      <c r="F1872" s="135"/>
      <c r="G1872" s="1040"/>
    </row>
    <row r="1873" spans="1:7">
      <c r="A1873" s="884">
        <v>43689</v>
      </c>
      <c r="B1873" s="138" t="str">
        <f>TiposLancamentos!B24</f>
        <v>Estacionamentos</v>
      </c>
      <c r="C1873" s="771" t="s">
        <v>18180</v>
      </c>
      <c r="D1873" s="197"/>
      <c r="E1873" s="857">
        <v>4</v>
      </c>
      <c r="F1873" s="135"/>
      <c r="G1873" s="1040"/>
    </row>
    <row r="1874" spans="1:7">
      <c r="A1874" s="884">
        <v>43689</v>
      </c>
      <c r="B1874" s="138" t="str">
        <f>TiposLancamentos!B2</f>
        <v>Telefonia</v>
      </c>
      <c r="C1874" s="771" t="s">
        <v>18166</v>
      </c>
      <c r="D1874" s="197"/>
      <c r="E1874" s="857">
        <v>127.98</v>
      </c>
      <c r="F1874" s="135"/>
      <c r="G1874" s="1040"/>
    </row>
    <row r="1875" spans="1:7">
      <c r="A1875" s="919">
        <v>43689</v>
      </c>
      <c r="B1875" s="830" t="str">
        <f>TiposLancamentos!B8</f>
        <v>Aluguel</v>
      </c>
      <c r="C1875" s="915" t="s">
        <v>6163</v>
      </c>
      <c r="D1875" s="917"/>
      <c r="E1875" s="920">
        <f>F1877-(E1876+E1877)</f>
        <v>1920.3000000000002</v>
      </c>
      <c r="F1875" s="1701"/>
      <c r="G1875" s="1040"/>
    </row>
    <row r="1876" spans="1:7">
      <c r="A1876" s="930">
        <v>43689</v>
      </c>
      <c r="B1876" s="825" t="str">
        <f>TiposLancamentos!B12</f>
        <v>IPTU</v>
      </c>
      <c r="C1876" s="88" t="s">
        <v>6755</v>
      </c>
      <c r="D1876" s="828"/>
      <c r="E1876" s="931">
        <v>149.81</v>
      </c>
      <c r="F1876" s="1702"/>
      <c r="G1876" s="1040"/>
    </row>
    <row r="1877" spans="1:7">
      <c r="A1877" s="921">
        <v>43689</v>
      </c>
      <c r="B1877" s="833" t="str">
        <f>TiposLancamentos!B34</f>
        <v>Seguros</v>
      </c>
      <c r="C1877" s="916" t="s">
        <v>17415</v>
      </c>
      <c r="D1877" s="918"/>
      <c r="E1877" s="922">
        <v>275.73</v>
      </c>
      <c r="F1877" s="1703">
        <v>2345.84</v>
      </c>
      <c r="G1877" s="1040"/>
    </row>
    <row r="1878" spans="1:7">
      <c r="A1878" s="884">
        <v>43689</v>
      </c>
      <c r="B1878" s="138" t="str">
        <f>TiposLancamentos!B24</f>
        <v>Estacionamentos</v>
      </c>
      <c r="C1878" s="771" t="s">
        <v>4589</v>
      </c>
      <c r="D1878" s="197"/>
      <c r="E1878" s="857">
        <v>200</v>
      </c>
      <c r="F1878" s="135"/>
      <c r="G1878" s="1040"/>
    </row>
    <row r="1879" spans="1:7">
      <c r="A1879" s="884">
        <v>43692</v>
      </c>
      <c r="B1879" s="138" t="str">
        <f>TiposLancamentos!B95</f>
        <v>Salarios</v>
      </c>
      <c r="C1879" s="771" t="s">
        <v>17966</v>
      </c>
      <c r="D1879" s="197">
        <v>3977.6</v>
      </c>
      <c r="E1879" s="857"/>
      <c r="F1879" s="135"/>
      <c r="G1879" s="1040"/>
    </row>
    <row r="1880" spans="1:7">
      <c r="A1880" s="919">
        <v>43692</v>
      </c>
      <c r="B1880" s="830" t="str">
        <f>TiposLancamentos!B33</f>
        <v>Pedágios</v>
      </c>
      <c r="C1880" s="915" t="s">
        <v>5392</v>
      </c>
      <c r="D1880" s="917"/>
      <c r="E1880" s="920">
        <f>F1882-(E1881+E1882)</f>
        <v>51.86</v>
      </c>
      <c r="F1880" s="1701"/>
      <c r="G1880" s="1040"/>
    </row>
    <row r="1881" spans="1:7">
      <c r="A1881" s="930">
        <v>43692</v>
      </c>
      <c r="B1881" s="825" t="str">
        <f>TiposLancamentos!B24</f>
        <v>Estacionamentos</v>
      </c>
      <c r="C1881" s="88" t="s">
        <v>7366</v>
      </c>
      <c r="D1881" s="828"/>
      <c r="E1881" s="931">
        <v>36</v>
      </c>
      <c r="F1881" s="1702"/>
      <c r="G1881" s="1040"/>
    </row>
    <row r="1882" spans="1:7">
      <c r="A1882" s="921">
        <v>43692</v>
      </c>
      <c r="B1882" s="833" t="str">
        <f>TiposLancamentos!B24</f>
        <v>Estacionamentos</v>
      </c>
      <c r="C1882" s="916" t="s">
        <v>6297</v>
      </c>
      <c r="D1882" s="918"/>
      <c r="E1882" s="922">
        <v>19</v>
      </c>
      <c r="F1882" s="1703">
        <v>106.86</v>
      </c>
      <c r="G1882" s="1040"/>
    </row>
    <row r="1883" spans="1:7">
      <c r="A1883" s="884">
        <v>43692</v>
      </c>
      <c r="B1883" s="138" t="str">
        <f>TiposLancamentos!B16</f>
        <v>Cristiane</v>
      </c>
      <c r="C1883" s="771" t="s">
        <v>18123</v>
      </c>
      <c r="D1883" s="197"/>
      <c r="E1883" s="857">
        <v>73.98</v>
      </c>
      <c r="F1883" s="1697"/>
      <c r="G1883" s="1040"/>
    </row>
    <row r="1884" spans="1:7">
      <c r="A1884" s="884">
        <v>43692</v>
      </c>
      <c r="B1884" s="138"/>
      <c r="C1884" s="771" t="s">
        <v>1868</v>
      </c>
      <c r="D1884" s="197"/>
      <c r="E1884" s="857"/>
      <c r="F1884" s="135"/>
      <c r="G1884" s="1040"/>
    </row>
    <row r="1885" spans="1:7">
      <c r="A1885" s="919">
        <v>43692</v>
      </c>
      <c r="B1885" s="830" t="str">
        <f>TiposLancamentos!B35</f>
        <v>Tv à Cabo</v>
      </c>
      <c r="C1885" s="915" t="s">
        <v>5834</v>
      </c>
      <c r="D1885" s="917"/>
      <c r="E1885" s="920">
        <v>140.04</v>
      </c>
      <c r="F1885" s="1701"/>
      <c r="G1885" s="1040"/>
    </row>
    <row r="1886" spans="1:7">
      <c r="A1886" s="930">
        <v>43692</v>
      </c>
      <c r="B1886" s="825" t="str">
        <f>TiposLancamentos!B3</f>
        <v>Internet</v>
      </c>
      <c r="C1886" s="88" t="s">
        <v>5835</v>
      </c>
      <c r="D1886" s="828"/>
      <c r="E1886" s="931">
        <v>102.47</v>
      </c>
      <c r="F1886" s="1702"/>
      <c r="G1886" s="1040"/>
    </row>
    <row r="1887" spans="1:7">
      <c r="A1887" s="921">
        <v>43692</v>
      </c>
      <c r="B1887" s="833" t="str">
        <f>TiposLancamentos!B2</f>
        <v>Telefonia</v>
      </c>
      <c r="C1887" s="916" t="s">
        <v>7210</v>
      </c>
      <c r="D1887" s="918"/>
      <c r="E1887" s="922">
        <v>4.47</v>
      </c>
      <c r="F1887" s="1703">
        <v>219.98</v>
      </c>
      <c r="G1887" s="1040"/>
    </row>
    <row r="1888" spans="1:7">
      <c r="A1888" s="884">
        <v>43693</v>
      </c>
      <c r="B1888" s="138" t="str">
        <f>TiposLancamentos!B46</f>
        <v>Maçonaria</v>
      </c>
      <c r="C1888" s="771" t="s">
        <v>18181</v>
      </c>
      <c r="D1888" s="197"/>
      <c r="E1888" s="857">
        <v>180</v>
      </c>
      <c r="F1888" s="1697"/>
      <c r="G1888" s="1040"/>
    </row>
    <row r="1889" spans="1:7">
      <c r="A1889" s="884">
        <v>43693</v>
      </c>
      <c r="B1889" s="138" t="str">
        <f>TiposLancamentos!B16</f>
        <v>Cristiane</v>
      </c>
      <c r="C1889" s="771" t="s">
        <v>18182</v>
      </c>
      <c r="D1889" s="197"/>
      <c r="E1889" s="857">
        <v>260</v>
      </c>
      <c r="F1889" s="1697"/>
      <c r="G1889" s="1040"/>
    </row>
    <row r="1890" spans="1:7">
      <c r="A1890" s="884">
        <v>43697</v>
      </c>
      <c r="B1890" s="138" t="str">
        <f>TiposLancamentos!B16</f>
        <v>Cristiane</v>
      </c>
      <c r="C1890" s="771" t="s">
        <v>18183</v>
      </c>
      <c r="D1890" s="197"/>
      <c r="E1890" s="857">
        <v>274.75</v>
      </c>
      <c r="F1890" s="1697"/>
      <c r="G1890" s="1040"/>
    </row>
    <row r="1891" spans="1:7">
      <c r="A1891" s="884">
        <v>43700</v>
      </c>
      <c r="B1891" s="138" t="str">
        <f>TiposLancamentos!B24</f>
        <v>Estacionamentos</v>
      </c>
      <c r="C1891" s="771" t="s">
        <v>18184</v>
      </c>
      <c r="D1891" s="197"/>
      <c r="E1891" s="857">
        <v>7</v>
      </c>
      <c r="F1891" s="1697"/>
      <c r="G1891" s="1040"/>
    </row>
    <row r="1892" spans="1:7">
      <c r="A1892" s="884">
        <v>43700</v>
      </c>
      <c r="B1892" s="138" t="str">
        <f>TiposLancamentos!B20</f>
        <v>Saques</v>
      </c>
      <c r="C1892" s="771" t="s">
        <v>4325</v>
      </c>
      <c r="D1892" s="197"/>
      <c r="E1892" s="857">
        <v>40</v>
      </c>
      <c r="F1892" s="1697"/>
      <c r="G1892" s="1040"/>
    </row>
    <row r="1893" spans="1:7">
      <c r="A1893" s="919">
        <v>43701</v>
      </c>
      <c r="B1893" s="830" t="str">
        <f>TiposLancamentos!B29</f>
        <v>Mangá</v>
      </c>
      <c r="C1893" s="915" t="s">
        <v>18185</v>
      </c>
      <c r="D1893" s="917"/>
      <c r="E1893" s="920">
        <v>19.899999999999999</v>
      </c>
      <c r="F1893" s="1701"/>
      <c r="G1893" s="1040"/>
    </row>
    <row r="1894" spans="1:7">
      <c r="A1894" s="921">
        <v>43701</v>
      </c>
      <c r="B1894" s="833" t="str">
        <f>TiposLancamentos!B27</f>
        <v>Jornais e revistas</v>
      </c>
      <c r="C1894" s="916" t="s">
        <v>18186</v>
      </c>
      <c r="D1894" s="918"/>
      <c r="E1894" s="922">
        <f>F1894-E1893</f>
        <v>39.9</v>
      </c>
      <c r="F1894" s="1703">
        <v>59.8</v>
      </c>
      <c r="G1894" s="1040"/>
    </row>
    <row r="1895" spans="1:7">
      <c r="A1895" s="884">
        <v>43704</v>
      </c>
      <c r="B1895" s="138" t="str">
        <f>TiposLancamentos!B24</f>
        <v>Estacionamentos</v>
      </c>
      <c r="C1895" s="771" t="s">
        <v>7759</v>
      </c>
      <c r="D1895" s="197"/>
      <c r="E1895" s="857">
        <v>13</v>
      </c>
      <c r="F1895" s="1697"/>
      <c r="G1895" s="1040"/>
    </row>
    <row r="1896" spans="1:7">
      <c r="A1896" s="884">
        <v>43705</v>
      </c>
      <c r="B1896" s="138" t="str">
        <f>TiposLancamentos!B24</f>
        <v>Estacionamentos</v>
      </c>
      <c r="C1896" s="771" t="s">
        <v>9414</v>
      </c>
      <c r="D1896" s="197"/>
      <c r="E1896" s="857">
        <v>8</v>
      </c>
      <c r="F1896" s="1697"/>
      <c r="G1896" s="1040"/>
    </row>
    <row r="1897" spans="1:7">
      <c r="A1897" s="884">
        <v>43705</v>
      </c>
      <c r="B1897" s="138" t="str">
        <f>TiposLancamentos!B6</f>
        <v>Energia Eletrica</v>
      </c>
      <c r="C1897" s="771" t="s">
        <v>18110</v>
      </c>
      <c r="D1897" s="197"/>
      <c r="E1897" s="857">
        <v>286.27999999999997</v>
      </c>
      <c r="F1897" s="1697"/>
      <c r="G1897" s="1040"/>
    </row>
    <row r="1898" spans="1:7">
      <c r="A1898" s="884">
        <v>43706</v>
      </c>
      <c r="B1898" s="138" t="str">
        <f>TiposLancamentos!B95</f>
        <v>Salarios</v>
      </c>
      <c r="C1898" s="771" t="s">
        <v>17362</v>
      </c>
      <c r="D1898" s="197">
        <v>8874.14</v>
      </c>
      <c r="E1898" s="857"/>
      <c r="F1898" s="1697"/>
      <c r="G1898" s="1040"/>
    </row>
    <row r="1899" spans="1:7">
      <c r="A1899" s="884">
        <v>43708</v>
      </c>
      <c r="B1899" s="138" t="str">
        <f>TiposLancamentos!B24</f>
        <v>Estacionamentos</v>
      </c>
      <c r="C1899" s="771" t="s">
        <v>2183</v>
      </c>
      <c r="D1899" s="197"/>
      <c r="E1899" s="857">
        <v>8</v>
      </c>
      <c r="F1899" s="1697"/>
      <c r="G1899" s="1040"/>
    </row>
    <row r="1900" spans="1:7" ht="14.25" thickBot="1">
      <c r="A1900" s="884">
        <v>43708</v>
      </c>
      <c r="B1900" s="138" t="str">
        <f>TiposLancamentos!B24</f>
        <v>Estacionamentos</v>
      </c>
      <c r="C1900" s="771" t="s">
        <v>18187</v>
      </c>
      <c r="D1900" s="197"/>
      <c r="E1900" s="857">
        <v>8</v>
      </c>
      <c r="F1900" s="1697"/>
      <c r="G1900" s="1040"/>
    </row>
    <row r="1901" spans="1:7">
      <c r="A1901" s="967"/>
      <c r="B1901" s="968"/>
      <c r="C1901" s="1093" t="s">
        <v>14814</v>
      </c>
      <c r="D1901" s="970"/>
      <c r="E1901" s="971"/>
      <c r="F1901" s="1712"/>
      <c r="G1901" s="1039"/>
    </row>
    <row r="1902" spans="1:7">
      <c r="A1902" s="884">
        <v>43710</v>
      </c>
      <c r="B1902" s="138" t="str">
        <f>TiposLancamentos!B15</f>
        <v>Cartões de Crédito</v>
      </c>
      <c r="C1902" s="771" t="s">
        <v>18146</v>
      </c>
      <c r="D1902" s="197"/>
      <c r="E1902" s="857">
        <v>7046.53</v>
      </c>
      <c r="F1902" s="1697"/>
      <c r="G1902" s="1040"/>
    </row>
    <row r="1903" spans="1:7">
      <c r="A1903" s="884">
        <v>43710</v>
      </c>
      <c r="B1903" s="138" t="str">
        <f>TiposLancamentos!B15</f>
        <v>Cartões de Crédito</v>
      </c>
      <c r="C1903" s="771" t="s">
        <v>18188</v>
      </c>
      <c r="D1903" s="197"/>
      <c r="E1903" s="857">
        <v>323.63</v>
      </c>
      <c r="F1903" s="1697"/>
      <c r="G1903" s="1040"/>
    </row>
    <row r="1904" spans="1:7">
      <c r="A1904" s="884">
        <v>43710</v>
      </c>
      <c r="B1904" s="138" t="str">
        <f>TiposLancamentos!B15</f>
        <v>Cartões de Crédito</v>
      </c>
      <c r="C1904" s="3" t="s">
        <v>18189</v>
      </c>
      <c r="D1904" s="197"/>
      <c r="E1904" s="857">
        <v>385.53</v>
      </c>
      <c r="F1904" s="1697"/>
      <c r="G1904" s="1040"/>
    </row>
    <row r="1905" spans="1:7">
      <c r="A1905" s="884">
        <v>43710</v>
      </c>
      <c r="B1905" s="138" t="str">
        <f>TiposLancamentos!B15</f>
        <v>Cartões de Crédito</v>
      </c>
      <c r="C1905" s="3" t="s">
        <v>18190</v>
      </c>
      <c r="D1905" s="197"/>
      <c r="E1905" s="857">
        <v>230</v>
      </c>
      <c r="F1905" s="1697"/>
      <c r="G1905" s="1040"/>
    </row>
    <row r="1906" spans="1:7">
      <c r="A1906" s="884">
        <v>43710</v>
      </c>
      <c r="B1906" s="138" t="str">
        <f>TiposLancamentos!B4</f>
        <v>Taxas Bancarias</v>
      </c>
      <c r="C1906" s="771" t="s">
        <v>18191</v>
      </c>
      <c r="D1906" s="197"/>
      <c r="E1906" s="857">
        <v>42</v>
      </c>
      <c r="F1906" s="1697"/>
      <c r="G1906" s="1040"/>
    </row>
    <row r="1907" spans="1:7">
      <c r="A1907" s="884">
        <v>43710</v>
      </c>
      <c r="B1907" s="138" t="str">
        <f>TiposLancamentos!B4</f>
        <v>Taxas Bancarias</v>
      </c>
      <c r="C1907" s="771" t="s">
        <v>18192</v>
      </c>
      <c r="D1907" s="197"/>
      <c r="E1907" s="857">
        <v>56.04</v>
      </c>
      <c r="F1907" s="1697"/>
      <c r="G1907" s="1040"/>
    </row>
    <row r="1908" spans="1:7">
      <c r="A1908" s="884">
        <v>43710</v>
      </c>
      <c r="B1908" s="138" t="str">
        <f>TiposLancamentos!B4</f>
        <v>Taxas Bancarias</v>
      </c>
      <c r="C1908" s="771" t="s">
        <v>18193</v>
      </c>
      <c r="D1908" s="197"/>
      <c r="E1908" s="857">
        <v>2589.4699999999998</v>
      </c>
      <c r="F1908" s="1697"/>
      <c r="G1908" s="1040"/>
    </row>
    <row r="1909" spans="1:7">
      <c r="A1909" s="884">
        <v>43714</v>
      </c>
      <c r="B1909" s="138" t="str">
        <f>TiposLancamentos!B69</f>
        <v>Consertos</v>
      </c>
      <c r="C1909" s="771" t="s">
        <v>18194</v>
      </c>
      <c r="D1909" s="197"/>
      <c r="E1909" s="857">
        <v>687</v>
      </c>
      <c r="F1909" s="1697"/>
      <c r="G1909" s="1040"/>
    </row>
    <row r="1910" spans="1:7">
      <c r="A1910" s="884">
        <v>43714</v>
      </c>
      <c r="B1910" s="138" t="str">
        <f>TiposLancamentos!B9</f>
        <v>Condominio</v>
      </c>
      <c r="C1910" s="771" t="s">
        <v>18195</v>
      </c>
      <c r="D1910" s="197"/>
      <c r="E1910" s="857">
        <v>1241.0899999999999</v>
      </c>
      <c r="F1910" s="1697"/>
      <c r="G1910" s="1040"/>
    </row>
    <row r="1911" spans="1:7">
      <c r="A1911" s="884">
        <v>43715</v>
      </c>
      <c r="B1911" s="138" t="str">
        <f>TiposLancamentos!B19</f>
        <v>Restaurantes</v>
      </c>
      <c r="C1911" s="771" t="s">
        <v>3272</v>
      </c>
      <c r="D1911" s="197"/>
      <c r="E1911" s="857">
        <v>28</v>
      </c>
      <c r="F1911" s="1697"/>
      <c r="G1911" s="1040"/>
    </row>
    <row r="1912" spans="1:7">
      <c r="A1912" s="884">
        <v>43715</v>
      </c>
      <c r="B1912" s="138" t="str">
        <f>TiposLancamentos!B19</f>
        <v>Restaurantes</v>
      </c>
      <c r="C1912" s="771" t="s">
        <v>4495</v>
      </c>
      <c r="D1912" s="197"/>
      <c r="E1912" s="857">
        <v>6.5</v>
      </c>
      <c r="F1912" s="1697"/>
      <c r="G1912" s="1040"/>
    </row>
    <row r="1913" spans="1:7">
      <c r="A1913" s="884">
        <v>43715</v>
      </c>
      <c r="B1913" s="138" t="str">
        <f>TiposLancamentos!B19</f>
        <v>Restaurantes</v>
      </c>
      <c r="C1913" s="771" t="s">
        <v>4495</v>
      </c>
      <c r="D1913" s="197"/>
      <c r="E1913" s="857">
        <v>6.5</v>
      </c>
      <c r="F1913" s="1697"/>
      <c r="G1913" s="1040"/>
    </row>
    <row r="1914" spans="1:7">
      <c r="A1914" s="884">
        <v>43721</v>
      </c>
      <c r="B1914" s="138" t="str">
        <f>TiposLancamentos!B95</f>
        <v>Salarios</v>
      </c>
      <c r="C1914" s="771" t="s">
        <v>17966</v>
      </c>
      <c r="D1914" s="197">
        <v>3977.6</v>
      </c>
      <c r="E1914" s="857"/>
      <c r="F1914" s="135"/>
      <c r="G1914" s="1040"/>
    </row>
    <row r="1915" spans="1:7">
      <c r="A1915" s="919">
        <v>43724</v>
      </c>
      <c r="B1915" s="830" t="str">
        <f>TiposLancamentos!B33</f>
        <v>Pedágios</v>
      </c>
      <c r="C1915" s="915" t="s">
        <v>5392</v>
      </c>
      <c r="D1915" s="917"/>
      <c r="E1915" s="920">
        <f>F1917-(E1916+E1917)</f>
        <v>50.08</v>
      </c>
      <c r="F1915" s="1701"/>
      <c r="G1915" s="1040"/>
    </row>
    <row r="1916" spans="1:7">
      <c r="A1916" s="930">
        <v>43724</v>
      </c>
      <c r="B1916" s="825" t="str">
        <f>TiposLancamentos!B24</f>
        <v>Estacionamentos</v>
      </c>
      <c r="C1916" s="88" t="s">
        <v>7366</v>
      </c>
      <c r="D1916" s="828"/>
      <c r="E1916" s="931">
        <v>28</v>
      </c>
      <c r="F1916" s="1702"/>
      <c r="G1916" s="1040"/>
    </row>
    <row r="1917" spans="1:7">
      <c r="A1917" s="921">
        <v>43724</v>
      </c>
      <c r="B1917" s="833" t="str">
        <f>TiposLancamentos!B24</f>
        <v>Estacionamentos</v>
      </c>
      <c r="C1917" s="916" t="s">
        <v>6297</v>
      </c>
      <c r="D1917" s="918"/>
      <c r="E1917" s="922">
        <v>23</v>
      </c>
      <c r="F1917" s="1703">
        <v>101.08</v>
      </c>
      <c r="G1917" s="1040"/>
    </row>
    <row r="1918" spans="1:7">
      <c r="A1918" s="884">
        <v>43724</v>
      </c>
      <c r="B1918" s="138" t="str">
        <f>TiposLancamentos!B16</f>
        <v>Cristiane</v>
      </c>
      <c r="C1918" s="771" t="s">
        <v>18123</v>
      </c>
      <c r="D1918" s="197"/>
      <c r="E1918" s="857">
        <v>73.98</v>
      </c>
      <c r="F1918" s="1697"/>
      <c r="G1918" s="1040"/>
    </row>
    <row r="1919" spans="1:7">
      <c r="A1919" s="884">
        <v>43724</v>
      </c>
      <c r="B1919" s="138"/>
      <c r="C1919" s="771" t="s">
        <v>1868</v>
      </c>
      <c r="D1919" s="197"/>
      <c r="E1919" s="857"/>
      <c r="F1919" s="135"/>
      <c r="G1919" s="1040"/>
    </row>
    <row r="1920" spans="1:7">
      <c r="A1920" s="884">
        <v>43725</v>
      </c>
      <c r="B1920" s="138" t="str">
        <f>TiposLancamentos!B46</f>
        <v>Maçonaria</v>
      </c>
      <c r="C1920" s="771" t="s">
        <v>18196</v>
      </c>
      <c r="D1920" s="197"/>
      <c r="E1920" s="857">
        <v>180</v>
      </c>
      <c r="F1920" s="3"/>
      <c r="G1920" s="1040"/>
    </row>
    <row r="1921" spans="1:7">
      <c r="A1921" s="884">
        <v>43726</v>
      </c>
      <c r="B1921" s="138" t="str">
        <f>TiposLancamentos!B46</f>
        <v>Maçonaria</v>
      </c>
      <c r="C1921" s="771" t="s">
        <v>18197</v>
      </c>
      <c r="D1921" s="197"/>
      <c r="E1921" s="857">
        <v>90</v>
      </c>
      <c r="F1921" s="1697"/>
      <c r="G1921" s="1040"/>
    </row>
    <row r="1922" spans="1:7" ht="14.25" thickBot="1">
      <c r="A1922" s="884">
        <v>43738</v>
      </c>
      <c r="B1922" s="138" t="str">
        <f>TiposLancamentos!B95</f>
        <v>Salarios</v>
      </c>
      <c r="C1922" s="771" t="s">
        <v>17362</v>
      </c>
      <c r="D1922" s="197">
        <v>3957.74</v>
      </c>
      <c r="E1922" s="857"/>
      <c r="F1922" s="1697"/>
      <c r="G1922" s="1040"/>
    </row>
    <row r="1923" spans="1:7">
      <c r="A1923" s="967"/>
      <c r="B1923" s="968"/>
      <c r="C1923" s="1093" t="s">
        <v>14856</v>
      </c>
      <c r="D1923" s="970"/>
      <c r="E1923" s="971"/>
      <c r="F1923" s="1712"/>
      <c r="G1923" s="1039"/>
    </row>
    <row r="1924" spans="1:7">
      <c r="A1924" s="884">
        <v>43739</v>
      </c>
      <c r="B1924" s="138" t="str">
        <f>TiposLancamentos!B4</f>
        <v>Taxas Bancarias</v>
      </c>
      <c r="C1924" s="771" t="s">
        <v>18198</v>
      </c>
      <c r="D1924" s="197"/>
      <c r="E1924" s="857">
        <v>45.02</v>
      </c>
      <c r="F1924" s="1697"/>
      <c r="G1924" s="1040"/>
    </row>
    <row r="1925" spans="1:7">
      <c r="A1925" s="884">
        <v>43739</v>
      </c>
      <c r="B1925" s="138" t="str">
        <f>TiposLancamentos!B4</f>
        <v>Taxas Bancarias</v>
      </c>
      <c r="C1925" s="771" t="s">
        <v>18199</v>
      </c>
      <c r="D1925" s="197"/>
      <c r="E1925" s="857">
        <v>49.76</v>
      </c>
      <c r="F1925" s="1697"/>
      <c r="G1925" s="1040"/>
    </row>
    <row r="1926" spans="1:7" ht="16.5" customHeight="1">
      <c r="A1926" s="884">
        <v>43739</v>
      </c>
      <c r="B1926" s="138" t="str">
        <f>TiposLancamentos!B4</f>
        <v>Taxas Bancarias</v>
      </c>
      <c r="C1926" s="771" t="s">
        <v>18200</v>
      </c>
      <c r="D1926" s="197"/>
      <c r="E1926" s="857">
        <v>2788.24</v>
      </c>
      <c r="F1926" s="1697"/>
      <c r="G1926" s="1040"/>
    </row>
    <row r="1927" spans="1:7">
      <c r="A1927" s="919">
        <v>43748</v>
      </c>
      <c r="B1927" s="830" t="str">
        <f>TiposLancamentos!B8</f>
        <v>Aluguel</v>
      </c>
      <c r="C1927" s="915" t="s">
        <v>6163</v>
      </c>
      <c r="D1927" s="917"/>
      <c r="E1927" s="920">
        <f>F1929-(E1928+E1929)</f>
        <v>2015.3000000000002</v>
      </c>
      <c r="F1927" s="1701"/>
      <c r="G1927" s="1040"/>
    </row>
    <row r="1928" spans="1:7">
      <c r="A1928" s="930">
        <v>43748</v>
      </c>
      <c r="B1928" s="825" t="str">
        <f>TiposLancamentos!B12</f>
        <v>IPTU</v>
      </c>
      <c r="C1928" s="88" t="s">
        <v>6351</v>
      </c>
      <c r="D1928" s="828"/>
      <c r="E1928" s="931">
        <v>149.81</v>
      </c>
      <c r="F1928" s="1702"/>
      <c r="G1928" s="1040"/>
    </row>
    <row r="1929" spans="1:7">
      <c r="A1929" s="921">
        <v>43748</v>
      </c>
      <c r="B1929" s="833" t="str">
        <f>TiposLancamentos!B34</f>
        <v>Seguros</v>
      </c>
      <c r="C1929" s="916" t="s">
        <v>14773</v>
      </c>
      <c r="D1929" s="918"/>
      <c r="E1929" s="922">
        <v>0</v>
      </c>
      <c r="F1929" s="1703">
        <v>2165.11</v>
      </c>
      <c r="G1929" s="1040"/>
    </row>
    <row r="1930" spans="1:7">
      <c r="A1930" s="884">
        <v>43749</v>
      </c>
      <c r="B1930" s="138" t="str">
        <f>TiposLancamentos!B46</f>
        <v>Maçonaria</v>
      </c>
      <c r="C1930" s="771" t="s">
        <v>18201</v>
      </c>
      <c r="D1930" s="197"/>
      <c r="E1930" s="857">
        <v>180</v>
      </c>
      <c r="F1930" s="1697"/>
      <c r="G1930" s="1040"/>
    </row>
    <row r="1931" spans="1:7">
      <c r="A1931" s="884">
        <v>43749</v>
      </c>
      <c r="B1931" s="138" t="str">
        <f>TiposLancamentos!B95</f>
        <v>Salarios</v>
      </c>
      <c r="C1931" s="771" t="s">
        <v>18202</v>
      </c>
      <c r="D1931" s="197">
        <v>60041.22</v>
      </c>
      <c r="E1931" s="857"/>
      <c r="F1931" s="1697"/>
      <c r="G1931" s="1040"/>
    </row>
    <row r="1932" spans="1:7">
      <c r="A1932" s="884">
        <v>43751</v>
      </c>
      <c r="B1932" s="138" t="str">
        <f>TiposLancamentos!B19</f>
        <v>Restaurantes</v>
      </c>
      <c r="C1932" s="771" t="s">
        <v>6565</v>
      </c>
      <c r="D1932" s="197"/>
      <c r="E1932" s="857">
        <v>69.2</v>
      </c>
      <c r="F1932" s="1697"/>
      <c r="G1932" s="1040"/>
    </row>
    <row r="1933" spans="1:7">
      <c r="A1933" s="884">
        <v>43752</v>
      </c>
      <c r="B1933" s="138" t="str">
        <f>TiposLancamentos!B19</f>
        <v>Restaurantes</v>
      </c>
      <c r="C1933" s="771" t="s">
        <v>18203</v>
      </c>
      <c r="D1933" s="197"/>
      <c r="E1933" s="857">
        <v>45.4</v>
      </c>
      <c r="F1933" s="1697"/>
      <c r="G1933" s="1040"/>
    </row>
    <row r="1934" spans="1:7">
      <c r="A1934" s="884">
        <v>43752</v>
      </c>
      <c r="B1934" s="138" t="str">
        <f>TiposLancamentos!B57</f>
        <v>Informática</v>
      </c>
      <c r="C1934" s="771" t="s">
        <v>18204</v>
      </c>
      <c r="D1934" s="197"/>
      <c r="E1934" s="857">
        <v>36.97</v>
      </c>
      <c r="F1934" s="1697"/>
      <c r="G1934" s="1040"/>
    </row>
    <row r="1935" spans="1:7">
      <c r="A1935" s="884">
        <v>43752</v>
      </c>
      <c r="B1935" s="138" t="str">
        <f>TiposLancamentos!B17</f>
        <v>GATO</v>
      </c>
      <c r="C1935" s="771" t="s">
        <v>18205</v>
      </c>
      <c r="D1935" s="197"/>
      <c r="E1935" s="857">
        <v>36.200000000000003</v>
      </c>
      <c r="F1935" s="1697"/>
      <c r="G1935" s="1040"/>
    </row>
    <row r="1936" spans="1:7">
      <c r="A1936" s="884">
        <v>43752</v>
      </c>
      <c r="B1936" s="138" t="str">
        <f>TiposLancamentos!B19</f>
        <v>Restaurantes</v>
      </c>
      <c r="C1936" s="771" t="s">
        <v>7511</v>
      </c>
      <c r="D1936" s="197"/>
      <c r="E1936" s="857">
        <v>19.3</v>
      </c>
      <c r="F1936" s="1697"/>
      <c r="G1936" s="1040"/>
    </row>
    <row r="1937" spans="1:7">
      <c r="A1937" s="884">
        <v>43752</v>
      </c>
      <c r="B1937" s="138" t="str">
        <f>TiposLancamentos!B88</f>
        <v>Ford Ecosport XLT</v>
      </c>
      <c r="C1937" s="771" t="s">
        <v>18206</v>
      </c>
      <c r="D1937" s="197"/>
      <c r="E1937" s="857">
        <v>20</v>
      </c>
      <c r="F1937" s="1697"/>
      <c r="G1937" s="1040"/>
    </row>
    <row r="1938" spans="1:7">
      <c r="A1938" s="919">
        <v>43753</v>
      </c>
      <c r="B1938" s="830" t="str">
        <f>TiposLancamentos!B33</f>
        <v>Pedágios</v>
      </c>
      <c r="C1938" s="915" t="s">
        <v>5392</v>
      </c>
      <c r="D1938" s="917"/>
      <c r="E1938" s="920">
        <f>F1940-(E1939+E1940)</f>
        <v>169.68</v>
      </c>
      <c r="F1938" s="1701"/>
      <c r="G1938" s="1040"/>
    </row>
    <row r="1939" spans="1:7">
      <c r="A1939" s="930">
        <v>43753</v>
      </c>
      <c r="B1939" s="825" t="str">
        <f>TiposLancamentos!B24</f>
        <v>Estacionamentos</v>
      </c>
      <c r="C1939" s="88" t="s">
        <v>7366</v>
      </c>
      <c r="D1939" s="828"/>
      <c r="E1939" s="931">
        <v>80</v>
      </c>
      <c r="F1939" s="1702"/>
      <c r="G1939" s="1040"/>
    </row>
    <row r="1940" spans="1:7">
      <c r="A1940" s="921">
        <v>43753</v>
      </c>
      <c r="B1940" s="833" t="str">
        <f>TiposLancamentos!B24</f>
        <v>Estacionamentos</v>
      </c>
      <c r="C1940" s="916" t="s">
        <v>6297</v>
      </c>
      <c r="D1940" s="918"/>
      <c r="E1940" s="922">
        <v>0</v>
      </c>
      <c r="F1940" s="1703">
        <v>249.68</v>
      </c>
      <c r="G1940" s="1040"/>
    </row>
    <row r="1941" spans="1:7">
      <c r="A1941" s="884">
        <v>43753</v>
      </c>
      <c r="B1941" s="138" t="str">
        <f>TiposLancamentos!B16</f>
        <v>Cristiane</v>
      </c>
      <c r="C1941" s="771" t="s">
        <v>7367</v>
      </c>
      <c r="D1941" s="197"/>
      <c r="E1941" s="857">
        <v>73.98</v>
      </c>
      <c r="F1941" s="1697"/>
      <c r="G1941" s="1040"/>
    </row>
    <row r="1942" spans="1:7">
      <c r="A1942" s="884">
        <v>43753</v>
      </c>
      <c r="B1942" s="138" t="str">
        <f>TiposLancamentos!B2</f>
        <v>Telefonia</v>
      </c>
      <c r="C1942" s="771" t="s">
        <v>7368</v>
      </c>
      <c r="D1942" s="197"/>
      <c r="E1942" s="857">
        <v>49.99</v>
      </c>
      <c r="F1942" s="1697"/>
      <c r="G1942" s="1040"/>
    </row>
    <row r="1943" spans="1:7">
      <c r="A1943" s="884">
        <v>43753</v>
      </c>
      <c r="B1943" s="138"/>
      <c r="C1943" s="771" t="s">
        <v>1868</v>
      </c>
      <c r="D1943" s="197"/>
      <c r="E1943" s="857"/>
      <c r="F1943" s="1697"/>
      <c r="G1943" s="1040"/>
    </row>
    <row r="1944" spans="1:7">
      <c r="A1944" s="919">
        <v>43753</v>
      </c>
      <c r="B1944" s="830" t="str">
        <f>TiposLancamentos!B35</f>
        <v>Tv à Cabo</v>
      </c>
      <c r="C1944" s="915" t="s">
        <v>5834</v>
      </c>
      <c r="D1944" s="917"/>
      <c r="E1944" s="920">
        <v>140.04</v>
      </c>
      <c r="F1944" s="1701"/>
      <c r="G1944" s="1040"/>
    </row>
    <row r="1945" spans="1:7">
      <c r="A1945" s="930">
        <v>43753</v>
      </c>
      <c r="B1945" s="825" t="str">
        <f>TiposLancamentos!B3</f>
        <v>Internet</v>
      </c>
      <c r="C1945" s="88" t="s">
        <v>5835</v>
      </c>
      <c r="D1945" s="828"/>
      <c r="E1945" s="931">
        <v>102.47</v>
      </c>
      <c r="F1945" s="1702"/>
      <c r="G1945" s="1040"/>
    </row>
    <row r="1946" spans="1:7">
      <c r="A1946" s="921">
        <v>43753</v>
      </c>
      <c r="B1946" s="833" t="str">
        <f>TiposLancamentos!B2</f>
        <v>Telefonia</v>
      </c>
      <c r="C1946" s="916" t="s">
        <v>7210</v>
      </c>
      <c r="D1946" s="918"/>
      <c r="E1946" s="922">
        <v>18.899999999999999</v>
      </c>
      <c r="F1946" s="1703">
        <f>SUM(E1944:E1946)</f>
        <v>261.40999999999997</v>
      </c>
      <c r="G1946" s="1040"/>
    </row>
    <row r="1947" spans="1:7">
      <c r="A1947" s="884">
        <v>43753</v>
      </c>
      <c r="B1947" s="138" t="str">
        <f>TiposLancamentos!B5</f>
        <v>Supermercado</v>
      </c>
      <c r="C1947" s="771" t="s">
        <v>6234</v>
      </c>
      <c r="D1947" s="197"/>
      <c r="E1947" s="857">
        <v>120.54</v>
      </c>
      <c r="F1947" s="135"/>
      <c r="G1947" s="1040"/>
    </row>
    <row r="1948" spans="1:7">
      <c r="A1948" s="884">
        <v>43753</v>
      </c>
      <c r="B1948" s="138" t="str">
        <f>TiposLancamentos!B24</f>
        <v>Estacionamentos</v>
      </c>
      <c r="C1948" s="771" t="s">
        <v>7759</v>
      </c>
      <c r="D1948" s="197"/>
      <c r="E1948" s="857">
        <v>13</v>
      </c>
      <c r="F1948" s="135"/>
      <c r="G1948" s="1040"/>
    </row>
    <row r="1949" spans="1:7">
      <c r="A1949" s="884">
        <v>43753</v>
      </c>
      <c r="B1949" s="138" t="str">
        <f>TiposLancamentos!B19</f>
        <v>Restaurantes</v>
      </c>
      <c r="C1949" s="771" t="s">
        <v>18207</v>
      </c>
      <c r="D1949" s="197"/>
      <c r="E1949" s="857">
        <v>41.85</v>
      </c>
      <c r="F1949" s="135"/>
      <c r="G1949" s="1040"/>
    </row>
    <row r="1950" spans="1:7">
      <c r="A1950" s="884">
        <v>43754</v>
      </c>
      <c r="B1950" s="138" t="str">
        <f>TiposLancamentos!B19</f>
        <v>Restaurantes</v>
      </c>
      <c r="C1950" s="771" t="s">
        <v>18208</v>
      </c>
      <c r="D1950" s="197"/>
      <c r="E1950" s="857">
        <v>112.42</v>
      </c>
      <c r="F1950" s="135"/>
      <c r="G1950" s="1040"/>
    </row>
    <row r="1951" spans="1:7">
      <c r="A1951" s="884">
        <v>43754</v>
      </c>
      <c r="B1951" s="138" t="str">
        <f>TiposLancamentos!B19</f>
        <v>Restaurantes</v>
      </c>
      <c r="C1951" s="771" t="s">
        <v>18209</v>
      </c>
      <c r="D1951" s="197"/>
      <c r="E1951" s="857">
        <v>6.04</v>
      </c>
      <c r="F1951" s="135"/>
      <c r="G1951" s="1040"/>
    </row>
    <row r="1952" spans="1:7">
      <c r="A1952" s="884">
        <v>43754</v>
      </c>
      <c r="B1952" s="138" t="str">
        <f>TiposLancamentos!B57</f>
        <v>Informática</v>
      </c>
      <c r="C1952" s="771" t="s">
        <v>18210</v>
      </c>
      <c r="D1952" s="197"/>
      <c r="E1952" s="857">
        <v>790</v>
      </c>
      <c r="F1952" s="135"/>
      <c r="G1952" s="1040"/>
    </row>
    <row r="1953" spans="1:7">
      <c r="A1953" s="884">
        <v>43754</v>
      </c>
      <c r="B1953" s="138" t="str">
        <f>TiposLancamentos!B16</f>
        <v>Cristiane</v>
      </c>
      <c r="C1953" s="771" t="s">
        <v>18211</v>
      </c>
      <c r="D1953" s="197"/>
      <c r="E1953" s="857">
        <v>80</v>
      </c>
      <c r="F1953" s="135"/>
      <c r="G1953" s="1040"/>
    </row>
    <row r="1954" spans="1:7">
      <c r="A1954" s="884">
        <v>43754</v>
      </c>
      <c r="B1954" s="138" t="str">
        <f>TiposLancamentos!B19</f>
        <v>Restaurantes</v>
      </c>
      <c r="C1954" s="771" t="s">
        <v>18212</v>
      </c>
      <c r="D1954" s="197"/>
      <c r="E1954" s="857">
        <v>19</v>
      </c>
      <c r="F1954" s="135"/>
      <c r="G1954" s="1040"/>
    </row>
    <row r="1955" spans="1:7">
      <c r="A1955" s="884">
        <v>43755</v>
      </c>
      <c r="B1955" s="138" t="str">
        <f>TiposLancamentos!B88</f>
        <v>Ford Ecosport XLT</v>
      </c>
      <c r="C1955" s="771" t="s">
        <v>18213</v>
      </c>
      <c r="D1955" s="197"/>
      <c r="E1955" s="857">
        <v>805</v>
      </c>
      <c r="F1955" s="135"/>
      <c r="G1955" s="1040"/>
    </row>
    <row r="1956" spans="1:7">
      <c r="A1956" s="884">
        <v>43755</v>
      </c>
      <c r="B1956" s="138" t="str">
        <f>TiposLancamentos!B5</f>
        <v>Supermercado</v>
      </c>
      <c r="C1956" s="771" t="s">
        <v>6234</v>
      </c>
      <c r="D1956" s="197"/>
      <c r="E1956" s="857">
        <v>107.31</v>
      </c>
      <c r="F1956" s="135"/>
      <c r="G1956" s="1040"/>
    </row>
    <row r="1957" spans="1:7">
      <c r="A1957" s="884">
        <v>43755</v>
      </c>
      <c r="B1957" s="138" t="str">
        <f>TiposLancamentos!B103</f>
        <v>Juros_Corr. Poupança</v>
      </c>
      <c r="C1957" s="771" t="s">
        <v>18214</v>
      </c>
      <c r="D1957" s="197">
        <v>0.01</v>
      </c>
      <c r="E1957" s="857"/>
      <c r="F1957" s="135"/>
      <c r="G1957" s="1040"/>
    </row>
    <row r="1958" spans="1:7">
      <c r="A1958" s="884">
        <v>43756</v>
      </c>
      <c r="B1958" s="138" t="str">
        <f>TiposLancamentos!B20</f>
        <v>Saques</v>
      </c>
      <c r="C1958" s="771" t="s">
        <v>7136</v>
      </c>
      <c r="D1958" s="197"/>
      <c r="E1958" s="857">
        <v>20</v>
      </c>
      <c r="F1958" s="135"/>
      <c r="G1958" s="1040"/>
    </row>
    <row r="1959" spans="1:7">
      <c r="A1959" s="884">
        <v>43756</v>
      </c>
      <c r="B1959" s="138" t="str">
        <f>TiposLancamentos!B19</f>
        <v>Restaurantes</v>
      </c>
      <c r="C1959" s="771" t="s">
        <v>18215</v>
      </c>
      <c r="D1959" s="197"/>
      <c r="E1959" s="857">
        <v>27.9</v>
      </c>
      <c r="F1959" s="135"/>
      <c r="G1959" s="1040"/>
    </row>
    <row r="1960" spans="1:7">
      <c r="A1960" s="884">
        <v>43756</v>
      </c>
      <c r="B1960" s="138" t="str">
        <f>TiposLancamentos!B19</f>
        <v>Restaurantes</v>
      </c>
      <c r="C1960" s="771" t="s">
        <v>18216</v>
      </c>
      <c r="D1960" s="197"/>
      <c r="E1960" s="857">
        <v>18.3</v>
      </c>
      <c r="F1960" s="135"/>
      <c r="G1960" s="1040"/>
    </row>
    <row r="1961" spans="1:7">
      <c r="A1961" s="884">
        <v>43756</v>
      </c>
      <c r="B1961" s="138" t="str">
        <f>TiposLancamentos!B21</f>
        <v>Transf. Poupanca</v>
      </c>
      <c r="C1961" s="771" t="s">
        <v>18217</v>
      </c>
      <c r="D1961" s="197"/>
      <c r="E1961" s="857">
        <v>50</v>
      </c>
      <c r="F1961" s="135"/>
      <c r="G1961" s="1040"/>
    </row>
    <row r="1962" spans="1:7">
      <c r="A1962" s="884">
        <v>43757</v>
      </c>
      <c r="B1962" s="138" t="str">
        <f>TiposLancamentos!B26</f>
        <v>LIVROS</v>
      </c>
      <c r="C1962" s="771" t="s">
        <v>18218</v>
      </c>
      <c r="D1962" s="197"/>
      <c r="E1962" s="857">
        <v>85</v>
      </c>
      <c r="F1962" s="135"/>
      <c r="G1962" s="1040"/>
    </row>
    <row r="1963" spans="1:7">
      <c r="A1963" s="884">
        <v>43757</v>
      </c>
      <c r="B1963" s="138" t="str">
        <f>TiposLancamentos!B16</f>
        <v>Cristiane</v>
      </c>
      <c r="C1963" s="771" t="s">
        <v>18219</v>
      </c>
      <c r="D1963" s="197"/>
      <c r="E1963" s="857">
        <v>20</v>
      </c>
      <c r="F1963" s="135"/>
      <c r="G1963" s="1040"/>
    </row>
    <row r="1964" spans="1:7">
      <c r="A1964" s="884">
        <v>43757</v>
      </c>
      <c r="B1964" s="138" t="str">
        <f>TiposLancamentos!B19</f>
        <v>Restaurantes</v>
      </c>
      <c r="C1964" s="771" t="s">
        <v>7738</v>
      </c>
      <c r="D1964" s="197"/>
      <c r="E1964" s="857">
        <v>9</v>
      </c>
      <c r="F1964" s="135"/>
      <c r="G1964" s="1040"/>
    </row>
    <row r="1965" spans="1:7">
      <c r="A1965" s="884">
        <v>43758</v>
      </c>
      <c r="B1965" s="138" t="str">
        <f>TiposLancamentos!B5</f>
        <v>Supermercado</v>
      </c>
      <c r="C1965" s="771" t="s">
        <v>6234</v>
      </c>
      <c r="D1965" s="197"/>
      <c r="E1965" s="857">
        <v>65.599999999999994</v>
      </c>
      <c r="F1965" s="135"/>
      <c r="G1965" s="1040"/>
    </row>
    <row r="1966" spans="1:7">
      <c r="A1966" s="884">
        <v>43759</v>
      </c>
      <c r="B1966" s="138" t="str">
        <f>TiposLancamentos!B5</f>
        <v>Supermercado</v>
      </c>
      <c r="C1966" s="771" t="s">
        <v>18220</v>
      </c>
      <c r="D1966" s="197"/>
      <c r="E1966" s="857">
        <v>20.99</v>
      </c>
      <c r="F1966" s="135"/>
      <c r="G1966" s="1040"/>
    </row>
    <row r="1967" spans="1:7">
      <c r="A1967" s="884">
        <v>43759</v>
      </c>
      <c r="B1967" s="138" t="str">
        <f>TiposLancamentos!B19</f>
        <v>Restaurantes</v>
      </c>
      <c r="C1967" s="771" t="s">
        <v>18221</v>
      </c>
      <c r="D1967" s="197"/>
      <c r="E1967" s="857">
        <v>46.1</v>
      </c>
      <c r="F1967" s="135"/>
      <c r="G1967" s="1040"/>
    </row>
    <row r="1968" spans="1:7">
      <c r="A1968" s="884">
        <v>43760</v>
      </c>
      <c r="B1968" s="138" t="str">
        <f>TiposLancamentos!B24</f>
        <v>Estacionamentos</v>
      </c>
      <c r="C1968" s="771" t="s">
        <v>1898</v>
      </c>
      <c r="D1968" s="197"/>
      <c r="E1968" s="857">
        <v>13</v>
      </c>
      <c r="F1968" s="135"/>
      <c r="G1968" s="1040"/>
    </row>
    <row r="1969" spans="1:7">
      <c r="A1969" s="884">
        <v>43760</v>
      </c>
      <c r="B1969" s="138" t="str">
        <f>TiposLancamentos!B19</f>
        <v>Restaurantes</v>
      </c>
      <c r="C1969" s="771" t="s">
        <v>18222</v>
      </c>
      <c r="D1969" s="197"/>
      <c r="E1969" s="857">
        <v>14.3</v>
      </c>
      <c r="F1969" s="135"/>
      <c r="G1969" s="1040"/>
    </row>
    <row r="1970" spans="1:7">
      <c r="A1970" s="884">
        <v>43760</v>
      </c>
      <c r="B1970" s="138" t="str">
        <f>TiposLancamentos!B19</f>
        <v>Restaurantes</v>
      </c>
      <c r="C1970" s="771" t="s">
        <v>18223</v>
      </c>
      <c r="D1970" s="197"/>
      <c r="E1970" s="857">
        <v>36.299999999999997</v>
      </c>
      <c r="F1970" s="135"/>
      <c r="G1970" s="1040"/>
    </row>
    <row r="1971" spans="1:7">
      <c r="A1971" s="884">
        <v>43761</v>
      </c>
      <c r="B1971" s="138" t="str">
        <f>TiposLancamentos!B19</f>
        <v>Restaurantes</v>
      </c>
      <c r="C1971" s="771" t="s">
        <v>18224</v>
      </c>
      <c r="D1971" s="197"/>
      <c r="E1971" s="857">
        <v>69.599999999999994</v>
      </c>
      <c r="F1971" s="135"/>
      <c r="G1971" s="1040"/>
    </row>
    <row r="1972" spans="1:7">
      <c r="A1972" s="884">
        <v>43761</v>
      </c>
      <c r="B1972" s="138" t="str">
        <f>TiposLancamentos!B19</f>
        <v>Restaurantes</v>
      </c>
      <c r="C1972" s="771" t="s">
        <v>14883</v>
      </c>
      <c r="D1972" s="197"/>
      <c r="E1972" s="857">
        <v>43.14</v>
      </c>
      <c r="F1972" s="135"/>
      <c r="G1972" s="1040"/>
    </row>
    <row r="1973" spans="1:7">
      <c r="A1973" s="884">
        <v>43761</v>
      </c>
      <c r="B1973" s="138" t="str">
        <f>TiposLancamentos!B5</f>
        <v>Supermercado</v>
      </c>
      <c r="C1973" s="771" t="s">
        <v>5844</v>
      </c>
      <c r="D1973" s="197"/>
      <c r="E1973" s="857">
        <v>75.78</v>
      </c>
      <c r="F1973" s="135"/>
      <c r="G1973" s="1040"/>
    </row>
    <row r="1974" spans="1:7">
      <c r="A1974" s="884">
        <v>43762</v>
      </c>
      <c r="B1974" s="138" t="str">
        <f>TiposLancamentos!B26</f>
        <v>LIVROS</v>
      </c>
      <c r="C1974" s="771" t="s">
        <v>18225</v>
      </c>
      <c r="D1974" s="197"/>
      <c r="E1974" s="857">
        <v>142.38999999999999</v>
      </c>
      <c r="F1974" s="135"/>
      <c r="G1974" s="1040"/>
    </row>
    <row r="1975" spans="1:7">
      <c r="A1975" s="884">
        <v>43763</v>
      </c>
      <c r="B1975" s="138" t="str">
        <f>TiposLancamentos!B48</f>
        <v>Baralhos e Oráculos</v>
      </c>
      <c r="C1975" s="771" t="s">
        <v>18226</v>
      </c>
      <c r="D1975" s="197"/>
      <c r="E1975" s="857">
        <v>160</v>
      </c>
      <c r="F1975" s="135"/>
      <c r="G1975" s="1040"/>
    </row>
    <row r="1976" spans="1:7">
      <c r="A1976" s="884">
        <v>43766</v>
      </c>
      <c r="B1976" s="138" t="str">
        <f>TiposLancamentos!B6</f>
        <v>Energia Eletrica</v>
      </c>
      <c r="C1976" s="771" t="s">
        <v>18227</v>
      </c>
      <c r="D1976" s="197"/>
      <c r="E1976" s="857">
        <v>256.92</v>
      </c>
      <c r="F1976" s="135"/>
      <c r="G1976" s="1040"/>
    </row>
    <row r="1977" spans="1:7" ht="14.25" thickBot="1">
      <c r="A1977" s="884">
        <v>43767</v>
      </c>
      <c r="B1977" s="138" t="str">
        <f>TiposLancamentos!B103</f>
        <v>Juros_Corr. Poupança</v>
      </c>
      <c r="C1977" s="771" t="s">
        <v>18214</v>
      </c>
      <c r="D1977" s="197">
        <v>0.02</v>
      </c>
      <c r="E1977" s="857"/>
      <c r="F1977" s="135"/>
      <c r="G1977" s="1040"/>
    </row>
    <row r="1978" spans="1:7">
      <c r="A1978" s="967"/>
      <c r="B1978" s="968"/>
      <c r="C1978" s="1093" t="s">
        <v>14891</v>
      </c>
      <c r="D1978" s="970"/>
      <c r="E1978" s="971"/>
      <c r="F1978" s="1712"/>
      <c r="G1978" s="1039"/>
    </row>
    <row r="1979" spans="1:7">
      <c r="A1979" s="884">
        <v>43770</v>
      </c>
      <c r="B1979" s="138" t="str">
        <f>TiposLancamentos!B4</f>
        <v>Taxas Bancarias</v>
      </c>
      <c r="C1979" s="771" t="s">
        <v>18228</v>
      </c>
      <c r="D1979" s="197"/>
      <c r="E1979" s="857">
        <v>13.86</v>
      </c>
      <c r="F1979" s="135"/>
      <c r="G1979" s="1040"/>
    </row>
    <row r="1980" spans="1:7">
      <c r="A1980" s="884">
        <v>43770</v>
      </c>
      <c r="B1980" s="138" t="str">
        <f>TiposLancamentos!B4</f>
        <v>Taxas Bancarias</v>
      </c>
      <c r="C1980" s="771" t="s">
        <v>18229</v>
      </c>
      <c r="D1980" s="197"/>
      <c r="E1980" s="857">
        <v>19.170000000000002</v>
      </c>
      <c r="F1980" s="135"/>
      <c r="G1980" s="1040"/>
    </row>
    <row r="1981" spans="1:7">
      <c r="A1981" s="884">
        <v>43770</v>
      </c>
      <c r="B1981" s="138" t="str">
        <f>TiposLancamentos!B4</f>
        <v>Taxas Bancarias</v>
      </c>
      <c r="C1981" s="771" t="s">
        <v>18230</v>
      </c>
      <c r="D1981" s="197">
        <v>0</v>
      </c>
      <c r="E1981" s="857">
        <v>0</v>
      </c>
      <c r="F1981" s="135"/>
      <c r="G1981" s="1040"/>
    </row>
    <row r="1982" spans="1:7">
      <c r="A1982" s="884">
        <v>43770</v>
      </c>
      <c r="B1982" s="138" t="str">
        <f>TiposLancamentos!B15</f>
        <v>Cartões de Crédito</v>
      </c>
      <c r="C1982" s="771" t="s">
        <v>7391</v>
      </c>
      <c r="D1982" s="197"/>
      <c r="E1982" s="857">
        <v>3750.94</v>
      </c>
      <c r="F1982" s="135"/>
      <c r="G1982" s="1040"/>
    </row>
    <row r="1983" spans="1:7">
      <c r="A1983" s="884">
        <v>43770</v>
      </c>
      <c r="B1983" s="138" t="str">
        <f>TiposLancamentos!B15</f>
        <v>Cartões de Crédito</v>
      </c>
      <c r="C1983" s="771" t="s">
        <v>7332</v>
      </c>
      <c r="D1983" s="197"/>
      <c r="E1983" s="857">
        <v>144.24</v>
      </c>
      <c r="F1983" s="135"/>
      <c r="G1983" s="1040"/>
    </row>
    <row r="1984" spans="1:7">
      <c r="A1984" s="884">
        <v>43770</v>
      </c>
      <c r="B1984" s="138" t="str">
        <f>TiposLancamentos!B15</f>
        <v>Cartões de Crédito</v>
      </c>
      <c r="C1984" s="771" t="s">
        <v>7333</v>
      </c>
      <c r="D1984" s="197"/>
      <c r="E1984" s="857">
        <v>528.37</v>
      </c>
      <c r="F1984" s="135"/>
      <c r="G1984" s="1040"/>
    </row>
    <row r="1985" spans="1:7">
      <c r="A1985" s="884">
        <v>43770</v>
      </c>
      <c r="B1985" s="138" t="str">
        <f>TiposLancamentos!B15</f>
        <v>Cartões de Crédito</v>
      </c>
      <c r="C1985" s="771" t="s">
        <v>7334</v>
      </c>
      <c r="D1985" s="197"/>
      <c r="E1985" s="857">
        <v>116.9</v>
      </c>
      <c r="F1985" s="135"/>
      <c r="G1985" s="1040"/>
    </row>
    <row r="1986" spans="1:7">
      <c r="A1986" s="884">
        <v>43773</v>
      </c>
      <c r="B1986" s="138" t="str">
        <f>TiposLancamentos!B5</f>
        <v>Supermercado</v>
      </c>
      <c r="C1986" s="771" t="s">
        <v>6234</v>
      </c>
      <c r="D1986" s="197"/>
      <c r="E1986" s="857">
        <v>32.17</v>
      </c>
      <c r="F1986" s="135"/>
      <c r="G1986" s="1040"/>
    </row>
    <row r="1987" spans="1:7">
      <c r="A1987" s="884">
        <v>43773</v>
      </c>
      <c r="B1987" s="138" t="str">
        <f>TiposLancamentos!B103</f>
        <v>Juros_Corr. Poupança</v>
      </c>
      <c r="C1987" s="771" t="s">
        <v>18231</v>
      </c>
      <c r="D1987" s="197">
        <v>0.39</v>
      </c>
      <c r="E1987" s="857"/>
      <c r="F1987" s="135"/>
      <c r="G1987" s="1040"/>
    </row>
    <row r="1988" spans="1:7">
      <c r="A1988" s="884">
        <v>43774</v>
      </c>
      <c r="B1988" s="138" t="str">
        <f>TiposLancamentos!B57</f>
        <v>Informática</v>
      </c>
      <c r="C1988" s="771" t="s">
        <v>18232</v>
      </c>
      <c r="D1988" s="197"/>
      <c r="E1988" s="857">
        <v>78.88</v>
      </c>
      <c r="F1988" s="135"/>
      <c r="G1988" s="1040"/>
    </row>
    <row r="1989" spans="1:7">
      <c r="A1989" s="884">
        <v>43774</v>
      </c>
      <c r="B1989" s="138" t="str">
        <f>TiposLancamentos!B59</f>
        <v>Documentos</v>
      </c>
      <c r="C1989" s="771" t="s">
        <v>18233</v>
      </c>
      <c r="D1989" s="197"/>
      <c r="E1989" s="857">
        <v>15</v>
      </c>
      <c r="F1989" s="135"/>
      <c r="G1989" s="1040"/>
    </row>
    <row r="1990" spans="1:7">
      <c r="A1990" s="884">
        <v>43774</v>
      </c>
      <c r="B1990" s="138" t="str">
        <f>TiposLancamentos!B24</f>
        <v>Estacionamentos</v>
      </c>
      <c r="C1990" s="771" t="s">
        <v>18234</v>
      </c>
      <c r="D1990" s="197"/>
      <c r="E1990" s="857">
        <v>13</v>
      </c>
      <c r="F1990" s="135"/>
      <c r="G1990" s="1040"/>
    </row>
    <row r="1991" spans="1:7">
      <c r="A1991" s="884">
        <v>43774</v>
      </c>
      <c r="B1991" s="138" t="str">
        <f>TiposLancamentos!B19</f>
        <v>Restaurantes</v>
      </c>
      <c r="C1991" s="771" t="s">
        <v>18235</v>
      </c>
      <c r="D1991" s="197"/>
      <c r="E1991" s="857">
        <v>45.1</v>
      </c>
      <c r="F1991" s="135"/>
      <c r="G1991" s="1040"/>
    </row>
    <row r="1992" spans="1:7">
      <c r="A1992" s="884">
        <v>43774</v>
      </c>
      <c r="B1992" s="138" t="str">
        <f>TiposLancamentos!B103</f>
        <v>Juros_Corr. Poupança</v>
      </c>
      <c r="C1992" s="771" t="s">
        <v>18231</v>
      </c>
      <c r="D1992" s="197">
        <v>0.02</v>
      </c>
      <c r="E1992" s="857"/>
      <c r="F1992" s="135"/>
      <c r="G1992" s="1040"/>
    </row>
    <row r="1993" spans="1:7">
      <c r="A1993" s="884">
        <v>43775</v>
      </c>
      <c r="B1993" s="138" t="str">
        <f>TiposLancamentos!B5</f>
        <v>Supermercado</v>
      </c>
      <c r="C1993" s="771" t="s">
        <v>7068</v>
      </c>
      <c r="D1993" s="197"/>
      <c r="E1993" s="857">
        <v>27.66</v>
      </c>
      <c r="F1993" s="135"/>
      <c r="G1993" s="1040"/>
    </row>
    <row r="1994" spans="1:7">
      <c r="A1994" s="884">
        <v>43775</v>
      </c>
      <c r="B1994" s="138" t="str">
        <f>TiposLancamentos!B9</f>
        <v>Condominio</v>
      </c>
      <c r="C1994" s="771" t="s">
        <v>18236</v>
      </c>
      <c r="D1994" s="197"/>
      <c r="E1994" s="857">
        <v>1241.4000000000001</v>
      </c>
      <c r="F1994" s="135"/>
      <c r="G1994" s="1040"/>
    </row>
    <row r="1995" spans="1:7">
      <c r="A1995" s="884">
        <v>43775</v>
      </c>
      <c r="B1995" s="138" t="str">
        <f>TiposLancamentos!B103</f>
        <v>Juros_Corr. Poupança</v>
      </c>
      <c r="C1995" s="771" t="s">
        <v>18231</v>
      </c>
      <c r="D1995" s="197">
        <v>0.16</v>
      </c>
      <c r="E1995" s="857"/>
      <c r="F1995" s="135"/>
      <c r="G1995" s="1040"/>
    </row>
    <row r="1996" spans="1:7">
      <c r="A1996" s="884">
        <v>43776</v>
      </c>
      <c r="B1996" s="138" t="str">
        <f>TiposLancamentos!B19</f>
        <v>Restaurantes</v>
      </c>
      <c r="C1996" s="771" t="s">
        <v>18237</v>
      </c>
      <c r="D1996" s="197"/>
      <c r="E1996" s="857">
        <v>118.82</v>
      </c>
      <c r="F1996" s="135"/>
      <c r="G1996" s="1040"/>
    </row>
    <row r="1997" spans="1:7">
      <c r="A1997" s="884">
        <v>43776</v>
      </c>
      <c r="B1997" s="138" t="str">
        <f>TiposLancamentos!B70</f>
        <v>Vestuário</v>
      </c>
      <c r="C1997" s="771" t="s">
        <v>18238</v>
      </c>
      <c r="D1997" s="197"/>
      <c r="E1997" s="857">
        <v>889.5</v>
      </c>
      <c r="F1997" s="135"/>
      <c r="G1997" s="1040"/>
    </row>
    <row r="1998" spans="1:7">
      <c r="A1998" s="884">
        <v>43776</v>
      </c>
      <c r="B1998" s="830" t="str">
        <f>TiposLancamentos!B62</f>
        <v>Papelaria</v>
      </c>
      <c r="C1998" s="915" t="s">
        <v>18239</v>
      </c>
      <c r="D1998" s="917"/>
      <c r="E1998" s="920">
        <v>16.899999999999999</v>
      </c>
      <c r="F1998" s="1701"/>
      <c r="G1998" s="1040"/>
    </row>
    <row r="1999" spans="1:7">
      <c r="A1999" s="884">
        <v>43776</v>
      </c>
      <c r="B1999" s="833" t="str">
        <f>TiposLancamentos!B16</f>
        <v>Cristiane</v>
      </c>
      <c r="C1999" s="916" t="s">
        <v>18240</v>
      </c>
      <c r="D1999" s="918"/>
      <c r="E1999" s="922">
        <f>F1999-E1998</f>
        <v>41.38</v>
      </c>
      <c r="F1999" s="1703">
        <v>58.28</v>
      </c>
      <c r="G1999" s="1040"/>
    </row>
    <row r="2000" spans="1:7">
      <c r="A2000" s="884">
        <v>43776</v>
      </c>
      <c r="B2000" s="138" t="str">
        <f>TiposLancamentos!B103</f>
        <v>Juros_Corr. Poupança</v>
      </c>
      <c r="C2000" s="771" t="s">
        <v>18231</v>
      </c>
      <c r="D2000" s="197">
        <v>0.14000000000000001</v>
      </c>
      <c r="E2000" s="857"/>
      <c r="F2000" s="1697"/>
      <c r="G2000" s="1040"/>
    </row>
    <row r="2001" spans="1:7">
      <c r="A2001" s="884">
        <v>43777</v>
      </c>
      <c r="B2001" s="138" t="str">
        <f>TiposLancamentos!B19</f>
        <v>Restaurantes</v>
      </c>
      <c r="C2001" s="771" t="s">
        <v>18241</v>
      </c>
      <c r="D2001" s="197"/>
      <c r="E2001" s="857">
        <v>50.4</v>
      </c>
      <c r="F2001" s="1697"/>
      <c r="G2001" s="1040"/>
    </row>
    <row r="2002" spans="1:7">
      <c r="A2002" s="884">
        <v>43777</v>
      </c>
      <c r="B2002" s="138" t="str">
        <f>TiposLancamentos!B19</f>
        <v>Restaurantes</v>
      </c>
      <c r="C2002" s="771" t="s">
        <v>18242</v>
      </c>
      <c r="D2002" s="197"/>
      <c r="E2002" s="857">
        <v>21.08</v>
      </c>
      <c r="F2002" s="1697"/>
      <c r="G2002" s="1040"/>
    </row>
    <row r="2003" spans="1:7">
      <c r="A2003" s="884">
        <v>43777</v>
      </c>
      <c r="B2003" s="138" t="str">
        <f>TiposLancamentos!B24</f>
        <v>Estacionamentos</v>
      </c>
      <c r="C2003" s="771" t="s">
        <v>3398</v>
      </c>
      <c r="D2003" s="197"/>
      <c r="E2003" s="857">
        <v>14</v>
      </c>
      <c r="F2003" s="1697"/>
      <c r="G2003" s="1040"/>
    </row>
    <row r="2004" spans="1:7">
      <c r="A2004" s="884">
        <v>43777</v>
      </c>
      <c r="B2004" s="138" t="str">
        <f>TiposLancamentos!B56</f>
        <v>Farmácia</v>
      </c>
      <c r="C2004" s="771" t="s">
        <v>18243</v>
      </c>
      <c r="D2004" s="197"/>
      <c r="E2004" s="857">
        <v>122.67</v>
      </c>
      <c r="F2004" s="1697"/>
      <c r="G2004" s="1040"/>
    </row>
    <row r="2005" spans="1:7">
      <c r="A2005" s="884">
        <v>43777</v>
      </c>
      <c r="B2005" s="138" t="str">
        <f>TiposLancamentos!B19</f>
        <v>Restaurantes</v>
      </c>
      <c r="C2005" s="771" t="s">
        <v>18244</v>
      </c>
      <c r="D2005" s="197"/>
      <c r="E2005" s="857">
        <v>253.46</v>
      </c>
      <c r="F2005" s="1697"/>
      <c r="G2005" s="1040"/>
    </row>
    <row r="2006" spans="1:7">
      <c r="A2006" s="884">
        <v>43777</v>
      </c>
      <c r="B2006" s="138" t="str">
        <f>TiposLancamentos!B103</f>
        <v>Juros_Corr. Poupança</v>
      </c>
      <c r="C2006" s="771" t="s">
        <v>18231</v>
      </c>
      <c r="D2006" s="197">
        <v>7.0000000000000007E-2</v>
      </c>
      <c r="E2006" s="857"/>
      <c r="F2006" s="1697"/>
      <c r="G2006" s="1040"/>
    </row>
    <row r="2007" spans="1:7">
      <c r="A2007" s="884">
        <v>43778</v>
      </c>
      <c r="B2007" s="138" t="str">
        <f>TiposLancamentos!B70</f>
        <v>Vestuário</v>
      </c>
      <c r="C2007" s="771" t="s">
        <v>18245</v>
      </c>
      <c r="D2007" s="197"/>
      <c r="E2007" s="857">
        <v>90</v>
      </c>
      <c r="F2007" s="1697"/>
      <c r="G2007" s="1040"/>
    </row>
    <row r="2008" spans="1:7">
      <c r="A2008" s="884">
        <v>43778</v>
      </c>
      <c r="B2008" s="138" t="str">
        <f>TiposLancamentos!B46</f>
        <v>Maçonaria</v>
      </c>
      <c r="C2008" s="771" t="s">
        <v>18246</v>
      </c>
      <c r="D2008" s="197"/>
      <c r="E2008" s="857">
        <v>26</v>
      </c>
      <c r="F2008" s="1697"/>
      <c r="G2008" s="1040"/>
    </row>
    <row r="2009" spans="1:7">
      <c r="A2009" s="884">
        <v>43778</v>
      </c>
      <c r="B2009" s="138" t="str">
        <f>TiposLancamentos!B19</f>
        <v>Restaurantes</v>
      </c>
      <c r="C2009" s="771" t="s">
        <v>18247</v>
      </c>
      <c r="D2009" s="197"/>
      <c r="E2009" s="857">
        <v>122</v>
      </c>
      <c r="F2009" s="1697"/>
      <c r="G2009" s="1040"/>
    </row>
    <row r="2010" spans="1:7">
      <c r="A2010" s="884">
        <v>43778</v>
      </c>
      <c r="B2010" s="138" t="str">
        <f>TiposLancamentos!B24</f>
        <v>Estacionamentos</v>
      </c>
      <c r="C2010" s="771" t="s">
        <v>18248</v>
      </c>
      <c r="D2010" s="197"/>
      <c r="E2010" s="857">
        <v>12</v>
      </c>
      <c r="F2010" s="1697"/>
      <c r="G2010" s="1040"/>
    </row>
    <row r="2011" spans="1:7">
      <c r="A2011" s="884">
        <v>43778</v>
      </c>
      <c r="B2011" s="138" t="str">
        <f>TiposLancamentos!B19</f>
        <v>Restaurantes</v>
      </c>
      <c r="C2011" s="771" t="s">
        <v>18249</v>
      </c>
      <c r="D2011" s="197"/>
      <c r="E2011" s="857">
        <v>43.9</v>
      </c>
      <c r="F2011" s="1697"/>
      <c r="G2011" s="1040"/>
    </row>
    <row r="2012" spans="1:7">
      <c r="A2012" s="884">
        <v>43778</v>
      </c>
      <c r="B2012" s="138" t="str">
        <f>TiposLancamentos!B24</f>
        <v>Estacionamentos</v>
      </c>
      <c r="C2012" s="771" t="s">
        <v>17576</v>
      </c>
      <c r="D2012" s="197"/>
      <c r="E2012" s="857">
        <v>14</v>
      </c>
      <c r="F2012" s="1697"/>
      <c r="G2012" s="1040"/>
    </row>
    <row r="2013" spans="1:7">
      <c r="A2013" s="884">
        <v>43778</v>
      </c>
      <c r="B2013" s="138" t="str">
        <f>TiposLancamentos!B5</f>
        <v>Supermercado</v>
      </c>
      <c r="C2013" s="771" t="s">
        <v>6234</v>
      </c>
      <c r="D2013" s="197"/>
      <c r="E2013" s="857">
        <v>299.04000000000002</v>
      </c>
      <c r="F2013" s="1697"/>
      <c r="G2013" s="1040"/>
    </row>
    <row r="2014" spans="1:7">
      <c r="A2014" s="884">
        <v>43779</v>
      </c>
      <c r="B2014" s="138" t="str">
        <f>TiposLancamentos!B20</f>
        <v>Saques</v>
      </c>
      <c r="C2014" s="771" t="s">
        <v>4368</v>
      </c>
      <c r="D2014" s="197"/>
      <c r="E2014" s="857">
        <v>100</v>
      </c>
      <c r="F2014" s="1697"/>
      <c r="G2014" s="1040"/>
    </row>
    <row r="2015" spans="1:7">
      <c r="A2015" s="884">
        <v>43779</v>
      </c>
      <c r="B2015" s="138" t="str">
        <f>TiposLancamentos!B5</f>
        <v>Supermercado</v>
      </c>
      <c r="C2015" s="771" t="s">
        <v>6234</v>
      </c>
      <c r="D2015" s="197"/>
      <c r="E2015" s="857">
        <v>40.54</v>
      </c>
      <c r="F2015" s="1697"/>
      <c r="G2015" s="1040"/>
    </row>
    <row r="2016" spans="1:7">
      <c r="A2016" s="884">
        <v>43780</v>
      </c>
      <c r="B2016" s="830" t="str">
        <f>TiposLancamentos!B8</f>
        <v>Aluguel</v>
      </c>
      <c r="C2016" s="915" t="s">
        <v>6163</v>
      </c>
      <c r="D2016" s="917"/>
      <c r="E2016" s="920">
        <v>2015.3</v>
      </c>
      <c r="F2016" s="1701"/>
      <c r="G2016" s="1040"/>
    </row>
    <row r="2017" spans="1:7">
      <c r="A2017" s="884">
        <v>43780</v>
      </c>
      <c r="B2017" s="825" t="str">
        <f>TiposLancamentos!B12</f>
        <v>IPTU</v>
      </c>
      <c r="C2017" s="88" t="s">
        <v>6876</v>
      </c>
      <c r="D2017" s="828"/>
      <c r="E2017" s="931">
        <v>149.81</v>
      </c>
      <c r="F2017" s="1702"/>
      <c r="G2017" s="1040"/>
    </row>
    <row r="2018" spans="1:7" ht="12.75" customHeight="1">
      <c r="A2018" s="884">
        <v>43780</v>
      </c>
      <c r="B2018" s="833" t="str">
        <f>TiposLancamentos!B34</f>
        <v>Seguros</v>
      </c>
      <c r="C2018" s="916" t="s">
        <v>17748</v>
      </c>
      <c r="D2018" s="918"/>
      <c r="E2018" s="922">
        <f>F2018-(E2016+E2017)</f>
        <v>294.48999999999978</v>
      </c>
      <c r="F2018" s="1703">
        <v>2459.6</v>
      </c>
      <c r="G2018" s="1040"/>
    </row>
    <row r="2019" spans="1:7">
      <c r="A2019" s="884">
        <v>43780</v>
      </c>
      <c r="B2019" s="138" t="str">
        <f>TiposLancamentos!B19</f>
        <v>Restaurantes</v>
      </c>
      <c r="C2019" s="771" t="s">
        <v>1962</v>
      </c>
      <c r="D2019" s="197"/>
      <c r="E2019" s="857">
        <v>37.74</v>
      </c>
      <c r="F2019" s="1697"/>
      <c r="G2019" s="1040"/>
    </row>
    <row r="2020" spans="1:7">
      <c r="A2020" s="884">
        <v>43780</v>
      </c>
      <c r="B2020" s="138" t="str">
        <f>TiposLancamentos!B19</f>
        <v>Restaurantes</v>
      </c>
      <c r="C2020" s="771" t="s">
        <v>7215</v>
      </c>
      <c r="D2020" s="197"/>
      <c r="E2020" s="857">
        <v>5</v>
      </c>
      <c r="F2020" s="1697"/>
      <c r="G2020" s="1040"/>
    </row>
    <row r="2021" spans="1:7">
      <c r="A2021" s="884">
        <v>43780</v>
      </c>
      <c r="B2021" s="138" t="str">
        <f>TiposLancamentos!B54</f>
        <v>Metro</v>
      </c>
      <c r="C2021" s="771" t="s">
        <v>18250</v>
      </c>
      <c r="D2021" s="197"/>
      <c r="E2021" s="857">
        <v>16</v>
      </c>
      <c r="F2021" s="1697"/>
      <c r="G2021" s="1040"/>
    </row>
    <row r="2022" spans="1:7">
      <c r="A2022" s="884">
        <v>43780</v>
      </c>
      <c r="B2022" s="138" t="str">
        <f>TiposLancamentos!B103</f>
        <v>Juros_Corr. Poupança</v>
      </c>
      <c r="C2022" s="771" t="s">
        <v>18231</v>
      </c>
      <c r="D2022" s="197">
        <v>4.83</v>
      </c>
      <c r="E2022" s="857"/>
      <c r="F2022" s="1697"/>
      <c r="G2022" s="1040"/>
    </row>
    <row r="2023" spans="1:7">
      <c r="A2023" s="884">
        <v>43781</v>
      </c>
      <c r="B2023" s="138" t="str">
        <f>TiposLancamentos!B19</f>
        <v>Restaurantes</v>
      </c>
      <c r="C2023" s="771" t="s">
        <v>18251</v>
      </c>
      <c r="D2023" s="197"/>
      <c r="E2023" s="857">
        <v>10.4</v>
      </c>
      <c r="F2023" s="1697"/>
      <c r="G2023" s="1040"/>
    </row>
    <row r="2024" spans="1:7">
      <c r="A2024" s="884">
        <v>43781</v>
      </c>
      <c r="B2024" s="138" t="str">
        <f>TiposLancamentos!B19</f>
        <v>Restaurantes</v>
      </c>
      <c r="C2024" s="771" t="s">
        <v>18252</v>
      </c>
      <c r="D2024" s="197"/>
      <c r="E2024" s="857">
        <v>38.299999999999997</v>
      </c>
      <c r="F2024" s="1697"/>
      <c r="G2024" s="1040"/>
    </row>
    <row r="2025" spans="1:7">
      <c r="A2025" s="884">
        <v>43781</v>
      </c>
      <c r="B2025" s="138" t="str">
        <f>TiposLancamentos!B19</f>
        <v>Restaurantes</v>
      </c>
      <c r="C2025" s="771" t="s">
        <v>18253</v>
      </c>
      <c r="D2025" s="197"/>
      <c r="E2025" s="857">
        <v>17.5</v>
      </c>
      <c r="F2025" s="1697"/>
      <c r="G2025" s="1040"/>
    </row>
    <row r="2026" spans="1:7">
      <c r="A2026" s="884">
        <v>43782</v>
      </c>
      <c r="B2026" s="138" t="str">
        <f>TiposLancamentos!B19</f>
        <v>Restaurantes</v>
      </c>
      <c r="C2026" s="771" t="s">
        <v>1962</v>
      </c>
      <c r="D2026" s="197"/>
      <c r="E2026" s="857">
        <v>29.16</v>
      </c>
      <c r="F2026" s="1697"/>
      <c r="G2026" s="1040"/>
    </row>
    <row r="2027" spans="1:7">
      <c r="A2027" s="884">
        <v>43782</v>
      </c>
      <c r="B2027" s="138" t="str">
        <f>TiposLancamentos!B19</f>
        <v>Restaurantes</v>
      </c>
      <c r="C2027" s="771" t="s">
        <v>18254</v>
      </c>
      <c r="D2027" s="197"/>
      <c r="E2027" s="857">
        <v>16.600000000000001</v>
      </c>
      <c r="F2027" s="1697"/>
      <c r="G2027" s="1040"/>
    </row>
    <row r="2028" spans="1:7">
      <c r="A2028" s="884">
        <v>43782</v>
      </c>
      <c r="B2028" s="138" t="str">
        <f>TiposLancamentos!B16</f>
        <v>Cristiane</v>
      </c>
      <c r="C2028" s="771" t="s">
        <v>18255</v>
      </c>
      <c r="D2028" s="197"/>
      <c r="E2028" s="857">
        <v>227</v>
      </c>
      <c r="F2028" s="1697"/>
      <c r="G2028" s="1040"/>
    </row>
    <row r="2029" spans="1:7">
      <c r="A2029" s="884">
        <v>43783</v>
      </c>
      <c r="B2029" s="138" t="str">
        <f>TiposLancamentos!B19</f>
        <v>Restaurantes</v>
      </c>
      <c r="C2029" s="771" t="s">
        <v>18256</v>
      </c>
      <c r="D2029" s="197"/>
      <c r="E2029" s="857">
        <v>33.799999999999997</v>
      </c>
      <c r="F2029" s="1697"/>
      <c r="G2029" s="1040"/>
    </row>
    <row r="2030" spans="1:7">
      <c r="A2030" s="884">
        <v>43783</v>
      </c>
      <c r="B2030" s="138" t="str">
        <f>TiposLancamentos!B19</f>
        <v>Restaurantes</v>
      </c>
      <c r="C2030" s="771" t="s">
        <v>18257</v>
      </c>
      <c r="D2030" s="197"/>
      <c r="E2030" s="857">
        <v>20.5</v>
      </c>
      <c r="F2030" s="1697"/>
      <c r="G2030" s="1040"/>
    </row>
    <row r="2031" spans="1:7">
      <c r="A2031" s="884">
        <v>43784</v>
      </c>
      <c r="B2031" s="830" t="str">
        <f>TiposLancamentos!B33</f>
        <v>Pedágios</v>
      </c>
      <c r="C2031" s="915" t="s">
        <v>5392</v>
      </c>
      <c r="D2031" s="917"/>
      <c r="E2031" s="920">
        <v>169.68</v>
      </c>
      <c r="F2031" s="1701"/>
      <c r="G2031" s="1040"/>
    </row>
    <row r="2032" spans="1:7">
      <c r="A2032" s="884">
        <v>43784</v>
      </c>
      <c r="B2032" s="825" t="str">
        <f>TiposLancamentos!B24</f>
        <v>Estacionamentos</v>
      </c>
      <c r="C2032" s="88" t="s">
        <v>7366</v>
      </c>
      <c r="D2032" s="828"/>
      <c r="E2032" s="931">
        <v>42</v>
      </c>
      <c r="F2032" s="1702"/>
      <c r="G2032" s="1040"/>
    </row>
    <row r="2033" spans="1:7">
      <c r="A2033" s="884">
        <v>43784</v>
      </c>
      <c r="B2033" s="833" t="str">
        <f>TiposLancamentos!B24</f>
        <v>Estacionamentos</v>
      </c>
      <c r="C2033" s="916" t="s">
        <v>6297</v>
      </c>
      <c r="D2033" s="918"/>
      <c r="E2033" s="922">
        <v>36</v>
      </c>
      <c r="F2033" s="1703">
        <f>SUM(E2031:E2033)</f>
        <v>247.68</v>
      </c>
      <c r="G2033" s="1040"/>
    </row>
    <row r="2034" spans="1:7">
      <c r="A2034" s="884">
        <v>43784</v>
      </c>
      <c r="B2034" s="138" t="str">
        <f>TiposLancamentos!B16</f>
        <v>Cristiane</v>
      </c>
      <c r="C2034" s="771" t="s">
        <v>7367</v>
      </c>
      <c r="D2034" s="197"/>
      <c r="E2034" s="857">
        <v>73.98</v>
      </c>
      <c r="F2034" s="1697"/>
      <c r="G2034" s="1040"/>
    </row>
    <row r="2035" spans="1:7">
      <c r="A2035" s="884">
        <v>43784</v>
      </c>
      <c r="B2035" s="138" t="str">
        <f>TiposLancamentos!B2</f>
        <v>Telefonia</v>
      </c>
      <c r="C2035" s="771" t="s">
        <v>7368</v>
      </c>
      <c r="D2035" s="197"/>
      <c r="E2035" s="857">
        <v>73.989999999999995</v>
      </c>
      <c r="F2035" s="1697"/>
      <c r="G2035" s="1040"/>
    </row>
    <row r="2036" spans="1:7">
      <c r="A2036" s="884">
        <v>43784</v>
      </c>
      <c r="B2036" s="138"/>
      <c r="C2036" s="771" t="s">
        <v>1868</v>
      </c>
      <c r="D2036" s="197"/>
      <c r="E2036" s="857"/>
      <c r="F2036" s="1697"/>
      <c r="G2036" s="1040"/>
    </row>
    <row r="2037" spans="1:7">
      <c r="A2037" s="884">
        <v>43784</v>
      </c>
      <c r="B2037" s="830" t="str">
        <f>TiposLancamentos!B35</f>
        <v>Tv à Cabo</v>
      </c>
      <c r="C2037" s="915" t="s">
        <v>5834</v>
      </c>
      <c r="D2037" s="917"/>
      <c r="E2037" s="920">
        <v>140.04</v>
      </c>
      <c r="F2037" s="1701"/>
      <c r="G2037" s="1040"/>
    </row>
    <row r="2038" spans="1:7">
      <c r="A2038" s="884">
        <v>43784</v>
      </c>
      <c r="B2038" s="825" t="str">
        <f>TiposLancamentos!B3</f>
        <v>Internet</v>
      </c>
      <c r="C2038" s="88" t="s">
        <v>5835</v>
      </c>
      <c r="D2038" s="828"/>
      <c r="E2038" s="931">
        <v>102.47</v>
      </c>
      <c r="F2038" s="1702"/>
      <c r="G2038" s="1040"/>
    </row>
    <row r="2039" spans="1:7">
      <c r="A2039" s="884">
        <v>43784</v>
      </c>
      <c r="B2039" s="833" t="str">
        <f>TiposLancamentos!B2</f>
        <v>Telefonia</v>
      </c>
      <c r="C2039" s="916" t="s">
        <v>7210</v>
      </c>
      <c r="D2039" s="918"/>
      <c r="E2039" s="922">
        <v>0</v>
      </c>
      <c r="F2039" s="1703">
        <f>SUM(E2037:E2039)</f>
        <v>242.51</v>
      </c>
      <c r="G2039" s="1040"/>
    </row>
    <row r="2040" spans="1:7">
      <c r="A2040" s="884">
        <v>43784</v>
      </c>
      <c r="B2040" s="138" t="str">
        <f>TiposLancamentos!B19</f>
        <v>Restaurantes</v>
      </c>
      <c r="C2040" s="771" t="s">
        <v>7784</v>
      </c>
      <c r="D2040" s="197"/>
      <c r="E2040" s="857">
        <v>134.97</v>
      </c>
      <c r="F2040" s="1697"/>
      <c r="G2040" s="1040"/>
    </row>
    <row r="2041" spans="1:7">
      <c r="A2041" s="884">
        <v>43784</v>
      </c>
      <c r="B2041" s="138" t="str">
        <f>TiposLancamentos!B5</f>
        <v>Supermercado</v>
      </c>
      <c r="C2041" s="771" t="s">
        <v>18258</v>
      </c>
      <c r="D2041" s="197"/>
      <c r="E2041" s="857">
        <v>42.77</v>
      </c>
      <c r="F2041" s="1697"/>
      <c r="G2041" s="1040"/>
    </row>
    <row r="2042" spans="1:7">
      <c r="A2042" s="884">
        <v>43784</v>
      </c>
      <c r="B2042" s="138" t="str">
        <f>TiposLancamentos!B5</f>
        <v>Supermercado</v>
      </c>
      <c r="C2042" s="771" t="s">
        <v>5844</v>
      </c>
      <c r="D2042" s="197"/>
      <c r="E2042" s="857">
        <v>176.21</v>
      </c>
      <c r="F2042" s="1697"/>
      <c r="G2042" s="1040"/>
    </row>
    <row r="2043" spans="1:7">
      <c r="A2043" s="884">
        <v>43785</v>
      </c>
      <c r="B2043" s="138" t="str">
        <f>TiposLancamentos!B19</f>
        <v>Restaurantes</v>
      </c>
      <c r="C2043" s="771" t="s">
        <v>3272</v>
      </c>
      <c r="D2043" s="197"/>
      <c r="E2043" s="857">
        <v>28</v>
      </c>
      <c r="F2043" s="1697"/>
      <c r="G2043" s="1040"/>
    </row>
    <row r="2044" spans="1:7">
      <c r="A2044" s="884">
        <v>43785</v>
      </c>
      <c r="B2044" s="138" t="str">
        <f>TiposLancamentos!B46</f>
        <v>Maçonaria</v>
      </c>
      <c r="C2044" s="771" t="s">
        <v>18259</v>
      </c>
      <c r="D2044" s="197"/>
      <c r="E2044" s="857">
        <v>180</v>
      </c>
      <c r="F2044" s="1697"/>
      <c r="G2044" s="1040"/>
    </row>
    <row r="2045" spans="1:7">
      <c r="A2045" s="884">
        <v>43786</v>
      </c>
      <c r="B2045" s="138" t="str">
        <f>TiposLancamentos!B19</f>
        <v>Restaurantes</v>
      </c>
      <c r="C2045" s="771" t="s">
        <v>6565</v>
      </c>
      <c r="D2045" s="197"/>
      <c r="E2045" s="857">
        <v>59.4</v>
      </c>
      <c r="F2045" s="1697"/>
      <c r="G2045" s="1040"/>
    </row>
    <row r="2046" spans="1:7">
      <c r="A2046" s="884">
        <v>43786</v>
      </c>
      <c r="B2046" s="138" t="str">
        <f>TiposLancamentos!B20</f>
        <v>Saques</v>
      </c>
      <c r="C2046" s="771" t="s">
        <v>4681</v>
      </c>
      <c r="D2046" s="197"/>
      <c r="E2046" s="857">
        <v>60</v>
      </c>
      <c r="F2046" s="1697"/>
      <c r="G2046" s="1040"/>
    </row>
    <row r="2047" spans="1:7">
      <c r="A2047" s="884">
        <v>43786</v>
      </c>
      <c r="B2047" s="138" t="str">
        <f>TiposLancamentos!B5</f>
        <v>Supermercado</v>
      </c>
      <c r="C2047" s="771" t="s">
        <v>6234</v>
      </c>
      <c r="D2047" s="197"/>
      <c r="E2047" s="857">
        <v>24.02</v>
      </c>
      <c r="F2047" s="1697"/>
      <c r="G2047" s="1040"/>
    </row>
    <row r="2048" spans="1:7">
      <c r="A2048" s="884">
        <v>43787</v>
      </c>
      <c r="B2048" s="138" t="str">
        <f>TiposLancamentos!B17</f>
        <v>GATO</v>
      </c>
      <c r="C2048" s="771" t="s">
        <v>18260</v>
      </c>
      <c r="D2048" s="197"/>
      <c r="E2048" s="857">
        <v>223.8</v>
      </c>
      <c r="F2048" s="1697"/>
      <c r="G2048" s="1040"/>
    </row>
    <row r="2049" spans="1:7">
      <c r="A2049" s="884">
        <v>43787</v>
      </c>
      <c r="B2049" s="138" t="str">
        <f>TiposLancamentos!B5</f>
        <v>Supermercado</v>
      </c>
      <c r="C2049" s="771" t="s">
        <v>6234</v>
      </c>
      <c r="D2049" s="197"/>
      <c r="E2049" s="857">
        <v>197.13</v>
      </c>
      <c r="F2049" s="1697"/>
      <c r="G2049" s="1040"/>
    </row>
    <row r="2050" spans="1:7">
      <c r="A2050" s="884">
        <v>43787</v>
      </c>
      <c r="B2050" s="138" t="str">
        <f>TiposLancamentos!B21</f>
        <v>Transf. Poupanca</v>
      </c>
      <c r="C2050" s="771" t="s">
        <v>18261</v>
      </c>
      <c r="D2050" s="197"/>
      <c r="E2050" s="857">
        <v>50</v>
      </c>
      <c r="F2050" s="1697"/>
      <c r="G2050" s="1040"/>
    </row>
    <row r="2051" spans="1:7">
      <c r="A2051" s="884">
        <v>43787</v>
      </c>
      <c r="B2051" s="138" t="str">
        <f>TiposLancamentos!B103</f>
        <v>Juros_Corr. Poupança</v>
      </c>
      <c r="C2051" s="771" t="s">
        <v>18231</v>
      </c>
      <c r="D2051" s="197">
        <v>0.01</v>
      </c>
      <c r="E2051" s="857"/>
      <c r="F2051" s="1697"/>
      <c r="G2051" s="1040"/>
    </row>
    <row r="2052" spans="1:7">
      <c r="A2052" s="884">
        <v>43788</v>
      </c>
      <c r="B2052" s="138" t="str">
        <f>TiposLancamentos!B19</f>
        <v>Restaurantes</v>
      </c>
      <c r="C2052" s="771" t="s">
        <v>7340</v>
      </c>
      <c r="D2052" s="197"/>
      <c r="E2052" s="857">
        <v>5.9</v>
      </c>
      <c r="F2052" s="1697"/>
      <c r="G2052" s="1040"/>
    </row>
    <row r="2053" spans="1:7">
      <c r="A2053" s="884">
        <v>43788</v>
      </c>
      <c r="B2053" s="138" t="str">
        <f>TiposLancamentos!B19</f>
        <v>Restaurantes</v>
      </c>
      <c r="C2053" s="771" t="s">
        <v>18262</v>
      </c>
      <c r="D2053" s="197"/>
      <c r="E2053" s="857">
        <v>27.23</v>
      </c>
      <c r="F2053" s="1697"/>
      <c r="G2053" s="1040"/>
    </row>
    <row r="2054" spans="1:7">
      <c r="A2054" s="884">
        <v>43788</v>
      </c>
      <c r="B2054" s="138" t="str">
        <f>TiposLancamentos!B19</f>
        <v>Restaurantes</v>
      </c>
      <c r="C2054" s="771" t="s">
        <v>18263</v>
      </c>
      <c r="D2054" s="197"/>
      <c r="E2054" s="857">
        <v>8</v>
      </c>
      <c r="F2054" s="1697"/>
      <c r="G2054" s="1040"/>
    </row>
    <row r="2055" spans="1:7">
      <c r="A2055" s="884">
        <v>43788</v>
      </c>
      <c r="B2055" s="138" t="str">
        <f>TiposLancamentos!B19</f>
        <v>Restaurantes</v>
      </c>
      <c r="C2055" s="771" t="s">
        <v>18263</v>
      </c>
      <c r="D2055" s="197"/>
      <c r="E2055" s="857">
        <v>17.5</v>
      </c>
      <c r="F2055" s="1697"/>
      <c r="G2055" s="1040"/>
    </row>
    <row r="2056" spans="1:7">
      <c r="A2056" s="884">
        <v>43789</v>
      </c>
      <c r="B2056" s="138" t="str">
        <f>TiposLancamentos!B19</f>
        <v>Restaurantes</v>
      </c>
      <c r="C2056" s="771" t="s">
        <v>18264</v>
      </c>
      <c r="D2056" s="197"/>
      <c r="E2056" s="857">
        <v>60</v>
      </c>
      <c r="F2056" s="1697"/>
      <c r="G2056" s="1040"/>
    </row>
    <row r="2057" spans="1:7">
      <c r="A2057" s="884">
        <v>43789</v>
      </c>
      <c r="B2057" s="830" t="str">
        <f>TiposLancamentos!B16</f>
        <v>Cristiane</v>
      </c>
      <c r="C2057" s="915" t="s">
        <v>18265</v>
      </c>
      <c r="D2057" s="917"/>
      <c r="E2057" s="920">
        <v>989.99</v>
      </c>
      <c r="F2057" s="1701"/>
      <c r="G2057" s="1040"/>
    </row>
    <row r="2058" spans="1:7">
      <c r="A2058" s="884">
        <v>43789</v>
      </c>
      <c r="B2058" s="1320" t="str">
        <f>TiposLancamentos!B71</f>
        <v>Itens Pessoais</v>
      </c>
      <c r="C2058" s="916" t="s">
        <v>18266</v>
      </c>
      <c r="D2058" s="918"/>
      <c r="E2058" s="922">
        <f>F2058-E2057</f>
        <v>429.98</v>
      </c>
      <c r="F2058" s="1703">
        <v>1419.97</v>
      </c>
      <c r="G2058" s="1040"/>
    </row>
    <row r="2059" spans="1:7">
      <c r="A2059" s="884">
        <v>43789</v>
      </c>
      <c r="B2059" s="1319" t="str">
        <f>TiposLancamentos!B19</f>
        <v>Restaurantes</v>
      </c>
      <c r="C2059" s="771" t="s">
        <v>10671</v>
      </c>
      <c r="D2059" s="197"/>
      <c r="E2059" s="857">
        <v>24.34</v>
      </c>
      <c r="F2059" s="1697"/>
      <c r="G2059" s="1040"/>
    </row>
    <row r="2060" spans="1:7">
      <c r="A2060" s="884">
        <v>43790</v>
      </c>
      <c r="B2060" s="138" t="str">
        <f>TiposLancamentos!B103</f>
        <v>Juros_Corr. Poupança</v>
      </c>
      <c r="C2060" s="771" t="s">
        <v>18231</v>
      </c>
      <c r="D2060" s="197">
        <v>0.02</v>
      </c>
      <c r="E2060" s="857"/>
      <c r="F2060" s="1697"/>
      <c r="G2060" s="1040"/>
    </row>
    <row r="2061" spans="1:7">
      <c r="A2061" s="884">
        <v>43790</v>
      </c>
      <c r="B2061" s="138" t="str">
        <f>TiposLancamentos!B19</f>
        <v>Restaurantes</v>
      </c>
      <c r="C2061" s="771" t="s">
        <v>18267</v>
      </c>
      <c r="D2061" s="197"/>
      <c r="E2061" s="857">
        <v>37.340000000000003</v>
      </c>
      <c r="F2061" s="1697"/>
      <c r="G2061" s="1040"/>
    </row>
    <row r="2062" spans="1:7">
      <c r="A2062" s="884">
        <v>43790</v>
      </c>
      <c r="B2062" s="138" t="str">
        <f>TiposLancamentos!B19</f>
        <v>Restaurantes</v>
      </c>
      <c r="C2062" s="771" t="s">
        <v>7068</v>
      </c>
      <c r="D2062" s="197"/>
      <c r="E2062" s="857">
        <v>75.88</v>
      </c>
      <c r="F2062" s="1697"/>
      <c r="G2062" s="1040"/>
    </row>
    <row r="2063" spans="1:7">
      <c r="A2063" s="884">
        <v>43791</v>
      </c>
      <c r="B2063" s="138" t="str">
        <f>TiposLancamentos!B19</f>
        <v>Restaurantes</v>
      </c>
      <c r="C2063" s="771" t="s">
        <v>2023</v>
      </c>
      <c r="D2063" s="197"/>
      <c r="E2063" s="857">
        <v>5.9</v>
      </c>
      <c r="F2063" s="1697"/>
      <c r="G2063" s="1040"/>
    </row>
    <row r="2064" spans="1:7">
      <c r="A2064" s="884">
        <v>43791</v>
      </c>
      <c r="B2064" s="138" t="str">
        <f>TiposLancamentos!B32</f>
        <v>Clinicas e tratamentos</v>
      </c>
      <c r="C2064" s="771" t="s">
        <v>6248</v>
      </c>
      <c r="D2064" s="197"/>
      <c r="E2064" s="857">
        <v>40</v>
      </c>
      <c r="F2064" s="1697"/>
      <c r="G2064" s="1040"/>
    </row>
    <row r="2065" spans="1:7">
      <c r="A2065" s="884">
        <v>43791</v>
      </c>
      <c r="B2065" s="138" t="str">
        <f>TiposLancamentos!B16</f>
        <v>Cristiane</v>
      </c>
      <c r="C2065" s="771" t="s">
        <v>18268</v>
      </c>
      <c r="D2065" s="197"/>
      <c r="E2065" s="857">
        <v>370</v>
      </c>
      <c r="F2065" s="1697"/>
      <c r="G2065" s="1040"/>
    </row>
    <row r="2066" spans="1:7">
      <c r="A2066" s="884">
        <v>43791</v>
      </c>
      <c r="B2066" s="138" t="str">
        <f>TiposLancamentos!B19</f>
        <v>Restaurantes</v>
      </c>
      <c r="C2066" s="771" t="s">
        <v>18269</v>
      </c>
      <c r="D2066" s="197"/>
      <c r="E2066" s="857">
        <v>30</v>
      </c>
      <c r="F2066" s="1697"/>
      <c r="G2066" s="1040"/>
    </row>
    <row r="2067" spans="1:7">
      <c r="A2067" s="884">
        <v>43791</v>
      </c>
      <c r="B2067" s="138" t="str">
        <f>TiposLancamentos!B19</f>
        <v>Restaurantes</v>
      </c>
      <c r="C2067" s="771" t="s">
        <v>7215</v>
      </c>
      <c r="D2067" s="197"/>
      <c r="E2067" s="857">
        <v>4</v>
      </c>
      <c r="F2067" s="1697"/>
      <c r="G2067" s="1040"/>
    </row>
    <row r="2068" spans="1:7">
      <c r="A2068" s="884">
        <v>43791</v>
      </c>
      <c r="B2068" s="138" t="str">
        <f>TiposLancamentos!B19</f>
        <v>Restaurantes</v>
      </c>
      <c r="C2068" s="771" t="s">
        <v>7215</v>
      </c>
      <c r="D2068" s="197"/>
      <c r="E2068" s="857">
        <v>5</v>
      </c>
      <c r="F2068" s="1697"/>
      <c r="G2068" s="1040"/>
    </row>
    <row r="2069" spans="1:7">
      <c r="A2069" s="884">
        <v>43791</v>
      </c>
      <c r="B2069" s="138" t="str">
        <f>TiposLancamentos!B103</f>
        <v>Juros_Corr. Poupança</v>
      </c>
      <c r="C2069" s="771" t="s">
        <v>18231</v>
      </c>
      <c r="D2069" s="197">
        <v>0.01</v>
      </c>
      <c r="E2069" s="857"/>
      <c r="F2069" s="135"/>
      <c r="G2069" s="1040"/>
    </row>
    <row r="2070" spans="1:7">
      <c r="A2070" s="884">
        <v>43792</v>
      </c>
      <c r="B2070" s="138" t="str">
        <f>TiposLancamentos!B19</f>
        <v>Restaurantes</v>
      </c>
      <c r="C2070" s="771" t="s">
        <v>18270</v>
      </c>
      <c r="D2070" s="197"/>
      <c r="E2070" s="857">
        <v>76.900000000000006</v>
      </c>
      <c r="F2070" s="135"/>
      <c r="G2070" s="1040"/>
    </row>
    <row r="2071" spans="1:7">
      <c r="A2071" s="884">
        <v>43792</v>
      </c>
      <c r="B2071" s="138" t="str">
        <f>TiposLancamentos!B16</f>
        <v>Cristiane</v>
      </c>
      <c r="C2071" s="771" t="s">
        <v>18271</v>
      </c>
      <c r="D2071" s="197"/>
      <c r="E2071" s="857">
        <v>14.5</v>
      </c>
      <c r="F2071" s="135"/>
      <c r="G2071" s="1040"/>
    </row>
    <row r="2072" spans="1:7">
      <c r="A2072" s="884">
        <v>43792</v>
      </c>
      <c r="B2072" s="138" t="str">
        <f>TiposLancamentos!B19</f>
        <v>Restaurantes</v>
      </c>
      <c r="C2072" s="771" t="s">
        <v>7894</v>
      </c>
      <c r="D2072" s="197"/>
      <c r="E2072" s="857">
        <v>22.42</v>
      </c>
      <c r="F2072" s="135"/>
      <c r="G2072" s="1040"/>
    </row>
    <row r="2073" spans="1:7">
      <c r="A2073" s="884">
        <v>43792</v>
      </c>
      <c r="B2073" s="138" t="str">
        <f>TiposLancamentos!B24</f>
        <v>Estacionamentos</v>
      </c>
      <c r="C2073" s="771" t="s">
        <v>3398</v>
      </c>
      <c r="D2073" s="197"/>
      <c r="E2073" s="857">
        <v>11</v>
      </c>
      <c r="F2073" s="135"/>
      <c r="G2073" s="1040"/>
    </row>
    <row r="2074" spans="1:7">
      <c r="A2074" s="884">
        <v>43793</v>
      </c>
      <c r="B2074" s="138" t="str">
        <f>TiposLancamentos!B19</f>
        <v>Restaurantes</v>
      </c>
      <c r="C2074" s="771" t="s">
        <v>2875</v>
      </c>
      <c r="D2074" s="197"/>
      <c r="E2074" s="857">
        <v>35.700000000000003</v>
      </c>
      <c r="F2074" s="135"/>
      <c r="G2074" s="1040"/>
    </row>
    <row r="2075" spans="1:7">
      <c r="A2075" s="884">
        <v>43793</v>
      </c>
      <c r="B2075" s="138" t="str">
        <f>TiposLancamentos!B19</f>
        <v>Restaurantes</v>
      </c>
      <c r="C2075" s="771" t="s">
        <v>18272</v>
      </c>
      <c r="D2075" s="197"/>
      <c r="E2075" s="857">
        <v>120.43</v>
      </c>
      <c r="F2075" s="135"/>
      <c r="G2075" s="1040"/>
    </row>
    <row r="2076" spans="1:7">
      <c r="A2076" s="884">
        <v>43793</v>
      </c>
      <c r="B2076" s="138" t="str">
        <f>TiposLancamentos!B22</f>
        <v>Combustivel</v>
      </c>
      <c r="C2076" s="771" t="s">
        <v>18273</v>
      </c>
      <c r="D2076" s="197"/>
      <c r="E2076" s="857">
        <v>50</v>
      </c>
      <c r="F2076" s="135"/>
      <c r="G2076" s="1040"/>
    </row>
    <row r="2077" spans="1:7">
      <c r="A2077" s="884">
        <v>43793</v>
      </c>
      <c r="B2077" s="138" t="str">
        <f>TiposLancamentos!B5</f>
        <v>Supermercado</v>
      </c>
      <c r="C2077" s="771" t="s">
        <v>6234</v>
      </c>
      <c r="D2077" s="197"/>
      <c r="E2077" s="857">
        <v>97.27</v>
      </c>
      <c r="F2077" s="135"/>
      <c r="G2077" s="1040"/>
    </row>
    <row r="2078" spans="1:7">
      <c r="A2078" s="884">
        <v>43794</v>
      </c>
      <c r="B2078" s="138" t="str">
        <f>TiposLancamentos!B19</f>
        <v>Restaurantes</v>
      </c>
      <c r="C2078" s="771" t="s">
        <v>1962</v>
      </c>
      <c r="D2078" s="197"/>
      <c r="E2078" s="857">
        <v>35.549999999999997</v>
      </c>
      <c r="F2078" s="135"/>
      <c r="G2078" s="1040"/>
    </row>
    <row r="2079" spans="1:7">
      <c r="A2079" s="884">
        <v>43794</v>
      </c>
      <c r="B2079" s="138" t="str">
        <f>TiposLancamentos!B20</f>
        <v>Saques</v>
      </c>
      <c r="C2079" s="771" t="s">
        <v>3604</v>
      </c>
      <c r="D2079" s="197"/>
      <c r="E2079" s="857">
        <v>60</v>
      </c>
      <c r="F2079" s="135"/>
      <c r="G2079" s="1040"/>
    </row>
    <row r="2080" spans="1:7">
      <c r="A2080" s="884">
        <v>43794</v>
      </c>
      <c r="B2080" s="138" t="str">
        <f>TiposLancamentos!B56</f>
        <v>Farmácia</v>
      </c>
      <c r="C2080" s="771" t="s">
        <v>18274</v>
      </c>
      <c r="D2080" s="197"/>
      <c r="E2080" s="857">
        <v>68.099999999999994</v>
      </c>
      <c r="F2080" s="135"/>
      <c r="G2080" s="1040"/>
    </row>
    <row r="2081" spans="1:7">
      <c r="A2081" s="884">
        <v>43794</v>
      </c>
      <c r="B2081" s="138" t="str">
        <f>TiposLancamentos!B103</f>
        <v>Juros_Corr. Poupança</v>
      </c>
      <c r="C2081" s="771" t="s">
        <v>18231</v>
      </c>
      <c r="D2081" s="197">
        <v>0.02</v>
      </c>
      <c r="E2081" s="857"/>
      <c r="F2081" s="135"/>
      <c r="G2081" s="1040"/>
    </row>
    <row r="2082" spans="1:7">
      <c r="A2082" s="884">
        <v>43795</v>
      </c>
      <c r="B2082" s="138" t="str">
        <f>TiposLancamentos!B19</f>
        <v>Restaurantes</v>
      </c>
      <c r="C2082" s="771" t="s">
        <v>1962</v>
      </c>
      <c r="D2082" s="197"/>
      <c r="E2082" s="857">
        <v>19.899999999999999</v>
      </c>
      <c r="F2082" s="135"/>
      <c r="G2082" s="1040"/>
    </row>
    <row r="2083" spans="1:7">
      <c r="A2083" s="884">
        <v>43795</v>
      </c>
      <c r="B2083" s="138" t="str">
        <f>TiposLancamentos!B19</f>
        <v>Restaurantes</v>
      </c>
      <c r="C2083" s="771" t="s">
        <v>14787</v>
      </c>
      <c r="D2083" s="197"/>
      <c r="E2083" s="857">
        <v>17.5</v>
      </c>
      <c r="F2083" s="135"/>
      <c r="G2083" s="1040"/>
    </row>
    <row r="2084" spans="1:7">
      <c r="A2084" s="884">
        <v>43795</v>
      </c>
      <c r="B2084" s="138" t="str">
        <f>TiposLancamentos!B24</f>
        <v>Estacionamentos</v>
      </c>
      <c r="C2084" s="771" t="s">
        <v>18275</v>
      </c>
      <c r="D2084" s="197"/>
      <c r="E2084" s="857">
        <v>25</v>
      </c>
      <c r="F2084" s="135"/>
      <c r="G2084" s="1040"/>
    </row>
    <row r="2085" spans="1:7">
      <c r="A2085" s="884">
        <v>43795</v>
      </c>
      <c r="B2085" s="138" t="str">
        <f>TiposLancamentos!B24</f>
        <v>Estacionamentos</v>
      </c>
      <c r="C2085" s="771" t="s">
        <v>9033</v>
      </c>
      <c r="D2085" s="197"/>
      <c r="E2085" s="857">
        <v>13</v>
      </c>
      <c r="F2085" s="135"/>
      <c r="G2085" s="1040"/>
    </row>
    <row r="2086" spans="1:7">
      <c r="A2086" s="884">
        <v>43795</v>
      </c>
      <c r="B2086" s="138" t="str">
        <f>TiposLancamentos!B19</f>
        <v>Restaurantes</v>
      </c>
      <c r="C2086" s="771" t="s">
        <v>18276</v>
      </c>
      <c r="D2086" s="197"/>
      <c r="E2086" s="857">
        <v>68.8</v>
      </c>
      <c r="F2086" s="135"/>
      <c r="G2086" s="1040"/>
    </row>
    <row r="2087" spans="1:7">
      <c r="A2087" s="884">
        <v>43795</v>
      </c>
      <c r="B2087" s="138" t="str">
        <f>TiposLancamentos!B103</f>
        <v>Juros_Corr. Poupança</v>
      </c>
      <c r="C2087" s="771" t="s">
        <v>18231</v>
      </c>
      <c r="D2087" s="197">
        <v>0.01</v>
      </c>
      <c r="E2087" s="857"/>
      <c r="F2087" s="135"/>
      <c r="G2087" s="1040"/>
    </row>
    <row r="2088" spans="1:7">
      <c r="A2088" s="884">
        <v>43796</v>
      </c>
      <c r="B2088" s="138" t="str">
        <f>TiposLancamentos!B19</f>
        <v>Restaurantes</v>
      </c>
      <c r="C2088" s="771" t="s">
        <v>1962</v>
      </c>
      <c r="D2088" s="197"/>
      <c r="E2088" s="857">
        <v>36.299999999999997</v>
      </c>
      <c r="F2088" s="135"/>
      <c r="G2088" s="1040"/>
    </row>
    <row r="2089" spans="1:7">
      <c r="A2089" s="884">
        <v>43796</v>
      </c>
      <c r="B2089" s="138" t="str">
        <f>TiposLancamentos!B19</f>
        <v>Restaurantes</v>
      </c>
      <c r="C2089" s="771" t="s">
        <v>7338</v>
      </c>
      <c r="D2089" s="197"/>
      <c r="E2089" s="857">
        <v>5.5</v>
      </c>
      <c r="F2089" s="135"/>
      <c r="G2089" s="1040"/>
    </row>
    <row r="2090" spans="1:7">
      <c r="A2090" s="884">
        <v>43797</v>
      </c>
      <c r="B2090" s="138" t="str">
        <f>TiposLancamentos!B5</f>
        <v>Supermercado</v>
      </c>
      <c r="C2090" s="771" t="s">
        <v>18277</v>
      </c>
      <c r="D2090" s="197"/>
      <c r="E2090" s="857">
        <v>134.94</v>
      </c>
      <c r="F2090" s="135"/>
      <c r="G2090" s="1040"/>
    </row>
    <row r="2091" spans="1:7">
      <c r="A2091" s="884">
        <v>43797</v>
      </c>
      <c r="B2091" s="138" t="str">
        <f>TiposLancamentos!B5</f>
        <v>Supermercado</v>
      </c>
      <c r="C2091" s="771" t="s">
        <v>7653</v>
      </c>
      <c r="D2091" s="197"/>
      <c r="E2091" s="857">
        <v>132.87</v>
      </c>
      <c r="F2091" s="135"/>
      <c r="G2091" s="1040"/>
    </row>
    <row r="2092" spans="1:7">
      <c r="A2092" s="884">
        <v>43797</v>
      </c>
      <c r="B2092" s="138" t="str">
        <f>TiposLancamentos!B103</f>
        <v>Juros_Corr. Poupança</v>
      </c>
      <c r="C2092" s="771" t="s">
        <v>18231</v>
      </c>
      <c r="D2092" s="197">
        <v>0.01</v>
      </c>
      <c r="E2092" s="857"/>
      <c r="F2092" s="135"/>
      <c r="G2092" s="1040"/>
    </row>
    <row r="2093" spans="1:7">
      <c r="A2093" s="884">
        <v>43798</v>
      </c>
      <c r="B2093" s="138" t="str">
        <f>TiposLancamentos!B16</f>
        <v>Cristiane</v>
      </c>
      <c r="C2093" s="771" t="s">
        <v>18278</v>
      </c>
      <c r="D2093" s="197"/>
      <c r="E2093" s="857">
        <v>69.900000000000006</v>
      </c>
      <c r="F2093" s="135"/>
      <c r="G2093" s="1040"/>
    </row>
    <row r="2094" spans="1:7">
      <c r="A2094" s="884">
        <v>43798</v>
      </c>
      <c r="B2094" s="138" t="str">
        <f>TiposLancamentos!B16</f>
        <v>Cristiane</v>
      </c>
      <c r="C2094" s="771" t="s">
        <v>18279</v>
      </c>
      <c r="D2094" s="197"/>
      <c r="E2094" s="857">
        <v>179.86</v>
      </c>
      <c r="F2094" s="135"/>
      <c r="G2094" s="1040"/>
    </row>
    <row r="2095" spans="1:7">
      <c r="A2095" s="884">
        <v>43798</v>
      </c>
      <c r="B2095" s="138" t="str">
        <f>TiposLancamentos!B103</f>
        <v>Juros_Corr. Poupança</v>
      </c>
      <c r="C2095" s="771" t="s">
        <v>18231</v>
      </c>
      <c r="D2095" s="197">
        <v>0.01</v>
      </c>
      <c r="E2095" s="857"/>
      <c r="F2095" s="135"/>
      <c r="G2095" s="1040"/>
    </row>
    <row r="2096" spans="1:7" ht="14.25" thickBot="1">
      <c r="A2096" s="884">
        <v>43799</v>
      </c>
      <c r="B2096" s="138" t="str">
        <f>TiposLancamentos!B22</f>
        <v>Combustivel</v>
      </c>
      <c r="C2096" s="771" t="s">
        <v>1880</v>
      </c>
      <c r="D2096" s="197"/>
      <c r="E2096" s="857">
        <v>100</v>
      </c>
      <c r="F2096" s="3"/>
      <c r="G2096" s="1040"/>
    </row>
    <row r="2097" spans="1:7">
      <c r="A2097" s="967"/>
      <c r="B2097" s="968"/>
      <c r="C2097" s="1093" t="s">
        <v>7330</v>
      </c>
      <c r="D2097" s="970"/>
      <c r="E2097" s="971"/>
      <c r="F2097" s="1712"/>
      <c r="G2097" s="1039"/>
    </row>
    <row r="2098" spans="1:7">
      <c r="A2098" s="884">
        <v>43801</v>
      </c>
      <c r="B2098" s="138" t="str">
        <f>TiposLancamentos!B15</f>
        <v>Cartões de Crédito</v>
      </c>
      <c r="C2098" s="771" t="s">
        <v>7391</v>
      </c>
      <c r="D2098" s="197"/>
      <c r="E2098" s="857">
        <v>1478.01</v>
      </c>
      <c r="F2098" s="3"/>
      <c r="G2098" s="1040"/>
    </row>
    <row r="2099" spans="1:7">
      <c r="A2099" s="884">
        <v>43801</v>
      </c>
      <c r="B2099" s="138" t="str">
        <f>TiposLancamentos!B103</f>
        <v>Juros_Corr. Poupança</v>
      </c>
      <c r="C2099" s="771" t="s">
        <v>18231</v>
      </c>
      <c r="D2099" s="197">
        <v>0.11</v>
      </c>
      <c r="E2099" s="857"/>
      <c r="F2099" s="3"/>
      <c r="G2099" s="1040"/>
    </row>
    <row r="2100" spans="1:7">
      <c r="A2100" s="884">
        <v>43802</v>
      </c>
      <c r="B2100" s="138" t="str">
        <f>TiposLancamentos!B16</f>
        <v>Cristiane</v>
      </c>
      <c r="C2100" s="771" t="s">
        <v>6715</v>
      </c>
      <c r="D2100" s="197"/>
      <c r="E2100" s="857">
        <v>41.39</v>
      </c>
      <c r="F2100" s="3"/>
      <c r="G2100" s="1040"/>
    </row>
    <row r="2101" spans="1:7">
      <c r="A2101" s="884">
        <v>43802</v>
      </c>
      <c r="B2101" s="138" t="str">
        <f>TiposLancamentos!B16</f>
        <v>Cristiane</v>
      </c>
      <c r="C2101" s="771" t="s">
        <v>18280</v>
      </c>
      <c r="D2101" s="197"/>
      <c r="E2101" s="857">
        <v>19.899999999999999</v>
      </c>
      <c r="F2101" s="3"/>
      <c r="G2101" s="1040"/>
    </row>
    <row r="2102" spans="1:7">
      <c r="A2102" s="884">
        <v>43802</v>
      </c>
      <c r="B2102" s="138" t="str">
        <f>TiposLancamentos!B16</f>
        <v>Cristiane</v>
      </c>
      <c r="C2102" s="771" t="s">
        <v>18281</v>
      </c>
      <c r="D2102" s="197"/>
      <c r="E2102" s="857">
        <v>305.91000000000003</v>
      </c>
      <c r="F2102" s="3"/>
      <c r="G2102" s="1040"/>
    </row>
    <row r="2103" spans="1:7">
      <c r="A2103" s="884">
        <v>43802</v>
      </c>
      <c r="B2103" s="138" t="str">
        <f>TiposLancamentos!B22</f>
        <v>Combustivel</v>
      </c>
      <c r="C2103" s="771" t="s">
        <v>18282</v>
      </c>
      <c r="D2103" s="197"/>
      <c r="E2103" s="857">
        <v>50</v>
      </c>
      <c r="F2103" s="3"/>
      <c r="G2103" s="1040"/>
    </row>
    <row r="2104" spans="1:7">
      <c r="A2104" s="884">
        <v>41365</v>
      </c>
      <c r="B2104" s="138" t="str">
        <f>TiposLancamentos!B103</f>
        <v>Juros_Corr. Poupança</v>
      </c>
      <c r="C2104" s="771" t="s">
        <v>18231</v>
      </c>
      <c r="D2104" s="197">
        <v>0.03</v>
      </c>
      <c r="E2104" s="857"/>
      <c r="F2104" s="3"/>
      <c r="G2104" s="1040"/>
    </row>
    <row r="2105" spans="1:7">
      <c r="A2105" s="884">
        <v>43803</v>
      </c>
      <c r="B2105" s="138" t="str">
        <f>TiposLancamentos!B5</f>
        <v>Supermercado</v>
      </c>
      <c r="C2105" s="771" t="s">
        <v>18283</v>
      </c>
      <c r="D2105" s="197"/>
      <c r="E2105" s="857">
        <v>64.03</v>
      </c>
      <c r="F2105" s="3"/>
      <c r="G2105" s="1040"/>
    </row>
    <row r="2106" spans="1:7">
      <c r="A2106" s="884">
        <v>43803</v>
      </c>
      <c r="B2106" s="138" t="str">
        <f>TiposLancamentos!B103</f>
        <v>Juros_Corr. Poupança</v>
      </c>
      <c r="C2106" s="771" t="s">
        <v>18231</v>
      </c>
      <c r="D2106" s="197">
        <v>0.01</v>
      </c>
      <c r="E2106" s="857"/>
      <c r="F2106" s="3"/>
      <c r="G2106" s="1040"/>
    </row>
    <row r="2107" spans="1:7">
      <c r="A2107" s="884">
        <v>43805</v>
      </c>
      <c r="B2107" s="138" t="str">
        <f>TiposLancamentos!B16</f>
        <v>Cristiane</v>
      </c>
      <c r="C2107" s="771" t="s">
        <v>18284</v>
      </c>
      <c r="D2107" s="197"/>
      <c r="E2107" s="857">
        <v>140.6</v>
      </c>
      <c r="F2107" s="3"/>
      <c r="G2107" s="1040"/>
    </row>
    <row r="2108" spans="1:7">
      <c r="A2108" s="884">
        <v>43805</v>
      </c>
      <c r="B2108" s="138" t="str">
        <f>TiposLancamentos!B16</f>
        <v>Cristiane</v>
      </c>
      <c r="C2108" s="771" t="s">
        <v>18285</v>
      </c>
      <c r="D2108" s="197"/>
      <c r="E2108" s="857">
        <v>38.5</v>
      </c>
      <c r="F2108" s="3"/>
      <c r="G2108" s="1040"/>
    </row>
    <row r="2109" spans="1:7">
      <c r="A2109" s="884">
        <v>43805</v>
      </c>
      <c r="B2109" s="138" t="str">
        <f>TiposLancamentos!B9</f>
        <v>Condominio</v>
      </c>
      <c r="C2109" s="771" t="s">
        <v>18286</v>
      </c>
      <c r="D2109" s="197"/>
      <c r="E2109" s="857">
        <v>1241.4000000000001</v>
      </c>
      <c r="F2109" s="3"/>
      <c r="G2109" s="1040"/>
    </row>
    <row r="2110" spans="1:7">
      <c r="A2110" s="884">
        <v>43805</v>
      </c>
      <c r="B2110" s="138" t="str">
        <f>TiposLancamentos!B103</f>
        <v>Juros_Corr. Poupança</v>
      </c>
      <c r="C2110" s="771" t="s">
        <v>18231</v>
      </c>
      <c r="D2110" s="197">
        <v>0.16</v>
      </c>
      <c r="E2110" s="857"/>
      <c r="F2110" s="3"/>
      <c r="G2110" s="1040"/>
    </row>
    <row r="2111" spans="1:7">
      <c r="A2111" s="919">
        <v>43809</v>
      </c>
      <c r="B2111" s="830" t="str">
        <f>TiposLancamentos!B8</f>
        <v>Aluguel</v>
      </c>
      <c r="C2111" s="915" t="s">
        <v>6163</v>
      </c>
      <c r="D2111" s="917"/>
      <c r="E2111" s="920">
        <v>2015.3</v>
      </c>
      <c r="F2111" s="1701"/>
      <c r="G2111" s="1040"/>
    </row>
    <row r="2112" spans="1:7">
      <c r="A2112" s="930">
        <v>43809</v>
      </c>
      <c r="B2112" s="825" t="str">
        <f>TiposLancamentos!B12</f>
        <v>IPTU</v>
      </c>
      <c r="C2112" s="88" t="s">
        <v>6876</v>
      </c>
      <c r="D2112" s="828"/>
      <c r="E2112" s="931">
        <v>0</v>
      </c>
      <c r="F2112" s="1702"/>
      <c r="G2112" s="1040"/>
    </row>
    <row r="2113" spans="1:7">
      <c r="A2113" s="921">
        <v>43809</v>
      </c>
      <c r="B2113" s="833" t="str">
        <f>TiposLancamentos!B34</f>
        <v>Seguros</v>
      </c>
      <c r="C2113" s="916" t="s">
        <v>17786</v>
      </c>
      <c r="D2113" s="918"/>
      <c r="E2113" s="922">
        <f>F2113-(E2111+E2112)</f>
        <v>295.99</v>
      </c>
      <c r="F2113" s="1703">
        <v>2311.29</v>
      </c>
      <c r="G2113" s="1040"/>
    </row>
    <row r="2114" spans="1:7">
      <c r="A2114" s="884">
        <v>43809</v>
      </c>
      <c r="B2114" s="138" t="str">
        <f>TiposLancamentos!B103</f>
        <v>Juros_Corr. Poupança</v>
      </c>
      <c r="C2114" s="771" t="s">
        <v>18231</v>
      </c>
      <c r="D2114" s="197">
        <v>0.33</v>
      </c>
      <c r="E2114" s="857"/>
      <c r="F2114" s="1697"/>
      <c r="G2114" s="1040"/>
    </row>
    <row r="2115" spans="1:7">
      <c r="A2115" s="884">
        <v>43810</v>
      </c>
      <c r="B2115" s="138" t="str">
        <f>TiposLancamentos!B16</f>
        <v>Cristiane</v>
      </c>
      <c r="C2115" s="771" t="s">
        <v>3960</v>
      </c>
      <c r="D2115" s="197"/>
      <c r="E2115" s="857">
        <v>34.9</v>
      </c>
      <c r="F2115" s="3"/>
      <c r="G2115" s="1040"/>
    </row>
    <row r="2116" spans="1:7">
      <c r="A2116" s="884">
        <v>43810</v>
      </c>
      <c r="B2116" s="138" t="str">
        <f>TiposLancamentos!B103</f>
        <v>Juros_Corr. Poupança</v>
      </c>
      <c r="C2116" s="771" t="s">
        <v>18231</v>
      </c>
      <c r="D2116" s="197">
        <v>0.01</v>
      </c>
      <c r="E2116" s="857"/>
      <c r="F2116" s="3"/>
      <c r="G2116" s="1040"/>
    </row>
    <row r="2117" spans="1:7">
      <c r="A2117" s="884">
        <v>43811</v>
      </c>
      <c r="B2117" s="138" t="str">
        <f>TiposLancamentos!B103</f>
        <v>Juros_Corr. Poupança</v>
      </c>
      <c r="C2117" s="771" t="s">
        <v>18231</v>
      </c>
      <c r="D2117" s="197">
        <v>2.36</v>
      </c>
      <c r="E2117" s="857"/>
      <c r="F2117" s="3"/>
      <c r="G2117" s="1040"/>
    </row>
    <row r="2118" spans="1:7">
      <c r="A2118" s="884">
        <v>43811</v>
      </c>
      <c r="B2118" s="138" t="str">
        <f>TiposLancamentos!B16</f>
        <v>Cristiane</v>
      </c>
      <c r="C2118" s="771" t="s">
        <v>18287</v>
      </c>
      <c r="D2118" s="197"/>
      <c r="E2118" s="857">
        <v>95.2</v>
      </c>
      <c r="F2118" s="3"/>
      <c r="G2118" s="1040"/>
    </row>
    <row r="2119" spans="1:7">
      <c r="A2119" s="884">
        <v>43811</v>
      </c>
      <c r="B2119" s="138" t="str">
        <f>TiposLancamentos!B16</f>
        <v>Cristiane</v>
      </c>
      <c r="C2119" s="771" t="s">
        <v>18288</v>
      </c>
      <c r="D2119" s="197"/>
      <c r="E2119" s="857">
        <v>57.32</v>
      </c>
      <c r="F2119" s="3"/>
      <c r="G2119" s="1040"/>
    </row>
    <row r="2120" spans="1:7">
      <c r="A2120" s="884">
        <v>43816</v>
      </c>
      <c r="B2120" s="138" t="str">
        <f>TiposLancamentos!B16</f>
        <v>Cristiane</v>
      </c>
      <c r="C2120" s="771" t="s">
        <v>18289</v>
      </c>
      <c r="D2120" s="197"/>
      <c r="E2120" s="857">
        <v>50.38</v>
      </c>
      <c r="F2120" s="3"/>
      <c r="G2120" s="1040"/>
    </row>
    <row r="2121" spans="1:7">
      <c r="A2121" s="884">
        <v>43816</v>
      </c>
      <c r="B2121" s="138" t="str">
        <f>TiposLancamentos!B16</f>
        <v>Cristiane</v>
      </c>
      <c r="C2121" s="771" t="s">
        <v>5216</v>
      </c>
      <c r="D2121" s="197"/>
      <c r="E2121" s="857">
        <v>69.989999999999995</v>
      </c>
      <c r="F2121" s="3"/>
      <c r="G2121" s="1040"/>
    </row>
    <row r="2122" spans="1:7">
      <c r="A2122" s="884">
        <v>43817</v>
      </c>
      <c r="B2122" s="138" t="str">
        <f>TiposLancamentos!B16</f>
        <v>Cristiane</v>
      </c>
      <c r="C2122" s="771" t="s">
        <v>16905</v>
      </c>
      <c r="D2122" s="197"/>
      <c r="E2122" s="857">
        <v>23.04</v>
      </c>
      <c r="F2122" s="3"/>
      <c r="G2122" s="1040"/>
    </row>
    <row r="2123" spans="1:7">
      <c r="A2123" s="884">
        <v>43817</v>
      </c>
      <c r="B2123" s="138" t="str">
        <f>TiposLancamentos!B21</f>
        <v>Transf. Poupanca</v>
      </c>
      <c r="C2123" s="771" t="s">
        <v>18290</v>
      </c>
      <c r="D2123" s="197"/>
      <c r="E2123" s="857">
        <v>50</v>
      </c>
      <c r="F2123" s="3"/>
      <c r="G2123" s="1040"/>
    </row>
    <row r="2124" spans="1:7">
      <c r="A2124" s="884">
        <v>43818</v>
      </c>
      <c r="B2124" s="138" t="str">
        <f>TiposLancamentos!B34</f>
        <v>Seguros</v>
      </c>
      <c r="C2124" s="771" t="s">
        <v>10640</v>
      </c>
      <c r="D2124" s="197"/>
      <c r="E2124" s="857">
        <v>6370.5</v>
      </c>
      <c r="F2124" s="3"/>
      <c r="G2124" s="1040"/>
    </row>
    <row r="2125" spans="1:7">
      <c r="A2125" s="884">
        <v>43819</v>
      </c>
      <c r="B2125" s="138" t="str">
        <f>TiposLancamentos!B103</f>
        <v>Juros_Corr. Poupança</v>
      </c>
      <c r="C2125" s="771" t="s">
        <v>18231</v>
      </c>
      <c r="D2125" s="197">
        <v>0.05</v>
      </c>
      <c r="E2125" s="857"/>
      <c r="F2125" s="3"/>
      <c r="G2125" s="1040"/>
    </row>
    <row r="2126" spans="1:7">
      <c r="A2126" s="884">
        <v>43819</v>
      </c>
      <c r="B2126" s="138" t="str">
        <f>TiposLancamentos!B16</f>
        <v>Cristiane</v>
      </c>
      <c r="C2126" s="771" t="s">
        <v>18291</v>
      </c>
      <c r="D2126" s="197"/>
      <c r="E2126" s="857">
        <v>72.3</v>
      </c>
      <c r="F2126" s="3"/>
      <c r="G2126" s="1040"/>
    </row>
    <row r="2127" spans="1:7">
      <c r="A2127" s="884">
        <v>43819</v>
      </c>
      <c r="B2127" s="138" t="str">
        <f>TiposLancamentos!B16</f>
        <v>Cristiane</v>
      </c>
      <c r="C2127" s="771" t="s">
        <v>18292</v>
      </c>
      <c r="D2127" s="197"/>
      <c r="E2127" s="857">
        <v>329.92</v>
      </c>
      <c r="F2127" s="3"/>
      <c r="G2127" s="1040"/>
    </row>
    <row r="2128" spans="1:7">
      <c r="A2128" s="884">
        <v>43825</v>
      </c>
      <c r="B2128" s="138" t="str">
        <f>TiposLancamentos!B13</f>
        <v>Moradia</v>
      </c>
      <c r="C2128" s="771" t="s">
        <v>18293</v>
      </c>
      <c r="D2128" s="197"/>
      <c r="E2128" s="857">
        <v>543</v>
      </c>
      <c r="F2128" s="3"/>
      <c r="G2128" s="1040"/>
    </row>
    <row r="2129" spans="1:7">
      <c r="A2129" s="884">
        <v>43826</v>
      </c>
      <c r="B2129" s="138" t="str">
        <f>TiposLancamentos!B62</f>
        <v>Papelaria</v>
      </c>
      <c r="C2129" s="771" t="s">
        <v>18294</v>
      </c>
      <c r="D2129" s="197"/>
      <c r="E2129" s="857">
        <v>72.989999999999995</v>
      </c>
      <c r="F2129" s="3"/>
      <c r="G2129" s="1040"/>
    </row>
    <row r="2130" spans="1:7">
      <c r="A2130" s="884">
        <v>43826</v>
      </c>
      <c r="B2130" s="138" t="str">
        <f>TiposLancamentos!B5</f>
        <v>Supermercado</v>
      </c>
      <c r="C2130" s="771" t="s">
        <v>6234</v>
      </c>
      <c r="D2130" s="197"/>
      <c r="E2130" s="857">
        <v>149.56</v>
      </c>
      <c r="F2130" s="3"/>
      <c r="G2130" s="1040"/>
    </row>
    <row r="2131" spans="1:7">
      <c r="A2131" s="884">
        <v>43829</v>
      </c>
      <c r="B2131" s="138" t="str">
        <f>TiposLancamentos!B103</f>
        <v>Juros_Corr. Poupança</v>
      </c>
      <c r="C2131" s="771" t="s">
        <v>18231</v>
      </c>
      <c r="D2131" s="197">
        <v>7.0000000000000007E-2</v>
      </c>
      <c r="E2131" s="857"/>
      <c r="F2131" s="3"/>
      <c r="G2131" s="1040"/>
    </row>
    <row r="2132" spans="1:7" ht="14.25" thickBot="1">
      <c r="A2132" s="884">
        <v>43829</v>
      </c>
      <c r="B2132" s="138" t="str">
        <f>TiposLancamentos!B20</f>
        <v>Saques</v>
      </c>
      <c r="C2132" s="771" t="s">
        <v>7385</v>
      </c>
      <c r="D2132" s="197"/>
      <c r="E2132" s="857">
        <v>1000</v>
      </c>
      <c r="F2132" s="3"/>
      <c r="G2132" s="1040"/>
    </row>
    <row r="2133" spans="1:7">
      <c r="A2133" s="967"/>
      <c r="B2133" s="968"/>
      <c r="C2133" s="1093" t="s">
        <v>7389</v>
      </c>
      <c r="D2133" s="970"/>
      <c r="E2133" s="971"/>
      <c r="F2133" s="1712"/>
      <c r="G2133" s="1039"/>
    </row>
    <row r="2134" spans="1:7">
      <c r="A2134" s="884">
        <v>43836</v>
      </c>
      <c r="B2134" s="138" t="str">
        <f>TiposLancamentos!B16</f>
        <v>Cristiane</v>
      </c>
      <c r="C2134" s="771" t="s">
        <v>18295</v>
      </c>
      <c r="D2134" s="197"/>
      <c r="E2134" s="857">
        <v>71.86</v>
      </c>
      <c r="F2134" s="135"/>
      <c r="G2134" s="1040"/>
    </row>
    <row r="2135" spans="1:7">
      <c r="A2135" s="884">
        <v>43836</v>
      </c>
      <c r="B2135" s="138" t="str">
        <f>TiposLancamentos!B56</f>
        <v>Farmácia</v>
      </c>
      <c r="C2135" s="771" t="s">
        <v>18296</v>
      </c>
      <c r="D2135" s="197"/>
      <c r="E2135" s="857">
        <v>12.49</v>
      </c>
      <c r="F2135" s="135"/>
      <c r="G2135" s="1040"/>
    </row>
    <row r="2136" spans="1:7">
      <c r="A2136" s="884">
        <v>43836</v>
      </c>
      <c r="B2136" s="138" t="str">
        <f>TiposLancamentos!B16</f>
        <v>Cristiane</v>
      </c>
      <c r="C2136" s="771" t="s">
        <v>18297</v>
      </c>
      <c r="D2136" s="197"/>
      <c r="E2136" s="857">
        <v>27.98</v>
      </c>
      <c r="F2136" s="135"/>
      <c r="G2136" s="1040"/>
    </row>
    <row r="2137" spans="1:7">
      <c r="A2137" s="884">
        <v>43837</v>
      </c>
      <c r="B2137" s="138" t="str">
        <f>TiposLancamentos!B17</f>
        <v>GATO</v>
      </c>
      <c r="C2137" s="771" t="s">
        <v>18298</v>
      </c>
      <c r="D2137" s="197"/>
      <c r="E2137" s="857">
        <v>39.799999999999997</v>
      </c>
      <c r="F2137" s="135"/>
      <c r="G2137" s="1040"/>
    </row>
    <row r="2138" spans="1:7">
      <c r="A2138" s="884">
        <v>43838</v>
      </c>
      <c r="B2138" s="138" t="str">
        <f>TiposLancamentos!B4</f>
        <v>Taxas Bancarias</v>
      </c>
      <c r="C2138" s="771" t="s">
        <v>17394</v>
      </c>
      <c r="D2138" s="197"/>
      <c r="E2138" s="857">
        <v>75.900000000000006</v>
      </c>
      <c r="F2138" s="135"/>
      <c r="G2138" s="1040"/>
    </row>
    <row r="2139" spans="1:7">
      <c r="A2139" s="884">
        <v>43838</v>
      </c>
      <c r="B2139" s="138" t="str">
        <f>TiposLancamentos!B4</f>
        <v>Taxas Bancarias</v>
      </c>
      <c r="C2139" s="771" t="s">
        <v>18231</v>
      </c>
      <c r="D2139" s="197">
        <v>0.02</v>
      </c>
      <c r="E2139" s="857"/>
      <c r="F2139" s="135"/>
      <c r="G2139" s="1040"/>
    </row>
    <row r="2140" spans="1:7">
      <c r="A2140" s="884">
        <v>43839</v>
      </c>
      <c r="B2140" s="138" t="str">
        <f>TiposLancamentos!B24</f>
        <v>Estacionamentos</v>
      </c>
      <c r="C2140" s="771" t="s">
        <v>18299</v>
      </c>
      <c r="D2140" s="197"/>
      <c r="E2140" s="857">
        <v>8</v>
      </c>
      <c r="F2140" s="135"/>
      <c r="G2140" s="1040"/>
    </row>
    <row r="2141" spans="1:7">
      <c r="A2141" s="919">
        <v>43840</v>
      </c>
      <c r="B2141" s="830" t="str">
        <f>TiposLancamentos!B8</f>
        <v>Aluguel</v>
      </c>
      <c r="C2141" s="915" t="s">
        <v>6163</v>
      </c>
      <c r="D2141" s="917"/>
      <c r="E2141" s="920">
        <v>2015.3</v>
      </c>
      <c r="F2141" s="1701"/>
      <c r="G2141" s="1040"/>
    </row>
    <row r="2142" spans="1:7">
      <c r="A2142" s="930">
        <v>43840</v>
      </c>
      <c r="B2142" s="825" t="str">
        <f>TiposLancamentos!B12</f>
        <v>IPTU</v>
      </c>
      <c r="C2142" s="88" t="s">
        <v>6876</v>
      </c>
      <c r="D2142" s="828"/>
      <c r="E2142" s="931">
        <v>0</v>
      </c>
      <c r="F2142" s="1702"/>
      <c r="G2142" s="1040"/>
    </row>
    <row r="2143" spans="1:7">
      <c r="A2143" s="921">
        <v>43840</v>
      </c>
      <c r="B2143" s="833" t="str">
        <f>TiposLancamentos!B34</f>
        <v>Seguros</v>
      </c>
      <c r="C2143" s="916" t="s">
        <v>17833</v>
      </c>
      <c r="D2143" s="918"/>
      <c r="E2143" s="922">
        <f>F2143-(E2141+E2142)</f>
        <v>295.99</v>
      </c>
      <c r="F2143" s="1703">
        <v>2311.29</v>
      </c>
      <c r="G2143" s="1040"/>
    </row>
    <row r="2144" spans="1:7">
      <c r="A2144" s="884">
        <v>43840</v>
      </c>
      <c r="B2144" s="138" t="str">
        <f>TiposLancamentos!B16</f>
        <v>Cristiane</v>
      </c>
      <c r="C2144" s="771" t="s">
        <v>18300</v>
      </c>
      <c r="D2144" s="197"/>
      <c r="E2144" s="857">
        <v>280</v>
      </c>
      <c r="F2144" s="135"/>
      <c r="G2144" s="1040"/>
    </row>
    <row r="2145" spans="1:7">
      <c r="A2145" s="884">
        <v>43840</v>
      </c>
      <c r="B2145" s="138" t="str">
        <f>TiposLancamentos!B96</f>
        <v>Resg.Poup.</v>
      </c>
      <c r="C2145" s="771" t="s">
        <v>18301</v>
      </c>
      <c r="D2145" s="197">
        <v>1013.82</v>
      </c>
      <c r="E2145" s="857"/>
      <c r="F2145" s="135"/>
      <c r="G2145" s="1040"/>
    </row>
    <row r="2146" spans="1:7">
      <c r="A2146" s="884">
        <v>43840</v>
      </c>
      <c r="B2146" s="138" t="str">
        <f>TiposLancamentos!B105</f>
        <v>Transf. Bco</v>
      </c>
      <c r="C2146" s="771" t="s">
        <v>18302</v>
      </c>
      <c r="D2146" s="197"/>
      <c r="E2146" s="857">
        <v>3904.24</v>
      </c>
      <c r="F2146" s="135"/>
      <c r="G2146" s="1040"/>
    </row>
    <row r="2147" spans="1:7" ht="14.25" thickBot="1">
      <c r="A2147" s="872">
        <v>43840</v>
      </c>
      <c r="B2147" s="1312"/>
      <c r="C2147" s="163" t="s">
        <v>14909</v>
      </c>
      <c r="D2147" s="163"/>
      <c r="E2147" s="873"/>
      <c r="F2147" s="135"/>
      <c r="G2147" s="1040"/>
    </row>
    <row r="2148" spans="1:7">
      <c r="A2148" s="967"/>
      <c r="B2148" s="968"/>
      <c r="C2148" s="1093" t="s">
        <v>1638</v>
      </c>
      <c r="D2148" s="970"/>
      <c r="E2148" s="971"/>
      <c r="F2148" s="1712"/>
      <c r="G2148" s="1039"/>
    </row>
    <row r="2149" spans="1:7">
      <c r="A2149" s="884">
        <v>45546</v>
      </c>
      <c r="B2149" s="138" t="str">
        <f>TiposLancamentos!B105</f>
        <v>Transf. Bco</v>
      </c>
      <c r="C2149" s="771" t="s">
        <v>10601</v>
      </c>
      <c r="D2149" s="197">
        <v>0.93</v>
      </c>
      <c r="E2149" s="857"/>
      <c r="F2149" s="1697"/>
      <c r="G2149" s="1040"/>
    </row>
    <row r="2150" spans="1:7">
      <c r="A2150" s="884">
        <v>45561</v>
      </c>
      <c r="B2150" s="138" t="str">
        <f>TiposLancamentos!B95</f>
        <v>Salarios</v>
      </c>
      <c r="C2150" s="771" t="s">
        <v>18303</v>
      </c>
      <c r="D2150" s="197">
        <v>149.93</v>
      </c>
      <c r="E2150" s="857"/>
      <c r="F2150" s="1697"/>
      <c r="G2150" s="1040"/>
    </row>
    <row r="2151" spans="1:7">
      <c r="A2151" s="884">
        <v>45561</v>
      </c>
      <c r="B2151" s="138" t="str">
        <f>TiposLancamentos!B105</f>
        <v>Transf. Bco</v>
      </c>
      <c r="C2151" s="771" t="s">
        <v>18304</v>
      </c>
      <c r="D2151" s="197"/>
      <c r="E2151" s="857">
        <v>150</v>
      </c>
      <c r="F2151" s="1697"/>
      <c r="G2151" s="1040"/>
    </row>
    <row r="2152" spans="1:7">
      <c r="A2152" s="884">
        <v>45565</v>
      </c>
      <c r="B2152" s="138" t="str">
        <f>TiposLancamentos!B95</f>
        <v>Salarios</v>
      </c>
      <c r="C2152" s="771" t="s">
        <v>18305</v>
      </c>
      <c r="D2152" s="197">
        <v>4165.96</v>
      </c>
      <c r="E2152" s="857"/>
      <c r="F2152" s="1697"/>
      <c r="G2152" s="1040"/>
    </row>
    <row r="2153" spans="1:7" ht="14.25" thickBot="1">
      <c r="A2153" s="884">
        <v>45565</v>
      </c>
      <c r="B2153" s="138" t="str">
        <f>TiposLancamentos!B105</f>
        <v>Transf. Bco</v>
      </c>
      <c r="C2153" s="771" t="s">
        <v>18304</v>
      </c>
      <c r="D2153" s="197"/>
      <c r="E2153" s="857">
        <v>4165.8900000000003</v>
      </c>
      <c r="F2153" s="1697"/>
      <c r="G2153" s="1040"/>
    </row>
    <row r="2154" spans="1:7">
      <c r="A2154" s="967"/>
      <c r="B2154" s="968"/>
      <c r="C2154" s="1093" t="s">
        <v>1639</v>
      </c>
      <c r="D2154" s="970"/>
      <c r="E2154" s="971"/>
      <c r="F2154" s="1712"/>
      <c r="G2154" s="1039"/>
    </row>
    <row r="2155" spans="1:7">
      <c r="A2155" s="884">
        <v>45580</v>
      </c>
      <c r="B2155" s="138" t="str">
        <f>TiposLancamentos!B95</f>
        <v>Salarios</v>
      </c>
      <c r="C2155" s="771" t="s">
        <v>18306</v>
      </c>
      <c r="D2155" s="197">
        <v>5200</v>
      </c>
      <c r="E2155" s="857"/>
      <c r="F2155" s="1697"/>
      <c r="G2155" s="1040"/>
    </row>
    <row r="2156" spans="1:7">
      <c r="A2156" s="884">
        <v>45580</v>
      </c>
      <c r="B2156" s="138" t="str">
        <f>TiposLancamentos!B105</f>
        <v>Transf. Bco</v>
      </c>
      <c r="C2156" s="771" t="s">
        <v>10243</v>
      </c>
      <c r="D2156" s="197"/>
      <c r="E2156" s="857">
        <v>5200</v>
      </c>
      <c r="F2156" s="1697"/>
      <c r="G2156" s="1040"/>
    </row>
    <row r="2157" spans="1:7">
      <c r="A2157" s="884">
        <v>45596</v>
      </c>
      <c r="B2157" s="138" t="str">
        <f>TiposLancamentos!B95</f>
        <v>Salarios</v>
      </c>
      <c r="C2157" s="771" t="s">
        <v>18307</v>
      </c>
      <c r="D2157" s="197">
        <v>3547.93</v>
      </c>
      <c r="E2157" s="857"/>
      <c r="F2157" s="1697"/>
      <c r="G2157" s="1040"/>
    </row>
    <row r="2158" spans="1:7">
      <c r="A2158" s="919">
        <v>45596</v>
      </c>
      <c r="B2158" s="830" t="str">
        <f>TiposLancamentos!B36</f>
        <v>Playstation 2</v>
      </c>
      <c r="C2158" s="915" t="s">
        <v>18308</v>
      </c>
      <c r="D2158" s="917"/>
      <c r="E2158" s="1658">
        <v>40</v>
      </c>
      <c r="F2158" s="1701"/>
      <c r="G2158" s="1040"/>
    </row>
    <row r="2159" spans="1:7" ht="14.25" thickBot="1">
      <c r="A2159" s="921">
        <v>45596</v>
      </c>
      <c r="B2159" s="833" t="str">
        <f>TiposLancamentos!B60</f>
        <v>Correio</v>
      </c>
      <c r="C2159" s="916" t="s">
        <v>18309</v>
      </c>
      <c r="D2159" s="918"/>
      <c r="E2159" s="1659">
        <v>15.22</v>
      </c>
      <c r="F2159" s="1703">
        <f>SUM(E2158:E2159)</f>
        <v>55.22</v>
      </c>
      <c r="G2159" s="1040"/>
    </row>
    <row r="2160" spans="1:7">
      <c r="A2160" s="967"/>
      <c r="B2160" s="968"/>
      <c r="C2160" s="1093" t="s">
        <v>1640</v>
      </c>
      <c r="D2160" s="970"/>
      <c r="E2160" s="971"/>
      <c r="F2160" s="1712"/>
      <c r="G2160" s="1039"/>
    </row>
    <row r="2161" spans="1:7">
      <c r="A2161" s="884">
        <v>45597</v>
      </c>
      <c r="B2161" s="138" t="str">
        <f>TiposLancamentos!B105</f>
        <v>Transf. Bco</v>
      </c>
      <c r="C2161" s="771" t="s">
        <v>18310</v>
      </c>
      <c r="D2161" s="197"/>
      <c r="E2161" s="857">
        <v>3492.71</v>
      </c>
      <c r="F2161" s="1697"/>
      <c r="G2161" s="1040"/>
    </row>
    <row r="2162" spans="1:7">
      <c r="A2162" s="884">
        <v>45610</v>
      </c>
      <c r="B2162" s="138" t="str">
        <f>TiposLancamentos!B103</f>
        <v>Juros_Corr. Poupança</v>
      </c>
      <c r="C2162" s="771" t="s">
        <v>18311</v>
      </c>
      <c r="D2162" s="197">
        <v>0.01</v>
      </c>
      <c r="E2162" s="857"/>
      <c r="F2162" s="1697"/>
      <c r="G2162" s="1040"/>
    </row>
    <row r="2163" spans="1:7">
      <c r="A2163" s="884">
        <v>45610</v>
      </c>
      <c r="B2163" s="138" t="str">
        <f>TiposLancamentos!B95</f>
        <v>Salarios</v>
      </c>
      <c r="C2163" s="771" t="s">
        <v>18306</v>
      </c>
      <c r="D2163" s="197">
        <v>5200</v>
      </c>
      <c r="E2163" s="857"/>
      <c r="F2163" s="1697"/>
      <c r="G2163" s="1040"/>
    </row>
    <row r="2164" spans="1:7">
      <c r="A2164" s="884">
        <v>45613</v>
      </c>
      <c r="B2164" s="138" t="str">
        <f>TiposLancamentos!B105</f>
        <v>Transf. Bco</v>
      </c>
      <c r="C2164" s="771" t="s">
        <v>10243</v>
      </c>
      <c r="D2164" s="197"/>
      <c r="E2164" s="857">
        <v>5200</v>
      </c>
      <c r="F2164" s="1697"/>
      <c r="G2164" s="1040"/>
    </row>
    <row r="2165" spans="1:7">
      <c r="A2165" s="884">
        <v>45618</v>
      </c>
      <c r="B2165" s="138" t="str">
        <f>TiposLancamentos!B103</f>
        <v>Juros_Corr. Poupança</v>
      </c>
      <c r="C2165" s="771" t="s">
        <v>18311</v>
      </c>
      <c r="D2165" s="197">
        <v>0.01</v>
      </c>
      <c r="E2165" s="857"/>
      <c r="F2165" s="1697"/>
      <c r="G2165" s="1040"/>
    </row>
    <row r="2166" spans="1:7">
      <c r="A2166" s="884">
        <v>45625</v>
      </c>
      <c r="B2166" s="138" t="str">
        <f>TiposLancamentos!B95</f>
        <v>Salarios</v>
      </c>
      <c r="C2166" s="771" t="s">
        <v>18307</v>
      </c>
      <c r="D2166" s="197">
        <v>3497.93</v>
      </c>
      <c r="E2166" s="857"/>
      <c r="F2166" s="1697"/>
      <c r="G2166" s="1040"/>
    </row>
    <row r="2167" spans="1:7" ht="14.25" thickBot="1">
      <c r="A2167" s="884">
        <v>45625</v>
      </c>
      <c r="B2167" s="138" t="str">
        <f>TiposLancamentos!B95</f>
        <v>Salarios</v>
      </c>
      <c r="C2167" s="771" t="s">
        <v>18160</v>
      </c>
      <c r="D2167" s="197">
        <v>2166.67</v>
      </c>
      <c r="E2167" s="857"/>
      <c r="F2167" s="1697"/>
      <c r="G2167" s="1040"/>
    </row>
    <row r="2168" spans="1:7">
      <c r="A2168" s="967"/>
      <c r="B2168" s="968"/>
      <c r="C2168" s="1093" t="s">
        <v>1641</v>
      </c>
      <c r="D2168" s="970"/>
      <c r="E2168" s="971"/>
      <c r="F2168" s="1712"/>
      <c r="G2168" s="1039"/>
    </row>
    <row r="2169" spans="1:7">
      <c r="A2169" s="884">
        <v>45628</v>
      </c>
      <c r="B2169" s="138" t="str">
        <f>TiposLancamentos!B105</f>
        <v>Transf. Bco</v>
      </c>
      <c r="C2169" s="771" t="s">
        <v>18310</v>
      </c>
      <c r="D2169" s="197"/>
      <c r="E2169" s="857">
        <v>5664.62</v>
      </c>
      <c r="F2169" s="1697">
        <v>5664.62</v>
      </c>
      <c r="G2169" s="1040"/>
    </row>
    <row r="2170" spans="1:7">
      <c r="A2170" s="884">
        <v>45639</v>
      </c>
      <c r="B2170" s="138" t="str">
        <f>TiposLancamentos!B95</f>
        <v>Salarios</v>
      </c>
      <c r="C2170" s="771" t="s">
        <v>18306</v>
      </c>
      <c r="D2170" s="197">
        <v>5200</v>
      </c>
      <c r="E2170" s="857"/>
      <c r="F2170" s="1697"/>
      <c r="G2170" s="1040"/>
    </row>
    <row r="2171" spans="1:7">
      <c r="A2171" s="884">
        <v>45639</v>
      </c>
      <c r="B2171" s="138" t="str">
        <f>TiposLancamentos!B103</f>
        <v>Juros_Corr. Poupança</v>
      </c>
      <c r="C2171" s="771" t="s">
        <v>18311</v>
      </c>
      <c r="D2171" s="197">
        <v>0.01</v>
      </c>
      <c r="E2171" s="857"/>
      <c r="F2171" s="1697"/>
      <c r="G2171" s="1040"/>
    </row>
    <row r="2172" spans="1:7">
      <c r="A2172" s="884">
        <v>45639</v>
      </c>
      <c r="B2172" s="138" t="str">
        <f>TiposLancamentos!B13</f>
        <v>Moradia</v>
      </c>
      <c r="C2172" s="771" t="s">
        <v>8906</v>
      </c>
      <c r="D2172" s="197"/>
      <c r="E2172" s="857">
        <v>17</v>
      </c>
      <c r="F2172" s="1697"/>
      <c r="G2172" s="1040"/>
    </row>
    <row r="2173" spans="1:7">
      <c r="A2173" s="884">
        <v>45641</v>
      </c>
      <c r="B2173" s="138" t="str">
        <f>TiposLancamentos!B2</f>
        <v>Telefonia</v>
      </c>
      <c r="C2173" s="771" t="s">
        <v>18312</v>
      </c>
      <c r="D2173" s="197"/>
      <c r="E2173" s="857">
        <v>71.44</v>
      </c>
      <c r="F2173" s="1697"/>
      <c r="G2173" s="1040"/>
    </row>
    <row r="2174" spans="1:7">
      <c r="A2174" s="884">
        <v>45639</v>
      </c>
      <c r="B2174" s="240" t="str">
        <f>TiposLancamentos!B46</f>
        <v>Maçonaria</v>
      </c>
      <c r="C2174" s="3" t="s">
        <v>18313</v>
      </c>
      <c r="D2174" s="63"/>
      <c r="E2174" s="865">
        <v>210</v>
      </c>
      <c r="F2174" s="1043"/>
      <c r="G2174" s="1040"/>
    </row>
    <row r="2175" spans="1:7">
      <c r="A2175" s="884">
        <v>45641</v>
      </c>
      <c r="B2175" s="138" t="str">
        <f>TiposLancamentos!B105</f>
        <v>Transf. Bco</v>
      </c>
      <c r="C2175" s="771" t="s">
        <v>10118</v>
      </c>
      <c r="D2175" s="197"/>
      <c r="E2175" s="857">
        <v>4201.57</v>
      </c>
      <c r="F2175" s="1697"/>
      <c r="G2175" s="1040"/>
    </row>
    <row r="2176" spans="1:7">
      <c r="A2176" s="884">
        <v>45642</v>
      </c>
      <c r="B2176" s="138" t="str">
        <f>TiposLancamentos!B32</f>
        <v>Clinicas e tratamentos</v>
      </c>
      <c r="C2176" s="771" t="s">
        <v>18314</v>
      </c>
      <c r="D2176" s="197"/>
      <c r="E2176" s="857">
        <v>700</v>
      </c>
      <c r="F2176" s="1697"/>
      <c r="G2176" s="1040"/>
    </row>
    <row r="2177" spans="1:7">
      <c r="A2177" s="884">
        <v>45644</v>
      </c>
      <c r="B2177" s="138" t="str">
        <f>TiposLancamentos!B103</f>
        <v>Juros_Corr. Poupança</v>
      </c>
      <c r="C2177" s="771" t="s">
        <v>18311</v>
      </c>
      <c r="D2177" s="197">
        <v>0.01</v>
      </c>
      <c r="E2177" s="857"/>
      <c r="F2177" s="1697"/>
      <c r="G2177" s="1040"/>
    </row>
    <row r="2178" spans="1:7">
      <c r="A2178" s="884">
        <v>45646</v>
      </c>
      <c r="B2178" s="138" t="str">
        <f>TiposLancamentos!B95</f>
        <v>Salarios</v>
      </c>
      <c r="C2178" s="771" t="s">
        <v>18315</v>
      </c>
      <c r="D2178" s="197">
        <v>4312.3500000000004</v>
      </c>
      <c r="E2178" s="857"/>
      <c r="F2178" s="1697"/>
      <c r="G2178" s="1040"/>
    </row>
    <row r="2179" spans="1:7" ht="14.25" thickBot="1">
      <c r="A2179" s="884">
        <v>45646</v>
      </c>
      <c r="B2179" s="138" t="str">
        <f>TiposLancamentos!B105</f>
        <v>Transf. Bco</v>
      </c>
      <c r="C2179" s="771" t="s">
        <v>18304</v>
      </c>
      <c r="D2179" s="197"/>
      <c r="E2179" s="857">
        <v>4313.29</v>
      </c>
      <c r="F2179" s="1697"/>
      <c r="G2179" s="1040"/>
    </row>
    <row r="2180" spans="1:7">
      <c r="A2180" s="967"/>
      <c r="B2180" s="968"/>
      <c r="C2180" s="1093" t="s">
        <v>1642</v>
      </c>
      <c r="D2180" s="970"/>
      <c r="E2180" s="971"/>
      <c r="F2180" s="1712"/>
      <c r="G2180" s="1039"/>
    </row>
    <row r="2181" spans="1:7">
      <c r="A2181" s="884">
        <v>45675</v>
      </c>
      <c r="B2181" s="138" t="str">
        <f>TiposLancamentos!B97</f>
        <v>Deposito Terc.</v>
      </c>
      <c r="C2181" s="771" t="s">
        <v>10606</v>
      </c>
      <c r="D2181" s="197">
        <v>138</v>
      </c>
      <c r="E2181" s="857"/>
      <c r="F2181" s="1697"/>
      <c r="G2181" s="1040"/>
    </row>
    <row r="2182" spans="1:7" ht="14.25" thickBot="1">
      <c r="A2182" s="884">
        <v>45675</v>
      </c>
      <c r="B2182" s="138" t="str">
        <f>TiposLancamentos!B105</f>
        <v>Transf. Bco</v>
      </c>
      <c r="C2182" s="771" t="s">
        <v>18316</v>
      </c>
      <c r="D2182" s="197"/>
      <c r="E2182" s="857">
        <v>138</v>
      </c>
      <c r="F2182" s="1697"/>
      <c r="G2182" s="1040"/>
    </row>
    <row r="2183" spans="1:7">
      <c r="A2183" s="967"/>
      <c r="B2183" s="968"/>
      <c r="C2183" s="1093" t="s">
        <v>1643</v>
      </c>
      <c r="D2183" s="970"/>
      <c r="E2183" s="971"/>
      <c r="F2183" s="1712"/>
      <c r="G2183" s="1039"/>
    </row>
    <row r="2184" spans="1:7">
      <c r="A2184" s="884"/>
      <c r="B2184" s="138"/>
      <c r="C2184" s="771"/>
      <c r="D2184" s="197"/>
      <c r="E2184" s="857"/>
      <c r="F2184" s="1697"/>
      <c r="G2184" s="1040"/>
    </row>
    <row r="2185" spans="1:7">
      <c r="A2185" s="872">
        <v>45706</v>
      </c>
      <c r="B2185" s="1312"/>
      <c r="C2185" s="163" t="s">
        <v>14909</v>
      </c>
      <c r="D2185" s="163"/>
      <c r="E2185" s="873"/>
      <c r="F2185" s="1697"/>
      <c r="G2185" s="1040"/>
    </row>
    <row r="2186" spans="1:7">
      <c r="A2186" s="884"/>
      <c r="B2186" s="138"/>
      <c r="C2186" s="771"/>
      <c r="D2186" s="197"/>
      <c r="E2186" s="857"/>
      <c r="F2186" s="1697"/>
      <c r="G2186" s="1040"/>
    </row>
    <row r="2187" spans="1:7">
      <c r="A2187" s="884"/>
      <c r="B2187" s="138"/>
      <c r="C2187" s="771"/>
      <c r="D2187" s="197"/>
      <c r="E2187" s="857"/>
      <c r="F2187" s="1697"/>
      <c r="G2187" s="1040"/>
    </row>
    <row r="2188" spans="1:7">
      <c r="A2188" s="884"/>
      <c r="B2188" s="138"/>
      <c r="C2188" s="771"/>
      <c r="D2188" s="197"/>
      <c r="E2188" s="857"/>
      <c r="F2188" s="135"/>
      <c r="G2188" s="1040"/>
    </row>
    <row r="2189" spans="1:7">
      <c r="A2189" s="872"/>
      <c r="B2189" s="1312"/>
      <c r="C2189" s="163" t="s">
        <v>18317</v>
      </c>
      <c r="D2189" s="163"/>
      <c r="E2189" s="873"/>
      <c r="F2189" s="135"/>
      <c r="G2189" s="1040"/>
    </row>
    <row r="2190" spans="1:7" ht="14.25" thickBot="1">
      <c r="A2190" s="885"/>
      <c r="B2190" s="886"/>
      <c r="C2190" s="887"/>
      <c r="D2190" s="888"/>
      <c r="E2190" s="870"/>
      <c r="F2190" s="1035"/>
      <c r="G2190" s="1711"/>
    </row>
    <row r="2191" spans="1:7">
      <c r="A2191" s="46"/>
      <c r="B2191" s="116"/>
      <c r="C2191" s="117"/>
      <c r="D2191" s="1630">
        <f>SUM(D2:D2190)</f>
        <v>746283.03900000092</v>
      </c>
      <c r="E2191" s="1631">
        <f>SUM(E2:E2190)</f>
        <v>746283.03500000143</v>
      </c>
      <c r="F2191" s="135"/>
      <c r="G2191" s="3"/>
    </row>
    <row r="2192" spans="1:7">
      <c r="A2192" s="119"/>
      <c r="B2192" s="120"/>
      <c r="C2192" s="184" t="s">
        <v>13</v>
      </c>
      <c r="D2192" s="200"/>
      <c r="E2192" s="35">
        <f>D2191-E2191</f>
        <v>3.9999994914978743E-3</v>
      </c>
      <c r="F2192" s="135"/>
      <c r="G2192" s="3"/>
    </row>
    <row r="2193" spans="1:7">
      <c r="A2193" s="116"/>
      <c r="B2193" s="116"/>
      <c r="C2193" s="52" t="s">
        <v>9740</v>
      </c>
      <c r="D2193" s="171"/>
      <c r="E2193" s="35"/>
      <c r="F2193" s="135"/>
      <c r="G2193" s="3"/>
    </row>
    <row r="2194" spans="1:7">
      <c r="A2194" s="116"/>
      <c r="B2194" s="116"/>
      <c r="C2194" s="52" t="s">
        <v>9741</v>
      </c>
      <c r="D2194" s="171"/>
      <c r="E2194" s="35">
        <f>IF(E2193&lt;&gt;0,E2192-E2193,0)</f>
        <v>0</v>
      </c>
      <c r="F2194" s="135"/>
      <c r="G2194" s="3"/>
    </row>
    <row r="2195" spans="1:7">
      <c r="A2195" s="116"/>
      <c r="B2195" s="116"/>
      <c r="C2195" s="52" t="s">
        <v>14</v>
      </c>
      <c r="D2195" s="171"/>
      <c r="E2195" s="35">
        <v>3240</v>
      </c>
      <c r="F2195" s="135"/>
      <c r="G2195" s="3"/>
    </row>
    <row r="2196" spans="1:7">
      <c r="A2196" s="116"/>
      <c r="B2196" s="116"/>
      <c r="C2196" s="52" t="s">
        <v>9742</v>
      </c>
      <c r="D2196" s="171"/>
      <c r="E2196" s="35">
        <f>E2195+E2192</f>
        <v>3240.0039999994915</v>
      </c>
      <c r="F2196" s="135"/>
      <c r="G2196" s="3"/>
    </row>
    <row r="2197" spans="1:7">
      <c r="A2197" s="116"/>
      <c r="B2197" s="116"/>
      <c r="C2197" s="52"/>
      <c r="D2197" s="51"/>
      <c r="E2197" s="64"/>
      <c r="F2197" s="135"/>
      <c r="G2197" s="3"/>
    </row>
    <row r="2198" spans="1:7">
      <c r="A2198" s="3"/>
      <c r="B2198" s="3" t="s">
        <v>9743</v>
      </c>
      <c r="C2198" s="3"/>
      <c r="D2198" s="66" t="s">
        <v>9744</v>
      </c>
      <c r="E2198" s="1052"/>
      <c r="F2198" s="3"/>
      <c r="G2198" s="3"/>
    </row>
    <row r="2199" spans="1:7">
      <c r="A2199" s="3"/>
      <c r="B2199" s="201" t="s">
        <v>9745</v>
      </c>
      <c r="C2199" s="3"/>
      <c r="D2199" s="66"/>
      <c r="E2199" s="66"/>
      <c r="F2199" s="3"/>
      <c r="G2199" s="3"/>
    </row>
    <row r="2200" spans="1:7">
      <c r="A2200" s="3"/>
      <c r="B2200" s="3"/>
      <c r="C2200" s="3"/>
      <c r="D2200" s="25" t="s">
        <v>9746</v>
      </c>
      <c r="E2200" s="176"/>
      <c r="F2200" s="3"/>
      <c r="G2200" s="3"/>
    </row>
    <row r="2201" spans="1:7">
      <c r="A2201" s="3"/>
      <c r="B2201" s="3"/>
      <c r="C2201" s="3"/>
      <c r="D2201" s="25" t="s">
        <v>9747</v>
      </c>
      <c r="E2201" s="176"/>
      <c r="F2201" s="3"/>
      <c r="G2201" s="3"/>
    </row>
    <row r="2202" spans="1:7">
      <c r="A2202" s="3"/>
      <c r="B2202" s="3"/>
      <c r="C2202" s="3"/>
      <c r="D2202" s="25" t="s">
        <v>4858</v>
      </c>
      <c r="E2202" s="176"/>
      <c r="F2202" s="3"/>
      <c r="G2202" s="3"/>
    </row>
    <row r="2203" spans="1:7">
      <c r="A2203" s="3"/>
      <c r="B2203" s="3"/>
      <c r="C2203" s="3"/>
      <c r="D2203" s="25" t="s">
        <v>5065</v>
      </c>
      <c r="E2203" s="176"/>
      <c r="F2203" s="3"/>
      <c r="G2203" s="3"/>
    </row>
    <row r="2204" spans="1:7">
      <c r="A2204" s="3"/>
      <c r="B2204" s="3"/>
      <c r="C2204" s="3"/>
      <c r="D2204" s="25"/>
      <c r="E2204" s="34"/>
      <c r="F2204" s="3"/>
      <c r="G2204" s="3"/>
    </row>
    <row r="2205" spans="1:7">
      <c r="A2205" s="3"/>
      <c r="B2205" s="3"/>
      <c r="C2205" s="3"/>
      <c r="D2205" s="25" t="s">
        <v>9748</v>
      </c>
      <c r="E2205" s="34">
        <f>(IF(E2192&lt;0,(E2192*-1)*E2200,0))</f>
        <v>0</v>
      </c>
      <c r="F2205" s="3"/>
      <c r="G2205" s="3"/>
    </row>
    <row r="2206" spans="1:7">
      <c r="A2206" s="3"/>
      <c r="B2206" s="3"/>
      <c r="C2206" s="3"/>
      <c r="D2206" s="25" t="s">
        <v>9749</v>
      </c>
      <c r="E2206" s="34">
        <f>IF(E2192&lt;0,(E2192*-1)*E2202,0)</f>
        <v>0</v>
      </c>
      <c r="F2206" s="3"/>
      <c r="G2206" s="3"/>
    </row>
    <row r="2207" spans="1:7">
      <c r="A2207" s="3"/>
      <c r="B2207" s="3"/>
      <c r="C2207" s="3"/>
      <c r="D2207" s="25" t="s">
        <v>9750</v>
      </c>
      <c r="E2207" s="34">
        <f>IF(E2195&lt;0,(E2195*-1)*E2203,0)</f>
        <v>0</v>
      </c>
      <c r="F2207" s="3"/>
      <c r="G2207" s="3"/>
    </row>
    <row r="2208" spans="1:7">
      <c r="A2208" s="3"/>
      <c r="B2208" s="3"/>
      <c r="C2208" s="3"/>
      <c r="D2208" s="177" t="s">
        <v>9751</v>
      </c>
      <c r="E2208" s="178">
        <f>IF(E2195&lt;0,(E2195*-1)+E2205+E2206,0)</f>
        <v>0</v>
      </c>
      <c r="F2208" s="3"/>
      <c r="G2208" s="3"/>
    </row>
    <row r="2209" spans="1:7">
      <c r="A2209" s="3"/>
      <c r="B2209" s="3"/>
      <c r="C2209" s="3"/>
      <c r="D2209" s="3"/>
      <c r="E2209" s="3"/>
      <c r="F2209" s="3"/>
      <c r="G2209" s="3"/>
    </row>
  </sheetData>
  <conditionalFormatting sqref="E3:E31 E2148:E2157 E2160:E2173 E2175:E2184 E2186:E2188">
    <cfRule type="cellIs" dxfId="118" priority="484" stopIfTrue="1" operator="lessThan">
      <formula>0</formula>
    </cfRule>
  </conditionalFormatting>
  <conditionalFormatting sqref="E35">
    <cfRule type="cellIs" dxfId="117" priority="480" stopIfTrue="1" operator="lessThan">
      <formula>0</formula>
    </cfRule>
  </conditionalFormatting>
  <conditionalFormatting sqref="E39:E41">
    <cfRule type="cellIs" dxfId="116" priority="482" stopIfTrue="1" operator="lessThan">
      <formula>0</formula>
    </cfRule>
  </conditionalFormatting>
  <conditionalFormatting sqref="E45:E83">
    <cfRule type="cellIs" dxfId="115" priority="1" stopIfTrue="1" operator="lessThan">
      <formula>0</formula>
    </cfRule>
  </conditionalFormatting>
  <conditionalFormatting sqref="E87">
    <cfRule type="cellIs" dxfId="114" priority="472" stopIfTrue="1" operator="lessThan">
      <formula>0</formula>
    </cfRule>
  </conditionalFormatting>
  <conditionalFormatting sqref="E91:E93">
    <cfRule type="cellIs" dxfId="113" priority="466" stopIfTrue="1" operator="lessThan">
      <formula>0</formula>
    </cfRule>
  </conditionalFormatting>
  <conditionalFormatting sqref="E97:E138">
    <cfRule type="cellIs" dxfId="112" priority="2" stopIfTrue="1" operator="lessThan">
      <formula>0</formula>
    </cfRule>
  </conditionalFormatting>
  <conditionalFormatting sqref="E142">
    <cfRule type="cellIs" dxfId="111" priority="456" stopIfTrue="1" operator="lessThan">
      <formula>0</formula>
    </cfRule>
  </conditionalFormatting>
  <conditionalFormatting sqref="E146:E148 E194 E220 E224:E226 E263:E269 E318:E323 E327:E342 E422:E423 E484:E485 E547:E548 E646:E648 E695:E696 E763 E794 E802:E812 E834:E836 E865 E869 E904:E907 E1142 E1216:E1220 E1251:E1255 E1930:E1937 E2000:E2015 E2019:E2030 E2040:E2056 E2144:E2146">
    <cfRule type="cellIs" dxfId="110" priority="704" stopIfTrue="1" operator="lessThan">
      <formula>0</formula>
    </cfRule>
  </conditionalFormatting>
  <conditionalFormatting sqref="E152:E186">
    <cfRule type="cellIs" dxfId="109" priority="3" stopIfTrue="1" operator="lessThan">
      <formula>0</formula>
    </cfRule>
  </conditionalFormatting>
  <conditionalFormatting sqref="E190">
    <cfRule type="cellIs" dxfId="108" priority="448" stopIfTrue="1" operator="lessThan">
      <formula>0</formula>
    </cfRule>
  </conditionalFormatting>
  <conditionalFormatting sqref="E198:E216">
    <cfRule type="cellIs" dxfId="107" priority="4" stopIfTrue="1" operator="lessThan">
      <formula>0</formula>
    </cfRule>
  </conditionalFormatting>
  <conditionalFormatting sqref="E230:E255">
    <cfRule type="cellIs" dxfId="106" priority="6" stopIfTrue="1" operator="lessThan">
      <formula>0</formula>
    </cfRule>
  </conditionalFormatting>
  <conditionalFormatting sqref="E259">
    <cfRule type="cellIs" dxfId="105" priority="432" stopIfTrue="1" operator="lessThan">
      <formula>0</formula>
    </cfRule>
  </conditionalFormatting>
  <conditionalFormatting sqref="E273:E315">
    <cfRule type="cellIs" dxfId="104" priority="7" stopIfTrue="1" operator="lessThan">
      <formula>0</formula>
    </cfRule>
  </conditionalFormatting>
  <conditionalFormatting sqref="E346:E348">
    <cfRule type="cellIs" dxfId="103" priority="428" stopIfTrue="1" operator="lessThan">
      <formula>0</formula>
    </cfRule>
  </conditionalFormatting>
  <conditionalFormatting sqref="E352:E402">
    <cfRule type="cellIs" dxfId="102" priority="8" stopIfTrue="1" operator="lessThan">
      <formula>0</formula>
    </cfRule>
  </conditionalFormatting>
  <conditionalFormatting sqref="E406:E418">
    <cfRule type="cellIs" dxfId="101" priority="420" stopIfTrue="1" operator="lessThan">
      <formula>0</formula>
    </cfRule>
  </conditionalFormatting>
  <conditionalFormatting sqref="E427:E480">
    <cfRule type="cellIs" dxfId="100" priority="9" stopIfTrue="1" operator="lessThan">
      <formula>0</formula>
    </cfRule>
  </conditionalFormatting>
  <conditionalFormatting sqref="E489:E490">
    <cfRule type="cellIs" dxfId="99" priority="418" stopIfTrue="1" operator="lessThan">
      <formula>0</formula>
    </cfRule>
  </conditionalFormatting>
  <conditionalFormatting sqref="E494:E543">
    <cfRule type="cellIs" dxfId="98" priority="10" stopIfTrue="1" operator="lessThan">
      <formula>0</formula>
    </cfRule>
  </conditionalFormatting>
  <conditionalFormatting sqref="E552">
    <cfRule type="cellIs" dxfId="97" priority="412" stopIfTrue="1" operator="lessThan">
      <formula>0</formula>
    </cfRule>
  </conditionalFormatting>
  <conditionalFormatting sqref="E556:E590">
    <cfRule type="cellIs" dxfId="96" priority="11" stopIfTrue="1" operator="lessThan">
      <formula>0</formula>
    </cfRule>
  </conditionalFormatting>
  <conditionalFormatting sqref="E594:E598">
    <cfRule type="cellIs" dxfId="95" priority="404" stopIfTrue="1" operator="lessThan">
      <formula>0</formula>
    </cfRule>
  </conditionalFormatting>
  <conditionalFormatting sqref="E602">
    <cfRule type="cellIs" dxfId="94" priority="402" stopIfTrue="1" operator="lessThan">
      <formula>0</formula>
    </cfRule>
  </conditionalFormatting>
  <conditionalFormatting sqref="E606:E642">
    <cfRule type="cellIs" dxfId="93" priority="12" stopIfTrue="1" operator="lessThan">
      <formula>0</formula>
    </cfRule>
  </conditionalFormatting>
  <conditionalFormatting sqref="E652">
    <cfRule type="cellIs" dxfId="92" priority="392" stopIfTrue="1" operator="lessThan">
      <formula>0</formula>
    </cfRule>
  </conditionalFormatting>
  <conditionalFormatting sqref="E656:E691">
    <cfRule type="cellIs" dxfId="91" priority="13" stopIfTrue="1" operator="lessThan">
      <formula>0</formula>
    </cfRule>
  </conditionalFormatting>
  <conditionalFormatting sqref="E700">
    <cfRule type="cellIs" dxfId="90" priority="378" stopIfTrue="1" operator="lessThan">
      <formula>0</formula>
    </cfRule>
  </conditionalFormatting>
  <conditionalFormatting sqref="E704:E753">
    <cfRule type="cellIs" dxfId="89" priority="14" stopIfTrue="1" operator="lessThan">
      <formula>0</formula>
    </cfRule>
  </conditionalFormatting>
  <conditionalFormatting sqref="E757:E759">
    <cfRule type="cellIs" dxfId="88" priority="374" stopIfTrue="1" operator="lessThan">
      <formula>0</formula>
    </cfRule>
  </conditionalFormatting>
  <conditionalFormatting sqref="E767:E790">
    <cfRule type="cellIs" dxfId="87" priority="15" stopIfTrue="1" operator="lessThan">
      <formula>0</formula>
    </cfRule>
  </conditionalFormatting>
  <conditionalFormatting sqref="E798">
    <cfRule type="cellIs" dxfId="86" priority="368" stopIfTrue="1" operator="lessThan">
      <formula>0</formula>
    </cfRule>
  </conditionalFormatting>
  <conditionalFormatting sqref="E814:E830">
    <cfRule type="cellIs" dxfId="85" priority="16" stopIfTrue="1" operator="lessThan">
      <formula>0</formula>
    </cfRule>
  </conditionalFormatting>
  <conditionalFormatting sqref="E840:E861">
    <cfRule type="cellIs" dxfId="84" priority="17" stopIfTrue="1" operator="lessThan">
      <formula>0</formula>
    </cfRule>
  </conditionalFormatting>
  <conditionalFormatting sqref="E873:E900">
    <cfRule type="cellIs" dxfId="83" priority="18" stopIfTrue="1" operator="lessThan">
      <formula>0</formula>
    </cfRule>
  </conditionalFormatting>
  <conditionalFormatting sqref="E911">
    <cfRule type="cellIs" dxfId="82" priority="346" stopIfTrue="1" operator="lessThan">
      <formula>0</formula>
    </cfRule>
  </conditionalFormatting>
  <conditionalFormatting sqref="E915:E970">
    <cfRule type="cellIs" dxfId="81" priority="19" stopIfTrue="1" operator="lessThan">
      <formula>0</formula>
    </cfRule>
  </conditionalFormatting>
  <conditionalFormatting sqref="E974:E993">
    <cfRule type="cellIs" dxfId="80" priority="336" stopIfTrue="1" operator="lessThan">
      <formula>0</formula>
    </cfRule>
  </conditionalFormatting>
  <conditionalFormatting sqref="E997">
    <cfRule type="cellIs" dxfId="79" priority="334" stopIfTrue="1" operator="lessThan">
      <formula>0</formula>
    </cfRule>
  </conditionalFormatting>
  <conditionalFormatting sqref="E1001:E1059">
    <cfRule type="cellIs" dxfId="78" priority="21" stopIfTrue="1" operator="lessThan">
      <formula>0</formula>
    </cfRule>
  </conditionalFormatting>
  <conditionalFormatting sqref="E1063:E1079">
    <cfRule type="cellIs" dxfId="77" priority="322" stopIfTrue="1" operator="lessThan">
      <formula>0</formula>
    </cfRule>
  </conditionalFormatting>
  <conditionalFormatting sqref="E1083">
    <cfRule type="cellIs" dxfId="76" priority="328" stopIfTrue="1" operator="lessThan">
      <formula>0</formula>
    </cfRule>
  </conditionalFormatting>
  <conditionalFormatting sqref="E1087:E1138">
    <cfRule type="cellIs" dxfId="75" priority="20" stopIfTrue="1" operator="lessThan">
      <formula>0</formula>
    </cfRule>
  </conditionalFormatting>
  <conditionalFormatting sqref="E1146">
    <cfRule type="cellIs" dxfId="74" priority="314" stopIfTrue="1" operator="lessThan">
      <formula>0</formula>
    </cfRule>
  </conditionalFormatting>
  <conditionalFormatting sqref="E1150:E1176">
    <cfRule type="cellIs" dxfId="73" priority="22" stopIfTrue="1" operator="lessThan">
      <formula>0</formula>
    </cfRule>
  </conditionalFormatting>
  <conditionalFormatting sqref="E1180:E1181">
    <cfRule type="cellIs" dxfId="72" priority="308" stopIfTrue="1" operator="lessThan">
      <formula>0</formula>
    </cfRule>
  </conditionalFormatting>
  <conditionalFormatting sqref="E1185">
    <cfRule type="cellIs" dxfId="71" priority="306" stopIfTrue="1" operator="lessThan">
      <formula>0</formula>
    </cfRule>
  </conditionalFormatting>
  <conditionalFormatting sqref="E1189:E1212">
    <cfRule type="cellIs" dxfId="70" priority="23" stopIfTrue="1" operator="lessThan">
      <formula>0</formula>
    </cfRule>
  </conditionalFormatting>
  <conditionalFormatting sqref="E1224">
    <cfRule type="cellIs" dxfId="69" priority="296" stopIfTrue="1" operator="lessThan">
      <formula>0</formula>
    </cfRule>
  </conditionalFormatting>
  <conditionalFormatting sqref="E1228:E1247">
    <cfRule type="cellIs" dxfId="68" priority="24" stopIfTrue="1" operator="lessThan">
      <formula>0</formula>
    </cfRule>
  </conditionalFormatting>
  <conditionalFormatting sqref="E1259">
    <cfRule type="cellIs" dxfId="67" priority="290" stopIfTrue="1" operator="lessThan">
      <formula>0</formula>
    </cfRule>
  </conditionalFormatting>
  <conditionalFormatting sqref="E1263:E1296">
    <cfRule type="cellIs" dxfId="66" priority="25" stopIfTrue="1" operator="lessThan">
      <formula>0</formula>
    </cfRule>
  </conditionalFormatting>
  <conditionalFormatting sqref="E1300:E1303">
    <cfRule type="cellIs" dxfId="65" priority="280" stopIfTrue="1" operator="lessThan">
      <formula>0</formula>
    </cfRule>
  </conditionalFormatting>
  <conditionalFormatting sqref="E1307">
    <cfRule type="cellIs" dxfId="64" priority="278" stopIfTrue="1" operator="lessThan">
      <formula>0</formula>
    </cfRule>
  </conditionalFormatting>
  <conditionalFormatting sqref="E1311:E1350">
    <cfRule type="cellIs" dxfId="63" priority="26" stopIfTrue="1" operator="lessThan">
      <formula>0</formula>
    </cfRule>
  </conditionalFormatting>
  <conditionalFormatting sqref="E1354:E1364">
    <cfRule type="cellIs" dxfId="62" priority="266" stopIfTrue="1" operator="lessThan">
      <formula>0</formula>
    </cfRule>
  </conditionalFormatting>
  <conditionalFormatting sqref="E1368">
    <cfRule type="cellIs" dxfId="61" priority="264" stopIfTrue="1" operator="lessThan">
      <formula>0</formula>
    </cfRule>
  </conditionalFormatting>
  <conditionalFormatting sqref="E1372:E1403">
    <cfRule type="cellIs" dxfId="60" priority="27" stopIfTrue="1" operator="lessThan">
      <formula>0</formula>
    </cfRule>
  </conditionalFormatting>
  <conditionalFormatting sqref="E1407:E1410">
    <cfRule type="cellIs" dxfId="59" priority="254" stopIfTrue="1" operator="lessThan">
      <formula>0</formula>
    </cfRule>
  </conditionalFormatting>
  <conditionalFormatting sqref="E1414">
    <cfRule type="cellIs" dxfId="58" priority="250" stopIfTrue="1" operator="lessThan">
      <formula>0</formula>
    </cfRule>
  </conditionalFormatting>
  <conditionalFormatting sqref="E1418:E1442">
    <cfRule type="cellIs" dxfId="57" priority="28" stopIfTrue="1" operator="lessThan">
      <formula>0</formula>
    </cfRule>
  </conditionalFormatting>
  <conditionalFormatting sqref="E1446:E1453">
    <cfRule type="cellIs" dxfId="56" priority="244" stopIfTrue="1" operator="lessThan">
      <formula>0</formula>
    </cfRule>
  </conditionalFormatting>
  <conditionalFormatting sqref="E1457">
    <cfRule type="cellIs" dxfId="55" priority="242" stopIfTrue="1" operator="lessThan">
      <formula>0</formula>
    </cfRule>
  </conditionalFormatting>
  <conditionalFormatting sqref="E1461:E1477">
    <cfRule type="cellIs" dxfId="54" priority="29" stopIfTrue="1" operator="lessThan">
      <formula>0</formula>
    </cfRule>
  </conditionalFormatting>
  <conditionalFormatting sqref="E1481:E1483">
    <cfRule type="cellIs" dxfId="53" priority="238" stopIfTrue="1" operator="lessThan">
      <formula>0</formula>
    </cfRule>
  </conditionalFormatting>
  <conditionalFormatting sqref="E1487">
    <cfRule type="cellIs" dxfId="52" priority="236" stopIfTrue="1" operator="lessThan">
      <formula>0</formula>
    </cfRule>
  </conditionalFormatting>
  <conditionalFormatting sqref="E1491:E1526">
    <cfRule type="cellIs" dxfId="51" priority="31" stopIfTrue="1" operator="lessThan">
      <formula>0</formula>
    </cfRule>
  </conditionalFormatting>
  <conditionalFormatting sqref="E1530:E1533">
    <cfRule type="cellIs" dxfId="50" priority="224" stopIfTrue="1" operator="lessThan">
      <formula>0</formula>
    </cfRule>
  </conditionalFormatting>
  <conditionalFormatting sqref="E1537">
    <cfRule type="cellIs" dxfId="49" priority="220" stopIfTrue="1" operator="lessThan">
      <formula>0</formula>
    </cfRule>
  </conditionalFormatting>
  <conditionalFormatting sqref="E1541:E1571">
    <cfRule type="cellIs" dxfId="48" priority="30" stopIfTrue="1" operator="lessThan">
      <formula>0</formula>
    </cfRule>
  </conditionalFormatting>
  <conditionalFormatting sqref="E1575:E1577">
    <cfRule type="cellIs" dxfId="47" priority="210" stopIfTrue="1" operator="lessThan">
      <formula>0</formula>
    </cfRule>
  </conditionalFormatting>
  <conditionalFormatting sqref="E1581">
    <cfRule type="cellIs" dxfId="46" priority="208" stopIfTrue="1" operator="lessThan">
      <formula>0</formula>
    </cfRule>
  </conditionalFormatting>
  <conditionalFormatting sqref="E1585:E1606">
    <cfRule type="cellIs" dxfId="45" priority="32" stopIfTrue="1" operator="lessThan">
      <formula>0</formula>
    </cfRule>
  </conditionalFormatting>
  <conditionalFormatting sqref="E1610:E1615">
    <cfRule type="cellIs" dxfId="44" priority="192" stopIfTrue="1" operator="lessThan">
      <formula>0</formula>
    </cfRule>
  </conditionalFormatting>
  <conditionalFormatting sqref="E1619">
    <cfRule type="cellIs" dxfId="43" priority="190" stopIfTrue="1" operator="lessThan">
      <formula>0</formula>
    </cfRule>
  </conditionalFormatting>
  <conditionalFormatting sqref="E1623:E1651">
    <cfRule type="cellIs" dxfId="42" priority="33" stopIfTrue="1" operator="lessThan">
      <formula>0</formula>
    </cfRule>
  </conditionalFormatting>
  <conditionalFormatting sqref="E1655:E1656">
    <cfRule type="cellIs" dxfId="41" priority="182" stopIfTrue="1" operator="lessThan">
      <formula>0</formula>
    </cfRule>
  </conditionalFormatting>
  <conditionalFormatting sqref="E1660">
    <cfRule type="cellIs" dxfId="40" priority="180" stopIfTrue="1" operator="lessThan">
      <formula>0</formula>
    </cfRule>
  </conditionalFormatting>
  <conditionalFormatting sqref="E1664:E1691">
    <cfRule type="cellIs" dxfId="39" priority="34" stopIfTrue="1" operator="lessThan">
      <formula>0</formula>
    </cfRule>
  </conditionalFormatting>
  <conditionalFormatting sqref="E1695:E1701">
    <cfRule type="cellIs" dxfId="38" priority="170" stopIfTrue="1" operator="lessThan">
      <formula>0</formula>
    </cfRule>
  </conditionalFormatting>
  <conditionalFormatting sqref="E1705">
    <cfRule type="cellIs" dxfId="37" priority="168" stopIfTrue="1" operator="lessThan">
      <formula>0</formula>
    </cfRule>
  </conditionalFormatting>
  <conditionalFormatting sqref="E1709:E1723">
    <cfRule type="cellIs" dxfId="36" priority="35" stopIfTrue="1" operator="lessThan">
      <formula>0</formula>
    </cfRule>
  </conditionalFormatting>
  <conditionalFormatting sqref="E1727:E1734">
    <cfRule type="cellIs" dxfId="35" priority="158" stopIfTrue="1" operator="lessThan">
      <formula>0</formula>
    </cfRule>
  </conditionalFormatting>
  <conditionalFormatting sqref="E1738">
    <cfRule type="cellIs" dxfId="34" priority="156" stopIfTrue="1" operator="lessThan">
      <formula>0</formula>
    </cfRule>
  </conditionalFormatting>
  <conditionalFormatting sqref="E1742:E1761">
    <cfRule type="cellIs" dxfId="33" priority="36" stopIfTrue="1" operator="lessThan">
      <formula>0</formula>
    </cfRule>
  </conditionalFormatting>
  <conditionalFormatting sqref="E1765:E1769">
    <cfRule type="cellIs" dxfId="32" priority="146" stopIfTrue="1" operator="lessThan">
      <formula>0</formula>
    </cfRule>
  </conditionalFormatting>
  <conditionalFormatting sqref="E1773:E1774">
    <cfRule type="cellIs" dxfId="31" priority="142" stopIfTrue="1" operator="lessThan">
      <formula>0</formula>
    </cfRule>
  </conditionalFormatting>
  <conditionalFormatting sqref="E1778:E1798">
    <cfRule type="cellIs" dxfId="30" priority="37" stopIfTrue="1" operator="lessThan">
      <formula>0</formula>
    </cfRule>
  </conditionalFormatting>
  <conditionalFormatting sqref="E1802:E1806">
    <cfRule type="cellIs" dxfId="29" priority="130" stopIfTrue="1" operator="lessThan">
      <formula>0</formula>
    </cfRule>
  </conditionalFormatting>
  <conditionalFormatting sqref="E1810:E1811">
    <cfRule type="cellIs" dxfId="28" priority="126" stopIfTrue="1" operator="lessThan">
      <formula>0</formula>
    </cfRule>
  </conditionalFormatting>
  <conditionalFormatting sqref="E1815:E1838">
    <cfRule type="cellIs" dxfId="27" priority="38" stopIfTrue="1" operator="lessThan">
      <formula>0</formula>
    </cfRule>
  </conditionalFormatting>
  <conditionalFormatting sqref="E1842:E1844">
    <cfRule type="cellIs" dxfId="26" priority="116" stopIfTrue="1" operator="lessThan">
      <formula>0</formula>
    </cfRule>
  </conditionalFormatting>
  <conditionalFormatting sqref="E1848:E1849">
    <cfRule type="cellIs" dxfId="25" priority="112" stopIfTrue="1" operator="lessThan">
      <formula>0</formula>
    </cfRule>
  </conditionalFormatting>
  <conditionalFormatting sqref="E1853:E1874">
    <cfRule type="cellIs" dxfId="24" priority="39" stopIfTrue="1" operator="lessThan">
      <formula>0</formula>
    </cfRule>
  </conditionalFormatting>
  <conditionalFormatting sqref="E1878:E1879">
    <cfRule type="cellIs" dxfId="23" priority="98" stopIfTrue="1" operator="lessThan">
      <formula>0</formula>
    </cfRule>
  </conditionalFormatting>
  <conditionalFormatting sqref="E1883:E1884">
    <cfRule type="cellIs" dxfId="22" priority="94" stopIfTrue="1" operator="lessThan">
      <formula>0</formula>
    </cfRule>
  </conditionalFormatting>
  <conditionalFormatting sqref="E1888:E1892">
    <cfRule type="cellIs" dxfId="21" priority="88" stopIfTrue="1" operator="lessThan">
      <formula>0</formula>
    </cfRule>
  </conditionalFormatting>
  <conditionalFormatting sqref="E1895:E1914">
    <cfRule type="cellIs" dxfId="20" priority="40" stopIfTrue="1" operator="lessThan">
      <formula>0</formula>
    </cfRule>
  </conditionalFormatting>
  <conditionalFormatting sqref="E1918:E1926">
    <cfRule type="cellIs" dxfId="19" priority="41" stopIfTrue="1" operator="lessThan">
      <formula>0</formula>
    </cfRule>
  </conditionalFormatting>
  <conditionalFormatting sqref="E1941:E1943">
    <cfRule type="cellIs" dxfId="18" priority="66" stopIfTrue="1" operator="lessThan">
      <formula>0</formula>
    </cfRule>
  </conditionalFormatting>
  <conditionalFormatting sqref="E1947:E1997">
    <cfRule type="cellIs" dxfId="17" priority="42" stopIfTrue="1" operator="lessThan">
      <formula>0</formula>
    </cfRule>
  </conditionalFormatting>
  <conditionalFormatting sqref="E2034:E2036">
    <cfRule type="cellIs" dxfId="16" priority="56" stopIfTrue="1" operator="lessThan">
      <formula>0</formula>
    </cfRule>
  </conditionalFormatting>
  <conditionalFormatting sqref="E2059:E2110">
    <cfRule type="cellIs" dxfId="15" priority="43" stopIfTrue="1" operator="lessThan">
      <formula>0</formula>
    </cfRule>
  </conditionalFormatting>
  <conditionalFormatting sqref="E2114:E2140">
    <cfRule type="cellIs" dxfId="14" priority="44" stopIfTrue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Plan17"/>
  <dimension ref="A1:G2435"/>
  <sheetViews>
    <sheetView zoomScaleNormal="100" workbookViewId="0">
      <pane xSplit="7" ySplit="1" topLeftCell="H2397" activePane="bottomRight" state="frozen"/>
      <selection pane="bottomRight" activeCell="H1" sqref="H1"/>
      <selection pane="bottomLeft" activeCell="A2" sqref="A2"/>
      <selection pane="topRight" activeCell="H1" sqref="H1"/>
    </sheetView>
  </sheetViews>
  <sheetFormatPr defaultColWidth="9" defaultRowHeight="13.5"/>
  <cols>
    <col min="1" max="1" width="13.7109375" style="1257" bestFit="1" customWidth="1"/>
    <col min="2" max="2" width="22" style="1257" customWidth="1"/>
    <col min="3" max="3" width="54.5703125" style="1257" customWidth="1"/>
    <col min="4" max="4" width="17.28515625" style="1257" bestFit="1" customWidth="1"/>
    <col min="5" max="5" width="17" style="1258" customWidth="1"/>
    <col min="6" max="6" width="19.140625" style="1257" customWidth="1"/>
    <col min="7" max="7" width="7.7109375" style="1257" customWidth="1"/>
    <col min="8" max="16384" width="9" style="1257"/>
  </cols>
  <sheetData>
    <row r="1" spans="1:7" ht="14.25" thickBot="1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10646</v>
      </c>
    </row>
    <row r="2" spans="1:7">
      <c r="A2" s="1032"/>
      <c r="B2" s="1230"/>
      <c r="C2" s="906" t="s">
        <v>7109</v>
      </c>
      <c r="D2" s="896"/>
      <c r="E2" s="925"/>
      <c r="F2" s="898"/>
      <c r="G2" s="3"/>
    </row>
    <row r="3" spans="1:7">
      <c r="A3" s="884">
        <v>42537</v>
      </c>
      <c r="B3" s="240" t="str">
        <f>TiposLancamentos!B19</f>
        <v>Restaurantes</v>
      </c>
      <c r="C3" s="878" t="s">
        <v>18318</v>
      </c>
      <c r="D3" s="63"/>
      <c r="E3" s="231">
        <v>4</v>
      </c>
      <c r="F3" s="899"/>
      <c r="G3" s="1152" t="s">
        <v>9</v>
      </c>
    </row>
    <row r="4" spans="1:7">
      <c r="A4" s="934"/>
      <c r="B4" s="243"/>
      <c r="C4" s="389" t="s">
        <v>10</v>
      </c>
      <c r="D4" s="146"/>
      <c r="E4" s="1190"/>
      <c r="F4" s="935"/>
      <c r="G4" s="1094" t="s">
        <v>11</v>
      </c>
    </row>
    <row r="5" spans="1:7" ht="14.25" thickBot="1">
      <c r="A5" s="885">
        <v>42543</v>
      </c>
      <c r="B5" s="1232" t="str">
        <f>TiposLancamentos!B19</f>
        <v>Restaurantes</v>
      </c>
      <c r="C5" s="1120" t="s">
        <v>17384</v>
      </c>
      <c r="D5" s="903"/>
      <c r="E5" s="928">
        <v>173.8</v>
      </c>
      <c r="F5" s="905"/>
      <c r="G5" s="1152" t="s">
        <v>9</v>
      </c>
    </row>
    <row r="6" spans="1:7">
      <c r="A6" s="1032"/>
      <c r="B6" s="1230"/>
      <c r="C6" s="906" t="s">
        <v>7306</v>
      </c>
      <c r="D6" s="896"/>
      <c r="E6" s="925"/>
      <c r="F6" s="898">
        <f>SUM(E2:E3)</f>
        <v>4</v>
      </c>
      <c r="G6" s="3"/>
    </row>
    <row r="7" spans="1:7">
      <c r="A7" s="884">
        <v>42552</v>
      </c>
      <c r="B7" s="240" t="str">
        <f>TiposLancamentos!B15</f>
        <v>Cartões de Crédito</v>
      </c>
      <c r="C7" s="878" t="s">
        <v>1874</v>
      </c>
      <c r="D7" s="63">
        <v>4</v>
      </c>
      <c r="E7" s="231"/>
      <c r="F7" s="899">
        <f>F6-F2</f>
        <v>4</v>
      </c>
      <c r="G7" s="3"/>
    </row>
    <row r="8" spans="1:7">
      <c r="A8" s="1272">
        <v>42558</v>
      </c>
      <c r="B8" s="279" t="str">
        <f>TiposLancamentos!B19</f>
        <v>Restaurantes</v>
      </c>
      <c r="C8" s="280" t="s">
        <v>10047</v>
      </c>
      <c r="D8" s="281"/>
      <c r="E8" s="1293">
        <v>65</v>
      </c>
      <c r="F8" s="1632"/>
      <c r="G8" s="1152" t="s">
        <v>9</v>
      </c>
    </row>
    <row r="9" spans="1:7">
      <c r="A9" s="1272">
        <v>42563</v>
      </c>
      <c r="B9" s="279" t="str">
        <f>TiposLancamentos!B16</f>
        <v>Cristiane</v>
      </c>
      <c r="C9" s="280" t="s">
        <v>10047</v>
      </c>
      <c r="D9" s="281"/>
      <c r="E9" s="1293">
        <v>215</v>
      </c>
      <c r="F9" s="1632"/>
      <c r="G9" s="1152" t="s">
        <v>9</v>
      </c>
    </row>
    <row r="10" spans="1:7">
      <c r="A10" s="1272">
        <v>42564</v>
      </c>
      <c r="B10" s="279" t="str">
        <f>TiposLancamentos!B5</f>
        <v>Supermercado</v>
      </c>
      <c r="C10" s="280" t="s">
        <v>6234</v>
      </c>
      <c r="D10" s="281"/>
      <c r="E10" s="1293">
        <v>170.71</v>
      </c>
      <c r="F10" s="1632"/>
      <c r="G10" s="1152" t="s">
        <v>9</v>
      </c>
    </row>
    <row r="11" spans="1:7">
      <c r="A11" s="1272">
        <v>42567</v>
      </c>
      <c r="B11" s="279" t="str">
        <f>TiposLancamentos!B19</f>
        <v>Restaurantes</v>
      </c>
      <c r="C11" s="280" t="s">
        <v>10047</v>
      </c>
      <c r="D11" s="281"/>
      <c r="E11" s="1293">
        <v>70</v>
      </c>
      <c r="F11" s="1632"/>
      <c r="G11" s="1152" t="s">
        <v>9</v>
      </c>
    </row>
    <row r="12" spans="1:7">
      <c r="A12" s="884">
        <v>42571</v>
      </c>
      <c r="B12" s="240" t="str">
        <f>TiposLancamentos!B4</f>
        <v>Taxas Bancarias</v>
      </c>
      <c r="C12" s="147" t="s">
        <v>18319</v>
      </c>
      <c r="D12" s="63"/>
      <c r="E12" s="231">
        <v>5.95</v>
      </c>
      <c r="F12" s="899"/>
      <c r="G12" s="1152" t="s">
        <v>9</v>
      </c>
    </row>
    <row r="13" spans="1:7">
      <c r="A13" s="884">
        <v>42571</v>
      </c>
      <c r="B13" s="240" t="str">
        <f>TiposLancamentos!B4</f>
        <v>Taxas Bancarias</v>
      </c>
      <c r="C13" s="147" t="s">
        <v>18319</v>
      </c>
      <c r="D13" s="63"/>
      <c r="E13" s="231">
        <v>6.5</v>
      </c>
      <c r="F13" s="899"/>
      <c r="G13" s="1152" t="s">
        <v>9</v>
      </c>
    </row>
    <row r="14" spans="1:7">
      <c r="A14" s="934"/>
      <c r="B14" s="243"/>
      <c r="C14" s="389" t="s">
        <v>10</v>
      </c>
      <c r="D14" s="146"/>
      <c r="E14" s="1190"/>
      <c r="F14" s="935"/>
      <c r="G14" s="1094" t="s">
        <v>11</v>
      </c>
    </row>
    <row r="15" spans="1:7">
      <c r="A15" s="884">
        <v>42573</v>
      </c>
      <c r="B15" s="240" t="str">
        <f>TiposLancamentos!B5</f>
        <v>Supermercado</v>
      </c>
      <c r="C15" s="147" t="s">
        <v>6234</v>
      </c>
      <c r="D15" s="63"/>
      <c r="E15" s="231">
        <v>24.06</v>
      </c>
      <c r="F15" s="899"/>
      <c r="G15" s="1152" t="s">
        <v>9</v>
      </c>
    </row>
    <row r="16" spans="1:7">
      <c r="A16" s="884">
        <v>42573</v>
      </c>
      <c r="B16" s="240" t="str">
        <f>TiposLancamentos!B72</f>
        <v>Presentes</v>
      </c>
      <c r="C16" s="147" t="s">
        <v>18320</v>
      </c>
      <c r="D16" s="63"/>
      <c r="E16" s="231">
        <v>79.989999999999995</v>
      </c>
      <c r="F16" s="899"/>
      <c r="G16" s="1152" t="s">
        <v>9</v>
      </c>
    </row>
    <row r="17" spans="1:7">
      <c r="A17" s="884">
        <v>42573</v>
      </c>
      <c r="B17" s="240" t="str">
        <f>TiposLancamentos!B17</f>
        <v>GATO</v>
      </c>
      <c r="C17" s="147" t="s">
        <v>18321</v>
      </c>
      <c r="D17" s="63"/>
      <c r="E17" s="231">
        <v>49.9</v>
      </c>
      <c r="F17" s="899"/>
      <c r="G17" s="1152" t="s">
        <v>9</v>
      </c>
    </row>
    <row r="18" spans="1:7">
      <c r="A18" s="884">
        <v>42573</v>
      </c>
      <c r="B18" s="240" t="str">
        <f>TiposLancamentos!B70</f>
        <v>Vestuário</v>
      </c>
      <c r="C18" s="147" t="s">
        <v>18322</v>
      </c>
      <c r="D18" s="63"/>
      <c r="E18" s="231">
        <v>79.900000000000006</v>
      </c>
      <c r="F18" s="899"/>
      <c r="G18" s="1152" t="s">
        <v>9</v>
      </c>
    </row>
    <row r="19" spans="1:7">
      <c r="A19" s="884">
        <v>42573</v>
      </c>
      <c r="B19" s="240" t="str">
        <f>TiposLancamentos!B70</f>
        <v>Vestuário</v>
      </c>
      <c r="C19" s="147" t="s">
        <v>18323</v>
      </c>
      <c r="D19" s="63"/>
      <c r="E19" s="231">
        <v>479.9</v>
      </c>
      <c r="F19" s="899"/>
      <c r="G19" s="1152" t="s">
        <v>9</v>
      </c>
    </row>
    <row r="20" spans="1:7">
      <c r="A20" s="884">
        <v>42573</v>
      </c>
      <c r="B20" s="240" t="str">
        <f>TiposLancamentos!B72</f>
        <v>Presentes</v>
      </c>
      <c r="C20" s="147" t="s">
        <v>18320</v>
      </c>
      <c r="D20" s="63"/>
      <c r="E20" s="231">
        <v>89.8</v>
      </c>
      <c r="F20" s="899"/>
      <c r="G20" s="1152" t="s">
        <v>9</v>
      </c>
    </row>
    <row r="21" spans="1:7">
      <c r="A21" s="884">
        <v>42573</v>
      </c>
      <c r="B21" s="240" t="str">
        <f>TiposLancamentos!B19</f>
        <v>Restaurantes</v>
      </c>
      <c r="C21" s="147" t="s">
        <v>18324</v>
      </c>
      <c r="D21" s="63"/>
      <c r="E21" s="231">
        <v>125.62</v>
      </c>
      <c r="F21" s="899"/>
      <c r="G21" s="1152" t="s">
        <v>9</v>
      </c>
    </row>
    <row r="22" spans="1:7">
      <c r="A22" s="1272">
        <v>42574</v>
      </c>
      <c r="B22" s="279" t="str">
        <f>TiposLancamentos!B16</f>
        <v>Cristiane</v>
      </c>
      <c r="C22" s="280" t="s">
        <v>16939</v>
      </c>
      <c r="D22" s="281"/>
      <c r="E22" s="1293">
        <v>80.099999999999994</v>
      </c>
      <c r="F22" s="1632"/>
      <c r="G22" s="1152" t="s">
        <v>9</v>
      </c>
    </row>
    <row r="23" spans="1:7">
      <c r="A23" s="884">
        <v>42574</v>
      </c>
      <c r="B23" s="240" t="str">
        <f>TiposLancamentos!B48</f>
        <v>Baralhos e Oráculos</v>
      </c>
      <c r="C23" s="147" t="s">
        <v>18325</v>
      </c>
      <c r="D23" s="63"/>
      <c r="E23" s="231">
        <v>150</v>
      </c>
      <c r="F23" s="899"/>
      <c r="G23" s="1152" t="s">
        <v>9</v>
      </c>
    </row>
    <row r="24" spans="1:7">
      <c r="A24" s="858">
        <v>42574</v>
      </c>
      <c r="B24" s="822" t="str">
        <f>TiposLancamentos!B48</f>
        <v>Baralhos e Oráculos</v>
      </c>
      <c r="C24" s="808" t="s">
        <v>18326</v>
      </c>
      <c r="D24" s="747"/>
      <c r="E24" s="1118">
        <f>F25-E25</f>
        <v>45</v>
      </c>
      <c r="F24" s="1454"/>
      <c r="G24" s="1152" t="s">
        <v>9</v>
      </c>
    </row>
    <row r="25" spans="1:7">
      <c r="A25" s="862">
        <v>42574</v>
      </c>
      <c r="B25" s="823" t="str">
        <f>TiposLancamentos!B48</f>
        <v>Baralhos e Oráculos</v>
      </c>
      <c r="C25" s="812" t="s">
        <v>18327</v>
      </c>
      <c r="D25" s="849"/>
      <c r="E25" s="1119">
        <v>62</v>
      </c>
      <c r="F25" s="1308">
        <v>107</v>
      </c>
      <c r="G25" s="1152" t="s">
        <v>9</v>
      </c>
    </row>
    <row r="26" spans="1:7">
      <c r="A26" s="884">
        <v>42574</v>
      </c>
      <c r="B26" s="240" t="str">
        <f>TiposLancamentos!B19</f>
        <v>Restaurantes</v>
      </c>
      <c r="C26" s="147" t="s">
        <v>18328</v>
      </c>
      <c r="D26" s="63"/>
      <c r="E26" s="231">
        <v>143.88</v>
      </c>
      <c r="F26" s="899"/>
      <c r="G26" s="1152" t="s">
        <v>9</v>
      </c>
    </row>
    <row r="27" spans="1:7">
      <c r="A27" s="884">
        <v>42575</v>
      </c>
      <c r="B27" s="240" t="str">
        <f>TiposLancamentos!B13</f>
        <v>Moradia</v>
      </c>
      <c r="C27" s="147" t="s">
        <v>18329</v>
      </c>
      <c r="D27" s="63"/>
      <c r="E27" s="231">
        <v>199.92</v>
      </c>
      <c r="F27" s="899"/>
      <c r="G27" s="1152" t="s">
        <v>9</v>
      </c>
    </row>
    <row r="28" spans="1:7">
      <c r="A28" s="884">
        <v>42575</v>
      </c>
      <c r="B28" s="240" t="str">
        <f>TiposLancamentos!B5</f>
        <v>Supermercado</v>
      </c>
      <c r="C28" s="147" t="s">
        <v>6234</v>
      </c>
      <c r="D28" s="63"/>
      <c r="E28" s="231">
        <v>64.78</v>
      </c>
      <c r="F28" s="899"/>
      <c r="G28" s="1152" t="s">
        <v>9</v>
      </c>
    </row>
    <row r="29" spans="1:7">
      <c r="A29" s="1272">
        <v>42576</v>
      </c>
      <c r="B29" s="279" t="str">
        <f>TiposLancamentos!B5</f>
        <v>Supermercado</v>
      </c>
      <c r="C29" s="280" t="s">
        <v>6234</v>
      </c>
      <c r="D29" s="281"/>
      <c r="E29" s="1293">
        <v>179.08</v>
      </c>
      <c r="F29" s="1632"/>
      <c r="G29" s="1152" t="s">
        <v>9</v>
      </c>
    </row>
    <row r="30" spans="1:7">
      <c r="A30" s="884">
        <v>42577</v>
      </c>
      <c r="B30" s="240" t="str">
        <f>TiposLancamentos!B102</f>
        <v>ESTORNO</v>
      </c>
      <c r="C30" s="878" t="s">
        <v>18330</v>
      </c>
      <c r="D30" s="63">
        <v>5.95</v>
      </c>
      <c r="E30" s="231"/>
      <c r="F30" s="899"/>
      <c r="G30" s="1152" t="s">
        <v>9</v>
      </c>
    </row>
    <row r="31" spans="1:7">
      <c r="A31" s="884">
        <v>42577</v>
      </c>
      <c r="B31" s="240" t="str">
        <f>TiposLancamentos!B102</f>
        <v>ESTORNO</v>
      </c>
      <c r="C31" s="878" t="s">
        <v>18330</v>
      </c>
      <c r="D31" s="63">
        <v>6.5</v>
      </c>
      <c r="E31" s="231"/>
      <c r="F31" s="899"/>
      <c r="G31" s="1152" t="s">
        <v>9</v>
      </c>
    </row>
    <row r="32" spans="1:7">
      <c r="A32" s="1272">
        <v>42578</v>
      </c>
      <c r="B32" s="279" t="str">
        <f>TiposLancamentos!B16</f>
        <v>Cristiane</v>
      </c>
      <c r="C32" s="280" t="s">
        <v>18331</v>
      </c>
      <c r="D32" s="281"/>
      <c r="E32" s="1293">
        <v>83.3</v>
      </c>
      <c r="F32" s="1632"/>
      <c r="G32" s="1152" t="s">
        <v>9</v>
      </c>
    </row>
    <row r="33" spans="1:7">
      <c r="A33" s="1272">
        <v>42578</v>
      </c>
      <c r="B33" s="279" t="str">
        <f>TiposLancamentos!B16</f>
        <v>Cristiane</v>
      </c>
      <c r="C33" s="280" t="s">
        <v>18332</v>
      </c>
      <c r="D33" s="281"/>
      <c r="E33" s="1293">
        <v>85.35</v>
      </c>
      <c r="F33" s="1632"/>
      <c r="G33" s="1152" t="s">
        <v>9</v>
      </c>
    </row>
    <row r="34" spans="1:7">
      <c r="A34" s="884">
        <v>42579</v>
      </c>
      <c r="B34" s="240" t="str">
        <f>TiposLancamentos!B16</f>
        <v>Cristiane</v>
      </c>
      <c r="C34" s="878" t="s">
        <v>18333</v>
      </c>
      <c r="D34" s="63"/>
      <c r="E34" s="231">
        <v>86.9</v>
      </c>
      <c r="F34" s="899"/>
      <c r="G34" s="1152" t="s">
        <v>9</v>
      </c>
    </row>
    <row r="35" spans="1:7">
      <c r="A35" s="1272">
        <v>42580</v>
      </c>
      <c r="B35" s="279" t="str">
        <f>TiposLancamentos!B19</f>
        <v>Restaurantes</v>
      </c>
      <c r="C35" s="280" t="s">
        <v>10047</v>
      </c>
      <c r="D35" s="281"/>
      <c r="E35" s="1293">
        <v>70</v>
      </c>
      <c r="F35" s="1632"/>
      <c r="G35" s="1152" t="s">
        <v>9</v>
      </c>
    </row>
    <row r="36" spans="1:7">
      <c r="A36" s="1272">
        <v>42581</v>
      </c>
      <c r="B36" s="279" t="str">
        <f>TiposLancamentos!B16</f>
        <v>Cristiane</v>
      </c>
      <c r="C36" s="280" t="s">
        <v>18334</v>
      </c>
      <c r="D36" s="281"/>
      <c r="E36" s="1293">
        <v>75.25</v>
      </c>
      <c r="F36" s="1632"/>
      <c r="G36" s="1152" t="s">
        <v>9</v>
      </c>
    </row>
    <row r="37" spans="1:7">
      <c r="A37" s="1272">
        <v>42582</v>
      </c>
      <c r="B37" s="279" t="str">
        <f>TiposLancamentos!B16</f>
        <v>Cristiane</v>
      </c>
      <c r="C37" s="280" t="s">
        <v>18335</v>
      </c>
      <c r="D37" s="281"/>
      <c r="E37" s="1293">
        <v>82.4</v>
      </c>
      <c r="F37" s="1632"/>
      <c r="G37" s="1152" t="s">
        <v>9</v>
      </c>
    </row>
    <row r="38" spans="1:7" ht="14.25" thickBot="1">
      <c r="A38" s="1633">
        <v>42582</v>
      </c>
      <c r="B38" s="1634" t="str">
        <f>TiposLancamentos!B16</f>
        <v>Cristiane</v>
      </c>
      <c r="C38" s="1635" t="s">
        <v>18334</v>
      </c>
      <c r="D38" s="1636"/>
      <c r="E38" s="1637">
        <v>46.03</v>
      </c>
      <c r="F38" s="1638"/>
      <c r="G38" s="1152" t="s">
        <v>9</v>
      </c>
    </row>
    <row r="39" spans="1:7">
      <c r="A39" s="1032"/>
      <c r="B39" s="1230"/>
      <c r="C39" s="906" t="s">
        <v>10766</v>
      </c>
      <c r="D39" s="896"/>
      <c r="E39" s="925"/>
      <c r="F39" s="898">
        <f>SUM(E5:E13)</f>
        <v>706.96</v>
      </c>
      <c r="G39" s="1152" t="s">
        <v>9</v>
      </c>
    </row>
    <row r="40" spans="1:7">
      <c r="A40" s="884">
        <v>42583</v>
      </c>
      <c r="B40" s="240" t="str">
        <f>TiposLancamentos!B15</f>
        <v>Cartões de Crédito</v>
      </c>
      <c r="C40" s="878" t="s">
        <v>1874</v>
      </c>
      <c r="D40" s="63">
        <v>706.96</v>
      </c>
      <c r="E40" s="231"/>
      <c r="F40" s="899">
        <f>F39-F6</f>
        <v>702.96</v>
      </c>
      <c r="G40" s="1152" t="s">
        <v>9</v>
      </c>
    </row>
    <row r="41" spans="1:7">
      <c r="A41" s="1272">
        <v>42583</v>
      </c>
      <c r="B41" s="279" t="str">
        <f>TiposLancamentos!B5</f>
        <v>Supermercado</v>
      </c>
      <c r="C41" s="280" t="s">
        <v>6234</v>
      </c>
      <c r="D41" s="281"/>
      <c r="E41" s="1293">
        <v>119.36</v>
      </c>
      <c r="F41" s="1632"/>
      <c r="G41" s="1152" t="s">
        <v>9</v>
      </c>
    </row>
    <row r="42" spans="1:7">
      <c r="A42" s="1272">
        <v>42585</v>
      </c>
      <c r="B42" s="279" t="str">
        <f>TiposLancamentos!B16</f>
        <v>Cristiane</v>
      </c>
      <c r="C42" s="280" t="s">
        <v>18334</v>
      </c>
      <c r="D42" s="281"/>
      <c r="E42" s="1293">
        <v>94.45</v>
      </c>
      <c r="F42" s="1632"/>
      <c r="G42" s="1152" t="s">
        <v>9</v>
      </c>
    </row>
    <row r="43" spans="1:7">
      <c r="A43" s="884">
        <v>42586</v>
      </c>
      <c r="B43" s="240" t="str">
        <f>TiposLancamentos!B66</f>
        <v>Faxineira</v>
      </c>
      <c r="C43" s="147" t="s">
        <v>18336</v>
      </c>
      <c r="D43" s="63"/>
      <c r="E43" s="231">
        <v>150</v>
      </c>
      <c r="F43" s="899"/>
      <c r="G43" s="1152" t="s">
        <v>9</v>
      </c>
    </row>
    <row r="44" spans="1:7">
      <c r="A44" s="884">
        <v>42586</v>
      </c>
      <c r="B44" s="240" t="str">
        <f>TiposLancamentos!B5</f>
        <v>Supermercado</v>
      </c>
      <c r="C44" s="147" t="s">
        <v>6234</v>
      </c>
      <c r="D44" s="63"/>
      <c r="E44" s="231">
        <v>40.56</v>
      </c>
      <c r="F44" s="899"/>
      <c r="G44" s="1152" t="s">
        <v>9</v>
      </c>
    </row>
    <row r="45" spans="1:7">
      <c r="A45" s="884">
        <v>42587</v>
      </c>
      <c r="B45" s="240" t="str">
        <f>TiposLancamentos!B5</f>
        <v>Supermercado</v>
      </c>
      <c r="C45" s="147" t="s">
        <v>6234</v>
      </c>
      <c r="D45" s="63"/>
      <c r="E45" s="231">
        <v>59.4</v>
      </c>
      <c r="F45" s="899"/>
      <c r="G45" s="1152" t="s">
        <v>9</v>
      </c>
    </row>
    <row r="46" spans="1:7">
      <c r="A46" s="884">
        <v>42587</v>
      </c>
      <c r="B46" s="240" t="str">
        <f>TiposLancamentos!B56</f>
        <v>Farmácia</v>
      </c>
      <c r="C46" s="147" t="s">
        <v>18337</v>
      </c>
      <c r="D46" s="63"/>
      <c r="E46" s="231">
        <v>121.7</v>
      </c>
      <c r="F46" s="899"/>
      <c r="G46" s="1152" t="s">
        <v>9</v>
      </c>
    </row>
    <row r="47" spans="1:7">
      <c r="A47" s="1272">
        <v>42587</v>
      </c>
      <c r="B47" s="279" t="str">
        <f>TiposLancamentos!B16</f>
        <v>Cristiane</v>
      </c>
      <c r="C47" s="280" t="s">
        <v>18338</v>
      </c>
      <c r="D47" s="281"/>
      <c r="E47" s="1293">
        <v>44.7</v>
      </c>
      <c r="F47" s="1632"/>
      <c r="G47" s="1152" t="s">
        <v>9</v>
      </c>
    </row>
    <row r="48" spans="1:7">
      <c r="A48" s="1272">
        <v>42587</v>
      </c>
      <c r="B48" s="279" t="str">
        <f>TiposLancamentos!B16</f>
        <v>Cristiane</v>
      </c>
      <c r="C48" s="280" t="s">
        <v>18339</v>
      </c>
      <c r="D48" s="281"/>
      <c r="E48" s="1293">
        <v>46.5</v>
      </c>
      <c r="F48" s="1632"/>
      <c r="G48" s="1152" t="s">
        <v>9</v>
      </c>
    </row>
    <row r="49" spans="1:7">
      <c r="A49" s="884">
        <v>42588</v>
      </c>
      <c r="B49" s="240" t="str">
        <f>TiposLancamentos!B57</f>
        <v>Informática</v>
      </c>
      <c r="C49" s="147" t="s">
        <v>18340</v>
      </c>
      <c r="D49" s="63"/>
      <c r="E49" s="231">
        <v>90</v>
      </c>
      <c r="F49" s="899"/>
      <c r="G49" s="1152" t="s">
        <v>9</v>
      </c>
    </row>
    <row r="50" spans="1:7">
      <c r="A50" s="884">
        <v>42588</v>
      </c>
      <c r="B50" s="240" t="str">
        <f>TiposLancamentos!B19</f>
        <v>Restaurantes</v>
      </c>
      <c r="C50" s="147" t="s">
        <v>18341</v>
      </c>
      <c r="D50" s="63"/>
      <c r="E50" s="231">
        <v>35</v>
      </c>
      <c r="F50" s="899"/>
      <c r="G50" s="1152" t="s">
        <v>9</v>
      </c>
    </row>
    <row r="51" spans="1:7">
      <c r="A51" s="884">
        <v>42588</v>
      </c>
      <c r="B51" s="240" t="str">
        <f>TiposLancamentos!B5</f>
        <v>Supermercado</v>
      </c>
      <c r="C51" s="147" t="s">
        <v>6234</v>
      </c>
      <c r="D51" s="63"/>
      <c r="E51" s="231">
        <v>64.87</v>
      </c>
      <c r="F51" s="899"/>
      <c r="G51" s="1152" t="s">
        <v>9</v>
      </c>
    </row>
    <row r="52" spans="1:7">
      <c r="A52" s="884">
        <v>42588</v>
      </c>
      <c r="B52" s="240" t="str">
        <f>TiposLancamentos!B5</f>
        <v>Supermercado</v>
      </c>
      <c r="C52" s="147" t="s">
        <v>18342</v>
      </c>
      <c r="D52" s="63"/>
      <c r="E52" s="231">
        <v>13.72</v>
      </c>
      <c r="F52" s="899"/>
      <c r="G52" s="1152" t="s">
        <v>9</v>
      </c>
    </row>
    <row r="53" spans="1:7">
      <c r="A53" s="884">
        <v>42589</v>
      </c>
      <c r="B53" s="240" t="str">
        <f>TiposLancamentos!B5</f>
        <v>Supermercado</v>
      </c>
      <c r="C53" s="147" t="s">
        <v>18343</v>
      </c>
      <c r="D53" s="63"/>
      <c r="E53" s="231">
        <v>46.39</v>
      </c>
      <c r="F53" s="899"/>
      <c r="G53" s="1152" t="s">
        <v>9</v>
      </c>
    </row>
    <row r="54" spans="1:7">
      <c r="A54" s="884">
        <v>42589</v>
      </c>
      <c r="B54" s="240" t="str">
        <f>TiposLancamentos!B5</f>
        <v>Supermercado</v>
      </c>
      <c r="C54" s="147" t="s">
        <v>18344</v>
      </c>
      <c r="D54" s="63"/>
      <c r="E54" s="231">
        <v>10.47</v>
      </c>
      <c r="F54" s="899"/>
      <c r="G54" s="1152" t="s">
        <v>9</v>
      </c>
    </row>
    <row r="55" spans="1:7">
      <c r="A55" s="884">
        <v>42590</v>
      </c>
      <c r="B55" s="240" t="str">
        <f>TiposLancamentos!B45</f>
        <v>Online Services</v>
      </c>
      <c r="C55" s="147" t="s">
        <v>18345</v>
      </c>
      <c r="D55" s="63"/>
      <c r="E55" s="231">
        <v>8.7899999999999991</v>
      </c>
      <c r="F55" s="899"/>
      <c r="G55" s="1152" t="s">
        <v>9</v>
      </c>
    </row>
    <row r="56" spans="1:7">
      <c r="A56" s="884">
        <v>42590</v>
      </c>
      <c r="B56" s="240" t="str">
        <f>TiposLancamentos!B102</f>
        <v>ESTORNO</v>
      </c>
      <c r="C56" s="147" t="s">
        <v>18346</v>
      </c>
      <c r="D56" s="63">
        <v>8.7899999999999991</v>
      </c>
      <c r="E56" s="231"/>
      <c r="F56" s="899"/>
      <c r="G56" s="1152" t="s">
        <v>9</v>
      </c>
    </row>
    <row r="57" spans="1:7">
      <c r="A57" s="884">
        <v>42592</v>
      </c>
      <c r="B57" s="240" t="str">
        <f>TiposLancamentos!B57</f>
        <v>Informática</v>
      </c>
      <c r="C57" s="147" t="s">
        <v>18347</v>
      </c>
      <c r="D57" s="63"/>
      <c r="E57" s="231">
        <v>19.899999999999999</v>
      </c>
      <c r="F57" s="899"/>
      <c r="G57" s="1152" t="s">
        <v>9</v>
      </c>
    </row>
    <row r="58" spans="1:7">
      <c r="A58" s="884">
        <v>42593</v>
      </c>
      <c r="B58" s="240" t="str">
        <f>TiposLancamentos!B71</f>
        <v>Itens Pessoais</v>
      </c>
      <c r="C58" s="147" t="s">
        <v>18348</v>
      </c>
      <c r="D58" s="63"/>
      <c r="E58" s="231">
        <v>85</v>
      </c>
      <c r="F58" s="899"/>
      <c r="G58" s="1152" t="s">
        <v>9</v>
      </c>
    </row>
    <row r="59" spans="1:7">
      <c r="A59" s="1272">
        <v>42594</v>
      </c>
      <c r="B59" s="279" t="str">
        <f>TiposLancamentos!B16</f>
        <v>Cristiane</v>
      </c>
      <c r="C59" s="280" t="s">
        <v>18349</v>
      </c>
      <c r="D59" s="281"/>
      <c r="E59" s="1293">
        <v>62.15</v>
      </c>
      <c r="F59" s="1632"/>
      <c r="G59" s="1152" t="s">
        <v>9</v>
      </c>
    </row>
    <row r="60" spans="1:7">
      <c r="A60" s="884">
        <v>42594</v>
      </c>
      <c r="B60" s="240" t="str">
        <f>TiposLancamentos!B5</f>
        <v>Supermercado</v>
      </c>
      <c r="C60" s="878" t="s">
        <v>18350</v>
      </c>
      <c r="D60" s="63"/>
      <c r="E60" s="231">
        <v>10.99</v>
      </c>
      <c r="F60" s="899"/>
      <c r="G60" s="1152" t="s">
        <v>9</v>
      </c>
    </row>
    <row r="61" spans="1:7">
      <c r="A61" s="1272">
        <v>42594</v>
      </c>
      <c r="B61" s="279" t="str">
        <f>TiposLancamentos!B16</f>
        <v>Cristiane</v>
      </c>
      <c r="C61" s="280" t="s">
        <v>18351</v>
      </c>
      <c r="D61" s="281"/>
      <c r="E61" s="1293">
        <v>80.7</v>
      </c>
      <c r="F61" s="1632"/>
      <c r="G61" s="1152" t="s">
        <v>9</v>
      </c>
    </row>
    <row r="62" spans="1:7">
      <c r="A62" s="884">
        <v>42594</v>
      </c>
      <c r="B62" s="240" t="str">
        <f>TiposLancamentos!B70</f>
        <v>Vestuário</v>
      </c>
      <c r="C62" s="878" t="s">
        <v>18352</v>
      </c>
      <c r="D62" s="63"/>
      <c r="E62" s="231">
        <v>79.959999999999994</v>
      </c>
      <c r="F62" s="899">
        <f>E62/6</f>
        <v>13.326666666666666</v>
      </c>
      <c r="G62" s="1152" t="s">
        <v>9</v>
      </c>
    </row>
    <row r="63" spans="1:7">
      <c r="A63" s="1272">
        <v>42594</v>
      </c>
      <c r="B63" s="279" t="str">
        <f>TiposLancamentos!B19</f>
        <v>Restaurantes</v>
      </c>
      <c r="C63" s="280" t="s">
        <v>18353</v>
      </c>
      <c r="D63" s="281"/>
      <c r="E63" s="1293">
        <v>69.5</v>
      </c>
      <c r="F63" s="1632"/>
      <c r="G63" s="1152" t="s">
        <v>9</v>
      </c>
    </row>
    <row r="64" spans="1:7">
      <c r="A64" s="884">
        <v>42595</v>
      </c>
      <c r="B64" s="240" t="str">
        <f>TiposLancamentos!B69</f>
        <v>Consertos</v>
      </c>
      <c r="C64" s="878" t="s">
        <v>18354</v>
      </c>
      <c r="D64" s="63"/>
      <c r="E64" s="231">
        <v>65.599999999999994</v>
      </c>
      <c r="F64" s="899"/>
      <c r="G64" s="1152" t="s">
        <v>9</v>
      </c>
    </row>
    <row r="65" spans="1:7">
      <c r="A65" s="884">
        <v>42595</v>
      </c>
      <c r="B65" s="240" t="str">
        <f>TiposLancamentos!B70</f>
        <v>Vestuário</v>
      </c>
      <c r="C65" s="878" t="s">
        <v>18355</v>
      </c>
      <c r="D65" s="63"/>
      <c r="E65" s="231">
        <v>159.80000000000001</v>
      </c>
      <c r="F65" s="899"/>
      <c r="G65" s="1152" t="s">
        <v>9</v>
      </c>
    </row>
    <row r="66" spans="1:7">
      <c r="A66" s="884">
        <v>42595</v>
      </c>
      <c r="B66" s="240" t="str">
        <f>TiposLancamentos!B70</f>
        <v>Vestuário</v>
      </c>
      <c r="C66" s="878" t="s">
        <v>18356</v>
      </c>
      <c r="D66" s="63"/>
      <c r="E66" s="231">
        <v>189.99</v>
      </c>
      <c r="F66" s="899"/>
      <c r="G66" s="1152" t="s">
        <v>9</v>
      </c>
    </row>
    <row r="67" spans="1:7">
      <c r="A67" s="884">
        <v>42595</v>
      </c>
      <c r="B67" s="240" t="str">
        <f>TiposLancamentos!B5</f>
        <v>Supermercado</v>
      </c>
      <c r="C67" s="878" t="s">
        <v>6234</v>
      </c>
      <c r="D67" s="63"/>
      <c r="E67" s="231">
        <v>78.09</v>
      </c>
      <c r="F67" s="899"/>
      <c r="G67" s="1152" t="s">
        <v>9</v>
      </c>
    </row>
    <row r="68" spans="1:7">
      <c r="A68" s="884">
        <v>42596</v>
      </c>
      <c r="B68" s="240" t="str">
        <f>TiposLancamentos!B19</f>
        <v>Restaurantes</v>
      </c>
      <c r="C68" s="878" t="s">
        <v>18357</v>
      </c>
      <c r="D68" s="63"/>
      <c r="E68" s="231">
        <v>92.4</v>
      </c>
      <c r="F68" s="899"/>
      <c r="G68" s="1152" t="s">
        <v>9</v>
      </c>
    </row>
    <row r="69" spans="1:7">
      <c r="A69" s="884">
        <v>42596</v>
      </c>
      <c r="B69" s="240" t="str">
        <f>TiposLancamentos!B30</f>
        <v>Cinema</v>
      </c>
      <c r="C69" s="878" t="s">
        <v>18358</v>
      </c>
      <c r="D69" s="63"/>
      <c r="E69" s="231">
        <v>58.74</v>
      </c>
      <c r="F69" s="899"/>
      <c r="G69" s="1152" t="s">
        <v>9</v>
      </c>
    </row>
    <row r="70" spans="1:7">
      <c r="A70" s="1272">
        <v>42597</v>
      </c>
      <c r="B70" s="279" t="str">
        <f>TiposLancamentos!B16</f>
        <v>Cristiane</v>
      </c>
      <c r="C70" s="280" t="s">
        <v>6052</v>
      </c>
      <c r="D70" s="281"/>
      <c r="E70" s="1293">
        <v>73.17</v>
      </c>
      <c r="F70" s="1632"/>
      <c r="G70" s="1152" t="s">
        <v>9</v>
      </c>
    </row>
    <row r="71" spans="1:7">
      <c r="A71" s="884">
        <v>42597</v>
      </c>
      <c r="B71" s="240" t="str">
        <f>TiposLancamentos!B57</f>
        <v>Informática</v>
      </c>
      <c r="C71" s="878" t="s">
        <v>18359</v>
      </c>
      <c r="D71" s="63"/>
      <c r="E71" s="231">
        <v>36.54</v>
      </c>
      <c r="F71" s="899"/>
      <c r="G71" s="1152" t="s">
        <v>9</v>
      </c>
    </row>
    <row r="72" spans="1:7">
      <c r="A72" s="884">
        <v>42597</v>
      </c>
      <c r="B72" s="240" t="str">
        <f>TiposLancamentos!B56</f>
        <v>Farmácia</v>
      </c>
      <c r="C72" s="878" t="s">
        <v>18360</v>
      </c>
      <c r="D72" s="63"/>
      <c r="E72" s="231">
        <v>8.57</v>
      </c>
      <c r="F72" s="899"/>
      <c r="G72" s="1152" t="s">
        <v>9</v>
      </c>
    </row>
    <row r="73" spans="1:7">
      <c r="A73" s="884">
        <v>42597</v>
      </c>
      <c r="B73" s="240" t="str">
        <f>TiposLancamentos!B56</f>
        <v>Farmácia</v>
      </c>
      <c r="C73" s="878" t="s">
        <v>18361</v>
      </c>
      <c r="D73" s="63"/>
      <c r="E73" s="231">
        <v>34.89</v>
      </c>
      <c r="F73" s="899"/>
      <c r="G73" s="1152" t="s">
        <v>9</v>
      </c>
    </row>
    <row r="74" spans="1:7">
      <c r="A74" s="884">
        <v>42598</v>
      </c>
      <c r="B74" s="240" t="str">
        <f>TiposLancamentos!B71</f>
        <v>Itens Pessoais</v>
      </c>
      <c r="C74" s="878" t="s">
        <v>18362</v>
      </c>
      <c r="D74" s="63"/>
      <c r="E74" s="231">
        <v>50.9</v>
      </c>
      <c r="F74" s="899"/>
      <c r="G74" s="1152" t="s">
        <v>9</v>
      </c>
    </row>
    <row r="75" spans="1:7">
      <c r="A75" s="884">
        <v>42598</v>
      </c>
      <c r="B75" s="240" t="str">
        <f>TiposLancamentos!B5</f>
        <v>Supermercado</v>
      </c>
      <c r="C75" s="878" t="s">
        <v>18363</v>
      </c>
      <c r="D75" s="63"/>
      <c r="E75" s="231">
        <v>49.07</v>
      </c>
      <c r="F75" s="899"/>
      <c r="G75" s="1152" t="s">
        <v>9</v>
      </c>
    </row>
    <row r="76" spans="1:7">
      <c r="A76" s="884">
        <v>42599</v>
      </c>
      <c r="B76" s="240" t="str">
        <f>TiposLancamentos!B5</f>
        <v>Supermercado</v>
      </c>
      <c r="C76" s="878" t="s">
        <v>6234</v>
      </c>
      <c r="D76" s="63"/>
      <c r="E76" s="231">
        <v>58.39</v>
      </c>
      <c r="F76" s="899"/>
      <c r="G76" s="1152" t="s">
        <v>9</v>
      </c>
    </row>
    <row r="77" spans="1:7">
      <c r="A77" s="934"/>
      <c r="B77" s="243"/>
      <c r="C77" s="389" t="s">
        <v>10</v>
      </c>
      <c r="D77" s="146"/>
      <c r="E77" s="1190"/>
      <c r="F77" s="935"/>
      <c r="G77" s="1094" t="s">
        <v>11</v>
      </c>
    </row>
    <row r="78" spans="1:7">
      <c r="A78" s="1272">
        <v>42601</v>
      </c>
      <c r="B78" s="279" t="str">
        <f>TiposLancamentos!B16</f>
        <v>Cristiane</v>
      </c>
      <c r="C78" s="280" t="s">
        <v>18364</v>
      </c>
      <c r="D78" s="281"/>
      <c r="E78" s="1293">
        <v>309.2</v>
      </c>
      <c r="F78" s="1632"/>
      <c r="G78" s="1152" t="s">
        <v>9</v>
      </c>
    </row>
    <row r="79" spans="1:7">
      <c r="A79" s="884">
        <v>42601</v>
      </c>
      <c r="B79" s="240" t="str">
        <f>TiposLancamentos!B5</f>
        <v>Supermercado</v>
      </c>
      <c r="C79" s="878" t="s">
        <v>18365</v>
      </c>
      <c r="D79" s="63"/>
      <c r="E79" s="231">
        <v>43.47</v>
      </c>
      <c r="F79" s="899"/>
      <c r="G79" s="1152" t="s">
        <v>9</v>
      </c>
    </row>
    <row r="80" spans="1:7">
      <c r="A80" s="884">
        <v>42602</v>
      </c>
      <c r="B80" s="240" t="str">
        <f>TiposLancamentos!B19</f>
        <v>Restaurantes</v>
      </c>
      <c r="C80" s="878" t="s">
        <v>6468</v>
      </c>
      <c r="D80" s="63"/>
      <c r="E80" s="231">
        <v>147.4</v>
      </c>
      <c r="F80" s="899"/>
      <c r="G80" s="1152" t="s">
        <v>9</v>
      </c>
    </row>
    <row r="81" spans="1:7">
      <c r="A81" s="884">
        <v>42603</v>
      </c>
      <c r="B81" s="240" t="str">
        <f>TiposLancamentos!B19</f>
        <v>Restaurantes</v>
      </c>
      <c r="C81" s="878" t="s">
        <v>18366</v>
      </c>
      <c r="D81" s="63"/>
      <c r="E81" s="231">
        <v>84.56</v>
      </c>
      <c r="F81" s="899"/>
      <c r="G81" s="1152" t="s">
        <v>9</v>
      </c>
    </row>
    <row r="82" spans="1:7">
      <c r="A82" s="858">
        <v>42603</v>
      </c>
      <c r="B82" s="822" t="str">
        <f>TiposLancamentos!B71</f>
        <v>Itens Pessoais</v>
      </c>
      <c r="C82" s="808" t="s">
        <v>18367</v>
      </c>
      <c r="D82" s="747"/>
      <c r="E82" s="1118">
        <f>F83-E83</f>
        <v>247.5</v>
      </c>
      <c r="F82" s="1454"/>
      <c r="G82" s="1152" t="s">
        <v>9</v>
      </c>
    </row>
    <row r="83" spans="1:7">
      <c r="A83" s="862">
        <v>42603</v>
      </c>
      <c r="B83" s="823" t="str">
        <f>TiposLancamentos!B16</f>
        <v>Cristiane</v>
      </c>
      <c r="C83" s="812" t="s">
        <v>18368</v>
      </c>
      <c r="D83" s="849"/>
      <c r="E83" s="1119">
        <v>58</v>
      </c>
      <c r="F83" s="1308">
        <v>305.5</v>
      </c>
      <c r="G83" s="1152" t="s">
        <v>9</v>
      </c>
    </row>
    <row r="84" spans="1:7">
      <c r="A84" s="884">
        <v>42603</v>
      </c>
      <c r="B84" s="240" t="str">
        <f>TiposLancamentos!B16</f>
        <v>Cristiane</v>
      </c>
      <c r="C84" s="878" t="s">
        <v>18369</v>
      </c>
      <c r="D84" s="63"/>
      <c r="E84" s="231">
        <v>95</v>
      </c>
      <c r="F84" s="899"/>
      <c r="G84" s="1152" t="s">
        <v>9</v>
      </c>
    </row>
    <row r="85" spans="1:7">
      <c r="A85" s="884">
        <v>42608</v>
      </c>
      <c r="B85" s="240" t="str">
        <f>TiposLancamentos!B16</f>
        <v>Cristiane</v>
      </c>
      <c r="C85" s="878" t="s">
        <v>18370</v>
      </c>
      <c r="D85" s="63"/>
      <c r="E85" s="231">
        <v>23.4</v>
      </c>
      <c r="F85" s="899"/>
      <c r="G85" s="1152" t="s">
        <v>9</v>
      </c>
    </row>
    <row r="86" spans="1:7">
      <c r="A86" s="884">
        <v>42608</v>
      </c>
      <c r="B86" s="240" t="str">
        <f>TiposLancamentos!B16</f>
        <v>Cristiane</v>
      </c>
      <c r="C86" s="878" t="s">
        <v>18371</v>
      </c>
      <c r="D86" s="63"/>
      <c r="E86" s="231">
        <v>51</v>
      </c>
      <c r="F86" s="899"/>
      <c r="G86" s="1152" t="s">
        <v>9</v>
      </c>
    </row>
    <row r="87" spans="1:7">
      <c r="A87" s="884">
        <v>42609</v>
      </c>
      <c r="B87" s="240" t="str">
        <f>TiposLancamentos!B17</f>
        <v>GATO</v>
      </c>
      <c r="C87" s="878" t="s">
        <v>18372</v>
      </c>
      <c r="D87" s="63"/>
      <c r="E87" s="231">
        <v>24.6</v>
      </c>
      <c r="F87" s="899"/>
      <c r="G87" s="1152" t="s">
        <v>9</v>
      </c>
    </row>
    <row r="88" spans="1:7">
      <c r="A88" s="884">
        <v>42609</v>
      </c>
      <c r="B88" s="240" t="str">
        <f>TiposLancamentos!B69</f>
        <v>Consertos</v>
      </c>
      <c r="C88" s="878" t="s">
        <v>18373</v>
      </c>
      <c r="D88" s="63"/>
      <c r="E88" s="231">
        <v>103</v>
      </c>
      <c r="F88" s="899"/>
      <c r="G88" s="1152" t="s">
        <v>9</v>
      </c>
    </row>
    <row r="89" spans="1:7">
      <c r="A89" s="884">
        <v>42609</v>
      </c>
      <c r="B89" s="240" t="str">
        <f>TiposLancamentos!B56</f>
        <v>Farmácia</v>
      </c>
      <c r="C89" s="878" t="s">
        <v>18374</v>
      </c>
      <c r="D89" s="63"/>
      <c r="E89" s="231">
        <v>24.82</v>
      </c>
      <c r="F89" s="899"/>
      <c r="G89" s="1152" t="s">
        <v>9</v>
      </c>
    </row>
    <row r="90" spans="1:7" ht="14.25" thickBot="1">
      <c r="A90" s="885">
        <v>42609</v>
      </c>
      <c r="B90" s="1232" t="str">
        <f>TiposLancamentos!B5</f>
        <v>Supermercado</v>
      </c>
      <c r="C90" s="1120" t="s">
        <v>6234</v>
      </c>
      <c r="D90" s="903"/>
      <c r="E90" s="928">
        <v>46.48</v>
      </c>
      <c r="F90" s="905"/>
      <c r="G90" s="1152" t="s">
        <v>9</v>
      </c>
    </row>
    <row r="91" spans="1:7">
      <c r="A91" s="1032"/>
      <c r="B91" s="1230"/>
      <c r="C91" s="906" t="s">
        <v>18375</v>
      </c>
      <c r="D91" s="896"/>
      <c r="E91" s="925"/>
      <c r="F91" s="898">
        <f>SUM(E15:E76)-(D30+D31+D56)</f>
        <v>4672.1799999999985</v>
      </c>
      <c r="G91" s="3"/>
    </row>
    <row r="92" spans="1:7">
      <c r="A92" s="884">
        <v>42614</v>
      </c>
      <c r="B92" s="240" t="str">
        <f>TiposLancamentos!B15</f>
        <v>Cartões de Crédito</v>
      </c>
      <c r="C92" s="878" t="s">
        <v>1874</v>
      </c>
      <c r="D92" s="63">
        <v>4672.18</v>
      </c>
      <c r="E92" s="231"/>
      <c r="F92" s="899">
        <f>F91-F39</f>
        <v>3965.2199999999984</v>
      </c>
      <c r="G92" s="3"/>
    </row>
    <row r="93" spans="1:7">
      <c r="A93" s="1272">
        <v>42614</v>
      </c>
      <c r="B93" s="279" t="str">
        <f>TiposLancamentos!B5</f>
        <v>Supermercado</v>
      </c>
      <c r="C93" s="280" t="s">
        <v>6234</v>
      </c>
      <c r="D93" s="281"/>
      <c r="E93" s="1293">
        <v>54.24</v>
      </c>
      <c r="F93" s="1632"/>
      <c r="G93" s="1152" t="s">
        <v>9</v>
      </c>
    </row>
    <row r="94" spans="1:7">
      <c r="A94" s="884">
        <v>42615</v>
      </c>
      <c r="B94" s="240" t="str">
        <f>TiposLancamentos!B16</f>
        <v>Cristiane</v>
      </c>
      <c r="C94" s="147" t="s">
        <v>18376</v>
      </c>
      <c r="D94" s="63"/>
      <c r="E94" s="231">
        <v>39.9</v>
      </c>
      <c r="F94" s="899"/>
      <c r="G94" s="1152" t="s">
        <v>9</v>
      </c>
    </row>
    <row r="95" spans="1:7">
      <c r="A95" s="884">
        <v>42617</v>
      </c>
      <c r="B95" s="240" t="str">
        <f>TiposLancamentos!B71</f>
        <v>Itens Pessoais</v>
      </c>
      <c r="C95" s="147" t="s">
        <v>18377</v>
      </c>
      <c r="D95" s="63"/>
      <c r="E95" s="231">
        <v>48.8</v>
      </c>
      <c r="F95" s="899"/>
      <c r="G95" s="1152" t="s">
        <v>9</v>
      </c>
    </row>
    <row r="96" spans="1:7">
      <c r="A96" s="1272">
        <v>42622</v>
      </c>
      <c r="B96" s="279" t="str">
        <f>TiposLancamentos!B16</f>
        <v>Cristiane</v>
      </c>
      <c r="C96" s="280" t="s">
        <v>18378</v>
      </c>
      <c r="D96" s="281"/>
      <c r="E96" s="1293">
        <v>170</v>
      </c>
      <c r="F96" s="1632"/>
      <c r="G96" s="1152" t="s">
        <v>9</v>
      </c>
    </row>
    <row r="97" spans="1:7">
      <c r="A97" s="1272">
        <v>42622</v>
      </c>
      <c r="B97" s="279" t="str">
        <f>TiposLancamentos!B16</f>
        <v>Cristiane</v>
      </c>
      <c r="C97" s="280" t="s">
        <v>7068</v>
      </c>
      <c r="D97" s="281"/>
      <c r="E97" s="1293">
        <v>53.93</v>
      </c>
      <c r="F97" s="1632"/>
      <c r="G97" s="1152" t="s">
        <v>9</v>
      </c>
    </row>
    <row r="98" spans="1:7">
      <c r="A98" s="1272">
        <v>42627</v>
      </c>
      <c r="B98" s="279" t="str">
        <f>TiposLancamentos!B5</f>
        <v>Supermercado</v>
      </c>
      <c r="C98" s="280" t="s">
        <v>18379</v>
      </c>
      <c r="D98" s="281"/>
      <c r="E98" s="1293">
        <v>66.58</v>
      </c>
      <c r="F98" s="1632"/>
      <c r="G98" s="1152" t="s">
        <v>9</v>
      </c>
    </row>
    <row r="99" spans="1:7">
      <c r="A99" s="1272">
        <v>42631</v>
      </c>
      <c r="B99" s="279" t="str">
        <f>TiposLancamentos!B16</f>
        <v>Cristiane</v>
      </c>
      <c r="C99" s="280" t="s">
        <v>16905</v>
      </c>
      <c r="D99" s="281"/>
      <c r="E99" s="1293">
        <v>52.29</v>
      </c>
      <c r="F99" s="1632"/>
      <c r="G99" s="1152" t="s">
        <v>9</v>
      </c>
    </row>
    <row r="100" spans="1:7">
      <c r="A100" s="1272">
        <v>42631</v>
      </c>
      <c r="B100" s="279" t="str">
        <f>TiposLancamentos!B22</f>
        <v>Combustivel</v>
      </c>
      <c r="C100" s="280" t="s">
        <v>2120</v>
      </c>
      <c r="D100" s="281"/>
      <c r="E100" s="1293">
        <v>100</v>
      </c>
      <c r="F100" s="1632"/>
      <c r="G100" s="1152" t="s">
        <v>9</v>
      </c>
    </row>
    <row r="101" spans="1:7">
      <c r="A101" s="1272">
        <v>42631</v>
      </c>
      <c r="B101" s="279" t="str">
        <f>TiposLancamentos!B5</f>
        <v>Supermercado</v>
      </c>
      <c r="C101" s="280" t="s">
        <v>18380</v>
      </c>
      <c r="D101" s="281"/>
      <c r="E101" s="1293">
        <v>131.99</v>
      </c>
      <c r="F101" s="1632"/>
      <c r="G101" s="1152" t="s">
        <v>9</v>
      </c>
    </row>
    <row r="102" spans="1:7">
      <c r="A102" s="934"/>
      <c r="B102" s="243"/>
      <c r="C102" s="389" t="s">
        <v>10</v>
      </c>
      <c r="D102" s="146"/>
      <c r="E102" s="1190"/>
      <c r="F102" s="935"/>
      <c r="G102" s="1094" t="s">
        <v>11</v>
      </c>
    </row>
    <row r="103" spans="1:7">
      <c r="A103" s="1272">
        <v>42630</v>
      </c>
      <c r="B103" s="279" t="str">
        <f>TiposLancamentos!B16</f>
        <v>Cristiane</v>
      </c>
      <c r="C103" s="280" t="s">
        <v>18381</v>
      </c>
      <c r="D103" s="281"/>
      <c r="E103" s="1293">
        <v>36</v>
      </c>
      <c r="F103" s="1632"/>
      <c r="G103" s="1152" t="s">
        <v>9</v>
      </c>
    </row>
    <row r="104" spans="1:7">
      <c r="A104" s="1272">
        <v>42630</v>
      </c>
      <c r="B104" s="279" t="str">
        <f>TiposLancamentos!B16</f>
        <v>Cristiane</v>
      </c>
      <c r="C104" s="280" t="s">
        <v>18382</v>
      </c>
      <c r="D104" s="281"/>
      <c r="E104" s="1293">
        <v>53.9</v>
      </c>
      <c r="F104" s="1632"/>
      <c r="G104" s="1152" t="s">
        <v>9</v>
      </c>
    </row>
    <row r="105" spans="1:7">
      <c r="A105" s="1272">
        <v>42634</v>
      </c>
      <c r="B105" s="279" t="str">
        <f>TiposLancamentos!B88</f>
        <v>Ford Ecosport XLT</v>
      </c>
      <c r="C105" s="280" t="s">
        <v>18383</v>
      </c>
      <c r="D105" s="281"/>
      <c r="E105" s="1293">
        <v>80</v>
      </c>
      <c r="F105" s="1632"/>
      <c r="G105" s="1152" t="s">
        <v>9</v>
      </c>
    </row>
    <row r="106" spans="1:7">
      <c r="A106" s="1272">
        <v>42634</v>
      </c>
      <c r="B106" s="279" t="str">
        <f>TiposLancamentos!B16</f>
        <v>Cristiane</v>
      </c>
      <c r="C106" s="280" t="s">
        <v>18349</v>
      </c>
      <c r="D106" s="281"/>
      <c r="E106" s="1293">
        <v>50.38</v>
      </c>
      <c r="F106" s="1632"/>
      <c r="G106" s="1152" t="s">
        <v>9</v>
      </c>
    </row>
    <row r="107" spans="1:7">
      <c r="A107" s="1272">
        <v>42635</v>
      </c>
      <c r="B107" s="279" t="str">
        <f>TiposLancamentos!B16</f>
        <v>Cristiane</v>
      </c>
      <c r="C107" s="280" t="s">
        <v>18384</v>
      </c>
      <c r="D107" s="281"/>
      <c r="E107" s="1293">
        <v>129.99</v>
      </c>
      <c r="F107" s="1632"/>
      <c r="G107" s="1152" t="s">
        <v>9</v>
      </c>
    </row>
    <row r="108" spans="1:7">
      <c r="A108" s="1272">
        <v>42635</v>
      </c>
      <c r="B108" s="279" t="str">
        <f>TiposLancamentos!B5</f>
        <v>Supermercado</v>
      </c>
      <c r="C108" s="280" t="s">
        <v>18385</v>
      </c>
      <c r="D108" s="281"/>
      <c r="E108" s="1293">
        <v>179.07</v>
      </c>
      <c r="F108" s="1632"/>
      <c r="G108" s="1152" t="s">
        <v>9</v>
      </c>
    </row>
    <row r="109" spans="1:7" ht="14.25" thickBot="1">
      <c r="A109" s="1633">
        <v>42642</v>
      </c>
      <c r="B109" s="1634" t="str">
        <f>TiposLancamentos!B22</f>
        <v>Combustivel</v>
      </c>
      <c r="C109" s="1635" t="s">
        <v>6718</v>
      </c>
      <c r="D109" s="1636"/>
      <c r="E109" s="1637">
        <v>50</v>
      </c>
      <c r="F109" s="1638"/>
      <c r="G109" s="1152" t="s">
        <v>9</v>
      </c>
    </row>
    <row r="110" spans="1:7">
      <c r="A110" s="1032"/>
      <c r="B110" s="1230"/>
      <c r="C110" s="906" t="s">
        <v>18386</v>
      </c>
      <c r="D110" s="896"/>
      <c r="E110" s="925"/>
      <c r="F110" s="898">
        <f>SUM(E78:E101)</f>
        <v>1976.1599999999996</v>
      </c>
      <c r="G110" s="3"/>
    </row>
    <row r="111" spans="1:7">
      <c r="A111" s="884">
        <v>42646</v>
      </c>
      <c r="B111" s="240" t="str">
        <f>TiposLancamentos!B15</f>
        <v>Cartões de Crédito</v>
      </c>
      <c r="C111" s="878" t="s">
        <v>1874</v>
      </c>
      <c r="D111" s="63">
        <v>1976.16</v>
      </c>
      <c r="E111" s="231"/>
      <c r="F111" s="899">
        <f>F110-F91</f>
        <v>-2696.0199999999986</v>
      </c>
      <c r="G111" s="3"/>
    </row>
    <row r="112" spans="1:7">
      <c r="A112" s="1272">
        <v>42648</v>
      </c>
      <c r="B112" s="279" t="str">
        <f>TiposLancamentos!B16</f>
        <v>Cristiane</v>
      </c>
      <c r="C112" s="280" t="s">
        <v>15172</v>
      </c>
      <c r="D112" s="281"/>
      <c r="E112" s="1293">
        <v>48.95</v>
      </c>
      <c r="F112" s="1632"/>
      <c r="G112" s="1152" t="s">
        <v>9</v>
      </c>
    </row>
    <row r="113" spans="1:7">
      <c r="A113" s="1272">
        <v>42651</v>
      </c>
      <c r="B113" s="279" t="str">
        <f>TiposLancamentos!B16</f>
        <v>Cristiane</v>
      </c>
      <c r="C113" s="280" t="s">
        <v>18387</v>
      </c>
      <c r="D113" s="281"/>
      <c r="E113" s="1293">
        <v>480</v>
      </c>
      <c r="F113" s="1632"/>
      <c r="G113" s="1152" t="s">
        <v>9</v>
      </c>
    </row>
    <row r="114" spans="1:7">
      <c r="A114" s="1272">
        <v>42652</v>
      </c>
      <c r="B114" s="279" t="str">
        <f>TiposLancamentos!B5</f>
        <v>Supermercado</v>
      </c>
      <c r="C114" s="280" t="s">
        <v>18388</v>
      </c>
      <c r="D114" s="281"/>
      <c r="E114" s="1293">
        <v>32.479999999999997</v>
      </c>
      <c r="F114" s="1632"/>
      <c r="G114" s="1152" t="s">
        <v>9</v>
      </c>
    </row>
    <row r="115" spans="1:7">
      <c r="A115" s="1272">
        <v>42654</v>
      </c>
      <c r="B115" s="279" t="str">
        <f>TiposLancamentos!B16</f>
        <v>Cristiane</v>
      </c>
      <c r="C115" s="280" t="s">
        <v>18389</v>
      </c>
      <c r="D115" s="281"/>
      <c r="E115" s="1293">
        <v>51.31</v>
      </c>
      <c r="F115" s="1632"/>
      <c r="G115" s="1152" t="s">
        <v>9</v>
      </c>
    </row>
    <row r="116" spans="1:7">
      <c r="A116" s="1272">
        <v>42655</v>
      </c>
      <c r="B116" s="279" t="str">
        <f>TiposLancamentos!B16</f>
        <v>Cristiane</v>
      </c>
      <c r="C116" s="280" t="s">
        <v>18390</v>
      </c>
      <c r="D116" s="281"/>
      <c r="E116" s="1293">
        <v>6.67</v>
      </c>
      <c r="F116" s="1632" t="s">
        <v>17319</v>
      </c>
      <c r="G116" s="1152" t="s">
        <v>9</v>
      </c>
    </row>
    <row r="117" spans="1:7">
      <c r="A117" s="1272">
        <v>42655</v>
      </c>
      <c r="B117" s="279" t="str">
        <f>TiposLancamentos!B16</f>
        <v>Cristiane</v>
      </c>
      <c r="C117" s="280" t="s">
        <v>18391</v>
      </c>
      <c r="D117" s="281"/>
      <c r="E117" s="1293">
        <v>0.4</v>
      </c>
      <c r="F117" s="1632"/>
      <c r="G117" s="1152" t="s">
        <v>9</v>
      </c>
    </row>
    <row r="118" spans="1:7">
      <c r="A118" s="1272">
        <v>42657</v>
      </c>
      <c r="B118" s="279" t="str">
        <f>TiposLancamentos!B22</f>
        <v>Combustivel</v>
      </c>
      <c r="C118" s="280" t="s">
        <v>18392</v>
      </c>
      <c r="D118" s="281"/>
      <c r="E118" s="1293">
        <v>120</v>
      </c>
      <c r="F118" s="1632"/>
      <c r="G118" s="1152" t="s">
        <v>9</v>
      </c>
    </row>
    <row r="119" spans="1:7">
      <c r="A119" s="1272">
        <v>42657</v>
      </c>
      <c r="B119" s="279" t="str">
        <f>TiposLancamentos!B5</f>
        <v>Supermercado</v>
      </c>
      <c r="C119" s="280" t="s">
        <v>6234</v>
      </c>
      <c r="D119" s="281"/>
      <c r="E119" s="1293">
        <v>129.66</v>
      </c>
      <c r="F119" s="1632"/>
      <c r="G119" s="1152" t="s">
        <v>9</v>
      </c>
    </row>
    <row r="120" spans="1:7">
      <c r="A120" s="1272">
        <v>42661</v>
      </c>
      <c r="B120" s="279" t="str">
        <f>TiposLancamentos!B16</f>
        <v>Cristiane</v>
      </c>
      <c r="C120" s="280" t="s">
        <v>18393</v>
      </c>
      <c r="D120" s="281"/>
      <c r="E120" s="1293">
        <v>259.97000000000003</v>
      </c>
      <c r="F120" s="1632"/>
      <c r="G120" s="1152" t="s">
        <v>9</v>
      </c>
    </row>
    <row r="121" spans="1:7">
      <c r="A121" s="1272">
        <v>42661</v>
      </c>
      <c r="B121" s="279" t="str">
        <f>TiposLancamentos!B16</f>
        <v>Cristiane</v>
      </c>
      <c r="C121" s="280" t="s">
        <v>18394</v>
      </c>
      <c r="D121" s="281"/>
      <c r="E121" s="1293">
        <v>86.79</v>
      </c>
      <c r="F121" s="1632"/>
      <c r="G121" s="1152" t="s">
        <v>9</v>
      </c>
    </row>
    <row r="122" spans="1:7">
      <c r="A122" s="1272">
        <v>42661</v>
      </c>
      <c r="B122" s="279" t="str">
        <f>TiposLancamentos!B5</f>
        <v>Supermercado</v>
      </c>
      <c r="C122" s="280" t="s">
        <v>6234</v>
      </c>
      <c r="D122" s="281"/>
      <c r="E122" s="1293">
        <v>106.53</v>
      </c>
      <c r="F122" s="1632"/>
      <c r="G122" s="1152" t="s">
        <v>9</v>
      </c>
    </row>
    <row r="123" spans="1:7">
      <c r="A123" s="934"/>
      <c r="B123" s="243"/>
      <c r="C123" s="389" t="s">
        <v>10</v>
      </c>
      <c r="D123" s="146"/>
      <c r="E123" s="1190"/>
      <c r="F123" s="935"/>
      <c r="G123" s="1094" t="s">
        <v>11</v>
      </c>
    </row>
    <row r="124" spans="1:7">
      <c r="A124" s="884">
        <v>42665</v>
      </c>
      <c r="B124" s="240" t="str">
        <f>TiposLancamentos!B16</f>
        <v>Cristiane</v>
      </c>
      <c r="C124" s="878" t="s">
        <v>18395</v>
      </c>
      <c r="D124" s="63"/>
      <c r="E124" s="231">
        <v>99.98</v>
      </c>
      <c r="F124" s="899"/>
      <c r="G124" s="1152" t="s">
        <v>9</v>
      </c>
    </row>
    <row r="125" spans="1:7">
      <c r="A125" s="884">
        <v>42665</v>
      </c>
      <c r="B125" s="240" t="str">
        <f>TiposLancamentos!B57</f>
        <v>Informática</v>
      </c>
      <c r="C125" s="878" t="s">
        <v>18396</v>
      </c>
      <c r="D125" s="63"/>
      <c r="E125" s="231">
        <f>F125/3</f>
        <v>58.300000000000004</v>
      </c>
      <c r="F125" s="899">
        <f>174.9</f>
        <v>174.9</v>
      </c>
      <c r="G125" s="1152" t="s">
        <v>9</v>
      </c>
    </row>
    <row r="126" spans="1:7">
      <c r="A126" s="884">
        <v>42665</v>
      </c>
      <c r="B126" s="240" t="str">
        <f>TiposLancamentos!B19</f>
        <v>Restaurantes</v>
      </c>
      <c r="C126" s="878" t="s">
        <v>18397</v>
      </c>
      <c r="D126" s="63"/>
      <c r="E126" s="231">
        <v>95.26</v>
      </c>
      <c r="F126" s="899"/>
      <c r="G126" s="1152" t="s">
        <v>9</v>
      </c>
    </row>
    <row r="127" spans="1:7">
      <c r="A127" s="884">
        <v>42665</v>
      </c>
      <c r="B127" s="240" t="str">
        <f>TiposLancamentos!B19</f>
        <v>Restaurantes</v>
      </c>
      <c r="C127" s="878" t="s">
        <v>4539</v>
      </c>
      <c r="D127" s="63"/>
      <c r="E127" s="231">
        <v>13.5</v>
      </c>
      <c r="F127" s="899"/>
      <c r="G127" s="1152" t="s">
        <v>9</v>
      </c>
    </row>
    <row r="128" spans="1:7">
      <c r="A128" s="884">
        <v>42665</v>
      </c>
      <c r="B128" s="240" t="str">
        <f>TiposLancamentos!B16</f>
        <v>Cristiane</v>
      </c>
      <c r="C128" s="878" t="s">
        <v>18398</v>
      </c>
      <c r="D128" s="63"/>
      <c r="E128" s="231">
        <v>370</v>
      </c>
      <c r="F128" s="899"/>
      <c r="G128" s="1152" t="s">
        <v>9</v>
      </c>
    </row>
    <row r="129" spans="1:7">
      <c r="A129" s="884">
        <v>42665</v>
      </c>
      <c r="B129" s="240" t="str">
        <f>TiposLancamentos!B19</f>
        <v>Restaurantes</v>
      </c>
      <c r="C129" s="878" t="s">
        <v>18399</v>
      </c>
      <c r="D129" s="63"/>
      <c r="E129" s="231">
        <v>77.41</v>
      </c>
      <c r="F129" s="899"/>
      <c r="G129" s="1152" t="s">
        <v>9</v>
      </c>
    </row>
    <row r="130" spans="1:7">
      <c r="A130" s="884">
        <v>42666</v>
      </c>
      <c r="B130" s="240" t="str">
        <f>TiposLancamentos!B19</f>
        <v>Restaurantes</v>
      </c>
      <c r="C130" s="878" t="s">
        <v>18400</v>
      </c>
      <c r="D130" s="63"/>
      <c r="E130" s="231">
        <v>26.79</v>
      </c>
      <c r="F130" s="899"/>
      <c r="G130" s="1152" t="s">
        <v>9</v>
      </c>
    </row>
    <row r="131" spans="1:7">
      <c r="A131" s="884">
        <v>42666</v>
      </c>
      <c r="B131" s="240" t="str">
        <f>TiposLancamentos!B19</f>
        <v>Restaurantes</v>
      </c>
      <c r="C131" s="878" t="s">
        <v>18401</v>
      </c>
      <c r="D131" s="63"/>
      <c r="E131" s="231">
        <v>55.4</v>
      </c>
      <c r="F131" s="899"/>
      <c r="G131" s="1152" t="s">
        <v>9</v>
      </c>
    </row>
    <row r="132" spans="1:7">
      <c r="A132" s="884">
        <v>42666</v>
      </c>
      <c r="B132" s="240" t="str">
        <f>TiposLancamentos!B19</f>
        <v>Restaurantes</v>
      </c>
      <c r="C132" s="878" t="s">
        <v>18402</v>
      </c>
      <c r="D132" s="63"/>
      <c r="E132" s="231">
        <v>43.86</v>
      </c>
      <c r="F132" s="899"/>
      <c r="G132" s="1152" t="s">
        <v>9</v>
      </c>
    </row>
    <row r="133" spans="1:7">
      <c r="A133" s="884">
        <v>42667</v>
      </c>
      <c r="B133" s="240" t="str">
        <f>TiposLancamentos!B71</f>
        <v>Itens Pessoais</v>
      </c>
      <c r="C133" s="878" t="s">
        <v>18403</v>
      </c>
      <c r="D133" s="63"/>
      <c r="E133" s="231">
        <v>30</v>
      </c>
      <c r="F133" s="899"/>
      <c r="G133" s="1152" t="s">
        <v>9</v>
      </c>
    </row>
    <row r="134" spans="1:7">
      <c r="A134" s="884">
        <v>42667</v>
      </c>
      <c r="B134" s="240" t="str">
        <f>TiposLancamentos!B16</f>
        <v>Cristiane</v>
      </c>
      <c r="C134" s="878" t="s">
        <v>18404</v>
      </c>
      <c r="D134" s="63"/>
      <c r="E134" s="231">
        <v>92.47</v>
      </c>
      <c r="F134" s="899"/>
      <c r="G134" s="1152" t="s">
        <v>9</v>
      </c>
    </row>
    <row r="135" spans="1:7">
      <c r="A135" s="884">
        <v>42667</v>
      </c>
      <c r="B135" s="240" t="str">
        <f>TiposLancamentos!B87</f>
        <v>P207-1.6-XS</v>
      </c>
      <c r="C135" s="878" t="s">
        <v>4416</v>
      </c>
      <c r="D135" s="63"/>
      <c r="E135" s="231">
        <v>70</v>
      </c>
      <c r="F135" s="899"/>
      <c r="G135" s="1152" t="s">
        <v>9</v>
      </c>
    </row>
    <row r="136" spans="1:7">
      <c r="A136" s="884">
        <v>42667</v>
      </c>
      <c r="B136" s="240" t="str">
        <f>TiposLancamentos!B5</f>
        <v>Supermercado</v>
      </c>
      <c r="C136" s="878" t="s">
        <v>6234</v>
      </c>
      <c r="D136" s="63"/>
      <c r="E136" s="231">
        <v>27.51</v>
      </c>
      <c r="F136" s="899"/>
      <c r="G136" s="1152" t="s">
        <v>9</v>
      </c>
    </row>
    <row r="137" spans="1:7">
      <c r="A137" s="1272">
        <v>42669</v>
      </c>
      <c r="B137" s="279" t="str">
        <f>TiposLancamentos!B22</f>
        <v>Combustivel</v>
      </c>
      <c r="C137" s="280" t="s">
        <v>18405</v>
      </c>
      <c r="D137" s="281"/>
      <c r="E137" s="1293">
        <v>50</v>
      </c>
      <c r="F137" s="1632"/>
      <c r="G137" s="1152" t="s">
        <v>9</v>
      </c>
    </row>
    <row r="138" spans="1:7">
      <c r="A138" s="1272">
        <v>42670</v>
      </c>
      <c r="B138" s="279" t="str">
        <f>TiposLancamentos!B5</f>
        <v>Supermercado</v>
      </c>
      <c r="C138" s="280" t="s">
        <v>6201</v>
      </c>
      <c r="D138" s="281"/>
      <c r="E138" s="1293">
        <v>133.83000000000001</v>
      </c>
      <c r="F138" s="1632"/>
      <c r="G138" s="1152" t="s">
        <v>9</v>
      </c>
    </row>
    <row r="139" spans="1:7">
      <c r="A139" s="1272">
        <v>42673</v>
      </c>
      <c r="B139" s="279" t="str">
        <f>TiposLancamentos!B16</f>
        <v>Cristiane</v>
      </c>
      <c r="C139" s="280" t="s">
        <v>18406</v>
      </c>
      <c r="D139" s="281"/>
      <c r="E139" s="1293">
        <v>340</v>
      </c>
      <c r="F139" s="1632"/>
      <c r="G139" s="1152" t="s">
        <v>9</v>
      </c>
    </row>
    <row r="140" spans="1:7">
      <c r="A140" s="884">
        <v>42674</v>
      </c>
      <c r="B140" s="240" t="str">
        <f>TiposLancamentos!B16</f>
        <v>Cristiane</v>
      </c>
      <c r="C140" s="878" t="s">
        <v>18407</v>
      </c>
      <c r="D140" s="63"/>
      <c r="E140" s="231">
        <v>58</v>
      </c>
      <c r="F140" s="899"/>
      <c r="G140" s="1152" t="s">
        <v>9</v>
      </c>
    </row>
    <row r="141" spans="1:7" ht="14.25" thickBot="1">
      <c r="A141" s="885">
        <v>42674</v>
      </c>
      <c r="B141" s="1232" t="str">
        <f>TiposLancamentos!B19</f>
        <v>Restaurantes</v>
      </c>
      <c r="C141" s="1120" t="s">
        <v>18408</v>
      </c>
      <c r="D141" s="903"/>
      <c r="E141" s="928">
        <v>69.510000000000005</v>
      </c>
      <c r="F141" s="905"/>
      <c r="G141" s="1152" t="s">
        <v>9</v>
      </c>
    </row>
    <row r="142" spans="1:7">
      <c r="A142" s="884"/>
      <c r="B142" s="240"/>
      <c r="C142" s="878" t="s">
        <v>17442</v>
      </c>
      <c r="D142" s="63"/>
      <c r="E142" s="231"/>
      <c r="F142" s="899">
        <f>SUM(E103:E122)</f>
        <v>1902.1000000000001</v>
      </c>
      <c r="G142" s="3"/>
    </row>
    <row r="143" spans="1:7">
      <c r="A143" s="884">
        <v>42675</v>
      </c>
      <c r="B143" s="240" t="str">
        <f>TiposLancamentos!B15</f>
        <v>Cartões de Crédito</v>
      </c>
      <c r="C143" s="878" t="s">
        <v>1874</v>
      </c>
      <c r="D143" s="63">
        <v>1902.1</v>
      </c>
      <c r="E143" s="231"/>
      <c r="F143" s="899">
        <f>F142-F92</f>
        <v>-2063.1199999999981</v>
      </c>
      <c r="G143" s="3"/>
    </row>
    <row r="144" spans="1:7">
      <c r="A144" s="884">
        <v>42675</v>
      </c>
      <c r="B144" s="240" t="str">
        <f>TiposLancamentos!B4</f>
        <v>Taxas Bancarias</v>
      </c>
      <c r="C144" s="878" t="s">
        <v>18409</v>
      </c>
      <c r="D144" s="63"/>
      <c r="E144" s="231">
        <v>0.01</v>
      </c>
      <c r="F144" s="899"/>
      <c r="G144" s="1152"/>
    </row>
    <row r="145" spans="1:7">
      <c r="A145" s="1272">
        <v>42678</v>
      </c>
      <c r="B145" s="279" t="str">
        <f>TiposLancamentos!B16</f>
        <v>Cristiane</v>
      </c>
      <c r="C145" s="280" t="s">
        <v>18410</v>
      </c>
      <c r="D145" s="281"/>
      <c r="E145" s="1293">
        <v>62</v>
      </c>
      <c r="F145" s="1632"/>
      <c r="G145" s="1152" t="s">
        <v>9</v>
      </c>
    </row>
    <row r="146" spans="1:7">
      <c r="A146" s="1272">
        <v>42678</v>
      </c>
      <c r="B146" s="279" t="str">
        <f>TiposLancamentos!B16</f>
        <v>Cristiane</v>
      </c>
      <c r="C146" s="280" t="s">
        <v>18410</v>
      </c>
      <c r="D146" s="281"/>
      <c r="E146" s="1293">
        <v>8</v>
      </c>
      <c r="F146" s="1632"/>
      <c r="G146" s="1152" t="s">
        <v>9</v>
      </c>
    </row>
    <row r="147" spans="1:7">
      <c r="A147" s="1272">
        <v>42679</v>
      </c>
      <c r="B147" s="279" t="str">
        <f>TiposLancamentos!B16</f>
        <v>Cristiane</v>
      </c>
      <c r="C147" s="280" t="s">
        <v>18411</v>
      </c>
      <c r="D147" s="281"/>
      <c r="E147" s="1293">
        <v>8.1199999999999992</v>
      </c>
      <c r="F147" s="1632"/>
      <c r="G147" s="1152" t="s">
        <v>9</v>
      </c>
    </row>
    <row r="148" spans="1:7">
      <c r="A148" s="1272">
        <v>42679</v>
      </c>
      <c r="B148" s="279" t="str">
        <f>TiposLancamentos!B16</f>
        <v>Cristiane</v>
      </c>
      <c r="C148" s="280" t="s">
        <v>18411</v>
      </c>
      <c r="D148" s="281"/>
      <c r="E148" s="1293">
        <v>13.36</v>
      </c>
      <c r="F148" s="1632"/>
      <c r="G148" s="1152" t="s">
        <v>9</v>
      </c>
    </row>
    <row r="149" spans="1:7">
      <c r="A149" s="1272">
        <v>42679</v>
      </c>
      <c r="B149" s="279" t="str">
        <f>TiposLancamentos!B16</f>
        <v>Cristiane</v>
      </c>
      <c r="C149" s="280" t="s">
        <v>18411</v>
      </c>
      <c r="D149" s="281"/>
      <c r="E149" s="1293">
        <v>7</v>
      </c>
      <c r="F149" s="1632"/>
      <c r="G149" s="1152" t="s">
        <v>9</v>
      </c>
    </row>
    <row r="150" spans="1:7">
      <c r="A150" s="1272">
        <v>42679</v>
      </c>
      <c r="B150" s="279" t="str">
        <f>TiposLancamentos!B16</f>
        <v>Cristiane</v>
      </c>
      <c r="C150" s="280" t="s">
        <v>18411</v>
      </c>
      <c r="D150" s="281"/>
      <c r="E150" s="1293">
        <v>25.23</v>
      </c>
      <c r="F150" s="1632"/>
      <c r="G150" s="1152" t="s">
        <v>9</v>
      </c>
    </row>
    <row r="151" spans="1:7">
      <c r="A151" s="1272">
        <v>42679</v>
      </c>
      <c r="B151" s="279" t="str">
        <f>TiposLancamentos!B16</f>
        <v>Cristiane</v>
      </c>
      <c r="C151" s="280" t="s">
        <v>18412</v>
      </c>
      <c r="D151" s="281"/>
      <c r="E151" s="1293">
        <v>95.4</v>
      </c>
      <c r="F151" s="1632"/>
      <c r="G151" s="1152" t="s">
        <v>9</v>
      </c>
    </row>
    <row r="152" spans="1:7">
      <c r="A152" s="1272">
        <v>42680</v>
      </c>
      <c r="B152" s="279" t="str">
        <f>TiposLancamentos!B16</f>
        <v>Cristiane</v>
      </c>
      <c r="C152" s="280" t="s">
        <v>18411</v>
      </c>
      <c r="D152" s="281"/>
      <c r="E152" s="1293">
        <v>17.73</v>
      </c>
      <c r="F152" s="1632"/>
      <c r="G152" s="1152" t="s">
        <v>9</v>
      </c>
    </row>
    <row r="153" spans="1:7">
      <c r="A153" s="934"/>
      <c r="B153" s="243"/>
      <c r="C153" s="389" t="s">
        <v>10</v>
      </c>
      <c r="D153" s="146"/>
      <c r="E153" s="1190"/>
      <c r="F153" s="935"/>
      <c r="G153" s="1094" t="s">
        <v>11</v>
      </c>
    </row>
    <row r="154" spans="1:7">
      <c r="A154" s="1272">
        <v>42692</v>
      </c>
      <c r="B154" s="279" t="str">
        <f>TiposLancamentos!B16</f>
        <v>Cristiane</v>
      </c>
      <c r="C154" s="280" t="s">
        <v>18413</v>
      </c>
      <c r="D154" s="281"/>
      <c r="E154" s="1293">
        <v>153.26</v>
      </c>
      <c r="F154" s="1632"/>
      <c r="G154" s="1152" t="s">
        <v>9</v>
      </c>
    </row>
    <row r="155" spans="1:7">
      <c r="A155" s="884">
        <v>42693</v>
      </c>
      <c r="B155" s="240" t="str">
        <f>TiposLancamentos!B19</f>
        <v>Restaurantes</v>
      </c>
      <c r="C155" s="878" t="s">
        <v>7068</v>
      </c>
      <c r="D155" s="63"/>
      <c r="E155" s="231">
        <v>69.930000000000007</v>
      </c>
      <c r="F155" s="899"/>
      <c r="G155" s="1152" t="s">
        <v>9</v>
      </c>
    </row>
    <row r="156" spans="1:7">
      <c r="A156" s="884">
        <v>42694</v>
      </c>
      <c r="B156" s="240" t="str">
        <f>TiposLancamentos!B5</f>
        <v>Supermercado</v>
      </c>
      <c r="C156" s="878" t="s">
        <v>18414</v>
      </c>
      <c r="D156" s="63"/>
      <c r="E156" s="231">
        <v>125.69</v>
      </c>
      <c r="F156" s="899"/>
      <c r="G156" s="1152" t="s">
        <v>9</v>
      </c>
    </row>
    <row r="157" spans="1:7">
      <c r="A157" s="1272">
        <v>42696</v>
      </c>
      <c r="B157" s="279" t="str">
        <f>TiposLancamentos!B16</f>
        <v>Cristiane</v>
      </c>
      <c r="C157" s="280" t="s">
        <v>18415</v>
      </c>
      <c r="D157" s="281"/>
      <c r="E157" s="1293">
        <v>49.24</v>
      </c>
      <c r="F157" s="1632"/>
      <c r="G157" s="1152" t="s">
        <v>9</v>
      </c>
    </row>
    <row r="158" spans="1:7">
      <c r="A158" s="884">
        <v>42696</v>
      </c>
      <c r="B158" s="240" t="str">
        <f>TiposLancamentos!B57</f>
        <v>Informática</v>
      </c>
      <c r="C158" s="878" t="s">
        <v>18416</v>
      </c>
      <c r="D158" s="63"/>
      <c r="E158" s="231">
        <f>F158/3</f>
        <v>58.300000000000004</v>
      </c>
      <c r="F158" s="899">
        <f>174.9</f>
        <v>174.9</v>
      </c>
      <c r="G158" s="1152" t="s">
        <v>9</v>
      </c>
    </row>
    <row r="159" spans="1:7">
      <c r="A159" s="884">
        <v>42696</v>
      </c>
      <c r="B159" s="240" t="str">
        <f>TiposLancamentos!B56</f>
        <v>Farmácia</v>
      </c>
      <c r="C159" s="878" t="s">
        <v>18417</v>
      </c>
      <c r="D159" s="63"/>
      <c r="E159" s="231">
        <v>57.96</v>
      </c>
      <c r="F159" s="899"/>
      <c r="G159" s="1152" t="s">
        <v>9</v>
      </c>
    </row>
    <row r="160" spans="1:7">
      <c r="A160" s="884">
        <v>42697</v>
      </c>
      <c r="B160" s="240" t="str">
        <f>TiposLancamentos!B5</f>
        <v>Supermercado</v>
      </c>
      <c r="C160" s="878" t="s">
        <v>18418</v>
      </c>
      <c r="D160" s="63"/>
      <c r="E160" s="231">
        <v>79.47</v>
      </c>
      <c r="F160" s="899"/>
      <c r="G160" s="1152" t="s">
        <v>9</v>
      </c>
    </row>
    <row r="161" spans="1:7">
      <c r="A161" s="884">
        <v>42698</v>
      </c>
      <c r="B161" s="240" t="str">
        <f>TiposLancamentos!B57</f>
        <v>Informática</v>
      </c>
      <c r="C161" s="878" t="s">
        <v>18419</v>
      </c>
      <c r="D161" s="63"/>
      <c r="E161" s="231">
        <v>183.94</v>
      </c>
      <c r="F161" s="899">
        <v>551.78</v>
      </c>
      <c r="G161" s="1152" t="s">
        <v>9</v>
      </c>
    </row>
    <row r="162" spans="1:7">
      <c r="A162" s="1272">
        <v>42698</v>
      </c>
      <c r="B162" s="279" t="str">
        <f>TiposLancamentos!B16</f>
        <v>Cristiane</v>
      </c>
      <c r="C162" s="280" t="s">
        <v>18420</v>
      </c>
      <c r="D162" s="281"/>
      <c r="E162" s="1293">
        <v>300</v>
      </c>
      <c r="F162" s="1632"/>
      <c r="G162" s="1152" t="s">
        <v>9</v>
      </c>
    </row>
    <row r="163" spans="1:7">
      <c r="A163" s="1272">
        <v>42699</v>
      </c>
      <c r="B163" s="279" t="str">
        <f>TiposLancamentos!B16</f>
        <v>Cristiane</v>
      </c>
      <c r="C163" s="280" t="s">
        <v>18421</v>
      </c>
      <c r="D163" s="281"/>
      <c r="E163" s="1293">
        <v>50.3</v>
      </c>
      <c r="F163" s="1632"/>
      <c r="G163" s="1152" t="s">
        <v>9</v>
      </c>
    </row>
    <row r="164" spans="1:7" ht="14.25" thickBot="1">
      <c r="A164" s="884">
        <v>42700</v>
      </c>
      <c r="B164" s="240" t="str">
        <f>TiposLancamentos!B16</f>
        <v>Cristiane</v>
      </c>
      <c r="C164" s="878" t="s">
        <v>6052</v>
      </c>
      <c r="D164" s="63"/>
      <c r="E164" s="231">
        <v>158</v>
      </c>
      <c r="F164" s="899"/>
      <c r="G164" s="1152" t="s">
        <v>9</v>
      </c>
    </row>
    <row r="165" spans="1:7">
      <c r="A165" s="1032"/>
      <c r="B165" s="1230"/>
      <c r="C165" s="906" t="s">
        <v>18422</v>
      </c>
      <c r="D165" s="896"/>
      <c r="E165" s="925"/>
      <c r="F165" s="898">
        <f>SUM(E124:E152)</f>
        <v>1948.6699999999996</v>
      </c>
      <c r="G165" s="3"/>
    </row>
    <row r="166" spans="1:7">
      <c r="A166" s="884">
        <v>42705</v>
      </c>
      <c r="B166" s="240" t="str">
        <f>TiposLancamentos!B15</f>
        <v>Cartões de Crédito</v>
      </c>
      <c r="C166" s="878" t="s">
        <v>1874</v>
      </c>
      <c r="D166" s="63">
        <v>1948.67</v>
      </c>
      <c r="E166" s="231"/>
      <c r="F166" s="899">
        <f>F165-F142</f>
        <v>46.569999999999482</v>
      </c>
      <c r="G166" s="1152" t="s">
        <v>9</v>
      </c>
    </row>
    <row r="167" spans="1:7">
      <c r="A167" s="884">
        <v>42706</v>
      </c>
      <c r="B167" s="240" t="str">
        <f>TiposLancamentos!B16</f>
        <v>Cristiane</v>
      </c>
      <c r="C167" s="878" t="s">
        <v>18423</v>
      </c>
      <c r="D167" s="63"/>
      <c r="E167" s="231">
        <v>272.89</v>
      </c>
      <c r="F167" s="899"/>
      <c r="G167" s="1152" t="s">
        <v>9</v>
      </c>
    </row>
    <row r="168" spans="1:7">
      <c r="A168" s="1272">
        <v>42713</v>
      </c>
      <c r="B168" s="279" t="str">
        <f>TiposLancamentos!B16</f>
        <v>Cristiane</v>
      </c>
      <c r="C168" s="280" t="s">
        <v>18424</v>
      </c>
      <c r="D168" s="281"/>
      <c r="E168" s="1293">
        <v>130.94999999999999</v>
      </c>
      <c r="F168" s="1632"/>
      <c r="G168" s="1152" t="s">
        <v>9</v>
      </c>
    </row>
    <row r="169" spans="1:7">
      <c r="A169" s="1272">
        <v>42713</v>
      </c>
      <c r="B169" s="279" t="str">
        <f>TiposLancamentos!B16</f>
        <v>Cristiane</v>
      </c>
      <c r="C169" s="280" t="s">
        <v>18425</v>
      </c>
      <c r="D169" s="281"/>
      <c r="E169" s="1293">
        <v>140</v>
      </c>
      <c r="F169" s="1632"/>
      <c r="G169" s="1152" t="s">
        <v>9</v>
      </c>
    </row>
    <row r="170" spans="1:7">
      <c r="A170" s="884">
        <v>42715</v>
      </c>
      <c r="B170" s="240" t="str">
        <f>TiposLancamentos!B19</f>
        <v>Restaurantes</v>
      </c>
      <c r="C170" s="878" t="s">
        <v>18426</v>
      </c>
      <c r="D170" s="63"/>
      <c r="E170" s="231">
        <v>102.63</v>
      </c>
      <c r="F170" s="899"/>
      <c r="G170" s="1152" t="s">
        <v>9</v>
      </c>
    </row>
    <row r="171" spans="1:7">
      <c r="A171" s="1272">
        <v>42717</v>
      </c>
      <c r="B171" s="279" t="str">
        <f>TiposLancamentos!B16</f>
        <v>Cristiane</v>
      </c>
      <c r="C171" s="280" t="s">
        <v>18427</v>
      </c>
      <c r="D171" s="281"/>
      <c r="E171" s="1293">
        <v>69.989999999999995</v>
      </c>
      <c r="F171" s="1632"/>
      <c r="G171" s="1152" t="s">
        <v>9</v>
      </c>
    </row>
    <row r="172" spans="1:7">
      <c r="A172" s="1272">
        <v>42717</v>
      </c>
      <c r="B172" s="279" t="str">
        <f>TiposLancamentos!B16</f>
        <v>Cristiane</v>
      </c>
      <c r="C172" s="280" t="s">
        <v>18428</v>
      </c>
      <c r="D172" s="281"/>
      <c r="E172" s="1293">
        <v>85</v>
      </c>
      <c r="F172" s="1632"/>
      <c r="G172" s="1152" t="s">
        <v>9</v>
      </c>
    </row>
    <row r="173" spans="1:7">
      <c r="A173" s="934"/>
      <c r="B173" s="243"/>
      <c r="C173" s="389" t="s">
        <v>10</v>
      </c>
      <c r="D173" s="146"/>
      <c r="E173" s="1190"/>
      <c r="F173" s="935"/>
      <c r="G173" s="1094" t="s">
        <v>11</v>
      </c>
    </row>
    <row r="174" spans="1:7">
      <c r="A174" s="884">
        <v>42726</v>
      </c>
      <c r="B174" s="240" t="str">
        <f>TiposLancamentos!B57</f>
        <v>Informática</v>
      </c>
      <c r="C174" s="878" t="s">
        <v>18429</v>
      </c>
      <c r="D174" s="63"/>
      <c r="E174" s="231">
        <f>F174/3</f>
        <v>58.300000000000004</v>
      </c>
      <c r="F174" s="899">
        <f>174.9</f>
        <v>174.9</v>
      </c>
      <c r="G174" s="1152" t="s">
        <v>9</v>
      </c>
    </row>
    <row r="175" spans="1:7" ht="14.25" thickBot="1">
      <c r="A175" s="885">
        <v>42728</v>
      </c>
      <c r="B175" s="1232" t="str">
        <f>TiposLancamentos!B57</f>
        <v>Informática</v>
      </c>
      <c r="C175" s="1120" t="s">
        <v>18430</v>
      </c>
      <c r="D175" s="903"/>
      <c r="E175" s="928">
        <v>183.92</v>
      </c>
      <c r="F175" s="905">
        <v>551.78</v>
      </c>
      <c r="G175" s="1152" t="s">
        <v>9</v>
      </c>
    </row>
    <row r="176" spans="1:7">
      <c r="A176" s="1032"/>
      <c r="B176" s="1230"/>
      <c r="C176" s="1092" t="s">
        <v>18431</v>
      </c>
      <c r="D176" s="896"/>
      <c r="E176" s="925"/>
      <c r="F176" s="898">
        <f>SUM(E154:E172)</f>
        <v>2087.5500000000002</v>
      </c>
      <c r="G176" s="3"/>
    </row>
    <row r="177" spans="1:7">
      <c r="A177" s="884">
        <v>42737</v>
      </c>
      <c r="B177" s="240" t="str">
        <f>TiposLancamentos!B15</f>
        <v>Cartões de Crédito</v>
      </c>
      <c r="C177" s="878" t="s">
        <v>1874</v>
      </c>
      <c r="D177" s="63">
        <v>2087.5500000000002</v>
      </c>
      <c r="E177" s="231"/>
      <c r="F177" s="899">
        <f>F176-F165</f>
        <v>138.88000000000056</v>
      </c>
      <c r="G177" s="1152" t="s">
        <v>9</v>
      </c>
    </row>
    <row r="178" spans="1:7">
      <c r="A178" s="884">
        <v>42738</v>
      </c>
      <c r="B178" s="240" t="str">
        <f>TiposLancamentos!B44</f>
        <v>Academia</v>
      </c>
      <c r="C178" s="878" t="s">
        <v>11156</v>
      </c>
      <c r="D178" s="63"/>
      <c r="E178" s="231">
        <f>F178/4</f>
        <v>152.1</v>
      </c>
      <c r="F178" s="899">
        <v>608.4</v>
      </c>
      <c r="G178" s="1152" t="s">
        <v>9</v>
      </c>
    </row>
    <row r="179" spans="1:7">
      <c r="A179" s="884">
        <v>42744</v>
      </c>
      <c r="B179" s="240" t="str">
        <f>TiposLancamentos!B5</f>
        <v>Supermercado</v>
      </c>
      <c r="C179" s="878" t="s">
        <v>18432</v>
      </c>
      <c r="D179" s="63"/>
      <c r="E179" s="231">
        <v>224.17</v>
      </c>
      <c r="F179" s="899"/>
      <c r="G179" s="1152" t="s">
        <v>9</v>
      </c>
    </row>
    <row r="180" spans="1:7">
      <c r="A180" s="1272">
        <v>42747</v>
      </c>
      <c r="B180" s="279" t="str">
        <f>TiposLancamentos!B5</f>
        <v>Supermercado</v>
      </c>
      <c r="C180" s="280" t="s">
        <v>6234</v>
      </c>
      <c r="D180" s="281"/>
      <c r="E180" s="1293">
        <v>93.25</v>
      </c>
      <c r="F180" s="1632"/>
      <c r="G180" s="1152" t="s">
        <v>9</v>
      </c>
    </row>
    <row r="181" spans="1:7">
      <c r="A181" s="1272">
        <v>42749</v>
      </c>
      <c r="B181" s="279" t="str">
        <f>TiposLancamentos!B16</f>
        <v>Cristiane</v>
      </c>
      <c r="C181" s="280" t="s">
        <v>18433</v>
      </c>
      <c r="D181" s="281"/>
      <c r="E181" s="1293">
        <v>122.53</v>
      </c>
      <c r="F181" s="1632"/>
      <c r="G181" s="1152" t="s">
        <v>9</v>
      </c>
    </row>
    <row r="182" spans="1:7">
      <c r="A182" s="1272">
        <v>42752</v>
      </c>
      <c r="B182" s="279" t="str">
        <f>TiposLancamentos!B16</f>
        <v>Cristiane</v>
      </c>
      <c r="C182" s="280" t="s">
        <v>18434</v>
      </c>
      <c r="D182" s="281"/>
      <c r="E182" s="1293">
        <v>179.97</v>
      </c>
      <c r="F182" s="1632"/>
      <c r="G182" s="1152" t="s">
        <v>9</v>
      </c>
    </row>
    <row r="183" spans="1:7">
      <c r="A183" s="934"/>
      <c r="B183" s="243"/>
      <c r="C183" s="389" t="s">
        <v>10</v>
      </c>
      <c r="D183" s="146"/>
      <c r="E183" s="1190"/>
      <c r="F183" s="935"/>
      <c r="G183" s="1094" t="s">
        <v>11</v>
      </c>
    </row>
    <row r="184" spans="1:7">
      <c r="A184" s="1272">
        <v>42754</v>
      </c>
      <c r="B184" s="279" t="str">
        <f>TiposLancamentos!B17</f>
        <v>GATO</v>
      </c>
      <c r="C184" s="280" t="s">
        <v>18435</v>
      </c>
      <c r="D184" s="281"/>
      <c r="E184" s="1293">
        <v>166.21</v>
      </c>
      <c r="F184" s="1632"/>
      <c r="G184" s="1152" t="s">
        <v>9</v>
      </c>
    </row>
    <row r="185" spans="1:7">
      <c r="A185" s="1272">
        <v>42755</v>
      </c>
      <c r="B185" s="279" t="str">
        <f>TiposLancamentos!B5</f>
        <v>Supermercado</v>
      </c>
      <c r="C185" s="280" t="s">
        <v>6234</v>
      </c>
      <c r="D185" s="281"/>
      <c r="E185" s="1293">
        <v>181.62</v>
      </c>
      <c r="F185" s="1632"/>
      <c r="G185" s="1152" t="s">
        <v>9</v>
      </c>
    </row>
    <row r="186" spans="1:7">
      <c r="A186" s="884">
        <v>42756</v>
      </c>
      <c r="B186" s="240" t="str">
        <f>TiposLancamentos!B65</f>
        <v>Taxi</v>
      </c>
      <c r="C186" s="878" t="s">
        <v>10959</v>
      </c>
      <c r="D186" s="63"/>
      <c r="E186" s="231">
        <v>10.95</v>
      </c>
      <c r="F186" s="899"/>
      <c r="G186" s="1152" t="s">
        <v>9</v>
      </c>
    </row>
    <row r="187" spans="1:7">
      <c r="A187" s="884">
        <v>42758</v>
      </c>
      <c r="B187" s="240" t="str">
        <f>TiposLancamentos!B13</f>
        <v>Moradia</v>
      </c>
      <c r="C187" s="878" t="s">
        <v>18436</v>
      </c>
      <c r="D187" s="63"/>
      <c r="E187" s="231">
        <v>264.98</v>
      </c>
      <c r="F187" s="899"/>
      <c r="G187" s="1152" t="s">
        <v>9</v>
      </c>
    </row>
    <row r="188" spans="1:7">
      <c r="A188" s="858">
        <v>42758</v>
      </c>
      <c r="B188" s="822" t="str">
        <f>TiposLancamentos!B48</f>
        <v>Baralhos e Oráculos</v>
      </c>
      <c r="C188" s="808" t="s">
        <v>18437</v>
      </c>
      <c r="D188" s="747"/>
      <c r="E188" s="1118">
        <f>116+8.94</f>
        <v>124.94</v>
      </c>
      <c r="F188" s="1454"/>
      <c r="G188" s="1152" t="s">
        <v>9</v>
      </c>
    </row>
    <row r="189" spans="1:7">
      <c r="A189" s="862">
        <v>42758</v>
      </c>
      <c r="B189" s="823" t="str">
        <f>TiposLancamentos!B48</f>
        <v>Baralhos e Oráculos</v>
      </c>
      <c r="C189" s="812" t="s">
        <v>18438</v>
      </c>
      <c r="D189" s="849"/>
      <c r="E189" s="1119">
        <f>152+8.94</f>
        <v>160.94</v>
      </c>
      <c r="F189" s="1308">
        <f>SUM(E188:E189)</f>
        <v>285.88</v>
      </c>
      <c r="G189" s="1152" t="s">
        <v>9</v>
      </c>
    </row>
    <row r="190" spans="1:7">
      <c r="A190" s="884">
        <v>42759</v>
      </c>
      <c r="B190" s="240" t="str">
        <f>TiposLancamentos!B57</f>
        <v>Informática</v>
      </c>
      <c r="C190" s="878" t="s">
        <v>18439</v>
      </c>
      <c r="D190" s="63"/>
      <c r="E190" s="231">
        <v>183.92</v>
      </c>
      <c r="F190" s="899">
        <v>551.78</v>
      </c>
      <c r="G190" s="1152" t="s">
        <v>9</v>
      </c>
    </row>
    <row r="191" spans="1:7">
      <c r="A191" s="1272">
        <v>42761</v>
      </c>
      <c r="B191" s="279" t="str">
        <f>TiposLancamentos!B16</f>
        <v>Cristiane</v>
      </c>
      <c r="C191" s="280" t="s">
        <v>18440</v>
      </c>
      <c r="D191" s="281"/>
      <c r="E191" s="1293">
        <v>350</v>
      </c>
      <c r="F191" s="1632"/>
      <c r="G191" s="1152" t="s">
        <v>9</v>
      </c>
    </row>
    <row r="192" spans="1:7">
      <c r="A192" s="884">
        <v>42761</v>
      </c>
      <c r="B192" s="240" t="str">
        <f>TiposLancamentos!B19</f>
        <v>Restaurantes</v>
      </c>
      <c r="C192" s="878" t="s">
        <v>18318</v>
      </c>
      <c r="D192" s="63"/>
      <c r="E192" s="231">
        <v>11.86</v>
      </c>
      <c r="F192" s="899"/>
      <c r="G192" s="1152" t="s">
        <v>9</v>
      </c>
    </row>
    <row r="193" spans="1:7">
      <c r="A193" s="1272">
        <v>42762</v>
      </c>
      <c r="B193" s="279" t="str">
        <f>TiposLancamentos!B16</f>
        <v>Cristiane</v>
      </c>
      <c r="C193" s="280" t="s">
        <v>18441</v>
      </c>
      <c r="D193" s="281"/>
      <c r="E193" s="1293">
        <v>55</v>
      </c>
      <c r="F193" s="1632"/>
      <c r="G193" s="1152" t="s">
        <v>9</v>
      </c>
    </row>
    <row r="194" spans="1:7">
      <c r="A194" s="1272">
        <v>42763</v>
      </c>
      <c r="B194" s="279" t="str">
        <f>TiposLancamentos!B16</f>
        <v>Cristiane</v>
      </c>
      <c r="C194" s="280" t="s">
        <v>18442</v>
      </c>
      <c r="D194" s="281"/>
      <c r="E194" s="1293">
        <v>100</v>
      </c>
      <c r="F194" s="1632"/>
      <c r="G194" s="1152" t="s">
        <v>9</v>
      </c>
    </row>
    <row r="195" spans="1:7">
      <c r="A195" s="1272">
        <v>42763</v>
      </c>
      <c r="B195" s="279" t="str">
        <f>TiposLancamentos!B16</f>
        <v>Cristiane</v>
      </c>
      <c r="C195" s="280" t="s">
        <v>18443</v>
      </c>
      <c r="D195" s="281"/>
      <c r="E195" s="1293">
        <v>89.99</v>
      </c>
      <c r="F195" s="1632"/>
      <c r="G195" s="1152" t="s">
        <v>9</v>
      </c>
    </row>
    <row r="196" spans="1:7" ht="14.25" thickBot="1">
      <c r="A196" s="1633">
        <v>42765</v>
      </c>
      <c r="B196" s="1634" t="str">
        <f>TiposLancamentos!B16</f>
        <v>Cristiane</v>
      </c>
      <c r="C196" s="1635" t="s">
        <v>18444</v>
      </c>
      <c r="D196" s="1636"/>
      <c r="E196" s="1637">
        <v>73.17</v>
      </c>
      <c r="F196" s="1638"/>
      <c r="G196" s="1152" t="s">
        <v>9</v>
      </c>
    </row>
    <row r="197" spans="1:7">
      <c r="A197" s="1032"/>
      <c r="B197" s="1230"/>
      <c r="C197" s="906" t="s">
        <v>18445</v>
      </c>
      <c r="D197" s="896"/>
      <c r="E197" s="925"/>
      <c r="F197" s="898">
        <f>SUM(E174:E182)</f>
        <v>1014.24</v>
      </c>
      <c r="G197" s="3"/>
    </row>
    <row r="198" spans="1:7">
      <c r="A198" s="884">
        <v>42767</v>
      </c>
      <c r="B198" s="240" t="str">
        <f>TiposLancamentos!B15</f>
        <v>Cartões de Crédito</v>
      </c>
      <c r="C198" s="878" t="s">
        <v>1874</v>
      </c>
      <c r="D198" s="63">
        <v>1014.24</v>
      </c>
      <c r="E198" s="231"/>
      <c r="F198" s="899">
        <f>F197-F176</f>
        <v>-1073.3100000000002</v>
      </c>
      <c r="G198" s="1152" t="s">
        <v>9</v>
      </c>
    </row>
    <row r="199" spans="1:7">
      <c r="A199" s="884">
        <v>42769</v>
      </c>
      <c r="B199" s="240" t="str">
        <f>TiposLancamentos!B44</f>
        <v>Academia</v>
      </c>
      <c r="C199" s="878" t="s">
        <v>11185</v>
      </c>
      <c r="D199" s="63"/>
      <c r="E199" s="231">
        <f>F199/4</f>
        <v>152.1</v>
      </c>
      <c r="F199" s="899">
        <v>608.4</v>
      </c>
      <c r="G199" s="1152" t="s">
        <v>9</v>
      </c>
    </row>
    <row r="200" spans="1:7">
      <c r="A200" s="1272">
        <v>42769</v>
      </c>
      <c r="B200" s="279" t="str">
        <f>TiposLancamentos!B16</f>
        <v>Cristiane</v>
      </c>
      <c r="C200" s="280" t="s">
        <v>8555</v>
      </c>
      <c r="D200" s="281"/>
      <c r="E200" s="1293">
        <v>73.040000000000006</v>
      </c>
      <c r="F200" s="1632"/>
      <c r="G200" s="1152" t="s">
        <v>9</v>
      </c>
    </row>
    <row r="201" spans="1:7">
      <c r="A201" s="1272">
        <v>42778</v>
      </c>
      <c r="B201" s="279" t="str">
        <f>TiposLancamentos!B5</f>
        <v>Supermercado</v>
      </c>
      <c r="C201" s="280" t="s">
        <v>6234</v>
      </c>
      <c r="D201" s="281"/>
      <c r="E201" s="1293">
        <v>255.09</v>
      </c>
      <c r="F201" s="1632"/>
      <c r="G201" s="1152" t="s">
        <v>9</v>
      </c>
    </row>
    <row r="202" spans="1:7">
      <c r="A202" s="934"/>
      <c r="B202" s="243"/>
      <c r="C202" s="389" t="s">
        <v>10</v>
      </c>
      <c r="D202" s="146"/>
      <c r="E202" s="1190"/>
      <c r="F202" s="935"/>
      <c r="G202" s="1094" t="s">
        <v>11</v>
      </c>
    </row>
    <row r="203" spans="1:7">
      <c r="A203" s="884">
        <v>42784</v>
      </c>
      <c r="B203" s="240" t="str">
        <f>TiposLancamentos!B19</f>
        <v>Restaurantes</v>
      </c>
      <c r="C203" s="878" t="s">
        <v>18446</v>
      </c>
      <c r="D203" s="63"/>
      <c r="E203" s="231">
        <v>58.19</v>
      </c>
      <c r="F203" s="899"/>
      <c r="G203" s="1152" t="s">
        <v>9</v>
      </c>
    </row>
    <row r="204" spans="1:7">
      <c r="A204" s="1272">
        <v>42789</v>
      </c>
      <c r="B204" s="279" t="str">
        <f>TiposLancamentos!B16</f>
        <v>Cristiane</v>
      </c>
      <c r="C204" s="280" t="s">
        <v>18447</v>
      </c>
      <c r="D204" s="281"/>
      <c r="E204" s="1293">
        <v>109.6</v>
      </c>
      <c r="F204" s="1632"/>
      <c r="G204" s="1152" t="s">
        <v>9</v>
      </c>
    </row>
    <row r="205" spans="1:7">
      <c r="A205" s="1272">
        <v>42789</v>
      </c>
      <c r="B205" s="279" t="str">
        <f>TiposLancamentos!B16</f>
        <v>Cristiane</v>
      </c>
      <c r="C205" s="280" t="s">
        <v>18448</v>
      </c>
      <c r="D205" s="281"/>
      <c r="E205" s="1293">
        <v>13.3</v>
      </c>
      <c r="F205" s="1632" t="s">
        <v>11062</v>
      </c>
      <c r="G205" s="1152" t="s">
        <v>9</v>
      </c>
    </row>
    <row r="206" spans="1:7">
      <c r="A206" s="1272">
        <v>42789</v>
      </c>
      <c r="B206" s="279" t="str">
        <f>TiposLancamentos!B4</f>
        <v>Taxas Bancarias</v>
      </c>
      <c r="C206" s="280" t="s">
        <v>18391</v>
      </c>
      <c r="D206" s="281"/>
      <c r="E206" s="1293">
        <v>0.79</v>
      </c>
      <c r="F206" s="1632"/>
      <c r="G206" s="1152" t="s">
        <v>9</v>
      </c>
    </row>
    <row r="207" spans="1:7" ht="14.25" thickBot="1">
      <c r="A207" s="1633">
        <v>42791</v>
      </c>
      <c r="B207" s="1634" t="str">
        <f>TiposLancamentos!B16</f>
        <v>Cristiane</v>
      </c>
      <c r="C207" s="1635" t="s">
        <v>18449</v>
      </c>
      <c r="D207" s="1636"/>
      <c r="E207" s="1637">
        <v>26</v>
      </c>
      <c r="F207" s="1638"/>
      <c r="G207" s="1152" t="s">
        <v>9</v>
      </c>
    </row>
    <row r="208" spans="1:7">
      <c r="A208" s="884"/>
      <c r="B208" s="240"/>
      <c r="C208" s="878" t="s">
        <v>10990</v>
      </c>
      <c r="D208" s="63"/>
      <c r="E208" s="231"/>
      <c r="F208" s="899">
        <f>SUM(E184:E201)</f>
        <v>2253.81</v>
      </c>
      <c r="G208" s="3"/>
    </row>
    <row r="209" spans="1:7">
      <c r="A209" s="884">
        <v>42795</v>
      </c>
      <c r="B209" s="240" t="str">
        <f>TiposLancamentos!B15</f>
        <v>Cartões de Crédito</v>
      </c>
      <c r="C209" s="878" t="s">
        <v>1874</v>
      </c>
      <c r="D209" s="63">
        <v>2253.81</v>
      </c>
      <c r="E209" s="231"/>
      <c r="F209" s="899">
        <f>F208-F197</f>
        <v>1239.57</v>
      </c>
      <c r="G209" s="1152" t="s">
        <v>9</v>
      </c>
    </row>
    <row r="210" spans="1:7">
      <c r="A210" s="884">
        <v>42795</v>
      </c>
      <c r="B210" s="240" t="str">
        <f>TiposLancamentos!B71</f>
        <v>Itens Pessoais</v>
      </c>
      <c r="C210" s="878" t="s">
        <v>18450</v>
      </c>
      <c r="D210" s="63"/>
      <c r="E210" s="231">
        <v>40</v>
      </c>
      <c r="F210" s="899"/>
      <c r="G210" s="1152" t="s">
        <v>9</v>
      </c>
    </row>
    <row r="211" spans="1:7">
      <c r="A211" s="884">
        <v>42797</v>
      </c>
      <c r="B211" s="240" t="str">
        <f>TiposLancamentos!B44</f>
        <v>Academia</v>
      </c>
      <c r="C211" s="878" t="s">
        <v>11189</v>
      </c>
      <c r="D211" s="63"/>
      <c r="E211" s="231">
        <f>F211/4</f>
        <v>152.1</v>
      </c>
      <c r="F211" s="899">
        <v>608.4</v>
      </c>
      <c r="G211" s="1152" t="s">
        <v>9</v>
      </c>
    </row>
    <row r="212" spans="1:7">
      <c r="A212" s="1272">
        <v>42798</v>
      </c>
      <c r="B212" s="279" t="str">
        <f>TiposLancamentos!B5</f>
        <v>Supermercado</v>
      </c>
      <c r="C212" s="280" t="s">
        <v>6234</v>
      </c>
      <c r="D212" s="281"/>
      <c r="E212" s="1293">
        <v>95.24</v>
      </c>
      <c r="F212" s="1632"/>
      <c r="G212" s="1152" t="s">
        <v>9</v>
      </c>
    </row>
    <row r="213" spans="1:7">
      <c r="A213" s="1272">
        <v>42799</v>
      </c>
      <c r="B213" s="279" t="str">
        <f>TiposLancamentos!B16</f>
        <v>Cristiane</v>
      </c>
      <c r="C213" s="280" t="s">
        <v>18451</v>
      </c>
      <c r="D213" s="281"/>
      <c r="E213" s="1293">
        <v>16.62</v>
      </c>
      <c r="F213" s="1632" t="s">
        <v>17287</v>
      </c>
      <c r="G213" s="1152" t="s">
        <v>9</v>
      </c>
    </row>
    <row r="214" spans="1:7">
      <c r="A214" s="1272">
        <v>42799</v>
      </c>
      <c r="B214" s="279" t="str">
        <f>TiposLancamentos!B4</f>
        <v>Taxas Bancarias</v>
      </c>
      <c r="C214" s="280" t="s">
        <v>18452</v>
      </c>
      <c r="D214" s="281"/>
      <c r="E214" s="1293">
        <v>1.01</v>
      </c>
      <c r="F214" s="1632"/>
      <c r="G214" s="1152" t="s">
        <v>9</v>
      </c>
    </row>
    <row r="215" spans="1:7">
      <c r="A215" s="1272">
        <v>42803</v>
      </c>
      <c r="B215" s="279" t="str">
        <f>TiposLancamentos!B16</f>
        <v>Cristiane</v>
      </c>
      <c r="C215" s="280" t="s">
        <v>18451</v>
      </c>
      <c r="D215" s="281"/>
      <c r="E215" s="1293">
        <v>15.63</v>
      </c>
      <c r="F215" s="1632" t="s">
        <v>17287</v>
      </c>
      <c r="G215" s="1152" t="s">
        <v>9</v>
      </c>
    </row>
    <row r="216" spans="1:7">
      <c r="A216" s="1272">
        <v>42803</v>
      </c>
      <c r="B216" s="279" t="str">
        <f>TiposLancamentos!B4</f>
        <v>Taxas Bancarias</v>
      </c>
      <c r="C216" s="280" t="s">
        <v>18452</v>
      </c>
      <c r="D216" s="281"/>
      <c r="E216" s="1293">
        <v>1.01</v>
      </c>
      <c r="F216" s="1632"/>
      <c r="G216" s="1152" t="s">
        <v>9</v>
      </c>
    </row>
    <row r="217" spans="1:7">
      <c r="A217" s="1272">
        <v>42808</v>
      </c>
      <c r="B217" s="279" t="str">
        <f>TiposLancamentos!B16</f>
        <v>Cristiane</v>
      </c>
      <c r="C217" s="280" t="s">
        <v>18453</v>
      </c>
      <c r="D217" s="281"/>
      <c r="E217" s="1293">
        <v>52.58</v>
      </c>
      <c r="F217" s="1632"/>
      <c r="G217" s="1152" t="s">
        <v>9</v>
      </c>
    </row>
    <row r="218" spans="1:7">
      <c r="A218" s="1272">
        <v>42809</v>
      </c>
      <c r="B218" s="279" t="str">
        <f>TiposLancamentos!B16</f>
        <v>Cristiane</v>
      </c>
      <c r="C218" s="280" t="s">
        <v>18454</v>
      </c>
      <c r="D218" s="281"/>
      <c r="E218" s="1293">
        <v>168.21</v>
      </c>
      <c r="F218" s="1632"/>
      <c r="G218" s="1152" t="s">
        <v>9</v>
      </c>
    </row>
    <row r="219" spans="1:7">
      <c r="A219" s="884">
        <v>42816</v>
      </c>
      <c r="B219" s="240" t="str">
        <f>TiposLancamentos!B4</f>
        <v>Taxas Bancarias</v>
      </c>
      <c r="C219" s="878" t="s">
        <v>18455</v>
      </c>
      <c r="D219" s="63"/>
      <c r="E219" s="231">
        <v>17.5</v>
      </c>
      <c r="F219" s="899"/>
      <c r="G219" s="1152" t="s">
        <v>9</v>
      </c>
    </row>
    <row r="220" spans="1:7">
      <c r="A220" s="934"/>
      <c r="B220" s="243"/>
      <c r="C220" s="389" t="s">
        <v>10</v>
      </c>
      <c r="D220" s="146"/>
      <c r="E220" s="1190"/>
      <c r="F220" s="935"/>
      <c r="G220" s="1094" t="s">
        <v>11</v>
      </c>
    </row>
    <row r="221" spans="1:7">
      <c r="A221" s="884">
        <v>42814</v>
      </c>
      <c r="B221" s="240" t="str">
        <f>TiposLancamentos!B57</f>
        <v>Informática</v>
      </c>
      <c r="C221" s="878" t="s">
        <v>18456</v>
      </c>
      <c r="D221" s="63"/>
      <c r="E221" s="231">
        <v>24.01</v>
      </c>
      <c r="F221" s="899" t="s">
        <v>18457</v>
      </c>
      <c r="G221" s="1094" t="s">
        <v>11</v>
      </c>
    </row>
    <row r="222" spans="1:7">
      <c r="A222" s="884">
        <v>42814</v>
      </c>
      <c r="B222" s="240" t="str">
        <f>TiposLancamentos!B4</f>
        <v>Taxas Bancarias</v>
      </c>
      <c r="C222" s="878" t="s">
        <v>17288</v>
      </c>
      <c r="D222" s="63"/>
      <c r="E222" s="231">
        <v>1.41</v>
      </c>
      <c r="F222" s="899"/>
      <c r="G222" s="1094" t="s">
        <v>11</v>
      </c>
    </row>
    <row r="223" spans="1:7">
      <c r="A223" s="884">
        <v>42816</v>
      </c>
      <c r="B223" s="240" t="str">
        <f>TiposLancamentos!B16</f>
        <v>Cristiane</v>
      </c>
      <c r="C223" s="878" t="s">
        <v>18458</v>
      </c>
      <c r="D223" s="63"/>
      <c r="E223" s="231">
        <v>171.8</v>
      </c>
      <c r="F223" s="899"/>
      <c r="G223" s="1152" t="s">
        <v>9</v>
      </c>
    </row>
    <row r="224" spans="1:7">
      <c r="A224" s="884">
        <v>42816</v>
      </c>
      <c r="B224" s="240" t="str">
        <f>TiposLancamentos!B70</f>
        <v>Vestuário</v>
      </c>
      <c r="C224" s="878" t="s">
        <v>18459</v>
      </c>
      <c r="D224" s="63"/>
      <c r="E224" s="231">
        <v>160.86000000000001</v>
      </c>
      <c r="F224" s="899"/>
      <c r="G224" s="1152" t="s">
        <v>9</v>
      </c>
    </row>
    <row r="225" spans="1:7">
      <c r="A225" s="884">
        <v>42816</v>
      </c>
      <c r="B225" s="240" t="str">
        <f>TiposLancamentos!B31</f>
        <v>Action Figures</v>
      </c>
      <c r="C225" s="878" t="s">
        <v>18460</v>
      </c>
      <c r="D225" s="63"/>
      <c r="E225" s="231">
        <v>409</v>
      </c>
      <c r="F225" s="899"/>
      <c r="G225" s="1152" t="s">
        <v>9</v>
      </c>
    </row>
    <row r="226" spans="1:7">
      <c r="A226" s="884">
        <v>42816</v>
      </c>
      <c r="B226" s="240" t="str">
        <f>TiposLancamentos!B19</f>
        <v>Restaurantes</v>
      </c>
      <c r="C226" s="878" t="s">
        <v>18461</v>
      </c>
      <c r="D226" s="63"/>
      <c r="E226" s="231">
        <v>66.930000000000007</v>
      </c>
      <c r="F226" s="899"/>
      <c r="G226" s="1152" t="s">
        <v>9</v>
      </c>
    </row>
    <row r="227" spans="1:7">
      <c r="A227" s="884">
        <v>42817</v>
      </c>
      <c r="B227" s="240" t="str">
        <f>TiposLancamentos!B17</f>
        <v>GATO</v>
      </c>
      <c r="C227" s="878" t="s">
        <v>18462</v>
      </c>
      <c r="D227" s="63"/>
      <c r="E227" s="231">
        <v>256.07</v>
      </c>
      <c r="F227" s="899"/>
      <c r="G227" s="1152" t="s">
        <v>9</v>
      </c>
    </row>
    <row r="228" spans="1:7">
      <c r="A228" s="884">
        <v>42817</v>
      </c>
      <c r="B228" s="240" t="str">
        <f>TiposLancamentos!B19</f>
        <v>Restaurantes</v>
      </c>
      <c r="C228" s="878" t="s">
        <v>18463</v>
      </c>
      <c r="D228" s="63"/>
      <c r="E228" s="231">
        <v>111.1</v>
      </c>
      <c r="F228" s="899"/>
      <c r="G228" s="1152" t="s">
        <v>9</v>
      </c>
    </row>
    <row r="229" spans="1:7">
      <c r="A229" s="884">
        <v>42818</v>
      </c>
      <c r="B229" s="240" t="str">
        <f>TiposLancamentos!B19</f>
        <v>Restaurantes</v>
      </c>
      <c r="C229" s="878" t="s">
        <v>18464</v>
      </c>
      <c r="D229" s="63"/>
      <c r="E229" s="231">
        <v>57.42</v>
      </c>
      <c r="F229" s="899"/>
      <c r="G229" s="1152" t="s">
        <v>9</v>
      </c>
    </row>
    <row r="230" spans="1:7">
      <c r="A230" s="1272">
        <v>42821</v>
      </c>
      <c r="B230" s="279" t="str">
        <f>TiposLancamentos!B16</f>
        <v>Cristiane</v>
      </c>
      <c r="C230" s="280" t="s">
        <v>5518</v>
      </c>
      <c r="D230" s="281"/>
      <c r="E230" s="1293">
        <v>149.99</v>
      </c>
      <c r="F230" s="1632"/>
      <c r="G230" s="1152" t="s">
        <v>9</v>
      </c>
    </row>
    <row r="231" spans="1:7">
      <c r="A231" s="884">
        <v>42822</v>
      </c>
      <c r="B231" s="240" t="str">
        <f>TiposLancamentos!B102</f>
        <v>ESTORNO</v>
      </c>
      <c r="C231" s="878" t="s">
        <v>18465</v>
      </c>
      <c r="D231" s="63">
        <v>17.5</v>
      </c>
      <c r="E231" s="231"/>
      <c r="F231" s="899"/>
      <c r="G231" s="1152" t="s">
        <v>9</v>
      </c>
    </row>
    <row r="232" spans="1:7" ht="14.25" thickBot="1">
      <c r="A232" s="1272">
        <v>42822</v>
      </c>
      <c r="B232" s="279" t="str">
        <f>TiposLancamentos!B22</f>
        <v>Combustivel</v>
      </c>
      <c r="C232" s="280" t="s">
        <v>6718</v>
      </c>
      <c r="D232" s="281"/>
      <c r="E232" s="1293">
        <v>100</v>
      </c>
      <c r="F232" s="1632"/>
      <c r="G232" s="1152" t="s">
        <v>9</v>
      </c>
    </row>
    <row r="233" spans="1:7">
      <c r="A233" s="1032"/>
      <c r="B233" s="1230"/>
      <c r="C233" s="906" t="s">
        <v>11029</v>
      </c>
      <c r="D233" s="896"/>
      <c r="E233" s="925"/>
      <c r="F233" s="898">
        <f>SUM(E203:E219)</f>
        <v>767.78000000000009</v>
      </c>
      <c r="G233" s="3"/>
    </row>
    <row r="234" spans="1:7">
      <c r="A234" s="884">
        <v>42827</v>
      </c>
      <c r="B234" s="240" t="str">
        <f>TiposLancamentos!B15</f>
        <v>Cartões de Crédito</v>
      </c>
      <c r="C234" s="878" t="s">
        <v>1874</v>
      </c>
      <c r="D234" s="63">
        <v>767.78</v>
      </c>
      <c r="E234" s="231"/>
      <c r="F234" s="899">
        <f>F233-F208</f>
        <v>-1486.0299999999997</v>
      </c>
      <c r="G234" s="1152" t="s">
        <v>9</v>
      </c>
    </row>
    <row r="235" spans="1:7">
      <c r="A235" s="884">
        <v>42828</v>
      </c>
      <c r="B235" s="240" t="str">
        <f>TiposLancamentos!B102</f>
        <v>ESTORNO</v>
      </c>
      <c r="C235" s="878" t="s">
        <v>18466</v>
      </c>
      <c r="D235" s="63"/>
      <c r="E235" s="231">
        <v>1.1299999999999999</v>
      </c>
      <c r="F235" s="899"/>
      <c r="G235" s="1152" t="s">
        <v>9</v>
      </c>
    </row>
    <row r="236" spans="1:7">
      <c r="A236" s="884">
        <v>42828</v>
      </c>
      <c r="B236" s="240" t="str">
        <f>TiposLancamentos!B44</f>
        <v>Academia</v>
      </c>
      <c r="C236" s="878" t="s">
        <v>11192</v>
      </c>
      <c r="D236" s="63"/>
      <c r="E236" s="231">
        <f>F236/4</f>
        <v>152.1</v>
      </c>
      <c r="F236" s="899">
        <v>608.4</v>
      </c>
      <c r="G236" s="1152" t="s">
        <v>9</v>
      </c>
    </row>
    <row r="237" spans="1:7">
      <c r="A237" s="1272">
        <v>42830</v>
      </c>
      <c r="B237" s="279" t="str">
        <f>TiposLancamentos!B16</f>
        <v>Cristiane</v>
      </c>
      <c r="C237" s="280" t="s">
        <v>18467</v>
      </c>
      <c r="D237" s="281"/>
      <c r="E237" s="1293">
        <v>79.8</v>
      </c>
      <c r="F237" s="1632"/>
      <c r="G237" s="1152" t="s">
        <v>9</v>
      </c>
    </row>
    <row r="238" spans="1:7">
      <c r="A238" s="1272">
        <v>42832</v>
      </c>
      <c r="B238" s="279" t="str">
        <f>TiposLancamentos!B16</f>
        <v>Cristiane</v>
      </c>
      <c r="C238" s="280" t="s">
        <v>18468</v>
      </c>
      <c r="D238" s="281"/>
      <c r="E238" s="1293">
        <v>193</v>
      </c>
      <c r="F238" s="1632"/>
      <c r="G238" s="1152" t="s">
        <v>9</v>
      </c>
    </row>
    <row r="239" spans="1:7">
      <c r="A239" s="1272">
        <v>42835</v>
      </c>
      <c r="B239" s="279" t="str">
        <f>TiposLancamentos!B16</f>
        <v>Cristiane</v>
      </c>
      <c r="C239" s="280" t="s">
        <v>18469</v>
      </c>
      <c r="D239" s="281"/>
      <c r="E239" s="1293">
        <v>3.26</v>
      </c>
      <c r="F239" s="1632" t="s">
        <v>11601</v>
      </c>
      <c r="G239" s="1094" t="s">
        <v>11</v>
      </c>
    </row>
    <row r="240" spans="1:7">
      <c r="A240" s="1272">
        <v>42835</v>
      </c>
      <c r="B240" s="279" t="str">
        <f>TiposLancamentos!B4</f>
        <v>Taxas Bancarias</v>
      </c>
      <c r="C240" s="280" t="s">
        <v>17288</v>
      </c>
      <c r="D240" s="281"/>
      <c r="E240" s="1293">
        <v>0.2</v>
      </c>
      <c r="F240" s="1632"/>
      <c r="G240" s="1094" t="s">
        <v>11</v>
      </c>
    </row>
    <row r="241" spans="1:7">
      <c r="A241" s="1272">
        <v>42836</v>
      </c>
      <c r="B241" s="279" t="str">
        <f>TiposLancamentos!B16</f>
        <v>Cristiane</v>
      </c>
      <c r="C241" s="280" t="s">
        <v>18447</v>
      </c>
      <c r="D241" s="281"/>
      <c r="E241" s="1293">
        <v>149.80000000000001</v>
      </c>
      <c r="F241" s="1632"/>
      <c r="G241" s="1152" t="s">
        <v>9</v>
      </c>
    </row>
    <row r="242" spans="1:7">
      <c r="A242" s="1272">
        <v>42836</v>
      </c>
      <c r="B242" s="279" t="str">
        <f>TiposLancamentos!B5</f>
        <v>Supermercado</v>
      </c>
      <c r="C242" s="280" t="s">
        <v>18470</v>
      </c>
      <c r="D242" s="281"/>
      <c r="E242" s="1293">
        <v>74.319999999999993</v>
      </c>
      <c r="F242" s="1632"/>
      <c r="G242" s="1152" t="s">
        <v>9</v>
      </c>
    </row>
    <row r="243" spans="1:7">
      <c r="A243" s="1272">
        <v>42836</v>
      </c>
      <c r="B243" s="279" t="str">
        <f>TiposLancamentos!B5</f>
        <v>Supermercado</v>
      </c>
      <c r="C243" s="280" t="s">
        <v>18471</v>
      </c>
      <c r="D243" s="281"/>
      <c r="E243" s="1293">
        <v>40.35</v>
      </c>
      <c r="F243" s="1632"/>
      <c r="G243" s="1152" t="s">
        <v>9</v>
      </c>
    </row>
    <row r="244" spans="1:7">
      <c r="A244" s="884">
        <v>42837</v>
      </c>
      <c r="B244" s="240" t="str">
        <f>TiposLancamentos!B19</f>
        <v>Restaurantes</v>
      </c>
      <c r="C244" s="878" t="s">
        <v>18472</v>
      </c>
      <c r="D244" s="63"/>
      <c r="E244" s="231">
        <v>74.930000000000007</v>
      </c>
      <c r="F244" s="899"/>
      <c r="G244" s="1152" t="s">
        <v>9</v>
      </c>
    </row>
    <row r="245" spans="1:7">
      <c r="A245" s="884">
        <v>42838</v>
      </c>
      <c r="B245" s="240" t="str">
        <f>TiposLancamentos!B16</f>
        <v>Cristiane</v>
      </c>
      <c r="C245" s="878" t="s">
        <v>18473</v>
      </c>
      <c r="D245" s="63"/>
      <c r="E245" s="231">
        <v>308.35000000000002</v>
      </c>
      <c r="F245" s="899">
        <v>1850</v>
      </c>
      <c r="G245" s="1152" t="s">
        <v>9</v>
      </c>
    </row>
    <row r="246" spans="1:7">
      <c r="A246" s="934"/>
      <c r="B246" s="243"/>
      <c r="C246" s="389" t="s">
        <v>10</v>
      </c>
      <c r="D246" s="146"/>
      <c r="E246" s="1190"/>
      <c r="F246" s="935"/>
      <c r="G246" s="1094" t="s">
        <v>11</v>
      </c>
    </row>
    <row r="247" spans="1:7">
      <c r="A247" s="1272">
        <v>42843</v>
      </c>
      <c r="B247" s="279" t="str">
        <f>TiposLancamentos!B5</f>
        <v>Supermercado</v>
      </c>
      <c r="C247" s="280" t="s">
        <v>6234</v>
      </c>
      <c r="D247" s="281"/>
      <c r="E247" s="1293">
        <v>86.12</v>
      </c>
      <c r="F247" s="1632"/>
      <c r="G247" s="1152" t="s">
        <v>9</v>
      </c>
    </row>
    <row r="248" spans="1:7">
      <c r="A248" s="884">
        <v>42844</v>
      </c>
      <c r="B248" s="240" t="str">
        <f>TiposLancamentos!B19</f>
        <v>Restaurantes</v>
      </c>
      <c r="C248" s="878" t="s">
        <v>6536</v>
      </c>
      <c r="D248" s="63"/>
      <c r="E248" s="231">
        <v>153.44999999999999</v>
      </c>
      <c r="F248" s="899"/>
      <c r="G248" s="1152" t="s">
        <v>9</v>
      </c>
    </row>
    <row r="249" spans="1:7">
      <c r="A249" s="884">
        <v>42845</v>
      </c>
      <c r="B249" s="240" t="str">
        <f>TiposLancamentos!B48</f>
        <v>Baralhos e Oráculos</v>
      </c>
      <c r="C249" s="878" t="s">
        <v>18474</v>
      </c>
      <c r="D249" s="63"/>
      <c r="E249" s="231">
        <v>162.97999999999999</v>
      </c>
      <c r="F249" s="899" t="s">
        <v>18475</v>
      </c>
      <c r="G249" s="1094" t="s">
        <v>11</v>
      </c>
    </row>
    <row r="250" spans="1:7">
      <c r="A250" s="884">
        <v>42845</v>
      </c>
      <c r="B250" s="240" t="str">
        <f>TiposLancamentos!B4</f>
        <v>Taxas Bancarias</v>
      </c>
      <c r="C250" s="878" t="s">
        <v>18476</v>
      </c>
      <c r="D250" s="63"/>
      <c r="E250" s="231">
        <v>9.3800000000000008</v>
      </c>
      <c r="F250" s="899"/>
      <c r="G250" s="1094" t="s">
        <v>11</v>
      </c>
    </row>
    <row r="251" spans="1:7">
      <c r="A251" s="884">
        <v>42846</v>
      </c>
      <c r="B251" s="240" t="str">
        <f>TiposLancamentos!B19</f>
        <v>Restaurantes</v>
      </c>
      <c r="C251" s="878" t="s">
        <v>18477</v>
      </c>
      <c r="D251" s="63"/>
      <c r="E251" s="231">
        <v>176.99</v>
      </c>
      <c r="F251" s="899"/>
      <c r="G251" s="1152" t="s">
        <v>9</v>
      </c>
    </row>
    <row r="252" spans="1:7">
      <c r="A252" s="884">
        <v>42846</v>
      </c>
      <c r="B252" s="240" t="str">
        <f>TiposLancamentos!B5</f>
        <v>Supermercado</v>
      </c>
      <c r="C252" s="878" t="s">
        <v>18478</v>
      </c>
      <c r="D252" s="63"/>
      <c r="E252" s="231">
        <v>80.290000000000006</v>
      </c>
      <c r="F252" s="899"/>
      <c r="G252" s="1152" t="s">
        <v>9</v>
      </c>
    </row>
    <row r="253" spans="1:7">
      <c r="A253" s="884">
        <v>42847</v>
      </c>
      <c r="B253" s="240" t="str">
        <f>TiposLancamentos!B56</f>
        <v>Farmácia</v>
      </c>
      <c r="C253" s="878" t="s">
        <v>18479</v>
      </c>
      <c r="D253" s="63"/>
      <c r="E253" s="231">
        <v>86.85</v>
      </c>
      <c r="F253" s="899"/>
      <c r="G253" s="1152" t="s">
        <v>9</v>
      </c>
    </row>
    <row r="254" spans="1:7">
      <c r="A254" s="884">
        <v>42848</v>
      </c>
      <c r="B254" s="240" t="str">
        <f>TiposLancamentos!B5</f>
        <v>Supermercado</v>
      </c>
      <c r="C254" s="878" t="s">
        <v>6234</v>
      </c>
      <c r="D254" s="63"/>
      <c r="E254" s="231">
        <v>148.66999999999999</v>
      </c>
      <c r="F254" s="899"/>
      <c r="G254" s="1152" t="s">
        <v>9</v>
      </c>
    </row>
    <row r="255" spans="1:7" ht="14.25" thickBot="1">
      <c r="A255" s="1633">
        <v>42853</v>
      </c>
      <c r="B255" s="1634" t="str">
        <f>TiposLancamentos!B16</f>
        <v>Cristiane</v>
      </c>
      <c r="C255" s="1635" t="s">
        <v>18480</v>
      </c>
      <c r="D255" s="1636"/>
      <c r="E255" s="1637">
        <v>144.9</v>
      </c>
      <c r="F255" s="1638"/>
      <c r="G255" s="1152" t="s">
        <v>9</v>
      </c>
    </row>
    <row r="256" spans="1:7">
      <c r="A256" s="1032"/>
      <c r="B256" s="1230"/>
      <c r="C256" s="906" t="s">
        <v>18481</v>
      </c>
      <c r="D256" s="896"/>
      <c r="E256" s="925"/>
      <c r="F256" s="898">
        <f>SUM(E221:E245)-(D231+D235)</f>
        <v>2568.33</v>
      </c>
      <c r="G256" s="3"/>
    </row>
    <row r="257" spans="1:7">
      <c r="A257" s="884">
        <v>42856</v>
      </c>
      <c r="B257" s="240" t="str">
        <f>TiposLancamentos!B15</f>
        <v>Cartões de Crédito</v>
      </c>
      <c r="C257" s="878" t="s">
        <v>10915</v>
      </c>
      <c r="D257" s="63">
        <v>2568.33</v>
      </c>
      <c r="E257" s="231"/>
      <c r="F257" s="899">
        <f>F256-F233</f>
        <v>1800.5499999999997</v>
      </c>
      <c r="G257" s="1152" t="s">
        <v>9</v>
      </c>
    </row>
    <row r="258" spans="1:7">
      <c r="A258" s="884">
        <v>42857</v>
      </c>
      <c r="B258" s="240" t="str">
        <f>TiposLancamentos!B44</f>
        <v>Academia</v>
      </c>
      <c r="C258" s="878" t="s">
        <v>11156</v>
      </c>
      <c r="D258" s="63"/>
      <c r="E258" s="231">
        <v>169</v>
      </c>
      <c r="F258" s="899"/>
      <c r="G258" s="1152" t="s">
        <v>9</v>
      </c>
    </row>
    <row r="259" spans="1:7">
      <c r="A259" s="1272">
        <v>42858</v>
      </c>
      <c r="B259" s="279" t="str">
        <f>TiposLancamentos!B5</f>
        <v>Supermercado</v>
      </c>
      <c r="C259" s="280" t="s">
        <v>7068</v>
      </c>
      <c r="D259" s="281"/>
      <c r="E259" s="1293">
        <v>28.72</v>
      </c>
      <c r="F259" s="1632"/>
      <c r="G259" s="1152" t="s">
        <v>9</v>
      </c>
    </row>
    <row r="260" spans="1:7">
      <c r="A260" s="1272">
        <v>42859</v>
      </c>
      <c r="B260" s="279" t="str">
        <f>TiposLancamentos!B16</f>
        <v>Cristiane</v>
      </c>
      <c r="C260" s="280" t="s">
        <v>18482</v>
      </c>
      <c r="D260" s="281"/>
      <c r="E260" s="1293">
        <v>40.200000000000003</v>
      </c>
      <c r="F260" s="1632"/>
      <c r="G260" s="1152" t="s">
        <v>9</v>
      </c>
    </row>
    <row r="261" spans="1:7">
      <c r="A261" s="1272">
        <v>42860</v>
      </c>
      <c r="B261" s="279" t="str">
        <f>TiposLancamentos!B5</f>
        <v>Supermercado</v>
      </c>
      <c r="C261" s="280" t="s">
        <v>6234</v>
      </c>
      <c r="D261" s="281"/>
      <c r="E261" s="1293">
        <v>92.71</v>
      </c>
      <c r="F261" s="1632"/>
      <c r="G261" s="1152" t="s">
        <v>9</v>
      </c>
    </row>
    <row r="262" spans="1:7">
      <c r="A262" s="1272">
        <v>42863</v>
      </c>
      <c r="B262" s="279" t="str">
        <f>TiposLancamentos!B5</f>
        <v>Supermercado</v>
      </c>
      <c r="C262" s="280" t="s">
        <v>18483</v>
      </c>
      <c r="D262" s="281"/>
      <c r="E262" s="1293">
        <v>164.63</v>
      </c>
      <c r="F262" s="1632"/>
      <c r="G262" s="1152" t="s">
        <v>9</v>
      </c>
    </row>
    <row r="263" spans="1:7">
      <c r="A263" s="1272">
        <v>42863</v>
      </c>
      <c r="B263" s="279" t="str">
        <f>TiposLancamentos!B5</f>
        <v>Supermercado</v>
      </c>
      <c r="C263" s="280" t="s">
        <v>18388</v>
      </c>
      <c r="D263" s="281"/>
      <c r="E263" s="1293">
        <v>34.659999999999997</v>
      </c>
      <c r="F263" s="1632"/>
      <c r="G263" s="1152" t="s">
        <v>9</v>
      </c>
    </row>
    <row r="264" spans="1:7">
      <c r="A264" s="884">
        <v>42864</v>
      </c>
      <c r="B264" s="240" t="str">
        <f>TiposLancamentos!B16</f>
        <v>Cristiane</v>
      </c>
      <c r="C264" s="878" t="s">
        <v>18484</v>
      </c>
      <c r="D264" s="63"/>
      <c r="E264" s="231">
        <v>16.989999999999998</v>
      </c>
      <c r="F264" s="899"/>
      <c r="G264" s="1152" t="s">
        <v>9</v>
      </c>
    </row>
    <row r="265" spans="1:7">
      <c r="A265" s="1272">
        <v>42865</v>
      </c>
      <c r="B265" s="279" t="str">
        <f>TiposLancamentos!B16</f>
        <v>Cristiane</v>
      </c>
      <c r="C265" s="280" t="s">
        <v>6052</v>
      </c>
      <c r="D265" s="281"/>
      <c r="E265" s="1293">
        <v>90.87</v>
      </c>
      <c r="F265" s="1632"/>
      <c r="G265" s="1152" t="s">
        <v>9</v>
      </c>
    </row>
    <row r="266" spans="1:7">
      <c r="A266" s="884">
        <v>42866</v>
      </c>
      <c r="B266" s="240" t="str">
        <f>TiposLancamentos!B16</f>
        <v>Cristiane</v>
      </c>
      <c r="C266" s="878" t="s">
        <v>18485</v>
      </c>
      <c r="D266" s="63"/>
      <c r="E266" s="231">
        <v>168.9</v>
      </c>
      <c r="F266" s="899"/>
      <c r="G266" s="1152" t="s">
        <v>9</v>
      </c>
    </row>
    <row r="267" spans="1:7">
      <c r="A267" s="884">
        <v>42868</v>
      </c>
      <c r="B267" s="240" t="str">
        <f>TiposLancamentos!B16</f>
        <v>Cristiane</v>
      </c>
      <c r="C267" s="878" t="s">
        <v>18486</v>
      </c>
      <c r="D267" s="63"/>
      <c r="E267" s="231">
        <f>F267/6</f>
        <v>308.33333333333331</v>
      </c>
      <c r="F267" s="899">
        <v>1850</v>
      </c>
      <c r="G267" s="1152" t="s">
        <v>9</v>
      </c>
    </row>
    <row r="268" spans="1:7">
      <c r="A268" s="884">
        <v>42877</v>
      </c>
      <c r="B268" s="240" t="str">
        <f>TiposLancamentos!B4</f>
        <v>Taxas Bancarias</v>
      </c>
      <c r="C268" s="878" t="s">
        <v>18409</v>
      </c>
      <c r="D268" s="63"/>
      <c r="E268" s="231">
        <v>0.3</v>
      </c>
      <c r="F268" s="899"/>
      <c r="G268" s="3"/>
    </row>
    <row r="269" spans="1:7">
      <c r="A269" s="934"/>
      <c r="B269" s="243"/>
      <c r="C269" s="389" t="s">
        <v>10</v>
      </c>
      <c r="D269" s="146"/>
      <c r="E269" s="1190"/>
      <c r="F269" s="935"/>
      <c r="G269" s="3"/>
    </row>
    <row r="270" spans="1:7">
      <c r="A270" s="884">
        <v>42875</v>
      </c>
      <c r="B270" s="240" t="str">
        <f>TiposLancamentos!B19</f>
        <v>Restaurantes</v>
      </c>
      <c r="C270" s="878" t="s">
        <v>10857</v>
      </c>
      <c r="D270" s="63"/>
      <c r="E270" s="231">
        <v>186.18</v>
      </c>
      <c r="F270" s="899"/>
      <c r="G270" s="1152" t="s">
        <v>9</v>
      </c>
    </row>
    <row r="271" spans="1:7">
      <c r="A271" s="1272">
        <v>42875</v>
      </c>
      <c r="B271" s="279" t="str">
        <f>TiposLancamentos!B16</f>
        <v>Cristiane</v>
      </c>
      <c r="C271" s="280" t="s">
        <v>18487</v>
      </c>
      <c r="D271" s="281"/>
      <c r="E271" s="1293">
        <v>200</v>
      </c>
      <c r="F271" s="1632"/>
      <c r="G271" s="1152" t="s">
        <v>9</v>
      </c>
    </row>
    <row r="272" spans="1:7">
      <c r="A272" s="884">
        <v>42875</v>
      </c>
      <c r="B272" s="240" t="str">
        <f>TiposLancamentos!B5</f>
        <v>Supermercado</v>
      </c>
      <c r="C272" s="878" t="s">
        <v>6234</v>
      </c>
      <c r="D272" s="63"/>
      <c r="E272" s="231">
        <v>87.16</v>
      </c>
      <c r="F272" s="899"/>
      <c r="G272" s="1152" t="s">
        <v>9</v>
      </c>
    </row>
    <row r="273" spans="1:7">
      <c r="A273" s="884">
        <v>42877</v>
      </c>
      <c r="B273" s="240" t="str">
        <f>TiposLancamentos!B5</f>
        <v>Supermercado</v>
      </c>
      <c r="C273" s="878" t="s">
        <v>6234</v>
      </c>
      <c r="D273" s="63"/>
      <c r="E273" s="231">
        <v>43.05</v>
      </c>
      <c r="F273" s="899"/>
      <c r="G273" s="1152" t="s">
        <v>9</v>
      </c>
    </row>
    <row r="274" spans="1:7">
      <c r="A274" s="884">
        <v>42878</v>
      </c>
      <c r="B274" s="240" t="str">
        <f>TiposLancamentos!B48</f>
        <v>Baralhos e Oráculos</v>
      </c>
      <c r="C274" s="878" t="s">
        <v>18488</v>
      </c>
      <c r="D274" s="63"/>
      <c r="E274" s="231">
        <v>320.51</v>
      </c>
      <c r="F274" s="899"/>
      <c r="G274" s="1152" t="s">
        <v>9</v>
      </c>
    </row>
    <row r="275" spans="1:7">
      <c r="A275" s="1272">
        <v>42878</v>
      </c>
      <c r="B275" s="279" t="str">
        <f>TiposLancamentos!B16</f>
        <v>Cristiane</v>
      </c>
      <c r="C275" s="280" t="s">
        <v>18489</v>
      </c>
      <c r="D275" s="281"/>
      <c r="E275" s="1293">
        <v>175</v>
      </c>
      <c r="F275" s="1632">
        <v>300</v>
      </c>
      <c r="G275" s="1152" t="s">
        <v>9</v>
      </c>
    </row>
    <row r="276" spans="1:7">
      <c r="A276" s="1272">
        <v>42881</v>
      </c>
      <c r="B276" s="279" t="str">
        <f>TiposLancamentos!B5</f>
        <v>Supermercado</v>
      </c>
      <c r="C276" s="280" t="s">
        <v>7068</v>
      </c>
      <c r="D276" s="281"/>
      <c r="E276" s="1293">
        <v>49.35</v>
      </c>
      <c r="F276" s="1632"/>
      <c r="G276" s="1152" t="s">
        <v>9</v>
      </c>
    </row>
    <row r="277" spans="1:7">
      <c r="A277" s="1272">
        <v>42883</v>
      </c>
      <c r="B277" s="279" t="str">
        <f>TiposLancamentos!B16</f>
        <v>Cristiane</v>
      </c>
      <c r="C277" s="280" t="s">
        <v>18490</v>
      </c>
      <c r="D277" s="281"/>
      <c r="E277" s="1293">
        <v>3.44</v>
      </c>
      <c r="F277" s="1632" t="s">
        <v>10768</v>
      </c>
      <c r="G277" s="1094" t="s">
        <v>11</v>
      </c>
    </row>
    <row r="278" spans="1:7">
      <c r="A278" s="1272">
        <v>42914</v>
      </c>
      <c r="B278" s="279" t="str">
        <f>TiposLancamentos!B4</f>
        <v>Taxas Bancarias</v>
      </c>
      <c r="C278" s="280" t="s">
        <v>18491</v>
      </c>
      <c r="D278" s="281"/>
      <c r="E278" s="1293">
        <v>0.21</v>
      </c>
      <c r="F278" s="1632"/>
      <c r="G278" s="1094" t="s">
        <v>11</v>
      </c>
    </row>
    <row r="279" spans="1:7">
      <c r="A279" s="1272">
        <v>42886</v>
      </c>
      <c r="B279" s="279" t="str">
        <f>TiposLancamentos!B5</f>
        <v>Supermercado</v>
      </c>
      <c r="C279" s="280" t="s">
        <v>18492</v>
      </c>
      <c r="D279" s="281"/>
      <c r="E279" s="1293">
        <v>89.45</v>
      </c>
      <c r="F279" s="1632"/>
      <c r="G279" s="1152" t="s">
        <v>9</v>
      </c>
    </row>
    <row r="280" spans="1:7" ht="14.25" thickBot="1">
      <c r="A280" s="1633">
        <v>42886</v>
      </c>
      <c r="B280" s="1634" t="str">
        <f>TiposLancamentos!B16</f>
        <v>Cristiane</v>
      </c>
      <c r="C280" s="1635" t="s">
        <v>18493</v>
      </c>
      <c r="D280" s="1636"/>
      <c r="E280" s="1637">
        <v>119.97</v>
      </c>
      <c r="F280" s="1638"/>
      <c r="G280" s="1152" t="s">
        <v>9</v>
      </c>
    </row>
    <row r="281" spans="1:7">
      <c r="A281" s="1032"/>
      <c r="B281" s="1230"/>
      <c r="C281" s="906" t="s">
        <v>17121</v>
      </c>
      <c r="D281" s="896"/>
      <c r="E281" s="925"/>
      <c r="F281" s="898">
        <f>SUM(E247:E268)</f>
        <v>2164.9433333333336</v>
      </c>
      <c r="G281" s="3"/>
    </row>
    <row r="282" spans="1:7">
      <c r="A282" s="884">
        <v>42887</v>
      </c>
      <c r="B282" s="240" t="str">
        <f>TiposLancamentos!B15</f>
        <v>Cartões de Crédito</v>
      </c>
      <c r="C282" s="878" t="s">
        <v>1874</v>
      </c>
      <c r="D282" s="63">
        <v>2164.94</v>
      </c>
      <c r="E282" s="231"/>
      <c r="F282" s="899">
        <f>F281-F256</f>
        <v>-403.38666666666631</v>
      </c>
      <c r="G282" s="1152" t="s">
        <v>9</v>
      </c>
    </row>
    <row r="283" spans="1:7">
      <c r="A283" s="884">
        <v>42887</v>
      </c>
      <c r="B283" s="240" t="str">
        <f>TiposLancamentos!B102</f>
        <v>ESTORNO</v>
      </c>
      <c r="C283" s="878" t="s">
        <v>18494</v>
      </c>
      <c r="D283" s="63">
        <v>2.1800000000000002</v>
      </c>
      <c r="E283" s="231"/>
      <c r="F283" s="899"/>
      <c r="G283" s="1152" t="s">
        <v>9</v>
      </c>
    </row>
    <row r="284" spans="1:7">
      <c r="A284" s="884">
        <v>42888</v>
      </c>
      <c r="B284" s="240" t="str">
        <f>TiposLancamentos!B44</f>
        <v>Academia</v>
      </c>
      <c r="C284" s="878" t="s">
        <v>11185</v>
      </c>
      <c r="D284" s="63"/>
      <c r="E284" s="231">
        <v>169</v>
      </c>
      <c r="F284" s="899"/>
      <c r="G284" s="1152" t="s">
        <v>9</v>
      </c>
    </row>
    <row r="285" spans="1:7">
      <c r="A285" s="1272">
        <v>42895</v>
      </c>
      <c r="B285" s="279" t="str">
        <f>TiposLancamentos!B16</f>
        <v>Cristiane</v>
      </c>
      <c r="C285" s="280" t="s">
        <v>16654</v>
      </c>
      <c r="D285" s="281"/>
      <c r="E285" s="1293">
        <v>95.26</v>
      </c>
      <c r="F285" s="1632"/>
      <c r="G285" s="1152" t="s">
        <v>9</v>
      </c>
    </row>
    <row r="286" spans="1:7">
      <c r="A286" s="1272">
        <v>42896</v>
      </c>
      <c r="B286" s="279" t="str">
        <f>TiposLancamentos!B16</f>
        <v>Cristiane</v>
      </c>
      <c r="C286" s="280" t="s">
        <v>18495</v>
      </c>
      <c r="D286" s="281"/>
      <c r="E286" s="1293">
        <v>198.63</v>
      </c>
      <c r="F286" s="1632"/>
      <c r="G286" s="1152" t="s">
        <v>9</v>
      </c>
    </row>
    <row r="287" spans="1:7">
      <c r="A287" s="884">
        <v>42897</v>
      </c>
      <c r="B287" s="240" t="str">
        <f>TiposLancamentos!B57</f>
        <v>Informática</v>
      </c>
      <c r="C287" s="878" t="s">
        <v>18496</v>
      </c>
      <c r="D287" s="63"/>
      <c r="E287" s="231">
        <v>45</v>
      </c>
      <c r="F287" s="899"/>
      <c r="G287" s="1152" t="s">
        <v>9</v>
      </c>
    </row>
    <row r="288" spans="1:7">
      <c r="A288" s="1272">
        <v>42898</v>
      </c>
      <c r="B288" s="279" t="str">
        <f>TiposLancamentos!B5</f>
        <v>Supermercado</v>
      </c>
      <c r="C288" s="280" t="s">
        <v>6234</v>
      </c>
      <c r="D288" s="281"/>
      <c r="E288" s="1293">
        <v>264.11</v>
      </c>
      <c r="F288" s="1632"/>
      <c r="G288" s="1152" t="s">
        <v>9</v>
      </c>
    </row>
    <row r="289" spans="1:7">
      <c r="A289" s="884">
        <v>42899</v>
      </c>
      <c r="B289" s="240" t="str">
        <f>TiposLancamentos!B16</f>
        <v>Cristiane</v>
      </c>
      <c r="C289" s="878" t="s">
        <v>18497</v>
      </c>
      <c r="D289" s="63"/>
      <c r="E289" s="231">
        <f>F289/6</f>
        <v>308.33333333333331</v>
      </c>
      <c r="F289" s="899">
        <v>1850</v>
      </c>
      <c r="G289" s="1152" t="s">
        <v>9</v>
      </c>
    </row>
    <row r="290" spans="1:7">
      <c r="A290" s="1272">
        <v>42900</v>
      </c>
      <c r="B290" s="279" t="str">
        <f>TiposLancamentos!B16</f>
        <v>Cristiane</v>
      </c>
      <c r="C290" s="280" t="s">
        <v>8700</v>
      </c>
      <c r="D290" s="281"/>
      <c r="E290" s="1293">
        <v>124.69</v>
      </c>
      <c r="F290" s="1632"/>
      <c r="G290" s="1152" t="s">
        <v>9</v>
      </c>
    </row>
    <row r="291" spans="1:7">
      <c r="A291" s="934"/>
      <c r="B291" s="243"/>
      <c r="C291" s="389" t="s">
        <v>10</v>
      </c>
      <c r="D291" s="146"/>
      <c r="E291" s="1190"/>
      <c r="F291" s="935"/>
      <c r="G291" s="1094" t="s">
        <v>11</v>
      </c>
    </row>
    <row r="292" spans="1:7">
      <c r="A292" s="1272">
        <v>42909</v>
      </c>
      <c r="B292" s="279" t="str">
        <f>TiposLancamentos!B16</f>
        <v>Cristiane</v>
      </c>
      <c r="C292" s="280" t="s">
        <v>18489</v>
      </c>
      <c r="D292" s="281"/>
      <c r="E292" s="1293">
        <v>175</v>
      </c>
      <c r="F292" s="1632">
        <v>300</v>
      </c>
      <c r="G292" s="1152" t="s">
        <v>9</v>
      </c>
    </row>
    <row r="293" spans="1:7" ht="14.25" thickBot="1">
      <c r="A293" s="1633">
        <v>42910</v>
      </c>
      <c r="B293" s="1634" t="str">
        <f>TiposLancamentos!B16</f>
        <v>Cristiane</v>
      </c>
      <c r="C293" s="1635" t="s">
        <v>18498</v>
      </c>
      <c r="D293" s="1636"/>
      <c r="E293" s="1637">
        <v>101</v>
      </c>
      <c r="F293" s="1638"/>
      <c r="G293" s="1152" t="s">
        <v>9</v>
      </c>
    </row>
    <row r="294" spans="1:7">
      <c r="A294" s="1032"/>
      <c r="B294" s="1230"/>
      <c r="C294" s="906" t="s">
        <v>11096</v>
      </c>
      <c r="D294" s="896"/>
      <c r="E294" s="925"/>
      <c r="F294" s="898">
        <f>SUM(E270:E290)-D283</f>
        <v>2477.1633333333339</v>
      </c>
      <c r="G294" s="3"/>
    </row>
    <row r="295" spans="1:7">
      <c r="A295" s="884">
        <v>42918</v>
      </c>
      <c r="B295" s="240" t="str">
        <f>TiposLancamentos!B44</f>
        <v>Academia</v>
      </c>
      <c r="C295" s="878" t="s">
        <v>11189</v>
      </c>
      <c r="D295" s="63"/>
      <c r="E295" s="231">
        <v>169</v>
      </c>
      <c r="F295" s="899"/>
      <c r="G295" s="1152" t="s">
        <v>9</v>
      </c>
    </row>
    <row r="296" spans="1:7">
      <c r="A296" s="884">
        <v>42919</v>
      </c>
      <c r="B296" s="240" t="str">
        <f>TiposLancamentos!B15</f>
        <v>Cartões de Crédito</v>
      </c>
      <c r="C296" s="878" t="s">
        <v>1874</v>
      </c>
      <c r="D296" s="63">
        <v>2477.16</v>
      </c>
      <c r="E296" s="231"/>
      <c r="F296" s="899"/>
      <c r="G296" s="3"/>
    </row>
    <row r="297" spans="1:7">
      <c r="A297" s="1272">
        <v>42921</v>
      </c>
      <c r="B297" s="279" t="str">
        <f>TiposLancamentos!B5</f>
        <v>Supermercado</v>
      </c>
      <c r="C297" s="280" t="s">
        <v>18499</v>
      </c>
      <c r="D297" s="281"/>
      <c r="E297" s="1293">
        <v>159</v>
      </c>
      <c r="F297" s="1632"/>
      <c r="G297" s="1152" t="s">
        <v>9</v>
      </c>
    </row>
    <row r="298" spans="1:7">
      <c r="A298" s="884">
        <v>42929</v>
      </c>
      <c r="B298" s="240" t="str">
        <f>TiposLancamentos!B16</f>
        <v>Cristiane</v>
      </c>
      <c r="C298" s="878" t="s">
        <v>18500</v>
      </c>
      <c r="D298" s="63"/>
      <c r="E298" s="231">
        <f>F298/6</f>
        <v>308.33333333333331</v>
      </c>
      <c r="F298" s="899">
        <v>1850</v>
      </c>
      <c r="G298" s="1152" t="s">
        <v>9</v>
      </c>
    </row>
    <row r="299" spans="1:7">
      <c r="A299" s="1272">
        <v>42929</v>
      </c>
      <c r="B299" s="279" t="str">
        <f>TiposLancamentos!B16</f>
        <v>Cristiane</v>
      </c>
      <c r="C299" s="280" t="s">
        <v>16489</v>
      </c>
      <c r="D299" s="281"/>
      <c r="E299" s="1293">
        <v>121</v>
      </c>
      <c r="F299" s="1632"/>
      <c r="G299" s="1152" t="s">
        <v>9</v>
      </c>
    </row>
    <row r="300" spans="1:7">
      <c r="A300" s="1272">
        <v>42929</v>
      </c>
      <c r="B300" s="279" t="str">
        <f>TiposLancamentos!B34</f>
        <v>Seguros</v>
      </c>
      <c r="C300" s="280" t="s">
        <v>18501</v>
      </c>
      <c r="D300" s="281"/>
      <c r="E300" s="1293">
        <v>487.65</v>
      </c>
      <c r="F300" s="1271">
        <f>E300*4</f>
        <v>1950.6</v>
      </c>
      <c r="G300" s="1152" t="s">
        <v>9</v>
      </c>
    </row>
    <row r="301" spans="1:7">
      <c r="A301" s="1272">
        <v>42930</v>
      </c>
      <c r="B301" s="279" t="str">
        <f>TiposLancamentos!B16</f>
        <v>Cristiane</v>
      </c>
      <c r="C301" s="280" t="s">
        <v>18502</v>
      </c>
      <c r="D301" s="281"/>
      <c r="E301" s="1293">
        <v>118</v>
      </c>
      <c r="F301" s="1632"/>
      <c r="G301" s="1152" t="s">
        <v>9</v>
      </c>
    </row>
    <row r="302" spans="1:7">
      <c r="A302" s="1272">
        <v>42930</v>
      </c>
      <c r="B302" s="279" t="str">
        <f>TiposLancamentos!B5</f>
        <v>Supermercado</v>
      </c>
      <c r="C302" s="280" t="s">
        <v>1262</v>
      </c>
      <c r="D302" s="281"/>
      <c r="E302" s="1293">
        <v>150</v>
      </c>
      <c r="F302" s="1632"/>
      <c r="G302" s="1152" t="s">
        <v>9</v>
      </c>
    </row>
    <row r="303" spans="1:7">
      <c r="A303" s="1272">
        <v>42934</v>
      </c>
      <c r="B303" s="279" t="str">
        <f>TiposLancamentos!B17</f>
        <v>GATO</v>
      </c>
      <c r="C303" s="280" t="s">
        <v>18503</v>
      </c>
      <c r="D303" s="281"/>
      <c r="E303" s="1293">
        <v>26.73</v>
      </c>
      <c r="F303" s="1632"/>
      <c r="G303" s="1152" t="s">
        <v>9</v>
      </c>
    </row>
    <row r="304" spans="1:7">
      <c r="A304" s="934"/>
      <c r="B304" s="243"/>
      <c r="C304" s="389" t="s">
        <v>10</v>
      </c>
      <c r="D304" s="146"/>
      <c r="E304" s="1190"/>
      <c r="F304" s="935"/>
      <c r="G304" s="1094" t="s">
        <v>11</v>
      </c>
    </row>
    <row r="305" spans="1:7">
      <c r="A305" s="884">
        <v>42937</v>
      </c>
      <c r="B305" s="240" t="str">
        <f>TiposLancamentos!B19</f>
        <v>Restaurantes</v>
      </c>
      <c r="C305" s="878" t="s">
        <v>6230</v>
      </c>
      <c r="D305" s="63"/>
      <c r="E305" s="231">
        <v>96.36</v>
      </c>
      <c r="F305" s="899"/>
      <c r="G305" s="1152" t="s">
        <v>9</v>
      </c>
    </row>
    <row r="306" spans="1:7">
      <c r="A306" s="1272">
        <v>42937</v>
      </c>
      <c r="B306" s="279" t="str">
        <f>TiposLancamentos!B16</f>
        <v>Cristiane</v>
      </c>
      <c r="C306" s="280" t="s">
        <v>18504</v>
      </c>
      <c r="D306" s="281"/>
      <c r="E306" s="1293">
        <v>149.72</v>
      </c>
      <c r="F306" s="1271"/>
      <c r="G306" s="1152" t="s">
        <v>9</v>
      </c>
    </row>
    <row r="307" spans="1:7">
      <c r="A307" s="1272">
        <v>42937</v>
      </c>
      <c r="B307" s="279" t="str">
        <f>TiposLancamentos!B16</f>
        <v>Cristiane</v>
      </c>
      <c r="C307" s="280" t="s">
        <v>18505</v>
      </c>
      <c r="D307" s="281"/>
      <c r="E307" s="1293">
        <v>184</v>
      </c>
      <c r="F307" s="1271"/>
      <c r="G307" s="1152" t="s">
        <v>9</v>
      </c>
    </row>
    <row r="308" spans="1:7">
      <c r="A308" s="884">
        <v>42938</v>
      </c>
      <c r="B308" s="240" t="str">
        <f>TiposLancamentos!B19</f>
        <v>Restaurantes</v>
      </c>
      <c r="C308" s="878" t="s">
        <v>18506</v>
      </c>
      <c r="D308" s="63"/>
      <c r="E308" s="231">
        <v>150.69999999999999</v>
      </c>
      <c r="F308" s="899"/>
      <c r="G308" s="1152" t="s">
        <v>9</v>
      </c>
    </row>
    <row r="309" spans="1:7">
      <c r="A309" s="884">
        <v>42938</v>
      </c>
      <c r="B309" s="240" t="str">
        <f>TiposLancamentos!B5</f>
        <v>Supermercado</v>
      </c>
      <c r="C309" s="878" t="s">
        <v>5844</v>
      </c>
      <c r="D309" s="63"/>
      <c r="E309" s="231">
        <v>202.27</v>
      </c>
      <c r="F309" s="899"/>
      <c r="G309" s="1152" t="s">
        <v>9</v>
      </c>
    </row>
    <row r="310" spans="1:7">
      <c r="A310" s="884">
        <v>42939</v>
      </c>
      <c r="B310" s="240" t="str">
        <f>TiposLancamentos!B19</f>
        <v>Restaurantes</v>
      </c>
      <c r="C310" s="878" t="s">
        <v>18507</v>
      </c>
      <c r="D310" s="63"/>
      <c r="E310" s="231">
        <v>155.1</v>
      </c>
      <c r="F310" s="899"/>
      <c r="G310" s="1152" t="s">
        <v>9</v>
      </c>
    </row>
    <row r="311" spans="1:7">
      <c r="A311" s="884">
        <v>42940</v>
      </c>
      <c r="B311" s="240" t="str">
        <f>TiposLancamentos!B19</f>
        <v>Restaurantes</v>
      </c>
      <c r="C311" s="878" t="s">
        <v>10692</v>
      </c>
      <c r="D311" s="63"/>
      <c r="E311" s="231">
        <v>12.92</v>
      </c>
      <c r="F311" s="899"/>
      <c r="G311" s="1152" t="s">
        <v>9</v>
      </c>
    </row>
    <row r="312" spans="1:7">
      <c r="A312" s="884">
        <v>42940</v>
      </c>
      <c r="B312" s="240" t="str">
        <f>TiposLancamentos!B71</f>
        <v>Itens Pessoais</v>
      </c>
      <c r="C312" s="878" t="s">
        <v>3590</v>
      </c>
      <c r="D312" s="63"/>
      <c r="E312" s="231">
        <v>25</v>
      </c>
      <c r="F312" s="899"/>
      <c r="G312" s="1152" t="s">
        <v>9</v>
      </c>
    </row>
    <row r="313" spans="1:7">
      <c r="A313" s="884">
        <v>42940</v>
      </c>
      <c r="B313" s="240" t="str">
        <f>TiposLancamentos!B48</f>
        <v>Baralhos e Oráculos</v>
      </c>
      <c r="C313" s="878" t="s">
        <v>18508</v>
      </c>
      <c r="D313" s="63"/>
      <c r="E313" s="231">
        <v>194.26</v>
      </c>
      <c r="F313" s="899"/>
      <c r="G313" s="1152" t="s">
        <v>9</v>
      </c>
    </row>
    <row r="314" spans="1:7">
      <c r="A314" s="1272">
        <v>42940</v>
      </c>
      <c r="B314" s="279" t="str">
        <f>TiposLancamentos!B16</f>
        <v>Cristiane</v>
      </c>
      <c r="C314" s="280" t="s">
        <v>18509</v>
      </c>
      <c r="D314" s="281"/>
      <c r="E314" s="1293">
        <v>235</v>
      </c>
      <c r="F314" s="1271"/>
      <c r="G314" s="1152" t="s">
        <v>9</v>
      </c>
    </row>
    <row r="315" spans="1:7">
      <c r="A315" s="884">
        <v>42941</v>
      </c>
      <c r="B315" s="240" t="str">
        <f>TiposLancamentos!B19</f>
        <v>Restaurantes</v>
      </c>
      <c r="C315" s="878" t="s">
        <v>10692</v>
      </c>
      <c r="D315" s="63"/>
      <c r="E315" s="231">
        <v>12.92</v>
      </c>
      <c r="F315" s="899"/>
      <c r="G315" s="1152" t="s">
        <v>9</v>
      </c>
    </row>
    <row r="316" spans="1:7">
      <c r="A316" s="884">
        <v>42941</v>
      </c>
      <c r="B316" s="240" t="str">
        <f>TiposLancamentos!B19</f>
        <v>Restaurantes</v>
      </c>
      <c r="C316" s="878" t="s">
        <v>18510</v>
      </c>
      <c r="D316" s="63"/>
      <c r="E316" s="231">
        <v>12</v>
      </c>
      <c r="F316" s="899"/>
      <c r="G316" s="1152" t="s">
        <v>9</v>
      </c>
    </row>
    <row r="317" spans="1:7">
      <c r="A317" s="884">
        <v>42942</v>
      </c>
      <c r="B317" s="240" t="str">
        <f>TiposLancamentos!B19</f>
        <v>Restaurantes</v>
      </c>
      <c r="C317" s="878" t="s">
        <v>10692</v>
      </c>
      <c r="D317" s="63"/>
      <c r="E317" s="231">
        <v>12.92</v>
      </c>
      <c r="F317" s="899"/>
      <c r="G317" s="1152" t="s">
        <v>9</v>
      </c>
    </row>
    <row r="318" spans="1:7">
      <c r="A318" s="884">
        <v>42942</v>
      </c>
      <c r="B318" s="240" t="str">
        <f>TiposLancamentos!B5</f>
        <v>Supermercado</v>
      </c>
      <c r="C318" s="878" t="s">
        <v>6414</v>
      </c>
      <c r="D318" s="63"/>
      <c r="E318" s="231">
        <v>73.400000000000006</v>
      </c>
      <c r="F318" s="899"/>
      <c r="G318" s="1152" t="s">
        <v>9</v>
      </c>
    </row>
    <row r="319" spans="1:7">
      <c r="A319" s="884">
        <v>42943</v>
      </c>
      <c r="B319" s="240" t="str">
        <f>TiposLancamentos!B19</f>
        <v>Restaurantes</v>
      </c>
      <c r="C319" s="878" t="s">
        <v>18511</v>
      </c>
      <c r="D319" s="63"/>
      <c r="E319" s="231">
        <v>9.1</v>
      </c>
      <c r="F319" s="899"/>
      <c r="G319" s="1152" t="s">
        <v>9</v>
      </c>
    </row>
    <row r="320" spans="1:7">
      <c r="A320" s="884">
        <v>42943</v>
      </c>
      <c r="B320" s="240" t="str">
        <f>TiposLancamentos!B19</f>
        <v>Restaurantes</v>
      </c>
      <c r="C320" s="878" t="s">
        <v>10692</v>
      </c>
      <c r="D320" s="63"/>
      <c r="E320" s="231">
        <v>12.92</v>
      </c>
      <c r="F320" s="899"/>
      <c r="G320" s="1152" t="s">
        <v>9</v>
      </c>
    </row>
    <row r="321" spans="1:7">
      <c r="A321" s="1272">
        <v>42943</v>
      </c>
      <c r="B321" s="279" t="str">
        <f>TiposLancamentos!B16</f>
        <v>Cristiane</v>
      </c>
      <c r="C321" s="280" t="s">
        <v>18512</v>
      </c>
      <c r="D321" s="281"/>
      <c r="E321" s="1293">
        <v>99.06</v>
      </c>
      <c r="F321" s="1271"/>
      <c r="G321" s="1152" t="s">
        <v>9</v>
      </c>
    </row>
    <row r="322" spans="1:7">
      <c r="A322" s="884">
        <v>42944</v>
      </c>
      <c r="B322" s="240" t="str">
        <f>TiposLancamentos!B19</f>
        <v>Restaurantes</v>
      </c>
      <c r="C322" s="878" t="s">
        <v>18513</v>
      </c>
      <c r="D322" s="63"/>
      <c r="E322" s="231">
        <v>72.97</v>
      </c>
      <c r="F322" s="899"/>
      <c r="G322" s="1152" t="s">
        <v>9</v>
      </c>
    </row>
    <row r="323" spans="1:7">
      <c r="A323" s="1226">
        <v>42946</v>
      </c>
      <c r="B323" s="1218" t="str">
        <f>TiposLancamentos!B48</f>
        <v>Baralhos e Oráculos</v>
      </c>
      <c r="C323" s="1219" t="s">
        <v>18514</v>
      </c>
      <c r="D323" s="1220"/>
      <c r="E323" s="1221">
        <f>132+8.6</f>
        <v>140.6</v>
      </c>
      <c r="F323" s="1227"/>
      <c r="G323" s="1152" t="s">
        <v>9</v>
      </c>
    </row>
    <row r="324" spans="1:7">
      <c r="A324" s="1228">
        <v>42946</v>
      </c>
      <c r="B324" s="1222" t="str">
        <f>TiposLancamentos!B48</f>
        <v>Baralhos e Oráculos</v>
      </c>
      <c r="C324" s="1223" t="s">
        <v>18515</v>
      </c>
      <c r="D324" s="1224"/>
      <c r="E324" s="1225">
        <f>178+8.6</f>
        <v>186.6</v>
      </c>
      <c r="F324" s="1229">
        <f>SUM(E323:E324)</f>
        <v>327.2</v>
      </c>
      <c r="G324" s="1152" t="s">
        <v>9</v>
      </c>
    </row>
    <row r="325" spans="1:7" ht="14.25" thickBot="1">
      <c r="A325" s="885">
        <v>42947</v>
      </c>
      <c r="B325" s="1232" t="str">
        <f>TiposLancamentos!B88</f>
        <v>Ford Ecosport XLT</v>
      </c>
      <c r="C325" s="1120" t="s">
        <v>18516</v>
      </c>
      <c r="D325" s="903"/>
      <c r="E325" s="928">
        <v>120</v>
      </c>
      <c r="F325" s="905"/>
      <c r="G325" s="1152" t="s">
        <v>9</v>
      </c>
    </row>
    <row r="326" spans="1:7">
      <c r="A326" s="1032"/>
      <c r="B326" s="1230"/>
      <c r="C326" s="906" t="s">
        <v>17125</v>
      </c>
      <c r="D326" s="896"/>
      <c r="E326" s="925"/>
      <c r="F326" s="898">
        <f>SUM(E291:E303)</f>
        <v>1815.7133333333331</v>
      </c>
      <c r="G326" s="3"/>
    </row>
    <row r="327" spans="1:7">
      <c r="A327" s="884">
        <v>42948</v>
      </c>
      <c r="B327" s="240" t="str">
        <f>TiposLancamentos!B15</f>
        <v>Cartões de Crédito</v>
      </c>
      <c r="C327" s="878" t="s">
        <v>1874</v>
      </c>
      <c r="D327" s="63">
        <f>Santander!E779</f>
        <v>1815.71</v>
      </c>
      <c r="E327" s="231"/>
      <c r="F327" s="899"/>
      <c r="G327" s="3"/>
    </row>
    <row r="328" spans="1:7">
      <c r="A328" s="884">
        <v>42949</v>
      </c>
      <c r="B328" s="240" t="str">
        <f>TiposLancamentos!B48</f>
        <v>Baralhos e Oráculos</v>
      </c>
      <c r="C328" s="878" t="s">
        <v>18517</v>
      </c>
      <c r="D328" s="63"/>
      <c r="E328" s="231">
        <v>86.35</v>
      </c>
      <c r="F328" s="899"/>
      <c r="G328" s="1152" t="s">
        <v>9</v>
      </c>
    </row>
    <row r="329" spans="1:7">
      <c r="A329" s="884">
        <v>42949</v>
      </c>
      <c r="B329" s="240" t="str">
        <f>TiposLancamentos!B44</f>
        <v>Academia</v>
      </c>
      <c r="C329" s="878" t="s">
        <v>11192</v>
      </c>
      <c r="D329" s="63"/>
      <c r="E329" s="231">
        <v>169</v>
      </c>
      <c r="F329" s="899"/>
      <c r="G329" s="1152" t="s">
        <v>9</v>
      </c>
    </row>
    <row r="330" spans="1:7">
      <c r="A330" s="884">
        <v>42952</v>
      </c>
      <c r="B330" s="240" t="str">
        <f>TiposLancamentos!B5</f>
        <v>Supermercado</v>
      </c>
      <c r="C330" s="878" t="s">
        <v>15826</v>
      </c>
      <c r="D330" s="63"/>
      <c r="E330" s="231">
        <v>66.540000000000006</v>
      </c>
      <c r="F330" s="899"/>
      <c r="G330" s="1152" t="s">
        <v>9</v>
      </c>
    </row>
    <row r="331" spans="1:7">
      <c r="A331" s="1226">
        <v>42954</v>
      </c>
      <c r="B331" s="1218" t="str">
        <f>TiposLancamentos!B16</f>
        <v>Cristiane</v>
      </c>
      <c r="C331" s="1219" t="s">
        <v>18518</v>
      </c>
      <c r="D331" s="1220"/>
      <c r="E331" s="1221">
        <f>F332/2</f>
        <v>117.4</v>
      </c>
      <c r="F331" s="1227"/>
      <c r="G331" s="1152" t="s">
        <v>9</v>
      </c>
    </row>
    <row r="332" spans="1:7">
      <c r="A332" s="1228">
        <v>42954</v>
      </c>
      <c r="B332" s="1222" t="str">
        <f>TiposLancamentos!B70</f>
        <v>Vestuário</v>
      </c>
      <c r="C332" s="1223" t="s">
        <v>18519</v>
      </c>
      <c r="D332" s="1224"/>
      <c r="E332" s="1225">
        <f>F332-E331</f>
        <v>117.4</v>
      </c>
      <c r="F332" s="1229">
        <v>234.8</v>
      </c>
      <c r="G332" s="1152" t="s">
        <v>9</v>
      </c>
    </row>
    <row r="333" spans="1:7">
      <c r="A333" s="858">
        <v>42958</v>
      </c>
      <c r="B333" s="822" t="str">
        <f>TiposLancamentos!B16</f>
        <v>Cristiane</v>
      </c>
      <c r="C333" s="808" t="s">
        <v>18520</v>
      </c>
      <c r="D333" s="747"/>
      <c r="E333" s="1139">
        <v>94.44</v>
      </c>
      <c r="F333" s="1145"/>
      <c r="G333" s="1152" t="s">
        <v>9</v>
      </c>
    </row>
    <row r="334" spans="1:7">
      <c r="A334" s="862">
        <v>42958</v>
      </c>
      <c r="B334" s="823" t="str">
        <f>TiposLancamentos!B48</f>
        <v>Baralhos e Oráculos</v>
      </c>
      <c r="C334" s="812" t="s">
        <v>18521</v>
      </c>
      <c r="D334" s="849"/>
      <c r="E334" s="1141">
        <v>50.9</v>
      </c>
      <c r="F334" s="1146">
        <f>SUM(E333:E334)</f>
        <v>145.34</v>
      </c>
      <c r="G334" s="1152" t="s">
        <v>9</v>
      </c>
    </row>
    <row r="335" spans="1:7">
      <c r="A335" s="1272">
        <v>42958</v>
      </c>
      <c r="B335" s="279" t="str">
        <f>TiposLancamentos!B16</f>
        <v>Cristiane</v>
      </c>
      <c r="C335" s="280" t="s">
        <v>18522</v>
      </c>
      <c r="D335" s="281"/>
      <c r="E335" s="1293">
        <v>64.92</v>
      </c>
      <c r="F335" s="1271"/>
      <c r="G335" s="1152" t="s">
        <v>9</v>
      </c>
    </row>
    <row r="336" spans="1:7">
      <c r="A336" s="858">
        <v>42958</v>
      </c>
      <c r="B336" s="822" t="str">
        <f>TiposLancamentos!B48</f>
        <v>Baralhos e Oráculos</v>
      </c>
      <c r="C336" s="808" t="s">
        <v>18523</v>
      </c>
      <c r="D336" s="747"/>
      <c r="E336" s="1139">
        <v>110.9</v>
      </c>
      <c r="F336" s="1145"/>
      <c r="G336" s="1152" t="s">
        <v>9</v>
      </c>
    </row>
    <row r="337" spans="1:7">
      <c r="A337" s="862">
        <v>42958</v>
      </c>
      <c r="B337" s="823" t="str">
        <f>TiposLancamentos!B48</f>
        <v>Baralhos e Oráculos</v>
      </c>
      <c r="C337" s="812" t="s">
        <v>18524</v>
      </c>
      <c r="D337" s="849"/>
      <c r="E337" s="1141">
        <v>66.010000000000005</v>
      </c>
      <c r="F337" s="1146">
        <f>SUM(E336:E337)</f>
        <v>176.91000000000003</v>
      </c>
      <c r="G337" s="1152" t="s">
        <v>9</v>
      </c>
    </row>
    <row r="338" spans="1:7">
      <c r="A338" s="1639">
        <v>42958</v>
      </c>
      <c r="B338" s="1640" t="str">
        <f>TiposLancamentos!B16</f>
        <v>Cristiane</v>
      </c>
      <c r="C338" s="1641" t="s">
        <v>18525</v>
      </c>
      <c r="D338" s="1642"/>
      <c r="E338" s="1643">
        <v>279</v>
      </c>
      <c r="F338" s="1644"/>
      <c r="G338" s="1152" t="s">
        <v>9</v>
      </c>
    </row>
    <row r="339" spans="1:7">
      <c r="A339" s="1272">
        <v>42958</v>
      </c>
      <c r="B339" s="279" t="str">
        <f>TiposLancamentos!B16</f>
        <v>Cristiane</v>
      </c>
      <c r="C339" s="280" t="s">
        <v>18525</v>
      </c>
      <c r="D339" s="281"/>
      <c r="E339" s="1293">
        <v>319.99</v>
      </c>
      <c r="F339" s="1271"/>
      <c r="G339" s="1152" t="s">
        <v>9</v>
      </c>
    </row>
    <row r="340" spans="1:7">
      <c r="A340" s="884">
        <v>42960</v>
      </c>
      <c r="B340" s="240" t="str">
        <f>TiposLancamentos!B16</f>
        <v>Cristiane</v>
      </c>
      <c r="C340" s="878" t="s">
        <v>18526</v>
      </c>
      <c r="D340" s="63"/>
      <c r="E340" s="231">
        <f>F340/6</f>
        <v>308.33333333333331</v>
      </c>
      <c r="F340" s="899">
        <v>1850</v>
      </c>
      <c r="G340" s="1152" t="s">
        <v>9</v>
      </c>
    </row>
    <row r="341" spans="1:7">
      <c r="A341" s="1272">
        <v>42960</v>
      </c>
      <c r="B341" s="279" t="str">
        <f>TiposLancamentos!B34</f>
        <v>Seguros</v>
      </c>
      <c r="C341" s="280" t="s">
        <v>18527</v>
      </c>
      <c r="D341" s="281"/>
      <c r="E341" s="1293">
        <v>487.65</v>
      </c>
      <c r="F341" s="1271">
        <f>E341*4</f>
        <v>1950.6</v>
      </c>
      <c r="G341" s="1152" t="s">
        <v>9</v>
      </c>
    </row>
    <row r="342" spans="1:7">
      <c r="A342" s="1272">
        <v>42963</v>
      </c>
      <c r="B342" s="279" t="str">
        <f>TiposLancamentos!B16</f>
        <v>Cristiane</v>
      </c>
      <c r="C342" s="280" t="s">
        <v>18528</v>
      </c>
      <c r="D342" s="281"/>
      <c r="E342" s="1293">
        <f>F342/5</f>
        <v>99</v>
      </c>
      <c r="F342" s="1271">
        <v>495</v>
      </c>
      <c r="G342" s="1152" t="s">
        <v>9</v>
      </c>
    </row>
    <row r="343" spans="1:7">
      <c r="A343" s="1272">
        <v>42965</v>
      </c>
      <c r="B343" s="279" t="str">
        <f>TiposLancamentos!B22</f>
        <v>Combustivel</v>
      </c>
      <c r="C343" s="280" t="s">
        <v>6718</v>
      </c>
      <c r="D343" s="281"/>
      <c r="E343" s="1293">
        <v>187.48</v>
      </c>
      <c r="F343" s="1271"/>
      <c r="G343" s="1152" t="s">
        <v>9</v>
      </c>
    </row>
    <row r="344" spans="1:7">
      <c r="A344" s="884">
        <v>42966</v>
      </c>
      <c r="B344" s="240" t="str">
        <f>TiposLancamentos!B16</f>
        <v>Cristiane</v>
      </c>
      <c r="C344" s="878" t="s">
        <v>18529</v>
      </c>
      <c r="D344" s="63"/>
      <c r="E344" s="231">
        <v>128.9</v>
      </c>
      <c r="F344" s="899"/>
      <c r="G344" s="1152" t="s">
        <v>9</v>
      </c>
    </row>
    <row r="345" spans="1:7">
      <c r="A345" s="884">
        <v>42966</v>
      </c>
      <c r="B345" s="240" t="str">
        <f>TiposLancamentos!B19</f>
        <v>Restaurantes</v>
      </c>
      <c r="C345" s="878" t="s">
        <v>18530</v>
      </c>
      <c r="D345" s="63"/>
      <c r="E345" s="231">
        <v>130.9</v>
      </c>
      <c r="F345" s="899"/>
      <c r="G345" s="1152" t="s">
        <v>9</v>
      </c>
    </row>
    <row r="346" spans="1:7">
      <c r="A346" s="884">
        <v>42966</v>
      </c>
      <c r="B346" s="240" t="str">
        <f>TiposLancamentos!B72</f>
        <v>Presentes</v>
      </c>
      <c r="C346" s="878" t="s">
        <v>18531</v>
      </c>
      <c r="D346" s="63"/>
      <c r="E346" s="231">
        <v>100</v>
      </c>
      <c r="F346" s="899"/>
      <c r="G346" s="1152" t="s">
        <v>9</v>
      </c>
    </row>
    <row r="347" spans="1:7">
      <c r="A347" s="884">
        <v>42967</v>
      </c>
      <c r="B347" s="240" t="str">
        <f>TiposLancamentos!B5</f>
        <v>Supermercado</v>
      </c>
      <c r="C347" s="878" t="s">
        <v>7972</v>
      </c>
      <c r="D347" s="63"/>
      <c r="E347" s="231">
        <v>45.28</v>
      </c>
      <c r="F347" s="899"/>
      <c r="G347" s="1152" t="s">
        <v>9</v>
      </c>
    </row>
    <row r="348" spans="1:7">
      <c r="A348" s="934"/>
      <c r="B348" s="243"/>
      <c r="C348" s="389" t="s">
        <v>10</v>
      </c>
      <c r="D348" s="146"/>
      <c r="E348" s="1190"/>
      <c r="F348" s="935"/>
      <c r="G348" s="1094" t="s">
        <v>11</v>
      </c>
    </row>
    <row r="349" spans="1:7">
      <c r="A349" s="1272">
        <v>42968</v>
      </c>
      <c r="B349" s="279" t="str">
        <f>TiposLancamentos!B16</f>
        <v>Cristiane</v>
      </c>
      <c r="C349" s="280" t="s">
        <v>18532</v>
      </c>
      <c r="D349" s="281"/>
      <c r="E349" s="1293">
        <v>150</v>
      </c>
      <c r="F349" s="1271"/>
      <c r="G349" s="1152" t="s">
        <v>9</v>
      </c>
    </row>
    <row r="350" spans="1:7">
      <c r="A350" s="884">
        <v>42968</v>
      </c>
      <c r="B350" s="240" t="str">
        <f>TiposLancamentos!B19</f>
        <v>Restaurantes</v>
      </c>
      <c r="C350" s="878" t="s">
        <v>14787</v>
      </c>
      <c r="D350" s="63"/>
      <c r="E350" s="231">
        <v>11.37</v>
      </c>
      <c r="F350" s="899"/>
      <c r="G350" s="1152" t="s">
        <v>9</v>
      </c>
    </row>
    <row r="351" spans="1:7">
      <c r="A351" s="884">
        <v>42970</v>
      </c>
      <c r="B351" s="240" t="str">
        <f>TiposLancamentos!B19</f>
        <v>Restaurantes</v>
      </c>
      <c r="C351" s="878" t="s">
        <v>18533</v>
      </c>
      <c r="D351" s="63"/>
      <c r="E351" s="231">
        <v>25.9</v>
      </c>
      <c r="F351" s="899"/>
      <c r="G351" s="1152" t="s">
        <v>9</v>
      </c>
    </row>
    <row r="352" spans="1:7">
      <c r="A352" s="884">
        <v>42970</v>
      </c>
      <c r="B352" s="240" t="str">
        <f>TiposLancamentos!B71</f>
        <v>Itens Pessoais</v>
      </c>
      <c r="C352" s="878" t="s">
        <v>3590</v>
      </c>
      <c r="D352" s="63"/>
      <c r="E352" s="231">
        <v>25</v>
      </c>
      <c r="F352" s="899"/>
      <c r="G352" s="1152" t="s">
        <v>9</v>
      </c>
    </row>
    <row r="353" spans="1:7">
      <c r="A353" s="884">
        <v>42971</v>
      </c>
      <c r="B353" s="240" t="str">
        <f>TiposLancamentos!B13</f>
        <v>Moradia</v>
      </c>
      <c r="C353" s="878" t="s">
        <v>18534</v>
      </c>
      <c r="D353" s="63"/>
      <c r="E353" s="231">
        <v>49.9</v>
      </c>
      <c r="F353" s="899"/>
      <c r="G353" s="1152" t="s">
        <v>9</v>
      </c>
    </row>
    <row r="354" spans="1:7">
      <c r="A354" s="884">
        <v>42971</v>
      </c>
      <c r="B354" s="240" t="str">
        <f>TiposLancamentos!B72</f>
        <v>Presentes</v>
      </c>
      <c r="C354" s="878" t="s">
        <v>18535</v>
      </c>
      <c r="D354" s="63"/>
      <c r="E354" s="231">
        <v>239.8</v>
      </c>
      <c r="F354" s="899"/>
      <c r="G354" s="1152" t="s">
        <v>9</v>
      </c>
    </row>
    <row r="355" spans="1:7">
      <c r="A355" s="884">
        <v>42974</v>
      </c>
      <c r="B355" s="240" t="str">
        <f>TiposLancamentos!B20</f>
        <v>Saques</v>
      </c>
      <c r="C355" s="878" t="s">
        <v>18536</v>
      </c>
      <c r="D355" s="63"/>
      <c r="E355" s="231">
        <v>194.88</v>
      </c>
      <c r="F355" s="899" t="s">
        <v>18537</v>
      </c>
      <c r="G355" s="1152" t="s">
        <v>9</v>
      </c>
    </row>
    <row r="356" spans="1:7" ht="14.25" thickBot="1">
      <c r="A356" s="885">
        <v>42974</v>
      </c>
      <c r="B356" s="1232" t="str">
        <f>TiposLancamentos!B4</f>
        <v>Taxas Bancarias</v>
      </c>
      <c r="C356" s="1120" t="s">
        <v>18538</v>
      </c>
      <c r="D356" s="903"/>
      <c r="E356" s="928">
        <v>24.2</v>
      </c>
      <c r="F356" s="905"/>
      <c r="G356" s="1152" t="s">
        <v>9</v>
      </c>
    </row>
    <row r="357" spans="1:7">
      <c r="A357" s="1032"/>
      <c r="B357" s="1230"/>
      <c r="C357" s="906" t="s">
        <v>18539</v>
      </c>
      <c r="D357" s="896"/>
      <c r="E357" s="925"/>
      <c r="F357" s="898">
        <f>SUM(E305:E347)</f>
        <v>5188.2133333333322</v>
      </c>
      <c r="G357" s="3"/>
    </row>
    <row r="358" spans="1:7">
      <c r="A358" s="884">
        <v>42979</v>
      </c>
      <c r="B358" s="240" t="str">
        <f>TiposLancamentos!B28</f>
        <v>ComicBook</v>
      </c>
      <c r="C358" s="878" t="s">
        <v>18540</v>
      </c>
      <c r="D358" s="63"/>
      <c r="E358" s="231">
        <v>32.409999999999997</v>
      </c>
      <c r="F358" s="899">
        <f>F357-F326</f>
        <v>3372.4999999999991</v>
      </c>
      <c r="G358" s="1152" t="s">
        <v>9</v>
      </c>
    </row>
    <row r="359" spans="1:7">
      <c r="A359" s="884">
        <v>42979</v>
      </c>
      <c r="B359" s="240" t="str">
        <f>TiposLancamentos!B15</f>
        <v>Cartões de Crédito</v>
      </c>
      <c r="C359" s="878" t="s">
        <v>15803</v>
      </c>
      <c r="D359" s="63">
        <v>5188.21</v>
      </c>
      <c r="E359" s="231"/>
      <c r="F359" s="899"/>
      <c r="G359" s="1152" t="s">
        <v>9</v>
      </c>
    </row>
    <row r="360" spans="1:7">
      <c r="A360" s="1272">
        <v>42979</v>
      </c>
      <c r="B360" s="279" t="str">
        <f>TiposLancamentos!B5</f>
        <v>Supermercado</v>
      </c>
      <c r="C360" s="280" t="s">
        <v>18541</v>
      </c>
      <c r="D360" s="281"/>
      <c r="E360" s="1293">
        <v>96.66</v>
      </c>
      <c r="F360" s="1271"/>
      <c r="G360" s="1152" t="s">
        <v>9</v>
      </c>
    </row>
    <row r="361" spans="1:7">
      <c r="A361" s="1272">
        <v>42979</v>
      </c>
      <c r="B361" s="279" t="str">
        <f>TiposLancamentos!B5</f>
        <v>Supermercado</v>
      </c>
      <c r="C361" s="280" t="s">
        <v>6234</v>
      </c>
      <c r="D361" s="281"/>
      <c r="E361" s="1293">
        <v>206.43</v>
      </c>
      <c r="F361" s="1271"/>
      <c r="G361" s="1152" t="s">
        <v>9</v>
      </c>
    </row>
    <row r="362" spans="1:7">
      <c r="A362" s="1272">
        <v>42986</v>
      </c>
      <c r="B362" s="279" t="str">
        <f>TiposLancamentos!B5</f>
        <v>Supermercado</v>
      </c>
      <c r="C362" s="280" t="s">
        <v>1262</v>
      </c>
      <c r="D362" s="281"/>
      <c r="E362" s="1293">
        <v>88.38</v>
      </c>
      <c r="F362" s="1271"/>
      <c r="G362" s="1152" t="s">
        <v>9</v>
      </c>
    </row>
    <row r="363" spans="1:7">
      <c r="A363" s="1272">
        <v>42986</v>
      </c>
      <c r="B363" s="279" t="str">
        <f>TiposLancamentos!B5</f>
        <v>Supermercado</v>
      </c>
      <c r="C363" s="280" t="s">
        <v>1262</v>
      </c>
      <c r="D363" s="281"/>
      <c r="E363" s="1293">
        <v>41.15</v>
      </c>
      <c r="F363" s="1271"/>
      <c r="G363" s="1152" t="s">
        <v>9</v>
      </c>
    </row>
    <row r="364" spans="1:7">
      <c r="A364" s="884">
        <v>42991</v>
      </c>
      <c r="B364" s="240" t="str">
        <f>TiposLancamentos!B68</f>
        <v>Bombas</v>
      </c>
      <c r="C364" s="878" t="s">
        <v>18542</v>
      </c>
      <c r="D364" s="63"/>
      <c r="E364" s="231">
        <f>F364/3</f>
        <v>97.08</v>
      </c>
      <c r="F364" s="899">
        <v>291.24</v>
      </c>
      <c r="G364" s="1152" t="s">
        <v>9</v>
      </c>
    </row>
    <row r="365" spans="1:7">
      <c r="A365" s="884">
        <v>42991</v>
      </c>
      <c r="B365" s="240" t="str">
        <f>TiposLancamentos!B16</f>
        <v>Cristiane</v>
      </c>
      <c r="C365" s="878" t="s">
        <v>18543</v>
      </c>
      <c r="D365" s="63"/>
      <c r="E365" s="231">
        <f>F365/6</f>
        <v>308.33333333333331</v>
      </c>
      <c r="F365" s="899">
        <v>1850</v>
      </c>
      <c r="G365" s="1152" t="s">
        <v>9</v>
      </c>
    </row>
    <row r="366" spans="1:7">
      <c r="A366" s="1272">
        <v>42991</v>
      </c>
      <c r="B366" s="279" t="str">
        <f>TiposLancamentos!B34</f>
        <v>Seguros</v>
      </c>
      <c r="C366" s="280" t="s">
        <v>18544</v>
      </c>
      <c r="D366" s="281"/>
      <c r="E366" s="1293">
        <v>487.65</v>
      </c>
      <c r="F366" s="1271">
        <f>E366*4</f>
        <v>1950.6</v>
      </c>
      <c r="G366" s="1152" t="s">
        <v>9</v>
      </c>
    </row>
    <row r="367" spans="1:7">
      <c r="A367" s="1272">
        <v>42991</v>
      </c>
      <c r="B367" s="279" t="str">
        <f>TiposLancamentos!B16</f>
        <v>Cristiane</v>
      </c>
      <c r="C367" s="280" t="s">
        <v>18545</v>
      </c>
      <c r="D367" s="281"/>
      <c r="E367" s="1293">
        <v>55.89</v>
      </c>
      <c r="F367" s="1271"/>
      <c r="G367" s="1152" t="s">
        <v>9</v>
      </c>
    </row>
    <row r="368" spans="1:7">
      <c r="A368" s="1272">
        <v>42994</v>
      </c>
      <c r="B368" s="279" t="str">
        <f>TiposLancamentos!B16</f>
        <v>Cristiane</v>
      </c>
      <c r="C368" s="280" t="s">
        <v>18546</v>
      </c>
      <c r="D368" s="281"/>
      <c r="E368" s="1293">
        <f>F368/5</f>
        <v>99</v>
      </c>
      <c r="F368" s="1271">
        <v>495</v>
      </c>
      <c r="G368" s="1152" t="s">
        <v>9</v>
      </c>
    </row>
    <row r="369" spans="1:7">
      <c r="A369" s="1272">
        <v>42994</v>
      </c>
      <c r="B369" s="279" t="str">
        <f>TiposLancamentos!B16</f>
        <v>Cristiane</v>
      </c>
      <c r="C369" s="280" t="s">
        <v>18547</v>
      </c>
      <c r="D369" s="281"/>
      <c r="E369" s="1293">
        <v>96.48</v>
      </c>
      <c r="F369" s="1271"/>
      <c r="G369" s="1152" t="s">
        <v>9</v>
      </c>
    </row>
    <row r="370" spans="1:7">
      <c r="A370" s="1272">
        <v>42995</v>
      </c>
      <c r="B370" s="279" t="str">
        <f>TiposLancamentos!B5</f>
        <v>Supermercado</v>
      </c>
      <c r="C370" s="280" t="s">
        <v>18548</v>
      </c>
      <c r="D370" s="281"/>
      <c r="E370" s="1293">
        <v>76.44</v>
      </c>
      <c r="F370" s="1271"/>
      <c r="G370" s="1152" t="s">
        <v>9</v>
      </c>
    </row>
    <row r="371" spans="1:7">
      <c r="A371" s="1272">
        <v>42995</v>
      </c>
      <c r="B371" s="279" t="str">
        <f>TiposLancamentos!B16</f>
        <v>Cristiane</v>
      </c>
      <c r="C371" s="280" t="s">
        <v>18549</v>
      </c>
      <c r="D371" s="281"/>
      <c r="E371" s="1293">
        <v>46.05</v>
      </c>
      <c r="F371" s="1271" t="s">
        <v>18550</v>
      </c>
      <c r="G371" s="1152" t="s">
        <v>9</v>
      </c>
    </row>
    <row r="372" spans="1:7">
      <c r="A372" s="1272">
        <v>42995</v>
      </c>
      <c r="B372" s="279" t="str">
        <f>TiposLancamentos!B4</f>
        <v>Taxas Bancarias</v>
      </c>
      <c r="C372" s="280" t="s">
        <v>18551</v>
      </c>
      <c r="D372" s="281"/>
      <c r="E372" s="1293">
        <v>2.77</v>
      </c>
      <c r="F372" s="1271"/>
      <c r="G372" s="1152" t="s">
        <v>9</v>
      </c>
    </row>
    <row r="373" spans="1:7">
      <c r="A373" s="934"/>
      <c r="B373" s="243"/>
      <c r="C373" s="389" t="s">
        <v>10</v>
      </c>
      <c r="D373" s="146"/>
      <c r="E373" s="1190"/>
      <c r="F373" s="935"/>
      <c r="G373" s="1094" t="s">
        <v>11</v>
      </c>
    </row>
    <row r="374" spans="1:7">
      <c r="A374" s="884">
        <v>42998</v>
      </c>
      <c r="B374" s="240" t="str">
        <f>TiposLancamentos!B5</f>
        <v>Supermercado</v>
      </c>
      <c r="C374" s="878" t="s">
        <v>18552</v>
      </c>
      <c r="D374" s="63"/>
      <c r="E374" s="231">
        <v>15.58</v>
      </c>
      <c r="F374" s="899"/>
      <c r="G374" s="1152" t="s">
        <v>9</v>
      </c>
    </row>
    <row r="375" spans="1:7">
      <c r="A375" s="884">
        <v>42999</v>
      </c>
      <c r="B375" s="240" t="str">
        <f>TiposLancamentos!B48</f>
        <v>Baralhos e Oráculos</v>
      </c>
      <c r="C375" s="878" t="s">
        <v>18553</v>
      </c>
      <c r="D375" s="63"/>
      <c r="E375" s="231">
        <v>112.23</v>
      </c>
      <c r="F375" s="899"/>
      <c r="G375" s="1152" t="s">
        <v>9</v>
      </c>
    </row>
    <row r="376" spans="1:7">
      <c r="A376" s="1226">
        <v>42999</v>
      </c>
      <c r="B376" s="1218" t="str">
        <f>TiposLancamentos!B48</f>
        <v>Baralhos e Oráculos</v>
      </c>
      <c r="C376" s="1219" t="s">
        <v>18554</v>
      </c>
      <c r="D376" s="1220"/>
      <c r="E376" s="1221">
        <f>F377-E377</f>
        <v>139</v>
      </c>
      <c r="F376" s="1227"/>
      <c r="G376" s="1152" t="s">
        <v>9</v>
      </c>
    </row>
    <row r="377" spans="1:7">
      <c r="A377" s="1228">
        <v>42999</v>
      </c>
      <c r="B377" s="1222" t="str">
        <f>TiposLancamentos!B71</f>
        <v>Itens Pessoais</v>
      </c>
      <c r="C377" s="1223" t="s">
        <v>18555</v>
      </c>
      <c r="D377" s="1224"/>
      <c r="E377" s="1225">
        <v>18</v>
      </c>
      <c r="F377" s="1229">
        <v>157</v>
      </c>
      <c r="G377" s="1152" t="s">
        <v>9</v>
      </c>
    </row>
    <row r="378" spans="1:7">
      <c r="A378" s="1272">
        <v>43000</v>
      </c>
      <c r="B378" s="279" t="str">
        <f>TiposLancamentos!B34</f>
        <v>Seguros</v>
      </c>
      <c r="C378" s="280" t="s">
        <v>18556</v>
      </c>
      <c r="D378" s="281"/>
      <c r="E378" s="1293">
        <v>335.98</v>
      </c>
      <c r="F378" s="1271">
        <v>1343.83</v>
      </c>
      <c r="G378" s="1152" t="s">
        <v>9</v>
      </c>
    </row>
    <row r="379" spans="1:7">
      <c r="A379" s="884">
        <v>43000</v>
      </c>
      <c r="B379" s="240" t="str">
        <f>TiposLancamentos!B19</f>
        <v>Restaurantes</v>
      </c>
      <c r="C379" s="878" t="s">
        <v>18557</v>
      </c>
      <c r="D379" s="63"/>
      <c r="E379" s="231">
        <v>129.43</v>
      </c>
      <c r="F379" s="899"/>
      <c r="G379" s="1152" t="s">
        <v>9</v>
      </c>
    </row>
    <row r="380" spans="1:7">
      <c r="A380" s="884">
        <v>43000</v>
      </c>
      <c r="B380" s="240" t="str">
        <f>TiposLancamentos!B16</f>
        <v>Cristiane</v>
      </c>
      <c r="C380" s="878" t="s">
        <v>18558</v>
      </c>
      <c r="D380" s="63"/>
      <c r="E380" s="231">
        <v>54.8</v>
      </c>
      <c r="F380" s="899"/>
      <c r="G380" s="1152" t="s">
        <v>9</v>
      </c>
    </row>
    <row r="381" spans="1:7">
      <c r="A381" s="1272">
        <v>43001</v>
      </c>
      <c r="B381" s="279" t="str">
        <f>TiposLancamentos!B16</f>
        <v>Cristiane</v>
      </c>
      <c r="C381" s="280" t="s">
        <v>18547</v>
      </c>
      <c r="D381" s="281"/>
      <c r="E381" s="1293">
        <v>161.28</v>
      </c>
      <c r="F381" s="1271"/>
      <c r="G381" s="1152" t="s">
        <v>9</v>
      </c>
    </row>
    <row r="382" spans="1:7">
      <c r="A382" s="1272">
        <v>43001</v>
      </c>
      <c r="B382" s="279" t="str">
        <f>TiposLancamentos!B16</f>
        <v>Cristiane</v>
      </c>
      <c r="C382" s="280" t="s">
        <v>18559</v>
      </c>
      <c r="D382" s="281"/>
      <c r="E382" s="1293">
        <v>50.97</v>
      </c>
      <c r="F382" s="1271"/>
      <c r="G382" s="1152" t="s">
        <v>9</v>
      </c>
    </row>
    <row r="383" spans="1:7">
      <c r="A383" s="884">
        <v>43001</v>
      </c>
      <c r="B383" s="240" t="str">
        <f>TiposLancamentos!B19</f>
        <v>Restaurantes</v>
      </c>
      <c r="C383" s="878" t="s">
        <v>18560</v>
      </c>
      <c r="D383" s="63"/>
      <c r="E383" s="231">
        <v>132.15</v>
      </c>
      <c r="F383" s="899"/>
      <c r="G383" s="1152" t="s">
        <v>9</v>
      </c>
    </row>
    <row r="384" spans="1:7">
      <c r="A384" s="884">
        <v>43001</v>
      </c>
      <c r="B384" s="240" t="str">
        <f>TiposLancamentos!B16</f>
        <v>Cristiane</v>
      </c>
      <c r="C384" s="878" t="s">
        <v>18561</v>
      </c>
      <c r="D384" s="63"/>
      <c r="E384" s="231">
        <v>21.4</v>
      </c>
      <c r="F384" s="899"/>
      <c r="G384" s="1152" t="s">
        <v>9</v>
      </c>
    </row>
    <row r="385" spans="1:7">
      <c r="A385" s="1272">
        <v>43001</v>
      </c>
      <c r="B385" s="279" t="str">
        <f>TiposLancamentos!B16</f>
        <v>Cristiane</v>
      </c>
      <c r="C385" s="280" t="s">
        <v>18562</v>
      </c>
      <c r="D385" s="281"/>
      <c r="E385" s="1293">
        <v>70.8</v>
      </c>
      <c r="F385" s="1271"/>
      <c r="G385" s="1152" t="s">
        <v>9</v>
      </c>
    </row>
    <row r="386" spans="1:7">
      <c r="A386" s="884">
        <v>43001</v>
      </c>
      <c r="B386" s="240" t="str">
        <f>TiposLancamentos!B19</f>
        <v>Restaurantes</v>
      </c>
      <c r="C386" s="878" t="s">
        <v>18563</v>
      </c>
      <c r="D386" s="63"/>
      <c r="E386" s="231">
        <v>23.5</v>
      </c>
      <c r="F386" s="899"/>
      <c r="G386" s="1152" t="s">
        <v>9</v>
      </c>
    </row>
    <row r="387" spans="1:7">
      <c r="A387" s="884">
        <v>43001</v>
      </c>
      <c r="B387" s="240" t="str">
        <f>TiposLancamentos!B71</f>
        <v>Itens Pessoais</v>
      </c>
      <c r="C387" s="878" t="s">
        <v>18564</v>
      </c>
      <c r="D387" s="63"/>
      <c r="E387" s="231">
        <v>45</v>
      </c>
      <c r="F387" s="899"/>
      <c r="G387" s="1152" t="s">
        <v>9</v>
      </c>
    </row>
    <row r="388" spans="1:7">
      <c r="A388" s="884">
        <v>43001</v>
      </c>
      <c r="B388" s="240" t="str">
        <f>TiposLancamentos!B24</f>
        <v>Estacionamentos</v>
      </c>
      <c r="C388" s="878" t="s">
        <v>17651</v>
      </c>
      <c r="D388" s="63"/>
      <c r="E388" s="231">
        <v>18</v>
      </c>
      <c r="F388" s="899"/>
      <c r="G388" s="1152" t="s">
        <v>9</v>
      </c>
    </row>
    <row r="389" spans="1:7">
      <c r="A389" s="884">
        <v>43001</v>
      </c>
      <c r="B389" s="240" t="str">
        <f>TiposLancamentos!B5</f>
        <v>Supermercado</v>
      </c>
      <c r="C389" s="878" t="s">
        <v>18565</v>
      </c>
      <c r="D389" s="63"/>
      <c r="E389" s="231">
        <v>101.4</v>
      </c>
      <c r="F389" s="899"/>
      <c r="G389" s="1152" t="s">
        <v>9</v>
      </c>
    </row>
    <row r="390" spans="1:7">
      <c r="A390" s="884">
        <v>43002</v>
      </c>
      <c r="B390" s="240" t="str">
        <f>TiposLancamentos!B5</f>
        <v>Supermercado</v>
      </c>
      <c r="C390" s="878" t="s">
        <v>6234</v>
      </c>
      <c r="D390" s="63"/>
      <c r="E390" s="231">
        <v>59.48</v>
      </c>
      <c r="F390" s="899"/>
      <c r="G390" s="1152" t="s">
        <v>9</v>
      </c>
    </row>
    <row r="391" spans="1:7">
      <c r="A391" s="884">
        <v>43003</v>
      </c>
      <c r="B391" s="240" t="str">
        <f>TiposLancamentos!B56</f>
        <v>Farmácia</v>
      </c>
      <c r="C391" s="878" t="s">
        <v>18566</v>
      </c>
      <c r="D391" s="63"/>
      <c r="E391" s="231">
        <v>6.4</v>
      </c>
      <c r="F391" s="899"/>
      <c r="G391" s="1152" t="s">
        <v>9</v>
      </c>
    </row>
    <row r="392" spans="1:7">
      <c r="A392" s="884">
        <v>43003</v>
      </c>
      <c r="B392" s="240" t="str">
        <f>TiposLancamentos!B56</f>
        <v>Farmácia</v>
      </c>
      <c r="C392" s="878" t="s">
        <v>18567</v>
      </c>
      <c r="D392" s="63"/>
      <c r="E392" s="231">
        <v>111.6</v>
      </c>
      <c r="F392" s="899"/>
      <c r="G392" s="1152" t="s">
        <v>9</v>
      </c>
    </row>
    <row r="393" spans="1:7">
      <c r="A393" s="884">
        <v>43003</v>
      </c>
      <c r="B393" s="240" t="str">
        <f>TiposLancamentos!B17</f>
        <v>GATO</v>
      </c>
      <c r="C393" s="878" t="s">
        <v>18568</v>
      </c>
      <c r="D393" s="63"/>
      <c r="E393" s="231">
        <v>33.99</v>
      </c>
      <c r="F393" s="899"/>
      <c r="G393" s="1152" t="s">
        <v>9</v>
      </c>
    </row>
    <row r="394" spans="1:7">
      <c r="A394" s="884">
        <v>43003</v>
      </c>
      <c r="B394" s="240" t="str">
        <f>TiposLancamentos!B17</f>
        <v>GATO</v>
      </c>
      <c r="C394" s="878" t="s">
        <v>18569</v>
      </c>
      <c r="D394" s="63"/>
      <c r="E394" s="231">
        <v>131.4</v>
      </c>
      <c r="F394" s="899"/>
      <c r="G394" s="1152" t="s">
        <v>9</v>
      </c>
    </row>
    <row r="395" spans="1:7">
      <c r="A395" s="884">
        <v>43003</v>
      </c>
      <c r="B395" s="240" t="str">
        <f>TiposLancamentos!B19</f>
        <v>Restaurantes</v>
      </c>
      <c r="C395" s="878" t="s">
        <v>7068</v>
      </c>
      <c r="D395" s="63"/>
      <c r="E395" s="231">
        <v>27.82</v>
      </c>
      <c r="F395" s="899"/>
      <c r="G395" s="1152" t="s">
        <v>9</v>
      </c>
    </row>
    <row r="396" spans="1:7">
      <c r="A396" s="884">
        <v>43004</v>
      </c>
      <c r="B396" s="240" t="str">
        <f>TiposLancamentos!B16</f>
        <v>Cristiane</v>
      </c>
      <c r="C396" s="878" t="s">
        <v>18570</v>
      </c>
      <c r="D396" s="63"/>
      <c r="E396" s="231">
        <v>139.80000000000001</v>
      </c>
      <c r="F396" s="899"/>
      <c r="G396" s="1152" t="s">
        <v>9</v>
      </c>
    </row>
    <row r="397" spans="1:7">
      <c r="A397" s="884">
        <v>43005</v>
      </c>
      <c r="B397" s="240" t="str">
        <f>TiposLancamentos!B19</f>
        <v>Restaurantes</v>
      </c>
      <c r="C397" s="878" t="s">
        <v>18571</v>
      </c>
      <c r="D397" s="63"/>
      <c r="E397" s="231">
        <v>12.92</v>
      </c>
      <c r="F397" s="899"/>
      <c r="G397" s="1152" t="s">
        <v>9</v>
      </c>
    </row>
    <row r="398" spans="1:7">
      <c r="A398" s="884">
        <v>43005</v>
      </c>
      <c r="B398" s="240" t="str">
        <f>TiposLancamentos!B19</f>
        <v>Restaurantes</v>
      </c>
      <c r="C398" s="878" t="s">
        <v>18572</v>
      </c>
      <c r="D398" s="63"/>
      <c r="E398" s="231">
        <v>124.3</v>
      </c>
      <c r="F398" s="899"/>
      <c r="G398" s="1152" t="s">
        <v>9</v>
      </c>
    </row>
    <row r="399" spans="1:7">
      <c r="A399" s="1272">
        <v>43005</v>
      </c>
      <c r="B399" s="279" t="str">
        <f>TiposLancamentos!B16</f>
        <v>Cristiane</v>
      </c>
      <c r="C399" s="280" t="s">
        <v>18573</v>
      </c>
      <c r="D399" s="281"/>
      <c r="E399" s="1293">
        <v>12.51</v>
      </c>
      <c r="F399" s="1271" t="s">
        <v>18574</v>
      </c>
      <c r="G399" s="1094" t="s">
        <v>11</v>
      </c>
    </row>
    <row r="400" spans="1:7">
      <c r="A400" s="1272">
        <v>43005</v>
      </c>
      <c r="B400" s="279" t="str">
        <f>TiposLancamentos!B4</f>
        <v>Taxas Bancarias</v>
      </c>
      <c r="C400" s="280" t="s">
        <v>18575</v>
      </c>
      <c r="D400" s="281"/>
      <c r="E400" s="1293">
        <v>0.76</v>
      </c>
      <c r="F400" s="1271"/>
      <c r="G400" s="1094" t="s">
        <v>11</v>
      </c>
    </row>
    <row r="401" spans="1:7">
      <c r="A401" s="884">
        <v>43006</v>
      </c>
      <c r="B401" s="240" t="str">
        <f>TiposLancamentos!B19</f>
        <v>Restaurantes</v>
      </c>
      <c r="C401" s="878" t="s">
        <v>7000</v>
      </c>
      <c r="D401" s="63"/>
      <c r="E401" s="231">
        <v>7.9</v>
      </c>
      <c r="F401" s="899"/>
      <c r="G401" s="1152" t="s">
        <v>9</v>
      </c>
    </row>
    <row r="402" spans="1:7">
      <c r="A402" s="884">
        <v>43006</v>
      </c>
      <c r="B402" s="240" t="str">
        <f>TiposLancamentos!B19</f>
        <v>Restaurantes</v>
      </c>
      <c r="C402" s="878" t="s">
        <v>18576</v>
      </c>
      <c r="D402" s="63"/>
      <c r="E402" s="231">
        <v>12.14</v>
      </c>
      <c r="F402" s="899"/>
      <c r="G402" s="1152" t="s">
        <v>9</v>
      </c>
    </row>
    <row r="403" spans="1:7">
      <c r="A403" s="884">
        <v>43006</v>
      </c>
      <c r="B403" s="240" t="str">
        <f>TiposLancamentos!B5</f>
        <v>Supermercado</v>
      </c>
      <c r="C403" s="878" t="s">
        <v>6234</v>
      </c>
      <c r="D403" s="63"/>
      <c r="E403" s="231">
        <v>94.35</v>
      </c>
      <c r="F403" s="899"/>
      <c r="G403" s="1152" t="s">
        <v>9</v>
      </c>
    </row>
    <row r="404" spans="1:7">
      <c r="A404" s="884">
        <v>43007</v>
      </c>
      <c r="B404" s="240" t="str">
        <f>TiposLancamentos!B56</f>
        <v>Farmácia</v>
      </c>
      <c r="C404" s="878" t="s">
        <v>18577</v>
      </c>
      <c r="D404" s="63"/>
      <c r="E404" s="231">
        <v>13.5</v>
      </c>
      <c r="F404" s="899"/>
      <c r="G404" s="1152" t="s">
        <v>9</v>
      </c>
    </row>
    <row r="405" spans="1:7">
      <c r="A405" s="1272">
        <v>43008</v>
      </c>
      <c r="B405" s="279" t="str">
        <f>TiposLancamentos!B16</f>
        <v>Cristiane</v>
      </c>
      <c r="C405" s="280" t="s">
        <v>18428</v>
      </c>
      <c r="D405" s="281"/>
      <c r="E405" s="1293">
        <v>127</v>
      </c>
      <c r="F405" s="1271"/>
      <c r="G405" s="1152" t="s">
        <v>9</v>
      </c>
    </row>
    <row r="406" spans="1:7" ht="14.25" thickBot="1">
      <c r="A406" s="885">
        <v>43008</v>
      </c>
      <c r="B406" s="1232" t="str">
        <f>TiposLancamentos!B19</f>
        <v>Restaurantes</v>
      </c>
      <c r="C406" s="1120" t="s">
        <v>6536</v>
      </c>
      <c r="D406" s="903"/>
      <c r="E406" s="928">
        <v>147.18</v>
      </c>
      <c r="F406" s="905"/>
      <c r="G406" s="1152" t="s">
        <v>9</v>
      </c>
    </row>
    <row r="407" spans="1:7">
      <c r="A407" s="1032"/>
      <c r="B407" s="1230"/>
      <c r="C407" s="906" t="s">
        <v>11182</v>
      </c>
      <c r="D407" s="896"/>
      <c r="E407" s="925"/>
      <c r="F407" s="898">
        <f>SUM(E349:E372)</f>
        <v>2455.7733333333331</v>
      </c>
      <c r="G407" s="3"/>
    </row>
    <row r="408" spans="1:7">
      <c r="A408" s="884">
        <v>43009</v>
      </c>
      <c r="B408" s="240" t="str">
        <f>TiposLancamentos!B19</f>
        <v>Restaurantes</v>
      </c>
      <c r="C408" s="878" t="s">
        <v>18578</v>
      </c>
      <c r="D408" s="63"/>
      <c r="E408" s="231">
        <v>138.16</v>
      </c>
      <c r="F408" s="899">
        <f>F407-F357</f>
        <v>-2732.4399999999991</v>
      </c>
      <c r="G408" s="1152" t="s">
        <v>9</v>
      </c>
    </row>
    <row r="409" spans="1:7">
      <c r="A409" s="1226">
        <v>43009</v>
      </c>
      <c r="B409" s="1218" t="str">
        <f>TiposLancamentos!B16</f>
        <v>Cristiane</v>
      </c>
      <c r="C409" s="1219" t="s">
        <v>18579</v>
      </c>
      <c r="D409" s="1220"/>
      <c r="E409" s="1221">
        <f>F410-E410</f>
        <v>93.5</v>
      </c>
      <c r="F409" s="1227"/>
      <c r="G409" s="1152" t="s">
        <v>9</v>
      </c>
    </row>
    <row r="410" spans="1:7">
      <c r="A410" s="1228">
        <v>43009</v>
      </c>
      <c r="B410" s="1222" t="str">
        <f>TiposLancamentos!B13</f>
        <v>Moradia</v>
      </c>
      <c r="C410" s="1223" t="s">
        <v>18580</v>
      </c>
      <c r="D410" s="1224"/>
      <c r="E410" s="1225">
        <v>49.9</v>
      </c>
      <c r="F410" s="1229">
        <v>143.4</v>
      </c>
      <c r="G410" s="1152" t="s">
        <v>9</v>
      </c>
    </row>
    <row r="411" spans="1:7">
      <c r="A411" s="884">
        <v>43009</v>
      </c>
      <c r="B411" s="240" t="str">
        <f>TiposLancamentos!B56</f>
        <v>Farmácia</v>
      </c>
      <c r="C411" s="878" t="s">
        <v>18581</v>
      </c>
      <c r="D411" s="63"/>
      <c r="E411" s="231">
        <v>77.900000000000006</v>
      </c>
      <c r="F411" s="899"/>
      <c r="G411" s="1152" t="s">
        <v>9</v>
      </c>
    </row>
    <row r="412" spans="1:7">
      <c r="A412" s="884">
        <v>43009</v>
      </c>
      <c r="B412" s="240" t="str">
        <f>TiposLancamentos!B19</f>
        <v>Restaurantes</v>
      </c>
      <c r="C412" s="878" t="s">
        <v>18582</v>
      </c>
      <c r="D412" s="63"/>
      <c r="E412" s="231">
        <v>20</v>
      </c>
      <c r="F412" s="899"/>
      <c r="G412" s="1152" t="s">
        <v>9</v>
      </c>
    </row>
    <row r="413" spans="1:7">
      <c r="A413" s="1226">
        <v>43009</v>
      </c>
      <c r="B413" s="1218" t="str">
        <f>TiposLancamentos!B70</f>
        <v>Vestuário</v>
      </c>
      <c r="C413" s="1219" t="s">
        <v>18583</v>
      </c>
      <c r="D413" s="1220"/>
      <c r="E413" s="1221">
        <f>F413/3</f>
        <v>49.666666666666664</v>
      </c>
      <c r="F413" s="1227">
        <v>149</v>
      </c>
      <c r="G413" s="1152" t="s">
        <v>9</v>
      </c>
    </row>
    <row r="414" spans="1:7">
      <c r="A414" s="1228">
        <v>43009</v>
      </c>
      <c r="B414" s="1222" t="str">
        <f>TiposLancamentos!B16</f>
        <v>Cristiane</v>
      </c>
      <c r="C414" s="1223" t="s">
        <v>18583</v>
      </c>
      <c r="D414" s="1224"/>
      <c r="E414" s="1225">
        <f>F414/3</f>
        <v>56.333333333333336</v>
      </c>
      <c r="F414" s="1229">
        <v>169</v>
      </c>
      <c r="G414" s="1152" t="s">
        <v>9</v>
      </c>
    </row>
    <row r="415" spans="1:7">
      <c r="A415" s="1272">
        <v>43009</v>
      </c>
      <c r="B415" s="279" t="str">
        <f>TiposLancamentos!B16</f>
        <v>Cristiane</v>
      </c>
      <c r="C415" s="280" t="s">
        <v>18584</v>
      </c>
      <c r="D415" s="281"/>
      <c r="E415" s="1293">
        <v>110.9</v>
      </c>
      <c r="F415" s="1271"/>
      <c r="G415" s="1152" t="s">
        <v>9</v>
      </c>
    </row>
    <row r="416" spans="1:7">
      <c r="A416" s="884">
        <v>43010</v>
      </c>
      <c r="B416" s="240" t="str">
        <f>TiposLancamentos!B81</f>
        <v>Ferramentas gerais</v>
      </c>
      <c r="C416" s="878" t="s">
        <v>18585</v>
      </c>
      <c r="D416" s="63"/>
      <c r="E416" s="231">
        <v>53.88</v>
      </c>
      <c r="F416" s="899"/>
      <c r="G416" s="1152" t="s">
        <v>9</v>
      </c>
    </row>
    <row r="417" spans="1:7">
      <c r="A417" s="884">
        <v>43010</v>
      </c>
      <c r="B417" s="240" t="str">
        <f>TiposLancamentos!B15</f>
        <v>Cartões de Crédito</v>
      </c>
      <c r="C417" s="878" t="s">
        <v>1874</v>
      </c>
      <c r="D417" s="63">
        <v>2455.77</v>
      </c>
      <c r="E417" s="231"/>
      <c r="F417" s="899"/>
      <c r="G417" s="3"/>
    </row>
    <row r="418" spans="1:7">
      <c r="A418" s="1272">
        <v>43010</v>
      </c>
      <c r="B418" s="279" t="str">
        <f>TiposLancamentos!B16</f>
        <v>Cristiane</v>
      </c>
      <c r="C418" s="280" t="s">
        <v>18586</v>
      </c>
      <c r="D418" s="281"/>
      <c r="E418" s="1293">
        <v>26.25</v>
      </c>
      <c r="F418" s="1271"/>
      <c r="G418" s="1152" t="s">
        <v>9</v>
      </c>
    </row>
    <row r="419" spans="1:7">
      <c r="A419" s="884">
        <v>43010</v>
      </c>
      <c r="B419" s="240" t="str">
        <f>TiposLancamentos!B4</f>
        <v>Taxas Bancarias</v>
      </c>
      <c r="C419" s="878" t="s">
        <v>18587</v>
      </c>
      <c r="D419" s="63"/>
      <c r="E419" s="231">
        <v>2.74</v>
      </c>
      <c r="F419" s="899"/>
      <c r="G419" s="1152" t="s">
        <v>9</v>
      </c>
    </row>
    <row r="420" spans="1:7">
      <c r="A420" s="884">
        <v>43011</v>
      </c>
      <c r="B420" s="240" t="str">
        <f>TiposLancamentos!B5</f>
        <v>Supermercado</v>
      </c>
      <c r="C420" s="878" t="s">
        <v>5844</v>
      </c>
      <c r="D420" s="63"/>
      <c r="E420" s="231">
        <v>70.3</v>
      </c>
      <c r="F420" s="899"/>
      <c r="G420" s="1152" t="s">
        <v>9</v>
      </c>
    </row>
    <row r="421" spans="1:7">
      <c r="A421" s="1272">
        <v>43011</v>
      </c>
      <c r="B421" s="279" t="str">
        <f>TiposLancamentos!B16</f>
        <v>Cristiane</v>
      </c>
      <c r="C421" s="280" t="s">
        <v>18588</v>
      </c>
      <c r="D421" s="281"/>
      <c r="E421" s="1293">
        <v>52.51</v>
      </c>
      <c r="F421" s="1271"/>
      <c r="G421" s="1152" t="s">
        <v>9</v>
      </c>
    </row>
    <row r="422" spans="1:7">
      <c r="A422" s="884">
        <v>43011</v>
      </c>
      <c r="B422" s="240" t="str">
        <f>TiposLancamentos!B87</f>
        <v>P207-1.6-XS</v>
      </c>
      <c r="C422" s="878" t="s">
        <v>18589</v>
      </c>
      <c r="D422" s="63"/>
      <c r="E422" s="231">
        <v>376.7</v>
      </c>
      <c r="F422" s="899">
        <v>2260</v>
      </c>
      <c r="G422" s="1152" t="s">
        <v>9</v>
      </c>
    </row>
    <row r="423" spans="1:7">
      <c r="A423" s="1272">
        <v>43012</v>
      </c>
      <c r="B423" s="279" t="str">
        <f>TiposLancamentos!B16</f>
        <v>Cristiane</v>
      </c>
      <c r="C423" s="280" t="s">
        <v>18590</v>
      </c>
      <c r="D423" s="281"/>
      <c r="E423" s="1293">
        <v>59.54</v>
      </c>
      <c r="F423" s="1271"/>
      <c r="G423" s="1152" t="s">
        <v>9</v>
      </c>
    </row>
    <row r="424" spans="1:7">
      <c r="A424" s="884">
        <v>43012</v>
      </c>
      <c r="B424" s="240" t="str">
        <f>TiposLancamentos!B5</f>
        <v>Supermercado</v>
      </c>
      <c r="C424" s="878" t="s">
        <v>3682</v>
      </c>
      <c r="D424" s="63"/>
      <c r="E424" s="231">
        <v>12.97</v>
      </c>
      <c r="F424" s="899"/>
      <c r="G424" s="1152" t="s">
        <v>9</v>
      </c>
    </row>
    <row r="425" spans="1:7">
      <c r="A425" s="884">
        <v>43016</v>
      </c>
      <c r="B425" s="240" t="str">
        <f>TiposLancamentos!B19</f>
        <v>Restaurantes</v>
      </c>
      <c r="C425" s="878" t="s">
        <v>18591</v>
      </c>
      <c r="D425" s="63"/>
      <c r="E425" s="231">
        <v>174.46</v>
      </c>
      <c r="F425" s="899"/>
      <c r="G425" s="1152" t="s">
        <v>9</v>
      </c>
    </row>
    <row r="426" spans="1:7">
      <c r="A426" s="884">
        <v>43016</v>
      </c>
      <c r="B426" s="240" t="str">
        <f>TiposLancamentos!B5</f>
        <v>Supermercado</v>
      </c>
      <c r="C426" s="878" t="s">
        <v>5844</v>
      </c>
      <c r="D426" s="63"/>
      <c r="E426" s="231">
        <v>68.569999999999993</v>
      </c>
      <c r="F426" s="899"/>
      <c r="G426" s="1152" t="s">
        <v>9</v>
      </c>
    </row>
    <row r="427" spans="1:7">
      <c r="A427" s="884">
        <v>43017</v>
      </c>
      <c r="B427" s="240" t="str">
        <f>TiposLancamentos!B57</f>
        <v>Informática</v>
      </c>
      <c r="C427" s="878" t="s">
        <v>18592</v>
      </c>
      <c r="D427" s="63"/>
      <c r="E427" s="231">
        <v>119.9</v>
      </c>
      <c r="F427" s="899"/>
      <c r="G427" s="1152" t="s">
        <v>9</v>
      </c>
    </row>
    <row r="428" spans="1:7">
      <c r="A428" s="884">
        <v>43017</v>
      </c>
      <c r="B428" s="240" t="str">
        <f>TiposLancamentos!B5</f>
        <v>Supermercado</v>
      </c>
      <c r="C428" s="878" t="s">
        <v>5844</v>
      </c>
      <c r="D428" s="63"/>
      <c r="E428" s="231">
        <v>73.989999999999995</v>
      </c>
      <c r="F428" s="899"/>
      <c r="G428" s="1152" t="s">
        <v>9</v>
      </c>
    </row>
    <row r="429" spans="1:7">
      <c r="A429" s="1272">
        <v>43019</v>
      </c>
      <c r="B429" s="279" t="str">
        <f>TiposLancamentos!B16</f>
        <v>Cristiane</v>
      </c>
      <c r="C429" s="280" t="s">
        <v>18593</v>
      </c>
      <c r="D429" s="281"/>
      <c r="E429" s="1293">
        <v>71.900000000000006</v>
      </c>
      <c r="F429" s="1271"/>
      <c r="G429" s="1152" t="s">
        <v>9</v>
      </c>
    </row>
    <row r="430" spans="1:7">
      <c r="A430" s="884">
        <v>43019</v>
      </c>
      <c r="B430" s="240" t="str">
        <f>TiposLancamentos!B16</f>
        <v>Cristiane</v>
      </c>
      <c r="C430" s="878" t="s">
        <v>18594</v>
      </c>
      <c r="D430" s="63"/>
      <c r="E430" s="231">
        <v>119.98</v>
      </c>
      <c r="F430" s="899"/>
      <c r="G430" s="1152" t="s">
        <v>9</v>
      </c>
    </row>
    <row r="431" spans="1:7">
      <c r="A431" s="884">
        <v>43019</v>
      </c>
      <c r="B431" s="240" t="str">
        <f>TiposLancamentos!B16</f>
        <v>Cristiane</v>
      </c>
      <c r="C431" s="878" t="s">
        <v>18595</v>
      </c>
      <c r="D431" s="63"/>
      <c r="E431" s="231">
        <v>24.78</v>
      </c>
      <c r="F431" s="899"/>
      <c r="G431" s="1152" t="s">
        <v>9</v>
      </c>
    </row>
    <row r="432" spans="1:7">
      <c r="A432" s="884">
        <v>43019</v>
      </c>
      <c r="B432" s="240" t="str">
        <f>TiposLancamentos!B5</f>
        <v>Supermercado</v>
      </c>
      <c r="C432" s="878" t="s">
        <v>18596</v>
      </c>
      <c r="D432" s="63"/>
      <c r="E432" s="231">
        <v>34.770000000000003</v>
      </c>
      <c r="F432" s="899"/>
      <c r="G432" s="1152" t="s">
        <v>9</v>
      </c>
    </row>
    <row r="433" spans="1:7">
      <c r="A433" s="884">
        <v>43020</v>
      </c>
      <c r="B433" s="240" t="str">
        <f>TiposLancamentos!B5</f>
        <v>Supermercado</v>
      </c>
      <c r="C433" s="878" t="s">
        <v>5844</v>
      </c>
      <c r="D433" s="63"/>
      <c r="E433" s="231">
        <v>160.37</v>
      </c>
      <c r="F433" s="899"/>
      <c r="G433" s="1152" t="s">
        <v>9</v>
      </c>
    </row>
    <row r="434" spans="1:7">
      <c r="A434" s="884">
        <v>43020</v>
      </c>
      <c r="B434" s="240" t="str">
        <f>TiposLancamentos!B56</f>
        <v>Farmácia</v>
      </c>
      <c r="C434" s="878" t="s">
        <v>18597</v>
      </c>
      <c r="D434" s="63"/>
      <c r="E434" s="231">
        <v>23.4</v>
      </c>
      <c r="F434" s="899"/>
      <c r="G434" s="1152" t="s">
        <v>9</v>
      </c>
    </row>
    <row r="435" spans="1:7">
      <c r="A435" s="884">
        <v>43021</v>
      </c>
      <c r="B435" s="240" t="str">
        <f>TiposLancamentos!B72</f>
        <v>Presentes</v>
      </c>
      <c r="C435" s="878" t="s">
        <v>18598</v>
      </c>
      <c r="D435" s="63"/>
      <c r="E435" s="231">
        <v>127.2</v>
      </c>
      <c r="F435" s="899"/>
      <c r="G435" s="1152" t="s">
        <v>9</v>
      </c>
    </row>
    <row r="436" spans="1:7">
      <c r="A436" s="884">
        <v>43021</v>
      </c>
      <c r="B436" s="240" t="str">
        <f>TiposLancamentos!B68</f>
        <v>Bombas</v>
      </c>
      <c r="C436" s="878" t="s">
        <v>18599</v>
      </c>
      <c r="D436" s="63"/>
      <c r="E436" s="231">
        <f>F436/3</f>
        <v>97.08</v>
      </c>
      <c r="F436" s="899">
        <v>291.24</v>
      </c>
      <c r="G436" s="1152" t="s">
        <v>9</v>
      </c>
    </row>
    <row r="437" spans="1:7">
      <c r="A437" s="1272">
        <v>43021</v>
      </c>
      <c r="B437" s="279" t="str">
        <f>TiposLancamentos!B34</f>
        <v>Seguros</v>
      </c>
      <c r="C437" s="280" t="s">
        <v>18600</v>
      </c>
      <c r="D437" s="281"/>
      <c r="E437" s="1293">
        <v>487.65</v>
      </c>
      <c r="F437" s="1271">
        <f>E437*4</f>
        <v>1950.6</v>
      </c>
      <c r="G437" s="1152" t="s">
        <v>9</v>
      </c>
    </row>
    <row r="438" spans="1:7">
      <c r="A438" s="1272">
        <v>43021</v>
      </c>
      <c r="B438" s="279" t="str">
        <f>TiposLancamentos!B16</f>
        <v>Cristiane</v>
      </c>
      <c r="C438" s="280" t="s">
        <v>6007</v>
      </c>
      <c r="D438" s="281"/>
      <c r="E438" s="1293">
        <v>68.3</v>
      </c>
      <c r="F438" s="1271"/>
      <c r="G438" s="1152" t="s">
        <v>9</v>
      </c>
    </row>
    <row r="439" spans="1:7">
      <c r="A439" s="884">
        <v>43022</v>
      </c>
      <c r="B439" s="240" t="str">
        <f>TiposLancamentos!B87</f>
        <v>P207-1.6-XS</v>
      </c>
      <c r="C439" s="878" t="s">
        <v>18601</v>
      </c>
      <c r="D439" s="63"/>
      <c r="E439" s="231">
        <v>184.5</v>
      </c>
      <c r="F439" s="899">
        <v>738</v>
      </c>
      <c r="G439" s="1152" t="s">
        <v>9</v>
      </c>
    </row>
    <row r="440" spans="1:7">
      <c r="A440" s="884">
        <v>43022</v>
      </c>
      <c r="B440" s="240" t="str">
        <f>TiposLancamentos!B17</f>
        <v>GATO</v>
      </c>
      <c r="C440" s="878" t="s">
        <v>12614</v>
      </c>
      <c r="D440" s="63"/>
      <c r="E440" s="231">
        <v>222.77</v>
      </c>
      <c r="F440" s="899"/>
      <c r="G440" s="1152" t="s">
        <v>9</v>
      </c>
    </row>
    <row r="441" spans="1:7">
      <c r="A441" s="884">
        <v>43022</v>
      </c>
      <c r="B441" s="240" t="str">
        <f>TiposLancamentos!B19</f>
        <v>Restaurantes</v>
      </c>
      <c r="C441" s="878" t="s">
        <v>18602</v>
      </c>
      <c r="D441" s="63"/>
      <c r="E441" s="231">
        <v>47.2</v>
      </c>
      <c r="F441" s="899"/>
      <c r="G441" s="1152" t="s">
        <v>9</v>
      </c>
    </row>
    <row r="442" spans="1:7">
      <c r="A442" s="884">
        <v>43022</v>
      </c>
      <c r="B442" s="240" t="str">
        <f>TiposLancamentos!B16</f>
        <v>Cristiane</v>
      </c>
      <c r="C442" s="878" t="s">
        <v>18603</v>
      </c>
      <c r="D442" s="63"/>
      <c r="E442" s="231">
        <v>163</v>
      </c>
      <c r="F442" s="899"/>
      <c r="G442" s="1152" t="s">
        <v>9</v>
      </c>
    </row>
    <row r="443" spans="1:7">
      <c r="A443" s="884">
        <v>43022</v>
      </c>
      <c r="B443" s="240" t="str">
        <f>TiposLancamentos!B5</f>
        <v>Supermercado</v>
      </c>
      <c r="C443" s="878" t="s">
        <v>18604</v>
      </c>
      <c r="D443" s="63"/>
      <c r="E443" s="231">
        <v>37.729999999999997</v>
      </c>
      <c r="F443" s="899"/>
      <c r="G443" s="1152" t="s">
        <v>9</v>
      </c>
    </row>
    <row r="444" spans="1:7">
      <c r="A444" s="884">
        <v>43022</v>
      </c>
      <c r="B444" s="240" t="str">
        <f>TiposLancamentos!B5</f>
        <v>Supermercado</v>
      </c>
      <c r="C444" s="878" t="s">
        <v>6234</v>
      </c>
      <c r="D444" s="63"/>
      <c r="E444" s="231">
        <v>275.39999999999998</v>
      </c>
      <c r="F444" s="899"/>
      <c r="G444" s="1152" t="s">
        <v>9</v>
      </c>
    </row>
    <row r="445" spans="1:7">
      <c r="A445" s="884">
        <v>43023</v>
      </c>
      <c r="B445" s="240" t="str">
        <f>TiposLancamentos!B19</f>
        <v>Restaurantes</v>
      </c>
      <c r="C445" s="878" t="s">
        <v>18605</v>
      </c>
      <c r="D445" s="63"/>
      <c r="E445" s="231">
        <v>82.9</v>
      </c>
      <c r="F445" s="899"/>
      <c r="G445" s="1152" t="s">
        <v>9</v>
      </c>
    </row>
    <row r="446" spans="1:7">
      <c r="A446" s="1272">
        <v>43024</v>
      </c>
      <c r="B446" s="279" t="str">
        <f>TiposLancamentos!B16</f>
        <v>Cristiane</v>
      </c>
      <c r="C446" s="280" t="s">
        <v>18606</v>
      </c>
      <c r="D446" s="281"/>
      <c r="E446" s="1293">
        <f>F446/5</f>
        <v>99</v>
      </c>
      <c r="F446" s="1271">
        <v>495</v>
      </c>
      <c r="G446" s="1152" t="s">
        <v>9</v>
      </c>
    </row>
    <row r="447" spans="1:7">
      <c r="A447" s="884">
        <v>43025</v>
      </c>
      <c r="B447" s="240" t="str">
        <f>TiposLancamentos!B78</f>
        <v>Diferenças</v>
      </c>
      <c r="C447" s="878" t="s">
        <v>18607</v>
      </c>
      <c r="D447" s="63">
        <v>0.36</v>
      </c>
      <c r="E447" s="231"/>
      <c r="F447" s="899"/>
      <c r="G447" s="1152" t="s">
        <v>9</v>
      </c>
    </row>
    <row r="448" spans="1:7">
      <c r="A448" s="934"/>
      <c r="B448" s="243"/>
      <c r="C448" s="389" t="s">
        <v>10</v>
      </c>
      <c r="D448" s="146"/>
      <c r="E448" s="1190"/>
      <c r="F448" s="935"/>
      <c r="G448" s="1094" t="s">
        <v>11</v>
      </c>
    </row>
    <row r="449" spans="1:7">
      <c r="A449" s="884">
        <v>43026</v>
      </c>
      <c r="B449" s="240" t="str">
        <f>TiposLancamentos!B28</f>
        <v>ComicBook</v>
      </c>
      <c r="C449" s="878" t="s">
        <v>18608</v>
      </c>
      <c r="D449" s="63"/>
      <c r="E449" s="231">
        <v>116.32</v>
      </c>
      <c r="F449" s="899"/>
      <c r="G449" s="1152" t="s">
        <v>9</v>
      </c>
    </row>
    <row r="450" spans="1:7">
      <c r="A450" s="884">
        <v>43028</v>
      </c>
      <c r="B450" s="240" t="str">
        <f>TiposLancamentos!B19</f>
        <v>Restaurantes</v>
      </c>
      <c r="C450" s="878" t="s">
        <v>18609</v>
      </c>
      <c r="D450" s="63"/>
      <c r="E450" s="231">
        <v>50.3</v>
      </c>
      <c r="F450" s="899"/>
      <c r="G450" s="1152" t="s">
        <v>9</v>
      </c>
    </row>
    <row r="451" spans="1:7">
      <c r="A451" s="884">
        <v>43029</v>
      </c>
      <c r="B451" s="240" t="str">
        <f>TiposLancamentos!B5</f>
        <v>Supermercado</v>
      </c>
      <c r="C451" s="878" t="s">
        <v>18610</v>
      </c>
      <c r="D451" s="63"/>
      <c r="E451" s="231">
        <v>27.06</v>
      </c>
      <c r="F451" s="899"/>
      <c r="G451" s="1152" t="s">
        <v>9</v>
      </c>
    </row>
    <row r="452" spans="1:7">
      <c r="A452" s="884">
        <v>43029</v>
      </c>
      <c r="B452" s="240" t="str">
        <f>TiposLancamentos!B5</f>
        <v>Supermercado</v>
      </c>
      <c r="C452" s="878" t="s">
        <v>18611</v>
      </c>
      <c r="D452" s="63"/>
      <c r="E452" s="231">
        <v>244.11</v>
      </c>
      <c r="F452" s="899"/>
      <c r="G452" s="1152" t="s">
        <v>9</v>
      </c>
    </row>
    <row r="453" spans="1:7">
      <c r="A453" s="1272">
        <v>43030</v>
      </c>
      <c r="B453" s="279" t="str">
        <f>TiposLancamentos!B34</f>
        <v>Seguros</v>
      </c>
      <c r="C453" s="280" t="s">
        <v>18612</v>
      </c>
      <c r="D453" s="281"/>
      <c r="E453" s="1293">
        <v>335.95</v>
      </c>
      <c r="F453" s="1271">
        <v>1343.83</v>
      </c>
      <c r="G453" s="1152" t="s">
        <v>9</v>
      </c>
    </row>
    <row r="454" spans="1:7">
      <c r="A454" s="884">
        <v>43030</v>
      </c>
      <c r="B454" s="240" t="str">
        <f>TiposLancamentos!B19</f>
        <v>Restaurantes</v>
      </c>
      <c r="C454" s="878" t="s">
        <v>18613</v>
      </c>
      <c r="D454" s="63"/>
      <c r="E454" s="231">
        <v>179.46</v>
      </c>
      <c r="F454" s="899"/>
      <c r="G454" s="1152" t="s">
        <v>9</v>
      </c>
    </row>
    <row r="455" spans="1:7">
      <c r="A455" s="1226">
        <v>43030</v>
      </c>
      <c r="B455" s="1218" t="str">
        <f>TiposLancamentos!B16</f>
        <v>Cristiane</v>
      </c>
      <c r="C455" s="1219" t="s">
        <v>18614</v>
      </c>
      <c r="D455" s="1220"/>
      <c r="E455" s="1221">
        <v>41.9</v>
      </c>
      <c r="F455" s="1227"/>
      <c r="G455" s="1152" t="s">
        <v>9</v>
      </c>
    </row>
    <row r="456" spans="1:7">
      <c r="A456" s="1228">
        <v>43030</v>
      </c>
      <c r="B456" s="1222" t="str">
        <f>TiposLancamentos!B48</f>
        <v>Baralhos e Oráculos</v>
      </c>
      <c r="C456" s="1223" t="s">
        <v>18615</v>
      </c>
      <c r="D456" s="1224"/>
      <c r="E456" s="1225">
        <f>F456-E455</f>
        <v>108.9</v>
      </c>
      <c r="F456" s="1229">
        <v>150.80000000000001</v>
      </c>
      <c r="G456" s="1152" t="s">
        <v>9</v>
      </c>
    </row>
    <row r="457" spans="1:7">
      <c r="A457" s="884">
        <v>43030</v>
      </c>
      <c r="B457" s="240" t="str">
        <f>TiposLancamentos!B16</f>
        <v>Cristiane</v>
      </c>
      <c r="C457" s="878" t="s">
        <v>18616</v>
      </c>
      <c r="D457" s="63"/>
      <c r="E457" s="231">
        <v>364</v>
      </c>
      <c r="F457" s="899"/>
      <c r="G457" s="1152" t="s">
        <v>9</v>
      </c>
    </row>
    <row r="458" spans="1:7">
      <c r="A458" s="884">
        <v>43030</v>
      </c>
      <c r="B458" s="240" t="str">
        <f>TiposLancamentos!B16</f>
        <v>Cristiane</v>
      </c>
      <c r="C458" s="878" t="s">
        <v>18617</v>
      </c>
      <c r="D458" s="63"/>
      <c r="E458" s="231">
        <v>29.99</v>
      </c>
      <c r="F458" s="899"/>
      <c r="G458" s="1152" t="s">
        <v>9</v>
      </c>
    </row>
    <row r="459" spans="1:7">
      <c r="A459" s="884">
        <v>43030</v>
      </c>
      <c r="B459" s="240" t="str">
        <f>TiposLancamentos!B48</f>
        <v>Baralhos e Oráculos</v>
      </c>
      <c r="C459" s="878" t="s">
        <v>18618</v>
      </c>
      <c r="D459" s="63"/>
      <c r="E459" s="231">
        <v>37.799999999999997</v>
      </c>
      <c r="F459" s="899"/>
      <c r="G459" s="1152" t="s">
        <v>9</v>
      </c>
    </row>
    <row r="460" spans="1:7">
      <c r="A460" s="884">
        <v>43030</v>
      </c>
      <c r="B460" s="240" t="str">
        <f>TiposLancamentos!B56</f>
        <v>Farmácia</v>
      </c>
      <c r="C460" s="878" t="s">
        <v>6118</v>
      </c>
      <c r="D460" s="63"/>
      <c r="E460" s="231">
        <v>74.16</v>
      </c>
      <c r="F460" s="899"/>
      <c r="G460" s="1152" t="s">
        <v>9</v>
      </c>
    </row>
    <row r="461" spans="1:7">
      <c r="A461" s="884">
        <v>43031</v>
      </c>
      <c r="B461" s="240" t="str">
        <f>TiposLancamentos!B71</f>
        <v>Itens Pessoais</v>
      </c>
      <c r="C461" s="878" t="s">
        <v>18619</v>
      </c>
      <c r="D461" s="63"/>
      <c r="E461" s="231">
        <v>97.54</v>
      </c>
      <c r="F461" s="899"/>
      <c r="G461" s="1152" t="s">
        <v>9</v>
      </c>
    </row>
    <row r="462" spans="1:7">
      <c r="A462" s="1226">
        <v>43031</v>
      </c>
      <c r="B462" s="1218" t="str">
        <f>TiposLancamentos!B16</f>
        <v>Cristiane</v>
      </c>
      <c r="C462" s="1219" t="s">
        <v>18620</v>
      </c>
      <c r="D462" s="1220"/>
      <c r="E462" s="1221">
        <f>(2*14.99)+16.99</f>
        <v>46.97</v>
      </c>
      <c r="F462" s="1227"/>
      <c r="G462" s="1152" t="s">
        <v>9</v>
      </c>
    </row>
    <row r="463" spans="1:7">
      <c r="A463" s="1228">
        <v>43031</v>
      </c>
      <c r="B463" s="1222" t="str">
        <f>TiposLancamentos!B18</f>
        <v>Alimentacao</v>
      </c>
      <c r="C463" s="1223" t="s">
        <v>18621</v>
      </c>
      <c r="D463" s="1224"/>
      <c r="E463" s="1225">
        <f>F463-E462</f>
        <v>4.990000000000002</v>
      </c>
      <c r="F463" s="1229">
        <v>51.96</v>
      </c>
      <c r="G463" s="1152" t="s">
        <v>9</v>
      </c>
    </row>
    <row r="464" spans="1:7">
      <c r="A464" s="884">
        <v>43031</v>
      </c>
      <c r="B464" s="240" t="str">
        <f>TiposLancamentos!B71</f>
        <v>Itens Pessoais</v>
      </c>
      <c r="C464" s="878" t="s">
        <v>18622</v>
      </c>
      <c r="D464" s="63"/>
      <c r="E464" s="231">
        <v>25</v>
      </c>
      <c r="F464" s="899"/>
      <c r="G464" s="1152" t="s">
        <v>9</v>
      </c>
    </row>
    <row r="465" spans="1:7">
      <c r="A465" s="1272">
        <v>43032</v>
      </c>
      <c r="B465" s="279" t="str">
        <f>TiposLancamentos!B16</f>
        <v>Cristiane</v>
      </c>
      <c r="C465" s="280" t="s">
        <v>18623</v>
      </c>
      <c r="D465" s="281"/>
      <c r="E465" s="1293">
        <v>133.69999999999999</v>
      </c>
      <c r="F465" s="1271"/>
      <c r="G465" s="1152" t="s">
        <v>9</v>
      </c>
    </row>
    <row r="466" spans="1:7">
      <c r="A466" s="1249">
        <v>43032</v>
      </c>
      <c r="B466" s="1218" t="str">
        <f>TiposLancamentos!B26</f>
        <v>LIVROS</v>
      </c>
      <c r="C466" s="1219" t="s">
        <v>18624</v>
      </c>
      <c r="D466" s="1220"/>
      <c r="E466" s="1221">
        <v>33.17</v>
      </c>
      <c r="F466" s="1227"/>
      <c r="G466" s="1152" t="s">
        <v>9</v>
      </c>
    </row>
    <row r="467" spans="1:7">
      <c r="A467" s="1264">
        <v>43032</v>
      </c>
      <c r="B467" s="1259" t="str">
        <f>TiposLancamentos!B26</f>
        <v>LIVROS</v>
      </c>
      <c r="C467" s="1260" t="s">
        <v>18625</v>
      </c>
      <c r="D467" s="1261"/>
      <c r="E467" s="1262">
        <v>25.53</v>
      </c>
      <c r="F467" s="1263"/>
      <c r="G467" s="1152" t="s">
        <v>9</v>
      </c>
    </row>
    <row r="468" spans="1:7">
      <c r="A468" s="1253">
        <v>43032</v>
      </c>
      <c r="B468" s="1222" t="str">
        <f>TiposLancamentos!B26</f>
        <v>LIVROS</v>
      </c>
      <c r="C468" s="1223" t="s">
        <v>18626</v>
      </c>
      <c r="D468" s="1224"/>
      <c r="E468" s="1225">
        <v>40.840000000000003</v>
      </c>
      <c r="F468" s="1229">
        <v>99.54</v>
      </c>
      <c r="G468" s="1152" t="s">
        <v>9</v>
      </c>
    </row>
    <row r="469" spans="1:7">
      <c r="A469" s="884">
        <v>43033</v>
      </c>
      <c r="B469" s="240" t="str">
        <f>TiposLancamentos!B5</f>
        <v>Supermercado</v>
      </c>
      <c r="C469" s="878" t="s">
        <v>6414</v>
      </c>
      <c r="D469" s="63"/>
      <c r="E469" s="231">
        <v>60.58</v>
      </c>
      <c r="F469" s="899"/>
      <c r="G469" s="1152" t="s">
        <v>9</v>
      </c>
    </row>
    <row r="470" spans="1:7">
      <c r="A470" s="884">
        <v>43033</v>
      </c>
      <c r="B470" s="240" t="str">
        <f>TiposLancamentos!B26</f>
        <v>LIVROS</v>
      </c>
      <c r="C470" s="878" t="s">
        <v>18627</v>
      </c>
      <c r="D470" s="63"/>
      <c r="E470" s="231">
        <v>47.63</v>
      </c>
      <c r="F470" s="899"/>
      <c r="G470" s="1152" t="s">
        <v>9</v>
      </c>
    </row>
    <row r="471" spans="1:7">
      <c r="A471" s="884">
        <v>43033</v>
      </c>
      <c r="B471" s="240" t="str">
        <f>TiposLancamentos!B48</f>
        <v>Baralhos e Oráculos</v>
      </c>
      <c r="C471" s="878" t="s">
        <v>18628</v>
      </c>
      <c r="D471" s="63"/>
      <c r="E471" s="231">
        <v>67.45</v>
      </c>
      <c r="F471" s="899"/>
      <c r="G471" s="1152" t="s">
        <v>9</v>
      </c>
    </row>
    <row r="472" spans="1:7">
      <c r="A472" s="884">
        <v>43034</v>
      </c>
      <c r="B472" s="240" t="str">
        <f>TiposLancamentos!B71</f>
        <v>Itens Pessoais</v>
      </c>
      <c r="C472" s="878" t="s">
        <v>18629</v>
      </c>
      <c r="D472" s="63"/>
      <c r="E472" s="231">
        <v>40</v>
      </c>
      <c r="F472" s="899"/>
      <c r="G472" s="1152" t="s">
        <v>9</v>
      </c>
    </row>
    <row r="473" spans="1:7">
      <c r="A473" s="884">
        <v>43034</v>
      </c>
      <c r="B473" s="240" t="str">
        <f>TiposLancamentos!B56</f>
        <v>Farmácia</v>
      </c>
      <c r="C473" s="878" t="s">
        <v>18630</v>
      </c>
      <c r="D473" s="63"/>
      <c r="E473" s="231">
        <v>6.4</v>
      </c>
      <c r="F473" s="899"/>
      <c r="G473" s="1152" t="s">
        <v>9</v>
      </c>
    </row>
    <row r="474" spans="1:7">
      <c r="A474" s="884">
        <v>43034</v>
      </c>
      <c r="B474" s="240" t="str">
        <f>TiposLancamentos!B56</f>
        <v>Farmácia</v>
      </c>
      <c r="C474" s="878" t="s">
        <v>18631</v>
      </c>
      <c r="D474" s="63"/>
      <c r="E474" s="231">
        <v>24.72</v>
      </c>
      <c r="F474" s="899"/>
      <c r="G474" s="1152" t="s">
        <v>9</v>
      </c>
    </row>
    <row r="475" spans="1:7">
      <c r="A475" s="884">
        <v>43035</v>
      </c>
      <c r="B475" s="240" t="str">
        <f>TiposLancamentos!B19</f>
        <v>Restaurantes</v>
      </c>
      <c r="C475" s="878" t="s">
        <v>7000</v>
      </c>
      <c r="D475" s="63"/>
      <c r="E475" s="231">
        <v>7.9</v>
      </c>
      <c r="F475" s="899"/>
      <c r="G475" s="1152" t="s">
        <v>9</v>
      </c>
    </row>
    <row r="476" spans="1:7">
      <c r="A476" s="884">
        <v>43035</v>
      </c>
      <c r="B476" s="240" t="str">
        <f>TiposLancamentos!B19</f>
        <v>Restaurantes</v>
      </c>
      <c r="C476" s="878" t="s">
        <v>17688</v>
      </c>
      <c r="D476" s="63"/>
      <c r="E476" s="231">
        <v>9.1999999999999993</v>
      </c>
      <c r="F476" s="899"/>
      <c r="G476" s="1152" t="s">
        <v>9</v>
      </c>
    </row>
    <row r="477" spans="1:7">
      <c r="A477" s="1272">
        <v>43036</v>
      </c>
      <c r="B477" s="279" t="str">
        <f>TiposLancamentos!B16</f>
        <v>Cristiane</v>
      </c>
      <c r="C477" s="280" t="s">
        <v>18632</v>
      </c>
      <c r="D477" s="281"/>
      <c r="E477" s="1293">
        <v>184.9</v>
      </c>
      <c r="F477" s="1271"/>
      <c r="G477" s="1152" t="s">
        <v>9</v>
      </c>
    </row>
    <row r="478" spans="1:7">
      <c r="A478" s="884">
        <v>43036</v>
      </c>
      <c r="B478" s="240" t="str">
        <f>TiposLancamentos!B19</f>
        <v>Restaurantes</v>
      </c>
      <c r="C478" s="878" t="s">
        <v>10705</v>
      </c>
      <c r="D478" s="63"/>
      <c r="E478" s="231">
        <v>69.5</v>
      </c>
      <c r="F478" s="899"/>
      <c r="G478" s="1152" t="s">
        <v>9</v>
      </c>
    </row>
    <row r="479" spans="1:7">
      <c r="A479" s="884">
        <v>43036</v>
      </c>
      <c r="B479" s="240" t="str">
        <f>TiposLancamentos!B57</f>
        <v>Informática</v>
      </c>
      <c r="C479" s="878" t="s">
        <v>18633</v>
      </c>
      <c r="D479" s="63"/>
      <c r="E479" s="231">
        <v>49.9</v>
      </c>
      <c r="F479" s="899"/>
      <c r="G479" s="1152" t="s">
        <v>9</v>
      </c>
    </row>
    <row r="480" spans="1:7">
      <c r="A480" s="1272">
        <v>43036</v>
      </c>
      <c r="B480" s="279" t="str">
        <f>TiposLancamentos!B16</f>
        <v>Cristiane</v>
      </c>
      <c r="C480" s="280" t="s">
        <v>18634</v>
      </c>
      <c r="D480" s="281"/>
      <c r="E480" s="1293">
        <v>109.9</v>
      </c>
      <c r="F480" s="1271"/>
      <c r="G480" s="1152" t="s">
        <v>9</v>
      </c>
    </row>
    <row r="481" spans="1:7">
      <c r="A481" s="884">
        <v>43036</v>
      </c>
      <c r="B481" s="240" t="str">
        <f>TiposLancamentos!B5</f>
        <v>Supermercado</v>
      </c>
      <c r="C481" s="878" t="s">
        <v>6201</v>
      </c>
      <c r="D481" s="63"/>
      <c r="E481" s="231">
        <v>144.07</v>
      </c>
      <c r="F481" s="899"/>
      <c r="G481" s="1152" t="s">
        <v>9</v>
      </c>
    </row>
    <row r="482" spans="1:7">
      <c r="A482" s="884">
        <v>43037</v>
      </c>
      <c r="B482" s="240" t="str">
        <f>TiposLancamentos!B5</f>
        <v>Supermercado</v>
      </c>
      <c r="C482" s="878" t="s">
        <v>6234</v>
      </c>
      <c r="D482" s="63"/>
      <c r="E482" s="231">
        <v>68.39</v>
      </c>
      <c r="F482" s="899"/>
      <c r="G482" s="1152" t="s">
        <v>9</v>
      </c>
    </row>
    <row r="483" spans="1:7">
      <c r="A483" s="1249">
        <v>43039</v>
      </c>
      <c r="B483" s="1218" t="str">
        <f>TiposLancamentos!B57</f>
        <v>Informática</v>
      </c>
      <c r="C483" s="1219" t="s">
        <v>18635</v>
      </c>
      <c r="D483" s="1220"/>
      <c r="E483" s="1221">
        <v>180</v>
      </c>
      <c r="F483" s="1227"/>
      <c r="G483" s="1152" t="s">
        <v>9</v>
      </c>
    </row>
    <row r="484" spans="1:7">
      <c r="A484" s="1264">
        <v>43039</v>
      </c>
      <c r="B484" s="1259" t="str">
        <f>TiposLancamentos!B57</f>
        <v>Informática</v>
      </c>
      <c r="C484" s="1260" t="s">
        <v>18636</v>
      </c>
      <c r="D484" s="1261"/>
      <c r="E484" s="1262">
        <v>50.9</v>
      </c>
      <c r="F484" s="1263"/>
      <c r="G484" s="1152" t="s">
        <v>9</v>
      </c>
    </row>
    <row r="485" spans="1:7">
      <c r="A485" s="1253">
        <v>43039</v>
      </c>
      <c r="B485" s="1222" t="str">
        <f>TiposLancamentos!B57</f>
        <v>Informática</v>
      </c>
      <c r="C485" s="1223" t="s">
        <v>18637</v>
      </c>
      <c r="D485" s="1224"/>
      <c r="E485" s="1225">
        <v>84.89</v>
      </c>
      <c r="F485" s="1229">
        <f>SUM(E483:E485)</f>
        <v>315.79000000000002</v>
      </c>
      <c r="G485" s="1152" t="s">
        <v>9</v>
      </c>
    </row>
    <row r="486" spans="1:7" ht="14.25" thickBot="1">
      <c r="A486" s="884"/>
      <c r="B486" s="240"/>
      <c r="C486" s="878"/>
      <c r="D486" s="63"/>
      <c r="E486" s="231"/>
      <c r="F486" s="899"/>
      <c r="G486" s="3"/>
    </row>
    <row r="487" spans="1:7">
      <c r="A487" s="1032"/>
      <c r="B487" s="1230"/>
      <c r="C487" s="906" t="s">
        <v>13785</v>
      </c>
      <c r="D487" s="896"/>
      <c r="E487" s="925"/>
      <c r="F487" s="898">
        <f>SUM(E374:E447)-D447</f>
        <v>6508.3099999999986</v>
      </c>
      <c r="G487" s="3"/>
    </row>
    <row r="488" spans="1:7">
      <c r="A488" s="1272">
        <v>43040</v>
      </c>
      <c r="B488" s="279" t="str">
        <f>TiposLancamentos!B4</f>
        <v>Taxas Bancarias</v>
      </c>
      <c r="C488" s="280" t="s">
        <v>18638</v>
      </c>
      <c r="D488" s="281"/>
      <c r="E488" s="1293">
        <v>0.41</v>
      </c>
      <c r="F488" s="1271"/>
      <c r="G488" s="1152" t="s">
        <v>9</v>
      </c>
    </row>
    <row r="489" spans="1:7">
      <c r="A489" s="884">
        <v>43040</v>
      </c>
      <c r="B489" s="240" t="str">
        <f>TiposLancamentos!B5</f>
        <v>Supermercado</v>
      </c>
      <c r="C489" s="878" t="s">
        <v>16846</v>
      </c>
      <c r="D489" s="63"/>
      <c r="E489" s="231">
        <v>20.94</v>
      </c>
      <c r="F489" s="899">
        <f>F487-F407</f>
        <v>4052.5366666666655</v>
      </c>
      <c r="G489" s="1152" t="s">
        <v>9</v>
      </c>
    </row>
    <row r="490" spans="1:7">
      <c r="A490" s="884">
        <v>43040</v>
      </c>
      <c r="B490" s="240" t="str">
        <f>TiposLancamentos!B15</f>
        <v>Cartões de Crédito</v>
      </c>
      <c r="C490" s="878" t="s">
        <v>1874</v>
      </c>
      <c r="D490" s="63">
        <v>6508.31</v>
      </c>
      <c r="E490" s="231"/>
      <c r="F490" s="899"/>
      <c r="G490" s="1152" t="s">
        <v>9</v>
      </c>
    </row>
    <row r="491" spans="1:7">
      <c r="A491" s="884">
        <v>43040</v>
      </c>
      <c r="B491" s="240" t="str">
        <f>TiposLancamentos!B57</f>
        <v>Informática</v>
      </c>
      <c r="C491" s="878" t="s">
        <v>18639</v>
      </c>
      <c r="D491" s="63"/>
      <c r="E491" s="231">
        <v>48.88</v>
      </c>
      <c r="F491" s="899"/>
      <c r="G491" s="1152" t="s">
        <v>9</v>
      </c>
    </row>
    <row r="492" spans="1:7">
      <c r="A492" s="1226">
        <v>43040</v>
      </c>
      <c r="B492" s="1218" t="str">
        <f>TiposLancamentos!B70</f>
        <v>Vestuário</v>
      </c>
      <c r="C492" s="1219" t="s">
        <v>18640</v>
      </c>
      <c r="D492" s="1220"/>
      <c r="E492" s="1221">
        <f>F492/3</f>
        <v>49.666666666666664</v>
      </c>
      <c r="F492" s="1227">
        <v>149</v>
      </c>
      <c r="G492" s="1152" t="s">
        <v>9</v>
      </c>
    </row>
    <row r="493" spans="1:7">
      <c r="A493" s="1228">
        <v>43040</v>
      </c>
      <c r="B493" s="1222" t="str">
        <f>TiposLancamentos!B16</f>
        <v>Cristiane</v>
      </c>
      <c r="C493" s="1223" t="s">
        <v>18640</v>
      </c>
      <c r="D493" s="1224"/>
      <c r="E493" s="1225">
        <f>F493/3</f>
        <v>56.333333333333336</v>
      </c>
      <c r="F493" s="1229">
        <v>169</v>
      </c>
      <c r="G493" s="1152" t="s">
        <v>9</v>
      </c>
    </row>
    <row r="494" spans="1:7">
      <c r="A494" s="884">
        <v>43041</v>
      </c>
      <c r="B494" s="240" t="str">
        <f>TiposLancamentos!B26</f>
        <v>LIVROS</v>
      </c>
      <c r="C494" s="878" t="s">
        <v>18641</v>
      </c>
      <c r="D494" s="63"/>
      <c r="E494" s="231">
        <v>107.73</v>
      </c>
      <c r="F494" s="899"/>
      <c r="G494" s="1152" t="s">
        <v>9</v>
      </c>
    </row>
    <row r="495" spans="1:7">
      <c r="A495" s="884">
        <v>43041</v>
      </c>
      <c r="B495" s="240" t="str">
        <f>TiposLancamentos!B19</f>
        <v>Restaurantes</v>
      </c>
      <c r="C495" s="878" t="s">
        <v>6952</v>
      </c>
      <c r="D495" s="63"/>
      <c r="E495" s="231">
        <v>137</v>
      </c>
      <c r="F495" s="899"/>
      <c r="G495" s="1152" t="s">
        <v>9</v>
      </c>
    </row>
    <row r="496" spans="1:7">
      <c r="A496" s="1226">
        <v>43041</v>
      </c>
      <c r="B496" s="1218" t="str">
        <f>TiposLancamentos!B16</f>
        <v>Cristiane</v>
      </c>
      <c r="C496" s="1219" t="s">
        <v>18642</v>
      </c>
      <c r="D496" s="1220"/>
      <c r="E496" s="1221">
        <f>F497-E497</f>
        <v>38.200000000000003</v>
      </c>
      <c r="F496" s="1227"/>
      <c r="G496" s="1152" t="s">
        <v>9</v>
      </c>
    </row>
    <row r="497" spans="1:7">
      <c r="A497" s="1228">
        <v>43041</v>
      </c>
      <c r="B497" s="1222" t="str">
        <f>TiposLancamentos!B71</f>
        <v>Itens Pessoais</v>
      </c>
      <c r="C497" s="1223" t="s">
        <v>18643</v>
      </c>
      <c r="D497" s="1224"/>
      <c r="E497" s="1225">
        <f>(24.5*2)</f>
        <v>49</v>
      </c>
      <c r="F497" s="1229">
        <v>87.2</v>
      </c>
      <c r="G497" s="1152" t="s">
        <v>9</v>
      </c>
    </row>
    <row r="498" spans="1:7">
      <c r="A498" s="1272">
        <v>43041</v>
      </c>
      <c r="B498" s="279" t="str">
        <f>TiposLancamentos!B16</f>
        <v>Cristiane</v>
      </c>
      <c r="C498" s="280" t="s">
        <v>18644</v>
      </c>
      <c r="D498" s="281"/>
      <c r="E498" s="1293">
        <v>150</v>
      </c>
      <c r="F498" s="1271"/>
      <c r="G498" s="1152" t="s">
        <v>9</v>
      </c>
    </row>
    <row r="499" spans="1:7">
      <c r="A499" s="884">
        <v>43041</v>
      </c>
      <c r="B499" s="240" t="str">
        <f>TiposLancamentos!B19</f>
        <v>Restaurantes</v>
      </c>
      <c r="C499" s="878" t="s">
        <v>18645</v>
      </c>
      <c r="D499" s="63"/>
      <c r="E499" s="231">
        <v>46.97</v>
      </c>
      <c r="F499" s="899"/>
      <c r="G499" s="1152" t="s">
        <v>9</v>
      </c>
    </row>
    <row r="500" spans="1:7">
      <c r="A500" s="884">
        <v>43041</v>
      </c>
      <c r="B500" s="240" t="str">
        <f>TiposLancamentos!B19</f>
        <v>Restaurantes</v>
      </c>
      <c r="C500" s="878" t="s">
        <v>18646</v>
      </c>
      <c r="D500" s="63"/>
      <c r="E500" s="231">
        <v>58.36</v>
      </c>
      <c r="F500" s="899"/>
      <c r="G500" s="1152" t="s">
        <v>9</v>
      </c>
    </row>
    <row r="501" spans="1:7">
      <c r="A501" s="884">
        <v>43042</v>
      </c>
      <c r="B501" s="240" t="str">
        <f>TiposLancamentos!B5</f>
        <v>Supermercado</v>
      </c>
      <c r="C501" s="878" t="s">
        <v>5844</v>
      </c>
      <c r="D501" s="63"/>
      <c r="E501" s="231">
        <v>45.43</v>
      </c>
      <c r="F501" s="899"/>
      <c r="G501" s="1152" t="s">
        <v>9</v>
      </c>
    </row>
    <row r="502" spans="1:7">
      <c r="A502" s="884">
        <v>43042</v>
      </c>
      <c r="B502" s="240" t="str">
        <f>TiposLancamentos!B87</f>
        <v>P207-1.6-XS</v>
      </c>
      <c r="C502" s="878" t="s">
        <v>18647</v>
      </c>
      <c r="D502" s="63"/>
      <c r="E502" s="231">
        <v>376.66</v>
      </c>
      <c r="F502" s="899">
        <v>2260</v>
      </c>
      <c r="G502" s="1152" t="s">
        <v>9</v>
      </c>
    </row>
    <row r="503" spans="1:7">
      <c r="A503" s="884">
        <v>43043</v>
      </c>
      <c r="B503" s="240" t="str">
        <f>TiposLancamentos!B87</f>
        <v>P207-1.6-XS</v>
      </c>
      <c r="C503" s="878" t="s">
        <v>6234</v>
      </c>
      <c r="D503" s="63"/>
      <c r="E503" s="231">
        <v>70.03</v>
      </c>
      <c r="F503" s="899"/>
      <c r="G503" s="1152" t="s">
        <v>9</v>
      </c>
    </row>
    <row r="504" spans="1:7">
      <c r="A504" s="884">
        <v>43043</v>
      </c>
      <c r="B504" s="240" t="str">
        <f>TiposLancamentos!B19</f>
        <v>Restaurantes</v>
      </c>
      <c r="C504" s="878" t="s">
        <v>7377</v>
      </c>
      <c r="D504" s="63"/>
      <c r="E504" s="231">
        <v>65.78</v>
      </c>
      <c r="F504" s="899"/>
      <c r="G504" s="1152" t="s">
        <v>9</v>
      </c>
    </row>
    <row r="505" spans="1:7">
      <c r="A505" s="1226">
        <v>43043</v>
      </c>
      <c r="B505" s="1218" t="str">
        <f>TiposLancamentos!B16</f>
        <v>Cristiane</v>
      </c>
      <c r="C505" s="1219" t="s">
        <v>18648</v>
      </c>
      <c r="D505" s="1220"/>
      <c r="E505" s="1221">
        <v>44.9</v>
      </c>
      <c r="F505" s="1227"/>
      <c r="G505" s="1152" t="s">
        <v>9</v>
      </c>
    </row>
    <row r="506" spans="1:7">
      <c r="A506" s="1228">
        <v>43043</v>
      </c>
      <c r="B506" s="1222" t="str">
        <f>B492</f>
        <v>Vestuário</v>
      </c>
      <c r="C506" s="1223" t="s">
        <v>18649</v>
      </c>
      <c r="D506" s="1224"/>
      <c r="E506" s="1225">
        <f>F506-E505</f>
        <v>67.900000000000006</v>
      </c>
      <c r="F506" s="1229">
        <v>112.8</v>
      </c>
      <c r="G506" s="1152" t="s">
        <v>9</v>
      </c>
    </row>
    <row r="507" spans="1:7">
      <c r="A507" s="884">
        <v>43043</v>
      </c>
      <c r="B507" s="240" t="str">
        <f>TiposLancamentos!B16</f>
        <v>Cristiane</v>
      </c>
      <c r="C507" s="878" t="s">
        <v>18650</v>
      </c>
      <c r="D507" s="63"/>
      <c r="E507" s="231">
        <v>17.41</v>
      </c>
      <c r="F507" s="899"/>
      <c r="G507" s="1152" t="s">
        <v>9</v>
      </c>
    </row>
    <row r="508" spans="1:7">
      <c r="A508" s="884">
        <v>43043</v>
      </c>
      <c r="B508" s="240" t="str">
        <f>TiposLancamentos!B48</f>
        <v>Baralhos e Oráculos</v>
      </c>
      <c r="C508" s="878" t="s">
        <v>18651</v>
      </c>
      <c r="D508" s="63"/>
      <c r="E508" s="231">
        <v>137.1</v>
      </c>
      <c r="F508" s="899"/>
      <c r="G508" s="1152" t="s">
        <v>9</v>
      </c>
    </row>
    <row r="509" spans="1:7">
      <c r="A509" s="884">
        <v>43043</v>
      </c>
      <c r="B509" s="240" t="str">
        <f>TiposLancamentos!B71</f>
        <v>Itens Pessoais</v>
      </c>
      <c r="C509" s="878" t="s">
        <v>18652</v>
      </c>
      <c r="D509" s="63"/>
      <c r="E509" s="231">
        <v>211.6</v>
      </c>
      <c r="F509" s="899"/>
      <c r="G509" s="1152" t="s">
        <v>9</v>
      </c>
    </row>
    <row r="510" spans="1:7">
      <c r="A510" s="884">
        <v>43044</v>
      </c>
      <c r="B510" s="240" t="str">
        <f>TiposLancamentos!B19</f>
        <v>Restaurantes</v>
      </c>
      <c r="C510" s="878" t="s">
        <v>18653</v>
      </c>
      <c r="D510" s="63"/>
      <c r="E510" s="231">
        <v>119.35</v>
      </c>
      <c r="F510" s="899"/>
      <c r="G510" s="1152" t="s">
        <v>9</v>
      </c>
    </row>
    <row r="511" spans="1:7">
      <c r="A511" s="1272">
        <v>43044</v>
      </c>
      <c r="B511" s="279" t="str">
        <f>TiposLancamentos!B16</f>
        <v>Cristiane</v>
      </c>
      <c r="C511" s="280" t="s">
        <v>18654</v>
      </c>
      <c r="D511" s="281"/>
      <c r="E511" s="1293">
        <v>69.8</v>
      </c>
      <c r="F511" s="1271"/>
      <c r="G511" s="1152" t="s">
        <v>9</v>
      </c>
    </row>
    <row r="512" spans="1:7">
      <c r="A512" s="1272">
        <v>43044</v>
      </c>
      <c r="B512" s="279" t="str">
        <f>TiposLancamentos!B16</f>
        <v>Cristiane</v>
      </c>
      <c r="C512" s="280" t="s">
        <v>16777</v>
      </c>
      <c r="D512" s="281"/>
      <c r="E512" s="1293">
        <v>139.9</v>
      </c>
      <c r="F512" s="1271"/>
      <c r="G512" s="1152" t="s">
        <v>9</v>
      </c>
    </row>
    <row r="513" spans="1:7">
      <c r="A513" s="1272">
        <v>43044</v>
      </c>
      <c r="B513" s="279" t="str">
        <f>TiposLancamentos!B16</f>
        <v>Cristiane</v>
      </c>
      <c r="C513" s="280" t="s">
        <v>18655</v>
      </c>
      <c r="D513" s="281"/>
      <c r="E513" s="1293">
        <v>234.2</v>
      </c>
      <c r="F513" s="1271"/>
      <c r="G513" s="1152" t="s">
        <v>9</v>
      </c>
    </row>
    <row r="514" spans="1:7">
      <c r="A514" s="1272">
        <v>43044</v>
      </c>
      <c r="B514" s="279" t="str">
        <f>TiposLancamentos!B16</f>
        <v>Cristiane</v>
      </c>
      <c r="C514" s="280" t="s">
        <v>18656</v>
      </c>
      <c r="D514" s="281"/>
      <c r="E514" s="1293">
        <v>184.96</v>
      </c>
      <c r="F514" s="1271"/>
      <c r="G514" s="1152" t="s">
        <v>9</v>
      </c>
    </row>
    <row r="515" spans="1:7">
      <c r="A515" s="1272">
        <v>43044</v>
      </c>
      <c r="B515" s="279" t="str">
        <f>TiposLancamentos!B5</f>
        <v>Supermercado</v>
      </c>
      <c r="C515" s="280" t="s">
        <v>18657</v>
      </c>
      <c r="D515" s="281"/>
      <c r="E515" s="1293">
        <v>70.55</v>
      </c>
      <c r="F515" s="1271"/>
      <c r="G515" s="1152" t="s">
        <v>9</v>
      </c>
    </row>
    <row r="516" spans="1:7">
      <c r="A516" s="1272">
        <v>43045</v>
      </c>
      <c r="B516" s="279" t="str">
        <f>TiposLancamentos!B16</f>
        <v>Cristiane</v>
      </c>
      <c r="C516" s="280" t="s">
        <v>18658</v>
      </c>
      <c r="D516" s="281"/>
      <c r="E516" s="1293">
        <v>69.98</v>
      </c>
      <c r="F516" s="1271"/>
      <c r="G516" s="1152" t="s">
        <v>9</v>
      </c>
    </row>
    <row r="517" spans="1:7">
      <c r="A517" s="884">
        <v>43046</v>
      </c>
      <c r="B517" s="240" t="str">
        <f>TiposLancamentos!B5</f>
        <v>Supermercado</v>
      </c>
      <c r="C517" s="878" t="s">
        <v>18040</v>
      </c>
      <c r="D517" s="63"/>
      <c r="E517" s="231">
        <v>17.829999999999998</v>
      </c>
      <c r="F517" s="899"/>
      <c r="G517" s="1152" t="s">
        <v>9</v>
      </c>
    </row>
    <row r="518" spans="1:7">
      <c r="A518" s="884">
        <v>43046</v>
      </c>
      <c r="B518" s="240" t="str">
        <f>TiposLancamentos!B48</f>
        <v>Baralhos e Oráculos</v>
      </c>
      <c r="C518" s="878" t="s">
        <v>18659</v>
      </c>
      <c r="D518" s="63"/>
      <c r="E518" s="231">
        <v>90</v>
      </c>
      <c r="F518" s="899"/>
      <c r="G518" s="1152" t="s">
        <v>9</v>
      </c>
    </row>
    <row r="519" spans="1:7">
      <c r="A519" s="884">
        <v>43047</v>
      </c>
      <c r="B519" s="240" t="str">
        <f>TiposLancamentos!B5</f>
        <v>Supermercado</v>
      </c>
      <c r="C519" s="878" t="s">
        <v>6234</v>
      </c>
      <c r="D519" s="63"/>
      <c r="E519" s="231">
        <v>84.3</v>
      </c>
      <c r="F519" s="899"/>
      <c r="G519" s="1152" t="s">
        <v>9</v>
      </c>
    </row>
    <row r="520" spans="1:7">
      <c r="A520" s="1249">
        <v>43047</v>
      </c>
      <c r="B520" s="1218" t="str">
        <f>TiposLancamentos!B48</f>
        <v>Baralhos e Oráculos</v>
      </c>
      <c r="C520" s="1219" t="s">
        <v>18660</v>
      </c>
      <c r="D520" s="1220"/>
      <c r="E520" s="1221">
        <f>114.6*0.9</f>
        <v>103.14</v>
      </c>
      <c r="F520" s="1227"/>
      <c r="G520" s="1152" t="s">
        <v>9</v>
      </c>
    </row>
    <row r="521" spans="1:7">
      <c r="A521" s="1264">
        <v>43047</v>
      </c>
      <c r="B521" s="1259" t="str">
        <f>TiposLancamentos!B48</f>
        <v>Baralhos e Oráculos</v>
      </c>
      <c r="C521" s="1260" t="s">
        <v>18661</v>
      </c>
      <c r="D521" s="1261"/>
      <c r="E521" s="1262">
        <f>124.8*0.9</f>
        <v>112.32</v>
      </c>
      <c r="F521" s="1263"/>
      <c r="G521" s="1152" t="s">
        <v>9</v>
      </c>
    </row>
    <row r="522" spans="1:7">
      <c r="A522" s="1253">
        <v>43047</v>
      </c>
      <c r="B522" s="1222" t="str">
        <f>TiposLancamentos!B48</f>
        <v>Baralhos e Oráculos</v>
      </c>
      <c r="C522" s="1223" t="s">
        <v>18662</v>
      </c>
      <c r="D522" s="1224"/>
      <c r="E522" s="1225">
        <f>116*0.9</f>
        <v>104.4</v>
      </c>
      <c r="F522" s="1229">
        <f>SUM(E520:E522)</f>
        <v>319.86</v>
      </c>
      <c r="G522" s="1152" t="s">
        <v>9</v>
      </c>
    </row>
    <row r="523" spans="1:7">
      <c r="A523" s="1272">
        <v>43048</v>
      </c>
      <c r="B523" s="279" t="str">
        <f>TiposLancamentos!B5</f>
        <v>Supermercado</v>
      </c>
      <c r="C523" s="280" t="s">
        <v>17032</v>
      </c>
      <c r="D523" s="281"/>
      <c r="E523" s="1293">
        <v>78.13</v>
      </c>
      <c r="F523" s="1271"/>
      <c r="G523" s="1152" t="s">
        <v>9</v>
      </c>
    </row>
    <row r="524" spans="1:7">
      <c r="A524" s="884">
        <v>43049</v>
      </c>
      <c r="B524" s="240" t="str">
        <f>TiposLancamentos!B5</f>
        <v>Supermercado</v>
      </c>
      <c r="C524" s="878" t="s">
        <v>18663</v>
      </c>
      <c r="D524" s="63"/>
      <c r="E524" s="231">
        <v>39.229999999999997</v>
      </c>
      <c r="F524" s="899"/>
      <c r="G524" s="1152" t="s">
        <v>9</v>
      </c>
    </row>
    <row r="525" spans="1:7">
      <c r="A525" s="884">
        <v>43049</v>
      </c>
      <c r="B525" s="240" t="str">
        <f>TiposLancamentos!B62</f>
        <v>Papelaria</v>
      </c>
      <c r="C525" s="878" t="s">
        <v>18664</v>
      </c>
      <c r="D525" s="63"/>
      <c r="E525" s="231">
        <v>16.7</v>
      </c>
      <c r="F525" s="899"/>
      <c r="G525" s="1152" t="s">
        <v>9</v>
      </c>
    </row>
    <row r="526" spans="1:7">
      <c r="A526" s="884">
        <v>43049</v>
      </c>
      <c r="B526" s="240" t="str">
        <f>TiposLancamentos!B19</f>
        <v>Restaurantes</v>
      </c>
      <c r="C526" s="878" t="s">
        <v>18665</v>
      </c>
      <c r="D526" s="63"/>
      <c r="E526" s="231">
        <v>89.42</v>
      </c>
      <c r="F526" s="899"/>
      <c r="G526" s="1152" t="s">
        <v>9</v>
      </c>
    </row>
    <row r="527" spans="1:7">
      <c r="A527" s="884">
        <v>43049</v>
      </c>
      <c r="B527" s="240" t="str">
        <f>TiposLancamentos!B56</f>
        <v>Farmácia</v>
      </c>
      <c r="C527" s="878" t="s">
        <v>18666</v>
      </c>
      <c r="D527" s="63"/>
      <c r="E527" s="231">
        <v>50.82</v>
      </c>
      <c r="F527" s="899"/>
      <c r="G527" s="1152" t="s">
        <v>9</v>
      </c>
    </row>
    <row r="528" spans="1:7">
      <c r="A528" s="1272">
        <v>43050</v>
      </c>
      <c r="B528" s="279" t="str">
        <f>TiposLancamentos!B16</f>
        <v>Cristiane</v>
      </c>
      <c r="C528" s="280" t="s">
        <v>18667</v>
      </c>
      <c r="D528" s="281"/>
      <c r="E528" s="1293">
        <v>230.3</v>
      </c>
      <c r="F528" s="1271"/>
      <c r="G528" s="1152" t="s">
        <v>9</v>
      </c>
    </row>
    <row r="529" spans="1:7">
      <c r="A529" s="1272">
        <v>43050</v>
      </c>
      <c r="B529" s="279" t="str">
        <f>TiposLancamentos!B16</f>
        <v>Cristiane</v>
      </c>
      <c r="C529" s="280" t="s">
        <v>16970</v>
      </c>
      <c r="D529" s="281"/>
      <c r="E529" s="1293">
        <v>274</v>
      </c>
      <c r="F529" s="1271"/>
      <c r="G529" s="1152" t="s">
        <v>9</v>
      </c>
    </row>
    <row r="530" spans="1:7">
      <c r="A530" s="884">
        <v>43050</v>
      </c>
      <c r="B530" s="240" t="str">
        <f>TiposLancamentos!B16</f>
        <v>Cristiane</v>
      </c>
      <c r="C530" s="878" t="s">
        <v>18668</v>
      </c>
      <c r="D530" s="63"/>
      <c r="E530" s="231">
        <v>45</v>
      </c>
      <c r="F530" s="899"/>
      <c r="G530" s="1152" t="s">
        <v>9</v>
      </c>
    </row>
    <row r="531" spans="1:7">
      <c r="A531" s="1272">
        <v>43051</v>
      </c>
      <c r="B531" s="279" t="str">
        <f>TiposLancamentos!B5</f>
        <v>Supermercado</v>
      </c>
      <c r="C531" s="280" t="s">
        <v>6234</v>
      </c>
      <c r="D531" s="281"/>
      <c r="E531" s="1293">
        <v>187.14</v>
      </c>
      <c r="F531" s="1271"/>
      <c r="G531" s="1152" t="s">
        <v>9</v>
      </c>
    </row>
    <row r="532" spans="1:7">
      <c r="A532" s="884">
        <v>43052</v>
      </c>
      <c r="B532" s="240" t="str">
        <f>TiposLancamentos!B48</f>
        <v>Baralhos e Oráculos</v>
      </c>
      <c r="C532" s="878" t="s">
        <v>18669</v>
      </c>
      <c r="D532" s="63"/>
      <c r="E532" s="231">
        <v>81.319999999999993</v>
      </c>
      <c r="F532" s="899"/>
      <c r="G532" s="1152" t="s">
        <v>9</v>
      </c>
    </row>
    <row r="533" spans="1:7">
      <c r="A533" s="884">
        <v>43052</v>
      </c>
      <c r="B533" s="240" t="str">
        <f>TiposLancamentos!B68</f>
        <v>Bombas</v>
      </c>
      <c r="C533" s="878" t="s">
        <v>18670</v>
      </c>
      <c r="D533" s="63"/>
      <c r="E533" s="231">
        <f>F533/3</f>
        <v>97.08</v>
      </c>
      <c r="F533" s="899">
        <v>291.24</v>
      </c>
      <c r="G533" s="1152" t="s">
        <v>9</v>
      </c>
    </row>
    <row r="534" spans="1:7">
      <c r="A534" s="884">
        <v>43052</v>
      </c>
      <c r="B534" s="240" t="str">
        <f>TiposLancamentos!B57</f>
        <v>Informática</v>
      </c>
      <c r="C534" s="878" t="s">
        <v>18671</v>
      </c>
      <c r="D534" s="63"/>
      <c r="E534" s="231">
        <v>11.96</v>
      </c>
      <c r="F534" s="899"/>
      <c r="G534" s="1152" t="s">
        <v>9</v>
      </c>
    </row>
    <row r="535" spans="1:7">
      <c r="A535" s="1272">
        <v>43052</v>
      </c>
      <c r="B535" s="279" t="str">
        <f>TiposLancamentos!B71</f>
        <v>Itens Pessoais</v>
      </c>
      <c r="C535" s="280" t="s">
        <v>18672</v>
      </c>
      <c r="D535" s="281"/>
      <c r="E535" s="1293">
        <v>106.34</v>
      </c>
      <c r="F535" s="1271">
        <f>E535*3</f>
        <v>319.02</v>
      </c>
      <c r="G535" s="1152" t="s">
        <v>9</v>
      </c>
    </row>
    <row r="536" spans="1:7">
      <c r="A536" s="884">
        <v>43053</v>
      </c>
      <c r="B536" s="240" t="str">
        <f>TiposLancamentos!B87</f>
        <v>P207-1.6-XS</v>
      </c>
      <c r="C536" s="878" t="s">
        <v>18673</v>
      </c>
      <c r="D536" s="63"/>
      <c r="E536" s="231">
        <v>184.5</v>
      </c>
      <c r="F536" s="899">
        <v>738</v>
      </c>
      <c r="G536" s="1152" t="s">
        <v>9</v>
      </c>
    </row>
    <row r="537" spans="1:7">
      <c r="A537" s="884">
        <v>43053</v>
      </c>
      <c r="B537" s="240" t="str">
        <f>TiposLancamentos!B16</f>
        <v>Cristiane</v>
      </c>
      <c r="C537" s="878" t="s">
        <v>18674</v>
      </c>
      <c r="D537" s="63"/>
      <c r="E537" s="231">
        <v>249.93</v>
      </c>
      <c r="F537" s="899"/>
      <c r="G537" s="1152" t="s">
        <v>9</v>
      </c>
    </row>
    <row r="538" spans="1:7">
      <c r="A538" s="884">
        <v>43054</v>
      </c>
      <c r="B538" s="240" t="str">
        <f>TiposLancamentos!B19</f>
        <v>Restaurantes</v>
      </c>
      <c r="C538" s="878" t="s">
        <v>7068</v>
      </c>
      <c r="D538" s="63"/>
      <c r="E538" s="231">
        <v>41.9</v>
      </c>
      <c r="F538" s="899"/>
      <c r="G538" s="1152" t="s">
        <v>9</v>
      </c>
    </row>
    <row r="539" spans="1:7">
      <c r="A539" s="1272">
        <v>43055</v>
      </c>
      <c r="B539" s="279" t="str">
        <f>TiposLancamentos!B16</f>
        <v>Cristiane</v>
      </c>
      <c r="C539" s="280" t="s">
        <v>18675</v>
      </c>
      <c r="D539" s="281"/>
      <c r="E539" s="1293">
        <f>F539/5</f>
        <v>99</v>
      </c>
      <c r="F539" s="1271">
        <v>495</v>
      </c>
      <c r="G539" s="1152" t="s">
        <v>9</v>
      </c>
    </row>
    <row r="540" spans="1:7">
      <c r="A540" s="884">
        <v>43055</v>
      </c>
      <c r="B540" s="240" t="str">
        <f>TiposLancamentos!B5</f>
        <v>Supermercado</v>
      </c>
      <c r="C540" s="878" t="s">
        <v>18676</v>
      </c>
      <c r="D540" s="63"/>
      <c r="E540" s="231">
        <v>40.08</v>
      </c>
      <c r="F540" s="899"/>
      <c r="G540" s="1152" t="s">
        <v>9</v>
      </c>
    </row>
    <row r="541" spans="1:7">
      <c r="A541" s="1272">
        <v>43055</v>
      </c>
      <c r="B541" s="279" t="str">
        <f>TiposLancamentos!B16</f>
        <v>Cristiane</v>
      </c>
      <c r="C541" s="280" t="s">
        <v>5888</v>
      </c>
      <c r="D541" s="281"/>
      <c r="E541" s="1293">
        <v>29.39</v>
      </c>
      <c r="F541" s="1271"/>
      <c r="G541" s="1152" t="s">
        <v>9</v>
      </c>
    </row>
    <row r="542" spans="1:7">
      <c r="A542" s="1272">
        <v>43056</v>
      </c>
      <c r="B542" s="279" t="str">
        <f>TiposLancamentos!B19</f>
        <v>Restaurantes</v>
      </c>
      <c r="C542" s="280" t="s">
        <v>18677</v>
      </c>
      <c r="D542" s="281"/>
      <c r="E542" s="1293">
        <v>40</v>
      </c>
      <c r="F542" s="1271"/>
      <c r="G542" s="1152" t="s">
        <v>9</v>
      </c>
    </row>
    <row r="543" spans="1:7">
      <c r="A543" s="884">
        <v>43057</v>
      </c>
      <c r="B543" s="240" t="str">
        <f>TiposLancamentos!B16</f>
        <v>Cristiane</v>
      </c>
      <c r="C543" s="878" t="s">
        <v>18678</v>
      </c>
      <c r="D543" s="63"/>
      <c r="E543" s="231">
        <v>222.69</v>
      </c>
      <c r="F543" s="899">
        <f>E543*3</f>
        <v>668.06999999999994</v>
      </c>
      <c r="G543" s="1152" t="s">
        <v>9</v>
      </c>
    </row>
    <row r="544" spans="1:7">
      <c r="A544" s="934"/>
      <c r="B544" s="243"/>
      <c r="C544" s="389" t="s">
        <v>10</v>
      </c>
      <c r="D544" s="146"/>
      <c r="E544" s="1190"/>
      <c r="F544" s="935"/>
      <c r="G544" s="1094" t="s">
        <v>11</v>
      </c>
    </row>
    <row r="545" spans="1:7">
      <c r="A545" s="1272">
        <v>43060</v>
      </c>
      <c r="B545" s="279" t="str">
        <f>TiposLancamentos!B16</f>
        <v>Cristiane</v>
      </c>
      <c r="C545" s="280" t="s">
        <v>18679</v>
      </c>
      <c r="D545" s="281"/>
      <c r="E545" s="1293">
        <v>399</v>
      </c>
      <c r="F545" s="1271"/>
      <c r="G545" s="1152" t="s">
        <v>9</v>
      </c>
    </row>
    <row r="546" spans="1:7">
      <c r="A546" s="884">
        <v>43061</v>
      </c>
      <c r="B546" s="240" t="str">
        <f>TiposLancamentos!B5</f>
        <v>Supermercado</v>
      </c>
      <c r="C546" s="878" t="s">
        <v>6234</v>
      </c>
      <c r="D546" s="63"/>
      <c r="E546" s="231">
        <v>10.130000000000001</v>
      </c>
      <c r="F546" s="899"/>
      <c r="G546" s="1152" t="s">
        <v>9</v>
      </c>
    </row>
    <row r="547" spans="1:7">
      <c r="A547" s="1272">
        <v>43061</v>
      </c>
      <c r="B547" s="279" t="str">
        <f>TiposLancamentos!B34</f>
        <v>Seguros</v>
      </c>
      <c r="C547" s="280" t="s">
        <v>18680</v>
      </c>
      <c r="D547" s="281"/>
      <c r="E547" s="1293">
        <v>335.95</v>
      </c>
      <c r="F547" s="1271">
        <v>1343.83</v>
      </c>
      <c r="G547" s="1152" t="s">
        <v>9</v>
      </c>
    </row>
    <row r="548" spans="1:7">
      <c r="A548" s="884">
        <v>43062</v>
      </c>
      <c r="B548" s="240" t="str">
        <f>TiposLancamentos!B56</f>
        <v>Farmácia</v>
      </c>
      <c r="C548" s="878" t="s">
        <v>18681</v>
      </c>
      <c r="D548" s="63"/>
      <c r="E548" s="231">
        <v>114.75</v>
      </c>
      <c r="F548" s="899"/>
      <c r="G548" s="1152" t="s">
        <v>9</v>
      </c>
    </row>
    <row r="549" spans="1:7">
      <c r="A549" s="884">
        <v>43062</v>
      </c>
      <c r="B549" s="240" t="str">
        <f>TiposLancamentos!B26</f>
        <v>LIVROS</v>
      </c>
      <c r="C549" s="878" t="s">
        <v>18682</v>
      </c>
      <c r="D549" s="63"/>
      <c r="E549" s="231">
        <v>100.05</v>
      </c>
      <c r="F549" s="899"/>
      <c r="G549" s="1152" t="s">
        <v>9</v>
      </c>
    </row>
    <row r="550" spans="1:7">
      <c r="A550" s="884">
        <v>43063</v>
      </c>
      <c r="B550" s="240" t="str">
        <f>TiposLancamentos!B5</f>
        <v>Supermercado</v>
      </c>
      <c r="C550" s="878" t="s">
        <v>6234</v>
      </c>
      <c r="D550" s="63"/>
      <c r="E550" s="231">
        <v>18.14</v>
      </c>
      <c r="F550" s="899"/>
      <c r="G550" s="1152" t="s">
        <v>9</v>
      </c>
    </row>
    <row r="551" spans="1:7">
      <c r="A551" s="1272">
        <v>43063</v>
      </c>
      <c r="B551" s="279" t="str">
        <f>TiposLancamentos!B16</f>
        <v>Cristiane</v>
      </c>
      <c r="C551" s="280" t="s">
        <v>18683</v>
      </c>
      <c r="D551" s="281"/>
      <c r="E551" s="1293">
        <v>53.49</v>
      </c>
      <c r="F551" s="1271"/>
      <c r="G551" s="1152" t="s">
        <v>9</v>
      </c>
    </row>
    <row r="552" spans="1:7">
      <c r="A552" s="1272">
        <v>43063</v>
      </c>
      <c r="B552" s="279" t="str">
        <f>TiposLancamentos!B16</f>
        <v>Cristiane</v>
      </c>
      <c r="C552" s="280" t="s">
        <v>18684</v>
      </c>
      <c r="D552" s="281"/>
      <c r="E552" s="1293">
        <v>46.5</v>
      </c>
      <c r="F552" s="1271"/>
      <c r="G552" s="1152" t="s">
        <v>9</v>
      </c>
    </row>
    <row r="553" spans="1:7">
      <c r="A553" s="884">
        <v>43063</v>
      </c>
      <c r="B553" s="240" t="str">
        <f>TiposLancamentos!B19</f>
        <v>Restaurantes</v>
      </c>
      <c r="C553" s="878" t="s">
        <v>18685</v>
      </c>
      <c r="D553" s="63"/>
      <c r="E553" s="231">
        <v>63.9</v>
      </c>
      <c r="F553" s="899"/>
      <c r="G553" s="1152" t="s">
        <v>9</v>
      </c>
    </row>
    <row r="554" spans="1:7">
      <c r="A554" s="884">
        <v>43063</v>
      </c>
      <c r="B554" s="240" t="str">
        <f>TiposLancamentos!B26</f>
        <v>LIVROS</v>
      </c>
      <c r="C554" s="878" t="s">
        <v>18686</v>
      </c>
      <c r="D554" s="63"/>
      <c r="E554" s="231">
        <v>37.4</v>
      </c>
      <c r="F554" s="899"/>
      <c r="G554" s="1152" t="s">
        <v>9</v>
      </c>
    </row>
    <row r="555" spans="1:7">
      <c r="A555" s="884">
        <v>43063</v>
      </c>
      <c r="B555" s="240" t="str">
        <f>TiposLancamentos!B16</f>
        <v>Cristiane</v>
      </c>
      <c r="C555" s="878" t="s">
        <v>18687</v>
      </c>
      <c r="D555" s="63"/>
      <c r="E555" s="231">
        <v>335</v>
      </c>
      <c r="F555" s="899"/>
      <c r="G555" s="1152" t="s">
        <v>9</v>
      </c>
    </row>
    <row r="556" spans="1:7">
      <c r="A556" s="1226">
        <v>43063</v>
      </c>
      <c r="B556" s="1218" t="str">
        <f>TiposLancamentos!B70</f>
        <v>Vestuário</v>
      </c>
      <c r="C556" s="1219" t="s">
        <v>18688</v>
      </c>
      <c r="D556" s="1220"/>
      <c r="E556" s="1221">
        <v>399</v>
      </c>
      <c r="F556" s="1227"/>
      <c r="G556" s="1152" t="s">
        <v>9</v>
      </c>
    </row>
    <row r="557" spans="1:7">
      <c r="A557" s="1228">
        <v>43063</v>
      </c>
      <c r="B557" s="1222" t="str">
        <f>TiposLancamentos!B70</f>
        <v>Vestuário</v>
      </c>
      <c r="C557" s="1223" t="s">
        <v>18689</v>
      </c>
      <c r="D557" s="1224"/>
      <c r="E557" s="1225">
        <f>F557-E556</f>
        <v>89</v>
      </c>
      <c r="F557" s="1229">
        <v>488</v>
      </c>
      <c r="G557" s="1152" t="s">
        <v>9</v>
      </c>
    </row>
    <row r="558" spans="1:7">
      <c r="A558" s="1272">
        <v>43063</v>
      </c>
      <c r="B558" s="279" t="str">
        <f>TiposLancamentos!B16</f>
        <v>Cristiane</v>
      </c>
      <c r="C558" s="280" t="s">
        <v>18690</v>
      </c>
      <c r="D558" s="281"/>
      <c r="E558" s="1293">
        <v>3.49</v>
      </c>
      <c r="F558" s="1271" t="s">
        <v>18691</v>
      </c>
      <c r="G558" s="1094" t="s">
        <v>11</v>
      </c>
    </row>
    <row r="559" spans="1:7">
      <c r="A559" s="1272">
        <v>43064</v>
      </c>
      <c r="B559" s="279" t="str">
        <f>TiposLancamentos!B4</f>
        <v>Taxas Bancarias</v>
      </c>
      <c r="C559" s="280" t="s">
        <v>4858</v>
      </c>
      <c r="D559" s="281"/>
      <c r="E559" s="1293">
        <v>0.21</v>
      </c>
      <c r="F559" s="1271"/>
      <c r="G559" s="1152" t="s">
        <v>9</v>
      </c>
    </row>
    <row r="560" spans="1:7">
      <c r="A560" s="884">
        <v>43064</v>
      </c>
      <c r="B560" s="240" t="str">
        <f>TiposLancamentos!B26</f>
        <v>LIVROS</v>
      </c>
      <c r="C560" s="878" t="s">
        <v>18692</v>
      </c>
      <c r="D560" s="63"/>
      <c r="E560" s="231">
        <v>90.35</v>
      </c>
      <c r="F560" s="899"/>
      <c r="G560" s="1152" t="s">
        <v>9</v>
      </c>
    </row>
    <row r="561" spans="1:7">
      <c r="A561" s="884">
        <v>43064</v>
      </c>
      <c r="B561" s="240" t="str">
        <f>TiposLancamentos!B5</f>
        <v>Supermercado</v>
      </c>
      <c r="C561" s="878" t="s">
        <v>18693</v>
      </c>
      <c r="D561" s="63"/>
      <c r="E561" s="231">
        <v>61</v>
      </c>
      <c r="F561" s="899"/>
      <c r="G561" s="1152" t="s">
        <v>9</v>
      </c>
    </row>
    <row r="562" spans="1:7">
      <c r="A562" s="884">
        <v>43064</v>
      </c>
      <c r="B562" s="240" t="str">
        <f>TiposLancamentos!B5</f>
        <v>Supermercado</v>
      </c>
      <c r="C562" s="878" t="s">
        <v>5844</v>
      </c>
      <c r="D562" s="63"/>
      <c r="E562" s="231">
        <v>135.63</v>
      </c>
      <c r="F562" s="899"/>
      <c r="G562" s="1152" t="s">
        <v>9</v>
      </c>
    </row>
    <row r="563" spans="1:7">
      <c r="A563" s="1226">
        <v>43065</v>
      </c>
      <c r="B563" s="1218" t="str">
        <f>TiposLancamentos!B57</f>
        <v>Informática</v>
      </c>
      <c r="C563" s="1219" t="s">
        <v>18694</v>
      </c>
      <c r="D563" s="1220"/>
      <c r="E563" s="1221">
        <f>10.9+139.9</f>
        <v>150.80000000000001</v>
      </c>
      <c r="F563" s="1227"/>
      <c r="G563" s="1152" t="s">
        <v>9</v>
      </c>
    </row>
    <row r="564" spans="1:7">
      <c r="A564" s="1228">
        <v>43065</v>
      </c>
      <c r="B564" s="1222" t="str">
        <f>TiposLancamentos!B16</f>
        <v>Cristiane</v>
      </c>
      <c r="C564" s="1223" t="s">
        <v>18695</v>
      </c>
      <c r="D564" s="1224"/>
      <c r="E564" s="1225">
        <f>F564-E563</f>
        <v>19.289999999999992</v>
      </c>
      <c r="F564" s="1229">
        <v>170.09</v>
      </c>
      <c r="G564" s="1152" t="s">
        <v>9</v>
      </c>
    </row>
    <row r="565" spans="1:7">
      <c r="A565" s="884">
        <v>43065</v>
      </c>
      <c r="B565" s="240" t="str">
        <f>TiposLancamentos!B16</f>
        <v>Cristiane</v>
      </c>
      <c r="C565" s="878" t="s">
        <v>18696</v>
      </c>
      <c r="D565" s="63"/>
      <c r="E565" s="231">
        <v>37.4</v>
      </c>
      <c r="F565" s="899"/>
      <c r="G565" s="1152" t="s">
        <v>9</v>
      </c>
    </row>
    <row r="566" spans="1:7">
      <c r="A566" s="884">
        <v>43065</v>
      </c>
      <c r="B566" s="240" t="str">
        <f>TiposLancamentos!B19</f>
        <v>Restaurantes</v>
      </c>
      <c r="C566" s="878" t="s">
        <v>18697</v>
      </c>
      <c r="D566" s="63"/>
      <c r="E566" s="231">
        <v>26</v>
      </c>
      <c r="F566" s="899"/>
      <c r="G566" s="1152" t="s">
        <v>9</v>
      </c>
    </row>
    <row r="567" spans="1:7">
      <c r="A567" s="884">
        <v>43067</v>
      </c>
      <c r="B567" s="240" t="str">
        <f>TiposLancamentos!B45</f>
        <v>Online Services</v>
      </c>
      <c r="C567" s="878" t="s">
        <v>1894</v>
      </c>
      <c r="D567" s="63"/>
      <c r="E567" s="231">
        <v>22.9</v>
      </c>
      <c r="F567" s="899"/>
      <c r="G567" s="1152" t="s">
        <v>9</v>
      </c>
    </row>
    <row r="568" spans="1:7">
      <c r="A568" s="884">
        <v>43067</v>
      </c>
      <c r="B568" s="240" t="str">
        <f>TiposLancamentos!B5</f>
        <v>Supermercado</v>
      </c>
      <c r="C568" s="878" t="s">
        <v>7046</v>
      </c>
      <c r="D568" s="63"/>
      <c r="E568" s="231">
        <v>74.010000000000005</v>
      </c>
      <c r="F568" s="899"/>
      <c r="G568" s="1152" t="s">
        <v>9</v>
      </c>
    </row>
    <row r="569" spans="1:7">
      <c r="A569" s="1272">
        <v>43067</v>
      </c>
      <c r="B569" s="279" t="str">
        <f>TiposLancamentos!B16</f>
        <v>Cristiane</v>
      </c>
      <c r="C569" s="280" t="s">
        <v>18698</v>
      </c>
      <c r="D569" s="281"/>
      <c r="E569" s="1293">
        <v>34.04</v>
      </c>
      <c r="F569" s="1271"/>
      <c r="G569" s="1152" t="s">
        <v>9</v>
      </c>
    </row>
    <row r="570" spans="1:7">
      <c r="A570" s="884">
        <v>43067</v>
      </c>
      <c r="B570" s="240" t="str">
        <f>TiposLancamentos!B45</f>
        <v>Online Services</v>
      </c>
      <c r="C570" s="878" t="s">
        <v>1895</v>
      </c>
      <c r="D570" s="63"/>
      <c r="E570" s="231">
        <v>26.9</v>
      </c>
      <c r="F570" s="899"/>
      <c r="G570" s="1152" t="s">
        <v>9</v>
      </c>
    </row>
    <row r="571" spans="1:7">
      <c r="A571" s="884">
        <v>43067</v>
      </c>
      <c r="B571" s="240" t="str">
        <f>TiposLancamentos!B31</f>
        <v>Action Figures</v>
      </c>
      <c r="C571" s="878" t="s">
        <v>18699</v>
      </c>
      <c r="D571" s="63"/>
      <c r="E571" s="231">
        <v>106.43</v>
      </c>
      <c r="F571" s="899">
        <v>319.25</v>
      </c>
      <c r="G571" s="1152" t="s">
        <v>9</v>
      </c>
    </row>
    <row r="572" spans="1:7" ht="14.25" thickBot="1">
      <c r="A572" s="1272">
        <v>43068</v>
      </c>
      <c r="B572" s="279" t="str">
        <f>TiposLancamentos!B16</f>
        <v>Cristiane</v>
      </c>
      <c r="C572" s="280" t="s">
        <v>18690</v>
      </c>
      <c r="D572" s="281"/>
      <c r="E572" s="1293">
        <v>8.81</v>
      </c>
      <c r="F572" s="1271" t="s">
        <v>18700</v>
      </c>
      <c r="G572" s="1094" t="s">
        <v>11</v>
      </c>
    </row>
    <row r="573" spans="1:7">
      <c r="A573" s="1032"/>
      <c r="B573" s="1230"/>
      <c r="C573" s="906" t="s">
        <v>18701</v>
      </c>
      <c r="D573" s="896"/>
      <c r="E573" s="925"/>
      <c r="F573" s="898">
        <f>SUM(E449:E543)</f>
        <v>8639.9799999999977</v>
      </c>
      <c r="G573" s="3"/>
    </row>
    <row r="574" spans="1:7">
      <c r="A574" s="1272">
        <v>43070</v>
      </c>
      <c r="B574" s="279" t="str">
        <f>TiposLancamentos!B4</f>
        <v>Taxas Bancarias</v>
      </c>
      <c r="C574" s="280" t="s">
        <v>18702</v>
      </c>
      <c r="D574" s="281"/>
      <c r="E574" s="1293">
        <v>0.52</v>
      </c>
      <c r="F574" s="1271"/>
      <c r="G574" s="1152" t="s">
        <v>9</v>
      </c>
    </row>
    <row r="575" spans="1:7">
      <c r="A575" s="1272">
        <v>43070</v>
      </c>
      <c r="B575" s="279" t="str">
        <f>TiposLancamentos!B16</f>
        <v>Cristiane</v>
      </c>
      <c r="C575" s="280" t="s">
        <v>18703</v>
      </c>
      <c r="D575" s="281"/>
      <c r="E575" s="1293">
        <v>182.95</v>
      </c>
      <c r="F575" s="1271">
        <f>F573-F487</f>
        <v>2131.6699999999992</v>
      </c>
      <c r="G575" s="1152" t="s">
        <v>9</v>
      </c>
    </row>
    <row r="576" spans="1:7">
      <c r="A576" s="1272">
        <v>43070</v>
      </c>
      <c r="B576" s="279" t="str">
        <f>TiposLancamentos!B16</f>
        <v>Cristiane</v>
      </c>
      <c r="C576" s="280" t="s">
        <v>18704</v>
      </c>
      <c r="D576" s="281"/>
      <c r="E576" s="1293">
        <v>44.4</v>
      </c>
      <c r="F576" s="1271"/>
      <c r="G576" s="1152" t="s">
        <v>9</v>
      </c>
    </row>
    <row r="577" spans="1:7">
      <c r="A577" s="1272">
        <v>43070</v>
      </c>
      <c r="B577" s="279" t="str">
        <f>TiposLancamentos!B16</f>
        <v>Cristiane</v>
      </c>
      <c r="C577" s="280" t="s">
        <v>18705</v>
      </c>
      <c r="D577" s="281"/>
      <c r="E577" s="1293">
        <v>77.5</v>
      </c>
      <c r="F577" s="1271"/>
      <c r="G577" s="1152" t="s">
        <v>9</v>
      </c>
    </row>
    <row r="578" spans="1:7">
      <c r="A578" s="884">
        <v>43070</v>
      </c>
      <c r="B578" s="240" t="str">
        <f>TiposLancamentos!B15</f>
        <v>Cartões de Crédito</v>
      </c>
      <c r="C578" s="878" t="s">
        <v>1874</v>
      </c>
      <c r="D578" s="63">
        <v>8639.98</v>
      </c>
      <c r="E578" s="231"/>
      <c r="F578" s="899"/>
      <c r="G578" s="1152" t="s">
        <v>9</v>
      </c>
    </row>
    <row r="579" spans="1:7">
      <c r="A579" s="1272">
        <v>43070</v>
      </c>
      <c r="B579" s="279" t="str">
        <f>TiposLancamentos!B16</f>
        <v>Cristiane</v>
      </c>
      <c r="C579" s="280" t="s">
        <v>18706</v>
      </c>
      <c r="D579" s="281"/>
      <c r="E579" s="1293">
        <v>83.91</v>
      </c>
      <c r="F579" s="1271"/>
      <c r="G579" s="1152" t="s">
        <v>9</v>
      </c>
    </row>
    <row r="580" spans="1:7">
      <c r="A580" s="1226">
        <v>43070</v>
      </c>
      <c r="B580" s="1218" t="str">
        <f>TiposLancamentos!B70</f>
        <v>Vestuário</v>
      </c>
      <c r="C580" s="1219" t="s">
        <v>18707</v>
      </c>
      <c r="D580" s="1220"/>
      <c r="E580" s="1221">
        <f>F580/3</f>
        <v>49.666666666666664</v>
      </c>
      <c r="F580" s="1227">
        <v>149</v>
      </c>
      <c r="G580" s="1152" t="s">
        <v>9</v>
      </c>
    </row>
    <row r="581" spans="1:7">
      <c r="A581" s="1228">
        <v>43070</v>
      </c>
      <c r="B581" s="1222" t="str">
        <f>TiposLancamentos!B16</f>
        <v>Cristiane</v>
      </c>
      <c r="C581" s="1223" t="s">
        <v>18707</v>
      </c>
      <c r="D581" s="1224"/>
      <c r="E581" s="1225">
        <f>F581/3</f>
        <v>56.333333333333336</v>
      </c>
      <c r="F581" s="1229">
        <v>169</v>
      </c>
      <c r="G581" s="1152" t="s">
        <v>9</v>
      </c>
    </row>
    <row r="582" spans="1:7">
      <c r="A582" s="884">
        <v>43071</v>
      </c>
      <c r="B582" s="240" t="str">
        <f>TiposLancamentos!B5</f>
        <v>Supermercado</v>
      </c>
      <c r="C582" s="878" t="s">
        <v>6234</v>
      </c>
      <c r="D582" s="63"/>
      <c r="E582" s="231">
        <v>141.18</v>
      </c>
      <c r="F582" s="899"/>
      <c r="G582" s="1152" t="s">
        <v>9</v>
      </c>
    </row>
    <row r="583" spans="1:7">
      <c r="A583" s="884">
        <v>43072</v>
      </c>
      <c r="B583" s="240" t="str">
        <f>TiposLancamentos!B87</f>
        <v>P207-1.6-XS</v>
      </c>
      <c r="C583" s="878" t="s">
        <v>18708</v>
      </c>
      <c r="D583" s="63"/>
      <c r="E583" s="231">
        <v>376.66</v>
      </c>
      <c r="F583" s="899">
        <v>2260</v>
      </c>
      <c r="G583" s="1152" t="s">
        <v>9</v>
      </c>
    </row>
    <row r="584" spans="1:7">
      <c r="A584" s="884">
        <v>43072</v>
      </c>
      <c r="B584" s="240" t="str">
        <f>TiposLancamentos!B24</f>
        <v>Estacionamentos</v>
      </c>
      <c r="C584" s="878" t="s">
        <v>18709</v>
      </c>
      <c r="D584" s="63"/>
      <c r="E584" s="231">
        <v>45</v>
      </c>
      <c r="F584" s="899"/>
      <c r="G584" s="1152" t="s">
        <v>9</v>
      </c>
    </row>
    <row r="585" spans="1:7">
      <c r="A585" s="884">
        <v>43072</v>
      </c>
      <c r="B585" s="240" t="str">
        <f>TiposLancamentos!B48</f>
        <v>Baralhos e Oráculos</v>
      </c>
      <c r="C585" s="878" t="s">
        <v>18710</v>
      </c>
      <c r="D585" s="63"/>
      <c r="E585" s="231">
        <v>160</v>
      </c>
      <c r="F585" s="899"/>
      <c r="G585" s="1152" t="s">
        <v>9</v>
      </c>
    </row>
    <row r="586" spans="1:7">
      <c r="A586" s="884">
        <v>43072</v>
      </c>
      <c r="B586" s="240" t="str">
        <f>TiposLancamentos!B16</f>
        <v>Cristiane</v>
      </c>
      <c r="C586" s="878" t="s">
        <v>18711</v>
      </c>
      <c r="D586" s="63"/>
      <c r="E586" s="231">
        <v>125</v>
      </c>
      <c r="F586" s="899"/>
      <c r="G586" s="1152" t="s">
        <v>9</v>
      </c>
    </row>
    <row r="587" spans="1:7">
      <c r="A587" s="884">
        <v>43072</v>
      </c>
      <c r="B587" s="240" t="str">
        <f>TiposLancamentos!B13</f>
        <v>Moradia</v>
      </c>
      <c r="C587" s="878" t="s">
        <v>18712</v>
      </c>
      <c r="D587" s="63"/>
      <c r="E587" s="231">
        <v>50</v>
      </c>
      <c r="F587" s="899"/>
      <c r="G587" s="1152" t="s">
        <v>9</v>
      </c>
    </row>
    <row r="588" spans="1:7">
      <c r="A588" s="1226">
        <v>43072</v>
      </c>
      <c r="B588" s="1218" t="str">
        <f>TiposLancamentos!B48</f>
        <v>Baralhos e Oráculos</v>
      </c>
      <c r="C588" s="1219" t="s">
        <v>18713</v>
      </c>
      <c r="D588" s="1220"/>
      <c r="E588" s="1221">
        <v>112</v>
      </c>
      <c r="F588" s="1227"/>
      <c r="G588" s="1152" t="s">
        <v>9</v>
      </c>
    </row>
    <row r="589" spans="1:7">
      <c r="A589" s="1228">
        <v>43072</v>
      </c>
      <c r="B589" s="1222" t="str">
        <f>TiposLancamentos!B16</f>
        <v>Cristiane</v>
      </c>
      <c r="C589" s="1223" t="s">
        <v>18714</v>
      </c>
      <c r="D589" s="1224"/>
      <c r="E589" s="1225">
        <v>110</v>
      </c>
      <c r="F589" s="1229">
        <f>SUM(E588:E589)</f>
        <v>222</v>
      </c>
      <c r="G589" s="1152" t="s">
        <v>9</v>
      </c>
    </row>
    <row r="590" spans="1:7">
      <c r="A590" s="884">
        <v>43072</v>
      </c>
      <c r="B590" s="240" t="str">
        <f>TiposLancamentos!B5</f>
        <v>Supermercado</v>
      </c>
      <c r="C590" s="878" t="s">
        <v>18715</v>
      </c>
      <c r="D590" s="63"/>
      <c r="E590" s="231">
        <v>50.71</v>
      </c>
      <c r="F590" s="899"/>
      <c r="G590" s="1152" t="s">
        <v>9</v>
      </c>
    </row>
    <row r="591" spans="1:7">
      <c r="A591" s="1272">
        <v>43073</v>
      </c>
      <c r="B591" s="279" t="str">
        <f>TiposLancamentos!B16</f>
        <v>Cristiane</v>
      </c>
      <c r="C591" s="280" t="s">
        <v>18716</v>
      </c>
      <c r="D591" s="281"/>
      <c r="E591" s="1293">
        <v>160</v>
      </c>
      <c r="F591" s="1271"/>
      <c r="G591" s="1152" t="s">
        <v>9</v>
      </c>
    </row>
    <row r="592" spans="1:7">
      <c r="A592" s="884">
        <v>43073</v>
      </c>
      <c r="B592" s="240" t="str">
        <f>TiposLancamentos!B62</f>
        <v>Papelaria</v>
      </c>
      <c r="C592" s="878" t="s">
        <v>18717</v>
      </c>
      <c r="D592" s="63"/>
      <c r="E592" s="231">
        <v>99.8</v>
      </c>
      <c r="F592" s="899"/>
      <c r="G592" s="1152" t="s">
        <v>9</v>
      </c>
    </row>
    <row r="593" spans="1:7">
      <c r="A593" s="884">
        <v>43073</v>
      </c>
      <c r="B593" s="240" t="str">
        <f>TiposLancamentos!B5</f>
        <v>Supermercado</v>
      </c>
      <c r="C593" s="878" t="s">
        <v>6234</v>
      </c>
      <c r="D593" s="63"/>
      <c r="E593" s="231">
        <v>21.73</v>
      </c>
      <c r="F593" s="899"/>
      <c r="G593" s="1152" t="s">
        <v>9</v>
      </c>
    </row>
    <row r="594" spans="1:7">
      <c r="A594" s="884">
        <v>43074</v>
      </c>
      <c r="B594" s="240" t="str">
        <f>TiposLancamentos!B26</f>
        <v>LIVROS</v>
      </c>
      <c r="C594" s="878" t="s">
        <v>18718</v>
      </c>
      <c r="D594" s="63"/>
      <c r="E594" s="231">
        <v>42.3</v>
      </c>
      <c r="F594" s="899"/>
      <c r="G594" s="1152" t="s">
        <v>9</v>
      </c>
    </row>
    <row r="595" spans="1:7">
      <c r="A595" s="884">
        <v>43074</v>
      </c>
      <c r="B595" s="240" t="str">
        <f>TiposLancamentos!B56</f>
        <v>Farmácia</v>
      </c>
      <c r="C595" s="878" t="s">
        <v>18719</v>
      </c>
      <c r="D595" s="63"/>
      <c r="E595" s="231">
        <v>14.99</v>
      </c>
      <c r="F595" s="899"/>
      <c r="G595" s="1152" t="s">
        <v>9</v>
      </c>
    </row>
    <row r="596" spans="1:7">
      <c r="A596" s="884">
        <v>43077</v>
      </c>
      <c r="B596" s="240" t="str">
        <f>TiposLancamentos!B26</f>
        <v>LIVROS</v>
      </c>
      <c r="C596" s="878" t="s">
        <v>18720</v>
      </c>
      <c r="D596" s="63"/>
      <c r="E596" s="231">
        <v>128.16999999999999</v>
      </c>
      <c r="F596" s="899"/>
      <c r="G596" s="1152" t="s">
        <v>9</v>
      </c>
    </row>
    <row r="597" spans="1:7">
      <c r="A597" s="884">
        <v>43077</v>
      </c>
      <c r="B597" s="240" t="str">
        <f>TiposLancamentos!B71</f>
        <v>Itens Pessoais</v>
      </c>
      <c r="C597" s="878" t="s">
        <v>18721</v>
      </c>
      <c r="D597" s="63"/>
      <c r="E597" s="231">
        <v>308</v>
      </c>
      <c r="F597" s="899">
        <f>E597*6</f>
        <v>1848</v>
      </c>
      <c r="G597" s="1152" t="s">
        <v>9</v>
      </c>
    </row>
    <row r="598" spans="1:7">
      <c r="A598" s="1272">
        <v>43079</v>
      </c>
      <c r="B598" s="279" t="str">
        <f>TiposLancamentos!B16</f>
        <v>Cristiane</v>
      </c>
      <c r="C598" s="280" t="s">
        <v>18690</v>
      </c>
      <c r="D598" s="281"/>
      <c r="E598" s="1293">
        <v>3.49</v>
      </c>
      <c r="F598" s="1271" t="s">
        <v>11601</v>
      </c>
      <c r="G598" s="1094" t="s">
        <v>11</v>
      </c>
    </row>
    <row r="599" spans="1:7">
      <c r="A599" s="1272">
        <v>43080</v>
      </c>
      <c r="B599" s="279" t="str">
        <f>B574</f>
        <v>Taxas Bancarias</v>
      </c>
      <c r="C599" s="280" t="str">
        <f>C574</f>
        <v>IOF compre sillhouette</v>
      </c>
      <c r="D599" s="281"/>
      <c r="E599" s="1293">
        <v>0.21</v>
      </c>
      <c r="F599" s="1271"/>
      <c r="G599" s="1152" t="s">
        <v>9</v>
      </c>
    </row>
    <row r="600" spans="1:7">
      <c r="A600" s="884">
        <v>43020</v>
      </c>
      <c r="B600" s="240" t="str">
        <f>TiposLancamentos!B70</f>
        <v>Vestuário</v>
      </c>
      <c r="C600" s="878" t="s">
        <v>18722</v>
      </c>
      <c r="D600" s="63"/>
      <c r="E600" s="231">
        <v>754</v>
      </c>
      <c r="F600" s="899"/>
      <c r="G600" s="1152" t="s">
        <v>9</v>
      </c>
    </row>
    <row r="601" spans="1:7">
      <c r="A601" s="1272">
        <v>43082</v>
      </c>
      <c r="B601" s="279" t="str">
        <f>TiposLancamentos!B71</f>
        <v>Itens Pessoais</v>
      </c>
      <c r="C601" s="280" t="s">
        <v>18723</v>
      </c>
      <c r="D601" s="281"/>
      <c r="E601" s="1293">
        <v>106.333</v>
      </c>
      <c r="F601" s="1271">
        <f>E601*3</f>
        <v>318.99900000000002</v>
      </c>
      <c r="G601" s="1152" t="s">
        <v>9</v>
      </c>
    </row>
    <row r="602" spans="1:7">
      <c r="A602" s="884">
        <v>43083</v>
      </c>
      <c r="B602" s="240" t="str">
        <f>TiposLancamentos!B87</f>
        <v>P207-1.6-XS</v>
      </c>
      <c r="C602" s="878" t="s">
        <v>18724</v>
      </c>
      <c r="D602" s="63"/>
      <c r="E602" s="231">
        <v>184.5</v>
      </c>
      <c r="F602" s="899">
        <v>738</v>
      </c>
      <c r="G602" s="1152" t="s">
        <v>9</v>
      </c>
    </row>
    <row r="603" spans="1:7">
      <c r="A603" s="884">
        <v>43083</v>
      </c>
      <c r="B603" s="240" t="str">
        <f>TiposLancamentos!B71</f>
        <v>Itens Pessoais</v>
      </c>
      <c r="C603" s="878" t="s">
        <v>18725</v>
      </c>
      <c r="D603" s="63"/>
      <c r="E603" s="231">
        <f>F603/10</f>
        <v>199.8</v>
      </c>
      <c r="F603" s="899">
        <v>1998</v>
      </c>
      <c r="G603" s="1152" t="s">
        <v>9</v>
      </c>
    </row>
    <row r="604" spans="1:7">
      <c r="A604" s="1272">
        <v>43085</v>
      </c>
      <c r="B604" s="279" t="str">
        <f>TiposLancamentos!B16</f>
        <v>Cristiane</v>
      </c>
      <c r="C604" s="280" t="s">
        <v>18726</v>
      </c>
      <c r="D604" s="281"/>
      <c r="E604" s="1293">
        <f>F604/5</f>
        <v>99</v>
      </c>
      <c r="F604" s="1271">
        <v>495</v>
      </c>
      <c r="G604" s="1152" t="s">
        <v>9</v>
      </c>
    </row>
    <row r="605" spans="1:7">
      <c r="A605" s="884">
        <v>43087</v>
      </c>
      <c r="B605" s="240" t="str">
        <f>TiposLancamentos!B16</f>
        <v>Cristiane</v>
      </c>
      <c r="C605" s="878" t="s">
        <v>18727</v>
      </c>
      <c r="D605" s="63"/>
      <c r="E605" s="231">
        <v>222.69</v>
      </c>
      <c r="F605" s="899">
        <f>E605*3</f>
        <v>668.06999999999994</v>
      </c>
      <c r="G605" s="1152" t="s">
        <v>9</v>
      </c>
    </row>
    <row r="606" spans="1:7">
      <c r="A606" s="934"/>
      <c r="B606" s="243"/>
      <c r="C606" s="389" t="s">
        <v>10</v>
      </c>
      <c r="D606" s="146"/>
      <c r="E606" s="1190"/>
      <c r="F606" s="935"/>
      <c r="G606" s="1094" t="s">
        <v>11</v>
      </c>
    </row>
    <row r="607" spans="1:7">
      <c r="A607" s="884">
        <v>43090</v>
      </c>
      <c r="B607" s="240" t="str">
        <f>TiposLancamentos!B3</f>
        <v>Internet</v>
      </c>
      <c r="C607" s="878" t="s">
        <v>18728</v>
      </c>
      <c r="D607" s="63"/>
      <c r="E607" s="231">
        <v>35.29</v>
      </c>
      <c r="F607" s="899" t="s">
        <v>18729</v>
      </c>
      <c r="G607" s="1152" t="s">
        <v>9</v>
      </c>
    </row>
    <row r="608" spans="1:7">
      <c r="A608" s="884">
        <v>43090</v>
      </c>
      <c r="B608" s="240" t="str">
        <f>TiposLancamentos!B4</f>
        <v>Taxas Bancarias</v>
      </c>
      <c r="C608" s="878" t="s">
        <v>18730</v>
      </c>
      <c r="D608" s="63"/>
      <c r="E608" s="231">
        <v>2.1800000000000002</v>
      </c>
      <c r="F608" s="899"/>
      <c r="G608" s="1152" t="s">
        <v>9</v>
      </c>
    </row>
    <row r="609" spans="1:7">
      <c r="A609" s="1272">
        <v>43091</v>
      </c>
      <c r="B609" s="279" t="str">
        <f>TiposLancamentos!B34</f>
        <v>Seguros</v>
      </c>
      <c r="C609" s="280" t="s">
        <v>18731</v>
      </c>
      <c r="D609" s="281"/>
      <c r="E609" s="1293">
        <v>335.95</v>
      </c>
      <c r="F609" s="1271">
        <v>1343.83</v>
      </c>
      <c r="G609" s="1152" t="s">
        <v>9</v>
      </c>
    </row>
    <row r="610" spans="1:7">
      <c r="A610" s="884">
        <v>43093</v>
      </c>
      <c r="B610" s="240" t="str">
        <f>TiposLancamentos!B3</f>
        <v>Internet</v>
      </c>
      <c r="C610" s="878" t="s">
        <v>18728</v>
      </c>
      <c r="D610" s="63"/>
      <c r="E610" s="231">
        <v>35.29</v>
      </c>
      <c r="F610" s="899" t="s">
        <v>18729</v>
      </c>
      <c r="G610" s="1152" t="s">
        <v>9</v>
      </c>
    </row>
    <row r="611" spans="1:7">
      <c r="A611" s="884">
        <v>43093</v>
      </c>
      <c r="B611" s="240" t="str">
        <f>TiposLancamentos!B4</f>
        <v>Taxas Bancarias</v>
      </c>
      <c r="C611" s="878" t="s">
        <v>18730</v>
      </c>
      <c r="D611" s="63"/>
      <c r="E611" s="231">
        <v>2.19</v>
      </c>
      <c r="F611" s="899"/>
      <c r="G611" s="1152" t="s">
        <v>9</v>
      </c>
    </row>
    <row r="612" spans="1:7">
      <c r="A612" s="1272">
        <v>43093</v>
      </c>
      <c r="B612" s="279" t="str">
        <f>TiposLancamentos!B16</f>
        <v>Cristiane</v>
      </c>
      <c r="C612" s="280" t="s">
        <v>18728</v>
      </c>
      <c r="D612" s="281"/>
      <c r="E612" s="1293">
        <v>35.29</v>
      </c>
      <c r="F612" s="1271" t="s">
        <v>18729</v>
      </c>
      <c r="G612" s="1152" t="s">
        <v>9</v>
      </c>
    </row>
    <row r="613" spans="1:7">
      <c r="A613" s="1272">
        <v>43093</v>
      </c>
      <c r="B613" s="279" t="str">
        <f>TiposLancamentos!B4</f>
        <v>Taxas Bancarias</v>
      </c>
      <c r="C613" s="280" t="s">
        <v>18730</v>
      </c>
      <c r="D613" s="281"/>
      <c r="E613" s="1293">
        <v>2.19</v>
      </c>
      <c r="F613" s="1271"/>
      <c r="G613" s="1152" t="s">
        <v>9</v>
      </c>
    </row>
    <row r="614" spans="1:7">
      <c r="A614" s="884">
        <v>43096</v>
      </c>
      <c r="B614" s="240" t="str">
        <f>TiposLancamentos!B3</f>
        <v>Internet</v>
      </c>
      <c r="C614" s="878" t="s">
        <v>18728</v>
      </c>
      <c r="D614" s="63"/>
      <c r="E614" s="231">
        <v>35</v>
      </c>
      <c r="F614" s="899" t="s">
        <v>18729</v>
      </c>
      <c r="G614" s="1152" t="s">
        <v>9</v>
      </c>
    </row>
    <row r="615" spans="1:7">
      <c r="A615" s="884">
        <v>43096</v>
      </c>
      <c r="B615" s="240" t="str">
        <f>TiposLancamentos!B4</f>
        <v>Taxas Bancarias</v>
      </c>
      <c r="C615" s="1203" t="s">
        <v>18730</v>
      </c>
      <c r="D615" s="63"/>
      <c r="E615" s="231">
        <v>2.15</v>
      </c>
      <c r="F615" s="899"/>
      <c r="G615" s="1152" t="s">
        <v>9</v>
      </c>
    </row>
    <row r="616" spans="1:7">
      <c r="A616" s="884">
        <v>43097</v>
      </c>
      <c r="B616" s="240" t="str">
        <f>TiposLancamentos!B45</f>
        <v>Online Services</v>
      </c>
      <c r="C616" s="878" t="s">
        <v>1894</v>
      </c>
      <c r="D616" s="63"/>
      <c r="E616" s="231">
        <v>27.9</v>
      </c>
      <c r="F616" s="899"/>
      <c r="G616" s="1152" t="s">
        <v>9</v>
      </c>
    </row>
    <row r="617" spans="1:7">
      <c r="A617" s="884">
        <v>43097</v>
      </c>
      <c r="B617" s="240" t="str">
        <f>TiposLancamentos!B45</f>
        <v>Online Services</v>
      </c>
      <c r="C617" s="878" t="s">
        <v>1895</v>
      </c>
      <c r="D617" s="63"/>
      <c r="E617" s="231">
        <v>26.9</v>
      </c>
      <c r="F617" s="899"/>
      <c r="G617" s="1152" t="s">
        <v>9</v>
      </c>
    </row>
    <row r="618" spans="1:7">
      <c r="A618" s="884">
        <v>43097</v>
      </c>
      <c r="B618" s="240" t="str">
        <f>TiposLancamentos!B31</f>
        <v>Action Figures</v>
      </c>
      <c r="C618" s="878" t="s">
        <v>18732</v>
      </c>
      <c r="D618" s="63"/>
      <c r="E618" s="231">
        <v>106.41</v>
      </c>
      <c r="F618" s="899">
        <v>319.25</v>
      </c>
      <c r="G618" s="1152" t="s">
        <v>9</v>
      </c>
    </row>
    <row r="619" spans="1:7">
      <c r="A619" s="1272">
        <v>43099</v>
      </c>
      <c r="B619" s="279" t="str">
        <f>TiposLancamentos!B19</f>
        <v>Restaurantes</v>
      </c>
      <c r="C619" s="280" t="s">
        <v>18733</v>
      </c>
      <c r="D619" s="281"/>
      <c r="E619" s="1293">
        <v>92.8</v>
      </c>
      <c r="F619" s="1271"/>
      <c r="G619" s="1152" t="s">
        <v>9</v>
      </c>
    </row>
    <row r="620" spans="1:7" ht="14.25" thickBot="1">
      <c r="A620" s="1272">
        <v>43100</v>
      </c>
      <c r="B620" s="279" t="str">
        <f>TiposLancamentos!B19</f>
        <v>Restaurantes</v>
      </c>
      <c r="C620" s="280" t="s">
        <v>6234</v>
      </c>
      <c r="D620" s="281"/>
      <c r="E620" s="1293">
        <v>486.42</v>
      </c>
      <c r="F620" s="1271"/>
      <c r="G620" s="1152" t="s">
        <v>9</v>
      </c>
    </row>
    <row r="621" spans="1:7">
      <c r="A621" s="1032"/>
      <c r="B621" s="1230"/>
      <c r="C621" s="906" t="s">
        <v>11195</v>
      </c>
      <c r="D621" s="896"/>
      <c r="E621" s="925"/>
      <c r="F621" s="898">
        <f>SUM(E545:E605)</f>
        <v>6810.4129999999996</v>
      </c>
      <c r="G621" s="3"/>
    </row>
    <row r="622" spans="1:7">
      <c r="A622" s="884">
        <v>43102</v>
      </c>
      <c r="B622" s="240" t="str">
        <f>TiposLancamentos!B15</f>
        <v>Cartões de Crédito</v>
      </c>
      <c r="C622" s="878" t="s">
        <v>1874</v>
      </c>
      <c r="D622" s="63">
        <v>6810.41</v>
      </c>
      <c r="E622" s="231"/>
      <c r="F622" s="899">
        <f>F621-F573</f>
        <v>-1829.5669999999982</v>
      </c>
      <c r="G622" s="1152" t="s">
        <v>9</v>
      </c>
    </row>
    <row r="623" spans="1:7">
      <c r="A623" s="1272">
        <v>43102</v>
      </c>
      <c r="B623" s="279" t="str">
        <f>TiposLancamentos!B5</f>
        <v>Supermercado</v>
      </c>
      <c r="C623" s="280" t="s">
        <v>6724</v>
      </c>
      <c r="D623" s="281"/>
      <c r="E623" s="1293">
        <v>85.93</v>
      </c>
      <c r="F623" s="1271"/>
      <c r="G623" s="1152" t="s">
        <v>9</v>
      </c>
    </row>
    <row r="624" spans="1:7">
      <c r="A624" s="884">
        <v>43102</v>
      </c>
      <c r="B624" s="240" t="str">
        <f>TiposLancamentos!B69</f>
        <v>Consertos</v>
      </c>
      <c r="C624" s="878" t="s">
        <v>18734</v>
      </c>
      <c r="D624" s="63"/>
      <c r="E624" s="231">
        <v>42.54</v>
      </c>
      <c r="F624" s="899"/>
      <c r="G624" s="1152" t="s">
        <v>9</v>
      </c>
    </row>
    <row r="625" spans="1:7">
      <c r="A625" s="884">
        <v>43103</v>
      </c>
      <c r="B625" s="240" t="str">
        <f>TiposLancamentos!B44</f>
        <v>Academia</v>
      </c>
      <c r="C625" s="878" t="s">
        <v>11156</v>
      </c>
      <c r="D625" s="63"/>
      <c r="E625" s="231">
        <v>178</v>
      </c>
      <c r="F625" s="899">
        <f>E625*4</f>
        <v>712</v>
      </c>
      <c r="G625" s="1152" t="s">
        <v>9</v>
      </c>
    </row>
    <row r="626" spans="1:7">
      <c r="A626" s="884">
        <v>43103</v>
      </c>
      <c r="B626" s="240" t="str">
        <f>TiposLancamentos!B87</f>
        <v>P207-1.6-XS</v>
      </c>
      <c r="C626" s="878" t="s">
        <v>18735</v>
      </c>
      <c r="D626" s="63"/>
      <c r="E626" s="231">
        <v>376.66</v>
      </c>
      <c r="F626" s="899">
        <v>2260</v>
      </c>
      <c r="G626" s="1152" t="s">
        <v>9</v>
      </c>
    </row>
    <row r="627" spans="1:7">
      <c r="A627" s="1272">
        <v>43104</v>
      </c>
      <c r="B627" s="279" t="str">
        <f>TiposLancamentos!B19</f>
        <v>Restaurantes</v>
      </c>
      <c r="C627" s="280" t="s">
        <v>11101</v>
      </c>
      <c r="D627" s="281"/>
      <c r="E627" s="1293">
        <v>66</v>
      </c>
      <c r="F627" s="1271"/>
      <c r="G627" s="1152" t="s">
        <v>9</v>
      </c>
    </row>
    <row r="628" spans="1:7">
      <c r="A628" s="1272">
        <v>43105</v>
      </c>
      <c r="B628" s="279" t="str">
        <f>TiposLancamentos!B16</f>
        <v>Cristiane</v>
      </c>
      <c r="C628" s="280" t="s">
        <v>18493</v>
      </c>
      <c r="D628" s="281"/>
      <c r="E628" s="1293">
        <v>229.97</v>
      </c>
      <c r="F628" s="1271"/>
      <c r="G628" s="1152" t="s">
        <v>9</v>
      </c>
    </row>
    <row r="629" spans="1:7">
      <c r="A629" s="1272">
        <v>43105</v>
      </c>
      <c r="B629" s="279" t="str">
        <f>TiposLancamentos!B16</f>
        <v>Cristiane</v>
      </c>
      <c r="C629" s="280" t="s">
        <v>18736</v>
      </c>
      <c r="D629" s="281"/>
      <c r="E629" s="1293">
        <v>76.900000000000006</v>
      </c>
      <c r="F629" s="1271"/>
      <c r="G629" s="1152" t="s">
        <v>9</v>
      </c>
    </row>
    <row r="630" spans="1:7">
      <c r="A630" s="1272">
        <v>43105</v>
      </c>
      <c r="B630" s="279" t="str">
        <f>TiposLancamentos!B16</f>
        <v>Cristiane</v>
      </c>
      <c r="C630" s="280" t="s">
        <v>18737</v>
      </c>
      <c r="D630" s="281"/>
      <c r="E630" s="1293">
        <v>169.9</v>
      </c>
      <c r="F630" s="1271"/>
      <c r="G630" s="1152" t="s">
        <v>9</v>
      </c>
    </row>
    <row r="631" spans="1:7">
      <c r="A631" s="1272">
        <v>43106</v>
      </c>
      <c r="B631" s="279" t="str">
        <f>TiposLancamentos!B5</f>
        <v>Supermercado</v>
      </c>
      <c r="C631" s="280" t="s">
        <v>6234</v>
      </c>
      <c r="D631" s="281"/>
      <c r="E631" s="1293">
        <v>174.37</v>
      </c>
      <c r="F631" s="1271"/>
      <c r="G631" s="1152" t="s">
        <v>9</v>
      </c>
    </row>
    <row r="632" spans="1:7">
      <c r="A632" s="1272">
        <v>43107</v>
      </c>
      <c r="B632" s="279" t="str">
        <f>TiposLancamentos!B16</f>
        <v>Cristiane</v>
      </c>
      <c r="C632" s="280" t="s">
        <v>18738</v>
      </c>
      <c r="D632" s="281"/>
      <c r="E632" s="1293">
        <v>10.17</v>
      </c>
      <c r="F632" s="1271" t="s">
        <v>17292</v>
      </c>
      <c r="G632" s="1152" t="s">
        <v>9</v>
      </c>
    </row>
    <row r="633" spans="1:7">
      <c r="A633" s="1272">
        <v>43107</v>
      </c>
      <c r="B633" s="279" t="str">
        <f>TiposLancamentos!B4</f>
        <v>Taxas Bancarias</v>
      </c>
      <c r="C633" s="280" t="s">
        <v>18739</v>
      </c>
      <c r="D633" s="281"/>
      <c r="E633" s="1293">
        <v>0.62</v>
      </c>
      <c r="F633" s="1271"/>
      <c r="G633" s="1152" t="s">
        <v>9</v>
      </c>
    </row>
    <row r="634" spans="1:7">
      <c r="A634" s="884">
        <v>43108</v>
      </c>
      <c r="B634" s="240" t="str">
        <f>TiposLancamentos!B71</f>
        <v>Itens Pessoais</v>
      </c>
      <c r="C634" s="878" t="s">
        <v>18740</v>
      </c>
      <c r="D634" s="63"/>
      <c r="E634" s="231">
        <v>308</v>
      </c>
      <c r="F634" s="899">
        <f>E634*6</f>
        <v>1848</v>
      </c>
      <c r="G634" s="1152" t="s">
        <v>9</v>
      </c>
    </row>
    <row r="635" spans="1:7">
      <c r="A635" s="1272">
        <v>43108</v>
      </c>
      <c r="B635" s="279" t="str">
        <f>TiposLancamentos!B16</f>
        <v>Cristiane</v>
      </c>
      <c r="C635" s="280" t="s">
        <v>18741</v>
      </c>
      <c r="D635" s="281"/>
      <c r="E635" s="1293">
        <v>150</v>
      </c>
      <c r="F635" s="1271"/>
      <c r="G635" s="1152" t="s">
        <v>9</v>
      </c>
    </row>
    <row r="636" spans="1:7">
      <c r="A636" s="1272">
        <v>43108</v>
      </c>
      <c r="B636" s="279" t="str">
        <f>TiposLancamentos!B5</f>
        <v>Supermercado</v>
      </c>
      <c r="C636" s="280" t="s">
        <v>6234</v>
      </c>
      <c r="D636" s="281"/>
      <c r="E636" s="1293">
        <v>187.92</v>
      </c>
      <c r="F636" s="1271"/>
      <c r="G636" s="1152" t="s">
        <v>9</v>
      </c>
    </row>
    <row r="637" spans="1:7">
      <c r="A637" s="1272">
        <v>43110</v>
      </c>
      <c r="B637" s="279" t="str">
        <f>TiposLancamentos!B16</f>
        <v>Cristiane</v>
      </c>
      <c r="C637" s="280" t="s">
        <v>18742</v>
      </c>
      <c r="D637" s="281"/>
      <c r="E637" s="1293">
        <v>98.3</v>
      </c>
      <c r="F637" s="1271"/>
      <c r="G637" s="1152" t="s">
        <v>9</v>
      </c>
    </row>
    <row r="638" spans="1:7">
      <c r="A638" s="1226">
        <v>43111</v>
      </c>
      <c r="B638" s="1218" t="str">
        <f>TiposLancamentos!B57</f>
        <v>Informática</v>
      </c>
      <c r="C638" s="1219" t="s">
        <v>18743</v>
      </c>
      <c r="D638" s="1220"/>
      <c r="E638" s="1221">
        <v>100</v>
      </c>
      <c r="F638" s="1227"/>
      <c r="G638" s="1152" t="s">
        <v>9</v>
      </c>
    </row>
    <row r="639" spans="1:7">
      <c r="A639" s="1228">
        <v>43111</v>
      </c>
      <c r="B639" s="1222" t="str">
        <f>TiposLancamentos!B57</f>
        <v>Informática</v>
      </c>
      <c r="C639" s="1223" t="s">
        <v>18744</v>
      </c>
      <c r="D639" s="1224"/>
      <c r="E639" s="1225">
        <f>F639-E638</f>
        <v>68.889999999999986</v>
      </c>
      <c r="F639" s="1229">
        <v>168.89</v>
      </c>
      <c r="G639" s="1152" t="s">
        <v>9</v>
      </c>
    </row>
    <row r="640" spans="1:7">
      <c r="A640" s="1272">
        <v>43112</v>
      </c>
      <c r="B640" s="279" t="str">
        <f>TiposLancamentos!B19</f>
        <v>Restaurantes</v>
      </c>
      <c r="C640" s="280" t="s">
        <v>18745</v>
      </c>
      <c r="D640" s="281"/>
      <c r="E640" s="1293">
        <v>58.6</v>
      </c>
      <c r="F640" s="1271"/>
      <c r="G640" s="1152" t="s">
        <v>9</v>
      </c>
    </row>
    <row r="641" spans="1:7">
      <c r="A641" s="884">
        <v>43113</v>
      </c>
      <c r="B641" s="240" t="str">
        <f>TiposLancamentos!B22</f>
        <v>Combustivel</v>
      </c>
      <c r="C641" s="878" t="s">
        <v>6412</v>
      </c>
      <c r="D641" s="63"/>
      <c r="E641" s="231">
        <v>95.46</v>
      </c>
      <c r="F641" s="899"/>
      <c r="G641" s="1152" t="s">
        <v>9</v>
      </c>
    </row>
    <row r="642" spans="1:7">
      <c r="A642" s="1272">
        <v>43113</v>
      </c>
      <c r="B642" s="279" t="str">
        <f>TiposLancamentos!B71</f>
        <v>Itens Pessoais</v>
      </c>
      <c r="C642" s="280" t="s">
        <v>18746</v>
      </c>
      <c r="D642" s="281"/>
      <c r="E642" s="1293">
        <v>106.333</v>
      </c>
      <c r="F642" s="1271">
        <f>E642*3</f>
        <v>318.99900000000002</v>
      </c>
      <c r="G642" s="1152" t="s">
        <v>9</v>
      </c>
    </row>
    <row r="643" spans="1:7">
      <c r="A643" s="884">
        <v>43114</v>
      </c>
      <c r="B643" s="240" t="str">
        <f>TiposLancamentos!B87</f>
        <v>P207-1.6-XS</v>
      </c>
      <c r="C643" s="878" t="s">
        <v>18747</v>
      </c>
      <c r="D643" s="63"/>
      <c r="E643" s="231">
        <v>184.5</v>
      </c>
      <c r="F643" s="899">
        <v>738</v>
      </c>
      <c r="G643" s="1152" t="s">
        <v>9</v>
      </c>
    </row>
    <row r="644" spans="1:7">
      <c r="A644" s="884">
        <v>43114</v>
      </c>
      <c r="B644" s="240" t="str">
        <f>TiposLancamentos!B71</f>
        <v>Itens Pessoais</v>
      </c>
      <c r="C644" s="878" t="s">
        <v>18748</v>
      </c>
      <c r="D644" s="63"/>
      <c r="E644" s="231">
        <f>F644/10</f>
        <v>199.8</v>
      </c>
      <c r="F644" s="899">
        <v>1998</v>
      </c>
      <c r="G644" s="1152" t="s">
        <v>9</v>
      </c>
    </row>
    <row r="645" spans="1:7">
      <c r="A645" s="1272">
        <v>43115</v>
      </c>
      <c r="B645" s="279" t="str">
        <f>TiposLancamentos!B16</f>
        <v>Cristiane</v>
      </c>
      <c r="C645" s="280" t="s">
        <v>18749</v>
      </c>
      <c r="D645" s="281"/>
      <c r="E645" s="1293">
        <v>185.59</v>
      </c>
      <c r="F645" s="1271"/>
      <c r="G645" s="1152" t="s">
        <v>9</v>
      </c>
    </row>
    <row r="646" spans="1:7">
      <c r="A646" s="1272">
        <v>43116</v>
      </c>
      <c r="B646" s="279" t="str">
        <f>TiposLancamentos!B16</f>
        <v>Cristiane</v>
      </c>
      <c r="C646" s="280" t="s">
        <v>18750</v>
      </c>
      <c r="D646" s="281"/>
      <c r="E646" s="1293">
        <v>61</v>
      </c>
      <c r="F646" s="1271"/>
      <c r="G646" s="1152" t="s">
        <v>9</v>
      </c>
    </row>
    <row r="647" spans="1:7">
      <c r="A647" s="1272">
        <v>43116</v>
      </c>
      <c r="B647" s="279" t="str">
        <f>TiposLancamentos!B16</f>
        <v>Cristiane</v>
      </c>
      <c r="C647" s="280" t="s">
        <v>18381</v>
      </c>
      <c r="D647" s="281"/>
      <c r="E647" s="1293">
        <v>48.1</v>
      </c>
      <c r="F647" s="1271"/>
      <c r="G647" s="1152" t="s">
        <v>9</v>
      </c>
    </row>
    <row r="648" spans="1:7">
      <c r="A648" s="1272">
        <v>43117</v>
      </c>
      <c r="B648" s="279" t="str">
        <f>TiposLancamentos!B16</f>
        <v>Cristiane</v>
      </c>
      <c r="C648" s="280" t="s">
        <v>18751</v>
      </c>
      <c r="D648" s="281"/>
      <c r="E648" s="1293">
        <v>128.80000000000001</v>
      </c>
      <c r="F648" s="1271"/>
      <c r="G648" s="1152" t="s">
        <v>9</v>
      </c>
    </row>
    <row r="649" spans="1:7">
      <c r="A649" s="884">
        <v>43118</v>
      </c>
      <c r="B649" s="240" t="str">
        <f>TiposLancamentos!B16</f>
        <v>Cristiane</v>
      </c>
      <c r="C649" s="878" t="s">
        <v>18752</v>
      </c>
      <c r="D649" s="63"/>
      <c r="E649" s="231">
        <v>222.69</v>
      </c>
      <c r="F649" s="899">
        <f>E649*3</f>
        <v>668.06999999999994</v>
      </c>
      <c r="G649" s="1152" t="s">
        <v>9</v>
      </c>
    </row>
    <row r="650" spans="1:7">
      <c r="A650" s="934"/>
      <c r="B650" s="243"/>
      <c r="C650" s="389" t="s">
        <v>10</v>
      </c>
      <c r="D650" s="146"/>
      <c r="E650" s="1190"/>
      <c r="F650" s="935"/>
      <c r="G650" s="1094" t="s">
        <v>11</v>
      </c>
    </row>
    <row r="651" spans="1:7">
      <c r="A651" s="1272">
        <v>43120</v>
      </c>
      <c r="B651" s="279" t="str">
        <f>TiposLancamentos!B19</f>
        <v>Restaurantes</v>
      </c>
      <c r="C651" s="280" t="s">
        <v>11101</v>
      </c>
      <c r="D651" s="281"/>
      <c r="E651" s="1293">
        <v>77.8</v>
      </c>
      <c r="F651" s="1271"/>
      <c r="G651" s="1152" t="s">
        <v>9</v>
      </c>
    </row>
    <row r="652" spans="1:7">
      <c r="A652" s="1272">
        <v>43122</v>
      </c>
      <c r="B652" s="279" t="str">
        <f>B648</f>
        <v>Cristiane</v>
      </c>
      <c r="C652" s="280" t="s">
        <v>18753</v>
      </c>
      <c r="D652" s="281"/>
      <c r="E652" s="1293">
        <v>95.7</v>
      </c>
      <c r="F652" s="1271"/>
      <c r="G652" s="1152" t="s">
        <v>9</v>
      </c>
    </row>
    <row r="653" spans="1:7">
      <c r="A653" s="884">
        <v>43123</v>
      </c>
      <c r="B653" s="240" t="str">
        <f>TiposLancamentos!B57</f>
        <v>Informática</v>
      </c>
      <c r="C653" s="878" t="s">
        <v>18754</v>
      </c>
      <c r="D653" s="63"/>
      <c r="E653" s="231">
        <v>214.49</v>
      </c>
      <c r="F653" s="899"/>
      <c r="G653" s="1152" t="s">
        <v>9</v>
      </c>
    </row>
    <row r="654" spans="1:7">
      <c r="A654" s="1249">
        <v>43123</v>
      </c>
      <c r="B654" s="1218" t="str">
        <f>TiposLancamentos!B48</f>
        <v>Baralhos e Oráculos</v>
      </c>
      <c r="C654" s="1219" t="s">
        <v>18755</v>
      </c>
      <c r="D654" s="1220"/>
      <c r="E654" s="1221">
        <f>(55-1.8)</f>
        <v>53.2</v>
      </c>
      <c r="F654" s="1227"/>
      <c r="G654" s="1152" t="s">
        <v>9</v>
      </c>
    </row>
    <row r="655" spans="1:7">
      <c r="A655" s="1264">
        <v>43123</v>
      </c>
      <c r="B655" s="1259" t="str">
        <f>TiposLancamentos!B48</f>
        <v>Baralhos e Oráculos</v>
      </c>
      <c r="C655" s="1260" t="s">
        <v>18756</v>
      </c>
      <c r="D655" s="1261"/>
      <c r="E655" s="1262">
        <f>(47.3-1.8)</f>
        <v>45.5</v>
      </c>
      <c r="F655" s="1263"/>
      <c r="G655" s="1152" t="s">
        <v>9</v>
      </c>
    </row>
    <row r="656" spans="1:7">
      <c r="A656" s="1253">
        <v>43123</v>
      </c>
      <c r="B656" s="1222" t="str">
        <f>TiposLancamentos!B48</f>
        <v>Baralhos e Oráculos</v>
      </c>
      <c r="C656" s="1223" t="s">
        <v>18757</v>
      </c>
      <c r="D656" s="1224"/>
      <c r="E656" s="1225">
        <f>(58.2-1.8)</f>
        <v>56.400000000000006</v>
      </c>
      <c r="F656" s="1229">
        <f>SUM(E654:E656)</f>
        <v>155.10000000000002</v>
      </c>
      <c r="G656" s="1152" t="s">
        <v>9</v>
      </c>
    </row>
    <row r="657" spans="1:7">
      <c r="A657" s="884">
        <v>43124</v>
      </c>
      <c r="B657" s="240" t="str">
        <f>TiposLancamentos!B49</f>
        <v>Mergulho</v>
      </c>
      <c r="C657" s="878" t="s">
        <v>18758</v>
      </c>
      <c r="D657" s="63"/>
      <c r="E657" s="231">
        <v>1013.34</v>
      </c>
      <c r="F657" s="899">
        <f>E657*3</f>
        <v>3040.02</v>
      </c>
      <c r="G657" s="1152" t="s">
        <v>9</v>
      </c>
    </row>
    <row r="658" spans="1:7">
      <c r="A658" s="884">
        <v>43124</v>
      </c>
      <c r="B658" s="240" t="str">
        <f>TiposLancamentos!B48</f>
        <v>Baralhos e Oráculos</v>
      </c>
      <c r="C658" s="878" t="s">
        <v>18759</v>
      </c>
      <c r="D658" s="63"/>
      <c r="E658" s="231">
        <v>164.39</v>
      </c>
      <c r="F658" s="899"/>
      <c r="G658" s="1152" t="s">
        <v>9</v>
      </c>
    </row>
    <row r="659" spans="1:7">
      <c r="A659" s="884">
        <v>43124</v>
      </c>
      <c r="B659" s="240" t="str">
        <f>TiposLancamentos!B98</f>
        <v>Restituições</v>
      </c>
      <c r="C659" s="878" t="s">
        <v>18759</v>
      </c>
      <c r="D659" s="63">
        <v>164.39</v>
      </c>
      <c r="E659" s="231"/>
      <c r="F659" s="899"/>
      <c r="G659" s="1152" t="s">
        <v>9</v>
      </c>
    </row>
    <row r="660" spans="1:7">
      <c r="A660" s="1272">
        <v>43125</v>
      </c>
      <c r="B660" s="279" t="str">
        <f>B652</f>
        <v>Cristiane</v>
      </c>
      <c r="C660" s="280" t="s">
        <v>6052</v>
      </c>
      <c r="D660" s="281"/>
      <c r="E660" s="1293">
        <v>100.15</v>
      </c>
      <c r="F660" s="1271"/>
      <c r="G660" s="1152" t="s">
        <v>9</v>
      </c>
    </row>
    <row r="661" spans="1:7">
      <c r="A661" s="884">
        <v>43126</v>
      </c>
      <c r="B661" s="240" t="str">
        <f>B652</f>
        <v>Cristiane</v>
      </c>
      <c r="C661" s="878" t="s">
        <v>18760</v>
      </c>
      <c r="D661" s="63"/>
      <c r="E661" s="231">
        <v>108.8</v>
      </c>
      <c r="F661" s="899"/>
      <c r="G661" s="1152" t="s">
        <v>9</v>
      </c>
    </row>
    <row r="662" spans="1:7">
      <c r="A662" s="884">
        <v>43126</v>
      </c>
      <c r="B662" s="240" t="str">
        <f>TiposLancamentos!B65</f>
        <v>Taxi</v>
      </c>
      <c r="C662" s="878" t="s">
        <v>18761</v>
      </c>
      <c r="D662" s="63"/>
      <c r="E662" s="231">
        <v>6.1</v>
      </c>
      <c r="F662" s="899"/>
      <c r="G662" s="1152" t="s">
        <v>9</v>
      </c>
    </row>
    <row r="663" spans="1:7">
      <c r="A663" s="884">
        <v>43128</v>
      </c>
      <c r="B663" s="240" t="str">
        <f>TiposLancamentos!B45</f>
        <v>Online Services</v>
      </c>
      <c r="C663" s="878" t="s">
        <v>1894</v>
      </c>
      <c r="D663" s="63"/>
      <c r="E663" s="231">
        <v>27.9</v>
      </c>
      <c r="F663" s="899"/>
      <c r="G663" s="1152" t="s">
        <v>9</v>
      </c>
    </row>
    <row r="664" spans="1:7">
      <c r="A664" s="884">
        <v>43128</v>
      </c>
      <c r="B664" s="240" t="str">
        <f>TiposLancamentos!B45</f>
        <v>Online Services</v>
      </c>
      <c r="C664" s="878" t="s">
        <v>1895</v>
      </c>
      <c r="D664" s="63"/>
      <c r="E664" s="231">
        <v>26.9</v>
      </c>
      <c r="F664" s="899"/>
      <c r="G664" s="1152" t="s">
        <v>9</v>
      </c>
    </row>
    <row r="665" spans="1:7">
      <c r="A665" s="884">
        <v>43128</v>
      </c>
      <c r="B665" s="240" t="str">
        <f>TiposLancamentos!B31</f>
        <v>Action Figures</v>
      </c>
      <c r="C665" s="878" t="s">
        <v>18762</v>
      </c>
      <c r="D665" s="63"/>
      <c r="E665" s="231">
        <v>106.41</v>
      </c>
      <c r="F665" s="899">
        <v>319.25</v>
      </c>
      <c r="G665" s="1152" t="s">
        <v>9</v>
      </c>
    </row>
    <row r="666" spans="1:7">
      <c r="A666" s="884">
        <v>43129</v>
      </c>
      <c r="B666" s="240" t="str">
        <f>TiposLancamentos!B65</f>
        <v>Taxi</v>
      </c>
      <c r="C666" s="878" t="s">
        <v>18763</v>
      </c>
      <c r="D666" s="63"/>
      <c r="E666" s="231">
        <v>6.1</v>
      </c>
      <c r="F666" s="899"/>
      <c r="G666" s="1152" t="s">
        <v>9</v>
      </c>
    </row>
    <row r="667" spans="1:7">
      <c r="A667" s="884">
        <v>43129</v>
      </c>
      <c r="B667" s="240" t="str">
        <f>TiposLancamentos!B45</f>
        <v>Online Services</v>
      </c>
      <c r="C667" s="878" t="s">
        <v>11232</v>
      </c>
      <c r="D667" s="63"/>
      <c r="E667" s="231">
        <v>69.989999999999995</v>
      </c>
      <c r="F667" s="899"/>
      <c r="G667" s="1152" t="s">
        <v>9</v>
      </c>
    </row>
    <row r="668" spans="1:7">
      <c r="A668" s="884">
        <v>43129</v>
      </c>
      <c r="B668" s="240" t="str">
        <f>TiposLancamentos!B71</f>
        <v>Itens Pessoais</v>
      </c>
      <c r="C668" s="878" t="s">
        <v>18764</v>
      </c>
      <c r="D668" s="63"/>
      <c r="E668" s="231">
        <v>285.85000000000002</v>
      </c>
      <c r="F668" s="899">
        <v>1714.9</v>
      </c>
      <c r="G668" s="1152" t="s">
        <v>9</v>
      </c>
    </row>
    <row r="669" spans="1:7">
      <c r="A669" s="884">
        <v>43129</v>
      </c>
      <c r="B669" s="240" t="str">
        <f>B652</f>
        <v>Cristiane</v>
      </c>
      <c r="C669" s="878" t="s">
        <v>18765</v>
      </c>
      <c r="D669" s="63"/>
      <c r="E669" s="231">
        <v>85.9</v>
      </c>
      <c r="F669" s="899"/>
      <c r="G669" s="1152" t="s">
        <v>9</v>
      </c>
    </row>
    <row r="670" spans="1:7">
      <c r="A670" s="884">
        <v>43129</v>
      </c>
      <c r="B670" s="240" t="str">
        <f>TiposLancamentos!B19</f>
        <v>Restaurantes</v>
      </c>
      <c r="C670" s="878" t="s">
        <v>18766</v>
      </c>
      <c r="D670" s="63"/>
      <c r="E670" s="231">
        <v>59</v>
      </c>
      <c r="F670" s="899"/>
      <c r="G670" s="1152" t="s">
        <v>9</v>
      </c>
    </row>
    <row r="671" spans="1:7">
      <c r="A671" s="884">
        <v>43129</v>
      </c>
      <c r="B671" s="240" t="str">
        <f>TiposLancamentos!B5</f>
        <v>Supermercado</v>
      </c>
      <c r="C671" s="878" t="s">
        <v>18767</v>
      </c>
      <c r="D671" s="63"/>
      <c r="E671" s="231">
        <v>15.53</v>
      </c>
      <c r="F671" s="899"/>
      <c r="G671" s="1152" t="s">
        <v>9</v>
      </c>
    </row>
    <row r="672" spans="1:7">
      <c r="A672" s="884">
        <v>43129</v>
      </c>
      <c r="B672" s="240" t="str">
        <f>TiposLancamentos!B102</f>
        <v>ESTORNO</v>
      </c>
      <c r="C672" s="878" t="s">
        <v>18768</v>
      </c>
      <c r="D672" s="63">
        <v>3.29</v>
      </c>
      <c r="E672" s="231"/>
      <c r="F672" s="899"/>
      <c r="G672" s="1152"/>
    </row>
    <row r="673" spans="1:7">
      <c r="A673" s="884">
        <v>43130</v>
      </c>
      <c r="B673" s="240" t="str">
        <f>TiposLancamentos!B5</f>
        <v>Supermercado</v>
      </c>
      <c r="C673" s="878" t="s">
        <v>6234</v>
      </c>
      <c r="D673" s="63"/>
      <c r="E673" s="231">
        <v>29.25</v>
      </c>
      <c r="F673" s="899"/>
      <c r="G673" s="1152" t="s">
        <v>9</v>
      </c>
    </row>
    <row r="674" spans="1:7">
      <c r="A674" s="1272">
        <v>43130</v>
      </c>
      <c r="B674" s="279" t="str">
        <f>B652</f>
        <v>Cristiane</v>
      </c>
      <c r="C674" s="280" t="s">
        <v>18769</v>
      </c>
      <c r="D674" s="281"/>
      <c r="E674" s="1293">
        <v>35.9</v>
      </c>
      <c r="F674" s="1271"/>
      <c r="G674" s="1152" t="s">
        <v>9</v>
      </c>
    </row>
    <row r="675" spans="1:7" ht="14.25" thickBot="1">
      <c r="A675" s="884">
        <v>43130</v>
      </c>
      <c r="B675" s="240" t="str">
        <f>TiposLancamentos!B72</f>
        <v>Presentes</v>
      </c>
      <c r="C675" s="878" t="s">
        <v>18770</v>
      </c>
      <c r="D675" s="63"/>
      <c r="E675" s="231">
        <v>115.11</v>
      </c>
      <c r="F675" s="899"/>
      <c r="G675" s="1152" t="s">
        <v>9</v>
      </c>
    </row>
    <row r="676" spans="1:7">
      <c r="A676" s="1032"/>
      <c r="B676" s="1230"/>
      <c r="C676" s="906" t="s">
        <v>11197</v>
      </c>
      <c r="D676" s="896"/>
      <c r="E676" s="925"/>
      <c r="F676" s="898">
        <f>SUM(E607:E649)</f>
        <v>4841.0030000000006</v>
      </c>
      <c r="G676" s="3"/>
    </row>
    <row r="677" spans="1:7">
      <c r="A677" s="884">
        <v>43132</v>
      </c>
      <c r="B677" s="240" t="str">
        <f>TiposLancamentos!B15</f>
        <v>Cartões de Crédito</v>
      </c>
      <c r="C677" s="878" t="s">
        <v>1874</v>
      </c>
      <c r="D677" s="63">
        <v>4841</v>
      </c>
      <c r="E677" s="231"/>
      <c r="F677" s="899"/>
      <c r="G677" s="3"/>
    </row>
    <row r="678" spans="1:7">
      <c r="A678" s="884">
        <v>43133</v>
      </c>
      <c r="B678" s="240" t="str">
        <f>TiposLancamentos!B56</f>
        <v>Farmácia</v>
      </c>
      <c r="C678" s="878" t="s">
        <v>6118</v>
      </c>
      <c r="D678" s="63"/>
      <c r="E678" s="231">
        <v>74.16</v>
      </c>
      <c r="F678" s="899"/>
      <c r="G678" s="1152" t="s">
        <v>9</v>
      </c>
    </row>
    <row r="679" spans="1:7">
      <c r="A679" s="884">
        <v>43133</v>
      </c>
      <c r="B679" s="240" t="str">
        <f>TiposLancamentos!B45</f>
        <v>Online Services</v>
      </c>
      <c r="C679" s="878" t="s">
        <v>18771</v>
      </c>
      <c r="D679" s="63"/>
      <c r="E679" s="231"/>
      <c r="F679" s="899">
        <v>15</v>
      </c>
      <c r="G679" s="1094" t="s">
        <v>11</v>
      </c>
    </row>
    <row r="680" spans="1:7">
      <c r="A680" s="884">
        <v>43133</v>
      </c>
      <c r="B680" s="240" t="str">
        <f>TiposLancamentos!B45</f>
        <v>Online Services</v>
      </c>
      <c r="C680" s="878" t="s">
        <v>18772</v>
      </c>
      <c r="D680" s="63"/>
      <c r="E680" s="231">
        <v>10</v>
      </c>
      <c r="F680" s="899"/>
      <c r="G680" s="1152" t="s">
        <v>9</v>
      </c>
    </row>
    <row r="681" spans="1:7">
      <c r="A681" s="1272">
        <v>43133</v>
      </c>
      <c r="B681" s="279" t="str">
        <f>TiposLancamentos!B5</f>
        <v>Supermercado</v>
      </c>
      <c r="C681" s="280" t="s">
        <v>18773</v>
      </c>
      <c r="D681" s="281"/>
      <c r="E681" s="1293">
        <v>75.67</v>
      </c>
      <c r="F681" s="1271"/>
      <c r="G681" s="1152" t="s">
        <v>9</v>
      </c>
    </row>
    <row r="682" spans="1:7">
      <c r="A682" s="884">
        <v>43133</v>
      </c>
      <c r="B682" s="240" t="str">
        <f>TiposLancamentos!B56</f>
        <v>Farmácia</v>
      </c>
      <c r="C682" s="878" t="s">
        <v>18774</v>
      </c>
      <c r="D682" s="63"/>
      <c r="E682" s="231">
        <v>34.409999999999997</v>
      </c>
      <c r="F682" s="899"/>
      <c r="G682" s="1152" t="s">
        <v>9</v>
      </c>
    </row>
    <row r="683" spans="1:7">
      <c r="A683" s="1272">
        <v>43133</v>
      </c>
      <c r="B683" s="279" t="str">
        <f>TiposLancamentos!B19</f>
        <v>Restaurantes</v>
      </c>
      <c r="C683" s="280" t="s">
        <v>18775</v>
      </c>
      <c r="D683" s="281"/>
      <c r="E683" s="1293">
        <v>80.8</v>
      </c>
      <c r="F683" s="1271"/>
      <c r="G683" s="1152" t="s">
        <v>9</v>
      </c>
    </row>
    <row r="684" spans="1:7">
      <c r="A684" s="884">
        <v>43134</v>
      </c>
      <c r="B684" s="240" t="str">
        <f>TiposLancamentos!B5</f>
        <v>Supermercado</v>
      </c>
      <c r="C684" s="878" t="s">
        <v>18776</v>
      </c>
      <c r="D684" s="63"/>
      <c r="E684" s="231">
        <v>70.5</v>
      </c>
      <c r="F684" s="899"/>
      <c r="G684" s="1152" t="s">
        <v>9</v>
      </c>
    </row>
    <row r="685" spans="1:7">
      <c r="A685" s="884">
        <v>43134</v>
      </c>
      <c r="B685" s="240" t="str">
        <f>TiposLancamentos!B17</f>
        <v>GATO</v>
      </c>
      <c r="C685" s="878" t="s">
        <v>18777</v>
      </c>
      <c r="D685" s="63"/>
      <c r="E685" s="231">
        <v>163.63</v>
      </c>
      <c r="F685" s="899"/>
      <c r="G685" s="1152" t="s">
        <v>9</v>
      </c>
    </row>
    <row r="686" spans="1:7">
      <c r="A686" s="884">
        <v>43134</v>
      </c>
      <c r="B686" s="240" t="str">
        <f>TiposLancamentos!B19</f>
        <v>Restaurantes</v>
      </c>
      <c r="C686" s="878" t="s">
        <v>18778</v>
      </c>
      <c r="D686" s="63"/>
      <c r="E686" s="231">
        <v>177.4</v>
      </c>
      <c r="F686" s="899"/>
      <c r="G686" s="1152" t="s">
        <v>9</v>
      </c>
    </row>
    <row r="687" spans="1:7">
      <c r="A687" s="884">
        <v>43134</v>
      </c>
      <c r="B687" s="240" t="str">
        <f>TiposLancamentos!B16</f>
        <v>Cristiane</v>
      </c>
      <c r="C687" s="878" t="s">
        <v>18779</v>
      </c>
      <c r="D687" s="63"/>
      <c r="E687" s="231">
        <v>43.97</v>
      </c>
      <c r="F687" s="899"/>
      <c r="G687" s="1152" t="s">
        <v>9</v>
      </c>
    </row>
    <row r="688" spans="1:7">
      <c r="A688" s="884">
        <v>43134</v>
      </c>
      <c r="B688" s="240" t="str">
        <f>TiposLancamentos!B44</f>
        <v>Academia</v>
      </c>
      <c r="C688" s="878" t="s">
        <v>11185</v>
      </c>
      <c r="D688" s="63"/>
      <c r="E688" s="231">
        <v>178</v>
      </c>
      <c r="F688" s="899">
        <f>E688*4</f>
        <v>712</v>
      </c>
      <c r="G688" s="1152" t="s">
        <v>9</v>
      </c>
    </row>
    <row r="689" spans="1:7">
      <c r="A689" s="884">
        <v>43134</v>
      </c>
      <c r="B689" s="240" t="str">
        <f>TiposLancamentos!B87</f>
        <v>P207-1.6-XS</v>
      </c>
      <c r="C689" s="878" t="s">
        <v>18780</v>
      </c>
      <c r="D689" s="63"/>
      <c r="E689" s="231">
        <v>376.66</v>
      </c>
      <c r="F689" s="899">
        <v>2260</v>
      </c>
      <c r="G689" s="1152" t="s">
        <v>9</v>
      </c>
    </row>
    <row r="690" spans="1:7">
      <c r="A690" s="884">
        <v>43135</v>
      </c>
      <c r="B690" s="240" t="str">
        <f>TiposLancamentos!B19</f>
        <v>Restaurantes</v>
      </c>
      <c r="C690" s="878" t="s">
        <v>18781</v>
      </c>
      <c r="D690" s="63"/>
      <c r="E690" s="231">
        <v>61.74</v>
      </c>
      <c r="F690" s="899"/>
      <c r="G690" s="1152" t="s">
        <v>9</v>
      </c>
    </row>
    <row r="691" spans="1:7">
      <c r="A691" s="884">
        <v>43135</v>
      </c>
      <c r="B691" s="240" t="str">
        <f>TiposLancamentos!B26</f>
        <v>LIVROS</v>
      </c>
      <c r="C691" s="878" t="s">
        <v>18782</v>
      </c>
      <c r="D691" s="63"/>
      <c r="E691" s="231">
        <v>250</v>
      </c>
      <c r="F691" s="899"/>
      <c r="G691" s="1152" t="s">
        <v>9</v>
      </c>
    </row>
    <row r="692" spans="1:7">
      <c r="A692" s="884">
        <v>43136</v>
      </c>
      <c r="B692" s="240" t="str">
        <f>TiposLancamentos!B5</f>
        <v>Supermercado</v>
      </c>
      <c r="C692" s="878" t="s">
        <v>11107</v>
      </c>
      <c r="D692" s="63"/>
      <c r="E692" s="231">
        <v>41.45</v>
      </c>
      <c r="F692" s="899"/>
      <c r="G692" s="1152" t="s">
        <v>9</v>
      </c>
    </row>
    <row r="693" spans="1:7">
      <c r="A693" s="884">
        <v>43136</v>
      </c>
      <c r="B693" s="240" t="str">
        <f>TiposLancamentos!B22</f>
        <v>Combustivel</v>
      </c>
      <c r="C693" s="878" t="s">
        <v>18783</v>
      </c>
      <c r="D693" s="63"/>
      <c r="E693" s="231">
        <v>150</v>
      </c>
      <c r="F693" s="899"/>
      <c r="G693" s="1152" t="s">
        <v>9</v>
      </c>
    </row>
    <row r="694" spans="1:7">
      <c r="A694" s="884">
        <v>43138</v>
      </c>
      <c r="B694" s="240" t="str">
        <f>TiposLancamentos!B87</f>
        <v>P207-1.6-XS</v>
      </c>
      <c r="C694" s="878" t="s">
        <v>18784</v>
      </c>
      <c r="D694" s="63"/>
      <c r="E694" s="231">
        <v>354.4</v>
      </c>
      <c r="F694" s="899"/>
      <c r="G694" s="1152" t="s">
        <v>9</v>
      </c>
    </row>
    <row r="695" spans="1:7">
      <c r="A695" s="884">
        <v>43138</v>
      </c>
      <c r="B695" s="240" t="str">
        <f>TiposLancamentos!B32</f>
        <v>Clinicas e tratamentos</v>
      </c>
      <c r="C695" s="878" t="s">
        <v>18785</v>
      </c>
      <c r="D695" s="63"/>
      <c r="E695" s="231">
        <v>129.15</v>
      </c>
      <c r="F695" s="899"/>
      <c r="G695" s="1152" t="s">
        <v>9</v>
      </c>
    </row>
    <row r="696" spans="1:7">
      <c r="A696" s="1272">
        <v>43138</v>
      </c>
      <c r="B696" s="279" t="str">
        <f>TiposLancamentos!B19</f>
        <v>Restaurantes</v>
      </c>
      <c r="C696" s="280" t="s">
        <v>18786</v>
      </c>
      <c r="D696" s="281"/>
      <c r="E696" s="1293">
        <v>95.8</v>
      </c>
      <c r="F696" s="1271"/>
      <c r="G696" s="1152" t="s">
        <v>9</v>
      </c>
    </row>
    <row r="697" spans="1:7">
      <c r="A697" s="884">
        <v>43139</v>
      </c>
      <c r="B697" s="240" t="str">
        <f>TiposLancamentos!B71</f>
        <v>Itens Pessoais</v>
      </c>
      <c r="C697" s="878" t="s">
        <v>18787</v>
      </c>
      <c r="D697" s="63"/>
      <c r="E697" s="231">
        <v>308</v>
      </c>
      <c r="F697" s="899">
        <f>E697*6</f>
        <v>1848</v>
      </c>
      <c r="G697" s="1152" t="s">
        <v>9</v>
      </c>
    </row>
    <row r="698" spans="1:7">
      <c r="A698" s="884">
        <v>43139</v>
      </c>
      <c r="B698" s="240" t="str">
        <f>TiposLancamentos!B71</f>
        <v>Itens Pessoais</v>
      </c>
      <c r="C698" s="878" t="s">
        <v>18788</v>
      </c>
      <c r="D698" s="63"/>
      <c r="E698" s="231">
        <v>212.89</v>
      </c>
      <c r="F698" s="899"/>
      <c r="G698" s="1152" t="s">
        <v>9</v>
      </c>
    </row>
    <row r="699" spans="1:7">
      <c r="A699" s="884">
        <v>43139</v>
      </c>
      <c r="B699" s="240" t="str">
        <f>TiposLancamentos!B17</f>
        <v>GATO</v>
      </c>
      <c r="C699" s="878" t="s">
        <v>18789</v>
      </c>
      <c r="D699" s="63"/>
      <c r="E699" s="231">
        <v>112.98</v>
      </c>
      <c r="F699" s="899"/>
      <c r="G699" s="1152" t="s">
        <v>9</v>
      </c>
    </row>
    <row r="700" spans="1:7">
      <c r="A700" s="884">
        <v>43140</v>
      </c>
      <c r="B700" s="240" t="str">
        <f>TiposLancamentos!B72</f>
        <v>Presentes</v>
      </c>
      <c r="C700" s="878" t="s">
        <v>18790</v>
      </c>
      <c r="D700" s="63"/>
      <c r="E700" s="231">
        <v>160.99</v>
      </c>
      <c r="F700" s="899"/>
      <c r="G700" s="1152" t="s">
        <v>9</v>
      </c>
    </row>
    <row r="701" spans="1:7">
      <c r="A701" s="884">
        <v>43140</v>
      </c>
      <c r="B701" s="240" t="str">
        <f>TiposLancamentos!B17</f>
        <v>GATO</v>
      </c>
      <c r="C701" s="878" t="s">
        <v>18791</v>
      </c>
      <c r="D701" s="63"/>
      <c r="E701" s="231">
        <v>118</v>
      </c>
      <c r="F701" s="899"/>
      <c r="G701" s="1152" t="s">
        <v>9</v>
      </c>
    </row>
    <row r="702" spans="1:7">
      <c r="A702" s="884">
        <v>43140</v>
      </c>
      <c r="B702" s="240" t="str">
        <f>TiposLancamentos!B19</f>
        <v>Restaurantes</v>
      </c>
      <c r="C702" s="878" t="s">
        <v>18792</v>
      </c>
      <c r="D702" s="63"/>
      <c r="E702" s="231">
        <v>92.6</v>
      </c>
      <c r="F702" s="899"/>
      <c r="G702" s="1152" t="s">
        <v>9</v>
      </c>
    </row>
    <row r="703" spans="1:7">
      <c r="A703" s="884">
        <v>43140</v>
      </c>
      <c r="B703" s="240" t="str">
        <f>TiposLancamentos!B16</f>
        <v>Cristiane</v>
      </c>
      <c r="C703" s="878" t="s">
        <v>18793</v>
      </c>
      <c r="D703" s="63"/>
      <c r="E703" s="231">
        <v>119.95</v>
      </c>
      <c r="F703" s="899"/>
      <c r="G703" s="1152" t="s">
        <v>9</v>
      </c>
    </row>
    <row r="704" spans="1:7">
      <c r="A704" s="884">
        <v>43140</v>
      </c>
      <c r="B704" s="240" t="str">
        <f>TiposLancamentos!B56</f>
        <v>Farmácia</v>
      </c>
      <c r="C704" s="878" t="s">
        <v>18794</v>
      </c>
      <c r="D704" s="63"/>
      <c r="E704" s="231">
        <v>36.28</v>
      </c>
      <c r="F704" s="899"/>
      <c r="G704" s="1152" t="s">
        <v>9</v>
      </c>
    </row>
    <row r="705" spans="1:7">
      <c r="A705" s="884">
        <v>43141</v>
      </c>
      <c r="B705" s="240" t="str">
        <f>TiposLancamentos!B5</f>
        <v>Supermercado</v>
      </c>
      <c r="C705" s="878" t="s">
        <v>18795</v>
      </c>
      <c r="D705" s="63"/>
      <c r="E705" s="231">
        <v>174.56</v>
      </c>
      <c r="F705" s="899"/>
      <c r="G705" s="1152" t="s">
        <v>9</v>
      </c>
    </row>
    <row r="706" spans="1:7">
      <c r="A706" s="884">
        <v>43143</v>
      </c>
      <c r="B706" s="240" t="str">
        <f>TiposLancamentos!B22</f>
        <v>Combustivel</v>
      </c>
      <c r="C706" s="878" t="s">
        <v>6412</v>
      </c>
      <c r="D706" s="63"/>
      <c r="E706" s="231">
        <v>196.93</v>
      </c>
      <c r="F706" s="899"/>
      <c r="G706" s="1152" t="s">
        <v>9</v>
      </c>
    </row>
    <row r="707" spans="1:7">
      <c r="A707" s="1226">
        <v>43143</v>
      </c>
      <c r="B707" s="1218" t="str">
        <f>TiposLancamentos!B70</f>
        <v>Vestuário</v>
      </c>
      <c r="C707" s="1219" t="s">
        <v>18796</v>
      </c>
      <c r="D707" s="1220"/>
      <c r="E707" s="1221">
        <f>(79.9+179.9)</f>
        <v>259.8</v>
      </c>
      <c r="F707" s="1227"/>
      <c r="G707" s="1152" t="s">
        <v>9</v>
      </c>
    </row>
    <row r="708" spans="1:7">
      <c r="A708" s="1228">
        <v>43143</v>
      </c>
      <c r="B708" s="1222" t="str">
        <f>TiposLancamentos!B16</f>
        <v>Cristiane</v>
      </c>
      <c r="C708" s="1223" t="s">
        <v>18796</v>
      </c>
      <c r="D708" s="1224"/>
      <c r="E708" s="1225">
        <f>F708-E707</f>
        <v>149.80000000000001</v>
      </c>
      <c r="F708" s="1229">
        <v>409.6</v>
      </c>
      <c r="G708" s="1152" t="s">
        <v>9</v>
      </c>
    </row>
    <row r="709" spans="1:7">
      <c r="A709" s="884">
        <v>43143</v>
      </c>
      <c r="B709" s="240" t="str">
        <f>TiposLancamentos!B70</f>
        <v>Vestuário</v>
      </c>
      <c r="C709" s="878" t="s">
        <v>18797</v>
      </c>
      <c r="D709" s="63"/>
      <c r="E709" s="231">
        <v>37.450000000000003</v>
      </c>
      <c r="F709" s="899"/>
      <c r="G709" s="1152" t="s">
        <v>9</v>
      </c>
    </row>
    <row r="710" spans="1:7">
      <c r="A710" s="884">
        <v>43143</v>
      </c>
      <c r="B710" s="240" t="str">
        <f>TiposLancamentos!B19</f>
        <v>Restaurantes</v>
      </c>
      <c r="C710" s="878" t="s">
        <v>18798</v>
      </c>
      <c r="D710" s="63"/>
      <c r="E710" s="231">
        <v>37.299999999999997</v>
      </c>
      <c r="F710" s="899"/>
      <c r="G710" s="1152" t="s">
        <v>9</v>
      </c>
    </row>
    <row r="711" spans="1:7">
      <c r="A711" s="884">
        <v>43143</v>
      </c>
      <c r="B711" s="240" t="str">
        <f>TiposLancamentos!B19</f>
        <v>Restaurantes</v>
      </c>
      <c r="C711" s="878" t="s">
        <v>18799</v>
      </c>
      <c r="D711" s="63"/>
      <c r="E711" s="231">
        <v>33.6</v>
      </c>
      <c r="F711" s="899"/>
      <c r="G711" s="1152" t="s">
        <v>9</v>
      </c>
    </row>
    <row r="712" spans="1:7">
      <c r="A712" s="884">
        <v>43143</v>
      </c>
      <c r="B712" s="240" t="str">
        <f>TiposLancamentos!B19</f>
        <v>Restaurantes</v>
      </c>
      <c r="C712" s="878" t="s">
        <v>17835</v>
      </c>
      <c r="D712" s="63"/>
      <c r="E712" s="231">
        <v>68.5</v>
      </c>
      <c r="F712" s="899"/>
      <c r="G712" s="1152" t="s">
        <v>9</v>
      </c>
    </row>
    <row r="713" spans="1:7">
      <c r="A713" s="884">
        <v>43144</v>
      </c>
      <c r="B713" s="240" t="str">
        <f>TiposLancamentos!B19</f>
        <v>Restaurantes</v>
      </c>
      <c r="C713" s="878" t="s">
        <v>18800</v>
      </c>
      <c r="D713" s="63"/>
      <c r="E713" s="231">
        <v>120.45</v>
      </c>
      <c r="F713" s="899"/>
      <c r="G713" s="1152" t="s">
        <v>9</v>
      </c>
    </row>
    <row r="714" spans="1:7">
      <c r="A714" s="884">
        <v>43144</v>
      </c>
      <c r="B714" s="240" t="str">
        <f>TiposLancamentos!B16</f>
        <v>Cristiane</v>
      </c>
      <c r="C714" s="878" t="s">
        <v>18801</v>
      </c>
      <c r="D714" s="63"/>
      <c r="E714" s="231">
        <v>59.9</v>
      </c>
      <c r="F714" s="899"/>
      <c r="G714" s="1152" t="s">
        <v>9</v>
      </c>
    </row>
    <row r="715" spans="1:7">
      <c r="A715" s="884">
        <v>43144</v>
      </c>
      <c r="B715" s="240" t="str">
        <f>TiposLancamentos!B5</f>
        <v>Supermercado</v>
      </c>
      <c r="C715" s="878" t="s">
        <v>18802</v>
      </c>
      <c r="D715" s="63"/>
      <c r="E715" s="231">
        <v>36</v>
      </c>
      <c r="F715" s="899"/>
      <c r="G715" s="1152" t="s">
        <v>9</v>
      </c>
    </row>
    <row r="716" spans="1:7">
      <c r="A716" s="1272">
        <v>43144</v>
      </c>
      <c r="B716" s="279" t="str">
        <f>TiposLancamentos!B19</f>
        <v>Restaurantes</v>
      </c>
      <c r="C716" s="280" t="s">
        <v>18803</v>
      </c>
      <c r="D716" s="281"/>
      <c r="E716" s="1293">
        <v>42</v>
      </c>
      <c r="F716" s="1271"/>
      <c r="G716" s="1152" t="s">
        <v>9</v>
      </c>
    </row>
    <row r="717" spans="1:7">
      <c r="A717" s="884">
        <v>43145</v>
      </c>
      <c r="B717" s="240" t="str">
        <f>TiposLancamentos!B71</f>
        <v>Itens Pessoais</v>
      </c>
      <c r="C717" s="878" t="s">
        <v>18804</v>
      </c>
      <c r="D717" s="63"/>
      <c r="E717" s="231">
        <f>F717/10</f>
        <v>199.8</v>
      </c>
      <c r="F717" s="899">
        <v>1998</v>
      </c>
      <c r="G717" s="1152" t="s">
        <v>9</v>
      </c>
    </row>
    <row r="718" spans="1:7">
      <c r="A718" s="884">
        <v>43146</v>
      </c>
      <c r="B718" s="240" t="str">
        <f>TiposLancamentos!B5</f>
        <v>Supermercado</v>
      </c>
      <c r="C718" s="878" t="s">
        <v>6234</v>
      </c>
      <c r="D718" s="63"/>
      <c r="E718" s="231">
        <v>47.51</v>
      </c>
      <c r="F718" s="899"/>
      <c r="G718" s="1152" t="s">
        <v>9</v>
      </c>
    </row>
    <row r="719" spans="1:7">
      <c r="A719" s="884">
        <v>43146</v>
      </c>
      <c r="B719" s="240" t="str">
        <f>TiposLancamentos!B56</f>
        <v>Farmácia</v>
      </c>
      <c r="C719" s="878" t="s">
        <v>18805</v>
      </c>
      <c r="D719" s="63"/>
      <c r="E719" s="231">
        <v>34.799999999999997</v>
      </c>
      <c r="F719" s="899"/>
      <c r="G719" s="1152" t="s">
        <v>9</v>
      </c>
    </row>
    <row r="720" spans="1:7">
      <c r="A720" s="934"/>
      <c r="B720" s="243"/>
      <c r="C720" s="389" t="s">
        <v>10</v>
      </c>
      <c r="D720" s="146"/>
      <c r="E720" s="1190"/>
      <c r="F720" s="935"/>
      <c r="G720" s="1094" t="s">
        <v>11</v>
      </c>
    </row>
    <row r="721" spans="1:7">
      <c r="A721" s="884">
        <v>43145</v>
      </c>
      <c r="B721" s="240" t="str">
        <f>TiposLancamentos!B57</f>
        <v>Informática</v>
      </c>
      <c r="C721" s="878" t="s">
        <v>18806</v>
      </c>
      <c r="D721" s="63"/>
      <c r="E721" s="231">
        <v>6.9</v>
      </c>
      <c r="F721" s="899"/>
      <c r="G721" s="1152" t="s">
        <v>9</v>
      </c>
    </row>
    <row r="722" spans="1:7">
      <c r="A722" s="1272">
        <v>43148</v>
      </c>
      <c r="B722" s="279" t="str">
        <f>TiposLancamentos!B16</f>
        <v>Cristiane</v>
      </c>
      <c r="C722" s="280" t="s">
        <v>18807</v>
      </c>
      <c r="D722" s="281"/>
      <c r="E722" s="1293">
        <v>134</v>
      </c>
      <c r="F722" s="1271"/>
      <c r="G722" s="1152" t="s">
        <v>9</v>
      </c>
    </row>
    <row r="723" spans="1:7">
      <c r="A723" s="884">
        <v>43148</v>
      </c>
      <c r="B723" s="240" t="str">
        <f>TiposLancamentos!B19</f>
        <v>Restaurantes</v>
      </c>
      <c r="C723" s="878" t="s">
        <v>6832</v>
      </c>
      <c r="D723" s="63"/>
      <c r="E723" s="231">
        <v>146.19</v>
      </c>
      <c r="F723" s="899"/>
      <c r="G723" s="1152" t="s">
        <v>9</v>
      </c>
    </row>
    <row r="724" spans="1:7">
      <c r="A724" s="884">
        <v>43148</v>
      </c>
      <c r="B724" s="240" t="str">
        <f>TiposLancamentos!B16</f>
        <v>Cristiane</v>
      </c>
      <c r="C724" s="878" t="s">
        <v>18808</v>
      </c>
      <c r="D724" s="63"/>
      <c r="E724" s="231">
        <v>39.700000000000003</v>
      </c>
      <c r="F724" s="899"/>
      <c r="G724" s="1152" t="s">
        <v>9</v>
      </c>
    </row>
    <row r="725" spans="1:7">
      <c r="A725" s="884">
        <v>43150</v>
      </c>
      <c r="B725" s="240" t="str">
        <f>TiposLancamentos!B19</f>
        <v>Restaurantes</v>
      </c>
      <c r="C725" s="878" t="s">
        <v>18809</v>
      </c>
      <c r="D725" s="63"/>
      <c r="E725" s="231">
        <v>152.79</v>
      </c>
      <c r="F725" s="899"/>
      <c r="G725" s="1152" t="s">
        <v>9</v>
      </c>
    </row>
    <row r="726" spans="1:7">
      <c r="A726" s="884">
        <v>43149</v>
      </c>
      <c r="B726" s="240" t="str">
        <f>TiposLancamentos!B19</f>
        <v>Restaurantes</v>
      </c>
      <c r="C726" s="878" t="s">
        <v>18810</v>
      </c>
      <c r="D726" s="63"/>
      <c r="E726" s="231">
        <v>35.99</v>
      </c>
      <c r="F726" s="899"/>
      <c r="G726" s="1152" t="s">
        <v>9</v>
      </c>
    </row>
    <row r="727" spans="1:7">
      <c r="A727" s="1226">
        <v>43149</v>
      </c>
      <c r="B727" s="1218" t="str">
        <f>TiposLancamentos!B44</f>
        <v>Academia</v>
      </c>
      <c r="C727" s="1219" t="s">
        <v>18811</v>
      </c>
      <c r="D727" s="1220"/>
      <c r="E727" s="1221">
        <v>40</v>
      </c>
      <c r="F727" s="1227"/>
      <c r="G727" s="1152" t="s">
        <v>9</v>
      </c>
    </row>
    <row r="728" spans="1:7">
      <c r="A728" s="1228">
        <v>43149</v>
      </c>
      <c r="B728" s="1222" t="str">
        <f>TiposLancamentos!B16</f>
        <v>Cristiane</v>
      </c>
      <c r="C728" s="1223" t="s">
        <v>18811</v>
      </c>
      <c r="D728" s="1224"/>
      <c r="E728" s="1225">
        <v>35</v>
      </c>
      <c r="F728" s="1229">
        <v>75</v>
      </c>
      <c r="G728" s="1152" t="s">
        <v>9</v>
      </c>
    </row>
    <row r="729" spans="1:7">
      <c r="A729" s="884">
        <v>43149</v>
      </c>
      <c r="B729" s="240" t="str">
        <f>TiposLancamentos!B57</f>
        <v>Informática</v>
      </c>
      <c r="C729" s="878" t="s">
        <v>18812</v>
      </c>
      <c r="D729" s="63"/>
      <c r="E729" s="231">
        <v>8.4499999999999993</v>
      </c>
      <c r="F729" s="899"/>
      <c r="G729" s="1152" t="s">
        <v>9</v>
      </c>
    </row>
    <row r="730" spans="1:7">
      <c r="A730" s="884">
        <v>43150</v>
      </c>
      <c r="B730" s="240" t="str">
        <f>TiposLancamentos!B5</f>
        <v>Supermercado</v>
      </c>
      <c r="C730" s="878" t="s">
        <v>6234</v>
      </c>
      <c r="D730" s="63"/>
      <c r="E730" s="231">
        <v>113</v>
      </c>
      <c r="F730" s="899"/>
      <c r="G730" s="1152" t="s">
        <v>9</v>
      </c>
    </row>
    <row r="731" spans="1:7">
      <c r="A731" s="884">
        <v>43151</v>
      </c>
      <c r="B731" s="240" t="str">
        <f>TiposLancamentos!B48</f>
        <v>Baralhos e Oráculos</v>
      </c>
      <c r="C731" s="878" t="s">
        <v>18813</v>
      </c>
      <c r="D731" s="63"/>
      <c r="E731" s="231">
        <v>80</v>
      </c>
      <c r="F731" s="899"/>
      <c r="G731" s="1152" t="s">
        <v>9</v>
      </c>
    </row>
    <row r="732" spans="1:7">
      <c r="A732" s="1272">
        <v>43151</v>
      </c>
      <c r="B732" s="279" t="str">
        <f>TiposLancamentos!B16</f>
        <v>Cristiane</v>
      </c>
      <c r="C732" s="280" t="s">
        <v>18814</v>
      </c>
      <c r="D732" s="281"/>
      <c r="E732" s="1293">
        <v>162.22999999999999</v>
      </c>
      <c r="F732" s="1271"/>
      <c r="G732" s="1152" t="s">
        <v>9</v>
      </c>
    </row>
    <row r="733" spans="1:7">
      <c r="A733" s="884">
        <v>43151</v>
      </c>
      <c r="B733" s="240" t="str">
        <f>TiposLancamentos!B5</f>
        <v>Supermercado</v>
      </c>
      <c r="C733" s="878" t="s">
        <v>6234</v>
      </c>
      <c r="D733" s="63"/>
      <c r="E733" s="231">
        <v>59.87</v>
      </c>
      <c r="F733" s="899"/>
      <c r="G733" s="1152" t="s">
        <v>9</v>
      </c>
    </row>
    <row r="734" spans="1:7">
      <c r="A734" s="884">
        <v>43152</v>
      </c>
      <c r="B734" s="240" t="str">
        <f>TiposLancamentos!B5</f>
        <v>Supermercado</v>
      </c>
      <c r="C734" s="878" t="s">
        <v>18815</v>
      </c>
      <c r="D734" s="63"/>
      <c r="E734" s="231">
        <v>45.15</v>
      </c>
      <c r="F734" s="899"/>
      <c r="G734" s="1152" t="s">
        <v>9</v>
      </c>
    </row>
    <row r="735" spans="1:7">
      <c r="A735" s="884">
        <v>43153</v>
      </c>
      <c r="B735" s="240" t="str">
        <f>TiposLancamentos!B5</f>
        <v>Supermercado</v>
      </c>
      <c r="C735" s="878" t="s">
        <v>6234</v>
      </c>
      <c r="D735" s="63"/>
      <c r="E735" s="231">
        <v>55.46</v>
      </c>
      <c r="F735" s="899"/>
      <c r="G735" s="1152" t="s">
        <v>9</v>
      </c>
    </row>
    <row r="736" spans="1:7">
      <c r="A736" s="884">
        <v>43154</v>
      </c>
      <c r="B736" s="240" t="str">
        <f>TiposLancamentos!B19</f>
        <v>Restaurantes</v>
      </c>
      <c r="C736" s="878" t="s">
        <v>16947</v>
      </c>
      <c r="D736" s="63"/>
      <c r="E736" s="231">
        <v>22.9</v>
      </c>
      <c r="F736" s="899"/>
      <c r="G736" s="1152" t="s">
        <v>9</v>
      </c>
    </row>
    <row r="737" spans="1:7">
      <c r="A737" s="884">
        <v>43154</v>
      </c>
      <c r="B737" s="240" t="str">
        <f>TiposLancamentos!B16</f>
        <v>Cristiane</v>
      </c>
      <c r="C737" s="878" t="s">
        <v>16962</v>
      </c>
      <c r="D737" s="63"/>
      <c r="E737" s="231">
        <v>29.61</v>
      </c>
      <c r="F737" s="899"/>
      <c r="G737" s="1152" t="s">
        <v>9</v>
      </c>
    </row>
    <row r="738" spans="1:7">
      <c r="A738" s="884">
        <v>43155</v>
      </c>
      <c r="B738" s="240" t="str">
        <f>TiposLancamentos!B64</f>
        <v>Viagens</v>
      </c>
      <c r="C738" s="878" t="s">
        <v>18816</v>
      </c>
      <c r="D738" s="63"/>
      <c r="E738" s="231">
        <v>1013.34</v>
      </c>
      <c r="F738" s="899">
        <f>E738*3</f>
        <v>3040.02</v>
      </c>
      <c r="G738" s="1152" t="s">
        <v>9</v>
      </c>
    </row>
    <row r="739" spans="1:7">
      <c r="A739" s="884">
        <v>43155</v>
      </c>
      <c r="B739" s="240" t="str">
        <f>TiposLancamentos!B102</f>
        <v>ESTORNO</v>
      </c>
      <c r="C739" s="878" t="s">
        <v>18817</v>
      </c>
      <c r="D739" s="63">
        <v>1.4E-2</v>
      </c>
      <c r="E739" s="231"/>
      <c r="F739" s="899"/>
      <c r="G739" s="1152" t="s">
        <v>9</v>
      </c>
    </row>
    <row r="740" spans="1:7">
      <c r="A740" s="884">
        <v>43155</v>
      </c>
      <c r="B740" s="240" t="str">
        <f>TiposLancamentos!B102</f>
        <v>ESTORNO</v>
      </c>
      <c r="C740" s="878" t="s">
        <v>18818</v>
      </c>
      <c r="D740" s="63">
        <v>0.04</v>
      </c>
      <c r="E740" s="231"/>
      <c r="F740" s="899"/>
      <c r="G740" s="1152" t="s">
        <v>9</v>
      </c>
    </row>
    <row r="741" spans="1:7">
      <c r="A741" s="884">
        <v>43155</v>
      </c>
      <c r="B741" s="240" t="str">
        <f>TiposLancamentos!B19</f>
        <v>Restaurantes</v>
      </c>
      <c r="C741" s="878" t="s">
        <v>18819</v>
      </c>
      <c r="D741" s="63"/>
      <c r="E741" s="231">
        <v>161.69999999999999</v>
      </c>
      <c r="F741" s="899"/>
      <c r="G741" s="1152" t="s">
        <v>9</v>
      </c>
    </row>
    <row r="742" spans="1:7">
      <c r="A742" s="884">
        <v>43155</v>
      </c>
      <c r="B742" s="240" t="str">
        <f>TiposLancamentos!B16</f>
        <v>Cristiane</v>
      </c>
      <c r="C742" s="878" t="s">
        <v>18820</v>
      </c>
      <c r="D742" s="63"/>
      <c r="E742" s="231">
        <v>10</v>
      </c>
      <c r="F742" s="899"/>
      <c r="G742" s="1152" t="s">
        <v>9</v>
      </c>
    </row>
    <row r="743" spans="1:7">
      <c r="A743" s="884">
        <v>43155</v>
      </c>
      <c r="B743" s="240" t="str">
        <f>TiposLancamentos!B19</f>
        <v>Restaurantes</v>
      </c>
      <c r="C743" s="878" t="s">
        <v>18821</v>
      </c>
      <c r="D743" s="63"/>
      <c r="E743" s="231">
        <v>7.9</v>
      </c>
      <c r="F743" s="899"/>
      <c r="G743" s="1152" t="s">
        <v>9</v>
      </c>
    </row>
    <row r="744" spans="1:7">
      <c r="A744" s="884">
        <v>43155</v>
      </c>
      <c r="B744" s="240" t="str">
        <f>TiposLancamentos!B5</f>
        <v>Supermercado</v>
      </c>
      <c r="C744" s="878" t="s">
        <v>6234</v>
      </c>
      <c r="D744" s="63"/>
      <c r="E744" s="231">
        <v>61.75</v>
      </c>
      <c r="F744" s="899"/>
      <c r="G744" s="1152" t="s">
        <v>9</v>
      </c>
    </row>
    <row r="745" spans="1:7">
      <c r="A745" s="884">
        <v>43155</v>
      </c>
      <c r="B745" s="240" t="str">
        <f>TiposLancamentos!B70</f>
        <v>Vestuário</v>
      </c>
      <c r="C745" s="878" t="s">
        <v>18822</v>
      </c>
      <c r="D745" s="63"/>
      <c r="E745" s="231">
        <v>68.39</v>
      </c>
      <c r="F745" s="899"/>
      <c r="G745" s="1152" t="s">
        <v>9</v>
      </c>
    </row>
    <row r="746" spans="1:7">
      <c r="A746" s="1272">
        <v>43155</v>
      </c>
      <c r="B746" s="279" t="str">
        <f>TiposLancamentos!B16</f>
        <v>Cristiane</v>
      </c>
      <c r="C746" s="280" t="s">
        <v>18823</v>
      </c>
      <c r="D746" s="281"/>
      <c r="E746" s="1293">
        <f>(8.91*3.4882)</f>
        <v>31.079861999999999</v>
      </c>
      <c r="F746" s="1271" t="s">
        <v>18824</v>
      </c>
      <c r="G746" s="1094" t="s">
        <v>11</v>
      </c>
    </row>
    <row r="747" spans="1:7">
      <c r="A747" s="1272">
        <v>43155</v>
      </c>
      <c r="B747" s="279" t="str">
        <f>TiposLancamentos!B4</f>
        <v>Taxas Bancarias</v>
      </c>
      <c r="C747" s="280" t="s">
        <v>18825</v>
      </c>
      <c r="D747" s="281"/>
      <c r="E747" s="1293">
        <v>1.84</v>
      </c>
      <c r="F747" s="1271"/>
      <c r="G747" s="1152" t="s">
        <v>9</v>
      </c>
    </row>
    <row r="748" spans="1:7">
      <c r="A748" s="1272">
        <v>43155</v>
      </c>
      <c r="B748" s="279" t="str">
        <f>TiposLancamentos!B19</f>
        <v>Restaurantes</v>
      </c>
      <c r="C748" s="280" t="s">
        <v>18826</v>
      </c>
      <c r="D748" s="281"/>
      <c r="E748" s="1293">
        <v>42</v>
      </c>
      <c r="F748" s="1271"/>
      <c r="G748" s="1152" t="s">
        <v>9</v>
      </c>
    </row>
    <row r="749" spans="1:7">
      <c r="A749" s="1272">
        <v>43156</v>
      </c>
      <c r="B749" s="279" t="str">
        <f>TiposLancamentos!B16</f>
        <v>Cristiane</v>
      </c>
      <c r="C749" s="280" t="s">
        <v>18823</v>
      </c>
      <c r="D749" s="281"/>
      <c r="E749" s="1293">
        <f>(0.99*3.4882)</f>
        <v>3.4533179999999999</v>
      </c>
      <c r="F749" s="1271" t="s">
        <v>10768</v>
      </c>
      <c r="G749" s="1094" t="s">
        <v>11</v>
      </c>
    </row>
    <row r="750" spans="1:7">
      <c r="A750" s="1272">
        <v>43156</v>
      </c>
      <c r="B750" s="279" t="str">
        <f>TiposLancamentos!B4</f>
        <v>Taxas Bancarias</v>
      </c>
      <c r="C750" s="280" t="s">
        <v>18825</v>
      </c>
      <c r="D750" s="281"/>
      <c r="E750" s="308">
        <v>0.2</v>
      </c>
      <c r="F750" s="1271"/>
      <c r="G750" s="1152" t="s">
        <v>9</v>
      </c>
    </row>
    <row r="751" spans="1:7">
      <c r="A751" s="884">
        <v>43156</v>
      </c>
      <c r="B751" s="240" t="str">
        <f>TiposLancamentos!B19</f>
        <v>Restaurantes</v>
      </c>
      <c r="C751" s="878" t="s">
        <v>18827</v>
      </c>
      <c r="D751" s="63"/>
      <c r="E751" s="231">
        <v>66.7</v>
      </c>
      <c r="F751" s="899"/>
      <c r="G751" s="1152" t="s">
        <v>9</v>
      </c>
    </row>
    <row r="752" spans="1:7">
      <c r="A752" s="884">
        <v>43157</v>
      </c>
      <c r="B752" s="240" t="str">
        <f>TiposLancamentos!B5</f>
        <v>Supermercado</v>
      </c>
      <c r="C752" s="878" t="s">
        <v>6234</v>
      </c>
      <c r="D752" s="63"/>
      <c r="E752" s="231">
        <v>36.340000000000003</v>
      </c>
      <c r="F752" s="899"/>
      <c r="G752" s="1152" t="s">
        <v>9</v>
      </c>
    </row>
    <row r="753" spans="1:7">
      <c r="A753" s="1272">
        <v>43157</v>
      </c>
      <c r="B753" s="279" t="str">
        <f>TiposLancamentos!B16</f>
        <v>Cristiane</v>
      </c>
      <c r="C753" s="280" t="s">
        <v>18828</v>
      </c>
      <c r="D753" s="281"/>
      <c r="E753" s="1293">
        <v>229</v>
      </c>
      <c r="F753" s="1271"/>
      <c r="G753" s="1152" t="s">
        <v>9</v>
      </c>
    </row>
    <row r="754" spans="1:7">
      <c r="A754" s="884">
        <v>43157</v>
      </c>
      <c r="B754" s="240" t="str">
        <f>TiposLancamentos!B5</f>
        <v>Supermercado</v>
      </c>
      <c r="C754" s="878" t="s">
        <v>6981</v>
      </c>
      <c r="D754" s="63"/>
      <c r="E754" s="231">
        <v>32.53</v>
      </c>
      <c r="F754" s="899"/>
      <c r="G754" s="1152" t="s">
        <v>9</v>
      </c>
    </row>
    <row r="755" spans="1:7">
      <c r="A755" s="884">
        <v>43158</v>
      </c>
      <c r="B755" s="240" t="str">
        <f>TiposLancamentos!B19</f>
        <v>Restaurantes</v>
      </c>
      <c r="C755" s="878" t="s">
        <v>10648</v>
      </c>
      <c r="D755" s="63"/>
      <c r="E755" s="231">
        <v>12.91</v>
      </c>
      <c r="F755" s="899"/>
      <c r="G755" s="1152" t="s">
        <v>9</v>
      </c>
    </row>
    <row r="756" spans="1:7">
      <c r="A756" s="884">
        <v>43159</v>
      </c>
      <c r="B756" s="240" t="str">
        <f>TiposLancamentos!B71</f>
        <v>Itens Pessoais</v>
      </c>
      <c r="C756" s="878" t="s">
        <v>18829</v>
      </c>
      <c r="D756" s="63"/>
      <c r="E756" s="231">
        <f>F756/6</f>
        <v>285.81666666666666</v>
      </c>
      <c r="F756" s="899">
        <v>1714.9</v>
      </c>
      <c r="G756" s="1152" t="s">
        <v>9</v>
      </c>
    </row>
    <row r="757" spans="1:7">
      <c r="A757" s="884">
        <v>43159</v>
      </c>
      <c r="B757" s="240" t="str">
        <f>TiposLancamentos!B45</f>
        <v>Online Services</v>
      </c>
      <c r="C757" s="878" t="s">
        <v>1894</v>
      </c>
      <c r="D757" s="63"/>
      <c r="E757" s="231">
        <v>27.9</v>
      </c>
      <c r="F757" s="899"/>
      <c r="G757" s="1152" t="s">
        <v>9</v>
      </c>
    </row>
    <row r="758" spans="1:7" ht="14.25" thickBot="1">
      <c r="A758" s="884">
        <v>43159</v>
      </c>
      <c r="B758" s="240" t="str">
        <f>TiposLancamentos!B45</f>
        <v>Online Services</v>
      </c>
      <c r="C758" s="878" t="s">
        <v>1895</v>
      </c>
      <c r="D758" s="63"/>
      <c r="E758" s="231">
        <v>26.9</v>
      </c>
      <c r="F758" s="899"/>
      <c r="G758" s="1152" t="s">
        <v>9</v>
      </c>
    </row>
    <row r="759" spans="1:7">
      <c r="A759" s="1032"/>
      <c r="B759" s="1230"/>
      <c r="C759" s="906" t="s">
        <v>17112</v>
      </c>
      <c r="D759" s="896"/>
      <c r="E759" s="925"/>
      <c r="F759" s="898">
        <f>SUM(E651:E719)-(D659+D672)</f>
        <v>7659.8600000000006</v>
      </c>
      <c r="G759" s="3"/>
    </row>
    <row r="760" spans="1:7">
      <c r="A760" s="884">
        <v>43160</v>
      </c>
      <c r="B760" s="240" t="str">
        <f>TiposLancamentos!B15</f>
        <v>Cartões de Crédito</v>
      </c>
      <c r="C760" s="878" t="s">
        <v>11109</v>
      </c>
      <c r="D760" s="63">
        <v>7659.85</v>
      </c>
      <c r="E760" s="231"/>
      <c r="F760" s="899">
        <f>F759-F676</f>
        <v>2818.857</v>
      </c>
      <c r="G760" s="1152" t="s">
        <v>9</v>
      </c>
    </row>
    <row r="761" spans="1:7">
      <c r="A761" s="884">
        <v>43160</v>
      </c>
      <c r="B761" s="240" t="str">
        <f>TiposLancamentos!B45</f>
        <v>Online Services</v>
      </c>
      <c r="C761" s="878" t="s">
        <v>18771</v>
      </c>
      <c r="D761" s="63"/>
      <c r="E761" s="231">
        <v>15</v>
      </c>
      <c r="F761" s="899"/>
      <c r="G761" s="1152" t="s">
        <v>9</v>
      </c>
    </row>
    <row r="762" spans="1:7">
      <c r="A762" s="884">
        <v>43161</v>
      </c>
      <c r="B762" s="240" t="str">
        <f>TiposLancamentos!B5</f>
        <v>Supermercado</v>
      </c>
      <c r="C762" s="878" t="s">
        <v>5844</v>
      </c>
      <c r="D762" s="63"/>
      <c r="E762" s="231">
        <v>51.54</v>
      </c>
      <c r="F762" s="899"/>
      <c r="G762" s="1152" t="s">
        <v>9</v>
      </c>
    </row>
    <row r="763" spans="1:7">
      <c r="A763" s="1226">
        <v>43161</v>
      </c>
      <c r="B763" s="1218" t="str">
        <f>TiposLancamentos!B16</f>
        <v>Cristiane</v>
      </c>
      <c r="C763" s="1219" t="s">
        <v>18830</v>
      </c>
      <c r="D763" s="1220"/>
      <c r="E763" s="1221">
        <f>F764-E764</f>
        <v>64.984999999999999</v>
      </c>
      <c r="F763" s="1227"/>
      <c r="G763" s="1152" t="s">
        <v>9</v>
      </c>
    </row>
    <row r="764" spans="1:7">
      <c r="A764" s="1228">
        <v>43161</v>
      </c>
      <c r="B764" s="1222" t="str">
        <f>TiposLancamentos!B49</f>
        <v>Mergulho</v>
      </c>
      <c r="C764" s="1223" t="s">
        <v>18830</v>
      </c>
      <c r="D764" s="1224"/>
      <c r="E764" s="1225">
        <f>F764/2</f>
        <v>64.984999999999999</v>
      </c>
      <c r="F764" s="1229">
        <v>129.97</v>
      </c>
      <c r="G764" s="1152" t="s">
        <v>9</v>
      </c>
    </row>
    <row r="765" spans="1:7">
      <c r="A765" s="884">
        <v>43161</v>
      </c>
      <c r="B765" s="240" t="str">
        <f>TiposLancamentos!B19</f>
        <v>Restaurantes</v>
      </c>
      <c r="C765" s="878" t="s">
        <v>8103</v>
      </c>
      <c r="D765" s="63"/>
      <c r="E765" s="231">
        <v>63.56</v>
      </c>
      <c r="F765" s="899"/>
      <c r="G765" s="1152" t="s">
        <v>9</v>
      </c>
    </row>
    <row r="766" spans="1:7">
      <c r="A766" s="884">
        <v>43162</v>
      </c>
      <c r="B766" s="240" t="str">
        <f>TiposLancamentos!B88</f>
        <v>Ford Ecosport XLT</v>
      </c>
      <c r="C766" s="878" t="s">
        <v>18831</v>
      </c>
      <c r="D766" s="63"/>
      <c r="E766" s="231">
        <f>F766/6</f>
        <v>525</v>
      </c>
      <c r="F766" s="899">
        <v>3150</v>
      </c>
      <c r="G766" s="1152" t="s">
        <v>9</v>
      </c>
    </row>
    <row r="767" spans="1:7">
      <c r="A767" s="884">
        <v>43162</v>
      </c>
      <c r="B767" s="240" t="str">
        <f>TiposLancamentos!B16</f>
        <v>Cristiane</v>
      </c>
      <c r="C767" s="878" t="s">
        <v>18832</v>
      </c>
      <c r="D767" s="63"/>
      <c r="E767" s="231">
        <v>285.92</v>
      </c>
      <c r="F767" s="899"/>
      <c r="G767" s="1152" t="s">
        <v>9</v>
      </c>
    </row>
    <row r="768" spans="1:7">
      <c r="A768" s="884">
        <v>43162</v>
      </c>
      <c r="B768" s="240" t="str">
        <f>TiposLancamentos!B19</f>
        <v>Restaurantes</v>
      </c>
      <c r="C768" s="878" t="s">
        <v>18833</v>
      </c>
      <c r="D768" s="63"/>
      <c r="E768" s="231">
        <v>150.5</v>
      </c>
      <c r="F768" s="899"/>
      <c r="G768" s="1152" t="s">
        <v>9</v>
      </c>
    </row>
    <row r="769" spans="1:7">
      <c r="A769" s="884">
        <v>43162</v>
      </c>
      <c r="B769" s="240" t="str">
        <f>TiposLancamentos!B44</f>
        <v>Academia</v>
      </c>
      <c r="C769" s="878" t="s">
        <v>11189</v>
      </c>
      <c r="D769" s="63"/>
      <c r="E769" s="231">
        <v>178</v>
      </c>
      <c r="F769" s="899">
        <f>E769*4</f>
        <v>712</v>
      </c>
      <c r="G769" s="1152" t="s">
        <v>9</v>
      </c>
    </row>
    <row r="770" spans="1:7">
      <c r="A770" s="884">
        <v>43162</v>
      </c>
      <c r="B770" s="240" t="str">
        <f>TiposLancamentos!B87</f>
        <v>P207-1.6-XS</v>
      </c>
      <c r="C770" s="878" t="s">
        <v>18834</v>
      </c>
      <c r="D770" s="63"/>
      <c r="E770" s="231">
        <v>376.66</v>
      </c>
      <c r="F770" s="899">
        <v>2260</v>
      </c>
      <c r="G770" s="1152" t="s">
        <v>9</v>
      </c>
    </row>
    <row r="771" spans="1:7">
      <c r="A771" s="884">
        <v>43162</v>
      </c>
      <c r="B771" s="240" t="str">
        <f>TiposLancamentos!B5</f>
        <v>Supermercado</v>
      </c>
      <c r="C771" s="878" t="s">
        <v>6234</v>
      </c>
      <c r="D771" s="63"/>
      <c r="E771" s="231">
        <v>317.26</v>
      </c>
      <c r="F771" s="899"/>
      <c r="G771" s="1152" t="s">
        <v>9</v>
      </c>
    </row>
    <row r="772" spans="1:7">
      <c r="A772" s="884">
        <v>43163</v>
      </c>
      <c r="B772" s="240" t="str">
        <f>TiposLancamentos!B56</f>
        <v>Farmácia</v>
      </c>
      <c r="C772" s="878" t="s">
        <v>18835</v>
      </c>
      <c r="D772" s="63"/>
      <c r="E772" s="231">
        <v>125.91</v>
      </c>
      <c r="F772" s="899"/>
      <c r="G772" s="1152" t="s">
        <v>9</v>
      </c>
    </row>
    <row r="773" spans="1:7">
      <c r="A773" s="884">
        <v>43163</v>
      </c>
      <c r="B773" s="240" t="str">
        <f>TiposLancamentos!B17</f>
        <v>GATO</v>
      </c>
      <c r="C773" s="878" t="s">
        <v>18836</v>
      </c>
      <c r="D773" s="63"/>
      <c r="E773" s="231">
        <v>254.6</v>
      </c>
      <c r="F773" s="899"/>
      <c r="G773" s="1152" t="s">
        <v>9</v>
      </c>
    </row>
    <row r="774" spans="1:7">
      <c r="A774" s="884">
        <v>43163</v>
      </c>
      <c r="B774" s="240" t="str">
        <f>TiposLancamentos!B19</f>
        <v>Restaurantes</v>
      </c>
      <c r="C774" s="878" t="s">
        <v>18837</v>
      </c>
      <c r="D774" s="63"/>
      <c r="E774" s="231">
        <v>92.6</v>
      </c>
      <c r="F774" s="899"/>
      <c r="G774" s="1152" t="s">
        <v>9</v>
      </c>
    </row>
    <row r="775" spans="1:7">
      <c r="A775" s="884">
        <v>43164</v>
      </c>
      <c r="B775" s="240" t="str">
        <f>TiposLancamentos!B81</f>
        <v>Ferramentas gerais</v>
      </c>
      <c r="C775" s="878" t="s">
        <v>18838</v>
      </c>
      <c r="D775" s="63"/>
      <c r="E775" s="231">
        <v>26.4</v>
      </c>
      <c r="F775" s="899"/>
      <c r="G775" s="1152" t="s">
        <v>9</v>
      </c>
    </row>
    <row r="776" spans="1:7">
      <c r="A776" s="1272">
        <v>43165</v>
      </c>
      <c r="B776" s="279" t="str">
        <f>TiposLancamentos!B16</f>
        <v>Cristiane</v>
      </c>
      <c r="C776" s="280" t="s">
        <v>18814</v>
      </c>
      <c r="D776" s="281"/>
      <c r="E776" s="1293">
        <v>39.9</v>
      </c>
      <c r="F776" s="1271"/>
      <c r="G776" s="1152"/>
    </row>
    <row r="777" spans="1:7">
      <c r="A777" s="884">
        <v>43166</v>
      </c>
      <c r="B777" s="240" t="str">
        <f>TiposLancamentos!B5</f>
        <v>Supermercado</v>
      </c>
      <c r="C777" s="878" t="s">
        <v>18839</v>
      </c>
      <c r="D777" s="63"/>
      <c r="E777" s="231">
        <v>75.819999999999993</v>
      </c>
      <c r="F777" s="899"/>
      <c r="G777" s="1152" t="s">
        <v>9</v>
      </c>
    </row>
    <row r="778" spans="1:7">
      <c r="A778" s="884">
        <v>43167</v>
      </c>
      <c r="B778" s="240" t="str">
        <f>TiposLancamentos!B71</f>
        <v>Itens Pessoais</v>
      </c>
      <c r="C778" s="878" t="s">
        <v>18840</v>
      </c>
      <c r="D778" s="63"/>
      <c r="E778" s="231">
        <v>308</v>
      </c>
      <c r="F778" s="899">
        <f>E778*6</f>
        <v>1848</v>
      </c>
      <c r="G778" s="1152" t="s">
        <v>9</v>
      </c>
    </row>
    <row r="779" spans="1:7">
      <c r="A779" s="1272">
        <v>43167</v>
      </c>
      <c r="B779" s="279" t="str">
        <f>TiposLancamentos!B16</f>
        <v>Cristiane</v>
      </c>
      <c r="C779" s="280" t="s">
        <v>18841</v>
      </c>
      <c r="D779" s="281"/>
      <c r="E779" s="1293">
        <v>53.02</v>
      </c>
      <c r="F779" s="1271"/>
      <c r="G779" s="1152" t="s">
        <v>9</v>
      </c>
    </row>
    <row r="780" spans="1:7">
      <c r="A780" s="884">
        <v>43167</v>
      </c>
      <c r="B780" s="240" t="str">
        <f>TiposLancamentos!B73</f>
        <v>Cursos</v>
      </c>
      <c r="C780" s="878" t="s">
        <v>18842</v>
      </c>
      <c r="D780" s="63"/>
      <c r="E780" s="231">
        <f>(3.4882*6.99)</f>
        <v>24.382518000000001</v>
      </c>
      <c r="F780" s="899" t="s">
        <v>18843</v>
      </c>
      <c r="G780" s="1094" t="s">
        <v>11</v>
      </c>
    </row>
    <row r="781" spans="1:7">
      <c r="A781" s="884">
        <v>43167</v>
      </c>
      <c r="B781" s="240" t="str">
        <f>TiposLancamentos!B4</f>
        <v>Taxas Bancarias</v>
      </c>
      <c r="C781" s="878" t="s">
        <v>18844</v>
      </c>
      <c r="D781" s="63"/>
      <c r="E781" s="231">
        <v>1.46</v>
      </c>
      <c r="F781" s="899"/>
      <c r="G781" s="1152" t="s">
        <v>9</v>
      </c>
    </row>
    <row r="782" spans="1:7">
      <c r="A782" s="884">
        <v>43168</v>
      </c>
      <c r="B782" s="240" t="str">
        <f>TiposLancamentos!B26</f>
        <v>LIVROS</v>
      </c>
      <c r="C782" s="878" t="s">
        <v>18845</v>
      </c>
      <c r="D782" s="63"/>
      <c r="E782" s="231">
        <v>57.99</v>
      </c>
      <c r="F782" s="899"/>
      <c r="G782" s="1152" t="s">
        <v>9</v>
      </c>
    </row>
    <row r="783" spans="1:7">
      <c r="A783" s="1226">
        <v>43169</v>
      </c>
      <c r="B783" s="1218" t="str">
        <f>TiposLancamentos!B31</f>
        <v>Action Figures</v>
      </c>
      <c r="C783" s="1219" t="s">
        <v>18846</v>
      </c>
      <c r="D783" s="1220"/>
      <c r="E783" s="1221">
        <v>279</v>
      </c>
      <c r="F783" s="1227"/>
      <c r="G783" s="1152" t="s">
        <v>9</v>
      </c>
    </row>
    <row r="784" spans="1:7">
      <c r="A784" s="1228">
        <v>43169</v>
      </c>
      <c r="B784" s="1222" t="str">
        <f>TiposLancamentos!B31</f>
        <v>Action Figures</v>
      </c>
      <c r="C784" s="1223" t="s">
        <v>18847</v>
      </c>
      <c r="D784" s="1224"/>
      <c r="E784" s="1225">
        <f>F784-E783</f>
        <v>189</v>
      </c>
      <c r="F784" s="1229">
        <v>468</v>
      </c>
      <c r="G784" s="1152" t="s">
        <v>9</v>
      </c>
    </row>
    <row r="785" spans="1:7">
      <c r="A785" s="884">
        <v>43169</v>
      </c>
      <c r="B785" s="240" t="str">
        <f>TiposLancamentos!B19</f>
        <v>Restaurantes</v>
      </c>
      <c r="C785" s="878" t="s">
        <v>18848</v>
      </c>
      <c r="D785" s="63"/>
      <c r="E785" s="231">
        <v>92.4</v>
      </c>
      <c r="F785" s="899"/>
      <c r="G785" s="1152" t="s">
        <v>9</v>
      </c>
    </row>
    <row r="786" spans="1:7">
      <c r="A786" s="884">
        <v>43169</v>
      </c>
      <c r="B786" s="240" t="str">
        <f>TiposLancamentos!B19</f>
        <v>Restaurantes</v>
      </c>
      <c r="C786" s="878" t="s">
        <v>18849</v>
      </c>
      <c r="D786" s="63"/>
      <c r="E786" s="231">
        <v>33.299999999999997</v>
      </c>
      <c r="F786" s="899"/>
      <c r="G786" s="1152" t="s">
        <v>9</v>
      </c>
    </row>
    <row r="787" spans="1:7">
      <c r="A787" s="1272">
        <v>43169</v>
      </c>
      <c r="B787" s="279" t="str">
        <f>TiposLancamentos!B16</f>
        <v>Cristiane</v>
      </c>
      <c r="C787" s="280" t="s">
        <v>18850</v>
      </c>
      <c r="D787" s="281"/>
      <c r="E787" s="1293">
        <v>242</v>
      </c>
      <c r="F787" s="1271">
        <f>E787*3</f>
        <v>726</v>
      </c>
      <c r="G787" s="1152" t="s">
        <v>9</v>
      </c>
    </row>
    <row r="788" spans="1:7">
      <c r="A788" s="884">
        <v>43169</v>
      </c>
      <c r="B788" s="240" t="str">
        <f>TiposLancamentos!B71</f>
        <v>Itens Pessoais</v>
      </c>
      <c r="C788" s="878" t="s">
        <v>18851</v>
      </c>
      <c r="D788" s="63"/>
      <c r="E788" s="231">
        <v>50</v>
      </c>
      <c r="F788" s="899"/>
      <c r="G788" s="1152" t="s">
        <v>9</v>
      </c>
    </row>
    <row r="789" spans="1:7">
      <c r="A789" s="1226">
        <v>43169</v>
      </c>
      <c r="B789" s="1218" t="str">
        <f>TiposLancamentos!B71</f>
        <v>Itens Pessoais</v>
      </c>
      <c r="C789" s="1219" t="s">
        <v>18852</v>
      </c>
      <c r="D789" s="1220"/>
      <c r="E789" s="1221">
        <v>40</v>
      </c>
      <c r="F789" s="1227"/>
      <c r="G789" s="1152" t="s">
        <v>9</v>
      </c>
    </row>
    <row r="790" spans="1:7">
      <c r="A790" s="1228">
        <v>43169</v>
      </c>
      <c r="B790" s="1222" t="str">
        <f>TiposLancamentos!B16</f>
        <v>Cristiane</v>
      </c>
      <c r="C790" s="1223" t="s">
        <v>18853</v>
      </c>
      <c r="D790" s="1224"/>
      <c r="E790" s="1225">
        <v>40</v>
      </c>
      <c r="F790" s="1229">
        <v>80</v>
      </c>
      <c r="G790" s="1152" t="s">
        <v>9</v>
      </c>
    </row>
    <row r="791" spans="1:7">
      <c r="A791" s="884">
        <v>43169</v>
      </c>
      <c r="B791" s="240" t="str">
        <f>TiposLancamentos!B71</f>
        <v>Itens Pessoais</v>
      </c>
      <c r="C791" s="878" t="s">
        <v>18854</v>
      </c>
      <c r="D791" s="63"/>
      <c r="E791" s="231">
        <v>50</v>
      </c>
      <c r="F791" s="899"/>
      <c r="G791" s="1152" t="s">
        <v>9</v>
      </c>
    </row>
    <row r="792" spans="1:7">
      <c r="A792" s="884">
        <v>43169</v>
      </c>
      <c r="B792" s="240" t="str">
        <f>TiposLancamentos!B24</f>
        <v>Estacionamentos</v>
      </c>
      <c r="C792" s="878" t="s">
        <v>17217</v>
      </c>
      <c r="D792" s="63"/>
      <c r="E792" s="231">
        <v>15</v>
      </c>
      <c r="F792" s="899"/>
      <c r="G792" s="1152" t="s">
        <v>9</v>
      </c>
    </row>
    <row r="793" spans="1:7">
      <c r="A793" s="884">
        <v>43169</v>
      </c>
      <c r="B793" s="240" t="str">
        <f>B786</f>
        <v>Restaurantes</v>
      </c>
      <c r="C793" s="878" t="s">
        <v>7068</v>
      </c>
      <c r="D793" s="63"/>
      <c r="E793" s="231">
        <v>67.03</v>
      </c>
      <c r="F793" s="899"/>
      <c r="G793" s="1152" t="s">
        <v>9</v>
      </c>
    </row>
    <row r="794" spans="1:7">
      <c r="A794" s="884">
        <v>43170</v>
      </c>
      <c r="B794" s="240" t="str">
        <f>B786</f>
        <v>Restaurantes</v>
      </c>
      <c r="C794" s="878" t="s">
        <v>7068</v>
      </c>
      <c r="D794" s="63"/>
      <c r="E794" s="231">
        <v>111.06</v>
      </c>
      <c r="F794" s="899"/>
      <c r="G794" s="1152" t="s">
        <v>9</v>
      </c>
    </row>
    <row r="795" spans="1:7">
      <c r="A795" s="1272">
        <v>43170</v>
      </c>
      <c r="B795" s="279" t="str">
        <f>B786</f>
        <v>Restaurantes</v>
      </c>
      <c r="C795" s="280" t="s">
        <v>11101</v>
      </c>
      <c r="D795" s="281"/>
      <c r="E795" s="1293">
        <v>42</v>
      </c>
      <c r="F795" s="1271"/>
      <c r="G795" s="1152" t="s">
        <v>9</v>
      </c>
    </row>
    <row r="796" spans="1:7">
      <c r="A796" s="884">
        <v>43171</v>
      </c>
      <c r="B796" s="240" t="str">
        <f>TiposLancamentos!B5</f>
        <v>Supermercado</v>
      </c>
      <c r="C796" s="878" t="s">
        <v>5844</v>
      </c>
      <c r="D796" s="63"/>
      <c r="E796" s="231">
        <v>38.49</v>
      </c>
      <c r="F796" s="899"/>
      <c r="G796" s="1152" t="s">
        <v>9</v>
      </c>
    </row>
    <row r="797" spans="1:7">
      <c r="A797" s="884">
        <v>43173</v>
      </c>
      <c r="B797" s="240" t="str">
        <f>TiposLancamentos!B5</f>
        <v>Supermercado</v>
      </c>
      <c r="C797" s="878" t="s">
        <v>6234</v>
      </c>
      <c r="D797" s="63"/>
      <c r="E797" s="231">
        <v>44.82</v>
      </c>
      <c r="F797" s="899"/>
      <c r="G797" s="1152" t="s">
        <v>9</v>
      </c>
    </row>
    <row r="798" spans="1:7">
      <c r="A798" s="884">
        <v>43173</v>
      </c>
      <c r="B798" s="240" t="str">
        <f>TiposLancamentos!B71</f>
        <v>Itens Pessoais</v>
      </c>
      <c r="C798" s="878" t="s">
        <v>18855</v>
      </c>
      <c r="D798" s="63"/>
      <c r="E798" s="231">
        <f>F798/10</f>
        <v>199.8</v>
      </c>
      <c r="F798" s="899">
        <v>1998</v>
      </c>
      <c r="G798" s="1152" t="s">
        <v>9</v>
      </c>
    </row>
    <row r="799" spans="1:7">
      <c r="A799" s="1272">
        <v>43173</v>
      </c>
      <c r="B799" s="279" t="str">
        <f>TiposLancamentos!B16</f>
        <v>Cristiane</v>
      </c>
      <c r="C799" s="280" t="s">
        <v>18856</v>
      </c>
      <c r="D799" s="281"/>
      <c r="E799" s="1293">
        <v>27.89</v>
      </c>
      <c r="F799" s="1271"/>
      <c r="G799" s="1152" t="s">
        <v>9</v>
      </c>
    </row>
    <row r="800" spans="1:7">
      <c r="A800" s="884">
        <v>43174</v>
      </c>
      <c r="B800" s="240" t="str">
        <f>TiposLancamentos!B5</f>
        <v>Supermercado</v>
      </c>
      <c r="C800" s="878" t="s">
        <v>18657</v>
      </c>
      <c r="D800" s="63"/>
      <c r="E800" s="231">
        <v>411.49</v>
      </c>
      <c r="F800" s="899"/>
      <c r="G800" s="1152" t="s">
        <v>9</v>
      </c>
    </row>
    <row r="801" spans="1:7">
      <c r="A801" s="884">
        <v>43175</v>
      </c>
      <c r="B801" s="240" t="str">
        <f>TiposLancamentos!B16</f>
        <v>Cristiane</v>
      </c>
      <c r="C801" s="878" t="s">
        <v>18857</v>
      </c>
      <c r="D801" s="63"/>
      <c r="E801" s="231">
        <v>29.7</v>
      </c>
      <c r="F801" s="899"/>
      <c r="G801" s="1152" t="s">
        <v>9</v>
      </c>
    </row>
    <row r="802" spans="1:7">
      <c r="A802" s="884">
        <v>43175</v>
      </c>
      <c r="B802" s="240" t="str">
        <f>TiposLancamentos!B19</f>
        <v>Restaurantes</v>
      </c>
      <c r="C802" s="878" t="s">
        <v>8144</v>
      </c>
      <c r="D802" s="63"/>
      <c r="E802" s="231">
        <v>89.94</v>
      </c>
      <c r="F802" s="899"/>
      <c r="G802" s="1152" t="s">
        <v>9</v>
      </c>
    </row>
    <row r="803" spans="1:7">
      <c r="A803" s="884">
        <v>43176</v>
      </c>
      <c r="B803" s="240" t="str">
        <f>TiposLancamentos!B19</f>
        <v>Restaurantes</v>
      </c>
      <c r="C803" s="878" t="s">
        <v>14882</v>
      </c>
      <c r="D803" s="63"/>
      <c r="E803" s="231">
        <v>75.5</v>
      </c>
      <c r="F803" s="899"/>
      <c r="G803" s="1152" t="s">
        <v>9</v>
      </c>
    </row>
    <row r="804" spans="1:7">
      <c r="A804" s="884">
        <v>43176</v>
      </c>
      <c r="B804" s="240" t="str">
        <f>TiposLancamentos!B19</f>
        <v>Restaurantes</v>
      </c>
      <c r="C804" s="878" t="s">
        <v>14882</v>
      </c>
      <c r="D804" s="63"/>
      <c r="E804" s="231">
        <v>9</v>
      </c>
      <c r="F804" s="899"/>
      <c r="G804" s="1152" t="s">
        <v>9</v>
      </c>
    </row>
    <row r="805" spans="1:7">
      <c r="A805" s="884">
        <v>43176</v>
      </c>
      <c r="B805" s="240" t="str">
        <f>TiposLancamentos!B16</f>
        <v>Cristiane</v>
      </c>
      <c r="C805" s="878" t="s">
        <v>18858</v>
      </c>
      <c r="D805" s="63"/>
      <c r="E805" s="231">
        <v>133.69</v>
      </c>
      <c r="F805" s="899"/>
      <c r="G805" s="1152" t="s">
        <v>9</v>
      </c>
    </row>
    <row r="806" spans="1:7">
      <c r="A806" s="884">
        <v>43176</v>
      </c>
      <c r="B806" s="240" t="str">
        <f>TiposLancamentos!B19</f>
        <v>Restaurantes</v>
      </c>
      <c r="C806" s="878" t="s">
        <v>18859</v>
      </c>
      <c r="D806" s="63"/>
      <c r="E806" s="231">
        <v>21.01</v>
      </c>
      <c r="F806" s="899"/>
      <c r="G806" s="1152" t="s">
        <v>9</v>
      </c>
    </row>
    <row r="807" spans="1:7">
      <c r="A807" s="884">
        <v>43177</v>
      </c>
      <c r="B807" s="240" t="str">
        <f>TiposLancamentos!B5</f>
        <v>Supermercado</v>
      </c>
      <c r="C807" s="878" t="s">
        <v>18860</v>
      </c>
      <c r="D807" s="63"/>
      <c r="E807" s="231">
        <v>50.07</v>
      </c>
      <c r="F807" s="899"/>
      <c r="G807" s="1152" t="s">
        <v>9</v>
      </c>
    </row>
    <row r="808" spans="1:7">
      <c r="A808" s="934"/>
      <c r="B808" s="243"/>
      <c r="C808" s="389" t="s">
        <v>10</v>
      </c>
      <c r="D808" s="146"/>
      <c r="E808" s="1190"/>
      <c r="F808" s="935"/>
      <c r="G808" s="1094" t="s">
        <v>11</v>
      </c>
    </row>
    <row r="809" spans="1:7">
      <c r="A809" s="884">
        <v>43179</v>
      </c>
      <c r="B809" s="240" t="str">
        <f>TiposLancamentos!B5</f>
        <v>Supermercado</v>
      </c>
      <c r="C809" s="878" t="s">
        <v>6234</v>
      </c>
      <c r="D809" s="63"/>
      <c r="E809" s="231">
        <v>27.48</v>
      </c>
      <c r="F809" s="899"/>
      <c r="G809" s="1152" t="s">
        <v>9</v>
      </c>
    </row>
    <row r="810" spans="1:7">
      <c r="A810" s="884">
        <v>43179</v>
      </c>
      <c r="B810" s="240" t="str">
        <f>TiposLancamentos!B19</f>
        <v>Restaurantes</v>
      </c>
      <c r="C810" s="878" t="s">
        <v>10648</v>
      </c>
      <c r="D810" s="63"/>
      <c r="E810" s="231">
        <v>12.91</v>
      </c>
      <c r="F810" s="899"/>
      <c r="G810" s="1152" t="s">
        <v>9</v>
      </c>
    </row>
    <row r="811" spans="1:7">
      <c r="A811" s="884">
        <v>43180</v>
      </c>
      <c r="B811" s="240" t="str">
        <f>TiposLancamentos!B5</f>
        <v>Supermercado</v>
      </c>
      <c r="C811" s="878" t="s">
        <v>18861</v>
      </c>
      <c r="D811" s="63"/>
      <c r="E811" s="231">
        <v>10.78</v>
      </c>
      <c r="F811" s="899"/>
      <c r="G811" s="1152" t="s">
        <v>9</v>
      </c>
    </row>
    <row r="812" spans="1:7">
      <c r="A812" s="884">
        <v>43180</v>
      </c>
      <c r="B812" s="240" t="str">
        <f>TiposLancamentos!B19</f>
        <v>Restaurantes</v>
      </c>
      <c r="C812" s="878" t="s">
        <v>15841</v>
      </c>
      <c r="D812" s="63"/>
      <c r="E812" s="231">
        <v>12.91</v>
      </c>
      <c r="F812" s="899"/>
      <c r="G812" s="1152" t="s">
        <v>9</v>
      </c>
    </row>
    <row r="813" spans="1:7">
      <c r="A813" s="884">
        <v>43180</v>
      </c>
      <c r="B813" s="240" t="str">
        <f>TiposLancamentos!B19</f>
        <v>Restaurantes</v>
      </c>
      <c r="C813" s="878" t="s">
        <v>18862</v>
      </c>
      <c r="D813" s="63"/>
      <c r="E813" s="231">
        <v>31</v>
      </c>
      <c r="F813" s="899"/>
      <c r="G813" s="1152" t="s">
        <v>9</v>
      </c>
    </row>
    <row r="814" spans="1:7">
      <c r="A814" s="884">
        <v>43181</v>
      </c>
      <c r="B814" s="240" t="str">
        <f>TiposLancamentos!B19</f>
        <v>Restaurantes</v>
      </c>
      <c r="C814" s="878" t="s">
        <v>15841</v>
      </c>
      <c r="D814" s="63"/>
      <c r="E814" s="231">
        <v>12.91</v>
      </c>
      <c r="F814" s="899"/>
      <c r="G814" s="1152" t="s">
        <v>9</v>
      </c>
    </row>
    <row r="815" spans="1:7">
      <c r="A815" s="884">
        <v>43181</v>
      </c>
      <c r="B815" s="240" t="str">
        <f>TiposLancamentos!B19</f>
        <v>Restaurantes</v>
      </c>
      <c r="C815" s="878" t="s">
        <v>14787</v>
      </c>
      <c r="D815" s="63"/>
      <c r="E815" s="231">
        <v>10.59</v>
      </c>
      <c r="F815" s="899"/>
      <c r="G815" s="1152" t="s">
        <v>9</v>
      </c>
    </row>
    <row r="816" spans="1:7">
      <c r="A816" s="884">
        <v>43182</v>
      </c>
      <c r="B816" s="240" t="str">
        <f>TiposLancamentos!B56</f>
        <v>Farmácia</v>
      </c>
      <c r="C816" s="878" t="s">
        <v>18863</v>
      </c>
      <c r="D816" s="63"/>
      <c r="E816" s="231">
        <v>85.16</v>
      </c>
      <c r="F816" s="899"/>
      <c r="G816" s="1152" t="s">
        <v>9</v>
      </c>
    </row>
    <row r="817" spans="1:7">
      <c r="A817" s="884">
        <v>43182</v>
      </c>
      <c r="B817" s="240" t="str">
        <f>TiposLancamentos!B16</f>
        <v>Cristiane</v>
      </c>
      <c r="C817" s="878" t="s">
        <v>18864</v>
      </c>
      <c r="D817" s="63"/>
      <c r="E817" s="231">
        <v>179.8</v>
      </c>
      <c r="F817" s="899"/>
      <c r="G817" s="1152" t="s">
        <v>9</v>
      </c>
    </row>
    <row r="818" spans="1:7">
      <c r="A818" s="884">
        <v>43182</v>
      </c>
      <c r="B818" s="240" t="str">
        <f>TiposLancamentos!B19</f>
        <v>Restaurantes</v>
      </c>
      <c r="C818" s="878" t="s">
        <v>18865</v>
      </c>
      <c r="D818" s="63"/>
      <c r="E818" s="231">
        <v>146.30000000000001</v>
      </c>
      <c r="F818" s="899"/>
      <c r="G818" s="1152" t="s">
        <v>9</v>
      </c>
    </row>
    <row r="819" spans="1:7">
      <c r="A819" s="884">
        <v>43182</v>
      </c>
      <c r="B819" s="240" t="str">
        <f>TiposLancamentos!B19</f>
        <v>Restaurantes</v>
      </c>
      <c r="C819" s="878" t="s">
        <v>15297</v>
      </c>
      <c r="D819" s="63"/>
      <c r="E819" s="231">
        <v>19.5</v>
      </c>
      <c r="F819" s="899"/>
      <c r="G819" s="1152" t="s">
        <v>9</v>
      </c>
    </row>
    <row r="820" spans="1:7">
      <c r="A820" s="884">
        <v>43182</v>
      </c>
      <c r="B820" s="240" t="str">
        <f>TiposLancamentos!B71</f>
        <v>Itens Pessoais</v>
      </c>
      <c r="C820" s="878" t="s">
        <v>18866</v>
      </c>
      <c r="D820" s="63"/>
      <c r="E820" s="231">
        <v>372</v>
      </c>
      <c r="F820" s="899"/>
      <c r="G820" s="1152" t="s">
        <v>9</v>
      </c>
    </row>
    <row r="821" spans="1:7">
      <c r="A821" s="884">
        <v>43182</v>
      </c>
      <c r="B821" s="240" t="str">
        <f>TiposLancamentos!B5</f>
        <v>Supermercado</v>
      </c>
      <c r="C821" s="878" t="s">
        <v>18867</v>
      </c>
      <c r="D821" s="63"/>
      <c r="E821" s="231">
        <v>33.549999999999997</v>
      </c>
      <c r="F821" s="899"/>
      <c r="G821" s="1152" t="s">
        <v>9</v>
      </c>
    </row>
    <row r="822" spans="1:7">
      <c r="A822" s="884">
        <v>43182</v>
      </c>
      <c r="B822" s="240" t="str">
        <f>TiposLancamentos!B65</f>
        <v>Taxi</v>
      </c>
      <c r="C822" s="878" t="s">
        <v>18868</v>
      </c>
      <c r="D822" s="63"/>
      <c r="E822" s="231">
        <v>8.94</v>
      </c>
      <c r="F822" s="899"/>
      <c r="G822" s="1152" t="s">
        <v>9</v>
      </c>
    </row>
    <row r="823" spans="1:7">
      <c r="A823" s="1226">
        <v>43182</v>
      </c>
      <c r="B823" s="1218" t="str">
        <f>TiposLancamentos!B19</f>
        <v>Restaurantes</v>
      </c>
      <c r="C823" s="1219" t="s">
        <v>18869</v>
      </c>
      <c r="D823" s="1220"/>
      <c r="E823" s="1221">
        <f>F824-E824</f>
        <v>73.900000000000006</v>
      </c>
      <c r="F823" s="1227"/>
      <c r="G823" s="1152" t="s">
        <v>9</v>
      </c>
    </row>
    <row r="824" spans="1:7">
      <c r="A824" s="1228">
        <v>43182</v>
      </c>
      <c r="B824" s="1222" t="str">
        <f>TiposLancamentos!B26</f>
        <v>LIVROS</v>
      </c>
      <c r="C824" s="1223" t="s">
        <v>18870</v>
      </c>
      <c r="D824" s="1224"/>
      <c r="E824" s="1225">
        <v>25</v>
      </c>
      <c r="F824" s="1229">
        <v>98.9</v>
      </c>
      <c r="G824" s="1152" t="s">
        <v>9</v>
      </c>
    </row>
    <row r="825" spans="1:7">
      <c r="A825" s="884">
        <v>43183</v>
      </c>
      <c r="B825" s="240" t="str">
        <f>TiposLancamentos!B64</f>
        <v>Viagens</v>
      </c>
      <c r="C825" s="878" t="s">
        <v>18871</v>
      </c>
      <c r="D825" s="63"/>
      <c r="E825" s="231">
        <v>1013.33</v>
      </c>
      <c r="F825" s="899">
        <f>E825*3</f>
        <v>3039.9900000000002</v>
      </c>
      <c r="G825" s="1152" t="s">
        <v>9</v>
      </c>
    </row>
    <row r="826" spans="1:7">
      <c r="A826" s="884">
        <v>43184</v>
      </c>
      <c r="B826" s="240" t="str">
        <f>TiposLancamentos!B19</f>
        <v>Restaurantes</v>
      </c>
      <c r="C826" s="878" t="s">
        <v>18872</v>
      </c>
      <c r="D826" s="63"/>
      <c r="E826" s="231">
        <v>35.6</v>
      </c>
      <c r="F826" s="899"/>
      <c r="G826" s="1152" t="s">
        <v>9</v>
      </c>
    </row>
    <row r="827" spans="1:7">
      <c r="A827" s="884">
        <v>43185</v>
      </c>
      <c r="B827" s="240" t="str">
        <f>TiposLancamentos!B5</f>
        <v>Supermercado</v>
      </c>
      <c r="C827" s="878" t="s">
        <v>6234</v>
      </c>
      <c r="D827" s="63"/>
      <c r="E827" s="231">
        <v>38.28</v>
      </c>
      <c r="F827" s="899"/>
      <c r="G827" s="1152" t="s">
        <v>9</v>
      </c>
    </row>
    <row r="828" spans="1:7">
      <c r="A828" s="884">
        <v>43185</v>
      </c>
      <c r="B828" s="240" t="str">
        <f>TiposLancamentos!B19</f>
        <v>Restaurantes</v>
      </c>
      <c r="C828" s="878" t="s">
        <v>18873</v>
      </c>
      <c r="D828" s="63"/>
      <c r="E828" s="231">
        <v>12.91</v>
      </c>
      <c r="F828" s="899"/>
      <c r="G828" s="1152" t="s">
        <v>9</v>
      </c>
    </row>
    <row r="829" spans="1:7">
      <c r="A829" s="884">
        <v>43185</v>
      </c>
      <c r="B829" s="240" t="str">
        <f>TiposLancamentos!B19</f>
        <v>Restaurantes</v>
      </c>
      <c r="C829" s="878" t="s">
        <v>17860</v>
      </c>
      <c r="D829" s="63"/>
      <c r="E829" s="231">
        <v>8.5</v>
      </c>
      <c r="F829" s="899"/>
      <c r="G829" s="1152" t="s">
        <v>9</v>
      </c>
    </row>
    <row r="830" spans="1:7">
      <c r="A830" s="884">
        <v>43186</v>
      </c>
      <c r="B830" s="240" t="str">
        <f>TiposLancamentos!B19</f>
        <v>Restaurantes</v>
      </c>
      <c r="C830" s="878" t="s">
        <v>18873</v>
      </c>
      <c r="D830" s="63"/>
      <c r="E830" s="231">
        <v>12.91</v>
      </c>
      <c r="F830" s="899"/>
      <c r="G830" s="1152" t="s">
        <v>9</v>
      </c>
    </row>
    <row r="831" spans="1:7">
      <c r="A831" s="884">
        <v>43186</v>
      </c>
      <c r="B831" s="240" t="str">
        <f>TiposLancamentos!B56</f>
        <v>Farmácia</v>
      </c>
      <c r="C831" s="878" t="s">
        <v>18874</v>
      </c>
      <c r="D831" s="63"/>
      <c r="E831" s="231">
        <v>29.4</v>
      </c>
      <c r="F831" s="899"/>
      <c r="G831" s="1152" t="s">
        <v>9</v>
      </c>
    </row>
    <row r="832" spans="1:7">
      <c r="A832" s="884">
        <v>43186</v>
      </c>
      <c r="B832" s="240" t="str">
        <f>TiposLancamentos!B19</f>
        <v>Restaurantes</v>
      </c>
      <c r="C832" s="878" t="s">
        <v>17860</v>
      </c>
      <c r="D832" s="63"/>
      <c r="E832" s="231">
        <v>8.5</v>
      </c>
      <c r="F832" s="899"/>
      <c r="G832" s="1152" t="s">
        <v>9</v>
      </c>
    </row>
    <row r="833" spans="1:7">
      <c r="A833" s="884">
        <v>43186</v>
      </c>
      <c r="B833" s="240" t="str">
        <f>TiposLancamentos!B57</f>
        <v>Informática</v>
      </c>
      <c r="C833" s="878" t="s">
        <v>18875</v>
      </c>
      <c r="D833" s="63"/>
      <c r="E833" s="231">
        <v>52.4</v>
      </c>
      <c r="F833" s="899"/>
      <c r="G833" s="1152" t="s">
        <v>9</v>
      </c>
    </row>
    <row r="834" spans="1:7">
      <c r="A834" s="884">
        <v>43186</v>
      </c>
      <c r="B834" s="240" t="str">
        <f>TiposLancamentos!B19</f>
        <v>Restaurantes</v>
      </c>
      <c r="C834" s="878" t="s">
        <v>14787</v>
      </c>
      <c r="D834" s="63"/>
      <c r="E834" s="231">
        <v>10.59</v>
      </c>
      <c r="F834" s="899"/>
      <c r="G834" s="1152" t="s">
        <v>9</v>
      </c>
    </row>
    <row r="835" spans="1:7">
      <c r="A835" s="1272">
        <v>43186</v>
      </c>
      <c r="B835" s="279" t="str">
        <f>TiposLancamentos!B5</f>
        <v>Supermercado</v>
      </c>
      <c r="C835" s="280" t="s">
        <v>18657</v>
      </c>
      <c r="D835" s="281"/>
      <c r="E835" s="1293">
        <v>152.22</v>
      </c>
      <c r="F835" s="1271"/>
      <c r="G835" s="1152" t="s">
        <v>9</v>
      </c>
    </row>
    <row r="836" spans="1:7">
      <c r="A836" s="1272">
        <v>43186</v>
      </c>
      <c r="B836" s="279" t="str">
        <f>TiposLancamentos!B19</f>
        <v>Restaurantes</v>
      </c>
      <c r="C836" s="280" t="s">
        <v>18876</v>
      </c>
      <c r="D836" s="281"/>
      <c r="E836" s="1293">
        <v>44</v>
      </c>
      <c r="F836" s="1271"/>
      <c r="G836" s="1152" t="s">
        <v>9</v>
      </c>
    </row>
    <row r="837" spans="1:7">
      <c r="A837" s="884">
        <v>43187</v>
      </c>
      <c r="B837" s="240" t="str">
        <f>TiposLancamentos!B45</f>
        <v>Online Services</v>
      </c>
      <c r="C837" s="878" t="s">
        <v>1894</v>
      </c>
      <c r="D837" s="63"/>
      <c r="E837" s="231">
        <v>27.9</v>
      </c>
      <c r="F837" s="899"/>
      <c r="G837" s="1152" t="s">
        <v>9</v>
      </c>
    </row>
    <row r="838" spans="1:7">
      <c r="A838" s="884">
        <v>43187</v>
      </c>
      <c r="B838" s="240" t="str">
        <f>TiposLancamentos!B45</f>
        <v>Online Services</v>
      </c>
      <c r="C838" s="878" t="s">
        <v>1895</v>
      </c>
      <c r="D838" s="63"/>
      <c r="E838" s="231">
        <v>26.9</v>
      </c>
      <c r="F838" s="899"/>
      <c r="G838" s="1152" t="s">
        <v>9</v>
      </c>
    </row>
    <row r="839" spans="1:7">
      <c r="A839" s="884">
        <v>43187</v>
      </c>
      <c r="B839" s="240" t="str">
        <f>TiposLancamentos!B5</f>
        <v>Supermercado</v>
      </c>
      <c r="C839" s="878" t="s">
        <v>18877</v>
      </c>
      <c r="D839" s="63"/>
      <c r="E839" s="231">
        <v>34.979999999999997</v>
      </c>
      <c r="F839" s="899"/>
      <c r="G839" s="1152" t="s">
        <v>9</v>
      </c>
    </row>
    <row r="840" spans="1:7">
      <c r="A840" s="884">
        <v>43187</v>
      </c>
      <c r="B840" s="240" t="str">
        <f>TiposLancamentos!B19</f>
        <v>Restaurantes</v>
      </c>
      <c r="C840" s="878" t="s">
        <v>18873</v>
      </c>
      <c r="D840" s="63"/>
      <c r="E840" s="231">
        <v>12.91</v>
      </c>
      <c r="F840" s="899"/>
      <c r="G840" s="1152" t="s">
        <v>9</v>
      </c>
    </row>
    <row r="841" spans="1:7">
      <c r="A841" s="884">
        <v>43187</v>
      </c>
      <c r="B841" s="240" t="str">
        <f>TiposLancamentos!B19</f>
        <v>Restaurantes</v>
      </c>
      <c r="C841" s="878" t="s">
        <v>14787</v>
      </c>
      <c r="D841" s="63"/>
      <c r="E841" s="231">
        <v>12.3</v>
      </c>
      <c r="F841" s="899"/>
      <c r="G841" s="1152" t="s">
        <v>9</v>
      </c>
    </row>
    <row r="842" spans="1:7">
      <c r="A842" s="884">
        <v>43188</v>
      </c>
      <c r="B842" s="240" t="str">
        <f>TiposLancamentos!B71</f>
        <v>Itens Pessoais</v>
      </c>
      <c r="C842" s="878" t="s">
        <v>18878</v>
      </c>
      <c r="D842" s="63"/>
      <c r="E842" s="231">
        <v>285.81</v>
      </c>
      <c r="F842" s="899">
        <v>1714.9</v>
      </c>
      <c r="G842" s="1152" t="s">
        <v>9</v>
      </c>
    </row>
    <row r="843" spans="1:7">
      <c r="A843" s="884">
        <v>43189</v>
      </c>
      <c r="B843" s="240" t="str">
        <f>TiposLancamentos!B19</f>
        <v>Restaurantes</v>
      </c>
      <c r="C843" s="878" t="s">
        <v>18879</v>
      </c>
      <c r="D843" s="63"/>
      <c r="E843" s="231">
        <v>58.3</v>
      </c>
      <c r="F843" s="899"/>
      <c r="G843" s="1152" t="s">
        <v>9</v>
      </c>
    </row>
    <row r="844" spans="1:7">
      <c r="A844" s="884">
        <v>43189</v>
      </c>
      <c r="B844" s="240" t="str">
        <f>TiposLancamentos!B56</f>
        <v>Farmácia</v>
      </c>
      <c r="C844" s="878" t="s">
        <v>18880</v>
      </c>
      <c r="D844" s="63"/>
      <c r="E844" s="231">
        <v>159.4</v>
      </c>
      <c r="F844" s="899"/>
      <c r="G844" s="1152" t="s">
        <v>9</v>
      </c>
    </row>
    <row r="845" spans="1:7">
      <c r="A845" s="884">
        <v>43189</v>
      </c>
      <c r="B845" s="240" t="str">
        <f>TiposLancamentos!B5</f>
        <v>Supermercado</v>
      </c>
      <c r="C845" s="878" t="s">
        <v>7068</v>
      </c>
      <c r="D845" s="63"/>
      <c r="E845" s="231">
        <v>32.369999999999997</v>
      </c>
      <c r="F845" s="899"/>
      <c r="G845" s="1152" t="s">
        <v>9</v>
      </c>
    </row>
    <row r="846" spans="1:7" ht="14.25" thickBot="1">
      <c r="A846" s="884">
        <v>43190</v>
      </c>
      <c r="B846" s="240" t="str">
        <f>TiposLancamentos!B19</f>
        <v>Restaurantes</v>
      </c>
      <c r="C846" s="878" t="s">
        <v>18881</v>
      </c>
      <c r="D846" s="63"/>
      <c r="E846" s="231">
        <v>124.96</v>
      </c>
      <c r="F846" s="899"/>
      <c r="G846" s="1152" t="s">
        <v>9</v>
      </c>
    </row>
    <row r="847" spans="1:7">
      <c r="A847" s="1032"/>
      <c r="B847" s="1230"/>
      <c r="C847" s="906" t="s">
        <v>11201</v>
      </c>
      <c r="D847" s="896"/>
      <c r="E847" s="925"/>
      <c r="F847" s="898">
        <f>SUM(E721:E807)</f>
        <v>8822.6723646666687</v>
      </c>
      <c r="G847" s="3"/>
    </row>
    <row r="848" spans="1:7">
      <c r="A848" s="884">
        <v>43191</v>
      </c>
      <c r="B848" s="240" t="str">
        <f>TiposLancamentos!B5</f>
        <v>Supermercado</v>
      </c>
      <c r="C848" s="878" t="s">
        <v>16747</v>
      </c>
      <c r="D848" s="63"/>
      <c r="E848" s="231">
        <v>114.68</v>
      </c>
      <c r="F848" s="899">
        <f>F847-F759</f>
        <v>1162.8123646666681</v>
      </c>
      <c r="G848" s="1152" t="s">
        <v>9</v>
      </c>
    </row>
    <row r="849" spans="1:7">
      <c r="A849" s="884">
        <v>43191</v>
      </c>
      <c r="B849" s="240" t="str">
        <f>TiposLancamentos!B5</f>
        <v>Supermercado</v>
      </c>
      <c r="C849" s="878" t="s">
        <v>3524</v>
      </c>
      <c r="D849" s="63"/>
      <c r="E849" s="231">
        <v>7.99</v>
      </c>
      <c r="F849" s="899"/>
      <c r="G849" s="1152" t="s">
        <v>9</v>
      </c>
    </row>
    <row r="850" spans="1:7">
      <c r="A850" s="884">
        <v>43192</v>
      </c>
      <c r="B850" s="240" t="str">
        <f>TiposLancamentos!B15</f>
        <v>Cartões de Crédito</v>
      </c>
      <c r="C850" s="878" t="s">
        <v>1874</v>
      </c>
      <c r="D850" s="63">
        <v>8822.67</v>
      </c>
      <c r="E850" s="231"/>
      <c r="F850" s="899"/>
      <c r="G850" s="1152" t="s">
        <v>9</v>
      </c>
    </row>
    <row r="851" spans="1:7">
      <c r="A851" s="884">
        <v>43192</v>
      </c>
      <c r="B851" s="240" t="str">
        <f>TiposLancamentos!B4</f>
        <v>Taxas Bancarias</v>
      </c>
      <c r="C851" s="878" t="s">
        <v>18638</v>
      </c>
      <c r="D851" s="63"/>
      <c r="E851" s="231">
        <v>0.59</v>
      </c>
      <c r="F851" s="899"/>
      <c r="G851" s="1152" t="s">
        <v>9</v>
      </c>
    </row>
    <row r="852" spans="1:7">
      <c r="A852" s="884">
        <v>43193</v>
      </c>
      <c r="B852" s="240" t="str">
        <f>TiposLancamentos!B44</f>
        <v>Academia</v>
      </c>
      <c r="C852" s="878" t="s">
        <v>11192</v>
      </c>
      <c r="D852" s="63"/>
      <c r="E852" s="231">
        <v>178</v>
      </c>
      <c r="F852" s="899">
        <f>E852*4</f>
        <v>712</v>
      </c>
      <c r="G852" s="1152" t="s">
        <v>9</v>
      </c>
    </row>
    <row r="853" spans="1:7">
      <c r="A853" s="884">
        <v>43193</v>
      </c>
      <c r="B853" s="240" t="str">
        <f>TiposLancamentos!B88</f>
        <v>Ford Ecosport XLT</v>
      </c>
      <c r="C853" s="878" t="s">
        <v>18882</v>
      </c>
      <c r="D853" s="63"/>
      <c r="E853" s="231">
        <f>F853/6</f>
        <v>525</v>
      </c>
      <c r="F853" s="899">
        <v>3150</v>
      </c>
      <c r="G853" s="1152" t="s">
        <v>9</v>
      </c>
    </row>
    <row r="854" spans="1:7">
      <c r="A854" s="884">
        <v>43193</v>
      </c>
      <c r="B854" s="240" t="str">
        <f>TiposLancamentos!B45</f>
        <v>Online Services</v>
      </c>
      <c r="C854" s="878" t="s">
        <v>18771</v>
      </c>
      <c r="D854" s="63"/>
      <c r="E854" s="231">
        <v>15</v>
      </c>
      <c r="F854" s="899"/>
      <c r="G854" s="1152" t="s">
        <v>9</v>
      </c>
    </row>
    <row r="855" spans="1:7">
      <c r="A855" s="884">
        <v>43194</v>
      </c>
      <c r="B855" s="240" t="str">
        <f>TiposLancamentos!B5</f>
        <v>Supermercado</v>
      </c>
      <c r="C855" s="878" t="s">
        <v>6234</v>
      </c>
      <c r="D855" s="63"/>
      <c r="E855" s="231">
        <v>31.82</v>
      </c>
      <c r="F855" s="899"/>
      <c r="G855" s="1152" t="s">
        <v>9</v>
      </c>
    </row>
    <row r="856" spans="1:7">
      <c r="A856" s="1272">
        <v>43194</v>
      </c>
      <c r="B856" s="279" t="str">
        <f>TiposLancamentos!B16</f>
        <v>Cristiane</v>
      </c>
      <c r="C856" s="280" t="s">
        <v>6052</v>
      </c>
      <c r="D856" s="281"/>
      <c r="E856" s="1293">
        <v>25.4</v>
      </c>
      <c r="F856" s="1271"/>
      <c r="G856" s="1152" t="s">
        <v>9</v>
      </c>
    </row>
    <row r="857" spans="1:7">
      <c r="A857" s="884">
        <v>43194</v>
      </c>
      <c r="B857" s="240" t="str">
        <f>TiposLancamentos!B56</f>
        <v>Farmácia</v>
      </c>
      <c r="C857" s="878" t="s">
        <v>9816</v>
      </c>
      <c r="D857" s="63"/>
      <c r="E857" s="231">
        <v>10.87</v>
      </c>
      <c r="F857" s="899"/>
      <c r="G857" s="1152" t="s">
        <v>9</v>
      </c>
    </row>
    <row r="858" spans="1:7">
      <c r="A858" s="884">
        <v>43195</v>
      </c>
      <c r="B858" s="240" t="str">
        <f>TiposLancamentos!B5</f>
        <v>Supermercado</v>
      </c>
      <c r="C858" s="878" t="s">
        <v>6234</v>
      </c>
      <c r="D858" s="63"/>
      <c r="E858" s="231">
        <v>118.09</v>
      </c>
      <c r="F858" s="899"/>
      <c r="G858" s="1152" t="s">
        <v>9</v>
      </c>
    </row>
    <row r="859" spans="1:7">
      <c r="A859" s="1272">
        <v>43195</v>
      </c>
      <c r="B859" s="279" t="str">
        <f>TiposLancamentos!B5</f>
        <v>Supermercado</v>
      </c>
      <c r="C859" s="280" t="s">
        <v>18883</v>
      </c>
      <c r="D859" s="281"/>
      <c r="E859" s="1293">
        <v>95.8</v>
      </c>
      <c r="F859" s="1271"/>
      <c r="G859" s="1152" t="s">
        <v>9</v>
      </c>
    </row>
    <row r="860" spans="1:7">
      <c r="A860" s="884">
        <v>43196</v>
      </c>
      <c r="B860" s="240" t="str">
        <f>TiposLancamentos!B28</f>
        <v>ComicBook</v>
      </c>
      <c r="C860" s="878" t="s">
        <v>18884</v>
      </c>
      <c r="D860" s="63"/>
      <c r="E860" s="231">
        <v>55.82</v>
      </c>
      <c r="F860" s="899"/>
      <c r="G860" s="1152" t="s">
        <v>9</v>
      </c>
    </row>
    <row r="861" spans="1:7">
      <c r="A861" s="884">
        <v>43197</v>
      </c>
      <c r="B861" s="240" t="str">
        <f>TiposLancamentos!B19</f>
        <v>Restaurantes</v>
      </c>
      <c r="C861" s="878" t="s">
        <v>18885</v>
      </c>
      <c r="D861" s="63"/>
      <c r="E861" s="231">
        <v>201.93</v>
      </c>
      <c r="F861" s="899"/>
      <c r="G861" s="1152" t="s">
        <v>9</v>
      </c>
    </row>
    <row r="862" spans="1:7">
      <c r="A862" s="884">
        <v>43197</v>
      </c>
      <c r="B862" s="240" t="str">
        <f>TiposLancamentos!B16</f>
        <v>Cristiane</v>
      </c>
      <c r="C862" s="878" t="s">
        <v>18886</v>
      </c>
      <c r="D862" s="63"/>
      <c r="E862" s="231">
        <v>139.9</v>
      </c>
      <c r="F862" s="899"/>
      <c r="G862" s="1152" t="s">
        <v>9</v>
      </c>
    </row>
    <row r="863" spans="1:7">
      <c r="A863" s="884">
        <v>43197</v>
      </c>
      <c r="B863" s="240" t="str">
        <f>TiposLancamentos!B56</f>
        <v>Farmácia</v>
      </c>
      <c r="C863" s="878" t="s">
        <v>18887</v>
      </c>
      <c r="D863" s="63"/>
      <c r="E863" s="231">
        <v>35.020000000000003</v>
      </c>
      <c r="F863" s="899"/>
      <c r="G863" s="1152" t="s">
        <v>9</v>
      </c>
    </row>
    <row r="864" spans="1:7">
      <c r="A864" s="884">
        <v>43197</v>
      </c>
      <c r="B864" s="240" t="str">
        <f>TiposLancamentos!B5</f>
        <v>Supermercado</v>
      </c>
      <c r="C864" s="878" t="s">
        <v>6234</v>
      </c>
      <c r="D864" s="63"/>
      <c r="E864" s="231">
        <v>64.12</v>
      </c>
      <c r="F864" s="899"/>
      <c r="G864" s="1152" t="s">
        <v>9</v>
      </c>
    </row>
    <row r="865" spans="1:7">
      <c r="A865" s="884">
        <v>43198</v>
      </c>
      <c r="B865" s="240" t="str">
        <f>TiposLancamentos!B19</f>
        <v>Restaurantes</v>
      </c>
      <c r="C865" s="878" t="s">
        <v>7406</v>
      </c>
      <c r="D865" s="63"/>
      <c r="E865" s="231">
        <v>142.56</v>
      </c>
      <c r="F865" s="899"/>
      <c r="G865" s="1152" t="s">
        <v>9</v>
      </c>
    </row>
    <row r="866" spans="1:7">
      <c r="A866" s="884">
        <v>43198</v>
      </c>
      <c r="B866" s="240" t="str">
        <f>TiposLancamentos!B19</f>
        <v>Restaurantes</v>
      </c>
      <c r="C866" s="878" t="s">
        <v>18888</v>
      </c>
      <c r="D866" s="63"/>
      <c r="E866" s="231">
        <v>51.96</v>
      </c>
      <c r="F866" s="899"/>
      <c r="G866" s="1152" t="s">
        <v>9</v>
      </c>
    </row>
    <row r="867" spans="1:7">
      <c r="A867" s="884">
        <v>43198</v>
      </c>
      <c r="B867" s="240" t="str">
        <f>TiposLancamentos!B71</f>
        <v>Itens Pessoais</v>
      </c>
      <c r="C867" s="878" t="s">
        <v>18889</v>
      </c>
      <c r="D867" s="63"/>
      <c r="E867" s="231">
        <v>308</v>
      </c>
      <c r="F867" s="899">
        <f>E867*6</f>
        <v>1848</v>
      </c>
      <c r="G867" s="1152" t="s">
        <v>9</v>
      </c>
    </row>
    <row r="868" spans="1:7">
      <c r="A868" s="884">
        <v>43199</v>
      </c>
      <c r="B868" s="240" t="str">
        <f>TiposLancamentos!B5</f>
        <v>Supermercado</v>
      </c>
      <c r="C868" s="878" t="s">
        <v>5844</v>
      </c>
      <c r="D868" s="63"/>
      <c r="E868" s="231">
        <v>167.22</v>
      </c>
      <c r="F868" s="899"/>
      <c r="G868" s="1152" t="s">
        <v>9</v>
      </c>
    </row>
    <row r="869" spans="1:7">
      <c r="A869" s="1272">
        <v>43200</v>
      </c>
      <c r="B869" s="279" t="str">
        <f>TiposLancamentos!B16</f>
        <v>Cristiane</v>
      </c>
      <c r="C869" s="280" t="s">
        <v>18890</v>
      </c>
      <c r="D869" s="281"/>
      <c r="E869" s="1293">
        <v>242</v>
      </c>
      <c r="F869" s="1271">
        <f>E869*3</f>
        <v>726</v>
      </c>
      <c r="G869" s="1152" t="s">
        <v>9</v>
      </c>
    </row>
    <row r="870" spans="1:7">
      <c r="A870" s="884">
        <v>43202</v>
      </c>
      <c r="B870" s="240" t="str">
        <f>TiposLancamentos!B5</f>
        <v>Supermercado</v>
      </c>
      <c r="C870" s="878" t="s">
        <v>6234</v>
      </c>
      <c r="D870" s="63"/>
      <c r="E870" s="231">
        <v>11.26</v>
      </c>
      <c r="F870" s="899"/>
      <c r="G870" s="1152" t="s">
        <v>9</v>
      </c>
    </row>
    <row r="871" spans="1:7">
      <c r="A871" s="884">
        <v>43202</v>
      </c>
      <c r="B871" s="240" t="str">
        <f>TiposLancamentos!B48</f>
        <v>Baralhos e Oráculos</v>
      </c>
      <c r="C871" s="878" t="s">
        <v>18891</v>
      </c>
      <c r="D871" s="63"/>
      <c r="E871" s="231">
        <v>92.24</v>
      </c>
      <c r="F871" s="899"/>
      <c r="G871" s="1152" t="s">
        <v>9</v>
      </c>
    </row>
    <row r="872" spans="1:7">
      <c r="A872" s="884">
        <v>43202</v>
      </c>
      <c r="B872" s="240" t="str">
        <f>TiposLancamentos!B59</f>
        <v>Documentos</v>
      </c>
      <c r="C872" s="878" t="s">
        <v>18892</v>
      </c>
      <c r="D872" s="63"/>
      <c r="E872" s="231">
        <v>1372</v>
      </c>
      <c r="F872" s="899"/>
      <c r="G872" s="1152" t="s">
        <v>9</v>
      </c>
    </row>
    <row r="873" spans="1:7">
      <c r="A873" s="1272">
        <v>43202</v>
      </c>
      <c r="B873" s="279" t="str">
        <f>TiposLancamentos!B19</f>
        <v>Restaurantes</v>
      </c>
      <c r="C873" s="280" t="s">
        <v>18893</v>
      </c>
      <c r="D873" s="281"/>
      <c r="E873" s="1293">
        <v>44</v>
      </c>
      <c r="F873" s="1271"/>
      <c r="G873" s="1152" t="s">
        <v>9</v>
      </c>
    </row>
    <row r="874" spans="1:7">
      <c r="A874" s="884">
        <v>43204</v>
      </c>
      <c r="B874" s="240" t="str">
        <f>TiposLancamentos!B71</f>
        <v>Itens Pessoais</v>
      </c>
      <c r="C874" s="878" t="s">
        <v>18894</v>
      </c>
      <c r="D874" s="63"/>
      <c r="E874" s="231">
        <f>F874/10</f>
        <v>199.8</v>
      </c>
      <c r="F874" s="899">
        <v>1998</v>
      </c>
      <c r="G874" s="1152" t="s">
        <v>9</v>
      </c>
    </row>
    <row r="875" spans="1:7">
      <c r="A875" s="884">
        <v>43204</v>
      </c>
      <c r="B875" s="240" t="str">
        <f>TiposLancamentos!B19</f>
        <v>Restaurantes</v>
      </c>
      <c r="C875" s="878" t="s">
        <v>6536</v>
      </c>
      <c r="D875" s="63"/>
      <c r="E875" s="231">
        <v>113.3</v>
      </c>
      <c r="F875" s="899"/>
      <c r="G875" s="1152" t="s">
        <v>9</v>
      </c>
    </row>
    <row r="876" spans="1:7">
      <c r="A876" s="884">
        <v>43204</v>
      </c>
      <c r="B876" s="240" t="str">
        <f>TiposLancamentos!B48</f>
        <v>Baralhos e Oráculos</v>
      </c>
      <c r="C876" s="878" t="s">
        <v>18895</v>
      </c>
      <c r="D876" s="63"/>
      <c r="E876" s="231">
        <v>101.7</v>
      </c>
      <c r="F876" s="899"/>
      <c r="G876" s="1152" t="s">
        <v>9</v>
      </c>
    </row>
    <row r="877" spans="1:7">
      <c r="A877" s="884">
        <v>43205</v>
      </c>
      <c r="B877" s="240" t="str">
        <f>TiposLancamentos!B19</f>
        <v>Restaurantes</v>
      </c>
      <c r="C877" s="878" t="s">
        <v>11890</v>
      </c>
      <c r="D877" s="63"/>
      <c r="E877" s="231">
        <v>155.52000000000001</v>
      </c>
      <c r="F877" s="899"/>
      <c r="G877" s="1152" t="s">
        <v>9</v>
      </c>
    </row>
    <row r="878" spans="1:7">
      <c r="A878" s="884">
        <v>43205</v>
      </c>
      <c r="B878" s="240" t="str">
        <f>TiposLancamentos!B16</f>
        <v>Cristiane</v>
      </c>
      <c r="C878" s="878" t="s">
        <v>18896</v>
      </c>
      <c r="D878" s="63"/>
      <c r="E878" s="231">
        <v>169.8</v>
      </c>
      <c r="F878" s="899"/>
      <c r="G878" s="1152" t="s">
        <v>9</v>
      </c>
    </row>
    <row r="879" spans="1:7">
      <c r="A879" s="884">
        <v>43205</v>
      </c>
      <c r="B879" s="240" t="str">
        <f>TiposLancamentos!B17</f>
        <v>GATO</v>
      </c>
      <c r="C879" s="878" t="s">
        <v>18897</v>
      </c>
      <c r="D879" s="63"/>
      <c r="E879" s="231">
        <v>52.63</v>
      </c>
      <c r="F879" s="899"/>
      <c r="G879" s="1152" t="s">
        <v>9</v>
      </c>
    </row>
    <row r="880" spans="1:7">
      <c r="A880" s="884">
        <v>43205</v>
      </c>
      <c r="B880" s="240" t="str">
        <f>TiposLancamentos!B56</f>
        <v>Farmácia</v>
      </c>
      <c r="C880" s="878" t="s">
        <v>18898</v>
      </c>
      <c r="D880" s="63"/>
      <c r="E880" s="231">
        <v>40.94</v>
      </c>
      <c r="F880" s="899"/>
      <c r="G880" s="1152" t="s">
        <v>9</v>
      </c>
    </row>
    <row r="881" spans="1:7">
      <c r="A881" s="884">
        <v>43205</v>
      </c>
      <c r="B881" s="240" t="str">
        <f>TiposLancamentos!B5</f>
        <v>Supermercado</v>
      </c>
      <c r="C881" s="878" t="s">
        <v>7068</v>
      </c>
      <c r="D881" s="63"/>
      <c r="E881" s="231">
        <v>43.09</v>
      </c>
      <c r="F881" s="899"/>
      <c r="G881" s="1152" t="s">
        <v>9</v>
      </c>
    </row>
    <row r="882" spans="1:7">
      <c r="A882" s="884">
        <v>43206</v>
      </c>
      <c r="B882" s="240" t="str">
        <f>TiposLancamentos!B5</f>
        <v>Supermercado</v>
      </c>
      <c r="C882" s="878" t="s">
        <v>6234</v>
      </c>
      <c r="D882" s="63"/>
      <c r="E882" s="231">
        <v>27.32</v>
      </c>
      <c r="F882" s="899"/>
      <c r="G882" s="1152" t="s">
        <v>9</v>
      </c>
    </row>
    <row r="883" spans="1:7">
      <c r="A883" s="884">
        <v>43206</v>
      </c>
      <c r="B883" s="240" t="str">
        <f>TiposLancamentos!B5</f>
        <v>Supermercado</v>
      </c>
      <c r="C883" s="878" t="s">
        <v>18899</v>
      </c>
      <c r="D883" s="63"/>
      <c r="E883" s="231">
        <v>192.89</v>
      </c>
      <c r="F883" s="899"/>
      <c r="G883" s="1152" t="s">
        <v>9</v>
      </c>
    </row>
    <row r="884" spans="1:7">
      <c r="A884" s="1272">
        <v>43206</v>
      </c>
      <c r="B884" s="279" t="str">
        <f>TiposLancamentos!B88</f>
        <v>Ford Ecosport XLT</v>
      </c>
      <c r="C884" s="280" t="s">
        <v>18900</v>
      </c>
      <c r="D884" s="281"/>
      <c r="E884" s="1293">
        <v>165</v>
      </c>
      <c r="F884" s="1271"/>
      <c r="G884" s="1152" t="s">
        <v>9</v>
      </c>
    </row>
    <row r="885" spans="1:7">
      <c r="A885" s="884">
        <v>43207</v>
      </c>
      <c r="B885" s="240" t="str">
        <f>TiposLancamentos!B19</f>
        <v>Restaurantes</v>
      </c>
      <c r="C885" s="878" t="s">
        <v>18901</v>
      </c>
      <c r="D885" s="63"/>
      <c r="E885" s="231">
        <v>102.24</v>
      </c>
      <c r="F885" s="899"/>
      <c r="G885" s="1152" t="s">
        <v>9</v>
      </c>
    </row>
    <row r="886" spans="1:7">
      <c r="A886" s="934"/>
      <c r="B886" s="243"/>
      <c r="C886" s="389" t="s">
        <v>10</v>
      </c>
      <c r="D886" s="146"/>
      <c r="E886" s="1190"/>
      <c r="F886" s="935"/>
      <c r="G886" s="1094" t="s">
        <v>11</v>
      </c>
    </row>
    <row r="887" spans="1:7">
      <c r="A887" s="1272">
        <v>43208</v>
      </c>
      <c r="B887" s="279" t="str">
        <f>TiposLancamentos!B5</f>
        <v>Supermercado</v>
      </c>
      <c r="C887" s="280" t="s">
        <v>18902</v>
      </c>
      <c r="D887" s="281"/>
      <c r="E887" s="1293">
        <v>103.38</v>
      </c>
      <c r="F887" s="1271"/>
      <c r="G887" s="1152" t="s">
        <v>9</v>
      </c>
    </row>
    <row r="888" spans="1:7">
      <c r="A888" s="884">
        <v>43208</v>
      </c>
      <c r="B888" s="240" t="str">
        <f>TiposLancamentos!B71</f>
        <v>Itens Pessoais</v>
      </c>
      <c r="C888" s="878" t="s">
        <v>18903</v>
      </c>
      <c r="D888" s="63"/>
      <c r="E888" s="231">
        <v>25</v>
      </c>
      <c r="F888" s="899"/>
      <c r="G888" s="1152" t="s">
        <v>9</v>
      </c>
    </row>
    <row r="889" spans="1:7">
      <c r="A889" s="884">
        <v>43208</v>
      </c>
      <c r="B889" s="240" t="str">
        <f>TiposLancamentos!B26</f>
        <v>LIVROS</v>
      </c>
      <c r="C889" s="878" t="s">
        <v>18904</v>
      </c>
      <c r="D889" s="63"/>
      <c r="E889" s="231">
        <v>38.450000000000003</v>
      </c>
      <c r="F889" s="899"/>
      <c r="G889" s="1152" t="s">
        <v>9</v>
      </c>
    </row>
    <row r="890" spans="1:7">
      <c r="A890" s="884">
        <v>43209</v>
      </c>
      <c r="B890" s="240" t="str">
        <f>TiposLancamentos!B5</f>
        <v>Supermercado</v>
      </c>
      <c r="C890" s="878" t="s">
        <v>6234</v>
      </c>
      <c r="D890" s="63"/>
      <c r="E890" s="231">
        <v>38.51</v>
      </c>
      <c r="F890" s="899"/>
      <c r="G890" s="1152" t="s">
        <v>9</v>
      </c>
    </row>
    <row r="891" spans="1:7">
      <c r="A891" s="1226">
        <v>43209</v>
      </c>
      <c r="B891" s="1218" t="str">
        <f>TiposLancamentos!B70</f>
        <v>Vestuário</v>
      </c>
      <c r="C891" s="1219" t="s">
        <v>18905</v>
      </c>
      <c r="D891" s="1220"/>
      <c r="E891" s="1221">
        <f>F892-E892</f>
        <v>359.94</v>
      </c>
      <c r="F891" s="1227"/>
      <c r="G891" s="1152" t="s">
        <v>9</v>
      </c>
    </row>
    <row r="892" spans="1:7">
      <c r="A892" s="1228">
        <v>43209</v>
      </c>
      <c r="B892" s="1222" t="str">
        <f>TiposLancamentos!B16</f>
        <v>Cristiane</v>
      </c>
      <c r="C892" s="1223" t="s">
        <v>18906</v>
      </c>
      <c r="D892" s="1224"/>
      <c r="E892" s="1225">
        <v>40</v>
      </c>
      <c r="F892" s="1229">
        <v>399.94</v>
      </c>
      <c r="G892" s="1152" t="s">
        <v>9</v>
      </c>
    </row>
    <row r="893" spans="1:7">
      <c r="A893" s="884">
        <v>43209</v>
      </c>
      <c r="B893" s="240" t="str">
        <f>TiposLancamentos!B5</f>
        <v>Supermercado</v>
      </c>
      <c r="C893" s="878" t="s">
        <v>18907</v>
      </c>
      <c r="D893" s="63"/>
      <c r="E893" s="231">
        <v>31</v>
      </c>
      <c r="F893" s="899"/>
      <c r="G893" s="1152" t="s">
        <v>9</v>
      </c>
    </row>
    <row r="894" spans="1:7">
      <c r="A894" s="884">
        <v>43210</v>
      </c>
      <c r="B894" s="240" t="str">
        <f>TiposLancamentos!B71</f>
        <v>Itens Pessoais</v>
      </c>
      <c r="C894" s="878" t="s">
        <v>18908</v>
      </c>
      <c r="D894" s="63"/>
      <c r="E894" s="231">
        <v>126.68</v>
      </c>
      <c r="F894" s="899"/>
      <c r="G894" s="1152" t="s">
        <v>9</v>
      </c>
    </row>
    <row r="895" spans="1:7">
      <c r="A895" s="1272">
        <v>43210</v>
      </c>
      <c r="B895" s="279" t="str">
        <f>TiposLancamentos!B16</f>
        <v>Cristiane</v>
      </c>
      <c r="C895" s="280" t="s">
        <v>18909</v>
      </c>
      <c r="D895" s="281"/>
      <c r="E895" s="1293">
        <v>79.099999999999994</v>
      </c>
      <c r="F895" s="1271"/>
      <c r="G895" s="1152" t="s">
        <v>9</v>
      </c>
    </row>
    <row r="896" spans="1:7">
      <c r="A896" s="1272">
        <v>43210</v>
      </c>
      <c r="B896" s="279" t="str">
        <f>TiposLancamentos!B5</f>
        <v>Supermercado</v>
      </c>
      <c r="C896" s="280" t="s">
        <v>6905</v>
      </c>
      <c r="D896" s="281"/>
      <c r="E896" s="1293">
        <v>144.80000000000001</v>
      </c>
      <c r="F896" s="1271"/>
      <c r="G896" s="1152" t="s">
        <v>9</v>
      </c>
    </row>
    <row r="897" spans="1:7">
      <c r="A897" s="884">
        <v>43210</v>
      </c>
      <c r="B897" s="240" t="str">
        <f>TiposLancamentos!B26</f>
        <v>LIVROS</v>
      </c>
      <c r="C897" s="878" t="s">
        <v>18910</v>
      </c>
      <c r="D897" s="63"/>
      <c r="E897" s="231">
        <v>110.42</v>
      </c>
      <c r="F897" s="899"/>
      <c r="G897" s="1152" t="s">
        <v>9</v>
      </c>
    </row>
    <row r="898" spans="1:7">
      <c r="A898" s="884">
        <v>43210</v>
      </c>
      <c r="B898" s="240" t="str">
        <f>TiposLancamentos!B70</f>
        <v>Vestuário</v>
      </c>
      <c r="C898" s="878" t="s">
        <v>18911</v>
      </c>
      <c r="D898" s="63"/>
      <c r="E898" s="231">
        <v>250</v>
      </c>
      <c r="F898" s="899">
        <v>749.97</v>
      </c>
      <c r="G898" s="1152" t="s">
        <v>9</v>
      </c>
    </row>
    <row r="899" spans="1:7">
      <c r="A899" s="884">
        <v>43210</v>
      </c>
      <c r="B899" s="240" t="str">
        <f>TiposLancamentos!B16</f>
        <v>Cristiane</v>
      </c>
      <c r="C899" s="878" t="s">
        <v>18912</v>
      </c>
      <c r="D899" s="63"/>
      <c r="E899" s="231">
        <v>34</v>
      </c>
      <c r="F899" s="899"/>
      <c r="G899" s="1152" t="s">
        <v>9</v>
      </c>
    </row>
    <row r="900" spans="1:7">
      <c r="A900" s="884">
        <v>43210</v>
      </c>
      <c r="B900" s="240" t="str">
        <f>TiposLancamentos!B19</f>
        <v>Restaurantes</v>
      </c>
      <c r="C900" s="878" t="s">
        <v>8144</v>
      </c>
      <c r="D900" s="63"/>
      <c r="E900" s="231">
        <v>106.35</v>
      </c>
      <c r="F900" s="899"/>
      <c r="G900" s="1152" t="s">
        <v>9</v>
      </c>
    </row>
    <row r="901" spans="1:7">
      <c r="A901" s="884">
        <v>43211</v>
      </c>
      <c r="B901" s="240" t="str">
        <f>TiposLancamentos!B19</f>
        <v>Restaurantes</v>
      </c>
      <c r="C901" s="878" t="s">
        <v>18913</v>
      </c>
      <c r="D901" s="63"/>
      <c r="E901" s="231">
        <v>69.5</v>
      </c>
      <c r="F901" s="899"/>
      <c r="G901" s="1152" t="s">
        <v>9</v>
      </c>
    </row>
    <row r="902" spans="1:7">
      <c r="A902" s="884">
        <v>43211</v>
      </c>
      <c r="B902" s="240" t="str">
        <f>TiposLancamentos!B19</f>
        <v>Restaurantes</v>
      </c>
      <c r="C902" s="878" t="s">
        <v>18914</v>
      </c>
      <c r="D902" s="63"/>
      <c r="E902" s="231">
        <v>24</v>
      </c>
      <c r="F902" s="899"/>
      <c r="G902" s="1152" t="s">
        <v>9</v>
      </c>
    </row>
    <row r="903" spans="1:7">
      <c r="A903" s="884">
        <v>43212</v>
      </c>
      <c r="B903" s="240" t="str">
        <f>TiposLancamentos!B22</f>
        <v>Combustivel</v>
      </c>
      <c r="C903" s="878" t="s">
        <v>18915</v>
      </c>
      <c r="D903" s="63"/>
      <c r="E903" s="231">
        <v>172.49</v>
      </c>
      <c r="F903" s="899"/>
      <c r="G903" s="1152" t="s">
        <v>9</v>
      </c>
    </row>
    <row r="904" spans="1:7">
      <c r="A904" s="884">
        <v>43212</v>
      </c>
      <c r="B904" s="240" t="str">
        <f>TiposLancamentos!B19</f>
        <v>Restaurantes</v>
      </c>
      <c r="C904" s="878" t="s">
        <v>8342</v>
      </c>
      <c r="D904" s="63"/>
      <c r="E904" s="231">
        <v>20.99</v>
      </c>
      <c r="F904" s="899"/>
      <c r="G904" s="1152" t="s">
        <v>9</v>
      </c>
    </row>
    <row r="905" spans="1:7">
      <c r="A905" s="884">
        <v>43212</v>
      </c>
      <c r="B905" s="240" t="str">
        <f>TiposLancamentos!B19</f>
        <v>Restaurantes</v>
      </c>
      <c r="C905" s="878" t="s">
        <v>10353</v>
      </c>
      <c r="D905" s="63"/>
      <c r="E905" s="231">
        <v>33.6</v>
      </c>
      <c r="F905" s="899"/>
      <c r="G905" s="1152" t="s">
        <v>9</v>
      </c>
    </row>
    <row r="906" spans="1:7">
      <c r="A906" s="884">
        <v>43213</v>
      </c>
      <c r="B906" s="240" t="str">
        <f>TiposLancamentos!B5</f>
        <v>Supermercado</v>
      </c>
      <c r="C906" s="878" t="s">
        <v>6234</v>
      </c>
      <c r="D906" s="63"/>
      <c r="E906" s="231">
        <v>61.79</v>
      </c>
      <c r="F906" s="899"/>
      <c r="G906" s="1152" t="s">
        <v>9</v>
      </c>
    </row>
    <row r="907" spans="1:7">
      <c r="A907" s="1272">
        <v>43213</v>
      </c>
      <c r="B907" s="279" t="str">
        <f>TiposLancamentos!B22</f>
        <v>Combustivel</v>
      </c>
      <c r="C907" s="280" t="s">
        <v>6718</v>
      </c>
      <c r="D907" s="281"/>
      <c r="E907" s="1293">
        <v>192.1</v>
      </c>
      <c r="F907" s="1271"/>
      <c r="G907" s="1152" t="s">
        <v>9</v>
      </c>
    </row>
    <row r="908" spans="1:7" ht="14.25" thickBot="1">
      <c r="A908" s="1272">
        <v>43213</v>
      </c>
      <c r="B908" s="279" t="str">
        <f>TiposLancamentos!B5</f>
        <v>Supermercado</v>
      </c>
      <c r="C908" s="280" t="s">
        <v>18916</v>
      </c>
      <c r="D908" s="281"/>
      <c r="E908" s="1293">
        <v>132.18</v>
      </c>
      <c r="F908" s="1271"/>
      <c r="G908" s="1152" t="s">
        <v>9</v>
      </c>
    </row>
    <row r="909" spans="1:7">
      <c r="A909" s="1273">
        <v>43214</v>
      </c>
      <c r="B909" s="1274" t="str">
        <f>TiposLancamentos!B16</f>
        <v>Cristiane</v>
      </c>
      <c r="C909" s="1275" t="s">
        <v>18917</v>
      </c>
      <c r="D909" s="1276"/>
      <c r="E909" s="1277">
        <v>38</v>
      </c>
      <c r="F909" s="1278"/>
      <c r="G909" s="1152" t="s">
        <v>9</v>
      </c>
    </row>
    <row r="910" spans="1:7" ht="14.25" thickBot="1">
      <c r="A910" s="1279">
        <v>43214</v>
      </c>
      <c r="B910" s="1280" t="str">
        <f>TiposLancamentos!B49</f>
        <v>Mergulho</v>
      </c>
      <c r="C910" s="1281" t="s">
        <v>18917</v>
      </c>
      <c r="D910" s="1282"/>
      <c r="E910" s="1283">
        <v>38</v>
      </c>
      <c r="F910" s="1284">
        <f>SUM(E909:E910)</f>
        <v>76</v>
      </c>
      <c r="G910" s="1152" t="s">
        <v>9</v>
      </c>
    </row>
    <row r="911" spans="1:7">
      <c r="A911" s="884">
        <v>43214</v>
      </c>
      <c r="B911" s="240" t="str">
        <f>TiposLancamentos!B19</f>
        <v>Restaurantes</v>
      </c>
      <c r="C911" s="878" t="s">
        <v>18918</v>
      </c>
      <c r="D911" s="63"/>
      <c r="E911" s="231">
        <v>12.91</v>
      </c>
      <c r="F911" s="899"/>
      <c r="G911" s="1152" t="s">
        <v>9</v>
      </c>
    </row>
    <row r="912" spans="1:7">
      <c r="A912" s="884">
        <v>43214</v>
      </c>
      <c r="B912" s="240" t="str">
        <f>TiposLancamentos!B56</f>
        <v>Farmácia</v>
      </c>
      <c r="C912" s="878" t="s">
        <v>18919</v>
      </c>
      <c r="D912" s="63"/>
      <c r="E912" s="231">
        <v>122.3</v>
      </c>
      <c r="F912" s="899"/>
      <c r="G912" s="1152" t="s">
        <v>9</v>
      </c>
    </row>
    <row r="913" spans="1:7">
      <c r="A913" s="884">
        <v>43215</v>
      </c>
      <c r="B913" s="240" t="str">
        <f>TiposLancamentos!B3</f>
        <v>Internet</v>
      </c>
      <c r="C913" s="878" t="s">
        <v>15349</v>
      </c>
      <c r="D913" s="63"/>
      <c r="E913" s="231">
        <v>59.9</v>
      </c>
      <c r="F913" s="899"/>
      <c r="G913" s="1152" t="s">
        <v>9</v>
      </c>
    </row>
    <row r="914" spans="1:7">
      <c r="A914" s="884">
        <v>43215</v>
      </c>
      <c r="B914" s="240" t="str">
        <f>TiposLancamentos!B19</f>
        <v>Restaurantes</v>
      </c>
      <c r="C914" s="878" t="s">
        <v>18920</v>
      </c>
      <c r="D914" s="63"/>
      <c r="E914" s="231">
        <v>12.91</v>
      </c>
      <c r="F914" s="899"/>
      <c r="G914" s="1152" t="s">
        <v>9</v>
      </c>
    </row>
    <row r="915" spans="1:7">
      <c r="A915" s="884">
        <v>43215</v>
      </c>
      <c r="B915" s="240" t="str">
        <f>TiposLancamentos!B19</f>
        <v>Restaurantes</v>
      </c>
      <c r="C915" s="878" t="s">
        <v>18921</v>
      </c>
      <c r="D915" s="63"/>
      <c r="E915" s="231">
        <v>8.5</v>
      </c>
      <c r="F915" s="899"/>
      <c r="G915" s="1152" t="s">
        <v>9</v>
      </c>
    </row>
    <row r="916" spans="1:7">
      <c r="A916" s="884">
        <v>43215</v>
      </c>
      <c r="B916" s="240" t="str">
        <f>TiposLancamentos!B19</f>
        <v>Restaurantes</v>
      </c>
      <c r="C916" s="878" t="s">
        <v>18922</v>
      </c>
      <c r="D916" s="63"/>
      <c r="E916" s="231">
        <v>10.64</v>
      </c>
      <c r="F916" s="899"/>
      <c r="G916" s="1152" t="s">
        <v>9</v>
      </c>
    </row>
    <row r="917" spans="1:7">
      <c r="A917" s="884">
        <v>43216</v>
      </c>
      <c r="B917" s="240" t="str">
        <f>TiposLancamentos!B5</f>
        <v>Supermercado</v>
      </c>
      <c r="C917" s="878" t="s">
        <v>18923</v>
      </c>
      <c r="D917" s="63"/>
      <c r="E917" s="231">
        <v>81.03</v>
      </c>
      <c r="F917" s="899"/>
      <c r="G917" s="1152" t="s">
        <v>9</v>
      </c>
    </row>
    <row r="918" spans="1:7">
      <c r="A918" s="884">
        <v>43216</v>
      </c>
      <c r="B918" s="240" t="str">
        <f>TiposLancamentos!B19</f>
        <v>Restaurantes</v>
      </c>
      <c r="C918" s="878" t="s">
        <v>18924</v>
      </c>
      <c r="D918" s="63"/>
      <c r="E918" s="231">
        <v>22.9</v>
      </c>
      <c r="F918" s="899"/>
      <c r="G918" s="1152" t="s">
        <v>9</v>
      </c>
    </row>
    <row r="919" spans="1:7">
      <c r="A919" s="884">
        <v>43216</v>
      </c>
      <c r="B919" s="240" t="str">
        <f>TiposLancamentos!B19</f>
        <v>Restaurantes</v>
      </c>
      <c r="C919" s="878" t="s">
        <v>4578</v>
      </c>
      <c r="D919" s="63"/>
      <c r="E919" s="231">
        <v>11.51</v>
      </c>
      <c r="F919" s="899"/>
      <c r="G919" s="1152" t="s">
        <v>9</v>
      </c>
    </row>
    <row r="920" spans="1:7">
      <c r="A920" s="884">
        <v>43217</v>
      </c>
      <c r="B920" s="240" t="str">
        <f>TiposLancamentos!B19</f>
        <v>Restaurantes</v>
      </c>
      <c r="C920" s="878" t="s">
        <v>18925</v>
      </c>
      <c r="D920" s="63"/>
      <c r="E920" s="231">
        <v>139.91999999999999</v>
      </c>
      <c r="F920" s="899"/>
      <c r="G920" s="1152" t="s">
        <v>9</v>
      </c>
    </row>
    <row r="921" spans="1:7">
      <c r="A921" s="884">
        <v>43217</v>
      </c>
      <c r="B921" s="240" t="str">
        <f>TiposLancamentos!B16</f>
        <v>Cristiane</v>
      </c>
      <c r="C921" s="878" t="s">
        <v>18926</v>
      </c>
      <c r="D921" s="63"/>
      <c r="E921" s="231">
        <v>24.97</v>
      </c>
      <c r="F921" s="899"/>
      <c r="G921" s="1152" t="s">
        <v>9</v>
      </c>
    </row>
    <row r="922" spans="1:7">
      <c r="A922" s="884">
        <v>43217</v>
      </c>
      <c r="B922" s="240" t="str">
        <f>TiposLancamentos!B16</f>
        <v>Cristiane</v>
      </c>
      <c r="C922" s="878" t="s">
        <v>18927</v>
      </c>
      <c r="D922" s="63"/>
      <c r="E922" s="231">
        <v>129.9</v>
      </c>
      <c r="F922" s="899"/>
      <c r="G922" s="1152" t="s">
        <v>9</v>
      </c>
    </row>
    <row r="923" spans="1:7">
      <c r="A923" s="884">
        <v>43217</v>
      </c>
      <c r="B923" s="240" t="str">
        <f>TiposLancamentos!B37</f>
        <v>Playstation 3</v>
      </c>
      <c r="C923" s="878" t="s">
        <v>18928</v>
      </c>
      <c r="D923" s="63"/>
      <c r="E923" s="231">
        <v>31.11</v>
      </c>
      <c r="F923" s="899"/>
      <c r="G923" s="1152" t="s">
        <v>9</v>
      </c>
    </row>
    <row r="924" spans="1:7">
      <c r="A924" s="884">
        <v>43218</v>
      </c>
      <c r="B924" s="240" t="str">
        <f>TiposLancamentos!B45</f>
        <v>Online Services</v>
      </c>
      <c r="C924" s="878" t="s">
        <v>1894</v>
      </c>
      <c r="D924" s="63"/>
      <c r="E924" s="231">
        <v>27.9</v>
      </c>
      <c r="F924" s="899"/>
      <c r="G924" s="1152" t="s">
        <v>9</v>
      </c>
    </row>
    <row r="925" spans="1:7">
      <c r="A925" s="884">
        <v>43218</v>
      </c>
      <c r="B925" s="240" t="str">
        <f>TiposLancamentos!B45</f>
        <v>Online Services</v>
      </c>
      <c r="C925" s="878" t="s">
        <v>1895</v>
      </c>
      <c r="D925" s="63"/>
      <c r="E925" s="231">
        <v>26.9</v>
      </c>
      <c r="F925" s="899"/>
      <c r="G925" s="1152" t="s">
        <v>9</v>
      </c>
    </row>
    <row r="926" spans="1:7">
      <c r="A926" s="1272">
        <v>43218</v>
      </c>
      <c r="B926" s="279" t="str">
        <f>TiposLancamentos!B16</f>
        <v>Cristiane</v>
      </c>
      <c r="C926" s="280" t="s">
        <v>16489</v>
      </c>
      <c r="D926" s="281"/>
      <c r="E926" s="1293">
        <v>14.9</v>
      </c>
      <c r="F926" s="1271"/>
      <c r="G926" s="1152" t="s">
        <v>9</v>
      </c>
    </row>
    <row r="927" spans="1:7">
      <c r="A927" s="884">
        <v>43218</v>
      </c>
      <c r="B927" s="240" t="str">
        <f>TiposLancamentos!B19</f>
        <v>Restaurantes</v>
      </c>
      <c r="C927" s="878" t="s">
        <v>18929</v>
      </c>
      <c r="D927" s="63"/>
      <c r="E927" s="231">
        <v>15</v>
      </c>
      <c r="F927" s="899"/>
      <c r="G927" s="1152" t="s">
        <v>9</v>
      </c>
    </row>
    <row r="928" spans="1:7">
      <c r="A928" s="884">
        <v>43218</v>
      </c>
      <c r="B928" s="240" t="str">
        <f>TiposLancamentos!B19</f>
        <v>Restaurantes</v>
      </c>
      <c r="C928" s="878" t="s">
        <v>18930</v>
      </c>
      <c r="D928" s="63"/>
      <c r="E928" s="231">
        <v>40</v>
      </c>
      <c r="F928" s="899"/>
      <c r="G928" s="1152" t="s">
        <v>9</v>
      </c>
    </row>
    <row r="929" spans="1:7">
      <c r="A929" s="884">
        <v>43218</v>
      </c>
      <c r="B929" s="240" t="str">
        <f>TiposLancamentos!B19</f>
        <v>Restaurantes</v>
      </c>
      <c r="C929" s="878" t="s">
        <v>18930</v>
      </c>
      <c r="D929" s="63"/>
      <c r="E929" s="231">
        <v>44</v>
      </c>
      <c r="F929" s="899"/>
      <c r="G929" s="1152" t="s">
        <v>9</v>
      </c>
    </row>
    <row r="930" spans="1:7">
      <c r="A930" s="884">
        <v>43218</v>
      </c>
      <c r="B930" s="240" t="str">
        <f>TiposLancamentos!B19</f>
        <v>Restaurantes</v>
      </c>
      <c r="C930" s="878" t="s">
        <v>18929</v>
      </c>
      <c r="D930" s="63"/>
      <c r="E930" s="231">
        <v>101</v>
      </c>
      <c r="F930" s="899"/>
      <c r="G930" s="1152" t="s">
        <v>9</v>
      </c>
    </row>
    <row r="931" spans="1:7">
      <c r="A931" s="884">
        <v>43218</v>
      </c>
      <c r="B931" s="240" t="str">
        <f>TiposLancamentos!B19</f>
        <v>Restaurantes</v>
      </c>
      <c r="C931" s="878" t="s">
        <v>18931</v>
      </c>
      <c r="D931" s="63"/>
      <c r="E931" s="231">
        <v>62.16</v>
      </c>
      <c r="F931" s="899"/>
      <c r="G931" s="1152" t="s">
        <v>9</v>
      </c>
    </row>
    <row r="932" spans="1:7">
      <c r="A932" s="884">
        <v>43219</v>
      </c>
      <c r="B932" s="240" t="str">
        <f>TiposLancamentos!B19</f>
        <v>Restaurantes</v>
      </c>
      <c r="C932" s="878" t="s">
        <v>18932</v>
      </c>
      <c r="D932" s="63"/>
      <c r="E932" s="231">
        <v>95</v>
      </c>
      <c r="F932" s="899"/>
      <c r="G932" s="1152" t="s">
        <v>9</v>
      </c>
    </row>
    <row r="933" spans="1:7">
      <c r="A933" s="884">
        <v>43219</v>
      </c>
      <c r="B933" s="240" t="str">
        <f>TiposLancamentos!B16</f>
        <v>Cristiane</v>
      </c>
      <c r="C933" s="878" t="s">
        <v>6052</v>
      </c>
      <c r="D933" s="63"/>
      <c r="E933" s="231">
        <v>113.4</v>
      </c>
      <c r="F933" s="899"/>
      <c r="G933" s="1152" t="s">
        <v>9</v>
      </c>
    </row>
    <row r="934" spans="1:7">
      <c r="A934" s="884">
        <v>43219</v>
      </c>
      <c r="B934" s="240" t="str">
        <f>TiposLancamentos!B19</f>
        <v>Restaurantes</v>
      </c>
      <c r="C934" s="878" t="s">
        <v>6414</v>
      </c>
      <c r="D934" s="63"/>
      <c r="E934" s="231">
        <v>214.49</v>
      </c>
      <c r="F934" s="899"/>
      <c r="G934" s="1152" t="s">
        <v>9</v>
      </c>
    </row>
    <row r="935" spans="1:7">
      <c r="A935" s="884">
        <v>43219</v>
      </c>
      <c r="B935" s="240" t="str">
        <f>TiposLancamentos!B71</f>
        <v>Itens Pessoais</v>
      </c>
      <c r="C935" s="878" t="s">
        <v>18933</v>
      </c>
      <c r="D935" s="63"/>
      <c r="E935" s="231">
        <v>285.81</v>
      </c>
      <c r="F935" s="899">
        <v>1714.9</v>
      </c>
      <c r="G935" s="1152" t="s">
        <v>9</v>
      </c>
    </row>
    <row r="936" spans="1:7" ht="14.25" thickBot="1">
      <c r="A936" s="884">
        <v>43220</v>
      </c>
      <c r="B936" s="240" t="str">
        <f>TiposLancamentos!B19</f>
        <v>Restaurantes</v>
      </c>
      <c r="C936" s="878" t="s">
        <v>18934</v>
      </c>
      <c r="D936" s="63"/>
      <c r="E936" s="231">
        <v>77.55</v>
      </c>
      <c r="F936" s="899"/>
      <c r="G936" s="1152" t="s">
        <v>9</v>
      </c>
    </row>
    <row r="937" spans="1:7">
      <c r="A937" s="1032"/>
      <c r="B937" s="1230"/>
      <c r="C937" s="906" t="s">
        <v>11203</v>
      </c>
      <c r="D937" s="896"/>
      <c r="E937" s="925"/>
      <c r="F937" s="898">
        <f>SUM(E809:E885)</f>
        <v>8672.7000000000007</v>
      </c>
      <c r="G937" s="3"/>
    </row>
    <row r="938" spans="1:7">
      <c r="A938" s="884">
        <v>43221</v>
      </c>
      <c r="B938" s="240" t="str">
        <f>TiposLancamentos!B16</f>
        <v>Cristiane</v>
      </c>
      <c r="C938" s="878" t="s">
        <v>18935</v>
      </c>
      <c r="D938" s="63"/>
      <c r="E938" s="231">
        <v>100</v>
      </c>
      <c r="F938" s="899"/>
      <c r="G938" s="1152" t="s">
        <v>9</v>
      </c>
    </row>
    <row r="939" spans="1:7">
      <c r="A939" s="1226">
        <v>43221</v>
      </c>
      <c r="B939" s="1218" t="str">
        <f>TiposLancamentos!B16</f>
        <v>Cristiane</v>
      </c>
      <c r="C939" s="1219" t="s">
        <v>18936</v>
      </c>
      <c r="D939" s="1220"/>
      <c r="E939" s="1221">
        <f>F940-E940</f>
        <v>52.400000000000006</v>
      </c>
      <c r="F939" s="1227"/>
      <c r="G939" s="1152" t="s">
        <v>9</v>
      </c>
    </row>
    <row r="940" spans="1:7">
      <c r="A940" s="1228">
        <v>43221</v>
      </c>
      <c r="B940" s="1222" t="str">
        <f>TiposLancamentos!B48</f>
        <v>Baralhos e Oráculos</v>
      </c>
      <c r="C940" s="1223" t="s">
        <v>18937</v>
      </c>
      <c r="D940" s="1224"/>
      <c r="E940" s="1225">
        <v>38</v>
      </c>
      <c r="F940" s="1229">
        <v>90.4</v>
      </c>
      <c r="G940" s="1152" t="s">
        <v>9</v>
      </c>
    </row>
    <row r="941" spans="1:7">
      <c r="A941" s="884">
        <v>43221</v>
      </c>
      <c r="B941" s="240" t="str">
        <f>TiposLancamentos!B19</f>
        <v>Restaurantes</v>
      </c>
      <c r="C941" s="878" t="s">
        <v>18938</v>
      </c>
      <c r="D941" s="63"/>
      <c r="E941" s="231">
        <v>74.58</v>
      </c>
      <c r="F941" s="899"/>
      <c r="G941" s="1152" t="s">
        <v>9</v>
      </c>
    </row>
    <row r="942" spans="1:7">
      <c r="A942" s="884">
        <v>43221</v>
      </c>
      <c r="B942" s="240" t="str">
        <f>TiposLancamentos!B19</f>
        <v>Restaurantes</v>
      </c>
      <c r="C942" s="878" t="s">
        <v>18939</v>
      </c>
      <c r="D942" s="63"/>
      <c r="E942" s="231">
        <v>38.340000000000003</v>
      </c>
      <c r="F942" s="899"/>
      <c r="G942" s="1152" t="s">
        <v>9</v>
      </c>
    </row>
    <row r="943" spans="1:7">
      <c r="A943" s="1226">
        <v>43221</v>
      </c>
      <c r="B943" s="1218" t="str">
        <f>TiposLancamentos!B48</f>
        <v>Baralhos e Oráculos</v>
      </c>
      <c r="C943" s="1219" t="s">
        <v>18940</v>
      </c>
      <c r="D943" s="1220"/>
      <c r="E943" s="1221">
        <f>126.72+4.74</f>
        <v>131.46</v>
      </c>
      <c r="F943" s="1227"/>
      <c r="G943" s="1152" t="s">
        <v>9</v>
      </c>
    </row>
    <row r="944" spans="1:7">
      <c r="A944" s="1228">
        <v>43221</v>
      </c>
      <c r="B944" s="1222" t="str">
        <f>TiposLancamentos!B48</f>
        <v>Baralhos e Oráculos</v>
      </c>
      <c r="C944" s="1223" t="s">
        <v>18941</v>
      </c>
      <c r="D944" s="1224"/>
      <c r="E944" s="1225">
        <f>111.02+4.74</f>
        <v>115.75999999999999</v>
      </c>
      <c r="F944" s="1229">
        <f>SUM(E943:E944)</f>
        <v>247.22</v>
      </c>
      <c r="G944" s="1152" t="s">
        <v>9</v>
      </c>
    </row>
    <row r="945" spans="1:7">
      <c r="A945" s="884">
        <v>43222</v>
      </c>
      <c r="B945" s="240" t="str">
        <f>TiposLancamentos!B87</f>
        <v>P207-1.6-XS</v>
      </c>
      <c r="C945" s="878" t="s">
        <v>18942</v>
      </c>
      <c r="D945" s="63"/>
      <c r="E945" s="231">
        <v>225</v>
      </c>
      <c r="F945" s="899"/>
      <c r="G945" s="1152" t="s">
        <v>9</v>
      </c>
    </row>
    <row r="946" spans="1:7">
      <c r="A946" s="884">
        <v>43222</v>
      </c>
      <c r="B946" s="240" t="str">
        <f>TiposLancamentos!B45</f>
        <v>Online Services</v>
      </c>
      <c r="C946" s="878" t="s">
        <v>18771</v>
      </c>
      <c r="D946" s="63"/>
      <c r="E946" s="231">
        <v>15</v>
      </c>
      <c r="F946" s="899"/>
      <c r="G946" s="1152" t="s">
        <v>9</v>
      </c>
    </row>
    <row r="947" spans="1:7">
      <c r="A947" s="884">
        <v>43222</v>
      </c>
      <c r="B947" s="240" t="str">
        <f>TiposLancamentos!B15</f>
        <v>Cartões de Crédito</v>
      </c>
      <c r="C947" s="878" t="s">
        <v>10915</v>
      </c>
      <c r="D947" s="63">
        <v>8672.7000000000007</v>
      </c>
      <c r="E947" s="231"/>
      <c r="F947" s="899"/>
      <c r="G947" s="1152" t="s">
        <v>9</v>
      </c>
    </row>
    <row r="948" spans="1:7">
      <c r="A948" s="884">
        <v>43222</v>
      </c>
      <c r="B948" s="240" t="str">
        <f>TiposLancamentos!B31</f>
        <v>Action Figures</v>
      </c>
      <c r="C948" s="878" t="s">
        <v>18943</v>
      </c>
      <c r="D948" s="63"/>
      <c r="E948" s="231">
        <v>21.89</v>
      </c>
      <c r="F948" s="899"/>
      <c r="G948" s="1152" t="s">
        <v>9</v>
      </c>
    </row>
    <row r="949" spans="1:7">
      <c r="A949" s="884">
        <v>43223</v>
      </c>
      <c r="B949" s="240" t="str">
        <f>TiposLancamentos!B44</f>
        <v>Academia</v>
      </c>
      <c r="C949" s="878" t="s">
        <v>18944</v>
      </c>
      <c r="D949" s="63"/>
      <c r="E949" s="231">
        <f>F949/4</f>
        <v>160.19999999999999</v>
      </c>
      <c r="F949" s="899">
        <v>640.79999999999995</v>
      </c>
      <c r="G949" s="1152" t="s">
        <v>9</v>
      </c>
    </row>
    <row r="950" spans="1:7">
      <c r="A950" s="884">
        <v>43223</v>
      </c>
      <c r="B950" s="240" t="str">
        <f>TiposLancamentos!B88</f>
        <v>Ford Ecosport XLT</v>
      </c>
      <c r="C950" s="878" t="s">
        <v>18945</v>
      </c>
      <c r="D950" s="63"/>
      <c r="E950" s="231">
        <f>F950/6</f>
        <v>525</v>
      </c>
      <c r="F950" s="899">
        <v>3150</v>
      </c>
      <c r="G950" s="1152" t="s">
        <v>9</v>
      </c>
    </row>
    <row r="951" spans="1:7">
      <c r="A951" s="1272">
        <v>43223</v>
      </c>
      <c r="B951" s="279" t="str">
        <f>TiposLancamentos!B16</f>
        <v>Cristiane</v>
      </c>
      <c r="C951" s="280" t="s">
        <v>18946</v>
      </c>
      <c r="D951" s="281"/>
      <c r="E951" s="1293">
        <v>127.7</v>
      </c>
      <c r="F951" s="1271"/>
      <c r="G951" s="1152" t="s">
        <v>9</v>
      </c>
    </row>
    <row r="952" spans="1:7">
      <c r="A952" s="884">
        <v>43224</v>
      </c>
      <c r="B952" s="240" t="str">
        <f>TiposLancamentos!B16</f>
        <v>Cristiane</v>
      </c>
      <c r="C952" s="878" t="s">
        <v>18947</v>
      </c>
      <c r="D952" s="63"/>
      <c r="E952" s="231">
        <v>349.9</v>
      </c>
      <c r="F952" s="899"/>
      <c r="G952" s="1152" t="s">
        <v>9</v>
      </c>
    </row>
    <row r="953" spans="1:7">
      <c r="A953" s="884">
        <v>43224</v>
      </c>
      <c r="B953" s="240" t="str">
        <f>TiposLancamentos!B19</f>
        <v>Restaurantes</v>
      </c>
      <c r="C953" s="878" t="s">
        <v>18948</v>
      </c>
      <c r="D953" s="63"/>
      <c r="E953" s="231">
        <v>105.35</v>
      </c>
      <c r="F953" s="899"/>
      <c r="G953" s="1152" t="s">
        <v>9</v>
      </c>
    </row>
    <row r="954" spans="1:7">
      <c r="A954" s="1272">
        <v>43225</v>
      </c>
      <c r="B954" s="279" t="str">
        <f>TiposLancamentos!B19</f>
        <v>Restaurantes</v>
      </c>
      <c r="C954" s="280" t="s">
        <v>18949</v>
      </c>
      <c r="D954" s="281"/>
      <c r="E954" s="1293">
        <v>111.2</v>
      </c>
      <c r="F954" s="1271"/>
      <c r="G954" s="1152" t="s">
        <v>9</v>
      </c>
    </row>
    <row r="955" spans="1:7">
      <c r="A955" s="884">
        <v>43226</v>
      </c>
      <c r="B955" s="240" t="str">
        <f>TiposLancamentos!B17</f>
        <v>GATO</v>
      </c>
      <c r="C955" s="878" t="s">
        <v>6059</v>
      </c>
      <c r="D955" s="63"/>
      <c r="E955" s="231">
        <v>79.989999999999995</v>
      </c>
      <c r="F955" s="899"/>
      <c r="G955" s="1152" t="s">
        <v>9</v>
      </c>
    </row>
    <row r="956" spans="1:7">
      <c r="A956" s="884">
        <v>43226</v>
      </c>
      <c r="B956" s="240" t="str">
        <f>TiposLancamentos!B19</f>
        <v>Restaurantes</v>
      </c>
      <c r="C956" s="878" t="s">
        <v>18948</v>
      </c>
      <c r="D956" s="63"/>
      <c r="E956" s="231">
        <v>137.13999999999999</v>
      </c>
      <c r="F956" s="899"/>
      <c r="G956" s="1152" t="s">
        <v>9</v>
      </c>
    </row>
    <row r="957" spans="1:7">
      <c r="A957" s="884">
        <v>43226</v>
      </c>
      <c r="B957" s="240" t="str">
        <f>TiposLancamentos!B16</f>
        <v>Cristiane</v>
      </c>
      <c r="C957" s="878" t="s">
        <v>18950</v>
      </c>
      <c r="D957" s="63"/>
      <c r="E957" s="231">
        <v>389</v>
      </c>
      <c r="F957" s="899"/>
      <c r="G957" s="1152" t="s">
        <v>9</v>
      </c>
    </row>
    <row r="958" spans="1:7">
      <c r="A958" s="884">
        <v>43226</v>
      </c>
      <c r="B958" s="240" t="str">
        <f>TiposLancamentos!B19</f>
        <v>Restaurantes</v>
      </c>
      <c r="C958" s="878" t="s">
        <v>18951</v>
      </c>
      <c r="D958" s="63"/>
      <c r="E958" s="231">
        <v>40.799999999999997</v>
      </c>
      <c r="F958" s="899"/>
      <c r="G958" s="1152" t="s">
        <v>9</v>
      </c>
    </row>
    <row r="959" spans="1:7">
      <c r="A959" s="884">
        <v>43226</v>
      </c>
      <c r="B959" s="240" t="str">
        <f>TiposLancamentos!B19</f>
        <v>Restaurantes</v>
      </c>
      <c r="C959" s="878" t="s">
        <v>18952</v>
      </c>
      <c r="D959" s="63"/>
      <c r="E959" s="231">
        <v>27.6</v>
      </c>
      <c r="F959" s="899"/>
      <c r="G959" s="1152" t="s">
        <v>9</v>
      </c>
    </row>
    <row r="960" spans="1:7">
      <c r="A960" s="1226">
        <v>43227</v>
      </c>
      <c r="B960" s="1218" t="str">
        <f>TiposLancamentos!B22</f>
        <v>Combustivel</v>
      </c>
      <c r="C960" s="1219" t="s">
        <v>18953</v>
      </c>
      <c r="D960" s="1220"/>
      <c r="E960" s="1221">
        <v>170.04</v>
      </c>
      <c r="F960" s="1227"/>
      <c r="G960" s="1152" t="s">
        <v>9</v>
      </c>
    </row>
    <row r="961" spans="1:7">
      <c r="A961" s="1228">
        <v>43227</v>
      </c>
      <c r="B961" s="1222" t="str">
        <f>TiposLancamentos!B19</f>
        <v>Restaurantes</v>
      </c>
      <c r="C961" s="1223" t="s">
        <v>18954</v>
      </c>
      <c r="D961" s="1224"/>
      <c r="E961" s="1225">
        <f>F961-E960</f>
        <v>8.9000000000000057</v>
      </c>
      <c r="F961" s="1229">
        <v>178.94</v>
      </c>
      <c r="G961" s="1152" t="s">
        <v>9</v>
      </c>
    </row>
    <row r="962" spans="1:7">
      <c r="A962" s="884">
        <v>43227</v>
      </c>
      <c r="B962" s="240" t="str">
        <f>TiposLancamentos!B19</f>
        <v>Restaurantes</v>
      </c>
      <c r="C962" s="878" t="s">
        <v>18955</v>
      </c>
      <c r="D962" s="63"/>
      <c r="E962" s="231">
        <v>72.5</v>
      </c>
      <c r="F962" s="899"/>
      <c r="G962" s="1152" t="s">
        <v>9</v>
      </c>
    </row>
    <row r="963" spans="1:7">
      <c r="A963" s="884">
        <v>43228</v>
      </c>
      <c r="B963" s="240" t="str">
        <f>TiposLancamentos!B71</f>
        <v>Itens Pessoais</v>
      </c>
      <c r="C963" s="878" t="s">
        <v>18956</v>
      </c>
      <c r="D963" s="63"/>
      <c r="E963" s="231">
        <v>308</v>
      </c>
      <c r="F963" s="899">
        <f>E963*6</f>
        <v>1848</v>
      </c>
      <c r="G963" s="1152" t="s">
        <v>9</v>
      </c>
    </row>
    <row r="964" spans="1:7">
      <c r="A964" s="884">
        <v>43228</v>
      </c>
      <c r="B964" s="240" t="str">
        <f>TiposLancamentos!B5</f>
        <v>Supermercado</v>
      </c>
      <c r="C964" s="878" t="s">
        <v>6234</v>
      </c>
      <c r="D964" s="63"/>
      <c r="E964" s="231">
        <v>110.53</v>
      </c>
      <c r="F964" s="899"/>
      <c r="G964" s="1152" t="s">
        <v>9</v>
      </c>
    </row>
    <row r="965" spans="1:7">
      <c r="A965" s="884">
        <v>43229</v>
      </c>
      <c r="B965" s="240" t="str">
        <f>TiposLancamentos!B56</f>
        <v>Farmácia</v>
      </c>
      <c r="C965" s="878" t="s">
        <v>10863</v>
      </c>
      <c r="D965" s="63"/>
      <c r="E965" s="231">
        <v>24.62</v>
      </c>
      <c r="F965" s="899"/>
      <c r="G965" s="1152" t="s">
        <v>9</v>
      </c>
    </row>
    <row r="966" spans="1:7">
      <c r="A966" s="884">
        <v>43229</v>
      </c>
      <c r="B966" s="240" t="str">
        <f>TiposLancamentos!B56</f>
        <v>Farmácia</v>
      </c>
      <c r="C966" s="878" t="s">
        <v>18957</v>
      </c>
      <c r="D966" s="63"/>
      <c r="E966" s="231">
        <v>67.13</v>
      </c>
      <c r="F966" s="899"/>
      <c r="G966" s="1152" t="s">
        <v>9</v>
      </c>
    </row>
    <row r="967" spans="1:7">
      <c r="A967" s="884">
        <v>43230</v>
      </c>
      <c r="B967" s="240" t="str">
        <f>TiposLancamentos!B5</f>
        <v>Supermercado</v>
      </c>
      <c r="C967" s="878" t="s">
        <v>6234</v>
      </c>
      <c r="D967" s="63"/>
      <c r="E967" s="231">
        <v>68.790000000000006</v>
      </c>
      <c r="F967" s="899"/>
      <c r="G967" s="1152" t="s">
        <v>9</v>
      </c>
    </row>
    <row r="968" spans="1:7">
      <c r="A968" s="1272">
        <v>43230</v>
      </c>
      <c r="B968" s="279" t="str">
        <f>TiposLancamentos!B16</f>
        <v>Cristiane</v>
      </c>
      <c r="C968" s="280" t="s">
        <v>18958</v>
      </c>
      <c r="D968" s="281"/>
      <c r="E968" s="1293">
        <v>242</v>
      </c>
      <c r="F968" s="1271">
        <f>E968*3</f>
        <v>726</v>
      </c>
      <c r="G968" s="1152" t="s">
        <v>9</v>
      </c>
    </row>
    <row r="969" spans="1:7">
      <c r="A969" s="884">
        <v>43230</v>
      </c>
      <c r="B969" s="240" t="str">
        <f>TiposLancamentos!B19</f>
        <v>Restaurantes</v>
      </c>
      <c r="C969" s="878" t="s">
        <v>18959</v>
      </c>
      <c r="D969" s="63"/>
      <c r="E969" s="231">
        <v>53.9</v>
      </c>
      <c r="F969" s="899"/>
      <c r="G969" s="1152" t="s">
        <v>9</v>
      </c>
    </row>
    <row r="970" spans="1:7">
      <c r="A970" s="884">
        <v>43231</v>
      </c>
      <c r="B970" s="240" t="str">
        <f>TiposLancamentos!B5</f>
        <v>Supermercado</v>
      </c>
      <c r="C970" s="878" t="s">
        <v>6234</v>
      </c>
      <c r="D970" s="63"/>
      <c r="E970" s="231">
        <v>231.7</v>
      </c>
      <c r="F970" s="899"/>
      <c r="G970" s="1152" t="s">
        <v>9</v>
      </c>
    </row>
    <row r="971" spans="1:7">
      <c r="A971" s="884">
        <v>43232</v>
      </c>
      <c r="B971" s="240" t="str">
        <f>TiposLancamentos!B16</f>
        <v>Cristiane</v>
      </c>
      <c r="C971" s="878" t="s">
        <v>18960</v>
      </c>
      <c r="D971" s="63"/>
      <c r="E971" s="231">
        <v>60.53</v>
      </c>
      <c r="F971" s="899"/>
      <c r="G971" s="1152" t="s">
        <v>9</v>
      </c>
    </row>
    <row r="972" spans="1:7">
      <c r="A972" s="884">
        <v>43233</v>
      </c>
      <c r="B972" s="240" t="str">
        <f>TiposLancamentos!B5</f>
        <v>Supermercado</v>
      </c>
      <c r="C972" s="878" t="s">
        <v>6234</v>
      </c>
      <c r="D972" s="63"/>
      <c r="E972" s="231">
        <v>56.52</v>
      </c>
      <c r="F972" s="899"/>
      <c r="G972" s="1152" t="s">
        <v>9</v>
      </c>
    </row>
    <row r="973" spans="1:7">
      <c r="A973" s="884">
        <v>43234</v>
      </c>
      <c r="B973" s="240" t="str">
        <f>TiposLancamentos!B32</f>
        <v>Clinicas e tratamentos</v>
      </c>
      <c r="C973" s="878" t="s">
        <v>18961</v>
      </c>
      <c r="D973" s="63"/>
      <c r="E973" s="231">
        <v>160</v>
      </c>
      <c r="F973" s="899"/>
      <c r="G973" s="1152" t="s">
        <v>9</v>
      </c>
    </row>
    <row r="974" spans="1:7">
      <c r="A974" s="884">
        <v>43234</v>
      </c>
      <c r="B974" s="240" t="str">
        <f>TiposLancamentos!B71</f>
        <v>Itens Pessoais</v>
      </c>
      <c r="C974" s="878" t="s">
        <v>18962</v>
      </c>
      <c r="D974" s="63"/>
      <c r="E974" s="231">
        <f>F974/10</f>
        <v>199.8</v>
      </c>
      <c r="F974" s="899">
        <v>1998</v>
      </c>
      <c r="G974" s="1152" t="s">
        <v>9</v>
      </c>
    </row>
    <row r="975" spans="1:7">
      <c r="A975" s="884">
        <v>43235</v>
      </c>
      <c r="B975" s="240" t="str">
        <f>TiposLancamentos!B5</f>
        <v>Supermercado</v>
      </c>
      <c r="C975" s="878" t="s">
        <v>5844</v>
      </c>
      <c r="D975" s="63"/>
      <c r="E975" s="231">
        <v>67.819999999999993</v>
      </c>
      <c r="F975" s="899"/>
      <c r="G975" s="1152" t="s">
        <v>9</v>
      </c>
    </row>
    <row r="976" spans="1:7">
      <c r="A976" s="1272">
        <v>43235</v>
      </c>
      <c r="B976" s="279" t="str">
        <f>TiposLancamentos!B22</f>
        <v>Combustivel</v>
      </c>
      <c r="C976" s="280" t="s">
        <v>18963</v>
      </c>
      <c r="D976" s="281"/>
      <c r="E976" s="1293">
        <v>150</v>
      </c>
      <c r="F976" s="1271"/>
      <c r="G976" s="1152" t="s">
        <v>9</v>
      </c>
    </row>
    <row r="977" spans="1:7">
      <c r="A977" s="884">
        <v>43235</v>
      </c>
      <c r="B977" s="240" t="str">
        <f>TiposLancamentos!B64</f>
        <v>Viagens</v>
      </c>
      <c r="C977" s="878" t="s">
        <v>17919</v>
      </c>
      <c r="D977" s="63"/>
      <c r="E977" s="231">
        <v>345</v>
      </c>
      <c r="F977" s="899"/>
      <c r="G977" s="1152" t="s">
        <v>9</v>
      </c>
    </row>
    <row r="978" spans="1:7">
      <c r="A978" s="1272">
        <v>43236</v>
      </c>
      <c r="B978" s="279" t="str">
        <f>TiposLancamentos!B88</f>
        <v>Ford Ecosport XLT</v>
      </c>
      <c r="C978" s="280" t="s">
        <v>18964</v>
      </c>
      <c r="D978" s="281"/>
      <c r="E978" s="1293">
        <v>165</v>
      </c>
      <c r="F978" s="1271"/>
      <c r="G978" s="1152" t="s">
        <v>9</v>
      </c>
    </row>
    <row r="979" spans="1:7">
      <c r="A979" s="884">
        <v>43237</v>
      </c>
      <c r="B979" s="240" t="str">
        <f>TiposLancamentos!B5</f>
        <v>Supermercado</v>
      </c>
      <c r="C979" s="878" t="s">
        <v>6234</v>
      </c>
      <c r="D979" s="63"/>
      <c r="E979" s="231">
        <v>53.65</v>
      </c>
      <c r="F979" s="899"/>
      <c r="G979" s="1152" t="s">
        <v>9</v>
      </c>
    </row>
    <row r="980" spans="1:7">
      <c r="A980" s="1272">
        <v>43237</v>
      </c>
      <c r="B980" s="279" t="str">
        <f>TiposLancamentos!B88</f>
        <v>Ford Ecosport XLT</v>
      </c>
      <c r="C980" s="280" t="s">
        <v>18965</v>
      </c>
      <c r="D980" s="281"/>
      <c r="E980" s="1293">
        <v>178</v>
      </c>
      <c r="F980" s="1271"/>
      <c r="G980" s="1152" t="s">
        <v>9</v>
      </c>
    </row>
    <row r="981" spans="1:7">
      <c r="A981" s="934"/>
      <c r="B981" s="243"/>
      <c r="C981" s="389" t="s">
        <v>10</v>
      </c>
      <c r="D981" s="146"/>
      <c r="E981" s="1190"/>
      <c r="F981" s="935"/>
      <c r="G981" s="1094" t="s">
        <v>11</v>
      </c>
    </row>
    <row r="982" spans="1:7">
      <c r="A982" s="884">
        <v>43238</v>
      </c>
      <c r="B982" s="240" t="str">
        <f>TiposLancamentos!B57</f>
        <v>Informática</v>
      </c>
      <c r="C982" s="878" t="s">
        <v>18966</v>
      </c>
      <c r="D982" s="63"/>
      <c r="E982" s="231">
        <v>80</v>
      </c>
      <c r="F982" s="899"/>
      <c r="G982" s="1152" t="s">
        <v>9</v>
      </c>
    </row>
    <row r="983" spans="1:7">
      <c r="A983" s="884">
        <v>43238</v>
      </c>
      <c r="B983" s="240" t="str">
        <f>TiposLancamentos!B19</f>
        <v>Restaurantes</v>
      </c>
      <c r="C983" s="878" t="s">
        <v>18967</v>
      </c>
      <c r="D983" s="63"/>
      <c r="E983" s="231">
        <v>166.98</v>
      </c>
      <c r="F983" s="899"/>
      <c r="G983" s="1152" t="s">
        <v>9</v>
      </c>
    </row>
    <row r="984" spans="1:7">
      <c r="A984" s="884">
        <v>43239</v>
      </c>
      <c r="B984" s="240" t="str">
        <f>TiposLancamentos!B16</f>
        <v>Cristiane</v>
      </c>
      <c r="C984" s="878" t="s">
        <v>18968</v>
      </c>
      <c r="D984" s="63"/>
      <c r="E984" s="231">
        <v>188</v>
      </c>
      <c r="F984" s="899"/>
      <c r="G984" s="1152" t="s">
        <v>9</v>
      </c>
    </row>
    <row r="985" spans="1:7">
      <c r="A985" s="884">
        <v>43239</v>
      </c>
      <c r="B985" s="240" t="str">
        <f>TiposLancamentos!B70</f>
        <v>Vestuário</v>
      </c>
      <c r="C985" s="878" t="s">
        <v>18969</v>
      </c>
      <c r="D985" s="63"/>
      <c r="E985" s="231">
        <v>219.34</v>
      </c>
      <c r="F985" s="899">
        <v>658</v>
      </c>
      <c r="G985" s="1152" t="s">
        <v>9</v>
      </c>
    </row>
    <row r="986" spans="1:7">
      <c r="A986" s="1226">
        <v>43239</v>
      </c>
      <c r="B986" s="1218" t="str">
        <f>TiposLancamentos!B16</f>
        <v>Cristiane</v>
      </c>
      <c r="C986" s="1219" t="s">
        <v>18970</v>
      </c>
      <c r="D986" s="1220"/>
      <c r="E986" s="1221">
        <v>45</v>
      </c>
      <c r="F986" s="1227"/>
      <c r="G986" s="1152" t="s">
        <v>9</v>
      </c>
    </row>
    <row r="987" spans="1:7">
      <c r="A987" s="1228">
        <v>43239</v>
      </c>
      <c r="B987" s="1222" t="str">
        <f>TiposLancamentos!B72</f>
        <v>Presentes</v>
      </c>
      <c r="C987" s="1223" t="s">
        <v>18971</v>
      </c>
      <c r="D987" s="1224"/>
      <c r="E987" s="1225">
        <f>F987-E986</f>
        <v>86</v>
      </c>
      <c r="F987" s="1229">
        <v>131</v>
      </c>
      <c r="G987" s="1152" t="s">
        <v>9</v>
      </c>
    </row>
    <row r="988" spans="1:7">
      <c r="A988" s="884">
        <v>43239</v>
      </c>
      <c r="B988" s="240" t="str">
        <f>TiposLancamentos!B19</f>
        <v>Restaurantes</v>
      </c>
      <c r="C988" s="878" t="s">
        <v>18972</v>
      </c>
      <c r="D988" s="63"/>
      <c r="E988" s="231">
        <v>215.27</v>
      </c>
      <c r="F988" s="899"/>
      <c r="G988" s="1152" t="s">
        <v>9</v>
      </c>
    </row>
    <row r="989" spans="1:7">
      <c r="A989" s="884">
        <v>43239</v>
      </c>
      <c r="B989" s="240" t="str">
        <f>TiposLancamentos!B72</f>
        <v>Presentes</v>
      </c>
      <c r="C989" s="878" t="s">
        <v>18973</v>
      </c>
      <c r="D989" s="63"/>
      <c r="E989" s="231">
        <v>156</v>
      </c>
      <c r="F989" s="899"/>
      <c r="G989" s="1152" t="s">
        <v>9</v>
      </c>
    </row>
    <row r="990" spans="1:7">
      <c r="A990" s="884">
        <v>43239</v>
      </c>
      <c r="B990" s="240" t="str">
        <f>TiposLancamentos!B16</f>
        <v>Cristiane</v>
      </c>
      <c r="C990" s="878" t="s">
        <v>18974</v>
      </c>
      <c r="D990" s="63"/>
      <c r="E990" s="231">
        <v>40</v>
      </c>
      <c r="F990" s="899"/>
      <c r="G990" s="1152" t="s">
        <v>9</v>
      </c>
    </row>
    <row r="991" spans="1:7">
      <c r="A991" s="884">
        <v>43239</v>
      </c>
      <c r="B991" s="240" t="str">
        <f>TiposLancamentos!B16</f>
        <v>Cristiane</v>
      </c>
      <c r="C991" s="878" t="s">
        <v>18975</v>
      </c>
      <c r="D991" s="63"/>
      <c r="E991" s="231">
        <v>84</v>
      </c>
      <c r="F991" s="899"/>
      <c r="G991" s="1152" t="s">
        <v>9</v>
      </c>
    </row>
    <row r="992" spans="1:7">
      <c r="A992" s="884">
        <v>43239</v>
      </c>
      <c r="B992" s="240" t="str">
        <f>TiposLancamentos!B72</f>
        <v>Presentes</v>
      </c>
      <c r="C992" s="878" t="s">
        <v>18976</v>
      </c>
      <c r="D992" s="63"/>
      <c r="E992" s="231">
        <v>30</v>
      </c>
      <c r="F992" s="899"/>
      <c r="G992" s="1152" t="s">
        <v>9</v>
      </c>
    </row>
    <row r="993" spans="1:7">
      <c r="A993" s="884">
        <v>43240</v>
      </c>
      <c r="B993" s="240" t="str">
        <f>TiposLancamentos!B22</f>
        <v>Combustivel</v>
      </c>
      <c r="C993" s="878" t="s">
        <v>6398</v>
      </c>
      <c r="D993" s="63"/>
      <c r="E993" s="231">
        <v>209.29</v>
      </c>
      <c r="F993" s="899"/>
      <c r="G993" s="1152" t="s">
        <v>9</v>
      </c>
    </row>
    <row r="994" spans="1:7">
      <c r="A994" s="884">
        <v>43240</v>
      </c>
      <c r="B994" s="240" t="str">
        <f>TiposLancamentos!B70</f>
        <v>Vestuário</v>
      </c>
      <c r="C994" s="878" t="s">
        <v>18977</v>
      </c>
      <c r="D994" s="63"/>
      <c r="E994" s="231">
        <f>F994/3</f>
        <v>249.99</v>
      </c>
      <c r="F994" s="899">
        <v>749.97</v>
      </c>
      <c r="G994" s="1152" t="s">
        <v>9</v>
      </c>
    </row>
    <row r="995" spans="1:7">
      <c r="A995" s="884">
        <v>43241</v>
      </c>
      <c r="B995" s="240" t="str">
        <f>TiposLancamentos!B56</f>
        <v>Farmácia</v>
      </c>
      <c r="C995" s="878" t="s">
        <v>18978</v>
      </c>
      <c r="D995" s="63"/>
      <c r="E995" s="231">
        <v>133.46</v>
      </c>
      <c r="F995" s="899"/>
      <c r="G995" s="1152" t="s">
        <v>9</v>
      </c>
    </row>
    <row r="996" spans="1:7">
      <c r="A996" s="884">
        <v>43242</v>
      </c>
      <c r="B996" s="240" t="str">
        <f>TiposLancamentos!B5</f>
        <v>Supermercado</v>
      </c>
      <c r="C996" s="878" t="s">
        <v>18979</v>
      </c>
      <c r="D996" s="63"/>
      <c r="E996" s="231">
        <v>144.28</v>
      </c>
      <c r="F996" s="899"/>
      <c r="G996" s="1152" t="s">
        <v>9</v>
      </c>
    </row>
    <row r="997" spans="1:7">
      <c r="A997" s="884">
        <v>43242</v>
      </c>
      <c r="B997" s="240" t="str">
        <f>TiposLancamentos!B57</f>
        <v>Informática</v>
      </c>
      <c r="C997" s="878" t="s">
        <v>18980</v>
      </c>
      <c r="D997" s="63"/>
      <c r="E997" s="231">
        <v>82.89</v>
      </c>
      <c r="F997" s="899"/>
      <c r="G997" s="1152" t="s">
        <v>9</v>
      </c>
    </row>
    <row r="998" spans="1:7">
      <c r="A998" s="884">
        <v>43242</v>
      </c>
      <c r="B998" s="240" t="str">
        <f>TiposLancamentos!B17</f>
        <v>GATO</v>
      </c>
      <c r="C998" s="878" t="s">
        <v>18981</v>
      </c>
      <c r="D998" s="63"/>
      <c r="E998" s="231">
        <v>275.27</v>
      </c>
      <c r="F998" s="899"/>
      <c r="G998" s="1152" t="s">
        <v>9</v>
      </c>
    </row>
    <row r="999" spans="1:7">
      <c r="A999" s="884">
        <v>43244</v>
      </c>
      <c r="B999" s="240" t="str">
        <f>TiposLancamentos!B48</f>
        <v>Baralhos e Oráculos</v>
      </c>
      <c r="C999" s="878" t="s">
        <v>18982</v>
      </c>
      <c r="D999" s="63"/>
      <c r="E999" s="231">
        <v>145.9</v>
      </c>
      <c r="F999" s="899"/>
      <c r="G999" s="1152" t="s">
        <v>9</v>
      </c>
    </row>
    <row r="1000" spans="1:7">
      <c r="A1000" s="884">
        <v>43245</v>
      </c>
      <c r="B1000" s="240" t="str">
        <f>TiposLancamentos!B3</f>
        <v>Internet</v>
      </c>
      <c r="C1000" s="878" t="s">
        <v>10734</v>
      </c>
      <c r="D1000" s="63"/>
      <c r="E1000" s="231">
        <v>59.9</v>
      </c>
      <c r="F1000" s="899"/>
      <c r="G1000" s="1152" t="s">
        <v>9</v>
      </c>
    </row>
    <row r="1001" spans="1:7">
      <c r="A1001" s="884">
        <v>43246</v>
      </c>
      <c r="B1001" s="240" t="str">
        <f>TiposLancamentos!B16</f>
        <v>Cristiane</v>
      </c>
      <c r="C1001" s="878" t="s">
        <v>18983</v>
      </c>
      <c r="D1001" s="63"/>
      <c r="E1001" s="231">
        <v>59.99</v>
      </c>
      <c r="F1001" s="899"/>
      <c r="G1001" s="1152" t="s">
        <v>9</v>
      </c>
    </row>
    <row r="1002" spans="1:7">
      <c r="A1002" s="884">
        <v>43246</v>
      </c>
      <c r="B1002" s="240" t="str">
        <f>TiposLancamentos!B13</f>
        <v>Moradia</v>
      </c>
      <c r="C1002" s="878" t="s">
        <v>18984</v>
      </c>
      <c r="D1002" s="63"/>
      <c r="E1002" s="231">
        <v>319.89999999999998</v>
      </c>
      <c r="F1002" s="899"/>
      <c r="G1002" s="1152" t="s">
        <v>9</v>
      </c>
    </row>
    <row r="1003" spans="1:7">
      <c r="A1003" s="1226">
        <v>43246</v>
      </c>
      <c r="B1003" s="1218" t="str">
        <f>TiposLancamentos!B56</f>
        <v>Farmácia</v>
      </c>
      <c r="C1003" s="1219" t="s">
        <v>18985</v>
      </c>
      <c r="D1003" s="1220"/>
      <c r="E1003" s="1221">
        <f>F1004-E1004</f>
        <v>82.43</v>
      </c>
      <c r="F1003" s="1227"/>
      <c r="G1003" s="1152" t="s">
        <v>9</v>
      </c>
    </row>
    <row r="1004" spans="1:7">
      <c r="A1004" s="1228">
        <v>43246</v>
      </c>
      <c r="B1004" s="1222" t="str">
        <f>TiposLancamentos!B16</f>
        <v>Cristiane</v>
      </c>
      <c r="C1004" s="1223" t="s">
        <v>18986</v>
      </c>
      <c r="D1004" s="1224"/>
      <c r="E1004" s="1225">
        <v>77.5</v>
      </c>
      <c r="F1004" s="1229">
        <v>159.93</v>
      </c>
      <c r="G1004" s="1152" t="s">
        <v>9</v>
      </c>
    </row>
    <row r="1005" spans="1:7">
      <c r="A1005" s="884">
        <v>43246</v>
      </c>
      <c r="B1005" s="240" t="str">
        <f>TiposLancamentos!B16</f>
        <v>Cristiane</v>
      </c>
      <c r="C1005" s="878" t="s">
        <v>18987</v>
      </c>
      <c r="D1005" s="63"/>
      <c r="E1005" s="231">
        <v>66.91</v>
      </c>
      <c r="F1005" s="899"/>
      <c r="G1005" s="1152" t="s">
        <v>9</v>
      </c>
    </row>
    <row r="1006" spans="1:7">
      <c r="A1006" s="1272">
        <v>43246</v>
      </c>
      <c r="B1006" s="279" t="str">
        <f>TiposLancamentos!B19</f>
        <v>Restaurantes</v>
      </c>
      <c r="C1006" s="280" t="s">
        <v>18461</v>
      </c>
      <c r="D1006" s="281"/>
      <c r="E1006" s="1293">
        <v>103.7</v>
      </c>
      <c r="F1006" s="1271"/>
      <c r="G1006" s="1152" t="s">
        <v>9</v>
      </c>
    </row>
    <row r="1007" spans="1:7">
      <c r="A1007" s="884">
        <v>43247</v>
      </c>
      <c r="B1007" s="240" t="str">
        <f>TiposLancamentos!B5</f>
        <v>Supermercado</v>
      </c>
      <c r="C1007" s="878" t="s">
        <v>6234</v>
      </c>
      <c r="D1007" s="63"/>
      <c r="E1007" s="231">
        <v>150.56</v>
      </c>
      <c r="F1007" s="899"/>
      <c r="G1007" s="1152" t="s">
        <v>9</v>
      </c>
    </row>
    <row r="1008" spans="1:7">
      <c r="A1008" s="884">
        <v>43247</v>
      </c>
      <c r="B1008" s="240" t="str">
        <f>TiposLancamentos!B5</f>
        <v>Supermercado</v>
      </c>
      <c r="C1008" s="878" t="s">
        <v>6234</v>
      </c>
      <c r="D1008" s="63"/>
      <c r="E1008" s="231">
        <v>38.01</v>
      </c>
      <c r="F1008" s="899"/>
      <c r="G1008" s="1152" t="s">
        <v>9</v>
      </c>
    </row>
    <row r="1009" spans="1:7">
      <c r="A1009" s="1272">
        <v>43247</v>
      </c>
      <c r="B1009" s="279" t="str">
        <f>TiposLancamentos!B19</f>
        <v>Restaurantes</v>
      </c>
      <c r="C1009" s="280" t="s">
        <v>18988</v>
      </c>
      <c r="D1009" s="281"/>
      <c r="E1009" s="1293">
        <v>54.5</v>
      </c>
      <c r="F1009" s="1271"/>
      <c r="G1009" s="1152" t="s">
        <v>9</v>
      </c>
    </row>
    <row r="1010" spans="1:7">
      <c r="A1010" s="884">
        <v>43247</v>
      </c>
      <c r="B1010" s="240" t="str">
        <f>TiposLancamentos!B26</f>
        <v>LIVROS</v>
      </c>
      <c r="C1010" s="878" t="s">
        <v>18989</v>
      </c>
      <c r="D1010" s="63"/>
      <c r="E1010" s="231">
        <v>118.3</v>
      </c>
      <c r="F1010" s="899"/>
      <c r="G1010" s="1152" t="s">
        <v>9</v>
      </c>
    </row>
    <row r="1011" spans="1:7">
      <c r="A1011" s="884">
        <v>43248</v>
      </c>
      <c r="B1011" s="240" t="str">
        <f>TiposLancamentos!B45</f>
        <v>Online Services</v>
      </c>
      <c r="C1011" s="878" t="s">
        <v>1894</v>
      </c>
      <c r="D1011" s="63"/>
      <c r="E1011" s="231">
        <v>27.9</v>
      </c>
      <c r="F1011" s="899"/>
      <c r="G1011" s="1152" t="s">
        <v>9</v>
      </c>
    </row>
    <row r="1012" spans="1:7">
      <c r="A1012" s="884">
        <v>43248</v>
      </c>
      <c r="B1012" s="240" t="str">
        <f>TiposLancamentos!B45</f>
        <v>Online Services</v>
      </c>
      <c r="C1012" s="878" t="s">
        <v>1895</v>
      </c>
      <c r="D1012" s="63"/>
      <c r="E1012" s="231">
        <v>26.9</v>
      </c>
      <c r="F1012" s="899"/>
      <c r="G1012" s="1152" t="s">
        <v>9</v>
      </c>
    </row>
    <row r="1013" spans="1:7">
      <c r="A1013" s="884">
        <v>43248</v>
      </c>
      <c r="B1013" s="240" t="str">
        <f>TiposLancamentos!B56</f>
        <v>Farmácia</v>
      </c>
      <c r="C1013" s="878" t="s">
        <v>18990</v>
      </c>
      <c r="D1013" s="63"/>
      <c r="E1013" s="231">
        <v>30.44</v>
      </c>
      <c r="F1013" s="899"/>
      <c r="G1013" s="1152" t="s">
        <v>9</v>
      </c>
    </row>
    <row r="1014" spans="1:7">
      <c r="A1014" s="1272">
        <v>43248</v>
      </c>
      <c r="B1014" s="279" t="str">
        <f>TiposLancamentos!B5</f>
        <v>Supermercado</v>
      </c>
      <c r="C1014" s="280" t="s">
        <v>6234</v>
      </c>
      <c r="D1014" s="281"/>
      <c r="E1014" s="1293">
        <v>174.16</v>
      </c>
      <c r="F1014" s="1271"/>
      <c r="G1014" s="1152" t="s">
        <v>9</v>
      </c>
    </row>
    <row r="1015" spans="1:7">
      <c r="A1015" s="884">
        <v>43249</v>
      </c>
      <c r="B1015" s="240" t="str">
        <f>TiposLancamentos!B71</f>
        <v>Itens Pessoais</v>
      </c>
      <c r="C1015" s="878" t="s">
        <v>18991</v>
      </c>
      <c r="D1015" s="63"/>
      <c r="E1015" s="231">
        <v>285.81</v>
      </c>
      <c r="F1015" s="899">
        <v>1714.9</v>
      </c>
      <c r="G1015" s="1152" t="s">
        <v>9</v>
      </c>
    </row>
    <row r="1016" spans="1:7">
      <c r="A1016" s="1272">
        <v>43249</v>
      </c>
      <c r="B1016" s="279" t="str">
        <f>TiposLancamentos!B16</f>
        <v>Cristiane</v>
      </c>
      <c r="C1016" s="280" t="s">
        <v>13860</v>
      </c>
      <c r="D1016" s="281"/>
      <c r="E1016" s="1293">
        <v>130.5</v>
      </c>
      <c r="F1016" s="1271"/>
      <c r="G1016" s="1152" t="s">
        <v>9</v>
      </c>
    </row>
    <row r="1017" spans="1:7" ht="14.25" thickBot="1">
      <c r="A1017" s="884">
        <v>43251</v>
      </c>
      <c r="B1017" s="240" t="str">
        <f>TiposLancamentos!B5</f>
        <v>Supermercado</v>
      </c>
      <c r="C1017" s="878" t="s">
        <v>6234</v>
      </c>
      <c r="D1017" s="63"/>
      <c r="E1017" s="231">
        <v>77.89</v>
      </c>
      <c r="F1017" s="899"/>
      <c r="G1017" s="1152"/>
    </row>
    <row r="1018" spans="1:7">
      <c r="A1018" s="1032"/>
      <c r="B1018" s="1230"/>
      <c r="C1018" s="906" t="s">
        <v>13814</v>
      </c>
      <c r="D1018" s="896"/>
      <c r="E1018" s="925"/>
      <c r="F1018" s="898">
        <f>SUM(E887:E980)</f>
        <v>9717.630000000001</v>
      </c>
      <c r="G1018" s="3"/>
    </row>
    <row r="1019" spans="1:7">
      <c r="A1019" s="884">
        <v>43252</v>
      </c>
      <c r="B1019" s="240" t="str">
        <f>TiposLancamentos!B15</f>
        <v>Cartões de Crédito</v>
      </c>
      <c r="C1019" s="878" t="s">
        <v>1874</v>
      </c>
      <c r="D1019" s="63">
        <v>9717.6299999999992</v>
      </c>
      <c r="E1019" s="231"/>
      <c r="F1019" s="899">
        <f>F1018-F937</f>
        <v>1044.9300000000003</v>
      </c>
      <c r="G1019" s="1152" t="s">
        <v>9</v>
      </c>
    </row>
    <row r="1020" spans="1:7">
      <c r="A1020" s="884">
        <v>43252</v>
      </c>
      <c r="B1020" s="240" t="str">
        <f>TiposLancamentos!B45</f>
        <v>Online Services</v>
      </c>
      <c r="C1020" s="878" t="s">
        <v>18771</v>
      </c>
      <c r="D1020" s="63"/>
      <c r="E1020" s="231">
        <v>15</v>
      </c>
      <c r="F1020" s="899"/>
      <c r="G1020" s="1152" t="s">
        <v>9</v>
      </c>
    </row>
    <row r="1021" spans="1:7">
      <c r="A1021" s="1272">
        <v>43252</v>
      </c>
      <c r="B1021" s="279" t="str">
        <f>TiposLancamentos!B16</f>
        <v>Cristiane</v>
      </c>
      <c r="C1021" s="280" t="s">
        <v>16777</v>
      </c>
      <c r="D1021" s="281"/>
      <c r="E1021" s="1293">
        <v>49.9</v>
      </c>
      <c r="F1021" s="1271"/>
      <c r="G1021" s="1152" t="s">
        <v>9</v>
      </c>
    </row>
    <row r="1022" spans="1:7">
      <c r="A1022" s="1272">
        <v>43252</v>
      </c>
      <c r="B1022" s="279" t="str">
        <f>TiposLancamentos!B16</f>
        <v>Cristiane</v>
      </c>
      <c r="C1022" s="280" t="s">
        <v>18992</v>
      </c>
      <c r="D1022" s="281"/>
      <c r="E1022" s="1293">
        <v>259.89999999999998</v>
      </c>
      <c r="F1022" s="1271"/>
      <c r="G1022" s="1152" t="s">
        <v>9</v>
      </c>
    </row>
    <row r="1023" spans="1:7">
      <c r="A1023" s="1272">
        <v>43252</v>
      </c>
      <c r="B1023" s="279" t="str">
        <f>TiposLancamentos!B19</f>
        <v>Restaurantes</v>
      </c>
      <c r="C1023" s="280" t="s">
        <v>18993</v>
      </c>
      <c r="D1023" s="281"/>
      <c r="E1023" s="1293">
        <v>95</v>
      </c>
      <c r="F1023" s="1271"/>
      <c r="G1023" s="1152" t="s">
        <v>9</v>
      </c>
    </row>
    <row r="1024" spans="1:7">
      <c r="A1024" s="884">
        <v>43253</v>
      </c>
      <c r="B1024" s="240" t="str">
        <f>TiposLancamentos!B5</f>
        <v>Supermercado</v>
      </c>
      <c r="C1024" s="878" t="s">
        <v>18994</v>
      </c>
      <c r="D1024" s="63"/>
      <c r="E1024" s="231">
        <v>116.9</v>
      </c>
      <c r="F1024" s="899"/>
      <c r="G1024" s="1152" t="s">
        <v>9</v>
      </c>
    </row>
    <row r="1025" spans="1:7">
      <c r="A1025" s="884">
        <v>43253</v>
      </c>
      <c r="B1025" s="240" t="str">
        <f>TiposLancamentos!B5</f>
        <v>Supermercado</v>
      </c>
      <c r="C1025" s="878" t="s">
        <v>18994</v>
      </c>
      <c r="D1025" s="63"/>
      <c r="E1025" s="231">
        <v>10.68</v>
      </c>
      <c r="F1025" s="899"/>
      <c r="G1025" s="1152" t="s">
        <v>9</v>
      </c>
    </row>
    <row r="1026" spans="1:7">
      <c r="A1026" s="884">
        <v>43254</v>
      </c>
      <c r="B1026" s="240" t="str">
        <f>TiposLancamentos!B88</f>
        <v>Ford Ecosport XLT</v>
      </c>
      <c r="C1026" s="878" t="s">
        <v>18995</v>
      </c>
      <c r="D1026" s="63"/>
      <c r="E1026" s="231">
        <f>F1026/6</f>
        <v>525</v>
      </c>
      <c r="F1026" s="899">
        <v>3150</v>
      </c>
      <c r="G1026" s="1152" t="s">
        <v>9</v>
      </c>
    </row>
    <row r="1027" spans="1:7">
      <c r="A1027" s="884">
        <v>43254</v>
      </c>
      <c r="B1027" s="240" t="str">
        <f>TiposLancamentos!B44</f>
        <v>Academia</v>
      </c>
      <c r="C1027" s="878" t="s">
        <v>18996</v>
      </c>
      <c r="D1027" s="63"/>
      <c r="E1027" s="231">
        <f>F1027/4</f>
        <v>160.19999999999999</v>
      </c>
      <c r="F1027" s="899">
        <v>640.79999999999995</v>
      </c>
      <c r="G1027" s="1152" t="s">
        <v>9</v>
      </c>
    </row>
    <row r="1028" spans="1:7">
      <c r="A1028" s="884">
        <v>43256</v>
      </c>
      <c r="B1028" s="240" t="str">
        <f>TiposLancamentos!B81</f>
        <v>Ferramentas gerais</v>
      </c>
      <c r="C1028" s="878" t="s">
        <v>18997</v>
      </c>
      <c r="D1028" s="63"/>
      <c r="E1028" s="231">
        <v>12.98</v>
      </c>
      <c r="F1028" s="899"/>
      <c r="G1028" s="1152" t="s">
        <v>9</v>
      </c>
    </row>
    <row r="1029" spans="1:7">
      <c r="A1029" s="884">
        <v>43256</v>
      </c>
      <c r="B1029" s="240" t="str">
        <f>TiposLancamentos!B16</f>
        <v>Cristiane</v>
      </c>
      <c r="C1029" s="878" t="s">
        <v>18998</v>
      </c>
      <c r="D1029" s="63"/>
      <c r="E1029" s="231">
        <v>12.93</v>
      </c>
      <c r="F1029" s="899"/>
      <c r="G1029" s="1152" t="s">
        <v>9</v>
      </c>
    </row>
    <row r="1030" spans="1:7">
      <c r="A1030" s="1272">
        <v>43256</v>
      </c>
      <c r="B1030" s="279" t="str">
        <f>TiposLancamentos!B19</f>
        <v>Restaurantes</v>
      </c>
      <c r="C1030" s="280" t="s">
        <v>15315</v>
      </c>
      <c r="D1030" s="281"/>
      <c r="E1030" s="1293">
        <v>44</v>
      </c>
      <c r="F1030" s="1271"/>
      <c r="G1030" s="1152" t="s">
        <v>9</v>
      </c>
    </row>
    <row r="1031" spans="1:7">
      <c r="A1031" s="884">
        <v>43259</v>
      </c>
      <c r="B1031" s="240" t="str">
        <f>TiposLancamentos!B62</f>
        <v>Papelaria</v>
      </c>
      <c r="C1031" s="878" t="s">
        <v>18999</v>
      </c>
      <c r="D1031" s="63"/>
      <c r="E1031" s="231">
        <v>10.38</v>
      </c>
      <c r="F1031" s="899"/>
      <c r="G1031" s="1152" t="s">
        <v>9</v>
      </c>
    </row>
    <row r="1032" spans="1:7">
      <c r="A1032" s="884">
        <v>43259</v>
      </c>
      <c r="B1032" s="240" t="str">
        <f>TiposLancamentos!B70</f>
        <v>Vestuário</v>
      </c>
      <c r="C1032" s="878" t="s">
        <v>19000</v>
      </c>
      <c r="D1032" s="63"/>
      <c r="E1032" s="231">
        <v>86.4</v>
      </c>
      <c r="F1032" s="899"/>
      <c r="G1032" s="1152" t="s">
        <v>9</v>
      </c>
    </row>
    <row r="1033" spans="1:7">
      <c r="A1033" s="884">
        <v>43259</v>
      </c>
      <c r="B1033" s="240" t="str">
        <f>TiposLancamentos!B87</f>
        <v>P207-1.6-XS</v>
      </c>
      <c r="C1033" s="878" t="s">
        <v>19001</v>
      </c>
      <c r="D1033" s="63"/>
      <c r="E1033" s="231">
        <v>50</v>
      </c>
      <c r="F1033" s="899"/>
      <c r="G1033" s="1152" t="s">
        <v>9</v>
      </c>
    </row>
    <row r="1034" spans="1:7">
      <c r="A1034" s="884">
        <v>43259</v>
      </c>
      <c r="B1034" s="240" t="str">
        <f>TiposLancamentos!B71</f>
        <v>Itens Pessoais</v>
      </c>
      <c r="C1034" s="878" t="s">
        <v>9151</v>
      </c>
      <c r="D1034" s="63"/>
      <c r="E1034" s="231">
        <v>25</v>
      </c>
      <c r="F1034" s="899"/>
      <c r="G1034" s="1152" t="s">
        <v>9</v>
      </c>
    </row>
    <row r="1035" spans="1:7">
      <c r="A1035" s="1272">
        <v>43259</v>
      </c>
      <c r="B1035" s="279" t="str">
        <f>TiposLancamentos!B19</f>
        <v>Restaurantes</v>
      </c>
      <c r="C1035" s="280" t="s">
        <v>19002</v>
      </c>
      <c r="D1035" s="281"/>
      <c r="E1035" s="1293">
        <v>102.8</v>
      </c>
      <c r="F1035" s="1271"/>
      <c r="G1035" s="1152" t="s">
        <v>9</v>
      </c>
    </row>
    <row r="1036" spans="1:7" ht="12" customHeight="1">
      <c r="A1036" s="884">
        <v>43260</v>
      </c>
      <c r="B1036" s="240" t="str">
        <f>TiposLancamentos!B5</f>
        <v>Supermercado</v>
      </c>
      <c r="C1036" s="878" t="s">
        <v>6234</v>
      </c>
      <c r="D1036" s="63"/>
      <c r="E1036" s="231">
        <v>99.98</v>
      </c>
      <c r="F1036" s="899"/>
      <c r="G1036" s="1152" t="s">
        <v>9</v>
      </c>
    </row>
    <row r="1037" spans="1:7">
      <c r="A1037" s="884">
        <v>43261</v>
      </c>
      <c r="B1037" s="240" t="str">
        <f>TiposLancamentos!B56</f>
        <v>Farmácia</v>
      </c>
      <c r="C1037" s="878" t="s">
        <v>19003</v>
      </c>
      <c r="D1037" s="63"/>
      <c r="E1037" s="231">
        <v>36.24</v>
      </c>
      <c r="F1037" s="899"/>
      <c r="G1037" s="1152" t="s">
        <v>9</v>
      </c>
    </row>
    <row r="1038" spans="1:7">
      <c r="A1038" s="884">
        <v>43261</v>
      </c>
      <c r="B1038" s="240" t="str">
        <f>TiposLancamentos!B19</f>
        <v>Restaurantes</v>
      </c>
      <c r="C1038" s="878" t="s">
        <v>19004</v>
      </c>
      <c r="D1038" s="63"/>
      <c r="E1038" s="231">
        <v>80</v>
      </c>
      <c r="F1038" s="899"/>
      <c r="G1038" s="1152" t="s">
        <v>9</v>
      </c>
    </row>
    <row r="1039" spans="1:7">
      <c r="A1039" s="1226">
        <v>43261</v>
      </c>
      <c r="B1039" s="1218" t="str">
        <f>TiposLancamentos!B56</f>
        <v>Farmácia</v>
      </c>
      <c r="C1039" s="1219" t="s">
        <v>19005</v>
      </c>
      <c r="D1039" s="1220"/>
      <c r="E1039" s="1221">
        <f>F1040-E1040</f>
        <v>122.98000000000002</v>
      </c>
      <c r="F1039" s="1227"/>
      <c r="G1039" s="1152" t="s">
        <v>9</v>
      </c>
    </row>
    <row r="1040" spans="1:7">
      <c r="A1040" s="1228">
        <v>43261</v>
      </c>
      <c r="B1040" s="1222" t="str">
        <f>TiposLancamentos!B16</f>
        <v>Cristiane</v>
      </c>
      <c r="C1040" s="1223" t="s">
        <v>19006</v>
      </c>
      <c r="D1040" s="1224"/>
      <c r="E1040" s="1225">
        <v>53.38</v>
      </c>
      <c r="F1040" s="1229">
        <v>176.36</v>
      </c>
      <c r="G1040" s="1152" t="s">
        <v>9</v>
      </c>
    </row>
    <row r="1041" spans="1:7">
      <c r="A1041" s="884">
        <v>43262</v>
      </c>
      <c r="B1041" s="240" t="str">
        <f>TiposLancamentos!B72</f>
        <v>Presentes</v>
      </c>
      <c r="C1041" s="878" t="s">
        <v>19007</v>
      </c>
      <c r="D1041" s="63"/>
      <c r="E1041" s="231">
        <v>300</v>
      </c>
      <c r="F1041" s="899"/>
      <c r="G1041" s="1152" t="s">
        <v>9</v>
      </c>
    </row>
    <row r="1042" spans="1:7">
      <c r="A1042" s="884">
        <v>43262</v>
      </c>
      <c r="B1042" s="240" t="str">
        <f>TiposLancamentos!B72</f>
        <v>Presentes</v>
      </c>
      <c r="C1042" s="878" t="s">
        <v>19008</v>
      </c>
      <c r="D1042" s="63"/>
      <c r="E1042" s="231">
        <v>152.16</v>
      </c>
      <c r="F1042" s="899"/>
      <c r="G1042" s="1152" t="s">
        <v>9</v>
      </c>
    </row>
    <row r="1043" spans="1:7">
      <c r="A1043" s="884">
        <v>43262</v>
      </c>
      <c r="B1043" s="240" t="str">
        <f>TiposLancamentos!B5</f>
        <v>Supermercado</v>
      </c>
      <c r="C1043" s="878" t="s">
        <v>18040</v>
      </c>
      <c r="D1043" s="63"/>
      <c r="E1043" s="231">
        <v>397.79</v>
      </c>
      <c r="F1043" s="899"/>
      <c r="G1043" s="1152" t="s">
        <v>9</v>
      </c>
    </row>
    <row r="1044" spans="1:7">
      <c r="A1044" s="1272">
        <v>43263</v>
      </c>
      <c r="B1044" s="279" t="str">
        <f>TiposLancamentos!B5</f>
        <v>Supermercado</v>
      </c>
      <c r="C1044" s="280" t="s">
        <v>19009</v>
      </c>
      <c r="D1044" s="281"/>
      <c r="E1044" s="1293">
        <v>63.13</v>
      </c>
      <c r="F1044" s="1271"/>
      <c r="G1044" s="1152" t="s">
        <v>9</v>
      </c>
    </row>
    <row r="1045" spans="1:7">
      <c r="A1045" s="884">
        <v>43264</v>
      </c>
      <c r="B1045" s="240" t="str">
        <f>TiposLancamentos!B19</f>
        <v>Restaurantes</v>
      </c>
      <c r="C1045" s="878" t="s">
        <v>7068</v>
      </c>
      <c r="D1045" s="63"/>
      <c r="E1045" s="231">
        <v>60.25</v>
      </c>
      <c r="F1045" s="899"/>
      <c r="G1045" s="1152" t="s">
        <v>9</v>
      </c>
    </row>
    <row r="1046" spans="1:7">
      <c r="A1046" s="884">
        <v>43265</v>
      </c>
      <c r="B1046" s="240" t="str">
        <f>TiposLancamentos!B71</f>
        <v>Itens Pessoais</v>
      </c>
      <c r="C1046" s="878" t="s">
        <v>19010</v>
      </c>
      <c r="D1046" s="63"/>
      <c r="E1046" s="231">
        <f>F1046/10</f>
        <v>199.8</v>
      </c>
      <c r="F1046" s="899">
        <v>1998</v>
      </c>
      <c r="G1046" s="1152" t="s">
        <v>9</v>
      </c>
    </row>
    <row r="1047" spans="1:7">
      <c r="A1047" s="884">
        <v>43266</v>
      </c>
      <c r="B1047" s="240" t="str">
        <f>TiposLancamentos!B5</f>
        <v>Supermercado</v>
      </c>
      <c r="C1047" s="878" t="s">
        <v>19011</v>
      </c>
      <c r="D1047" s="63"/>
      <c r="E1047" s="231">
        <v>62.75</v>
      </c>
      <c r="F1047" s="899"/>
      <c r="G1047" s="1152" t="s">
        <v>9</v>
      </c>
    </row>
    <row r="1048" spans="1:7">
      <c r="A1048" s="884">
        <v>43266</v>
      </c>
      <c r="B1048" s="240" t="str">
        <f>TiposLancamentos!B16</f>
        <v>Cristiane</v>
      </c>
      <c r="C1048" s="878" t="s">
        <v>19012</v>
      </c>
      <c r="D1048" s="63"/>
      <c r="E1048" s="231">
        <v>229.9</v>
      </c>
      <c r="F1048" s="899"/>
      <c r="G1048" s="1152" t="s">
        <v>9</v>
      </c>
    </row>
    <row r="1049" spans="1:7">
      <c r="A1049" s="884">
        <v>43267</v>
      </c>
      <c r="B1049" s="240" t="str">
        <f>TiposLancamentos!B56</f>
        <v>Farmácia</v>
      </c>
      <c r="C1049" s="878" t="s">
        <v>19013</v>
      </c>
      <c r="D1049" s="63"/>
      <c r="E1049" s="231">
        <v>23.34</v>
      </c>
      <c r="F1049" s="899"/>
      <c r="G1049" s="1152" t="s">
        <v>9</v>
      </c>
    </row>
    <row r="1050" spans="1:7">
      <c r="A1050" s="884">
        <v>43267</v>
      </c>
      <c r="B1050" s="240" t="str">
        <f>TiposLancamentos!B19</f>
        <v>Restaurantes</v>
      </c>
      <c r="C1050" s="878" t="s">
        <v>7377</v>
      </c>
      <c r="D1050" s="63"/>
      <c r="E1050" s="231">
        <v>149.03</v>
      </c>
      <c r="F1050" s="899"/>
      <c r="G1050" s="1152" t="s">
        <v>9</v>
      </c>
    </row>
    <row r="1051" spans="1:7">
      <c r="A1051" s="1226">
        <v>43267</v>
      </c>
      <c r="B1051" s="1218" t="str">
        <f>TiposLancamentos!B16</f>
        <v>Cristiane</v>
      </c>
      <c r="C1051" s="1219" t="s">
        <v>19014</v>
      </c>
      <c r="D1051" s="1220"/>
      <c r="E1051" s="1221">
        <f>F1052-E1052</f>
        <v>35.950000000000003</v>
      </c>
      <c r="F1051" s="1227"/>
      <c r="G1051" s="1152" t="s">
        <v>9</v>
      </c>
    </row>
    <row r="1052" spans="1:7">
      <c r="A1052" s="1228">
        <v>43267</v>
      </c>
      <c r="B1052" s="1222" t="str">
        <f>TiposLancamentos!B57</f>
        <v>Informática</v>
      </c>
      <c r="C1052" s="1223" t="s">
        <v>19015</v>
      </c>
      <c r="D1052" s="1224"/>
      <c r="E1052" s="1225">
        <v>17</v>
      </c>
      <c r="F1052" s="1229">
        <v>52.95</v>
      </c>
      <c r="G1052" s="1152" t="s">
        <v>9</v>
      </c>
    </row>
    <row r="1053" spans="1:7">
      <c r="A1053" s="884">
        <v>43267</v>
      </c>
      <c r="B1053" s="240" t="str">
        <f>TiposLancamentos!B16</f>
        <v>Cristiane</v>
      </c>
      <c r="C1053" s="878" t="s">
        <v>19016</v>
      </c>
      <c r="D1053" s="63"/>
      <c r="E1053" s="231">
        <v>189.99</v>
      </c>
      <c r="F1053" s="899"/>
      <c r="G1053" s="1152" t="s">
        <v>9</v>
      </c>
    </row>
    <row r="1054" spans="1:7">
      <c r="A1054" s="884">
        <v>43267</v>
      </c>
      <c r="B1054" s="240" t="str">
        <f>TiposLancamentos!B16</f>
        <v>Cristiane</v>
      </c>
      <c r="C1054" s="878" t="s">
        <v>19017</v>
      </c>
      <c r="D1054" s="63"/>
      <c r="E1054" s="231">
        <v>60</v>
      </c>
      <c r="F1054" s="899"/>
      <c r="G1054" s="1152" t="s">
        <v>9</v>
      </c>
    </row>
    <row r="1055" spans="1:7">
      <c r="A1055" s="884">
        <v>43268</v>
      </c>
      <c r="B1055" s="240" t="str">
        <f>TiposLancamentos!B19</f>
        <v>Restaurantes</v>
      </c>
      <c r="C1055" s="878" t="s">
        <v>19018</v>
      </c>
      <c r="D1055" s="63"/>
      <c r="E1055" s="231">
        <v>211.2</v>
      </c>
      <c r="F1055" s="899"/>
      <c r="G1055" s="1152" t="s">
        <v>9</v>
      </c>
    </row>
    <row r="1056" spans="1:7">
      <c r="A1056" s="884">
        <v>43268</v>
      </c>
      <c r="B1056" s="240" t="str">
        <f>TiposLancamentos!B72</f>
        <v>Presentes</v>
      </c>
      <c r="C1056" s="878" t="s">
        <v>19019</v>
      </c>
      <c r="D1056" s="63"/>
      <c r="E1056" s="231">
        <v>150</v>
      </c>
      <c r="F1056" s="899"/>
      <c r="G1056" s="1152" t="s">
        <v>9</v>
      </c>
    </row>
    <row r="1057" spans="1:7">
      <c r="A1057" s="884">
        <v>43268</v>
      </c>
      <c r="B1057" s="240" t="str">
        <f>TiposLancamentos!B5</f>
        <v>Supermercado</v>
      </c>
      <c r="C1057" s="878" t="s">
        <v>5844</v>
      </c>
      <c r="D1057" s="63"/>
      <c r="E1057" s="231">
        <v>82.41</v>
      </c>
      <c r="F1057" s="899"/>
      <c r="G1057" s="1152" t="s">
        <v>9</v>
      </c>
    </row>
    <row r="1058" spans="1:7">
      <c r="A1058" s="884">
        <v>43269</v>
      </c>
      <c r="B1058" s="240" t="str">
        <f>TiposLancamentos!B56</f>
        <v>Farmácia</v>
      </c>
      <c r="C1058" s="878" t="s">
        <v>19020</v>
      </c>
      <c r="D1058" s="63"/>
      <c r="E1058" s="231">
        <v>64.28</v>
      </c>
      <c r="F1058" s="899"/>
      <c r="G1058" s="1152" t="s">
        <v>9</v>
      </c>
    </row>
    <row r="1059" spans="1:7">
      <c r="A1059" s="884">
        <v>43269</v>
      </c>
      <c r="B1059" s="240" t="str">
        <f>TiposLancamentos!B56</f>
        <v>Farmácia</v>
      </c>
      <c r="C1059" s="878" t="s">
        <v>19021</v>
      </c>
      <c r="D1059" s="63"/>
      <c r="E1059" s="231">
        <v>35.020000000000003</v>
      </c>
      <c r="F1059" s="899"/>
      <c r="G1059" s="1152" t="s">
        <v>9</v>
      </c>
    </row>
    <row r="1060" spans="1:7">
      <c r="A1060" s="934"/>
      <c r="B1060" s="243"/>
      <c r="C1060" s="389" t="s">
        <v>10</v>
      </c>
      <c r="D1060" s="146"/>
      <c r="E1060" s="1190"/>
      <c r="F1060" s="935"/>
      <c r="G1060" s="1094" t="s">
        <v>11</v>
      </c>
    </row>
    <row r="1061" spans="1:7">
      <c r="A1061" s="884">
        <v>43270</v>
      </c>
      <c r="B1061" s="240" t="str">
        <f>TiposLancamentos!B5</f>
        <v>Supermercado</v>
      </c>
      <c r="C1061" s="878" t="s">
        <v>6234</v>
      </c>
      <c r="D1061" s="63"/>
      <c r="E1061" s="231">
        <v>10.69</v>
      </c>
      <c r="F1061" s="899"/>
      <c r="G1061" s="1152" t="s">
        <v>9</v>
      </c>
    </row>
    <row r="1062" spans="1:7">
      <c r="A1062" s="1272">
        <v>43270</v>
      </c>
      <c r="B1062" s="279" t="str">
        <f>TiposLancamentos!B16</f>
        <v>Cristiane</v>
      </c>
      <c r="C1062" s="280" t="s">
        <v>19022</v>
      </c>
      <c r="D1062" s="281"/>
      <c r="E1062" s="1293">
        <v>94.9</v>
      </c>
      <c r="F1062" s="1271"/>
      <c r="G1062" s="1152" t="s">
        <v>9</v>
      </c>
    </row>
    <row r="1063" spans="1:7">
      <c r="A1063" s="884">
        <v>43270</v>
      </c>
      <c r="B1063" s="240" t="str">
        <f>TiposLancamentos!B70</f>
        <v>Vestuário</v>
      </c>
      <c r="C1063" s="878" t="s">
        <v>19023</v>
      </c>
      <c r="D1063" s="63"/>
      <c r="E1063" s="231">
        <v>219.33</v>
      </c>
      <c r="F1063" s="899">
        <v>658</v>
      </c>
      <c r="G1063" s="1152" t="s">
        <v>9</v>
      </c>
    </row>
    <row r="1064" spans="1:7">
      <c r="A1064" s="884">
        <v>43271</v>
      </c>
      <c r="B1064" s="240" t="str">
        <f>TiposLancamentos!B70</f>
        <v>Vestuário</v>
      </c>
      <c r="C1064" s="878" t="s">
        <v>19024</v>
      </c>
      <c r="D1064" s="63"/>
      <c r="E1064" s="231">
        <f>F1064/3</f>
        <v>249.99</v>
      </c>
      <c r="F1064" s="899">
        <v>749.97</v>
      </c>
      <c r="G1064" s="1152" t="s">
        <v>9</v>
      </c>
    </row>
    <row r="1065" spans="1:7">
      <c r="A1065" s="884">
        <v>43271</v>
      </c>
      <c r="B1065" s="240" t="str">
        <f>TiposLancamentos!B5</f>
        <v>Supermercado</v>
      </c>
      <c r="C1065" s="878" t="s">
        <v>6234</v>
      </c>
      <c r="D1065" s="63"/>
      <c r="E1065" s="231">
        <v>28</v>
      </c>
      <c r="F1065" s="899"/>
      <c r="G1065" s="1152" t="s">
        <v>9</v>
      </c>
    </row>
    <row r="1066" spans="1:7">
      <c r="A1066" s="884">
        <v>43271</v>
      </c>
      <c r="B1066" s="240" t="str">
        <f>TiposLancamentos!B48</f>
        <v>Baralhos e Oráculos</v>
      </c>
      <c r="C1066" s="878" t="s">
        <v>19025</v>
      </c>
      <c r="D1066" s="63"/>
      <c r="E1066" s="231">
        <v>136.16999999999999</v>
      </c>
      <c r="F1066" s="899"/>
      <c r="G1066" s="1152" t="s">
        <v>9</v>
      </c>
    </row>
    <row r="1067" spans="1:7">
      <c r="A1067" s="1272">
        <v>43272</v>
      </c>
      <c r="B1067" s="279" t="str">
        <f>TiposLancamentos!B22</f>
        <v>Combustivel</v>
      </c>
      <c r="C1067" s="280" t="s">
        <v>8230</v>
      </c>
      <c r="D1067" s="281"/>
      <c r="E1067" s="1293">
        <v>221.02</v>
      </c>
      <c r="F1067" s="1271"/>
      <c r="G1067" s="1152" t="s">
        <v>9</v>
      </c>
    </row>
    <row r="1068" spans="1:7">
      <c r="A1068" s="884">
        <v>43272</v>
      </c>
      <c r="B1068" s="240" t="str">
        <f>TiposLancamentos!B16</f>
        <v>Cristiane</v>
      </c>
      <c r="C1068" s="878" t="s">
        <v>19026</v>
      </c>
      <c r="D1068" s="63"/>
      <c r="E1068" s="231">
        <v>266</v>
      </c>
      <c r="F1068" s="899"/>
      <c r="G1068" s="1152" t="s">
        <v>9</v>
      </c>
    </row>
    <row r="1069" spans="1:7">
      <c r="A1069" s="884">
        <v>43273</v>
      </c>
      <c r="B1069" s="240" t="str">
        <f>TiposLancamentos!B5</f>
        <v>Supermercado</v>
      </c>
      <c r="C1069" s="878" t="s">
        <v>6234</v>
      </c>
      <c r="D1069" s="63"/>
      <c r="E1069" s="231">
        <v>63.6</v>
      </c>
      <c r="F1069" s="899"/>
      <c r="G1069" s="1152" t="s">
        <v>9</v>
      </c>
    </row>
    <row r="1070" spans="1:7">
      <c r="A1070" s="884">
        <v>43273</v>
      </c>
      <c r="B1070" s="240" t="str">
        <f>TiposLancamentos!B45</f>
        <v>Online Services</v>
      </c>
      <c r="C1070" s="878" t="s">
        <v>19027</v>
      </c>
      <c r="D1070" s="63"/>
      <c r="E1070" s="231">
        <v>33</v>
      </c>
      <c r="F1070" s="899"/>
      <c r="G1070" s="1152" t="s">
        <v>9</v>
      </c>
    </row>
    <row r="1071" spans="1:7">
      <c r="A1071" s="884">
        <v>43273</v>
      </c>
      <c r="B1071" s="240" t="str">
        <f>TiposLancamentos!B57</f>
        <v>Informática</v>
      </c>
      <c r="C1071" s="878" t="s">
        <v>19028</v>
      </c>
      <c r="D1071" s="63"/>
      <c r="E1071" s="231">
        <v>191.99</v>
      </c>
      <c r="F1071" s="899"/>
      <c r="G1071" s="1152" t="s">
        <v>9</v>
      </c>
    </row>
    <row r="1072" spans="1:7">
      <c r="A1072" s="884">
        <v>43273</v>
      </c>
      <c r="B1072" s="240" t="str">
        <f>TiposLancamentos!B19</f>
        <v>Restaurantes</v>
      </c>
      <c r="C1072" s="878" t="s">
        <v>19029</v>
      </c>
      <c r="D1072" s="63"/>
      <c r="E1072" s="231">
        <v>48</v>
      </c>
      <c r="F1072" s="899"/>
      <c r="G1072" s="1152" t="s">
        <v>9</v>
      </c>
    </row>
    <row r="1073" spans="1:7">
      <c r="A1073" s="884">
        <v>43274</v>
      </c>
      <c r="B1073" s="240" t="str">
        <f>TiposLancamentos!B71</f>
        <v>Itens Pessoais</v>
      </c>
      <c r="C1073" s="878" t="s">
        <v>19030</v>
      </c>
      <c r="D1073" s="63"/>
      <c r="E1073" s="231">
        <v>42.04</v>
      </c>
      <c r="F1073" s="899" t="s">
        <v>19031</v>
      </c>
      <c r="G1073" s="1094" t="s">
        <v>11</v>
      </c>
    </row>
    <row r="1074" spans="1:7">
      <c r="A1074" s="884">
        <v>43274</v>
      </c>
      <c r="B1074" s="240" t="str">
        <f>TiposLancamentos!B4</f>
        <v>Taxas Bancarias</v>
      </c>
      <c r="C1074" s="878" t="s">
        <v>19032</v>
      </c>
      <c r="D1074" s="63"/>
      <c r="E1074" s="231">
        <v>2.4700000000000002</v>
      </c>
      <c r="F1074" s="899"/>
      <c r="G1074" s="1094"/>
    </row>
    <row r="1075" spans="1:7">
      <c r="A1075" s="884">
        <v>43274</v>
      </c>
      <c r="B1075" s="240" t="str">
        <f>TiposLancamentos!B5</f>
        <v>Supermercado</v>
      </c>
      <c r="C1075" s="878" t="s">
        <v>6864</v>
      </c>
      <c r="D1075" s="63"/>
      <c r="E1075" s="231">
        <v>32.950000000000003</v>
      </c>
      <c r="F1075" s="899"/>
      <c r="G1075" s="1152" t="s">
        <v>9</v>
      </c>
    </row>
    <row r="1076" spans="1:7">
      <c r="A1076" s="884">
        <v>43275</v>
      </c>
      <c r="B1076" s="240" t="str">
        <f>TiposLancamentos!B56</f>
        <v>Farmácia</v>
      </c>
      <c r="C1076" s="878" t="s">
        <v>19033</v>
      </c>
      <c r="D1076" s="63"/>
      <c r="E1076" s="231">
        <v>9.61</v>
      </c>
      <c r="F1076" s="899"/>
      <c r="G1076" s="1152" t="s">
        <v>9</v>
      </c>
    </row>
    <row r="1077" spans="1:7">
      <c r="A1077" s="884">
        <v>43275</v>
      </c>
      <c r="B1077" s="240" t="str">
        <f>TiposLancamentos!B5</f>
        <v>Supermercado</v>
      </c>
      <c r="C1077" s="878" t="s">
        <v>6234</v>
      </c>
      <c r="D1077" s="63"/>
      <c r="E1077" s="231">
        <v>145.93</v>
      </c>
      <c r="F1077" s="899"/>
      <c r="G1077" s="1152" t="s">
        <v>9</v>
      </c>
    </row>
    <row r="1078" spans="1:7">
      <c r="A1078" s="884">
        <v>43277</v>
      </c>
      <c r="B1078" s="240" t="str">
        <f>TiposLancamentos!B5</f>
        <v>Supermercado</v>
      </c>
      <c r="C1078" s="878" t="s">
        <v>6234</v>
      </c>
      <c r="D1078" s="63"/>
      <c r="E1078" s="231">
        <v>63.11</v>
      </c>
      <c r="F1078" s="899"/>
      <c r="G1078" s="1152" t="s">
        <v>9</v>
      </c>
    </row>
    <row r="1079" spans="1:7">
      <c r="A1079" s="884">
        <v>43277</v>
      </c>
      <c r="B1079" s="240" t="str">
        <f>TiposLancamentos!B31</f>
        <v>Action Figures</v>
      </c>
      <c r="C1079" s="878" t="s">
        <v>19034</v>
      </c>
      <c r="D1079" s="63"/>
      <c r="E1079" s="231">
        <f>F1079/3</f>
        <v>138.62</v>
      </c>
      <c r="F1079" s="899">
        <v>415.86</v>
      </c>
      <c r="G1079" s="1152" t="s">
        <v>9</v>
      </c>
    </row>
    <row r="1080" spans="1:7">
      <c r="A1080" s="1249">
        <v>43277</v>
      </c>
      <c r="B1080" s="1218" t="str">
        <f>TiposLancamentos!B48</f>
        <v>Baralhos e Oráculos</v>
      </c>
      <c r="C1080" s="1219" t="s">
        <v>741</v>
      </c>
      <c r="D1080" s="1220"/>
      <c r="E1080" s="1221">
        <f>E1082</f>
        <v>37.97</v>
      </c>
      <c r="F1080" s="1227"/>
      <c r="G1080" s="1152" t="s">
        <v>9</v>
      </c>
    </row>
    <row r="1081" spans="1:7">
      <c r="A1081" s="1264">
        <v>43277</v>
      </c>
      <c r="B1081" s="1259" t="str">
        <f>TiposLancamentos!B48</f>
        <v>Baralhos e Oráculos</v>
      </c>
      <c r="C1081" s="1260" t="s">
        <v>744</v>
      </c>
      <c r="D1081" s="1261"/>
      <c r="E1081" s="1262">
        <f>E1082</f>
        <v>37.97</v>
      </c>
      <c r="F1081" s="1263"/>
      <c r="G1081" s="1152" t="s">
        <v>9</v>
      </c>
    </row>
    <row r="1082" spans="1:7">
      <c r="A1082" s="1253">
        <v>43277</v>
      </c>
      <c r="B1082" s="1222" t="str">
        <f>TiposLancamentos!B26</f>
        <v>LIVROS</v>
      </c>
      <c r="C1082" s="1223" t="s">
        <v>19035</v>
      </c>
      <c r="D1082" s="1224"/>
      <c r="E1082" s="1225">
        <f>F1082/3</f>
        <v>37.97</v>
      </c>
      <c r="F1082" s="1229">
        <v>113.91</v>
      </c>
      <c r="G1082" s="1152" t="s">
        <v>9</v>
      </c>
    </row>
    <row r="1083" spans="1:7">
      <c r="A1083" s="884">
        <v>43278</v>
      </c>
      <c r="B1083" s="240" t="str">
        <f>TiposLancamentos!B26</f>
        <v>LIVROS</v>
      </c>
      <c r="C1083" s="878" t="s">
        <v>19036</v>
      </c>
      <c r="D1083" s="63"/>
      <c r="E1083" s="231">
        <v>52</v>
      </c>
      <c r="F1083" s="899"/>
      <c r="G1083" s="1152" t="s">
        <v>9</v>
      </c>
    </row>
    <row r="1084" spans="1:7">
      <c r="A1084" s="884">
        <v>43278</v>
      </c>
      <c r="B1084" s="240" t="str">
        <f>TiposLancamentos!B26</f>
        <v>LIVROS</v>
      </c>
      <c r="C1084" s="878" t="s">
        <v>19037</v>
      </c>
      <c r="D1084" s="63"/>
      <c r="E1084" s="231">
        <v>66.48</v>
      </c>
      <c r="F1084" s="899"/>
      <c r="G1084" s="1152" t="s">
        <v>9</v>
      </c>
    </row>
    <row r="1085" spans="1:7">
      <c r="A1085" s="1272">
        <v>43278</v>
      </c>
      <c r="B1085" s="279" t="str">
        <f>TiposLancamentos!B5</f>
        <v>Supermercado</v>
      </c>
      <c r="C1085" s="280" t="s">
        <v>6234</v>
      </c>
      <c r="D1085" s="281"/>
      <c r="E1085" s="1293">
        <v>159.86000000000001</v>
      </c>
      <c r="F1085" s="1271"/>
      <c r="G1085" s="1152" t="s">
        <v>9</v>
      </c>
    </row>
    <row r="1086" spans="1:7">
      <c r="A1086" s="884">
        <v>43279</v>
      </c>
      <c r="B1086" s="240" t="str">
        <f>TiposLancamentos!B19</f>
        <v>Restaurantes</v>
      </c>
      <c r="C1086" s="878" t="s">
        <v>19038</v>
      </c>
      <c r="D1086" s="63"/>
      <c r="E1086" s="231">
        <v>18.899999999999999</v>
      </c>
      <c r="F1086" s="899"/>
      <c r="G1086" s="1152" t="s">
        <v>9</v>
      </c>
    </row>
    <row r="1087" spans="1:7">
      <c r="A1087" s="884">
        <v>43279</v>
      </c>
      <c r="B1087" s="240" t="str">
        <f>TiposLancamentos!B45</f>
        <v>Online Services</v>
      </c>
      <c r="C1087" s="878" t="s">
        <v>1894</v>
      </c>
      <c r="D1087" s="63"/>
      <c r="E1087" s="231">
        <v>27.9</v>
      </c>
      <c r="F1087" s="899"/>
      <c r="G1087" s="1152" t="s">
        <v>9</v>
      </c>
    </row>
    <row r="1088" spans="1:7">
      <c r="A1088" s="884">
        <v>43279</v>
      </c>
      <c r="B1088" s="240" t="str">
        <f>TiposLancamentos!B45</f>
        <v>Online Services</v>
      </c>
      <c r="C1088" s="878" t="s">
        <v>1895</v>
      </c>
      <c r="D1088" s="63"/>
      <c r="E1088" s="231">
        <v>26.9</v>
      </c>
      <c r="F1088" s="899"/>
      <c r="G1088" s="1152" t="s">
        <v>9</v>
      </c>
    </row>
    <row r="1089" spans="1:7">
      <c r="A1089" s="884">
        <v>43280</v>
      </c>
      <c r="B1089" s="240" t="str">
        <f>TiposLancamentos!B71</f>
        <v>Itens Pessoais</v>
      </c>
      <c r="C1089" s="878" t="s">
        <v>19039</v>
      </c>
      <c r="D1089" s="63"/>
      <c r="E1089" s="231">
        <v>285.81</v>
      </c>
      <c r="F1089" s="899">
        <v>1714.9</v>
      </c>
      <c r="G1089" s="1152" t="s">
        <v>9</v>
      </c>
    </row>
    <row r="1090" spans="1:7">
      <c r="A1090" s="884">
        <v>43281</v>
      </c>
      <c r="B1090" s="240" t="str">
        <f>TiposLancamentos!B16</f>
        <v>Cristiane</v>
      </c>
      <c r="C1090" s="878" t="s">
        <v>19040</v>
      </c>
      <c r="D1090" s="63"/>
      <c r="E1090" s="231">
        <v>249.9</v>
      </c>
      <c r="F1090" s="899"/>
      <c r="G1090" s="1152" t="s">
        <v>9</v>
      </c>
    </row>
    <row r="1091" spans="1:7" ht="14.25" thickBot="1">
      <c r="A1091" s="885">
        <v>43281</v>
      </c>
      <c r="B1091" s="1232" t="str">
        <f>TiposLancamentos!B19</f>
        <v>Restaurantes</v>
      </c>
      <c r="C1091" s="1120" t="s">
        <v>19041</v>
      </c>
      <c r="D1091" s="903"/>
      <c r="E1091" s="928">
        <v>117.4</v>
      </c>
      <c r="F1091" s="905"/>
      <c r="G1091" s="1152" t="s">
        <v>9</v>
      </c>
    </row>
    <row r="1092" spans="1:7">
      <c r="A1092" s="884"/>
      <c r="B1092" s="240"/>
      <c r="C1092" s="878" t="s">
        <v>13818</v>
      </c>
      <c r="D1092" s="63"/>
      <c r="E1092" s="231"/>
      <c r="F1092" s="899">
        <f>SUM(E982:E1059)</f>
        <v>8890.619999999999</v>
      </c>
      <c r="G1092" s="3"/>
    </row>
    <row r="1093" spans="1:7">
      <c r="A1093" s="884">
        <v>43282</v>
      </c>
      <c r="B1093" s="240" t="str">
        <f>TiposLancamentos!B19</f>
        <v>Restaurantes</v>
      </c>
      <c r="C1093" s="878" t="s">
        <v>19042</v>
      </c>
      <c r="D1093" s="63"/>
      <c r="E1093" s="231">
        <v>172.98</v>
      </c>
      <c r="F1093" s="899">
        <f>F1092-F1018</f>
        <v>-827.01000000000204</v>
      </c>
      <c r="G1093" s="1152" t="s">
        <v>9</v>
      </c>
    </row>
    <row r="1094" spans="1:7">
      <c r="A1094" s="884">
        <v>43283</v>
      </c>
      <c r="B1094" s="240" t="str">
        <f>TiposLancamentos!B15</f>
        <v>Cartões de Crédito</v>
      </c>
      <c r="C1094" s="878" t="s">
        <v>1874</v>
      </c>
      <c r="D1094" s="63">
        <v>8890.6200000000008</v>
      </c>
      <c r="E1094" s="231"/>
      <c r="F1094" s="899"/>
      <c r="G1094" s="1152" t="s">
        <v>9</v>
      </c>
    </row>
    <row r="1095" spans="1:7">
      <c r="A1095" s="884">
        <v>43284</v>
      </c>
      <c r="B1095" s="240" t="str">
        <f>TiposLancamentos!B88</f>
        <v>Ford Ecosport XLT</v>
      </c>
      <c r="C1095" s="878" t="s">
        <v>19043</v>
      </c>
      <c r="D1095" s="63"/>
      <c r="E1095" s="231">
        <f>F1095/6</f>
        <v>525</v>
      </c>
      <c r="F1095" s="899">
        <v>3150</v>
      </c>
      <c r="G1095" s="1152" t="s">
        <v>9</v>
      </c>
    </row>
    <row r="1096" spans="1:7">
      <c r="A1096" s="884">
        <v>43284</v>
      </c>
      <c r="B1096" s="240" t="str">
        <f>TiposLancamentos!B44</f>
        <v>Academia</v>
      </c>
      <c r="C1096" s="878" t="s">
        <v>19044</v>
      </c>
      <c r="D1096" s="63"/>
      <c r="E1096" s="231">
        <f>F1096/4</f>
        <v>160.19999999999999</v>
      </c>
      <c r="F1096" s="899">
        <v>640.79999999999995</v>
      </c>
      <c r="G1096" s="1152" t="s">
        <v>9</v>
      </c>
    </row>
    <row r="1097" spans="1:7">
      <c r="A1097" s="1272">
        <v>43284</v>
      </c>
      <c r="B1097" s="279" t="str">
        <f>TiposLancamentos!B16</f>
        <v>Cristiane</v>
      </c>
      <c r="C1097" s="280" t="s">
        <v>19045</v>
      </c>
      <c r="D1097" s="281"/>
      <c r="E1097" s="1293">
        <v>58.2</v>
      </c>
      <c r="F1097" s="1271"/>
      <c r="G1097" s="1152" t="s">
        <v>9</v>
      </c>
    </row>
    <row r="1098" spans="1:7">
      <c r="A1098" s="884">
        <v>43284</v>
      </c>
      <c r="B1098" s="240" t="str">
        <f>TiposLancamentos!B19</f>
        <v>Restaurantes</v>
      </c>
      <c r="C1098" s="878" t="s">
        <v>19046</v>
      </c>
      <c r="D1098" s="63"/>
      <c r="E1098" s="231">
        <v>14.5</v>
      </c>
      <c r="F1098" s="899"/>
      <c r="G1098" s="1152" t="s">
        <v>9</v>
      </c>
    </row>
    <row r="1099" spans="1:7">
      <c r="A1099" s="884">
        <v>43284</v>
      </c>
      <c r="B1099" s="240" t="str">
        <f>TiposLancamentos!B45</f>
        <v>Online Services</v>
      </c>
      <c r="C1099" s="878" t="s">
        <v>18771</v>
      </c>
      <c r="D1099" s="63"/>
      <c r="E1099" s="231">
        <v>15</v>
      </c>
      <c r="F1099" s="899"/>
      <c r="G1099" s="1152" t="s">
        <v>9</v>
      </c>
    </row>
    <row r="1100" spans="1:7">
      <c r="A1100" s="884">
        <v>43285</v>
      </c>
      <c r="B1100" s="240" t="str">
        <f>TiposLancamentos!B5</f>
        <v>Supermercado</v>
      </c>
      <c r="C1100" s="878" t="s">
        <v>6234</v>
      </c>
      <c r="D1100" s="63"/>
      <c r="E1100" s="231">
        <v>104.92</v>
      </c>
      <c r="F1100" s="899"/>
      <c r="G1100" s="1152" t="s">
        <v>9</v>
      </c>
    </row>
    <row r="1101" spans="1:7">
      <c r="A1101" s="884">
        <v>43285</v>
      </c>
      <c r="B1101" s="240" t="str">
        <f>TiposLancamentos!B19</f>
        <v>Restaurantes</v>
      </c>
      <c r="C1101" s="878" t="s">
        <v>19047</v>
      </c>
      <c r="D1101" s="63"/>
      <c r="E1101" s="231">
        <v>100.76</v>
      </c>
      <c r="F1101" s="899"/>
      <c r="G1101" s="1152" t="s">
        <v>9</v>
      </c>
    </row>
    <row r="1102" spans="1:7">
      <c r="A1102" s="884">
        <v>43286</v>
      </c>
      <c r="B1102" s="240" t="str">
        <f>TiposLancamentos!B5</f>
        <v>Supermercado</v>
      </c>
      <c r="C1102" s="878" t="s">
        <v>19048</v>
      </c>
      <c r="D1102" s="63"/>
      <c r="E1102" s="231">
        <v>28.62</v>
      </c>
      <c r="F1102" s="899"/>
      <c r="G1102" s="1152" t="s">
        <v>9</v>
      </c>
    </row>
    <row r="1103" spans="1:7">
      <c r="A1103" s="884">
        <v>43286</v>
      </c>
      <c r="B1103" s="240" t="str">
        <f>TiposLancamentos!B5</f>
        <v>Supermercado</v>
      </c>
      <c r="C1103" s="878" t="s">
        <v>19049</v>
      </c>
      <c r="D1103" s="63"/>
      <c r="E1103" s="231">
        <v>14.97</v>
      </c>
      <c r="F1103" s="899"/>
      <c r="G1103" s="1152" t="s">
        <v>9</v>
      </c>
    </row>
    <row r="1104" spans="1:7">
      <c r="A1104" s="1272">
        <v>43286</v>
      </c>
      <c r="B1104" s="279" t="str">
        <f>TiposLancamentos!B5</f>
        <v>Supermercado</v>
      </c>
      <c r="C1104" s="280" t="s">
        <v>19050</v>
      </c>
      <c r="D1104" s="281"/>
      <c r="E1104" s="1293">
        <v>88.5</v>
      </c>
      <c r="F1104" s="1271"/>
      <c r="G1104" s="1152" t="s">
        <v>9</v>
      </c>
    </row>
    <row r="1105" spans="1:7">
      <c r="A1105" s="1272">
        <v>43286</v>
      </c>
      <c r="B1105" s="279" t="str">
        <f>TiposLancamentos!B5</f>
        <v>Supermercado</v>
      </c>
      <c r="C1105" s="280" t="s">
        <v>18499</v>
      </c>
      <c r="D1105" s="281"/>
      <c r="E1105" s="1293">
        <v>55.56</v>
      </c>
      <c r="F1105" s="1271"/>
      <c r="G1105" s="1152" t="s">
        <v>9</v>
      </c>
    </row>
    <row r="1106" spans="1:7">
      <c r="A1106" s="884">
        <v>43286</v>
      </c>
      <c r="B1106" s="240" t="str">
        <f>TiposLancamentos!B16</f>
        <v>Cristiane</v>
      </c>
      <c r="C1106" s="878" t="s">
        <v>19051</v>
      </c>
      <c r="D1106" s="63"/>
      <c r="E1106" s="231">
        <v>157.59</v>
      </c>
      <c r="F1106" s="899"/>
      <c r="G1106" s="1152" t="s">
        <v>9</v>
      </c>
    </row>
    <row r="1107" spans="1:7">
      <c r="A1107" s="884">
        <v>43286</v>
      </c>
      <c r="B1107" s="240" t="str">
        <f>TiposLancamentos!B48</f>
        <v>Baralhos e Oráculos</v>
      </c>
      <c r="C1107" s="878" t="s">
        <v>19052</v>
      </c>
      <c r="D1107" s="63"/>
      <c r="E1107" s="231">
        <v>129.9</v>
      </c>
      <c r="F1107" s="899"/>
      <c r="G1107" s="1152" t="s">
        <v>9</v>
      </c>
    </row>
    <row r="1108" spans="1:7">
      <c r="A1108" s="884">
        <v>43287</v>
      </c>
      <c r="B1108" s="240" t="str">
        <f>TiposLancamentos!B5</f>
        <v>Supermercado</v>
      </c>
      <c r="C1108" s="878" t="s">
        <v>19053</v>
      </c>
      <c r="D1108" s="63"/>
      <c r="E1108" s="231">
        <v>69.739999999999995</v>
      </c>
      <c r="F1108" s="899"/>
      <c r="G1108" s="1152" t="s">
        <v>9</v>
      </c>
    </row>
    <row r="1109" spans="1:7">
      <c r="A1109" s="884">
        <v>43288</v>
      </c>
      <c r="B1109" s="240" t="str">
        <f>TiposLancamentos!B19</f>
        <v>Restaurantes</v>
      </c>
      <c r="C1109" s="878" t="s">
        <v>19054</v>
      </c>
      <c r="D1109" s="63"/>
      <c r="E1109" s="231">
        <v>80</v>
      </c>
      <c r="F1109" s="899"/>
      <c r="G1109" s="1152" t="s">
        <v>9</v>
      </c>
    </row>
    <row r="1110" spans="1:7">
      <c r="A1110" s="884">
        <v>43288</v>
      </c>
      <c r="B1110" s="240" t="str">
        <f>TiposLancamentos!B5</f>
        <v>Supermercado</v>
      </c>
      <c r="C1110" s="878" t="s">
        <v>6234</v>
      </c>
      <c r="D1110" s="63"/>
      <c r="E1110" s="231">
        <v>17.95</v>
      </c>
      <c r="F1110" s="899"/>
      <c r="G1110" s="1152" t="s">
        <v>9</v>
      </c>
    </row>
    <row r="1111" spans="1:7">
      <c r="A1111" s="884">
        <v>43289</v>
      </c>
      <c r="B1111" s="240" t="str">
        <f>TiposLancamentos!B19</f>
        <v>Restaurantes</v>
      </c>
      <c r="C1111" s="878" t="s">
        <v>19055</v>
      </c>
      <c r="D1111" s="63"/>
      <c r="E1111" s="231">
        <v>91.08</v>
      </c>
      <c r="F1111" s="899"/>
      <c r="G1111" s="1152" t="s">
        <v>9</v>
      </c>
    </row>
    <row r="1112" spans="1:7">
      <c r="A1112" s="884">
        <v>43289</v>
      </c>
      <c r="B1112" s="240" t="str">
        <f>TiposLancamentos!B19</f>
        <v>Restaurantes</v>
      </c>
      <c r="C1112" s="878" t="s">
        <v>19056</v>
      </c>
      <c r="D1112" s="63"/>
      <c r="E1112" s="231">
        <v>19.5</v>
      </c>
      <c r="F1112" s="899"/>
      <c r="G1112" s="1152" t="s">
        <v>9</v>
      </c>
    </row>
    <row r="1113" spans="1:7">
      <c r="A1113" s="1226">
        <v>43289</v>
      </c>
      <c r="B1113" s="1218" t="str">
        <f>TiposLancamentos!B16</f>
        <v>Cristiane</v>
      </c>
      <c r="C1113" s="1219" t="s">
        <v>19057</v>
      </c>
      <c r="D1113" s="1220"/>
      <c r="E1113" s="1221">
        <v>29.9</v>
      </c>
      <c r="F1113" s="1227"/>
      <c r="G1113" s="1152" t="s">
        <v>9</v>
      </c>
    </row>
    <row r="1114" spans="1:7">
      <c r="A1114" s="1228">
        <v>43289</v>
      </c>
      <c r="B1114" s="1222" t="str">
        <f>TiposLancamentos!B56</f>
        <v>Farmácia</v>
      </c>
      <c r="C1114" s="1223" t="s">
        <v>6118</v>
      </c>
      <c r="D1114" s="1224"/>
      <c r="E1114" s="1225">
        <f>F1114-E1113</f>
        <v>75.72</v>
      </c>
      <c r="F1114" s="1229">
        <v>105.62</v>
      </c>
      <c r="G1114" s="1152" t="s">
        <v>9</v>
      </c>
    </row>
    <row r="1115" spans="1:7">
      <c r="A1115" s="884">
        <v>43289</v>
      </c>
      <c r="B1115" s="240" t="str">
        <f>TiposLancamentos!B70</f>
        <v>Vestuário</v>
      </c>
      <c r="C1115" s="878" t="s">
        <v>19058</v>
      </c>
      <c r="D1115" s="63"/>
      <c r="E1115" s="231">
        <v>199</v>
      </c>
      <c r="F1115" s="899"/>
      <c r="G1115" s="1152" t="s">
        <v>9</v>
      </c>
    </row>
    <row r="1116" spans="1:7">
      <c r="A1116" s="884">
        <v>43289</v>
      </c>
      <c r="B1116" s="240" t="str">
        <f>TiposLancamentos!B16</f>
        <v>Cristiane</v>
      </c>
      <c r="C1116" s="878" t="s">
        <v>19059</v>
      </c>
      <c r="D1116" s="63"/>
      <c r="E1116" s="231">
        <v>199.9</v>
      </c>
      <c r="F1116" s="899"/>
      <c r="G1116" s="1152" t="s">
        <v>9</v>
      </c>
    </row>
    <row r="1117" spans="1:7">
      <c r="A1117" s="884">
        <v>43289</v>
      </c>
      <c r="B1117" s="240" t="str">
        <f>TiposLancamentos!B19</f>
        <v>Restaurantes</v>
      </c>
      <c r="C1117" s="878" t="s">
        <v>19060</v>
      </c>
      <c r="D1117" s="63"/>
      <c r="E1117" s="231">
        <v>121.88</v>
      </c>
      <c r="F1117" s="899"/>
      <c r="G1117" s="1152" t="s">
        <v>9</v>
      </c>
    </row>
    <row r="1118" spans="1:7">
      <c r="A1118" s="1272">
        <v>43290</v>
      </c>
      <c r="B1118" s="279" t="str">
        <f>TiposLancamentos!B16</f>
        <v>Cristiane</v>
      </c>
      <c r="C1118" s="280" t="s">
        <v>10259</v>
      </c>
      <c r="D1118" s="281"/>
      <c r="E1118" s="1293">
        <v>33.35</v>
      </c>
      <c r="F1118" s="1271"/>
      <c r="G1118" s="1152" t="s">
        <v>9</v>
      </c>
    </row>
    <row r="1119" spans="1:7">
      <c r="A1119" s="884">
        <v>43290</v>
      </c>
      <c r="B1119" s="240" t="str">
        <f>TiposLancamentos!B5</f>
        <v>Supermercado</v>
      </c>
      <c r="C1119" s="878" t="s">
        <v>6234</v>
      </c>
      <c r="D1119" s="63"/>
      <c r="E1119" s="231">
        <v>73.16</v>
      </c>
      <c r="F1119" s="899"/>
      <c r="G1119" s="1152" t="s">
        <v>9</v>
      </c>
    </row>
    <row r="1120" spans="1:7">
      <c r="A1120" s="884">
        <v>43290</v>
      </c>
      <c r="B1120" s="240" t="str">
        <f>TiposLancamentos!B19</f>
        <v>Restaurantes</v>
      </c>
      <c r="C1120" s="878" t="s">
        <v>10047</v>
      </c>
      <c r="D1120" s="63"/>
      <c r="E1120" s="231">
        <v>48</v>
      </c>
      <c r="F1120" s="899"/>
      <c r="G1120" s="1152" t="s">
        <v>9</v>
      </c>
    </row>
    <row r="1121" spans="1:7">
      <c r="A1121" s="884">
        <v>43291</v>
      </c>
      <c r="B1121" s="240" t="str">
        <f>TiposLancamentos!B70</f>
        <v>Vestuário</v>
      </c>
      <c r="C1121" s="878" t="s">
        <v>19061</v>
      </c>
      <c r="D1121" s="63"/>
      <c r="E1121" s="231">
        <v>199.99</v>
      </c>
      <c r="F1121" s="899"/>
      <c r="G1121" s="1152" t="s">
        <v>9</v>
      </c>
    </row>
    <row r="1122" spans="1:7">
      <c r="A1122" s="884">
        <v>43292</v>
      </c>
      <c r="B1122" s="240" t="str">
        <f>TiposLancamentos!B64</f>
        <v>Viagens</v>
      </c>
      <c r="C1122" s="878" t="s">
        <v>19062</v>
      </c>
      <c r="D1122" s="63"/>
      <c r="E1122" s="231">
        <v>337.54</v>
      </c>
      <c r="F1122" s="899">
        <v>2025.19</v>
      </c>
      <c r="G1122" s="1152" t="s">
        <v>9</v>
      </c>
    </row>
    <row r="1123" spans="1:7">
      <c r="A1123" s="884">
        <v>43292</v>
      </c>
      <c r="B1123" s="240" t="str">
        <f>TiposLancamentos!B64</f>
        <v>Viagens</v>
      </c>
      <c r="C1123" s="878" t="s">
        <v>19063</v>
      </c>
      <c r="D1123" s="63"/>
      <c r="E1123" s="231">
        <v>89.91</v>
      </c>
      <c r="F1123" s="899">
        <v>539.30999999999995</v>
      </c>
      <c r="G1123" s="1152" t="s">
        <v>9</v>
      </c>
    </row>
    <row r="1124" spans="1:7">
      <c r="A1124" s="884">
        <v>43292</v>
      </c>
      <c r="B1124" s="240" t="str">
        <f>TiposLancamentos!B64</f>
        <v>Viagens</v>
      </c>
      <c r="C1124" s="878" t="s">
        <v>19064</v>
      </c>
      <c r="D1124" s="63"/>
      <c r="E1124" s="231">
        <f>F1124/6</f>
        <v>297.45999999999998</v>
      </c>
      <c r="F1124" s="899">
        <v>1784.76</v>
      </c>
      <c r="G1124" s="1152" t="s">
        <v>9</v>
      </c>
    </row>
    <row r="1125" spans="1:7">
      <c r="A1125" s="1272">
        <v>43293</v>
      </c>
      <c r="B1125" s="279" t="str">
        <f>TiposLancamentos!B5</f>
        <v>Supermercado</v>
      </c>
      <c r="C1125" s="280" t="s">
        <v>6234</v>
      </c>
      <c r="D1125" s="281"/>
      <c r="E1125" s="1293">
        <v>125.28</v>
      </c>
      <c r="F1125" s="1271"/>
      <c r="G1125" s="1152" t="s">
        <v>9</v>
      </c>
    </row>
    <row r="1126" spans="1:7">
      <c r="A1126" s="1272">
        <v>43294</v>
      </c>
      <c r="B1126" s="279" t="str">
        <f>TiposLancamentos!B19</f>
        <v>Restaurantes</v>
      </c>
      <c r="C1126" s="280" t="s">
        <v>19065</v>
      </c>
      <c r="D1126" s="281"/>
      <c r="E1126" s="1293">
        <v>111.8</v>
      </c>
      <c r="F1126" s="1271"/>
      <c r="G1126" s="1152" t="s">
        <v>9</v>
      </c>
    </row>
    <row r="1127" spans="1:7">
      <c r="A1127" s="884">
        <v>43295</v>
      </c>
      <c r="B1127" s="240" t="str">
        <f>TiposLancamentos!B19</f>
        <v>Restaurantes</v>
      </c>
      <c r="C1127" s="878" t="s">
        <v>19066</v>
      </c>
      <c r="D1127" s="63"/>
      <c r="E1127" s="231">
        <v>140.13999999999999</v>
      </c>
      <c r="F1127" s="899"/>
      <c r="G1127" s="1152" t="s">
        <v>9</v>
      </c>
    </row>
    <row r="1128" spans="1:7">
      <c r="A1128" s="884">
        <v>43295</v>
      </c>
      <c r="B1128" s="240" t="str">
        <f>TiposLancamentos!B71</f>
        <v>Itens Pessoais</v>
      </c>
      <c r="C1128" s="878" t="s">
        <v>19067</v>
      </c>
      <c r="D1128" s="63"/>
      <c r="E1128" s="231">
        <f>F1128/10</f>
        <v>199.8</v>
      </c>
      <c r="F1128" s="899">
        <v>1998</v>
      </c>
      <c r="G1128" s="1152" t="s">
        <v>9</v>
      </c>
    </row>
    <row r="1129" spans="1:7">
      <c r="A1129" s="884">
        <v>43296</v>
      </c>
      <c r="B1129" s="240" t="str">
        <f>TiposLancamentos!B19</f>
        <v>Restaurantes</v>
      </c>
      <c r="C1129" s="878" t="s">
        <v>19068</v>
      </c>
      <c r="D1129" s="63"/>
      <c r="E1129" s="231">
        <v>192.55</v>
      </c>
      <c r="F1129" s="899"/>
      <c r="G1129" s="1152" t="s">
        <v>9</v>
      </c>
    </row>
    <row r="1130" spans="1:7">
      <c r="A1130" s="884">
        <v>43296</v>
      </c>
      <c r="B1130" s="240" t="str">
        <f>TiposLancamentos!B16</f>
        <v>Cristiane</v>
      </c>
      <c r="C1130" s="878" t="s">
        <v>18480</v>
      </c>
      <c r="D1130" s="63"/>
      <c r="E1130" s="231">
        <v>259.7</v>
      </c>
      <c r="F1130" s="899"/>
      <c r="G1130" s="1152" t="s">
        <v>9</v>
      </c>
    </row>
    <row r="1131" spans="1:7">
      <c r="A1131" s="884">
        <v>43296</v>
      </c>
      <c r="B1131" s="240" t="str">
        <f>TiposLancamentos!B19</f>
        <v>Restaurantes</v>
      </c>
      <c r="C1131" s="878" t="s">
        <v>19069</v>
      </c>
      <c r="D1131" s="63"/>
      <c r="E1131" s="231">
        <v>19.5</v>
      </c>
      <c r="F1131" s="899"/>
      <c r="G1131" s="1152" t="s">
        <v>9</v>
      </c>
    </row>
    <row r="1132" spans="1:7">
      <c r="A1132" s="884">
        <v>43296</v>
      </c>
      <c r="B1132" s="240" t="str">
        <f>TiposLancamentos!B48</f>
        <v>Baralhos e Oráculos</v>
      </c>
      <c r="C1132" s="878" t="s">
        <v>19070</v>
      </c>
      <c r="D1132" s="63"/>
      <c r="E1132" s="231">
        <v>137.27000000000001</v>
      </c>
      <c r="F1132" s="899"/>
      <c r="G1132" s="1152" t="s">
        <v>9</v>
      </c>
    </row>
    <row r="1133" spans="1:7">
      <c r="A1133" s="884">
        <v>43297</v>
      </c>
      <c r="B1133" s="240" t="str">
        <f>TiposLancamentos!B5</f>
        <v>Supermercado</v>
      </c>
      <c r="C1133" s="878" t="s">
        <v>19071</v>
      </c>
      <c r="D1133" s="63"/>
      <c r="E1133" s="231">
        <v>42.09</v>
      </c>
      <c r="F1133" s="899"/>
      <c r="G1133" s="1152" t="s">
        <v>9</v>
      </c>
    </row>
    <row r="1134" spans="1:7">
      <c r="A1134" s="1272">
        <v>43297</v>
      </c>
      <c r="B1134" s="279" t="str">
        <f>TiposLancamentos!B48</f>
        <v>Baralhos e Oráculos</v>
      </c>
      <c r="C1134" s="280" t="s">
        <v>19072</v>
      </c>
      <c r="D1134" s="281"/>
      <c r="E1134" s="1293">
        <v>62</v>
      </c>
      <c r="F1134" s="1271"/>
      <c r="G1134" s="1152" t="s">
        <v>9</v>
      </c>
    </row>
    <row r="1135" spans="1:7">
      <c r="A1135" s="1272">
        <v>43297</v>
      </c>
      <c r="B1135" s="279" t="str">
        <f>TiposLancamentos!B17</f>
        <v>GATO</v>
      </c>
      <c r="C1135" s="280" t="s">
        <v>19073</v>
      </c>
      <c r="D1135" s="281"/>
      <c r="E1135" s="1293">
        <v>49.98</v>
      </c>
      <c r="F1135" s="1271"/>
      <c r="G1135" s="1152" t="s">
        <v>9</v>
      </c>
    </row>
    <row r="1136" spans="1:7">
      <c r="A1136" s="1272">
        <v>43297</v>
      </c>
      <c r="B1136" s="279" t="str">
        <f>TiposLancamentos!B5</f>
        <v>Supermercado</v>
      </c>
      <c r="C1136" s="280" t="s">
        <v>19074</v>
      </c>
      <c r="D1136" s="281"/>
      <c r="E1136" s="1293">
        <v>66.11</v>
      </c>
      <c r="F1136" s="1271"/>
      <c r="G1136" s="1152" t="s">
        <v>9</v>
      </c>
    </row>
    <row r="1137" spans="1:7">
      <c r="A1137" s="884">
        <v>43298</v>
      </c>
      <c r="B1137" s="240" t="str">
        <f>TiposLancamentos!B5</f>
        <v>Supermercado</v>
      </c>
      <c r="C1137" s="878" t="s">
        <v>6234</v>
      </c>
      <c r="D1137" s="63"/>
      <c r="E1137" s="231">
        <v>38.96</v>
      </c>
      <c r="F1137" s="899"/>
      <c r="G1137" s="1152" t="s">
        <v>9</v>
      </c>
    </row>
    <row r="1138" spans="1:7">
      <c r="A1138" s="1272">
        <v>43298</v>
      </c>
      <c r="B1138" s="279" t="str">
        <f>TiposLancamentos!B16</f>
        <v>Cristiane</v>
      </c>
      <c r="C1138" s="280" t="s">
        <v>19075</v>
      </c>
      <c r="D1138" s="281"/>
      <c r="E1138" s="1293">
        <v>154.66999999999999</v>
      </c>
      <c r="F1138" s="1271">
        <v>309.33999999999997</v>
      </c>
      <c r="G1138" s="1152" t="s">
        <v>9</v>
      </c>
    </row>
    <row r="1139" spans="1:7">
      <c r="A1139" s="1272">
        <v>43298</v>
      </c>
      <c r="B1139" s="279" t="str">
        <f>TiposLancamentos!B74</f>
        <v>Noite</v>
      </c>
      <c r="C1139" s="280" t="s">
        <v>19076</v>
      </c>
      <c r="D1139" s="281"/>
      <c r="E1139" s="1293">
        <v>103</v>
      </c>
      <c r="F1139" s="1271"/>
      <c r="G1139" s="1152" t="s">
        <v>9</v>
      </c>
    </row>
    <row r="1140" spans="1:7">
      <c r="A1140" s="884">
        <v>43299</v>
      </c>
      <c r="B1140" s="240" t="str">
        <f>TiposLancamentos!B56</f>
        <v>Farmácia</v>
      </c>
      <c r="C1140" s="878" t="s">
        <v>19077</v>
      </c>
      <c r="D1140" s="63"/>
      <c r="E1140" s="231">
        <v>48.01</v>
      </c>
      <c r="F1140" s="899"/>
      <c r="G1140" s="1152" t="s">
        <v>9</v>
      </c>
    </row>
    <row r="1141" spans="1:7">
      <c r="A1141" s="884">
        <v>43299</v>
      </c>
      <c r="B1141" s="240" t="str">
        <f>TiposLancamentos!B56</f>
        <v>Farmácia</v>
      </c>
      <c r="C1141" s="878" t="s">
        <v>19078</v>
      </c>
      <c r="D1141" s="63"/>
      <c r="E1141" s="231">
        <v>6.4</v>
      </c>
      <c r="F1141" s="899"/>
      <c r="G1141" s="1152" t="s">
        <v>9</v>
      </c>
    </row>
    <row r="1142" spans="1:7">
      <c r="A1142" s="884">
        <v>43299</v>
      </c>
      <c r="B1142" s="240" t="str">
        <f>TiposLancamentos!B5</f>
        <v>Supermercado</v>
      </c>
      <c r="C1142" s="878" t="s">
        <v>7068</v>
      </c>
      <c r="D1142" s="63"/>
      <c r="E1142" s="231">
        <v>35.28</v>
      </c>
      <c r="F1142" s="899"/>
      <c r="G1142" s="1152" t="s">
        <v>9</v>
      </c>
    </row>
    <row r="1143" spans="1:7">
      <c r="A1143" s="934"/>
      <c r="B1143" s="243"/>
      <c r="C1143" s="389" t="s">
        <v>10</v>
      </c>
      <c r="D1143" s="146"/>
      <c r="E1143" s="1190"/>
      <c r="F1143" s="935"/>
      <c r="G1143" s="1094" t="s">
        <v>11</v>
      </c>
    </row>
    <row r="1144" spans="1:7">
      <c r="A1144" s="884">
        <v>43300</v>
      </c>
      <c r="B1144" s="240" t="str">
        <f>TiposLancamentos!B70</f>
        <v>Vestuário</v>
      </c>
      <c r="C1144" s="878" t="s">
        <v>19079</v>
      </c>
      <c r="D1144" s="63"/>
      <c r="E1144" s="231">
        <v>219.33</v>
      </c>
      <c r="F1144" s="899">
        <v>658</v>
      </c>
      <c r="G1144" s="1152" t="s">
        <v>9</v>
      </c>
    </row>
    <row r="1145" spans="1:7">
      <c r="A1145" s="884">
        <v>43300</v>
      </c>
      <c r="B1145" s="240" t="str">
        <f>TiposLancamentos!B5</f>
        <v>Supermercado</v>
      </c>
      <c r="C1145" s="878" t="s">
        <v>19080</v>
      </c>
      <c r="D1145" s="63"/>
      <c r="E1145" s="231">
        <v>36.130000000000003</v>
      </c>
      <c r="F1145" s="899"/>
      <c r="G1145" s="1152" t="s">
        <v>9</v>
      </c>
    </row>
    <row r="1146" spans="1:7">
      <c r="A1146" s="1272">
        <v>43300</v>
      </c>
      <c r="B1146" s="279" t="str">
        <f>TiposLancamentos!B16</f>
        <v>Cristiane</v>
      </c>
      <c r="C1146" s="280" t="s">
        <v>19081</v>
      </c>
      <c r="D1146" s="281"/>
      <c r="E1146" s="1293">
        <v>231.5</v>
      </c>
      <c r="F1146" s="1271"/>
      <c r="G1146" s="1152" t="s">
        <v>9</v>
      </c>
    </row>
    <row r="1147" spans="1:7">
      <c r="A1147" s="1272">
        <v>43301</v>
      </c>
      <c r="B1147" s="279" t="str">
        <f>TiposLancamentos!B16</f>
        <v>Cristiane</v>
      </c>
      <c r="C1147" s="280" t="s">
        <v>19082</v>
      </c>
      <c r="D1147" s="281"/>
      <c r="E1147" s="1293">
        <v>149.80000000000001</v>
      </c>
      <c r="F1147" s="1271"/>
      <c r="G1147" s="1152" t="s">
        <v>9</v>
      </c>
    </row>
    <row r="1148" spans="1:7">
      <c r="A1148" s="884">
        <v>43301</v>
      </c>
      <c r="B1148" s="240" t="str">
        <f>TiposLancamentos!B19</f>
        <v>Restaurantes</v>
      </c>
      <c r="C1148" s="878" t="s">
        <v>19083</v>
      </c>
      <c r="D1148" s="63"/>
      <c r="E1148" s="231">
        <v>51.8</v>
      </c>
      <c r="F1148" s="899"/>
      <c r="G1148" s="1152" t="s">
        <v>9</v>
      </c>
    </row>
    <row r="1149" spans="1:7">
      <c r="A1149" s="884">
        <v>43302</v>
      </c>
      <c r="B1149" s="240" t="str">
        <f>TiposLancamentos!B70</f>
        <v>Vestuário</v>
      </c>
      <c r="C1149" s="878" t="s">
        <v>19084</v>
      </c>
      <c r="D1149" s="63"/>
      <c r="E1149" s="231">
        <v>199.9</v>
      </c>
      <c r="F1149" s="899"/>
      <c r="G1149" s="1152" t="s">
        <v>9</v>
      </c>
    </row>
    <row r="1150" spans="1:7">
      <c r="A1150" s="884">
        <v>43302</v>
      </c>
      <c r="B1150" s="240" t="str">
        <f>TiposLancamentos!B71</f>
        <v>Itens Pessoais</v>
      </c>
      <c r="C1150" s="878" t="s">
        <v>19085</v>
      </c>
      <c r="D1150" s="63"/>
      <c r="E1150" s="231">
        <v>289</v>
      </c>
      <c r="F1150" s="899"/>
      <c r="G1150" s="1152" t="s">
        <v>9</v>
      </c>
    </row>
    <row r="1151" spans="1:7">
      <c r="A1151" s="884">
        <v>43302</v>
      </c>
      <c r="B1151" s="240" t="str">
        <f>TiposLancamentos!B5</f>
        <v>Supermercado</v>
      </c>
      <c r="C1151" s="878" t="s">
        <v>6234</v>
      </c>
      <c r="D1151" s="63"/>
      <c r="E1151" s="231">
        <v>40.26</v>
      </c>
      <c r="F1151" s="899"/>
      <c r="G1151" s="1152" t="s">
        <v>9</v>
      </c>
    </row>
    <row r="1152" spans="1:7">
      <c r="A1152" s="884">
        <v>43303</v>
      </c>
      <c r="B1152" s="240" t="str">
        <f>TiposLancamentos!B19</f>
        <v>Restaurantes</v>
      </c>
      <c r="C1152" s="878" t="s">
        <v>19086</v>
      </c>
      <c r="D1152" s="63"/>
      <c r="E1152" s="231">
        <v>36.520000000000003</v>
      </c>
      <c r="F1152" s="899"/>
      <c r="G1152" s="1152" t="s">
        <v>9</v>
      </c>
    </row>
    <row r="1153" spans="1:7">
      <c r="A1153" s="884">
        <v>43303</v>
      </c>
      <c r="B1153" s="240" t="str">
        <f>TiposLancamentos!B45</f>
        <v>Online Services</v>
      </c>
      <c r="C1153" s="878" t="s">
        <v>19027</v>
      </c>
      <c r="D1153" s="63"/>
      <c r="E1153" s="231">
        <v>33</v>
      </c>
      <c r="F1153" s="899"/>
      <c r="G1153" s="1152" t="s">
        <v>9</v>
      </c>
    </row>
    <row r="1154" spans="1:7">
      <c r="A1154" s="884">
        <v>43303</v>
      </c>
      <c r="B1154" s="240" t="str">
        <f>TiposLancamentos!B19</f>
        <v>Restaurantes</v>
      </c>
      <c r="C1154" s="878" t="s">
        <v>7068</v>
      </c>
      <c r="D1154" s="63"/>
      <c r="E1154" s="231">
        <v>26.3</v>
      </c>
      <c r="F1154" s="899"/>
      <c r="G1154" s="1152" t="s">
        <v>9</v>
      </c>
    </row>
    <row r="1155" spans="1:7">
      <c r="A1155" s="884">
        <v>43304</v>
      </c>
      <c r="B1155" s="240" t="str">
        <f>TiposLancamentos!B5</f>
        <v>Supermercado</v>
      </c>
      <c r="C1155" s="878" t="s">
        <v>6234</v>
      </c>
      <c r="D1155" s="63"/>
      <c r="E1155" s="231">
        <v>33.86</v>
      </c>
      <c r="F1155" s="899"/>
      <c r="G1155" s="1152" t="s">
        <v>9</v>
      </c>
    </row>
    <row r="1156" spans="1:7">
      <c r="A1156" s="1272">
        <v>43304</v>
      </c>
      <c r="B1156" s="279" t="str">
        <f>TiposLancamentos!B16</f>
        <v>Cristiane</v>
      </c>
      <c r="C1156" s="280" t="s">
        <v>19087</v>
      </c>
      <c r="D1156" s="281"/>
      <c r="E1156" s="1293">
        <v>118.46</v>
      </c>
      <c r="F1156" s="1271"/>
      <c r="G1156" s="1152" t="s">
        <v>9</v>
      </c>
    </row>
    <row r="1157" spans="1:7">
      <c r="A1157" s="1272">
        <v>43304</v>
      </c>
      <c r="B1157" s="279" t="str">
        <f>TiposLancamentos!B16</f>
        <v>Cristiane</v>
      </c>
      <c r="C1157" s="280" t="s">
        <v>19088</v>
      </c>
      <c r="D1157" s="281"/>
      <c r="E1157" s="1293">
        <v>192.69</v>
      </c>
      <c r="F1157" s="1271"/>
      <c r="G1157" s="1152" t="s">
        <v>9</v>
      </c>
    </row>
    <row r="1158" spans="1:7">
      <c r="A1158" s="884">
        <v>43304</v>
      </c>
      <c r="B1158" s="240" t="str">
        <f>TiposLancamentos!B19</f>
        <v>Restaurantes</v>
      </c>
      <c r="C1158" s="878" t="s">
        <v>19089</v>
      </c>
      <c r="D1158" s="63"/>
      <c r="E1158" s="231">
        <v>39.5</v>
      </c>
      <c r="F1158" s="899"/>
      <c r="G1158" s="1152" t="s">
        <v>9</v>
      </c>
    </row>
    <row r="1159" spans="1:7">
      <c r="A1159" s="884">
        <v>43305</v>
      </c>
      <c r="B1159" s="240" t="str">
        <f>TiposLancamentos!B73</f>
        <v>Cursos</v>
      </c>
      <c r="C1159" s="878" t="s">
        <v>19090</v>
      </c>
      <c r="D1159" s="63"/>
      <c r="E1159" s="231">
        <v>51</v>
      </c>
      <c r="F1159" s="899"/>
      <c r="G1159" s="1152" t="s">
        <v>9</v>
      </c>
    </row>
    <row r="1160" spans="1:7">
      <c r="A1160" s="1226">
        <v>43305</v>
      </c>
      <c r="B1160" s="1218" t="str">
        <f>TiposLancamentos!B48</f>
        <v>Baralhos e Oráculos</v>
      </c>
      <c r="C1160" s="1219" t="s">
        <v>19091</v>
      </c>
      <c r="D1160" s="1220"/>
      <c r="E1160" s="1221">
        <v>59.9</v>
      </c>
      <c r="F1160" s="1227"/>
      <c r="G1160" s="1152" t="s">
        <v>9</v>
      </c>
    </row>
    <row r="1161" spans="1:7">
      <c r="A1161" s="1228">
        <v>43305</v>
      </c>
      <c r="B1161" s="1222" t="str">
        <f>TiposLancamentos!B71</f>
        <v>Itens Pessoais</v>
      </c>
      <c r="C1161" s="1223" t="s">
        <v>19092</v>
      </c>
      <c r="D1161" s="1224"/>
      <c r="E1161" s="1225">
        <v>59.9</v>
      </c>
      <c r="F1161" s="1229">
        <f>SUM(E1160:E1161)</f>
        <v>119.8</v>
      </c>
      <c r="G1161" s="1152" t="s">
        <v>9</v>
      </c>
    </row>
    <row r="1162" spans="1:7">
      <c r="A1162" s="884">
        <v>43305</v>
      </c>
      <c r="B1162" s="240" t="str">
        <f>TiposLancamentos!B19</f>
        <v>Restaurantes</v>
      </c>
      <c r="C1162" s="878" t="s">
        <v>7068</v>
      </c>
      <c r="D1162" s="63"/>
      <c r="E1162" s="231">
        <v>24.79</v>
      </c>
      <c r="F1162" s="899"/>
      <c r="G1162" s="1152" t="s">
        <v>9</v>
      </c>
    </row>
    <row r="1163" spans="1:7">
      <c r="A1163" s="884">
        <v>43306</v>
      </c>
      <c r="B1163" s="240" t="str">
        <f>TiposLancamentos!B19</f>
        <v>Restaurantes</v>
      </c>
      <c r="C1163" s="878" t="s">
        <v>19093</v>
      </c>
      <c r="D1163" s="63"/>
      <c r="E1163" s="231">
        <v>25.9</v>
      </c>
      <c r="F1163" s="899"/>
      <c r="G1163" s="1152" t="s">
        <v>9</v>
      </c>
    </row>
    <row r="1164" spans="1:7">
      <c r="A1164" s="884">
        <v>43307</v>
      </c>
      <c r="B1164" s="240" t="str">
        <f>TiposLancamentos!B19</f>
        <v>Restaurantes</v>
      </c>
      <c r="C1164" s="878" t="s">
        <v>7068</v>
      </c>
      <c r="D1164" s="63"/>
      <c r="E1164" s="231">
        <v>29.5</v>
      </c>
      <c r="F1164" s="899"/>
      <c r="G1164" s="1152" t="s">
        <v>9</v>
      </c>
    </row>
    <row r="1165" spans="1:7">
      <c r="A1165" s="1272">
        <v>43307</v>
      </c>
      <c r="B1165" s="279" t="str">
        <f>TiposLancamentos!B34</f>
        <v>Seguros</v>
      </c>
      <c r="C1165" s="280" t="s">
        <v>19094</v>
      </c>
      <c r="D1165" s="281"/>
      <c r="E1165" s="1293">
        <v>391.98</v>
      </c>
      <c r="F1165" s="1271">
        <v>1567.92</v>
      </c>
      <c r="G1165" s="1152" t="s">
        <v>9</v>
      </c>
    </row>
    <row r="1166" spans="1:7">
      <c r="A1166" s="884">
        <v>43307</v>
      </c>
      <c r="B1166" s="240" t="str">
        <f>TiposLancamentos!B31</f>
        <v>Action Figures</v>
      </c>
      <c r="C1166" s="878" t="s">
        <v>19095</v>
      </c>
      <c r="D1166" s="63"/>
      <c r="E1166" s="231">
        <f>F1166/3</f>
        <v>138.62</v>
      </c>
      <c r="F1166" s="899">
        <v>415.86</v>
      </c>
      <c r="G1166" s="1152" t="s">
        <v>9</v>
      </c>
    </row>
    <row r="1167" spans="1:7">
      <c r="A1167" s="884">
        <v>43307</v>
      </c>
      <c r="B1167" s="240" t="str">
        <f>TiposLancamentos!B26</f>
        <v>LIVROS</v>
      </c>
      <c r="C1167" s="878" t="s">
        <v>19096</v>
      </c>
      <c r="D1167" s="63"/>
      <c r="E1167" s="231">
        <v>65.7</v>
      </c>
      <c r="F1167" s="899"/>
      <c r="G1167" s="1152" t="s">
        <v>9</v>
      </c>
    </row>
    <row r="1168" spans="1:7">
      <c r="A1168" s="884">
        <v>43307</v>
      </c>
      <c r="B1168" s="240" t="str">
        <f>TiposLancamentos!B19</f>
        <v>Restaurantes</v>
      </c>
      <c r="C1168" s="878" t="s">
        <v>18571</v>
      </c>
      <c r="D1168" s="63"/>
      <c r="E1168" s="231">
        <v>12.91</v>
      </c>
      <c r="F1168" s="899"/>
      <c r="G1168" s="1152" t="s">
        <v>9</v>
      </c>
    </row>
    <row r="1169" spans="1:7">
      <c r="A1169" s="1272">
        <v>43307</v>
      </c>
      <c r="B1169" s="279" t="str">
        <f>TiposLancamentos!B5</f>
        <v>Supermercado</v>
      </c>
      <c r="C1169" s="280" t="s">
        <v>6234</v>
      </c>
      <c r="D1169" s="281"/>
      <c r="E1169" s="1293">
        <v>124.68</v>
      </c>
      <c r="F1169" s="1271"/>
      <c r="G1169" s="1152" t="s">
        <v>9</v>
      </c>
    </row>
    <row r="1170" spans="1:7">
      <c r="A1170" s="884">
        <v>43307</v>
      </c>
      <c r="B1170" s="240" t="str">
        <f>TiposLancamentos!B19</f>
        <v>Restaurantes</v>
      </c>
      <c r="C1170" s="878" t="s">
        <v>19097</v>
      </c>
      <c r="D1170" s="63"/>
      <c r="E1170" s="231">
        <v>180.01</v>
      </c>
      <c r="F1170" s="899"/>
      <c r="G1170" s="1152" t="s">
        <v>9</v>
      </c>
    </row>
    <row r="1171" spans="1:7">
      <c r="A1171" s="884">
        <v>43307</v>
      </c>
      <c r="B1171" s="240" t="str">
        <f>TiposLancamentos!B16</f>
        <v>Cristiane</v>
      </c>
      <c r="C1171" s="878" t="s">
        <v>19098</v>
      </c>
      <c r="D1171" s="63"/>
      <c r="E1171" s="231">
        <v>60.25</v>
      </c>
      <c r="F1171" s="899"/>
      <c r="G1171" s="1152" t="s">
        <v>9</v>
      </c>
    </row>
    <row r="1172" spans="1:7">
      <c r="A1172" s="1249">
        <v>43278</v>
      </c>
      <c r="B1172" s="1218" t="str">
        <f>TiposLancamentos!B31</f>
        <v>Action Figures</v>
      </c>
      <c r="C1172" s="1219" t="s">
        <v>19099</v>
      </c>
      <c r="D1172" s="1220"/>
      <c r="E1172" s="1221">
        <v>199.99</v>
      </c>
      <c r="F1172" s="1227"/>
      <c r="G1172" s="1152" t="s">
        <v>9</v>
      </c>
    </row>
    <row r="1173" spans="1:7">
      <c r="A1173" s="1264">
        <v>43278</v>
      </c>
      <c r="B1173" s="1259" t="str">
        <f>TiposLancamentos!B70</f>
        <v>Vestuário</v>
      </c>
      <c r="C1173" s="1260" t="s">
        <v>19100</v>
      </c>
      <c r="D1173" s="1261"/>
      <c r="E1173" s="1262">
        <v>59.99</v>
      </c>
      <c r="F1173" s="1263"/>
      <c r="G1173" s="1152" t="s">
        <v>9</v>
      </c>
    </row>
    <row r="1174" spans="1:7">
      <c r="A1174" s="1253">
        <v>43278</v>
      </c>
      <c r="B1174" s="1222" t="str">
        <f>TiposLancamentos!B60</f>
        <v>Correio</v>
      </c>
      <c r="C1174" s="1223" t="s">
        <v>19101</v>
      </c>
      <c r="D1174" s="1224"/>
      <c r="E1174" s="1225">
        <v>15.88</v>
      </c>
      <c r="F1174" s="1229">
        <f>SUM(E1172:E1174)</f>
        <v>275.86</v>
      </c>
      <c r="G1174" s="1152" t="s">
        <v>9</v>
      </c>
    </row>
    <row r="1175" spans="1:7">
      <c r="A1175" s="884">
        <v>43308</v>
      </c>
      <c r="B1175" s="240" t="str">
        <f>TiposLancamentos!B19</f>
        <v>Restaurantes</v>
      </c>
      <c r="C1175" s="878" t="s">
        <v>18918</v>
      </c>
      <c r="D1175" s="63"/>
      <c r="E1175" s="231">
        <v>12.91</v>
      </c>
      <c r="F1175" s="899"/>
      <c r="G1175" s="1152" t="s">
        <v>9</v>
      </c>
    </row>
    <row r="1176" spans="1:7">
      <c r="A1176" s="884">
        <v>43308</v>
      </c>
      <c r="B1176" s="240" t="str">
        <f>TiposLancamentos!B19</f>
        <v>Restaurantes</v>
      </c>
      <c r="C1176" s="878" t="s">
        <v>7000</v>
      </c>
      <c r="D1176" s="63"/>
      <c r="E1176" s="231">
        <v>9.5</v>
      </c>
      <c r="F1176" s="899"/>
      <c r="G1176" s="1152" t="s">
        <v>9</v>
      </c>
    </row>
    <row r="1177" spans="1:7">
      <c r="A1177" s="1272">
        <v>43308</v>
      </c>
      <c r="B1177" s="279" t="str">
        <f>TiposLancamentos!B5</f>
        <v>Supermercado</v>
      </c>
      <c r="C1177" s="280" t="s">
        <v>19102</v>
      </c>
      <c r="D1177" s="281"/>
      <c r="E1177" s="1293">
        <v>63.9</v>
      </c>
      <c r="F1177" s="1271"/>
      <c r="G1177" s="1152" t="s">
        <v>9</v>
      </c>
    </row>
    <row r="1178" spans="1:7">
      <c r="A1178" s="884">
        <v>43308</v>
      </c>
      <c r="B1178" s="240" t="str">
        <f>TiposLancamentos!B70</f>
        <v>Vestuário</v>
      </c>
      <c r="C1178" s="878" t="s">
        <v>19103</v>
      </c>
      <c r="D1178" s="63"/>
      <c r="E1178" s="231">
        <f>F1178/2</f>
        <v>199.95</v>
      </c>
      <c r="F1178" s="899">
        <v>399.9</v>
      </c>
      <c r="G1178" s="1152" t="s">
        <v>9</v>
      </c>
    </row>
    <row r="1179" spans="1:7">
      <c r="A1179" s="884">
        <v>43309</v>
      </c>
      <c r="B1179" s="240" t="str">
        <f>TiposLancamentos!B45</f>
        <v>Online Services</v>
      </c>
      <c r="C1179" s="878" t="s">
        <v>1894</v>
      </c>
      <c r="D1179" s="63"/>
      <c r="E1179" s="231">
        <v>27.9</v>
      </c>
      <c r="F1179" s="899"/>
      <c r="G1179" s="1152" t="s">
        <v>9</v>
      </c>
    </row>
    <row r="1180" spans="1:7">
      <c r="A1180" s="884">
        <v>43309</v>
      </c>
      <c r="B1180" s="240" t="str">
        <f>B1179</f>
        <v>Online Services</v>
      </c>
      <c r="C1180" s="878" t="s">
        <v>1895</v>
      </c>
      <c r="D1180" s="63"/>
      <c r="E1180" s="231">
        <v>26.9</v>
      </c>
      <c r="F1180" s="899"/>
      <c r="G1180" s="1152" t="s">
        <v>9</v>
      </c>
    </row>
    <row r="1181" spans="1:7">
      <c r="A1181" s="884">
        <v>43309</v>
      </c>
      <c r="B1181" s="240" t="str">
        <f>TiposLancamentos!B19</f>
        <v>Restaurantes</v>
      </c>
      <c r="C1181" s="878" t="s">
        <v>19104</v>
      </c>
      <c r="D1181" s="63"/>
      <c r="E1181" s="231">
        <v>153.32</v>
      </c>
      <c r="F1181" s="899"/>
      <c r="G1181" s="1152" t="s">
        <v>9</v>
      </c>
    </row>
    <row r="1182" spans="1:7">
      <c r="A1182" s="884">
        <v>43309</v>
      </c>
      <c r="B1182" s="240" t="str">
        <f>TiposLancamentos!B5</f>
        <v>Supermercado</v>
      </c>
      <c r="C1182" s="878" t="s">
        <v>7068</v>
      </c>
      <c r="D1182" s="63"/>
      <c r="E1182" s="231">
        <v>57.91</v>
      </c>
      <c r="F1182" s="899"/>
      <c r="G1182" s="1152" t="s">
        <v>9</v>
      </c>
    </row>
    <row r="1183" spans="1:7">
      <c r="A1183" s="884">
        <v>43309</v>
      </c>
      <c r="B1183" s="240" t="str">
        <f>TiposLancamentos!B5</f>
        <v>Supermercado</v>
      </c>
      <c r="C1183" s="878" t="s">
        <v>5844</v>
      </c>
      <c r="D1183" s="63"/>
      <c r="E1183" s="231">
        <v>63.29</v>
      </c>
      <c r="F1183" s="899"/>
      <c r="G1183" s="1152" t="s">
        <v>9</v>
      </c>
    </row>
    <row r="1184" spans="1:7">
      <c r="A1184" s="1272">
        <v>43311</v>
      </c>
      <c r="B1184" s="279" t="str">
        <f>TiposLancamentos!B16</f>
        <v>Cristiane</v>
      </c>
      <c r="C1184" s="280" t="s">
        <v>19105</v>
      </c>
      <c r="D1184" s="281"/>
      <c r="E1184" s="1293">
        <v>174.97</v>
      </c>
      <c r="F1184" s="1271"/>
      <c r="G1184" s="1152" t="s">
        <v>9</v>
      </c>
    </row>
    <row r="1185" spans="1:7">
      <c r="A1185" s="1272">
        <v>43311</v>
      </c>
      <c r="B1185" s="279" t="str">
        <f>TiposLancamentos!B17</f>
        <v>GATO</v>
      </c>
      <c r="C1185" s="280" t="s">
        <v>19106</v>
      </c>
      <c r="D1185" s="281"/>
      <c r="E1185" s="1293">
        <v>219.8</v>
      </c>
      <c r="F1185" s="1271"/>
      <c r="G1185" s="1152" t="s">
        <v>9</v>
      </c>
    </row>
    <row r="1186" spans="1:7">
      <c r="A1186" s="884">
        <v>43312</v>
      </c>
      <c r="B1186" s="240" t="str">
        <f>TiposLancamentos!B4</f>
        <v>Taxas Bancarias</v>
      </c>
      <c r="C1186" s="878" t="s">
        <v>19032</v>
      </c>
      <c r="D1186" s="63"/>
      <c r="E1186" s="231">
        <v>11.96</v>
      </c>
      <c r="F1186" s="899"/>
      <c r="G1186" s="1152" t="s">
        <v>9</v>
      </c>
    </row>
    <row r="1187" spans="1:7" ht="14.25" thickBot="1">
      <c r="A1187" s="885">
        <v>43312</v>
      </c>
      <c r="B1187" s="1232" t="str">
        <f>TiposLancamentos!B71</f>
        <v>Itens Pessoais</v>
      </c>
      <c r="C1187" s="1120" t="s">
        <v>19107</v>
      </c>
      <c r="D1187" s="903"/>
      <c r="E1187" s="928">
        <v>211.19</v>
      </c>
      <c r="F1187" s="905" t="s">
        <v>19108</v>
      </c>
      <c r="G1187" s="1094" t="s">
        <v>11</v>
      </c>
    </row>
    <row r="1188" spans="1:7">
      <c r="A1188" s="884"/>
      <c r="B1188" s="240"/>
      <c r="C1188" s="878" t="s">
        <v>13819</v>
      </c>
      <c r="D1188" s="63"/>
      <c r="E1188" s="231"/>
      <c r="F1188" s="899">
        <f>SUM(E1061:E1143)</f>
        <v>8519.7999999999993</v>
      </c>
      <c r="G1188" s="3"/>
    </row>
    <row r="1189" spans="1:7">
      <c r="A1189" s="884">
        <v>43313</v>
      </c>
      <c r="B1189" s="240" t="str">
        <f>TiposLancamentos!B15</f>
        <v>Cartões de Crédito</v>
      </c>
      <c r="C1189" s="878" t="s">
        <v>1874</v>
      </c>
      <c r="D1189" s="63">
        <v>8519.7999999999993</v>
      </c>
      <c r="E1189" s="231"/>
      <c r="F1189" s="899">
        <f>F1188-F1092</f>
        <v>-370.81999999999971</v>
      </c>
      <c r="G1189" s="1152" t="s">
        <v>9</v>
      </c>
    </row>
    <row r="1190" spans="1:7">
      <c r="A1190" s="884">
        <v>43313</v>
      </c>
      <c r="B1190" s="240" t="str">
        <f>TiposLancamentos!B48</f>
        <v>Baralhos e Oráculos</v>
      </c>
      <c r="C1190" s="878" t="s">
        <v>19109</v>
      </c>
      <c r="D1190" s="63"/>
      <c r="E1190" s="231">
        <f>F1190/3</f>
        <v>148</v>
      </c>
      <c r="F1190" s="899">
        <v>444</v>
      </c>
      <c r="G1190" s="1152" t="s">
        <v>9</v>
      </c>
    </row>
    <row r="1191" spans="1:7">
      <c r="A1191" s="884">
        <v>43313</v>
      </c>
      <c r="B1191" s="240" t="str">
        <f>TiposLancamentos!B19</f>
        <v>Restaurantes</v>
      </c>
      <c r="C1191" s="878" t="s">
        <v>19110</v>
      </c>
      <c r="D1191" s="63"/>
      <c r="E1191" s="231">
        <v>69.77</v>
      </c>
      <c r="F1191" s="899"/>
      <c r="G1191" s="1152" t="s">
        <v>9</v>
      </c>
    </row>
    <row r="1192" spans="1:7">
      <c r="A1192" s="1272">
        <v>43314</v>
      </c>
      <c r="B1192" s="279" t="str">
        <f>TiposLancamentos!B16</f>
        <v>Cristiane</v>
      </c>
      <c r="C1192" s="280" t="s">
        <v>19111</v>
      </c>
      <c r="D1192" s="281"/>
      <c r="E1192" s="1293">
        <v>129</v>
      </c>
      <c r="F1192" s="1271"/>
      <c r="G1192" s="1152" t="s">
        <v>9</v>
      </c>
    </row>
    <row r="1193" spans="1:7">
      <c r="A1193" s="1272">
        <v>43314</v>
      </c>
      <c r="B1193" s="279" t="str">
        <f>TiposLancamentos!B16</f>
        <v>Cristiane</v>
      </c>
      <c r="C1193" s="280" t="s">
        <v>19112</v>
      </c>
      <c r="D1193" s="281"/>
      <c r="E1193" s="1293">
        <v>83.7</v>
      </c>
      <c r="F1193" s="1271"/>
      <c r="G1193" s="1152" t="s">
        <v>9</v>
      </c>
    </row>
    <row r="1194" spans="1:7">
      <c r="A1194" s="884">
        <v>43314</v>
      </c>
      <c r="B1194" s="240" t="str">
        <f>TiposLancamentos!B45</f>
        <v>Online Services</v>
      </c>
      <c r="C1194" s="878" t="s">
        <v>18771</v>
      </c>
      <c r="D1194" s="63"/>
      <c r="E1194" s="231">
        <v>15</v>
      </c>
      <c r="F1194" s="899"/>
      <c r="G1194" s="1152" t="s">
        <v>9</v>
      </c>
    </row>
    <row r="1195" spans="1:7">
      <c r="A1195" s="1272">
        <v>43314</v>
      </c>
      <c r="B1195" s="279" t="str">
        <f>TiposLancamentos!B16</f>
        <v>Cristiane</v>
      </c>
      <c r="C1195" s="280" t="s">
        <v>19113</v>
      </c>
      <c r="D1195" s="281"/>
      <c r="E1195" s="1293">
        <v>190</v>
      </c>
      <c r="F1195" s="1271"/>
      <c r="G1195" s="1152" t="s">
        <v>9</v>
      </c>
    </row>
    <row r="1196" spans="1:7">
      <c r="A1196" s="884">
        <v>43315</v>
      </c>
      <c r="B1196" s="240" t="str">
        <f>TiposLancamentos!B88</f>
        <v>Ford Ecosport XLT</v>
      </c>
      <c r="C1196" s="878" t="s">
        <v>19114</v>
      </c>
      <c r="D1196" s="63"/>
      <c r="E1196" s="231">
        <f>F1196/6</f>
        <v>525</v>
      </c>
      <c r="F1196" s="899">
        <v>3150</v>
      </c>
      <c r="G1196" s="1152" t="s">
        <v>9</v>
      </c>
    </row>
    <row r="1197" spans="1:7">
      <c r="A1197" s="884">
        <v>43315</v>
      </c>
      <c r="B1197" s="240" t="str">
        <f>TiposLancamentos!B44</f>
        <v>Academia</v>
      </c>
      <c r="C1197" s="878" t="s">
        <v>19115</v>
      </c>
      <c r="D1197" s="63"/>
      <c r="E1197" s="231">
        <f>F1197/4</f>
        <v>160.19999999999999</v>
      </c>
      <c r="F1197" s="899">
        <v>640.79999999999995</v>
      </c>
      <c r="G1197" s="1152" t="s">
        <v>9</v>
      </c>
    </row>
    <row r="1198" spans="1:7">
      <c r="A1198" s="884">
        <v>43315</v>
      </c>
      <c r="B1198" s="240" t="str">
        <f>TiposLancamentos!B57</f>
        <v>Informática</v>
      </c>
      <c r="C1198" s="878" t="s">
        <v>19116</v>
      </c>
      <c r="D1198" s="63"/>
      <c r="E1198" s="231">
        <v>104.18</v>
      </c>
      <c r="F1198" s="899"/>
      <c r="G1198" s="1152" t="s">
        <v>9</v>
      </c>
    </row>
    <row r="1199" spans="1:7">
      <c r="A1199" s="1272">
        <v>43315</v>
      </c>
      <c r="B1199" s="279" t="str">
        <f>TiposLancamentos!B16</f>
        <v>Cristiane</v>
      </c>
      <c r="C1199" s="280" t="s">
        <v>19117</v>
      </c>
      <c r="D1199" s="281"/>
      <c r="E1199" s="1293">
        <v>65.5</v>
      </c>
      <c r="F1199" s="1271"/>
      <c r="G1199" s="1152" t="s">
        <v>9</v>
      </c>
    </row>
    <row r="1200" spans="1:7">
      <c r="A1200" s="884">
        <v>43315</v>
      </c>
      <c r="B1200" s="240" t="str">
        <f>TiposLancamentos!B19</f>
        <v>Restaurantes</v>
      </c>
      <c r="C1200" s="878" t="s">
        <v>19118</v>
      </c>
      <c r="D1200" s="63"/>
      <c r="E1200" s="231">
        <v>47</v>
      </c>
      <c r="F1200" s="899"/>
      <c r="G1200" s="1152" t="s">
        <v>9</v>
      </c>
    </row>
    <row r="1201" spans="1:7">
      <c r="A1201" s="884">
        <v>43316</v>
      </c>
      <c r="B1201" s="240" t="str">
        <f>TiposLancamentos!B16</f>
        <v>Cristiane</v>
      </c>
      <c r="C1201" s="878" t="s">
        <v>19119</v>
      </c>
      <c r="D1201" s="63"/>
      <c r="E1201" s="231">
        <v>233</v>
      </c>
      <c r="F1201" s="899"/>
      <c r="G1201" s="1152" t="s">
        <v>9</v>
      </c>
    </row>
    <row r="1202" spans="1:7">
      <c r="A1202" s="884">
        <v>43316</v>
      </c>
      <c r="B1202" s="240" t="str">
        <f>TiposLancamentos!B19</f>
        <v>Restaurantes</v>
      </c>
      <c r="C1202" s="878" t="s">
        <v>19120</v>
      </c>
      <c r="D1202" s="63"/>
      <c r="E1202" s="231">
        <v>115.29</v>
      </c>
      <c r="F1202" s="899"/>
      <c r="G1202" s="1152" t="s">
        <v>9</v>
      </c>
    </row>
    <row r="1203" spans="1:7">
      <c r="A1203" s="884">
        <v>43316</v>
      </c>
      <c r="B1203" s="240" t="str">
        <f>TiposLancamentos!B5</f>
        <v>Supermercado</v>
      </c>
      <c r="C1203" s="878" t="s">
        <v>19121</v>
      </c>
      <c r="D1203" s="63"/>
      <c r="E1203" s="231">
        <v>109.95</v>
      </c>
      <c r="F1203" s="899"/>
      <c r="G1203" s="1152" t="s">
        <v>9</v>
      </c>
    </row>
    <row r="1204" spans="1:7">
      <c r="A1204" s="884">
        <v>43317</v>
      </c>
      <c r="B1204" s="240" t="str">
        <f>TiposLancamentos!B5</f>
        <v>Supermercado</v>
      </c>
      <c r="C1204" s="878" t="s">
        <v>7068</v>
      </c>
      <c r="D1204" s="63"/>
      <c r="E1204" s="231">
        <v>35.409999999999997</v>
      </c>
      <c r="F1204" s="899"/>
      <c r="G1204" s="1152" t="s">
        <v>9</v>
      </c>
    </row>
    <row r="1205" spans="1:7">
      <c r="A1205" s="884">
        <v>43319</v>
      </c>
      <c r="B1205" s="240" t="str">
        <f>TiposLancamentos!B5</f>
        <v>Supermercado</v>
      </c>
      <c r="C1205" s="878" t="s">
        <v>6234</v>
      </c>
      <c r="D1205" s="63"/>
      <c r="E1205" s="231">
        <v>74.400000000000006</v>
      </c>
      <c r="F1205" s="899"/>
      <c r="G1205" s="1152" t="s">
        <v>9</v>
      </c>
    </row>
    <row r="1206" spans="1:7">
      <c r="A1206" s="1272">
        <v>43319</v>
      </c>
      <c r="B1206" s="279" t="str">
        <f>TiposLancamentos!B16</f>
        <v>Cristiane</v>
      </c>
      <c r="C1206" s="280" t="s">
        <v>19122</v>
      </c>
      <c r="D1206" s="281"/>
      <c r="E1206" s="1293">
        <v>188.95</v>
      </c>
      <c r="F1206" s="1271"/>
      <c r="G1206" s="1152" t="s">
        <v>9</v>
      </c>
    </row>
    <row r="1207" spans="1:7">
      <c r="A1207" s="1272">
        <v>43319</v>
      </c>
      <c r="B1207" s="279" t="str">
        <f>TiposLancamentos!B16</f>
        <v>Cristiane</v>
      </c>
      <c r="C1207" s="280" t="s">
        <v>19123</v>
      </c>
      <c r="D1207" s="281"/>
      <c r="E1207" s="1293">
        <v>69.260000000000005</v>
      </c>
      <c r="F1207" s="1271"/>
      <c r="G1207" s="1152" t="s">
        <v>9</v>
      </c>
    </row>
    <row r="1208" spans="1:7">
      <c r="A1208" s="1272">
        <v>43319</v>
      </c>
      <c r="B1208" s="279" t="str">
        <f>TiposLancamentos!B16</f>
        <v>Cristiane</v>
      </c>
      <c r="C1208" s="280" t="s">
        <v>19124</v>
      </c>
      <c r="D1208" s="281"/>
      <c r="E1208" s="1293">
        <v>139.99</v>
      </c>
      <c r="F1208" s="1271"/>
      <c r="G1208" s="1152" t="s">
        <v>9</v>
      </c>
    </row>
    <row r="1209" spans="1:7">
      <c r="A1209" s="884">
        <v>43320</v>
      </c>
      <c r="B1209" s="240" t="str">
        <f>TiposLancamentos!B56</f>
        <v>Farmácia</v>
      </c>
      <c r="C1209" s="878" t="s">
        <v>19125</v>
      </c>
      <c r="D1209" s="63"/>
      <c r="E1209" s="231">
        <v>25.66</v>
      </c>
      <c r="F1209" s="899"/>
      <c r="G1209" s="1152" t="s">
        <v>9</v>
      </c>
    </row>
    <row r="1210" spans="1:7">
      <c r="A1210" s="884">
        <v>43320</v>
      </c>
      <c r="B1210" s="240" t="str">
        <f>TiposLancamentos!B19</f>
        <v>Restaurantes</v>
      </c>
      <c r="C1210" s="878" t="s">
        <v>19126</v>
      </c>
      <c r="D1210" s="63"/>
      <c r="E1210" s="231">
        <v>60.4</v>
      </c>
      <c r="F1210" s="899"/>
      <c r="G1210" s="1152" t="s">
        <v>9</v>
      </c>
    </row>
    <row r="1211" spans="1:7">
      <c r="A1211" s="884">
        <v>43321</v>
      </c>
      <c r="B1211" s="240" t="str">
        <f>TiposLancamentos!B5</f>
        <v>Supermercado</v>
      </c>
      <c r="C1211" s="878" t="s">
        <v>16844</v>
      </c>
      <c r="D1211" s="63"/>
      <c r="E1211" s="231">
        <v>28.7</v>
      </c>
      <c r="F1211" s="899"/>
      <c r="G1211" s="1152" t="s">
        <v>9</v>
      </c>
    </row>
    <row r="1212" spans="1:7">
      <c r="A1212" s="884">
        <v>43321</v>
      </c>
      <c r="B1212" s="240" t="str">
        <f>TiposLancamentos!B64</f>
        <v>Viagens</v>
      </c>
      <c r="C1212" s="878" t="s">
        <v>19127</v>
      </c>
      <c r="D1212" s="63"/>
      <c r="E1212" s="231">
        <v>27.5</v>
      </c>
      <c r="F1212" s="899"/>
      <c r="G1212" s="1152" t="s">
        <v>9</v>
      </c>
    </row>
    <row r="1213" spans="1:7">
      <c r="A1213" s="1272">
        <v>43322</v>
      </c>
      <c r="B1213" s="279" t="str">
        <f>TiposLancamentos!B16</f>
        <v>Cristiane</v>
      </c>
      <c r="C1213" s="280" t="s">
        <v>19128</v>
      </c>
      <c r="D1213" s="281"/>
      <c r="E1213" s="1293">
        <v>69.900000000000006</v>
      </c>
      <c r="F1213" s="1271"/>
      <c r="G1213" s="1152" t="s">
        <v>9</v>
      </c>
    </row>
    <row r="1214" spans="1:7">
      <c r="A1214" s="884">
        <v>43322</v>
      </c>
      <c r="B1214" s="240" t="str">
        <f>TiposLancamentos!B5</f>
        <v>Supermercado</v>
      </c>
      <c r="C1214" s="878" t="s">
        <v>5844</v>
      </c>
      <c r="D1214" s="63"/>
      <c r="E1214" s="231">
        <v>51.15</v>
      </c>
      <c r="F1214" s="899"/>
      <c r="G1214" s="1152" t="s">
        <v>9</v>
      </c>
    </row>
    <row r="1215" spans="1:7">
      <c r="A1215" s="1272">
        <v>43323</v>
      </c>
      <c r="B1215" s="279" t="str">
        <f>TiposLancamentos!B16</f>
        <v>Cristiane</v>
      </c>
      <c r="C1215" s="280" t="s">
        <v>19129</v>
      </c>
      <c r="D1215" s="281"/>
      <c r="E1215" s="1293">
        <v>109.8</v>
      </c>
      <c r="F1215" s="1271"/>
      <c r="G1215" s="1152" t="s">
        <v>9</v>
      </c>
    </row>
    <row r="1216" spans="1:7">
      <c r="A1216" s="884">
        <v>43323</v>
      </c>
      <c r="B1216" s="240" t="str">
        <f>TiposLancamentos!B19</f>
        <v>Restaurantes</v>
      </c>
      <c r="C1216" s="878" t="s">
        <v>19130</v>
      </c>
      <c r="D1216" s="63"/>
      <c r="E1216" s="231">
        <v>53.8</v>
      </c>
      <c r="F1216" s="899"/>
      <c r="G1216" s="1152" t="s">
        <v>9</v>
      </c>
    </row>
    <row r="1217" spans="1:7">
      <c r="A1217" s="884">
        <v>43323</v>
      </c>
      <c r="B1217" s="240" t="str">
        <f>TiposLancamentos!B64</f>
        <v>Viagens</v>
      </c>
      <c r="C1217" s="878" t="s">
        <v>19131</v>
      </c>
      <c r="D1217" s="63"/>
      <c r="E1217" s="231">
        <f>F1217/6</f>
        <v>337.53166666666669</v>
      </c>
      <c r="F1217" s="899">
        <v>2025.19</v>
      </c>
      <c r="G1217" s="1152" t="s">
        <v>9</v>
      </c>
    </row>
    <row r="1218" spans="1:7">
      <c r="A1218" s="884">
        <v>43323</v>
      </c>
      <c r="B1218" s="240" t="str">
        <f>TiposLancamentos!B64</f>
        <v>Viagens</v>
      </c>
      <c r="C1218" s="878" t="s">
        <v>19132</v>
      </c>
      <c r="D1218" s="63"/>
      <c r="E1218" s="231">
        <v>89.91</v>
      </c>
      <c r="F1218" s="899">
        <v>539.30999999999995</v>
      </c>
      <c r="G1218" s="1152" t="s">
        <v>9</v>
      </c>
    </row>
    <row r="1219" spans="1:7">
      <c r="A1219" s="884">
        <v>43323</v>
      </c>
      <c r="B1219" s="240" t="str">
        <f>TiposLancamentos!B64</f>
        <v>Viagens</v>
      </c>
      <c r="C1219" s="878" t="s">
        <v>19133</v>
      </c>
      <c r="D1219" s="63"/>
      <c r="E1219" s="231">
        <f>F1219/6</f>
        <v>297.45999999999998</v>
      </c>
      <c r="F1219" s="899">
        <v>1784.76</v>
      </c>
      <c r="G1219" s="1152" t="s">
        <v>9</v>
      </c>
    </row>
    <row r="1220" spans="1:7">
      <c r="A1220" s="884">
        <v>43324</v>
      </c>
      <c r="B1220" s="240" t="str">
        <f>TiposLancamentos!B19</f>
        <v>Restaurantes</v>
      </c>
      <c r="C1220" s="878" t="s">
        <v>7068</v>
      </c>
      <c r="D1220" s="63"/>
      <c r="E1220" s="231">
        <v>26.3</v>
      </c>
      <c r="F1220" s="899"/>
      <c r="G1220" s="1152" t="s">
        <v>9</v>
      </c>
    </row>
    <row r="1221" spans="1:7">
      <c r="A1221" s="1272">
        <v>43325</v>
      </c>
      <c r="B1221" s="279" t="str">
        <f>TiposLancamentos!B19</f>
        <v>Restaurantes</v>
      </c>
      <c r="C1221" s="280" t="s">
        <v>19134</v>
      </c>
      <c r="D1221" s="281"/>
      <c r="E1221" s="1293">
        <v>100.4</v>
      </c>
      <c r="F1221" s="1271"/>
      <c r="G1221" s="1152" t="s">
        <v>9</v>
      </c>
    </row>
    <row r="1222" spans="1:7">
      <c r="A1222" s="884">
        <v>43326</v>
      </c>
      <c r="B1222" s="240" t="str">
        <f>TiposLancamentos!B19</f>
        <v>Restaurantes</v>
      </c>
      <c r="C1222" s="878" t="s">
        <v>7406</v>
      </c>
      <c r="D1222" s="63"/>
      <c r="E1222" s="231">
        <v>100.76</v>
      </c>
      <c r="F1222" s="899"/>
      <c r="G1222" s="1152" t="s">
        <v>9</v>
      </c>
    </row>
    <row r="1223" spans="1:7">
      <c r="A1223" s="1272">
        <v>43326</v>
      </c>
      <c r="B1223" s="279" t="str">
        <f>TiposLancamentos!B16</f>
        <v>Cristiane</v>
      </c>
      <c r="C1223" s="280" t="s">
        <v>19129</v>
      </c>
      <c r="D1223" s="281"/>
      <c r="E1223" s="1293">
        <v>188.8</v>
      </c>
      <c r="F1223" s="1271"/>
      <c r="G1223" s="1152" t="s">
        <v>9</v>
      </c>
    </row>
    <row r="1224" spans="1:7">
      <c r="A1224" s="884">
        <v>43326</v>
      </c>
      <c r="B1224" s="240" t="str">
        <f>TiposLancamentos!B71</f>
        <v>Itens Pessoais</v>
      </c>
      <c r="C1224" s="878" t="s">
        <v>19135</v>
      </c>
      <c r="D1224" s="63"/>
      <c r="E1224" s="231">
        <f>F1224/10</f>
        <v>199.8</v>
      </c>
      <c r="F1224" s="899">
        <v>1998</v>
      </c>
      <c r="G1224" s="1152" t="s">
        <v>9</v>
      </c>
    </row>
    <row r="1225" spans="1:7">
      <c r="A1225" s="884">
        <v>43326</v>
      </c>
      <c r="B1225" s="240" t="str">
        <f>TiposLancamentos!B19</f>
        <v>Restaurantes</v>
      </c>
      <c r="C1225" s="878" t="s">
        <v>19136</v>
      </c>
      <c r="D1225" s="63"/>
      <c r="E1225" s="231">
        <v>53.8</v>
      </c>
      <c r="F1225" s="899"/>
      <c r="G1225" s="1152" t="s">
        <v>9</v>
      </c>
    </row>
    <row r="1226" spans="1:7">
      <c r="A1226" s="884">
        <v>43326</v>
      </c>
      <c r="B1226" s="240" t="str">
        <f>TiposLancamentos!B5</f>
        <v>Supermercado</v>
      </c>
      <c r="C1226" s="878" t="s">
        <v>19137</v>
      </c>
      <c r="D1226" s="63"/>
      <c r="E1226" s="231">
        <v>18.260000000000002</v>
      </c>
      <c r="F1226" s="899"/>
      <c r="G1226" s="1152" t="s">
        <v>9</v>
      </c>
    </row>
    <row r="1227" spans="1:7">
      <c r="A1227" s="1272">
        <v>43326</v>
      </c>
      <c r="B1227" s="279" t="str">
        <f>TiposLancamentos!B16</f>
        <v>Cristiane</v>
      </c>
      <c r="C1227" s="280" t="s">
        <v>19138</v>
      </c>
      <c r="D1227" s="281"/>
      <c r="E1227" s="1293">
        <v>39.9</v>
      </c>
      <c r="F1227" s="1271"/>
      <c r="G1227" s="1152" t="s">
        <v>9</v>
      </c>
    </row>
    <row r="1228" spans="1:7">
      <c r="A1228" s="884">
        <v>43327</v>
      </c>
      <c r="B1228" s="240" t="str">
        <f>TiposLancamentos!B5</f>
        <v>Supermercado</v>
      </c>
      <c r="C1228" s="878" t="s">
        <v>19011</v>
      </c>
      <c r="D1228" s="63"/>
      <c r="E1228" s="231">
        <v>120.71</v>
      </c>
      <c r="F1228" s="899"/>
      <c r="G1228" s="1152" t="s">
        <v>9</v>
      </c>
    </row>
    <row r="1229" spans="1:7">
      <c r="A1229" s="1272">
        <v>43327</v>
      </c>
      <c r="B1229" s="279" t="str">
        <f>TiposLancamentos!B19</f>
        <v>Restaurantes</v>
      </c>
      <c r="C1229" s="280" t="s">
        <v>19139</v>
      </c>
      <c r="D1229" s="281"/>
      <c r="E1229" s="1293">
        <v>36</v>
      </c>
      <c r="F1229" s="1271"/>
      <c r="G1229" s="1152" t="s">
        <v>9</v>
      </c>
    </row>
    <row r="1230" spans="1:7">
      <c r="A1230" s="1272">
        <v>43328</v>
      </c>
      <c r="B1230" s="279" t="str">
        <f>TiposLancamentos!B16</f>
        <v>Cristiane</v>
      </c>
      <c r="C1230" s="280" t="s">
        <v>19140</v>
      </c>
      <c r="D1230" s="281"/>
      <c r="E1230" s="1293">
        <v>69.98</v>
      </c>
      <c r="F1230" s="1271"/>
      <c r="G1230" s="1152" t="s">
        <v>9</v>
      </c>
    </row>
    <row r="1231" spans="1:7">
      <c r="A1231" s="1272">
        <v>43328</v>
      </c>
      <c r="B1231" s="279" t="str">
        <f>TiposLancamentos!B16</f>
        <v>Cristiane</v>
      </c>
      <c r="C1231" s="280" t="s">
        <v>19141</v>
      </c>
      <c r="D1231" s="281"/>
      <c r="E1231" s="1293">
        <v>195</v>
      </c>
      <c r="F1231" s="1271"/>
      <c r="G1231" s="1152" t="s">
        <v>9</v>
      </c>
    </row>
    <row r="1232" spans="1:7">
      <c r="A1232" s="1272">
        <v>43329</v>
      </c>
      <c r="B1232" s="279" t="str">
        <f>TiposLancamentos!B16</f>
        <v>Cristiane</v>
      </c>
      <c r="C1232" s="280" t="s">
        <v>19142</v>
      </c>
      <c r="D1232" s="281"/>
      <c r="E1232" s="1293">
        <v>154.66999999999999</v>
      </c>
      <c r="F1232" s="1271">
        <v>309.33999999999997</v>
      </c>
      <c r="G1232" s="1152" t="s">
        <v>9</v>
      </c>
    </row>
    <row r="1233" spans="1:7">
      <c r="A1233" s="884">
        <v>43329</v>
      </c>
      <c r="B1233" s="240" t="str">
        <f>TiposLancamentos!B5</f>
        <v>Supermercado</v>
      </c>
      <c r="C1233" s="878" t="s">
        <v>19011</v>
      </c>
      <c r="D1233" s="63"/>
      <c r="E1233" s="231">
        <v>60.51</v>
      </c>
      <c r="F1233" s="899"/>
      <c r="G1233" s="1152" t="s">
        <v>9</v>
      </c>
    </row>
    <row r="1234" spans="1:7">
      <c r="A1234" s="1272">
        <v>43329</v>
      </c>
      <c r="B1234" s="279" t="str">
        <f>TiposLancamentos!B19</f>
        <v>Restaurantes</v>
      </c>
      <c r="C1234" s="280" t="s">
        <v>19143</v>
      </c>
      <c r="D1234" s="281"/>
      <c r="E1234" s="1293">
        <v>46</v>
      </c>
      <c r="F1234" s="1271"/>
      <c r="G1234" s="1152" t="s">
        <v>9</v>
      </c>
    </row>
    <row r="1235" spans="1:7">
      <c r="A1235" s="884">
        <v>43330</v>
      </c>
      <c r="B1235" s="240" t="str">
        <f>TiposLancamentos!B16</f>
        <v>Cristiane</v>
      </c>
      <c r="C1235" s="878" t="s">
        <v>19144</v>
      </c>
      <c r="D1235" s="63"/>
      <c r="E1235" s="231">
        <v>39.9</v>
      </c>
      <c r="F1235" s="899"/>
      <c r="G1235" s="1152" t="s">
        <v>9</v>
      </c>
    </row>
    <row r="1236" spans="1:7">
      <c r="A1236" s="884">
        <v>43330</v>
      </c>
      <c r="B1236" s="240" t="str">
        <f>TiposLancamentos!B71</f>
        <v>Itens Pessoais</v>
      </c>
      <c r="C1236" s="878" t="s">
        <v>19145</v>
      </c>
      <c r="D1236" s="63"/>
      <c r="E1236" s="231">
        <v>25</v>
      </c>
      <c r="F1236" s="899"/>
      <c r="G1236" s="1152" t="s">
        <v>9</v>
      </c>
    </row>
    <row r="1237" spans="1:7">
      <c r="A1237" s="884">
        <v>43330</v>
      </c>
      <c r="B1237" s="240" t="str">
        <f>TiposLancamentos!B19</f>
        <v>Restaurantes</v>
      </c>
      <c r="C1237" s="878" t="s">
        <v>19146</v>
      </c>
      <c r="D1237" s="63"/>
      <c r="E1237" s="231">
        <v>129.13999999999999</v>
      </c>
      <c r="F1237" s="899"/>
      <c r="G1237" s="1152" t="s">
        <v>9</v>
      </c>
    </row>
    <row r="1238" spans="1:7">
      <c r="A1238" s="884">
        <v>43331</v>
      </c>
      <c r="B1238" s="240" t="str">
        <f>TiposLancamentos!B19</f>
        <v>Restaurantes</v>
      </c>
      <c r="C1238" s="878" t="s">
        <v>19147</v>
      </c>
      <c r="D1238" s="63"/>
      <c r="E1238" s="231">
        <v>154.77000000000001</v>
      </c>
      <c r="F1238" s="899"/>
      <c r="G1238" s="1152" t="s">
        <v>9</v>
      </c>
    </row>
    <row r="1239" spans="1:7">
      <c r="A1239" s="884">
        <v>43331</v>
      </c>
      <c r="B1239" s="240" t="str">
        <f>TiposLancamentos!B17</f>
        <v>GATO</v>
      </c>
      <c r="C1239" s="878" t="s">
        <v>19148</v>
      </c>
      <c r="D1239" s="63"/>
      <c r="E1239" s="231">
        <v>44.7</v>
      </c>
      <c r="F1239" s="899"/>
      <c r="G1239" s="1152" t="s">
        <v>9</v>
      </c>
    </row>
    <row r="1240" spans="1:7">
      <c r="A1240" s="884">
        <v>43331</v>
      </c>
      <c r="B1240" s="240" t="str">
        <f>TiposLancamentos!B56</f>
        <v>Farmácia</v>
      </c>
      <c r="C1240" s="878" t="s">
        <v>10863</v>
      </c>
      <c r="D1240" s="63"/>
      <c r="E1240" s="231">
        <v>6.4</v>
      </c>
      <c r="F1240" s="899"/>
      <c r="G1240" s="1152" t="s">
        <v>9</v>
      </c>
    </row>
    <row r="1241" spans="1:7">
      <c r="A1241" s="884">
        <v>43331</v>
      </c>
      <c r="B1241" s="240" t="str">
        <f>TiposLancamentos!B56</f>
        <v>Farmácia</v>
      </c>
      <c r="C1241" s="878" t="s">
        <v>19149</v>
      </c>
      <c r="D1241" s="63"/>
      <c r="E1241" s="231">
        <v>104.01</v>
      </c>
      <c r="F1241" s="899"/>
      <c r="G1241" s="1152" t="s">
        <v>9</v>
      </c>
    </row>
    <row r="1242" spans="1:7">
      <c r="A1242" s="884">
        <v>43331</v>
      </c>
      <c r="B1242" s="240" t="str">
        <f>TiposLancamentos!B5</f>
        <v>Supermercado</v>
      </c>
      <c r="C1242" s="878" t="s">
        <v>19150</v>
      </c>
      <c r="D1242" s="63"/>
      <c r="E1242" s="231">
        <v>43.47</v>
      </c>
      <c r="F1242" s="899"/>
      <c r="G1242" s="1152" t="s">
        <v>9</v>
      </c>
    </row>
    <row r="1243" spans="1:7">
      <c r="A1243" s="884">
        <v>43332</v>
      </c>
      <c r="B1243" s="240" t="str">
        <f>TiposLancamentos!B5</f>
        <v>Supermercado</v>
      </c>
      <c r="C1243" s="878" t="s">
        <v>19151</v>
      </c>
      <c r="D1243" s="63"/>
      <c r="E1243" s="231">
        <v>24.78</v>
      </c>
      <c r="F1243" s="899"/>
      <c r="G1243" s="1152" t="s">
        <v>9</v>
      </c>
    </row>
    <row r="1244" spans="1:7">
      <c r="A1244" s="1272">
        <v>43332</v>
      </c>
      <c r="B1244" s="279" t="str">
        <f>TiposLancamentos!B16</f>
        <v>Cristiane</v>
      </c>
      <c r="C1244" s="280" t="s">
        <v>19152</v>
      </c>
      <c r="D1244" s="281"/>
      <c r="E1244" s="1293">
        <v>60</v>
      </c>
      <c r="F1244" s="1271"/>
      <c r="G1244" s="1152" t="s">
        <v>9</v>
      </c>
    </row>
    <row r="1245" spans="1:7">
      <c r="A1245" s="884">
        <v>43332</v>
      </c>
      <c r="B1245" s="240" t="str">
        <f>TiposLancamentos!B19</f>
        <v>Restaurantes</v>
      </c>
      <c r="C1245" s="878" t="s">
        <v>7419</v>
      </c>
      <c r="D1245" s="63"/>
      <c r="E1245" s="231">
        <v>106.45</v>
      </c>
      <c r="F1245" s="899"/>
      <c r="G1245" s="1152" t="s">
        <v>9</v>
      </c>
    </row>
    <row r="1246" spans="1:7">
      <c r="A1246" s="884">
        <v>43332</v>
      </c>
      <c r="B1246" s="240" t="str">
        <f>TiposLancamentos!B70</f>
        <v>Vestuário</v>
      </c>
      <c r="C1246" s="878" t="s">
        <v>19153</v>
      </c>
      <c r="D1246" s="63"/>
      <c r="E1246" s="231">
        <v>101.94</v>
      </c>
      <c r="F1246" s="899"/>
      <c r="G1246" s="1152" t="s">
        <v>9</v>
      </c>
    </row>
    <row r="1247" spans="1:7">
      <c r="A1247" s="1272">
        <v>43332</v>
      </c>
      <c r="B1247" s="279" t="str">
        <f>TiposLancamentos!B16</f>
        <v>Cristiane</v>
      </c>
      <c r="C1247" s="280" t="s">
        <v>19154</v>
      </c>
      <c r="D1247" s="281"/>
      <c r="E1247" s="1293">
        <v>189</v>
      </c>
      <c r="F1247" s="1271"/>
      <c r="G1247" s="1152" t="s">
        <v>9</v>
      </c>
    </row>
    <row r="1248" spans="1:7">
      <c r="A1248" s="1226">
        <v>43332</v>
      </c>
      <c r="B1248" s="1218" t="str">
        <f>TiposLancamentos!B56</f>
        <v>Farmácia</v>
      </c>
      <c r="C1248" s="1219" t="s">
        <v>19155</v>
      </c>
      <c r="D1248" s="1220"/>
      <c r="E1248" s="1221">
        <f>F1249-E1249</f>
        <v>136.56</v>
      </c>
      <c r="F1248" s="1227"/>
      <c r="G1248" s="1152" t="s">
        <v>9</v>
      </c>
    </row>
    <row r="1249" spans="1:7">
      <c r="A1249" s="1228">
        <v>43332</v>
      </c>
      <c r="B1249" s="1222" t="str">
        <f>TiposLancamentos!B16</f>
        <v>Cristiane</v>
      </c>
      <c r="C1249" s="1223" t="s">
        <v>19156</v>
      </c>
      <c r="D1249" s="1224"/>
      <c r="E1249" s="1225">
        <v>60.99</v>
      </c>
      <c r="F1249" s="1229">
        <v>197.55</v>
      </c>
      <c r="G1249" s="1152" t="s">
        <v>9</v>
      </c>
    </row>
    <row r="1250" spans="1:7">
      <c r="A1250" s="884">
        <v>43332</v>
      </c>
      <c r="B1250" s="240" t="str">
        <f>TiposLancamentos!B16</f>
        <v>Cristiane</v>
      </c>
      <c r="C1250" s="878" t="s">
        <v>19157</v>
      </c>
      <c r="D1250" s="63"/>
      <c r="E1250" s="231">
        <v>25</v>
      </c>
      <c r="F1250" s="899"/>
      <c r="G1250" s="1152" t="s">
        <v>9</v>
      </c>
    </row>
    <row r="1251" spans="1:7">
      <c r="A1251" s="884">
        <v>43332</v>
      </c>
      <c r="B1251" s="240" t="str">
        <f>TiposLancamentos!B98</f>
        <v>Restituições</v>
      </c>
      <c r="C1251" s="878" t="s">
        <v>19158</v>
      </c>
      <c r="D1251" s="63">
        <v>1.44</v>
      </c>
      <c r="E1251" s="231"/>
      <c r="F1251" s="899"/>
      <c r="G1251" s="1152" t="s">
        <v>9</v>
      </c>
    </row>
    <row r="1252" spans="1:7">
      <c r="A1252" s="934"/>
      <c r="B1252" s="243"/>
      <c r="C1252" s="389" t="s">
        <v>10</v>
      </c>
      <c r="D1252" s="146"/>
      <c r="E1252" s="1190"/>
      <c r="F1252" s="935"/>
      <c r="G1252" s="1094" t="s">
        <v>11</v>
      </c>
    </row>
    <row r="1253" spans="1:7">
      <c r="A1253" s="884">
        <v>43333</v>
      </c>
      <c r="B1253" s="240" t="str">
        <f>TiposLancamentos!B65</f>
        <v>Taxi</v>
      </c>
      <c r="C1253" s="878" t="s">
        <v>19159</v>
      </c>
      <c r="D1253" s="63"/>
      <c r="E1253" s="231">
        <v>78.989999999999995</v>
      </c>
      <c r="F1253" s="899"/>
      <c r="G1253" s="1152" t="s">
        <v>9</v>
      </c>
    </row>
    <row r="1254" spans="1:7">
      <c r="A1254" s="884">
        <v>43333</v>
      </c>
      <c r="B1254" s="240" t="str">
        <f>TiposLancamentos!B19</f>
        <v>Restaurantes</v>
      </c>
      <c r="C1254" s="878" t="s">
        <v>19160</v>
      </c>
      <c r="D1254" s="63"/>
      <c r="E1254" s="231">
        <v>9</v>
      </c>
      <c r="F1254" s="899"/>
      <c r="G1254" s="1152" t="s">
        <v>9</v>
      </c>
    </row>
    <row r="1255" spans="1:7">
      <c r="A1255" s="884">
        <v>43333</v>
      </c>
      <c r="B1255" s="240" t="str">
        <f>TiposLancamentos!B19</f>
        <v>Restaurantes</v>
      </c>
      <c r="C1255" s="878" t="s">
        <v>19161</v>
      </c>
      <c r="D1255" s="63"/>
      <c r="E1255" s="231">
        <v>45.5</v>
      </c>
      <c r="F1255" s="899"/>
      <c r="G1255" s="1152" t="s">
        <v>9</v>
      </c>
    </row>
    <row r="1256" spans="1:7">
      <c r="A1256" s="884">
        <v>43334</v>
      </c>
      <c r="B1256" s="240" t="str">
        <f>TiposLancamentos!B45</f>
        <v>Online Services</v>
      </c>
      <c r="C1256" s="878" t="s">
        <v>19027</v>
      </c>
      <c r="D1256" s="63"/>
      <c r="E1256" s="231">
        <v>33</v>
      </c>
      <c r="F1256" s="899"/>
      <c r="G1256" s="1152" t="s">
        <v>9</v>
      </c>
    </row>
    <row r="1257" spans="1:7">
      <c r="A1257" s="884">
        <v>43334</v>
      </c>
      <c r="B1257" s="240" t="str">
        <f>TiposLancamentos!B74</f>
        <v>Noite</v>
      </c>
      <c r="C1257" s="878" t="s">
        <v>19162</v>
      </c>
      <c r="D1257" s="63"/>
      <c r="E1257" s="231">
        <v>553.79</v>
      </c>
      <c r="F1257" s="899" t="s">
        <v>19163</v>
      </c>
      <c r="G1257" s="1094" t="s">
        <v>11</v>
      </c>
    </row>
    <row r="1258" spans="1:7">
      <c r="A1258" s="884">
        <v>43335</v>
      </c>
      <c r="B1258" s="240" t="str">
        <f>TiposLancamentos!B19</f>
        <v>Restaurantes</v>
      </c>
      <c r="C1258" s="878" t="s">
        <v>19164</v>
      </c>
      <c r="D1258" s="63"/>
      <c r="E1258" s="231">
        <v>275.77999999999997</v>
      </c>
      <c r="F1258" s="899">
        <v>62.85</v>
      </c>
      <c r="G1258" s="1094" t="s">
        <v>11</v>
      </c>
    </row>
    <row r="1259" spans="1:7">
      <c r="A1259" s="884">
        <v>43335</v>
      </c>
      <c r="B1259" s="240" t="str">
        <f>TiposLancamentos!B73</f>
        <v>Cursos</v>
      </c>
      <c r="C1259" s="878" t="s">
        <v>19165</v>
      </c>
      <c r="D1259" s="63"/>
      <c r="E1259" s="231">
        <v>51</v>
      </c>
      <c r="F1259" s="899"/>
      <c r="G1259" s="1152" t="s">
        <v>9</v>
      </c>
    </row>
    <row r="1260" spans="1:7">
      <c r="A1260" s="884">
        <v>43335</v>
      </c>
      <c r="B1260" s="240" t="str">
        <f>TiposLancamentos!B16</f>
        <v>Cristiane</v>
      </c>
      <c r="C1260" s="878" t="s">
        <v>19166</v>
      </c>
      <c r="D1260" s="63"/>
      <c r="E1260" s="231">
        <v>170.83</v>
      </c>
      <c r="F1260" s="899" t="s">
        <v>19167</v>
      </c>
      <c r="G1260" s="1094" t="s">
        <v>11</v>
      </c>
    </row>
    <row r="1261" spans="1:7">
      <c r="A1261" s="884">
        <v>43335</v>
      </c>
      <c r="B1261" s="240" t="str">
        <f>TiposLancamentos!B19</f>
        <v>Restaurantes</v>
      </c>
      <c r="C1261" s="878" t="s">
        <v>19168</v>
      </c>
      <c r="D1261" s="63"/>
      <c r="E1261" s="231">
        <v>249.23</v>
      </c>
      <c r="F1261" s="899" t="s">
        <v>19169</v>
      </c>
      <c r="G1261" s="1094" t="s">
        <v>11</v>
      </c>
    </row>
    <row r="1262" spans="1:7">
      <c r="A1262" s="884">
        <v>43336</v>
      </c>
      <c r="B1262" s="240" t="str">
        <f>TiposLancamentos!B65</f>
        <v>Taxi</v>
      </c>
      <c r="C1262" s="878" t="s">
        <v>19170</v>
      </c>
      <c r="D1262" s="63"/>
      <c r="E1262" s="231">
        <v>9.6</v>
      </c>
      <c r="F1262" s="899" t="s">
        <v>19171</v>
      </c>
      <c r="G1262" s="1094" t="s">
        <v>11</v>
      </c>
    </row>
    <row r="1263" spans="1:7">
      <c r="A1263" s="884">
        <v>43336</v>
      </c>
      <c r="B1263" s="240" t="str">
        <f>TiposLancamentos!B19</f>
        <v>Restaurantes</v>
      </c>
      <c r="C1263" s="878" t="s">
        <v>19172</v>
      </c>
      <c r="D1263" s="63"/>
      <c r="E1263" s="231">
        <v>202.35</v>
      </c>
      <c r="F1263" s="899" t="s">
        <v>19173</v>
      </c>
      <c r="G1263" s="1094" t="s">
        <v>11</v>
      </c>
    </row>
    <row r="1264" spans="1:7">
      <c r="A1264" s="884">
        <v>43337</v>
      </c>
      <c r="B1264" s="240" t="str">
        <f>TiposLancamentos!B65</f>
        <v>Taxi</v>
      </c>
      <c r="C1264" s="878" t="s">
        <v>19174</v>
      </c>
      <c r="D1264" s="63"/>
      <c r="E1264" s="231">
        <v>14.86</v>
      </c>
      <c r="F1264" s="899" t="s">
        <v>19175</v>
      </c>
      <c r="G1264" s="1094" t="s">
        <v>11</v>
      </c>
    </row>
    <row r="1265" spans="1:7">
      <c r="A1265" s="884">
        <v>43338</v>
      </c>
      <c r="B1265" s="240" t="str">
        <f>TiposLancamentos!B65</f>
        <v>Taxi</v>
      </c>
      <c r="C1265" s="878" t="s">
        <v>19176</v>
      </c>
      <c r="D1265" s="63"/>
      <c r="E1265" s="231">
        <v>22.06</v>
      </c>
      <c r="F1265" s="1294" t="s">
        <v>19177</v>
      </c>
      <c r="G1265" s="1094" t="s">
        <v>11</v>
      </c>
    </row>
    <row r="1266" spans="1:7">
      <c r="A1266" s="884">
        <v>43338</v>
      </c>
      <c r="B1266" s="240" t="str">
        <f>TiposLancamentos!B19</f>
        <v>Restaurantes</v>
      </c>
      <c r="C1266" s="878" t="s">
        <v>19178</v>
      </c>
      <c r="D1266" s="63"/>
      <c r="E1266" s="231">
        <v>283.43</v>
      </c>
      <c r="F1266" s="899" t="s">
        <v>19179</v>
      </c>
      <c r="G1266" s="1094" t="s">
        <v>11</v>
      </c>
    </row>
    <row r="1267" spans="1:7">
      <c r="A1267" s="884">
        <v>43338</v>
      </c>
      <c r="B1267" s="240" t="str">
        <f>TiposLancamentos!B65</f>
        <v>Taxi</v>
      </c>
      <c r="C1267" s="878" t="s">
        <v>19180</v>
      </c>
      <c r="D1267" s="63"/>
      <c r="E1267" s="231">
        <v>13.77</v>
      </c>
      <c r="F1267" s="899" t="s">
        <v>19181</v>
      </c>
      <c r="G1267" s="1094" t="s">
        <v>11</v>
      </c>
    </row>
    <row r="1268" spans="1:7">
      <c r="A1268" s="884">
        <v>43338</v>
      </c>
      <c r="B1268" s="240" t="str">
        <f>TiposLancamentos!B19</f>
        <v>Restaurantes</v>
      </c>
      <c r="C1268" s="878" t="s">
        <v>19182</v>
      </c>
      <c r="D1268" s="63"/>
      <c r="E1268" s="231">
        <v>113.39</v>
      </c>
      <c r="F1268" s="899" t="s">
        <v>19183</v>
      </c>
      <c r="G1268" s="1094" t="s">
        <v>11</v>
      </c>
    </row>
    <row r="1269" spans="1:7">
      <c r="A1269" s="884">
        <v>43338</v>
      </c>
      <c r="B1269" s="240" t="str">
        <f>TiposLancamentos!B19</f>
        <v>Restaurantes</v>
      </c>
      <c r="C1269" s="878" t="s">
        <v>19184</v>
      </c>
      <c r="D1269" s="63"/>
      <c r="E1269" s="231">
        <v>59.85</v>
      </c>
      <c r="F1269" s="899" t="s">
        <v>19185</v>
      </c>
      <c r="G1269" s="1094" t="s">
        <v>11</v>
      </c>
    </row>
    <row r="1270" spans="1:7">
      <c r="A1270" s="884">
        <v>43338</v>
      </c>
      <c r="B1270" s="240" t="str">
        <f>TiposLancamentos!B72</f>
        <v>Presentes</v>
      </c>
      <c r="C1270" s="878" t="s">
        <v>19186</v>
      </c>
      <c r="D1270" s="63"/>
      <c r="E1270" s="231">
        <v>932.1</v>
      </c>
      <c r="F1270" s="899" t="s">
        <v>19187</v>
      </c>
      <c r="G1270" s="1094" t="s">
        <v>11</v>
      </c>
    </row>
    <row r="1271" spans="1:7">
      <c r="A1271" s="884">
        <v>43338</v>
      </c>
      <c r="B1271" s="240" t="str">
        <f>TiposLancamentos!B19</f>
        <v>Restaurantes</v>
      </c>
      <c r="C1271" s="878" t="s">
        <v>19188</v>
      </c>
      <c r="D1271" s="63"/>
      <c r="E1271" s="231">
        <v>150.47999999999999</v>
      </c>
      <c r="F1271" s="899" t="s">
        <v>19189</v>
      </c>
      <c r="G1271" s="1094" t="s">
        <v>11</v>
      </c>
    </row>
    <row r="1272" spans="1:7">
      <c r="A1272" s="1272">
        <v>43338</v>
      </c>
      <c r="B1272" s="279" t="str">
        <f>TiposLancamentos!B34</f>
        <v>Seguros</v>
      </c>
      <c r="C1272" s="280" t="s">
        <v>19190</v>
      </c>
      <c r="D1272" s="281"/>
      <c r="E1272" s="1293">
        <v>391.98</v>
      </c>
      <c r="F1272" s="1271">
        <v>1567.92</v>
      </c>
      <c r="G1272" s="1152" t="s">
        <v>9</v>
      </c>
    </row>
    <row r="1273" spans="1:7">
      <c r="A1273" s="884">
        <v>43338</v>
      </c>
      <c r="B1273" s="240" t="str">
        <f>TiposLancamentos!B31</f>
        <v>Action Figures</v>
      </c>
      <c r="C1273" s="878" t="s">
        <v>19191</v>
      </c>
      <c r="D1273" s="63"/>
      <c r="E1273" s="231">
        <f>F1273/3</f>
        <v>138.62</v>
      </c>
      <c r="F1273" s="899">
        <v>415.86</v>
      </c>
      <c r="G1273" s="1152" t="s">
        <v>9</v>
      </c>
    </row>
    <row r="1274" spans="1:7">
      <c r="A1274" s="884">
        <v>43339</v>
      </c>
      <c r="B1274" s="240" t="str">
        <f>TiposLancamentos!B65</f>
        <v>Taxi</v>
      </c>
      <c r="C1274" s="878" t="s">
        <v>19192</v>
      </c>
      <c r="D1274" s="63"/>
      <c r="E1274" s="231">
        <v>86.66</v>
      </c>
      <c r="F1274" s="899"/>
      <c r="G1274" s="1152" t="s">
        <v>9</v>
      </c>
    </row>
    <row r="1275" spans="1:7">
      <c r="A1275" s="884">
        <v>43339</v>
      </c>
      <c r="B1275" s="240" t="str">
        <f>TiposLancamentos!B70</f>
        <v>Vestuário</v>
      </c>
      <c r="C1275" s="878" t="s">
        <v>19193</v>
      </c>
      <c r="D1275" s="63"/>
      <c r="E1275" s="231">
        <f>F1275/2</f>
        <v>199.95</v>
      </c>
      <c r="F1275" s="899">
        <v>399.9</v>
      </c>
      <c r="G1275" s="1152" t="s">
        <v>9</v>
      </c>
    </row>
    <row r="1276" spans="1:7">
      <c r="A1276" s="1272">
        <v>43339</v>
      </c>
      <c r="B1276" s="279" t="str">
        <f>TiposLancamentos!B19</f>
        <v>Restaurantes</v>
      </c>
      <c r="C1276" s="280" t="s">
        <v>11101</v>
      </c>
      <c r="D1276" s="281"/>
      <c r="E1276" s="1293">
        <v>44</v>
      </c>
      <c r="F1276" s="1271"/>
      <c r="G1276" s="1152" t="s">
        <v>9</v>
      </c>
    </row>
    <row r="1277" spans="1:7">
      <c r="A1277" s="884">
        <v>43340</v>
      </c>
      <c r="B1277" s="240" t="str">
        <f>TiposLancamentos!B45</f>
        <v>Online Services</v>
      </c>
      <c r="C1277" s="878" t="s">
        <v>1894</v>
      </c>
      <c r="D1277" s="63"/>
      <c r="E1277" s="231">
        <v>27.9</v>
      </c>
      <c r="F1277" s="899"/>
      <c r="G1277" s="1152" t="s">
        <v>9</v>
      </c>
    </row>
    <row r="1278" spans="1:7">
      <c r="A1278" s="884">
        <v>43340</v>
      </c>
      <c r="B1278" s="240" t="str">
        <f>TiposLancamentos!B45</f>
        <v>Online Services</v>
      </c>
      <c r="C1278" s="878" t="s">
        <v>1895</v>
      </c>
      <c r="D1278" s="63"/>
      <c r="E1278" s="231">
        <v>26.9</v>
      </c>
      <c r="F1278" s="899"/>
      <c r="G1278" s="1152" t="s">
        <v>9</v>
      </c>
    </row>
    <row r="1279" spans="1:7">
      <c r="A1279" s="884">
        <v>43340</v>
      </c>
      <c r="B1279" s="240" t="str">
        <f>TiposLancamentos!B5</f>
        <v>Supermercado</v>
      </c>
      <c r="C1279" s="878" t="s">
        <v>6234</v>
      </c>
      <c r="D1279" s="63"/>
      <c r="E1279" s="231">
        <v>39.659999999999997</v>
      </c>
      <c r="F1279" s="899"/>
      <c r="G1279" s="1152" t="s">
        <v>9</v>
      </c>
    </row>
    <row r="1280" spans="1:7">
      <c r="A1280" s="1272">
        <v>43340</v>
      </c>
      <c r="B1280" s="279" t="str">
        <f>TiposLancamentos!B5</f>
        <v>Supermercado</v>
      </c>
      <c r="C1280" s="280" t="s">
        <v>19194</v>
      </c>
      <c r="D1280" s="281"/>
      <c r="E1280" s="1293">
        <v>179.71</v>
      </c>
      <c r="F1280" s="1271"/>
      <c r="G1280" s="1152" t="s">
        <v>9</v>
      </c>
    </row>
    <row r="1281" spans="1:7">
      <c r="A1281" s="1272">
        <v>43341</v>
      </c>
      <c r="B1281" s="279" t="str">
        <f>TiposLancamentos!B5</f>
        <v>Supermercado</v>
      </c>
      <c r="C1281" s="280" t="s">
        <v>6234</v>
      </c>
      <c r="D1281" s="281"/>
      <c r="E1281" s="1293">
        <v>42.55</v>
      </c>
      <c r="F1281" s="1271"/>
      <c r="G1281" s="1152" t="s">
        <v>9</v>
      </c>
    </row>
    <row r="1282" spans="1:7">
      <c r="A1282" s="884">
        <v>43343</v>
      </c>
      <c r="B1282" s="240" t="str">
        <f>TiposLancamentos!B44</f>
        <v>Academia</v>
      </c>
      <c r="C1282" s="878" t="s">
        <v>19195</v>
      </c>
      <c r="D1282" s="63"/>
      <c r="E1282" s="231">
        <f>F1282/12</f>
        <v>115.60000000000001</v>
      </c>
      <c r="F1282" s="899">
        <v>1387.2</v>
      </c>
      <c r="G1282" s="1152" t="s">
        <v>9</v>
      </c>
    </row>
    <row r="1283" spans="1:7">
      <c r="A1283" s="1272">
        <v>43343</v>
      </c>
      <c r="B1283" s="279" t="str">
        <f>TiposLancamentos!B16</f>
        <v>Cristiane</v>
      </c>
      <c r="C1283" s="280" t="s">
        <v>19195</v>
      </c>
      <c r="D1283" s="281"/>
      <c r="E1283" s="1293">
        <f>F1283/12</f>
        <v>115.60000000000001</v>
      </c>
      <c r="F1283" s="1271">
        <v>1387.2</v>
      </c>
      <c r="G1283" s="1152" t="s">
        <v>9</v>
      </c>
    </row>
    <row r="1284" spans="1:7" ht="14.25" thickBot="1">
      <c r="A1284" s="1272">
        <v>43343</v>
      </c>
      <c r="B1284" s="279" t="str">
        <f>TiposLancamentos!B19</f>
        <v>Restaurantes</v>
      </c>
      <c r="C1284" s="280" t="s">
        <v>19196</v>
      </c>
      <c r="D1284" s="281"/>
      <c r="E1284" s="1293">
        <v>46</v>
      </c>
      <c r="F1284" s="1271"/>
      <c r="G1284" s="1152" t="s">
        <v>9</v>
      </c>
    </row>
    <row r="1285" spans="1:7">
      <c r="A1285" s="1032"/>
      <c r="B1285" s="1230"/>
      <c r="C1285" s="906" t="s">
        <v>13823</v>
      </c>
      <c r="D1285" s="896"/>
      <c r="E1285" s="925"/>
      <c r="F1285" s="898">
        <f>SUM(E1143:E1251)-D1251</f>
        <v>10749.52166666666</v>
      </c>
      <c r="G1285" s="3"/>
    </row>
    <row r="1286" spans="1:7">
      <c r="A1286" s="884">
        <v>43344</v>
      </c>
      <c r="B1286" s="240" t="str">
        <f>TiposLancamentos!B5</f>
        <v>Supermercado</v>
      </c>
      <c r="C1286" s="878" t="s">
        <v>6234</v>
      </c>
      <c r="D1286" s="63"/>
      <c r="E1286" s="231">
        <v>56.63</v>
      </c>
      <c r="F1286" s="899">
        <f>F1285-F1188</f>
        <v>2229.7216666666609</v>
      </c>
      <c r="G1286" s="1152" t="s">
        <v>9</v>
      </c>
    </row>
    <row r="1287" spans="1:7">
      <c r="A1287" s="884">
        <v>43344</v>
      </c>
      <c r="B1287" s="240" t="str">
        <f>TiposLancamentos!B48</f>
        <v>Baralhos e Oráculos</v>
      </c>
      <c r="C1287" s="878" t="s">
        <v>19197</v>
      </c>
      <c r="D1287" s="63"/>
      <c r="E1287" s="231">
        <v>90</v>
      </c>
      <c r="F1287" s="899"/>
      <c r="G1287" s="1152" t="s">
        <v>9</v>
      </c>
    </row>
    <row r="1288" spans="1:7">
      <c r="A1288" s="884">
        <v>43344</v>
      </c>
      <c r="B1288" s="240" t="str">
        <f>TiposLancamentos!B48</f>
        <v>Baralhos e Oráculos</v>
      </c>
      <c r="C1288" s="878" t="s">
        <v>19198</v>
      </c>
      <c r="D1288" s="63"/>
      <c r="E1288" s="231">
        <f>F1288/3</f>
        <v>148</v>
      </c>
      <c r="F1288" s="899">
        <v>444</v>
      </c>
      <c r="G1288" s="1152" t="s">
        <v>9</v>
      </c>
    </row>
    <row r="1289" spans="1:7">
      <c r="A1289" s="884">
        <v>43345</v>
      </c>
      <c r="B1289" s="240" t="str">
        <f>TiposLancamentos!B57</f>
        <v>Informática</v>
      </c>
      <c r="C1289" s="878" t="s">
        <v>19199</v>
      </c>
      <c r="D1289" s="63"/>
      <c r="E1289" s="231">
        <v>16.899999999999999</v>
      </c>
      <c r="F1289" s="899"/>
      <c r="G1289" s="1152" t="s">
        <v>9</v>
      </c>
    </row>
    <row r="1290" spans="1:7">
      <c r="A1290" s="884">
        <v>43345</v>
      </c>
      <c r="B1290" s="240" t="str">
        <f>TiposLancamentos!B5</f>
        <v>Supermercado</v>
      </c>
      <c r="C1290" s="878" t="s">
        <v>7046</v>
      </c>
      <c r="D1290" s="63"/>
      <c r="E1290" s="231">
        <v>29.96</v>
      </c>
      <c r="F1290" s="899"/>
      <c r="G1290" s="1152" t="s">
        <v>9</v>
      </c>
    </row>
    <row r="1291" spans="1:7">
      <c r="A1291" s="884">
        <v>43346</v>
      </c>
      <c r="B1291" s="240" t="str">
        <f>TiposLancamentos!B15</f>
        <v>Cartões de Crédito</v>
      </c>
      <c r="C1291" s="878" t="s">
        <v>1874</v>
      </c>
      <c r="D1291" s="63">
        <v>10749.52</v>
      </c>
      <c r="E1291" s="231"/>
      <c r="F1291" s="899"/>
      <c r="G1291" s="1152" t="s">
        <v>9</v>
      </c>
    </row>
    <row r="1292" spans="1:7">
      <c r="A1292" s="884">
        <v>43347</v>
      </c>
      <c r="B1292" s="240" t="str">
        <f>TiposLancamentos!B45</f>
        <v>Online Services</v>
      </c>
      <c r="C1292" s="878" t="s">
        <v>18771</v>
      </c>
      <c r="D1292" s="63"/>
      <c r="E1292" s="231">
        <v>15</v>
      </c>
      <c r="F1292" s="899"/>
      <c r="G1292" s="1152" t="s">
        <v>9</v>
      </c>
    </row>
    <row r="1293" spans="1:7">
      <c r="A1293" s="884">
        <v>43347</v>
      </c>
      <c r="B1293" s="240" t="str">
        <f>TiposLancamentos!B72</f>
        <v>Presentes</v>
      </c>
      <c r="C1293" s="878" t="s">
        <v>19200</v>
      </c>
      <c r="D1293" s="63"/>
      <c r="E1293" s="231">
        <v>517</v>
      </c>
      <c r="F1293" s="899"/>
      <c r="G1293" s="1152" t="s">
        <v>9</v>
      </c>
    </row>
    <row r="1294" spans="1:7">
      <c r="A1294" s="884">
        <v>43347</v>
      </c>
      <c r="B1294" s="240" t="str">
        <f>TiposLancamentos!B13</f>
        <v>Moradia</v>
      </c>
      <c r="C1294" s="878" t="s">
        <v>19201</v>
      </c>
      <c r="D1294" s="63"/>
      <c r="E1294" s="231">
        <v>16.899999999999999</v>
      </c>
      <c r="F1294" s="899"/>
      <c r="G1294" s="1152" t="s">
        <v>9</v>
      </c>
    </row>
    <row r="1295" spans="1:7">
      <c r="A1295" s="884">
        <v>43348</v>
      </c>
      <c r="B1295" s="240" t="str">
        <f>TiposLancamentos!B5</f>
        <v>Supermercado</v>
      </c>
      <c r="C1295" s="878" t="s">
        <v>6234</v>
      </c>
      <c r="D1295" s="63"/>
      <c r="E1295" s="231">
        <v>35.96</v>
      </c>
      <c r="F1295" s="899"/>
      <c r="G1295" s="1152" t="s">
        <v>9</v>
      </c>
    </row>
    <row r="1296" spans="1:7">
      <c r="A1296" s="1272">
        <v>43348</v>
      </c>
      <c r="B1296" s="279" t="str">
        <f>TiposLancamentos!B5</f>
        <v>Supermercado</v>
      </c>
      <c r="C1296" s="280" t="s">
        <v>18483</v>
      </c>
      <c r="D1296" s="281"/>
      <c r="E1296" s="1293">
        <v>36.9</v>
      </c>
      <c r="F1296" s="1271"/>
      <c r="G1296" s="1152" t="s">
        <v>9</v>
      </c>
    </row>
    <row r="1297" spans="1:7">
      <c r="A1297" s="1272">
        <v>43348</v>
      </c>
      <c r="B1297" s="279" t="str">
        <f>TiposLancamentos!B5</f>
        <v>Supermercado</v>
      </c>
      <c r="C1297" s="280" t="s">
        <v>19202</v>
      </c>
      <c r="D1297" s="281"/>
      <c r="E1297" s="1293">
        <v>30.5</v>
      </c>
      <c r="F1297" s="1271"/>
      <c r="G1297" s="1152" t="s">
        <v>9</v>
      </c>
    </row>
    <row r="1298" spans="1:7">
      <c r="A1298" s="884">
        <v>43348</v>
      </c>
      <c r="B1298" s="240" t="str">
        <f>TiposLancamentos!B72</f>
        <v>Presentes</v>
      </c>
      <c r="C1298" s="878" t="s">
        <v>19203</v>
      </c>
      <c r="D1298" s="63"/>
      <c r="E1298" s="231">
        <v>25.1</v>
      </c>
      <c r="F1298" s="899"/>
      <c r="G1298" s="1152" t="s">
        <v>9</v>
      </c>
    </row>
    <row r="1299" spans="1:7">
      <c r="A1299" s="1272">
        <v>43348</v>
      </c>
      <c r="B1299" s="279" t="str">
        <f>TiposLancamentos!B19</f>
        <v>Restaurantes</v>
      </c>
      <c r="C1299" s="280" t="s">
        <v>19204</v>
      </c>
      <c r="D1299" s="281"/>
      <c r="E1299" s="1293">
        <v>93.9</v>
      </c>
      <c r="F1299" s="1271"/>
      <c r="G1299" s="1152" t="s">
        <v>9</v>
      </c>
    </row>
    <row r="1300" spans="1:7">
      <c r="A1300" s="884">
        <v>43349</v>
      </c>
      <c r="B1300" s="240" t="str">
        <f>TiposLancamentos!B19</f>
        <v>Restaurantes</v>
      </c>
      <c r="C1300" s="878" t="s">
        <v>19205</v>
      </c>
      <c r="D1300" s="63"/>
      <c r="E1300" s="231">
        <v>43.9</v>
      </c>
      <c r="F1300" s="899"/>
      <c r="G1300" s="1152" t="s">
        <v>9</v>
      </c>
    </row>
    <row r="1301" spans="1:7">
      <c r="A1301" s="884">
        <v>43349</v>
      </c>
      <c r="B1301" s="240" t="str">
        <f>TiposLancamentos!B19</f>
        <v>Restaurantes</v>
      </c>
      <c r="C1301" s="878" t="s">
        <v>19206</v>
      </c>
      <c r="D1301" s="63"/>
      <c r="E1301" s="231">
        <v>37.25</v>
      </c>
      <c r="F1301" s="899"/>
      <c r="G1301" s="1152" t="s">
        <v>9</v>
      </c>
    </row>
    <row r="1302" spans="1:7">
      <c r="A1302" s="884">
        <v>43350</v>
      </c>
      <c r="B1302" s="240" t="str">
        <f>TiposLancamentos!B64</f>
        <v>Viagens</v>
      </c>
      <c r="C1302" s="878" t="s">
        <v>19207</v>
      </c>
      <c r="D1302" s="63"/>
      <c r="E1302" s="231">
        <v>473.44</v>
      </c>
      <c r="F1302" s="899">
        <f>E1302*3</f>
        <v>1420.32</v>
      </c>
      <c r="G1302" s="1152" t="s">
        <v>9</v>
      </c>
    </row>
    <row r="1303" spans="1:7">
      <c r="A1303" s="884">
        <v>43350</v>
      </c>
      <c r="B1303" s="240" t="str">
        <f>TiposLancamentos!B64</f>
        <v>Viagens</v>
      </c>
      <c r="C1303" s="878" t="s">
        <v>19208</v>
      </c>
      <c r="D1303" s="63"/>
      <c r="E1303" s="231">
        <v>280.45</v>
      </c>
      <c r="F1303" s="899"/>
      <c r="G1303" s="1152" t="s">
        <v>9</v>
      </c>
    </row>
    <row r="1304" spans="1:7">
      <c r="A1304" s="884">
        <v>43350</v>
      </c>
      <c r="B1304" s="240" t="str">
        <f>TiposLancamentos!B64</f>
        <v>Viagens</v>
      </c>
      <c r="C1304" s="878" t="s">
        <v>19209</v>
      </c>
      <c r="D1304" s="63"/>
      <c r="E1304" s="231">
        <v>169.2</v>
      </c>
      <c r="F1304" s="899">
        <f>E1304*3</f>
        <v>507.59999999999997</v>
      </c>
      <c r="G1304" s="1152" t="s">
        <v>9</v>
      </c>
    </row>
    <row r="1305" spans="1:7">
      <c r="A1305" s="1272">
        <v>43350</v>
      </c>
      <c r="B1305" s="279" t="str">
        <f>TiposLancamentos!B16</f>
        <v>Cristiane</v>
      </c>
      <c r="C1305" s="280" t="s">
        <v>19210</v>
      </c>
      <c r="D1305" s="281"/>
      <c r="E1305" s="1293">
        <v>189</v>
      </c>
      <c r="F1305" s="1271"/>
      <c r="G1305" s="1152" t="s">
        <v>9</v>
      </c>
    </row>
    <row r="1306" spans="1:7">
      <c r="A1306" s="884">
        <v>43350</v>
      </c>
      <c r="B1306" s="240" t="str">
        <f>TiposLancamentos!B19</f>
        <v>Restaurantes</v>
      </c>
      <c r="C1306" s="878" t="s">
        <v>19211</v>
      </c>
      <c r="D1306" s="63"/>
      <c r="E1306" s="231">
        <v>52.72</v>
      </c>
      <c r="F1306" s="899"/>
      <c r="G1306" s="1152" t="s">
        <v>9</v>
      </c>
    </row>
    <row r="1307" spans="1:7">
      <c r="A1307" s="1272">
        <v>43350</v>
      </c>
      <c r="B1307" s="279" t="str">
        <f>TiposLancamentos!B16</f>
        <v>Cristiane</v>
      </c>
      <c r="C1307" s="280" t="s">
        <v>19212</v>
      </c>
      <c r="D1307" s="281"/>
      <c r="E1307" s="1293">
        <v>188.95</v>
      </c>
      <c r="F1307" s="1271"/>
      <c r="G1307" s="1152" t="s">
        <v>9</v>
      </c>
    </row>
    <row r="1308" spans="1:7">
      <c r="A1308" s="1272">
        <v>43351</v>
      </c>
      <c r="B1308" s="279" t="str">
        <f>TiposLancamentos!B16</f>
        <v>Cristiane</v>
      </c>
      <c r="C1308" s="280" t="s">
        <v>19213</v>
      </c>
      <c r="D1308" s="281"/>
      <c r="E1308" s="1293">
        <v>228.7</v>
      </c>
      <c r="F1308" s="1271"/>
      <c r="G1308" s="1152" t="s">
        <v>9</v>
      </c>
    </row>
    <row r="1309" spans="1:7">
      <c r="A1309" s="884">
        <v>43352</v>
      </c>
      <c r="B1309" s="240" t="str">
        <f>TiposLancamentos!B22</f>
        <v>Combustivel</v>
      </c>
      <c r="C1309" s="878" t="s">
        <v>6398</v>
      </c>
      <c r="D1309" s="63"/>
      <c r="E1309" s="231">
        <v>146</v>
      </c>
      <c r="F1309" s="899"/>
      <c r="G1309" s="1152" t="s">
        <v>9</v>
      </c>
    </row>
    <row r="1310" spans="1:7">
      <c r="A1310" s="884">
        <v>43352</v>
      </c>
      <c r="B1310" s="240" t="str">
        <f>TiposLancamentos!B19</f>
        <v>Restaurantes</v>
      </c>
      <c r="C1310" s="878" t="s">
        <v>19214</v>
      </c>
      <c r="D1310" s="63"/>
      <c r="E1310" s="231">
        <v>13.03</v>
      </c>
      <c r="F1310" s="899"/>
      <c r="G1310" s="1152" t="s">
        <v>9</v>
      </c>
    </row>
    <row r="1311" spans="1:7">
      <c r="A1311" s="884">
        <v>43352</v>
      </c>
      <c r="B1311" s="240" t="str">
        <f>TiposLancamentos!B19</f>
        <v>Restaurantes</v>
      </c>
      <c r="C1311" s="878" t="s">
        <v>19215</v>
      </c>
      <c r="D1311" s="63"/>
      <c r="E1311" s="231">
        <v>38.6</v>
      </c>
      <c r="F1311" s="899"/>
      <c r="G1311" s="1152" t="s">
        <v>9</v>
      </c>
    </row>
    <row r="1312" spans="1:7">
      <c r="A1312" s="884">
        <v>43352</v>
      </c>
      <c r="B1312" s="240" t="str">
        <f>TiposLancamentos!B19</f>
        <v>Restaurantes</v>
      </c>
      <c r="C1312" s="878" t="s">
        <v>19216</v>
      </c>
      <c r="D1312" s="63"/>
      <c r="E1312" s="231">
        <v>90</v>
      </c>
      <c r="F1312" s="899"/>
      <c r="G1312" s="1152" t="s">
        <v>9</v>
      </c>
    </row>
    <row r="1313" spans="1:7">
      <c r="A1313" s="884">
        <v>43353</v>
      </c>
      <c r="B1313" s="240" t="str">
        <f>TiposLancamentos!B22</f>
        <v>Combustivel</v>
      </c>
      <c r="C1313" s="878" t="s">
        <v>6398</v>
      </c>
      <c r="D1313" s="63"/>
      <c r="E1313" s="231">
        <v>100</v>
      </c>
      <c r="F1313" s="899"/>
      <c r="G1313" s="1152" t="s">
        <v>9</v>
      </c>
    </row>
    <row r="1314" spans="1:7">
      <c r="A1314" s="884">
        <v>43353</v>
      </c>
      <c r="B1314" s="240" t="str">
        <f>TiposLancamentos!B5</f>
        <v>Supermercado</v>
      </c>
      <c r="C1314" s="878" t="s">
        <v>19217</v>
      </c>
      <c r="D1314" s="63"/>
      <c r="E1314" s="231">
        <v>16.350000000000001</v>
      </c>
      <c r="F1314" s="899"/>
      <c r="G1314" s="1152" t="s">
        <v>9</v>
      </c>
    </row>
    <row r="1315" spans="1:7">
      <c r="A1315" s="1272">
        <v>43354</v>
      </c>
      <c r="B1315" s="279" t="str">
        <f>TiposLancamentos!B5</f>
        <v>Supermercado</v>
      </c>
      <c r="C1315" s="280" t="s">
        <v>6234</v>
      </c>
      <c r="D1315" s="281"/>
      <c r="E1315" s="1293">
        <v>106.56</v>
      </c>
      <c r="F1315" s="1271"/>
      <c r="G1315" s="1152" t="s">
        <v>9</v>
      </c>
    </row>
    <row r="1316" spans="1:7">
      <c r="A1316" s="884">
        <v>43354</v>
      </c>
      <c r="B1316" s="240" t="str">
        <f>TiposLancamentos!B64</f>
        <v>Viagens</v>
      </c>
      <c r="C1316" s="878" t="s">
        <v>19218</v>
      </c>
      <c r="D1316" s="63"/>
      <c r="E1316" s="231">
        <f>F1316/6</f>
        <v>337.53166666666669</v>
      </c>
      <c r="F1316" s="899">
        <v>2025.19</v>
      </c>
      <c r="G1316" s="1152" t="s">
        <v>9</v>
      </c>
    </row>
    <row r="1317" spans="1:7">
      <c r="A1317" s="884">
        <v>43354</v>
      </c>
      <c r="B1317" s="240" t="str">
        <f>TiposLancamentos!B64</f>
        <v>Viagens</v>
      </c>
      <c r="C1317" s="878" t="s">
        <v>19219</v>
      </c>
      <c r="D1317" s="63"/>
      <c r="E1317" s="231">
        <v>89.88</v>
      </c>
      <c r="F1317" s="899">
        <v>539.30999999999995</v>
      </c>
      <c r="G1317" s="1152" t="s">
        <v>9</v>
      </c>
    </row>
    <row r="1318" spans="1:7">
      <c r="A1318" s="884">
        <v>43354</v>
      </c>
      <c r="B1318" s="240" t="str">
        <f>TiposLancamentos!B64</f>
        <v>Viagens</v>
      </c>
      <c r="C1318" s="878" t="s">
        <v>19220</v>
      </c>
      <c r="D1318" s="63"/>
      <c r="E1318" s="231">
        <f>F1318/6</f>
        <v>297.45999999999998</v>
      </c>
      <c r="F1318" s="899">
        <v>1784.76</v>
      </c>
      <c r="G1318" s="1152" t="s">
        <v>9</v>
      </c>
    </row>
    <row r="1319" spans="1:7">
      <c r="A1319" s="1272">
        <v>43354</v>
      </c>
      <c r="B1319" s="279" t="str">
        <f>TiposLancamentos!B19</f>
        <v>Restaurantes</v>
      </c>
      <c r="C1319" s="280" t="s">
        <v>19221</v>
      </c>
      <c r="D1319" s="281"/>
      <c r="E1319" s="1293">
        <v>74.3</v>
      </c>
      <c r="F1319" s="1271"/>
      <c r="G1319" s="1152" t="s">
        <v>9</v>
      </c>
    </row>
    <row r="1320" spans="1:7">
      <c r="A1320" s="884">
        <v>43355</v>
      </c>
      <c r="B1320" s="240" t="str">
        <f>TiposLancamentos!B5</f>
        <v>Supermercado</v>
      </c>
      <c r="C1320" s="878" t="s">
        <v>6234</v>
      </c>
      <c r="D1320" s="63"/>
      <c r="E1320" s="231">
        <v>66.31</v>
      </c>
      <c r="F1320" s="899"/>
      <c r="G1320" s="1152" t="s">
        <v>9</v>
      </c>
    </row>
    <row r="1321" spans="1:7">
      <c r="A1321" s="884">
        <v>43355</v>
      </c>
      <c r="B1321" s="240" t="str">
        <f>TiposLancamentos!B19</f>
        <v>Restaurantes</v>
      </c>
      <c r="C1321" s="878" t="s">
        <v>19222</v>
      </c>
      <c r="D1321" s="63"/>
      <c r="E1321" s="231">
        <v>73.260000000000005</v>
      </c>
      <c r="F1321" s="899"/>
      <c r="G1321" s="1152" t="s">
        <v>9</v>
      </c>
    </row>
    <row r="1322" spans="1:7">
      <c r="A1322" s="884">
        <v>43355</v>
      </c>
      <c r="B1322" s="240" t="str">
        <f>TiposLancamentos!B57</f>
        <v>Informática</v>
      </c>
      <c r="C1322" s="878" t="s">
        <v>19223</v>
      </c>
      <c r="D1322" s="63"/>
      <c r="E1322" s="231">
        <v>68.89</v>
      </c>
      <c r="F1322" s="899"/>
      <c r="G1322" s="1152" t="s">
        <v>9</v>
      </c>
    </row>
    <row r="1323" spans="1:7">
      <c r="A1323" s="884">
        <v>43356</v>
      </c>
      <c r="B1323" s="240" t="str">
        <f>TiposLancamentos!B5</f>
        <v>Supermercado</v>
      </c>
      <c r="C1323" s="878" t="s">
        <v>6234</v>
      </c>
      <c r="D1323" s="63"/>
      <c r="E1323" s="231">
        <v>64.569999999999993</v>
      </c>
      <c r="F1323" s="899"/>
      <c r="G1323" s="1152" t="s">
        <v>9</v>
      </c>
    </row>
    <row r="1324" spans="1:7">
      <c r="A1324" s="884">
        <v>43356</v>
      </c>
      <c r="B1324" s="240" t="str">
        <f>TiposLancamentos!B5</f>
        <v>Supermercado</v>
      </c>
      <c r="C1324" s="878" t="s">
        <v>6234</v>
      </c>
      <c r="D1324" s="63"/>
      <c r="E1324" s="231">
        <v>85.13</v>
      </c>
      <c r="F1324" s="899"/>
      <c r="G1324" s="1152" t="s">
        <v>9</v>
      </c>
    </row>
    <row r="1325" spans="1:7">
      <c r="A1325" s="884">
        <v>43357</v>
      </c>
      <c r="B1325" s="240" t="str">
        <f>TiposLancamentos!B71</f>
        <v>Itens Pessoais</v>
      </c>
      <c r="C1325" s="878" t="s">
        <v>19224</v>
      </c>
      <c r="D1325" s="63"/>
      <c r="E1325" s="231">
        <f>F1325/10</f>
        <v>199.8</v>
      </c>
      <c r="F1325" s="899">
        <v>1998</v>
      </c>
      <c r="G1325" s="1152" t="s">
        <v>9</v>
      </c>
    </row>
    <row r="1326" spans="1:7">
      <c r="A1326" s="1272">
        <v>43357</v>
      </c>
      <c r="B1326" s="279" t="str">
        <f>TiposLancamentos!B19</f>
        <v>Restaurantes</v>
      </c>
      <c r="C1326" s="280" t="s">
        <v>11101</v>
      </c>
      <c r="D1326" s="281"/>
      <c r="E1326" s="1293">
        <v>39</v>
      </c>
      <c r="F1326" s="1271"/>
      <c r="G1326" s="1152" t="s">
        <v>9</v>
      </c>
    </row>
    <row r="1327" spans="1:7">
      <c r="A1327" s="1226">
        <v>43358</v>
      </c>
      <c r="B1327" s="1218" t="str">
        <f>TiposLancamentos!B16</f>
        <v>Cristiane</v>
      </c>
      <c r="C1327" s="1219" t="s">
        <v>19225</v>
      </c>
      <c r="D1327" s="1220"/>
      <c r="E1327" s="1221">
        <f>(55.03*1.3)</f>
        <v>71.539000000000001</v>
      </c>
      <c r="F1327" s="1227"/>
      <c r="G1327" s="1152" t="s">
        <v>9</v>
      </c>
    </row>
    <row r="1328" spans="1:7">
      <c r="A1328" s="1228">
        <v>43358</v>
      </c>
      <c r="B1328" s="1222" t="str">
        <f>TiposLancamentos!B56</f>
        <v>Farmácia</v>
      </c>
      <c r="C1328" s="1223" t="s">
        <v>19226</v>
      </c>
      <c r="D1328" s="1224"/>
      <c r="E1328" s="1225">
        <f>F1328-E1327</f>
        <v>155.471</v>
      </c>
      <c r="F1328" s="1229">
        <v>227.01</v>
      </c>
      <c r="G1328" s="1152" t="s">
        <v>9</v>
      </c>
    </row>
    <row r="1329" spans="1:7">
      <c r="A1329" s="1272">
        <v>43358</v>
      </c>
      <c r="B1329" s="279" t="str">
        <f>TiposLancamentos!B16</f>
        <v>Cristiane</v>
      </c>
      <c r="C1329" s="280" t="s">
        <v>19227</v>
      </c>
      <c r="D1329" s="281"/>
      <c r="E1329" s="1293">
        <v>20</v>
      </c>
      <c r="F1329" s="1271"/>
      <c r="G1329" s="1152" t="s">
        <v>9</v>
      </c>
    </row>
    <row r="1330" spans="1:7">
      <c r="A1330" s="884">
        <v>43358</v>
      </c>
      <c r="B1330" s="240" t="str">
        <f>TiposLancamentos!B13</f>
        <v>Moradia</v>
      </c>
      <c r="C1330" s="878" t="s">
        <v>19228</v>
      </c>
      <c r="D1330" s="63"/>
      <c r="E1330" s="231">
        <v>49.9</v>
      </c>
      <c r="F1330" s="899"/>
      <c r="G1330" s="1152" t="s">
        <v>9</v>
      </c>
    </row>
    <row r="1331" spans="1:7">
      <c r="A1331" s="884">
        <v>43358</v>
      </c>
      <c r="B1331" s="240" t="str">
        <f>TiposLancamentos!B5</f>
        <v>Supermercado</v>
      </c>
      <c r="C1331" s="878" t="s">
        <v>6234</v>
      </c>
      <c r="D1331" s="63"/>
      <c r="E1331" s="231">
        <v>75.709999999999994</v>
      </c>
      <c r="F1331" s="899"/>
      <c r="G1331" s="1152" t="s">
        <v>9</v>
      </c>
    </row>
    <row r="1332" spans="1:7">
      <c r="A1332" s="884">
        <v>43359</v>
      </c>
      <c r="B1332" s="240" t="str">
        <f>TiposLancamentos!B5</f>
        <v>Supermercado</v>
      </c>
      <c r="C1332" s="878" t="s">
        <v>6234</v>
      </c>
      <c r="D1332" s="63"/>
      <c r="E1332" s="231">
        <v>78.010000000000005</v>
      </c>
      <c r="F1332" s="899"/>
      <c r="G1332" s="1152" t="s">
        <v>9</v>
      </c>
    </row>
    <row r="1333" spans="1:7">
      <c r="A1333" s="884">
        <v>43360</v>
      </c>
      <c r="B1333" s="240" t="str">
        <f>TiposLancamentos!B5</f>
        <v>Supermercado</v>
      </c>
      <c r="C1333" s="878" t="s">
        <v>6234</v>
      </c>
      <c r="D1333" s="63"/>
      <c r="E1333" s="231">
        <v>54.76</v>
      </c>
      <c r="F1333" s="899"/>
      <c r="G1333" s="1152" t="s">
        <v>9</v>
      </c>
    </row>
    <row r="1334" spans="1:7">
      <c r="A1334" s="884">
        <v>43360</v>
      </c>
      <c r="B1334" s="240" t="str">
        <f>TiposLancamentos!B22</f>
        <v>Combustivel</v>
      </c>
      <c r="C1334" s="878" t="s">
        <v>6718</v>
      </c>
      <c r="D1334" s="63"/>
      <c r="E1334" s="231">
        <v>200.04</v>
      </c>
      <c r="F1334" s="899"/>
      <c r="G1334" s="1152" t="s">
        <v>9</v>
      </c>
    </row>
    <row r="1335" spans="1:7">
      <c r="A1335" s="1272">
        <v>43360</v>
      </c>
      <c r="B1335" s="279" t="str">
        <f>TiposLancamentos!B19</f>
        <v>Restaurantes</v>
      </c>
      <c r="C1335" s="280" t="s">
        <v>11101</v>
      </c>
      <c r="D1335" s="281"/>
      <c r="E1335" s="1293">
        <v>46</v>
      </c>
      <c r="F1335" s="1271"/>
      <c r="G1335" s="1152" t="s">
        <v>9</v>
      </c>
    </row>
    <row r="1336" spans="1:7">
      <c r="A1336" s="884">
        <v>43361</v>
      </c>
      <c r="B1336" s="240" t="str">
        <f>TiposLancamentos!B4</f>
        <v>Taxas Bancarias</v>
      </c>
      <c r="C1336" s="878" t="s">
        <v>19229</v>
      </c>
      <c r="D1336" s="63"/>
      <c r="E1336" s="231">
        <v>179.98</v>
      </c>
      <c r="F1336" s="899"/>
      <c r="G1336" s="1152"/>
    </row>
    <row r="1337" spans="1:7">
      <c r="A1337" s="884">
        <v>43361</v>
      </c>
      <c r="B1337" s="240" t="str">
        <f>TiposLancamentos!B78</f>
        <v>Diferenças</v>
      </c>
      <c r="C1337" s="878" t="s">
        <v>19230</v>
      </c>
      <c r="D1337" s="63"/>
      <c r="E1337" s="231">
        <v>7.58</v>
      </c>
      <c r="F1337" s="899"/>
      <c r="G1337" s="1152"/>
    </row>
    <row r="1338" spans="1:7">
      <c r="A1338" s="934"/>
      <c r="B1338" s="243"/>
      <c r="C1338" s="389" t="s">
        <v>10</v>
      </c>
      <c r="D1338" s="146"/>
      <c r="E1338" s="1190"/>
      <c r="F1338" s="935"/>
      <c r="G1338" s="1094" t="s">
        <v>11</v>
      </c>
    </row>
    <row r="1339" spans="1:7">
      <c r="A1339" s="884">
        <v>43361</v>
      </c>
      <c r="B1339" s="240" t="str">
        <f>TiposLancamentos!B65</f>
        <v>Taxi</v>
      </c>
      <c r="C1339" s="878" t="s">
        <v>19231</v>
      </c>
      <c r="D1339" s="63"/>
      <c r="E1339" s="231">
        <v>51.08</v>
      </c>
      <c r="F1339" s="899"/>
      <c r="G1339" s="1152" t="s">
        <v>9</v>
      </c>
    </row>
    <row r="1340" spans="1:7">
      <c r="A1340" s="884">
        <v>43361</v>
      </c>
      <c r="B1340" s="240" t="str">
        <f>TiposLancamentos!B19</f>
        <v>Restaurantes</v>
      </c>
      <c r="C1340" s="878" t="s">
        <v>19232</v>
      </c>
      <c r="D1340" s="63"/>
      <c r="E1340" s="231">
        <v>33.9</v>
      </c>
      <c r="F1340" s="899"/>
      <c r="G1340" s="1152" t="s">
        <v>9</v>
      </c>
    </row>
    <row r="1341" spans="1:7">
      <c r="A1341" s="884">
        <v>43361</v>
      </c>
      <c r="B1341" s="240" t="str">
        <f>TiposLancamentos!B65</f>
        <v>Taxi</v>
      </c>
      <c r="C1341" s="878" t="s">
        <v>19233</v>
      </c>
      <c r="D1341" s="63"/>
      <c r="E1341" s="231">
        <v>50.53</v>
      </c>
      <c r="F1341" s="899"/>
      <c r="G1341" s="1152" t="s">
        <v>9</v>
      </c>
    </row>
    <row r="1342" spans="1:7">
      <c r="A1342" s="884">
        <v>43362</v>
      </c>
      <c r="B1342" s="240" t="str">
        <f>TiposLancamentos!B5</f>
        <v>Supermercado</v>
      </c>
      <c r="C1342" s="878" t="s">
        <v>6234</v>
      </c>
      <c r="D1342" s="63"/>
      <c r="E1342" s="231">
        <v>34.049999999999997</v>
      </c>
      <c r="F1342" s="899"/>
      <c r="G1342" s="1152" t="s">
        <v>9</v>
      </c>
    </row>
    <row r="1343" spans="1:7">
      <c r="A1343" s="1272">
        <v>43362</v>
      </c>
      <c r="B1343" s="279" t="str">
        <f>TiposLancamentos!B16</f>
        <v>Cristiane</v>
      </c>
      <c r="C1343" s="280" t="s">
        <v>19234</v>
      </c>
      <c r="D1343" s="281"/>
      <c r="E1343" s="1293">
        <v>148.69</v>
      </c>
      <c r="F1343" s="1271"/>
      <c r="G1343" s="1152" t="s">
        <v>9</v>
      </c>
    </row>
    <row r="1344" spans="1:7">
      <c r="A1344" s="1272">
        <v>43362</v>
      </c>
      <c r="B1344" s="279" t="str">
        <f>TiposLancamentos!B16</f>
        <v>Cristiane</v>
      </c>
      <c r="C1344" s="280" t="s">
        <v>19235</v>
      </c>
      <c r="D1344" s="281"/>
      <c r="E1344" s="1293">
        <v>146.63999999999999</v>
      </c>
      <c r="F1344" s="1271"/>
      <c r="G1344" s="1152" t="s">
        <v>9</v>
      </c>
    </row>
    <row r="1345" spans="1:7">
      <c r="A1345" s="884">
        <v>43362</v>
      </c>
      <c r="B1345" s="240" t="str">
        <f>TiposLancamentos!B65</f>
        <v>Taxi</v>
      </c>
      <c r="C1345" s="878" t="s">
        <v>2104</v>
      </c>
      <c r="D1345" s="63"/>
      <c r="E1345" s="231">
        <v>6.75</v>
      </c>
      <c r="F1345" s="899"/>
      <c r="G1345" s="1152" t="s">
        <v>9</v>
      </c>
    </row>
    <row r="1346" spans="1:7">
      <c r="A1346" s="1272">
        <v>43363</v>
      </c>
      <c r="B1346" s="279" t="str">
        <f>TiposLancamentos!B16</f>
        <v>Cristiane</v>
      </c>
      <c r="C1346" s="280" t="s">
        <v>19236</v>
      </c>
      <c r="D1346" s="281"/>
      <c r="E1346" s="1293">
        <v>20.79</v>
      </c>
      <c r="F1346" s="1271"/>
      <c r="G1346" s="1152" t="s">
        <v>9</v>
      </c>
    </row>
    <row r="1347" spans="1:7">
      <c r="A1347" s="1272">
        <v>43363</v>
      </c>
      <c r="B1347" s="279" t="str">
        <f>TiposLancamentos!B16</f>
        <v>Cristiane</v>
      </c>
      <c r="C1347" s="280" t="s">
        <v>19237</v>
      </c>
      <c r="D1347" s="281"/>
      <c r="E1347" s="1293">
        <v>22.9</v>
      </c>
      <c r="F1347" s="1271"/>
      <c r="G1347" s="1152" t="s">
        <v>9</v>
      </c>
    </row>
    <row r="1348" spans="1:7">
      <c r="A1348" s="1272">
        <v>43363</v>
      </c>
      <c r="B1348" s="279" t="str">
        <f>TiposLancamentos!B16</f>
        <v>Cristiane</v>
      </c>
      <c r="C1348" s="280" t="s">
        <v>19238</v>
      </c>
      <c r="D1348" s="281"/>
      <c r="E1348" s="1293">
        <v>24</v>
      </c>
      <c r="F1348" s="1271"/>
      <c r="G1348" s="1152" t="s">
        <v>9</v>
      </c>
    </row>
    <row r="1349" spans="1:7">
      <c r="A1349" s="884">
        <v>43363</v>
      </c>
      <c r="B1349" s="240" t="str">
        <f>TiposLancamentos!B19</f>
        <v>Restaurantes</v>
      </c>
      <c r="C1349" s="878" t="s">
        <v>19239</v>
      </c>
      <c r="D1349" s="63"/>
      <c r="E1349" s="231">
        <v>82</v>
      </c>
      <c r="F1349" s="899"/>
      <c r="G1349" s="1152" t="s">
        <v>9</v>
      </c>
    </row>
    <row r="1350" spans="1:7">
      <c r="A1350" s="884">
        <v>43364</v>
      </c>
      <c r="B1350" s="240" t="str">
        <f>TiposLancamentos!B26</f>
        <v>LIVROS</v>
      </c>
      <c r="C1350" s="878" t="s">
        <v>19240</v>
      </c>
      <c r="D1350" s="63"/>
      <c r="E1350" s="231">
        <v>85.12</v>
      </c>
      <c r="F1350" s="899"/>
      <c r="G1350" s="1152" t="s">
        <v>9</v>
      </c>
    </row>
    <row r="1351" spans="1:7">
      <c r="A1351" s="884">
        <v>43364</v>
      </c>
      <c r="B1351" s="240" t="str">
        <f>TiposLancamentos!B45</f>
        <v>Online Services</v>
      </c>
      <c r="C1351" s="878" t="s">
        <v>19027</v>
      </c>
      <c r="D1351" s="63"/>
      <c r="E1351" s="231">
        <v>33</v>
      </c>
      <c r="F1351" s="899"/>
      <c r="G1351" s="1152" t="s">
        <v>9</v>
      </c>
    </row>
    <row r="1352" spans="1:7">
      <c r="A1352" s="884">
        <v>43365</v>
      </c>
      <c r="B1352" s="240" t="str">
        <f>TiposLancamentos!B5</f>
        <v>Supermercado</v>
      </c>
      <c r="C1352" s="878" t="s">
        <v>6234</v>
      </c>
      <c r="D1352" s="63"/>
      <c r="E1352" s="231">
        <v>89.01</v>
      </c>
      <c r="F1352" s="899"/>
      <c r="G1352" s="1152" t="s">
        <v>9</v>
      </c>
    </row>
    <row r="1353" spans="1:7">
      <c r="A1353" s="884">
        <v>43365</v>
      </c>
      <c r="B1353" s="240" t="str">
        <f>TiposLancamentos!B48</f>
        <v>Baralhos e Oráculos</v>
      </c>
      <c r="C1353" s="878" t="s">
        <v>19241</v>
      </c>
      <c r="D1353" s="63"/>
      <c r="E1353" s="231">
        <v>80</v>
      </c>
      <c r="F1353" s="899"/>
      <c r="G1353" s="1152" t="s">
        <v>9</v>
      </c>
    </row>
    <row r="1354" spans="1:7">
      <c r="A1354" s="884">
        <v>43365</v>
      </c>
      <c r="B1354" s="240" t="str">
        <f>TiposLancamentos!B48</f>
        <v>Baralhos e Oráculos</v>
      </c>
      <c r="C1354" s="878" t="s">
        <v>19242</v>
      </c>
      <c r="D1354" s="63"/>
      <c r="E1354" s="231">
        <v>310</v>
      </c>
      <c r="F1354" s="899"/>
      <c r="G1354" s="1152" t="s">
        <v>9</v>
      </c>
    </row>
    <row r="1355" spans="1:7">
      <c r="A1355" s="884">
        <v>43365</v>
      </c>
      <c r="B1355" s="240" t="str">
        <f>TiposLancamentos!B19</f>
        <v>Restaurantes</v>
      </c>
      <c r="C1355" s="878" t="s">
        <v>19243</v>
      </c>
      <c r="D1355" s="63"/>
      <c r="E1355" s="231">
        <v>14.8</v>
      </c>
      <c r="F1355" s="899"/>
      <c r="G1355" s="1152" t="s">
        <v>9</v>
      </c>
    </row>
    <row r="1356" spans="1:7">
      <c r="A1356" s="884">
        <v>43365</v>
      </c>
      <c r="B1356" s="240" t="str">
        <f>TiposLancamentos!B73</f>
        <v>Cursos</v>
      </c>
      <c r="C1356" s="878" t="s">
        <v>19244</v>
      </c>
      <c r="D1356" s="63"/>
      <c r="E1356" s="231">
        <v>51</v>
      </c>
      <c r="F1356" s="899"/>
      <c r="G1356" s="1152" t="s">
        <v>9</v>
      </c>
    </row>
    <row r="1357" spans="1:7">
      <c r="A1357" s="884">
        <v>43365</v>
      </c>
      <c r="B1357" s="240" t="str">
        <f>TiposLancamentos!B19</f>
        <v>Restaurantes</v>
      </c>
      <c r="C1357" s="878" t="s">
        <v>19245</v>
      </c>
      <c r="D1357" s="63"/>
      <c r="E1357" s="231">
        <v>49.92</v>
      </c>
      <c r="F1357" s="899"/>
      <c r="G1357" s="1152" t="s">
        <v>9</v>
      </c>
    </row>
    <row r="1358" spans="1:7">
      <c r="A1358" s="1272">
        <v>43367</v>
      </c>
      <c r="B1358" s="279" t="str">
        <f>TiposLancamentos!B16</f>
        <v>Cristiane</v>
      </c>
      <c r="C1358" s="280" t="s">
        <v>19246</v>
      </c>
      <c r="D1358" s="281"/>
      <c r="E1358" s="1293">
        <v>59.99</v>
      </c>
      <c r="F1358" s="1271"/>
      <c r="G1358" s="1152" t="s">
        <v>9</v>
      </c>
    </row>
    <row r="1359" spans="1:7">
      <c r="A1359" s="884">
        <v>43367</v>
      </c>
      <c r="B1359" s="240" t="str">
        <f>TiposLancamentos!B19</f>
        <v>Restaurantes</v>
      </c>
      <c r="C1359" s="878" t="s">
        <v>14787</v>
      </c>
      <c r="D1359" s="63"/>
      <c r="E1359" s="231">
        <v>12.95</v>
      </c>
      <c r="F1359" s="899"/>
      <c r="G1359" s="1152" t="s">
        <v>9</v>
      </c>
    </row>
    <row r="1360" spans="1:7">
      <c r="A1360" s="1272">
        <v>43367</v>
      </c>
      <c r="B1360" s="279" t="str">
        <f>TiposLancamentos!B16</f>
        <v>Cristiane</v>
      </c>
      <c r="C1360" s="280" t="s">
        <v>19247</v>
      </c>
      <c r="D1360" s="281"/>
      <c r="E1360" s="1293">
        <v>40</v>
      </c>
      <c r="F1360" s="1271"/>
      <c r="G1360" s="1152" t="s">
        <v>9</v>
      </c>
    </row>
    <row r="1361" spans="1:7">
      <c r="A1361" s="884">
        <v>43367</v>
      </c>
      <c r="B1361" s="240" t="str">
        <f>TiposLancamentos!B56</f>
        <v>Farmácia</v>
      </c>
      <c r="C1361" s="878" t="s">
        <v>19248</v>
      </c>
      <c r="D1361" s="63"/>
      <c r="E1361" s="231">
        <v>37.130000000000003</v>
      </c>
      <c r="F1361" s="899"/>
      <c r="G1361" s="1152" t="s">
        <v>9</v>
      </c>
    </row>
    <row r="1362" spans="1:7">
      <c r="A1362" s="884">
        <v>43367</v>
      </c>
      <c r="B1362" s="240" t="str">
        <f>TiposLancamentos!B56</f>
        <v>Farmácia</v>
      </c>
      <c r="C1362" s="878" t="s">
        <v>19249</v>
      </c>
      <c r="D1362" s="63"/>
      <c r="E1362" s="231">
        <v>4.88</v>
      </c>
      <c r="F1362" s="899"/>
      <c r="G1362" s="1152" t="s">
        <v>9</v>
      </c>
    </row>
    <row r="1363" spans="1:7">
      <c r="A1363" s="884">
        <v>43367</v>
      </c>
      <c r="B1363" s="240" t="str">
        <f>TiposLancamentos!B19</f>
        <v>Restaurantes</v>
      </c>
      <c r="C1363" s="878" t="s">
        <v>7068</v>
      </c>
      <c r="D1363" s="63"/>
      <c r="E1363" s="231">
        <v>36.200000000000003</v>
      </c>
      <c r="F1363" s="899"/>
      <c r="G1363" s="1152" t="s">
        <v>9</v>
      </c>
    </row>
    <row r="1364" spans="1:7">
      <c r="A1364" s="884">
        <v>43368</v>
      </c>
      <c r="B1364" s="240" t="str">
        <f>TiposLancamentos!B5</f>
        <v>Supermercado</v>
      </c>
      <c r="C1364" s="878" t="s">
        <v>6234</v>
      </c>
      <c r="D1364" s="63"/>
      <c r="E1364" s="231">
        <v>33.72</v>
      </c>
      <c r="F1364" s="899"/>
      <c r="G1364" s="1152" t="s">
        <v>9</v>
      </c>
    </row>
    <row r="1365" spans="1:7">
      <c r="A1365" s="1272">
        <v>43368</v>
      </c>
      <c r="B1365" s="279" t="str">
        <f>TiposLancamentos!B34</f>
        <v>Seguros</v>
      </c>
      <c r="C1365" s="280" t="s">
        <v>19250</v>
      </c>
      <c r="D1365" s="281"/>
      <c r="E1365" s="1293">
        <f>F1365/4</f>
        <v>294.12</v>
      </c>
      <c r="F1365" s="1271">
        <v>1176.48</v>
      </c>
      <c r="G1365" s="1152" t="s">
        <v>9</v>
      </c>
    </row>
    <row r="1366" spans="1:7">
      <c r="A1366" s="884">
        <v>43368</v>
      </c>
      <c r="B1366" s="240" t="str">
        <f>TiposLancamentos!B19</f>
        <v>Restaurantes</v>
      </c>
      <c r="C1366" s="878" t="s">
        <v>10648</v>
      </c>
      <c r="D1366" s="63"/>
      <c r="E1366" s="231">
        <v>23.31</v>
      </c>
      <c r="F1366" s="899"/>
      <c r="G1366" s="1152" t="s">
        <v>9</v>
      </c>
    </row>
    <row r="1367" spans="1:7">
      <c r="A1367" s="884">
        <v>43368</v>
      </c>
      <c r="B1367" s="240" t="str">
        <f>TiposLancamentos!B19</f>
        <v>Restaurantes</v>
      </c>
      <c r="C1367" s="878" t="s">
        <v>14787</v>
      </c>
      <c r="D1367" s="63"/>
      <c r="E1367" s="231">
        <v>10.85</v>
      </c>
      <c r="F1367" s="899"/>
      <c r="G1367" s="1152" t="s">
        <v>9</v>
      </c>
    </row>
    <row r="1368" spans="1:7">
      <c r="A1368" s="1272">
        <v>43368</v>
      </c>
      <c r="B1368" s="279" t="str">
        <f>TiposLancamentos!B16</f>
        <v>Cristiane</v>
      </c>
      <c r="C1368" s="280" t="s">
        <v>19251</v>
      </c>
      <c r="D1368" s="281"/>
      <c r="E1368" s="1293">
        <v>54.62</v>
      </c>
      <c r="F1368" s="1271"/>
      <c r="G1368" s="1152" t="s">
        <v>9</v>
      </c>
    </row>
    <row r="1369" spans="1:7">
      <c r="A1369" s="1272">
        <v>43368</v>
      </c>
      <c r="B1369" s="279" t="str">
        <f>TiposLancamentos!B16</f>
        <v>Cristiane</v>
      </c>
      <c r="C1369" s="280" t="s">
        <v>19252</v>
      </c>
      <c r="D1369" s="281"/>
      <c r="E1369" s="1293">
        <v>112.91</v>
      </c>
      <c r="F1369" s="1271"/>
      <c r="G1369" s="1152" t="s">
        <v>9</v>
      </c>
    </row>
    <row r="1370" spans="1:7">
      <c r="A1370" s="1272">
        <v>43369</v>
      </c>
      <c r="B1370" s="279" t="str">
        <f>TiposLancamentos!B34</f>
        <v>Seguros</v>
      </c>
      <c r="C1370" s="280" t="s">
        <v>19253</v>
      </c>
      <c r="D1370" s="281"/>
      <c r="E1370" s="1293">
        <v>391.98</v>
      </c>
      <c r="F1370" s="1271">
        <v>1567.92</v>
      </c>
      <c r="G1370" s="1152" t="s">
        <v>9</v>
      </c>
    </row>
    <row r="1371" spans="1:7">
      <c r="A1371" s="884">
        <v>43369</v>
      </c>
      <c r="B1371" s="240" t="str">
        <f>TiposLancamentos!B19</f>
        <v>Restaurantes</v>
      </c>
      <c r="C1371" s="878" t="s">
        <v>19254</v>
      </c>
      <c r="D1371" s="63"/>
      <c r="E1371" s="231">
        <v>7</v>
      </c>
      <c r="F1371" s="899"/>
      <c r="G1371" s="1152" t="s">
        <v>9</v>
      </c>
    </row>
    <row r="1372" spans="1:7">
      <c r="A1372" s="884">
        <v>43369</v>
      </c>
      <c r="B1372" s="240" t="str">
        <f>TiposLancamentos!B19</f>
        <v>Restaurantes</v>
      </c>
      <c r="C1372" s="878" t="s">
        <v>10648</v>
      </c>
      <c r="D1372" s="63"/>
      <c r="E1372" s="231">
        <v>12.91</v>
      </c>
      <c r="F1372" s="899"/>
      <c r="G1372" s="1152" t="s">
        <v>9</v>
      </c>
    </row>
    <row r="1373" spans="1:7">
      <c r="A1373" s="884">
        <v>43369</v>
      </c>
      <c r="B1373" s="240" t="str">
        <f>TiposLancamentos!B19</f>
        <v>Restaurantes</v>
      </c>
      <c r="C1373" s="878" t="s">
        <v>19255</v>
      </c>
      <c r="D1373" s="63"/>
      <c r="E1373" s="231">
        <v>15.57</v>
      </c>
      <c r="F1373" s="899"/>
      <c r="G1373" s="1152" t="s">
        <v>9</v>
      </c>
    </row>
    <row r="1374" spans="1:7">
      <c r="A1374" s="884">
        <v>43369</v>
      </c>
      <c r="B1374" s="240" t="str">
        <f>TiposLancamentos!B19</f>
        <v>Restaurantes</v>
      </c>
      <c r="C1374" s="878" t="s">
        <v>19256</v>
      </c>
      <c r="D1374" s="63"/>
      <c r="E1374" s="231">
        <v>31.04</v>
      </c>
      <c r="F1374" s="899"/>
      <c r="G1374" s="1152" t="s">
        <v>9</v>
      </c>
    </row>
    <row r="1375" spans="1:7">
      <c r="A1375" s="884">
        <v>43370</v>
      </c>
      <c r="B1375" s="240" t="str">
        <f>TiposLancamentos!B19</f>
        <v>Restaurantes</v>
      </c>
      <c r="C1375" s="878" t="s">
        <v>10662</v>
      </c>
      <c r="D1375" s="63"/>
      <c r="E1375" s="231">
        <v>23.9</v>
      </c>
      <c r="F1375" s="899"/>
      <c r="G1375" s="1152" t="s">
        <v>9</v>
      </c>
    </row>
    <row r="1376" spans="1:7">
      <c r="A1376" s="884">
        <v>43370</v>
      </c>
      <c r="B1376" s="240" t="str">
        <f>TiposLancamentos!B19</f>
        <v>Restaurantes</v>
      </c>
      <c r="C1376" s="878" t="s">
        <v>14787</v>
      </c>
      <c r="D1376" s="63"/>
      <c r="E1376" s="231">
        <v>15.08</v>
      </c>
      <c r="F1376" s="899"/>
      <c r="G1376" s="1152" t="s">
        <v>9</v>
      </c>
    </row>
    <row r="1377" spans="1:7">
      <c r="A1377" s="1272">
        <v>43370</v>
      </c>
      <c r="B1377" s="279" t="str">
        <f>TiposLancamentos!B72</f>
        <v>Presentes</v>
      </c>
      <c r="C1377" s="280" t="s">
        <v>19257</v>
      </c>
      <c r="D1377" s="281"/>
      <c r="E1377" s="1293">
        <v>60</v>
      </c>
      <c r="F1377" s="1271"/>
      <c r="G1377" s="1152" t="s">
        <v>9</v>
      </c>
    </row>
    <row r="1378" spans="1:7">
      <c r="A1378" s="884">
        <v>43370</v>
      </c>
      <c r="B1378" s="240" t="str">
        <f>TiposLancamentos!B5</f>
        <v>Supermercado</v>
      </c>
      <c r="C1378" s="878" t="s">
        <v>5844</v>
      </c>
      <c r="D1378" s="63"/>
      <c r="E1378" s="231">
        <v>97.29</v>
      </c>
      <c r="F1378" s="899"/>
      <c r="G1378" s="1152" t="s">
        <v>9</v>
      </c>
    </row>
    <row r="1379" spans="1:7">
      <c r="A1379" s="884">
        <v>43371</v>
      </c>
      <c r="B1379" s="240" t="str">
        <f>TiposLancamentos!B45</f>
        <v>Online Services</v>
      </c>
      <c r="C1379" s="878" t="s">
        <v>1895</v>
      </c>
      <c r="D1379" s="63"/>
      <c r="E1379" s="231">
        <v>26.9</v>
      </c>
      <c r="F1379" s="899"/>
      <c r="G1379" s="1152" t="s">
        <v>9</v>
      </c>
    </row>
    <row r="1380" spans="1:7">
      <c r="A1380" s="884">
        <v>43372</v>
      </c>
      <c r="B1380" s="240" t="str">
        <f>TiposLancamentos!B13</f>
        <v>Moradia</v>
      </c>
      <c r="C1380" s="878" t="s">
        <v>19258</v>
      </c>
      <c r="D1380" s="63"/>
      <c r="E1380" s="231">
        <v>36.9</v>
      </c>
      <c r="F1380" s="899"/>
      <c r="G1380" s="1152" t="s">
        <v>9</v>
      </c>
    </row>
    <row r="1381" spans="1:7">
      <c r="A1381" s="884">
        <v>43372</v>
      </c>
      <c r="B1381" s="240" t="str">
        <f>TiposLancamentos!B19</f>
        <v>Restaurantes</v>
      </c>
      <c r="C1381" s="878" t="s">
        <v>19259</v>
      </c>
      <c r="D1381" s="63"/>
      <c r="E1381" s="231">
        <v>55.3</v>
      </c>
      <c r="F1381" s="899"/>
      <c r="G1381" s="1152" t="s">
        <v>9</v>
      </c>
    </row>
    <row r="1382" spans="1:7">
      <c r="A1382" s="1272">
        <v>43373</v>
      </c>
      <c r="B1382" s="279" t="str">
        <f>TiposLancamentos!B16</f>
        <v>Cristiane</v>
      </c>
      <c r="C1382" s="280" t="s">
        <v>19260</v>
      </c>
      <c r="D1382" s="281"/>
      <c r="E1382" s="1293">
        <v>75.72</v>
      </c>
      <c r="F1382" s="1271"/>
      <c r="G1382" s="1152" t="s">
        <v>9</v>
      </c>
    </row>
    <row r="1383" spans="1:7">
      <c r="A1383" s="884">
        <v>43373</v>
      </c>
      <c r="B1383" s="240" t="str">
        <f>TiposLancamentos!B44</f>
        <v>Academia</v>
      </c>
      <c r="C1383" s="878" t="s">
        <v>19261</v>
      </c>
      <c r="D1383" s="63"/>
      <c r="E1383" s="231">
        <v>115.6</v>
      </c>
      <c r="F1383" s="899"/>
      <c r="G1383" s="1152" t="s">
        <v>9</v>
      </c>
    </row>
    <row r="1384" spans="1:7">
      <c r="A1384" s="1272">
        <v>43373</v>
      </c>
      <c r="B1384" s="279" t="str">
        <f>TiposLancamentos!B16</f>
        <v>Cristiane</v>
      </c>
      <c r="C1384" s="280" t="s">
        <v>19261</v>
      </c>
      <c r="D1384" s="281"/>
      <c r="E1384" s="1293">
        <v>115.6</v>
      </c>
      <c r="F1384" s="1271"/>
      <c r="G1384" s="1152" t="s">
        <v>9</v>
      </c>
    </row>
    <row r="1385" spans="1:7" ht="14.25" thickBot="1">
      <c r="A1385" s="1272">
        <v>43373</v>
      </c>
      <c r="B1385" s="279" t="str">
        <f>TiposLancamentos!B16</f>
        <v>Cristiane</v>
      </c>
      <c r="C1385" s="280" t="s">
        <v>19262</v>
      </c>
      <c r="D1385" s="281"/>
      <c r="E1385" s="1293">
        <v>95.45</v>
      </c>
      <c r="F1385" s="1271"/>
      <c r="G1385" s="1152" t="s">
        <v>9</v>
      </c>
    </row>
    <row r="1386" spans="1:7">
      <c r="A1386" s="1032"/>
      <c r="B1386" s="1230"/>
      <c r="C1386" s="906" t="s">
        <v>15290</v>
      </c>
      <c r="D1386" s="896"/>
      <c r="E1386" s="925"/>
      <c r="F1386" s="898">
        <f>SUM(E1253:E1337)</f>
        <v>10346.16166666666</v>
      </c>
      <c r="G1386" s="3"/>
    </row>
    <row r="1387" spans="1:7">
      <c r="A1387" s="1272">
        <v>43374</v>
      </c>
      <c r="B1387" s="279" t="str">
        <f>TiposLancamentos!B19</f>
        <v>Restaurantes</v>
      </c>
      <c r="C1387" s="280" t="s">
        <v>19263</v>
      </c>
      <c r="D1387" s="281"/>
      <c r="E1387" s="1293">
        <v>10</v>
      </c>
      <c r="F1387" s="1271">
        <f>F1386-F1285</f>
        <v>-403.36000000000058</v>
      </c>
      <c r="G1387" s="1152" t="s">
        <v>9</v>
      </c>
    </row>
    <row r="1388" spans="1:7">
      <c r="A1388" s="1272">
        <v>43374</v>
      </c>
      <c r="B1388" s="279" t="str">
        <f>TiposLancamentos!B19</f>
        <v>Restaurantes</v>
      </c>
      <c r="C1388" s="280" t="s">
        <v>19263</v>
      </c>
      <c r="D1388" s="281"/>
      <c r="E1388" s="1293">
        <v>34</v>
      </c>
      <c r="F1388" s="1271"/>
      <c r="G1388" s="1152" t="s">
        <v>9</v>
      </c>
    </row>
    <row r="1389" spans="1:7">
      <c r="A1389" s="884">
        <v>43374</v>
      </c>
      <c r="B1389" s="240" t="str">
        <f>TiposLancamentos!B15</f>
        <v>Cartões de Crédito</v>
      </c>
      <c r="C1389" s="878" t="s">
        <v>11109</v>
      </c>
      <c r="D1389" s="63">
        <v>10346.16</v>
      </c>
      <c r="E1389" s="231"/>
      <c r="F1389" s="899"/>
      <c r="G1389" s="1152" t="s">
        <v>9</v>
      </c>
    </row>
    <row r="1390" spans="1:7">
      <c r="A1390" s="884">
        <v>43374</v>
      </c>
      <c r="B1390" s="240" t="str">
        <f>TiposLancamentos!B48</f>
        <v>Baralhos e Oráculos</v>
      </c>
      <c r="C1390" s="878" t="s">
        <v>19264</v>
      </c>
      <c r="D1390" s="63"/>
      <c r="E1390" s="231">
        <f>F1390/3</f>
        <v>148</v>
      </c>
      <c r="F1390" s="899">
        <v>444</v>
      </c>
      <c r="G1390" s="1152" t="s">
        <v>9</v>
      </c>
    </row>
    <row r="1391" spans="1:7">
      <c r="A1391" s="884">
        <v>43374</v>
      </c>
      <c r="B1391" s="240" t="str">
        <f>TiposLancamentos!B19</f>
        <v>Restaurantes</v>
      </c>
      <c r="C1391" s="878" t="s">
        <v>19265</v>
      </c>
      <c r="D1391" s="63"/>
      <c r="E1391" s="231">
        <v>46</v>
      </c>
      <c r="F1391" s="899"/>
      <c r="G1391" s="1152" t="s">
        <v>9</v>
      </c>
    </row>
    <row r="1392" spans="1:7">
      <c r="A1392" s="884">
        <v>43374</v>
      </c>
      <c r="B1392" s="240" t="str">
        <f>TiposLancamentos!B98</f>
        <v>Restituições</v>
      </c>
      <c r="C1392" s="878" t="s">
        <v>19266</v>
      </c>
      <c r="D1392" s="63">
        <v>98.05</v>
      </c>
      <c r="E1392" s="231">
        <v>0</v>
      </c>
      <c r="F1392" s="899"/>
      <c r="G1392" s="1152"/>
    </row>
    <row r="1393" spans="1:7">
      <c r="A1393" s="884">
        <v>43375</v>
      </c>
      <c r="B1393" s="240" t="str">
        <f>TiposLancamentos!B5</f>
        <v>Supermercado</v>
      </c>
      <c r="C1393" s="878" t="s">
        <v>6234</v>
      </c>
      <c r="D1393" s="63"/>
      <c r="E1393" s="231">
        <v>115.54</v>
      </c>
      <c r="F1393" s="899"/>
      <c r="G1393" s="1152" t="s">
        <v>9</v>
      </c>
    </row>
    <row r="1394" spans="1:7">
      <c r="A1394" s="884">
        <v>43375</v>
      </c>
      <c r="B1394" s="240" t="str">
        <f>TiposLancamentos!B16</f>
        <v>Cristiane</v>
      </c>
      <c r="C1394" s="878" t="s">
        <v>19267</v>
      </c>
      <c r="D1394" s="63"/>
      <c r="E1394" s="231">
        <v>80</v>
      </c>
      <c r="F1394" s="899"/>
      <c r="G1394" s="1152" t="s">
        <v>9</v>
      </c>
    </row>
    <row r="1395" spans="1:7">
      <c r="A1395" s="884">
        <v>43375</v>
      </c>
      <c r="B1395" s="240" t="str">
        <f>TiposLancamentos!B19</f>
        <v>Restaurantes</v>
      </c>
      <c r="C1395" s="878" t="s">
        <v>19268</v>
      </c>
      <c r="D1395" s="63"/>
      <c r="E1395" s="231">
        <v>36</v>
      </c>
      <c r="F1395" s="899"/>
      <c r="G1395" s="1152" t="s">
        <v>9</v>
      </c>
    </row>
    <row r="1396" spans="1:7">
      <c r="A1396" s="884">
        <v>43375</v>
      </c>
      <c r="B1396" s="240" t="str">
        <f>TiposLancamentos!B19</f>
        <v>Restaurantes</v>
      </c>
      <c r="C1396" s="878" t="s">
        <v>19269</v>
      </c>
      <c r="D1396" s="63"/>
      <c r="E1396" s="231">
        <v>90</v>
      </c>
      <c r="F1396" s="899"/>
      <c r="G1396" s="1152" t="s">
        <v>9</v>
      </c>
    </row>
    <row r="1397" spans="1:7">
      <c r="A1397" s="884">
        <v>43376</v>
      </c>
      <c r="B1397" s="240" t="str">
        <f>TiposLancamentos!B26</f>
        <v>LIVROS</v>
      </c>
      <c r="C1397" s="878" t="s">
        <v>19270</v>
      </c>
      <c r="D1397" s="63"/>
      <c r="E1397" s="231">
        <v>75</v>
      </c>
      <c r="F1397" s="899"/>
      <c r="G1397" s="1152" t="s">
        <v>9</v>
      </c>
    </row>
    <row r="1398" spans="1:7">
      <c r="A1398" s="1272">
        <v>43377</v>
      </c>
      <c r="B1398" s="279" t="str">
        <f>TiposLancamentos!B5</f>
        <v>Supermercado</v>
      </c>
      <c r="C1398" s="280" t="s">
        <v>19121</v>
      </c>
      <c r="D1398" s="281"/>
      <c r="E1398" s="1293">
        <v>184.22</v>
      </c>
      <c r="F1398" s="1271"/>
      <c r="G1398" s="1152" t="s">
        <v>9</v>
      </c>
    </row>
    <row r="1399" spans="1:7">
      <c r="A1399" s="884">
        <v>43377</v>
      </c>
      <c r="B1399" s="240" t="str">
        <f>TiposLancamentos!B19</f>
        <v>Restaurantes</v>
      </c>
      <c r="C1399" s="878" t="s">
        <v>19271</v>
      </c>
      <c r="D1399" s="63"/>
      <c r="E1399" s="231">
        <v>102.7</v>
      </c>
      <c r="F1399" s="899"/>
      <c r="G1399" s="1152" t="s">
        <v>9</v>
      </c>
    </row>
    <row r="1400" spans="1:7">
      <c r="A1400" s="1272">
        <v>43378</v>
      </c>
      <c r="B1400" s="279" t="str">
        <f>TiposLancamentos!B5</f>
        <v>Supermercado</v>
      </c>
      <c r="C1400" s="280" t="s">
        <v>6234</v>
      </c>
      <c r="D1400" s="281"/>
      <c r="E1400" s="1293">
        <v>70.05</v>
      </c>
      <c r="F1400" s="1271"/>
      <c r="G1400" s="1152" t="s">
        <v>9</v>
      </c>
    </row>
    <row r="1401" spans="1:7">
      <c r="A1401" s="1272">
        <v>43378</v>
      </c>
      <c r="B1401" s="279" t="str">
        <f>TiposLancamentos!B34</f>
        <v>Seguros</v>
      </c>
      <c r="C1401" s="280" t="s">
        <v>19272</v>
      </c>
      <c r="D1401" s="281"/>
      <c r="E1401" s="1293">
        <f>F1401/4</f>
        <v>237.68</v>
      </c>
      <c r="F1401" s="1271">
        <v>950.72</v>
      </c>
      <c r="G1401" s="1152" t="s">
        <v>9</v>
      </c>
    </row>
    <row r="1402" spans="1:7">
      <c r="A1402" s="884">
        <v>43378</v>
      </c>
      <c r="B1402" s="240" t="str">
        <f>TiposLancamentos!B19</f>
        <v>Restaurantes</v>
      </c>
      <c r="C1402" s="878" t="s">
        <v>19273</v>
      </c>
      <c r="D1402" s="63"/>
      <c r="E1402" s="231">
        <v>39.6</v>
      </c>
      <c r="F1402" s="899"/>
      <c r="G1402" s="1152" t="s">
        <v>9</v>
      </c>
    </row>
    <row r="1403" spans="1:7">
      <c r="A1403" s="884">
        <v>43378</v>
      </c>
      <c r="B1403" s="240" t="str">
        <f>TiposLancamentos!B45</f>
        <v>Online Services</v>
      </c>
      <c r="C1403" s="878" t="s">
        <v>18771</v>
      </c>
      <c r="D1403" s="63"/>
      <c r="E1403" s="231">
        <v>15</v>
      </c>
      <c r="F1403" s="899"/>
      <c r="G1403" s="1152" t="s">
        <v>9</v>
      </c>
    </row>
    <row r="1404" spans="1:7">
      <c r="A1404" s="884">
        <v>43379</v>
      </c>
      <c r="B1404" s="240" t="str">
        <f>TiposLancamentos!B19</f>
        <v>Restaurantes</v>
      </c>
      <c r="C1404" s="878" t="s">
        <v>19274</v>
      </c>
      <c r="D1404" s="63"/>
      <c r="E1404" s="231">
        <v>118.8</v>
      </c>
      <c r="F1404" s="899"/>
      <c r="G1404" s="1152" t="s">
        <v>9</v>
      </c>
    </row>
    <row r="1405" spans="1:7">
      <c r="A1405" s="884">
        <v>43379</v>
      </c>
      <c r="B1405" s="240" t="str">
        <f>TiposLancamentos!B19</f>
        <v>Restaurantes</v>
      </c>
      <c r="C1405" s="878" t="s">
        <v>19275</v>
      </c>
      <c r="D1405" s="63"/>
      <c r="E1405" s="231">
        <v>27.05</v>
      </c>
      <c r="F1405" s="899"/>
      <c r="G1405" s="1152" t="s">
        <v>9</v>
      </c>
    </row>
    <row r="1406" spans="1:7">
      <c r="A1406" s="1272">
        <v>43380</v>
      </c>
      <c r="B1406" s="279" t="str">
        <f>TiposLancamentos!B64</f>
        <v>Viagens</v>
      </c>
      <c r="C1406" s="280" t="s">
        <v>19276</v>
      </c>
      <c r="D1406" s="281"/>
      <c r="E1406" s="1293">
        <v>473.44</v>
      </c>
      <c r="F1406" s="1271">
        <f>E1406*3</f>
        <v>1420.32</v>
      </c>
      <c r="G1406" s="1152" t="s">
        <v>9</v>
      </c>
    </row>
    <row r="1407" spans="1:7">
      <c r="A1407" s="884">
        <v>43380</v>
      </c>
      <c r="B1407" s="240" t="str">
        <f>TiposLancamentos!B64</f>
        <v>Viagens</v>
      </c>
      <c r="C1407" s="878" t="s">
        <v>19277</v>
      </c>
      <c r="D1407" s="63"/>
      <c r="E1407" s="231">
        <v>169.2</v>
      </c>
      <c r="F1407" s="899">
        <f>E1407*3</f>
        <v>507.59999999999997</v>
      </c>
      <c r="G1407" s="1152" t="s">
        <v>9</v>
      </c>
    </row>
    <row r="1408" spans="1:7">
      <c r="A1408" s="884">
        <v>43380</v>
      </c>
      <c r="B1408" s="240" t="str">
        <f>TiposLancamentos!B19</f>
        <v>Restaurantes</v>
      </c>
      <c r="C1408" s="878" t="s">
        <v>8433</v>
      </c>
      <c r="D1408" s="63"/>
      <c r="E1408" s="231">
        <v>141.55000000000001</v>
      </c>
      <c r="F1408" s="899"/>
      <c r="G1408" s="1152" t="s">
        <v>9</v>
      </c>
    </row>
    <row r="1409" spans="1:7">
      <c r="A1409" s="884">
        <v>43380</v>
      </c>
      <c r="B1409" s="240" t="str">
        <f>TiposLancamentos!B5</f>
        <v>Supermercado</v>
      </c>
      <c r="C1409" s="878" t="s">
        <v>7068</v>
      </c>
      <c r="D1409" s="63"/>
      <c r="E1409" s="231">
        <v>37.18</v>
      </c>
      <c r="F1409" s="899"/>
      <c r="G1409" s="1152" t="s">
        <v>9</v>
      </c>
    </row>
    <row r="1410" spans="1:7">
      <c r="A1410" s="884">
        <v>43381</v>
      </c>
      <c r="B1410" s="240" t="str">
        <f>TiposLancamentos!B23</f>
        <v>P208 GRIFFE 1.6 AUT BUSINESS</v>
      </c>
      <c r="C1410" s="878" t="s">
        <v>19278</v>
      </c>
      <c r="D1410" s="63"/>
      <c r="E1410" s="231">
        <v>199.68</v>
      </c>
      <c r="F1410" s="899">
        <v>599</v>
      </c>
      <c r="G1410" s="1152" t="s">
        <v>9</v>
      </c>
    </row>
    <row r="1411" spans="1:7">
      <c r="A1411" s="884">
        <v>43381</v>
      </c>
      <c r="B1411" s="240" t="str">
        <f>TiposLancamentos!B23</f>
        <v>P208 GRIFFE 1.6 AUT BUSINESS</v>
      </c>
      <c r="C1411" s="878" t="s">
        <v>19279</v>
      </c>
      <c r="D1411" s="63"/>
      <c r="E1411" s="231">
        <f>F1411/3</f>
        <v>311</v>
      </c>
      <c r="F1411" s="899">
        <v>933</v>
      </c>
      <c r="G1411" s="1152" t="s">
        <v>9</v>
      </c>
    </row>
    <row r="1412" spans="1:7">
      <c r="A1412" s="884">
        <v>43381</v>
      </c>
      <c r="B1412" s="240" t="str">
        <f>TiposLancamentos!B17</f>
        <v>GATO</v>
      </c>
      <c r="C1412" s="878" t="s">
        <v>19280</v>
      </c>
      <c r="D1412" s="63"/>
      <c r="E1412" s="231">
        <v>266.19</v>
      </c>
      <c r="F1412" s="899"/>
      <c r="G1412" s="1152" t="s">
        <v>9</v>
      </c>
    </row>
    <row r="1413" spans="1:7">
      <c r="A1413" s="884">
        <v>43381</v>
      </c>
      <c r="B1413" s="240" t="str">
        <f>TiposLancamentos!B19</f>
        <v>Restaurantes</v>
      </c>
      <c r="C1413" s="878" t="s">
        <v>7068</v>
      </c>
      <c r="D1413" s="63"/>
      <c r="E1413" s="231">
        <v>59.4</v>
      </c>
      <c r="F1413" s="899"/>
      <c r="G1413" s="1152" t="s">
        <v>9</v>
      </c>
    </row>
    <row r="1414" spans="1:7">
      <c r="A1414" s="884">
        <v>43382</v>
      </c>
      <c r="B1414" s="240" t="str">
        <f>TiposLancamentos!B5</f>
        <v>Supermercado</v>
      </c>
      <c r="C1414" s="878" t="s">
        <v>6234</v>
      </c>
      <c r="D1414" s="63"/>
      <c r="E1414" s="231">
        <v>37.64</v>
      </c>
      <c r="F1414" s="899"/>
      <c r="G1414" s="1152" t="s">
        <v>9</v>
      </c>
    </row>
    <row r="1415" spans="1:7">
      <c r="A1415" s="884">
        <v>43382</v>
      </c>
      <c r="B1415" s="240" t="str">
        <f>TiposLancamentos!B56</f>
        <v>Farmácia</v>
      </c>
      <c r="C1415" s="878" t="s">
        <v>19281</v>
      </c>
      <c r="D1415" s="63"/>
      <c r="E1415" s="231">
        <v>11.37</v>
      </c>
      <c r="F1415" s="899"/>
      <c r="G1415" s="1152" t="s">
        <v>9</v>
      </c>
    </row>
    <row r="1416" spans="1:7">
      <c r="A1416" s="1272">
        <v>43382</v>
      </c>
      <c r="B1416" s="279" t="str">
        <f>TiposLancamentos!B16</f>
        <v>Cristiane</v>
      </c>
      <c r="C1416" s="280" t="s">
        <v>19282</v>
      </c>
      <c r="D1416" s="281"/>
      <c r="E1416" s="1293">
        <v>17.98</v>
      </c>
      <c r="F1416" s="1271"/>
      <c r="G1416" s="1152" t="s">
        <v>9</v>
      </c>
    </row>
    <row r="1417" spans="1:7">
      <c r="A1417" s="1272">
        <v>43382</v>
      </c>
      <c r="B1417" s="279" t="str">
        <f>TiposLancamentos!B16</f>
        <v>Cristiane</v>
      </c>
      <c r="C1417" s="280" t="s">
        <v>19283</v>
      </c>
      <c r="D1417" s="281"/>
      <c r="E1417" s="1293">
        <v>199.99</v>
      </c>
      <c r="F1417" s="1271"/>
      <c r="G1417" s="1152" t="s">
        <v>9</v>
      </c>
    </row>
    <row r="1418" spans="1:7">
      <c r="A1418" s="1272">
        <v>43382</v>
      </c>
      <c r="B1418" s="279" t="str">
        <f>TiposLancamentos!B16</f>
        <v>Cristiane</v>
      </c>
      <c r="C1418" s="280" t="s">
        <v>19235</v>
      </c>
      <c r="D1418" s="281"/>
      <c r="E1418" s="1293">
        <v>58.98</v>
      </c>
      <c r="F1418" s="1271"/>
      <c r="G1418" s="1152" t="s">
        <v>9</v>
      </c>
    </row>
    <row r="1419" spans="1:7">
      <c r="A1419" s="1272">
        <v>43383</v>
      </c>
      <c r="B1419" s="279" t="str">
        <f>TiposLancamentos!B19</f>
        <v>Restaurantes</v>
      </c>
      <c r="C1419" s="280" t="s">
        <v>19284</v>
      </c>
      <c r="D1419" s="281"/>
      <c r="E1419" s="1293">
        <v>26</v>
      </c>
      <c r="F1419" s="1271"/>
      <c r="G1419" s="1152" t="s">
        <v>9</v>
      </c>
    </row>
    <row r="1420" spans="1:7">
      <c r="A1420" s="1272">
        <v>43383</v>
      </c>
      <c r="B1420" s="279" t="str">
        <f>TiposLancamentos!B16</f>
        <v>Cristiane</v>
      </c>
      <c r="C1420" s="280" t="s">
        <v>19285</v>
      </c>
      <c r="D1420" s="281"/>
      <c r="E1420" s="1293">
        <v>25.5</v>
      </c>
      <c r="F1420" s="1271"/>
      <c r="G1420" s="1152" t="s">
        <v>9</v>
      </c>
    </row>
    <row r="1421" spans="1:7">
      <c r="A1421" s="884">
        <v>43384</v>
      </c>
      <c r="B1421" s="240" t="str">
        <f>TiposLancamentos!B64</f>
        <v>Viagens</v>
      </c>
      <c r="C1421" s="878" t="s">
        <v>19286</v>
      </c>
      <c r="D1421" s="63"/>
      <c r="E1421" s="231">
        <f>F1421/6</f>
        <v>337.53166666666669</v>
      </c>
      <c r="F1421" s="899">
        <v>2025.19</v>
      </c>
      <c r="G1421" s="1152" t="s">
        <v>9</v>
      </c>
    </row>
    <row r="1422" spans="1:7">
      <c r="A1422" s="884">
        <v>43384</v>
      </c>
      <c r="B1422" s="240" t="str">
        <f>TiposLancamentos!B64</f>
        <v>Viagens</v>
      </c>
      <c r="C1422" s="878" t="s">
        <v>19287</v>
      </c>
      <c r="D1422" s="63"/>
      <c r="E1422" s="231">
        <v>89.88</v>
      </c>
      <c r="F1422" s="899">
        <v>539.30999999999995</v>
      </c>
      <c r="G1422" s="1152" t="s">
        <v>9</v>
      </c>
    </row>
    <row r="1423" spans="1:7">
      <c r="A1423" s="884">
        <v>43384</v>
      </c>
      <c r="B1423" s="240" t="str">
        <f>TiposLancamentos!B64</f>
        <v>Viagens</v>
      </c>
      <c r="C1423" s="878" t="s">
        <v>19288</v>
      </c>
      <c r="D1423" s="63"/>
      <c r="E1423" s="231">
        <f>F1423/6</f>
        <v>297.45999999999998</v>
      </c>
      <c r="F1423" s="899">
        <v>1784.76</v>
      </c>
      <c r="G1423" s="1152" t="s">
        <v>9</v>
      </c>
    </row>
    <row r="1424" spans="1:7">
      <c r="A1424" s="884">
        <v>43384</v>
      </c>
      <c r="B1424" s="240" t="str">
        <f>TiposLancamentos!B64</f>
        <v>Viagens</v>
      </c>
      <c r="C1424" s="878" t="s">
        <v>19289</v>
      </c>
      <c r="D1424" s="63"/>
      <c r="E1424" s="231">
        <v>60</v>
      </c>
      <c r="F1424" s="899"/>
      <c r="G1424" s="1152" t="s">
        <v>9</v>
      </c>
    </row>
    <row r="1425" spans="1:7">
      <c r="A1425" s="884">
        <v>43384</v>
      </c>
      <c r="B1425" s="240" t="str">
        <f>TiposLancamentos!B19</f>
        <v>Restaurantes</v>
      </c>
      <c r="C1425" s="878" t="s">
        <v>19290</v>
      </c>
      <c r="D1425" s="63"/>
      <c r="E1425" s="231">
        <v>33</v>
      </c>
      <c r="F1425" s="899"/>
      <c r="G1425" s="1152" t="s">
        <v>9</v>
      </c>
    </row>
    <row r="1426" spans="1:7">
      <c r="A1426" s="884">
        <v>43384</v>
      </c>
      <c r="B1426" s="240" t="str">
        <f>TiposLancamentos!B19</f>
        <v>Restaurantes</v>
      </c>
      <c r="C1426" s="878" t="s">
        <v>19291</v>
      </c>
      <c r="D1426" s="63"/>
      <c r="E1426" s="231">
        <v>38</v>
      </c>
      <c r="F1426" s="899"/>
      <c r="G1426" s="1152" t="s">
        <v>9</v>
      </c>
    </row>
    <row r="1427" spans="1:7">
      <c r="A1427" s="884">
        <v>43384</v>
      </c>
      <c r="B1427" s="240" t="str">
        <f>TiposLancamentos!B19</f>
        <v>Restaurantes</v>
      </c>
      <c r="C1427" s="878" t="s">
        <v>19292</v>
      </c>
      <c r="D1427" s="63"/>
      <c r="E1427" s="231">
        <v>192.25</v>
      </c>
      <c r="F1427" s="899"/>
      <c r="G1427" s="1152" t="s">
        <v>9</v>
      </c>
    </row>
    <row r="1428" spans="1:7">
      <c r="A1428" s="884">
        <v>43384</v>
      </c>
      <c r="B1428" s="240" t="str">
        <f>TiposLancamentos!B19</f>
        <v>Restaurantes</v>
      </c>
      <c r="C1428" s="878" t="s">
        <v>19293</v>
      </c>
      <c r="D1428" s="63"/>
      <c r="E1428" s="231">
        <v>25.6</v>
      </c>
      <c r="F1428" s="899"/>
      <c r="G1428" s="1152" t="s">
        <v>9</v>
      </c>
    </row>
    <row r="1429" spans="1:7">
      <c r="A1429" s="884">
        <v>43384</v>
      </c>
      <c r="B1429" s="240" t="str">
        <f>TiposLancamentos!B19</f>
        <v>Restaurantes</v>
      </c>
      <c r="C1429" s="878" t="s">
        <v>19294</v>
      </c>
      <c r="D1429" s="63"/>
      <c r="E1429" s="231">
        <v>88</v>
      </c>
      <c r="F1429" s="899"/>
      <c r="G1429" s="1152" t="s">
        <v>9</v>
      </c>
    </row>
    <row r="1430" spans="1:7">
      <c r="A1430" s="884">
        <v>43385</v>
      </c>
      <c r="B1430" s="240" t="str">
        <f>TiposLancamentos!B70</f>
        <v>Vestuário</v>
      </c>
      <c r="C1430" s="878" t="s">
        <v>19295</v>
      </c>
      <c r="D1430" s="63"/>
      <c r="E1430" s="231">
        <v>290</v>
      </c>
      <c r="F1430" s="899"/>
      <c r="G1430" s="1152" t="s">
        <v>9</v>
      </c>
    </row>
    <row r="1431" spans="1:7">
      <c r="A1431" s="884">
        <v>43385</v>
      </c>
      <c r="B1431" s="240" t="str">
        <f>TiposLancamentos!B16</f>
        <v>Cristiane</v>
      </c>
      <c r="C1431" s="878" t="s">
        <v>19296</v>
      </c>
      <c r="D1431" s="63"/>
      <c r="E1431" s="231">
        <v>160</v>
      </c>
      <c r="F1431" s="899"/>
      <c r="G1431" s="1152" t="s">
        <v>9</v>
      </c>
    </row>
    <row r="1432" spans="1:7">
      <c r="A1432" s="884">
        <v>43385</v>
      </c>
      <c r="B1432" s="240" t="str">
        <f>TiposLancamentos!B19</f>
        <v>Restaurantes</v>
      </c>
      <c r="C1432" s="878" t="s">
        <v>19297</v>
      </c>
      <c r="D1432" s="63"/>
      <c r="E1432" s="231">
        <v>170</v>
      </c>
      <c r="F1432" s="899"/>
      <c r="G1432" s="1152" t="s">
        <v>9</v>
      </c>
    </row>
    <row r="1433" spans="1:7">
      <c r="A1433" s="884">
        <v>43385</v>
      </c>
      <c r="B1433" s="240" t="str">
        <f>TiposLancamentos!B19</f>
        <v>Restaurantes</v>
      </c>
      <c r="C1433" s="878" t="s">
        <v>19298</v>
      </c>
      <c r="D1433" s="63"/>
      <c r="E1433" s="231">
        <v>31.9</v>
      </c>
      <c r="F1433" s="899"/>
      <c r="G1433" s="1152" t="s">
        <v>9</v>
      </c>
    </row>
    <row r="1434" spans="1:7">
      <c r="A1434" s="884">
        <v>43385</v>
      </c>
      <c r="B1434" s="240" t="str">
        <f>TiposLancamentos!B56</f>
        <v>Farmácia</v>
      </c>
      <c r="C1434" s="878" t="s">
        <v>19299</v>
      </c>
      <c r="D1434" s="63"/>
      <c r="E1434" s="231">
        <v>45.51</v>
      </c>
      <c r="F1434" s="899"/>
      <c r="G1434" s="1152" t="s">
        <v>9</v>
      </c>
    </row>
    <row r="1435" spans="1:7">
      <c r="A1435" s="1272">
        <v>43385</v>
      </c>
      <c r="B1435" s="279" t="str">
        <f>TiposLancamentos!B16</f>
        <v>Cristiane</v>
      </c>
      <c r="C1435" s="280" t="s">
        <v>19300</v>
      </c>
      <c r="D1435" s="281"/>
      <c r="E1435" s="1293">
        <v>69.900000000000006</v>
      </c>
      <c r="F1435" s="1271"/>
      <c r="G1435" s="1152" t="s">
        <v>9</v>
      </c>
    </row>
    <row r="1436" spans="1:7">
      <c r="A1436" s="884">
        <v>43385</v>
      </c>
      <c r="B1436" s="240" t="str">
        <f>TiposLancamentos!B19</f>
        <v>Restaurantes</v>
      </c>
      <c r="C1436" s="878" t="s">
        <v>19301</v>
      </c>
      <c r="D1436" s="63"/>
      <c r="E1436" s="231">
        <v>190</v>
      </c>
      <c r="F1436" s="899"/>
      <c r="G1436" s="1152" t="s">
        <v>9</v>
      </c>
    </row>
    <row r="1437" spans="1:7">
      <c r="A1437" s="884">
        <v>43386</v>
      </c>
      <c r="B1437" s="240" t="str">
        <f>TiposLancamentos!B19</f>
        <v>Restaurantes</v>
      </c>
      <c r="C1437" s="878" t="s">
        <v>19302</v>
      </c>
      <c r="D1437" s="63"/>
      <c r="E1437" s="231">
        <v>12</v>
      </c>
      <c r="F1437" s="899"/>
      <c r="G1437" s="1152" t="s">
        <v>9</v>
      </c>
    </row>
    <row r="1438" spans="1:7">
      <c r="A1438" s="884">
        <v>43386</v>
      </c>
      <c r="B1438" s="240" t="str">
        <f>TiposLancamentos!B19</f>
        <v>Restaurantes</v>
      </c>
      <c r="C1438" s="878" t="s">
        <v>19303</v>
      </c>
      <c r="D1438" s="63"/>
      <c r="E1438" s="231">
        <v>148</v>
      </c>
      <c r="F1438" s="899"/>
      <c r="G1438" s="1152" t="s">
        <v>9</v>
      </c>
    </row>
    <row r="1439" spans="1:7">
      <c r="A1439" s="884">
        <v>43386</v>
      </c>
      <c r="B1439" s="240" t="str">
        <f>TiposLancamentos!B72</f>
        <v>Presentes</v>
      </c>
      <c r="C1439" s="878" t="s">
        <v>19304</v>
      </c>
      <c r="D1439" s="63"/>
      <c r="E1439" s="231">
        <v>85.72</v>
      </c>
      <c r="F1439" s="899"/>
      <c r="G1439" s="1152" t="s">
        <v>9</v>
      </c>
    </row>
    <row r="1440" spans="1:7">
      <c r="A1440" s="884">
        <v>43386</v>
      </c>
      <c r="B1440" s="240" t="str">
        <f>TiposLancamentos!B16</f>
        <v>Cristiane</v>
      </c>
      <c r="C1440" s="878" t="s">
        <v>19305</v>
      </c>
      <c r="D1440" s="63"/>
      <c r="E1440" s="231">
        <v>109.9</v>
      </c>
      <c r="F1440" s="899"/>
      <c r="G1440" s="1152" t="s">
        <v>9</v>
      </c>
    </row>
    <row r="1441" spans="1:7">
      <c r="A1441" s="884">
        <v>43386</v>
      </c>
      <c r="B1441" s="240" t="str">
        <f>TiposLancamentos!B22</f>
        <v>Combustivel</v>
      </c>
      <c r="C1441" s="878" t="s">
        <v>19306</v>
      </c>
      <c r="D1441" s="63"/>
      <c r="E1441" s="231">
        <v>50</v>
      </c>
      <c r="F1441" s="899"/>
      <c r="G1441" s="1152" t="s">
        <v>9</v>
      </c>
    </row>
    <row r="1442" spans="1:7">
      <c r="A1442" s="884">
        <v>43386</v>
      </c>
      <c r="B1442" s="240" t="str">
        <f>TiposLancamentos!B72</f>
        <v>Presentes</v>
      </c>
      <c r="C1442" s="878" t="s">
        <v>19307</v>
      </c>
      <c r="D1442" s="63"/>
      <c r="E1442" s="231">
        <v>17.64</v>
      </c>
      <c r="F1442" s="899"/>
      <c r="G1442" s="1152" t="s">
        <v>9</v>
      </c>
    </row>
    <row r="1443" spans="1:7">
      <c r="A1443" s="884">
        <v>43386</v>
      </c>
      <c r="B1443" s="240" t="str">
        <f>TiposLancamentos!B19</f>
        <v>Restaurantes</v>
      </c>
      <c r="C1443" s="878" t="s">
        <v>19308</v>
      </c>
      <c r="D1443" s="63"/>
      <c r="E1443" s="231">
        <v>171.05</v>
      </c>
      <c r="F1443" s="899"/>
      <c r="G1443" s="1152" t="s">
        <v>9</v>
      </c>
    </row>
    <row r="1444" spans="1:7">
      <c r="A1444" s="884">
        <v>43387</v>
      </c>
      <c r="B1444" s="240" t="str">
        <f>TiposLancamentos!B64</f>
        <v>Viagens</v>
      </c>
      <c r="C1444" s="878" t="s">
        <v>19309</v>
      </c>
      <c r="D1444" s="63"/>
      <c r="E1444" s="231">
        <v>88.12</v>
      </c>
      <c r="F1444" s="899"/>
      <c r="G1444" s="1152" t="s">
        <v>9</v>
      </c>
    </row>
    <row r="1445" spans="1:7">
      <c r="A1445" s="884">
        <v>43387</v>
      </c>
      <c r="B1445" s="240" t="str">
        <f>TiposLancamentos!B22</f>
        <v>Combustivel</v>
      </c>
      <c r="C1445" s="878" t="s">
        <v>19306</v>
      </c>
      <c r="D1445" s="63"/>
      <c r="E1445" s="231">
        <v>27.04</v>
      </c>
      <c r="F1445" s="899"/>
      <c r="G1445" s="1152" t="s">
        <v>9</v>
      </c>
    </row>
    <row r="1446" spans="1:7">
      <c r="A1446" s="884">
        <v>43387</v>
      </c>
      <c r="B1446" s="240" t="str">
        <f>TiposLancamentos!B64</f>
        <v>Viagens</v>
      </c>
      <c r="C1446" s="878" t="s">
        <v>19289</v>
      </c>
      <c r="D1446" s="63"/>
      <c r="E1446" s="231">
        <v>60</v>
      </c>
      <c r="F1446" s="899"/>
      <c r="G1446" s="1152" t="s">
        <v>9</v>
      </c>
    </row>
    <row r="1447" spans="1:7">
      <c r="A1447" s="884">
        <v>43387</v>
      </c>
      <c r="B1447" s="240" t="str">
        <f>TiposLancamentos!B19</f>
        <v>Restaurantes</v>
      </c>
      <c r="C1447" s="878" t="s">
        <v>19310</v>
      </c>
      <c r="D1447" s="63"/>
      <c r="E1447" s="231">
        <v>29.5</v>
      </c>
      <c r="F1447" s="899"/>
      <c r="G1447" s="1152" t="s">
        <v>9</v>
      </c>
    </row>
    <row r="1448" spans="1:7">
      <c r="A1448" s="884">
        <v>43387</v>
      </c>
      <c r="B1448" s="240" t="str">
        <f>TiposLancamentos!B19</f>
        <v>Restaurantes</v>
      </c>
      <c r="C1448" s="878" t="s">
        <v>19310</v>
      </c>
      <c r="D1448" s="63"/>
      <c r="E1448" s="231">
        <v>6.5</v>
      </c>
      <c r="F1448" s="899"/>
      <c r="G1448" s="1152" t="s">
        <v>9</v>
      </c>
    </row>
    <row r="1449" spans="1:7">
      <c r="A1449" s="884">
        <v>43387</v>
      </c>
      <c r="B1449" s="240" t="str">
        <f>TiposLancamentos!B65</f>
        <v>Taxi</v>
      </c>
      <c r="C1449" s="878" t="s">
        <v>19311</v>
      </c>
      <c r="D1449" s="63"/>
      <c r="E1449" s="231">
        <v>52.6</v>
      </c>
      <c r="F1449" s="899"/>
      <c r="G1449" s="1152" t="s">
        <v>9</v>
      </c>
    </row>
    <row r="1450" spans="1:7">
      <c r="A1450" s="1272">
        <v>43387</v>
      </c>
      <c r="B1450" s="279" t="str">
        <f>TiposLancamentos!B19</f>
        <v>Restaurantes</v>
      </c>
      <c r="C1450" s="280" t="s">
        <v>11101</v>
      </c>
      <c r="D1450" s="281"/>
      <c r="E1450" s="1293">
        <v>90.7</v>
      </c>
      <c r="F1450" s="1271"/>
      <c r="G1450" s="1152" t="s">
        <v>9</v>
      </c>
    </row>
    <row r="1451" spans="1:7">
      <c r="A1451" s="884">
        <v>43387</v>
      </c>
      <c r="B1451" s="240" t="str">
        <f>TiposLancamentos!B57</f>
        <v>Informática</v>
      </c>
      <c r="C1451" s="878" t="s">
        <v>19312</v>
      </c>
      <c r="D1451" s="63"/>
      <c r="E1451" s="231">
        <v>3.5</v>
      </c>
      <c r="F1451" s="899"/>
      <c r="G1451" s="1152" t="s">
        <v>9</v>
      </c>
    </row>
    <row r="1452" spans="1:7">
      <c r="A1452" s="884">
        <v>43387</v>
      </c>
      <c r="B1452" s="240" t="str">
        <f>TiposLancamentos!B5</f>
        <v>Supermercado</v>
      </c>
      <c r="C1452" s="878" t="s">
        <v>19313</v>
      </c>
      <c r="D1452" s="63"/>
      <c r="E1452" s="231">
        <v>33.46</v>
      </c>
      <c r="F1452" s="899"/>
      <c r="G1452" s="1152" t="s">
        <v>9</v>
      </c>
    </row>
    <row r="1453" spans="1:7">
      <c r="A1453" s="1226">
        <v>43388</v>
      </c>
      <c r="B1453" s="1218" t="str">
        <f>TiposLancamentos!B29</f>
        <v>Mangá</v>
      </c>
      <c r="C1453" s="1219" t="s">
        <v>19314</v>
      </c>
      <c r="D1453" s="1220"/>
      <c r="E1453" s="1221">
        <v>14.9</v>
      </c>
      <c r="F1453" s="1227"/>
      <c r="G1453" s="1152" t="s">
        <v>9</v>
      </c>
    </row>
    <row r="1454" spans="1:7">
      <c r="A1454" s="1228">
        <v>43388</v>
      </c>
      <c r="B1454" s="1222" t="str">
        <f>TiposLancamentos!B27</f>
        <v>Jornais e revistas</v>
      </c>
      <c r="C1454" s="1223" t="s">
        <v>19315</v>
      </c>
      <c r="D1454" s="1224"/>
      <c r="E1454" s="1225">
        <v>29.99</v>
      </c>
      <c r="F1454" s="1229">
        <f>SUM(E1453:E1454)</f>
        <v>44.89</v>
      </c>
      <c r="G1454" s="1152" t="s">
        <v>9</v>
      </c>
    </row>
    <row r="1455" spans="1:7">
      <c r="A1455" s="884">
        <v>43388</v>
      </c>
      <c r="B1455" s="240" t="str">
        <f>TiposLancamentos!B19</f>
        <v>Restaurantes</v>
      </c>
      <c r="C1455" s="878" t="s">
        <v>19316</v>
      </c>
      <c r="D1455" s="63"/>
      <c r="E1455" s="231">
        <v>45.8</v>
      </c>
      <c r="F1455" s="899"/>
      <c r="G1455" s="1152" t="s">
        <v>9</v>
      </c>
    </row>
    <row r="1456" spans="1:7">
      <c r="A1456" s="884">
        <v>43388</v>
      </c>
      <c r="B1456" s="240" t="str">
        <f>TiposLancamentos!B13</f>
        <v>Moradia</v>
      </c>
      <c r="C1456" s="878" t="s">
        <v>19317</v>
      </c>
      <c r="D1456" s="63"/>
      <c r="E1456" s="231">
        <v>44.9</v>
      </c>
      <c r="F1456" s="899"/>
      <c r="G1456" s="1152" t="s">
        <v>9</v>
      </c>
    </row>
    <row r="1457" spans="1:7">
      <c r="A1457" s="884">
        <v>43388</v>
      </c>
      <c r="B1457" s="240" t="str">
        <f>TiposLancamentos!B24</f>
        <v>Estacionamentos</v>
      </c>
      <c r="C1457" s="878" t="s">
        <v>19318</v>
      </c>
      <c r="D1457" s="63"/>
      <c r="E1457" s="231">
        <v>11</v>
      </c>
      <c r="F1457" s="899"/>
      <c r="G1457" s="1152" t="s">
        <v>9</v>
      </c>
    </row>
    <row r="1458" spans="1:7">
      <c r="A1458" s="884">
        <v>43388</v>
      </c>
      <c r="B1458" s="240" t="str">
        <f>TiposLancamentos!B56</f>
        <v>Farmácia</v>
      </c>
      <c r="C1458" s="878" t="s">
        <v>18631</v>
      </c>
      <c r="D1458" s="63"/>
      <c r="E1458" s="231">
        <v>28.78</v>
      </c>
      <c r="F1458" s="899"/>
      <c r="G1458" s="1152" t="s">
        <v>9</v>
      </c>
    </row>
    <row r="1459" spans="1:7">
      <c r="A1459" s="884">
        <v>43389</v>
      </c>
      <c r="B1459" s="240" t="str">
        <f>TiposLancamentos!B5</f>
        <v>Supermercado</v>
      </c>
      <c r="C1459" s="878" t="s">
        <v>19319</v>
      </c>
      <c r="D1459" s="63"/>
      <c r="E1459" s="231">
        <v>46.14</v>
      </c>
      <c r="F1459" s="899"/>
      <c r="G1459" s="1152" t="s">
        <v>9</v>
      </c>
    </row>
    <row r="1460" spans="1:7">
      <c r="A1460" s="884">
        <v>43389</v>
      </c>
      <c r="B1460" s="240" t="str">
        <f>TiposLancamentos!B81</f>
        <v>Ferramentas gerais</v>
      </c>
      <c r="C1460" s="878" t="s">
        <v>19320</v>
      </c>
      <c r="D1460" s="63"/>
      <c r="E1460" s="231">
        <v>4.99</v>
      </c>
      <c r="F1460" s="899"/>
      <c r="G1460" s="1152" t="s">
        <v>9</v>
      </c>
    </row>
    <row r="1461" spans="1:7">
      <c r="A1461" s="884">
        <v>43390</v>
      </c>
      <c r="B1461" s="240" t="str">
        <f>TiposLancamentos!B5</f>
        <v>Supermercado</v>
      </c>
      <c r="C1461" s="878" t="s">
        <v>17822</v>
      </c>
      <c r="D1461" s="63"/>
      <c r="E1461" s="231">
        <v>25.96</v>
      </c>
      <c r="F1461" s="899"/>
      <c r="G1461" s="1152" t="s">
        <v>9</v>
      </c>
    </row>
    <row r="1462" spans="1:7">
      <c r="A1462" s="1272">
        <v>43390</v>
      </c>
      <c r="B1462" s="279" t="str">
        <f>TiposLancamentos!B16</f>
        <v>Cristiane</v>
      </c>
      <c r="C1462" s="280" t="s">
        <v>19321</v>
      </c>
      <c r="D1462" s="281"/>
      <c r="E1462" s="1293">
        <v>86.5</v>
      </c>
      <c r="F1462" s="1271"/>
      <c r="G1462" s="1152" t="s">
        <v>9</v>
      </c>
    </row>
    <row r="1463" spans="1:7">
      <c r="A1463" s="884">
        <v>43391</v>
      </c>
      <c r="B1463" s="240" t="str">
        <f>TiposLancamentos!B5</f>
        <v>Supermercado</v>
      </c>
      <c r="C1463" s="878" t="s">
        <v>17822</v>
      </c>
      <c r="D1463" s="63"/>
      <c r="E1463" s="231">
        <v>63.38</v>
      </c>
      <c r="F1463" s="899"/>
      <c r="G1463" s="1152" t="s">
        <v>9</v>
      </c>
    </row>
    <row r="1464" spans="1:7">
      <c r="A1464" s="884">
        <v>43391</v>
      </c>
      <c r="B1464" s="240" t="str">
        <f>TiposLancamentos!B5</f>
        <v>Supermercado</v>
      </c>
      <c r="C1464" s="878" t="s">
        <v>6880</v>
      </c>
      <c r="D1464" s="63"/>
      <c r="E1464" s="231">
        <v>59.58</v>
      </c>
      <c r="F1464" s="899"/>
      <c r="G1464" s="1152" t="s">
        <v>9</v>
      </c>
    </row>
    <row r="1465" spans="1:7">
      <c r="A1465" s="1272">
        <v>43391</v>
      </c>
      <c r="B1465" s="279" t="str">
        <f>TiposLancamentos!B19</f>
        <v>Restaurantes</v>
      </c>
      <c r="C1465" s="280" t="s">
        <v>18733</v>
      </c>
      <c r="D1465" s="281"/>
      <c r="E1465" s="1293">
        <v>47</v>
      </c>
      <c r="F1465" s="1271"/>
      <c r="G1465" s="1152" t="s">
        <v>9</v>
      </c>
    </row>
    <row r="1466" spans="1:7">
      <c r="A1466" s="934"/>
      <c r="B1466" s="243"/>
      <c r="C1466" s="389" t="s">
        <v>10</v>
      </c>
      <c r="D1466" s="146"/>
      <c r="E1466" s="1190"/>
      <c r="F1466" s="935"/>
      <c r="G1466" s="1094" t="s">
        <v>11</v>
      </c>
    </row>
    <row r="1467" spans="1:7">
      <c r="A1467" s="884">
        <v>43392</v>
      </c>
      <c r="B1467" s="240" t="str">
        <f>TiposLancamentos!B19</f>
        <v>Restaurantes</v>
      </c>
      <c r="C1467" s="878" t="s">
        <v>19322</v>
      </c>
      <c r="D1467" s="63"/>
      <c r="E1467" s="231">
        <v>114.95</v>
      </c>
      <c r="F1467" s="899"/>
      <c r="G1467" s="1152" t="s">
        <v>9</v>
      </c>
    </row>
    <row r="1468" spans="1:7">
      <c r="A1468" s="884">
        <v>43393</v>
      </c>
      <c r="B1468" s="240" t="str">
        <f>TiposLancamentos!B5</f>
        <v>Supermercado</v>
      </c>
      <c r="C1468" s="878" t="s">
        <v>19323</v>
      </c>
      <c r="D1468" s="63"/>
      <c r="E1468" s="231">
        <v>100</v>
      </c>
      <c r="F1468" s="899"/>
      <c r="G1468" s="1152" t="s">
        <v>9</v>
      </c>
    </row>
    <row r="1469" spans="1:7">
      <c r="A1469" s="884">
        <v>43393</v>
      </c>
      <c r="B1469" s="240" t="str">
        <f>TiposLancamentos!B5</f>
        <v>Supermercado</v>
      </c>
      <c r="C1469" s="878" t="s">
        <v>19324</v>
      </c>
      <c r="D1469" s="63"/>
      <c r="E1469" s="231">
        <v>179.67</v>
      </c>
      <c r="F1469" s="899"/>
      <c r="G1469" s="1152" t="s">
        <v>9</v>
      </c>
    </row>
    <row r="1470" spans="1:7">
      <c r="A1470" s="884">
        <v>43394</v>
      </c>
      <c r="B1470" s="240" t="str">
        <f>TiposLancamentos!B48</f>
        <v>Baralhos e Oráculos</v>
      </c>
      <c r="C1470" s="878" t="s">
        <v>19325</v>
      </c>
      <c r="D1470" s="63"/>
      <c r="E1470" s="231">
        <v>175</v>
      </c>
      <c r="F1470" s="899"/>
      <c r="G1470" s="1152" t="s">
        <v>9</v>
      </c>
    </row>
    <row r="1471" spans="1:7">
      <c r="A1471" s="884">
        <v>43394</v>
      </c>
      <c r="B1471" s="240" t="str">
        <f>TiposLancamentos!B19</f>
        <v>Restaurantes</v>
      </c>
      <c r="C1471" s="878" t="s">
        <v>17616</v>
      </c>
      <c r="D1471" s="63"/>
      <c r="E1471" s="231">
        <v>166.55</v>
      </c>
      <c r="F1471" s="899"/>
      <c r="G1471" s="1152" t="s">
        <v>9</v>
      </c>
    </row>
    <row r="1472" spans="1:7">
      <c r="A1472" s="884">
        <v>43394</v>
      </c>
      <c r="B1472" s="240" t="str">
        <f>TiposLancamentos!B24</f>
        <v>Estacionamentos</v>
      </c>
      <c r="C1472" s="878" t="s">
        <v>19326</v>
      </c>
      <c r="D1472" s="63"/>
      <c r="E1472" s="231">
        <v>8</v>
      </c>
      <c r="F1472" s="899"/>
      <c r="G1472" s="1152" t="s">
        <v>9</v>
      </c>
    </row>
    <row r="1473" spans="1:7">
      <c r="A1473" s="884">
        <v>43394</v>
      </c>
      <c r="B1473" s="240" t="str">
        <f>TiposLancamentos!B5</f>
        <v>Supermercado</v>
      </c>
      <c r="C1473" s="878" t="s">
        <v>7068</v>
      </c>
      <c r="D1473" s="63"/>
      <c r="E1473" s="231">
        <v>26.91</v>
      </c>
      <c r="F1473" s="899"/>
      <c r="G1473" s="1152" t="s">
        <v>9</v>
      </c>
    </row>
    <row r="1474" spans="1:7">
      <c r="A1474" s="884">
        <v>43394</v>
      </c>
      <c r="B1474" s="240" t="str">
        <f>TiposLancamentos!B45</f>
        <v>Online Services</v>
      </c>
      <c r="C1474" s="878" t="s">
        <v>19027</v>
      </c>
      <c r="D1474" s="63"/>
      <c r="E1474" s="231">
        <v>33</v>
      </c>
      <c r="F1474" s="899"/>
      <c r="G1474" s="1152" t="s">
        <v>9</v>
      </c>
    </row>
    <row r="1475" spans="1:7">
      <c r="A1475" s="884">
        <v>43395</v>
      </c>
      <c r="B1475" s="240" t="str">
        <f>TiposLancamentos!B5</f>
        <v>Supermercado</v>
      </c>
      <c r="C1475" s="878" t="s">
        <v>6234</v>
      </c>
      <c r="D1475" s="63"/>
      <c r="E1475" s="231">
        <v>13.07</v>
      </c>
      <c r="F1475" s="899"/>
      <c r="G1475" s="1152" t="s">
        <v>9</v>
      </c>
    </row>
    <row r="1476" spans="1:7">
      <c r="A1476" s="884">
        <v>43395</v>
      </c>
      <c r="B1476" s="240" t="str">
        <f>TiposLancamentos!B73</f>
        <v>Cursos</v>
      </c>
      <c r="C1476" s="878" t="s">
        <v>19090</v>
      </c>
      <c r="D1476" s="63"/>
      <c r="E1476" s="231">
        <v>51</v>
      </c>
      <c r="F1476" s="899"/>
      <c r="G1476" s="1152" t="s">
        <v>9</v>
      </c>
    </row>
    <row r="1477" spans="1:7">
      <c r="A1477" s="884">
        <v>43396</v>
      </c>
      <c r="B1477" s="240" t="str">
        <f>TiposLancamentos!B5</f>
        <v>Supermercado</v>
      </c>
      <c r="C1477" s="878" t="s">
        <v>6234</v>
      </c>
      <c r="D1477" s="63"/>
      <c r="E1477" s="231">
        <v>69.260000000000005</v>
      </c>
      <c r="F1477" s="899"/>
      <c r="G1477" s="1152" t="s">
        <v>9</v>
      </c>
    </row>
    <row r="1478" spans="1:7">
      <c r="A1478" s="1272">
        <v>43397</v>
      </c>
      <c r="B1478" s="279" t="str">
        <f>TiposLancamentos!B5</f>
        <v>Supermercado</v>
      </c>
      <c r="C1478" s="280" t="s">
        <v>19327</v>
      </c>
      <c r="D1478" s="281"/>
      <c r="E1478" s="1293">
        <v>41.9</v>
      </c>
      <c r="F1478" s="1271"/>
      <c r="G1478" s="1152" t="s">
        <v>9</v>
      </c>
    </row>
    <row r="1479" spans="1:7">
      <c r="A1479" s="1272">
        <v>43397</v>
      </c>
      <c r="B1479" s="279" t="str">
        <f>TiposLancamentos!B5</f>
        <v>Supermercado</v>
      </c>
      <c r="C1479" s="280" t="s">
        <v>19328</v>
      </c>
      <c r="D1479" s="281"/>
      <c r="E1479" s="1293">
        <v>54.98</v>
      </c>
      <c r="F1479" s="1271"/>
      <c r="G1479" s="1152" t="s">
        <v>9</v>
      </c>
    </row>
    <row r="1480" spans="1:7">
      <c r="A1480" s="884">
        <v>43397</v>
      </c>
      <c r="B1480" s="240" t="str">
        <f>TiposLancamentos!B19</f>
        <v>Restaurantes</v>
      </c>
      <c r="C1480" s="878" t="s">
        <v>19329</v>
      </c>
      <c r="D1480" s="63"/>
      <c r="E1480" s="231">
        <v>88.66</v>
      </c>
      <c r="F1480" s="899"/>
      <c r="G1480" s="1152" t="s">
        <v>9</v>
      </c>
    </row>
    <row r="1481" spans="1:7">
      <c r="A1481" s="1272">
        <v>43397</v>
      </c>
      <c r="B1481" s="279" t="str">
        <f>TiposLancamentos!B16</f>
        <v>Cristiane</v>
      </c>
      <c r="C1481" s="280" t="s">
        <v>19330</v>
      </c>
      <c r="D1481" s="281"/>
      <c r="E1481" s="1293">
        <v>90.9</v>
      </c>
      <c r="F1481" s="1271"/>
      <c r="G1481" s="1152" t="s">
        <v>9</v>
      </c>
    </row>
    <row r="1482" spans="1:7">
      <c r="A1482" s="1272">
        <v>43397</v>
      </c>
      <c r="B1482" s="279" t="str">
        <f>TiposLancamentos!B19</f>
        <v>Restaurantes</v>
      </c>
      <c r="C1482" s="280" t="s">
        <v>19331</v>
      </c>
      <c r="D1482" s="281"/>
      <c r="E1482" s="1293">
        <v>90.45</v>
      </c>
      <c r="F1482" s="1271"/>
      <c r="G1482" s="1152" t="s">
        <v>9</v>
      </c>
    </row>
    <row r="1483" spans="1:7">
      <c r="A1483" s="1272">
        <v>43398</v>
      </c>
      <c r="B1483" s="279" t="str">
        <f>TiposLancamentos!B34</f>
        <v>Seguros</v>
      </c>
      <c r="C1483" s="280" t="s">
        <v>19332</v>
      </c>
      <c r="D1483" s="281"/>
      <c r="E1483" s="1293">
        <f>F1483/4</f>
        <v>294.12</v>
      </c>
      <c r="F1483" s="1271">
        <v>1176.48</v>
      </c>
      <c r="G1483" s="1152" t="s">
        <v>9</v>
      </c>
    </row>
    <row r="1484" spans="1:7">
      <c r="A1484" s="884">
        <v>43398</v>
      </c>
      <c r="B1484" s="240" t="str">
        <f>TiposLancamentos!B48</f>
        <v>Baralhos e Oráculos</v>
      </c>
      <c r="C1484" s="878" t="s">
        <v>19333</v>
      </c>
      <c r="D1484" s="63"/>
      <c r="E1484" s="231">
        <v>204</v>
      </c>
      <c r="F1484" s="899"/>
      <c r="G1484" s="1152" t="s">
        <v>9</v>
      </c>
    </row>
    <row r="1485" spans="1:7">
      <c r="A1485" s="1272">
        <v>43399</v>
      </c>
      <c r="B1485" s="279" t="str">
        <f>TiposLancamentos!B34</f>
        <v>Seguros</v>
      </c>
      <c r="C1485" s="280" t="s">
        <v>19334</v>
      </c>
      <c r="D1485" s="281"/>
      <c r="E1485" s="1293">
        <v>391.98</v>
      </c>
      <c r="F1485" s="1271">
        <v>1567.92</v>
      </c>
      <c r="G1485" s="1152" t="s">
        <v>9</v>
      </c>
    </row>
    <row r="1486" spans="1:7">
      <c r="A1486" s="884">
        <v>43399</v>
      </c>
      <c r="B1486" s="240" t="str">
        <f>TiposLancamentos!B19</f>
        <v>Restaurantes</v>
      </c>
      <c r="C1486" s="878" t="s">
        <v>19335</v>
      </c>
      <c r="D1486" s="63"/>
      <c r="E1486" s="231">
        <v>100.65</v>
      </c>
      <c r="F1486" s="899"/>
      <c r="G1486" s="1152" t="s">
        <v>9</v>
      </c>
    </row>
    <row r="1487" spans="1:7">
      <c r="A1487" s="884">
        <v>43400</v>
      </c>
      <c r="B1487" s="240" t="str">
        <f>TiposLancamentos!B19</f>
        <v>Restaurantes</v>
      </c>
      <c r="C1487" s="878" t="s">
        <v>7406</v>
      </c>
      <c r="D1487" s="63"/>
      <c r="E1487" s="231">
        <v>94.38</v>
      </c>
      <c r="F1487" s="899"/>
      <c r="G1487" s="1152" t="s">
        <v>9</v>
      </c>
    </row>
    <row r="1488" spans="1:7">
      <c r="A1488" s="884">
        <v>43400</v>
      </c>
      <c r="B1488" s="240" t="str">
        <f>TiposLancamentos!B56</f>
        <v>Farmácia</v>
      </c>
      <c r="C1488" s="878" t="s">
        <v>19336</v>
      </c>
      <c r="D1488" s="63"/>
      <c r="E1488" s="231">
        <v>114.21</v>
      </c>
      <c r="F1488" s="899"/>
      <c r="G1488" s="1152" t="s">
        <v>9</v>
      </c>
    </row>
    <row r="1489" spans="1:7">
      <c r="A1489" s="884">
        <v>43400</v>
      </c>
      <c r="B1489" s="240" t="str">
        <f>TiposLancamentos!B22</f>
        <v>Combustivel</v>
      </c>
      <c r="C1489" s="878" t="s">
        <v>19337</v>
      </c>
      <c r="D1489" s="63"/>
      <c r="E1489" s="231">
        <v>150</v>
      </c>
      <c r="F1489" s="899"/>
      <c r="G1489" s="1152" t="s">
        <v>9</v>
      </c>
    </row>
    <row r="1490" spans="1:7">
      <c r="A1490" s="884">
        <v>43400</v>
      </c>
      <c r="B1490" s="240" t="str">
        <f>TiposLancamentos!B5</f>
        <v>Supermercado</v>
      </c>
      <c r="C1490" s="878" t="s">
        <v>6234</v>
      </c>
      <c r="D1490" s="63"/>
      <c r="E1490" s="231">
        <v>92.57</v>
      </c>
      <c r="F1490" s="899"/>
      <c r="G1490" s="1152" t="s">
        <v>9</v>
      </c>
    </row>
    <row r="1491" spans="1:7">
      <c r="A1491" s="884">
        <v>43400</v>
      </c>
      <c r="B1491" s="240" t="str">
        <f>TiposLancamentos!B24</f>
        <v>Estacionamentos</v>
      </c>
      <c r="C1491" s="878" t="s">
        <v>19338</v>
      </c>
      <c r="D1491" s="63"/>
      <c r="E1491" s="231">
        <v>8</v>
      </c>
      <c r="F1491" s="899"/>
      <c r="G1491" s="1152" t="s">
        <v>9</v>
      </c>
    </row>
    <row r="1492" spans="1:7">
      <c r="A1492" s="884">
        <v>43401</v>
      </c>
      <c r="B1492" s="240" t="str">
        <f>TiposLancamentos!B45</f>
        <v>Online Services</v>
      </c>
      <c r="C1492" s="878" t="s">
        <v>1895</v>
      </c>
      <c r="D1492" s="63"/>
      <c r="E1492" s="231">
        <v>26.9</v>
      </c>
      <c r="F1492" s="899"/>
      <c r="G1492" s="1152" t="s">
        <v>9</v>
      </c>
    </row>
    <row r="1493" spans="1:7">
      <c r="A1493" s="884">
        <v>43401</v>
      </c>
      <c r="B1493" s="240" t="str">
        <f>TiposLancamentos!B45</f>
        <v>Online Services</v>
      </c>
      <c r="C1493" s="878" t="s">
        <v>1894</v>
      </c>
      <c r="D1493" s="63"/>
      <c r="E1493" s="231">
        <v>25.8</v>
      </c>
      <c r="F1493" s="899"/>
      <c r="G1493" s="1152" t="s">
        <v>9</v>
      </c>
    </row>
    <row r="1494" spans="1:7">
      <c r="A1494" s="1272">
        <v>43401</v>
      </c>
      <c r="B1494" s="279" t="str">
        <f>TiposLancamentos!B19</f>
        <v>Restaurantes</v>
      </c>
      <c r="C1494" s="280" t="s">
        <v>19339</v>
      </c>
      <c r="D1494" s="281"/>
      <c r="E1494" s="1293">
        <v>47</v>
      </c>
      <c r="F1494" s="1271"/>
      <c r="G1494" s="1152" t="s">
        <v>9</v>
      </c>
    </row>
    <row r="1495" spans="1:7">
      <c r="A1495" s="884">
        <v>43402</v>
      </c>
      <c r="B1495" s="240" t="str">
        <f>TiposLancamentos!B5</f>
        <v>Supermercado</v>
      </c>
      <c r="C1495" s="878" t="s">
        <v>19121</v>
      </c>
      <c r="D1495" s="63"/>
      <c r="E1495" s="231">
        <v>205.8</v>
      </c>
      <c r="F1495" s="899"/>
      <c r="G1495" s="1152" t="s">
        <v>9</v>
      </c>
    </row>
    <row r="1496" spans="1:7">
      <c r="A1496" s="884">
        <v>43403</v>
      </c>
      <c r="B1496" s="240" t="str">
        <f>TiposLancamentos!B56</f>
        <v>Farmácia</v>
      </c>
      <c r="C1496" s="878" t="s">
        <v>19340</v>
      </c>
      <c r="D1496" s="63"/>
      <c r="E1496" s="231">
        <v>7.27</v>
      </c>
      <c r="F1496" s="899"/>
      <c r="G1496" s="1152" t="s">
        <v>9</v>
      </c>
    </row>
    <row r="1497" spans="1:7">
      <c r="A1497" s="884">
        <v>43403</v>
      </c>
      <c r="B1497" s="240" t="str">
        <f>TiposLancamentos!B56</f>
        <v>Farmácia</v>
      </c>
      <c r="C1497" s="878" t="s">
        <v>19341</v>
      </c>
      <c r="D1497" s="63"/>
      <c r="E1497" s="231">
        <v>46.09</v>
      </c>
      <c r="F1497" s="899"/>
      <c r="G1497" s="1152" t="s">
        <v>9</v>
      </c>
    </row>
    <row r="1498" spans="1:7">
      <c r="A1498" s="884">
        <v>43403</v>
      </c>
      <c r="B1498" s="240" t="str">
        <f>TiposLancamentos!B56</f>
        <v>Farmácia</v>
      </c>
      <c r="C1498" s="878" t="s">
        <v>19342</v>
      </c>
      <c r="D1498" s="63"/>
      <c r="E1498" s="231">
        <v>42.44</v>
      </c>
      <c r="F1498" s="899"/>
      <c r="G1498" s="1152" t="s">
        <v>9</v>
      </c>
    </row>
    <row r="1499" spans="1:7">
      <c r="A1499" s="1272">
        <v>43404</v>
      </c>
      <c r="B1499" s="279" t="str">
        <f>TiposLancamentos!B16</f>
        <v>Cristiane</v>
      </c>
      <c r="C1499" s="280" t="s">
        <v>19343</v>
      </c>
      <c r="D1499" s="281"/>
      <c r="E1499" s="1293">
        <v>91.6</v>
      </c>
      <c r="F1499" s="1271"/>
      <c r="G1499" s="1152" t="s">
        <v>9</v>
      </c>
    </row>
    <row r="1500" spans="1:7">
      <c r="A1500" s="884">
        <v>43404</v>
      </c>
      <c r="B1500" s="240" t="str">
        <f>TiposLancamentos!B44</f>
        <v>Academia</v>
      </c>
      <c r="C1500" s="878" t="s">
        <v>19344</v>
      </c>
      <c r="D1500" s="63"/>
      <c r="E1500" s="231">
        <v>115.6</v>
      </c>
      <c r="F1500" s="899"/>
      <c r="G1500" s="1152" t="s">
        <v>9</v>
      </c>
    </row>
    <row r="1501" spans="1:7" ht="14.25" thickBot="1">
      <c r="A1501" s="1272">
        <v>43404</v>
      </c>
      <c r="B1501" s="279" t="str">
        <f>TiposLancamentos!B16</f>
        <v>Cristiane</v>
      </c>
      <c r="C1501" s="280" t="s">
        <v>19344</v>
      </c>
      <c r="D1501" s="281"/>
      <c r="E1501" s="1293">
        <v>115.6</v>
      </c>
      <c r="F1501" s="1271"/>
      <c r="G1501" s="1152" t="s">
        <v>9</v>
      </c>
    </row>
    <row r="1502" spans="1:7">
      <c r="A1502" s="1032"/>
      <c r="B1502" s="1230"/>
      <c r="C1502" s="906" t="s">
        <v>15293</v>
      </c>
      <c r="D1502" s="896"/>
      <c r="E1502" s="925"/>
      <c r="F1502" s="898">
        <f>SUM(E1339:E1465)-D1392</f>
        <v>10211.471666666663</v>
      </c>
      <c r="G1502" s="3"/>
    </row>
    <row r="1503" spans="1:7">
      <c r="A1503" s="884">
        <v>43405</v>
      </c>
      <c r="B1503" s="240" t="str">
        <f>TiposLancamentos!B15</f>
        <v>Cartões de Crédito</v>
      </c>
      <c r="C1503" s="878" t="s">
        <v>1874</v>
      </c>
      <c r="D1503" s="63">
        <v>10211.469999999999</v>
      </c>
      <c r="E1503" s="231"/>
      <c r="F1503" s="899">
        <f>F1502-F1386</f>
        <v>-134.68999999999687</v>
      </c>
      <c r="G1503" s="1152" t="s">
        <v>9</v>
      </c>
    </row>
    <row r="1504" spans="1:7">
      <c r="A1504" s="1272">
        <v>43405</v>
      </c>
      <c r="B1504" s="279" t="str">
        <f>TiposLancamentos!B16</f>
        <v>Cristiane</v>
      </c>
      <c r="C1504" s="280" t="s">
        <v>19345</v>
      </c>
      <c r="D1504" s="281"/>
      <c r="E1504" s="1293">
        <v>294.98</v>
      </c>
      <c r="F1504" s="1271"/>
      <c r="G1504" s="1152" t="s">
        <v>9</v>
      </c>
    </row>
    <row r="1505" spans="1:7">
      <c r="A1505" s="884">
        <v>43405</v>
      </c>
      <c r="B1505" s="240" t="str">
        <f>TiposLancamentos!B24</f>
        <v>Estacionamentos</v>
      </c>
      <c r="C1505" s="878" t="s">
        <v>19346</v>
      </c>
      <c r="D1505" s="63"/>
      <c r="E1505" s="231">
        <v>8</v>
      </c>
      <c r="F1505" s="899"/>
      <c r="G1505" s="1152" t="s">
        <v>9</v>
      </c>
    </row>
    <row r="1506" spans="1:7">
      <c r="A1506" s="884">
        <v>43406</v>
      </c>
      <c r="B1506" s="240" t="str">
        <f>TiposLancamentos!B5</f>
        <v>Supermercado</v>
      </c>
      <c r="C1506" s="878" t="s">
        <v>16844</v>
      </c>
      <c r="D1506" s="63"/>
      <c r="E1506" s="231">
        <v>160.68</v>
      </c>
      <c r="F1506" s="899"/>
      <c r="G1506" s="1152" t="s">
        <v>9</v>
      </c>
    </row>
    <row r="1507" spans="1:7">
      <c r="A1507" s="884">
        <v>43407</v>
      </c>
      <c r="B1507" s="240" t="str">
        <f>B1506</f>
        <v>Supermercado</v>
      </c>
      <c r="C1507" s="878" t="s">
        <v>19347</v>
      </c>
      <c r="D1507" s="63"/>
      <c r="E1507" s="231">
        <v>66.36</v>
      </c>
      <c r="F1507" s="899"/>
      <c r="G1507" s="1152" t="s">
        <v>9</v>
      </c>
    </row>
    <row r="1508" spans="1:7">
      <c r="A1508" s="884">
        <v>43407</v>
      </c>
      <c r="B1508" s="240" t="str">
        <f>TiposLancamentos!B19</f>
        <v>Restaurantes</v>
      </c>
      <c r="C1508" s="878" t="s">
        <v>19348</v>
      </c>
      <c r="D1508" s="63"/>
      <c r="E1508" s="231">
        <v>113.3</v>
      </c>
      <c r="F1508" s="899"/>
      <c r="G1508" s="1152" t="s">
        <v>9</v>
      </c>
    </row>
    <row r="1509" spans="1:7">
      <c r="A1509" s="884">
        <v>43407</v>
      </c>
      <c r="B1509" s="240" t="str">
        <f>TiposLancamentos!B16</f>
        <v>Cristiane</v>
      </c>
      <c r="C1509" s="878" t="s">
        <v>19349</v>
      </c>
      <c r="D1509" s="63"/>
      <c r="E1509" s="231">
        <v>359.8</v>
      </c>
      <c r="F1509" s="899"/>
      <c r="G1509" s="1152" t="s">
        <v>9</v>
      </c>
    </row>
    <row r="1510" spans="1:7">
      <c r="A1510" s="884">
        <v>43407</v>
      </c>
      <c r="B1510" s="240" t="str">
        <f>TiposLancamentos!B48</f>
        <v>Baralhos e Oráculos</v>
      </c>
      <c r="C1510" s="878" t="s">
        <v>19350</v>
      </c>
      <c r="D1510" s="63"/>
      <c r="E1510" s="231">
        <v>154.75</v>
      </c>
      <c r="F1510" s="899"/>
      <c r="G1510" s="1152" t="s">
        <v>9</v>
      </c>
    </row>
    <row r="1511" spans="1:7">
      <c r="A1511" s="1272">
        <v>43407</v>
      </c>
      <c r="B1511" s="279" t="str">
        <f>TiposLancamentos!B16</f>
        <v>Cristiane</v>
      </c>
      <c r="C1511" s="280" t="s">
        <v>19351</v>
      </c>
      <c r="D1511" s="281"/>
      <c r="E1511" s="1293">
        <v>159.9</v>
      </c>
      <c r="F1511" s="1271">
        <f>E1511*3</f>
        <v>479.70000000000005</v>
      </c>
      <c r="G1511" s="1152" t="s">
        <v>9</v>
      </c>
    </row>
    <row r="1512" spans="1:7">
      <c r="A1512" s="884">
        <v>43407</v>
      </c>
      <c r="B1512" s="240" t="str">
        <f>TiposLancamentos!B71</f>
        <v>Itens Pessoais</v>
      </c>
      <c r="C1512" s="878" t="s">
        <v>19352</v>
      </c>
      <c r="D1512" s="63"/>
      <c r="E1512" s="231">
        <v>143</v>
      </c>
      <c r="F1512" s="899">
        <f>E1512*3</f>
        <v>429</v>
      </c>
      <c r="G1512" s="1152" t="s">
        <v>9</v>
      </c>
    </row>
    <row r="1513" spans="1:7">
      <c r="A1513" s="1272">
        <v>43407</v>
      </c>
      <c r="B1513" s="279" t="str">
        <f>TiposLancamentos!B16</f>
        <v>Cristiane</v>
      </c>
      <c r="C1513" s="280" t="s">
        <v>6735</v>
      </c>
      <c r="D1513" s="281"/>
      <c r="E1513" s="1293">
        <v>54</v>
      </c>
      <c r="F1513" s="1271"/>
      <c r="G1513" s="1152" t="s">
        <v>9</v>
      </c>
    </row>
    <row r="1514" spans="1:7">
      <c r="A1514" s="884">
        <v>43407</v>
      </c>
      <c r="B1514" s="240" t="str">
        <f>B1505</f>
        <v>Estacionamentos</v>
      </c>
      <c r="C1514" s="878" t="s">
        <v>19353</v>
      </c>
      <c r="D1514" s="63"/>
      <c r="E1514" s="231">
        <v>13</v>
      </c>
      <c r="F1514" s="899"/>
      <c r="G1514" s="1152" t="s">
        <v>9</v>
      </c>
    </row>
    <row r="1515" spans="1:7">
      <c r="A1515" s="1272">
        <v>43408</v>
      </c>
      <c r="B1515" s="279" t="str">
        <f>TiposLancamentos!B19</f>
        <v>Restaurantes</v>
      </c>
      <c r="C1515" s="280" t="s">
        <v>11101</v>
      </c>
      <c r="D1515" s="281"/>
      <c r="E1515" s="1293">
        <v>43</v>
      </c>
      <c r="F1515" s="1271"/>
      <c r="G1515" s="1152" t="s">
        <v>9</v>
      </c>
    </row>
    <row r="1516" spans="1:7">
      <c r="A1516" s="884">
        <v>43409</v>
      </c>
      <c r="B1516" s="240" t="str">
        <f>TiposLancamentos!B5</f>
        <v>Supermercado</v>
      </c>
      <c r="C1516" s="878" t="s">
        <v>6234</v>
      </c>
      <c r="D1516" s="63"/>
      <c r="E1516" s="231">
        <v>95.04</v>
      </c>
      <c r="F1516" s="899"/>
      <c r="G1516" s="1152" t="s">
        <v>9</v>
      </c>
    </row>
    <row r="1517" spans="1:7">
      <c r="A1517" s="1272">
        <v>43409</v>
      </c>
      <c r="B1517" s="279" t="str">
        <f>TiposLancamentos!B34</f>
        <v>Seguros</v>
      </c>
      <c r="C1517" s="280" t="s">
        <v>19354</v>
      </c>
      <c r="D1517" s="281"/>
      <c r="E1517" s="1293">
        <f>F1517/4</f>
        <v>237.68</v>
      </c>
      <c r="F1517" s="1271">
        <v>950.72</v>
      </c>
      <c r="G1517" s="1152" t="s">
        <v>9</v>
      </c>
    </row>
    <row r="1518" spans="1:7">
      <c r="A1518" s="884">
        <v>43409</v>
      </c>
      <c r="B1518" s="240" t="str">
        <f>TiposLancamentos!B45</f>
        <v>Online Services</v>
      </c>
      <c r="C1518" s="878" t="s">
        <v>18771</v>
      </c>
      <c r="D1518" s="63"/>
      <c r="E1518" s="231">
        <v>15</v>
      </c>
      <c r="F1518" s="899"/>
      <c r="G1518" s="1152" t="s">
        <v>9</v>
      </c>
    </row>
    <row r="1519" spans="1:7">
      <c r="A1519" s="884">
        <v>43409</v>
      </c>
      <c r="B1519" s="240" t="str">
        <f>TiposLancamentos!B13</f>
        <v>Moradia</v>
      </c>
      <c r="C1519" s="878" t="s">
        <v>19355</v>
      </c>
      <c r="D1519" s="63"/>
      <c r="E1519" s="231">
        <v>104.68</v>
      </c>
      <c r="F1519" s="899"/>
      <c r="G1519" s="1152" t="s">
        <v>9</v>
      </c>
    </row>
    <row r="1520" spans="1:7">
      <c r="A1520" s="1272">
        <v>43410</v>
      </c>
      <c r="B1520" s="279" t="str">
        <f>TiposLancamentos!B16</f>
        <v>Cristiane</v>
      </c>
      <c r="C1520" s="280" t="s">
        <v>19356</v>
      </c>
      <c r="D1520" s="281"/>
      <c r="E1520" s="1293">
        <v>86.7</v>
      </c>
      <c r="F1520" s="1271"/>
      <c r="G1520" s="1152" t="s">
        <v>9</v>
      </c>
    </row>
    <row r="1521" spans="1:7">
      <c r="A1521" s="1272">
        <v>43410</v>
      </c>
      <c r="B1521" s="279" t="str">
        <f>TiposLancamentos!B5</f>
        <v>Supermercado</v>
      </c>
      <c r="C1521" s="280" t="s">
        <v>6234</v>
      </c>
      <c r="D1521" s="281"/>
      <c r="E1521" s="1293">
        <v>84.96</v>
      </c>
      <c r="F1521" s="1271"/>
      <c r="G1521" s="1152" t="s">
        <v>9</v>
      </c>
    </row>
    <row r="1522" spans="1:7">
      <c r="A1522" s="1272">
        <v>43411</v>
      </c>
      <c r="B1522" s="279" t="str">
        <f>TiposLancamentos!B64</f>
        <v>Viagens</v>
      </c>
      <c r="C1522" s="280" t="s">
        <v>19357</v>
      </c>
      <c r="D1522" s="281"/>
      <c r="E1522" s="1293">
        <v>473.44</v>
      </c>
      <c r="F1522" s="1271">
        <f>E1522*3</f>
        <v>1420.32</v>
      </c>
      <c r="G1522" s="1152" t="s">
        <v>9</v>
      </c>
    </row>
    <row r="1523" spans="1:7">
      <c r="A1523" s="884">
        <v>43411</v>
      </c>
      <c r="B1523" s="240" t="str">
        <f>TiposLancamentos!B64</f>
        <v>Viagens</v>
      </c>
      <c r="C1523" s="878" t="s">
        <v>19358</v>
      </c>
      <c r="D1523" s="63"/>
      <c r="E1523" s="231">
        <v>169.2</v>
      </c>
      <c r="F1523" s="899">
        <f>E1523*3</f>
        <v>507.59999999999997</v>
      </c>
      <c r="G1523" s="1152" t="s">
        <v>9</v>
      </c>
    </row>
    <row r="1524" spans="1:7">
      <c r="A1524" s="884">
        <v>43411</v>
      </c>
      <c r="B1524" s="240" t="str">
        <f>TiposLancamentos!B19</f>
        <v>Restaurantes</v>
      </c>
      <c r="C1524" s="878" t="s">
        <v>19359</v>
      </c>
      <c r="D1524" s="63"/>
      <c r="E1524" s="231">
        <v>160.46</v>
      </c>
      <c r="F1524" s="899"/>
      <c r="G1524" s="1152" t="s">
        <v>9</v>
      </c>
    </row>
    <row r="1525" spans="1:7">
      <c r="A1525" s="884">
        <v>43412</v>
      </c>
      <c r="B1525" s="240" t="str">
        <f>TiposLancamentos!B23</f>
        <v>P208 GRIFFE 1.6 AUT BUSINESS</v>
      </c>
      <c r="C1525" s="878" t="s">
        <v>19360</v>
      </c>
      <c r="D1525" s="63"/>
      <c r="E1525" s="231">
        <v>199.68</v>
      </c>
      <c r="F1525" s="899">
        <v>599</v>
      </c>
      <c r="G1525" s="1152" t="s">
        <v>9</v>
      </c>
    </row>
    <row r="1526" spans="1:7">
      <c r="A1526" s="884">
        <v>43412</v>
      </c>
      <c r="B1526" s="240" t="str">
        <f>TiposLancamentos!B23</f>
        <v>P208 GRIFFE 1.6 AUT BUSINESS</v>
      </c>
      <c r="C1526" s="878" t="s">
        <v>19361</v>
      </c>
      <c r="D1526" s="63"/>
      <c r="E1526" s="231">
        <f>F1526/3</f>
        <v>311</v>
      </c>
      <c r="F1526" s="899">
        <v>933</v>
      </c>
      <c r="G1526" s="1152" t="s">
        <v>9</v>
      </c>
    </row>
    <row r="1527" spans="1:7">
      <c r="A1527" s="884">
        <v>43412</v>
      </c>
      <c r="B1527" s="240" t="str">
        <f>TiposLancamentos!B102</f>
        <v>ESTORNO</v>
      </c>
      <c r="C1527" s="878" t="s">
        <v>19362</v>
      </c>
      <c r="D1527" s="63">
        <v>0.02</v>
      </c>
      <c r="E1527" s="231"/>
      <c r="F1527" s="899"/>
      <c r="G1527" s="1152"/>
    </row>
    <row r="1528" spans="1:7">
      <c r="A1528" s="1272">
        <v>43412</v>
      </c>
      <c r="B1528" s="279" t="str">
        <f>TiposLancamentos!B5</f>
        <v>Supermercado</v>
      </c>
      <c r="C1528" s="280" t="s">
        <v>19363</v>
      </c>
      <c r="D1528" s="281"/>
      <c r="E1528" s="1293">
        <v>62.9</v>
      </c>
      <c r="F1528" s="1271"/>
      <c r="G1528" s="1152" t="s">
        <v>9</v>
      </c>
    </row>
    <row r="1529" spans="1:7">
      <c r="A1529" s="1272">
        <v>43412</v>
      </c>
      <c r="B1529" s="279" t="str">
        <f>TiposLancamentos!B5</f>
        <v>Supermercado</v>
      </c>
      <c r="C1529" s="280" t="s">
        <v>6234</v>
      </c>
      <c r="D1529" s="281"/>
      <c r="E1529" s="1293">
        <v>157.75</v>
      </c>
      <c r="F1529" s="1271"/>
      <c r="G1529" s="1152" t="s">
        <v>9</v>
      </c>
    </row>
    <row r="1530" spans="1:7">
      <c r="A1530" s="884">
        <v>43412</v>
      </c>
      <c r="B1530" s="240" t="str">
        <f>TiposLancamentos!B16</f>
        <v>Cristiane</v>
      </c>
      <c r="C1530" s="878" t="s">
        <v>19364</v>
      </c>
      <c r="D1530" s="63"/>
      <c r="E1530" s="231">
        <v>110.7</v>
      </c>
      <c r="F1530" s="899"/>
      <c r="G1530" s="1152" t="s">
        <v>9</v>
      </c>
    </row>
    <row r="1531" spans="1:7">
      <c r="A1531" s="1272">
        <v>43413</v>
      </c>
      <c r="B1531" s="279" t="str">
        <f>TiposLancamentos!B16</f>
        <v>Cristiane</v>
      </c>
      <c r="C1531" s="280" t="s">
        <v>19365</v>
      </c>
      <c r="D1531" s="281"/>
      <c r="E1531" s="1293">
        <v>71.349999999999994</v>
      </c>
      <c r="F1531" s="1271"/>
      <c r="G1531" s="1152" t="s">
        <v>9</v>
      </c>
    </row>
    <row r="1532" spans="1:7">
      <c r="A1532" s="1272">
        <v>43413</v>
      </c>
      <c r="B1532" s="279" t="str">
        <f>TiposLancamentos!B16</f>
        <v>Cristiane</v>
      </c>
      <c r="C1532" s="280" t="s">
        <v>19366</v>
      </c>
      <c r="D1532" s="281"/>
      <c r="E1532" s="1293">
        <v>98.88</v>
      </c>
      <c r="F1532" s="1271"/>
      <c r="G1532" s="1152" t="s">
        <v>9</v>
      </c>
    </row>
    <row r="1533" spans="1:7">
      <c r="A1533" s="884">
        <v>43415</v>
      </c>
      <c r="B1533" s="240" t="str">
        <f>TiposLancamentos!B5</f>
        <v>Supermercado</v>
      </c>
      <c r="C1533" s="878" t="s">
        <v>6873</v>
      </c>
      <c r="D1533" s="63"/>
      <c r="E1533" s="231">
        <v>31.25</v>
      </c>
      <c r="F1533" s="899"/>
      <c r="G1533" s="1152" t="s">
        <v>9</v>
      </c>
    </row>
    <row r="1534" spans="1:7">
      <c r="A1534" s="884">
        <v>43415</v>
      </c>
      <c r="B1534" s="240" t="str">
        <f>TiposLancamentos!B57</f>
        <v>Informática</v>
      </c>
      <c r="C1534" s="878" t="s">
        <v>19367</v>
      </c>
      <c r="D1534" s="63"/>
      <c r="E1534" s="231">
        <v>18.899999999999999</v>
      </c>
      <c r="F1534" s="899"/>
      <c r="G1534" s="1152" t="s">
        <v>9</v>
      </c>
    </row>
    <row r="1535" spans="1:7">
      <c r="A1535" s="884">
        <v>43415</v>
      </c>
      <c r="B1535" s="240" t="str">
        <f>TiposLancamentos!B64</f>
        <v>Viagens</v>
      </c>
      <c r="C1535" s="878" t="s">
        <v>19368</v>
      </c>
      <c r="D1535" s="63"/>
      <c r="E1535" s="231">
        <f>F1535/6</f>
        <v>337.53166666666669</v>
      </c>
      <c r="F1535" s="899">
        <v>2025.19</v>
      </c>
      <c r="G1535" s="1152" t="s">
        <v>9</v>
      </c>
    </row>
    <row r="1536" spans="1:7">
      <c r="A1536" s="884">
        <v>43415</v>
      </c>
      <c r="B1536" s="240" t="str">
        <f>TiposLancamentos!B64</f>
        <v>Viagens</v>
      </c>
      <c r="C1536" s="878" t="s">
        <v>19369</v>
      </c>
      <c r="D1536" s="63"/>
      <c r="E1536" s="231">
        <v>89.88</v>
      </c>
      <c r="F1536" s="899">
        <v>539.30999999999995</v>
      </c>
      <c r="G1536" s="1152" t="s">
        <v>9</v>
      </c>
    </row>
    <row r="1537" spans="1:7">
      <c r="A1537" s="884">
        <v>43415</v>
      </c>
      <c r="B1537" s="240" t="str">
        <f>TiposLancamentos!B64</f>
        <v>Viagens</v>
      </c>
      <c r="C1537" s="878" t="s">
        <v>19370</v>
      </c>
      <c r="D1537" s="63"/>
      <c r="E1537" s="231">
        <f>F1537/6</f>
        <v>297.45999999999998</v>
      </c>
      <c r="F1537" s="899">
        <v>1784.76</v>
      </c>
      <c r="G1537" s="1152" t="s">
        <v>9</v>
      </c>
    </row>
    <row r="1538" spans="1:7">
      <c r="A1538" s="884">
        <v>43416</v>
      </c>
      <c r="B1538" s="240" t="str">
        <f>TiposLancamentos!B57</f>
        <v>Informática</v>
      </c>
      <c r="C1538" s="878" t="s">
        <v>19223</v>
      </c>
      <c r="D1538" s="63"/>
      <c r="E1538" s="231">
        <v>47.08</v>
      </c>
      <c r="F1538" s="899"/>
      <c r="G1538" s="1152" t="s">
        <v>9</v>
      </c>
    </row>
    <row r="1539" spans="1:7">
      <c r="A1539" s="1272">
        <v>43416</v>
      </c>
      <c r="B1539" s="279" t="str">
        <f>TiposLancamentos!B5</f>
        <v>Supermercado</v>
      </c>
      <c r="C1539" s="280" t="s">
        <v>6234</v>
      </c>
      <c r="D1539" s="281"/>
      <c r="E1539" s="1293">
        <v>176.44</v>
      </c>
      <c r="F1539" s="1271"/>
      <c r="G1539" s="1152" t="s">
        <v>9</v>
      </c>
    </row>
    <row r="1540" spans="1:7">
      <c r="A1540" s="1272">
        <v>43417</v>
      </c>
      <c r="B1540" s="279" t="str">
        <f>TiposLancamentos!B16</f>
        <v>Cristiane</v>
      </c>
      <c r="C1540" s="280" t="s">
        <v>19371</v>
      </c>
      <c r="D1540" s="281"/>
      <c r="E1540" s="1293">
        <v>289.89999999999998</v>
      </c>
      <c r="F1540" s="1271"/>
      <c r="G1540" s="1152" t="s">
        <v>9</v>
      </c>
    </row>
    <row r="1541" spans="1:7">
      <c r="A1541" s="1272">
        <v>43417</v>
      </c>
      <c r="B1541" s="279" t="str">
        <f>TiposLancamentos!B16</f>
        <v>Cristiane</v>
      </c>
      <c r="C1541" s="280" t="s">
        <v>19372</v>
      </c>
      <c r="D1541" s="281"/>
      <c r="E1541" s="1293">
        <v>182</v>
      </c>
      <c r="F1541" s="1271"/>
      <c r="G1541" s="1152" t="s">
        <v>9</v>
      </c>
    </row>
    <row r="1542" spans="1:7">
      <c r="A1542" s="884">
        <v>43417</v>
      </c>
      <c r="B1542" s="240" t="str">
        <f>TiposLancamentos!B65</f>
        <v>Taxi</v>
      </c>
      <c r="C1542" s="878" t="s">
        <v>19373</v>
      </c>
      <c r="D1542" s="63"/>
      <c r="E1542" s="231">
        <v>28.4</v>
      </c>
      <c r="F1542" s="899"/>
      <c r="G1542" s="1152" t="s">
        <v>9</v>
      </c>
    </row>
    <row r="1543" spans="1:7">
      <c r="A1543" s="1272">
        <v>43417</v>
      </c>
      <c r="B1543" s="279" t="str">
        <f>TiposLancamentos!B16</f>
        <v>Cristiane</v>
      </c>
      <c r="C1543" s="280" t="s">
        <v>11101</v>
      </c>
      <c r="D1543" s="281"/>
      <c r="E1543" s="1293">
        <v>51.65</v>
      </c>
      <c r="F1543" s="1271"/>
      <c r="G1543" s="1152" t="s">
        <v>9</v>
      </c>
    </row>
    <row r="1544" spans="1:7">
      <c r="A1544" s="884">
        <v>43417</v>
      </c>
      <c r="B1544" s="240" t="str">
        <f>TiposLancamentos!B65</f>
        <v>Taxi</v>
      </c>
      <c r="C1544" s="878" t="s">
        <v>19374</v>
      </c>
      <c r="D1544" s="63"/>
      <c r="E1544" s="231">
        <v>49.63</v>
      </c>
      <c r="F1544" s="899"/>
      <c r="G1544" s="1152" t="s">
        <v>9</v>
      </c>
    </row>
    <row r="1545" spans="1:7">
      <c r="A1545" s="884">
        <v>43418</v>
      </c>
      <c r="B1545" s="240" t="str">
        <f>TiposLancamentos!B56</f>
        <v>Farmácia</v>
      </c>
      <c r="C1545" s="878" t="s">
        <v>19375</v>
      </c>
      <c r="D1545" s="63"/>
      <c r="E1545" s="231">
        <v>31.62</v>
      </c>
      <c r="F1545" s="899"/>
      <c r="G1545" s="1152" t="s">
        <v>9</v>
      </c>
    </row>
    <row r="1546" spans="1:7">
      <c r="A1546" s="884">
        <v>43419</v>
      </c>
      <c r="B1546" s="240" t="str">
        <f>TiposLancamentos!B5</f>
        <v>Supermercado</v>
      </c>
      <c r="C1546" s="878" t="s">
        <v>6234</v>
      </c>
      <c r="D1546" s="63"/>
      <c r="E1546" s="231">
        <v>131.51</v>
      </c>
      <c r="F1546" s="899"/>
      <c r="G1546" s="1152" t="s">
        <v>9</v>
      </c>
    </row>
    <row r="1547" spans="1:7">
      <c r="A1547" s="884">
        <v>43420</v>
      </c>
      <c r="B1547" s="240" t="str">
        <f>TiposLancamentos!B19</f>
        <v>Restaurantes</v>
      </c>
      <c r="C1547" s="878" t="s">
        <v>19376</v>
      </c>
      <c r="D1547" s="63"/>
      <c r="E1547" s="231">
        <v>116.49</v>
      </c>
      <c r="F1547" s="899"/>
      <c r="G1547" s="1152" t="s">
        <v>9</v>
      </c>
    </row>
    <row r="1548" spans="1:7">
      <c r="A1548" s="884">
        <v>43421</v>
      </c>
      <c r="B1548" s="240" t="str">
        <f>TiposLancamentos!B5</f>
        <v>Supermercado</v>
      </c>
      <c r="C1548" s="878" t="s">
        <v>5844</v>
      </c>
      <c r="D1548" s="63"/>
      <c r="E1548" s="231">
        <v>53.89</v>
      </c>
      <c r="F1548" s="899"/>
      <c r="G1548" s="1152" t="s">
        <v>9</v>
      </c>
    </row>
    <row r="1549" spans="1:7">
      <c r="A1549" s="884">
        <v>43422</v>
      </c>
      <c r="B1549" s="240" t="str">
        <f>TiposLancamentos!B19</f>
        <v>Restaurantes</v>
      </c>
      <c r="C1549" s="878" t="s">
        <v>6832</v>
      </c>
      <c r="D1549" s="63"/>
      <c r="E1549" s="231">
        <v>87.2</v>
      </c>
      <c r="F1549" s="899"/>
      <c r="G1549" s="1152" t="s">
        <v>9</v>
      </c>
    </row>
    <row r="1550" spans="1:7">
      <c r="A1550" s="884">
        <v>43423</v>
      </c>
      <c r="B1550" s="240" t="str">
        <f>TiposLancamentos!B56</f>
        <v>Farmácia</v>
      </c>
      <c r="C1550" s="878" t="s">
        <v>19377</v>
      </c>
      <c r="D1550" s="63"/>
      <c r="E1550" s="231">
        <v>46.09</v>
      </c>
      <c r="F1550" s="899"/>
      <c r="G1550" s="1152" t="s">
        <v>9</v>
      </c>
    </row>
    <row r="1551" spans="1:7">
      <c r="A1551" s="934"/>
      <c r="B1551" s="243"/>
      <c r="C1551" s="389" t="s">
        <v>10</v>
      </c>
      <c r="D1551" s="146"/>
      <c r="E1551" s="1190"/>
      <c r="F1551" s="935"/>
      <c r="G1551" s="1094" t="s">
        <v>11</v>
      </c>
    </row>
    <row r="1552" spans="1:7" ht="15.75">
      <c r="A1552" s="1272">
        <v>43424</v>
      </c>
      <c r="B1552" s="279" t="str">
        <f>TiposLancamentos!B19</f>
        <v>Restaurantes</v>
      </c>
      <c r="C1552" s="280" t="s">
        <v>11101</v>
      </c>
      <c r="D1552" s="281"/>
      <c r="E1552" s="1293">
        <v>47</v>
      </c>
      <c r="F1552" s="1271"/>
      <c r="G1552" s="1311" t="s">
        <v>9</v>
      </c>
    </row>
    <row r="1553" spans="1:7" ht="15.75">
      <c r="A1553" s="884">
        <v>43425</v>
      </c>
      <c r="B1553" s="240" t="str">
        <f>TiposLancamentos!B5</f>
        <v>Supermercado</v>
      </c>
      <c r="C1553" s="878" t="s">
        <v>6234</v>
      </c>
      <c r="D1553" s="63"/>
      <c r="E1553" s="231">
        <v>71.14</v>
      </c>
      <c r="F1553" s="899"/>
      <c r="G1553" s="1311" t="s">
        <v>9</v>
      </c>
    </row>
    <row r="1554" spans="1:7" ht="15.75">
      <c r="A1554" s="884">
        <v>43425</v>
      </c>
      <c r="B1554" s="240" t="str">
        <f>TiposLancamentos!B67</f>
        <v>Lavanderia</v>
      </c>
      <c r="C1554" s="878" t="s">
        <v>19378</v>
      </c>
      <c r="D1554" s="63"/>
      <c r="E1554" s="231">
        <v>39</v>
      </c>
      <c r="F1554" s="899"/>
      <c r="G1554" s="1311" t="s">
        <v>9</v>
      </c>
    </row>
    <row r="1555" spans="1:7" ht="15.75">
      <c r="A1555" s="884">
        <v>43425</v>
      </c>
      <c r="B1555" s="240" t="str">
        <f>TiposLancamentos!B38</f>
        <v>Playstation 4</v>
      </c>
      <c r="C1555" s="878" t="s">
        <v>19379</v>
      </c>
      <c r="D1555" s="63"/>
      <c r="E1555" s="231">
        <v>78.92</v>
      </c>
      <c r="F1555" s="899"/>
      <c r="G1555" s="1311" t="s">
        <v>9</v>
      </c>
    </row>
    <row r="1556" spans="1:7" ht="15.75">
      <c r="A1556" s="884">
        <v>43425</v>
      </c>
      <c r="B1556" s="240" t="str">
        <f>TiposLancamentos!B38</f>
        <v>Playstation 4</v>
      </c>
      <c r="C1556" s="878" t="s">
        <v>19380</v>
      </c>
      <c r="D1556" s="63"/>
      <c r="E1556" s="231">
        <v>25.98</v>
      </c>
      <c r="F1556" s="899"/>
      <c r="G1556" s="1311" t="s">
        <v>9</v>
      </c>
    </row>
    <row r="1557" spans="1:7" ht="15.75">
      <c r="A1557" s="884">
        <v>43425</v>
      </c>
      <c r="B1557" s="240" t="str">
        <f>TiposLancamentos!B45</f>
        <v>Online Services</v>
      </c>
      <c r="C1557" s="878" t="s">
        <v>19027</v>
      </c>
      <c r="D1557" s="63"/>
      <c r="E1557" s="231">
        <v>33</v>
      </c>
      <c r="F1557" s="899"/>
      <c r="G1557" s="1311" t="s">
        <v>9</v>
      </c>
    </row>
    <row r="1558" spans="1:7" ht="15.75">
      <c r="A1558" s="884">
        <v>43425</v>
      </c>
      <c r="B1558" s="240" t="str">
        <f>TiposLancamentos!B73</f>
        <v>Cursos</v>
      </c>
      <c r="C1558" s="878" t="s">
        <v>19165</v>
      </c>
      <c r="D1558" s="63"/>
      <c r="E1558" s="231">
        <v>51</v>
      </c>
      <c r="F1558" s="899"/>
      <c r="G1558" s="1311" t="s">
        <v>9</v>
      </c>
    </row>
    <row r="1559" spans="1:7">
      <c r="A1559" s="884">
        <v>43426</v>
      </c>
      <c r="B1559" s="240" t="str">
        <f>TiposLancamentos!B5</f>
        <v>Supermercado</v>
      </c>
      <c r="C1559" s="878" t="s">
        <v>19381</v>
      </c>
      <c r="D1559" s="63"/>
      <c r="E1559" s="231">
        <v>355.75</v>
      </c>
      <c r="F1559" s="899"/>
      <c r="G1559" s="1152" t="s">
        <v>9</v>
      </c>
    </row>
    <row r="1560" spans="1:7">
      <c r="A1560" s="1272">
        <v>43427</v>
      </c>
      <c r="B1560" s="279" t="str">
        <f>TiposLancamentos!B16</f>
        <v>Cristiane</v>
      </c>
      <c r="C1560" s="280" t="s">
        <v>16856</v>
      </c>
      <c r="D1560" s="281"/>
      <c r="E1560" s="1293">
        <v>72.900000000000006</v>
      </c>
      <c r="F1560" s="1271"/>
      <c r="G1560" s="1152" t="s">
        <v>9</v>
      </c>
    </row>
    <row r="1561" spans="1:7">
      <c r="A1561" s="884">
        <v>43427</v>
      </c>
      <c r="B1561" s="240" t="str">
        <f>TiposLancamentos!B57</f>
        <v>Informática</v>
      </c>
      <c r="C1561" s="878" t="s">
        <v>19382</v>
      </c>
      <c r="D1561" s="63"/>
      <c r="E1561" s="231">
        <v>241.96</v>
      </c>
      <c r="F1561" s="899"/>
      <c r="G1561" s="1152" t="s">
        <v>9</v>
      </c>
    </row>
    <row r="1562" spans="1:7">
      <c r="A1562" s="1272">
        <v>43427</v>
      </c>
      <c r="B1562" s="279" t="str">
        <f>TiposLancamentos!B16</f>
        <v>Cristiane</v>
      </c>
      <c r="C1562" s="280" t="s">
        <v>19383</v>
      </c>
      <c r="D1562" s="281"/>
      <c r="E1562" s="1293">
        <v>160</v>
      </c>
      <c r="F1562" s="1271"/>
      <c r="G1562" s="1152" t="s">
        <v>9</v>
      </c>
    </row>
    <row r="1563" spans="1:7">
      <c r="A1563" s="1272">
        <v>43427</v>
      </c>
      <c r="B1563" s="279" t="str">
        <f>TiposLancamentos!B5</f>
        <v>Supermercado</v>
      </c>
      <c r="C1563" s="280" t="s">
        <v>18994</v>
      </c>
      <c r="D1563" s="281"/>
      <c r="E1563" s="1310">
        <v>63.24</v>
      </c>
      <c r="F1563" s="1271"/>
      <c r="G1563" s="1152" t="s">
        <v>9</v>
      </c>
    </row>
    <row r="1564" spans="1:7" ht="15.75">
      <c r="A1564" s="884">
        <v>43427</v>
      </c>
      <c r="B1564" s="240" t="str">
        <f>TiposLancamentos!B56</f>
        <v>Farmácia</v>
      </c>
      <c r="C1564" s="878" t="s">
        <v>19384</v>
      </c>
      <c r="D1564" s="63"/>
      <c r="E1564" s="231">
        <v>112.77</v>
      </c>
      <c r="F1564" s="899"/>
      <c r="G1564" s="1311" t="s">
        <v>9</v>
      </c>
    </row>
    <row r="1565" spans="1:7">
      <c r="A1565" s="1272">
        <v>43428</v>
      </c>
      <c r="B1565" s="279" t="str">
        <f>TiposLancamentos!B16</f>
        <v>Cristiane</v>
      </c>
      <c r="C1565" s="280" t="s">
        <v>19385</v>
      </c>
      <c r="D1565" s="281"/>
      <c r="E1565" s="1293">
        <v>22.4</v>
      </c>
      <c r="F1565" s="1271"/>
      <c r="G1565" s="1152" t="s">
        <v>9</v>
      </c>
    </row>
    <row r="1566" spans="1:7">
      <c r="A1566" s="1272">
        <v>43428</v>
      </c>
      <c r="B1566" s="279" t="str">
        <f>TiposLancamentos!B16</f>
        <v>Cristiane</v>
      </c>
      <c r="C1566" s="280" t="s">
        <v>19386</v>
      </c>
      <c r="D1566" s="281"/>
      <c r="E1566" s="1293">
        <v>48.94</v>
      </c>
      <c r="F1566" s="1271"/>
      <c r="G1566" s="1152" t="s">
        <v>9</v>
      </c>
    </row>
    <row r="1567" spans="1:7">
      <c r="A1567" s="1272">
        <v>43428</v>
      </c>
      <c r="B1567" s="279" t="str">
        <f>TiposLancamentos!B16</f>
        <v>Cristiane</v>
      </c>
      <c r="C1567" s="280" t="s">
        <v>19387</v>
      </c>
      <c r="D1567" s="281"/>
      <c r="E1567" s="1293">
        <v>59.99</v>
      </c>
      <c r="F1567" s="1271"/>
      <c r="G1567" s="1152" t="s">
        <v>9</v>
      </c>
    </row>
    <row r="1568" spans="1:7">
      <c r="A1568" s="1272">
        <v>43429</v>
      </c>
      <c r="B1568" s="279" t="str">
        <f>TiposLancamentos!B34</f>
        <v>Seguros</v>
      </c>
      <c r="C1568" s="280" t="s">
        <v>19388</v>
      </c>
      <c r="D1568" s="281"/>
      <c r="E1568" s="1293">
        <f>F1568/4</f>
        <v>294.12</v>
      </c>
      <c r="F1568" s="1271">
        <v>1176.48</v>
      </c>
      <c r="G1568" s="1152" t="s">
        <v>9</v>
      </c>
    </row>
    <row r="1569" spans="1:7">
      <c r="A1569" s="1272">
        <v>43430</v>
      </c>
      <c r="B1569" s="279" t="str">
        <f>TiposLancamentos!B16</f>
        <v>Cristiane</v>
      </c>
      <c r="C1569" s="280" t="s">
        <v>19389</v>
      </c>
      <c r="D1569" s="281"/>
      <c r="E1569" s="1293">
        <v>48.75</v>
      </c>
      <c r="F1569" s="1271"/>
      <c r="G1569" s="1152" t="s">
        <v>9</v>
      </c>
    </row>
    <row r="1570" spans="1:7">
      <c r="A1570" s="1272">
        <v>43430</v>
      </c>
      <c r="B1570" s="279" t="str">
        <f>TiposLancamentos!B16</f>
        <v>Cristiane</v>
      </c>
      <c r="C1570" s="280" t="s">
        <v>18351</v>
      </c>
      <c r="D1570" s="281"/>
      <c r="E1570" s="1293">
        <v>124.9</v>
      </c>
      <c r="F1570" s="1271"/>
      <c r="G1570" s="1152" t="s">
        <v>9</v>
      </c>
    </row>
    <row r="1571" spans="1:7">
      <c r="A1571" s="884">
        <v>43430</v>
      </c>
      <c r="B1571" s="240" t="str">
        <f>TiposLancamentos!B56</f>
        <v>Farmácia</v>
      </c>
      <c r="C1571" s="878" t="s">
        <v>6118</v>
      </c>
      <c r="D1571" s="63"/>
      <c r="E1571" s="231">
        <v>75.72</v>
      </c>
      <c r="F1571" s="899"/>
      <c r="G1571" s="1152" t="s">
        <v>9</v>
      </c>
    </row>
    <row r="1572" spans="1:7">
      <c r="A1572" s="1272">
        <v>43431</v>
      </c>
      <c r="B1572" s="279" t="str">
        <f>TiposLancamentos!B5</f>
        <v>Supermercado</v>
      </c>
      <c r="C1572" s="280" t="s">
        <v>18773</v>
      </c>
      <c r="D1572" s="281"/>
      <c r="E1572" s="1293">
        <v>188.31</v>
      </c>
      <c r="F1572" s="1271"/>
      <c r="G1572" s="1152" t="s">
        <v>9</v>
      </c>
    </row>
    <row r="1573" spans="1:7">
      <c r="A1573" s="884">
        <v>43431</v>
      </c>
      <c r="B1573" s="240" t="str">
        <f>TiposLancamentos!B13</f>
        <v>Moradia</v>
      </c>
      <c r="C1573" s="878" t="s">
        <v>19390</v>
      </c>
      <c r="D1573" s="63"/>
      <c r="E1573" s="231">
        <v>129.9</v>
      </c>
      <c r="F1573" s="899"/>
      <c r="G1573" s="1152" t="s">
        <v>9</v>
      </c>
    </row>
    <row r="1574" spans="1:7">
      <c r="A1574" s="884">
        <v>43432</v>
      </c>
      <c r="B1574" s="240" t="str">
        <f>TiposLancamentos!B45</f>
        <v>Online Services</v>
      </c>
      <c r="C1574" s="878" t="s">
        <v>1894</v>
      </c>
      <c r="D1574" s="63"/>
      <c r="E1574" s="231">
        <v>27.9</v>
      </c>
      <c r="F1574" s="899"/>
      <c r="G1574" s="1152" t="s">
        <v>9</v>
      </c>
    </row>
    <row r="1575" spans="1:7">
      <c r="A1575" s="884">
        <v>43432</v>
      </c>
      <c r="B1575" s="240" t="str">
        <f>TiposLancamentos!B45</f>
        <v>Online Services</v>
      </c>
      <c r="C1575" s="878" t="s">
        <v>1895</v>
      </c>
      <c r="D1575" s="63"/>
      <c r="E1575" s="231">
        <v>26.9</v>
      </c>
      <c r="F1575" s="899"/>
      <c r="G1575" s="1152" t="s">
        <v>9</v>
      </c>
    </row>
    <row r="1576" spans="1:7">
      <c r="A1576" s="1272">
        <v>43432</v>
      </c>
      <c r="B1576" s="1645" t="str">
        <f>TiposLancamentos!B72</f>
        <v>Presentes</v>
      </c>
      <c r="C1576" s="280" t="s">
        <v>19391</v>
      </c>
      <c r="D1576" s="281"/>
      <c r="E1576" s="1293">
        <v>149.80000000000001</v>
      </c>
      <c r="F1576" s="1271"/>
      <c r="G1576" s="1152" t="s">
        <v>9</v>
      </c>
    </row>
    <row r="1577" spans="1:7">
      <c r="A1577" s="1272">
        <v>43432</v>
      </c>
      <c r="B1577" s="1645" t="str">
        <f>TiposLancamentos!B17</f>
        <v>GATO</v>
      </c>
      <c r="C1577" s="280" t="s">
        <v>7510</v>
      </c>
      <c r="D1577" s="281"/>
      <c r="E1577" s="1293">
        <v>44.7</v>
      </c>
      <c r="F1577" s="1271"/>
      <c r="G1577" s="1152" t="s">
        <v>9</v>
      </c>
    </row>
    <row r="1578" spans="1:7">
      <c r="A1578" s="1272">
        <v>43432</v>
      </c>
      <c r="B1578" s="1645" t="str">
        <f>TiposLancamentos!B5</f>
        <v>Supermercado</v>
      </c>
      <c r="C1578" s="280" t="s">
        <v>19392</v>
      </c>
      <c r="D1578" s="281"/>
      <c r="E1578" s="1293">
        <v>53.9</v>
      </c>
      <c r="F1578" s="1271"/>
      <c r="G1578" s="1152" t="s">
        <v>9</v>
      </c>
    </row>
    <row r="1579" spans="1:7">
      <c r="A1579" s="1272">
        <v>43432</v>
      </c>
      <c r="B1579" s="1645" t="str">
        <f>TiposLancamentos!B16</f>
        <v>Cristiane</v>
      </c>
      <c r="C1579" s="280" t="s">
        <v>19393</v>
      </c>
      <c r="D1579" s="281"/>
      <c r="E1579" s="1293">
        <v>71.400000000000006</v>
      </c>
      <c r="F1579" s="1271"/>
      <c r="G1579" s="1152" t="s">
        <v>9</v>
      </c>
    </row>
    <row r="1580" spans="1:7">
      <c r="A1580" s="1272">
        <v>43433</v>
      </c>
      <c r="B1580" s="1645" t="str">
        <f>TiposLancamentos!B16</f>
        <v>Cristiane</v>
      </c>
      <c r="C1580" s="280" t="s">
        <v>18667</v>
      </c>
      <c r="D1580" s="281"/>
      <c r="E1580" s="1293">
        <v>34.200000000000003</v>
      </c>
      <c r="F1580" s="1271"/>
      <c r="G1580" s="1152" t="s">
        <v>9</v>
      </c>
    </row>
    <row r="1581" spans="1:7">
      <c r="A1581" s="1272">
        <v>43433</v>
      </c>
      <c r="B1581" s="1645" t="str">
        <f>TiposLancamentos!B16</f>
        <v>Cristiane</v>
      </c>
      <c r="C1581" s="280" t="s">
        <v>19394</v>
      </c>
      <c r="D1581" s="281"/>
      <c r="E1581" s="1293">
        <v>70</v>
      </c>
      <c r="F1581" s="1271"/>
      <c r="G1581" s="1152" t="s">
        <v>9</v>
      </c>
    </row>
    <row r="1582" spans="1:7">
      <c r="A1582" s="1226">
        <v>43433</v>
      </c>
      <c r="B1582" s="1218" t="str">
        <f>TiposLancamentos!B71</f>
        <v>Itens Pessoais</v>
      </c>
      <c r="C1582" s="1219" t="s">
        <v>19395</v>
      </c>
      <c r="D1582" s="1220"/>
      <c r="E1582" s="1221">
        <f>62.9-5.73</f>
        <v>57.17</v>
      </c>
      <c r="F1582" s="1227"/>
      <c r="G1582" s="1152" t="s">
        <v>9</v>
      </c>
    </row>
    <row r="1583" spans="1:7">
      <c r="A1583" s="1228">
        <v>43433</v>
      </c>
      <c r="B1583" s="1222" t="str">
        <f>TiposLancamentos!B16</f>
        <v>Cristiane</v>
      </c>
      <c r="C1583" s="1223" t="s">
        <v>19396</v>
      </c>
      <c r="D1583" s="1224"/>
      <c r="E1583" s="1225">
        <f>79.9-7.27</f>
        <v>72.63000000000001</v>
      </c>
      <c r="F1583" s="1229">
        <f>SUM(E1582:E1583)</f>
        <v>129.80000000000001</v>
      </c>
      <c r="G1583" s="1152" t="s">
        <v>9</v>
      </c>
    </row>
    <row r="1584" spans="1:7">
      <c r="A1584" s="884">
        <v>43433</v>
      </c>
      <c r="B1584" s="240" t="str">
        <f>TiposLancamentos!B62</f>
        <v>Papelaria</v>
      </c>
      <c r="C1584" s="878" t="s">
        <v>19397</v>
      </c>
      <c r="D1584" s="63"/>
      <c r="E1584" s="231">
        <v>112.51</v>
      </c>
      <c r="F1584" s="899"/>
      <c r="G1584" s="1152" t="s">
        <v>9</v>
      </c>
    </row>
    <row r="1585" spans="1:7">
      <c r="A1585" s="1272">
        <v>43434</v>
      </c>
      <c r="B1585" s="1645" t="str">
        <f>TiposLancamentos!B16</f>
        <v>Cristiane</v>
      </c>
      <c r="C1585" s="280" t="s">
        <v>19398</v>
      </c>
      <c r="D1585" s="281"/>
      <c r="E1585" s="1293">
        <v>62.5</v>
      </c>
      <c r="F1585" s="1271"/>
      <c r="G1585" s="1152" t="s">
        <v>9</v>
      </c>
    </row>
    <row r="1586" spans="1:7">
      <c r="A1586" s="884">
        <v>43434</v>
      </c>
      <c r="B1586" s="240" t="str">
        <f>TiposLancamentos!B19</f>
        <v>Restaurantes</v>
      </c>
      <c r="C1586" s="878" t="s">
        <v>19399</v>
      </c>
      <c r="D1586" s="63"/>
      <c r="E1586" s="231">
        <v>55.3</v>
      </c>
      <c r="F1586" s="899"/>
      <c r="G1586" s="1152" t="s">
        <v>9</v>
      </c>
    </row>
    <row r="1587" spans="1:7">
      <c r="A1587" s="884">
        <v>43434</v>
      </c>
      <c r="B1587" s="240" t="str">
        <f>TiposLancamentos!B44</f>
        <v>Academia</v>
      </c>
      <c r="C1587" s="878" t="s">
        <v>19400</v>
      </c>
      <c r="D1587" s="63"/>
      <c r="E1587" s="231">
        <v>115.6</v>
      </c>
      <c r="F1587" s="899"/>
      <c r="G1587" s="1152" t="s">
        <v>9</v>
      </c>
    </row>
    <row r="1588" spans="1:7" ht="14.25" thickBot="1">
      <c r="A1588" s="1272">
        <v>43434</v>
      </c>
      <c r="B1588" s="1645" t="str">
        <f>TiposLancamentos!B16</f>
        <v>Cristiane</v>
      </c>
      <c r="C1588" s="280" t="s">
        <v>19400</v>
      </c>
      <c r="D1588" s="281"/>
      <c r="E1588" s="1293">
        <v>115.6</v>
      </c>
      <c r="F1588" s="1271"/>
      <c r="G1588" s="1152" t="s">
        <v>9</v>
      </c>
    </row>
    <row r="1589" spans="1:7">
      <c r="A1589" s="1032"/>
      <c r="B1589" s="1230"/>
      <c r="C1589" s="906" t="s">
        <v>13836</v>
      </c>
      <c r="D1589" s="896"/>
      <c r="E1589" s="925"/>
      <c r="F1589" s="898">
        <f>SUM(E1467:E1550)-D1527</f>
        <v>9555.4016666666666</v>
      </c>
      <c r="G1589" s="1152" t="s">
        <v>9</v>
      </c>
    </row>
    <row r="1590" spans="1:7" ht="15.75">
      <c r="A1590" s="884">
        <v>43435</v>
      </c>
      <c r="B1590" s="240" t="str">
        <f>TiposLancamentos!B56</f>
        <v>Farmácia</v>
      </c>
      <c r="C1590" s="878" t="s">
        <v>19401</v>
      </c>
      <c r="D1590" s="63"/>
      <c r="E1590" s="231">
        <v>90.09</v>
      </c>
      <c r="F1590" s="899">
        <f>F1589-F1502</f>
        <v>-656.06999999999607</v>
      </c>
      <c r="G1590" s="1311" t="s">
        <v>19402</v>
      </c>
    </row>
    <row r="1591" spans="1:7" ht="15.75">
      <c r="A1591" s="884">
        <v>43435</v>
      </c>
      <c r="B1591" s="240" t="str">
        <f>TiposLancamentos!B5</f>
        <v>Supermercado</v>
      </c>
      <c r="C1591" s="878" t="s">
        <v>19403</v>
      </c>
      <c r="D1591" s="63"/>
      <c r="E1591" s="231">
        <v>59.12</v>
      </c>
      <c r="F1591" s="899"/>
      <c r="G1591" s="1311" t="s">
        <v>19402</v>
      </c>
    </row>
    <row r="1592" spans="1:7">
      <c r="A1592" s="884">
        <v>43437</v>
      </c>
      <c r="B1592" s="240" t="str">
        <f>TiposLancamentos!B15</f>
        <v>Cartões de Crédito</v>
      </c>
      <c r="C1592" s="878" t="s">
        <v>19404</v>
      </c>
      <c r="D1592" s="63">
        <v>9555.4</v>
      </c>
      <c r="E1592" s="231"/>
      <c r="F1592" s="899"/>
      <c r="G1592" s="1152" t="s">
        <v>9</v>
      </c>
    </row>
    <row r="1593" spans="1:7">
      <c r="A1593" s="1272">
        <v>43437</v>
      </c>
      <c r="B1593" s="279" t="str">
        <f>TiposLancamentos!B16</f>
        <v>Cristiane</v>
      </c>
      <c r="C1593" s="280" t="s">
        <v>19405</v>
      </c>
      <c r="D1593" s="281"/>
      <c r="E1593" s="1293">
        <v>159.9</v>
      </c>
      <c r="F1593" s="1271">
        <f>E1593*3</f>
        <v>479.70000000000005</v>
      </c>
      <c r="G1593" s="1152" t="s">
        <v>9</v>
      </c>
    </row>
    <row r="1594" spans="1:7">
      <c r="A1594" s="884">
        <v>43437</v>
      </c>
      <c r="B1594" s="240" t="str">
        <f>TiposLancamentos!B71</f>
        <v>Itens Pessoais</v>
      </c>
      <c r="C1594" s="878" t="s">
        <v>19406</v>
      </c>
      <c r="D1594" s="63"/>
      <c r="E1594" s="231">
        <v>143</v>
      </c>
      <c r="F1594" s="899">
        <f>E1594*3</f>
        <v>429</v>
      </c>
      <c r="G1594" s="1152" t="s">
        <v>9</v>
      </c>
    </row>
    <row r="1595" spans="1:7">
      <c r="A1595" s="884">
        <v>43437</v>
      </c>
      <c r="B1595" s="240" t="str">
        <f>TiposLancamentos!B32</f>
        <v>Clinicas e tratamentos</v>
      </c>
      <c r="C1595" s="878" t="s">
        <v>19407</v>
      </c>
      <c r="D1595" s="63"/>
      <c r="E1595" s="231">
        <v>250</v>
      </c>
      <c r="F1595" s="899"/>
      <c r="G1595" s="1152" t="s">
        <v>9</v>
      </c>
    </row>
    <row r="1596" spans="1:7">
      <c r="A1596" s="1272">
        <v>43438</v>
      </c>
      <c r="B1596" s="279" t="str">
        <f>TiposLancamentos!B5</f>
        <v>Supermercado</v>
      </c>
      <c r="C1596" s="280" t="s">
        <v>19408</v>
      </c>
      <c r="D1596" s="281"/>
      <c r="E1596" s="1293">
        <v>209.04</v>
      </c>
      <c r="F1596" s="1271"/>
      <c r="G1596" s="1152" t="s">
        <v>9</v>
      </c>
    </row>
    <row r="1597" spans="1:7">
      <c r="A1597" s="1272">
        <v>43438</v>
      </c>
      <c r="B1597" s="279" t="str">
        <f>TiposLancamentos!B16</f>
        <v>Cristiane</v>
      </c>
      <c r="C1597" s="280" t="s">
        <v>19409</v>
      </c>
      <c r="D1597" s="281"/>
      <c r="E1597" s="1293">
        <v>136.80000000000001</v>
      </c>
      <c r="F1597" s="1271"/>
      <c r="G1597" s="1152" t="s">
        <v>9</v>
      </c>
    </row>
    <row r="1598" spans="1:7">
      <c r="A1598" s="1272">
        <v>43439</v>
      </c>
      <c r="B1598" s="279" t="str">
        <f>TiposLancamentos!B34</f>
        <v>Seguros</v>
      </c>
      <c r="C1598" s="280" t="s">
        <v>19410</v>
      </c>
      <c r="D1598" s="281"/>
      <c r="E1598" s="1293">
        <f>F1598/4</f>
        <v>237.68</v>
      </c>
      <c r="F1598" s="1271">
        <v>950.72</v>
      </c>
      <c r="G1598" s="1152" t="s">
        <v>9</v>
      </c>
    </row>
    <row r="1599" spans="1:7" ht="15.75">
      <c r="A1599" s="884">
        <v>43439</v>
      </c>
      <c r="B1599" s="240" t="str">
        <f>TiposLancamentos!B57</f>
        <v>Informática</v>
      </c>
      <c r="C1599" s="878" t="s">
        <v>19411</v>
      </c>
      <c r="D1599" s="63"/>
      <c r="E1599" s="231">
        <v>12</v>
      </c>
      <c r="F1599" s="899"/>
      <c r="G1599" s="1311" t="s">
        <v>9</v>
      </c>
    </row>
    <row r="1600" spans="1:7" ht="15.75">
      <c r="A1600" s="884">
        <v>43439</v>
      </c>
      <c r="B1600" s="240" t="str">
        <f>TiposLancamentos!B45</f>
        <v>Online Services</v>
      </c>
      <c r="C1600" s="878" t="s">
        <v>18771</v>
      </c>
      <c r="D1600" s="63"/>
      <c r="E1600" s="231">
        <v>15</v>
      </c>
      <c r="F1600" s="899"/>
      <c r="G1600" s="1311" t="s">
        <v>9</v>
      </c>
    </row>
    <row r="1601" spans="1:7">
      <c r="A1601" s="1272">
        <v>43440</v>
      </c>
      <c r="B1601" s="279" t="str">
        <f>TiposLancamentos!B5</f>
        <v>Supermercado</v>
      </c>
      <c r="C1601" s="280" t="s">
        <v>19408</v>
      </c>
      <c r="D1601" s="281"/>
      <c r="E1601" s="1293">
        <v>127.67</v>
      </c>
      <c r="F1601" s="1271"/>
      <c r="G1601" s="1152" t="s">
        <v>9</v>
      </c>
    </row>
    <row r="1602" spans="1:7" ht="15.75">
      <c r="A1602" s="884">
        <v>43440</v>
      </c>
      <c r="B1602" s="240" t="str">
        <f>TiposLancamentos!B62</f>
        <v>Papelaria</v>
      </c>
      <c r="C1602" s="878" t="s">
        <v>19412</v>
      </c>
      <c r="D1602" s="63"/>
      <c r="E1602" s="231">
        <v>41.63</v>
      </c>
      <c r="F1602" s="899"/>
      <c r="G1602" s="1311" t="s">
        <v>9</v>
      </c>
    </row>
    <row r="1603" spans="1:7" ht="15.75">
      <c r="A1603" s="884">
        <v>43440</v>
      </c>
      <c r="B1603" s="240" t="str">
        <f>TiposLancamentos!B81</f>
        <v>Ferramentas gerais</v>
      </c>
      <c r="C1603" s="878" t="s">
        <v>19413</v>
      </c>
      <c r="D1603" s="63"/>
      <c r="E1603" s="231">
        <v>27.81</v>
      </c>
      <c r="F1603" s="899"/>
      <c r="G1603" s="1311" t="s">
        <v>9</v>
      </c>
    </row>
    <row r="1604" spans="1:7">
      <c r="A1604" s="1272">
        <v>43441</v>
      </c>
      <c r="B1604" s="279" t="str">
        <f>TiposLancamentos!B16</f>
        <v>Cristiane</v>
      </c>
      <c r="C1604" s="280" t="s">
        <v>19414</v>
      </c>
      <c r="D1604" s="281"/>
      <c r="E1604" s="1293">
        <v>37.4</v>
      </c>
      <c r="F1604" s="1271"/>
      <c r="G1604" s="1152" t="s">
        <v>9</v>
      </c>
    </row>
    <row r="1605" spans="1:7" ht="15.75">
      <c r="A1605" s="884">
        <v>43441</v>
      </c>
      <c r="B1605" s="240" t="str">
        <f>TiposLancamentos!B65</f>
        <v>Taxi</v>
      </c>
      <c r="C1605" s="878" t="s">
        <v>19415</v>
      </c>
      <c r="D1605" s="63"/>
      <c r="E1605" s="231">
        <v>72.34</v>
      </c>
      <c r="F1605" s="899"/>
      <c r="G1605" s="1311" t="s">
        <v>9</v>
      </c>
    </row>
    <row r="1606" spans="1:7" ht="15.75">
      <c r="A1606" s="884">
        <v>43442</v>
      </c>
      <c r="B1606" s="240" t="str">
        <f>TiposLancamentos!B23</f>
        <v>P208 GRIFFE 1.6 AUT BUSINESS</v>
      </c>
      <c r="C1606" s="878" t="s">
        <v>19416</v>
      </c>
      <c r="D1606" s="63"/>
      <c r="E1606" s="231">
        <v>199.66</v>
      </c>
      <c r="F1606" s="899">
        <v>599</v>
      </c>
      <c r="G1606" s="1311" t="s">
        <v>9</v>
      </c>
    </row>
    <row r="1607" spans="1:7" ht="15.75">
      <c r="A1607" s="884">
        <v>43442</v>
      </c>
      <c r="B1607" s="240" t="str">
        <f>TiposLancamentos!B23</f>
        <v>P208 GRIFFE 1.6 AUT BUSINESS</v>
      </c>
      <c r="C1607" s="878" t="s">
        <v>19417</v>
      </c>
      <c r="D1607" s="63"/>
      <c r="E1607" s="231">
        <f>F1607/3</f>
        <v>311</v>
      </c>
      <c r="F1607" s="899">
        <v>933</v>
      </c>
      <c r="G1607" s="1311" t="s">
        <v>9</v>
      </c>
    </row>
    <row r="1608" spans="1:7">
      <c r="A1608" s="1272">
        <v>43442</v>
      </c>
      <c r="B1608" s="279" t="str">
        <f>TiposLancamentos!B16</f>
        <v>Cristiane</v>
      </c>
      <c r="C1608" s="280" t="s">
        <v>19418</v>
      </c>
      <c r="D1608" s="281"/>
      <c r="E1608" s="1293">
        <v>110.7</v>
      </c>
      <c r="F1608" s="1271"/>
      <c r="G1608" s="1152" t="s">
        <v>9</v>
      </c>
    </row>
    <row r="1609" spans="1:7" ht="15.75">
      <c r="A1609" s="884">
        <v>43442</v>
      </c>
      <c r="B1609" s="240" t="str">
        <f>TiposLancamentos!B65</f>
        <v>Taxi</v>
      </c>
      <c r="C1609" s="878" t="s">
        <v>19419</v>
      </c>
      <c r="D1609" s="63"/>
      <c r="E1609" s="231">
        <v>86.19</v>
      </c>
      <c r="F1609" s="899"/>
      <c r="G1609" s="1311" t="s">
        <v>9</v>
      </c>
    </row>
    <row r="1610" spans="1:7">
      <c r="A1610" s="1272">
        <v>43442</v>
      </c>
      <c r="B1610" s="279" t="str">
        <f>TiposLancamentos!B16</f>
        <v>Cristiane</v>
      </c>
      <c r="C1610" s="280" t="s">
        <v>19420</v>
      </c>
      <c r="D1610" s="281"/>
      <c r="E1610" s="1293">
        <v>103.2</v>
      </c>
      <c r="F1610" s="1271"/>
      <c r="G1610" s="1152" t="s">
        <v>9</v>
      </c>
    </row>
    <row r="1611" spans="1:7">
      <c r="A1611" s="884">
        <v>43442</v>
      </c>
      <c r="B1611" s="240" t="str">
        <f>TiposLancamentos!B71</f>
        <v>Itens Pessoais</v>
      </c>
      <c r="C1611" s="878" t="s">
        <v>19421</v>
      </c>
      <c r="D1611" s="63"/>
      <c r="E1611" s="231">
        <v>125</v>
      </c>
      <c r="F1611" s="899"/>
      <c r="G1611" s="1152" t="s">
        <v>9</v>
      </c>
    </row>
    <row r="1612" spans="1:7" ht="15.75">
      <c r="A1612" s="884">
        <v>43442</v>
      </c>
      <c r="B1612" s="240" t="str">
        <f>TiposLancamentos!B19</f>
        <v>Restaurantes</v>
      </c>
      <c r="C1612" s="878" t="s">
        <v>19422</v>
      </c>
      <c r="D1612" s="63"/>
      <c r="E1612" s="231">
        <v>99.44</v>
      </c>
      <c r="F1612" s="899"/>
      <c r="G1612" s="1311" t="s">
        <v>9</v>
      </c>
    </row>
    <row r="1613" spans="1:7">
      <c r="A1613" s="1272">
        <v>43442</v>
      </c>
      <c r="B1613" s="279" t="str">
        <f>TiposLancamentos!B19</f>
        <v>Restaurantes</v>
      </c>
      <c r="C1613" s="280" t="s">
        <v>19423</v>
      </c>
      <c r="D1613" s="281"/>
      <c r="E1613" s="1293">
        <v>45</v>
      </c>
      <c r="F1613" s="1271"/>
      <c r="G1613" s="1152" t="s">
        <v>9</v>
      </c>
    </row>
    <row r="1614" spans="1:7">
      <c r="A1614" s="1272">
        <v>43443</v>
      </c>
      <c r="B1614" s="279" t="str">
        <f>TiposLancamentos!B16</f>
        <v>Cristiane</v>
      </c>
      <c r="C1614" s="280" t="s">
        <v>19424</v>
      </c>
      <c r="D1614" s="281"/>
      <c r="E1614" s="1293">
        <v>16.420000000000002</v>
      </c>
      <c r="F1614" s="1271" t="s">
        <v>19425</v>
      </c>
      <c r="G1614" s="1152" t="s">
        <v>9</v>
      </c>
    </row>
    <row r="1615" spans="1:7" ht="15.75">
      <c r="A1615" s="1272">
        <v>43443</v>
      </c>
      <c r="B1615" s="279" t="str">
        <f>TiposLancamentos!B4</f>
        <v>Taxas Bancarias</v>
      </c>
      <c r="C1615" s="280" t="s">
        <v>19426</v>
      </c>
      <c r="D1615" s="281"/>
      <c r="E1615" s="1293">
        <v>0.99</v>
      </c>
      <c r="F1615" s="1271"/>
      <c r="G1615" s="1311" t="s">
        <v>9</v>
      </c>
    </row>
    <row r="1616" spans="1:7">
      <c r="A1616" s="884">
        <v>43443</v>
      </c>
      <c r="B1616" s="240" t="str">
        <f>TiposLancamentos!B57</f>
        <v>Informática</v>
      </c>
      <c r="C1616" s="878" t="s">
        <v>19427</v>
      </c>
      <c r="D1616" s="63"/>
      <c r="E1616" s="231">
        <v>3.45</v>
      </c>
      <c r="F1616" s="899"/>
      <c r="G1616" s="1152" t="s">
        <v>9</v>
      </c>
    </row>
    <row r="1617" spans="1:7" ht="15.75">
      <c r="A1617" s="1272">
        <v>43444</v>
      </c>
      <c r="B1617" s="279" t="str">
        <f>TiposLancamentos!B5</f>
        <v>Supermercado</v>
      </c>
      <c r="C1617" s="280" t="s">
        <v>6234</v>
      </c>
      <c r="D1617" s="281"/>
      <c r="E1617" s="1293">
        <v>184.4</v>
      </c>
      <c r="F1617" s="1271"/>
      <c r="G1617" s="1311" t="s">
        <v>9</v>
      </c>
    </row>
    <row r="1618" spans="1:7" ht="15.75">
      <c r="A1618" s="884">
        <v>43445</v>
      </c>
      <c r="B1618" s="240" t="str">
        <f>TiposLancamentos!B64</f>
        <v>Viagens</v>
      </c>
      <c r="C1618" s="878" t="s">
        <v>19428</v>
      </c>
      <c r="D1618" s="63"/>
      <c r="E1618" s="231">
        <f>F1618/6</f>
        <v>337.53166666666669</v>
      </c>
      <c r="F1618" s="899">
        <v>2025.19</v>
      </c>
      <c r="G1618" s="1311" t="s">
        <v>9</v>
      </c>
    </row>
    <row r="1619" spans="1:7" ht="15.75">
      <c r="A1619" s="884">
        <v>43445</v>
      </c>
      <c r="B1619" s="240" t="str">
        <f>TiposLancamentos!B64</f>
        <v>Viagens</v>
      </c>
      <c r="C1619" s="878" t="s">
        <v>19429</v>
      </c>
      <c r="D1619" s="63"/>
      <c r="E1619" s="231">
        <v>89.88</v>
      </c>
      <c r="F1619" s="899">
        <v>539.30999999999995</v>
      </c>
      <c r="G1619" s="1311" t="s">
        <v>9</v>
      </c>
    </row>
    <row r="1620" spans="1:7" ht="15.75">
      <c r="A1620" s="884">
        <v>43445</v>
      </c>
      <c r="B1620" s="240" t="str">
        <f>TiposLancamentos!B64</f>
        <v>Viagens</v>
      </c>
      <c r="C1620" s="878" t="s">
        <v>19430</v>
      </c>
      <c r="D1620" s="63"/>
      <c r="E1620" s="231">
        <f>F1620/6</f>
        <v>297.45999999999998</v>
      </c>
      <c r="F1620" s="899">
        <v>1784.76</v>
      </c>
      <c r="G1620" s="1311" t="s">
        <v>9</v>
      </c>
    </row>
    <row r="1621" spans="1:7" ht="15.75">
      <c r="A1621" s="1272">
        <v>43445</v>
      </c>
      <c r="B1621" s="279" t="str">
        <f>TiposLancamentos!B22</f>
        <v>Combustivel</v>
      </c>
      <c r="C1621" s="280" t="s">
        <v>6718</v>
      </c>
      <c r="D1621" s="281"/>
      <c r="E1621" s="1293">
        <v>100</v>
      </c>
      <c r="F1621" s="1271"/>
      <c r="G1621" s="1311" t="s">
        <v>9</v>
      </c>
    </row>
    <row r="1622" spans="1:7" ht="15.75">
      <c r="A1622" s="1272">
        <v>43447</v>
      </c>
      <c r="B1622" s="279" t="str">
        <f>TiposLancamentos!B16</f>
        <v>Cristiane</v>
      </c>
      <c r="C1622" s="280" t="s">
        <v>19431</v>
      </c>
      <c r="D1622" s="281"/>
      <c r="E1622" s="1293">
        <f>F1622/2</f>
        <v>124.985</v>
      </c>
      <c r="F1622" s="1271">
        <v>249.97</v>
      </c>
      <c r="G1622" s="1311" t="s">
        <v>9</v>
      </c>
    </row>
    <row r="1623" spans="1:7" ht="15.75">
      <c r="A1623" s="1272">
        <v>43447</v>
      </c>
      <c r="B1623" s="279" t="str">
        <f>TiposLancamentos!B5</f>
        <v>Supermercado</v>
      </c>
      <c r="C1623" s="280" t="s">
        <v>19432</v>
      </c>
      <c r="D1623" s="281"/>
      <c r="E1623" s="1293">
        <v>27.5</v>
      </c>
      <c r="F1623" s="1271"/>
      <c r="G1623" s="1311" t="s">
        <v>9</v>
      </c>
    </row>
    <row r="1624" spans="1:7" ht="15.75">
      <c r="A1624" s="1272">
        <v>43448</v>
      </c>
      <c r="B1624" s="279" t="str">
        <f>TiposLancamentos!B5</f>
        <v>Supermercado</v>
      </c>
      <c r="C1624" s="280" t="s">
        <v>6234</v>
      </c>
      <c r="D1624" s="281"/>
      <c r="E1624" s="1293">
        <v>237.77</v>
      </c>
      <c r="F1624" s="1271"/>
      <c r="G1624" s="1311" t="s">
        <v>9</v>
      </c>
    </row>
    <row r="1625" spans="1:7">
      <c r="A1625" s="884">
        <v>43448</v>
      </c>
      <c r="B1625" s="240" t="str">
        <f>TiposLancamentos!B56</f>
        <v>Farmácia</v>
      </c>
      <c r="C1625" s="878" t="s">
        <v>19433</v>
      </c>
      <c r="D1625" s="63"/>
      <c r="E1625" s="231">
        <v>38.99</v>
      </c>
      <c r="F1625" s="899"/>
      <c r="G1625" s="1152" t="s">
        <v>9</v>
      </c>
    </row>
    <row r="1626" spans="1:7">
      <c r="A1626" s="884">
        <v>43450</v>
      </c>
      <c r="B1626" s="240" t="str">
        <f>TiposLancamentos!B5</f>
        <v>Supermercado</v>
      </c>
      <c r="C1626" s="878" t="s">
        <v>6234</v>
      </c>
      <c r="D1626" s="63"/>
      <c r="E1626" s="231">
        <v>127.57</v>
      </c>
      <c r="F1626" s="899"/>
      <c r="G1626" s="1152" t="s">
        <v>9</v>
      </c>
    </row>
    <row r="1627" spans="1:7">
      <c r="A1627" s="884">
        <v>43450</v>
      </c>
      <c r="B1627" s="240" t="str">
        <f>TiposLancamentos!B5</f>
        <v>Supermercado</v>
      </c>
      <c r="C1627" s="878" t="s">
        <v>19434</v>
      </c>
      <c r="D1627" s="63"/>
      <c r="E1627" s="231">
        <v>37.549999999999997</v>
      </c>
      <c r="F1627" s="899"/>
      <c r="G1627" s="1152" t="s">
        <v>9</v>
      </c>
    </row>
    <row r="1628" spans="1:7">
      <c r="A1628" s="934"/>
      <c r="B1628" s="243"/>
      <c r="C1628" s="389" t="s">
        <v>10</v>
      </c>
      <c r="D1628" s="146"/>
      <c r="E1628" s="1190"/>
      <c r="F1628" s="935"/>
      <c r="G1628" s="1094" t="s">
        <v>11</v>
      </c>
    </row>
    <row r="1629" spans="1:7">
      <c r="A1629" s="884">
        <v>43451</v>
      </c>
      <c r="B1629" s="240" t="str">
        <f>TiposLancamentos!B5</f>
        <v>Supermercado</v>
      </c>
      <c r="C1629" s="878" t="s">
        <v>19434</v>
      </c>
      <c r="D1629" s="63"/>
      <c r="E1629" s="231">
        <v>68.180000000000007</v>
      </c>
      <c r="F1629" s="899"/>
      <c r="G1629" s="1152" t="s">
        <v>9</v>
      </c>
    </row>
    <row r="1630" spans="1:7">
      <c r="A1630" s="884">
        <v>43454</v>
      </c>
      <c r="B1630" s="240" t="str">
        <f>TiposLancamentos!B5</f>
        <v>Supermercado</v>
      </c>
      <c r="C1630" s="878" t="s">
        <v>7046</v>
      </c>
      <c r="D1630" s="63"/>
      <c r="E1630" s="231">
        <v>64.12</v>
      </c>
      <c r="F1630" s="899"/>
      <c r="G1630" s="1152" t="s">
        <v>9</v>
      </c>
    </row>
    <row r="1631" spans="1:7">
      <c r="A1631" s="884">
        <v>43454</v>
      </c>
      <c r="B1631" s="240" t="str">
        <f>TiposLancamentos!B23</f>
        <v>P208 GRIFFE 1.6 AUT BUSINESS</v>
      </c>
      <c r="C1631" s="878" t="s">
        <v>1880</v>
      </c>
      <c r="D1631" s="63"/>
      <c r="E1631" s="231">
        <v>227.82</v>
      </c>
      <c r="F1631" s="899"/>
      <c r="G1631" s="1152" t="s">
        <v>9</v>
      </c>
    </row>
    <row r="1632" spans="1:7">
      <c r="A1632" s="884">
        <v>43454</v>
      </c>
      <c r="B1632" s="240" t="str">
        <f>TiposLancamentos!B26</f>
        <v>LIVROS</v>
      </c>
      <c r="C1632" s="878" t="s">
        <v>19435</v>
      </c>
      <c r="D1632" s="63"/>
      <c r="E1632" s="231">
        <v>79</v>
      </c>
      <c r="F1632" s="899"/>
      <c r="G1632" s="1152" t="s">
        <v>9</v>
      </c>
    </row>
    <row r="1633" spans="1:7">
      <c r="A1633" s="1226">
        <v>43454</v>
      </c>
      <c r="B1633" s="1218" t="str">
        <f>TiposLancamentos!B56</f>
        <v>Farmácia</v>
      </c>
      <c r="C1633" s="1219" t="s">
        <v>19377</v>
      </c>
      <c r="D1633" s="1220"/>
      <c r="E1633" s="1221">
        <v>46.09</v>
      </c>
      <c r="F1633" s="1227"/>
      <c r="G1633" s="1152" t="s">
        <v>9</v>
      </c>
    </row>
    <row r="1634" spans="1:7">
      <c r="A1634" s="1228">
        <v>43454</v>
      </c>
      <c r="B1634" s="1222" t="str">
        <f>TiposLancamentos!B16</f>
        <v>Cristiane</v>
      </c>
      <c r="C1634" s="1223" t="s">
        <v>19436</v>
      </c>
      <c r="D1634" s="1224"/>
      <c r="E1634" s="1225">
        <v>39.39</v>
      </c>
      <c r="F1634" s="1229">
        <f>SUM(E1633:E1634)</f>
        <v>85.48</v>
      </c>
      <c r="G1634" s="1152" t="s">
        <v>9</v>
      </c>
    </row>
    <row r="1635" spans="1:7">
      <c r="A1635" s="1272">
        <v>43455</v>
      </c>
      <c r="B1635" s="279" t="str">
        <f>TiposLancamentos!B16</f>
        <v>Cristiane</v>
      </c>
      <c r="C1635" s="280" t="s">
        <v>19437</v>
      </c>
      <c r="D1635" s="281"/>
      <c r="E1635" s="1293">
        <v>200</v>
      </c>
      <c r="F1635" s="1271"/>
      <c r="G1635" s="1152" t="s">
        <v>9</v>
      </c>
    </row>
    <row r="1636" spans="1:7">
      <c r="A1636" s="1272">
        <v>43455</v>
      </c>
      <c r="B1636" s="279" t="str">
        <f>TiposLancamentos!B16</f>
        <v>Cristiane</v>
      </c>
      <c r="C1636" s="280" t="s">
        <v>19438</v>
      </c>
      <c r="D1636" s="281"/>
      <c r="E1636" s="1293">
        <v>229.98</v>
      </c>
      <c r="F1636" s="1271"/>
      <c r="G1636" s="1152" t="s">
        <v>9</v>
      </c>
    </row>
    <row r="1637" spans="1:7">
      <c r="A1637" s="1226">
        <v>43455</v>
      </c>
      <c r="B1637" s="1218" t="str">
        <f>TiposLancamentos!B13</f>
        <v>Moradia</v>
      </c>
      <c r="C1637" s="1219" t="s">
        <v>19439</v>
      </c>
      <c r="D1637" s="1220"/>
      <c r="E1637" s="1221">
        <f>F1638-E1638</f>
        <v>130.6</v>
      </c>
      <c r="F1637" s="1227"/>
      <c r="G1637" s="1152" t="s">
        <v>9</v>
      </c>
    </row>
    <row r="1638" spans="1:7">
      <c r="A1638" s="1228">
        <v>43455</v>
      </c>
      <c r="B1638" s="1222" t="str">
        <f>TiposLancamentos!B71</f>
        <v>Itens Pessoais</v>
      </c>
      <c r="C1638" s="1223" t="s">
        <v>19440</v>
      </c>
      <c r="D1638" s="1224"/>
      <c r="E1638" s="1225">
        <v>199.9</v>
      </c>
      <c r="F1638" s="1229">
        <v>330.5</v>
      </c>
      <c r="G1638" s="1152" t="s">
        <v>9</v>
      </c>
    </row>
    <row r="1639" spans="1:7">
      <c r="A1639" s="884">
        <v>43455</v>
      </c>
      <c r="B1639" s="240" t="str">
        <f>TiposLancamentos!B17</f>
        <v>GATO</v>
      </c>
      <c r="C1639" s="878" t="s">
        <v>7606</v>
      </c>
      <c r="D1639" s="63"/>
      <c r="E1639" s="231">
        <v>217.97</v>
      </c>
      <c r="F1639" s="899"/>
      <c r="G1639" s="1152" t="s">
        <v>9</v>
      </c>
    </row>
    <row r="1640" spans="1:7">
      <c r="A1640" s="1272">
        <v>43455</v>
      </c>
      <c r="B1640" s="279" t="str">
        <f>TiposLancamentos!B16</f>
        <v>Cristiane</v>
      </c>
      <c r="C1640" s="280" t="s">
        <v>19441</v>
      </c>
      <c r="D1640" s="281"/>
      <c r="E1640" s="1293">
        <v>160</v>
      </c>
      <c r="F1640" s="1271"/>
      <c r="G1640" s="1152" t="s">
        <v>9</v>
      </c>
    </row>
    <row r="1641" spans="1:7">
      <c r="A1641" s="884">
        <v>43455</v>
      </c>
      <c r="B1641" s="240" t="str">
        <f>TiposLancamentos!B72</f>
        <v>Presentes</v>
      </c>
      <c r="C1641" s="878" t="s">
        <v>19442</v>
      </c>
      <c r="D1641" s="63"/>
      <c r="E1641" s="231">
        <v>196.8</v>
      </c>
      <c r="F1641" s="899"/>
      <c r="G1641" s="1152" t="s">
        <v>9</v>
      </c>
    </row>
    <row r="1642" spans="1:7">
      <c r="A1642" s="884">
        <v>43455</v>
      </c>
      <c r="B1642" s="240" t="str">
        <f>TiposLancamentos!B73</f>
        <v>Cursos</v>
      </c>
      <c r="C1642" s="878" t="s">
        <v>19244</v>
      </c>
      <c r="D1642" s="63"/>
      <c r="E1642" s="231">
        <v>51</v>
      </c>
      <c r="F1642" s="899"/>
      <c r="G1642" s="1152" t="s">
        <v>9</v>
      </c>
    </row>
    <row r="1643" spans="1:7">
      <c r="A1643" s="884">
        <v>43455</v>
      </c>
      <c r="B1643" s="240" t="str">
        <f>TiposLancamentos!B45</f>
        <v>Online Services</v>
      </c>
      <c r="C1643" s="878" t="s">
        <v>19027</v>
      </c>
      <c r="D1643" s="63"/>
      <c r="E1643" s="231">
        <v>33</v>
      </c>
      <c r="F1643" s="899"/>
      <c r="G1643" s="1152" t="s">
        <v>9</v>
      </c>
    </row>
    <row r="1644" spans="1:7">
      <c r="A1644" s="884">
        <v>43455</v>
      </c>
      <c r="B1644" s="240" t="str">
        <f>TiposLancamentos!B19</f>
        <v>Restaurantes</v>
      </c>
      <c r="C1644" s="878" t="s">
        <v>19443</v>
      </c>
      <c r="D1644" s="63"/>
      <c r="E1644" s="231">
        <v>321.56</v>
      </c>
      <c r="F1644" s="899"/>
      <c r="G1644" s="1152" t="s">
        <v>9</v>
      </c>
    </row>
    <row r="1645" spans="1:7">
      <c r="A1645" s="884">
        <v>43456</v>
      </c>
      <c r="B1645" s="240" t="str">
        <f>TiposLancamentos!B16</f>
        <v>Cristiane</v>
      </c>
      <c r="C1645" s="878" t="s">
        <v>19444</v>
      </c>
      <c r="D1645" s="63"/>
      <c r="E1645" s="231">
        <v>22.74</v>
      </c>
      <c r="F1645" s="899"/>
      <c r="G1645" s="1152" t="s">
        <v>9</v>
      </c>
    </row>
    <row r="1646" spans="1:7">
      <c r="A1646" s="1272">
        <v>43456</v>
      </c>
      <c r="B1646" s="279" t="str">
        <f>TiposLancamentos!B16</f>
        <v>Cristiane</v>
      </c>
      <c r="C1646" s="280" t="s">
        <v>19445</v>
      </c>
      <c r="D1646" s="281"/>
      <c r="E1646" s="1293">
        <v>175.8</v>
      </c>
      <c r="F1646" s="1271"/>
      <c r="G1646" s="1152" t="s">
        <v>9</v>
      </c>
    </row>
    <row r="1647" spans="1:7">
      <c r="A1647" s="884">
        <v>43456</v>
      </c>
      <c r="B1647" s="240" t="str">
        <f>TiposLancamentos!B72</f>
        <v>Presentes</v>
      </c>
      <c r="C1647" s="878" t="s">
        <v>19446</v>
      </c>
      <c r="D1647" s="63"/>
      <c r="E1647" s="231">
        <v>69.989999999999995</v>
      </c>
      <c r="F1647" s="899"/>
      <c r="G1647" s="1152" t="s">
        <v>9</v>
      </c>
    </row>
    <row r="1648" spans="1:7">
      <c r="A1648" s="1272">
        <v>43456</v>
      </c>
      <c r="B1648" s="279" t="str">
        <f>TiposLancamentos!B16</f>
        <v>Cristiane</v>
      </c>
      <c r="C1648" s="280" t="s">
        <v>19447</v>
      </c>
      <c r="D1648" s="281"/>
      <c r="E1648" s="1293">
        <v>182.33</v>
      </c>
      <c r="F1648" s="1271"/>
      <c r="G1648" s="1152" t="s">
        <v>9</v>
      </c>
    </row>
    <row r="1649" spans="1:7">
      <c r="A1649" s="884">
        <v>43457</v>
      </c>
      <c r="B1649" s="240" t="str">
        <f>TiposLancamentos!B19</f>
        <v>Restaurantes</v>
      </c>
      <c r="C1649" s="878" t="s">
        <v>7741</v>
      </c>
      <c r="D1649" s="63"/>
      <c r="E1649" s="231">
        <v>32.1</v>
      </c>
      <c r="F1649" s="899"/>
      <c r="G1649" s="1152" t="s">
        <v>9</v>
      </c>
    </row>
    <row r="1650" spans="1:7">
      <c r="A1650" s="1272">
        <v>43459</v>
      </c>
      <c r="B1650" s="279" t="str">
        <f>TiposLancamentos!B34</f>
        <v>Seguros</v>
      </c>
      <c r="C1650" s="280" t="s">
        <v>19448</v>
      </c>
      <c r="D1650" s="281"/>
      <c r="E1650" s="1293">
        <f>F1650/4</f>
        <v>294.12</v>
      </c>
      <c r="F1650" s="1271">
        <v>1176.48</v>
      </c>
      <c r="G1650" s="1152" t="s">
        <v>9</v>
      </c>
    </row>
    <row r="1651" spans="1:7">
      <c r="A1651" s="884">
        <v>43460</v>
      </c>
      <c r="B1651" s="240" t="str">
        <f>TiposLancamentos!B16</f>
        <v>Cristiane</v>
      </c>
      <c r="C1651" s="878" t="s">
        <v>19449</v>
      </c>
      <c r="D1651" s="63"/>
      <c r="E1651" s="231">
        <v>129.97999999999999</v>
      </c>
      <c r="F1651" s="899"/>
      <c r="G1651" s="1152" t="s">
        <v>9</v>
      </c>
    </row>
    <row r="1652" spans="1:7">
      <c r="A1652" s="884">
        <v>43460</v>
      </c>
      <c r="B1652" s="240" t="str">
        <f>TiposLancamentos!B56</f>
        <v>Farmácia</v>
      </c>
      <c r="C1652" s="878" t="s">
        <v>3950</v>
      </c>
      <c r="D1652" s="63"/>
      <c r="E1652" s="231">
        <v>20.63</v>
      </c>
      <c r="F1652" s="899"/>
      <c r="G1652" s="1152" t="s">
        <v>9</v>
      </c>
    </row>
    <row r="1653" spans="1:7">
      <c r="A1653" s="884">
        <v>43460</v>
      </c>
      <c r="B1653" s="240" t="str">
        <f>TiposLancamentos!B19</f>
        <v>Restaurantes</v>
      </c>
      <c r="C1653" s="878" t="s">
        <v>19450</v>
      </c>
      <c r="D1653" s="63"/>
      <c r="E1653" s="231">
        <v>80</v>
      </c>
      <c r="F1653" s="899"/>
      <c r="G1653" s="1152" t="s">
        <v>9</v>
      </c>
    </row>
    <row r="1654" spans="1:7">
      <c r="A1654" s="884">
        <v>43462</v>
      </c>
      <c r="B1654" s="240" t="str">
        <f>TiposLancamentos!B45</f>
        <v>Online Services</v>
      </c>
      <c r="C1654" s="878" t="s">
        <v>1894</v>
      </c>
      <c r="D1654" s="63"/>
      <c r="E1654" s="231">
        <v>27.9</v>
      </c>
      <c r="F1654" s="899"/>
      <c r="G1654" s="1152" t="s">
        <v>9</v>
      </c>
    </row>
    <row r="1655" spans="1:7">
      <c r="A1655" s="884">
        <v>43462</v>
      </c>
      <c r="B1655" s="240" t="str">
        <f>TiposLancamentos!B45</f>
        <v>Online Services</v>
      </c>
      <c r="C1655" s="878" t="s">
        <v>1895</v>
      </c>
      <c r="D1655" s="63"/>
      <c r="E1655" s="231">
        <v>26.9</v>
      </c>
      <c r="F1655" s="899"/>
      <c r="G1655" s="1152" t="s">
        <v>9</v>
      </c>
    </row>
    <row r="1656" spans="1:7">
      <c r="A1656" s="884">
        <v>43462</v>
      </c>
      <c r="B1656" s="240" t="str">
        <f>TiposLancamentos!B5</f>
        <v>Supermercado</v>
      </c>
      <c r="C1656" s="878" t="s">
        <v>19451</v>
      </c>
      <c r="D1656" s="63"/>
      <c r="E1656" s="231">
        <v>131.78</v>
      </c>
      <c r="F1656" s="899"/>
      <c r="G1656" s="1152" t="s">
        <v>9</v>
      </c>
    </row>
    <row r="1657" spans="1:7">
      <c r="A1657" s="884">
        <v>43462</v>
      </c>
      <c r="B1657" s="240" t="str">
        <f>TiposLancamentos!B56</f>
        <v>Farmácia</v>
      </c>
      <c r="C1657" s="878" t="s">
        <v>19452</v>
      </c>
      <c r="D1657" s="63"/>
      <c r="E1657" s="231">
        <v>28.38</v>
      </c>
      <c r="F1657" s="899"/>
      <c r="G1657" s="1152" t="s">
        <v>9</v>
      </c>
    </row>
    <row r="1658" spans="1:7">
      <c r="A1658" s="884">
        <v>43462</v>
      </c>
      <c r="B1658" s="240" t="str">
        <f>TiposLancamentos!B19</f>
        <v>Restaurantes</v>
      </c>
      <c r="C1658" s="878" t="s">
        <v>19453</v>
      </c>
      <c r="D1658" s="63"/>
      <c r="E1658" s="231">
        <v>54</v>
      </c>
      <c r="F1658" s="899"/>
      <c r="G1658" s="1152" t="s">
        <v>9</v>
      </c>
    </row>
    <row r="1659" spans="1:7">
      <c r="A1659" s="884">
        <v>43463</v>
      </c>
      <c r="B1659" s="240" t="str">
        <f>TiposLancamentos!B5</f>
        <v>Supermercado</v>
      </c>
      <c r="C1659" s="878" t="s">
        <v>12005</v>
      </c>
      <c r="D1659" s="63"/>
      <c r="E1659" s="231">
        <v>20.440000000000001</v>
      </c>
      <c r="F1659" s="899"/>
      <c r="G1659" s="1152" t="s">
        <v>9</v>
      </c>
    </row>
    <row r="1660" spans="1:7">
      <c r="A1660" s="1226">
        <v>43463</v>
      </c>
      <c r="B1660" s="1218" t="str">
        <f>TiposLancamentos!B16</f>
        <v>Cristiane</v>
      </c>
      <c r="C1660" s="1219" t="s">
        <v>19454</v>
      </c>
      <c r="D1660" s="1220"/>
      <c r="E1660" s="1221">
        <f>F1661-E1661</f>
        <v>38.6</v>
      </c>
      <c r="F1660" s="1227"/>
      <c r="G1660" s="1152" t="s">
        <v>9</v>
      </c>
    </row>
    <row r="1661" spans="1:7">
      <c r="A1661" s="1228">
        <v>43463</v>
      </c>
      <c r="B1661" s="1222" t="str">
        <f>TiposLancamentos!B70</f>
        <v>Vestuário</v>
      </c>
      <c r="C1661" s="1223" t="s">
        <v>19455</v>
      </c>
      <c r="D1661" s="1224"/>
      <c r="E1661" s="1225">
        <v>47.99</v>
      </c>
      <c r="F1661" s="1229">
        <v>86.59</v>
      </c>
      <c r="G1661" s="1152" t="s">
        <v>9</v>
      </c>
    </row>
    <row r="1662" spans="1:7">
      <c r="A1662" s="884">
        <v>43463</v>
      </c>
      <c r="B1662" s="240" t="str">
        <f>TiposLancamentos!B19</f>
        <v>Restaurantes</v>
      </c>
      <c r="C1662" s="878" t="s">
        <v>19456</v>
      </c>
      <c r="D1662" s="63"/>
      <c r="E1662" s="231">
        <v>26</v>
      </c>
      <c r="F1662" s="899"/>
      <c r="G1662" s="1152" t="s">
        <v>9</v>
      </c>
    </row>
    <row r="1663" spans="1:7">
      <c r="A1663" s="884">
        <v>43465</v>
      </c>
      <c r="B1663" s="240" t="str">
        <f>TiposLancamentos!B102</f>
        <v>ESTORNO</v>
      </c>
      <c r="C1663" s="878" t="s">
        <v>19457</v>
      </c>
      <c r="D1663" s="63">
        <v>0.16</v>
      </c>
      <c r="E1663" s="231"/>
      <c r="F1663" s="899"/>
      <c r="G1663" s="1152"/>
    </row>
    <row r="1664" spans="1:7">
      <c r="A1664" s="884">
        <v>43465</v>
      </c>
      <c r="B1664" s="240" t="str">
        <f>TiposLancamentos!B13</f>
        <v>Moradia</v>
      </c>
      <c r="C1664" s="878" t="s">
        <v>19458</v>
      </c>
      <c r="D1664" s="63"/>
      <c r="E1664" s="231">
        <v>152.91999999999999</v>
      </c>
      <c r="F1664" s="899"/>
      <c r="G1664" s="1152" t="s">
        <v>9</v>
      </c>
    </row>
    <row r="1665" spans="1:7">
      <c r="A1665" s="884">
        <v>43465</v>
      </c>
      <c r="B1665" s="240" t="str">
        <f>TiposLancamentos!B16</f>
        <v>Cristiane</v>
      </c>
      <c r="C1665" s="878" t="s">
        <v>19454</v>
      </c>
      <c r="D1665" s="63"/>
      <c r="E1665" s="231">
        <v>33.450000000000003</v>
      </c>
      <c r="F1665" s="899"/>
      <c r="G1665" s="1152" t="s">
        <v>9</v>
      </c>
    </row>
    <row r="1666" spans="1:7">
      <c r="A1666" s="884">
        <v>43465</v>
      </c>
      <c r="B1666" s="240" t="str">
        <f>TiposLancamentos!B44</f>
        <v>Academia</v>
      </c>
      <c r="C1666" s="878" t="s">
        <v>19459</v>
      </c>
      <c r="D1666" s="63"/>
      <c r="E1666" s="231">
        <v>115.6</v>
      </c>
      <c r="F1666" s="899"/>
      <c r="G1666" s="1152" t="s">
        <v>9</v>
      </c>
    </row>
    <row r="1667" spans="1:7" ht="14.25" thickBot="1">
      <c r="A1667" s="1272">
        <v>43465</v>
      </c>
      <c r="B1667" s="1645" t="str">
        <f>TiposLancamentos!B16</f>
        <v>Cristiane</v>
      </c>
      <c r="C1667" s="280" t="s">
        <v>19459</v>
      </c>
      <c r="D1667" s="281"/>
      <c r="E1667" s="1293">
        <v>115.6</v>
      </c>
      <c r="F1667" s="1271"/>
      <c r="G1667" s="1152" t="s">
        <v>9</v>
      </c>
    </row>
    <row r="1668" spans="1:7">
      <c r="A1668" s="1032"/>
      <c r="B1668" s="1230"/>
      <c r="C1668" s="906" t="s">
        <v>19460</v>
      </c>
      <c r="D1668" s="896"/>
      <c r="E1668" s="925"/>
      <c r="F1668" s="898">
        <f>SUM(E1552:E1628)</f>
        <v>7739.9666666666672</v>
      </c>
      <c r="G1668" s="3"/>
    </row>
    <row r="1669" spans="1:7">
      <c r="A1669" s="884">
        <v>43467</v>
      </c>
      <c r="B1669" s="240" t="str">
        <f>TiposLancamentos!B15</f>
        <v>Cartões de Crédito</v>
      </c>
      <c r="C1669" s="878" t="s">
        <v>1874</v>
      </c>
      <c r="D1669" s="63">
        <v>7739.97</v>
      </c>
      <c r="E1669" s="231"/>
      <c r="F1669" s="899">
        <f>F1668-F1589</f>
        <v>-1815.4349999999995</v>
      </c>
      <c r="G1669" s="1152" t="s">
        <v>9</v>
      </c>
    </row>
    <row r="1670" spans="1:7">
      <c r="A1670" s="884">
        <v>43467</v>
      </c>
      <c r="B1670" s="240" t="str">
        <f>TiposLancamentos!B19</f>
        <v>Restaurantes</v>
      </c>
      <c r="C1670" s="878" t="s">
        <v>19097</v>
      </c>
      <c r="D1670" s="63"/>
      <c r="E1670" s="231">
        <v>146.96</v>
      </c>
      <c r="F1670" s="899"/>
      <c r="G1670" s="1152" t="s">
        <v>9</v>
      </c>
    </row>
    <row r="1671" spans="1:7">
      <c r="A1671" s="1272">
        <v>43468</v>
      </c>
      <c r="B1671" s="279" t="str">
        <f>TiposLancamentos!B16</f>
        <v>Cristiane</v>
      </c>
      <c r="C1671" s="280" t="s">
        <v>19461</v>
      </c>
      <c r="D1671" s="281"/>
      <c r="E1671" s="1293">
        <v>159.9</v>
      </c>
      <c r="F1671" s="1271">
        <f>E1671*3</f>
        <v>479.70000000000005</v>
      </c>
      <c r="G1671" s="1152" t="s">
        <v>9</v>
      </c>
    </row>
    <row r="1672" spans="1:7">
      <c r="A1672" s="884">
        <v>43468</v>
      </c>
      <c r="B1672" s="240" t="str">
        <f>TiposLancamentos!B71</f>
        <v>Itens Pessoais</v>
      </c>
      <c r="C1672" s="878" t="s">
        <v>19462</v>
      </c>
      <c r="D1672" s="63"/>
      <c r="E1672" s="231">
        <v>143</v>
      </c>
      <c r="F1672" s="899">
        <f>E1672*3</f>
        <v>429</v>
      </c>
      <c r="G1672" s="1152" t="s">
        <v>9</v>
      </c>
    </row>
    <row r="1673" spans="1:7">
      <c r="A1673" s="1272">
        <v>43468</v>
      </c>
      <c r="B1673" s="279" t="str">
        <f>TiposLancamentos!B5</f>
        <v>Supermercado</v>
      </c>
      <c r="C1673" s="280" t="s">
        <v>6234</v>
      </c>
      <c r="D1673" s="281"/>
      <c r="E1673" s="1293">
        <v>272.82</v>
      </c>
      <c r="F1673" s="1271"/>
      <c r="G1673" s="1152" t="s">
        <v>9</v>
      </c>
    </row>
    <row r="1674" spans="1:7">
      <c r="A1674" s="884">
        <v>43468</v>
      </c>
      <c r="B1674" s="240" t="str">
        <f>TiposLancamentos!B56</f>
        <v>Farmácia</v>
      </c>
      <c r="C1674" s="878" t="s">
        <v>19463</v>
      </c>
      <c r="D1674" s="63"/>
      <c r="E1674" s="231">
        <v>57.07</v>
      </c>
      <c r="F1674" s="899"/>
      <c r="G1674" s="1152" t="s">
        <v>9</v>
      </c>
    </row>
    <row r="1675" spans="1:7">
      <c r="A1675" s="1272">
        <v>43469</v>
      </c>
      <c r="B1675" s="279" t="str">
        <f>TiposLancamentos!B16</f>
        <v>Cristiane</v>
      </c>
      <c r="C1675" s="280" t="s">
        <v>19464</v>
      </c>
      <c r="D1675" s="281"/>
      <c r="E1675" s="1293">
        <v>120</v>
      </c>
      <c r="F1675" s="1271"/>
      <c r="G1675" s="1152" t="s">
        <v>9</v>
      </c>
    </row>
    <row r="1676" spans="1:7">
      <c r="A1676" s="1272">
        <v>43469</v>
      </c>
      <c r="B1676" s="279" t="str">
        <f>TiposLancamentos!B5</f>
        <v>Supermercado</v>
      </c>
      <c r="C1676" s="280" t="s">
        <v>6234</v>
      </c>
      <c r="D1676" s="281"/>
      <c r="E1676" s="1293">
        <v>80.06</v>
      </c>
      <c r="F1676" s="1271"/>
      <c r="G1676" s="1152" t="s">
        <v>9</v>
      </c>
    </row>
    <row r="1677" spans="1:7">
      <c r="A1677" s="1272">
        <v>43470</v>
      </c>
      <c r="B1677" s="279" t="str">
        <f>TiposLancamentos!B34</f>
        <v>Seguros</v>
      </c>
      <c r="C1677" s="280" t="s">
        <v>19465</v>
      </c>
      <c r="D1677" s="281"/>
      <c r="E1677" s="1293">
        <f>F1677/4</f>
        <v>237.68</v>
      </c>
      <c r="F1677" s="1271">
        <v>950.72</v>
      </c>
      <c r="G1677" s="1152" t="s">
        <v>9</v>
      </c>
    </row>
    <row r="1678" spans="1:7">
      <c r="A1678" s="1272">
        <v>43470</v>
      </c>
      <c r="B1678" s="279" t="str">
        <f>TiposLancamentos!B19</f>
        <v>Restaurantes</v>
      </c>
      <c r="C1678" s="280" t="s">
        <v>19466</v>
      </c>
      <c r="D1678" s="281"/>
      <c r="E1678" s="1293">
        <v>85.6</v>
      </c>
      <c r="F1678" s="1271"/>
      <c r="G1678" s="1152" t="s">
        <v>9</v>
      </c>
    </row>
    <row r="1679" spans="1:7">
      <c r="A1679" s="884">
        <v>43472</v>
      </c>
      <c r="B1679" s="240" t="str">
        <f>TiposLancamentos!B56</f>
        <v>Farmácia</v>
      </c>
      <c r="C1679" s="878" t="s">
        <v>12105</v>
      </c>
      <c r="D1679" s="63"/>
      <c r="E1679" s="231">
        <v>11.59</v>
      </c>
      <c r="F1679" s="899"/>
      <c r="G1679" s="1152" t="s">
        <v>9</v>
      </c>
    </row>
    <row r="1680" spans="1:7">
      <c r="A1680" s="884">
        <v>43473</v>
      </c>
      <c r="B1680" s="240" t="str">
        <f>TiposLancamentos!B56</f>
        <v>Farmácia</v>
      </c>
      <c r="C1680" s="878" t="s">
        <v>19467</v>
      </c>
      <c r="D1680" s="63"/>
      <c r="E1680" s="231">
        <v>113.35</v>
      </c>
      <c r="F1680" s="899"/>
      <c r="G1680" s="1152" t="s">
        <v>9</v>
      </c>
    </row>
    <row r="1681" spans="1:7">
      <c r="A1681" s="1272">
        <v>43473</v>
      </c>
      <c r="B1681" s="279" t="str">
        <f>TiposLancamentos!B16</f>
        <v>Cristiane</v>
      </c>
      <c r="C1681" s="280" t="s">
        <v>19468</v>
      </c>
      <c r="D1681" s="281"/>
      <c r="E1681" s="1293">
        <v>289.36</v>
      </c>
      <c r="F1681" s="1271">
        <v>1157.4100000000001</v>
      </c>
      <c r="G1681" s="1152" t="s">
        <v>9</v>
      </c>
    </row>
    <row r="1682" spans="1:7">
      <c r="A1682" s="884">
        <v>43473</v>
      </c>
      <c r="B1682" s="240" t="str">
        <f>TiposLancamentos!B30</f>
        <v>Cinema</v>
      </c>
      <c r="C1682" s="878" t="s">
        <v>19469</v>
      </c>
      <c r="D1682" s="63"/>
      <c r="E1682" s="231">
        <v>82.08</v>
      </c>
      <c r="F1682" s="899"/>
      <c r="G1682" s="1152" t="s">
        <v>9</v>
      </c>
    </row>
    <row r="1683" spans="1:7">
      <c r="A1683" s="1272">
        <v>43473</v>
      </c>
      <c r="B1683" s="279" t="str">
        <f>TiposLancamentos!B5</f>
        <v>Supermercado</v>
      </c>
      <c r="C1683" s="280" t="s">
        <v>11031</v>
      </c>
      <c r="D1683" s="281"/>
      <c r="E1683" s="1293">
        <v>122.95</v>
      </c>
      <c r="F1683" s="1271"/>
      <c r="G1683" s="1152" t="s">
        <v>9</v>
      </c>
    </row>
    <row r="1684" spans="1:7">
      <c r="A1684" s="884">
        <v>43473</v>
      </c>
      <c r="B1684" s="240" t="str">
        <f>TiposLancamentos!B19</f>
        <v>Restaurantes</v>
      </c>
      <c r="C1684" s="878" t="s">
        <v>19470</v>
      </c>
      <c r="D1684" s="63"/>
      <c r="E1684" s="231">
        <v>37.049999999999997</v>
      </c>
      <c r="F1684" s="899"/>
      <c r="G1684" s="1152" t="s">
        <v>9</v>
      </c>
    </row>
    <row r="1685" spans="1:7">
      <c r="A1685" s="884">
        <v>43473</v>
      </c>
      <c r="B1685" s="240" t="str">
        <f>TiposLancamentos!B56</f>
        <v>Farmácia</v>
      </c>
      <c r="C1685" s="878" t="s">
        <v>19471</v>
      </c>
      <c r="D1685" s="63"/>
      <c r="E1685" s="231">
        <v>119.97</v>
      </c>
      <c r="F1685" s="899"/>
      <c r="G1685" s="1152" t="s">
        <v>9</v>
      </c>
    </row>
    <row r="1686" spans="1:7">
      <c r="A1686" s="884">
        <v>43474</v>
      </c>
      <c r="B1686" s="240" t="str">
        <f>TiposLancamentos!B5</f>
        <v>Supermercado</v>
      </c>
      <c r="C1686" s="878" t="s">
        <v>19472</v>
      </c>
      <c r="D1686" s="63"/>
      <c r="E1686" s="231">
        <v>26.96</v>
      </c>
      <c r="F1686" s="899"/>
      <c r="G1686" s="1152" t="s">
        <v>9</v>
      </c>
    </row>
    <row r="1687" spans="1:7">
      <c r="A1687" s="884">
        <v>43474</v>
      </c>
      <c r="B1687" s="240" t="str">
        <f>TiposLancamentos!B16</f>
        <v>Cristiane</v>
      </c>
      <c r="C1687" s="878" t="s">
        <v>19473</v>
      </c>
      <c r="D1687" s="63"/>
      <c r="E1687" s="231">
        <v>84.9</v>
      </c>
      <c r="F1687" s="899"/>
      <c r="G1687" s="1152" t="s">
        <v>9</v>
      </c>
    </row>
    <row r="1688" spans="1:7">
      <c r="A1688" s="884">
        <v>43474</v>
      </c>
      <c r="B1688" s="240" t="str">
        <f>TiposLancamentos!B71</f>
        <v>Itens Pessoais</v>
      </c>
      <c r="C1688" s="878" t="s">
        <v>19474</v>
      </c>
      <c r="D1688" s="63"/>
      <c r="E1688" s="231">
        <v>94.78</v>
      </c>
      <c r="F1688" s="899">
        <v>284.3</v>
      </c>
      <c r="G1688" s="1152" t="s">
        <v>9</v>
      </c>
    </row>
    <row r="1689" spans="1:7">
      <c r="A1689" s="1272">
        <v>43475</v>
      </c>
      <c r="B1689" s="279" t="str">
        <f>TiposLancamentos!B5</f>
        <v>Supermercado</v>
      </c>
      <c r="C1689" s="280" t="s">
        <v>19475</v>
      </c>
      <c r="D1689" s="281"/>
      <c r="E1689" s="1293">
        <v>69.900000000000006</v>
      </c>
      <c r="F1689" s="1271"/>
      <c r="G1689" s="1152" t="s">
        <v>9</v>
      </c>
    </row>
    <row r="1690" spans="1:7">
      <c r="A1690" s="884">
        <v>43476</v>
      </c>
      <c r="B1690" s="240" t="str">
        <f>TiposLancamentos!B56</f>
        <v>Farmácia</v>
      </c>
      <c r="C1690" s="878" t="s">
        <v>19476</v>
      </c>
      <c r="D1690" s="63"/>
      <c r="E1690" s="231">
        <v>168.66</v>
      </c>
      <c r="F1690" s="899"/>
      <c r="G1690" s="1152" t="s">
        <v>9</v>
      </c>
    </row>
    <row r="1691" spans="1:7">
      <c r="A1691" s="884">
        <v>43477</v>
      </c>
      <c r="B1691" s="240" t="str">
        <f>B1689</f>
        <v>Supermercado</v>
      </c>
      <c r="C1691" s="878" t="s">
        <v>19477</v>
      </c>
      <c r="D1691" s="63"/>
      <c r="E1691" s="231">
        <v>41.91</v>
      </c>
      <c r="F1691" s="899"/>
      <c r="G1691" s="1152" t="s">
        <v>9</v>
      </c>
    </row>
    <row r="1692" spans="1:7">
      <c r="A1692" s="884">
        <v>43477</v>
      </c>
      <c r="B1692" s="240" t="str">
        <f>TiposLancamentos!B16</f>
        <v>Cristiane</v>
      </c>
      <c r="C1692" s="878" t="s">
        <v>19478</v>
      </c>
      <c r="D1692" s="63"/>
      <c r="E1692" s="231">
        <v>50.05</v>
      </c>
      <c r="F1692" s="899"/>
      <c r="G1692" s="1152" t="s">
        <v>9</v>
      </c>
    </row>
    <row r="1693" spans="1:7">
      <c r="A1693" s="884">
        <v>43477</v>
      </c>
      <c r="B1693" s="240" t="str">
        <f>TiposLancamentos!B19</f>
        <v>Restaurantes</v>
      </c>
      <c r="C1693" s="878" t="s">
        <v>19479</v>
      </c>
      <c r="D1693" s="63"/>
      <c r="E1693" s="231">
        <v>17.45</v>
      </c>
      <c r="F1693" s="899"/>
      <c r="G1693" s="1152" t="s">
        <v>9</v>
      </c>
    </row>
    <row r="1694" spans="1:7">
      <c r="A1694" s="884">
        <v>43477</v>
      </c>
      <c r="B1694" s="240" t="str">
        <f>TiposLancamentos!B5</f>
        <v>Supermercado</v>
      </c>
      <c r="C1694" s="878" t="s">
        <v>6234</v>
      </c>
      <c r="D1694" s="63"/>
      <c r="E1694" s="231">
        <v>132.07</v>
      </c>
      <c r="F1694" s="899"/>
      <c r="G1694" s="1152" t="s">
        <v>9</v>
      </c>
    </row>
    <row r="1695" spans="1:7">
      <c r="A1695" s="1272">
        <v>43478</v>
      </c>
      <c r="B1695" s="279" t="str">
        <f>TiposLancamentos!B16</f>
        <v>Cristiane</v>
      </c>
      <c r="C1695" s="280" t="s">
        <v>19480</v>
      </c>
      <c r="D1695" s="281"/>
      <c r="E1695" s="1293">
        <v>124.98</v>
      </c>
      <c r="F1695" s="1271">
        <v>249.97</v>
      </c>
      <c r="G1695" s="1152" t="s">
        <v>9</v>
      </c>
    </row>
    <row r="1696" spans="1:7">
      <c r="A1696" s="884">
        <v>43479</v>
      </c>
      <c r="B1696" s="240" t="str">
        <f>TiposLancamentos!B5</f>
        <v>Supermercado</v>
      </c>
      <c r="C1696" s="878" t="s">
        <v>19071</v>
      </c>
      <c r="D1696" s="63"/>
      <c r="E1696" s="231">
        <v>37.590000000000003</v>
      </c>
      <c r="F1696" s="899"/>
      <c r="G1696" s="1152" t="s">
        <v>9</v>
      </c>
    </row>
    <row r="1697" spans="1:7">
      <c r="A1697" s="884">
        <v>43479</v>
      </c>
      <c r="B1697" s="240" t="str">
        <f>TiposLancamentos!B56</f>
        <v>Farmácia</v>
      </c>
      <c r="C1697" s="878" t="s">
        <v>19481</v>
      </c>
      <c r="D1697" s="63"/>
      <c r="E1697" s="231">
        <v>27.5</v>
      </c>
      <c r="F1697" s="899"/>
      <c r="G1697" s="1152" t="s">
        <v>9</v>
      </c>
    </row>
    <row r="1698" spans="1:7">
      <c r="A1698" s="884">
        <v>43481</v>
      </c>
      <c r="B1698" s="240" t="str">
        <f>TiposLancamentos!B5</f>
        <v>Supermercado</v>
      </c>
      <c r="C1698" s="878" t="s">
        <v>19482</v>
      </c>
      <c r="D1698" s="63"/>
      <c r="E1698" s="231">
        <v>24.9</v>
      </c>
      <c r="F1698" s="899"/>
      <c r="G1698" s="1152" t="s">
        <v>9</v>
      </c>
    </row>
    <row r="1699" spans="1:7">
      <c r="A1699" s="1272">
        <v>43481</v>
      </c>
      <c r="B1699" s="279" t="str">
        <f>TiposLancamentos!B5</f>
        <v>Supermercado</v>
      </c>
      <c r="C1699" s="280" t="s">
        <v>6715</v>
      </c>
      <c r="D1699" s="281"/>
      <c r="E1699" s="1293">
        <v>92.78</v>
      </c>
      <c r="F1699" s="1271"/>
      <c r="G1699" s="1152" t="s">
        <v>9</v>
      </c>
    </row>
    <row r="1700" spans="1:7">
      <c r="A1700" s="1272">
        <v>43481</v>
      </c>
      <c r="B1700" s="279" t="str">
        <f>TiposLancamentos!B5</f>
        <v>Supermercado</v>
      </c>
      <c r="C1700" s="280" t="s">
        <v>18483</v>
      </c>
      <c r="D1700" s="281"/>
      <c r="E1700" s="1293">
        <v>18.899999999999999</v>
      </c>
      <c r="F1700" s="1271"/>
      <c r="G1700" s="1152" t="s">
        <v>9</v>
      </c>
    </row>
    <row r="1701" spans="1:7">
      <c r="A1701" s="884">
        <v>43482</v>
      </c>
      <c r="B1701" s="240" t="str">
        <f>TiposLancamentos!B16</f>
        <v>Cristiane</v>
      </c>
      <c r="C1701" s="878" t="s">
        <v>19483</v>
      </c>
      <c r="D1701" s="63"/>
      <c r="E1701" s="231">
        <v>18.52</v>
      </c>
      <c r="F1701" s="899"/>
      <c r="G1701" s="1152" t="s">
        <v>9</v>
      </c>
    </row>
    <row r="1702" spans="1:7">
      <c r="A1702" s="884">
        <v>43483</v>
      </c>
      <c r="B1702" s="240" t="str">
        <f>TiposLancamentos!B5</f>
        <v>Supermercado</v>
      </c>
      <c r="C1702" s="878" t="s">
        <v>19484</v>
      </c>
      <c r="D1702" s="63"/>
      <c r="E1702" s="231">
        <v>132.52000000000001</v>
      </c>
      <c r="F1702" s="899"/>
      <c r="G1702" s="1152" t="s">
        <v>9</v>
      </c>
    </row>
    <row r="1703" spans="1:7">
      <c r="A1703" s="884">
        <v>43484</v>
      </c>
      <c r="B1703" s="240" t="str">
        <f>TiposLancamentos!B17</f>
        <v>GATO</v>
      </c>
      <c r="C1703" s="878" t="s">
        <v>19485</v>
      </c>
      <c r="D1703" s="63"/>
      <c r="E1703" s="231">
        <v>37.299999999999997</v>
      </c>
      <c r="F1703" s="899"/>
      <c r="G1703" s="1152" t="s">
        <v>9</v>
      </c>
    </row>
    <row r="1704" spans="1:7">
      <c r="A1704" s="884">
        <v>43484</v>
      </c>
      <c r="B1704" s="240" t="str">
        <f>TiposLancamentos!B5</f>
        <v>Supermercado</v>
      </c>
      <c r="C1704" s="878" t="s">
        <v>7907</v>
      </c>
      <c r="D1704" s="63"/>
      <c r="E1704" s="231">
        <v>52.7</v>
      </c>
      <c r="F1704" s="899"/>
      <c r="G1704" s="1152" t="s">
        <v>9</v>
      </c>
    </row>
    <row r="1705" spans="1:7">
      <c r="A1705" s="884">
        <v>43484</v>
      </c>
      <c r="B1705" s="240" t="str">
        <f>TiposLancamentos!B19</f>
        <v>Restaurantes</v>
      </c>
      <c r="C1705" s="878" t="s">
        <v>12217</v>
      </c>
      <c r="D1705" s="63"/>
      <c r="E1705" s="231">
        <v>41.3</v>
      </c>
      <c r="F1705" s="899"/>
      <c r="G1705" s="1152" t="s">
        <v>9</v>
      </c>
    </row>
    <row r="1706" spans="1:7">
      <c r="A1706" s="884">
        <v>43485</v>
      </c>
      <c r="B1706" s="240" t="str">
        <f>TiposLancamentos!B19</f>
        <v>Restaurantes</v>
      </c>
      <c r="C1706" s="878" t="s">
        <v>10655</v>
      </c>
      <c r="D1706" s="63"/>
      <c r="E1706" s="231">
        <v>89.98</v>
      </c>
      <c r="F1706" s="899"/>
      <c r="G1706" s="1152" t="s">
        <v>9</v>
      </c>
    </row>
    <row r="1707" spans="1:7">
      <c r="A1707" s="884">
        <v>43485</v>
      </c>
      <c r="B1707" s="240" t="str">
        <f>TiposLancamentos!B57</f>
        <v>Informática</v>
      </c>
      <c r="C1707" s="878" t="s">
        <v>19486</v>
      </c>
      <c r="D1707" s="63"/>
      <c r="E1707" s="231">
        <v>221.43</v>
      </c>
      <c r="F1707" s="899">
        <v>664.27</v>
      </c>
      <c r="G1707" s="1152" t="s">
        <v>9</v>
      </c>
    </row>
    <row r="1708" spans="1:7">
      <c r="A1708" s="884">
        <v>43485</v>
      </c>
      <c r="B1708" s="240" t="str">
        <f>TiposLancamentos!B19</f>
        <v>Restaurantes</v>
      </c>
      <c r="C1708" s="878" t="s">
        <v>19487</v>
      </c>
      <c r="D1708" s="63"/>
      <c r="E1708" s="231">
        <v>10</v>
      </c>
      <c r="F1708" s="899"/>
      <c r="G1708" s="1152" t="s">
        <v>9</v>
      </c>
    </row>
    <row r="1709" spans="1:7">
      <c r="A1709" s="884">
        <v>43485</v>
      </c>
      <c r="B1709" s="240" t="str">
        <f>TiposLancamentos!B5</f>
        <v>Supermercado</v>
      </c>
      <c r="C1709" s="878" t="s">
        <v>19488</v>
      </c>
      <c r="D1709" s="63"/>
      <c r="E1709" s="231">
        <v>13.98</v>
      </c>
      <c r="F1709" s="899"/>
      <c r="G1709" s="1152" t="s">
        <v>9</v>
      </c>
    </row>
    <row r="1710" spans="1:7">
      <c r="A1710" s="884">
        <v>43485</v>
      </c>
      <c r="B1710" s="240" t="str">
        <f>TiposLancamentos!B73</f>
        <v>Cursos</v>
      </c>
      <c r="C1710" s="878" t="s">
        <v>19090</v>
      </c>
      <c r="D1710" s="63"/>
      <c r="E1710" s="231">
        <v>51</v>
      </c>
      <c r="F1710" s="899"/>
      <c r="G1710" s="1152" t="s">
        <v>9</v>
      </c>
    </row>
    <row r="1711" spans="1:7">
      <c r="A1711" s="934"/>
      <c r="B1711" s="243"/>
      <c r="C1711" s="389" t="s">
        <v>10</v>
      </c>
      <c r="D1711" s="146"/>
      <c r="E1711" s="1190"/>
      <c r="F1711" s="935"/>
      <c r="G1711" s="1094" t="s">
        <v>11</v>
      </c>
    </row>
    <row r="1712" spans="1:7">
      <c r="A1712" s="884">
        <v>43486</v>
      </c>
      <c r="B1712" s="240" t="str">
        <f>TiposLancamentos!B5</f>
        <v>Supermercado</v>
      </c>
      <c r="C1712" s="878" t="s">
        <v>6234</v>
      </c>
      <c r="D1712" s="63"/>
      <c r="E1712" s="231">
        <v>50.55</v>
      </c>
      <c r="F1712" s="899"/>
      <c r="G1712" s="1152" t="s">
        <v>9</v>
      </c>
    </row>
    <row r="1713" spans="1:7">
      <c r="A1713" s="884">
        <v>43486</v>
      </c>
      <c r="B1713" s="240" t="str">
        <f>TiposLancamentos!B45</f>
        <v>Online Services</v>
      </c>
      <c r="C1713" s="878" t="s">
        <v>19027</v>
      </c>
      <c r="D1713" s="63"/>
      <c r="E1713" s="231">
        <v>33</v>
      </c>
      <c r="F1713" s="899"/>
      <c r="G1713" s="1152" t="s">
        <v>9</v>
      </c>
    </row>
    <row r="1714" spans="1:7">
      <c r="A1714" s="884">
        <v>43487</v>
      </c>
      <c r="B1714" s="240" t="str">
        <f>TiposLancamentos!B5</f>
        <v>Supermercado</v>
      </c>
      <c r="C1714" s="878" t="s">
        <v>6234</v>
      </c>
      <c r="D1714" s="63"/>
      <c r="E1714" s="231">
        <v>85.01</v>
      </c>
      <c r="F1714" s="899"/>
      <c r="G1714" s="1152" t="s">
        <v>9</v>
      </c>
    </row>
    <row r="1715" spans="1:7">
      <c r="A1715" s="884">
        <v>43487</v>
      </c>
      <c r="B1715" s="240" t="str">
        <f>TiposLancamentos!B30</f>
        <v>Cinema</v>
      </c>
      <c r="C1715" s="878" t="s">
        <v>19489</v>
      </c>
      <c r="D1715" s="63"/>
      <c r="E1715" s="231">
        <v>63.84</v>
      </c>
      <c r="F1715" s="899"/>
      <c r="G1715" s="1152" t="s">
        <v>9</v>
      </c>
    </row>
    <row r="1716" spans="1:7">
      <c r="A1716" s="1272">
        <v>43487</v>
      </c>
      <c r="B1716" s="279" t="str">
        <f>TiposLancamentos!B71</f>
        <v>Itens Pessoais</v>
      </c>
      <c r="C1716" s="280" t="s">
        <v>19490</v>
      </c>
      <c r="D1716" s="281"/>
      <c r="E1716" s="1293">
        <f>F1716/6</f>
        <v>699.84</v>
      </c>
      <c r="F1716" s="1271">
        <v>4199.04</v>
      </c>
      <c r="G1716" s="1152" t="s">
        <v>9</v>
      </c>
    </row>
    <row r="1717" spans="1:7">
      <c r="A1717" s="1272">
        <v>43487</v>
      </c>
      <c r="B1717" s="279" t="str">
        <f>TiposLancamentos!B19</f>
        <v>Restaurantes</v>
      </c>
      <c r="C1717" s="280" t="s">
        <v>19491</v>
      </c>
      <c r="D1717" s="281"/>
      <c r="E1717" s="1293">
        <v>61.7</v>
      </c>
      <c r="F1717" s="1271"/>
      <c r="G1717" s="1152" t="s">
        <v>9</v>
      </c>
    </row>
    <row r="1718" spans="1:7">
      <c r="A1718" s="1272">
        <v>43488</v>
      </c>
      <c r="B1718" s="1645" t="str">
        <f>TiposLancamentos!B16</f>
        <v>Cristiane</v>
      </c>
      <c r="C1718" s="280" t="s">
        <v>19492</v>
      </c>
      <c r="D1718" s="281"/>
      <c r="E1718" s="1293">
        <f>F1718/2</f>
        <v>121.45</v>
      </c>
      <c r="F1718" s="1271">
        <v>242.9</v>
      </c>
      <c r="G1718" s="1152" t="s">
        <v>9</v>
      </c>
    </row>
    <row r="1719" spans="1:7">
      <c r="A1719" s="1272">
        <v>43489</v>
      </c>
      <c r="B1719" s="1645" t="str">
        <f>TiposLancamentos!B16</f>
        <v>Cristiane</v>
      </c>
      <c r="C1719" s="280" t="s">
        <v>19493</v>
      </c>
      <c r="D1719" s="281"/>
      <c r="E1719" s="1293">
        <v>26.5</v>
      </c>
      <c r="F1719" s="1271"/>
      <c r="G1719" s="1152" t="s">
        <v>9</v>
      </c>
    </row>
    <row r="1720" spans="1:7">
      <c r="A1720" s="884">
        <v>43490</v>
      </c>
      <c r="B1720" s="240" t="str">
        <f>TiposLancamentos!B5</f>
        <v>Supermercado</v>
      </c>
      <c r="C1720" s="878" t="s">
        <v>6234</v>
      </c>
      <c r="D1720" s="63"/>
      <c r="E1720" s="231">
        <v>79.08</v>
      </c>
      <c r="F1720" s="899"/>
      <c r="G1720" s="1152" t="s">
        <v>9</v>
      </c>
    </row>
    <row r="1721" spans="1:7">
      <c r="A1721" s="884">
        <v>43490</v>
      </c>
      <c r="B1721" s="240" t="str">
        <f>TiposLancamentos!B71</f>
        <v>Itens Pessoais</v>
      </c>
      <c r="C1721" s="878" t="s">
        <v>19494</v>
      </c>
      <c r="D1721" s="63"/>
      <c r="E1721" s="231">
        <v>37.869999999999997</v>
      </c>
      <c r="F1721" s="899"/>
      <c r="G1721" s="1152" t="s">
        <v>9</v>
      </c>
    </row>
    <row r="1722" spans="1:7">
      <c r="A1722" s="884">
        <v>43490</v>
      </c>
      <c r="B1722" s="240" t="str">
        <f>TiposLancamentos!B71</f>
        <v>Itens Pessoais</v>
      </c>
      <c r="C1722" s="878" t="s">
        <v>19495</v>
      </c>
      <c r="D1722" s="63"/>
      <c r="E1722" s="231">
        <v>46.88</v>
      </c>
      <c r="F1722" s="899"/>
      <c r="G1722" s="1152" t="s">
        <v>9</v>
      </c>
    </row>
    <row r="1723" spans="1:7">
      <c r="A1723" s="1272">
        <v>43490</v>
      </c>
      <c r="B1723" s="1645" t="str">
        <f>TiposLancamentos!B22</f>
        <v>Combustivel</v>
      </c>
      <c r="C1723" s="280" t="s">
        <v>6718</v>
      </c>
      <c r="D1723" s="281"/>
      <c r="E1723" s="1293">
        <v>100</v>
      </c>
      <c r="F1723" s="1271"/>
      <c r="G1723" s="1152" t="s">
        <v>9</v>
      </c>
    </row>
    <row r="1724" spans="1:7">
      <c r="A1724" s="884">
        <v>43490</v>
      </c>
      <c r="B1724" s="240" t="str">
        <f>TiposLancamentos!B57</f>
        <v>Informática</v>
      </c>
      <c r="C1724" s="878" t="s">
        <v>19496</v>
      </c>
      <c r="D1724" s="63"/>
      <c r="E1724" s="231">
        <v>3.9</v>
      </c>
      <c r="F1724" s="899"/>
      <c r="G1724" s="1152" t="s">
        <v>9</v>
      </c>
    </row>
    <row r="1725" spans="1:7">
      <c r="A1725" s="884">
        <v>43491</v>
      </c>
      <c r="B1725" s="240" t="str">
        <f>TiposLancamentos!B16</f>
        <v>Cristiane</v>
      </c>
      <c r="C1725" s="878" t="s">
        <v>19497</v>
      </c>
      <c r="D1725" s="63"/>
      <c r="E1725" s="231">
        <v>199.96</v>
      </c>
      <c r="F1725" s="899"/>
      <c r="G1725" s="1152" t="s">
        <v>9</v>
      </c>
    </row>
    <row r="1726" spans="1:7">
      <c r="A1726" s="884">
        <v>43491</v>
      </c>
      <c r="B1726" s="240" t="str">
        <f>TiposLancamentos!B70</f>
        <v>Vestuário</v>
      </c>
      <c r="C1726" s="878" t="s">
        <v>19498</v>
      </c>
      <c r="D1726" s="63"/>
      <c r="E1726" s="231">
        <f>F1726/3</f>
        <v>273</v>
      </c>
      <c r="F1726" s="899">
        <v>819</v>
      </c>
      <c r="G1726" s="1152" t="s">
        <v>9</v>
      </c>
    </row>
    <row r="1727" spans="1:7">
      <c r="A1727" s="884">
        <v>43491</v>
      </c>
      <c r="B1727" s="240" t="str">
        <f>TiposLancamentos!B19</f>
        <v>Restaurantes</v>
      </c>
      <c r="C1727" s="878" t="s">
        <v>10655</v>
      </c>
      <c r="D1727" s="63"/>
      <c r="E1727" s="231">
        <v>89.98</v>
      </c>
      <c r="F1727" s="899"/>
      <c r="G1727" s="1152" t="s">
        <v>9</v>
      </c>
    </row>
    <row r="1728" spans="1:7">
      <c r="A1728" s="884">
        <v>43491</v>
      </c>
      <c r="B1728" s="240" t="str">
        <f>TiposLancamentos!B16</f>
        <v>Cristiane</v>
      </c>
      <c r="C1728" s="878" t="s">
        <v>12168</v>
      </c>
      <c r="D1728" s="63"/>
      <c r="E1728" s="231">
        <v>81.900000000000006</v>
      </c>
      <c r="F1728" s="899"/>
      <c r="G1728" s="1152" t="s">
        <v>9</v>
      </c>
    </row>
    <row r="1729" spans="1:7">
      <c r="A1729" s="884">
        <v>43491</v>
      </c>
      <c r="B1729" s="240" t="str">
        <f>TiposLancamentos!B19</f>
        <v>Restaurantes</v>
      </c>
      <c r="C1729" s="878" t="s">
        <v>4593</v>
      </c>
      <c r="D1729" s="63"/>
      <c r="E1729" s="231">
        <v>11</v>
      </c>
      <c r="F1729" s="899"/>
      <c r="G1729" s="1152" t="s">
        <v>9</v>
      </c>
    </row>
    <row r="1730" spans="1:7">
      <c r="A1730" s="1272">
        <v>43491</v>
      </c>
      <c r="B1730" s="1645" t="str">
        <f>TiposLancamentos!B19</f>
        <v>Restaurantes</v>
      </c>
      <c r="C1730" s="280" t="s">
        <v>15315</v>
      </c>
      <c r="D1730" s="281"/>
      <c r="E1730" s="1293">
        <v>48</v>
      </c>
      <c r="F1730" s="1271"/>
      <c r="G1730" s="1152" t="s">
        <v>9</v>
      </c>
    </row>
    <row r="1731" spans="1:7">
      <c r="A1731" s="884">
        <v>43492</v>
      </c>
      <c r="B1731" s="240" t="str">
        <f>TiposLancamentos!B5</f>
        <v>Supermercado</v>
      </c>
      <c r="C1731" s="878" t="s">
        <v>6234</v>
      </c>
      <c r="D1731" s="63"/>
      <c r="E1731" s="231">
        <v>20.27</v>
      </c>
      <c r="F1731" s="899"/>
      <c r="G1731" s="1152" t="s">
        <v>9</v>
      </c>
    </row>
    <row r="1732" spans="1:7">
      <c r="A1732" s="884">
        <v>43492</v>
      </c>
      <c r="B1732" s="240" t="str">
        <f>TiposLancamentos!B5</f>
        <v>Supermercado</v>
      </c>
      <c r="C1732" s="878" t="s">
        <v>17822</v>
      </c>
      <c r="D1732" s="63"/>
      <c r="E1732" s="231">
        <v>32.14</v>
      </c>
      <c r="F1732" s="899"/>
      <c r="G1732" s="1152" t="s">
        <v>9</v>
      </c>
    </row>
    <row r="1733" spans="1:7">
      <c r="A1733" s="884">
        <v>43493</v>
      </c>
      <c r="B1733" s="240" t="str">
        <f>TiposLancamentos!B45</f>
        <v>Online Services</v>
      </c>
      <c r="C1733" s="878" t="s">
        <v>11232</v>
      </c>
      <c r="D1733" s="63"/>
      <c r="E1733" s="231">
        <v>69.989999999999995</v>
      </c>
      <c r="F1733" s="899"/>
      <c r="G1733" s="1152" t="s">
        <v>9</v>
      </c>
    </row>
    <row r="1734" spans="1:7">
      <c r="A1734" s="884">
        <v>43493</v>
      </c>
      <c r="B1734" s="240" t="str">
        <f>TiposLancamentos!B22</f>
        <v>Combustivel</v>
      </c>
      <c r="C1734" s="878" t="s">
        <v>1880</v>
      </c>
      <c r="D1734" s="63"/>
      <c r="E1734" s="231">
        <v>50</v>
      </c>
      <c r="F1734" s="899"/>
      <c r="G1734" s="1152" t="s">
        <v>9</v>
      </c>
    </row>
    <row r="1735" spans="1:7">
      <c r="A1735" s="884">
        <v>43493</v>
      </c>
      <c r="B1735" s="240" t="str">
        <f>TiposLancamentos!B45</f>
        <v>Online Services</v>
      </c>
      <c r="C1735" s="878" t="s">
        <v>1894</v>
      </c>
      <c r="D1735" s="63"/>
      <c r="E1735" s="231">
        <v>27.9</v>
      </c>
      <c r="F1735" s="899"/>
      <c r="G1735" s="1152" t="s">
        <v>9</v>
      </c>
    </row>
    <row r="1736" spans="1:7">
      <c r="A1736" s="884">
        <v>43493</v>
      </c>
      <c r="B1736" s="240" t="str">
        <f>TiposLancamentos!B45</f>
        <v>Online Services</v>
      </c>
      <c r="C1736" s="878" t="s">
        <v>1895</v>
      </c>
      <c r="D1736" s="63"/>
      <c r="E1736" s="231">
        <v>26.9</v>
      </c>
      <c r="F1736" s="899"/>
      <c r="G1736" s="1152" t="s">
        <v>9</v>
      </c>
    </row>
    <row r="1737" spans="1:7">
      <c r="A1737" s="884">
        <v>43493</v>
      </c>
      <c r="B1737" s="240" t="str">
        <f>TiposLancamentos!B17</f>
        <v>GATO</v>
      </c>
      <c r="C1737" s="878" t="s">
        <v>19499</v>
      </c>
      <c r="D1737" s="63"/>
      <c r="E1737" s="231">
        <v>142.56</v>
      </c>
      <c r="F1737" s="899"/>
      <c r="G1737" s="1152" t="s">
        <v>9</v>
      </c>
    </row>
    <row r="1738" spans="1:7">
      <c r="A1738" s="1272">
        <v>43493</v>
      </c>
      <c r="B1738" s="279" t="str">
        <f>TiposLancamentos!B16</f>
        <v>Cristiane</v>
      </c>
      <c r="C1738" s="280" t="s">
        <v>19500</v>
      </c>
      <c r="D1738" s="281"/>
      <c r="E1738" s="1293">
        <v>215.1</v>
      </c>
      <c r="F1738" s="1271"/>
      <c r="G1738" s="1152" t="s">
        <v>9</v>
      </c>
    </row>
    <row r="1739" spans="1:7">
      <c r="A1739" s="1272">
        <v>43494</v>
      </c>
      <c r="B1739" s="279" t="str">
        <f>TiposLancamentos!B5</f>
        <v>Supermercado</v>
      </c>
      <c r="C1739" s="280" t="s">
        <v>11038</v>
      </c>
      <c r="D1739" s="281"/>
      <c r="E1739" s="1293">
        <v>229.42</v>
      </c>
      <c r="F1739" s="1271"/>
      <c r="G1739" s="1152" t="s">
        <v>9</v>
      </c>
    </row>
    <row r="1740" spans="1:7">
      <c r="A1740" s="884">
        <v>43495</v>
      </c>
      <c r="B1740" s="240" t="str">
        <f>TiposLancamentos!B48</f>
        <v>Baralhos e Oráculos</v>
      </c>
      <c r="C1740" s="878" t="s">
        <v>19501</v>
      </c>
      <c r="D1740" s="63"/>
      <c r="E1740" s="231">
        <v>70</v>
      </c>
      <c r="F1740" s="899"/>
      <c r="G1740" s="1152" t="s">
        <v>9</v>
      </c>
    </row>
    <row r="1741" spans="1:7">
      <c r="A1741" s="1272">
        <v>43495</v>
      </c>
      <c r="B1741" s="1645" t="str">
        <f>TiposLancamentos!B16</f>
        <v>Cristiane</v>
      </c>
      <c r="C1741" s="280" t="s">
        <v>19502</v>
      </c>
      <c r="D1741" s="281"/>
      <c r="E1741" s="1293">
        <v>126.7</v>
      </c>
      <c r="F1741" s="1271"/>
      <c r="G1741" s="1152" t="s">
        <v>9</v>
      </c>
    </row>
    <row r="1742" spans="1:7">
      <c r="A1742" s="1272">
        <v>43495</v>
      </c>
      <c r="B1742" s="1645" t="str">
        <f>TiposLancamentos!B5</f>
        <v>Supermercado</v>
      </c>
      <c r="C1742" s="280" t="s">
        <v>19503</v>
      </c>
      <c r="D1742" s="281"/>
      <c r="E1742" s="1293">
        <v>61.9</v>
      </c>
      <c r="F1742" s="1271"/>
      <c r="G1742" s="1152" t="s">
        <v>9</v>
      </c>
    </row>
    <row r="1743" spans="1:7">
      <c r="A1743" s="884">
        <v>43496</v>
      </c>
      <c r="B1743" s="240" t="str">
        <f>TiposLancamentos!B5</f>
        <v>Supermercado</v>
      </c>
      <c r="C1743" s="878" t="s">
        <v>6234</v>
      </c>
      <c r="D1743" s="63"/>
      <c r="E1743" s="231">
        <v>18.190000000000001</v>
      </c>
      <c r="F1743" s="899"/>
      <c r="G1743" s="1152" t="s">
        <v>9</v>
      </c>
    </row>
    <row r="1744" spans="1:7">
      <c r="A1744" s="884">
        <v>43496</v>
      </c>
      <c r="B1744" s="240" t="str">
        <f>TiposLancamentos!B44</f>
        <v>Academia</v>
      </c>
      <c r="C1744" s="878" t="s">
        <v>19504</v>
      </c>
      <c r="D1744" s="63"/>
      <c r="E1744" s="231">
        <v>115.6</v>
      </c>
      <c r="F1744" s="899"/>
      <c r="G1744" s="1152" t="s">
        <v>9</v>
      </c>
    </row>
    <row r="1745" spans="1:7" ht="14.25" thickBot="1">
      <c r="A1745" s="1272">
        <v>43496</v>
      </c>
      <c r="B1745" s="1645" t="str">
        <f>TiposLancamentos!B16</f>
        <v>Cristiane</v>
      </c>
      <c r="C1745" s="280" t="s">
        <v>19504</v>
      </c>
      <c r="D1745" s="281"/>
      <c r="E1745" s="1293">
        <v>115.6</v>
      </c>
      <c r="F1745" s="1271"/>
      <c r="G1745" s="1152" t="s">
        <v>9</v>
      </c>
    </row>
    <row r="1746" spans="1:7">
      <c r="A1746" s="1032"/>
      <c r="B1746" s="1230"/>
      <c r="C1746" s="906" t="s">
        <v>19505</v>
      </c>
      <c r="D1746" s="896"/>
      <c r="E1746" s="925"/>
      <c r="F1746" s="898">
        <f>SUM(E1629:E1710)-D1663</f>
        <v>7853.9999999999982</v>
      </c>
      <c r="G1746" s="3"/>
    </row>
    <row r="1747" spans="1:7">
      <c r="A1747" s="884">
        <v>43497</v>
      </c>
      <c r="B1747" s="240" t="str">
        <f>TiposLancamentos!B15</f>
        <v>Cartões de Crédito</v>
      </c>
      <c r="C1747" s="878" t="s">
        <v>15658</v>
      </c>
      <c r="D1747" s="63">
        <v>7854</v>
      </c>
      <c r="E1747" s="231"/>
      <c r="F1747" s="899">
        <f>F1746-F1668</f>
        <v>114.03333333333103</v>
      </c>
      <c r="G1747" s="3"/>
    </row>
    <row r="1748" spans="1:7">
      <c r="A1748" s="1272">
        <v>43497</v>
      </c>
      <c r="B1748" s="1645" t="str">
        <f>TiposLancamentos!B16</f>
        <v>Cristiane</v>
      </c>
      <c r="C1748" s="280" t="s">
        <v>19506</v>
      </c>
      <c r="D1748" s="281"/>
      <c r="E1748" s="1293">
        <v>73.34</v>
      </c>
      <c r="F1748" s="1271"/>
      <c r="G1748" s="1152" t="s">
        <v>9</v>
      </c>
    </row>
    <row r="1749" spans="1:7">
      <c r="A1749" s="1272">
        <v>43497</v>
      </c>
      <c r="B1749" s="1645" t="str">
        <f>TiposLancamentos!B5</f>
        <v>Supermercado</v>
      </c>
      <c r="C1749" s="280" t="s">
        <v>19507</v>
      </c>
      <c r="D1749" s="281"/>
      <c r="E1749" s="1293">
        <v>45.37</v>
      </c>
      <c r="F1749" s="1271"/>
      <c r="G1749" s="1152" t="s">
        <v>9</v>
      </c>
    </row>
    <row r="1750" spans="1:7">
      <c r="A1750" s="884">
        <v>43498</v>
      </c>
      <c r="B1750" s="240" t="str">
        <f>TiposLancamentos!B56</f>
        <v>Farmácia</v>
      </c>
      <c r="C1750" s="878" t="s">
        <v>19508</v>
      </c>
      <c r="D1750" s="63"/>
      <c r="E1750" s="231">
        <v>221.02</v>
      </c>
      <c r="F1750" s="899"/>
      <c r="G1750" s="1152" t="s">
        <v>9</v>
      </c>
    </row>
    <row r="1751" spans="1:7">
      <c r="A1751" s="1272">
        <v>43498</v>
      </c>
      <c r="B1751" s="1645" t="str">
        <f>TiposLancamentos!B5</f>
        <v>Supermercado</v>
      </c>
      <c r="C1751" s="280" t="s">
        <v>6234</v>
      </c>
      <c r="D1751" s="281"/>
      <c r="E1751" s="1293">
        <v>125.56</v>
      </c>
      <c r="F1751" s="1271"/>
      <c r="G1751" s="1152" t="s">
        <v>9</v>
      </c>
    </row>
    <row r="1752" spans="1:7">
      <c r="A1752" s="1272">
        <v>43500</v>
      </c>
      <c r="B1752" s="1645" t="str">
        <f>TiposLancamentos!B5</f>
        <v>Supermercado</v>
      </c>
      <c r="C1752" s="280" t="s">
        <v>6234</v>
      </c>
      <c r="D1752" s="281"/>
      <c r="E1752" s="1293">
        <v>149.35</v>
      </c>
      <c r="F1752" s="1271"/>
      <c r="G1752" s="1152" t="s">
        <v>9</v>
      </c>
    </row>
    <row r="1753" spans="1:7">
      <c r="A1753" s="1272">
        <v>43501</v>
      </c>
      <c r="B1753" s="279" t="str">
        <f>TiposLancamentos!B5</f>
        <v>Supermercado</v>
      </c>
      <c r="C1753" s="280" t="s">
        <v>7046</v>
      </c>
      <c r="D1753" s="281"/>
      <c r="E1753" s="1293">
        <v>63.8</v>
      </c>
      <c r="F1753" s="1271"/>
      <c r="G1753" s="1152" t="s">
        <v>9</v>
      </c>
    </row>
    <row r="1754" spans="1:7">
      <c r="A1754" s="1272">
        <v>43502</v>
      </c>
      <c r="B1754" s="279" t="str">
        <f>TiposLancamentos!B16</f>
        <v>Cristiane</v>
      </c>
      <c r="C1754" s="280" t="s">
        <v>3176</v>
      </c>
      <c r="D1754" s="281"/>
      <c r="E1754" s="1293">
        <v>52</v>
      </c>
      <c r="F1754" s="1271"/>
      <c r="G1754" s="1152" t="s">
        <v>9</v>
      </c>
    </row>
    <row r="1755" spans="1:7">
      <c r="A1755" s="1272">
        <v>43502</v>
      </c>
      <c r="B1755" s="279" t="str">
        <f>TiposLancamentos!B19</f>
        <v>Restaurantes</v>
      </c>
      <c r="C1755" s="280" t="s">
        <v>11101</v>
      </c>
      <c r="D1755" s="281"/>
      <c r="E1755" s="1293">
        <v>82</v>
      </c>
      <c r="F1755" s="1271"/>
      <c r="G1755" s="1152" t="s">
        <v>9</v>
      </c>
    </row>
    <row r="1756" spans="1:7">
      <c r="A1756" s="884">
        <v>43502</v>
      </c>
      <c r="B1756" s="240" t="str">
        <f>TiposLancamentos!B56</f>
        <v>Farmácia</v>
      </c>
      <c r="C1756" s="878" t="s">
        <v>6118</v>
      </c>
      <c r="D1756" s="63"/>
      <c r="E1756" s="231">
        <v>75.72</v>
      </c>
      <c r="F1756" s="899"/>
      <c r="G1756" s="1152" t="s">
        <v>9</v>
      </c>
    </row>
    <row r="1757" spans="1:7">
      <c r="A1757" s="1272">
        <v>43503</v>
      </c>
      <c r="B1757" s="279" t="str">
        <f>TiposLancamentos!B5</f>
        <v>Supermercado</v>
      </c>
      <c r="C1757" s="280" t="s">
        <v>6234</v>
      </c>
      <c r="D1757" s="281"/>
      <c r="E1757" s="1293">
        <v>84.27</v>
      </c>
      <c r="F1757" s="1271"/>
      <c r="G1757" s="1152" t="s">
        <v>9</v>
      </c>
    </row>
    <row r="1758" spans="1:7">
      <c r="A1758" s="1272">
        <v>43503</v>
      </c>
      <c r="B1758" s="279" t="str">
        <f>TiposLancamentos!B16</f>
        <v>Cristiane</v>
      </c>
      <c r="C1758" s="280" t="s">
        <v>19509</v>
      </c>
      <c r="D1758" s="281"/>
      <c r="E1758" s="1293">
        <v>223</v>
      </c>
      <c r="F1758" s="1271"/>
      <c r="G1758" s="1152" t="s">
        <v>9</v>
      </c>
    </row>
    <row r="1759" spans="1:7">
      <c r="A1759" s="1272">
        <v>43503</v>
      </c>
      <c r="B1759" s="279" t="str">
        <f>TiposLancamentos!B5</f>
        <v>Supermercado</v>
      </c>
      <c r="C1759" s="280" t="s">
        <v>19510</v>
      </c>
      <c r="D1759" s="281"/>
      <c r="E1759" s="1293">
        <v>51.88</v>
      </c>
      <c r="F1759" s="1271"/>
      <c r="G1759" s="1152" t="s">
        <v>9</v>
      </c>
    </row>
    <row r="1760" spans="1:7">
      <c r="A1760" s="1272">
        <v>43504</v>
      </c>
      <c r="B1760" s="279" t="str">
        <f>TiposLancamentos!B16</f>
        <v>Cristiane</v>
      </c>
      <c r="C1760" s="280" t="s">
        <v>19511</v>
      </c>
      <c r="D1760" s="281"/>
      <c r="E1760" s="1293">
        <f>F1760/4</f>
        <v>289.35250000000002</v>
      </c>
      <c r="F1760" s="1271">
        <v>1157.4100000000001</v>
      </c>
      <c r="G1760" s="1152" t="s">
        <v>9</v>
      </c>
    </row>
    <row r="1761" spans="1:7">
      <c r="A1761" s="1272">
        <v>43504</v>
      </c>
      <c r="B1761" s="279" t="str">
        <f>TiposLancamentos!B5</f>
        <v>Supermercado</v>
      </c>
      <c r="C1761" s="280" t="s">
        <v>5844</v>
      </c>
      <c r="D1761" s="281"/>
      <c r="E1761" s="1293">
        <v>67.89</v>
      </c>
      <c r="F1761" s="1271"/>
      <c r="G1761" s="1152" t="s">
        <v>9</v>
      </c>
    </row>
    <row r="1762" spans="1:7">
      <c r="A1762" s="884">
        <v>43504</v>
      </c>
      <c r="B1762" s="240" t="str">
        <f>TiposLancamentos!B56</f>
        <v>Farmácia</v>
      </c>
      <c r="C1762" s="878" t="s">
        <v>19512</v>
      </c>
      <c r="D1762" s="63"/>
      <c r="E1762" s="231">
        <v>169.82</v>
      </c>
      <c r="F1762" s="899"/>
      <c r="G1762" s="1152" t="s">
        <v>9</v>
      </c>
    </row>
    <row r="1763" spans="1:7">
      <c r="A1763" s="884">
        <v>43505</v>
      </c>
      <c r="B1763" s="240" t="str">
        <f>TiposLancamentos!B71</f>
        <v>Itens Pessoais</v>
      </c>
      <c r="C1763" s="878" t="s">
        <v>19513</v>
      </c>
      <c r="D1763" s="63"/>
      <c r="E1763" s="231">
        <v>94.78</v>
      </c>
      <c r="F1763" s="899">
        <v>284.3</v>
      </c>
      <c r="G1763" s="1152" t="s">
        <v>9</v>
      </c>
    </row>
    <row r="1764" spans="1:7">
      <c r="A1764" s="884">
        <v>43505</v>
      </c>
      <c r="B1764" s="240" t="str">
        <f>TiposLancamentos!B102</f>
        <v>ESTORNO</v>
      </c>
      <c r="C1764" s="878" t="s">
        <v>19514</v>
      </c>
      <c r="D1764" s="63">
        <v>0.02</v>
      </c>
      <c r="E1764" s="231"/>
      <c r="F1764" s="899"/>
      <c r="G1764" s="1152" t="s">
        <v>9</v>
      </c>
    </row>
    <row r="1765" spans="1:7">
      <c r="A1765" s="884">
        <v>43506</v>
      </c>
      <c r="B1765" s="240" t="str">
        <f>TiposLancamentos!B5</f>
        <v>Supermercado</v>
      </c>
      <c r="C1765" s="878" t="s">
        <v>6234</v>
      </c>
      <c r="D1765" s="63"/>
      <c r="E1765" s="231">
        <v>85.18</v>
      </c>
      <c r="F1765" s="899"/>
      <c r="G1765" s="1152" t="s">
        <v>9</v>
      </c>
    </row>
    <row r="1766" spans="1:7">
      <c r="A1766" s="1272">
        <v>43507</v>
      </c>
      <c r="B1766" s="279" t="str">
        <f>TiposLancamentos!B16</f>
        <v>Cristiane</v>
      </c>
      <c r="C1766" s="280" t="s">
        <v>19515</v>
      </c>
      <c r="D1766" s="281"/>
      <c r="E1766" s="1293">
        <v>38.5</v>
      </c>
      <c r="F1766" s="1271"/>
      <c r="G1766" s="1152" t="s">
        <v>9</v>
      </c>
    </row>
    <row r="1767" spans="1:7">
      <c r="A1767" s="1272">
        <v>43508</v>
      </c>
      <c r="B1767" s="279" t="str">
        <f>TiposLancamentos!B22</f>
        <v>Combustivel</v>
      </c>
      <c r="C1767" s="280" t="s">
        <v>6718</v>
      </c>
      <c r="D1767" s="281"/>
      <c r="E1767" s="1293">
        <v>100</v>
      </c>
      <c r="F1767" s="1271"/>
      <c r="G1767" s="1152" t="s">
        <v>9</v>
      </c>
    </row>
    <row r="1768" spans="1:7">
      <c r="A1768" s="1272">
        <v>43508</v>
      </c>
      <c r="B1768" s="279" t="str">
        <f>TiposLancamentos!B16</f>
        <v>Cristiane</v>
      </c>
      <c r="C1768" s="280" t="s">
        <v>19516</v>
      </c>
      <c r="D1768" s="281"/>
      <c r="E1768" s="1293">
        <v>57.77</v>
      </c>
      <c r="F1768" s="1271"/>
      <c r="G1768" s="1152" t="s">
        <v>9</v>
      </c>
    </row>
    <row r="1769" spans="1:7">
      <c r="A1769" s="1272">
        <v>43509</v>
      </c>
      <c r="B1769" s="279" t="str">
        <f>TiposLancamentos!B16</f>
        <v>Cristiane</v>
      </c>
      <c r="C1769" s="280" t="s">
        <v>16693</v>
      </c>
      <c r="D1769" s="281"/>
      <c r="E1769" s="1293">
        <v>35.299999999999997</v>
      </c>
      <c r="F1769" s="1271"/>
      <c r="G1769" s="1152" t="s">
        <v>9</v>
      </c>
    </row>
    <row r="1770" spans="1:7">
      <c r="A1770" s="1272">
        <v>43510</v>
      </c>
      <c r="B1770" s="279" t="str">
        <f>TiposLancamentos!B5</f>
        <v>Supermercado</v>
      </c>
      <c r="C1770" s="280" t="s">
        <v>19517</v>
      </c>
      <c r="D1770" s="281"/>
      <c r="E1770" s="1293">
        <v>174.14</v>
      </c>
      <c r="F1770" s="1271"/>
      <c r="G1770" s="1152" t="s">
        <v>9</v>
      </c>
    </row>
    <row r="1771" spans="1:7">
      <c r="A1771" s="1272">
        <v>43511</v>
      </c>
      <c r="B1771" s="279" t="str">
        <f>TiposLancamentos!B5</f>
        <v>Supermercado</v>
      </c>
      <c r="C1771" s="280" t="s">
        <v>18036</v>
      </c>
      <c r="D1771" s="281"/>
      <c r="E1771" s="1293">
        <v>47.4</v>
      </c>
      <c r="F1771" s="1271"/>
      <c r="G1771" s="1152" t="s">
        <v>9</v>
      </c>
    </row>
    <row r="1772" spans="1:7">
      <c r="A1772" s="1272">
        <v>43511</v>
      </c>
      <c r="B1772" s="279" t="str">
        <f>TiposLancamentos!B5</f>
        <v>Supermercado</v>
      </c>
      <c r="C1772" s="280" t="s">
        <v>6234</v>
      </c>
      <c r="D1772" s="281"/>
      <c r="E1772" s="1293">
        <v>63.85</v>
      </c>
      <c r="F1772" s="1271"/>
      <c r="G1772" s="1152" t="s">
        <v>9</v>
      </c>
    </row>
    <row r="1773" spans="1:7">
      <c r="A1773" s="1272">
        <v>43511</v>
      </c>
      <c r="B1773" s="279" t="str">
        <f>TiposLancamentos!B5</f>
        <v>Supermercado</v>
      </c>
      <c r="C1773" s="280" t="s">
        <v>317</v>
      </c>
      <c r="D1773" s="281"/>
      <c r="E1773" s="1293">
        <v>39.24</v>
      </c>
      <c r="F1773" s="1271"/>
      <c r="G1773" s="1152" t="s">
        <v>9</v>
      </c>
    </row>
    <row r="1774" spans="1:7">
      <c r="A1774" s="884">
        <v>43516</v>
      </c>
      <c r="B1774" s="240" t="str">
        <f>TiposLancamentos!B57</f>
        <v>Informática</v>
      </c>
      <c r="C1774" s="878" t="s">
        <v>19518</v>
      </c>
      <c r="D1774" s="63"/>
      <c r="E1774" s="231">
        <v>221.42</v>
      </c>
      <c r="F1774" s="899">
        <v>664.27</v>
      </c>
      <c r="G1774" s="1152" t="s">
        <v>9</v>
      </c>
    </row>
    <row r="1775" spans="1:7">
      <c r="A1775" s="934"/>
      <c r="B1775" s="243"/>
      <c r="C1775" s="389" t="s">
        <v>10</v>
      </c>
      <c r="D1775" s="146"/>
      <c r="E1775" s="1190"/>
      <c r="F1775" s="935"/>
      <c r="G1775" s="1094" t="s">
        <v>11</v>
      </c>
    </row>
    <row r="1776" spans="1:7">
      <c r="A1776" s="1272">
        <v>43514</v>
      </c>
      <c r="B1776" s="279" t="str">
        <f>TiposLancamentos!B5</f>
        <v>Supermercado</v>
      </c>
      <c r="C1776" s="280" t="s">
        <v>19519</v>
      </c>
      <c r="D1776" s="281"/>
      <c r="E1776" s="1293">
        <v>203.06</v>
      </c>
      <c r="F1776" s="1271"/>
      <c r="G1776" s="1152" t="s">
        <v>9</v>
      </c>
    </row>
    <row r="1777" spans="1:7">
      <c r="A1777" s="1272">
        <v>43514</v>
      </c>
      <c r="B1777" s="279" t="str">
        <f>TiposLancamentos!B16</f>
        <v>Cristiane</v>
      </c>
      <c r="C1777" s="280" t="s">
        <v>19520</v>
      </c>
      <c r="D1777" s="281"/>
      <c r="E1777" s="1293">
        <v>30.89</v>
      </c>
      <c r="F1777" s="1271"/>
      <c r="G1777" s="1152" t="s">
        <v>9</v>
      </c>
    </row>
    <row r="1778" spans="1:7">
      <c r="A1778" s="884">
        <v>43514</v>
      </c>
      <c r="B1778" s="240" t="str">
        <f>TiposLancamentos!B56</f>
        <v>Farmácia</v>
      </c>
      <c r="C1778" s="878" t="s">
        <v>19521</v>
      </c>
      <c r="D1778" s="63"/>
      <c r="E1778" s="231">
        <v>41.67</v>
      </c>
      <c r="F1778" s="899"/>
      <c r="G1778" s="1152" t="s">
        <v>9</v>
      </c>
    </row>
    <row r="1779" spans="1:7">
      <c r="A1779" s="1272">
        <v>43515</v>
      </c>
      <c r="B1779" s="279" t="str">
        <f>TiposLancamentos!B16</f>
        <v>Cristiane</v>
      </c>
      <c r="C1779" s="280" t="s">
        <v>19522</v>
      </c>
      <c r="D1779" s="281"/>
      <c r="E1779" s="1293">
        <v>49.99</v>
      </c>
      <c r="F1779" s="1271"/>
      <c r="G1779" s="1152" t="s">
        <v>9</v>
      </c>
    </row>
    <row r="1780" spans="1:7">
      <c r="A1780" s="1272">
        <v>43515</v>
      </c>
      <c r="B1780" s="279" t="str">
        <f>TiposLancamentos!B16</f>
        <v>Cristiane</v>
      </c>
      <c r="C1780" s="280" t="s">
        <v>19523</v>
      </c>
      <c r="D1780" s="281"/>
      <c r="E1780" s="1293">
        <v>49.96</v>
      </c>
      <c r="F1780" s="1271"/>
      <c r="G1780" s="1152" t="s">
        <v>9</v>
      </c>
    </row>
    <row r="1781" spans="1:7">
      <c r="A1781" s="884">
        <v>43515</v>
      </c>
      <c r="B1781" s="240" t="str">
        <f>TiposLancamentos!B19</f>
        <v>Restaurantes</v>
      </c>
      <c r="C1781" s="878" t="s">
        <v>19524</v>
      </c>
      <c r="D1781" s="63"/>
      <c r="E1781" s="231">
        <v>166.34</v>
      </c>
      <c r="F1781" s="899"/>
      <c r="G1781" s="1152" t="s">
        <v>9</v>
      </c>
    </row>
    <row r="1782" spans="1:7">
      <c r="A1782" s="884">
        <v>43515</v>
      </c>
      <c r="B1782" s="240" t="str">
        <f>TiposLancamentos!B73</f>
        <v>Cursos</v>
      </c>
      <c r="C1782" s="878" t="s">
        <v>19165</v>
      </c>
      <c r="D1782" s="63"/>
      <c r="E1782" s="231">
        <v>51</v>
      </c>
      <c r="F1782" s="899"/>
      <c r="G1782" s="1152" t="s">
        <v>9</v>
      </c>
    </row>
    <row r="1783" spans="1:7">
      <c r="A1783" s="884">
        <v>43516</v>
      </c>
      <c r="B1783" s="240" t="str">
        <f>TiposLancamentos!B5</f>
        <v>Supermercado</v>
      </c>
      <c r="C1783" s="878" t="s">
        <v>6234</v>
      </c>
      <c r="D1783" s="63"/>
      <c r="E1783" s="231">
        <v>23.52</v>
      </c>
      <c r="F1783" s="899"/>
      <c r="G1783" s="1152" t="s">
        <v>9</v>
      </c>
    </row>
    <row r="1784" spans="1:7">
      <c r="A1784" s="884">
        <v>43517</v>
      </c>
      <c r="B1784" s="240" t="str">
        <f>TiposLancamentos!B45</f>
        <v>Online Services</v>
      </c>
      <c r="C1784" s="878" t="s">
        <v>19027</v>
      </c>
      <c r="D1784" s="63"/>
      <c r="E1784" s="231">
        <v>33</v>
      </c>
      <c r="F1784" s="899"/>
      <c r="G1784" s="1152" t="s">
        <v>9</v>
      </c>
    </row>
    <row r="1785" spans="1:7">
      <c r="A1785" s="1272">
        <v>43517</v>
      </c>
      <c r="B1785" s="279" t="str">
        <f>TiposLancamentos!B5</f>
        <v>Supermercado</v>
      </c>
      <c r="C1785" s="280" t="s">
        <v>6234</v>
      </c>
      <c r="D1785" s="281"/>
      <c r="E1785" s="1293">
        <v>164.2</v>
      </c>
      <c r="F1785" s="1271"/>
      <c r="G1785" s="1152" t="s">
        <v>9</v>
      </c>
    </row>
    <row r="1786" spans="1:7">
      <c r="A1786" s="1272">
        <v>43518</v>
      </c>
      <c r="B1786" s="279" t="str">
        <f>TiposLancamentos!B71</f>
        <v>Itens Pessoais</v>
      </c>
      <c r="C1786" s="280" t="s">
        <v>19525</v>
      </c>
      <c r="D1786" s="281"/>
      <c r="E1786" s="1293">
        <f>F1786/6</f>
        <v>699.84</v>
      </c>
      <c r="F1786" s="1271">
        <v>4199.04</v>
      </c>
      <c r="G1786" s="1152" t="s">
        <v>9</v>
      </c>
    </row>
    <row r="1787" spans="1:7">
      <c r="A1787" s="884">
        <v>43518</v>
      </c>
      <c r="B1787" s="240" t="str">
        <f>TiposLancamentos!B13</f>
        <v>Moradia</v>
      </c>
      <c r="C1787" s="878" t="s">
        <v>19526</v>
      </c>
      <c r="D1787" s="63"/>
      <c r="E1787" s="231">
        <v>398.4</v>
      </c>
      <c r="F1787" s="899">
        <v>3984</v>
      </c>
      <c r="G1787" s="1152" t="s">
        <v>9</v>
      </c>
    </row>
    <row r="1788" spans="1:7">
      <c r="A1788" s="884">
        <v>43518</v>
      </c>
      <c r="B1788" s="240" t="str">
        <f>TiposLancamentos!B71</f>
        <v>Itens Pessoais</v>
      </c>
      <c r="C1788" s="878" t="s">
        <v>19527</v>
      </c>
      <c r="D1788" s="63"/>
      <c r="E1788" s="231">
        <v>50</v>
      </c>
      <c r="F1788" s="899"/>
      <c r="G1788" s="1152" t="s">
        <v>9</v>
      </c>
    </row>
    <row r="1789" spans="1:7">
      <c r="A1789" s="1272">
        <v>43518</v>
      </c>
      <c r="B1789" s="279" t="str">
        <f>TiposLancamentos!B19</f>
        <v>Restaurantes</v>
      </c>
      <c r="C1789" s="280" t="s">
        <v>19528</v>
      </c>
      <c r="D1789" s="281"/>
      <c r="E1789" s="1293">
        <v>38</v>
      </c>
      <c r="F1789" s="1271"/>
      <c r="G1789" s="1152" t="s">
        <v>9</v>
      </c>
    </row>
    <row r="1790" spans="1:7">
      <c r="A1790" s="884">
        <v>43519</v>
      </c>
      <c r="B1790" s="240" t="str">
        <f>TiposLancamentos!B5</f>
        <v>Supermercado</v>
      </c>
      <c r="C1790" s="878" t="s">
        <v>19529</v>
      </c>
      <c r="D1790" s="63"/>
      <c r="E1790" s="231">
        <v>73</v>
      </c>
      <c r="F1790" s="899"/>
      <c r="G1790" s="1152" t="s">
        <v>9</v>
      </c>
    </row>
    <row r="1791" spans="1:7">
      <c r="A1791" s="884">
        <v>43519</v>
      </c>
      <c r="B1791" s="240" t="str">
        <f>B1787</f>
        <v>Moradia</v>
      </c>
      <c r="C1791" s="878" t="s">
        <v>19530</v>
      </c>
      <c r="D1791" s="63"/>
      <c r="E1791" s="231">
        <v>24.99</v>
      </c>
      <c r="F1791" s="899"/>
      <c r="G1791" s="1152" t="s">
        <v>9</v>
      </c>
    </row>
    <row r="1792" spans="1:7">
      <c r="A1792" s="1272">
        <v>43519</v>
      </c>
      <c r="B1792" s="279" t="str">
        <f>TiposLancamentos!B16</f>
        <v>Cristiane</v>
      </c>
      <c r="C1792" s="280" t="s">
        <v>19531</v>
      </c>
      <c r="D1792" s="281"/>
      <c r="E1792" s="1293">
        <f>F1792/2</f>
        <v>121.45</v>
      </c>
      <c r="F1792" s="1271">
        <v>242.9</v>
      </c>
      <c r="G1792" s="1152" t="s">
        <v>9</v>
      </c>
    </row>
    <row r="1793" spans="1:7">
      <c r="A1793" s="884">
        <v>43519</v>
      </c>
      <c r="B1793" s="240" t="str">
        <f>TiposLancamentos!B56</f>
        <v>Farmácia</v>
      </c>
      <c r="C1793" s="878" t="s">
        <v>19532</v>
      </c>
      <c r="D1793" s="63"/>
      <c r="E1793" s="231">
        <v>102.74</v>
      </c>
      <c r="F1793" s="899"/>
      <c r="G1793" s="1152" t="s">
        <v>9</v>
      </c>
    </row>
    <row r="1794" spans="1:7">
      <c r="A1794" s="884">
        <v>43520</v>
      </c>
      <c r="B1794" s="240" t="str">
        <f>TiposLancamentos!B5</f>
        <v>Supermercado</v>
      </c>
      <c r="C1794" s="878" t="s">
        <v>19011</v>
      </c>
      <c r="D1794" s="63"/>
      <c r="E1794" s="231">
        <v>43.66</v>
      </c>
      <c r="F1794" s="899"/>
      <c r="G1794" s="1152" t="s">
        <v>9</v>
      </c>
    </row>
    <row r="1795" spans="1:7">
      <c r="A1795" s="884">
        <v>43521</v>
      </c>
      <c r="B1795" s="240" t="str">
        <f>TiposLancamentos!B5</f>
        <v>Supermercado</v>
      </c>
      <c r="C1795" s="878" t="s">
        <v>6709</v>
      </c>
      <c r="D1795" s="63"/>
      <c r="E1795" s="231">
        <v>64.41</v>
      </c>
      <c r="F1795" s="899"/>
      <c r="G1795" s="1152" t="s">
        <v>9</v>
      </c>
    </row>
    <row r="1796" spans="1:7">
      <c r="A1796" s="884">
        <v>43522</v>
      </c>
      <c r="B1796" s="240" t="str">
        <f>TiposLancamentos!B70</f>
        <v>Vestuário</v>
      </c>
      <c r="C1796" s="878" t="s">
        <v>19533</v>
      </c>
      <c r="D1796" s="63"/>
      <c r="E1796" s="231">
        <f>F1796/3</f>
        <v>273</v>
      </c>
      <c r="F1796" s="899">
        <v>819</v>
      </c>
      <c r="G1796" s="1152" t="s">
        <v>9</v>
      </c>
    </row>
    <row r="1797" spans="1:7">
      <c r="A1797" s="1272">
        <v>43523</v>
      </c>
      <c r="B1797" s="279" t="str">
        <f>TiposLancamentos!B16</f>
        <v>Cristiane</v>
      </c>
      <c r="C1797" s="280" t="s">
        <v>19534</v>
      </c>
      <c r="D1797" s="281"/>
      <c r="E1797" s="1293">
        <v>143.30000000000001</v>
      </c>
      <c r="F1797" s="1271"/>
      <c r="G1797" s="1152" t="s">
        <v>9</v>
      </c>
    </row>
    <row r="1798" spans="1:7">
      <c r="A1798" s="1272">
        <v>43523</v>
      </c>
      <c r="B1798" s="279" t="str">
        <f>TiposLancamentos!B5</f>
        <v>Supermercado</v>
      </c>
      <c r="C1798" s="280" t="s">
        <v>19392</v>
      </c>
      <c r="D1798" s="281"/>
      <c r="E1798" s="1293">
        <v>49.8</v>
      </c>
      <c r="F1798" s="1271"/>
      <c r="G1798" s="1152" t="s">
        <v>9</v>
      </c>
    </row>
    <row r="1799" spans="1:7">
      <c r="A1799" s="1272">
        <v>43523</v>
      </c>
      <c r="B1799" s="279" t="str">
        <f>TiposLancamentos!B16</f>
        <v>Cristiane</v>
      </c>
      <c r="C1799" s="280" t="s">
        <v>18390</v>
      </c>
      <c r="D1799" s="281"/>
      <c r="E1799" s="1293">
        <v>3.77</v>
      </c>
      <c r="F1799" s="1271" t="s">
        <v>10768</v>
      </c>
      <c r="G1799" s="1094" t="s">
        <v>11</v>
      </c>
    </row>
    <row r="1800" spans="1:7">
      <c r="A1800" s="1272">
        <v>43523</v>
      </c>
      <c r="B1800" s="279" t="str">
        <f>TiposLancamentos!B4</f>
        <v>Taxas Bancarias</v>
      </c>
      <c r="C1800" s="280" t="s">
        <v>19535</v>
      </c>
      <c r="D1800" s="281"/>
      <c r="E1800" s="1293">
        <v>0.24</v>
      </c>
      <c r="F1800" s="1271"/>
      <c r="G1800" s="1094" t="s">
        <v>11</v>
      </c>
    </row>
    <row r="1801" spans="1:7">
      <c r="A1801" s="884">
        <v>43524</v>
      </c>
      <c r="B1801" s="240" t="str">
        <f>TiposLancamentos!B71</f>
        <v>Itens Pessoais</v>
      </c>
      <c r="C1801" s="878" t="s">
        <v>19536</v>
      </c>
      <c r="D1801" s="63"/>
      <c r="E1801" s="231">
        <v>287.5</v>
      </c>
      <c r="F1801" s="899">
        <v>1150</v>
      </c>
      <c r="G1801" s="1152" t="s">
        <v>9</v>
      </c>
    </row>
    <row r="1802" spans="1:7">
      <c r="A1802" s="884">
        <v>43524</v>
      </c>
      <c r="B1802" s="240" t="str">
        <f>TiposLancamentos!B56</f>
        <v>Farmácia</v>
      </c>
      <c r="C1802" s="878" t="s">
        <v>19537</v>
      </c>
      <c r="D1802" s="63"/>
      <c r="E1802" s="231">
        <v>185.74</v>
      </c>
      <c r="F1802" s="899"/>
      <c r="G1802" s="1152" t="s">
        <v>9</v>
      </c>
    </row>
    <row r="1803" spans="1:7">
      <c r="A1803" s="884">
        <v>43524</v>
      </c>
      <c r="B1803" s="240" t="str">
        <f>TiposLancamentos!B19</f>
        <v>Restaurantes</v>
      </c>
      <c r="C1803" s="878" t="s">
        <v>8605</v>
      </c>
      <c r="D1803" s="63"/>
      <c r="E1803" s="231">
        <v>200.57</v>
      </c>
      <c r="F1803" s="899"/>
      <c r="G1803" s="1152" t="s">
        <v>9</v>
      </c>
    </row>
    <row r="1804" spans="1:7">
      <c r="A1804" s="884">
        <v>43524</v>
      </c>
      <c r="B1804" s="240" t="str">
        <f>TiposLancamentos!B72</f>
        <v>Presentes</v>
      </c>
      <c r="C1804" s="878" t="s">
        <v>19538</v>
      </c>
      <c r="D1804" s="63"/>
      <c r="E1804" s="231">
        <v>127</v>
      </c>
      <c r="F1804" s="899"/>
      <c r="G1804" s="1152" t="s">
        <v>9</v>
      </c>
    </row>
    <row r="1805" spans="1:7">
      <c r="A1805" s="1272">
        <v>43524</v>
      </c>
      <c r="B1805" s="279" t="str">
        <f>TiposLancamentos!B16</f>
        <v>Cristiane</v>
      </c>
      <c r="C1805" s="280" t="s">
        <v>19539</v>
      </c>
      <c r="D1805" s="281"/>
      <c r="E1805" s="1293">
        <v>219</v>
      </c>
      <c r="F1805" s="1271"/>
      <c r="G1805" s="1152" t="s">
        <v>9</v>
      </c>
    </row>
    <row r="1806" spans="1:7">
      <c r="A1806" s="884">
        <v>43524</v>
      </c>
      <c r="B1806" s="240" t="str">
        <f>TiposLancamentos!B17</f>
        <v>GATO</v>
      </c>
      <c r="C1806" s="878" t="s">
        <v>19540</v>
      </c>
      <c r="D1806" s="63"/>
      <c r="E1806" s="231">
        <v>284.60000000000002</v>
      </c>
      <c r="F1806" s="899"/>
      <c r="G1806" s="1152" t="s">
        <v>9</v>
      </c>
    </row>
    <row r="1807" spans="1:7">
      <c r="A1807" s="884">
        <v>43524</v>
      </c>
      <c r="B1807" s="240" t="str">
        <f>TiposLancamentos!B19</f>
        <v>Restaurantes</v>
      </c>
      <c r="C1807" s="878" t="s">
        <v>19541</v>
      </c>
      <c r="D1807" s="63"/>
      <c r="E1807" s="231">
        <v>197.76</v>
      </c>
      <c r="F1807" s="899"/>
      <c r="G1807" s="1152" t="s">
        <v>9</v>
      </c>
    </row>
    <row r="1808" spans="1:7">
      <c r="A1808" s="884">
        <v>43524</v>
      </c>
      <c r="B1808" s="240" t="str">
        <f>TiposLancamentos!B45</f>
        <v>Online Services</v>
      </c>
      <c r="C1808" s="878" t="s">
        <v>1894</v>
      </c>
      <c r="D1808" s="63"/>
      <c r="E1808" s="231">
        <v>27.9</v>
      </c>
      <c r="F1808" s="899"/>
      <c r="G1808" s="1152" t="s">
        <v>9</v>
      </c>
    </row>
    <row r="1809" spans="1:7">
      <c r="A1809" s="884">
        <v>43524</v>
      </c>
      <c r="B1809" s="240" t="str">
        <f>TiposLancamentos!B45</f>
        <v>Online Services</v>
      </c>
      <c r="C1809" s="878" t="s">
        <v>1895</v>
      </c>
      <c r="D1809" s="63"/>
      <c r="E1809" s="231">
        <v>26.9</v>
      </c>
      <c r="F1809" s="899"/>
      <c r="G1809" s="1152" t="s">
        <v>9</v>
      </c>
    </row>
    <row r="1810" spans="1:7">
      <c r="A1810" s="884">
        <v>43524</v>
      </c>
      <c r="B1810" s="240" t="str">
        <f>TiposLancamentos!B44</f>
        <v>Academia</v>
      </c>
      <c r="C1810" s="878" t="s">
        <v>19542</v>
      </c>
      <c r="D1810" s="63"/>
      <c r="E1810" s="231">
        <v>115.6</v>
      </c>
      <c r="F1810" s="899"/>
      <c r="G1810" s="1152" t="s">
        <v>9</v>
      </c>
    </row>
    <row r="1811" spans="1:7" ht="14.25" thickBot="1">
      <c r="A1811" s="1272">
        <v>43524</v>
      </c>
      <c r="B1811" s="1645" t="str">
        <f>TiposLancamentos!B16</f>
        <v>Cristiane</v>
      </c>
      <c r="C1811" s="280" t="s">
        <v>19542</v>
      </c>
      <c r="D1811" s="281"/>
      <c r="E1811" s="1293">
        <v>115.6</v>
      </c>
      <c r="F1811" s="1271"/>
      <c r="G1811" s="1152" t="s">
        <v>9</v>
      </c>
    </row>
    <row r="1812" spans="1:7">
      <c r="A1812" s="1032"/>
      <c r="B1812" s="1230"/>
      <c r="C1812" s="906" t="s">
        <v>19543</v>
      </c>
      <c r="D1812" s="896"/>
      <c r="E1812" s="925"/>
      <c r="F1812" s="898">
        <f>SUM(E1712:E1774)-D1764</f>
        <v>6167.6625000000004</v>
      </c>
      <c r="G1812" s="3"/>
    </row>
    <row r="1813" spans="1:7">
      <c r="A1813" s="884">
        <v>43525</v>
      </c>
      <c r="B1813" s="240" t="str">
        <f>TiposLancamentos!B19</f>
        <v>Restaurantes</v>
      </c>
      <c r="C1813" s="878" t="s">
        <v>7741</v>
      </c>
      <c r="D1813" s="63"/>
      <c r="E1813" s="231">
        <v>29.6</v>
      </c>
      <c r="F1813" s="899">
        <f>F1812-F1746</f>
        <v>-1686.3374999999978</v>
      </c>
      <c r="G1813" s="1152" t="s">
        <v>9</v>
      </c>
    </row>
    <row r="1814" spans="1:7">
      <c r="A1814" s="884">
        <v>43525</v>
      </c>
      <c r="B1814" s="240" t="str">
        <f>TiposLancamentos!B15</f>
        <v>Cartões de Crédito</v>
      </c>
      <c r="C1814" s="878" t="s">
        <v>10915</v>
      </c>
      <c r="D1814" s="63">
        <v>6167.66</v>
      </c>
      <c r="E1814" s="231"/>
      <c r="F1814" s="899"/>
      <c r="G1814" s="1152" t="s">
        <v>9</v>
      </c>
    </row>
    <row r="1815" spans="1:7">
      <c r="A1815" s="884">
        <v>43525</v>
      </c>
      <c r="B1815" s="240" t="str">
        <f>TiposLancamentos!B5</f>
        <v>Supermercado</v>
      </c>
      <c r="C1815" s="878" t="s">
        <v>19544</v>
      </c>
      <c r="D1815" s="63"/>
      <c r="E1815" s="231">
        <v>91.41</v>
      </c>
      <c r="F1815" s="899"/>
      <c r="G1815" s="1152" t="s">
        <v>9</v>
      </c>
    </row>
    <row r="1816" spans="1:7">
      <c r="A1816" s="1272">
        <v>43526</v>
      </c>
      <c r="B1816" s="1645" t="str">
        <f>TiposLancamentos!B16</f>
        <v>Cristiane</v>
      </c>
      <c r="C1816" s="280" t="s">
        <v>19545</v>
      </c>
      <c r="D1816" s="281"/>
      <c r="E1816" s="1293">
        <v>49.75</v>
      </c>
      <c r="F1816" s="1271"/>
      <c r="G1816" s="1152" t="s">
        <v>9</v>
      </c>
    </row>
    <row r="1817" spans="1:7">
      <c r="A1817" s="884">
        <v>43526</v>
      </c>
      <c r="B1817" s="240" t="str">
        <f>TiposLancamentos!B16</f>
        <v>Cristiane</v>
      </c>
      <c r="C1817" s="878" t="s">
        <v>19545</v>
      </c>
      <c r="D1817" s="63"/>
      <c r="E1817" s="231">
        <v>28.49</v>
      </c>
      <c r="F1817" s="899"/>
      <c r="G1817" s="1152" t="s">
        <v>9</v>
      </c>
    </row>
    <row r="1818" spans="1:7">
      <c r="A1818" s="884">
        <v>43527</v>
      </c>
      <c r="B1818" s="240" t="str">
        <f>B1807</f>
        <v>Restaurantes</v>
      </c>
      <c r="C1818" s="878" t="s">
        <v>19546</v>
      </c>
      <c r="D1818" s="63"/>
      <c r="E1818" s="231">
        <v>55</v>
      </c>
      <c r="F1818" s="899"/>
      <c r="G1818" s="1152" t="s">
        <v>9</v>
      </c>
    </row>
    <row r="1819" spans="1:7">
      <c r="A1819" s="884">
        <v>43528</v>
      </c>
      <c r="B1819" s="240" t="str">
        <f>TiposLancamentos!B16</f>
        <v>Cristiane</v>
      </c>
      <c r="C1819" s="878" t="s">
        <v>19547</v>
      </c>
      <c r="D1819" s="63"/>
      <c r="E1819" s="231">
        <v>141.80000000000001</v>
      </c>
      <c r="F1819" s="899"/>
      <c r="G1819" s="1152" t="s">
        <v>9</v>
      </c>
    </row>
    <row r="1820" spans="1:7">
      <c r="A1820" s="884">
        <v>43530</v>
      </c>
      <c r="B1820" s="240" t="str">
        <f>TiposLancamentos!B16</f>
        <v>Cristiane</v>
      </c>
      <c r="C1820" s="878" t="s">
        <v>19548</v>
      </c>
      <c r="D1820" s="63"/>
      <c r="E1820" s="231">
        <v>99.9</v>
      </c>
      <c r="F1820" s="899"/>
      <c r="G1820" s="1152" t="s">
        <v>9</v>
      </c>
    </row>
    <row r="1821" spans="1:7">
      <c r="A1821" s="884">
        <v>43530</v>
      </c>
      <c r="B1821" s="240" t="str">
        <f>TiposLancamentos!B72</f>
        <v>Presentes</v>
      </c>
      <c r="C1821" s="878" t="s">
        <v>11072</v>
      </c>
      <c r="D1821" s="63"/>
      <c r="E1821" s="231">
        <v>189.98</v>
      </c>
      <c r="F1821" s="899"/>
      <c r="G1821" s="1152" t="s">
        <v>9</v>
      </c>
    </row>
    <row r="1822" spans="1:7">
      <c r="A1822" s="884">
        <v>43532</v>
      </c>
      <c r="B1822" s="240" t="str">
        <f>TiposLancamentos!B16</f>
        <v>Cristiane</v>
      </c>
      <c r="C1822" s="878" t="s">
        <v>19549</v>
      </c>
      <c r="D1822" s="63"/>
      <c r="E1822" s="231">
        <v>52.99</v>
      </c>
      <c r="F1822" s="899"/>
      <c r="G1822" s="1152" t="s">
        <v>9</v>
      </c>
    </row>
    <row r="1823" spans="1:7">
      <c r="A1823" s="884">
        <v>43532</v>
      </c>
      <c r="B1823" s="240" t="str">
        <f>TiposLancamentos!B16</f>
        <v>Cristiane</v>
      </c>
      <c r="C1823" s="878" t="s">
        <v>19550</v>
      </c>
      <c r="D1823" s="63"/>
      <c r="E1823" s="231">
        <v>39.99</v>
      </c>
      <c r="F1823" s="899"/>
      <c r="G1823" s="1152" t="s">
        <v>9</v>
      </c>
    </row>
    <row r="1824" spans="1:7">
      <c r="A1824" s="1272">
        <v>43532</v>
      </c>
      <c r="B1824" s="279" t="str">
        <f>TiposLancamentos!B16</f>
        <v>Cristiane</v>
      </c>
      <c r="C1824" s="280" t="s">
        <v>19551</v>
      </c>
      <c r="D1824" s="281"/>
      <c r="E1824" s="1293">
        <f>F1824/4</f>
        <v>289.35250000000002</v>
      </c>
      <c r="F1824" s="1271">
        <v>1157.4100000000001</v>
      </c>
      <c r="G1824" s="1152" t="s">
        <v>9</v>
      </c>
    </row>
    <row r="1825" spans="1:7">
      <c r="A1825" s="884">
        <v>43533</v>
      </c>
      <c r="B1825" s="240" t="str">
        <f>TiposLancamentos!B71</f>
        <v>Itens Pessoais</v>
      </c>
      <c r="C1825" s="878" t="s">
        <v>19552</v>
      </c>
      <c r="D1825" s="63"/>
      <c r="E1825" s="231">
        <v>94.76</v>
      </c>
      <c r="F1825" s="899">
        <v>284.3</v>
      </c>
      <c r="G1825" s="1152" t="s">
        <v>9</v>
      </c>
    </row>
    <row r="1826" spans="1:7">
      <c r="A1826" s="884">
        <v>43533</v>
      </c>
      <c r="B1826" s="240" t="str">
        <f>TiposLancamentos!B16</f>
        <v>Cristiane</v>
      </c>
      <c r="C1826" s="878" t="s">
        <v>19553</v>
      </c>
      <c r="D1826" s="63"/>
      <c r="E1826" s="231">
        <v>7.4</v>
      </c>
      <c r="F1826" s="899"/>
      <c r="G1826" s="1152" t="s">
        <v>9</v>
      </c>
    </row>
    <row r="1827" spans="1:7">
      <c r="A1827" s="884">
        <v>43533</v>
      </c>
      <c r="B1827" s="240" t="str">
        <f>TiposLancamentos!B19</f>
        <v>Restaurantes</v>
      </c>
      <c r="C1827" s="878" t="s">
        <v>19554</v>
      </c>
      <c r="D1827" s="63"/>
      <c r="E1827" s="231">
        <v>50</v>
      </c>
      <c r="F1827" s="899"/>
      <c r="G1827" s="1152" t="s">
        <v>9</v>
      </c>
    </row>
    <row r="1828" spans="1:7">
      <c r="A1828" s="884">
        <v>43533</v>
      </c>
      <c r="B1828" s="240" t="str">
        <f>TiposLancamentos!B19</f>
        <v>Restaurantes</v>
      </c>
      <c r="C1828" s="878" t="s">
        <v>19554</v>
      </c>
      <c r="D1828" s="63"/>
      <c r="E1828" s="231">
        <v>30</v>
      </c>
      <c r="F1828" s="899"/>
      <c r="G1828" s="1152" t="s">
        <v>9</v>
      </c>
    </row>
    <row r="1829" spans="1:7">
      <c r="A1829" s="884">
        <v>43534</v>
      </c>
      <c r="B1829" s="240" t="str">
        <f>TiposLancamentos!B26</f>
        <v>LIVROS</v>
      </c>
      <c r="C1829" s="878" t="s">
        <v>19555</v>
      </c>
      <c r="D1829" s="63"/>
      <c r="E1829" s="231">
        <v>275</v>
      </c>
      <c r="F1829" s="899"/>
      <c r="G1829" s="1152" t="s">
        <v>9</v>
      </c>
    </row>
    <row r="1830" spans="1:7">
      <c r="A1830" s="884">
        <v>43535</v>
      </c>
      <c r="B1830" s="240" t="str">
        <f>TiposLancamentos!B22</f>
        <v>Combustivel</v>
      </c>
      <c r="C1830" s="878" t="s">
        <v>19556</v>
      </c>
      <c r="D1830" s="63"/>
      <c r="E1830" s="231">
        <v>195</v>
      </c>
      <c r="F1830" s="899"/>
      <c r="G1830" s="1152" t="s">
        <v>9</v>
      </c>
    </row>
    <row r="1831" spans="1:7">
      <c r="A1831" s="884">
        <v>43536</v>
      </c>
      <c r="B1831" s="240" t="str">
        <f>TiposLancamentos!B5</f>
        <v>Supermercado</v>
      </c>
      <c r="C1831" s="878" t="s">
        <v>19557</v>
      </c>
      <c r="D1831" s="63"/>
      <c r="E1831" s="231">
        <v>11.98</v>
      </c>
      <c r="F1831" s="899"/>
      <c r="G1831" s="1152" t="s">
        <v>9</v>
      </c>
    </row>
    <row r="1832" spans="1:7">
      <c r="A1832" s="884">
        <v>43536</v>
      </c>
      <c r="B1832" s="240" t="str">
        <f>TiposLancamentos!B22</f>
        <v>Combustivel</v>
      </c>
      <c r="C1832" s="878" t="s">
        <v>19556</v>
      </c>
      <c r="D1832" s="63"/>
      <c r="E1832" s="231">
        <v>97.02</v>
      </c>
      <c r="F1832" s="899"/>
      <c r="G1832" s="1152" t="s">
        <v>9</v>
      </c>
    </row>
    <row r="1833" spans="1:7">
      <c r="A1833" s="884">
        <v>43537</v>
      </c>
      <c r="B1833" s="240" t="str">
        <f>TiposLancamentos!B22</f>
        <v>Combustivel</v>
      </c>
      <c r="C1833" s="878" t="s">
        <v>6234</v>
      </c>
      <c r="D1833" s="63"/>
      <c r="E1833" s="231">
        <v>202.11</v>
      </c>
      <c r="F1833" s="899"/>
      <c r="G1833" s="1152" t="s">
        <v>9</v>
      </c>
    </row>
    <row r="1834" spans="1:7">
      <c r="A1834" s="884">
        <v>43537</v>
      </c>
      <c r="B1834" s="240" t="str">
        <f>TiposLancamentos!B56</f>
        <v>Farmácia</v>
      </c>
      <c r="C1834" s="878" t="s">
        <v>19558</v>
      </c>
      <c r="D1834" s="63"/>
      <c r="E1834" s="231">
        <v>110.49</v>
      </c>
      <c r="F1834" s="899"/>
      <c r="G1834" s="1152" t="s">
        <v>9</v>
      </c>
    </row>
    <row r="1835" spans="1:7">
      <c r="A1835" s="884">
        <v>43538</v>
      </c>
      <c r="B1835" s="240" t="str">
        <f>TiposLancamentos!B5</f>
        <v>Supermercado</v>
      </c>
      <c r="C1835" s="878" t="s">
        <v>5844</v>
      </c>
      <c r="D1835" s="63"/>
      <c r="E1835" s="231">
        <v>50.44</v>
      </c>
      <c r="F1835" s="899"/>
      <c r="G1835" s="1152" t="s">
        <v>9</v>
      </c>
    </row>
    <row r="1836" spans="1:7">
      <c r="A1836" s="884">
        <v>43538</v>
      </c>
      <c r="B1836" s="240" t="str">
        <f>TiposLancamentos!B16</f>
        <v>Cristiane</v>
      </c>
      <c r="C1836" s="878" t="s">
        <v>19559</v>
      </c>
      <c r="D1836" s="63"/>
      <c r="E1836" s="231">
        <v>329</v>
      </c>
      <c r="F1836" s="899"/>
      <c r="G1836" s="1152" t="s">
        <v>9</v>
      </c>
    </row>
    <row r="1837" spans="1:7">
      <c r="A1837" s="884">
        <v>43538</v>
      </c>
      <c r="B1837" s="240" t="str">
        <f>TiposLancamentos!B16</f>
        <v>Cristiane</v>
      </c>
      <c r="C1837" s="878" t="s">
        <v>19560</v>
      </c>
      <c r="D1837" s="63"/>
      <c r="E1837" s="231">
        <v>59.9</v>
      </c>
      <c r="F1837" s="899"/>
      <c r="G1837" s="1152" t="s">
        <v>9</v>
      </c>
    </row>
    <row r="1838" spans="1:7">
      <c r="A1838" s="884">
        <v>43538</v>
      </c>
      <c r="B1838" s="240" t="str">
        <f>TiposLancamentos!B71</f>
        <v>Itens Pessoais</v>
      </c>
      <c r="C1838" s="878" t="s">
        <v>19561</v>
      </c>
      <c r="D1838" s="63"/>
      <c r="E1838" s="231">
        <v>114.9</v>
      </c>
      <c r="F1838" s="899"/>
      <c r="G1838" s="1152" t="s">
        <v>9</v>
      </c>
    </row>
    <row r="1839" spans="1:7">
      <c r="A1839" s="1272">
        <v>43538</v>
      </c>
      <c r="B1839" s="279" t="str">
        <f>TiposLancamentos!B16</f>
        <v>Cristiane</v>
      </c>
      <c r="C1839" s="280" t="s">
        <v>19562</v>
      </c>
      <c r="D1839" s="281"/>
      <c r="E1839" s="1293">
        <v>135</v>
      </c>
      <c r="F1839" s="1271"/>
      <c r="G1839" s="1152" t="s">
        <v>9</v>
      </c>
    </row>
    <row r="1840" spans="1:7">
      <c r="A1840" s="884">
        <v>43540</v>
      </c>
      <c r="B1840" s="240" t="str">
        <f>TiposLancamentos!B24</f>
        <v>Estacionamentos</v>
      </c>
      <c r="C1840" s="878" t="s">
        <v>6193</v>
      </c>
      <c r="D1840" s="63"/>
      <c r="E1840" s="231">
        <v>15</v>
      </c>
      <c r="F1840" s="899"/>
      <c r="G1840" s="1152" t="s">
        <v>9</v>
      </c>
    </row>
    <row r="1841" spans="1:7">
      <c r="A1841" s="884">
        <v>43541</v>
      </c>
      <c r="B1841" s="240" t="str">
        <f>TiposLancamentos!B5</f>
        <v>Supermercado</v>
      </c>
      <c r="C1841" s="878" t="s">
        <v>6234</v>
      </c>
      <c r="D1841" s="63"/>
      <c r="E1841" s="231">
        <v>139.79</v>
      </c>
      <c r="F1841" s="899"/>
      <c r="G1841" s="1152" t="s">
        <v>9</v>
      </c>
    </row>
    <row r="1842" spans="1:7">
      <c r="A1842" s="884">
        <v>43542</v>
      </c>
      <c r="B1842" s="240" t="str">
        <f>TiposLancamentos!B30</f>
        <v>Cinema</v>
      </c>
      <c r="C1842" s="878" t="s">
        <v>19563</v>
      </c>
      <c r="D1842" s="63"/>
      <c r="E1842" s="231">
        <v>56.82</v>
      </c>
      <c r="F1842" s="899"/>
      <c r="G1842" s="1152" t="s">
        <v>9</v>
      </c>
    </row>
    <row r="1843" spans="1:7">
      <c r="A1843" s="884">
        <v>43544</v>
      </c>
      <c r="B1843" s="240" t="str">
        <f>TiposLancamentos!B57</f>
        <v>Informática</v>
      </c>
      <c r="C1843" s="878" t="s">
        <v>19564</v>
      </c>
      <c r="D1843" s="63"/>
      <c r="E1843" s="231">
        <f>F1843/3</f>
        <v>221.42333333333332</v>
      </c>
      <c r="F1843" s="899">
        <v>664.27</v>
      </c>
      <c r="G1843" s="1152" t="s">
        <v>9</v>
      </c>
    </row>
    <row r="1844" spans="1:7">
      <c r="A1844" s="934"/>
      <c r="B1844" s="243"/>
      <c r="C1844" s="389" t="s">
        <v>10</v>
      </c>
      <c r="D1844" s="146"/>
      <c r="E1844" s="1190"/>
      <c r="F1844" s="935"/>
      <c r="G1844" s="1094" t="s">
        <v>11</v>
      </c>
    </row>
    <row r="1845" spans="1:7">
      <c r="A1845" s="1272">
        <v>43543</v>
      </c>
      <c r="B1845" s="279" t="str">
        <f>TiposLancamentos!B5</f>
        <v>Supermercado</v>
      </c>
      <c r="C1845" s="280" t="s">
        <v>6234</v>
      </c>
      <c r="D1845" s="281"/>
      <c r="E1845" s="1293">
        <v>263.45999999999998</v>
      </c>
      <c r="F1845" s="1271"/>
      <c r="G1845" s="1152" t="s">
        <v>9</v>
      </c>
    </row>
    <row r="1846" spans="1:7">
      <c r="A1846" s="1272">
        <v>43543</v>
      </c>
      <c r="B1846" s="279" t="str">
        <f>TiposLancamentos!B16</f>
        <v>Cristiane</v>
      </c>
      <c r="C1846" s="280" t="s">
        <v>6957</v>
      </c>
      <c r="D1846" s="281"/>
      <c r="E1846" s="1293">
        <v>61.4</v>
      </c>
      <c r="F1846" s="1271"/>
      <c r="G1846" s="1152" t="s">
        <v>9</v>
      </c>
    </row>
    <row r="1847" spans="1:7">
      <c r="A1847" s="1272">
        <v>43543</v>
      </c>
      <c r="B1847" s="279" t="str">
        <f>TiposLancamentos!B5</f>
        <v>Supermercado</v>
      </c>
      <c r="C1847" s="280" t="s">
        <v>7907</v>
      </c>
      <c r="D1847" s="281"/>
      <c r="E1847" s="1293">
        <v>46.07</v>
      </c>
      <c r="F1847" s="1271"/>
      <c r="G1847" s="1152" t="s">
        <v>9</v>
      </c>
    </row>
    <row r="1848" spans="1:7">
      <c r="A1848" s="1272">
        <v>43543</v>
      </c>
      <c r="B1848" s="279" t="str">
        <f>TiposLancamentos!B13</f>
        <v>Moradia</v>
      </c>
      <c r="C1848" s="280" t="s">
        <v>19565</v>
      </c>
      <c r="D1848" s="281"/>
      <c r="E1848" s="1293">
        <v>42.9</v>
      </c>
      <c r="F1848" s="1271"/>
      <c r="G1848" s="1152" t="s">
        <v>9</v>
      </c>
    </row>
    <row r="1849" spans="1:7">
      <c r="A1849" s="1272">
        <v>43543</v>
      </c>
      <c r="B1849" s="279" t="str">
        <f>TiposLancamentos!B16</f>
        <v>Cristiane</v>
      </c>
      <c r="C1849" s="280" t="s">
        <v>15539</v>
      </c>
      <c r="D1849" s="281"/>
      <c r="E1849" s="1293">
        <v>7.06</v>
      </c>
      <c r="F1849" s="1271"/>
      <c r="G1849" s="1152" t="s">
        <v>9</v>
      </c>
    </row>
    <row r="1850" spans="1:7">
      <c r="A1850" s="884">
        <v>43543</v>
      </c>
      <c r="B1850" s="240" t="str">
        <f>TiposLancamentos!B18</f>
        <v>Alimentacao</v>
      </c>
      <c r="C1850" s="878" t="s">
        <v>19566</v>
      </c>
      <c r="D1850" s="63"/>
      <c r="E1850" s="231">
        <v>20</v>
      </c>
      <c r="F1850" s="899"/>
      <c r="G1850" s="1152" t="s">
        <v>9</v>
      </c>
    </row>
    <row r="1851" spans="1:7">
      <c r="A1851" s="884">
        <v>43545</v>
      </c>
      <c r="B1851" s="240" t="str">
        <f>TiposLancamentos!B73</f>
        <v>Cursos</v>
      </c>
      <c r="C1851" s="878" t="s">
        <v>19244</v>
      </c>
      <c r="D1851" s="63"/>
      <c r="E1851" s="231">
        <v>51</v>
      </c>
      <c r="F1851" s="899"/>
      <c r="G1851" s="1152" t="s">
        <v>9</v>
      </c>
    </row>
    <row r="1852" spans="1:7">
      <c r="A1852" s="884">
        <v>43545</v>
      </c>
      <c r="B1852" s="240" t="str">
        <f>TiposLancamentos!B45</f>
        <v>Online Services</v>
      </c>
      <c r="C1852" s="878" t="s">
        <v>19027</v>
      </c>
      <c r="D1852" s="63"/>
      <c r="E1852" s="231">
        <v>33</v>
      </c>
      <c r="F1852" s="899"/>
      <c r="G1852" s="1152" t="s">
        <v>9</v>
      </c>
    </row>
    <row r="1853" spans="1:7">
      <c r="A1853" s="1272">
        <v>43545</v>
      </c>
      <c r="B1853" s="279" t="str">
        <f>TiposLancamentos!B19</f>
        <v>Restaurantes</v>
      </c>
      <c r="C1853" s="280" t="s">
        <v>15315</v>
      </c>
      <c r="D1853" s="281"/>
      <c r="E1853" s="1293">
        <v>46</v>
      </c>
      <c r="F1853" s="1271"/>
      <c r="G1853" s="1152" t="s">
        <v>9</v>
      </c>
    </row>
    <row r="1854" spans="1:7">
      <c r="A1854" s="1272">
        <v>43546</v>
      </c>
      <c r="B1854" s="279" t="str">
        <f>TiposLancamentos!B71</f>
        <v>Itens Pessoais</v>
      </c>
      <c r="C1854" s="280" t="s">
        <v>19567</v>
      </c>
      <c r="D1854" s="281"/>
      <c r="E1854" s="1293">
        <f>F1854/6</f>
        <v>699.84</v>
      </c>
      <c r="F1854" s="1271">
        <v>4199.04</v>
      </c>
      <c r="G1854" s="1152" t="s">
        <v>9</v>
      </c>
    </row>
    <row r="1855" spans="1:7">
      <c r="A1855" s="884">
        <v>43546</v>
      </c>
      <c r="B1855" s="240" t="str">
        <f>TiposLancamentos!B13</f>
        <v>Moradia</v>
      </c>
      <c r="C1855" s="878" t="s">
        <v>19568</v>
      </c>
      <c r="D1855" s="63"/>
      <c r="E1855" s="231">
        <v>398.4</v>
      </c>
      <c r="F1855" s="899">
        <v>3984</v>
      </c>
      <c r="G1855" s="1152" t="s">
        <v>9</v>
      </c>
    </row>
    <row r="1856" spans="1:7">
      <c r="A1856" s="884">
        <v>43546</v>
      </c>
      <c r="B1856" s="240" t="str">
        <f>TiposLancamentos!B56</f>
        <v>Farmácia</v>
      </c>
      <c r="C1856" s="878" t="s">
        <v>19569</v>
      </c>
      <c r="D1856" s="63"/>
      <c r="E1856" s="231">
        <v>43.11</v>
      </c>
      <c r="F1856" s="899"/>
      <c r="G1856" s="1152" t="s">
        <v>9</v>
      </c>
    </row>
    <row r="1857" spans="1:7">
      <c r="A1857" s="1272">
        <v>43547</v>
      </c>
      <c r="B1857" s="279" t="str">
        <f>TiposLancamentos!B16</f>
        <v>Cristiane</v>
      </c>
      <c r="C1857" s="280" t="s">
        <v>19570</v>
      </c>
      <c r="D1857" s="281"/>
      <c r="E1857" s="1293">
        <v>160</v>
      </c>
      <c r="F1857" s="1271"/>
      <c r="G1857" s="1152" t="s">
        <v>9</v>
      </c>
    </row>
    <row r="1858" spans="1:7">
      <c r="A1858" s="1272">
        <v>43547</v>
      </c>
      <c r="B1858" s="279" t="str">
        <f>TiposLancamentos!B19</f>
        <v>Restaurantes</v>
      </c>
      <c r="C1858" s="280" t="s">
        <v>19571</v>
      </c>
      <c r="D1858" s="281"/>
      <c r="E1858" s="1293">
        <v>38</v>
      </c>
      <c r="F1858" s="1271"/>
      <c r="G1858" s="1152" t="s">
        <v>9</v>
      </c>
    </row>
    <row r="1859" spans="1:7">
      <c r="A1859" s="884">
        <v>43548</v>
      </c>
      <c r="B1859" s="240" t="str">
        <f>TiposLancamentos!B19</f>
        <v>Restaurantes</v>
      </c>
      <c r="C1859" s="878" t="s">
        <v>19572</v>
      </c>
      <c r="D1859" s="63"/>
      <c r="E1859" s="231">
        <v>262.57</v>
      </c>
      <c r="F1859" s="899"/>
      <c r="G1859" s="1152" t="s">
        <v>9</v>
      </c>
    </row>
    <row r="1860" spans="1:7">
      <c r="A1860" s="884">
        <v>43549</v>
      </c>
      <c r="B1860" s="240" t="str">
        <f>TiposLancamentos!B56</f>
        <v>Farmácia</v>
      </c>
      <c r="C1860" s="878" t="s">
        <v>19573</v>
      </c>
      <c r="D1860" s="63"/>
      <c r="E1860" s="231">
        <v>96.53</v>
      </c>
      <c r="F1860" s="899"/>
      <c r="G1860" s="1152" t="s">
        <v>9</v>
      </c>
    </row>
    <row r="1861" spans="1:7">
      <c r="A1861" s="884">
        <v>43549</v>
      </c>
      <c r="B1861" s="240" t="str">
        <f>TiposLancamentos!B56</f>
        <v>Farmácia</v>
      </c>
      <c r="C1861" s="878" t="s">
        <v>19574</v>
      </c>
      <c r="D1861" s="63"/>
      <c r="E1861" s="231">
        <v>175.14</v>
      </c>
      <c r="F1861" s="899"/>
      <c r="G1861" s="1152" t="s">
        <v>9</v>
      </c>
    </row>
    <row r="1862" spans="1:7">
      <c r="A1862" s="884">
        <v>43549</v>
      </c>
      <c r="B1862" s="240" t="str">
        <f>TiposLancamentos!B5</f>
        <v>Supermercado</v>
      </c>
      <c r="C1862" s="878" t="s">
        <v>19575</v>
      </c>
      <c r="D1862" s="63"/>
      <c r="E1862" s="231">
        <v>49.65</v>
      </c>
      <c r="F1862" s="899"/>
      <c r="G1862" s="1152" t="s">
        <v>9</v>
      </c>
    </row>
    <row r="1863" spans="1:7">
      <c r="A1863" s="1272">
        <v>43550</v>
      </c>
      <c r="B1863" s="279" t="str">
        <f>TiposLancamentos!B16</f>
        <v>Cristiane</v>
      </c>
      <c r="C1863" s="280" t="s">
        <v>19576</v>
      </c>
      <c r="D1863" s="281"/>
      <c r="E1863" s="1293">
        <v>120</v>
      </c>
      <c r="F1863" s="1271"/>
      <c r="G1863" s="1152" t="s">
        <v>9</v>
      </c>
    </row>
    <row r="1864" spans="1:7">
      <c r="A1864" s="1226">
        <v>43550</v>
      </c>
      <c r="B1864" s="1218" t="str">
        <f>TiposLancamentos!B62</f>
        <v>Papelaria</v>
      </c>
      <c r="C1864" s="1219" t="s">
        <v>19577</v>
      </c>
      <c r="D1864" s="1220"/>
      <c r="E1864" s="1221">
        <f>17.9+29.9+5.9+19.9</f>
        <v>73.599999999999994</v>
      </c>
      <c r="F1864" s="1227"/>
      <c r="G1864" s="1152" t="s">
        <v>9</v>
      </c>
    </row>
    <row r="1865" spans="1:7">
      <c r="A1865" s="1228">
        <v>43550</v>
      </c>
      <c r="B1865" s="1222" t="str">
        <f>TiposLancamentos!B16</f>
        <v>Cristiane</v>
      </c>
      <c r="C1865" s="1223" t="s">
        <v>19577</v>
      </c>
      <c r="D1865" s="1224"/>
      <c r="E1865" s="1225">
        <f>F1865-E1864</f>
        <v>54.100000000000009</v>
      </c>
      <c r="F1865" s="1229">
        <v>127.7</v>
      </c>
      <c r="G1865" s="1152" t="s">
        <v>9</v>
      </c>
    </row>
    <row r="1866" spans="1:7">
      <c r="A1866" s="884">
        <v>43550</v>
      </c>
      <c r="B1866" s="240" t="str">
        <f>TiposLancamentos!B19</f>
        <v>Restaurantes</v>
      </c>
      <c r="C1866" s="878" t="s">
        <v>19578</v>
      </c>
      <c r="D1866" s="63"/>
      <c r="E1866" s="231">
        <v>61.28</v>
      </c>
      <c r="F1866" s="899"/>
      <c r="G1866" s="1152" t="s">
        <v>9</v>
      </c>
    </row>
    <row r="1867" spans="1:7">
      <c r="A1867" s="884">
        <v>43550</v>
      </c>
      <c r="B1867" s="240" t="str">
        <f>TiposLancamentos!B16</f>
        <v>Cristiane</v>
      </c>
      <c r="C1867" s="878" t="s">
        <v>19579</v>
      </c>
      <c r="D1867" s="63"/>
      <c r="E1867" s="231">
        <v>49.99</v>
      </c>
      <c r="F1867" s="899"/>
      <c r="G1867" s="1152" t="s">
        <v>9</v>
      </c>
    </row>
    <row r="1868" spans="1:7">
      <c r="A1868" s="884">
        <v>43550</v>
      </c>
      <c r="B1868" s="240" t="str">
        <f>TiposLancamentos!B70</f>
        <v>Vestuário</v>
      </c>
      <c r="C1868" s="878" t="s">
        <v>19580</v>
      </c>
      <c r="D1868" s="63"/>
      <c r="E1868" s="231">
        <f>F1868/3</f>
        <v>273</v>
      </c>
      <c r="F1868" s="899">
        <v>819</v>
      </c>
      <c r="G1868" s="1152" t="s">
        <v>9</v>
      </c>
    </row>
    <row r="1869" spans="1:7">
      <c r="A1869" s="1272">
        <v>43551</v>
      </c>
      <c r="B1869" s="279" t="str">
        <f>TiposLancamentos!B16</f>
        <v>Cristiane</v>
      </c>
      <c r="C1869" s="280" t="s">
        <v>19581</v>
      </c>
      <c r="D1869" s="281"/>
      <c r="E1869" s="1293">
        <v>97.5</v>
      </c>
      <c r="F1869" s="1271"/>
      <c r="G1869" s="1152" t="s">
        <v>9</v>
      </c>
    </row>
    <row r="1870" spans="1:7">
      <c r="A1870" s="884">
        <v>43551</v>
      </c>
      <c r="B1870" s="240" t="str">
        <f>TiposLancamentos!B22</f>
        <v>Combustivel</v>
      </c>
      <c r="C1870" s="878" t="s">
        <v>1880</v>
      </c>
      <c r="D1870" s="63"/>
      <c r="E1870" s="231">
        <v>50</v>
      </c>
      <c r="F1870" s="899"/>
      <c r="G1870" s="1152" t="s">
        <v>9</v>
      </c>
    </row>
    <row r="1871" spans="1:7">
      <c r="A1871" s="884">
        <v>43551</v>
      </c>
      <c r="B1871" s="240" t="str">
        <f>TiposLancamentos!B19</f>
        <v>Restaurantes</v>
      </c>
      <c r="C1871" s="878" t="s">
        <v>19582</v>
      </c>
      <c r="D1871" s="63"/>
      <c r="E1871" s="231">
        <v>9.5</v>
      </c>
      <c r="F1871" s="899"/>
      <c r="G1871" s="1152" t="s">
        <v>9</v>
      </c>
    </row>
    <row r="1872" spans="1:7">
      <c r="A1872" s="1272">
        <v>43551</v>
      </c>
      <c r="B1872" s="279" t="str">
        <f>TiposLancamentos!B16</f>
        <v>Cristiane</v>
      </c>
      <c r="C1872" s="280" t="s">
        <v>2771</v>
      </c>
      <c r="D1872" s="281"/>
      <c r="E1872" s="1293">
        <v>15</v>
      </c>
      <c r="F1872" s="1271"/>
      <c r="G1872" s="1152" t="s">
        <v>9</v>
      </c>
    </row>
    <row r="1873" spans="1:7">
      <c r="A1873" s="884">
        <v>43551</v>
      </c>
      <c r="B1873" s="240" t="str">
        <f>TiposLancamentos!B23</f>
        <v>P208 GRIFFE 1.6 AUT BUSINESS</v>
      </c>
      <c r="C1873" s="878" t="s">
        <v>19583</v>
      </c>
      <c r="D1873" s="63"/>
      <c r="E1873" s="231">
        <v>69.900000000000006</v>
      </c>
      <c r="F1873" s="899"/>
      <c r="G1873" s="1152" t="s">
        <v>9</v>
      </c>
    </row>
    <row r="1874" spans="1:7">
      <c r="A1874" s="1272">
        <v>43551</v>
      </c>
      <c r="B1874" s="279" t="str">
        <f>TiposLancamentos!B5</f>
        <v>Supermercado</v>
      </c>
      <c r="C1874" s="280" t="s">
        <v>19584</v>
      </c>
      <c r="D1874" s="281"/>
      <c r="E1874" s="1293">
        <v>180.48</v>
      </c>
      <c r="F1874" s="1271"/>
      <c r="G1874" s="1152" t="s">
        <v>9</v>
      </c>
    </row>
    <row r="1875" spans="1:7">
      <c r="A1875" s="1272">
        <v>43551</v>
      </c>
      <c r="B1875" s="279" t="str">
        <f>TiposLancamentos!B19</f>
        <v>Restaurantes</v>
      </c>
      <c r="C1875" s="280" t="s">
        <v>19585</v>
      </c>
      <c r="D1875" s="281"/>
      <c r="E1875" s="1293">
        <v>86.7</v>
      </c>
      <c r="F1875" s="1271"/>
      <c r="G1875" s="1152" t="s">
        <v>9</v>
      </c>
    </row>
    <row r="1876" spans="1:7">
      <c r="A1876" s="884">
        <v>43552</v>
      </c>
      <c r="B1876" s="240" t="str">
        <f>TiposLancamentos!B45</f>
        <v>Online Services</v>
      </c>
      <c r="C1876" s="878" t="s">
        <v>1894</v>
      </c>
      <c r="D1876" s="63"/>
      <c r="E1876" s="231">
        <v>27.9</v>
      </c>
      <c r="F1876" s="899"/>
      <c r="G1876" s="1152" t="s">
        <v>9</v>
      </c>
    </row>
    <row r="1877" spans="1:7">
      <c r="A1877" s="884">
        <v>43552</v>
      </c>
      <c r="B1877" s="240" t="str">
        <f>TiposLancamentos!B45</f>
        <v>Online Services</v>
      </c>
      <c r="C1877" s="878" t="s">
        <v>1895</v>
      </c>
      <c r="D1877" s="63"/>
      <c r="E1877" s="231">
        <v>26.9</v>
      </c>
      <c r="F1877" s="899"/>
      <c r="G1877" s="1152" t="s">
        <v>9</v>
      </c>
    </row>
    <row r="1878" spans="1:7" ht="12.75" customHeight="1">
      <c r="A1878" s="884">
        <v>43552</v>
      </c>
      <c r="B1878" s="240" t="str">
        <f>TiposLancamentos!B5</f>
        <v>Supermercado</v>
      </c>
      <c r="C1878" s="878" t="s">
        <v>19586</v>
      </c>
      <c r="D1878" s="63"/>
      <c r="E1878" s="231">
        <v>29.37</v>
      </c>
      <c r="F1878" s="899"/>
      <c r="G1878" s="1152" t="s">
        <v>9</v>
      </c>
    </row>
    <row r="1879" spans="1:7" ht="12.75" customHeight="1">
      <c r="A1879" s="884">
        <v>43552</v>
      </c>
      <c r="B1879" s="240" t="str">
        <f>TiposLancamentos!B71</f>
        <v>Itens Pessoais</v>
      </c>
      <c r="C1879" s="878" t="s">
        <v>19587</v>
      </c>
      <c r="D1879" s="63"/>
      <c r="E1879" s="231">
        <v>34.22</v>
      </c>
      <c r="F1879" s="899"/>
      <c r="G1879" s="1152" t="s">
        <v>9</v>
      </c>
    </row>
    <row r="1880" spans="1:7" ht="12.75" customHeight="1">
      <c r="A1880" s="884">
        <v>43552</v>
      </c>
      <c r="B1880" s="240" t="str">
        <f>TiposLancamentos!B56</f>
        <v>Farmácia</v>
      </c>
      <c r="C1880" s="878" t="s">
        <v>19588</v>
      </c>
      <c r="D1880" s="63"/>
      <c r="E1880" s="231">
        <v>15.94</v>
      </c>
      <c r="F1880" s="899"/>
      <c r="G1880" s="1152" t="s">
        <v>9</v>
      </c>
    </row>
    <row r="1881" spans="1:7">
      <c r="A1881" s="884">
        <v>43552</v>
      </c>
      <c r="B1881" s="240" t="str">
        <f>TiposLancamentos!B71</f>
        <v>Itens Pessoais</v>
      </c>
      <c r="C1881" s="878" t="s">
        <v>19589</v>
      </c>
      <c r="D1881" s="63"/>
      <c r="E1881" s="231">
        <v>287.5</v>
      </c>
      <c r="F1881" s="899">
        <v>1150</v>
      </c>
      <c r="G1881" s="1152" t="s">
        <v>9</v>
      </c>
    </row>
    <row r="1882" spans="1:7" ht="12.75" customHeight="1">
      <c r="A1882" s="884">
        <v>43553</v>
      </c>
      <c r="B1882" s="240" t="str">
        <f>TiposLancamentos!B73</f>
        <v>Cursos</v>
      </c>
      <c r="C1882" s="878" t="s">
        <v>19590</v>
      </c>
      <c r="D1882" s="63"/>
      <c r="E1882" s="231">
        <v>17.600000000000001</v>
      </c>
      <c r="F1882" s="899"/>
      <c r="G1882" s="1152" t="s">
        <v>9</v>
      </c>
    </row>
    <row r="1883" spans="1:7">
      <c r="A1883" s="1272">
        <v>43554</v>
      </c>
      <c r="B1883" s="279" t="str">
        <f>TiposLancamentos!B16</f>
        <v>Cristiane</v>
      </c>
      <c r="C1883" s="280" t="s">
        <v>19591</v>
      </c>
      <c r="D1883" s="281"/>
      <c r="E1883" s="1293">
        <v>18.47</v>
      </c>
      <c r="F1883" s="1271" t="s">
        <v>19592</v>
      </c>
      <c r="G1883" s="1094" t="s">
        <v>11</v>
      </c>
    </row>
    <row r="1884" spans="1:7">
      <c r="A1884" s="1272">
        <v>43585</v>
      </c>
      <c r="B1884" s="279" t="str">
        <f>TiposLancamentos!B4</f>
        <v>Taxas Bancarias</v>
      </c>
      <c r="C1884" s="280" t="s">
        <v>19426</v>
      </c>
      <c r="D1884" s="281"/>
      <c r="E1884" s="1293">
        <v>1.1200000000000001</v>
      </c>
      <c r="F1884" s="1271"/>
      <c r="G1884" s="1152" t="s">
        <v>9</v>
      </c>
    </row>
    <row r="1885" spans="1:7">
      <c r="A1885" s="884">
        <v>43554</v>
      </c>
      <c r="B1885" s="240" t="str">
        <f>TiposLancamentos!B73</f>
        <v>Cursos</v>
      </c>
      <c r="C1885" s="878" t="s">
        <v>19593</v>
      </c>
      <c r="D1885" s="63"/>
      <c r="E1885" s="231">
        <v>280</v>
      </c>
      <c r="F1885" s="899"/>
      <c r="G1885" s="1152" t="s">
        <v>9</v>
      </c>
    </row>
    <row r="1886" spans="1:7">
      <c r="A1886" s="884">
        <v>43554</v>
      </c>
      <c r="B1886" s="240" t="str">
        <f>TiposLancamentos!B44</f>
        <v>Academia</v>
      </c>
      <c r="C1886" s="878" t="s">
        <v>19594</v>
      </c>
      <c r="D1886" s="63"/>
      <c r="E1886" s="231">
        <v>115.6</v>
      </c>
      <c r="F1886" s="899"/>
      <c r="G1886" s="1152" t="s">
        <v>9</v>
      </c>
    </row>
    <row r="1887" spans="1:7">
      <c r="A1887" s="1272">
        <v>43554</v>
      </c>
      <c r="B1887" s="1645" t="str">
        <f>TiposLancamentos!B16</f>
        <v>Cristiane</v>
      </c>
      <c r="C1887" s="280" t="s">
        <v>19594</v>
      </c>
      <c r="D1887" s="281"/>
      <c r="E1887" s="1293">
        <v>115.6</v>
      </c>
      <c r="F1887" s="1271"/>
      <c r="G1887" s="1152" t="s">
        <v>9</v>
      </c>
    </row>
    <row r="1888" spans="1:7" ht="14.25" thickBot="1">
      <c r="A1888" s="884">
        <v>43554</v>
      </c>
      <c r="B1888" s="240" t="str">
        <f>TiposLancamentos!B5</f>
        <v>Supermercado</v>
      </c>
      <c r="C1888" s="878" t="s">
        <v>6234</v>
      </c>
      <c r="D1888" s="63"/>
      <c r="E1888" s="231">
        <v>134.68</v>
      </c>
      <c r="F1888" s="899"/>
      <c r="G1888" s="1152" t="s">
        <v>9</v>
      </c>
    </row>
    <row r="1889" spans="1:7">
      <c r="A1889" s="1032"/>
      <c r="B1889" s="1230"/>
      <c r="C1889" s="906" t="s">
        <v>19595</v>
      </c>
      <c r="D1889" s="896"/>
      <c r="E1889" s="925"/>
      <c r="F1889" s="898">
        <f>SUM(E1776:E1843)</f>
        <v>7952.6958333333296</v>
      </c>
      <c r="G1889" s="3"/>
    </row>
    <row r="1890" spans="1:7">
      <c r="A1890" s="884">
        <v>43556</v>
      </c>
      <c r="B1890" s="240" t="str">
        <f>TiposLancamentos!B4</f>
        <v>Taxas Bancarias</v>
      </c>
      <c r="C1890" s="878" t="s">
        <v>19596</v>
      </c>
      <c r="D1890" s="63"/>
      <c r="E1890" s="231">
        <v>0.13</v>
      </c>
      <c r="F1890" s="899"/>
      <c r="G1890" s="1152" t="s">
        <v>9</v>
      </c>
    </row>
    <row r="1891" spans="1:7">
      <c r="A1891" s="884">
        <v>43556</v>
      </c>
      <c r="B1891" s="240" t="str">
        <f>TiposLancamentos!B15</f>
        <v>Cartões de Crédito</v>
      </c>
      <c r="C1891" s="878" t="s">
        <v>16544</v>
      </c>
      <c r="D1891" s="63">
        <v>7952.7</v>
      </c>
      <c r="E1891" s="231"/>
      <c r="F1891" s="899">
        <f>F1889-F1812</f>
        <v>1785.0333333333292</v>
      </c>
      <c r="G1891" s="1152" t="s">
        <v>9</v>
      </c>
    </row>
    <row r="1892" spans="1:7">
      <c r="A1892" s="1272">
        <v>43556</v>
      </c>
      <c r="B1892" s="279" t="str">
        <f>TiposLancamentos!B5</f>
        <v>Supermercado</v>
      </c>
      <c r="C1892" s="280" t="s">
        <v>6234</v>
      </c>
      <c r="D1892" s="281"/>
      <c r="E1892" s="1293">
        <v>225.23</v>
      </c>
      <c r="F1892" s="1271"/>
      <c r="G1892" s="1152" t="s">
        <v>9</v>
      </c>
    </row>
    <row r="1893" spans="1:7">
      <c r="A1893" s="1272">
        <v>43559</v>
      </c>
      <c r="B1893" s="279" t="str">
        <f>TiposLancamentos!B5</f>
        <v>Supermercado</v>
      </c>
      <c r="C1893" s="280" t="s">
        <v>6234</v>
      </c>
      <c r="D1893" s="281"/>
      <c r="E1893" s="1293">
        <v>67.37</v>
      </c>
      <c r="F1893" s="1271"/>
      <c r="G1893" s="1152" t="s">
        <v>9</v>
      </c>
    </row>
    <row r="1894" spans="1:7">
      <c r="A1894" s="1272">
        <v>43559</v>
      </c>
      <c r="B1894" s="279" t="str">
        <f>TiposLancamentos!B16</f>
        <v>Cristiane</v>
      </c>
      <c r="C1894" s="280" t="s">
        <v>19597</v>
      </c>
      <c r="D1894" s="281"/>
      <c r="E1894" s="1293">
        <v>35.799999999999997</v>
      </c>
      <c r="F1894" s="1271"/>
      <c r="G1894" s="1152" t="s">
        <v>9</v>
      </c>
    </row>
    <row r="1895" spans="1:7">
      <c r="A1895" s="1272">
        <v>43559</v>
      </c>
      <c r="B1895" s="279" t="str">
        <f>TiposLancamentos!B5</f>
        <v>Supermercado</v>
      </c>
      <c r="C1895" s="280" t="s">
        <v>19598</v>
      </c>
      <c r="D1895" s="281"/>
      <c r="E1895" s="1293">
        <v>19.559999999999999</v>
      </c>
      <c r="F1895" s="1271"/>
      <c r="G1895" s="1152" t="s">
        <v>9</v>
      </c>
    </row>
    <row r="1896" spans="1:7">
      <c r="A1896" s="1272">
        <v>43559</v>
      </c>
      <c r="B1896" s="279" t="str">
        <f>TiposLancamentos!B16</f>
        <v>Cristiane</v>
      </c>
      <c r="C1896" s="280" t="s">
        <v>19599</v>
      </c>
      <c r="D1896" s="281"/>
      <c r="E1896" s="1293">
        <v>61.25</v>
      </c>
      <c r="F1896" s="1271"/>
      <c r="G1896" s="1152" t="s">
        <v>9</v>
      </c>
    </row>
    <row r="1897" spans="1:7">
      <c r="A1897" s="884">
        <v>43561</v>
      </c>
      <c r="B1897" s="240" t="str">
        <f>TiposLancamentos!B70</f>
        <v>Vestuário</v>
      </c>
      <c r="C1897" s="878" t="s">
        <v>19600</v>
      </c>
      <c r="D1897" s="63"/>
      <c r="E1897" s="231">
        <v>229.98</v>
      </c>
      <c r="F1897" s="899"/>
      <c r="G1897" s="1152" t="s">
        <v>9</v>
      </c>
    </row>
    <row r="1898" spans="1:7">
      <c r="A1898" s="1226">
        <v>43561</v>
      </c>
      <c r="B1898" s="1218" t="str">
        <f>TiposLancamentos!B16</f>
        <v>Cristiane</v>
      </c>
      <c r="C1898" s="1219" t="s">
        <v>19601</v>
      </c>
      <c r="D1898" s="1220"/>
      <c r="E1898" s="1221">
        <f>F1899-E1899</f>
        <v>29.9</v>
      </c>
      <c r="F1898" s="1227"/>
      <c r="G1898" s="1152" t="s">
        <v>9</v>
      </c>
    </row>
    <row r="1899" spans="1:7">
      <c r="A1899" s="1228">
        <v>43561</v>
      </c>
      <c r="B1899" s="1222" t="str">
        <f>TiposLancamentos!B71</f>
        <v>Itens Pessoais</v>
      </c>
      <c r="C1899" s="1223" t="s">
        <v>19602</v>
      </c>
      <c r="D1899" s="1224"/>
      <c r="E1899" s="1225">
        <v>39.9</v>
      </c>
      <c r="F1899" s="1229">
        <v>69.8</v>
      </c>
      <c r="G1899" s="1152" t="s">
        <v>9</v>
      </c>
    </row>
    <row r="1900" spans="1:7">
      <c r="A1900" s="1272">
        <v>43562</v>
      </c>
      <c r="B1900" s="279" t="str">
        <f>TiposLancamentos!B19</f>
        <v>Restaurantes</v>
      </c>
      <c r="C1900" s="280" t="s">
        <v>19603</v>
      </c>
      <c r="D1900" s="281"/>
      <c r="E1900" s="1293">
        <v>124.6</v>
      </c>
      <c r="F1900" s="1271"/>
      <c r="G1900" s="1152" t="s">
        <v>9</v>
      </c>
    </row>
    <row r="1901" spans="1:7">
      <c r="A1901" s="884">
        <v>43563</v>
      </c>
      <c r="B1901" s="240" t="str">
        <f>TiposLancamentos!B16</f>
        <v>Cristiane</v>
      </c>
      <c r="C1901" s="878" t="s">
        <v>19604</v>
      </c>
      <c r="D1901" s="63"/>
      <c r="E1901" s="231">
        <v>103.2</v>
      </c>
      <c r="F1901" s="899"/>
      <c r="G1901" s="1152" t="s">
        <v>9</v>
      </c>
    </row>
    <row r="1902" spans="1:7">
      <c r="A1902" s="884">
        <v>43563</v>
      </c>
      <c r="B1902" s="240" t="str">
        <f>TiposLancamentos!B69</f>
        <v>Consertos</v>
      </c>
      <c r="C1902" s="878" t="s">
        <v>19605</v>
      </c>
      <c r="D1902" s="63"/>
      <c r="E1902" s="231">
        <v>178</v>
      </c>
      <c r="F1902" s="899"/>
      <c r="G1902" s="1152" t="s">
        <v>9</v>
      </c>
    </row>
    <row r="1903" spans="1:7">
      <c r="A1903" s="1272">
        <v>43563</v>
      </c>
      <c r="B1903" s="279" t="str">
        <f>TiposLancamentos!B16</f>
        <v>Cristiane</v>
      </c>
      <c r="C1903" s="280" t="s">
        <v>19606</v>
      </c>
      <c r="D1903" s="281"/>
      <c r="E1903" s="1293">
        <f>F1903/4</f>
        <v>289.35250000000002</v>
      </c>
      <c r="F1903" s="1271">
        <v>1157.4100000000001</v>
      </c>
      <c r="G1903" s="1152" t="s">
        <v>9</v>
      </c>
    </row>
    <row r="1904" spans="1:7">
      <c r="A1904" s="884">
        <v>43563</v>
      </c>
      <c r="B1904" s="240" t="str">
        <f>TiposLancamentos!B26</f>
        <v>LIVROS</v>
      </c>
      <c r="C1904" s="878" t="s">
        <v>19607</v>
      </c>
      <c r="D1904" s="63"/>
      <c r="E1904" s="231">
        <v>52.79</v>
      </c>
      <c r="F1904" s="899"/>
      <c r="G1904" s="1152" t="s">
        <v>9</v>
      </c>
    </row>
    <row r="1905" spans="1:7">
      <c r="A1905" s="884">
        <v>43564</v>
      </c>
      <c r="B1905" s="240" t="str">
        <f>TiposLancamentos!B19</f>
        <v>Restaurantes</v>
      </c>
      <c r="C1905" s="878" t="s">
        <v>19608</v>
      </c>
      <c r="D1905" s="63"/>
      <c r="E1905" s="231">
        <v>74.36</v>
      </c>
      <c r="F1905" s="899"/>
      <c r="G1905" s="1152" t="s">
        <v>9</v>
      </c>
    </row>
    <row r="1906" spans="1:7">
      <c r="A1906" s="1272">
        <v>43564</v>
      </c>
      <c r="B1906" s="279" t="str">
        <f>TiposLancamentos!B5</f>
        <v>Supermercado</v>
      </c>
      <c r="C1906" s="280" t="s">
        <v>6234</v>
      </c>
      <c r="D1906" s="281"/>
      <c r="E1906" s="1293">
        <v>230.24</v>
      </c>
      <c r="F1906" s="1271"/>
      <c r="G1906" s="1152" t="s">
        <v>9</v>
      </c>
    </row>
    <row r="1907" spans="1:7">
      <c r="A1907" s="1272">
        <v>43567</v>
      </c>
      <c r="B1907" s="279" t="str">
        <f>TiposLancamentos!B16</f>
        <v>Cristiane</v>
      </c>
      <c r="C1907" s="280" t="s">
        <v>19609</v>
      </c>
      <c r="D1907" s="281"/>
      <c r="E1907" s="1293">
        <v>129.46</v>
      </c>
      <c r="F1907" s="1271">
        <f>E1907*3</f>
        <v>388.38</v>
      </c>
      <c r="G1907" s="1152" t="s">
        <v>9</v>
      </c>
    </row>
    <row r="1908" spans="1:7">
      <c r="A1908" s="1272">
        <v>43567</v>
      </c>
      <c r="B1908" s="279" t="str">
        <f>TiposLancamentos!B5</f>
        <v>Supermercado</v>
      </c>
      <c r="C1908" s="280" t="s">
        <v>6234</v>
      </c>
      <c r="D1908" s="281"/>
      <c r="E1908" s="1293">
        <v>56.89</v>
      </c>
      <c r="F1908" s="1271"/>
      <c r="G1908" s="1152" t="s">
        <v>9</v>
      </c>
    </row>
    <row r="1909" spans="1:7">
      <c r="A1909" s="1272">
        <v>43567</v>
      </c>
      <c r="B1909" s="279" t="str">
        <f>TiposLancamentos!B19</f>
        <v>Restaurantes</v>
      </c>
      <c r="C1909" s="280" t="s">
        <v>19029</v>
      </c>
      <c r="D1909" s="281"/>
      <c r="E1909" s="1293">
        <v>48</v>
      </c>
      <c r="F1909" s="1271"/>
      <c r="G1909" s="1152" t="s">
        <v>9</v>
      </c>
    </row>
    <row r="1910" spans="1:7">
      <c r="A1910" s="884">
        <v>43568</v>
      </c>
      <c r="B1910" s="240" t="str">
        <f>TiposLancamentos!B19</f>
        <v>Restaurantes</v>
      </c>
      <c r="C1910" s="878" t="s">
        <v>19610</v>
      </c>
      <c r="D1910" s="63"/>
      <c r="E1910" s="231">
        <v>24</v>
      </c>
      <c r="F1910" s="899"/>
      <c r="G1910" s="1152" t="s">
        <v>9</v>
      </c>
    </row>
    <row r="1911" spans="1:7">
      <c r="A1911" s="884">
        <v>43568</v>
      </c>
      <c r="B1911" s="240" t="str">
        <f>TiposLancamentos!B73</f>
        <v>Cursos</v>
      </c>
      <c r="C1911" s="878" t="s">
        <v>19611</v>
      </c>
      <c r="D1911" s="63"/>
      <c r="E1911" s="231">
        <v>350</v>
      </c>
      <c r="F1911" s="899"/>
      <c r="G1911" s="1152" t="s">
        <v>9</v>
      </c>
    </row>
    <row r="1912" spans="1:7">
      <c r="A1912" s="1272">
        <v>43569</v>
      </c>
      <c r="B1912" s="279" t="str">
        <f>TiposLancamentos!B19</f>
        <v>Restaurantes</v>
      </c>
      <c r="C1912" s="280" t="s">
        <v>11101</v>
      </c>
      <c r="D1912" s="281"/>
      <c r="E1912" s="1293">
        <v>41</v>
      </c>
      <c r="F1912" s="1271"/>
      <c r="G1912" s="1152" t="s">
        <v>9</v>
      </c>
    </row>
    <row r="1913" spans="1:7">
      <c r="A1913" s="884">
        <v>43569</v>
      </c>
      <c r="B1913" s="240" t="str">
        <f>TiposLancamentos!B5</f>
        <v>Supermercado</v>
      </c>
      <c r="C1913" s="878" t="s">
        <v>19612</v>
      </c>
      <c r="D1913" s="63"/>
      <c r="E1913" s="231">
        <v>42.2</v>
      </c>
      <c r="F1913" s="899"/>
      <c r="G1913" s="1152" t="s">
        <v>9</v>
      </c>
    </row>
    <row r="1914" spans="1:7">
      <c r="A1914" s="884">
        <v>43570</v>
      </c>
      <c r="B1914" s="240" t="str">
        <f>TiposLancamentos!B102</f>
        <v>ESTORNO</v>
      </c>
      <c r="C1914" s="878" t="s">
        <v>19590</v>
      </c>
      <c r="D1914" s="63">
        <v>17.600000000000001</v>
      </c>
      <c r="E1914" s="231"/>
      <c r="F1914" s="899"/>
      <c r="G1914" s="1152" t="s">
        <v>9</v>
      </c>
    </row>
    <row r="1915" spans="1:7">
      <c r="A1915" s="1272">
        <v>43571</v>
      </c>
      <c r="B1915" s="279" t="str">
        <f>TiposLancamentos!B16</f>
        <v>Cristiane</v>
      </c>
      <c r="C1915" s="280" t="s">
        <v>19613</v>
      </c>
      <c r="D1915" s="281"/>
      <c r="E1915" s="1293">
        <v>35</v>
      </c>
      <c r="F1915" s="1271"/>
      <c r="G1915" s="1152" t="s">
        <v>9</v>
      </c>
    </row>
    <row r="1916" spans="1:7">
      <c r="A1916" s="1272">
        <v>43571</v>
      </c>
      <c r="B1916" s="279" t="str">
        <f>TiposLancamentos!B5</f>
        <v>Supermercado</v>
      </c>
      <c r="C1916" s="280" t="s">
        <v>6234</v>
      </c>
      <c r="D1916" s="281"/>
      <c r="E1916" s="1293">
        <v>193.13</v>
      </c>
      <c r="F1916" s="1271"/>
      <c r="G1916" s="1152" t="s">
        <v>9</v>
      </c>
    </row>
    <row r="1917" spans="1:7">
      <c r="A1917" s="884">
        <v>43571</v>
      </c>
      <c r="B1917" s="240" t="str">
        <f>TiposLancamentos!B56</f>
        <v>Farmácia</v>
      </c>
      <c r="C1917" s="878" t="s">
        <v>19614</v>
      </c>
      <c r="D1917" s="63"/>
      <c r="E1917" s="231">
        <v>211.38</v>
      </c>
      <c r="F1917" s="899"/>
      <c r="G1917" s="1152" t="s">
        <v>9</v>
      </c>
    </row>
    <row r="1918" spans="1:7">
      <c r="A1918" s="934"/>
      <c r="B1918" s="243"/>
      <c r="C1918" s="389" t="s">
        <v>10</v>
      </c>
      <c r="D1918" s="146"/>
      <c r="E1918" s="1190"/>
      <c r="F1918" s="935"/>
      <c r="G1918" s="1094" t="s">
        <v>11</v>
      </c>
    </row>
    <row r="1919" spans="1:7">
      <c r="A1919" s="1272">
        <v>43572</v>
      </c>
      <c r="B1919" s="279" t="str">
        <f>TiposLancamentos!B16</f>
        <v>Cristiane</v>
      </c>
      <c r="C1919" s="280" t="s">
        <v>19615</v>
      </c>
      <c r="D1919" s="281"/>
      <c r="E1919" s="1293">
        <f>F1919/2</f>
        <v>116.85</v>
      </c>
      <c r="F1919" s="1271">
        <v>233.7</v>
      </c>
      <c r="G1919" s="1152" t="s">
        <v>9</v>
      </c>
    </row>
    <row r="1920" spans="1:7">
      <c r="A1920" s="1272">
        <v>43572</v>
      </c>
      <c r="B1920" s="279" t="str">
        <f>TiposLancamentos!B5</f>
        <v>Supermercado</v>
      </c>
      <c r="C1920" s="280" t="s">
        <v>18036</v>
      </c>
      <c r="D1920" s="281"/>
      <c r="E1920" s="1293">
        <v>29.9</v>
      </c>
      <c r="F1920" s="1271"/>
      <c r="G1920" s="1152" t="s">
        <v>9</v>
      </c>
    </row>
    <row r="1921" spans="1:7">
      <c r="A1921" s="884">
        <v>43572</v>
      </c>
      <c r="B1921" s="240" t="str">
        <f>TiposLancamentos!B72</f>
        <v>Presentes</v>
      </c>
      <c r="C1921" s="878" t="s">
        <v>19616</v>
      </c>
      <c r="D1921" s="63"/>
      <c r="E1921" s="231">
        <v>38.950000000000003</v>
      </c>
      <c r="F1921" s="899"/>
      <c r="G1921" s="1152" t="s">
        <v>9</v>
      </c>
    </row>
    <row r="1922" spans="1:7">
      <c r="A1922" s="1272">
        <v>43573</v>
      </c>
      <c r="B1922" s="279" t="str">
        <f>TiposLancamentos!B17</f>
        <v>GATO</v>
      </c>
      <c r="C1922" s="280" t="s">
        <v>2026</v>
      </c>
      <c r="D1922" s="281"/>
      <c r="E1922" s="1293">
        <v>90.5</v>
      </c>
      <c r="F1922" s="1271"/>
      <c r="G1922" s="1152" t="s">
        <v>9</v>
      </c>
    </row>
    <row r="1923" spans="1:7">
      <c r="A1923" s="884">
        <v>43573</v>
      </c>
      <c r="B1923" s="240" t="str">
        <f>B1917</f>
        <v>Farmácia</v>
      </c>
      <c r="C1923" s="878" t="s">
        <v>19617</v>
      </c>
      <c r="D1923" s="63"/>
      <c r="E1923" s="231">
        <v>108.89</v>
      </c>
      <c r="F1923" s="899"/>
      <c r="G1923" s="1152" t="s">
        <v>9</v>
      </c>
    </row>
    <row r="1924" spans="1:7">
      <c r="A1924" s="884">
        <v>43574</v>
      </c>
      <c r="B1924" s="240" t="str">
        <f>TiposLancamentos!B19</f>
        <v>Restaurantes</v>
      </c>
      <c r="C1924" s="878" t="s">
        <v>19618</v>
      </c>
      <c r="D1924" s="63"/>
      <c r="E1924" s="231">
        <v>93.5</v>
      </c>
      <c r="F1924" s="899"/>
      <c r="G1924" s="1152" t="s">
        <v>9</v>
      </c>
    </row>
    <row r="1925" spans="1:7">
      <c r="A1925" s="884">
        <v>43574</v>
      </c>
      <c r="B1925" s="240" t="str">
        <f>TiposLancamentos!B19</f>
        <v>Restaurantes</v>
      </c>
      <c r="C1925" s="878" t="s">
        <v>19619</v>
      </c>
      <c r="D1925" s="63"/>
      <c r="E1925" s="231">
        <v>19.579999999999998</v>
      </c>
      <c r="F1925" s="899"/>
      <c r="G1925" s="1152" t="s">
        <v>9</v>
      </c>
    </row>
    <row r="1926" spans="1:7">
      <c r="A1926" s="884">
        <v>43574</v>
      </c>
      <c r="B1926" s="240" t="str">
        <f>TiposLancamentos!B5</f>
        <v>Supermercado</v>
      </c>
      <c r="C1926" s="878" t="s">
        <v>16747</v>
      </c>
      <c r="D1926" s="63"/>
      <c r="E1926" s="231">
        <v>186.56</v>
      </c>
      <c r="F1926" s="899"/>
      <c r="G1926" s="1152" t="s">
        <v>9</v>
      </c>
    </row>
    <row r="1927" spans="1:7">
      <c r="A1927" s="1272">
        <v>43575</v>
      </c>
      <c r="B1927" s="279" t="str">
        <f>TiposLancamentos!B16</f>
        <v>Cristiane</v>
      </c>
      <c r="C1927" s="280" t="s">
        <v>19620</v>
      </c>
      <c r="D1927" s="281"/>
      <c r="E1927" s="1293">
        <v>39.9</v>
      </c>
      <c r="F1927" s="1271"/>
      <c r="G1927" s="1152" t="s">
        <v>9</v>
      </c>
    </row>
    <row r="1928" spans="1:7">
      <c r="A1928" s="1272">
        <v>43575</v>
      </c>
      <c r="B1928" s="279" t="str">
        <f>TiposLancamentos!B16</f>
        <v>Cristiane</v>
      </c>
      <c r="C1928" s="280" t="s">
        <v>19621</v>
      </c>
      <c r="D1928" s="281"/>
      <c r="E1928" s="1293">
        <v>37</v>
      </c>
      <c r="F1928" s="1271"/>
      <c r="G1928" s="1152" t="s">
        <v>9</v>
      </c>
    </row>
    <row r="1929" spans="1:7">
      <c r="A1929" s="1226">
        <v>43575</v>
      </c>
      <c r="B1929" s="1218" t="str">
        <f>TiposLancamentos!B48</f>
        <v>Baralhos e Oráculos</v>
      </c>
      <c r="C1929" s="1219" t="s">
        <v>19622</v>
      </c>
      <c r="D1929" s="1220"/>
      <c r="E1929" s="1221">
        <v>30</v>
      </c>
      <c r="F1929" s="1227"/>
      <c r="G1929" s="1152" t="s">
        <v>9</v>
      </c>
    </row>
    <row r="1930" spans="1:7">
      <c r="A1930" s="1228">
        <v>43575</v>
      </c>
      <c r="B1930" s="1222" t="str">
        <f>TiposLancamentos!B13</f>
        <v>Moradia</v>
      </c>
      <c r="C1930" s="1223" t="s">
        <v>19623</v>
      </c>
      <c r="D1930" s="1224"/>
      <c r="E1930" s="1225">
        <f>F1930-E1929</f>
        <v>36.200000000000003</v>
      </c>
      <c r="F1930" s="1229">
        <v>66.2</v>
      </c>
      <c r="G1930" s="1152" t="s">
        <v>9</v>
      </c>
    </row>
    <row r="1931" spans="1:7">
      <c r="A1931" s="884">
        <v>43575</v>
      </c>
      <c r="B1931" s="240" t="str">
        <f>TiposLancamentos!B19</f>
        <v>Restaurantes</v>
      </c>
      <c r="C1931" s="878" t="s">
        <v>7329</v>
      </c>
      <c r="D1931" s="63"/>
      <c r="E1931" s="231">
        <v>136.94999999999999</v>
      </c>
      <c r="F1931" s="899"/>
      <c r="G1931" s="1152" t="s">
        <v>9</v>
      </c>
    </row>
    <row r="1932" spans="1:7">
      <c r="A1932" s="1272">
        <v>43575</v>
      </c>
      <c r="B1932" s="279" t="str">
        <f>TiposLancamentos!B19</f>
        <v>Restaurantes</v>
      </c>
      <c r="C1932" s="280" t="s">
        <v>11101</v>
      </c>
      <c r="D1932" s="281"/>
      <c r="E1932" s="1293">
        <v>48</v>
      </c>
      <c r="F1932" s="1271"/>
      <c r="G1932" s="1152" t="s">
        <v>9</v>
      </c>
    </row>
    <row r="1933" spans="1:7">
      <c r="A1933" s="884">
        <v>43576</v>
      </c>
      <c r="B1933" s="240" t="str">
        <f>TiposLancamentos!B5</f>
        <v>Supermercado</v>
      </c>
      <c r="C1933" s="878" t="s">
        <v>6234</v>
      </c>
      <c r="D1933" s="63"/>
      <c r="E1933" s="231">
        <v>35.65</v>
      </c>
      <c r="F1933" s="899"/>
      <c r="G1933" s="1152" t="s">
        <v>9</v>
      </c>
    </row>
    <row r="1934" spans="1:7">
      <c r="A1934" s="884">
        <v>43576</v>
      </c>
      <c r="B1934" s="240" t="str">
        <f>TiposLancamentos!B45</f>
        <v>Online Services</v>
      </c>
      <c r="C1934" s="878" t="s">
        <v>19027</v>
      </c>
      <c r="D1934" s="63"/>
      <c r="E1934" s="231">
        <v>33</v>
      </c>
      <c r="F1934" s="899"/>
      <c r="G1934" s="1152" t="s">
        <v>9</v>
      </c>
    </row>
    <row r="1935" spans="1:7" ht="12.75" customHeight="1">
      <c r="A1935" s="1272">
        <v>43577</v>
      </c>
      <c r="B1935" s="279" t="str">
        <f>TiposLancamentos!B71</f>
        <v>Itens Pessoais</v>
      </c>
      <c r="C1935" s="280" t="s">
        <v>19624</v>
      </c>
      <c r="D1935" s="281"/>
      <c r="E1935" s="1293">
        <f>F1935/6</f>
        <v>699.84</v>
      </c>
      <c r="F1935" s="1271">
        <v>4199.04</v>
      </c>
      <c r="G1935" s="1152" t="s">
        <v>9</v>
      </c>
    </row>
    <row r="1936" spans="1:7">
      <c r="A1936" s="884">
        <v>43577</v>
      </c>
      <c r="B1936" s="240" t="str">
        <f>TiposLancamentos!B13</f>
        <v>Moradia</v>
      </c>
      <c r="C1936" s="878" t="s">
        <v>19625</v>
      </c>
      <c r="D1936" s="63"/>
      <c r="E1936" s="231">
        <v>398.4</v>
      </c>
      <c r="F1936" s="899">
        <v>3984</v>
      </c>
      <c r="G1936" s="1152" t="s">
        <v>9</v>
      </c>
    </row>
    <row r="1937" spans="1:7" ht="12.75" customHeight="1">
      <c r="A1937" s="1272">
        <v>43577</v>
      </c>
      <c r="B1937" s="279" t="str">
        <f>TiposLancamentos!B16</f>
        <v>Cristiane</v>
      </c>
      <c r="C1937" s="280" t="s">
        <v>19626</v>
      </c>
      <c r="D1937" s="281"/>
      <c r="E1937" s="1293">
        <v>26.2</v>
      </c>
      <c r="F1937" s="1271"/>
      <c r="G1937" s="1152" t="s">
        <v>9</v>
      </c>
    </row>
    <row r="1938" spans="1:7">
      <c r="A1938" s="1272">
        <v>43577</v>
      </c>
      <c r="B1938" s="279" t="str">
        <f>TiposLancamentos!B5</f>
        <v>Supermercado</v>
      </c>
      <c r="C1938" s="280" t="s">
        <v>6234</v>
      </c>
      <c r="D1938" s="281"/>
      <c r="E1938" s="1293">
        <v>116.2</v>
      </c>
      <c r="F1938" s="1271"/>
      <c r="G1938" s="1152" t="s">
        <v>9</v>
      </c>
    </row>
    <row r="1939" spans="1:7">
      <c r="A1939" s="1272">
        <v>43577</v>
      </c>
      <c r="B1939" s="279" t="str">
        <f>TiposLancamentos!B16</f>
        <v>Cristiane</v>
      </c>
      <c r="C1939" s="280" t="s">
        <v>6052</v>
      </c>
      <c r="D1939" s="281"/>
      <c r="E1939" s="1293">
        <v>45.13</v>
      </c>
      <c r="F1939" s="1271"/>
      <c r="G1939" s="1152" t="s">
        <v>9</v>
      </c>
    </row>
    <row r="1940" spans="1:7">
      <c r="A1940" s="1272">
        <v>43578</v>
      </c>
      <c r="B1940" s="279" t="str">
        <f>TiposLancamentos!B16</f>
        <v>Cristiane</v>
      </c>
      <c r="C1940" s="280" t="s">
        <v>19627</v>
      </c>
      <c r="D1940" s="281"/>
      <c r="E1940" s="1293">
        <v>77.11</v>
      </c>
      <c r="F1940" s="1271"/>
      <c r="G1940" s="1152" t="s">
        <v>9</v>
      </c>
    </row>
    <row r="1941" spans="1:7">
      <c r="A1941" s="884">
        <v>43578</v>
      </c>
      <c r="B1941" s="240" t="str">
        <f>TiposLancamentos!B56</f>
        <v>Farmácia</v>
      </c>
      <c r="C1941" s="878" t="s">
        <v>19628</v>
      </c>
      <c r="D1941" s="63"/>
      <c r="E1941" s="231">
        <v>41.77</v>
      </c>
      <c r="F1941" s="899"/>
      <c r="G1941" s="1152" t="s">
        <v>9</v>
      </c>
    </row>
    <row r="1942" spans="1:7">
      <c r="A1942" s="884">
        <v>43578</v>
      </c>
      <c r="B1942" s="240" t="str">
        <f>TiposLancamentos!B56</f>
        <v>Farmácia</v>
      </c>
      <c r="C1942" s="878" t="s">
        <v>19629</v>
      </c>
      <c r="D1942" s="63"/>
      <c r="E1942" s="231">
        <v>53.51</v>
      </c>
      <c r="F1942" s="899"/>
      <c r="G1942" s="1152" t="s">
        <v>9</v>
      </c>
    </row>
    <row r="1943" spans="1:7">
      <c r="A1943" s="884">
        <v>43578</v>
      </c>
      <c r="B1943" s="240" t="str">
        <f>TiposLancamentos!B71</f>
        <v>Itens Pessoais</v>
      </c>
      <c r="C1943" s="878" t="s">
        <v>19630</v>
      </c>
      <c r="D1943" s="63"/>
      <c r="E1943" s="231">
        <v>152.63999999999999</v>
      </c>
      <c r="F1943" s="899"/>
      <c r="G1943" s="1152" t="s">
        <v>9</v>
      </c>
    </row>
    <row r="1944" spans="1:7">
      <c r="A1944" s="884">
        <v>43578</v>
      </c>
      <c r="B1944" s="240" t="str">
        <f>TiposLancamentos!B71</f>
        <v>Itens Pessoais</v>
      </c>
      <c r="C1944" s="878" t="s">
        <v>19631</v>
      </c>
      <c r="D1944" s="63"/>
      <c r="E1944" s="231">
        <v>152.63</v>
      </c>
      <c r="F1944" s="899"/>
      <c r="G1944" s="1152" t="s">
        <v>9</v>
      </c>
    </row>
    <row r="1945" spans="1:7">
      <c r="A1945" s="884">
        <v>43578</v>
      </c>
      <c r="B1945" s="240" t="str">
        <f>TiposLancamentos!B71</f>
        <v>Itens Pessoais</v>
      </c>
      <c r="C1945" s="878" t="s">
        <v>19632</v>
      </c>
      <c r="D1945" s="63"/>
      <c r="E1945" s="231">
        <v>152.63</v>
      </c>
      <c r="F1945" s="899">
        <f>SUBTOTAL(9,E1943:E1945)</f>
        <v>457.9</v>
      </c>
      <c r="G1945" s="1152" t="s">
        <v>9</v>
      </c>
    </row>
    <row r="1946" spans="1:7">
      <c r="A1946" s="1272">
        <v>43578</v>
      </c>
      <c r="B1946" s="279" t="str">
        <f>TiposLancamentos!B16</f>
        <v>Cristiane</v>
      </c>
      <c r="C1946" s="280" t="s">
        <v>19633</v>
      </c>
      <c r="D1946" s="281"/>
      <c r="E1946" s="1293">
        <v>78</v>
      </c>
      <c r="F1946" s="1271"/>
      <c r="G1946" s="1152" t="s">
        <v>9</v>
      </c>
    </row>
    <row r="1947" spans="1:7">
      <c r="A1947" s="1272">
        <v>43579</v>
      </c>
      <c r="B1947" s="279" t="str">
        <f>TiposLancamentos!B16</f>
        <v>Cristiane</v>
      </c>
      <c r="C1947" s="280" t="s">
        <v>19634</v>
      </c>
      <c r="D1947" s="281"/>
      <c r="E1947" s="1293">
        <v>11.74</v>
      </c>
      <c r="F1947" s="1271"/>
      <c r="G1947" s="1152" t="s">
        <v>9</v>
      </c>
    </row>
    <row r="1948" spans="1:7">
      <c r="A1948" s="1272">
        <v>43579</v>
      </c>
      <c r="B1948" s="279" t="str">
        <f>TiposLancamentos!B16</f>
        <v>Cristiane</v>
      </c>
      <c r="C1948" s="280" t="s">
        <v>19635</v>
      </c>
      <c r="D1948" s="281"/>
      <c r="E1948" s="1293">
        <v>50.6</v>
      </c>
      <c r="F1948" s="1271"/>
      <c r="G1948" s="1152" t="s">
        <v>9</v>
      </c>
    </row>
    <row r="1949" spans="1:7">
      <c r="A1949" s="1272">
        <v>43579</v>
      </c>
      <c r="B1949" s="279" t="str">
        <f>TiposLancamentos!B16</f>
        <v>Cristiane</v>
      </c>
      <c r="C1949" s="280" t="s">
        <v>19634</v>
      </c>
      <c r="D1949" s="281"/>
      <c r="E1949" s="1293">
        <v>5.35</v>
      </c>
      <c r="F1949" s="1271"/>
      <c r="G1949" s="1152" t="s">
        <v>9</v>
      </c>
    </row>
    <row r="1950" spans="1:7">
      <c r="A1950" s="884">
        <v>43580</v>
      </c>
      <c r="B1950" s="240" t="str">
        <f>TiposLancamentos!B71</f>
        <v>Itens Pessoais</v>
      </c>
      <c r="C1950" s="878" t="s">
        <v>19636</v>
      </c>
      <c r="D1950" s="63"/>
      <c r="E1950" s="231">
        <v>197</v>
      </c>
      <c r="F1950" s="899"/>
      <c r="G1950" s="1152" t="s">
        <v>9</v>
      </c>
    </row>
    <row r="1951" spans="1:7">
      <c r="A1951" s="884">
        <v>43580</v>
      </c>
      <c r="B1951" s="240" t="str">
        <f>TiposLancamentos!B3</f>
        <v>Internet</v>
      </c>
      <c r="C1951" s="878" t="s">
        <v>15349</v>
      </c>
      <c r="D1951" s="63"/>
      <c r="E1951" s="231">
        <v>64.900000000000006</v>
      </c>
      <c r="F1951" s="899"/>
      <c r="G1951" s="1152" t="s">
        <v>9</v>
      </c>
    </row>
    <row r="1952" spans="1:7">
      <c r="A1952" s="884">
        <v>43580</v>
      </c>
      <c r="B1952" s="240" t="str">
        <f>TiposLancamentos!B5</f>
        <v>Supermercado</v>
      </c>
      <c r="C1952" s="878" t="s">
        <v>19637</v>
      </c>
      <c r="D1952" s="63"/>
      <c r="E1952" s="231">
        <v>129.33000000000001</v>
      </c>
      <c r="F1952" s="899"/>
      <c r="G1952" s="1152" t="s">
        <v>9</v>
      </c>
    </row>
    <row r="1953" spans="1:7">
      <c r="A1953" s="884">
        <v>43582</v>
      </c>
      <c r="B1953" s="240" t="str">
        <f>TiposLancamentos!B5</f>
        <v>Supermercado</v>
      </c>
      <c r="C1953" s="878" t="s">
        <v>19638</v>
      </c>
      <c r="D1953" s="63"/>
      <c r="E1953" s="231">
        <v>47.98</v>
      </c>
      <c r="F1953" s="899"/>
      <c r="G1953" s="1152" t="s">
        <v>9</v>
      </c>
    </row>
    <row r="1954" spans="1:7">
      <c r="A1954" s="884">
        <v>43582</v>
      </c>
      <c r="B1954" s="240" t="str">
        <f>TiposLancamentos!B56</f>
        <v>Farmácia</v>
      </c>
      <c r="C1954" s="878" t="s">
        <v>6118</v>
      </c>
      <c r="D1954" s="63"/>
      <c r="E1954" s="231">
        <v>78.989999999999995</v>
      </c>
      <c r="F1954" s="899"/>
      <c r="G1954" s="1152" t="s">
        <v>9</v>
      </c>
    </row>
    <row r="1955" spans="1:7">
      <c r="A1955" s="884">
        <v>43583</v>
      </c>
      <c r="B1955" s="240" t="str">
        <f>TiposLancamentos!B45</f>
        <v>Online Services</v>
      </c>
      <c r="C1955" s="878" t="s">
        <v>1894</v>
      </c>
      <c r="D1955" s="63"/>
      <c r="E1955" s="231">
        <v>32.9</v>
      </c>
      <c r="F1955" s="899"/>
      <c r="G1955" s="1152" t="s">
        <v>9</v>
      </c>
    </row>
    <row r="1956" spans="1:7">
      <c r="A1956" s="884">
        <v>43583</v>
      </c>
      <c r="B1956" s="240" t="str">
        <f>TiposLancamentos!B45</f>
        <v>Online Services</v>
      </c>
      <c r="C1956" s="878" t="s">
        <v>1895</v>
      </c>
      <c r="D1956" s="63"/>
      <c r="E1956" s="231">
        <v>26.9</v>
      </c>
      <c r="F1956" s="899"/>
      <c r="G1956" s="1152" t="s">
        <v>9</v>
      </c>
    </row>
    <row r="1957" spans="1:7">
      <c r="A1957" s="884">
        <v>43583</v>
      </c>
      <c r="B1957" s="240" t="str">
        <f>TiposLancamentos!B71</f>
        <v>Itens Pessoais</v>
      </c>
      <c r="C1957" s="878" t="s">
        <v>19639</v>
      </c>
      <c r="D1957" s="63"/>
      <c r="E1957" s="231">
        <v>287.5</v>
      </c>
      <c r="F1957" s="899">
        <v>1150</v>
      </c>
      <c r="G1957" s="1152" t="s">
        <v>9</v>
      </c>
    </row>
    <row r="1958" spans="1:7">
      <c r="A1958" s="884">
        <v>43583</v>
      </c>
      <c r="B1958" s="240" t="str">
        <f>TiposLancamentos!B19</f>
        <v>Restaurantes</v>
      </c>
      <c r="C1958" s="878" t="s">
        <v>19640</v>
      </c>
      <c r="D1958" s="63"/>
      <c r="E1958" s="231">
        <v>27</v>
      </c>
      <c r="F1958" s="899"/>
      <c r="G1958" s="1152" t="s">
        <v>9</v>
      </c>
    </row>
    <row r="1959" spans="1:7">
      <c r="A1959" s="884">
        <v>43583</v>
      </c>
      <c r="B1959" s="240" t="str">
        <f>TiposLancamentos!B19</f>
        <v>Restaurantes</v>
      </c>
      <c r="C1959" s="878" t="s">
        <v>19641</v>
      </c>
      <c r="D1959" s="63"/>
      <c r="E1959" s="231">
        <v>14.8</v>
      </c>
      <c r="F1959" s="899"/>
      <c r="G1959" s="1152" t="s">
        <v>9</v>
      </c>
    </row>
    <row r="1960" spans="1:7">
      <c r="A1960" s="1272">
        <v>43583</v>
      </c>
      <c r="B1960" s="279" t="str">
        <f>TiposLancamentos!B19</f>
        <v>Restaurantes</v>
      </c>
      <c r="C1960" s="280" t="s">
        <v>19642</v>
      </c>
      <c r="D1960" s="281"/>
      <c r="E1960" s="1293">
        <v>44</v>
      </c>
      <c r="F1960" s="1271"/>
      <c r="G1960" s="1152" t="s">
        <v>9</v>
      </c>
    </row>
    <row r="1961" spans="1:7">
      <c r="A1961" s="884">
        <v>43583</v>
      </c>
      <c r="B1961" s="240" t="str">
        <f>TiposLancamentos!B56</f>
        <v>Farmácia</v>
      </c>
      <c r="C1961" s="878" t="s">
        <v>19643</v>
      </c>
      <c r="D1961" s="63"/>
      <c r="E1961" s="231">
        <v>21.01</v>
      </c>
      <c r="F1961" s="899"/>
      <c r="G1961" s="1152" t="s">
        <v>9</v>
      </c>
    </row>
    <row r="1962" spans="1:7">
      <c r="A1962" s="1272">
        <v>43583</v>
      </c>
      <c r="B1962" s="279" t="str">
        <f>TiposLancamentos!B16</f>
        <v>Cristiane</v>
      </c>
      <c r="C1962" s="280" t="s">
        <v>19644</v>
      </c>
      <c r="D1962" s="281"/>
      <c r="E1962" s="1293">
        <v>36.700000000000003</v>
      </c>
      <c r="F1962" s="1271"/>
      <c r="G1962" s="1152" t="s">
        <v>9</v>
      </c>
    </row>
    <row r="1963" spans="1:7">
      <c r="A1963" s="884">
        <v>43583</v>
      </c>
      <c r="B1963" s="240" t="str">
        <f>TiposLancamentos!B48</f>
        <v>Baralhos e Oráculos</v>
      </c>
      <c r="C1963" s="878" t="s">
        <v>19645</v>
      </c>
      <c r="D1963" s="63"/>
      <c r="E1963" s="231">
        <v>70</v>
      </c>
      <c r="F1963" s="899"/>
      <c r="G1963" s="1152" t="s">
        <v>9</v>
      </c>
    </row>
    <row r="1964" spans="1:7">
      <c r="A1964" s="884">
        <v>43583</v>
      </c>
      <c r="B1964" s="240" t="str">
        <f>TiposLancamentos!B73</f>
        <v>Cursos</v>
      </c>
      <c r="C1964" s="878" t="s">
        <v>19090</v>
      </c>
      <c r="D1964" s="63"/>
      <c r="E1964" s="231">
        <v>55</v>
      </c>
      <c r="F1964" s="899"/>
      <c r="G1964" s="1152" t="s">
        <v>9</v>
      </c>
    </row>
    <row r="1965" spans="1:7">
      <c r="A1965" s="884">
        <v>43583</v>
      </c>
      <c r="B1965" s="240" t="str">
        <f>TiposLancamentos!B5</f>
        <v>Supermercado</v>
      </c>
      <c r="C1965" s="878" t="s">
        <v>6234</v>
      </c>
      <c r="D1965" s="63"/>
      <c r="E1965" s="231">
        <v>42.85</v>
      </c>
      <c r="F1965" s="899"/>
      <c r="G1965" s="1152" t="s">
        <v>9</v>
      </c>
    </row>
    <row r="1966" spans="1:7">
      <c r="A1966" s="884">
        <v>43584</v>
      </c>
      <c r="B1966" s="240" t="str">
        <f>TiposLancamentos!B22</f>
        <v>Combustivel</v>
      </c>
      <c r="C1966" s="878" t="s">
        <v>19337</v>
      </c>
      <c r="D1966" s="63"/>
      <c r="E1966" s="231">
        <v>50</v>
      </c>
      <c r="F1966" s="899"/>
      <c r="G1966" s="1152" t="s">
        <v>9</v>
      </c>
    </row>
    <row r="1967" spans="1:7">
      <c r="A1967" s="1272">
        <v>43584</v>
      </c>
      <c r="B1967" s="1645" t="str">
        <f>TiposLancamentos!B16</f>
        <v>Cristiane</v>
      </c>
      <c r="C1967" s="280" t="s">
        <v>19646</v>
      </c>
      <c r="D1967" s="281"/>
      <c r="E1967" s="1293">
        <v>11.51</v>
      </c>
      <c r="F1967" s="1271"/>
      <c r="G1967" s="1152" t="s">
        <v>9</v>
      </c>
    </row>
    <row r="1968" spans="1:7">
      <c r="A1968" s="884">
        <v>43584</v>
      </c>
      <c r="B1968" s="240" t="str">
        <f>TiposLancamentos!B16</f>
        <v>Cristiane</v>
      </c>
      <c r="C1968" s="878" t="s">
        <v>19647</v>
      </c>
      <c r="D1968" s="63"/>
      <c r="E1968" s="231">
        <v>287.97000000000003</v>
      </c>
      <c r="F1968" s="899"/>
      <c r="G1968" s="1152" t="s">
        <v>9</v>
      </c>
    </row>
    <row r="1969" spans="1:7">
      <c r="A1969" s="884">
        <v>43584</v>
      </c>
      <c r="B1969" s="240" t="str">
        <f>TiposLancamentos!B16</f>
        <v>Cristiane</v>
      </c>
      <c r="C1969" s="878" t="s">
        <v>19648</v>
      </c>
      <c r="D1969" s="63"/>
      <c r="E1969" s="231">
        <v>15.98</v>
      </c>
      <c r="F1969" s="899"/>
      <c r="G1969" s="1152" t="s">
        <v>9</v>
      </c>
    </row>
    <row r="1970" spans="1:7">
      <c r="A1970" s="884">
        <v>43584</v>
      </c>
      <c r="B1970" s="240" t="str">
        <f>TiposLancamentos!B19</f>
        <v>Restaurantes</v>
      </c>
      <c r="C1970" s="878" t="s">
        <v>19649</v>
      </c>
      <c r="D1970" s="63"/>
      <c r="E1970" s="231">
        <v>53.9</v>
      </c>
      <c r="F1970" s="899"/>
      <c r="G1970" s="1152" t="s">
        <v>9</v>
      </c>
    </row>
    <row r="1971" spans="1:7">
      <c r="A1971" s="884">
        <v>43584</v>
      </c>
      <c r="B1971" s="240" t="str">
        <f>TiposLancamentos!B16</f>
        <v>Cristiane</v>
      </c>
      <c r="C1971" s="878" t="s">
        <v>6052</v>
      </c>
      <c r="D1971" s="63"/>
      <c r="E1971" s="231">
        <v>101.7</v>
      </c>
      <c r="F1971" s="899"/>
      <c r="G1971" s="1152" t="s">
        <v>9</v>
      </c>
    </row>
    <row r="1972" spans="1:7">
      <c r="A1972" s="884">
        <v>43584</v>
      </c>
      <c r="B1972" s="240" t="str">
        <f>TiposLancamentos!B102</f>
        <v>ESTORNO</v>
      </c>
      <c r="C1972" s="878" t="s">
        <v>19650</v>
      </c>
      <c r="D1972" s="63">
        <v>457.9</v>
      </c>
      <c r="E1972" s="231"/>
      <c r="F1972" s="899"/>
      <c r="G1972" s="1152" t="s">
        <v>9</v>
      </c>
    </row>
    <row r="1973" spans="1:7">
      <c r="A1973" s="884">
        <v>43585</v>
      </c>
      <c r="B1973" s="240" t="str">
        <f>TiposLancamentos!B4</f>
        <v>Taxas Bancarias</v>
      </c>
      <c r="C1973" s="878" t="s">
        <v>19651</v>
      </c>
      <c r="D1973" s="63"/>
      <c r="E1973" s="231">
        <v>0.01</v>
      </c>
      <c r="F1973" s="899"/>
      <c r="G1973" s="1152" t="s">
        <v>9</v>
      </c>
    </row>
    <row r="1974" spans="1:7">
      <c r="A1974" s="884">
        <v>43585</v>
      </c>
      <c r="B1974" s="240" t="str">
        <f>TiposLancamentos!B44</f>
        <v>Academia</v>
      </c>
      <c r="C1974" s="878" t="s">
        <v>19652</v>
      </c>
      <c r="D1974" s="63"/>
      <c r="E1974" s="231">
        <v>115.6</v>
      </c>
      <c r="F1974" s="899"/>
      <c r="G1974" s="1152" t="s">
        <v>9</v>
      </c>
    </row>
    <row r="1975" spans="1:7" ht="14.25" thickBot="1">
      <c r="A1975" s="1272">
        <v>43585</v>
      </c>
      <c r="B1975" s="1645" t="str">
        <f>TiposLancamentos!B16</f>
        <v>Cristiane</v>
      </c>
      <c r="C1975" s="280" t="s">
        <v>19652</v>
      </c>
      <c r="D1975" s="281"/>
      <c r="E1975" s="1293">
        <v>115.6</v>
      </c>
      <c r="F1975" s="1271"/>
      <c r="G1975" s="1152" t="s">
        <v>9</v>
      </c>
    </row>
    <row r="1976" spans="1:7">
      <c r="A1976" s="1032"/>
      <c r="B1976" s="1230"/>
      <c r="C1976" s="906" t="s">
        <v>19653</v>
      </c>
      <c r="D1976" s="896"/>
      <c r="E1976" s="925"/>
      <c r="F1976" s="898">
        <f>SUM(E1845:E1917)-(D1914+D1890)</f>
        <v>7615.2024999999985</v>
      </c>
      <c r="G1976" s="3"/>
    </row>
    <row r="1977" spans="1:7">
      <c r="A1977" s="884">
        <v>43586</v>
      </c>
      <c r="B1977" s="240" t="str">
        <f>TiposLancamentos!B65</f>
        <v>Taxi</v>
      </c>
      <c r="C1977" s="878" t="s">
        <v>19654</v>
      </c>
      <c r="D1977" s="63"/>
      <c r="E1977" s="231">
        <v>69.14</v>
      </c>
      <c r="F1977" s="899"/>
      <c r="G1977" s="1152" t="s">
        <v>9</v>
      </c>
    </row>
    <row r="1978" spans="1:7">
      <c r="A1978" s="884">
        <v>43586</v>
      </c>
      <c r="B1978" s="240" t="str">
        <f>TiposLancamentos!B19</f>
        <v>Restaurantes</v>
      </c>
      <c r="C1978" s="878" t="s">
        <v>19655</v>
      </c>
      <c r="D1978" s="63"/>
      <c r="E1978" s="231">
        <v>159.19</v>
      </c>
      <c r="F1978" s="899" t="s">
        <v>19656</v>
      </c>
      <c r="G1978" s="1094" t="s">
        <v>11</v>
      </c>
    </row>
    <row r="1979" spans="1:7">
      <c r="A1979" s="884">
        <v>43587</v>
      </c>
      <c r="B1979" s="240" t="str">
        <f>TiposLancamentos!B15</f>
        <v>Cartões de Crédito</v>
      </c>
      <c r="C1979" s="878" t="s">
        <v>1874</v>
      </c>
      <c r="D1979" s="63">
        <v>7157.3</v>
      </c>
      <c r="E1979" s="231"/>
      <c r="F1979" s="899"/>
      <c r="G1979" s="1152" t="s">
        <v>9</v>
      </c>
    </row>
    <row r="1980" spans="1:7">
      <c r="A1980" s="884">
        <v>43587</v>
      </c>
      <c r="B1980" s="240" t="str">
        <f>TiposLancamentos!B19</f>
        <v>Restaurantes</v>
      </c>
      <c r="C1980" s="878" t="s">
        <v>19657</v>
      </c>
      <c r="D1980" s="63"/>
      <c r="E1980" s="231">
        <v>267.20999999999998</v>
      </c>
      <c r="F1980" s="899" t="s">
        <v>19658</v>
      </c>
      <c r="G1980" s="1094" t="s">
        <v>11</v>
      </c>
    </row>
    <row r="1981" spans="1:7">
      <c r="A1981" s="1272">
        <v>43587</v>
      </c>
      <c r="B1981" s="279" t="str">
        <f>TiposLancamentos!B65</f>
        <v>Taxi</v>
      </c>
      <c r="C1981" s="280" t="s">
        <v>19659</v>
      </c>
      <c r="D1981" s="281"/>
      <c r="E1981" s="1293">
        <v>37.06</v>
      </c>
      <c r="F1981" s="1271" t="s">
        <v>19660</v>
      </c>
      <c r="G1981" s="1094" t="s">
        <v>11</v>
      </c>
    </row>
    <row r="1982" spans="1:7">
      <c r="A1982" s="884">
        <v>43587</v>
      </c>
      <c r="B1982" s="240" t="str">
        <f>TiposLancamentos!B19</f>
        <v>Restaurantes</v>
      </c>
      <c r="C1982" s="878" t="s">
        <v>19661</v>
      </c>
      <c r="D1982" s="63"/>
      <c r="E1982" s="231">
        <v>123.02</v>
      </c>
      <c r="F1982" s="899" t="s">
        <v>19662</v>
      </c>
      <c r="G1982" s="1094" t="s">
        <v>11</v>
      </c>
    </row>
    <row r="1983" spans="1:7">
      <c r="A1983" s="1272">
        <v>43587</v>
      </c>
      <c r="B1983" s="279" t="str">
        <f>TiposLancamentos!B65</f>
        <v>Taxi</v>
      </c>
      <c r="C1983" s="280" t="s">
        <v>19663</v>
      </c>
      <c r="D1983" s="281"/>
      <c r="E1983" s="1293">
        <v>27.3</v>
      </c>
      <c r="F1983" s="1271" t="s">
        <v>19664</v>
      </c>
      <c r="G1983" s="1094" t="s">
        <v>11</v>
      </c>
    </row>
    <row r="1984" spans="1:7">
      <c r="A1984" s="884">
        <v>43588</v>
      </c>
      <c r="B1984" s="240" t="str">
        <f>TiposLancamentos!B19</f>
        <v>Restaurantes</v>
      </c>
      <c r="C1984" s="878" t="s">
        <v>19665</v>
      </c>
      <c r="D1984" s="63"/>
      <c r="E1984" s="231">
        <v>211.68</v>
      </c>
      <c r="F1984" s="899" t="s">
        <v>19666</v>
      </c>
      <c r="G1984" s="1094" t="s">
        <v>11</v>
      </c>
    </row>
    <row r="1985" spans="1:7">
      <c r="A1985" s="1272">
        <v>43588</v>
      </c>
      <c r="B1985" s="279" t="str">
        <f>TiposLancamentos!B65</f>
        <v>Taxi</v>
      </c>
      <c r="C1985" s="280" t="s">
        <v>19667</v>
      </c>
      <c r="D1985" s="281"/>
      <c r="E1985" s="1293">
        <v>79.66</v>
      </c>
      <c r="F1985" s="1271" t="s">
        <v>19668</v>
      </c>
      <c r="G1985" s="1094" t="s">
        <v>11</v>
      </c>
    </row>
    <row r="1986" spans="1:7">
      <c r="A1986" s="884">
        <v>43589</v>
      </c>
      <c r="B1986" s="240" t="str">
        <f>TiposLancamentos!B19</f>
        <v>Restaurantes</v>
      </c>
      <c r="C1986" s="878" t="s">
        <v>19669</v>
      </c>
      <c r="D1986" s="63"/>
      <c r="E1986" s="231">
        <v>179.52</v>
      </c>
      <c r="F1986" s="899" t="s">
        <v>19670</v>
      </c>
      <c r="G1986" s="1094" t="s">
        <v>11</v>
      </c>
    </row>
    <row r="1987" spans="1:7">
      <c r="A1987" s="1272">
        <v>43589</v>
      </c>
      <c r="B1987" s="279" t="str">
        <f>TiposLancamentos!B65</f>
        <v>Taxi</v>
      </c>
      <c r="C1987" s="280" t="s">
        <v>19671</v>
      </c>
      <c r="D1987" s="281"/>
      <c r="E1987" s="1293">
        <v>29.2</v>
      </c>
      <c r="F1987" s="1271" t="s">
        <v>19672</v>
      </c>
      <c r="G1987" s="1094" t="s">
        <v>11</v>
      </c>
    </row>
    <row r="1988" spans="1:7">
      <c r="A1988" s="884">
        <v>43591</v>
      </c>
      <c r="B1988" s="240" t="str">
        <f>TiposLancamentos!B78</f>
        <v>Diferenças</v>
      </c>
      <c r="C1988" s="878" t="s">
        <v>19673</v>
      </c>
      <c r="D1988" s="63"/>
      <c r="E1988" s="231">
        <v>0.28000000000000003</v>
      </c>
      <c r="F1988" s="899">
        <v>257.57</v>
      </c>
      <c r="G1988" s="1094" t="s">
        <v>11</v>
      </c>
    </row>
    <row r="1989" spans="1:7">
      <c r="A1989" s="884">
        <v>43591</v>
      </c>
      <c r="B1989" s="240" t="str">
        <f>TiposLancamentos!B78</f>
        <v>Diferenças</v>
      </c>
      <c r="C1989" s="878" t="s">
        <v>19674</v>
      </c>
      <c r="D1989" s="63"/>
      <c r="E1989" s="231">
        <v>457.9</v>
      </c>
      <c r="F1989" s="899">
        <v>4.226</v>
      </c>
      <c r="G1989" s="1094" t="s">
        <v>11</v>
      </c>
    </row>
    <row r="1990" spans="1:7">
      <c r="A1990" s="884">
        <v>43591</v>
      </c>
      <c r="B1990" s="240" t="str">
        <f>TiposLancamentos!B4</f>
        <v>Taxas Bancarias</v>
      </c>
      <c r="C1990" s="878" t="s">
        <v>19675</v>
      </c>
      <c r="D1990" s="63"/>
      <c r="E1990" s="231">
        <v>64.27</v>
      </c>
      <c r="F1990" s="899"/>
      <c r="G1990" s="1094" t="s">
        <v>11</v>
      </c>
    </row>
    <row r="1991" spans="1:7">
      <c r="A1991" s="884">
        <v>43590</v>
      </c>
      <c r="B1991" s="240" t="str">
        <f>TiposLancamentos!B65</f>
        <v>Taxi</v>
      </c>
      <c r="C1991" s="878" t="s">
        <v>19676</v>
      </c>
      <c r="D1991" s="63"/>
      <c r="E1991" s="231">
        <v>91.29</v>
      </c>
      <c r="F1991" s="899"/>
      <c r="G1991" s="1152" t="s">
        <v>9</v>
      </c>
    </row>
    <row r="1992" spans="1:7">
      <c r="A1992" s="884">
        <v>43590</v>
      </c>
      <c r="B1992" s="240" t="str">
        <f>TiposLancamentos!B65</f>
        <v>Taxi</v>
      </c>
      <c r="C1992" s="878" t="s">
        <v>19677</v>
      </c>
      <c r="D1992" s="63"/>
      <c r="E1992" s="231">
        <v>5</v>
      </c>
      <c r="F1992" s="899"/>
      <c r="G1992" s="1152" t="s">
        <v>9</v>
      </c>
    </row>
    <row r="1993" spans="1:7">
      <c r="A1993" s="1272">
        <v>43590</v>
      </c>
      <c r="B1993" s="279" t="str">
        <f>TiposLancamentos!B19</f>
        <v>Restaurantes</v>
      </c>
      <c r="C1993" s="280" t="s">
        <v>19528</v>
      </c>
      <c r="D1993" s="281"/>
      <c r="E1993" s="1293">
        <v>50</v>
      </c>
      <c r="F1993" s="1271"/>
      <c r="G1993" s="1152" t="s">
        <v>9</v>
      </c>
    </row>
    <row r="1994" spans="1:7">
      <c r="A1994" s="884">
        <v>43591</v>
      </c>
      <c r="B1994" s="240" t="str">
        <f>TiposLancamentos!B30</f>
        <v>Cinema</v>
      </c>
      <c r="C1994" s="878" t="s">
        <v>19678</v>
      </c>
      <c r="D1994" s="63"/>
      <c r="E1994" s="231">
        <v>84.36</v>
      </c>
      <c r="F1994" s="899"/>
      <c r="G1994" s="1152" t="s">
        <v>9</v>
      </c>
    </row>
    <row r="1995" spans="1:7">
      <c r="A1995" s="1272">
        <v>43591</v>
      </c>
      <c r="B1995" s="279" t="str">
        <f>TiposLancamentos!B5</f>
        <v>Supermercado</v>
      </c>
      <c r="C1995" s="280" t="s">
        <v>6234</v>
      </c>
      <c r="D1995" s="281"/>
      <c r="E1995" s="1293">
        <v>200.38</v>
      </c>
      <c r="F1995" s="1271"/>
      <c r="G1995" s="1152" t="s">
        <v>9</v>
      </c>
    </row>
    <row r="1996" spans="1:7">
      <c r="A1996" s="884">
        <v>43591</v>
      </c>
      <c r="B1996" s="240" t="str">
        <f>TiposLancamentos!B71</f>
        <v>Itens Pessoais</v>
      </c>
      <c r="C1996" s="878" t="s">
        <v>19679</v>
      </c>
      <c r="D1996" s="63"/>
      <c r="E1996" s="231">
        <v>150.01</v>
      </c>
      <c r="F1996" s="899">
        <v>449.99</v>
      </c>
      <c r="G1996" s="1152" t="s">
        <v>9</v>
      </c>
    </row>
    <row r="1997" spans="1:7">
      <c r="A1997" s="884">
        <v>43591</v>
      </c>
      <c r="B1997" s="240" t="str">
        <f>TiposLancamentos!B5</f>
        <v>Supermercado</v>
      </c>
      <c r="C1997" s="878" t="s">
        <v>19680</v>
      </c>
      <c r="D1997" s="63"/>
      <c r="E1997" s="231">
        <v>20.07</v>
      </c>
      <c r="F1997" s="899"/>
      <c r="G1997" s="1152" t="s">
        <v>9</v>
      </c>
    </row>
    <row r="1998" spans="1:7">
      <c r="A1998" s="1272">
        <v>43593</v>
      </c>
      <c r="B1998" s="279" t="str">
        <f>TiposLancamentos!B16</f>
        <v>Cristiane</v>
      </c>
      <c r="C1998" s="280" t="s">
        <v>13860</v>
      </c>
      <c r="D1998" s="281"/>
      <c r="E1998" s="1293">
        <v>47.8</v>
      </c>
      <c r="F1998" s="1271"/>
      <c r="G1998" s="1152" t="s">
        <v>9</v>
      </c>
    </row>
    <row r="1999" spans="1:7">
      <c r="A1999" s="1226">
        <v>43594</v>
      </c>
      <c r="B1999" s="1218" t="str">
        <f>TiposLancamentos!B62</f>
        <v>Papelaria</v>
      </c>
      <c r="C1999" s="1219" t="s">
        <v>19681</v>
      </c>
      <c r="D1999" s="1220"/>
      <c r="E1999" s="1221">
        <f>(3*5.99)</f>
        <v>17.97</v>
      </c>
      <c r="F1999" s="1227"/>
      <c r="G1999" s="1152" t="s">
        <v>9</v>
      </c>
    </row>
    <row r="2000" spans="1:7">
      <c r="A2000" s="1228">
        <v>43594</v>
      </c>
      <c r="B2000" s="1222" t="str">
        <f>TiposLancamentos!B16</f>
        <v>Cristiane</v>
      </c>
      <c r="C2000" s="1223" t="s">
        <v>19682</v>
      </c>
      <c r="D2000" s="1224"/>
      <c r="E2000" s="1225">
        <f>F2000-E1999</f>
        <v>1.3800000000000026</v>
      </c>
      <c r="F2000" s="1229">
        <v>19.350000000000001</v>
      </c>
      <c r="G2000" s="1152" t="s">
        <v>9</v>
      </c>
    </row>
    <row r="2001" spans="1:7">
      <c r="A2001" s="1272">
        <v>43594</v>
      </c>
      <c r="B2001" s="279" t="str">
        <f>TiposLancamentos!B16</f>
        <v>Cristiane</v>
      </c>
      <c r="C2001" s="280" t="s">
        <v>19683</v>
      </c>
      <c r="D2001" s="281"/>
      <c r="E2001" s="1293">
        <v>108.63</v>
      </c>
      <c r="F2001" s="1271"/>
      <c r="G2001" s="1152" t="s">
        <v>9</v>
      </c>
    </row>
    <row r="2002" spans="1:7">
      <c r="A2002" s="884">
        <v>43594</v>
      </c>
      <c r="B2002" s="240" t="str">
        <f>TiposLancamentos!B19</f>
        <v>Restaurantes</v>
      </c>
      <c r="C2002" s="878" t="s">
        <v>17978</v>
      </c>
      <c r="D2002" s="63"/>
      <c r="E2002" s="231">
        <v>12.4</v>
      </c>
      <c r="F2002" s="899"/>
      <c r="G2002" s="1152" t="s">
        <v>9</v>
      </c>
    </row>
    <row r="2003" spans="1:7">
      <c r="A2003" s="884">
        <v>43595</v>
      </c>
      <c r="B2003" s="240" t="str">
        <f>TiposLancamentos!B5</f>
        <v>Supermercado</v>
      </c>
      <c r="C2003" s="878" t="s">
        <v>6234</v>
      </c>
      <c r="D2003" s="63"/>
      <c r="E2003" s="231">
        <v>39.85</v>
      </c>
      <c r="F2003" s="899"/>
      <c r="G2003" s="1152" t="s">
        <v>9</v>
      </c>
    </row>
    <row r="2004" spans="1:7">
      <c r="A2004" s="884">
        <v>43595</v>
      </c>
      <c r="B2004" s="240" t="str">
        <f>TiposLancamentos!B19</f>
        <v>Restaurantes</v>
      </c>
      <c r="C2004" s="878" t="s">
        <v>19684</v>
      </c>
      <c r="D2004" s="63"/>
      <c r="E2004" s="231">
        <v>13.5</v>
      </c>
      <c r="F2004" s="899"/>
      <c r="G2004" s="1152" t="s">
        <v>9</v>
      </c>
    </row>
    <row r="2005" spans="1:7">
      <c r="A2005" s="884">
        <v>43595</v>
      </c>
      <c r="B2005" s="240" t="str">
        <f>TiposLancamentos!B45</f>
        <v>Online Services</v>
      </c>
      <c r="C2005" s="878" t="s">
        <v>19685</v>
      </c>
      <c r="D2005" s="63"/>
      <c r="E2005" s="231">
        <v>163.28</v>
      </c>
      <c r="F2005" s="899">
        <v>489.8</v>
      </c>
      <c r="G2005" s="1152" t="s">
        <v>9</v>
      </c>
    </row>
    <row r="2006" spans="1:7">
      <c r="A2006" s="1272">
        <v>43595</v>
      </c>
      <c r="B2006" s="279" t="str">
        <f>TiposLancamentos!B19</f>
        <v>Restaurantes</v>
      </c>
      <c r="C2006" s="280" t="s">
        <v>19686</v>
      </c>
      <c r="D2006" s="281"/>
      <c r="E2006" s="1293">
        <v>53</v>
      </c>
      <c r="F2006" s="1271"/>
      <c r="G2006" s="1152" t="s">
        <v>9</v>
      </c>
    </row>
    <row r="2007" spans="1:7">
      <c r="A2007" s="1272">
        <v>43597</v>
      </c>
      <c r="B2007" s="279" t="str">
        <f>TiposLancamentos!B16</f>
        <v>Cristiane</v>
      </c>
      <c r="C2007" s="280" t="s">
        <v>19687</v>
      </c>
      <c r="D2007" s="281"/>
      <c r="E2007" s="1293">
        <v>129.46</v>
      </c>
      <c r="F2007" s="1271">
        <f>E2007*3</f>
        <v>388.38</v>
      </c>
      <c r="G2007" s="1152" t="s">
        <v>9</v>
      </c>
    </row>
    <row r="2008" spans="1:7">
      <c r="A2008" s="884">
        <v>43597</v>
      </c>
      <c r="B2008" s="240" t="str">
        <f>TiposLancamentos!B5</f>
        <v>Supermercado</v>
      </c>
      <c r="C2008" s="878" t="s">
        <v>6234</v>
      </c>
      <c r="D2008" s="63"/>
      <c r="E2008" s="231">
        <v>59.29</v>
      </c>
      <c r="F2008" s="899"/>
      <c r="G2008" s="1152" t="s">
        <v>9</v>
      </c>
    </row>
    <row r="2009" spans="1:7">
      <c r="A2009" s="1272">
        <v>43598</v>
      </c>
      <c r="B2009" s="279" t="str">
        <f>TiposLancamentos!B5</f>
        <v>Supermercado</v>
      </c>
      <c r="C2009" s="280" t="s">
        <v>6234</v>
      </c>
      <c r="D2009" s="281"/>
      <c r="E2009" s="1293">
        <v>163.47</v>
      </c>
      <c r="F2009" s="1271"/>
      <c r="G2009" s="1152" t="s">
        <v>9</v>
      </c>
    </row>
    <row r="2010" spans="1:7">
      <c r="A2010" s="1272">
        <v>43599</v>
      </c>
      <c r="B2010" s="279" t="str">
        <f>TiposLancamentos!B16</f>
        <v>Cristiane</v>
      </c>
      <c r="C2010" s="280" t="s">
        <v>19688</v>
      </c>
      <c r="D2010" s="281"/>
      <c r="E2010" s="1293">
        <f>F2010/4</f>
        <v>172.5</v>
      </c>
      <c r="F2010" s="1271">
        <v>690</v>
      </c>
      <c r="G2010" s="1152" t="s">
        <v>9</v>
      </c>
    </row>
    <row r="2011" spans="1:7">
      <c r="A2011" s="884">
        <v>43599</v>
      </c>
      <c r="B2011" s="240" t="str">
        <f>TiposLancamentos!B5</f>
        <v>Supermercado</v>
      </c>
      <c r="C2011" s="878" t="s">
        <v>19689</v>
      </c>
      <c r="D2011" s="63"/>
      <c r="E2011" s="231">
        <v>19.98</v>
      </c>
      <c r="F2011" s="899"/>
      <c r="G2011" s="1152" t="s">
        <v>9</v>
      </c>
    </row>
    <row r="2012" spans="1:7">
      <c r="A2012" s="884">
        <v>43599</v>
      </c>
      <c r="B2012" s="240" t="str">
        <f>TiposLancamentos!B30</f>
        <v>Cinema</v>
      </c>
      <c r="C2012" s="878" t="s">
        <v>19690</v>
      </c>
      <c r="D2012" s="63"/>
      <c r="E2012" s="231">
        <v>59.1</v>
      </c>
      <c r="F2012" s="899"/>
      <c r="G2012" s="1152" t="s">
        <v>9</v>
      </c>
    </row>
    <row r="2013" spans="1:7">
      <c r="A2013" s="884">
        <v>43599</v>
      </c>
      <c r="B2013" s="240" t="str">
        <f>TiposLancamentos!B26</f>
        <v>LIVROS</v>
      </c>
      <c r="C2013" s="878" t="s">
        <v>19691</v>
      </c>
      <c r="D2013" s="63"/>
      <c r="E2013" s="231">
        <v>86.06</v>
      </c>
      <c r="F2013" s="899"/>
      <c r="G2013" s="1152" t="s">
        <v>9</v>
      </c>
    </row>
    <row r="2014" spans="1:7">
      <c r="A2014" s="1226">
        <v>43599</v>
      </c>
      <c r="B2014" s="1218" t="str">
        <f>TiposLancamentos!B62</f>
        <v>Papelaria</v>
      </c>
      <c r="C2014" s="1219" t="s">
        <v>19692</v>
      </c>
      <c r="D2014" s="1220"/>
      <c r="E2014" s="1221">
        <f>9.3*2</f>
        <v>18.600000000000001</v>
      </c>
      <c r="F2014" s="1227"/>
      <c r="G2014" s="1152" t="s">
        <v>9</v>
      </c>
    </row>
    <row r="2015" spans="1:7">
      <c r="A2015" s="1228">
        <v>43599</v>
      </c>
      <c r="B2015" s="1222" t="str">
        <f>TiposLancamentos!B19</f>
        <v>Restaurantes</v>
      </c>
      <c r="C2015" s="1223" t="s">
        <v>19693</v>
      </c>
      <c r="D2015" s="1224"/>
      <c r="E2015" s="1225">
        <f>F2015-E2014</f>
        <v>29.799999999999997</v>
      </c>
      <c r="F2015" s="1229">
        <v>48.4</v>
      </c>
      <c r="G2015" s="1152" t="s">
        <v>9</v>
      </c>
    </row>
    <row r="2016" spans="1:7">
      <c r="A2016" s="884">
        <v>43599</v>
      </c>
      <c r="B2016" s="240" t="str">
        <f>TiposLancamentos!B19</f>
        <v>Restaurantes</v>
      </c>
      <c r="C2016" s="878" t="s">
        <v>8189</v>
      </c>
      <c r="D2016" s="63"/>
      <c r="E2016" s="231">
        <v>47.8</v>
      </c>
      <c r="F2016" s="899"/>
      <c r="G2016" s="1152" t="s">
        <v>9</v>
      </c>
    </row>
    <row r="2017" spans="1:7">
      <c r="A2017" s="884">
        <v>43600</v>
      </c>
      <c r="B2017" s="240" t="str">
        <f>TiposLancamentos!B56</f>
        <v>Farmácia</v>
      </c>
      <c r="C2017" s="878" t="s">
        <v>19694</v>
      </c>
      <c r="D2017" s="63"/>
      <c r="E2017" s="231">
        <v>44.38</v>
      </c>
      <c r="F2017" s="899"/>
      <c r="G2017" s="1152" t="s">
        <v>9</v>
      </c>
    </row>
    <row r="2018" spans="1:7">
      <c r="A2018" s="884">
        <v>43601</v>
      </c>
      <c r="B2018" s="240" t="str">
        <f>TiposLancamentos!B19</f>
        <v>Restaurantes</v>
      </c>
      <c r="C2018" s="878" t="s">
        <v>19695</v>
      </c>
      <c r="D2018" s="63"/>
      <c r="E2018" s="231">
        <v>34.700000000000003</v>
      </c>
      <c r="F2018" s="899"/>
      <c r="G2018" s="1152" t="s">
        <v>9</v>
      </c>
    </row>
    <row r="2019" spans="1:7">
      <c r="A2019" s="884">
        <v>43601</v>
      </c>
      <c r="B2019" s="240" t="str">
        <f>TiposLancamentos!B19</f>
        <v>Restaurantes</v>
      </c>
      <c r="C2019" s="878" t="s">
        <v>19696</v>
      </c>
      <c r="D2019" s="63"/>
      <c r="E2019" s="231">
        <v>12.4</v>
      </c>
      <c r="F2019" s="899"/>
      <c r="G2019" s="1152" t="s">
        <v>9</v>
      </c>
    </row>
    <row r="2020" spans="1:7">
      <c r="A2020" s="884">
        <v>43601</v>
      </c>
      <c r="B2020" s="240" t="str">
        <f>TiposLancamentos!B19</f>
        <v>Restaurantes</v>
      </c>
      <c r="C2020" s="878" t="s">
        <v>19697</v>
      </c>
      <c r="D2020" s="63"/>
      <c r="E2020" s="231">
        <v>7.5</v>
      </c>
      <c r="F2020" s="899"/>
      <c r="G2020" s="1152" t="s">
        <v>9</v>
      </c>
    </row>
    <row r="2021" spans="1:7">
      <c r="A2021" s="1272">
        <v>43601</v>
      </c>
      <c r="B2021" s="279" t="str">
        <f>TiposLancamentos!B16</f>
        <v>Cristiane</v>
      </c>
      <c r="C2021" s="280" t="s">
        <v>19698</v>
      </c>
      <c r="D2021" s="281"/>
      <c r="E2021" s="1293">
        <v>75</v>
      </c>
      <c r="F2021" s="1271"/>
      <c r="G2021" s="1152" t="s">
        <v>9</v>
      </c>
    </row>
    <row r="2022" spans="1:7">
      <c r="A2022" s="884">
        <v>43602</v>
      </c>
      <c r="B2022" s="240" t="str">
        <f>TiposLancamentos!B19</f>
        <v>Restaurantes</v>
      </c>
      <c r="C2022" s="878" t="s">
        <v>19699</v>
      </c>
      <c r="D2022" s="63"/>
      <c r="E2022" s="231">
        <v>12.9</v>
      </c>
      <c r="F2022" s="899"/>
      <c r="G2022" s="1152" t="s">
        <v>9</v>
      </c>
    </row>
    <row r="2023" spans="1:7">
      <c r="A2023" s="1272">
        <v>43602</v>
      </c>
      <c r="B2023" s="279" t="str">
        <f>TiposLancamentos!B19</f>
        <v>Restaurantes</v>
      </c>
      <c r="C2023" s="280" t="s">
        <v>19528</v>
      </c>
      <c r="D2023" s="281"/>
      <c r="E2023" s="1293">
        <v>67</v>
      </c>
      <c r="F2023" s="1271"/>
      <c r="G2023" s="1152" t="s">
        <v>9</v>
      </c>
    </row>
    <row r="2024" spans="1:7">
      <c r="A2024" s="884">
        <v>43603</v>
      </c>
      <c r="B2024" s="240" t="str">
        <f>TiposLancamentos!B19</f>
        <v>Restaurantes</v>
      </c>
      <c r="C2024" s="878" t="s">
        <v>19700</v>
      </c>
      <c r="D2024" s="63"/>
      <c r="E2024" s="231">
        <v>17.25</v>
      </c>
      <c r="F2024" s="899"/>
      <c r="G2024" s="1152" t="s">
        <v>9</v>
      </c>
    </row>
    <row r="2025" spans="1:7">
      <c r="A2025" s="884">
        <v>43603</v>
      </c>
      <c r="B2025" s="240" t="str">
        <f>TiposLancamentos!B70</f>
        <v>Vestuário</v>
      </c>
      <c r="C2025" s="878" t="s">
        <v>19701</v>
      </c>
      <c r="D2025" s="63"/>
      <c r="E2025" s="231">
        <v>478.3</v>
      </c>
      <c r="F2025" s="899">
        <v>2869.7</v>
      </c>
      <c r="G2025" s="1152" t="s">
        <v>9</v>
      </c>
    </row>
    <row r="2026" spans="1:7">
      <c r="A2026" s="884">
        <v>43603</v>
      </c>
      <c r="B2026" s="240" t="str">
        <f>TiposLancamentos!B19</f>
        <v>Restaurantes</v>
      </c>
      <c r="C2026" s="878" t="s">
        <v>19702</v>
      </c>
      <c r="D2026" s="63"/>
      <c r="E2026" s="231">
        <v>106.48</v>
      </c>
      <c r="F2026" s="899"/>
      <c r="G2026" s="1152" t="s">
        <v>9</v>
      </c>
    </row>
    <row r="2027" spans="1:7">
      <c r="A2027" s="1226">
        <v>43603</v>
      </c>
      <c r="B2027" s="1218" t="str">
        <f>TiposLancamentos!B70</f>
        <v>Vestuário</v>
      </c>
      <c r="C2027" s="1219" t="s">
        <v>19703</v>
      </c>
      <c r="D2027" s="1220"/>
      <c r="E2027" s="1221">
        <v>24.99</v>
      </c>
      <c r="F2027" s="1227"/>
      <c r="G2027" s="1152" t="s">
        <v>9</v>
      </c>
    </row>
    <row r="2028" spans="1:7">
      <c r="A2028" s="1228">
        <v>43603</v>
      </c>
      <c r="B2028" s="1222" t="str">
        <f>TiposLancamentos!B16</f>
        <v>Cristiane</v>
      </c>
      <c r="C2028" s="1223" t="s">
        <v>19704</v>
      </c>
      <c r="D2028" s="1224"/>
      <c r="E2028" s="1225">
        <f>F2028-E2027</f>
        <v>49.940000000000012</v>
      </c>
      <c r="F2028" s="1229">
        <v>74.930000000000007</v>
      </c>
      <c r="G2028" s="1152" t="s">
        <v>9</v>
      </c>
    </row>
    <row r="2029" spans="1:7">
      <c r="A2029" s="884">
        <v>43603</v>
      </c>
      <c r="B2029" s="240" t="str">
        <f>TiposLancamentos!B19</f>
        <v>Restaurantes</v>
      </c>
      <c r="C2029" s="878" t="s">
        <v>19700</v>
      </c>
      <c r="D2029" s="63"/>
      <c r="E2029" s="231">
        <v>34</v>
      </c>
      <c r="F2029" s="899"/>
      <c r="G2029" s="1152" t="s">
        <v>9</v>
      </c>
    </row>
    <row r="2030" spans="1:7">
      <c r="A2030" s="1272">
        <v>43603</v>
      </c>
      <c r="B2030" s="279" t="str">
        <f>TiposLancamentos!B5</f>
        <v>Supermercado</v>
      </c>
      <c r="C2030" s="280" t="s">
        <v>6234</v>
      </c>
      <c r="D2030" s="281"/>
      <c r="E2030" s="1293">
        <v>214.09</v>
      </c>
      <c r="F2030" s="1271"/>
      <c r="G2030" s="1152" t="s">
        <v>9</v>
      </c>
    </row>
    <row r="2031" spans="1:7">
      <c r="A2031" s="884">
        <v>43604</v>
      </c>
      <c r="B2031" s="240" t="str">
        <f>TiposLancamentos!B19</f>
        <v>Restaurantes</v>
      </c>
      <c r="C2031" s="878" t="s">
        <v>19705</v>
      </c>
      <c r="D2031" s="63"/>
      <c r="E2031" s="231">
        <v>135.30000000000001</v>
      </c>
      <c r="F2031" s="899"/>
      <c r="G2031" s="1152" t="s">
        <v>9</v>
      </c>
    </row>
    <row r="2032" spans="1:7">
      <c r="A2032" s="1272">
        <v>43605</v>
      </c>
      <c r="B2032" s="279" t="str">
        <f>TiposLancamentos!B5</f>
        <v>Supermercado</v>
      </c>
      <c r="C2032" s="280" t="s">
        <v>5844</v>
      </c>
      <c r="D2032" s="281"/>
      <c r="E2032" s="1293">
        <v>73.75</v>
      </c>
      <c r="F2032" s="1271"/>
      <c r="G2032" s="1152" t="s">
        <v>9</v>
      </c>
    </row>
    <row r="2033" spans="1:7">
      <c r="A2033" s="934"/>
      <c r="B2033" s="243"/>
      <c r="C2033" s="389" t="s">
        <v>10</v>
      </c>
      <c r="D2033" s="146"/>
      <c r="E2033" s="1190"/>
      <c r="F2033" s="935"/>
      <c r="G2033" s="1094" t="s">
        <v>11</v>
      </c>
    </row>
    <row r="2034" spans="1:7">
      <c r="A2034" s="1272">
        <v>43602</v>
      </c>
      <c r="B2034" s="279" t="str">
        <f>TiposLancamentos!B16</f>
        <v>Cristiane</v>
      </c>
      <c r="C2034" s="280" t="s">
        <v>19706</v>
      </c>
      <c r="D2034" s="281"/>
      <c r="E2034" s="1293">
        <f>F2034/2</f>
        <v>116.85</v>
      </c>
      <c r="F2034" s="1271">
        <v>233.7</v>
      </c>
      <c r="G2034" s="1152" t="s">
        <v>9</v>
      </c>
    </row>
    <row r="2035" spans="1:7">
      <c r="A2035" s="884">
        <v>43607</v>
      </c>
      <c r="B2035" s="240" t="str">
        <f>TiposLancamentos!B45</f>
        <v>Online Services</v>
      </c>
      <c r="C2035" s="878" t="s">
        <v>19027</v>
      </c>
      <c r="D2035" s="63"/>
      <c r="E2035" s="231">
        <v>33</v>
      </c>
      <c r="F2035" s="899"/>
      <c r="G2035" s="1152" t="s">
        <v>9</v>
      </c>
    </row>
    <row r="2036" spans="1:7">
      <c r="A2036" s="1272">
        <v>43607</v>
      </c>
      <c r="B2036" s="279" t="str">
        <f>TiposLancamentos!B16</f>
        <v>Cristiane</v>
      </c>
      <c r="C2036" s="280" t="s">
        <v>19707</v>
      </c>
      <c r="D2036" s="281"/>
      <c r="E2036" s="1293">
        <v>28</v>
      </c>
      <c r="F2036" s="1271"/>
      <c r="G2036" s="1152" t="s">
        <v>9</v>
      </c>
    </row>
    <row r="2037" spans="1:7">
      <c r="A2037" s="1272">
        <v>43607</v>
      </c>
      <c r="B2037" s="279" t="str">
        <f>TiposLancamentos!B16</f>
        <v>Cristiane</v>
      </c>
      <c r="C2037" s="280" t="s">
        <v>19708</v>
      </c>
      <c r="D2037" s="281"/>
      <c r="E2037" s="1293">
        <v>170.46</v>
      </c>
      <c r="F2037" s="1271"/>
      <c r="G2037" s="1152" t="s">
        <v>9</v>
      </c>
    </row>
    <row r="2038" spans="1:7">
      <c r="A2038" s="1272">
        <v>43607</v>
      </c>
      <c r="B2038" s="279" t="str">
        <f>TiposLancamentos!B71</f>
        <v>Itens Pessoais</v>
      </c>
      <c r="C2038" s="280" t="s">
        <v>19709</v>
      </c>
      <c r="D2038" s="281"/>
      <c r="E2038" s="1293">
        <f>F2038/6</f>
        <v>699.84</v>
      </c>
      <c r="F2038" s="1271">
        <v>4199.04</v>
      </c>
      <c r="G2038" s="1152" t="s">
        <v>9</v>
      </c>
    </row>
    <row r="2039" spans="1:7">
      <c r="A2039" s="884">
        <v>43607</v>
      </c>
      <c r="B2039" s="240" t="str">
        <f>TiposLancamentos!B13</f>
        <v>Moradia</v>
      </c>
      <c r="C2039" s="878" t="s">
        <v>19710</v>
      </c>
      <c r="D2039" s="63"/>
      <c r="E2039" s="231">
        <v>398.4</v>
      </c>
      <c r="F2039" s="899">
        <v>3984</v>
      </c>
      <c r="G2039" s="1152" t="s">
        <v>9</v>
      </c>
    </row>
    <row r="2040" spans="1:7">
      <c r="A2040" s="1272">
        <v>43608</v>
      </c>
      <c r="B2040" s="279" t="str">
        <f>TiposLancamentos!B16</f>
        <v>Cristiane</v>
      </c>
      <c r="C2040" s="280" t="s">
        <v>16999</v>
      </c>
      <c r="D2040" s="281"/>
      <c r="E2040" s="1293">
        <v>31</v>
      </c>
      <c r="F2040" s="1271"/>
      <c r="G2040" s="1152" t="s">
        <v>9</v>
      </c>
    </row>
    <row r="2041" spans="1:7">
      <c r="A2041" s="1272">
        <v>43608</v>
      </c>
      <c r="B2041" s="279" t="str">
        <f>TiposLancamentos!B5</f>
        <v>Supermercado</v>
      </c>
      <c r="C2041" s="280" t="s">
        <v>19392</v>
      </c>
      <c r="D2041" s="281"/>
      <c r="E2041" s="1293">
        <v>51.8</v>
      </c>
      <c r="F2041" s="1271"/>
      <c r="G2041" s="1152" t="s">
        <v>9</v>
      </c>
    </row>
    <row r="2042" spans="1:7">
      <c r="A2042" s="1272">
        <v>43608</v>
      </c>
      <c r="B2042" s="279" t="str">
        <f>TiposLancamentos!B5</f>
        <v>Supermercado</v>
      </c>
      <c r="C2042" s="280" t="s">
        <v>19711</v>
      </c>
      <c r="D2042" s="281"/>
      <c r="E2042" s="1293">
        <v>73.709999999999994</v>
      </c>
      <c r="F2042" s="1271"/>
      <c r="G2042" s="1152" t="s">
        <v>9</v>
      </c>
    </row>
    <row r="2043" spans="1:7">
      <c r="A2043" s="884">
        <v>43608</v>
      </c>
      <c r="B2043" s="240" t="str">
        <f>TiposLancamentos!B5</f>
        <v>Supermercado</v>
      </c>
      <c r="C2043" s="878" t="s">
        <v>19712</v>
      </c>
      <c r="D2043" s="63"/>
      <c r="E2043" s="231">
        <v>15.18</v>
      </c>
      <c r="F2043" s="899"/>
      <c r="G2043" s="1152" t="s">
        <v>9</v>
      </c>
    </row>
    <row r="2044" spans="1:7">
      <c r="A2044" s="884">
        <v>43608</v>
      </c>
      <c r="B2044" s="240" t="str">
        <f>TiposLancamentos!B26</f>
        <v>LIVROS</v>
      </c>
      <c r="C2044" s="878" t="s">
        <v>19713</v>
      </c>
      <c r="D2044" s="63"/>
      <c r="E2044" s="231">
        <v>85.34</v>
      </c>
      <c r="F2044" s="899"/>
      <c r="G2044" s="1152" t="s">
        <v>9</v>
      </c>
    </row>
    <row r="2045" spans="1:7">
      <c r="A2045" s="884">
        <v>43608</v>
      </c>
      <c r="B2045" s="240" t="str">
        <f>TiposLancamentos!B26</f>
        <v>LIVROS</v>
      </c>
      <c r="C2045" s="878" t="s">
        <v>19714</v>
      </c>
      <c r="D2045" s="63"/>
      <c r="E2045" s="231">
        <v>47.17</v>
      </c>
      <c r="F2045" s="899"/>
      <c r="G2045" s="1152" t="s">
        <v>9</v>
      </c>
    </row>
    <row r="2046" spans="1:7">
      <c r="A2046" s="884">
        <v>43608</v>
      </c>
      <c r="B2046" s="240" t="str">
        <f>TiposLancamentos!B26</f>
        <v>LIVROS</v>
      </c>
      <c r="C2046" s="878" t="s">
        <v>19715</v>
      </c>
      <c r="D2046" s="63"/>
      <c r="E2046" s="231">
        <v>31.38</v>
      </c>
      <c r="F2046" s="899"/>
      <c r="G2046" s="1152" t="s">
        <v>9</v>
      </c>
    </row>
    <row r="2047" spans="1:7">
      <c r="A2047" s="1272">
        <v>43608</v>
      </c>
      <c r="B2047" s="279" t="str">
        <f>TiposLancamentos!B19</f>
        <v>Restaurantes</v>
      </c>
      <c r="C2047" s="280" t="s">
        <v>19716</v>
      </c>
      <c r="D2047" s="281"/>
      <c r="E2047" s="1293">
        <v>101.6</v>
      </c>
      <c r="F2047" s="1271"/>
      <c r="G2047" s="1152" t="s">
        <v>9</v>
      </c>
    </row>
    <row r="2048" spans="1:7">
      <c r="A2048" s="884">
        <v>43609</v>
      </c>
      <c r="B2048" s="240" t="str">
        <f>TiposLancamentos!B5</f>
        <v>Supermercado</v>
      </c>
      <c r="C2048" s="878" t="s">
        <v>19717</v>
      </c>
      <c r="D2048" s="63"/>
      <c r="E2048" s="231">
        <v>17.260000000000002</v>
      </c>
      <c r="F2048" s="899"/>
      <c r="G2048" s="1152" t="s">
        <v>9</v>
      </c>
    </row>
    <row r="2049" spans="1:7">
      <c r="A2049" s="884">
        <v>43610</v>
      </c>
      <c r="B2049" s="240" t="str">
        <f>TiposLancamentos!B16</f>
        <v>Cristiane</v>
      </c>
      <c r="C2049" s="878" t="s">
        <v>19718</v>
      </c>
      <c r="D2049" s="63"/>
      <c r="E2049" s="231">
        <v>64.900000000000006</v>
      </c>
      <c r="F2049" s="899"/>
      <c r="G2049" s="1152" t="s">
        <v>9</v>
      </c>
    </row>
    <row r="2050" spans="1:7">
      <c r="A2050" s="884">
        <v>43610</v>
      </c>
      <c r="B2050" s="240" t="str">
        <f>TiposLancamentos!B19</f>
        <v>Restaurantes</v>
      </c>
      <c r="C2050" s="878" t="s">
        <v>19719</v>
      </c>
      <c r="D2050" s="63"/>
      <c r="E2050" s="231">
        <v>35.47</v>
      </c>
      <c r="F2050" s="899"/>
      <c r="G2050" s="1152" t="s">
        <v>9</v>
      </c>
    </row>
    <row r="2051" spans="1:7">
      <c r="A2051" s="1226">
        <v>43610</v>
      </c>
      <c r="B2051" s="1218" t="str">
        <f>TiposLancamentos!B71</f>
        <v>Itens Pessoais</v>
      </c>
      <c r="C2051" s="1219" t="s">
        <v>19720</v>
      </c>
      <c r="D2051" s="1220"/>
      <c r="E2051" s="1221">
        <v>40</v>
      </c>
      <c r="F2051" s="1227"/>
      <c r="G2051" s="1152" t="s">
        <v>9</v>
      </c>
    </row>
    <row r="2052" spans="1:7">
      <c r="A2052" s="1228">
        <v>43610</v>
      </c>
      <c r="B2052" s="1222" t="str">
        <f>TiposLancamentos!B16</f>
        <v>Cristiane</v>
      </c>
      <c r="C2052" s="1223" t="s">
        <v>19721</v>
      </c>
      <c r="D2052" s="1224"/>
      <c r="E2052" s="1225">
        <f>F2052-E2051</f>
        <v>32</v>
      </c>
      <c r="F2052" s="1229">
        <v>72</v>
      </c>
      <c r="G2052" s="1152" t="s">
        <v>9</v>
      </c>
    </row>
    <row r="2053" spans="1:7">
      <c r="A2053" s="884">
        <v>43610</v>
      </c>
      <c r="B2053" s="240" t="str">
        <f>TiposLancamentos!B16</f>
        <v>Cristiane</v>
      </c>
      <c r="C2053" s="878" t="s">
        <v>19722</v>
      </c>
      <c r="D2053" s="63"/>
      <c r="E2053" s="231">
        <v>123.5</v>
      </c>
      <c r="F2053" s="899"/>
      <c r="G2053" s="1152" t="s">
        <v>9</v>
      </c>
    </row>
    <row r="2054" spans="1:7">
      <c r="A2054" s="884">
        <v>43610</v>
      </c>
      <c r="B2054" s="240" t="str">
        <f>TiposLancamentos!B19</f>
        <v>Restaurantes</v>
      </c>
      <c r="C2054" s="878" t="s">
        <v>19723</v>
      </c>
      <c r="D2054" s="63"/>
      <c r="E2054" s="231">
        <v>114.62</v>
      </c>
      <c r="F2054" s="899"/>
      <c r="G2054" s="1152" t="s">
        <v>9</v>
      </c>
    </row>
    <row r="2055" spans="1:7">
      <c r="A2055" s="1272">
        <v>43610</v>
      </c>
      <c r="B2055" s="279" t="str">
        <f>TiposLancamentos!B19</f>
        <v>Restaurantes</v>
      </c>
      <c r="C2055" s="280" t="s">
        <v>19724</v>
      </c>
      <c r="D2055" s="281"/>
      <c r="E2055" s="1293">
        <v>70</v>
      </c>
      <c r="F2055" s="1271"/>
      <c r="G2055" s="1152" t="s">
        <v>9</v>
      </c>
    </row>
    <row r="2056" spans="1:7">
      <c r="A2056" s="884">
        <v>43611</v>
      </c>
      <c r="B2056" s="240" t="str">
        <f>TiposLancamentos!B17</f>
        <v>GATO</v>
      </c>
      <c r="C2056" s="878" t="s">
        <v>19725</v>
      </c>
      <c r="D2056" s="63"/>
      <c r="E2056" s="231">
        <v>369.58</v>
      </c>
      <c r="F2056" s="899"/>
      <c r="G2056" s="1152" t="s">
        <v>9</v>
      </c>
    </row>
    <row r="2057" spans="1:7">
      <c r="A2057" s="884">
        <v>43611</v>
      </c>
      <c r="B2057" s="240" t="str">
        <f>TiposLancamentos!B19</f>
        <v>Restaurantes</v>
      </c>
      <c r="C2057" s="878" t="s">
        <v>19726</v>
      </c>
      <c r="D2057" s="63"/>
      <c r="E2057" s="231">
        <v>70.180000000000007</v>
      </c>
      <c r="F2057" s="899"/>
      <c r="G2057" s="1152" t="s">
        <v>9</v>
      </c>
    </row>
    <row r="2058" spans="1:7">
      <c r="A2058" s="884">
        <v>43612</v>
      </c>
      <c r="B2058" s="240" t="str">
        <f>TiposLancamentos!B5</f>
        <v>Supermercado</v>
      </c>
      <c r="C2058" s="878" t="s">
        <v>5844</v>
      </c>
      <c r="D2058" s="63"/>
      <c r="E2058" s="231">
        <v>46.82</v>
      </c>
      <c r="F2058" s="899"/>
      <c r="G2058" s="1152" t="s">
        <v>9</v>
      </c>
    </row>
    <row r="2059" spans="1:7">
      <c r="A2059" s="884">
        <v>43612</v>
      </c>
      <c r="B2059" s="240" t="str">
        <f>TiposLancamentos!B56</f>
        <v>Farmácia</v>
      </c>
      <c r="C2059" s="878" t="s">
        <v>19727</v>
      </c>
      <c r="D2059" s="63"/>
      <c r="E2059" s="231">
        <v>135.54</v>
      </c>
      <c r="F2059" s="899"/>
      <c r="G2059" s="1152" t="s">
        <v>9</v>
      </c>
    </row>
    <row r="2060" spans="1:7">
      <c r="A2060" s="1272">
        <v>43612</v>
      </c>
      <c r="B2060" s="279" t="str">
        <f>TiposLancamentos!B16</f>
        <v>Cristiane</v>
      </c>
      <c r="C2060" s="280" t="s">
        <v>19728</v>
      </c>
      <c r="D2060" s="281"/>
      <c r="E2060" s="1293">
        <v>61.75</v>
      </c>
      <c r="F2060" s="1271"/>
      <c r="G2060" s="1152" t="s">
        <v>9</v>
      </c>
    </row>
    <row r="2061" spans="1:7">
      <c r="A2061" s="884">
        <v>43612</v>
      </c>
      <c r="B2061" s="240" t="str">
        <f>TiposLancamentos!B56</f>
        <v>Farmácia</v>
      </c>
      <c r="C2061" s="878" t="s">
        <v>19729</v>
      </c>
      <c r="D2061" s="63"/>
      <c r="E2061" s="231">
        <v>77.61</v>
      </c>
      <c r="F2061" s="899"/>
      <c r="G2061" s="1152" t="s">
        <v>9</v>
      </c>
    </row>
    <row r="2062" spans="1:7">
      <c r="A2062" s="884">
        <v>43613</v>
      </c>
      <c r="B2062" s="240" t="str">
        <f>TiposLancamentos!B5</f>
        <v>Supermercado</v>
      </c>
      <c r="C2062" s="878" t="s">
        <v>6234</v>
      </c>
      <c r="D2062" s="63"/>
      <c r="E2062" s="231">
        <v>91.67</v>
      </c>
      <c r="F2062" s="899"/>
      <c r="G2062" s="1152" t="s">
        <v>9</v>
      </c>
    </row>
    <row r="2063" spans="1:7">
      <c r="A2063" s="884">
        <v>43613</v>
      </c>
      <c r="B2063" s="240" t="str">
        <f>TiposLancamentos!B45</f>
        <v>Online Services</v>
      </c>
      <c r="C2063" s="878" t="s">
        <v>1894</v>
      </c>
      <c r="D2063" s="63"/>
      <c r="E2063" s="231">
        <v>32.9</v>
      </c>
      <c r="F2063" s="899"/>
      <c r="G2063" s="1152" t="s">
        <v>9</v>
      </c>
    </row>
    <row r="2064" spans="1:7">
      <c r="A2064" s="884">
        <v>43613</v>
      </c>
      <c r="B2064" s="240" t="str">
        <f>TiposLancamentos!B45</f>
        <v>Online Services</v>
      </c>
      <c r="C2064" s="878" t="s">
        <v>1895</v>
      </c>
      <c r="D2064" s="63"/>
      <c r="E2064" s="231">
        <v>26.9</v>
      </c>
      <c r="F2064" s="899"/>
      <c r="G2064" s="1152" t="s">
        <v>9</v>
      </c>
    </row>
    <row r="2065" spans="1:7">
      <c r="A2065" s="884">
        <v>43613</v>
      </c>
      <c r="B2065" s="240" t="str">
        <f>TiposLancamentos!B71</f>
        <v>Itens Pessoais</v>
      </c>
      <c r="C2065" s="878" t="s">
        <v>19730</v>
      </c>
      <c r="D2065" s="63"/>
      <c r="E2065" s="231">
        <v>287.5</v>
      </c>
      <c r="F2065" s="899">
        <v>1150</v>
      </c>
      <c r="G2065" s="1152" t="s">
        <v>9</v>
      </c>
    </row>
    <row r="2066" spans="1:7">
      <c r="A2066" s="884">
        <v>43613</v>
      </c>
      <c r="B2066" s="240" t="str">
        <f>TiposLancamentos!B65</f>
        <v>Taxi</v>
      </c>
      <c r="C2066" s="878" t="s">
        <v>19731</v>
      </c>
      <c r="D2066" s="63"/>
      <c r="E2066" s="231">
        <v>55.96</v>
      </c>
      <c r="F2066" s="899"/>
      <c r="G2066" s="1152" t="s">
        <v>9</v>
      </c>
    </row>
    <row r="2067" spans="1:7">
      <c r="A2067" s="884">
        <v>43613</v>
      </c>
      <c r="B2067" s="240" t="str">
        <f>TiposLancamentos!B19</f>
        <v>Restaurantes</v>
      </c>
      <c r="C2067" s="878" t="s">
        <v>19732</v>
      </c>
      <c r="D2067" s="63"/>
      <c r="E2067" s="231">
        <v>15.86</v>
      </c>
      <c r="F2067" s="899"/>
      <c r="G2067" s="1152" t="s">
        <v>9</v>
      </c>
    </row>
    <row r="2068" spans="1:7">
      <c r="A2068" s="1272">
        <v>43613</v>
      </c>
      <c r="B2068" s="279" t="str">
        <f>TiposLancamentos!B65</f>
        <v>Taxi</v>
      </c>
      <c r="C2068" s="280" t="s">
        <v>19733</v>
      </c>
      <c r="D2068" s="281"/>
      <c r="E2068" s="1293">
        <v>13.8</v>
      </c>
      <c r="F2068" s="1271"/>
      <c r="G2068" s="1152" t="s">
        <v>9</v>
      </c>
    </row>
    <row r="2069" spans="1:7">
      <c r="A2069" s="1272">
        <v>43613</v>
      </c>
      <c r="B2069" s="279" t="str">
        <f>TiposLancamentos!B16</f>
        <v>Cristiane</v>
      </c>
      <c r="C2069" s="280" t="s">
        <v>19734</v>
      </c>
      <c r="D2069" s="281"/>
      <c r="E2069" s="1293">
        <v>7.6</v>
      </c>
      <c r="F2069" s="1271"/>
      <c r="G2069" s="1152" t="s">
        <v>9</v>
      </c>
    </row>
    <row r="2070" spans="1:7">
      <c r="A2070" s="884">
        <v>43613</v>
      </c>
      <c r="B2070" s="240" t="str">
        <f>TiposLancamentos!B65</f>
        <v>Taxi</v>
      </c>
      <c r="C2070" s="878" t="s">
        <v>19735</v>
      </c>
      <c r="D2070" s="63"/>
      <c r="E2070" s="231">
        <v>14.68</v>
      </c>
      <c r="F2070" s="899"/>
      <c r="G2070" s="1152" t="s">
        <v>9</v>
      </c>
    </row>
    <row r="2071" spans="1:7">
      <c r="A2071" s="884">
        <v>43614</v>
      </c>
      <c r="B2071" s="240" t="str">
        <f>TiposLancamentos!B19</f>
        <v>Restaurantes</v>
      </c>
      <c r="C2071" s="878" t="s">
        <v>19736</v>
      </c>
      <c r="D2071" s="63"/>
      <c r="E2071" s="231">
        <v>125.1</v>
      </c>
      <c r="F2071" s="899"/>
      <c r="G2071" s="1152" t="s">
        <v>9</v>
      </c>
    </row>
    <row r="2072" spans="1:7">
      <c r="A2072" s="884">
        <v>43614</v>
      </c>
      <c r="B2072" s="240" t="str">
        <f>TiposLancamentos!B65</f>
        <v>Taxi</v>
      </c>
      <c r="C2072" s="878" t="s">
        <v>19737</v>
      </c>
      <c r="D2072" s="63"/>
      <c r="E2072" s="231">
        <v>56.73</v>
      </c>
      <c r="F2072" s="899"/>
      <c r="G2072" s="1152" t="s">
        <v>9</v>
      </c>
    </row>
    <row r="2073" spans="1:7">
      <c r="A2073" s="1272">
        <v>43614</v>
      </c>
      <c r="B2073" s="279" t="str">
        <f>TiposLancamentos!B16</f>
        <v>Cristiane</v>
      </c>
      <c r="C2073" s="280" t="s">
        <v>19738</v>
      </c>
      <c r="D2073" s="281"/>
      <c r="E2073" s="1293">
        <v>118.1</v>
      </c>
      <c r="F2073" s="1271"/>
      <c r="G2073" s="1152" t="s">
        <v>9</v>
      </c>
    </row>
    <row r="2074" spans="1:7">
      <c r="A2074" s="884">
        <v>43615</v>
      </c>
      <c r="B2074" s="240" t="str">
        <f>TiposLancamentos!B5</f>
        <v>Supermercado</v>
      </c>
      <c r="C2074" s="878" t="s">
        <v>6234</v>
      </c>
      <c r="D2074" s="63"/>
      <c r="E2074" s="231">
        <v>35.1</v>
      </c>
      <c r="F2074" s="899"/>
      <c r="G2074" s="1152" t="s">
        <v>9</v>
      </c>
    </row>
    <row r="2075" spans="1:7">
      <c r="A2075" s="884">
        <v>43615</v>
      </c>
      <c r="B2075" s="240" t="str">
        <f>TiposLancamentos!B44</f>
        <v>Academia</v>
      </c>
      <c r="C2075" s="878" t="s">
        <v>19739</v>
      </c>
      <c r="D2075" s="63"/>
      <c r="E2075" s="231">
        <v>115.6</v>
      </c>
      <c r="F2075" s="899"/>
      <c r="G2075" s="1152" t="s">
        <v>9</v>
      </c>
    </row>
    <row r="2076" spans="1:7">
      <c r="A2076" s="1272">
        <v>43615</v>
      </c>
      <c r="B2076" s="1645" t="str">
        <f>TiposLancamentos!B16</f>
        <v>Cristiane</v>
      </c>
      <c r="C2076" s="280" t="s">
        <v>19739</v>
      </c>
      <c r="D2076" s="281"/>
      <c r="E2076" s="1293">
        <v>115.6</v>
      </c>
      <c r="F2076" s="1271"/>
      <c r="G2076" s="1152" t="s">
        <v>9</v>
      </c>
    </row>
    <row r="2077" spans="1:7">
      <c r="A2077" s="884">
        <v>43616</v>
      </c>
      <c r="B2077" s="240" t="str">
        <f>TiposLancamentos!B5</f>
        <v>Supermercado</v>
      </c>
      <c r="C2077" s="878" t="s">
        <v>6234</v>
      </c>
      <c r="D2077" s="63"/>
      <c r="E2077" s="231">
        <v>106.8</v>
      </c>
      <c r="F2077" s="899"/>
      <c r="G2077" s="1152" t="s">
        <v>9</v>
      </c>
    </row>
    <row r="2078" spans="1:7" ht="14.25" thickBot="1">
      <c r="A2078" s="1272">
        <v>43616</v>
      </c>
      <c r="B2078" s="1645" t="str">
        <f>TiposLancamentos!B88</f>
        <v>Ford Ecosport XLT</v>
      </c>
      <c r="C2078" s="280" t="s">
        <v>19740</v>
      </c>
      <c r="D2078" s="281"/>
      <c r="E2078" s="1293">
        <v>49.9</v>
      </c>
      <c r="F2078" s="1271"/>
      <c r="G2078" s="1152" t="s">
        <v>9</v>
      </c>
    </row>
    <row r="2079" spans="1:7">
      <c r="A2079" s="1032"/>
      <c r="B2079" s="1230"/>
      <c r="C2079" s="906" t="s">
        <v>19741</v>
      </c>
      <c r="D2079" s="896"/>
      <c r="E2079" s="925"/>
      <c r="F2079" s="898">
        <f>SUM(E1919:E2032)-D1972</f>
        <v>9552.7999999999975</v>
      </c>
      <c r="G2079" s="1152" t="s">
        <v>9</v>
      </c>
    </row>
    <row r="2080" spans="1:7">
      <c r="A2080" s="1272">
        <v>43617</v>
      </c>
      <c r="B2080" s="1645" t="str">
        <f>TiposLancamentos!B16</f>
        <v>Cristiane</v>
      </c>
      <c r="C2080" s="280" t="s">
        <v>6234</v>
      </c>
      <c r="D2080" s="281"/>
      <c r="E2080" s="1293">
        <v>12.38</v>
      </c>
      <c r="F2080" s="1271">
        <f>F2079-F1976</f>
        <v>1937.5974999999989</v>
      </c>
      <c r="G2080" s="1152" t="s">
        <v>9</v>
      </c>
    </row>
    <row r="2081" spans="1:7">
      <c r="A2081" s="1272">
        <v>43617</v>
      </c>
      <c r="B2081" s="1645" t="str">
        <f>TiposLancamentos!B19</f>
        <v>Restaurantes</v>
      </c>
      <c r="C2081" s="280" t="s">
        <v>19528</v>
      </c>
      <c r="D2081" s="281"/>
      <c r="E2081" s="1293">
        <v>50</v>
      </c>
      <c r="F2081" s="1271"/>
      <c r="G2081" s="1152" t="s">
        <v>9</v>
      </c>
    </row>
    <row r="2082" spans="1:7">
      <c r="A2082" s="884">
        <v>43618</v>
      </c>
      <c r="B2082" s="240" t="str">
        <f>TiposLancamentos!B19</f>
        <v>Restaurantes</v>
      </c>
      <c r="C2082" s="878" t="s">
        <v>7406</v>
      </c>
      <c r="D2082" s="63"/>
      <c r="E2082" s="231">
        <v>144.97999999999999</v>
      </c>
      <c r="F2082" s="899"/>
      <c r="G2082" s="1152" t="s">
        <v>9</v>
      </c>
    </row>
    <row r="2083" spans="1:7">
      <c r="A2083" s="884">
        <v>43618</v>
      </c>
      <c r="B2083" s="240" t="str">
        <f>TiposLancamentos!B5</f>
        <v>Supermercado</v>
      </c>
      <c r="C2083" s="878" t="s">
        <v>6234</v>
      </c>
      <c r="D2083" s="63"/>
      <c r="E2083" s="231">
        <v>69.430000000000007</v>
      </c>
      <c r="F2083" s="899"/>
      <c r="G2083" s="1152" t="s">
        <v>9</v>
      </c>
    </row>
    <row r="2084" spans="1:7">
      <c r="A2084" s="884">
        <v>43619</v>
      </c>
      <c r="B2084" s="240" t="str">
        <f>TiposLancamentos!B102</f>
        <v>ESTORNO</v>
      </c>
      <c r="C2084" s="878" t="s">
        <v>19742</v>
      </c>
      <c r="D2084" s="63">
        <v>38.299999999999997</v>
      </c>
      <c r="E2084" s="231"/>
      <c r="F2084" s="899"/>
      <c r="G2084" s="1152" t="s">
        <v>9</v>
      </c>
    </row>
    <row r="2085" spans="1:7">
      <c r="A2085" s="884">
        <v>43619</v>
      </c>
      <c r="B2085" s="240" t="str">
        <f>TiposLancamentos!B13</f>
        <v>Moradia</v>
      </c>
      <c r="C2085" s="878" t="s">
        <v>19743</v>
      </c>
      <c r="D2085" s="63"/>
      <c r="E2085" s="231">
        <v>80</v>
      </c>
      <c r="F2085" s="899"/>
      <c r="G2085" s="1152" t="s">
        <v>9</v>
      </c>
    </row>
    <row r="2086" spans="1:7">
      <c r="A2086" s="884">
        <v>43619</v>
      </c>
      <c r="B2086" s="240" t="str">
        <f>TiposLancamentos!B15</f>
        <v>Cartões de Crédito</v>
      </c>
      <c r="C2086" s="878" t="s">
        <v>1874</v>
      </c>
      <c r="D2086" s="63">
        <v>9552.7999999999993</v>
      </c>
      <c r="E2086" s="231"/>
      <c r="F2086" s="899"/>
      <c r="G2086" s="1152" t="s">
        <v>9</v>
      </c>
    </row>
    <row r="2087" spans="1:7">
      <c r="A2087" s="1272">
        <v>43620</v>
      </c>
      <c r="B2087" s="1645" t="str">
        <f>TiposLancamentos!B5</f>
        <v>Supermercado</v>
      </c>
      <c r="C2087" s="280" t="s">
        <v>6234</v>
      </c>
      <c r="D2087" s="281"/>
      <c r="E2087" s="1293">
        <v>161.28</v>
      </c>
      <c r="F2087" s="1271"/>
      <c r="G2087" s="1152" t="s">
        <v>9</v>
      </c>
    </row>
    <row r="2088" spans="1:7">
      <c r="A2088" s="884">
        <v>43620</v>
      </c>
      <c r="B2088" s="240" t="str">
        <f>TiposLancamentos!B19</f>
        <v>Restaurantes</v>
      </c>
      <c r="C2088" s="878" t="s">
        <v>19744</v>
      </c>
      <c r="D2088" s="63"/>
      <c r="E2088" s="231">
        <v>28.6</v>
      </c>
      <c r="F2088" s="899"/>
      <c r="G2088" s="1152" t="s">
        <v>9</v>
      </c>
    </row>
    <row r="2089" spans="1:7">
      <c r="A2089" s="1272">
        <v>43621</v>
      </c>
      <c r="B2089" s="1645" t="str">
        <f>TiposLancamentos!B5</f>
        <v>Supermercado</v>
      </c>
      <c r="C2089" s="280" t="s">
        <v>19745</v>
      </c>
      <c r="D2089" s="281"/>
      <c r="E2089" s="1293">
        <v>41.85</v>
      </c>
      <c r="F2089" s="1271"/>
      <c r="G2089" s="1152" t="s">
        <v>9</v>
      </c>
    </row>
    <row r="2090" spans="1:7">
      <c r="A2090" s="1272">
        <v>43621</v>
      </c>
      <c r="B2090" s="1645" t="str">
        <f>TiposLancamentos!B16</f>
        <v>Cristiane</v>
      </c>
      <c r="C2090" s="280" t="s">
        <v>19746</v>
      </c>
      <c r="D2090" s="281"/>
      <c r="E2090" s="1293">
        <v>19</v>
      </c>
      <c r="F2090" s="1271"/>
      <c r="G2090" s="1152" t="s">
        <v>9</v>
      </c>
    </row>
    <row r="2091" spans="1:7">
      <c r="A2091" s="884">
        <v>43621</v>
      </c>
      <c r="B2091" s="240" t="str">
        <f>TiposLancamentos!B46</f>
        <v>Maçonaria</v>
      </c>
      <c r="C2091" s="878" t="s">
        <v>19747</v>
      </c>
      <c r="D2091" s="63"/>
      <c r="E2091" s="231">
        <v>189.9</v>
      </c>
      <c r="F2091" s="899"/>
      <c r="G2091" s="1152" t="s">
        <v>9</v>
      </c>
    </row>
    <row r="2092" spans="1:7">
      <c r="A2092" s="884">
        <v>43621</v>
      </c>
      <c r="B2092" s="240" t="str">
        <f>TiposLancamentos!B46</f>
        <v>Maçonaria</v>
      </c>
      <c r="C2092" s="878" t="s">
        <v>19748</v>
      </c>
      <c r="D2092" s="63"/>
      <c r="E2092" s="231">
        <v>38.4</v>
      </c>
      <c r="F2092" s="899"/>
      <c r="G2092" s="1152" t="s">
        <v>9</v>
      </c>
    </row>
    <row r="2093" spans="1:7">
      <c r="A2093" s="884">
        <v>43622</v>
      </c>
      <c r="B2093" s="240" t="str">
        <f>TiposLancamentos!B46</f>
        <v>Maçonaria</v>
      </c>
      <c r="C2093" s="878" t="s">
        <v>19749</v>
      </c>
      <c r="D2093" s="63"/>
      <c r="E2093" s="231">
        <v>64.8</v>
      </c>
      <c r="F2093" s="899"/>
      <c r="G2093" s="1152" t="s">
        <v>9</v>
      </c>
    </row>
    <row r="2094" spans="1:7">
      <c r="A2094" s="884">
        <v>43622</v>
      </c>
      <c r="B2094" s="240" t="str">
        <f>TiposLancamentos!B71</f>
        <v>Itens Pessoais</v>
      </c>
      <c r="C2094" s="878" t="s">
        <v>19750</v>
      </c>
      <c r="D2094" s="63"/>
      <c r="E2094" s="231">
        <v>150.01</v>
      </c>
      <c r="F2094" s="899">
        <v>449.99</v>
      </c>
      <c r="G2094" s="1152" t="s">
        <v>9</v>
      </c>
    </row>
    <row r="2095" spans="1:7">
      <c r="A2095" s="884">
        <v>43622</v>
      </c>
      <c r="B2095" s="240" t="str">
        <f>TiposLancamentos!B102</f>
        <v>ESTORNO</v>
      </c>
      <c r="C2095" s="878" t="s">
        <v>19751</v>
      </c>
      <c r="D2095" s="63">
        <v>0.02</v>
      </c>
      <c r="E2095" s="231"/>
      <c r="F2095" s="899"/>
      <c r="G2095" s="1152" t="s">
        <v>9</v>
      </c>
    </row>
    <row r="2096" spans="1:7">
      <c r="A2096" s="884">
        <v>43623</v>
      </c>
      <c r="B2096" s="240" t="str">
        <f>TiposLancamentos!B71</f>
        <v>Itens Pessoais</v>
      </c>
      <c r="C2096" s="878" t="s">
        <v>19752</v>
      </c>
      <c r="D2096" s="63"/>
      <c r="E2096" s="231">
        <v>93.5</v>
      </c>
      <c r="F2096" s="899">
        <v>560.79999999999995</v>
      </c>
      <c r="G2096" s="1152" t="s">
        <v>9</v>
      </c>
    </row>
    <row r="2097" spans="1:7">
      <c r="A2097" s="884">
        <v>43623</v>
      </c>
      <c r="B2097" s="240" t="str">
        <f>TiposLancamentos!B19</f>
        <v>Restaurantes</v>
      </c>
      <c r="C2097" s="878" t="s">
        <v>19753</v>
      </c>
      <c r="D2097" s="63"/>
      <c r="E2097" s="231">
        <v>112.5</v>
      </c>
      <c r="F2097" s="899"/>
      <c r="G2097" s="1152" t="s">
        <v>9</v>
      </c>
    </row>
    <row r="2098" spans="1:7">
      <c r="A2098" s="1272">
        <v>43624</v>
      </c>
      <c r="B2098" s="279" t="str">
        <f>TiposLancamentos!B16</f>
        <v>Cristiane</v>
      </c>
      <c r="C2098" s="280" t="s">
        <v>19754</v>
      </c>
      <c r="D2098" s="281"/>
      <c r="E2098" s="1293">
        <v>64.5</v>
      </c>
      <c r="F2098" s="1271"/>
      <c r="G2098" s="1152" t="s">
        <v>9</v>
      </c>
    </row>
    <row r="2099" spans="1:7">
      <c r="A2099" s="1272">
        <v>43624</v>
      </c>
      <c r="B2099" s="279" t="str">
        <f>TiposLancamentos!B5</f>
        <v>Supermercado</v>
      </c>
      <c r="C2099" s="280" t="s">
        <v>19755</v>
      </c>
      <c r="D2099" s="281"/>
      <c r="E2099" s="1293">
        <v>72.510000000000005</v>
      </c>
      <c r="F2099" s="1271"/>
      <c r="G2099" s="1152" t="s">
        <v>9</v>
      </c>
    </row>
    <row r="2100" spans="1:7">
      <c r="A2100" s="884">
        <v>43625</v>
      </c>
      <c r="B2100" s="240" t="str">
        <f>TiposLancamentos!B73</f>
        <v>Cursos</v>
      </c>
      <c r="C2100" s="878" t="s">
        <v>19756</v>
      </c>
      <c r="D2100" s="63"/>
      <c r="E2100" s="231">
        <v>350</v>
      </c>
      <c r="F2100" s="899"/>
      <c r="G2100" s="1152" t="s">
        <v>9</v>
      </c>
    </row>
    <row r="2101" spans="1:7">
      <c r="A2101" s="1272">
        <v>43625</v>
      </c>
      <c r="B2101" s="279" t="str">
        <f>TiposLancamentos!B19</f>
        <v>Restaurantes</v>
      </c>
      <c r="C2101" s="280" t="s">
        <v>19528</v>
      </c>
      <c r="D2101" s="281"/>
      <c r="E2101" s="1293">
        <v>48</v>
      </c>
      <c r="F2101" s="1271"/>
      <c r="G2101" s="1152" t="s">
        <v>9</v>
      </c>
    </row>
    <row r="2102" spans="1:7">
      <c r="A2102" s="884">
        <v>43626</v>
      </c>
      <c r="B2102" s="240" t="str">
        <f>TiposLancamentos!B45</f>
        <v>Online Services</v>
      </c>
      <c r="C2102" s="878" t="s">
        <v>19757</v>
      </c>
      <c r="D2102" s="63"/>
      <c r="E2102" s="231">
        <v>163.28</v>
      </c>
      <c r="F2102" s="899">
        <v>489.8</v>
      </c>
      <c r="G2102" s="1152" t="s">
        <v>9</v>
      </c>
    </row>
    <row r="2103" spans="1:7">
      <c r="A2103" s="884">
        <v>43626</v>
      </c>
      <c r="B2103" s="240" t="str">
        <f>TiposLancamentos!B102</f>
        <v>ESTORNO</v>
      </c>
      <c r="C2103" s="878" t="s">
        <v>19758</v>
      </c>
      <c r="D2103" s="63">
        <v>0.02</v>
      </c>
      <c r="E2103" s="231"/>
      <c r="F2103" s="899"/>
      <c r="G2103" s="1152" t="s">
        <v>9</v>
      </c>
    </row>
    <row r="2104" spans="1:7">
      <c r="A2104" s="1272">
        <v>43626</v>
      </c>
      <c r="B2104" s="279" t="str">
        <f>TiposLancamentos!B19</f>
        <v>Restaurantes</v>
      </c>
      <c r="C2104" s="280" t="s">
        <v>19759</v>
      </c>
      <c r="D2104" s="281"/>
      <c r="E2104" s="1293">
        <v>25.9</v>
      </c>
      <c r="F2104" s="1271"/>
      <c r="G2104" s="1152" t="s">
        <v>9</v>
      </c>
    </row>
    <row r="2105" spans="1:7">
      <c r="A2105" s="1272">
        <v>43627</v>
      </c>
      <c r="B2105" s="279" t="str">
        <f>TiposLancamentos!B5</f>
        <v>Supermercado</v>
      </c>
      <c r="C2105" s="280" t="s">
        <v>6234</v>
      </c>
      <c r="D2105" s="281"/>
      <c r="E2105" s="1293">
        <v>46.86</v>
      </c>
      <c r="F2105" s="1271"/>
      <c r="G2105" s="1152" t="s">
        <v>9</v>
      </c>
    </row>
    <row r="2106" spans="1:7">
      <c r="A2106" s="884">
        <v>43628</v>
      </c>
      <c r="B2106" s="240" t="str">
        <f>TiposLancamentos!B19</f>
        <v>Restaurantes</v>
      </c>
      <c r="C2106" s="878" t="s">
        <v>10655</v>
      </c>
      <c r="D2106" s="63"/>
      <c r="E2106" s="231">
        <v>110</v>
      </c>
      <c r="F2106" s="899"/>
      <c r="G2106" s="1152" t="s">
        <v>9</v>
      </c>
    </row>
    <row r="2107" spans="1:7">
      <c r="A2107" s="1272">
        <v>43628</v>
      </c>
      <c r="B2107" s="279" t="str">
        <f>TiposLancamentos!B16</f>
        <v>Cristiane</v>
      </c>
      <c r="C2107" s="280" t="s">
        <v>19687</v>
      </c>
      <c r="D2107" s="281"/>
      <c r="E2107" s="1293">
        <v>129.46</v>
      </c>
      <c r="F2107" s="1271">
        <f>E2107*3</f>
        <v>388.38</v>
      </c>
      <c r="G2107" s="1152" t="s">
        <v>9</v>
      </c>
    </row>
    <row r="2108" spans="1:7">
      <c r="A2108" s="884">
        <v>43628</v>
      </c>
      <c r="B2108" s="240" t="str">
        <f>TiposLancamentos!B72</f>
        <v>Presentes</v>
      </c>
      <c r="C2108" s="878" t="s">
        <v>19760</v>
      </c>
      <c r="D2108" s="63"/>
      <c r="E2108" s="231">
        <v>38.4</v>
      </c>
      <c r="F2108" s="899"/>
      <c r="G2108" s="1152" t="s">
        <v>9</v>
      </c>
    </row>
    <row r="2109" spans="1:7">
      <c r="A2109" s="884">
        <v>43629</v>
      </c>
      <c r="B2109" s="240" t="str">
        <f>TiposLancamentos!B5</f>
        <v>Supermercado</v>
      </c>
      <c r="C2109" s="878" t="s">
        <v>6234</v>
      </c>
      <c r="D2109" s="63"/>
      <c r="E2109" s="231">
        <v>55.66</v>
      </c>
      <c r="F2109" s="899"/>
      <c r="G2109" s="1152" t="s">
        <v>9</v>
      </c>
    </row>
    <row r="2110" spans="1:7">
      <c r="A2110" s="1272">
        <v>43630</v>
      </c>
      <c r="B2110" s="279" t="str">
        <f>TiposLancamentos!B16</f>
        <v>Cristiane</v>
      </c>
      <c r="C2110" s="280" t="s">
        <v>19761</v>
      </c>
      <c r="D2110" s="281"/>
      <c r="E2110" s="1293">
        <f>F2110/4</f>
        <v>172.5</v>
      </c>
      <c r="F2110" s="1271">
        <v>690</v>
      </c>
      <c r="G2110" s="1152" t="s">
        <v>9</v>
      </c>
    </row>
    <row r="2111" spans="1:7">
      <c r="A2111" s="1272">
        <v>43630</v>
      </c>
      <c r="B2111" s="279" t="str">
        <f>TiposLancamentos!B16</f>
        <v>Cristiane</v>
      </c>
      <c r="C2111" s="280" t="s">
        <v>19762</v>
      </c>
      <c r="D2111" s="281"/>
      <c r="E2111" s="1293">
        <v>38.049999999999997</v>
      </c>
      <c r="F2111" s="1271"/>
      <c r="G2111" s="1152" t="s">
        <v>9</v>
      </c>
    </row>
    <row r="2112" spans="1:7">
      <c r="A2112" s="1272">
        <v>43630</v>
      </c>
      <c r="B2112" s="279" t="str">
        <f>TiposLancamentos!B19</f>
        <v>Restaurantes</v>
      </c>
      <c r="C2112" s="280" t="s">
        <v>19763</v>
      </c>
      <c r="D2112" s="281"/>
      <c r="E2112" s="1293">
        <v>51</v>
      </c>
      <c r="F2112" s="1271"/>
      <c r="G2112" s="1152" t="s">
        <v>9</v>
      </c>
    </row>
    <row r="2113" spans="1:7">
      <c r="A2113" s="884">
        <v>43631</v>
      </c>
      <c r="B2113" s="240" t="str">
        <f>TiposLancamentos!B5</f>
        <v>Supermercado</v>
      </c>
      <c r="C2113" s="878" t="s">
        <v>3682</v>
      </c>
      <c r="D2113" s="63"/>
      <c r="E2113" s="231">
        <v>9.7899999999999991</v>
      </c>
      <c r="F2113" s="899"/>
      <c r="G2113" s="1152" t="s">
        <v>9</v>
      </c>
    </row>
    <row r="2114" spans="1:7">
      <c r="A2114" s="884">
        <v>43631</v>
      </c>
      <c r="B2114" s="240" t="str">
        <f>TiposLancamentos!B19</f>
        <v>Restaurantes</v>
      </c>
      <c r="C2114" s="878" t="s">
        <v>19764</v>
      </c>
      <c r="D2114" s="63"/>
      <c r="E2114" s="231">
        <v>134.63999999999999</v>
      </c>
      <c r="F2114" s="899"/>
      <c r="G2114" s="1152" t="s">
        <v>9</v>
      </c>
    </row>
    <row r="2115" spans="1:7">
      <c r="A2115" s="884">
        <v>43632</v>
      </c>
      <c r="B2115" s="240" t="str">
        <f>TiposLancamentos!B5</f>
        <v>Supermercado</v>
      </c>
      <c r="C2115" s="878" t="s">
        <v>6234</v>
      </c>
      <c r="D2115" s="63"/>
      <c r="E2115" s="231">
        <v>169.2</v>
      </c>
      <c r="F2115" s="899"/>
      <c r="G2115" s="1152" t="s">
        <v>9</v>
      </c>
    </row>
    <row r="2116" spans="1:7">
      <c r="A2116" s="884">
        <v>43634</v>
      </c>
      <c r="B2116" s="240" t="str">
        <f>TiposLancamentos!B70</f>
        <v>Vestuário</v>
      </c>
      <c r="C2116" s="878" t="s">
        <v>19765</v>
      </c>
      <c r="D2116" s="63"/>
      <c r="E2116" s="231">
        <v>478.3</v>
      </c>
      <c r="F2116" s="899">
        <v>2869.7</v>
      </c>
      <c r="G2116" s="1152" t="s">
        <v>9</v>
      </c>
    </row>
    <row r="2117" spans="1:7">
      <c r="A2117" s="934"/>
      <c r="B2117" s="243"/>
      <c r="C2117" s="389" t="s">
        <v>10</v>
      </c>
      <c r="D2117" s="146"/>
      <c r="E2117" s="1190"/>
      <c r="F2117" s="935"/>
      <c r="G2117" s="1094" t="s">
        <v>11</v>
      </c>
    </row>
    <row r="2118" spans="1:7">
      <c r="A2118" s="1272">
        <v>43634</v>
      </c>
      <c r="B2118" s="279" t="str">
        <f>TiposLancamentos!B16</f>
        <v>Cristiane</v>
      </c>
      <c r="C2118" s="280" t="s">
        <v>18498</v>
      </c>
      <c r="D2118" s="281"/>
      <c r="E2118" s="1293">
        <v>120</v>
      </c>
      <c r="F2118" s="1271"/>
      <c r="G2118" s="1152" t="s">
        <v>9</v>
      </c>
    </row>
    <row r="2119" spans="1:7">
      <c r="A2119" s="1272">
        <v>43634</v>
      </c>
      <c r="B2119" s="279" t="str">
        <f>TiposLancamentos!B16</f>
        <v>Cristiane</v>
      </c>
      <c r="C2119" s="280" t="s">
        <v>18339</v>
      </c>
      <c r="D2119" s="281"/>
      <c r="E2119" s="1293">
        <v>111.45</v>
      </c>
      <c r="F2119" s="1271"/>
      <c r="G2119" s="1152" t="s">
        <v>9</v>
      </c>
    </row>
    <row r="2120" spans="1:7">
      <c r="A2120" s="884">
        <v>43634</v>
      </c>
      <c r="B2120" s="240" t="str">
        <f>TiposLancamentos!B19</f>
        <v>Restaurantes</v>
      </c>
      <c r="C2120" s="878" t="s">
        <v>19766</v>
      </c>
      <c r="D2120" s="63"/>
      <c r="E2120" s="231">
        <v>80.959999999999994</v>
      </c>
      <c r="F2120" s="899"/>
      <c r="G2120" s="1152" t="s">
        <v>9</v>
      </c>
    </row>
    <row r="2121" spans="1:7">
      <c r="A2121" s="884">
        <v>43634</v>
      </c>
      <c r="B2121" s="240" t="str">
        <f>TiposLancamentos!B16</f>
        <v>Cristiane</v>
      </c>
      <c r="C2121" s="878" t="s">
        <v>19767</v>
      </c>
      <c r="D2121" s="63"/>
      <c r="E2121" s="231">
        <v>41.96</v>
      </c>
      <c r="F2121" s="899"/>
      <c r="G2121" s="1152" t="s">
        <v>9</v>
      </c>
    </row>
    <row r="2122" spans="1:7">
      <c r="A2122" s="884">
        <v>43634</v>
      </c>
      <c r="B2122" s="240" t="str">
        <f>TiposLancamentos!B19</f>
        <v>Restaurantes</v>
      </c>
      <c r="C2122" s="878" t="s">
        <v>19768</v>
      </c>
      <c r="D2122" s="63"/>
      <c r="E2122" s="231">
        <v>17.399999999999999</v>
      </c>
      <c r="F2122" s="899"/>
      <c r="G2122" s="1152" t="s">
        <v>9</v>
      </c>
    </row>
    <row r="2123" spans="1:7">
      <c r="A2123" s="1272">
        <v>43634</v>
      </c>
      <c r="B2123" s="279" t="str">
        <f>TiposLancamentos!B19</f>
        <v>Restaurantes</v>
      </c>
      <c r="C2123" s="280" t="s">
        <v>19528</v>
      </c>
      <c r="D2123" s="281"/>
      <c r="E2123" s="1293">
        <v>38</v>
      </c>
      <c r="F2123" s="1271"/>
      <c r="G2123" s="1152" t="s">
        <v>9</v>
      </c>
    </row>
    <row r="2124" spans="1:7">
      <c r="A2124" s="884">
        <v>43634</v>
      </c>
      <c r="B2124" s="240" t="str">
        <f>TiposLancamentos!B102</f>
        <v>ESTORNO</v>
      </c>
      <c r="C2124" s="878" t="s">
        <v>19769</v>
      </c>
      <c r="D2124" s="63">
        <v>0.02</v>
      </c>
      <c r="E2124" s="231"/>
      <c r="F2124" s="899"/>
      <c r="G2124" s="1152" t="s">
        <v>9</v>
      </c>
    </row>
    <row r="2125" spans="1:7">
      <c r="A2125" s="884">
        <v>43635</v>
      </c>
      <c r="B2125" s="240" t="str">
        <f>TiposLancamentos!B70</f>
        <v>Vestuário</v>
      </c>
      <c r="C2125" s="878" t="s">
        <v>19770</v>
      </c>
      <c r="D2125" s="63"/>
      <c r="E2125" s="231">
        <v>52.8</v>
      </c>
      <c r="F2125" s="899"/>
      <c r="G2125" s="1152" t="s">
        <v>9</v>
      </c>
    </row>
    <row r="2126" spans="1:7">
      <c r="A2126" s="884">
        <v>43635</v>
      </c>
      <c r="B2126" s="240" t="str">
        <f>TiposLancamentos!B17</f>
        <v>GATO</v>
      </c>
      <c r="C2126" s="878" t="s">
        <v>4878</v>
      </c>
      <c r="D2126" s="63"/>
      <c r="E2126" s="231">
        <v>47.6</v>
      </c>
      <c r="F2126" s="899"/>
      <c r="G2126" s="1152" t="s">
        <v>9</v>
      </c>
    </row>
    <row r="2127" spans="1:7">
      <c r="A2127" s="884">
        <v>43635</v>
      </c>
      <c r="B2127" s="240" t="str">
        <f>TiposLancamentos!B22</f>
        <v>Combustivel</v>
      </c>
      <c r="C2127" s="878" t="s">
        <v>19771</v>
      </c>
      <c r="D2127" s="63"/>
      <c r="E2127" s="231">
        <v>138.08000000000001</v>
      </c>
      <c r="F2127" s="899"/>
      <c r="G2127" s="1152" t="s">
        <v>9</v>
      </c>
    </row>
    <row r="2128" spans="1:7">
      <c r="A2128" s="884">
        <v>43635</v>
      </c>
      <c r="B2128" s="240" t="str">
        <f>TiposLancamentos!B56</f>
        <v>Farmácia</v>
      </c>
      <c r="C2128" s="878" t="s">
        <v>19772</v>
      </c>
      <c r="D2128" s="63"/>
      <c r="E2128" s="231">
        <v>114.24</v>
      </c>
      <c r="F2128" s="899"/>
      <c r="G2128" s="1152" t="s">
        <v>9</v>
      </c>
    </row>
    <row r="2129" spans="1:7">
      <c r="A2129" s="884">
        <v>43636</v>
      </c>
      <c r="B2129" s="240" t="str">
        <f>TiposLancamentos!B19</f>
        <v>Restaurantes</v>
      </c>
      <c r="C2129" s="878" t="s">
        <v>7741</v>
      </c>
      <c r="D2129" s="63"/>
      <c r="E2129" s="231">
        <v>37.5</v>
      </c>
      <c r="F2129" s="899"/>
      <c r="G2129" s="1152" t="s">
        <v>9</v>
      </c>
    </row>
    <row r="2130" spans="1:7">
      <c r="A2130" s="884">
        <v>43636</v>
      </c>
      <c r="B2130" s="240" t="str">
        <f>TiposLancamentos!B16</f>
        <v>Cristiane</v>
      </c>
      <c r="C2130" s="878" t="s">
        <v>19773</v>
      </c>
      <c r="D2130" s="63"/>
      <c r="E2130" s="231">
        <v>35.72</v>
      </c>
      <c r="F2130" s="899"/>
      <c r="G2130" s="1152" t="s">
        <v>9</v>
      </c>
    </row>
    <row r="2131" spans="1:7">
      <c r="A2131" s="884">
        <v>43636</v>
      </c>
      <c r="B2131" s="240" t="str">
        <f>TiposLancamentos!B19</f>
        <v>Restaurantes</v>
      </c>
      <c r="C2131" s="878" t="s">
        <v>19774</v>
      </c>
      <c r="D2131" s="63"/>
      <c r="E2131" s="231">
        <v>110</v>
      </c>
      <c r="F2131" s="899"/>
      <c r="G2131" s="1152" t="s">
        <v>9</v>
      </c>
    </row>
    <row r="2132" spans="1:7">
      <c r="A2132" s="884">
        <v>43637</v>
      </c>
      <c r="B2132" s="240" t="str">
        <f>TiposLancamentos!B16</f>
        <v>Cristiane</v>
      </c>
      <c r="C2132" s="878" t="s">
        <v>19775</v>
      </c>
      <c r="D2132" s="63"/>
      <c r="E2132" s="231">
        <v>40.4</v>
      </c>
      <c r="F2132" s="899"/>
      <c r="G2132" s="1152" t="s">
        <v>9</v>
      </c>
    </row>
    <row r="2133" spans="1:7">
      <c r="A2133" s="884">
        <v>43637</v>
      </c>
      <c r="B2133" s="240" t="str">
        <f>TiposLancamentos!B16</f>
        <v>Cristiane</v>
      </c>
      <c r="C2133" s="878" t="s">
        <v>19776</v>
      </c>
      <c r="D2133" s="63"/>
      <c r="E2133" s="231">
        <v>20</v>
      </c>
      <c r="F2133" s="899"/>
      <c r="G2133" s="1152" t="s">
        <v>9</v>
      </c>
    </row>
    <row r="2134" spans="1:7">
      <c r="A2134" s="884">
        <v>43637</v>
      </c>
      <c r="B2134" s="240" t="str">
        <f>TiposLancamentos!B45</f>
        <v>Online Services</v>
      </c>
      <c r="C2134" s="878" t="s">
        <v>19027</v>
      </c>
      <c r="D2134" s="63"/>
      <c r="E2134" s="231">
        <v>33</v>
      </c>
      <c r="F2134" s="899"/>
      <c r="G2134" s="1152" t="s">
        <v>9</v>
      </c>
    </row>
    <row r="2135" spans="1:7">
      <c r="A2135" s="1272">
        <v>43638</v>
      </c>
      <c r="B2135" s="279" t="str">
        <f>TiposLancamentos!B16</f>
        <v>Cristiane</v>
      </c>
      <c r="C2135" s="280" t="s">
        <v>19777</v>
      </c>
      <c r="D2135" s="281"/>
      <c r="E2135" s="1293">
        <v>30</v>
      </c>
      <c r="F2135" s="1271"/>
      <c r="G2135" s="1152" t="s">
        <v>9</v>
      </c>
    </row>
    <row r="2136" spans="1:7">
      <c r="A2136" s="1272">
        <v>43638</v>
      </c>
      <c r="B2136" s="279" t="str">
        <f>TiposLancamentos!B71</f>
        <v>Itens Pessoais</v>
      </c>
      <c r="C2136" s="280" t="s">
        <v>19778</v>
      </c>
      <c r="D2136" s="281"/>
      <c r="E2136" s="1293">
        <f>F2136/6</f>
        <v>699.84</v>
      </c>
      <c r="F2136" s="1271">
        <v>4199.04</v>
      </c>
      <c r="G2136" s="1152" t="s">
        <v>9</v>
      </c>
    </row>
    <row r="2137" spans="1:7">
      <c r="A2137" s="884">
        <v>43638</v>
      </c>
      <c r="B2137" s="240" t="str">
        <f>TiposLancamentos!B13</f>
        <v>Moradia</v>
      </c>
      <c r="C2137" s="878" t="s">
        <v>19779</v>
      </c>
      <c r="D2137" s="63"/>
      <c r="E2137" s="231">
        <v>398.4</v>
      </c>
      <c r="F2137" s="899">
        <v>3984</v>
      </c>
      <c r="G2137" s="1152" t="s">
        <v>9</v>
      </c>
    </row>
    <row r="2138" spans="1:7">
      <c r="A2138" s="884">
        <v>43639</v>
      </c>
      <c r="B2138" s="240" t="str">
        <f>TiposLancamentos!B22</f>
        <v>Combustivel</v>
      </c>
      <c r="C2138" s="878" t="s">
        <v>19780</v>
      </c>
      <c r="D2138" s="63"/>
      <c r="E2138" s="231">
        <v>130.08000000000001</v>
      </c>
      <c r="F2138" s="899"/>
      <c r="G2138" s="1152" t="s">
        <v>9</v>
      </c>
    </row>
    <row r="2139" spans="1:7">
      <c r="A2139" s="1272">
        <v>43640</v>
      </c>
      <c r="B2139" s="279" t="str">
        <f>TiposLancamentos!B5</f>
        <v>Supermercado</v>
      </c>
      <c r="C2139" s="280" t="s">
        <v>6234</v>
      </c>
      <c r="D2139" s="281"/>
      <c r="E2139" s="1293">
        <v>183.66</v>
      </c>
      <c r="F2139" s="1271"/>
      <c r="G2139" s="1152" t="s">
        <v>9</v>
      </c>
    </row>
    <row r="2140" spans="1:7">
      <c r="A2140" s="1272">
        <v>43641</v>
      </c>
      <c r="B2140" s="279" t="str">
        <f>TiposLancamentos!B5</f>
        <v>Supermercado</v>
      </c>
      <c r="C2140" s="280" t="s">
        <v>17822</v>
      </c>
      <c r="D2140" s="281"/>
      <c r="E2140" s="1293">
        <v>53.81</v>
      </c>
      <c r="F2140" s="1271"/>
      <c r="G2140" s="1152" t="s">
        <v>9</v>
      </c>
    </row>
    <row r="2141" spans="1:7">
      <c r="A2141" s="884">
        <v>43642</v>
      </c>
      <c r="B2141" s="240" t="str">
        <f>TiposLancamentos!B32</f>
        <v>Clinicas e tratamentos</v>
      </c>
      <c r="C2141" s="878" t="s">
        <v>19781</v>
      </c>
      <c r="D2141" s="63"/>
      <c r="E2141" s="231">
        <v>170</v>
      </c>
      <c r="F2141" s="899"/>
      <c r="G2141" s="1152" t="s">
        <v>9</v>
      </c>
    </row>
    <row r="2142" spans="1:7">
      <c r="A2142" s="884">
        <v>43643</v>
      </c>
      <c r="B2142" s="240" t="str">
        <f>TiposLancamentos!B5</f>
        <v>Supermercado</v>
      </c>
      <c r="C2142" s="878" t="s">
        <v>19782</v>
      </c>
      <c r="D2142" s="63"/>
      <c r="E2142" s="231">
        <v>146.74</v>
      </c>
      <c r="F2142" s="899"/>
      <c r="G2142" s="1152" t="s">
        <v>9</v>
      </c>
    </row>
    <row r="2143" spans="1:7">
      <c r="A2143" s="1272">
        <v>43644</v>
      </c>
      <c r="B2143" s="1645" t="str">
        <f>TiposLancamentos!B16</f>
        <v>Cristiane</v>
      </c>
      <c r="C2143" s="280" t="s">
        <v>19783</v>
      </c>
      <c r="D2143" s="281"/>
      <c r="E2143" s="1293">
        <v>49.6</v>
      </c>
      <c r="F2143" s="1271"/>
      <c r="G2143" s="1152" t="s">
        <v>9</v>
      </c>
    </row>
    <row r="2144" spans="1:7">
      <c r="A2144" s="884">
        <v>43644</v>
      </c>
      <c r="B2144" s="240" t="str">
        <f>TiposLancamentos!B45</f>
        <v>Online Services</v>
      </c>
      <c r="C2144" s="878" t="s">
        <v>1894</v>
      </c>
      <c r="D2144" s="63"/>
      <c r="E2144" s="231">
        <v>32.9</v>
      </c>
      <c r="F2144" s="899"/>
      <c r="G2144" s="1152" t="s">
        <v>9</v>
      </c>
    </row>
    <row r="2145" spans="1:7">
      <c r="A2145" s="884">
        <v>43644</v>
      </c>
      <c r="B2145" s="240" t="str">
        <f>TiposLancamentos!B45</f>
        <v>Online Services</v>
      </c>
      <c r="C2145" s="878" t="s">
        <v>1895</v>
      </c>
      <c r="D2145" s="63"/>
      <c r="E2145" s="231">
        <v>26.9</v>
      </c>
      <c r="F2145" s="899"/>
      <c r="G2145" s="1152" t="s">
        <v>9</v>
      </c>
    </row>
    <row r="2146" spans="1:7">
      <c r="A2146" s="884">
        <v>43644</v>
      </c>
      <c r="B2146" s="240" t="str">
        <f>TiposLancamentos!B19</f>
        <v>Restaurantes</v>
      </c>
      <c r="C2146" s="878" t="s">
        <v>19784</v>
      </c>
      <c r="D2146" s="63"/>
      <c r="E2146" s="231">
        <v>17.399999999999999</v>
      </c>
      <c r="F2146" s="899"/>
      <c r="G2146" s="1152" t="s">
        <v>9</v>
      </c>
    </row>
    <row r="2147" spans="1:7">
      <c r="A2147" s="884">
        <v>43645</v>
      </c>
      <c r="B2147" s="240" t="str">
        <f>TiposLancamentos!B19</f>
        <v>Restaurantes</v>
      </c>
      <c r="C2147" s="878" t="s">
        <v>7406</v>
      </c>
      <c r="D2147" s="63"/>
      <c r="E2147" s="231">
        <v>138.6</v>
      </c>
      <c r="F2147" s="899"/>
      <c r="G2147" s="1152" t="s">
        <v>9</v>
      </c>
    </row>
    <row r="2148" spans="1:7">
      <c r="A2148" s="884">
        <v>43645</v>
      </c>
      <c r="B2148" s="240" t="str">
        <f>TiposLancamentos!B5</f>
        <v>Supermercado</v>
      </c>
      <c r="C2148" s="878" t="s">
        <v>11107</v>
      </c>
      <c r="D2148" s="63"/>
      <c r="E2148" s="231">
        <v>113.03</v>
      </c>
      <c r="F2148" s="899"/>
      <c r="G2148" s="1152" t="s">
        <v>9</v>
      </c>
    </row>
    <row r="2149" spans="1:7">
      <c r="A2149" s="1272">
        <v>43646</v>
      </c>
      <c r="B2149" s="1645" t="str">
        <f>TiposLancamentos!B19</f>
        <v>Restaurantes</v>
      </c>
      <c r="C2149" s="280" t="s">
        <v>19528</v>
      </c>
      <c r="D2149" s="281"/>
      <c r="E2149" s="1293">
        <v>48</v>
      </c>
      <c r="F2149" s="1271"/>
      <c r="G2149" s="1152" t="s">
        <v>9</v>
      </c>
    </row>
    <row r="2150" spans="1:7">
      <c r="A2150" s="884">
        <v>43646</v>
      </c>
      <c r="B2150" s="240" t="str">
        <f>TiposLancamentos!B44</f>
        <v>Academia</v>
      </c>
      <c r="C2150" s="878" t="s">
        <v>19785</v>
      </c>
      <c r="D2150" s="63"/>
      <c r="E2150" s="231">
        <v>115.6</v>
      </c>
      <c r="F2150" s="899"/>
      <c r="G2150" s="1152" t="s">
        <v>9</v>
      </c>
    </row>
    <row r="2151" spans="1:7" ht="14.25" thickBot="1">
      <c r="A2151" s="1272">
        <v>43646</v>
      </c>
      <c r="B2151" s="1645" t="str">
        <f>TiposLancamentos!B16</f>
        <v>Cristiane</v>
      </c>
      <c r="C2151" s="280" t="s">
        <v>19785</v>
      </c>
      <c r="D2151" s="281"/>
      <c r="E2151" s="1293">
        <v>115.6</v>
      </c>
      <c r="F2151" s="1271"/>
      <c r="G2151" s="1152" t="s">
        <v>9</v>
      </c>
    </row>
    <row r="2152" spans="1:7">
      <c r="A2152" s="1032"/>
      <c r="B2152" s="1230"/>
      <c r="C2152" s="906" t="s">
        <v>19786</v>
      </c>
      <c r="D2152" s="896"/>
      <c r="E2152" s="925"/>
      <c r="F2152" s="898">
        <f>SUM(E2034:E2116)-(D2103+D2095+D2084)</f>
        <v>7789.1</v>
      </c>
      <c r="G2152" s="3"/>
    </row>
    <row r="2153" spans="1:7">
      <c r="A2153" s="884">
        <v>43647</v>
      </c>
      <c r="B2153" s="240" t="str">
        <f>TiposLancamentos!B56</f>
        <v>Farmácia</v>
      </c>
      <c r="C2153" s="878" t="s">
        <v>19787</v>
      </c>
      <c r="D2153" s="63"/>
      <c r="E2153" s="231">
        <v>130.43</v>
      </c>
      <c r="F2153" s="899">
        <f>F2152-F2079</f>
        <v>-1763.6999999999971</v>
      </c>
      <c r="G2153" s="1152" t="s">
        <v>9</v>
      </c>
    </row>
    <row r="2154" spans="1:7">
      <c r="A2154" s="1272">
        <v>43617</v>
      </c>
      <c r="B2154" s="1645" t="str">
        <f>TiposLancamentos!B5</f>
        <v>Supermercado</v>
      </c>
      <c r="C2154" s="280" t="s">
        <v>6234</v>
      </c>
      <c r="D2154" s="281"/>
      <c r="E2154" s="1293">
        <v>198.63</v>
      </c>
      <c r="F2154" s="1271"/>
      <c r="G2154" s="1152" t="s">
        <v>9</v>
      </c>
    </row>
    <row r="2155" spans="1:7">
      <c r="A2155" s="884">
        <v>43647</v>
      </c>
      <c r="B2155" s="240" t="str">
        <f>TiposLancamentos!B15</f>
        <v>Cartões de Crédito</v>
      </c>
      <c r="C2155" s="878" t="s">
        <v>1874</v>
      </c>
      <c r="D2155" s="63">
        <v>7789.08</v>
      </c>
      <c r="E2155" s="231"/>
      <c r="F2155" s="899"/>
      <c r="G2155" s="1152" t="s">
        <v>9</v>
      </c>
    </row>
    <row r="2156" spans="1:7">
      <c r="A2156" s="884">
        <v>43647</v>
      </c>
      <c r="B2156" s="240" t="str">
        <f>TiposLancamentos!B32</f>
        <v>Clinicas e tratamentos</v>
      </c>
      <c r="C2156" s="878" t="s">
        <v>19788</v>
      </c>
      <c r="D2156" s="63"/>
      <c r="E2156" s="231">
        <v>170</v>
      </c>
      <c r="F2156" s="899"/>
      <c r="G2156" s="1152" t="s">
        <v>9</v>
      </c>
    </row>
    <row r="2157" spans="1:7">
      <c r="A2157" s="884">
        <v>43648</v>
      </c>
      <c r="B2157" s="240" t="str">
        <f>TiposLancamentos!B60</f>
        <v>Correio</v>
      </c>
      <c r="C2157" s="878" t="s">
        <v>19789</v>
      </c>
      <c r="D2157" s="63"/>
      <c r="E2157" s="231">
        <v>27.2</v>
      </c>
      <c r="F2157" s="899"/>
      <c r="G2157" s="1152" t="s">
        <v>9</v>
      </c>
    </row>
    <row r="2158" spans="1:7">
      <c r="A2158" s="884">
        <v>43648</v>
      </c>
      <c r="B2158" s="240" t="str">
        <f>TiposLancamentos!B26</f>
        <v>LIVROS</v>
      </c>
      <c r="C2158" s="878" t="s">
        <v>19790</v>
      </c>
      <c r="D2158" s="63"/>
      <c r="E2158" s="231">
        <v>146.47</v>
      </c>
      <c r="F2158" s="899"/>
      <c r="G2158" s="1152" t="s">
        <v>9</v>
      </c>
    </row>
    <row r="2159" spans="1:7">
      <c r="A2159" s="884">
        <v>43649</v>
      </c>
      <c r="B2159" s="240" t="str">
        <f>TiposLancamentos!B19</f>
        <v>Restaurantes</v>
      </c>
      <c r="C2159" s="878" t="s">
        <v>7004</v>
      </c>
      <c r="D2159" s="63"/>
      <c r="E2159" s="231">
        <v>13.5</v>
      </c>
      <c r="F2159" s="899"/>
      <c r="G2159" s="1152" t="s">
        <v>9</v>
      </c>
    </row>
    <row r="2160" spans="1:7">
      <c r="A2160" s="1272">
        <v>43649</v>
      </c>
      <c r="B2160" s="279" t="str">
        <f>TiposLancamentos!B16</f>
        <v>Cristiane</v>
      </c>
      <c r="C2160" s="280" t="s">
        <v>19791</v>
      </c>
      <c r="D2160" s="281"/>
      <c r="E2160" s="1293">
        <v>104.9</v>
      </c>
      <c r="F2160" s="1271"/>
      <c r="G2160" s="1152" t="s">
        <v>9</v>
      </c>
    </row>
    <row r="2161" spans="1:7">
      <c r="A2161" s="1272">
        <v>43649</v>
      </c>
      <c r="B2161" s="279" t="str">
        <f>TiposLancamentos!B16</f>
        <v>Cristiane</v>
      </c>
      <c r="C2161" s="280" t="s">
        <v>19792</v>
      </c>
      <c r="D2161" s="281"/>
      <c r="E2161" s="1293">
        <v>72.3</v>
      </c>
      <c r="F2161" s="1271"/>
      <c r="G2161" s="1152" t="s">
        <v>9</v>
      </c>
    </row>
    <row r="2162" spans="1:7">
      <c r="A2162" s="884">
        <v>43650</v>
      </c>
      <c r="B2162" s="240" t="str">
        <f>TiposLancamentos!B71</f>
        <v>Itens Pessoais</v>
      </c>
      <c r="C2162" s="878" t="s">
        <v>19793</v>
      </c>
      <c r="D2162" s="63"/>
      <c r="E2162" s="231">
        <v>39.9</v>
      </c>
      <c r="F2162" s="899"/>
      <c r="G2162" s="1152" t="s">
        <v>9</v>
      </c>
    </row>
    <row r="2163" spans="1:7">
      <c r="A2163" s="1272">
        <v>43650</v>
      </c>
      <c r="B2163" s="279" t="str">
        <f>TiposLancamentos!B5</f>
        <v>Supermercado</v>
      </c>
      <c r="C2163" s="280" t="s">
        <v>6234</v>
      </c>
      <c r="D2163" s="281"/>
      <c r="E2163" s="1293">
        <v>118.08</v>
      </c>
      <c r="F2163" s="1271"/>
      <c r="G2163" s="1152" t="s">
        <v>9</v>
      </c>
    </row>
    <row r="2164" spans="1:7">
      <c r="A2164" s="884">
        <v>43652</v>
      </c>
      <c r="B2164" s="240" t="str">
        <f>TiposLancamentos!B71</f>
        <v>Itens Pessoais</v>
      </c>
      <c r="C2164" s="878" t="s">
        <v>19794</v>
      </c>
      <c r="D2164" s="63"/>
      <c r="E2164" s="231">
        <v>149.99</v>
      </c>
      <c r="F2164" s="899">
        <v>449.99</v>
      </c>
      <c r="G2164" s="1152" t="s">
        <v>9</v>
      </c>
    </row>
    <row r="2165" spans="1:7">
      <c r="A2165" s="1272">
        <v>43652</v>
      </c>
      <c r="B2165" s="279" t="str">
        <f>TiposLancamentos!B16</f>
        <v>Cristiane</v>
      </c>
      <c r="C2165" s="280" t="s">
        <v>19783</v>
      </c>
      <c r="D2165" s="281"/>
      <c r="E2165" s="1293">
        <v>32.299999999999997</v>
      </c>
      <c r="F2165" s="1271"/>
      <c r="G2165" s="1152" t="s">
        <v>9</v>
      </c>
    </row>
    <row r="2166" spans="1:7">
      <c r="A2166" s="884">
        <v>43652</v>
      </c>
      <c r="B2166" s="240" t="str">
        <f>TiposLancamentos!B5</f>
        <v>Supermercado</v>
      </c>
      <c r="C2166" s="878" t="s">
        <v>5844</v>
      </c>
      <c r="D2166" s="63"/>
      <c r="E2166" s="231">
        <v>131.47999999999999</v>
      </c>
      <c r="F2166" s="899"/>
      <c r="G2166" s="1152" t="s">
        <v>9</v>
      </c>
    </row>
    <row r="2167" spans="1:7">
      <c r="A2167" s="884">
        <v>43653</v>
      </c>
      <c r="B2167" s="240" t="str">
        <f>TiposLancamentos!B102</f>
        <v>ESTORNO</v>
      </c>
      <c r="C2167" s="878" t="s">
        <v>19795</v>
      </c>
      <c r="D2167" s="63">
        <v>0.04</v>
      </c>
      <c r="E2167" s="231"/>
      <c r="F2167" s="899"/>
      <c r="G2167" s="1152" t="s">
        <v>9</v>
      </c>
    </row>
    <row r="2168" spans="1:7">
      <c r="A2168" s="884">
        <v>43653</v>
      </c>
      <c r="B2168" s="240" t="str">
        <f>TiposLancamentos!B71</f>
        <v>Itens Pessoais</v>
      </c>
      <c r="C2168" s="878" t="s">
        <v>19796</v>
      </c>
      <c r="D2168" s="63"/>
      <c r="E2168" s="231">
        <v>93.5</v>
      </c>
      <c r="F2168" s="899">
        <v>560.79999999999995</v>
      </c>
      <c r="G2168" s="1152" t="s">
        <v>9</v>
      </c>
    </row>
    <row r="2169" spans="1:7">
      <c r="A2169" s="1272">
        <v>43654</v>
      </c>
      <c r="B2169" s="279" t="str">
        <f>TiposLancamentos!B5</f>
        <v>Supermercado</v>
      </c>
      <c r="C2169" s="280" t="s">
        <v>19637</v>
      </c>
      <c r="D2169" s="281"/>
      <c r="E2169" s="1293">
        <v>105.71</v>
      </c>
      <c r="F2169" s="1271"/>
      <c r="G2169" s="1152" t="s">
        <v>9</v>
      </c>
    </row>
    <row r="2170" spans="1:7">
      <c r="A2170" s="884">
        <v>43654</v>
      </c>
      <c r="B2170" s="240" t="str">
        <f>TiposLancamentos!B19</f>
        <v>Restaurantes</v>
      </c>
      <c r="C2170" s="878" t="s">
        <v>19528</v>
      </c>
      <c r="D2170" s="63"/>
      <c r="E2170" s="231">
        <v>50</v>
      </c>
      <c r="F2170" s="899"/>
      <c r="G2170" s="1152" t="s">
        <v>9</v>
      </c>
    </row>
    <row r="2171" spans="1:7">
      <c r="A2171" s="884">
        <v>43655</v>
      </c>
      <c r="B2171" s="240" t="str">
        <f>TiposLancamentos!B5</f>
        <v>Supermercado</v>
      </c>
      <c r="C2171" s="878" t="s">
        <v>6234</v>
      </c>
      <c r="D2171" s="63"/>
      <c r="E2171" s="231">
        <v>32.659999999999997</v>
      </c>
      <c r="F2171" s="899"/>
      <c r="G2171" s="1152" t="s">
        <v>9</v>
      </c>
    </row>
    <row r="2172" spans="1:7">
      <c r="A2172" s="884">
        <v>43655</v>
      </c>
      <c r="B2172" s="240" t="str">
        <f>TiposLancamentos!B56</f>
        <v>Farmácia</v>
      </c>
      <c r="C2172" s="878" t="s">
        <v>19797</v>
      </c>
      <c r="D2172" s="63"/>
      <c r="E2172" s="231">
        <v>144.94999999999999</v>
      </c>
      <c r="F2172" s="899"/>
      <c r="G2172" s="1152" t="s">
        <v>9</v>
      </c>
    </row>
    <row r="2173" spans="1:7">
      <c r="A2173" s="1272">
        <v>43656</v>
      </c>
      <c r="B2173" s="279" t="str">
        <f>TiposLancamentos!B16</f>
        <v>Cristiane</v>
      </c>
      <c r="C2173" s="280" t="s">
        <v>19798</v>
      </c>
      <c r="D2173" s="281"/>
      <c r="E2173" s="1293">
        <v>65.400000000000006</v>
      </c>
      <c r="F2173" s="1271"/>
      <c r="G2173" s="1152" t="s">
        <v>9</v>
      </c>
    </row>
    <row r="2174" spans="1:7">
      <c r="A2174" s="884">
        <v>43656</v>
      </c>
      <c r="B2174" s="240" t="str">
        <f>TiposLancamentos!B45</f>
        <v>Online Services</v>
      </c>
      <c r="C2174" s="878" t="s">
        <v>19799</v>
      </c>
      <c r="D2174" s="63"/>
      <c r="E2174" s="231">
        <v>163.26</v>
      </c>
      <c r="F2174" s="899">
        <v>489.8</v>
      </c>
      <c r="G2174" s="1152" t="s">
        <v>9</v>
      </c>
    </row>
    <row r="2175" spans="1:7">
      <c r="A2175" s="1272">
        <v>43657</v>
      </c>
      <c r="B2175" s="279" t="str">
        <f>TiposLancamentos!B19</f>
        <v>Restaurantes</v>
      </c>
      <c r="C2175" s="280" t="s">
        <v>19800</v>
      </c>
      <c r="D2175" s="281"/>
      <c r="E2175" s="1293">
        <v>27.9</v>
      </c>
      <c r="F2175" s="1271"/>
      <c r="G2175" s="1152" t="s">
        <v>9</v>
      </c>
    </row>
    <row r="2176" spans="1:7">
      <c r="A2176" s="1272">
        <v>43658</v>
      </c>
      <c r="B2176" s="279" t="str">
        <f>TiposLancamentos!B16</f>
        <v>Cristiane</v>
      </c>
      <c r="C2176" s="280" t="s">
        <v>19801</v>
      </c>
      <c r="D2176" s="281"/>
      <c r="E2176" s="1293">
        <v>9.1199999999999992</v>
      </c>
      <c r="F2176" s="1271"/>
      <c r="G2176" s="1152" t="s">
        <v>9</v>
      </c>
    </row>
    <row r="2177" spans="1:7">
      <c r="A2177" s="884">
        <v>43660</v>
      </c>
      <c r="B2177" s="240" t="str">
        <f>TiposLancamentos!B19</f>
        <v>Restaurantes</v>
      </c>
      <c r="C2177" s="878" t="s">
        <v>19802</v>
      </c>
      <c r="D2177" s="63"/>
      <c r="E2177" s="231">
        <v>50</v>
      </c>
      <c r="F2177" s="899"/>
      <c r="G2177" s="1152" t="s">
        <v>9</v>
      </c>
    </row>
    <row r="2178" spans="1:7">
      <c r="A2178" s="1272">
        <v>43660</v>
      </c>
      <c r="B2178" s="279" t="str">
        <f>TiposLancamentos!B16</f>
        <v>Cristiane</v>
      </c>
      <c r="C2178" s="280" t="s">
        <v>19803</v>
      </c>
      <c r="D2178" s="281"/>
      <c r="E2178" s="1293">
        <f>F2178/4</f>
        <v>172.5</v>
      </c>
      <c r="F2178" s="1271">
        <v>690</v>
      </c>
      <c r="G2178" s="1152" t="s">
        <v>9</v>
      </c>
    </row>
    <row r="2179" spans="1:7">
      <c r="A2179" s="884">
        <v>43661</v>
      </c>
      <c r="B2179" s="240" t="str">
        <f>TiposLancamentos!B5</f>
        <v>Supermercado</v>
      </c>
      <c r="C2179" s="878" t="s">
        <v>6234</v>
      </c>
      <c r="D2179" s="63"/>
      <c r="E2179" s="231">
        <v>51.86</v>
      </c>
      <c r="F2179" s="899"/>
      <c r="G2179" s="1152" t="s">
        <v>9</v>
      </c>
    </row>
    <row r="2180" spans="1:7">
      <c r="A2180" s="1272">
        <v>43662</v>
      </c>
      <c r="B2180" s="1645" t="str">
        <f>TiposLancamentos!B16</f>
        <v>Cristiane</v>
      </c>
      <c r="C2180" s="280" t="s">
        <v>19804</v>
      </c>
      <c r="D2180" s="281"/>
      <c r="E2180" s="1293">
        <v>45.1</v>
      </c>
      <c r="F2180" s="1271"/>
      <c r="G2180" s="1152" t="s">
        <v>9</v>
      </c>
    </row>
    <row r="2181" spans="1:7">
      <c r="A2181" s="1272">
        <v>43662</v>
      </c>
      <c r="B2181" s="1645" t="str">
        <f>TiposLancamentos!B16</f>
        <v>Cristiane</v>
      </c>
      <c r="C2181" s="280" t="s">
        <v>19805</v>
      </c>
      <c r="D2181" s="281"/>
      <c r="E2181" s="1293">
        <v>6.51</v>
      </c>
      <c r="F2181" s="1271"/>
      <c r="G2181" s="1152" t="s">
        <v>9</v>
      </c>
    </row>
    <row r="2182" spans="1:7">
      <c r="A2182" s="1272">
        <v>43662</v>
      </c>
      <c r="B2182" s="1645" t="str">
        <f>TiposLancamentos!B16</f>
        <v>Cristiane</v>
      </c>
      <c r="C2182" s="280" t="s">
        <v>19806</v>
      </c>
      <c r="D2182" s="281"/>
      <c r="E2182" s="1293">
        <v>20.9</v>
      </c>
      <c r="F2182" s="1271"/>
      <c r="G2182" s="1152" t="s">
        <v>9</v>
      </c>
    </row>
    <row r="2183" spans="1:7">
      <c r="A2183" s="884">
        <v>43662</v>
      </c>
      <c r="B2183" s="240" t="str">
        <f>TiposLancamentos!B19</f>
        <v>Restaurantes</v>
      </c>
      <c r="C2183" s="878" t="s">
        <v>15826</v>
      </c>
      <c r="D2183" s="63"/>
      <c r="E2183" s="231">
        <v>62.08</v>
      </c>
      <c r="F2183" s="899"/>
      <c r="G2183" s="1152" t="s">
        <v>9</v>
      </c>
    </row>
    <row r="2184" spans="1:7">
      <c r="A2184" s="884">
        <v>43663</v>
      </c>
      <c r="B2184" s="240" t="str">
        <f>TiposLancamentos!B19</f>
        <v>Restaurantes</v>
      </c>
      <c r="C2184" s="878" t="s">
        <v>7152</v>
      </c>
      <c r="D2184" s="63"/>
      <c r="E2184" s="231">
        <v>35.700000000000003</v>
      </c>
      <c r="F2184" s="899"/>
      <c r="G2184" s="1152" t="s">
        <v>9</v>
      </c>
    </row>
    <row r="2185" spans="1:7">
      <c r="A2185" s="884">
        <v>43663</v>
      </c>
      <c r="B2185" s="240" t="str">
        <f>TiposLancamentos!B19</f>
        <v>Restaurantes</v>
      </c>
      <c r="C2185" s="878" t="s">
        <v>19807</v>
      </c>
      <c r="D2185" s="63"/>
      <c r="E2185" s="231">
        <v>13.5</v>
      </c>
      <c r="F2185" s="899"/>
      <c r="G2185" s="1152" t="s">
        <v>9</v>
      </c>
    </row>
    <row r="2186" spans="1:7">
      <c r="A2186" s="1272">
        <v>43663</v>
      </c>
      <c r="B2186" s="1645" t="str">
        <f>TiposLancamentos!B5</f>
        <v>Supermercado</v>
      </c>
      <c r="C2186" s="280" t="s">
        <v>6234</v>
      </c>
      <c r="D2186" s="281"/>
      <c r="E2186" s="1293">
        <v>199.74</v>
      </c>
      <c r="F2186" s="1271"/>
      <c r="G2186" s="1152" t="s">
        <v>9</v>
      </c>
    </row>
    <row r="2187" spans="1:7">
      <c r="A2187" s="1272">
        <v>43663</v>
      </c>
      <c r="B2187" s="1645" t="str">
        <f>TiposLancamentos!B16</f>
        <v>Cristiane</v>
      </c>
      <c r="C2187" s="280" t="s">
        <v>19808</v>
      </c>
      <c r="D2187" s="281"/>
      <c r="E2187" s="1293">
        <v>7.06</v>
      </c>
      <c r="F2187" s="1271" t="s">
        <v>19809</v>
      </c>
      <c r="G2187" s="1152" t="s">
        <v>9</v>
      </c>
    </row>
    <row r="2188" spans="1:7">
      <c r="A2188" s="1272">
        <v>43633</v>
      </c>
      <c r="B2188" s="1645" t="str">
        <f>TiposLancamentos!B4</f>
        <v>Taxas Bancarias</v>
      </c>
      <c r="C2188" s="280" t="s">
        <v>19810</v>
      </c>
      <c r="D2188" s="281"/>
      <c r="E2188" s="1293">
        <v>0.43</v>
      </c>
      <c r="F2188" s="1271"/>
      <c r="G2188" s="1152" t="s">
        <v>9</v>
      </c>
    </row>
    <row r="2189" spans="1:7">
      <c r="A2189" s="884">
        <v>43664</v>
      </c>
      <c r="B2189" s="240" t="str">
        <f>TiposLancamentos!B19</f>
        <v>Restaurantes</v>
      </c>
      <c r="C2189" s="878" t="s">
        <v>11183</v>
      </c>
      <c r="D2189" s="63"/>
      <c r="E2189" s="231">
        <v>74</v>
      </c>
      <c r="F2189" s="899"/>
      <c r="G2189" s="1152" t="s">
        <v>9</v>
      </c>
    </row>
    <row r="2190" spans="1:7">
      <c r="A2190" s="884">
        <v>43664</v>
      </c>
      <c r="B2190" s="240" t="str">
        <f>TiposLancamentos!B70</f>
        <v>Vestuário</v>
      </c>
      <c r="C2190" s="878" t="s">
        <v>19811</v>
      </c>
      <c r="D2190" s="63"/>
      <c r="E2190" s="231">
        <v>478.3</v>
      </c>
      <c r="F2190" s="899">
        <v>2869.7</v>
      </c>
      <c r="G2190" s="1152" t="s">
        <v>9</v>
      </c>
    </row>
    <row r="2191" spans="1:7">
      <c r="A2191" s="934"/>
      <c r="B2191" s="243"/>
      <c r="C2191" s="389" t="s">
        <v>10</v>
      </c>
      <c r="D2191" s="146"/>
      <c r="E2191" s="1190"/>
      <c r="F2191" s="935"/>
      <c r="G2191" s="1094" t="s">
        <v>11</v>
      </c>
    </row>
    <row r="2192" spans="1:7">
      <c r="A2192" s="884">
        <v>43666</v>
      </c>
      <c r="B2192" s="240" t="str">
        <f>TiposLancamentos!B5</f>
        <v>Supermercado</v>
      </c>
      <c r="C2192" s="878" t="s">
        <v>6234</v>
      </c>
      <c r="D2192" s="63"/>
      <c r="E2192" s="231">
        <v>54.63</v>
      </c>
      <c r="F2192" s="899"/>
      <c r="G2192" s="1152" t="s">
        <v>9</v>
      </c>
    </row>
    <row r="2193" spans="1:7">
      <c r="A2193" s="884">
        <v>43667</v>
      </c>
      <c r="B2193" s="240" t="str">
        <f>TiposLancamentos!B17</f>
        <v>GATO</v>
      </c>
      <c r="C2193" s="878" t="s">
        <v>19812</v>
      </c>
      <c r="D2193" s="63"/>
      <c r="E2193" s="231">
        <v>56.5</v>
      </c>
      <c r="F2193" s="899"/>
      <c r="G2193" s="1152" t="s">
        <v>9</v>
      </c>
    </row>
    <row r="2194" spans="1:7">
      <c r="A2194" s="884">
        <v>43667</v>
      </c>
      <c r="B2194" s="240" t="str">
        <f>TiposLancamentos!B5</f>
        <v>Supermercado</v>
      </c>
      <c r="C2194" s="878" t="s">
        <v>6234</v>
      </c>
      <c r="D2194" s="63"/>
      <c r="E2194" s="231">
        <v>67.86</v>
      </c>
      <c r="F2194" s="899"/>
      <c r="G2194" s="1152" t="s">
        <v>9</v>
      </c>
    </row>
    <row r="2195" spans="1:7">
      <c r="A2195" s="884">
        <v>43667</v>
      </c>
      <c r="B2195" s="240" t="str">
        <f>TiposLancamentos!B45</f>
        <v>Online Services</v>
      </c>
      <c r="C2195" s="878" t="s">
        <v>19027</v>
      </c>
      <c r="D2195" s="63"/>
      <c r="E2195" s="231">
        <v>33</v>
      </c>
      <c r="F2195" s="899"/>
      <c r="G2195" s="1152" t="s">
        <v>9</v>
      </c>
    </row>
    <row r="2196" spans="1:7">
      <c r="A2196" s="1272">
        <v>43668</v>
      </c>
      <c r="B2196" s="1645" t="str">
        <f>TiposLancamentos!B5</f>
        <v>Supermercado</v>
      </c>
      <c r="C2196" s="280" t="s">
        <v>6234</v>
      </c>
      <c r="D2196" s="281"/>
      <c r="E2196" s="1293">
        <v>175.86</v>
      </c>
      <c r="F2196" s="1271"/>
      <c r="G2196" s="1152" t="s">
        <v>9</v>
      </c>
    </row>
    <row r="2197" spans="1:7">
      <c r="A2197" s="884">
        <v>43668</v>
      </c>
      <c r="B2197" s="240" t="str">
        <f>TiposLancamentos!B13</f>
        <v>Moradia</v>
      </c>
      <c r="C2197" s="878" t="s">
        <v>19813</v>
      </c>
      <c r="D2197" s="63"/>
      <c r="E2197" s="231">
        <v>398.4</v>
      </c>
      <c r="F2197" s="899">
        <v>3984</v>
      </c>
      <c r="G2197" s="1152" t="s">
        <v>9</v>
      </c>
    </row>
    <row r="2198" spans="1:7">
      <c r="A2198" s="1272">
        <v>43669</v>
      </c>
      <c r="B2198" s="1645" t="str">
        <f>TiposLancamentos!B16</f>
        <v>Cristiane</v>
      </c>
      <c r="C2198" s="280" t="s">
        <v>19814</v>
      </c>
      <c r="D2198" s="281"/>
      <c r="E2198" s="1293">
        <v>143.75</v>
      </c>
      <c r="F2198" s="1271"/>
      <c r="G2198" s="1152" t="s">
        <v>9</v>
      </c>
    </row>
    <row r="2199" spans="1:7">
      <c r="A2199" s="884">
        <v>43669</v>
      </c>
      <c r="B2199" s="240" t="str">
        <f>TiposLancamentos!B5</f>
        <v>Supermercado</v>
      </c>
      <c r="C2199" s="878" t="s">
        <v>19815</v>
      </c>
      <c r="D2199" s="63"/>
      <c r="E2199" s="231">
        <v>164.01</v>
      </c>
      <c r="F2199" s="899"/>
      <c r="G2199" s="1152" t="s">
        <v>9</v>
      </c>
    </row>
    <row r="2200" spans="1:7">
      <c r="A2200" s="1272">
        <v>43669</v>
      </c>
      <c r="B2200" s="1645" t="str">
        <f>TiposLancamentos!B16</f>
        <v>Cristiane</v>
      </c>
      <c r="C2200" s="280" t="s">
        <v>19816</v>
      </c>
      <c r="D2200" s="281"/>
      <c r="E2200" s="1293">
        <v>10.84</v>
      </c>
      <c r="F2200" s="1271"/>
      <c r="G2200" s="1152" t="s">
        <v>9</v>
      </c>
    </row>
    <row r="2201" spans="1:7">
      <c r="A2201" s="1272">
        <v>43670</v>
      </c>
      <c r="B2201" s="1645" t="str">
        <f>TiposLancamentos!B5</f>
        <v>Supermercado</v>
      </c>
      <c r="C2201" s="280" t="s">
        <v>19817</v>
      </c>
      <c r="D2201" s="281"/>
      <c r="E2201" s="1293">
        <v>78.5</v>
      </c>
      <c r="F2201" s="1271"/>
      <c r="G2201" s="1152" t="s">
        <v>9</v>
      </c>
    </row>
    <row r="2202" spans="1:7">
      <c r="A2202" s="1272">
        <v>43670</v>
      </c>
      <c r="B2202" s="1645" t="str">
        <f>TiposLancamentos!B34</f>
        <v>Seguros</v>
      </c>
      <c r="C2202" s="280" t="s">
        <v>19818</v>
      </c>
      <c r="D2202" s="281"/>
      <c r="E2202" s="1293">
        <v>278.67</v>
      </c>
      <c r="F2202" s="1271"/>
      <c r="G2202" s="1152" t="s">
        <v>9</v>
      </c>
    </row>
    <row r="2203" spans="1:7">
      <c r="A2203" s="884">
        <v>43670</v>
      </c>
      <c r="B2203" s="240" t="str">
        <f>TiposLancamentos!B56</f>
        <v>Farmácia</v>
      </c>
      <c r="C2203" s="878" t="s">
        <v>19819</v>
      </c>
      <c r="D2203" s="63"/>
      <c r="E2203" s="231">
        <v>31.99</v>
      </c>
      <c r="F2203" s="899"/>
      <c r="G2203" s="1152" t="s">
        <v>9</v>
      </c>
    </row>
    <row r="2204" spans="1:7">
      <c r="A2204" s="884">
        <v>43670</v>
      </c>
      <c r="B2204" s="240" t="str">
        <f>TiposLancamentos!B16</f>
        <v>Cristiane</v>
      </c>
      <c r="C2204" s="878" t="s">
        <v>19820</v>
      </c>
      <c r="D2204" s="63"/>
      <c r="E2204" s="231">
        <v>31.68</v>
      </c>
      <c r="F2204" s="899"/>
      <c r="G2204" s="1152" t="s">
        <v>9</v>
      </c>
    </row>
    <row r="2205" spans="1:7">
      <c r="A2205" s="884">
        <v>43670</v>
      </c>
      <c r="B2205" s="240" t="str">
        <f>TiposLancamentos!B19</f>
        <v>Restaurantes</v>
      </c>
      <c r="C2205" s="878" t="s">
        <v>11704</v>
      </c>
      <c r="D2205" s="63"/>
      <c r="E2205" s="231">
        <v>34.799999999999997</v>
      </c>
      <c r="F2205" s="899"/>
      <c r="G2205" s="1152" t="s">
        <v>9</v>
      </c>
    </row>
    <row r="2206" spans="1:7">
      <c r="A2206" s="884">
        <v>43671</v>
      </c>
      <c r="B2206" s="240" t="str">
        <f>TiposLancamentos!B56</f>
        <v>Farmácia</v>
      </c>
      <c r="C2206" s="878" t="s">
        <v>19821</v>
      </c>
      <c r="D2206" s="63"/>
      <c r="E2206" s="231">
        <v>59.93</v>
      </c>
      <c r="F2206" s="899"/>
      <c r="G2206" s="1152" t="s">
        <v>9</v>
      </c>
    </row>
    <row r="2207" spans="1:7">
      <c r="A2207" s="884">
        <v>43672</v>
      </c>
      <c r="B2207" s="240" t="str">
        <f>TiposLancamentos!B5</f>
        <v>Supermercado</v>
      </c>
      <c r="C2207" s="878" t="s">
        <v>5844</v>
      </c>
      <c r="D2207" s="63"/>
      <c r="E2207" s="231">
        <v>55.48</v>
      </c>
      <c r="F2207" s="899"/>
      <c r="G2207" s="1152" t="s">
        <v>9</v>
      </c>
    </row>
    <row r="2208" spans="1:7">
      <c r="A2208" s="884">
        <v>43672</v>
      </c>
      <c r="B2208" s="240" t="str">
        <f>TiposLancamentos!B19</f>
        <v>Restaurantes</v>
      </c>
      <c r="C2208" s="878" t="s">
        <v>19822</v>
      </c>
      <c r="D2208" s="63"/>
      <c r="E2208" s="231">
        <v>153.11000000000001</v>
      </c>
      <c r="F2208" s="899"/>
      <c r="G2208" s="1152" t="s">
        <v>9</v>
      </c>
    </row>
    <row r="2209" spans="1:7">
      <c r="A2209" s="1272">
        <v>43673</v>
      </c>
      <c r="B2209" s="1645" t="str">
        <f>TiposLancamentos!B16</f>
        <v>Cristiane</v>
      </c>
      <c r="C2209" s="280" t="s">
        <v>19823</v>
      </c>
      <c r="D2209" s="281"/>
      <c r="E2209" s="1293">
        <v>65.23</v>
      </c>
      <c r="F2209" s="1271"/>
      <c r="G2209" s="1152" t="s">
        <v>9</v>
      </c>
    </row>
    <row r="2210" spans="1:7">
      <c r="A2210" s="884">
        <v>43673</v>
      </c>
      <c r="B2210" s="240" t="str">
        <f>TiposLancamentos!B19</f>
        <v>Restaurantes</v>
      </c>
      <c r="C2210" s="878" t="s">
        <v>6565</v>
      </c>
      <c r="D2210" s="63"/>
      <c r="E2210" s="231">
        <v>35.799999999999997</v>
      </c>
      <c r="F2210" s="899"/>
      <c r="G2210" s="1152" t="s">
        <v>9</v>
      </c>
    </row>
    <row r="2211" spans="1:7">
      <c r="A2211" s="884">
        <v>43674</v>
      </c>
      <c r="B2211" s="240" t="str">
        <f>TiposLancamentos!B19</f>
        <v>Restaurantes</v>
      </c>
      <c r="C2211" s="878" t="s">
        <v>19824</v>
      </c>
      <c r="D2211" s="63"/>
      <c r="E2211" s="231">
        <v>117.37</v>
      </c>
      <c r="F2211" s="899"/>
      <c r="G2211" s="1152" t="s">
        <v>9</v>
      </c>
    </row>
    <row r="2212" spans="1:7">
      <c r="A2212" s="884">
        <v>43674</v>
      </c>
      <c r="B2212" s="240" t="str">
        <f>TiposLancamentos!B70</f>
        <v>Vestuário</v>
      </c>
      <c r="C2212" s="878" t="s">
        <v>19825</v>
      </c>
      <c r="D2212" s="63"/>
      <c r="E2212" s="231">
        <v>29.9</v>
      </c>
      <c r="F2212" s="899"/>
      <c r="G2212" s="1152" t="s">
        <v>9</v>
      </c>
    </row>
    <row r="2213" spans="1:7">
      <c r="A2213" s="884">
        <v>43674</v>
      </c>
      <c r="B2213" s="240" t="str">
        <f>TiposLancamentos!B19</f>
        <v>Restaurantes</v>
      </c>
      <c r="C2213" s="878" t="s">
        <v>19826</v>
      </c>
      <c r="D2213" s="63"/>
      <c r="E2213" s="231">
        <v>45.7</v>
      </c>
      <c r="F2213" s="899"/>
      <c r="G2213" s="1152" t="s">
        <v>9</v>
      </c>
    </row>
    <row r="2214" spans="1:7">
      <c r="A2214" s="884">
        <v>43674</v>
      </c>
      <c r="B2214" s="240" t="str">
        <f>TiposLancamentos!B16</f>
        <v>Cristiane</v>
      </c>
      <c r="C2214" s="878" t="s">
        <v>19827</v>
      </c>
      <c r="D2214" s="63"/>
      <c r="E2214" s="231">
        <v>43.24</v>
      </c>
      <c r="F2214" s="899"/>
      <c r="G2214" s="1152" t="s">
        <v>9</v>
      </c>
    </row>
    <row r="2215" spans="1:7">
      <c r="A2215" s="884">
        <v>43674</v>
      </c>
      <c r="B2215" s="240" t="str">
        <f>TiposLancamentos!B45</f>
        <v>Online Services</v>
      </c>
      <c r="C2215" s="878" t="s">
        <v>1894</v>
      </c>
      <c r="D2215" s="63"/>
      <c r="E2215" s="231">
        <v>32.9</v>
      </c>
      <c r="F2215" s="899"/>
      <c r="G2215" s="1152" t="s">
        <v>9</v>
      </c>
    </row>
    <row r="2216" spans="1:7">
      <c r="A2216" s="884">
        <v>43674</v>
      </c>
      <c r="B2216" s="240" t="str">
        <f>TiposLancamentos!B45</f>
        <v>Online Services</v>
      </c>
      <c r="C2216" s="878" t="s">
        <v>1895</v>
      </c>
      <c r="D2216" s="63"/>
      <c r="E2216" s="231">
        <v>26.9</v>
      </c>
      <c r="F2216" s="899"/>
      <c r="G2216" s="1152" t="s">
        <v>9</v>
      </c>
    </row>
    <row r="2217" spans="1:7">
      <c r="A2217" s="1272">
        <v>43675</v>
      </c>
      <c r="B2217" s="1645" t="str">
        <f>TiposLancamentos!B5</f>
        <v>Supermercado</v>
      </c>
      <c r="C2217" s="280" t="s">
        <v>6234</v>
      </c>
      <c r="D2217" s="281"/>
      <c r="E2217" s="1293">
        <v>158.81</v>
      </c>
      <c r="F2217" s="1271"/>
      <c r="G2217" s="1152" t="s">
        <v>9</v>
      </c>
    </row>
    <row r="2218" spans="1:7">
      <c r="A2218" s="884">
        <v>43675</v>
      </c>
      <c r="B2218" s="240" t="str">
        <f>TiposLancamentos!B70</f>
        <v>Vestuário</v>
      </c>
      <c r="C2218" s="878" t="s">
        <v>19828</v>
      </c>
      <c r="D2218" s="63"/>
      <c r="E2218" s="231">
        <f>F2218/3</f>
        <v>309.90000000000003</v>
      </c>
      <c r="F2218" s="899">
        <v>929.7</v>
      </c>
      <c r="G2218" s="1152" t="s">
        <v>9</v>
      </c>
    </row>
    <row r="2219" spans="1:7">
      <c r="A2219" s="884">
        <v>43675</v>
      </c>
      <c r="B2219" s="240" t="str">
        <f>TiposLancamentos!B16</f>
        <v>Cristiane</v>
      </c>
      <c r="C2219" s="878" t="s">
        <v>19829</v>
      </c>
      <c r="D2219" s="63"/>
      <c r="E2219" s="231">
        <v>31.96</v>
      </c>
      <c r="F2219" s="899"/>
      <c r="G2219" s="1152" t="s">
        <v>9</v>
      </c>
    </row>
    <row r="2220" spans="1:7">
      <c r="A2220" s="884">
        <v>43675</v>
      </c>
      <c r="B2220" s="240" t="str">
        <f>TiposLancamentos!B13</f>
        <v>Moradia</v>
      </c>
      <c r="C2220" s="878" t="s">
        <v>19830</v>
      </c>
      <c r="D2220" s="63"/>
      <c r="E2220" s="231">
        <v>149.80000000000001</v>
      </c>
      <c r="F2220" s="899"/>
      <c r="G2220" s="1152" t="s">
        <v>9</v>
      </c>
    </row>
    <row r="2221" spans="1:7">
      <c r="A2221" s="884">
        <v>43675</v>
      </c>
      <c r="B2221" s="240" t="str">
        <f>TiposLancamentos!B19</f>
        <v>Restaurantes</v>
      </c>
      <c r="C2221" s="878" t="s">
        <v>19831</v>
      </c>
      <c r="D2221" s="63"/>
      <c r="E2221" s="231">
        <v>47.8</v>
      </c>
      <c r="F2221" s="899"/>
      <c r="G2221" s="1152" t="s">
        <v>9</v>
      </c>
    </row>
    <row r="2222" spans="1:7">
      <c r="A2222" s="1272">
        <v>43676</v>
      </c>
      <c r="B2222" s="1645" t="str">
        <f>TiposLancamentos!B16</f>
        <v>Cristiane</v>
      </c>
      <c r="C2222" s="280" t="s">
        <v>5872</v>
      </c>
      <c r="D2222" s="281"/>
      <c r="E2222" s="1293">
        <v>70</v>
      </c>
      <c r="F2222" s="1271"/>
      <c r="G2222" s="1152" t="s">
        <v>9</v>
      </c>
    </row>
    <row r="2223" spans="1:7">
      <c r="A2223" s="1272">
        <v>43676</v>
      </c>
      <c r="B2223" s="1645" t="str">
        <f>TiposLancamentos!B5</f>
        <v>Supermercado</v>
      </c>
      <c r="C2223" s="280" t="s">
        <v>6234</v>
      </c>
      <c r="D2223" s="281"/>
      <c r="E2223" s="1293">
        <v>64.260000000000005</v>
      </c>
      <c r="F2223" s="1271"/>
      <c r="G2223" s="1152" t="s">
        <v>9</v>
      </c>
    </row>
    <row r="2224" spans="1:7">
      <c r="A2224" s="884">
        <v>43676</v>
      </c>
      <c r="B2224" s="240" t="str">
        <f>TiposLancamentos!B56</f>
        <v>Farmácia</v>
      </c>
      <c r="C2224" s="878" t="s">
        <v>19832</v>
      </c>
      <c r="D2224" s="63"/>
      <c r="E2224" s="231">
        <v>7.37</v>
      </c>
      <c r="F2224" s="899"/>
      <c r="G2224" s="1152" t="s">
        <v>9</v>
      </c>
    </row>
    <row r="2225" spans="1:7">
      <c r="A2225" s="884">
        <v>43677</v>
      </c>
      <c r="B2225" s="240" t="str">
        <f>TiposLancamentos!B45</f>
        <v>Online Services</v>
      </c>
      <c r="C2225" s="878" t="s">
        <v>19833</v>
      </c>
      <c r="D2225" s="63"/>
      <c r="E2225" s="231">
        <f>F2225/3</f>
        <v>94.95</v>
      </c>
      <c r="F2225" s="899">
        <v>284.85000000000002</v>
      </c>
      <c r="G2225" s="1152" t="s">
        <v>9</v>
      </c>
    </row>
    <row r="2226" spans="1:7">
      <c r="A2226" s="884">
        <v>43677</v>
      </c>
      <c r="B2226" s="240" t="str">
        <f>TiposLancamentos!B44</f>
        <v>Academia</v>
      </c>
      <c r="C2226" s="878" t="s">
        <v>19834</v>
      </c>
      <c r="D2226" s="63"/>
      <c r="E2226" s="231">
        <v>115.6</v>
      </c>
      <c r="F2226" s="899"/>
      <c r="G2226" s="1152" t="s">
        <v>9</v>
      </c>
    </row>
    <row r="2227" spans="1:7">
      <c r="A2227" s="1272">
        <v>43677</v>
      </c>
      <c r="B2227" s="1645" t="str">
        <f>TiposLancamentos!B16</f>
        <v>Cristiane</v>
      </c>
      <c r="C2227" s="280" t="s">
        <v>19834</v>
      </c>
      <c r="D2227" s="281"/>
      <c r="E2227" s="1293">
        <v>115.6</v>
      </c>
      <c r="F2227" s="1271"/>
      <c r="G2227" s="1152" t="s">
        <v>9</v>
      </c>
    </row>
    <row r="2228" spans="1:7">
      <c r="A2228" s="884">
        <v>43677</v>
      </c>
      <c r="B2228" s="240" t="str">
        <f>TiposLancamentos!B5</f>
        <v>Supermercado</v>
      </c>
      <c r="C2228" s="878" t="s">
        <v>19586</v>
      </c>
      <c r="D2228" s="63"/>
      <c r="E2228" s="231">
        <v>39.979999999999997</v>
      </c>
      <c r="F2228" s="899"/>
      <c r="G2228" s="1152" t="s">
        <v>9</v>
      </c>
    </row>
    <row r="2229" spans="1:7" ht="14.25" thickBot="1">
      <c r="A2229" s="1272">
        <v>43677</v>
      </c>
      <c r="B2229" s="1645" t="str">
        <f>TiposLancamentos!B19</f>
        <v>Restaurantes</v>
      </c>
      <c r="C2229" s="280" t="s">
        <v>19528</v>
      </c>
      <c r="D2229" s="281"/>
      <c r="E2229" s="1293">
        <v>28</v>
      </c>
      <c r="F2229" s="1271"/>
      <c r="G2229" s="1152" t="s">
        <v>9</v>
      </c>
    </row>
    <row r="2230" spans="1:7">
      <c r="A2230" s="1032"/>
      <c r="B2230" s="1230"/>
      <c r="C2230" s="906" t="s">
        <v>19835</v>
      </c>
      <c r="D2230" s="896"/>
      <c r="E2230" s="925"/>
      <c r="F2230" s="898">
        <f>SUM(E2118:E2190)-(D2167+D2124)</f>
        <v>6754.5699999999979</v>
      </c>
      <c r="G2230" s="3"/>
    </row>
    <row r="2231" spans="1:7">
      <c r="A2231" s="884">
        <v>43678</v>
      </c>
      <c r="B2231" s="240" t="str">
        <f>TiposLancamentos!B15</f>
        <v>Cartões de Crédito</v>
      </c>
      <c r="C2231" s="878" t="s">
        <v>1874</v>
      </c>
      <c r="D2231" s="63">
        <v>6754.59</v>
      </c>
      <c r="E2231" s="231"/>
      <c r="F2231" s="899">
        <f>F2230-F2152</f>
        <v>-1034.5300000000025</v>
      </c>
      <c r="G2231" s="1152" t="s">
        <v>9</v>
      </c>
    </row>
    <row r="2232" spans="1:7">
      <c r="A2232" s="884">
        <v>43678</v>
      </c>
      <c r="B2232" s="240" t="str">
        <f>TiposLancamentos!B32</f>
        <v>Clinicas e tratamentos</v>
      </c>
      <c r="C2232" s="878" t="s">
        <v>19836</v>
      </c>
      <c r="D2232" s="63"/>
      <c r="E2232" s="231">
        <v>170</v>
      </c>
      <c r="F2232" s="899"/>
      <c r="G2232" s="1152" t="s">
        <v>9</v>
      </c>
    </row>
    <row r="2233" spans="1:7">
      <c r="A2233" s="884">
        <v>43678</v>
      </c>
      <c r="B2233" s="240" t="str">
        <f>TiposLancamentos!B4</f>
        <v>Taxas Bancarias</v>
      </c>
      <c r="C2233" s="878" t="s">
        <v>18466</v>
      </c>
      <c r="D2233" s="63">
        <v>0</v>
      </c>
      <c r="E2233" s="231">
        <v>0.04</v>
      </c>
      <c r="F2233" s="899"/>
      <c r="G2233" s="1152" t="s">
        <v>9</v>
      </c>
    </row>
    <row r="2234" spans="1:7">
      <c r="A2234" s="884">
        <v>43679</v>
      </c>
      <c r="B2234" s="240" t="str">
        <f>TiposLancamentos!B56</f>
        <v>Farmácia</v>
      </c>
      <c r="C2234" s="878" t="s">
        <v>19837</v>
      </c>
      <c r="D2234" s="63"/>
      <c r="E2234" s="231">
        <v>78.989999999999995</v>
      </c>
      <c r="F2234" s="899"/>
      <c r="G2234" s="1152" t="s">
        <v>9</v>
      </c>
    </row>
    <row r="2235" spans="1:7">
      <c r="A2235" s="884">
        <v>43679</v>
      </c>
      <c r="B2235" s="240" t="str">
        <f>TiposLancamentos!B19</f>
        <v>Restaurantes</v>
      </c>
      <c r="C2235" s="878" t="s">
        <v>19838</v>
      </c>
      <c r="D2235" s="63"/>
      <c r="E2235" s="231">
        <v>13.5</v>
      </c>
      <c r="F2235" s="899"/>
      <c r="G2235" s="1152" t="s">
        <v>9</v>
      </c>
    </row>
    <row r="2236" spans="1:7">
      <c r="A2236" s="1272">
        <v>43679</v>
      </c>
      <c r="B2236" s="279" t="str">
        <f>TiposLancamentos!B19</f>
        <v>Restaurantes</v>
      </c>
      <c r="C2236" s="280" t="s">
        <v>2238</v>
      </c>
      <c r="D2236" s="281"/>
      <c r="E2236" s="1293">
        <v>52</v>
      </c>
      <c r="F2236" s="1271"/>
      <c r="G2236" s="1152" t="s">
        <v>9</v>
      </c>
    </row>
    <row r="2237" spans="1:7">
      <c r="A2237" s="884">
        <v>43680</v>
      </c>
      <c r="B2237" s="240" t="str">
        <f>TiposLancamentos!B16</f>
        <v>Cristiane</v>
      </c>
      <c r="C2237" s="878" t="s">
        <v>13871</v>
      </c>
      <c r="D2237" s="63"/>
      <c r="E2237" s="231">
        <v>259.60000000000002</v>
      </c>
      <c r="F2237" s="899"/>
      <c r="G2237" s="1152" t="s">
        <v>9</v>
      </c>
    </row>
    <row r="2238" spans="1:7">
      <c r="A2238" s="884">
        <v>43680</v>
      </c>
      <c r="B2238" s="240" t="str">
        <f>TiposLancamentos!B16</f>
        <v>Cristiane</v>
      </c>
      <c r="C2238" s="878" t="s">
        <v>19839</v>
      </c>
      <c r="D2238" s="63"/>
      <c r="E2238" s="231">
        <v>54.78</v>
      </c>
      <c r="F2238" s="899"/>
      <c r="G2238" s="1152" t="s">
        <v>9</v>
      </c>
    </row>
    <row r="2239" spans="1:7">
      <c r="A2239" s="884">
        <v>43680</v>
      </c>
      <c r="B2239" s="240" t="str">
        <f>TiposLancamentos!B19</f>
        <v>Restaurantes</v>
      </c>
      <c r="C2239" s="878" t="s">
        <v>19840</v>
      </c>
      <c r="D2239" s="63"/>
      <c r="E2239" s="231">
        <v>28.65</v>
      </c>
      <c r="F2239" s="899"/>
      <c r="G2239" s="1152" t="s">
        <v>9</v>
      </c>
    </row>
    <row r="2240" spans="1:7">
      <c r="A2240" s="1272">
        <v>43680</v>
      </c>
      <c r="B2240" s="279" t="str">
        <f>TiposLancamentos!B16</f>
        <v>Cristiane</v>
      </c>
      <c r="C2240" s="280" t="s">
        <v>19841</v>
      </c>
      <c r="D2240" s="281"/>
      <c r="E2240" s="1293">
        <v>104.9</v>
      </c>
      <c r="F2240" s="1271"/>
      <c r="G2240" s="1152" t="s">
        <v>9</v>
      </c>
    </row>
    <row r="2241" spans="1:7">
      <c r="A2241" s="1272">
        <v>43681</v>
      </c>
      <c r="B2241" s="279" t="str">
        <f>TiposLancamentos!B5</f>
        <v>Supermercado</v>
      </c>
      <c r="C2241" s="280" t="s">
        <v>6234</v>
      </c>
      <c r="D2241" s="281"/>
      <c r="E2241" s="1293">
        <v>278.67</v>
      </c>
      <c r="F2241" s="1271"/>
      <c r="G2241" s="1152" t="s">
        <v>9</v>
      </c>
    </row>
    <row r="2242" spans="1:7">
      <c r="A2242" s="1272">
        <v>43682</v>
      </c>
      <c r="B2242" s="279" t="str">
        <f>TiposLancamentos!B16</f>
        <v>Cristiane</v>
      </c>
      <c r="C2242" s="280" t="s">
        <v>19842</v>
      </c>
      <c r="D2242" s="281"/>
      <c r="E2242" s="1293">
        <v>49.15</v>
      </c>
      <c r="F2242" s="1271"/>
      <c r="G2242" s="1152" t="s">
        <v>9</v>
      </c>
    </row>
    <row r="2243" spans="1:7">
      <c r="A2243" s="884">
        <v>43682</v>
      </c>
      <c r="B2243" s="240" t="str">
        <f>TiposLancamentos!B19</f>
        <v>Restaurantes</v>
      </c>
      <c r="C2243" s="878" t="s">
        <v>19843</v>
      </c>
      <c r="D2243" s="63"/>
      <c r="E2243" s="231">
        <v>44</v>
      </c>
      <c r="F2243" s="899"/>
      <c r="G2243" s="1152" t="s">
        <v>9</v>
      </c>
    </row>
    <row r="2244" spans="1:7">
      <c r="A2244" s="1272">
        <v>43682</v>
      </c>
      <c r="B2244" s="279" t="str">
        <f>TiposLancamentos!B16</f>
        <v>Cristiane</v>
      </c>
      <c r="C2244" s="280" t="s">
        <v>19844</v>
      </c>
      <c r="D2244" s="281"/>
      <c r="E2244" s="1293">
        <v>124</v>
      </c>
      <c r="F2244" s="1271"/>
      <c r="G2244" s="1152" t="s">
        <v>9</v>
      </c>
    </row>
    <row r="2245" spans="1:7">
      <c r="A2245" s="1272">
        <v>43682</v>
      </c>
      <c r="B2245" s="279" t="str">
        <f>TiposLancamentos!B16</f>
        <v>Cristiane</v>
      </c>
      <c r="C2245" s="280" t="s">
        <v>19845</v>
      </c>
      <c r="D2245" s="281"/>
      <c r="E2245" s="1293">
        <v>156.02000000000001</v>
      </c>
      <c r="F2245" s="1271"/>
      <c r="G2245" s="1152" t="s">
        <v>9</v>
      </c>
    </row>
    <row r="2246" spans="1:7">
      <c r="A2246" s="1272">
        <v>43682</v>
      </c>
      <c r="B2246" s="279" t="str">
        <f>TiposLancamentos!B16</f>
        <v>Cristiane</v>
      </c>
      <c r="C2246" s="280" t="s">
        <v>19846</v>
      </c>
      <c r="D2246" s="281"/>
      <c r="E2246" s="1293">
        <v>7.06</v>
      </c>
      <c r="F2246" s="1271"/>
      <c r="G2246" s="1152" t="s">
        <v>9</v>
      </c>
    </row>
    <row r="2247" spans="1:7">
      <c r="A2247" s="1272">
        <v>43682</v>
      </c>
      <c r="B2247" s="279" t="str">
        <f>TiposLancamentos!B16</f>
        <v>Cristiane</v>
      </c>
      <c r="C2247" s="280" t="s">
        <v>19846</v>
      </c>
      <c r="D2247" s="281"/>
      <c r="E2247" s="1293">
        <v>24.77</v>
      </c>
      <c r="F2247" s="1271"/>
      <c r="G2247" s="1152" t="s">
        <v>9</v>
      </c>
    </row>
    <row r="2248" spans="1:7">
      <c r="A2248" s="1272">
        <v>43682</v>
      </c>
      <c r="B2248" s="279" t="str">
        <f>TiposLancamentos!B16</f>
        <v>Cristiane</v>
      </c>
      <c r="C2248" s="280" t="s">
        <v>2155</v>
      </c>
      <c r="D2248" s="281"/>
      <c r="E2248" s="1293">
        <v>7</v>
      </c>
      <c r="F2248" s="1271"/>
      <c r="G2248" s="1152" t="s">
        <v>9</v>
      </c>
    </row>
    <row r="2249" spans="1:7">
      <c r="A2249" s="1272">
        <v>43683</v>
      </c>
      <c r="B2249" s="279" t="str">
        <f>TiposLancamentos!B16</f>
        <v>Cristiane</v>
      </c>
      <c r="C2249" s="280" t="s">
        <v>19847</v>
      </c>
      <c r="D2249" s="281"/>
      <c r="E2249" s="1293">
        <v>46.61</v>
      </c>
      <c r="F2249" s="1271"/>
      <c r="G2249" s="1152" t="s">
        <v>9</v>
      </c>
    </row>
    <row r="2250" spans="1:7">
      <c r="A2250" s="1272">
        <v>43683</v>
      </c>
      <c r="B2250" s="279" t="str">
        <f>TiposLancamentos!B16</f>
        <v>Cristiane</v>
      </c>
      <c r="C2250" s="280" t="s">
        <v>19848</v>
      </c>
      <c r="D2250" s="281"/>
      <c r="E2250" s="1293">
        <v>21</v>
      </c>
      <c r="F2250" s="1271"/>
      <c r="G2250" s="1152" t="s">
        <v>9</v>
      </c>
    </row>
    <row r="2251" spans="1:7">
      <c r="A2251" s="1272">
        <v>43683</v>
      </c>
      <c r="B2251" s="279" t="str">
        <f>TiposLancamentos!B16</f>
        <v>Cristiane</v>
      </c>
      <c r="C2251" s="280" t="s">
        <v>2155</v>
      </c>
      <c r="D2251" s="281"/>
      <c r="E2251" s="1293">
        <v>47.55</v>
      </c>
      <c r="F2251" s="1271"/>
      <c r="G2251" s="1152" t="s">
        <v>9</v>
      </c>
    </row>
    <row r="2252" spans="1:7">
      <c r="A2252" s="884">
        <v>43684</v>
      </c>
      <c r="B2252" s="240" t="str">
        <f>TiposLancamentos!B71</f>
        <v>Itens Pessoais</v>
      </c>
      <c r="C2252" s="878" t="s">
        <v>19849</v>
      </c>
      <c r="D2252" s="63"/>
      <c r="E2252" s="231">
        <v>93.46</v>
      </c>
      <c r="F2252" s="899">
        <v>560.79999999999995</v>
      </c>
      <c r="G2252" s="1152" t="s">
        <v>9</v>
      </c>
    </row>
    <row r="2253" spans="1:7">
      <c r="A2253" s="884">
        <v>43685</v>
      </c>
      <c r="B2253" s="240" t="str">
        <f>TiposLancamentos!B19</f>
        <v>Restaurantes</v>
      </c>
      <c r="C2253" s="878" t="s">
        <v>19850</v>
      </c>
      <c r="D2253" s="63"/>
      <c r="E2253" s="231">
        <v>15.6</v>
      </c>
      <c r="F2253" s="899"/>
      <c r="G2253" s="1152" t="s">
        <v>9</v>
      </c>
    </row>
    <row r="2254" spans="1:7">
      <c r="A2254" s="884">
        <v>43685</v>
      </c>
      <c r="B2254" s="240" t="str">
        <f>TiposLancamentos!B16</f>
        <v>Cristiane</v>
      </c>
      <c r="C2254" s="878" t="s">
        <v>19851</v>
      </c>
      <c r="D2254" s="63"/>
      <c r="E2254" s="231">
        <v>48.59</v>
      </c>
      <c r="F2254" s="899"/>
      <c r="G2254" s="1152" t="s">
        <v>9</v>
      </c>
    </row>
    <row r="2255" spans="1:7">
      <c r="A2255" s="884">
        <v>43685</v>
      </c>
      <c r="B2255" s="240" t="str">
        <f>TiposLancamentos!B16</f>
        <v>Cristiane</v>
      </c>
      <c r="C2255" s="878" t="s">
        <v>19852</v>
      </c>
      <c r="D2255" s="63"/>
      <c r="E2255" s="231">
        <v>8</v>
      </c>
      <c r="F2255" s="899"/>
      <c r="G2255" s="1152" t="s">
        <v>9</v>
      </c>
    </row>
    <row r="2256" spans="1:7">
      <c r="A2256" s="884">
        <v>43685</v>
      </c>
      <c r="B2256" s="240" t="str">
        <f>TiposLancamentos!B16</f>
        <v>Cristiane</v>
      </c>
      <c r="C2256" s="878" t="s">
        <v>19853</v>
      </c>
      <c r="D2256" s="63"/>
      <c r="E2256" s="231">
        <v>19.350000000000001</v>
      </c>
      <c r="F2256" s="899"/>
      <c r="G2256" s="1152" t="s">
        <v>9</v>
      </c>
    </row>
    <row r="2257" spans="1:7">
      <c r="A2257" s="884">
        <v>43686</v>
      </c>
      <c r="B2257" s="240" t="str">
        <f>TiposLancamentos!B16</f>
        <v>Cristiane</v>
      </c>
      <c r="C2257" s="878" t="s">
        <v>19854</v>
      </c>
      <c r="D2257" s="63"/>
      <c r="E2257" s="231">
        <v>159.97999999999999</v>
      </c>
      <c r="F2257" s="899"/>
      <c r="G2257" s="1152" t="s">
        <v>9</v>
      </c>
    </row>
    <row r="2258" spans="1:7">
      <c r="A2258" s="884">
        <v>43687</v>
      </c>
      <c r="B2258" s="240" t="str">
        <f>TiposLancamentos!B19</f>
        <v>Restaurantes</v>
      </c>
      <c r="C2258" s="878" t="s">
        <v>19855</v>
      </c>
      <c r="D2258" s="63"/>
      <c r="E2258" s="231">
        <v>199.43</v>
      </c>
      <c r="F2258" s="899"/>
      <c r="G2258" s="1152" t="s">
        <v>9</v>
      </c>
    </row>
    <row r="2259" spans="1:7">
      <c r="A2259" s="884">
        <v>43687</v>
      </c>
      <c r="B2259" s="240" t="str">
        <f>TiposLancamentos!B5</f>
        <v>Supermercado</v>
      </c>
      <c r="C2259" s="878" t="s">
        <v>5844</v>
      </c>
      <c r="D2259" s="63"/>
      <c r="E2259" s="231">
        <v>78.44</v>
      </c>
      <c r="F2259" s="899"/>
      <c r="G2259" s="1152" t="s">
        <v>9</v>
      </c>
    </row>
    <row r="2260" spans="1:7">
      <c r="A2260" s="884">
        <v>43688</v>
      </c>
      <c r="B2260" s="240" t="str">
        <f>TiposLancamentos!B19</f>
        <v>Restaurantes</v>
      </c>
      <c r="C2260" s="878" t="s">
        <v>19118</v>
      </c>
      <c r="D2260" s="63"/>
      <c r="E2260" s="231">
        <v>47</v>
      </c>
      <c r="F2260" s="899"/>
      <c r="G2260" s="1152" t="s">
        <v>9</v>
      </c>
    </row>
    <row r="2261" spans="1:7">
      <c r="A2261" s="1272">
        <v>43690</v>
      </c>
      <c r="B2261" s="279" t="str">
        <f>TiposLancamentos!B16</f>
        <v>Cristiane</v>
      </c>
      <c r="C2261" s="280" t="s">
        <v>19856</v>
      </c>
      <c r="D2261" s="281"/>
      <c r="E2261" s="1293">
        <v>39.9</v>
      </c>
      <c r="F2261" s="1271"/>
      <c r="G2261" s="1152" t="s">
        <v>9</v>
      </c>
    </row>
    <row r="2262" spans="1:7">
      <c r="A2262" s="1272">
        <v>43691</v>
      </c>
      <c r="B2262" s="279" t="str">
        <f>TiposLancamentos!B16</f>
        <v>Cristiane</v>
      </c>
      <c r="C2262" s="280" t="s">
        <v>19857</v>
      </c>
      <c r="D2262" s="281"/>
      <c r="E2262" s="1293">
        <f>F2262/4</f>
        <v>172.5</v>
      </c>
      <c r="F2262" s="1271">
        <v>690</v>
      </c>
      <c r="G2262" s="1152" t="s">
        <v>9</v>
      </c>
    </row>
    <row r="2263" spans="1:7">
      <c r="A2263" s="1272">
        <v>43692</v>
      </c>
      <c r="B2263" s="1645" t="str">
        <f>TiposLancamentos!B19</f>
        <v>Restaurantes</v>
      </c>
      <c r="C2263" s="280" t="s">
        <v>19858</v>
      </c>
      <c r="D2263" s="281"/>
      <c r="E2263" s="1293">
        <v>88</v>
      </c>
      <c r="F2263" s="1271"/>
      <c r="G2263" s="1152" t="s">
        <v>9</v>
      </c>
    </row>
    <row r="2264" spans="1:7">
      <c r="A2264" s="884">
        <v>43693</v>
      </c>
      <c r="B2264" s="240" t="str">
        <f>TiposLancamentos!B19</f>
        <v>Restaurantes</v>
      </c>
      <c r="C2264" s="878" t="s">
        <v>19859</v>
      </c>
      <c r="D2264" s="63"/>
      <c r="E2264" s="231">
        <v>50</v>
      </c>
      <c r="F2264" s="899"/>
      <c r="G2264" s="1152" t="s">
        <v>9</v>
      </c>
    </row>
    <row r="2265" spans="1:7">
      <c r="A2265" s="884">
        <v>43694</v>
      </c>
      <c r="B2265" s="240" t="str">
        <f>TiposLancamentos!B57</f>
        <v>Informática</v>
      </c>
      <c r="C2265" s="878" t="s">
        <v>19860</v>
      </c>
      <c r="D2265" s="63"/>
      <c r="E2265" s="231">
        <v>95.9</v>
      </c>
      <c r="F2265" s="899"/>
      <c r="G2265" s="1152" t="s">
        <v>9</v>
      </c>
    </row>
    <row r="2266" spans="1:7">
      <c r="A2266" s="1272">
        <v>43694</v>
      </c>
      <c r="B2266" s="1645" t="str">
        <f>TiposLancamentos!B5</f>
        <v>Supermercado</v>
      </c>
      <c r="C2266" s="280" t="s">
        <v>19861</v>
      </c>
      <c r="D2266" s="281"/>
      <c r="E2266" s="1293">
        <v>203.53</v>
      </c>
      <c r="F2266" s="1271"/>
      <c r="G2266" s="1152" t="s">
        <v>9</v>
      </c>
    </row>
    <row r="2267" spans="1:7">
      <c r="A2267" s="884">
        <v>43695</v>
      </c>
      <c r="B2267" s="240" t="str">
        <f>TiposLancamentos!B5</f>
        <v>Supermercado</v>
      </c>
      <c r="C2267" s="878" t="s">
        <v>6234</v>
      </c>
      <c r="D2267" s="63"/>
      <c r="E2267" s="231">
        <v>31.85</v>
      </c>
      <c r="F2267" s="899"/>
      <c r="G2267" s="1152" t="s">
        <v>9</v>
      </c>
    </row>
    <row r="2268" spans="1:7">
      <c r="A2268" s="884">
        <v>43695</v>
      </c>
      <c r="B2268" s="240" t="str">
        <f>TiposLancamentos!B19</f>
        <v>Restaurantes</v>
      </c>
      <c r="C2268" s="878" t="s">
        <v>6832</v>
      </c>
      <c r="D2268" s="63"/>
      <c r="E2268" s="231">
        <v>117.7</v>
      </c>
      <c r="F2268" s="899"/>
      <c r="G2268" s="1152" t="s">
        <v>9</v>
      </c>
    </row>
    <row r="2269" spans="1:7">
      <c r="A2269" s="884">
        <v>43695</v>
      </c>
      <c r="B2269" s="240" t="str">
        <f>TiposLancamentos!B46</f>
        <v>Maçonaria</v>
      </c>
      <c r="C2269" s="878" t="s">
        <v>19862</v>
      </c>
      <c r="D2269" s="63"/>
      <c r="E2269" s="231">
        <f>F2269/6</f>
        <v>478.2833333333333</v>
      </c>
      <c r="F2269" s="899">
        <v>2869.7</v>
      </c>
      <c r="G2269" s="1152" t="s">
        <v>9</v>
      </c>
    </row>
    <row r="2270" spans="1:7">
      <c r="A2270" s="1272">
        <v>43696</v>
      </c>
      <c r="B2270" s="1645" t="str">
        <f>TiposLancamentos!B16</f>
        <v>Cristiane</v>
      </c>
      <c r="C2270" s="280" t="s">
        <v>19863</v>
      </c>
      <c r="D2270" s="281"/>
      <c r="E2270" s="1293">
        <v>70.650000000000006</v>
      </c>
      <c r="F2270" s="1271"/>
      <c r="G2270" s="1152" t="s">
        <v>9</v>
      </c>
    </row>
    <row r="2271" spans="1:7">
      <c r="A2271" s="934"/>
      <c r="B2271" s="243"/>
      <c r="C2271" s="389" t="s">
        <v>10</v>
      </c>
      <c r="D2271" s="146"/>
      <c r="E2271" s="1190"/>
      <c r="F2271" s="935"/>
      <c r="G2271" s="1094" t="s">
        <v>11</v>
      </c>
    </row>
    <row r="2272" spans="1:7">
      <c r="A2272" s="1272">
        <v>43698</v>
      </c>
      <c r="B2272" s="1645" t="str">
        <f>TiposLancamentos!B5</f>
        <v>Supermercado</v>
      </c>
      <c r="C2272" s="280" t="s">
        <v>19864</v>
      </c>
      <c r="D2272" s="281"/>
      <c r="E2272" s="1293">
        <v>54.55</v>
      </c>
      <c r="F2272" s="1271"/>
      <c r="G2272" s="1152" t="s">
        <v>9</v>
      </c>
    </row>
    <row r="2273" spans="1:7">
      <c r="A2273" s="1272">
        <v>43698</v>
      </c>
      <c r="B2273" s="1645" t="str">
        <f>TiposLancamentos!B5</f>
        <v>Supermercado</v>
      </c>
      <c r="C2273" s="280" t="s">
        <v>6234</v>
      </c>
      <c r="D2273" s="281"/>
      <c r="E2273" s="1293">
        <v>182.37</v>
      </c>
      <c r="F2273" s="1271"/>
      <c r="G2273" s="1152" t="s">
        <v>9</v>
      </c>
    </row>
    <row r="2274" spans="1:7">
      <c r="A2274" s="884">
        <v>43699</v>
      </c>
      <c r="B2274" s="240" t="str">
        <f>TiposLancamentos!B13</f>
        <v>Moradia</v>
      </c>
      <c r="C2274" s="878" t="s">
        <v>19865</v>
      </c>
      <c r="D2274" s="63"/>
      <c r="E2274" s="231">
        <v>398.4</v>
      </c>
      <c r="F2274" s="899">
        <v>3984</v>
      </c>
      <c r="G2274" s="1152" t="s">
        <v>9</v>
      </c>
    </row>
    <row r="2275" spans="1:7">
      <c r="A2275" s="1272">
        <v>43700</v>
      </c>
      <c r="B2275" s="1645" t="str">
        <f>TiposLancamentos!B16</f>
        <v>Cristiane</v>
      </c>
      <c r="C2275" s="280" t="s">
        <v>19866</v>
      </c>
      <c r="D2275" s="281"/>
      <c r="E2275" s="1293">
        <v>169.8</v>
      </c>
      <c r="F2275" s="1271"/>
      <c r="G2275" s="1152" t="s">
        <v>9</v>
      </c>
    </row>
    <row r="2276" spans="1:7">
      <c r="A2276" s="884">
        <v>43700</v>
      </c>
      <c r="B2276" s="240" t="str">
        <f>TiposLancamentos!B13</f>
        <v>Moradia</v>
      </c>
      <c r="C2276" s="878" t="s">
        <v>19867</v>
      </c>
      <c r="D2276" s="63"/>
      <c r="E2276" s="231">
        <v>47.96</v>
      </c>
      <c r="F2276" s="899"/>
      <c r="G2276" s="1152" t="s">
        <v>9</v>
      </c>
    </row>
    <row r="2277" spans="1:7">
      <c r="A2277" s="884">
        <v>43700</v>
      </c>
      <c r="B2277" s="240" t="str">
        <f>TiposLancamentos!B56</f>
        <v>Farmácia</v>
      </c>
      <c r="C2277" s="878" t="s">
        <v>19868</v>
      </c>
      <c r="D2277" s="63"/>
      <c r="E2277" s="231">
        <v>18.32</v>
      </c>
      <c r="F2277" s="899"/>
      <c r="G2277" s="1152" t="s">
        <v>9</v>
      </c>
    </row>
    <row r="2278" spans="1:7">
      <c r="A2278" s="884">
        <v>43701</v>
      </c>
      <c r="B2278" s="240" t="str">
        <f>TiposLancamentos!B19</f>
        <v>Restaurantes</v>
      </c>
      <c r="C2278" s="878" t="s">
        <v>19869</v>
      </c>
      <c r="D2278" s="63"/>
      <c r="E2278" s="231">
        <v>147.19999999999999</v>
      </c>
      <c r="F2278" s="899"/>
      <c r="G2278" s="1152" t="s">
        <v>9</v>
      </c>
    </row>
    <row r="2279" spans="1:7">
      <c r="A2279" s="1272">
        <v>43701</v>
      </c>
      <c r="B2279" s="1645" t="str">
        <f>TiposLancamentos!B16</f>
        <v>Cristiane</v>
      </c>
      <c r="C2279" s="280" t="s">
        <v>19366</v>
      </c>
      <c r="D2279" s="281"/>
      <c r="E2279" s="1293">
        <v>95.88</v>
      </c>
      <c r="F2279" s="1271"/>
      <c r="G2279" s="1152" t="s">
        <v>9</v>
      </c>
    </row>
    <row r="2280" spans="1:7">
      <c r="A2280" s="884">
        <v>43701</v>
      </c>
      <c r="B2280" s="240" t="str">
        <f>TiposLancamentos!B5</f>
        <v>Supermercado</v>
      </c>
      <c r="C2280" s="878" t="s">
        <v>6234</v>
      </c>
      <c r="D2280" s="63"/>
      <c r="E2280" s="231">
        <v>95.03</v>
      </c>
      <c r="F2280" s="899"/>
      <c r="G2280" s="1152" t="s">
        <v>9</v>
      </c>
    </row>
    <row r="2281" spans="1:7">
      <c r="A2281" s="884">
        <v>43701</v>
      </c>
      <c r="B2281" s="240" t="str">
        <f>TiposLancamentos!B26</f>
        <v>LIVROS</v>
      </c>
      <c r="C2281" s="878" t="s">
        <v>19870</v>
      </c>
      <c r="D2281" s="63"/>
      <c r="E2281" s="231">
        <v>41.02</v>
      </c>
      <c r="F2281" s="899"/>
      <c r="G2281" s="1152" t="s">
        <v>9</v>
      </c>
    </row>
    <row r="2282" spans="1:7">
      <c r="A2282" s="884">
        <v>43702</v>
      </c>
      <c r="B2282" s="240" t="str">
        <f>TiposLancamentos!B19</f>
        <v>Restaurantes</v>
      </c>
      <c r="C2282" s="878" t="s">
        <v>19871</v>
      </c>
      <c r="D2282" s="63"/>
      <c r="E2282" s="231">
        <v>247.39</v>
      </c>
      <c r="F2282" s="899"/>
      <c r="G2282" s="1152" t="s">
        <v>9</v>
      </c>
    </row>
    <row r="2283" spans="1:7">
      <c r="A2283" s="884">
        <v>43702</v>
      </c>
      <c r="B2283" s="240" t="str">
        <f>TiposLancamentos!B5</f>
        <v>Supermercado</v>
      </c>
      <c r="C2283" s="878" t="s">
        <v>6234</v>
      </c>
      <c r="D2283" s="63"/>
      <c r="E2283" s="231">
        <v>40.950000000000003</v>
      </c>
      <c r="F2283" s="899"/>
      <c r="G2283" s="1152" t="s">
        <v>9</v>
      </c>
    </row>
    <row r="2284" spans="1:7">
      <c r="A2284" s="884">
        <v>43702</v>
      </c>
      <c r="B2284" s="240" t="str">
        <f>TiposLancamentos!B19</f>
        <v>Restaurantes</v>
      </c>
      <c r="C2284" s="878" t="s">
        <v>19872</v>
      </c>
      <c r="D2284" s="63"/>
      <c r="E2284" s="231">
        <v>198.97</v>
      </c>
      <c r="F2284" s="899"/>
      <c r="G2284" s="1152" t="s">
        <v>9</v>
      </c>
    </row>
    <row r="2285" spans="1:7">
      <c r="A2285" s="884">
        <v>43703</v>
      </c>
      <c r="B2285" s="240" t="str">
        <f>TiposLancamentos!B72</f>
        <v>Presentes</v>
      </c>
      <c r="C2285" s="878" t="s">
        <v>19873</v>
      </c>
      <c r="D2285" s="63"/>
      <c r="E2285" s="231">
        <v>181.7</v>
      </c>
      <c r="F2285" s="899"/>
      <c r="G2285" s="1152" t="s">
        <v>9</v>
      </c>
    </row>
    <row r="2286" spans="1:7">
      <c r="A2286" s="884">
        <v>43703</v>
      </c>
      <c r="B2286" s="240" t="str">
        <f>TiposLancamentos!B72</f>
        <v>Presentes</v>
      </c>
      <c r="C2286" s="878" t="s">
        <v>19873</v>
      </c>
      <c r="D2286" s="63"/>
      <c r="E2286" s="231">
        <v>93.9</v>
      </c>
      <c r="F2286" s="899"/>
      <c r="G2286" s="1152" t="s">
        <v>9</v>
      </c>
    </row>
    <row r="2287" spans="1:7">
      <c r="A2287" s="884">
        <v>43703</v>
      </c>
      <c r="B2287" s="240" t="str">
        <f>TiposLancamentos!B56</f>
        <v>Farmácia</v>
      </c>
      <c r="C2287" s="878" t="s">
        <v>19874</v>
      </c>
      <c r="D2287" s="63"/>
      <c r="E2287" s="231">
        <v>12.64</v>
      </c>
      <c r="F2287" s="899"/>
      <c r="G2287" s="1152" t="s">
        <v>9</v>
      </c>
    </row>
    <row r="2288" spans="1:7">
      <c r="A2288" s="1226">
        <v>43703</v>
      </c>
      <c r="B2288" s="1218" t="str">
        <f>TiposLancamentos!B48</f>
        <v>Baralhos e Oráculos</v>
      </c>
      <c r="C2288" s="1219" t="s">
        <v>19875</v>
      </c>
      <c r="D2288" s="1220"/>
      <c r="E2288" s="1221">
        <v>77.61</v>
      </c>
      <c r="F2288" s="1227"/>
      <c r="G2288" s="1152" t="s">
        <v>9</v>
      </c>
    </row>
    <row r="2289" spans="1:7">
      <c r="A2289" s="1228">
        <v>43703</v>
      </c>
      <c r="B2289" s="1222" t="str">
        <f>TiposLancamentos!B26</f>
        <v>LIVROS</v>
      </c>
      <c r="C2289" s="1223" t="s">
        <v>19876</v>
      </c>
      <c r="D2289" s="1224"/>
      <c r="E2289" s="1225">
        <f>F2289-E2288</f>
        <v>45.41</v>
      </c>
      <c r="F2289" s="1229">
        <v>123.02</v>
      </c>
      <c r="G2289" s="1152" t="s">
        <v>9</v>
      </c>
    </row>
    <row r="2290" spans="1:7">
      <c r="A2290" s="884">
        <v>43704</v>
      </c>
      <c r="B2290" s="240" t="str">
        <f>TiposLancamentos!B22</f>
        <v>Combustivel</v>
      </c>
      <c r="C2290" s="878" t="s">
        <v>1880</v>
      </c>
      <c r="D2290" s="63"/>
      <c r="E2290" s="231">
        <v>60</v>
      </c>
      <c r="F2290" s="899"/>
      <c r="G2290" s="1152" t="s">
        <v>9</v>
      </c>
    </row>
    <row r="2291" spans="1:7">
      <c r="A2291" s="884">
        <v>43704</v>
      </c>
      <c r="B2291" s="240" t="str">
        <f>TiposLancamentos!B17</f>
        <v>GATO</v>
      </c>
      <c r="C2291" s="878" t="s">
        <v>19877</v>
      </c>
      <c r="D2291" s="63"/>
      <c r="E2291" s="231">
        <v>30.5</v>
      </c>
      <c r="F2291" s="899"/>
      <c r="G2291" s="1152" t="s">
        <v>9</v>
      </c>
    </row>
    <row r="2292" spans="1:7">
      <c r="A2292" s="884">
        <v>43705</v>
      </c>
      <c r="B2292" s="240" t="str">
        <f>TiposLancamentos!B56</f>
        <v>Farmácia</v>
      </c>
      <c r="C2292" s="878" t="s">
        <v>19878</v>
      </c>
      <c r="D2292" s="63"/>
      <c r="E2292" s="231">
        <v>91.78</v>
      </c>
      <c r="F2292" s="899"/>
      <c r="G2292" s="1152" t="s">
        <v>9</v>
      </c>
    </row>
    <row r="2293" spans="1:7">
      <c r="A2293" s="884">
        <v>43705</v>
      </c>
      <c r="B2293" s="240" t="str">
        <f>TiposLancamentos!B45</f>
        <v>Online Services</v>
      </c>
      <c r="C2293" s="878" t="s">
        <v>1895</v>
      </c>
      <c r="D2293" s="63"/>
      <c r="E2293" s="231">
        <v>26.9</v>
      </c>
      <c r="F2293" s="899"/>
      <c r="G2293" s="1152" t="s">
        <v>9</v>
      </c>
    </row>
    <row r="2294" spans="1:7">
      <c r="A2294" s="1272">
        <v>43706</v>
      </c>
      <c r="B2294" s="1645" t="str">
        <f>TiposLancamentos!B5</f>
        <v>Supermercado</v>
      </c>
      <c r="C2294" s="280" t="s">
        <v>19879</v>
      </c>
      <c r="D2294" s="281"/>
      <c r="E2294" s="1293">
        <v>39.01</v>
      </c>
      <c r="F2294" s="1271"/>
      <c r="G2294" s="1152" t="s">
        <v>9</v>
      </c>
    </row>
    <row r="2295" spans="1:7">
      <c r="A2295" s="884">
        <v>43706</v>
      </c>
      <c r="B2295" s="240" t="str">
        <f>TiposLancamentos!B70</f>
        <v>Vestuário</v>
      </c>
      <c r="C2295" s="878" t="s">
        <v>19880</v>
      </c>
      <c r="D2295" s="63"/>
      <c r="E2295" s="231">
        <f>F2295/3</f>
        <v>309.90000000000003</v>
      </c>
      <c r="F2295" s="899">
        <v>929.7</v>
      </c>
      <c r="G2295" s="1152" t="s">
        <v>9</v>
      </c>
    </row>
    <row r="2296" spans="1:7">
      <c r="A2296" s="884">
        <v>43707</v>
      </c>
      <c r="B2296" s="240" t="str">
        <f>TiposLancamentos!B19</f>
        <v>Restaurantes</v>
      </c>
      <c r="C2296" s="878" t="s">
        <v>7215</v>
      </c>
      <c r="D2296" s="63"/>
      <c r="E2296" s="231">
        <v>13.5</v>
      </c>
      <c r="F2296" s="899"/>
      <c r="G2296" s="1152" t="s">
        <v>9</v>
      </c>
    </row>
    <row r="2297" spans="1:7">
      <c r="A2297" s="884">
        <v>43707</v>
      </c>
      <c r="B2297" s="240" t="str">
        <f>TiposLancamentos!B56</f>
        <v>Farmácia</v>
      </c>
      <c r="C2297" s="878" t="s">
        <v>19881</v>
      </c>
      <c r="D2297" s="63"/>
      <c r="E2297" s="231">
        <v>25.18</v>
      </c>
      <c r="F2297" s="899"/>
      <c r="G2297" s="1152" t="s">
        <v>9</v>
      </c>
    </row>
    <row r="2298" spans="1:7">
      <c r="A2298" s="1272">
        <v>43707</v>
      </c>
      <c r="B2298" s="1645" t="str">
        <f>TiposLancamentos!B19</f>
        <v>Restaurantes</v>
      </c>
      <c r="C2298" s="280" t="s">
        <v>15315</v>
      </c>
      <c r="D2298" s="281"/>
      <c r="E2298" s="1293">
        <v>52</v>
      </c>
      <c r="F2298" s="1271"/>
      <c r="G2298" s="1152" t="s">
        <v>9</v>
      </c>
    </row>
    <row r="2299" spans="1:7">
      <c r="A2299" s="884">
        <v>43708</v>
      </c>
      <c r="B2299" s="240" t="str">
        <f>TiposLancamentos!B32</f>
        <v>Clinicas e tratamentos</v>
      </c>
      <c r="C2299" s="878" t="s">
        <v>19882</v>
      </c>
      <c r="D2299" s="63"/>
      <c r="E2299" s="231">
        <v>240</v>
      </c>
      <c r="F2299" s="899"/>
      <c r="G2299" s="1152" t="s">
        <v>9</v>
      </c>
    </row>
    <row r="2300" spans="1:7">
      <c r="A2300" s="1272">
        <v>43708</v>
      </c>
      <c r="B2300" s="1645" t="str">
        <f>TiposLancamentos!B16</f>
        <v>Cristiane</v>
      </c>
      <c r="C2300" s="280" t="s">
        <v>19883</v>
      </c>
      <c r="D2300" s="281"/>
      <c r="E2300" s="1293">
        <v>5.99</v>
      </c>
      <c r="F2300" s="1271"/>
      <c r="G2300" s="1152" t="s">
        <v>9</v>
      </c>
    </row>
    <row r="2301" spans="1:7">
      <c r="A2301" s="884">
        <v>43708</v>
      </c>
      <c r="B2301" s="240" t="str">
        <f>TiposLancamentos!B56</f>
        <v>Farmácia</v>
      </c>
      <c r="C2301" s="878" t="s">
        <v>19884</v>
      </c>
      <c r="D2301" s="63"/>
      <c r="E2301" s="231">
        <v>100.7</v>
      </c>
      <c r="F2301" s="899"/>
      <c r="G2301" s="1152" t="s">
        <v>9</v>
      </c>
    </row>
    <row r="2302" spans="1:7">
      <c r="A2302" s="884">
        <v>43708</v>
      </c>
      <c r="B2302" s="240" t="str">
        <f>TiposLancamentos!B16</f>
        <v>Cristiane</v>
      </c>
      <c r="C2302" s="878" t="s">
        <v>6052</v>
      </c>
      <c r="D2302" s="63"/>
      <c r="E2302" s="231">
        <v>56.66</v>
      </c>
      <c r="F2302" s="899"/>
      <c r="G2302" s="1152" t="s">
        <v>9</v>
      </c>
    </row>
    <row r="2303" spans="1:7">
      <c r="A2303" s="884">
        <v>43708</v>
      </c>
      <c r="B2303" s="240" t="str">
        <f>TiposLancamentos!B19</f>
        <v>Restaurantes</v>
      </c>
      <c r="C2303" s="878" t="s">
        <v>19885</v>
      </c>
      <c r="D2303" s="63"/>
      <c r="E2303" s="231">
        <v>155.22</v>
      </c>
      <c r="F2303" s="899"/>
      <c r="G2303" s="1152" t="s">
        <v>9</v>
      </c>
    </row>
    <row r="2304" spans="1:7">
      <c r="A2304" s="1272">
        <v>43708</v>
      </c>
      <c r="B2304" s="1645" t="str">
        <f>TiposLancamentos!B16</f>
        <v>Cristiane</v>
      </c>
      <c r="C2304" s="280" t="s">
        <v>6052</v>
      </c>
      <c r="D2304" s="281"/>
      <c r="E2304" s="1293">
        <v>54.97</v>
      </c>
      <c r="F2304" s="1271"/>
      <c r="G2304" s="1152" t="s">
        <v>9</v>
      </c>
    </row>
    <row r="2305" spans="1:7" ht="14.25" thickBot="1">
      <c r="A2305" s="884">
        <v>43708</v>
      </c>
      <c r="B2305" s="240" t="str">
        <f>TiposLancamentos!B45</f>
        <v>Online Services</v>
      </c>
      <c r="C2305" s="878" t="s">
        <v>19886</v>
      </c>
      <c r="D2305" s="63"/>
      <c r="E2305" s="231">
        <f>F2305/3</f>
        <v>94.95</v>
      </c>
      <c r="F2305" s="899">
        <v>284.85000000000002</v>
      </c>
      <c r="G2305" s="1152" t="s">
        <v>9</v>
      </c>
    </row>
    <row r="2306" spans="1:7">
      <c r="A2306" s="1032"/>
      <c r="B2306" s="1230"/>
      <c r="C2306" s="906" t="s">
        <v>11211</v>
      </c>
      <c r="D2306" s="896"/>
      <c r="E2306" s="925"/>
      <c r="F2306" s="898">
        <f>SUM(E2192:E2270)-D2233</f>
        <v>7046.5333333333328</v>
      </c>
      <c r="G2306" s="3"/>
    </row>
    <row r="2307" spans="1:7">
      <c r="A2307" s="884">
        <v>43709</v>
      </c>
      <c r="B2307" s="240" t="str">
        <f>B2299</f>
        <v>Clinicas e tratamentos</v>
      </c>
      <c r="C2307" s="878" t="s">
        <v>19887</v>
      </c>
      <c r="D2307" s="63"/>
      <c r="E2307" s="231">
        <v>170</v>
      </c>
      <c r="F2307" s="899">
        <f>F2306-F2230</f>
        <v>291.96333333333496</v>
      </c>
      <c r="G2307" s="1152" t="s">
        <v>9</v>
      </c>
    </row>
    <row r="2308" spans="1:7">
      <c r="A2308" s="884">
        <v>43709</v>
      </c>
      <c r="B2308" s="240" t="str">
        <f>TiposLancamentos!B17</f>
        <v>GATO</v>
      </c>
      <c r="C2308" s="878" t="s">
        <v>3283</v>
      </c>
      <c r="D2308" s="63"/>
      <c r="E2308" s="231">
        <v>261.10000000000002</v>
      </c>
      <c r="F2308" s="899"/>
      <c r="G2308" s="1152" t="s">
        <v>9</v>
      </c>
    </row>
    <row r="2309" spans="1:7">
      <c r="A2309" s="884">
        <v>43709</v>
      </c>
      <c r="B2309" s="240" t="str">
        <f>TiposLancamentos!B19</f>
        <v>Restaurantes</v>
      </c>
      <c r="C2309" s="878" t="s">
        <v>19888</v>
      </c>
      <c r="D2309" s="63"/>
      <c r="E2309" s="231">
        <v>41.7</v>
      </c>
      <c r="F2309" s="899"/>
      <c r="G2309" s="1152" t="s">
        <v>9</v>
      </c>
    </row>
    <row r="2310" spans="1:7">
      <c r="A2310" s="1272">
        <v>43709</v>
      </c>
      <c r="B2310" s="1645" t="str">
        <f>TiposLancamentos!B24</f>
        <v>Estacionamentos</v>
      </c>
      <c r="C2310" s="280" t="s">
        <v>19889</v>
      </c>
      <c r="D2310" s="281"/>
      <c r="E2310" s="1293">
        <v>55</v>
      </c>
      <c r="F2310" s="1271"/>
      <c r="G2310" s="1152" t="s">
        <v>9</v>
      </c>
    </row>
    <row r="2311" spans="1:7">
      <c r="A2311" s="1272">
        <v>43709</v>
      </c>
      <c r="B2311" s="1645" t="str">
        <f>TiposLancamentos!B24</f>
        <v>Estacionamentos</v>
      </c>
      <c r="C2311" s="280" t="s">
        <v>19889</v>
      </c>
      <c r="D2311" s="281"/>
      <c r="E2311" s="1293">
        <v>15</v>
      </c>
      <c r="F2311" s="1271"/>
      <c r="G2311" s="1152" t="s">
        <v>9</v>
      </c>
    </row>
    <row r="2312" spans="1:7">
      <c r="A2312" s="884">
        <v>43710</v>
      </c>
      <c r="B2312" s="240" t="str">
        <f>TiposLancamentos!B15</f>
        <v>Cartões de Crédito</v>
      </c>
      <c r="C2312" s="878" t="s">
        <v>11212</v>
      </c>
      <c r="D2312" s="63">
        <v>7046.53</v>
      </c>
      <c r="E2312" s="231"/>
      <c r="F2312" s="899"/>
      <c r="G2312" s="1152" t="s">
        <v>9</v>
      </c>
    </row>
    <row r="2313" spans="1:7">
      <c r="A2313" s="1272">
        <v>43710</v>
      </c>
      <c r="B2313" s="1645" t="str">
        <f>TiposLancamentos!B16</f>
        <v>Cristiane</v>
      </c>
      <c r="C2313" s="280" t="s">
        <v>19890</v>
      </c>
      <c r="D2313" s="281"/>
      <c r="E2313" s="1293">
        <v>19.27</v>
      </c>
      <c r="F2313" s="1271"/>
      <c r="G2313" s="1152" t="s">
        <v>9</v>
      </c>
    </row>
    <row r="2314" spans="1:7">
      <c r="A2314" s="1272">
        <v>43710</v>
      </c>
      <c r="B2314" s="1645" t="str">
        <f>TiposLancamentos!B70</f>
        <v>Vestuário</v>
      </c>
      <c r="C2314" s="280" t="s">
        <v>19891</v>
      </c>
      <c r="D2314" s="281"/>
      <c r="E2314" s="1293">
        <v>139.80000000000001</v>
      </c>
      <c r="F2314" s="1271"/>
      <c r="G2314" s="1152" t="s">
        <v>9</v>
      </c>
    </row>
    <row r="2315" spans="1:7">
      <c r="A2315" s="884">
        <v>43710</v>
      </c>
      <c r="B2315" s="240" t="str">
        <f>TiposLancamentos!B16</f>
        <v>Cristiane</v>
      </c>
      <c r="C2315" s="878" t="s">
        <v>19892</v>
      </c>
      <c r="D2315" s="63"/>
      <c r="E2315" s="231">
        <v>153.04</v>
      </c>
      <c r="F2315" s="899"/>
      <c r="G2315" s="1152" t="s">
        <v>9</v>
      </c>
    </row>
    <row r="2316" spans="1:7">
      <c r="A2316" s="1272">
        <v>43710</v>
      </c>
      <c r="B2316" s="1645" t="str">
        <f>TiposLancamentos!B16</f>
        <v>Cristiane</v>
      </c>
      <c r="C2316" s="280" t="s">
        <v>2104</v>
      </c>
      <c r="D2316" s="281"/>
      <c r="E2316" s="1293">
        <v>0.84</v>
      </c>
      <c r="F2316" s="1271"/>
      <c r="G2316" s="1152" t="s">
        <v>9</v>
      </c>
    </row>
    <row r="2317" spans="1:7">
      <c r="A2317" s="884">
        <v>43711</v>
      </c>
      <c r="B2317" s="240" t="str">
        <f>TiposLancamentos!B31</f>
        <v>Action Figures</v>
      </c>
      <c r="C2317" s="878" t="s">
        <v>19893</v>
      </c>
      <c r="D2317" s="63"/>
      <c r="E2317" s="231">
        <v>128.02000000000001</v>
      </c>
      <c r="F2317" s="899">
        <v>767.87</v>
      </c>
      <c r="G2317" s="1152" t="s">
        <v>9</v>
      </c>
    </row>
    <row r="2318" spans="1:7">
      <c r="A2318" s="884">
        <v>43711</v>
      </c>
      <c r="B2318" s="240" t="str">
        <f>TiposLancamentos!B19</f>
        <v>Restaurantes</v>
      </c>
      <c r="C2318" s="878" t="s">
        <v>19894</v>
      </c>
      <c r="D2318" s="63"/>
      <c r="E2318" s="231">
        <v>18</v>
      </c>
      <c r="F2318" s="899"/>
      <c r="G2318" s="1152" t="s">
        <v>9</v>
      </c>
    </row>
    <row r="2319" spans="1:7">
      <c r="A2319" s="1272">
        <v>43711</v>
      </c>
      <c r="B2319" s="1645" t="str">
        <f>TiposLancamentos!B16</f>
        <v>Cristiane</v>
      </c>
      <c r="C2319" s="280" t="s">
        <v>19895</v>
      </c>
      <c r="D2319" s="281"/>
      <c r="E2319" s="1293">
        <v>19.399999999999999</v>
      </c>
      <c r="F2319" s="1271"/>
      <c r="G2319" s="1152" t="s">
        <v>9</v>
      </c>
    </row>
    <row r="2320" spans="1:7">
      <c r="A2320" s="1272">
        <v>43711</v>
      </c>
      <c r="B2320" s="1645" t="str">
        <f>TiposLancamentos!B16</f>
        <v>Cristiane</v>
      </c>
      <c r="C2320" s="280" t="s">
        <v>11101</v>
      </c>
      <c r="D2320" s="281"/>
      <c r="E2320" s="1293">
        <v>45.89</v>
      </c>
      <c r="F2320" s="1271"/>
      <c r="G2320" s="1152" t="s">
        <v>9</v>
      </c>
    </row>
    <row r="2321" spans="1:7">
      <c r="A2321" s="1272">
        <v>43712</v>
      </c>
      <c r="B2321" s="1645" t="str">
        <f>TiposLancamentos!B34</f>
        <v>Seguros</v>
      </c>
      <c r="C2321" s="280" t="s">
        <v>19896</v>
      </c>
      <c r="D2321" s="281"/>
      <c r="E2321" s="1293">
        <v>278.67</v>
      </c>
      <c r="F2321" s="1271"/>
      <c r="G2321" s="1152" t="s">
        <v>9</v>
      </c>
    </row>
    <row r="2322" spans="1:7">
      <c r="A2322" s="884">
        <v>43712</v>
      </c>
      <c r="B2322" s="240" t="str">
        <f>B2318</f>
        <v>Restaurantes</v>
      </c>
      <c r="C2322" s="878" t="s">
        <v>19894</v>
      </c>
      <c r="D2322" s="63"/>
      <c r="E2322" s="231">
        <v>18</v>
      </c>
      <c r="F2322" s="899"/>
      <c r="G2322" s="1152" t="s">
        <v>9</v>
      </c>
    </row>
    <row r="2323" spans="1:7">
      <c r="A2323" s="1272">
        <v>43712</v>
      </c>
      <c r="B2323" s="1645" t="str">
        <f>TiposLancamentos!B16</f>
        <v>Cristiane</v>
      </c>
      <c r="C2323" s="280" t="s">
        <v>8555</v>
      </c>
      <c r="D2323" s="281"/>
      <c r="E2323" s="1293">
        <v>34.67</v>
      </c>
      <c r="F2323" s="1271"/>
      <c r="G2323" s="1152" t="s">
        <v>9</v>
      </c>
    </row>
    <row r="2324" spans="1:7">
      <c r="A2324" s="1272">
        <v>43712</v>
      </c>
      <c r="B2324" s="1645" t="str">
        <f>TiposLancamentos!B16</f>
        <v>Cristiane</v>
      </c>
      <c r="C2324" s="280" t="s">
        <v>19897</v>
      </c>
      <c r="D2324" s="281"/>
      <c r="E2324" s="1293">
        <v>5.55</v>
      </c>
      <c r="F2324" s="1271"/>
      <c r="G2324" s="1152" t="s">
        <v>9</v>
      </c>
    </row>
    <row r="2325" spans="1:7">
      <c r="A2325" s="1272">
        <v>43712</v>
      </c>
      <c r="B2325" s="1645" t="str">
        <f>TiposLancamentos!B5</f>
        <v>Supermercado</v>
      </c>
      <c r="C2325" s="280" t="s">
        <v>6234</v>
      </c>
      <c r="D2325" s="281"/>
      <c r="E2325" s="1293">
        <v>156.97999999999999</v>
      </c>
      <c r="F2325" s="1271"/>
      <c r="G2325" s="1152" t="s">
        <v>9</v>
      </c>
    </row>
    <row r="2326" spans="1:7">
      <c r="A2326" s="884">
        <v>43713</v>
      </c>
      <c r="B2326" s="240" t="str">
        <f>TiposLancamentos!B56</f>
        <v>Farmácia</v>
      </c>
      <c r="C2326" s="878" t="s">
        <v>19898</v>
      </c>
      <c r="D2326" s="63"/>
      <c r="E2326" s="231">
        <v>110.68</v>
      </c>
      <c r="F2326" s="899"/>
      <c r="G2326" s="1152" t="s">
        <v>9</v>
      </c>
    </row>
    <row r="2327" spans="1:7">
      <c r="A2327" s="884">
        <v>43715</v>
      </c>
      <c r="B2327" s="240" t="str">
        <f>TiposLancamentos!B71</f>
        <v>Itens Pessoais</v>
      </c>
      <c r="C2327" s="878" t="s">
        <v>19899</v>
      </c>
      <c r="D2327" s="63"/>
      <c r="E2327" s="231">
        <v>93.46</v>
      </c>
      <c r="F2327" s="899">
        <v>560.79999999999995</v>
      </c>
      <c r="G2327" s="1152" t="s">
        <v>9</v>
      </c>
    </row>
    <row r="2328" spans="1:7">
      <c r="A2328" s="884">
        <v>43716</v>
      </c>
      <c r="B2328" s="240" t="str">
        <f>TiposLancamentos!B5</f>
        <v>Supermercado</v>
      </c>
      <c r="C2328" s="878" t="s">
        <v>6234</v>
      </c>
      <c r="D2328" s="63"/>
      <c r="E2328" s="231">
        <v>55.88</v>
      </c>
      <c r="F2328" s="899"/>
      <c r="G2328" s="1152" t="s">
        <v>9</v>
      </c>
    </row>
    <row r="2329" spans="1:7">
      <c r="A2329" s="884">
        <v>43717</v>
      </c>
      <c r="B2329" s="240" t="str">
        <f>TiposLancamentos!B13</f>
        <v>Moradia</v>
      </c>
      <c r="C2329" s="878" t="s">
        <v>19900</v>
      </c>
      <c r="D2329" s="63"/>
      <c r="E2329" s="231">
        <v>16.690000000000001</v>
      </c>
      <c r="F2329" s="899"/>
      <c r="G2329" s="1152" t="s">
        <v>9</v>
      </c>
    </row>
    <row r="2330" spans="1:7">
      <c r="A2330" s="1272">
        <v>43718</v>
      </c>
      <c r="B2330" s="1645" t="str">
        <f>TiposLancamentos!B5</f>
        <v>Supermercado</v>
      </c>
      <c r="C2330" s="280" t="s">
        <v>7046</v>
      </c>
      <c r="D2330" s="281"/>
      <c r="E2330" s="1293">
        <v>187.69</v>
      </c>
      <c r="F2330" s="1271"/>
      <c r="G2330" s="1152" t="s">
        <v>9</v>
      </c>
    </row>
    <row r="2331" spans="1:7">
      <c r="A2331" s="1272">
        <v>43719</v>
      </c>
      <c r="B2331" s="1645" t="str">
        <f>TiposLancamentos!B16</f>
        <v>Cristiane</v>
      </c>
      <c r="C2331" s="280" t="s">
        <v>19728</v>
      </c>
      <c r="D2331" s="281"/>
      <c r="E2331" s="1293">
        <v>23.5</v>
      </c>
      <c r="F2331" s="1271"/>
      <c r="G2331" s="1152" t="s">
        <v>9</v>
      </c>
    </row>
    <row r="2332" spans="1:7">
      <c r="A2332" s="1272">
        <v>43719</v>
      </c>
      <c r="B2332" s="1645" t="str">
        <f>TiposLancamentos!B16</f>
        <v>Cristiane</v>
      </c>
      <c r="C2332" s="280" t="s">
        <v>19728</v>
      </c>
      <c r="D2332" s="281"/>
      <c r="E2332" s="1293">
        <v>137.15</v>
      </c>
      <c r="F2332" s="1271"/>
      <c r="G2332" s="1152" t="s">
        <v>9</v>
      </c>
    </row>
    <row r="2333" spans="1:7">
      <c r="A2333" s="884">
        <v>43720</v>
      </c>
      <c r="B2333" s="240" t="str">
        <f>TiposLancamentos!B5</f>
        <v>Supermercado</v>
      </c>
      <c r="C2333" s="878" t="s">
        <v>6234</v>
      </c>
      <c r="D2333" s="63"/>
      <c r="E2333" s="231">
        <v>83.82</v>
      </c>
      <c r="F2333" s="899"/>
      <c r="G2333" s="1152" t="s">
        <v>9</v>
      </c>
    </row>
    <row r="2334" spans="1:7">
      <c r="A2334" s="1272">
        <v>43720</v>
      </c>
      <c r="B2334" s="1645" t="str">
        <f>TiposLancamentos!B16</f>
        <v>Cristiane</v>
      </c>
      <c r="C2334" s="280" t="s">
        <v>19901</v>
      </c>
      <c r="D2334" s="281"/>
      <c r="E2334" s="1293">
        <v>90</v>
      </c>
      <c r="F2334" s="1271"/>
      <c r="G2334" s="1152" t="s">
        <v>9</v>
      </c>
    </row>
    <row r="2335" spans="1:7">
      <c r="A2335" s="1272">
        <v>43720</v>
      </c>
      <c r="B2335" s="1645" t="str">
        <f>TiposLancamentos!B16</f>
        <v>Cristiane</v>
      </c>
      <c r="C2335" s="280" t="s">
        <v>13871</v>
      </c>
      <c r="D2335" s="281"/>
      <c r="E2335" s="1293">
        <v>74.900000000000006</v>
      </c>
      <c r="F2335" s="1271"/>
      <c r="G2335" s="1152" t="s">
        <v>9</v>
      </c>
    </row>
    <row r="2336" spans="1:7">
      <c r="A2336" s="1272">
        <v>43720</v>
      </c>
      <c r="B2336" s="1645" t="str">
        <f>TiposLancamentos!B16</f>
        <v>Cristiane</v>
      </c>
      <c r="C2336" s="280" t="s">
        <v>19902</v>
      </c>
      <c r="D2336" s="281"/>
      <c r="E2336" s="1293">
        <v>99.99</v>
      </c>
      <c r="F2336" s="1271"/>
      <c r="G2336" s="1152" t="s">
        <v>9</v>
      </c>
    </row>
    <row r="2337" spans="1:7">
      <c r="A2337" s="1272">
        <v>43721</v>
      </c>
      <c r="B2337" s="1645" t="str">
        <f>TiposLancamentos!B5</f>
        <v>Supermercado</v>
      </c>
      <c r="C2337" s="280" t="s">
        <v>6234</v>
      </c>
      <c r="D2337" s="281"/>
      <c r="E2337" s="1293">
        <v>33.33</v>
      </c>
      <c r="F2337" s="1271"/>
      <c r="G2337" s="1152" t="s">
        <v>9</v>
      </c>
    </row>
    <row r="2338" spans="1:7">
      <c r="A2338" s="1272">
        <v>43721</v>
      </c>
      <c r="B2338" s="1645" t="str">
        <f>TiposLancamentos!B16</f>
        <v>Cristiane</v>
      </c>
      <c r="C2338" s="280" t="s">
        <v>19903</v>
      </c>
      <c r="D2338" s="281"/>
      <c r="E2338" s="1293">
        <v>13.5</v>
      </c>
      <c r="F2338" s="1271"/>
      <c r="G2338" s="1152" t="s">
        <v>9</v>
      </c>
    </row>
    <row r="2339" spans="1:7">
      <c r="A2339" s="884">
        <v>43721</v>
      </c>
      <c r="B2339" s="240" t="str">
        <f>TiposLancamentos!B56</f>
        <v>Farmácia</v>
      </c>
      <c r="C2339" s="878" t="s">
        <v>19904</v>
      </c>
      <c r="D2339" s="63"/>
      <c r="E2339" s="231">
        <v>102.97</v>
      </c>
      <c r="F2339" s="899"/>
      <c r="G2339" s="1152" t="s">
        <v>9</v>
      </c>
    </row>
    <row r="2340" spans="1:7">
      <c r="A2340" s="884">
        <v>43721</v>
      </c>
      <c r="B2340" s="240" t="str">
        <f>TiposLancamentos!B5</f>
        <v>Supermercado</v>
      </c>
      <c r="C2340" s="878" t="s">
        <v>1262</v>
      </c>
      <c r="D2340" s="63"/>
      <c r="E2340" s="231">
        <v>106.67</v>
      </c>
      <c r="F2340" s="899"/>
      <c r="G2340" s="1152" t="s">
        <v>9</v>
      </c>
    </row>
    <row r="2341" spans="1:7">
      <c r="A2341" s="884">
        <v>43726</v>
      </c>
      <c r="B2341" s="240" t="str">
        <f>TiposLancamentos!B70</f>
        <v>Vestuário</v>
      </c>
      <c r="C2341" s="878" t="s">
        <v>19905</v>
      </c>
      <c r="D2341" s="63"/>
      <c r="E2341" s="231">
        <f>F2341/6</f>
        <v>478.2833333333333</v>
      </c>
      <c r="F2341" s="899">
        <v>2869.7</v>
      </c>
      <c r="G2341" s="1152" t="s">
        <v>9</v>
      </c>
    </row>
    <row r="2342" spans="1:7">
      <c r="A2342" s="934"/>
      <c r="B2342" s="243"/>
      <c r="C2342" s="389" t="s">
        <v>10</v>
      </c>
      <c r="D2342" s="146"/>
      <c r="E2342" s="1190"/>
      <c r="F2342" s="935"/>
      <c r="G2342" s="1094" t="s">
        <v>11</v>
      </c>
    </row>
    <row r="2343" spans="1:7">
      <c r="A2343" s="1272">
        <v>43727</v>
      </c>
      <c r="B2343" s="1645" t="str">
        <f>TiposLancamentos!B19</f>
        <v>Restaurantes</v>
      </c>
      <c r="C2343" s="280" t="s">
        <v>15315</v>
      </c>
      <c r="D2343" s="281"/>
      <c r="E2343" s="1293">
        <v>52</v>
      </c>
      <c r="F2343" s="1271"/>
      <c r="G2343" s="1152" t="s">
        <v>9</v>
      </c>
    </row>
    <row r="2344" spans="1:7">
      <c r="A2344" s="884">
        <v>43728</v>
      </c>
      <c r="B2344" s="240" t="str">
        <f>TiposLancamentos!B65</f>
        <v>Taxi</v>
      </c>
      <c r="C2344" s="878" t="s">
        <v>19906</v>
      </c>
      <c r="D2344" s="63"/>
      <c r="E2344" s="231">
        <v>6.77</v>
      </c>
      <c r="F2344" s="899"/>
      <c r="G2344" s="1152" t="s">
        <v>9</v>
      </c>
    </row>
    <row r="2345" spans="1:7">
      <c r="A2345" s="1272">
        <v>43729</v>
      </c>
      <c r="B2345" s="1645" t="str">
        <f>TiposLancamentos!B19</f>
        <v>Restaurantes</v>
      </c>
      <c r="C2345" s="280" t="s">
        <v>15315</v>
      </c>
      <c r="D2345" s="281"/>
      <c r="E2345" s="1293">
        <v>37</v>
      </c>
      <c r="F2345" s="1271"/>
      <c r="G2345" s="1152" t="s">
        <v>9</v>
      </c>
    </row>
    <row r="2346" spans="1:7">
      <c r="A2346" s="884">
        <v>43730</v>
      </c>
      <c r="B2346" s="240" t="str">
        <f>TiposLancamentos!B13</f>
        <v>Moradia</v>
      </c>
      <c r="C2346" s="878" t="s">
        <v>19907</v>
      </c>
      <c r="D2346" s="63"/>
      <c r="E2346" s="231">
        <v>398.4</v>
      </c>
      <c r="F2346" s="899">
        <v>3984</v>
      </c>
      <c r="G2346" s="1152" t="s">
        <v>9</v>
      </c>
    </row>
    <row r="2347" spans="1:7">
      <c r="A2347" s="1272">
        <v>43730</v>
      </c>
      <c r="B2347" s="1645" t="str">
        <f>TiposLancamentos!B19</f>
        <v>Restaurantes</v>
      </c>
      <c r="C2347" s="280" t="s">
        <v>19908</v>
      </c>
      <c r="D2347" s="281"/>
      <c r="E2347" s="1293">
        <v>108</v>
      </c>
      <c r="F2347" s="1271"/>
      <c r="G2347" s="1152" t="s">
        <v>9</v>
      </c>
    </row>
    <row r="2348" spans="1:7">
      <c r="A2348" s="1272">
        <v>43731</v>
      </c>
      <c r="B2348" s="1645" t="str">
        <f>TiposLancamentos!B16</f>
        <v>Cristiane</v>
      </c>
      <c r="C2348" s="280" t="s">
        <v>19909</v>
      </c>
      <c r="D2348" s="281"/>
      <c r="E2348" s="1293">
        <v>169.8</v>
      </c>
      <c r="F2348" s="1271"/>
      <c r="G2348" s="1152" t="s">
        <v>9</v>
      </c>
    </row>
    <row r="2349" spans="1:7">
      <c r="A2349" s="1272">
        <v>43732</v>
      </c>
      <c r="B2349" s="1645" t="str">
        <f>TiposLancamentos!B34</f>
        <v>Seguros</v>
      </c>
      <c r="C2349" s="280" t="s">
        <v>19910</v>
      </c>
      <c r="D2349" s="281"/>
      <c r="E2349" s="1293">
        <v>347.71</v>
      </c>
      <c r="F2349" s="1271">
        <f>E2349*6</f>
        <v>2086.2599999999998</v>
      </c>
      <c r="G2349" s="1152" t="s">
        <v>9</v>
      </c>
    </row>
    <row r="2350" spans="1:7">
      <c r="A2350" s="884">
        <v>43732</v>
      </c>
      <c r="B2350" s="240" t="str">
        <f>TiposLancamentos!B65</f>
        <v>Taxi</v>
      </c>
      <c r="C2350" s="878" t="s">
        <v>19911</v>
      </c>
      <c r="D2350" s="63"/>
      <c r="E2350" s="231">
        <v>54.51</v>
      </c>
      <c r="F2350" s="899"/>
      <c r="G2350" s="1152" t="s">
        <v>9</v>
      </c>
    </row>
    <row r="2351" spans="1:7">
      <c r="A2351" s="884">
        <v>43733</v>
      </c>
      <c r="B2351" s="240" t="str">
        <f>TiposLancamentos!B65</f>
        <v>Taxi</v>
      </c>
      <c r="C2351" s="878" t="s">
        <v>19912</v>
      </c>
      <c r="D2351" s="63"/>
      <c r="E2351" s="231">
        <v>57.88</v>
      </c>
      <c r="F2351" s="899"/>
      <c r="G2351" s="1152" t="s">
        <v>9</v>
      </c>
    </row>
    <row r="2352" spans="1:7">
      <c r="A2352" s="1272">
        <v>43734</v>
      </c>
      <c r="B2352" s="1645" t="str">
        <f>TiposLancamentos!B16</f>
        <v>Cristiane</v>
      </c>
      <c r="C2352" s="280" t="s">
        <v>19913</v>
      </c>
      <c r="D2352" s="281"/>
      <c r="E2352" s="1293">
        <v>130</v>
      </c>
      <c r="F2352" s="1271">
        <v>260</v>
      </c>
      <c r="G2352" s="1152" t="s">
        <v>9</v>
      </c>
    </row>
    <row r="2353" spans="1:7">
      <c r="A2353" s="1272">
        <v>43735</v>
      </c>
      <c r="B2353" s="1645" t="str">
        <f>TiposLancamentos!B16</f>
        <v>Cristiane</v>
      </c>
      <c r="C2353" s="280" t="s">
        <v>19914</v>
      </c>
      <c r="D2353" s="281"/>
      <c r="E2353" s="1293">
        <v>52.85</v>
      </c>
      <c r="F2353" s="1271"/>
      <c r="G2353" s="1152" t="s">
        <v>9</v>
      </c>
    </row>
    <row r="2354" spans="1:7">
      <c r="A2354" s="1272">
        <v>43736</v>
      </c>
      <c r="B2354" s="1645" t="str">
        <f>TiposLancamentos!B22</f>
        <v>Combustivel</v>
      </c>
      <c r="C2354" s="280" t="s">
        <v>2120</v>
      </c>
      <c r="D2354" s="281"/>
      <c r="E2354" s="1293">
        <v>100</v>
      </c>
      <c r="F2354" s="1271"/>
      <c r="G2354" s="1152" t="s">
        <v>9</v>
      </c>
    </row>
    <row r="2355" spans="1:7">
      <c r="A2355" s="1272">
        <v>43736</v>
      </c>
      <c r="B2355" s="1645" t="str">
        <f>TiposLancamentos!B5</f>
        <v>Supermercado</v>
      </c>
      <c r="C2355" s="280" t="s">
        <v>6234</v>
      </c>
      <c r="D2355" s="281"/>
      <c r="E2355" s="1293">
        <v>78.599999999999994</v>
      </c>
      <c r="F2355" s="1271"/>
      <c r="G2355" s="1152" t="s">
        <v>9</v>
      </c>
    </row>
    <row r="2356" spans="1:7">
      <c r="A2356" s="884">
        <v>43736</v>
      </c>
      <c r="B2356" s="240" t="str">
        <f>TiposLancamentos!B45</f>
        <v>Online Services</v>
      </c>
      <c r="C2356" s="878" t="s">
        <v>1895</v>
      </c>
      <c r="D2356" s="63"/>
      <c r="E2356" s="231">
        <v>26.9</v>
      </c>
      <c r="F2356" s="899"/>
      <c r="G2356" s="1152" t="s">
        <v>9</v>
      </c>
    </row>
    <row r="2357" spans="1:7">
      <c r="A2357" s="884">
        <v>43737</v>
      </c>
      <c r="B2357" s="240" t="str">
        <f>TiposLancamentos!B70</f>
        <v>Vestuário</v>
      </c>
      <c r="C2357" s="878" t="s">
        <v>19915</v>
      </c>
      <c r="D2357" s="63"/>
      <c r="E2357" s="231">
        <f>F2357/3</f>
        <v>309.90000000000003</v>
      </c>
      <c r="F2357" s="899">
        <v>929.7</v>
      </c>
      <c r="G2357" s="1152" t="s">
        <v>9</v>
      </c>
    </row>
    <row r="2358" spans="1:7">
      <c r="A2358" s="1272">
        <v>43737</v>
      </c>
      <c r="B2358" s="1645" t="str">
        <f>TiposLancamentos!B19</f>
        <v>Restaurantes</v>
      </c>
      <c r="C2358" s="280" t="s">
        <v>19916</v>
      </c>
      <c r="D2358" s="281"/>
      <c r="E2358" s="1293">
        <v>37</v>
      </c>
      <c r="F2358" s="1271"/>
      <c r="G2358" s="1152" t="s">
        <v>9</v>
      </c>
    </row>
    <row r="2359" spans="1:7" ht="14.25" thickBot="1">
      <c r="A2359" s="884">
        <v>43738</v>
      </c>
      <c r="B2359" s="240" t="str">
        <f>TiposLancamentos!B45</f>
        <v>Online Services</v>
      </c>
      <c r="C2359" s="878" t="s">
        <v>19917</v>
      </c>
      <c r="D2359" s="63"/>
      <c r="E2359" s="231">
        <f>F2359/3</f>
        <v>94.95</v>
      </c>
      <c r="F2359" s="899">
        <v>284.85000000000002</v>
      </c>
      <c r="G2359" s="1152" t="s">
        <v>9</v>
      </c>
    </row>
    <row r="2360" spans="1:7">
      <c r="A2360" s="1032"/>
      <c r="B2360" s="1230"/>
      <c r="C2360" s="906" t="s">
        <v>11213</v>
      </c>
      <c r="D2360" s="896"/>
      <c r="E2360" s="925"/>
      <c r="F2360" s="898">
        <f>SUM(E2272:E2341)</f>
        <v>6775.8033333333315</v>
      </c>
      <c r="G2360" s="3"/>
    </row>
    <row r="2361" spans="1:7">
      <c r="A2361" s="884">
        <v>43739</v>
      </c>
      <c r="B2361" s="240" t="str">
        <f>TiposLancamentos!B15</f>
        <v>Cartões de Crédito</v>
      </c>
      <c r="C2361" s="878" t="s">
        <v>1874</v>
      </c>
      <c r="D2361" s="63">
        <v>6775.8</v>
      </c>
      <c r="E2361" s="231"/>
      <c r="F2361" s="899">
        <f>F2360-F2306</f>
        <v>-270.73000000000138</v>
      </c>
      <c r="G2361" s="1152" t="s">
        <v>9</v>
      </c>
    </row>
    <row r="2362" spans="1:7">
      <c r="A2362" s="884">
        <v>43739</v>
      </c>
      <c r="B2362" s="240" t="str">
        <f>TiposLancamentos!B24</f>
        <v>Estacionamentos</v>
      </c>
      <c r="C2362" s="878" t="s">
        <v>14828</v>
      </c>
      <c r="D2362" s="63"/>
      <c r="E2362" s="231">
        <v>21</v>
      </c>
      <c r="F2362" s="899"/>
      <c r="G2362" s="1152" t="s">
        <v>9</v>
      </c>
    </row>
    <row r="2363" spans="1:7">
      <c r="A2363" s="1272">
        <v>43739</v>
      </c>
      <c r="B2363" s="1645" t="str">
        <f>TiposLancamentos!B16</f>
        <v>Cristiane</v>
      </c>
      <c r="C2363" s="280" t="s">
        <v>7006</v>
      </c>
      <c r="D2363" s="281"/>
      <c r="E2363" s="1293">
        <v>33.5</v>
      </c>
      <c r="F2363" s="1271"/>
      <c r="G2363" s="1152" t="s">
        <v>9</v>
      </c>
    </row>
    <row r="2364" spans="1:7">
      <c r="A2364" s="1272">
        <v>43740</v>
      </c>
      <c r="B2364" s="1645" t="str">
        <f>TiposLancamentos!B16</f>
        <v>Cristiane</v>
      </c>
      <c r="C2364" s="280" t="s">
        <v>19634</v>
      </c>
      <c r="D2364" s="281"/>
      <c r="E2364" s="1293">
        <v>20.92</v>
      </c>
      <c r="F2364" s="1271"/>
      <c r="G2364" s="1152" t="s">
        <v>9</v>
      </c>
    </row>
    <row r="2365" spans="1:7">
      <c r="A2365" s="884">
        <v>43741</v>
      </c>
      <c r="B2365" s="240" t="str">
        <f>TiposLancamentos!B31</f>
        <v>Action Figures</v>
      </c>
      <c r="C2365" s="878" t="s">
        <v>19918</v>
      </c>
      <c r="D2365" s="63"/>
      <c r="E2365" s="231">
        <v>128.02000000000001</v>
      </c>
      <c r="F2365" s="899">
        <v>767.87</v>
      </c>
      <c r="G2365" s="1152" t="s">
        <v>9</v>
      </c>
    </row>
    <row r="2366" spans="1:7">
      <c r="A2366" s="884">
        <v>43741</v>
      </c>
      <c r="B2366" s="240" t="str">
        <f>TiposLancamentos!B102</f>
        <v>ESTORNO</v>
      </c>
      <c r="C2366" s="878" t="s">
        <v>19919</v>
      </c>
      <c r="D2366" s="63">
        <v>0.05</v>
      </c>
      <c r="E2366" s="231"/>
      <c r="F2366" s="899"/>
      <c r="G2366" s="1152" t="s">
        <v>9</v>
      </c>
    </row>
    <row r="2367" spans="1:7" ht="12.75" customHeight="1">
      <c r="A2367" s="1272">
        <v>43742</v>
      </c>
      <c r="B2367" s="1645" t="str">
        <f>TiposLancamentos!B34</f>
        <v>Seguros</v>
      </c>
      <c r="C2367" s="280" t="s">
        <v>19920</v>
      </c>
      <c r="D2367" s="281"/>
      <c r="E2367" s="1293">
        <v>278.67</v>
      </c>
      <c r="F2367" s="1271">
        <f>E2367*6</f>
        <v>1672.02</v>
      </c>
      <c r="G2367" s="1152" t="s">
        <v>9</v>
      </c>
    </row>
    <row r="2368" spans="1:7">
      <c r="A2368" s="884">
        <v>43745</v>
      </c>
      <c r="B2368" s="240" t="str">
        <f>TiposLancamentos!B71</f>
        <v>Itens Pessoais</v>
      </c>
      <c r="C2368" s="878" t="s">
        <v>19921</v>
      </c>
      <c r="D2368" s="63"/>
      <c r="E2368" s="231">
        <v>93.46</v>
      </c>
      <c r="F2368" s="899">
        <v>560.79999999999995</v>
      </c>
      <c r="G2368" s="1152" t="s">
        <v>9</v>
      </c>
    </row>
    <row r="2369" spans="1:7">
      <c r="A2369" s="1272">
        <v>43745</v>
      </c>
      <c r="B2369" s="1645" t="str">
        <f>TiposLancamentos!B19</f>
        <v>Restaurantes</v>
      </c>
      <c r="C2369" s="280" t="s">
        <v>19922</v>
      </c>
      <c r="D2369" s="281"/>
      <c r="E2369" s="1293">
        <v>52</v>
      </c>
      <c r="F2369" s="1271"/>
      <c r="G2369" s="1152" t="s">
        <v>9</v>
      </c>
    </row>
    <row r="2370" spans="1:7">
      <c r="A2370" s="1272">
        <v>43746</v>
      </c>
      <c r="B2370" s="1645" t="str">
        <f>TiposLancamentos!B16</f>
        <v>Cristiane</v>
      </c>
      <c r="C2370" s="280" t="s">
        <v>19923</v>
      </c>
      <c r="D2370" s="281"/>
      <c r="E2370" s="1293">
        <v>188.23</v>
      </c>
      <c r="F2370" s="1271"/>
      <c r="G2370" s="1152" t="s">
        <v>9</v>
      </c>
    </row>
    <row r="2371" spans="1:7">
      <c r="A2371" s="1272">
        <v>43747</v>
      </c>
      <c r="B2371" s="1645" t="str">
        <f>TiposLancamentos!B16</f>
        <v>Cristiane</v>
      </c>
      <c r="C2371" s="280" t="s">
        <v>19924</v>
      </c>
      <c r="D2371" s="281"/>
      <c r="E2371" s="1293">
        <v>165</v>
      </c>
      <c r="F2371" s="1271"/>
      <c r="G2371" s="1152" t="s">
        <v>9</v>
      </c>
    </row>
    <row r="2372" spans="1:7">
      <c r="A2372" s="1272">
        <v>43748</v>
      </c>
      <c r="B2372" s="1645" t="str">
        <f>TiposLancamentos!B16</f>
        <v>Cristiane</v>
      </c>
      <c r="C2372" s="280" t="s">
        <v>19925</v>
      </c>
      <c r="D2372" s="281"/>
      <c r="E2372" s="1293">
        <v>82.56</v>
      </c>
      <c r="F2372" s="1271"/>
      <c r="G2372" s="1152" t="s">
        <v>9</v>
      </c>
    </row>
    <row r="2373" spans="1:7">
      <c r="A2373" s="1272">
        <v>43755</v>
      </c>
      <c r="B2373" s="1645" t="str">
        <f>TiposLancamentos!B16</f>
        <v>Cristiane</v>
      </c>
      <c r="C2373" s="280" t="s">
        <v>19926</v>
      </c>
      <c r="D2373" s="281"/>
      <c r="E2373" s="1293">
        <v>15.96</v>
      </c>
      <c r="F2373" s="1271"/>
      <c r="G2373" s="1152" t="s">
        <v>9</v>
      </c>
    </row>
    <row r="2374" spans="1:7">
      <c r="A2374" s="884">
        <v>43756</v>
      </c>
      <c r="B2374" s="240" t="str">
        <f>TiposLancamentos!B65</f>
        <v>Taxi</v>
      </c>
      <c r="C2374" s="878" t="s">
        <v>19927</v>
      </c>
      <c r="D2374" s="63"/>
      <c r="E2374" s="231">
        <v>14.22</v>
      </c>
      <c r="F2374" s="899"/>
      <c r="G2374" s="1152" t="s">
        <v>9</v>
      </c>
    </row>
    <row r="2375" spans="1:7">
      <c r="A2375" s="884">
        <v>43756</v>
      </c>
      <c r="B2375" s="240" t="str">
        <f>TiposLancamentos!B70</f>
        <v>Vestuário</v>
      </c>
      <c r="C2375" s="878" t="s">
        <v>19928</v>
      </c>
      <c r="D2375" s="63"/>
      <c r="E2375" s="231">
        <f>F2375/6</f>
        <v>478.2833333333333</v>
      </c>
      <c r="F2375" s="899">
        <v>2869.7</v>
      </c>
      <c r="G2375" s="1152" t="s">
        <v>9</v>
      </c>
    </row>
    <row r="2376" spans="1:7">
      <c r="A2376" s="884">
        <v>43757</v>
      </c>
      <c r="B2376" s="240" t="str">
        <f>TiposLancamentos!B19</f>
        <v>Restaurantes</v>
      </c>
      <c r="C2376" s="878" t="s">
        <v>19929</v>
      </c>
      <c r="D2376" s="63"/>
      <c r="E2376" s="231">
        <v>48</v>
      </c>
      <c r="F2376" s="899"/>
      <c r="G2376" s="1152" t="s">
        <v>9</v>
      </c>
    </row>
    <row r="2377" spans="1:7">
      <c r="A2377" s="884">
        <v>43757</v>
      </c>
      <c r="B2377" s="240" t="str">
        <f>TiposLancamentos!B19</f>
        <v>Restaurantes</v>
      </c>
      <c r="C2377" s="878" t="s">
        <v>7738</v>
      </c>
      <c r="D2377" s="63"/>
      <c r="E2377" s="231">
        <v>68.900000000000006</v>
      </c>
      <c r="F2377" s="899"/>
      <c r="G2377" s="1152" t="s">
        <v>9</v>
      </c>
    </row>
    <row r="2378" spans="1:7">
      <c r="A2378" s="934"/>
      <c r="B2378" s="243"/>
      <c r="C2378" s="389" t="s">
        <v>10</v>
      </c>
      <c r="D2378" s="146"/>
      <c r="E2378" s="1190"/>
      <c r="F2378" s="935"/>
      <c r="G2378" s="1094" t="s">
        <v>11</v>
      </c>
    </row>
    <row r="2379" spans="1:7">
      <c r="A2379" s="1272">
        <v>43760</v>
      </c>
      <c r="B2379" s="1645" t="str">
        <f>TiposLancamentos!B16</f>
        <v>Cristiane</v>
      </c>
      <c r="C2379" s="280" t="s">
        <v>19930</v>
      </c>
      <c r="D2379" s="281"/>
      <c r="E2379" s="1293">
        <v>20</v>
      </c>
      <c r="F2379" s="1271"/>
      <c r="G2379" s="1152" t="s">
        <v>9</v>
      </c>
    </row>
    <row r="2380" spans="1:7">
      <c r="A2380" s="884">
        <v>43760</v>
      </c>
      <c r="B2380" s="240" t="str">
        <f>TiposLancamentos!B19</f>
        <v>Restaurantes</v>
      </c>
      <c r="C2380" s="878" t="s">
        <v>19931</v>
      </c>
      <c r="D2380" s="63"/>
      <c r="E2380" s="231">
        <v>55.8</v>
      </c>
      <c r="F2380" s="899"/>
      <c r="G2380" s="1152" t="s">
        <v>9</v>
      </c>
    </row>
    <row r="2381" spans="1:7">
      <c r="A2381" s="884">
        <v>43760</v>
      </c>
      <c r="B2381" s="240" t="str">
        <f>TiposLancamentos!B13</f>
        <v>Moradia</v>
      </c>
      <c r="C2381" s="878" t="s">
        <v>19932</v>
      </c>
      <c r="D2381" s="63"/>
      <c r="E2381" s="231">
        <v>398.4</v>
      </c>
      <c r="F2381" s="899">
        <v>3984</v>
      </c>
      <c r="G2381" s="1152" t="s">
        <v>9</v>
      </c>
    </row>
    <row r="2382" spans="1:7">
      <c r="A2382" s="1272">
        <v>43762</v>
      </c>
      <c r="B2382" s="1645" t="str">
        <f>TiposLancamentos!B13</f>
        <v>Moradia</v>
      </c>
      <c r="C2382" s="280" t="s">
        <v>19933</v>
      </c>
      <c r="D2382" s="281"/>
      <c r="E2382" s="1293">
        <v>347.71</v>
      </c>
      <c r="F2382" s="1271">
        <f>E2382*6</f>
        <v>2086.2599999999998</v>
      </c>
      <c r="G2382" s="1152" t="s">
        <v>9</v>
      </c>
    </row>
    <row r="2383" spans="1:7" ht="14.25" thickBot="1">
      <c r="A2383" s="1272">
        <v>43764</v>
      </c>
      <c r="B2383" s="1645" t="str">
        <f>TiposLancamentos!B16</f>
        <v>Cristiane</v>
      </c>
      <c r="C2383" s="280" t="s">
        <v>19934</v>
      </c>
      <c r="D2383" s="281"/>
      <c r="E2383" s="1293">
        <v>130</v>
      </c>
      <c r="F2383" s="1271">
        <v>260</v>
      </c>
      <c r="G2383" s="1152" t="s">
        <v>9</v>
      </c>
    </row>
    <row r="2384" spans="1:7">
      <c r="A2384" s="1032"/>
      <c r="B2384" s="1230"/>
      <c r="C2384" s="906" t="s">
        <v>11216</v>
      </c>
      <c r="D2384" s="896"/>
      <c r="E2384" s="925"/>
      <c r="F2384" s="898">
        <f>SUM(E2343:E2378)-D2366</f>
        <v>3750.9433333333332</v>
      </c>
      <c r="G2384" s="3">
        <f>100-((F2384/F2360)*100)</f>
        <v>44.642086719360698</v>
      </c>
    </row>
    <row r="2385" spans="1:7">
      <c r="A2385" s="884">
        <v>43770</v>
      </c>
      <c r="B2385" s="240" t="str">
        <f>TiposLancamentos!B15</f>
        <v>Cartões de Crédito</v>
      </c>
      <c r="C2385" s="878" t="s">
        <v>10915</v>
      </c>
      <c r="D2385" s="63">
        <v>3750.94</v>
      </c>
      <c r="E2385" s="231"/>
      <c r="F2385" s="899">
        <f>F2384-F2360</f>
        <v>-3024.8599999999983</v>
      </c>
      <c r="G2385" s="1152" t="s">
        <v>9</v>
      </c>
    </row>
    <row r="2386" spans="1:7">
      <c r="A2386" s="884">
        <v>43772</v>
      </c>
      <c r="B2386" s="240" t="str">
        <f>TiposLancamentos!B31</f>
        <v>Action Figures</v>
      </c>
      <c r="C2386" s="878" t="s">
        <v>19935</v>
      </c>
      <c r="D2386" s="63"/>
      <c r="E2386" s="231">
        <v>127.97</v>
      </c>
      <c r="F2386" s="899">
        <v>767.87</v>
      </c>
      <c r="G2386" s="1152" t="s">
        <v>9</v>
      </c>
    </row>
    <row r="2387" spans="1:7">
      <c r="A2387" s="1272">
        <v>43775</v>
      </c>
      <c r="B2387" s="1645" t="str">
        <f>TiposLancamentos!B34</f>
        <v>Seguros</v>
      </c>
      <c r="C2387" s="280" t="s">
        <v>19936</v>
      </c>
      <c r="D2387" s="281"/>
      <c r="E2387" s="1293">
        <v>278.67</v>
      </c>
      <c r="F2387" s="1271">
        <f>E2387*6</f>
        <v>1672.02</v>
      </c>
      <c r="G2387" s="1152" t="s">
        <v>9</v>
      </c>
    </row>
    <row r="2388" spans="1:7">
      <c r="A2388" s="884">
        <v>43776</v>
      </c>
      <c r="B2388" s="240" t="str">
        <f>TiposLancamentos!B71</f>
        <v>Itens Pessoais</v>
      </c>
      <c r="C2388" s="878" t="s">
        <v>19937</v>
      </c>
      <c r="D2388" s="63"/>
      <c r="E2388" s="231">
        <v>93.46</v>
      </c>
      <c r="F2388" s="899">
        <v>560.79999999999995</v>
      </c>
      <c r="G2388" s="1152" t="s">
        <v>9</v>
      </c>
    </row>
    <row r="2389" spans="1:7">
      <c r="A2389" s="884">
        <v>43780</v>
      </c>
      <c r="B2389" s="240" t="str">
        <f>TiposLancamentos!B16</f>
        <v>Cristiane</v>
      </c>
      <c r="C2389" s="878" t="s">
        <v>19938</v>
      </c>
      <c r="D2389" s="63"/>
      <c r="E2389" s="231">
        <v>24.53</v>
      </c>
      <c r="F2389" s="899" t="s">
        <v>19939</v>
      </c>
      <c r="G2389" s="1152" t="s">
        <v>9</v>
      </c>
    </row>
    <row r="2390" spans="1:7">
      <c r="A2390" s="884">
        <v>43780</v>
      </c>
      <c r="B2390" s="240" t="str">
        <f>TiposLancamentos!B4</f>
        <v>Taxas Bancarias</v>
      </c>
      <c r="C2390" s="878" t="s">
        <v>19940</v>
      </c>
      <c r="D2390" s="63"/>
      <c r="E2390" s="231">
        <v>1.47</v>
      </c>
      <c r="F2390" s="899"/>
      <c r="G2390" s="1152" t="s">
        <v>9</v>
      </c>
    </row>
    <row r="2391" spans="1:7">
      <c r="A2391" s="934"/>
      <c r="B2391" s="243"/>
      <c r="C2391" s="389" t="s">
        <v>10</v>
      </c>
      <c r="D2391" s="146"/>
      <c r="E2391" s="1190"/>
      <c r="F2391" s="935"/>
      <c r="G2391" s="1094" t="s">
        <v>11</v>
      </c>
    </row>
    <row r="2392" spans="1:7">
      <c r="A2392" s="884">
        <v>43790</v>
      </c>
      <c r="B2392" s="240" t="str">
        <f>TiposLancamentos!B54</f>
        <v>Metro</v>
      </c>
      <c r="C2392" s="878" t="s">
        <v>11221</v>
      </c>
      <c r="D2392" s="63"/>
      <c r="E2392" s="231">
        <v>50</v>
      </c>
      <c r="F2392" s="899"/>
      <c r="G2392" s="1152" t="s">
        <v>9</v>
      </c>
    </row>
    <row r="2393" spans="1:7">
      <c r="A2393" s="884">
        <v>43791</v>
      </c>
      <c r="B2393" s="240" t="str">
        <f>TiposLancamentos!B13</f>
        <v>Moradia</v>
      </c>
      <c r="C2393" s="878" t="s">
        <v>19941</v>
      </c>
      <c r="D2393" s="63"/>
      <c r="E2393" s="231">
        <v>398.4</v>
      </c>
      <c r="F2393" s="899">
        <v>3984</v>
      </c>
      <c r="G2393" s="1152" t="s">
        <v>9</v>
      </c>
    </row>
    <row r="2394" spans="1:7">
      <c r="A2394" s="1272">
        <v>43793</v>
      </c>
      <c r="B2394" s="1645" t="str">
        <f>TiposLancamentos!B34</f>
        <v>Seguros</v>
      </c>
      <c r="C2394" s="280" t="s">
        <v>19942</v>
      </c>
      <c r="D2394" s="281"/>
      <c r="E2394" s="1293">
        <v>347.71</v>
      </c>
      <c r="F2394" s="1271">
        <f>E2394*6</f>
        <v>2086.2599999999998</v>
      </c>
      <c r="G2394" s="1152" t="s">
        <v>9</v>
      </c>
    </row>
    <row r="2395" spans="1:7" ht="14.25" thickBot="1">
      <c r="A2395" s="1272">
        <v>43795</v>
      </c>
      <c r="B2395" s="1645" t="str">
        <f>TiposLancamentos!B16</f>
        <v>Cristiane</v>
      </c>
      <c r="C2395" s="280" t="s">
        <v>19943</v>
      </c>
      <c r="D2395" s="281"/>
      <c r="E2395" s="1293">
        <v>5.9</v>
      </c>
      <c r="F2395" s="1271"/>
      <c r="G2395" s="1152" t="s">
        <v>9</v>
      </c>
    </row>
    <row r="2396" spans="1:7">
      <c r="A2396" s="1032"/>
      <c r="B2396" s="1230"/>
      <c r="C2396" s="906" t="s">
        <v>11218</v>
      </c>
      <c r="D2396" s="896"/>
      <c r="E2396" s="925"/>
      <c r="F2396" s="898">
        <f>SUM(E2379:E2390)</f>
        <v>1478.01</v>
      </c>
      <c r="G2396" s="3">
        <f>100-((F2396/F2384)*100)</f>
        <v>60.596312216571299</v>
      </c>
    </row>
    <row r="2397" spans="1:7">
      <c r="A2397" s="884">
        <v>43800</v>
      </c>
      <c r="B2397" s="240" t="str">
        <f>TiposLancamentos!B15</f>
        <v>Cartões de Crédito</v>
      </c>
      <c r="C2397" s="878" t="s">
        <v>10915</v>
      </c>
      <c r="D2397" s="63">
        <v>1478.01</v>
      </c>
      <c r="E2397" s="231"/>
      <c r="F2397" s="899">
        <f>F2396-F2384</f>
        <v>-2272.9333333333334</v>
      </c>
      <c r="G2397" s="1152" t="s">
        <v>9</v>
      </c>
    </row>
    <row r="2398" spans="1:7">
      <c r="A2398" s="884">
        <v>43801</v>
      </c>
      <c r="B2398" s="240" t="str">
        <f>TiposLancamentos!B4</f>
        <v>Taxas Bancarias</v>
      </c>
      <c r="C2398" s="878" t="s">
        <v>19944</v>
      </c>
      <c r="D2398" s="63"/>
      <c r="E2398" s="231">
        <v>0.09</v>
      </c>
      <c r="F2398" s="899"/>
      <c r="G2398" s="1152"/>
    </row>
    <row r="2399" spans="1:7">
      <c r="A2399" s="884">
        <v>43802</v>
      </c>
      <c r="B2399" s="240" t="str">
        <f>TiposLancamentos!B31</f>
        <v>Action Figures</v>
      </c>
      <c r="C2399" s="878" t="s">
        <v>19945</v>
      </c>
      <c r="D2399" s="63"/>
      <c r="E2399" s="231">
        <v>127.97</v>
      </c>
      <c r="F2399" s="899">
        <v>767.87</v>
      </c>
      <c r="G2399" s="1152" t="s">
        <v>9</v>
      </c>
    </row>
    <row r="2400" spans="1:7">
      <c r="A2400" s="1272">
        <v>43803</v>
      </c>
      <c r="B2400" s="1645" t="str">
        <f>TiposLancamentos!B34</f>
        <v>Seguros</v>
      </c>
      <c r="C2400" s="280" t="s">
        <v>19946</v>
      </c>
      <c r="D2400" s="281"/>
      <c r="E2400" s="1293">
        <v>278.67</v>
      </c>
      <c r="F2400" s="1271">
        <f>E2400*6</f>
        <v>1672.02</v>
      </c>
      <c r="G2400" s="1152" t="s">
        <v>9</v>
      </c>
    </row>
    <row r="2401" spans="1:7">
      <c r="A2401" s="1272">
        <v>43803</v>
      </c>
      <c r="B2401" s="1645" t="str">
        <f>TiposLancamentos!B19</f>
        <v>Restaurantes</v>
      </c>
      <c r="C2401" s="280" t="s">
        <v>7928</v>
      </c>
      <c r="D2401" s="281"/>
      <c r="E2401" s="1293">
        <v>51</v>
      </c>
      <c r="F2401" s="1271"/>
      <c r="G2401" s="1152" t="s">
        <v>9</v>
      </c>
    </row>
    <row r="2402" spans="1:7">
      <c r="A2402" s="1272">
        <v>43810</v>
      </c>
      <c r="B2402" s="1645" t="str">
        <f>TiposLancamentos!B16</f>
        <v>Cristiane</v>
      </c>
      <c r="C2402" s="280" t="s">
        <v>19943</v>
      </c>
      <c r="D2402" s="281"/>
      <c r="E2402" s="1293">
        <v>15.7</v>
      </c>
      <c r="F2402" s="1271"/>
      <c r="G2402" s="1152" t="s">
        <v>9</v>
      </c>
    </row>
    <row r="2403" spans="1:7">
      <c r="A2403" s="1272">
        <v>43813</v>
      </c>
      <c r="B2403" s="1645" t="str">
        <f>TiposLancamentos!B16</f>
        <v>Cristiane</v>
      </c>
      <c r="C2403" s="280" t="s">
        <v>19947</v>
      </c>
      <c r="D2403" s="281"/>
      <c r="E2403" s="1293">
        <v>77.63</v>
      </c>
      <c r="F2403" s="1271"/>
      <c r="G2403" s="1152" t="s">
        <v>9</v>
      </c>
    </row>
    <row r="2404" spans="1:7">
      <c r="A2404" s="1272">
        <v>43813</v>
      </c>
      <c r="B2404" s="1645" t="str">
        <f>TiposLancamentos!B19</f>
        <v>Restaurantes</v>
      </c>
      <c r="C2404" s="280" t="s">
        <v>19948</v>
      </c>
      <c r="D2404" s="281"/>
      <c r="E2404" s="1293">
        <v>69.7</v>
      </c>
      <c r="F2404" s="1271"/>
      <c r="G2404" s="1152" t="s">
        <v>9</v>
      </c>
    </row>
    <row r="2405" spans="1:7">
      <c r="A2405" s="934"/>
      <c r="B2405" s="243"/>
      <c r="C2405" s="389" t="s">
        <v>10</v>
      </c>
      <c r="D2405" s="146"/>
      <c r="E2405" s="1190"/>
      <c r="F2405" s="935"/>
      <c r="G2405" s="1094" t="s">
        <v>11</v>
      </c>
    </row>
    <row r="2406" spans="1:7">
      <c r="A2406" s="1272">
        <v>43816</v>
      </c>
      <c r="B2406" s="1645" t="str">
        <f>TiposLancamentos!B16</f>
        <v>Cristiane</v>
      </c>
      <c r="C2406" s="280" t="s">
        <v>19943</v>
      </c>
      <c r="D2406" s="281"/>
      <c r="E2406" s="1293">
        <v>19.13</v>
      </c>
      <c r="F2406" s="1271"/>
      <c r="G2406" s="1152" t="s">
        <v>9</v>
      </c>
    </row>
    <row r="2407" spans="1:7">
      <c r="A2407" s="884">
        <v>43819</v>
      </c>
      <c r="B2407" s="240" t="str">
        <f>TiposLancamentos!B73</f>
        <v>Cursos</v>
      </c>
      <c r="C2407" s="878" t="s">
        <v>19949</v>
      </c>
      <c r="D2407" s="63"/>
      <c r="E2407" s="231">
        <v>19.989999999999998</v>
      </c>
      <c r="F2407" s="899"/>
      <c r="G2407" s="1152" t="s">
        <v>9</v>
      </c>
    </row>
    <row r="2408" spans="1:7">
      <c r="A2408" s="1272">
        <v>43822</v>
      </c>
      <c r="B2408" s="1645" t="str">
        <f>TiposLancamentos!B19</f>
        <v>Restaurantes</v>
      </c>
      <c r="C2408" s="280" t="s">
        <v>15314</v>
      </c>
      <c r="D2408" s="281"/>
      <c r="E2408" s="1293">
        <v>51</v>
      </c>
      <c r="F2408" s="1271"/>
      <c r="G2408" s="1152" t="s">
        <v>9</v>
      </c>
    </row>
    <row r="2409" spans="1:7" ht="14.25" thickBot="1">
      <c r="A2409" s="1272">
        <v>43823</v>
      </c>
      <c r="B2409" s="1645" t="str">
        <f>TiposLancamentos!B34</f>
        <v>Seguros</v>
      </c>
      <c r="C2409" s="280" t="s">
        <v>19950</v>
      </c>
      <c r="D2409" s="281"/>
      <c r="E2409" s="1293">
        <v>347.71</v>
      </c>
      <c r="F2409" s="1271">
        <f>E2409*6</f>
        <v>2086.2599999999998</v>
      </c>
      <c r="G2409" s="1152" t="s">
        <v>9</v>
      </c>
    </row>
    <row r="2410" spans="1:7">
      <c r="A2410" s="1032"/>
      <c r="B2410" s="1230"/>
      <c r="C2410" s="906" t="s">
        <v>11225</v>
      </c>
      <c r="D2410" s="896"/>
      <c r="E2410" s="925"/>
      <c r="F2410" s="898">
        <f>SUM(E2392:E2404)</f>
        <v>1422.7700000000002</v>
      </c>
      <c r="G2410" s="3">
        <f>100-((F2410/F2396)*100)</f>
        <v>3.7374577979851153</v>
      </c>
    </row>
    <row r="2411" spans="1:7">
      <c r="A2411" s="884">
        <v>43832</v>
      </c>
      <c r="B2411" s="240" t="str">
        <f>TiposLancamentos!B15</f>
        <v>Cartões de Crédito</v>
      </c>
      <c r="C2411" s="878" t="s">
        <v>10915</v>
      </c>
      <c r="D2411" s="63">
        <v>1422.77</v>
      </c>
      <c r="E2411" s="231"/>
      <c r="F2411" s="899">
        <f>F2410-F2396</f>
        <v>-55.239999999999782</v>
      </c>
      <c r="G2411" s="3"/>
    </row>
    <row r="2412" spans="1:7">
      <c r="A2412" s="884">
        <v>43833</v>
      </c>
      <c r="B2412" s="240" t="str">
        <f>TiposLancamentos!B31</f>
        <v>Action Figures</v>
      </c>
      <c r="C2412" s="878" t="s">
        <v>19951</v>
      </c>
      <c r="D2412" s="63"/>
      <c r="E2412" s="231">
        <v>127.97</v>
      </c>
      <c r="F2412" s="899">
        <v>767.87</v>
      </c>
      <c r="G2412" s="1152" t="s">
        <v>9</v>
      </c>
    </row>
    <row r="2413" spans="1:7">
      <c r="A2413" s="1272">
        <v>43837</v>
      </c>
      <c r="B2413" s="1645" t="str">
        <f>TiposLancamentos!B34</f>
        <v>Seguros</v>
      </c>
      <c r="C2413" s="280" t="s">
        <v>19952</v>
      </c>
      <c r="D2413" s="281"/>
      <c r="E2413" s="1293">
        <v>279.22000000000003</v>
      </c>
      <c r="F2413" s="1271">
        <f>E2413*6</f>
        <v>1675.3200000000002</v>
      </c>
      <c r="G2413" s="3"/>
    </row>
    <row r="2414" spans="1:7">
      <c r="A2414" s="884">
        <v>43840</v>
      </c>
      <c r="B2414" s="240"/>
      <c r="C2414" s="878" t="s">
        <v>19953</v>
      </c>
      <c r="D2414" s="63"/>
      <c r="E2414" s="231"/>
      <c r="F2414" s="899"/>
      <c r="G2414" s="3"/>
    </row>
    <row r="2415" spans="1:7">
      <c r="A2415" s="934"/>
      <c r="B2415" s="243"/>
      <c r="C2415" s="389" t="s">
        <v>10</v>
      </c>
      <c r="D2415" s="146"/>
      <c r="E2415" s="1190"/>
      <c r="F2415" s="935"/>
      <c r="G2415" s="1094" t="s">
        <v>11</v>
      </c>
    </row>
    <row r="2416" spans="1:7" ht="14.25" thickBot="1">
      <c r="A2416" s="1272">
        <v>43854</v>
      </c>
      <c r="B2416" s="1645" t="str">
        <f>TiposLancamentos!B34</f>
        <v>Seguros</v>
      </c>
      <c r="C2416" s="280" t="s">
        <v>19954</v>
      </c>
      <c r="D2416" s="281"/>
      <c r="E2416" s="1293">
        <v>347.71</v>
      </c>
      <c r="F2416" s="1271">
        <f>E2416*6</f>
        <v>2086.2599999999998</v>
      </c>
      <c r="G2416" s="3"/>
    </row>
    <row r="2417" spans="1:7">
      <c r="A2417" s="1032"/>
      <c r="B2417" s="1230"/>
      <c r="C2417" s="906" t="s">
        <v>11236</v>
      </c>
      <c r="D2417" s="896"/>
      <c r="E2417" s="925"/>
      <c r="F2417" s="898">
        <f>SUM(E2406:E2414)</f>
        <v>845.02</v>
      </c>
      <c r="G2417" s="3">
        <f>((F2417/F2410)*100)</f>
        <v>59.392593321478515</v>
      </c>
    </row>
    <row r="2418" spans="1:7">
      <c r="A2418" s="884">
        <v>43864</v>
      </c>
      <c r="B2418" s="240" t="str">
        <f>TiposLancamentos!B15</f>
        <v>Cartões de Crédito</v>
      </c>
      <c r="C2418" s="878" t="s">
        <v>1874</v>
      </c>
      <c r="D2418" s="63">
        <v>845.02</v>
      </c>
      <c r="E2418" s="231"/>
      <c r="F2418" s="899"/>
      <c r="G2418" s="3"/>
    </row>
    <row r="2419" spans="1:7">
      <c r="A2419" s="884">
        <v>43863</v>
      </c>
      <c r="B2419" s="240" t="str">
        <f>TiposLancamentos!B31</f>
        <v>Action Figures</v>
      </c>
      <c r="C2419" s="878" t="s">
        <v>19955</v>
      </c>
      <c r="D2419" s="63"/>
      <c r="E2419" s="231">
        <v>127.97</v>
      </c>
      <c r="F2419" s="899">
        <v>767.87</v>
      </c>
      <c r="G2419" s="3"/>
    </row>
    <row r="2420" spans="1:7">
      <c r="A2420" s="934"/>
      <c r="B2420" s="243"/>
      <c r="C2420" s="389" t="s">
        <v>10</v>
      </c>
      <c r="D2420" s="146"/>
      <c r="E2420" s="1190"/>
      <c r="F2420" s="935"/>
      <c r="G2420" s="1094" t="s">
        <v>11</v>
      </c>
    </row>
    <row r="2421" spans="1:7" ht="14.25" thickBot="1">
      <c r="A2421" s="1272">
        <v>43885</v>
      </c>
      <c r="B2421" s="1645" t="str">
        <f>TiposLancamentos!B34</f>
        <v>Seguros</v>
      </c>
      <c r="C2421" s="280" t="s">
        <v>19956</v>
      </c>
      <c r="D2421" s="281"/>
      <c r="E2421" s="1293">
        <v>347.71</v>
      </c>
      <c r="F2421" s="1271">
        <f>E2421*6</f>
        <v>2086.2599999999998</v>
      </c>
      <c r="G2421" s="3"/>
    </row>
    <row r="2422" spans="1:7">
      <c r="A2422" s="1032"/>
      <c r="B2422" s="1230"/>
      <c r="C2422" s="906" t="s">
        <v>11246</v>
      </c>
      <c r="D2422" s="896"/>
      <c r="E2422" s="925"/>
      <c r="F2422" s="898">
        <f>SUM(E2416:E2419)</f>
        <v>475.67999999999995</v>
      </c>
      <c r="G2422" s="3">
        <f>((F2422/F2417)*100)</f>
        <v>56.292158765472998</v>
      </c>
    </row>
    <row r="2423" spans="1:7">
      <c r="A2423" s="884">
        <v>43892</v>
      </c>
      <c r="B2423" s="240" t="str">
        <f>TiposLancamentos!B15</f>
        <v>Cartões de Crédito</v>
      </c>
      <c r="C2423" s="878" t="s">
        <v>11212</v>
      </c>
      <c r="D2423" s="63">
        <v>475.68</v>
      </c>
      <c r="E2423" s="231"/>
      <c r="F2423" s="899">
        <f>F2422-F2417</f>
        <v>-369.34000000000003</v>
      </c>
      <c r="G2423" s="3"/>
    </row>
    <row r="2424" spans="1:7">
      <c r="A2424" s="934"/>
      <c r="B2424" s="243"/>
      <c r="C2424" s="389" t="s">
        <v>10</v>
      </c>
      <c r="D2424" s="146"/>
      <c r="E2424" s="1190"/>
      <c r="F2424" s="935"/>
      <c r="G2424" s="1094" t="s">
        <v>11</v>
      </c>
    </row>
    <row r="2425" spans="1:7" ht="14.25" thickBot="1">
      <c r="A2425" s="884"/>
      <c r="B2425" s="240"/>
      <c r="C2425" s="878"/>
      <c r="D2425" s="63"/>
      <c r="E2425" s="231"/>
      <c r="F2425" s="899"/>
      <c r="G2425" s="3"/>
    </row>
    <row r="2426" spans="1:7">
      <c r="A2426" s="1032"/>
      <c r="B2426" s="1230"/>
      <c r="C2426" s="906" t="s">
        <v>11252</v>
      </c>
      <c r="D2426" s="896"/>
      <c r="E2426" s="925"/>
      <c r="F2426" s="898">
        <f>SUM(E2421:E2423)</f>
        <v>347.71</v>
      </c>
      <c r="G2426" s="3">
        <f>((F2426/F2422)*100)</f>
        <v>73.097460477632026</v>
      </c>
    </row>
    <row r="2427" spans="1:7">
      <c r="A2427" s="884">
        <v>43922</v>
      </c>
      <c r="B2427" s="240" t="str">
        <f>TiposLancamentos!B15</f>
        <v>Cartões de Crédito</v>
      </c>
      <c r="C2427" s="878" t="s">
        <v>11212</v>
      </c>
      <c r="D2427" s="63">
        <v>347.71</v>
      </c>
      <c r="E2427" s="231"/>
      <c r="F2427" s="899">
        <f>F2426-F2422</f>
        <v>-127.96999999999997</v>
      </c>
      <c r="G2427" s="3"/>
    </row>
    <row r="2428" spans="1:7">
      <c r="A2428" s="884">
        <v>43922</v>
      </c>
      <c r="B2428" s="240" t="str">
        <f>TiposLancamentos!B78</f>
        <v>Diferenças</v>
      </c>
      <c r="C2428" s="878" t="s">
        <v>19957</v>
      </c>
      <c r="D2428" s="63">
        <v>457.9</v>
      </c>
      <c r="E2428" s="231"/>
      <c r="F2428" s="899"/>
      <c r="G2428" s="3"/>
    </row>
    <row r="2429" spans="1:7">
      <c r="A2429" s="1307"/>
      <c r="B2429" s="1124"/>
      <c r="C2429" s="1179"/>
      <c r="D2429" s="764"/>
      <c r="E2429" s="765"/>
      <c r="F2429" s="1308"/>
      <c r="G2429" s="3"/>
    </row>
    <row r="2430" spans="1:7" ht="14.25" thickBot="1">
      <c r="A2430" s="885"/>
      <c r="B2430" s="1232"/>
      <c r="C2430" s="902"/>
      <c r="D2430" s="903"/>
      <c r="E2430" s="928"/>
      <c r="F2430" s="905"/>
      <c r="G2430" s="1094" t="s">
        <v>11</v>
      </c>
    </row>
    <row r="2431" spans="1:7">
      <c r="A2431" s="46"/>
      <c r="B2431" s="116"/>
      <c r="C2431" s="117" t="s">
        <v>12</v>
      </c>
      <c r="D2431" s="185">
        <f>SUM(D2:D2430)</f>
        <v>238340.20399999985</v>
      </c>
      <c r="E2431" s="609">
        <f>SUM(E2:E2430)</f>
        <v>238340.19919799943</v>
      </c>
      <c r="F2431" s="224"/>
      <c r="G2431" s="3"/>
    </row>
    <row r="2432" spans="1:7">
      <c r="A2432" s="119"/>
      <c r="B2432" s="120"/>
      <c r="C2432" s="24" t="s">
        <v>13</v>
      </c>
      <c r="D2432" s="177"/>
      <c r="E2432" s="302">
        <f>D2431-E2431</f>
        <v>4.8020004178397357E-3</v>
      </c>
      <c r="F2432" s="177"/>
      <c r="G2432" s="3"/>
    </row>
    <row r="2433" spans="1:7">
      <c r="A2433" s="884"/>
      <c r="B2433" s="240"/>
      <c r="C2433" s="878"/>
      <c r="D2433" s="63"/>
      <c r="E2433" s="231"/>
      <c r="F2433" s="899"/>
      <c r="G2433" s="3"/>
    </row>
    <row r="2434" spans="1:7">
      <c r="A2434" s="3"/>
      <c r="B2434" s="3"/>
      <c r="C2434" s="23"/>
      <c r="D2434" s="25" t="s">
        <v>14</v>
      </c>
      <c r="E2434" s="303" t="s">
        <v>15</v>
      </c>
      <c r="F2434" s="25" t="s">
        <v>16</v>
      </c>
      <c r="G2434" s="3"/>
    </row>
    <row r="2435" spans="1:7">
      <c r="A2435" s="884"/>
      <c r="B2435" s="240" t="s">
        <v>17</v>
      </c>
      <c r="C2435" s="878"/>
      <c r="D2435" s="63">
        <v>16500</v>
      </c>
      <c r="E2435" s="231">
        <f>E2432</f>
        <v>4.8020004178397357E-3</v>
      </c>
      <c r="F2435" s="899">
        <f>D2435+E2435</f>
        <v>16500.004802000418</v>
      </c>
      <c r="G2435" s="3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9AC8-A995-4F3C-A358-78771C274D74}">
  <sheetPr codeName="Planilha22"/>
  <dimension ref="A1:G25"/>
  <sheetViews>
    <sheetView zoomScaleNormal="100" workbookViewId="0"/>
  </sheetViews>
  <sheetFormatPr defaultColWidth="9" defaultRowHeight="13.5"/>
  <cols>
    <col min="1" max="1" width="13.7109375" style="3" bestFit="1" customWidth="1"/>
    <col min="2" max="2" width="21.42578125" style="3" customWidth="1"/>
    <col min="3" max="3" width="48.42578125" style="3" customWidth="1"/>
    <col min="4" max="4" width="16" style="3" customWidth="1"/>
    <col min="5" max="5" width="17" style="221" customWidth="1"/>
    <col min="6" max="6" width="16" style="3" bestFit="1" customWidth="1"/>
    <col min="7" max="7" width="9" style="3" bestFit="1" customWidth="1"/>
    <col min="8" max="16384" width="9" style="3"/>
  </cols>
  <sheetData>
    <row r="1" spans="1:7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6</v>
      </c>
    </row>
    <row r="2" spans="1:7">
      <c r="A2" s="767"/>
      <c r="B2" s="1121"/>
      <c r="C2" s="802" t="s">
        <v>19958</v>
      </c>
      <c r="D2" s="754"/>
      <c r="E2" s="755"/>
      <c r="F2" s="1191"/>
    </row>
    <row r="3" spans="1:7">
      <c r="A3" s="769">
        <v>42480</v>
      </c>
      <c r="B3" s="240" t="str">
        <f>TiposLancamentos!B4</f>
        <v>Taxas Bancarias</v>
      </c>
      <c r="C3" s="878" t="s">
        <v>19959</v>
      </c>
      <c r="D3" s="63"/>
      <c r="E3" s="231">
        <v>24</v>
      </c>
      <c r="F3" s="1193"/>
      <c r="G3" s="1152" t="s">
        <v>9</v>
      </c>
    </row>
    <row r="4" spans="1:7">
      <c r="A4" s="769">
        <v>42493</v>
      </c>
      <c r="B4" s="240" t="str">
        <f>TiposLancamentos!B15</f>
        <v>Cartões de Crédito</v>
      </c>
      <c r="C4" s="878" t="s">
        <v>15658</v>
      </c>
      <c r="D4" s="63">
        <v>24</v>
      </c>
      <c r="E4" s="231"/>
      <c r="F4" s="1193"/>
      <c r="G4" s="1152" t="s">
        <v>9</v>
      </c>
    </row>
    <row r="5" spans="1:7">
      <c r="A5" s="759"/>
      <c r="B5" s="243"/>
      <c r="C5" s="389" t="s">
        <v>10</v>
      </c>
      <c r="D5" s="146"/>
      <c r="E5" s="1190"/>
      <c r="F5" s="760"/>
      <c r="G5" s="1094" t="s">
        <v>11</v>
      </c>
    </row>
    <row r="6" spans="1:7">
      <c r="A6" s="769"/>
      <c r="B6" s="240"/>
      <c r="C6" s="878"/>
      <c r="D6" s="63"/>
      <c r="E6" s="231"/>
      <c r="F6" s="1193"/>
    </row>
    <row r="7" spans="1:7">
      <c r="A7" s="769"/>
      <c r="B7" s="240"/>
      <c r="C7" s="878"/>
      <c r="D7" s="63"/>
      <c r="E7" s="231"/>
      <c r="F7" s="1193"/>
    </row>
    <row r="8" spans="1:7">
      <c r="A8" s="769"/>
      <c r="B8" s="240"/>
      <c r="C8" s="878"/>
      <c r="D8" s="63"/>
      <c r="E8" s="231"/>
      <c r="F8" s="1193"/>
    </row>
    <row r="9" spans="1:7">
      <c r="A9" s="769"/>
      <c r="B9" s="240"/>
      <c r="C9" s="878"/>
      <c r="D9" s="63"/>
      <c r="E9" s="231"/>
      <c r="F9" s="1193"/>
    </row>
    <row r="10" spans="1:7">
      <c r="A10" s="769"/>
      <c r="B10" s="240"/>
      <c r="C10" s="878"/>
      <c r="D10" s="63"/>
      <c r="E10" s="231"/>
      <c r="F10" s="1193"/>
    </row>
    <row r="11" spans="1:7">
      <c r="A11" s="769"/>
      <c r="B11" s="240"/>
      <c r="C11" s="878"/>
      <c r="D11" s="63"/>
      <c r="E11" s="231"/>
      <c r="F11" s="1193"/>
    </row>
    <row r="12" spans="1:7">
      <c r="A12" s="770"/>
      <c r="B12" s="1124"/>
      <c r="C12" s="1179"/>
      <c r="D12" s="764"/>
      <c r="E12" s="765"/>
      <c r="F12" s="1194"/>
    </row>
    <row r="13" spans="1:7">
      <c r="A13" s="769"/>
      <c r="B13" s="240"/>
      <c r="C13" s="878"/>
      <c r="D13" s="63"/>
      <c r="E13" s="231"/>
      <c r="F13" s="1193"/>
    </row>
    <row r="14" spans="1:7">
      <c r="A14" s="769"/>
      <c r="B14" s="240"/>
      <c r="C14" s="878"/>
      <c r="D14" s="63"/>
      <c r="E14" s="231"/>
      <c r="F14" s="1193"/>
    </row>
    <row r="15" spans="1:7">
      <c r="A15" s="769"/>
      <c r="B15" s="240"/>
      <c r="C15" s="878"/>
      <c r="D15" s="63"/>
      <c r="E15" s="231"/>
      <c r="F15" s="1193"/>
    </row>
    <row r="16" spans="1:7">
      <c r="A16" s="769"/>
      <c r="B16" s="240"/>
      <c r="C16" s="878"/>
      <c r="D16" s="63"/>
      <c r="E16" s="231"/>
      <c r="F16" s="1193"/>
    </row>
    <row r="17" spans="1:7">
      <c r="A17" s="769"/>
      <c r="B17" s="240"/>
      <c r="C17" s="878"/>
      <c r="D17" s="63"/>
      <c r="E17" s="231"/>
      <c r="F17" s="1193"/>
    </row>
    <row r="18" spans="1:7">
      <c r="A18" s="769"/>
      <c r="B18" s="240"/>
      <c r="C18" s="878"/>
      <c r="D18" s="63"/>
      <c r="E18" s="231"/>
      <c r="F18" s="1193"/>
    </row>
    <row r="19" spans="1:7">
      <c r="A19" s="770"/>
      <c r="B19" s="1124"/>
      <c r="C19" s="1179"/>
      <c r="D19" s="764"/>
      <c r="E19" s="765"/>
      <c r="F19" s="1194"/>
    </row>
    <row r="20" spans="1:7">
      <c r="A20" s="770"/>
      <c r="B20" s="1124"/>
      <c r="C20" s="763"/>
      <c r="D20" s="764"/>
      <c r="E20" s="765"/>
      <c r="F20" s="1192"/>
      <c r="G20" s="1094" t="s">
        <v>11</v>
      </c>
    </row>
    <row r="21" spans="1:7">
      <c r="A21" s="46"/>
      <c r="B21" s="116"/>
      <c r="C21" s="117" t="s">
        <v>12</v>
      </c>
      <c r="D21" s="185">
        <f>SUM(D2:D20)</f>
        <v>24</v>
      </c>
      <c r="E21" s="609">
        <f>SUM(E2:E20)</f>
        <v>24</v>
      </c>
      <c r="F21" s="224"/>
    </row>
    <row r="22" spans="1:7">
      <c r="A22" s="119"/>
      <c r="B22" s="120"/>
      <c r="C22" s="24" t="s">
        <v>13</v>
      </c>
      <c r="D22" s="177"/>
      <c r="E22" s="302">
        <f>D21-E21</f>
        <v>0</v>
      </c>
      <c r="F22" s="177"/>
    </row>
    <row r="23" spans="1:7">
      <c r="A23" s="65"/>
      <c r="B23" s="65"/>
    </row>
    <row r="24" spans="1:7">
      <c r="C24" s="23"/>
      <c r="D24" s="25" t="s">
        <v>14</v>
      </c>
      <c r="E24" s="303" t="s">
        <v>15</v>
      </c>
      <c r="F24" s="25" t="s">
        <v>16</v>
      </c>
    </row>
    <row r="25" spans="1:7">
      <c r="B25" s="77" t="s">
        <v>17</v>
      </c>
      <c r="C25" s="36"/>
      <c r="D25" s="60"/>
      <c r="E25" s="34">
        <f>E22</f>
        <v>0</v>
      </c>
      <c r="F25" s="62">
        <f>D25+E25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Plan56"/>
  <dimension ref="A1:G647"/>
  <sheetViews>
    <sheetView workbookViewId="0">
      <pane xSplit="6" ySplit="1" topLeftCell="G609" activePane="bottomRight" state="frozen"/>
      <selection pane="bottomRight" activeCell="G1" sqref="G1"/>
      <selection pane="bottomLeft" activeCell="A45" sqref="A45"/>
      <selection pane="topRight" activeCell="G1" sqref="G1"/>
    </sheetView>
  </sheetViews>
  <sheetFormatPr defaultColWidth="9" defaultRowHeight="13.5"/>
  <cols>
    <col min="1" max="1" width="13.7109375" style="3" bestFit="1" customWidth="1"/>
    <col min="2" max="2" width="22.42578125" style="3" customWidth="1"/>
    <col min="3" max="3" width="48.42578125" style="3" customWidth="1"/>
    <col min="4" max="4" width="16" style="3" customWidth="1"/>
    <col min="5" max="5" width="17" style="221" customWidth="1"/>
    <col min="6" max="6" width="16" style="3" customWidth="1"/>
    <col min="7" max="7" width="9.140625" style="3" customWidth="1"/>
    <col min="8" max="8" width="9" style="3" customWidth="1"/>
    <col min="9" max="16384" width="9" style="3"/>
  </cols>
  <sheetData>
    <row r="1" spans="1:7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6</v>
      </c>
    </row>
    <row r="2" spans="1:7">
      <c r="A2" s="129"/>
      <c r="B2" s="247"/>
      <c r="C2" s="237" t="s">
        <v>3675</v>
      </c>
      <c r="D2" s="101"/>
      <c r="E2" s="248"/>
      <c r="F2" s="249"/>
    </row>
    <row r="3" spans="1:7">
      <c r="A3" s="130">
        <v>39812</v>
      </c>
      <c r="B3" s="76" t="str">
        <f>TiposLancamentos!B34</f>
        <v>Seguros</v>
      </c>
      <c r="C3" s="147" t="s">
        <v>19960</v>
      </c>
      <c r="D3" s="63"/>
      <c r="E3" s="49">
        <v>420.56</v>
      </c>
      <c r="F3" s="250"/>
    </row>
    <row r="4" spans="1:7">
      <c r="A4" s="129"/>
      <c r="B4" s="247"/>
      <c r="C4" s="256" t="s">
        <v>16506</v>
      </c>
      <c r="D4" s="101"/>
      <c r="E4" s="248"/>
      <c r="F4" s="249"/>
    </row>
    <row r="5" spans="1:7">
      <c r="A5" s="242"/>
      <c r="B5" s="226"/>
      <c r="C5" s="227" t="s">
        <v>10</v>
      </c>
      <c r="D5" s="228"/>
      <c r="E5" s="228"/>
      <c r="F5" s="251"/>
    </row>
    <row r="6" spans="1:7">
      <c r="A6" s="130">
        <v>39843</v>
      </c>
      <c r="B6" s="76" t="str">
        <f>TiposLancamentos!B34</f>
        <v>Seguros</v>
      </c>
      <c r="C6" s="147" t="s">
        <v>19961</v>
      </c>
      <c r="D6" s="63"/>
      <c r="E6" s="49">
        <v>420.56</v>
      </c>
      <c r="F6" s="250"/>
    </row>
    <row r="7" spans="1:7">
      <c r="A7" s="129"/>
      <c r="B7" s="247"/>
      <c r="C7" s="237" t="s">
        <v>19962</v>
      </c>
      <c r="D7" s="101"/>
      <c r="E7" s="248"/>
      <c r="F7" s="249">
        <f>SUM(E2:E4)</f>
        <v>420.56</v>
      </c>
    </row>
    <row r="8" spans="1:7">
      <c r="A8" s="130">
        <v>39846</v>
      </c>
      <c r="B8" s="76" t="str">
        <f>TiposLancamentos!B15</f>
        <v>Cartões de Crédito</v>
      </c>
      <c r="C8" s="147" t="s">
        <v>15114</v>
      </c>
      <c r="D8" s="63">
        <v>420.56</v>
      </c>
      <c r="E8" s="49"/>
      <c r="F8" s="250"/>
    </row>
    <row r="9" spans="1:7">
      <c r="A9" s="242"/>
      <c r="B9" s="226"/>
      <c r="C9" s="227" t="s">
        <v>10</v>
      </c>
      <c r="D9" s="228"/>
      <c r="E9" s="228"/>
      <c r="F9" s="251"/>
    </row>
    <row r="10" spans="1:7">
      <c r="A10" s="130">
        <v>39872</v>
      </c>
      <c r="B10" s="76" t="str">
        <f>TiposLancamentos!B34</f>
        <v>Seguros</v>
      </c>
      <c r="C10" s="147" t="s">
        <v>19963</v>
      </c>
      <c r="D10" s="63"/>
      <c r="E10" s="49">
        <v>420.56</v>
      </c>
      <c r="F10" s="250"/>
    </row>
    <row r="11" spans="1:7">
      <c r="A11" s="129"/>
      <c r="B11" s="247"/>
      <c r="C11" s="237" t="s">
        <v>3747</v>
      </c>
      <c r="D11" s="101"/>
      <c r="E11" s="248"/>
      <c r="F11" s="249">
        <f>SUM(E6:E8)</f>
        <v>420.56</v>
      </c>
    </row>
    <row r="12" spans="1:7">
      <c r="A12" s="130">
        <v>39874</v>
      </c>
      <c r="B12" s="76" t="str">
        <f>TiposLancamentos!B15</f>
        <v>Cartões de Crédito</v>
      </c>
      <c r="C12" s="147" t="s">
        <v>15114</v>
      </c>
      <c r="D12" s="63">
        <v>420.56</v>
      </c>
      <c r="E12" s="49"/>
      <c r="F12" s="250"/>
    </row>
    <row r="13" spans="1:7">
      <c r="A13" s="130">
        <v>39874</v>
      </c>
      <c r="B13" s="76" t="str">
        <f>TiposLancamentos!B74</f>
        <v>Noite</v>
      </c>
      <c r="C13" s="147" t="s">
        <v>19964</v>
      </c>
      <c r="D13" s="63"/>
      <c r="E13" s="49">
        <v>481</v>
      </c>
      <c r="F13" s="250"/>
    </row>
    <row r="14" spans="1:7">
      <c r="A14" s="242"/>
      <c r="B14" s="226"/>
      <c r="C14" s="227" t="s">
        <v>10</v>
      </c>
      <c r="D14" s="228"/>
      <c r="E14" s="228"/>
      <c r="F14" s="251"/>
    </row>
    <row r="15" spans="1:7">
      <c r="A15" s="130">
        <v>39902</v>
      </c>
      <c r="B15" s="76" t="str">
        <f>TiposLancamentos!B34</f>
        <v>Seguros</v>
      </c>
      <c r="C15" s="147" t="s">
        <v>19965</v>
      </c>
      <c r="D15" s="63"/>
      <c r="E15" s="49">
        <v>420.56</v>
      </c>
      <c r="F15" s="250"/>
    </row>
    <row r="16" spans="1:7">
      <c r="A16" s="129"/>
      <c r="B16" s="247"/>
      <c r="C16" s="237" t="s">
        <v>16586</v>
      </c>
      <c r="D16" s="101"/>
      <c r="E16" s="248"/>
      <c r="F16" s="249">
        <f>SUM(E10:E13)</f>
        <v>901.56</v>
      </c>
    </row>
    <row r="17" spans="1:6">
      <c r="A17" s="130">
        <v>39904</v>
      </c>
      <c r="B17" s="76" t="str">
        <f>TiposLancamentos!B15</f>
        <v>Cartões de Crédito</v>
      </c>
      <c r="C17" s="147" t="s">
        <v>15114</v>
      </c>
      <c r="D17" s="63">
        <v>901.56</v>
      </c>
      <c r="E17" s="49"/>
      <c r="F17" s="250"/>
    </row>
    <row r="18" spans="1:6">
      <c r="A18" s="379"/>
      <c r="B18" s="413"/>
      <c r="C18" s="414" t="s">
        <v>10</v>
      </c>
      <c r="D18" s="415"/>
      <c r="E18" s="415"/>
      <c r="F18" s="416"/>
    </row>
    <row r="19" spans="1:6">
      <c r="A19" s="130"/>
      <c r="B19" s="76"/>
      <c r="C19" s="147" t="s">
        <v>3782</v>
      </c>
      <c r="D19" s="63"/>
      <c r="E19" s="49"/>
      <c r="F19" s="250">
        <f>SUM(E15:E17)</f>
        <v>420.56</v>
      </c>
    </row>
    <row r="20" spans="1:6">
      <c r="A20" s="130">
        <v>39937</v>
      </c>
      <c r="B20" s="76" t="str">
        <f>TiposLancamentos!B15</f>
        <v>Cartões de Crédito</v>
      </c>
      <c r="C20" s="147" t="s">
        <v>15114</v>
      </c>
      <c r="D20" s="63">
        <v>420.55</v>
      </c>
      <c r="E20" s="49"/>
      <c r="F20" s="250"/>
    </row>
    <row r="21" spans="1:6">
      <c r="A21" s="242"/>
      <c r="B21" s="226"/>
      <c r="C21" s="227" t="s">
        <v>10</v>
      </c>
      <c r="D21" s="228"/>
      <c r="E21" s="228"/>
      <c r="F21" s="251"/>
    </row>
    <row r="22" spans="1:6">
      <c r="A22" s="129"/>
      <c r="B22" s="247"/>
      <c r="C22" s="237" t="s">
        <v>5715</v>
      </c>
      <c r="D22" s="101"/>
      <c r="E22" s="248"/>
      <c r="F22" s="249"/>
    </row>
    <row r="23" spans="1:6">
      <c r="A23" s="242"/>
      <c r="B23" s="226"/>
      <c r="C23" s="227" t="s">
        <v>10</v>
      </c>
      <c r="D23" s="228"/>
      <c r="E23" s="228"/>
      <c r="F23" s="251"/>
    </row>
    <row r="24" spans="1:6">
      <c r="A24" s="194">
        <v>40019</v>
      </c>
      <c r="B24" s="252" t="str">
        <f>TiposLancamentos!B34</f>
        <v>Seguros</v>
      </c>
      <c r="C24" s="244" t="s">
        <v>19966</v>
      </c>
      <c r="D24" s="106"/>
      <c r="E24" s="253">
        <v>109.65</v>
      </c>
      <c r="F24" s="254"/>
    </row>
    <row r="25" spans="1:6">
      <c r="A25" s="130"/>
      <c r="B25" s="76"/>
      <c r="C25" s="147" t="s">
        <v>3850</v>
      </c>
      <c r="D25" s="63"/>
      <c r="E25" s="49"/>
      <c r="F25" s="250"/>
    </row>
    <row r="26" spans="1:6">
      <c r="A26" s="242"/>
      <c r="B26" s="226"/>
      <c r="C26" s="227" t="s">
        <v>10</v>
      </c>
      <c r="D26" s="228"/>
      <c r="E26" s="228"/>
      <c r="F26" s="251"/>
    </row>
    <row r="27" spans="1:6">
      <c r="A27" s="130">
        <v>40050</v>
      </c>
      <c r="B27" s="76" t="str">
        <f>TiposLancamentos!B34</f>
        <v>Seguros</v>
      </c>
      <c r="C27" s="147" t="s">
        <v>19967</v>
      </c>
      <c r="D27" s="63"/>
      <c r="E27" s="49">
        <v>109.65</v>
      </c>
      <c r="F27" s="250"/>
    </row>
    <row r="28" spans="1:6">
      <c r="A28" s="129"/>
      <c r="B28" s="247"/>
      <c r="C28" s="237" t="s">
        <v>19968</v>
      </c>
      <c r="D28" s="101"/>
      <c r="E28" s="248"/>
      <c r="F28" s="249">
        <f>SUM(E24:E25)</f>
        <v>109.65</v>
      </c>
    </row>
    <row r="29" spans="1:6">
      <c r="A29" s="130">
        <v>40057</v>
      </c>
      <c r="B29" s="76" t="str">
        <f>TiposLancamentos!B15</f>
        <v>Cartões de Crédito</v>
      </c>
      <c r="C29" s="147" t="s">
        <v>15114</v>
      </c>
      <c r="D29" s="63">
        <v>109.42</v>
      </c>
      <c r="E29" s="49"/>
      <c r="F29" s="250"/>
    </row>
    <row r="30" spans="1:6">
      <c r="A30" s="242"/>
      <c r="B30" s="226"/>
      <c r="C30" s="227" t="s">
        <v>10</v>
      </c>
      <c r="D30" s="228"/>
      <c r="E30" s="228"/>
      <c r="F30" s="251"/>
    </row>
    <row r="31" spans="1:6">
      <c r="A31" s="130">
        <v>40081</v>
      </c>
      <c r="B31" s="76" t="str">
        <f>TiposLancamentos!B34</f>
        <v>Seguros</v>
      </c>
      <c r="C31" s="147" t="s">
        <v>19969</v>
      </c>
      <c r="D31" s="63"/>
      <c r="E31" s="49">
        <v>109.65</v>
      </c>
      <c r="F31" s="250"/>
    </row>
    <row r="32" spans="1:6">
      <c r="A32" s="129"/>
      <c r="B32" s="247"/>
      <c r="C32" s="237" t="s">
        <v>3896</v>
      </c>
      <c r="D32" s="101"/>
      <c r="E32" s="248"/>
      <c r="F32" s="249">
        <f>SUM(E27:E29)</f>
        <v>109.65</v>
      </c>
    </row>
    <row r="33" spans="1:6">
      <c r="A33" s="130">
        <v>40087</v>
      </c>
      <c r="B33" s="76" t="str">
        <f>TiposLancamentos!B15</f>
        <v>Cartões de Crédito</v>
      </c>
      <c r="C33" s="147" t="s">
        <v>15114</v>
      </c>
      <c r="D33" s="63">
        <v>109.41</v>
      </c>
      <c r="E33" s="49"/>
      <c r="F33" s="250"/>
    </row>
    <row r="34" spans="1:6">
      <c r="A34" s="242"/>
      <c r="B34" s="226"/>
      <c r="C34" s="227" t="s">
        <v>10</v>
      </c>
      <c r="D34" s="228"/>
      <c r="E34" s="228"/>
      <c r="F34" s="251"/>
    </row>
    <row r="35" spans="1:6">
      <c r="A35" s="130">
        <v>40111</v>
      </c>
      <c r="B35" s="76" t="str">
        <f>TiposLancamentos!B34</f>
        <v>Seguros</v>
      </c>
      <c r="C35" s="147" t="s">
        <v>19970</v>
      </c>
      <c r="D35" s="63"/>
      <c r="E35" s="49">
        <v>109.65</v>
      </c>
      <c r="F35" s="250"/>
    </row>
    <row r="36" spans="1:6">
      <c r="A36" s="129"/>
      <c r="B36" s="247"/>
      <c r="C36" s="237" t="s">
        <v>5768</v>
      </c>
      <c r="D36" s="101"/>
      <c r="E36" s="248"/>
      <c r="F36" s="249">
        <f>SUM(E31:E33)</f>
        <v>109.65</v>
      </c>
    </row>
    <row r="37" spans="1:6">
      <c r="A37" s="130">
        <v>40120</v>
      </c>
      <c r="B37" s="76" t="str">
        <f>TiposLancamentos!B15</f>
        <v>Cartões de Crédito</v>
      </c>
      <c r="C37" s="147" t="s">
        <v>14142</v>
      </c>
      <c r="D37" s="63">
        <v>109.41</v>
      </c>
      <c r="E37" s="49"/>
      <c r="F37" s="250"/>
    </row>
    <row r="38" spans="1:6">
      <c r="A38" s="242"/>
      <c r="B38" s="226"/>
      <c r="C38" s="227" t="s">
        <v>10</v>
      </c>
      <c r="D38" s="228"/>
      <c r="E38" s="228"/>
      <c r="F38" s="251"/>
    </row>
    <row r="39" spans="1:6">
      <c r="A39" s="130"/>
      <c r="B39" s="76"/>
      <c r="C39" s="300" t="s">
        <v>5771</v>
      </c>
      <c r="D39" s="63"/>
      <c r="E39" s="49"/>
      <c r="F39" s="250">
        <f>SUM(E35:E37)</f>
        <v>109.65</v>
      </c>
    </row>
    <row r="40" spans="1:6">
      <c r="A40" s="194">
        <v>40148</v>
      </c>
      <c r="B40" s="252" t="str">
        <f>TiposLancamentos!B15</f>
        <v>Cartões de Crédito</v>
      </c>
      <c r="C40" s="244" t="s">
        <v>14142</v>
      </c>
      <c r="D40" s="106">
        <v>109.41</v>
      </c>
      <c r="E40" s="253"/>
      <c r="F40" s="254"/>
    </row>
    <row r="41" spans="1:6">
      <c r="A41" s="130">
        <v>40165</v>
      </c>
      <c r="B41" s="76" t="str">
        <f>TiposLancamentos!B34</f>
        <v>Seguros</v>
      </c>
      <c r="C41" s="147" t="s">
        <v>19971</v>
      </c>
      <c r="D41" s="63"/>
      <c r="E41" s="49">
        <v>1996.63</v>
      </c>
      <c r="F41" s="250"/>
    </row>
    <row r="42" spans="1:6">
      <c r="A42" s="242"/>
      <c r="B42" s="226"/>
      <c r="C42" s="227" t="s">
        <v>10</v>
      </c>
      <c r="D42" s="228"/>
      <c r="E42" s="228"/>
      <c r="F42" s="251"/>
    </row>
    <row r="43" spans="1:6">
      <c r="A43" s="129"/>
      <c r="B43" s="247"/>
      <c r="C43" s="237" t="s">
        <v>19972</v>
      </c>
      <c r="D43" s="101"/>
      <c r="E43" s="248"/>
      <c r="F43" s="249"/>
    </row>
    <row r="44" spans="1:6">
      <c r="A44" s="130">
        <v>40191</v>
      </c>
      <c r="B44" s="76" t="str">
        <f>TiposLancamentos!B4</f>
        <v>Taxas Bancarias</v>
      </c>
      <c r="C44" s="147" t="s">
        <v>19973</v>
      </c>
      <c r="D44" s="63"/>
      <c r="E44" s="49">
        <v>6.67</v>
      </c>
      <c r="F44" s="250"/>
    </row>
    <row r="45" spans="1:6">
      <c r="A45" s="242"/>
      <c r="B45" s="226"/>
      <c r="C45" s="227" t="s">
        <v>10</v>
      </c>
      <c r="D45" s="228"/>
      <c r="E45" s="228"/>
      <c r="F45" s="251"/>
    </row>
    <row r="46" spans="1:6">
      <c r="A46" s="194"/>
      <c r="B46" s="252"/>
      <c r="C46" s="244"/>
      <c r="D46" s="106"/>
      <c r="E46" s="253"/>
      <c r="F46" s="254"/>
    </row>
    <row r="47" spans="1:6">
      <c r="A47" s="129"/>
      <c r="B47" s="247"/>
      <c r="C47" s="237" t="s">
        <v>3983</v>
      </c>
      <c r="D47" s="101"/>
      <c r="E47" s="248"/>
      <c r="F47" s="249"/>
    </row>
    <row r="48" spans="1:6">
      <c r="A48" s="130">
        <v>40210</v>
      </c>
      <c r="B48" s="76" t="str">
        <f>TiposLancamentos!B15</f>
        <v>Cartões de Crédito</v>
      </c>
      <c r="C48" s="147" t="s">
        <v>16404</v>
      </c>
      <c r="D48" s="63">
        <v>2003.3</v>
      </c>
      <c r="E48" s="49"/>
      <c r="F48" s="250"/>
    </row>
    <row r="49" spans="1:6">
      <c r="A49" s="242"/>
      <c r="B49" s="226"/>
      <c r="C49" s="227" t="s">
        <v>10</v>
      </c>
      <c r="D49" s="228"/>
      <c r="E49" s="228"/>
      <c r="F49" s="251"/>
    </row>
    <row r="50" spans="1:6">
      <c r="A50" s="258"/>
      <c r="B50" s="259"/>
      <c r="C50" s="270" t="s">
        <v>3996</v>
      </c>
      <c r="D50" s="110"/>
      <c r="E50" s="657"/>
      <c r="F50" s="658">
        <f>SUM(E46:E48)</f>
        <v>0</v>
      </c>
    </row>
    <row r="51" spans="1:6">
      <c r="A51" s="406"/>
      <c r="B51" s="422"/>
      <c r="C51" s="423" t="s">
        <v>10</v>
      </c>
      <c r="D51" s="424"/>
      <c r="E51" s="424"/>
      <c r="F51" s="425"/>
    </row>
    <row r="52" spans="1:6">
      <c r="A52" s="130"/>
      <c r="B52" s="76"/>
      <c r="C52" s="147" t="s">
        <v>4006</v>
      </c>
      <c r="D52" s="63"/>
      <c r="E52" s="49"/>
      <c r="F52" s="250"/>
    </row>
    <row r="53" spans="1:6">
      <c r="A53" s="130">
        <v>40230</v>
      </c>
      <c r="B53" s="76" t="str">
        <f>TiposLancamentos!B4</f>
        <v>Taxas Bancarias</v>
      </c>
      <c r="C53" s="147" t="s">
        <v>19974</v>
      </c>
      <c r="D53" s="63"/>
      <c r="E53" s="49">
        <v>6.67</v>
      </c>
      <c r="F53" s="250"/>
    </row>
    <row r="54" spans="1:6">
      <c r="A54" s="130">
        <v>40301</v>
      </c>
      <c r="B54" s="76" t="str">
        <f>TiposLancamentos!B15</f>
        <v>Cartões de Crédito</v>
      </c>
      <c r="C54" s="147" t="s">
        <v>1874</v>
      </c>
      <c r="D54" s="63">
        <v>6.67</v>
      </c>
      <c r="E54" s="49"/>
      <c r="F54" s="250"/>
    </row>
    <row r="55" spans="1:6">
      <c r="A55" s="130">
        <v>40310</v>
      </c>
      <c r="B55" s="76" t="str">
        <f>TiposLancamentos!B4</f>
        <v>Taxas Bancarias</v>
      </c>
      <c r="C55" s="147" t="s">
        <v>19974</v>
      </c>
      <c r="D55" s="63"/>
      <c r="E55" s="49">
        <v>7.9</v>
      </c>
      <c r="F55" s="250"/>
    </row>
    <row r="56" spans="1:6">
      <c r="A56" s="130">
        <v>40330</v>
      </c>
      <c r="B56" s="76" t="str">
        <f>TiposLancamentos!B15</f>
        <v>Cartões de Crédito</v>
      </c>
      <c r="C56" s="147" t="s">
        <v>1874</v>
      </c>
      <c r="D56" s="63">
        <v>7.9</v>
      </c>
      <c r="E56" s="49"/>
      <c r="F56" s="250"/>
    </row>
    <row r="57" spans="1:6">
      <c r="A57" s="130">
        <v>40350</v>
      </c>
      <c r="B57" s="76" t="str">
        <f>TiposLancamentos!B4</f>
        <v>Taxas Bancarias</v>
      </c>
      <c r="C57" s="147" t="s">
        <v>19974</v>
      </c>
      <c r="D57" s="63"/>
      <c r="E57" s="49">
        <v>7.9</v>
      </c>
      <c r="F57" s="250"/>
    </row>
    <row r="58" spans="1:6">
      <c r="A58" s="130">
        <v>40360</v>
      </c>
      <c r="B58" s="76" t="str">
        <f>TiposLancamentos!B15</f>
        <v>Cartões de Crédito</v>
      </c>
      <c r="C58" s="147" t="s">
        <v>1874</v>
      </c>
      <c r="D58" s="63">
        <v>7.9</v>
      </c>
      <c r="E58" s="49"/>
      <c r="F58" s="250"/>
    </row>
    <row r="59" spans="1:6">
      <c r="A59" s="130">
        <v>40380</v>
      </c>
      <c r="B59" s="76" t="str">
        <f>TiposLancamentos!B4</f>
        <v>Taxas Bancarias</v>
      </c>
      <c r="C59" s="147" t="s">
        <v>19974</v>
      </c>
      <c r="D59" s="63"/>
      <c r="E59" s="49">
        <v>7.9</v>
      </c>
      <c r="F59" s="250"/>
    </row>
    <row r="60" spans="1:6">
      <c r="A60" s="130">
        <v>40391</v>
      </c>
      <c r="B60" s="76" t="str">
        <f>TiposLancamentos!B15</f>
        <v>Cartões de Crédito</v>
      </c>
      <c r="C60" s="147" t="s">
        <v>1874</v>
      </c>
      <c r="D60" s="63">
        <v>7.9</v>
      </c>
      <c r="E60" s="49"/>
      <c r="F60" s="250"/>
    </row>
    <row r="61" spans="1:6">
      <c r="A61" s="130">
        <v>40411</v>
      </c>
      <c r="B61" s="76" t="str">
        <f>TiposLancamentos!B4</f>
        <v>Taxas Bancarias</v>
      </c>
      <c r="C61" s="147" t="s">
        <v>19974</v>
      </c>
      <c r="D61" s="63"/>
      <c r="E61" s="49">
        <v>7.9</v>
      </c>
      <c r="F61" s="250"/>
    </row>
    <row r="62" spans="1:6">
      <c r="A62" s="130">
        <v>40422</v>
      </c>
      <c r="B62" s="76" t="str">
        <f>TiposLancamentos!B15</f>
        <v>Cartões de Crédito</v>
      </c>
      <c r="C62" s="147" t="s">
        <v>1874</v>
      </c>
      <c r="D62" s="63">
        <v>7.9</v>
      </c>
      <c r="E62" s="49"/>
      <c r="F62" s="250"/>
    </row>
    <row r="63" spans="1:6">
      <c r="A63" s="130">
        <v>40442</v>
      </c>
      <c r="B63" s="76" t="str">
        <f>TiposLancamentos!B4</f>
        <v>Taxas Bancarias</v>
      </c>
      <c r="C63" s="147" t="s">
        <v>19974</v>
      </c>
      <c r="D63" s="63"/>
      <c r="E63" s="49">
        <v>7.9</v>
      </c>
      <c r="F63" s="250"/>
    </row>
    <row r="64" spans="1:6">
      <c r="A64" s="130">
        <v>40452</v>
      </c>
      <c r="B64" s="76" t="str">
        <f>TiposLancamentos!B15</f>
        <v>Cartões de Crédito</v>
      </c>
      <c r="C64" s="147" t="s">
        <v>1874</v>
      </c>
      <c r="D64" s="63">
        <v>7.9</v>
      </c>
      <c r="E64" s="49"/>
      <c r="F64" s="250"/>
    </row>
    <row r="65" spans="1:6">
      <c r="A65" s="130"/>
      <c r="B65" s="76"/>
      <c r="C65" s="147"/>
      <c r="D65" s="63"/>
      <c r="E65" s="49"/>
      <c r="F65" s="250"/>
    </row>
    <row r="66" spans="1:6" ht="14.25" thickBot="1">
      <c r="A66" s="264"/>
      <c r="B66" s="226"/>
      <c r="C66" s="227" t="s">
        <v>10</v>
      </c>
      <c r="D66" s="228"/>
      <c r="E66" s="228"/>
      <c r="F66" s="273"/>
    </row>
    <row r="67" spans="1:6">
      <c r="A67" s="893"/>
      <c r="B67" s="894"/>
      <c r="C67" s="895"/>
      <c r="D67" s="896"/>
      <c r="E67" s="897"/>
      <c r="F67" s="898"/>
    </row>
    <row r="68" spans="1:6">
      <c r="A68" s="864"/>
      <c r="B68" s="76"/>
      <c r="C68" s="878" t="s">
        <v>5827</v>
      </c>
      <c r="D68" s="63"/>
      <c r="E68" s="49"/>
      <c r="F68" s="899"/>
    </row>
    <row r="69" spans="1:6">
      <c r="A69" s="864">
        <v>41176</v>
      </c>
      <c r="B69" s="76" t="str">
        <f>TiposLancamentos!B34</f>
        <v>Seguros</v>
      </c>
      <c r="C69" s="147" t="s">
        <v>19975</v>
      </c>
      <c r="D69" s="63"/>
      <c r="E69" s="49">
        <v>698.23</v>
      </c>
      <c r="F69" s="899"/>
    </row>
    <row r="70" spans="1:6" ht="14.25" thickBot="1">
      <c r="A70" s="900"/>
      <c r="B70" s="901"/>
      <c r="C70" s="902"/>
      <c r="D70" s="903"/>
      <c r="E70" s="904"/>
      <c r="F70" s="905"/>
    </row>
    <row r="71" spans="1:6">
      <c r="A71" s="893"/>
      <c r="B71" s="894"/>
      <c r="C71" s="906" t="s">
        <v>13599</v>
      </c>
      <c r="D71" s="896"/>
      <c r="E71" s="897"/>
      <c r="F71" s="898"/>
    </row>
    <row r="72" spans="1:6">
      <c r="A72" s="864">
        <v>41206</v>
      </c>
      <c r="B72" s="76" t="str">
        <f>TiposLancamentos!B34</f>
        <v>Seguros</v>
      </c>
      <c r="C72" s="147" t="s">
        <v>19976</v>
      </c>
      <c r="D72" s="63"/>
      <c r="E72" s="49">
        <v>698.23</v>
      </c>
      <c r="F72" s="899"/>
    </row>
    <row r="73" spans="1:6" ht="14.25" thickBot="1">
      <c r="A73" s="900"/>
      <c r="B73" s="901"/>
      <c r="C73" s="902"/>
      <c r="D73" s="903"/>
      <c r="E73" s="904"/>
      <c r="F73" s="905"/>
    </row>
    <row r="74" spans="1:6">
      <c r="A74" s="893"/>
      <c r="B74" s="894"/>
      <c r="C74" s="906" t="s">
        <v>5877</v>
      </c>
      <c r="D74" s="896"/>
      <c r="E74" s="897"/>
      <c r="F74" s="898"/>
    </row>
    <row r="75" spans="1:6">
      <c r="A75" s="864">
        <v>41214</v>
      </c>
      <c r="B75" s="76" t="str">
        <f>TiposLancamentos!B15</f>
        <v>Cartões de Crédito</v>
      </c>
      <c r="C75" s="147" t="s">
        <v>14126</v>
      </c>
      <c r="D75" s="63">
        <v>698.23</v>
      </c>
      <c r="E75" s="49"/>
      <c r="F75" s="899"/>
    </row>
    <row r="76" spans="1:6">
      <c r="A76" s="864">
        <v>41237</v>
      </c>
      <c r="B76" s="76" t="str">
        <f>TiposLancamentos!B34</f>
        <v>Seguros</v>
      </c>
      <c r="C76" s="147" t="s">
        <v>19977</v>
      </c>
      <c r="D76" s="63"/>
      <c r="E76" s="49">
        <v>698.23</v>
      </c>
      <c r="F76" s="899"/>
    </row>
    <row r="77" spans="1:6" ht="14.25" thickBot="1">
      <c r="A77" s="900"/>
      <c r="B77" s="901"/>
      <c r="C77" s="902"/>
      <c r="D77" s="903"/>
      <c r="E77" s="904"/>
      <c r="F77" s="905"/>
    </row>
    <row r="78" spans="1:6">
      <c r="A78" s="893"/>
      <c r="B78" s="894"/>
      <c r="C78" s="906" t="s">
        <v>13608</v>
      </c>
      <c r="D78" s="896"/>
      <c r="E78" s="897"/>
      <c r="F78" s="898"/>
    </row>
    <row r="79" spans="1:6">
      <c r="A79" s="864">
        <v>41245</v>
      </c>
      <c r="B79" s="76" t="str">
        <f>TiposLancamentos!B24</f>
        <v>Estacionamentos</v>
      </c>
      <c r="C79" s="147" t="s">
        <v>19978</v>
      </c>
      <c r="D79" s="63"/>
      <c r="E79" s="49">
        <v>9</v>
      </c>
      <c r="F79" s="899"/>
    </row>
    <row r="80" spans="1:6">
      <c r="A80" s="864">
        <v>41246</v>
      </c>
      <c r="B80" s="76" t="str">
        <f>TiposLancamentos!B15</f>
        <v>Cartões de Crédito</v>
      </c>
      <c r="C80" s="147" t="s">
        <v>14126</v>
      </c>
      <c r="D80" s="63">
        <v>698.23</v>
      </c>
      <c r="E80" s="49"/>
      <c r="F80" s="899"/>
    </row>
    <row r="81" spans="1:6" ht="14.25" thickBot="1">
      <c r="A81" s="900">
        <v>41267</v>
      </c>
      <c r="B81" s="901" t="str">
        <f>TiposLancamentos!B34</f>
        <v>Seguros</v>
      </c>
      <c r="C81" s="902" t="s">
        <v>19979</v>
      </c>
      <c r="D81" s="903"/>
      <c r="E81" s="904">
        <v>698.23</v>
      </c>
      <c r="F81" s="905"/>
    </row>
    <row r="82" spans="1:6">
      <c r="A82" s="893"/>
      <c r="B82" s="894"/>
      <c r="C82" s="906" t="s">
        <v>5991</v>
      </c>
      <c r="D82" s="896"/>
      <c r="E82" s="897"/>
      <c r="F82" s="898"/>
    </row>
    <row r="83" spans="1:6">
      <c r="A83" s="864">
        <v>41276</v>
      </c>
      <c r="B83" s="76" t="str">
        <f>TiposLancamentos!B15</f>
        <v>Cartões de Crédito</v>
      </c>
      <c r="C83" s="147" t="s">
        <v>14126</v>
      </c>
      <c r="D83" s="63">
        <v>699.7</v>
      </c>
      <c r="E83" s="49"/>
      <c r="F83" s="899"/>
    </row>
    <row r="84" spans="1:6" ht="14.25" thickBot="1">
      <c r="A84" s="900"/>
      <c r="B84" s="901"/>
      <c r="C84" s="902"/>
      <c r="D84" s="903"/>
      <c r="E84" s="904"/>
      <c r="F84" s="905"/>
    </row>
    <row r="85" spans="1:6">
      <c r="A85" s="893"/>
      <c r="B85" s="894"/>
      <c r="C85" s="906" t="s">
        <v>19980</v>
      </c>
      <c r="D85" s="896"/>
      <c r="E85" s="897"/>
      <c r="F85" s="898"/>
    </row>
    <row r="86" spans="1:6" ht="14.25" thickBot="1">
      <c r="A86" s="900">
        <v>41306</v>
      </c>
      <c r="B86" s="901" t="str">
        <f>TiposLancamentos!B15</f>
        <v>Cartões de Crédito</v>
      </c>
      <c r="C86" s="902" t="s">
        <v>14126</v>
      </c>
      <c r="D86" s="903">
        <v>707.7</v>
      </c>
      <c r="E86" s="904"/>
      <c r="F86" s="905"/>
    </row>
    <row r="87" spans="1:6">
      <c r="A87" s="864"/>
      <c r="B87" s="76"/>
      <c r="C87" s="1038" t="s">
        <v>19981</v>
      </c>
      <c r="D87" s="63"/>
      <c r="E87" s="49"/>
      <c r="F87" s="899"/>
    </row>
    <row r="88" spans="1:6">
      <c r="A88" s="864"/>
      <c r="B88" s="76"/>
      <c r="C88" s="1037"/>
      <c r="D88" s="63"/>
      <c r="E88" s="49"/>
      <c r="F88" s="899"/>
    </row>
    <row r="89" spans="1:6">
      <c r="A89" s="864">
        <v>41482</v>
      </c>
      <c r="B89" s="76" t="str">
        <f>TiposLancamentos!B34</f>
        <v>Seguros</v>
      </c>
      <c r="C89" s="147" t="s">
        <v>19982</v>
      </c>
      <c r="D89" s="63"/>
      <c r="E89" s="49">
        <v>588.03</v>
      </c>
      <c r="F89" s="899"/>
    </row>
    <row r="90" spans="1:6" ht="14.25" thickBot="1">
      <c r="A90" s="864"/>
      <c r="B90" s="76"/>
      <c r="C90" s="147"/>
      <c r="D90" s="63"/>
      <c r="E90" s="49"/>
      <c r="F90" s="899"/>
    </row>
    <row r="91" spans="1:6">
      <c r="A91" s="893"/>
      <c r="B91" s="894"/>
      <c r="C91" s="906" t="s">
        <v>19983</v>
      </c>
      <c r="D91" s="896"/>
      <c r="E91" s="897"/>
      <c r="F91" s="898"/>
    </row>
    <row r="92" spans="1:6">
      <c r="A92" s="864"/>
      <c r="B92" s="76"/>
      <c r="C92" s="878"/>
      <c r="D92" s="63"/>
      <c r="E92" s="49"/>
      <c r="F92" s="899"/>
    </row>
    <row r="93" spans="1:6">
      <c r="A93" s="864">
        <v>41513</v>
      </c>
      <c r="B93" s="76" t="str">
        <f>TiposLancamentos!B34</f>
        <v>Seguros</v>
      </c>
      <c r="C93" s="147" t="s">
        <v>19984</v>
      </c>
      <c r="D93" s="63"/>
      <c r="E93" s="49">
        <v>588.03</v>
      </c>
      <c r="F93" s="899"/>
    </row>
    <row r="94" spans="1:6" ht="14.25" thickBot="1">
      <c r="A94" s="900"/>
      <c r="B94" s="901"/>
      <c r="C94" s="902"/>
      <c r="D94" s="903"/>
      <c r="E94" s="904"/>
      <c r="F94" s="905"/>
    </row>
    <row r="95" spans="1:6">
      <c r="A95" s="893"/>
      <c r="B95" s="894"/>
      <c r="C95" s="906" t="s">
        <v>19985</v>
      </c>
      <c r="D95" s="896"/>
      <c r="E95" s="897"/>
      <c r="F95" s="898"/>
    </row>
    <row r="96" spans="1:6">
      <c r="A96" s="864">
        <v>41519</v>
      </c>
      <c r="B96" s="76" t="str">
        <f>TiposLancamentos!B15</f>
        <v>Cartões de Crédito</v>
      </c>
      <c r="C96" s="878" t="s">
        <v>14126</v>
      </c>
      <c r="D96" s="63">
        <v>588.03</v>
      </c>
      <c r="E96" s="49"/>
      <c r="F96" s="899"/>
    </row>
    <row r="97" spans="1:6">
      <c r="A97" s="864">
        <v>41537</v>
      </c>
      <c r="B97" s="76" t="str">
        <f>TiposLancamentos!B34</f>
        <v>Seguros</v>
      </c>
      <c r="C97" s="147" t="s">
        <v>19986</v>
      </c>
      <c r="D97" s="63"/>
      <c r="E97" s="49">
        <v>606.23</v>
      </c>
      <c r="F97" s="899"/>
    </row>
    <row r="98" spans="1:6">
      <c r="A98" s="864">
        <v>41537</v>
      </c>
      <c r="B98" s="76" t="str">
        <f>TiposLancamentos!B34</f>
        <v>Seguros</v>
      </c>
      <c r="C98" s="147" t="s">
        <v>19987</v>
      </c>
      <c r="D98" s="63"/>
      <c r="E98" s="49">
        <v>22.58</v>
      </c>
      <c r="F98" s="899"/>
    </row>
    <row r="99" spans="1:6">
      <c r="A99" s="934"/>
      <c r="B99" s="226"/>
      <c r="C99" s="227" t="s">
        <v>10</v>
      </c>
      <c r="D99" s="228"/>
      <c r="E99" s="228"/>
      <c r="F99" s="935"/>
    </row>
    <row r="100" spans="1:6">
      <c r="A100" s="864">
        <v>41544</v>
      </c>
      <c r="B100" s="76" t="str">
        <f>TiposLancamentos!B34</f>
        <v>Seguros</v>
      </c>
      <c r="C100" s="147" t="s">
        <v>19988</v>
      </c>
      <c r="D100" s="63"/>
      <c r="E100" s="49">
        <v>588.03</v>
      </c>
      <c r="F100" s="899"/>
    </row>
    <row r="101" spans="1:6" ht="14.25" thickBot="1">
      <c r="A101" s="864">
        <v>41545</v>
      </c>
      <c r="B101" s="76" t="str">
        <f>TiposLancamentos!B4</f>
        <v>Taxas Bancarias</v>
      </c>
      <c r="C101" s="147" t="s">
        <v>19989</v>
      </c>
      <c r="D101" s="63"/>
      <c r="E101" s="49">
        <f>15.92-3.98</f>
        <v>11.94</v>
      </c>
      <c r="F101" s="899"/>
    </row>
    <row r="102" spans="1:6">
      <c r="A102" s="893"/>
      <c r="B102" s="894"/>
      <c r="C102" s="906" t="s">
        <v>17175</v>
      </c>
      <c r="D102" s="896"/>
      <c r="E102" s="897"/>
      <c r="F102" s="898"/>
    </row>
    <row r="103" spans="1:6">
      <c r="A103" s="864">
        <v>41548</v>
      </c>
      <c r="B103" s="76" t="str">
        <f>TiposLancamentos!B15</f>
        <v>Cartões de Crédito</v>
      </c>
      <c r="C103" s="878" t="s">
        <v>19990</v>
      </c>
      <c r="D103" s="63">
        <v>1216.8399999999999</v>
      </c>
      <c r="E103" s="49"/>
      <c r="F103" s="899"/>
    </row>
    <row r="104" spans="1:6">
      <c r="A104" s="864">
        <v>41567</v>
      </c>
      <c r="B104" s="76" t="str">
        <f>TiposLancamentos!B34</f>
        <v>Seguros</v>
      </c>
      <c r="C104" s="147" t="s">
        <v>19991</v>
      </c>
      <c r="D104" s="63"/>
      <c r="E104" s="49">
        <v>606.22</v>
      </c>
      <c r="F104" s="899"/>
    </row>
    <row r="105" spans="1:6">
      <c r="A105" s="864">
        <v>41567</v>
      </c>
      <c r="B105" s="76" t="str">
        <f>TiposLancamentos!B34</f>
        <v>Seguros</v>
      </c>
      <c r="C105" s="147" t="s">
        <v>19992</v>
      </c>
      <c r="D105" s="63"/>
      <c r="E105" s="49">
        <v>22.58</v>
      </c>
      <c r="F105" s="899"/>
    </row>
    <row r="106" spans="1:6">
      <c r="A106" s="934"/>
      <c r="B106" s="226"/>
      <c r="C106" s="227" t="s">
        <v>10</v>
      </c>
      <c r="D106" s="228"/>
      <c r="E106" s="228"/>
      <c r="F106" s="935"/>
    </row>
    <row r="107" spans="1:6">
      <c r="A107" s="864">
        <v>41575</v>
      </c>
      <c r="B107" s="76" t="str">
        <f>TiposLancamentos!B34</f>
        <v>Seguros</v>
      </c>
      <c r="C107" s="147" t="s">
        <v>19993</v>
      </c>
      <c r="D107" s="63"/>
      <c r="E107" s="49">
        <v>588.03</v>
      </c>
      <c r="F107" s="899"/>
    </row>
    <row r="108" spans="1:6" ht="14.25" thickBot="1">
      <c r="A108" s="864">
        <v>41575</v>
      </c>
      <c r="B108" s="76" t="str">
        <f>TiposLancamentos!B4</f>
        <v>Taxas Bancarias</v>
      </c>
      <c r="C108" s="147" t="s">
        <v>19994</v>
      </c>
      <c r="D108" s="63"/>
      <c r="E108" s="49">
        <f>15.92-3.98</f>
        <v>11.94</v>
      </c>
      <c r="F108" s="899"/>
    </row>
    <row r="109" spans="1:6">
      <c r="A109" s="893"/>
      <c r="B109" s="894"/>
      <c r="C109" s="906" t="s">
        <v>6361</v>
      </c>
      <c r="D109" s="896"/>
      <c r="E109" s="897"/>
      <c r="F109" s="898">
        <f>SUM(E100:E105)</f>
        <v>1228.77</v>
      </c>
    </row>
    <row r="110" spans="1:6">
      <c r="A110" s="864">
        <v>41581</v>
      </c>
      <c r="B110" s="76" t="str">
        <f>TiposLancamentos!B15</f>
        <v>Cartões de Crédito</v>
      </c>
      <c r="C110" s="878" t="s">
        <v>19990</v>
      </c>
      <c r="D110" s="63">
        <v>1228.77</v>
      </c>
      <c r="E110" s="49"/>
      <c r="F110" s="899"/>
    </row>
    <row r="111" spans="1:6">
      <c r="A111" s="864">
        <v>41598</v>
      </c>
      <c r="B111" s="76" t="str">
        <f>TiposLancamentos!B34</f>
        <v>Seguros</v>
      </c>
      <c r="C111" s="147" t="s">
        <v>19995</v>
      </c>
      <c r="D111" s="63"/>
      <c r="E111" s="49">
        <v>606.22</v>
      </c>
      <c r="F111" s="899"/>
    </row>
    <row r="112" spans="1:6">
      <c r="A112" s="864">
        <v>41598</v>
      </c>
      <c r="B112" s="76" t="str">
        <f>TiposLancamentos!B34</f>
        <v>Seguros</v>
      </c>
      <c r="C112" s="147" t="s">
        <v>19996</v>
      </c>
      <c r="D112" s="63"/>
      <c r="E112" s="49">
        <v>22.58</v>
      </c>
      <c r="F112" s="899"/>
    </row>
    <row r="113" spans="1:6">
      <c r="A113" s="934"/>
      <c r="B113" s="226"/>
      <c r="C113" s="227" t="s">
        <v>10</v>
      </c>
      <c r="D113" s="228"/>
      <c r="E113" s="228"/>
      <c r="F113" s="935"/>
    </row>
    <row r="114" spans="1:6" ht="14.25" thickBot="1">
      <c r="A114" s="864">
        <v>41606</v>
      </c>
      <c r="B114" s="76" t="str">
        <f>TiposLancamentos!B4</f>
        <v>Taxas Bancarias</v>
      </c>
      <c r="C114" s="147" t="s">
        <v>19997</v>
      </c>
      <c r="D114" s="63"/>
      <c r="E114" s="49">
        <f>15.92-3.98</f>
        <v>11.94</v>
      </c>
      <c r="F114" s="899"/>
    </row>
    <row r="115" spans="1:6">
      <c r="A115" s="893"/>
      <c r="B115" s="894"/>
      <c r="C115" s="906" t="s">
        <v>6381</v>
      </c>
      <c r="D115" s="896"/>
      <c r="E115" s="897"/>
      <c r="F115" s="898">
        <f>SUM(E107:E112)</f>
        <v>1228.77</v>
      </c>
    </row>
    <row r="116" spans="1:6">
      <c r="A116" s="864">
        <v>41611</v>
      </c>
      <c r="B116" s="76" t="str">
        <f>TiposLancamentos!B15</f>
        <v>Cartões de Crédito</v>
      </c>
      <c r="C116" s="878" t="s">
        <v>19990</v>
      </c>
      <c r="D116" s="63">
        <v>1228.75</v>
      </c>
      <c r="E116" s="49"/>
      <c r="F116" s="899"/>
    </row>
    <row r="117" spans="1:6">
      <c r="A117" s="864">
        <v>41628</v>
      </c>
      <c r="B117" s="76" t="str">
        <f>TiposLancamentos!B34</f>
        <v>Seguros</v>
      </c>
      <c r="C117" s="147" t="s">
        <v>19998</v>
      </c>
      <c r="D117" s="63"/>
      <c r="E117" s="49">
        <v>606.22</v>
      </c>
      <c r="F117" s="899"/>
    </row>
    <row r="118" spans="1:6">
      <c r="A118" s="864">
        <v>41628</v>
      </c>
      <c r="B118" s="76" t="str">
        <f>TiposLancamentos!B34</f>
        <v>Seguros</v>
      </c>
      <c r="C118" s="147" t="s">
        <v>19999</v>
      </c>
      <c r="D118" s="63"/>
      <c r="E118" s="49">
        <v>22.58</v>
      </c>
      <c r="F118" s="899"/>
    </row>
    <row r="119" spans="1:6">
      <c r="A119" s="934"/>
      <c r="B119" s="226"/>
      <c r="C119" s="227" t="s">
        <v>10</v>
      </c>
      <c r="D119" s="228"/>
      <c r="E119" s="228"/>
      <c r="F119" s="935"/>
    </row>
    <row r="120" spans="1:6" ht="14.25" thickBot="1">
      <c r="A120" s="900">
        <v>41636</v>
      </c>
      <c r="B120" s="901" t="str">
        <f>TiposLancamentos!B4</f>
        <v>Taxas Bancarias</v>
      </c>
      <c r="C120" s="902" t="s">
        <v>20000</v>
      </c>
      <c r="D120" s="903"/>
      <c r="E120" s="904">
        <v>15.92</v>
      </c>
      <c r="F120" s="905"/>
    </row>
    <row r="121" spans="1:6">
      <c r="A121" s="893"/>
      <c r="B121" s="894"/>
      <c r="C121" s="906" t="s">
        <v>20001</v>
      </c>
      <c r="D121" s="896"/>
      <c r="E121" s="897"/>
      <c r="F121" s="898">
        <f>SUM(E114:E118)</f>
        <v>640.74000000000012</v>
      </c>
    </row>
    <row r="122" spans="1:6">
      <c r="A122" s="864">
        <v>41641</v>
      </c>
      <c r="B122" s="76" t="str">
        <f>TiposLancamentos!B15</f>
        <v>Cartões de Crédito</v>
      </c>
      <c r="C122" s="878" t="s">
        <v>19990</v>
      </c>
      <c r="D122" s="63">
        <v>640.73</v>
      </c>
      <c r="E122" s="49"/>
      <c r="F122" s="899"/>
    </row>
    <row r="123" spans="1:6">
      <c r="A123" s="864">
        <v>41641</v>
      </c>
      <c r="B123" s="76" t="str">
        <f>TiposLancamentos!B78</f>
        <v>Diferenças</v>
      </c>
      <c r="C123" s="147" t="s">
        <v>16645</v>
      </c>
      <c r="D123" s="63"/>
      <c r="E123" s="49">
        <v>1.92</v>
      </c>
      <c r="F123" s="899"/>
    </row>
    <row r="124" spans="1:6">
      <c r="A124" s="934"/>
      <c r="B124" s="226"/>
      <c r="C124" s="227" t="s">
        <v>10</v>
      </c>
      <c r="D124" s="228"/>
      <c r="E124" s="228"/>
      <c r="F124" s="935"/>
    </row>
    <row r="125" spans="1:6">
      <c r="A125" s="864">
        <v>41667</v>
      </c>
      <c r="B125" s="76" t="str">
        <f>TiposLancamentos!B4</f>
        <v>Taxas Bancarias</v>
      </c>
      <c r="C125" s="147" t="s">
        <v>20002</v>
      </c>
      <c r="D125" s="63"/>
      <c r="E125" s="49">
        <v>15.92</v>
      </c>
      <c r="F125" s="899"/>
    </row>
    <row r="126" spans="1:6">
      <c r="A126" s="864">
        <v>41673</v>
      </c>
      <c r="B126" s="76"/>
      <c r="C126" s="1038" t="s">
        <v>20003</v>
      </c>
      <c r="D126" s="63"/>
      <c r="E126" s="49"/>
      <c r="F126" s="899"/>
    </row>
    <row r="127" spans="1:6">
      <c r="A127" s="864">
        <v>41673</v>
      </c>
      <c r="B127" s="76" t="str">
        <f>TiposLancamentos!B15</f>
        <v>Cartões de Crédito</v>
      </c>
      <c r="C127" s="147" t="s">
        <v>14126</v>
      </c>
      <c r="D127" s="63">
        <v>15.92</v>
      </c>
      <c r="E127" s="49"/>
      <c r="F127" s="899"/>
    </row>
    <row r="128" spans="1:6">
      <c r="A128" s="934"/>
      <c r="B128" s="226"/>
      <c r="C128" s="227" t="s">
        <v>10</v>
      </c>
      <c r="D128" s="228"/>
      <c r="E128" s="228"/>
      <c r="F128" s="935"/>
    </row>
    <row r="129" spans="1:6">
      <c r="A129" s="864">
        <v>41698</v>
      </c>
      <c r="B129" s="76" t="str">
        <f>TiposLancamentos!B4</f>
        <v>Taxas Bancarias</v>
      </c>
      <c r="C129" s="147" t="s">
        <v>20004</v>
      </c>
      <c r="D129" s="63"/>
      <c r="E129" s="49">
        <v>15.92</v>
      </c>
      <c r="F129" s="899"/>
    </row>
    <row r="130" spans="1:6">
      <c r="A130" s="864"/>
      <c r="B130" s="76"/>
      <c r="C130" s="1038" t="s">
        <v>20005</v>
      </c>
      <c r="D130" s="63"/>
      <c r="E130" s="49"/>
      <c r="F130" s="899"/>
    </row>
    <row r="131" spans="1:6">
      <c r="A131" s="864">
        <v>41701</v>
      </c>
      <c r="B131" s="76" t="str">
        <f>TiposLancamentos!B15</f>
        <v>Cartões de Crédito</v>
      </c>
      <c r="C131" s="147" t="s">
        <v>14126</v>
      </c>
      <c r="D131" s="63">
        <v>15.92</v>
      </c>
      <c r="E131" s="49"/>
      <c r="F131" s="899"/>
    </row>
    <row r="132" spans="1:6">
      <c r="A132" s="934"/>
      <c r="B132" s="226"/>
      <c r="C132" s="227" t="s">
        <v>10</v>
      </c>
      <c r="D132" s="228"/>
      <c r="E132" s="228"/>
      <c r="F132" s="935"/>
    </row>
    <row r="133" spans="1:6">
      <c r="A133" s="864">
        <v>41726</v>
      </c>
      <c r="B133" s="76" t="str">
        <f>TiposLancamentos!B4</f>
        <v>Taxas Bancarias</v>
      </c>
      <c r="C133" s="147" t="s">
        <v>20006</v>
      </c>
      <c r="D133" s="63"/>
      <c r="E133" s="49">
        <v>15.92</v>
      </c>
      <c r="F133" s="899"/>
    </row>
    <row r="134" spans="1:6">
      <c r="A134" s="864"/>
      <c r="B134" s="76"/>
      <c r="C134" s="878" t="s">
        <v>20007</v>
      </c>
      <c r="D134" s="63"/>
      <c r="E134" s="49"/>
      <c r="F134" s="899"/>
    </row>
    <row r="135" spans="1:6">
      <c r="A135" s="864">
        <v>41730</v>
      </c>
      <c r="B135" s="76" t="str">
        <f>TiposLancamentos!B15</f>
        <v>Cartões de Crédito</v>
      </c>
      <c r="C135" s="147" t="s">
        <v>14126</v>
      </c>
      <c r="D135" s="63">
        <v>15.92</v>
      </c>
      <c r="E135" s="49"/>
      <c r="F135" s="899"/>
    </row>
    <row r="136" spans="1:6">
      <c r="A136" s="934"/>
      <c r="B136" s="226"/>
      <c r="C136" s="227" t="s">
        <v>10</v>
      </c>
      <c r="D136" s="228"/>
      <c r="E136" s="228"/>
      <c r="F136" s="935"/>
    </row>
    <row r="137" spans="1:6">
      <c r="A137" s="864">
        <v>41757</v>
      </c>
      <c r="B137" s="76" t="str">
        <f>TiposLancamentos!B4</f>
        <v>Taxas Bancarias</v>
      </c>
      <c r="C137" s="147" t="s">
        <v>20008</v>
      </c>
      <c r="D137" s="63"/>
      <c r="E137" s="49">
        <v>15.92</v>
      </c>
      <c r="F137" s="899"/>
    </row>
    <row r="138" spans="1:6">
      <c r="A138" s="864"/>
      <c r="B138" s="76"/>
      <c r="C138" s="878" t="s">
        <v>20009</v>
      </c>
      <c r="D138" s="63"/>
      <c r="E138" s="49"/>
      <c r="F138" s="899"/>
    </row>
    <row r="139" spans="1:6">
      <c r="A139" s="864">
        <v>41761</v>
      </c>
      <c r="B139" s="76" t="str">
        <f>TiposLancamentos!B15</f>
        <v>Cartões de Crédito</v>
      </c>
      <c r="C139" s="147" t="s">
        <v>14126</v>
      </c>
      <c r="D139" s="63">
        <v>15.92</v>
      </c>
      <c r="E139" s="49"/>
      <c r="F139" s="899"/>
    </row>
    <row r="140" spans="1:6">
      <c r="A140" s="934"/>
      <c r="B140" s="226"/>
      <c r="C140" s="227" t="s">
        <v>10</v>
      </c>
      <c r="D140" s="228"/>
      <c r="E140" s="228"/>
      <c r="F140" s="935"/>
    </row>
    <row r="141" spans="1:6">
      <c r="A141" s="864">
        <v>41787</v>
      </c>
      <c r="B141" s="76" t="str">
        <f>TiposLancamentos!B4</f>
        <v>Taxas Bancarias</v>
      </c>
      <c r="C141" s="147" t="s">
        <v>20010</v>
      </c>
      <c r="D141" s="63"/>
      <c r="E141" s="49">
        <v>15.92</v>
      </c>
      <c r="F141" s="899"/>
    </row>
    <row r="142" spans="1:6">
      <c r="A142" s="864"/>
      <c r="B142" s="76"/>
      <c r="C142" s="878" t="s">
        <v>13662</v>
      </c>
      <c r="D142" s="63"/>
      <c r="E142" s="49"/>
      <c r="F142" s="899"/>
    </row>
    <row r="143" spans="1:6">
      <c r="A143" s="864">
        <v>41791</v>
      </c>
      <c r="B143" s="76" t="str">
        <f>TiposLancamentos!B15</f>
        <v>Cartões de Crédito</v>
      </c>
      <c r="C143" s="147" t="s">
        <v>1874</v>
      </c>
      <c r="D143" s="63">
        <v>15.92</v>
      </c>
      <c r="E143" s="49"/>
      <c r="F143" s="899"/>
    </row>
    <row r="144" spans="1:6">
      <c r="A144" s="934"/>
      <c r="B144" s="226"/>
      <c r="C144" s="227" t="s">
        <v>10</v>
      </c>
      <c r="D144" s="228"/>
      <c r="E144" s="228"/>
      <c r="F144" s="935"/>
    </row>
    <row r="145" spans="1:6" ht="14.25" thickBot="1">
      <c r="A145" s="864">
        <v>41818</v>
      </c>
      <c r="B145" s="76" t="str">
        <f>TiposLancamentos!B4</f>
        <v>Taxas Bancarias</v>
      </c>
      <c r="C145" s="147" t="s">
        <v>20011</v>
      </c>
      <c r="D145" s="63"/>
      <c r="E145" s="49">
        <v>15.92</v>
      </c>
      <c r="F145" s="899"/>
    </row>
    <row r="146" spans="1:6">
      <c r="A146" s="893"/>
      <c r="B146" s="894"/>
      <c r="C146" s="1092" t="s">
        <v>14749</v>
      </c>
      <c r="D146" s="896"/>
      <c r="E146" s="897"/>
      <c r="F146" s="898"/>
    </row>
    <row r="147" spans="1:6">
      <c r="A147" s="864">
        <v>41821</v>
      </c>
      <c r="B147" s="76" t="str">
        <f>TiposLancamentos!B15</f>
        <v>Cartões de Crédito</v>
      </c>
      <c r="C147" s="147" t="s">
        <v>1874</v>
      </c>
      <c r="D147" s="63">
        <v>15.92</v>
      </c>
      <c r="E147" s="49"/>
      <c r="F147" s="899"/>
    </row>
    <row r="148" spans="1:6">
      <c r="A148" s="934"/>
      <c r="B148" s="226"/>
      <c r="C148" s="227" t="s">
        <v>10</v>
      </c>
      <c r="D148" s="228"/>
      <c r="E148" s="228"/>
      <c r="F148" s="935"/>
    </row>
    <row r="149" spans="1:6">
      <c r="A149" s="864">
        <v>41843</v>
      </c>
      <c r="B149" s="76" t="str">
        <f>TiposLancamentos!B34</f>
        <v>Seguros</v>
      </c>
      <c r="C149" s="147" t="s">
        <v>20012</v>
      </c>
      <c r="D149" s="63"/>
      <c r="E149" s="49">
        <v>574.97</v>
      </c>
      <c r="F149" s="899"/>
    </row>
    <row r="150" spans="1:6" ht="14.25" thickBot="1">
      <c r="A150" s="864">
        <v>41848</v>
      </c>
      <c r="B150" s="76" t="str">
        <f>TiposLancamentos!B4</f>
        <v>Taxas Bancarias</v>
      </c>
      <c r="C150" s="147" t="s">
        <v>20013</v>
      </c>
      <c r="D150" s="63"/>
      <c r="E150" s="49">
        <v>15.92</v>
      </c>
      <c r="F150" s="899"/>
    </row>
    <row r="151" spans="1:6">
      <c r="A151" s="893"/>
      <c r="B151" s="894"/>
      <c r="C151" s="906" t="s">
        <v>20014</v>
      </c>
      <c r="D151" s="1072"/>
      <c r="E151" s="897"/>
      <c r="F151" s="898"/>
    </row>
    <row r="152" spans="1:6">
      <c r="A152" s="864">
        <v>41852</v>
      </c>
      <c r="B152" s="76" t="str">
        <f>TiposLancamentos!B15</f>
        <v>Cartões de Crédito</v>
      </c>
      <c r="C152" s="147" t="s">
        <v>1874</v>
      </c>
      <c r="D152" s="63">
        <v>15.92</v>
      </c>
      <c r="E152" s="49"/>
      <c r="F152" s="899"/>
    </row>
    <row r="153" spans="1:6">
      <c r="A153" s="934"/>
      <c r="B153" s="226"/>
      <c r="C153" s="227" t="s">
        <v>10</v>
      </c>
      <c r="D153" s="228"/>
      <c r="E153" s="228"/>
      <c r="F153" s="935"/>
    </row>
    <row r="154" spans="1:6">
      <c r="A154" s="884">
        <v>41874</v>
      </c>
      <c r="B154" s="76" t="str">
        <f>TiposLancamentos!B34</f>
        <v>Seguros</v>
      </c>
      <c r="C154" s="147" t="s">
        <v>20015</v>
      </c>
      <c r="D154" s="63"/>
      <c r="E154" s="49">
        <v>574.97</v>
      </c>
      <c r="F154" s="899"/>
    </row>
    <row r="155" spans="1:6" ht="14.25" thickBot="1">
      <c r="A155" s="885">
        <v>41879</v>
      </c>
      <c r="B155" s="901" t="str">
        <f>TiposLancamentos!B4</f>
        <v>Taxas Bancarias</v>
      </c>
      <c r="C155" s="902" t="s">
        <v>20016</v>
      </c>
      <c r="D155" s="903"/>
      <c r="E155" s="904">
        <v>15.92</v>
      </c>
      <c r="F155" s="905"/>
    </row>
    <row r="156" spans="1:6">
      <c r="A156" s="893"/>
      <c r="B156" s="894"/>
      <c r="C156" s="906" t="s">
        <v>6774</v>
      </c>
      <c r="D156" s="896"/>
      <c r="E156" s="897"/>
      <c r="F156" s="898"/>
    </row>
    <row r="157" spans="1:6">
      <c r="A157" s="864">
        <v>41883</v>
      </c>
      <c r="B157" s="76" t="str">
        <f>TiposLancamentos!B15</f>
        <v>Cartões de Crédito</v>
      </c>
      <c r="C157" s="147" t="s">
        <v>1874</v>
      </c>
      <c r="D157" s="63">
        <v>590.89</v>
      </c>
      <c r="E157" s="49"/>
      <c r="F157" s="899"/>
    </row>
    <row r="158" spans="1:6">
      <c r="A158" s="934"/>
      <c r="B158" s="226"/>
      <c r="C158" s="227" t="s">
        <v>10</v>
      </c>
      <c r="D158" s="228"/>
      <c r="E158" s="228"/>
      <c r="F158" s="935"/>
    </row>
    <row r="159" spans="1:6">
      <c r="A159" s="864">
        <v>41906</v>
      </c>
      <c r="B159" s="76" t="str">
        <f>TiposLancamentos!B4</f>
        <v>Taxas Bancarias</v>
      </c>
      <c r="C159" s="147" t="s">
        <v>20017</v>
      </c>
      <c r="D159" s="63"/>
      <c r="E159" s="49">
        <v>20.100000000000001</v>
      </c>
      <c r="F159" s="899"/>
    </row>
    <row r="160" spans="1:6">
      <c r="A160" s="864">
        <v>41906</v>
      </c>
      <c r="B160" s="76" t="str">
        <f>TiposLancamentos!B4</f>
        <v>Taxas Bancarias</v>
      </c>
      <c r="C160" s="147" t="s">
        <v>20018</v>
      </c>
      <c r="D160" s="63"/>
      <c r="E160" s="49">
        <v>19.25</v>
      </c>
      <c r="F160" s="899"/>
    </row>
    <row r="161" spans="1:6">
      <c r="A161" s="864">
        <v>41905</v>
      </c>
      <c r="B161" s="76" t="str">
        <f>TiposLancamentos!B34</f>
        <v>Seguros</v>
      </c>
      <c r="C161" s="147" t="s">
        <v>20019</v>
      </c>
      <c r="D161" s="63"/>
      <c r="E161" s="49">
        <v>574.97</v>
      </c>
      <c r="F161" s="899"/>
    </row>
    <row r="162" spans="1:6" ht="14.25" thickBot="1">
      <c r="A162" s="864">
        <v>41905</v>
      </c>
      <c r="B162" s="76" t="str">
        <f>TiposLancamentos!B34</f>
        <v>Seguros</v>
      </c>
      <c r="C162" s="147" t="s">
        <v>20020</v>
      </c>
      <c r="D162" s="63"/>
      <c r="E162" s="49">
        <v>656.22</v>
      </c>
      <c r="F162" s="899"/>
    </row>
    <row r="163" spans="1:6">
      <c r="A163" s="893"/>
      <c r="B163" s="894"/>
      <c r="C163" s="906" t="s">
        <v>13668</v>
      </c>
      <c r="D163" s="896"/>
      <c r="E163" s="897"/>
      <c r="F163" s="898">
        <f>SUM(E154:E157)</f>
        <v>590.89</v>
      </c>
    </row>
    <row r="164" spans="1:6">
      <c r="A164" s="864">
        <v>41913</v>
      </c>
      <c r="B164" s="76" t="str">
        <f>TiposLancamentos!B15</f>
        <v>Cartões de Crédito</v>
      </c>
      <c r="C164" s="147" t="s">
        <v>14126</v>
      </c>
      <c r="D164" s="63">
        <v>590.89</v>
      </c>
      <c r="E164" s="49"/>
      <c r="F164" s="899"/>
    </row>
    <row r="165" spans="1:6">
      <c r="A165" s="934"/>
      <c r="B165" s="226"/>
      <c r="C165" s="227" t="s">
        <v>10</v>
      </c>
      <c r="D165" s="228"/>
      <c r="E165" s="228"/>
      <c r="F165" s="935"/>
    </row>
    <row r="166" spans="1:6">
      <c r="A166" s="864">
        <v>41935</v>
      </c>
      <c r="B166" s="76" t="str">
        <f>TiposLancamentos!B34</f>
        <v>Seguros</v>
      </c>
      <c r="C166" s="147" t="s">
        <v>20021</v>
      </c>
      <c r="D166" s="63"/>
      <c r="E166" s="49">
        <v>574.97</v>
      </c>
      <c r="F166" s="899"/>
    </row>
    <row r="167" spans="1:6">
      <c r="A167" s="864">
        <v>41935</v>
      </c>
      <c r="B167" s="76" t="str">
        <f>TiposLancamentos!B34</f>
        <v>Seguros</v>
      </c>
      <c r="C167" s="147" t="s">
        <v>20022</v>
      </c>
      <c r="D167" s="63"/>
      <c r="E167" s="49">
        <v>656.22</v>
      </c>
      <c r="F167" s="899"/>
    </row>
    <row r="168" spans="1:6">
      <c r="A168" s="864">
        <v>41936</v>
      </c>
      <c r="B168" s="76" t="str">
        <f>TiposLancamentos!B4</f>
        <v>Taxas Bancarias</v>
      </c>
      <c r="C168" s="147" t="s">
        <v>20023</v>
      </c>
      <c r="D168" s="63"/>
      <c r="E168" s="49">
        <v>19.25</v>
      </c>
      <c r="F168" s="899"/>
    </row>
    <row r="169" spans="1:6" ht="14.25" thickBot="1">
      <c r="A169" s="864">
        <v>41936</v>
      </c>
      <c r="B169" s="76" t="str">
        <f>TiposLancamentos!B4</f>
        <v>Taxas Bancarias</v>
      </c>
      <c r="C169" s="147" t="s">
        <v>20024</v>
      </c>
      <c r="D169" s="63"/>
      <c r="E169" s="49">
        <v>20.100000000000001</v>
      </c>
      <c r="F169" s="899"/>
    </row>
    <row r="170" spans="1:6">
      <c r="A170" s="893"/>
      <c r="B170" s="894"/>
      <c r="C170" s="906" t="s">
        <v>6857</v>
      </c>
      <c r="D170" s="896"/>
      <c r="E170" s="897"/>
      <c r="F170" s="898">
        <f>SUM(E159:E164)</f>
        <v>1270.54</v>
      </c>
    </row>
    <row r="171" spans="1:6">
      <c r="A171" s="864">
        <v>41946</v>
      </c>
      <c r="B171" s="76" t="str">
        <f>TiposLancamentos!B15</f>
        <v>Cartões de Crédito</v>
      </c>
      <c r="C171" s="147" t="s">
        <v>1874</v>
      </c>
      <c r="D171" s="63">
        <v>1270.54</v>
      </c>
      <c r="E171" s="49"/>
      <c r="F171" s="899"/>
    </row>
    <row r="172" spans="1:6">
      <c r="A172" s="934"/>
      <c r="B172" s="226"/>
      <c r="C172" s="227" t="s">
        <v>10</v>
      </c>
      <c r="D172" s="228"/>
      <c r="E172" s="228"/>
      <c r="F172" s="935"/>
    </row>
    <row r="173" spans="1:6">
      <c r="A173" s="864">
        <v>41966</v>
      </c>
      <c r="B173" s="76" t="str">
        <f>TiposLancamentos!B34</f>
        <v>Seguros</v>
      </c>
      <c r="C173" s="147" t="s">
        <v>20025</v>
      </c>
      <c r="D173" s="63"/>
      <c r="E173" s="49">
        <v>656.22</v>
      </c>
      <c r="F173" s="899"/>
    </row>
    <row r="174" spans="1:6">
      <c r="A174" s="864">
        <v>41967</v>
      </c>
      <c r="B174" s="76" t="str">
        <f>TiposLancamentos!B4</f>
        <v>Taxas Bancarias</v>
      </c>
      <c r="C174" s="147" t="s">
        <v>20026</v>
      </c>
      <c r="D174" s="63"/>
      <c r="E174" s="49">
        <v>19.25</v>
      </c>
      <c r="F174" s="899"/>
    </row>
    <row r="175" spans="1:6" ht="14.25" thickBot="1">
      <c r="A175" s="900">
        <v>41967</v>
      </c>
      <c r="B175" s="901" t="str">
        <f>TiposLancamentos!B34</f>
        <v>Seguros</v>
      </c>
      <c r="C175" s="902" t="s">
        <v>20027</v>
      </c>
      <c r="D175" s="903"/>
      <c r="E175" s="904">
        <v>20.100000000000001</v>
      </c>
      <c r="F175" s="905"/>
    </row>
    <row r="176" spans="1:6">
      <c r="A176" s="893"/>
      <c r="B176" s="894"/>
      <c r="C176" s="906" t="s">
        <v>13677</v>
      </c>
      <c r="D176" s="896"/>
      <c r="E176" s="897"/>
      <c r="F176" s="898">
        <f>SUM(E166:E171)</f>
        <v>1270.54</v>
      </c>
    </row>
    <row r="177" spans="1:6">
      <c r="A177" s="864">
        <v>41974</v>
      </c>
      <c r="B177" s="76" t="str">
        <f>TiposLancamentos!B15</f>
        <v>Cartões de Crédito</v>
      </c>
      <c r="C177" s="147" t="s">
        <v>1874</v>
      </c>
      <c r="D177" s="63">
        <v>1270.54</v>
      </c>
      <c r="E177" s="49"/>
      <c r="F177" s="899"/>
    </row>
    <row r="178" spans="1:6">
      <c r="A178" s="934"/>
      <c r="B178" s="226"/>
      <c r="C178" s="227" t="s">
        <v>10</v>
      </c>
      <c r="D178" s="228"/>
      <c r="E178" s="228"/>
      <c r="F178" s="935"/>
    </row>
    <row r="179" spans="1:6">
      <c r="A179" s="864">
        <v>41996</v>
      </c>
      <c r="B179" s="76" t="str">
        <f>TiposLancamentos!B34</f>
        <v>Seguros</v>
      </c>
      <c r="C179" s="147" t="s">
        <v>20028</v>
      </c>
      <c r="D179" s="63"/>
      <c r="E179" s="49">
        <v>656.22</v>
      </c>
      <c r="F179" s="899"/>
    </row>
    <row r="180" spans="1:6">
      <c r="A180" s="864">
        <v>41996</v>
      </c>
      <c r="B180" s="76" t="str">
        <f>TiposLancamentos!B4</f>
        <v>Taxas Bancarias</v>
      </c>
      <c r="C180" s="147" t="s">
        <v>20029</v>
      </c>
      <c r="D180" s="63"/>
      <c r="E180" s="49">
        <v>19.25</v>
      </c>
      <c r="F180" s="899"/>
    </row>
    <row r="181" spans="1:6" ht="14.25" thickBot="1">
      <c r="A181" s="900">
        <v>41996</v>
      </c>
      <c r="B181" s="901" t="str">
        <f>TiposLancamentos!B34</f>
        <v>Seguros</v>
      </c>
      <c r="C181" s="902" t="s">
        <v>20030</v>
      </c>
      <c r="D181" s="903"/>
      <c r="E181" s="904">
        <v>20.100000000000001</v>
      </c>
      <c r="F181" s="905"/>
    </row>
    <row r="182" spans="1:6">
      <c r="A182" s="893"/>
      <c r="B182" s="894"/>
      <c r="C182" s="906" t="s">
        <v>6965</v>
      </c>
      <c r="D182" s="896"/>
      <c r="E182" s="897"/>
      <c r="F182" s="898">
        <f>SUM(E173:E177)</f>
        <v>695.57</v>
      </c>
    </row>
    <row r="183" spans="1:6">
      <c r="A183" s="864">
        <v>42006</v>
      </c>
      <c r="B183" s="76" t="str">
        <f>TiposLancamentos!B15</f>
        <v>Cartões de Crédito</v>
      </c>
      <c r="C183" s="147" t="str">
        <f>TiposLancamentos!B15</f>
        <v>Cartões de Crédito</v>
      </c>
      <c r="D183" s="63">
        <v>695.57</v>
      </c>
      <c r="E183" s="49"/>
      <c r="F183" s="899"/>
    </row>
    <row r="184" spans="1:6">
      <c r="A184" s="934"/>
      <c r="B184" s="226"/>
      <c r="C184" s="227" t="s">
        <v>10</v>
      </c>
      <c r="D184" s="228"/>
      <c r="E184" s="228"/>
      <c r="F184" s="935"/>
    </row>
    <row r="185" spans="1:6" ht="14.25" thickBot="1">
      <c r="A185" s="900">
        <v>42027</v>
      </c>
      <c r="B185" s="901" t="str">
        <f>TiposLancamentos!B4</f>
        <v>Taxas Bancarias</v>
      </c>
      <c r="C185" s="902" t="s">
        <v>20031</v>
      </c>
      <c r="D185" s="903"/>
      <c r="E185" s="904">
        <v>19.25</v>
      </c>
      <c r="F185" s="905"/>
    </row>
    <row r="186" spans="1:6">
      <c r="A186" s="893"/>
      <c r="B186" s="894"/>
      <c r="C186" s="906" t="s">
        <v>7019</v>
      </c>
      <c r="D186" s="896"/>
      <c r="E186" s="897"/>
      <c r="F186" s="898">
        <f>SUM(E179:E183)</f>
        <v>695.57</v>
      </c>
    </row>
    <row r="187" spans="1:6">
      <c r="A187" s="864">
        <v>42037</v>
      </c>
      <c r="B187" s="76" t="str">
        <f>TiposLancamentos!B15</f>
        <v>Cartões de Crédito</v>
      </c>
      <c r="C187" s="147" t="str">
        <f>TiposLancamentos!B15</f>
        <v>Cartões de Crédito</v>
      </c>
      <c r="D187" s="63">
        <v>695.57</v>
      </c>
      <c r="E187" s="49"/>
      <c r="F187" s="899"/>
    </row>
    <row r="188" spans="1:6">
      <c r="A188" s="934"/>
      <c r="B188" s="226"/>
      <c r="C188" s="227" t="s">
        <v>10</v>
      </c>
      <c r="D188" s="228"/>
      <c r="E188" s="228"/>
      <c r="F188" s="935"/>
    </row>
    <row r="189" spans="1:6" ht="14.25" thickBot="1">
      <c r="A189" s="900">
        <v>42058</v>
      </c>
      <c r="B189" s="901" t="str">
        <f>TiposLancamentos!B4</f>
        <v>Taxas Bancarias</v>
      </c>
      <c r="C189" s="902" t="s">
        <v>20032</v>
      </c>
      <c r="D189" s="903"/>
      <c r="E189" s="904">
        <v>19.25</v>
      </c>
      <c r="F189" s="905"/>
    </row>
    <row r="190" spans="1:6">
      <c r="A190" s="893"/>
      <c r="B190" s="894"/>
      <c r="C190" s="906" t="s">
        <v>6470</v>
      </c>
      <c r="D190" s="896"/>
      <c r="E190" s="897"/>
      <c r="F190" s="898">
        <f>SUM(E185:E187)</f>
        <v>19.25</v>
      </c>
    </row>
    <row r="191" spans="1:6">
      <c r="A191" s="864">
        <v>42065</v>
      </c>
      <c r="B191" s="76" t="str">
        <f>TiposLancamentos!B15</f>
        <v>Cartões de Crédito</v>
      </c>
      <c r="C191" s="147" t="s">
        <v>1874</v>
      </c>
      <c r="D191" s="63">
        <v>19.25</v>
      </c>
      <c r="E191" s="49"/>
      <c r="F191" s="899"/>
    </row>
    <row r="192" spans="1:6">
      <c r="A192" s="934"/>
      <c r="B192" s="226"/>
      <c r="C192" s="227" t="s">
        <v>10</v>
      </c>
      <c r="D192" s="228"/>
      <c r="E192" s="228"/>
      <c r="F192" s="935"/>
    </row>
    <row r="193" spans="1:6" ht="14.25" thickBot="1">
      <c r="A193" s="900">
        <v>42086</v>
      </c>
      <c r="B193" s="901" t="str">
        <f>TiposLancamentos!B4</f>
        <v>Taxas Bancarias</v>
      </c>
      <c r="C193" s="902" t="s">
        <v>20033</v>
      </c>
      <c r="D193" s="903"/>
      <c r="E193" s="904">
        <v>19.25</v>
      </c>
      <c r="F193" s="905"/>
    </row>
    <row r="194" spans="1:6">
      <c r="A194" s="893"/>
      <c r="B194" s="894"/>
      <c r="C194" s="906" t="s">
        <v>7055</v>
      </c>
      <c r="D194" s="896"/>
      <c r="E194" s="897"/>
      <c r="F194" s="898"/>
    </row>
    <row r="195" spans="1:6">
      <c r="A195" s="864">
        <v>42095</v>
      </c>
      <c r="B195" s="76" t="str">
        <f>TiposLancamentos!B15</f>
        <v>Cartões de Crédito</v>
      </c>
      <c r="C195" s="147" t="s">
        <v>1874</v>
      </c>
      <c r="D195" s="63">
        <v>19.25</v>
      </c>
      <c r="E195" s="49"/>
      <c r="F195" s="899"/>
    </row>
    <row r="196" spans="1:6">
      <c r="A196" s="934"/>
      <c r="B196" s="226"/>
      <c r="C196" s="227" t="s">
        <v>10</v>
      </c>
      <c r="D196" s="228"/>
      <c r="E196" s="228"/>
      <c r="F196" s="935"/>
    </row>
    <row r="197" spans="1:6" ht="14.25" thickBot="1">
      <c r="A197" s="900">
        <v>42117</v>
      </c>
      <c r="B197" s="901" t="str">
        <f>TiposLancamentos!B4</f>
        <v>Taxas Bancarias</v>
      </c>
      <c r="C197" s="902" t="s">
        <v>20034</v>
      </c>
      <c r="D197" s="903"/>
      <c r="E197" s="904">
        <v>19.25</v>
      </c>
      <c r="F197" s="905"/>
    </row>
    <row r="198" spans="1:6">
      <c r="A198" s="893"/>
      <c r="B198" s="894"/>
      <c r="C198" s="906" t="s">
        <v>7077</v>
      </c>
      <c r="D198" s="896"/>
      <c r="E198" s="897"/>
      <c r="F198" s="898"/>
    </row>
    <row r="199" spans="1:6">
      <c r="A199" s="864">
        <v>42128</v>
      </c>
      <c r="B199" s="76" t="str">
        <f>TiposLancamentos!B15</f>
        <v>Cartões de Crédito</v>
      </c>
      <c r="C199" s="147" t="s">
        <v>10915</v>
      </c>
      <c r="D199" s="63">
        <v>19.25</v>
      </c>
      <c r="E199" s="49"/>
      <c r="F199" s="899"/>
    </row>
    <row r="200" spans="1:6">
      <c r="A200" s="864">
        <v>42139</v>
      </c>
      <c r="B200" s="76" t="str">
        <f>TiposLancamentos!B19</f>
        <v>Restaurantes</v>
      </c>
      <c r="C200" s="147" t="s">
        <v>20035</v>
      </c>
      <c r="D200" s="63"/>
      <c r="E200" s="49">
        <v>266.58</v>
      </c>
      <c r="F200" s="899"/>
    </row>
    <row r="201" spans="1:6">
      <c r="A201" s="864">
        <v>42140</v>
      </c>
      <c r="B201" s="76" t="str">
        <f>TiposLancamentos!B64</f>
        <v>Viagens</v>
      </c>
      <c r="C201" s="147" t="s">
        <v>20036</v>
      </c>
      <c r="D201" s="63"/>
      <c r="E201" s="49">
        <v>30</v>
      </c>
      <c r="F201" s="899"/>
    </row>
    <row r="202" spans="1:6">
      <c r="A202" s="864">
        <v>42140</v>
      </c>
      <c r="B202" s="76" t="str">
        <f>TiposLancamentos!B5</f>
        <v>Supermercado</v>
      </c>
      <c r="C202" s="147" t="s">
        <v>20037</v>
      </c>
      <c r="D202" s="63"/>
      <c r="E202" s="49">
        <v>103.8</v>
      </c>
      <c r="F202" s="899"/>
    </row>
    <row r="203" spans="1:6">
      <c r="A203" s="864">
        <v>42140</v>
      </c>
      <c r="B203" s="76" t="str">
        <f>TiposLancamentos!B19</f>
        <v>Restaurantes</v>
      </c>
      <c r="C203" s="147" t="s">
        <v>20038</v>
      </c>
      <c r="D203" s="63"/>
      <c r="E203" s="49">
        <v>104.06</v>
      </c>
      <c r="F203" s="899"/>
    </row>
    <row r="204" spans="1:6">
      <c r="A204" s="864">
        <v>42140</v>
      </c>
      <c r="B204" s="76" t="str">
        <f>TiposLancamentos!B19</f>
        <v>Restaurantes</v>
      </c>
      <c r="C204" s="147" t="s">
        <v>20039</v>
      </c>
      <c r="D204" s="63"/>
      <c r="E204" s="49">
        <v>7.8</v>
      </c>
      <c r="F204" s="899"/>
    </row>
    <row r="205" spans="1:6">
      <c r="A205" s="864">
        <v>42140</v>
      </c>
      <c r="B205" s="76" t="str">
        <f>TiposLancamentos!B19</f>
        <v>Restaurantes</v>
      </c>
      <c r="C205" s="147" t="s">
        <v>20040</v>
      </c>
      <c r="D205" s="63"/>
      <c r="E205" s="49">
        <v>30.5</v>
      </c>
      <c r="F205" s="899"/>
    </row>
    <row r="206" spans="1:6">
      <c r="A206" s="864">
        <v>42140</v>
      </c>
      <c r="B206" s="76" t="str">
        <f>TiposLancamentos!B81</f>
        <v>Ferramentas gerais</v>
      </c>
      <c r="C206" s="147" t="s">
        <v>20041</v>
      </c>
      <c r="D206" s="63"/>
      <c r="E206" s="49">
        <v>260</v>
      </c>
      <c r="F206" s="899"/>
    </row>
    <row r="207" spans="1:6">
      <c r="A207" s="864">
        <v>42140</v>
      </c>
      <c r="B207" s="76" t="str">
        <f>TiposLancamentos!B16</f>
        <v>Cristiane</v>
      </c>
      <c r="C207" s="147" t="s">
        <v>20042</v>
      </c>
      <c r="D207" s="63"/>
      <c r="E207" s="49">
        <v>45</v>
      </c>
      <c r="F207" s="899"/>
    </row>
    <row r="208" spans="1:6">
      <c r="A208" s="864">
        <v>42140</v>
      </c>
      <c r="B208" s="76" t="str">
        <f>TiposLancamentos!B48</f>
        <v>Baralhos e Oráculos</v>
      </c>
      <c r="C208" s="147" t="s">
        <v>20043</v>
      </c>
      <c r="D208" s="63"/>
      <c r="E208" s="49">
        <v>70</v>
      </c>
      <c r="F208" s="899"/>
    </row>
    <row r="209" spans="1:6">
      <c r="A209" s="864">
        <v>42140</v>
      </c>
      <c r="B209" s="76" t="str">
        <f>TiposLancamentos!B19</f>
        <v>Restaurantes</v>
      </c>
      <c r="C209" s="147" t="s">
        <v>20044</v>
      </c>
      <c r="D209" s="63"/>
      <c r="E209" s="49">
        <v>69.959999999999994</v>
      </c>
      <c r="F209" s="899"/>
    </row>
    <row r="210" spans="1:6">
      <c r="A210" s="864">
        <v>42140</v>
      </c>
      <c r="B210" s="76" t="str">
        <f>TiposLancamentos!B16</f>
        <v>Cristiane</v>
      </c>
      <c r="C210" s="147" t="s">
        <v>20045</v>
      </c>
      <c r="D210" s="63"/>
      <c r="E210" s="49">
        <v>35</v>
      </c>
      <c r="F210" s="899"/>
    </row>
    <row r="211" spans="1:6">
      <c r="A211" s="864">
        <v>42140</v>
      </c>
      <c r="B211" s="76" t="str">
        <f>TiposLancamentos!B19</f>
        <v>Restaurantes</v>
      </c>
      <c r="C211" s="147" t="s">
        <v>20046</v>
      </c>
      <c r="D211" s="63"/>
      <c r="E211" s="49">
        <v>150.69999999999999</v>
      </c>
      <c r="F211" s="899"/>
    </row>
    <row r="212" spans="1:6">
      <c r="A212" s="864">
        <v>42141</v>
      </c>
      <c r="B212" s="76" t="str">
        <f>TiposLancamentos!B19</f>
        <v>Restaurantes</v>
      </c>
      <c r="C212" s="147" t="s">
        <v>20047</v>
      </c>
      <c r="D212" s="63"/>
      <c r="E212" s="49">
        <v>148.28</v>
      </c>
      <c r="F212" s="899"/>
    </row>
    <row r="213" spans="1:6">
      <c r="A213" s="864">
        <v>42141</v>
      </c>
      <c r="B213" s="76" t="str">
        <f>TiposLancamentos!B19</f>
        <v>Restaurantes</v>
      </c>
      <c r="C213" s="147" t="s">
        <v>20048</v>
      </c>
      <c r="D213" s="63"/>
      <c r="E213" s="49">
        <v>16.28</v>
      </c>
      <c r="F213" s="899"/>
    </row>
    <row r="214" spans="1:6">
      <c r="A214" s="864">
        <v>42141</v>
      </c>
      <c r="B214" s="76" t="str">
        <f>TiposLancamentos!B22</f>
        <v>Combustivel</v>
      </c>
      <c r="C214" s="147" t="s">
        <v>6398</v>
      </c>
      <c r="D214" s="63"/>
      <c r="E214" s="49">
        <v>83.85</v>
      </c>
      <c r="F214" s="899"/>
    </row>
    <row r="215" spans="1:6">
      <c r="A215" s="864">
        <v>42142</v>
      </c>
      <c r="B215" s="76" t="str">
        <f>TiposLancamentos!B62</f>
        <v>Papelaria</v>
      </c>
      <c r="C215" s="147" t="s">
        <v>20049</v>
      </c>
      <c r="D215" s="63"/>
      <c r="E215" s="49">
        <v>43.19</v>
      </c>
      <c r="F215" s="899"/>
    </row>
    <row r="216" spans="1:6">
      <c r="A216" s="934"/>
      <c r="B216" s="226"/>
      <c r="C216" s="227" t="s">
        <v>10</v>
      </c>
      <c r="D216" s="228"/>
      <c r="E216" s="228"/>
      <c r="F216" s="935"/>
    </row>
    <row r="217" spans="1:6">
      <c r="A217" s="864">
        <v>42143</v>
      </c>
      <c r="B217" s="76" t="str">
        <f>TiposLancamentos!B16</f>
        <v>Cristiane</v>
      </c>
      <c r="C217" s="147" t="s">
        <v>20050</v>
      </c>
      <c r="D217" s="63"/>
      <c r="E217" s="49">
        <v>25.99</v>
      </c>
      <c r="F217" s="899"/>
    </row>
    <row r="218" spans="1:6">
      <c r="A218" s="864">
        <v>42147</v>
      </c>
      <c r="B218" s="76" t="str">
        <f>TiposLancamentos!B4</f>
        <v>Taxas Bancarias</v>
      </c>
      <c r="C218" s="147" t="s">
        <v>20051</v>
      </c>
      <c r="D218" s="63"/>
      <c r="E218" s="49">
        <v>19.25</v>
      </c>
      <c r="F218" s="899"/>
    </row>
    <row r="219" spans="1:6">
      <c r="A219" s="864">
        <v>42149</v>
      </c>
      <c r="B219" s="76" t="str">
        <f>TiposLancamentos!B22</f>
        <v>Combustivel</v>
      </c>
      <c r="C219" s="147" t="s">
        <v>6412</v>
      </c>
      <c r="D219" s="63"/>
      <c r="E219" s="49">
        <v>60</v>
      </c>
      <c r="F219" s="899"/>
    </row>
    <row r="220" spans="1:6">
      <c r="A220" s="864">
        <v>42150</v>
      </c>
      <c r="B220" s="76" t="str">
        <f>TiposLancamentos!B16</f>
        <v>Cristiane</v>
      </c>
      <c r="C220" s="147" t="s">
        <v>20052</v>
      </c>
      <c r="D220" s="63"/>
      <c r="E220" s="49">
        <v>130</v>
      </c>
      <c r="F220" s="899"/>
    </row>
    <row r="221" spans="1:6">
      <c r="A221" s="864">
        <v>42150</v>
      </c>
      <c r="B221" s="76" t="str">
        <f>TiposLancamentos!B16</f>
        <v>Cristiane</v>
      </c>
      <c r="C221" s="147" t="s">
        <v>20053</v>
      </c>
      <c r="D221" s="63"/>
      <c r="E221" s="49">
        <v>75</v>
      </c>
      <c r="F221" s="899"/>
    </row>
    <row r="222" spans="1:6">
      <c r="A222" s="864">
        <v>42150</v>
      </c>
      <c r="B222" s="76" t="str">
        <f>TiposLancamentos!B19</f>
        <v>Restaurantes</v>
      </c>
      <c r="C222" s="147" t="s">
        <v>20054</v>
      </c>
      <c r="D222" s="63"/>
      <c r="E222" s="49">
        <v>28.7</v>
      </c>
      <c r="F222" s="899"/>
    </row>
    <row r="223" spans="1:6">
      <c r="A223" s="864">
        <v>42150</v>
      </c>
      <c r="B223" s="76" t="str">
        <f>TiposLancamentos!B16</f>
        <v>Cristiane</v>
      </c>
      <c r="C223" s="147" t="s">
        <v>6052</v>
      </c>
      <c r="D223" s="63"/>
      <c r="E223" s="49">
        <v>74.91</v>
      </c>
      <c r="F223" s="899"/>
    </row>
    <row r="224" spans="1:6">
      <c r="A224" s="864">
        <v>42152</v>
      </c>
      <c r="B224" s="76" t="str">
        <f>TiposLancamentos!B5</f>
        <v>Supermercado</v>
      </c>
      <c r="C224" s="147" t="str">
        <f>TiposLancamentos!B5</f>
        <v>Supermercado</v>
      </c>
      <c r="D224" s="63"/>
      <c r="E224" s="49">
        <v>17.55</v>
      </c>
      <c r="F224" s="899"/>
    </row>
    <row r="225" spans="1:6">
      <c r="A225" s="864">
        <v>42154</v>
      </c>
      <c r="B225" s="76" t="str">
        <f>TiposLancamentos!B17</f>
        <v>GATO</v>
      </c>
      <c r="C225" s="147" t="s">
        <v>20055</v>
      </c>
      <c r="D225" s="63"/>
      <c r="E225" s="49">
        <v>37.5</v>
      </c>
      <c r="F225" s="899"/>
    </row>
    <row r="226" spans="1:6">
      <c r="A226" s="864">
        <v>42154</v>
      </c>
      <c r="B226" s="76" t="str">
        <f>TiposLancamentos!B19</f>
        <v>Restaurantes</v>
      </c>
      <c r="C226" s="147" t="s">
        <v>6542</v>
      </c>
      <c r="D226" s="63"/>
      <c r="E226" s="49">
        <v>144</v>
      </c>
      <c r="F226" s="899"/>
    </row>
    <row r="227" spans="1:6">
      <c r="A227" s="864">
        <v>42155</v>
      </c>
      <c r="B227" s="76" t="str">
        <f>TiposLancamentos!B19</f>
        <v>Restaurantes</v>
      </c>
      <c r="C227" s="147" t="s">
        <v>20056</v>
      </c>
      <c r="D227" s="63"/>
      <c r="E227" s="49">
        <v>179.3</v>
      </c>
      <c r="F227" s="899"/>
    </row>
    <row r="228" spans="1:6" ht="14.25" thickBot="1">
      <c r="A228" s="864">
        <v>42155</v>
      </c>
      <c r="B228" s="76" t="str">
        <f>TiposLancamentos!B22</f>
        <v>Combustivel</v>
      </c>
      <c r="C228" s="147" t="s">
        <v>6728</v>
      </c>
      <c r="D228" s="63"/>
      <c r="E228" s="49">
        <v>80</v>
      </c>
      <c r="F228" s="899"/>
    </row>
    <row r="229" spans="1:6">
      <c r="A229" s="893"/>
      <c r="B229" s="894"/>
      <c r="C229" s="906" t="s">
        <v>7109</v>
      </c>
      <c r="D229" s="896"/>
      <c r="E229" s="897"/>
      <c r="F229" s="898">
        <f>SUM(E197:E215)</f>
        <v>1484.25</v>
      </c>
    </row>
    <row r="230" spans="1:6">
      <c r="A230" s="864">
        <v>42156</v>
      </c>
      <c r="B230" s="76" t="str">
        <f>TiposLancamentos!B15</f>
        <v>Cartões de Crédito</v>
      </c>
      <c r="C230" s="147" t="s">
        <v>1874</v>
      </c>
      <c r="D230" s="63">
        <v>1484.25</v>
      </c>
      <c r="E230" s="49"/>
      <c r="F230" s="899"/>
    </row>
    <row r="231" spans="1:6">
      <c r="A231" s="864">
        <v>42157</v>
      </c>
      <c r="B231" s="76" t="str">
        <f>TiposLancamentos!B22</f>
        <v>Combustivel</v>
      </c>
      <c r="C231" s="147" t="s">
        <v>6718</v>
      </c>
      <c r="D231" s="63"/>
      <c r="E231" s="49">
        <v>139.02000000000001</v>
      </c>
      <c r="F231" s="899"/>
    </row>
    <row r="232" spans="1:6">
      <c r="A232" s="864">
        <v>42157</v>
      </c>
      <c r="B232" s="76" t="str">
        <f>TiposLancamentos!B19</f>
        <v>Restaurantes</v>
      </c>
      <c r="C232" s="147" t="s">
        <v>3618</v>
      </c>
      <c r="D232" s="63"/>
      <c r="E232" s="49">
        <v>44.6</v>
      </c>
      <c r="F232" s="899"/>
    </row>
    <row r="233" spans="1:6">
      <c r="A233" s="864">
        <v>42158</v>
      </c>
      <c r="B233" s="76" t="str">
        <f>TiposLancamentos!B19</f>
        <v>Restaurantes</v>
      </c>
      <c r="C233" s="147" t="s">
        <v>20057</v>
      </c>
      <c r="D233" s="63"/>
      <c r="E233" s="49">
        <v>45</v>
      </c>
      <c r="F233" s="899"/>
    </row>
    <row r="234" spans="1:6">
      <c r="A234" s="864">
        <v>42159</v>
      </c>
      <c r="B234" s="76" t="str">
        <f>TiposLancamentos!B5</f>
        <v>Supermercado</v>
      </c>
      <c r="C234" s="147" t="s">
        <v>16747</v>
      </c>
      <c r="D234" s="63"/>
      <c r="E234" s="49">
        <v>92.46</v>
      </c>
      <c r="F234" s="899"/>
    </row>
    <row r="235" spans="1:6">
      <c r="A235" s="864">
        <v>42161</v>
      </c>
      <c r="B235" s="76" t="str">
        <f>TiposLancamentos!B17</f>
        <v>GATO</v>
      </c>
      <c r="C235" s="147" t="s">
        <v>20058</v>
      </c>
      <c r="D235" s="63"/>
      <c r="E235" s="49">
        <v>88.5</v>
      </c>
      <c r="F235" s="899"/>
    </row>
    <row r="236" spans="1:6">
      <c r="A236" s="864">
        <v>42161</v>
      </c>
      <c r="B236" s="76" t="str">
        <f>TiposLancamentos!B19</f>
        <v>Restaurantes</v>
      </c>
      <c r="C236" s="147" t="s">
        <v>6488</v>
      </c>
      <c r="D236" s="63"/>
      <c r="E236" s="49">
        <v>48.5</v>
      </c>
      <c r="F236" s="899"/>
    </row>
    <row r="237" spans="1:6">
      <c r="A237" s="864">
        <v>42162</v>
      </c>
      <c r="B237" s="76" t="str">
        <f>TiposLancamentos!B19</f>
        <v>Restaurantes</v>
      </c>
      <c r="C237" s="147" t="s">
        <v>20059</v>
      </c>
      <c r="D237" s="63"/>
      <c r="E237" s="49">
        <v>117</v>
      </c>
      <c r="F237" s="899"/>
    </row>
    <row r="238" spans="1:6">
      <c r="A238" s="806">
        <v>42162</v>
      </c>
      <c r="B238" s="822" t="str">
        <f>TiposLancamentos!B56</f>
        <v>Farmácia</v>
      </c>
      <c r="C238" s="808" t="s">
        <v>10735</v>
      </c>
      <c r="D238" s="747"/>
      <c r="E238" s="1139">
        <v>65</v>
      </c>
      <c r="F238" s="1145"/>
    </row>
    <row r="239" spans="1:6">
      <c r="A239" s="810">
        <v>42162</v>
      </c>
      <c r="B239" s="823" t="str">
        <f>TiposLancamentos!B16</f>
        <v>Cristiane</v>
      </c>
      <c r="C239" s="812" t="s">
        <v>20060</v>
      </c>
      <c r="D239" s="849"/>
      <c r="E239" s="1141">
        <f>F239-E238</f>
        <v>26.53</v>
      </c>
      <c r="F239" s="1146">
        <v>91.53</v>
      </c>
    </row>
    <row r="240" spans="1:6">
      <c r="A240" s="864">
        <v>42162</v>
      </c>
      <c r="B240" s="76" t="str">
        <f>TiposLancamentos!B16</f>
        <v>Cristiane</v>
      </c>
      <c r="C240" s="147" t="s">
        <v>20061</v>
      </c>
      <c r="D240" s="63"/>
      <c r="E240" s="49">
        <v>57.8</v>
      </c>
      <c r="F240" s="899"/>
    </row>
    <row r="241" spans="1:6">
      <c r="A241" s="864">
        <v>42162</v>
      </c>
      <c r="B241" s="76" t="str">
        <f>TiposLancamentos!B24</f>
        <v>Estacionamentos</v>
      </c>
      <c r="C241" s="147" t="s">
        <v>20062</v>
      </c>
      <c r="D241" s="63"/>
      <c r="E241" s="49">
        <v>6</v>
      </c>
      <c r="F241" s="899"/>
    </row>
    <row r="242" spans="1:6">
      <c r="A242" s="864">
        <v>42164</v>
      </c>
      <c r="B242" s="76" t="str">
        <f>TiposLancamentos!B5</f>
        <v>Supermercado</v>
      </c>
      <c r="C242" s="147" t="s">
        <v>6234</v>
      </c>
      <c r="D242" s="63"/>
      <c r="E242" s="49">
        <v>7.48</v>
      </c>
      <c r="F242" s="899"/>
    </row>
    <row r="243" spans="1:6">
      <c r="A243" s="864">
        <v>42167</v>
      </c>
      <c r="B243" s="76" t="str">
        <f>TiposLancamentos!B72</f>
        <v>Presentes</v>
      </c>
      <c r="C243" s="147" t="s">
        <v>20063</v>
      </c>
      <c r="D243" s="63"/>
      <c r="E243" s="49">
        <v>286</v>
      </c>
      <c r="F243" s="899"/>
    </row>
    <row r="244" spans="1:6">
      <c r="A244" s="864">
        <v>42168</v>
      </c>
      <c r="B244" s="76" t="str">
        <f>TiposLancamentos!B19</f>
        <v>Restaurantes</v>
      </c>
      <c r="C244" s="147" t="s">
        <v>6536</v>
      </c>
      <c r="D244" s="63"/>
      <c r="E244" s="49">
        <v>134.75</v>
      </c>
      <c r="F244" s="899"/>
    </row>
    <row r="245" spans="1:6">
      <c r="A245" s="864">
        <v>42168</v>
      </c>
      <c r="B245" s="76" t="str">
        <f>TiposLancamentos!B19</f>
        <v>Restaurantes</v>
      </c>
      <c r="C245" s="147" t="s">
        <v>20064</v>
      </c>
      <c r="D245" s="63"/>
      <c r="E245" s="49">
        <v>19.84</v>
      </c>
      <c r="F245" s="899"/>
    </row>
    <row r="246" spans="1:6">
      <c r="A246" s="864">
        <v>42169</v>
      </c>
      <c r="B246" s="76" t="str">
        <f>TiposLancamentos!B19</f>
        <v>Restaurantes</v>
      </c>
      <c r="C246" s="147" t="s">
        <v>20065</v>
      </c>
      <c r="D246" s="63"/>
      <c r="E246" s="49">
        <v>141.79</v>
      </c>
      <c r="F246" s="899"/>
    </row>
    <row r="247" spans="1:6">
      <c r="A247" s="864">
        <v>42170</v>
      </c>
      <c r="B247" s="76" t="str">
        <f>TiposLancamentos!B62</f>
        <v>Papelaria</v>
      </c>
      <c r="C247" s="147" t="s">
        <v>20066</v>
      </c>
      <c r="D247" s="63"/>
      <c r="E247" s="49">
        <v>17.46</v>
      </c>
      <c r="F247" s="899"/>
    </row>
    <row r="248" spans="1:6">
      <c r="A248" s="864">
        <v>42171</v>
      </c>
      <c r="B248" s="76" t="str">
        <f>TiposLancamentos!B28</f>
        <v>ComicBook</v>
      </c>
      <c r="C248" s="147" t="s">
        <v>20067</v>
      </c>
      <c r="D248" s="63"/>
      <c r="E248" s="49">
        <v>80.650000000000006</v>
      </c>
      <c r="F248" s="899"/>
    </row>
    <row r="249" spans="1:6">
      <c r="A249" s="934"/>
      <c r="B249" s="226"/>
      <c r="C249" s="227" t="s">
        <v>10</v>
      </c>
      <c r="D249" s="228"/>
      <c r="E249" s="228"/>
      <c r="F249" s="935"/>
    </row>
    <row r="250" spans="1:6">
      <c r="A250" s="864">
        <v>42174</v>
      </c>
      <c r="B250" s="76" t="str">
        <f>TiposLancamentos!B31</f>
        <v>Action Figures</v>
      </c>
      <c r="C250" s="147" t="s">
        <v>20068</v>
      </c>
      <c r="D250" s="63"/>
      <c r="E250" s="49">
        <v>72.47</v>
      </c>
      <c r="F250" s="899"/>
    </row>
    <row r="251" spans="1:6">
      <c r="A251" s="864">
        <v>42174</v>
      </c>
      <c r="B251" s="76" t="str">
        <f>TiposLancamentos!B22</f>
        <v>Combustivel</v>
      </c>
      <c r="C251" s="147" t="s">
        <v>6412</v>
      </c>
      <c r="D251" s="63"/>
      <c r="E251" s="49">
        <v>129</v>
      </c>
      <c r="F251" s="899"/>
    </row>
    <row r="252" spans="1:6">
      <c r="A252" s="864">
        <v>42174</v>
      </c>
      <c r="B252" s="76" t="str">
        <f>TiposLancamentos!B56</f>
        <v>Farmácia</v>
      </c>
      <c r="C252" s="147" t="s">
        <v>20069</v>
      </c>
      <c r="D252" s="63"/>
      <c r="E252" s="49">
        <v>33.729999999999997</v>
      </c>
      <c r="F252" s="899"/>
    </row>
    <row r="253" spans="1:6">
      <c r="A253" s="864">
        <v>42174</v>
      </c>
      <c r="B253" s="76" t="str">
        <f>TiposLancamentos!B19</f>
        <v>Restaurantes</v>
      </c>
      <c r="C253" s="147" t="s">
        <v>20070</v>
      </c>
      <c r="D253" s="63"/>
      <c r="E253" s="49">
        <v>62.69</v>
      </c>
      <c r="F253" s="899"/>
    </row>
    <row r="254" spans="1:6">
      <c r="A254" s="864">
        <v>42174</v>
      </c>
      <c r="B254" s="76" t="str">
        <f>TiposLancamentos!B19</f>
        <v>Restaurantes</v>
      </c>
      <c r="C254" s="147" t="s">
        <v>7172</v>
      </c>
      <c r="D254" s="63"/>
      <c r="E254" s="49">
        <v>16</v>
      </c>
      <c r="F254" s="899"/>
    </row>
    <row r="255" spans="1:6">
      <c r="A255" s="864">
        <v>42175</v>
      </c>
      <c r="B255" s="76" t="str">
        <f>TiposLancamentos!B19</f>
        <v>Restaurantes</v>
      </c>
      <c r="C255" s="147" t="s">
        <v>20071</v>
      </c>
      <c r="D255" s="63"/>
      <c r="E255" s="49">
        <v>41</v>
      </c>
      <c r="F255" s="899"/>
    </row>
    <row r="256" spans="1:6">
      <c r="A256" s="806">
        <v>42176</v>
      </c>
      <c r="B256" s="822" t="str">
        <f>TiposLancamentos!B73</f>
        <v>Cursos</v>
      </c>
      <c r="C256" s="808" t="s">
        <v>20072</v>
      </c>
      <c r="D256" s="747"/>
      <c r="E256" s="1139">
        <v>300</v>
      </c>
      <c r="F256" s="1145"/>
    </row>
    <row r="257" spans="1:6">
      <c r="A257" s="773">
        <v>42176</v>
      </c>
      <c r="B257" s="275" t="str">
        <f>TiposLancamentos!B48</f>
        <v>Baralhos e Oráculos</v>
      </c>
      <c r="C257" s="141" t="s">
        <v>20073</v>
      </c>
      <c r="D257" s="51"/>
      <c r="E257" s="1147">
        <v>90</v>
      </c>
      <c r="F257" s="1148"/>
    </row>
    <row r="258" spans="1:6">
      <c r="A258" s="810">
        <v>42176</v>
      </c>
      <c r="B258" s="823" t="str">
        <f>TiposLancamentos!B72</f>
        <v>Presentes</v>
      </c>
      <c r="C258" s="812" t="s">
        <v>20074</v>
      </c>
      <c r="D258" s="849"/>
      <c r="E258" s="1141">
        <v>60</v>
      </c>
      <c r="F258" s="1146">
        <f>SUM(E256:E258)</f>
        <v>450</v>
      </c>
    </row>
    <row r="259" spans="1:6">
      <c r="A259" s="864">
        <v>42176</v>
      </c>
      <c r="B259" s="76" t="str">
        <f>TiposLancamentos!B5</f>
        <v>Supermercado</v>
      </c>
      <c r="C259" s="147" t="s">
        <v>6234</v>
      </c>
      <c r="D259" s="63"/>
      <c r="E259" s="49">
        <v>71.540000000000006</v>
      </c>
      <c r="F259" s="899"/>
    </row>
    <row r="260" spans="1:6">
      <c r="A260" s="864">
        <v>42177</v>
      </c>
      <c r="B260" s="76" t="str">
        <f>TiposLancamentos!B19</f>
        <v>Restaurantes</v>
      </c>
      <c r="C260" s="147" t="s">
        <v>20075</v>
      </c>
      <c r="D260" s="63"/>
      <c r="E260" s="49">
        <v>25.28</v>
      </c>
      <c r="F260" s="899"/>
    </row>
    <row r="261" spans="1:6">
      <c r="A261" s="864">
        <v>42178</v>
      </c>
      <c r="B261" s="76" t="str">
        <f>TiposLancamentos!B19</f>
        <v>Restaurantes</v>
      </c>
      <c r="C261" s="147" t="s">
        <v>20076</v>
      </c>
      <c r="D261" s="63"/>
      <c r="E261" s="49">
        <v>66.55</v>
      </c>
      <c r="F261" s="899"/>
    </row>
    <row r="262" spans="1:6">
      <c r="A262" s="864">
        <v>42178</v>
      </c>
      <c r="B262" s="76" t="str">
        <f>TiposLancamentos!B16</f>
        <v>Cristiane</v>
      </c>
      <c r="C262" s="147" t="s">
        <v>20077</v>
      </c>
      <c r="D262" s="63"/>
      <c r="E262" s="49">
        <v>229.99</v>
      </c>
      <c r="F262" s="899"/>
    </row>
    <row r="263" spans="1:6">
      <c r="A263" s="864">
        <v>42178</v>
      </c>
      <c r="B263" s="76" t="str">
        <f>TiposLancamentos!B16</f>
        <v>Cristiane</v>
      </c>
      <c r="C263" s="147" t="s">
        <v>20078</v>
      </c>
      <c r="D263" s="63"/>
      <c r="E263" s="49">
        <v>126.73</v>
      </c>
      <c r="F263" s="899"/>
    </row>
    <row r="264" spans="1:6">
      <c r="A264" s="864">
        <v>42178</v>
      </c>
      <c r="B264" s="76" t="str">
        <f>TiposLancamentos!B19</f>
        <v>Restaurantes</v>
      </c>
      <c r="C264" s="147" t="s">
        <v>20079</v>
      </c>
      <c r="D264" s="63"/>
      <c r="E264" s="49">
        <v>16.5</v>
      </c>
      <c r="F264" s="899"/>
    </row>
    <row r="265" spans="1:6">
      <c r="A265" s="864">
        <v>42179</v>
      </c>
      <c r="B265" s="76" t="str">
        <f>TiposLancamentos!B4</f>
        <v>Taxas Bancarias</v>
      </c>
      <c r="C265" s="147" t="s">
        <v>20080</v>
      </c>
      <c r="D265" s="63"/>
      <c r="E265" s="49">
        <v>9.6300000000000008</v>
      </c>
      <c r="F265" s="899"/>
    </row>
    <row r="266" spans="1:6" ht="14.25" thickBot="1">
      <c r="A266" s="864">
        <v>42184</v>
      </c>
      <c r="B266" s="76" t="str">
        <f>TiposLancamentos!B24</f>
        <v>Estacionamentos</v>
      </c>
      <c r="C266" s="147" t="s">
        <v>10823</v>
      </c>
      <c r="D266" s="63"/>
      <c r="E266" s="49">
        <v>18</v>
      </c>
      <c r="F266" s="899"/>
    </row>
    <row r="267" spans="1:6">
      <c r="A267" s="893"/>
      <c r="B267" s="894"/>
      <c r="C267" s="906" t="s">
        <v>7122</v>
      </c>
      <c r="D267" s="896"/>
      <c r="E267" s="897"/>
      <c r="F267" s="898">
        <f>SUM(E217:E249)</f>
        <v>2290.58</v>
      </c>
    </row>
    <row r="268" spans="1:6">
      <c r="A268" s="864">
        <v>42186</v>
      </c>
      <c r="B268" s="76" t="str">
        <f>TiposLancamentos!B15</f>
        <v>Cartões de Crédito</v>
      </c>
      <c r="C268" s="147" t="s">
        <v>10915</v>
      </c>
      <c r="D268" s="63">
        <v>2290.58</v>
      </c>
      <c r="E268" s="49"/>
      <c r="F268" s="899">
        <f>F267-F229</f>
        <v>806.32999999999993</v>
      </c>
    </row>
    <row r="269" spans="1:6">
      <c r="A269" s="864">
        <v>42187</v>
      </c>
      <c r="B269" s="76" t="str">
        <f>TiposLancamentos!B5</f>
        <v>Supermercado</v>
      </c>
      <c r="C269" s="147" t="s">
        <v>6234</v>
      </c>
      <c r="D269" s="63"/>
      <c r="E269" s="49">
        <v>216.87</v>
      </c>
      <c r="F269" s="899"/>
    </row>
    <row r="270" spans="1:6">
      <c r="A270" s="1131">
        <v>42187</v>
      </c>
      <c r="B270" s="279" t="str">
        <f>TiposLancamentos!B16</f>
        <v>Cristiane</v>
      </c>
      <c r="C270" s="280" t="s">
        <v>5876</v>
      </c>
      <c r="D270" s="281"/>
      <c r="E270" s="282">
        <v>122.9</v>
      </c>
      <c r="F270" s="1149"/>
    </row>
    <row r="271" spans="1:6">
      <c r="A271" s="934"/>
      <c r="B271" s="226"/>
      <c r="C271" s="227" t="s">
        <v>10</v>
      </c>
      <c r="D271" s="228"/>
      <c r="E271" s="228"/>
      <c r="F271" s="935"/>
    </row>
    <row r="272" spans="1:6">
      <c r="A272" s="864">
        <v>42206</v>
      </c>
      <c r="B272" s="76" t="str">
        <f>TiposLancamentos!B16</f>
        <v>Cristiane</v>
      </c>
      <c r="C272" s="147" t="s">
        <v>20081</v>
      </c>
      <c r="D272" s="63"/>
      <c r="E272" s="49">
        <f>F272/2</f>
        <v>194.95</v>
      </c>
      <c r="F272" s="899">
        <v>389.9</v>
      </c>
    </row>
    <row r="273" spans="1:6">
      <c r="A273" s="864">
        <v>42207</v>
      </c>
      <c r="B273" s="76" t="str">
        <f>TiposLancamentos!B4</f>
        <v>Taxas Bancarias</v>
      </c>
      <c r="C273" s="147" t="s">
        <v>20082</v>
      </c>
      <c r="D273" s="63"/>
      <c r="E273" s="49">
        <v>9.6300000000000008</v>
      </c>
      <c r="F273" s="899"/>
    </row>
    <row r="274" spans="1:6">
      <c r="A274" s="864">
        <v>42207</v>
      </c>
      <c r="B274" s="76" t="str">
        <f>TiposLancamentos!B48</f>
        <v>Baralhos e Oráculos</v>
      </c>
      <c r="C274" s="147" t="s">
        <v>20083</v>
      </c>
      <c r="D274" s="63"/>
      <c r="E274" s="49">
        <v>254.4</v>
      </c>
      <c r="F274" s="899"/>
    </row>
    <row r="275" spans="1:6">
      <c r="A275" s="864">
        <v>42209</v>
      </c>
      <c r="B275" s="76" t="str">
        <f>TiposLancamentos!B34</f>
        <v>Seguros</v>
      </c>
      <c r="C275" s="147" t="s">
        <v>20084</v>
      </c>
      <c r="D275" s="63"/>
      <c r="E275" s="49">
        <v>564.49</v>
      </c>
      <c r="F275" s="899"/>
    </row>
    <row r="276" spans="1:6">
      <c r="A276" s="864">
        <v>42213</v>
      </c>
      <c r="B276" s="76" t="str">
        <f>TiposLancamentos!B19</f>
        <v>Restaurantes</v>
      </c>
      <c r="C276" s="147" t="s">
        <v>20085</v>
      </c>
      <c r="D276" s="63"/>
      <c r="E276" s="49">
        <v>87.2</v>
      </c>
      <c r="F276" s="899"/>
    </row>
    <row r="277" spans="1:6">
      <c r="A277" s="864">
        <v>42213</v>
      </c>
      <c r="B277" s="76" t="str">
        <f>TiposLancamentos!B19</f>
        <v>Restaurantes</v>
      </c>
      <c r="C277" s="147" t="s">
        <v>10692</v>
      </c>
      <c r="D277" s="63"/>
      <c r="E277" s="49">
        <v>13.4</v>
      </c>
      <c r="F277" s="899"/>
    </row>
    <row r="278" spans="1:6">
      <c r="A278" s="864">
        <v>42213</v>
      </c>
      <c r="B278" s="76" t="str">
        <f>TiposLancamentos!B4</f>
        <v>Taxas Bancarias</v>
      </c>
      <c r="C278" s="147" t="s">
        <v>20086</v>
      </c>
      <c r="D278" s="63"/>
      <c r="E278" s="49">
        <v>8.93</v>
      </c>
      <c r="F278" s="899"/>
    </row>
    <row r="279" spans="1:6">
      <c r="A279" s="864">
        <v>42213</v>
      </c>
      <c r="B279" s="76" t="str">
        <f>TiposLancamentos!B102</f>
        <v>ESTORNO</v>
      </c>
      <c r="C279" s="147" t="s">
        <v>20086</v>
      </c>
      <c r="D279" s="63">
        <v>8.93</v>
      </c>
      <c r="E279" s="49"/>
      <c r="F279" s="899"/>
    </row>
    <row r="280" spans="1:6" ht="14.25" thickBot="1">
      <c r="A280" s="864">
        <v>42213</v>
      </c>
      <c r="B280" s="76" t="str">
        <f>TiposLancamentos!B19</f>
        <v>Restaurantes</v>
      </c>
      <c r="C280" s="147" t="s">
        <v>4956</v>
      </c>
      <c r="D280" s="63"/>
      <c r="E280" s="49">
        <v>31</v>
      </c>
      <c r="F280" s="899"/>
    </row>
    <row r="281" spans="1:6">
      <c r="A281" s="893"/>
      <c r="B281" s="894"/>
      <c r="C281" s="906" t="s">
        <v>13694</v>
      </c>
      <c r="D281" s="896"/>
      <c r="E281" s="897"/>
      <c r="F281" s="898">
        <f>SUM(E250:E270)</f>
        <v>1708.88</v>
      </c>
    </row>
    <row r="282" spans="1:6">
      <c r="A282" s="864">
        <v>42219</v>
      </c>
      <c r="B282" s="76" t="str">
        <f>TiposLancamentos!B15</f>
        <v>Cartões de Crédito</v>
      </c>
      <c r="C282" s="147" t="s">
        <v>1874</v>
      </c>
      <c r="D282" s="63">
        <v>1708.88</v>
      </c>
      <c r="E282" s="49"/>
      <c r="F282" s="899">
        <f>F281-F267</f>
        <v>-581.69999999999982</v>
      </c>
    </row>
    <row r="283" spans="1:6">
      <c r="A283" s="864">
        <v>42224</v>
      </c>
      <c r="B283" s="76" t="str">
        <f>TiposLancamentos!B19</f>
        <v>Restaurantes</v>
      </c>
      <c r="C283" s="147" t="s">
        <v>20087</v>
      </c>
      <c r="D283" s="63"/>
      <c r="E283" s="49">
        <v>26.63</v>
      </c>
      <c r="F283" s="899"/>
    </row>
    <row r="284" spans="1:6">
      <c r="A284" s="864">
        <v>42224</v>
      </c>
      <c r="B284" s="76" t="str">
        <f>TiposLancamentos!B5</f>
        <v>Supermercado</v>
      </c>
      <c r="C284" s="147" t="s">
        <v>6234</v>
      </c>
      <c r="D284" s="63"/>
      <c r="E284" s="49">
        <v>21.02</v>
      </c>
      <c r="F284" s="899"/>
    </row>
    <row r="285" spans="1:6">
      <c r="A285" s="864">
        <v>42225</v>
      </c>
      <c r="B285" s="76" t="str">
        <f>TiposLancamentos!B48</f>
        <v>Baralhos e Oráculos</v>
      </c>
      <c r="C285" s="147" t="s">
        <v>20088</v>
      </c>
      <c r="D285" s="63"/>
      <c r="E285" s="49">
        <v>215</v>
      </c>
      <c r="F285" s="899">
        <v>215</v>
      </c>
    </row>
    <row r="286" spans="1:6">
      <c r="A286" s="864">
        <v>42225</v>
      </c>
      <c r="B286" s="76" t="str">
        <f>TiposLancamentos!B19</f>
        <v>Restaurantes</v>
      </c>
      <c r="C286" s="147" t="s">
        <v>20089</v>
      </c>
      <c r="D286" s="63"/>
      <c r="E286" s="49">
        <v>43.99</v>
      </c>
      <c r="F286" s="899"/>
    </row>
    <row r="287" spans="1:6">
      <c r="A287" s="864">
        <v>42226</v>
      </c>
      <c r="B287" s="76" t="str">
        <f>TiposLancamentos!B19</f>
        <v>Restaurantes</v>
      </c>
      <c r="C287" s="147" t="s">
        <v>20090</v>
      </c>
      <c r="D287" s="63"/>
      <c r="E287" s="49">
        <v>49</v>
      </c>
      <c r="F287" s="899"/>
    </row>
    <row r="288" spans="1:6">
      <c r="A288" s="864">
        <v>42226</v>
      </c>
      <c r="B288" s="76" t="str">
        <f>TiposLancamentos!B19</f>
        <v>Restaurantes</v>
      </c>
      <c r="C288" s="147" t="s">
        <v>6981</v>
      </c>
      <c r="D288" s="63"/>
      <c r="E288" s="49">
        <v>62.83</v>
      </c>
      <c r="F288" s="899"/>
    </row>
    <row r="289" spans="1:6">
      <c r="A289" s="864">
        <v>42227</v>
      </c>
      <c r="B289" s="76" t="str">
        <f>TiposLancamentos!B5</f>
        <v>Supermercado</v>
      </c>
      <c r="C289" s="147" t="s">
        <v>5844</v>
      </c>
      <c r="D289" s="63"/>
      <c r="E289" s="49">
        <v>53.11</v>
      </c>
      <c r="F289" s="899"/>
    </row>
    <row r="290" spans="1:6">
      <c r="A290" s="864">
        <v>42227</v>
      </c>
      <c r="B290" s="76" t="str">
        <f>TiposLancamentos!B22</f>
        <v>Combustivel</v>
      </c>
      <c r="C290" s="147" t="s">
        <v>20091</v>
      </c>
      <c r="D290" s="63"/>
      <c r="E290" s="49">
        <v>60</v>
      </c>
      <c r="F290" s="899"/>
    </row>
    <row r="291" spans="1:6">
      <c r="A291" s="864">
        <v>42227</v>
      </c>
      <c r="B291" s="76" t="str">
        <f>TiposLancamentos!B22</f>
        <v>Combustivel</v>
      </c>
      <c r="C291" s="147" t="s">
        <v>6718</v>
      </c>
      <c r="D291" s="63"/>
      <c r="E291" s="49">
        <v>75</v>
      </c>
      <c r="F291" s="899"/>
    </row>
    <row r="292" spans="1:6">
      <c r="A292" s="864">
        <v>42228</v>
      </c>
      <c r="B292" s="76" t="str">
        <f>TiposLancamentos!B56</f>
        <v>Farmácia</v>
      </c>
      <c r="C292" s="147" t="s">
        <v>20092</v>
      </c>
      <c r="D292" s="63"/>
      <c r="E292" s="49">
        <v>124.32</v>
      </c>
      <c r="F292" s="899"/>
    </row>
    <row r="293" spans="1:6">
      <c r="A293" s="864">
        <v>42228</v>
      </c>
      <c r="B293" s="76" t="str">
        <f>TiposLancamentos!B19</f>
        <v>Restaurantes</v>
      </c>
      <c r="C293" s="147" t="s">
        <v>15788</v>
      </c>
      <c r="D293" s="63"/>
      <c r="E293" s="49">
        <v>68.53</v>
      </c>
      <c r="F293" s="899"/>
    </row>
    <row r="294" spans="1:6">
      <c r="A294" s="864">
        <v>42229</v>
      </c>
      <c r="B294" s="76" t="str">
        <f>TiposLancamentos!B19</f>
        <v>Restaurantes</v>
      </c>
      <c r="C294" s="147" t="s">
        <v>3618</v>
      </c>
      <c r="D294" s="63"/>
      <c r="E294" s="49">
        <v>53.47</v>
      </c>
      <c r="F294" s="899"/>
    </row>
    <row r="295" spans="1:6">
      <c r="A295" s="864">
        <v>42230</v>
      </c>
      <c r="B295" s="76" t="str">
        <f>TiposLancamentos!B19</f>
        <v>Restaurantes</v>
      </c>
      <c r="C295" s="147" t="s">
        <v>14837</v>
      </c>
      <c r="D295" s="63"/>
      <c r="E295" s="49">
        <v>33</v>
      </c>
      <c r="F295" s="899"/>
    </row>
    <row r="296" spans="1:6">
      <c r="A296" s="864">
        <v>42230</v>
      </c>
      <c r="B296" s="76" t="str">
        <f>TiposLancamentos!B56</f>
        <v>Farmácia</v>
      </c>
      <c r="C296" s="147" t="s">
        <v>8280</v>
      </c>
      <c r="D296" s="63"/>
      <c r="E296" s="49">
        <v>56.49</v>
      </c>
      <c r="F296" s="899"/>
    </row>
    <row r="297" spans="1:6">
      <c r="A297" s="864">
        <v>42231</v>
      </c>
      <c r="B297" s="76" t="str">
        <f>TiposLancamentos!B19</f>
        <v>Restaurantes</v>
      </c>
      <c r="C297" s="147" t="s">
        <v>20093</v>
      </c>
      <c r="D297" s="63"/>
      <c r="E297" s="49">
        <v>103.51</v>
      </c>
      <c r="F297" s="899"/>
    </row>
    <row r="298" spans="1:6">
      <c r="A298" s="806">
        <v>42231</v>
      </c>
      <c r="B298" s="822" t="str">
        <f>TiposLancamentos!B62</f>
        <v>Papelaria</v>
      </c>
      <c r="C298" s="808" t="s">
        <v>20094</v>
      </c>
      <c r="D298" s="747"/>
      <c r="E298" s="1139">
        <v>22.5</v>
      </c>
      <c r="F298" s="1145"/>
    </row>
    <row r="299" spans="1:6">
      <c r="A299" s="810">
        <v>42231</v>
      </c>
      <c r="B299" s="823" t="str">
        <f>TiposLancamentos!B16</f>
        <v>Cristiane</v>
      </c>
      <c r="C299" s="812" t="s">
        <v>20095</v>
      </c>
      <c r="D299" s="849"/>
      <c r="E299" s="1141">
        <f>F299-E298</f>
        <v>45.099999999999994</v>
      </c>
      <c r="F299" s="1146">
        <v>67.599999999999994</v>
      </c>
    </row>
    <row r="300" spans="1:6">
      <c r="A300" s="934"/>
      <c r="B300" s="226"/>
      <c r="C300" s="227" t="s">
        <v>10</v>
      </c>
      <c r="D300" s="228"/>
      <c r="E300" s="228"/>
      <c r="F300" s="935"/>
    </row>
    <row r="301" spans="1:6">
      <c r="A301" s="864">
        <v>42236</v>
      </c>
      <c r="B301" s="76" t="str">
        <f>TiposLancamentos!B19</f>
        <v>Restaurantes</v>
      </c>
      <c r="C301" s="147" t="s">
        <v>20096</v>
      </c>
      <c r="D301" s="63"/>
      <c r="E301" s="49">
        <v>65.58</v>
      </c>
      <c r="F301" s="899"/>
    </row>
    <row r="302" spans="1:6">
      <c r="A302" s="864">
        <v>42236</v>
      </c>
      <c r="B302" s="76" t="str">
        <f>TiposLancamentos!B72</f>
        <v>Presentes</v>
      </c>
      <c r="C302" s="147" t="s">
        <v>20097</v>
      </c>
      <c r="D302" s="63"/>
      <c r="E302" s="49">
        <v>143.47999999999999</v>
      </c>
      <c r="F302" s="899"/>
    </row>
    <row r="303" spans="1:6">
      <c r="A303" s="864">
        <v>42237</v>
      </c>
      <c r="B303" s="76" t="str">
        <f>TiposLancamentos!B19</f>
        <v>Restaurantes</v>
      </c>
      <c r="C303" s="147" t="s">
        <v>6542</v>
      </c>
      <c r="D303" s="63"/>
      <c r="E303" s="49">
        <v>71.5</v>
      </c>
      <c r="F303" s="899"/>
    </row>
    <row r="304" spans="1:6">
      <c r="A304" s="864">
        <v>42237</v>
      </c>
      <c r="B304" s="76" t="str">
        <f>TiposLancamentos!B19</f>
        <v>Restaurantes</v>
      </c>
      <c r="C304" s="147" t="s">
        <v>20098</v>
      </c>
      <c r="D304" s="63"/>
      <c r="E304" s="49">
        <v>63.1</v>
      </c>
      <c r="F304" s="899"/>
    </row>
    <row r="305" spans="1:6">
      <c r="A305" s="864">
        <v>42237</v>
      </c>
      <c r="B305" s="76" t="str">
        <f>TiposLancamentos!B16</f>
        <v>Cristiane</v>
      </c>
      <c r="C305" s="147" t="s">
        <v>20099</v>
      </c>
      <c r="D305" s="63"/>
      <c r="E305" s="49">
        <v>194.95</v>
      </c>
      <c r="F305" s="899"/>
    </row>
    <row r="306" spans="1:6">
      <c r="A306" s="864">
        <v>42238</v>
      </c>
      <c r="B306" s="76" t="str">
        <f>TiposLancamentos!B4</f>
        <v>Taxas Bancarias</v>
      </c>
      <c r="C306" s="147" t="s">
        <v>20100</v>
      </c>
      <c r="D306" s="63"/>
      <c r="E306" s="49">
        <v>9.6300000000000008</v>
      </c>
      <c r="F306" s="899"/>
    </row>
    <row r="307" spans="1:6">
      <c r="A307" s="864">
        <v>42239</v>
      </c>
      <c r="B307" s="76" t="str">
        <f>TiposLancamentos!B19</f>
        <v>Restaurantes</v>
      </c>
      <c r="C307" s="147" t="s">
        <v>6468</v>
      </c>
      <c r="D307" s="63"/>
      <c r="E307" s="49">
        <v>148.5</v>
      </c>
      <c r="F307" s="899"/>
    </row>
    <row r="308" spans="1:6">
      <c r="A308" s="864">
        <v>42240</v>
      </c>
      <c r="B308" s="76" t="str">
        <f>TiposLancamentos!B34</f>
        <v>Seguros</v>
      </c>
      <c r="C308" s="147" t="s">
        <v>20101</v>
      </c>
      <c r="D308" s="63"/>
      <c r="E308" s="49">
        <v>564.48</v>
      </c>
      <c r="F308" s="899"/>
    </row>
    <row r="309" spans="1:6">
      <c r="A309" s="864">
        <v>42240</v>
      </c>
      <c r="B309" s="76" t="str">
        <f>TiposLancamentos!B48</f>
        <v>Baralhos e Oráculos</v>
      </c>
      <c r="C309" s="147" t="s">
        <v>20102</v>
      </c>
      <c r="D309" s="63"/>
      <c r="E309" s="49">
        <v>93.48</v>
      </c>
      <c r="F309" s="899"/>
    </row>
    <row r="310" spans="1:6">
      <c r="A310" s="864">
        <v>42240</v>
      </c>
      <c r="B310" s="76" t="str">
        <f>TiposLancamentos!B22</f>
        <v>Combustivel</v>
      </c>
      <c r="C310" s="147" t="s">
        <v>6728</v>
      </c>
      <c r="D310" s="63"/>
      <c r="E310" s="49">
        <v>80</v>
      </c>
      <c r="F310" s="899"/>
    </row>
    <row r="311" spans="1:6">
      <c r="A311" s="864">
        <v>42240</v>
      </c>
      <c r="B311" s="76" t="str">
        <f>TiposLancamentos!B72</f>
        <v>Presentes</v>
      </c>
      <c r="C311" s="147" t="s">
        <v>20103</v>
      </c>
      <c r="D311" s="63"/>
      <c r="E311" s="49">
        <v>200.8</v>
      </c>
      <c r="F311" s="899"/>
    </row>
    <row r="312" spans="1:6">
      <c r="A312" s="864">
        <v>42240</v>
      </c>
      <c r="B312" s="76" t="str">
        <f>TiposLancamentos!B72</f>
        <v>Presentes</v>
      </c>
      <c r="C312" s="147" t="s">
        <v>20104</v>
      </c>
      <c r="D312" s="63"/>
      <c r="E312" s="49">
        <v>167.98</v>
      </c>
      <c r="F312" s="899"/>
    </row>
    <row r="313" spans="1:6">
      <c r="A313" s="864">
        <v>42240</v>
      </c>
      <c r="B313" s="76" t="str">
        <f>TiposLancamentos!B72</f>
        <v>Presentes</v>
      </c>
      <c r="C313" s="147" t="s">
        <v>20105</v>
      </c>
      <c r="D313" s="63"/>
      <c r="E313" s="49">
        <v>152</v>
      </c>
      <c r="F313" s="899"/>
    </row>
    <row r="314" spans="1:6">
      <c r="A314" s="864">
        <v>42240</v>
      </c>
      <c r="B314" s="76" t="str">
        <f>TiposLancamentos!B19</f>
        <v>Restaurantes</v>
      </c>
      <c r="C314" s="147" t="s">
        <v>5742</v>
      </c>
      <c r="D314" s="63"/>
      <c r="E314" s="49">
        <v>25.9</v>
      </c>
      <c r="F314" s="899"/>
    </row>
    <row r="315" spans="1:6">
      <c r="A315" s="864">
        <v>42241</v>
      </c>
      <c r="B315" s="76" t="str">
        <f>TiposLancamentos!B72</f>
        <v>Presentes</v>
      </c>
      <c r="C315" s="147" t="s">
        <v>20106</v>
      </c>
      <c r="D315" s="63"/>
      <c r="E315" s="49">
        <v>114</v>
      </c>
      <c r="F315" s="899"/>
    </row>
    <row r="316" spans="1:6">
      <c r="A316" s="864">
        <v>42241</v>
      </c>
      <c r="B316" s="76" t="str">
        <f>TiposLancamentos!B57</f>
        <v>Informática</v>
      </c>
      <c r="C316" s="147" t="s">
        <v>20107</v>
      </c>
      <c r="D316" s="63"/>
      <c r="E316" s="49">
        <v>69.900000000000006</v>
      </c>
      <c r="F316" s="899"/>
    </row>
    <row r="317" spans="1:6">
      <c r="A317" s="864">
        <v>42241</v>
      </c>
      <c r="B317" s="76" t="str">
        <f>TiposLancamentos!B19</f>
        <v>Restaurantes</v>
      </c>
      <c r="C317" s="147" t="s">
        <v>20108</v>
      </c>
      <c r="D317" s="63"/>
      <c r="E317" s="49">
        <v>71.61</v>
      </c>
      <c r="F317" s="899"/>
    </row>
    <row r="318" spans="1:6">
      <c r="A318" s="864">
        <v>42241</v>
      </c>
      <c r="B318" s="76" t="str">
        <f>TiposLancamentos!B24</f>
        <v>Estacionamentos</v>
      </c>
      <c r="C318" s="147" t="s">
        <v>20109</v>
      </c>
      <c r="D318" s="63"/>
      <c r="E318" s="49">
        <v>7</v>
      </c>
      <c r="F318" s="899"/>
    </row>
    <row r="319" spans="1:6">
      <c r="A319" s="864">
        <v>42241</v>
      </c>
      <c r="B319" s="76" t="str">
        <f>TiposLancamentos!B19</f>
        <v>Restaurantes</v>
      </c>
      <c r="C319" s="147" t="s">
        <v>6768</v>
      </c>
      <c r="D319" s="63"/>
      <c r="E319" s="49">
        <v>160.61000000000001</v>
      </c>
      <c r="F319" s="899"/>
    </row>
    <row r="320" spans="1:6">
      <c r="A320" s="864">
        <v>42242</v>
      </c>
      <c r="B320" s="76" t="str">
        <f>TiposLancamentos!B26</f>
        <v>LIVROS</v>
      </c>
      <c r="C320" s="147" t="s">
        <v>373</v>
      </c>
      <c r="D320" s="63"/>
      <c r="E320" s="49">
        <v>34.630000000000003</v>
      </c>
      <c r="F320" s="899"/>
    </row>
    <row r="321" spans="1:6">
      <c r="A321" s="864">
        <v>42242</v>
      </c>
      <c r="B321" s="76" t="str">
        <f>TiposLancamentos!B19</f>
        <v>Restaurantes</v>
      </c>
      <c r="C321" s="147" t="s">
        <v>20110</v>
      </c>
      <c r="D321" s="63"/>
      <c r="E321" s="49">
        <v>13.4</v>
      </c>
      <c r="F321" s="899"/>
    </row>
    <row r="322" spans="1:6">
      <c r="A322" s="864">
        <v>42242</v>
      </c>
      <c r="B322" s="76" t="str">
        <f>TiposLancamentos!B19</f>
        <v>Restaurantes</v>
      </c>
      <c r="C322" s="147" t="s">
        <v>16929</v>
      </c>
      <c r="D322" s="63"/>
      <c r="E322" s="49">
        <v>17</v>
      </c>
      <c r="F322" s="899"/>
    </row>
    <row r="323" spans="1:6">
      <c r="A323" s="864">
        <v>42244</v>
      </c>
      <c r="B323" s="76" t="str">
        <f>TiposLancamentos!B19</f>
        <v>Restaurantes</v>
      </c>
      <c r="C323" s="147" t="s">
        <v>20111</v>
      </c>
      <c r="D323" s="63"/>
      <c r="E323" s="49">
        <v>88.11</v>
      </c>
      <c r="F323" s="899"/>
    </row>
    <row r="324" spans="1:6">
      <c r="A324" s="864">
        <v>42244</v>
      </c>
      <c r="B324" s="76" t="str">
        <f>TiposLancamentos!B13</f>
        <v>Moradia</v>
      </c>
      <c r="C324" s="147" t="s">
        <v>5736</v>
      </c>
      <c r="D324" s="63"/>
      <c r="E324" s="49">
        <v>119.8</v>
      </c>
      <c r="F324" s="899"/>
    </row>
    <row r="325" spans="1:6" ht="14.25" thickBot="1">
      <c r="A325" s="864">
        <v>42244</v>
      </c>
      <c r="B325" s="76" t="str">
        <f>TiposLancamentos!B24</f>
        <v>Estacionamentos</v>
      </c>
      <c r="C325" s="147" t="s">
        <v>20112</v>
      </c>
      <c r="D325" s="63"/>
      <c r="E325" s="49">
        <v>7</v>
      </c>
      <c r="F325" s="899"/>
    </row>
    <row r="326" spans="1:6">
      <c r="A326" s="893"/>
      <c r="B326" s="894"/>
      <c r="C326" s="906" t="s">
        <v>7175</v>
      </c>
      <c r="D326" s="896"/>
      <c r="E326" s="897"/>
      <c r="F326" s="898">
        <f>SUM(E272:E299)-D279</f>
        <v>2268.5700000000002</v>
      </c>
    </row>
    <row r="327" spans="1:6">
      <c r="A327" s="864">
        <v>42248</v>
      </c>
      <c r="B327" s="76" t="str">
        <f>TiposLancamentos!B48</f>
        <v>Baralhos e Oráculos</v>
      </c>
      <c r="C327" s="878" t="s">
        <v>20113</v>
      </c>
      <c r="D327" s="63"/>
      <c r="E327" s="49">
        <v>199.3</v>
      </c>
      <c r="F327" s="899">
        <f>F326-F281</f>
        <v>559.69000000000005</v>
      </c>
    </row>
    <row r="328" spans="1:6">
      <c r="A328" s="864">
        <v>42250</v>
      </c>
      <c r="B328" s="76" t="str">
        <f>TiposLancamentos!B15</f>
        <v>Cartões de Crédito</v>
      </c>
      <c r="C328" s="878" t="s">
        <v>1874</v>
      </c>
      <c r="D328" s="63">
        <v>2268.5700000000002</v>
      </c>
      <c r="E328" s="49"/>
      <c r="F328" s="899"/>
    </row>
    <row r="329" spans="1:6">
      <c r="A329" s="864">
        <v>42251</v>
      </c>
      <c r="B329" s="76" t="str">
        <f>TiposLancamentos!B25</f>
        <v>CD_DVD_BD</v>
      </c>
      <c r="C329" s="878" t="s">
        <v>20114</v>
      </c>
      <c r="D329" s="63"/>
      <c r="E329" s="49">
        <v>46.8</v>
      </c>
      <c r="F329" s="899"/>
    </row>
    <row r="330" spans="1:6">
      <c r="A330" s="934"/>
      <c r="B330" s="226"/>
      <c r="C330" s="227" t="s">
        <v>10</v>
      </c>
      <c r="D330" s="228"/>
      <c r="E330" s="228"/>
      <c r="F330" s="935"/>
    </row>
    <row r="331" spans="1:6">
      <c r="A331" s="769">
        <v>42268</v>
      </c>
      <c r="B331" s="240" t="str">
        <f>TiposLancamentos!B26</f>
        <v>LIVROS</v>
      </c>
      <c r="C331" s="147" t="s">
        <v>20115</v>
      </c>
      <c r="D331" s="63"/>
      <c r="E331" s="231">
        <v>28.47</v>
      </c>
      <c r="F331" s="899"/>
    </row>
    <row r="332" spans="1:6">
      <c r="A332" s="769">
        <v>42269</v>
      </c>
      <c r="B332" s="240" t="str">
        <f>TiposLancamentos!B19</f>
        <v>Restaurantes</v>
      </c>
      <c r="C332" s="147" t="s">
        <v>20116</v>
      </c>
      <c r="D332" s="63"/>
      <c r="E332" s="231">
        <v>28.56</v>
      </c>
      <c r="F332" s="899"/>
    </row>
    <row r="333" spans="1:6">
      <c r="A333" s="769">
        <v>42270</v>
      </c>
      <c r="B333" s="240" t="str">
        <f>TiposLancamentos!B48</f>
        <v>Baralhos e Oráculos</v>
      </c>
      <c r="C333" s="147" t="s">
        <v>20117</v>
      </c>
      <c r="D333" s="63"/>
      <c r="E333" s="231">
        <v>95</v>
      </c>
      <c r="F333" s="899"/>
    </row>
    <row r="334" spans="1:6">
      <c r="A334" s="769">
        <v>42270</v>
      </c>
      <c r="B334" s="240" t="str">
        <f>TiposLancamentos!B56</f>
        <v>Farmácia</v>
      </c>
      <c r="C334" s="147" t="s">
        <v>20118</v>
      </c>
      <c r="D334" s="63"/>
      <c r="E334" s="231">
        <v>25.8</v>
      </c>
      <c r="F334" s="899"/>
    </row>
    <row r="335" spans="1:6">
      <c r="A335" s="769">
        <v>42270</v>
      </c>
      <c r="B335" s="240" t="str">
        <f>TiposLancamentos!B19</f>
        <v>Restaurantes</v>
      </c>
      <c r="C335" s="147" t="s">
        <v>15788</v>
      </c>
      <c r="D335" s="63"/>
      <c r="E335" s="231">
        <v>67.98</v>
      </c>
      <c r="F335" s="899"/>
    </row>
    <row r="336" spans="1:6">
      <c r="A336" s="769">
        <v>42270</v>
      </c>
      <c r="B336" s="240" t="str">
        <f>TiposLancamentos!B19</f>
        <v>Restaurantes</v>
      </c>
      <c r="C336" s="147" t="s">
        <v>20119</v>
      </c>
      <c r="D336" s="63"/>
      <c r="E336" s="231">
        <v>16.89</v>
      </c>
      <c r="F336" s="899"/>
    </row>
    <row r="337" spans="1:6">
      <c r="A337" s="769">
        <v>42271</v>
      </c>
      <c r="B337" s="240" t="str">
        <f>TiposLancamentos!B19</f>
        <v>Restaurantes</v>
      </c>
      <c r="C337" s="147" t="s">
        <v>3425</v>
      </c>
      <c r="D337" s="63"/>
      <c r="E337" s="231">
        <v>7.5</v>
      </c>
      <c r="F337" s="899"/>
    </row>
    <row r="338" spans="1:6">
      <c r="A338" s="769">
        <v>42271</v>
      </c>
      <c r="B338" s="240" t="str">
        <f>TiposLancamentos!B34</f>
        <v>Seguros</v>
      </c>
      <c r="C338" s="147" t="s">
        <v>20120</v>
      </c>
      <c r="D338" s="63"/>
      <c r="E338" s="231">
        <v>564.49</v>
      </c>
      <c r="F338" s="899"/>
    </row>
    <row r="339" spans="1:6">
      <c r="A339" s="769">
        <v>42271</v>
      </c>
      <c r="B339" s="240" t="str">
        <f>TiposLancamentos!B19</f>
        <v>Restaurantes</v>
      </c>
      <c r="C339" s="147" t="s">
        <v>17015</v>
      </c>
      <c r="D339" s="63"/>
      <c r="E339" s="231">
        <v>13.4</v>
      </c>
      <c r="F339" s="899"/>
    </row>
    <row r="340" spans="1:6">
      <c r="A340" s="864">
        <v>42272</v>
      </c>
      <c r="B340" s="76" t="str">
        <f>TiposLancamentos!B19</f>
        <v>Restaurantes</v>
      </c>
      <c r="C340" s="147" t="s">
        <v>20121</v>
      </c>
      <c r="D340" s="63"/>
      <c r="E340" s="49">
        <v>17.899999999999999</v>
      </c>
      <c r="F340" s="899"/>
    </row>
    <row r="341" spans="1:6">
      <c r="A341" s="864">
        <v>42272</v>
      </c>
      <c r="B341" s="76" t="str">
        <f>TiposLancamentos!B5</f>
        <v>Supermercado</v>
      </c>
      <c r="C341" s="147" t="s">
        <v>20122</v>
      </c>
      <c r="D341" s="63"/>
      <c r="E341" s="49">
        <v>8.99</v>
      </c>
      <c r="F341" s="899"/>
    </row>
    <row r="342" spans="1:6">
      <c r="A342" s="864">
        <v>42273</v>
      </c>
      <c r="B342" s="76" t="str">
        <f>TiposLancamentos!B22</f>
        <v>Combustivel</v>
      </c>
      <c r="C342" s="147" t="s">
        <v>6398</v>
      </c>
      <c r="D342" s="63"/>
      <c r="E342" s="49">
        <v>100</v>
      </c>
      <c r="F342" s="899"/>
    </row>
    <row r="343" spans="1:6">
      <c r="A343" s="864">
        <v>42273</v>
      </c>
      <c r="B343" s="76" t="str">
        <f>TiposLancamentos!B19</f>
        <v>Restaurantes</v>
      </c>
      <c r="C343" s="147" t="s">
        <v>20123</v>
      </c>
      <c r="D343" s="63"/>
      <c r="E343" s="49">
        <v>50.5</v>
      </c>
      <c r="F343" s="899"/>
    </row>
    <row r="344" spans="1:6">
      <c r="A344" s="864">
        <v>42274</v>
      </c>
      <c r="B344" s="76" t="str">
        <f>TiposLancamentos!B19</f>
        <v>Restaurantes</v>
      </c>
      <c r="C344" s="147" t="s">
        <v>20124</v>
      </c>
      <c r="D344" s="63"/>
      <c r="E344" s="49">
        <v>37.729999999999997</v>
      </c>
      <c r="F344" s="899"/>
    </row>
    <row r="345" spans="1:6">
      <c r="A345" s="806">
        <v>42274</v>
      </c>
      <c r="B345" s="822" t="str">
        <f>TiposLancamentos!B48</f>
        <v>Baralhos e Oráculos</v>
      </c>
      <c r="C345" s="808" t="s">
        <v>20125</v>
      </c>
      <c r="D345" s="747"/>
      <c r="E345" s="1139">
        <v>110</v>
      </c>
      <c r="F345" s="1145"/>
    </row>
    <row r="346" spans="1:6">
      <c r="A346" s="773">
        <v>42274</v>
      </c>
      <c r="B346" s="275" t="str">
        <f>TiposLancamentos!B48</f>
        <v>Baralhos e Oráculos</v>
      </c>
      <c r="C346" s="141" t="s">
        <v>20126</v>
      </c>
      <c r="D346" s="51"/>
      <c r="E346" s="1147">
        <v>110</v>
      </c>
      <c r="F346" s="1148"/>
    </row>
    <row r="347" spans="1:6">
      <c r="A347" s="773">
        <v>42274</v>
      </c>
      <c r="B347" s="275" t="str">
        <f>TiposLancamentos!B48</f>
        <v>Baralhos e Oráculos</v>
      </c>
      <c r="C347" s="141" t="s">
        <v>20127</v>
      </c>
      <c r="D347" s="51"/>
      <c r="E347" s="1147">
        <v>135</v>
      </c>
      <c r="F347" s="1148"/>
    </row>
    <row r="348" spans="1:6">
      <c r="A348" s="810">
        <v>42274</v>
      </c>
      <c r="B348" s="823" t="str">
        <f>TiposLancamentos!B72</f>
        <v>Presentes</v>
      </c>
      <c r="C348" s="812" t="s">
        <v>20128</v>
      </c>
      <c r="D348" s="849"/>
      <c r="E348" s="1141">
        <v>90</v>
      </c>
      <c r="F348" s="1146">
        <f>SUM(E345:E348)</f>
        <v>445</v>
      </c>
    </row>
    <row r="349" spans="1:6">
      <c r="A349" s="864">
        <v>42274</v>
      </c>
      <c r="B349" s="76" t="str">
        <f>TiposLancamentos!B5</f>
        <v>Supermercado</v>
      </c>
      <c r="C349" s="147" t="s">
        <v>6234</v>
      </c>
      <c r="D349" s="63"/>
      <c r="E349" s="49">
        <v>63.41</v>
      </c>
      <c r="F349" s="899"/>
    </row>
    <row r="350" spans="1:6" ht="14.25" thickBot="1">
      <c r="A350" s="864">
        <v>42276</v>
      </c>
      <c r="B350" s="76" t="str">
        <f>TiposLancamentos!B22</f>
        <v>Combustivel</v>
      </c>
      <c r="C350" s="147" t="s">
        <v>6412</v>
      </c>
      <c r="D350" s="63"/>
      <c r="E350" s="49">
        <v>70</v>
      </c>
      <c r="F350" s="899"/>
    </row>
    <row r="351" spans="1:6">
      <c r="A351" s="893"/>
      <c r="B351" s="894"/>
      <c r="C351" s="906" t="s">
        <v>7189</v>
      </c>
      <c r="D351" s="896"/>
      <c r="E351" s="897"/>
      <c r="F351" s="898">
        <f>SUM(E301:E329)</f>
        <v>2930.5400000000013</v>
      </c>
    </row>
    <row r="352" spans="1:6">
      <c r="A352" s="864">
        <v>42278</v>
      </c>
      <c r="B352" s="76" t="str">
        <f>TiposLancamentos!B15</f>
        <v>Cartões de Crédito</v>
      </c>
      <c r="C352" s="147" t="s">
        <v>10915</v>
      </c>
      <c r="D352" s="63">
        <v>2930.54</v>
      </c>
      <c r="E352" s="49"/>
      <c r="F352" s="899">
        <f>F351-F326</f>
        <v>661.97000000000116</v>
      </c>
    </row>
    <row r="353" spans="1:6">
      <c r="A353" s="864">
        <v>42278</v>
      </c>
      <c r="B353" s="76" t="str">
        <f>TiposLancamentos!B5</f>
        <v>Supermercado</v>
      </c>
      <c r="C353" s="147" t="s">
        <v>20129</v>
      </c>
      <c r="D353" s="63"/>
      <c r="E353" s="49">
        <v>8.99</v>
      </c>
      <c r="F353" s="899"/>
    </row>
    <row r="354" spans="1:6">
      <c r="A354" s="864">
        <v>42279</v>
      </c>
      <c r="B354" s="76" t="str">
        <f>TiposLancamentos!B19</f>
        <v>Restaurantes</v>
      </c>
      <c r="C354" s="147" t="s">
        <v>20130</v>
      </c>
      <c r="D354" s="63"/>
      <c r="E354" s="49">
        <v>37</v>
      </c>
      <c r="F354" s="899"/>
    </row>
    <row r="355" spans="1:6">
      <c r="A355" s="806">
        <v>42280</v>
      </c>
      <c r="B355" s="822" t="str">
        <f>TiposLancamentos!B48</f>
        <v>Baralhos e Oráculos</v>
      </c>
      <c r="C355" s="808" t="s">
        <v>20131</v>
      </c>
      <c r="D355" s="747"/>
      <c r="E355" s="1139">
        <v>40</v>
      </c>
      <c r="F355" s="1145"/>
    </row>
    <row r="356" spans="1:6">
      <c r="A356" s="810">
        <v>42280</v>
      </c>
      <c r="B356" s="823" t="str">
        <f>TiposLancamentos!B26</f>
        <v>LIVROS</v>
      </c>
      <c r="C356" s="812" t="s">
        <v>20132</v>
      </c>
      <c r="D356" s="849"/>
      <c r="E356" s="1141">
        <v>30</v>
      </c>
      <c r="F356" s="1146">
        <f>SUM(E355:E356)</f>
        <v>70</v>
      </c>
    </row>
    <row r="357" spans="1:6">
      <c r="A357" s="864">
        <v>42280</v>
      </c>
      <c r="B357" s="76" t="str">
        <f>TiposLancamentos!B13</f>
        <v>Moradia</v>
      </c>
      <c r="C357" s="147" t="s">
        <v>20133</v>
      </c>
      <c r="D357" s="63"/>
      <c r="E357" s="49">
        <f>12.9+69.9</f>
        <v>82.800000000000011</v>
      </c>
      <c r="F357" s="899"/>
    </row>
    <row r="358" spans="1:6">
      <c r="A358" s="864">
        <v>42280</v>
      </c>
      <c r="B358" s="76" t="str">
        <f>TiposLancamentos!B19</f>
        <v>Restaurantes</v>
      </c>
      <c r="C358" s="147" t="s">
        <v>20134</v>
      </c>
      <c r="D358" s="63"/>
      <c r="E358" s="49">
        <v>209.88</v>
      </c>
      <c r="F358" s="899"/>
    </row>
    <row r="359" spans="1:6">
      <c r="A359" s="864">
        <v>42283</v>
      </c>
      <c r="B359" s="76" t="str">
        <f>TiposLancamentos!B19</f>
        <v>Restaurantes</v>
      </c>
      <c r="C359" s="147" t="s">
        <v>6565</v>
      </c>
      <c r="D359" s="63"/>
      <c r="E359" s="49">
        <v>54.7</v>
      </c>
      <c r="F359" s="899"/>
    </row>
    <row r="360" spans="1:6">
      <c r="A360" s="864">
        <v>42283</v>
      </c>
      <c r="B360" s="76" t="str">
        <f>TiposLancamentos!B56</f>
        <v>Farmácia</v>
      </c>
      <c r="C360" s="147" t="s">
        <v>20135</v>
      </c>
      <c r="D360" s="63"/>
      <c r="E360" s="49">
        <v>31.15</v>
      </c>
      <c r="F360" s="899"/>
    </row>
    <row r="361" spans="1:6">
      <c r="A361" s="864">
        <v>42285</v>
      </c>
      <c r="B361" s="76" t="str">
        <f>TiposLancamentos!B57</f>
        <v>Informática</v>
      </c>
      <c r="C361" s="147" t="s">
        <v>20136</v>
      </c>
      <c r="D361" s="63"/>
      <c r="E361" s="49">
        <f>F361/3</f>
        <v>211.55666666666664</v>
      </c>
      <c r="F361" s="899">
        <v>634.66999999999996</v>
      </c>
    </row>
    <row r="362" spans="1:6">
      <c r="A362" s="864">
        <v>42285</v>
      </c>
      <c r="B362" s="76" t="str">
        <f>TiposLancamentos!B5</f>
        <v>Supermercado</v>
      </c>
      <c r="C362" s="147" t="s">
        <v>6234</v>
      </c>
      <c r="D362" s="63"/>
      <c r="E362" s="49">
        <v>49.76</v>
      </c>
      <c r="F362" s="899"/>
    </row>
    <row r="363" spans="1:6">
      <c r="A363" s="864">
        <v>42285</v>
      </c>
      <c r="B363" s="76" t="str">
        <f>TiposLancamentos!B19</f>
        <v>Restaurantes</v>
      </c>
      <c r="C363" s="147" t="s">
        <v>7068</v>
      </c>
      <c r="D363" s="63"/>
      <c r="E363" s="49">
        <v>32.6</v>
      </c>
      <c r="F363" s="899"/>
    </row>
    <row r="364" spans="1:6">
      <c r="A364" s="864">
        <v>42286</v>
      </c>
      <c r="B364" s="76" t="str">
        <f>TiposLancamentos!B17</f>
        <v>GATO</v>
      </c>
      <c r="C364" s="147" t="s">
        <v>6059</v>
      </c>
      <c r="D364" s="63"/>
      <c r="E364" s="49">
        <v>74.8</v>
      </c>
      <c r="F364" s="899"/>
    </row>
    <row r="365" spans="1:6">
      <c r="A365" s="864">
        <v>42286</v>
      </c>
      <c r="B365" s="76" t="str">
        <f>TiposLancamentos!B26</f>
        <v>LIVROS</v>
      </c>
      <c r="C365" s="147" t="s">
        <v>20137</v>
      </c>
      <c r="D365" s="63"/>
      <c r="E365" s="49">
        <v>80.38</v>
      </c>
      <c r="F365" s="899"/>
    </row>
    <row r="366" spans="1:6">
      <c r="A366" s="806">
        <v>42287</v>
      </c>
      <c r="B366" s="822" t="str">
        <f>TiposLancamentos!B72</f>
        <v>Presentes</v>
      </c>
      <c r="C366" s="808" t="s">
        <v>20138</v>
      </c>
      <c r="D366" s="747"/>
      <c r="E366" s="1139">
        <v>125</v>
      </c>
      <c r="F366" s="1145"/>
    </row>
    <row r="367" spans="1:6">
      <c r="A367" s="810">
        <v>42287</v>
      </c>
      <c r="B367" s="823" t="str">
        <f>TiposLancamentos!B48</f>
        <v>Baralhos e Oráculos</v>
      </c>
      <c r="C367" s="812" t="s">
        <v>20139</v>
      </c>
      <c r="D367" s="849"/>
      <c r="E367" s="1141">
        <v>110</v>
      </c>
      <c r="F367" s="1146">
        <f>SUM(E366:E367)</f>
        <v>235</v>
      </c>
    </row>
    <row r="368" spans="1:6">
      <c r="A368" s="864">
        <v>42287</v>
      </c>
      <c r="B368" s="76" t="str">
        <f>TiposLancamentos!B19</f>
        <v>Restaurantes</v>
      </c>
      <c r="C368" s="147" t="s">
        <v>20140</v>
      </c>
      <c r="D368" s="63"/>
      <c r="E368" s="49">
        <v>17</v>
      </c>
      <c r="F368" s="899"/>
    </row>
    <row r="369" spans="1:6">
      <c r="A369" s="864">
        <v>42287</v>
      </c>
      <c r="B369" s="76" t="str">
        <f>TiposLancamentos!B24</f>
        <v>Estacionamentos</v>
      </c>
      <c r="C369" s="147" t="s">
        <v>10823</v>
      </c>
      <c r="D369" s="63"/>
      <c r="E369" s="49">
        <v>18</v>
      </c>
      <c r="F369" s="899"/>
    </row>
    <row r="370" spans="1:6">
      <c r="A370" s="864">
        <v>42287</v>
      </c>
      <c r="B370" s="76" t="str">
        <f>TiposLancamentos!B19</f>
        <v>Restaurantes</v>
      </c>
      <c r="C370" s="147" t="s">
        <v>18646</v>
      </c>
      <c r="D370" s="63"/>
      <c r="E370" s="49">
        <v>25.5</v>
      </c>
      <c r="F370" s="899"/>
    </row>
    <row r="371" spans="1:6">
      <c r="A371" s="864">
        <v>42288</v>
      </c>
      <c r="B371" s="76" t="str">
        <f>TiposLancamentos!B19</f>
        <v>Restaurantes</v>
      </c>
      <c r="C371" s="147" t="s">
        <v>12062</v>
      </c>
      <c r="D371" s="63"/>
      <c r="E371" s="49">
        <v>28</v>
      </c>
      <c r="F371" s="899"/>
    </row>
    <row r="372" spans="1:6">
      <c r="A372" s="864">
        <v>42289</v>
      </c>
      <c r="B372" s="76" t="str">
        <f>TiposLancamentos!B5</f>
        <v>Supermercado</v>
      </c>
      <c r="C372" s="147" t="s">
        <v>6234</v>
      </c>
      <c r="D372" s="63"/>
      <c r="E372" s="49">
        <v>38.700000000000003</v>
      </c>
      <c r="F372" s="899"/>
    </row>
    <row r="373" spans="1:6">
      <c r="A373" s="864">
        <v>42289</v>
      </c>
      <c r="B373" s="76" t="str">
        <f>TiposLancamentos!B19</f>
        <v>Restaurantes</v>
      </c>
      <c r="C373" s="147" t="s">
        <v>20141</v>
      </c>
      <c r="D373" s="63"/>
      <c r="E373" s="49">
        <v>37.85</v>
      </c>
      <c r="F373" s="899"/>
    </row>
    <row r="374" spans="1:6">
      <c r="A374" s="864">
        <v>42289</v>
      </c>
      <c r="B374" s="76" t="str">
        <f>TiposLancamentos!B22</f>
        <v>Combustivel</v>
      </c>
      <c r="C374" s="147" t="s">
        <v>6412</v>
      </c>
      <c r="D374" s="63"/>
      <c r="E374" s="49">
        <v>70</v>
      </c>
      <c r="F374" s="899"/>
    </row>
    <row r="375" spans="1:6">
      <c r="A375" s="864">
        <v>42290</v>
      </c>
      <c r="B375" s="76" t="str">
        <f>TiposLancamentos!B19</f>
        <v>Restaurantes</v>
      </c>
      <c r="C375" s="147" t="s">
        <v>20142</v>
      </c>
      <c r="D375" s="63"/>
      <c r="E375" s="49">
        <v>63.08</v>
      </c>
      <c r="F375" s="899"/>
    </row>
    <row r="376" spans="1:6">
      <c r="A376" s="864">
        <v>42293</v>
      </c>
      <c r="B376" s="76" t="str">
        <f>TiposLancamentos!B56</f>
        <v>Farmácia</v>
      </c>
      <c r="C376" s="147" t="s">
        <v>20143</v>
      </c>
      <c r="D376" s="63"/>
      <c r="E376" s="49">
        <v>149.21</v>
      </c>
      <c r="F376" s="899"/>
    </row>
    <row r="377" spans="1:6">
      <c r="A377" s="864">
        <v>42293</v>
      </c>
      <c r="B377" s="76" t="str">
        <f>TiposLancamentos!B19</f>
        <v>Restaurantes</v>
      </c>
      <c r="C377" s="147" t="s">
        <v>20144</v>
      </c>
      <c r="D377" s="63"/>
      <c r="E377" s="49">
        <v>35</v>
      </c>
      <c r="F377" s="899"/>
    </row>
    <row r="378" spans="1:6">
      <c r="A378" s="864">
        <v>42293</v>
      </c>
      <c r="B378" s="76" t="str">
        <f>TiposLancamentos!B62</f>
        <v>Papelaria</v>
      </c>
      <c r="C378" s="147" t="s">
        <v>20145</v>
      </c>
      <c r="D378" s="63"/>
      <c r="E378" s="49">
        <v>39.14</v>
      </c>
      <c r="F378" s="899"/>
    </row>
    <row r="379" spans="1:6">
      <c r="A379" s="864">
        <v>42293</v>
      </c>
      <c r="B379" s="76" t="str">
        <f>TiposLancamentos!B5</f>
        <v>Supermercado</v>
      </c>
      <c r="C379" s="147" t="s">
        <v>12191</v>
      </c>
      <c r="D379" s="63"/>
      <c r="E379" s="49">
        <v>42.93</v>
      </c>
      <c r="F379" s="899"/>
    </row>
    <row r="380" spans="1:6">
      <c r="A380" s="864">
        <v>42294</v>
      </c>
      <c r="B380" s="76" t="str">
        <f>TiposLancamentos!B19</f>
        <v>Restaurantes</v>
      </c>
      <c r="C380" s="147" t="s">
        <v>20146</v>
      </c>
      <c r="D380" s="63"/>
      <c r="E380" s="49">
        <v>115.9</v>
      </c>
      <c r="F380" s="899"/>
    </row>
    <row r="381" spans="1:6">
      <c r="A381" s="864">
        <v>42295</v>
      </c>
      <c r="B381" s="76" t="str">
        <f>TiposLancamentos!B5</f>
        <v>Supermercado</v>
      </c>
      <c r="C381" s="147" t="s">
        <v>6234</v>
      </c>
      <c r="D381" s="63"/>
      <c r="E381" s="49">
        <v>60.95</v>
      </c>
      <c r="F381" s="899"/>
    </row>
    <row r="382" spans="1:6">
      <c r="A382" s="934"/>
      <c r="B382" s="226"/>
      <c r="C382" s="227" t="s">
        <v>10</v>
      </c>
      <c r="D382" s="228"/>
      <c r="E382" s="228"/>
      <c r="F382" s="935"/>
    </row>
    <row r="383" spans="1:6">
      <c r="A383" s="806">
        <v>42297</v>
      </c>
      <c r="B383" s="822" t="str">
        <f>TiposLancamentos!B48</f>
        <v>Baralhos e Oráculos</v>
      </c>
      <c r="C383" s="808" t="s">
        <v>20147</v>
      </c>
      <c r="D383" s="747"/>
      <c r="E383" s="1139">
        <v>98</v>
      </c>
      <c r="F383" s="1145"/>
    </row>
    <row r="384" spans="1:6">
      <c r="A384" s="773">
        <v>42297</v>
      </c>
      <c r="B384" s="275" t="str">
        <f>TiposLancamentos!B48</f>
        <v>Baralhos e Oráculos</v>
      </c>
      <c r="C384" s="141" t="s">
        <v>20148</v>
      </c>
      <c r="D384" s="51"/>
      <c r="E384" s="1147">
        <v>98</v>
      </c>
      <c r="F384" s="1148"/>
    </row>
    <row r="385" spans="1:6">
      <c r="A385" s="810">
        <v>42297</v>
      </c>
      <c r="B385" s="823" t="str">
        <f>TiposLancamentos!B48</f>
        <v>Baralhos e Oráculos</v>
      </c>
      <c r="C385" s="812" t="s">
        <v>20149</v>
      </c>
      <c r="D385" s="849"/>
      <c r="E385" s="1141">
        <v>40.799999999999997</v>
      </c>
      <c r="F385" s="1146">
        <f>SUM(E383:E385)</f>
        <v>236.8</v>
      </c>
    </row>
    <row r="386" spans="1:6">
      <c r="A386" s="864">
        <v>42297</v>
      </c>
      <c r="B386" s="76" t="str">
        <f>TiposLancamentos!B19</f>
        <v>Restaurantes</v>
      </c>
      <c r="C386" s="147" t="s">
        <v>7149</v>
      </c>
      <c r="D386" s="63"/>
      <c r="E386" s="231">
        <v>15.76</v>
      </c>
      <c r="F386" s="899"/>
    </row>
    <row r="387" spans="1:6">
      <c r="A387" s="806">
        <v>42297</v>
      </c>
      <c r="B387" s="822" t="str">
        <f>TiposLancamentos!B26</f>
        <v>LIVROS</v>
      </c>
      <c r="C387" s="808" t="s">
        <v>20150</v>
      </c>
      <c r="D387" s="747"/>
      <c r="E387" s="1139">
        <f>40.49+1.95</f>
        <v>42.440000000000005</v>
      </c>
      <c r="F387" s="1145"/>
    </row>
    <row r="388" spans="1:6">
      <c r="A388" s="810">
        <v>42297</v>
      </c>
      <c r="B388" s="823" t="str">
        <f>TiposLancamentos!B48</f>
        <v>Baralhos e Oráculos</v>
      </c>
      <c r="C388" s="812" t="s">
        <v>20151</v>
      </c>
      <c r="D388" s="849"/>
      <c r="E388" s="1141">
        <f>27.96 +1.95</f>
        <v>29.91</v>
      </c>
      <c r="F388" s="1146">
        <f>SUM(E387:E388)</f>
        <v>72.350000000000009</v>
      </c>
    </row>
    <row r="389" spans="1:6">
      <c r="A389" s="864">
        <v>42298</v>
      </c>
      <c r="B389" s="76" t="str">
        <f>TiposLancamentos!B19</f>
        <v>Restaurantes</v>
      </c>
      <c r="C389" s="147" t="s">
        <v>20152</v>
      </c>
      <c r="D389" s="63"/>
      <c r="E389" s="231">
        <v>24.5</v>
      </c>
      <c r="F389" s="899"/>
    </row>
    <row r="390" spans="1:6">
      <c r="A390" s="864">
        <v>42298</v>
      </c>
      <c r="B390" s="76" t="str">
        <f>TiposLancamentos!B71</f>
        <v>Itens Pessoais</v>
      </c>
      <c r="C390" s="147" t="s">
        <v>20153</v>
      </c>
      <c r="D390" s="63"/>
      <c r="E390" s="231">
        <v>57.33</v>
      </c>
      <c r="F390" s="899">
        <f>343.88</f>
        <v>343.88</v>
      </c>
    </row>
    <row r="391" spans="1:6">
      <c r="A391" s="864">
        <v>42298</v>
      </c>
      <c r="B391" s="76" t="str">
        <f>TiposLancamentos!B19</f>
        <v>Restaurantes</v>
      </c>
      <c r="C391" s="147" t="s">
        <v>16926</v>
      </c>
      <c r="D391" s="63"/>
      <c r="E391" s="231">
        <v>21.89</v>
      </c>
      <c r="F391" s="899"/>
    </row>
    <row r="392" spans="1:6">
      <c r="A392" s="864">
        <v>42298</v>
      </c>
      <c r="B392" s="76" t="str">
        <f>TiposLancamentos!B16</f>
        <v>Cristiane</v>
      </c>
      <c r="C392" s="147" t="s">
        <v>14609</v>
      </c>
      <c r="D392" s="63"/>
      <c r="E392" s="231">
        <v>33.97</v>
      </c>
      <c r="F392" s="899"/>
    </row>
    <row r="393" spans="1:6" ht="14.25" customHeight="1">
      <c r="A393" s="864">
        <v>42299</v>
      </c>
      <c r="B393" s="76" t="str">
        <f>TiposLancamentos!B5</f>
        <v>Supermercado</v>
      </c>
      <c r="C393" s="147" t="s">
        <v>6234</v>
      </c>
      <c r="D393" s="63"/>
      <c r="E393" s="231">
        <v>13.13</v>
      </c>
      <c r="F393" s="899"/>
    </row>
    <row r="394" spans="1:6" ht="14.25" customHeight="1">
      <c r="A394" s="864">
        <v>42299</v>
      </c>
      <c r="B394" s="76" t="str">
        <f>TiposLancamentos!B19</f>
        <v>Restaurantes</v>
      </c>
      <c r="C394" s="147" t="s">
        <v>10692</v>
      </c>
      <c r="D394" s="63"/>
      <c r="E394" s="231">
        <v>13.4</v>
      </c>
      <c r="F394" s="899"/>
    </row>
    <row r="395" spans="1:6" ht="14.25" customHeight="1">
      <c r="A395" s="864">
        <v>42300</v>
      </c>
      <c r="B395" s="76" t="str">
        <f>TiposLancamentos!B19</f>
        <v>Restaurantes</v>
      </c>
      <c r="C395" s="147" t="s">
        <v>20154</v>
      </c>
      <c r="D395" s="63"/>
      <c r="E395" s="231">
        <v>18.899999999999999</v>
      </c>
      <c r="F395" s="899"/>
    </row>
    <row r="396" spans="1:6" ht="14.25" customHeight="1">
      <c r="A396" s="864">
        <v>42300</v>
      </c>
      <c r="B396" s="76" t="str">
        <f>TiposLancamentos!B19</f>
        <v>Restaurantes</v>
      </c>
      <c r="C396" s="147" t="s">
        <v>20155</v>
      </c>
      <c r="D396" s="63"/>
      <c r="E396" s="231">
        <v>6.99</v>
      </c>
      <c r="F396" s="899"/>
    </row>
    <row r="397" spans="1:6" ht="14.25" customHeight="1">
      <c r="A397" s="864">
        <v>42301</v>
      </c>
      <c r="B397" s="76" t="str">
        <f>TiposLancamentos!B22</f>
        <v>Combustivel</v>
      </c>
      <c r="C397" s="147" t="s">
        <v>6412</v>
      </c>
      <c r="D397" s="63"/>
      <c r="E397" s="231">
        <v>100</v>
      </c>
      <c r="F397" s="899"/>
    </row>
    <row r="398" spans="1:6">
      <c r="A398" s="864">
        <v>42301</v>
      </c>
      <c r="B398" s="76" t="str">
        <f>TiposLancamentos!B19</f>
        <v>Restaurantes</v>
      </c>
      <c r="C398" s="147" t="s">
        <v>20156</v>
      </c>
      <c r="D398" s="63"/>
      <c r="E398" s="231">
        <v>24</v>
      </c>
      <c r="F398" s="899"/>
    </row>
    <row r="399" spans="1:6">
      <c r="A399" s="864">
        <v>42301</v>
      </c>
      <c r="B399" s="76" t="str">
        <f>TiposLancamentos!B19</f>
        <v>Restaurantes</v>
      </c>
      <c r="C399" s="147" t="s">
        <v>6832</v>
      </c>
      <c r="D399" s="63"/>
      <c r="E399" s="231">
        <v>111.76</v>
      </c>
      <c r="F399" s="899"/>
    </row>
    <row r="400" spans="1:6">
      <c r="A400" s="864">
        <v>42301</v>
      </c>
      <c r="B400" s="76" t="str">
        <f>TiposLancamentos!B34</f>
        <v>Seguros</v>
      </c>
      <c r="C400" s="147" t="s">
        <v>20157</v>
      </c>
      <c r="D400" s="63"/>
      <c r="E400" s="231">
        <v>564.48</v>
      </c>
      <c r="F400" s="899"/>
    </row>
    <row r="401" spans="1:6">
      <c r="A401" s="864">
        <v>42302</v>
      </c>
      <c r="B401" s="76" t="str">
        <f>TiposLancamentos!B19</f>
        <v>Restaurantes</v>
      </c>
      <c r="C401" s="147" t="s">
        <v>20158</v>
      </c>
      <c r="D401" s="63"/>
      <c r="E401" s="231">
        <v>42.4</v>
      </c>
      <c r="F401" s="899"/>
    </row>
    <row r="402" spans="1:6">
      <c r="A402" s="864">
        <v>42303</v>
      </c>
      <c r="B402" s="76" t="str">
        <f>TiposLancamentos!B19</f>
        <v>Restaurantes</v>
      </c>
      <c r="C402" s="147" t="s">
        <v>10692</v>
      </c>
      <c r="D402" s="63"/>
      <c r="E402" s="231">
        <v>13.4</v>
      </c>
      <c r="F402" s="899"/>
    </row>
    <row r="403" spans="1:6">
      <c r="A403" s="864">
        <v>42304</v>
      </c>
      <c r="B403" s="76" t="str">
        <f>TiposLancamentos!B5</f>
        <v>Supermercado</v>
      </c>
      <c r="C403" s="147" t="s">
        <v>6234</v>
      </c>
      <c r="D403" s="63"/>
      <c r="E403" s="231">
        <v>70.89</v>
      </c>
      <c r="F403" s="899"/>
    </row>
    <row r="404" spans="1:6">
      <c r="A404" s="864">
        <v>42304</v>
      </c>
      <c r="B404" s="76" t="str">
        <f>TiposLancamentos!B19</f>
        <v>Restaurantes</v>
      </c>
      <c r="C404" s="147" t="s">
        <v>20159</v>
      </c>
      <c r="D404" s="63"/>
      <c r="E404" s="231">
        <v>26.8</v>
      </c>
      <c r="F404" s="899"/>
    </row>
    <row r="405" spans="1:6">
      <c r="A405" s="864">
        <v>42305</v>
      </c>
      <c r="B405" s="76" t="str">
        <f>TiposLancamentos!B17</f>
        <v>GATO</v>
      </c>
      <c r="C405" s="147" t="s">
        <v>20160</v>
      </c>
      <c r="D405" s="63"/>
      <c r="E405" s="231">
        <v>90.99</v>
      </c>
      <c r="F405" s="899"/>
    </row>
    <row r="406" spans="1:6" ht="12.75" customHeight="1">
      <c r="A406" s="864">
        <v>42305</v>
      </c>
      <c r="B406" s="76" t="str">
        <f>TiposLancamentos!B16</f>
        <v>Cristiane</v>
      </c>
      <c r="C406" s="147" t="s">
        <v>20161</v>
      </c>
      <c r="D406" s="63"/>
      <c r="E406" s="231">
        <v>17.399999999999999</v>
      </c>
      <c r="F406" s="899"/>
    </row>
    <row r="407" spans="1:6">
      <c r="A407" s="864">
        <v>42307</v>
      </c>
      <c r="B407" s="76" t="str">
        <f>TiposLancamentos!B62</f>
        <v>Papelaria</v>
      </c>
      <c r="C407" s="147" t="s">
        <v>20162</v>
      </c>
      <c r="D407" s="63"/>
      <c r="E407" s="231">
        <v>32.9</v>
      </c>
      <c r="F407" s="899"/>
    </row>
    <row r="408" spans="1:6">
      <c r="A408" s="864">
        <v>42308</v>
      </c>
      <c r="B408" s="76" t="str">
        <f>TiposLancamentos!B71</f>
        <v>Itens Pessoais</v>
      </c>
      <c r="C408" s="147" t="s">
        <v>20163</v>
      </c>
      <c r="D408" s="63"/>
      <c r="E408" s="231">
        <v>30.68</v>
      </c>
      <c r="F408" s="899"/>
    </row>
    <row r="409" spans="1:6">
      <c r="A409" s="806">
        <v>42308</v>
      </c>
      <c r="B409" s="822" t="str">
        <f>TiposLancamentos!B26</f>
        <v>LIVROS</v>
      </c>
      <c r="C409" s="808" t="s">
        <v>20164</v>
      </c>
      <c r="D409" s="747"/>
      <c r="E409" s="1139">
        <v>120</v>
      </c>
      <c r="F409" s="1145"/>
    </row>
    <row r="410" spans="1:6">
      <c r="A410" s="773">
        <v>42308</v>
      </c>
      <c r="B410" s="275" t="str">
        <f>TiposLancamentos!B26</f>
        <v>LIVROS</v>
      </c>
      <c r="C410" s="141" t="s">
        <v>20165</v>
      </c>
      <c r="D410" s="51"/>
      <c r="E410" s="1147">
        <v>50</v>
      </c>
      <c r="F410" s="1148"/>
    </row>
    <row r="411" spans="1:6">
      <c r="A411" s="810">
        <v>42308</v>
      </c>
      <c r="B411" s="823" t="str">
        <f>TiposLancamentos!B48</f>
        <v>Baralhos e Oráculos</v>
      </c>
      <c r="C411" s="812" t="s">
        <v>20166</v>
      </c>
      <c r="D411" s="849"/>
      <c r="E411" s="1141">
        <v>30</v>
      </c>
      <c r="F411" s="1146">
        <f>SUM(E409:E411)</f>
        <v>200</v>
      </c>
    </row>
    <row r="412" spans="1:6" ht="14.25" thickBot="1">
      <c r="A412" s="864">
        <v>42308</v>
      </c>
      <c r="B412" s="76" t="str">
        <f>TiposLancamentos!B5</f>
        <v>Supermercado</v>
      </c>
      <c r="C412" s="147" t="s">
        <v>6234</v>
      </c>
      <c r="D412" s="63"/>
      <c r="E412" s="231">
        <v>43.44</v>
      </c>
      <c r="F412" s="899"/>
    </row>
    <row r="413" spans="1:6">
      <c r="A413" s="893"/>
      <c r="B413" s="894"/>
      <c r="C413" s="906" t="s">
        <v>20167</v>
      </c>
      <c r="D413" s="896"/>
      <c r="E413" s="897"/>
      <c r="F413" s="898">
        <f>SUM(E331:E381)</f>
        <v>3561.4966666666664</v>
      </c>
    </row>
    <row r="414" spans="1:6">
      <c r="A414" s="864">
        <v>42309</v>
      </c>
      <c r="B414" s="76" t="str">
        <f>TiposLancamentos!B19</f>
        <v>Restaurantes</v>
      </c>
      <c r="C414" s="878" t="s">
        <v>3618</v>
      </c>
      <c r="D414" s="63"/>
      <c r="E414" s="49">
        <v>31</v>
      </c>
      <c r="F414" s="899">
        <f>F413-F351</f>
        <v>630.95666666666511</v>
      </c>
    </row>
    <row r="415" spans="1:6">
      <c r="A415" s="864">
        <v>42310</v>
      </c>
      <c r="B415" s="76" t="str">
        <f>TiposLancamentos!B19</f>
        <v>Restaurantes</v>
      </c>
      <c r="C415" s="147" t="s">
        <v>20168</v>
      </c>
      <c r="D415" s="63"/>
      <c r="E415" s="49">
        <v>33.54</v>
      </c>
      <c r="F415" s="899"/>
    </row>
    <row r="416" spans="1:6" ht="12.75" customHeight="1">
      <c r="A416" s="864">
        <v>42310</v>
      </c>
      <c r="B416" s="76" t="str">
        <f>TiposLancamentos!B5</f>
        <v>Supermercado</v>
      </c>
      <c r="C416" s="147" t="s">
        <v>20169</v>
      </c>
      <c r="D416" s="63"/>
      <c r="E416" s="49">
        <v>27.93</v>
      </c>
      <c r="F416" s="899"/>
    </row>
    <row r="417" spans="1:6">
      <c r="A417" s="864">
        <v>42311</v>
      </c>
      <c r="B417" s="76" t="str">
        <f>TiposLancamentos!B15</f>
        <v>Cartões de Crédito</v>
      </c>
      <c r="C417" s="147" t="s">
        <v>1874</v>
      </c>
      <c r="D417" s="63">
        <v>3566.45</v>
      </c>
      <c r="E417" s="49"/>
      <c r="F417" s="899"/>
    </row>
    <row r="418" spans="1:6">
      <c r="A418" s="864">
        <v>42311</v>
      </c>
      <c r="B418" s="76" t="str">
        <f>TiposLancamentos!B19</f>
        <v>Restaurantes</v>
      </c>
      <c r="C418" s="147" t="s">
        <v>16851</v>
      </c>
      <c r="D418" s="63"/>
      <c r="E418" s="49">
        <v>52.78</v>
      </c>
      <c r="F418" s="899"/>
    </row>
    <row r="419" spans="1:6">
      <c r="A419" s="864">
        <v>42312</v>
      </c>
      <c r="B419" s="76" t="str">
        <f>TiposLancamentos!B22</f>
        <v>Combustivel</v>
      </c>
      <c r="C419" s="147" t="s">
        <v>6412</v>
      </c>
      <c r="D419" s="63"/>
      <c r="E419" s="49">
        <v>100</v>
      </c>
      <c r="F419" s="899"/>
    </row>
    <row r="420" spans="1:6">
      <c r="A420" s="864">
        <v>42312</v>
      </c>
      <c r="B420" s="76" t="str">
        <f>TiposLancamentos!B17</f>
        <v>GATO</v>
      </c>
      <c r="C420" s="147" t="s">
        <v>20170</v>
      </c>
      <c r="D420" s="63"/>
      <c r="E420" s="49">
        <v>99</v>
      </c>
      <c r="F420" s="899"/>
    </row>
    <row r="421" spans="1:6">
      <c r="A421" s="864">
        <v>42312</v>
      </c>
      <c r="B421" s="76" t="str">
        <f>TiposLancamentos!B19</f>
        <v>Restaurantes</v>
      </c>
      <c r="C421" s="147" t="s">
        <v>5876</v>
      </c>
      <c r="D421" s="63"/>
      <c r="E421" s="49">
        <v>161.1</v>
      </c>
      <c r="F421" s="899"/>
    </row>
    <row r="422" spans="1:6">
      <c r="A422" s="864">
        <v>42314</v>
      </c>
      <c r="B422" s="76" t="str">
        <f>TiposLancamentos!B56</f>
        <v>Farmácia</v>
      </c>
      <c r="C422" s="147" t="s">
        <v>6052</v>
      </c>
      <c r="D422" s="63"/>
      <c r="E422" s="49">
        <v>45.06</v>
      </c>
      <c r="F422" s="899"/>
    </row>
    <row r="423" spans="1:6">
      <c r="A423" s="864">
        <v>42314</v>
      </c>
      <c r="B423" s="76" t="str">
        <f>TiposLancamentos!B48</f>
        <v>Baralhos e Oráculos</v>
      </c>
      <c r="C423" s="147" t="s">
        <v>20171</v>
      </c>
      <c r="D423" s="63"/>
      <c r="E423" s="49">
        <v>87.27</v>
      </c>
      <c r="F423" s="899"/>
    </row>
    <row r="424" spans="1:6">
      <c r="A424" s="864">
        <v>42314</v>
      </c>
      <c r="B424" s="76" t="str">
        <f>TiposLancamentos!B5</f>
        <v>Supermercado</v>
      </c>
      <c r="C424" s="147" t="s">
        <v>3618</v>
      </c>
      <c r="D424" s="63"/>
      <c r="E424" s="49">
        <v>35.08</v>
      </c>
      <c r="F424" s="899"/>
    </row>
    <row r="425" spans="1:6">
      <c r="A425" s="769">
        <v>42315</v>
      </c>
      <c r="B425" s="240" t="str">
        <f>TiposLancamentos!B19</f>
        <v>Restaurantes</v>
      </c>
      <c r="C425" s="147" t="s">
        <v>20123</v>
      </c>
      <c r="D425" s="63"/>
      <c r="E425" s="231">
        <v>49.5</v>
      </c>
      <c r="F425" s="899"/>
    </row>
    <row r="426" spans="1:6">
      <c r="A426" s="864">
        <v>42316</v>
      </c>
      <c r="B426" s="76" t="str">
        <f>TiposLancamentos!B73</f>
        <v>Cursos</v>
      </c>
      <c r="C426" s="147" t="s">
        <v>20172</v>
      </c>
      <c r="D426" s="63"/>
      <c r="E426" s="49">
        <v>300</v>
      </c>
      <c r="F426" s="899"/>
    </row>
    <row r="427" spans="1:6">
      <c r="A427" s="864">
        <v>42316</v>
      </c>
      <c r="B427" s="76" t="str">
        <f>TiposLancamentos!B57</f>
        <v>Informática</v>
      </c>
      <c r="C427" s="147" t="s">
        <v>20173</v>
      </c>
      <c r="D427" s="63"/>
      <c r="E427" s="49">
        <v>211.55</v>
      </c>
      <c r="F427" s="899"/>
    </row>
    <row r="428" spans="1:6">
      <c r="A428" s="864">
        <v>42317</v>
      </c>
      <c r="B428" s="76" t="str">
        <f>TiposLancamentos!B22</f>
        <v>Combustivel</v>
      </c>
      <c r="C428" s="147" t="s">
        <v>20174</v>
      </c>
      <c r="D428" s="63"/>
      <c r="E428" s="49">
        <v>100</v>
      </c>
      <c r="F428" s="899"/>
    </row>
    <row r="429" spans="1:6">
      <c r="A429" s="864">
        <v>42318</v>
      </c>
      <c r="B429" s="76" t="str">
        <f>TiposLancamentos!B26</f>
        <v>LIVROS</v>
      </c>
      <c r="C429" s="147" t="s">
        <v>20175</v>
      </c>
      <c r="D429" s="63"/>
      <c r="E429" s="49">
        <v>20</v>
      </c>
      <c r="F429" s="899"/>
    </row>
    <row r="430" spans="1:6">
      <c r="A430" s="864">
        <v>42320</v>
      </c>
      <c r="B430" s="76" t="str">
        <f>TiposLancamentos!B19</f>
        <v>Restaurantes</v>
      </c>
      <c r="C430" s="147" t="s">
        <v>20176</v>
      </c>
      <c r="D430" s="63"/>
      <c r="E430" s="49">
        <v>39</v>
      </c>
      <c r="F430" s="899"/>
    </row>
    <row r="431" spans="1:6">
      <c r="A431" s="864">
        <v>42320</v>
      </c>
      <c r="B431" s="76" t="str">
        <f>TiposLancamentos!B56</f>
        <v>Farmácia</v>
      </c>
      <c r="C431" s="147" t="s">
        <v>20177</v>
      </c>
      <c r="D431" s="63"/>
      <c r="E431" s="49">
        <v>86.94</v>
      </c>
      <c r="F431" s="899"/>
    </row>
    <row r="432" spans="1:6">
      <c r="A432" s="864">
        <v>42322</v>
      </c>
      <c r="B432" s="76" t="str">
        <f>TiposLancamentos!B19</f>
        <v>Restaurantes</v>
      </c>
      <c r="C432" s="147" t="s">
        <v>7068</v>
      </c>
      <c r="D432" s="63"/>
      <c r="E432" s="49">
        <v>73.959999999999994</v>
      </c>
      <c r="F432" s="899"/>
    </row>
    <row r="433" spans="1:6">
      <c r="A433" s="864">
        <v>42322</v>
      </c>
      <c r="B433" s="76" t="str">
        <f>TiposLancamentos!B5</f>
        <v>Supermercado</v>
      </c>
      <c r="C433" s="147" t="s">
        <v>6234</v>
      </c>
      <c r="D433" s="63"/>
      <c r="E433" s="49">
        <v>146.19999999999999</v>
      </c>
      <c r="F433" s="899"/>
    </row>
    <row r="434" spans="1:6">
      <c r="A434" s="864">
        <v>42323</v>
      </c>
      <c r="B434" s="76" t="str">
        <f>TiposLancamentos!B19</f>
        <v>Restaurantes</v>
      </c>
      <c r="C434" s="147" t="s">
        <v>14886</v>
      </c>
      <c r="D434" s="63"/>
      <c r="E434" s="49">
        <v>126.5</v>
      </c>
      <c r="F434" s="899"/>
    </row>
    <row r="435" spans="1:6">
      <c r="A435" s="864">
        <v>42324</v>
      </c>
      <c r="B435" s="76" t="str">
        <f>TiposLancamentos!B56</f>
        <v>Farmácia</v>
      </c>
      <c r="C435" s="147" t="s">
        <v>20178</v>
      </c>
      <c r="D435" s="63"/>
      <c r="E435" s="49">
        <v>105.51</v>
      </c>
      <c r="F435" s="899"/>
    </row>
    <row r="436" spans="1:6">
      <c r="A436" s="864">
        <v>42324</v>
      </c>
      <c r="B436" s="76" t="str">
        <f>TiposLancamentos!B71</f>
        <v>Itens Pessoais</v>
      </c>
      <c r="C436" s="147" t="s">
        <v>2035</v>
      </c>
      <c r="D436" s="63"/>
      <c r="E436" s="49">
        <v>30</v>
      </c>
      <c r="F436" s="899"/>
    </row>
    <row r="437" spans="1:6">
      <c r="A437" s="864">
        <v>42325</v>
      </c>
      <c r="B437" s="76" t="str">
        <f>TiposLancamentos!B19</f>
        <v>Restaurantes</v>
      </c>
      <c r="C437" s="147" t="s">
        <v>20179</v>
      </c>
      <c r="D437" s="63"/>
      <c r="E437" s="49">
        <v>84.48</v>
      </c>
      <c r="F437" s="899"/>
    </row>
    <row r="438" spans="1:6">
      <c r="A438" s="934"/>
      <c r="B438" s="226"/>
      <c r="C438" s="227" t="s">
        <v>10</v>
      </c>
      <c r="D438" s="228"/>
      <c r="E438" s="228"/>
      <c r="F438" s="935"/>
    </row>
    <row r="439" spans="1:6">
      <c r="A439" s="864">
        <v>42326</v>
      </c>
      <c r="B439" s="76" t="str">
        <f>TiposLancamentos!B19</f>
        <v>Restaurantes</v>
      </c>
      <c r="C439" s="147" t="s">
        <v>20180</v>
      </c>
      <c r="D439" s="63"/>
      <c r="E439" s="49">
        <v>68.97</v>
      </c>
      <c r="F439" s="899"/>
    </row>
    <row r="440" spans="1:6">
      <c r="A440" s="864">
        <v>42326</v>
      </c>
      <c r="B440" s="76" t="str">
        <f>TiposLancamentos!B19</f>
        <v>Restaurantes</v>
      </c>
      <c r="C440" s="147" t="s">
        <v>20181</v>
      </c>
      <c r="D440" s="63"/>
      <c r="E440" s="49">
        <v>14.4</v>
      </c>
      <c r="F440" s="899"/>
    </row>
    <row r="441" spans="1:6">
      <c r="A441" s="864">
        <v>42327</v>
      </c>
      <c r="B441" s="76" t="str">
        <f>TiposLancamentos!B71</f>
        <v>Itens Pessoais</v>
      </c>
      <c r="C441" s="147" t="s">
        <v>20182</v>
      </c>
      <c r="D441" s="63"/>
      <c r="E441" s="231">
        <v>69.63</v>
      </c>
      <c r="F441" s="899"/>
    </row>
    <row r="442" spans="1:6">
      <c r="A442" s="864">
        <v>42327</v>
      </c>
      <c r="B442" s="76" t="str">
        <f>TiposLancamentos!B19</f>
        <v>Restaurantes</v>
      </c>
      <c r="C442" s="147" t="s">
        <v>20183</v>
      </c>
      <c r="D442" s="63"/>
      <c r="E442" s="231">
        <v>17.899999999999999</v>
      </c>
      <c r="F442" s="899"/>
    </row>
    <row r="443" spans="1:6">
      <c r="A443" s="864">
        <v>42327</v>
      </c>
      <c r="B443" s="76" t="str">
        <f>TiposLancamentos!B19</f>
        <v>Restaurantes</v>
      </c>
      <c r="C443" s="147" t="s">
        <v>17860</v>
      </c>
      <c r="D443" s="63"/>
      <c r="E443" s="231">
        <v>7</v>
      </c>
      <c r="F443" s="899"/>
    </row>
    <row r="444" spans="1:6">
      <c r="A444" s="864">
        <v>42328</v>
      </c>
      <c r="B444" s="76" t="str">
        <f>TiposLancamentos!B19</f>
        <v>Restaurantes</v>
      </c>
      <c r="C444" s="147" t="s">
        <v>6542</v>
      </c>
      <c r="D444" s="63"/>
      <c r="E444" s="231">
        <v>94.6</v>
      </c>
      <c r="F444" s="899"/>
    </row>
    <row r="445" spans="1:6">
      <c r="A445" s="864">
        <v>42329</v>
      </c>
      <c r="B445" s="76" t="str">
        <f>TiposLancamentos!B19</f>
        <v>Restaurantes</v>
      </c>
      <c r="C445" s="147" t="s">
        <v>3960</v>
      </c>
      <c r="D445" s="63"/>
      <c r="E445" s="231">
        <v>61.25</v>
      </c>
      <c r="F445" s="899"/>
    </row>
    <row r="446" spans="1:6">
      <c r="A446" s="806">
        <v>42329</v>
      </c>
      <c r="B446" s="822" t="str">
        <f>TiposLancamentos!B26</f>
        <v>LIVROS</v>
      </c>
      <c r="C446" s="808" t="s">
        <v>20184</v>
      </c>
      <c r="D446" s="747"/>
      <c r="E446" s="1139">
        <v>20</v>
      </c>
      <c r="F446" s="1145"/>
    </row>
    <row r="447" spans="1:6">
      <c r="A447" s="810">
        <v>42329</v>
      </c>
      <c r="B447" s="823" t="str">
        <f>TiposLancamentos!B16</f>
        <v>Cristiane</v>
      </c>
      <c r="C447" s="812" t="s">
        <v>20185</v>
      </c>
      <c r="D447" s="849"/>
      <c r="E447" s="1141">
        <v>30</v>
      </c>
      <c r="F447" s="1146">
        <f>SUM(E446:E447)</f>
        <v>50</v>
      </c>
    </row>
    <row r="448" spans="1:6">
      <c r="A448" s="806">
        <v>42329</v>
      </c>
      <c r="B448" s="822" t="str">
        <f>TiposLancamentos!B26</f>
        <v>LIVROS</v>
      </c>
      <c r="C448" s="808" t="s">
        <v>20186</v>
      </c>
      <c r="D448" s="747"/>
      <c r="E448" s="1139">
        <v>50.79</v>
      </c>
      <c r="F448" s="1145"/>
    </row>
    <row r="449" spans="1:6">
      <c r="A449" s="773">
        <v>42329</v>
      </c>
      <c r="B449" s="275" t="str">
        <f>TiposLancamentos!B48</f>
        <v>Baralhos e Oráculos</v>
      </c>
      <c r="C449" s="141" t="s">
        <v>20187</v>
      </c>
      <c r="D449" s="51"/>
      <c r="E449" s="1147">
        <f>32.4+0.79</f>
        <v>33.19</v>
      </c>
      <c r="F449" s="1148"/>
    </row>
    <row r="450" spans="1:6">
      <c r="A450" s="810">
        <v>42329</v>
      </c>
      <c r="B450" s="823" t="str">
        <f>TiposLancamentos!B26</f>
        <v>LIVROS</v>
      </c>
      <c r="C450" s="812" t="s">
        <v>20188</v>
      </c>
      <c r="D450" s="849"/>
      <c r="E450" s="1141">
        <f>22.4+0.79</f>
        <v>23.189999999999998</v>
      </c>
      <c r="F450" s="1146">
        <f>SUM(E448:E450)</f>
        <v>107.16999999999999</v>
      </c>
    </row>
    <row r="451" spans="1:6" ht="12.75" customHeight="1">
      <c r="A451" s="864">
        <v>42329</v>
      </c>
      <c r="B451" s="76" t="str">
        <f>TiposLancamentos!B5</f>
        <v>Supermercado</v>
      </c>
      <c r="C451" s="147" t="s">
        <v>6234</v>
      </c>
      <c r="D451" s="63"/>
      <c r="E451" s="231">
        <v>135.22</v>
      </c>
      <c r="F451" s="899"/>
    </row>
    <row r="452" spans="1:6">
      <c r="A452" s="864">
        <v>42329</v>
      </c>
      <c r="B452" s="76" t="str">
        <f>TiposLancamentos!B71</f>
        <v>Itens Pessoais</v>
      </c>
      <c r="C452" s="147" t="s">
        <v>20189</v>
      </c>
      <c r="D452" s="63"/>
      <c r="E452" s="231">
        <v>57.31</v>
      </c>
      <c r="F452" s="899"/>
    </row>
    <row r="453" spans="1:6">
      <c r="A453" s="864">
        <v>42330</v>
      </c>
      <c r="B453" s="76" t="str">
        <f>TiposLancamentos!B19</f>
        <v>Restaurantes</v>
      </c>
      <c r="C453" s="147" t="s">
        <v>20190</v>
      </c>
      <c r="D453" s="63"/>
      <c r="E453" s="49">
        <v>179.97</v>
      </c>
      <c r="F453" s="899"/>
    </row>
    <row r="454" spans="1:6">
      <c r="A454" s="864">
        <v>42330</v>
      </c>
      <c r="B454" s="76" t="str">
        <f>TiposLancamentos!B19</f>
        <v>Restaurantes</v>
      </c>
      <c r="C454" s="147" t="s">
        <v>6328</v>
      </c>
      <c r="D454" s="63"/>
      <c r="E454" s="49">
        <v>37</v>
      </c>
      <c r="F454" s="899"/>
    </row>
    <row r="455" spans="1:6">
      <c r="A455" s="864">
        <v>42331</v>
      </c>
      <c r="B455" s="76" t="str">
        <f>TiposLancamentos!B19</f>
        <v>Restaurantes</v>
      </c>
      <c r="C455" s="147" t="s">
        <v>20191</v>
      </c>
      <c r="D455" s="63"/>
      <c r="E455" s="49">
        <v>14.4</v>
      </c>
      <c r="F455" s="899"/>
    </row>
    <row r="456" spans="1:6">
      <c r="A456" s="864">
        <v>42332</v>
      </c>
      <c r="B456" s="76" t="str">
        <f>TiposLancamentos!B19</f>
        <v>Restaurantes</v>
      </c>
      <c r="C456" s="147" t="s">
        <v>20192</v>
      </c>
      <c r="D456" s="63"/>
      <c r="E456" s="49">
        <v>10.8</v>
      </c>
      <c r="F456" s="899"/>
    </row>
    <row r="457" spans="1:6">
      <c r="A457" s="864">
        <v>42332</v>
      </c>
      <c r="B457" s="76" t="str">
        <f>TiposLancamentos!B19</f>
        <v>Restaurantes</v>
      </c>
      <c r="C457" s="147" t="s">
        <v>7149</v>
      </c>
      <c r="D457" s="63"/>
      <c r="E457" s="49">
        <v>16.579999999999998</v>
      </c>
      <c r="F457" s="899"/>
    </row>
    <row r="458" spans="1:6">
      <c r="A458" s="864">
        <v>42332</v>
      </c>
      <c r="B458" s="76" t="str">
        <f>TiposLancamentos!B18</f>
        <v>Alimentacao</v>
      </c>
      <c r="C458" s="147" t="s">
        <v>20193</v>
      </c>
      <c r="D458" s="63"/>
      <c r="E458" s="49">
        <v>8.99</v>
      </c>
      <c r="F458" s="899"/>
    </row>
    <row r="459" spans="1:6">
      <c r="A459" s="864">
        <v>42333</v>
      </c>
      <c r="B459" s="76" t="str">
        <f>TiposLancamentos!B19</f>
        <v>Restaurantes</v>
      </c>
      <c r="C459" s="147" t="s">
        <v>20194</v>
      </c>
      <c r="D459" s="63"/>
      <c r="E459" s="49">
        <v>32.9</v>
      </c>
      <c r="F459" s="899"/>
    </row>
    <row r="460" spans="1:6">
      <c r="A460" s="864">
        <v>42333</v>
      </c>
      <c r="B460" s="76" t="str">
        <f>TiposLancamentos!B19</f>
        <v>Restaurantes</v>
      </c>
      <c r="C460" s="147" t="s">
        <v>20195</v>
      </c>
      <c r="D460" s="63"/>
      <c r="E460" s="49">
        <v>19.399999999999999</v>
      </c>
      <c r="F460" s="899"/>
    </row>
    <row r="461" spans="1:6">
      <c r="A461" s="864">
        <v>42334</v>
      </c>
      <c r="B461" s="76" t="str">
        <f>TiposLancamentos!B17</f>
        <v>GATO</v>
      </c>
      <c r="C461" s="147" t="s">
        <v>6059</v>
      </c>
      <c r="D461" s="63"/>
      <c r="E461" s="49">
        <v>66.989999999999995</v>
      </c>
      <c r="F461" s="899"/>
    </row>
    <row r="462" spans="1:6">
      <c r="A462" s="864">
        <v>42334</v>
      </c>
      <c r="B462" s="76" t="str">
        <f>TiposLancamentos!B5</f>
        <v>Supermercado</v>
      </c>
      <c r="C462" s="147" t="s">
        <v>20196</v>
      </c>
      <c r="D462" s="63"/>
      <c r="E462" s="49">
        <v>62.32</v>
      </c>
      <c r="F462" s="899"/>
    </row>
    <row r="463" spans="1:6">
      <c r="A463" s="864">
        <v>42334</v>
      </c>
      <c r="B463" s="76" t="str">
        <f>TiposLancamentos!B16</f>
        <v>Cristiane</v>
      </c>
      <c r="C463" s="147" t="s">
        <v>6326</v>
      </c>
      <c r="D463" s="63"/>
      <c r="E463" s="49">
        <v>9.9700000000000006</v>
      </c>
      <c r="F463" s="899"/>
    </row>
    <row r="464" spans="1:6">
      <c r="A464" s="864">
        <v>42335</v>
      </c>
      <c r="B464" s="76" t="str">
        <f>TiposLancamentos!B72</f>
        <v>Presentes</v>
      </c>
      <c r="C464" s="147" t="s">
        <v>20197</v>
      </c>
      <c r="D464" s="63"/>
      <c r="E464" s="49">
        <v>25</v>
      </c>
      <c r="F464" s="899"/>
    </row>
    <row r="465" spans="1:6">
      <c r="A465" s="864">
        <v>42335</v>
      </c>
      <c r="B465" s="76" t="str">
        <f>TiposLancamentos!B48</f>
        <v>Baralhos e Oráculos</v>
      </c>
      <c r="C465" s="147" t="s">
        <v>20198</v>
      </c>
      <c r="D465" s="63"/>
      <c r="E465" s="49">
        <v>164.8</v>
      </c>
      <c r="F465" s="899"/>
    </row>
    <row r="466" spans="1:6">
      <c r="A466" s="864">
        <v>42335</v>
      </c>
      <c r="B466" s="76" t="str">
        <f>TiposLancamentos!B16</f>
        <v>Cristiane</v>
      </c>
      <c r="C466" s="147" t="s">
        <v>20199</v>
      </c>
      <c r="D466" s="63"/>
      <c r="E466" s="49">
        <v>23.95</v>
      </c>
      <c r="F466" s="899"/>
    </row>
    <row r="467" spans="1:6">
      <c r="A467" s="864">
        <v>42336</v>
      </c>
      <c r="B467" s="76" t="str">
        <f>TiposLancamentos!B19</f>
        <v>Restaurantes</v>
      </c>
      <c r="C467" s="147" t="s">
        <v>6622</v>
      </c>
      <c r="D467" s="63"/>
      <c r="E467" s="49">
        <v>38</v>
      </c>
      <c r="F467" s="899"/>
    </row>
    <row r="468" spans="1:6">
      <c r="A468" s="864">
        <v>42336</v>
      </c>
      <c r="B468" s="76" t="str">
        <f>TiposLancamentos!B56</f>
        <v>Farmácia</v>
      </c>
      <c r="C468" s="147" t="s">
        <v>6052</v>
      </c>
      <c r="D468" s="63"/>
      <c r="E468" s="49">
        <v>30.02</v>
      </c>
      <c r="F468" s="899"/>
    </row>
    <row r="469" spans="1:6">
      <c r="A469" s="864">
        <v>42336</v>
      </c>
      <c r="B469" s="76" t="str">
        <f>TiposLancamentos!B19</f>
        <v>Restaurantes</v>
      </c>
      <c r="C469" s="147" t="s">
        <v>20200</v>
      </c>
      <c r="D469" s="63"/>
      <c r="E469" s="49">
        <v>105.3</v>
      </c>
      <c r="F469" s="899"/>
    </row>
    <row r="470" spans="1:6">
      <c r="A470" s="864">
        <v>42337</v>
      </c>
      <c r="B470" s="76" t="str">
        <f>TiposLancamentos!B22</f>
        <v>Combustivel</v>
      </c>
      <c r="C470" s="147" t="s">
        <v>6412</v>
      </c>
      <c r="D470" s="63"/>
      <c r="E470" s="1176">
        <v>100</v>
      </c>
      <c r="F470" s="899"/>
    </row>
    <row r="471" spans="1:6">
      <c r="A471" s="806">
        <v>42337</v>
      </c>
      <c r="B471" s="822" t="str">
        <f>TiposLancamentos!B48</f>
        <v>Baralhos e Oráculos</v>
      </c>
      <c r="C471" s="808" t="s">
        <v>20201</v>
      </c>
      <c r="D471" s="747"/>
      <c r="E471" s="1139">
        <v>85</v>
      </c>
      <c r="F471" s="1145"/>
    </row>
    <row r="472" spans="1:6">
      <c r="A472" s="773">
        <v>42337</v>
      </c>
      <c r="B472" s="275" t="str">
        <f>TiposLancamentos!B48</f>
        <v>Baralhos e Oráculos</v>
      </c>
      <c r="C472" s="141" t="s">
        <v>20202</v>
      </c>
      <c r="D472" s="51"/>
      <c r="E472" s="1147">
        <v>115</v>
      </c>
      <c r="F472" s="1148"/>
    </row>
    <row r="473" spans="1:6">
      <c r="A473" s="810">
        <v>42337</v>
      </c>
      <c r="B473" s="823" t="str">
        <f>TiposLancamentos!B48</f>
        <v>Baralhos e Oráculos</v>
      </c>
      <c r="C473" s="812" t="s">
        <v>20203</v>
      </c>
      <c r="D473" s="849"/>
      <c r="E473" s="1141">
        <v>204</v>
      </c>
      <c r="F473" s="1146">
        <f>SUM(E471:E473)</f>
        <v>404</v>
      </c>
    </row>
    <row r="474" spans="1:6">
      <c r="A474" s="864">
        <v>42337</v>
      </c>
      <c r="B474" s="76" t="str">
        <f>TiposLancamentos!B56</f>
        <v>Farmácia</v>
      </c>
      <c r="C474" s="147" t="s">
        <v>6052</v>
      </c>
      <c r="D474" s="63"/>
      <c r="E474" s="49">
        <v>30.77</v>
      </c>
      <c r="F474" s="899"/>
    </row>
    <row r="475" spans="1:6">
      <c r="A475" s="864">
        <v>42337</v>
      </c>
      <c r="B475" s="76" t="str">
        <f>TiposLancamentos!B19</f>
        <v>Restaurantes</v>
      </c>
      <c r="C475" s="147" t="s">
        <v>20204</v>
      </c>
      <c r="D475" s="63"/>
      <c r="E475" s="49">
        <v>98.56</v>
      </c>
      <c r="F475" s="899"/>
    </row>
    <row r="476" spans="1:6" ht="14.25" thickBot="1">
      <c r="A476" s="864">
        <v>42338</v>
      </c>
      <c r="B476" s="76" t="str">
        <f>TiposLancamentos!B28</f>
        <v>ComicBook</v>
      </c>
      <c r="C476" s="147" t="s">
        <v>20205</v>
      </c>
      <c r="D476" s="63"/>
      <c r="E476" s="49">
        <v>96.31</v>
      </c>
      <c r="F476" s="899"/>
    </row>
    <row r="477" spans="1:6">
      <c r="A477" s="893"/>
      <c r="B477" s="894"/>
      <c r="C477" s="906" t="s">
        <v>7221</v>
      </c>
      <c r="D477" s="896"/>
      <c r="E477" s="897"/>
      <c r="F477" s="898">
        <f>SUM(E383:E437)</f>
        <v>3930.5600000000009</v>
      </c>
    </row>
    <row r="478" spans="1:6">
      <c r="A478" s="864">
        <v>42340</v>
      </c>
      <c r="B478" s="76" t="str">
        <f>TiposLancamentos!B17</f>
        <v>GATO</v>
      </c>
      <c r="C478" s="878" t="s">
        <v>20206</v>
      </c>
      <c r="D478" s="63"/>
      <c r="E478" s="49">
        <v>211.79</v>
      </c>
      <c r="F478" s="899">
        <f>F477-F413</f>
        <v>369.06333333333441</v>
      </c>
    </row>
    <row r="479" spans="1:6">
      <c r="A479" s="864">
        <v>42340</v>
      </c>
      <c r="B479" s="76" t="str">
        <f>TiposLancamentos!B13</f>
        <v>Moradia</v>
      </c>
      <c r="C479" s="878" t="s">
        <v>20207</v>
      </c>
      <c r="D479" s="63"/>
      <c r="E479" s="49">
        <v>9.9</v>
      </c>
      <c r="F479" s="899"/>
    </row>
    <row r="480" spans="1:6">
      <c r="A480" s="864">
        <v>42340</v>
      </c>
      <c r="B480" s="76" t="str">
        <f>TiposLancamentos!B19</f>
        <v>Restaurantes</v>
      </c>
      <c r="C480" s="878" t="s">
        <v>20208</v>
      </c>
      <c r="D480" s="63"/>
      <c r="E480" s="49">
        <v>53.89</v>
      </c>
      <c r="F480" s="899"/>
    </row>
    <row r="481" spans="1:6">
      <c r="A481" s="864">
        <v>42340</v>
      </c>
      <c r="B481" s="76" t="str">
        <f>TiposLancamentos!B5</f>
        <v>Supermercado</v>
      </c>
      <c r="C481" s="878" t="s">
        <v>3902</v>
      </c>
      <c r="D481" s="63"/>
      <c r="E481" s="49">
        <v>28.75</v>
      </c>
      <c r="F481" s="899"/>
    </row>
    <row r="482" spans="1:6">
      <c r="A482" s="864">
        <v>42341</v>
      </c>
      <c r="B482" s="76" t="str">
        <f>TiposLancamentos!B15</f>
        <v>Cartões de Crédito</v>
      </c>
      <c r="C482" s="878" t="s">
        <v>1874</v>
      </c>
      <c r="D482" s="63">
        <v>3930.56</v>
      </c>
      <c r="E482" s="49"/>
      <c r="F482" s="899"/>
    </row>
    <row r="483" spans="1:6">
      <c r="A483" s="864">
        <v>42341</v>
      </c>
      <c r="B483" s="76" t="str">
        <f>TiposLancamentos!B57</f>
        <v>Informática</v>
      </c>
      <c r="C483" s="878" t="s">
        <v>20209</v>
      </c>
      <c r="D483" s="63"/>
      <c r="E483" s="49">
        <v>26</v>
      </c>
      <c r="F483" s="899"/>
    </row>
    <row r="484" spans="1:6">
      <c r="A484" s="864">
        <v>42342</v>
      </c>
      <c r="B484" s="76" t="str">
        <f>TiposLancamentos!B17</f>
        <v>GATO</v>
      </c>
      <c r="C484" s="878" t="s">
        <v>20210</v>
      </c>
      <c r="D484" s="63"/>
      <c r="E484" s="49">
        <v>45</v>
      </c>
      <c r="F484" s="899"/>
    </row>
    <row r="485" spans="1:6">
      <c r="A485" s="864">
        <v>42342</v>
      </c>
      <c r="B485" s="76" t="str">
        <f>TiposLancamentos!B19</f>
        <v>Restaurantes</v>
      </c>
      <c r="C485" s="878" t="s">
        <v>20211</v>
      </c>
      <c r="D485" s="63"/>
      <c r="E485" s="49">
        <v>76.34</v>
      </c>
      <c r="F485" s="899"/>
    </row>
    <row r="486" spans="1:6">
      <c r="A486" s="864">
        <v>42343</v>
      </c>
      <c r="B486" s="76" t="str">
        <f>TiposLancamentos!B19</f>
        <v>Restaurantes</v>
      </c>
      <c r="C486" s="878" t="s">
        <v>18241</v>
      </c>
      <c r="D486" s="63"/>
      <c r="E486" s="49">
        <v>40.5</v>
      </c>
      <c r="F486" s="899"/>
    </row>
    <row r="487" spans="1:6">
      <c r="A487" s="864">
        <v>42344</v>
      </c>
      <c r="B487" s="76" t="str">
        <f>TiposLancamentos!B19</f>
        <v>Restaurantes</v>
      </c>
      <c r="C487" s="878" t="s">
        <v>20212</v>
      </c>
      <c r="D487" s="63"/>
      <c r="E487" s="49">
        <v>202.18</v>
      </c>
      <c r="F487" s="899"/>
    </row>
    <row r="488" spans="1:6">
      <c r="A488" s="864">
        <v>42344</v>
      </c>
      <c r="B488" s="76" t="str">
        <f>TiposLancamentos!B5</f>
        <v>Supermercado</v>
      </c>
      <c r="C488" s="878" t="s">
        <v>20213</v>
      </c>
      <c r="D488" s="63"/>
      <c r="E488" s="49">
        <v>155.69999999999999</v>
      </c>
      <c r="F488" s="899"/>
    </row>
    <row r="489" spans="1:6">
      <c r="A489" s="864">
        <v>42345</v>
      </c>
      <c r="B489" s="76" t="str">
        <f>TiposLancamentos!B17</f>
        <v>GATO</v>
      </c>
      <c r="C489" s="878" t="s">
        <v>20214</v>
      </c>
      <c r="D489" s="63"/>
      <c r="E489" s="49">
        <v>131</v>
      </c>
      <c r="F489" s="899"/>
    </row>
    <row r="490" spans="1:6">
      <c r="A490" s="864">
        <v>42347</v>
      </c>
      <c r="B490" s="76" t="str">
        <f>TiposLancamentos!B57</f>
        <v>Informática</v>
      </c>
      <c r="C490" s="147" t="s">
        <v>20215</v>
      </c>
      <c r="D490" s="63"/>
      <c r="E490" s="49">
        <v>211.55</v>
      </c>
      <c r="F490" s="899"/>
    </row>
    <row r="491" spans="1:6">
      <c r="A491" s="864">
        <v>42347</v>
      </c>
      <c r="B491" s="76" t="str">
        <f>TiposLancamentos!B17</f>
        <v>GATO</v>
      </c>
      <c r="C491" s="878" t="s">
        <v>20216</v>
      </c>
      <c r="D491" s="63"/>
      <c r="E491" s="49">
        <v>76</v>
      </c>
      <c r="F491" s="899"/>
    </row>
    <row r="492" spans="1:6">
      <c r="A492" s="864">
        <v>42347</v>
      </c>
      <c r="B492" s="76" t="str">
        <f>TiposLancamentos!B5</f>
        <v>Supermercado</v>
      </c>
      <c r="C492" s="878" t="s">
        <v>20217</v>
      </c>
      <c r="D492" s="63"/>
      <c r="E492" s="49">
        <v>8.99</v>
      </c>
      <c r="F492" s="899"/>
    </row>
    <row r="493" spans="1:6">
      <c r="A493" s="864">
        <v>42351</v>
      </c>
      <c r="B493" s="76" t="str">
        <f>TiposLancamentos!B19</f>
        <v>Restaurantes</v>
      </c>
      <c r="C493" s="878" t="s">
        <v>6565</v>
      </c>
      <c r="D493" s="63"/>
      <c r="E493" s="49">
        <v>66.77</v>
      </c>
      <c r="F493" s="899"/>
    </row>
    <row r="494" spans="1:6">
      <c r="A494" s="806">
        <v>42352</v>
      </c>
      <c r="B494" s="822" t="str">
        <f>TiposLancamentos!B48</f>
        <v>Baralhos e Oráculos</v>
      </c>
      <c r="C494" s="808" t="s">
        <v>20218</v>
      </c>
      <c r="D494" s="747"/>
      <c r="E494" s="1139">
        <v>79</v>
      </c>
      <c r="F494" s="1145"/>
    </row>
    <row r="495" spans="1:6">
      <c r="A495" s="773">
        <v>42352</v>
      </c>
      <c r="B495" s="275" t="str">
        <f>TiposLancamentos!B48</f>
        <v>Baralhos e Oráculos</v>
      </c>
      <c r="C495" s="141" t="s">
        <v>20219</v>
      </c>
      <c r="D495" s="51"/>
      <c r="E495" s="1147">
        <v>79</v>
      </c>
      <c r="F495" s="1148"/>
    </row>
    <row r="496" spans="1:6">
      <c r="A496" s="810">
        <v>42352</v>
      </c>
      <c r="B496" s="823" t="str">
        <f>TiposLancamentos!B48</f>
        <v>Baralhos e Oráculos</v>
      </c>
      <c r="C496" s="812" t="s">
        <v>20220</v>
      </c>
      <c r="D496" s="849"/>
      <c r="E496" s="1141">
        <v>152</v>
      </c>
      <c r="F496" s="1146">
        <f>SUM(E494:E496)</f>
        <v>310</v>
      </c>
    </row>
    <row r="497" spans="1:7">
      <c r="A497" s="864">
        <v>42352</v>
      </c>
      <c r="B497" s="76" t="str">
        <f>TiposLancamentos!B16</f>
        <v>Cristiane</v>
      </c>
      <c r="C497" s="878" t="s">
        <v>20221</v>
      </c>
      <c r="D497" s="63"/>
      <c r="E497" s="49">
        <v>29.59</v>
      </c>
      <c r="F497" s="899"/>
    </row>
    <row r="498" spans="1:7">
      <c r="A498" s="864">
        <v>42352</v>
      </c>
      <c r="B498" s="76" t="str">
        <f>TiposLancamentos!B19</f>
        <v>Restaurantes</v>
      </c>
      <c r="C498" s="878" t="s">
        <v>7068</v>
      </c>
      <c r="D498" s="63"/>
      <c r="E498" s="49">
        <v>40.26</v>
      </c>
      <c r="F498" s="899"/>
    </row>
    <row r="499" spans="1:7">
      <c r="A499" s="864">
        <v>42353</v>
      </c>
      <c r="B499" s="76" t="str">
        <f>TiposLancamentos!B56</f>
        <v>Farmácia</v>
      </c>
      <c r="C499" s="878" t="s">
        <v>20222</v>
      </c>
      <c r="D499" s="63"/>
      <c r="E499" s="49">
        <v>125.94</v>
      </c>
      <c r="F499" s="899"/>
    </row>
    <row r="500" spans="1:7">
      <c r="A500" s="864">
        <v>42353</v>
      </c>
      <c r="B500" s="76" t="str">
        <f>TiposLancamentos!B81</f>
        <v>Ferramentas gerais</v>
      </c>
      <c r="C500" s="878" t="s">
        <v>20223</v>
      </c>
      <c r="D500" s="63"/>
      <c r="E500" s="49">
        <v>8.5</v>
      </c>
      <c r="F500" s="899"/>
    </row>
    <row r="501" spans="1:7">
      <c r="A501" s="864">
        <v>42353</v>
      </c>
      <c r="B501" s="76" t="str">
        <f>TiposLancamentos!B19</f>
        <v>Restaurantes</v>
      </c>
      <c r="C501" s="878" t="s">
        <v>18341</v>
      </c>
      <c r="D501" s="63"/>
      <c r="E501" s="49">
        <v>36.5</v>
      </c>
      <c r="F501" s="899"/>
    </row>
    <row r="502" spans="1:7">
      <c r="A502" s="864">
        <v>42354</v>
      </c>
      <c r="B502" s="76" t="str">
        <f>TiposLancamentos!B17</f>
        <v>GATO</v>
      </c>
      <c r="C502" s="878" t="s">
        <v>20224</v>
      </c>
      <c r="D502" s="63"/>
      <c r="E502" s="49">
        <v>90</v>
      </c>
      <c r="F502" s="899"/>
    </row>
    <row r="503" spans="1:7">
      <c r="A503" s="864">
        <v>42354</v>
      </c>
      <c r="B503" s="76" t="str">
        <f>TiposLancamentos!B22</f>
        <v>Combustivel</v>
      </c>
      <c r="C503" s="878" t="s">
        <v>20225</v>
      </c>
      <c r="D503" s="63"/>
      <c r="E503" s="49">
        <v>50</v>
      </c>
      <c r="F503" s="899"/>
    </row>
    <row r="504" spans="1:7">
      <c r="A504" s="864">
        <v>42354</v>
      </c>
      <c r="B504" s="76" t="str">
        <f>TiposLancamentos!B56</f>
        <v>Farmácia</v>
      </c>
      <c r="C504" s="878" t="s">
        <v>20226</v>
      </c>
      <c r="D504" s="63"/>
      <c r="E504" s="49">
        <v>63.68</v>
      </c>
      <c r="F504" s="899"/>
    </row>
    <row r="505" spans="1:7">
      <c r="A505" s="934"/>
      <c r="B505" s="226"/>
      <c r="C505" s="227" t="s">
        <v>10</v>
      </c>
      <c r="D505" s="228"/>
      <c r="E505" s="228"/>
      <c r="F505" s="935"/>
      <c r="G505" s="1094" t="s">
        <v>11</v>
      </c>
    </row>
    <row r="506" spans="1:7">
      <c r="A506" s="864">
        <v>42355</v>
      </c>
      <c r="B506" s="76" t="str">
        <f>TiposLancamentos!B19</f>
        <v>Restaurantes</v>
      </c>
      <c r="C506" s="878" t="s">
        <v>10648</v>
      </c>
      <c r="D506" s="63"/>
      <c r="E506" s="49">
        <v>14.4</v>
      </c>
      <c r="F506" s="899"/>
      <c r="G506" s="946" t="s">
        <v>9</v>
      </c>
    </row>
    <row r="507" spans="1:7">
      <c r="A507" s="864">
        <v>42356</v>
      </c>
      <c r="B507" s="76" t="str">
        <f>TiposLancamentos!B19</f>
        <v>Restaurantes</v>
      </c>
      <c r="C507" s="878" t="s">
        <v>20227</v>
      </c>
      <c r="D507" s="63"/>
      <c r="E507" s="49">
        <v>127.65</v>
      </c>
      <c r="F507" s="899"/>
      <c r="G507" s="946" t="s">
        <v>9</v>
      </c>
    </row>
    <row r="508" spans="1:7">
      <c r="A508" s="864">
        <v>42356</v>
      </c>
      <c r="B508" s="76" t="str">
        <f>TiposLancamentos!B13</f>
        <v>Moradia</v>
      </c>
      <c r="C508" s="878" t="s">
        <v>20228</v>
      </c>
      <c r="D508" s="63"/>
      <c r="E508" s="49">
        <v>35.9</v>
      </c>
      <c r="F508" s="899"/>
      <c r="G508" s="946" t="s">
        <v>9</v>
      </c>
    </row>
    <row r="509" spans="1:7">
      <c r="A509" s="864">
        <v>42356</v>
      </c>
      <c r="B509" s="76" t="str">
        <f>TiposLancamentos!B24</f>
        <v>Estacionamentos</v>
      </c>
      <c r="C509" s="878" t="s">
        <v>20229</v>
      </c>
      <c r="D509" s="63"/>
      <c r="E509" s="49">
        <v>7</v>
      </c>
      <c r="F509" s="899"/>
      <c r="G509" s="946" t="s">
        <v>9</v>
      </c>
    </row>
    <row r="510" spans="1:7">
      <c r="A510" s="864">
        <v>42356</v>
      </c>
      <c r="B510" s="76" t="str">
        <f>TiposLancamentos!B19</f>
        <v>Restaurantes</v>
      </c>
      <c r="C510" s="878" t="s">
        <v>20230</v>
      </c>
      <c r="D510" s="63"/>
      <c r="E510" s="49">
        <v>27.83</v>
      </c>
      <c r="F510" s="899"/>
      <c r="G510" s="946" t="s">
        <v>9</v>
      </c>
    </row>
    <row r="511" spans="1:7">
      <c r="A511" s="864">
        <v>42357</v>
      </c>
      <c r="B511" s="76" t="str">
        <f>TiposLancamentos!B57</f>
        <v>Informática</v>
      </c>
      <c r="C511" s="878" t="s">
        <v>20231</v>
      </c>
      <c r="D511" s="63"/>
      <c r="E511" s="49">
        <v>9.99</v>
      </c>
      <c r="F511" s="899"/>
      <c r="G511" s="946" t="s">
        <v>9</v>
      </c>
    </row>
    <row r="512" spans="1:7">
      <c r="A512" s="864">
        <v>42357</v>
      </c>
      <c r="B512" s="76" t="str">
        <f>TiposLancamentos!B5</f>
        <v>Supermercado</v>
      </c>
      <c r="C512" s="878" t="s">
        <v>6234</v>
      </c>
      <c r="D512" s="63"/>
      <c r="E512" s="49">
        <v>109.11</v>
      </c>
      <c r="F512" s="899"/>
      <c r="G512" s="946" t="s">
        <v>9</v>
      </c>
    </row>
    <row r="513" spans="1:7">
      <c r="A513" s="864">
        <v>42358</v>
      </c>
      <c r="B513" s="76" t="str">
        <f>TiposLancamentos!B19</f>
        <v>Restaurantes</v>
      </c>
      <c r="C513" s="878" t="s">
        <v>20123</v>
      </c>
      <c r="D513" s="63"/>
      <c r="E513" s="49">
        <v>67.2</v>
      </c>
      <c r="F513" s="899"/>
      <c r="G513" s="946" t="s">
        <v>9</v>
      </c>
    </row>
    <row r="514" spans="1:7">
      <c r="A514" s="864">
        <v>42359</v>
      </c>
      <c r="B514" s="76" t="str">
        <f>TiposLancamentos!B71</f>
        <v>Itens Pessoais</v>
      </c>
      <c r="C514" s="147" t="s">
        <v>20232</v>
      </c>
      <c r="D514" s="63"/>
      <c r="E514" s="231">
        <v>57.31</v>
      </c>
      <c r="F514" s="899"/>
      <c r="G514" s="946" t="s">
        <v>9</v>
      </c>
    </row>
    <row r="515" spans="1:7">
      <c r="A515" s="806">
        <v>42359</v>
      </c>
      <c r="B515" s="822" t="str">
        <f>TiposLancamentos!B48</f>
        <v>Baralhos e Oráculos</v>
      </c>
      <c r="C515" s="808" t="s">
        <v>20233</v>
      </c>
      <c r="D515" s="747"/>
      <c r="E515" s="1139">
        <v>105</v>
      </c>
      <c r="F515" s="1145"/>
      <c r="G515" s="946" t="s">
        <v>9</v>
      </c>
    </row>
    <row r="516" spans="1:7">
      <c r="A516" s="810">
        <v>42359</v>
      </c>
      <c r="B516" s="823" t="str">
        <f>TiposLancamentos!B16</f>
        <v>Cristiane</v>
      </c>
      <c r="C516" s="812" t="s">
        <v>20234</v>
      </c>
      <c r="D516" s="849"/>
      <c r="E516" s="1141">
        <f>F516-E515</f>
        <v>97</v>
      </c>
      <c r="F516" s="1146">
        <v>202</v>
      </c>
      <c r="G516" s="946" t="s">
        <v>9</v>
      </c>
    </row>
    <row r="517" spans="1:7">
      <c r="A517" s="864">
        <v>42359</v>
      </c>
      <c r="B517" s="76" t="str">
        <f>TiposLancamentos!B19</f>
        <v>Restaurantes</v>
      </c>
      <c r="C517" s="147" t="s">
        <v>20235</v>
      </c>
      <c r="D517" s="63"/>
      <c r="E517" s="231">
        <v>70.63</v>
      </c>
      <c r="F517" s="899"/>
      <c r="G517" s="946" t="s">
        <v>9</v>
      </c>
    </row>
    <row r="518" spans="1:7">
      <c r="A518" s="864">
        <v>42359</v>
      </c>
      <c r="B518" s="76" t="str">
        <f>TiposLancamentos!B19</f>
        <v>Restaurantes</v>
      </c>
      <c r="C518" s="147" t="s">
        <v>20236</v>
      </c>
      <c r="D518" s="63"/>
      <c r="E518" s="231">
        <v>304.7</v>
      </c>
      <c r="F518" s="899"/>
      <c r="G518" s="946" t="s">
        <v>9</v>
      </c>
    </row>
    <row r="519" spans="1:7">
      <c r="A519" s="864">
        <v>42360</v>
      </c>
      <c r="B519" s="76" t="str">
        <f>TiposLancamentos!B30</f>
        <v>Cinema</v>
      </c>
      <c r="C519" s="878" t="s">
        <v>20237</v>
      </c>
      <c r="D519" s="63"/>
      <c r="E519" s="49">
        <v>49.84</v>
      </c>
      <c r="F519" s="899"/>
      <c r="G519" s="946" t="s">
        <v>9</v>
      </c>
    </row>
    <row r="520" spans="1:7">
      <c r="A520" s="864">
        <v>42360</v>
      </c>
      <c r="B520" s="76" t="str">
        <f>TiposLancamentos!B19</f>
        <v>Restaurantes</v>
      </c>
      <c r="C520" s="878" t="s">
        <v>20238</v>
      </c>
      <c r="D520" s="63"/>
      <c r="E520" s="49">
        <v>24.5</v>
      </c>
      <c r="F520" s="899"/>
      <c r="G520" s="946" t="s">
        <v>9</v>
      </c>
    </row>
    <row r="521" spans="1:7">
      <c r="A521" s="864">
        <v>42360</v>
      </c>
      <c r="B521" s="76" t="str">
        <f>TiposLancamentos!B19</f>
        <v>Restaurantes</v>
      </c>
      <c r="C521" s="878" t="s">
        <v>4956</v>
      </c>
      <c r="D521" s="63"/>
      <c r="E521" s="49">
        <v>42.5</v>
      </c>
      <c r="F521" s="899"/>
      <c r="G521" s="946" t="s">
        <v>9</v>
      </c>
    </row>
    <row r="522" spans="1:7">
      <c r="A522" s="864">
        <v>42364</v>
      </c>
      <c r="B522" s="76" t="str">
        <f>TiposLancamentos!B19</f>
        <v>Restaurantes</v>
      </c>
      <c r="C522" s="878" t="s">
        <v>20239</v>
      </c>
      <c r="D522" s="63"/>
      <c r="E522" s="49">
        <v>34.6</v>
      </c>
      <c r="F522" s="899"/>
      <c r="G522" s="946" t="s">
        <v>9</v>
      </c>
    </row>
    <row r="523" spans="1:7">
      <c r="A523" s="864">
        <v>42364</v>
      </c>
      <c r="B523" s="76" t="str">
        <f>TiposLancamentos!B24</f>
        <v>Estacionamentos</v>
      </c>
      <c r="C523" s="878" t="s">
        <v>7159</v>
      </c>
      <c r="D523" s="63"/>
      <c r="E523" s="49">
        <v>18</v>
      </c>
      <c r="F523" s="899"/>
      <c r="G523" s="946" t="s">
        <v>9</v>
      </c>
    </row>
    <row r="524" spans="1:7">
      <c r="A524" s="864">
        <v>42365</v>
      </c>
      <c r="B524" s="76" t="str">
        <f>TiposLancamentos!B17</f>
        <v>GATO</v>
      </c>
      <c r="C524" s="878" t="s">
        <v>6059</v>
      </c>
      <c r="D524" s="63"/>
      <c r="E524" s="49">
        <v>78.5</v>
      </c>
      <c r="F524" s="899"/>
      <c r="G524" s="946" t="s">
        <v>9</v>
      </c>
    </row>
    <row r="525" spans="1:7">
      <c r="A525" s="864">
        <v>42365</v>
      </c>
      <c r="B525" s="76" t="str">
        <f>TiposLancamentos!B19</f>
        <v>Restaurantes</v>
      </c>
      <c r="C525" s="878" t="s">
        <v>6409</v>
      </c>
      <c r="D525" s="63"/>
      <c r="E525" s="49">
        <v>73.59</v>
      </c>
      <c r="F525" s="899"/>
      <c r="G525" s="946" t="s">
        <v>9</v>
      </c>
    </row>
    <row r="526" spans="1:7">
      <c r="A526" s="864">
        <v>42366</v>
      </c>
      <c r="B526" s="76" t="str">
        <f>TiposLancamentos!B19</f>
        <v>Restaurantes</v>
      </c>
      <c r="C526" s="878" t="s">
        <v>15823</v>
      </c>
      <c r="D526" s="63"/>
      <c r="E526" s="49">
        <v>52.8</v>
      </c>
      <c r="F526" s="899"/>
      <c r="G526" s="946" t="s">
        <v>9</v>
      </c>
    </row>
    <row r="527" spans="1:7">
      <c r="A527" s="864">
        <v>42366</v>
      </c>
      <c r="B527" s="76" t="str">
        <f>TiposLancamentos!B19</f>
        <v>Restaurantes</v>
      </c>
      <c r="C527" s="878" t="s">
        <v>20240</v>
      </c>
      <c r="D527" s="63"/>
      <c r="E527" s="49">
        <v>17.899999999999999</v>
      </c>
      <c r="F527" s="899"/>
      <c r="G527" s="946" t="s">
        <v>9</v>
      </c>
    </row>
    <row r="528" spans="1:7">
      <c r="A528" s="864">
        <v>42366</v>
      </c>
      <c r="B528" s="76" t="str">
        <f>TiposLancamentos!B19</f>
        <v>Restaurantes</v>
      </c>
      <c r="C528" s="878" t="s">
        <v>7000</v>
      </c>
      <c r="D528" s="63"/>
      <c r="E528" s="49">
        <v>7</v>
      </c>
      <c r="F528" s="899"/>
      <c r="G528" s="946" t="s">
        <v>9</v>
      </c>
    </row>
    <row r="529" spans="1:7">
      <c r="A529" s="806">
        <v>42368</v>
      </c>
      <c r="B529" s="822" t="str">
        <f>TiposLancamentos!B48</f>
        <v>Baralhos e Oráculos</v>
      </c>
      <c r="C529" s="808" t="s">
        <v>20241</v>
      </c>
      <c r="D529" s="747"/>
      <c r="E529" s="1139">
        <f>3.15+30.5</f>
        <v>33.65</v>
      </c>
      <c r="F529" s="1145"/>
      <c r="G529" s="946" t="s">
        <v>9</v>
      </c>
    </row>
    <row r="530" spans="1:7">
      <c r="A530" s="773">
        <v>42368</v>
      </c>
      <c r="B530" s="275" t="str">
        <f>TiposLancamentos!B48</f>
        <v>Baralhos e Oráculos</v>
      </c>
      <c r="C530" s="141" t="s">
        <v>20242</v>
      </c>
      <c r="D530" s="51"/>
      <c r="E530" s="1147">
        <f>3.15+85</f>
        <v>88.15</v>
      </c>
      <c r="F530" s="1148"/>
      <c r="G530" s="946" t="s">
        <v>9</v>
      </c>
    </row>
    <row r="531" spans="1:7">
      <c r="A531" s="810">
        <v>42368</v>
      </c>
      <c r="B531" s="823" t="str">
        <f>TiposLancamentos!B48</f>
        <v>Baralhos e Oráculos</v>
      </c>
      <c r="C531" s="812" t="s">
        <v>20243</v>
      </c>
      <c r="D531" s="849"/>
      <c r="E531" s="1141">
        <f>3.15+80</f>
        <v>83.15</v>
      </c>
      <c r="F531" s="1146">
        <f>SUM(E529:E531)</f>
        <v>204.95000000000002</v>
      </c>
      <c r="G531" s="946" t="s">
        <v>9</v>
      </c>
    </row>
    <row r="532" spans="1:7" ht="14.25" thickBot="1">
      <c r="A532" s="864">
        <v>42369</v>
      </c>
      <c r="B532" s="76" t="str">
        <f>TiposLancamentos!B5</f>
        <v>Supermercado</v>
      </c>
      <c r="C532" s="878" t="s">
        <v>20244</v>
      </c>
      <c r="D532" s="63"/>
      <c r="E532" s="49">
        <v>259.54000000000002</v>
      </c>
      <c r="F532" s="899"/>
      <c r="G532" s="946" t="s">
        <v>9</v>
      </c>
    </row>
    <row r="533" spans="1:7">
      <c r="A533" s="893"/>
      <c r="B533" s="894"/>
      <c r="C533" s="906" t="s">
        <v>7237</v>
      </c>
      <c r="D533" s="896"/>
      <c r="E533" s="897"/>
      <c r="F533" s="898">
        <f>SUM(E439:E504)</f>
        <v>4358.3100000000004</v>
      </c>
      <c r="G533" s="1094" t="s">
        <v>11</v>
      </c>
    </row>
    <row r="534" spans="1:7">
      <c r="A534" s="864">
        <v>42371</v>
      </c>
      <c r="B534" s="76" t="str">
        <f>TiposLancamentos!B19</f>
        <v>Restaurantes</v>
      </c>
      <c r="C534" s="878" t="s">
        <v>20245</v>
      </c>
      <c r="D534" s="63"/>
      <c r="E534" s="49">
        <v>129.80000000000001</v>
      </c>
      <c r="F534" s="899"/>
      <c r="G534" s="946" t="s">
        <v>9</v>
      </c>
    </row>
    <row r="535" spans="1:7">
      <c r="A535" s="864">
        <v>42371</v>
      </c>
      <c r="B535" s="76" t="str">
        <f>TiposLancamentos!B5</f>
        <v>Supermercado</v>
      </c>
      <c r="C535" s="878" t="s">
        <v>5844</v>
      </c>
      <c r="D535" s="63"/>
      <c r="E535" s="49">
        <v>36.61</v>
      </c>
      <c r="F535" s="899"/>
      <c r="G535" s="946" t="s">
        <v>9</v>
      </c>
    </row>
    <row r="536" spans="1:7">
      <c r="A536" s="864">
        <v>42373</v>
      </c>
      <c r="B536" s="76" t="str">
        <f>TiposLancamentos!B15</f>
        <v>Cartões de Crédito</v>
      </c>
      <c r="C536" s="878" t="s">
        <v>1874</v>
      </c>
      <c r="D536" s="63">
        <v>4358.3100000000004</v>
      </c>
      <c r="E536" s="49"/>
      <c r="F536" s="899"/>
      <c r="G536" s="1094" t="s">
        <v>11</v>
      </c>
    </row>
    <row r="537" spans="1:7">
      <c r="A537" s="864">
        <v>42373</v>
      </c>
      <c r="B537" s="76" t="str">
        <f>TiposLancamentos!B17</f>
        <v>GATO</v>
      </c>
      <c r="C537" s="878" t="s">
        <v>20246</v>
      </c>
      <c r="D537" s="63"/>
      <c r="E537" s="49">
        <v>30</v>
      </c>
      <c r="F537" s="899"/>
      <c r="G537" s="946" t="s">
        <v>9</v>
      </c>
    </row>
    <row r="538" spans="1:7">
      <c r="A538" s="864">
        <v>42373</v>
      </c>
      <c r="B538" s="76" t="str">
        <f>TiposLancamentos!B48</f>
        <v>Baralhos e Oráculos</v>
      </c>
      <c r="C538" s="878" t="s">
        <v>20247</v>
      </c>
      <c r="D538" s="63"/>
      <c r="E538" s="49">
        <v>105</v>
      </c>
      <c r="F538" s="899"/>
      <c r="G538" s="946" t="s">
        <v>9</v>
      </c>
    </row>
    <row r="539" spans="1:7">
      <c r="A539" s="864">
        <v>42374</v>
      </c>
      <c r="B539" s="76" t="str">
        <f>TiposLancamentos!B19</f>
        <v>Restaurantes</v>
      </c>
      <c r="C539" s="878" t="s">
        <v>20248</v>
      </c>
      <c r="D539" s="63"/>
      <c r="E539" s="49">
        <v>70.84</v>
      </c>
      <c r="F539" s="899"/>
      <c r="G539" s="946" t="s">
        <v>9</v>
      </c>
    </row>
    <row r="540" spans="1:7">
      <c r="A540" s="864">
        <v>42375</v>
      </c>
      <c r="B540" s="76" t="str">
        <f>TiposLancamentos!B19</f>
        <v>Restaurantes</v>
      </c>
      <c r="C540" s="878" t="s">
        <v>7006</v>
      </c>
      <c r="D540" s="63"/>
      <c r="E540" s="49">
        <v>40</v>
      </c>
      <c r="F540" s="899"/>
      <c r="G540" s="946" t="s">
        <v>9</v>
      </c>
    </row>
    <row r="541" spans="1:7">
      <c r="A541" s="864">
        <v>42378</v>
      </c>
      <c r="B541" s="76" t="str">
        <f>TiposLancamentos!B19</f>
        <v>Restaurantes</v>
      </c>
      <c r="C541" s="878" t="s">
        <v>20249</v>
      </c>
      <c r="D541" s="63"/>
      <c r="E541" s="49">
        <v>29</v>
      </c>
      <c r="F541" s="899"/>
      <c r="G541" s="946" t="s">
        <v>9</v>
      </c>
    </row>
    <row r="542" spans="1:7">
      <c r="A542" s="864">
        <v>42379</v>
      </c>
      <c r="B542" s="76" t="str">
        <f>TiposLancamentos!B19</f>
        <v>Restaurantes</v>
      </c>
      <c r="C542" s="878" t="s">
        <v>10857</v>
      </c>
      <c r="D542" s="63"/>
      <c r="E542" s="49">
        <v>177.54</v>
      </c>
      <c r="F542" s="899"/>
      <c r="G542" s="946" t="s">
        <v>9</v>
      </c>
    </row>
    <row r="543" spans="1:7">
      <c r="A543" s="864">
        <v>42380</v>
      </c>
      <c r="B543" s="76" t="str">
        <f>TiposLancamentos!B19</f>
        <v>Restaurantes</v>
      </c>
      <c r="C543" s="878" t="s">
        <v>6780</v>
      </c>
      <c r="D543" s="63"/>
      <c r="E543" s="49">
        <v>41.69</v>
      </c>
      <c r="F543" s="899"/>
      <c r="G543" s="946" t="s">
        <v>9</v>
      </c>
    </row>
    <row r="544" spans="1:7">
      <c r="A544" s="864">
        <v>42380</v>
      </c>
      <c r="B544" s="76" t="str">
        <f>TiposLancamentos!B16</f>
        <v>Cristiane</v>
      </c>
      <c r="C544" s="878" t="s">
        <v>20250</v>
      </c>
      <c r="D544" s="63"/>
      <c r="E544" s="49">
        <v>36.29</v>
      </c>
      <c r="F544" s="899"/>
      <c r="G544" s="946" t="s">
        <v>9</v>
      </c>
    </row>
    <row r="545" spans="1:7">
      <c r="A545" s="864">
        <v>42380</v>
      </c>
      <c r="B545" s="76" t="str">
        <f>TiposLancamentos!B26</f>
        <v>LIVROS</v>
      </c>
      <c r="C545" s="878" t="s">
        <v>20251</v>
      </c>
      <c r="D545" s="63"/>
      <c r="E545" s="49">
        <v>43.44</v>
      </c>
      <c r="F545" s="899"/>
      <c r="G545" s="946" t="s">
        <v>9</v>
      </c>
    </row>
    <row r="546" spans="1:7">
      <c r="A546" s="864">
        <v>42381</v>
      </c>
      <c r="B546" s="76" t="str">
        <f>TiposLancamentos!B22</f>
        <v>Combustivel</v>
      </c>
      <c r="C546" s="878" t="s">
        <v>20252</v>
      </c>
      <c r="D546" s="63"/>
      <c r="E546" s="49">
        <v>80</v>
      </c>
      <c r="F546" s="899"/>
      <c r="G546" s="946" t="s">
        <v>9</v>
      </c>
    </row>
    <row r="547" spans="1:7">
      <c r="A547" s="864">
        <v>42381</v>
      </c>
      <c r="B547" s="76" t="str">
        <f>TiposLancamentos!B19</f>
        <v>Restaurantes</v>
      </c>
      <c r="C547" s="878" t="s">
        <v>20253</v>
      </c>
      <c r="D547" s="63"/>
      <c r="E547" s="49">
        <v>40</v>
      </c>
      <c r="F547" s="899"/>
      <c r="G547" s="946" t="s">
        <v>9</v>
      </c>
    </row>
    <row r="548" spans="1:7">
      <c r="A548" s="864">
        <v>42381</v>
      </c>
      <c r="B548" s="76" t="str">
        <f>TiposLancamentos!B57</f>
        <v>Informática</v>
      </c>
      <c r="C548" s="878" t="s">
        <v>20254</v>
      </c>
      <c r="D548" s="63"/>
      <c r="E548" s="49">
        <v>37.9</v>
      </c>
      <c r="F548" s="899"/>
      <c r="G548" s="946" t="s">
        <v>9</v>
      </c>
    </row>
    <row r="549" spans="1:7">
      <c r="A549" s="864">
        <v>42382</v>
      </c>
      <c r="B549" s="76" t="str">
        <f>TiposLancamentos!B22</f>
        <v>Combustivel</v>
      </c>
      <c r="C549" s="878" t="s">
        <v>6412</v>
      </c>
      <c r="D549" s="63"/>
      <c r="E549" s="49">
        <v>50</v>
      </c>
      <c r="F549" s="899"/>
      <c r="G549" s="946" t="s">
        <v>9</v>
      </c>
    </row>
    <row r="550" spans="1:7">
      <c r="A550" s="864">
        <v>42383</v>
      </c>
      <c r="B550" s="76" t="str">
        <f>TiposLancamentos!B56</f>
        <v>Farmácia</v>
      </c>
      <c r="C550" s="878" t="s">
        <v>20255</v>
      </c>
      <c r="D550" s="63"/>
      <c r="E550" s="49">
        <v>68.06</v>
      </c>
      <c r="F550" s="899"/>
      <c r="G550" s="946" t="s">
        <v>9</v>
      </c>
    </row>
    <row r="551" spans="1:7">
      <c r="A551" s="864">
        <v>42385</v>
      </c>
      <c r="B551" s="76" t="str">
        <f>TiposLancamentos!B19</f>
        <v>Restaurantes</v>
      </c>
      <c r="C551" s="878" t="s">
        <v>6468</v>
      </c>
      <c r="D551" s="63"/>
      <c r="E551" s="49">
        <v>117.7</v>
      </c>
      <c r="F551" s="899"/>
      <c r="G551" s="946" t="s">
        <v>9</v>
      </c>
    </row>
    <row r="552" spans="1:7">
      <c r="A552" s="934"/>
      <c r="B552" s="226"/>
      <c r="C552" s="227" t="s">
        <v>10</v>
      </c>
      <c r="D552" s="228"/>
      <c r="E552" s="228"/>
      <c r="F552" s="935"/>
      <c r="G552" s="1094" t="s">
        <v>11</v>
      </c>
    </row>
    <row r="553" spans="1:7">
      <c r="A553" s="864">
        <v>42390</v>
      </c>
      <c r="B553" s="76" t="str">
        <f>TiposLancamentos!B71</f>
        <v>Itens Pessoais</v>
      </c>
      <c r="C553" s="147" t="s">
        <v>20256</v>
      </c>
      <c r="D553" s="63"/>
      <c r="E553" s="231">
        <v>57.31</v>
      </c>
      <c r="F553" s="899"/>
      <c r="G553" s="946" t="s">
        <v>9</v>
      </c>
    </row>
    <row r="554" spans="1:7">
      <c r="A554" s="864">
        <v>42393</v>
      </c>
      <c r="B554" s="76" t="str">
        <f>TiposLancamentos!B19</f>
        <v>Restaurantes</v>
      </c>
      <c r="C554" s="878" t="s">
        <v>11115</v>
      </c>
      <c r="D554" s="63"/>
      <c r="E554" s="49">
        <v>144.87</v>
      </c>
      <c r="F554" s="899"/>
      <c r="G554" s="946" t="s">
        <v>9</v>
      </c>
    </row>
    <row r="555" spans="1:7">
      <c r="A555" s="864">
        <v>42393</v>
      </c>
      <c r="B555" s="76" t="str">
        <f>TiposLancamentos!B5</f>
        <v>Supermercado</v>
      </c>
      <c r="C555" s="878" t="s">
        <v>6234</v>
      </c>
      <c r="D555" s="63"/>
      <c r="E555" s="49">
        <v>44.86</v>
      </c>
      <c r="F555" s="899"/>
      <c r="G555" s="946" t="s">
        <v>9</v>
      </c>
    </row>
    <row r="556" spans="1:7">
      <c r="A556" s="864">
        <v>42394</v>
      </c>
      <c r="B556" s="76" t="str">
        <f>TiposLancamentos!B5</f>
        <v>Supermercado</v>
      </c>
      <c r="C556" s="878" t="s">
        <v>20257</v>
      </c>
      <c r="D556" s="63"/>
      <c r="E556" s="49">
        <v>54.7</v>
      </c>
      <c r="F556" s="899"/>
      <c r="G556" s="946" t="s">
        <v>9</v>
      </c>
    </row>
    <row r="557" spans="1:7">
      <c r="A557" s="864">
        <v>42394</v>
      </c>
      <c r="B557" s="76" t="str">
        <f>TiposLancamentos!B19</f>
        <v>Restaurantes</v>
      </c>
      <c r="C557" s="878" t="s">
        <v>10648</v>
      </c>
      <c r="D557" s="63"/>
      <c r="E557" s="49">
        <v>12.91</v>
      </c>
      <c r="F557" s="899"/>
      <c r="G557" s="946" t="s">
        <v>9</v>
      </c>
    </row>
    <row r="558" spans="1:7">
      <c r="A558" s="864">
        <v>42395</v>
      </c>
      <c r="B558" s="76" t="str">
        <f>TiposLancamentos!B19</f>
        <v>Restaurantes</v>
      </c>
      <c r="C558" s="878" t="s">
        <v>20258</v>
      </c>
      <c r="D558" s="63"/>
      <c r="E558" s="49">
        <v>85.19</v>
      </c>
      <c r="F558" s="899"/>
      <c r="G558" s="946" t="s">
        <v>9</v>
      </c>
    </row>
    <row r="559" spans="1:7">
      <c r="A559" s="864">
        <v>42396</v>
      </c>
      <c r="B559" s="76" t="str">
        <f>TiposLancamentos!B22</f>
        <v>Combustivel</v>
      </c>
      <c r="C559" s="878" t="s">
        <v>6718</v>
      </c>
      <c r="D559" s="63"/>
      <c r="E559" s="49">
        <v>138.63999999999999</v>
      </c>
      <c r="F559" s="899"/>
      <c r="G559" s="946" t="s">
        <v>9</v>
      </c>
    </row>
    <row r="560" spans="1:7">
      <c r="A560" s="864">
        <v>42396</v>
      </c>
      <c r="B560" s="76" t="str">
        <f>TiposLancamentos!B22</f>
        <v>Combustivel</v>
      </c>
      <c r="C560" s="878" t="s">
        <v>6412</v>
      </c>
      <c r="D560" s="63"/>
      <c r="E560" s="49">
        <v>30</v>
      </c>
      <c r="F560" s="899"/>
      <c r="G560" s="946" t="s">
        <v>9</v>
      </c>
    </row>
    <row r="561" spans="1:7">
      <c r="A561" s="864">
        <v>42397</v>
      </c>
      <c r="B561" s="76" t="str">
        <f>TiposLancamentos!B56</f>
        <v>Farmácia</v>
      </c>
      <c r="C561" s="878" t="s">
        <v>10735</v>
      </c>
      <c r="D561" s="63"/>
      <c r="E561" s="49">
        <v>65.040000000000006</v>
      </c>
      <c r="F561" s="899"/>
      <c r="G561" s="946" t="s">
        <v>9</v>
      </c>
    </row>
    <row r="562" spans="1:7">
      <c r="A562" s="864">
        <v>42397</v>
      </c>
      <c r="B562" s="76" t="str">
        <f>TiposLancamentos!B71</f>
        <v>Itens Pessoais</v>
      </c>
      <c r="C562" s="878" t="s">
        <v>3590</v>
      </c>
      <c r="D562" s="63"/>
      <c r="E562" s="49">
        <v>30</v>
      </c>
      <c r="F562" s="899"/>
      <c r="G562" s="946" t="s">
        <v>9</v>
      </c>
    </row>
    <row r="563" spans="1:7">
      <c r="A563" s="864">
        <v>42399</v>
      </c>
      <c r="B563" s="76" t="str">
        <f>TiposLancamentos!B57</f>
        <v>Informática</v>
      </c>
      <c r="C563" s="878" t="s">
        <v>20259</v>
      </c>
      <c r="D563" s="63"/>
      <c r="E563" s="49">
        <v>39.99</v>
      </c>
      <c r="F563" s="899"/>
      <c r="G563" s="946" t="s">
        <v>9</v>
      </c>
    </row>
    <row r="564" spans="1:7">
      <c r="A564" s="864">
        <v>42399</v>
      </c>
      <c r="B564" s="76" t="str">
        <f>TiposLancamentos!B19</f>
        <v>Restaurantes</v>
      </c>
      <c r="C564" s="878" t="s">
        <v>6565</v>
      </c>
      <c r="D564" s="63"/>
      <c r="E564" s="49">
        <v>26.53</v>
      </c>
      <c r="F564" s="899"/>
      <c r="G564" s="946" t="s">
        <v>9</v>
      </c>
    </row>
    <row r="565" spans="1:7">
      <c r="A565" s="864">
        <v>42399</v>
      </c>
      <c r="B565" s="76" t="str">
        <f>TiposLancamentos!B5</f>
        <v>Supermercado</v>
      </c>
      <c r="C565" s="878" t="s">
        <v>16747</v>
      </c>
      <c r="D565" s="63"/>
      <c r="E565" s="49">
        <v>57.07</v>
      </c>
      <c r="F565" s="899"/>
      <c r="G565" s="946" t="s">
        <v>9</v>
      </c>
    </row>
    <row r="566" spans="1:7">
      <c r="A566" s="864">
        <v>42400</v>
      </c>
      <c r="B566" s="76" t="str">
        <f>TiposLancamentos!B19</f>
        <v>Restaurantes</v>
      </c>
      <c r="C566" s="878" t="s">
        <v>4956</v>
      </c>
      <c r="D566" s="63"/>
      <c r="E566" s="49">
        <v>27.5</v>
      </c>
      <c r="F566" s="899"/>
      <c r="G566" s="946" t="s">
        <v>9</v>
      </c>
    </row>
    <row r="567" spans="1:7" ht="14.25" thickBot="1">
      <c r="A567" s="864">
        <v>42400</v>
      </c>
      <c r="B567" s="76" t="str">
        <f>TiposLancamentos!B19</f>
        <v>Restaurantes</v>
      </c>
      <c r="C567" s="878" t="s">
        <v>7068</v>
      </c>
      <c r="D567" s="63"/>
      <c r="E567" s="49">
        <v>14.2</v>
      </c>
      <c r="F567" s="899"/>
      <c r="G567" s="946" t="s">
        <v>9</v>
      </c>
    </row>
    <row r="568" spans="1:7">
      <c r="A568" s="893"/>
      <c r="B568" s="894"/>
      <c r="C568" s="906" t="s">
        <v>7253</v>
      </c>
      <c r="D568" s="896"/>
      <c r="E568" s="897"/>
      <c r="F568" s="898">
        <f>SUM(E506:E551)</f>
        <v>3031.31</v>
      </c>
      <c r="G568" s="946" t="s">
        <v>9</v>
      </c>
    </row>
    <row r="569" spans="1:7">
      <c r="A569" s="864">
        <v>42403</v>
      </c>
      <c r="B569" s="76" t="str">
        <f>TiposLancamentos!B15</f>
        <v>Cartões de Crédito</v>
      </c>
      <c r="C569" s="878" t="s">
        <v>11109</v>
      </c>
      <c r="D569" s="63">
        <v>3031.31</v>
      </c>
      <c r="E569" s="49"/>
      <c r="F569" s="899">
        <f>F568-F533</f>
        <v>-1327.0000000000005</v>
      </c>
      <c r="G569" s="946" t="s">
        <v>9</v>
      </c>
    </row>
    <row r="570" spans="1:7">
      <c r="A570" s="864">
        <v>42422</v>
      </c>
      <c r="B570" s="76" t="str">
        <f>TiposLancamentos!B78</f>
        <v>Diferenças</v>
      </c>
      <c r="C570" s="878" t="s">
        <v>20260</v>
      </c>
      <c r="D570" s="63">
        <v>0.02</v>
      </c>
      <c r="E570" s="49"/>
      <c r="F570" s="899"/>
      <c r="G570" s="946" t="s">
        <v>9</v>
      </c>
    </row>
    <row r="571" spans="1:7">
      <c r="A571" s="934"/>
      <c r="B571" s="226"/>
      <c r="C571" s="227" t="s">
        <v>10</v>
      </c>
      <c r="D571" s="228"/>
      <c r="E571" s="228"/>
      <c r="F571" s="935"/>
      <c r="G571" s="1094" t="s">
        <v>11</v>
      </c>
    </row>
    <row r="572" spans="1:7">
      <c r="A572" s="864">
        <v>42421</v>
      </c>
      <c r="B572" s="76" t="str">
        <f>TiposLancamentos!B71</f>
        <v>Itens Pessoais</v>
      </c>
      <c r="C572" s="147" t="s">
        <v>20261</v>
      </c>
      <c r="D572" s="63"/>
      <c r="E572" s="231">
        <v>57.31</v>
      </c>
      <c r="F572" s="899"/>
      <c r="G572" s="946" t="s">
        <v>9</v>
      </c>
    </row>
    <row r="573" spans="1:7">
      <c r="A573" s="864">
        <v>42424</v>
      </c>
      <c r="B573" s="76" t="str">
        <f>TiposLancamentos!B4</f>
        <v>Taxas Bancarias</v>
      </c>
      <c r="C573" s="147" t="s">
        <v>20080</v>
      </c>
      <c r="D573" s="63"/>
      <c r="E573" s="231">
        <v>24</v>
      </c>
      <c r="F573" s="899"/>
      <c r="G573" s="946" t="s">
        <v>9</v>
      </c>
    </row>
    <row r="574" spans="1:7">
      <c r="A574" s="864">
        <v>42428</v>
      </c>
      <c r="B574" s="76" t="str">
        <f>TiposLancamentos!B19</f>
        <v>Restaurantes</v>
      </c>
      <c r="C574" s="147" t="s">
        <v>20262</v>
      </c>
      <c r="D574" s="63"/>
      <c r="E574" s="231">
        <v>157.08000000000001</v>
      </c>
      <c r="F574" s="899"/>
      <c r="G574" s="946" t="s">
        <v>9</v>
      </c>
    </row>
    <row r="575" spans="1:7">
      <c r="A575" s="864">
        <v>42429</v>
      </c>
      <c r="B575" s="76" t="str">
        <f>TiposLancamentos!B5</f>
        <v>Supermercado</v>
      </c>
      <c r="C575" s="878" t="s">
        <v>6234</v>
      </c>
      <c r="D575" s="63"/>
      <c r="E575" s="49">
        <v>274.20999999999998</v>
      </c>
      <c r="F575" s="899"/>
      <c r="G575" s="946" t="s">
        <v>9</v>
      </c>
    </row>
    <row r="576" spans="1:7" ht="14.25" thickBot="1">
      <c r="A576" s="864">
        <v>42429</v>
      </c>
      <c r="B576" s="76" t="str">
        <f>TiposLancamentos!B22</f>
        <v>Combustivel</v>
      </c>
      <c r="C576" s="878" t="s">
        <v>6412</v>
      </c>
      <c r="D576" s="63"/>
      <c r="E576" s="49">
        <v>60</v>
      </c>
      <c r="F576" s="899"/>
      <c r="G576" s="946" t="s">
        <v>9</v>
      </c>
    </row>
    <row r="577" spans="1:7">
      <c r="A577" s="893"/>
      <c r="B577" s="894"/>
      <c r="C577" s="906" t="s">
        <v>13717</v>
      </c>
      <c r="D577" s="896"/>
      <c r="E577" s="897"/>
      <c r="F577" s="898">
        <f>SUM(E553:E570)-D570</f>
        <v>828.79000000000008</v>
      </c>
    </row>
    <row r="578" spans="1:7">
      <c r="A578" s="864">
        <v>42430</v>
      </c>
      <c r="B578" s="76" t="str">
        <f>TiposLancamentos!B19</f>
        <v>Restaurantes</v>
      </c>
      <c r="C578" s="878" t="s">
        <v>20263</v>
      </c>
      <c r="D578" s="63"/>
      <c r="E578" s="49">
        <v>23.76</v>
      </c>
      <c r="F578" s="899">
        <f>F577-F568</f>
        <v>-2202.52</v>
      </c>
      <c r="G578" s="946" t="s">
        <v>9</v>
      </c>
    </row>
    <row r="579" spans="1:7">
      <c r="A579" s="864">
        <v>42432</v>
      </c>
      <c r="B579" s="76" t="str">
        <f>TiposLancamentos!B15</f>
        <v>Cartões de Crédito</v>
      </c>
      <c r="C579" s="878" t="s">
        <v>10915</v>
      </c>
      <c r="D579" s="63">
        <v>828.79</v>
      </c>
      <c r="E579" s="49"/>
      <c r="F579" s="899"/>
      <c r="G579" s="946" t="s">
        <v>9</v>
      </c>
    </row>
    <row r="580" spans="1:7">
      <c r="A580" s="864">
        <v>42436</v>
      </c>
      <c r="B580" s="76" t="str">
        <f>TiposLancamentos!B48</f>
        <v>Baralhos e Oráculos</v>
      </c>
      <c r="C580" s="878" t="s">
        <v>20264</v>
      </c>
      <c r="D580" s="63"/>
      <c r="E580" s="49">
        <v>145.47999999999999</v>
      </c>
      <c r="F580" s="899"/>
      <c r="G580" s="946" t="s">
        <v>9</v>
      </c>
    </row>
    <row r="581" spans="1:7">
      <c r="A581" s="864">
        <v>42436</v>
      </c>
      <c r="B581" s="76" t="str">
        <f>TiposLancamentos!B57</f>
        <v>Informática</v>
      </c>
      <c r="C581" s="878" t="s">
        <v>20265</v>
      </c>
      <c r="D581" s="63"/>
      <c r="E581" s="49">
        <v>71.59</v>
      </c>
      <c r="F581" s="899"/>
      <c r="G581" s="946" t="s">
        <v>9</v>
      </c>
    </row>
    <row r="582" spans="1:7">
      <c r="A582" s="864">
        <v>42438</v>
      </c>
      <c r="B582" s="76" t="str">
        <f>TiposLancamentos!B73</f>
        <v>Cursos</v>
      </c>
      <c r="C582" s="878" t="s">
        <v>20266</v>
      </c>
      <c r="D582" s="63"/>
      <c r="E582" s="49">
        <v>107.06</v>
      </c>
      <c r="F582" s="899">
        <v>428.21</v>
      </c>
      <c r="G582" s="946" t="s">
        <v>9</v>
      </c>
    </row>
    <row r="583" spans="1:7">
      <c r="A583" s="864">
        <v>42439</v>
      </c>
      <c r="B583" s="76" t="str">
        <f>TiposLancamentos!B26</f>
        <v>LIVROS</v>
      </c>
      <c r="C583" s="878" t="s">
        <v>20267</v>
      </c>
      <c r="D583" s="63"/>
      <c r="E583" s="49">
        <v>75.900000000000006</v>
      </c>
      <c r="F583" s="899"/>
      <c r="G583" s="946" t="s">
        <v>9</v>
      </c>
    </row>
    <row r="584" spans="1:7">
      <c r="A584" s="806">
        <v>42439</v>
      </c>
      <c r="B584" s="822" t="str">
        <f>TiposLancamentos!B88</f>
        <v>Ford Ecosport XLT</v>
      </c>
      <c r="C584" s="808" t="s">
        <v>20268</v>
      </c>
      <c r="D584" s="747"/>
      <c r="E584" s="1139">
        <f>F585-E585</f>
        <v>33</v>
      </c>
      <c r="F584" s="1145"/>
      <c r="G584" s="946" t="s">
        <v>9</v>
      </c>
    </row>
    <row r="585" spans="1:7">
      <c r="A585" s="810">
        <v>42439</v>
      </c>
      <c r="B585" s="823" t="str">
        <f>TiposLancamentos!B22</f>
        <v>Combustivel</v>
      </c>
      <c r="C585" s="812" t="s">
        <v>6718</v>
      </c>
      <c r="D585" s="849"/>
      <c r="E585" s="1141">
        <v>80</v>
      </c>
      <c r="F585" s="1146">
        <v>113</v>
      </c>
      <c r="G585" s="946" t="s">
        <v>9</v>
      </c>
    </row>
    <row r="586" spans="1:7">
      <c r="A586" s="864">
        <v>42443</v>
      </c>
      <c r="B586" s="76" t="str">
        <f>TiposLancamentos!B56</f>
        <v>Farmácia</v>
      </c>
      <c r="C586" s="878" t="s">
        <v>20269</v>
      </c>
      <c r="D586" s="63"/>
      <c r="E586" s="49">
        <v>156.04</v>
      </c>
      <c r="F586" s="899"/>
      <c r="G586" s="946" t="s">
        <v>9</v>
      </c>
    </row>
    <row r="587" spans="1:7">
      <c r="A587" s="864">
        <v>42445</v>
      </c>
      <c r="B587" s="76" t="str">
        <f>TiposLancamentos!B22</f>
        <v>Combustivel</v>
      </c>
      <c r="C587" s="878" t="s">
        <v>6728</v>
      </c>
      <c r="D587" s="63"/>
      <c r="E587" s="49">
        <v>80</v>
      </c>
      <c r="F587" s="899"/>
      <c r="G587" s="946" t="s">
        <v>9</v>
      </c>
    </row>
    <row r="588" spans="1:7">
      <c r="A588" s="864">
        <v>42445</v>
      </c>
      <c r="B588" s="76" t="str">
        <f>TiposLancamentos!B19</f>
        <v>Restaurantes</v>
      </c>
      <c r="C588" s="878" t="s">
        <v>6092</v>
      </c>
      <c r="D588" s="63"/>
      <c r="E588" s="49">
        <v>75.61</v>
      </c>
      <c r="F588" s="899"/>
      <c r="G588" s="946" t="s">
        <v>9</v>
      </c>
    </row>
    <row r="589" spans="1:7">
      <c r="A589" s="864">
        <v>42445</v>
      </c>
      <c r="B589" s="76" t="str">
        <f>TiposLancamentos!B16</f>
        <v>Cristiane</v>
      </c>
      <c r="C589" s="878" t="s">
        <v>20270</v>
      </c>
      <c r="D589" s="63"/>
      <c r="E589" s="49">
        <v>63.02</v>
      </c>
      <c r="F589" s="899"/>
      <c r="G589" s="946" t="s">
        <v>9</v>
      </c>
    </row>
    <row r="590" spans="1:7">
      <c r="A590" s="864">
        <v>42444</v>
      </c>
      <c r="B590" s="76" t="str">
        <f>TiposLancamentos!B18</f>
        <v>Alimentacao</v>
      </c>
      <c r="C590" s="878" t="s">
        <v>20271</v>
      </c>
      <c r="D590" s="63"/>
      <c r="E590" s="49">
        <v>10.98</v>
      </c>
      <c r="F590" s="899"/>
      <c r="G590" s="946" t="s">
        <v>9</v>
      </c>
    </row>
    <row r="591" spans="1:7">
      <c r="A591" s="864">
        <v>42446</v>
      </c>
      <c r="B591" s="76" t="str">
        <f>TiposLancamentos!B19</f>
        <v>Restaurantes</v>
      </c>
      <c r="C591" s="878" t="s">
        <v>7294</v>
      </c>
      <c r="D591" s="63"/>
      <c r="E591" s="49">
        <v>130.9</v>
      </c>
      <c r="F591" s="899"/>
      <c r="G591" s="946" t="s">
        <v>9</v>
      </c>
    </row>
    <row r="592" spans="1:7">
      <c r="A592" s="934"/>
      <c r="B592" s="226"/>
      <c r="C592" s="227" t="s">
        <v>10</v>
      </c>
      <c r="D592" s="228"/>
      <c r="E592" s="228"/>
      <c r="F592" s="935"/>
      <c r="G592" s="1094" t="s">
        <v>11</v>
      </c>
    </row>
    <row r="593" spans="1:7">
      <c r="A593" s="864">
        <v>42447</v>
      </c>
      <c r="B593" s="76" t="str">
        <f>TiposLancamentos!B5</f>
        <v>Supermercado</v>
      </c>
      <c r="C593" s="878" t="s">
        <v>20272</v>
      </c>
      <c r="D593" s="63"/>
      <c r="E593" s="49">
        <v>111.2</v>
      </c>
      <c r="F593" s="899"/>
      <c r="G593" s="946" t="s">
        <v>9</v>
      </c>
    </row>
    <row r="594" spans="1:7">
      <c r="A594" s="864">
        <v>42448</v>
      </c>
      <c r="B594" s="76" t="str">
        <f>TiposLancamentos!B19</f>
        <v>Restaurantes</v>
      </c>
      <c r="C594" s="878" t="s">
        <v>20123</v>
      </c>
      <c r="D594" s="63"/>
      <c r="E594" s="49">
        <v>63.5</v>
      </c>
      <c r="F594" s="899"/>
      <c r="G594" s="946" t="s">
        <v>9</v>
      </c>
    </row>
    <row r="595" spans="1:7">
      <c r="A595" s="806">
        <v>42448</v>
      </c>
      <c r="B595" s="822" t="str">
        <f>TiposLancamentos!B16</f>
        <v>Cristiane</v>
      </c>
      <c r="C595" s="141" t="s">
        <v>20273</v>
      </c>
      <c r="D595" s="747"/>
      <c r="E595" s="1139">
        <v>250</v>
      </c>
      <c r="F595" s="1145"/>
      <c r="G595" s="946" t="s">
        <v>9</v>
      </c>
    </row>
    <row r="596" spans="1:7">
      <c r="A596" s="773">
        <v>42448</v>
      </c>
      <c r="B596" s="275" t="str">
        <f>TiposLancamentos!B73</f>
        <v>Cursos</v>
      </c>
      <c r="C596" s="141" t="s">
        <v>20273</v>
      </c>
      <c r="D596" s="51"/>
      <c r="E596" s="1147">
        <v>250</v>
      </c>
      <c r="F596" s="1148"/>
      <c r="G596" s="946" t="s">
        <v>9</v>
      </c>
    </row>
    <row r="597" spans="1:7">
      <c r="A597" s="810">
        <v>42448</v>
      </c>
      <c r="B597" s="823" t="str">
        <f>TiposLancamentos!B48</f>
        <v>Baralhos e Oráculos</v>
      </c>
      <c r="C597" s="812" t="s">
        <v>20274</v>
      </c>
      <c r="D597" s="849"/>
      <c r="E597" s="1141">
        <v>50</v>
      </c>
      <c r="F597" s="1146">
        <f>SUM(E595:E597)</f>
        <v>550</v>
      </c>
      <c r="G597" s="946" t="s">
        <v>9</v>
      </c>
    </row>
    <row r="598" spans="1:7">
      <c r="A598" s="864">
        <v>42450</v>
      </c>
      <c r="B598" s="76" t="str">
        <f>TiposLancamentos!B64</f>
        <v>Viagens</v>
      </c>
      <c r="C598" s="878" t="s">
        <v>20275</v>
      </c>
      <c r="D598" s="63"/>
      <c r="E598" s="49">
        <f>F598/2</f>
        <v>345</v>
      </c>
      <c r="F598" s="899">
        <f>230*3</f>
        <v>690</v>
      </c>
      <c r="G598" s="946" t="s">
        <v>9</v>
      </c>
    </row>
    <row r="599" spans="1:7">
      <c r="A599" s="864">
        <v>42450</v>
      </c>
      <c r="B599" s="76" t="str">
        <f>TiposLancamentos!B71</f>
        <v>Itens Pessoais</v>
      </c>
      <c r="C599" s="147" t="s">
        <v>20276</v>
      </c>
      <c r="D599" s="63"/>
      <c r="E599" s="231">
        <v>57.31</v>
      </c>
      <c r="F599" s="899"/>
      <c r="G599" s="946" t="s">
        <v>9</v>
      </c>
    </row>
    <row r="600" spans="1:7">
      <c r="A600" s="864">
        <v>42452</v>
      </c>
      <c r="B600" s="76" t="str">
        <f>TiposLancamentos!B69</f>
        <v>Consertos</v>
      </c>
      <c r="C600" s="878" t="s">
        <v>20277</v>
      </c>
      <c r="D600" s="63"/>
      <c r="E600" s="49">
        <v>60</v>
      </c>
      <c r="F600" s="899"/>
      <c r="G600" s="946" t="s">
        <v>9</v>
      </c>
    </row>
    <row r="601" spans="1:7">
      <c r="A601" s="864">
        <v>42452</v>
      </c>
      <c r="B601" s="76" t="str">
        <f>TiposLancamentos!B4</f>
        <v>Taxas Bancarias</v>
      </c>
      <c r="C601" s="878" t="s">
        <v>20006</v>
      </c>
      <c r="D601" s="63"/>
      <c r="E601" s="49">
        <v>12</v>
      </c>
      <c r="F601" s="899"/>
      <c r="G601" s="946"/>
    </row>
    <row r="602" spans="1:7">
      <c r="A602" s="864">
        <v>42453</v>
      </c>
      <c r="B602" s="76" t="str">
        <f>TiposLancamentos!B22</f>
        <v>Combustivel</v>
      </c>
      <c r="C602" s="878" t="s">
        <v>20278</v>
      </c>
      <c r="D602" s="63"/>
      <c r="E602" s="49">
        <v>124.98</v>
      </c>
      <c r="F602" s="899"/>
      <c r="G602" s="946" t="s">
        <v>9</v>
      </c>
    </row>
    <row r="603" spans="1:7">
      <c r="A603" s="806">
        <v>42457</v>
      </c>
      <c r="B603" s="822" t="str">
        <f>TiposLancamentos!B22</f>
        <v>Combustivel</v>
      </c>
      <c r="C603" s="808" t="s">
        <v>20278</v>
      </c>
      <c r="D603" s="747"/>
      <c r="E603" s="1139">
        <v>135.56</v>
      </c>
      <c r="F603" s="1145"/>
      <c r="G603" s="946" t="s">
        <v>9</v>
      </c>
    </row>
    <row r="604" spans="1:7">
      <c r="A604" s="810">
        <v>42457</v>
      </c>
      <c r="B604" s="823" t="str">
        <f>TiposLancamentos!B16</f>
        <v>Cristiane</v>
      </c>
      <c r="C604" s="812" t="s">
        <v>4625</v>
      </c>
      <c r="D604" s="849"/>
      <c r="E604" s="1141">
        <f>F604-E603</f>
        <v>2</v>
      </c>
      <c r="F604" s="1146">
        <v>137.56</v>
      </c>
      <c r="G604" s="946" t="s">
        <v>9</v>
      </c>
    </row>
    <row r="605" spans="1:7">
      <c r="A605" s="864">
        <v>42457</v>
      </c>
      <c r="B605" s="76" t="str">
        <f>TiposLancamentos!B64</f>
        <v>Viagens</v>
      </c>
      <c r="C605" s="878" t="s">
        <v>20279</v>
      </c>
      <c r="D605" s="63"/>
      <c r="E605" s="49">
        <v>443.5</v>
      </c>
      <c r="F605" s="899">
        <f>345-E605</f>
        <v>-98.5</v>
      </c>
      <c r="G605" s="946" t="s">
        <v>9</v>
      </c>
    </row>
    <row r="606" spans="1:7">
      <c r="A606" s="864">
        <v>42457</v>
      </c>
      <c r="B606" s="76" t="str">
        <f>TiposLancamentos!B19</f>
        <v>Restaurantes</v>
      </c>
      <c r="C606" s="878" t="s">
        <v>20280</v>
      </c>
      <c r="D606" s="63"/>
      <c r="E606" s="49">
        <v>11.2</v>
      </c>
      <c r="F606" s="899"/>
      <c r="G606" s="946" t="s">
        <v>9</v>
      </c>
    </row>
    <row r="607" spans="1:7">
      <c r="A607" s="864">
        <v>42457</v>
      </c>
      <c r="B607" s="76" t="str">
        <f>TiposLancamentos!B19</f>
        <v>Restaurantes</v>
      </c>
      <c r="C607" s="878" t="s">
        <v>20281</v>
      </c>
      <c r="D607" s="63"/>
      <c r="E607" s="49">
        <v>21.5</v>
      </c>
      <c r="F607" s="899"/>
      <c r="G607" s="946" t="s">
        <v>9</v>
      </c>
    </row>
    <row r="608" spans="1:7">
      <c r="A608" s="864">
        <v>42458</v>
      </c>
      <c r="B608" s="76" t="str">
        <f>TiposLancamentos!B16</f>
        <v>Cristiane</v>
      </c>
      <c r="C608" s="878" t="s">
        <v>20282</v>
      </c>
      <c r="D608" s="63"/>
      <c r="E608" s="49">
        <v>200</v>
      </c>
      <c r="F608" s="899"/>
      <c r="G608" s="946" t="s">
        <v>9</v>
      </c>
    </row>
    <row r="609" spans="1:7">
      <c r="A609" s="864">
        <v>42458</v>
      </c>
      <c r="B609" s="76" t="str">
        <f>TiposLancamentos!B19</f>
        <v>Restaurantes</v>
      </c>
      <c r="C609" s="878" t="s">
        <v>6751</v>
      </c>
      <c r="D609" s="63"/>
      <c r="E609" s="49">
        <v>62.94</v>
      </c>
      <c r="F609" s="899"/>
      <c r="G609" s="946" t="s">
        <v>9</v>
      </c>
    </row>
    <row r="610" spans="1:7">
      <c r="A610" s="864">
        <v>42458</v>
      </c>
      <c r="B610" s="76" t="str">
        <f>TiposLancamentos!B26</f>
        <v>LIVROS</v>
      </c>
      <c r="C610" s="878" t="s">
        <v>20283</v>
      </c>
      <c r="D610" s="63"/>
      <c r="E610" s="49">
        <v>11</v>
      </c>
      <c r="F610" s="899"/>
      <c r="G610" s="946" t="s">
        <v>9</v>
      </c>
    </row>
    <row r="611" spans="1:7" ht="14.25" thickBot="1">
      <c r="A611" s="864">
        <v>42459</v>
      </c>
      <c r="B611" s="76" t="str">
        <f>TiposLancamentos!B30</f>
        <v>Cinema</v>
      </c>
      <c r="C611" s="878" t="s">
        <v>20284</v>
      </c>
      <c r="D611" s="63"/>
      <c r="E611" s="49">
        <v>69.42</v>
      </c>
      <c r="F611" s="899"/>
      <c r="G611" s="946" t="s">
        <v>9</v>
      </c>
    </row>
    <row r="612" spans="1:7">
      <c r="A612" s="893"/>
      <c r="B612" s="894"/>
      <c r="C612" s="906" t="s">
        <v>20285</v>
      </c>
      <c r="D612" s="896"/>
      <c r="E612" s="897"/>
      <c r="F612" s="898">
        <f>SUM(E572:E591)</f>
        <v>1625.9399999999998</v>
      </c>
    </row>
    <row r="613" spans="1:7">
      <c r="A613" s="864">
        <v>42461</v>
      </c>
      <c r="B613" s="76" t="str">
        <f>TiposLancamentos!B15</f>
        <v>Cartões de Crédito</v>
      </c>
      <c r="C613" s="878" t="s">
        <v>1874</v>
      </c>
      <c r="D613" s="63">
        <v>1625.94</v>
      </c>
      <c r="E613" s="49"/>
      <c r="F613" s="899">
        <f>F612-F577</f>
        <v>797.14999999999975</v>
      </c>
    </row>
    <row r="614" spans="1:7">
      <c r="A614" s="864">
        <v>42469</v>
      </c>
      <c r="B614" s="76" t="str">
        <f>TiposLancamentos!B73</f>
        <v>Cursos</v>
      </c>
      <c r="C614" s="878" t="s">
        <v>20286</v>
      </c>
      <c r="D614" s="63"/>
      <c r="E614" s="49">
        <v>107.05</v>
      </c>
      <c r="F614" s="899"/>
      <c r="G614" s="946" t="s">
        <v>9</v>
      </c>
    </row>
    <row r="615" spans="1:7">
      <c r="A615" s="864">
        <v>42475</v>
      </c>
      <c r="B615" s="76" t="str">
        <f>TiposLancamentos!B17</f>
        <v>GATO</v>
      </c>
      <c r="C615" s="878" t="s">
        <v>20287</v>
      </c>
      <c r="D615" s="63"/>
      <c r="E615" s="49">
        <v>45</v>
      </c>
      <c r="F615" s="899"/>
      <c r="G615" s="946" t="s">
        <v>9</v>
      </c>
    </row>
    <row r="616" spans="1:7">
      <c r="A616" s="864">
        <v>42478</v>
      </c>
      <c r="B616" s="76" t="str">
        <f>TiposLancamentos!B26</f>
        <v>LIVROS</v>
      </c>
      <c r="C616" s="878" t="s">
        <v>20288</v>
      </c>
      <c r="D616" s="63"/>
      <c r="E616" s="49">
        <v>2.2000000000000002</v>
      </c>
      <c r="F616" s="899"/>
      <c r="G616" s="946" t="s">
        <v>9</v>
      </c>
    </row>
    <row r="617" spans="1:7">
      <c r="A617" s="864">
        <v>42478</v>
      </c>
      <c r="B617" s="76" t="str">
        <f>TiposLancamentos!B26</f>
        <v>LIVROS</v>
      </c>
      <c r="C617" s="878" t="s">
        <v>20289</v>
      </c>
      <c r="D617" s="63"/>
      <c r="E617" s="49">
        <v>9.35</v>
      </c>
      <c r="F617" s="899"/>
      <c r="G617" s="946" t="s">
        <v>9</v>
      </c>
    </row>
    <row r="618" spans="1:7">
      <c r="A618" s="934"/>
      <c r="B618" s="226"/>
      <c r="C618" s="227" t="s">
        <v>10</v>
      </c>
      <c r="D618" s="228"/>
      <c r="E618" s="228"/>
      <c r="F618" s="935"/>
      <c r="G618" s="1094" t="s">
        <v>11</v>
      </c>
    </row>
    <row r="619" spans="1:7">
      <c r="A619" s="864">
        <v>42484</v>
      </c>
      <c r="B619" s="76" t="str">
        <f>TiposLancamentos!B4</f>
        <v>Taxas Bancarias</v>
      </c>
      <c r="C619" s="878" t="s">
        <v>20290</v>
      </c>
      <c r="D619" s="63"/>
      <c r="E619" s="49">
        <v>12</v>
      </c>
      <c r="F619" s="899"/>
      <c r="G619" s="946" t="s">
        <v>9</v>
      </c>
    </row>
    <row r="620" spans="1:7" ht="14.25" thickBot="1">
      <c r="A620" s="864">
        <v>42489</v>
      </c>
      <c r="B620" s="76" t="str">
        <f>TiposLancamentos!B16</f>
        <v>Cristiane</v>
      </c>
      <c r="C620" s="878" t="s">
        <v>20291</v>
      </c>
      <c r="D620" s="63"/>
      <c r="E620" s="49">
        <v>200</v>
      </c>
      <c r="F620" s="899"/>
      <c r="G620" s="946" t="s">
        <v>9</v>
      </c>
    </row>
    <row r="621" spans="1:7">
      <c r="A621" s="893"/>
      <c r="B621" s="894"/>
      <c r="C621" s="906" t="s">
        <v>20292</v>
      </c>
      <c r="D621" s="896"/>
      <c r="E621" s="897"/>
      <c r="F621" s="898">
        <f>SUM(E593:E617)</f>
        <v>2444.71</v>
      </c>
    </row>
    <row r="622" spans="1:7">
      <c r="A622" s="864">
        <v>42493</v>
      </c>
      <c r="B622" s="76" t="str">
        <f>TiposLancamentos!B15</f>
        <v>Cartões de Crédito</v>
      </c>
      <c r="C622" s="878" t="s">
        <v>1874</v>
      </c>
      <c r="D622" s="63">
        <v>2444.71</v>
      </c>
      <c r="E622" s="49"/>
      <c r="F622" s="899">
        <f>F621-F612</f>
        <v>818.77000000000021</v>
      </c>
      <c r="G622" s="946" t="s">
        <v>9</v>
      </c>
    </row>
    <row r="623" spans="1:7">
      <c r="A623" s="864">
        <v>42499</v>
      </c>
      <c r="B623" s="76" t="str">
        <f>TiposLancamentos!B73</f>
        <v>Cursos</v>
      </c>
      <c r="C623" s="878" t="s">
        <v>20293</v>
      </c>
      <c r="D623" s="63"/>
      <c r="E623" s="49">
        <v>107.05</v>
      </c>
      <c r="F623" s="899"/>
      <c r="G623" s="946" t="s">
        <v>9</v>
      </c>
    </row>
    <row r="624" spans="1:7">
      <c r="A624" s="934"/>
      <c r="B624" s="226"/>
      <c r="C624" s="227" t="s">
        <v>10</v>
      </c>
      <c r="D624" s="228"/>
      <c r="E624" s="228"/>
      <c r="F624" s="935"/>
    </row>
    <row r="625" spans="1:7">
      <c r="A625" s="864">
        <v>42514</v>
      </c>
      <c r="B625" s="76" t="str">
        <f>TiposLancamentos!B4</f>
        <v>Taxas Bancarias</v>
      </c>
      <c r="C625" s="878" t="s">
        <v>20294</v>
      </c>
      <c r="D625" s="63"/>
      <c r="E625" s="49">
        <v>24</v>
      </c>
      <c r="F625" s="899"/>
      <c r="G625" s="946" t="s">
        <v>9</v>
      </c>
    </row>
    <row r="626" spans="1:7" ht="14.25" thickBot="1">
      <c r="A626" s="864">
        <v>42519</v>
      </c>
      <c r="B626" s="76" t="str">
        <f>TiposLancamentos!B16</f>
        <v>Cristiane</v>
      </c>
      <c r="C626" s="878" t="s">
        <v>20295</v>
      </c>
      <c r="D626" s="63"/>
      <c r="E626" s="49">
        <v>200</v>
      </c>
      <c r="F626" s="899"/>
      <c r="G626" s="946" t="s">
        <v>9</v>
      </c>
    </row>
    <row r="627" spans="1:7">
      <c r="A627" s="893"/>
      <c r="B627" s="894"/>
      <c r="C627" s="906" t="s">
        <v>10702</v>
      </c>
      <c r="D627" s="896"/>
      <c r="E627" s="897"/>
      <c r="F627" s="898">
        <f>SUM(E619:E623)</f>
        <v>319.05</v>
      </c>
    </row>
    <row r="628" spans="1:7">
      <c r="A628" s="864">
        <v>42522</v>
      </c>
      <c r="B628" s="76" t="str">
        <f>TiposLancamentos!B15</f>
        <v>Cartões de Crédito</v>
      </c>
      <c r="C628" s="878" t="s">
        <v>1874</v>
      </c>
      <c r="D628" s="63">
        <v>319.05</v>
      </c>
      <c r="E628" s="49"/>
      <c r="F628" s="899">
        <f>F627-F621</f>
        <v>-2125.66</v>
      </c>
    </row>
    <row r="629" spans="1:7">
      <c r="A629" s="864">
        <v>42530</v>
      </c>
      <c r="B629" s="76" t="str">
        <f>TiposLancamentos!B73</f>
        <v>Cursos</v>
      </c>
      <c r="C629" s="878" t="s">
        <v>20296</v>
      </c>
      <c r="D629" s="63"/>
      <c r="E629" s="49">
        <v>107.05</v>
      </c>
      <c r="F629" s="899">
        <f>E629*4</f>
        <v>428.2</v>
      </c>
      <c r="G629" s="946" t="s">
        <v>9</v>
      </c>
    </row>
    <row r="630" spans="1:7">
      <c r="A630" s="934"/>
      <c r="B630" s="226"/>
      <c r="C630" s="227" t="s">
        <v>10</v>
      </c>
      <c r="D630" s="228"/>
      <c r="E630" s="228"/>
      <c r="F630" s="935"/>
      <c r="G630" s="1094" t="s">
        <v>11</v>
      </c>
    </row>
    <row r="631" spans="1:7">
      <c r="A631" s="864">
        <v>42542</v>
      </c>
      <c r="B631" s="76" t="str">
        <f>TiposLancamentos!B48</f>
        <v>Baralhos e Oráculos</v>
      </c>
      <c r="C631" s="878" t="s">
        <v>20297</v>
      </c>
      <c r="D631" s="63"/>
      <c r="E631" s="49">
        <v>231.37</v>
      </c>
      <c r="F631" s="899" t="s">
        <v>20298</v>
      </c>
      <c r="G631" s="946" t="s">
        <v>9</v>
      </c>
    </row>
    <row r="632" spans="1:7">
      <c r="A632" s="864">
        <v>42572</v>
      </c>
      <c r="B632" s="76" t="str">
        <f>TiposLancamentos!B4</f>
        <v>Taxas Bancarias</v>
      </c>
      <c r="C632" s="878" t="s">
        <v>20299</v>
      </c>
      <c r="D632" s="63"/>
      <c r="E632" s="49">
        <v>14.76</v>
      </c>
      <c r="F632" s="899"/>
      <c r="G632" s="946" t="s">
        <v>9</v>
      </c>
    </row>
    <row r="633" spans="1:7" ht="14.25" thickBot="1">
      <c r="A633" s="864">
        <v>42545</v>
      </c>
      <c r="B633" s="76" t="str">
        <f>TiposLancamentos!B4</f>
        <v>Taxas Bancarias</v>
      </c>
      <c r="C633" s="878" t="s">
        <v>20300</v>
      </c>
      <c r="D633" s="63"/>
      <c r="E633" s="49">
        <v>24</v>
      </c>
      <c r="F633" s="899"/>
      <c r="G633" s="946" t="s">
        <v>9</v>
      </c>
    </row>
    <row r="634" spans="1:7">
      <c r="A634" s="893"/>
      <c r="B634" s="894"/>
      <c r="C634" s="906" t="s">
        <v>11096</v>
      </c>
      <c r="D634" s="896"/>
      <c r="E634" s="897"/>
      <c r="F634" s="898">
        <f>SUM(E625:E629)</f>
        <v>331.05</v>
      </c>
    </row>
    <row r="635" spans="1:7">
      <c r="A635" s="864">
        <v>42552</v>
      </c>
      <c r="B635" s="76" t="str">
        <f>TiposLancamentos!B15</f>
        <v>Cartões de Crédito</v>
      </c>
      <c r="C635" s="878" t="s">
        <v>1874</v>
      </c>
      <c r="D635" s="63">
        <v>331.05</v>
      </c>
      <c r="E635" s="49"/>
      <c r="F635" s="899">
        <f>F634-F627</f>
        <v>12</v>
      </c>
      <c r="G635" s="946" t="s">
        <v>9</v>
      </c>
    </row>
    <row r="636" spans="1:7">
      <c r="A636" s="934"/>
      <c r="B636" s="226"/>
      <c r="C636" s="227" t="s">
        <v>10</v>
      </c>
      <c r="D636" s="228"/>
      <c r="E636" s="228"/>
      <c r="F636" s="935"/>
    </row>
    <row r="637" spans="1:7" ht="14.25" thickBot="1">
      <c r="A637" s="900"/>
      <c r="B637" s="901"/>
      <c r="C637" s="902"/>
      <c r="D637" s="903"/>
      <c r="E637" s="904"/>
      <c r="F637" s="905"/>
    </row>
    <row r="638" spans="1:7">
      <c r="A638" s="864"/>
      <c r="B638" s="76"/>
      <c r="C638" s="878" t="s">
        <v>7308</v>
      </c>
      <c r="D638" s="63"/>
      <c r="E638" s="49"/>
      <c r="F638" s="899">
        <f>SUM(E630:E635)</f>
        <v>270.13</v>
      </c>
    </row>
    <row r="639" spans="1:7">
      <c r="A639" s="864">
        <v>42583</v>
      </c>
      <c r="B639" s="76" t="str">
        <f>TiposLancamentos!B15</f>
        <v>Cartões de Crédito</v>
      </c>
      <c r="C639" s="147" t="s">
        <v>1874</v>
      </c>
      <c r="D639" s="63">
        <v>270.13</v>
      </c>
      <c r="E639" s="49"/>
      <c r="F639" s="899">
        <f>F638-F634</f>
        <v>-60.920000000000016</v>
      </c>
      <c r="G639" s="946" t="s">
        <v>9</v>
      </c>
    </row>
    <row r="640" spans="1:7">
      <c r="A640" s="864">
        <v>42583</v>
      </c>
      <c r="B640" s="76" t="str">
        <f>TiposLancamentos!B78</f>
        <v>Diferenças</v>
      </c>
      <c r="C640" s="147" t="s">
        <v>2488</v>
      </c>
      <c r="D640" s="63"/>
      <c r="E640" s="49">
        <v>3.98</v>
      </c>
      <c r="F640" s="899"/>
    </row>
    <row r="641" spans="1:6">
      <c r="A641" s="864"/>
      <c r="B641" s="76"/>
      <c r="C641" s="147"/>
      <c r="D641" s="63"/>
      <c r="E641" s="49"/>
      <c r="F641" s="899"/>
    </row>
    <row r="642" spans="1:6" ht="14.25" thickBot="1">
      <c r="A642" s="900"/>
      <c r="B642" s="901"/>
      <c r="C642" s="902"/>
      <c r="D642" s="903"/>
      <c r="E642" s="904"/>
      <c r="F642" s="905"/>
    </row>
    <row r="643" spans="1:6">
      <c r="A643" s="46"/>
      <c r="B643" s="116"/>
      <c r="C643" s="117" t="s">
        <v>12</v>
      </c>
      <c r="D643" s="185">
        <f>SUM(D2:D642)</f>
        <v>49038.59</v>
      </c>
      <c r="E643" s="118">
        <f>SUM(E2:E642)</f>
        <v>49038.586666666699</v>
      </c>
      <c r="F643" s="301"/>
    </row>
    <row r="644" spans="1:6">
      <c r="A644" s="119"/>
      <c r="B644" s="120"/>
      <c r="C644" s="24" t="s">
        <v>13</v>
      </c>
      <c r="D644" s="177"/>
      <c r="E644" s="302">
        <f>D643-E643</f>
        <v>3.3333332976326346E-3</v>
      </c>
      <c r="F644" s="177"/>
    </row>
    <row r="645" spans="1:6">
      <c r="A645" s="65"/>
      <c r="B645" s="65"/>
    </row>
    <row r="646" spans="1:6">
      <c r="C646" s="23"/>
      <c r="D646" s="25" t="s">
        <v>14</v>
      </c>
      <c r="E646" s="303" t="s">
        <v>15</v>
      </c>
      <c r="F646" s="25" t="s">
        <v>16</v>
      </c>
    </row>
    <row r="647" spans="1:6">
      <c r="B647" s="77" t="s">
        <v>17</v>
      </c>
      <c r="C647" s="36">
        <f>F50</f>
        <v>0</v>
      </c>
      <c r="D647" s="60">
        <v>11000</v>
      </c>
      <c r="E647" s="34">
        <f>E644</f>
        <v>3.3333332976326346E-3</v>
      </c>
      <c r="F647" s="62">
        <f>D647+E647</f>
        <v>11000.003333333298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Plan67"/>
  <dimension ref="A1:F199"/>
  <sheetViews>
    <sheetView topLeftCell="A178" workbookViewId="0">
      <selection activeCell="B9" sqref="B9"/>
    </sheetView>
  </sheetViews>
  <sheetFormatPr defaultColWidth="9" defaultRowHeight="13.5"/>
  <cols>
    <col min="1" max="1" width="17.5703125" style="3" customWidth="1"/>
    <col min="2" max="2" width="24.28515625" style="3" bestFit="1" customWidth="1"/>
    <col min="3" max="3" width="48.42578125" style="3" customWidth="1"/>
    <col min="4" max="4" width="17.28515625" style="3" bestFit="1" customWidth="1"/>
    <col min="5" max="5" width="16.85546875" style="221" customWidth="1"/>
    <col min="6" max="6" width="14.85546875" style="3" bestFit="1" customWidth="1"/>
    <col min="7" max="16384" width="9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91"/>
      <c r="B2" s="37"/>
      <c r="C2" s="43" t="s">
        <v>3087</v>
      </c>
      <c r="D2" s="93"/>
      <c r="E2" s="44"/>
    </row>
    <row r="3" spans="1:6">
      <c r="A3" s="86">
        <v>38839</v>
      </c>
      <c r="B3" s="76" t="str">
        <f>TiposLancamentos!B21</f>
        <v>Transf. Poupanca</v>
      </c>
      <c r="C3" s="77" t="s">
        <v>5116</v>
      </c>
      <c r="D3" s="63">
        <v>200</v>
      </c>
      <c r="E3" s="49"/>
    </row>
    <row r="4" spans="1:6">
      <c r="A4" s="86">
        <v>38847</v>
      </c>
      <c r="B4" s="76" t="str">
        <f>TiposLancamentos!B96</f>
        <v>Resg.Poup.</v>
      </c>
      <c r="C4" s="77" t="s">
        <v>20301</v>
      </c>
      <c r="D4" s="63"/>
      <c r="E4" s="49">
        <v>200</v>
      </c>
    </row>
    <row r="5" spans="1:6">
      <c r="A5" s="95">
        <v>38852</v>
      </c>
      <c r="B5" s="80" t="str">
        <f>TiposLancamentos!B21</f>
        <v>Transf. Poupanca</v>
      </c>
      <c r="C5" s="96" t="s">
        <v>5116</v>
      </c>
      <c r="D5" s="85">
        <v>250</v>
      </c>
      <c r="E5" s="58"/>
    </row>
    <row r="6" spans="1:6">
      <c r="A6" s="86"/>
      <c r="B6" s="116"/>
      <c r="C6" s="317" t="s">
        <v>3098</v>
      </c>
      <c r="D6" s="51"/>
      <c r="E6" s="49"/>
    </row>
    <row r="7" spans="1:6">
      <c r="A7" s="86">
        <v>38870</v>
      </c>
      <c r="B7" s="116" t="str">
        <f>TiposLancamentos!B21</f>
        <v>Transf. Poupanca</v>
      </c>
      <c r="C7" s="317" t="s">
        <v>5131</v>
      </c>
      <c r="D7" s="51">
        <v>400</v>
      </c>
      <c r="E7" s="49"/>
    </row>
    <row r="8" spans="1:6">
      <c r="A8" s="86">
        <v>38873</v>
      </c>
      <c r="B8" s="116" t="str">
        <f>TiposLancamentos!B96</f>
        <v>Resg.Poup.</v>
      </c>
      <c r="C8" s="126" t="s">
        <v>20302</v>
      </c>
      <c r="D8" s="51"/>
      <c r="E8" s="49">
        <v>50</v>
      </c>
    </row>
    <row r="9" spans="1:6">
      <c r="A9" s="86">
        <v>38883</v>
      </c>
      <c r="B9" s="116" t="str">
        <f>TiposLancamentos!B21</f>
        <v>Transf. Poupanca</v>
      </c>
      <c r="C9" s="474" t="s">
        <v>5116</v>
      </c>
      <c r="D9" s="51">
        <v>300</v>
      </c>
      <c r="E9" s="49"/>
    </row>
    <row r="10" spans="1:6">
      <c r="A10" s="86">
        <v>38890</v>
      </c>
      <c r="B10" s="116" t="str">
        <f>TiposLancamentos!B96</f>
        <v>Resg.Poup.</v>
      </c>
      <c r="C10" s="317" t="s">
        <v>14219</v>
      </c>
      <c r="D10" s="51"/>
      <c r="E10" s="49">
        <v>35</v>
      </c>
    </row>
    <row r="11" spans="1:6">
      <c r="A11" s="86">
        <v>38894</v>
      </c>
      <c r="B11" s="116" t="str">
        <f>TiposLancamentos!B96</f>
        <v>Resg.Poup.</v>
      </c>
      <c r="C11" s="317" t="s">
        <v>14219</v>
      </c>
      <c r="D11" s="51"/>
      <c r="E11" s="49">
        <v>20</v>
      </c>
    </row>
    <row r="12" spans="1:6">
      <c r="A12" s="91"/>
      <c r="B12" s="37"/>
      <c r="C12" s="73" t="s">
        <v>16370</v>
      </c>
      <c r="D12" s="93"/>
      <c r="E12" s="94"/>
    </row>
    <row r="13" spans="1:6">
      <c r="A13" s="86">
        <v>38901</v>
      </c>
      <c r="B13" s="76" t="str">
        <f>TiposLancamentos!B21</f>
        <v>Transf. Poupanca</v>
      </c>
      <c r="C13" s="3" t="s">
        <v>20303</v>
      </c>
      <c r="D13" s="63">
        <v>1645.15</v>
      </c>
      <c r="E13" s="98"/>
    </row>
    <row r="14" spans="1:6">
      <c r="A14" s="95">
        <v>38924</v>
      </c>
      <c r="B14" s="80" t="str">
        <f>TiposLancamentos!B21</f>
        <v>Transf. Poupanca</v>
      </c>
      <c r="C14" s="96" t="s">
        <v>20304</v>
      </c>
      <c r="D14" s="85">
        <v>750</v>
      </c>
      <c r="E14" s="97"/>
    </row>
    <row r="15" spans="1:6">
      <c r="A15" s="86"/>
      <c r="B15" s="76"/>
      <c r="C15" s="3" t="s">
        <v>3114</v>
      </c>
      <c r="D15" s="63"/>
      <c r="E15" s="98"/>
    </row>
    <row r="16" spans="1:6">
      <c r="A16" s="86">
        <v>38930</v>
      </c>
      <c r="B16" s="76" t="str">
        <f>TiposLancamentos!B98</f>
        <v>Restituições</v>
      </c>
      <c r="C16" s="3" t="s">
        <v>20305</v>
      </c>
      <c r="D16" s="63">
        <f>21.98+3.34</f>
        <v>25.32</v>
      </c>
      <c r="E16" s="98"/>
    </row>
    <row r="17" spans="1:5">
      <c r="A17" s="86">
        <v>38930</v>
      </c>
      <c r="B17" s="76" t="str">
        <f>TiposLancamentos!B21</f>
        <v>Transf. Poupanca</v>
      </c>
      <c r="C17" s="3" t="s">
        <v>20306</v>
      </c>
      <c r="D17" s="63">
        <v>1800</v>
      </c>
      <c r="E17" s="98"/>
    </row>
    <row r="18" spans="1:5">
      <c r="A18" s="86">
        <v>38935</v>
      </c>
      <c r="B18" s="76" t="str">
        <f>TiposLancamentos!B96</f>
        <v>Resg.Poup.</v>
      </c>
      <c r="C18" s="3" t="s">
        <v>20307</v>
      </c>
      <c r="D18" s="63"/>
      <c r="E18" s="98">
        <v>40</v>
      </c>
    </row>
    <row r="19" spans="1:5">
      <c r="A19" s="86">
        <v>38939</v>
      </c>
      <c r="B19" s="76" t="str">
        <f>TiposLancamentos!B96</f>
        <v>Resg.Poup.</v>
      </c>
      <c r="C19" s="3" t="s">
        <v>20307</v>
      </c>
      <c r="D19" s="63"/>
      <c r="E19" s="98">
        <v>22</v>
      </c>
    </row>
    <row r="20" spans="1:5">
      <c r="A20" s="86">
        <v>38951</v>
      </c>
      <c r="B20" s="76" t="str">
        <f>TiposLancamentos!B96</f>
        <v>Resg.Poup.</v>
      </c>
      <c r="C20" s="3" t="s">
        <v>20308</v>
      </c>
      <c r="D20" s="63"/>
      <c r="E20" s="98">
        <v>5003.47</v>
      </c>
    </row>
    <row r="21" spans="1:5">
      <c r="A21" s="475"/>
      <c r="B21" s="465"/>
      <c r="C21" s="476" t="s">
        <v>3133</v>
      </c>
      <c r="D21" s="60"/>
      <c r="E21" s="61"/>
    </row>
    <row r="22" spans="1:5">
      <c r="A22" s="91"/>
      <c r="B22" s="37"/>
      <c r="C22" s="43" t="s">
        <v>3163</v>
      </c>
      <c r="D22" s="93"/>
      <c r="E22" s="94"/>
    </row>
    <row r="23" spans="1:5">
      <c r="A23" s="86">
        <v>38992</v>
      </c>
      <c r="B23" s="76" t="str">
        <f>TiposLancamentos!B21</f>
        <v>Transf. Poupanca</v>
      </c>
      <c r="C23" s="52" t="s">
        <v>20309</v>
      </c>
      <c r="D23" s="63">
        <v>4000</v>
      </c>
      <c r="E23" s="98"/>
    </row>
    <row r="24" spans="1:5">
      <c r="A24" s="95">
        <v>38996</v>
      </c>
      <c r="B24" s="80" t="str">
        <f>TiposLancamentos!B96</f>
        <v>Resg.Poup.</v>
      </c>
      <c r="C24" s="477" t="s">
        <v>20310</v>
      </c>
      <c r="D24" s="85"/>
      <c r="E24" s="97">
        <v>2700</v>
      </c>
    </row>
    <row r="25" spans="1:5">
      <c r="A25" s="91"/>
      <c r="B25" s="37"/>
      <c r="C25" s="43" t="s">
        <v>16427</v>
      </c>
      <c r="D25" s="93"/>
      <c r="E25" s="94"/>
    </row>
    <row r="26" spans="1:5">
      <c r="A26" s="86">
        <v>39023</v>
      </c>
      <c r="B26" s="76" t="str">
        <f>TiposLancamentos!B21</f>
        <v>Transf. Poupanca</v>
      </c>
      <c r="C26" s="52" t="s">
        <v>20311</v>
      </c>
      <c r="D26" s="63">
        <v>2800</v>
      </c>
      <c r="E26" s="98"/>
    </row>
    <row r="27" spans="1:5">
      <c r="A27" s="86">
        <v>39024</v>
      </c>
      <c r="B27" s="76" t="str">
        <f>TiposLancamentos!B96</f>
        <v>Resg.Poup.</v>
      </c>
      <c r="C27" s="52" t="s">
        <v>20312</v>
      </c>
      <c r="D27" s="63"/>
      <c r="E27" s="98">
        <v>200</v>
      </c>
    </row>
    <row r="28" spans="1:5">
      <c r="A28" s="95">
        <v>39027</v>
      </c>
      <c r="B28" s="80" t="str">
        <f>TiposLancamentos!B96</f>
        <v>Resg.Poup.</v>
      </c>
      <c r="C28" s="477" t="s">
        <v>20307</v>
      </c>
      <c r="D28" s="85"/>
      <c r="E28" s="97">
        <v>150</v>
      </c>
    </row>
    <row r="29" spans="1:5">
      <c r="A29" s="91"/>
      <c r="B29" s="37"/>
      <c r="C29" s="43" t="s">
        <v>3202</v>
      </c>
      <c r="D29" s="93"/>
      <c r="E29" s="94"/>
    </row>
    <row r="30" spans="1:5">
      <c r="A30" s="86">
        <v>39054</v>
      </c>
      <c r="B30" s="76" t="str">
        <f>TiposLancamentos!B21</f>
        <v>Transf. Poupanca</v>
      </c>
      <c r="C30" s="52" t="s">
        <v>20313</v>
      </c>
      <c r="D30" s="63">
        <v>2750</v>
      </c>
      <c r="E30" s="98"/>
    </row>
    <row r="31" spans="1:5">
      <c r="A31" s="86">
        <v>39054</v>
      </c>
      <c r="B31" s="76" t="str">
        <f>TiposLancamentos!B98</f>
        <v>Restituições</v>
      </c>
      <c r="C31" s="52" t="s">
        <v>20305</v>
      </c>
      <c r="D31" s="63">
        <f>2.81+6.51</f>
        <v>9.32</v>
      </c>
      <c r="E31" s="98"/>
    </row>
    <row r="32" spans="1:5">
      <c r="A32" s="86">
        <v>39055</v>
      </c>
      <c r="B32" s="76" t="str">
        <f>TiposLancamentos!B98</f>
        <v>Restituições</v>
      </c>
      <c r="C32" s="52" t="s">
        <v>20305</v>
      </c>
      <c r="D32" s="63">
        <f>3.72+1.64+6.55+12.27</f>
        <v>24.18</v>
      </c>
      <c r="E32" s="98"/>
    </row>
    <row r="33" spans="1:5">
      <c r="A33" s="86">
        <v>39066</v>
      </c>
      <c r="B33" s="76" t="str">
        <f>TiposLancamentos!B21</f>
        <v>Transf. Poupanca</v>
      </c>
      <c r="C33" s="52" t="s">
        <v>20314</v>
      </c>
      <c r="D33" s="63">
        <v>3500</v>
      </c>
      <c r="E33" s="98"/>
    </row>
    <row r="34" spans="1:5">
      <c r="A34" s="86">
        <v>39071</v>
      </c>
      <c r="B34" s="76" t="str">
        <f>TiposLancamentos!B21</f>
        <v>Transf. Poupanca</v>
      </c>
      <c r="C34" s="52" t="s">
        <v>20315</v>
      </c>
      <c r="D34" s="63">
        <v>11000</v>
      </c>
      <c r="E34" s="98"/>
    </row>
    <row r="35" spans="1:5">
      <c r="A35" s="95">
        <v>39072</v>
      </c>
      <c r="B35" s="80" t="str">
        <f>TiposLancamentos!B96</f>
        <v>Resg.Poup.</v>
      </c>
      <c r="C35" s="477" t="s">
        <v>5368</v>
      </c>
      <c r="D35" s="85"/>
      <c r="E35" s="97">
        <v>21030</v>
      </c>
    </row>
    <row r="36" spans="1:5">
      <c r="A36" s="91"/>
      <c r="B36" s="37"/>
      <c r="C36" s="59" t="s">
        <v>5510</v>
      </c>
      <c r="D36" s="93"/>
      <c r="E36" s="94"/>
    </row>
    <row r="37" spans="1:5">
      <c r="A37" s="86">
        <v>39216</v>
      </c>
      <c r="B37" s="76" t="str">
        <f>TiposLancamentos!B96</f>
        <v>Resg.Poup.</v>
      </c>
      <c r="C37" s="52" t="s">
        <v>5157</v>
      </c>
      <c r="D37" s="63"/>
      <c r="E37" s="98">
        <v>3.5</v>
      </c>
    </row>
    <row r="38" spans="1:5">
      <c r="A38" s="129"/>
      <c r="B38" s="247"/>
      <c r="C38" s="377" t="s">
        <v>5596</v>
      </c>
      <c r="D38" s="101"/>
      <c r="E38" s="102"/>
    </row>
    <row r="39" spans="1:5">
      <c r="A39" s="130">
        <v>39570</v>
      </c>
      <c r="B39" s="76" t="str">
        <f>TiposLancamentos!B21</f>
        <v>Transf. Poupanca</v>
      </c>
      <c r="C39" s="52" t="s">
        <v>20316</v>
      </c>
      <c r="D39" s="63">
        <v>7500</v>
      </c>
      <c r="E39" s="104"/>
    </row>
    <row r="40" spans="1:5">
      <c r="A40" s="129"/>
      <c r="B40" s="247"/>
      <c r="C40" s="377" t="s">
        <v>3551</v>
      </c>
      <c r="D40" s="101"/>
      <c r="E40" s="102"/>
    </row>
    <row r="41" spans="1:5">
      <c r="A41" s="130">
        <v>39633</v>
      </c>
      <c r="B41" s="76" t="str">
        <f>TiposLancamentos!B21</f>
        <v>Transf. Poupanca</v>
      </c>
      <c r="C41" s="52" t="s">
        <v>20316</v>
      </c>
      <c r="D41" s="63">
        <v>2500</v>
      </c>
      <c r="E41" s="104"/>
    </row>
    <row r="42" spans="1:5">
      <c r="A42" s="194">
        <v>39644</v>
      </c>
      <c r="B42" s="252" t="str">
        <f>TiposLancamentos!B16</f>
        <v>Cristiane</v>
      </c>
      <c r="C42" s="478" t="s">
        <v>20317</v>
      </c>
      <c r="D42" s="106">
        <v>1250</v>
      </c>
      <c r="E42" s="107"/>
    </row>
    <row r="43" spans="1:5">
      <c r="A43" s="129"/>
      <c r="B43" s="247"/>
      <c r="C43" s="377" t="s">
        <v>3567</v>
      </c>
      <c r="D43" s="101"/>
      <c r="E43" s="102"/>
    </row>
    <row r="44" spans="1:5">
      <c r="A44" s="130">
        <v>39666</v>
      </c>
      <c r="B44" s="76" t="str">
        <f>TiposLancamentos!B21</f>
        <v>Transf. Poupanca</v>
      </c>
      <c r="C44" s="52" t="s">
        <v>5601</v>
      </c>
      <c r="D44" s="63">
        <v>1200</v>
      </c>
      <c r="E44" s="104"/>
    </row>
    <row r="45" spans="1:5">
      <c r="A45" s="194">
        <v>39678</v>
      </c>
      <c r="B45" s="252" t="str">
        <f>TiposLancamentos!B21</f>
        <v>Transf. Poupanca</v>
      </c>
      <c r="C45" s="478" t="s">
        <v>5601</v>
      </c>
      <c r="D45" s="106">
        <v>1970</v>
      </c>
      <c r="E45" s="107"/>
    </row>
    <row r="46" spans="1:5">
      <c r="A46" s="129"/>
      <c r="B46" s="247"/>
      <c r="C46" s="377" t="s">
        <v>5605</v>
      </c>
      <c r="D46" s="101"/>
      <c r="E46" s="102"/>
    </row>
    <row r="47" spans="1:5">
      <c r="A47" s="130">
        <v>39713</v>
      </c>
      <c r="B47" s="76" t="str">
        <f>TiposLancamentos!B98</f>
        <v>Restituições</v>
      </c>
      <c r="C47" s="52" t="s">
        <v>20318</v>
      </c>
      <c r="D47" s="63">
        <v>270.2</v>
      </c>
      <c r="E47" s="104"/>
    </row>
    <row r="48" spans="1:5">
      <c r="A48" s="194">
        <v>39713</v>
      </c>
      <c r="B48" s="252" t="str">
        <f>TiposLancamentos!B96</f>
        <v>Resg.Poup.</v>
      </c>
      <c r="C48" s="478" t="s">
        <v>20319</v>
      </c>
      <c r="D48" s="106"/>
      <c r="E48" s="107">
        <v>1800</v>
      </c>
    </row>
    <row r="49" spans="1:5">
      <c r="A49" s="129">
        <v>39730</v>
      </c>
      <c r="B49" s="247" t="str">
        <f>TiposLancamentos!B96</f>
        <v>Resg.Poup.</v>
      </c>
      <c r="C49" s="377" t="s">
        <v>20320</v>
      </c>
      <c r="D49" s="101"/>
      <c r="E49" s="102">
        <v>280</v>
      </c>
    </row>
    <row r="50" spans="1:5">
      <c r="A50" s="130">
        <v>39731</v>
      </c>
      <c r="B50" s="76" t="str">
        <f>TiposLancamentos!B96</f>
        <v>Resg.Poup.</v>
      </c>
      <c r="C50" s="52" t="s">
        <v>20321</v>
      </c>
      <c r="D50" s="63"/>
      <c r="E50" s="104">
        <v>500</v>
      </c>
    </row>
    <row r="51" spans="1:5">
      <c r="A51" s="130">
        <v>39731</v>
      </c>
      <c r="B51" s="76" t="str">
        <f>TiposLancamentos!B96</f>
        <v>Resg.Poup.</v>
      </c>
      <c r="C51" s="52" t="s">
        <v>20322</v>
      </c>
      <c r="D51" s="63"/>
      <c r="E51" s="104">
        <v>150</v>
      </c>
    </row>
    <row r="52" spans="1:5">
      <c r="A52" s="130">
        <v>39731</v>
      </c>
      <c r="B52" s="76" t="str">
        <f>TiposLancamentos!B96</f>
        <v>Resg.Poup.</v>
      </c>
      <c r="C52" s="52" t="s">
        <v>20323</v>
      </c>
      <c r="D52" s="63"/>
      <c r="E52" s="104">
        <v>2000</v>
      </c>
    </row>
    <row r="53" spans="1:5">
      <c r="A53" s="130">
        <v>39736</v>
      </c>
      <c r="B53" s="76" t="str">
        <f>TiposLancamentos!B96</f>
        <v>Resg.Poup.</v>
      </c>
      <c r="C53" s="52" t="s">
        <v>20323</v>
      </c>
      <c r="D53" s="63"/>
      <c r="E53" s="104">
        <v>2000</v>
      </c>
    </row>
    <row r="54" spans="1:5">
      <c r="A54" s="130">
        <v>39744</v>
      </c>
      <c r="B54" s="76" t="str">
        <f>TiposLancamentos!B96</f>
        <v>Resg.Poup.</v>
      </c>
      <c r="C54" s="52" t="s">
        <v>20324</v>
      </c>
      <c r="D54" s="63"/>
      <c r="E54" s="104">
        <v>40</v>
      </c>
    </row>
    <row r="55" spans="1:5">
      <c r="A55" s="130">
        <v>39749</v>
      </c>
      <c r="B55" s="76" t="str">
        <f>TiposLancamentos!B96</f>
        <v>Resg.Poup.</v>
      </c>
      <c r="C55" s="52" t="s">
        <v>20325</v>
      </c>
      <c r="D55" s="63"/>
      <c r="E55" s="104">
        <v>20</v>
      </c>
    </row>
    <row r="56" spans="1:5">
      <c r="A56" s="194">
        <v>39752</v>
      </c>
      <c r="B56" s="252" t="str">
        <f>TiposLancamentos!B98</f>
        <v>Restituições</v>
      </c>
      <c r="C56" s="478" t="s">
        <v>20305</v>
      </c>
      <c r="D56" s="106">
        <v>144.91</v>
      </c>
      <c r="E56" s="107"/>
    </row>
    <row r="57" spans="1:5">
      <c r="A57" s="129"/>
      <c r="B57" s="247"/>
      <c r="C57" s="377" t="s">
        <v>5652</v>
      </c>
      <c r="D57" s="101"/>
      <c r="E57" s="102"/>
    </row>
    <row r="58" spans="1:5">
      <c r="A58" s="130">
        <v>39769</v>
      </c>
      <c r="B58" s="76" t="str">
        <f>TiposLancamentos!B21</f>
        <v>Transf. Poupanca</v>
      </c>
      <c r="C58" s="52" t="s">
        <v>20326</v>
      </c>
      <c r="D58" s="63">
        <v>8000</v>
      </c>
      <c r="E58" s="104"/>
    </row>
    <row r="59" spans="1:5">
      <c r="A59" s="130">
        <v>39770</v>
      </c>
      <c r="B59" s="76" t="str">
        <f>TiposLancamentos!B16</f>
        <v>Cristiane</v>
      </c>
      <c r="C59" s="52" t="s">
        <v>20327</v>
      </c>
      <c r="D59" s="63"/>
      <c r="E59" s="104">
        <v>900</v>
      </c>
    </row>
    <row r="60" spans="1:5">
      <c r="A60" s="130">
        <v>39782</v>
      </c>
      <c r="B60" s="76" t="str">
        <f>TiposLancamentos!B98</f>
        <v>Restituições</v>
      </c>
      <c r="C60" s="52" t="s">
        <v>20318</v>
      </c>
      <c r="D60" s="63">
        <v>106.68</v>
      </c>
      <c r="E60" s="104"/>
    </row>
    <row r="61" spans="1:5">
      <c r="A61" s="129"/>
      <c r="B61" s="247"/>
      <c r="C61" s="377" t="s">
        <v>5676</v>
      </c>
      <c r="D61" s="101"/>
      <c r="E61" s="102"/>
    </row>
    <row r="62" spans="1:5">
      <c r="A62" s="194">
        <v>40178</v>
      </c>
      <c r="B62" s="252" t="str">
        <f>TiposLancamentos!B98</f>
        <v>Restituições</v>
      </c>
      <c r="C62" s="478" t="s">
        <v>20318</v>
      </c>
      <c r="D62" s="106">
        <v>52.85</v>
      </c>
      <c r="E62" s="107"/>
    </row>
    <row r="63" spans="1:5">
      <c r="A63" s="129"/>
      <c r="B63" s="247"/>
      <c r="C63" s="377" t="s">
        <v>3709</v>
      </c>
      <c r="D63" s="101"/>
      <c r="E63" s="102"/>
    </row>
    <row r="64" spans="1:5">
      <c r="A64" s="194">
        <v>39844</v>
      </c>
      <c r="B64" s="252" t="str">
        <f>TiposLancamentos!B98</f>
        <v>Restituições</v>
      </c>
      <c r="C64" s="478" t="s">
        <v>20318</v>
      </c>
      <c r="D64" s="106">
        <v>104.18</v>
      </c>
      <c r="E64" s="107"/>
    </row>
    <row r="65" spans="1:5">
      <c r="A65" s="129"/>
      <c r="B65" s="247"/>
      <c r="C65" s="377" t="s">
        <v>16566</v>
      </c>
      <c r="D65" s="101"/>
      <c r="E65" s="102"/>
    </row>
    <row r="66" spans="1:5">
      <c r="A66" s="130">
        <v>39862</v>
      </c>
      <c r="B66" s="76" t="str">
        <f>TiposLancamentos!B16</f>
        <v>Cristiane</v>
      </c>
      <c r="C66" s="52" t="s">
        <v>20307</v>
      </c>
      <c r="D66" s="63"/>
      <c r="E66" s="104">
        <v>440</v>
      </c>
    </row>
    <row r="67" spans="1:5">
      <c r="A67" s="194">
        <v>39872</v>
      </c>
      <c r="B67" s="252" t="str">
        <f>TiposLancamentos!B98</f>
        <v>Restituições</v>
      </c>
      <c r="C67" s="478" t="s">
        <v>20318</v>
      </c>
      <c r="D67" s="106">
        <v>93.83</v>
      </c>
      <c r="E67" s="107"/>
    </row>
    <row r="68" spans="1:5">
      <c r="A68" s="129"/>
      <c r="B68" s="247"/>
      <c r="C68" s="377" t="s">
        <v>5696</v>
      </c>
      <c r="D68" s="101"/>
      <c r="E68" s="102"/>
    </row>
    <row r="69" spans="1:5">
      <c r="A69" s="130">
        <v>39904</v>
      </c>
      <c r="B69" s="76" t="str">
        <f>TiposLancamentos!B96</f>
        <v>Resg.Poup.</v>
      </c>
      <c r="C69" s="52" t="s">
        <v>20307</v>
      </c>
      <c r="D69" s="63"/>
      <c r="E69" s="104">
        <v>3435</v>
      </c>
    </row>
    <row r="70" spans="1:5">
      <c r="A70" s="194">
        <v>39945</v>
      </c>
      <c r="B70" s="252" t="str">
        <f>TiposLancamentos!B96</f>
        <v>Resg.Poup.</v>
      </c>
      <c r="C70" s="478" t="s">
        <v>20307</v>
      </c>
      <c r="D70" s="106"/>
      <c r="E70" s="107">
        <v>850</v>
      </c>
    </row>
    <row r="71" spans="1:5">
      <c r="A71" s="129"/>
      <c r="B71" s="247"/>
      <c r="C71" s="377" t="s">
        <v>3808</v>
      </c>
      <c r="D71" s="101"/>
      <c r="E71" s="102"/>
    </row>
    <row r="72" spans="1:5">
      <c r="A72" s="194">
        <v>39989</v>
      </c>
      <c r="B72" s="252" t="str">
        <f>TiposLancamentos!B96</f>
        <v>Resg.Poup.</v>
      </c>
      <c r="C72" s="478"/>
      <c r="D72" s="106"/>
      <c r="E72" s="107">
        <v>2300</v>
      </c>
    </row>
    <row r="73" spans="1:5">
      <c r="A73" s="130"/>
      <c r="B73" s="76"/>
      <c r="C73" s="52" t="s">
        <v>5715</v>
      </c>
      <c r="D73" s="63"/>
      <c r="E73" s="104"/>
    </row>
    <row r="74" spans="1:5">
      <c r="A74" s="130">
        <v>39996</v>
      </c>
      <c r="B74" s="76" t="str">
        <f>TiposLancamentos!B21</f>
        <v>Transf. Poupanca</v>
      </c>
      <c r="C74" s="52" t="s">
        <v>5717</v>
      </c>
      <c r="D74" s="63">
        <v>4000</v>
      </c>
      <c r="E74" s="104"/>
    </row>
    <row r="75" spans="1:5">
      <c r="A75" s="130">
        <v>39996</v>
      </c>
      <c r="B75" s="76" t="str">
        <f>TiposLancamentos!B98</f>
        <v>Restituições</v>
      </c>
      <c r="C75" s="52" t="s">
        <v>20318</v>
      </c>
      <c r="D75" s="63">
        <v>281.7</v>
      </c>
      <c r="E75" s="104"/>
    </row>
    <row r="76" spans="1:5">
      <c r="A76" s="130">
        <v>40007</v>
      </c>
      <c r="B76" s="76" t="str">
        <f>TiposLancamentos!B96</f>
        <v>Resg.Poup.</v>
      </c>
      <c r="C76" s="52" t="s">
        <v>5720</v>
      </c>
      <c r="D76" s="63"/>
      <c r="E76" s="104">
        <v>8400</v>
      </c>
    </row>
    <row r="77" spans="1:5">
      <c r="A77" s="130">
        <v>40038</v>
      </c>
      <c r="B77" s="76" t="str">
        <f>TiposLancamentos!B96</f>
        <v>Resg.Poup.</v>
      </c>
      <c r="C77" s="52" t="s">
        <v>20328</v>
      </c>
      <c r="D77" s="63"/>
      <c r="E77" s="104">
        <v>467</v>
      </c>
    </row>
    <row r="78" spans="1:5">
      <c r="A78" s="130">
        <v>40088</v>
      </c>
      <c r="B78" s="76" t="str">
        <f>TiposLancamentos!B96</f>
        <v>Resg.Poup.</v>
      </c>
      <c r="C78" s="52" t="s">
        <v>3763</v>
      </c>
      <c r="D78" s="63"/>
      <c r="E78" s="104">
        <v>1000</v>
      </c>
    </row>
    <row r="79" spans="1:5">
      <c r="A79" s="130">
        <v>40330</v>
      </c>
      <c r="B79" s="76" t="str">
        <f>TiposLancamentos!B96</f>
        <v>Resg.Poup.</v>
      </c>
      <c r="C79" s="52" t="s">
        <v>3763</v>
      </c>
      <c r="D79" s="63"/>
      <c r="E79" s="104">
        <v>1000</v>
      </c>
    </row>
    <row r="80" spans="1:5">
      <c r="A80" s="130">
        <v>40345</v>
      </c>
      <c r="B80" s="76" t="str">
        <f>TiposLancamentos!B96</f>
        <v>Resg.Poup.</v>
      </c>
      <c r="C80" s="52" t="s">
        <v>3763</v>
      </c>
      <c r="D80" s="63"/>
      <c r="E80" s="104">
        <v>30</v>
      </c>
    </row>
    <row r="81" spans="1:5">
      <c r="A81" s="130">
        <v>40345</v>
      </c>
      <c r="B81" s="76" t="str">
        <f>TiposLancamentos!B78</f>
        <v>Diferenças</v>
      </c>
      <c r="C81" s="52" t="s">
        <v>20329</v>
      </c>
      <c r="D81" s="63"/>
      <c r="E81" s="104">
        <v>1784.12</v>
      </c>
    </row>
    <row r="82" spans="1:5">
      <c r="A82" s="130"/>
      <c r="B82" s="76"/>
      <c r="C82" s="52"/>
      <c r="D82" s="63"/>
      <c r="E82" s="104"/>
    </row>
    <row r="83" spans="1:5">
      <c r="A83" s="130">
        <v>41009</v>
      </c>
      <c r="B83" s="76" t="str">
        <f>TiposLancamentos!B21</f>
        <v>Transf. Poupanca</v>
      </c>
      <c r="C83" s="52" t="s">
        <v>5717</v>
      </c>
      <c r="D83" s="63">
        <v>2400</v>
      </c>
      <c r="E83" s="104"/>
    </row>
    <row r="84" spans="1:5">
      <c r="A84" s="130"/>
      <c r="B84" s="76"/>
      <c r="C84" s="52"/>
      <c r="D84" s="63"/>
      <c r="E84" s="104"/>
    </row>
    <row r="85" spans="1:5">
      <c r="A85" s="130">
        <v>41032</v>
      </c>
      <c r="B85" s="76" t="str">
        <f>TiposLancamentos!B21</f>
        <v>Transf. Poupanca</v>
      </c>
      <c r="C85" s="52" t="s">
        <v>5717</v>
      </c>
      <c r="D85" s="63">
        <v>200</v>
      </c>
      <c r="E85" s="104"/>
    </row>
    <row r="86" spans="1:5">
      <c r="A86" s="130"/>
      <c r="B86" s="76"/>
      <c r="C86" s="52"/>
      <c r="D86" s="63"/>
      <c r="E86" s="104"/>
    </row>
    <row r="87" spans="1:5">
      <c r="A87" s="130">
        <v>41043</v>
      </c>
      <c r="B87" s="76" t="str">
        <f>TiposLancamentos!B21</f>
        <v>Transf. Poupanca</v>
      </c>
      <c r="C87" s="52" t="s">
        <v>20330</v>
      </c>
      <c r="D87" s="63">
        <v>1000</v>
      </c>
      <c r="E87" s="104"/>
    </row>
    <row r="88" spans="1:5">
      <c r="A88" s="130"/>
      <c r="B88" s="76"/>
      <c r="C88" s="52"/>
      <c r="D88" s="63"/>
      <c r="E88" s="104"/>
    </row>
    <row r="89" spans="1:5">
      <c r="A89" s="130">
        <v>41045</v>
      </c>
      <c r="B89" s="76" t="str">
        <f>TiposLancamentos!B21</f>
        <v>Transf. Poupanca</v>
      </c>
      <c r="C89" s="52" t="s">
        <v>5717</v>
      </c>
      <c r="D89" s="63">
        <v>2000</v>
      </c>
      <c r="E89" s="104"/>
    </row>
    <row r="90" spans="1:5">
      <c r="A90" s="130"/>
      <c r="B90" s="76"/>
      <c r="C90" s="52"/>
      <c r="D90" s="63"/>
      <c r="E90" s="104"/>
    </row>
    <row r="91" spans="1:5">
      <c r="A91" s="130">
        <v>41053</v>
      </c>
      <c r="B91" s="76" t="str">
        <f>TiposLancamentos!B16</f>
        <v>Cristiane</v>
      </c>
      <c r="C91" s="52" t="s">
        <v>20331</v>
      </c>
      <c r="D91" s="63"/>
      <c r="E91" s="104">
        <v>250</v>
      </c>
    </row>
    <row r="92" spans="1:5">
      <c r="A92" s="130"/>
      <c r="B92" s="76"/>
      <c r="C92" s="52"/>
      <c r="D92" s="63"/>
      <c r="E92" s="104"/>
    </row>
    <row r="93" spans="1:5">
      <c r="A93" s="130">
        <v>41071</v>
      </c>
      <c r="B93" s="76" t="str">
        <f>TiposLancamentos!B16</f>
        <v>Cristiane</v>
      </c>
      <c r="C93" s="52" t="s">
        <v>20332</v>
      </c>
      <c r="D93" s="63">
        <v>200</v>
      </c>
      <c r="E93" s="104"/>
    </row>
    <row r="94" spans="1:5">
      <c r="A94" s="130"/>
      <c r="B94" s="76"/>
      <c r="C94" s="52"/>
      <c r="D94" s="63"/>
      <c r="E94" s="104"/>
    </row>
    <row r="95" spans="1:5">
      <c r="A95" s="130"/>
      <c r="B95" s="76"/>
      <c r="C95" s="52"/>
      <c r="D95" s="63"/>
      <c r="E95" s="104"/>
    </row>
    <row r="96" spans="1:5">
      <c r="A96" s="130">
        <v>41093</v>
      </c>
      <c r="B96" s="76" t="str">
        <f>TiposLancamentos!B21</f>
        <v>Transf. Poupanca</v>
      </c>
      <c r="C96" s="52" t="s">
        <v>20333</v>
      </c>
      <c r="D96" s="63">
        <v>1500</v>
      </c>
      <c r="E96" s="104"/>
    </row>
    <row r="97" spans="1:5">
      <c r="A97" s="130">
        <v>41093</v>
      </c>
      <c r="B97" s="76" t="str">
        <f>TiposLancamentos!B103</f>
        <v>Juros_Corr. Poupança</v>
      </c>
      <c r="C97" s="52" t="s">
        <v>7889</v>
      </c>
      <c r="D97" s="63">
        <v>42.98</v>
      </c>
      <c r="E97" s="104"/>
    </row>
    <row r="98" spans="1:5">
      <c r="A98" s="130"/>
      <c r="B98" s="76"/>
      <c r="C98" s="52"/>
      <c r="D98" s="63"/>
      <c r="E98" s="104"/>
    </row>
    <row r="99" spans="1:5">
      <c r="A99" s="130">
        <v>41094</v>
      </c>
      <c r="B99" s="76" t="str">
        <f>TiposLancamentos!B21</f>
        <v>Transf. Poupanca</v>
      </c>
      <c r="C99" s="52" t="s">
        <v>20334</v>
      </c>
      <c r="D99" s="63">
        <v>1200</v>
      </c>
      <c r="E99" s="104"/>
    </row>
    <row r="100" spans="1:5">
      <c r="A100" s="130"/>
      <c r="B100" s="76"/>
      <c r="C100" s="52"/>
      <c r="D100" s="63"/>
      <c r="E100" s="104"/>
    </row>
    <row r="101" spans="1:5">
      <c r="A101" s="130">
        <v>41096</v>
      </c>
      <c r="B101" s="76" t="str">
        <f>TiposLancamentos!B21</f>
        <v>Transf. Poupanca</v>
      </c>
      <c r="C101" s="52" t="s">
        <v>2888</v>
      </c>
      <c r="D101" s="63">
        <v>500</v>
      </c>
      <c r="E101" s="104"/>
    </row>
    <row r="102" spans="1:5">
      <c r="A102" s="130"/>
      <c r="B102" s="76"/>
      <c r="C102" s="52"/>
      <c r="D102" s="63"/>
      <c r="E102" s="104"/>
    </row>
    <row r="103" spans="1:5">
      <c r="A103" s="130">
        <v>41097</v>
      </c>
      <c r="B103" s="76" t="str">
        <f>TiposLancamentos!B20</f>
        <v>Saques</v>
      </c>
      <c r="C103" s="52" t="s">
        <v>2668</v>
      </c>
      <c r="D103" s="63"/>
      <c r="E103" s="104">
        <v>220</v>
      </c>
    </row>
    <row r="104" spans="1:5">
      <c r="A104" s="130"/>
      <c r="B104" s="76"/>
      <c r="C104" s="52"/>
      <c r="D104" s="63"/>
      <c r="E104" s="104"/>
    </row>
    <row r="105" spans="1:5">
      <c r="A105" s="130">
        <v>41122</v>
      </c>
      <c r="B105" s="76" t="str">
        <f>TiposLancamentos!B96</f>
        <v>Resg.Poup.</v>
      </c>
      <c r="C105" s="52" t="s">
        <v>20335</v>
      </c>
      <c r="D105" s="63"/>
      <c r="E105" s="104">
        <v>307</v>
      </c>
    </row>
    <row r="106" spans="1:5">
      <c r="A106" s="130"/>
      <c r="B106" s="76"/>
      <c r="C106" s="52"/>
      <c r="D106" s="63"/>
      <c r="E106" s="104"/>
    </row>
    <row r="107" spans="1:5">
      <c r="A107" s="130">
        <v>41133</v>
      </c>
      <c r="B107" s="76" t="str">
        <f>TiposLancamentos!B72</f>
        <v>Presentes</v>
      </c>
      <c r="C107" s="52" t="s">
        <v>20336</v>
      </c>
      <c r="D107" s="63"/>
      <c r="E107" s="104">
        <v>1200</v>
      </c>
    </row>
    <row r="108" spans="1:5">
      <c r="A108" s="130"/>
      <c r="B108" s="76"/>
      <c r="C108" s="52"/>
      <c r="D108" s="63"/>
      <c r="E108" s="104"/>
    </row>
    <row r="109" spans="1:5">
      <c r="A109" s="130">
        <v>41153</v>
      </c>
      <c r="B109" s="76" t="str">
        <f>TiposLancamentos!B103</f>
        <v>Juros_Corr. Poupança</v>
      </c>
      <c r="C109" s="52" t="s">
        <v>20337</v>
      </c>
      <c r="D109" s="63">
        <v>76.86</v>
      </c>
      <c r="E109" s="104"/>
    </row>
    <row r="110" spans="1:5">
      <c r="A110" s="130"/>
      <c r="B110" s="76"/>
      <c r="C110" s="52"/>
      <c r="D110" s="63"/>
      <c r="E110" s="104"/>
    </row>
    <row r="111" spans="1:5">
      <c r="A111" s="130">
        <v>41156</v>
      </c>
      <c r="B111" s="76" t="str">
        <f>TiposLancamentos!B21</f>
        <v>Transf. Poupanca</v>
      </c>
      <c r="C111" s="52" t="s">
        <v>5717</v>
      </c>
      <c r="D111" s="63">
        <v>4000</v>
      </c>
      <c r="E111" s="104"/>
    </row>
    <row r="112" spans="1:5">
      <c r="A112" s="130">
        <v>41156</v>
      </c>
      <c r="B112" s="76" t="str">
        <f>TiposLancamentos!B16</f>
        <v>Cristiane</v>
      </c>
      <c r="C112" s="52" t="s">
        <v>20338</v>
      </c>
      <c r="D112" s="63"/>
      <c r="E112" s="104">
        <v>80</v>
      </c>
    </row>
    <row r="113" spans="1:6">
      <c r="A113" s="130"/>
      <c r="B113" s="76"/>
      <c r="C113" s="52"/>
      <c r="D113" s="63"/>
      <c r="E113" s="104"/>
    </row>
    <row r="114" spans="1:6">
      <c r="A114" s="130">
        <v>41186</v>
      </c>
      <c r="B114" s="76" t="str">
        <f>TiposLancamentos!B103</f>
        <v>Juros_Corr. Poupança</v>
      </c>
      <c r="C114" s="52" t="s">
        <v>20337</v>
      </c>
      <c r="D114" s="63">
        <v>52.52</v>
      </c>
      <c r="E114" s="104"/>
    </row>
    <row r="115" spans="1:6">
      <c r="A115" s="130"/>
      <c r="B115" s="76"/>
      <c r="C115" s="52"/>
      <c r="D115" s="63"/>
      <c r="E115" s="104"/>
    </row>
    <row r="116" spans="1:6">
      <c r="A116" s="130">
        <v>41236</v>
      </c>
      <c r="B116" s="76" t="str">
        <f>TiposLancamentos!B103</f>
        <v>Juros_Corr. Poupança</v>
      </c>
      <c r="C116" s="52" t="s">
        <v>20339</v>
      </c>
      <c r="D116" s="63">
        <v>72.56</v>
      </c>
      <c r="E116" s="104"/>
    </row>
    <row r="117" spans="1:6">
      <c r="A117" s="130"/>
      <c r="B117" s="76"/>
      <c r="C117" s="52"/>
      <c r="D117" s="63"/>
      <c r="E117" s="104"/>
    </row>
    <row r="118" spans="1:6">
      <c r="A118" s="130">
        <v>41246</v>
      </c>
      <c r="B118" s="76" t="str">
        <f>TiposLancamentos!B96</f>
        <v>Resg.Poup.</v>
      </c>
      <c r="C118" s="52" t="s">
        <v>20340</v>
      </c>
      <c r="D118" s="63"/>
      <c r="E118" s="104">
        <v>3500</v>
      </c>
    </row>
    <row r="119" spans="1:6">
      <c r="A119" s="130"/>
      <c r="B119" s="76"/>
      <c r="C119" s="52"/>
      <c r="D119" s="63"/>
      <c r="E119" s="104"/>
    </row>
    <row r="120" spans="1:6">
      <c r="A120" s="130">
        <v>41276</v>
      </c>
      <c r="B120" s="76" t="str">
        <f>TiposLancamentos!B103</f>
        <v>Juros_Corr. Poupança</v>
      </c>
      <c r="C120" s="52" t="s">
        <v>20339</v>
      </c>
      <c r="D120" s="63">
        <v>41.26</v>
      </c>
      <c r="E120" s="104"/>
    </row>
    <row r="121" spans="1:6">
      <c r="A121" s="130">
        <v>41277</v>
      </c>
      <c r="B121" s="76" t="str">
        <f>TiposLancamentos!B21</f>
        <v>Transf. Poupanca</v>
      </c>
      <c r="C121" s="52" t="s">
        <v>5997</v>
      </c>
      <c r="D121" s="63">
        <v>4000</v>
      </c>
      <c r="E121" s="104"/>
    </row>
    <row r="122" spans="1:6">
      <c r="A122" s="130"/>
      <c r="B122" s="76"/>
      <c r="C122" s="52"/>
      <c r="D122" s="63"/>
      <c r="E122" s="104"/>
      <c r="F122" s="36"/>
    </row>
    <row r="123" spans="1:6">
      <c r="A123" s="130">
        <v>41318</v>
      </c>
      <c r="B123" s="76" t="str">
        <f>TiposLancamentos!B103</f>
        <v>Juros_Corr. Poupança</v>
      </c>
      <c r="C123" s="52" t="s">
        <v>20339</v>
      </c>
      <c r="D123" s="63">
        <v>83.39</v>
      </c>
      <c r="E123" s="104"/>
      <c r="F123" s="36"/>
    </row>
    <row r="124" spans="1:6">
      <c r="A124" s="130"/>
      <c r="B124" s="76"/>
      <c r="C124" s="52"/>
      <c r="D124" s="63"/>
      <c r="E124" s="104"/>
      <c r="F124" s="36"/>
    </row>
    <row r="125" spans="1:6">
      <c r="A125" s="130">
        <v>41320</v>
      </c>
      <c r="B125" s="76" t="str">
        <f>TiposLancamentos!B21</f>
        <v>Transf. Poupanca</v>
      </c>
      <c r="C125" s="52" t="s">
        <v>6042</v>
      </c>
      <c r="D125" s="63">
        <v>3000</v>
      </c>
      <c r="E125" s="104"/>
      <c r="F125" s="36"/>
    </row>
    <row r="126" spans="1:6">
      <c r="A126" s="130"/>
      <c r="B126" s="76"/>
      <c r="C126" s="52"/>
      <c r="D126" s="63"/>
      <c r="E126" s="104"/>
      <c r="F126" s="36"/>
    </row>
    <row r="127" spans="1:6">
      <c r="A127" s="130">
        <v>41345</v>
      </c>
      <c r="B127" s="76" t="str">
        <f>TiposLancamentos!B103</f>
        <v>Juros_Corr. Poupança</v>
      </c>
      <c r="C127" s="52" t="s">
        <v>20339</v>
      </c>
      <c r="D127" s="63">
        <v>51.58</v>
      </c>
      <c r="E127" s="104"/>
      <c r="F127" s="36"/>
    </row>
    <row r="128" spans="1:6">
      <c r="A128" s="130"/>
      <c r="B128" s="76"/>
      <c r="C128" s="52"/>
      <c r="D128" s="63"/>
      <c r="E128" s="104"/>
      <c r="F128" s="36"/>
    </row>
    <row r="129" spans="1:6">
      <c r="A129" s="130">
        <v>41374</v>
      </c>
      <c r="B129" s="76" t="str">
        <f>TiposLancamentos!B103</f>
        <v>Juros_Corr. Poupança</v>
      </c>
      <c r="C129" s="52" t="s">
        <v>20339</v>
      </c>
      <c r="D129" s="63">
        <v>64.209999999999994</v>
      </c>
      <c r="E129" s="104"/>
      <c r="F129" s="36"/>
    </row>
    <row r="130" spans="1:6">
      <c r="A130" s="130"/>
      <c r="B130" s="76"/>
      <c r="C130" s="52"/>
      <c r="D130" s="63"/>
      <c r="E130" s="104"/>
      <c r="F130" s="36"/>
    </row>
    <row r="131" spans="1:6">
      <c r="A131" s="130">
        <v>41404</v>
      </c>
      <c r="B131" s="76" t="str">
        <f>TiposLancamentos!B103</f>
        <v>Juros_Corr. Poupança</v>
      </c>
      <c r="C131" s="52" t="s">
        <v>20339</v>
      </c>
      <c r="D131" s="63">
        <v>64.5</v>
      </c>
      <c r="E131" s="104"/>
      <c r="F131" s="36"/>
    </row>
    <row r="132" spans="1:6">
      <c r="A132" s="130"/>
      <c r="B132" s="76"/>
      <c r="C132" s="52"/>
      <c r="D132" s="63"/>
      <c r="E132" s="104"/>
      <c r="F132" s="36"/>
    </row>
    <row r="133" spans="1:6">
      <c r="A133" s="130">
        <v>41435</v>
      </c>
      <c r="B133" s="76" t="str">
        <f>TiposLancamentos!B103</f>
        <v>Juros_Corr. Poupança</v>
      </c>
      <c r="C133" s="52" t="s">
        <v>20339</v>
      </c>
      <c r="D133" s="63">
        <v>65.97</v>
      </c>
      <c r="E133" s="104"/>
      <c r="F133" s="36"/>
    </row>
    <row r="134" spans="1:6">
      <c r="A134" s="130"/>
      <c r="B134" s="76"/>
      <c r="C134" s="52"/>
      <c r="D134" s="63"/>
      <c r="E134" s="104"/>
      <c r="F134" s="36"/>
    </row>
    <row r="135" spans="1:6">
      <c r="A135" s="130">
        <v>41465</v>
      </c>
      <c r="B135" s="76" t="str">
        <f>TiposLancamentos!B103</f>
        <v>Juros_Corr. Poupança</v>
      </c>
      <c r="C135" s="52" t="s">
        <v>20339</v>
      </c>
      <c r="D135" s="63">
        <v>69.180000000000007</v>
      </c>
      <c r="E135" s="104"/>
      <c r="F135" s="36"/>
    </row>
    <row r="136" spans="1:6">
      <c r="A136" s="130"/>
      <c r="B136" s="76"/>
      <c r="C136" s="52"/>
      <c r="D136" s="63"/>
      <c r="E136" s="104"/>
      <c r="F136" s="36"/>
    </row>
    <row r="137" spans="1:6">
      <c r="A137" s="130">
        <v>41474</v>
      </c>
      <c r="B137" s="76" t="str">
        <f>TiposLancamentos!B96</f>
        <v>Resg.Poup.</v>
      </c>
      <c r="C137" s="52" t="s">
        <v>20341</v>
      </c>
      <c r="D137" s="63"/>
      <c r="E137" s="104">
        <v>13000</v>
      </c>
      <c r="F137" s="36"/>
    </row>
    <row r="138" spans="1:6">
      <c r="A138" s="130"/>
      <c r="B138" s="76"/>
      <c r="C138" s="52"/>
      <c r="D138" s="63"/>
      <c r="E138" s="104"/>
      <c r="F138" s="36"/>
    </row>
    <row r="139" spans="1:6">
      <c r="A139" s="130">
        <v>41498</v>
      </c>
      <c r="B139" s="76" t="str">
        <f>TiposLancamentos!B103</f>
        <v>Juros_Corr. Poupança</v>
      </c>
      <c r="C139" s="52" t="s">
        <v>20339</v>
      </c>
      <c r="D139" s="63">
        <v>28.38</v>
      </c>
      <c r="E139" s="104"/>
      <c r="F139" s="36"/>
    </row>
    <row r="140" spans="1:6">
      <c r="A140" s="130"/>
      <c r="B140" s="76"/>
      <c r="C140" s="52"/>
      <c r="D140" s="63"/>
      <c r="E140" s="104"/>
      <c r="F140" s="36"/>
    </row>
    <row r="141" spans="1:6">
      <c r="A141" s="130">
        <v>41557</v>
      </c>
      <c r="B141" s="76" t="str">
        <f>TiposLancamentos!B103</f>
        <v>Juros_Corr. Poupança</v>
      </c>
      <c r="C141" s="52" t="s">
        <v>20339</v>
      </c>
      <c r="D141" s="63">
        <v>22.87</v>
      </c>
      <c r="E141" s="104"/>
      <c r="F141" s="36"/>
    </row>
    <row r="142" spans="1:6">
      <c r="A142" s="130">
        <v>41557</v>
      </c>
      <c r="B142" s="76" t="str">
        <f>TiposLancamentos!B96</f>
        <v>Resg.Poup.</v>
      </c>
      <c r="C142" s="52" t="s">
        <v>6350</v>
      </c>
      <c r="D142" s="63"/>
      <c r="E142" s="104">
        <v>2257.4899999999998</v>
      </c>
      <c r="F142" s="36"/>
    </row>
    <row r="143" spans="1:6">
      <c r="A143" s="130"/>
      <c r="B143" s="76"/>
      <c r="C143" s="52"/>
      <c r="D143" s="63"/>
      <c r="E143" s="104"/>
      <c r="F143" s="36"/>
    </row>
    <row r="144" spans="1:6">
      <c r="A144" s="130">
        <v>41696</v>
      </c>
      <c r="B144" s="76" t="str">
        <f>TiposLancamentos!B21</f>
        <v>Transf. Poupanca</v>
      </c>
      <c r="C144" s="52" t="s">
        <v>20342</v>
      </c>
      <c r="D144" s="63">
        <v>40000</v>
      </c>
      <c r="E144" s="104"/>
      <c r="F144" s="36"/>
    </row>
    <row r="145" spans="1:6">
      <c r="A145" s="130"/>
      <c r="B145" s="76"/>
      <c r="C145" s="52"/>
      <c r="D145" s="63"/>
      <c r="E145" s="104"/>
      <c r="F145" s="36"/>
    </row>
    <row r="146" spans="1:6">
      <c r="A146" s="130">
        <v>41724</v>
      </c>
      <c r="B146" s="76" t="str">
        <f>TiposLancamentos!B103</f>
        <v>Juros_Corr. Poupança</v>
      </c>
      <c r="C146" s="52" t="s">
        <v>20339</v>
      </c>
      <c r="D146" s="63">
        <v>200</v>
      </c>
      <c r="E146" s="104">
        <v>10000</v>
      </c>
      <c r="F146" s="36"/>
    </row>
    <row r="147" spans="1:6">
      <c r="A147" s="130">
        <v>41724</v>
      </c>
      <c r="B147" s="76" t="str">
        <f>TiposLancamentos!B96</f>
        <v>Resg.Poup.</v>
      </c>
      <c r="C147" s="52" t="s">
        <v>6350</v>
      </c>
      <c r="D147" s="63"/>
      <c r="E147" s="104"/>
      <c r="F147" s="36"/>
    </row>
    <row r="148" spans="1:6">
      <c r="A148" s="130"/>
      <c r="B148" s="76"/>
      <c r="C148" s="52"/>
      <c r="D148" s="63"/>
      <c r="E148" s="104"/>
      <c r="F148" s="36"/>
    </row>
    <row r="149" spans="1:6">
      <c r="A149" s="130">
        <v>41757</v>
      </c>
      <c r="B149" s="76" t="str">
        <f>TiposLancamentos!B103</f>
        <v>Juros_Corr. Poupança</v>
      </c>
      <c r="C149" s="52" t="s">
        <v>20339</v>
      </c>
      <c r="D149" s="63">
        <v>170.79</v>
      </c>
      <c r="E149" s="104"/>
      <c r="F149" s="36"/>
    </row>
    <row r="150" spans="1:6">
      <c r="A150" s="130">
        <v>41757</v>
      </c>
      <c r="B150" s="76" t="str">
        <f>TiposLancamentos!B96</f>
        <v>Resg.Poup.</v>
      </c>
      <c r="C150" s="52" t="s">
        <v>6350</v>
      </c>
      <c r="D150" s="63"/>
      <c r="E150" s="104">
        <v>10000</v>
      </c>
      <c r="F150" s="36"/>
    </row>
    <row r="151" spans="1:6">
      <c r="A151" s="130"/>
      <c r="B151" s="76"/>
      <c r="C151" s="52"/>
      <c r="D151" s="63"/>
      <c r="E151" s="104"/>
      <c r="F151" s="36"/>
    </row>
    <row r="152" spans="1:6">
      <c r="A152" s="130">
        <v>41775</v>
      </c>
      <c r="B152" s="76" t="str">
        <f>TiposLancamentos!B96</f>
        <v>Resg.Poup.</v>
      </c>
      <c r="C152" s="52" t="s">
        <v>20343</v>
      </c>
      <c r="D152" s="63"/>
      <c r="E152" s="104">
        <v>2800</v>
      </c>
      <c r="F152" s="36"/>
    </row>
    <row r="153" spans="1:6">
      <c r="A153" s="130"/>
      <c r="B153" s="76"/>
      <c r="C153" s="52"/>
      <c r="D153" s="63"/>
      <c r="E153" s="104"/>
      <c r="F153" s="36"/>
    </row>
    <row r="154" spans="1:6">
      <c r="A154" s="130">
        <v>41787</v>
      </c>
      <c r="B154" s="76" t="str">
        <f>TiposLancamentos!B103</f>
        <v>Juros_Corr. Poupança</v>
      </c>
      <c r="C154" s="52" t="s">
        <v>8669</v>
      </c>
      <c r="D154" s="63">
        <f>89.38+0.57</f>
        <v>89.949999999999989</v>
      </c>
      <c r="E154" s="104"/>
      <c r="F154" s="36"/>
    </row>
    <row r="155" spans="1:6">
      <c r="A155" s="130">
        <v>41787</v>
      </c>
      <c r="B155" s="76" t="str">
        <f>TiposLancamentos!B96</f>
        <v>Resg.Poup.</v>
      </c>
      <c r="C155" s="52" t="s">
        <v>20344</v>
      </c>
      <c r="D155" s="63"/>
      <c r="E155" s="104">
        <v>7660</v>
      </c>
      <c r="F155" s="36"/>
    </row>
    <row r="156" spans="1:6">
      <c r="A156" s="130"/>
      <c r="B156" s="76"/>
      <c r="C156" s="52"/>
      <c r="D156" s="63"/>
      <c r="E156" s="104"/>
      <c r="F156" s="36"/>
    </row>
    <row r="157" spans="1:6">
      <c r="A157" s="130">
        <v>41857</v>
      </c>
      <c r="B157" s="76" t="str">
        <f>TiposLancamentos!B96</f>
        <v>Resg.Poup.</v>
      </c>
      <c r="C157" s="52" t="s">
        <v>20345</v>
      </c>
      <c r="D157" s="63"/>
      <c r="E157" s="104">
        <v>1648</v>
      </c>
      <c r="F157" s="36"/>
    </row>
    <row r="158" spans="1:6">
      <c r="A158" s="130">
        <v>41857</v>
      </c>
      <c r="B158" s="76" t="str">
        <f>TiposLancamentos!B103</f>
        <v>Juros_Corr. Poupança</v>
      </c>
      <c r="C158" s="52" t="s">
        <v>20339</v>
      </c>
      <c r="D158" s="63">
        <v>118.23</v>
      </c>
      <c r="E158" s="104"/>
      <c r="F158" s="36"/>
    </row>
    <row r="159" spans="1:6">
      <c r="A159" s="130"/>
      <c r="B159" s="76"/>
      <c r="C159" s="52"/>
      <c r="D159" s="63"/>
      <c r="E159" s="104"/>
      <c r="F159" s="36"/>
    </row>
    <row r="160" spans="1:6">
      <c r="A160" s="130">
        <v>41861</v>
      </c>
      <c r="B160" s="76" t="str">
        <f>TiposLancamentos!B96</f>
        <v>Resg.Poup.</v>
      </c>
      <c r="C160" s="52" t="s">
        <v>20345</v>
      </c>
      <c r="D160" s="63"/>
      <c r="E160" s="104">
        <v>2000</v>
      </c>
      <c r="F160" s="36"/>
    </row>
    <row r="161" spans="1:6">
      <c r="A161" s="130"/>
      <c r="B161" s="76"/>
      <c r="C161" s="52"/>
      <c r="D161" s="63"/>
      <c r="E161" s="104"/>
      <c r="F161" s="36"/>
    </row>
    <row r="162" spans="1:6">
      <c r="A162" s="130">
        <v>41865</v>
      </c>
      <c r="B162" s="76" t="str">
        <f>TiposLancamentos!B96</f>
        <v>Resg.Poup.</v>
      </c>
      <c r="C162" s="52" t="s">
        <v>20345</v>
      </c>
      <c r="D162" s="63"/>
      <c r="E162" s="104">
        <v>650</v>
      </c>
      <c r="F162" s="36"/>
    </row>
    <row r="163" spans="1:6">
      <c r="A163" s="130"/>
      <c r="B163" s="76"/>
      <c r="C163" s="52"/>
      <c r="D163" s="63"/>
      <c r="E163" s="104"/>
      <c r="F163" s="36"/>
    </row>
    <row r="164" spans="1:6">
      <c r="A164" s="130">
        <v>41867</v>
      </c>
      <c r="B164" s="76" t="str">
        <f>TiposLancamentos!B96</f>
        <v>Resg.Poup.</v>
      </c>
      <c r="C164" s="52" t="s">
        <v>20345</v>
      </c>
      <c r="D164" s="63"/>
      <c r="E164" s="104">
        <v>600</v>
      </c>
      <c r="F164" s="36"/>
    </row>
    <row r="165" spans="1:6">
      <c r="A165" s="130"/>
      <c r="B165" s="76"/>
      <c r="C165" s="52"/>
      <c r="D165" s="63"/>
      <c r="E165" s="104"/>
      <c r="F165" s="36"/>
    </row>
    <row r="166" spans="1:6">
      <c r="A166" s="130">
        <v>41877</v>
      </c>
      <c r="B166" s="76" t="str">
        <f>TiposLancamentos!B96</f>
        <v>Resg.Poup.</v>
      </c>
      <c r="C166" s="52" t="s">
        <v>20345</v>
      </c>
      <c r="D166" s="63"/>
      <c r="E166" s="104">
        <v>900</v>
      </c>
      <c r="F166" s="36"/>
    </row>
    <row r="167" spans="1:6">
      <c r="A167" s="130"/>
      <c r="B167" s="76"/>
      <c r="C167" s="52"/>
      <c r="D167" s="63"/>
      <c r="E167" s="104"/>
      <c r="F167" s="36"/>
    </row>
    <row r="168" spans="1:6">
      <c r="A168" s="130">
        <v>41883</v>
      </c>
      <c r="B168" s="76" t="str">
        <f>TiposLancamentos!B96</f>
        <v>Resg.Poup.</v>
      </c>
      <c r="C168" s="52" t="s">
        <v>20345</v>
      </c>
      <c r="D168" s="63"/>
      <c r="E168" s="104">
        <v>2100</v>
      </c>
      <c r="F168" s="36"/>
    </row>
    <row r="169" spans="1:6">
      <c r="A169" s="130">
        <v>41883</v>
      </c>
      <c r="B169" s="76" t="str">
        <f>TiposLancamentos!B103</f>
        <v>Juros_Corr. Poupança</v>
      </c>
      <c r="C169" s="52" t="s">
        <v>20339</v>
      </c>
      <c r="D169" s="63">
        <v>29.23</v>
      </c>
      <c r="E169" s="104"/>
      <c r="F169" s="36"/>
    </row>
    <row r="170" spans="1:6">
      <c r="A170" s="130"/>
      <c r="B170" s="76"/>
      <c r="C170" s="52"/>
      <c r="D170" s="63"/>
      <c r="E170" s="104"/>
      <c r="F170" s="36"/>
    </row>
    <row r="171" spans="1:6">
      <c r="A171" s="130"/>
      <c r="B171" s="76"/>
      <c r="C171" s="52"/>
      <c r="D171" s="63"/>
      <c r="E171" s="104"/>
      <c r="F171" s="36"/>
    </row>
    <row r="172" spans="1:6">
      <c r="A172" s="130">
        <v>41891</v>
      </c>
      <c r="B172" s="76" t="str">
        <f>TiposLancamentos!B21</f>
        <v>Transf. Poupanca</v>
      </c>
      <c r="C172" s="52" t="s">
        <v>20346</v>
      </c>
      <c r="D172" s="63">
        <v>21100</v>
      </c>
      <c r="E172" s="104"/>
      <c r="F172" s="36"/>
    </row>
    <row r="173" spans="1:6">
      <c r="A173" s="130"/>
      <c r="B173" s="76"/>
      <c r="C173" s="52"/>
      <c r="D173" s="63"/>
      <c r="E173" s="104"/>
      <c r="F173" s="36"/>
    </row>
    <row r="174" spans="1:6">
      <c r="A174" s="130"/>
      <c r="B174" s="76"/>
      <c r="C174" s="52"/>
      <c r="D174" s="63"/>
      <c r="E174" s="104"/>
      <c r="F174" s="36"/>
    </row>
    <row r="175" spans="1:6">
      <c r="A175" s="130">
        <v>41904</v>
      </c>
      <c r="B175" s="76" t="str">
        <f>TiposLancamentos!B96</f>
        <v>Resg.Poup.</v>
      </c>
      <c r="C175" s="52" t="s">
        <v>20345</v>
      </c>
      <c r="D175" s="63"/>
      <c r="E175" s="104">
        <v>1100</v>
      </c>
      <c r="F175" s="36"/>
    </row>
    <row r="176" spans="1:6">
      <c r="A176" s="130">
        <v>41914</v>
      </c>
      <c r="B176" s="76" t="str">
        <f>TiposLancamentos!B96</f>
        <v>Resg.Poup.</v>
      </c>
      <c r="C176" s="52" t="s">
        <v>20345</v>
      </c>
      <c r="D176" s="63"/>
      <c r="E176" s="104">
        <v>2700</v>
      </c>
      <c r="F176" s="36"/>
    </row>
    <row r="177" spans="1:6">
      <c r="A177" s="130">
        <v>41918</v>
      </c>
      <c r="B177" s="76" t="str">
        <f>TiposLancamentos!B96</f>
        <v>Resg.Poup.</v>
      </c>
      <c r="C177" s="52" t="s">
        <v>20345</v>
      </c>
      <c r="D177" s="63"/>
      <c r="E177" s="104">
        <v>1900</v>
      </c>
      <c r="F177" s="36"/>
    </row>
    <row r="178" spans="1:6">
      <c r="A178" s="130">
        <v>41925</v>
      </c>
      <c r="B178" s="76" t="str">
        <f>TiposLancamentos!B96</f>
        <v>Resg.Poup.</v>
      </c>
      <c r="C178" s="52" t="s">
        <v>20345</v>
      </c>
      <c r="D178" s="63"/>
      <c r="E178" s="104">
        <v>2500</v>
      </c>
      <c r="F178" s="36"/>
    </row>
    <row r="179" spans="1:6">
      <c r="A179" s="130"/>
      <c r="B179" s="76"/>
      <c r="C179" s="52"/>
      <c r="D179" s="63"/>
      <c r="E179" s="104"/>
      <c r="F179" s="36"/>
    </row>
    <row r="180" spans="1:6">
      <c r="A180" s="130">
        <v>41974</v>
      </c>
      <c r="B180" s="76" t="str">
        <f>TiposLancamentos!B103</f>
        <v>Juros_Corr. Poupança</v>
      </c>
      <c r="C180" s="52" t="s">
        <v>20339</v>
      </c>
      <c r="D180" s="63">
        <v>207.35</v>
      </c>
      <c r="E180" s="104"/>
      <c r="F180" s="36"/>
    </row>
    <row r="181" spans="1:6">
      <c r="A181" s="130"/>
      <c r="B181" s="76"/>
      <c r="C181" s="52"/>
      <c r="D181" s="63"/>
      <c r="E181" s="104"/>
      <c r="F181" s="36"/>
    </row>
    <row r="182" spans="1:6">
      <c r="A182" s="130">
        <v>41981</v>
      </c>
      <c r="B182" s="76" t="str">
        <f>TiposLancamentos!B16</f>
        <v>Cristiane</v>
      </c>
      <c r="C182" s="52" t="s">
        <v>1698</v>
      </c>
      <c r="D182" s="63"/>
      <c r="E182" s="104">
        <v>650</v>
      </c>
      <c r="F182" s="36"/>
    </row>
    <row r="183" spans="1:6">
      <c r="A183" s="130"/>
      <c r="B183" s="76"/>
      <c r="C183" s="52"/>
      <c r="D183" s="63"/>
      <c r="E183" s="104"/>
      <c r="F183" s="36"/>
    </row>
    <row r="184" spans="1:6">
      <c r="A184" s="130">
        <v>41990</v>
      </c>
      <c r="B184" s="76" t="str">
        <f>TiposLancamentos!B71</f>
        <v>Itens Pessoais</v>
      </c>
      <c r="C184" s="52" t="s">
        <v>20347</v>
      </c>
      <c r="D184" s="63"/>
      <c r="E184" s="104">
        <v>1000</v>
      </c>
      <c r="F184" s="36"/>
    </row>
    <row r="185" spans="1:6">
      <c r="A185" s="130"/>
      <c r="B185" s="76"/>
      <c r="C185" s="52"/>
      <c r="D185" s="63"/>
      <c r="E185" s="104"/>
      <c r="F185" s="36"/>
    </row>
    <row r="186" spans="1:6">
      <c r="A186" s="130">
        <v>42025</v>
      </c>
      <c r="B186" s="76" t="str">
        <f>TiposLancamentos!B96</f>
        <v>Resg.Poup.</v>
      </c>
      <c r="C186" s="52" t="s">
        <v>20345</v>
      </c>
      <c r="D186" s="63"/>
      <c r="E186" s="104">
        <v>6500</v>
      </c>
      <c r="F186" s="36"/>
    </row>
    <row r="187" spans="1:6">
      <c r="A187" s="130">
        <v>42026</v>
      </c>
      <c r="B187" s="76" t="str">
        <f>TiposLancamentos!B96</f>
        <v>Resg.Poup.</v>
      </c>
      <c r="C187" s="52" t="s">
        <v>6999</v>
      </c>
      <c r="D187" s="63"/>
      <c r="E187" s="104">
        <v>7372.83</v>
      </c>
      <c r="F187" s="36"/>
    </row>
    <row r="188" spans="1:6">
      <c r="A188" s="130">
        <v>42026</v>
      </c>
      <c r="B188" s="76" t="str">
        <f>TiposLancamentos!B103</f>
        <v>Juros_Corr. Poupança</v>
      </c>
      <c r="C188" s="52" t="s">
        <v>20339</v>
      </c>
      <c r="D188" s="63">
        <v>165.28</v>
      </c>
      <c r="E188" s="104"/>
      <c r="F188" s="36"/>
    </row>
    <row r="189" spans="1:6">
      <c r="A189" s="130"/>
      <c r="B189" s="76"/>
      <c r="C189" s="52"/>
      <c r="D189" s="63"/>
      <c r="E189" s="104"/>
      <c r="F189" s="36"/>
    </row>
    <row r="190" spans="1:6">
      <c r="A190" s="130"/>
      <c r="B190" s="76"/>
      <c r="C190" s="52"/>
      <c r="D190" s="63"/>
      <c r="E190" s="104"/>
      <c r="F190" s="36"/>
    </row>
    <row r="191" spans="1:6">
      <c r="A191" s="130"/>
      <c r="B191" s="76"/>
      <c r="C191" s="52"/>
      <c r="D191" s="63"/>
      <c r="E191" s="104"/>
      <c r="F191" s="36"/>
    </row>
    <row r="192" spans="1:6">
      <c r="A192" s="130"/>
      <c r="B192" s="76"/>
      <c r="C192" s="52"/>
      <c r="D192" s="63"/>
      <c r="E192" s="104"/>
      <c r="F192" s="36"/>
    </row>
    <row r="193" spans="1:6">
      <c r="A193" s="130"/>
      <c r="B193" s="76"/>
      <c r="C193" s="52"/>
      <c r="D193" s="63"/>
      <c r="E193" s="104"/>
      <c r="F193" s="36"/>
    </row>
    <row r="194" spans="1:6">
      <c r="A194" s="130"/>
      <c r="B194" s="76"/>
      <c r="C194" s="52"/>
      <c r="D194" s="63"/>
      <c r="E194" s="104"/>
      <c r="F194" s="36"/>
    </row>
    <row r="195" spans="1:6">
      <c r="A195" s="444"/>
      <c r="B195" s="195"/>
      <c r="C195" s="478"/>
      <c r="D195" s="106"/>
      <c r="E195" s="107"/>
    </row>
    <row r="196" spans="1:6">
      <c r="A196" s="116"/>
      <c r="B196" s="116"/>
      <c r="C196" s="456" t="s">
        <v>12</v>
      </c>
      <c r="D196" s="479">
        <f>SUM(D2:D195)</f>
        <v>139745.40999999997</v>
      </c>
      <c r="E196" s="480">
        <f>SUM(E2:E195)</f>
        <v>139745.41</v>
      </c>
    </row>
    <row r="197" spans="1:6">
      <c r="A197" s="116"/>
      <c r="B197" s="116"/>
      <c r="C197" s="481" t="s">
        <v>20348</v>
      </c>
      <c r="D197" s="482"/>
      <c r="E197" s="483">
        <f>D196-E196</f>
        <v>0</v>
      </c>
      <c r="F197" s="36"/>
    </row>
    <row r="198" spans="1:6">
      <c r="A198" s="65"/>
      <c r="B198" s="65"/>
      <c r="C198" s="456" t="s">
        <v>20349</v>
      </c>
      <c r="D198" s="484"/>
      <c r="E198" s="485"/>
      <c r="F198" s="154"/>
    </row>
    <row r="199" spans="1:6">
      <c r="C199" s="456" t="s">
        <v>20350</v>
      </c>
      <c r="D199" s="484"/>
      <c r="E199" s="486">
        <f>IF(E198&gt;0,E198-E197,0)</f>
        <v>0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Plan71"/>
  <dimension ref="A1:F581"/>
  <sheetViews>
    <sheetView workbookViewId="0">
      <pane xSplit="5" ySplit="1" topLeftCell="F568" activePane="bottomRight" state="frozen"/>
      <selection pane="bottomRight" activeCell="F1" sqref="F1"/>
      <selection pane="bottomLeft" activeCell="A568" sqref="A568"/>
      <selection pane="topRight" activeCell="F1" sqref="F1"/>
    </sheetView>
  </sheetViews>
  <sheetFormatPr defaultColWidth="11.42578125" defaultRowHeight="13.5"/>
  <cols>
    <col min="1" max="1" width="16.5703125" style="3" customWidth="1"/>
    <col min="2" max="2" width="22.42578125" style="3" customWidth="1"/>
    <col min="3" max="3" width="48.5703125" style="3" customWidth="1"/>
    <col min="4" max="5" width="15.5703125" style="3" customWidth="1"/>
    <col min="6" max="16384" width="11.42578125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75">
        <v>36069</v>
      </c>
      <c r="B2" s="86" t="str">
        <f>TiposLancamentos!B78</f>
        <v>Diferenças</v>
      </c>
      <c r="C2" s="52" t="s">
        <v>20351</v>
      </c>
      <c r="D2" s="63">
        <v>152.12</v>
      </c>
      <c r="E2" s="98"/>
    </row>
    <row r="3" spans="1:6">
      <c r="A3" s="75">
        <v>36088</v>
      </c>
      <c r="B3" s="86" t="str">
        <f>TiposLancamentos!B4</f>
        <v>Taxas Bancarias</v>
      </c>
      <c r="C3" s="52" t="s">
        <v>20352</v>
      </c>
      <c r="D3" s="63"/>
      <c r="E3" s="98">
        <v>0.8</v>
      </c>
    </row>
    <row r="4" spans="1:6">
      <c r="A4" s="75">
        <v>36091</v>
      </c>
      <c r="B4" s="86" t="str">
        <f>TiposLancamentos!B19</f>
        <v>Restaurantes</v>
      </c>
      <c r="C4" s="52" t="s">
        <v>20353</v>
      </c>
      <c r="D4" s="63"/>
      <c r="E4" s="98">
        <v>5.8</v>
      </c>
    </row>
    <row r="5" spans="1:6">
      <c r="A5" s="75">
        <v>36094</v>
      </c>
      <c r="B5" s="86" t="str">
        <f>TiposLancamentos!B20</f>
        <v>Saques</v>
      </c>
      <c r="C5" s="52" t="s">
        <v>2668</v>
      </c>
      <c r="D5" s="63"/>
      <c r="E5" s="98">
        <v>20</v>
      </c>
    </row>
    <row r="6" spans="1:6">
      <c r="A6" s="75">
        <v>36097</v>
      </c>
      <c r="B6" s="86" t="str">
        <f>TiposLancamentos!B20</f>
        <v>Saques</v>
      </c>
      <c r="C6" s="52" t="s">
        <v>2668</v>
      </c>
      <c r="D6" s="63"/>
      <c r="E6" s="98">
        <v>10</v>
      </c>
    </row>
    <row r="7" spans="1:6">
      <c r="A7" s="83"/>
      <c r="B7" s="91"/>
      <c r="C7" s="567" t="s">
        <v>20354</v>
      </c>
      <c r="D7" s="93"/>
      <c r="E7" s="94"/>
    </row>
    <row r="8" spans="1:6">
      <c r="A8" s="75">
        <v>36102</v>
      </c>
      <c r="B8" s="86" t="str">
        <f>TiposLancamentos!B97</f>
        <v>Deposito Terc.</v>
      </c>
      <c r="C8" s="52" t="s">
        <v>20355</v>
      </c>
      <c r="D8" s="63">
        <v>33</v>
      </c>
      <c r="E8" s="98"/>
    </row>
    <row r="9" spans="1:6">
      <c r="A9" s="75">
        <v>36102</v>
      </c>
      <c r="B9" s="86" t="str">
        <f>TiposLancamentos!B64</f>
        <v>Viagens</v>
      </c>
      <c r="C9" s="52" t="s">
        <v>20356</v>
      </c>
      <c r="D9" s="570"/>
      <c r="E9" s="98">
        <v>18.62</v>
      </c>
    </row>
    <row r="10" spans="1:6">
      <c r="A10" s="75">
        <v>36102</v>
      </c>
      <c r="B10" s="86" t="str">
        <f>TiposLancamentos!B15</f>
        <v>Cartões de Crédito</v>
      </c>
      <c r="C10" s="52" t="s">
        <v>16507</v>
      </c>
      <c r="D10" s="568"/>
      <c r="E10" s="98">
        <v>55.28</v>
      </c>
    </row>
    <row r="11" spans="1:6">
      <c r="A11" s="75">
        <v>36103</v>
      </c>
      <c r="B11" s="86" t="str">
        <f>TiposLancamentos!B22</f>
        <v>Combustivel</v>
      </c>
      <c r="C11" s="52" t="s">
        <v>20357</v>
      </c>
      <c r="D11" s="563"/>
      <c r="E11" s="98">
        <v>15</v>
      </c>
    </row>
    <row r="12" spans="1:6">
      <c r="A12" s="75">
        <v>36103</v>
      </c>
      <c r="B12" s="86" t="str">
        <f>TiposLancamentos!B22</f>
        <v>Combustivel</v>
      </c>
      <c r="C12" s="52" t="s">
        <v>20357</v>
      </c>
      <c r="D12" s="563"/>
      <c r="E12" s="98">
        <v>10</v>
      </c>
    </row>
    <row r="13" spans="1:6">
      <c r="A13" s="75">
        <v>36103</v>
      </c>
      <c r="B13" s="86" t="str">
        <f>TiposLancamentos!B97</f>
        <v>Deposito Terc.</v>
      </c>
      <c r="C13" s="52" t="s">
        <v>14514</v>
      </c>
      <c r="D13" s="63">
        <v>50</v>
      </c>
      <c r="E13" s="98"/>
    </row>
    <row r="14" spans="1:6">
      <c r="A14" s="75">
        <v>36109</v>
      </c>
      <c r="B14" s="86" t="str">
        <f>TiposLancamentos!B100</f>
        <v>Emprestimos</v>
      </c>
      <c r="C14" s="52" t="s">
        <v>20358</v>
      </c>
      <c r="D14" s="572"/>
      <c r="E14" s="98">
        <v>33</v>
      </c>
    </row>
    <row r="15" spans="1:6">
      <c r="A15" s="75">
        <v>36112</v>
      </c>
      <c r="B15" s="86" t="str">
        <f>TiposLancamentos!B97</f>
        <v>Deposito Terc.</v>
      </c>
      <c r="C15" s="52" t="s">
        <v>20359</v>
      </c>
      <c r="D15" s="63">
        <v>14</v>
      </c>
      <c r="E15" s="98"/>
    </row>
    <row r="16" spans="1:6">
      <c r="A16" s="75">
        <v>36112</v>
      </c>
      <c r="B16" s="86" t="str">
        <f>TiposLancamentos!B97</f>
        <v>Deposito Terc.</v>
      </c>
      <c r="C16" s="52" t="s">
        <v>20359</v>
      </c>
      <c r="D16" s="63">
        <v>166</v>
      </c>
      <c r="E16" s="98"/>
    </row>
    <row r="17" spans="1:5">
      <c r="A17" s="75">
        <v>36112</v>
      </c>
      <c r="B17" s="86" t="str">
        <f>TiposLancamentos!B95</f>
        <v>Salarios</v>
      </c>
      <c r="C17" s="52" t="s">
        <v>14332</v>
      </c>
      <c r="D17" s="63">
        <v>183.6</v>
      </c>
      <c r="E17" s="98"/>
    </row>
    <row r="18" spans="1:5">
      <c r="A18" s="75">
        <v>36115</v>
      </c>
      <c r="B18" s="86" t="str">
        <f>TiposLancamentos!B20</f>
        <v>Saques</v>
      </c>
      <c r="C18" s="52" t="s">
        <v>20360</v>
      </c>
      <c r="D18" s="134"/>
      <c r="E18" s="98">
        <v>20</v>
      </c>
    </row>
    <row r="19" spans="1:5">
      <c r="A19" s="75">
        <v>36116</v>
      </c>
      <c r="B19" s="86" t="str">
        <f>TiposLancamentos!B25</f>
        <v>CD_DVD_BD</v>
      </c>
      <c r="C19" s="52" t="s">
        <v>20361</v>
      </c>
      <c r="D19" s="563"/>
      <c r="E19" s="98">
        <v>17.899999999999999</v>
      </c>
    </row>
    <row r="20" spans="1:5">
      <c r="A20" s="75">
        <v>36117</v>
      </c>
      <c r="B20" s="86" t="str">
        <f>TiposLancamentos!B20</f>
        <v>Saques</v>
      </c>
      <c r="C20" s="52" t="s">
        <v>20360</v>
      </c>
      <c r="D20" s="134"/>
      <c r="E20" s="98">
        <v>60</v>
      </c>
    </row>
    <row r="21" spans="1:5">
      <c r="A21" s="75">
        <v>36117</v>
      </c>
      <c r="B21" s="86" t="str">
        <f>TiposLancamentos!B20</f>
        <v>Saques</v>
      </c>
      <c r="C21" s="52" t="s">
        <v>20360</v>
      </c>
      <c r="D21" s="134"/>
      <c r="E21" s="98">
        <v>100</v>
      </c>
    </row>
    <row r="22" spans="1:5">
      <c r="A22" s="75">
        <v>36118</v>
      </c>
      <c r="B22" s="86" t="str">
        <f>TiposLancamentos!B20</f>
        <v>Saques</v>
      </c>
      <c r="C22" s="52" t="s">
        <v>2668</v>
      </c>
      <c r="D22" s="563"/>
      <c r="E22" s="98">
        <v>40</v>
      </c>
    </row>
    <row r="23" spans="1:5">
      <c r="A23" s="75">
        <v>36119</v>
      </c>
      <c r="B23" s="86" t="str">
        <f>TiposLancamentos!B19</f>
        <v>Restaurantes</v>
      </c>
      <c r="C23" s="52" t="s">
        <v>20353</v>
      </c>
      <c r="D23" s="134"/>
      <c r="E23" s="98">
        <v>4</v>
      </c>
    </row>
    <row r="24" spans="1:5">
      <c r="A24" s="75">
        <v>36122</v>
      </c>
      <c r="B24" s="86" t="str">
        <f>TiposLancamentos!B20</f>
        <v>Saques</v>
      </c>
      <c r="C24" s="52" t="s">
        <v>2668</v>
      </c>
      <c r="D24" s="579"/>
      <c r="E24" s="98">
        <v>3</v>
      </c>
    </row>
    <row r="25" spans="1:5">
      <c r="A25" s="75">
        <v>36123</v>
      </c>
      <c r="B25" s="86" t="str">
        <f>TiposLancamentos!B57</f>
        <v>Informática</v>
      </c>
      <c r="C25" s="52" t="s">
        <v>20362</v>
      </c>
      <c r="D25" s="134"/>
      <c r="E25" s="98">
        <v>49</v>
      </c>
    </row>
    <row r="26" spans="1:5">
      <c r="A26" s="75">
        <v>36124</v>
      </c>
      <c r="B26" s="86" t="str">
        <f>TiposLancamentos!B22</f>
        <v>Combustivel</v>
      </c>
      <c r="C26" s="52" t="s">
        <v>20357</v>
      </c>
      <c r="D26" s="563"/>
      <c r="E26" s="98">
        <v>10</v>
      </c>
    </row>
    <row r="27" spans="1:5">
      <c r="A27" s="75">
        <v>36127</v>
      </c>
      <c r="B27" s="86" t="str">
        <f>TiposLancamentos!B20</f>
        <v>Saques</v>
      </c>
      <c r="C27" s="52" t="s">
        <v>2668</v>
      </c>
      <c r="D27" s="134"/>
      <c r="E27" s="98">
        <v>20</v>
      </c>
    </row>
    <row r="28" spans="1:5">
      <c r="A28" s="79">
        <v>36127</v>
      </c>
      <c r="B28" s="95" t="str">
        <f>TiposLancamentos!B4</f>
        <v>Taxas Bancarias</v>
      </c>
      <c r="C28" s="477" t="s">
        <v>14504</v>
      </c>
      <c r="D28" s="569"/>
      <c r="E28" s="97">
        <v>1.25</v>
      </c>
    </row>
    <row r="29" spans="1:5">
      <c r="A29" s="83"/>
      <c r="B29" s="91"/>
      <c r="C29" s="43" t="s">
        <v>20363</v>
      </c>
      <c r="D29" s="93"/>
      <c r="E29" s="94"/>
    </row>
    <row r="30" spans="1:5">
      <c r="A30" s="75">
        <v>36130</v>
      </c>
      <c r="B30" s="86" t="str">
        <f>TiposLancamentos!B98</f>
        <v>Restituições</v>
      </c>
      <c r="C30" s="52" t="s">
        <v>20364</v>
      </c>
      <c r="D30" s="63">
        <v>170</v>
      </c>
      <c r="E30" s="147"/>
    </row>
    <row r="31" spans="1:5">
      <c r="A31" s="75">
        <v>36130</v>
      </c>
      <c r="B31" s="86" t="str">
        <f>TiposLancamentos!B4</f>
        <v>Taxas Bancarias</v>
      </c>
      <c r="C31" s="52" t="s">
        <v>14504</v>
      </c>
      <c r="D31" s="563"/>
      <c r="E31" s="98">
        <v>0.48</v>
      </c>
    </row>
    <row r="32" spans="1:5">
      <c r="A32" s="75">
        <v>36130</v>
      </c>
      <c r="B32" s="86" t="str">
        <f>TiposLancamentos!B73</f>
        <v>Cursos</v>
      </c>
      <c r="C32" s="52" t="s">
        <v>12669</v>
      </c>
      <c r="D32" s="572"/>
      <c r="E32" s="98">
        <v>171</v>
      </c>
    </row>
    <row r="33" spans="1:5">
      <c r="A33" s="75">
        <v>36131</v>
      </c>
      <c r="B33" s="86" t="str">
        <f>TiposLancamentos!B98</f>
        <v>Restituições</v>
      </c>
      <c r="C33" s="52" t="s">
        <v>20365</v>
      </c>
      <c r="D33" s="63">
        <v>35</v>
      </c>
      <c r="E33" s="98"/>
    </row>
    <row r="34" spans="1:5">
      <c r="A34" s="75">
        <v>36134</v>
      </c>
      <c r="B34" s="86" t="str">
        <f>TiposLancamentos!B25</f>
        <v>CD_DVD_BD</v>
      </c>
      <c r="C34" s="52" t="s">
        <v>20366</v>
      </c>
      <c r="D34" s="572"/>
      <c r="E34" s="98">
        <v>39.799999999999997</v>
      </c>
    </row>
    <row r="35" spans="1:5">
      <c r="A35" s="75">
        <v>36136</v>
      </c>
      <c r="B35" s="86" t="str">
        <f>TiposLancamentos!B15</f>
        <v>Cartões de Crédito</v>
      </c>
      <c r="C35" s="52" t="s">
        <v>16507</v>
      </c>
      <c r="D35" s="568"/>
      <c r="E35" s="98">
        <v>21.65</v>
      </c>
    </row>
    <row r="36" spans="1:5">
      <c r="A36" s="75">
        <v>36136</v>
      </c>
      <c r="B36" s="86" t="str">
        <f>TiposLancamentos!B100</f>
        <v>Emprestimos</v>
      </c>
      <c r="C36" s="52" t="s">
        <v>20358</v>
      </c>
      <c r="D36" s="572"/>
      <c r="E36" s="98">
        <v>32.799999999999997</v>
      </c>
    </row>
    <row r="37" spans="1:5">
      <c r="A37" s="75">
        <v>36136</v>
      </c>
      <c r="B37" s="86" t="str">
        <f>TiposLancamentos!B97</f>
        <v>Deposito Terc.</v>
      </c>
      <c r="C37" s="52" t="s">
        <v>14514</v>
      </c>
      <c r="D37" s="63">
        <v>50</v>
      </c>
      <c r="E37" s="98"/>
    </row>
    <row r="38" spans="1:5">
      <c r="A38" s="75">
        <v>36137</v>
      </c>
      <c r="B38" s="86" t="str">
        <f>TiposLancamentos!B70</f>
        <v>Vestuário</v>
      </c>
      <c r="C38" s="52" t="s">
        <v>20367</v>
      </c>
      <c r="D38" s="570"/>
      <c r="E38" s="98">
        <v>12.9</v>
      </c>
    </row>
    <row r="39" spans="1:5">
      <c r="A39" s="75">
        <v>36137</v>
      </c>
      <c r="B39" s="86" t="str">
        <f>TiposLancamentos!B70</f>
        <v>Vestuário</v>
      </c>
      <c r="C39" s="52" t="s">
        <v>20368</v>
      </c>
      <c r="D39" s="570"/>
      <c r="E39" s="98">
        <v>19.899999999999999</v>
      </c>
    </row>
    <row r="40" spans="1:5">
      <c r="A40" s="75">
        <v>36149</v>
      </c>
      <c r="B40" s="86" t="str">
        <f>TiposLancamentos!B70</f>
        <v>Vestuário</v>
      </c>
      <c r="C40" s="52" t="s">
        <v>20369</v>
      </c>
      <c r="D40" s="568"/>
      <c r="E40" s="98">
        <v>45</v>
      </c>
    </row>
    <row r="41" spans="1:5">
      <c r="A41" s="75">
        <v>36151</v>
      </c>
      <c r="B41" s="86" t="str">
        <f>TiposLancamentos!B71</f>
        <v>Itens Pessoais</v>
      </c>
      <c r="C41" s="52" t="s">
        <v>20370</v>
      </c>
      <c r="D41" s="563"/>
      <c r="E41" s="98">
        <v>5</v>
      </c>
    </row>
    <row r="42" spans="1:5">
      <c r="A42" s="79">
        <v>36157</v>
      </c>
      <c r="B42" s="95" t="str">
        <f>TiposLancamentos!B97</f>
        <v>Deposito Terc.</v>
      </c>
      <c r="C42" s="477" t="s">
        <v>14514</v>
      </c>
      <c r="D42" s="85">
        <v>231</v>
      </c>
      <c r="E42" s="97"/>
    </row>
    <row r="43" spans="1:5">
      <c r="A43" s="83"/>
      <c r="B43" s="91"/>
      <c r="C43" s="567" t="s">
        <v>12670</v>
      </c>
      <c r="D43" s="93"/>
      <c r="E43" s="94"/>
    </row>
    <row r="44" spans="1:5">
      <c r="A44" s="75">
        <v>36165</v>
      </c>
      <c r="B44" s="86" t="str">
        <f>TiposLancamentos!B97</f>
        <v>Deposito Terc.</v>
      </c>
      <c r="C44" s="52" t="s">
        <v>14514</v>
      </c>
      <c r="D44" s="63">
        <v>20</v>
      </c>
      <c r="E44" s="98"/>
    </row>
    <row r="45" spans="1:5">
      <c r="A45" s="75">
        <v>36165</v>
      </c>
      <c r="B45" s="86" t="str">
        <f>TiposLancamentos!B73</f>
        <v>Cursos</v>
      </c>
      <c r="C45" s="52" t="s">
        <v>12671</v>
      </c>
      <c r="D45" s="572"/>
      <c r="E45" s="98">
        <v>171</v>
      </c>
    </row>
    <row r="46" spans="1:5">
      <c r="A46" s="75">
        <v>36165</v>
      </c>
      <c r="B46" s="86" t="str">
        <f>TiposLancamentos!B15</f>
        <v>Cartões de Crédito</v>
      </c>
      <c r="C46" s="52" t="s">
        <v>16507</v>
      </c>
      <c r="D46" s="568"/>
      <c r="E46" s="98">
        <v>75.099999999999994</v>
      </c>
    </row>
    <row r="47" spans="1:5">
      <c r="A47" s="75">
        <v>36168</v>
      </c>
      <c r="B47" s="86" t="str">
        <f>TiposLancamentos!B15</f>
        <v>Cartões de Crédito</v>
      </c>
      <c r="C47" s="52" t="s">
        <v>20371</v>
      </c>
      <c r="D47" s="570"/>
      <c r="E47" s="98">
        <v>15</v>
      </c>
    </row>
    <row r="48" spans="1:5">
      <c r="A48" s="75">
        <v>36175</v>
      </c>
      <c r="B48" s="86" t="str">
        <f>TiposLancamentos!B4</f>
        <v>Taxas Bancarias</v>
      </c>
      <c r="C48" s="52" t="s">
        <v>14504</v>
      </c>
      <c r="D48" s="572"/>
      <c r="E48" s="98">
        <v>1.24</v>
      </c>
    </row>
    <row r="49" spans="1:5">
      <c r="A49" s="75">
        <v>36185</v>
      </c>
      <c r="B49" s="86" t="str">
        <f>TiposLancamentos!B97</f>
        <v>Deposito Terc.</v>
      </c>
      <c r="C49" s="52" t="s">
        <v>14514</v>
      </c>
      <c r="D49" s="63">
        <v>20</v>
      </c>
      <c r="E49" s="98"/>
    </row>
    <row r="50" spans="1:5">
      <c r="A50" s="79">
        <v>36185</v>
      </c>
      <c r="B50" s="95" t="str">
        <f>TiposLancamentos!B4</f>
        <v>Taxas Bancarias</v>
      </c>
      <c r="C50" s="477" t="s">
        <v>20372</v>
      </c>
      <c r="D50" s="169"/>
      <c r="E50" s="97">
        <v>3</v>
      </c>
    </row>
    <row r="51" spans="1:5">
      <c r="A51" s="83"/>
      <c r="B51" s="91"/>
      <c r="C51" s="43" t="s">
        <v>20373</v>
      </c>
      <c r="D51" s="93"/>
      <c r="E51" s="94"/>
    </row>
    <row r="52" spans="1:5">
      <c r="A52" s="75">
        <v>36194</v>
      </c>
      <c r="B52" s="86" t="str">
        <f>TiposLancamentos!B73</f>
        <v>Cursos</v>
      </c>
      <c r="C52" s="52" t="s">
        <v>20374</v>
      </c>
      <c r="D52" s="568"/>
      <c r="E52" s="98">
        <v>14.72</v>
      </c>
    </row>
    <row r="53" spans="1:5">
      <c r="A53" s="75">
        <v>36199</v>
      </c>
      <c r="B53" s="86" t="str">
        <f>TiposLancamentos!B97</f>
        <v>Deposito Terc.</v>
      </c>
      <c r="C53" s="52" t="s">
        <v>14514</v>
      </c>
      <c r="D53" s="63">
        <v>20</v>
      </c>
      <c r="E53" s="98"/>
    </row>
    <row r="54" spans="1:5">
      <c r="A54" s="75">
        <v>36201</v>
      </c>
      <c r="B54" s="86" t="str">
        <f>TiposLancamentos!B4</f>
        <v>Taxas Bancarias</v>
      </c>
      <c r="C54" s="52" t="s">
        <v>20372</v>
      </c>
      <c r="D54" s="568"/>
      <c r="E54" s="98">
        <v>3</v>
      </c>
    </row>
    <row r="55" spans="1:5">
      <c r="A55" s="75">
        <v>36213</v>
      </c>
      <c r="B55" s="86" t="str">
        <f>TiposLancamentos!B71</f>
        <v>Itens Pessoais</v>
      </c>
      <c r="C55" s="52" t="s">
        <v>20375</v>
      </c>
      <c r="D55" s="568"/>
      <c r="E55" s="98">
        <v>6.94</v>
      </c>
    </row>
    <row r="56" spans="1:5" ht="12.75" customHeight="1">
      <c r="A56" s="79">
        <v>36213</v>
      </c>
      <c r="B56" s="95" t="str">
        <f>TiposLancamentos!B97</f>
        <v>Deposito Terc.</v>
      </c>
      <c r="C56" s="477" t="s">
        <v>14514</v>
      </c>
      <c r="D56" s="85">
        <v>20</v>
      </c>
      <c r="E56" s="97"/>
    </row>
    <row r="57" spans="1:5" ht="12.75" customHeight="1">
      <c r="A57" s="75"/>
      <c r="B57" s="86"/>
      <c r="C57" s="52" t="s">
        <v>20376</v>
      </c>
      <c r="D57" s="63"/>
      <c r="E57" s="98"/>
    </row>
    <row r="58" spans="1:5" ht="12.75" customHeight="1">
      <c r="A58" s="75">
        <v>36221</v>
      </c>
      <c r="B58" s="86" t="str">
        <f>TiposLancamentos!B20</f>
        <v>Saques</v>
      </c>
      <c r="C58" s="52" t="s">
        <v>2668</v>
      </c>
      <c r="D58" s="563"/>
      <c r="E58" s="98">
        <v>10</v>
      </c>
    </row>
    <row r="59" spans="1:5" ht="12.75" customHeight="1">
      <c r="A59" s="75">
        <v>36221</v>
      </c>
      <c r="B59" s="86" t="str">
        <f>TiposLancamentos!B97</f>
        <v>Deposito Terc.</v>
      </c>
      <c r="C59" s="52" t="s">
        <v>14514</v>
      </c>
      <c r="D59" s="63">
        <v>40</v>
      </c>
      <c r="E59" s="98"/>
    </row>
    <row r="60" spans="1:5" ht="12.75" customHeight="1">
      <c r="A60" s="75">
        <v>36222</v>
      </c>
      <c r="B60" s="86" t="str">
        <f>TiposLancamentos!B20</f>
        <v>Saques</v>
      </c>
      <c r="C60" s="52" t="s">
        <v>2668</v>
      </c>
      <c r="D60" s="134"/>
      <c r="E60" s="98">
        <v>20</v>
      </c>
    </row>
    <row r="61" spans="1:5" ht="12.75" customHeight="1">
      <c r="A61" s="75">
        <v>36224</v>
      </c>
      <c r="B61" s="86" t="str">
        <f>TiposLancamentos!B15</f>
        <v>Cartões de Crédito</v>
      </c>
      <c r="C61" s="52" t="s">
        <v>16507</v>
      </c>
      <c r="D61" s="568"/>
      <c r="E61" s="98">
        <v>18.66</v>
      </c>
    </row>
    <row r="62" spans="1:5" ht="12.75" customHeight="1">
      <c r="A62" s="75">
        <v>36226</v>
      </c>
      <c r="B62" s="86" t="str">
        <f>TiposLancamentos!B19</f>
        <v>Restaurantes</v>
      </c>
      <c r="C62" s="52" t="s">
        <v>2654</v>
      </c>
      <c r="D62" s="563"/>
      <c r="E62" s="98">
        <v>8.9</v>
      </c>
    </row>
    <row r="63" spans="1:5" ht="12.75" customHeight="1">
      <c r="A63" s="75">
        <v>36227</v>
      </c>
      <c r="B63" s="86" t="str">
        <f>TiposLancamentos!B27</f>
        <v>Jornais e revistas</v>
      </c>
      <c r="C63" s="52" t="s">
        <v>20377</v>
      </c>
      <c r="D63" s="563"/>
      <c r="E63" s="98">
        <v>10</v>
      </c>
    </row>
    <row r="64" spans="1:5" ht="12.75" customHeight="1">
      <c r="A64" s="75">
        <v>36229</v>
      </c>
      <c r="B64" s="86" t="str">
        <f>TiposLancamentos!B4</f>
        <v>Taxas Bancarias</v>
      </c>
      <c r="C64" s="52" t="s">
        <v>20372</v>
      </c>
      <c r="D64" s="568"/>
      <c r="E64" s="98">
        <v>3</v>
      </c>
    </row>
    <row r="65" spans="1:5" ht="12.75" customHeight="1">
      <c r="A65" s="75">
        <v>36230</v>
      </c>
      <c r="B65" s="86" t="str">
        <f>TiposLancamentos!B95</f>
        <v>Salarios</v>
      </c>
      <c r="C65" s="52" t="s">
        <v>20378</v>
      </c>
      <c r="D65" s="63">
        <v>100</v>
      </c>
      <c r="E65" s="98"/>
    </row>
    <row r="66" spans="1:5" ht="12.75" customHeight="1">
      <c r="A66" s="75">
        <v>36230</v>
      </c>
      <c r="B66" s="86" t="str">
        <f>TiposLancamentos!B71</f>
        <v>Itens Pessoais</v>
      </c>
      <c r="C66" s="52" t="s">
        <v>20379</v>
      </c>
      <c r="D66" s="134"/>
      <c r="E66" s="98">
        <v>46</v>
      </c>
    </row>
    <row r="67" spans="1:5">
      <c r="A67" s="75">
        <v>36241</v>
      </c>
      <c r="B67" s="86" t="str">
        <f>TiposLancamentos!B97</f>
        <v>Deposito Terc.</v>
      </c>
      <c r="C67" s="52" t="s">
        <v>14514</v>
      </c>
      <c r="D67" s="63">
        <v>30</v>
      </c>
      <c r="E67" s="98"/>
    </row>
    <row r="68" spans="1:5">
      <c r="A68" s="75">
        <v>36245</v>
      </c>
      <c r="B68" s="86" t="str">
        <f>TiposLancamentos!B97</f>
        <v>Deposito Terc.</v>
      </c>
      <c r="C68" s="52" t="s">
        <v>14514</v>
      </c>
      <c r="D68" s="63">
        <v>30</v>
      </c>
      <c r="E68" s="98"/>
    </row>
    <row r="69" spans="1:5">
      <c r="A69" s="75">
        <v>36245</v>
      </c>
      <c r="B69" s="86" t="str">
        <f>TiposLancamentos!B57</f>
        <v>Informática</v>
      </c>
      <c r="C69" s="52" t="s">
        <v>20380</v>
      </c>
      <c r="D69" s="570"/>
      <c r="E69" s="98">
        <v>6.95</v>
      </c>
    </row>
    <row r="70" spans="1:5">
      <c r="A70" s="75">
        <v>36245</v>
      </c>
      <c r="B70" s="86" t="str">
        <f>TiposLancamentos!B71</f>
        <v>Itens Pessoais</v>
      </c>
      <c r="C70" s="52" t="s">
        <v>12674</v>
      </c>
      <c r="D70" s="568"/>
      <c r="E70" s="98">
        <v>30.8</v>
      </c>
    </row>
    <row r="71" spans="1:5">
      <c r="A71" s="75">
        <v>36246</v>
      </c>
      <c r="B71" s="86" t="str">
        <f>TiposLancamentos!B5</f>
        <v>Supermercado</v>
      </c>
      <c r="C71" s="52" t="s">
        <v>20381</v>
      </c>
      <c r="D71" s="134"/>
      <c r="E71" s="98">
        <v>20.18</v>
      </c>
    </row>
    <row r="72" spans="1:5">
      <c r="A72" s="75">
        <v>36249</v>
      </c>
      <c r="B72" s="86" t="str">
        <f>TiposLancamentos!B97</f>
        <v>Deposito Terc.</v>
      </c>
      <c r="C72" s="52" t="s">
        <v>20382</v>
      </c>
      <c r="D72" s="63">
        <v>30</v>
      </c>
      <c r="E72" s="98"/>
    </row>
    <row r="73" spans="1:5">
      <c r="A73" s="83"/>
      <c r="B73" s="91"/>
      <c r="C73" s="43" t="s">
        <v>12675</v>
      </c>
      <c r="D73" s="93"/>
      <c r="E73" s="94"/>
    </row>
    <row r="74" spans="1:5">
      <c r="A74" s="75">
        <v>36255</v>
      </c>
      <c r="B74" s="86" t="str">
        <f>TiposLancamentos!B97</f>
        <v>Deposito Terc.</v>
      </c>
      <c r="C74" s="52" t="s">
        <v>14514</v>
      </c>
      <c r="D74" s="63">
        <v>20</v>
      </c>
      <c r="E74" s="98"/>
    </row>
    <row r="75" spans="1:5">
      <c r="A75" s="75">
        <v>36256</v>
      </c>
      <c r="B75" s="86" t="str">
        <f>TiposLancamentos!B97</f>
        <v>Deposito Terc.</v>
      </c>
      <c r="C75" s="52" t="s">
        <v>20383</v>
      </c>
      <c r="D75" s="63">
        <v>40</v>
      </c>
      <c r="E75" s="98"/>
    </row>
    <row r="76" spans="1:5">
      <c r="A76" s="75">
        <v>36256</v>
      </c>
      <c r="B76" s="86" t="str">
        <f>TiposLancamentos!B58</f>
        <v>Fotografias</v>
      </c>
      <c r="C76" s="52" t="s">
        <v>20384</v>
      </c>
      <c r="D76" s="563"/>
      <c r="E76" s="98">
        <v>10.45</v>
      </c>
    </row>
    <row r="77" spans="1:5">
      <c r="A77" s="75">
        <v>36257</v>
      </c>
      <c r="B77" s="86" t="str">
        <f>TiposLancamentos!B15</f>
        <v>Cartões de Crédito</v>
      </c>
      <c r="C77" s="52" t="s">
        <v>16507</v>
      </c>
      <c r="D77" s="568"/>
      <c r="E77" s="98">
        <v>73.709999999999994</v>
      </c>
    </row>
    <row r="78" spans="1:5">
      <c r="A78" s="75">
        <v>36258</v>
      </c>
      <c r="B78" s="86" t="str">
        <f>TiposLancamentos!B73</f>
        <v>Cursos</v>
      </c>
      <c r="C78" s="52" t="s">
        <v>20385</v>
      </c>
      <c r="D78" s="134"/>
      <c r="E78" s="98">
        <v>40</v>
      </c>
    </row>
    <row r="79" spans="1:5">
      <c r="A79" s="75">
        <v>36258</v>
      </c>
      <c r="B79" s="86" t="str">
        <f>TiposLancamentos!B20</f>
        <v>Saques</v>
      </c>
      <c r="C79" s="52" t="s">
        <v>2668</v>
      </c>
      <c r="D79" s="563"/>
      <c r="E79" s="98">
        <v>10</v>
      </c>
    </row>
    <row r="80" spans="1:5">
      <c r="A80" s="75">
        <v>36260</v>
      </c>
      <c r="B80" s="86" t="str">
        <f>TiposLancamentos!B4</f>
        <v>Taxas Bancarias</v>
      </c>
      <c r="C80" s="52" t="s">
        <v>20372</v>
      </c>
      <c r="D80" s="568"/>
      <c r="E80" s="98">
        <v>3</v>
      </c>
    </row>
    <row r="81" spans="1:5">
      <c r="A81" s="75">
        <v>36260</v>
      </c>
      <c r="B81" s="86" t="str">
        <f>TiposLancamentos!B15</f>
        <v>Cartões de Crédito</v>
      </c>
      <c r="C81" s="52" t="s">
        <v>20386</v>
      </c>
      <c r="D81" s="570"/>
      <c r="E81" s="98">
        <v>15</v>
      </c>
    </row>
    <row r="82" spans="1:5">
      <c r="A82" s="75">
        <v>36261</v>
      </c>
      <c r="B82" s="86" t="str">
        <f>TiposLancamentos!B19</f>
        <v>Restaurantes</v>
      </c>
      <c r="C82" s="52" t="s">
        <v>2654</v>
      </c>
      <c r="D82" s="563"/>
      <c r="E82" s="98">
        <v>7.7</v>
      </c>
    </row>
    <row r="83" spans="1:5">
      <c r="A83" s="75">
        <v>36263</v>
      </c>
      <c r="B83" s="86" t="str">
        <f>TiposLancamentos!B97</f>
        <v>Deposito Terc.</v>
      </c>
      <c r="C83" s="52" t="s">
        <v>14514</v>
      </c>
      <c r="D83" s="63">
        <v>30</v>
      </c>
      <c r="E83" s="98"/>
    </row>
    <row r="84" spans="1:5">
      <c r="A84" s="75">
        <v>36265</v>
      </c>
      <c r="B84" s="86" t="str">
        <f>TiposLancamentos!B71</f>
        <v>Itens Pessoais</v>
      </c>
      <c r="C84" s="52" t="s">
        <v>20387</v>
      </c>
      <c r="D84" s="563"/>
      <c r="E84" s="98">
        <v>11</v>
      </c>
    </row>
    <row r="85" spans="1:5">
      <c r="A85" s="75">
        <v>36269</v>
      </c>
      <c r="B85" s="86" t="str">
        <f>TiposLancamentos!B97</f>
        <v>Deposito Terc.</v>
      </c>
      <c r="C85" s="52" t="s">
        <v>14514</v>
      </c>
      <c r="D85" s="63">
        <v>25</v>
      </c>
      <c r="E85" s="98"/>
    </row>
    <row r="86" spans="1:5" ht="12.75" customHeight="1">
      <c r="A86" s="75">
        <v>36276</v>
      </c>
      <c r="B86" s="86" t="str">
        <f>TiposLancamentos!B71</f>
        <v>Itens Pessoais</v>
      </c>
      <c r="C86" s="52" t="s">
        <v>12676</v>
      </c>
      <c r="D86" s="568"/>
      <c r="E86" s="98">
        <v>24.3</v>
      </c>
    </row>
    <row r="87" spans="1:5" ht="12.75" customHeight="1">
      <c r="A87" s="75">
        <v>36279</v>
      </c>
      <c r="B87" s="86" t="str">
        <f>TiposLancamentos!B97</f>
        <v>Deposito Terc.</v>
      </c>
      <c r="C87" s="52" t="s">
        <v>20388</v>
      </c>
      <c r="D87" s="63">
        <v>15</v>
      </c>
      <c r="E87" s="98"/>
    </row>
    <row r="88" spans="1:5" ht="12.75" customHeight="1">
      <c r="A88" s="75">
        <v>36280</v>
      </c>
      <c r="B88" s="86" t="str">
        <f>TiposLancamentos!B97</f>
        <v>Deposito Terc.</v>
      </c>
      <c r="C88" s="52" t="s">
        <v>20389</v>
      </c>
      <c r="D88" s="63">
        <v>40.25</v>
      </c>
      <c r="E88" s="98"/>
    </row>
    <row r="89" spans="1:5" ht="12.75" customHeight="1">
      <c r="A89" s="79">
        <v>36280</v>
      </c>
      <c r="B89" s="95" t="str">
        <f>TiposLancamentos!B71</f>
        <v>Itens Pessoais</v>
      </c>
      <c r="C89" s="477" t="s">
        <v>20390</v>
      </c>
      <c r="D89" s="639"/>
      <c r="E89" s="97">
        <v>62.4</v>
      </c>
    </row>
    <row r="90" spans="1:5" ht="12.75" customHeight="1">
      <c r="A90" s="75"/>
      <c r="B90" s="86"/>
      <c r="C90" s="52" t="s">
        <v>12677</v>
      </c>
      <c r="D90" s="63"/>
      <c r="E90" s="98"/>
    </row>
    <row r="91" spans="1:5" ht="12.75" customHeight="1">
      <c r="A91" s="75">
        <v>36284</v>
      </c>
      <c r="B91" s="86" t="str">
        <f>TiposLancamentos!B97</f>
        <v>Deposito Terc.</v>
      </c>
      <c r="C91" s="52" t="s">
        <v>14514</v>
      </c>
      <c r="D91" s="63">
        <v>40</v>
      </c>
      <c r="E91" s="98"/>
    </row>
    <row r="92" spans="1:5" ht="12.75" customHeight="1">
      <c r="A92" s="75">
        <v>36286</v>
      </c>
      <c r="B92" s="86" t="str">
        <f>TiposLancamentos!B15</f>
        <v>Cartões de Crédito</v>
      </c>
      <c r="C92" s="52" t="s">
        <v>16507</v>
      </c>
      <c r="D92" s="568"/>
      <c r="E92" s="98">
        <v>40.520000000000003</v>
      </c>
    </row>
    <row r="93" spans="1:5" ht="12.75" customHeight="1">
      <c r="A93" s="75">
        <v>36294</v>
      </c>
      <c r="B93" s="86" t="str">
        <f>TiposLancamentos!B95</f>
        <v>Salarios</v>
      </c>
      <c r="C93" s="52" t="s">
        <v>20391</v>
      </c>
      <c r="D93" s="63">
        <v>75</v>
      </c>
      <c r="E93" s="98"/>
    </row>
    <row r="94" spans="1:5" ht="12.75" customHeight="1">
      <c r="A94" s="75">
        <v>36294</v>
      </c>
      <c r="B94" s="86" t="str">
        <f>TiposLancamentos!B4</f>
        <v>Taxas Bancarias</v>
      </c>
      <c r="C94" s="52" t="s">
        <v>20372</v>
      </c>
      <c r="D94" s="568"/>
      <c r="E94" s="98">
        <v>3</v>
      </c>
    </row>
    <row r="95" spans="1:5" ht="12.75" customHeight="1">
      <c r="A95" s="75">
        <v>36294</v>
      </c>
      <c r="B95" s="86" t="str">
        <f>TiposLancamentos!B19</f>
        <v>Restaurantes</v>
      </c>
      <c r="C95" s="52" t="s">
        <v>20353</v>
      </c>
      <c r="D95" s="134"/>
      <c r="E95" s="98">
        <v>11.9</v>
      </c>
    </row>
    <row r="96" spans="1:5" ht="12.75" customHeight="1">
      <c r="A96" s="75">
        <v>36295</v>
      </c>
      <c r="B96" s="86" t="str">
        <f>TiposLancamentos!B58</f>
        <v>Fotografias</v>
      </c>
      <c r="C96" s="52" t="s">
        <v>20392</v>
      </c>
      <c r="D96" s="568"/>
      <c r="E96" s="98">
        <v>18.399999999999999</v>
      </c>
    </row>
    <row r="97" spans="1:5" ht="12.75" customHeight="1">
      <c r="A97" s="75">
        <v>36296</v>
      </c>
      <c r="B97" s="86" t="str">
        <f>TiposLancamentos!B19</f>
        <v>Restaurantes</v>
      </c>
      <c r="C97" s="52" t="s">
        <v>20393</v>
      </c>
      <c r="D97" s="134"/>
      <c r="E97" s="98">
        <v>6.3</v>
      </c>
    </row>
    <row r="98" spans="1:5" ht="12.75" customHeight="1">
      <c r="A98" s="75">
        <v>36297</v>
      </c>
      <c r="B98" s="86" t="str">
        <f>TiposLancamentos!B56</f>
        <v>Farmácia</v>
      </c>
      <c r="C98" s="52" t="s">
        <v>20394</v>
      </c>
      <c r="D98" s="568"/>
      <c r="E98" s="98">
        <v>9.8000000000000007</v>
      </c>
    </row>
    <row r="99" spans="1:5" ht="12.75" customHeight="1">
      <c r="A99" s="75">
        <v>36304</v>
      </c>
      <c r="B99" s="86" t="str">
        <f>TiposLancamentos!B97</f>
        <v>Deposito Terc.</v>
      </c>
      <c r="C99" s="52" t="s">
        <v>14514</v>
      </c>
      <c r="D99" s="63">
        <v>20</v>
      </c>
      <c r="E99" s="98"/>
    </row>
    <row r="100" spans="1:5" ht="12.75" customHeight="1">
      <c r="A100" s="75">
        <v>36306</v>
      </c>
      <c r="B100" s="86" t="str">
        <f>TiposLancamentos!B71</f>
        <v>Itens Pessoais</v>
      </c>
      <c r="C100" s="52" t="s">
        <v>12678</v>
      </c>
      <c r="D100" s="568"/>
      <c r="E100" s="98">
        <v>24.3</v>
      </c>
    </row>
    <row r="101" spans="1:5">
      <c r="A101" s="75">
        <v>36308</v>
      </c>
      <c r="B101" s="86" t="str">
        <f>TiposLancamentos!B95</f>
        <v>Salarios</v>
      </c>
      <c r="C101" s="52" t="s">
        <v>20395</v>
      </c>
      <c r="D101" s="63">
        <v>60</v>
      </c>
      <c r="E101" s="98"/>
    </row>
    <row r="102" spans="1:5">
      <c r="A102" s="75">
        <v>36311</v>
      </c>
      <c r="B102" s="86" t="str">
        <f>TiposLancamentos!B64</f>
        <v>Viagens</v>
      </c>
      <c r="C102" s="52" t="s">
        <v>20356</v>
      </c>
      <c r="D102" s="570"/>
      <c r="E102" s="98">
        <v>20.36</v>
      </c>
    </row>
    <row r="103" spans="1:5">
      <c r="A103" s="75"/>
      <c r="B103" s="86"/>
      <c r="C103" s="52" t="s">
        <v>12679</v>
      </c>
      <c r="D103" s="63"/>
      <c r="E103" s="98"/>
    </row>
    <row r="104" spans="1:5">
      <c r="A104" s="83">
        <v>36313</v>
      </c>
      <c r="B104" s="91" t="str">
        <f>TiposLancamentos!B15</f>
        <v>Cartões de Crédito</v>
      </c>
      <c r="C104" s="43" t="s">
        <v>16507</v>
      </c>
      <c r="D104" s="640"/>
      <c r="E104" s="94">
        <v>21.9</v>
      </c>
    </row>
    <row r="105" spans="1:5">
      <c r="A105" s="75">
        <v>36313</v>
      </c>
      <c r="B105" s="86" t="str">
        <f>TiposLancamentos!B71</f>
        <v>Itens Pessoais</v>
      </c>
      <c r="C105" s="52" t="s">
        <v>20396</v>
      </c>
      <c r="D105" s="134"/>
      <c r="E105" s="98">
        <v>10.8</v>
      </c>
    </row>
    <row r="106" spans="1:5">
      <c r="A106" s="75">
        <v>36313</v>
      </c>
      <c r="B106" s="86" t="str">
        <f>TiposLancamentos!B58</f>
        <v>Fotografias</v>
      </c>
      <c r="C106" s="52" t="s">
        <v>20397</v>
      </c>
      <c r="D106" s="579"/>
      <c r="E106" s="98">
        <v>4.5</v>
      </c>
    </row>
    <row r="107" spans="1:5">
      <c r="A107" s="75">
        <v>36313</v>
      </c>
      <c r="B107" s="86" t="str">
        <f>TiposLancamentos!B5</f>
        <v>Supermercado</v>
      </c>
      <c r="C107" s="52" t="s">
        <v>20398</v>
      </c>
      <c r="D107" s="568"/>
      <c r="E107" s="98">
        <v>5.62</v>
      </c>
    </row>
    <row r="108" spans="1:5">
      <c r="A108" s="75">
        <v>36313</v>
      </c>
      <c r="B108" s="86" t="str">
        <f>TiposLancamentos!B97</f>
        <v>Deposito Terc.</v>
      </c>
      <c r="C108" s="52" t="s">
        <v>20399</v>
      </c>
      <c r="D108" s="63">
        <v>20</v>
      </c>
      <c r="E108" s="98"/>
    </row>
    <row r="109" spans="1:5">
      <c r="A109" s="75">
        <v>36316</v>
      </c>
      <c r="B109" s="86" t="str">
        <f>TiposLancamentos!B22</f>
        <v>Combustivel</v>
      </c>
      <c r="C109" s="52" t="s">
        <v>20357</v>
      </c>
      <c r="D109" s="563"/>
      <c r="E109" s="98">
        <v>8</v>
      </c>
    </row>
    <row r="110" spans="1:5">
      <c r="A110" s="75">
        <v>36318</v>
      </c>
      <c r="B110" s="86" t="str">
        <f>TiposLancamentos!B97</f>
        <v>Deposito Terc.</v>
      </c>
      <c r="C110" s="52" t="s">
        <v>14514</v>
      </c>
      <c r="D110" s="63">
        <v>26.65</v>
      </c>
      <c r="E110" s="98"/>
    </row>
    <row r="111" spans="1:5">
      <c r="A111" s="75">
        <v>36320</v>
      </c>
      <c r="B111" s="86" t="str">
        <f>TiposLancamentos!B71</f>
        <v>Itens Pessoais</v>
      </c>
      <c r="C111" s="52" t="s">
        <v>20400</v>
      </c>
      <c r="D111" s="134"/>
      <c r="E111" s="98">
        <v>19</v>
      </c>
    </row>
    <row r="112" spans="1:5">
      <c r="A112" s="75">
        <v>36321</v>
      </c>
      <c r="B112" s="86" t="str">
        <f>TiposLancamentos!B4</f>
        <v>Taxas Bancarias</v>
      </c>
      <c r="C112" s="52" t="s">
        <v>20372</v>
      </c>
      <c r="D112" s="568"/>
      <c r="E112" s="98">
        <v>3</v>
      </c>
    </row>
    <row r="113" spans="1:5">
      <c r="A113" s="75">
        <v>36321</v>
      </c>
      <c r="B113" s="86" t="str">
        <f>TiposLancamentos!B20</f>
        <v>Saques</v>
      </c>
      <c r="C113" s="52" t="s">
        <v>20401</v>
      </c>
      <c r="D113" s="134"/>
      <c r="E113" s="98">
        <v>10</v>
      </c>
    </row>
    <row r="114" spans="1:5">
      <c r="A114" s="75">
        <v>36323</v>
      </c>
      <c r="B114" s="86" t="str">
        <f>TiposLancamentos!B74</f>
        <v>Noite</v>
      </c>
      <c r="C114" s="52" t="s">
        <v>20402</v>
      </c>
      <c r="D114" s="563"/>
      <c r="E114" s="98">
        <v>20</v>
      </c>
    </row>
    <row r="115" spans="1:5">
      <c r="A115" s="75">
        <v>36328</v>
      </c>
      <c r="B115" s="86" t="str">
        <f>TiposLancamentos!B97</f>
        <v>Deposito Terc.</v>
      </c>
      <c r="C115" s="52" t="s">
        <v>14514</v>
      </c>
      <c r="D115" s="63">
        <v>20</v>
      </c>
      <c r="E115" s="98"/>
    </row>
    <row r="116" spans="1:5">
      <c r="A116" s="75">
        <v>36332</v>
      </c>
      <c r="B116" s="86" t="str">
        <f>TiposLancamentos!B95</f>
        <v>Salarios</v>
      </c>
      <c r="C116" s="52" t="s">
        <v>20403</v>
      </c>
      <c r="D116" s="63">
        <v>270</v>
      </c>
      <c r="E116" s="98"/>
    </row>
    <row r="117" spans="1:5">
      <c r="A117" s="75">
        <v>36332</v>
      </c>
      <c r="B117" s="86" t="str">
        <f>TiposLancamentos!B72</f>
        <v>Presentes</v>
      </c>
      <c r="C117" s="52" t="s">
        <v>20404</v>
      </c>
      <c r="D117" s="563"/>
      <c r="E117" s="98">
        <v>17</v>
      </c>
    </row>
    <row r="118" spans="1:5">
      <c r="A118" s="75">
        <v>36333</v>
      </c>
      <c r="B118" s="86" t="str">
        <f>TiposLancamentos!B5</f>
        <v>Supermercado</v>
      </c>
      <c r="C118" s="52" t="s">
        <v>20398</v>
      </c>
      <c r="D118" s="568"/>
      <c r="E118" s="98">
        <v>13.4</v>
      </c>
    </row>
    <row r="119" spans="1:5">
      <c r="A119" s="75">
        <v>36334</v>
      </c>
      <c r="B119" s="86" t="str">
        <f>TiposLancamentos!B100</f>
        <v>Emprestimos</v>
      </c>
      <c r="C119" s="52" t="s">
        <v>20405</v>
      </c>
      <c r="D119" s="568"/>
      <c r="E119" s="98">
        <v>16.899999999999999</v>
      </c>
    </row>
    <row r="120" spans="1:5">
      <c r="A120" s="75">
        <v>36334</v>
      </c>
      <c r="B120" s="86" t="str">
        <f>TiposLancamentos!B97</f>
        <v>Deposito Terc.</v>
      </c>
      <c r="C120" s="52" t="s">
        <v>20406</v>
      </c>
      <c r="D120" s="63">
        <v>16.899999999999999</v>
      </c>
      <c r="E120" s="98"/>
    </row>
    <row r="121" spans="1:5">
      <c r="A121" s="75">
        <v>36336</v>
      </c>
      <c r="B121" s="86" t="str">
        <f>TiposLancamentos!B97</f>
        <v>Deposito Terc.</v>
      </c>
      <c r="C121" s="52" t="s">
        <v>20407</v>
      </c>
      <c r="D121" s="63">
        <v>50</v>
      </c>
      <c r="E121" s="98"/>
    </row>
    <row r="122" spans="1:5">
      <c r="A122" s="75">
        <v>36336</v>
      </c>
      <c r="B122" s="86" t="str">
        <f>TiposLancamentos!B8</f>
        <v>Aluguel</v>
      </c>
      <c r="C122" s="52" t="s">
        <v>20408</v>
      </c>
      <c r="D122" s="134"/>
      <c r="E122" s="98">
        <v>50</v>
      </c>
    </row>
    <row r="123" spans="1:5">
      <c r="A123" s="75">
        <v>36337</v>
      </c>
      <c r="B123" s="86" t="str">
        <f>TiposLancamentos!B70</f>
        <v>Vestuário</v>
      </c>
      <c r="C123" s="52" t="s">
        <v>20409</v>
      </c>
      <c r="D123" s="568"/>
      <c r="E123" s="98">
        <v>24</v>
      </c>
    </row>
    <row r="124" spans="1:5">
      <c r="A124" s="75">
        <v>36337</v>
      </c>
      <c r="B124" s="86" t="str">
        <f>TiposLancamentos!B71</f>
        <v>Itens Pessoais</v>
      </c>
      <c r="C124" s="52" t="s">
        <v>20370</v>
      </c>
      <c r="D124" s="563"/>
      <c r="E124" s="98">
        <v>6</v>
      </c>
    </row>
    <row r="125" spans="1:5">
      <c r="A125" s="75">
        <v>36337</v>
      </c>
      <c r="B125" s="86" t="str">
        <f>TiposLancamentos!B71</f>
        <v>Itens Pessoais</v>
      </c>
      <c r="C125" s="52" t="s">
        <v>20410</v>
      </c>
      <c r="D125" s="134"/>
      <c r="E125" s="98">
        <v>30</v>
      </c>
    </row>
    <row r="126" spans="1:5">
      <c r="A126" s="75">
        <v>36337</v>
      </c>
      <c r="B126" s="86" t="str">
        <f>TiposLancamentos!B19</f>
        <v>Restaurantes</v>
      </c>
      <c r="C126" s="52" t="s">
        <v>20411</v>
      </c>
      <c r="D126" s="563"/>
      <c r="E126" s="98">
        <v>11.2</v>
      </c>
    </row>
    <row r="127" spans="1:5">
      <c r="A127" s="75">
        <v>36339</v>
      </c>
      <c r="B127" s="86" t="str">
        <f>TiposLancamentos!B58</f>
        <v>Fotografias</v>
      </c>
      <c r="C127" s="52" t="s">
        <v>20384</v>
      </c>
      <c r="D127" s="563"/>
      <c r="E127" s="98">
        <v>10.23</v>
      </c>
    </row>
    <row r="128" spans="1:5">
      <c r="A128" s="75">
        <v>36339</v>
      </c>
      <c r="B128" s="86" t="str">
        <f>TiposLancamentos!B71</f>
        <v>Itens Pessoais</v>
      </c>
      <c r="C128" s="52" t="s">
        <v>20412</v>
      </c>
      <c r="D128" s="568"/>
      <c r="E128" s="98">
        <v>7</v>
      </c>
    </row>
    <row r="129" spans="1:5">
      <c r="A129" s="79">
        <v>36340</v>
      </c>
      <c r="B129" s="95" t="str">
        <f>TiposLancamentos!B19</f>
        <v>Restaurantes</v>
      </c>
      <c r="C129" s="477" t="s">
        <v>20353</v>
      </c>
      <c r="D129" s="182"/>
      <c r="E129" s="97">
        <v>4</v>
      </c>
    </row>
    <row r="130" spans="1:5">
      <c r="A130" s="75"/>
      <c r="B130" s="86"/>
      <c r="C130" s="52" t="s">
        <v>12682</v>
      </c>
      <c r="D130" s="63"/>
      <c r="E130" s="98"/>
    </row>
    <row r="131" spans="1:5">
      <c r="A131" s="75">
        <v>36342</v>
      </c>
      <c r="B131" s="86" t="str">
        <f>TiposLancamentos!B70</f>
        <v>Vestuário</v>
      </c>
      <c r="C131" s="52" t="s">
        <v>20413</v>
      </c>
      <c r="D131" s="572"/>
      <c r="E131" s="98">
        <v>50</v>
      </c>
    </row>
    <row r="132" spans="1:5">
      <c r="A132" s="75">
        <v>36342</v>
      </c>
      <c r="B132" s="86" t="str">
        <f>TiposLancamentos!B64</f>
        <v>Viagens</v>
      </c>
      <c r="C132" s="52" t="s">
        <v>20356</v>
      </c>
      <c r="D132" s="570"/>
      <c r="E132" s="98">
        <v>19.850000000000001</v>
      </c>
    </row>
    <row r="133" spans="1:5">
      <c r="A133" s="75">
        <v>36347</v>
      </c>
      <c r="B133" s="86" t="str">
        <f>TiposLancamentos!B15</f>
        <v>Cartões de Crédito</v>
      </c>
      <c r="C133" s="52" t="s">
        <v>16507</v>
      </c>
      <c r="D133" s="568"/>
      <c r="E133" s="98">
        <v>29.61</v>
      </c>
    </row>
    <row r="134" spans="1:5">
      <c r="A134" s="75">
        <v>36349</v>
      </c>
      <c r="B134" s="86" t="str">
        <f>TiposLancamentos!B4</f>
        <v>Taxas Bancarias</v>
      </c>
      <c r="C134" s="52" t="s">
        <v>14504</v>
      </c>
      <c r="D134" s="563"/>
      <c r="E134" s="98">
        <v>1.05</v>
      </c>
    </row>
    <row r="135" spans="1:5">
      <c r="A135" s="75">
        <v>36351</v>
      </c>
      <c r="B135" s="86" t="str">
        <f>TiposLancamentos!B15</f>
        <v>Cartões de Crédito</v>
      </c>
      <c r="C135" s="52" t="s">
        <v>20414</v>
      </c>
      <c r="D135" s="570"/>
      <c r="E135" s="98">
        <v>15</v>
      </c>
    </row>
    <row r="136" spans="1:5">
      <c r="A136" s="75">
        <v>36351</v>
      </c>
      <c r="B136" s="86" t="str">
        <f>TiposLancamentos!B4</f>
        <v>Taxas Bancarias</v>
      </c>
      <c r="C136" s="52" t="s">
        <v>20372</v>
      </c>
      <c r="D136" s="568"/>
      <c r="E136" s="98">
        <v>3</v>
      </c>
    </row>
    <row r="137" spans="1:5">
      <c r="A137" s="75">
        <v>36351</v>
      </c>
      <c r="B137" s="86" t="str">
        <f>TiposLancamentos!B25</f>
        <v>CD_DVD_BD</v>
      </c>
      <c r="C137" s="52" t="s">
        <v>20415</v>
      </c>
      <c r="D137" s="579"/>
      <c r="E137" s="98">
        <v>23</v>
      </c>
    </row>
    <row r="138" spans="1:5">
      <c r="A138" s="75">
        <v>36355</v>
      </c>
      <c r="B138" s="86" t="str">
        <f>TiposLancamentos!B70</f>
        <v>Vestuário</v>
      </c>
      <c r="C138" s="52" t="s">
        <v>12684</v>
      </c>
      <c r="D138" s="134"/>
      <c r="E138" s="98">
        <v>26</v>
      </c>
    </row>
    <row r="139" spans="1:5">
      <c r="A139" s="75">
        <v>36357</v>
      </c>
      <c r="B139" s="86" t="str">
        <f>TiposLancamentos!B95</f>
        <v>Salarios</v>
      </c>
      <c r="C139" s="52" t="s">
        <v>20416</v>
      </c>
      <c r="D139" s="63">
        <v>105.92</v>
      </c>
      <c r="E139" s="98"/>
    </row>
    <row r="140" spans="1:5">
      <c r="A140" s="75">
        <v>36357</v>
      </c>
      <c r="B140" s="86" t="str">
        <f>TiposLancamentos!B97</f>
        <v>Deposito Terc.</v>
      </c>
      <c r="C140" s="52" t="s">
        <v>14514</v>
      </c>
      <c r="D140" s="63">
        <v>20</v>
      </c>
      <c r="E140" s="98"/>
    </row>
    <row r="141" spans="1:5">
      <c r="A141" s="75">
        <v>36357</v>
      </c>
      <c r="B141" s="86" t="str">
        <f>TiposLancamentos!B5</f>
        <v>Supermercado</v>
      </c>
      <c r="C141" s="52" t="s">
        <v>20398</v>
      </c>
      <c r="D141" s="568"/>
      <c r="E141" s="98">
        <v>13.21</v>
      </c>
    </row>
    <row r="142" spans="1:5">
      <c r="A142" s="75">
        <v>36358</v>
      </c>
      <c r="B142" s="86" t="str">
        <f>TiposLancamentos!B19</f>
        <v>Restaurantes</v>
      </c>
      <c r="C142" s="52" t="s">
        <v>20393</v>
      </c>
      <c r="D142" s="134"/>
      <c r="E142" s="98">
        <v>14.3</v>
      </c>
    </row>
    <row r="143" spans="1:5">
      <c r="A143" s="75">
        <v>36367</v>
      </c>
      <c r="B143" s="86" t="str">
        <f>TiposLancamentos!B70</f>
        <v>Vestuário</v>
      </c>
      <c r="C143" s="52" t="s">
        <v>12685</v>
      </c>
      <c r="D143" s="563"/>
      <c r="E143" s="98">
        <v>24</v>
      </c>
    </row>
    <row r="144" spans="1:5">
      <c r="A144" s="75">
        <v>36371</v>
      </c>
      <c r="B144" s="86" t="str">
        <f>TiposLancamentos!B97</f>
        <v>Deposito Terc.</v>
      </c>
      <c r="C144" s="52" t="s">
        <v>14514</v>
      </c>
      <c r="D144" s="63">
        <v>50</v>
      </c>
      <c r="E144" s="98"/>
    </row>
    <row r="145" spans="1:5">
      <c r="A145" s="75">
        <v>36371</v>
      </c>
      <c r="B145" s="86" t="str">
        <f>TiposLancamentos!B20</f>
        <v>Saques</v>
      </c>
      <c r="C145" s="52" t="s">
        <v>2668</v>
      </c>
      <c r="D145" s="563"/>
      <c r="E145" s="98">
        <v>10</v>
      </c>
    </row>
    <row r="146" spans="1:5">
      <c r="A146" s="75">
        <v>36372</v>
      </c>
      <c r="B146" s="86" t="str">
        <f>TiposLancamentos!B20</f>
        <v>Saques</v>
      </c>
      <c r="C146" s="52" t="s">
        <v>2668</v>
      </c>
      <c r="D146" s="563"/>
      <c r="E146" s="98">
        <v>10</v>
      </c>
    </row>
    <row r="147" spans="1:5">
      <c r="A147" s="83"/>
      <c r="B147" s="91"/>
      <c r="C147" s="43" t="s">
        <v>14673</v>
      </c>
      <c r="D147" s="93"/>
      <c r="E147" s="94"/>
    </row>
    <row r="148" spans="1:5">
      <c r="A148" s="75">
        <v>36373</v>
      </c>
      <c r="B148" s="86" t="str">
        <f>TiposLancamentos!B19</f>
        <v>Restaurantes</v>
      </c>
      <c r="C148" s="52" t="s">
        <v>20417</v>
      </c>
      <c r="D148" s="563"/>
      <c r="E148" s="98">
        <v>6.27</v>
      </c>
    </row>
    <row r="149" spans="1:5">
      <c r="A149" s="75">
        <v>36374</v>
      </c>
      <c r="B149" s="86" t="str">
        <f>TiposLancamentos!B15</f>
        <v>Cartões de Crédito</v>
      </c>
      <c r="C149" s="52" t="s">
        <v>16507</v>
      </c>
      <c r="D149" s="568"/>
      <c r="E149" s="98">
        <v>68.239999999999995</v>
      </c>
    </row>
    <row r="150" spans="1:5">
      <c r="A150" s="75">
        <v>36378</v>
      </c>
      <c r="B150" s="86" t="str">
        <f>TiposLancamentos!B97</f>
        <v>Deposito Terc.</v>
      </c>
      <c r="C150" s="52" t="s">
        <v>14514</v>
      </c>
      <c r="D150" s="63">
        <v>40</v>
      </c>
      <c r="E150" s="98"/>
    </row>
    <row r="151" spans="1:5">
      <c r="A151" s="75">
        <v>36378</v>
      </c>
      <c r="B151" s="86" t="str">
        <f>TiposLancamentos!B2</f>
        <v>Telefonia</v>
      </c>
      <c r="C151" s="52" t="s">
        <v>20418</v>
      </c>
      <c r="D151" s="134"/>
      <c r="E151" s="98">
        <v>40</v>
      </c>
    </row>
    <row r="152" spans="1:5">
      <c r="A152" s="75">
        <v>36378</v>
      </c>
      <c r="B152" s="86" t="str">
        <f>TiposLancamentos!B95</f>
        <v>Salarios</v>
      </c>
      <c r="C152" s="52" t="s">
        <v>20419</v>
      </c>
      <c r="D152" s="63">
        <v>125</v>
      </c>
      <c r="E152" s="98"/>
    </row>
    <row r="153" spans="1:5">
      <c r="A153" s="75">
        <v>36382</v>
      </c>
      <c r="B153" s="86" t="str">
        <f>TiposLancamentos!B4</f>
        <v>Taxas Bancarias</v>
      </c>
      <c r="C153" s="52" t="s">
        <v>20372</v>
      </c>
      <c r="D153" s="568"/>
      <c r="E153" s="98">
        <v>3</v>
      </c>
    </row>
    <row r="154" spans="1:5">
      <c r="A154" s="75">
        <v>36383</v>
      </c>
      <c r="B154" s="86" t="str">
        <f>TiposLancamentos!B2</f>
        <v>Telefonia</v>
      </c>
      <c r="C154" s="52" t="s">
        <v>20420</v>
      </c>
      <c r="D154" s="563"/>
      <c r="E154" s="98">
        <v>30</v>
      </c>
    </row>
    <row r="155" spans="1:5">
      <c r="A155" s="75">
        <v>36384</v>
      </c>
      <c r="B155" s="86" t="str">
        <f>TiposLancamentos!B97</f>
        <v>Deposito Terc.</v>
      </c>
      <c r="C155" s="52" t="s">
        <v>14514</v>
      </c>
      <c r="D155" s="63">
        <v>30</v>
      </c>
      <c r="E155" s="98"/>
    </row>
    <row r="156" spans="1:5">
      <c r="A156" s="75">
        <v>36385</v>
      </c>
      <c r="B156" s="86" t="str">
        <f>TiposLancamentos!B2</f>
        <v>Telefonia</v>
      </c>
      <c r="C156" s="52" t="s">
        <v>20421</v>
      </c>
      <c r="D156" s="563"/>
      <c r="E156" s="98">
        <v>21.9</v>
      </c>
    </row>
    <row r="157" spans="1:5">
      <c r="A157" s="75">
        <v>36386</v>
      </c>
      <c r="B157" s="86" t="str">
        <f>TiposLancamentos!B70</f>
        <v>Vestuário</v>
      </c>
      <c r="C157" s="52" t="s">
        <v>12686</v>
      </c>
      <c r="D157" s="134"/>
      <c r="E157" s="98">
        <v>26</v>
      </c>
    </row>
    <row r="158" spans="1:5">
      <c r="A158" s="75">
        <v>36396</v>
      </c>
      <c r="B158" s="86" t="str">
        <f>TiposLancamentos!B97</f>
        <v>Deposito Terc.</v>
      </c>
      <c r="C158" s="52" t="s">
        <v>14514</v>
      </c>
      <c r="D158" s="63">
        <v>20</v>
      </c>
      <c r="E158" s="98"/>
    </row>
    <row r="159" spans="1:5">
      <c r="A159" s="75">
        <v>36398</v>
      </c>
      <c r="B159" s="86" t="str">
        <f>TiposLancamentos!B70</f>
        <v>Vestuário</v>
      </c>
      <c r="C159" s="52" t="s">
        <v>12687</v>
      </c>
      <c r="D159" s="563"/>
      <c r="E159" s="98">
        <v>26</v>
      </c>
    </row>
    <row r="160" spans="1:5">
      <c r="A160" s="79">
        <v>36400</v>
      </c>
      <c r="B160" s="95" t="str">
        <f>TiposLancamentos!B74</f>
        <v>Noite</v>
      </c>
      <c r="C160" s="477" t="s">
        <v>20402</v>
      </c>
      <c r="D160" s="569"/>
      <c r="E160" s="97">
        <v>20</v>
      </c>
    </row>
    <row r="161" spans="1:5">
      <c r="A161" s="75"/>
      <c r="B161" s="86"/>
      <c r="C161" s="52" t="s">
        <v>12688</v>
      </c>
      <c r="D161" s="63"/>
      <c r="E161" s="98"/>
    </row>
    <row r="162" spans="1:5">
      <c r="A162" s="75">
        <v>36405</v>
      </c>
      <c r="B162" s="86" t="str">
        <f>TiposLancamentos!B97</f>
        <v>Deposito Terc.</v>
      </c>
      <c r="C162" s="52" t="s">
        <v>14514</v>
      </c>
      <c r="D162" s="63">
        <v>40</v>
      </c>
      <c r="E162" s="98"/>
    </row>
    <row r="163" spans="1:5">
      <c r="A163" s="75">
        <v>36406</v>
      </c>
      <c r="B163" s="86" t="str">
        <f>TiposLancamentos!B97</f>
        <v>Deposito Terc.</v>
      </c>
      <c r="C163" s="52" t="s">
        <v>14514</v>
      </c>
      <c r="D163" s="63">
        <v>30</v>
      </c>
      <c r="E163" s="98"/>
    </row>
    <row r="164" spans="1:5">
      <c r="A164" s="75">
        <v>36406</v>
      </c>
      <c r="B164" s="86" t="str">
        <f>TiposLancamentos!B15</f>
        <v>Cartões de Crédito</v>
      </c>
      <c r="C164" s="52" t="s">
        <v>16507</v>
      </c>
      <c r="D164" s="568"/>
      <c r="E164" s="98">
        <v>114.59</v>
      </c>
    </row>
    <row r="165" spans="1:5">
      <c r="A165" s="75">
        <v>36413</v>
      </c>
      <c r="B165" s="86" t="str">
        <f>TiposLancamentos!B4</f>
        <v>Taxas Bancarias</v>
      </c>
      <c r="C165" s="52" t="s">
        <v>20372</v>
      </c>
      <c r="D165" s="568"/>
      <c r="E165" s="98">
        <v>3</v>
      </c>
    </row>
    <row r="166" spans="1:5">
      <c r="A166" s="75">
        <v>36417</v>
      </c>
      <c r="B166" s="86" t="str">
        <f>TiposLancamentos!B70</f>
        <v>Vestuário</v>
      </c>
      <c r="C166" s="52" t="s">
        <v>12689</v>
      </c>
      <c r="D166" s="134"/>
      <c r="E166" s="98">
        <v>26</v>
      </c>
    </row>
    <row r="167" spans="1:5">
      <c r="A167" s="75">
        <v>36419</v>
      </c>
      <c r="B167" s="86" t="str">
        <f>TiposLancamentos!B71</f>
        <v>Itens Pessoais</v>
      </c>
      <c r="C167" s="52" t="s">
        <v>20422</v>
      </c>
      <c r="D167" s="568"/>
      <c r="E167" s="98">
        <v>6</v>
      </c>
    </row>
    <row r="168" spans="1:5">
      <c r="A168" s="83"/>
      <c r="B168" s="91"/>
      <c r="C168" s="43" t="s">
        <v>20423</v>
      </c>
      <c r="D168" s="93"/>
      <c r="E168" s="94"/>
    </row>
    <row r="169" spans="1:5">
      <c r="A169" s="75">
        <v>36434</v>
      </c>
      <c r="B169" s="86" t="str">
        <f>TiposLancamentos!B97</f>
        <v>Deposito Terc.</v>
      </c>
      <c r="C169" s="52" t="s">
        <v>14514</v>
      </c>
      <c r="D169" s="63">
        <v>20</v>
      </c>
      <c r="E169" s="98"/>
    </row>
    <row r="170" spans="1:5">
      <c r="A170" s="75">
        <v>36435</v>
      </c>
      <c r="B170" s="86" t="str">
        <f>TiposLancamentos!B18</f>
        <v>Alimentacao</v>
      </c>
      <c r="C170" s="52" t="s">
        <v>14254</v>
      </c>
      <c r="D170" s="134"/>
      <c r="E170" s="98">
        <v>10</v>
      </c>
    </row>
    <row r="171" spans="1:5">
      <c r="A171" s="75">
        <v>36437</v>
      </c>
      <c r="B171" s="86" t="str">
        <f>TiposLancamentos!B97</f>
        <v>Deposito Terc.</v>
      </c>
      <c r="C171" s="52" t="s">
        <v>20424</v>
      </c>
      <c r="D171" s="63">
        <v>40</v>
      </c>
      <c r="E171" s="98"/>
    </row>
    <row r="172" spans="1:5">
      <c r="A172" s="75">
        <v>36437</v>
      </c>
      <c r="B172" s="86" t="str">
        <f>TiposLancamentos!B74</f>
        <v>Noite</v>
      </c>
      <c r="C172" s="52" t="s">
        <v>20425</v>
      </c>
      <c r="D172" s="579"/>
      <c r="E172" s="98">
        <v>40</v>
      </c>
    </row>
    <row r="173" spans="1:5">
      <c r="A173" s="75">
        <v>36437</v>
      </c>
      <c r="B173" s="86" t="str">
        <f>TiposLancamentos!B71</f>
        <v>Itens Pessoais</v>
      </c>
      <c r="C173" s="52" t="s">
        <v>20426</v>
      </c>
      <c r="D173" s="134"/>
      <c r="E173" s="98">
        <v>11</v>
      </c>
    </row>
    <row r="174" spans="1:5">
      <c r="A174" s="75">
        <v>36439</v>
      </c>
      <c r="B174" s="86" t="str">
        <f>TiposLancamentos!B97</f>
        <v>Deposito Terc.</v>
      </c>
      <c r="C174" s="52" t="s">
        <v>14514</v>
      </c>
      <c r="D174" s="63">
        <v>160</v>
      </c>
      <c r="E174" s="98"/>
    </row>
    <row r="175" spans="1:5">
      <c r="A175" s="75">
        <v>36440</v>
      </c>
      <c r="B175" s="86" t="str">
        <f>TiposLancamentos!B15</f>
        <v>Cartões de Crédito</v>
      </c>
      <c r="C175" s="52" t="s">
        <v>16507</v>
      </c>
      <c r="D175" s="568"/>
      <c r="E175" s="98">
        <v>134.07</v>
      </c>
    </row>
    <row r="176" spans="1:5">
      <c r="A176" s="75">
        <v>36440</v>
      </c>
      <c r="B176" s="86" t="str">
        <f>TiposLancamentos!B15</f>
        <v>Cartões de Crédito</v>
      </c>
      <c r="C176" s="52" t="s">
        <v>20427</v>
      </c>
      <c r="D176" s="570"/>
      <c r="E176" s="98">
        <v>15</v>
      </c>
    </row>
    <row r="177" spans="1:5">
      <c r="A177" s="75">
        <v>36443</v>
      </c>
      <c r="B177" s="86" t="str">
        <f>TiposLancamentos!B4</f>
        <v>Taxas Bancarias</v>
      </c>
      <c r="C177" s="52" t="s">
        <v>20372</v>
      </c>
      <c r="D177" s="568"/>
      <c r="E177" s="98">
        <v>3</v>
      </c>
    </row>
    <row r="178" spans="1:5">
      <c r="A178" s="75">
        <v>36444</v>
      </c>
      <c r="B178" s="86" t="str">
        <f>TiposLancamentos!B97</f>
        <v>Deposito Terc.</v>
      </c>
      <c r="C178" s="52" t="s">
        <v>14514</v>
      </c>
      <c r="D178" s="63">
        <v>60</v>
      </c>
      <c r="E178" s="98"/>
    </row>
    <row r="179" spans="1:5">
      <c r="A179" s="75">
        <v>36445</v>
      </c>
      <c r="B179" s="86" t="str">
        <f>TiposLancamentos!B19</f>
        <v>Restaurantes</v>
      </c>
      <c r="C179" s="52" t="s">
        <v>20428</v>
      </c>
      <c r="D179" s="568"/>
      <c r="E179" s="98">
        <v>7.8</v>
      </c>
    </row>
    <row r="180" spans="1:5">
      <c r="A180" s="75">
        <v>36445</v>
      </c>
      <c r="B180" s="86" t="str">
        <f>TiposLancamentos!B90</f>
        <v>Locadora</v>
      </c>
      <c r="C180" s="52" t="s">
        <v>20429</v>
      </c>
      <c r="D180" s="568"/>
      <c r="E180" s="98">
        <v>8</v>
      </c>
    </row>
    <row r="181" spans="1:5">
      <c r="A181" s="75">
        <v>36445</v>
      </c>
      <c r="B181" s="86" t="str">
        <f>TiposLancamentos!B19</f>
        <v>Restaurantes</v>
      </c>
      <c r="C181" s="52" t="s">
        <v>20430</v>
      </c>
      <c r="D181" s="563"/>
      <c r="E181" s="98">
        <v>14.3</v>
      </c>
    </row>
    <row r="182" spans="1:5">
      <c r="A182" s="75">
        <v>36447</v>
      </c>
      <c r="B182" s="86" t="str">
        <f>TiposLancamentos!B2</f>
        <v>Telefonia</v>
      </c>
      <c r="C182" s="52" t="s">
        <v>20431</v>
      </c>
      <c r="D182" s="134"/>
      <c r="E182" s="98">
        <v>36.53</v>
      </c>
    </row>
    <row r="183" spans="1:5">
      <c r="A183" s="75">
        <v>36448</v>
      </c>
      <c r="B183" s="86" t="str">
        <f>TiposLancamentos!B4</f>
        <v>Taxas Bancarias</v>
      </c>
      <c r="C183" s="52" t="s">
        <v>20432</v>
      </c>
      <c r="D183" s="579"/>
      <c r="E183" s="98">
        <v>1</v>
      </c>
    </row>
    <row r="184" spans="1:5">
      <c r="A184" s="75">
        <v>36451</v>
      </c>
      <c r="B184" s="86" t="str">
        <f>TiposLancamentos!B4</f>
        <v>Taxas Bancarias</v>
      </c>
      <c r="C184" s="52" t="s">
        <v>14504</v>
      </c>
      <c r="D184" s="563"/>
      <c r="E184" s="98">
        <v>1.49</v>
      </c>
    </row>
    <row r="185" spans="1:5">
      <c r="A185" s="75">
        <v>36457</v>
      </c>
      <c r="B185" s="86" t="str">
        <f>TiposLancamentos!B19</f>
        <v>Restaurantes</v>
      </c>
      <c r="C185" s="52" t="s">
        <v>20433</v>
      </c>
      <c r="D185" s="563"/>
      <c r="E185" s="98">
        <v>14</v>
      </c>
    </row>
    <row r="186" spans="1:5">
      <c r="A186" s="75">
        <v>36458</v>
      </c>
      <c r="B186" s="86" t="str">
        <f>TiposLancamentos!B97</f>
        <v>Deposito Terc.</v>
      </c>
      <c r="C186" s="52" t="s">
        <v>14514</v>
      </c>
      <c r="D186" s="63">
        <v>20</v>
      </c>
      <c r="E186" s="98"/>
    </row>
    <row r="187" spans="1:5">
      <c r="A187" s="75">
        <v>36460</v>
      </c>
      <c r="B187" s="86" t="str">
        <f>TiposLancamentos!B97</f>
        <v>Deposito Terc.</v>
      </c>
      <c r="C187" s="52" t="s">
        <v>14514</v>
      </c>
      <c r="D187" s="63">
        <v>35</v>
      </c>
      <c r="E187" s="98"/>
    </row>
    <row r="188" spans="1:5">
      <c r="A188" s="79">
        <v>36463</v>
      </c>
      <c r="B188" s="95" t="str">
        <f>TiposLancamentos!B20</f>
        <v>Saques</v>
      </c>
      <c r="C188" s="477" t="s">
        <v>2668</v>
      </c>
      <c r="D188" s="169"/>
      <c r="E188" s="97">
        <v>10</v>
      </c>
    </row>
    <row r="189" spans="1:5">
      <c r="A189" s="83"/>
      <c r="B189" s="91"/>
      <c r="C189" s="43" t="s">
        <v>20434</v>
      </c>
      <c r="D189" s="93"/>
      <c r="E189" s="94"/>
    </row>
    <row r="190" spans="1:5">
      <c r="A190" s="75">
        <v>36469</v>
      </c>
      <c r="B190" s="86" t="str">
        <f>TiposLancamentos!B95</f>
        <v>Salarios</v>
      </c>
      <c r="C190" s="52" t="s">
        <v>20435</v>
      </c>
      <c r="D190" s="63">
        <v>167</v>
      </c>
      <c r="E190" s="98"/>
    </row>
    <row r="191" spans="1:5">
      <c r="A191" s="75">
        <v>36469</v>
      </c>
      <c r="B191" s="86" t="str">
        <f>TiposLancamentos!B15</f>
        <v>Cartões de Crédito</v>
      </c>
      <c r="C191" s="52" t="s">
        <v>16507</v>
      </c>
      <c r="D191" s="568"/>
      <c r="E191" s="98">
        <v>61.69</v>
      </c>
    </row>
    <row r="192" spans="1:5">
      <c r="A192" s="75">
        <v>36471</v>
      </c>
      <c r="B192" s="86" t="str">
        <f>TiposLancamentos!B19</f>
        <v>Restaurantes</v>
      </c>
      <c r="C192" s="52" t="s">
        <v>20436</v>
      </c>
      <c r="D192" s="563"/>
      <c r="E192" s="98">
        <v>15.14</v>
      </c>
    </row>
    <row r="193" spans="1:5">
      <c r="A193" s="75">
        <v>36472</v>
      </c>
      <c r="B193" s="86" t="str">
        <f>TiposLancamentos!B97</f>
        <v>Deposito Terc.</v>
      </c>
      <c r="C193" s="52" t="s">
        <v>20437</v>
      </c>
      <c r="D193" s="63">
        <v>119</v>
      </c>
      <c r="E193" s="98"/>
    </row>
    <row r="194" spans="1:5">
      <c r="A194" s="75">
        <v>36473</v>
      </c>
      <c r="B194" s="86" t="str">
        <f>TiposLancamentos!B57</f>
        <v>Informática</v>
      </c>
      <c r="C194" s="52" t="s">
        <v>12692</v>
      </c>
      <c r="D194" s="563"/>
      <c r="E194" s="98">
        <v>61</v>
      </c>
    </row>
    <row r="195" spans="1:5">
      <c r="A195" s="75">
        <v>36474</v>
      </c>
      <c r="B195" s="86" t="str">
        <f>TiposLancamentos!B20</f>
        <v>Saques</v>
      </c>
      <c r="C195" s="52" t="s">
        <v>20438</v>
      </c>
      <c r="D195" s="134"/>
      <c r="E195" s="98">
        <v>70</v>
      </c>
    </row>
    <row r="196" spans="1:5">
      <c r="A196" s="75">
        <v>36475</v>
      </c>
      <c r="B196" s="86" t="str">
        <f>TiposLancamentos!B4</f>
        <v>Taxas Bancarias</v>
      </c>
      <c r="C196" s="52" t="s">
        <v>20372</v>
      </c>
      <c r="D196" s="568"/>
      <c r="E196" s="98">
        <v>3</v>
      </c>
    </row>
    <row r="197" spans="1:5">
      <c r="A197" s="75">
        <v>36475</v>
      </c>
      <c r="B197" s="86" t="str">
        <f>TiposLancamentos!B20</f>
        <v>Saques</v>
      </c>
      <c r="C197" s="52" t="s">
        <v>20438</v>
      </c>
      <c r="D197" s="134"/>
      <c r="E197" s="98">
        <v>50</v>
      </c>
    </row>
    <row r="198" spans="1:5">
      <c r="A198" s="75">
        <v>36481</v>
      </c>
      <c r="B198" s="86" t="str">
        <f>TiposLancamentos!B97</f>
        <v>Deposito Terc.</v>
      </c>
      <c r="C198" s="52" t="s">
        <v>14514</v>
      </c>
      <c r="D198" s="63">
        <v>50</v>
      </c>
      <c r="E198" s="98"/>
    </row>
    <row r="199" spans="1:5">
      <c r="A199" s="75">
        <v>36482</v>
      </c>
      <c r="B199" s="86" t="str">
        <f>TiposLancamentos!B2</f>
        <v>Telefonia</v>
      </c>
      <c r="C199" s="52" t="s">
        <v>20439</v>
      </c>
      <c r="D199" s="134"/>
      <c r="E199" s="98">
        <v>69.09</v>
      </c>
    </row>
    <row r="200" spans="1:5">
      <c r="A200" s="75">
        <v>36482</v>
      </c>
      <c r="B200" s="86" t="str">
        <f>TiposLancamentos!B4</f>
        <v>Taxas Bancarias</v>
      </c>
      <c r="C200" s="52" t="s">
        <v>14504</v>
      </c>
      <c r="D200" s="563"/>
      <c r="E200" s="98">
        <v>0.75</v>
      </c>
    </row>
    <row r="201" spans="1:5">
      <c r="A201" s="75">
        <v>36483</v>
      </c>
      <c r="B201" s="86" t="str">
        <f>TiposLancamentos!B19</f>
        <v>Restaurantes</v>
      </c>
      <c r="C201" s="52" t="s">
        <v>20440</v>
      </c>
      <c r="D201" s="568"/>
      <c r="E201" s="98">
        <v>5.0999999999999996</v>
      </c>
    </row>
    <row r="202" spans="1:5">
      <c r="A202" s="75">
        <v>36491</v>
      </c>
      <c r="B202" s="86" t="str">
        <f>TiposLancamentos!B20</f>
        <v>Saques</v>
      </c>
      <c r="C202" s="52" t="s">
        <v>2876</v>
      </c>
      <c r="D202" s="563"/>
      <c r="E202" s="98">
        <v>10</v>
      </c>
    </row>
    <row r="203" spans="1:5">
      <c r="A203" s="79">
        <v>36493</v>
      </c>
      <c r="B203" s="95" t="str">
        <f>TiposLancamentos!B97</f>
        <v>Deposito Terc.</v>
      </c>
      <c r="C203" s="477" t="s">
        <v>14514</v>
      </c>
      <c r="D203" s="85">
        <v>50</v>
      </c>
      <c r="E203" s="97"/>
    </row>
    <row r="204" spans="1:5">
      <c r="A204" s="83"/>
      <c r="B204" s="91"/>
      <c r="C204" s="43" t="s">
        <v>12693</v>
      </c>
      <c r="D204" s="93"/>
      <c r="E204" s="94"/>
    </row>
    <row r="205" spans="1:5">
      <c r="A205" s="75">
        <v>36495</v>
      </c>
      <c r="B205" s="86" t="str">
        <f>TiposLancamentos!B20</f>
        <v>Saques</v>
      </c>
      <c r="C205" s="52" t="s">
        <v>2668</v>
      </c>
      <c r="D205" s="563"/>
      <c r="E205" s="98">
        <v>10</v>
      </c>
    </row>
    <row r="206" spans="1:5">
      <c r="A206" s="75">
        <v>36497</v>
      </c>
      <c r="B206" s="86" t="str">
        <f>TiposLancamentos!B97</f>
        <v>Deposito Terc.</v>
      </c>
      <c r="C206" s="52" t="s">
        <v>14514</v>
      </c>
      <c r="D206" s="63">
        <v>167</v>
      </c>
      <c r="E206" s="98"/>
    </row>
    <row r="207" spans="1:5">
      <c r="A207" s="75">
        <v>36500</v>
      </c>
      <c r="B207" s="86" t="str">
        <f>TiposLancamentos!B97</f>
        <v>Deposito Terc.</v>
      </c>
      <c r="C207" s="52" t="s">
        <v>20441</v>
      </c>
      <c r="D207" s="63">
        <v>100</v>
      </c>
      <c r="E207" s="98"/>
    </row>
    <row r="208" spans="1:5">
      <c r="A208" s="75">
        <v>36500</v>
      </c>
      <c r="B208" s="86" t="str">
        <f>TiposLancamentos!B15</f>
        <v>Cartões de Crédito</v>
      </c>
      <c r="C208" s="52" t="s">
        <v>16507</v>
      </c>
      <c r="D208" s="568"/>
      <c r="E208" s="98">
        <v>106.16</v>
      </c>
    </row>
    <row r="209" spans="1:5">
      <c r="A209" s="75">
        <v>36439</v>
      </c>
      <c r="B209" s="86" t="str">
        <f>TiposLancamentos!B20</f>
        <v>Saques</v>
      </c>
      <c r="C209" s="52" t="s">
        <v>2668</v>
      </c>
      <c r="D209" s="563"/>
      <c r="E209" s="98">
        <v>10</v>
      </c>
    </row>
    <row r="210" spans="1:5">
      <c r="A210" s="75">
        <v>36501</v>
      </c>
      <c r="B210" s="86" t="str">
        <f>TiposLancamentos!B98</f>
        <v>Restituições</v>
      </c>
      <c r="C210" s="52" t="s">
        <v>20442</v>
      </c>
      <c r="D210" s="63">
        <v>190</v>
      </c>
      <c r="E210" s="98"/>
    </row>
    <row r="211" spans="1:5">
      <c r="A211" s="75">
        <v>36501</v>
      </c>
      <c r="B211" s="86" t="str">
        <f>TiposLancamentos!B59</f>
        <v>Documentos</v>
      </c>
      <c r="C211" s="52" t="s">
        <v>12695</v>
      </c>
      <c r="D211" s="134"/>
      <c r="E211" s="98">
        <v>188</v>
      </c>
    </row>
    <row r="212" spans="1:5">
      <c r="A212" s="75">
        <v>36502</v>
      </c>
      <c r="B212" s="86" t="str">
        <f>TiposLancamentos!B20</f>
        <v>Saques</v>
      </c>
      <c r="C212" s="52" t="s">
        <v>2668</v>
      </c>
      <c r="D212" s="563"/>
      <c r="E212" s="98">
        <v>10</v>
      </c>
    </row>
    <row r="213" spans="1:5">
      <c r="A213" s="75">
        <v>36503</v>
      </c>
      <c r="B213" s="86" t="str">
        <f>TiposLancamentos!B57</f>
        <v>Informática</v>
      </c>
      <c r="C213" s="52" t="s">
        <v>12696</v>
      </c>
      <c r="D213" s="563"/>
      <c r="E213" s="98">
        <v>61</v>
      </c>
    </row>
    <row r="214" spans="1:5">
      <c r="A214" s="75">
        <v>36504</v>
      </c>
      <c r="B214" s="86" t="str">
        <f>TiposLancamentos!B4</f>
        <v>Taxas Bancarias</v>
      </c>
      <c r="C214" s="52" t="s">
        <v>20372</v>
      </c>
      <c r="D214" s="568"/>
      <c r="E214" s="98">
        <v>3</v>
      </c>
    </row>
    <row r="215" spans="1:5">
      <c r="A215" s="75">
        <v>36504</v>
      </c>
      <c r="B215" s="86" t="str">
        <f>TiposLancamentos!B4</f>
        <v>Taxas Bancarias</v>
      </c>
      <c r="C215" s="52" t="s">
        <v>14504</v>
      </c>
      <c r="D215" s="572"/>
      <c r="E215" s="98">
        <v>1.4</v>
      </c>
    </row>
    <row r="216" spans="1:5">
      <c r="A216" s="75">
        <v>36504</v>
      </c>
      <c r="B216" s="86" t="str">
        <f>TiposLancamentos!B20</f>
        <v>Saques</v>
      </c>
      <c r="C216" s="52" t="s">
        <v>20438</v>
      </c>
      <c r="D216" s="134"/>
      <c r="E216" s="98">
        <v>100</v>
      </c>
    </row>
    <row r="217" spans="1:5">
      <c r="A217" s="75">
        <v>36505</v>
      </c>
      <c r="B217" s="86" t="str">
        <f>TiposLancamentos!B20</f>
        <v>Saques</v>
      </c>
      <c r="C217" s="52" t="s">
        <v>2668</v>
      </c>
      <c r="D217" s="134"/>
      <c r="E217" s="98">
        <v>10</v>
      </c>
    </row>
    <row r="218" spans="1:5">
      <c r="A218" s="75">
        <v>36510</v>
      </c>
      <c r="B218" s="86" t="str">
        <f>TiposLancamentos!B2</f>
        <v>Telefonia</v>
      </c>
      <c r="C218" s="52" t="s">
        <v>20443</v>
      </c>
      <c r="D218" s="134"/>
      <c r="E218" s="98">
        <v>23.16</v>
      </c>
    </row>
    <row r="219" spans="1:5">
      <c r="A219" s="75">
        <v>36511</v>
      </c>
      <c r="B219" s="86" t="str">
        <f>TiposLancamentos!B4</f>
        <v>Taxas Bancarias</v>
      </c>
      <c r="C219" s="52" t="s">
        <v>14504</v>
      </c>
      <c r="D219" s="572"/>
      <c r="E219" s="98">
        <v>0.67</v>
      </c>
    </row>
    <row r="220" spans="1:5">
      <c r="A220" s="75">
        <v>36516</v>
      </c>
      <c r="B220" s="86" t="str">
        <f>TiposLancamentos!B95</f>
        <v>Salarios</v>
      </c>
      <c r="C220" s="52" t="s">
        <v>20444</v>
      </c>
      <c r="D220" s="63">
        <v>120</v>
      </c>
      <c r="E220" s="98"/>
    </row>
    <row r="221" spans="1:5">
      <c r="A221" s="75">
        <v>36517</v>
      </c>
      <c r="B221" s="86" t="str">
        <f>TiposLancamentos!B72</f>
        <v>Presentes</v>
      </c>
      <c r="C221" s="52" t="s">
        <v>20445</v>
      </c>
      <c r="D221" s="563"/>
      <c r="E221" s="98">
        <v>9.9</v>
      </c>
    </row>
    <row r="222" spans="1:5">
      <c r="A222" s="75">
        <v>36518</v>
      </c>
      <c r="B222" s="86" t="str">
        <f>TiposLancamentos!B4</f>
        <v>Taxas Bancarias</v>
      </c>
      <c r="C222" s="52" t="s">
        <v>14504</v>
      </c>
      <c r="D222" s="572"/>
      <c r="E222" s="98">
        <v>0.09</v>
      </c>
    </row>
    <row r="223" spans="1:5">
      <c r="A223" s="75">
        <v>36522</v>
      </c>
      <c r="B223" s="86" t="str">
        <f>TiposLancamentos!B22</f>
        <v>Combustivel</v>
      </c>
      <c r="C223" s="52" t="s">
        <v>20446</v>
      </c>
      <c r="D223" s="568"/>
      <c r="E223" s="98">
        <v>10</v>
      </c>
    </row>
    <row r="224" spans="1:5">
      <c r="A224" s="75">
        <v>36524</v>
      </c>
      <c r="B224" s="86" t="str">
        <f>TiposLancamentos!B20</f>
        <v>Saques</v>
      </c>
      <c r="C224" s="52" t="s">
        <v>20447</v>
      </c>
      <c r="D224" s="568"/>
      <c r="E224" s="98">
        <v>30</v>
      </c>
    </row>
    <row r="225" spans="1:5">
      <c r="A225" s="79">
        <v>36525</v>
      </c>
      <c r="B225" s="95" t="str">
        <f>TiposLancamentos!B4</f>
        <v>Taxas Bancarias</v>
      </c>
      <c r="C225" s="477" t="s">
        <v>14504</v>
      </c>
      <c r="D225" s="639"/>
      <c r="E225" s="97">
        <v>0.03</v>
      </c>
    </row>
    <row r="226" spans="1:5">
      <c r="A226" s="83"/>
      <c r="B226" s="91"/>
      <c r="C226" s="43" t="s">
        <v>12697</v>
      </c>
      <c r="D226" s="93"/>
      <c r="E226" s="94"/>
    </row>
    <row r="227" spans="1:5">
      <c r="A227" s="75">
        <v>36526</v>
      </c>
      <c r="B227" s="86" t="str">
        <f>TiposLancamentos!B76</f>
        <v>Motel</v>
      </c>
      <c r="C227" s="52" t="s">
        <v>20448</v>
      </c>
      <c r="D227" s="572"/>
      <c r="E227" s="98">
        <v>20</v>
      </c>
    </row>
    <row r="228" spans="1:5">
      <c r="A228" s="75">
        <v>36527</v>
      </c>
      <c r="B228" s="86" t="str">
        <f>TiposLancamentos!B76</f>
        <v>Motel</v>
      </c>
      <c r="C228" s="52" t="s">
        <v>20449</v>
      </c>
      <c r="D228" s="572"/>
      <c r="E228" s="98">
        <v>20</v>
      </c>
    </row>
    <row r="229" spans="1:5">
      <c r="A229" s="75">
        <v>36528</v>
      </c>
      <c r="B229" s="86" t="str">
        <f>TiposLancamentos!B71</f>
        <v>Itens Pessoais</v>
      </c>
      <c r="C229" s="52" t="s">
        <v>20450</v>
      </c>
      <c r="D229" s="579"/>
      <c r="E229" s="98">
        <v>33</v>
      </c>
    </row>
    <row r="230" spans="1:5">
      <c r="A230" s="75">
        <v>36528</v>
      </c>
      <c r="B230" s="86" t="str">
        <f>TiposLancamentos!B97</f>
        <v>Deposito Terc.</v>
      </c>
      <c r="C230" s="52" t="s">
        <v>14514</v>
      </c>
      <c r="D230" s="63">
        <v>20</v>
      </c>
      <c r="E230" s="98"/>
    </row>
    <row r="231" spans="1:5">
      <c r="A231" s="75">
        <v>36530</v>
      </c>
      <c r="B231" s="86" t="str">
        <f>TiposLancamentos!B98</f>
        <v>Restituições</v>
      </c>
      <c r="C231" s="52" t="s">
        <v>20364</v>
      </c>
      <c r="D231" s="63">
        <v>190</v>
      </c>
      <c r="E231" s="98"/>
    </row>
    <row r="232" spans="1:5">
      <c r="A232" s="75">
        <v>36531</v>
      </c>
      <c r="B232" s="86" t="str">
        <f>TiposLancamentos!B95</f>
        <v>Salarios</v>
      </c>
      <c r="C232" s="52" t="s">
        <v>20451</v>
      </c>
      <c r="D232" s="63">
        <v>240</v>
      </c>
      <c r="E232" s="98"/>
    </row>
    <row r="233" spans="1:5">
      <c r="A233" s="75">
        <v>36532</v>
      </c>
      <c r="B233" s="86" t="str">
        <f>TiposLancamentos!B59</f>
        <v>Documentos</v>
      </c>
      <c r="C233" s="52" t="s">
        <v>12698</v>
      </c>
      <c r="D233" s="579"/>
      <c r="E233" s="98">
        <v>188</v>
      </c>
    </row>
    <row r="234" spans="1:5">
      <c r="A234" s="75">
        <v>36532</v>
      </c>
      <c r="B234" s="86" t="str">
        <f>TiposLancamentos!B4</f>
        <v>Taxas Bancarias</v>
      </c>
      <c r="C234" s="52" t="s">
        <v>14504</v>
      </c>
      <c r="D234" s="572"/>
      <c r="E234" s="98">
        <v>0.4</v>
      </c>
    </row>
    <row r="235" spans="1:5">
      <c r="A235" s="75">
        <v>36535</v>
      </c>
      <c r="B235" s="86" t="str">
        <f>TiposLancamentos!B20</f>
        <v>Saques</v>
      </c>
      <c r="C235" s="52" t="s">
        <v>2668</v>
      </c>
      <c r="D235" s="563"/>
      <c r="E235" s="98">
        <v>120</v>
      </c>
    </row>
    <row r="236" spans="1:5">
      <c r="A236" s="75">
        <v>36535</v>
      </c>
      <c r="B236" s="86" t="str">
        <f>TiposLancamentos!B4</f>
        <v>Taxas Bancarias</v>
      </c>
      <c r="C236" s="52" t="s">
        <v>20372</v>
      </c>
      <c r="D236" s="134"/>
      <c r="E236" s="98">
        <v>3</v>
      </c>
    </row>
    <row r="237" spans="1:5">
      <c r="A237" s="75">
        <v>36535</v>
      </c>
      <c r="B237" s="86" t="str">
        <f>TiposLancamentos!B15</f>
        <v>Cartões de Crédito</v>
      </c>
      <c r="C237" s="52" t="s">
        <v>20371</v>
      </c>
      <c r="D237" s="570"/>
      <c r="E237" s="98">
        <v>15</v>
      </c>
    </row>
    <row r="238" spans="1:5">
      <c r="A238" s="75">
        <v>36535</v>
      </c>
      <c r="B238" s="86" t="str">
        <f>TiposLancamentos!B15</f>
        <v>Cartões de Crédito</v>
      </c>
      <c r="C238" s="52" t="s">
        <v>16507</v>
      </c>
      <c r="D238" s="568"/>
      <c r="E238" s="98">
        <v>118.18</v>
      </c>
    </row>
    <row r="239" spans="1:5">
      <c r="A239" s="75">
        <v>36538</v>
      </c>
      <c r="B239" s="86" t="str">
        <f>TiposLancamentos!B56</f>
        <v>Farmácia</v>
      </c>
      <c r="C239" s="52" t="s">
        <v>20452</v>
      </c>
      <c r="D239" s="568"/>
      <c r="E239" s="98">
        <v>4.21</v>
      </c>
    </row>
    <row r="240" spans="1:5">
      <c r="A240" s="75">
        <v>36539</v>
      </c>
      <c r="B240" s="86" t="str">
        <f>TiposLancamentos!B4</f>
        <v>Taxas Bancarias</v>
      </c>
      <c r="C240" s="52" t="s">
        <v>14504</v>
      </c>
      <c r="D240" s="572"/>
      <c r="E240" s="98">
        <v>1.66</v>
      </c>
    </row>
    <row r="241" spans="1:5">
      <c r="A241" s="79">
        <v>36546</v>
      </c>
      <c r="B241" s="95" t="str">
        <f>TiposLancamentos!B4</f>
        <v>Taxas Bancarias</v>
      </c>
      <c r="C241" s="477" t="s">
        <v>14504</v>
      </c>
      <c r="D241" s="639"/>
      <c r="E241" s="97">
        <v>0.01</v>
      </c>
    </row>
    <row r="242" spans="1:5">
      <c r="A242" s="83"/>
      <c r="B242" s="91"/>
      <c r="C242" s="43" t="s">
        <v>20453</v>
      </c>
      <c r="D242" s="93"/>
      <c r="E242" s="94"/>
    </row>
    <row r="243" spans="1:5">
      <c r="A243" s="75">
        <v>36563</v>
      </c>
      <c r="B243" s="86" t="str">
        <f>TiposLancamentos!B95</f>
        <v>Salarios</v>
      </c>
      <c r="C243" s="52" t="s">
        <v>20435</v>
      </c>
      <c r="D243" s="63">
        <v>240</v>
      </c>
      <c r="E243" s="98"/>
    </row>
    <row r="244" spans="1:5">
      <c r="A244" s="75">
        <v>36566</v>
      </c>
      <c r="B244" s="86" t="str">
        <f>TiposLancamentos!B15</f>
        <v>Cartões de Crédito</v>
      </c>
      <c r="C244" s="52" t="s">
        <v>16507</v>
      </c>
      <c r="D244" s="568"/>
      <c r="E244" s="98">
        <v>28.74</v>
      </c>
    </row>
    <row r="245" spans="1:5">
      <c r="A245" s="75">
        <v>36566</v>
      </c>
      <c r="B245" s="86" t="str">
        <f>TiposLancamentos!B4</f>
        <v>Taxas Bancarias</v>
      </c>
      <c r="C245" s="52" t="s">
        <v>20372</v>
      </c>
      <c r="D245" s="134"/>
      <c r="E245" s="98">
        <v>3</v>
      </c>
    </row>
    <row r="246" spans="1:5">
      <c r="A246" s="75">
        <v>36567</v>
      </c>
      <c r="B246" s="86" t="str">
        <f>TiposLancamentos!B72</f>
        <v>Presentes</v>
      </c>
      <c r="C246" s="52" t="s">
        <v>20454</v>
      </c>
      <c r="D246" s="570"/>
      <c r="E246" s="98">
        <v>20</v>
      </c>
    </row>
    <row r="247" spans="1:5">
      <c r="A247" s="75">
        <v>36567</v>
      </c>
      <c r="B247" s="86" t="str">
        <f>TiposLancamentos!B20</f>
        <v>Saques</v>
      </c>
      <c r="C247" s="52" t="s">
        <v>2876</v>
      </c>
      <c r="D247" s="563"/>
      <c r="E247" s="98">
        <v>20</v>
      </c>
    </row>
    <row r="248" spans="1:5">
      <c r="A248" s="75">
        <v>36568</v>
      </c>
      <c r="B248" s="86" t="str">
        <f>TiposLancamentos!B19</f>
        <v>Restaurantes</v>
      </c>
      <c r="C248" s="52" t="s">
        <v>20455</v>
      </c>
      <c r="D248" s="563"/>
      <c r="E248" s="98">
        <v>16.5</v>
      </c>
    </row>
    <row r="249" spans="1:5">
      <c r="A249" s="75">
        <v>36570</v>
      </c>
      <c r="B249" s="86" t="str">
        <f>TiposLancamentos!B26</f>
        <v>LIVROS</v>
      </c>
      <c r="C249" s="52" t="s">
        <v>20456</v>
      </c>
      <c r="D249" s="134"/>
      <c r="E249" s="98">
        <v>94.5</v>
      </c>
    </row>
    <row r="250" spans="1:5" ht="12.75" customHeight="1">
      <c r="A250" s="75">
        <v>36570</v>
      </c>
      <c r="B250" s="86" t="str">
        <f>TiposLancamentos!B19</f>
        <v>Restaurantes</v>
      </c>
      <c r="C250" s="52" t="s">
        <v>20457</v>
      </c>
      <c r="D250" s="563"/>
      <c r="E250" s="98">
        <v>4.8</v>
      </c>
    </row>
    <row r="251" spans="1:5">
      <c r="A251" s="75">
        <v>36571</v>
      </c>
      <c r="B251" s="86" t="str">
        <f>TiposLancamentos!B2</f>
        <v>Telefonia</v>
      </c>
      <c r="C251" s="52" t="s">
        <v>20458</v>
      </c>
      <c r="D251" s="568"/>
      <c r="E251" s="98">
        <v>23.8</v>
      </c>
    </row>
    <row r="252" spans="1:5">
      <c r="A252" s="75">
        <v>36571</v>
      </c>
      <c r="B252" s="86" t="str">
        <f>TiposLancamentos!B20</f>
        <v>Saques</v>
      </c>
      <c r="C252" s="52" t="s">
        <v>2668</v>
      </c>
      <c r="D252" s="563"/>
      <c r="E252" s="98">
        <v>10</v>
      </c>
    </row>
    <row r="253" spans="1:5">
      <c r="A253" s="75">
        <v>36574</v>
      </c>
      <c r="B253" s="86" t="str">
        <f>TiposLancamentos!B4</f>
        <v>Taxas Bancarias</v>
      </c>
      <c r="C253" s="52" t="s">
        <v>14504</v>
      </c>
      <c r="D253" s="572"/>
      <c r="E253" s="98">
        <v>0.78</v>
      </c>
    </row>
    <row r="254" spans="1:5">
      <c r="A254" s="75">
        <v>36577</v>
      </c>
      <c r="B254" s="86" t="str">
        <f>TiposLancamentos!B56</f>
        <v>Farmácia</v>
      </c>
      <c r="C254" s="52" t="s">
        <v>20459</v>
      </c>
      <c r="D254" s="134"/>
      <c r="E254" s="98">
        <v>9.08</v>
      </c>
    </row>
    <row r="255" spans="1:5">
      <c r="A255" s="75">
        <v>36577</v>
      </c>
      <c r="B255" s="86" t="str">
        <f>TiposLancamentos!B20</f>
        <v>Saques</v>
      </c>
      <c r="C255" s="52" t="s">
        <v>2668</v>
      </c>
      <c r="D255" s="563"/>
      <c r="E255" s="98">
        <v>10</v>
      </c>
    </row>
    <row r="256" spans="1:5">
      <c r="A256" s="75">
        <v>36580</v>
      </c>
      <c r="B256" s="86" t="str">
        <f>TiposLancamentos!B97</f>
        <v>Deposito Terc.</v>
      </c>
      <c r="C256" s="52" t="s">
        <v>14514</v>
      </c>
      <c r="D256" s="63">
        <v>50</v>
      </c>
      <c r="E256" s="98"/>
    </row>
    <row r="257" spans="1:5">
      <c r="A257" s="75">
        <v>36581</v>
      </c>
      <c r="B257" s="86" t="str">
        <f>TiposLancamentos!B4</f>
        <v>Taxas Bancarias</v>
      </c>
      <c r="C257" s="52" t="s">
        <v>14504</v>
      </c>
      <c r="D257" s="572"/>
      <c r="E257" s="98">
        <v>7.0000000000000007E-2</v>
      </c>
    </row>
    <row r="258" spans="1:5">
      <c r="A258" s="75">
        <v>36584</v>
      </c>
      <c r="B258" s="86" t="str">
        <f>TiposLancamentos!B20</f>
        <v>Saques</v>
      </c>
      <c r="C258" s="52" t="s">
        <v>2668</v>
      </c>
      <c r="D258" s="563"/>
      <c r="E258" s="98">
        <v>20</v>
      </c>
    </row>
    <row r="259" spans="1:5">
      <c r="A259" s="79">
        <v>36585</v>
      </c>
      <c r="B259" s="86" t="str">
        <f>TiposLancamentos!B2</f>
        <v>Telefonia</v>
      </c>
      <c r="C259" s="477" t="s">
        <v>20458</v>
      </c>
      <c r="D259" s="169"/>
      <c r="E259" s="97">
        <v>3.2</v>
      </c>
    </row>
    <row r="260" spans="1:5">
      <c r="A260" s="83"/>
      <c r="B260" s="91"/>
      <c r="C260" s="43" t="s">
        <v>14681</v>
      </c>
      <c r="D260" s="93"/>
      <c r="E260" s="94"/>
    </row>
    <row r="261" spans="1:5">
      <c r="A261" s="75">
        <v>36588</v>
      </c>
      <c r="B261" s="86" t="str">
        <f>TiposLancamentos!B64</f>
        <v>Viagens</v>
      </c>
      <c r="C261" s="52" t="s">
        <v>20460</v>
      </c>
      <c r="D261" s="579"/>
      <c r="E261" s="98">
        <v>12.2</v>
      </c>
    </row>
    <row r="262" spans="1:5">
      <c r="A262" s="75">
        <v>36588</v>
      </c>
      <c r="B262" s="86" t="str">
        <f>TiposLancamentos!B5</f>
        <v>Supermercado</v>
      </c>
      <c r="C262" s="52" t="s">
        <v>20461</v>
      </c>
      <c r="D262" s="579"/>
      <c r="E262" s="98">
        <v>4.9000000000000004</v>
      </c>
    </row>
    <row r="263" spans="1:5">
      <c r="A263" s="75">
        <v>36588</v>
      </c>
      <c r="B263" s="86" t="str">
        <f>TiposLancamentos!B4</f>
        <v>Taxas Bancarias</v>
      </c>
      <c r="C263" s="52" t="s">
        <v>14504</v>
      </c>
      <c r="D263" s="572"/>
      <c r="E263" s="98">
        <v>0.08</v>
      </c>
    </row>
    <row r="264" spans="1:5">
      <c r="A264" s="75">
        <v>36590</v>
      </c>
      <c r="B264" s="86" t="str">
        <f>TiposLancamentos!B64</f>
        <v>Viagens</v>
      </c>
      <c r="C264" s="52" t="s">
        <v>20462</v>
      </c>
      <c r="D264" s="579"/>
      <c r="E264" s="98">
        <v>35.6</v>
      </c>
    </row>
    <row r="265" spans="1:5">
      <c r="A265" s="75">
        <v>36593</v>
      </c>
      <c r="B265" s="86" t="str">
        <f>TiposLancamentos!B97</f>
        <v>Deposito Terc.</v>
      </c>
      <c r="C265" s="52" t="s">
        <v>14514</v>
      </c>
      <c r="D265" s="63">
        <v>35</v>
      </c>
      <c r="E265" s="98"/>
    </row>
    <row r="266" spans="1:5">
      <c r="A266" s="75">
        <v>36594</v>
      </c>
      <c r="B266" s="86" t="str">
        <f>TiposLancamentos!B97</f>
        <v>Deposito Terc.</v>
      </c>
      <c r="C266" s="52" t="s">
        <v>14514</v>
      </c>
      <c r="D266" s="63">
        <v>50</v>
      </c>
      <c r="E266" s="98"/>
    </row>
    <row r="267" spans="1:5">
      <c r="A267" s="75">
        <v>36594</v>
      </c>
      <c r="B267" s="86" t="str">
        <f>TiposLancamentos!B20</f>
        <v>Saques</v>
      </c>
      <c r="C267" s="52" t="s">
        <v>2668</v>
      </c>
      <c r="D267" s="563"/>
      <c r="E267" s="98">
        <v>10</v>
      </c>
    </row>
    <row r="268" spans="1:5">
      <c r="A268" s="75">
        <v>36595</v>
      </c>
      <c r="B268" s="86" t="str">
        <f>TiposLancamentos!B15</f>
        <v>Cartões de Crédito</v>
      </c>
      <c r="C268" s="52" t="s">
        <v>16507</v>
      </c>
      <c r="D268" s="568"/>
      <c r="E268" s="98">
        <v>39.46</v>
      </c>
    </row>
    <row r="269" spans="1:5">
      <c r="A269" s="75">
        <v>36595</v>
      </c>
      <c r="B269" s="86" t="str">
        <f>TiposLancamentos!B4</f>
        <v>Taxas Bancarias</v>
      </c>
      <c r="C269" s="52" t="s">
        <v>20372</v>
      </c>
      <c r="D269" s="134"/>
      <c r="E269" s="98">
        <v>3</v>
      </c>
    </row>
    <row r="270" spans="1:5">
      <c r="A270" s="75">
        <v>36597</v>
      </c>
      <c r="B270" s="86" t="str">
        <f>TiposLancamentos!B64</f>
        <v>Viagens</v>
      </c>
      <c r="C270" s="52" t="s">
        <v>20463</v>
      </c>
      <c r="D270" s="134"/>
      <c r="E270" s="98">
        <v>4.4000000000000004</v>
      </c>
    </row>
    <row r="271" spans="1:5">
      <c r="A271" s="75">
        <v>36599</v>
      </c>
      <c r="B271" s="86" t="str">
        <f>TiposLancamentos!B97</f>
        <v>Deposito Terc.</v>
      </c>
      <c r="C271" s="52" t="s">
        <v>14514</v>
      </c>
      <c r="D271" s="63">
        <v>70</v>
      </c>
      <c r="E271" s="98"/>
    </row>
    <row r="272" spans="1:5">
      <c r="A272" s="75">
        <v>36600</v>
      </c>
      <c r="B272" s="86" t="str">
        <f>TiposLancamentos!B2</f>
        <v>Telefonia</v>
      </c>
      <c r="C272" s="52" t="s">
        <v>20458</v>
      </c>
      <c r="D272" s="568"/>
      <c r="E272" s="98">
        <v>70.540000000000006</v>
      </c>
    </row>
    <row r="273" spans="1:5">
      <c r="A273" s="75">
        <v>36602</v>
      </c>
      <c r="B273" s="86" t="str">
        <f>TiposLancamentos!B4</f>
        <v>Taxas Bancarias</v>
      </c>
      <c r="C273" s="52" t="s">
        <v>14504</v>
      </c>
      <c r="D273" s="563"/>
      <c r="E273" s="98">
        <v>0.63</v>
      </c>
    </row>
    <row r="274" spans="1:5">
      <c r="A274" s="75">
        <v>36605</v>
      </c>
      <c r="B274" s="86" t="str">
        <f>TiposLancamentos!B97</f>
        <v>Deposito Terc.</v>
      </c>
      <c r="C274" s="52" t="s">
        <v>14514</v>
      </c>
      <c r="D274" s="63">
        <v>21</v>
      </c>
      <c r="E274" s="98"/>
    </row>
    <row r="275" spans="1:5">
      <c r="A275" s="75">
        <v>36606</v>
      </c>
      <c r="B275" s="86" t="str">
        <f>TiposLancamentos!B2</f>
        <v>Telefonia</v>
      </c>
      <c r="C275" s="52" t="s">
        <v>20458</v>
      </c>
      <c r="D275" s="579"/>
      <c r="E275" s="98">
        <v>20.41</v>
      </c>
    </row>
    <row r="276" spans="1:5">
      <c r="A276" s="75">
        <v>36609</v>
      </c>
      <c r="B276" s="86" t="str">
        <f>TiposLancamentos!B4</f>
        <v>Taxas Bancarias</v>
      </c>
      <c r="C276" s="52" t="s">
        <v>14504</v>
      </c>
      <c r="D276" s="563"/>
      <c r="E276" s="98">
        <v>7.0000000000000007E-2</v>
      </c>
    </row>
    <row r="277" spans="1:5">
      <c r="A277" s="79">
        <v>36613</v>
      </c>
      <c r="B277" s="95" t="str">
        <f>TiposLancamentos!B97</f>
        <v>Deposito Terc.</v>
      </c>
      <c r="C277" s="477" t="s">
        <v>14514</v>
      </c>
      <c r="D277" s="85">
        <v>50</v>
      </c>
      <c r="E277" s="97"/>
    </row>
    <row r="278" spans="1:5">
      <c r="A278" s="83"/>
      <c r="B278" s="91"/>
      <c r="C278" s="43" t="s">
        <v>14682</v>
      </c>
      <c r="D278" s="93"/>
      <c r="E278" s="94"/>
    </row>
    <row r="279" spans="1:5">
      <c r="A279" s="75">
        <v>36621</v>
      </c>
      <c r="B279" s="86" t="str">
        <f>TiposLancamentos!B97</f>
        <v>Deposito Terc.</v>
      </c>
      <c r="C279" s="52" t="s">
        <v>14514</v>
      </c>
      <c r="D279" s="63">
        <v>65</v>
      </c>
      <c r="E279" s="98"/>
    </row>
    <row r="280" spans="1:5">
      <c r="A280" s="75">
        <v>36626</v>
      </c>
      <c r="B280" s="86" t="str">
        <f>TiposLancamentos!B15</f>
        <v>Cartões de Crédito</v>
      </c>
      <c r="C280" s="52" t="s">
        <v>16507</v>
      </c>
      <c r="D280" s="568"/>
      <c r="E280" s="98">
        <v>94.47</v>
      </c>
    </row>
    <row r="281" spans="1:5">
      <c r="A281" s="75">
        <v>36595</v>
      </c>
      <c r="B281" s="86" t="str">
        <f>TiposLancamentos!B4</f>
        <v>Taxas Bancarias</v>
      </c>
      <c r="C281" s="52" t="s">
        <v>20372</v>
      </c>
      <c r="D281" s="134"/>
      <c r="E281" s="98">
        <v>3</v>
      </c>
    </row>
    <row r="282" spans="1:5">
      <c r="A282" s="75">
        <v>36626</v>
      </c>
      <c r="B282" s="86" t="str">
        <f>TiposLancamentos!B15</f>
        <v>Cartões de Crédito</v>
      </c>
      <c r="C282" s="52" t="s">
        <v>20464</v>
      </c>
      <c r="D282" s="570"/>
      <c r="E282" s="98">
        <v>15</v>
      </c>
    </row>
    <row r="283" spans="1:5">
      <c r="A283" s="75">
        <v>36630</v>
      </c>
      <c r="B283" s="86" t="str">
        <f>TiposLancamentos!B4</f>
        <v>Taxas Bancarias</v>
      </c>
      <c r="C283" s="52" t="s">
        <v>14504</v>
      </c>
      <c r="D283" s="572"/>
      <c r="E283" s="98">
        <v>0.41</v>
      </c>
    </row>
    <row r="284" spans="1:5">
      <c r="A284" s="79">
        <v>36640</v>
      </c>
      <c r="B284" s="95" t="str">
        <f>TiposLancamentos!B97</f>
        <v>Deposito Terc.</v>
      </c>
      <c r="C284" s="477" t="s">
        <v>14514</v>
      </c>
      <c r="D284" s="85">
        <v>100</v>
      </c>
      <c r="E284" s="97"/>
    </row>
    <row r="285" spans="1:5">
      <c r="A285" s="83"/>
      <c r="B285" s="91"/>
      <c r="C285" s="43" t="s">
        <v>20465</v>
      </c>
      <c r="D285" s="93"/>
      <c r="E285" s="94"/>
    </row>
    <row r="286" spans="1:5">
      <c r="A286" s="75">
        <v>36649</v>
      </c>
      <c r="B286" s="86" t="str">
        <f>TiposLancamentos!B97</f>
        <v>Deposito Terc.</v>
      </c>
      <c r="C286" s="52" t="s">
        <v>14514</v>
      </c>
      <c r="D286" s="63">
        <v>130</v>
      </c>
      <c r="E286" s="98"/>
    </row>
    <row r="287" spans="1:5">
      <c r="A287" s="75">
        <v>36650</v>
      </c>
      <c r="B287" s="86" t="str">
        <f>TiposLancamentos!B97</f>
        <v>Deposito Terc.</v>
      </c>
      <c r="C287" s="52" t="s">
        <v>14514</v>
      </c>
      <c r="D287" s="63">
        <v>60</v>
      </c>
      <c r="E287" s="98"/>
    </row>
    <row r="288" spans="1:5">
      <c r="A288" s="75">
        <v>36651</v>
      </c>
      <c r="B288" s="86" t="str">
        <f>TiposLancamentos!B97</f>
        <v>Deposito Terc.</v>
      </c>
      <c r="C288" s="52" t="s">
        <v>14514</v>
      </c>
      <c r="D288" s="63">
        <v>102.5</v>
      </c>
      <c r="E288" s="98"/>
    </row>
    <row r="289" spans="1:5">
      <c r="A289" s="75">
        <v>36656</v>
      </c>
      <c r="B289" s="86" t="str">
        <f>TiposLancamentos!B15</f>
        <v>Cartões de Crédito</v>
      </c>
      <c r="C289" s="52" t="s">
        <v>16507</v>
      </c>
      <c r="D289" s="568"/>
      <c r="E289" s="98">
        <v>347.76</v>
      </c>
    </row>
    <row r="290" spans="1:5">
      <c r="A290" s="75">
        <v>36656</v>
      </c>
      <c r="B290" s="86" t="str">
        <f>TiposLancamentos!B4</f>
        <v>Taxas Bancarias</v>
      </c>
      <c r="C290" s="52" t="s">
        <v>20372</v>
      </c>
      <c r="D290" s="134"/>
      <c r="E290" s="98">
        <v>3</v>
      </c>
    </row>
    <row r="291" spans="1:5">
      <c r="A291" s="75">
        <v>36657</v>
      </c>
      <c r="B291" s="86" t="str">
        <f>TiposLancamentos!B5</f>
        <v>Supermercado</v>
      </c>
      <c r="C291" s="52" t="s">
        <v>20466</v>
      </c>
      <c r="D291" s="570"/>
      <c r="E291" s="98">
        <v>22.49</v>
      </c>
    </row>
    <row r="292" spans="1:5">
      <c r="A292" s="75">
        <v>36658</v>
      </c>
      <c r="B292" s="86" t="str">
        <f>TiposLancamentos!B4</f>
        <v>Taxas Bancarias</v>
      </c>
      <c r="C292" s="52" t="s">
        <v>14504</v>
      </c>
      <c r="D292" s="572"/>
      <c r="E292" s="98">
        <v>1.33</v>
      </c>
    </row>
    <row r="293" spans="1:5">
      <c r="A293" s="75">
        <v>36662</v>
      </c>
      <c r="B293" s="86" t="str">
        <f>TiposLancamentos!B20</f>
        <v>Saques</v>
      </c>
      <c r="C293" s="52" t="s">
        <v>2668</v>
      </c>
      <c r="D293" s="563"/>
      <c r="E293" s="98">
        <v>10</v>
      </c>
    </row>
    <row r="294" spans="1:5">
      <c r="A294" s="75">
        <v>36665</v>
      </c>
      <c r="B294" s="86" t="str">
        <f>TiposLancamentos!B4</f>
        <v>Taxas Bancarias</v>
      </c>
      <c r="C294" s="52" t="s">
        <v>14504</v>
      </c>
      <c r="D294" s="572"/>
      <c r="E294" s="98">
        <v>0.11</v>
      </c>
    </row>
    <row r="295" spans="1:5">
      <c r="A295" s="75">
        <v>36666</v>
      </c>
      <c r="B295" s="86" t="str">
        <f>TiposLancamentos!B20</f>
        <v>Saques</v>
      </c>
      <c r="C295" s="52" t="s">
        <v>2876</v>
      </c>
      <c r="D295" s="563"/>
      <c r="E295" s="98">
        <v>10</v>
      </c>
    </row>
    <row r="296" spans="1:5">
      <c r="A296" s="75">
        <v>36672</v>
      </c>
      <c r="B296" s="86" t="str">
        <f>TiposLancamentos!B4</f>
        <v>Taxas Bancarias</v>
      </c>
      <c r="C296" s="52" t="s">
        <v>14504</v>
      </c>
      <c r="D296" s="572"/>
      <c r="E296" s="98">
        <v>0.03</v>
      </c>
    </row>
    <row r="297" spans="1:5">
      <c r="A297" s="75">
        <v>36675</v>
      </c>
      <c r="B297" s="86" t="str">
        <f>TiposLancamentos!B97</f>
        <v>Deposito Terc.</v>
      </c>
      <c r="C297" s="52" t="s">
        <v>14514</v>
      </c>
      <c r="D297" s="63">
        <v>50</v>
      </c>
      <c r="E297" s="98"/>
    </row>
    <row r="298" spans="1:5">
      <c r="A298" s="75">
        <v>36677</v>
      </c>
      <c r="B298" s="86" t="str">
        <f>TiposLancamentos!B97</f>
        <v>Deposito Terc.</v>
      </c>
      <c r="C298" s="52" t="s">
        <v>14514</v>
      </c>
      <c r="D298" s="63">
        <v>31.43</v>
      </c>
      <c r="E298" s="98"/>
    </row>
    <row r="299" spans="1:5">
      <c r="A299" s="79">
        <v>36677</v>
      </c>
      <c r="B299" s="95" t="str">
        <f>TiposLancamentos!B20</f>
        <v>Saques</v>
      </c>
      <c r="C299" s="477" t="s">
        <v>2876</v>
      </c>
      <c r="D299" s="569"/>
      <c r="E299" s="97">
        <v>10</v>
      </c>
    </row>
    <row r="300" spans="1:5">
      <c r="A300" s="83"/>
      <c r="B300" s="91"/>
      <c r="C300" s="43" t="s">
        <v>14689</v>
      </c>
      <c r="D300" s="93"/>
      <c r="E300" s="94"/>
    </row>
    <row r="301" spans="1:5">
      <c r="A301" s="75">
        <v>36679</v>
      </c>
      <c r="B301" s="86" t="str">
        <f>TiposLancamentos!B15</f>
        <v>Cartões de Crédito</v>
      </c>
      <c r="C301" s="52" t="s">
        <v>16507</v>
      </c>
      <c r="D301" s="568"/>
      <c r="E301" s="98">
        <v>71.09</v>
      </c>
    </row>
    <row r="302" spans="1:5">
      <c r="A302" s="75">
        <v>36679</v>
      </c>
      <c r="B302" s="86" t="str">
        <f>TiposLancamentos!B4</f>
        <v>Taxas Bancarias</v>
      </c>
      <c r="C302" s="52" t="s">
        <v>14504</v>
      </c>
      <c r="D302" s="572"/>
      <c r="E302" s="98">
        <v>0.03</v>
      </c>
    </row>
    <row r="303" spans="1:5">
      <c r="A303" s="75">
        <v>36686</v>
      </c>
      <c r="B303" s="86" t="str">
        <f>TiposLancamentos!B4</f>
        <v>Taxas Bancarias</v>
      </c>
      <c r="C303" s="52" t="s">
        <v>14504</v>
      </c>
      <c r="D303" s="572"/>
      <c r="E303" s="98">
        <v>0.27</v>
      </c>
    </row>
    <row r="304" spans="1:5">
      <c r="A304" s="75">
        <v>36701</v>
      </c>
      <c r="B304" s="86" t="str">
        <f>TiposLancamentos!B19</f>
        <v>Restaurantes</v>
      </c>
      <c r="C304" s="52" t="s">
        <v>20467</v>
      </c>
      <c r="D304" s="563"/>
      <c r="E304" s="98">
        <v>10</v>
      </c>
    </row>
    <row r="305" spans="1:5">
      <c r="A305" s="75">
        <v>36703</v>
      </c>
      <c r="B305" s="86" t="str">
        <f>TiposLancamentos!B97</f>
        <v>Deposito Terc.</v>
      </c>
      <c r="C305" s="52" t="s">
        <v>14514</v>
      </c>
      <c r="D305" s="63">
        <v>14.4</v>
      </c>
      <c r="E305" s="98"/>
    </row>
    <row r="306" spans="1:5">
      <c r="A306" s="75">
        <v>36703</v>
      </c>
      <c r="B306" s="86" t="str">
        <f>TiposLancamentos!B77</f>
        <v>Esporádico</v>
      </c>
      <c r="C306" s="52" t="s">
        <v>20468</v>
      </c>
      <c r="D306" s="563"/>
      <c r="E306" s="98">
        <v>2.9</v>
      </c>
    </row>
    <row r="307" spans="1:5">
      <c r="A307" s="75">
        <v>36703</v>
      </c>
      <c r="B307" s="86" t="str">
        <f>TiposLancamentos!B4</f>
        <v>Taxas Bancarias</v>
      </c>
      <c r="C307" s="52" t="s">
        <v>20372</v>
      </c>
      <c r="D307" s="134"/>
      <c r="E307" s="98">
        <v>3</v>
      </c>
    </row>
    <row r="308" spans="1:5">
      <c r="A308" s="79">
        <v>36705</v>
      </c>
      <c r="B308" s="95" t="str">
        <f>TiposLancamentos!B97</f>
        <v>Deposito Terc.</v>
      </c>
      <c r="C308" s="477" t="s">
        <v>14514</v>
      </c>
      <c r="D308" s="85">
        <v>21</v>
      </c>
      <c r="E308" s="97"/>
    </row>
    <row r="309" spans="1:5">
      <c r="A309" s="83"/>
      <c r="B309" s="91"/>
      <c r="C309" s="43" t="s">
        <v>20469</v>
      </c>
      <c r="D309" s="93"/>
      <c r="E309" s="94"/>
    </row>
    <row r="310" spans="1:5">
      <c r="A310" s="75">
        <v>36712</v>
      </c>
      <c r="B310" s="86" t="str">
        <f>TiposLancamentos!B97</f>
        <v>Deposito Terc.</v>
      </c>
      <c r="C310" s="52" t="s">
        <v>14514</v>
      </c>
      <c r="D310" s="63">
        <v>25</v>
      </c>
      <c r="E310" s="98"/>
    </row>
    <row r="311" spans="1:5">
      <c r="A311" s="75">
        <v>36713</v>
      </c>
      <c r="B311" s="86" t="str">
        <f>TiposLancamentos!B97</f>
        <v>Deposito Terc.</v>
      </c>
      <c r="C311" s="52" t="s">
        <v>14514</v>
      </c>
      <c r="D311" s="63">
        <v>65</v>
      </c>
      <c r="E311" s="98"/>
    </row>
    <row r="312" spans="1:5">
      <c r="A312" s="75">
        <v>36717</v>
      </c>
      <c r="B312" s="86" t="str">
        <f>TiposLancamentos!B15</f>
        <v>Cartões de Crédito</v>
      </c>
      <c r="C312" s="52" t="s">
        <v>16507</v>
      </c>
      <c r="D312" s="568"/>
      <c r="E312" s="98">
        <v>104.99</v>
      </c>
    </row>
    <row r="313" spans="1:5">
      <c r="A313" s="75">
        <v>36717</v>
      </c>
      <c r="B313" s="86" t="str">
        <f>TiposLancamentos!B4</f>
        <v>Taxas Bancarias</v>
      </c>
      <c r="C313" s="52" t="s">
        <v>20372</v>
      </c>
      <c r="D313" s="568"/>
      <c r="E313" s="98">
        <v>3</v>
      </c>
    </row>
    <row r="314" spans="1:5">
      <c r="A314" s="75">
        <v>36717</v>
      </c>
      <c r="B314" s="86" t="str">
        <f>TiposLancamentos!B4</f>
        <v>Taxas Bancarias</v>
      </c>
      <c r="C314" s="52" t="s">
        <v>14504</v>
      </c>
      <c r="D314" s="572"/>
      <c r="E314" s="98">
        <v>0.31</v>
      </c>
    </row>
    <row r="315" spans="1:5">
      <c r="A315" s="75">
        <v>36724</v>
      </c>
      <c r="B315" s="86" t="str">
        <f>TiposLancamentos!B97</f>
        <v>Deposito Terc.</v>
      </c>
      <c r="C315" s="52" t="s">
        <v>14514</v>
      </c>
      <c r="D315" s="63">
        <v>50</v>
      </c>
      <c r="E315" s="98"/>
    </row>
    <row r="316" spans="1:5">
      <c r="A316" s="75">
        <v>36724</v>
      </c>
      <c r="B316" s="86" t="str">
        <f>TiposLancamentos!B15</f>
        <v>Cartões de Crédito</v>
      </c>
      <c r="C316" s="52" t="s">
        <v>20470</v>
      </c>
      <c r="D316" s="63"/>
      <c r="E316" s="98">
        <v>15</v>
      </c>
    </row>
    <row r="317" spans="1:5">
      <c r="A317" s="75">
        <v>36728</v>
      </c>
      <c r="B317" s="86" t="str">
        <f>TiposLancamentos!B4</f>
        <v>Taxas Bancarias</v>
      </c>
      <c r="C317" s="52" t="s">
        <v>14504</v>
      </c>
      <c r="D317" s="63"/>
      <c r="E317" s="98">
        <v>0.04</v>
      </c>
    </row>
    <row r="318" spans="1:5">
      <c r="A318" s="75">
        <v>36731</v>
      </c>
      <c r="B318" s="86" t="str">
        <f>TiposLancamentos!B97</f>
        <v>Deposito Terc.</v>
      </c>
      <c r="C318" s="52" t="s">
        <v>14514</v>
      </c>
      <c r="D318" s="63">
        <v>20</v>
      </c>
      <c r="E318" s="98"/>
    </row>
    <row r="319" spans="1:5">
      <c r="A319" s="75">
        <v>36731</v>
      </c>
      <c r="B319" s="86" t="str">
        <f>TiposLancamentos!B2</f>
        <v>Telefonia</v>
      </c>
      <c r="C319" s="52" t="s">
        <v>20458</v>
      </c>
      <c r="D319" s="63"/>
      <c r="E319" s="98">
        <v>20.45</v>
      </c>
    </row>
    <row r="320" spans="1:5">
      <c r="A320" s="75">
        <v>36733</v>
      </c>
      <c r="B320" s="86" t="str">
        <f>TiposLancamentos!B20</f>
        <v>Saques</v>
      </c>
      <c r="C320" s="52" t="s">
        <v>2668</v>
      </c>
      <c r="D320" s="63"/>
      <c r="E320" s="98">
        <v>10</v>
      </c>
    </row>
    <row r="321" spans="1:5">
      <c r="A321" s="75">
        <v>36725</v>
      </c>
      <c r="B321" s="86" t="str">
        <f>TiposLancamentos!B4</f>
        <v>Taxas Bancarias</v>
      </c>
      <c r="C321" s="52" t="s">
        <v>14504</v>
      </c>
      <c r="D321" s="63"/>
      <c r="E321" s="98">
        <v>0.09</v>
      </c>
    </row>
    <row r="322" spans="1:5">
      <c r="A322" s="75">
        <v>36735</v>
      </c>
      <c r="B322" s="86" t="str">
        <f>TiposLancamentos!B59</f>
        <v>Documentos</v>
      </c>
      <c r="C322" s="52" t="s">
        <v>20471</v>
      </c>
      <c r="D322" s="63"/>
      <c r="E322" s="98">
        <v>5.5</v>
      </c>
    </row>
    <row r="323" spans="1:5">
      <c r="A323" s="75">
        <v>36736</v>
      </c>
      <c r="B323" s="86" t="str">
        <f>TiposLancamentos!B57</f>
        <v>Informática</v>
      </c>
      <c r="C323" s="52" t="s">
        <v>20472</v>
      </c>
      <c r="D323" s="63"/>
      <c r="E323" s="98">
        <v>7.5</v>
      </c>
    </row>
    <row r="324" spans="1:5">
      <c r="A324" s="79">
        <v>36736</v>
      </c>
      <c r="B324" s="95" t="str">
        <f>TiposLancamentos!B19</f>
        <v>Restaurantes</v>
      </c>
      <c r="C324" s="477" t="s">
        <v>20473</v>
      </c>
      <c r="D324" s="85"/>
      <c r="E324" s="97">
        <v>16</v>
      </c>
    </row>
    <row r="325" spans="1:5">
      <c r="A325" s="83"/>
      <c r="B325" s="91"/>
      <c r="C325" s="43" t="s">
        <v>20474</v>
      </c>
      <c r="D325" s="93"/>
      <c r="E325" s="94"/>
    </row>
    <row r="326" spans="1:5">
      <c r="A326" s="75">
        <v>36739</v>
      </c>
      <c r="B326" s="86" t="str">
        <f>TiposLancamentos!B97</f>
        <v>Deposito Terc.</v>
      </c>
      <c r="C326" s="52" t="s">
        <v>14514</v>
      </c>
      <c r="D326" s="63">
        <v>40</v>
      </c>
      <c r="E326" s="98"/>
    </row>
    <row r="327" spans="1:5">
      <c r="A327" s="75">
        <v>36739</v>
      </c>
      <c r="B327" s="86" t="str">
        <f>TiposLancamentos!B5</f>
        <v>Supermercado</v>
      </c>
      <c r="C327" s="52" t="s">
        <v>20475</v>
      </c>
      <c r="D327" s="63"/>
      <c r="E327" s="98">
        <v>13.14</v>
      </c>
    </row>
    <row r="328" spans="1:5">
      <c r="A328" s="75">
        <v>36741</v>
      </c>
      <c r="B328" s="86" t="str">
        <f>TiposLancamentos!B20</f>
        <v>Saques</v>
      </c>
      <c r="C328" s="52" t="s">
        <v>2668</v>
      </c>
      <c r="D328" s="63"/>
      <c r="E328" s="98">
        <v>10</v>
      </c>
    </row>
    <row r="329" spans="1:5">
      <c r="A329" s="75">
        <v>36742</v>
      </c>
      <c r="B329" s="86" t="str">
        <f>TiposLancamentos!B4</f>
        <v>Taxas Bancarias</v>
      </c>
      <c r="C329" s="52" t="s">
        <v>14504</v>
      </c>
      <c r="D329" s="63"/>
      <c r="E329" s="98">
        <v>0.06</v>
      </c>
    </row>
    <row r="330" spans="1:5">
      <c r="A330" s="75">
        <v>36744</v>
      </c>
      <c r="B330" s="86" t="str">
        <f>TiposLancamentos!B19</f>
        <v>Restaurantes</v>
      </c>
      <c r="C330" s="52" t="s">
        <v>20476</v>
      </c>
      <c r="D330" s="63"/>
      <c r="E330" s="98">
        <v>5.6</v>
      </c>
    </row>
    <row r="331" spans="1:5">
      <c r="A331" s="75">
        <v>36744</v>
      </c>
      <c r="B331" s="86" t="str">
        <f>TiposLancamentos!B19</f>
        <v>Restaurantes</v>
      </c>
      <c r="C331" s="52" t="s">
        <v>20477</v>
      </c>
      <c r="D331" s="63"/>
      <c r="E331" s="98">
        <v>6.8</v>
      </c>
    </row>
    <row r="332" spans="1:5">
      <c r="A332" s="75">
        <v>36745</v>
      </c>
      <c r="B332" s="86" t="str">
        <f>TiposLancamentos!B97</f>
        <v>Deposito Terc.</v>
      </c>
      <c r="C332" s="52" t="s">
        <v>14514</v>
      </c>
      <c r="D332" s="63">
        <v>45</v>
      </c>
      <c r="E332" s="98"/>
    </row>
    <row r="333" spans="1:5">
      <c r="A333" s="75">
        <v>36746</v>
      </c>
      <c r="B333" s="86" t="str">
        <f>TiposLancamentos!B97</f>
        <v>Deposito Terc.</v>
      </c>
      <c r="C333" s="52" t="s">
        <v>14514</v>
      </c>
      <c r="D333" s="63">
        <v>13</v>
      </c>
      <c r="E333" s="98"/>
    </row>
    <row r="334" spans="1:5">
      <c r="A334" s="75">
        <v>36748</v>
      </c>
      <c r="B334" s="86" t="str">
        <f>TiposLancamentos!B4</f>
        <v>Taxas Bancarias</v>
      </c>
      <c r="C334" s="52" t="s">
        <v>14504</v>
      </c>
      <c r="D334" s="63"/>
      <c r="E334" s="98">
        <v>0.08</v>
      </c>
    </row>
    <row r="335" spans="1:5">
      <c r="A335" s="75">
        <v>36748</v>
      </c>
      <c r="B335" s="86" t="str">
        <f>TiposLancamentos!B4</f>
        <v>Taxas Bancarias</v>
      </c>
      <c r="C335" s="52" t="s">
        <v>20372</v>
      </c>
      <c r="D335" s="63"/>
      <c r="E335" s="98">
        <v>3</v>
      </c>
    </row>
    <row r="336" spans="1:5">
      <c r="A336" s="75">
        <v>36753</v>
      </c>
      <c r="B336" s="86" t="str">
        <f>TiposLancamentos!B97</f>
        <v>Deposito Terc.</v>
      </c>
      <c r="C336" s="52" t="s">
        <v>14514</v>
      </c>
      <c r="D336" s="63">
        <v>50</v>
      </c>
      <c r="E336" s="98"/>
    </row>
    <row r="337" spans="1:5">
      <c r="A337" s="75">
        <v>36754</v>
      </c>
      <c r="B337" s="86" t="str">
        <f>TiposLancamentos!B15</f>
        <v>Cartões de Crédito</v>
      </c>
      <c r="C337" s="52" t="s">
        <v>16507</v>
      </c>
      <c r="D337" s="63"/>
      <c r="E337" s="98">
        <v>92.52</v>
      </c>
    </row>
    <row r="338" spans="1:5">
      <c r="A338" s="75">
        <v>36754</v>
      </c>
      <c r="B338" s="86" t="str">
        <f>TiposLancamentos!B20</f>
        <v>Saques</v>
      </c>
      <c r="C338" s="52" t="s">
        <v>2668</v>
      </c>
      <c r="D338" s="63"/>
      <c r="E338" s="98">
        <v>10</v>
      </c>
    </row>
    <row r="339" spans="1:5">
      <c r="A339" s="75">
        <v>36756</v>
      </c>
      <c r="B339" s="86" t="str">
        <f>TiposLancamentos!B4</f>
        <v>Taxas Bancarias</v>
      </c>
      <c r="C339" s="52" t="s">
        <v>14504</v>
      </c>
      <c r="D339" s="63"/>
      <c r="E339" s="98">
        <v>0.32</v>
      </c>
    </row>
    <row r="340" spans="1:5">
      <c r="A340" s="79">
        <v>36768</v>
      </c>
      <c r="B340" s="95" t="str">
        <f>TiposLancamentos!B97</f>
        <v>Deposito Terc.</v>
      </c>
      <c r="C340" s="477" t="s">
        <v>14514</v>
      </c>
      <c r="D340" s="85">
        <v>40</v>
      </c>
      <c r="E340" s="97"/>
    </row>
    <row r="341" spans="1:5">
      <c r="A341" s="83"/>
      <c r="B341" s="91"/>
      <c r="C341" s="43" t="s">
        <v>20478</v>
      </c>
      <c r="D341" s="93"/>
      <c r="E341" s="94"/>
    </row>
    <row r="342" spans="1:5" ht="13.5" customHeight="1">
      <c r="A342" s="75">
        <v>36770</v>
      </c>
      <c r="B342" s="86" t="str">
        <f>TiposLancamentos!B20</f>
        <v>Saques</v>
      </c>
      <c r="C342" s="52" t="s">
        <v>2668</v>
      </c>
      <c r="D342" s="63"/>
      <c r="E342" s="98">
        <v>10</v>
      </c>
    </row>
    <row r="343" spans="1:5">
      <c r="A343" s="75">
        <v>36773</v>
      </c>
      <c r="B343" s="86" t="str">
        <f>TiposLancamentos!B20</f>
        <v>Saques</v>
      </c>
      <c r="C343" s="52" t="s">
        <v>2876</v>
      </c>
      <c r="D343" s="63"/>
      <c r="E343" s="98">
        <v>30</v>
      </c>
    </row>
    <row r="344" spans="1:5">
      <c r="A344" s="75">
        <v>36775</v>
      </c>
      <c r="B344" s="86" t="str">
        <f>TiposLancamentos!B97</f>
        <v>Deposito Terc.</v>
      </c>
      <c r="C344" s="52" t="s">
        <v>14514</v>
      </c>
      <c r="D344" s="63">
        <v>33</v>
      </c>
      <c r="E344" s="98"/>
    </row>
    <row r="345" spans="1:5">
      <c r="A345" s="75">
        <v>36777</v>
      </c>
      <c r="B345" s="86" t="str">
        <f>TiposLancamentos!B4</f>
        <v>Taxas Bancarias</v>
      </c>
      <c r="C345" s="52" t="s">
        <v>14504</v>
      </c>
      <c r="D345" s="63"/>
      <c r="E345" s="98">
        <v>0.12</v>
      </c>
    </row>
    <row r="346" spans="1:5">
      <c r="A346" s="75">
        <v>36778</v>
      </c>
      <c r="B346" s="86" t="str">
        <f>TiposLancamentos!B15</f>
        <v>Cartões de Crédito</v>
      </c>
      <c r="C346" s="52" t="s">
        <v>16507</v>
      </c>
      <c r="D346" s="63"/>
      <c r="E346" s="98">
        <v>32.15</v>
      </c>
    </row>
    <row r="347" spans="1:5">
      <c r="A347" s="75">
        <v>36778</v>
      </c>
      <c r="B347" s="86" t="str">
        <f>TiposLancamentos!B4</f>
        <v>Taxas Bancarias</v>
      </c>
      <c r="C347" s="52" t="s">
        <v>20372</v>
      </c>
      <c r="D347" s="63"/>
      <c r="E347" s="98">
        <v>3</v>
      </c>
    </row>
    <row r="348" spans="1:5">
      <c r="A348" s="75">
        <v>36784</v>
      </c>
      <c r="B348" s="86" t="str">
        <f>TiposLancamentos!B4</f>
        <v>Taxas Bancarias</v>
      </c>
      <c r="C348" s="52" t="s">
        <v>14504</v>
      </c>
      <c r="D348" s="63"/>
      <c r="E348" s="98">
        <v>0.09</v>
      </c>
    </row>
    <row r="349" spans="1:5">
      <c r="A349" s="75">
        <v>36786</v>
      </c>
      <c r="B349" s="86" t="str">
        <f>TiposLancamentos!B19</f>
        <v>Restaurantes</v>
      </c>
      <c r="C349" s="52" t="s">
        <v>20479</v>
      </c>
      <c r="D349" s="63"/>
      <c r="E349" s="98">
        <v>6</v>
      </c>
    </row>
    <row r="350" spans="1:5">
      <c r="A350" s="75">
        <v>36787</v>
      </c>
      <c r="B350" s="86" t="str">
        <f>TiposLancamentos!B97</f>
        <v>Deposito Terc.</v>
      </c>
      <c r="C350" s="52" t="s">
        <v>14514</v>
      </c>
      <c r="D350" s="63">
        <v>9</v>
      </c>
      <c r="E350" s="98"/>
    </row>
    <row r="351" spans="1:5">
      <c r="A351" s="75">
        <v>36789</v>
      </c>
      <c r="B351" s="86" t="str">
        <f>TiposLancamentos!B97</f>
        <v>Deposito Terc.</v>
      </c>
      <c r="C351" s="52" t="s">
        <v>14514</v>
      </c>
      <c r="D351" s="63">
        <v>50</v>
      </c>
      <c r="E351" s="98"/>
    </row>
    <row r="352" spans="1:5">
      <c r="A352" s="75">
        <v>36789</v>
      </c>
      <c r="B352" s="86" t="str">
        <f>TiposLancamentos!B20</f>
        <v>Saques</v>
      </c>
      <c r="C352" s="52" t="s">
        <v>2668</v>
      </c>
      <c r="D352" s="63"/>
      <c r="E352" s="98">
        <v>10</v>
      </c>
    </row>
    <row r="353" spans="1:5">
      <c r="A353" s="75">
        <v>36789</v>
      </c>
      <c r="B353" s="86" t="str">
        <f>TiposLancamentos!B2</f>
        <v>Telefonia</v>
      </c>
      <c r="C353" s="52" t="s">
        <v>20458</v>
      </c>
      <c r="D353" s="63"/>
      <c r="E353" s="98">
        <v>29.75</v>
      </c>
    </row>
    <row r="354" spans="1:5">
      <c r="A354" s="75">
        <v>36791</v>
      </c>
      <c r="B354" s="86" t="str">
        <f>TiposLancamentos!B4</f>
        <v>Taxas Bancarias</v>
      </c>
      <c r="C354" s="52" t="s">
        <v>14504</v>
      </c>
      <c r="D354" s="63"/>
      <c r="E354" s="98">
        <v>0.12</v>
      </c>
    </row>
    <row r="355" spans="1:5">
      <c r="A355" s="75">
        <v>36792</v>
      </c>
      <c r="B355" s="86" t="str">
        <f>TiposLancamentos!B76</f>
        <v>Motel</v>
      </c>
      <c r="C355" s="52" t="s">
        <v>20480</v>
      </c>
      <c r="D355" s="63"/>
      <c r="E355" s="98">
        <v>15</v>
      </c>
    </row>
    <row r="356" spans="1:5">
      <c r="A356" s="79">
        <v>36798</v>
      </c>
      <c r="B356" s="95" t="str">
        <f>TiposLancamentos!B4</f>
        <v>Taxas Bancarias</v>
      </c>
      <c r="C356" s="477" t="s">
        <v>14504</v>
      </c>
      <c r="D356" s="85"/>
      <c r="E356" s="97">
        <v>0.04</v>
      </c>
    </row>
    <row r="357" spans="1:5">
      <c r="A357" s="83"/>
      <c r="B357" s="91"/>
      <c r="C357" s="43" t="s">
        <v>20481</v>
      </c>
      <c r="D357" s="93"/>
      <c r="E357" s="94"/>
    </row>
    <row r="358" spans="1:5">
      <c r="A358" s="75">
        <v>36802</v>
      </c>
      <c r="B358" s="86" t="str">
        <f>TiposLancamentos!B97</f>
        <v>Deposito Terc.</v>
      </c>
      <c r="C358" s="52" t="s">
        <v>14514</v>
      </c>
      <c r="D358" s="63">
        <v>25</v>
      </c>
      <c r="E358" s="98"/>
    </row>
    <row r="359" spans="1:5">
      <c r="A359" s="75">
        <v>36803</v>
      </c>
      <c r="B359" s="86" t="str">
        <f>TiposLancamentos!B97</f>
        <v>Deposito Terc.</v>
      </c>
      <c r="C359" s="52" t="s">
        <v>14514</v>
      </c>
      <c r="D359" s="63">
        <v>16</v>
      </c>
      <c r="E359" s="98"/>
    </row>
    <row r="360" spans="1:5">
      <c r="A360" s="75">
        <v>36803</v>
      </c>
      <c r="B360" s="86" t="str">
        <f>TiposLancamentos!B97</f>
        <v>Deposito Terc.</v>
      </c>
      <c r="C360" s="52" t="s">
        <v>14514</v>
      </c>
      <c r="D360" s="63">
        <v>131</v>
      </c>
      <c r="E360" s="98"/>
    </row>
    <row r="361" spans="1:5">
      <c r="A361" s="75">
        <v>36805</v>
      </c>
      <c r="B361" s="86" t="str">
        <f>TiposLancamentos!B77</f>
        <v>Esporádico</v>
      </c>
      <c r="C361" s="52" t="s">
        <v>20482</v>
      </c>
      <c r="D361" s="63"/>
      <c r="E361" s="98">
        <v>5</v>
      </c>
    </row>
    <row r="362" spans="1:5">
      <c r="A362" s="75">
        <v>36809</v>
      </c>
      <c r="B362" s="86" t="str">
        <f>TiposLancamentos!B4</f>
        <v>Taxas Bancarias</v>
      </c>
      <c r="C362" s="52" t="s">
        <v>20372</v>
      </c>
      <c r="D362" s="63"/>
      <c r="E362" s="98">
        <v>3</v>
      </c>
    </row>
    <row r="363" spans="1:5">
      <c r="A363" s="75">
        <v>36809</v>
      </c>
      <c r="B363" s="86" t="str">
        <f>TiposLancamentos!B15</f>
        <v>Cartões de Crédito</v>
      </c>
      <c r="C363" s="52" t="s">
        <v>20483</v>
      </c>
      <c r="D363" s="63"/>
      <c r="E363" s="98">
        <v>15</v>
      </c>
    </row>
    <row r="364" spans="1:5">
      <c r="A364" s="75">
        <v>36809</v>
      </c>
      <c r="B364" s="86" t="str">
        <f>TiposLancamentos!B15</f>
        <v>Cartões de Crédito</v>
      </c>
      <c r="C364" s="52" t="s">
        <v>16507</v>
      </c>
      <c r="D364" s="63"/>
      <c r="E364" s="98">
        <v>148.13999999999999</v>
      </c>
    </row>
    <row r="365" spans="1:5">
      <c r="A365" s="75">
        <v>36812</v>
      </c>
      <c r="B365" s="86" t="str">
        <f>TiposLancamentos!B4</f>
        <v>Taxas Bancarias</v>
      </c>
      <c r="C365" s="52" t="s">
        <v>14504</v>
      </c>
      <c r="D365" s="63"/>
      <c r="E365" s="98">
        <v>0.48</v>
      </c>
    </row>
    <row r="366" spans="1:5">
      <c r="A366" s="75">
        <v>36816</v>
      </c>
      <c r="B366" s="86" t="str">
        <f>TiposLancamentos!B2</f>
        <v>Telefonia</v>
      </c>
      <c r="C366" s="52" t="s">
        <v>20458</v>
      </c>
      <c r="D366" s="63"/>
      <c r="E366" s="98">
        <v>1.69</v>
      </c>
    </row>
    <row r="367" spans="1:5">
      <c r="A367" s="75">
        <v>36819</v>
      </c>
      <c r="B367" s="86" t="str">
        <f>TiposLancamentos!B4</f>
        <v>Taxas Bancarias</v>
      </c>
      <c r="C367" s="52" t="s">
        <v>14504</v>
      </c>
      <c r="D367" s="63"/>
      <c r="E367" s="98">
        <v>0.01</v>
      </c>
    </row>
    <row r="368" spans="1:5">
      <c r="A368" s="75">
        <v>36821</v>
      </c>
      <c r="B368" s="86" t="str">
        <f>TiposLancamentos!B64</f>
        <v>Viagens</v>
      </c>
      <c r="C368" s="52" t="s">
        <v>20484</v>
      </c>
      <c r="D368" s="63"/>
      <c r="E368" s="98">
        <v>5</v>
      </c>
    </row>
    <row r="369" spans="1:5">
      <c r="A369" s="75">
        <v>36823</v>
      </c>
      <c r="B369" s="86" t="str">
        <f>TiposLancamentos!B97</f>
        <v>Deposito Terc.</v>
      </c>
      <c r="C369" s="52" t="s">
        <v>14514</v>
      </c>
      <c r="D369" s="63">
        <v>10</v>
      </c>
      <c r="E369" s="98"/>
    </row>
    <row r="370" spans="1:5">
      <c r="A370" s="75">
        <v>36826</v>
      </c>
      <c r="B370" s="86" t="str">
        <f>TiposLancamentos!B4</f>
        <v>Taxas Bancarias</v>
      </c>
      <c r="C370" s="52" t="s">
        <v>14504</v>
      </c>
      <c r="D370" s="63"/>
      <c r="E370" s="98">
        <v>0.6</v>
      </c>
    </row>
    <row r="371" spans="1:5">
      <c r="A371" s="79">
        <v>36826</v>
      </c>
      <c r="B371" s="95" t="str">
        <f>TiposLancamentos!B4</f>
        <v>Taxas Bancarias</v>
      </c>
      <c r="C371" s="477" t="s">
        <v>14504</v>
      </c>
      <c r="D371" s="85"/>
      <c r="E371" s="97">
        <v>0.01</v>
      </c>
    </row>
    <row r="372" spans="1:5">
      <c r="A372" s="83"/>
      <c r="B372" s="91"/>
      <c r="C372" s="43" t="s">
        <v>12704</v>
      </c>
      <c r="D372" s="93"/>
      <c r="E372" s="94"/>
    </row>
    <row r="373" spans="1:5">
      <c r="A373" s="75">
        <v>36835</v>
      </c>
      <c r="B373" s="86" t="str">
        <f>TiposLancamentos!B19</f>
        <v>Restaurantes</v>
      </c>
      <c r="C373" s="52" t="s">
        <v>20485</v>
      </c>
      <c r="D373" s="63"/>
      <c r="E373" s="98">
        <v>6.1</v>
      </c>
    </row>
    <row r="374" spans="1:5">
      <c r="A374" s="75">
        <v>36837</v>
      </c>
      <c r="B374" s="86" t="str">
        <f>TiposLancamentos!B97</f>
        <v>Deposito Terc.</v>
      </c>
      <c r="C374" s="52" t="s">
        <v>14514</v>
      </c>
      <c r="D374" s="63">
        <v>161</v>
      </c>
      <c r="E374" s="98"/>
    </row>
    <row r="375" spans="1:5">
      <c r="A375" s="75">
        <v>36839</v>
      </c>
      <c r="B375" s="86" t="str">
        <f>TiposLancamentos!B4</f>
        <v>Taxas Bancarias</v>
      </c>
      <c r="C375" s="52" t="s">
        <v>20372</v>
      </c>
      <c r="D375" s="63"/>
      <c r="E375" s="98">
        <v>3</v>
      </c>
    </row>
    <row r="376" spans="1:5">
      <c r="A376" s="75">
        <v>36843</v>
      </c>
      <c r="B376" s="86" t="str">
        <f>TiposLancamentos!B97</f>
        <v>Deposito Terc.</v>
      </c>
      <c r="C376" s="52" t="s">
        <v>14514</v>
      </c>
      <c r="D376" s="63">
        <v>50</v>
      </c>
      <c r="E376" s="98"/>
    </row>
    <row r="377" spans="1:5">
      <c r="A377" s="75">
        <v>36843</v>
      </c>
      <c r="B377" s="86" t="str">
        <f>TiposLancamentos!B20</f>
        <v>Saques</v>
      </c>
      <c r="C377" s="52" t="s">
        <v>2876</v>
      </c>
      <c r="D377" s="63"/>
      <c r="E377" s="98">
        <v>10</v>
      </c>
    </row>
    <row r="378" spans="1:5">
      <c r="A378" s="75">
        <v>36844</v>
      </c>
      <c r="B378" s="86" t="str">
        <f>TiposLancamentos!B15</f>
        <v>Cartões de Crédito</v>
      </c>
      <c r="C378" s="52" t="s">
        <v>16507</v>
      </c>
      <c r="D378" s="63"/>
      <c r="E378" s="98">
        <v>156.56</v>
      </c>
    </row>
    <row r="379" spans="1:5">
      <c r="A379" s="75">
        <v>36845</v>
      </c>
      <c r="B379" s="86" t="str">
        <f>TiposLancamentos!B19</f>
        <v>Restaurantes</v>
      </c>
      <c r="C379" s="52" t="s">
        <v>20486</v>
      </c>
      <c r="D379" s="63"/>
      <c r="E379" s="98">
        <v>9.4</v>
      </c>
    </row>
    <row r="380" spans="1:5">
      <c r="A380" s="75">
        <v>36846</v>
      </c>
      <c r="B380" s="86" t="str">
        <f>TiposLancamentos!B20</f>
        <v>Saques</v>
      </c>
      <c r="C380" s="52" t="s">
        <v>2668</v>
      </c>
      <c r="D380" s="63"/>
      <c r="E380" s="98">
        <v>10</v>
      </c>
    </row>
    <row r="381" spans="1:5">
      <c r="A381" s="75">
        <v>36847</v>
      </c>
      <c r="B381" s="86" t="str">
        <f>TiposLancamentos!B4</f>
        <v>Taxas Bancarias</v>
      </c>
      <c r="C381" s="52" t="s">
        <v>14504</v>
      </c>
      <c r="D381" s="63"/>
      <c r="E381" s="98">
        <v>0.5</v>
      </c>
    </row>
    <row r="382" spans="1:5">
      <c r="A382" s="75">
        <v>36848</v>
      </c>
      <c r="B382" s="86" t="str">
        <f>TiposLancamentos!B20</f>
        <v>Saques</v>
      </c>
      <c r="C382" s="52" t="s">
        <v>2668</v>
      </c>
      <c r="D382" s="63"/>
      <c r="E382" s="98">
        <v>20</v>
      </c>
    </row>
    <row r="383" spans="1:5">
      <c r="A383" s="75">
        <v>36850</v>
      </c>
      <c r="B383" s="86" t="str">
        <f>TiposLancamentos!B2</f>
        <v>Telefonia</v>
      </c>
      <c r="C383" s="52" t="s">
        <v>12710</v>
      </c>
      <c r="D383" s="63"/>
      <c r="E383" s="98">
        <v>46.5</v>
      </c>
    </row>
    <row r="384" spans="1:5">
      <c r="A384" s="75">
        <v>36851</v>
      </c>
      <c r="B384" s="86" t="str">
        <f>TiposLancamentos!B97</f>
        <v>Deposito Terc.</v>
      </c>
      <c r="C384" s="52" t="s">
        <v>14514</v>
      </c>
      <c r="D384" s="63">
        <v>50</v>
      </c>
      <c r="E384" s="98"/>
    </row>
    <row r="385" spans="1:5">
      <c r="A385" s="79">
        <v>36854</v>
      </c>
      <c r="B385" s="95" t="str">
        <f>TiposLancamentos!B4</f>
        <v>Taxas Bancarias</v>
      </c>
      <c r="C385" s="477" t="s">
        <v>14504</v>
      </c>
      <c r="D385" s="85"/>
      <c r="E385" s="97">
        <v>0.24</v>
      </c>
    </row>
    <row r="386" spans="1:5">
      <c r="A386" s="83"/>
      <c r="B386" s="91"/>
      <c r="C386" s="43" t="s">
        <v>20487</v>
      </c>
      <c r="D386" s="93"/>
      <c r="E386" s="94"/>
    </row>
    <row r="387" spans="1:5">
      <c r="A387" s="75">
        <v>36861</v>
      </c>
      <c r="B387" s="86" t="str">
        <f>TiposLancamentos!B97</f>
        <v>Deposito Terc.</v>
      </c>
      <c r="C387" s="52" t="s">
        <v>14514</v>
      </c>
      <c r="D387" s="63">
        <v>270</v>
      </c>
      <c r="E387" s="98"/>
    </row>
    <row r="388" spans="1:5">
      <c r="A388" s="75">
        <v>36861</v>
      </c>
      <c r="B388" s="86" t="str">
        <f>TiposLancamentos!B71</f>
        <v>Itens Pessoais</v>
      </c>
      <c r="C388" s="52" t="s">
        <v>20488</v>
      </c>
      <c r="D388" s="63"/>
      <c r="E388" s="98">
        <v>15</v>
      </c>
    </row>
    <row r="389" spans="1:5">
      <c r="A389" s="75">
        <v>36862</v>
      </c>
      <c r="B389" s="86" t="str">
        <f>TiposLancamentos!B20</f>
        <v>Saques</v>
      </c>
      <c r="C389" s="52" t="s">
        <v>2668</v>
      </c>
      <c r="D389" s="63"/>
      <c r="E389" s="98">
        <v>10</v>
      </c>
    </row>
    <row r="390" spans="1:5">
      <c r="A390" s="75">
        <v>36863</v>
      </c>
      <c r="B390" s="86" t="str">
        <f>TiposLancamentos!B19</f>
        <v>Restaurantes</v>
      </c>
      <c r="C390" s="52" t="s">
        <v>20489</v>
      </c>
      <c r="D390" s="63"/>
      <c r="E390" s="98">
        <v>9</v>
      </c>
    </row>
    <row r="391" spans="1:5">
      <c r="A391" s="75">
        <v>36864</v>
      </c>
      <c r="B391" s="86" t="str">
        <f>TiposLancamentos!B70</f>
        <v>Vestuário</v>
      </c>
      <c r="C391" s="52" t="s">
        <v>12713</v>
      </c>
      <c r="D391" s="63"/>
      <c r="E391" s="98">
        <v>9.9700000000000006</v>
      </c>
    </row>
    <row r="392" spans="1:5">
      <c r="A392" s="75">
        <v>36864</v>
      </c>
      <c r="B392" s="86" t="str">
        <f>TiposLancamentos!B59</f>
        <v>Documentos</v>
      </c>
      <c r="C392" s="52" t="s">
        <v>12715</v>
      </c>
      <c r="D392" s="63"/>
      <c r="E392" s="98">
        <v>205</v>
      </c>
    </row>
    <row r="393" spans="1:5">
      <c r="A393" s="75">
        <v>36866</v>
      </c>
      <c r="B393" s="86" t="str">
        <f>TiposLancamentos!B19</f>
        <v>Restaurantes</v>
      </c>
      <c r="C393" s="52" t="s">
        <v>20490</v>
      </c>
      <c r="D393" s="63"/>
      <c r="E393" s="98">
        <v>9</v>
      </c>
    </row>
    <row r="394" spans="1:5">
      <c r="A394" s="75">
        <v>36868</v>
      </c>
      <c r="B394" s="86" t="str">
        <f>TiposLancamentos!B97</f>
        <v>Deposito Terc.</v>
      </c>
      <c r="C394" s="52" t="s">
        <v>14514</v>
      </c>
      <c r="D394" s="63">
        <v>260</v>
      </c>
      <c r="E394" s="98"/>
    </row>
    <row r="395" spans="1:5">
      <c r="A395" s="75">
        <v>36868</v>
      </c>
      <c r="B395" s="86" t="str">
        <f>TiposLancamentos!B4</f>
        <v>Taxas Bancarias</v>
      </c>
      <c r="C395" s="52" t="s">
        <v>14504</v>
      </c>
      <c r="D395" s="63"/>
      <c r="E395" s="98">
        <v>7.0000000000000007E-2</v>
      </c>
    </row>
    <row r="396" spans="1:5">
      <c r="A396" s="75">
        <v>36870</v>
      </c>
      <c r="B396" s="86" t="str">
        <f>TiposLancamentos!B4</f>
        <v>Taxas Bancarias</v>
      </c>
      <c r="C396" s="52" t="s">
        <v>20372</v>
      </c>
      <c r="D396" s="63"/>
      <c r="E396" s="98">
        <v>3</v>
      </c>
    </row>
    <row r="397" spans="1:5">
      <c r="A397" s="75">
        <v>36870</v>
      </c>
      <c r="B397" s="86" t="str">
        <f>TiposLancamentos!B15</f>
        <v>Cartões de Crédito</v>
      </c>
      <c r="C397" s="52" t="s">
        <v>16507</v>
      </c>
      <c r="D397" s="63"/>
      <c r="E397" s="98">
        <v>189.67</v>
      </c>
    </row>
    <row r="398" spans="1:5">
      <c r="A398" s="75">
        <v>36871</v>
      </c>
      <c r="B398" s="86" t="str">
        <f>TiposLancamentos!B97</f>
        <v>Deposito Terc.</v>
      </c>
      <c r="C398" s="52" t="s">
        <v>14514</v>
      </c>
      <c r="D398" s="63">
        <v>50</v>
      </c>
      <c r="E398" s="98"/>
    </row>
    <row r="399" spans="1:5">
      <c r="A399" s="75">
        <v>36872</v>
      </c>
      <c r="B399" s="86" t="str">
        <f>TiposLancamentos!B2</f>
        <v>Telefonia</v>
      </c>
      <c r="C399" s="52" t="s">
        <v>20458</v>
      </c>
      <c r="D399" s="63"/>
      <c r="E399" s="98">
        <v>30.66</v>
      </c>
    </row>
    <row r="400" spans="1:5">
      <c r="A400" s="75">
        <v>36875</v>
      </c>
      <c r="B400" s="86" t="str">
        <f>TiposLancamentos!B4</f>
        <v>Taxas Bancarias</v>
      </c>
      <c r="C400" s="52" t="s">
        <v>14504</v>
      </c>
      <c r="D400" s="63"/>
      <c r="E400" s="98">
        <v>1.28</v>
      </c>
    </row>
    <row r="401" spans="1:5">
      <c r="A401" s="75">
        <v>36876</v>
      </c>
      <c r="B401" s="86" t="str">
        <f>TiposLancamentos!B20</f>
        <v>Saques</v>
      </c>
      <c r="C401" s="52" t="s">
        <v>2668</v>
      </c>
      <c r="D401" s="63"/>
      <c r="E401" s="98">
        <v>10</v>
      </c>
    </row>
    <row r="402" spans="1:5">
      <c r="A402" s="75">
        <v>36876</v>
      </c>
      <c r="B402" s="86" t="str">
        <f>TiposLancamentos!B20</f>
        <v>Saques</v>
      </c>
      <c r="C402" s="52" t="s">
        <v>2668</v>
      </c>
      <c r="D402" s="63"/>
      <c r="E402" s="98">
        <v>20</v>
      </c>
    </row>
    <row r="403" spans="1:5">
      <c r="A403" s="75">
        <v>36879</v>
      </c>
      <c r="B403" s="86" t="str">
        <f>TiposLancamentos!B64</f>
        <v>Viagens</v>
      </c>
      <c r="C403" s="52" t="s">
        <v>20491</v>
      </c>
      <c r="D403" s="63"/>
      <c r="E403" s="98">
        <v>39.17</v>
      </c>
    </row>
    <row r="404" spans="1:5">
      <c r="A404" s="75">
        <v>36879</v>
      </c>
      <c r="B404" s="86" t="str">
        <f>TiposLancamentos!B72</f>
        <v>Presentes</v>
      </c>
      <c r="C404" s="52" t="s">
        <v>20492</v>
      </c>
      <c r="D404" s="63"/>
      <c r="E404" s="98">
        <v>15.5</v>
      </c>
    </row>
    <row r="405" spans="1:5">
      <c r="A405" s="75">
        <v>36881</v>
      </c>
      <c r="B405" s="86" t="str">
        <f>TiposLancamentos!B97</f>
        <v>Deposito Terc.</v>
      </c>
      <c r="C405" s="52" t="s">
        <v>14514</v>
      </c>
      <c r="D405" s="63">
        <v>45</v>
      </c>
      <c r="E405" s="98"/>
    </row>
    <row r="406" spans="1:5">
      <c r="A406" s="75">
        <v>36881</v>
      </c>
      <c r="B406" s="86" t="str">
        <f>TiposLancamentos!B2</f>
        <v>Telefonia</v>
      </c>
      <c r="C406" s="52" t="s">
        <v>12719</v>
      </c>
      <c r="D406" s="63"/>
      <c r="E406" s="98">
        <v>46.5</v>
      </c>
    </row>
    <row r="407" spans="1:5">
      <c r="A407" s="75">
        <v>36882</v>
      </c>
      <c r="B407" s="86" t="str">
        <f>TiposLancamentos!B4</f>
        <v>Taxas Bancarias</v>
      </c>
      <c r="C407" s="52" t="s">
        <v>14504</v>
      </c>
      <c r="D407" s="63"/>
      <c r="E407" s="98">
        <v>0.09</v>
      </c>
    </row>
    <row r="408" spans="1:5">
      <c r="A408" s="75">
        <v>36887</v>
      </c>
      <c r="B408" s="86" t="str">
        <f>TiposLancamentos!B20</f>
        <v>Saques</v>
      </c>
      <c r="C408" s="52" t="s">
        <v>2668</v>
      </c>
      <c r="D408" s="63"/>
      <c r="E408" s="98">
        <v>10</v>
      </c>
    </row>
    <row r="409" spans="1:5">
      <c r="A409" s="75">
        <v>36887</v>
      </c>
      <c r="B409" s="86" t="str">
        <f>TiposLancamentos!B64</f>
        <v>Viagens</v>
      </c>
      <c r="C409" s="52" t="s">
        <v>20493</v>
      </c>
      <c r="D409" s="63"/>
      <c r="E409" s="98">
        <v>4.67</v>
      </c>
    </row>
    <row r="410" spans="1:5">
      <c r="A410" s="79">
        <v>36889</v>
      </c>
      <c r="B410" s="95" t="str">
        <f>TiposLancamentos!B4</f>
        <v>Taxas Bancarias</v>
      </c>
      <c r="C410" s="477" t="s">
        <v>14504</v>
      </c>
      <c r="D410" s="85"/>
      <c r="E410" s="97">
        <v>0.31</v>
      </c>
    </row>
    <row r="411" spans="1:5">
      <c r="A411" s="83"/>
      <c r="B411" s="91"/>
      <c r="C411" s="43" t="s">
        <v>20494</v>
      </c>
      <c r="D411" s="93"/>
      <c r="E411" s="94"/>
    </row>
    <row r="412" spans="1:5">
      <c r="A412" s="75">
        <v>36893</v>
      </c>
      <c r="B412" s="86" t="str">
        <f>TiposLancamentos!B97</f>
        <v>Deposito Terc.</v>
      </c>
      <c r="C412" s="52" t="s">
        <v>14514</v>
      </c>
      <c r="D412" s="63">
        <v>470</v>
      </c>
      <c r="E412" s="98"/>
    </row>
    <row r="413" spans="1:5">
      <c r="A413" s="75">
        <v>36893</v>
      </c>
      <c r="B413" s="86" t="str">
        <f>TiposLancamentos!B70</f>
        <v>Vestuário</v>
      </c>
      <c r="C413" s="52" t="s">
        <v>20495</v>
      </c>
      <c r="D413" s="63"/>
      <c r="E413" s="98">
        <v>19.899999999999999</v>
      </c>
    </row>
    <row r="414" spans="1:5">
      <c r="A414" s="75">
        <v>36895</v>
      </c>
      <c r="B414" s="86" t="str">
        <f>TiposLancamentos!B70</f>
        <v>Vestuário</v>
      </c>
      <c r="C414" s="52" t="s">
        <v>12721</v>
      </c>
      <c r="D414" s="63"/>
      <c r="E414" s="98">
        <v>9.9700000000000006</v>
      </c>
    </row>
    <row r="415" spans="1:5">
      <c r="A415" s="75">
        <v>36896</v>
      </c>
      <c r="B415" s="86" t="str">
        <f>TiposLancamentos!B4</f>
        <v>Taxas Bancarias</v>
      </c>
      <c r="C415" s="52" t="s">
        <v>14504</v>
      </c>
      <c r="D415" s="63"/>
      <c r="E415" s="98">
        <v>0.05</v>
      </c>
    </row>
    <row r="416" spans="1:5">
      <c r="A416" s="75">
        <v>36899</v>
      </c>
      <c r="B416" s="86" t="str">
        <f>TiposLancamentos!B59</f>
        <v>Documentos</v>
      </c>
      <c r="C416" s="52" t="s">
        <v>12723</v>
      </c>
      <c r="D416" s="63"/>
      <c r="E416" s="98">
        <v>205</v>
      </c>
    </row>
    <row r="417" spans="1:5">
      <c r="A417" s="75">
        <v>36899</v>
      </c>
      <c r="B417" s="86" t="str">
        <f>TiposLancamentos!B15</f>
        <v>Cartões de Crédito</v>
      </c>
      <c r="C417" s="52" t="s">
        <v>20371</v>
      </c>
      <c r="D417" s="63"/>
      <c r="E417" s="98">
        <v>15</v>
      </c>
    </row>
    <row r="418" spans="1:5">
      <c r="A418" s="75">
        <v>36899</v>
      </c>
      <c r="B418" s="86" t="str">
        <f>TiposLancamentos!B4</f>
        <v>Taxas Bancarias</v>
      </c>
      <c r="C418" s="52" t="s">
        <v>20372</v>
      </c>
      <c r="D418" s="63"/>
      <c r="E418" s="98">
        <v>3</v>
      </c>
    </row>
    <row r="419" spans="1:5">
      <c r="A419" s="75">
        <v>36900</v>
      </c>
      <c r="B419" s="86" t="str">
        <f>TiposLancamentos!B97</f>
        <v>Deposito Terc.</v>
      </c>
      <c r="C419" s="52" t="s">
        <v>14514</v>
      </c>
      <c r="D419" s="63">
        <v>30</v>
      </c>
      <c r="E419" s="98"/>
    </row>
    <row r="420" spans="1:5">
      <c r="A420" s="75">
        <v>36901</v>
      </c>
      <c r="B420" s="86" t="str">
        <f>TiposLancamentos!B15</f>
        <v>Cartões de Crédito</v>
      </c>
      <c r="C420" s="52" t="s">
        <v>16507</v>
      </c>
      <c r="D420" s="63"/>
      <c r="E420" s="98">
        <v>148.22999999999999</v>
      </c>
    </row>
    <row r="421" spans="1:5">
      <c r="A421" s="75">
        <v>36901</v>
      </c>
      <c r="B421" s="86" t="str">
        <f>TiposLancamentos!B72</f>
        <v>Presentes</v>
      </c>
      <c r="C421" s="52" t="s">
        <v>20496</v>
      </c>
      <c r="D421" s="63"/>
      <c r="E421" s="98">
        <v>19.899999999999999</v>
      </c>
    </row>
    <row r="422" spans="1:5">
      <c r="A422" s="75">
        <v>36901</v>
      </c>
      <c r="B422" s="86" t="str">
        <f>TiposLancamentos!B2</f>
        <v>Telefonia</v>
      </c>
      <c r="C422" s="52" t="s">
        <v>20458</v>
      </c>
      <c r="D422" s="63"/>
      <c r="E422" s="98">
        <v>29.64</v>
      </c>
    </row>
    <row r="423" spans="1:5">
      <c r="A423" s="75">
        <v>36903</v>
      </c>
      <c r="B423" s="86" t="str">
        <f>TiposLancamentos!B4</f>
        <v>Taxas Bancarias</v>
      </c>
      <c r="C423" s="52" t="s">
        <v>14504</v>
      </c>
      <c r="D423" s="63"/>
      <c r="E423" s="98">
        <v>1.24</v>
      </c>
    </row>
    <row r="424" spans="1:5">
      <c r="A424" s="75">
        <v>36910</v>
      </c>
      <c r="B424" s="86" t="str">
        <f>TiposLancamentos!B4</f>
        <v>Taxas Bancarias</v>
      </c>
      <c r="C424" s="52" t="s">
        <v>14504</v>
      </c>
      <c r="D424" s="63"/>
      <c r="E424" s="98">
        <v>0.05</v>
      </c>
    </row>
    <row r="425" spans="1:5">
      <c r="A425" s="75">
        <v>36912</v>
      </c>
      <c r="B425" s="86" t="str">
        <f>TiposLancamentos!B2</f>
        <v>Telefonia</v>
      </c>
      <c r="C425" s="52" t="s">
        <v>12724</v>
      </c>
      <c r="D425" s="63"/>
      <c r="E425" s="98">
        <v>46.5</v>
      </c>
    </row>
    <row r="426" spans="1:5">
      <c r="A426" s="75">
        <v>36917</v>
      </c>
      <c r="B426" s="86" t="str">
        <f>TiposLancamentos!B4</f>
        <v>Taxas Bancarias</v>
      </c>
      <c r="C426" s="52" t="s">
        <v>14504</v>
      </c>
      <c r="D426" s="63"/>
      <c r="E426" s="98">
        <v>0.13</v>
      </c>
    </row>
    <row r="427" spans="1:5">
      <c r="A427" s="75">
        <v>36920</v>
      </c>
      <c r="B427" s="86" t="str">
        <f>TiposLancamentos!B97</f>
        <v>Deposito Terc.</v>
      </c>
      <c r="C427" s="52" t="s">
        <v>14514</v>
      </c>
      <c r="D427" s="63">
        <v>90</v>
      </c>
      <c r="E427" s="98"/>
    </row>
    <row r="428" spans="1:5">
      <c r="A428" s="79">
        <v>36921</v>
      </c>
      <c r="B428" s="95" t="str">
        <f>TiposLancamentos!B19</f>
        <v>Restaurantes</v>
      </c>
      <c r="C428" s="477" t="s">
        <v>20497</v>
      </c>
      <c r="D428" s="63"/>
      <c r="E428" s="97">
        <v>17</v>
      </c>
    </row>
    <row r="429" spans="1:5">
      <c r="A429" s="83"/>
      <c r="B429" s="91"/>
      <c r="C429" s="43" t="s">
        <v>15917</v>
      </c>
      <c r="D429" s="93"/>
      <c r="E429" s="94"/>
    </row>
    <row r="430" spans="1:5">
      <c r="A430" s="75">
        <v>36923</v>
      </c>
      <c r="B430" s="86" t="str">
        <f>TiposLancamentos!B2</f>
        <v>Telefonia</v>
      </c>
      <c r="C430" s="52" t="s">
        <v>20498</v>
      </c>
      <c r="D430" s="63"/>
      <c r="E430" s="98">
        <v>10</v>
      </c>
    </row>
    <row r="431" spans="1:5">
      <c r="A431" s="75">
        <v>36924</v>
      </c>
      <c r="B431" s="86" t="str">
        <f>TiposLancamentos!B74</f>
        <v>Noite</v>
      </c>
      <c r="C431" s="52" t="s">
        <v>20499</v>
      </c>
      <c r="D431" s="63"/>
      <c r="E431" s="98">
        <v>12.4</v>
      </c>
    </row>
    <row r="432" spans="1:5">
      <c r="A432" s="75">
        <v>36925</v>
      </c>
      <c r="B432" s="86" t="str">
        <f>TiposLancamentos!B19</f>
        <v>Restaurantes</v>
      </c>
      <c r="C432" s="52" t="s">
        <v>20500</v>
      </c>
      <c r="D432" s="63"/>
      <c r="E432" s="98">
        <v>10</v>
      </c>
    </row>
    <row r="433" spans="1:5">
      <c r="A433" s="75">
        <v>36926</v>
      </c>
      <c r="B433" s="86" t="str">
        <f>TiposLancamentos!B70</f>
        <v>Vestuário</v>
      </c>
      <c r="C433" s="52" t="s">
        <v>12726</v>
      </c>
      <c r="D433" s="63"/>
      <c r="E433" s="98">
        <v>9.9700000000000006</v>
      </c>
    </row>
    <row r="434" spans="1:5">
      <c r="A434" s="75">
        <v>36927</v>
      </c>
      <c r="B434" s="86" t="str">
        <f>TiposLancamentos!B20</f>
        <v>Saques</v>
      </c>
      <c r="C434" s="52" t="s">
        <v>2668</v>
      </c>
      <c r="D434" s="63"/>
      <c r="E434" s="98">
        <v>10</v>
      </c>
    </row>
    <row r="435" spans="1:5">
      <c r="A435" s="75">
        <v>36929</v>
      </c>
      <c r="B435" s="86" t="str">
        <f>TiposLancamentos!B97</f>
        <v>Deposito Terc.</v>
      </c>
      <c r="C435" s="52" t="s">
        <v>14514</v>
      </c>
      <c r="D435" s="63">
        <v>180</v>
      </c>
      <c r="E435" s="98"/>
    </row>
    <row r="436" spans="1:5">
      <c r="A436" s="75">
        <v>36931</v>
      </c>
      <c r="B436" s="86" t="str">
        <f>TiposLancamentos!B4</f>
        <v>Taxas Bancarias</v>
      </c>
      <c r="C436" s="52" t="s">
        <v>14504</v>
      </c>
      <c r="D436" s="63"/>
      <c r="E436" s="98">
        <v>0.19</v>
      </c>
    </row>
    <row r="437" spans="1:5">
      <c r="A437" s="75">
        <v>36932</v>
      </c>
      <c r="B437" s="86" t="str">
        <f>TiposLancamentos!B4</f>
        <v>Taxas Bancarias</v>
      </c>
      <c r="C437" s="52" t="s">
        <v>20372</v>
      </c>
      <c r="D437" s="63"/>
      <c r="E437" s="98">
        <v>3</v>
      </c>
    </row>
    <row r="438" spans="1:5">
      <c r="A438" s="75">
        <v>36932</v>
      </c>
      <c r="B438" s="86" t="str">
        <f>TiposLancamentos!B15</f>
        <v>Cartões de Crédito</v>
      </c>
      <c r="C438" s="52" t="s">
        <v>16507</v>
      </c>
      <c r="D438" s="63"/>
      <c r="E438" s="98">
        <v>159.77000000000001</v>
      </c>
    </row>
    <row r="439" spans="1:5">
      <c r="A439" s="75">
        <v>36938</v>
      </c>
      <c r="B439" s="86" t="str">
        <f>TiposLancamentos!B4</f>
        <v>Taxas Bancarias</v>
      </c>
      <c r="C439" s="52" t="s">
        <v>14504</v>
      </c>
      <c r="D439" s="63"/>
      <c r="E439" s="98">
        <v>0.47</v>
      </c>
    </row>
    <row r="440" spans="1:5">
      <c r="A440" s="75">
        <v>36942</v>
      </c>
      <c r="B440" s="86" t="str">
        <f>TiposLancamentos!B97</f>
        <v>Deposito Terc.</v>
      </c>
      <c r="C440" s="52" t="s">
        <v>14514</v>
      </c>
      <c r="D440" s="63">
        <v>10</v>
      </c>
      <c r="E440" s="98"/>
    </row>
    <row r="441" spans="1:5">
      <c r="A441" s="75">
        <v>36943</v>
      </c>
      <c r="B441" s="86" t="str">
        <f>TiposLancamentos!B2</f>
        <v>Telefonia</v>
      </c>
      <c r="C441" s="52" t="s">
        <v>12727</v>
      </c>
      <c r="D441" s="63"/>
      <c r="E441" s="98">
        <v>46.5</v>
      </c>
    </row>
    <row r="442" spans="1:5">
      <c r="A442" s="79">
        <v>36945</v>
      </c>
      <c r="B442" s="95" t="str">
        <f>TiposLancamentos!B4</f>
        <v>Taxas Bancarias</v>
      </c>
      <c r="C442" s="477" t="s">
        <v>14504</v>
      </c>
      <c r="D442" s="85"/>
      <c r="E442" s="97">
        <v>0.13</v>
      </c>
    </row>
    <row r="443" spans="1:5">
      <c r="A443" s="83"/>
      <c r="B443" s="91"/>
      <c r="C443" s="43" t="s">
        <v>20501</v>
      </c>
      <c r="D443" s="93"/>
      <c r="E443" s="94"/>
    </row>
    <row r="444" spans="1:5">
      <c r="A444" s="75">
        <v>36954</v>
      </c>
      <c r="B444" s="86" t="str">
        <f>TiposLancamentos!B19</f>
        <v>Restaurantes</v>
      </c>
      <c r="C444" s="52" t="s">
        <v>20502</v>
      </c>
      <c r="D444" s="63"/>
      <c r="E444" s="98">
        <v>12.65</v>
      </c>
    </row>
    <row r="445" spans="1:5">
      <c r="A445" s="75">
        <v>36955</v>
      </c>
      <c r="B445" s="86" t="str">
        <f>TiposLancamentos!B97</f>
        <v>Deposito Terc.</v>
      </c>
      <c r="C445" s="52" t="s">
        <v>14514</v>
      </c>
      <c r="D445" s="63">
        <v>150</v>
      </c>
      <c r="E445" s="98"/>
    </row>
    <row r="446" spans="1:5">
      <c r="A446" s="75">
        <v>36956</v>
      </c>
      <c r="B446" s="86" t="str">
        <f>TiposLancamentos!B15</f>
        <v>Cartões de Crédito</v>
      </c>
      <c r="C446" s="52" t="s">
        <v>16507</v>
      </c>
      <c r="D446" s="63"/>
      <c r="E446" s="98">
        <v>84.75</v>
      </c>
    </row>
    <row r="447" spans="1:5">
      <c r="A447" s="75">
        <v>36959</v>
      </c>
      <c r="B447" s="86" t="str">
        <f>TiposLancamentos!B4</f>
        <v>Taxas Bancarias</v>
      </c>
      <c r="C447" s="52" t="s">
        <v>14504</v>
      </c>
      <c r="D447" s="63"/>
      <c r="E447" s="98">
        <v>0.28000000000000003</v>
      </c>
    </row>
    <row r="448" spans="1:5">
      <c r="A448" s="75">
        <v>36962</v>
      </c>
      <c r="B448" s="86" t="str">
        <f>TiposLancamentos!B4</f>
        <v>Taxas Bancarias</v>
      </c>
      <c r="C448" s="52" t="s">
        <v>20372</v>
      </c>
      <c r="D448" s="63"/>
      <c r="E448" s="98"/>
    </row>
    <row r="449" spans="1:5">
      <c r="A449" s="75">
        <v>36971</v>
      </c>
      <c r="B449" s="86" t="str">
        <f>TiposLancamentos!B2</f>
        <v>Telefonia</v>
      </c>
      <c r="C449" s="52" t="s">
        <v>12731</v>
      </c>
      <c r="D449" s="579"/>
      <c r="E449" s="98">
        <v>46.5</v>
      </c>
    </row>
    <row r="450" spans="1:5">
      <c r="A450" s="75">
        <v>36973</v>
      </c>
      <c r="B450" s="86" t="str">
        <f>TiposLancamentos!B4</f>
        <v>Taxas Bancarias</v>
      </c>
      <c r="C450" s="52" t="s">
        <v>14504</v>
      </c>
      <c r="D450" s="63"/>
      <c r="E450" s="98">
        <v>0.17</v>
      </c>
    </row>
    <row r="451" spans="1:5">
      <c r="A451" s="75">
        <v>36973</v>
      </c>
      <c r="B451" s="86" t="str">
        <f>TiposLancamentos!B19</f>
        <v>Restaurantes</v>
      </c>
      <c r="C451" s="52" t="s">
        <v>20503</v>
      </c>
      <c r="D451" s="63"/>
      <c r="E451" s="98">
        <v>5.5</v>
      </c>
    </row>
    <row r="452" spans="1:5">
      <c r="A452" s="75">
        <v>36977</v>
      </c>
      <c r="B452" s="86" t="str">
        <f>TiposLancamentos!B19</f>
        <v>Restaurantes</v>
      </c>
      <c r="C452" s="52" t="s">
        <v>20504</v>
      </c>
      <c r="D452" s="63"/>
      <c r="E452" s="98">
        <v>10.199999999999999</v>
      </c>
    </row>
    <row r="453" spans="1:5">
      <c r="A453" s="75">
        <v>36980</v>
      </c>
      <c r="B453" s="86" t="str">
        <f>TiposLancamentos!B97</f>
        <v>Deposito Terc.</v>
      </c>
      <c r="C453" s="52" t="s">
        <v>14514</v>
      </c>
      <c r="D453" s="63">
        <v>115</v>
      </c>
      <c r="E453" s="98"/>
    </row>
    <row r="454" spans="1:5">
      <c r="A454" s="75">
        <v>36980</v>
      </c>
      <c r="B454" s="86" t="str">
        <f>TiposLancamentos!B4</f>
        <v>Taxas Bancarias</v>
      </c>
      <c r="C454" s="52" t="s">
        <v>14504</v>
      </c>
      <c r="D454" s="63"/>
      <c r="E454" s="98">
        <v>0.02</v>
      </c>
    </row>
    <row r="455" spans="1:5">
      <c r="A455" s="83"/>
      <c r="B455" s="91"/>
      <c r="C455" s="43" t="s">
        <v>12732</v>
      </c>
      <c r="D455" s="93"/>
      <c r="E455" s="94"/>
    </row>
    <row r="456" spans="1:5">
      <c r="A456" s="75">
        <v>36991</v>
      </c>
      <c r="B456" s="86" t="str">
        <f>TiposLancamentos!B15</f>
        <v>Cartões de Crédito</v>
      </c>
      <c r="C456" s="52" t="s">
        <v>16507</v>
      </c>
      <c r="D456" s="63"/>
      <c r="E456" s="98">
        <v>53.66</v>
      </c>
    </row>
    <row r="457" spans="1:5">
      <c r="A457" s="75">
        <v>36991</v>
      </c>
      <c r="B457" s="86" t="str">
        <f>TiposLancamentos!B4</f>
        <v>Taxas Bancarias</v>
      </c>
      <c r="C457" s="52" t="s">
        <v>20372</v>
      </c>
      <c r="D457" s="63"/>
      <c r="E457" s="98">
        <v>3</v>
      </c>
    </row>
    <row r="458" spans="1:5">
      <c r="A458" s="75">
        <v>36991</v>
      </c>
      <c r="B458" s="86" t="str">
        <f>TiposLancamentos!B4</f>
        <v>Taxas Bancarias</v>
      </c>
      <c r="C458" s="52" t="s">
        <v>20372</v>
      </c>
      <c r="D458" s="63"/>
      <c r="E458" s="98">
        <v>3</v>
      </c>
    </row>
    <row r="459" spans="1:5">
      <c r="A459" s="75">
        <v>36993</v>
      </c>
      <c r="B459" s="86" t="str">
        <f>TiposLancamentos!B4</f>
        <v>Taxas Bancarias</v>
      </c>
      <c r="C459" s="52" t="s">
        <v>14504</v>
      </c>
      <c r="D459" s="63"/>
      <c r="E459" s="98">
        <v>0.25</v>
      </c>
    </row>
    <row r="460" spans="1:5">
      <c r="A460" s="75">
        <v>37000</v>
      </c>
      <c r="B460" s="86" t="str">
        <f>TiposLancamentos!B97</f>
        <v>Deposito Terc.</v>
      </c>
      <c r="C460" s="52" t="s">
        <v>14514</v>
      </c>
      <c r="D460" s="63">
        <v>3</v>
      </c>
      <c r="E460" s="98"/>
    </row>
    <row r="461" spans="1:5">
      <c r="A461" s="75">
        <v>37002</v>
      </c>
      <c r="B461" s="86" t="str">
        <f>TiposLancamentos!B2</f>
        <v>Telefonia</v>
      </c>
      <c r="C461" s="52" t="s">
        <v>12734</v>
      </c>
      <c r="D461" s="579"/>
      <c r="E461" s="98">
        <v>46.5</v>
      </c>
    </row>
    <row r="462" spans="1:5">
      <c r="A462" s="75">
        <v>37003</v>
      </c>
      <c r="B462" s="86" t="str">
        <f>TiposLancamentos!B19</f>
        <v>Restaurantes</v>
      </c>
      <c r="C462" s="52" t="s">
        <v>20505</v>
      </c>
      <c r="D462" s="63"/>
      <c r="E462" s="98">
        <v>15.18</v>
      </c>
    </row>
    <row r="463" spans="1:5">
      <c r="A463" s="75">
        <v>37007</v>
      </c>
      <c r="B463" s="86" t="str">
        <f>TiposLancamentos!B97</f>
        <v>Deposito Terc.</v>
      </c>
      <c r="C463" s="52" t="s">
        <v>14514</v>
      </c>
      <c r="D463" s="63">
        <v>15</v>
      </c>
      <c r="E463" s="98"/>
    </row>
    <row r="464" spans="1:5">
      <c r="A464" s="75">
        <v>37008</v>
      </c>
      <c r="B464" s="86" t="str">
        <f>TiposLancamentos!B4</f>
        <v>Taxas Bancarias</v>
      </c>
      <c r="C464" s="52" t="s">
        <v>14504</v>
      </c>
      <c r="D464" s="63"/>
      <c r="E464" s="98">
        <v>0.17</v>
      </c>
    </row>
    <row r="465" spans="1:5">
      <c r="A465" s="79">
        <v>37011</v>
      </c>
      <c r="B465" s="95" t="str">
        <f>TiposLancamentos!B97</f>
        <v>Deposito Terc.</v>
      </c>
      <c r="C465" s="477" t="s">
        <v>14514</v>
      </c>
      <c r="D465" s="85">
        <v>243</v>
      </c>
      <c r="E465" s="97"/>
    </row>
    <row r="466" spans="1:5">
      <c r="A466" s="83"/>
      <c r="B466" s="91"/>
      <c r="C466" s="43" t="s">
        <v>15927</v>
      </c>
      <c r="D466" s="93"/>
      <c r="E466" s="94"/>
    </row>
    <row r="467" spans="1:5">
      <c r="A467" s="75">
        <v>37015</v>
      </c>
      <c r="B467" s="86" t="str">
        <f>TiposLancamentos!B15</f>
        <v>Cartões de Crédito</v>
      </c>
      <c r="C467" s="52" t="s">
        <v>16507</v>
      </c>
      <c r="D467" s="63"/>
      <c r="E467" s="98">
        <v>242.39</v>
      </c>
    </row>
    <row r="468" spans="1:5">
      <c r="A468" s="75">
        <v>37015</v>
      </c>
      <c r="B468" s="86" t="str">
        <f>TiposLancamentos!B4</f>
        <v>Taxas Bancarias</v>
      </c>
      <c r="C468" s="52" t="s">
        <v>14504</v>
      </c>
      <c r="D468" s="63"/>
      <c r="E468" s="98">
        <v>0.05</v>
      </c>
    </row>
    <row r="469" spans="1:5">
      <c r="A469" s="75">
        <v>37020</v>
      </c>
      <c r="B469" s="86" t="str">
        <f>TiposLancamentos!B4</f>
        <v>Taxas Bancarias</v>
      </c>
      <c r="C469" s="52" t="s">
        <v>20372</v>
      </c>
      <c r="D469" s="63"/>
      <c r="E469" s="98">
        <v>3</v>
      </c>
    </row>
    <row r="470" spans="1:5">
      <c r="A470" s="75">
        <v>37022</v>
      </c>
      <c r="B470" s="86" t="str">
        <f>TiposLancamentos!B4</f>
        <v>Taxas Bancarias</v>
      </c>
      <c r="C470" s="52" t="s">
        <v>14504</v>
      </c>
      <c r="D470" s="63"/>
      <c r="E470" s="98">
        <v>0.93</v>
      </c>
    </row>
    <row r="471" spans="1:5">
      <c r="A471" s="79">
        <v>37026</v>
      </c>
      <c r="B471" s="95" t="str">
        <f>TiposLancamentos!B97</f>
        <v>Deposito Terc.</v>
      </c>
      <c r="C471" s="477" t="s">
        <v>14514</v>
      </c>
      <c r="D471" s="85">
        <v>3</v>
      </c>
      <c r="E471" s="97"/>
    </row>
    <row r="472" spans="1:5">
      <c r="A472" s="83"/>
      <c r="B472" s="91"/>
      <c r="C472" s="43" t="s">
        <v>12740</v>
      </c>
      <c r="D472" s="93"/>
      <c r="E472" s="94"/>
    </row>
    <row r="473" spans="1:5">
      <c r="A473" s="75">
        <v>37048</v>
      </c>
      <c r="B473" s="86" t="str">
        <f>TiposLancamentos!B97</f>
        <v>Deposito Terc.</v>
      </c>
      <c r="C473" s="52" t="s">
        <v>14514</v>
      </c>
      <c r="D473" s="63">
        <v>170</v>
      </c>
      <c r="E473" s="98"/>
    </row>
    <row r="474" spans="1:5">
      <c r="A474" s="75">
        <v>37050</v>
      </c>
      <c r="B474" s="86" t="str">
        <f>TiposLancamentos!B4</f>
        <v>Taxas Bancarias</v>
      </c>
      <c r="C474" s="52" t="s">
        <v>20372</v>
      </c>
      <c r="D474" s="63"/>
      <c r="E474" s="98">
        <v>3</v>
      </c>
    </row>
    <row r="475" spans="1:5">
      <c r="A475" s="75">
        <v>37051</v>
      </c>
      <c r="B475" s="86" t="str">
        <f>TiposLancamentos!B70</f>
        <v>Vestuário</v>
      </c>
      <c r="C475" s="52" t="s">
        <v>20506</v>
      </c>
      <c r="D475" s="63"/>
      <c r="E475" s="98">
        <v>49.9</v>
      </c>
    </row>
    <row r="476" spans="1:5">
      <c r="A476" s="75">
        <v>37051</v>
      </c>
      <c r="B476" s="86" t="str">
        <f>TiposLancamentos!B5</f>
        <v>Supermercado</v>
      </c>
      <c r="C476" s="52" t="s">
        <v>20507</v>
      </c>
      <c r="D476" s="63"/>
      <c r="E476" s="98">
        <v>19.78</v>
      </c>
    </row>
    <row r="477" spans="1:5">
      <c r="A477" s="75">
        <v>37053</v>
      </c>
      <c r="B477" s="86" t="str">
        <f>TiposLancamentos!B15</f>
        <v>Cartões de Crédito</v>
      </c>
      <c r="C477" s="52" t="s">
        <v>16507</v>
      </c>
      <c r="D477" s="63"/>
      <c r="E477" s="98">
        <v>155.6</v>
      </c>
    </row>
    <row r="478" spans="1:5">
      <c r="A478" s="75">
        <v>37053</v>
      </c>
      <c r="B478" s="86" t="str">
        <f>TiposLancamentos!B97</f>
        <v>Deposito Terc.</v>
      </c>
      <c r="C478" s="52" t="s">
        <v>14514</v>
      </c>
      <c r="D478" s="63">
        <v>60</v>
      </c>
      <c r="E478" s="98"/>
    </row>
    <row r="479" spans="1:5">
      <c r="A479" s="75">
        <v>37057</v>
      </c>
      <c r="B479" s="86" t="str">
        <f>TiposLancamentos!B4</f>
        <v>Taxas Bancarias</v>
      </c>
      <c r="C479" s="52" t="s">
        <v>14504</v>
      </c>
      <c r="D479" s="63"/>
      <c r="E479" s="98">
        <v>0.78</v>
      </c>
    </row>
    <row r="480" spans="1:5">
      <c r="A480" s="79">
        <v>37064</v>
      </c>
      <c r="B480" s="95" t="str">
        <f>TiposLancamentos!B4</f>
        <v>Taxas Bancarias</v>
      </c>
      <c r="C480" s="477" t="s">
        <v>14504</v>
      </c>
      <c r="D480" s="85"/>
      <c r="E480" s="97">
        <v>7.0000000000000007E-2</v>
      </c>
    </row>
    <row r="481" spans="1:5">
      <c r="A481" s="83"/>
      <c r="B481" s="91"/>
      <c r="C481" s="43" t="s">
        <v>12744</v>
      </c>
      <c r="D481" s="93"/>
      <c r="E481" s="94"/>
    </row>
    <row r="482" spans="1:5">
      <c r="A482" s="75">
        <v>37078</v>
      </c>
      <c r="B482" s="86" t="str">
        <f>TiposLancamentos!B97</f>
        <v>Deposito Terc.</v>
      </c>
      <c r="C482" s="52" t="s">
        <v>14514</v>
      </c>
      <c r="D482" s="63">
        <v>145</v>
      </c>
      <c r="E482" s="98"/>
    </row>
    <row r="483" spans="1:5">
      <c r="A483" s="75">
        <v>37082</v>
      </c>
      <c r="B483" s="86" t="str">
        <f>TiposLancamentos!B4</f>
        <v>Taxas Bancarias</v>
      </c>
      <c r="C483" s="52" t="s">
        <v>20372</v>
      </c>
      <c r="D483" s="63"/>
      <c r="E483" s="98">
        <v>3</v>
      </c>
    </row>
    <row r="484" spans="1:5">
      <c r="A484" s="75">
        <v>37082</v>
      </c>
      <c r="B484" s="86" t="str">
        <f>TiposLancamentos!B15</f>
        <v>Cartões de Crédito</v>
      </c>
      <c r="C484" s="52" t="s">
        <v>16507</v>
      </c>
      <c r="D484" s="63"/>
      <c r="E484" s="98">
        <v>143.11000000000001</v>
      </c>
    </row>
    <row r="485" spans="1:5">
      <c r="A485" s="75">
        <v>37085</v>
      </c>
      <c r="B485" s="86" t="str">
        <f>TiposLancamentos!B4</f>
        <v>Taxas Bancarias</v>
      </c>
      <c r="C485" s="52" t="s">
        <v>14504</v>
      </c>
      <c r="D485" s="63"/>
      <c r="E485" s="98">
        <v>0.55000000000000004</v>
      </c>
    </row>
    <row r="486" spans="1:5">
      <c r="A486" s="79">
        <v>37103</v>
      </c>
      <c r="B486" s="95" t="str">
        <f>TiposLancamentos!B19</f>
        <v>Restaurantes</v>
      </c>
      <c r="C486" s="477" t="s">
        <v>20508</v>
      </c>
      <c r="D486" s="85"/>
      <c r="E486" s="97">
        <v>5.87</v>
      </c>
    </row>
    <row r="487" spans="1:5">
      <c r="A487" s="83"/>
      <c r="B487" s="91"/>
      <c r="C487" s="43" t="s">
        <v>20509</v>
      </c>
      <c r="D487" s="93"/>
      <c r="E487" s="94"/>
    </row>
    <row r="488" spans="1:5">
      <c r="A488" s="75">
        <v>37105</v>
      </c>
      <c r="B488" s="86" t="str">
        <f>TiposLancamentos!B97</f>
        <v>Deposito Terc.</v>
      </c>
      <c r="C488" s="52" t="s">
        <v>14514</v>
      </c>
      <c r="D488" s="63">
        <v>140</v>
      </c>
      <c r="E488" s="98"/>
    </row>
    <row r="489" spans="1:5">
      <c r="A489" s="75">
        <v>37107</v>
      </c>
      <c r="B489" s="86" t="str">
        <f>TiposLancamentos!B58</f>
        <v>Fotografias</v>
      </c>
      <c r="C489" s="52" t="s">
        <v>20510</v>
      </c>
      <c r="D489" s="63"/>
      <c r="E489" s="98">
        <v>5.85</v>
      </c>
    </row>
    <row r="490" spans="1:5">
      <c r="A490" s="75">
        <v>37107</v>
      </c>
      <c r="B490" s="86" t="str">
        <f>TiposLancamentos!B20</f>
        <v>Saques</v>
      </c>
      <c r="C490" s="52" t="s">
        <v>2668</v>
      </c>
      <c r="D490" s="63"/>
      <c r="E490" s="98">
        <v>30</v>
      </c>
    </row>
    <row r="491" spans="1:5">
      <c r="A491" s="75">
        <v>37109</v>
      </c>
      <c r="B491" s="86" t="str">
        <f>TiposLancamentos!B58</f>
        <v>Fotografias</v>
      </c>
      <c r="C491" s="52" t="s">
        <v>20511</v>
      </c>
      <c r="D491" s="63"/>
      <c r="E491" s="98">
        <v>16.3</v>
      </c>
    </row>
    <row r="492" spans="1:5">
      <c r="A492" s="75">
        <v>37109</v>
      </c>
      <c r="B492" s="86" t="str">
        <f>TiposLancamentos!B15</f>
        <v>Cartões de Crédito</v>
      </c>
      <c r="C492" s="52" t="s">
        <v>16507</v>
      </c>
      <c r="D492" s="63"/>
      <c r="E492" s="98">
        <v>78</v>
      </c>
    </row>
    <row r="493" spans="1:5">
      <c r="A493" s="75">
        <v>37113</v>
      </c>
      <c r="B493" s="86" t="str">
        <f>TiposLancamentos!B4</f>
        <v>Taxas Bancarias</v>
      </c>
      <c r="C493" s="52" t="s">
        <v>20372</v>
      </c>
      <c r="D493" s="63"/>
      <c r="E493" s="98">
        <v>3</v>
      </c>
    </row>
    <row r="494" spans="1:5">
      <c r="A494" s="75">
        <v>37113</v>
      </c>
      <c r="B494" s="86" t="str">
        <f>TiposLancamentos!B4</f>
        <v>Taxas Bancarias</v>
      </c>
      <c r="C494" s="52" t="s">
        <v>14504</v>
      </c>
      <c r="D494" s="63"/>
      <c r="E494" s="98">
        <v>0.48</v>
      </c>
    </row>
    <row r="495" spans="1:5">
      <c r="A495" s="79">
        <v>37120</v>
      </c>
      <c r="B495" s="95" t="str">
        <f>TiposLancamentos!B4</f>
        <v>Taxas Bancarias</v>
      </c>
      <c r="C495" s="477" t="s">
        <v>14504</v>
      </c>
      <c r="D495" s="85"/>
      <c r="E495" s="97">
        <v>0.03</v>
      </c>
    </row>
    <row r="496" spans="1:5">
      <c r="A496" s="75"/>
      <c r="B496" s="86"/>
      <c r="C496" s="52" t="s">
        <v>20512</v>
      </c>
      <c r="D496" s="63"/>
      <c r="E496" s="98"/>
    </row>
    <row r="497" spans="1:5">
      <c r="A497" s="75">
        <v>37152</v>
      </c>
      <c r="B497" s="86" t="str">
        <f>TiposLancamentos!B4</f>
        <v>Taxas Bancarias</v>
      </c>
      <c r="C497" s="52" t="s">
        <v>14504</v>
      </c>
      <c r="D497" s="63"/>
      <c r="E497" s="98">
        <v>1.81</v>
      </c>
    </row>
    <row r="498" spans="1:5">
      <c r="A498" s="83"/>
      <c r="B498" s="91"/>
      <c r="C498" s="43" t="s">
        <v>20513</v>
      </c>
      <c r="D498" s="93"/>
      <c r="E498" s="94"/>
    </row>
    <row r="499" spans="1:5">
      <c r="A499" s="75">
        <v>37165</v>
      </c>
      <c r="B499" s="86" t="str">
        <f>TiposLancamentos!B97</f>
        <v>Deposito Terc.</v>
      </c>
      <c r="C499" s="52" t="s">
        <v>14514</v>
      </c>
      <c r="D499" s="63">
        <v>92</v>
      </c>
      <c r="E499" s="98"/>
    </row>
    <row r="500" spans="1:5">
      <c r="A500" s="75">
        <v>37165</v>
      </c>
      <c r="B500" s="86" t="str">
        <f>TiposLancamentos!B4</f>
        <v>Taxas Bancarias</v>
      </c>
      <c r="C500" s="52" t="s">
        <v>20372</v>
      </c>
      <c r="D500" s="63"/>
      <c r="E500" s="98">
        <v>3</v>
      </c>
    </row>
    <row r="501" spans="1:5">
      <c r="A501" s="75">
        <v>37166</v>
      </c>
      <c r="B501" s="86" t="str">
        <f>TiposLancamentos!B15</f>
        <v>Cartões de Crédito</v>
      </c>
      <c r="C501" s="52" t="s">
        <v>16507</v>
      </c>
      <c r="D501" s="63"/>
      <c r="E501" s="98">
        <v>86</v>
      </c>
    </row>
    <row r="502" spans="1:5">
      <c r="A502" s="75">
        <v>37169</v>
      </c>
      <c r="B502" s="86" t="str">
        <f>TiposLancamentos!B4</f>
        <v>Taxas Bancarias</v>
      </c>
      <c r="C502" s="52" t="s">
        <v>14504</v>
      </c>
      <c r="D502" s="63"/>
      <c r="E502" s="98">
        <v>0.33</v>
      </c>
    </row>
    <row r="503" spans="1:5">
      <c r="A503" s="75">
        <v>37172</v>
      </c>
      <c r="B503" s="86" t="str">
        <f>TiposLancamentos!B97</f>
        <v>Deposito Terc.</v>
      </c>
      <c r="C503" s="52" t="s">
        <v>14514</v>
      </c>
      <c r="D503" s="63">
        <v>315</v>
      </c>
      <c r="E503" s="98"/>
    </row>
    <row r="504" spans="1:5">
      <c r="A504" s="75">
        <v>37172</v>
      </c>
      <c r="B504" s="86" t="str">
        <f>TiposLancamentos!B64</f>
        <v>Viagens</v>
      </c>
      <c r="C504" s="52" t="s">
        <v>20514</v>
      </c>
      <c r="D504" s="63"/>
      <c r="E504" s="98">
        <v>32.6</v>
      </c>
    </row>
    <row r="505" spans="1:5">
      <c r="A505" s="75">
        <v>37172</v>
      </c>
      <c r="B505" s="86" t="str">
        <f>TiposLancamentos!B4</f>
        <v>Taxas Bancarias</v>
      </c>
      <c r="C505" s="52" t="s">
        <v>20372</v>
      </c>
      <c r="D505" s="63"/>
      <c r="E505" s="98">
        <v>3</v>
      </c>
    </row>
    <row r="506" spans="1:5">
      <c r="A506" s="75">
        <v>37172</v>
      </c>
      <c r="B506" s="86" t="str">
        <f>TiposLancamentos!B15</f>
        <v>Cartões de Crédito</v>
      </c>
      <c r="C506" s="52" t="s">
        <v>20483</v>
      </c>
      <c r="D506" s="63"/>
      <c r="E506" s="98">
        <v>15</v>
      </c>
    </row>
    <row r="507" spans="1:5">
      <c r="A507" s="75">
        <v>37172</v>
      </c>
      <c r="B507" s="86" t="str">
        <f>TiposLancamentos!B74</f>
        <v>Noite</v>
      </c>
      <c r="C507" s="52" t="s">
        <v>20515</v>
      </c>
      <c r="D507" s="63"/>
      <c r="E507" s="98">
        <v>9.6</v>
      </c>
    </row>
    <row r="508" spans="1:5">
      <c r="A508" s="75">
        <v>37173</v>
      </c>
      <c r="B508" s="86" t="str">
        <f>TiposLancamentos!B15</f>
        <v>Cartões de Crédito</v>
      </c>
      <c r="C508" s="52" t="s">
        <v>16507</v>
      </c>
      <c r="D508" s="63"/>
      <c r="E508" s="98">
        <v>212</v>
      </c>
    </row>
    <row r="509" spans="1:5">
      <c r="A509" s="75">
        <v>37174</v>
      </c>
      <c r="B509" s="86" t="str">
        <f>TiposLancamentos!B19</f>
        <v>Restaurantes</v>
      </c>
      <c r="C509" s="52" t="s">
        <v>20516</v>
      </c>
      <c r="D509" s="63"/>
      <c r="E509" s="98">
        <v>10.5</v>
      </c>
    </row>
    <row r="510" spans="1:5">
      <c r="A510" s="75">
        <v>37175</v>
      </c>
      <c r="B510" s="86" t="str">
        <f>TiposLancamentos!B4</f>
        <v>Taxas Bancarias</v>
      </c>
      <c r="C510" s="52" t="s">
        <v>14504</v>
      </c>
      <c r="D510" s="63"/>
      <c r="E510" s="98">
        <v>0.86</v>
      </c>
    </row>
    <row r="511" spans="1:5">
      <c r="A511" s="75">
        <v>37177</v>
      </c>
      <c r="B511" s="86" t="str">
        <f>TiposLancamentos!B74</f>
        <v>Noite</v>
      </c>
      <c r="C511" s="52" t="s">
        <v>20517</v>
      </c>
      <c r="D511" s="63"/>
      <c r="E511" s="98">
        <v>10</v>
      </c>
    </row>
    <row r="512" spans="1:5">
      <c r="A512" s="75">
        <v>37181</v>
      </c>
      <c r="B512" s="86" t="str">
        <f>TiposLancamentos!B20</f>
        <v>Saques</v>
      </c>
      <c r="C512" s="52" t="s">
        <v>2668</v>
      </c>
      <c r="D512" s="63"/>
      <c r="E512" s="98">
        <v>10</v>
      </c>
    </row>
    <row r="513" spans="1:5">
      <c r="A513" s="79">
        <v>37183</v>
      </c>
      <c r="B513" s="95" t="str">
        <f>TiposLancamentos!B4</f>
        <v>Taxas Bancarias</v>
      </c>
      <c r="C513" s="477" t="s">
        <v>14504</v>
      </c>
      <c r="D513" s="85"/>
      <c r="E513" s="97">
        <v>0.24</v>
      </c>
    </row>
    <row r="514" spans="1:5">
      <c r="A514" s="83"/>
      <c r="B514" s="91"/>
      <c r="C514" s="43" t="s">
        <v>12757</v>
      </c>
      <c r="D514" s="93"/>
      <c r="E514" s="94"/>
    </row>
    <row r="515" spans="1:5">
      <c r="A515" s="75">
        <v>37207</v>
      </c>
      <c r="B515" s="86" t="str">
        <f>TiposLancamentos!B4</f>
        <v>Taxas Bancarias</v>
      </c>
      <c r="C515" s="52" t="s">
        <v>20372</v>
      </c>
      <c r="D515" s="63"/>
      <c r="E515" s="98">
        <v>3</v>
      </c>
    </row>
    <row r="516" spans="1:5">
      <c r="A516" s="75">
        <v>37207</v>
      </c>
      <c r="B516" s="86" t="str">
        <f>TiposLancamentos!B15</f>
        <v>Cartões de Crédito</v>
      </c>
      <c r="C516" s="52" t="s">
        <v>16507</v>
      </c>
      <c r="D516" s="63"/>
      <c r="E516" s="98">
        <v>7</v>
      </c>
    </row>
    <row r="517" spans="1:5">
      <c r="A517" s="75">
        <v>37211</v>
      </c>
      <c r="B517" s="86" t="str">
        <f>TiposLancamentos!B4</f>
        <v>Taxas Bancarias</v>
      </c>
      <c r="C517" s="52" t="s">
        <v>14504</v>
      </c>
      <c r="D517" s="63"/>
      <c r="E517" s="98">
        <v>0.03</v>
      </c>
    </row>
    <row r="518" spans="1:5">
      <c r="A518" s="75">
        <v>37218</v>
      </c>
      <c r="B518" s="86" t="str">
        <f>TiposLancamentos!B97</f>
        <v>Deposito Terc.</v>
      </c>
      <c r="C518" s="52" t="s">
        <v>14514</v>
      </c>
      <c r="D518" s="63">
        <v>50</v>
      </c>
      <c r="E518" s="98"/>
    </row>
    <row r="519" spans="1:5">
      <c r="A519" s="75">
        <v>37221</v>
      </c>
      <c r="B519" s="86" t="str">
        <f>TiposLancamentos!B15</f>
        <v>Cartões de Crédito</v>
      </c>
      <c r="C519" s="52" t="s">
        <v>16507</v>
      </c>
      <c r="D519" s="63"/>
      <c r="E519" s="98">
        <v>50</v>
      </c>
    </row>
    <row r="520" spans="1:5">
      <c r="A520" s="79">
        <v>37225</v>
      </c>
      <c r="B520" s="95" t="str">
        <f>TiposLancamentos!B4</f>
        <v>Taxas Bancarias</v>
      </c>
      <c r="C520" s="477" t="s">
        <v>14504</v>
      </c>
      <c r="D520" s="85"/>
      <c r="E520" s="97">
        <v>0.19</v>
      </c>
    </row>
    <row r="521" spans="1:5">
      <c r="A521" s="83"/>
      <c r="B521" s="91"/>
      <c r="C521" s="43" t="s">
        <v>12761</v>
      </c>
      <c r="D521" s="93"/>
      <c r="E521" s="94"/>
    </row>
    <row r="522" spans="1:5">
      <c r="A522" s="75">
        <v>37228</v>
      </c>
      <c r="B522" s="86" t="str">
        <f>TiposLancamentos!B97</f>
        <v>Deposito Terc.</v>
      </c>
      <c r="C522" s="52" t="s">
        <v>14514</v>
      </c>
      <c r="D522" s="63">
        <v>155</v>
      </c>
      <c r="E522" s="98"/>
    </row>
    <row r="523" spans="1:5">
      <c r="A523" s="75">
        <v>37235</v>
      </c>
      <c r="B523" s="86" t="str">
        <f>TiposLancamentos!B15</f>
        <v>Cartões de Crédito</v>
      </c>
      <c r="C523" s="52" t="s">
        <v>16507</v>
      </c>
      <c r="D523" s="63"/>
      <c r="E523" s="98">
        <v>151.35</v>
      </c>
    </row>
    <row r="524" spans="1:5">
      <c r="A524" s="75">
        <v>37235</v>
      </c>
      <c r="B524" s="86" t="str">
        <f>TiposLancamentos!B4</f>
        <v>Taxas Bancarias</v>
      </c>
      <c r="C524" s="52" t="s">
        <v>20372</v>
      </c>
      <c r="D524" s="63"/>
      <c r="E524" s="98">
        <v>3</v>
      </c>
    </row>
    <row r="525" spans="1:5">
      <c r="A525" s="79">
        <v>37239</v>
      </c>
      <c r="B525" s="95" t="str">
        <f>TiposLancamentos!B4</f>
        <v>Taxas Bancarias</v>
      </c>
      <c r="C525" s="477" t="s">
        <v>14504</v>
      </c>
      <c r="D525" s="85"/>
      <c r="E525" s="97">
        <v>0.57999999999999996</v>
      </c>
    </row>
    <row r="526" spans="1:5">
      <c r="A526" s="83"/>
      <c r="B526" s="91"/>
      <c r="C526" s="43" t="s">
        <v>12764</v>
      </c>
      <c r="D526" s="93"/>
      <c r="E526" s="94"/>
    </row>
    <row r="527" spans="1:5">
      <c r="A527" s="75">
        <v>37266</v>
      </c>
      <c r="B527" s="86" t="str">
        <f>TiposLancamentos!B4</f>
        <v>Taxas Bancarias</v>
      </c>
      <c r="C527" s="52" t="s">
        <v>20372</v>
      </c>
      <c r="D527" s="63"/>
      <c r="E527" s="98">
        <v>3</v>
      </c>
    </row>
    <row r="528" spans="1:5">
      <c r="A528" s="75">
        <v>37266</v>
      </c>
      <c r="B528" s="86" t="str">
        <f>TiposLancamentos!B4</f>
        <v>Taxas Bancarias</v>
      </c>
      <c r="C528" s="52" t="s">
        <v>14504</v>
      </c>
      <c r="D528" s="63"/>
      <c r="E528" s="98">
        <v>0.01</v>
      </c>
    </row>
    <row r="529" spans="1:5">
      <c r="A529" s="75">
        <v>37273</v>
      </c>
      <c r="B529" s="86" t="str">
        <f>TiposLancamentos!B97</f>
        <v>Deposito Terc.</v>
      </c>
      <c r="C529" s="52" t="s">
        <v>14514</v>
      </c>
      <c r="D529" s="63">
        <v>56.02</v>
      </c>
      <c r="E529" s="98"/>
    </row>
    <row r="530" spans="1:5">
      <c r="A530" s="75">
        <v>37277</v>
      </c>
      <c r="B530" s="86" t="str">
        <f>TiposLancamentos!B15</f>
        <v>Cartões de Crédito</v>
      </c>
      <c r="C530" s="52" t="s">
        <v>20518</v>
      </c>
      <c r="D530" s="63"/>
      <c r="E530" s="98">
        <v>35.17</v>
      </c>
    </row>
    <row r="531" spans="1:5">
      <c r="A531" s="79">
        <v>37279</v>
      </c>
      <c r="B531" s="95" t="str">
        <f>TiposLancamentos!B15</f>
        <v>Cartões de Crédito</v>
      </c>
      <c r="C531" s="477" t="s">
        <v>20518</v>
      </c>
      <c r="D531" s="85"/>
      <c r="E531" s="97">
        <v>20</v>
      </c>
    </row>
    <row r="532" spans="1:5">
      <c r="A532" s="83"/>
      <c r="B532" s="91"/>
      <c r="C532" s="59" t="s">
        <v>16023</v>
      </c>
      <c r="D532" s="93"/>
      <c r="E532" s="94"/>
    </row>
    <row r="533" spans="1:5">
      <c r="A533" s="75">
        <v>37300</v>
      </c>
      <c r="B533" s="86" t="str">
        <f>TiposLancamentos!B97</f>
        <v>Deposito Terc.</v>
      </c>
      <c r="C533" s="52" t="s">
        <v>14514</v>
      </c>
      <c r="D533" s="63">
        <v>220</v>
      </c>
      <c r="E533" s="98"/>
    </row>
    <row r="534" spans="1:5">
      <c r="A534" s="75">
        <v>37300</v>
      </c>
      <c r="B534" s="86" t="str">
        <f>TiposLancamentos!B15</f>
        <v>Cartões de Crédito</v>
      </c>
      <c r="C534" s="52" t="s">
        <v>16507</v>
      </c>
      <c r="D534" s="63"/>
      <c r="E534" s="98">
        <v>216</v>
      </c>
    </row>
    <row r="535" spans="1:5">
      <c r="A535" s="75">
        <v>37300</v>
      </c>
      <c r="B535" s="86" t="str">
        <f>TiposLancamentos!B4</f>
        <v>Taxas Bancarias</v>
      </c>
      <c r="C535" s="52" t="s">
        <v>20372</v>
      </c>
      <c r="D535" s="63"/>
      <c r="E535" s="98">
        <v>3</v>
      </c>
    </row>
    <row r="536" spans="1:5">
      <c r="A536" s="79">
        <v>37302</v>
      </c>
      <c r="B536" s="95" t="str">
        <f>TiposLancamentos!B4</f>
        <v>Taxas Bancarias</v>
      </c>
      <c r="C536" s="477" t="s">
        <v>14504</v>
      </c>
      <c r="D536" s="85"/>
      <c r="E536" s="97">
        <v>0.83</v>
      </c>
    </row>
    <row r="537" spans="1:5">
      <c r="A537" s="83"/>
      <c r="B537" s="91"/>
      <c r="C537" s="43" t="s">
        <v>20519</v>
      </c>
      <c r="D537" s="93"/>
      <c r="E537" s="94"/>
    </row>
    <row r="538" spans="1:5">
      <c r="A538" s="75">
        <v>37347</v>
      </c>
      <c r="B538" s="86" t="str">
        <f>TiposLancamentos!B97</f>
        <v>Deposito Terc.</v>
      </c>
      <c r="C538" s="52" t="s">
        <v>14514</v>
      </c>
      <c r="D538" s="63">
        <v>10</v>
      </c>
      <c r="E538" s="98"/>
    </row>
    <row r="539" spans="1:5">
      <c r="A539" s="75">
        <v>37347</v>
      </c>
      <c r="B539" s="86" t="str">
        <f>TiposLancamentos!B4</f>
        <v>Taxas Bancarias</v>
      </c>
      <c r="C539" s="52" t="s">
        <v>20372</v>
      </c>
      <c r="D539" s="63"/>
      <c r="E539" s="98">
        <v>3</v>
      </c>
    </row>
    <row r="540" spans="1:5">
      <c r="A540" s="75">
        <v>37350</v>
      </c>
      <c r="B540" s="86" t="str">
        <f>TiposLancamentos!B15</f>
        <v>Cartões de Crédito</v>
      </c>
      <c r="C540" s="52" t="s">
        <v>16507</v>
      </c>
      <c r="D540" s="63"/>
      <c r="E540" s="98">
        <v>5</v>
      </c>
    </row>
    <row r="541" spans="1:5">
      <c r="A541" s="75">
        <v>37351</v>
      </c>
      <c r="B541" s="86" t="str">
        <f>TiposLancamentos!B4</f>
        <v>Taxas Bancarias</v>
      </c>
      <c r="C541" s="52" t="s">
        <v>14504</v>
      </c>
      <c r="D541" s="63"/>
      <c r="E541" s="98">
        <v>0.01</v>
      </c>
    </row>
    <row r="542" spans="1:5">
      <c r="A542" s="75">
        <v>37354</v>
      </c>
      <c r="B542" s="86" t="str">
        <f>TiposLancamentos!B4</f>
        <v>Taxas Bancarias</v>
      </c>
      <c r="C542" s="52" t="s">
        <v>20372</v>
      </c>
      <c r="D542" s="63"/>
      <c r="E542" s="98">
        <v>3</v>
      </c>
    </row>
    <row r="543" spans="1:5">
      <c r="A543" s="79">
        <v>37358</v>
      </c>
      <c r="B543" s="95" t="str">
        <f>TiposLancamentos!B4</f>
        <v>Taxas Bancarias</v>
      </c>
      <c r="C543" s="477" t="s">
        <v>14504</v>
      </c>
      <c r="D543" s="85"/>
      <c r="E543" s="97">
        <v>0.02</v>
      </c>
    </row>
    <row r="544" spans="1:5">
      <c r="A544" s="83"/>
      <c r="B544" s="91"/>
      <c r="C544" s="43" t="s">
        <v>12786</v>
      </c>
      <c r="D544" s="93"/>
      <c r="E544" s="94"/>
    </row>
    <row r="545" spans="1:5" ht="12.75" customHeight="1">
      <c r="A545" s="641"/>
      <c r="B545" s="475"/>
      <c r="C545" s="476" t="s">
        <v>12790</v>
      </c>
      <c r="D545" s="60"/>
      <c r="E545" s="61"/>
    </row>
    <row r="546" spans="1:5">
      <c r="A546" s="75"/>
      <c r="B546" s="86"/>
      <c r="C546" s="52" t="s">
        <v>12797</v>
      </c>
      <c r="D546" s="63"/>
      <c r="E546" s="98"/>
    </row>
    <row r="547" spans="1:5">
      <c r="A547" s="75">
        <v>37438</v>
      </c>
      <c r="B547" s="86" t="str">
        <f>TiposLancamentos!B97</f>
        <v>Deposito Terc.</v>
      </c>
      <c r="C547" s="52" t="s">
        <v>14514</v>
      </c>
      <c r="D547" s="63">
        <v>75</v>
      </c>
      <c r="E547" s="98"/>
    </row>
    <row r="548" spans="1:5">
      <c r="A548" s="75">
        <v>37438</v>
      </c>
      <c r="B548" s="86" t="str">
        <f>TiposLancamentos!B4</f>
        <v>Taxas Bancarias</v>
      </c>
      <c r="C548" s="52" t="s">
        <v>20372</v>
      </c>
      <c r="D548" s="63"/>
      <c r="E548" s="98">
        <v>3</v>
      </c>
    </row>
    <row r="549" spans="1:5">
      <c r="A549" s="75">
        <v>37439</v>
      </c>
      <c r="B549" s="86" t="str">
        <f>TiposLancamentos!B15</f>
        <v>Cartões de Crédito</v>
      </c>
      <c r="C549" s="52" t="s">
        <v>16507</v>
      </c>
      <c r="D549" s="63"/>
      <c r="E549" s="98">
        <v>63.67</v>
      </c>
    </row>
    <row r="550" spans="1:5">
      <c r="A550" s="75">
        <v>37447</v>
      </c>
      <c r="B550" s="86" t="str">
        <f>TiposLancamentos!B4</f>
        <v>Taxas Bancarias</v>
      </c>
      <c r="C550" s="52" t="s">
        <v>20372</v>
      </c>
      <c r="D550" s="63"/>
      <c r="E550" s="98">
        <v>3</v>
      </c>
    </row>
    <row r="551" spans="1:5">
      <c r="A551" s="75">
        <v>37449</v>
      </c>
      <c r="B551" s="86" t="str">
        <f>TiposLancamentos!B4</f>
        <v>Taxas Bancarias</v>
      </c>
      <c r="C551" s="52" t="s">
        <v>14504</v>
      </c>
      <c r="D551" s="63"/>
      <c r="E551" s="98">
        <v>0.01</v>
      </c>
    </row>
    <row r="552" spans="1:5">
      <c r="A552" s="75">
        <v>37468</v>
      </c>
      <c r="B552" s="86" t="str">
        <f>TiposLancamentos!B97</f>
        <v>Deposito Terc.</v>
      </c>
      <c r="C552" s="52" t="s">
        <v>14514</v>
      </c>
      <c r="D552" s="63">
        <v>125</v>
      </c>
      <c r="E552" s="98"/>
    </row>
    <row r="553" spans="1:5">
      <c r="A553" s="83"/>
      <c r="B553" s="91"/>
      <c r="C553" s="43" t="s">
        <v>12805</v>
      </c>
      <c r="D553" s="93"/>
      <c r="E553" s="94"/>
    </row>
    <row r="554" spans="1:5">
      <c r="A554" s="75">
        <v>37471</v>
      </c>
      <c r="B554" s="86" t="str">
        <f>TiposLancamentos!B90</f>
        <v>Locadora</v>
      </c>
      <c r="C554" s="52" t="s">
        <v>20520</v>
      </c>
      <c r="D554" s="63"/>
      <c r="E554" s="98">
        <v>7.5</v>
      </c>
    </row>
    <row r="555" spans="1:5">
      <c r="A555" s="75">
        <v>37473</v>
      </c>
      <c r="B555" s="86" t="str">
        <f>TiposLancamentos!B97</f>
        <v>Deposito Terc.</v>
      </c>
      <c r="C555" s="52" t="s">
        <v>14514</v>
      </c>
      <c r="D555" s="63">
        <v>10</v>
      </c>
      <c r="E555" s="98"/>
    </row>
    <row r="556" spans="1:5">
      <c r="A556" s="75">
        <v>37477</v>
      </c>
      <c r="B556" s="86" t="str">
        <f>TiposLancamentos!B4</f>
        <v>Taxas Bancarias</v>
      </c>
      <c r="C556" s="52" t="s">
        <v>20372</v>
      </c>
      <c r="D556" s="63"/>
      <c r="E556" s="98">
        <v>3</v>
      </c>
    </row>
    <row r="557" spans="1:5">
      <c r="A557" s="75">
        <v>37477</v>
      </c>
      <c r="B557" s="86" t="str">
        <f>TiposLancamentos!B4</f>
        <v>Taxas Bancarias</v>
      </c>
      <c r="C557" s="52" t="s">
        <v>14504</v>
      </c>
      <c r="D557" s="63"/>
      <c r="E557" s="98">
        <v>0.02</v>
      </c>
    </row>
    <row r="558" spans="1:5">
      <c r="A558" s="75">
        <v>37478</v>
      </c>
      <c r="B558" s="86" t="str">
        <f>TiposLancamentos!B15</f>
        <v>Cartões de Crédito</v>
      </c>
      <c r="C558" s="52" t="s">
        <v>16507</v>
      </c>
      <c r="D558" s="63"/>
      <c r="E558" s="98">
        <v>125.86</v>
      </c>
    </row>
    <row r="559" spans="1:5">
      <c r="A559" s="79">
        <v>37484</v>
      </c>
      <c r="B559" s="95" t="str">
        <f>TiposLancamentos!B4</f>
        <v>Taxas Bancarias</v>
      </c>
      <c r="C559" s="477" t="s">
        <v>14504</v>
      </c>
      <c r="D559" s="85"/>
      <c r="E559" s="97">
        <v>0.48</v>
      </c>
    </row>
    <row r="560" spans="1:5">
      <c r="A560" s="83"/>
      <c r="B560" s="91"/>
      <c r="C560" s="43" t="s">
        <v>20521</v>
      </c>
      <c r="D560" s="93"/>
      <c r="E560" s="94"/>
    </row>
    <row r="561" spans="1:5">
      <c r="A561" s="75">
        <v>37501</v>
      </c>
      <c r="B561" s="86" t="str">
        <f>TiposLancamentos!B97</f>
        <v>Deposito Terc.</v>
      </c>
      <c r="C561" s="52" t="s">
        <v>14514</v>
      </c>
      <c r="D561" s="63">
        <v>60</v>
      </c>
      <c r="E561" s="98"/>
    </row>
    <row r="562" spans="1:5">
      <c r="A562" s="75">
        <v>37504</v>
      </c>
      <c r="B562" s="86" t="str">
        <f>TiposLancamentos!B15</f>
        <v>Cartões de Crédito</v>
      </c>
      <c r="C562" s="52" t="s">
        <v>16507</v>
      </c>
      <c r="D562" s="63"/>
      <c r="E562" s="98">
        <v>60</v>
      </c>
    </row>
    <row r="563" spans="1:5">
      <c r="A563" s="75">
        <v>37509</v>
      </c>
      <c r="B563" s="86" t="str">
        <f>TiposLancamentos!B4</f>
        <v>Taxas Bancarias</v>
      </c>
      <c r="C563" s="52" t="s">
        <v>20372</v>
      </c>
      <c r="D563" s="63"/>
      <c r="E563" s="98">
        <v>3</v>
      </c>
    </row>
    <row r="564" spans="1:5">
      <c r="A564" s="75">
        <v>37512</v>
      </c>
      <c r="B564" s="86" t="str">
        <f>TiposLancamentos!B4</f>
        <v>Taxas Bancarias</v>
      </c>
      <c r="C564" s="52" t="s">
        <v>14504</v>
      </c>
      <c r="D564" s="63"/>
      <c r="E564" s="98">
        <v>0.23</v>
      </c>
    </row>
    <row r="565" spans="1:5">
      <c r="A565" s="79">
        <v>37529</v>
      </c>
      <c r="B565" s="95" t="str">
        <f>TiposLancamentos!B105</f>
        <v>Transf. Bco</v>
      </c>
      <c r="C565" s="477" t="s">
        <v>20522</v>
      </c>
      <c r="D565" s="85">
        <v>122</v>
      </c>
      <c r="E565" s="97"/>
    </row>
    <row r="566" spans="1:5">
      <c r="A566" s="83"/>
      <c r="B566" s="91"/>
      <c r="C566" s="43" t="s">
        <v>20523</v>
      </c>
      <c r="D566" s="93"/>
      <c r="E566" s="94"/>
    </row>
    <row r="567" spans="1:5">
      <c r="A567" s="75">
        <v>37536</v>
      </c>
      <c r="B567" s="86" t="str">
        <f>TiposLancamentos!B15</f>
        <v>Cartões de Crédito</v>
      </c>
      <c r="C567" s="52" t="s">
        <v>20483</v>
      </c>
      <c r="D567" s="63"/>
      <c r="E567" s="98">
        <v>15</v>
      </c>
    </row>
    <row r="568" spans="1:5">
      <c r="A568" s="75">
        <v>37536</v>
      </c>
      <c r="B568" s="86" t="str">
        <f>TiposLancamentos!B15</f>
        <v>Cartões de Crédito</v>
      </c>
      <c r="C568" s="52" t="s">
        <v>16507</v>
      </c>
      <c r="D568" s="63"/>
      <c r="E568" s="98">
        <v>107.68</v>
      </c>
    </row>
    <row r="569" spans="1:5">
      <c r="A569" s="75">
        <v>37540</v>
      </c>
      <c r="B569" s="86" t="str">
        <f>TiposLancamentos!B4</f>
        <v>Taxas Bancarias</v>
      </c>
      <c r="C569" s="52" t="s">
        <v>14504</v>
      </c>
      <c r="D569" s="63"/>
      <c r="E569" s="98">
        <v>0.45</v>
      </c>
    </row>
    <row r="570" spans="1:5">
      <c r="A570" s="75">
        <v>37544</v>
      </c>
      <c r="B570" s="86" t="str">
        <f>TiposLancamentos!B105</f>
        <v>Transf. Bco</v>
      </c>
      <c r="C570" s="147" t="s">
        <v>20522</v>
      </c>
      <c r="D570" s="63">
        <v>23</v>
      </c>
      <c r="E570" s="98"/>
    </row>
    <row r="571" spans="1:5">
      <c r="A571" s="75">
        <v>37545</v>
      </c>
      <c r="B571" s="86" t="str">
        <f>TiposLancamentos!B4</f>
        <v>Taxas Bancarias</v>
      </c>
      <c r="C571" s="52" t="s">
        <v>20372</v>
      </c>
      <c r="D571" s="63"/>
      <c r="E571" s="98">
        <v>3</v>
      </c>
    </row>
    <row r="572" spans="1:5">
      <c r="A572" s="75">
        <v>37546</v>
      </c>
      <c r="B572" s="86" t="str">
        <f>TiposLancamentos!B15</f>
        <v>Cartões de Crédito</v>
      </c>
      <c r="C572" s="52" t="s">
        <v>16507</v>
      </c>
      <c r="D572" s="63"/>
      <c r="E572" s="98">
        <v>15</v>
      </c>
    </row>
    <row r="573" spans="1:5">
      <c r="A573" s="75">
        <v>37547</v>
      </c>
      <c r="B573" s="86" t="str">
        <f>TiposLancamentos!B4</f>
        <v>Taxas Bancarias</v>
      </c>
      <c r="C573" s="52" t="s">
        <v>14504</v>
      </c>
      <c r="D573" s="63"/>
      <c r="E573" s="98">
        <v>0.01</v>
      </c>
    </row>
    <row r="574" spans="1:5">
      <c r="A574" s="75">
        <v>37554</v>
      </c>
      <c r="B574" s="86" t="str">
        <f>TiposLancamentos!B4</f>
        <v>Taxas Bancarias</v>
      </c>
      <c r="C574" s="52" t="s">
        <v>14504</v>
      </c>
      <c r="D574" s="63"/>
      <c r="E574" s="98">
        <v>0.05</v>
      </c>
    </row>
    <row r="575" spans="1:5">
      <c r="A575" s="75">
        <v>37559</v>
      </c>
      <c r="B575" s="86" t="str">
        <f>TiposLancamentos!B105</f>
        <v>Transf. Bco</v>
      </c>
      <c r="C575" s="147" t="s">
        <v>20522</v>
      </c>
      <c r="D575" s="63">
        <v>51</v>
      </c>
      <c r="E575" s="98"/>
    </row>
    <row r="576" spans="1:5">
      <c r="A576" s="83"/>
      <c r="B576" s="91"/>
      <c r="C576" s="43" t="s">
        <v>12829</v>
      </c>
      <c r="D576" s="93"/>
      <c r="E576" s="94"/>
    </row>
    <row r="577" spans="1:5">
      <c r="A577" s="75">
        <v>37570</v>
      </c>
      <c r="B577" s="86" t="str">
        <f>TiposLancamentos!B4</f>
        <v>Taxas Bancarias</v>
      </c>
      <c r="C577" s="52" t="s">
        <v>20372</v>
      </c>
      <c r="D577" s="63"/>
      <c r="E577" s="98">
        <v>3</v>
      </c>
    </row>
    <row r="578" spans="1:5">
      <c r="A578" s="75">
        <v>37571</v>
      </c>
      <c r="B578" s="86" t="str">
        <f>TiposLancamentos!B15</f>
        <v>Cartões de Crédito</v>
      </c>
      <c r="C578" s="52" t="s">
        <v>16507</v>
      </c>
      <c r="D578" s="63"/>
      <c r="E578" s="98">
        <v>47.94</v>
      </c>
    </row>
    <row r="579" spans="1:5">
      <c r="A579" s="79">
        <v>37572</v>
      </c>
      <c r="B579" s="95" t="str">
        <f>TiposLancamentos!B20</f>
        <v>Saques</v>
      </c>
      <c r="C579" s="477" t="s">
        <v>20524</v>
      </c>
      <c r="D579" s="85"/>
      <c r="E579" s="97">
        <v>4.55</v>
      </c>
    </row>
    <row r="580" spans="1:5">
      <c r="A580" s="46"/>
      <c r="B580" s="46"/>
      <c r="C580" s="184" t="s">
        <v>12</v>
      </c>
      <c r="D580" s="185">
        <f>SUM(D2:D579)</f>
        <v>10158.790000000001</v>
      </c>
      <c r="E580" s="186">
        <f>SUM(E2:E579)</f>
        <v>10158.790000000006</v>
      </c>
    </row>
    <row r="581" spans="1:5">
      <c r="A581" s="119"/>
      <c r="B581" s="119"/>
      <c r="C581" s="24" t="s">
        <v>13</v>
      </c>
      <c r="D581" s="169"/>
      <c r="E581" s="583">
        <f>D580-E580</f>
        <v>0</v>
      </c>
    </row>
  </sheetData>
  <sheetProtection selectLockedCells="1" selectUnlockedCells="1"/>
  <printOptions gridLines="1"/>
  <pageMargins left="0.78749999999999998" right="0.78749999999999998" top="0.78749999999999998" bottom="0.78749999999999998" header="0.51180555555555551" footer="0.51180555555555551"/>
  <pageSetup paperSize="9" firstPageNumber="0" orientation="landscape" horizontalDpi="300" verticalDpi="300"/>
  <headerFooter alignWithMargins="0">
    <oddHeader>&amp;C&amp;A</oddHeader>
    <oddFooter>&amp;CSeite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Plan62"/>
  <dimension ref="A1:G4621"/>
  <sheetViews>
    <sheetView zoomScaleNormal="100" workbookViewId="0">
      <pane xSplit="6" ySplit="1" topLeftCell="G4582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.140625" defaultRowHeight="13.5"/>
  <cols>
    <col min="1" max="1" width="13.7109375" style="3" customWidth="1"/>
    <col min="2" max="2" width="24.42578125" style="3" customWidth="1"/>
    <col min="3" max="3" width="57.140625" style="3" customWidth="1"/>
    <col min="4" max="4" width="19.140625" style="3" customWidth="1"/>
    <col min="5" max="5" width="17.28515625" style="3" customWidth="1"/>
    <col min="6" max="6" width="17.28515625" style="3" bestFit="1" customWidth="1"/>
    <col min="7" max="7" width="11.28515625" style="3" customWidth="1"/>
    <col min="8" max="16384" width="9.140625" style="3"/>
  </cols>
  <sheetData>
    <row r="1" spans="1:7" ht="14.25" thickBot="1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6</v>
      </c>
    </row>
    <row r="2" spans="1:7" ht="14.25" thickBot="1">
      <c r="A2" s="988"/>
      <c r="B2" s="989"/>
      <c r="C2" s="990" t="s">
        <v>5483</v>
      </c>
      <c r="D2" s="991"/>
      <c r="E2" s="992"/>
    </row>
    <row r="3" spans="1:7">
      <c r="A3" s="864">
        <v>39185</v>
      </c>
      <c r="B3" s="125" t="str">
        <f>TiposLancamentos!B95</f>
        <v>Salarios</v>
      </c>
      <c r="C3" s="126" t="s">
        <v>4916</v>
      </c>
      <c r="D3" s="51">
        <v>1689.1</v>
      </c>
      <c r="E3" s="865"/>
    </row>
    <row r="4" spans="1:7">
      <c r="A4" s="961">
        <v>39188</v>
      </c>
      <c r="B4" s="817" t="str">
        <f>TiposLancamentos!B8</f>
        <v>Aluguel</v>
      </c>
      <c r="C4" s="962" t="s">
        <v>20525</v>
      </c>
      <c r="D4" s="809"/>
      <c r="E4" s="965">
        <f>800+4.8+0.15+1.97-19.31</f>
        <v>787.61</v>
      </c>
    </row>
    <row r="5" spans="1:7">
      <c r="A5" s="963">
        <v>39188</v>
      </c>
      <c r="B5" s="818" t="str">
        <f>TiposLancamentos!B9</f>
        <v>Condominio</v>
      </c>
      <c r="C5" s="964" t="s">
        <v>20526</v>
      </c>
      <c r="D5" s="813"/>
      <c r="E5" s="966">
        <v>186.9</v>
      </c>
      <c r="F5" s="36">
        <f>SUM(E4:E5)</f>
        <v>974.51</v>
      </c>
    </row>
    <row r="6" spans="1:7">
      <c r="A6" s="864">
        <v>39189</v>
      </c>
      <c r="B6" s="125" t="str">
        <f>TiposLancamentos!B19</f>
        <v>Restaurantes</v>
      </c>
      <c r="C6" s="126" t="s">
        <v>5066</v>
      </c>
      <c r="D6" s="51"/>
      <c r="E6" s="865">
        <v>19.399999999999999</v>
      </c>
    </row>
    <row r="7" spans="1:7">
      <c r="A7" s="864">
        <v>39190</v>
      </c>
      <c r="B7" s="125" t="str">
        <f>TiposLancamentos!B18</f>
        <v>Alimentacao</v>
      </c>
      <c r="C7" s="126" t="s">
        <v>5507</v>
      </c>
      <c r="D7" s="51"/>
      <c r="E7" s="865">
        <v>3.89</v>
      </c>
    </row>
    <row r="8" spans="1:7">
      <c r="A8" s="864">
        <v>39190</v>
      </c>
      <c r="B8" s="125" t="str">
        <f>TiposLancamentos!B5</f>
        <v>Supermercado</v>
      </c>
      <c r="C8" s="126" t="s">
        <v>3210</v>
      </c>
      <c r="D8" s="51"/>
      <c r="E8" s="865">
        <v>48.94</v>
      </c>
    </row>
    <row r="9" spans="1:7">
      <c r="A9" s="864">
        <v>39191</v>
      </c>
      <c r="B9" s="125" t="str">
        <f>TiposLancamentos!B97</f>
        <v>Deposito Terc.</v>
      </c>
      <c r="C9" s="126" t="s">
        <v>20527</v>
      </c>
      <c r="D9" s="51"/>
      <c r="E9" s="865">
        <v>4.8499999999999996</v>
      </c>
    </row>
    <row r="10" spans="1:7">
      <c r="A10" s="864">
        <v>39191</v>
      </c>
      <c r="B10" s="125" t="str">
        <f>TiposLancamentos!B19</f>
        <v>Restaurantes</v>
      </c>
      <c r="C10" s="126" t="s">
        <v>3022</v>
      </c>
      <c r="D10" s="51"/>
      <c r="E10" s="865">
        <v>3.95</v>
      </c>
    </row>
    <row r="11" spans="1:7">
      <c r="A11" s="864">
        <v>39191</v>
      </c>
      <c r="B11" s="125" t="str">
        <f>TiposLancamentos!B19</f>
        <v>Restaurantes</v>
      </c>
      <c r="C11" s="126" t="s">
        <v>7141</v>
      </c>
      <c r="D11" s="51"/>
      <c r="E11" s="865">
        <v>19.399999999999999</v>
      </c>
    </row>
    <row r="12" spans="1:7">
      <c r="A12" s="864">
        <v>39192</v>
      </c>
      <c r="B12" s="125" t="str">
        <f>TiposLancamentos!B22</f>
        <v>Combustivel</v>
      </c>
      <c r="C12" s="126" t="s">
        <v>20528</v>
      </c>
      <c r="D12" s="51"/>
      <c r="E12" s="865">
        <v>110.02</v>
      </c>
    </row>
    <row r="13" spans="1:7">
      <c r="A13" s="864">
        <v>39192</v>
      </c>
      <c r="B13" s="125" t="str">
        <f>TiposLancamentos!B18</f>
        <v>Alimentacao</v>
      </c>
      <c r="C13" s="126" t="s">
        <v>2912</v>
      </c>
      <c r="D13" s="51"/>
      <c r="E13" s="865">
        <v>29.2</v>
      </c>
    </row>
    <row r="14" spans="1:7">
      <c r="A14" s="864">
        <v>39193</v>
      </c>
      <c r="B14" s="125" t="str">
        <f>TiposLancamentos!B5</f>
        <v>Supermercado</v>
      </c>
      <c r="C14" s="126" t="s">
        <v>5000</v>
      </c>
      <c r="D14" s="51"/>
      <c r="E14" s="865">
        <v>13.88</v>
      </c>
    </row>
    <row r="15" spans="1:7">
      <c r="A15" s="864">
        <v>39193</v>
      </c>
      <c r="B15" s="125" t="str">
        <f>TiposLancamentos!B19</f>
        <v>Restaurantes</v>
      </c>
      <c r="C15" s="126" t="s">
        <v>20529</v>
      </c>
      <c r="D15" s="51"/>
      <c r="E15" s="865">
        <v>28.8</v>
      </c>
    </row>
    <row r="16" spans="1:7">
      <c r="A16" s="864">
        <v>39194</v>
      </c>
      <c r="B16" s="125" t="str">
        <f>TiposLancamentos!B22</f>
        <v>Combustivel</v>
      </c>
      <c r="C16" s="126" t="s">
        <v>3381</v>
      </c>
      <c r="D16" s="51"/>
      <c r="E16" s="865">
        <v>50</v>
      </c>
    </row>
    <row r="17" spans="1:5">
      <c r="A17" s="864">
        <v>39194</v>
      </c>
      <c r="B17" s="125" t="str">
        <f>TiposLancamentos!B27</f>
        <v>Jornais e revistas</v>
      </c>
      <c r="C17" s="126" t="s">
        <v>20530</v>
      </c>
      <c r="D17" s="51"/>
      <c r="E17" s="865">
        <v>26.45</v>
      </c>
    </row>
    <row r="18" spans="1:5">
      <c r="A18" s="864">
        <v>39194</v>
      </c>
      <c r="B18" s="125" t="str">
        <f>TiposLancamentos!B19</f>
        <v>Restaurantes</v>
      </c>
      <c r="C18" s="126" t="s">
        <v>3254</v>
      </c>
      <c r="D18" s="51"/>
      <c r="E18" s="865">
        <v>15.92</v>
      </c>
    </row>
    <row r="19" spans="1:5">
      <c r="A19" s="864">
        <v>39194</v>
      </c>
      <c r="B19" s="125" t="str">
        <f>TiposLancamentos!B17</f>
        <v>GATO</v>
      </c>
      <c r="C19" s="126" t="s">
        <v>9863</v>
      </c>
      <c r="D19" s="51"/>
      <c r="E19" s="865">
        <v>50.95</v>
      </c>
    </row>
    <row r="20" spans="1:5">
      <c r="A20" s="864">
        <v>39195</v>
      </c>
      <c r="B20" s="125" t="str">
        <f>TiposLancamentos!B19</f>
        <v>Restaurantes</v>
      </c>
      <c r="C20" s="126" t="s">
        <v>20531</v>
      </c>
      <c r="D20" s="51"/>
      <c r="E20" s="865">
        <v>7.55</v>
      </c>
    </row>
    <row r="21" spans="1:5">
      <c r="A21" s="864">
        <v>39195</v>
      </c>
      <c r="B21" s="125" t="str">
        <f>TiposLancamentos!B20</f>
        <v>Saques</v>
      </c>
      <c r="C21" s="126" t="s">
        <v>2668</v>
      </c>
      <c r="D21" s="51"/>
      <c r="E21" s="865">
        <v>10</v>
      </c>
    </row>
    <row r="22" spans="1:5">
      <c r="A22" s="864">
        <v>39195</v>
      </c>
      <c r="B22" s="125" t="str">
        <f>TiposLancamentos!B5</f>
        <v>Supermercado</v>
      </c>
      <c r="C22" s="126" t="s">
        <v>20532</v>
      </c>
      <c r="D22" s="51"/>
      <c r="E22" s="865">
        <v>22.38</v>
      </c>
    </row>
    <row r="23" spans="1:5">
      <c r="A23" s="864">
        <v>39196</v>
      </c>
      <c r="B23" s="125" t="str">
        <f>TiposLancamentos!B56</f>
        <v>Farmácia</v>
      </c>
      <c r="C23" s="126" t="s">
        <v>20533</v>
      </c>
      <c r="D23" s="51"/>
      <c r="E23" s="865">
        <v>13</v>
      </c>
    </row>
    <row r="24" spans="1:5">
      <c r="A24" s="864">
        <v>39196</v>
      </c>
      <c r="B24" s="125" t="str">
        <f>TiposLancamentos!B4</f>
        <v>Taxas Bancarias</v>
      </c>
      <c r="C24" s="126" t="s">
        <v>4853</v>
      </c>
      <c r="D24" s="51"/>
      <c r="E24" s="865">
        <v>4.57</v>
      </c>
    </row>
    <row r="25" spans="1:5">
      <c r="A25" s="864">
        <v>39197</v>
      </c>
      <c r="B25" s="125" t="str">
        <f>TiposLancamentos!B22</f>
        <v>Combustivel</v>
      </c>
      <c r="C25" s="126" t="s">
        <v>20534</v>
      </c>
      <c r="D25" s="51"/>
      <c r="E25" s="865">
        <v>35.03</v>
      </c>
    </row>
    <row r="26" spans="1:5">
      <c r="A26" s="864">
        <v>39197</v>
      </c>
      <c r="B26" s="125" t="str">
        <f>TiposLancamentos!B19</f>
        <v>Restaurantes</v>
      </c>
      <c r="C26" s="126" t="s">
        <v>20535</v>
      </c>
      <c r="D26" s="51"/>
      <c r="E26" s="865">
        <v>11</v>
      </c>
    </row>
    <row r="27" spans="1:5">
      <c r="A27" s="864">
        <v>39197</v>
      </c>
      <c r="B27" s="125" t="str">
        <f>TiposLancamentos!B19</f>
        <v>Restaurantes</v>
      </c>
      <c r="C27" s="126" t="s">
        <v>20536</v>
      </c>
      <c r="D27" s="51"/>
      <c r="E27" s="865">
        <v>5.5</v>
      </c>
    </row>
    <row r="28" spans="1:5">
      <c r="A28" s="864">
        <v>39200</v>
      </c>
      <c r="B28" s="125" t="str">
        <f>TiposLancamentos!B57</f>
        <v>Informática</v>
      </c>
      <c r="C28" s="126" t="s">
        <v>20537</v>
      </c>
      <c r="D28" s="51"/>
      <c r="E28" s="865">
        <v>104</v>
      </c>
    </row>
    <row r="29" spans="1:5">
      <c r="A29" s="864">
        <v>39200</v>
      </c>
      <c r="B29" s="125" t="str">
        <f>TiposLancamentos!B16</f>
        <v>Cristiane</v>
      </c>
      <c r="C29" s="126" t="s">
        <v>20538</v>
      </c>
      <c r="D29" s="51"/>
      <c r="E29" s="865">
        <v>64.900000000000006</v>
      </c>
    </row>
    <row r="30" spans="1:5">
      <c r="A30" s="864">
        <v>39202</v>
      </c>
      <c r="B30" s="125" t="str">
        <f>TiposLancamentos!B95</f>
        <v>Salarios</v>
      </c>
      <c r="C30" s="126" t="s">
        <v>4939</v>
      </c>
      <c r="D30" s="51">
        <v>5508.65</v>
      </c>
      <c r="E30" s="865"/>
    </row>
    <row r="31" spans="1:5">
      <c r="A31" s="961">
        <v>39202</v>
      </c>
      <c r="B31" s="817" t="str">
        <f>TiposLancamentos!B57</f>
        <v>Informática</v>
      </c>
      <c r="C31" s="962" t="s">
        <v>20539</v>
      </c>
      <c r="D31" s="809"/>
      <c r="E31" s="965">
        <f>120+30</f>
        <v>150</v>
      </c>
    </row>
    <row r="32" spans="1:5">
      <c r="A32" s="963">
        <v>39202</v>
      </c>
      <c r="B32" s="818" t="str">
        <f>TiposLancamentos!B16</f>
        <v>Cristiane</v>
      </c>
      <c r="C32" s="964" t="s">
        <v>20540</v>
      </c>
      <c r="D32" s="813"/>
      <c r="E32" s="966">
        <v>70</v>
      </c>
    </row>
    <row r="33" spans="1:5">
      <c r="A33" s="864">
        <v>39202</v>
      </c>
      <c r="B33" s="125" t="str">
        <f>TiposLancamentos!B57</f>
        <v>Informática</v>
      </c>
      <c r="C33" s="126" t="s">
        <v>20541</v>
      </c>
      <c r="D33" s="51"/>
      <c r="E33" s="865">
        <v>155</v>
      </c>
    </row>
    <row r="34" spans="1:5">
      <c r="A34" s="864">
        <v>39202</v>
      </c>
      <c r="B34" s="125" t="str">
        <f>TiposLancamentos!B57</f>
        <v>Informática</v>
      </c>
      <c r="C34" s="126" t="s">
        <v>20542</v>
      </c>
      <c r="D34" s="51"/>
      <c r="E34" s="865">
        <v>35</v>
      </c>
    </row>
    <row r="35" spans="1:5">
      <c r="A35" s="864">
        <v>39202</v>
      </c>
      <c r="B35" s="125" t="str">
        <f>TiposLancamentos!B77</f>
        <v>Esporádico</v>
      </c>
      <c r="C35" s="126" t="s">
        <v>20543</v>
      </c>
      <c r="D35" s="51"/>
      <c r="E35" s="865">
        <v>110</v>
      </c>
    </row>
    <row r="36" spans="1:5">
      <c r="A36" s="864">
        <v>39202</v>
      </c>
      <c r="B36" s="125" t="str">
        <f>TiposLancamentos!B43</f>
        <v>Imposto de Renda</v>
      </c>
      <c r="C36" s="126" t="s">
        <v>20544</v>
      </c>
      <c r="D36" s="51"/>
      <c r="E36" s="865">
        <v>57.27</v>
      </c>
    </row>
    <row r="37" spans="1:5" ht="14.25" thickBot="1">
      <c r="A37" s="864">
        <v>39202</v>
      </c>
      <c r="B37" s="125" t="str">
        <f>TiposLancamentos!B71</f>
        <v>Itens Pessoais</v>
      </c>
      <c r="C37" s="126" t="s">
        <v>20545</v>
      </c>
      <c r="D37" s="51"/>
      <c r="E37" s="865">
        <v>29.9</v>
      </c>
    </row>
    <row r="38" spans="1:5" ht="14.25" thickBot="1">
      <c r="A38" s="993"/>
      <c r="B38" s="988"/>
      <c r="C38" s="990" t="s">
        <v>20546</v>
      </c>
      <c r="D38" s="991"/>
      <c r="E38" s="994"/>
    </row>
    <row r="39" spans="1:5">
      <c r="A39" s="884">
        <v>39203</v>
      </c>
      <c r="B39" s="86" t="str">
        <f>TiposLancamentos!B5</f>
        <v>Supermercado</v>
      </c>
      <c r="C39" s="128" t="s">
        <v>20547</v>
      </c>
      <c r="D39" s="51"/>
      <c r="E39" s="865">
        <v>16.91</v>
      </c>
    </row>
    <row r="40" spans="1:5">
      <c r="A40" s="884">
        <v>39204</v>
      </c>
      <c r="B40" s="86" t="str">
        <f>TiposLancamentos!B44</f>
        <v>Academia</v>
      </c>
      <c r="C40" s="128" t="s">
        <v>20548</v>
      </c>
      <c r="D40" s="51"/>
      <c r="E40" s="865">
        <v>164.9</v>
      </c>
    </row>
    <row r="41" spans="1:5">
      <c r="A41" s="884">
        <v>39204</v>
      </c>
      <c r="B41" s="86" t="str">
        <f>TiposLancamentos!B15</f>
        <v>Cartões de Crédito</v>
      </c>
      <c r="C41" s="128" t="s">
        <v>20549</v>
      </c>
      <c r="D41" s="51"/>
      <c r="E41" s="865">
        <v>327.8</v>
      </c>
    </row>
    <row r="42" spans="1:5">
      <c r="A42" s="884">
        <v>39204</v>
      </c>
      <c r="B42" s="86" t="str">
        <f>TiposLancamentos!B2</f>
        <v>Telefonia</v>
      </c>
      <c r="C42" s="128" t="s">
        <v>5410</v>
      </c>
      <c r="D42" s="51"/>
      <c r="E42" s="865">
        <v>79.64</v>
      </c>
    </row>
    <row r="43" spans="1:5">
      <c r="A43" s="884">
        <v>39204</v>
      </c>
      <c r="B43" s="86" t="str">
        <f>TiposLancamentos!B15</f>
        <v>Cartões de Crédito</v>
      </c>
      <c r="C43" s="128" t="s">
        <v>5558</v>
      </c>
      <c r="D43" s="51"/>
      <c r="E43" s="865">
        <v>509.57</v>
      </c>
    </row>
    <row r="44" spans="1:5">
      <c r="A44" s="884">
        <v>39204</v>
      </c>
      <c r="B44" s="86" t="str">
        <f>TiposLancamentos!B15</f>
        <v>Cartões de Crédito</v>
      </c>
      <c r="C44" s="128" t="s">
        <v>6427</v>
      </c>
      <c r="D44" s="51"/>
      <c r="E44" s="865">
        <v>277.64</v>
      </c>
    </row>
    <row r="45" spans="1:5">
      <c r="A45" s="884">
        <v>39204</v>
      </c>
      <c r="B45" s="86" t="str">
        <f>TiposLancamentos!B20</f>
        <v>Saques</v>
      </c>
      <c r="C45" s="128" t="s">
        <v>20550</v>
      </c>
      <c r="D45" s="51"/>
      <c r="E45" s="865">
        <v>20</v>
      </c>
    </row>
    <row r="46" spans="1:5">
      <c r="A46" s="884">
        <v>39205</v>
      </c>
      <c r="B46" s="86" t="str">
        <f>TiposLancamentos!B6</f>
        <v>Energia Eletrica</v>
      </c>
      <c r="C46" s="128" t="s">
        <v>5561</v>
      </c>
      <c r="D46" s="51"/>
      <c r="E46" s="865">
        <v>49.82</v>
      </c>
    </row>
    <row r="47" spans="1:5">
      <c r="A47" s="884">
        <v>39205</v>
      </c>
      <c r="B47" s="86" t="str">
        <f>TiposLancamentos!B13</f>
        <v>Moradia</v>
      </c>
      <c r="C47" s="128" t="s">
        <v>20551</v>
      </c>
      <c r="D47" s="51"/>
      <c r="E47" s="865">
        <v>630.46</v>
      </c>
    </row>
    <row r="48" spans="1:5">
      <c r="A48" s="884">
        <v>39205</v>
      </c>
      <c r="B48" s="86" t="str">
        <f>TiposLancamentos!B13</f>
        <v>Moradia</v>
      </c>
      <c r="C48" s="128" t="s">
        <v>20552</v>
      </c>
      <c r="D48" s="51"/>
      <c r="E48" s="865">
        <v>630.46</v>
      </c>
    </row>
    <row r="49" spans="1:5">
      <c r="A49" s="884">
        <v>39205</v>
      </c>
      <c r="B49" s="86" t="str">
        <f>TiposLancamentos!B85</f>
        <v>Peugeout 206</v>
      </c>
      <c r="C49" s="3" t="s">
        <v>13232</v>
      </c>
      <c r="D49" s="78"/>
      <c r="E49" s="865">
        <v>747.83</v>
      </c>
    </row>
    <row r="50" spans="1:5">
      <c r="A50" s="884">
        <v>39205</v>
      </c>
      <c r="B50" s="86" t="str">
        <f>TiposLancamentos!B5</f>
        <v>Supermercado</v>
      </c>
      <c r="C50" s="128" t="s">
        <v>20553</v>
      </c>
      <c r="D50" s="51"/>
      <c r="E50" s="865">
        <v>20.55</v>
      </c>
    </row>
    <row r="51" spans="1:5">
      <c r="A51" s="884">
        <v>39205</v>
      </c>
      <c r="B51" s="86" t="str">
        <f>TiposLancamentos!B98</f>
        <v>Restituições</v>
      </c>
      <c r="C51" s="128" t="s">
        <v>20554</v>
      </c>
      <c r="D51" s="51">
        <v>65.42</v>
      </c>
      <c r="E51" s="865"/>
    </row>
    <row r="52" spans="1:5">
      <c r="A52" s="884">
        <v>39205</v>
      </c>
      <c r="B52" s="86" t="str">
        <f>TiposLancamentos!B22</f>
        <v>Combustivel</v>
      </c>
      <c r="C52" s="128" t="s">
        <v>20555</v>
      </c>
      <c r="D52" s="51"/>
      <c r="E52" s="865">
        <v>50</v>
      </c>
    </row>
    <row r="53" spans="1:5">
      <c r="A53" s="884">
        <v>39205</v>
      </c>
      <c r="B53" s="86" t="str">
        <f>TiposLancamentos!B4</f>
        <v>Taxas Bancarias</v>
      </c>
      <c r="C53" s="128" t="s">
        <v>4853</v>
      </c>
      <c r="D53" s="51"/>
      <c r="E53" s="865">
        <v>3.95</v>
      </c>
    </row>
    <row r="54" spans="1:5">
      <c r="A54" s="884">
        <v>39206</v>
      </c>
      <c r="B54" s="86" t="str">
        <f>TiposLancamentos!B13</f>
        <v>Moradia</v>
      </c>
      <c r="C54" s="128" t="s">
        <v>20556</v>
      </c>
      <c r="D54" s="51"/>
      <c r="E54" s="865">
        <v>699</v>
      </c>
    </row>
    <row r="55" spans="1:5">
      <c r="A55" s="884">
        <v>39206</v>
      </c>
      <c r="B55" s="86" t="str">
        <f>TiposLancamentos!B20</f>
        <v>Saques</v>
      </c>
      <c r="C55" s="128" t="s">
        <v>2850</v>
      </c>
      <c r="D55" s="51"/>
      <c r="E55" s="865">
        <v>40</v>
      </c>
    </row>
    <row r="56" spans="1:5">
      <c r="A56" s="884">
        <v>39207</v>
      </c>
      <c r="B56" s="86" t="str">
        <f>TiposLancamentos!B56</f>
        <v>Farmácia</v>
      </c>
      <c r="C56" s="128" t="s">
        <v>20557</v>
      </c>
      <c r="D56" s="51"/>
      <c r="E56" s="865">
        <v>33.130000000000003</v>
      </c>
    </row>
    <row r="57" spans="1:5">
      <c r="A57" s="884">
        <v>39207</v>
      </c>
      <c r="B57" s="86" t="str">
        <f>TiposLancamentos!B57</f>
        <v>Informática</v>
      </c>
      <c r="C57" s="128" t="s">
        <v>20558</v>
      </c>
      <c r="D57" s="51"/>
      <c r="E57" s="865">
        <v>46.79</v>
      </c>
    </row>
    <row r="58" spans="1:5">
      <c r="A58" s="884">
        <v>39208</v>
      </c>
      <c r="B58" s="86" t="str">
        <f>TiposLancamentos!B19</f>
        <v>Restaurantes</v>
      </c>
      <c r="C58" s="128" t="s">
        <v>3287</v>
      </c>
      <c r="D58" s="51"/>
      <c r="E58" s="865">
        <v>34.9</v>
      </c>
    </row>
    <row r="59" spans="1:5">
      <c r="A59" s="884">
        <v>39208</v>
      </c>
      <c r="B59" s="86" t="str">
        <f>TiposLancamentos!B13</f>
        <v>Moradia</v>
      </c>
      <c r="C59" s="128" t="s">
        <v>20559</v>
      </c>
      <c r="D59" s="51"/>
      <c r="E59" s="865">
        <v>59.9</v>
      </c>
    </row>
    <row r="60" spans="1:5">
      <c r="A60" s="884">
        <v>39208</v>
      </c>
      <c r="B60" s="86" t="str">
        <f>TiposLancamentos!B5</f>
        <v>Supermercado</v>
      </c>
      <c r="C60" s="128" t="s">
        <v>3210</v>
      </c>
      <c r="D60" s="51"/>
      <c r="E60" s="865">
        <v>33.229999999999997</v>
      </c>
    </row>
    <row r="61" spans="1:5">
      <c r="A61" s="884">
        <v>39209</v>
      </c>
      <c r="B61" s="86" t="str">
        <f>TiposLancamentos!B5</f>
        <v>Supermercado</v>
      </c>
      <c r="C61" s="128" t="s">
        <v>20560</v>
      </c>
      <c r="D61" s="51"/>
      <c r="E61" s="865">
        <v>8.2899999999999991</v>
      </c>
    </row>
    <row r="62" spans="1:5">
      <c r="A62" s="884">
        <v>39209</v>
      </c>
      <c r="B62" s="86" t="str">
        <f>TiposLancamentos!B56</f>
        <v>Farmácia</v>
      </c>
      <c r="C62" s="128" t="s">
        <v>20561</v>
      </c>
      <c r="D62" s="51"/>
      <c r="E62" s="865">
        <v>10.130000000000001</v>
      </c>
    </row>
    <row r="63" spans="1:5">
      <c r="A63" s="884">
        <v>39211</v>
      </c>
      <c r="B63" s="86" t="str">
        <f>TiposLancamentos!B20</f>
        <v>Saques</v>
      </c>
      <c r="C63" s="128" t="s">
        <v>3072</v>
      </c>
      <c r="D63" s="51"/>
      <c r="E63" s="865">
        <v>10</v>
      </c>
    </row>
    <row r="64" spans="1:5">
      <c r="A64" s="884">
        <v>39211</v>
      </c>
      <c r="B64" s="86" t="str">
        <f>TiposLancamentos!B19</f>
        <v>Restaurantes</v>
      </c>
      <c r="C64" s="128" t="s">
        <v>20562</v>
      </c>
      <c r="D64" s="51"/>
      <c r="E64" s="865">
        <v>17.5</v>
      </c>
    </row>
    <row r="65" spans="1:5">
      <c r="A65" s="884">
        <v>39211</v>
      </c>
      <c r="B65" s="86" t="str">
        <f>TiposLancamentos!B19</f>
        <v>Restaurantes</v>
      </c>
      <c r="C65" s="128" t="s">
        <v>20563</v>
      </c>
      <c r="D65" s="51"/>
      <c r="E65" s="865">
        <v>3.95</v>
      </c>
    </row>
    <row r="66" spans="1:5">
      <c r="A66" s="884">
        <v>39211</v>
      </c>
      <c r="B66" s="86" t="str">
        <f>TiposLancamentos!B70</f>
        <v>Vestuário</v>
      </c>
      <c r="C66" s="128" t="s">
        <v>20564</v>
      </c>
      <c r="D66" s="51"/>
      <c r="E66" s="865">
        <v>123</v>
      </c>
    </row>
    <row r="67" spans="1:5">
      <c r="A67" s="884">
        <v>39212</v>
      </c>
      <c r="B67" s="86" t="str">
        <f>TiposLancamentos!B19</f>
        <v>Restaurantes</v>
      </c>
      <c r="C67" s="128" t="s">
        <v>5174</v>
      </c>
      <c r="D67" s="51"/>
      <c r="E67" s="865">
        <v>11.25</v>
      </c>
    </row>
    <row r="68" spans="1:5">
      <c r="A68" s="884">
        <v>39212</v>
      </c>
      <c r="B68" s="86" t="str">
        <f>TiposLancamentos!B5</f>
        <v>Supermercado</v>
      </c>
      <c r="C68" s="128" t="s">
        <v>20565</v>
      </c>
      <c r="D68" s="51"/>
      <c r="E68" s="865">
        <v>8.99</v>
      </c>
    </row>
    <row r="69" spans="1:5">
      <c r="A69" s="884">
        <v>39212</v>
      </c>
      <c r="B69" s="86" t="str">
        <f>TiposLancamentos!B20</f>
        <v>Saques</v>
      </c>
      <c r="C69" s="128" t="s">
        <v>2668</v>
      </c>
      <c r="D69" s="51"/>
      <c r="E69" s="865">
        <v>20</v>
      </c>
    </row>
    <row r="70" spans="1:5">
      <c r="A70" s="884">
        <v>39213</v>
      </c>
      <c r="B70" s="86" t="str">
        <f>TiposLancamentos!B19</f>
        <v>Restaurantes</v>
      </c>
      <c r="C70" s="128" t="s">
        <v>20566</v>
      </c>
      <c r="D70" s="51"/>
      <c r="E70" s="865">
        <v>11.07</v>
      </c>
    </row>
    <row r="71" spans="1:5">
      <c r="A71" s="884">
        <v>39213</v>
      </c>
      <c r="B71" s="86" t="str">
        <f>TiposLancamentos!B19</f>
        <v>Restaurantes</v>
      </c>
      <c r="C71" s="128" t="s">
        <v>20567</v>
      </c>
      <c r="D71" s="51"/>
      <c r="E71" s="865">
        <v>3.95</v>
      </c>
    </row>
    <row r="72" spans="1:5">
      <c r="A72" s="884">
        <v>39214</v>
      </c>
      <c r="B72" s="86" t="str">
        <f>TiposLancamentos!B90</f>
        <v>Locadora</v>
      </c>
      <c r="C72" s="128" t="s">
        <v>20568</v>
      </c>
      <c r="D72" s="51"/>
      <c r="E72" s="865">
        <v>16</v>
      </c>
    </row>
    <row r="73" spans="1:5">
      <c r="A73" s="884">
        <v>39215</v>
      </c>
      <c r="B73" s="86" t="str">
        <f>TiposLancamentos!B22</f>
        <v>Combustivel</v>
      </c>
      <c r="C73" s="128" t="s">
        <v>3381</v>
      </c>
      <c r="D73" s="51"/>
      <c r="E73" s="865">
        <v>30</v>
      </c>
    </row>
    <row r="74" spans="1:5">
      <c r="A74" s="884">
        <v>39215</v>
      </c>
      <c r="B74" s="86" t="str">
        <f>TiposLancamentos!B19</f>
        <v>Restaurantes</v>
      </c>
      <c r="C74" s="128" t="s">
        <v>3029</v>
      </c>
      <c r="D74" s="51"/>
      <c r="E74" s="865">
        <v>11.4</v>
      </c>
    </row>
    <row r="75" spans="1:5">
      <c r="A75" s="884">
        <v>39215</v>
      </c>
      <c r="B75" s="86" t="str">
        <f>TiposLancamentos!B103</f>
        <v>Juros_Corr. Poupança</v>
      </c>
      <c r="C75" s="128" t="s">
        <v>20569</v>
      </c>
      <c r="D75" s="51">
        <v>0.9</v>
      </c>
      <c r="E75" s="865"/>
    </row>
    <row r="76" spans="1:5">
      <c r="A76" s="884">
        <v>39215</v>
      </c>
      <c r="B76" s="86" t="str">
        <f>TiposLancamentos!B103</f>
        <v>Juros_Corr. Poupança</v>
      </c>
      <c r="C76" s="128" t="s">
        <v>20570</v>
      </c>
      <c r="D76" s="51">
        <v>0.19</v>
      </c>
      <c r="E76" s="865"/>
    </row>
    <row r="77" spans="1:5">
      <c r="A77" s="884">
        <v>39216</v>
      </c>
      <c r="B77" s="86" t="str">
        <f>TiposLancamentos!B4</f>
        <v>Taxas Bancarias</v>
      </c>
      <c r="C77" s="128" t="s">
        <v>4853</v>
      </c>
      <c r="D77" s="51"/>
      <c r="E77" s="865">
        <v>17.649999999999999</v>
      </c>
    </row>
    <row r="78" spans="1:5">
      <c r="A78" s="884">
        <v>39217</v>
      </c>
      <c r="B78" s="86" t="str">
        <f>TiposLancamentos!B95</f>
        <v>Salarios</v>
      </c>
      <c r="C78" s="128" t="s">
        <v>4939</v>
      </c>
      <c r="D78" s="51">
        <v>1689.1</v>
      </c>
      <c r="E78" s="865"/>
    </row>
    <row r="79" spans="1:5">
      <c r="A79" s="961">
        <v>39217</v>
      </c>
      <c r="B79" s="817" t="str">
        <f>TiposLancamentos!B8</f>
        <v>Aluguel</v>
      </c>
      <c r="C79" s="962" t="s">
        <v>20571</v>
      </c>
      <c r="D79" s="809"/>
      <c r="E79" s="965">
        <f>1013.67-E80</f>
        <v>807.67</v>
      </c>
    </row>
    <row r="80" spans="1:5">
      <c r="A80" s="963">
        <v>39217</v>
      </c>
      <c r="B80" s="818" t="str">
        <f>TiposLancamentos!B9</f>
        <v>Condominio</v>
      </c>
      <c r="C80" s="964" t="s">
        <v>20572</v>
      </c>
      <c r="D80" s="813"/>
      <c r="E80" s="966">
        <f>186+20</f>
        <v>206</v>
      </c>
    </row>
    <row r="81" spans="1:5">
      <c r="A81" s="884">
        <v>39217</v>
      </c>
      <c r="B81" s="86" t="str">
        <f>TiposLancamentos!B20</f>
        <v>Saques</v>
      </c>
      <c r="C81" s="128" t="s">
        <v>2876</v>
      </c>
      <c r="D81" s="51"/>
      <c r="E81" s="865">
        <v>20</v>
      </c>
    </row>
    <row r="82" spans="1:5">
      <c r="A82" s="884">
        <v>39219</v>
      </c>
      <c r="B82" s="86" t="str">
        <f>TiposLancamentos!B19</f>
        <v>Restaurantes</v>
      </c>
      <c r="C82" s="128" t="s">
        <v>20573</v>
      </c>
      <c r="D82" s="51"/>
      <c r="E82" s="865">
        <v>3.6</v>
      </c>
    </row>
    <row r="83" spans="1:5">
      <c r="A83" s="884">
        <v>39220</v>
      </c>
      <c r="B83" s="86" t="str">
        <f>TiposLancamentos!B19</f>
        <v>Restaurantes</v>
      </c>
      <c r="C83" s="128" t="s">
        <v>20574</v>
      </c>
      <c r="D83" s="51"/>
      <c r="E83" s="865">
        <v>33.200000000000003</v>
      </c>
    </row>
    <row r="84" spans="1:5">
      <c r="A84" s="884">
        <v>39220</v>
      </c>
      <c r="B84" s="86" t="str">
        <f>TiposLancamentos!B19</f>
        <v>Restaurantes</v>
      </c>
      <c r="C84" s="128" t="s">
        <v>20575</v>
      </c>
      <c r="D84" s="51"/>
      <c r="E84" s="865">
        <v>4.9000000000000004</v>
      </c>
    </row>
    <row r="85" spans="1:5">
      <c r="A85" s="884">
        <v>39220</v>
      </c>
      <c r="B85" s="86" t="str">
        <f>TiposLancamentos!B27</f>
        <v>Jornais e revistas</v>
      </c>
      <c r="C85" s="128" t="s">
        <v>20576</v>
      </c>
      <c r="D85" s="51"/>
      <c r="E85" s="865">
        <v>24.85</v>
      </c>
    </row>
    <row r="86" spans="1:5">
      <c r="A86" s="884">
        <v>39221</v>
      </c>
      <c r="B86" s="86" t="str">
        <f>TiposLancamentos!B22</f>
        <v>Combustivel</v>
      </c>
      <c r="C86" s="128" t="s">
        <v>20577</v>
      </c>
      <c r="D86" s="51"/>
      <c r="E86" s="865">
        <v>40</v>
      </c>
    </row>
    <row r="87" spans="1:5">
      <c r="A87" s="961">
        <v>39221</v>
      </c>
      <c r="B87" s="817" t="str">
        <f>TiposLancamentos!B58</f>
        <v>Fotografias</v>
      </c>
      <c r="C87" s="962" t="s">
        <v>20578</v>
      </c>
      <c r="D87" s="809"/>
      <c r="E87" s="965">
        <f>0.79*11</f>
        <v>8.6900000000000013</v>
      </c>
    </row>
    <row r="88" spans="1:5">
      <c r="A88" s="963">
        <v>39221</v>
      </c>
      <c r="B88" s="818" t="str">
        <f>TiposLancamentos!B71</f>
        <v>Itens Pessoais</v>
      </c>
      <c r="C88" s="964" t="s">
        <v>20579</v>
      </c>
      <c r="D88" s="813"/>
      <c r="E88" s="966">
        <f>44.38-E87</f>
        <v>35.69</v>
      </c>
    </row>
    <row r="89" spans="1:5">
      <c r="A89" s="884">
        <v>39221</v>
      </c>
      <c r="B89" s="86" t="str">
        <f>TiposLancamentos!B19</f>
        <v>Restaurantes</v>
      </c>
      <c r="C89" s="128" t="s">
        <v>20580</v>
      </c>
      <c r="D89" s="51"/>
      <c r="E89" s="865">
        <v>30.97</v>
      </c>
    </row>
    <row r="90" spans="1:5">
      <c r="A90" s="884">
        <v>39221</v>
      </c>
      <c r="B90" s="86" t="str">
        <f>TiposLancamentos!B36</f>
        <v>Playstation 2</v>
      </c>
      <c r="C90" s="128" t="s">
        <v>20581</v>
      </c>
      <c r="D90" s="51"/>
      <c r="E90" s="865">
        <v>39</v>
      </c>
    </row>
    <row r="91" spans="1:5">
      <c r="A91" s="884">
        <v>39223</v>
      </c>
      <c r="B91" s="86" t="str">
        <f>TiposLancamentos!B85</f>
        <v>Peugeout 206</v>
      </c>
      <c r="C91" s="128" t="s">
        <v>13233</v>
      </c>
      <c r="D91" s="51"/>
      <c r="E91" s="865">
        <v>747.83</v>
      </c>
    </row>
    <row r="92" spans="1:5">
      <c r="A92" s="884">
        <v>39223</v>
      </c>
      <c r="B92" s="86" t="str">
        <f>TiposLancamentos!B59</f>
        <v>Documentos</v>
      </c>
      <c r="C92" s="128" t="s">
        <v>20582</v>
      </c>
      <c r="D92" s="51"/>
      <c r="E92" s="865">
        <v>29</v>
      </c>
    </row>
    <row r="93" spans="1:5">
      <c r="A93" s="884">
        <v>39223</v>
      </c>
      <c r="B93" s="86" t="str">
        <f>TiposLancamentos!B19</f>
        <v>Restaurantes</v>
      </c>
      <c r="C93" s="128" t="s">
        <v>20583</v>
      </c>
      <c r="D93" s="51"/>
      <c r="E93" s="865">
        <v>7.3</v>
      </c>
    </row>
    <row r="94" spans="1:5">
      <c r="A94" s="884">
        <v>39224</v>
      </c>
      <c r="B94" s="86" t="str">
        <f>TiposLancamentos!B19</f>
        <v>Restaurantes</v>
      </c>
      <c r="C94" s="128" t="s">
        <v>20584</v>
      </c>
      <c r="D94" s="51"/>
      <c r="E94" s="865">
        <v>3.95</v>
      </c>
    </row>
    <row r="95" spans="1:5">
      <c r="A95" s="884">
        <v>39224</v>
      </c>
      <c r="B95" s="86" t="str">
        <f>TiposLancamentos!B19</f>
        <v>Restaurantes</v>
      </c>
      <c r="C95" s="128" t="s">
        <v>20585</v>
      </c>
      <c r="D95" s="51"/>
      <c r="E95" s="865">
        <v>6.2</v>
      </c>
    </row>
    <row r="96" spans="1:5">
      <c r="A96" s="884">
        <v>39224</v>
      </c>
      <c r="B96" s="86" t="str">
        <f>TiposLancamentos!B4</f>
        <v>Taxas Bancarias</v>
      </c>
      <c r="C96" s="128" t="s">
        <v>4853</v>
      </c>
      <c r="D96" s="51"/>
      <c r="E96" s="865">
        <v>4.41</v>
      </c>
    </row>
    <row r="97" spans="1:5">
      <c r="A97" s="884">
        <v>39225</v>
      </c>
      <c r="B97" s="86" t="str">
        <f>TiposLancamentos!B20</f>
        <v>Saques</v>
      </c>
      <c r="C97" s="128" t="s">
        <v>2668</v>
      </c>
      <c r="D97" s="51"/>
      <c r="E97" s="865">
        <v>10</v>
      </c>
    </row>
    <row r="98" spans="1:5">
      <c r="A98" s="884">
        <v>39225</v>
      </c>
      <c r="B98" s="86" t="str">
        <f>TiposLancamentos!B19</f>
        <v>Restaurantes</v>
      </c>
      <c r="C98" s="128" t="s">
        <v>3287</v>
      </c>
      <c r="D98" s="51"/>
      <c r="E98" s="865">
        <v>13.4</v>
      </c>
    </row>
    <row r="99" spans="1:5">
      <c r="A99" s="884">
        <v>39225</v>
      </c>
      <c r="B99" s="86" t="str">
        <f>TiposLancamentos!B19</f>
        <v>Restaurantes</v>
      </c>
      <c r="C99" s="128" t="s">
        <v>20586</v>
      </c>
      <c r="D99" s="51"/>
      <c r="E99" s="865">
        <v>4.8</v>
      </c>
    </row>
    <row r="100" spans="1:5">
      <c r="A100" s="884">
        <v>39226</v>
      </c>
      <c r="B100" s="86" t="str">
        <f>TiposLancamentos!B19</f>
        <v>Restaurantes</v>
      </c>
      <c r="C100" s="128" t="s">
        <v>5002</v>
      </c>
      <c r="D100" s="51"/>
      <c r="E100" s="865">
        <v>11.25</v>
      </c>
    </row>
    <row r="101" spans="1:5">
      <c r="A101" s="884">
        <v>39226</v>
      </c>
      <c r="B101" s="86" t="str">
        <f>TiposLancamentos!B17</f>
        <v>GATO</v>
      </c>
      <c r="C101" s="128" t="s">
        <v>20587</v>
      </c>
      <c r="D101" s="51"/>
      <c r="E101" s="865">
        <v>50.95</v>
      </c>
    </row>
    <row r="102" spans="1:5">
      <c r="A102" s="884">
        <v>39226</v>
      </c>
      <c r="B102" s="86" t="str">
        <f>TiposLancamentos!B19</f>
        <v>Restaurantes</v>
      </c>
      <c r="C102" s="128" t="s">
        <v>20588</v>
      </c>
      <c r="D102" s="51"/>
      <c r="E102" s="865">
        <v>17.3</v>
      </c>
    </row>
    <row r="103" spans="1:5">
      <c r="A103" s="884">
        <v>39227</v>
      </c>
      <c r="B103" s="86" t="str">
        <f>TiposLancamentos!B19</f>
        <v>Restaurantes</v>
      </c>
      <c r="C103" s="128" t="s">
        <v>20589</v>
      </c>
      <c r="D103" s="51"/>
      <c r="E103" s="865">
        <v>24.23</v>
      </c>
    </row>
    <row r="104" spans="1:5">
      <c r="A104" s="884">
        <v>39227</v>
      </c>
      <c r="B104" s="86" t="str">
        <f>TiposLancamentos!B19</f>
        <v>Restaurantes</v>
      </c>
      <c r="C104" s="128" t="s">
        <v>20590</v>
      </c>
      <c r="D104" s="51"/>
      <c r="E104" s="865">
        <v>6.4</v>
      </c>
    </row>
    <row r="105" spans="1:5">
      <c r="A105" s="884">
        <v>39227</v>
      </c>
      <c r="B105" s="86" t="str">
        <f>TiposLancamentos!B22</f>
        <v>Combustivel</v>
      </c>
      <c r="C105" s="128" t="s">
        <v>20555</v>
      </c>
      <c r="D105" s="51"/>
      <c r="E105" s="865">
        <v>40</v>
      </c>
    </row>
    <row r="106" spans="1:5">
      <c r="A106" s="884">
        <v>39227</v>
      </c>
      <c r="B106" s="86" t="str">
        <f>TiposLancamentos!B58</f>
        <v>Fotografias</v>
      </c>
      <c r="C106" s="128" t="s">
        <v>20591</v>
      </c>
      <c r="D106" s="51"/>
      <c r="E106" s="865">
        <v>12.3</v>
      </c>
    </row>
    <row r="107" spans="1:5">
      <c r="A107" s="884">
        <v>39227</v>
      </c>
      <c r="B107" s="86" t="str">
        <f>TiposLancamentos!B19</f>
        <v>Restaurantes</v>
      </c>
      <c r="C107" s="128" t="s">
        <v>20592</v>
      </c>
      <c r="D107" s="51"/>
      <c r="E107" s="865">
        <v>4.9000000000000004</v>
      </c>
    </row>
    <row r="108" spans="1:5">
      <c r="A108" s="884">
        <v>39228</v>
      </c>
      <c r="B108" s="86" t="str">
        <f>TiposLancamentos!B19</f>
        <v>Restaurantes</v>
      </c>
      <c r="C108" s="128" t="s">
        <v>20593</v>
      </c>
      <c r="D108" s="51"/>
      <c r="E108" s="865">
        <v>26.14</v>
      </c>
    </row>
    <row r="109" spans="1:5">
      <c r="A109" s="884">
        <v>39228</v>
      </c>
      <c r="B109" s="86" t="str">
        <f>TiposLancamentos!B19</f>
        <v>Restaurantes</v>
      </c>
      <c r="C109" s="128" t="s">
        <v>3184</v>
      </c>
      <c r="D109" s="51"/>
      <c r="E109" s="865">
        <v>3.95</v>
      </c>
    </row>
    <row r="110" spans="1:5">
      <c r="A110" s="884">
        <v>39230</v>
      </c>
      <c r="B110" s="86" t="str">
        <f>TiposLancamentos!B19</f>
        <v>Restaurantes</v>
      </c>
      <c r="C110" s="128" t="s">
        <v>20594</v>
      </c>
      <c r="D110" s="51"/>
      <c r="E110" s="865">
        <v>5.48</v>
      </c>
    </row>
    <row r="111" spans="1:5">
      <c r="A111" s="884">
        <v>39230</v>
      </c>
      <c r="B111" s="86" t="str">
        <f>TiposLancamentos!B19</f>
        <v>Restaurantes</v>
      </c>
      <c r="C111" s="128" t="s">
        <v>3265</v>
      </c>
      <c r="D111" s="51"/>
      <c r="E111" s="865">
        <v>3.95</v>
      </c>
    </row>
    <row r="112" spans="1:5">
      <c r="A112" s="884">
        <v>39232</v>
      </c>
      <c r="B112" s="86" t="str">
        <f>TiposLancamentos!B56</f>
        <v>Farmácia</v>
      </c>
      <c r="C112" s="128" t="s">
        <v>20595</v>
      </c>
      <c r="D112" s="51"/>
      <c r="E112" s="865">
        <v>84</v>
      </c>
    </row>
    <row r="113" spans="1:5">
      <c r="A113" s="884">
        <v>39233</v>
      </c>
      <c r="B113" s="86" t="str">
        <f>TiposLancamentos!B95</f>
        <v>Salarios</v>
      </c>
      <c r="C113" s="128" t="s">
        <v>4939</v>
      </c>
      <c r="D113" s="51">
        <v>5652.52</v>
      </c>
      <c r="E113" s="865"/>
    </row>
    <row r="114" spans="1:5" ht="14.25" thickBot="1">
      <c r="A114" s="884">
        <v>39233</v>
      </c>
      <c r="B114" s="86" t="str">
        <f>TiposLancamentos!B105</f>
        <v>Transf. Bco</v>
      </c>
      <c r="C114" s="128" t="s">
        <v>20596</v>
      </c>
      <c r="D114" s="51"/>
      <c r="E114" s="865">
        <v>186</v>
      </c>
    </row>
    <row r="115" spans="1:5" ht="14.25" thickBot="1">
      <c r="A115" s="995"/>
      <c r="B115" s="988"/>
      <c r="C115" s="990" t="s">
        <v>13234</v>
      </c>
      <c r="D115" s="996"/>
      <c r="E115" s="994"/>
    </row>
    <row r="116" spans="1:5">
      <c r="A116" s="864">
        <v>39234</v>
      </c>
      <c r="B116" s="86" t="str">
        <f>TiposLancamentos!B2</f>
        <v>Telefonia</v>
      </c>
      <c r="C116" s="126" t="s">
        <v>5080</v>
      </c>
      <c r="D116" s="63"/>
      <c r="E116" s="865">
        <v>105.29</v>
      </c>
    </row>
    <row r="117" spans="1:5">
      <c r="A117" s="864">
        <v>39234</v>
      </c>
      <c r="B117" s="86" t="str">
        <f>TiposLancamentos!B3</f>
        <v>Internet</v>
      </c>
      <c r="C117" s="126" t="s">
        <v>4987</v>
      </c>
      <c r="D117" s="63"/>
      <c r="E117" s="865">
        <f>2*79.9</f>
        <v>159.80000000000001</v>
      </c>
    </row>
    <row r="118" spans="1:5">
      <c r="A118" s="864">
        <v>39234</v>
      </c>
      <c r="B118" s="86" t="str">
        <f>TiposLancamentos!B15</f>
        <v>Cartões de Crédito</v>
      </c>
      <c r="C118" s="126" t="s">
        <v>20597</v>
      </c>
      <c r="D118" s="63"/>
      <c r="E118" s="865">
        <v>560.87</v>
      </c>
    </row>
    <row r="119" spans="1:5">
      <c r="A119" s="864">
        <v>39234</v>
      </c>
      <c r="B119" s="86" t="str">
        <f>TiposLancamentos!B15</f>
        <v>Cartões de Crédito</v>
      </c>
      <c r="C119" s="126" t="s">
        <v>20598</v>
      </c>
      <c r="D119" s="63"/>
      <c r="E119" s="865">
        <v>377.54</v>
      </c>
    </row>
    <row r="120" spans="1:5">
      <c r="A120" s="864">
        <v>39234</v>
      </c>
      <c r="B120" s="86" t="str">
        <f>TiposLancamentos!B15</f>
        <v>Cartões de Crédito</v>
      </c>
      <c r="C120" s="126" t="s">
        <v>5558</v>
      </c>
      <c r="D120" s="63"/>
      <c r="E120" s="865">
        <v>389.9</v>
      </c>
    </row>
    <row r="121" spans="1:5">
      <c r="A121" s="864">
        <v>39234</v>
      </c>
      <c r="B121" s="86" t="str">
        <f>TiposLancamentos!B6</f>
        <v>Energia Eletrica</v>
      </c>
      <c r="C121" s="126" t="s">
        <v>20599</v>
      </c>
      <c r="D121" s="63"/>
      <c r="E121" s="865">
        <v>99.29</v>
      </c>
    </row>
    <row r="122" spans="1:5">
      <c r="A122" s="864">
        <v>39234</v>
      </c>
      <c r="B122" s="86" t="str">
        <f>TiposLancamentos!B13</f>
        <v>Moradia</v>
      </c>
      <c r="C122" s="126" t="s">
        <v>20600</v>
      </c>
      <c r="D122" s="63"/>
      <c r="E122" s="865">
        <v>630.46</v>
      </c>
    </row>
    <row r="123" spans="1:5">
      <c r="A123" s="864">
        <v>39234</v>
      </c>
      <c r="B123" s="86" t="str">
        <f>TiposLancamentos!B71</f>
        <v>Itens Pessoais</v>
      </c>
      <c r="C123" s="126" t="s">
        <v>20601</v>
      </c>
      <c r="D123" s="63"/>
      <c r="E123" s="865">
        <v>20</v>
      </c>
    </row>
    <row r="124" spans="1:5">
      <c r="A124" s="864">
        <v>39234</v>
      </c>
      <c r="B124" s="86" t="str">
        <f>TiposLancamentos!B81</f>
        <v>Ferramentas gerais</v>
      </c>
      <c r="C124" s="126" t="s">
        <v>20602</v>
      </c>
      <c r="D124" s="63"/>
      <c r="E124" s="865">
        <v>11.6</v>
      </c>
    </row>
    <row r="125" spans="1:5">
      <c r="A125" s="864">
        <v>39234</v>
      </c>
      <c r="B125" s="86" t="str">
        <f>TiposLancamentos!B4</f>
        <v>Taxas Bancarias</v>
      </c>
      <c r="C125" s="126" t="s">
        <v>20603</v>
      </c>
      <c r="D125" s="63"/>
      <c r="E125" s="865">
        <v>0.12</v>
      </c>
    </row>
    <row r="126" spans="1:5">
      <c r="A126" s="961">
        <v>39235</v>
      </c>
      <c r="B126" s="817" t="str">
        <f>TiposLancamentos!B85</f>
        <v>Peugeout 206</v>
      </c>
      <c r="C126" s="962" t="s">
        <v>20604</v>
      </c>
      <c r="D126" s="809"/>
      <c r="E126" s="965">
        <v>370</v>
      </c>
    </row>
    <row r="127" spans="1:5">
      <c r="A127" s="963">
        <v>39235</v>
      </c>
      <c r="B127" s="818" t="str">
        <f>TiposLancamentos!B22</f>
        <v>Combustivel</v>
      </c>
      <c r="C127" s="964" t="s">
        <v>20605</v>
      </c>
      <c r="D127" s="813"/>
      <c r="E127" s="966">
        <v>50</v>
      </c>
    </row>
    <row r="128" spans="1:5">
      <c r="A128" s="864">
        <v>39237</v>
      </c>
      <c r="B128" s="86" t="str">
        <f>TiposLancamentos!B4</f>
        <v>Taxas Bancarias</v>
      </c>
      <c r="C128" s="126" t="s">
        <v>4853</v>
      </c>
      <c r="D128" s="63"/>
      <c r="E128" s="865">
        <v>4.6900000000000004</v>
      </c>
    </row>
    <row r="129" spans="1:5">
      <c r="A129" s="864">
        <v>39237</v>
      </c>
      <c r="B129" s="86" t="str">
        <f>TiposLancamentos!B43</f>
        <v>Imposto de Renda</v>
      </c>
      <c r="C129" s="126" t="s">
        <v>20606</v>
      </c>
      <c r="D129" s="63"/>
      <c r="E129" s="865">
        <v>59.18</v>
      </c>
    </row>
    <row r="130" spans="1:5">
      <c r="A130" s="864">
        <v>39238</v>
      </c>
      <c r="B130" s="86" t="str">
        <f>TiposLancamentos!B44</f>
        <v>Academia</v>
      </c>
      <c r="C130" s="126" t="s">
        <v>20607</v>
      </c>
      <c r="D130" s="63"/>
      <c r="E130" s="865">
        <v>89.9</v>
      </c>
    </row>
    <row r="131" spans="1:5">
      <c r="A131" s="864">
        <v>39239</v>
      </c>
      <c r="B131" s="86" t="str">
        <f>TiposLancamentos!B19</f>
        <v>Restaurantes</v>
      </c>
      <c r="C131" s="126" t="s">
        <v>20608</v>
      </c>
      <c r="D131" s="63"/>
      <c r="E131" s="865">
        <v>15.82</v>
      </c>
    </row>
    <row r="132" spans="1:5">
      <c r="A132" s="864">
        <v>39239</v>
      </c>
      <c r="B132" s="86" t="str">
        <f>TiposLancamentos!B69</f>
        <v>Consertos</v>
      </c>
      <c r="C132" s="126" t="s">
        <v>20609</v>
      </c>
      <c r="D132" s="63"/>
      <c r="E132" s="865">
        <v>240</v>
      </c>
    </row>
    <row r="133" spans="1:5">
      <c r="A133" s="864">
        <v>39240</v>
      </c>
      <c r="B133" s="86" t="str">
        <f>TiposLancamentos!B74</f>
        <v>Noite</v>
      </c>
      <c r="C133" s="126" t="s">
        <v>20610</v>
      </c>
      <c r="D133" s="63"/>
      <c r="E133" s="865">
        <v>45.15</v>
      </c>
    </row>
    <row r="134" spans="1:5">
      <c r="A134" s="864">
        <v>39240</v>
      </c>
      <c r="B134" s="86" t="str">
        <f>TiposLancamentos!B19</f>
        <v>Restaurantes</v>
      </c>
      <c r="C134" s="126" t="s">
        <v>20611</v>
      </c>
      <c r="D134" s="63"/>
      <c r="E134" s="865">
        <v>25.33</v>
      </c>
    </row>
    <row r="135" spans="1:5">
      <c r="A135" s="864">
        <v>39241</v>
      </c>
      <c r="B135" s="86" t="str">
        <f>TiposLancamentos!B20</f>
        <v>Saques</v>
      </c>
      <c r="C135" s="126" t="s">
        <v>2850</v>
      </c>
      <c r="D135" s="63"/>
      <c r="E135" s="865">
        <v>180</v>
      </c>
    </row>
    <row r="136" spans="1:5">
      <c r="A136" s="864">
        <v>39241</v>
      </c>
      <c r="B136" s="86" t="str">
        <f>TiposLancamentos!B57</f>
        <v>Informática</v>
      </c>
      <c r="C136" s="126" t="s">
        <v>20612</v>
      </c>
      <c r="D136" s="63"/>
      <c r="E136" s="865">
        <v>89.5</v>
      </c>
    </row>
    <row r="137" spans="1:5">
      <c r="A137" s="884">
        <v>39242</v>
      </c>
      <c r="B137" s="86" t="str">
        <f>TiposLancamentos!B19</f>
        <v>Restaurantes</v>
      </c>
      <c r="C137" s="3" t="s">
        <v>20613</v>
      </c>
      <c r="D137" s="78"/>
      <c r="E137" s="865">
        <v>22.5</v>
      </c>
    </row>
    <row r="138" spans="1:5">
      <c r="A138" s="884">
        <v>39243</v>
      </c>
      <c r="B138" s="86" t="str">
        <f>TiposLancamentos!B19</f>
        <v>Restaurantes</v>
      </c>
      <c r="C138" s="3" t="s">
        <v>20614</v>
      </c>
      <c r="D138" s="78"/>
      <c r="E138" s="865">
        <v>73.349999999999994</v>
      </c>
    </row>
    <row r="139" spans="1:5">
      <c r="A139" s="864">
        <v>39243</v>
      </c>
      <c r="B139" s="86" t="str">
        <f>TiposLancamentos!B25</f>
        <v>CD_DVD_BD</v>
      </c>
      <c r="C139" s="126" t="s">
        <v>20615</v>
      </c>
      <c r="D139" s="63"/>
      <c r="E139" s="865">
        <v>38.97</v>
      </c>
    </row>
    <row r="140" spans="1:5">
      <c r="A140" s="864">
        <v>39243</v>
      </c>
      <c r="B140" s="86" t="str">
        <f>TiposLancamentos!B71</f>
        <v>Itens Pessoais</v>
      </c>
      <c r="C140" s="126" t="s">
        <v>20616</v>
      </c>
      <c r="D140" s="63"/>
      <c r="E140" s="865">
        <v>28</v>
      </c>
    </row>
    <row r="141" spans="1:5">
      <c r="A141" s="864">
        <v>39243</v>
      </c>
      <c r="B141" s="86" t="str">
        <f>TiposLancamentos!B19</f>
        <v>Restaurantes</v>
      </c>
      <c r="C141" s="126" t="s">
        <v>20617</v>
      </c>
      <c r="D141" s="63"/>
      <c r="E141" s="865">
        <v>7.6</v>
      </c>
    </row>
    <row r="142" spans="1:5">
      <c r="A142" s="864">
        <v>39244</v>
      </c>
      <c r="B142" s="86" t="str">
        <f>TiposLancamentos!B5</f>
        <v>Supermercado</v>
      </c>
      <c r="C142" s="126" t="s">
        <v>2567</v>
      </c>
      <c r="D142" s="63"/>
      <c r="E142" s="865">
        <v>71.36</v>
      </c>
    </row>
    <row r="143" spans="1:5">
      <c r="A143" s="864">
        <v>39245</v>
      </c>
      <c r="B143" s="86" t="str">
        <f>TiposLancamentos!B4</f>
        <v>Taxas Bancarias</v>
      </c>
      <c r="C143" s="126" t="s">
        <v>4853</v>
      </c>
      <c r="D143" s="63"/>
      <c r="E143" s="865">
        <v>15.14</v>
      </c>
    </row>
    <row r="144" spans="1:5">
      <c r="A144" s="864">
        <v>39248</v>
      </c>
      <c r="B144" s="86" t="str">
        <f>TiposLancamentos!B95</f>
        <v>Salarios</v>
      </c>
      <c r="C144" s="126" t="s">
        <v>4916</v>
      </c>
      <c r="D144" s="63">
        <v>1689.1</v>
      </c>
      <c r="E144" s="865"/>
    </row>
    <row r="145" spans="1:5">
      <c r="A145" s="961">
        <v>39248</v>
      </c>
      <c r="B145" s="817" t="str">
        <f>TiposLancamentos!B8</f>
        <v>Aluguel</v>
      </c>
      <c r="C145" s="962" t="s">
        <v>20618</v>
      </c>
      <c r="D145" s="809"/>
      <c r="E145" s="965">
        <v>807.67</v>
      </c>
    </row>
    <row r="146" spans="1:5">
      <c r="A146" s="963">
        <v>39248</v>
      </c>
      <c r="B146" s="818" t="str">
        <f>TiposLancamentos!B9</f>
        <v>Condominio</v>
      </c>
      <c r="C146" s="964" t="s">
        <v>20619</v>
      </c>
      <c r="D146" s="813"/>
      <c r="E146" s="966">
        <f>1093.67-E145</f>
        <v>286.00000000000011</v>
      </c>
    </row>
    <row r="147" spans="1:5">
      <c r="A147" s="864">
        <v>39248</v>
      </c>
      <c r="B147" s="86" t="str">
        <f>TiposLancamentos!B5</f>
        <v>Supermercado</v>
      </c>
      <c r="C147" s="126" t="s">
        <v>2567</v>
      </c>
      <c r="D147" s="63"/>
      <c r="E147" s="865">
        <v>47.67</v>
      </c>
    </row>
    <row r="148" spans="1:5">
      <c r="A148" s="864">
        <v>39250</v>
      </c>
      <c r="B148" s="86" t="str">
        <f>TiposLancamentos!B56</f>
        <v>Farmácia</v>
      </c>
      <c r="C148" s="126" t="s">
        <v>20620</v>
      </c>
      <c r="D148" s="63"/>
      <c r="E148" s="865">
        <v>90.46</v>
      </c>
    </row>
    <row r="149" spans="1:5">
      <c r="A149" s="864">
        <v>39252</v>
      </c>
      <c r="B149" s="86" t="str">
        <f>TiposLancamentos!B5</f>
        <v>Supermercado</v>
      </c>
      <c r="C149" s="126" t="s">
        <v>20621</v>
      </c>
      <c r="D149" s="63"/>
      <c r="E149" s="865">
        <v>75.39</v>
      </c>
    </row>
    <row r="150" spans="1:5">
      <c r="A150" s="864">
        <v>39254</v>
      </c>
      <c r="B150" s="86" t="str">
        <f>TiposLancamentos!B56</f>
        <v>Farmácia</v>
      </c>
      <c r="C150" s="126" t="s">
        <v>20622</v>
      </c>
      <c r="D150" s="63"/>
      <c r="E150" s="865">
        <v>14.05</v>
      </c>
    </row>
    <row r="151" spans="1:5">
      <c r="A151" s="864">
        <v>39254</v>
      </c>
      <c r="B151" s="86" t="str">
        <f>TiposLancamentos!B85</f>
        <v>Peugeout 206</v>
      </c>
      <c r="C151" s="128" t="s">
        <v>13242</v>
      </c>
      <c r="D151" s="63"/>
      <c r="E151" s="865">
        <v>747.83</v>
      </c>
    </row>
    <row r="152" spans="1:5">
      <c r="A152" s="864">
        <v>39255</v>
      </c>
      <c r="B152" s="86" t="str">
        <f>TiposLancamentos!B90</f>
        <v>Locadora</v>
      </c>
      <c r="C152" s="128" t="s">
        <v>20623</v>
      </c>
      <c r="D152" s="63"/>
      <c r="E152" s="865">
        <v>24</v>
      </c>
    </row>
    <row r="153" spans="1:5">
      <c r="A153" s="864">
        <v>39255</v>
      </c>
      <c r="B153" s="86" t="str">
        <f>TiposLancamentos!B56</f>
        <v>Farmácia</v>
      </c>
      <c r="C153" s="126" t="s">
        <v>20624</v>
      </c>
      <c r="D153" s="63"/>
      <c r="E153" s="865">
        <v>32.57</v>
      </c>
    </row>
    <row r="154" spans="1:5">
      <c r="A154" s="864">
        <v>39255</v>
      </c>
      <c r="B154" s="86" t="str">
        <f>TiposLancamentos!B4</f>
        <v>Taxas Bancarias</v>
      </c>
      <c r="C154" s="126" t="s">
        <v>4853</v>
      </c>
      <c r="D154" s="63"/>
      <c r="E154" s="865">
        <v>5.83</v>
      </c>
    </row>
    <row r="155" spans="1:5">
      <c r="A155" s="864">
        <v>39258</v>
      </c>
      <c r="B155" s="86" t="str">
        <f>TiposLancamentos!B56</f>
        <v>Farmácia</v>
      </c>
      <c r="C155" s="126" t="s">
        <v>20625</v>
      </c>
      <c r="D155" s="63"/>
      <c r="E155" s="865">
        <v>58.7</v>
      </c>
    </row>
    <row r="156" spans="1:5">
      <c r="A156" s="864">
        <v>39259</v>
      </c>
      <c r="B156" s="86" t="str">
        <f>TiposLancamentos!B56</f>
        <v>Farmácia</v>
      </c>
      <c r="C156" s="126" t="s">
        <v>20626</v>
      </c>
      <c r="D156" s="63"/>
      <c r="E156" s="865">
        <v>82.84</v>
      </c>
    </row>
    <row r="157" spans="1:5">
      <c r="A157" s="864">
        <v>39262</v>
      </c>
      <c r="B157" s="86" t="str">
        <f>TiposLancamentos!B95</f>
        <v>Salarios</v>
      </c>
      <c r="C157" s="126" t="s">
        <v>20627</v>
      </c>
      <c r="D157" s="63">
        <v>1354.76</v>
      </c>
      <c r="E157" s="865"/>
    </row>
    <row r="158" spans="1:5">
      <c r="A158" s="864">
        <v>39262</v>
      </c>
      <c r="B158" s="86" t="str">
        <f>TiposLancamentos!B95</f>
        <v>Salarios</v>
      </c>
      <c r="C158" s="126" t="s">
        <v>4939</v>
      </c>
      <c r="D158" s="63">
        <v>6295.84</v>
      </c>
      <c r="E158" s="865"/>
    </row>
    <row r="159" spans="1:5" ht="14.25" thickBot="1">
      <c r="A159" s="864">
        <v>39262</v>
      </c>
      <c r="B159" s="86" t="str">
        <f>TiposLancamentos!B43</f>
        <v>Imposto de Renda</v>
      </c>
      <c r="C159" s="126" t="s">
        <v>20628</v>
      </c>
      <c r="D159" s="63"/>
      <c r="E159" s="865">
        <v>59.18</v>
      </c>
    </row>
    <row r="160" spans="1:5" ht="14.25" thickBot="1">
      <c r="A160" s="995"/>
      <c r="B160" s="988"/>
      <c r="C160" s="990" t="s">
        <v>20629</v>
      </c>
      <c r="D160" s="996"/>
      <c r="E160" s="994"/>
    </row>
    <row r="161" spans="1:5">
      <c r="A161" s="864">
        <v>39264</v>
      </c>
      <c r="B161" s="86" t="str">
        <f>TiposLancamentos!B103</f>
        <v>Juros_Corr. Poupança</v>
      </c>
      <c r="C161" s="126" t="s">
        <v>20569</v>
      </c>
      <c r="D161" s="63">
        <v>3.08</v>
      </c>
      <c r="E161" s="865"/>
    </row>
    <row r="162" spans="1:5">
      <c r="A162" s="864">
        <v>39264</v>
      </c>
      <c r="B162" s="86" t="str">
        <f>TiposLancamentos!B103</f>
        <v>Juros_Corr. Poupança</v>
      </c>
      <c r="C162" s="126" t="s">
        <v>20630</v>
      </c>
      <c r="D162" s="63">
        <v>0.59</v>
      </c>
      <c r="E162" s="865"/>
    </row>
    <row r="163" spans="1:5">
      <c r="A163" s="864">
        <v>39265</v>
      </c>
      <c r="B163" s="86" t="str">
        <f>TiposLancamentos!B15</f>
        <v>Cartões de Crédito</v>
      </c>
      <c r="C163" s="126" t="s">
        <v>20631</v>
      </c>
      <c r="D163" s="63"/>
      <c r="E163" s="865">
        <v>537.19000000000005</v>
      </c>
    </row>
    <row r="164" spans="1:5">
      <c r="A164" s="864">
        <v>39265</v>
      </c>
      <c r="B164" s="86" t="str">
        <f>TiposLancamentos!B15</f>
        <v>Cartões de Crédito</v>
      </c>
      <c r="C164" s="126" t="s">
        <v>20632</v>
      </c>
      <c r="D164" s="63"/>
      <c r="E164" s="865">
        <v>56.14</v>
      </c>
    </row>
    <row r="165" spans="1:5">
      <c r="A165" s="864">
        <v>39265</v>
      </c>
      <c r="B165" s="86" t="str">
        <f>TiposLancamentos!B15</f>
        <v>Cartões de Crédito</v>
      </c>
      <c r="C165" s="126" t="s">
        <v>5700</v>
      </c>
      <c r="D165" s="63"/>
      <c r="E165" s="865">
        <v>218.72</v>
      </c>
    </row>
    <row r="166" spans="1:5">
      <c r="A166" s="864">
        <v>39265</v>
      </c>
      <c r="B166" s="86" t="str">
        <f>TiposLancamentos!B2</f>
        <v>Telefonia</v>
      </c>
      <c r="C166" s="126" t="s">
        <v>20633</v>
      </c>
      <c r="D166" s="63"/>
      <c r="E166" s="865">
        <v>39.69</v>
      </c>
    </row>
    <row r="167" spans="1:5">
      <c r="A167" s="864">
        <v>39265</v>
      </c>
      <c r="B167" s="86" t="str">
        <f>TiposLancamentos!B3</f>
        <v>Internet</v>
      </c>
      <c r="C167" s="126" t="s">
        <v>4987</v>
      </c>
      <c r="D167" s="63"/>
      <c r="E167" s="865">
        <v>79.900000000000006</v>
      </c>
    </row>
    <row r="168" spans="1:5">
      <c r="A168" s="864">
        <v>39266</v>
      </c>
      <c r="B168" s="86" t="str">
        <f>TiposLancamentos!B4</f>
        <v>Taxas Bancarias</v>
      </c>
      <c r="C168" s="126" t="s">
        <v>4853</v>
      </c>
      <c r="D168" s="63"/>
      <c r="E168" s="865">
        <v>3.85</v>
      </c>
    </row>
    <row r="169" spans="1:5">
      <c r="A169" s="864">
        <v>39268</v>
      </c>
      <c r="B169" s="86" t="str">
        <f>TiposLancamentos!B6</f>
        <v>Energia Eletrica</v>
      </c>
      <c r="C169" s="126" t="s">
        <v>5561</v>
      </c>
      <c r="D169" s="63"/>
      <c r="E169" s="865">
        <v>95.81</v>
      </c>
    </row>
    <row r="170" spans="1:5">
      <c r="A170" s="864">
        <v>39272</v>
      </c>
      <c r="B170" s="86" t="str">
        <f>TiposLancamentos!B13</f>
        <v>Moradia</v>
      </c>
      <c r="C170" s="126" t="s">
        <v>20634</v>
      </c>
      <c r="D170" s="63"/>
      <c r="E170" s="865">
        <v>630.46</v>
      </c>
    </row>
    <row r="171" spans="1:5">
      <c r="A171" s="864">
        <v>39274</v>
      </c>
      <c r="B171" s="86" t="str">
        <f>TiposLancamentos!B71</f>
        <v>Itens Pessoais</v>
      </c>
      <c r="C171" s="126" t="s">
        <v>20635</v>
      </c>
      <c r="D171" s="63"/>
      <c r="E171" s="865">
        <v>155</v>
      </c>
    </row>
    <row r="172" spans="1:5">
      <c r="A172" s="864">
        <v>39275</v>
      </c>
      <c r="B172" s="86" t="str">
        <f>TiposLancamentos!B4</f>
        <v>Taxas Bancarias</v>
      </c>
      <c r="C172" s="126" t="s">
        <v>4853</v>
      </c>
      <c r="D172" s="63"/>
      <c r="E172" s="865">
        <v>6.28</v>
      </c>
    </row>
    <row r="173" spans="1:5">
      <c r="A173" s="961">
        <v>39279</v>
      </c>
      <c r="B173" s="817" t="str">
        <f>TiposLancamentos!B8</f>
        <v>Aluguel</v>
      </c>
      <c r="C173" s="962" t="s">
        <v>20636</v>
      </c>
      <c r="D173" s="809"/>
      <c r="E173" s="965">
        <v>807.67</v>
      </c>
    </row>
    <row r="174" spans="1:5">
      <c r="A174" s="963">
        <v>39279</v>
      </c>
      <c r="B174" s="818" t="str">
        <f>TiposLancamentos!B9</f>
        <v>Condominio</v>
      </c>
      <c r="C174" s="964" t="s">
        <v>20637</v>
      </c>
      <c r="D174" s="813"/>
      <c r="E174" s="966">
        <f>1053.67-E173</f>
        <v>246.00000000000011</v>
      </c>
    </row>
    <row r="175" spans="1:5">
      <c r="A175" s="864">
        <v>39279</v>
      </c>
      <c r="B175" s="86" t="str">
        <f>TiposLancamentos!B24</f>
        <v>Estacionamentos</v>
      </c>
      <c r="C175" s="126" t="s">
        <v>20638</v>
      </c>
      <c r="D175" s="63"/>
      <c r="E175" s="865">
        <v>17</v>
      </c>
    </row>
    <row r="176" spans="1:5">
      <c r="A176" s="864">
        <v>39284</v>
      </c>
      <c r="B176" s="86" t="str">
        <f>TiposLancamentos!B16</f>
        <v>Cristiane</v>
      </c>
      <c r="C176" s="126" t="s">
        <v>20639</v>
      </c>
      <c r="D176" s="63"/>
      <c r="E176" s="865">
        <v>372</v>
      </c>
    </row>
    <row r="177" spans="1:5">
      <c r="A177" s="864">
        <v>39286</v>
      </c>
      <c r="B177" s="86" t="str">
        <f>TiposLancamentos!B17</f>
        <v>GATO</v>
      </c>
      <c r="C177" s="126" t="s">
        <v>20640</v>
      </c>
      <c r="D177" s="63"/>
      <c r="E177" s="865">
        <v>16.16</v>
      </c>
    </row>
    <row r="178" spans="1:5">
      <c r="A178" s="864">
        <v>39286</v>
      </c>
      <c r="B178" s="86" t="str">
        <f>TiposLancamentos!B85</f>
        <v>Peugeout 206</v>
      </c>
      <c r="C178" s="126" t="s">
        <v>13247</v>
      </c>
      <c r="D178" s="63"/>
      <c r="E178" s="865">
        <v>747.83</v>
      </c>
    </row>
    <row r="179" spans="1:5">
      <c r="A179" s="864">
        <v>39286</v>
      </c>
      <c r="B179" s="86" t="str">
        <f>TiposLancamentos!B5</f>
        <v>Supermercado</v>
      </c>
      <c r="C179" s="126" t="s">
        <v>2567</v>
      </c>
      <c r="D179" s="63"/>
      <c r="E179" s="865">
        <v>39.4</v>
      </c>
    </row>
    <row r="180" spans="1:5">
      <c r="A180" s="864">
        <v>39287</v>
      </c>
      <c r="B180" s="86" t="str">
        <f>TiposLancamentos!B22</f>
        <v>Combustivel</v>
      </c>
      <c r="C180" s="126" t="s">
        <v>5505</v>
      </c>
      <c r="D180" s="63"/>
      <c r="E180" s="865">
        <v>30</v>
      </c>
    </row>
    <row r="181" spans="1:5">
      <c r="A181" s="864">
        <v>39287</v>
      </c>
      <c r="B181" s="86" t="str">
        <f>TiposLancamentos!B4</f>
        <v>Taxas Bancarias</v>
      </c>
      <c r="C181" s="126" t="s">
        <v>4853</v>
      </c>
      <c r="D181" s="63"/>
      <c r="E181" s="865">
        <v>4.6399999999999997</v>
      </c>
    </row>
    <row r="182" spans="1:5">
      <c r="A182" s="864">
        <v>39290</v>
      </c>
      <c r="B182" s="86" t="str">
        <f>TiposLancamentos!B5</f>
        <v>Supermercado</v>
      </c>
      <c r="C182" s="126" t="s">
        <v>2567</v>
      </c>
      <c r="D182" s="63"/>
      <c r="E182" s="865">
        <v>43.17</v>
      </c>
    </row>
    <row r="183" spans="1:5" ht="14.25" thickBot="1">
      <c r="A183" s="864">
        <v>39291</v>
      </c>
      <c r="B183" s="86" t="str">
        <f>TiposLancamentos!B70</f>
        <v>Vestuário</v>
      </c>
      <c r="C183" s="126" t="s">
        <v>20641</v>
      </c>
      <c r="D183" s="63"/>
      <c r="E183" s="865">
        <v>45.7</v>
      </c>
    </row>
    <row r="184" spans="1:5" ht="14.25" thickBot="1">
      <c r="A184" s="995"/>
      <c r="B184" s="989"/>
      <c r="C184" s="990" t="s">
        <v>5530</v>
      </c>
      <c r="D184" s="991"/>
      <c r="E184" s="994"/>
    </row>
    <row r="185" spans="1:5">
      <c r="A185" s="864">
        <v>39295</v>
      </c>
      <c r="B185" s="125" t="str">
        <f>TiposLancamentos!B2</f>
        <v>Telefonia</v>
      </c>
      <c r="C185" s="126" t="s">
        <v>5080</v>
      </c>
      <c r="D185" s="51"/>
      <c r="E185" s="865">
        <v>58.98</v>
      </c>
    </row>
    <row r="186" spans="1:5">
      <c r="A186" s="864">
        <v>39295</v>
      </c>
      <c r="B186" s="125" t="str">
        <f>TiposLancamentos!B3</f>
        <v>Internet</v>
      </c>
      <c r="C186" s="126" t="s">
        <v>4987</v>
      </c>
      <c r="D186" s="51"/>
      <c r="E186" s="865">
        <v>79.900000000000006</v>
      </c>
    </row>
    <row r="187" spans="1:5">
      <c r="A187" s="864">
        <v>39295</v>
      </c>
      <c r="B187" s="125" t="str">
        <f>TiposLancamentos!B15</f>
        <v>Cartões de Crédito</v>
      </c>
      <c r="C187" s="126" t="s">
        <v>5557</v>
      </c>
      <c r="D187" s="51"/>
      <c r="E187" s="865">
        <v>71.78</v>
      </c>
    </row>
    <row r="188" spans="1:5">
      <c r="A188" s="864">
        <v>39295</v>
      </c>
      <c r="B188" s="125" t="str">
        <f>TiposLancamentos!B17</f>
        <v>GATO</v>
      </c>
      <c r="C188" s="126" t="s">
        <v>20642</v>
      </c>
      <c r="D188" s="51"/>
      <c r="E188" s="865">
        <v>53.95</v>
      </c>
    </row>
    <row r="189" spans="1:5">
      <c r="A189" s="864">
        <v>39295</v>
      </c>
      <c r="B189" s="125" t="str">
        <f>TiposLancamentos!B103</f>
        <v>Juros_Corr. Poupança</v>
      </c>
      <c r="C189" s="126" t="s">
        <v>20569</v>
      </c>
      <c r="D189" s="51">
        <v>20.13</v>
      </c>
      <c r="E189" s="865"/>
    </row>
    <row r="190" spans="1:5">
      <c r="A190" s="864">
        <v>39295</v>
      </c>
      <c r="B190" s="125" t="str">
        <f>TiposLancamentos!B103</f>
        <v>Juros_Corr. Poupança</v>
      </c>
      <c r="C190" s="126" t="s">
        <v>20643</v>
      </c>
      <c r="D190" s="51">
        <v>5.9</v>
      </c>
      <c r="E190" s="865"/>
    </row>
    <row r="191" spans="1:5">
      <c r="A191" s="864">
        <v>39295</v>
      </c>
      <c r="B191" s="125" t="str">
        <f>TiposLancamentos!B22</f>
        <v>Combustivel</v>
      </c>
      <c r="C191" s="126" t="s">
        <v>5505</v>
      </c>
      <c r="D191" s="51"/>
      <c r="E191" s="865">
        <v>30</v>
      </c>
    </row>
    <row r="192" spans="1:5">
      <c r="A192" s="864">
        <v>39296</v>
      </c>
      <c r="B192" s="125" t="str">
        <f>TiposLancamentos!B15</f>
        <v>Cartões de Crédito</v>
      </c>
      <c r="C192" s="126" t="s">
        <v>5558</v>
      </c>
      <c r="D192" s="51"/>
      <c r="E192" s="865">
        <v>318.95999999999998</v>
      </c>
    </row>
    <row r="193" spans="1:6">
      <c r="A193" s="864">
        <v>39296</v>
      </c>
      <c r="B193" s="125" t="str">
        <f>TiposLancamentos!B15</f>
        <v>Cartões de Crédito</v>
      </c>
      <c r="C193" s="126" t="s">
        <v>20644</v>
      </c>
      <c r="D193" s="51"/>
      <c r="E193" s="865">
        <v>217.56</v>
      </c>
    </row>
    <row r="194" spans="1:6">
      <c r="A194" s="864">
        <v>39296</v>
      </c>
      <c r="B194" s="125" t="str">
        <f>TiposLancamentos!B4</f>
        <v>Taxas Bancarias</v>
      </c>
      <c r="C194" s="126" t="s">
        <v>4853</v>
      </c>
      <c r="D194" s="51"/>
      <c r="E194" s="865">
        <v>4.8899999999999997</v>
      </c>
    </row>
    <row r="195" spans="1:6">
      <c r="A195" s="864">
        <v>39300</v>
      </c>
      <c r="B195" s="125" t="str">
        <f>TiposLancamentos!B5</f>
        <v>Supermercado</v>
      </c>
      <c r="C195" s="126" t="s">
        <v>2567</v>
      </c>
      <c r="D195" s="51"/>
      <c r="E195" s="865">
        <v>79.180000000000007</v>
      </c>
    </row>
    <row r="196" spans="1:6">
      <c r="A196" s="864">
        <v>39302</v>
      </c>
      <c r="B196" s="125" t="str">
        <f>TiposLancamentos!B13</f>
        <v>Moradia</v>
      </c>
      <c r="C196" s="126" t="s">
        <v>20645</v>
      </c>
      <c r="D196" s="51"/>
      <c r="E196" s="865">
        <v>630.46</v>
      </c>
      <c r="F196" s="1309"/>
    </row>
    <row r="197" spans="1:6">
      <c r="A197" s="864">
        <v>39304</v>
      </c>
      <c r="B197" s="125" t="str">
        <f>TiposLancamentos!B5</f>
        <v>Supermercado</v>
      </c>
      <c r="C197" s="126" t="s">
        <v>2567</v>
      </c>
      <c r="D197" s="51"/>
      <c r="E197" s="865">
        <v>13.82</v>
      </c>
    </row>
    <row r="198" spans="1:6">
      <c r="A198" s="864">
        <v>39304</v>
      </c>
      <c r="B198" s="125" t="str">
        <f>TiposLancamentos!B90</f>
        <v>Locadora</v>
      </c>
      <c r="C198" s="126" t="s">
        <v>20646</v>
      </c>
      <c r="D198" s="51"/>
      <c r="E198" s="865">
        <v>8</v>
      </c>
    </row>
    <row r="199" spans="1:6">
      <c r="A199" s="864">
        <v>39304</v>
      </c>
      <c r="B199" s="125" t="str">
        <f>TiposLancamentos!B13</f>
        <v>Moradia</v>
      </c>
      <c r="C199" s="126" t="s">
        <v>20647</v>
      </c>
      <c r="D199" s="51"/>
      <c r="E199" s="865">
        <v>45.8</v>
      </c>
    </row>
    <row r="200" spans="1:6">
      <c r="A200" s="864">
        <v>39306</v>
      </c>
      <c r="B200" s="125" t="str">
        <f>TiposLancamentos!B56</f>
        <v>Farmácia</v>
      </c>
      <c r="C200" s="126" t="s">
        <v>1775</v>
      </c>
      <c r="D200" s="51"/>
      <c r="E200" s="865">
        <v>37.89</v>
      </c>
    </row>
    <row r="201" spans="1:6">
      <c r="A201" s="864">
        <v>39308</v>
      </c>
      <c r="B201" s="125" t="str">
        <f>TiposLancamentos!B22</f>
        <v>Combustivel</v>
      </c>
      <c r="C201" s="126" t="s">
        <v>20648</v>
      </c>
      <c r="D201" s="51"/>
      <c r="E201" s="865">
        <v>30</v>
      </c>
    </row>
    <row r="202" spans="1:6">
      <c r="A202" s="864">
        <v>39308</v>
      </c>
      <c r="B202" s="125" t="str">
        <f>TiposLancamentos!B57</f>
        <v>Informática</v>
      </c>
      <c r="C202" s="126" t="s">
        <v>20649</v>
      </c>
      <c r="D202" s="51"/>
      <c r="E202" s="865">
        <v>75</v>
      </c>
    </row>
    <row r="203" spans="1:6">
      <c r="A203" s="864">
        <v>39308</v>
      </c>
      <c r="B203" s="125" t="str">
        <f>TiposLancamentos!B56</f>
        <v>Farmácia</v>
      </c>
      <c r="C203" s="126" t="s">
        <v>20650</v>
      </c>
      <c r="D203" s="51"/>
      <c r="E203" s="865">
        <v>11.33</v>
      </c>
    </row>
    <row r="204" spans="1:6">
      <c r="A204" s="864">
        <v>39308</v>
      </c>
      <c r="B204" s="125" t="str">
        <f>TiposLancamentos!B16</f>
        <v>Cristiane</v>
      </c>
      <c r="C204" s="126" t="s">
        <v>2668</v>
      </c>
      <c r="D204" s="51"/>
      <c r="E204" s="865">
        <v>150</v>
      </c>
    </row>
    <row r="205" spans="1:6">
      <c r="A205" s="864">
        <v>39308</v>
      </c>
      <c r="B205" s="125" t="str">
        <f>TiposLancamentos!B4</f>
        <v>Taxas Bancarias</v>
      </c>
      <c r="C205" s="126" t="s">
        <v>4853</v>
      </c>
      <c r="D205" s="51"/>
      <c r="E205" s="865">
        <v>6.07</v>
      </c>
    </row>
    <row r="206" spans="1:6">
      <c r="A206" s="961">
        <v>39309</v>
      </c>
      <c r="B206" s="817" t="str">
        <f>TiposLancamentos!B8</f>
        <v>Aluguel</v>
      </c>
      <c r="C206" s="962" t="s">
        <v>1682</v>
      </c>
      <c r="D206" s="809"/>
      <c r="E206" s="965">
        <v>807.63</v>
      </c>
    </row>
    <row r="207" spans="1:6">
      <c r="A207" s="963">
        <v>39309</v>
      </c>
      <c r="B207" s="818" t="str">
        <f>TiposLancamentos!B9</f>
        <v>Condominio</v>
      </c>
      <c r="C207" s="964" t="s">
        <v>1684</v>
      </c>
      <c r="D207" s="813"/>
      <c r="E207" s="966">
        <f>973.67-E206</f>
        <v>166.03999999999996</v>
      </c>
    </row>
    <row r="208" spans="1:6">
      <c r="A208" s="864">
        <v>39309</v>
      </c>
      <c r="B208" s="125" t="str">
        <f>TiposLancamentos!B24</f>
        <v>Estacionamentos</v>
      </c>
      <c r="C208" s="126" t="s">
        <v>5392</v>
      </c>
      <c r="D208" s="51"/>
      <c r="E208" s="865">
        <v>25</v>
      </c>
    </row>
    <row r="209" spans="1:5">
      <c r="A209" s="864">
        <v>39310</v>
      </c>
      <c r="B209" s="125" t="str">
        <f>TiposLancamentos!B5</f>
        <v>Supermercado</v>
      </c>
      <c r="C209" s="126" t="s">
        <v>5548</v>
      </c>
      <c r="D209" s="51"/>
      <c r="E209" s="865">
        <v>12.11</v>
      </c>
    </row>
    <row r="210" spans="1:5">
      <c r="A210" s="864">
        <v>39310</v>
      </c>
      <c r="B210" s="125" t="str">
        <f>TiposLancamentos!B56</f>
        <v>Farmácia</v>
      </c>
      <c r="C210" s="126" t="s">
        <v>20651</v>
      </c>
      <c r="D210" s="51"/>
      <c r="E210" s="865">
        <v>48.55</v>
      </c>
    </row>
    <row r="211" spans="1:5">
      <c r="A211" s="864">
        <v>39312</v>
      </c>
      <c r="B211" s="125" t="str">
        <f>TiposLancamentos!B5</f>
        <v>Supermercado</v>
      </c>
      <c r="C211" s="126" t="s">
        <v>2526</v>
      </c>
      <c r="D211" s="51"/>
      <c r="E211" s="865">
        <v>17.88</v>
      </c>
    </row>
    <row r="212" spans="1:5">
      <c r="A212" s="864">
        <v>39313</v>
      </c>
      <c r="B212" s="125" t="str">
        <f>B210</f>
        <v>Farmácia</v>
      </c>
      <c r="C212" s="126" t="s">
        <v>20652</v>
      </c>
      <c r="D212" s="51"/>
      <c r="E212" s="865">
        <v>28.99</v>
      </c>
    </row>
    <row r="213" spans="1:5">
      <c r="A213" s="864">
        <v>39314</v>
      </c>
      <c r="B213" s="125" t="str">
        <f>TiposLancamentos!B5</f>
        <v>Supermercado</v>
      </c>
      <c r="C213" s="126" t="s">
        <v>12203</v>
      </c>
      <c r="D213" s="51"/>
      <c r="E213" s="865">
        <v>17.96</v>
      </c>
    </row>
    <row r="214" spans="1:5">
      <c r="A214" s="864">
        <v>39315</v>
      </c>
      <c r="B214" s="125" t="str">
        <f>TiposLancamentos!B85</f>
        <v>Peugeout 206</v>
      </c>
      <c r="C214" s="126" t="s">
        <v>20653</v>
      </c>
      <c r="D214" s="51"/>
      <c r="E214" s="865">
        <v>747.83</v>
      </c>
    </row>
    <row r="215" spans="1:5">
      <c r="A215" s="864">
        <v>39316</v>
      </c>
      <c r="B215" s="125" t="str">
        <f>TiposLancamentos!B4</f>
        <v>Taxas Bancarias</v>
      </c>
      <c r="C215" s="126" t="s">
        <v>4853</v>
      </c>
      <c r="D215" s="51"/>
      <c r="E215" s="865">
        <v>5.37</v>
      </c>
    </row>
    <row r="216" spans="1:5">
      <c r="A216" s="864">
        <v>39317</v>
      </c>
      <c r="B216" s="125" t="str">
        <f>TiposLancamentos!B5</f>
        <v>Supermercado</v>
      </c>
      <c r="C216" s="126" t="s">
        <v>20654</v>
      </c>
      <c r="D216" s="51"/>
      <c r="E216" s="865">
        <v>11.86</v>
      </c>
    </row>
    <row r="217" spans="1:5">
      <c r="A217" s="864">
        <v>39318</v>
      </c>
      <c r="B217" s="125" t="str">
        <f>TiposLancamentos!B16</f>
        <v>Cristiane</v>
      </c>
      <c r="C217" s="126" t="s">
        <v>20655</v>
      </c>
      <c r="D217" s="51"/>
      <c r="E217" s="865">
        <v>50</v>
      </c>
    </row>
    <row r="218" spans="1:5">
      <c r="A218" s="864">
        <v>39319</v>
      </c>
      <c r="B218" s="125" t="str">
        <f>TiposLancamentos!B5</f>
        <v>Supermercado</v>
      </c>
      <c r="C218" s="126" t="s">
        <v>20656</v>
      </c>
      <c r="D218" s="51"/>
      <c r="E218" s="865">
        <v>22.13</v>
      </c>
    </row>
    <row r="219" spans="1:5">
      <c r="A219" s="864">
        <v>39319</v>
      </c>
      <c r="B219" s="125" t="str">
        <f>TiposLancamentos!B22</f>
        <v>Combustivel</v>
      </c>
      <c r="C219" s="126" t="s">
        <v>20555</v>
      </c>
      <c r="D219" s="51"/>
      <c r="E219" s="865">
        <v>25</v>
      </c>
    </row>
    <row r="220" spans="1:5">
      <c r="A220" s="864">
        <v>39321</v>
      </c>
      <c r="B220" s="125" t="str">
        <f>TiposLancamentos!B20</f>
        <v>Saques</v>
      </c>
      <c r="C220" s="126" t="s">
        <v>2668</v>
      </c>
      <c r="D220" s="51"/>
      <c r="E220" s="865">
        <v>60</v>
      </c>
    </row>
    <row r="221" spans="1:5">
      <c r="A221" s="864">
        <v>39322</v>
      </c>
      <c r="B221" s="125" t="str">
        <f>TiposLancamentos!B19</f>
        <v>Restaurantes</v>
      </c>
      <c r="C221" s="126" t="s">
        <v>20657</v>
      </c>
      <c r="D221" s="51"/>
      <c r="E221" s="865">
        <v>22</v>
      </c>
    </row>
    <row r="222" spans="1:5">
      <c r="A222" s="864">
        <v>39325</v>
      </c>
      <c r="B222" s="125" t="str">
        <f>TiposLancamentos!B17</f>
        <v>GATO</v>
      </c>
      <c r="C222" s="126" t="s">
        <v>2026</v>
      </c>
      <c r="D222" s="51"/>
      <c r="E222" s="865">
        <v>8.08</v>
      </c>
    </row>
    <row r="223" spans="1:5">
      <c r="A223" s="864">
        <v>39325</v>
      </c>
      <c r="B223" s="125" t="str">
        <f>TiposLancamentos!B20</f>
        <v>Saques</v>
      </c>
      <c r="C223" s="126" t="s">
        <v>2655</v>
      </c>
      <c r="D223" s="51"/>
      <c r="E223" s="865">
        <v>60</v>
      </c>
    </row>
    <row r="224" spans="1:5">
      <c r="A224" s="864">
        <v>39325</v>
      </c>
      <c r="B224" s="125" t="str">
        <f>TiposLancamentos!B16</f>
        <v>Cristiane</v>
      </c>
      <c r="C224" s="126" t="s">
        <v>20658</v>
      </c>
      <c r="D224" s="51"/>
      <c r="E224" s="865">
        <v>15.3</v>
      </c>
    </row>
    <row r="225" spans="1:5" ht="14.25" thickBot="1">
      <c r="A225" s="864">
        <v>39325</v>
      </c>
      <c r="B225" s="125" t="str">
        <f>TiposLancamentos!B58</f>
        <v>Fotografias</v>
      </c>
      <c r="C225" s="126" t="s">
        <v>20659</v>
      </c>
      <c r="D225" s="51"/>
      <c r="E225" s="865">
        <v>18.690000000000001</v>
      </c>
    </row>
    <row r="226" spans="1:5" ht="14.25" thickBot="1">
      <c r="A226" s="995"/>
      <c r="B226" s="989"/>
      <c r="C226" s="990" t="s">
        <v>13253</v>
      </c>
      <c r="D226" s="991"/>
      <c r="E226" s="994"/>
    </row>
    <row r="227" spans="1:5">
      <c r="A227" s="864">
        <v>39328</v>
      </c>
      <c r="B227" s="125" t="str">
        <f>TiposLancamentos!B15</f>
        <v>Cartões de Crédito</v>
      </c>
      <c r="C227" s="126" t="s">
        <v>20644</v>
      </c>
      <c r="D227" s="51"/>
      <c r="E227" s="865">
        <v>218.14</v>
      </c>
    </row>
    <row r="228" spans="1:5">
      <c r="A228" s="864">
        <v>39328</v>
      </c>
      <c r="B228" s="125" t="str">
        <f>TiposLancamentos!B15</f>
        <v>Cartões de Crédito</v>
      </c>
      <c r="C228" s="126" t="s">
        <v>20660</v>
      </c>
      <c r="D228" s="51"/>
      <c r="E228" s="865">
        <v>385.3</v>
      </c>
    </row>
    <row r="229" spans="1:5">
      <c r="A229" s="864">
        <v>39328</v>
      </c>
      <c r="B229" s="125" t="str">
        <f>TiposLancamentos!B15</f>
        <v>Cartões de Crédito</v>
      </c>
      <c r="C229" s="126" t="s">
        <v>20661</v>
      </c>
      <c r="D229" s="51"/>
      <c r="E229" s="865">
        <v>71.78</v>
      </c>
    </row>
    <row r="230" spans="1:5">
      <c r="A230" s="864">
        <v>39329</v>
      </c>
      <c r="B230" s="125" t="str">
        <f>TiposLancamentos!B19</f>
        <v>Restaurantes</v>
      </c>
      <c r="C230" s="126" t="s">
        <v>20662</v>
      </c>
      <c r="D230" s="51"/>
      <c r="E230" s="865">
        <v>52.5</v>
      </c>
    </row>
    <row r="231" spans="1:5">
      <c r="A231" s="864">
        <v>39329</v>
      </c>
      <c r="B231" s="125" t="str">
        <f>TiposLancamentos!B4</f>
        <v>Taxas Bancarias</v>
      </c>
      <c r="C231" s="126" t="s">
        <v>4853</v>
      </c>
      <c r="D231" s="51"/>
      <c r="E231" s="865">
        <v>3.83</v>
      </c>
    </row>
    <row r="232" spans="1:5">
      <c r="A232" s="864">
        <v>39331</v>
      </c>
      <c r="B232" s="125" t="str">
        <f>TiposLancamentos!B105</f>
        <v>Transf. Bco</v>
      </c>
      <c r="C232" s="126" t="s">
        <v>20663</v>
      </c>
      <c r="D232" s="51">
        <v>762</v>
      </c>
      <c r="E232" s="865"/>
    </row>
    <row r="233" spans="1:5">
      <c r="A233" s="864">
        <v>39331</v>
      </c>
      <c r="B233" s="125" t="str">
        <f>TiposLancamentos!B5</f>
        <v>Supermercado</v>
      </c>
      <c r="C233" s="126" t="s">
        <v>2567</v>
      </c>
      <c r="D233" s="51"/>
      <c r="E233" s="865">
        <v>40.47</v>
      </c>
    </row>
    <row r="234" spans="1:5">
      <c r="A234" s="864">
        <v>39336</v>
      </c>
      <c r="B234" s="125" t="str">
        <f>TiposLancamentos!B4</f>
        <v>Taxas Bancarias</v>
      </c>
      <c r="C234" s="126" t="s">
        <v>20664</v>
      </c>
      <c r="D234" s="51"/>
      <c r="E234" s="865">
        <v>0.55000000000000004</v>
      </c>
    </row>
    <row r="235" spans="1:5">
      <c r="A235" s="864">
        <v>39337</v>
      </c>
      <c r="B235" s="125" t="str">
        <f>TiposLancamentos!B4</f>
        <v>Taxas Bancarias</v>
      </c>
      <c r="C235" s="126" t="s">
        <v>4822</v>
      </c>
      <c r="D235" s="51"/>
      <c r="E235" s="865">
        <v>5.78</v>
      </c>
    </row>
    <row r="236" spans="1:5">
      <c r="A236" s="864">
        <v>39341</v>
      </c>
      <c r="B236" s="125" t="str">
        <f>TiposLancamentos!B17</f>
        <v>GATO</v>
      </c>
      <c r="C236" s="126" t="s">
        <v>20665</v>
      </c>
      <c r="D236" s="51"/>
      <c r="E236" s="865">
        <v>80</v>
      </c>
    </row>
    <row r="237" spans="1:5">
      <c r="A237" s="864">
        <v>39342</v>
      </c>
      <c r="B237" s="125" t="str">
        <f>TiposLancamentos!B105</f>
        <v>Transf. Bco</v>
      </c>
      <c r="C237" s="126" t="s">
        <v>3845</v>
      </c>
      <c r="D237" s="51">
        <v>105</v>
      </c>
      <c r="E237" s="865"/>
    </row>
    <row r="238" spans="1:5">
      <c r="A238" s="864">
        <v>39342</v>
      </c>
      <c r="B238" s="125" t="str">
        <f>TiposLancamentos!B24</f>
        <v>Estacionamentos</v>
      </c>
      <c r="C238" s="126" t="s">
        <v>20666</v>
      </c>
      <c r="D238" s="51"/>
      <c r="E238" s="865">
        <v>29</v>
      </c>
    </row>
    <row r="239" spans="1:5" ht="14.25" thickBot="1">
      <c r="A239" s="864">
        <v>39353</v>
      </c>
      <c r="B239" s="125" t="str">
        <f>TiposLancamentos!B4</f>
        <v>Taxas Bancarias</v>
      </c>
      <c r="C239" s="126" t="s">
        <v>20667</v>
      </c>
      <c r="D239" s="51"/>
      <c r="E239" s="865">
        <v>11.06</v>
      </c>
    </row>
    <row r="240" spans="1:5" ht="14.25" thickBot="1">
      <c r="A240" s="995"/>
      <c r="B240" s="989"/>
      <c r="C240" s="990" t="s">
        <v>5555</v>
      </c>
      <c r="D240" s="991"/>
      <c r="E240" s="994"/>
    </row>
    <row r="241" spans="1:5">
      <c r="A241" s="864">
        <v>39356</v>
      </c>
      <c r="B241" s="125" t="str">
        <f>TiposLancamentos!B4</f>
        <v>Taxas Bancarias</v>
      </c>
      <c r="C241" s="126" t="s">
        <v>20603</v>
      </c>
      <c r="D241" s="51"/>
      <c r="E241" s="865">
        <v>0.12</v>
      </c>
    </row>
    <row r="242" spans="1:5">
      <c r="A242" s="864">
        <v>39363</v>
      </c>
      <c r="B242" s="125" t="str">
        <f>TiposLancamentos!B105</f>
        <v>Transf. Bco</v>
      </c>
      <c r="C242" s="126" t="s">
        <v>20663</v>
      </c>
      <c r="D242" s="51">
        <v>85</v>
      </c>
      <c r="E242" s="865"/>
    </row>
    <row r="243" spans="1:5">
      <c r="A243" s="864">
        <v>39370</v>
      </c>
      <c r="B243" s="125" t="str">
        <f>TiposLancamentos!B24</f>
        <v>Estacionamentos</v>
      </c>
      <c r="C243" s="126" t="s">
        <v>5392</v>
      </c>
      <c r="D243" s="51"/>
      <c r="E243" s="865">
        <v>25</v>
      </c>
    </row>
    <row r="244" spans="1:5">
      <c r="A244" s="864">
        <v>39383</v>
      </c>
      <c r="B244" s="125" t="str">
        <f>TiposLancamentos!B19</f>
        <v>Restaurantes</v>
      </c>
      <c r="C244" s="126" t="s">
        <v>20668</v>
      </c>
      <c r="D244" s="51"/>
      <c r="E244" s="865">
        <v>57.7</v>
      </c>
    </row>
    <row r="245" spans="1:5">
      <c r="A245" s="864">
        <v>39383</v>
      </c>
      <c r="B245" s="125" t="str">
        <f>TiposLancamentos!B56</f>
        <v>Farmácia</v>
      </c>
      <c r="C245" s="126" t="s">
        <v>20669</v>
      </c>
      <c r="D245" s="51"/>
      <c r="E245" s="865">
        <v>22.2</v>
      </c>
    </row>
    <row r="246" spans="1:5">
      <c r="A246" s="864">
        <v>39384</v>
      </c>
      <c r="B246" s="125" t="str">
        <f>TiposLancamentos!B16</f>
        <v>Cristiane</v>
      </c>
      <c r="C246" s="126" t="s">
        <v>20670</v>
      </c>
      <c r="D246" s="51"/>
      <c r="E246" s="865">
        <v>15</v>
      </c>
    </row>
    <row r="247" spans="1:5">
      <c r="A247" s="864">
        <v>39386</v>
      </c>
      <c r="B247" s="125" t="str">
        <f>TiposLancamentos!B19</f>
        <v>Restaurantes</v>
      </c>
      <c r="C247" s="126" t="s">
        <v>3065</v>
      </c>
      <c r="D247" s="51"/>
      <c r="E247" s="865">
        <v>7.75</v>
      </c>
    </row>
    <row r="248" spans="1:5" ht="14.25" thickBot="1">
      <c r="A248" s="864">
        <v>39386</v>
      </c>
      <c r="B248" s="125" t="str">
        <f>TiposLancamentos!B4</f>
        <v>Taxas Bancarias</v>
      </c>
      <c r="C248" s="126" t="s">
        <v>20667</v>
      </c>
      <c r="D248" s="51"/>
      <c r="E248" s="865">
        <v>3.17</v>
      </c>
    </row>
    <row r="249" spans="1:5" ht="14.25" thickBot="1">
      <c r="A249" s="995"/>
      <c r="B249" s="989"/>
      <c r="C249" s="997" t="s">
        <v>5581</v>
      </c>
      <c r="D249" s="991"/>
      <c r="E249" s="994"/>
    </row>
    <row r="250" spans="1:5">
      <c r="A250" s="864">
        <v>39387</v>
      </c>
      <c r="B250" s="125" t="str">
        <f>TiposLancamentos!B2</f>
        <v>Telefonia</v>
      </c>
      <c r="C250" s="126" t="s">
        <v>5161</v>
      </c>
      <c r="D250" s="51"/>
      <c r="E250" s="865">
        <v>34.82</v>
      </c>
    </row>
    <row r="251" spans="1:5">
      <c r="A251" s="864">
        <v>39387</v>
      </c>
      <c r="B251" s="125" t="str">
        <f>TiposLancamentos!B3</f>
        <v>Internet</v>
      </c>
      <c r="C251" s="126" t="s">
        <v>4987</v>
      </c>
      <c r="D251" s="51"/>
      <c r="E251" s="865">
        <v>89.9</v>
      </c>
    </row>
    <row r="252" spans="1:5">
      <c r="A252" s="864">
        <v>39387</v>
      </c>
      <c r="B252" s="125" t="str">
        <f>TiposLancamentos!B15</f>
        <v>Cartões de Crédito</v>
      </c>
      <c r="C252" s="126" t="s">
        <v>20632</v>
      </c>
      <c r="D252" s="51"/>
      <c r="E252" s="865">
        <v>998.09</v>
      </c>
    </row>
    <row r="253" spans="1:5">
      <c r="A253" s="864">
        <v>39387</v>
      </c>
      <c r="B253" s="125" t="str">
        <f>TiposLancamentos!B19</f>
        <v>Restaurantes</v>
      </c>
      <c r="C253" s="126" t="s">
        <v>3287</v>
      </c>
      <c r="D253" s="51"/>
      <c r="E253" s="865">
        <v>12.27</v>
      </c>
    </row>
    <row r="254" spans="1:5">
      <c r="A254" s="864">
        <v>39387</v>
      </c>
      <c r="B254" s="125" t="str">
        <f>TiposLancamentos!B19</f>
        <v>Restaurantes</v>
      </c>
      <c r="C254" s="126" t="s">
        <v>5324</v>
      </c>
      <c r="D254" s="51"/>
      <c r="E254" s="865">
        <v>26</v>
      </c>
    </row>
    <row r="255" spans="1:5">
      <c r="A255" s="864">
        <v>39389</v>
      </c>
      <c r="B255" s="125" t="str">
        <f>TiposLancamentos!B36</f>
        <v>Playstation 2</v>
      </c>
      <c r="C255" s="126" t="s">
        <v>20671</v>
      </c>
      <c r="D255" s="51"/>
      <c r="E255" s="865">
        <v>260.31</v>
      </c>
    </row>
    <row r="256" spans="1:5">
      <c r="A256" s="864">
        <v>39391</v>
      </c>
      <c r="B256" s="125" t="str">
        <f>TiposLancamentos!B4</f>
        <v>Taxas Bancarias</v>
      </c>
      <c r="C256" s="126" t="s">
        <v>4853</v>
      </c>
      <c r="D256" s="51"/>
      <c r="E256" s="865">
        <v>1.21</v>
      </c>
    </row>
    <row r="257" spans="1:5">
      <c r="A257" s="864">
        <v>39391</v>
      </c>
      <c r="B257" s="125" t="str">
        <f>TiposLancamentos!B6</f>
        <v>Energia Eletrica</v>
      </c>
      <c r="C257" s="126" t="s">
        <v>20672</v>
      </c>
      <c r="D257" s="51"/>
      <c r="E257" s="865">
        <v>81.89</v>
      </c>
    </row>
    <row r="258" spans="1:5">
      <c r="A258" s="864">
        <v>39391</v>
      </c>
      <c r="B258" s="125" t="str">
        <f>TiposLancamentos!B15</f>
        <v>Cartões de Crédito</v>
      </c>
      <c r="C258" s="126" t="s">
        <v>5558</v>
      </c>
      <c r="D258" s="51"/>
      <c r="E258" s="865">
        <v>410.99</v>
      </c>
    </row>
    <row r="259" spans="1:5">
      <c r="A259" s="864">
        <v>39391</v>
      </c>
      <c r="B259" s="125" t="str">
        <f>TiposLancamentos!B15</f>
        <v>Cartões de Crédito</v>
      </c>
      <c r="C259" s="126" t="s">
        <v>5700</v>
      </c>
      <c r="D259" s="51"/>
      <c r="E259" s="865">
        <v>218.14</v>
      </c>
    </row>
    <row r="260" spans="1:5">
      <c r="A260" s="864">
        <v>39392</v>
      </c>
      <c r="B260" s="125" t="str">
        <f>TiposLancamentos!B19</f>
        <v>Restaurantes</v>
      </c>
      <c r="C260" s="126" t="s">
        <v>2218</v>
      </c>
      <c r="D260" s="51"/>
      <c r="E260" s="865">
        <v>9.15</v>
      </c>
    </row>
    <row r="261" spans="1:5">
      <c r="A261" s="864">
        <v>39393</v>
      </c>
      <c r="B261" s="125" t="str">
        <f>TiposLancamentos!B19</f>
        <v>Restaurantes</v>
      </c>
      <c r="C261" s="126" t="s">
        <v>20673</v>
      </c>
      <c r="D261" s="51"/>
      <c r="E261" s="865">
        <v>11.5</v>
      </c>
    </row>
    <row r="262" spans="1:5">
      <c r="A262" s="864">
        <v>39393</v>
      </c>
      <c r="B262" s="125" t="str">
        <f>TiposLancamentos!B56</f>
        <v>Farmácia</v>
      </c>
      <c r="C262" s="126" t="s">
        <v>20674</v>
      </c>
      <c r="D262" s="51"/>
      <c r="E262" s="865">
        <v>34.65</v>
      </c>
    </row>
    <row r="263" spans="1:5">
      <c r="A263" s="864">
        <v>39394</v>
      </c>
      <c r="B263" s="125" t="str">
        <f>TiposLancamentos!B19</f>
        <v>Restaurantes</v>
      </c>
      <c r="C263" s="126" t="s">
        <v>20675</v>
      </c>
      <c r="D263" s="51"/>
      <c r="E263" s="865">
        <v>21.29</v>
      </c>
    </row>
    <row r="264" spans="1:5">
      <c r="A264" s="864">
        <v>39394</v>
      </c>
      <c r="B264" s="125" t="str">
        <f>TiposLancamentos!B95</f>
        <v>Salarios</v>
      </c>
      <c r="C264" s="126" t="s">
        <v>20676</v>
      </c>
      <c r="D264" s="51">
        <v>7284.13</v>
      </c>
      <c r="E264" s="865"/>
    </row>
    <row r="265" spans="1:5">
      <c r="A265" s="864">
        <v>39394</v>
      </c>
      <c r="B265" s="125" t="str">
        <f>TiposLancamentos!B97</f>
        <v>Deposito Terc.</v>
      </c>
      <c r="C265" s="126" t="s">
        <v>20677</v>
      </c>
      <c r="D265" s="51"/>
      <c r="E265" s="865">
        <v>30</v>
      </c>
    </row>
    <row r="266" spans="1:5">
      <c r="A266" s="961">
        <v>39394</v>
      </c>
      <c r="B266" s="817" t="str">
        <f>TiposLancamentos!B22</f>
        <v>Combustivel</v>
      </c>
      <c r="C266" s="962" t="s">
        <v>20678</v>
      </c>
      <c r="D266" s="809"/>
      <c r="E266" s="965">
        <v>60</v>
      </c>
    </row>
    <row r="267" spans="1:5">
      <c r="A267" s="963">
        <v>39394</v>
      </c>
      <c r="B267" s="818" t="str">
        <f>TiposLancamentos!B85</f>
        <v>Peugeout 206</v>
      </c>
      <c r="C267" s="964" t="s">
        <v>20679</v>
      </c>
      <c r="D267" s="813"/>
      <c r="E267" s="966">
        <v>7</v>
      </c>
    </row>
    <row r="268" spans="1:5">
      <c r="A268" s="864">
        <v>39395</v>
      </c>
      <c r="B268" s="125" t="str">
        <f>TiposLancamentos!B19</f>
        <v>Restaurantes</v>
      </c>
      <c r="C268" s="126" t="s">
        <v>20680</v>
      </c>
      <c r="D268" s="51"/>
      <c r="E268" s="865">
        <v>9.6</v>
      </c>
    </row>
    <row r="269" spans="1:5">
      <c r="A269" s="864">
        <v>39395</v>
      </c>
      <c r="B269" s="125" t="str">
        <f>TiposLancamentos!B20</f>
        <v>Saques</v>
      </c>
      <c r="C269" s="126" t="s">
        <v>2850</v>
      </c>
      <c r="D269" s="51"/>
      <c r="E269" s="865">
        <v>10</v>
      </c>
    </row>
    <row r="270" spans="1:5">
      <c r="A270" s="864">
        <v>39395</v>
      </c>
      <c r="B270" s="125" t="str">
        <f>TiposLancamentos!B19</f>
        <v>Restaurantes</v>
      </c>
      <c r="C270" s="126" t="s">
        <v>20681</v>
      </c>
      <c r="D270" s="51"/>
      <c r="E270" s="865">
        <v>22.5</v>
      </c>
    </row>
    <row r="271" spans="1:5">
      <c r="A271" s="864">
        <v>39396</v>
      </c>
      <c r="B271" s="125" t="str">
        <f>TiposLancamentos!B57</f>
        <v>Informática</v>
      </c>
      <c r="C271" s="126" t="s">
        <v>20682</v>
      </c>
      <c r="D271" s="51"/>
      <c r="E271" s="865">
        <v>17.55</v>
      </c>
    </row>
    <row r="272" spans="1:5">
      <c r="A272" s="864">
        <v>39396</v>
      </c>
      <c r="B272" s="125" t="str">
        <f>TiposLancamentos!B70</f>
        <v>Vestuário</v>
      </c>
      <c r="C272" s="126" t="s">
        <v>20683</v>
      </c>
      <c r="D272" s="51"/>
      <c r="E272" s="865">
        <v>199.8</v>
      </c>
    </row>
    <row r="273" spans="1:5">
      <c r="A273" s="961">
        <v>39396</v>
      </c>
      <c r="B273" s="817" t="str">
        <f>TiposLancamentos!B16</f>
        <v>Cristiane</v>
      </c>
      <c r="C273" s="962" t="s">
        <v>20684</v>
      </c>
      <c r="D273" s="809"/>
      <c r="E273" s="965">
        <v>79.900000000000006</v>
      </c>
    </row>
    <row r="274" spans="1:5">
      <c r="A274" s="963">
        <v>39396</v>
      </c>
      <c r="B274" s="818" t="str">
        <f>TiposLancamentos!B70</f>
        <v>Vestuário</v>
      </c>
      <c r="C274" s="964" t="s">
        <v>20685</v>
      </c>
      <c r="D274" s="813"/>
      <c r="E274" s="966">
        <f>255-E273</f>
        <v>175.1</v>
      </c>
    </row>
    <row r="275" spans="1:5">
      <c r="A275" s="864">
        <v>39396</v>
      </c>
      <c r="B275" s="125" t="str">
        <f>TiposLancamentos!B17</f>
        <v>GATO</v>
      </c>
      <c r="C275" s="126" t="s">
        <v>20686</v>
      </c>
      <c r="D275" s="51"/>
      <c r="E275" s="865">
        <v>50.95</v>
      </c>
    </row>
    <row r="276" spans="1:5">
      <c r="A276" s="864">
        <v>39396</v>
      </c>
      <c r="B276" s="125" t="str">
        <f>TiposLancamentos!B19</f>
        <v>Restaurantes</v>
      </c>
      <c r="C276" s="126" t="s">
        <v>20687</v>
      </c>
      <c r="D276" s="51"/>
      <c r="E276" s="865">
        <v>33.19</v>
      </c>
    </row>
    <row r="277" spans="1:5">
      <c r="A277" s="864">
        <v>39397</v>
      </c>
      <c r="B277" s="125" t="str">
        <f>TiposLancamentos!B56</f>
        <v>Farmácia</v>
      </c>
      <c r="C277" s="126" t="s">
        <v>20688</v>
      </c>
      <c r="D277" s="51"/>
      <c r="E277" s="865">
        <v>25.55</v>
      </c>
    </row>
    <row r="278" spans="1:5">
      <c r="A278" s="864">
        <v>39397</v>
      </c>
      <c r="B278" s="125" t="str">
        <f>TiposLancamentos!B5</f>
        <v>Supermercado</v>
      </c>
      <c r="C278" s="126" t="s">
        <v>5551</v>
      </c>
      <c r="D278" s="51"/>
      <c r="E278" s="865">
        <v>35.69</v>
      </c>
    </row>
    <row r="279" spans="1:5">
      <c r="A279" s="864">
        <v>39397</v>
      </c>
      <c r="B279" s="125" t="str">
        <f>TiposLancamentos!B5</f>
        <v>Supermercado</v>
      </c>
      <c r="C279" s="126" t="s">
        <v>20689</v>
      </c>
      <c r="D279" s="51"/>
      <c r="E279" s="865">
        <v>32.42</v>
      </c>
    </row>
    <row r="280" spans="1:5">
      <c r="A280" s="864">
        <v>39397</v>
      </c>
      <c r="B280" s="125" t="str">
        <f>TiposLancamentos!B72</f>
        <v>Presentes</v>
      </c>
      <c r="C280" s="126" t="s">
        <v>20690</v>
      </c>
      <c r="D280" s="51"/>
      <c r="E280" s="865">
        <v>209</v>
      </c>
    </row>
    <row r="281" spans="1:5">
      <c r="A281" s="864">
        <v>39397</v>
      </c>
      <c r="B281" s="125" t="str">
        <f>TiposLancamentos!B19</f>
        <v>Restaurantes</v>
      </c>
      <c r="C281" s="126" t="s">
        <v>3933</v>
      </c>
      <c r="D281" s="51"/>
      <c r="E281" s="865">
        <v>37.6</v>
      </c>
    </row>
    <row r="282" spans="1:5">
      <c r="A282" s="864">
        <v>39399</v>
      </c>
      <c r="B282" s="125" t="str">
        <f>TiposLancamentos!B19</f>
        <v>Restaurantes</v>
      </c>
      <c r="C282" s="126" t="s">
        <v>20691</v>
      </c>
      <c r="D282" s="51"/>
      <c r="E282" s="865">
        <v>11.76</v>
      </c>
    </row>
    <row r="283" spans="1:5">
      <c r="A283" s="864">
        <v>39399</v>
      </c>
      <c r="B283" s="125" t="str">
        <f>TiposLancamentos!B4</f>
        <v>Taxas Bancarias</v>
      </c>
      <c r="C283" s="126" t="s">
        <v>4853</v>
      </c>
      <c r="D283" s="51"/>
      <c r="E283" s="865">
        <v>17.63</v>
      </c>
    </row>
    <row r="284" spans="1:5">
      <c r="A284" s="864">
        <v>39399</v>
      </c>
      <c r="B284" s="125" t="str">
        <f>TiposLancamentos!B18</f>
        <v>Alimentacao</v>
      </c>
      <c r="C284" s="126" t="s">
        <v>20692</v>
      </c>
      <c r="D284" s="51"/>
      <c r="E284" s="865">
        <v>7.6</v>
      </c>
    </row>
    <row r="285" spans="1:5">
      <c r="A285" s="864">
        <v>39400</v>
      </c>
      <c r="B285" s="125" t="str">
        <f>TiposLancamentos!B56</f>
        <v>Farmácia</v>
      </c>
      <c r="C285" s="126" t="s">
        <v>20693</v>
      </c>
      <c r="D285" s="51"/>
      <c r="E285" s="865">
        <v>58.39</v>
      </c>
    </row>
    <row r="286" spans="1:5">
      <c r="A286" s="864">
        <v>39401</v>
      </c>
      <c r="B286" s="125" t="str">
        <f>TiposLancamentos!B19</f>
        <v>Restaurantes</v>
      </c>
      <c r="C286" s="126" t="s">
        <v>20687</v>
      </c>
      <c r="D286" s="51"/>
      <c r="E286" s="865">
        <v>24.31</v>
      </c>
    </row>
    <row r="287" spans="1:5">
      <c r="A287" s="864">
        <v>39401</v>
      </c>
      <c r="B287" s="125" t="str">
        <f>TiposLancamentos!B90</f>
        <v>Locadora</v>
      </c>
      <c r="C287" s="126" t="s">
        <v>20694</v>
      </c>
      <c r="D287" s="51"/>
      <c r="E287" s="865">
        <v>18</v>
      </c>
    </row>
    <row r="288" spans="1:5">
      <c r="A288" s="864">
        <v>39401</v>
      </c>
      <c r="B288" s="125" t="str">
        <f>TiposLancamentos!B5</f>
        <v>Supermercado</v>
      </c>
      <c r="C288" s="126" t="s">
        <v>5000</v>
      </c>
      <c r="D288" s="51"/>
      <c r="E288" s="865">
        <v>48.39</v>
      </c>
    </row>
    <row r="289" spans="1:5">
      <c r="A289" s="864">
        <v>39402</v>
      </c>
      <c r="B289" s="125" t="str">
        <f>TiposLancamentos!B24</f>
        <v>Estacionamentos</v>
      </c>
      <c r="C289" s="126" t="s">
        <v>5392</v>
      </c>
      <c r="D289" s="51"/>
      <c r="E289" s="865">
        <v>33</v>
      </c>
    </row>
    <row r="290" spans="1:5">
      <c r="A290" s="961">
        <v>39402</v>
      </c>
      <c r="B290" s="817" t="str">
        <f>TiposLancamentos!B8</f>
        <v>Aluguel</v>
      </c>
      <c r="C290" s="962" t="s">
        <v>20695</v>
      </c>
      <c r="D290" s="809"/>
      <c r="E290" s="965">
        <v>804.8</v>
      </c>
    </row>
    <row r="291" spans="1:5">
      <c r="A291" s="963">
        <v>39402</v>
      </c>
      <c r="B291" s="818" t="str">
        <f>TiposLancamentos!B9</f>
        <v>Condominio</v>
      </c>
      <c r="C291" s="964" t="s">
        <v>20696</v>
      </c>
      <c r="D291" s="813"/>
      <c r="E291" s="966">
        <f>1033.47-E290</f>
        <v>228.67000000000007</v>
      </c>
    </row>
    <row r="292" spans="1:5">
      <c r="A292" s="864">
        <v>39402</v>
      </c>
      <c r="B292" s="125" t="str">
        <f>TiposLancamentos!B19</f>
        <v>Restaurantes</v>
      </c>
      <c r="C292" s="126" t="s">
        <v>20697</v>
      </c>
      <c r="D292" s="51"/>
      <c r="E292" s="865">
        <v>11.85</v>
      </c>
    </row>
    <row r="293" spans="1:5">
      <c r="A293" s="864">
        <v>39402</v>
      </c>
      <c r="B293" s="125" t="str">
        <f>TiposLancamentos!B19</f>
        <v>Restaurantes</v>
      </c>
      <c r="C293" s="126" t="s">
        <v>20698</v>
      </c>
      <c r="D293" s="51"/>
      <c r="E293" s="865">
        <v>4.9000000000000004</v>
      </c>
    </row>
    <row r="294" spans="1:5">
      <c r="A294" s="864">
        <v>39403</v>
      </c>
      <c r="B294" s="125" t="str">
        <f>TiposLancamentos!B19</f>
        <v>Restaurantes</v>
      </c>
      <c r="C294" s="126" t="s">
        <v>20699</v>
      </c>
      <c r="D294" s="51"/>
      <c r="E294" s="865">
        <v>30</v>
      </c>
    </row>
    <row r="295" spans="1:5">
      <c r="A295" s="864">
        <v>39405</v>
      </c>
      <c r="B295" s="125" t="str">
        <f>TiposLancamentos!B19</f>
        <v>Restaurantes</v>
      </c>
      <c r="C295" s="126" t="s">
        <v>20700</v>
      </c>
      <c r="D295" s="51"/>
      <c r="E295" s="865">
        <v>13.5</v>
      </c>
    </row>
    <row r="296" spans="1:5">
      <c r="A296" s="864">
        <v>39405</v>
      </c>
      <c r="B296" s="125" t="str">
        <f>TiposLancamentos!B19</f>
        <v>Restaurantes</v>
      </c>
      <c r="C296" s="126" t="s">
        <v>20701</v>
      </c>
      <c r="D296" s="51"/>
      <c r="E296" s="865">
        <v>4.9000000000000004</v>
      </c>
    </row>
    <row r="297" spans="1:5">
      <c r="A297" s="864">
        <v>39405</v>
      </c>
      <c r="B297" s="125" t="str">
        <f>TiposLancamentos!B19</f>
        <v>Restaurantes</v>
      </c>
      <c r="C297" s="126" t="s">
        <v>20702</v>
      </c>
      <c r="D297" s="51"/>
      <c r="E297" s="865">
        <v>33.6</v>
      </c>
    </row>
    <row r="298" spans="1:5">
      <c r="A298" s="864">
        <v>39405</v>
      </c>
      <c r="B298" s="125" t="str">
        <f>TiposLancamentos!B16</f>
        <v>Cristiane</v>
      </c>
      <c r="C298" s="126" t="s">
        <v>20703</v>
      </c>
      <c r="D298" s="51"/>
      <c r="E298" s="865">
        <v>59.9</v>
      </c>
    </row>
    <row r="299" spans="1:5">
      <c r="A299" s="961">
        <v>39406</v>
      </c>
      <c r="B299" s="817" t="str">
        <f>TiposLancamentos!B22</f>
        <v>Combustivel</v>
      </c>
      <c r="C299" s="962" t="s">
        <v>20555</v>
      </c>
      <c r="D299" s="809"/>
      <c r="E299" s="965">
        <v>60</v>
      </c>
    </row>
    <row r="300" spans="1:5">
      <c r="A300" s="963">
        <v>39406</v>
      </c>
      <c r="B300" s="818" t="str">
        <f>TiposLancamentos!B85</f>
        <v>Peugeout 206</v>
      </c>
      <c r="C300" s="964" t="s">
        <v>20704</v>
      </c>
      <c r="D300" s="813"/>
      <c r="E300" s="966">
        <v>20</v>
      </c>
    </row>
    <row r="301" spans="1:5">
      <c r="A301" s="864">
        <v>39406</v>
      </c>
      <c r="B301" s="125" t="str">
        <f>TiposLancamentos!B85</f>
        <v>Peugeout 206</v>
      </c>
      <c r="C301" s="126" t="s">
        <v>20705</v>
      </c>
      <c r="D301" s="51"/>
      <c r="E301" s="865">
        <v>123</v>
      </c>
    </row>
    <row r="302" spans="1:5">
      <c r="A302" s="864">
        <v>39406</v>
      </c>
      <c r="B302" s="125" t="str">
        <f>TiposLancamentos!B16</f>
        <v>Cristiane</v>
      </c>
      <c r="C302" s="126" t="s">
        <v>20706</v>
      </c>
      <c r="D302" s="51"/>
      <c r="E302" s="865">
        <v>180</v>
      </c>
    </row>
    <row r="303" spans="1:5">
      <c r="A303" s="864">
        <v>39406</v>
      </c>
      <c r="B303" s="125" t="str">
        <f>TiposLancamentos!B16</f>
        <v>Cristiane</v>
      </c>
      <c r="C303" s="126" t="s">
        <v>20707</v>
      </c>
      <c r="D303" s="51"/>
      <c r="E303" s="865">
        <v>59.99</v>
      </c>
    </row>
    <row r="304" spans="1:5">
      <c r="A304" s="864">
        <v>39406</v>
      </c>
      <c r="B304" s="125" t="str">
        <f>TiposLancamentos!B13</f>
        <v>Moradia</v>
      </c>
      <c r="C304" s="126" t="s">
        <v>20708</v>
      </c>
      <c r="D304" s="51"/>
      <c r="E304" s="865">
        <v>40.840000000000003</v>
      </c>
    </row>
    <row r="305" spans="1:5">
      <c r="A305" s="864">
        <v>39406</v>
      </c>
      <c r="B305" s="125" t="str">
        <f>TiposLancamentos!B19</f>
        <v>Restaurantes</v>
      </c>
      <c r="C305" s="126" t="s">
        <v>20709</v>
      </c>
      <c r="D305" s="51"/>
      <c r="E305" s="865">
        <v>21</v>
      </c>
    </row>
    <row r="306" spans="1:5">
      <c r="A306" s="864">
        <v>39407</v>
      </c>
      <c r="B306" s="125" t="str">
        <f>TiposLancamentos!B19</f>
        <v>Restaurantes</v>
      </c>
      <c r="C306" s="126" t="s">
        <v>2618</v>
      </c>
      <c r="D306" s="51"/>
      <c r="E306" s="865">
        <v>11.68</v>
      </c>
    </row>
    <row r="307" spans="1:5">
      <c r="A307" s="864">
        <v>39407</v>
      </c>
      <c r="B307" s="125" t="str">
        <f>B287</f>
        <v>Locadora</v>
      </c>
      <c r="C307" s="126" t="s">
        <v>20710</v>
      </c>
      <c r="D307" s="51"/>
      <c r="E307" s="865">
        <v>3.5</v>
      </c>
    </row>
    <row r="308" spans="1:5">
      <c r="A308" s="864">
        <v>39407</v>
      </c>
      <c r="B308" s="125" t="str">
        <f>TiposLancamentos!B5</f>
        <v>Supermercado</v>
      </c>
      <c r="C308" s="126" t="s">
        <v>20711</v>
      </c>
      <c r="D308" s="51"/>
      <c r="E308" s="865">
        <v>41.32</v>
      </c>
    </row>
    <row r="309" spans="1:5">
      <c r="A309" s="864">
        <v>39408</v>
      </c>
      <c r="B309" s="125" t="str">
        <f>TiposLancamentos!B4</f>
        <v>Taxas Bancarias</v>
      </c>
      <c r="C309" s="126" t="s">
        <v>4853</v>
      </c>
      <c r="D309" s="51"/>
      <c r="E309" s="865">
        <v>8.4499999999999993</v>
      </c>
    </row>
    <row r="310" spans="1:5">
      <c r="A310" s="864">
        <v>39408</v>
      </c>
      <c r="B310" s="125" t="str">
        <f>TiposLancamentos!B19</f>
        <v>Restaurantes</v>
      </c>
      <c r="C310" s="126" t="s">
        <v>20700</v>
      </c>
      <c r="D310" s="51"/>
      <c r="E310" s="865">
        <v>13.9</v>
      </c>
    </row>
    <row r="311" spans="1:5">
      <c r="A311" s="864">
        <v>39408</v>
      </c>
      <c r="B311" s="125" t="str">
        <f>TiposLancamentos!B19</f>
        <v>Restaurantes</v>
      </c>
      <c r="C311" s="126" t="s">
        <v>20712</v>
      </c>
      <c r="D311" s="51"/>
      <c r="E311" s="865">
        <v>6.5</v>
      </c>
    </row>
    <row r="312" spans="1:5">
      <c r="A312" s="864">
        <v>39408</v>
      </c>
      <c r="B312" s="125" t="str">
        <f>TiposLancamentos!B91</f>
        <v>PSP Slim 2000</v>
      </c>
      <c r="C312" s="126" t="s">
        <v>20713</v>
      </c>
      <c r="D312" s="51"/>
      <c r="E312" s="865">
        <v>220</v>
      </c>
    </row>
    <row r="313" spans="1:5">
      <c r="A313" s="864">
        <v>39408</v>
      </c>
      <c r="B313" s="125" t="str">
        <f>TiposLancamentos!B56</f>
        <v>Farmácia</v>
      </c>
      <c r="C313" s="126" t="s">
        <v>20714</v>
      </c>
      <c r="D313" s="51"/>
      <c r="E313" s="865">
        <v>18.54</v>
      </c>
    </row>
    <row r="314" spans="1:5">
      <c r="A314" s="864">
        <v>39408</v>
      </c>
      <c r="B314" s="125" t="str">
        <f>TiposLancamentos!B19</f>
        <v>Restaurantes</v>
      </c>
      <c r="C314" s="126" t="s">
        <v>20715</v>
      </c>
      <c r="D314" s="51"/>
      <c r="E314" s="865">
        <v>25</v>
      </c>
    </row>
    <row r="315" spans="1:5">
      <c r="A315" s="864">
        <v>39409</v>
      </c>
      <c r="B315" s="125" t="str">
        <f>TiposLancamentos!B19</f>
        <v>Restaurantes</v>
      </c>
      <c r="C315" s="126" t="s">
        <v>20716</v>
      </c>
      <c r="D315" s="51"/>
      <c r="E315" s="865">
        <v>11.5</v>
      </c>
    </row>
    <row r="316" spans="1:5">
      <c r="A316" s="864">
        <v>39409</v>
      </c>
      <c r="B316" s="125" t="str">
        <f>TiposLancamentos!B91</f>
        <v>PSP Slim 2000</v>
      </c>
      <c r="C316" s="126" t="s">
        <v>20717</v>
      </c>
      <c r="D316" s="51"/>
      <c r="E316" s="865">
        <v>55</v>
      </c>
    </row>
    <row r="317" spans="1:5">
      <c r="A317" s="864">
        <v>39409</v>
      </c>
      <c r="B317" s="125" t="str">
        <f>TiposLancamentos!B20</f>
        <v>Saques</v>
      </c>
      <c r="C317" s="126" t="s">
        <v>2655</v>
      </c>
      <c r="D317" s="51"/>
      <c r="E317" s="865">
        <v>20</v>
      </c>
    </row>
    <row r="318" spans="1:5">
      <c r="A318" s="961">
        <v>39409</v>
      </c>
      <c r="B318" s="817" t="str">
        <f>TiposLancamentos!B27</f>
        <v>Jornais e revistas</v>
      </c>
      <c r="C318" s="962" t="s">
        <v>20718</v>
      </c>
      <c r="D318" s="809"/>
      <c r="E318" s="965">
        <v>6.9</v>
      </c>
    </row>
    <row r="319" spans="1:5">
      <c r="A319" s="963">
        <v>39409</v>
      </c>
      <c r="B319" s="818" t="str">
        <f>TiposLancamentos!B19</f>
        <v>Restaurantes</v>
      </c>
      <c r="C319" s="964" t="s">
        <v>20719</v>
      </c>
      <c r="D319" s="813"/>
      <c r="E319" s="966">
        <f>39.32-E318</f>
        <v>32.42</v>
      </c>
    </row>
    <row r="320" spans="1:5">
      <c r="A320" s="864">
        <v>39410</v>
      </c>
      <c r="B320" s="125" t="str">
        <f>TiposLancamentos!B19</f>
        <v>Restaurantes</v>
      </c>
      <c r="C320" s="126" t="s">
        <v>20720</v>
      </c>
      <c r="D320" s="51"/>
      <c r="E320" s="865">
        <v>19.600000000000001</v>
      </c>
    </row>
    <row r="321" spans="1:5">
      <c r="A321" s="864">
        <v>39410</v>
      </c>
      <c r="B321" s="125" t="str">
        <f>TiposLancamentos!B71</f>
        <v>Itens Pessoais</v>
      </c>
      <c r="C321" s="126" t="s">
        <v>1964</v>
      </c>
      <c r="D321" s="51"/>
      <c r="E321" s="865">
        <v>15</v>
      </c>
    </row>
    <row r="322" spans="1:5">
      <c r="A322" s="864">
        <v>39411</v>
      </c>
      <c r="B322" s="125" t="str">
        <f>TiposLancamentos!B5</f>
        <v>Supermercado</v>
      </c>
      <c r="C322" s="126" t="s">
        <v>20721</v>
      </c>
      <c r="D322" s="51"/>
      <c r="E322" s="865">
        <v>45.99</v>
      </c>
    </row>
    <row r="323" spans="1:5">
      <c r="A323" s="864">
        <v>39412</v>
      </c>
      <c r="B323" s="125" t="str">
        <f>TiposLancamentos!B19</f>
        <v>Restaurantes</v>
      </c>
      <c r="C323" s="126" t="s">
        <v>2618</v>
      </c>
      <c r="D323" s="51"/>
      <c r="E323" s="865">
        <v>14.69</v>
      </c>
    </row>
    <row r="324" spans="1:5">
      <c r="A324" s="864">
        <v>39412</v>
      </c>
      <c r="B324" s="125" t="str">
        <f>TiposLancamentos!B20</f>
        <v>Saques</v>
      </c>
      <c r="C324" s="126" t="s">
        <v>20722</v>
      </c>
      <c r="D324" s="51"/>
      <c r="E324" s="865">
        <v>10</v>
      </c>
    </row>
    <row r="325" spans="1:5">
      <c r="A325" s="864">
        <v>39412</v>
      </c>
      <c r="B325" s="125" t="str">
        <f>TiposLancamentos!B56</f>
        <v>Farmácia</v>
      </c>
      <c r="C325" s="126" t="s">
        <v>20723</v>
      </c>
      <c r="D325" s="51"/>
      <c r="E325" s="865">
        <v>53.53</v>
      </c>
    </row>
    <row r="326" spans="1:5">
      <c r="A326" s="864">
        <v>39414</v>
      </c>
      <c r="B326" s="125" t="str">
        <f>TiposLancamentos!B19</f>
        <v>Restaurantes</v>
      </c>
      <c r="C326" s="126" t="s">
        <v>2618</v>
      </c>
      <c r="D326" s="51"/>
      <c r="E326" s="865">
        <v>16.95</v>
      </c>
    </row>
    <row r="327" spans="1:5">
      <c r="A327" s="864">
        <v>39414</v>
      </c>
      <c r="B327" s="125" t="str">
        <f>TiposLancamentos!B19</f>
        <v>Restaurantes</v>
      </c>
      <c r="C327" s="126" t="s">
        <v>20724</v>
      </c>
      <c r="D327" s="51"/>
      <c r="E327" s="865">
        <v>6.5</v>
      </c>
    </row>
    <row r="328" spans="1:5">
      <c r="A328" s="864">
        <v>39414</v>
      </c>
      <c r="B328" s="125" t="str">
        <f>TiposLancamentos!B20</f>
        <v>Saques</v>
      </c>
      <c r="C328" s="126" t="s">
        <v>2668</v>
      </c>
      <c r="D328" s="51"/>
      <c r="E328" s="865">
        <v>30</v>
      </c>
    </row>
    <row r="329" spans="1:5">
      <c r="A329" s="864">
        <v>39414</v>
      </c>
      <c r="B329" s="125" t="str">
        <f>TiposLancamentos!B19</f>
        <v>Restaurantes</v>
      </c>
      <c r="C329" s="126" t="s">
        <v>3933</v>
      </c>
      <c r="D329" s="51"/>
      <c r="E329" s="865">
        <v>27.46</v>
      </c>
    </row>
    <row r="330" spans="1:5">
      <c r="A330" s="864">
        <v>39415</v>
      </c>
      <c r="B330" s="125" t="str">
        <f>TiposLancamentos!B22</f>
        <v>Combustivel</v>
      </c>
      <c r="C330" s="126" t="s">
        <v>20648</v>
      </c>
      <c r="D330" s="51"/>
      <c r="E330" s="865">
        <v>50</v>
      </c>
    </row>
    <row r="331" spans="1:5">
      <c r="A331" s="864">
        <v>39415</v>
      </c>
      <c r="B331" s="125" t="str">
        <f>TiposLancamentos!B77</f>
        <v>Esporádico</v>
      </c>
      <c r="C331" s="126" t="s">
        <v>20725</v>
      </c>
      <c r="D331" s="51"/>
      <c r="E331" s="865">
        <v>25.33</v>
      </c>
    </row>
    <row r="332" spans="1:5">
      <c r="A332" s="864">
        <v>39416</v>
      </c>
      <c r="B332" s="125" t="str">
        <f>TiposLancamentos!B95</f>
        <v>Salarios</v>
      </c>
      <c r="C332" s="126" t="s">
        <v>4939</v>
      </c>
      <c r="D332" s="51">
        <v>1515.59</v>
      </c>
      <c r="E332" s="865"/>
    </row>
    <row r="333" spans="1:5">
      <c r="A333" s="864">
        <v>39416</v>
      </c>
      <c r="B333" s="125" t="str">
        <f>TiposLancamentos!B59</f>
        <v>Documentos</v>
      </c>
      <c r="C333" s="126" t="s">
        <v>20726</v>
      </c>
      <c r="D333" s="51"/>
      <c r="E333" s="865">
        <v>220</v>
      </c>
    </row>
    <row r="334" spans="1:5" ht="14.25" thickBot="1">
      <c r="A334" s="864">
        <v>39416</v>
      </c>
      <c r="B334" s="125" t="str">
        <f>TiposLancamentos!B19</f>
        <v>Restaurantes</v>
      </c>
      <c r="C334" s="126" t="s">
        <v>20727</v>
      </c>
      <c r="D334" s="51"/>
      <c r="E334" s="865">
        <v>26.2</v>
      </c>
    </row>
    <row r="335" spans="1:5" ht="14.25" thickBot="1">
      <c r="A335" s="995"/>
      <c r="B335" s="989"/>
      <c r="C335" s="990" t="s">
        <v>5582</v>
      </c>
      <c r="D335" s="991"/>
      <c r="E335" s="994"/>
    </row>
    <row r="336" spans="1:5">
      <c r="A336" s="864">
        <v>39417</v>
      </c>
      <c r="B336" s="125" t="str">
        <f>TiposLancamentos!B60</f>
        <v>Correio</v>
      </c>
      <c r="C336" s="126" t="s">
        <v>20728</v>
      </c>
      <c r="D336" s="51"/>
      <c r="E336" s="865">
        <v>28.5</v>
      </c>
    </row>
    <row r="337" spans="1:5">
      <c r="A337" s="864">
        <v>39419</v>
      </c>
      <c r="B337" s="125" t="str">
        <f>TiposLancamentos!B2</f>
        <v>Telefonia</v>
      </c>
      <c r="C337" s="126" t="s">
        <v>5410</v>
      </c>
      <c r="D337" s="51"/>
      <c r="E337" s="865">
        <v>38.21</v>
      </c>
    </row>
    <row r="338" spans="1:5">
      <c r="A338" s="864">
        <v>39419</v>
      </c>
      <c r="B338" s="125" t="str">
        <f>TiposLancamentos!B3</f>
        <v>Internet</v>
      </c>
      <c r="C338" s="126" t="s">
        <v>4987</v>
      </c>
      <c r="D338" s="51"/>
      <c r="E338" s="865">
        <v>89.9</v>
      </c>
    </row>
    <row r="339" spans="1:5">
      <c r="A339" s="864">
        <v>39419</v>
      </c>
      <c r="B339" s="125" t="str">
        <f>TiposLancamentos!B15</f>
        <v>Cartões de Crédito</v>
      </c>
      <c r="C339" s="126" t="s">
        <v>20597</v>
      </c>
      <c r="D339" s="51"/>
      <c r="E339" s="865">
        <v>770.46</v>
      </c>
    </row>
    <row r="340" spans="1:5">
      <c r="A340" s="864">
        <v>39419</v>
      </c>
      <c r="B340" s="125" t="str">
        <f>TiposLancamentos!B15</f>
        <v>Cartões de Crédito</v>
      </c>
      <c r="C340" s="126" t="s">
        <v>7161</v>
      </c>
      <c r="D340" s="51"/>
      <c r="E340" s="865">
        <v>564.38</v>
      </c>
    </row>
    <row r="341" spans="1:5">
      <c r="A341" s="864">
        <v>39419</v>
      </c>
      <c r="B341" s="125" t="str">
        <f>TiposLancamentos!B15</f>
        <v>Cartões de Crédito</v>
      </c>
      <c r="C341" s="126" t="s">
        <v>20729</v>
      </c>
      <c r="D341" s="51"/>
      <c r="E341" s="865">
        <v>218.14</v>
      </c>
    </row>
    <row r="342" spans="1:5">
      <c r="A342" s="864">
        <v>39419</v>
      </c>
      <c r="B342" s="125" t="str">
        <f>TiposLancamentos!B20</f>
        <v>Saques</v>
      </c>
      <c r="C342" s="126" t="s">
        <v>20730</v>
      </c>
      <c r="D342" s="51"/>
      <c r="E342" s="865">
        <v>60</v>
      </c>
    </row>
    <row r="343" spans="1:5">
      <c r="A343" s="864">
        <v>39419</v>
      </c>
      <c r="B343" s="125" t="str">
        <f>TiposLancamentos!B4</f>
        <v>Taxas Bancarias</v>
      </c>
      <c r="C343" s="126" t="s">
        <v>20731</v>
      </c>
      <c r="D343" s="51"/>
      <c r="E343" s="865">
        <v>0.49</v>
      </c>
    </row>
    <row r="344" spans="1:5">
      <c r="A344" s="864">
        <v>39420</v>
      </c>
      <c r="B344" s="125" t="str">
        <f>TiposLancamentos!B4</f>
        <v>Taxas Bancarias</v>
      </c>
      <c r="C344" s="126" t="s">
        <v>4853</v>
      </c>
      <c r="D344" s="51"/>
      <c r="E344" s="865">
        <v>5.76</v>
      </c>
    </row>
    <row r="345" spans="1:5">
      <c r="A345" s="864">
        <v>39421</v>
      </c>
      <c r="B345" s="125" t="str">
        <f>TiposLancamentos!B6</f>
        <v>Energia Eletrica</v>
      </c>
      <c r="C345" s="126" t="s">
        <v>20732</v>
      </c>
      <c r="D345" s="51"/>
      <c r="E345" s="865">
        <v>77.760000000000005</v>
      </c>
    </row>
    <row r="346" spans="1:5">
      <c r="A346" s="864">
        <v>39421</v>
      </c>
      <c r="B346" s="125" t="str">
        <f>TiposLancamentos!B5</f>
        <v>Supermercado</v>
      </c>
      <c r="C346" s="126" t="s">
        <v>20733</v>
      </c>
      <c r="D346" s="51"/>
      <c r="E346" s="865">
        <v>4.5</v>
      </c>
    </row>
    <row r="347" spans="1:5">
      <c r="A347" s="864">
        <v>39421</v>
      </c>
      <c r="B347" s="125" t="str">
        <f>TiposLancamentos!B5</f>
        <v>Supermercado</v>
      </c>
      <c r="C347" s="126" t="s">
        <v>20734</v>
      </c>
      <c r="D347" s="51"/>
      <c r="E347" s="865">
        <v>42.16</v>
      </c>
    </row>
    <row r="348" spans="1:5">
      <c r="A348" s="864">
        <v>39421</v>
      </c>
      <c r="B348" s="125" t="str">
        <f>TiposLancamentos!B56</f>
        <v>Farmácia</v>
      </c>
      <c r="C348" s="126" t="s">
        <v>3420</v>
      </c>
      <c r="D348" s="51"/>
      <c r="E348" s="865">
        <v>75.64</v>
      </c>
    </row>
    <row r="349" spans="1:5">
      <c r="A349" s="864">
        <v>39424</v>
      </c>
      <c r="B349" s="125" t="str">
        <f>TiposLancamentos!B103</f>
        <v>Juros_Corr. Poupança</v>
      </c>
      <c r="C349" s="126" t="s">
        <v>20569</v>
      </c>
      <c r="D349" s="51">
        <v>2.5</v>
      </c>
      <c r="E349" s="865"/>
    </row>
    <row r="350" spans="1:5">
      <c r="A350" s="864">
        <v>39424</v>
      </c>
      <c r="B350" s="125" t="str">
        <f>TiposLancamentos!B103</f>
        <v>Juros_Corr. Poupança</v>
      </c>
      <c r="C350" s="126" t="s">
        <v>20570</v>
      </c>
      <c r="D350" s="51">
        <v>0.38</v>
      </c>
      <c r="E350" s="865"/>
    </row>
    <row r="351" spans="1:5">
      <c r="A351" s="864">
        <v>39425</v>
      </c>
      <c r="B351" s="125" t="str">
        <f>TiposLancamentos!B5</f>
        <v>Supermercado</v>
      </c>
      <c r="C351" s="126" t="s">
        <v>20735</v>
      </c>
      <c r="D351" s="51"/>
      <c r="E351" s="865">
        <v>6.7</v>
      </c>
    </row>
    <row r="352" spans="1:5">
      <c r="A352" s="864">
        <v>39425</v>
      </c>
      <c r="B352" s="125" t="str">
        <f>TiposLancamentos!B5</f>
        <v>Supermercado</v>
      </c>
      <c r="C352" s="126" t="s">
        <v>20736</v>
      </c>
      <c r="D352" s="51"/>
      <c r="E352" s="865">
        <v>37.4</v>
      </c>
    </row>
    <row r="353" spans="1:5">
      <c r="A353" s="864">
        <v>39425</v>
      </c>
      <c r="B353" s="125" t="str">
        <f>TiposLancamentos!B36</f>
        <v>Playstation 2</v>
      </c>
      <c r="C353" s="126" t="s">
        <v>20737</v>
      </c>
      <c r="D353" s="51"/>
      <c r="E353" s="865">
        <v>67</v>
      </c>
    </row>
    <row r="354" spans="1:5">
      <c r="A354" s="864">
        <v>39426</v>
      </c>
      <c r="B354" s="125" t="str">
        <f>TiposLancamentos!B35</f>
        <v>Tv à Cabo</v>
      </c>
      <c r="C354" s="126" t="s">
        <v>20738</v>
      </c>
      <c r="D354" s="51"/>
      <c r="E354" s="865">
        <v>102.8</v>
      </c>
    </row>
    <row r="355" spans="1:5">
      <c r="A355" s="864">
        <v>39428</v>
      </c>
      <c r="B355" s="125" t="str">
        <f>TiposLancamentos!B4</f>
        <v>Taxas Bancarias</v>
      </c>
      <c r="C355" s="126" t="s">
        <v>4853</v>
      </c>
      <c r="D355" s="51"/>
      <c r="E355" s="865">
        <v>8.2200000000000006</v>
      </c>
    </row>
    <row r="356" spans="1:5">
      <c r="A356" s="864">
        <v>39430</v>
      </c>
      <c r="B356" s="125" t="str">
        <f>TiposLancamentos!B95</f>
        <v>Salarios</v>
      </c>
      <c r="C356" s="126" t="s">
        <v>4916</v>
      </c>
      <c r="D356" s="51">
        <v>1689.1</v>
      </c>
      <c r="E356" s="865"/>
    </row>
    <row r="357" spans="1:5">
      <c r="A357" s="864">
        <v>39430</v>
      </c>
      <c r="B357" s="125" t="str">
        <f>TiposLancamentos!B95</f>
        <v>Salarios</v>
      </c>
      <c r="C357" s="126" t="s">
        <v>5355</v>
      </c>
      <c r="D357" s="51">
        <v>2302.7800000000002</v>
      </c>
      <c r="E357" s="865"/>
    </row>
    <row r="358" spans="1:5">
      <c r="A358" s="864">
        <v>39430</v>
      </c>
      <c r="B358" s="125" t="str">
        <f>TiposLancamentos!B5</f>
        <v>Supermercado</v>
      </c>
      <c r="C358" s="126" t="s">
        <v>20739</v>
      </c>
      <c r="D358" s="51"/>
      <c r="E358" s="865">
        <v>42.16</v>
      </c>
    </row>
    <row r="359" spans="1:5">
      <c r="A359" s="864">
        <v>39430</v>
      </c>
      <c r="B359" s="125" t="str">
        <f>TiposLancamentos!B19</f>
        <v>Restaurantes</v>
      </c>
      <c r="C359" s="126" t="s">
        <v>20740</v>
      </c>
      <c r="D359" s="51"/>
      <c r="E359" s="865">
        <v>26.35</v>
      </c>
    </row>
    <row r="360" spans="1:5">
      <c r="A360" s="864">
        <v>39431</v>
      </c>
      <c r="B360" s="125" t="str">
        <f>TiposLancamentos!B19</f>
        <v>Restaurantes</v>
      </c>
      <c r="C360" s="126" t="s">
        <v>20741</v>
      </c>
      <c r="D360" s="51"/>
      <c r="E360" s="865">
        <v>37.92</v>
      </c>
    </row>
    <row r="361" spans="1:5">
      <c r="A361" s="864">
        <v>39432</v>
      </c>
      <c r="B361" s="125" t="str">
        <f>TiposLancamentos!B5</f>
        <v>Supermercado</v>
      </c>
      <c r="C361" s="126" t="s">
        <v>20742</v>
      </c>
      <c r="D361" s="51"/>
      <c r="E361" s="865">
        <v>207.69</v>
      </c>
    </row>
    <row r="362" spans="1:5">
      <c r="A362" s="864">
        <v>39432</v>
      </c>
      <c r="B362" s="125" t="str">
        <f>TiposLancamentos!B56</f>
        <v>Farmácia</v>
      </c>
      <c r="C362" s="126" t="s">
        <v>3420</v>
      </c>
      <c r="D362" s="51"/>
      <c r="E362" s="865">
        <v>34.909999999999997</v>
      </c>
    </row>
    <row r="363" spans="1:5">
      <c r="A363" s="864">
        <v>39432</v>
      </c>
      <c r="B363" s="125" t="str">
        <f>TiposLancamentos!B13</f>
        <v>Moradia</v>
      </c>
      <c r="C363" s="126" t="s">
        <v>20743</v>
      </c>
      <c r="D363" s="51"/>
      <c r="E363" s="865">
        <f>2*19.9</f>
        <v>39.799999999999997</v>
      </c>
    </row>
    <row r="364" spans="1:5">
      <c r="A364" s="864">
        <v>39432</v>
      </c>
      <c r="B364" s="125" t="str">
        <f>TiposLancamentos!B71</f>
        <v>Itens Pessoais</v>
      </c>
      <c r="C364" s="126" t="s">
        <v>20744</v>
      </c>
      <c r="D364" s="51"/>
      <c r="E364" s="865">
        <v>149.9</v>
      </c>
    </row>
    <row r="365" spans="1:5">
      <c r="A365" s="864">
        <v>39432</v>
      </c>
      <c r="B365" s="125" t="str">
        <f>TiposLancamentos!B19</f>
        <v>Restaurantes</v>
      </c>
      <c r="C365" s="126" t="s">
        <v>6493</v>
      </c>
      <c r="D365" s="51"/>
      <c r="E365" s="865">
        <v>27.5</v>
      </c>
    </row>
    <row r="366" spans="1:5">
      <c r="A366" s="864">
        <v>39433</v>
      </c>
      <c r="B366" s="125" t="str">
        <f>TiposLancamentos!B24</f>
        <v>Estacionamentos</v>
      </c>
      <c r="C366" s="126" t="s">
        <v>5392</v>
      </c>
      <c r="D366" s="51"/>
      <c r="E366" s="865">
        <v>33</v>
      </c>
    </row>
    <row r="367" spans="1:5">
      <c r="A367" s="961">
        <v>39433</v>
      </c>
      <c r="B367" s="817" t="str">
        <f>TiposLancamentos!B8</f>
        <v>Aluguel</v>
      </c>
      <c r="C367" s="962" t="s">
        <v>20745</v>
      </c>
      <c r="D367" s="809"/>
      <c r="E367" s="965">
        <v>804.8</v>
      </c>
    </row>
    <row r="368" spans="1:5">
      <c r="A368" s="963">
        <v>39433</v>
      </c>
      <c r="B368" s="818" t="str">
        <f>TiposLancamentos!B9</f>
        <v>Condominio</v>
      </c>
      <c r="C368" s="964" t="s">
        <v>20746</v>
      </c>
      <c r="D368" s="813"/>
      <c r="E368" s="966">
        <f>1011.63-E367</f>
        <v>206.83000000000004</v>
      </c>
    </row>
    <row r="369" spans="1:5">
      <c r="A369" s="864">
        <v>39433</v>
      </c>
      <c r="B369" s="125" t="str">
        <f>TiposLancamentos!B20</f>
        <v>Saques</v>
      </c>
      <c r="C369" s="126" t="s">
        <v>5243</v>
      </c>
      <c r="D369" s="51"/>
      <c r="E369" s="865">
        <v>20</v>
      </c>
    </row>
    <row r="370" spans="1:5">
      <c r="A370" s="864">
        <v>39433</v>
      </c>
      <c r="B370" s="125" t="str">
        <f>TiposLancamentos!B91</f>
        <v>PSP Slim 2000</v>
      </c>
      <c r="C370" s="126" t="s">
        <v>20747</v>
      </c>
      <c r="D370" s="51"/>
      <c r="E370" s="865">
        <v>114.98</v>
      </c>
    </row>
    <row r="371" spans="1:5">
      <c r="A371" s="864">
        <v>39433</v>
      </c>
      <c r="B371" s="125" t="str">
        <f>TiposLancamentos!B73</f>
        <v>Cursos</v>
      </c>
      <c r="C371" s="126" t="s">
        <v>20748</v>
      </c>
      <c r="D371" s="51"/>
      <c r="E371" s="865">
        <v>48</v>
      </c>
    </row>
    <row r="372" spans="1:5">
      <c r="A372" s="864">
        <v>39434</v>
      </c>
      <c r="B372" s="125" t="str">
        <f>TiposLancamentos!B73</f>
        <v>Cursos</v>
      </c>
      <c r="C372" s="126" t="s">
        <v>20749</v>
      </c>
      <c r="D372" s="51"/>
      <c r="E372" s="865">
        <v>34.99</v>
      </c>
    </row>
    <row r="373" spans="1:5">
      <c r="A373" s="864">
        <v>39434</v>
      </c>
      <c r="B373" s="125" t="str">
        <f>TiposLancamentos!B19</f>
        <v>Restaurantes</v>
      </c>
      <c r="C373" s="126" t="s">
        <v>20750</v>
      </c>
      <c r="D373" s="51"/>
      <c r="E373" s="865">
        <v>11.5</v>
      </c>
    </row>
    <row r="374" spans="1:5">
      <c r="A374" s="864">
        <v>39434</v>
      </c>
      <c r="B374" s="125" t="str">
        <f>TiposLancamentos!B17</f>
        <v>GATO</v>
      </c>
      <c r="C374" s="126" t="s">
        <v>20642</v>
      </c>
      <c r="D374" s="51"/>
      <c r="E374" s="865">
        <v>50.95</v>
      </c>
    </row>
    <row r="375" spans="1:5">
      <c r="A375" s="961">
        <v>39435</v>
      </c>
      <c r="B375" s="817" t="str">
        <f>TiposLancamentos!B22</f>
        <v>Combustivel</v>
      </c>
      <c r="C375" s="962" t="s">
        <v>20555</v>
      </c>
      <c r="D375" s="809"/>
      <c r="E375" s="965">
        <v>60</v>
      </c>
    </row>
    <row r="376" spans="1:5">
      <c r="A376" s="963">
        <v>39435</v>
      </c>
      <c r="B376" s="818" t="str">
        <f>TiposLancamentos!B18</f>
        <v>Alimentacao</v>
      </c>
      <c r="C376" s="964" t="s">
        <v>20751</v>
      </c>
      <c r="D376" s="813"/>
      <c r="E376" s="966">
        <v>1.9</v>
      </c>
    </row>
    <row r="377" spans="1:5">
      <c r="A377" s="864">
        <v>39436</v>
      </c>
      <c r="B377" s="125" t="str">
        <f>TiposLancamentos!B56</f>
        <v>Farmácia</v>
      </c>
      <c r="C377" s="126" t="s">
        <v>20752</v>
      </c>
      <c r="D377" s="51"/>
      <c r="E377" s="865">
        <v>60.63</v>
      </c>
    </row>
    <row r="378" spans="1:5">
      <c r="A378" s="864">
        <v>39436</v>
      </c>
      <c r="B378" s="125" t="str">
        <f>TiposLancamentos!B19</f>
        <v>Restaurantes</v>
      </c>
      <c r="C378" s="126" t="s">
        <v>20753</v>
      </c>
      <c r="D378" s="51"/>
      <c r="E378" s="865">
        <v>65.84</v>
      </c>
    </row>
    <row r="379" spans="1:5">
      <c r="A379" s="864">
        <v>39437</v>
      </c>
      <c r="B379" s="125" t="str">
        <f>TiposLancamentos!B31</f>
        <v>Action Figures</v>
      </c>
      <c r="C379" s="126" t="s">
        <v>20754</v>
      </c>
      <c r="D379" s="51"/>
      <c r="E379" s="865">
        <v>336</v>
      </c>
    </row>
    <row r="380" spans="1:5">
      <c r="A380" s="864">
        <v>39437</v>
      </c>
      <c r="B380" s="125" t="str">
        <f>TiposLancamentos!B95</f>
        <v>Salarios</v>
      </c>
      <c r="C380" s="126" t="s">
        <v>4938</v>
      </c>
      <c r="D380" s="51">
        <v>5384.56</v>
      </c>
      <c r="E380" s="865"/>
    </row>
    <row r="381" spans="1:5">
      <c r="A381" s="864">
        <v>39437</v>
      </c>
      <c r="B381" s="125" t="str">
        <f>TiposLancamentos!B20</f>
        <v>Saques</v>
      </c>
      <c r="C381" s="126" t="s">
        <v>1706</v>
      </c>
      <c r="D381" s="51"/>
      <c r="E381" s="865">
        <v>50</v>
      </c>
    </row>
    <row r="382" spans="1:5">
      <c r="A382" s="864">
        <v>39438</v>
      </c>
      <c r="B382" s="125" t="str">
        <f>TiposLancamentos!B56</f>
        <v>Farmácia</v>
      </c>
      <c r="C382" s="126" t="s">
        <v>20625</v>
      </c>
      <c r="D382" s="51"/>
      <c r="E382" s="865">
        <v>102.66</v>
      </c>
    </row>
    <row r="383" spans="1:5">
      <c r="A383" s="864">
        <v>39438</v>
      </c>
      <c r="B383" s="125" t="str">
        <f>TiposLancamentos!B16</f>
        <v>Cristiane</v>
      </c>
      <c r="C383" s="126" t="s">
        <v>16412</v>
      </c>
      <c r="D383" s="51"/>
      <c r="E383" s="865">
        <v>55</v>
      </c>
    </row>
    <row r="384" spans="1:5">
      <c r="A384" s="864">
        <v>39439</v>
      </c>
      <c r="B384" s="125" t="str">
        <f>TiposLancamentos!B5</f>
        <v>Supermercado</v>
      </c>
      <c r="C384" s="126" t="s">
        <v>20755</v>
      </c>
      <c r="D384" s="51"/>
      <c r="E384" s="865">
        <v>36.75</v>
      </c>
    </row>
    <row r="385" spans="1:5">
      <c r="A385" s="864">
        <v>39439</v>
      </c>
      <c r="B385" s="125" t="str">
        <f>TiposLancamentos!B5</f>
        <v>Supermercado</v>
      </c>
      <c r="C385" s="126" t="s">
        <v>20756</v>
      </c>
      <c r="D385" s="51"/>
      <c r="E385" s="865">
        <v>19</v>
      </c>
    </row>
    <row r="386" spans="1:5">
      <c r="A386" s="864">
        <v>39440</v>
      </c>
      <c r="B386" s="125" t="str">
        <f>TiposLancamentos!B72</f>
        <v>Presentes</v>
      </c>
      <c r="C386" s="126" t="s">
        <v>20757</v>
      </c>
      <c r="D386" s="51"/>
      <c r="E386" s="865">
        <v>89.9</v>
      </c>
    </row>
    <row r="387" spans="1:5">
      <c r="A387" s="864">
        <v>39440</v>
      </c>
      <c r="B387" s="125" t="str">
        <f>TiposLancamentos!B72</f>
        <v>Presentes</v>
      </c>
      <c r="C387" s="126" t="s">
        <v>20758</v>
      </c>
      <c r="D387" s="51"/>
      <c r="E387" s="865">
        <v>136</v>
      </c>
    </row>
    <row r="388" spans="1:5">
      <c r="A388" s="864">
        <v>39440</v>
      </c>
      <c r="B388" s="125" t="str">
        <f>TiposLancamentos!B72</f>
        <v>Presentes</v>
      </c>
      <c r="C388" s="126" t="s">
        <v>20759</v>
      </c>
      <c r="D388" s="51"/>
      <c r="E388" s="865">
        <v>149</v>
      </c>
    </row>
    <row r="389" spans="1:5">
      <c r="A389" s="864">
        <v>39440</v>
      </c>
      <c r="B389" s="125" t="str">
        <f>TiposLancamentos!B4</f>
        <v>Taxas Bancarias</v>
      </c>
      <c r="C389" s="126" t="s">
        <v>5065</v>
      </c>
      <c r="D389" s="51"/>
      <c r="E389" s="865">
        <v>7.83</v>
      </c>
    </row>
    <row r="390" spans="1:5">
      <c r="A390" s="864">
        <v>39442</v>
      </c>
      <c r="B390" s="125" t="str">
        <f>TiposLancamentos!B50</f>
        <v>Guitarra</v>
      </c>
      <c r="C390" s="126" t="s">
        <v>20760</v>
      </c>
      <c r="D390" s="51"/>
      <c r="E390" s="865">
        <v>1380</v>
      </c>
    </row>
    <row r="391" spans="1:5">
      <c r="A391" s="864">
        <v>39443</v>
      </c>
      <c r="B391" s="125" t="str">
        <f>TiposLancamentos!B73</f>
        <v>Cursos</v>
      </c>
      <c r="C391" s="126" t="s">
        <v>20761</v>
      </c>
      <c r="D391" s="51"/>
      <c r="E391" s="865">
        <v>95</v>
      </c>
    </row>
    <row r="392" spans="1:5">
      <c r="A392" s="864">
        <v>39443</v>
      </c>
      <c r="B392" s="125" t="str">
        <f>TiposLancamentos!B56</f>
        <v>Farmácia</v>
      </c>
      <c r="C392" s="126" t="s">
        <v>20762</v>
      </c>
      <c r="D392" s="51"/>
      <c r="E392" s="865">
        <v>66.959999999999994</v>
      </c>
    </row>
    <row r="393" spans="1:5">
      <c r="A393" s="864">
        <v>39444</v>
      </c>
      <c r="B393" s="125" t="str">
        <f>TiposLancamentos!B56</f>
        <v>Farmácia</v>
      </c>
      <c r="C393" s="126" t="s">
        <v>20763</v>
      </c>
      <c r="D393" s="51"/>
      <c r="E393" s="865">
        <v>15.6</v>
      </c>
    </row>
    <row r="394" spans="1:5">
      <c r="A394" s="864">
        <v>39444</v>
      </c>
      <c r="B394" s="125" t="str">
        <f>TiposLancamentos!B95</f>
        <v>Salarios</v>
      </c>
      <c r="C394" s="126" t="s">
        <v>4939</v>
      </c>
      <c r="D394" s="51">
        <v>5618.19</v>
      </c>
      <c r="E394" s="865"/>
    </row>
    <row r="395" spans="1:5">
      <c r="A395" s="864">
        <v>39444</v>
      </c>
      <c r="B395" s="125" t="str">
        <f>TiposLancamentos!B20</f>
        <v>Saques</v>
      </c>
      <c r="C395" s="126" t="s">
        <v>1706</v>
      </c>
      <c r="D395" s="51"/>
      <c r="E395" s="865">
        <v>60</v>
      </c>
    </row>
    <row r="396" spans="1:5">
      <c r="A396" s="961">
        <v>39444</v>
      </c>
      <c r="B396" s="817" t="str">
        <f>TiposLancamentos!B27</f>
        <v>Jornais e revistas</v>
      </c>
      <c r="C396" s="962" t="s">
        <v>20764</v>
      </c>
      <c r="D396" s="809"/>
      <c r="E396" s="965">
        <v>6.9</v>
      </c>
    </row>
    <row r="397" spans="1:5">
      <c r="A397" s="963">
        <v>39444</v>
      </c>
      <c r="B397" s="818" t="str">
        <f>TiposLancamentos!B19</f>
        <v>Restaurantes</v>
      </c>
      <c r="C397" s="964" t="s">
        <v>20765</v>
      </c>
      <c r="D397" s="813"/>
      <c r="E397" s="966">
        <f>55.11-E396</f>
        <v>48.21</v>
      </c>
    </row>
    <row r="398" spans="1:5">
      <c r="A398" s="864">
        <v>39445</v>
      </c>
      <c r="B398" s="125" t="str">
        <f>TiposLancamentos!B19</f>
        <v>Restaurantes</v>
      </c>
      <c r="C398" s="126" t="s">
        <v>3287</v>
      </c>
      <c r="D398" s="51"/>
      <c r="E398" s="865">
        <v>34.979999999999997</v>
      </c>
    </row>
    <row r="399" spans="1:5">
      <c r="A399" s="864">
        <v>39445</v>
      </c>
      <c r="B399" s="125" t="str">
        <f>TiposLancamentos!B62</f>
        <v>Papelaria</v>
      </c>
      <c r="C399" s="126" t="s">
        <v>20766</v>
      </c>
      <c r="D399" s="51"/>
      <c r="E399" s="865">
        <v>50.12</v>
      </c>
    </row>
    <row r="400" spans="1:5">
      <c r="A400" s="864">
        <v>39445</v>
      </c>
      <c r="B400" s="125" t="str">
        <f>TiposLancamentos!B16</f>
        <v>Cristiane</v>
      </c>
      <c r="C400" s="126" t="s">
        <v>20767</v>
      </c>
      <c r="D400" s="51"/>
      <c r="E400" s="865">
        <v>49.99</v>
      </c>
    </row>
    <row r="401" spans="1:5">
      <c r="A401" s="864">
        <v>39445</v>
      </c>
      <c r="B401" s="125" t="str">
        <f>TiposLancamentos!B16</f>
        <v>Cristiane</v>
      </c>
      <c r="C401" s="126" t="s">
        <v>20768</v>
      </c>
      <c r="D401" s="51"/>
      <c r="E401" s="865">
        <v>54.6</v>
      </c>
    </row>
    <row r="402" spans="1:5" ht="14.25" thickBot="1">
      <c r="A402" s="864">
        <v>39447</v>
      </c>
      <c r="B402" s="125" t="str">
        <f>TiposLancamentos!B73</f>
        <v>Cursos</v>
      </c>
      <c r="C402" s="126" t="s">
        <v>20769</v>
      </c>
      <c r="D402" s="51"/>
      <c r="E402" s="865">
        <v>14.99</v>
      </c>
    </row>
    <row r="403" spans="1:5" ht="14.25" thickBot="1">
      <c r="A403" s="995"/>
      <c r="B403" s="989"/>
      <c r="C403" s="990" t="s">
        <v>5583</v>
      </c>
      <c r="D403" s="991"/>
      <c r="E403" s="994"/>
    </row>
    <row r="404" spans="1:5">
      <c r="A404" s="864">
        <v>39449</v>
      </c>
      <c r="B404" s="125" t="str">
        <f>TiposLancamentos!B15</f>
        <v>Cartões de Crédito</v>
      </c>
      <c r="C404" s="126" t="s">
        <v>5558</v>
      </c>
      <c r="D404" s="51"/>
      <c r="E404" s="865">
        <v>344.8</v>
      </c>
    </row>
    <row r="405" spans="1:5">
      <c r="A405" s="864">
        <v>39449</v>
      </c>
      <c r="B405" s="125" t="str">
        <f>TiposLancamentos!B15</f>
        <v>Cartões de Crédito</v>
      </c>
      <c r="C405" s="126" t="s">
        <v>5700</v>
      </c>
      <c r="D405" s="51"/>
      <c r="E405" s="865">
        <v>358.76</v>
      </c>
    </row>
    <row r="406" spans="1:5">
      <c r="A406" s="864">
        <v>39449</v>
      </c>
      <c r="B406" s="125" t="str">
        <f>TiposLancamentos!B15</f>
        <v>Cartões de Crédito</v>
      </c>
      <c r="C406" s="126" t="s">
        <v>20597</v>
      </c>
      <c r="D406" s="51"/>
      <c r="E406" s="865">
        <v>743.76</v>
      </c>
    </row>
    <row r="407" spans="1:5">
      <c r="A407" s="864">
        <v>39449</v>
      </c>
      <c r="B407" s="125" t="str">
        <f>TiposLancamentos!B2</f>
        <v>Telefonia</v>
      </c>
      <c r="C407" s="126" t="s">
        <v>20770</v>
      </c>
      <c r="D407" s="51"/>
      <c r="E407" s="865">
        <v>38.090000000000003</v>
      </c>
    </row>
    <row r="408" spans="1:5">
      <c r="A408" s="864">
        <v>39449</v>
      </c>
      <c r="B408" s="125" t="str">
        <f>TiposLancamentos!B3</f>
        <v>Internet</v>
      </c>
      <c r="C408" s="126" t="s">
        <v>4987</v>
      </c>
      <c r="D408" s="51"/>
      <c r="E408" s="865">
        <v>89.9</v>
      </c>
    </row>
    <row r="409" spans="1:5">
      <c r="A409" s="864">
        <v>39449</v>
      </c>
      <c r="B409" s="125" t="str">
        <f>TiposLancamentos!B105</f>
        <v>Transf. Bco</v>
      </c>
      <c r="C409" s="126" t="s">
        <v>20771</v>
      </c>
      <c r="D409" s="51"/>
      <c r="E409" s="865">
        <v>10</v>
      </c>
    </row>
    <row r="410" spans="1:5">
      <c r="A410" s="864">
        <v>39449</v>
      </c>
      <c r="B410" s="125" t="str">
        <f>TiposLancamentos!B19</f>
        <v>Restaurantes</v>
      </c>
      <c r="C410" s="126" t="s">
        <v>20772</v>
      </c>
      <c r="D410" s="51"/>
      <c r="E410" s="865">
        <v>21.63</v>
      </c>
    </row>
    <row r="411" spans="1:5">
      <c r="A411" s="864">
        <v>39449</v>
      </c>
      <c r="B411" s="125" t="str">
        <f>TiposLancamentos!B50</f>
        <v>Guitarra</v>
      </c>
      <c r="C411" s="126" t="s">
        <v>20773</v>
      </c>
      <c r="D411" s="51"/>
      <c r="E411" s="865">
        <v>13</v>
      </c>
    </row>
    <row r="412" spans="1:5">
      <c r="A412" s="864">
        <v>39449</v>
      </c>
      <c r="B412" s="125" t="str">
        <f>TiposLancamentos!B22</f>
        <v>Combustivel</v>
      </c>
      <c r="C412" s="126" t="s">
        <v>20555</v>
      </c>
      <c r="D412" s="51"/>
      <c r="E412" s="865">
        <v>60</v>
      </c>
    </row>
    <row r="413" spans="1:5">
      <c r="A413" s="864">
        <v>39449</v>
      </c>
      <c r="B413" s="125" t="str">
        <f>TiposLancamentos!B34</f>
        <v>Seguros</v>
      </c>
      <c r="C413" s="126" t="s">
        <v>20774</v>
      </c>
      <c r="D413" s="51"/>
      <c r="E413" s="865">
        <v>471.63</v>
      </c>
    </row>
    <row r="414" spans="1:5">
      <c r="A414" s="864">
        <v>39450</v>
      </c>
      <c r="B414" s="125" t="str">
        <f>TiposLancamentos!B56</f>
        <v>Farmácia</v>
      </c>
      <c r="C414" s="126" t="s">
        <v>20775</v>
      </c>
      <c r="D414" s="51"/>
      <c r="E414" s="865">
        <v>42.55</v>
      </c>
    </row>
    <row r="415" spans="1:5">
      <c r="A415" s="864">
        <v>39450</v>
      </c>
      <c r="B415" s="125" t="str">
        <f>TiposLancamentos!B4</f>
        <v>Taxas Bancarias</v>
      </c>
      <c r="C415" s="126" t="s">
        <v>4853</v>
      </c>
      <c r="D415" s="51"/>
      <c r="E415" s="865">
        <v>9.98</v>
      </c>
    </row>
    <row r="416" spans="1:5">
      <c r="A416" s="864">
        <v>39450</v>
      </c>
      <c r="B416" s="125" t="str">
        <f>TiposLancamentos!B98</f>
        <v>Restituições</v>
      </c>
      <c r="C416" s="126" t="s">
        <v>20776</v>
      </c>
      <c r="D416" s="51">
        <v>14.99</v>
      </c>
      <c r="E416" s="865"/>
    </row>
    <row r="417" spans="1:5">
      <c r="A417" s="864">
        <v>39452</v>
      </c>
      <c r="B417" s="125" t="str">
        <f>TiposLancamentos!B5</f>
        <v>Supermercado</v>
      </c>
      <c r="C417" s="126" t="s">
        <v>20777</v>
      </c>
      <c r="D417" s="51"/>
      <c r="E417" s="865">
        <v>40.950000000000003</v>
      </c>
    </row>
    <row r="418" spans="1:5">
      <c r="A418" s="864">
        <v>39453</v>
      </c>
      <c r="B418" s="125" t="str">
        <f>TiposLancamentos!B56</f>
        <v>Farmácia</v>
      </c>
      <c r="C418" s="126" t="s">
        <v>20778</v>
      </c>
      <c r="D418" s="51"/>
      <c r="E418" s="865">
        <v>52.48</v>
      </c>
    </row>
    <row r="419" spans="1:5">
      <c r="A419" s="864">
        <v>39453</v>
      </c>
      <c r="B419" s="125" t="str">
        <f>TiposLancamentos!B5</f>
        <v>Supermercado</v>
      </c>
      <c r="C419" s="126" t="s">
        <v>20779</v>
      </c>
      <c r="D419" s="51"/>
      <c r="E419" s="865">
        <v>141.19</v>
      </c>
    </row>
    <row r="420" spans="1:5">
      <c r="A420" s="864">
        <v>39454</v>
      </c>
      <c r="B420" s="125" t="str">
        <f>TiposLancamentos!B6</f>
        <v>Energia Eletrica</v>
      </c>
      <c r="C420" s="126" t="s">
        <v>5030</v>
      </c>
      <c r="D420" s="51"/>
      <c r="E420" s="865">
        <v>78.03</v>
      </c>
    </row>
    <row r="421" spans="1:5">
      <c r="A421" s="864">
        <v>39454</v>
      </c>
      <c r="B421" s="125" t="str">
        <f>TiposLancamentos!B20</f>
        <v>Saques</v>
      </c>
      <c r="C421" s="126" t="s">
        <v>2668</v>
      </c>
      <c r="D421" s="51"/>
      <c r="E421" s="865">
        <v>10</v>
      </c>
    </row>
    <row r="422" spans="1:5">
      <c r="A422" s="864">
        <v>39455</v>
      </c>
      <c r="B422" s="125" t="str">
        <f>TiposLancamentos!B103</f>
        <v>Juros_Corr. Poupança</v>
      </c>
      <c r="C422" s="126" t="s">
        <v>20780</v>
      </c>
      <c r="D422" s="51">
        <v>1.41</v>
      </c>
      <c r="E422" s="865"/>
    </row>
    <row r="423" spans="1:5">
      <c r="A423" s="864">
        <v>39455</v>
      </c>
      <c r="B423" s="125" t="str">
        <f>TiposLancamentos!B103</f>
        <v>Juros_Corr. Poupança</v>
      </c>
      <c r="C423" s="126" t="s">
        <v>20781</v>
      </c>
      <c r="D423" s="51">
        <v>0.04</v>
      </c>
      <c r="E423" s="865"/>
    </row>
    <row r="424" spans="1:5">
      <c r="A424" s="864">
        <v>39456</v>
      </c>
      <c r="B424" s="125" t="str">
        <f>TiposLancamentos!B85</f>
        <v>Peugeout 206</v>
      </c>
      <c r="C424" s="126" t="s">
        <v>20782</v>
      </c>
      <c r="D424" s="51"/>
      <c r="E424" s="865">
        <v>972.49</v>
      </c>
    </row>
    <row r="425" spans="1:5">
      <c r="A425" s="864">
        <v>39456</v>
      </c>
      <c r="B425" s="125" t="str">
        <f>TiposLancamentos!B19</f>
        <v>Restaurantes</v>
      </c>
      <c r="C425" s="126" t="s">
        <v>20783</v>
      </c>
      <c r="D425" s="51"/>
      <c r="E425" s="865">
        <v>53.75</v>
      </c>
    </row>
    <row r="426" spans="1:5">
      <c r="A426" s="864">
        <v>39457</v>
      </c>
      <c r="B426" s="125" t="str">
        <f>TiposLancamentos!B35</f>
        <v>Tv à Cabo</v>
      </c>
      <c r="C426" s="126" t="s">
        <v>20784</v>
      </c>
      <c r="D426" s="51"/>
      <c r="E426" s="865">
        <v>102.8</v>
      </c>
    </row>
    <row r="427" spans="1:5">
      <c r="A427" s="864">
        <v>39457</v>
      </c>
      <c r="B427" s="125" t="str">
        <f>TiposLancamentos!B19</f>
        <v>Restaurantes</v>
      </c>
      <c r="C427" s="126" t="s">
        <v>2618</v>
      </c>
      <c r="D427" s="51"/>
      <c r="E427" s="865">
        <v>8.1199999999999992</v>
      </c>
    </row>
    <row r="428" spans="1:5">
      <c r="A428" s="864">
        <v>39458</v>
      </c>
      <c r="B428" s="125" t="str">
        <f>TiposLancamentos!B20</f>
        <v>Saques</v>
      </c>
      <c r="C428" s="126" t="s">
        <v>2655</v>
      </c>
      <c r="D428" s="51"/>
      <c r="E428" s="865">
        <v>60</v>
      </c>
    </row>
    <row r="429" spans="1:5">
      <c r="A429" s="864">
        <v>39459</v>
      </c>
      <c r="B429" s="125" t="str">
        <f>TiposLancamentos!B27</f>
        <v>Jornais e revistas</v>
      </c>
      <c r="C429" s="126" t="s">
        <v>20785</v>
      </c>
      <c r="D429" s="51"/>
      <c r="E429" s="865">
        <v>35.1</v>
      </c>
    </row>
    <row r="430" spans="1:5">
      <c r="A430" s="864">
        <v>39459</v>
      </c>
      <c r="B430" s="125" t="str">
        <f>TiposLancamentos!B16</f>
        <v>Cristiane</v>
      </c>
      <c r="C430" s="126" t="s">
        <v>20786</v>
      </c>
      <c r="D430" s="51"/>
      <c r="E430" s="865">
        <v>218.78</v>
      </c>
    </row>
    <row r="431" spans="1:5">
      <c r="A431" s="864">
        <v>39460</v>
      </c>
      <c r="B431" s="125" t="str">
        <f>TiposLancamentos!B56</f>
        <v>Farmácia</v>
      </c>
      <c r="C431" s="126" t="s">
        <v>20787</v>
      </c>
      <c r="D431" s="51"/>
      <c r="E431" s="865">
        <v>45.69</v>
      </c>
    </row>
    <row r="432" spans="1:5">
      <c r="A432" s="864">
        <v>39460</v>
      </c>
      <c r="B432" s="125" t="str">
        <f>TiposLancamentos!B5</f>
        <v>Supermercado</v>
      </c>
      <c r="C432" s="126" t="s">
        <v>5551</v>
      </c>
      <c r="D432" s="51"/>
      <c r="E432" s="865">
        <v>53.87</v>
      </c>
    </row>
    <row r="433" spans="1:5">
      <c r="A433" s="864">
        <v>39461</v>
      </c>
      <c r="B433" s="125" t="str">
        <f>TiposLancamentos!B84</f>
        <v>Cbx Twister 250</v>
      </c>
      <c r="C433" s="126" t="s">
        <v>20788</v>
      </c>
      <c r="D433" s="51"/>
      <c r="E433" s="865">
        <v>424.22</v>
      </c>
    </row>
    <row r="434" spans="1:5">
      <c r="A434" s="864">
        <v>39461</v>
      </c>
      <c r="B434" s="125" t="str">
        <f>TiposLancamentos!B19</f>
        <v>Restaurantes</v>
      </c>
      <c r="C434" s="126" t="s">
        <v>20789</v>
      </c>
      <c r="D434" s="51"/>
      <c r="E434" s="865">
        <v>8.74</v>
      </c>
    </row>
    <row r="435" spans="1:5">
      <c r="A435" s="864">
        <v>39461</v>
      </c>
      <c r="B435" s="125" t="str">
        <f>TiposLancamentos!B22</f>
        <v>Combustivel</v>
      </c>
      <c r="C435" s="126" t="s">
        <v>20555</v>
      </c>
      <c r="D435" s="51"/>
      <c r="E435" s="865">
        <v>60</v>
      </c>
    </row>
    <row r="436" spans="1:5">
      <c r="A436" s="864">
        <v>39461</v>
      </c>
      <c r="B436" s="125" t="str">
        <f>TiposLancamentos!B103</f>
        <v>Juros_Corr. Poupança</v>
      </c>
      <c r="C436" s="126" t="s">
        <v>20569</v>
      </c>
      <c r="D436" s="51">
        <v>9.56</v>
      </c>
      <c r="E436" s="865"/>
    </row>
    <row r="437" spans="1:5">
      <c r="A437" s="864">
        <v>39461</v>
      </c>
      <c r="B437" s="125" t="str">
        <f>TiposLancamentos!B103</f>
        <v>Juros_Corr. Poupança</v>
      </c>
      <c r="C437" s="126" t="s">
        <v>20790</v>
      </c>
      <c r="D437" s="51">
        <v>0.37</v>
      </c>
      <c r="E437" s="865"/>
    </row>
    <row r="438" spans="1:5">
      <c r="A438" s="864">
        <v>39462</v>
      </c>
      <c r="B438" s="125" t="str">
        <f>TiposLancamentos!B95</f>
        <v>Salarios</v>
      </c>
      <c r="C438" s="126" t="s">
        <v>4939</v>
      </c>
      <c r="D438" s="51">
        <v>1747.9</v>
      </c>
      <c r="E438" s="865"/>
    </row>
    <row r="439" spans="1:5">
      <c r="A439" s="864">
        <v>39462</v>
      </c>
      <c r="B439" s="125" t="str">
        <f>TiposLancamentos!B24</f>
        <v>Estacionamentos</v>
      </c>
      <c r="C439" s="126" t="s">
        <v>5392</v>
      </c>
      <c r="D439" s="51"/>
      <c r="E439" s="865">
        <v>21</v>
      </c>
    </row>
    <row r="440" spans="1:5">
      <c r="A440" s="961">
        <v>39462</v>
      </c>
      <c r="B440" s="817" t="str">
        <f>TiposLancamentos!B8</f>
        <v>Aluguel</v>
      </c>
      <c r="C440" s="962" t="s">
        <v>20791</v>
      </c>
      <c r="D440" s="809"/>
      <c r="E440" s="965">
        <v>804.8</v>
      </c>
    </row>
    <row r="441" spans="1:5">
      <c r="A441" s="963">
        <v>39462</v>
      </c>
      <c r="B441" s="818" t="str">
        <f>TiposLancamentos!B9</f>
        <v>Condominio</v>
      </c>
      <c r="C441" s="964" t="s">
        <v>20792</v>
      </c>
      <c r="D441" s="813"/>
      <c r="E441" s="966">
        <f>1011.63-E440</f>
        <v>206.83000000000004</v>
      </c>
    </row>
    <row r="442" spans="1:5">
      <c r="A442" s="864">
        <v>39462</v>
      </c>
      <c r="B442" s="125" t="str">
        <f>TiposLancamentos!B19</f>
        <v>Restaurantes</v>
      </c>
      <c r="C442" s="126" t="s">
        <v>20793</v>
      </c>
      <c r="D442" s="51"/>
      <c r="E442" s="865">
        <v>11.46</v>
      </c>
    </row>
    <row r="443" spans="1:5">
      <c r="A443" s="864">
        <v>39463</v>
      </c>
      <c r="B443" s="125" t="str">
        <f>TiposLancamentos!B19</f>
        <v>Restaurantes</v>
      </c>
      <c r="C443" s="126" t="s">
        <v>20793</v>
      </c>
      <c r="D443" s="51"/>
      <c r="E443" s="865">
        <v>13.78</v>
      </c>
    </row>
    <row r="444" spans="1:5">
      <c r="A444" s="864">
        <v>39464</v>
      </c>
      <c r="B444" s="125" t="str">
        <f>TiposLancamentos!B19</f>
        <v>Restaurantes</v>
      </c>
      <c r="C444" s="126" t="s">
        <v>3287</v>
      </c>
      <c r="D444" s="51"/>
      <c r="E444" s="865">
        <v>12</v>
      </c>
    </row>
    <row r="445" spans="1:5">
      <c r="A445" s="864">
        <v>39465</v>
      </c>
      <c r="B445" s="125" t="str">
        <f>TiposLancamentos!B19</f>
        <v>Restaurantes</v>
      </c>
      <c r="C445" s="126" t="s">
        <v>20794</v>
      </c>
      <c r="D445" s="51"/>
      <c r="E445" s="865">
        <v>21.28</v>
      </c>
    </row>
    <row r="446" spans="1:5">
      <c r="A446" s="864">
        <v>39465</v>
      </c>
      <c r="B446" s="125" t="str">
        <f>TiposLancamentos!B20</f>
        <v>Saques</v>
      </c>
      <c r="C446" s="126" t="s">
        <v>2668</v>
      </c>
      <c r="D446" s="51"/>
      <c r="E446" s="865">
        <v>60</v>
      </c>
    </row>
    <row r="447" spans="1:5">
      <c r="A447" s="864">
        <v>39465</v>
      </c>
      <c r="B447" s="125" t="str">
        <f>TiposLancamentos!B19</f>
        <v>Restaurantes</v>
      </c>
      <c r="C447" s="126" t="s">
        <v>20795</v>
      </c>
      <c r="D447" s="51"/>
      <c r="E447" s="865">
        <v>35.090000000000003</v>
      </c>
    </row>
    <row r="448" spans="1:5">
      <c r="A448" s="864">
        <v>39466</v>
      </c>
      <c r="B448" s="125" t="str">
        <f>TiposLancamentos!B19</f>
        <v>Restaurantes</v>
      </c>
      <c r="C448" s="126" t="s">
        <v>20796</v>
      </c>
      <c r="D448" s="51"/>
      <c r="E448" s="865">
        <v>24.24</v>
      </c>
    </row>
    <row r="449" spans="1:5">
      <c r="A449" s="864">
        <v>39467</v>
      </c>
      <c r="B449" s="125" t="str">
        <f>TiposLancamentos!B19</f>
        <v>Restaurantes</v>
      </c>
      <c r="C449" s="126" t="s">
        <v>20797</v>
      </c>
      <c r="D449" s="51"/>
      <c r="E449" s="865">
        <v>93.78</v>
      </c>
    </row>
    <row r="450" spans="1:5">
      <c r="A450" s="864">
        <v>39468</v>
      </c>
      <c r="B450" s="125" t="str">
        <f>TiposLancamentos!B19</f>
        <v>Restaurantes</v>
      </c>
      <c r="C450" s="126" t="s">
        <v>20691</v>
      </c>
      <c r="D450" s="51"/>
      <c r="E450" s="865">
        <v>10.4</v>
      </c>
    </row>
    <row r="451" spans="1:5">
      <c r="A451" s="864">
        <v>39468</v>
      </c>
      <c r="B451" s="125" t="str">
        <f>TiposLancamentos!B103</f>
        <v>Juros_Corr. Poupança</v>
      </c>
      <c r="C451" s="126" t="s">
        <v>20569</v>
      </c>
      <c r="D451" s="51">
        <v>15.12</v>
      </c>
      <c r="E451" s="865"/>
    </row>
    <row r="452" spans="1:5">
      <c r="A452" s="864">
        <v>39468</v>
      </c>
      <c r="B452" s="125" t="str">
        <f>TiposLancamentos!B103</f>
        <v>Juros_Corr. Poupança</v>
      </c>
      <c r="C452" s="126" t="s">
        <v>20570</v>
      </c>
      <c r="D452" s="51">
        <v>1.1100000000000001</v>
      </c>
      <c r="E452" s="865"/>
    </row>
    <row r="453" spans="1:5">
      <c r="A453" s="864">
        <v>39469</v>
      </c>
      <c r="B453" s="125" t="str">
        <f>TiposLancamentos!B73</f>
        <v>Cursos</v>
      </c>
      <c r="C453" s="126" t="s">
        <v>20798</v>
      </c>
      <c r="D453" s="51"/>
      <c r="E453" s="865">
        <v>20</v>
      </c>
    </row>
    <row r="454" spans="1:5">
      <c r="A454" s="864">
        <v>39469</v>
      </c>
      <c r="B454" s="125" t="str">
        <f>TiposLancamentos!B19</f>
        <v>Restaurantes</v>
      </c>
      <c r="C454" s="126" t="s">
        <v>20799</v>
      </c>
      <c r="D454" s="51"/>
      <c r="E454" s="865">
        <v>16.21</v>
      </c>
    </row>
    <row r="455" spans="1:5">
      <c r="A455" s="864">
        <v>39470</v>
      </c>
      <c r="B455" s="125" t="str">
        <f>TiposLancamentos!B19</f>
        <v>Restaurantes</v>
      </c>
      <c r="C455" s="126" t="s">
        <v>20800</v>
      </c>
      <c r="D455" s="51"/>
      <c r="E455" s="865">
        <v>16.399999999999999</v>
      </c>
    </row>
    <row r="456" spans="1:5">
      <c r="A456" s="864">
        <v>39470</v>
      </c>
      <c r="B456" s="125" t="str">
        <f>TiposLancamentos!B19</f>
        <v>Restaurantes</v>
      </c>
      <c r="C456" s="126" t="s">
        <v>20801</v>
      </c>
      <c r="D456" s="51"/>
      <c r="E456" s="865">
        <v>5.6</v>
      </c>
    </row>
    <row r="457" spans="1:5">
      <c r="A457" s="864">
        <v>39470</v>
      </c>
      <c r="B457" s="125" t="str">
        <f>TiposLancamentos!B73</f>
        <v>Cursos</v>
      </c>
      <c r="C457" s="126" t="s">
        <v>20802</v>
      </c>
      <c r="D457" s="51"/>
      <c r="E457" s="865">
        <v>32.880000000000003</v>
      </c>
    </row>
    <row r="458" spans="1:5">
      <c r="A458" s="864">
        <v>39470</v>
      </c>
      <c r="B458" s="125" t="str">
        <f>TiposLancamentos!B50</f>
        <v>Guitarra</v>
      </c>
      <c r="C458" s="126" t="s">
        <v>20803</v>
      </c>
      <c r="D458" s="51"/>
      <c r="E458" s="865">
        <v>29</v>
      </c>
    </row>
    <row r="459" spans="1:5">
      <c r="A459" s="864">
        <v>39470</v>
      </c>
      <c r="B459" s="125" t="str">
        <f>TiposLancamentos!B19</f>
        <v>Restaurantes</v>
      </c>
      <c r="C459" s="126" t="s">
        <v>3698</v>
      </c>
      <c r="D459" s="51"/>
      <c r="E459" s="865">
        <v>24.9</v>
      </c>
    </row>
    <row r="460" spans="1:5">
      <c r="A460" s="864">
        <v>39471</v>
      </c>
      <c r="B460" s="125" t="str">
        <f>TiposLancamentos!B19</f>
        <v>Restaurantes</v>
      </c>
      <c r="C460" s="126" t="s">
        <v>20709</v>
      </c>
      <c r="D460" s="51"/>
      <c r="E460" s="865">
        <v>14.2</v>
      </c>
    </row>
    <row r="461" spans="1:5">
      <c r="A461" s="864">
        <v>39471</v>
      </c>
      <c r="B461" s="125" t="str">
        <f>TiposLancamentos!B5</f>
        <v>Supermercado</v>
      </c>
      <c r="C461" s="126" t="s">
        <v>16382</v>
      </c>
      <c r="D461" s="51"/>
      <c r="E461" s="865">
        <v>14.11</v>
      </c>
    </row>
    <row r="462" spans="1:5">
      <c r="A462" s="864">
        <v>39472</v>
      </c>
      <c r="B462" s="125" t="str">
        <f>TiposLancamentos!B19</f>
        <v>Restaurantes</v>
      </c>
      <c r="C462" s="126" t="s">
        <v>20804</v>
      </c>
      <c r="D462" s="51"/>
      <c r="E462" s="865">
        <v>29.21</v>
      </c>
    </row>
    <row r="463" spans="1:5">
      <c r="A463" s="864">
        <v>39473</v>
      </c>
      <c r="B463" s="125" t="str">
        <f>TiposLancamentos!B22</f>
        <v>Combustivel</v>
      </c>
      <c r="C463" s="126" t="s">
        <v>20805</v>
      </c>
      <c r="D463" s="51"/>
      <c r="E463" s="865">
        <v>60</v>
      </c>
    </row>
    <row r="464" spans="1:5">
      <c r="A464" s="864">
        <v>39473</v>
      </c>
      <c r="B464" s="125" t="str">
        <f>TiposLancamentos!B22</f>
        <v>Combustivel</v>
      </c>
      <c r="C464" s="126" t="s">
        <v>20806</v>
      </c>
      <c r="D464" s="51"/>
      <c r="E464" s="865">
        <v>59.78</v>
      </c>
    </row>
    <row r="465" spans="1:5">
      <c r="A465" s="864">
        <v>39473</v>
      </c>
      <c r="B465" s="125" t="str">
        <f>TiposLancamentos!B19</f>
        <v>Restaurantes</v>
      </c>
      <c r="C465" s="126" t="s">
        <v>20807</v>
      </c>
      <c r="D465" s="51"/>
      <c r="E465" s="865">
        <v>24</v>
      </c>
    </row>
    <row r="466" spans="1:5">
      <c r="A466" s="864">
        <v>39473</v>
      </c>
      <c r="B466" s="125" t="str">
        <f>TiposLancamentos!B58</f>
        <v>Fotografias</v>
      </c>
      <c r="C466" s="126" t="s">
        <v>20808</v>
      </c>
      <c r="D466" s="51"/>
      <c r="E466" s="865">
        <v>39</v>
      </c>
    </row>
    <row r="467" spans="1:5">
      <c r="A467" s="864">
        <v>39475</v>
      </c>
      <c r="B467" s="125" t="str">
        <f>TiposLancamentos!B19</f>
        <v>Restaurantes</v>
      </c>
      <c r="C467" s="126" t="s">
        <v>20809</v>
      </c>
      <c r="D467" s="51"/>
      <c r="E467" s="865">
        <v>16.399999999999999</v>
      </c>
    </row>
    <row r="468" spans="1:5">
      <c r="A468" s="864">
        <v>39475</v>
      </c>
      <c r="B468" s="125" t="str">
        <f>TiposLancamentos!B19</f>
        <v>Restaurantes</v>
      </c>
      <c r="C468" s="126" t="s">
        <v>20810</v>
      </c>
      <c r="D468" s="51"/>
      <c r="E468" s="865">
        <v>5.6</v>
      </c>
    </row>
    <row r="469" spans="1:5">
      <c r="A469" s="864">
        <v>39475</v>
      </c>
      <c r="B469" s="125" t="str">
        <f>TiposLancamentos!B71</f>
        <v>Itens Pessoais</v>
      </c>
      <c r="C469" s="126" t="s">
        <v>20811</v>
      </c>
      <c r="D469" s="51"/>
      <c r="E469" s="865">
        <v>82</v>
      </c>
    </row>
    <row r="470" spans="1:5">
      <c r="A470" s="864">
        <v>39475</v>
      </c>
      <c r="B470" s="125" t="str">
        <f>TiposLancamentos!B103</f>
        <v>Juros_Corr. Poupança</v>
      </c>
      <c r="C470" s="126" t="s">
        <v>20812</v>
      </c>
      <c r="D470" s="51">
        <v>8.48</v>
      </c>
      <c r="E470" s="865"/>
    </row>
    <row r="471" spans="1:5">
      <c r="A471" s="864">
        <v>39475</v>
      </c>
      <c r="B471" s="125" t="str">
        <f>TiposLancamentos!B103</f>
        <v>Juros_Corr. Poupança</v>
      </c>
      <c r="C471" s="126" t="s">
        <v>20570</v>
      </c>
      <c r="D471" s="51">
        <v>0.97</v>
      </c>
      <c r="E471" s="865"/>
    </row>
    <row r="472" spans="1:5">
      <c r="A472" s="864">
        <v>39477</v>
      </c>
      <c r="B472" s="125" t="str">
        <f>TiposLancamentos!B20</f>
        <v>Saques</v>
      </c>
      <c r="C472" s="126" t="s">
        <v>2876</v>
      </c>
      <c r="D472" s="51"/>
      <c r="E472" s="865">
        <v>20</v>
      </c>
    </row>
    <row r="473" spans="1:5">
      <c r="A473" s="864">
        <v>39478</v>
      </c>
      <c r="B473" s="125" t="str">
        <f>TiposLancamentos!B95</f>
        <v>Salarios</v>
      </c>
      <c r="C473" s="126" t="s">
        <v>4939</v>
      </c>
      <c r="D473" s="51">
        <v>5507.98</v>
      </c>
      <c r="E473" s="865"/>
    </row>
    <row r="474" spans="1:5" ht="14.25" thickBot="1">
      <c r="A474" s="864">
        <v>39478</v>
      </c>
      <c r="B474" s="125" t="str">
        <f>TiposLancamentos!B59</f>
        <v>Documentos</v>
      </c>
      <c r="C474" s="126" t="s">
        <v>20813</v>
      </c>
      <c r="D474" s="51"/>
      <c r="E474" s="865">
        <v>190</v>
      </c>
    </row>
    <row r="475" spans="1:5" ht="14.25" thickBot="1">
      <c r="A475" s="995"/>
      <c r="B475" s="989"/>
      <c r="C475" s="990" t="s">
        <v>13277</v>
      </c>
      <c r="D475" s="991"/>
      <c r="E475" s="994"/>
    </row>
    <row r="476" spans="1:5">
      <c r="A476" s="864">
        <v>39479</v>
      </c>
      <c r="B476" s="125" t="str">
        <f>TiposLancamentos!B2</f>
        <v>Telefonia</v>
      </c>
      <c r="C476" s="126" t="s">
        <v>20814</v>
      </c>
      <c r="D476" s="51"/>
      <c r="E476" s="865">
        <v>38.549999999999997</v>
      </c>
    </row>
    <row r="477" spans="1:5">
      <c r="A477" s="864">
        <v>39479</v>
      </c>
      <c r="B477" s="125" t="str">
        <f>TiposLancamentos!B3</f>
        <v>Internet</v>
      </c>
      <c r="C477" s="126" t="s">
        <v>4987</v>
      </c>
      <c r="D477" s="51"/>
      <c r="E477" s="865">
        <v>89.9</v>
      </c>
    </row>
    <row r="478" spans="1:5">
      <c r="A478" s="864">
        <v>39479</v>
      </c>
      <c r="B478" s="125" t="str">
        <f>TiposLancamentos!B15</f>
        <v>Cartões de Crédito</v>
      </c>
      <c r="C478" s="126" t="s">
        <v>5557</v>
      </c>
      <c r="D478" s="51"/>
      <c r="E478" s="865">
        <v>287.2</v>
      </c>
    </row>
    <row r="479" spans="1:5">
      <c r="A479" s="864">
        <v>39479</v>
      </c>
      <c r="B479" s="125" t="str">
        <f>TiposLancamentos!B34</f>
        <v>Seguros</v>
      </c>
      <c r="C479" s="126" t="s">
        <v>20815</v>
      </c>
      <c r="D479" s="51"/>
      <c r="E479" s="865">
        <v>471.63</v>
      </c>
    </row>
    <row r="480" spans="1:5">
      <c r="A480" s="864">
        <v>39479</v>
      </c>
      <c r="B480" s="125" t="str">
        <f>TiposLancamentos!B16</f>
        <v>Cristiane</v>
      </c>
      <c r="C480" s="126" t="s">
        <v>20816</v>
      </c>
      <c r="D480" s="51"/>
      <c r="E480" s="865">
        <v>42</v>
      </c>
    </row>
    <row r="481" spans="1:5">
      <c r="A481" s="864">
        <v>39480</v>
      </c>
      <c r="B481" s="125" t="str">
        <f>TiposLancamentos!B20</f>
        <v>Saques</v>
      </c>
      <c r="C481" s="126" t="s">
        <v>2668</v>
      </c>
      <c r="D481" s="51"/>
      <c r="E481" s="865">
        <v>60</v>
      </c>
    </row>
    <row r="482" spans="1:5">
      <c r="A482" s="864">
        <v>39480</v>
      </c>
      <c r="B482" s="125" t="str">
        <f>TiposLancamentos!B56</f>
        <v>Farmácia</v>
      </c>
      <c r="C482" s="126" t="s">
        <v>20817</v>
      </c>
      <c r="D482" s="51"/>
      <c r="E482" s="865">
        <v>20.190000000000001</v>
      </c>
    </row>
    <row r="483" spans="1:5">
      <c r="A483" s="864">
        <v>39482</v>
      </c>
      <c r="B483" s="125" t="str">
        <f>TiposLancamentos!B17</f>
        <v>GATO</v>
      </c>
      <c r="C483" s="126" t="s">
        <v>20818</v>
      </c>
      <c r="D483" s="51"/>
      <c r="E483" s="865">
        <v>50.95</v>
      </c>
    </row>
    <row r="484" spans="1:5">
      <c r="A484" s="864">
        <v>39482</v>
      </c>
      <c r="B484" s="125" t="str">
        <f>TiposLancamentos!B15</f>
        <v>Cartões de Crédito</v>
      </c>
      <c r="C484" s="126" t="s">
        <v>5700</v>
      </c>
      <c r="D484" s="51"/>
      <c r="E484" s="865">
        <v>99</v>
      </c>
    </row>
    <row r="485" spans="1:5">
      <c r="A485" s="864">
        <v>39482</v>
      </c>
      <c r="B485" s="125" t="str">
        <f>TiposLancamentos!B15</f>
        <v>Cartões de Crédito</v>
      </c>
      <c r="C485" s="126" t="s">
        <v>5558</v>
      </c>
      <c r="D485" s="51"/>
      <c r="E485" s="865">
        <v>1061.3900000000001</v>
      </c>
    </row>
    <row r="486" spans="1:5">
      <c r="A486" s="864">
        <v>39484</v>
      </c>
      <c r="B486" s="125" t="str">
        <f>TiposLancamentos!B6</f>
        <v>Energia Eletrica</v>
      </c>
      <c r="C486" s="126" t="s">
        <v>5561</v>
      </c>
      <c r="D486" s="51"/>
      <c r="E486" s="865">
        <v>74.16</v>
      </c>
    </row>
    <row r="487" spans="1:5">
      <c r="A487" s="864">
        <v>39484</v>
      </c>
      <c r="B487" s="125" t="str">
        <f>TiposLancamentos!B19</f>
        <v>Restaurantes</v>
      </c>
      <c r="C487" s="126" t="s">
        <v>20819</v>
      </c>
      <c r="D487" s="51"/>
      <c r="E487" s="865">
        <v>21.85</v>
      </c>
    </row>
    <row r="488" spans="1:5">
      <c r="A488" s="864">
        <v>39485</v>
      </c>
      <c r="B488" s="125" t="str">
        <f>TiposLancamentos!B72</f>
        <v>Presentes</v>
      </c>
      <c r="C488" s="126" t="s">
        <v>20820</v>
      </c>
      <c r="D488" s="51"/>
      <c r="E488" s="865">
        <v>10</v>
      </c>
    </row>
    <row r="489" spans="1:5">
      <c r="A489" s="864">
        <v>39485</v>
      </c>
      <c r="B489" s="125" t="str">
        <f>TiposLancamentos!B89</f>
        <v>Custos Processuais</v>
      </c>
      <c r="C489" s="126" t="s">
        <v>20821</v>
      </c>
      <c r="D489" s="51"/>
      <c r="E489" s="865">
        <v>800</v>
      </c>
    </row>
    <row r="490" spans="1:5">
      <c r="A490" s="864">
        <v>39485</v>
      </c>
      <c r="B490" s="125" t="str">
        <f>TiposLancamentos!B70</f>
        <v>Vestuário</v>
      </c>
      <c r="C490" s="126" t="s">
        <v>20822</v>
      </c>
      <c r="D490" s="51"/>
      <c r="E490" s="865">
        <v>149.80000000000001</v>
      </c>
    </row>
    <row r="491" spans="1:5">
      <c r="A491" s="864">
        <v>39485</v>
      </c>
      <c r="B491" s="125" t="str">
        <f>TiposLancamentos!B19</f>
        <v>Restaurantes</v>
      </c>
      <c r="C491" s="126" t="s">
        <v>5451</v>
      </c>
      <c r="D491" s="51"/>
      <c r="E491" s="865">
        <v>29.5</v>
      </c>
    </row>
    <row r="492" spans="1:5">
      <c r="A492" s="864">
        <v>39485</v>
      </c>
      <c r="B492" s="125" t="str">
        <f>TiposLancamentos!B70</f>
        <v>Vestuário</v>
      </c>
      <c r="C492" s="126" t="s">
        <v>20823</v>
      </c>
      <c r="D492" s="51"/>
      <c r="E492" s="865">
        <v>46.8</v>
      </c>
    </row>
    <row r="493" spans="1:5">
      <c r="A493" s="864">
        <v>39486</v>
      </c>
      <c r="B493" s="125" t="str">
        <f>TiposLancamentos!B84</f>
        <v>Cbx Twister 250</v>
      </c>
      <c r="C493" s="126" t="s">
        <v>20824</v>
      </c>
      <c r="D493" s="51"/>
      <c r="E493" s="865">
        <v>992.25</v>
      </c>
    </row>
    <row r="494" spans="1:5">
      <c r="A494" s="864">
        <v>39486</v>
      </c>
      <c r="B494" s="125" t="str">
        <f>TiposLancamentos!B20</f>
        <v>Saques</v>
      </c>
      <c r="C494" s="126" t="s">
        <v>2668</v>
      </c>
      <c r="D494" s="51"/>
      <c r="E494" s="865">
        <v>40</v>
      </c>
    </row>
    <row r="495" spans="1:5">
      <c r="A495" s="864">
        <v>39487</v>
      </c>
      <c r="B495" s="125" t="str">
        <f>TiposLancamentos!B19</f>
        <v>Restaurantes</v>
      </c>
      <c r="C495" s="126" t="s">
        <v>17177</v>
      </c>
      <c r="D495" s="51"/>
      <c r="E495" s="865">
        <v>39.19</v>
      </c>
    </row>
    <row r="496" spans="1:5">
      <c r="A496" s="864">
        <v>39488</v>
      </c>
      <c r="B496" s="125" t="str">
        <f>TiposLancamentos!B76</f>
        <v>Motel</v>
      </c>
      <c r="C496" s="126" t="s">
        <v>20825</v>
      </c>
      <c r="D496" s="51"/>
      <c r="E496" s="865">
        <v>128</v>
      </c>
    </row>
    <row r="497" spans="1:5">
      <c r="A497" s="864">
        <v>39488</v>
      </c>
      <c r="B497" s="125" t="str">
        <f>TiposLancamentos!B19</f>
        <v>Restaurantes</v>
      </c>
      <c r="C497" s="126" t="s">
        <v>20826</v>
      </c>
      <c r="D497" s="51"/>
      <c r="E497" s="865">
        <v>33.700000000000003</v>
      </c>
    </row>
    <row r="498" spans="1:5">
      <c r="A498" s="864">
        <v>39489</v>
      </c>
      <c r="B498" s="125" t="str">
        <f>TiposLancamentos!B35</f>
        <v>Tv à Cabo</v>
      </c>
      <c r="C498" s="126" t="s">
        <v>20827</v>
      </c>
      <c r="D498" s="51"/>
      <c r="E498" s="865">
        <v>102.8</v>
      </c>
    </row>
    <row r="499" spans="1:5">
      <c r="A499" s="864">
        <v>39489</v>
      </c>
      <c r="B499" s="125" t="str">
        <f>TiposLancamentos!B5</f>
        <v>Supermercado</v>
      </c>
      <c r="C499" s="126" t="s">
        <v>20828</v>
      </c>
      <c r="D499" s="51"/>
      <c r="E499" s="865">
        <v>70.59</v>
      </c>
    </row>
    <row r="500" spans="1:5">
      <c r="A500" s="864">
        <v>39490</v>
      </c>
      <c r="B500" s="125" t="str">
        <f>TiposLancamentos!B19</f>
        <v>Restaurantes</v>
      </c>
      <c r="C500" s="126" t="s">
        <v>2218</v>
      </c>
      <c r="D500" s="51"/>
      <c r="E500" s="865">
        <v>14.99</v>
      </c>
    </row>
    <row r="501" spans="1:5">
      <c r="A501" s="864">
        <v>39491</v>
      </c>
      <c r="B501" s="125" t="str">
        <f>TiposLancamentos!B19</f>
        <v>Restaurantes</v>
      </c>
      <c r="C501" s="126" t="s">
        <v>20829</v>
      </c>
      <c r="D501" s="51"/>
      <c r="E501" s="865">
        <v>10</v>
      </c>
    </row>
    <row r="502" spans="1:5">
      <c r="A502" s="864">
        <v>39491</v>
      </c>
      <c r="B502" s="125" t="str">
        <f>TiposLancamentos!B56</f>
        <v>Farmácia</v>
      </c>
      <c r="C502" s="126" t="s">
        <v>20830</v>
      </c>
      <c r="D502" s="51"/>
      <c r="E502" s="865">
        <v>74.56</v>
      </c>
    </row>
    <row r="503" spans="1:5">
      <c r="A503" s="864">
        <v>39492</v>
      </c>
      <c r="B503" s="125" t="str">
        <f>TiposLancamentos!B19</f>
        <v>Restaurantes</v>
      </c>
      <c r="C503" s="126" t="s">
        <v>4015</v>
      </c>
      <c r="D503" s="51"/>
      <c r="E503" s="865">
        <v>16</v>
      </c>
    </row>
    <row r="504" spans="1:5">
      <c r="A504" s="864">
        <v>39492</v>
      </c>
      <c r="B504" s="125" t="str">
        <f>TiposLancamentos!B103</f>
        <v>Juros_Corr. Poupança</v>
      </c>
      <c r="C504" s="126" t="s">
        <v>20569</v>
      </c>
      <c r="D504" s="51">
        <v>6.48</v>
      </c>
      <c r="E504" s="865"/>
    </row>
    <row r="505" spans="1:5">
      <c r="A505" s="864">
        <v>39492</v>
      </c>
      <c r="B505" s="125" t="str">
        <f>TiposLancamentos!B103</f>
        <v>Juros_Corr. Poupança</v>
      </c>
      <c r="C505" s="126" t="s">
        <v>20781</v>
      </c>
      <c r="D505" s="51">
        <v>1.07</v>
      </c>
      <c r="E505" s="865"/>
    </row>
    <row r="506" spans="1:5">
      <c r="A506" s="961">
        <v>39493</v>
      </c>
      <c r="B506" s="817" t="str">
        <f>TiposLancamentos!B8</f>
        <v>Aluguel</v>
      </c>
      <c r="C506" s="962" t="s">
        <v>20831</v>
      </c>
      <c r="D506" s="809"/>
      <c r="E506" s="965">
        <v>804.8</v>
      </c>
    </row>
    <row r="507" spans="1:5">
      <c r="A507" s="963">
        <v>39493</v>
      </c>
      <c r="B507" s="818" t="str">
        <f>TiposLancamentos!B9</f>
        <v>Condominio</v>
      </c>
      <c r="C507" s="964" t="s">
        <v>20832</v>
      </c>
      <c r="D507" s="813"/>
      <c r="E507" s="966">
        <f>1011.63-E506</f>
        <v>206.83000000000004</v>
      </c>
    </row>
    <row r="508" spans="1:5">
      <c r="A508" s="864">
        <v>39493</v>
      </c>
      <c r="B508" s="125" t="str">
        <f>TiposLancamentos!B24</f>
        <v>Estacionamentos</v>
      </c>
      <c r="C508" s="126" t="s">
        <v>5392</v>
      </c>
      <c r="D508" s="51"/>
      <c r="E508" s="865">
        <v>21</v>
      </c>
    </row>
    <row r="509" spans="1:5">
      <c r="A509" s="864">
        <v>39493</v>
      </c>
      <c r="B509" s="125" t="str">
        <f>TiposLancamentos!B95</f>
        <v>Salarios</v>
      </c>
      <c r="C509" s="126" t="s">
        <v>4916</v>
      </c>
      <c r="D509" s="51">
        <v>1747.9</v>
      </c>
      <c r="E509" s="865"/>
    </row>
    <row r="510" spans="1:5">
      <c r="A510" s="864">
        <v>39493</v>
      </c>
      <c r="B510" s="125" t="str">
        <f>TiposLancamentos!B19</f>
        <v>Restaurantes</v>
      </c>
      <c r="C510" s="126" t="s">
        <v>20833</v>
      </c>
      <c r="D510" s="51"/>
      <c r="E510" s="865">
        <v>13.5</v>
      </c>
    </row>
    <row r="511" spans="1:5">
      <c r="A511" s="864">
        <v>39493</v>
      </c>
      <c r="B511" s="125" t="str">
        <f>TiposLancamentos!B19</f>
        <v>Restaurantes</v>
      </c>
      <c r="C511" s="126" t="s">
        <v>20834</v>
      </c>
      <c r="D511" s="51"/>
      <c r="E511" s="865">
        <v>39.299999999999997</v>
      </c>
    </row>
    <row r="512" spans="1:5">
      <c r="A512" s="864">
        <v>39493</v>
      </c>
      <c r="B512" s="125" t="str">
        <f>TiposLancamentos!B103</f>
        <v>Juros_Corr. Poupança</v>
      </c>
      <c r="C512" s="126" t="s">
        <v>20569</v>
      </c>
      <c r="D512" s="51">
        <v>1.72</v>
      </c>
      <c r="E512" s="865"/>
    </row>
    <row r="513" spans="1:5">
      <c r="A513" s="864">
        <v>39493</v>
      </c>
      <c r="B513" s="125" t="str">
        <f>TiposLancamentos!B103</f>
        <v>Juros_Corr. Poupança</v>
      </c>
      <c r="C513" s="126" t="s">
        <v>20835</v>
      </c>
      <c r="D513" s="51">
        <v>0.3</v>
      </c>
      <c r="E513" s="865"/>
    </row>
    <row r="514" spans="1:5">
      <c r="A514" s="864">
        <v>39494</v>
      </c>
      <c r="B514" s="125" t="str">
        <f>TiposLancamentos!B22</f>
        <v>Combustivel</v>
      </c>
      <c r="C514" s="126" t="s">
        <v>3381</v>
      </c>
      <c r="D514" s="51"/>
      <c r="E514" s="865">
        <v>114</v>
      </c>
    </row>
    <row r="515" spans="1:5">
      <c r="A515" s="864">
        <v>39494</v>
      </c>
      <c r="B515" s="125" t="str">
        <f>TiposLancamentos!B19</f>
        <v>Restaurantes</v>
      </c>
      <c r="C515" s="126" t="s">
        <v>20836</v>
      </c>
      <c r="D515" s="51"/>
      <c r="E515" s="865">
        <v>35.76</v>
      </c>
    </row>
    <row r="516" spans="1:5">
      <c r="A516" s="864">
        <v>39495</v>
      </c>
      <c r="B516" s="125" t="str">
        <f>TiposLancamentos!B19</f>
        <v>Restaurantes</v>
      </c>
      <c r="C516" s="126" t="s">
        <v>20837</v>
      </c>
      <c r="D516" s="51"/>
      <c r="E516" s="865">
        <v>36.85</v>
      </c>
    </row>
    <row r="517" spans="1:5">
      <c r="A517" s="864">
        <v>39495</v>
      </c>
      <c r="B517" s="125" t="str">
        <f>TiposLancamentos!B70</f>
        <v>Vestuário</v>
      </c>
      <c r="C517" s="126" t="s">
        <v>16887</v>
      </c>
      <c r="D517" s="51"/>
      <c r="E517" s="865">
        <v>599.98</v>
      </c>
    </row>
    <row r="518" spans="1:5">
      <c r="A518" s="864">
        <v>39495</v>
      </c>
      <c r="B518" s="125" t="str">
        <f>TiposLancamentos!B56</f>
        <v>Farmácia</v>
      </c>
      <c r="C518" s="126" t="s">
        <v>20838</v>
      </c>
      <c r="D518" s="51"/>
      <c r="E518" s="865">
        <v>45.62</v>
      </c>
    </row>
    <row r="519" spans="1:5">
      <c r="A519" s="864">
        <v>39495</v>
      </c>
      <c r="B519" s="125" t="str">
        <f>TiposLancamentos!B19</f>
        <v>Restaurantes</v>
      </c>
      <c r="C519" s="126" t="s">
        <v>20839</v>
      </c>
      <c r="D519" s="51"/>
      <c r="E519" s="865">
        <v>41.77</v>
      </c>
    </row>
    <row r="520" spans="1:5">
      <c r="A520" s="864">
        <v>39496</v>
      </c>
      <c r="B520" s="125" t="str">
        <f>TiposLancamentos!B19</f>
        <v>Restaurantes</v>
      </c>
      <c r="C520" s="126" t="s">
        <v>20840</v>
      </c>
      <c r="D520" s="51"/>
      <c r="E520" s="865">
        <v>10.31</v>
      </c>
    </row>
    <row r="521" spans="1:5">
      <c r="A521" s="864">
        <v>39496</v>
      </c>
      <c r="B521" s="125" t="str">
        <f>TiposLancamentos!B19</f>
        <v>Restaurantes</v>
      </c>
      <c r="C521" s="126" t="s">
        <v>3022</v>
      </c>
      <c r="D521" s="51"/>
      <c r="E521" s="865">
        <v>4.25</v>
      </c>
    </row>
    <row r="522" spans="1:5">
      <c r="A522" s="864">
        <v>39497</v>
      </c>
      <c r="B522" s="125" t="str">
        <f>TiposLancamentos!B19</f>
        <v>Restaurantes</v>
      </c>
      <c r="C522" s="126" t="s">
        <v>20841</v>
      </c>
      <c r="D522" s="51"/>
      <c r="E522" s="865">
        <v>13.25</v>
      </c>
    </row>
    <row r="523" spans="1:5">
      <c r="A523" s="864">
        <v>39497</v>
      </c>
      <c r="B523" s="125" t="str">
        <f>TiposLancamentos!B19</f>
        <v>Restaurantes</v>
      </c>
      <c r="C523" s="126" t="s">
        <v>3425</v>
      </c>
      <c r="D523" s="51"/>
      <c r="E523" s="865">
        <v>9.4</v>
      </c>
    </row>
    <row r="524" spans="1:5">
      <c r="A524" s="864">
        <v>39498</v>
      </c>
      <c r="B524" s="125" t="str">
        <f>TiposLancamentos!B20</f>
        <v>Saques</v>
      </c>
      <c r="C524" s="126" t="s">
        <v>3020</v>
      </c>
      <c r="D524" s="51"/>
      <c r="E524" s="865">
        <v>10</v>
      </c>
    </row>
    <row r="525" spans="1:5">
      <c r="A525" s="864">
        <v>39498</v>
      </c>
      <c r="B525" s="125" t="str">
        <f>TiposLancamentos!B19</f>
        <v>Restaurantes</v>
      </c>
      <c r="C525" s="126" t="s">
        <v>20842</v>
      </c>
      <c r="D525" s="51"/>
      <c r="E525" s="865">
        <v>16.100000000000001</v>
      </c>
    </row>
    <row r="526" spans="1:5">
      <c r="A526" s="864">
        <v>39498</v>
      </c>
      <c r="B526" s="125" t="str">
        <f>TiposLancamentos!B19</f>
        <v>Restaurantes</v>
      </c>
      <c r="C526" s="126" t="s">
        <v>3427</v>
      </c>
      <c r="D526" s="51"/>
      <c r="E526" s="865">
        <v>4.9000000000000004</v>
      </c>
    </row>
    <row r="527" spans="1:5">
      <c r="A527" s="864">
        <v>39498</v>
      </c>
      <c r="B527" s="125" t="str">
        <f>TiposLancamentos!B70</f>
        <v>Vestuário</v>
      </c>
      <c r="C527" s="126" t="s">
        <v>20843</v>
      </c>
      <c r="D527" s="51"/>
      <c r="E527" s="865">
        <v>149.69999999999999</v>
      </c>
    </row>
    <row r="528" spans="1:5">
      <c r="A528" s="864">
        <v>39498</v>
      </c>
      <c r="B528" s="125" t="str">
        <f>TiposLancamentos!B19</f>
        <v>Restaurantes</v>
      </c>
      <c r="C528" s="126" t="s">
        <v>20844</v>
      </c>
      <c r="D528" s="51"/>
      <c r="E528" s="865">
        <v>29.5</v>
      </c>
    </row>
    <row r="529" spans="1:5">
      <c r="A529" s="864">
        <v>39499</v>
      </c>
      <c r="B529" s="125" t="str">
        <f>TiposLancamentos!B19</f>
        <v>Restaurantes</v>
      </c>
      <c r="C529" s="126" t="s">
        <v>2618</v>
      </c>
      <c r="D529" s="51"/>
      <c r="E529" s="865">
        <v>13.6</v>
      </c>
    </row>
    <row r="530" spans="1:5">
      <c r="A530" s="864">
        <v>39499</v>
      </c>
      <c r="B530" s="125" t="str">
        <f>TiposLancamentos!B20</f>
        <v>Saques</v>
      </c>
      <c r="C530" s="126" t="s">
        <v>3146</v>
      </c>
      <c r="D530" s="51"/>
      <c r="E530" s="865">
        <v>20</v>
      </c>
    </row>
    <row r="531" spans="1:5">
      <c r="A531" s="864">
        <v>39499</v>
      </c>
      <c r="B531" s="125" t="str">
        <f>TiposLancamentos!B17</f>
        <v>GATO</v>
      </c>
      <c r="C531" s="126" t="s">
        <v>20845</v>
      </c>
      <c r="D531" s="51"/>
      <c r="E531" s="865">
        <v>12.51</v>
      </c>
    </row>
    <row r="532" spans="1:5">
      <c r="A532" s="864">
        <v>39499</v>
      </c>
      <c r="B532" s="125" t="str">
        <f>TiposLancamentos!B103</f>
        <v>Juros_Corr. Poupança</v>
      </c>
      <c r="C532" s="126" t="s">
        <v>20569</v>
      </c>
      <c r="D532" s="51">
        <v>13.55</v>
      </c>
      <c r="E532" s="865"/>
    </row>
    <row r="533" spans="1:5">
      <c r="A533" s="864">
        <v>39499</v>
      </c>
      <c r="B533" s="125" t="str">
        <f>TiposLancamentos!B103</f>
        <v>Juros_Corr. Poupança</v>
      </c>
      <c r="C533" s="126" t="s">
        <v>20630</v>
      </c>
      <c r="D533" s="51">
        <v>2.2400000000000002</v>
      </c>
      <c r="E533" s="865"/>
    </row>
    <row r="534" spans="1:5">
      <c r="A534" s="864">
        <v>39500</v>
      </c>
      <c r="B534" s="125" t="str">
        <f>TiposLancamentos!B20</f>
        <v>Saques</v>
      </c>
      <c r="C534" s="126" t="s">
        <v>2668</v>
      </c>
      <c r="D534" s="51"/>
      <c r="E534" s="865">
        <v>40</v>
      </c>
    </row>
    <row r="535" spans="1:5">
      <c r="A535" s="864">
        <v>39500</v>
      </c>
      <c r="B535" s="125" t="str">
        <f>TiposLancamentos!B19</f>
        <v>Restaurantes</v>
      </c>
      <c r="C535" s="126" t="s">
        <v>20846</v>
      </c>
      <c r="D535" s="51"/>
      <c r="E535" s="865">
        <v>16.600000000000001</v>
      </c>
    </row>
    <row r="536" spans="1:5">
      <c r="A536" s="864">
        <v>39500</v>
      </c>
      <c r="B536" s="125" t="str">
        <f>TiposLancamentos!B19</f>
        <v>Restaurantes</v>
      </c>
      <c r="C536" s="126" t="s">
        <v>17177</v>
      </c>
      <c r="D536" s="51"/>
      <c r="E536" s="865">
        <v>24.69</v>
      </c>
    </row>
    <row r="537" spans="1:5">
      <c r="A537" s="864">
        <v>39501</v>
      </c>
      <c r="B537" s="125" t="str">
        <f>TiposLancamentos!B71</f>
        <v>Itens Pessoais</v>
      </c>
      <c r="C537" s="126" t="s">
        <v>8961</v>
      </c>
      <c r="D537" s="51"/>
      <c r="E537" s="865">
        <v>15</v>
      </c>
    </row>
    <row r="538" spans="1:5">
      <c r="A538" s="864">
        <v>39501</v>
      </c>
      <c r="B538" s="125" t="str">
        <f>TiposLancamentos!B13</f>
        <v>Moradia</v>
      </c>
      <c r="C538" s="126" t="s">
        <v>20847</v>
      </c>
      <c r="D538" s="51"/>
      <c r="E538" s="865">
        <v>1300</v>
      </c>
    </row>
    <row r="539" spans="1:5">
      <c r="A539" s="864">
        <v>39501</v>
      </c>
      <c r="B539" s="125" t="str">
        <f>TiposLancamentos!B57</f>
        <v>Informática</v>
      </c>
      <c r="C539" s="126" t="s">
        <v>20848</v>
      </c>
      <c r="D539" s="51"/>
      <c r="E539" s="865">
        <v>87</v>
      </c>
    </row>
    <row r="540" spans="1:5">
      <c r="A540" s="864">
        <v>39501</v>
      </c>
      <c r="B540" s="125" t="str">
        <f>TiposLancamentos!B71</f>
        <v>Itens Pessoais</v>
      </c>
      <c r="C540" s="126" t="s">
        <v>20849</v>
      </c>
      <c r="D540" s="51"/>
      <c r="E540" s="865">
        <v>48</v>
      </c>
    </row>
    <row r="541" spans="1:5">
      <c r="A541" s="864">
        <v>39501</v>
      </c>
      <c r="B541" s="125" t="str">
        <f>TiposLancamentos!B19</f>
        <v>Restaurantes</v>
      </c>
      <c r="C541" s="126" t="s">
        <v>20850</v>
      </c>
      <c r="D541" s="51"/>
      <c r="E541" s="865">
        <v>39.270000000000003</v>
      </c>
    </row>
    <row r="542" spans="1:5">
      <c r="A542" s="864">
        <v>39503</v>
      </c>
      <c r="B542" s="125" t="str">
        <f>TiposLancamentos!B57</f>
        <v>Informática</v>
      </c>
      <c r="C542" s="126" t="s">
        <v>20851</v>
      </c>
      <c r="D542" s="51"/>
      <c r="E542" s="865">
        <v>53.49</v>
      </c>
    </row>
    <row r="543" spans="1:5">
      <c r="A543" s="864">
        <v>39503</v>
      </c>
      <c r="B543" s="125" t="str">
        <f>TiposLancamentos!B57</f>
        <v>Informática</v>
      </c>
      <c r="C543" s="126" t="s">
        <v>20852</v>
      </c>
      <c r="D543" s="51"/>
      <c r="E543" s="865">
        <v>23.4</v>
      </c>
    </row>
    <row r="544" spans="1:5">
      <c r="A544" s="864">
        <v>39503</v>
      </c>
      <c r="B544" s="125" t="str">
        <f>TiposLancamentos!B105</f>
        <v>Transf. Bco</v>
      </c>
      <c r="C544" s="126" t="s">
        <v>20853</v>
      </c>
      <c r="D544" s="51"/>
      <c r="E544" s="865">
        <v>1550</v>
      </c>
    </row>
    <row r="545" spans="1:5">
      <c r="A545" s="864">
        <v>39503</v>
      </c>
      <c r="B545" s="125" t="str">
        <f>TiposLancamentos!B19</f>
        <v>Restaurantes</v>
      </c>
      <c r="C545" s="126" t="s">
        <v>20854</v>
      </c>
      <c r="D545" s="51"/>
      <c r="E545" s="865">
        <v>12.92</v>
      </c>
    </row>
    <row r="546" spans="1:5">
      <c r="A546" s="864">
        <v>39503</v>
      </c>
      <c r="B546" s="125" t="str">
        <f>TiposLancamentos!B68</f>
        <v>Bombas</v>
      </c>
      <c r="C546" s="126" t="s">
        <v>20855</v>
      </c>
      <c r="D546" s="51"/>
      <c r="E546" s="865">
        <v>287</v>
      </c>
    </row>
    <row r="547" spans="1:5">
      <c r="A547" s="864">
        <v>39503</v>
      </c>
      <c r="B547" s="125" t="str">
        <f>TiposLancamentos!B19</f>
        <v>Restaurantes</v>
      </c>
      <c r="C547" s="126" t="s">
        <v>3698</v>
      </c>
      <c r="D547" s="51"/>
      <c r="E547" s="865">
        <v>22.7</v>
      </c>
    </row>
    <row r="548" spans="1:5">
      <c r="A548" s="864">
        <v>39504</v>
      </c>
      <c r="B548" s="125" t="str">
        <f>TiposLancamentos!B19</f>
        <v>Restaurantes</v>
      </c>
      <c r="C548" s="126" t="s">
        <v>20856</v>
      </c>
      <c r="D548" s="51"/>
      <c r="E548" s="865">
        <v>15.2</v>
      </c>
    </row>
    <row r="549" spans="1:5">
      <c r="A549" s="864">
        <v>39506</v>
      </c>
      <c r="B549" s="125" t="str">
        <f>TiposLancamentos!B73</f>
        <v>Cursos</v>
      </c>
      <c r="C549" s="126" t="s">
        <v>20857</v>
      </c>
      <c r="D549" s="51"/>
      <c r="E549" s="865">
        <v>95</v>
      </c>
    </row>
    <row r="550" spans="1:5">
      <c r="A550" s="864">
        <v>39506</v>
      </c>
      <c r="B550" s="125" t="str">
        <f>TiposLancamentos!B103</f>
        <v>Juros_Corr. Poupança</v>
      </c>
      <c r="C550" s="126" t="s">
        <v>20569</v>
      </c>
      <c r="D550" s="51">
        <v>6.99</v>
      </c>
      <c r="E550" s="865"/>
    </row>
    <row r="551" spans="1:5">
      <c r="A551" s="864">
        <v>39506</v>
      </c>
      <c r="B551" s="125" t="str">
        <f>TiposLancamentos!B103</f>
        <v>Juros_Corr. Poupança</v>
      </c>
      <c r="C551" s="126" t="s">
        <v>20570</v>
      </c>
      <c r="D551" s="51">
        <v>0.99</v>
      </c>
      <c r="E551" s="865"/>
    </row>
    <row r="552" spans="1:5">
      <c r="A552" s="864">
        <v>39507</v>
      </c>
      <c r="B552" s="125" t="str">
        <f>TiposLancamentos!B95</f>
        <v>Salarios</v>
      </c>
      <c r="C552" s="126" t="s">
        <v>4939</v>
      </c>
      <c r="D552" s="51">
        <v>5276.15</v>
      </c>
      <c r="E552" s="865"/>
    </row>
    <row r="553" spans="1:5" ht="14.25" thickBot="1">
      <c r="A553" s="864">
        <v>39507</v>
      </c>
      <c r="B553" s="125" t="str">
        <f>TiposLancamentos!B95</f>
        <v>Salarios</v>
      </c>
      <c r="C553" s="126" t="s">
        <v>5435</v>
      </c>
      <c r="D553" s="51">
        <v>1997.6</v>
      </c>
      <c r="E553" s="865"/>
    </row>
    <row r="554" spans="1:5" ht="14.25" thickBot="1">
      <c r="A554" s="995"/>
      <c r="B554" s="989"/>
      <c r="C554" s="990" t="s">
        <v>5592</v>
      </c>
      <c r="D554" s="991"/>
      <c r="E554" s="994"/>
    </row>
    <row r="555" spans="1:5">
      <c r="A555" s="864">
        <v>39508</v>
      </c>
      <c r="B555" s="125" t="str">
        <f>TiposLancamentos!B103</f>
        <v>Juros_Corr. Poupança</v>
      </c>
      <c r="C555" s="126" t="s">
        <v>20569</v>
      </c>
      <c r="D555" s="51">
        <v>2.2999999999999998</v>
      </c>
      <c r="E555" s="865"/>
    </row>
    <row r="556" spans="1:5">
      <c r="A556" s="864">
        <v>39508</v>
      </c>
      <c r="B556" s="125" t="str">
        <f>TiposLancamentos!B103</f>
        <v>Juros_Corr. Poupança</v>
      </c>
      <c r="C556" s="126" t="s">
        <v>20570</v>
      </c>
      <c r="D556" s="51">
        <v>0.11</v>
      </c>
      <c r="E556" s="865"/>
    </row>
    <row r="557" spans="1:5">
      <c r="A557" s="864">
        <v>39510</v>
      </c>
      <c r="B557" s="125" t="str">
        <f>TiposLancamentos!B15</f>
        <v>Cartões de Crédito</v>
      </c>
      <c r="C557" s="126" t="s">
        <v>7254</v>
      </c>
      <c r="D557" s="51"/>
      <c r="E557" s="865">
        <v>359.2</v>
      </c>
    </row>
    <row r="558" spans="1:5">
      <c r="A558" s="864">
        <v>39510</v>
      </c>
      <c r="B558" s="125" t="str">
        <f>TiposLancamentos!B15</f>
        <v>Cartões de Crédito</v>
      </c>
      <c r="C558" s="126" t="s">
        <v>6744</v>
      </c>
      <c r="D558" s="51"/>
      <c r="E558" s="865">
        <v>100.88</v>
      </c>
    </row>
    <row r="559" spans="1:5">
      <c r="A559" s="864">
        <v>39510</v>
      </c>
      <c r="B559" s="125" t="str">
        <f>TiposLancamentos!B15</f>
        <v>Cartões de Crédito</v>
      </c>
      <c r="C559" s="126" t="s">
        <v>20858</v>
      </c>
      <c r="D559" s="51"/>
      <c r="E559" s="865">
        <v>359.82</v>
      </c>
    </row>
    <row r="560" spans="1:5">
      <c r="A560" s="864">
        <v>39510</v>
      </c>
      <c r="B560" s="125" t="str">
        <f>TiposLancamentos!B2</f>
        <v>Telefonia</v>
      </c>
      <c r="C560" s="126" t="s">
        <v>5080</v>
      </c>
      <c r="D560" s="51"/>
      <c r="E560" s="865">
        <v>69.27</v>
      </c>
    </row>
    <row r="561" spans="1:5">
      <c r="A561" s="864">
        <v>39510</v>
      </c>
      <c r="B561" s="125" t="str">
        <f>TiposLancamentos!B3</f>
        <v>Internet</v>
      </c>
      <c r="C561" s="126" t="s">
        <v>4987</v>
      </c>
      <c r="D561" s="51"/>
      <c r="E561" s="865">
        <v>89.9</v>
      </c>
    </row>
    <row r="562" spans="1:5">
      <c r="A562" s="864">
        <v>39510</v>
      </c>
      <c r="B562" s="125" t="str">
        <f>TiposLancamentos!B34</f>
        <v>Seguros</v>
      </c>
      <c r="C562" s="126" t="s">
        <v>20859</v>
      </c>
      <c r="D562" s="51"/>
      <c r="E562" s="865">
        <v>471.63</v>
      </c>
    </row>
    <row r="563" spans="1:5">
      <c r="A563" s="864">
        <v>39511</v>
      </c>
      <c r="B563" s="125" t="str">
        <f>TiposLancamentos!B62</f>
        <v>Papelaria</v>
      </c>
      <c r="C563" s="126" t="s">
        <v>20860</v>
      </c>
      <c r="D563" s="51"/>
      <c r="E563" s="865">
        <v>28.85</v>
      </c>
    </row>
    <row r="564" spans="1:5">
      <c r="A564" s="864">
        <v>39512</v>
      </c>
      <c r="B564" s="125" t="str">
        <f>TiposLancamentos!B6</f>
        <v>Energia Eletrica</v>
      </c>
      <c r="C564" s="126" t="s">
        <v>5561</v>
      </c>
      <c r="D564" s="51"/>
      <c r="E564" s="865">
        <v>76.53</v>
      </c>
    </row>
    <row r="565" spans="1:5">
      <c r="A565" s="864">
        <v>39513</v>
      </c>
      <c r="B565" s="125" t="str">
        <f>TiposLancamentos!B57</f>
        <v>Informática</v>
      </c>
      <c r="C565" s="126" t="s">
        <v>20861</v>
      </c>
      <c r="D565" s="51"/>
      <c r="E565" s="865">
        <v>117</v>
      </c>
    </row>
    <row r="566" spans="1:5">
      <c r="A566" s="864">
        <v>39513</v>
      </c>
      <c r="B566" s="125" t="str">
        <f>TiposLancamentos!B57</f>
        <v>Informática</v>
      </c>
      <c r="C566" s="126" t="s">
        <v>20862</v>
      </c>
      <c r="D566" s="51"/>
      <c r="E566" s="865">
        <v>72.900000000000006</v>
      </c>
    </row>
    <row r="567" spans="1:5">
      <c r="A567" s="864">
        <v>39513</v>
      </c>
      <c r="B567" s="125" t="str">
        <f>TiposLancamentos!B57</f>
        <v>Informática</v>
      </c>
      <c r="C567" s="126" t="s">
        <v>20863</v>
      </c>
      <c r="D567" s="51"/>
      <c r="E567" s="865">
        <v>613</v>
      </c>
    </row>
    <row r="568" spans="1:5">
      <c r="A568" s="864">
        <v>39514</v>
      </c>
      <c r="B568" s="125" t="str">
        <f>TiposLancamentos!B22</f>
        <v>Combustivel</v>
      </c>
      <c r="C568" s="126" t="s">
        <v>20864</v>
      </c>
      <c r="D568" s="51"/>
      <c r="E568" s="865">
        <v>120</v>
      </c>
    </row>
    <row r="569" spans="1:5">
      <c r="A569" s="864">
        <v>39514</v>
      </c>
      <c r="B569" s="125" t="str">
        <f>TiposLancamentos!B57</f>
        <v>Informática</v>
      </c>
      <c r="C569" s="126" t="s">
        <v>20865</v>
      </c>
      <c r="D569" s="51"/>
      <c r="E569" s="865">
        <v>349</v>
      </c>
    </row>
    <row r="570" spans="1:5">
      <c r="A570" s="864">
        <v>39514</v>
      </c>
      <c r="B570" s="125" t="str">
        <f>TiposLancamentos!B57</f>
        <v>Informática</v>
      </c>
      <c r="C570" s="126" t="s">
        <v>20866</v>
      </c>
      <c r="D570" s="51"/>
      <c r="E570" s="865">
        <v>356.9</v>
      </c>
    </row>
    <row r="571" spans="1:5">
      <c r="A571" s="864">
        <v>39514</v>
      </c>
      <c r="B571" s="125" t="str">
        <f>TiposLancamentos!B19</f>
        <v>Restaurantes</v>
      </c>
      <c r="C571" s="126" t="s">
        <v>3225</v>
      </c>
      <c r="D571" s="51"/>
      <c r="E571" s="865">
        <v>15.75</v>
      </c>
    </row>
    <row r="572" spans="1:5">
      <c r="A572" s="864">
        <v>39514</v>
      </c>
      <c r="B572" s="125" t="str">
        <f>TiposLancamentos!B19</f>
        <v>Restaurantes</v>
      </c>
      <c r="C572" s="126" t="s">
        <v>20867</v>
      </c>
      <c r="D572" s="51"/>
      <c r="E572" s="865">
        <v>44.54</v>
      </c>
    </row>
    <row r="573" spans="1:5">
      <c r="A573" s="864">
        <v>39515</v>
      </c>
      <c r="B573" s="125" t="str">
        <f>TiposLancamentos!B16</f>
        <v>Cristiane</v>
      </c>
      <c r="C573" s="126" t="s">
        <v>20868</v>
      </c>
      <c r="D573" s="51"/>
      <c r="E573" s="865">
        <v>180</v>
      </c>
    </row>
    <row r="574" spans="1:5">
      <c r="A574" s="864">
        <v>39515</v>
      </c>
      <c r="B574" s="125" t="str">
        <f>TiposLancamentos!B16</f>
        <v>Cristiane</v>
      </c>
      <c r="C574" s="126" t="s">
        <v>20869</v>
      </c>
      <c r="D574" s="51"/>
      <c r="E574" s="865">
        <v>151.5</v>
      </c>
    </row>
    <row r="575" spans="1:5">
      <c r="A575" s="864">
        <v>39515</v>
      </c>
      <c r="B575" s="125" t="str">
        <f>TiposLancamentos!B19</f>
        <v>Restaurantes</v>
      </c>
      <c r="C575" s="126" t="s">
        <v>20870</v>
      </c>
      <c r="D575" s="51"/>
      <c r="E575" s="865">
        <v>29</v>
      </c>
    </row>
    <row r="576" spans="1:5">
      <c r="A576" s="864">
        <v>39517</v>
      </c>
      <c r="B576" s="125" t="str">
        <f>TiposLancamentos!B19</f>
        <v>Restaurantes</v>
      </c>
      <c r="C576" s="126" t="s">
        <v>20871</v>
      </c>
      <c r="D576" s="51"/>
      <c r="E576" s="865">
        <v>12.73</v>
      </c>
    </row>
    <row r="577" spans="1:5">
      <c r="A577" s="864">
        <v>39517</v>
      </c>
      <c r="B577" s="125" t="str">
        <f>TiposLancamentos!B35</f>
        <v>Tv à Cabo</v>
      </c>
      <c r="C577" s="126" t="s">
        <v>20872</v>
      </c>
      <c r="D577" s="51"/>
      <c r="E577" s="865">
        <v>102.8</v>
      </c>
    </row>
    <row r="578" spans="1:5">
      <c r="A578" s="864">
        <v>39518</v>
      </c>
      <c r="B578" s="125" t="str">
        <f>TiposLancamentos!B57</f>
        <v>Informática</v>
      </c>
      <c r="C578" s="126" t="s">
        <v>20873</v>
      </c>
      <c r="D578" s="51"/>
      <c r="E578" s="865">
        <v>197.99</v>
      </c>
    </row>
    <row r="579" spans="1:5">
      <c r="A579" s="864">
        <v>39518</v>
      </c>
      <c r="B579" s="125" t="str">
        <f>TiposLancamentos!B19</f>
        <v>Restaurantes</v>
      </c>
      <c r="C579" s="126" t="s">
        <v>3287</v>
      </c>
      <c r="D579" s="51"/>
      <c r="E579" s="865">
        <v>13.06</v>
      </c>
    </row>
    <row r="580" spans="1:5">
      <c r="A580" s="864">
        <v>39518</v>
      </c>
      <c r="B580" s="125" t="str">
        <f>TiposLancamentos!B71</f>
        <v>Itens Pessoais</v>
      </c>
      <c r="C580" s="126" t="s">
        <v>20874</v>
      </c>
      <c r="D580" s="51"/>
      <c r="E580" s="865">
        <v>89</v>
      </c>
    </row>
    <row r="581" spans="1:5">
      <c r="A581" s="864">
        <v>39518</v>
      </c>
      <c r="B581" s="125" t="str">
        <f>TiposLancamentos!B17</f>
        <v>GATO</v>
      </c>
      <c r="C581" s="126" t="s">
        <v>20686</v>
      </c>
      <c r="D581" s="51"/>
      <c r="E581" s="865">
        <v>54.57</v>
      </c>
    </row>
    <row r="582" spans="1:5">
      <c r="A582" s="864">
        <v>39519</v>
      </c>
      <c r="B582" s="125" t="str">
        <f>TiposLancamentos!B19</f>
        <v>Restaurantes</v>
      </c>
      <c r="C582" s="126" t="s">
        <v>20875</v>
      </c>
      <c r="D582" s="51"/>
      <c r="E582" s="865">
        <v>15.75</v>
      </c>
    </row>
    <row r="583" spans="1:5">
      <c r="A583" s="864">
        <v>39519</v>
      </c>
      <c r="B583" s="125" t="str">
        <f>TiposLancamentos!B56</f>
        <v>Farmácia</v>
      </c>
      <c r="C583" s="126" t="s">
        <v>20876</v>
      </c>
      <c r="D583" s="51"/>
      <c r="E583" s="865">
        <v>12.3</v>
      </c>
    </row>
    <row r="584" spans="1:5">
      <c r="A584" s="864">
        <v>39519</v>
      </c>
      <c r="B584" s="125" t="str">
        <f>TiposLancamentos!B57</f>
        <v>Informática</v>
      </c>
      <c r="C584" s="126" t="s">
        <v>20877</v>
      </c>
      <c r="D584" s="51">
        <v>197.99</v>
      </c>
      <c r="E584" s="865"/>
    </row>
    <row r="585" spans="1:5">
      <c r="A585" s="864">
        <v>39519</v>
      </c>
      <c r="B585" s="125" t="str">
        <f>TiposLancamentos!B19</f>
        <v>Restaurantes</v>
      </c>
      <c r="C585" s="126" t="s">
        <v>20878</v>
      </c>
      <c r="D585" s="51"/>
      <c r="E585" s="865">
        <v>34.56</v>
      </c>
    </row>
    <row r="586" spans="1:5">
      <c r="A586" s="864">
        <v>39520</v>
      </c>
      <c r="B586" s="125" t="str">
        <f>TiposLancamentos!B20</f>
        <v>Saques</v>
      </c>
      <c r="C586" s="126" t="s">
        <v>20879</v>
      </c>
      <c r="D586" s="51"/>
      <c r="E586" s="865">
        <v>110</v>
      </c>
    </row>
    <row r="587" spans="1:5">
      <c r="A587" s="864">
        <v>39520</v>
      </c>
      <c r="B587" s="125" t="str">
        <f>TiposLancamentos!B19</f>
        <v>Restaurantes</v>
      </c>
      <c r="C587" s="126" t="s">
        <v>20809</v>
      </c>
      <c r="D587" s="51"/>
      <c r="E587" s="865">
        <v>14.9</v>
      </c>
    </row>
    <row r="588" spans="1:5">
      <c r="A588" s="864">
        <v>39520</v>
      </c>
      <c r="B588" s="125" t="str">
        <f>TiposLancamentos!B103</f>
        <v>Juros_Corr. Poupança</v>
      </c>
      <c r="C588" s="126" t="s">
        <v>20569</v>
      </c>
      <c r="D588" s="51">
        <v>1.57</v>
      </c>
      <c r="E588" s="865"/>
    </row>
    <row r="589" spans="1:5">
      <c r="A589" s="864">
        <v>39520</v>
      </c>
      <c r="B589" s="125" t="str">
        <f>TiposLancamentos!B103</f>
        <v>Juros_Corr. Poupança</v>
      </c>
      <c r="C589" s="126" t="s">
        <v>20630</v>
      </c>
      <c r="D589" s="51">
        <v>0.27</v>
      </c>
      <c r="E589" s="865"/>
    </row>
    <row r="590" spans="1:5">
      <c r="A590" s="864">
        <v>39521</v>
      </c>
      <c r="B590" s="125" t="str">
        <f>TiposLancamentos!B103</f>
        <v>Juros_Corr. Poupança</v>
      </c>
      <c r="C590" s="126" t="s">
        <v>20880</v>
      </c>
      <c r="D590" s="51">
        <v>0.13</v>
      </c>
      <c r="E590" s="865"/>
    </row>
    <row r="591" spans="1:5">
      <c r="A591" s="864">
        <v>39521</v>
      </c>
      <c r="B591" s="125" t="str">
        <f>TiposLancamentos!B95</f>
        <v>Salarios</v>
      </c>
      <c r="C591" s="126" t="s">
        <v>4916</v>
      </c>
      <c r="D591" s="51">
        <v>1747.9</v>
      </c>
      <c r="E591" s="865"/>
    </row>
    <row r="592" spans="1:5">
      <c r="A592" s="864">
        <v>39521</v>
      </c>
      <c r="B592" s="125" t="str">
        <f>TiposLancamentos!B19</f>
        <v>Restaurantes</v>
      </c>
      <c r="C592" s="126" t="s">
        <v>3287</v>
      </c>
      <c r="D592" s="51"/>
      <c r="E592" s="865">
        <v>11.6</v>
      </c>
    </row>
    <row r="593" spans="1:5">
      <c r="A593" s="864">
        <v>39521</v>
      </c>
      <c r="B593" s="125" t="str">
        <f>TiposLancamentos!B19</f>
        <v>Restaurantes</v>
      </c>
      <c r="C593" s="126" t="s">
        <v>17177</v>
      </c>
      <c r="D593" s="51"/>
      <c r="E593" s="865">
        <v>34.549999999999997</v>
      </c>
    </row>
    <row r="594" spans="1:5">
      <c r="A594" s="864">
        <v>39522</v>
      </c>
      <c r="B594" s="125" t="str">
        <f>TiposLancamentos!B16</f>
        <v>Cristiane</v>
      </c>
      <c r="C594" s="126" t="s">
        <v>9840</v>
      </c>
      <c r="D594" s="51"/>
      <c r="E594" s="865">
        <v>80.989999999999995</v>
      </c>
    </row>
    <row r="595" spans="1:5">
      <c r="A595" s="864">
        <v>39522</v>
      </c>
      <c r="B595" s="125" t="str">
        <f>TiposLancamentos!B13</f>
        <v>Moradia</v>
      </c>
      <c r="C595" s="126" t="s">
        <v>20881</v>
      </c>
      <c r="D595" s="51"/>
      <c r="E595" s="865">
        <v>288</v>
      </c>
    </row>
    <row r="596" spans="1:5">
      <c r="A596" s="864">
        <v>39522</v>
      </c>
      <c r="B596" s="125" t="str">
        <f>TiposLancamentos!B19</f>
        <v>Restaurantes</v>
      </c>
      <c r="C596" s="126" t="s">
        <v>3698</v>
      </c>
      <c r="D596" s="51"/>
      <c r="E596" s="865">
        <v>33.96</v>
      </c>
    </row>
    <row r="597" spans="1:5">
      <c r="A597" s="961">
        <v>39524</v>
      </c>
      <c r="B597" s="817" t="str">
        <f>TiposLancamentos!B8</f>
        <v>Aluguel</v>
      </c>
      <c r="C597" s="962" t="s">
        <v>20882</v>
      </c>
      <c r="D597" s="809"/>
      <c r="E597" s="965">
        <v>804.8</v>
      </c>
    </row>
    <row r="598" spans="1:5">
      <c r="A598" s="963">
        <v>39524</v>
      </c>
      <c r="B598" s="818" t="str">
        <f>TiposLancamentos!B9</f>
        <v>Condominio</v>
      </c>
      <c r="C598" s="964" t="s">
        <v>20883</v>
      </c>
      <c r="D598" s="813"/>
      <c r="E598" s="966">
        <v>206.83</v>
      </c>
    </row>
    <row r="599" spans="1:5">
      <c r="A599" s="864">
        <v>39524</v>
      </c>
      <c r="B599" s="125" t="str">
        <f>TiposLancamentos!B24</f>
        <v>Estacionamentos</v>
      </c>
      <c r="C599" s="126" t="s">
        <v>20884</v>
      </c>
      <c r="D599" s="51"/>
      <c r="E599" s="865">
        <v>33</v>
      </c>
    </row>
    <row r="600" spans="1:5">
      <c r="A600" s="864">
        <v>39524</v>
      </c>
      <c r="B600" s="125" t="str">
        <f>TiposLancamentos!B19</f>
        <v>Restaurantes</v>
      </c>
      <c r="C600" s="126" t="s">
        <v>20885</v>
      </c>
      <c r="D600" s="51"/>
      <c r="E600" s="865">
        <v>14.2</v>
      </c>
    </row>
    <row r="601" spans="1:5">
      <c r="A601" s="864">
        <v>39524</v>
      </c>
      <c r="B601" s="125" t="str">
        <f>TiposLancamentos!B19</f>
        <v>Restaurantes</v>
      </c>
      <c r="C601" s="126" t="s">
        <v>20886</v>
      </c>
      <c r="D601" s="51"/>
      <c r="E601" s="865">
        <v>9.6</v>
      </c>
    </row>
    <row r="602" spans="1:5">
      <c r="A602" s="864">
        <v>39524</v>
      </c>
      <c r="B602" s="125" t="str">
        <f>TiposLancamentos!B103</f>
        <v>Juros_Corr. Poupança</v>
      </c>
      <c r="C602" s="126" t="s">
        <v>20887</v>
      </c>
      <c r="D602" s="51">
        <v>0.99</v>
      </c>
      <c r="E602" s="865"/>
    </row>
    <row r="603" spans="1:5">
      <c r="A603" s="864">
        <v>39525</v>
      </c>
      <c r="B603" s="125" t="str">
        <f>TiposLancamentos!B71</f>
        <v>Itens Pessoais</v>
      </c>
      <c r="C603" s="126" t="s">
        <v>20888</v>
      </c>
      <c r="D603" s="51"/>
      <c r="E603" s="865">
        <v>144.5</v>
      </c>
    </row>
    <row r="604" spans="1:5">
      <c r="A604" s="864">
        <v>39525</v>
      </c>
      <c r="B604" s="125" t="str">
        <f>TiposLancamentos!B19</f>
        <v>Restaurantes</v>
      </c>
      <c r="C604" s="126" t="s">
        <v>3287</v>
      </c>
      <c r="D604" s="51"/>
      <c r="E604" s="865">
        <v>11.33</v>
      </c>
    </row>
    <row r="605" spans="1:5">
      <c r="A605" s="864">
        <v>39525</v>
      </c>
      <c r="B605" s="125" t="str">
        <f>TiposLancamentos!B71</f>
        <v>Itens Pessoais</v>
      </c>
      <c r="C605" s="126" t="s">
        <v>20889</v>
      </c>
      <c r="D605" s="51"/>
      <c r="E605" s="865">
        <v>48</v>
      </c>
    </row>
    <row r="606" spans="1:5">
      <c r="A606" s="864">
        <v>39525</v>
      </c>
      <c r="B606" s="125" t="str">
        <f>TiposLancamentos!B19</f>
        <v>Restaurantes</v>
      </c>
      <c r="C606" s="126" t="s">
        <v>20709</v>
      </c>
      <c r="D606" s="51"/>
      <c r="E606" s="865">
        <v>30.4</v>
      </c>
    </row>
    <row r="607" spans="1:5">
      <c r="A607" s="864">
        <v>39525</v>
      </c>
      <c r="B607" s="125" t="str">
        <f>TiposLancamentos!B20</f>
        <v>Saques</v>
      </c>
      <c r="C607" s="126" t="s">
        <v>2668</v>
      </c>
      <c r="D607" s="51"/>
      <c r="E607" s="865">
        <v>30</v>
      </c>
    </row>
    <row r="608" spans="1:5">
      <c r="A608" s="864">
        <v>39525</v>
      </c>
      <c r="B608" s="125" t="str">
        <f>TiposLancamentos!B13</f>
        <v>Moradia</v>
      </c>
      <c r="C608" s="126" t="s">
        <v>20890</v>
      </c>
      <c r="D608" s="51"/>
      <c r="E608" s="865">
        <v>32</v>
      </c>
    </row>
    <row r="609" spans="1:5">
      <c r="A609" s="864">
        <v>39526</v>
      </c>
      <c r="B609" s="125" t="str">
        <f>TiposLancamentos!B19</f>
        <v>Restaurantes</v>
      </c>
      <c r="C609" s="126" t="s">
        <v>20891</v>
      </c>
      <c r="D609" s="51"/>
      <c r="E609" s="865">
        <v>10.7</v>
      </c>
    </row>
    <row r="610" spans="1:5">
      <c r="A610" s="864">
        <v>39527</v>
      </c>
      <c r="B610" s="125" t="str">
        <f>TiposLancamentos!B20</f>
        <v>Saques</v>
      </c>
      <c r="C610" s="126" t="s">
        <v>2668</v>
      </c>
      <c r="D610" s="51"/>
      <c r="E610" s="865">
        <v>80</v>
      </c>
    </row>
    <row r="611" spans="1:5">
      <c r="A611" s="864">
        <v>39527</v>
      </c>
      <c r="B611" s="125" t="str">
        <f>TiposLancamentos!B19</f>
        <v>Restaurantes</v>
      </c>
      <c r="C611" s="126" t="s">
        <v>20892</v>
      </c>
      <c r="D611" s="51"/>
      <c r="E611" s="865">
        <v>31.8</v>
      </c>
    </row>
    <row r="612" spans="1:5">
      <c r="A612" s="864">
        <v>39527</v>
      </c>
      <c r="B612" s="125" t="str">
        <f>TiposLancamentos!B17</f>
        <v>GATO</v>
      </c>
      <c r="C612" s="126" t="s">
        <v>20893</v>
      </c>
      <c r="D612" s="51"/>
      <c r="E612" s="865">
        <v>34.47</v>
      </c>
    </row>
    <row r="613" spans="1:5">
      <c r="A613" s="864">
        <v>39528</v>
      </c>
      <c r="B613" s="125" t="str">
        <f>TiposLancamentos!B22</f>
        <v>Combustivel</v>
      </c>
      <c r="C613" s="126" t="s">
        <v>20894</v>
      </c>
      <c r="D613" s="51"/>
      <c r="E613" s="865">
        <v>104</v>
      </c>
    </row>
    <row r="614" spans="1:5">
      <c r="A614" s="864">
        <v>39528</v>
      </c>
      <c r="B614" s="125" t="str">
        <f>TiposLancamentos!B19</f>
        <v>Restaurantes</v>
      </c>
      <c r="C614" s="126" t="s">
        <v>3698</v>
      </c>
      <c r="D614" s="51"/>
      <c r="E614" s="865">
        <v>8.16</v>
      </c>
    </row>
    <row r="615" spans="1:5">
      <c r="A615" s="864">
        <v>39529</v>
      </c>
      <c r="B615" s="125" t="str">
        <f>TiposLancamentos!B16</f>
        <v>Cristiane</v>
      </c>
      <c r="C615" s="126" t="s">
        <v>20895</v>
      </c>
      <c r="D615" s="51"/>
      <c r="E615" s="865">
        <v>108</v>
      </c>
    </row>
    <row r="616" spans="1:5">
      <c r="A616" s="864">
        <v>39529</v>
      </c>
      <c r="B616" s="125" t="str">
        <f>TiposLancamentos!B16</f>
        <v>Cristiane</v>
      </c>
      <c r="C616" s="126" t="s">
        <v>20896</v>
      </c>
      <c r="D616" s="51"/>
      <c r="E616" s="865">
        <v>67.900000000000006</v>
      </c>
    </row>
    <row r="617" spans="1:5">
      <c r="A617" s="864">
        <v>39529</v>
      </c>
      <c r="B617" s="125" t="str">
        <f>TiposLancamentos!B20</f>
        <v>Saques</v>
      </c>
      <c r="C617" s="126" t="s">
        <v>3403</v>
      </c>
      <c r="D617" s="51"/>
      <c r="E617" s="865">
        <v>60</v>
      </c>
    </row>
    <row r="618" spans="1:5">
      <c r="A618" s="864">
        <v>39529</v>
      </c>
      <c r="B618" s="125" t="str">
        <f>TiposLancamentos!B74</f>
        <v>Noite</v>
      </c>
      <c r="C618" s="126" t="s">
        <v>20897</v>
      </c>
      <c r="D618" s="51"/>
      <c r="E618" s="865">
        <v>20.239999999999998</v>
      </c>
    </row>
    <row r="619" spans="1:5">
      <c r="A619" s="864">
        <v>39530</v>
      </c>
      <c r="B619" s="125" t="str">
        <f>TiposLancamentos!B22</f>
        <v>Combustivel</v>
      </c>
      <c r="C619" s="126" t="s">
        <v>20898</v>
      </c>
      <c r="D619" s="51"/>
      <c r="E619" s="865">
        <v>83.47</v>
      </c>
    </row>
    <row r="620" spans="1:5">
      <c r="A620" s="864">
        <v>39531</v>
      </c>
      <c r="B620" s="125" t="str">
        <f>TiposLancamentos!B97</f>
        <v>Deposito Terc.</v>
      </c>
      <c r="C620" s="126" t="s">
        <v>20899</v>
      </c>
      <c r="D620" s="51">
        <v>217</v>
      </c>
      <c r="E620" s="865"/>
    </row>
    <row r="621" spans="1:5">
      <c r="A621" s="864">
        <v>39532</v>
      </c>
      <c r="B621" s="125" t="str">
        <f>TiposLancamentos!B19</f>
        <v>Restaurantes</v>
      </c>
      <c r="C621" s="126" t="s">
        <v>3287</v>
      </c>
      <c r="D621" s="51"/>
      <c r="E621" s="865">
        <v>16.100000000000001</v>
      </c>
    </row>
    <row r="622" spans="1:5">
      <c r="A622" s="864">
        <v>39533</v>
      </c>
      <c r="B622" s="125" t="str">
        <f>TiposLancamentos!B19</f>
        <v>Restaurantes</v>
      </c>
      <c r="C622" s="126" t="s">
        <v>3550</v>
      </c>
      <c r="D622" s="51"/>
      <c r="E622" s="865">
        <v>4.3</v>
      </c>
    </row>
    <row r="623" spans="1:5">
      <c r="A623" s="864">
        <v>39533</v>
      </c>
      <c r="B623" s="125" t="str">
        <f>TiposLancamentos!B19</f>
        <v>Restaurantes</v>
      </c>
      <c r="C623" s="126" t="s">
        <v>20900</v>
      </c>
      <c r="D623" s="51"/>
      <c r="E623" s="865">
        <v>12.29</v>
      </c>
    </row>
    <row r="624" spans="1:5">
      <c r="A624" s="864">
        <v>39533</v>
      </c>
      <c r="B624" s="125" t="str">
        <f>TiposLancamentos!B19</f>
        <v>Restaurantes</v>
      </c>
      <c r="C624" s="126" t="s">
        <v>20901</v>
      </c>
      <c r="D624" s="51"/>
      <c r="E624" s="865">
        <v>32.5</v>
      </c>
    </row>
    <row r="625" spans="1:5">
      <c r="A625" s="864">
        <v>39534</v>
      </c>
      <c r="B625" s="125" t="str">
        <f>TiposLancamentos!B19</f>
        <v>Restaurantes</v>
      </c>
      <c r="C625" s="126" t="s">
        <v>20902</v>
      </c>
      <c r="D625" s="51"/>
      <c r="E625" s="865">
        <v>15.8</v>
      </c>
    </row>
    <row r="626" spans="1:5">
      <c r="A626" s="864">
        <v>39534</v>
      </c>
      <c r="B626" s="125" t="str">
        <f>TiposLancamentos!B19</f>
        <v>Restaurantes</v>
      </c>
      <c r="C626" s="126" t="s">
        <v>17177</v>
      </c>
      <c r="D626" s="51"/>
      <c r="E626" s="865">
        <v>28.25</v>
      </c>
    </row>
    <row r="627" spans="1:5">
      <c r="A627" s="864">
        <v>39535</v>
      </c>
      <c r="B627" s="125" t="str">
        <f>TiposLancamentos!B103</f>
        <v>Juros_Corr. Poupança</v>
      </c>
      <c r="C627" s="126" t="s">
        <v>20569</v>
      </c>
      <c r="D627" s="51">
        <v>6.55</v>
      </c>
      <c r="E627" s="865"/>
    </row>
    <row r="628" spans="1:5">
      <c r="A628" s="864">
        <v>39535</v>
      </c>
      <c r="B628" s="125" t="str">
        <f>TiposLancamentos!B103</f>
        <v>Juros_Corr. Poupança</v>
      </c>
      <c r="C628" s="126" t="s">
        <v>20630</v>
      </c>
      <c r="D628" s="51">
        <v>0.93</v>
      </c>
      <c r="E628" s="865"/>
    </row>
    <row r="629" spans="1:5">
      <c r="A629" s="864">
        <v>39535</v>
      </c>
      <c r="B629" s="125" t="str">
        <f>TiposLancamentos!B103</f>
        <v>Juros_Corr. Poupança</v>
      </c>
      <c r="C629" s="126" t="s">
        <v>20903</v>
      </c>
      <c r="D629" s="51">
        <v>0.1</v>
      </c>
      <c r="E629" s="865"/>
    </row>
    <row r="630" spans="1:5">
      <c r="A630" s="864">
        <v>39536</v>
      </c>
      <c r="B630" s="125" t="str">
        <f>TiposLancamentos!B19</f>
        <v>Restaurantes</v>
      </c>
      <c r="C630" s="126" t="s">
        <v>20904</v>
      </c>
      <c r="D630" s="51"/>
      <c r="E630" s="865">
        <v>46</v>
      </c>
    </row>
    <row r="631" spans="1:5">
      <c r="A631" s="864">
        <v>39537</v>
      </c>
      <c r="B631" s="125" t="str">
        <f>TiposLancamentos!B19</f>
        <v>Restaurantes</v>
      </c>
      <c r="C631" s="126" t="s">
        <v>20905</v>
      </c>
      <c r="D631" s="51"/>
      <c r="E631" s="865">
        <v>13.68</v>
      </c>
    </row>
    <row r="632" spans="1:5">
      <c r="A632" s="864">
        <v>39538</v>
      </c>
      <c r="B632" s="125" t="str">
        <f>TiposLancamentos!B95</f>
        <v>Salarios</v>
      </c>
      <c r="C632" s="126" t="s">
        <v>4939</v>
      </c>
      <c r="D632" s="51">
        <v>5084.1099999999997</v>
      </c>
      <c r="E632" s="865"/>
    </row>
    <row r="633" spans="1:5">
      <c r="A633" s="864">
        <v>39538</v>
      </c>
      <c r="B633" s="125" t="str">
        <f>TiposLancamentos!B73</f>
        <v>Cursos</v>
      </c>
      <c r="C633" s="126" t="s">
        <v>20906</v>
      </c>
      <c r="D633" s="51"/>
      <c r="E633" s="865">
        <v>95</v>
      </c>
    </row>
    <row r="634" spans="1:5">
      <c r="A634" s="864">
        <v>39538</v>
      </c>
      <c r="B634" s="125" t="str">
        <f>TiposLancamentos!B19</f>
        <v>Restaurantes</v>
      </c>
      <c r="C634" s="126" t="s">
        <v>20907</v>
      </c>
      <c r="D634" s="51"/>
      <c r="E634" s="865">
        <v>12</v>
      </c>
    </row>
    <row r="635" spans="1:5">
      <c r="A635" s="864">
        <v>39538</v>
      </c>
      <c r="B635" s="125" t="str">
        <f>TiposLancamentos!B19</f>
        <v>Restaurantes</v>
      </c>
      <c r="C635" s="126" t="s">
        <v>20908</v>
      </c>
      <c r="D635" s="51"/>
      <c r="E635" s="865">
        <v>4.9000000000000004</v>
      </c>
    </row>
    <row r="636" spans="1:5" ht="14.25" thickBot="1">
      <c r="A636" s="864">
        <v>39538</v>
      </c>
      <c r="B636" s="125" t="str">
        <f>TiposLancamentos!B19</f>
        <v>Restaurantes</v>
      </c>
      <c r="C636" s="126" t="s">
        <v>10746</v>
      </c>
      <c r="D636" s="51"/>
      <c r="E636" s="865">
        <v>6.77</v>
      </c>
    </row>
    <row r="637" spans="1:5" ht="14.25" thickBot="1">
      <c r="A637" s="995"/>
      <c r="B637" s="989"/>
      <c r="C637" s="990" t="s">
        <v>20909</v>
      </c>
      <c r="D637" s="991"/>
      <c r="E637" s="994"/>
    </row>
    <row r="638" spans="1:5">
      <c r="A638" s="864">
        <v>39539</v>
      </c>
      <c r="B638" s="125" t="str">
        <f>TiposLancamentos!B2</f>
        <v>Telefonia</v>
      </c>
      <c r="C638" s="126" t="s">
        <v>5373</v>
      </c>
      <c r="D638" s="51"/>
      <c r="E638" s="865">
        <v>40.17</v>
      </c>
    </row>
    <row r="639" spans="1:5">
      <c r="A639" s="864">
        <v>39539</v>
      </c>
      <c r="B639" s="125" t="str">
        <f>TiposLancamentos!B3</f>
        <v>Internet</v>
      </c>
      <c r="C639" s="126" t="s">
        <v>4987</v>
      </c>
      <c r="D639" s="51"/>
      <c r="E639" s="865">
        <v>89.9</v>
      </c>
    </row>
    <row r="640" spans="1:5">
      <c r="A640" s="864">
        <v>39539</v>
      </c>
      <c r="B640" s="125" t="str">
        <f>TiposLancamentos!B15</f>
        <v>Cartões de Crédito</v>
      </c>
      <c r="C640" s="126" t="s">
        <v>5558</v>
      </c>
      <c r="D640" s="51"/>
      <c r="E640" s="865">
        <v>174.8</v>
      </c>
    </row>
    <row r="641" spans="1:5">
      <c r="A641" s="864">
        <v>39539</v>
      </c>
      <c r="B641" s="125" t="str">
        <f>TiposLancamentos!B15</f>
        <v>Cartões de Crédito</v>
      </c>
      <c r="C641" s="126" t="s">
        <v>5700</v>
      </c>
      <c r="D641" s="51"/>
      <c r="E641" s="865">
        <v>204.35</v>
      </c>
    </row>
    <row r="642" spans="1:5">
      <c r="A642" s="864">
        <v>39539</v>
      </c>
      <c r="B642" s="125" t="str">
        <f>TiposLancamentos!B15</f>
        <v>Cartões de Crédito</v>
      </c>
      <c r="C642" s="126" t="s">
        <v>20597</v>
      </c>
      <c r="D642" s="51"/>
      <c r="E642" s="865">
        <v>974.01</v>
      </c>
    </row>
    <row r="643" spans="1:5">
      <c r="A643" s="864">
        <v>39539</v>
      </c>
      <c r="B643" s="125" t="str">
        <f>TiposLancamentos!B6</f>
        <v>Energia Eletrica</v>
      </c>
      <c r="C643" s="126" t="s">
        <v>20910</v>
      </c>
      <c r="D643" s="51"/>
      <c r="E643" s="865">
        <v>81.180000000000007</v>
      </c>
    </row>
    <row r="644" spans="1:5">
      <c r="A644" s="864">
        <v>39539</v>
      </c>
      <c r="B644" s="125" t="str">
        <f>TiposLancamentos!B35</f>
        <v>Tv à Cabo</v>
      </c>
      <c r="C644" s="126" t="s">
        <v>20911</v>
      </c>
      <c r="D644" s="51"/>
      <c r="E644" s="865">
        <v>312.99</v>
      </c>
    </row>
    <row r="645" spans="1:5">
      <c r="A645" s="864">
        <v>39539</v>
      </c>
      <c r="B645" s="125" t="str">
        <f>TiposLancamentos!B34</f>
        <v>Seguros</v>
      </c>
      <c r="C645" s="126" t="s">
        <v>20912</v>
      </c>
      <c r="D645" s="51"/>
      <c r="E645" s="865">
        <v>471.63</v>
      </c>
    </row>
    <row r="646" spans="1:5">
      <c r="A646" s="864">
        <v>39539</v>
      </c>
      <c r="B646" s="125" t="str">
        <f>TiposLancamentos!B103</f>
        <v>Juros_Corr. Poupança</v>
      </c>
      <c r="C646" s="126" t="s">
        <v>20569</v>
      </c>
      <c r="D646" s="51">
        <v>17.25</v>
      </c>
      <c r="E646" s="865"/>
    </row>
    <row r="647" spans="1:5">
      <c r="A647" s="864">
        <v>39539</v>
      </c>
      <c r="B647" s="125" t="str">
        <f>TiposLancamentos!B103</f>
        <v>Juros_Corr. Poupança</v>
      </c>
      <c r="C647" s="126" t="s">
        <v>20570</v>
      </c>
      <c r="D647" s="51">
        <v>1.41</v>
      </c>
      <c r="E647" s="865"/>
    </row>
    <row r="648" spans="1:5">
      <c r="A648" s="864">
        <v>39539</v>
      </c>
      <c r="B648" s="125" t="str">
        <f>TiposLancamentos!B19</f>
        <v>Restaurantes</v>
      </c>
      <c r="C648" s="126" t="s">
        <v>20913</v>
      </c>
      <c r="D648" s="51"/>
      <c r="E648" s="865">
        <v>11.6</v>
      </c>
    </row>
    <row r="649" spans="1:5">
      <c r="A649" s="864">
        <v>39540</v>
      </c>
      <c r="B649" s="125" t="str">
        <f>TiposLancamentos!B19</f>
        <v>Restaurantes</v>
      </c>
      <c r="C649" s="126" t="s">
        <v>3755</v>
      </c>
      <c r="D649" s="51"/>
      <c r="E649" s="865">
        <v>15.9</v>
      </c>
    </row>
    <row r="650" spans="1:5">
      <c r="A650" s="864">
        <v>39540</v>
      </c>
      <c r="B650" s="125" t="str">
        <f>TiposLancamentos!B19</f>
        <v>Restaurantes</v>
      </c>
      <c r="C650" s="126" t="s">
        <v>20914</v>
      </c>
      <c r="D650" s="51"/>
      <c r="E650" s="865">
        <v>179.7</v>
      </c>
    </row>
    <row r="651" spans="1:5">
      <c r="A651" s="864">
        <v>39540</v>
      </c>
      <c r="B651" s="125" t="str">
        <f>TiposLancamentos!B19</f>
        <v>Restaurantes</v>
      </c>
      <c r="C651" s="126" t="s">
        <v>20915</v>
      </c>
      <c r="D651" s="51"/>
      <c r="E651" s="865">
        <v>33.94</v>
      </c>
    </row>
    <row r="652" spans="1:5">
      <c r="A652" s="864">
        <v>39541</v>
      </c>
      <c r="B652" s="125" t="str">
        <f>TiposLancamentos!B19</f>
        <v>Restaurantes</v>
      </c>
      <c r="C652" s="126" t="s">
        <v>20916</v>
      </c>
      <c r="D652" s="51"/>
      <c r="E652" s="865">
        <v>27</v>
      </c>
    </row>
    <row r="653" spans="1:5">
      <c r="A653" s="864">
        <v>39541</v>
      </c>
      <c r="B653" s="125" t="str">
        <f>TiposLancamentos!B5</f>
        <v>Supermercado</v>
      </c>
      <c r="C653" s="126" t="s">
        <v>20917</v>
      </c>
      <c r="D653" s="51"/>
      <c r="E653" s="865">
        <v>70.650000000000006</v>
      </c>
    </row>
    <row r="654" spans="1:5">
      <c r="A654" s="864">
        <v>39542</v>
      </c>
      <c r="B654" s="125" t="str">
        <f>TiposLancamentos!B19</f>
        <v>Restaurantes</v>
      </c>
      <c r="C654" s="126" t="s">
        <v>20918</v>
      </c>
      <c r="D654" s="51"/>
      <c r="E654" s="865">
        <v>8.48</v>
      </c>
    </row>
    <row r="655" spans="1:5">
      <c r="A655" s="864">
        <v>39542</v>
      </c>
      <c r="B655" s="125" t="str">
        <f>TiposLancamentos!B71</f>
        <v>Itens Pessoais</v>
      </c>
      <c r="C655" s="126" t="s">
        <v>20919</v>
      </c>
      <c r="D655" s="51"/>
      <c r="E655" s="865">
        <v>89</v>
      </c>
    </row>
    <row r="656" spans="1:5">
      <c r="A656" s="864">
        <v>39542</v>
      </c>
      <c r="B656" s="125" t="str">
        <f>TiposLancamentos!B22</f>
        <v>Combustivel</v>
      </c>
      <c r="C656" s="126" t="s">
        <v>20555</v>
      </c>
      <c r="D656" s="51"/>
      <c r="E656" s="865">
        <v>126</v>
      </c>
    </row>
    <row r="657" spans="1:5">
      <c r="A657" s="864">
        <v>39543</v>
      </c>
      <c r="B657" s="125" t="str">
        <f>TiposLancamentos!B19</f>
        <v>Restaurantes</v>
      </c>
      <c r="C657" s="126" t="s">
        <v>20920</v>
      </c>
      <c r="D657" s="51"/>
      <c r="E657" s="865">
        <v>23.5</v>
      </c>
    </row>
    <row r="658" spans="1:5">
      <c r="A658" s="864">
        <v>39543</v>
      </c>
      <c r="B658" s="125" t="str">
        <f>TiposLancamentos!B56</f>
        <v>Farmácia</v>
      </c>
      <c r="C658" s="126" t="s">
        <v>20921</v>
      </c>
      <c r="D658" s="51"/>
      <c r="E658" s="865">
        <v>40.69</v>
      </c>
    </row>
    <row r="659" spans="1:5">
      <c r="A659" s="864">
        <v>39545</v>
      </c>
      <c r="B659" s="125" t="str">
        <f>TiposLancamentos!B16</f>
        <v>Cristiane</v>
      </c>
      <c r="C659" s="126" t="s">
        <v>20922</v>
      </c>
      <c r="D659" s="51"/>
      <c r="E659" s="865">
        <v>272</v>
      </c>
    </row>
    <row r="660" spans="1:5">
      <c r="A660" s="864">
        <v>39545</v>
      </c>
      <c r="B660" s="125" t="str">
        <f>TiposLancamentos!B19</f>
        <v>Restaurantes</v>
      </c>
      <c r="C660" s="126" t="s">
        <v>20856</v>
      </c>
      <c r="D660" s="51"/>
      <c r="E660" s="865">
        <v>12.4</v>
      </c>
    </row>
    <row r="661" spans="1:5">
      <c r="A661" s="864">
        <v>39545</v>
      </c>
      <c r="B661" s="125" t="str">
        <f>TiposLancamentos!B57</f>
        <v>Informática</v>
      </c>
      <c r="C661" s="126" t="s">
        <v>20923</v>
      </c>
      <c r="D661" s="51"/>
      <c r="E661" s="865">
        <v>121</v>
      </c>
    </row>
    <row r="662" spans="1:5">
      <c r="A662" s="864">
        <v>39545</v>
      </c>
      <c r="B662" s="125" t="str">
        <f>TiposLancamentos!B57</f>
        <v>Informática</v>
      </c>
      <c r="C662" s="126" t="s">
        <v>20924</v>
      </c>
      <c r="D662" s="51"/>
      <c r="E662" s="865">
        <v>25.4</v>
      </c>
    </row>
    <row r="663" spans="1:5">
      <c r="A663" s="864">
        <v>39545</v>
      </c>
      <c r="B663" s="125" t="str">
        <f>TiposLancamentos!B19</f>
        <v>Restaurantes</v>
      </c>
      <c r="C663" s="126" t="s">
        <v>20925</v>
      </c>
      <c r="D663" s="51"/>
      <c r="E663" s="865">
        <v>33.76</v>
      </c>
    </row>
    <row r="664" spans="1:5">
      <c r="A664" s="864">
        <v>39545</v>
      </c>
      <c r="B664" s="125" t="str">
        <f>TiposLancamentos!B72</f>
        <v>Presentes</v>
      </c>
      <c r="C664" s="126" t="s">
        <v>20926</v>
      </c>
      <c r="D664" s="51"/>
      <c r="E664" s="865">
        <v>20</v>
      </c>
    </row>
    <row r="665" spans="1:5">
      <c r="A665" s="864">
        <v>39547</v>
      </c>
      <c r="B665" s="125" t="str">
        <f>TiposLancamentos!B19</f>
        <v>Restaurantes</v>
      </c>
      <c r="C665" s="126" t="s">
        <v>20927</v>
      </c>
      <c r="D665" s="51"/>
      <c r="E665" s="865">
        <v>12</v>
      </c>
    </row>
    <row r="666" spans="1:5">
      <c r="A666" s="864">
        <v>39548</v>
      </c>
      <c r="B666" s="125" t="str">
        <f>TiposLancamentos!B19</f>
        <v>Restaurantes</v>
      </c>
      <c r="C666" s="126" t="s">
        <v>3287</v>
      </c>
      <c r="D666" s="51"/>
      <c r="E666" s="865">
        <v>10.7</v>
      </c>
    </row>
    <row r="667" spans="1:5">
      <c r="A667" s="864">
        <v>39548</v>
      </c>
      <c r="B667" s="125" t="str">
        <f>TiposLancamentos!B56</f>
        <v>Farmácia</v>
      </c>
      <c r="C667" s="126" t="s">
        <v>20928</v>
      </c>
      <c r="D667" s="51"/>
      <c r="E667" s="865">
        <v>135.01</v>
      </c>
    </row>
    <row r="668" spans="1:5">
      <c r="A668" s="864">
        <v>39548</v>
      </c>
      <c r="B668" s="125" t="str">
        <f>TiposLancamentos!B19</f>
        <v>Restaurantes</v>
      </c>
      <c r="C668" s="126" t="s">
        <v>20929</v>
      </c>
      <c r="D668" s="51"/>
      <c r="E668" s="865">
        <v>37.18</v>
      </c>
    </row>
    <row r="669" spans="1:5">
      <c r="A669" s="961">
        <v>39549</v>
      </c>
      <c r="B669" s="817" t="str">
        <f>TiposLancamentos!B8</f>
        <v>Aluguel</v>
      </c>
      <c r="C669" s="962" t="s">
        <v>20930</v>
      </c>
      <c r="D669" s="809"/>
      <c r="E669" s="965">
        <v>848.25</v>
      </c>
    </row>
    <row r="670" spans="1:5">
      <c r="A670" s="963">
        <v>39549</v>
      </c>
      <c r="B670" s="818" t="str">
        <f>TiposLancamentos!B9</f>
        <v>Condominio</v>
      </c>
      <c r="C670" s="964" t="s">
        <v>20931</v>
      </c>
      <c r="D670" s="813"/>
      <c r="E670" s="966">
        <v>212.82</v>
      </c>
    </row>
    <row r="671" spans="1:5">
      <c r="A671" s="864">
        <v>39549</v>
      </c>
      <c r="B671" s="125" t="str">
        <f>TiposLancamentos!B19</f>
        <v>Restaurantes</v>
      </c>
      <c r="C671" s="126" t="s">
        <v>20932</v>
      </c>
      <c r="D671" s="51"/>
      <c r="E671" s="865">
        <v>17.47</v>
      </c>
    </row>
    <row r="672" spans="1:5">
      <c r="A672" s="864">
        <v>39550</v>
      </c>
      <c r="B672" s="125" t="str">
        <f>TiposLancamentos!B19</f>
        <v>Restaurantes</v>
      </c>
      <c r="C672" s="126" t="s">
        <v>20933</v>
      </c>
      <c r="D672" s="51"/>
      <c r="E672" s="865">
        <v>20.350000000000001</v>
      </c>
    </row>
    <row r="673" spans="1:5">
      <c r="A673" s="864">
        <v>39550</v>
      </c>
      <c r="B673" s="125" t="str">
        <f>TiposLancamentos!B71</f>
        <v>Itens Pessoais</v>
      </c>
      <c r="C673" s="126" t="s">
        <v>20934</v>
      </c>
      <c r="D673" s="51"/>
      <c r="E673" s="865">
        <v>21.9</v>
      </c>
    </row>
    <row r="674" spans="1:5">
      <c r="A674" s="864">
        <v>39550</v>
      </c>
      <c r="B674" s="125" t="str">
        <f>TiposLancamentos!B19</f>
        <v>Restaurantes</v>
      </c>
      <c r="C674" s="126" t="s">
        <v>20935</v>
      </c>
      <c r="D674" s="51"/>
      <c r="E674" s="865">
        <v>39.89</v>
      </c>
    </row>
    <row r="675" spans="1:5">
      <c r="A675" s="864">
        <v>39551</v>
      </c>
      <c r="B675" s="125" t="str">
        <f>TiposLancamentos!B19</f>
        <v>Restaurantes</v>
      </c>
      <c r="C675" s="126" t="s">
        <v>3287</v>
      </c>
      <c r="D675" s="51"/>
      <c r="E675" s="865">
        <v>35.799999999999997</v>
      </c>
    </row>
    <row r="676" spans="1:5">
      <c r="A676" s="864">
        <v>39551</v>
      </c>
      <c r="B676" s="125" t="str">
        <f>TiposLancamentos!B19</f>
        <v>Restaurantes</v>
      </c>
      <c r="C676" s="126" t="s">
        <v>20936</v>
      </c>
      <c r="D676" s="51"/>
      <c r="E676" s="865">
        <v>10.5</v>
      </c>
    </row>
    <row r="677" spans="1:5">
      <c r="A677" s="864">
        <v>39551</v>
      </c>
      <c r="B677" s="125" t="str">
        <f>TiposLancamentos!B57</f>
        <v>Informática</v>
      </c>
      <c r="C677" s="126" t="s">
        <v>20937</v>
      </c>
      <c r="D677" s="51"/>
      <c r="E677" s="865">
        <v>299</v>
      </c>
    </row>
    <row r="678" spans="1:5">
      <c r="A678" s="864">
        <v>39551</v>
      </c>
      <c r="B678" s="125" t="str">
        <f>TiposLancamentos!B57</f>
        <v>Informática</v>
      </c>
      <c r="C678" s="126" t="s">
        <v>20938</v>
      </c>
      <c r="D678" s="51"/>
      <c r="E678" s="865">
        <v>23.6</v>
      </c>
    </row>
    <row r="679" spans="1:5">
      <c r="A679" s="864">
        <v>39551</v>
      </c>
      <c r="B679" s="125" t="str">
        <f>TiposLancamentos!B17</f>
        <v>GATO</v>
      </c>
      <c r="C679" s="126" t="s">
        <v>20939</v>
      </c>
      <c r="D679" s="51"/>
      <c r="E679" s="865">
        <v>16.350000000000001</v>
      </c>
    </row>
    <row r="680" spans="1:5">
      <c r="A680" s="864">
        <v>39551</v>
      </c>
      <c r="B680" s="125" t="str">
        <f>TiposLancamentos!B19</f>
        <v>Restaurantes</v>
      </c>
      <c r="C680" s="126" t="s">
        <v>20940</v>
      </c>
      <c r="D680" s="51"/>
      <c r="E680" s="865">
        <v>25.35</v>
      </c>
    </row>
    <row r="681" spans="1:5">
      <c r="A681" s="864">
        <v>39552</v>
      </c>
      <c r="B681" s="125" t="str">
        <f>TiposLancamentos!B19</f>
        <v>Restaurantes</v>
      </c>
      <c r="C681" s="126" t="s">
        <v>3287</v>
      </c>
      <c r="D681" s="51"/>
      <c r="E681" s="865">
        <v>16.100000000000001</v>
      </c>
    </row>
    <row r="682" spans="1:5">
      <c r="A682" s="864">
        <v>39553</v>
      </c>
      <c r="B682" s="125" t="str">
        <f>TiposLancamentos!B95</f>
        <v>Salarios</v>
      </c>
      <c r="C682" s="126" t="s">
        <v>4916</v>
      </c>
      <c r="D682" s="51">
        <v>1747.9</v>
      </c>
      <c r="E682" s="865"/>
    </row>
    <row r="683" spans="1:5">
      <c r="A683" s="864">
        <v>39553</v>
      </c>
      <c r="B683" s="125" t="str">
        <f>TiposLancamentos!B33</f>
        <v>Pedágios</v>
      </c>
      <c r="C683" s="126" t="s">
        <v>20941</v>
      </c>
      <c r="D683" s="51"/>
      <c r="E683" s="865">
        <v>89.4</v>
      </c>
    </row>
    <row r="684" spans="1:5">
      <c r="A684" s="864">
        <v>39553</v>
      </c>
      <c r="B684" s="125" t="str">
        <f>TiposLancamentos!B19</f>
        <v>Restaurantes</v>
      </c>
      <c r="C684" s="126" t="s">
        <v>20942</v>
      </c>
      <c r="D684" s="51"/>
      <c r="E684" s="865">
        <v>12</v>
      </c>
    </row>
    <row r="685" spans="1:5">
      <c r="A685" s="864">
        <v>39553</v>
      </c>
      <c r="B685" s="125" t="str">
        <f>TiposLancamentos!B56</f>
        <v>Farmácia</v>
      </c>
      <c r="C685" s="126" t="s">
        <v>7453</v>
      </c>
      <c r="D685" s="51"/>
      <c r="E685" s="865">
        <v>29.84</v>
      </c>
    </row>
    <row r="686" spans="1:5">
      <c r="A686" s="864">
        <v>39554</v>
      </c>
      <c r="B686" s="125" t="str">
        <f>TiposLancamentos!B19</f>
        <v>Restaurantes</v>
      </c>
      <c r="C686" s="126" t="s">
        <v>20943</v>
      </c>
      <c r="D686" s="51"/>
      <c r="E686" s="865">
        <v>9.9</v>
      </c>
    </row>
    <row r="687" spans="1:5">
      <c r="A687" s="864">
        <v>39554</v>
      </c>
      <c r="B687" s="125" t="str">
        <f>TiposLancamentos!B19</f>
        <v>Restaurantes</v>
      </c>
      <c r="C687" s="126" t="s">
        <v>3427</v>
      </c>
      <c r="D687" s="51"/>
      <c r="E687" s="865">
        <v>4.9000000000000004</v>
      </c>
    </row>
    <row r="688" spans="1:5">
      <c r="A688" s="864">
        <v>39554</v>
      </c>
      <c r="B688" s="125" t="str">
        <f>TiposLancamentos!B72</f>
        <v>Presentes</v>
      </c>
      <c r="C688" s="126" t="s">
        <v>20944</v>
      </c>
      <c r="D688" s="51"/>
      <c r="E688" s="865">
        <v>649</v>
      </c>
    </row>
    <row r="689" spans="1:5">
      <c r="A689" s="864">
        <v>39554</v>
      </c>
      <c r="B689" s="125" t="str">
        <f>TiposLancamentos!B14</f>
        <v>Gás de cozinha</v>
      </c>
      <c r="C689" s="126"/>
      <c r="D689" s="51"/>
      <c r="E689" s="865">
        <v>19.93</v>
      </c>
    </row>
    <row r="690" spans="1:5">
      <c r="A690" s="864">
        <v>39555</v>
      </c>
      <c r="B690" s="125" t="str">
        <f>TiposLancamentos!B19</f>
        <v>Restaurantes</v>
      </c>
      <c r="C690" s="126" t="s">
        <v>20945</v>
      </c>
      <c r="D690" s="51"/>
      <c r="E690" s="865">
        <v>17.5</v>
      </c>
    </row>
    <row r="691" spans="1:5">
      <c r="A691" s="864">
        <v>39555</v>
      </c>
      <c r="B691" s="125" t="str">
        <f>TiposLancamentos!B19</f>
        <v>Restaurantes</v>
      </c>
      <c r="C691" s="126" t="s">
        <v>20946</v>
      </c>
      <c r="D691" s="51"/>
      <c r="E691" s="865">
        <v>29.91</v>
      </c>
    </row>
    <row r="692" spans="1:5">
      <c r="A692" s="864">
        <v>39556</v>
      </c>
      <c r="B692" s="125" t="str">
        <f>TiposLancamentos!B19</f>
        <v>Restaurantes</v>
      </c>
      <c r="C692" s="126" t="s">
        <v>20947</v>
      </c>
      <c r="D692" s="51"/>
      <c r="E692" s="865">
        <v>26.52</v>
      </c>
    </row>
    <row r="693" spans="1:5">
      <c r="A693" s="864">
        <v>39558</v>
      </c>
      <c r="B693" s="125" t="str">
        <f>TiposLancamentos!B16</f>
        <v>Cristiane</v>
      </c>
      <c r="C693" s="126" t="s">
        <v>20948</v>
      </c>
      <c r="D693" s="51"/>
      <c r="E693" s="865">
        <v>19.87</v>
      </c>
    </row>
    <row r="694" spans="1:5">
      <c r="A694" s="864">
        <v>39558</v>
      </c>
      <c r="B694" s="125" t="str">
        <f>TiposLancamentos!B17</f>
        <v>GATO</v>
      </c>
      <c r="C694" s="126" t="s">
        <v>20949</v>
      </c>
      <c r="D694" s="51"/>
      <c r="E694" s="865">
        <v>54.57</v>
      </c>
    </row>
    <row r="695" spans="1:5">
      <c r="A695" s="864">
        <v>39558</v>
      </c>
      <c r="B695" s="125" t="str">
        <f>TiposLancamentos!B19</f>
        <v>Restaurantes</v>
      </c>
      <c r="C695" s="126" t="s">
        <v>20950</v>
      </c>
      <c r="D695" s="51"/>
      <c r="E695" s="865">
        <v>13.5</v>
      </c>
    </row>
    <row r="696" spans="1:5">
      <c r="A696" s="864">
        <v>39559</v>
      </c>
      <c r="B696" s="125" t="str">
        <f>TiposLancamentos!B19</f>
        <v>Restaurantes</v>
      </c>
      <c r="C696" s="126" t="s">
        <v>20951</v>
      </c>
      <c r="D696" s="51"/>
      <c r="E696" s="865">
        <v>37.56</v>
      </c>
    </row>
    <row r="697" spans="1:5">
      <c r="A697" s="864">
        <v>39563</v>
      </c>
      <c r="B697" s="125" t="str">
        <f>TiposLancamentos!B20</f>
        <v>Saques</v>
      </c>
      <c r="C697" s="126" t="s">
        <v>2655</v>
      </c>
      <c r="D697" s="51"/>
      <c r="E697" s="865">
        <v>20</v>
      </c>
    </row>
    <row r="698" spans="1:5">
      <c r="A698" s="864">
        <v>39564</v>
      </c>
      <c r="B698" s="125" t="str">
        <f>TiposLancamentos!B71</f>
        <v>Itens Pessoais</v>
      </c>
      <c r="C698" s="126" t="s">
        <v>5611</v>
      </c>
      <c r="D698" s="51"/>
      <c r="E698" s="865">
        <v>15</v>
      </c>
    </row>
    <row r="699" spans="1:5">
      <c r="A699" s="864">
        <v>39564</v>
      </c>
      <c r="B699" s="125" t="str">
        <f>TiposLancamentos!B19</f>
        <v>Restaurantes</v>
      </c>
      <c r="C699" s="126" t="s">
        <v>20952</v>
      </c>
      <c r="D699" s="51"/>
      <c r="E699" s="865">
        <v>39.119999999999997</v>
      </c>
    </row>
    <row r="700" spans="1:5">
      <c r="A700" s="864">
        <v>39565</v>
      </c>
      <c r="B700" s="125" t="str">
        <f>TiposLancamentos!B5</f>
        <v>Supermercado</v>
      </c>
      <c r="C700" s="126" t="s">
        <v>20953</v>
      </c>
      <c r="D700" s="51"/>
      <c r="E700" s="865">
        <v>26.3</v>
      </c>
    </row>
    <row r="701" spans="1:5">
      <c r="A701" s="864">
        <v>39565</v>
      </c>
      <c r="B701" s="125" t="str">
        <f>TiposLancamentos!B5</f>
        <v>Supermercado</v>
      </c>
      <c r="C701" s="126" t="s">
        <v>5930</v>
      </c>
      <c r="D701" s="51"/>
      <c r="E701" s="865">
        <v>4.45</v>
      </c>
    </row>
    <row r="702" spans="1:5">
      <c r="A702" s="864">
        <v>39565</v>
      </c>
      <c r="B702" s="125" t="str">
        <f>TiposLancamentos!B19</f>
        <v>Restaurantes</v>
      </c>
      <c r="C702" s="126" t="s">
        <v>20954</v>
      </c>
      <c r="D702" s="51"/>
      <c r="E702" s="865">
        <v>16.34</v>
      </c>
    </row>
    <row r="703" spans="1:5">
      <c r="A703" s="864">
        <v>39566</v>
      </c>
      <c r="B703" s="125" t="str">
        <f>TiposLancamentos!B20</f>
        <v>Saques</v>
      </c>
      <c r="C703" s="126" t="s">
        <v>5243</v>
      </c>
      <c r="D703" s="51"/>
      <c r="E703" s="865">
        <v>20</v>
      </c>
    </row>
    <row r="704" spans="1:5">
      <c r="A704" s="864">
        <v>39566</v>
      </c>
      <c r="B704" s="125" t="str">
        <f>TiposLancamentos!B103</f>
        <v>Juros_Corr. Poupança</v>
      </c>
      <c r="C704" s="126" t="s">
        <v>20569</v>
      </c>
      <c r="D704" s="51">
        <v>6.45</v>
      </c>
      <c r="E704" s="865"/>
    </row>
    <row r="705" spans="1:5">
      <c r="A705" s="864">
        <v>39566</v>
      </c>
      <c r="B705" s="125" t="str">
        <f>TiposLancamentos!B103</f>
        <v>Juros_Corr. Poupança</v>
      </c>
      <c r="C705" s="126" t="s">
        <v>20570</v>
      </c>
      <c r="D705" s="51">
        <v>0.64</v>
      </c>
      <c r="E705" s="865"/>
    </row>
    <row r="706" spans="1:5">
      <c r="A706" s="864">
        <v>39566</v>
      </c>
      <c r="B706" s="125" t="str">
        <f>TiposLancamentos!B103</f>
        <v>Juros_Corr. Poupança</v>
      </c>
      <c r="C706" s="126" t="s">
        <v>20903</v>
      </c>
      <c r="D706" s="51">
        <v>0.46</v>
      </c>
      <c r="E706" s="865"/>
    </row>
    <row r="707" spans="1:5">
      <c r="A707" s="864">
        <v>39566</v>
      </c>
      <c r="B707" s="125" t="str">
        <f>TiposLancamentos!B103</f>
        <v>Juros_Corr. Poupança</v>
      </c>
      <c r="C707" s="126" t="s">
        <v>20903</v>
      </c>
      <c r="D707" s="51">
        <v>3.87</v>
      </c>
      <c r="E707" s="865"/>
    </row>
    <row r="708" spans="1:5">
      <c r="A708" s="864">
        <v>39567</v>
      </c>
      <c r="B708" s="125" t="str">
        <f>TiposLancamentos!B22</f>
        <v>Combustivel</v>
      </c>
      <c r="C708" s="126" t="s">
        <v>20555</v>
      </c>
      <c r="D708" s="51"/>
      <c r="E708" s="865">
        <v>120</v>
      </c>
    </row>
    <row r="709" spans="1:5">
      <c r="A709" s="864">
        <v>39567</v>
      </c>
      <c r="B709" s="125" t="str">
        <f>TiposLancamentos!B57</f>
        <v>Informática</v>
      </c>
      <c r="C709" s="126" t="s">
        <v>20955</v>
      </c>
      <c r="D709" s="51"/>
      <c r="E709" s="865">
        <v>899</v>
      </c>
    </row>
    <row r="710" spans="1:5">
      <c r="A710" s="864">
        <v>39568</v>
      </c>
      <c r="B710" s="125" t="str">
        <f>TiposLancamentos!B73</f>
        <v>Cursos</v>
      </c>
      <c r="C710" s="126" t="s">
        <v>20956</v>
      </c>
      <c r="D710" s="51"/>
      <c r="E710" s="865">
        <v>95</v>
      </c>
    </row>
    <row r="711" spans="1:5">
      <c r="A711" s="864">
        <v>39568</v>
      </c>
      <c r="B711" s="125" t="str">
        <f>TiposLancamentos!B95</f>
        <v>Salarios</v>
      </c>
      <c r="C711" s="126" t="s">
        <v>4939</v>
      </c>
      <c r="D711" s="51">
        <v>6954.91</v>
      </c>
      <c r="E711" s="865"/>
    </row>
    <row r="712" spans="1:5" ht="14.25" thickBot="1">
      <c r="A712" s="864">
        <v>39568</v>
      </c>
      <c r="B712" s="125" t="str">
        <f>TiposLancamentos!B19</f>
        <v>Restaurantes</v>
      </c>
      <c r="C712" s="126" t="s">
        <v>17177</v>
      </c>
      <c r="D712" s="51"/>
      <c r="E712" s="865">
        <v>32.369999999999997</v>
      </c>
    </row>
    <row r="713" spans="1:5" ht="14.25" thickBot="1">
      <c r="A713" s="995"/>
      <c r="B713" s="989"/>
      <c r="C713" s="990" t="s">
        <v>5596</v>
      </c>
      <c r="D713" s="991"/>
      <c r="E713" s="994"/>
    </row>
    <row r="714" spans="1:5">
      <c r="A714" s="864">
        <v>39569</v>
      </c>
      <c r="B714" s="125" t="str">
        <f>TiposLancamentos!B19</f>
        <v>Restaurantes</v>
      </c>
      <c r="C714" s="126" t="s">
        <v>15813</v>
      </c>
      <c r="D714" s="51"/>
      <c r="E714" s="865">
        <v>56.2</v>
      </c>
    </row>
    <row r="715" spans="1:5">
      <c r="A715" s="864">
        <v>39569</v>
      </c>
      <c r="B715" s="125" t="str">
        <f>TiposLancamentos!B103</f>
        <v>Juros_Corr. Poupança</v>
      </c>
      <c r="C715" s="126" t="s">
        <v>20569</v>
      </c>
      <c r="D715" s="51">
        <v>15.67</v>
      </c>
      <c r="E715" s="865"/>
    </row>
    <row r="716" spans="1:5">
      <c r="A716" s="864">
        <v>39569</v>
      </c>
      <c r="B716" s="125" t="str">
        <f>TiposLancamentos!B103</f>
        <v>Juros_Corr. Poupança</v>
      </c>
      <c r="C716" s="126" t="s">
        <v>20570</v>
      </c>
      <c r="D716" s="51">
        <v>2.99</v>
      </c>
      <c r="E716" s="865"/>
    </row>
    <row r="717" spans="1:5">
      <c r="A717" s="864">
        <v>39570</v>
      </c>
      <c r="B717" s="125" t="str">
        <f>TiposLancamentos!B2</f>
        <v>Telefonia</v>
      </c>
      <c r="C717" s="126" t="s">
        <v>5080</v>
      </c>
      <c r="D717" s="51"/>
      <c r="E717" s="865">
        <v>37.6</v>
      </c>
    </row>
    <row r="718" spans="1:5">
      <c r="A718" s="864">
        <v>39570</v>
      </c>
      <c r="B718" s="125" t="str">
        <f>TiposLancamentos!B3</f>
        <v>Internet</v>
      </c>
      <c r="C718" s="126" t="s">
        <v>4987</v>
      </c>
      <c r="D718" s="51"/>
      <c r="E718" s="865">
        <v>89.9</v>
      </c>
    </row>
    <row r="719" spans="1:5">
      <c r="A719" s="864">
        <v>39570</v>
      </c>
      <c r="B719" s="125" t="str">
        <f>TiposLancamentos!B15</f>
        <v>Cartões de Crédito</v>
      </c>
      <c r="C719" s="126" t="s">
        <v>20957</v>
      </c>
      <c r="D719" s="51"/>
      <c r="E719" s="865">
        <v>507.76</v>
      </c>
    </row>
    <row r="720" spans="1:5">
      <c r="A720" s="864">
        <v>39570</v>
      </c>
      <c r="B720" s="125" t="str">
        <f>TiposLancamentos!B15</f>
        <v>Cartões de Crédito</v>
      </c>
      <c r="C720" s="126" t="s">
        <v>5700</v>
      </c>
      <c r="D720" s="51"/>
      <c r="E720" s="865">
        <v>0.3</v>
      </c>
    </row>
    <row r="721" spans="1:5">
      <c r="A721" s="864">
        <v>39570</v>
      </c>
      <c r="B721" s="125" t="str">
        <f>TiposLancamentos!B15</f>
        <v>Cartões de Crédito</v>
      </c>
      <c r="C721" s="126" t="s">
        <v>5558</v>
      </c>
      <c r="D721" s="51"/>
      <c r="E721" s="865">
        <v>408.03</v>
      </c>
    </row>
    <row r="722" spans="1:5">
      <c r="A722" s="864">
        <v>39570</v>
      </c>
      <c r="B722" s="125" t="str">
        <f>TiposLancamentos!B6</f>
        <v>Energia Eletrica</v>
      </c>
      <c r="C722" s="126" t="s">
        <v>5191</v>
      </c>
      <c r="D722" s="51"/>
      <c r="E722" s="865">
        <v>83.43</v>
      </c>
    </row>
    <row r="723" spans="1:5">
      <c r="A723" s="864">
        <v>39570</v>
      </c>
      <c r="B723" s="125" t="str">
        <f>TiposLancamentos!B35</f>
        <v>Tv à Cabo</v>
      </c>
      <c r="C723" s="126" t="s">
        <v>20958</v>
      </c>
      <c r="D723" s="51"/>
      <c r="E723" s="865">
        <v>228.8</v>
      </c>
    </row>
    <row r="724" spans="1:5">
      <c r="A724" s="864">
        <v>39570</v>
      </c>
      <c r="B724" s="125" t="str">
        <f>TiposLancamentos!B105</f>
        <v>Transf. Bco</v>
      </c>
      <c r="C724" s="126" t="s">
        <v>20959</v>
      </c>
      <c r="D724" s="51"/>
      <c r="E724" s="865">
        <v>7500</v>
      </c>
    </row>
    <row r="725" spans="1:5">
      <c r="A725" s="864">
        <v>39570</v>
      </c>
      <c r="B725" s="125" t="str">
        <f>TiposLancamentos!B19</f>
        <v>Restaurantes</v>
      </c>
      <c r="C725" s="126" t="s">
        <v>20960</v>
      </c>
      <c r="D725" s="51"/>
      <c r="E725" s="865">
        <v>37.520000000000003</v>
      </c>
    </row>
    <row r="726" spans="1:5">
      <c r="A726" s="864">
        <v>39571</v>
      </c>
      <c r="B726" s="125" t="str">
        <f>TiposLancamentos!B5</f>
        <v>Supermercado</v>
      </c>
      <c r="C726" s="126" t="s">
        <v>20961</v>
      </c>
      <c r="D726" s="51"/>
      <c r="E726" s="865">
        <v>43.87</v>
      </c>
    </row>
    <row r="727" spans="1:5">
      <c r="A727" s="864">
        <v>39571</v>
      </c>
      <c r="B727" s="125" t="str">
        <f>TiposLancamentos!B22</f>
        <v>Combustivel</v>
      </c>
      <c r="C727" s="126" t="s">
        <v>20962</v>
      </c>
      <c r="D727" s="51"/>
      <c r="E727" s="865">
        <v>37.99</v>
      </c>
    </row>
    <row r="728" spans="1:5">
      <c r="A728" s="864">
        <v>39571</v>
      </c>
      <c r="B728" s="125" t="str">
        <f>TiposLancamentos!B56</f>
        <v>Farmácia</v>
      </c>
      <c r="C728" s="126" t="s">
        <v>6118</v>
      </c>
      <c r="D728" s="51"/>
      <c r="E728" s="865">
        <v>118.62</v>
      </c>
    </row>
    <row r="729" spans="1:5">
      <c r="A729" s="864">
        <v>39571</v>
      </c>
      <c r="B729" s="125" t="str">
        <f>TiposLancamentos!B19</f>
        <v>Restaurantes</v>
      </c>
      <c r="C729" s="126" t="s">
        <v>20963</v>
      </c>
      <c r="D729" s="51"/>
      <c r="E729" s="865">
        <v>5.2</v>
      </c>
    </row>
    <row r="730" spans="1:5">
      <c r="A730" s="864">
        <v>39572</v>
      </c>
      <c r="B730" s="125" t="str">
        <f>TiposLancamentos!B19</f>
        <v>Restaurantes</v>
      </c>
      <c r="C730" s="126" t="s">
        <v>20964</v>
      </c>
      <c r="D730" s="51"/>
      <c r="E730" s="865">
        <v>32.1</v>
      </c>
    </row>
    <row r="731" spans="1:5">
      <c r="A731" s="864">
        <v>39572</v>
      </c>
      <c r="B731" s="125" t="str">
        <f>TiposLancamentos!B20</f>
        <v>Saques</v>
      </c>
      <c r="C731" s="126" t="s">
        <v>20965</v>
      </c>
      <c r="D731" s="51"/>
      <c r="E731" s="865">
        <v>60</v>
      </c>
    </row>
    <row r="732" spans="1:5">
      <c r="A732" s="864">
        <v>39572</v>
      </c>
      <c r="B732" s="125" t="str">
        <f>TiposLancamentos!B16</f>
        <v>Cristiane</v>
      </c>
      <c r="C732" s="126" t="s">
        <v>20966</v>
      </c>
      <c r="D732" s="51"/>
      <c r="E732" s="865">
        <v>59.99</v>
      </c>
    </row>
    <row r="733" spans="1:5">
      <c r="A733" s="864">
        <v>39572</v>
      </c>
      <c r="B733" s="125" t="str">
        <f>TiposLancamentos!B57</f>
        <v>Informática</v>
      </c>
      <c r="C733" s="126" t="s">
        <v>20967</v>
      </c>
      <c r="D733" s="51"/>
      <c r="E733" s="865">
        <v>60.8</v>
      </c>
    </row>
    <row r="734" spans="1:5">
      <c r="A734" s="864">
        <v>39572</v>
      </c>
      <c r="B734" s="125" t="str">
        <f>TiposLancamentos!B16</f>
        <v>Cristiane</v>
      </c>
      <c r="C734" s="126" t="s">
        <v>20968</v>
      </c>
      <c r="D734" s="51"/>
      <c r="E734" s="865">
        <v>16.79</v>
      </c>
    </row>
    <row r="735" spans="1:5">
      <c r="A735" s="864">
        <v>39573</v>
      </c>
      <c r="B735" s="125" t="str">
        <f>TiposLancamentos!B71</f>
        <v>Itens Pessoais</v>
      </c>
      <c r="C735" s="126" t="s">
        <v>20969</v>
      </c>
      <c r="D735" s="51"/>
      <c r="E735" s="865">
        <v>80.2</v>
      </c>
    </row>
    <row r="736" spans="1:5">
      <c r="A736" s="864">
        <v>39573</v>
      </c>
      <c r="B736" s="125" t="str">
        <f>TiposLancamentos!B99</f>
        <v>Venda de algo</v>
      </c>
      <c r="C736" s="126" t="s">
        <v>20970</v>
      </c>
      <c r="D736" s="51">
        <v>80</v>
      </c>
      <c r="E736" s="865"/>
    </row>
    <row r="737" spans="1:5">
      <c r="A737" s="864">
        <v>39574</v>
      </c>
      <c r="B737" s="125" t="str">
        <f>TiposLancamentos!B56</f>
        <v>Farmácia</v>
      </c>
      <c r="C737" s="126" t="s">
        <v>20971</v>
      </c>
      <c r="D737" s="51"/>
      <c r="E737" s="865">
        <v>24.49</v>
      </c>
    </row>
    <row r="738" spans="1:5">
      <c r="A738" s="864">
        <v>39575</v>
      </c>
      <c r="B738" s="125" t="str">
        <f>TiposLancamentos!B19</f>
        <v>Restaurantes</v>
      </c>
      <c r="C738" s="126" t="s">
        <v>20972</v>
      </c>
      <c r="D738" s="51"/>
      <c r="E738" s="865">
        <v>19</v>
      </c>
    </row>
    <row r="739" spans="1:5">
      <c r="A739" s="864">
        <v>39575</v>
      </c>
      <c r="B739" s="125" t="str">
        <f>TiposLancamentos!B103</f>
        <v>Juros_Corr. Poupança</v>
      </c>
      <c r="C739" s="126" t="s">
        <v>20973</v>
      </c>
      <c r="D739" s="51">
        <v>0.46</v>
      </c>
      <c r="E739" s="865"/>
    </row>
    <row r="740" spans="1:5">
      <c r="A740" s="864">
        <v>39576</v>
      </c>
      <c r="B740" s="125" t="str">
        <f>TiposLancamentos!B98</f>
        <v>Restituições</v>
      </c>
      <c r="C740" s="126" t="s">
        <v>20974</v>
      </c>
      <c r="D740" s="51">
        <v>80.2</v>
      </c>
      <c r="E740" s="865"/>
    </row>
    <row r="741" spans="1:5">
      <c r="A741" s="961">
        <v>39576</v>
      </c>
      <c r="B741" s="817" t="str">
        <f>TiposLancamentos!B8</f>
        <v>Aluguel</v>
      </c>
      <c r="C741" s="962" t="s">
        <v>20975</v>
      </c>
      <c r="D741" s="809"/>
      <c r="E741" s="965">
        <f>843.44+1.8</f>
        <v>845.24</v>
      </c>
    </row>
    <row r="742" spans="1:5">
      <c r="A742" s="963">
        <v>39576</v>
      </c>
      <c r="B742" s="818" t="str">
        <f>TiposLancamentos!B9</f>
        <v>Condominio</v>
      </c>
      <c r="C742" s="964" t="s">
        <v>20976</v>
      </c>
      <c r="D742" s="813"/>
      <c r="E742" s="966">
        <v>206.83</v>
      </c>
    </row>
    <row r="743" spans="1:5">
      <c r="A743" s="864">
        <v>39576</v>
      </c>
      <c r="B743" s="125" t="str">
        <f>TiposLancamentos!B20</f>
        <v>Saques</v>
      </c>
      <c r="C743" s="126" t="s">
        <v>20977</v>
      </c>
      <c r="D743" s="51"/>
      <c r="E743" s="865">
        <v>80</v>
      </c>
    </row>
    <row r="744" spans="1:5">
      <c r="A744" s="864">
        <v>39577</v>
      </c>
      <c r="B744" s="125" t="str">
        <f>TiposLancamentos!B45</f>
        <v>Online Services</v>
      </c>
      <c r="C744" s="139" t="s">
        <v>15207</v>
      </c>
      <c r="D744" s="51"/>
      <c r="E744" s="865">
        <v>19.899999999999999</v>
      </c>
    </row>
    <row r="745" spans="1:5">
      <c r="A745" s="864">
        <v>39578</v>
      </c>
      <c r="B745" s="125" t="str">
        <f>TiposLancamentos!B19</f>
        <v>Restaurantes</v>
      </c>
      <c r="C745" s="126" t="s">
        <v>20978</v>
      </c>
      <c r="D745" s="51"/>
      <c r="E745" s="865">
        <v>36.950000000000003</v>
      </c>
    </row>
    <row r="746" spans="1:5">
      <c r="A746" s="864">
        <v>39578</v>
      </c>
      <c r="B746" s="125" t="str">
        <f>TiposLancamentos!B19</f>
        <v>Restaurantes</v>
      </c>
      <c r="C746" s="126" t="s">
        <v>20979</v>
      </c>
      <c r="D746" s="51"/>
      <c r="E746" s="865">
        <v>88.99</v>
      </c>
    </row>
    <row r="747" spans="1:5">
      <c r="A747" s="864">
        <v>39580</v>
      </c>
      <c r="B747" s="125" t="str">
        <f>TiposLancamentos!B19</f>
        <v>Restaurantes</v>
      </c>
      <c r="C747" s="126" t="s">
        <v>20980</v>
      </c>
      <c r="D747" s="51"/>
      <c r="E747" s="865">
        <v>28.2</v>
      </c>
    </row>
    <row r="748" spans="1:5">
      <c r="A748" s="864">
        <v>39581</v>
      </c>
      <c r="B748" s="125" t="str">
        <f>TiposLancamentos!B30</f>
        <v>Cinema</v>
      </c>
      <c r="C748" s="126" t="s">
        <v>20981</v>
      </c>
      <c r="D748" s="51"/>
      <c r="E748" s="865">
        <v>26</v>
      </c>
    </row>
    <row r="749" spans="1:5">
      <c r="A749" s="864">
        <v>39581</v>
      </c>
      <c r="B749" s="125" t="str">
        <f>TiposLancamentos!B19</f>
        <v>Restaurantes</v>
      </c>
      <c r="C749" s="126" t="s">
        <v>20982</v>
      </c>
      <c r="D749" s="51"/>
      <c r="E749" s="865">
        <v>29.7</v>
      </c>
    </row>
    <row r="750" spans="1:5">
      <c r="A750" s="864">
        <v>39583</v>
      </c>
      <c r="B750" s="125" t="str">
        <f>TiposLancamentos!B95</f>
        <v>Salarios</v>
      </c>
      <c r="C750" s="126" t="s">
        <v>4916</v>
      </c>
      <c r="D750" s="51">
        <v>1747.9</v>
      </c>
      <c r="E750" s="865"/>
    </row>
    <row r="751" spans="1:5">
      <c r="A751" s="864">
        <v>39583</v>
      </c>
      <c r="B751" s="125" t="str">
        <f>TiposLancamentos!B24</f>
        <v>Estacionamentos</v>
      </c>
      <c r="C751" s="126" t="s">
        <v>20983</v>
      </c>
      <c r="D751" s="51"/>
      <c r="E751" s="865">
        <v>21</v>
      </c>
    </row>
    <row r="752" spans="1:5">
      <c r="A752" s="864">
        <v>39583</v>
      </c>
      <c r="B752" s="125" t="str">
        <f>TiposLancamentos!B20</f>
        <v>Saques</v>
      </c>
      <c r="C752" s="126" t="s">
        <v>2850</v>
      </c>
      <c r="D752" s="51"/>
      <c r="E752" s="865">
        <v>10</v>
      </c>
    </row>
    <row r="753" spans="1:5">
      <c r="A753" s="864">
        <v>39583</v>
      </c>
      <c r="B753" s="125" t="str">
        <f>TiposLancamentos!B103</f>
        <v>Juros_Corr. Poupança</v>
      </c>
      <c r="C753" s="126" t="s">
        <v>20569</v>
      </c>
      <c r="D753" s="51">
        <v>0.7</v>
      </c>
      <c r="E753" s="865"/>
    </row>
    <row r="754" spans="1:5">
      <c r="A754" s="864">
        <v>39583</v>
      </c>
      <c r="B754" s="125" t="str">
        <f>TiposLancamentos!B103</f>
        <v>Juros_Corr. Poupança</v>
      </c>
      <c r="C754" s="126" t="s">
        <v>20570</v>
      </c>
      <c r="D754" s="51">
        <v>0.09</v>
      </c>
      <c r="E754" s="865"/>
    </row>
    <row r="755" spans="1:5">
      <c r="A755" s="864">
        <v>39584</v>
      </c>
      <c r="B755" s="125" t="str">
        <f>TiposLancamentos!B20</f>
        <v>Saques</v>
      </c>
      <c r="C755" s="126" t="s">
        <v>2655</v>
      </c>
      <c r="D755" s="51"/>
      <c r="E755" s="865">
        <v>100</v>
      </c>
    </row>
    <row r="756" spans="1:5">
      <c r="A756" s="864">
        <v>39585</v>
      </c>
      <c r="B756" s="125" t="str">
        <f>TiposLancamentos!B19</f>
        <v>Restaurantes</v>
      </c>
      <c r="C756" s="126" t="s">
        <v>20984</v>
      </c>
      <c r="D756" s="51"/>
      <c r="E756" s="865">
        <v>17.7</v>
      </c>
    </row>
    <row r="757" spans="1:5">
      <c r="A757" s="864">
        <v>39585</v>
      </c>
      <c r="B757" s="125" t="str">
        <f>TiposLancamentos!B19</f>
        <v>Restaurantes</v>
      </c>
      <c r="C757" s="126" t="s">
        <v>20985</v>
      </c>
      <c r="D757" s="51"/>
      <c r="E757" s="865">
        <v>5.9</v>
      </c>
    </row>
    <row r="758" spans="1:5">
      <c r="A758" s="864">
        <v>39585</v>
      </c>
      <c r="B758" s="125" t="str">
        <f>TiposLancamentos!B16</f>
        <v>Cristiane</v>
      </c>
      <c r="C758" s="126" t="s">
        <v>20986</v>
      </c>
      <c r="D758" s="51"/>
      <c r="E758" s="865">
        <v>119.8</v>
      </c>
    </row>
    <row r="759" spans="1:5">
      <c r="A759" s="864">
        <v>39586</v>
      </c>
      <c r="B759" s="125" t="str">
        <f>TiposLancamentos!B19</f>
        <v>Restaurantes</v>
      </c>
      <c r="C759" s="126" t="s">
        <v>20987</v>
      </c>
      <c r="D759" s="51"/>
      <c r="E759" s="865">
        <v>43.43</v>
      </c>
    </row>
    <row r="760" spans="1:5">
      <c r="A760" s="864">
        <v>39587</v>
      </c>
      <c r="B760" s="125" t="str">
        <f>TiposLancamentos!B19</f>
        <v>Restaurantes</v>
      </c>
      <c r="C760" s="126" t="s">
        <v>3022</v>
      </c>
      <c r="D760" s="51"/>
      <c r="E760" s="865">
        <v>4.75</v>
      </c>
    </row>
    <row r="761" spans="1:5">
      <c r="A761" s="864">
        <v>39587</v>
      </c>
      <c r="B761" s="125" t="str">
        <f>TiposLancamentos!B20</f>
        <v>Saques</v>
      </c>
      <c r="C761" s="126" t="s">
        <v>2850</v>
      </c>
      <c r="D761" s="51"/>
      <c r="E761" s="865">
        <v>50</v>
      </c>
    </row>
    <row r="762" spans="1:5">
      <c r="A762" s="864">
        <v>39589</v>
      </c>
      <c r="B762" s="125" t="str">
        <f>TiposLancamentos!B56</f>
        <v>Farmácia</v>
      </c>
      <c r="C762" s="126" t="s">
        <v>3420</v>
      </c>
      <c r="D762" s="51"/>
      <c r="E762" s="865">
        <v>17.52</v>
      </c>
    </row>
    <row r="763" spans="1:5">
      <c r="A763" s="864">
        <v>39589</v>
      </c>
      <c r="B763" s="125" t="str">
        <f>TiposLancamentos!B14</f>
        <v>Gás de cozinha</v>
      </c>
      <c r="C763" s="126" t="s">
        <v>20988</v>
      </c>
      <c r="D763" s="51"/>
      <c r="E763" s="865">
        <v>3.62</v>
      </c>
    </row>
    <row r="764" spans="1:5">
      <c r="A764" s="864">
        <v>39589</v>
      </c>
      <c r="B764" s="125" t="str">
        <f>TiposLancamentos!B19</f>
        <v>Restaurantes</v>
      </c>
      <c r="C764" s="126" t="s">
        <v>20989</v>
      </c>
      <c r="D764" s="51"/>
      <c r="E764" s="865">
        <v>17.5</v>
      </c>
    </row>
    <row r="765" spans="1:5">
      <c r="A765" s="864">
        <v>39589</v>
      </c>
      <c r="B765" s="125" t="str">
        <f>TiposLancamentos!B16</f>
        <v>Cristiane</v>
      </c>
      <c r="C765" s="126" t="s">
        <v>20990</v>
      </c>
      <c r="D765" s="51"/>
      <c r="E765" s="865">
        <v>200</v>
      </c>
    </row>
    <row r="766" spans="1:5">
      <c r="A766" s="864">
        <v>39589</v>
      </c>
      <c r="B766" s="125" t="str">
        <f>TiposLancamentos!B71</f>
        <v>Itens Pessoais</v>
      </c>
      <c r="C766" s="126" t="s">
        <v>20991</v>
      </c>
      <c r="D766" s="51"/>
      <c r="E766" s="865">
        <v>448</v>
      </c>
    </row>
    <row r="767" spans="1:5">
      <c r="A767" s="864">
        <v>39589</v>
      </c>
      <c r="B767" s="125" t="str">
        <f>TiposLancamentos!B22</f>
        <v>Combustivel</v>
      </c>
      <c r="C767" s="126" t="s">
        <v>3381</v>
      </c>
      <c r="D767" s="51"/>
      <c r="E767" s="865">
        <v>140</v>
      </c>
    </row>
    <row r="768" spans="1:5">
      <c r="A768" s="864">
        <v>39589</v>
      </c>
      <c r="B768" s="125" t="str">
        <f>TiposLancamentos!B19</f>
        <v>Restaurantes</v>
      </c>
      <c r="C768" s="126" t="s">
        <v>20992</v>
      </c>
      <c r="D768" s="51"/>
      <c r="E768" s="865">
        <v>52.4</v>
      </c>
    </row>
    <row r="769" spans="1:5">
      <c r="A769" s="864">
        <v>39590</v>
      </c>
      <c r="B769" s="125" t="str">
        <f>TiposLancamentos!B19</f>
        <v>Restaurantes</v>
      </c>
      <c r="C769" s="126" t="s">
        <v>20993</v>
      </c>
      <c r="D769" s="51"/>
      <c r="E769" s="865">
        <v>18.309999999999999</v>
      </c>
    </row>
    <row r="770" spans="1:5">
      <c r="A770" s="864">
        <v>39590</v>
      </c>
      <c r="B770" s="125" t="str">
        <f>TiposLancamentos!B19</f>
        <v>Restaurantes</v>
      </c>
      <c r="C770" s="126" t="s">
        <v>20994</v>
      </c>
      <c r="D770" s="51"/>
      <c r="E770" s="865">
        <v>16.2</v>
      </c>
    </row>
    <row r="771" spans="1:5">
      <c r="A771" s="864">
        <v>39591</v>
      </c>
      <c r="B771" s="125" t="str">
        <f>TiposLancamentos!B20</f>
        <v>Saques</v>
      </c>
      <c r="C771" s="126" t="s">
        <v>20995</v>
      </c>
      <c r="D771" s="51"/>
      <c r="E771" s="865">
        <v>80</v>
      </c>
    </row>
    <row r="772" spans="1:5">
      <c r="A772" s="864">
        <v>39591</v>
      </c>
      <c r="B772" s="125" t="str">
        <f>TiposLancamentos!B16</f>
        <v>Cristiane</v>
      </c>
      <c r="C772" s="126" t="s">
        <v>20996</v>
      </c>
      <c r="D772" s="51"/>
      <c r="E772" s="865">
        <v>127</v>
      </c>
    </row>
    <row r="773" spans="1:5">
      <c r="A773" s="864">
        <v>39591</v>
      </c>
      <c r="B773" s="125" t="str">
        <f>TiposLancamentos!B97</f>
        <v>Deposito Terc.</v>
      </c>
      <c r="C773" s="126" t="s">
        <v>20997</v>
      </c>
      <c r="D773" s="51">
        <v>200</v>
      </c>
      <c r="E773" s="865"/>
    </row>
    <row r="774" spans="1:5">
      <c r="A774" s="864">
        <v>39592</v>
      </c>
      <c r="B774" s="125" t="str">
        <f>TiposLancamentos!B70</f>
        <v>Vestuário</v>
      </c>
      <c r="C774" s="126" t="s">
        <v>20998</v>
      </c>
      <c r="D774" s="51"/>
      <c r="E774" s="865">
        <v>59.8</v>
      </c>
    </row>
    <row r="775" spans="1:5">
      <c r="A775" s="864">
        <v>39592</v>
      </c>
      <c r="B775" s="125" t="str">
        <f>TiposLancamentos!B22</f>
        <v>Combustivel</v>
      </c>
      <c r="C775" s="126" t="s">
        <v>20999</v>
      </c>
      <c r="D775" s="51"/>
      <c r="E775" s="865">
        <v>83.51</v>
      </c>
    </row>
    <row r="776" spans="1:5">
      <c r="A776" s="864">
        <v>39593</v>
      </c>
      <c r="B776" s="125" t="str">
        <f>TiposLancamentos!B19</f>
        <v>Restaurantes</v>
      </c>
      <c r="C776" s="126" t="s">
        <v>21000</v>
      </c>
      <c r="D776" s="51"/>
      <c r="E776" s="865">
        <v>6.5</v>
      </c>
    </row>
    <row r="777" spans="1:5">
      <c r="A777" s="864">
        <v>39593</v>
      </c>
      <c r="B777" s="125" t="str">
        <f>TiposLancamentos!B16</f>
        <v>Cristiane</v>
      </c>
      <c r="C777" s="126" t="s">
        <v>21001</v>
      </c>
      <c r="D777" s="51"/>
      <c r="E777" s="865">
        <v>200</v>
      </c>
    </row>
    <row r="778" spans="1:5">
      <c r="A778" s="864">
        <v>39594</v>
      </c>
      <c r="B778" s="125" t="str">
        <f>TiposLancamentos!B19</f>
        <v>Restaurantes</v>
      </c>
      <c r="C778" s="126" t="s">
        <v>21002</v>
      </c>
      <c r="D778" s="51"/>
      <c r="E778" s="865">
        <v>15</v>
      </c>
    </row>
    <row r="779" spans="1:5">
      <c r="A779" s="864">
        <v>39594</v>
      </c>
      <c r="B779" s="125" t="str">
        <f>TiposLancamentos!B56</f>
        <v>Farmácia</v>
      </c>
      <c r="C779" s="126" t="s">
        <v>21003</v>
      </c>
      <c r="D779" s="51"/>
      <c r="E779" s="865">
        <v>17.399999999999999</v>
      </c>
    </row>
    <row r="780" spans="1:5">
      <c r="A780" s="864">
        <v>39595</v>
      </c>
      <c r="B780" s="125" t="str">
        <f>TiposLancamentos!B32</f>
        <v>Clinicas e tratamentos</v>
      </c>
      <c r="C780" s="126" t="s">
        <v>21004</v>
      </c>
      <c r="D780" s="51"/>
      <c r="E780" s="865">
        <v>680</v>
      </c>
    </row>
    <row r="781" spans="1:5">
      <c r="A781" s="961">
        <v>39595</v>
      </c>
      <c r="B781" s="817" t="str">
        <f>TiposLancamentos!B71</f>
        <v>Itens Pessoais</v>
      </c>
      <c r="C781" s="962" t="s">
        <v>21005</v>
      </c>
      <c r="D781" s="809"/>
      <c r="E781" s="965">
        <f>23.6-E782</f>
        <v>9.7000000000000011</v>
      </c>
    </row>
    <row r="782" spans="1:5">
      <c r="A782" s="963">
        <v>39595</v>
      </c>
      <c r="B782" s="818" t="str">
        <f>TiposLancamentos!B85</f>
        <v>Peugeout 206</v>
      </c>
      <c r="C782" s="964" t="s">
        <v>21006</v>
      </c>
      <c r="D782" s="813"/>
      <c r="E782" s="966">
        <v>13.9</v>
      </c>
    </row>
    <row r="783" spans="1:5">
      <c r="A783" s="864">
        <v>39595</v>
      </c>
      <c r="B783" s="125" t="str">
        <f>TiposLancamentos!B70</f>
        <v>Vestuário</v>
      </c>
      <c r="C783" s="126" t="s">
        <v>21007</v>
      </c>
      <c r="D783" s="51"/>
      <c r="E783" s="865">
        <v>305</v>
      </c>
    </row>
    <row r="784" spans="1:5">
      <c r="A784" s="961">
        <v>39595</v>
      </c>
      <c r="B784" s="817" t="str">
        <f>TiposLancamentos!B70</f>
        <v>Vestuário</v>
      </c>
      <c r="C784" s="962" t="s">
        <v>21008</v>
      </c>
      <c r="D784" s="809"/>
      <c r="E784" s="965">
        <f>111.92-E785</f>
        <v>71.930000000000007</v>
      </c>
    </row>
    <row r="785" spans="1:5">
      <c r="A785" s="963">
        <v>39595</v>
      </c>
      <c r="B785" s="818" t="str">
        <f>TiposLancamentos!B13</f>
        <v>Moradia</v>
      </c>
      <c r="C785" s="964" t="s">
        <v>21009</v>
      </c>
      <c r="D785" s="813"/>
      <c r="E785" s="966">
        <v>39.99</v>
      </c>
    </row>
    <row r="786" spans="1:5">
      <c r="A786" s="864">
        <v>39595</v>
      </c>
      <c r="B786" s="125" t="str">
        <f>TiposLancamentos!B19</f>
        <v>Restaurantes</v>
      </c>
      <c r="C786" s="126" t="s">
        <v>21010</v>
      </c>
      <c r="D786" s="51"/>
      <c r="E786" s="865">
        <v>13.4</v>
      </c>
    </row>
    <row r="787" spans="1:5">
      <c r="A787" s="864">
        <v>39595</v>
      </c>
      <c r="B787" s="125" t="str">
        <f>TiposLancamentos!B19</f>
        <v>Restaurantes</v>
      </c>
      <c r="C787" s="126" t="s">
        <v>21011</v>
      </c>
      <c r="D787" s="51"/>
      <c r="E787" s="865">
        <v>13.8</v>
      </c>
    </row>
    <row r="788" spans="1:5">
      <c r="A788" s="864">
        <v>39596</v>
      </c>
      <c r="B788" s="125" t="str">
        <f>TiposLancamentos!B20</f>
        <v>Saques</v>
      </c>
      <c r="C788" s="126" t="s">
        <v>2668</v>
      </c>
      <c r="D788" s="51"/>
      <c r="E788" s="865">
        <v>40</v>
      </c>
    </row>
    <row r="789" spans="1:5">
      <c r="A789" s="864">
        <v>39596</v>
      </c>
      <c r="B789" s="125" t="str">
        <f>TiposLancamentos!B19</f>
        <v>Restaurantes</v>
      </c>
      <c r="C789" s="126" t="s">
        <v>21012</v>
      </c>
      <c r="D789" s="51"/>
      <c r="E789" s="865">
        <v>10.3</v>
      </c>
    </row>
    <row r="790" spans="1:5">
      <c r="A790" s="864">
        <v>39596</v>
      </c>
      <c r="B790" s="125" t="str">
        <f>TiposLancamentos!B20</f>
        <v>Saques</v>
      </c>
      <c r="C790" s="126" t="s">
        <v>21013</v>
      </c>
      <c r="D790" s="51"/>
      <c r="E790" s="865">
        <v>30</v>
      </c>
    </row>
    <row r="791" spans="1:5">
      <c r="A791" s="864">
        <v>39597</v>
      </c>
      <c r="B791" s="125" t="str">
        <f>TiposLancamentos!B17</f>
        <v>GATO</v>
      </c>
      <c r="C791" s="126" t="s">
        <v>16378</v>
      </c>
      <c r="D791" s="51"/>
      <c r="E791" s="865">
        <v>56.26</v>
      </c>
    </row>
    <row r="792" spans="1:5">
      <c r="A792" s="864">
        <v>39598</v>
      </c>
      <c r="B792" s="125" t="str">
        <f>TiposLancamentos!B95</f>
        <v>Salarios</v>
      </c>
      <c r="C792" s="126" t="s">
        <v>4939</v>
      </c>
      <c r="D792" s="51">
        <v>5806.38</v>
      </c>
      <c r="E792" s="865"/>
    </row>
    <row r="793" spans="1:5">
      <c r="A793" s="864">
        <v>39598</v>
      </c>
      <c r="B793" s="125" t="str">
        <f>TiposLancamentos!B20</f>
        <v>Saques</v>
      </c>
      <c r="C793" s="126" t="s">
        <v>2655</v>
      </c>
      <c r="D793" s="51"/>
      <c r="E793" s="865">
        <v>40</v>
      </c>
    </row>
    <row r="794" spans="1:5" ht="14.25" thickBot="1">
      <c r="A794" s="864">
        <v>39599</v>
      </c>
      <c r="B794" s="125" t="str">
        <f>TiposLancamentos!B56</f>
        <v>Farmácia</v>
      </c>
      <c r="C794" s="126" t="s">
        <v>21014</v>
      </c>
      <c r="D794" s="51"/>
      <c r="E794" s="865">
        <v>190.53</v>
      </c>
    </row>
    <row r="795" spans="1:5" ht="14.25" thickBot="1">
      <c r="A795" s="995"/>
      <c r="B795" s="989"/>
      <c r="C795" s="990" t="s">
        <v>5599</v>
      </c>
      <c r="D795" s="991"/>
      <c r="E795" s="994"/>
    </row>
    <row r="796" spans="1:5">
      <c r="A796" s="864">
        <v>39601</v>
      </c>
      <c r="B796" s="125" t="str">
        <f>TiposLancamentos!B73</f>
        <v>Cursos</v>
      </c>
      <c r="C796" s="126" t="s">
        <v>21015</v>
      </c>
      <c r="D796" s="51"/>
      <c r="E796" s="865">
        <v>98.72</v>
      </c>
    </row>
    <row r="797" spans="1:5">
      <c r="A797" s="864">
        <v>39601</v>
      </c>
      <c r="B797" s="125" t="str">
        <f>TiposLancamentos!B2</f>
        <v>Telefonia</v>
      </c>
      <c r="C797" s="126" t="s">
        <v>5080</v>
      </c>
      <c r="D797" s="51"/>
      <c r="E797" s="865">
        <v>29.08</v>
      </c>
    </row>
    <row r="798" spans="1:5">
      <c r="A798" s="864">
        <v>39601</v>
      </c>
      <c r="B798" s="125" t="str">
        <f>TiposLancamentos!B3</f>
        <v>Internet</v>
      </c>
      <c r="C798" s="126" t="s">
        <v>4987</v>
      </c>
      <c r="D798" s="51"/>
      <c r="E798" s="865">
        <v>89.9</v>
      </c>
    </row>
    <row r="799" spans="1:5">
      <c r="A799" s="864">
        <v>39601</v>
      </c>
      <c r="B799" s="125" t="str">
        <f>TiposLancamentos!B15</f>
        <v>Cartões de Crédito</v>
      </c>
      <c r="C799" s="126" t="s">
        <v>20597</v>
      </c>
      <c r="D799" s="51"/>
      <c r="E799" s="865">
        <v>746.79</v>
      </c>
    </row>
    <row r="800" spans="1:5">
      <c r="A800" s="864">
        <v>39601</v>
      </c>
      <c r="B800" s="125" t="str">
        <f>TiposLancamentos!B15</f>
        <v>Cartões de Crédito</v>
      </c>
      <c r="C800" s="126" t="s">
        <v>5558</v>
      </c>
      <c r="D800" s="51"/>
      <c r="E800" s="865">
        <v>671.26</v>
      </c>
    </row>
    <row r="801" spans="1:5">
      <c r="A801" s="864">
        <v>39601</v>
      </c>
      <c r="B801" s="125" t="str">
        <f>TiposLancamentos!B6</f>
        <v>Energia Eletrica</v>
      </c>
      <c r="C801" s="126" t="s">
        <v>20910</v>
      </c>
      <c r="D801" s="51"/>
      <c r="E801" s="865">
        <v>100.24</v>
      </c>
    </row>
    <row r="802" spans="1:5">
      <c r="A802" s="864">
        <v>39601</v>
      </c>
      <c r="B802" s="125" t="str">
        <f>TiposLancamentos!B34</f>
        <v>Seguros</v>
      </c>
      <c r="C802" s="126" t="s">
        <v>21016</v>
      </c>
      <c r="D802" s="51"/>
      <c r="E802" s="865">
        <v>69</v>
      </c>
    </row>
    <row r="803" spans="1:5">
      <c r="A803" s="864">
        <v>39601</v>
      </c>
      <c r="B803" s="125" t="str">
        <f>TiposLancamentos!B34</f>
        <v>Seguros</v>
      </c>
      <c r="C803" s="126" t="s">
        <v>21017</v>
      </c>
      <c r="D803" s="51"/>
      <c r="E803" s="865">
        <v>1195</v>
      </c>
    </row>
    <row r="804" spans="1:5">
      <c r="A804" s="864">
        <v>39601</v>
      </c>
      <c r="B804" s="125" t="str">
        <f>TiposLancamentos!B56</f>
        <v>Farmácia</v>
      </c>
      <c r="C804" s="126" t="s">
        <v>21018</v>
      </c>
      <c r="D804" s="51"/>
      <c r="E804" s="865">
        <v>82</v>
      </c>
    </row>
    <row r="805" spans="1:5">
      <c r="A805" s="864">
        <v>39601</v>
      </c>
      <c r="B805" s="125" t="str">
        <f>TiposLancamentos!B5</f>
        <v>Supermercado</v>
      </c>
      <c r="C805" s="126" t="s">
        <v>21019</v>
      </c>
      <c r="D805" s="51"/>
      <c r="E805" s="865">
        <v>66.62</v>
      </c>
    </row>
    <row r="806" spans="1:5">
      <c r="A806" s="864">
        <v>39601</v>
      </c>
      <c r="B806" s="125" t="str">
        <f>TiposLancamentos!B4</f>
        <v>Taxas Bancarias</v>
      </c>
      <c r="C806" s="126" t="s">
        <v>21020</v>
      </c>
      <c r="D806" s="51"/>
      <c r="E806" s="865">
        <v>4.18</v>
      </c>
    </row>
    <row r="807" spans="1:5">
      <c r="A807" s="864">
        <v>39604</v>
      </c>
      <c r="B807" s="125" t="str">
        <f>TiposLancamentos!B5</f>
        <v>Supermercado</v>
      </c>
      <c r="C807" s="126" t="s">
        <v>21021</v>
      </c>
      <c r="D807" s="51"/>
      <c r="E807" s="865">
        <v>22.26</v>
      </c>
    </row>
    <row r="808" spans="1:5">
      <c r="A808" s="864">
        <v>39604</v>
      </c>
      <c r="B808" s="125" t="str">
        <f>TiposLancamentos!B22</f>
        <v>Combustivel</v>
      </c>
      <c r="C808" s="126" t="s">
        <v>21022</v>
      </c>
      <c r="D808" s="51"/>
      <c r="E808" s="865">
        <v>120</v>
      </c>
    </row>
    <row r="809" spans="1:5">
      <c r="A809" s="864">
        <v>39605</v>
      </c>
      <c r="B809" s="125" t="str">
        <f>TiposLancamentos!B20</f>
        <v>Saques</v>
      </c>
      <c r="C809" s="126" t="s">
        <v>21023</v>
      </c>
      <c r="D809" s="51"/>
      <c r="E809" s="865">
        <v>200</v>
      </c>
    </row>
    <row r="810" spans="1:5">
      <c r="A810" s="864">
        <v>39606</v>
      </c>
      <c r="B810" s="125" t="str">
        <f>TiposLancamentos!B56</f>
        <v>Farmácia</v>
      </c>
      <c r="C810" s="126" t="s">
        <v>21024</v>
      </c>
      <c r="D810" s="51"/>
      <c r="E810" s="865">
        <v>16.28</v>
      </c>
    </row>
    <row r="811" spans="1:5">
      <c r="A811" s="864">
        <v>39607</v>
      </c>
      <c r="B811" s="125" t="str">
        <f>TiposLancamentos!B19</f>
        <v>Restaurantes</v>
      </c>
      <c r="C811" s="126" t="s">
        <v>21025</v>
      </c>
      <c r="D811" s="51"/>
      <c r="E811" s="865">
        <v>50.6</v>
      </c>
    </row>
    <row r="812" spans="1:5">
      <c r="A812" s="864">
        <v>39610</v>
      </c>
      <c r="B812" s="125" t="str">
        <f>TiposLancamentos!B72</f>
        <v>Presentes</v>
      </c>
      <c r="C812" s="126" t="s">
        <v>21026</v>
      </c>
      <c r="D812" s="51"/>
      <c r="E812" s="865">
        <v>158</v>
      </c>
    </row>
    <row r="813" spans="1:5">
      <c r="A813" s="864">
        <v>39610</v>
      </c>
      <c r="B813" s="125" t="str">
        <f>TiposLancamentos!B56</f>
        <v>Farmácia</v>
      </c>
      <c r="C813" s="126" t="s">
        <v>21027</v>
      </c>
      <c r="D813" s="51"/>
      <c r="E813" s="865">
        <v>94.83</v>
      </c>
    </row>
    <row r="814" spans="1:5">
      <c r="A814" s="864">
        <v>39612</v>
      </c>
      <c r="B814" s="125" t="str">
        <f>TiposLancamentos!B95</f>
        <v>Salarios</v>
      </c>
      <c r="C814" s="126" t="s">
        <v>4916</v>
      </c>
      <c r="D814" s="51">
        <v>1747.9</v>
      </c>
      <c r="E814" s="865"/>
    </row>
    <row r="815" spans="1:5">
      <c r="A815" s="961">
        <v>39612</v>
      </c>
      <c r="B815" s="817" t="str">
        <f>TiposLancamentos!B8</f>
        <v>Aluguel</v>
      </c>
      <c r="C815" s="962" t="s">
        <v>21028</v>
      </c>
      <c r="D815" s="809"/>
      <c r="E815" s="965">
        <f>843.44+4.8</f>
        <v>848.24</v>
      </c>
    </row>
    <row r="816" spans="1:5">
      <c r="A816" s="963">
        <v>39612</v>
      </c>
      <c r="B816" s="818" t="str">
        <f>TiposLancamentos!B9</f>
        <v>Condominio</v>
      </c>
      <c r="C816" s="964" t="s">
        <v>21029</v>
      </c>
      <c r="D816" s="813"/>
      <c r="E816" s="966">
        <f>186.83+20</f>
        <v>206.83</v>
      </c>
    </row>
    <row r="817" spans="1:5">
      <c r="A817" s="864">
        <v>39612</v>
      </c>
      <c r="B817" s="125" t="str">
        <f>TiposLancamentos!B35</f>
        <v>Tv à Cabo</v>
      </c>
      <c r="C817" s="126" t="s">
        <v>21030</v>
      </c>
      <c r="D817" s="51"/>
      <c r="E817" s="865">
        <v>193.8</v>
      </c>
    </row>
    <row r="818" spans="1:5">
      <c r="A818" s="864">
        <v>39613</v>
      </c>
      <c r="B818" s="125" t="str">
        <f>TiposLancamentos!B19</f>
        <v>Restaurantes</v>
      </c>
      <c r="C818" s="126" t="s">
        <v>21031</v>
      </c>
      <c r="D818" s="51"/>
      <c r="E818" s="865">
        <v>15.45</v>
      </c>
    </row>
    <row r="819" spans="1:5">
      <c r="A819" s="864">
        <v>39614</v>
      </c>
      <c r="B819" s="125" t="str">
        <f>TiposLancamentos!B19</f>
        <v>Restaurantes</v>
      </c>
      <c r="C819" s="126" t="s">
        <v>21032</v>
      </c>
      <c r="D819" s="51"/>
      <c r="E819" s="865">
        <v>14.38</v>
      </c>
    </row>
    <row r="820" spans="1:5">
      <c r="A820" s="864">
        <v>39613</v>
      </c>
      <c r="B820" s="125" t="str">
        <f>TiposLancamentos!B19</f>
        <v>Restaurantes</v>
      </c>
      <c r="C820" s="126" t="s">
        <v>21033</v>
      </c>
      <c r="D820" s="51"/>
      <c r="E820" s="865">
        <v>32.11</v>
      </c>
    </row>
    <row r="821" spans="1:5">
      <c r="A821" s="864">
        <v>39614</v>
      </c>
      <c r="B821" s="125" t="str">
        <f>TiposLancamentos!B5</f>
        <v>Supermercado</v>
      </c>
      <c r="C821" s="126" t="s">
        <v>21034</v>
      </c>
      <c r="D821" s="51"/>
      <c r="E821" s="865">
        <v>5.09</v>
      </c>
    </row>
    <row r="822" spans="1:5">
      <c r="A822" s="864">
        <v>39614</v>
      </c>
      <c r="B822" s="125" t="str">
        <f>TiposLancamentos!B19</f>
        <v>Restaurantes</v>
      </c>
      <c r="C822" s="126" t="s">
        <v>21035</v>
      </c>
      <c r="D822" s="51"/>
      <c r="E822" s="865">
        <v>16.97</v>
      </c>
    </row>
    <row r="823" spans="1:5">
      <c r="A823" s="864">
        <v>39614</v>
      </c>
      <c r="B823" s="125" t="str">
        <f>TiposLancamentos!B19</f>
        <v>Restaurantes</v>
      </c>
      <c r="C823" s="126" t="s">
        <v>21036</v>
      </c>
      <c r="D823" s="51"/>
      <c r="E823" s="865">
        <v>19.329999999999998</v>
      </c>
    </row>
    <row r="824" spans="1:5">
      <c r="A824" s="864">
        <v>39614</v>
      </c>
      <c r="B824" s="125" t="str">
        <f>TiposLancamentos!B33</f>
        <v>Pedágios</v>
      </c>
      <c r="C824" s="126" t="s">
        <v>20941</v>
      </c>
      <c r="D824" s="51"/>
      <c r="E824" s="865">
        <v>81.400000000000006</v>
      </c>
    </row>
    <row r="825" spans="1:5">
      <c r="A825" s="864">
        <v>39615</v>
      </c>
      <c r="B825" s="125" t="str">
        <f>TiposLancamentos!B5</f>
        <v>Supermercado</v>
      </c>
      <c r="C825" s="126" t="s">
        <v>17167</v>
      </c>
      <c r="D825" s="51"/>
      <c r="E825" s="865">
        <v>103.04</v>
      </c>
    </row>
    <row r="826" spans="1:5">
      <c r="A826" s="864">
        <v>39617</v>
      </c>
      <c r="B826" s="125" t="str">
        <f>TiposLancamentos!B19</f>
        <v>Restaurantes</v>
      </c>
      <c r="C826" s="126" t="s">
        <v>21037</v>
      </c>
      <c r="D826" s="51"/>
      <c r="E826" s="865">
        <v>7</v>
      </c>
    </row>
    <row r="827" spans="1:5">
      <c r="A827" s="864">
        <v>39617</v>
      </c>
      <c r="B827" s="125" t="str">
        <f>TiposLancamentos!B19</f>
        <v>Restaurantes</v>
      </c>
      <c r="C827" s="126" t="s">
        <v>21038</v>
      </c>
      <c r="D827" s="51"/>
      <c r="E827" s="865">
        <v>7.32</v>
      </c>
    </row>
    <row r="828" spans="1:5">
      <c r="A828" s="864">
        <v>39620</v>
      </c>
      <c r="B828" s="125" t="str">
        <f>TiposLancamentos!B16</f>
        <v>Cristiane</v>
      </c>
      <c r="C828" s="126" t="s">
        <v>21039</v>
      </c>
      <c r="D828" s="51"/>
      <c r="E828" s="865">
        <v>90</v>
      </c>
    </row>
    <row r="829" spans="1:5">
      <c r="A829" s="864">
        <v>39620</v>
      </c>
      <c r="B829" s="125" t="str">
        <f>TiposLancamentos!B19</f>
        <v>Restaurantes</v>
      </c>
      <c r="C829" s="126" t="s">
        <v>21040</v>
      </c>
      <c r="D829" s="51"/>
      <c r="E829" s="865">
        <v>25.2</v>
      </c>
    </row>
    <row r="830" spans="1:5">
      <c r="A830" s="864">
        <v>39620</v>
      </c>
      <c r="B830" s="125" t="str">
        <f>TiposLancamentos!B16</f>
        <v>Cristiane</v>
      </c>
      <c r="C830" s="126" t="s">
        <v>21041</v>
      </c>
      <c r="D830" s="51"/>
      <c r="E830" s="865">
        <v>289</v>
      </c>
    </row>
    <row r="831" spans="1:5">
      <c r="A831" s="864">
        <v>39620</v>
      </c>
      <c r="B831" s="125" t="str">
        <f>TiposLancamentos!B5</f>
        <v>Supermercado</v>
      </c>
      <c r="C831" s="126" t="s">
        <v>21042</v>
      </c>
      <c r="D831" s="51"/>
      <c r="E831" s="865">
        <v>48.19</v>
      </c>
    </row>
    <row r="832" spans="1:5">
      <c r="A832" s="864">
        <v>39621</v>
      </c>
      <c r="B832" s="125" t="str">
        <f>TiposLancamentos!B5</f>
        <v>Supermercado</v>
      </c>
      <c r="C832" s="126" t="s">
        <v>21043</v>
      </c>
      <c r="D832" s="51"/>
      <c r="E832" s="865">
        <v>34.75</v>
      </c>
    </row>
    <row r="833" spans="1:5">
      <c r="A833" s="864">
        <v>39621</v>
      </c>
      <c r="B833" s="125" t="str">
        <f>TiposLancamentos!B5</f>
        <v>Supermercado</v>
      </c>
      <c r="C833" s="126" t="s">
        <v>21044</v>
      </c>
      <c r="D833" s="51"/>
      <c r="E833" s="865">
        <v>16.37</v>
      </c>
    </row>
    <row r="834" spans="1:5">
      <c r="A834" s="864">
        <v>39622</v>
      </c>
      <c r="B834" s="125" t="str">
        <f>TiposLancamentos!B14</f>
        <v>Gás de cozinha</v>
      </c>
      <c r="C834" s="126" t="s">
        <v>21045</v>
      </c>
      <c r="D834" s="51"/>
      <c r="E834" s="865">
        <v>5.8</v>
      </c>
    </row>
    <row r="835" spans="1:5">
      <c r="A835" s="864">
        <v>39622</v>
      </c>
      <c r="B835" s="125" t="str">
        <f>TiposLancamentos!B19</f>
        <v>Restaurantes</v>
      </c>
      <c r="C835" s="126" t="s">
        <v>21037</v>
      </c>
      <c r="D835" s="51"/>
      <c r="E835" s="865">
        <v>9.52</v>
      </c>
    </row>
    <row r="836" spans="1:5">
      <c r="A836" s="864">
        <v>39622</v>
      </c>
      <c r="B836" s="125" t="str">
        <f>TiposLancamentos!B5</f>
        <v>Supermercado</v>
      </c>
      <c r="C836" s="126" t="s">
        <v>21046</v>
      </c>
      <c r="D836" s="51"/>
      <c r="E836" s="865">
        <v>30.16</v>
      </c>
    </row>
    <row r="837" spans="1:5">
      <c r="A837" s="864">
        <v>39623</v>
      </c>
      <c r="B837" s="125" t="str">
        <f>TiposLancamentos!B19</f>
        <v>Restaurantes</v>
      </c>
      <c r="C837" s="126" t="s">
        <v>6355</v>
      </c>
      <c r="D837" s="51"/>
      <c r="E837" s="865">
        <v>8.27</v>
      </c>
    </row>
    <row r="838" spans="1:5">
      <c r="A838" s="864">
        <v>39623</v>
      </c>
      <c r="B838" s="125" t="str">
        <f>TiposLancamentos!B56</f>
        <v>Farmácia</v>
      </c>
      <c r="C838" s="126" t="s">
        <v>1887</v>
      </c>
      <c r="D838" s="51"/>
      <c r="E838" s="865">
        <v>8.83</v>
      </c>
    </row>
    <row r="839" spans="1:5">
      <c r="A839" s="864">
        <v>39623</v>
      </c>
      <c r="B839" s="125" t="str">
        <f>TiposLancamentos!B19</f>
        <v>Restaurantes</v>
      </c>
      <c r="C839" s="126" t="s">
        <v>21047</v>
      </c>
      <c r="D839" s="51"/>
      <c r="E839" s="865">
        <v>15.8</v>
      </c>
    </row>
    <row r="840" spans="1:5">
      <c r="A840" s="961">
        <v>39624</v>
      </c>
      <c r="B840" s="817" t="str">
        <f>TiposLancamentos!B22</f>
        <v>Combustivel</v>
      </c>
      <c r="C840" s="962" t="s">
        <v>21048</v>
      </c>
      <c r="D840" s="809"/>
      <c r="E840" s="965">
        <v>117</v>
      </c>
    </row>
    <row r="841" spans="1:5">
      <c r="A841" s="963">
        <v>39624</v>
      </c>
      <c r="B841" s="818" t="str">
        <f>TiposLancamentos!B85</f>
        <v>Peugeout 206</v>
      </c>
      <c r="C841" s="964" t="s">
        <v>21049</v>
      </c>
      <c r="D841" s="813"/>
      <c r="E841" s="966">
        <f>200-E840</f>
        <v>83</v>
      </c>
    </row>
    <row r="842" spans="1:5">
      <c r="A842" s="864">
        <v>39624</v>
      </c>
      <c r="B842" s="125" t="str">
        <f>TiposLancamentos!B72</f>
        <v>Presentes</v>
      </c>
      <c r="C842" s="126" t="s">
        <v>21050</v>
      </c>
      <c r="D842" s="51"/>
      <c r="E842" s="865">
        <v>191.1</v>
      </c>
    </row>
    <row r="843" spans="1:5">
      <c r="A843" s="864">
        <v>39624</v>
      </c>
      <c r="B843" s="125" t="str">
        <f>TiposLancamentos!B19</f>
        <v>Restaurantes</v>
      </c>
      <c r="C843" s="126" t="s">
        <v>4977</v>
      </c>
      <c r="D843" s="51"/>
      <c r="E843" s="865">
        <v>4.7</v>
      </c>
    </row>
    <row r="844" spans="1:5">
      <c r="A844" s="864">
        <v>39625</v>
      </c>
      <c r="B844" s="125" t="str">
        <f>TiposLancamentos!B19</f>
        <v>Restaurantes</v>
      </c>
      <c r="C844" s="126" t="s">
        <v>3755</v>
      </c>
      <c r="D844" s="51"/>
      <c r="E844" s="865">
        <v>14.51</v>
      </c>
    </row>
    <row r="845" spans="1:5">
      <c r="A845" s="864">
        <v>39625</v>
      </c>
      <c r="B845" s="125" t="str">
        <f>TiposLancamentos!B5</f>
        <v>Supermercado</v>
      </c>
      <c r="C845" s="126" t="s">
        <v>3902</v>
      </c>
      <c r="D845" s="51"/>
      <c r="E845" s="865">
        <v>154.52000000000001</v>
      </c>
    </row>
    <row r="846" spans="1:5">
      <c r="A846" s="864">
        <v>39626</v>
      </c>
      <c r="B846" s="125" t="str">
        <f>TiposLancamentos!B57</f>
        <v>Informática</v>
      </c>
      <c r="C846" s="126" t="s">
        <v>21051</v>
      </c>
      <c r="D846" s="51"/>
      <c r="E846" s="865">
        <v>588</v>
      </c>
    </row>
    <row r="847" spans="1:5">
      <c r="A847" s="864">
        <v>39629</v>
      </c>
      <c r="B847" s="125" t="str">
        <f>TiposLancamentos!B95</f>
        <v>Salarios</v>
      </c>
      <c r="C847" s="126" t="s">
        <v>4939</v>
      </c>
      <c r="D847" s="51">
        <v>5772.29</v>
      </c>
      <c r="E847" s="865"/>
    </row>
    <row r="848" spans="1:5">
      <c r="A848" s="864">
        <v>39629</v>
      </c>
      <c r="B848" s="125" t="str">
        <f>TiposLancamentos!B95</f>
        <v>Salarios</v>
      </c>
      <c r="C848" s="126" t="s">
        <v>20627</v>
      </c>
      <c r="D848" s="51">
        <v>1638.08</v>
      </c>
      <c r="E848" s="865"/>
    </row>
    <row r="849" spans="1:5">
      <c r="A849" s="864">
        <v>39629</v>
      </c>
      <c r="B849" s="125" t="str">
        <f>TiposLancamentos!B73</f>
        <v>Cursos</v>
      </c>
      <c r="C849" s="126" t="s">
        <v>21052</v>
      </c>
      <c r="D849" s="51"/>
      <c r="E849" s="865">
        <v>95</v>
      </c>
    </row>
    <row r="850" spans="1:5">
      <c r="A850" s="864">
        <v>39629</v>
      </c>
      <c r="B850" s="125" t="str">
        <f>TiposLancamentos!B57</f>
        <v>Informática</v>
      </c>
      <c r="C850" s="126" t="s">
        <v>21053</v>
      </c>
      <c r="D850" s="51"/>
      <c r="E850" s="865">
        <v>311</v>
      </c>
    </row>
    <row r="851" spans="1:5">
      <c r="A851" s="864">
        <v>39629</v>
      </c>
      <c r="B851" s="125" t="str">
        <f>TiposLancamentos!B20</f>
        <v>Saques</v>
      </c>
      <c r="C851" s="126" t="s">
        <v>2668</v>
      </c>
      <c r="D851" s="51"/>
      <c r="E851" s="865">
        <v>20</v>
      </c>
    </row>
    <row r="852" spans="1:5">
      <c r="A852" s="864">
        <v>39629</v>
      </c>
      <c r="B852" s="125" t="str">
        <f>TiposLancamentos!B71</f>
        <v>Itens Pessoais</v>
      </c>
      <c r="C852" s="126" t="s">
        <v>1964</v>
      </c>
      <c r="D852" s="51"/>
      <c r="E852" s="865">
        <v>15</v>
      </c>
    </row>
    <row r="853" spans="1:5">
      <c r="A853" s="864">
        <v>39629</v>
      </c>
      <c r="B853" s="125" t="str">
        <f>TiposLancamentos!B16</f>
        <v>Cristiane</v>
      </c>
      <c r="C853" s="126" t="s">
        <v>21054</v>
      </c>
      <c r="D853" s="51"/>
      <c r="E853" s="865">
        <v>64.900000000000006</v>
      </c>
    </row>
    <row r="854" spans="1:5">
      <c r="A854" s="864">
        <v>39629</v>
      </c>
      <c r="B854" s="125" t="str">
        <f>TiposLancamentos!B17</f>
        <v>GATO</v>
      </c>
      <c r="C854" s="126" t="s">
        <v>21055</v>
      </c>
      <c r="D854" s="51"/>
      <c r="E854" s="865">
        <v>13.11</v>
      </c>
    </row>
    <row r="855" spans="1:5" ht="14.25" thickBot="1">
      <c r="A855" s="864">
        <v>39629</v>
      </c>
      <c r="B855" s="125" t="str">
        <f>TiposLancamentos!B32</f>
        <v>Clinicas e tratamentos</v>
      </c>
      <c r="C855" s="126" t="s">
        <v>21056</v>
      </c>
      <c r="D855" s="134"/>
      <c r="E855" s="952">
        <v>680</v>
      </c>
    </row>
    <row r="856" spans="1:5" ht="14.25" thickBot="1">
      <c r="A856" s="998"/>
      <c r="B856" s="989"/>
      <c r="C856" s="990" t="s">
        <v>5600</v>
      </c>
      <c r="D856" s="991"/>
      <c r="E856" s="999"/>
    </row>
    <row r="857" spans="1:5">
      <c r="A857" s="856">
        <v>39630</v>
      </c>
      <c r="B857" s="125" t="str">
        <f>TiposLancamentos!B45</f>
        <v>Online Services</v>
      </c>
      <c r="C857" s="139" t="s">
        <v>15207</v>
      </c>
      <c r="D857" s="51"/>
      <c r="E857" s="857">
        <v>19.899999999999999</v>
      </c>
    </row>
    <row r="858" spans="1:5">
      <c r="A858" s="856">
        <v>39630</v>
      </c>
      <c r="B858" s="125" t="str">
        <f>TiposLancamentos!B2</f>
        <v>Telefonia</v>
      </c>
      <c r="C858" s="139" t="s">
        <v>5556</v>
      </c>
      <c r="D858" s="51"/>
      <c r="E858" s="857">
        <v>28.8</v>
      </c>
    </row>
    <row r="859" spans="1:5">
      <c r="A859" s="856">
        <v>39630</v>
      </c>
      <c r="B859" s="125" t="str">
        <f>TiposLancamentos!B3</f>
        <v>Internet</v>
      </c>
      <c r="C859" s="139" t="s">
        <v>4987</v>
      </c>
      <c r="D859" s="51"/>
      <c r="E859" s="857">
        <v>89.9</v>
      </c>
    </row>
    <row r="860" spans="1:5">
      <c r="A860" s="856">
        <v>39630</v>
      </c>
      <c r="B860" s="125" t="str">
        <f>TiposLancamentos!B15</f>
        <v>Cartões de Crédito</v>
      </c>
      <c r="C860" s="139" t="s">
        <v>20597</v>
      </c>
      <c r="D860" s="51"/>
      <c r="E860" s="857">
        <v>460.5</v>
      </c>
    </row>
    <row r="861" spans="1:5">
      <c r="A861" s="856">
        <v>39630</v>
      </c>
      <c r="B861" s="125" t="str">
        <f>TiposLancamentos!B15</f>
        <v>Cartões de Crédito</v>
      </c>
      <c r="C861" s="139" t="s">
        <v>5558</v>
      </c>
      <c r="D861" s="51"/>
      <c r="E861" s="857">
        <v>163.80000000000001</v>
      </c>
    </row>
    <row r="862" spans="1:5">
      <c r="A862" s="856">
        <v>39630</v>
      </c>
      <c r="B862" s="125" t="str">
        <f>TiposLancamentos!B34</f>
        <v>Seguros</v>
      </c>
      <c r="C862" s="139" t="s">
        <v>21016</v>
      </c>
      <c r="D862" s="51"/>
      <c r="E862" s="857">
        <v>69</v>
      </c>
    </row>
    <row r="863" spans="1:5">
      <c r="A863" s="856">
        <v>39630</v>
      </c>
      <c r="B863" s="125" t="str">
        <f>TiposLancamentos!B6</f>
        <v>Energia Eletrica</v>
      </c>
      <c r="C863" s="139" t="s">
        <v>5561</v>
      </c>
      <c r="D863" s="51"/>
      <c r="E863" s="857">
        <v>84.33</v>
      </c>
    </row>
    <row r="864" spans="1:5">
      <c r="A864" s="856">
        <v>39630</v>
      </c>
      <c r="B864" s="125" t="str">
        <f>TiposLancamentos!B5</f>
        <v>Supermercado</v>
      </c>
      <c r="C864" s="139" t="s">
        <v>17167</v>
      </c>
      <c r="D864" s="51"/>
      <c r="E864" s="857">
        <v>164.24</v>
      </c>
    </row>
    <row r="865" spans="1:5">
      <c r="A865" s="856">
        <v>39630</v>
      </c>
      <c r="B865" s="125" t="str">
        <f>TiposLancamentos!B16</f>
        <v>Cristiane</v>
      </c>
      <c r="C865" s="139" t="s">
        <v>21057</v>
      </c>
      <c r="D865" s="55"/>
      <c r="E865" s="857">
        <v>1000</v>
      </c>
    </row>
    <row r="866" spans="1:5">
      <c r="A866" s="856">
        <v>39630</v>
      </c>
      <c r="B866" s="125" t="str">
        <f>TiposLancamentos!B4</f>
        <v>Taxas Bancarias</v>
      </c>
      <c r="C866" s="139" t="s">
        <v>21020</v>
      </c>
      <c r="D866" s="51"/>
      <c r="E866" s="857">
        <v>3.44</v>
      </c>
    </row>
    <row r="867" spans="1:5">
      <c r="A867" s="856">
        <v>39631</v>
      </c>
      <c r="B867" s="125" t="str">
        <f>TiposLancamentos!B5</f>
        <v>Supermercado</v>
      </c>
      <c r="C867" s="139" t="s">
        <v>5930</v>
      </c>
      <c r="D867" s="51"/>
      <c r="E867" s="857">
        <v>12.5</v>
      </c>
    </row>
    <row r="868" spans="1:5">
      <c r="A868" s="856">
        <v>39632</v>
      </c>
      <c r="B868" s="125" t="str">
        <f>TiposLancamentos!B105</f>
        <v>Transf. Bco</v>
      </c>
      <c r="C868" s="139" t="s">
        <v>21058</v>
      </c>
      <c r="D868" s="51"/>
      <c r="E868" s="857">
        <v>2500</v>
      </c>
    </row>
    <row r="869" spans="1:5">
      <c r="A869" s="856">
        <v>39632</v>
      </c>
      <c r="B869" s="125" t="str">
        <f>TiposLancamentos!B17</f>
        <v>GATO</v>
      </c>
      <c r="C869" s="139" t="s">
        <v>21059</v>
      </c>
      <c r="D869" s="51"/>
      <c r="E869" s="857">
        <v>56.26</v>
      </c>
    </row>
    <row r="870" spans="1:5">
      <c r="A870" s="856">
        <v>39632</v>
      </c>
      <c r="B870" s="125" t="str">
        <f>TiposLancamentos!B20</f>
        <v>Saques</v>
      </c>
      <c r="C870" s="139" t="s">
        <v>2655</v>
      </c>
      <c r="D870" s="51"/>
      <c r="E870" s="857">
        <v>10</v>
      </c>
    </row>
    <row r="871" spans="1:5">
      <c r="A871" s="856">
        <v>39633</v>
      </c>
      <c r="B871" s="125" t="str">
        <f>TiposLancamentos!B5</f>
        <v>Supermercado</v>
      </c>
      <c r="C871" s="139" t="s">
        <v>21060</v>
      </c>
      <c r="D871" s="51"/>
      <c r="E871" s="857">
        <v>18.87</v>
      </c>
    </row>
    <row r="872" spans="1:5">
      <c r="A872" s="856">
        <v>39633</v>
      </c>
      <c r="B872" s="125" t="str">
        <f>TiposLancamentos!B2</f>
        <v>Telefonia</v>
      </c>
      <c r="C872" s="139" t="s">
        <v>4846</v>
      </c>
      <c r="D872" s="51"/>
      <c r="E872" s="857">
        <v>22.77</v>
      </c>
    </row>
    <row r="873" spans="1:5">
      <c r="A873" s="856">
        <v>39634</v>
      </c>
      <c r="B873" s="125" t="str">
        <f>TiposLancamentos!B81</f>
        <v>Ferramentas gerais</v>
      </c>
      <c r="C873" s="139" t="s">
        <v>21061</v>
      </c>
      <c r="D873" s="51"/>
      <c r="E873" s="857">
        <v>42.2</v>
      </c>
    </row>
    <row r="874" spans="1:5">
      <c r="A874" s="856">
        <v>39635</v>
      </c>
      <c r="B874" s="125" t="str">
        <f>TiposLancamentos!B5</f>
        <v>Supermercado</v>
      </c>
      <c r="C874" s="139" t="s">
        <v>21062</v>
      </c>
      <c r="D874" s="51"/>
      <c r="E874" s="857">
        <v>4.5999999999999996</v>
      </c>
    </row>
    <row r="875" spans="1:5">
      <c r="A875" s="856">
        <v>39635</v>
      </c>
      <c r="B875" s="125" t="str">
        <f>TiposLancamentos!B19</f>
        <v>Restaurantes</v>
      </c>
      <c r="C875" s="139" t="s">
        <v>21063</v>
      </c>
      <c r="D875" s="51"/>
      <c r="E875" s="857">
        <v>31.44</v>
      </c>
    </row>
    <row r="876" spans="1:5">
      <c r="A876" s="856">
        <v>39636</v>
      </c>
      <c r="B876" s="125" t="str">
        <f>TiposLancamentos!B16</f>
        <v>Cristiane</v>
      </c>
      <c r="C876" s="139" t="s">
        <v>21064</v>
      </c>
      <c r="D876" s="51"/>
      <c r="E876" s="857">
        <v>172.48</v>
      </c>
    </row>
    <row r="877" spans="1:5">
      <c r="A877" s="856">
        <v>39636</v>
      </c>
      <c r="B877" s="125" t="str">
        <f>TiposLancamentos!B5</f>
        <v>Supermercado</v>
      </c>
      <c r="C877" s="139" t="s">
        <v>21065</v>
      </c>
      <c r="D877" s="51"/>
      <c r="E877" s="857">
        <v>66.3</v>
      </c>
    </row>
    <row r="878" spans="1:5">
      <c r="A878" s="856">
        <v>39637</v>
      </c>
      <c r="B878" s="125" t="str">
        <f>TiposLancamentos!B5</f>
        <v>Supermercado</v>
      </c>
      <c r="C878" s="139" t="s">
        <v>21065</v>
      </c>
      <c r="D878" s="51"/>
      <c r="E878" s="857">
        <v>22.52</v>
      </c>
    </row>
    <row r="879" spans="1:5">
      <c r="A879" s="856">
        <v>39637</v>
      </c>
      <c r="B879" s="125" t="str">
        <f>TiposLancamentos!B19</f>
        <v>Restaurantes</v>
      </c>
      <c r="C879" s="139" t="s">
        <v>21066</v>
      </c>
      <c r="D879" s="51"/>
      <c r="E879" s="857">
        <v>10.6</v>
      </c>
    </row>
    <row r="880" spans="1:5">
      <c r="A880" s="856">
        <v>39638</v>
      </c>
      <c r="B880" s="125" t="str">
        <f>TiposLancamentos!B30</f>
        <v>Cinema</v>
      </c>
      <c r="C880" s="139" t="s">
        <v>21067</v>
      </c>
      <c r="D880" s="51"/>
      <c r="E880" s="857">
        <v>26</v>
      </c>
    </row>
    <row r="881" spans="1:5">
      <c r="A881" s="856">
        <v>39638</v>
      </c>
      <c r="B881" s="125" t="str">
        <f>TiposLancamentos!B19</f>
        <v>Restaurantes</v>
      </c>
      <c r="C881" s="139" t="s">
        <v>21068</v>
      </c>
      <c r="D881" s="51"/>
      <c r="E881" s="857">
        <v>20.399999999999999</v>
      </c>
    </row>
    <row r="882" spans="1:5">
      <c r="A882" s="856">
        <v>39638</v>
      </c>
      <c r="B882" s="125" t="str">
        <f>TiposLancamentos!B19</f>
        <v>Restaurantes</v>
      </c>
      <c r="C882" s="139" t="s">
        <v>21069</v>
      </c>
      <c r="D882" s="51"/>
      <c r="E882" s="857">
        <v>4.8</v>
      </c>
    </row>
    <row r="883" spans="1:5">
      <c r="A883" s="856">
        <v>39641</v>
      </c>
      <c r="B883" s="125" t="str">
        <f>TiposLancamentos!B5</f>
        <v>Supermercado</v>
      </c>
      <c r="C883" s="139" t="s">
        <v>20768</v>
      </c>
      <c r="D883" s="51"/>
      <c r="E883" s="857">
        <v>26.29</v>
      </c>
    </row>
    <row r="884" spans="1:5">
      <c r="A884" s="856">
        <v>39641</v>
      </c>
      <c r="B884" s="125" t="str">
        <f>TiposLancamentos!B5</f>
        <v>Supermercado</v>
      </c>
      <c r="C884" s="139" t="s">
        <v>5615</v>
      </c>
      <c r="D884" s="51"/>
      <c r="E884" s="857">
        <v>42.57</v>
      </c>
    </row>
    <row r="885" spans="1:5">
      <c r="A885" s="856">
        <v>39643</v>
      </c>
      <c r="B885" s="125" t="str">
        <f>TiposLancamentos!B20</f>
        <v>Saques</v>
      </c>
      <c r="C885" s="139" t="s">
        <v>1706</v>
      </c>
      <c r="D885" s="51"/>
      <c r="E885" s="857">
        <v>30</v>
      </c>
    </row>
    <row r="886" spans="1:5">
      <c r="A886" s="856">
        <v>39643</v>
      </c>
      <c r="B886" s="125" t="str">
        <f>TiposLancamentos!B5</f>
        <v>Supermercado</v>
      </c>
      <c r="C886" s="139" t="s">
        <v>21070</v>
      </c>
      <c r="D886" s="51"/>
      <c r="E886" s="857">
        <v>28.29</v>
      </c>
    </row>
    <row r="887" spans="1:5">
      <c r="A887" s="856">
        <v>39644</v>
      </c>
      <c r="B887" s="125" t="str">
        <f>TiposLancamentos!B24</f>
        <v>Estacionamentos</v>
      </c>
      <c r="C887" s="139" t="s">
        <v>5392</v>
      </c>
      <c r="D887" s="51"/>
      <c r="E887" s="857">
        <v>22.04</v>
      </c>
    </row>
    <row r="888" spans="1:5">
      <c r="A888" s="961">
        <v>39644</v>
      </c>
      <c r="B888" s="817" t="str">
        <f>TiposLancamentos!B8</f>
        <v>Aluguel</v>
      </c>
      <c r="C888" s="962" t="s">
        <v>21071</v>
      </c>
      <c r="D888" s="809"/>
      <c r="E888" s="965">
        <f>843.44+4.8</f>
        <v>848.24</v>
      </c>
    </row>
    <row r="889" spans="1:5">
      <c r="A889" s="963">
        <v>39644</v>
      </c>
      <c r="B889" s="818" t="str">
        <f>TiposLancamentos!B9</f>
        <v>Condominio</v>
      </c>
      <c r="C889" s="964" t="s">
        <v>21072</v>
      </c>
      <c r="D889" s="813"/>
      <c r="E889" s="966">
        <f>1095.07-E888</f>
        <v>246.82999999999993</v>
      </c>
    </row>
    <row r="890" spans="1:5">
      <c r="A890" s="856">
        <v>39644</v>
      </c>
      <c r="B890" s="125" t="str">
        <f>TiposLancamentos!B95</f>
        <v>Salarios</v>
      </c>
      <c r="C890" s="126" t="s">
        <v>4916</v>
      </c>
      <c r="D890" s="51">
        <v>1747.9</v>
      </c>
      <c r="E890" s="857"/>
    </row>
    <row r="891" spans="1:5">
      <c r="A891" s="856">
        <v>39644</v>
      </c>
      <c r="B891" s="125" t="str">
        <f>TiposLancamentos!B35</f>
        <v>Tv à Cabo</v>
      </c>
      <c r="C891" s="139" t="s">
        <v>21073</v>
      </c>
      <c r="D891" s="51"/>
      <c r="E891" s="857">
        <v>193.8</v>
      </c>
    </row>
    <row r="892" spans="1:5">
      <c r="A892" s="856">
        <v>39646</v>
      </c>
      <c r="B892" s="125" t="str">
        <f>TiposLancamentos!B5</f>
        <v>Supermercado</v>
      </c>
      <c r="C892" s="139" t="s">
        <v>21074</v>
      </c>
      <c r="D892" s="51"/>
      <c r="E892" s="857">
        <v>36.24</v>
      </c>
    </row>
    <row r="893" spans="1:5">
      <c r="A893" s="856">
        <v>39647</v>
      </c>
      <c r="B893" s="125" t="str">
        <f>TiposLancamentos!B22</f>
        <v>Combustivel</v>
      </c>
      <c r="C893" s="139" t="s">
        <v>21048</v>
      </c>
      <c r="D893" s="51"/>
      <c r="E893" s="857">
        <v>119</v>
      </c>
    </row>
    <row r="894" spans="1:5">
      <c r="A894" s="856">
        <v>39647</v>
      </c>
      <c r="B894" s="125" t="str">
        <f>TiposLancamentos!B19</f>
        <v>Restaurantes</v>
      </c>
      <c r="C894" s="139" t="s">
        <v>21075</v>
      </c>
      <c r="D894" s="51"/>
      <c r="E894" s="857">
        <v>9.69</v>
      </c>
    </row>
    <row r="895" spans="1:5">
      <c r="A895" s="856">
        <v>39648</v>
      </c>
      <c r="B895" s="125" t="str">
        <f>TiposLancamentos!B20</f>
        <v>Saques</v>
      </c>
      <c r="C895" s="139" t="s">
        <v>3406</v>
      </c>
      <c r="D895" s="51"/>
      <c r="E895" s="857">
        <v>60</v>
      </c>
    </row>
    <row r="896" spans="1:5">
      <c r="A896" s="856">
        <v>39648</v>
      </c>
      <c r="B896" s="125" t="str">
        <f>TiposLancamentos!B19</f>
        <v>Restaurantes</v>
      </c>
      <c r="C896" s="139" t="s">
        <v>21076</v>
      </c>
      <c r="D896" s="51"/>
      <c r="E896" s="857">
        <v>23.28</v>
      </c>
    </row>
    <row r="897" spans="1:5">
      <c r="A897" s="856">
        <v>39648</v>
      </c>
      <c r="B897" s="125" t="str">
        <f>TiposLancamentos!B91</f>
        <v>PSP Slim 2000</v>
      </c>
      <c r="C897" s="139" t="s">
        <v>21077</v>
      </c>
      <c r="D897" s="51"/>
      <c r="E897" s="857">
        <v>89.9</v>
      </c>
    </row>
    <row r="898" spans="1:5">
      <c r="A898" s="856">
        <v>39648</v>
      </c>
      <c r="B898" s="125" t="str">
        <f>TiposLancamentos!B5</f>
        <v>Supermercado</v>
      </c>
      <c r="C898" s="139" t="s">
        <v>21078</v>
      </c>
      <c r="D898" s="51"/>
      <c r="E898" s="857">
        <v>11.9</v>
      </c>
    </row>
    <row r="899" spans="1:5">
      <c r="A899" s="856">
        <v>39648</v>
      </c>
      <c r="B899" s="125" t="str">
        <f>TiposLancamentos!B5</f>
        <v>Supermercado</v>
      </c>
      <c r="C899" s="139" t="s">
        <v>21079</v>
      </c>
      <c r="D899" s="51"/>
      <c r="E899" s="857">
        <v>44.09</v>
      </c>
    </row>
    <row r="900" spans="1:5">
      <c r="A900" s="856">
        <v>39648</v>
      </c>
      <c r="B900" s="125" t="str">
        <f>TiposLancamentos!B13</f>
        <v>Moradia</v>
      </c>
      <c r="C900" s="139" t="s">
        <v>21080</v>
      </c>
      <c r="D900" s="51"/>
      <c r="E900" s="857">
        <v>184.69</v>
      </c>
    </row>
    <row r="901" spans="1:5">
      <c r="A901" s="884">
        <v>39649</v>
      </c>
      <c r="B901" s="86" t="str">
        <f>TiposLancamentos!B50</f>
        <v>Guitarra</v>
      </c>
      <c r="C901" s="3" t="s">
        <v>3801</v>
      </c>
      <c r="D901" s="63"/>
      <c r="E901" s="952">
        <v>17</v>
      </c>
    </row>
    <row r="902" spans="1:5">
      <c r="A902" s="856">
        <v>39650</v>
      </c>
      <c r="B902" s="125" t="str">
        <f>TiposLancamentos!B19</f>
        <v>Restaurantes</v>
      </c>
      <c r="C902" s="139" t="s">
        <v>3287</v>
      </c>
      <c r="D902" s="51"/>
      <c r="E902" s="857">
        <v>15.75</v>
      </c>
    </row>
    <row r="903" spans="1:5">
      <c r="A903" s="856">
        <v>39651</v>
      </c>
      <c r="B903" s="125" t="str">
        <f>TiposLancamentos!B19</f>
        <v>Restaurantes</v>
      </c>
      <c r="C903" s="139" t="s">
        <v>4977</v>
      </c>
      <c r="D903" s="51"/>
      <c r="E903" s="857">
        <v>6.8</v>
      </c>
    </row>
    <row r="904" spans="1:5">
      <c r="A904" s="856">
        <v>39652</v>
      </c>
      <c r="B904" s="125" t="str">
        <f>TiposLancamentos!B19</f>
        <v>Restaurantes</v>
      </c>
      <c r="C904" s="139" t="s">
        <v>21081</v>
      </c>
      <c r="D904" s="51"/>
      <c r="E904" s="857">
        <v>9.69</v>
      </c>
    </row>
    <row r="905" spans="1:5">
      <c r="A905" s="856">
        <v>39653</v>
      </c>
      <c r="B905" s="125" t="str">
        <f>TiposLancamentos!B19</f>
        <v>Restaurantes</v>
      </c>
      <c r="C905" s="139" t="s">
        <v>21081</v>
      </c>
      <c r="D905" s="51"/>
      <c r="E905" s="857">
        <v>7.16</v>
      </c>
    </row>
    <row r="906" spans="1:5">
      <c r="A906" s="856">
        <v>39654</v>
      </c>
      <c r="B906" s="125" t="str">
        <f>TiposLancamentos!B19</f>
        <v>Restaurantes</v>
      </c>
      <c r="C906" s="139" t="s">
        <v>3287</v>
      </c>
      <c r="D906" s="51"/>
      <c r="E906" s="857">
        <v>13.65</v>
      </c>
    </row>
    <row r="907" spans="1:5">
      <c r="A907" s="856">
        <v>39654</v>
      </c>
      <c r="B907" s="125" t="str">
        <f>TiposLancamentos!B19</f>
        <v>Restaurantes</v>
      </c>
      <c r="C907" s="139" t="s">
        <v>21082</v>
      </c>
      <c r="D907" s="51"/>
      <c r="E907" s="857">
        <v>10.65</v>
      </c>
    </row>
    <row r="908" spans="1:5">
      <c r="A908" s="856">
        <v>39655</v>
      </c>
      <c r="B908" s="125" t="str">
        <f>TiposLancamentos!B19</f>
        <v>Restaurantes</v>
      </c>
      <c r="C908" s="139" t="s">
        <v>21083</v>
      </c>
      <c r="D908" s="51"/>
      <c r="E908" s="857">
        <v>36.799999999999997</v>
      </c>
    </row>
    <row r="909" spans="1:5">
      <c r="A909" s="856">
        <v>39655</v>
      </c>
      <c r="B909" s="125" t="str">
        <f>TiposLancamentos!B19</f>
        <v>Restaurantes</v>
      </c>
      <c r="C909" s="139" t="s">
        <v>21084</v>
      </c>
      <c r="D909" s="51"/>
      <c r="E909" s="857">
        <v>8</v>
      </c>
    </row>
    <row r="910" spans="1:5">
      <c r="A910" s="856">
        <v>39655</v>
      </c>
      <c r="B910" s="125" t="str">
        <f>TiposLancamentos!B19</f>
        <v>Restaurantes</v>
      </c>
      <c r="C910" s="139" t="s">
        <v>21085</v>
      </c>
      <c r="D910" s="51"/>
      <c r="E910" s="857">
        <v>31.2</v>
      </c>
    </row>
    <row r="911" spans="1:5">
      <c r="A911" s="856">
        <v>39657</v>
      </c>
      <c r="B911" s="125" t="str">
        <f>TiposLancamentos!B19</f>
        <v>Restaurantes</v>
      </c>
      <c r="C911" s="139" t="s">
        <v>21086</v>
      </c>
      <c r="D911" s="51"/>
      <c r="E911" s="857">
        <v>9.32</v>
      </c>
    </row>
    <row r="912" spans="1:5">
      <c r="A912" s="856">
        <v>39657</v>
      </c>
      <c r="B912" s="125" t="str">
        <f>TiposLancamentos!B50</f>
        <v>Guitarra</v>
      </c>
      <c r="C912" s="139" t="s">
        <v>21087</v>
      </c>
      <c r="D912" s="51"/>
      <c r="E912" s="857">
        <v>534</v>
      </c>
    </row>
    <row r="913" spans="1:5">
      <c r="A913" s="856">
        <v>39658</v>
      </c>
      <c r="B913" s="125" t="str">
        <f>TiposLancamentos!B5</f>
        <v>Supermercado</v>
      </c>
      <c r="C913" s="139" t="s">
        <v>21088</v>
      </c>
      <c r="D913" s="51"/>
      <c r="E913" s="857">
        <v>27.2</v>
      </c>
    </row>
    <row r="914" spans="1:5">
      <c r="A914" s="856">
        <v>39658</v>
      </c>
      <c r="B914" s="125" t="str">
        <f>TiposLancamentos!B91</f>
        <v>PSP Slim 2000</v>
      </c>
      <c r="C914" s="139" t="s">
        <v>21089</v>
      </c>
      <c r="D914" s="51"/>
      <c r="E914" s="857">
        <v>95</v>
      </c>
    </row>
    <row r="915" spans="1:5">
      <c r="A915" s="856">
        <v>39659</v>
      </c>
      <c r="B915" s="125" t="str">
        <f>TiposLancamentos!B73</f>
        <v>Cursos</v>
      </c>
      <c r="C915" s="139" t="s">
        <v>21090</v>
      </c>
      <c r="D915" s="51"/>
      <c r="E915" s="857">
        <v>95</v>
      </c>
    </row>
    <row r="916" spans="1:5">
      <c r="A916" s="856">
        <v>39659</v>
      </c>
      <c r="B916" s="125" t="str">
        <f>TiposLancamentos!B14</f>
        <v>Gás de cozinha</v>
      </c>
      <c r="C916" s="139" t="s">
        <v>5639</v>
      </c>
      <c r="D916" s="51"/>
      <c r="E916" s="857">
        <v>4.2699999999999996</v>
      </c>
    </row>
    <row r="917" spans="1:5">
      <c r="A917" s="856">
        <v>39659</v>
      </c>
      <c r="B917" s="125" t="str">
        <f>TiposLancamentos!B20</f>
        <v>Saques</v>
      </c>
      <c r="C917" s="139" t="s">
        <v>2668</v>
      </c>
      <c r="D917" s="51"/>
      <c r="E917" s="857">
        <v>20</v>
      </c>
    </row>
    <row r="918" spans="1:5">
      <c r="A918" s="856">
        <v>39659</v>
      </c>
      <c r="B918" s="125" t="str">
        <f>TiposLancamentos!B16</f>
        <v>Cristiane</v>
      </c>
      <c r="C918" s="139" t="s">
        <v>21091</v>
      </c>
      <c r="D918" s="51"/>
      <c r="E918" s="857">
        <v>56</v>
      </c>
    </row>
    <row r="919" spans="1:5">
      <c r="A919" s="856">
        <v>39659</v>
      </c>
      <c r="B919" s="125" t="str">
        <f>TiposLancamentos!B50</f>
        <v>Guitarra</v>
      </c>
      <c r="C919" s="139" t="s">
        <v>21092</v>
      </c>
      <c r="D919" s="51"/>
      <c r="E919" s="857">
        <v>30</v>
      </c>
    </row>
    <row r="920" spans="1:5">
      <c r="A920" s="856">
        <v>39659</v>
      </c>
      <c r="B920" s="125" t="str">
        <f>TiposLancamentos!B71</f>
        <v>Itens Pessoais</v>
      </c>
      <c r="C920" s="139" t="s">
        <v>21093</v>
      </c>
      <c r="D920" s="51"/>
      <c r="E920" s="857">
        <v>76</v>
      </c>
    </row>
    <row r="921" spans="1:5">
      <c r="A921" s="856">
        <v>39659</v>
      </c>
      <c r="B921" s="125" t="str">
        <f>TiposLancamentos!B56</f>
        <v>Farmácia</v>
      </c>
      <c r="C921" s="139" t="s">
        <v>21094</v>
      </c>
      <c r="D921" s="51"/>
      <c r="E921" s="857">
        <v>16.260000000000002</v>
      </c>
    </row>
    <row r="922" spans="1:5">
      <c r="A922" s="856">
        <v>39660</v>
      </c>
      <c r="B922" s="125" t="str">
        <f>TiposLancamentos!B95</f>
        <v>Salarios</v>
      </c>
      <c r="C922" s="126" t="s">
        <v>4939</v>
      </c>
      <c r="D922" s="51">
        <v>5735.59</v>
      </c>
      <c r="E922" s="857"/>
    </row>
    <row r="923" spans="1:5" ht="14.25" thickBot="1">
      <c r="A923" s="856">
        <v>39660</v>
      </c>
      <c r="B923" s="125" t="str">
        <f>TiposLancamentos!B5</f>
        <v>Supermercado</v>
      </c>
      <c r="C923" s="139" t="s">
        <v>21095</v>
      </c>
      <c r="D923" s="51"/>
      <c r="E923" s="857">
        <v>6.75</v>
      </c>
    </row>
    <row r="924" spans="1:5" ht="14.25" thickBot="1">
      <c r="A924" s="998"/>
      <c r="B924" s="989"/>
      <c r="C924" s="997" t="s">
        <v>5602</v>
      </c>
      <c r="D924" s="991"/>
      <c r="E924" s="999"/>
    </row>
    <row r="925" spans="1:5">
      <c r="A925" s="856">
        <v>39661</v>
      </c>
      <c r="B925" s="125" t="str">
        <f>TiposLancamentos!B2</f>
        <v>Telefonia</v>
      </c>
      <c r="C925" s="139" t="s">
        <v>5556</v>
      </c>
      <c r="D925" s="51"/>
      <c r="E925" s="857">
        <v>29.05</v>
      </c>
    </row>
    <row r="926" spans="1:5">
      <c r="A926" s="856">
        <v>39661</v>
      </c>
      <c r="B926" s="125" t="str">
        <f>TiposLancamentos!B3</f>
        <v>Internet</v>
      </c>
      <c r="C926" s="139" t="s">
        <v>4987</v>
      </c>
      <c r="D926" s="51"/>
      <c r="E926" s="857">
        <v>89.9</v>
      </c>
    </row>
    <row r="927" spans="1:5">
      <c r="A927" s="856">
        <v>39661</v>
      </c>
      <c r="B927" s="125" t="str">
        <f>TiposLancamentos!B6</f>
        <v>Energia Eletrica</v>
      </c>
      <c r="C927" s="139" t="s">
        <v>5030</v>
      </c>
      <c r="D927" s="51"/>
      <c r="E927" s="857">
        <v>87.79</v>
      </c>
    </row>
    <row r="928" spans="1:5">
      <c r="A928" s="856">
        <v>39661</v>
      </c>
      <c r="B928" s="125" t="str">
        <f>TiposLancamentos!B15</f>
        <v>Cartões de Crédito</v>
      </c>
      <c r="C928" s="139" t="s">
        <v>5557</v>
      </c>
      <c r="D928" s="51"/>
      <c r="E928" s="857">
        <v>569.70000000000005</v>
      </c>
    </row>
    <row r="929" spans="1:5">
      <c r="A929" s="856">
        <v>39661</v>
      </c>
      <c r="B929" s="125" t="str">
        <f>TiposLancamentos!B35</f>
        <v>Tv à Cabo</v>
      </c>
      <c r="C929" s="139" t="s">
        <v>21096</v>
      </c>
      <c r="D929" s="51"/>
      <c r="E929" s="857">
        <v>113.88</v>
      </c>
    </row>
    <row r="930" spans="1:5">
      <c r="A930" s="856">
        <v>39661</v>
      </c>
      <c r="B930" s="125" t="str">
        <f>TiposLancamentos!B34</f>
        <v>Seguros</v>
      </c>
      <c r="C930" s="139" t="s">
        <v>21097</v>
      </c>
      <c r="D930" s="51"/>
      <c r="E930" s="857">
        <v>69</v>
      </c>
    </row>
    <row r="931" spans="1:5">
      <c r="A931" s="856">
        <v>39661</v>
      </c>
      <c r="B931" s="125" t="str">
        <f>TiposLancamentos!B15</f>
        <v>Cartões de Crédito</v>
      </c>
      <c r="C931" s="139" t="s">
        <v>5558</v>
      </c>
      <c r="D931" s="51"/>
      <c r="E931" s="857">
        <v>635.9</v>
      </c>
    </row>
    <row r="932" spans="1:5">
      <c r="A932" s="856">
        <v>39661</v>
      </c>
      <c r="B932" s="125" t="str">
        <f>TiposLancamentos!B71</f>
        <v>Itens Pessoais</v>
      </c>
      <c r="C932" s="139" t="s">
        <v>21098</v>
      </c>
      <c r="D932" s="51"/>
      <c r="E932" s="857">
        <v>30</v>
      </c>
    </row>
    <row r="933" spans="1:5">
      <c r="A933" s="856">
        <v>39661</v>
      </c>
      <c r="B933" s="125" t="str">
        <f>TiposLancamentos!B4</f>
        <v>Taxas Bancarias</v>
      </c>
      <c r="C933" s="139" t="s">
        <v>21099</v>
      </c>
      <c r="D933" s="51"/>
      <c r="E933" s="857">
        <v>4.4400000000000004</v>
      </c>
    </row>
    <row r="934" spans="1:5">
      <c r="A934" s="856">
        <v>39661</v>
      </c>
      <c r="B934" s="125" t="str">
        <f>TiposLancamentos!B32</f>
        <v>Clinicas e tratamentos</v>
      </c>
      <c r="C934" s="139" t="s">
        <v>21100</v>
      </c>
      <c r="D934" s="55"/>
      <c r="E934" s="857">
        <v>560</v>
      </c>
    </row>
    <row r="935" spans="1:5">
      <c r="A935" s="856">
        <v>39662</v>
      </c>
      <c r="B935" s="125" t="str">
        <f>TiposLancamentos!B85</f>
        <v>Peugeout 206</v>
      </c>
      <c r="C935" s="139" t="s">
        <v>21101</v>
      </c>
      <c r="D935" s="55"/>
      <c r="E935" s="857">
        <v>10</v>
      </c>
    </row>
    <row r="936" spans="1:5">
      <c r="A936" s="856">
        <v>39662</v>
      </c>
      <c r="B936" s="125" t="str">
        <f>TiposLancamentos!B71</f>
        <v>Itens Pessoais</v>
      </c>
      <c r="C936" s="139" t="s">
        <v>21102</v>
      </c>
      <c r="D936" s="55"/>
      <c r="E936" s="857">
        <v>149.9</v>
      </c>
    </row>
    <row r="937" spans="1:5">
      <c r="A937" s="856">
        <v>39662</v>
      </c>
      <c r="B937" s="125" t="str">
        <f>TiposLancamentos!B20</f>
        <v>Saques</v>
      </c>
      <c r="C937" s="139" t="s">
        <v>3565</v>
      </c>
      <c r="D937" s="55"/>
      <c r="E937" s="857">
        <v>60</v>
      </c>
    </row>
    <row r="938" spans="1:5">
      <c r="A938" s="856">
        <v>39662</v>
      </c>
      <c r="B938" s="125" t="str">
        <f>TiposLancamentos!B74</f>
        <v>Noite</v>
      </c>
      <c r="C938" s="139" t="s">
        <v>21103</v>
      </c>
      <c r="D938" s="51"/>
      <c r="E938" s="857">
        <v>53</v>
      </c>
    </row>
    <row r="939" spans="1:5">
      <c r="A939" s="856">
        <v>39663</v>
      </c>
      <c r="B939" s="125" t="str">
        <f>TiposLancamentos!B5</f>
        <v>Supermercado</v>
      </c>
      <c r="C939" s="139" t="s">
        <v>21104</v>
      </c>
      <c r="D939" s="51"/>
      <c r="E939" s="857">
        <v>82.67</v>
      </c>
    </row>
    <row r="940" spans="1:5">
      <c r="A940" s="856">
        <v>39664</v>
      </c>
      <c r="B940" s="125" t="str">
        <f>TiposLancamentos!B2</f>
        <v>Telefonia</v>
      </c>
      <c r="C940" s="139" t="s">
        <v>21105</v>
      </c>
      <c r="D940" s="51"/>
      <c r="E940" s="857">
        <v>1.99</v>
      </c>
    </row>
    <row r="941" spans="1:5">
      <c r="A941" s="856">
        <v>39664</v>
      </c>
      <c r="B941" s="125" t="str">
        <f>TiposLancamentos!B98</f>
        <v>Restituições</v>
      </c>
      <c r="C941" s="139" t="s">
        <v>21106</v>
      </c>
      <c r="D941" s="51">
        <v>228.47</v>
      </c>
      <c r="E941" s="857"/>
    </row>
    <row r="942" spans="1:5">
      <c r="A942" s="856">
        <v>39665</v>
      </c>
      <c r="B942" s="125" t="str">
        <f>TiposLancamentos!B105</f>
        <v>Transf. Bco</v>
      </c>
      <c r="C942" s="139" t="s">
        <v>17368</v>
      </c>
      <c r="D942" s="51"/>
      <c r="E942" s="857">
        <v>1200</v>
      </c>
    </row>
    <row r="943" spans="1:5">
      <c r="A943" s="856">
        <v>39635</v>
      </c>
      <c r="B943" s="125" t="str">
        <f>TiposLancamentos!B70</f>
        <v>Vestuário</v>
      </c>
      <c r="C943" s="139" t="s">
        <v>21107</v>
      </c>
      <c r="D943" s="51"/>
      <c r="E943" s="857">
        <v>206</v>
      </c>
    </row>
    <row r="944" spans="1:5">
      <c r="A944" s="856">
        <v>39668</v>
      </c>
      <c r="B944" s="125" t="str">
        <f>TiposLancamentos!B19</f>
        <v>Restaurantes</v>
      </c>
      <c r="C944" s="139" t="s">
        <v>21108</v>
      </c>
      <c r="D944" s="51"/>
      <c r="E944" s="857">
        <v>30.65</v>
      </c>
    </row>
    <row r="945" spans="1:5">
      <c r="A945" s="856">
        <v>39669</v>
      </c>
      <c r="B945" s="125" t="str">
        <f>TiposLancamentos!B22</f>
        <v>Combustivel</v>
      </c>
      <c r="C945" s="139" t="s">
        <v>3381</v>
      </c>
      <c r="D945" s="51"/>
      <c r="E945" s="857">
        <v>114</v>
      </c>
    </row>
    <row r="946" spans="1:5">
      <c r="A946" s="856">
        <v>39669</v>
      </c>
      <c r="B946" s="125" t="str">
        <f>TiposLancamentos!B20</f>
        <v>Saques</v>
      </c>
      <c r="C946" s="139" t="s">
        <v>3403</v>
      </c>
      <c r="D946" s="51"/>
      <c r="E946" s="857">
        <v>60</v>
      </c>
    </row>
    <row r="947" spans="1:5">
      <c r="A947" s="856">
        <v>39669</v>
      </c>
      <c r="B947" s="125" t="str">
        <f>TiposLancamentos!B18</f>
        <v>Alimentacao</v>
      </c>
      <c r="C947" s="139" t="s">
        <v>21109</v>
      </c>
      <c r="D947" s="51"/>
      <c r="E947" s="857">
        <v>34.200000000000003</v>
      </c>
    </row>
    <row r="948" spans="1:5">
      <c r="A948" s="856">
        <v>39669</v>
      </c>
      <c r="B948" s="125" t="str">
        <f>TiposLancamentos!B25</f>
        <v>CD_DVD_BD</v>
      </c>
      <c r="C948" s="139" t="s">
        <v>21110</v>
      </c>
      <c r="D948" s="51"/>
      <c r="E948" s="857">
        <v>39.9</v>
      </c>
    </row>
    <row r="949" spans="1:5">
      <c r="A949" s="856">
        <v>39669</v>
      </c>
      <c r="B949" s="125" t="str">
        <f>TiposLancamentos!B32</f>
        <v>Clinicas e tratamentos</v>
      </c>
      <c r="C949" s="139" t="s">
        <v>21111</v>
      </c>
      <c r="D949" s="51"/>
      <c r="E949" s="857">
        <v>98</v>
      </c>
    </row>
    <row r="950" spans="1:5">
      <c r="A950" s="856">
        <v>39669</v>
      </c>
      <c r="B950" s="125" t="str">
        <f>TiposLancamentos!B19</f>
        <v>Restaurantes</v>
      </c>
      <c r="C950" s="139" t="s">
        <v>21112</v>
      </c>
      <c r="D950" s="51"/>
      <c r="E950" s="857">
        <v>40.299999999999997</v>
      </c>
    </row>
    <row r="951" spans="1:5">
      <c r="A951" s="856">
        <v>39669</v>
      </c>
      <c r="B951" s="125" t="str">
        <f>TiposLancamentos!B25</f>
        <v>CD_DVD_BD</v>
      </c>
      <c r="C951" s="139" t="s">
        <v>21113</v>
      </c>
      <c r="D951" s="51"/>
      <c r="E951" s="857">
        <v>29.9</v>
      </c>
    </row>
    <row r="952" spans="1:5">
      <c r="A952" s="856">
        <v>39670</v>
      </c>
      <c r="B952" s="125" t="str">
        <f>TiposLancamentos!B74</f>
        <v>Noite</v>
      </c>
      <c r="C952" s="139" t="s">
        <v>21114</v>
      </c>
      <c r="D952" s="51"/>
      <c r="E952" s="857">
        <v>53.55</v>
      </c>
    </row>
    <row r="953" spans="1:5">
      <c r="A953" s="856">
        <v>39670</v>
      </c>
      <c r="B953" s="125" t="str">
        <f>TiposLancamentos!B19</f>
        <v>Restaurantes</v>
      </c>
      <c r="C953" s="139" t="s">
        <v>21115</v>
      </c>
      <c r="D953" s="51"/>
      <c r="E953" s="857">
        <v>11.25</v>
      </c>
    </row>
    <row r="954" spans="1:5">
      <c r="A954" s="856">
        <v>39670</v>
      </c>
      <c r="B954" s="125" t="str">
        <f>TiposLancamentos!B19</f>
        <v>Restaurantes</v>
      </c>
      <c r="C954" s="139" t="s">
        <v>21116</v>
      </c>
      <c r="D954" s="51"/>
      <c r="E954" s="857">
        <v>48.25</v>
      </c>
    </row>
    <row r="955" spans="1:5">
      <c r="A955" s="856">
        <v>39670</v>
      </c>
      <c r="B955" s="125" t="str">
        <f>TiposLancamentos!B17</f>
        <v>GATO</v>
      </c>
      <c r="C955" s="139" t="s">
        <v>21117</v>
      </c>
      <c r="D955" s="51"/>
      <c r="E955" s="857">
        <v>66.64</v>
      </c>
    </row>
    <row r="956" spans="1:5">
      <c r="A956" s="856">
        <v>39670</v>
      </c>
      <c r="B956" s="125" t="str">
        <f>TiposLancamentos!B19</f>
        <v>Restaurantes</v>
      </c>
      <c r="C956" s="139" t="s">
        <v>21118</v>
      </c>
      <c r="D956" s="51"/>
      <c r="E956" s="857">
        <v>17.3</v>
      </c>
    </row>
    <row r="957" spans="1:5">
      <c r="A957" s="856">
        <v>39671</v>
      </c>
      <c r="B957" s="125" t="str">
        <f>TiposLancamentos!B5</f>
        <v>Supermercado</v>
      </c>
      <c r="C957" s="139" t="s">
        <v>21119</v>
      </c>
      <c r="D957" s="51"/>
      <c r="E957" s="857">
        <v>17.88</v>
      </c>
    </row>
    <row r="958" spans="1:5">
      <c r="A958" s="856">
        <v>39671</v>
      </c>
      <c r="B958" s="125" t="str">
        <f>TiposLancamentos!B20</f>
        <v>Saques</v>
      </c>
      <c r="C958" s="139" t="s">
        <v>2850</v>
      </c>
      <c r="D958" s="51"/>
      <c r="E958" s="857">
        <v>50</v>
      </c>
    </row>
    <row r="959" spans="1:5">
      <c r="A959" s="856">
        <v>39671</v>
      </c>
      <c r="B959" s="125" t="str">
        <f>TiposLancamentos!B16</f>
        <v>Cristiane</v>
      </c>
      <c r="C959" s="139" t="s">
        <v>13294</v>
      </c>
      <c r="D959" s="134"/>
      <c r="E959" s="952">
        <v>109.39</v>
      </c>
    </row>
    <row r="960" spans="1:5">
      <c r="A960" s="856">
        <v>39672</v>
      </c>
      <c r="B960" s="125" t="str">
        <f>TiposLancamentos!B72</f>
        <v>Presentes</v>
      </c>
      <c r="C960" s="139" t="s">
        <v>21120</v>
      </c>
      <c r="D960" s="51"/>
      <c r="E960" s="857">
        <v>69.900000000000006</v>
      </c>
    </row>
    <row r="961" spans="1:5">
      <c r="A961" s="856">
        <v>39672</v>
      </c>
      <c r="B961" s="125" t="str">
        <f>TiposLancamentos!B18</f>
        <v>Alimentacao</v>
      </c>
      <c r="C961" s="139" t="s">
        <v>3868</v>
      </c>
      <c r="D961" s="51"/>
      <c r="E961" s="857">
        <v>2.4</v>
      </c>
    </row>
    <row r="962" spans="1:5">
      <c r="A962" s="856">
        <v>39672</v>
      </c>
      <c r="B962" s="125" t="str">
        <f>TiposLancamentos!B5</f>
        <v>Supermercado</v>
      </c>
      <c r="C962" s="139" t="s">
        <v>2567</v>
      </c>
      <c r="D962" s="51"/>
      <c r="E962" s="857">
        <v>77.67</v>
      </c>
    </row>
    <row r="963" spans="1:5">
      <c r="A963" s="856">
        <v>39672</v>
      </c>
      <c r="B963" s="125" t="str">
        <f>TiposLancamentos!B19</f>
        <v>Restaurantes</v>
      </c>
      <c r="C963" s="139" t="s">
        <v>21121</v>
      </c>
      <c r="D963" s="51"/>
      <c r="E963" s="857">
        <v>27.2</v>
      </c>
    </row>
    <row r="964" spans="1:5">
      <c r="A964" s="856">
        <v>39673</v>
      </c>
      <c r="B964" s="125" t="str">
        <f>TiposLancamentos!B57</f>
        <v>Informática</v>
      </c>
      <c r="C964" s="139" t="s">
        <v>21122</v>
      </c>
      <c r="D964" s="51"/>
      <c r="E964" s="857">
        <v>249.8</v>
      </c>
    </row>
    <row r="965" spans="1:5">
      <c r="A965" s="856">
        <v>39674</v>
      </c>
      <c r="B965" s="125" t="str">
        <f>TiposLancamentos!B5</f>
        <v>Supermercado</v>
      </c>
      <c r="C965" s="139" t="s">
        <v>21123</v>
      </c>
      <c r="D965" s="51"/>
      <c r="E965" s="857">
        <v>8.8000000000000007</v>
      </c>
    </row>
    <row r="966" spans="1:5">
      <c r="A966" s="856">
        <v>39674</v>
      </c>
      <c r="B966" s="125" t="str">
        <f>TiposLancamentos!B20</f>
        <v>Saques</v>
      </c>
      <c r="C966" s="139" t="s">
        <v>2668</v>
      </c>
      <c r="D966" s="51"/>
      <c r="E966" s="857">
        <v>60</v>
      </c>
    </row>
    <row r="967" spans="1:5">
      <c r="A967" s="856">
        <v>39675</v>
      </c>
      <c r="B967" s="125" t="str">
        <f>TiposLancamentos!B98</f>
        <v>Restituições</v>
      </c>
      <c r="C967" s="139" t="s">
        <v>21124</v>
      </c>
      <c r="D967" s="51">
        <v>1952.65</v>
      </c>
      <c r="E967" s="857"/>
    </row>
    <row r="968" spans="1:5">
      <c r="A968" s="856">
        <v>39675</v>
      </c>
      <c r="B968" s="125" t="str">
        <f>TiposLancamentos!B95</f>
        <v>Salarios</v>
      </c>
      <c r="C968" s="126" t="s">
        <v>4916</v>
      </c>
      <c r="D968" s="51">
        <v>1747.9</v>
      </c>
      <c r="E968" s="857"/>
    </row>
    <row r="969" spans="1:5">
      <c r="A969" s="856">
        <v>39675</v>
      </c>
      <c r="B969" s="125" t="str">
        <f>TiposLancamentos!B24</f>
        <v>Estacionamentos</v>
      </c>
      <c r="C969" s="139" t="s">
        <v>21125</v>
      </c>
      <c r="D969" s="51"/>
      <c r="E969" s="857">
        <v>26.04</v>
      </c>
    </row>
    <row r="970" spans="1:5">
      <c r="A970" s="961">
        <v>39675</v>
      </c>
      <c r="B970" s="817" t="str">
        <f>TiposLancamentos!B8</f>
        <v>Aluguel</v>
      </c>
      <c r="C970" s="962" t="s">
        <v>21126</v>
      </c>
      <c r="D970" s="809"/>
      <c r="E970" s="965">
        <f>843.44+4.8</f>
        <v>848.24</v>
      </c>
    </row>
    <row r="971" spans="1:5">
      <c r="A971" s="963">
        <v>39675</v>
      </c>
      <c r="B971" s="818" t="str">
        <f>TiposLancamentos!B9</f>
        <v>Condominio</v>
      </c>
      <c r="C971" s="964" t="s">
        <v>21127</v>
      </c>
      <c r="D971" s="813"/>
      <c r="E971" s="966">
        <f>1035.07-E970</f>
        <v>186.82999999999993</v>
      </c>
    </row>
    <row r="972" spans="1:5">
      <c r="A972" s="856">
        <v>39675</v>
      </c>
      <c r="B972" s="125" t="str">
        <f>TiposLancamentos!B105</f>
        <v>Transf. Bco</v>
      </c>
      <c r="C972" s="139" t="s">
        <v>20959</v>
      </c>
      <c r="D972" s="51"/>
      <c r="E972" s="857">
        <v>1952.65</v>
      </c>
    </row>
    <row r="973" spans="1:5">
      <c r="A973" s="856">
        <v>39676</v>
      </c>
      <c r="B973" s="125" t="str">
        <f>TiposLancamentos!B16</f>
        <v>Cristiane</v>
      </c>
      <c r="C973" s="139" t="s">
        <v>6007</v>
      </c>
      <c r="D973" s="51"/>
      <c r="E973" s="857">
        <v>26.95</v>
      </c>
    </row>
    <row r="974" spans="1:5">
      <c r="A974" s="856">
        <v>39677</v>
      </c>
      <c r="B974" s="125" t="str">
        <f>TiposLancamentos!B5</f>
        <v>Supermercado</v>
      </c>
      <c r="C974" s="139" t="s">
        <v>21128</v>
      </c>
      <c r="D974" s="51"/>
      <c r="E974" s="857">
        <v>27.6</v>
      </c>
    </row>
    <row r="975" spans="1:5">
      <c r="A975" s="856">
        <v>39678</v>
      </c>
      <c r="B975" s="125" t="str">
        <f>TiposLancamentos!B14</f>
        <v>Gás de cozinha</v>
      </c>
      <c r="C975" s="139" t="s">
        <v>21129</v>
      </c>
      <c r="D975" s="51"/>
      <c r="E975" s="857">
        <v>8.67</v>
      </c>
    </row>
    <row r="976" spans="1:5">
      <c r="A976" s="856">
        <v>39678</v>
      </c>
      <c r="B976" s="125" t="str">
        <f>TiposLancamentos!B19</f>
        <v>Restaurantes</v>
      </c>
      <c r="C976" s="139" t="s">
        <v>21130</v>
      </c>
      <c r="D976" s="51"/>
      <c r="E976" s="857">
        <v>13.81</v>
      </c>
    </row>
    <row r="977" spans="1:5">
      <c r="A977" s="856">
        <v>39678</v>
      </c>
      <c r="B977" s="125" t="str">
        <f>TiposLancamentos!B25</f>
        <v>CD_DVD_BD</v>
      </c>
      <c r="C977" s="139" t="s">
        <v>21131</v>
      </c>
      <c r="D977" s="51"/>
      <c r="E977" s="857">
        <v>39.9</v>
      </c>
    </row>
    <row r="978" spans="1:5">
      <c r="A978" s="856">
        <v>39678</v>
      </c>
      <c r="B978" s="125" t="str">
        <f>TiposLancamentos!B50</f>
        <v>Guitarra</v>
      </c>
      <c r="C978" s="139" t="s">
        <v>21132</v>
      </c>
      <c r="D978" s="51"/>
      <c r="E978" s="857">
        <v>84</v>
      </c>
    </row>
    <row r="979" spans="1:5">
      <c r="A979" s="856">
        <v>39678</v>
      </c>
      <c r="B979" s="125" t="str">
        <f>TiposLancamentos!B20</f>
        <v>Saques</v>
      </c>
      <c r="C979" s="139" t="s">
        <v>2668</v>
      </c>
      <c r="D979" s="51"/>
      <c r="E979" s="857">
        <v>30</v>
      </c>
    </row>
    <row r="980" spans="1:5">
      <c r="A980" s="856">
        <v>39678</v>
      </c>
      <c r="B980" s="125" t="str">
        <f>TiposLancamentos!B30</f>
        <v>Cinema</v>
      </c>
      <c r="C980" s="139" t="s">
        <v>21133</v>
      </c>
      <c r="D980" s="51"/>
      <c r="E980" s="857">
        <v>26</v>
      </c>
    </row>
    <row r="981" spans="1:5">
      <c r="A981" s="856">
        <v>39678</v>
      </c>
      <c r="B981" s="125" t="str">
        <f>TiposLancamentos!B19</f>
        <v>Restaurantes</v>
      </c>
      <c r="C981" s="139" t="s">
        <v>21134</v>
      </c>
      <c r="D981" s="51"/>
      <c r="E981" s="857">
        <v>20.399999999999999</v>
      </c>
    </row>
    <row r="982" spans="1:5">
      <c r="A982" s="856">
        <v>39681</v>
      </c>
      <c r="B982" s="125" t="str">
        <f>TiposLancamentos!B5</f>
        <v>Supermercado</v>
      </c>
      <c r="C982" s="139" t="s">
        <v>5615</v>
      </c>
      <c r="D982" s="51"/>
      <c r="E982" s="857">
        <v>13.39</v>
      </c>
    </row>
    <row r="983" spans="1:5">
      <c r="A983" s="856">
        <v>39681</v>
      </c>
      <c r="B983" s="125" t="str">
        <f>TiposLancamentos!B19</f>
        <v>Restaurantes</v>
      </c>
      <c r="C983" s="139" t="s">
        <v>21135</v>
      </c>
      <c r="D983" s="51"/>
      <c r="E983" s="857">
        <v>11.96</v>
      </c>
    </row>
    <row r="984" spans="1:5">
      <c r="A984" s="856">
        <v>39682</v>
      </c>
      <c r="B984" s="125" t="str">
        <f>TiposLancamentos!B19</f>
        <v>Restaurantes</v>
      </c>
      <c r="C984" s="139" t="s">
        <v>3287</v>
      </c>
      <c r="D984" s="51"/>
      <c r="E984" s="857">
        <v>13.32</v>
      </c>
    </row>
    <row r="985" spans="1:5">
      <c r="A985" s="856">
        <v>39683</v>
      </c>
      <c r="B985" s="125" t="str">
        <f>TiposLancamentos!B20</f>
        <v>Saques</v>
      </c>
      <c r="C985" s="139" t="s">
        <v>3403</v>
      </c>
      <c r="D985" s="51"/>
      <c r="E985" s="857">
        <v>20</v>
      </c>
    </row>
    <row r="986" spans="1:5">
      <c r="A986" s="856">
        <v>39689</v>
      </c>
      <c r="B986" s="125" t="str">
        <f>TiposLancamentos!B4</f>
        <v>Taxas Bancarias</v>
      </c>
      <c r="C986" s="139" t="s">
        <v>20667</v>
      </c>
      <c r="D986" s="51"/>
      <c r="E986" s="857">
        <v>3.69</v>
      </c>
    </row>
    <row r="987" spans="1:5" ht="14.25" thickBot="1">
      <c r="A987" s="856">
        <v>39689</v>
      </c>
      <c r="B987" s="125" t="str">
        <f>TiposLancamentos!B95</f>
        <v>Salarios</v>
      </c>
      <c r="C987" s="126" t="s">
        <v>4939</v>
      </c>
      <c r="D987" s="51">
        <v>5883.38</v>
      </c>
      <c r="E987" s="857"/>
    </row>
    <row r="988" spans="1:5" ht="14.25" thickBot="1">
      <c r="A988" s="998"/>
      <c r="B988" s="989"/>
      <c r="C988" s="990" t="s">
        <v>5605</v>
      </c>
      <c r="D988" s="991"/>
      <c r="E988" s="999"/>
    </row>
    <row r="989" spans="1:5">
      <c r="A989" s="856">
        <v>39692</v>
      </c>
      <c r="B989" s="125" t="str">
        <f>TiposLancamentos!B2</f>
        <v>Telefonia</v>
      </c>
      <c r="C989" s="139" t="s">
        <v>5080</v>
      </c>
      <c r="D989" s="51"/>
      <c r="E989" s="857">
        <v>95.54</v>
      </c>
    </row>
    <row r="990" spans="1:5">
      <c r="A990" s="856">
        <v>39692</v>
      </c>
      <c r="B990" s="125" t="str">
        <f>TiposLancamentos!B3</f>
        <v>Internet</v>
      </c>
      <c r="C990" s="139" t="s">
        <v>4987</v>
      </c>
      <c r="D990" s="51"/>
      <c r="E990" s="857">
        <v>89.9</v>
      </c>
    </row>
    <row r="991" spans="1:5">
      <c r="A991" s="856">
        <v>39692</v>
      </c>
      <c r="B991" s="125" t="str">
        <f>TiposLancamentos!B15</f>
        <v>Cartões de Crédito</v>
      </c>
      <c r="C991" s="139" t="s">
        <v>21136</v>
      </c>
      <c r="D991" s="51"/>
      <c r="E991" s="857">
        <v>1321.6</v>
      </c>
    </row>
    <row r="992" spans="1:5">
      <c r="A992" s="856">
        <v>39692</v>
      </c>
      <c r="B992" s="125" t="str">
        <f>TiposLancamentos!B57</f>
        <v>Informática</v>
      </c>
      <c r="C992" s="139" t="s">
        <v>21137</v>
      </c>
      <c r="D992" s="51"/>
      <c r="E992" s="857">
        <v>88</v>
      </c>
    </row>
    <row r="993" spans="1:5">
      <c r="A993" s="856">
        <v>39692</v>
      </c>
      <c r="B993" s="125" t="str">
        <f>TiposLancamentos!B6</f>
        <v>Energia Eletrica</v>
      </c>
      <c r="C993" s="139" t="s">
        <v>5744</v>
      </c>
      <c r="D993" s="51"/>
      <c r="E993" s="857">
        <v>110.88</v>
      </c>
    </row>
    <row r="994" spans="1:5">
      <c r="A994" s="856">
        <v>39692</v>
      </c>
      <c r="B994" s="125" t="str">
        <f>TiposLancamentos!B35</f>
        <v>Tv à Cabo</v>
      </c>
      <c r="C994" s="139" t="s">
        <v>20738</v>
      </c>
      <c r="D994" s="51"/>
      <c r="E994" s="857">
        <v>193.8</v>
      </c>
    </row>
    <row r="995" spans="1:5">
      <c r="A995" s="856">
        <v>39692</v>
      </c>
      <c r="B995" s="125" t="str">
        <f>TiposLancamentos!B34</f>
        <v>Seguros</v>
      </c>
      <c r="C995" s="139" t="s">
        <v>21138</v>
      </c>
      <c r="D995" s="51"/>
      <c r="E995" s="857">
        <v>69</v>
      </c>
    </row>
    <row r="996" spans="1:5">
      <c r="A996" s="856">
        <v>39692</v>
      </c>
      <c r="B996" s="125" t="str">
        <f>TiposLancamentos!B52</f>
        <v>Multas</v>
      </c>
      <c r="C996" s="139" t="s">
        <v>21139</v>
      </c>
      <c r="D996" s="51"/>
      <c r="E996" s="857">
        <v>85.13</v>
      </c>
    </row>
    <row r="997" spans="1:5">
      <c r="A997" s="856">
        <v>39692</v>
      </c>
      <c r="B997" s="125" t="str">
        <f>TiposLancamentos!B15</f>
        <v>Cartões de Crédito</v>
      </c>
      <c r="C997" s="139" t="s">
        <v>5558</v>
      </c>
      <c r="D997" s="51"/>
      <c r="E997" s="857">
        <v>1507.52</v>
      </c>
    </row>
    <row r="998" spans="1:5">
      <c r="A998" s="856">
        <v>39692</v>
      </c>
      <c r="B998" s="125" t="str">
        <f>TiposLancamentos!B4</f>
        <v>Taxas Bancarias</v>
      </c>
      <c r="C998" s="139" t="s">
        <v>4858</v>
      </c>
      <c r="D998" s="51"/>
      <c r="E998" s="857">
        <v>2.13</v>
      </c>
    </row>
    <row r="999" spans="1:5">
      <c r="A999" s="856">
        <v>39699</v>
      </c>
      <c r="B999" s="125" t="str">
        <f>TiposLancamentos!B24</f>
        <v>Estacionamentos</v>
      </c>
      <c r="C999" s="139" t="s">
        <v>3382</v>
      </c>
      <c r="D999" s="51"/>
      <c r="E999" s="857">
        <v>13</v>
      </c>
    </row>
    <row r="1000" spans="1:5">
      <c r="A1000" s="856">
        <v>39699</v>
      </c>
      <c r="B1000" s="125" t="str">
        <f>TiposLancamentos!B16</f>
        <v>Cristiane</v>
      </c>
      <c r="C1000" s="139" t="s">
        <v>21140</v>
      </c>
      <c r="D1000" s="51"/>
      <c r="E1000" s="857">
        <v>217.15</v>
      </c>
    </row>
    <row r="1001" spans="1:5">
      <c r="A1001" s="856">
        <v>39699</v>
      </c>
      <c r="B1001" s="125" t="str">
        <f>TiposLancamentos!B99</f>
        <v>Venda de algo</v>
      </c>
      <c r="C1001" s="139" t="s">
        <v>21141</v>
      </c>
      <c r="D1001" s="51">
        <v>50</v>
      </c>
      <c r="E1001" s="857"/>
    </row>
    <row r="1002" spans="1:5">
      <c r="A1002" s="856">
        <v>39700</v>
      </c>
      <c r="B1002" s="125" t="str">
        <f>TiposLancamentos!B5</f>
        <v>Supermercado</v>
      </c>
      <c r="C1002" s="139" t="s">
        <v>21142</v>
      </c>
      <c r="D1002" s="51"/>
      <c r="E1002" s="857">
        <v>37.92</v>
      </c>
    </row>
    <row r="1003" spans="1:5">
      <c r="A1003" s="961">
        <v>39701</v>
      </c>
      <c r="B1003" s="817" t="str">
        <f>TiposLancamentos!B8</f>
        <v>Aluguel</v>
      </c>
      <c r="C1003" s="962" t="s">
        <v>21143</v>
      </c>
      <c r="D1003" s="809"/>
      <c r="E1003" s="965">
        <f>843.44+4.8</f>
        <v>848.24</v>
      </c>
    </row>
    <row r="1004" spans="1:5">
      <c r="A1004" s="963">
        <v>39701</v>
      </c>
      <c r="B1004" s="818" t="str">
        <f>TiposLancamentos!B9</f>
        <v>Condominio</v>
      </c>
      <c r="C1004" s="964" t="s">
        <v>21144</v>
      </c>
      <c r="D1004" s="813"/>
      <c r="E1004" s="966">
        <f>1055.07-E1003</f>
        <v>206.82999999999993</v>
      </c>
    </row>
    <row r="1005" spans="1:5">
      <c r="A1005" s="856">
        <v>39702</v>
      </c>
      <c r="B1005" s="125" t="str">
        <f>TiposLancamentos!B16</f>
        <v>Cristiane</v>
      </c>
      <c r="C1005" s="139" t="s">
        <v>13299</v>
      </c>
      <c r="D1005" s="51"/>
      <c r="E1005" s="857">
        <v>109.39</v>
      </c>
    </row>
    <row r="1006" spans="1:5">
      <c r="A1006" s="856">
        <v>39704</v>
      </c>
      <c r="B1006" s="125" t="str">
        <f>TiposLancamentos!B16</f>
        <v>Cristiane</v>
      </c>
      <c r="C1006" s="139" t="s">
        <v>21145</v>
      </c>
      <c r="D1006" s="51"/>
      <c r="E1006" s="857">
        <v>234</v>
      </c>
    </row>
    <row r="1007" spans="1:5">
      <c r="A1007" s="856">
        <v>39704</v>
      </c>
      <c r="B1007" s="125" t="str">
        <f>TiposLancamentos!B20</f>
        <v>Saques</v>
      </c>
      <c r="C1007" s="139" t="s">
        <v>21146</v>
      </c>
      <c r="D1007" s="51"/>
      <c r="E1007" s="857">
        <v>60</v>
      </c>
    </row>
    <row r="1008" spans="1:5">
      <c r="A1008" s="856">
        <v>39704</v>
      </c>
      <c r="B1008" s="125" t="str">
        <f>TiposLancamentos!B20</f>
        <v>Saques</v>
      </c>
      <c r="C1008" s="139" t="s">
        <v>21147</v>
      </c>
      <c r="D1008" s="51"/>
      <c r="E1008" s="857">
        <v>66.64</v>
      </c>
    </row>
    <row r="1009" spans="1:5">
      <c r="A1009" s="856">
        <v>39704</v>
      </c>
      <c r="B1009" s="125" t="str">
        <f>TiposLancamentos!B50</f>
        <v>Guitarra</v>
      </c>
      <c r="C1009" s="139" t="s">
        <v>21148</v>
      </c>
      <c r="D1009" s="51"/>
      <c r="E1009" s="857">
        <v>13.9</v>
      </c>
    </row>
    <row r="1010" spans="1:5">
      <c r="A1010" s="856">
        <v>39705</v>
      </c>
      <c r="B1010" s="125" t="str">
        <f>TiposLancamentos!B19</f>
        <v>Restaurantes</v>
      </c>
      <c r="C1010" s="139" t="s">
        <v>21149</v>
      </c>
      <c r="D1010" s="51"/>
      <c r="E1010" s="857">
        <v>26.8</v>
      </c>
    </row>
    <row r="1011" spans="1:5">
      <c r="A1011" s="856">
        <v>39706</v>
      </c>
      <c r="B1011" s="125" t="str">
        <f>TiposLancamentos!B24</f>
        <v>Estacionamentos</v>
      </c>
      <c r="C1011" s="139" t="s">
        <v>5392</v>
      </c>
      <c r="D1011" s="51"/>
      <c r="E1011" s="857">
        <v>22.04</v>
      </c>
    </row>
    <row r="1012" spans="1:5">
      <c r="A1012" s="856">
        <v>39706</v>
      </c>
      <c r="B1012" s="125" t="str">
        <f>TiposLancamentos!B95</f>
        <v>Salarios</v>
      </c>
      <c r="C1012" s="139" t="s">
        <v>4916</v>
      </c>
      <c r="D1012" s="51">
        <v>1747.9</v>
      </c>
      <c r="E1012" s="857"/>
    </row>
    <row r="1013" spans="1:5">
      <c r="A1013" s="856">
        <v>39706</v>
      </c>
      <c r="B1013" s="125" t="str">
        <f>TiposLancamentos!B72</f>
        <v>Presentes</v>
      </c>
      <c r="C1013" s="139" t="s">
        <v>21150</v>
      </c>
      <c r="D1013" s="51"/>
      <c r="E1013" s="857">
        <v>35.799999999999997</v>
      </c>
    </row>
    <row r="1014" spans="1:5">
      <c r="A1014" s="856">
        <v>39706</v>
      </c>
      <c r="B1014" s="125" t="str">
        <f>TiposLancamentos!B72</f>
        <v>Presentes</v>
      </c>
      <c r="C1014" s="139" t="s">
        <v>21151</v>
      </c>
      <c r="D1014" s="51"/>
      <c r="E1014" s="857">
        <v>661</v>
      </c>
    </row>
    <row r="1015" spans="1:5">
      <c r="A1015" s="856">
        <v>39706</v>
      </c>
      <c r="B1015" s="125" t="str">
        <f>TiposLancamentos!B5</f>
        <v>Supermercado</v>
      </c>
      <c r="C1015" s="139" t="s">
        <v>21152</v>
      </c>
      <c r="D1015" s="51"/>
      <c r="E1015" s="857">
        <v>21</v>
      </c>
    </row>
    <row r="1016" spans="1:5">
      <c r="A1016" s="856">
        <v>39707</v>
      </c>
      <c r="B1016" s="125" t="str">
        <f>TiposLancamentos!B24</f>
        <v>Estacionamentos</v>
      </c>
      <c r="C1016" s="139" t="s">
        <v>21153</v>
      </c>
      <c r="D1016" s="51"/>
      <c r="E1016" s="857">
        <v>21</v>
      </c>
    </row>
    <row r="1017" spans="1:5">
      <c r="A1017" s="856">
        <v>39708</v>
      </c>
      <c r="B1017" s="125" t="str">
        <f>TiposLancamentos!B20</f>
        <v>Saques</v>
      </c>
      <c r="C1017" s="139" t="s">
        <v>21154</v>
      </c>
      <c r="D1017" s="51"/>
      <c r="E1017" s="857">
        <v>10</v>
      </c>
    </row>
    <row r="1018" spans="1:5">
      <c r="A1018" s="856">
        <v>39708</v>
      </c>
      <c r="B1018" s="125" t="str">
        <f>TiposLancamentos!B16</f>
        <v>Cristiane</v>
      </c>
      <c r="C1018" s="139" t="s">
        <v>21155</v>
      </c>
      <c r="D1018" s="51"/>
      <c r="E1018" s="857">
        <v>12.4</v>
      </c>
    </row>
    <row r="1019" spans="1:5">
      <c r="A1019" s="856">
        <v>39711</v>
      </c>
      <c r="B1019" s="125" t="str">
        <f>TiposLancamentos!B20</f>
        <v>Saques</v>
      </c>
      <c r="C1019" s="139" t="s">
        <v>3146</v>
      </c>
      <c r="D1019" s="51"/>
      <c r="E1019" s="857">
        <v>250</v>
      </c>
    </row>
    <row r="1020" spans="1:5">
      <c r="A1020" s="856">
        <v>39711</v>
      </c>
      <c r="B1020" s="125" t="str">
        <f>TiposLancamentos!B17</f>
        <v>GATO</v>
      </c>
      <c r="C1020" s="139" t="s">
        <v>21156</v>
      </c>
      <c r="D1020" s="51"/>
      <c r="E1020" s="857">
        <v>75</v>
      </c>
    </row>
    <row r="1021" spans="1:5">
      <c r="A1021" s="856">
        <v>39711</v>
      </c>
      <c r="B1021" s="125" t="str">
        <f>TiposLancamentos!B5</f>
        <v>Supermercado</v>
      </c>
      <c r="C1021" s="139" t="s">
        <v>2567</v>
      </c>
      <c r="D1021" s="51"/>
      <c r="E1021" s="857">
        <v>32</v>
      </c>
    </row>
    <row r="1022" spans="1:5">
      <c r="A1022" s="856">
        <v>39713</v>
      </c>
      <c r="B1022" s="125" t="str">
        <f>TiposLancamentos!B14</f>
        <v>Gás de cozinha</v>
      </c>
      <c r="C1022" s="139" t="s">
        <v>21157</v>
      </c>
      <c r="D1022" s="51"/>
      <c r="E1022" s="857">
        <v>6.43</v>
      </c>
    </row>
    <row r="1023" spans="1:5">
      <c r="A1023" s="856">
        <v>39716</v>
      </c>
      <c r="B1023" s="125" t="str">
        <f>TiposLancamentos!B72</f>
        <v>Presentes</v>
      </c>
      <c r="C1023" s="139" t="s">
        <v>21158</v>
      </c>
      <c r="D1023" s="51"/>
      <c r="E1023" s="857">
        <v>204.5</v>
      </c>
    </row>
    <row r="1024" spans="1:5">
      <c r="A1024" s="856">
        <v>39716</v>
      </c>
      <c r="B1024" s="125" t="str">
        <f>TiposLancamentos!B24</f>
        <v>Estacionamentos</v>
      </c>
      <c r="C1024" s="139" t="s">
        <v>3400</v>
      </c>
      <c r="D1024" s="51"/>
      <c r="E1024" s="857">
        <v>19</v>
      </c>
    </row>
    <row r="1025" spans="1:5">
      <c r="A1025" s="856">
        <v>39716</v>
      </c>
      <c r="B1025" s="125" t="str">
        <f>TiposLancamentos!B20</f>
        <v>Saques</v>
      </c>
      <c r="C1025" s="139" t="s">
        <v>21146</v>
      </c>
      <c r="D1025" s="51"/>
      <c r="E1025" s="857">
        <v>30</v>
      </c>
    </row>
    <row r="1026" spans="1:5">
      <c r="A1026" s="856">
        <v>39718</v>
      </c>
      <c r="B1026" s="125" t="str">
        <f>TiposLancamentos!B19</f>
        <v>Restaurantes</v>
      </c>
      <c r="C1026" s="139" t="s">
        <v>21159</v>
      </c>
      <c r="D1026" s="51"/>
      <c r="E1026" s="857">
        <v>27.8</v>
      </c>
    </row>
    <row r="1027" spans="1:5">
      <c r="A1027" s="856">
        <v>39718</v>
      </c>
      <c r="B1027" s="125" t="str">
        <f>TiposLancamentos!B50</f>
        <v>Guitarra</v>
      </c>
      <c r="C1027" s="139" t="s">
        <v>21160</v>
      </c>
      <c r="D1027" s="51"/>
      <c r="E1027" s="857">
        <v>43</v>
      </c>
    </row>
    <row r="1028" spans="1:5">
      <c r="A1028" s="856">
        <v>39718</v>
      </c>
      <c r="B1028" s="125" t="str">
        <f>TiposLancamentos!B32</f>
        <v>Clinicas e tratamentos</v>
      </c>
      <c r="C1028" s="139" t="s">
        <v>21161</v>
      </c>
      <c r="D1028" s="51"/>
      <c r="E1028" s="857">
        <v>112</v>
      </c>
    </row>
    <row r="1029" spans="1:5">
      <c r="A1029" s="856">
        <v>39719</v>
      </c>
      <c r="B1029" s="125" t="str">
        <f>TiposLancamentos!B19</f>
        <v>Restaurantes</v>
      </c>
      <c r="C1029" s="139" t="s">
        <v>21162</v>
      </c>
      <c r="D1029" s="51"/>
      <c r="E1029" s="857">
        <v>51.8</v>
      </c>
    </row>
    <row r="1030" spans="1:5">
      <c r="A1030" s="856">
        <v>39719</v>
      </c>
      <c r="B1030" s="125" t="str">
        <f>TiposLancamentos!B19</f>
        <v>Restaurantes</v>
      </c>
      <c r="C1030" s="139" t="s">
        <v>3284</v>
      </c>
      <c r="D1030" s="51"/>
      <c r="E1030" s="857">
        <v>18</v>
      </c>
    </row>
    <row r="1031" spans="1:5">
      <c r="A1031" s="856">
        <v>39720</v>
      </c>
      <c r="B1031" s="125" t="str">
        <f>TiposLancamentos!B20</f>
        <v>Saques</v>
      </c>
      <c r="C1031" s="139" t="s">
        <v>3604</v>
      </c>
      <c r="D1031" s="51"/>
      <c r="E1031" s="857">
        <v>60</v>
      </c>
    </row>
    <row r="1032" spans="1:5">
      <c r="A1032" s="856">
        <v>39720</v>
      </c>
      <c r="B1032" s="125" t="str">
        <f>TiposLancamentos!B19</f>
        <v>Restaurantes</v>
      </c>
      <c r="C1032" s="139" t="s">
        <v>3287</v>
      </c>
      <c r="D1032" s="51"/>
      <c r="E1032" s="857">
        <v>17.059999999999999</v>
      </c>
    </row>
    <row r="1033" spans="1:5">
      <c r="A1033" s="856">
        <v>39720</v>
      </c>
      <c r="B1033" s="125" t="str">
        <f>TiposLancamentos!B57</f>
        <v>Informática</v>
      </c>
      <c r="C1033" s="139" t="s">
        <v>21163</v>
      </c>
      <c r="D1033" s="51"/>
      <c r="E1033" s="857">
        <v>79</v>
      </c>
    </row>
    <row r="1034" spans="1:5">
      <c r="A1034" s="856">
        <v>39721</v>
      </c>
      <c r="B1034" s="125" t="str">
        <f>TiposLancamentos!B95</f>
        <v>Salarios</v>
      </c>
      <c r="C1034" s="139" t="s">
        <v>4939</v>
      </c>
      <c r="D1034" s="51">
        <v>1600.63</v>
      </c>
      <c r="E1034" s="857"/>
    </row>
    <row r="1035" spans="1:5">
      <c r="A1035" s="856">
        <v>39721</v>
      </c>
      <c r="B1035" s="125" t="str">
        <f>TiposLancamentos!B19</f>
        <v>Restaurantes</v>
      </c>
      <c r="C1035" s="139" t="s">
        <v>21164</v>
      </c>
      <c r="D1035" s="51"/>
      <c r="E1035" s="857">
        <v>20.100000000000001</v>
      </c>
    </row>
    <row r="1036" spans="1:5" ht="14.25" thickBot="1">
      <c r="A1036" s="856">
        <v>39721</v>
      </c>
      <c r="B1036" s="125" t="str">
        <f>TiposLancamentos!B72</f>
        <v>Presentes</v>
      </c>
      <c r="C1036" s="139" t="s">
        <v>21165</v>
      </c>
      <c r="D1036" s="51"/>
      <c r="E1036" s="857">
        <v>21</v>
      </c>
    </row>
    <row r="1037" spans="1:5" ht="14.25" thickBot="1">
      <c r="A1037" s="998"/>
      <c r="B1037" s="989"/>
      <c r="C1037" s="990" t="s">
        <v>17165</v>
      </c>
      <c r="D1037" s="991"/>
      <c r="E1037" s="999"/>
    </row>
    <row r="1038" spans="1:5">
      <c r="A1038" s="856">
        <v>39722</v>
      </c>
      <c r="B1038" s="125" t="str">
        <f>TiposLancamentos!B103</f>
        <v>Juros_Corr. Poupança</v>
      </c>
      <c r="C1038" s="139" t="s">
        <v>20569</v>
      </c>
      <c r="D1038" s="51">
        <v>1.89</v>
      </c>
      <c r="E1038" s="857"/>
    </row>
    <row r="1039" spans="1:5">
      <c r="A1039" s="856">
        <v>39722</v>
      </c>
      <c r="B1039" s="125" t="str">
        <f>TiposLancamentos!B103</f>
        <v>Juros_Corr. Poupança</v>
      </c>
      <c r="C1039" s="139" t="s">
        <v>20570</v>
      </c>
      <c r="D1039" s="51">
        <v>0.75</v>
      </c>
      <c r="E1039" s="857"/>
    </row>
    <row r="1040" spans="1:5">
      <c r="A1040" s="856">
        <v>39722</v>
      </c>
      <c r="B1040" s="125" t="str">
        <f>TiposLancamentos!B15</f>
        <v>Cartões de Crédito</v>
      </c>
      <c r="C1040" s="139" t="s">
        <v>21166</v>
      </c>
      <c r="D1040" s="51"/>
      <c r="E1040" s="857">
        <v>855.7</v>
      </c>
    </row>
    <row r="1041" spans="1:5">
      <c r="A1041" s="856">
        <v>39722</v>
      </c>
      <c r="B1041" s="125" t="str">
        <f>TiposLancamentos!B2</f>
        <v>Telefonia</v>
      </c>
      <c r="C1041" s="139" t="s">
        <v>21167</v>
      </c>
      <c r="D1041" s="51"/>
      <c r="E1041" s="857">
        <v>36.979999999999997</v>
      </c>
    </row>
    <row r="1042" spans="1:5">
      <c r="A1042" s="856">
        <v>39722</v>
      </c>
      <c r="B1042" s="125" t="str">
        <f>TiposLancamentos!B3</f>
        <v>Internet</v>
      </c>
      <c r="C1042" s="139" t="s">
        <v>4987</v>
      </c>
      <c r="D1042" s="51"/>
      <c r="E1042" s="857">
        <v>89.9</v>
      </c>
    </row>
    <row r="1043" spans="1:5">
      <c r="A1043" s="856">
        <v>39722</v>
      </c>
      <c r="B1043" s="125" t="str">
        <f>TiposLancamentos!B15</f>
        <v>Cartões de Crédito</v>
      </c>
      <c r="C1043" s="139" t="s">
        <v>21168</v>
      </c>
      <c r="D1043" s="51"/>
      <c r="E1043" s="857">
        <v>355.55</v>
      </c>
    </row>
    <row r="1044" spans="1:5">
      <c r="A1044" s="856">
        <v>39722</v>
      </c>
      <c r="B1044" s="125" t="str">
        <f>TiposLancamentos!B34</f>
        <v>Seguros</v>
      </c>
      <c r="C1044" s="139" t="s">
        <v>21016</v>
      </c>
      <c r="D1044" s="51"/>
      <c r="E1044" s="857">
        <v>69</v>
      </c>
    </row>
    <row r="1045" spans="1:5">
      <c r="A1045" s="856">
        <v>39722</v>
      </c>
      <c r="B1045" s="125" t="str">
        <f>TiposLancamentos!B35</f>
        <v>Tv à Cabo</v>
      </c>
      <c r="C1045" s="139" t="s">
        <v>20738</v>
      </c>
      <c r="D1045" s="51"/>
      <c r="E1045" s="857">
        <v>193.8</v>
      </c>
    </row>
    <row r="1046" spans="1:5">
      <c r="A1046" s="856">
        <v>39722</v>
      </c>
      <c r="B1046" s="125" t="str">
        <f>TiposLancamentos!B6</f>
        <v>Energia Eletrica</v>
      </c>
      <c r="C1046" s="139" t="s">
        <v>21169</v>
      </c>
      <c r="D1046" s="51"/>
      <c r="E1046" s="857">
        <v>96.93</v>
      </c>
    </row>
    <row r="1047" spans="1:5">
      <c r="A1047" s="856">
        <v>39722</v>
      </c>
      <c r="B1047" s="125" t="str">
        <f>TiposLancamentos!B19</f>
        <v>Restaurantes</v>
      </c>
      <c r="C1047" s="139" t="s">
        <v>20978</v>
      </c>
      <c r="D1047" s="51"/>
      <c r="E1047" s="857">
        <v>9.4</v>
      </c>
    </row>
    <row r="1048" spans="1:5">
      <c r="A1048" s="856">
        <v>39723</v>
      </c>
      <c r="B1048" s="125" t="str">
        <f>TiposLancamentos!B19</f>
        <v>Restaurantes</v>
      </c>
      <c r="C1048" s="139" t="s">
        <v>5876</v>
      </c>
      <c r="D1048" s="51"/>
      <c r="E1048" s="857">
        <v>90.2</v>
      </c>
    </row>
    <row r="1049" spans="1:5">
      <c r="A1049" s="856">
        <v>39725</v>
      </c>
      <c r="B1049" s="125" t="str">
        <f>TiposLancamentos!B16</f>
        <v>Cristiane</v>
      </c>
      <c r="C1049" s="139" t="s">
        <v>21170</v>
      </c>
      <c r="D1049" s="51"/>
      <c r="E1049" s="857">
        <v>27.89</v>
      </c>
    </row>
    <row r="1050" spans="1:5">
      <c r="A1050" s="856">
        <v>39727</v>
      </c>
      <c r="B1050" s="125" t="str">
        <f>TiposLancamentos!B31</f>
        <v>Action Figures</v>
      </c>
      <c r="C1050" s="139" t="s">
        <v>21171</v>
      </c>
      <c r="D1050" s="51"/>
      <c r="E1050" s="857">
        <v>227</v>
      </c>
    </row>
    <row r="1051" spans="1:5">
      <c r="A1051" s="856">
        <v>39736</v>
      </c>
      <c r="B1051" s="125" t="str">
        <f>TiposLancamentos!B24</f>
        <v>Estacionamentos</v>
      </c>
      <c r="C1051" s="139" t="s">
        <v>21172</v>
      </c>
      <c r="D1051" s="51"/>
      <c r="E1051" s="857">
        <v>30.04</v>
      </c>
    </row>
    <row r="1052" spans="1:5">
      <c r="A1052" s="856">
        <v>39747</v>
      </c>
      <c r="B1052" s="125" t="str">
        <f>TiposLancamentos!B18</f>
        <v>Alimentacao</v>
      </c>
      <c r="C1052" s="139" t="s">
        <v>3622</v>
      </c>
      <c r="D1052" s="51"/>
      <c r="E1052" s="857">
        <v>7.5</v>
      </c>
    </row>
    <row r="1053" spans="1:5">
      <c r="A1053" s="856">
        <v>39750</v>
      </c>
      <c r="B1053" s="125" t="str">
        <f>TiposLancamentos!B57</f>
        <v>Informática</v>
      </c>
      <c r="C1053" s="139" t="s">
        <v>21173</v>
      </c>
      <c r="D1053" s="51"/>
      <c r="E1053" s="857">
        <v>79</v>
      </c>
    </row>
    <row r="1054" spans="1:5" ht="14.25" thickBot="1">
      <c r="A1054" s="856">
        <v>39752</v>
      </c>
      <c r="B1054" s="125" t="str">
        <f>TiposLancamentos!B4</f>
        <v>Taxas Bancarias</v>
      </c>
      <c r="C1054" s="139" t="s">
        <v>21174</v>
      </c>
      <c r="D1054" s="51"/>
      <c r="E1054" s="857">
        <v>10.23</v>
      </c>
    </row>
    <row r="1055" spans="1:5" ht="14.25" thickBot="1">
      <c r="A1055" s="998"/>
      <c r="B1055" s="989"/>
      <c r="C1055" s="997" t="s">
        <v>5652</v>
      </c>
      <c r="D1055" s="991"/>
      <c r="E1055" s="999"/>
    </row>
    <row r="1056" spans="1:5">
      <c r="A1056" s="856">
        <v>39755</v>
      </c>
      <c r="B1056" s="125" t="str">
        <f>TiposLancamentos!B6</f>
        <v>Energia Eletrica</v>
      </c>
      <c r="C1056" s="139" t="s">
        <v>5191</v>
      </c>
      <c r="D1056" s="51"/>
      <c r="E1056" s="857">
        <v>45.78</v>
      </c>
    </row>
    <row r="1057" spans="1:5">
      <c r="A1057" s="856">
        <v>39755</v>
      </c>
      <c r="B1057" s="125" t="str">
        <f>TiposLancamentos!B15</f>
        <v>Cartões de Crédito</v>
      </c>
      <c r="C1057" s="139" t="s">
        <v>5557</v>
      </c>
      <c r="D1057" s="51"/>
      <c r="E1057" s="857">
        <v>1845.42</v>
      </c>
    </row>
    <row r="1058" spans="1:5">
      <c r="A1058" s="856">
        <v>39755</v>
      </c>
      <c r="B1058" s="125" t="str">
        <f>TiposLancamentos!B2</f>
        <v>Telefonia</v>
      </c>
      <c r="C1058" s="139" t="s">
        <v>5080</v>
      </c>
      <c r="D1058" s="51"/>
      <c r="E1058" s="857">
        <v>46.84</v>
      </c>
    </row>
    <row r="1059" spans="1:5">
      <c r="A1059" s="856">
        <v>39755</v>
      </c>
      <c r="B1059" s="125" t="str">
        <f>TiposLancamentos!B3</f>
        <v>Internet</v>
      </c>
      <c r="C1059" s="139" t="s">
        <v>4987</v>
      </c>
      <c r="D1059" s="51"/>
      <c r="E1059" s="857">
        <v>89.9</v>
      </c>
    </row>
    <row r="1060" spans="1:5">
      <c r="A1060" s="856">
        <v>39755</v>
      </c>
      <c r="B1060" s="125" t="str">
        <f>TiposLancamentos!B15</f>
        <v>Cartões de Crédito</v>
      </c>
      <c r="C1060" s="139" t="s">
        <v>5700</v>
      </c>
      <c r="D1060" s="51"/>
      <c r="E1060" s="857">
        <v>274.75</v>
      </c>
    </row>
    <row r="1061" spans="1:5">
      <c r="A1061" s="856">
        <v>39755</v>
      </c>
      <c r="B1061" s="125" t="str">
        <f>TiposLancamentos!B4</f>
        <v>Taxas Bancarias</v>
      </c>
      <c r="C1061" s="139" t="s">
        <v>21175</v>
      </c>
      <c r="D1061" s="51"/>
      <c r="E1061" s="857">
        <v>1.1299999999999999</v>
      </c>
    </row>
    <row r="1062" spans="1:5">
      <c r="A1062" s="856">
        <v>39758</v>
      </c>
      <c r="B1062" s="125" t="str">
        <f>TiposLancamentos!B9</f>
        <v>Condominio</v>
      </c>
      <c r="C1062" s="139" t="s">
        <v>21176</v>
      </c>
      <c r="D1062" s="51"/>
      <c r="E1062" s="857">
        <v>700.2</v>
      </c>
    </row>
    <row r="1063" spans="1:5">
      <c r="A1063" s="856">
        <v>39760</v>
      </c>
      <c r="B1063" s="125" t="str">
        <f>TiposLancamentos!B70</f>
        <v>Vestuário</v>
      </c>
      <c r="C1063" s="139" t="s">
        <v>21177</v>
      </c>
      <c r="D1063" s="51"/>
      <c r="E1063" s="857">
        <v>31</v>
      </c>
    </row>
    <row r="1064" spans="1:5">
      <c r="A1064" s="856">
        <v>39760</v>
      </c>
      <c r="B1064" s="125" t="str">
        <f>TiposLancamentos!B5</f>
        <v>Supermercado</v>
      </c>
      <c r="C1064" s="139" t="s">
        <v>17167</v>
      </c>
      <c r="D1064" s="51"/>
      <c r="E1064" s="857">
        <v>73.650000000000006</v>
      </c>
    </row>
    <row r="1065" spans="1:5">
      <c r="A1065" s="856">
        <v>39762</v>
      </c>
      <c r="B1065" s="125" t="str">
        <f>TiposLancamentos!B8</f>
        <v>Aluguel</v>
      </c>
      <c r="C1065" s="139" t="s">
        <v>21178</v>
      </c>
      <c r="D1065" s="51"/>
      <c r="E1065" s="857">
        <v>1003.95</v>
      </c>
    </row>
    <row r="1066" spans="1:5">
      <c r="A1066" s="856">
        <v>39762</v>
      </c>
      <c r="B1066" s="125" t="str">
        <f>TiposLancamentos!B19</f>
        <v>Restaurantes</v>
      </c>
      <c r="C1066" s="139" t="s">
        <v>3960</v>
      </c>
      <c r="D1066" s="51"/>
      <c r="E1066" s="857">
        <v>13.02</v>
      </c>
    </row>
    <row r="1067" spans="1:5">
      <c r="A1067" s="856">
        <v>39762</v>
      </c>
      <c r="B1067" s="125" t="str">
        <f>TiposLancamentos!B5</f>
        <v>Supermercado</v>
      </c>
      <c r="C1067" s="139" t="s">
        <v>5801</v>
      </c>
      <c r="D1067" s="51"/>
      <c r="E1067" s="857">
        <v>14.29</v>
      </c>
    </row>
    <row r="1068" spans="1:5">
      <c r="A1068" s="856">
        <v>39763</v>
      </c>
      <c r="B1068" s="125" t="str">
        <f>TiposLancamentos!B5</f>
        <v>Supermercado</v>
      </c>
      <c r="C1068" s="139" t="s">
        <v>3287</v>
      </c>
      <c r="D1068" s="51"/>
      <c r="E1068" s="857">
        <v>20.5</v>
      </c>
    </row>
    <row r="1069" spans="1:5">
      <c r="A1069" s="856">
        <v>39763</v>
      </c>
      <c r="B1069" s="125" t="str">
        <f>TiposLancamentos!B13</f>
        <v>Moradia</v>
      </c>
      <c r="C1069" s="139" t="s">
        <v>21179</v>
      </c>
      <c r="D1069" s="51"/>
      <c r="E1069" s="857">
        <v>130</v>
      </c>
    </row>
    <row r="1070" spans="1:5">
      <c r="A1070" s="856">
        <v>39763</v>
      </c>
      <c r="B1070" s="125" t="str">
        <f>TiposLancamentos!B18</f>
        <v>Alimentacao</v>
      </c>
      <c r="C1070" s="139" t="s">
        <v>21180</v>
      </c>
      <c r="D1070" s="51"/>
      <c r="E1070" s="857">
        <v>3.2</v>
      </c>
    </row>
    <row r="1071" spans="1:5">
      <c r="A1071" s="856">
        <v>39766</v>
      </c>
      <c r="B1071" s="125" t="str">
        <f>TiposLancamentos!B95</f>
        <v>Salarios</v>
      </c>
      <c r="C1071" s="139" t="s">
        <v>4916</v>
      </c>
      <c r="D1071" s="51">
        <v>1702.59</v>
      </c>
      <c r="E1071" s="857"/>
    </row>
    <row r="1072" spans="1:5">
      <c r="A1072" s="856">
        <v>39766</v>
      </c>
      <c r="B1072" s="125" t="str">
        <f>TiposLancamentos!B19</f>
        <v>Restaurantes</v>
      </c>
      <c r="C1072" s="139" t="s">
        <v>3755</v>
      </c>
      <c r="D1072" s="51"/>
      <c r="E1072" s="857">
        <v>27.6</v>
      </c>
    </row>
    <row r="1073" spans="1:5">
      <c r="A1073" s="856">
        <v>39766</v>
      </c>
      <c r="B1073" s="125" t="str">
        <f>TiposLancamentos!B95</f>
        <v>Salarios</v>
      </c>
      <c r="C1073" s="139" t="s">
        <v>21181</v>
      </c>
      <c r="D1073" s="51">
        <v>8826.2999999999993</v>
      </c>
      <c r="E1073" s="857"/>
    </row>
    <row r="1074" spans="1:5">
      <c r="A1074" s="856">
        <v>39766</v>
      </c>
      <c r="B1074" s="125" t="str">
        <f>TiposLancamentos!B19</f>
        <v>Restaurantes</v>
      </c>
      <c r="C1074" s="139" t="s">
        <v>21182</v>
      </c>
      <c r="D1074" s="51"/>
      <c r="E1074" s="857">
        <v>46.04</v>
      </c>
    </row>
    <row r="1075" spans="1:5">
      <c r="A1075" s="856">
        <v>39767</v>
      </c>
      <c r="B1075" s="125" t="str">
        <f>TiposLancamentos!B16</f>
        <v>Cristiane</v>
      </c>
      <c r="C1075" s="139" t="s">
        <v>21183</v>
      </c>
      <c r="D1075" s="51"/>
      <c r="E1075" s="857">
        <v>24.9</v>
      </c>
    </row>
    <row r="1076" spans="1:5">
      <c r="A1076" s="856">
        <v>39767</v>
      </c>
      <c r="B1076" s="125" t="str">
        <f>TiposLancamentos!B16</f>
        <v>Cristiane</v>
      </c>
      <c r="C1076" s="139" t="s">
        <v>19728</v>
      </c>
      <c r="D1076" s="51"/>
      <c r="E1076" s="857">
        <v>22.9</v>
      </c>
    </row>
    <row r="1077" spans="1:5">
      <c r="A1077" s="856">
        <v>39767</v>
      </c>
      <c r="B1077" s="125" t="str">
        <f>TiposLancamentos!B19</f>
        <v>Restaurantes</v>
      </c>
      <c r="C1077" s="139" t="s">
        <v>21184</v>
      </c>
      <c r="D1077" s="51"/>
      <c r="E1077" s="857">
        <v>48.6</v>
      </c>
    </row>
    <row r="1078" spans="1:5">
      <c r="A1078" s="856">
        <v>39767</v>
      </c>
      <c r="B1078" s="125" t="str">
        <f>TiposLancamentos!B16</f>
        <v>Cristiane</v>
      </c>
      <c r="C1078" s="139" t="s">
        <v>21185</v>
      </c>
      <c r="D1078" s="51"/>
      <c r="E1078" s="857">
        <v>20</v>
      </c>
    </row>
    <row r="1079" spans="1:5">
      <c r="A1079" s="856">
        <v>39767</v>
      </c>
      <c r="B1079" s="125" t="str">
        <f>TiposLancamentos!B16</f>
        <v>Cristiane</v>
      </c>
      <c r="C1079" s="139" t="s">
        <v>21186</v>
      </c>
      <c r="D1079" s="51"/>
      <c r="E1079" s="857">
        <v>64.900000000000006</v>
      </c>
    </row>
    <row r="1080" spans="1:5">
      <c r="A1080" s="856">
        <v>39767</v>
      </c>
      <c r="B1080" s="125" t="str">
        <f>TiposLancamentos!B20</f>
        <v>Saques</v>
      </c>
      <c r="C1080" s="139" t="s">
        <v>21187</v>
      </c>
      <c r="D1080" s="51"/>
      <c r="E1080" s="857">
        <v>160</v>
      </c>
    </row>
    <row r="1081" spans="1:5">
      <c r="A1081" s="856">
        <v>39767</v>
      </c>
      <c r="B1081" s="125" t="str">
        <f>TiposLancamentos!B16</f>
        <v>Cristiane</v>
      </c>
      <c r="C1081" s="139" t="s">
        <v>21188</v>
      </c>
      <c r="D1081" s="51"/>
      <c r="E1081" s="857">
        <v>45</v>
      </c>
    </row>
    <row r="1082" spans="1:5">
      <c r="A1082" s="856">
        <v>39767</v>
      </c>
      <c r="B1082" s="125" t="str">
        <f>TiposLancamentos!B19</f>
        <v>Restaurantes</v>
      </c>
      <c r="C1082" s="139" t="s">
        <v>21189</v>
      </c>
      <c r="D1082" s="51"/>
      <c r="E1082" s="857">
        <v>10</v>
      </c>
    </row>
    <row r="1083" spans="1:5">
      <c r="A1083" s="856">
        <v>39768</v>
      </c>
      <c r="B1083" s="125" t="str">
        <f>TiposLancamentos!B19</f>
        <v>Restaurantes</v>
      </c>
      <c r="C1083" s="139" t="s">
        <v>21190</v>
      </c>
      <c r="D1083" s="51"/>
      <c r="E1083" s="857">
        <v>47.15</v>
      </c>
    </row>
    <row r="1084" spans="1:5">
      <c r="A1084" s="856">
        <v>39768</v>
      </c>
      <c r="B1084" s="125" t="str">
        <f>TiposLancamentos!B5</f>
        <v>Supermercado</v>
      </c>
      <c r="C1084" s="139" t="s">
        <v>2567</v>
      </c>
      <c r="D1084" s="51"/>
      <c r="E1084" s="857">
        <v>207.46</v>
      </c>
    </row>
    <row r="1085" spans="1:5">
      <c r="A1085" s="856">
        <v>39768</v>
      </c>
      <c r="B1085" s="125" t="str">
        <f>TiposLancamentos!B19</f>
        <v>Restaurantes</v>
      </c>
      <c r="C1085" s="139" t="s">
        <v>21191</v>
      </c>
      <c r="D1085" s="51"/>
      <c r="E1085" s="857">
        <v>27.25</v>
      </c>
    </row>
    <row r="1086" spans="1:5">
      <c r="A1086" s="856">
        <v>39768</v>
      </c>
      <c r="B1086" s="125" t="str">
        <f>TiposLancamentos!B24</f>
        <v>Estacionamentos</v>
      </c>
      <c r="C1086" s="139" t="s">
        <v>5392</v>
      </c>
      <c r="D1086" s="51"/>
      <c r="E1086" s="857">
        <v>26.04</v>
      </c>
    </row>
    <row r="1087" spans="1:5">
      <c r="A1087" s="856">
        <v>39769</v>
      </c>
      <c r="B1087" s="125" t="str">
        <f>TiposLancamentos!B20</f>
        <v>Saques</v>
      </c>
      <c r="C1087" s="139" t="s">
        <v>2668</v>
      </c>
      <c r="D1087" s="51"/>
      <c r="E1087" s="857">
        <v>70</v>
      </c>
    </row>
    <row r="1088" spans="1:5">
      <c r="A1088" s="856">
        <v>39770</v>
      </c>
      <c r="B1088" s="125" t="str">
        <f>TiposLancamentos!B72</f>
        <v>Presentes</v>
      </c>
      <c r="C1088" s="139" t="s">
        <v>21192</v>
      </c>
      <c r="D1088" s="51"/>
      <c r="E1088" s="857">
        <v>60</v>
      </c>
    </row>
    <row r="1089" spans="1:5">
      <c r="A1089" s="856">
        <v>39771</v>
      </c>
      <c r="B1089" s="125" t="str">
        <f>TiposLancamentos!B19</f>
        <v>Restaurantes</v>
      </c>
      <c r="C1089" s="139" t="s">
        <v>20562</v>
      </c>
      <c r="D1089" s="51"/>
      <c r="E1089" s="857">
        <v>14.18</v>
      </c>
    </row>
    <row r="1090" spans="1:5">
      <c r="A1090" s="856">
        <v>39771</v>
      </c>
      <c r="B1090" s="125" t="str">
        <f>TiposLancamentos!B19</f>
        <v>Restaurantes</v>
      </c>
      <c r="C1090" s="139" t="s">
        <v>21193</v>
      </c>
      <c r="D1090" s="51"/>
      <c r="E1090" s="857">
        <v>22.46</v>
      </c>
    </row>
    <row r="1091" spans="1:5">
      <c r="A1091" s="856">
        <v>39771</v>
      </c>
      <c r="B1091" s="125" t="str">
        <f>TiposLancamentos!B17</f>
        <v>GATO</v>
      </c>
      <c r="C1091" s="139" t="s">
        <v>21194</v>
      </c>
      <c r="D1091" s="51"/>
      <c r="E1091" s="857">
        <v>83.37</v>
      </c>
    </row>
    <row r="1092" spans="1:5">
      <c r="A1092" s="856">
        <v>39772</v>
      </c>
      <c r="B1092" s="125" t="str">
        <f>TiposLancamentos!B19</f>
        <v>Restaurantes</v>
      </c>
      <c r="C1092" s="139" t="s">
        <v>21195</v>
      </c>
      <c r="D1092" s="51"/>
      <c r="E1092" s="857">
        <v>69.5</v>
      </c>
    </row>
    <row r="1093" spans="1:5">
      <c r="A1093" s="856">
        <v>39772</v>
      </c>
      <c r="B1093" s="125" t="str">
        <f>TiposLancamentos!B13</f>
        <v>Moradia</v>
      </c>
      <c r="C1093" s="139" t="s">
        <v>21196</v>
      </c>
      <c r="D1093" s="51"/>
      <c r="E1093" s="857">
        <v>205.26</v>
      </c>
    </row>
    <row r="1094" spans="1:5">
      <c r="A1094" s="856">
        <v>39772</v>
      </c>
      <c r="B1094" s="125" t="str">
        <f>TiposLancamentos!B56</f>
        <v>Farmácia</v>
      </c>
      <c r="C1094" s="139" t="s">
        <v>21197</v>
      </c>
      <c r="D1094" s="51"/>
      <c r="E1094" s="857">
        <v>13.86</v>
      </c>
    </row>
    <row r="1095" spans="1:5">
      <c r="A1095" s="856">
        <v>39773</v>
      </c>
      <c r="B1095" s="125" t="str">
        <f>TiposLancamentos!B19</f>
        <v>Restaurantes</v>
      </c>
      <c r="C1095" s="139" t="s">
        <v>21198</v>
      </c>
      <c r="D1095" s="51"/>
      <c r="E1095" s="857">
        <v>17.3</v>
      </c>
    </row>
    <row r="1096" spans="1:5">
      <c r="A1096" s="856">
        <v>39773</v>
      </c>
      <c r="B1096" s="125" t="str">
        <f>TiposLancamentos!B57</f>
        <v>Informática</v>
      </c>
      <c r="C1096" s="139" t="s">
        <v>21199</v>
      </c>
      <c r="D1096" s="51"/>
      <c r="E1096" s="857">
        <v>85</v>
      </c>
    </row>
    <row r="1097" spans="1:5">
      <c r="A1097" s="856">
        <v>39773</v>
      </c>
      <c r="B1097" s="125" t="str">
        <f>TiposLancamentos!B81</f>
        <v>Ferramentas gerais</v>
      </c>
      <c r="C1097" s="139" t="s">
        <v>21200</v>
      </c>
      <c r="D1097" s="51"/>
      <c r="E1097" s="857">
        <v>25</v>
      </c>
    </row>
    <row r="1098" spans="1:5">
      <c r="A1098" s="856">
        <v>39773</v>
      </c>
      <c r="B1098" s="125" t="str">
        <f>TiposLancamentos!B20</f>
        <v>Saques</v>
      </c>
      <c r="C1098" s="139" t="s">
        <v>2668</v>
      </c>
      <c r="D1098" s="51"/>
      <c r="E1098" s="857">
        <v>100</v>
      </c>
    </row>
    <row r="1099" spans="1:5">
      <c r="A1099" s="856">
        <v>39774</v>
      </c>
      <c r="B1099" s="125" t="str">
        <f>TiposLancamentos!B59</f>
        <v>Documentos</v>
      </c>
      <c r="C1099" s="139" t="s">
        <v>21201</v>
      </c>
      <c r="D1099" s="51"/>
      <c r="E1099" s="857">
        <v>50.59</v>
      </c>
    </row>
    <row r="1100" spans="1:5">
      <c r="A1100" s="961">
        <v>39774</v>
      </c>
      <c r="B1100" s="817" t="str">
        <f>TiposLancamentos!B71</f>
        <v>Itens Pessoais</v>
      </c>
      <c r="C1100" s="962" t="s">
        <v>21202</v>
      </c>
      <c r="D1100" s="809"/>
      <c r="E1100" s="965">
        <v>19</v>
      </c>
    </row>
    <row r="1101" spans="1:5">
      <c r="A1101" s="963">
        <v>39774</v>
      </c>
      <c r="B1101" s="818" t="str">
        <f>TiposLancamentos!B16</f>
        <v>Cristiane</v>
      </c>
      <c r="C1101" s="964" t="s">
        <v>21203</v>
      </c>
      <c r="D1101" s="813"/>
      <c r="E1101" s="966">
        <f>37-E1100</f>
        <v>18</v>
      </c>
    </row>
    <row r="1102" spans="1:5">
      <c r="A1102" s="856">
        <v>39774</v>
      </c>
      <c r="B1102" s="125" t="str">
        <f>TiposLancamentos!B18</f>
        <v>Alimentacao</v>
      </c>
      <c r="C1102" s="139" t="s">
        <v>21204</v>
      </c>
      <c r="D1102" s="51"/>
      <c r="E1102" s="857">
        <v>18.100000000000001</v>
      </c>
    </row>
    <row r="1103" spans="1:5">
      <c r="A1103" s="856">
        <v>39775</v>
      </c>
      <c r="B1103" s="125" t="str">
        <f>TiposLancamentos!B5</f>
        <v>Supermercado</v>
      </c>
      <c r="C1103" s="139" t="s">
        <v>21205</v>
      </c>
      <c r="D1103" s="51"/>
      <c r="E1103" s="857">
        <v>34.93</v>
      </c>
    </row>
    <row r="1104" spans="1:5">
      <c r="A1104" s="856">
        <v>39775</v>
      </c>
      <c r="B1104" s="125" t="str">
        <f>TiposLancamentos!B19</f>
        <v>Restaurantes</v>
      </c>
      <c r="C1104" s="139" t="s">
        <v>17157</v>
      </c>
      <c r="D1104" s="51"/>
      <c r="E1104" s="857">
        <v>26.25</v>
      </c>
    </row>
    <row r="1105" spans="1:5">
      <c r="A1105" s="856">
        <v>39776</v>
      </c>
      <c r="B1105" s="125" t="str">
        <f>TiposLancamentos!B19</f>
        <v>Restaurantes</v>
      </c>
      <c r="C1105" s="139" t="s">
        <v>21206</v>
      </c>
      <c r="D1105" s="51"/>
      <c r="E1105" s="857">
        <v>14.25</v>
      </c>
    </row>
    <row r="1106" spans="1:5">
      <c r="A1106" s="856">
        <v>39776</v>
      </c>
      <c r="B1106" s="125" t="str">
        <f>TiposLancamentos!B22</f>
        <v>Combustivel</v>
      </c>
      <c r="C1106" s="139" t="s">
        <v>3615</v>
      </c>
      <c r="D1106" s="51"/>
      <c r="E1106" s="857">
        <v>101.32</v>
      </c>
    </row>
    <row r="1107" spans="1:5">
      <c r="A1107" s="856">
        <v>39777</v>
      </c>
      <c r="B1107" s="125" t="str">
        <f>TiposLancamentos!B19</f>
        <v>Restaurantes</v>
      </c>
      <c r="C1107" s="139" t="s">
        <v>7590</v>
      </c>
      <c r="D1107" s="51"/>
      <c r="E1107" s="857">
        <v>28.5</v>
      </c>
    </row>
    <row r="1108" spans="1:5">
      <c r="A1108" s="856">
        <v>39778</v>
      </c>
      <c r="B1108" s="125" t="str">
        <f>TiposLancamentos!B19</f>
        <v>Restaurantes</v>
      </c>
      <c r="C1108" s="139" t="s">
        <v>21207</v>
      </c>
      <c r="D1108" s="51"/>
      <c r="E1108" s="857">
        <v>11.4</v>
      </c>
    </row>
    <row r="1109" spans="1:5">
      <c r="A1109" s="856">
        <v>39778</v>
      </c>
      <c r="B1109" s="125" t="str">
        <f>TiposLancamentos!B5</f>
        <v>Supermercado</v>
      </c>
      <c r="C1109" s="139" t="s">
        <v>21208</v>
      </c>
      <c r="D1109" s="51"/>
      <c r="E1109" s="857">
        <v>15.39</v>
      </c>
    </row>
    <row r="1110" spans="1:5">
      <c r="A1110" s="856">
        <v>39780</v>
      </c>
      <c r="B1110" s="125" t="str">
        <f>TiposLancamentos!B95</f>
        <v>Salarios</v>
      </c>
      <c r="C1110" s="126" t="s">
        <v>4939</v>
      </c>
      <c r="D1110" s="51">
        <v>268.55</v>
      </c>
      <c r="E1110" s="857"/>
    </row>
    <row r="1111" spans="1:5">
      <c r="A1111" s="856">
        <v>39780</v>
      </c>
      <c r="B1111" s="125" t="str">
        <f>TiposLancamentos!B57</f>
        <v>Informática</v>
      </c>
      <c r="C1111" s="139" t="s">
        <v>21209</v>
      </c>
      <c r="D1111" s="51"/>
      <c r="E1111" s="857">
        <v>79</v>
      </c>
    </row>
    <row r="1112" spans="1:5">
      <c r="A1112" s="856">
        <v>39780</v>
      </c>
      <c r="B1112" s="125" t="str">
        <f>TiposLancamentos!B105</f>
        <v>Transf. Bco</v>
      </c>
      <c r="C1112" s="139" t="s">
        <v>21210</v>
      </c>
      <c r="D1112" s="51"/>
      <c r="E1112" s="857">
        <v>1185</v>
      </c>
    </row>
    <row r="1113" spans="1:5">
      <c r="A1113" s="856">
        <v>39780</v>
      </c>
      <c r="B1113" s="125" t="str">
        <f>TiposLancamentos!B45</f>
        <v>Online Services</v>
      </c>
      <c r="C1113" s="139" t="s">
        <v>21211</v>
      </c>
      <c r="D1113" s="51"/>
      <c r="E1113" s="857">
        <v>31</v>
      </c>
    </row>
    <row r="1114" spans="1:5">
      <c r="A1114" s="856">
        <v>39780</v>
      </c>
      <c r="B1114" s="125" t="str">
        <f>TiposLancamentos!B20</f>
        <v>Saques</v>
      </c>
      <c r="C1114" s="139" t="s">
        <v>2668</v>
      </c>
      <c r="D1114" s="51"/>
      <c r="E1114" s="857">
        <v>50</v>
      </c>
    </row>
    <row r="1115" spans="1:5">
      <c r="A1115" s="856">
        <v>39780</v>
      </c>
      <c r="B1115" s="125" t="str">
        <f>TiposLancamentos!B19</f>
        <v>Restaurantes</v>
      </c>
      <c r="C1115" s="139" t="s">
        <v>20709</v>
      </c>
      <c r="D1115" s="51"/>
      <c r="E1115" s="857">
        <v>19.8</v>
      </c>
    </row>
    <row r="1116" spans="1:5">
      <c r="A1116" s="856">
        <v>39780</v>
      </c>
      <c r="B1116" s="125" t="str">
        <f>TiposLancamentos!B4</f>
        <v>Taxas Bancarias</v>
      </c>
      <c r="C1116" s="139" t="s">
        <v>21212</v>
      </c>
      <c r="D1116" s="51"/>
      <c r="E1116" s="857">
        <v>109.28</v>
      </c>
    </row>
    <row r="1117" spans="1:5">
      <c r="A1117" s="856">
        <v>39781</v>
      </c>
      <c r="B1117" s="125" t="str">
        <f>TiposLancamentos!B36</f>
        <v>Playstation 2</v>
      </c>
      <c r="C1117" s="139" t="s">
        <v>21213</v>
      </c>
      <c r="D1117" s="51"/>
      <c r="E1117" s="857">
        <v>10</v>
      </c>
    </row>
    <row r="1118" spans="1:5">
      <c r="A1118" s="856">
        <v>39781</v>
      </c>
      <c r="B1118" s="125" t="str">
        <f>TiposLancamentos!B5</f>
        <v>Supermercado</v>
      </c>
      <c r="C1118" s="139" t="s">
        <v>16629</v>
      </c>
      <c r="D1118" s="51"/>
      <c r="E1118" s="857">
        <v>47.44</v>
      </c>
    </row>
    <row r="1119" spans="1:5">
      <c r="A1119" s="856">
        <v>39782</v>
      </c>
      <c r="B1119" s="125" t="str">
        <f>TiposLancamentos!B31</f>
        <v>Action Figures</v>
      </c>
      <c r="C1119" s="139" t="s">
        <v>21214</v>
      </c>
      <c r="D1119" s="51"/>
      <c r="E1119" s="857">
        <v>85</v>
      </c>
    </row>
    <row r="1120" spans="1:5" ht="14.25" thickBot="1">
      <c r="A1120" s="856">
        <v>39782</v>
      </c>
      <c r="B1120" s="125" t="str">
        <f>TiposLancamentos!B19</f>
        <v>Restaurantes</v>
      </c>
      <c r="C1120" s="139" t="s">
        <v>21215</v>
      </c>
      <c r="D1120" s="51"/>
      <c r="E1120" s="857">
        <v>42.48</v>
      </c>
    </row>
    <row r="1121" spans="1:5" ht="14.25" thickBot="1">
      <c r="A1121" s="998"/>
      <c r="B1121" s="989"/>
      <c r="C1121" s="990" t="s">
        <v>5676</v>
      </c>
      <c r="D1121" s="991"/>
      <c r="E1121" s="999"/>
    </row>
    <row r="1122" spans="1:5">
      <c r="A1122" s="884">
        <v>39783</v>
      </c>
      <c r="B1122" s="86" t="str">
        <f>TiposLancamentos!B2</f>
        <v>Telefonia</v>
      </c>
      <c r="C1122" s="3" t="s">
        <v>5556</v>
      </c>
      <c r="D1122" s="63"/>
      <c r="E1122" s="952">
        <v>46.19</v>
      </c>
    </row>
    <row r="1123" spans="1:5">
      <c r="A1123" s="884">
        <v>39783</v>
      </c>
      <c r="B1123" s="86" t="str">
        <f>TiposLancamentos!B15</f>
        <v>Cartões de Crédito</v>
      </c>
      <c r="C1123" s="3" t="s">
        <v>5557</v>
      </c>
      <c r="D1123" s="63"/>
      <c r="E1123" s="952">
        <v>2343.5500000000002</v>
      </c>
    </row>
    <row r="1124" spans="1:5">
      <c r="A1124" s="884">
        <v>39783</v>
      </c>
      <c r="B1124" s="86" t="str">
        <f>TiposLancamentos!B15</f>
        <v>Cartões de Crédito</v>
      </c>
      <c r="C1124" s="3" t="s">
        <v>21216</v>
      </c>
      <c r="D1124" s="63"/>
      <c r="E1124" s="952">
        <v>487.85</v>
      </c>
    </row>
    <row r="1125" spans="1:5">
      <c r="A1125" s="884">
        <v>39783</v>
      </c>
      <c r="B1125" s="86" t="str">
        <f>TiposLancamentos!B15</f>
        <v>Cartões de Crédito</v>
      </c>
      <c r="C1125" s="3" t="s">
        <v>21217</v>
      </c>
      <c r="D1125" s="63"/>
      <c r="E1125" s="952">
        <v>274.75</v>
      </c>
    </row>
    <row r="1126" spans="1:5">
      <c r="A1126" s="884">
        <v>39783</v>
      </c>
      <c r="B1126" s="86" t="str">
        <f>TiposLancamentos!B6</f>
        <v>Energia Eletrica</v>
      </c>
      <c r="C1126" s="3" t="s">
        <v>21218</v>
      </c>
      <c r="D1126" s="63"/>
      <c r="E1126" s="952">
        <v>125.73</v>
      </c>
    </row>
    <row r="1127" spans="1:5">
      <c r="A1127" s="856">
        <v>39783</v>
      </c>
      <c r="B1127" s="125" t="str">
        <f>TiposLancamentos!B45</f>
        <v>Online Services</v>
      </c>
      <c r="C1127" s="139" t="s">
        <v>15207</v>
      </c>
      <c r="D1127" s="51"/>
      <c r="E1127" s="857">
        <v>14.55</v>
      </c>
    </row>
    <row r="1128" spans="1:5">
      <c r="A1128" s="856">
        <v>39783</v>
      </c>
      <c r="B1128" s="125" t="str">
        <f>TiposLancamentos!B100</f>
        <v>Emprestimos</v>
      </c>
      <c r="C1128" s="139" t="s">
        <v>21219</v>
      </c>
      <c r="D1128" s="51"/>
      <c r="E1128" s="857">
        <v>123</v>
      </c>
    </row>
    <row r="1129" spans="1:5">
      <c r="A1129" s="884">
        <v>39783</v>
      </c>
      <c r="B1129" s="86" t="str">
        <f>TiposLancamentos!B13</f>
        <v>Moradia</v>
      </c>
      <c r="C1129" s="3" t="s">
        <v>21220</v>
      </c>
      <c r="D1129" s="63"/>
      <c r="E1129" s="952">
        <v>47.14</v>
      </c>
    </row>
    <row r="1130" spans="1:5">
      <c r="A1130" s="856">
        <v>39783</v>
      </c>
      <c r="B1130" s="125" t="str">
        <f>TiposLancamentos!B4</f>
        <v>Taxas Bancarias</v>
      </c>
      <c r="C1130" s="139" t="s">
        <v>21221</v>
      </c>
      <c r="D1130" s="51"/>
      <c r="E1130" s="857">
        <v>19.5</v>
      </c>
    </row>
    <row r="1131" spans="1:5">
      <c r="A1131" s="884">
        <v>39784</v>
      </c>
      <c r="B1131" s="86" t="str">
        <f>TiposLancamentos!B17</f>
        <v>GATO</v>
      </c>
      <c r="C1131" s="3" t="s">
        <v>21222</v>
      </c>
      <c r="D1131" s="63"/>
      <c r="E1131" s="952">
        <v>17.07</v>
      </c>
    </row>
    <row r="1132" spans="1:5">
      <c r="A1132" s="856">
        <v>39784</v>
      </c>
      <c r="B1132" s="125" t="str">
        <f>TiposLancamentos!B100</f>
        <v>Emprestimos</v>
      </c>
      <c r="C1132" s="139" t="s">
        <v>21223</v>
      </c>
      <c r="D1132" s="51">
        <v>123</v>
      </c>
      <c r="E1132" s="857"/>
    </row>
    <row r="1133" spans="1:5">
      <c r="A1133" s="884">
        <v>39784</v>
      </c>
      <c r="B1133" s="86" t="str">
        <f>TiposLancamentos!B17</f>
        <v>GATO</v>
      </c>
      <c r="C1133" s="3" t="s">
        <v>6993</v>
      </c>
      <c r="D1133" s="63"/>
      <c r="E1133" s="952">
        <v>128.54</v>
      </c>
    </row>
    <row r="1134" spans="1:5">
      <c r="A1134" s="856">
        <v>39784</v>
      </c>
      <c r="B1134" s="125" t="str">
        <f>TiposLancamentos!B72</f>
        <v>Presentes</v>
      </c>
      <c r="C1134" s="139" t="s">
        <v>21224</v>
      </c>
      <c r="D1134" s="51"/>
      <c r="E1134" s="857">
        <v>63.95</v>
      </c>
    </row>
    <row r="1135" spans="1:5">
      <c r="A1135" s="884">
        <v>39784</v>
      </c>
      <c r="B1135" s="86" t="str">
        <f>TiposLancamentos!B19</f>
        <v>Restaurantes</v>
      </c>
      <c r="C1135" s="3" t="s">
        <v>21112</v>
      </c>
      <c r="D1135" s="63"/>
      <c r="E1135" s="952">
        <v>42.7</v>
      </c>
    </row>
    <row r="1136" spans="1:5">
      <c r="A1136" s="856">
        <v>39785</v>
      </c>
      <c r="B1136" s="125" t="str">
        <f>TiposLancamentos!B31</f>
        <v>Action Figures</v>
      </c>
      <c r="C1136" s="139" t="s">
        <v>21225</v>
      </c>
      <c r="D1136" s="51"/>
      <c r="E1136" s="857">
        <v>62</v>
      </c>
    </row>
    <row r="1137" spans="1:5">
      <c r="A1137" s="856">
        <v>39786</v>
      </c>
      <c r="B1137" s="125" t="str">
        <f>TiposLancamentos!B58</f>
        <v>Fotografias</v>
      </c>
      <c r="C1137" s="139" t="s">
        <v>21226</v>
      </c>
      <c r="D1137" s="51"/>
      <c r="E1137" s="857">
        <v>7.12</v>
      </c>
    </row>
    <row r="1138" spans="1:5">
      <c r="A1138" s="856">
        <v>39786</v>
      </c>
      <c r="B1138" s="125" t="str">
        <f>TiposLancamentos!B18</f>
        <v>Alimentacao</v>
      </c>
      <c r="C1138" s="139" t="s">
        <v>21227</v>
      </c>
      <c r="D1138" s="51"/>
      <c r="E1138" s="857">
        <v>13.3</v>
      </c>
    </row>
    <row r="1139" spans="1:5">
      <c r="A1139" s="856">
        <v>39788</v>
      </c>
      <c r="B1139" s="125" t="str">
        <f>TiposLancamentos!B20</f>
        <v>Saques</v>
      </c>
      <c r="C1139" s="139" t="s">
        <v>2668</v>
      </c>
      <c r="D1139" s="51"/>
      <c r="E1139" s="857">
        <v>40</v>
      </c>
    </row>
    <row r="1140" spans="1:5">
      <c r="A1140" s="856">
        <v>39790</v>
      </c>
      <c r="B1140" s="125" t="str">
        <f>TiposLancamentos!B9</f>
        <v>Condominio</v>
      </c>
      <c r="C1140" s="139" t="s">
        <v>1684</v>
      </c>
      <c r="D1140" s="51"/>
      <c r="E1140" s="857">
        <v>755.56</v>
      </c>
    </row>
    <row r="1141" spans="1:5">
      <c r="A1141" s="856">
        <v>39790</v>
      </c>
      <c r="B1141" s="125" t="str">
        <f>TiposLancamentos!B35</f>
        <v>Tv à Cabo</v>
      </c>
      <c r="C1141" s="139" t="s">
        <v>20911</v>
      </c>
      <c r="D1141" s="51"/>
      <c r="E1141" s="857">
        <v>182.68</v>
      </c>
    </row>
    <row r="1142" spans="1:5">
      <c r="A1142" s="856">
        <v>39791</v>
      </c>
      <c r="B1142" s="125" t="str">
        <f>TiposLancamentos!B20</f>
        <v>Saques</v>
      </c>
      <c r="C1142" s="139" t="s">
        <v>2655</v>
      </c>
      <c r="D1142" s="51"/>
      <c r="E1142" s="857">
        <v>50</v>
      </c>
    </row>
    <row r="1143" spans="1:5">
      <c r="A1143" s="856">
        <v>39791</v>
      </c>
      <c r="B1143" s="125" t="str">
        <f>TiposLancamentos!B28</f>
        <v>ComicBook</v>
      </c>
      <c r="C1143" s="139" t="s">
        <v>21228</v>
      </c>
      <c r="D1143" s="51"/>
      <c r="E1143" s="857">
        <v>48.2</v>
      </c>
    </row>
    <row r="1144" spans="1:5">
      <c r="A1144" s="856">
        <v>39791</v>
      </c>
      <c r="B1144" s="125" t="str">
        <f>TiposLancamentos!B28</f>
        <v>ComicBook</v>
      </c>
      <c r="C1144" s="139" t="s">
        <v>21229</v>
      </c>
      <c r="D1144" s="51"/>
      <c r="E1144" s="857">
        <v>37.619999999999997</v>
      </c>
    </row>
    <row r="1145" spans="1:5">
      <c r="A1145" s="856">
        <v>39791</v>
      </c>
      <c r="B1145" s="125" t="str">
        <f>TiposLancamentos!B19</f>
        <v>Restaurantes</v>
      </c>
      <c r="C1145" s="139" t="s">
        <v>21230</v>
      </c>
      <c r="D1145" s="51"/>
      <c r="E1145" s="857">
        <v>33.299999999999997</v>
      </c>
    </row>
    <row r="1146" spans="1:5">
      <c r="A1146" s="856">
        <v>39792</v>
      </c>
      <c r="B1146" s="125" t="str">
        <f>TiposLancamentos!B19</f>
        <v>Restaurantes</v>
      </c>
      <c r="C1146" s="139" t="s">
        <v>3667</v>
      </c>
      <c r="D1146" s="51"/>
      <c r="E1146" s="857">
        <v>11</v>
      </c>
    </row>
    <row r="1147" spans="1:5">
      <c r="A1147" s="856">
        <v>39793</v>
      </c>
      <c r="B1147" s="125" t="str">
        <f>TiposLancamentos!B74</f>
        <v>Noite</v>
      </c>
      <c r="C1147" s="139" t="s">
        <v>21231</v>
      </c>
      <c r="D1147" s="51"/>
      <c r="E1147" s="857">
        <v>82</v>
      </c>
    </row>
    <row r="1148" spans="1:5">
      <c r="A1148" s="856">
        <v>39793</v>
      </c>
      <c r="B1148" s="125" t="str">
        <f>TiposLancamentos!B8</f>
        <v>Aluguel</v>
      </c>
      <c r="C1148" s="139" t="s">
        <v>21232</v>
      </c>
      <c r="D1148" s="51"/>
      <c r="E1148" s="857">
        <v>1002.95</v>
      </c>
    </row>
    <row r="1149" spans="1:5">
      <c r="A1149" s="856">
        <v>39793</v>
      </c>
      <c r="B1149" s="125" t="str">
        <f>TiposLancamentos!B17</f>
        <v>GATO</v>
      </c>
      <c r="C1149" s="139" t="s">
        <v>21233</v>
      </c>
      <c r="D1149" s="51"/>
      <c r="E1149" s="857">
        <v>15</v>
      </c>
    </row>
    <row r="1150" spans="1:5">
      <c r="A1150" s="856">
        <v>39793</v>
      </c>
      <c r="B1150" s="125" t="str">
        <f>TiposLancamentos!B19</f>
        <v>Restaurantes</v>
      </c>
      <c r="C1150" s="139" t="s">
        <v>21234</v>
      </c>
      <c r="D1150" s="51"/>
      <c r="E1150" s="857">
        <v>16.600000000000001</v>
      </c>
    </row>
    <row r="1151" spans="1:5">
      <c r="A1151" s="856">
        <v>39793</v>
      </c>
      <c r="B1151" s="125" t="str">
        <f>TiposLancamentos!B20</f>
        <v>Saques</v>
      </c>
      <c r="C1151" s="139" t="s">
        <v>21235</v>
      </c>
      <c r="D1151" s="51"/>
      <c r="E1151" s="857">
        <v>40</v>
      </c>
    </row>
    <row r="1152" spans="1:5">
      <c r="A1152" s="856">
        <v>39764</v>
      </c>
      <c r="B1152" s="125" t="str">
        <f>TiposLancamentos!B19</f>
        <v>Restaurantes</v>
      </c>
      <c r="C1152" s="139" t="s">
        <v>3960</v>
      </c>
      <c r="D1152" s="51"/>
      <c r="E1152" s="857">
        <v>13.93</v>
      </c>
    </row>
    <row r="1153" spans="1:5">
      <c r="A1153" s="856">
        <v>39795</v>
      </c>
      <c r="B1153" s="125" t="str">
        <f>TiposLancamentos!B76</f>
        <v>Motel</v>
      </c>
      <c r="C1153" s="139" t="s">
        <v>21236</v>
      </c>
      <c r="D1153" s="51"/>
      <c r="E1153" s="857">
        <v>356.3</v>
      </c>
    </row>
    <row r="1154" spans="1:5">
      <c r="A1154" s="856">
        <v>39795</v>
      </c>
      <c r="B1154" s="125" t="str">
        <f>TiposLancamentos!B19</f>
        <v>Restaurantes</v>
      </c>
      <c r="C1154" s="139" t="s">
        <v>21237</v>
      </c>
      <c r="D1154" s="51"/>
      <c r="E1154" s="857">
        <v>39.9</v>
      </c>
    </row>
    <row r="1155" spans="1:5">
      <c r="A1155" s="856">
        <v>39796</v>
      </c>
      <c r="B1155" s="125" t="str">
        <f>TiposLancamentos!B17</f>
        <v>GATO</v>
      </c>
      <c r="C1155" s="139" t="s">
        <v>21238</v>
      </c>
      <c r="D1155" s="51"/>
      <c r="E1155" s="857">
        <v>50</v>
      </c>
    </row>
    <row r="1156" spans="1:5">
      <c r="A1156" s="856">
        <v>39796</v>
      </c>
      <c r="B1156" s="125" t="str">
        <f>TiposLancamentos!B19</f>
        <v>Restaurantes</v>
      </c>
      <c r="C1156" s="139" t="s">
        <v>3690</v>
      </c>
      <c r="D1156" s="51"/>
      <c r="E1156" s="857">
        <v>20.74</v>
      </c>
    </row>
    <row r="1157" spans="1:5">
      <c r="A1157" s="856">
        <v>39797</v>
      </c>
      <c r="B1157" s="125" t="str">
        <f>TiposLancamentos!B95</f>
        <v>Salarios</v>
      </c>
      <c r="C1157" s="139" t="s">
        <v>4938</v>
      </c>
      <c r="D1157" s="51">
        <v>3633.4</v>
      </c>
      <c r="E1157" s="857"/>
    </row>
    <row r="1158" spans="1:5">
      <c r="A1158" s="856">
        <v>39797</v>
      </c>
      <c r="B1158" s="125" t="str">
        <f>TiposLancamentos!B95</f>
        <v>Salarios</v>
      </c>
      <c r="C1158" s="139" t="s">
        <v>4916</v>
      </c>
      <c r="D1158" s="51">
        <v>1747.9</v>
      </c>
      <c r="E1158" s="857"/>
    </row>
    <row r="1159" spans="1:5">
      <c r="A1159" s="856">
        <v>39797</v>
      </c>
      <c r="B1159" s="125" t="str">
        <f>TiposLancamentos!B72</f>
        <v>Presentes</v>
      </c>
      <c r="C1159" s="139" t="s">
        <v>21239</v>
      </c>
      <c r="D1159" s="51"/>
      <c r="E1159" s="857">
        <v>45.9</v>
      </c>
    </row>
    <row r="1160" spans="1:5">
      <c r="A1160" s="856">
        <v>39797</v>
      </c>
      <c r="B1160" s="125" t="str">
        <f>TiposLancamentos!B72</f>
        <v>Presentes</v>
      </c>
      <c r="C1160" s="139" t="s">
        <v>21240</v>
      </c>
      <c r="D1160" s="51"/>
      <c r="E1160" s="857">
        <v>165</v>
      </c>
    </row>
    <row r="1161" spans="1:5">
      <c r="A1161" s="856">
        <v>39797</v>
      </c>
      <c r="B1161" s="125" t="str">
        <f>TiposLancamentos!B19</f>
        <v>Restaurantes</v>
      </c>
      <c r="C1161" s="139" t="s">
        <v>21241</v>
      </c>
      <c r="D1161" s="51"/>
      <c r="E1161" s="857">
        <v>17.3</v>
      </c>
    </row>
    <row r="1162" spans="1:5">
      <c r="A1162" s="856">
        <v>39797</v>
      </c>
      <c r="B1162" s="125" t="str">
        <f>TiposLancamentos!B24</f>
        <v>Estacionamentos</v>
      </c>
      <c r="C1162" s="139" t="s">
        <v>5392</v>
      </c>
      <c r="D1162" s="51"/>
      <c r="E1162" s="857">
        <v>18.04</v>
      </c>
    </row>
    <row r="1163" spans="1:5">
      <c r="A1163" s="856">
        <v>39797</v>
      </c>
      <c r="B1163" s="125" t="str">
        <f>TiposLancamentos!B19</f>
        <v>Restaurantes</v>
      </c>
      <c r="C1163" s="139" t="s">
        <v>21227</v>
      </c>
      <c r="D1163" s="51"/>
      <c r="E1163" s="857">
        <v>38.53</v>
      </c>
    </row>
    <row r="1164" spans="1:5">
      <c r="A1164" s="856">
        <v>39798</v>
      </c>
      <c r="B1164" s="125" t="str">
        <f>TiposLancamentos!B72</f>
        <v>Presentes</v>
      </c>
      <c r="C1164" s="139" t="s">
        <v>21242</v>
      </c>
      <c r="D1164" s="51"/>
      <c r="E1164" s="857">
        <v>56.5</v>
      </c>
    </row>
    <row r="1165" spans="1:5">
      <c r="A1165" s="856">
        <v>39800</v>
      </c>
      <c r="B1165" s="125" t="str">
        <f>TiposLancamentos!B72</f>
        <v>Presentes</v>
      </c>
      <c r="C1165" s="139" t="s">
        <v>21243</v>
      </c>
      <c r="D1165" s="51"/>
      <c r="E1165" s="857">
        <v>524</v>
      </c>
    </row>
    <row r="1166" spans="1:5">
      <c r="A1166" s="856">
        <v>39800</v>
      </c>
      <c r="B1166" s="125" t="str">
        <f>TiposLancamentos!B72</f>
        <v>Presentes</v>
      </c>
      <c r="C1166" s="139" t="s">
        <v>21244</v>
      </c>
      <c r="D1166" s="51"/>
      <c r="E1166" s="857">
        <v>30</v>
      </c>
    </row>
    <row r="1167" spans="1:5">
      <c r="A1167" s="856">
        <v>39800</v>
      </c>
      <c r="B1167" s="125" t="str">
        <f>TiposLancamentos!B20</f>
        <v>Saques</v>
      </c>
      <c r="C1167" s="139" t="s">
        <v>2668</v>
      </c>
      <c r="D1167" s="51"/>
      <c r="E1167" s="857">
        <v>50</v>
      </c>
    </row>
    <row r="1168" spans="1:5">
      <c r="A1168" s="856">
        <v>39800</v>
      </c>
      <c r="B1168" s="125" t="str">
        <f>TiposLancamentos!B19</f>
        <v>Restaurantes</v>
      </c>
      <c r="C1168" s="139" t="s">
        <v>21245</v>
      </c>
      <c r="D1168" s="51"/>
      <c r="E1168" s="857">
        <v>46.31</v>
      </c>
    </row>
    <row r="1169" spans="1:5">
      <c r="A1169" s="856">
        <v>39801</v>
      </c>
      <c r="B1169" s="125" t="str">
        <f>TiposLancamentos!B60</f>
        <v>Correio</v>
      </c>
      <c r="C1169" s="139" t="s">
        <v>6379</v>
      </c>
      <c r="D1169" s="51"/>
      <c r="E1169" s="857">
        <v>102.5</v>
      </c>
    </row>
    <row r="1170" spans="1:5">
      <c r="A1170" s="856">
        <v>39804</v>
      </c>
      <c r="B1170" s="125" t="str">
        <f>TiposLancamentos!B19</f>
        <v>Restaurantes</v>
      </c>
      <c r="C1170" s="139" t="s">
        <v>21246</v>
      </c>
      <c r="D1170" s="51"/>
      <c r="E1170" s="857">
        <v>10.5</v>
      </c>
    </row>
    <row r="1171" spans="1:5">
      <c r="A1171" s="856">
        <v>39804</v>
      </c>
      <c r="B1171" s="125" t="str">
        <f>TiposLancamentos!B31</f>
        <v>Action Figures</v>
      </c>
      <c r="C1171" s="139" t="s">
        <v>21247</v>
      </c>
      <c r="D1171" s="51"/>
      <c r="E1171" s="857">
        <v>73</v>
      </c>
    </row>
    <row r="1172" spans="1:5">
      <c r="A1172" s="856">
        <v>39805</v>
      </c>
      <c r="B1172" s="125" t="str">
        <f>TiposLancamentos!B19</f>
        <v>Restaurantes</v>
      </c>
      <c r="C1172" s="139" t="s">
        <v>6493</v>
      </c>
      <c r="D1172" s="51"/>
      <c r="E1172" s="857">
        <v>17.25</v>
      </c>
    </row>
    <row r="1173" spans="1:5">
      <c r="A1173" s="856">
        <v>39805</v>
      </c>
      <c r="B1173" s="125" t="str">
        <f>TiposLancamentos!B57</f>
        <v>Informática</v>
      </c>
      <c r="C1173" s="139" t="s">
        <v>21248</v>
      </c>
      <c r="D1173" s="51"/>
      <c r="E1173" s="857">
        <v>1455</v>
      </c>
    </row>
    <row r="1174" spans="1:5">
      <c r="A1174" s="856">
        <v>39806</v>
      </c>
      <c r="B1174" s="125" t="str">
        <f>TiposLancamentos!B19</f>
        <v>Restaurantes</v>
      </c>
      <c r="C1174" s="139" t="s">
        <v>21249</v>
      </c>
      <c r="D1174" s="51"/>
      <c r="E1174" s="857">
        <v>66.260000000000005</v>
      </c>
    </row>
    <row r="1175" spans="1:5">
      <c r="A1175" s="884">
        <v>39809</v>
      </c>
      <c r="B1175" s="86" t="str">
        <f>TiposLancamentos!B22</f>
        <v>Combustivel</v>
      </c>
      <c r="C1175" s="3" t="s">
        <v>3381</v>
      </c>
      <c r="D1175" s="63"/>
      <c r="E1175" s="952">
        <v>33</v>
      </c>
    </row>
    <row r="1176" spans="1:5">
      <c r="A1176" s="884">
        <v>39809</v>
      </c>
      <c r="B1176" s="86" t="str">
        <f>TiposLancamentos!B85</f>
        <v>Peugeout 206</v>
      </c>
      <c r="C1176" s="3" t="s">
        <v>21250</v>
      </c>
      <c r="D1176" s="63"/>
      <c r="E1176" s="952">
        <v>250</v>
      </c>
    </row>
    <row r="1177" spans="1:5">
      <c r="A1177" s="884">
        <v>39809</v>
      </c>
      <c r="B1177" s="86" t="str">
        <f>TiposLancamentos!B56</f>
        <v>Farmácia</v>
      </c>
      <c r="C1177" s="3" t="s">
        <v>21251</v>
      </c>
      <c r="D1177" s="63"/>
      <c r="E1177" s="952">
        <v>30.61</v>
      </c>
    </row>
    <row r="1178" spans="1:5">
      <c r="A1178" s="856">
        <v>39811</v>
      </c>
      <c r="B1178" s="125" t="str">
        <f>TiposLancamentos!B31</f>
        <v>Action Figures</v>
      </c>
      <c r="C1178" s="139" t="s">
        <v>21252</v>
      </c>
      <c r="D1178" s="51"/>
      <c r="E1178" s="857">
        <v>27</v>
      </c>
    </row>
    <row r="1179" spans="1:5">
      <c r="A1179" s="856">
        <v>39811</v>
      </c>
      <c r="B1179" s="125" t="str">
        <f>TiposLancamentos!B97</f>
        <v>Deposito Terc.</v>
      </c>
      <c r="C1179" s="139" t="s">
        <v>21253</v>
      </c>
      <c r="D1179" s="51">
        <v>180</v>
      </c>
      <c r="E1179" s="857"/>
    </row>
    <row r="1180" spans="1:5">
      <c r="A1180" s="856">
        <v>39811</v>
      </c>
      <c r="B1180" s="125" t="str">
        <f>TiposLancamentos!B19</f>
        <v>Restaurantes</v>
      </c>
      <c r="C1180" s="139" t="s">
        <v>21254</v>
      </c>
      <c r="D1180" s="51"/>
      <c r="E1180" s="857">
        <v>31.8</v>
      </c>
    </row>
    <row r="1181" spans="1:5">
      <c r="A1181" s="856">
        <v>39812</v>
      </c>
      <c r="B1181" s="125" t="str">
        <f>TiposLancamentos!B95</f>
        <v>Salarios</v>
      </c>
      <c r="C1181" s="139" t="s">
        <v>4938</v>
      </c>
      <c r="D1181" s="51">
        <v>6554.69</v>
      </c>
      <c r="E1181" s="857"/>
    </row>
    <row r="1182" spans="1:5">
      <c r="A1182" s="856">
        <v>39812</v>
      </c>
      <c r="B1182" s="125" t="str">
        <f>TiposLancamentos!B95</f>
        <v>Salarios</v>
      </c>
      <c r="C1182" s="126" t="s">
        <v>4939</v>
      </c>
      <c r="D1182" s="51">
        <v>3221.17</v>
      </c>
      <c r="E1182" s="857"/>
    </row>
    <row r="1183" spans="1:5">
      <c r="A1183" s="856">
        <v>39812</v>
      </c>
      <c r="B1183" s="125" t="str">
        <f>TiposLancamentos!B19</f>
        <v>Restaurantes</v>
      </c>
      <c r="C1183" s="139" t="s">
        <v>3287</v>
      </c>
      <c r="D1183" s="51"/>
      <c r="E1183" s="857">
        <v>27.59</v>
      </c>
    </row>
    <row r="1184" spans="1:5">
      <c r="A1184" s="856">
        <v>39812</v>
      </c>
      <c r="B1184" s="125" t="str">
        <f>TiposLancamentos!B19</f>
        <v>Restaurantes</v>
      </c>
      <c r="C1184" s="139" t="s">
        <v>21255</v>
      </c>
      <c r="D1184" s="51"/>
      <c r="E1184" s="857">
        <v>7.07</v>
      </c>
    </row>
    <row r="1185" spans="1:5">
      <c r="A1185" s="856">
        <v>39812</v>
      </c>
      <c r="B1185" s="125" t="str">
        <f>TiposLancamentos!B105</f>
        <v>Transf. Bco</v>
      </c>
      <c r="C1185" s="139" t="s">
        <v>21256</v>
      </c>
      <c r="D1185" s="51"/>
      <c r="E1185" s="857">
        <v>1150</v>
      </c>
    </row>
    <row r="1186" spans="1:5">
      <c r="A1186" s="856">
        <v>39813</v>
      </c>
      <c r="B1186" s="125" t="str">
        <f>TiposLancamentos!B19</f>
        <v>Restaurantes</v>
      </c>
      <c r="C1186" s="139" t="s">
        <v>3550</v>
      </c>
      <c r="D1186" s="51"/>
      <c r="E1186" s="857">
        <v>3.6</v>
      </c>
    </row>
    <row r="1187" spans="1:5">
      <c r="A1187" s="856">
        <v>39813</v>
      </c>
      <c r="B1187" s="125" t="str">
        <f>TiposLancamentos!B5</f>
        <v>Supermercado</v>
      </c>
      <c r="C1187" s="139" t="s">
        <v>5000</v>
      </c>
      <c r="D1187" s="51"/>
      <c r="E1187" s="857">
        <v>92.46</v>
      </c>
    </row>
    <row r="1188" spans="1:5">
      <c r="A1188" s="961">
        <v>39813</v>
      </c>
      <c r="B1188" s="817" t="str">
        <f>TiposLancamentos!B13</f>
        <v>Moradia</v>
      </c>
      <c r="C1188" s="962" t="s">
        <v>21257</v>
      </c>
      <c r="D1188" s="809"/>
      <c r="E1188" s="965">
        <v>44.9</v>
      </c>
    </row>
    <row r="1189" spans="1:5">
      <c r="A1189" s="963">
        <v>39813</v>
      </c>
      <c r="B1189" s="818" t="str">
        <f>TiposLancamentos!B57</f>
        <v>Informática</v>
      </c>
      <c r="C1189" s="964" t="s">
        <v>21258</v>
      </c>
      <c r="D1189" s="813"/>
      <c r="E1189" s="966">
        <v>99.99</v>
      </c>
    </row>
    <row r="1190" spans="1:5">
      <c r="A1190" s="856">
        <v>39813</v>
      </c>
      <c r="B1190" s="125" t="str">
        <f>TiposLancamentos!B19</f>
        <v>Restaurantes</v>
      </c>
      <c r="C1190" s="139" t="s">
        <v>6493</v>
      </c>
      <c r="D1190" s="51"/>
      <c r="E1190" s="857">
        <v>26.5</v>
      </c>
    </row>
    <row r="1191" spans="1:5">
      <c r="A1191" s="856">
        <v>39813</v>
      </c>
      <c r="B1191" s="125" t="str">
        <f>TiposLancamentos!B5</f>
        <v>Supermercado</v>
      </c>
      <c r="C1191" s="139" t="s">
        <v>20768</v>
      </c>
      <c r="D1191" s="51"/>
      <c r="E1191" s="857">
        <v>55.25</v>
      </c>
    </row>
    <row r="1192" spans="1:5">
      <c r="A1192" s="856">
        <v>39813</v>
      </c>
      <c r="B1192" s="125" t="str">
        <f>TiposLancamentos!B90</f>
        <v>Locadora</v>
      </c>
      <c r="C1192" s="139" t="s">
        <v>21259</v>
      </c>
      <c r="D1192" s="51"/>
      <c r="E1192" s="857">
        <v>34.99</v>
      </c>
    </row>
    <row r="1193" spans="1:5" ht="14.25" thickBot="1">
      <c r="A1193" s="856">
        <v>39813</v>
      </c>
      <c r="B1193" s="125" t="str">
        <f>TiposLancamentos!B4</f>
        <v>Taxas Bancarias</v>
      </c>
      <c r="C1193" s="139" t="s">
        <v>20667</v>
      </c>
      <c r="D1193" s="51"/>
      <c r="E1193" s="857">
        <v>90.12</v>
      </c>
    </row>
    <row r="1194" spans="1:5" ht="14.25" thickBot="1">
      <c r="A1194" s="998"/>
      <c r="B1194" s="989"/>
      <c r="C1194" s="990" t="s">
        <v>3709</v>
      </c>
      <c r="D1194" s="991"/>
      <c r="E1194" s="999"/>
    </row>
    <row r="1195" spans="1:5">
      <c r="A1195" s="856">
        <v>39815</v>
      </c>
      <c r="B1195" s="125" t="str">
        <f>TiposLancamentos!B45</f>
        <v>Online Services</v>
      </c>
      <c r="C1195" s="139" t="s">
        <v>15207</v>
      </c>
      <c r="D1195" s="51"/>
      <c r="E1195" s="857">
        <v>9.9</v>
      </c>
    </row>
    <row r="1196" spans="1:5">
      <c r="A1196" s="856">
        <v>39815</v>
      </c>
      <c r="B1196" s="125" t="str">
        <f>TiposLancamentos!B15</f>
        <v>Cartões de Crédito</v>
      </c>
      <c r="C1196" s="139" t="s">
        <v>5557</v>
      </c>
      <c r="D1196" s="51"/>
      <c r="E1196" s="857">
        <v>1927.51</v>
      </c>
    </row>
    <row r="1197" spans="1:5">
      <c r="A1197" s="856">
        <v>39815</v>
      </c>
      <c r="B1197" s="125" t="str">
        <f>TiposLancamentos!B15</f>
        <v>Cartões de Crédito</v>
      </c>
      <c r="C1197" s="139" t="s">
        <v>5700</v>
      </c>
      <c r="D1197" s="51"/>
      <c r="E1197" s="857">
        <v>274.75</v>
      </c>
    </row>
    <row r="1198" spans="1:5">
      <c r="A1198" s="856">
        <v>39815</v>
      </c>
      <c r="B1198" s="125" t="str">
        <f>TiposLancamentos!B2</f>
        <v>Telefonia</v>
      </c>
      <c r="C1198" s="139" t="s">
        <v>5080</v>
      </c>
      <c r="D1198" s="51"/>
      <c r="E1198" s="857">
        <v>170.47</v>
      </c>
    </row>
    <row r="1199" spans="1:5">
      <c r="A1199" s="856">
        <v>39815</v>
      </c>
      <c r="B1199" s="125" t="str">
        <f>TiposLancamentos!B3</f>
        <v>Internet</v>
      </c>
      <c r="C1199" s="139" t="s">
        <v>4987</v>
      </c>
      <c r="D1199" s="51"/>
      <c r="E1199" s="857">
        <v>89.9</v>
      </c>
    </row>
    <row r="1200" spans="1:5">
      <c r="A1200" s="856">
        <v>39815</v>
      </c>
      <c r="B1200" s="125" t="str">
        <f>TiposLancamentos!B15</f>
        <v>Cartões de Crédito</v>
      </c>
      <c r="C1200" s="139" t="s">
        <v>5558</v>
      </c>
      <c r="D1200" s="51"/>
      <c r="E1200" s="857">
        <v>485.43</v>
      </c>
    </row>
    <row r="1201" spans="1:5">
      <c r="A1201" s="856">
        <v>39815</v>
      </c>
      <c r="B1201" s="125" t="str">
        <f>TiposLancamentos!B6</f>
        <v>Energia Eletrica</v>
      </c>
      <c r="C1201" s="139" t="s">
        <v>21260</v>
      </c>
      <c r="D1201" s="51"/>
      <c r="E1201" s="857">
        <v>116.69</v>
      </c>
    </row>
    <row r="1202" spans="1:5">
      <c r="A1202" s="856">
        <v>39815</v>
      </c>
      <c r="B1202" s="125" t="str">
        <f>TiposLancamentos!B22</f>
        <v>Combustivel</v>
      </c>
      <c r="C1202" s="139" t="s">
        <v>3381</v>
      </c>
      <c r="D1202" s="51"/>
      <c r="E1202" s="857">
        <v>40</v>
      </c>
    </row>
    <row r="1203" spans="1:5">
      <c r="A1203" s="856">
        <v>39815</v>
      </c>
      <c r="B1203" s="125" t="str">
        <f>TiposLancamentos!B19</f>
        <v>Restaurantes</v>
      </c>
      <c r="C1203" s="139" t="s">
        <v>21254</v>
      </c>
      <c r="D1203" s="51"/>
      <c r="E1203" s="857">
        <v>31.8</v>
      </c>
    </row>
    <row r="1204" spans="1:5">
      <c r="A1204" s="856">
        <v>39815</v>
      </c>
      <c r="B1204" s="125" t="str">
        <f>TiposLancamentos!B18</f>
        <v>Alimentacao</v>
      </c>
      <c r="C1204" s="139" t="s">
        <v>3622</v>
      </c>
      <c r="D1204" s="51"/>
      <c r="E1204" s="857">
        <v>12.1</v>
      </c>
    </row>
    <row r="1205" spans="1:5">
      <c r="A1205" s="856">
        <v>39815</v>
      </c>
      <c r="B1205" s="125" t="str">
        <f>TiposLancamentos!B17</f>
        <v>GATO</v>
      </c>
      <c r="C1205" s="139" t="s">
        <v>21261</v>
      </c>
      <c r="D1205" s="51"/>
      <c r="E1205" s="857">
        <v>14.56</v>
      </c>
    </row>
    <row r="1206" spans="1:5">
      <c r="A1206" s="856">
        <v>39815</v>
      </c>
      <c r="B1206" s="125" t="str">
        <f>TiposLancamentos!B4</f>
        <v>Taxas Bancarias</v>
      </c>
      <c r="C1206" s="139" t="s">
        <v>21221</v>
      </c>
      <c r="D1206" s="51"/>
      <c r="E1206" s="857">
        <v>19.09</v>
      </c>
    </row>
    <row r="1207" spans="1:5">
      <c r="A1207" s="856">
        <v>39816</v>
      </c>
      <c r="B1207" s="125" t="str">
        <f>TiposLancamentos!B20</f>
        <v>Saques</v>
      </c>
      <c r="C1207" s="139" t="s">
        <v>3403</v>
      </c>
      <c r="D1207" s="51"/>
      <c r="E1207" s="857">
        <v>40</v>
      </c>
    </row>
    <row r="1208" spans="1:5">
      <c r="A1208" s="856">
        <v>39816</v>
      </c>
      <c r="B1208" s="125" t="str">
        <f>TiposLancamentos!B19</f>
        <v>Restaurantes</v>
      </c>
      <c r="C1208" s="139" t="s">
        <v>21262</v>
      </c>
      <c r="D1208" s="51"/>
      <c r="E1208" s="857">
        <v>37.799999999999997</v>
      </c>
    </row>
    <row r="1209" spans="1:5">
      <c r="A1209" s="856">
        <v>39817</v>
      </c>
      <c r="B1209" s="125" t="str">
        <f>TiposLancamentos!B5</f>
        <v>Supermercado</v>
      </c>
      <c r="C1209" s="139" t="s">
        <v>21263</v>
      </c>
      <c r="D1209" s="51"/>
      <c r="E1209" s="857">
        <v>62.65</v>
      </c>
    </row>
    <row r="1210" spans="1:5">
      <c r="A1210" s="856">
        <v>39818</v>
      </c>
      <c r="B1210" s="125" t="str">
        <f>TiposLancamentos!B19</f>
        <v>Restaurantes</v>
      </c>
      <c r="C1210" s="139" t="s">
        <v>21264</v>
      </c>
      <c r="D1210" s="51"/>
      <c r="E1210" s="857">
        <v>12.93</v>
      </c>
    </row>
    <row r="1211" spans="1:5">
      <c r="A1211" s="856">
        <v>39818</v>
      </c>
      <c r="B1211" s="125" t="str">
        <f>TiposLancamentos!B19</f>
        <v>Restaurantes</v>
      </c>
      <c r="C1211" s="139" t="s">
        <v>21265</v>
      </c>
      <c r="D1211" s="51"/>
      <c r="E1211" s="857">
        <v>6</v>
      </c>
    </row>
    <row r="1212" spans="1:5">
      <c r="A1212" s="856">
        <v>39818</v>
      </c>
      <c r="B1212" s="125" t="str">
        <f>TiposLancamentos!B20</f>
        <v>Saques</v>
      </c>
      <c r="C1212" s="139" t="s">
        <v>2850</v>
      </c>
      <c r="D1212" s="51"/>
      <c r="E1212" s="857">
        <v>10</v>
      </c>
    </row>
    <row r="1213" spans="1:5">
      <c r="A1213" s="856">
        <v>39818</v>
      </c>
      <c r="B1213" s="125" t="str">
        <f>TiposLancamentos!B9</f>
        <v>Condominio</v>
      </c>
      <c r="C1213" s="139" t="s">
        <v>1684</v>
      </c>
      <c r="D1213" s="51"/>
      <c r="E1213" s="857">
        <v>707.56</v>
      </c>
    </row>
    <row r="1214" spans="1:5">
      <c r="A1214" s="856">
        <v>39818</v>
      </c>
      <c r="B1214" s="125" t="str">
        <f>TiposLancamentos!B16</f>
        <v>Cristiane</v>
      </c>
      <c r="C1214" s="139" t="s">
        <v>21266</v>
      </c>
      <c r="D1214" s="51"/>
      <c r="E1214" s="857">
        <v>39.9</v>
      </c>
    </row>
    <row r="1215" spans="1:5">
      <c r="A1215" s="856">
        <v>39818</v>
      </c>
      <c r="B1215" s="125" t="str">
        <f>TiposLancamentos!B70</f>
        <v>Vestuário</v>
      </c>
      <c r="C1215" s="139" t="s">
        <v>18352</v>
      </c>
      <c r="D1215" s="51"/>
      <c r="E1215" s="857">
        <v>37.76</v>
      </c>
    </row>
    <row r="1216" spans="1:5">
      <c r="A1216" s="856">
        <v>39818</v>
      </c>
      <c r="B1216" s="125" t="str">
        <f>TiposLancamentos!B16</f>
        <v>Cristiane</v>
      </c>
      <c r="C1216" s="139" t="s">
        <v>21267</v>
      </c>
      <c r="D1216" s="51"/>
      <c r="E1216" s="857">
        <v>149.69999999999999</v>
      </c>
    </row>
    <row r="1217" spans="1:5">
      <c r="A1217" s="856">
        <v>39819</v>
      </c>
      <c r="B1217" s="125" t="str">
        <f>TiposLancamentos!B19</f>
        <v>Restaurantes</v>
      </c>
      <c r="C1217" s="139" t="s">
        <v>21268</v>
      </c>
      <c r="D1217" s="51"/>
      <c r="E1217" s="857">
        <v>8</v>
      </c>
    </row>
    <row r="1218" spans="1:5">
      <c r="A1218" s="856">
        <v>39820</v>
      </c>
      <c r="B1218" s="125" t="str">
        <f>TiposLancamentos!B85</f>
        <v>Peugeout 206</v>
      </c>
      <c r="C1218" s="139" t="s">
        <v>21269</v>
      </c>
      <c r="D1218" s="51"/>
      <c r="E1218" s="857">
        <v>873.73</v>
      </c>
    </row>
    <row r="1219" spans="1:5">
      <c r="A1219" s="856">
        <v>39820</v>
      </c>
      <c r="B1219" s="125" t="str">
        <f>TiposLancamentos!B85</f>
        <v>Peugeout 206</v>
      </c>
      <c r="C1219" s="139" t="s">
        <v>21270</v>
      </c>
      <c r="D1219" s="51"/>
      <c r="E1219" s="857">
        <v>158.76</v>
      </c>
    </row>
    <row r="1220" spans="1:5">
      <c r="A1220" s="856">
        <v>39822</v>
      </c>
      <c r="B1220" s="125" t="str">
        <f>TiposLancamentos!B19</f>
        <v>Restaurantes</v>
      </c>
      <c r="C1220" s="139" t="s">
        <v>3719</v>
      </c>
      <c r="D1220" s="51"/>
      <c r="E1220" s="857">
        <v>11</v>
      </c>
    </row>
    <row r="1221" spans="1:5">
      <c r="A1221" s="856">
        <v>39821</v>
      </c>
      <c r="B1221" s="125" t="str">
        <f>TiposLancamentos!B19</f>
        <v>Restaurantes</v>
      </c>
      <c r="C1221" s="139" t="s">
        <v>3719</v>
      </c>
      <c r="D1221" s="51"/>
      <c r="E1221" s="857">
        <v>11</v>
      </c>
    </row>
    <row r="1222" spans="1:5">
      <c r="A1222" s="856">
        <v>39821</v>
      </c>
      <c r="B1222" s="125" t="str">
        <f>TiposLancamentos!B20</f>
        <v>Saques</v>
      </c>
      <c r="C1222" s="139" t="s">
        <v>21271</v>
      </c>
      <c r="D1222" s="51"/>
      <c r="E1222" s="857">
        <v>40</v>
      </c>
    </row>
    <row r="1223" spans="1:5">
      <c r="A1223" s="856">
        <v>39822</v>
      </c>
      <c r="B1223" s="125" t="str">
        <f>TiposLancamentos!B31</f>
        <v>Action Figures</v>
      </c>
      <c r="C1223" s="139" t="s">
        <v>21272</v>
      </c>
      <c r="D1223" s="51"/>
      <c r="E1223" s="857">
        <v>165</v>
      </c>
    </row>
    <row r="1224" spans="1:5">
      <c r="A1224" s="856">
        <v>39822</v>
      </c>
      <c r="B1224" s="125" t="str">
        <f>TiposLancamentos!B19</f>
        <v>Restaurantes</v>
      </c>
      <c r="C1224" s="139" t="s">
        <v>20902</v>
      </c>
      <c r="D1224" s="51"/>
      <c r="E1224" s="857">
        <v>12.34</v>
      </c>
    </row>
    <row r="1225" spans="1:5">
      <c r="A1225" s="856">
        <v>39822</v>
      </c>
      <c r="B1225" s="125" t="str">
        <f>TiposLancamentos!B17</f>
        <v>GATO</v>
      </c>
      <c r="C1225" s="139" t="s">
        <v>21273</v>
      </c>
      <c r="D1225" s="51"/>
      <c r="E1225" s="857">
        <v>14.56</v>
      </c>
    </row>
    <row r="1226" spans="1:5">
      <c r="A1226" s="856">
        <v>39823</v>
      </c>
      <c r="B1226" s="125" t="str">
        <f>TiposLancamentos!B17</f>
        <v>GATO</v>
      </c>
      <c r="C1226" s="139" t="s">
        <v>21274</v>
      </c>
      <c r="D1226" s="51"/>
      <c r="E1226" s="857">
        <v>169.6</v>
      </c>
    </row>
    <row r="1227" spans="1:5">
      <c r="A1227" s="856">
        <v>39823</v>
      </c>
      <c r="B1227" s="125" t="str">
        <f>TiposLancamentos!B19</f>
        <v>Restaurantes</v>
      </c>
      <c r="C1227" s="139" t="s">
        <v>3698</v>
      </c>
      <c r="D1227" s="51"/>
      <c r="E1227" s="857">
        <v>29.45</v>
      </c>
    </row>
    <row r="1228" spans="1:5">
      <c r="A1228" s="856">
        <v>39824</v>
      </c>
      <c r="B1228" s="125" t="str">
        <f>TiposLancamentos!B22</f>
        <v>Combustivel</v>
      </c>
      <c r="C1228" s="139" t="s">
        <v>21275</v>
      </c>
      <c r="D1228" s="51"/>
      <c r="E1228" s="857">
        <v>50</v>
      </c>
    </row>
    <row r="1229" spans="1:5">
      <c r="A1229" s="856">
        <v>39824</v>
      </c>
      <c r="B1229" s="125" t="str">
        <f>TiposLancamentos!B20</f>
        <v>Saques</v>
      </c>
      <c r="C1229" s="139" t="s">
        <v>2668</v>
      </c>
      <c r="D1229" s="51"/>
      <c r="E1229" s="857">
        <v>70</v>
      </c>
    </row>
    <row r="1230" spans="1:5">
      <c r="A1230" s="856">
        <v>39824</v>
      </c>
      <c r="B1230" s="125" t="str">
        <f>TiposLancamentos!B19</f>
        <v>Restaurantes</v>
      </c>
      <c r="C1230" s="139" t="s">
        <v>21276</v>
      </c>
      <c r="D1230" s="51"/>
      <c r="E1230" s="857">
        <v>68.8</v>
      </c>
    </row>
    <row r="1231" spans="1:5">
      <c r="A1231" s="856">
        <v>39825</v>
      </c>
      <c r="B1231" s="125" t="str">
        <f>TiposLancamentos!B8</f>
        <v>Aluguel</v>
      </c>
      <c r="C1231" s="139" t="s">
        <v>2504</v>
      </c>
      <c r="D1231" s="51"/>
      <c r="E1231" s="857">
        <v>1029.1199999999999</v>
      </c>
    </row>
    <row r="1232" spans="1:5">
      <c r="A1232" s="856">
        <v>39825</v>
      </c>
      <c r="B1232" s="125" t="str">
        <f>TiposLancamentos!B35</f>
        <v>Tv à Cabo</v>
      </c>
      <c r="C1232" s="139" t="s">
        <v>20911</v>
      </c>
      <c r="D1232" s="51"/>
      <c r="E1232" s="857">
        <v>168.8</v>
      </c>
    </row>
    <row r="1233" spans="1:5">
      <c r="A1233" s="856">
        <v>39825</v>
      </c>
      <c r="B1233" s="125" t="str">
        <f>TiposLancamentos!B5</f>
        <v>Supermercado</v>
      </c>
      <c r="C1233" s="139" t="s">
        <v>21277</v>
      </c>
      <c r="D1233" s="51"/>
      <c r="E1233" s="857">
        <v>151.19</v>
      </c>
    </row>
    <row r="1234" spans="1:5">
      <c r="A1234" s="856">
        <v>39825</v>
      </c>
      <c r="B1234" s="125" t="str">
        <f>TiposLancamentos!B97</f>
        <v>Deposito Terc.</v>
      </c>
      <c r="C1234" s="139" t="s">
        <v>21278</v>
      </c>
      <c r="D1234" s="51">
        <v>110</v>
      </c>
      <c r="E1234" s="857"/>
    </row>
    <row r="1235" spans="1:5">
      <c r="A1235" s="856">
        <v>39826</v>
      </c>
      <c r="B1235" s="125" t="str">
        <f>TiposLancamentos!B19</f>
        <v>Restaurantes</v>
      </c>
      <c r="C1235" s="139" t="s">
        <v>3719</v>
      </c>
      <c r="D1235" s="51"/>
      <c r="E1235" s="857">
        <v>12.9</v>
      </c>
    </row>
    <row r="1236" spans="1:5">
      <c r="A1236" s="856">
        <v>39827</v>
      </c>
      <c r="B1236" s="125" t="str">
        <f>TiposLancamentos!B19</f>
        <v>Restaurantes</v>
      </c>
      <c r="C1236" s="139" t="s">
        <v>21279</v>
      </c>
      <c r="D1236" s="51"/>
      <c r="E1236" s="857">
        <v>19.8</v>
      </c>
    </row>
    <row r="1237" spans="1:5">
      <c r="A1237" s="856">
        <v>39827</v>
      </c>
      <c r="B1237" s="125" t="str">
        <f>TiposLancamentos!B19</f>
        <v>Restaurantes</v>
      </c>
      <c r="C1237" s="139" t="s">
        <v>21280</v>
      </c>
      <c r="D1237" s="51"/>
      <c r="E1237" s="857">
        <v>13.5</v>
      </c>
    </row>
    <row r="1238" spans="1:5">
      <c r="A1238" s="856">
        <v>39827</v>
      </c>
      <c r="B1238" s="125" t="str">
        <f>TiposLancamentos!B31</f>
        <v>Action Figures</v>
      </c>
      <c r="C1238" s="139" t="s">
        <v>21281</v>
      </c>
      <c r="D1238" s="51"/>
      <c r="E1238" s="857">
        <v>85</v>
      </c>
    </row>
    <row r="1239" spans="1:5">
      <c r="A1239" s="856">
        <v>39828</v>
      </c>
      <c r="B1239" s="125" t="str">
        <f>TiposLancamentos!B24</f>
        <v>Estacionamentos</v>
      </c>
      <c r="C1239" s="139" t="s">
        <v>5392</v>
      </c>
      <c r="D1239" s="51"/>
      <c r="E1239" s="857">
        <v>46.04</v>
      </c>
    </row>
    <row r="1240" spans="1:5">
      <c r="A1240" s="856">
        <v>39828</v>
      </c>
      <c r="B1240" s="125" t="str">
        <f>TiposLancamentos!B95</f>
        <v>Salarios</v>
      </c>
      <c r="C1240" s="139" t="s">
        <v>4916</v>
      </c>
      <c r="D1240" s="51">
        <v>1747.9</v>
      </c>
      <c r="E1240" s="857"/>
    </row>
    <row r="1241" spans="1:5">
      <c r="A1241" s="856">
        <v>39828</v>
      </c>
      <c r="B1241" s="125" t="str">
        <f>TiposLancamentos!B19</f>
        <v>Restaurantes</v>
      </c>
      <c r="C1241" s="139" t="s">
        <v>21282</v>
      </c>
      <c r="D1241" s="51"/>
      <c r="E1241" s="857">
        <v>7</v>
      </c>
    </row>
    <row r="1242" spans="1:5">
      <c r="A1242" s="856">
        <v>39828</v>
      </c>
      <c r="B1242" s="125" t="str">
        <f>TiposLancamentos!B19</f>
        <v>Restaurantes</v>
      </c>
      <c r="C1242" s="139" t="s">
        <v>3755</v>
      </c>
      <c r="D1242" s="51"/>
      <c r="E1242" s="857">
        <v>14.78</v>
      </c>
    </row>
    <row r="1243" spans="1:5">
      <c r="A1243" s="856">
        <v>39829</v>
      </c>
      <c r="B1243" s="125" t="str">
        <f>TiposLancamentos!B19</f>
        <v>Restaurantes</v>
      </c>
      <c r="C1243" s="139" t="s">
        <v>3287</v>
      </c>
      <c r="D1243" s="51"/>
      <c r="E1243" s="857">
        <v>32.96</v>
      </c>
    </row>
    <row r="1244" spans="1:5">
      <c r="A1244" s="856">
        <v>39829</v>
      </c>
      <c r="B1244" s="125" t="str">
        <f>TiposLancamentos!B19</f>
        <v>Restaurantes</v>
      </c>
      <c r="C1244" s="139" t="s">
        <v>3618</v>
      </c>
      <c r="D1244" s="51"/>
      <c r="E1244" s="857">
        <v>27.5</v>
      </c>
    </row>
    <row r="1245" spans="1:5">
      <c r="A1245" s="856">
        <v>39830</v>
      </c>
      <c r="B1245" s="125" t="str">
        <f>TiposLancamentos!B20</f>
        <v>Saques</v>
      </c>
      <c r="C1245" s="139" t="s">
        <v>5874</v>
      </c>
      <c r="D1245" s="51"/>
      <c r="E1245" s="857">
        <v>100</v>
      </c>
    </row>
    <row r="1246" spans="1:5">
      <c r="A1246" s="856">
        <v>39830</v>
      </c>
      <c r="B1246" s="125" t="str">
        <f>TiposLancamentos!B19</f>
        <v>Restaurantes</v>
      </c>
      <c r="C1246" s="139" t="s">
        <v>21283</v>
      </c>
      <c r="D1246" s="51"/>
      <c r="E1246" s="857">
        <v>18.399999999999999</v>
      </c>
    </row>
    <row r="1247" spans="1:5">
      <c r="A1247" s="856">
        <v>39830</v>
      </c>
      <c r="B1247" s="125" t="str">
        <f>TiposLancamentos!B5</f>
        <v>Supermercado</v>
      </c>
      <c r="C1247" s="139" t="s">
        <v>21284</v>
      </c>
      <c r="D1247" s="51"/>
      <c r="E1247" s="857">
        <v>33.33</v>
      </c>
    </row>
    <row r="1248" spans="1:5">
      <c r="A1248" s="856">
        <v>39831</v>
      </c>
      <c r="B1248" s="125" t="str">
        <f>TiposLancamentos!B22</f>
        <v>Combustivel</v>
      </c>
      <c r="C1248" s="139" t="s">
        <v>21285</v>
      </c>
      <c r="D1248" s="51"/>
      <c r="E1248" s="857">
        <v>50</v>
      </c>
    </row>
    <row r="1249" spans="1:5">
      <c r="A1249" s="856">
        <v>39831</v>
      </c>
      <c r="B1249" s="125" t="str">
        <f>TiposLancamentos!B19</f>
        <v>Restaurantes</v>
      </c>
      <c r="C1249" s="139" t="s">
        <v>21286</v>
      </c>
      <c r="D1249" s="51"/>
      <c r="E1249" s="857">
        <v>6.75</v>
      </c>
    </row>
    <row r="1250" spans="1:5">
      <c r="A1250" s="856">
        <v>39832</v>
      </c>
      <c r="B1250" s="125" t="str">
        <f>TiposLancamentos!B19</f>
        <v>Restaurantes</v>
      </c>
      <c r="C1250" s="139" t="s">
        <v>21287</v>
      </c>
      <c r="D1250" s="51"/>
      <c r="E1250" s="857">
        <v>32.549999999999997</v>
      </c>
    </row>
    <row r="1251" spans="1:5">
      <c r="A1251" s="856">
        <v>39837</v>
      </c>
      <c r="B1251" s="125" t="str">
        <f>TiposLancamentos!B71</f>
        <v>Itens Pessoais</v>
      </c>
      <c r="C1251" s="139" t="s">
        <v>5611</v>
      </c>
      <c r="D1251" s="51"/>
      <c r="E1251" s="857">
        <v>15</v>
      </c>
    </row>
    <row r="1252" spans="1:5">
      <c r="A1252" s="856">
        <v>39837</v>
      </c>
      <c r="B1252" s="125" t="str">
        <f>TiposLancamentos!B20</f>
        <v>Saques</v>
      </c>
      <c r="C1252" s="139" t="s">
        <v>21288</v>
      </c>
      <c r="D1252" s="51"/>
      <c r="E1252" s="857">
        <v>20</v>
      </c>
    </row>
    <row r="1253" spans="1:5">
      <c r="A1253" s="856">
        <v>39837</v>
      </c>
      <c r="B1253" s="125" t="str">
        <f>TiposLancamentos!B27</f>
        <v>Jornais e revistas</v>
      </c>
      <c r="C1253" s="139" t="s">
        <v>21289</v>
      </c>
      <c r="D1253" s="51"/>
      <c r="E1253" s="857">
        <v>28.9</v>
      </c>
    </row>
    <row r="1254" spans="1:5">
      <c r="A1254" s="856">
        <v>39837</v>
      </c>
      <c r="B1254" s="125" t="str">
        <f>TiposLancamentos!B5</f>
        <v>Supermercado</v>
      </c>
      <c r="C1254" s="139" t="s">
        <v>3210</v>
      </c>
      <c r="D1254" s="51"/>
      <c r="E1254" s="857">
        <v>56.9</v>
      </c>
    </row>
    <row r="1255" spans="1:5">
      <c r="A1255" s="856">
        <v>39838</v>
      </c>
      <c r="B1255" s="125" t="str">
        <f>TiposLancamentos!B71</f>
        <v>Itens Pessoais</v>
      </c>
      <c r="C1255" s="139" t="s">
        <v>21290</v>
      </c>
      <c r="D1255" s="51"/>
      <c r="E1255" s="857">
        <v>100</v>
      </c>
    </row>
    <row r="1256" spans="1:5">
      <c r="A1256" s="856">
        <v>39840</v>
      </c>
      <c r="B1256" s="125" t="str">
        <f>TiposLancamentos!B57</f>
        <v>Informática</v>
      </c>
      <c r="C1256" s="139" t="s">
        <v>21291</v>
      </c>
      <c r="D1256" s="51"/>
      <c r="E1256" s="857">
        <v>79</v>
      </c>
    </row>
    <row r="1257" spans="1:5">
      <c r="A1257" s="856">
        <v>39840</v>
      </c>
      <c r="B1257" s="125" t="str">
        <f>TiposLancamentos!B57</f>
        <v>Informática</v>
      </c>
      <c r="C1257" s="139" t="s">
        <v>21292</v>
      </c>
      <c r="D1257" s="51"/>
      <c r="E1257" s="857">
        <v>79</v>
      </c>
    </row>
    <row r="1258" spans="1:5">
      <c r="A1258" s="856">
        <v>39840</v>
      </c>
      <c r="B1258" s="125" t="str">
        <f>TiposLancamentos!B19</f>
        <v>Restaurantes</v>
      </c>
      <c r="C1258" s="139" t="s">
        <v>21293</v>
      </c>
      <c r="D1258" s="51"/>
      <c r="E1258" s="857">
        <v>11.4</v>
      </c>
    </row>
    <row r="1259" spans="1:5">
      <c r="A1259" s="856">
        <v>39840</v>
      </c>
      <c r="B1259" s="125" t="str">
        <f>TiposLancamentos!B19</f>
        <v>Restaurantes</v>
      </c>
      <c r="C1259" s="139" t="s">
        <v>3717</v>
      </c>
      <c r="D1259" s="51"/>
      <c r="E1259" s="857">
        <v>4.3</v>
      </c>
    </row>
    <row r="1260" spans="1:5">
      <c r="A1260" s="856">
        <v>39841</v>
      </c>
      <c r="B1260" s="125" t="str">
        <f>TiposLancamentos!B18</f>
        <v>Alimentacao</v>
      </c>
      <c r="C1260" s="139" t="s">
        <v>21294</v>
      </c>
      <c r="D1260" s="51"/>
      <c r="E1260" s="857">
        <v>8.6</v>
      </c>
    </row>
    <row r="1261" spans="1:5">
      <c r="A1261" s="856">
        <v>39841</v>
      </c>
      <c r="B1261" s="125" t="str">
        <f>TiposLancamentos!B19</f>
        <v>Restaurantes</v>
      </c>
      <c r="C1261" s="139" t="s">
        <v>21295</v>
      </c>
      <c r="D1261" s="51"/>
      <c r="E1261" s="857">
        <v>9.86</v>
      </c>
    </row>
    <row r="1262" spans="1:5">
      <c r="A1262" s="856">
        <v>39841</v>
      </c>
      <c r="B1262" s="125" t="str">
        <f>TiposLancamentos!B5</f>
        <v>Supermercado</v>
      </c>
      <c r="C1262" s="139" t="s">
        <v>17167</v>
      </c>
      <c r="D1262" s="51"/>
      <c r="E1262" s="857">
        <v>23.49</v>
      </c>
    </row>
    <row r="1263" spans="1:5">
      <c r="A1263" s="856">
        <v>39841</v>
      </c>
      <c r="B1263" s="125" t="str">
        <f>TiposLancamentos!B73</f>
        <v>Cursos</v>
      </c>
      <c r="C1263" s="139" t="s">
        <v>21296</v>
      </c>
      <c r="D1263" s="51"/>
      <c r="E1263" s="857">
        <v>82.5</v>
      </c>
    </row>
    <row r="1264" spans="1:5">
      <c r="A1264" s="856">
        <v>39842</v>
      </c>
      <c r="B1264" s="125" t="str">
        <f>TiposLancamentos!B22</f>
        <v>Combustivel</v>
      </c>
      <c r="C1264" s="139" t="s">
        <v>3381</v>
      </c>
      <c r="D1264" s="51"/>
      <c r="E1264" s="857">
        <v>50</v>
      </c>
    </row>
    <row r="1265" spans="1:5">
      <c r="A1265" s="856">
        <v>39842</v>
      </c>
      <c r="B1265" s="125" t="str">
        <f>TiposLancamentos!B18</f>
        <v>Alimentacao</v>
      </c>
      <c r="C1265" s="139" t="s">
        <v>21297</v>
      </c>
      <c r="D1265" s="51"/>
      <c r="E1265" s="857">
        <v>11.6</v>
      </c>
    </row>
    <row r="1266" spans="1:5">
      <c r="A1266" s="856">
        <v>39842</v>
      </c>
      <c r="B1266" s="125" t="str">
        <f>TiposLancamentos!B71</f>
        <v>Itens Pessoais</v>
      </c>
      <c r="C1266" s="139" t="s">
        <v>21298</v>
      </c>
      <c r="D1266" s="51"/>
      <c r="E1266" s="857">
        <v>359</v>
      </c>
    </row>
    <row r="1267" spans="1:5">
      <c r="A1267" s="856">
        <v>39843</v>
      </c>
      <c r="B1267" s="125" t="str">
        <f>TiposLancamentos!B95</f>
        <v>Salarios</v>
      </c>
      <c r="C1267" s="126" t="s">
        <v>4939</v>
      </c>
      <c r="D1267" s="51">
        <v>6482.01</v>
      </c>
      <c r="E1267" s="857"/>
    </row>
    <row r="1268" spans="1:5">
      <c r="A1268" s="856">
        <v>39843</v>
      </c>
      <c r="B1268" s="125" t="str">
        <f>TiposLancamentos!B6</f>
        <v>Energia Eletrica</v>
      </c>
      <c r="C1268" s="139" t="s">
        <v>5191</v>
      </c>
      <c r="D1268" s="51"/>
      <c r="E1268" s="857">
        <v>123.41</v>
      </c>
    </row>
    <row r="1269" spans="1:5" ht="14.25" thickBot="1">
      <c r="A1269" s="856">
        <v>39843</v>
      </c>
      <c r="B1269" s="125" t="str">
        <f>TiposLancamentos!B105</f>
        <v>Transf. Bco</v>
      </c>
      <c r="C1269" s="139" t="s">
        <v>20771</v>
      </c>
      <c r="D1269" s="51"/>
      <c r="E1269" s="857">
        <v>1200</v>
      </c>
    </row>
    <row r="1270" spans="1:5" ht="14.25" thickBot="1">
      <c r="A1270" s="998"/>
      <c r="B1270" s="989"/>
      <c r="C1270" s="990" t="s">
        <v>3729</v>
      </c>
      <c r="D1270" s="991"/>
      <c r="E1270" s="999"/>
    </row>
    <row r="1271" spans="1:5">
      <c r="A1271" s="856">
        <v>39845</v>
      </c>
      <c r="B1271" s="125" t="str">
        <f>TiposLancamentos!B17</f>
        <v>GATO</v>
      </c>
      <c r="C1271" s="139" t="s">
        <v>21299</v>
      </c>
      <c r="D1271" s="51"/>
      <c r="E1271" s="857">
        <v>28</v>
      </c>
    </row>
    <row r="1272" spans="1:5">
      <c r="A1272" s="856">
        <v>39846</v>
      </c>
      <c r="B1272" s="125" t="str">
        <f>TiposLancamentos!B45</f>
        <v>Online Services</v>
      </c>
      <c r="C1272" s="139" t="s">
        <v>15207</v>
      </c>
      <c r="D1272" s="51"/>
      <c r="E1272" s="857">
        <v>9.9</v>
      </c>
    </row>
    <row r="1273" spans="1:5">
      <c r="A1273" s="856">
        <v>39846</v>
      </c>
      <c r="B1273" s="125" t="str">
        <f>TiposLancamentos!B15</f>
        <v>Cartões de Crédito</v>
      </c>
      <c r="C1273" s="139" t="s">
        <v>5557</v>
      </c>
      <c r="D1273" s="51"/>
      <c r="E1273" s="857">
        <v>756.05</v>
      </c>
    </row>
    <row r="1274" spans="1:5">
      <c r="A1274" s="856">
        <v>39846</v>
      </c>
      <c r="B1274" s="125" t="str">
        <f>TiposLancamentos!B15</f>
        <v>Cartões de Crédito</v>
      </c>
      <c r="C1274" s="139" t="s">
        <v>5700</v>
      </c>
      <c r="D1274" s="51"/>
      <c r="E1274" s="857">
        <v>274.75</v>
      </c>
    </row>
    <row r="1275" spans="1:5">
      <c r="A1275" s="856">
        <v>39846</v>
      </c>
      <c r="B1275" s="125" t="str">
        <f>TiposLancamentos!B15</f>
        <v>Cartões de Crédito</v>
      </c>
      <c r="C1275" s="139" t="s">
        <v>21300</v>
      </c>
      <c r="D1275" s="51"/>
      <c r="E1275" s="857">
        <v>420.56</v>
      </c>
    </row>
    <row r="1276" spans="1:5">
      <c r="A1276" s="856">
        <v>39846</v>
      </c>
      <c r="B1276" s="125" t="str">
        <f>TiposLancamentos!B15</f>
        <v>Cartões de Crédito</v>
      </c>
      <c r="C1276" s="139" t="s">
        <v>5558</v>
      </c>
      <c r="D1276" s="51"/>
      <c r="E1276" s="857">
        <v>1735.47</v>
      </c>
    </row>
    <row r="1277" spans="1:5">
      <c r="A1277" s="856">
        <v>39846</v>
      </c>
      <c r="B1277" s="125" t="str">
        <f>TiposLancamentos!B16</f>
        <v>Cristiane</v>
      </c>
      <c r="C1277" s="139" t="s">
        <v>21301</v>
      </c>
      <c r="D1277" s="51"/>
      <c r="E1277" s="857">
        <v>50</v>
      </c>
    </row>
    <row r="1278" spans="1:5">
      <c r="A1278" s="856">
        <v>39846</v>
      </c>
      <c r="B1278" s="125" t="str">
        <f>TiposLancamentos!B73</f>
        <v>Cursos</v>
      </c>
      <c r="C1278" s="139" t="s">
        <v>21302</v>
      </c>
      <c r="D1278" s="51"/>
      <c r="E1278" s="857">
        <v>110</v>
      </c>
    </row>
    <row r="1279" spans="1:5">
      <c r="A1279" s="856">
        <v>39846</v>
      </c>
      <c r="B1279" s="125" t="str">
        <f>TiposLancamentos!B4</f>
        <v>Taxas Bancarias</v>
      </c>
      <c r="C1279" s="139" t="s">
        <v>21175</v>
      </c>
      <c r="D1279" s="51"/>
      <c r="E1279" s="857">
        <v>2.12</v>
      </c>
    </row>
    <row r="1280" spans="1:5">
      <c r="A1280" s="856">
        <v>39849</v>
      </c>
      <c r="B1280" s="125" t="str">
        <f>TiposLancamentos!B9</f>
        <v>Condominio</v>
      </c>
      <c r="C1280" s="139" t="s">
        <v>1684</v>
      </c>
      <c r="D1280" s="51"/>
      <c r="E1280" s="857">
        <v>642.55999999999995</v>
      </c>
    </row>
    <row r="1281" spans="1:5">
      <c r="A1281" s="856">
        <v>39849</v>
      </c>
      <c r="B1281" s="125" t="str">
        <f>TiposLancamentos!B35</f>
        <v>Tv à Cabo</v>
      </c>
      <c r="C1281" s="139" t="s">
        <v>5662</v>
      </c>
      <c r="D1281" s="51"/>
      <c r="E1281" s="857">
        <v>168.8</v>
      </c>
    </row>
    <row r="1282" spans="1:5">
      <c r="A1282" s="856">
        <v>39849</v>
      </c>
      <c r="B1282" s="125" t="str">
        <f>TiposLancamentos!B19</f>
        <v>Restaurantes</v>
      </c>
      <c r="C1282" s="139" t="s">
        <v>3755</v>
      </c>
      <c r="D1282" s="51"/>
      <c r="E1282" s="857">
        <v>22.87</v>
      </c>
    </row>
    <row r="1283" spans="1:5">
      <c r="A1283" s="856">
        <v>39849</v>
      </c>
      <c r="B1283" s="125" t="str">
        <f>TiposLancamentos!B19</f>
        <v>Restaurantes</v>
      </c>
      <c r="C1283" s="139" t="s">
        <v>21303</v>
      </c>
      <c r="D1283" s="51"/>
      <c r="E1283" s="857">
        <v>130.9</v>
      </c>
    </row>
    <row r="1284" spans="1:5">
      <c r="A1284" s="856">
        <v>39850</v>
      </c>
      <c r="B1284" s="125" t="str">
        <f>TiposLancamentos!B19</f>
        <v>Restaurantes</v>
      </c>
      <c r="C1284" s="139" t="s">
        <v>21112</v>
      </c>
      <c r="D1284" s="51"/>
      <c r="E1284" s="857">
        <v>15.9</v>
      </c>
    </row>
    <row r="1285" spans="1:5">
      <c r="A1285" s="856">
        <v>39850</v>
      </c>
      <c r="B1285" s="125" t="str">
        <f>TiposLancamentos!B90</f>
        <v>Locadora</v>
      </c>
      <c r="C1285" s="139" t="s">
        <v>3106</v>
      </c>
      <c r="D1285" s="51"/>
      <c r="E1285" s="857">
        <v>12</v>
      </c>
    </row>
    <row r="1286" spans="1:5">
      <c r="A1286" s="856">
        <v>39850</v>
      </c>
      <c r="B1286" s="125" t="str">
        <f>TiposLancamentos!B19</f>
        <v>Restaurantes</v>
      </c>
      <c r="C1286" s="139" t="s">
        <v>21304</v>
      </c>
      <c r="D1286" s="51"/>
      <c r="E1286" s="857">
        <v>32.5</v>
      </c>
    </row>
    <row r="1287" spans="1:5">
      <c r="A1287" s="856">
        <v>39851</v>
      </c>
      <c r="B1287" s="125" t="str">
        <f>TiposLancamentos!B16</f>
        <v>Cristiane</v>
      </c>
      <c r="C1287" s="139" t="s">
        <v>21305</v>
      </c>
      <c r="D1287" s="51"/>
      <c r="E1287" s="857">
        <v>176.8</v>
      </c>
    </row>
    <row r="1288" spans="1:5">
      <c r="A1288" s="856">
        <v>39851</v>
      </c>
      <c r="B1288" s="125" t="str">
        <f>TiposLancamentos!B27</f>
        <v>Jornais e revistas</v>
      </c>
      <c r="C1288" s="139" t="s">
        <v>21306</v>
      </c>
      <c r="D1288" s="51"/>
      <c r="E1288" s="857">
        <v>58.7</v>
      </c>
    </row>
    <row r="1289" spans="1:5">
      <c r="A1289" s="856">
        <v>39851</v>
      </c>
      <c r="B1289" s="125" t="str">
        <f>TiposLancamentos!B19</f>
        <v>Restaurantes</v>
      </c>
      <c r="C1289" s="139" t="s">
        <v>21307</v>
      </c>
      <c r="D1289" s="51"/>
      <c r="E1289" s="857">
        <v>12.38</v>
      </c>
    </row>
    <row r="1290" spans="1:5">
      <c r="A1290" s="856">
        <v>39851</v>
      </c>
      <c r="B1290" s="125" t="str">
        <f>TiposLancamentos!B19</f>
        <v>Restaurantes</v>
      </c>
      <c r="C1290" s="139" t="s">
        <v>21308</v>
      </c>
      <c r="D1290" s="51"/>
      <c r="E1290" s="857">
        <v>5.8</v>
      </c>
    </row>
    <row r="1291" spans="1:5">
      <c r="A1291" s="856">
        <v>39851</v>
      </c>
      <c r="B1291" s="125" t="str">
        <f>TiposLancamentos!B57</f>
        <v>Informática</v>
      </c>
      <c r="C1291" s="139" t="s">
        <v>21309</v>
      </c>
      <c r="D1291" s="51"/>
      <c r="E1291" s="857">
        <v>66.67</v>
      </c>
    </row>
    <row r="1292" spans="1:5">
      <c r="A1292" s="856">
        <v>39851</v>
      </c>
      <c r="B1292" s="125" t="str">
        <f>TiposLancamentos!B18</f>
        <v>Alimentacao</v>
      </c>
      <c r="C1292" s="139" t="s">
        <v>21310</v>
      </c>
      <c r="D1292" s="51"/>
      <c r="E1292" s="857">
        <v>11.7</v>
      </c>
    </row>
    <row r="1293" spans="1:5">
      <c r="A1293" s="856">
        <v>39852</v>
      </c>
      <c r="B1293" s="125" t="str">
        <f>TiposLancamentos!B5</f>
        <v>Supermercado</v>
      </c>
      <c r="C1293" s="139" t="s">
        <v>5738</v>
      </c>
      <c r="D1293" s="51"/>
      <c r="E1293" s="857">
        <v>68.5</v>
      </c>
    </row>
    <row r="1294" spans="1:5">
      <c r="A1294" s="856">
        <v>39853</v>
      </c>
      <c r="B1294" s="125" t="str">
        <f>TiposLancamentos!B22</f>
        <v>Combustivel</v>
      </c>
      <c r="C1294" s="139" t="s">
        <v>3381</v>
      </c>
      <c r="D1294" s="51"/>
      <c r="E1294" s="857">
        <v>50</v>
      </c>
    </row>
    <row r="1295" spans="1:5">
      <c r="A1295" s="856">
        <v>39853</v>
      </c>
      <c r="B1295" s="125" t="str">
        <f>TiposLancamentos!B19</f>
        <v>Restaurantes</v>
      </c>
      <c r="C1295" s="139" t="s">
        <v>3287</v>
      </c>
      <c r="D1295" s="51"/>
      <c r="E1295" s="857">
        <v>18.7</v>
      </c>
    </row>
    <row r="1296" spans="1:5">
      <c r="A1296" s="856">
        <v>39853</v>
      </c>
      <c r="B1296" s="125" t="str">
        <f>TiposLancamentos!B19</f>
        <v>Restaurantes</v>
      </c>
      <c r="C1296" s="139" t="s">
        <v>21311</v>
      </c>
      <c r="D1296" s="51"/>
      <c r="E1296" s="857">
        <v>11.6</v>
      </c>
    </row>
    <row r="1297" spans="1:5">
      <c r="A1297" s="856">
        <v>39853</v>
      </c>
      <c r="B1297" s="125" t="str">
        <f>TiposLancamentos!B5</f>
        <v>Supermercado</v>
      </c>
      <c r="C1297" s="139" t="s">
        <v>21312</v>
      </c>
      <c r="D1297" s="51"/>
      <c r="E1297" s="857">
        <v>4.4400000000000004</v>
      </c>
    </row>
    <row r="1298" spans="1:5">
      <c r="A1298" s="856">
        <v>39854</v>
      </c>
      <c r="B1298" s="125" t="str">
        <f>TiposLancamentos!B8</f>
        <v>Aluguel</v>
      </c>
      <c r="C1298" s="139" t="s">
        <v>21313</v>
      </c>
      <c r="D1298" s="51"/>
      <c r="E1298" s="857">
        <v>1029.1199999999999</v>
      </c>
    </row>
    <row r="1299" spans="1:5">
      <c r="A1299" s="856">
        <v>39854</v>
      </c>
      <c r="B1299" s="125" t="str">
        <f>TiposLancamentos!B20</f>
        <v>Saques</v>
      </c>
      <c r="C1299" s="139" t="s">
        <v>6492</v>
      </c>
      <c r="D1299" s="51"/>
      <c r="E1299" s="857">
        <v>60</v>
      </c>
    </row>
    <row r="1300" spans="1:5">
      <c r="A1300" s="856">
        <v>39854</v>
      </c>
      <c r="B1300" s="125" t="str">
        <f>TiposLancamentos!B19</f>
        <v>Restaurantes</v>
      </c>
      <c r="C1300" s="139" t="s">
        <v>3287</v>
      </c>
      <c r="D1300" s="51"/>
      <c r="E1300" s="857">
        <v>28.94</v>
      </c>
    </row>
    <row r="1301" spans="1:5">
      <c r="A1301" s="856">
        <v>39854</v>
      </c>
      <c r="B1301" s="125" t="str">
        <f>TiposLancamentos!B72</f>
        <v>Presentes</v>
      </c>
      <c r="C1301" s="139" t="s">
        <v>21314</v>
      </c>
      <c r="D1301" s="51"/>
      <c r="E1301" s="857">
        <v>10</v>
      </c>
    </row>
    <row r="1302" spans="1:5">
      <c r="A1302" s="856">
        <v>39855</v>
      </c>
      <c r="B1302" s="125" t="str">
        <f>TiposLancamentos!B19</f>
        <v>Restaurantes</v>
      </c>
      <c r="C1302" s="139" t="s">
        <v>3960</v>
      </c>
      <c r="D1302" s="51"/>
      <c r="E1302" s="857">
        <v>26.28</v>
      </c>
    </row>
    <row r="1303" spans="1:5">
      <c r="A1303" s="856">
        <v>39856</v>
      </c>
      <c r="B1303" s="125" t="str">
        <f>TiposLancamentos!B19</f>
        <v>Restaurantes</v>
      </c>
      <c r="C1303" s="139" t="s">
        <v>3287</v>
      </c>
      <c r="D1303" s="51"/>
      <c r="E1303" s="857">
        <v>18.7</v>
      </c>
    </row>
    <row r="1304" spans="1:5">
      <c r="A1304" s="856">
        <v>39856</v>
      </c>
      <c r="B1304" s="125" t="str">
        <f>TiposLancamentos!B18</f>
        <v>Alimentacao</v>
      </c>
      <c r="C1304" s="139" t="s">
        <v>21315</v>
      </c>
      <c r="D1304" s="51"/>
      <c r="E1304" s="857">
        <v>6.69</v>
      </c>
    </row>
    <row r="1305" spans="1:5">
      <c r="A1305" s="856">
        <v>39856</v>
      </c>
      <c r="B1305" s="125" t="str">
        <f>TiposLancamentos!B13</f>
        <v>Moradia</v>
      </c>
      <c r="C1305" s="139" t="s">
        <v>21316</v>
      </c>
      <c r="D1305" s="51"/>
      <c r="E1305" s="857">
        <v>179</v>
      </c>
    </row>
    <row r="1306" spans="1:5">
      <c r="A1306" s="856">
        <v>39856</v>
      </c>
      <c r="B1306" s="125" t="str">
        <f>TiposLancamentos!B19</f>
        <v>Restaurantes</v>
      </c>
      <c r="C1306" s="139" t="s">
        <v>21317</v>
      </c>
      <c r="D1306" s="51"/>
      <c r="E1306" s="857">
        <v>32.5</v>
      </c>
    </row>
    <row r="1307" spans="1:5">
      <c r="A1307" s="856">
        <v>39856</v>
      </c>
      <c r="B1307" s="125" t="str">
        <f>TiposLancamentos!B18</f>
        <v>Alimentacao</v>
      </c>
      <c r="C1307" s="139" t="s">
        <v>21318</v>
      </c>
      <c r="D1307" s="51"/>
      <c r="E1307" s="857">
        <v>13.6</v>
      </c>
    </row>
    <row r="1308" spans="1:5">
      <c r="A1308" s="856">
        <v>39857</v>
      </c>
      <c r="B1308" s="125" t="str">
        <f>TiposLancamentos!B95</f>
        <v>Salarios</v>
      </c>
      <c r="C1308" s="139" t="s">
        <v>4916</v>
      </c>
      <c r="D1308" s="51">
        <v>1747.9</v>
      </c>
      <c r="E1308" s="857"/>
    </row>
    <row r="1309" spans="1:5">
      <c r="A1309" s="856">
        <v>39857</v>
      </c>
      <c r="B1309" s="125" t="str">
        <f>TiposLancamentos!B19</f>
        <v>Restaurantes</v>
      </c>
      <c r="C1309" s="139" t="s">
        <v>21319</v>
      </c>
      <c r="D1309" s="51"/>
      <c r="E1309" s="857">
        <v>11.5</v>
      </c>
    </row>
    <row r="1310" spans="1:5">
      <c r="A1310" s="856">
        <v>39857</v>
      </c>
      <c r="B1310" s="125" t="str">
        <f>TiposLancamentos!B20</f>
        <v>Saques</v>
      </c>
      <c r="C1310" s="139" t="s">
        <v>2850</v>
      </c>
      <c r="D1310" s="51"/>
      <c r="E1310" s="857">
        <v>30</v>
      </c>
    </row>
    <row r="1311" spans="1:5">
      <c r="A1311" s="856">
        <v>39857</v>
      </c>
      <c r="B1311" s="125" t="str">
        <f>TiposLancamentos!B19</f>
        <v>Restaurantes</v>
      </c>
      <c r="C1311" s="139" t="s">
        <v>21320</v>
      </c>
      <c r="D1311" s="51"/>
      <c r="E1311" s="857">
        <v>49.94</v>
      </c>
    </row>
    <row r="1312" spans="1:5">
      <c r="A1312" s="856">
        <v>39858</v>
      </c>
      <c r="B1312" s="125" t="str">
        <f>TiposLancamentos!B32</f>
        <v>Clinicas e tratamentos</v>
      </c>
      <c r="C1312" s="139" t="s">
        <v>21321</v>
      </c>
      <c r="D1312" s="51" t="s">
        <v>9088</v>
      </c>
      <c r="E1312" s="857">
        <v>518</v>
      </c>
    </row>
    <row r="1313" spans="1:5">
      <c r="A1313" s="856">
        <v>39858</v>
      </c>
      <c r="B1313" s="125" t="str">
        <f>TiposLancamentos!B19</f>
        <v>Restaurantes</v>
      </c>
      <c r="C1313" s="139" t="s">
        <v>21322</v>
      </c>
      <c r="D1313" s="51"/>
      <c r="E1313" s="857">
        <v>31.59</v>
      </c>
    </row>
    <row r="1314" spans="1:5">
      <c r="A1314" s="856">
        <v>39858</v>
      </c>
      <c r="B1314" s="125" t="str">
        <f>TiposLancamentos!B5</f>
        <v>Supermercado</v>
      </c>
      <c r="C1314" s="139" t="s">
        <v>21323</v>
      </c>
      <c r="D1314" s="51"/>
      <c r="E1314" s="857">
        <v>45.95</v>
      </c>
    </row>
    <row r="1315" spans="1:5">
      <c r="A1315" s="856">
        <v>39858</v>
      </c>
      <c r="B1315" s="125" t="str">
        <f>TiposLancamentos!B5</f>
        <v>Supermercado</v>
      </c>
      <c r="C1315" s="139" t="s">
        <v>21324</v>
      </c>
      <c r="D1315" s="51"/>
      <c r="E1315" s="857">
        <v>30.91</v>
      </c>
    </row>
    <row r="1316" spans="1:5">
      <c r="A1316" s="856">
        <v>39858</v>
      </c>
      <c r="B1316" s="125" t="str">
        <f>TiposLancamentos!B5</f>
        <v>Supermercado</v>
      </c>
      <c r="C1316" s="139" t="s">
        <v>21325</v>
      </c>
      <c r="D1316" s="51"/>
      <c r="E1316" s="857">
        <v>10.98</v>
      </c>
    </row>
    <row r="1317" spans="1:5">
      <c r="A1317" s="856">
        <v>39858</v>
      </c>
      <c r="B1317" s="125" t="str">
        <f>TiposLancamentos!B90</f>
        <v>Locadora</v>
      </c>
      <c r="C1317" s="139" t="s">
        <v>21326</v>
      </c>
      <c r="D1317" s="51"/>
      <c r="E1317" s="857">
        <v>49</v>
      </c>
    </row>
    <row r="1318" spans="1:5">
      <c r="A1318" s="856">
        <v>39858</v>
      </c>
      <c r="B1318" s="125" t="str">
        <f>TiposLancamentos!B5</f>
        <v>Supermercado</v>
      </c>
      <c r="C1318" s="139" t="s">
        <v>21327</v>
      </c>
      <c r="D1318" s="51"/>
      <c r="E1318" s="857">
        <v>18.14</v>
      </c>
    </row>
    <row r="1319" spans="1:5">
      <c r="A1319" s="856">
        <v>39859</v>
      </c>
      <c r="B1319" s="125" t="str">
        <f>TiposLancamentos!B17</f>
        <v>GATO</v>
      </c>
      <c r="C1319" s="139" t="s">
        <v>21328</v>
      </c>
      <c r="D1319" s="51"/>
      <c r="E1319" s="857">
        <v>126.7</v>
      </c>
    </row>
    <row r="1320" spans="1:5">
      <c r="A1320" s="856">
        <v>39859</v>
      </c>
      <c r="B1320" s="125" t="str">
        <f>TiposLancamentos!B5</f>
        <v>Supermercado</v>
      </c>
      <c r="C1320" s="139" t="s">
        <v>21329</v>
      </c>
      <c r="D1320" s="51"/>
      <c r="E1320" s="857">
        <v>10.78</v>
      </c>
    </row>
    <row r="1321" spans="1:5">
      <c r="A1321" s="856">
        <v>39859</v>
      </c>
      <c r="B1321" s="125" t="str">
        <f>TiposLancamentos!B16</f>
        <v>Cristiane</v>
      </c>
      <c r="C1321" s="139" t="s">
        <v>21330</v>
      </c>
      <c r="D1321" s="51"/>
      <c r="E1321" s="857">
        <v>209</v>
      </c>
    </row>
    <row r="1322" spans="1:5">
      <c r="A1322" s="856">
        <v>39860</v>
      </c>
      <c r="B1322" s="125" t="str">
        <f>TiposLancamentos!B22</f>
        <v>Combustivel</v>
      </c>
      <c r="C1322" s="139" t="s">
        <v>21331</v>
      </c>
      <c r="D1322" s="51"/>
      <c r="E1322" s="857">
        <v>50</v>
      </c>
    </row>
    <row r="1323" spans="1:5">
      <c r="A1323" s="856">
        <v>39860</v>
      </c>
      <c r="B1323" s="125" t="str">
        <f>TiposLancamentos!B5</f>
        <v>Supermercado</v>
      </c>
      <c r="C1323" s="139" t="s">
        <v>21208</v>
      </c>
      <c r="D1323" s="51"/>
      <c r="E1323" s="857">
        <v>33.21</v>
      </c>
    </row>
    <row r="1324" spans="1:5">
      <c r="A1324" s="856">
        <v>39860</v>
      </c>
      <c r="B1324" s="125" t="str">
        <f>TiposLancamentos!B19</f>
        <v>Restaurantes</v>
      </c>
      <c r="C1324" s="139" t="s">
        <v>21332</v>
      </c>
      <c r="D1324" s="51"/>
      <c r="E1324" s="857">
        <v>11.68</v>
      </c>
    </row>
    <row r="1325" spans="1:5">
      <c r="A1325" s="856">
        <v>39860</v>
      </c>
      <c r="B1325" s="125" t="str">
        <f>TiposLancamentos!B5</f>
        <v>Supermercado</v>
      </c>
      <c r="C1325" s="139" t="s">
        <v>21333</v>
      </c>
      <c r="D1325" s="51"/>
      <c r="E1325" s="857">
        <v>53.37</v>
      </c>
    </row>
    <row r="1326" spans="1:5">
      <c r="A1326" s="856">
        <v>39860</v>
      </c>
      <c r="B1326" s="125" t="str">
        <f>TiposLancamentos!B19</f>
        <v>Restaurantes</v>
      </c>
      <c r="C1326" s="139" t="s">
        <v>3666</v>
      </c>
      <c r="D1326" s="51"/>
      <c r="E1326" s="857">
        <v>1.7</v>
      </c>
    </row>
    <row r="1327" spans="1:5">
      <c r="A1327" s="856">
        <v>39860</v>
      </c>
      <c r="B1327" s="125" t="str">
        <f>TiposLancamentos!B24</f>
        <v>Estacionamentos</v>
      </c>
      <c r="C1327" s="139" t="s">
        <v>5392</v>
      </c>
      <c r="D1327" s="51"/>
      <c r="E1327" s="857">
        <v>22.04</v>
      </c>
    </row>
    <row r="1328" spans="1:5">
      <c r="A1328" s="856">
        <v>39860</v>
      </c>
      <c r="B1328" s="125" t="str">
        <f>TiposLancamentos!B79</f>
        <v>Financiamento Banco</v>
      </c>
      <c r="C1328" s="139" t="s">
        <v>21334</v>
      </c>
      <c r="D1328" s="51">
        <v>518</v>
      </c>
      <c r="E1328" s="857"/>
    </row>
    <row r="1329" spans="1:5">
      <c r="A1329" s="856">
        <v>39861</v>
      </c>
      <c r="B1329" s="125" t="str">
        <f>TiposLancamentos!B19</f>
        <v>Restaurantes</v>
      </c>
      <c r="C1329" s="139" t="s">
        <v>21335</v>
      </c>
      <c r="D1329" s="51"/>
      <c r="E1329" s="857">
        <v>14.19</v>
      </c>
    </row>
    <row r="1330" spans="1:5">
      <c r="A1330" s="856">
        <v>39861</v>
      </c>
      <c r="B1330" s="125" t="str">
        <f>TiposLancamentos!B19</f>
        <v>Restaurantes</v>
      </c>
      <c r="C1330" s="139" t="s">
        <v>17177</v>
      </c>
      <c r="D1330" s="51"/>
      <c r="E1330" s="857">
        <v>27.39</v>
      </c>
    </row>
    <row r="1331" spans="1:5">
      <c r="A1331" s="856">
        <v>39862</v>
      </c>
      <c r="B1331" s="125" t="str">
        <f>TiposLancamentos!B19</f>
        <v>Restaurantes</v>
      </c>
      <c r="C1331" s="139" t="s">
        <v>21336</v>
      </c>
      <c r="D1331" s="51"/>
      <c r="E1331" s="857">
        <v>17.77</v>
      </c>
    </row>
    <row r="1332" spans="1:5">
      <c r="A1332" s="856">
        <v>39863</v>
      </c>
      <c r="B1332" s="125" t="str">
        <f>TiposLancamentos!B19</f>
        <v>Restaurantes</v>
      </c>
      <c r="C1332" s="139" t="s">
        <v>21337</v>
      </c>
      <c r="D1332" s="51"/>
      <c r="E1332" s="857">
        <v>14.2</v>
      </c>
    </row>
    <row r="1333" spans="1:5">
      <c r="A1333" s="856">
        <v>39863</v>
      </c>
      <c r="B1333" s="125" t="str">
        <f>TiposLancamentos!B20</f>
        <v>Saques</v>
      </c>
      <c r="C1333" s="139" t="s">
        <v>20995</v>
      </c>
      <c r="D1333" s="51"/>
      <c r="E1333" s="857">
        <v>40</v>
      </c>
    </row>
    <row r="1334" spans="1:5">
      <c r="A1334" s="856">
        <v>39864</v>
      </c>
      <c r="B1334" s="125" t="str">
        <f>TiposLancamentos!B20</f>
        <v>Saques</v>
      </c>
      <c r="C1334" s="139" t="s">
        <v>21338</v>
      </c>
      <c r="D1334" s="51"/>
      <c r="E1334" s="857">
        <v>50</v>
      </c>
    </row>
    <row r="1335" spans="1:5">
      <c r="A1335" s="856">
        <v>39864</v>
      </c>
      <c r="B1335" s="125" t="str">
        <f>TiposLancamentos!B19</f>
        <v>Restaurantes</v>
      </c>
      <c r="C1335" s="139" t="s">
        <v>21339</v>
      </c>
      <c r="D1335" s="51"/>
      <c r="E1335" s="857">
        <v>25.16</v>
      </c>
    </row>
    <row r="1336" spans="1:5">
      <c r="A1336" s="856">
        <v>39864</v>
      </c>
      <c r="B1336" s="125" t="str">
        <f>TiposLancamentos!B20</f>
        <v>Saques</v>
      </c>
      <c r="C1336" s="139" t="s">
        <v>21340</v>
      </c>
      <c r="D1336" s="51"/>
      <c r="E1336" s="857">
        <v>80</v>
      </c>
    </row>
    <row r="1337" spans="1:5">
      <c r="A1337" s="856">
        <v>39864</v>
      </c>
      <c r="B1337" s="125" t="str">
        <f>TiposLancamentos!B20</f>
        <v>Saques</v>
      </c>
      <c r="C1337" s="139" t="s">
        <v>4256</v>
      </c>
      <c r="D1337" s="51"/>
      <c r="E1337" s="857">
        <v>60</v>
      </c>
    </row>
    <row r="1338" spans="1:5">
      <c r="A1338" s="856">
        <v>39867</v>
      </c>
      <c r="B1338" s="125" t="str">
        <f>TiposLancamentos!B19</f>
        <v>Restaurantes</v>
      </c>
      <c r="C1338" s="139" t="s">
        <v>21341</v>
      </c>
      <c r="D1338" s="51"/>
      <c r="E1338" s="857">
        <v>5.8</v>
      </c>
    </row>
    <row r="1339" spans="1:5">
      <c r="A1339" s="856">
        <v>39870</v>
      </c>
      <c r="B1339" s="125" t="str">
        <f>TiposLancamentos!B57</f>
        <v>Informática</v>
      </c>
      <c r="C1339" s="139" t="s">
        <v>21342</v>
      </c>
      <c r="D1339" s="51"/>
      <c r="E1339" s="857">
        <v>79</v>
      </c>
    </row>
    <row r="1340" spans="1:5">
      <c r="A1340" s="856">
        <v>39870</v>
      </c>
      <c r="B1340" s="125" t="str">
        <f>TiposLancamentos!B57</f>
        <v>Informática</v>
      </c>
      <c r="C1340" s="139" t="s">
        <v>21343</v>
      </c>
      <c r="D1340" s="51"/>
      <c r="E1340" s="857">
        <v>79</v>
      </c>
    </row>
    <row r="1341" spans="1:5">
      <c r="A1341" s="856">
        <v>39870</v>
      </c>
      <c r="B1341" s="125" t="str">
        <f>TiposLancamentos!B20</f>
        <v>Saques</v>
      </c>
      <c r="C1341" s="139" t="s">
        <v>20995</v>
      </c>
      <c r="D1341" s="51"/>
      <c r="E1341" s="857">
        <v>20</v>
      </c>
    </row>
    <row r="1342" spans="1:5">
      <c r="A1342" s="856">
        <v>39870</v>
      </c>
      <c r="B1342" s="125" t="str">
        <f>TiposLancamentos!B56</f>
        <v>Farmácia</v>
      </c>
      <c r="C1342" s="139" t="s">
        <v>21344</v>
      </c>
      <c r="D1342" s="51"/>
      <c r="E1342" s="857">
        <v>8.49</v>
      </c>
    </row>
    <row r="1343" spans="1:5">
      <c r="A1343" s="856">
        <v>39870</v>
      </c>
      <c r="B1343" s="125" t="str">
        <f>TiposLancamentos!B13</f>
        <v>Moradia</v>
      </c>
      <c r="C1343" s="139" t="s">
        <v>21345</v>
      </c>
      <c r="D1343" s="51"/>
      <c r="E1343" s="857">
        <v>20.36</v>
      </c>
    </row>
    <row r="1344" spans="1:5">
      <c r="A1344" s="856">
        <v>39871</v>
      </c>
      <c r="B1344" s="125" t="str">
        <f>TiposLancamentos!B95</f>
        <v>Salarios</v>
      </c>
      <c r="C1344" s="126" t="s">
        <v>4939</v>
      </c>
      <c r="D1344" s="51">
        <v>5915.79</v>
      </c>
      <c r="E1344" s="857"/>
    </row>
    <row r="1345" spans="1:5">
      <c r="A1345" s="856">
        <v>39871</v>
      </c>
      <c r="B1345" s="125" t="str">
        <f>TiposLancamentos!B95</f>
        <v>Salarios</v>
      </c>
      <c r="C1345" s="126" t="s">
        <v>5435</v>
      </c>
      <c r="D1345" s="51">
        <v>2497</v>
      </c>
      <c r="E1345" s="857"/>
    </row>
    <row r="1346" spans="1:5">
      <c r="A1346" s="856">
        <v>39871</v>
      </c>
      <c r="B1346" s="125" t="str">
        <f>TiposLancamentos!B4</f>
        <v>Taxas Bancarias</v>
      </c>
      <c r="C1346" s="139" t="s">
        <v>20667</v>
      </c>
      <c r="D1346" s="51"/>
      <c r="E1346" s="857">
        <v>17.84</v>
      </c>
    </row>
    <row r="1347" spans="1:5" ht="14.25" thickBot="1">
      <c r="A1347" s="856">
        <v>39872</v>
      </c>
      <c r="B1347" s="125" t="str">
        <f>TiposLancamentos!B19</f>
        <v>Restaurantes</v>
      </c>
      <c r="C1347" s="139" t="s">
        <v>21346</v>
      </c>
      <c r="D1347" s="51"/>
      <c r="E1347" s="857">
        <v>51.89</v>
      </c>
    </row>
    <row r="1348" spans="1:5" ht="14.25" thickBot="1">
      <c r="A1348" s="998"/>
      <c r="B1348" s="989"/>
      <c r="C1348" s="990" t="s">
        <v>5696</v>
      </c>
      <c r="D1348" s="991"/>
      <c r="E1348" s="999"/>
    </row>
    <row r="1349" spans="1:5">
      <c r="A1349" s="856">
        <v>39873</v>
      </c>
      <c r="B1349" s="125" t="str">
        <f>TiposLancamentos!B19</f>
        <v>Restaurantes</v>
      </c>
      <c r="C1349" s="139" t="s">
        <v>21347</v>
      </c>
      <c r="D1349" s="51"/>
      <c r="E1349" s="857">
        <v>72.5</v>
      </c>
    </row>
    <row r="1350" spans="1:5">
      <c r="A1350" s="856">
        <v>39873</v>
      </c>
      <c r="B1350" s="125" t="str">
        <f>TiposLancamentos!B5</f>
        <v>Supermercado</v>
      </c>
      <c r="C1350" s="139" t="s">
        <v>21348</v>
      </c>
      <c r="D1350" s="51"/>
      <c r="E1350" s="857">
        <v>210.63</v>
      </c>
    </row>
    <row r="1351" spans="1:5">
      <c r="A1351" s="856">
        <v>39874</v>
      </c>
      <c r="B1351" s="125" t="str">
        <f>TiposLancamentos!B45</f>
        <v>Online Services</v>
      </c>
      <c r="C1351" s="139" t="s">
        <v>15207</v>
      </c>
      <c r="D1351" s="51"/>
      <c r="E1351" s="857">
        <v>9.9</v>
      </c>
    </row>
    <row r="1352" spans="1:5">
      <c r="A1352" s="856">
        <v>39874</v>
      </c>
      <c r="B1352" s="125" t="str">
        <f>TiposLancamentos!B2</f>
        <v>Telefonia</v>
      </c>
      <c r="C1352" s="139" t="s">
        <v>21349</v>
      </c>
      <c r="D1352" s="51"/>
      <c r="E1352" s="857">
        <v>39.89</v>
      </c>
    </row>
    <row r="1353" spans="1:5">
      <c r="A1353" s="856">
        <v>39874</v>
      </c>
      <c r="B1353" s="125" t="str">
        <f>TiposLancamentos!B3</f>
        <v>Internet</v>
      </c>
      <c r="C1353" s="139" t="s">
        <v>4987</v>
      </c>
      <c r="D1353" s="51"/>
      <c r="E1353" s="857">
        <v>89.9</v>
      </c>
    </row>
    <row r="1354" spans="1:5">
      <c r="A1354" s="856">
        <v>39874</v>
      </c>
      <c r="B1354" s="125" t="str">
        <f>TiposLancamentos!B15</f>
        <v>Cartões de Crédito</v>
      </c>
      <c r="C1354" s="139" t="s">
        <v>20597</v>
      </c>
      <c r="D1354" s="51"/>
      <c r="E1354" s="857">
        <v>2468.5300000000002</v>
      </c>
    </row>
    <row r="1355" spans="1:5">
      <c r="A1355" s="856">
        <v>39874</v>
      </c>
      <c r="B1355" s="125" t="str">
        <f>TiposLancamentos!B6</f>
        <v>Energia Eletrica</v>
      </c>
      <c r="C1355" s="139" t="s">
        <v>21350</v>
      </c>
      <c r="D1355" s="51"/>
      <c r="E1355" s="857">
        <v>99.25</v>
      </c>
    </row>
    <row r="1356" spans="1:5">
      <c r="A1356" s="856">
        <v>39874</v>
      </c>
      <c r="B1356" s="125" t="str">
        <f>TiposLancamentos!B2</f>
        <v>Telefonia</v>
      </c>
      <c r="C1356" s="139" t="s">
        <v>21351</v>
      </c>
      <c r="D1356" s="51"/>
      <c r="E1356" s="857">
        <v>45.19</v>
      </c>
    </row>
    <row r="1357" spans="1:5">
      <c r="A1357" s="856">
        <v>39874</v>
      </c>
      <c r="B1357" s="125" t="str">
        <f>TiposLancamentos!B3</f>
        <v>Internet</v>
      </c>
      <c r="C1357" s="139" t="s">
        <v>4987</v>
      </c>
      <c r="D1357" s="51"/>
      <c r="E1357" s="857">
        <v>89.9</v>
      </c>
    </row>
    <row r="1358" spans="1:5">
      <c r="A1358" s="856">
        <v>39874</v>
      </c>
      <c r="B1358" s="125" t="str">
        <f>TiposLancamentos!B15</f>
        <v>Cartões de Crédito</v>
      </c>
      <c r="C1358" s="139" t="s">
        <v>21352</v>
      </c>
      <c r="D1358" s="51"/>
      <c r="E1358" s="857">
        <v>420.56</v>
      </c>
    </row>
    <row r="1359" spans="1:5">
      <c r="A1359" s="856">
        <v>39874</v>
      </c>
      <c r="B1359" s="125" t="str">
        <f>TiposLancamentos!B15</f>
        <v>Cartões de Crédito</v>
      </c>
      <c r="C1359" s="139" t="s">
        <v>21353</v>
      </c>
      <c r="D1359" s="51"/>
      <c r="E1359" s="857">
        <v>1034.56</v>
      </c>
    </row>
    <row r="1360" spans="1:5">
      <c r="A1360" s="856">
        <v>39874</v>
      </c>
      <c r="B1360" s="125" t="str">
        <f>TiposLancamentos!B57</f>
        <v>Informática</v>
      </c>
      <c r="C1360" s="139" t="s">
        <v>21354</v>
      </c>
      <c r="D1360" s="51"/>
      <c r="E1360" s="857">
        <v>79</v>
      </c>
    </row>
    <row r="1361" spans="1:6">
      <c r="A1361" s="856">
        <v>39874</v>
      </c>
      <c r="B1361" s="125" t="str">
        <f>TiposLancamentos!B4</f>
        <v>Taxas Bancarias</v>
      </c>
      <c r="C1361" s="139" t="s">
        <v>21175</v>
      </c>
      <c r="D1361" s="51"/>
      <c r="E1361" s="857">
        <v>7.75</v>
      </c>
    </row>
    <row r="1362" spans="1:6">
      <c r="A1362" s="856">
        <v>39875</v>
      </c>
      <c r="B1362" s="125" t="str">
        <f>TiposLancamentos!B9</f>
        <v>Condominio</v>
      </c>
      <c r="C1362" s="139" t="s">
        <v>21355</v>
      </c>
      <c r="D1362" s="51"/>
      <c r="E1362" s="857">
        <v>732.56</v>
      </c>
    </row>
    <row r="1363" spans="1:6">
      <c r="A1363" s="961">
        <v>39875</v>
      </c>
      <c r="B1363" s="817" t="str">
        <f>TiposLancamentos!B50</f>
        <v>Guitarra</v>
      </c>
      <c r="C1363" s="962" t="s">
        <v>21356</v>
      </c>
      <c r="D1363" s="809"/>
      <c r="E1363" s="965">
        <v>30</v>
      </c>
    </row>
    <row r="1364" spans="1:6">
      <c r="A1364" s="963">
        <v>39875</v>
      </c>
      <c r="B1364" s="818" t="str">
        <f>TiposLancamentos!B25</f>
        <v>CD_DVD_BD</v>
      </c>
      <c r="C1364" s="964" t="s">
        <v>21357</v>
      </c>
      <c r="D1364" s="813"/>
      <c r="E1364" s="966">
        <v>50</v>
      </c>
      <c r="F1364" s="36">
        <f>SUM(E1363:E1364)</f>
        <v>80</v>
      </c>
    </row>
    <row r="1365" spans="1:6">
      <c r="A1365" s="856">
        <v>39876</v>
      </c>
      <c r="B1365" s="125" t="str">
        <f>TiposLancamentos!B16</f>
        <v>Cristiane</v>
      </c>
      <c r="C1365" s="139" t="s">
        <v>21358</v>
      </c>
      <c r="D1365" s="51"/>
      <c r="E1365" s="857">
        <v>180</v>
      </c>
    </row>
    <row r="1366" spans="1:6">
      <c r="A1366" s="856">
        <v>39877</v>
      </c>
      <c r="B1366" s="125" t="str">
        <f>TiposLancamentos!B59</f>
        <v>Documentos</v>
      </c>
      <c r="C1366" s="139" t="s">
        <v>21359</v>
      </c>
      <c r="D1366" s="51"/>
      <c r="E1366" s="857">
        <v>45</v>
      </c>
    </row>
    <row r="1367" spans="1:6">
      <c r="A1367" s="961">
        <v>39877</v>
      </c>
      <c r="B1367" s="817" t="str">
        <f>TiposLancamentos!B22</f>
        <v>Combustivel</v>
      </c>
      <c r="C1367" s="962" t="s">
        <v>21360</v>
      </c>
      <c r="D1367" s="809"/>
      <c r="E1367" s="965">
        <v>60</v>
      </c>
    </row>
    <row r="1368" spans="1:6">
      <c r="A1368" s="963">
        <v>39877</v>
      </c>
      <c r="B1368" s="818" t="str">
        <f>TiposLancamentos!B51</f>
        <v>Marlboro</v>
      </c>
      <c r="C1368" s="964" t="s">
        <v>21361</v>
      </c>
      <c r="D1368" s="813"/>
      <c r="E1368" s="966">
        <v>3.4</v>
      </c>
      <c r="F1368" s="36">
        <f>SUM(E1367:E1368)</f>
        <v>63.4</v>
      </c>
    </row>
    <row r="1369" spans="1:6">
      <c r="A1369" s="856">
        <v>39877</v>
      </c>
      <c r="B1369" s="125" t="str">
        <f>TiposLancamentos!B56</f>
        <v>Farmácia</v>
      </c>
      <c r="C1369" s="139" t="s">
        <v>21362</v>
      </c>
      <c r="D1369" s="51"/>
      <c r="E1369" s="857">
        <v>32.11</v>
      </c>
    </row>
    <row r="1370" spans="1:6">
      <c r="A1370" s="856">
        <v>39878</v>
      </c>
      <c r="B1370" s="125" t="str">
        <f>TiposLancamentos!B64</f>
        <v>Viagens</v>
      </c>
      <c r="C1370" s="139" t="s">
        <v>21363</v>
      </c>
      <c r="D1370" s="51"/>
      <c r="E1370" s="857">
        <v>119</v>
      </c>
    </row>
    <row r="1371" spans="1:6">
      <c r="A1371" s="856">
        <v>39879</v>
      </c>
      <c r="B1371" s="125" t="str">
        <f>TiposLancamentos!B19</f>
        <v>Restaurantes</v>
      </c>
      <c r="C1371" s="139" t="s">
        <v>21364</v>
      </c>
      <c r="D1371" s="51"/>
      <c r="E1371" s="857">
        <v>9.9</v>
      </c>
    </row>
    <row r="1372" spans="1:6">
      <c r="A1372" s="856">
        <v>39879</v>
      </c>
      <c r="B1372" s="125" t="str">
        <f>TiposLancamentos!B19</f>
        <v>Restaurantes</v>
      </c>
      <c r="C1372" s="139" t="s">
        <v>21365</v>
      </c>
      <c r="D1372" s="51"/>
      <c r="E1372" s="857">
        <v>50.05</v>
      </c>
    </row>
    <row r="1373" spans="1:6">
      <c r="A1373" s="856">
        <v>39880</v>
      </c>
      <c r="B1373" s="125" t="str">
        <f>TiposLancamentos!B19</f>
        <v>Restaurantes</v>
      </c>
      <c r="C1373" s="139" t="s">
        <v>21366</v>
      </c>
      <c r="D1373" s="51"/>
      <c r="E1373" s="857">
        <v>36.299999999999997</v>
      </c>
    </row>
    <row r="1374" spans="1:6">
      <c r="A1374" s="856">
        <v>39880</v>
      </c>
      <c r="B1374" s="125" t="str">
        <f>TiposLancamentos!B56</f>
        <v>Farmácia</v>
      </c>
      <c r="C1374" s="139" t="s">
        <v>21367</v>
      </c>
      <c r="D1374" s="51"/>
      <c r="E1374" s="857">
        <v>31.06</v>
      </c>
    </row>
    <row r="1375" spans="1:6">
      <c r="A1375" s="856">
        <v>39881</v>
      </c>
      <c r="B1375" s="125" t="str">
        <f>TiposLancamentos!B20</f>
        <v>Saques</v>
      </c>
      <c r="C1375" s="139" t="s">
        <v>18080</v>
      </c>
      <c r="D1375" s="51"/>
      <c r="E1375" s="857">
        <v>20</v>
      </c>
    </row>
    <row r="1376" spans="1:6">
      <c r="A1376" s="856">
        <v>39881</v>
      </c>
      <c r="B1376" s="125" t="str">
        <f>TiposLancamentos!B59</f>
        <v>Documentos</v>
      </c>
      <c r="C1376" s="139" t="s">
        <v>21368</v>
      </c>
      <c r="D1376" s="51"/>
      <c r="E1376" s="857">
        <v>200</v>
      </c>
    </row>
    <row r="1377" spans="1:6">
      <c r="A1377" s="961">
        <v>39882</v>
      </c>
      <c r="B1377" s="817" t="str">
        <f>TiposLancamentos!B8</f>
        <v>Aluguel</v>
      </c>
      <c r="C1377" s="962" t="s">
        <v>21369</v>
      </c>
      <c r="D1377" s="809"/>
      <c r="E1377" s="965">
        <f>F1378-E1378</f>
        <v>1026.17</v>
      </c>
    </row>
    <row r="1378" spans="1:6">
      <c r="A1378" s="963">
        <v>39882</v>
      </c>
      <c r="B1378" s="818" t="str">
        <f>TiposLancamentos!B12</f>
        <v>IPTU</v>
      </c>
      <c r="C1378" s="964" t="s">
        <v>13356</v>
      </c>
      <c r="D1378" s="813"/>
      <c r="E1378" s="966">
        <v>84.57</v>
      </c>
      <c r="F1378" s="36">
        <v>1110.74</v>
      </c>
    </row>
    <row r="1379" spans="1:6">
      <c r="A1379" s="856">
        <v>39882</v>
      </c>
      <c r="B1379" s="125" t="str">
        <f>TiposLancamentos!B35</f>
        <v>Tv à Cabo</v>
      </c>
      <c r="C1379" s="139" t="s">
        <v>20738</v>
      </c>
      <c r="D1379" s="51"/>
      <c r="E1379" s="857">
        <v>168.8</v>
      </c>
    </row>
    <row r="1380" spans="1:6">
      <c r="A1380" s="856">
        <v>39882</v>
      </c>
      <c r="B1380" s="125" t="str">
        <f>TiposLancamentos!B5</f>
        <v>Supermercado</v>
      </c>
      <c r="C1380" s="139" t="s">
        <v>5930</v>
      </c>
      <c r="D1380" s="51"/>
      <c r="E1380" s="857">
        <v>7.09</v>
      </c>
    </row>
    <row r="1381" spans="1:6">
      <c r="A1381" s="856">
        <v>39882</v>
      </c>
      <c r="B1381" s="125" t="str">
        <f>TiposLancamentos!B56</f>
        <v>Farmácia</v>
      </c>
      <c r="C1381" s="139" t="s">
        <v>21370</v>
      </c>
      <c r="D1381" s="51"/>
      <c r="E1381" s="857">
        <v>21.2</v>
      </c>
    </row>
    <row r="1382" spans="1:6">
      <c r="A1382" s="961">
        <v>39883</v>
      </c>
      <c r="B1382" s="817" t="str">
        <f>TiposLancamentos!B22</f>
        <v>Combustivel</v>
      </c>
      <c r="C1382" s="962" t="s">
        <v>1710</v>
      </c>
      <c r="D1382" s="809"/>
      <c r="E1382" s="965">
        <v>60</v>
      </c>
    </row>
    <row r="1383" spans="1:6">
      <c r="A1383" s="963">
        <v>39883</v>
      </c>
      <c r="B1383" s="818" t="str">
        <f>TiposLancamentos!B51</f>
        <v>Marlboro</v>
      </c>
      <c r="C1383" s="964" t="s">
        <v>3523</v>
      </c>
      <c r="D1383" s="813"/>
      <c r="E1383" s="966">
        <v>3.4</v>
      </c>
      <c r="F1383" s="36">
        <f>SUM(E1382:E1383)</f>
        <v>63.4</v>
      </c>
    </row>
    <row r="1384" spans="1:6">
      <c r="A1384" s="856">
        <v>39883</v>
      </c>
      <c r="B1384" s="125" t="str">
        <f>TiposLancamentos!B13</f>
        <v>Moradia</v>
      </c>
      <c r="C1384" s="139" t="s">
        <v>21371</v>
      </c>
      <c r="D1384" s="51"/>
      <c r="E1384" s="857">
        <v>29.7</v>
      </c>
    </row>
    <row r="1385" spans="1:6">
      <c r="A1385" s="856">
        <v>39883</v>
      </c>
      <c r="B1385" s="125" t="str">
        <f>TiposLancamentos!B17</f>
        <v>GATO</v>
      </c>
      <c r="C1385" s="139" t="s">
        <v>8352</v>
      </c>
      <c r="D1385" s="51"/>
      <c r="E1385" s="857">
        <v>30.97</v>
      </c>
    </row>
    <row r="1386" spans="1:6">
      <c r="A1386" s="856">
        <v>39884</v>
      </c>
      <c r="B1386" s="125" t="str">
        <f>TiposLancamentos!B16</f>
        <v>Cristiane</v>
      </c>
      <c r="C1386" s="139" t="s">
        <v>21372</v>
      </c>
      <c r="D1386" s="51"/>
      <c r="E1386" s="857">
        <v>50</v>
      </c>
    </row>
    <row r="1387" spans="1:6">
      <c r="A1387" s="856">
        <v>39885</v>
      </c>
      <c r="B1387" s="125" t="str">
        <f>TiposLancamentos!B95</f>
        <v>Salarios</v>
      </c>
      <c r="C1387" s="139" t="s">
        <v>4916</v>
      </c>
      <c r="D1387" s="51">
        <v>1747.9</v>
      </c>
      <c r="E1387" s="857"/>
    </row>
    <row r="1388" spans="1:6">
      <c r="A1388" s="856">
        <v>39877</v>
      </c>
      <c r="B1388" s="125" t="str">
        <f>TiposLancamentos!B59</f>
        <v>Documentos</v>
      </c>
      <c r="C1388" s="139" t="s">
        <v>21373</v>
      </c>
      <c r="D1388" s="51"/>
      <c r="E1388" s="857">
        <v>52</v>
      </c>
    </row>
    <row r="1389" spans="1:6">
      <c r="A1389" s="856">
        <v>39886</v>
      </c>
      <c r="B1389" s="125" t="str">
        <f>TiposLancamentos!B19</f>
        <v>Restaurantes</v>
      </c>
      <c r="C1389" s="139" t="s">
        <v>3755</v>
      </c>
      <c r="D1389" s="51"/>
      <c r="E1389" s="857">
        <v>37.700000000000003</v>
      </c>
    </row>
    <row r="1390" spans="1:6">
      <c r="A1390" s="856">
        <v>39886</v>
      </c>
      <c r="B1390" s="125" t="str">
        <f>TiposLancamentos!B17</f>
        <v>GATO</v>
      </c>
      <c r="C1390" s="139" t="s">
        <v>21374</v>
      </c>
      <c r="D1390" s="51"/>
      <c r="E1390" s="857">
        <v>286</v>
      </c>
    </row>
    <row r="1391" spans="1:6">
      <c r="A1391" s="856">
        <v>39886</v>
      </c>
      <c r="B1391" s="125" t="str">
        <f>TiposLancamentos!B5</f>
        <v>Supermercado</v>
      </c>
      <c r="C1391" s="139" t="s">
        <v>21375</v>
      </c>
      <c r="D1391" s="51"/>
      <c r="E1391" s="857">
        <v>5.67</v>
      </c>
    </row>
    <row r="1392" spans="1:6">
      <c r="A1392" s="856">
        <v>39888</v>
      </c>
      <c r="B1392" s="125" t="str">
        <f>TiposLancamentos!B20</f>
        <v>Saques</v>
      </c>
      <c r="C1392" s="139" t="s">
        <v>21376</v>
      </c>
      <c r="D1392" s="51"/>
      <c r="E1392" s="857">
        <v>210</v>
      </c>
    </row>
    <row r="1393" spans="1:5">
      <c r="A1393" s="856">
        <v>39888</v>
      </c>
      <c r="B1393" s="125" t="str">
        <f>TiposLancamentos!B5</f>
        <v>Supermercado</v>
      </c>
      <c r="C1393" s="139" t="s">
        <v>21377</v>
      </c>
      <c r="D1393" s="51"/>
      <c r="E1393" s="857">
        <v>24.94</v>
      </c>
    </row>
    <row r="1394" spans="1:5">
      <c r="A1394" s="856">
        <v>39888</v>
      </c>
      <c r="B1394" s="125" t="str">
        <f>TiposLancamentos!B33</f>
        <v>Pedágios</v>
      </c>
      <c r="C1394" s="126" t="s">
        <v>20941</v>
      </c>
      <c r="D1394" s="51"/>
      <c r="E1394" s="857">
        <v>101.44</v>
      </c>
    </row>
    <row r="1395" spans="1:5">
      <c r="A1395" s="856">
        <v>39888</v>
      </c>
      <c r="B1395" s="125" t="str">
        <f>TiposLancamentos!B32</f>
        <v>Clinicas e tratamentos</v>
      </c>
      <c r="C1395" s="139" t="s">
        <v>21378</v>
      </c>
      <c r="D1395" s="51"/>
      <c r="E1395" s="857">
        <v>518</v>
      </c>
    </row>
    <row r="1396" spans="1:5">
      <c r="A1396" s="856">
        <v>39888</v>
      </c>
      <c r="B1396" s="125" t="str">
        <f>TiposLancamentos!B79</f>
        <v>Financiamento Banco</v>
      </c>
      <c r="C1396" s="139" t="s">
        <v>21334</v>
      </c>
      <c r="D1396" s="51">
        <v>518</v>
      </c>
      <c r="E1396" s="857"/>
    </row>
    <row r="1397" spans="1:5">
      <c r="A1397" s="856">
        <v>39889</v>
      </c>
      <c r="B1397" s="125" t="str">
        <f>TiposLancamentos!B18</f>
        <v>Alimentacao</v>
      </c>
      <c r="C1397" s="139" t="s">
        <v>3767</v>
      </c>
      <c r="D1397" s="51"/>
      <c r="E1397" s="857">
        <v>3.8</v>
      </c>
    </row>
    <row r="1398" spans="1:5">
      <c r="A1398" s="856">
        <v>39889</v>
      </c>
      <c r="B1398" s="125" t="str">
        <f>TiposLancamentos!B16</f>
        <v>Cristiane</v>
      </c>
      <c r="C1398" s="139" t="s">
        <v>21379</v>
      </c>
      <c r="D1398" s="51"/>
      <c r="E1398" s="857">
        <v>20.8</v>
      </c>
    </row>
    <row r="1399" spans="1:5">
      <c r="A1399" s="856">
        <v>39890</v>
      </c>
      <c r="B1399" s="125" t="str">
        <f>TiposLancamentos!B16</f>
        <v>Cristiane</v>
      </c>
      <c r="C1399" s="139" t="s">
        <v>21380</v>
      </c>
      <c r="D1399" s="51"/>
      <c r="E1399" s="857">
        <v>135</v>
      </c>
    </row>
    <row r="1400" spans="1:5">
      <c r="A1400" s="856">
        <v>39891</v>
      </c>
      <c r="B1400" s="125" t="str">
        <f>TiposLancamentos!B16</f>
        <v>Cristiane</v>
      </c>
      <c r="C1400" s="139" t="s">
        <v>21381</v>
      </c>
      <c r="D1400" s="51"/>
      <c r="E1400" s="857">
        <v>33.9</v>
      </c>
    </row>
    <row r="1401" spans="1:5">
      <c r="A1401" s="856">
        <v>39891</v>
      </c>
      <c r="B1401" s="125" t="str">
        <f>TiposLancamentos!B19</f>
        <v>Restaurantes</v>
      </c>
      <c r="C1401" s="139" t="s">
        <v>5451</v>
      </c>
      <c r="D1401" s="51"/>
      <c r="E1401" s="857">
        <v>27.8</v>
      </c>
    </row>
    <row r="1402" spans="1:5">
      <c r="A1402" s="856">
        <v>39891</v>
      </c>
      <c r="B1402" s="125" t="str">
        <f>TiposLancamentos!B20</f>
        <v>Saques</v>
      </c>
      <c r="C1402" s="139" t="s">
        <v>2850</v>
      </c>
      <c r="D1402" s="51"/>
      <c r="E1402" s="857">
        <v>40</v>
      </c>
    </row>
    <row r="1403" spans="1:5">
      <c r="A1403" s="856">
        <v>39891</v>
      </c>
      <c r="B1403" s="125" t="str">
        <f>TiposLancamentos!B97</f>
        <v>Deposito Terc.</v>
      </c>
      <c r="C1403" s="139" t="s">
        <v>21382</v>
      </c>
      <c r="D1403" s="51">
        <v>167</v>
      </c>
      <c r="E1403" s="857"/>
    </row>
    <row r="1404" spans="1:5">
      <c r="A1404" s="856">
        <v>39892</v>
      </c>
      <c r="B1404" s="125" t="str">
        <f>TiposLancamentos!B79</f>
        <v>Financiamento Banco</v>
      </c>
      <c r="C1404" s="139" t="s">
        <v>21383</v>
      </c>
      <c r="D1404" s="51"/>
      <c r="E1404" s="857">
        <v>551.76</v>
      </c>
    </row>
    <row r="1405" spans="1:5">
      <c r="A1405" s="856">
        <v>39892</v>
      </c>
      <c r="B1405" s="125" t="str">
        <f>TiposLancamentos!B19</f>
        <v>Restaurantes</v>
      </c>
      <c r="C1405" s="139" t="s">
        <v>3287</v>
      </c>
      <c r="D1405" s="51"/>
      <c r="E1405" s="857">
        <v>21.4</v>
      </c>
    </row>
    <row r="1406" spans="1:5">
      <c r="A1406" s="856">
        <v>39892</v>
      </c>
      <c r="B1406" s="125" t="str">
        <f>TiposLancamentos!B30</f>
        <v>Cinema</v>
      </c>
      <c r="C1406" s="139" t="s">
        <v>21384</v>
      </c>
      <c r="D1406" s="51"/>
      <c r="E1406" s="857">
        <v>30</v>
      </c>
    </row>
    <row r="1407" spans="1:5">
      <c r="A1407" s="856">
        <v>39892</v>
      </c>
      <c r="B1407" s="125" t="str">
        <f>TiposLancamentos!B19</f>
        <v>Restaurantes</v>
      </c>
      <c r="C1407" s="139" t="s">
        <v>21385</v>
      </c>
      <c r="D1407" s="51"/>
      <c r="E1407" s="857">
        <v>37.4</v>
      </c>
    </row>
    <row r="1408" spans="1:5">
      <c r="A1408" s="961">
        <v>39892</v>
      </c>
      <c r="B1408" s="817" t="str">
        <f>TiposLancamentos!B25</f>
        <v>CD_DVD_BD</v>
      </c>
      <c r="C1408" s="962" t="s">
        <v>21386</v>
      </c>
      <c r="D1408" s="809"/>
      <c r="E1408" s="965">
        <f>53.9-5</f>
        <v>48.9</v>
      </c>
    </row>
    <row r="1409" spans="1:6">
      <c r="A1409" s="963">
        <v>39892</v>
      </c>
      <c r="B1409" s="818" t="str">
        <f>TiposLancamentos!B50</f>
        <v>Guitarra</v>
      </c>
      <c r="C1409" s="964" t="s">
        <v>21387</v>
      </c>
      <c r="D1409" s="813"/>
      <c r="E1409" s="966">
        <v>5</v>
      </c>
      <c r="F1409" s="36">
        <f>SUM(E1408:E1409)</f>
        <v>53.9</v>
      </c>
    </row>
    <row r="1410" spans="1:6">
      <c r="A1410" s="856">
        <v>39892</v>
      </c>
      <c r="B1410" s="125" t="str">
        <f>TiposLancamentos!B18</f>
        <v>Alimentacao</v>
      </c>
      <c r="C1410" s="139" t="s">
        <v>21388</v>
      </c>
      <c r="D1410" s="51"/>
      <c r="E1410" s="857">
        <v>6.25</v>
      </c>
    </row>
    <row r="1411" spans="1:6">
      <c r="A1411" s="856">
        <v>39893</v>
      </c>
      <c r="B1411" s="125" t="str">
        <f>TiposLancamentos!B5</f>
        <v>Supermercado</v>
      </c>
      <c r="C1411" s="139" t="s">
        <v>21389</v>
      </c>
      <c r="D1411" s="51"/>
      <c r="E1411" s="857">
        <v>9.2799999999999994</v>
      </c>
    </row>
    <row r="1412" spans="1:6">
      <c r="A1412" s="856">
        <v>39893</v>
      </c>
      <c r="B1412" s="125" t="str">
        <f>TiposLancamentos!B22</f>
        <v>Combustivel</v>
      </c>
      <c r="C1412" s="139" t="s">
        <v>21390</v>
      </c>
      <c r="D1412" s="51"/>
      <c r="E1412" s="857">
        <v>60</v>
      </c>
    </row>
    <row r="1413" spans="1:6">
      <c r="A1413" s="856">
        <v>39893</v>
      </c>
      <c r="B1413" s="125" t="str">
        <f>TiposLancamentos!B19</f>
        <v>Restaurantes</v>
      </c>
      <c r="C1413" s="139" t="s">
        <v>17177</v>
      </c>
      <c r="D1413" s="51"/>
      <c r="E1413" s="857">
        <v>30.85</v>
      </c>
    </row>
    <row r="1414" spans="1:6">
      <c r="A1414" s="856">
        <v>39893</v>
      </c>
      <c r="B1414" s="125" t="str">
        <f>TiposLancamentos!B20</f>
        <v>Saques</v>
      </c>
      <c r="C1414" s="139" t="s">
        <v>21391</v>
      </c>
      <c r="D1414" s="51"/>
      <c r="E1414" s="857">
        <v>20</v>
      </c>
    </row>
    <row r="1415" spans="1:6">
      <c r="A1415" s="856">
        <v>39893</v>
      </c>
      <c r="B1415" s="125" t="str">
        <f>TiposLancamentos!B74</f>
        <v>Noite</v>
      </c>
      <c r="C1415" s="139" t="s">
        <v>21392</v>
      </c>
      <c r="D1415" s="51"/>
      <c r="E1415" s="857">
        <v>49.94</v>
      </c>
    </row>
    <row r="1416" spans="1:6">
      <c r="A1416" s="856">
        <v>39894</v>
      </c>
      <c r="B1416" s="125" t="str">
        <f>TiposLancamentos!B5</f>
        <v>Supermercado</v>
      </c>
      <c r="C1416" s="139" t="s">
        <v>21393</v>
      </c>
      <c r="D1416" s="51"/>
      <c r="E1416" s="857">
        <v>14.21</v>
      </c>
    </row>
    <row r="1417" spans="1:6">
      <c r="A1417" s="856">
        <v>39894</v>
      </c>
      <c r="B1417" s="125" t="str">
        <f>TiposLancamentos!B20</f>
        <v>Saques</v>
      </c>
      <c r="C1417" s="139" t="s">
        <v>21394</v>
      </c>
      <c r="D1417" s="51"/>
      <c r="E1417" s="857">
        <v>20</v>
      </c>
    </row>
    <row r="1418" spans="1:6">
      <c r="A1418" s="856">
        <v>39896</v>
      </c>
      <c r="B1418" s="125" t="str">
        <f>TiposLancamentos!B19</f>
        <v>Restaurantes</v>
      </c>
      <c r="C1418" s="139" t="s">
        <v>3698</v>
      </c>
      <c r="D1418" s="51"/>
      <c r="E1418" s="857">
        <v>44.31</v>
      </c>
    </row>
    <row r="1419" spans="1:6">
      <c r="A1419" s="856">
        <v>39896</v>
      </c>
      <c r="B1419" s="125" t="str">
        <f>TiposLancamentos!B5</f>
        <v>Supermercado</v>
      </c>
      <c r="C1419" s="139" t="s">
        <v>21395</v>
      </c>
      <c r="D1419" s="51"/>
      <c r="E1419" s="857">
        <v>14.31</v>
      </c>
    </row>
    <row r="1420" spans="1:6">
      <c r="A1420" s="856">
        <v>39897</v>
      </c>
      <c r="B1420" s="125" t="str">
        <f>TiposLancamentos!B56</f>
        <v>Farmácia</v>
      </c>
      <c r="C1420" s="139" t="s">
        <v>21396</v>
      </c>
      <c r="D1420" s="51"/>
      <c r="E1420" s="857">
        <v>75</v>
      </c>
    </row>
    <row r="1421" spans="1:6">
      <c r="A1421" s="856">
        <v>39897</v>
      </c>
      <c r="B1421" s="125" t="str">
        <f>TiposLancamentos!B19</f>
        <v>Restaurantes</v>
      </c>
      <c r="C1421" s="139" t="s">
        <v>3960</v>
      </c>
      <c r="D1421" s="51"/>
      <c r="E1421" s="857">
        <v>24.81</v>
      </c>
    </row>
    <row r="1422" spans="1:6">
      <c r="A1422" s="856">
        <v>39897</v>
      </c>
      <c r="B1422" s="125" t="str">
        <f>TiposLancamentos!B20</f>
        <v>Saques</v>
      </c>
      <c r="C1422" s="139" t="s">
        <v>3470</v>
      </c>
      <c r="D1422" s="51"/>
      <c r="E1422" s="857">
        <v>60</v>
      </c>
    </row>
    <row r="1423" spans="1:6">
      <c r="A1423" s="856">
        <v>39898</v>
      </c>
      <c r="B1423" s="125" t="str">
        <f>TiposLancamentos!B19</f>
        <v>Restaurantes</v>
      </c>
      <c r="C1423" s="139" t="s">
        <v>21397</v>
      </c>
      <c r="D1423" s="51"/>
      <c r="E1423" s="857">
        <v>4</v>
      </c>
    </row>
    <row r="1424" spans="1:6">
      <c r="A1424" s="856">
        <v>39898</v>
      </c>
      <c r="B1424" s="125" t="str">
        <f>TiposLancamentos!B20</f>
        <v>Saques</v>
      </c>
      <c r="C1424" s="139" t="s">
        <v>20995</v>
      </c>
      <c r="D1424" s="51"/>
      <c r="E1424" s="857">
        <v>100</v>
      </c>
    </row>
    <row r="1425" spans="1:5">
      <c r="A1425" s="856">
        <v>39899</v>
      </c>
      <c r="B1425" s="125" t="str">
        <f>TiposLancamentos!B16</f>
        <v>Cristiane</v>
      </c>
      <c r="C1425" s="139" t="s">
        <v>5119</v>
      </c>
      <c r="D1425" s="51"/>
      <c r="E1425" s="857">
        <v>50</v>
      </c>
    </row>
    <row r="1426" spans="1:5">
      <c r="A1426" s="856">
        <v>39899</v>
      </c>
      <c r="B1426" s="125" t="str">
        <f>TiposLancamentos!B19</f>
        <v>Restaurantes</v>
      </c>
      <c r="C1426" s="139" t="s">
        <v>3800</v>
      </c>
      <c r="D1426" s="51"/>
      <c r="E1426" s="857">
        <v>6.8</v>
      </c>
    </row>
    <row r="1427" spans="1:5">
      <c r="A1427" s="856">
        <v>39899</v>
      </c>
      <c r="B1427" s="125" t="str">
        <f>TiposLancamentos!B19</f>
        <v>Restaurantes</v>
      </c>
      <c r="C1427" s="139" t="s">
        <v>3287</v>
      </c>
      <c r="D1427" s="51"/>
      <c r="E1427" s="857">
        <v>21.4</v>
      </c>
    </row>
    <row r="1428" spans="1:5">
      <c r="A1428" s="856">
        <v>39899</v>
      </c>
      <c r="B1428" s="125" t="str">
        <f>TiposLancamentos!B20</f>
        <v>Saques</v>
      </c>
      <c r="C1428" s="139" t="s">
        <v>3403</v>
      </c>
      <c r="D1428" s="51"/>
      <c r="E1428" s="857">
        <v>40</v>
      </c>
    </row>
    <row r="1429" spans="1:5">
      <c r="A1429" s="856">
        <v>39900</v>
      </c>
      <c r="B1429" s="125" t="str">
        <f>TiposLancamentos!B25</f>
        <v>CD_DVD_BD</v>
      </c>
      <c r="C1429" s="139" t="s">
        <v>21398</v>
      </c>
      <c r="D1429" s="51"/>
      <c r="E1429" s="857">
        <v>39.9</v>
      </c>
    </row>
    <row r="1430" spans="1:5">
      <c r="A1430" s="856">
        <v>39900</v>
      </c>
      <c r="B1430" s="125" t="str">
        <f>TiposLancamentos!B19</f>
        <v>Restaurantes</v>
      </c>
      <c r="C1430" s="139" t="s">
        <v>21193</v>
      </c>
      <c r="D1430" s="51"/>
      <c r="E1430" s="857">
        <v>13.95</v>
      </c>
    </row>
    <row r="1431" spans="1:5">
      <c r="A1431" s="856">
        <v>39900</v>
      </c>
      <c r="B1431" s="125" t="str">
        <f>TiposLancamentos!B5</f>
        <v>Supermercado</v>
      </c>
      <c r="C1431" s="139" t="s">
        <v>5801</v>
      </c>
      <c r="D1431" s="51"/>
      <c r="E1431" s="857">
        <v>16.14</v>
      </c>
    </row>
    <row r="1432" spans="1:5">
      <c r="A1432" s="856">
        <v>39901</v>
      </c>
      <c r="B1432" s="125" t="str">
        <f>TiposLancamentos!B19</f>
        <v>Restaurantes</v>
      </c>
      <c r="C1432" s="139" t="s">
        <v>3287</v>
      </c>
      <c r="D1432" s="51"/>
      <c r="E1432" s="857">
        <v>19.8</v>
      </c>
    </row>
    <row r="1433" spans="1:5">
      <c r="A1433" s="856">
        <v>39901</v>
      </c>
      <c r="B1433" s="125" t="str">
        <f>TiposLancamentos!B5</f>
        <v>Supermercado</v>
      </c>
      <c r="C1433" s="139" t="s">
        <v>21399</v>
      </c>
      <c r="D1433" s="51"/>
      <c r="E1433" s="857">
        <v>29.5</v>
      </c>
    </row>
    <row r="1434" spans="1:5">
      <c r="A1434" s="856">
        <v>39903</v>
      </c>
      <c r="B1434" s="125" t="str">
        <f>TiposLancamentos!B95</f>
        <v>Salarios</v>
      </c>
      <c r="C1434" s="126" t="s">
        <v>4939</v>
      </c>
      <c r="D1434" s="51">
        <v>4198.9399999999996</v>
      </c>
      <c r="E1434" s="857"/>
    </row>
    <row r="1435" spans="1:5">
      <c r="A1435" s="856">
        <v>39903</v>
      </c>
      <c r="B1435" s="125" t="str">
        <f>TiposLancamentos!B79</f>
        <v>Financiamento Banco</v>
      </c>
      <c r="C1435" s="139" t="s">
        <v>21400</v>
      </c>
      <c r="D1435" s="51"/>
      <c r="E1435" s="857">
        <v>535.94000000000005</v>
      </c>
    </row>
    <row r="1436" spans="1:5">
      <c r="A1436" s="856">
        <v>39903</v>
      </c>
      <c r="B1436" s="125" t="str">
        <f>TiposLancamentos!B59</f>
        <v>Documentos</v>
      </c>
      <c r="C1436" s="139" t="s">
        <v>21401</v>
      </c>
      <c r="D1436" s="51"/>
      <c r="E1436" s="857">
        <v>231</v>
      </c>
    </row>
    <row r="1437" spans="1:5">
      <c r="A1437" s="856">
        <v>39903</v>
      </c>
      <c r="B1437" s="125" t="str">
        <f>TiposLancamentos!B6</f>
        <v>Energia Eletrica</v>
      </c>
      <c r="C1437" s="139" t="s">
        <v>5561</v>
      </c>
      <c r="D1437" s="51"/>
      <c r="E1437" s="857">
        <v>98.44</v>
      </c>
    </row>
    <row r="1438" spans="1:5" ht="14.25" thickBot="1">
      <c r="A1438" s="856">
        <v>39903</v>
      </c>
      <c r="B1438" s="125" t="str">
        <f>TiposLancamentos!B20</f>
        <v>Saques</v>
      </c>
      <c r="C1438" s="139" t="s">
        <v>3403</v>
      </c>
      <c r="D1438" s="51"/>
      <c r="E1438" s="857">
        <v>20</v>
      </c>
    </row>
    <row r="1439" spans="1:5" ht="14.25" thickBot="1">
      <c r="A1439" s="998"/>
      <c r="B1439" s="989"/>
      <c r="C1439" s="990" t="s">
        <v>3772</v>
      </c>
      <c r="D1439" s="991"/>
      <c r="E1439" s="999"/>
    </row>
    <row r="1440" spans="1:5">
      <c r="A1440" s="856">
        <v>39904</v>
      </c>
      <c r="B1440" s="125" t="str">
        <f>TiposLancamentos!B45</f>
        <v>Online Services</v>
      </c>
      <c r="C1440" s="139" t="s">
        <v>15207</v>
      </c>
      <c r="D1440" s="51"/>
      <c r="E1440" s="857">
        <v>9.9</v>
      </c>
    </row>
    <row r="1441" spans="1:6">
      <c r="A1441" s="856">
        <v>39904</v>
      </c>
      <c r="B1441" s="125" t="str">
        <f>TiposLancamentos!B22</f>
        <v>Combustivel</v>
      </c>
      <c r="C1441" s="139" t="s">
        <v>3381</v>
      </c>
      <c r="D1441" s="51"/>
      <c r="E1441" s="857">
        <v>60</v>
      </c>
    </row>
    <row r="1442" spans="1:6">
      <c r="A1442" s="856">
        <v>39904</v>
      </c>
      <c r="B1442" s="125" t="str">
        <f>TiposLancamentos!B15</f>
        <v>Cartões de Crédito</v>
      </c>
      <c r="C1442" s="139" t="s">
        <v>5924</v>
      </c>
      <c r="D1442" s="51"/>
      <c r="E1442" s="857">
        <v>901.56</v>
      </c>
    </row>
    <row r="1443" spans="1:6">
      <c r="A1443" s="856">
        <v>39904</v>
      </c>
      <c r="B1443" s="125" t="str">
        <f>TiposLancamentos!B2</f>
        <v>Telefonia</v>
      </c>
      <c r="C1443" s="139" t="s">
        <v>21402</v>
      </c>
      <c r="D1443" s="51"/>
      <c r="E1443" s="857">
        <v>49.66</v>
      </c>
    </row>
    <row r="1444" spans="1:6">
      <c r="A1444" s="856">
        <v>39904</v>
      </c>
      <c r="B1444" s="125" t="str">
        <f>TiposLancamentos!B3</f>
        <v>Internet</v>
      </c>
      <c r="C1444" s="139" t="s">
        <v>4987</v>
      </c>
      <c r="D1444" s="51"/>
      <c r="E1444" s="857">
        <v>89.9</v>
      </c>
    </row>
    <row r="1445" spans="1:6">
      <c r="A1445" s="856">
        <v>39904</v>
      </c>
      <c r="B1445" s="125" t="str">
        <f>TiposLancamentos!B15</f>
        <v>Cartões de Crédito</v>
      </c>
      <c r="C1445" s="139" t="s">
        <v>21403</v>
      </c>
      <c r="D1445" s="51"/>
      <c r="E1445" s="857">
        <v>355.68</v>
      </c>
    </row>
    <row r="1446" spans="1:6">
      <c r="A1446" s="856">
        <v>39904</v>
      </c>
      <c r="B1446" s="125" t="str">
        <f>TiposLancamentos!B4</f>
        <v>Taxas Bancarias</v>
      </c>
      <c r="C1446" s="139" t="s">
        <v>21099</v>
      </c>
      <c r="D1446" s="51"/>
      <c r="E1446" s="857">
        <v>3.64</v>
      </c>
    </row>
    <row r="1447" spans="1:6">
      <c r="A1447" s="856">
        <v>39906</v>
      </c>
      <c r="B1447" s="125" t="str">
        <f>TiposLancamentos!B17</f>
        <v>GATO</v>
      </c>
      <c r="C1447" s="139" t="s">
        <v>21404</v>
      </c>
      <c r="D1447" s="51"/>
      <c r="E1447" s="857">
        <v>45</v>
      </c>
    </row>
    <row r="1448" spans="1:6">
      <c r="A1448" s="856">
        <v>39906</v>
      </c>
      <c r="B1448" s="125" t="str">
        <f>TiposLancamentos!B16</f>
        <v>Cristiane</v>
      </c>
      <c r="C1448" s="139" t="s">
        <v>21405</v>
      </c>
      <c r="D1448" s="51"/>
      <c r="E1448" s="857">
        <v>172.48</v>
      </c>
    </row>
    <row r="1449" spans="1:6">
      <c r="A1449" s="856">
        <v>39906</v>
      </c>
      <c r="B1449" s="125" t="str">
        <f>TiposLancamentos!B98</f>
        <v>Restituições</v>
      </c>
      <c r="C1449" s="139" t="s">
        <v>21406</v>
      </c>
      <c r="D1449" s="51">
        <v>94.76</v>
      </c>
      <c r="E1449" s="857"/>
    </row>
    <row r="1450" spans="1:6">
      <c r="A1450" s="856">
        <v>39907</v>
      </c>
      <c r="B1450" s="125" t="str">
        <f>TiposLancamentos!B20</f>
        <v>Saques</v>
      </c>
      <c r="C1450" s="139" t="s">
        <v>3403</v>
      </c>
      <c r="D1450" s="51"/>
      <c r="E1450" s="857">
        <v>20</v>
      </c>
    </row>
    <row r="1451" spans="1:6">
      <c r="A1451" s="856">
        <v>39909</v>
      </c>
      <c r="B1451" s="125" t="str">
        <f>TiposLancamentos!B45</f>
        <v>Online Services</v>
      </c>
      <c r="C1451" s="139" t="s">
        <v>21407</v>
      </c>
      <c r="D1451" s="51"/>
      <c r="E1451" s="857">
        <v>49.47</v>
      </c>
    </row>
    <row r="1452" spans="1:6">
      <c r="A1452" s="961">
        <v>39909</v>
      </c>
      <c r="B1452" s="817" t="str">
        <f>TiposLancamentos!B19</f>
        <v>Restaurantes</v>
      </c>
      <c r="C1452" s="962" t="s">
        <v>21408</v>
      </c>
      <c r="D1452" s="809"/>
      <c r="E1452" s="965">
        <f>11.4+3.94</f>
        <v>15.34</v>
      </c>
    </row>
    <row r="1453" spans="1:6">
      <c r="A1453" s="963">
        <v>39909</v>
      </c>
      <c r="B1453" s="818" t="str">
        <f>TiposLancamentos!B27</f>
        <v>Jornais e revistas</v>
      </c>
      <c r="C1453" s="964" t="s">
        <v>21409</v>
      </c>
      <c r="D1453" s="813"/>
      <c r="E1453" s="966">
        <v>10</v>
      </c>
      <c r="F1453" s="36">
        <f>SUM(E1452:E1453)</f>
        <v>25.34</v>
      </c>
    </row>
    <row r="1454" spans="1:6">
      <c r="A1454" s="856">
        <v>39909</v>
      </c>
      <c r="B1454" s="125" t="str">
        <f>TiposLancamentos!B9</f>
        <v>Condominio</v>
      </c>
      <c r="C1454" s="139" t="s">
        <v>1684</v>
      </c>
      <c r="D1454" s="51"/>
      <c r="E1454" s="857">
        <v>714.79</v>
      </c>
    </row>
    <row r="1455" spans="1:6">
      <c r="A1455" s="856">
        <v>39910</v>
      </c>
      <c r="B1455" s="125" t="str">
        <f>TiposLancamentos!B19</f>
        <v>Restaurantes</v>
      </c>
      <c r="C1455" s="139" t="s">
        <v>21410</v>
      </c>
      <c r="D1455" s="51"/>
      <c r="E1455" s="857">
        <v>17.850000000000001</v>
      </c>
    </row>
    <row r="1456" spans="1:6">
      <c r="A1456" s="856">
        <v>39910</v>
      </c>
      <c r="B1456" s="125" t="str">
        <f>TiposLancamentos!B19</f>
        <v>Restaurantes</v>
      </c>
      <c r="C1456" s="139" t="s">
        <v>21411</v>
      </c>
      <c r="D1456" s="51"/>
      <c r="E1456" s="857">
        <v>27.91</v>
      </c>
    </row>
    <row r="1457" spans="1:6">
      <c r="A1457" s="856">
        <v>39911</v>
      </c>
      <c r="B1457" s="125" t="str">
        <f>TiposLancamentos!B17</f>
        <v>GATO</v>
      </c>
      <c r="C1457" s="139" t="s">
        <v>21412</v>
      </c>
      <c r="D1457" s="51"/>
      <c r="E1457" s="857">
        <v>123.9</v>
      </c>
    </row>
    <row r="1458" spans="1:6">
      <c r="A1458" s="856">
        <v>39911</v>
      </c>
      <c r="B1458" s="125" t="str">
        <f>TiposLancamentos!B19</f>
        <v>Restaurantes</v>
      </c>
      <c r="C1458" s="139" t="s">
        <v>21413</v>
      </c>
      <c r="D1458" s="51"/>
      <c r="E1458" s="857">
        <v>69.400000000000006</v>
      </c>
    </row>
    <row r="1459" spans="1:6">
      <c r="A1459" s="856">
        <v>39912</v>
      </c>
      <c r="B1459" s="125" t="str">
        <f>TiposLancamentos!B19</f>
        <v>Restaurantes</v>
      </c>
      <c r="C1459" s="139" t="s">
        <v>20809</v>
      </c>
      <c r="D1459" s="51"/>
      <c r="E1459" s="857">
        <v>19.2</v>
      </c>
    </row>
    <row r="1460" spans="1:6">
      <c r="A1460" s="856">
        <v>39912</v>
      </c>
      <c r="B1460" s="125" t="str">
        <f>TiposLancamentos!B56</f>
        <v>Farmácia</v>
      </c>
      <c r="C1460" s="139" t="s">
        <v>21414</v>
      </c>
      <c r="D1460" s="51"/>
      <c r="E1460" s="857">
        <v>21.51</v>
      </c>
    </row>
    <row r="1461" spans="1:6">
      <c r="A1461" s="856">
        <v>39913</v>
      </c>
      <c r="B1461" s="125" t="str">
        <f>TiposLancamentos!B19</f>
        <v>Restaurantes</v>
      </c>
      <c r="C1461" s="139" t="s">
        <v>21121</v>
      </c>
      <c r="D1461" s="51"/>
      <c r="E1461" s="857">
        <v>16.100000000000001</v>
      </c>
    </row>
    <row r="1462" spans="1:6">
      <c r="A1462" s="856">
        <v>39914</v>
      </c>
      <c r="B1462" s="125" t="str">
        <f>TiposLancamentos!B19</f>
        <v>Restaurantes</v>
      </c>
      <c r="C1462" s="139" t="s">
        <v>21415</v>
      </c>
      <c r="D1462" s="51"/>
      <c r="E1462" s="857">
        <v>15.5</v>
      </c>
    </row>
    <row r="1463" spans="1:6">
      <c r="A1463" s="856">
        <v>39915</v>
      </c>
      <c r="B1463" s="125" t="str">
        <f>TiposLancamentos!B19</f>
        <v>Restaurantes</v>
      </c>
      <c r="C1463" s="139" t="s">
        <v>10542</v>
      </c>
      <c r="D1463" s="51"/>
      <c r="E1463" s="857">
        <v>17.62</v>
      </c>
    </row>
    <row r="1464" spans="1:6">
      <c r="A1464" s="856">
        <v>39916</v>
      </c>
      <c r="B1464" s="125" t="str">
        <f>TiposLancamentos!B35</f>
        <v>Tv à Cabo</v>
      </c>
      <c r="C1464" s="139" t="s">
        <v>20738</v>
      </c>
      <c r="D1464" s="51"/>
      <c r="E1464" s="857">
        <v>168.8</v>
      </c>
    </row>
    <row r="1465" spans="1:6">
      <c r="A1465" s="961">
        <v>39916</v>
      </c>
      <c r="B1465" s="817" t="str">
        <f>TiposLancamentos!B8</f>
        <v>Aluguel</v>
      </c>
      <c r="C1465" s="962" t="s">
        <v>21416</v>
      </c>
      <c r="D1465" s="809"/>
      <c r="E1465" s="965">
        <f>F1466-E1466</f>
        <v>1029.1200000000001</v>
      </c>
    </row>
    <row r="1466" spans="1:6">
      <c r="A1466" s="963">
        <v>39916</v>
      </c>
      <c r="B1466" s="818" t="str">
        <f>TiposLancamentos!B12</f>
        <v>IPTU</v>
      </c>
      <c r="C1466" s="964" t="s">
        <v>13368</v>
      </c>
      <c r="D1466" s="813"/>
      <c r="E1466" s="966">
        <v>84.57</v>
      </c>
      <c r="F1466" s="36">
        <v>1113.69</v>
      </c>
    </row>
    <row r="1467" spans="1:6">
      <c r="A1467" s="856">
        <v>39916</v>
      </c>
      <c r="B1467" s="125" t="str">
        <f>TiposLancamentos!B32</f>
        <v>Clinicas e tratamentos</v>
      </c>
      <c r="C1467" s="139" t="s">
        <v>21417</v>
      </c>
      <c r="D1467" s="51"/>
      <c r="E1467" s="857">
        <v>518</v>
      </c>
    </row>
    <row r="1468" spans="1:6">
      <c r="A1468" s="856">
        <v>39917</v>
      </c>
      <c r="B1468" s="125" t="str">
        <f>TiposLancamentos!B22</f>
        <v>Combustivel</v>
      </c>
      <c r="C1468" s="139" t="s">
        <v>3615</v>
      </c>
      <c r="D1468" s="51"/>
      <c r="E1468" s="857">
        <v>60</v>
      </c>
    </row>
    <row r="1469" spans="1:6">
      <c r="A1469" s="856">
        <v>39917</v>
      </c>
      <c r="B1469" s="125" t="str">
        <f>TiposLancamentos!B16</f>
        <v>Cristiane</v>
      </c>
      <c r="C1469" s="139" t="s">
        <v>21418</v>
      </c>
      <c r="D1469" s="51"/>
      <c r="E1469" s="857">
        <v>173</v>
      </c>
    </row>
    <row r="1470" spans="1:6">
      <c r="A1470" s="856">
        <v>39918</v>
      </c>
      <c r="B1470" s="125" t="str">
        <f>TiposLancamentos!B95</f>
        <v>Salarios</v>
      </c>
      <c r="C1470" s="139" t="s">
        <v>4916</v>
      </c>
      <c r="D1470" s="51">
        <v>1747.9</v>
      </c>
      <c r="E1470" s="857"/>
    </row>
    <row r="1471" spans="1:6">
      <c r="A1471" s="856">
        <v>39918</v>
      </c>
      <c r="B1471" s="125" t="str">
        <f>TiposLancamentos!B24</f>
        <v>Estacionamentos</v>
      </c>
      <c r="C1471" s="139" t="s">
        <v>5392</v>
      </c>
      <c r="D1471" s="51"/>
      <c r="E1471" s="857">
        <v>47.04</v>
      </c>
    </row>
    <row r="1472" spans="1:6">
      <c r="A1472" s="856">
        <v>39918</v>
      </c>
      <c r="B1472" s="125" t="str">
        <f>TiposLancamentos!B19</f>
        <v>Restaurantes</v>
      </c>
      <c r="C1472" s="139" t="s">
        <v>3287</v>
      </c>
      <c r="D1472" s="51"/>
      <c r="E1472" s="857">
        <v>16.09</v>
      </c>
    </row>
    <row r="1473" spans="1:5">
      <c r="A1473" s="856">
        <v>39918</v>
      </c>
      <c r="B1473" s="125" t="str">
        <f>TiposLancamentos!B5</f>
        <v>Supermercado</v>
      </c>
      <c r="C1473" s="139" t="s">
        <v>5930</v>
      </c>
      <c r="D1473" s="51"/>
      <c r="E1473" s="857">
        <v>11.69</v>
      </c>
    </row>
    <row r="1474" spans="1:5">
      <c r="A1474" s="856">
        <v>39918</v>
      </c>
      <c r="B1474" s="125" t="str">
        <f>TiposLancamentos!B5</f>
        <v>Supermercado</v>
      </c>
      <c r="C1474" s="139" t="s">
        <v>2567</v>
      </c>
      <c r="D1474" s="51"/>
      <c r="E1474" s="857">
        <v>54.29</v>
      </c>
    </row>
    <row r="1475" spans="1:5">
      <c r="A1475" s="856">
        <v>39919</v>
      </c>
      <c r="B1475" s="125" t="str">
        <f>TiposLancamentos!B19</f>
        <v>Restaurantes</v>
      </c>
      <c r="C1475" s="139" t="s">
        <v>21419</v>
      </c>
      <c r="D1475" s="51"/>
      <c r="E1475" s="857">
        <v>14.95</v>
      </c>
    </row>
    <row r="1476" spans="1:5">
      <c r="A1476" s="856">
        <v>39919</v>
      </c>
      <c r="B1476" s="125" t="str">
        <f>TiposLancamentos!B20</f>
        <v>Saques</v>
      </c>
      <c r="C1476" s="139" t="s">
        <v>21420</v>
      </c>
      <c r="D1476" s="51"/>
      <c r="E1476" s="857">
        <v>10</v>
      </c>
    </row>
    <row r="1477" spans="1:5">
      <c r="A1477" s="856">
        <v>39919</v>
      </c>
      <c r="B1477" s="125" t="str">
        <f>TiposLancamentos!B32</f>
        <v>Clinicas e tratamentos</v>
      </c>
      <c r="C1477" s="139" t="s">
        <v>21421</v>
      </c>
      <c r="D1477" s="51"/>
      <c r="E1477" s="857">
        <v>181</v>
      </c>
    </row>
    <row r="1478" spans="1:5">
      <c r="A1478" s="856">
        <v>39919</v>
      </c>
      <c r="B1478" s="125" t="str">
        <f>TiposLancamentos!B5</f>
        <v>Supermercado</v>
      </c>
      <c r="C1478" s="139" t="s">
        <v>21422</v>
      </c>
      <c r="D1478" s="51"/>
      <c r="E1478" s="857">
        <v>11.74</v>
      </c>
    </row>
    <row r="1479" spans="1:5">
      <c r="A1479" s="856">
        <v>39919</v>
      </c>
      <c r="B1479" s="125" t="str">
        <f>TiposLancamentos!B16</f>
        <v>Cristiane</v>
      </c>
      <c r="C1479" s="139" t="s">
        <v>21423</v>
      </c>
      <c r="D1479" s="51"/>
      <c r="E1479" s="857">
        <v>135</v>
      </c>
    </row>
    <row r="1480" spans="1:5">
      <c r="A1480" s="856">
        <v>39920</v>
      </c>
      <c r="B1480" s="125" t="str">
        <f>TiposLancamentos!B19</f>
        <v>Restaurantes</v>
      </c>
      <c r="C1480" s="139" t="s">
        <v>21424</v>
      </c>
      <c r="D1480" s="51"/>
      <c r="E1480" s="857">
        <v>20.100000000000001</v>
      </c>
    </row>
    <row r="1481" spans="1:5">
      <c r="A1481" s="856">
        <v>39920</v>
      </c>
      <c r="B1481" s="125" t="str">
        <f>TiposLancamentos!B16</f>
        <v>Cristiane</v>
      </c>
      <c r="C1481" s="139" t="s">
        <v>21425</v>
      </c>
      <c r="D1481" s="51"/>
      <c r="E1481" s="857">
        <v>10.8</v>
      </c>
    </row>
    <row r="1482" spans="1:5">
      <c r="A1482" s="856">
        <v>39921</v>
      </c>
      <c r="B1482" s="125" t="str">
        <f>TiposLancamentos!B26</f>
        <v>LIVROS</v>
      </c>
      <c r="C1482" s="139" t="s">
        <v>21426</v>
      </c>
      <c r="D1482" s="51"/>
      <c r="E1482" s="857">
        <v>52</v>
      </c>
    </row>
    <row r="1483" spans="1:5">
      <c r="A1483" s="856">
        <v>39921</v>
      </c>
      <c r="B1483" s="125" t="str">
        <f>TiposLancamentos!B19</f>
        <v>Restaurantes</v>
      </c>
      <c r="C1483" s="139" t="s">
        <v>21427</v>
      </c>
      <c r="D1483" s="51"/>
      <c r="E1483" s="857">
        <v>27</v>
      </c>
    </row>
    <row r="1484" spans="1:5">
      <c r="A1484" s="856">
        <v>39921</v>
      </c>
      <c r="B1484" s="125" t="str">
        <f>TiposLancamentos!B5</f>
        <v>Supermercado</v>
      </c>
      <c r="C1484" s="139" t="s">
        <v>21428</v>
      </c>
      <c r="D1484" s="51"/>
      <c r="E1484" s="857">
        <v>51.61</v>
      </c>
    </row>
    <row r="1485" spans="1:5">
      <c r="A1485" s="856">
        <v>39921</v>
      </c>
      <c r="B1485" s="125" t="str">
        <f>TiposLancamentos!B5</f>
        <v>Supermercado</v>
      </c>
      <c r="C1485" s="139" t="s">
        <v>5930</v>
      </c>
      <c r="D1485" s="51"/>
      <c r="E1485" s="857">
        <v>38.75</v>
      </c>
    </row>
    <row r="1486" spans="1:5">
      <c r="A1486" s="856">
        <v>39921</v>
      </c>
      <c r="B1486" s="125" t="str">
        <f>TiposLancamentos!B5</f>
        <v>Supermercado</v>
      </c>
      <c r="C1486" s="139" t="s">
        <v>21429</v>
      </c>
      <c r="D1486" s="51"/>
      <c r="E1486" s="857">
        <v>17.53</v>
      </c>
    </row>
    <row r="1487" spans="1:5">
      <c r="A1487" s="856">
        <v>39921</v>
      </c>
      <c r="B1487" s="125" t="str">
        <f>TiposLancamentos!B56</f>
        <v>Farmácia</v>
      </c>
      <c r="C1487" s="139" t="s">
        <v>21430</v>
      </c>
      <c r="D1487" s="51"/>
      <c r="E1487" s="857">
        <v>19.95</v>
      </c>
    </row>
    <row r="1488" spans="1:5">
      <c r="A1488" s="856">
        <v>39922</v>
      </c>
      <c r="B1488" s="125" t="str">
        <f>TiposLancamentos!B19</f>
        <v>Restaurantes</v>
      </c>
      <c r="C1488" s="139" t="s">
        <v>21431</v>
      </c>
      <c r="D1488" s="51"/>
      <c r="E1488" s="857">
        <v>7.14</v>
      </c>
    </row>
    <row r="1489" spans="1:5">
      <c r="A1489" s="856">
        <v>39922</v>
      </c>
      <c r="B1489" s="125" t="str">
        <f>TiposLancamentos!B19</f>
        <v>Restaurantes</v>
      </c>
      <c r="C1489" s="139" t="s">
        <v>21432</v>
      </c>
      <c r="D1489" s="51"/>
      <c r="E1489" s="857">
        <v>1.96</v>
      </c>
    </row>
    <row r="1490" spans="1:5">
      <c r="A1490" s="856">
        <v>39923</v>
      </c>
      <c r="B1490" s="125" t="str">
        <f>TiposLancamentos!B20</f>
        <v>Saques</v>
      </c>
      <c r="C1490" s="139" t="s">
        <v>2655</v>
      </c>
      <c r="D1490" s="51"/>
      <c r="E1490" s="857">
        <v>10</v>
      </c>
    </row>
    <row r="1491" spans="1:5">
      <c r="A1491" s="856">
        <v>39923</v>
      </c>
      <c r="B1491" s="125" t="str">
        <f>TiposLancamentos!B5</f>
        <v>Supermercado</v>
      </c>
      <c r="C1491" s="139" t="s">
        <v>2567</v>
      </c>
      <c r="D1491" s="51"/>
      <c r="E1491" s="857">
        <v>36.61</v>
      </c>
    </row>
    <row r="1492" spans="1:5">
      <c r="A1492" s="856">
        <v>39924</v>
      </c>
      <c r="B1492" s="125" t="str">
        <f>TiposLancamentos!B19</f>
        <v>Restaurantes</v>
      </c>
      <c r="C1492" s="139" t="s">
        <v>21433</v>
      </c>
      <c r="D1492" s="51"/>
      <c r="E1492" s="857">
        <v>32</v>
      </c>
    </row>
    <row r="1493" spans="1:5">
      <c r="A1493" s="856">
        <v>39924</v>
      </c>
      <c r="B1493" s="125" t="str">
        <f>TiposLancamentos!B31</f>
        <v>Action Figures</v>
      </c>
      <c r="C1493" s="139" t="s">
        <v>21434</v>
      </c>
      <c r="D1493" s="51"/>
      <c r="E1493" s="857">
        <v>80</v>
      </c>
    </row>
    <row r="1494" spans="1:5">
      <c r="A1494" s="856">
        <v>39925</v>
      </c>
      <c r="B1494" s="125" t="str">
        <f>TiposLancamentos!B98</f>
        <v>Restituições</v>
      </c>
      <c r="C1494" s="139" t="s">
        <v>21435</v>
      </c>
      <c r="D1494" s="51">
        <v>229.18</v>
      </c>
      <c r="E1494" s="857"/>
    </row>
    <row r="1495" spans="1:5">
      <c r="A1495" s="864">
        <v>39925</v>
      </c>
      <c r="B1495" s="76" t="str">
        <f>TiposLancamentos!B19</f>
        <v>Restaurantes</v>
      </c>
      <c r="C1495" s="147" t="s">
        <v>21047</v>
      </c>
      <c r="D1495" s="63"/>
      <c r="E1495" s="865">
        <v>36.799999999999997</v>
      </c>
    </row>
    <row r="1496" spans="1:5">
      <c r="A1496" s="856">
        <v>39927</v>
      </c>
      <c r="B1496" s="125" t="str">
        <f>TiposLancamentos!B19</f>
        <v>Restaurantes</v>
      </c>
      <c r="C1496" s="139" t="s">
        <v>21436</v>
      </c>
      <c r="D1496" s="51"/>
      <c r="E1496" s="857">
        <v>15.58</v>
      </c>
    </row>
    <row r="1497" spans="1:5">
      <c r="A1497" s="856">
        <v>39927</v>
      </c>
      <c r="B1497" s="125" t="str">
        <f>TiposLancamentos!B19</f>
        <v>Restaurantes</v>
      </c>
      <c r="C1497" s="139" t="s">
        <v>21437</v>
      </c>
      <c r="D1497" s="51"/>
      <c r="E1497" s="857">
        <v>7.6</v>
      </c>
    </row>
    <row r="1498" spans="1:5">
      <c r="A1498" s="856">
        <v>39927</v>
      </c>
      <c r="B1498" s="125" t="str">
        <f>TiposLancamentos!B19</f>
        <v>Restaurantes</v>
      </c>
      <c r="C1498" s="139" t="s">
        <v>3618</v>
      </c>
      <c r="D1498" s="51"/>
      <c r="E1498" s="857">
        <v>33.549999999999997</v>
      </c>
    </row>
    <row r="1499" spans="1:5">
      <c r="A1499" s="856">
        <v>39929</v>
      </c>
      <c r="B1499" s="125" t="str">
        <f>TiposLancamentos!B20</f>
        <v>Saques</v>
      </c>
      <c r="C1499" s="139" t="s">
        <v>3778</v>
      </c>
      <c r="D1499" s="51"/>
      <c r="E1499" s="857">
        <v>20</v>
      </c>
    </row>
    <row r="1500" spans="1:5">
      <c r="A1500" s="856">
        <v>39930</v>
      </c>
      <c r="B1500" s="125" t="str">
        <f>TiposLancamentos!B19</f>
        <v>Restaurantes</v>
      </c>
      <c r="C1500" s="139" t="s">
        <v>21438</v>
      </c>
      <c r="D1500" s="51"/>
      <c r="E1500" s="857">
        <v>10.5</v>
      </c>
    </row>
    <row r="1501" spans="1:5">
      <c r="A1501" s="856">
        <v>39933</v>
      </c>
      <c r="B1501" s="125" t="str">
        <f>TiposLancamentos!B95</f>
        <v>Salarios</v>
      </c>
      <c r="C1501" s="126" t="s">
        <v>4939</v>
      </c>
      <c r="D1501" s="51">
        <v>5928.99</v>
      </c>
      <c r="E1501" s="857"/>
    </row>
    <row r="1502" spans="1:5">
      <c r="A1502" s="856">
        <v>39933</v>
      </c>
      <c r="B1502" s="125" t="str">
        <f>TiposLancamentos!B4</f>
        <v>Taxas Bancarias</v>
      </c>
      <c r="C1502" s="139" t="s">
        <v>20667</v>
      </c>
      <c r="D1502" s="51"/>
      <c r="E1502" s="857">
        <v>59.06</v>
      </c>
    </row>
    <row r="1503" spans="1:5">
      <c r="A1503" s="856">
        <v>39933</v>
      </c>
      <c r="B1503" s="125" t="str">
        <f>TiposLancamentos!B6</f>
        <v>Energia Eletrica</v>
      </c>
      <c r="C1503" s="139" t="s">
        <v>20672</v>
      </c>
      <c r="D1503" s="51"/>
      <c r="E1503" s="857">
        <v>113.46</v>
      </c>
    </row>
    <row r="1504" spans="1:5" ht="14.25" thickBot="1">
      <c r="A1504" s="856">
        <v>39933</v>
      </c>
      <c r="B1504" s="125" t="str">
        <f>TiposLancamentos!B16</f>
        <v>Cristiane</v>
      </c>
      <c r="C1504" s="139" t="s">
        <v>21301</v>
      </c>
      <c r="D1504" s="51"/>
      <c r="E1504" s="857">
        <v>50</v>
      </c>
    </row>
    <row r="1505" spans="1:6" ht="14.25" thickBot="1">
      <c r="A1505" s="998"/>
      <c r="B1505" s="989"/>
      <c r="C1505" s="990" t="s">
        <v>5703</v>
      </c>
      <c r="D1505" s="991"/>
      <c r="E1505" s="999"/>
    </row>
    <row r="1506" spans="1:6">
      <c r="A1506" s="856">
        <v>39934</v>
      </c>
      <c r="B1506" s="125" t="str">
        <f>TiposLancamentos!B19</f>
        <v>Restaurantes</v>
      </c>
      <c r="C1506" s="139" t="s">
        <v>21439</v>
      </c>
      <c r="D1506" s="51"/>
      <c r="E1506" s="857">
        <v>43.31</v>
      </c>
    </row>
    <row r="1507" spans="1:6">
      <c r="A1507" s="955">
        <v>39935</v>
      </c>
      <c r="B1507" s="819" t="str">
        <f>TiposLancamentos!B18</f>
        <v>Alimentacao</v>
      </c>
      <c r="C1507" s="148" t="s">
        <v>21440</v>
      </c>
      <c r="D1507" s="132"/>
      <c r="E1507" s="956">
        <v>4.6900000000000004</v>
      </c>
    </row>
    <row r="1508" spans="1:6">
      <c r="A1508" s="957">
        <v>39935</v>
      </c>
      <c r="B1508" s="820" t="str">
        <f>TiposLancamentos!B51</f>
        <v>Marlboro</v>
      </c>
      <c r="C1508" s="149" t="s">
        <v>21441</v>
      </c>
      <c r="D1508" s="133"/>
      <c r="E1508" s="958">
        <v>3.4</v>
      </c>
      <c r="F1508" s="36">
        <f>SUM(E1507:E1508)</f>
        <v>8.09</v>
      </c>
    </row>
    <row r="1509" spans="1:6">
      <c r="A1509" s="856">
        <v>39935</v>
      </c>
      <c r="B1509" s="125" t="str">
        <f>TiposLancamentos!B18</f>
        <v>Alimentacao</v>
      </c>
      <c r="C1509" s="139" t="s">
        <v>3622</v>
      </c>
      <c r="D1509" s="51"/>
      <c r="E1509" s="857">
        <v>4.4000000000000004</v>
      </c>
    </row>
    <row r="1510" spans="1:6">
      <c r="A1510" s="856">
        <v>39935</v>
      </c>
      <c r="B1510" s="125" t="str">
        <f>TiposLancamentos!B16</f>
        <v>Cristiane</v>
      </c>
      <c r="C1510" s="139" t="s">
        <v>21442</v>
      </c>
      <c r="D1510" s="51"/>
      <c r="E1510" s="857">
        <v>11</v>
      </c>
    </row>
    <row r="1511" spans="1:6">
      <c r="A1511" s="856">
        <v>39935</v>
      </c>
      <c r="B1511" s="125" t="str">
        <f>TiposLancamentos!B16</f>
        <v>Cristiane</v>
      </c>
      <c r="C1511" s="139" t="s">
        <v>21443</v>
      </c>
      <c r="D1511" s="51"/>
      <c r="E1511" s="857">
        <v>185.7</v>
      </c>
    </row>
    <row r="1512" spans="1:6">
      <c r="A1512" s="856">
        <v>39935</v>
      </c>
      <c r="B1512" s="125" t="str">
        <f>TiposLancamentos!B19</f>
        <v>Restaurantes</v>
      </c>
      <c r="C1512" s="139" t="s">
        <v>4504</v>
      </c>
      <c r="D1512" s="51"/>
      <c r="E1512" s="857">
        <v>54.8</v>
      </c>
    </row>
    <row r="1513" spans="1:6">
      <c r="A1513" s="856">
        <v>39936</v>
      </c>
      <c r="B1513" s="125" t="str">
        <f>TiposLancamentos!B19</f>
        <v>Restaurantes</v>
      </c>
      <c r="C1513" s="139" t="s">
        <v>21444</v>
      </c>
      <c r="D1513" s="51"/>
      <c r="E1513" s="857">
        <v>87.12</v>
      </c>
    </row>
    <row r="1514" spans="1:6">
      <c r="A1514" s="955">
        <v>39936</v>
      </c>
      <c r="B1514" s="819" t="str">
        <f>TiposLancamentos!B31</f>
        <v>Action Figures</v>
      </c>
      <c r="C1514" s="148" t="s">
        <v>21445</v>
      </c>
      <c r="D1514" s="132"/>
      <c r="E1514" s="956">
        <v>98</v>
      </c>
    </row>
    <row r="1515" spans="1:6">
      <c r="A1515" s="957">
        <v>39936</v>
      </c>
      <c r="B1515" s="820" t="str">
        <f>TiposLancamentos!B16</f>
        <v>Cristiane</v>
      </c>
      <c r="C1515" s="149" t="s">
        <v>21446</v>
      </c>
      <c r="D1515" s="133"/>
      <c r="E1515" s="958">
        <v>40</v>
      </c>
      <c r="F1515" s="36">
        <f>SUM(E1514:E1515)</f>
        <v>138</v>
      </c>
    </row>
    <row r="1516" spans="1:6">
      <c r="A1516" s="856">
        <v>39937</v>
      </c>
      <c r="B1516" s="125" t="str">
        <f>TiposLancamentos!B45</f>
        <v>Online Services</v>
      </c>
      <c r="C1516" s="139" t="s">
        <v>15207</v>
      </c>
      <c r="D1516" s="51"/>
      <c r="E1516" s="857">
        <v>9.9</v>
      </c>
    </row>
    <row r="1517" spans="1:6">
      <c r="A1517" s="856">
        <v>39937</v>
      </c>
      <c r="B1517" s="125" t="str">
        <f>TiposLancamentos!B2</f>
        <v>Telefonia</v>
      </c>
      <c r="C1517" s="139" t="s">
        <v>21447</v>
      </c>
      <c r="D1517" s="51"/>
      <c r="E1517" s="857">
        <v>54.81</v>
      </c>
    </row>
    <row r="1518" spans="1:6">
      <c r="A1518" s="856">
        <v>39937</v>
      </c>
      <c r="B1518" s="125" t="str">
        <f>TiposLancamentos!B3</f>
        <v>Internet</v>
      </c>
      <c r="C1518" s="139" t="s">
        <v>4987</v>
      </c>
      <c r="D1518" s="51"/>
      <c r="E1518" s="857">
        <v>89.9</v>
      </c>
    </row>
    <row r="1519" spans="1:6">
      <c r="A1519" s="856">
        <v>39937</v>
      </c>
      <c r="B1519" s="125" t="str">
        <f>TiposLancamentos!B15</f>
        <v>Cartões de Crédito</v>
      </c>
      <c r="C1519" s="139" t="s">
        <v>5557</v>
      </c>
      <c r="D1519" s="51"/>
      <c r="E1519" s="857">
        <v>950.74</v>
      </c>
    </row>
    <row r="1520" spans="1:6">
      <c r="A1520" s="856">
        <v>39937</v>
      </c>
      <c r="B1520" s="125" t="str">
        <f>TiposLancamentos!B15</f>
        <v>Cartões de Crédito</v>
      </c>
      <c r="C1520" s="139" t="s">
        <v>5924</v>
      </c>
      <c r="D1520" s="51"/>
      <c r="E1520" s="857">
        <v>420.55</v>
      </c>
    </row>
    <row r="1521" spans="1:6">
      <c r="A1521" s="856">
        <v>39937</v>
      </c>
      <c r="B1521" s="125" t="str">
        <f>TiposLancamentos!B15</f>
        <v>Cartões de Crédito</v>
      </c>
      <c r="C1521" s="139" t="s">
        <v>5558</v>
      </c>
      <c r="D1521" s="51"/>
      <c r="E1521" s="857">
        <v>997.81</v>
      </c>
    </row>
    <row r="1522" spans="1:6">
      <c r="A1522" s="856">
        <v>39937</v>
      </c>
      <c r="B1522" s="125" t="str">
        <f>TiposLancamentos!B9</f>
        <v>Condominio</v>
      </c>
      <c r="C1522" s="139" t="s">
        <v>21448</v>
      </c>
      <c r="D1522" s="51"/>
      <c r="E1522" s="857">
        <v>700.58</v>
      </c>
    </row>
    <row r="1523" spans="1:6">
      <c r="A1523" s="856">
        <v>39937</v>
      </c>
      <c r="B1523" s="125" t="str">
        <f>TiposLancamentos!B19</f>
        <v>Restaurantes</v>
      </c>
      <c r="C1523" s="139" t="s">
        <v>21449</v>
      </c>
      <c r="D1523" s="51"/>
      <c r="E1523" s="857">
        <v>32.22</v>
      </c>
    </row>
    <row r="1524" spans="1:6">
      <c r="A1524" s="856">
        <v>39937</v>
      </c>
      <c r="B1524" s="125" t="str">
        <f>TiposLancamentos!B30</f>
        <v>Cinema</v>
      </c>
      <c r="C1524" s="139" t="s">
        <v>21450</v>
      </c>
      <c r="D1524" s="51"/>
      <c r="E1524" s="857">
        <v>28</v>
      </c>
    </row>
    <row r="1525" spans="1:6">
      <c r="A1525" s="856">
        <v>39937</v>
      </c>
      <c r="B1525" s="125" t="str">
        <f>TiposLancamentos!B18</f>
        <v>Alimentacao</v>
      </c>
      <c r="C1525" s="139" t="s">
        <v>21451</v>
      </c>
      <c r="D1525" s="51"/>
      <c r="E1525" s="857">
        <v>21.75</v>
      </c>
    </row>
    <row r="1526" spans="1:6">
      <c r="A1526" s="856">
        <v>39937</v>
      </c>
      <c r="B1526" s="125" t="str">
        <f>TiposLancamentos!B4</f>
        <v>Taxas Bancarias</v>
      </c>
      <c r="C1526" s="139" t="s">
        <v>21099</v>
      </c>
      <c r="D1526" s="51"/>
      <c r="E1526" s="857">
        <v>11.8</v>
      </c>
    </row>
    <row r="1527" spans="1:6">
      <c r="A1527" s="856">
        <v>39938</v>
      </c>
      <c r="B1527" s="125" t="str">
        <f>TiposLancamentos!B5</f>
        <v>Supermercado</v>
      </c>
      <c r="C1527" s="139" t="s">
        <v>2567</v>
      </c>
      <c r="D1527" s="51"/>
      <c r="E1527" s="857">
        <v>10.76</v>
      </c>
    </row>
    <row r="1528" spans="1:6">
      <c r="A1528" s="856">
        <v>39938</v>
      </c>
      <c r="B1528" s="125" t="str">
        <f>TiposLancamentos!B16</f>
        <v>Cristiane</v>
      </c>
      <c r="C1528" s="139" t="s">
        <v>21452</v>
      </c>
      <c r="D1528" s="51"/>
      <c r="E1528" s="857">
        <v>172.48</v>
      </c>
    </row>
    <row r="1529" spans="1:6">
      <c r="A1529" s="856">
        <v>39939</v>
      </c>
      <c r="B1529" s="125" t="str">
        <f>TiposLancamentos!B97</f>
        <v>Deposito Terc.</v>
      </c>
      <c r="C1529" s="139" t="s">
        <v>21453</v>
      </c>
      <c r="D1529" s="51">
        <v>200</v>
      </c>
      <c r="E1529" s="857"/>
    </row>
    <row r="1530" spans="1:6">
      <c r="A1530" s="856">
        <v>39939</v>
      </c>
      <c r="B1530" s="125" t="str">
        <f>TiposLancamentos!B22</f>
        <v>Combustivel</v>
      </c>
      <c r="C1530" s="139" t="s">
        <v>21454</v>
      </c>
      <c r="D1530" s="51"/>
      <c r="E1530" s="857">
        <v>60</v>
      </c>
    </row>
    <row r="1531" spans="1:6">
      <c r="A1531" s="856">
        <v>39939</v>
      </c>
      <c r="B1531" s="125" t="str">
        <f>TiposLancamentos!B19</f>
        <v>Restaurantes</v>
      </c>
      <c r="C1531" s="139" t="s">
        <v>21455</v>
      </c>
      <c r="D1531" s="51"/>
      <c r="E1531" s="857">
        <v>31.8</v>
      </c>
    </row>
    <row r="1532" spans="1:6">
      <c r="A1532" s="856">
        <v>39939</v>
      </c>
      <c r="B1532" s="125" t="str">
        <f>TiposLancamentos!B17</f>
        <v>GATO</v>
      </c>
      <c r="C1532" s="139" t="s">
        <v>21456</v>
      </c>
      <c r="D1532" s="51"/>
      <c r="E1532" s="857">
        <v>48.28</v>
      </c>
    </row>
    <row r="1533" spans="1:6">
      <c r="A1533" s="856">
        <v>39939</v>
      </c>
      <c r="B1533" s="125" t="str">
        <f>TiposLancamentos!B71</f>
        <v>Itens Pessoais</v>
      </c>
      <c r="C1533" s="139" t="s">
        <v>21457</v>
      </c>
      <c r="D1533" s="51"/>
      <c r="E1533" s="857">
        <v>16.45</v>
      </c>
    </row>
    <row r="1534" spans="1:6">
      <c r="A1534" s="955">
        <v>39941</v>
      </c>
      <c r="B1534" s="819" t="str">
        <f>TiposLancamentos!B56</f>
        <v>Farmácia</v>
      </c>
      <c r="C1534" s="148" t="s">
        <v>5108</v>
      </c>
      <c r="D1534" s="132"/>
      <c r="E1534" s="956">
        <f>24-6.5</f>
        <v>17.5</v>
      </c>
    </row>
    <row r="1535" spans="1:6">
      <c r="A1535" s="957">
        <v>39941</v>
      </c>
      <c r="B1535" s="820" t="str">
        <f>TiposLancamentos!B57</f>
        <v>Informática</v>
      </c>
      <c r="C1535" s="149" t="s">
        <v>21458</v>
      </c>
      <c r="D1535" s="133"/>
      <c r="E1535" s="958">
        <v>6.5</v>
      </c>
      <c r="F1535" s="36">
        <f>SUM(E1534:E1535)</f>
        <v>24</v>
      </c>
    </row>
    <row r="1536" spans="1:6">
      <c r="A1536" s="955">
        <v>39941</v>
      </c>
      <c r="B1536" s="819" t="str">
        <f>TiposLancamentos!B72</f>
        <v>Presentes</v>
      </c>
      <c r="C1536" s="148" t="s">
        <v>21459</v>
      </c>
      <c r="D1536" s="132"/>
      <c r="E1536" s="956">
        <v>10</v>
      </c>
    </row>
    <row r="1537" spans="1:6">
      <c r="A1537" s="957">
        <v>39941</v>
      </c>
      <c r="B1537" s="820" t="str">
        <f>TiposLancamentos!B19</f>
        <v>Restaurantes</v>
      </c>
      <c r="C1537" s="149" t="s">
        <v>21460</v>
      </c>
      <c r="D1537" s="133"/>
      <c r="E1537" s="958">
        <v>16</v>
      </c>
      <c r="F1537" s="36">
        <f>SUM(E1536:E1537)</f>
        <v>26</v>
      </c>
    </row>
    <row r="1538" spans="1:6">
      <c r="A1538" s="856">
        <v>39941</v>
      </c>
      <c r="B1538" s="125" t="str">
        <f>TiposLancamentos!B56</f>
        <v>Farmácia</v>
      </c>
      <c r="C1538" s="139" t="s">
        <v>5108</v>
      </c>
      <c r="D1538" s="51"/>
      <c r="E1538" s="857">
        <v>36.35</v>
      </c>
    </row>
    <row r="1539" spans="1:6">
      <c r="A1539" s="856">
        <v>39943</v>
      </c>
      <c r="B1539" s="125" t="str">
        <f>TiposLancamentos!B5</f>
        <v>Supermercado</v>
      </c>
      <c r="C1539" s="139" t="s">
        <v>21461</v>
      </c>
      <c r="D1539" s="51"/>
      <c r="E1539" s="857">
        <v>43.38</v>
      </c>
    </row>
    <row r="1540" spans="1:6">
      <c r="A1540" s="856">
        <v>39943</v>
      </c>
      <c r="B1540" s="125" t="str">
        <f>TiposLancamentos!B16</f>
        <v>Cristiane</v>
      </c>
      <c r="C1540" s="139" t="s">
        <v>21462</v>
      </c>
      <c r="D1540" s="51"/>
      <c r="E1540" s="857">
        <v>57.38</v>
      </c>
    </row>
    <row r="1541" spans="1:6">
      <c r="A1541" s="856">
        <v>39944</v>
      </c>
      <c r="B1541" s="125" t="str">
        <f>TiposLancamentos!B35</f>
        <v>Tv à Cabo</v>
      </c>
      <c r="C1541" s="139" t="s">
        <v>21096</v>
      </c>
      <c r="D1541" s="51"/>
      <c r="E1541" s="857">
        <v>173.7</v>
      </c>
    </row>
    <row r="1542" spans="1:6">
      <c r="A1542" s="955">
        <v>39944</v>
      </c>
      <c r="B1542" s="819" t="str">
        <f>TiposLancamentos!B8</f>
        <v>Aluguel</v>
      </c>
      <c r="C1542" s="148" t="s">
        <v>21463</v>
      </c>
      <c r="D1542" s="132"/>
      <c r="E1542" s="956">
        <f>F1543-E1543</f>
        <v>1003.95</v>
      </c>
    </row>
    <row r="1543" spans="1:6">
      <c r="A1543" s="957">
        <v>39944</v>
      </c>
      <c r="B1543" s="820" t="str">
        <f>TiposLancamentos!B12</f>
        <v>IPTU</v>
      </c>
      <c r="C1543" s="149" t="s">
        <v>13376</v>
      </c>
      <c r="D1543" s="133"/>
      <c r="E1543" s="958">
        <v>84.57</v>
      </c>
      <c r="F1543" s="3">
        <v>1088.52</v>
      </c>
    </row>
    <row r="1544" spans="1:6">
      <c r="A1544" s="856">
        <v>39944</v>
      </c>
      <c r="B1544" s="125" t="str">
        <f>TiposLancamentos!B20</f>
        <v>Saques</v>
      </c>
      <c r="C1544" s="139" t="s">
        <v>2876</v>
      </c>
      <c r="D1544" s="51"/>
      <c r="E1544" s="857">
        <v>40</v>
      </c>
    </row>
    <row r="1545" spans="1:6">
      <c r="A1545" s="856">
        <v>39944</v>
      </c>
      <c r="B1545" s="125" t="str">
        <f>TiposLancamentos!B5</f>
        <v>Supermercado</v>
      </c>
      <c r="C1545" s="139" t="s">
        <v>21464</v>
      </c>
      <c r="D1545" s="51"/>
      <c r="E1545" s="857">
        <v>33.78</v>
      </c>
    </row>
    <row r="1546" spans="1:6">
      <c r="A1546" s="856">
        <v>39945</v>
      </c>
      <c r="B1546" s="125" t="str">
        <f>TiposLancamentos!B5</f>
        <v>Supermercado</v>
      </c>
      <c r="C1546" s="139" t="s">
        <v>21464</v>
      </c>
      <c r="D1546" s="51"/>
      <c r="E1546" s="857">
        <v>26.98</v>
      </c>
    </row>
    <row r="1547" spans="1:6">
      <c r="A1547" s="856">
        <v>39946</v>
      </c>
      <c r="B1547" s="125" t="str">
        <f>TiposLancamentos!B71</f>
        <v>Itens Pessoais</v>
      </c>
      <c r="C1547" s="139" t="s">
        <v>2035</v>
      </c>
      <c r="D1547" s="51"/>
      <c r="E1547" s="857">
        <v>15</v>
      </c>
    </row>
    <row r="1548" spans="1:6">
      <c r="A1548" s="856">
        <v>39946</v>
      </c>
      <c r="B1548" s="125" t="str">
        <f>TiposLancamentos!B20</f>
        <v>Saques</v>
      </c>
      <c r="C1548" s="139" t="s">
        <v>3403</v>
      </c>
      <c r="D1548" s="51"/>
      <c r="E1548" s="857">
        <v>50</v>
      </c>
    </row>
    <row r="1549" spans="1:6">
      <c r="A1549" s="856">
        <v>39946</v>
      </c>
      <c r="B1549" s="125" t="str">
        <f>TiposLancamentos!B5</f>
        <v>Supermercado</v>
      </c>
      <c r="C1549" s="139" t="s">
        <v>21465</v>
      </c>
      <c r="D1549" s="51"/>
      <c r="E1549" s="857">
        <v>37.6</v>
      </c>
    </row>
    <row r="1550" spans="1:6">
      <c r="A1550" s="856">
        <v>39947</v>
      </c>
      <c r="B1550" s="125" t="str">
        <f>TiposLancamentos!B19</f>
        <v>Restaurantes</v>
      </c>
      <c r="C1550" s="139" t="s">
        <v>21112</v>
      </c>
      <c r="D1550" s="51"/>
      <c r="E1550" s="857">
        <v>16.149999999999999</v>
      </c>
    </row>
    <row r="1551" spans="1:6">
      <c r="A1551" s="856">
        <v>39947</v>
      </c>
      <c r="B1551" s="125" t="str">
        <f>TiposLancamentos!B5</f>
        <v>Supermercado</v>
      </c>
      <c r="C1551" s="139" t="s">
        <v>21464</v>
      </c>
      <c r="D1551" s="51"/>
      <c r="E1551" s="857">
        <v>77.77</v>
      </c>
    </row>
    <row r="1552" spans="1:6">
      <c r="A1552" s="856">
        <v>39948</v>
      </c>
      <c r="B1552" s="125" t="str">
        <f>TiposLancamentos!B24</f>
        <v>Estacionamentos</v>
      </c>
      <c r="C1552" s="139" t="s">
        <v>5392</v>
      </c>
      <c r="D1552" s="51"/>
      <c r="E1552" s="857">
        <v>26.04</v>
      </c>
    </row>
    <row r="1553" spans="1:5">
      <c r="A1553" s="856">
        <v>39948</v>
      </c>
      <c r="B1553" s="125" t="str">
        <f>TiposLancamentos!B95</f>
        <v>Salarios</v>
      </c>
      <c r="C1553" s="139" t="s">
        <v>4916</v>
      </c>
      <c r="D1553" s="51">
        <v>1747.9</v>
      </c>
      <c r="E1553" s="857"/>
    </row>
    <row r="1554" spans="1:5">
      <c r="A1554" s="856">
        <v>39948</v>
      </c>
      <c r="B1554" s="125" t="str">
        <f>TiposLancamentos!B19</f>
        <v>Restaurantes</v>
      </c>
      <c r="C1554" s="139" t="s">
        <v>5713</v>
      </c>
      <c r="D1554" s="51"/>
      <c r="E1554" s="857">
        <v>19.7</v>
      </c>
    </row>
    <row r="1555" spans="1:5">
      <c r="A1555" s="856">
        <v>39948</v>
      </c>
      <c r="B1555" s="125" t="str">
        <f>TiposLancamentos!B16</f>
        <v>Cristiane</v>
      </c>
      <c r="C1555" s="139" t="s">
        <v>21466</v>
      </c>
      <c r="D1555" s="51"/>
      <c r="E1555" s="857">
        <v>135</v>
      </c>
    </row>
    <row r="1556" spans="1:5">
      <c r="A1556" s="856">
        <v>39948</v>
      </c>
      <c r="B1556" s="125" t="str">
        <f>TiposLancamentos!B32</f>
        <v>Clinicas e tratamentos</v>
      </c>
      <c r="C1556" s="139" t="s">
        <v>21467</v>
      </c>
      <c r="D1556" s="51"/>
      <c r="E1556" s="857">
        <v>518</v>
      </c>
    </row>
    <row r="1557" spans="1:5">
      <c r="A1557" s="856">
        <v>39949</v>
      </c>
      <c r="B1557" s="125" t="str">
        <f>TiposLancamentos!B17</f>
        <v>GATO</v>
      </c>
      <c r="C1557" s="139" t="s">
        <v>21468</v>
      </c>
      <c r="D1557" s="51"/>
      <c r="E1557" s="857">
        <v>118.9</v>
      </c>
    </row>
    <row r="1558" spans="1:5">
      <c r="A1558" s="856">
        <v>39949</v>
      </c>
      <c r="B1558" s="125" t="str">
        <f>TiposLancamentos!B19</f>
        <v>Restaurantes</v>
      </c>
      <c r="C1558" s="139" t="s">
        <v>21469</v>
      </c>
      <c r="D1558" s="51"/>
      <c r="E1558" s="857">
        <v>30.91</v>
      </c>
    </row>
    <row r="1559" spans="1:5">
      <c r="A1559" s="856">
        <v>39949</v>
      </c>
      <c r="B1559" s="125" t="str">
        <f>TiposLancamentos!B20</f>
        <v>Saques</v>
      </c>
      <c r="C1559" s="139" t="s">
        <v>2668</v>
      </c>
      <c r="D1559" s="51"/>
      <c r="E1559" s="857">
        <v>180</v>
      </c>
    </row>
    <row r="1560" spans="1:5">
      <c r="A1560" s="856">
        <v>39950</v>
      </c>
      <c r="B1560" s="125" t="str">
        <f>TiposLancamentos!B72</f>
        <v>Presentes</v>
      </c>
      <c r="C1560" s="139" t="s">
        <v>21470</v>
      </c>
      <c r="D1560" s="51"/>
      <c r="E1560" s="857">
        <v>39.9</v>
      </c>
    </row>
    <row r="1561" spans="1:5">
      <c r="A1561" s="856">
        <v>39950</v>
      </c>
      <c r="B1561" s="125" t="str">
        <f>TiposLancamentos!B5</f>
        <v>Supermercado</v>
      </c>
      <c r="C1561" s="139" t="s">
        <v>5967</v>
      </c>
      <c r="D1561" s="51"/>
      <c r="E1561" s="857">
        <v>58.65</v>
      </c>
    </row>
    <row r="1562" spans="1:5">
      <c r="A1562" s="856">
        <v>39950</v>
      </c>
      <c r="B1562" s="125" t="str">
        <f>TiposLancamentos!B56</f>
        <v>Farmácia</v>
      </c>
      <c r="C1562" s="139" t="s">
        <v>21471</v>
      </c>
      <c r="D1562" s="51"/>
      <c r="E1562" s="857">
        <v>31.22</v>
      </c>
    </row>
    <row r="1563" spans="1:5">
      <c r="A1563" s="856">
        <v>39949</v>
      </c>
      <c r="B1563" s="125" t="str">
        <f>TiposLancamentos!B19</f>
        <v>Restaurantes</v>
      </c>
      <c r="C1563" s="139" t="s">
        <v>3287</v>
      </c>
      <c r="D1563" s="51"/>
      <c r="E1563" s="857">
        <v>16.670000000000002</v>
      </c>
    </row>
    <row r="1564" spans="1:5">
      <c r="A1564" s="856">
        <v>39952</v>
      </c>
      <c r="B1564" s="125" t="str">
        <f>TiposLancamentos!B56</f>
        <v>Farmácia</v>
      </c>
      <c r="C1564" s="139" t="s">
        <v>21472</v>
      </c>
      <c r="D1564" s="51"/>
      <c r="E1564" s="857">
        <v>31.36</v>
      </c>
    </row>
    <row r="1565" spans="1:5">
      <c r="A1565" s="856">
        <v>39952</v>
      </c>
      <c r="B1565" s="125" t="str">
        <f>TiposLancamentos!B22</f>
        <v>Combustivel</v>
      </c>
      <c r="C1565" s="139" t="s">
        <v>21473</v>
      </c>
      <c r="D1565" s="51"/>
      <c r="E1565" s="857">
        <v>60</v>
      </c>
    </row>
    <row r="1566" spans="1:5">
      <c r="A1566" s="856">
        <v>39953</v>
      </c>
      <c r="B1566" s="125" t="str">
        <f>TiposLancamentos!B19</f>
        <v>Restaurantes</v>
      </c>
      <c r="C1566" s="139" t="s">
        <v>21474</v>
      </c>
      <c r="D1566" s="51"/>
      <c r="E1566" s="857">
        <v>23.65</v>
      </c>
    </row>
    <row r="1567" spans="1:5">
      <c r="A1567" s="856">
        <v>39954</v>
      </c>
      <c r="B1567" s="125" t="str">
        <f>TiposLancamentos!B5</f>
        <v>Supermercado</v>
      </c>
      <c r="C1567" s="139" t="s">
        <v>21475</v>
      </c>
      <c r="D1567" s="51"/>
      <c r="E1567" s="857">
        <v>73.150000000000006</v>
      </c>
    </row>
    <row r="1568" spans="1:5">
      <c r="A1568" s="856">
        <v>39955</v>
      </c>
      <c r="B1568" s="125" t="str">
        <f>TiposLancamentos!B20</f>
        <v>Saques</v>
      </c>
      <c r="C1568" s="139" t="s">
        <v>20995</v>
      </c>
      <c r="D1568" s="51"/>
      <c r="E1568" s="857">
        <v>40</v>
      </c>
    </row>
    <row r="1569" spans="1:5">
      <c r="A1569" s="856">
        <v>39955</v>
      </c>
      <c r="B1569" s="125" t="str">
        <f>TiposLancamentos!B19</f>
        <v>Restaurantes</v>
      </c>
      <c r="C1569" s="139" t="s">
        <v>21476</v>
      </c>
      <c r="D1569" s="51"/>
      <c r="E1569" s="857">
        <v>30.05</v>
      </c>
    </row>
    <row r="1570" spans="1:5">
      <c r="A1570" s="856">
        <v>39958</v>
      </c>
      <c r="B1570" s="125" t="str">
        <f>TiposLancamentos!B19</f>
        <v>Restaurantes</v>
      </c>
      <c r="C1570" s="139" t="s">
        <v>21477</v>
      </c>
      <c r="D1570" s="51"/>
      <c r="E1570" s="857">
        <v>14.9</v>
      </c>
    </row>
    <row r="1571" spans="1:5">
      <c r="A1571" s="856">
        <v>39960</v>
      </c>
      <c r="B1571" s="125" t="str">
        <f>TiposLancamentos!B20</f>
        <v>Saques</v>
      </c>
      <c r="C1571" s="139" t="s">
        <v>2850</v>
      </c>
      <c r="D1571" s="51"/>
      <c r="E1571" s="857">
        <v>20</v>
      </c>
    </row>
    <row r="1572" spans="1:5">
      <c r="A1572" s="856">
        <v>39962</v>
      </c>
      <c r="B1572" s="125" t="str">
        <f>TiposLancamentos!B95</f>
        <v>Salarios</v>
      </c>
      <c r="C1572" s="126" t="s">
        <v>4939</v>
      </c>
      <c r="D1572" s="51">
        <v>6818.05</v>
      </c>
      <c r="E1572" s="857"/>
    </row>
    <row r="1573" spans="1:5">
      <c r="A1573" s="856">
        <v>39962</v>
      </c>
      <c r="B1573" s="125" t="str">
        <f>TiposLancamentos!B6</f>
        <v>Energia Eletrica</v>
      </c>
      <c r="C1573" s="139" t="s">
        <v>5191</v>
      </c>
      <c r="D1573" s="51"/>
      <c r="E1573" s="857">
        <v>122.84</v>
      </c>
    </row>
    <row r="1574" spans="1:5">
      <c r="A1574" s="856">
        <v>39962</v>
      </c>
      <c r="B1574" s="125" t="str">
        <f>TiposLancamentos!B19</f>
        <v>Restaurantes</v>
      </c>
      <c r="C1574" s="139" t="s">
        <v>5869</v>
      </c>
      <c r="D1574" s="51"/>
      <c r="E1574" s="857">
        <v>46.5</v>
      </c>
    </row>
    <row r="1575" spans="1:5">
      <c r="A1575" s="856">
        <v>39963</v>
      </c>
      <c r="B1575" s="125" t="str">
        <f>TiposLancamentos!B19</f>
        <v>Restaurantes</v>
      </c>
      <c r="C1575" s="139" t="s">
        <v>4015</v>
      </c>
      <c r="D1575" s="51"/>
      <c r="E1575" s="857">
        <v>44.7</v>
      </c>
    </row>
    <row r="1576" spans="1:5">
      <c r="A1576" s="856">
        <v>39963</v>
      </c>
      <c r="B1576" s="125" t="str">
        <f>TiposLancamentos!B20</f>
        <v>Saques</v>
      </c>
      <c r="C1576" s="139" t="s">
        <v>4086</v>
      </c>
      <c r="D1576" s="51"/>
      <c r="E1576" s="857">
        <v>40</v>
      </c>
    </row>
    <row r="1577" spans="1:5">
      <c r="A1577" s="856">
        <v>39964</v>
      </c>
      <c r="B1577" s="125" t="str">
        <f>TiposLancamentos!B19</f>
        <v>Restaurantes</v>
      </c>
      <c r="C1577" s="139" t="s">
        <v>21478</v>
      </c>
      <c r="D1577" s="51"/>
      <c r="E1577" s="857">
        <v>30.28</v>
      </c>
    </row>
    <row r="1578" spans="1:5" ht="14.25" thickBot="1">
      <c r="A1578" s="856">
        <v>39964</v>
      </c>
      <c r="B1578" s="125" t="str">
        <f>TiposLancamentos!B19</f>
        <v>Restaurantes</v>
      </c>
      <c r="C1578" s="139" t="s">
        <v>21479</v>
      </c>
      <c r="D1578" s="51"/>
      <c r="E1578" s="857">
        <v>42.05</v>
      </c>
    </row>
    <row r="1579" spans="1:5" ht="14.25" thickBot="1">
      <c r="A1579" s="998"/>
      <c r="B1579" s="989"/>
      <c r="C1579" s="997" t="s">
        <v>3808</v>
      </c>
      <c r="D1579" s="991"/>
      <c r="E1579" s="999"/>
    </row>
    <row r="1580" spans="1:5">
      <c r="A1580" s="856">
        <v>39965</v>
      </c>
      <c r="B1580" s="125" t="str">
        <f>TiposLancamentos!B15</f>
        <v>Cartões de Crédito</v>
      </c>
      <c r="C1580" s="139" t="s">
        <v>20597</v>
      </c>
      <c r="D1580" s="51"/>
      <c r="E1580" s="857">
        <v>1185.06</v>
      </c>
    </row>
    <row r="1581" spans="1:5">
      <c r="A1581" s="856">
        <v>39965</v>
      </c>
      <c r="B1581" s="125" t="str">
        <f>TiposLancamentos!B2</f>
        <v>Telefonia</v>
      </c>
      <c r="C1581" s="139" t="s">
        <v>5556</v>
      </c>
      <c r="D1581" s="51"/>
      <c r="E1581" s="857">
        <v>45.19</v>
      </c>
    </row>
    <row r="1582" spans="1:5">
      <c r="A1582" s="856">
        <v>39965</v>
      </c>
      <c r="B1582" s="125" t="str">
        <f>TiposLancamentos!B3</f>
        <v>Internet</v>
      </c>
      <c r="C1582" s="139" t="s">
        <v>4987</v>
      </c>
      <c r="D1582" s="51"/>
      <c r="E1582" s="857">
        <v>89.9</v>
      </c>
    </row>
    <row r="1583" spans="1:5">
      <c r="A1583" s="856">
        <v>39965</v>
      </c>
      <c r="B1583" s="125" t="str">
        <f>TiposLancamentos!B15</f>
        <v>Cartões de Crédito</v>
      </c>
      <c r="C1583" s="139" t="s">
        <v>5558</v>
      </c>
      <c r="D1583" s="51"/>
      <c r="E1583" s="857">
        <v>703.82</v>
      </c>
    </row>
    <row r="1584" spans="1:5">
      <c r="A1584" s="856">
        <v>39965</v>
      </c>
      <c r="B1584" s="125" t="str">
        <f>TiposLancamentos!B45</f>
        <v>Online Services</v>
      </c>
      <c r="C1584" s="139" t="s">
        <v>15207</v>
      </c>
      <c r="D1584" s="51"/>
      <c r="E1584" s="857">
        <v>9.9</v>
      </c>
    </row>
    <row r="1585" spans="1:5">
      <c r="A1585" s="856">
        <v>39965</v>
      </c>
      <c r="B1585" s="125" t="str">
        <f>TiposLancamentos!B35</f>
        <v>Tv à Cabo</v>
      </c>
      <c r="C1585" s="139" t="s">
        <v>21480</v>
      </c>
      <c r="D1585" s="51"/>
      <c r="E1585" s="857">
        <v>168.8</v>
      </c>
    </row>
    <row r="1586" spans="1:5">
      <c r="A1586" s="856">
        <v>39965</v>
      </c>
      <c r="B1586" s="125" t="str">
        <f>TiposLancamentos!B9</f>
        <v>Condominio</v>
      </c>
      <c r="C1586" s="139" t="s">
        <v>1684</v>
      </c>
      <c r="D1586" s="51"/>
      <c r="E1586" s="857">
        <v>642.55999999999995</v>
      </c>
    </row>
    <row r="1587" spans="1:5">
      <c r="A1587" s="856">
        <v>39965</v>
      </c>
      <c r="B1587" s="125" t="str">
        <f>TiposLancamentos!B20</f>
        <v>Saques</v>
      </c>
      <c r="C1587" s="139" t="s">
        <v>4086</v>
      </c>
      <c r="D1587" s="51"/>
      <c r="E1587" s="857">
        <v>50</v>
      </c>
    </row>
    <row r="1588" spans="1:5">
      <c r="A1588" s="856">
        <v>39965</v>
      </c>
      <c r="B1588" s="125" t="str">
        <f>TiposLancamentos!B57</f>
        <v>Informática</v>
      </c>
      <c r="C1588" s="139" t="s">
        <v>21481</v>
      </c>
      <c r="D1588" s="51"/>
      <c r="E1588" s="857">
        <v>26.9</v>
      </c>
    </row>
    <row r="1589" spans="1:5">
      <c r="A1589" s="856">
        <v>39965</v>
      </c>
      <c r="B1589" s="125" t="str">
        <f>TiposLancamentos!B4</f>
        <v>Taxas Bancarias</v>
      </c>
      <c r="C1589" s="139" t="s">
        <v>21482</v>
      </c>
      <c r="D1589" s="51"/>
      <c r="E1589" s="857">
        <v>8.67</v>
      </c>
    </row>
    <row r="1590" spans="1:5">
      <c r="A1590" s="856">
        <v>39965</v>
      </c>
      <c r="B1590" s="125" t="str">
        <f>TiposLancamentos!B4</f>
        <v>Taxas Bancarias</v>
      </c>
      <c r="C1590" s="139" t="s">
        <v>21483</v>
      </c>
      <c r="D1590" s="51"/>
      <c r="E1590" s="857">
        <v>43.56</v>
      </c>
    </row>
    <row r="1591" spans="1:5">
      <c r="A1591" s="856">
        <v>39966</v>
      </c>
      <c r="B1591" s="125" t="str">
        <f>TiposLancamentos!B22</f>
        <v>Combustivel</v>
      </c>
      <c r="C1591" s="139" t="s">
        <v>3381</v>
      </c>
      <c r="D1591" s="51"/>
      <c r="E1591" s="857">
        <v>60</v>
      </c>
    </row>
    <row r="1592" spans="1:5">
      <c r="A1592" s="856">
        <v>39967</v>
      </c>
      <c r="B1592" s="125" t="str">
        <f>TiposLancamentos!B57</f>
        <v>Informática</v>
      </c>
      <c r="C1592" s="139" t="s">
        <v>21484</v>
      </c>
      <c r="D1592" s="51"/>
      <c r="E1592" s="857">
        <v>339.9</v>
      </c>
    </row>
    <row r="1593" spans="1:5">
      <c r="A1593" s="856">
        <v>39968</v>
      </c>
      <c r="B1593" s="125" t="str">
        <f>TiposLancamentos!B13</f>
        <v>Moradia</v>
      </c>
      <c r="C1593" s="139" t="s">
        <v>21485</v>
      </c>
      <c r="D1593" s="51"/>
      <c r="E1593" s="857">
        <v>24.5</v>
      </c>
    </row>
    <row r="1594" spans="1:5">
      <c r="A1594" s="856">
        <v>39969</v>
      </c>
      <c r="B1594" s="125" t="str">
        <f>TiposLancamentos!B5</f>
        <v>Supermercado</v>
      </c>
      <c r="C1594" s="139" t="s">
        <v>5738</v>
      </c>
      <c r="D1594" s="51"/>
      <c r="E1594" s="857">
        <v>94.42</v>
      </c>
    </row>
    <row r="1595" spans="1:5">
      <c r="A1595" s="856">
        <v>39970</v>
      </c>
      <c r="B1595" s="125" t="str">
        <f>TiposLancamentos!B57</f>
        <v>Informática</v>
      </c>
      <c r="C1595" s="139" t="s">
        <v>21486</v>
      </c>
      <c r="D1595" s="51"/>
      <c r="E1595" s="857">
        <v>480</v>
      </c>
    </row>
    <row r="1596" spans="1:5">
      <c r="A1596" s="856">
        <v>39970</v>
      </c>
      <c r="B1596" s="125" t="str">
        <f>TiposLancamentos!B19</f>
        <v>Restaurantes</v>
      </c>
      <c r="C1596" s="139" t="s">
        <v>21487</v>
      </c>
      <c r="D1596" s="51"/>
      <c r="E1596" s="857">
        <v>60.94</v>
      </c>
    </row>
    <row r="1597" spans="1:5">
      <c r="A1597" s="856">
        <v>39971</v>
      </c>
      <c r="B1597" s="125" t="str">
        <f>TiposLancamentos!B76</f>
        <v>Motel</v>
      </c>
      <c r="C1597" s="139" t="s">
        <v>21488</v>
      </c>
      <c r="D1597" s="51"/>
      <c r="E1597" s="857">
        <v>209.5</v>
      </c>
    </row>
    <row r="1598" spans="1:5">
      <c r="A1598" s="856">
        <v>39971</v>
      </c>
      <c r="B1598" s="125" t="str">
        <f>TiposLancamentos!B19</f>
        <v>Restaurantes</v>
      </c>
      <c r="C1598" s="139" t="s">
        <v>5613</v>
      </c>
      <c r="D1598" s="51"/>
      <c r="E1598" s="857">
        <v>16.38</v>
      </c>
    </row>
    <row r="1599" spans="1:5">
      <c r="A1599" s="856">
        <v>39971</v>
      </c>
      <c r="B1599" s="125" t="str">
        <f>TiposLancamentos!B5</f>
        <v>Supermercado</v>
      </c>
      <c r="C1599" s="139" t="s">
        <v>21489</v>
      </c>
      <c r="D1599" s="51"/>
      <c r="E1599" s="857">
        <v>22.36</v>
      </c>
    </row>
    <row r="1600" spans="1:5">
      <c r="A1600" s="856">
        <v>39972</v>
      </c>
      <c r="B1600" s="125" t="str">
        <f>TiposLancamentos!B19</f>
        <v>Restaurantes</v>
      </c>
      <c r="C1600" s="139" t="s">
        <v>3287</v>
      </c>
      <c r="D1600" s="51"/>
      <c r="E1600" s="857">
        <v>21.2</v>
      </c>
    </row>
    <row r="1601" spans="1:6">
      <c r="A1601" s="856">
        <v>39973</v>
      </c>
      <c r="B1601" s="125" t="str">
        <f>TiposLancamentos!B19</f>
        <v>Restaurantes</v>
      </c>
      <c r="C1601" s="139" t="s">
        <v>4121</v>
      </c>
      <c r="D1601" s="51"/>
      <c r="E1601" s="857">
        <v>20.76</v>
      </c>
    </row>
    <row r="1602" spans="1:6">
      <c r="A1602" s="856">
        <v>39973</v>
      </c>
      <c r="B1602" s="125" t="str">
        <f>TiposLancamentos!B19</f>
        <v>Restaurantes</v>
      </c>
      <c r="C1602" s="139" t="s">
        <v>3287</v>
      </c>
      <c r="D1602" s="51"/>
      <c r="E1602" s="857">
        <v>20.100000000000001</v>
      </c>
    </row>
    <row r="1603" spans="1:6">
      <c r="A1603" s="856">
        <v>39973</v>
      </c>
      <c r="B1603" s="125" t="str">
        <f>TiposLancamentos!B5</f>
        <v>Supermercado</v>
      </c>
      <c r="C1603" s="139" t="s">
        <v>5738</v>
      </c>
      <c r="D1603" s="51"/>
      <c r="E1603" s="857">
        <v>54.02</v>
      </c>
    </row>
    <row r="1604" spans="1:6">
      <c r="A1604" s="856">
        <v>39973</v>
      </c>
      <c r="B1604" s="125" t="str">
        <f>TiposLancamentos!B30</f>
        <v>Cinema</v>
      </c>
      <c r="C1604" s="139" t="s">
        <v>21490</v>
      </c>
      <c r="D1604" s="51"/>
      <c r="E1604" s="857">
        <v>28</v>
      </c>
    </row>
    <row r="1605" spans="1:6">
      <c r="A1605" s="858">
        <v>39974</v>
      </c>
      <c r="B1605" s="817" t="str">
        <f>TiposLancamentos!B8</f>
        <v>Aluguel</v>
      </c>
      <c r="C1605" s="808" t="s">
        <v>21491</v>
      </c>
      <c r="D1605" s="809"/>
      <c r="E1605" s="959">
        <f>F1606-E1606</f>
        <v>1003.95</v>
      </c>
    </row>
    <row r="1606" spans="1:6">
      <c r="A1606" s="862">
        <v>39974</v>
      </c>
      <c r="B1606" s="818" t="str">
        <f>TiposLancamentos!B12</f>
        <v>IPTU</v>
      </c>
      <c r="C1606" s="812" t="s">
        <v>13380</v>
      </c>
      <c r="D1606" s="813"/>
      <c r="E1606" s="960">
        <v>84.57</v>
      </c>
      <c r="F1606" s="36">
        <v>1088.52</v>
      </c>
    </row>
    <row r="1607" spans="1:6">
      <c r="A1607" s="856">
        <v>39974</v>
      </c>
      <c r="B1607" s="125" t="str">
        <f>TiposLancamentos!B20</f>
        <v>Saques</v>
      </c>
      <c r="C1607" s="139" t="s">
        <v>3403</v>
      </c>
      <c r="D1607" s="51"/>
      <c r="E1607" s="857">
        <v>10</v>
      </c>
    </row>
    <row r="1608" spans="1:6">
      <c r="A1608" s="856">
        <v>39974</v>
      </c>
      <c r="B1608" s="125" t="str">
        <f>TiposLancamentos!B19</f>
        <v>Restaurantes</v>
      </c>
      <c r="C1608" s="139" t="s">
        <v>10850</v>
      </c>
      <c r="D1608" s="51"/>
      <c r="E1608" s="857">
        <v>28</v>
      </c>
    </row>
    <row r="1609" spans="1:6">
      <c r="A1609" s="856">
        <v>39975</v>
      </c>
      <c r="B1609" s="125" t="str">
        <f>TiposLancamentos!B19</f>
        <v>Restaurantes</v>
      </c>
      <c r="C1609" s="139" t="s">
        <v>21492</v>
      </c>
      <c r="D1609" s="51"/>
      <c r="E1609" s="857">
        <v>69</v>
      </c>
    </row>
    <row r="1610" spans="1:6">
      <c r="A1610" s="856">
        <v>39976</v>
      </c>
      <c r="B1610" s="125" t="str">
        <f>TiposLancamentos!B19</f>
        <v>Restaurantes</v>
      </c>
      <c r="C1610" s="139" t="s">
        <v>21493</v>
      </c>
      <c r="D1610" s="51"/>
      <c r="E1610" s="857">
        <v>32.26</v>
      </c>
    </row>
    <row r="1611" spans="1:6">
      <c r="A1611" s="856">
        <v>39977</v>
      </c>
      <c r="B1611" s="125" t="str">
        <f>TiposLancamentos!B20</f>
        <v>Saques</v>
      </c>
      <c r="C1611" s="139" t="s">
        <v>3513</v>
      </c>
      <c r="D1611" s="51"/>
      <c r="E1611" s="857">
        <v>40</v>
      </c>
    </row>
    <row r="1612" spans="1:6">
      <c r="A1612" s="856">
        <v>39978</v>
      </c>
      <c r="B1612" s="125" t="str">
        <f>TiposLancamentos!B19</f>
        <v>Restaurantes</v>
      </c>
      <c r="C1612" s="139" t="s">
        <v>21494</v>
      </c>
      <c r="D1612" s="51"/>
      <c r="E1612" s="857">
        <v>98.56</v>
      </c>
    </row>
    <row r="1613" spans="1:6">
      <c r="A1613" s="856">
        <v>39979</v>
      </c>
      <c r="B1613" s="125" t="str">
        <f>TiposLancamentos!B95</f>
        <v>Salarios</v>
      </c>
      <c r="C1613" s="139" t="s">
        <v>4916</v>
      </c>
      <c r="D1613" s="51">
        <v>1747.9</v>
      </c>
      <c r="E1613" s="857"/>
    </row>
    <row r="1614" spans="1:6">
      <c r="A1614" s="856">
        <v>39979</v>
      </c>
      <c r="B1614" s="125" t="str">
        <f>TiposLancamentos!B24</f>
        <v>Estacionamentos</v>
      </c>
      <c r="C1614" s="139" t="s">
        <v>5392</v>
      </c>
      <c r="D1614" s="51"/>
      <c r="E1614" s="857">
        <v>14.04</v>
      </c>
    </row>
    <row r="1615" spans="1:6">
      <c r="A1615" s="856">
        <v>39979</v>
      </c>
      <c r="B1615" s="125" t="str">
        <f>TiposLancamentos!B16</f>
        <v>Cristiane</v>
      </c>
      <c r="C1615" s="139" t="s">
        <v>21495</v>
      </c>
      <c r="D1615" s="51"/>
      <c r="E1615" s="857">
        <v>81</v>
      </c>
    </row>
    <row r="1616" spans="1:6">
      <c r="A1616" s="856">
        <v>39979</v>
      </c>
      <c r="B1616" s="125" t="str">
        <f>TiposLancamentos!B32</f>
        <v>Clinicas e tratamentos</v>
      </c>
      <c r="C1616" s="139" t="s">
        <v>21496</v>
      </c>
      <c r="D1616" s="51"/>
      <c r="E1616" s="857">
        <v>518</v>
      </c>
    </row>
    <row r="1617" spans="1:6">
      <c r="A1617" s="856">
        <v>39979</v>
      </c>
      <c r="B1617" s="125" t="str">
        <f>TiposLancamentos!B19</f>
        <v>Restaurantes</v>
      </c>
      <c r="C1617" s="139" t="s">
        <v>21497</v>
      </c>
      <c r="D1617" s="51"/>
      <c r="E1617" s="857">
        <v>11.34</v>
      </c>
    </row>
    <row r="1618" spans="1:6">
      <c r="A1618" s="856">
        <v>39979</v>
      </c>
      <c r="B1618" s="125" t="str">
        <f>TiposLancamentos!B19</f>
        <v>Restaurantes</v>
      </c>
      <c r="C1618" s="139" t="s">
        <v>21308</v>
      </c>
      <c r="D1618" s="51"/>
      <c r="E1618" s="857">
        <v>5.8</v>
      </c>
    </row>
    <row r="1619" spans="1:6">
      <c r="A1619" s="858">
        <v>39979</v>
      </c>
      <c r="B1619" s="817" t="str">
        <f>TiposLancamentos!B25</f>
        <v>CD_DVD_BD</v>
      </c>
      <c r="C1619" s="808" t="s">
        <v>21498</v>
      </c>
      <c r="D1619" s="809"/>
      <c r="E1619" s="959">
        <v>19.899999999999999</v>
      </c>
    </row>
    <row r="1620" spans="1:6">
      <c r="A1620" s="862">
        <v>39979</v>
      </c>
      <c r="B1620" s="818" t="str">
        <f>TiposLancamentos!B18</f>
        <v>Alimentacao</v>
      </c>
      <c r="C1620" s="812" t="s">
        <v>21109</v>
      </c>
      <c r="D1620" s="813"/>
      <c r="E1620" s="960">
        <f>25.57-E1619</f>
        <v>5.6700000000000017</v>
      </c>
      <c r="F1620" s="36">
        <f>SUM(E1619:E1620)</f>
        <v>25.57</v>
      </c>
    </row>
    <row r="1621" spans="1:6">
      <c r="A1621" s="856">
        <v>39979</v>
      </c>
      <c r="B1621" s="125" t="str">
        <f>TiposLancamentos!B5</f>
        <v>Supermercado</v>
      </c>
      <c r="C1621" s="139" t="s">
        <v>21499</v>
      </c>
      <c r="D1621" s="51"/>
      <c r="E1621" s="857">
        <v>160.38</v>
      </c>
    </row>
    <row r="1622" spans="1:6">
      <c r="A1622" s="856">
        <v>39979</v>
      </c>
      <c r="B1622" s="125" t="str">
        <f>TiposLancamentos!B19</f>
        <v>Restaurantes</v>
      </c>
      <c r="C1622" s="139" t="s">
        <v>5760</v>
      </c>
      <c r="D1622" s="51"/>
      <c r="E1622" s="857">
        <v>29.42</v>
      </c>
    </row>
    <row r="1623" spans="1:6">
      <c r="A1623" s="856">
        <v>39980</v>
      </c>
      <c r="B1623" s="125" t="str">
        <f>TiposLancamentos!B19</f>
        <v>Restaurantes</v>
      </c>
      <c r="C1623" s="139" t="s">
        <v>21500</v>
      </c>
      <c r="D1623" s="51"/>
      <c r="E1623" s="857">
        <v>13.9</v>
      </c>
    </row>
    <row r="1624" spans="1:6">
      <c r="A1624" s="856">
        <v>39980</v>
      </c>
      <c r="B1624" s="125" t="str">
        <f>TiposLancamentos!B20</f>
        <v>Saques</v>
      </c>
      <c r="C1624" s="139" t="s">
        <v>3403</v>
      </c>
      <c r="D1624" s="51"/>
      <c r="E1624" s="857">
        <v>30</v>
      </c>
    </row>
    <row r="1625" spans="1:6">
      <c r="A1625" s="856">
        <v>39980</v>
      </c>
      <c r="B1625" s="125" t="str">
        <f>TiposLancamentos!B13</f>
        <v>Moradia</v>
      </c>
      <c r="C1625" s="139" t="s">
        <v>21501</v>
      </c>
      <c r="D1625" s="51"/>
      <c r="E1625" s="857">
        <v>359.7</v>
      </c>
    </row>
    <row r="1626" spans="1:6">
      <c r="A1626" s="856">
        <v>39981</v>
      </c>
      <c r="B1626" s="125" t="str">
        <f>TiposLancamentos!B19</f>
        <v>Restaurantes</v>
      </c>
      <c r="C1626" s="139" t="s">
        <v>5951</v>
      </c>
      <c r="D1626" s="51"/>
      <c r="E1626" s="857">
        <v>39.6</v>
      </c>
    </row>
    <row r="1627" spans="1:6">
      <c r="A1627" s="856">
        <v>39981</v>
      </c>
      <c r="B1627" s="125" t="str">
        <f>TiposLancamentos!B18</f>
        <v>Alimentacao</v>
      </c>
      <c r="C1627" s="139" t="s">
        <v>21109</v>
      </c>
      <c r="D1627" s="51"/>
      <c r="E1627" s="857">
        <v>37.6</v>
      </c>
    </row>
    <row r="1628" spans="1:6">
      <c r="A1628" s="856">
        <v>39981</v>
      </c>
      <c r="B1628" s="125" t="str">
        <f>TiposLancamentos!B19</f>
        <v>Restaurantes</v>
      </c>
      <c r="C1628" s="139" t="s">
        <v>21502</v>
      </c>
      <c r="D1628" s="51"/>
      <c r="E1628" s="857">
        <v>27.8</v>
      </c>
    </row>
    <row r="1629" spans="1:6">
      <c r="A1629" s="856">
        <v>39982</v>
      </c>
      <c r="B1629" s="125" t="str">
        <f>TiposLancamentos!B19</f>
        <v>Restaurantes</v>
      </c>
      <c r="C1629" s="139" t="s">
        <v>20809</v>
      </c>
      <c r="D1629" s="51"/>
      <c r="E1629" s="857">
        <v>13.48</v>
      </c>
    </row>
    <row r="1630" spans="1:6">
      <c r="A1630" s="856">
        <v>39983</v>
      </c>
      <c r="B1630" s="125" t="str">
        <f>TiposLancamentos!B19</f>
        <v>Restaurantes</v>
      </c>
      <c r="C1630" s="139" t="s">
        <v>21503</v>
      </c>
      <c r="D1630" s="51"/>
      <c r="E1630" s="857">
        <v>11.5</v>
      </c>
    </row>
    <row r="1631" spans="1:6">
      <c r="A1631" s="856">
        <v>39986</v>
      </c>
      <c r="B1631" s="125" t="str">
        <f>TiposLancamentos!B31</f>
        <v>Action Figures</v>
      </c>
      <c r="C1631" s="139" t="s">
        <v>21504</v>
      </c>
      <c r="D1631" s="51"/>
      <c r="E1631" s="857">
        <v>192</v>
      </c>
    </row>
    <row r="1632" spans="1:6">
      <c r="A1632" s="856">
        <v>39986</v>
      </c>
      <c r="B1632" s="125" t="str">
        <f>TiposLancamentos!B31</f>
        <v>Action Figures</v>
      </c>
      <c r="C1632" s="139" t="s">
        <v>21505</v>
      </c>
      <c r="D1632" s="51"/>
      <c r="E1632" s="857">
        <v>161</v>
      </c>
    </row>
    <row r="1633" spans="1:5">
      <c r="A1633" s="856">
        <v>39986</v>
      </c>
      <c r="B1633" s="125" t="str">
        <f>TiposLancamentos!B50</f>
        <v>Guitarra</v>
      </c>
      <c r="C1633" s="139" t="s">
        <v>21506</v>
      </c>
      <c r="D1633" s="51"/>
      <c r="E1633" s="857">
        <v>7.5</v>
      </c>
    </row>
    <row r="1634" spans="1:5">
      <c r="A1634" s="856">
        <v>39986</v>
      </c>
      <c r="B1634" s="125" t="str">
        <f>TiposLancamentos!B18</f>
        <v>Alimentacao</v>
      </c>
      <c r="C1634" s="139" t="s">
        <v>21507</v>
      </c>
      <c r="D1634" s="51"/>
      <c r="E1634" s="857">
        <v>17.84</v>
      </c>
    </row>
    <row r="1635" spans="1:5">
      <c r="A1635" s="856">
        <v>39990</v>
      </c>
      <c r="B1635" s="125" t="str">
        <f>TiposLancamentos!B72</f>
        <v>Presentes</v>
      </c>
      <c r="C1635" s="139" t="s">
        <v>21508</v>
      </c>
      <c r="D1635" s="51"/>
      <c r="E1635" s="857">
        <v>350</v>
      </c>
    </row>
    <row r="1636" spans="1:5">
      <c r="A1636" s="856">
        <v>39991</v>
      </c>
      <c r="B1636" s="125" t="str">
        <f>TiposLancamentos!B30</f>
        <v>Cinema</v>
      </c>
      <c r="C1636" s="139" t="s">
        <v>21509</v>
      </c>
      <c r="D1636" s="51"/>
      <c r="E1636" s="857">
        <v>30</v>
      </c>
    </row>
    <row r="1637" spans="1:5">
      <c r="A1637" s="856">
        <v>39992</v>
      </c>
      <c r="B1637" s="125" t="str">
        <f>TiposLancamentos!B19</f>
        <v>Restaurantes</v>
      </c>
      <c r="C1637" s="139" t="s">
        <v>21510</v>
      </c>
      <c r="D1637" s="51"/>
      <c r="E1637" s="857">
        <v>28.73</v>
      </c>
    </row>
    <row r="1638" spans="1:5">
      <c r="A1638" s="856">
        <v>39992</v>
      </c>
      <c r="B1638" s="125" t="str">
        <f>TiposLancamentos!B5</f>
        <v>Supermercado</v>
      </c>
      <c r="C1638" s="139" t="s">
        <v>21475</v>
      </c>
      <c r="D1638" s="51"/>
      <c r="E1638" s="857">
        <v>42.07</v>
      </c>
    </row>
    <row r="1639" spans="1:5">
      <c r="A1639" s="884">
        <v>39994</v>
      </c>
      <c r="B1639" s="138" t="str">
        <f>TiposLancamentos!B95</f>
        <v>Salarios</v>
      </c>
      <c r="C1639" s="126" t="s">
        <v>4939</v>
      </c>
      <c r="D1639" s="78">
        <v>6940.17</v>
      </c>
      <c r="E1639" s="857"/>
    </row>
    <row r="1640" spans="1:5">
      <c r="A1640" s="884">
        <v>39994</v>
      </c>
      <c r="B1640" s="138" t="str">
        <f>TiposLancamentos!B95</f>
        <v>Salarios</v>
      </c>
      <c r="C1640" s="3" t="s">
        <v>20627</v>
      </c>
      <c r="D1640" s="78">
        <v>2597.67</v>
      </c>
      <c r="E1640" s="857"/>
    </row>
    <row r="1641" spans="1:5">
      <c r="A1641" s="884">
        <v>39994</v>
      </c>
      <c r="B1641" s="138" t="str">
        <f>TiposLancamentos!B6</f>
        <v>Energia Eletrica</v>
      </c>
      <c r="C1641" s="3" t="s">
        <v>21511</v>
      </c>
      <c r="D1641" s="78"/>
      <c r="E1641" s="857">
        <v>128.53</v>
      </c>
    </row>
    <row r="1642" spans="1:5">
      <c r="A1642" s="884">
        <v>39994</v>
      </c>
      <c r="B1642" s="138" t="str">
        <f>TiposLancamentos!B4</f>
        <v>Taxas Bancarias</v>
      </c>
      <c r="C1642" s="3" t="s">
        <v>21483</v>
      </c>
      <c r="D1642" s="78"/>
      <c r="E1642" s="857">
        <v>14.71</v>
      </c>
    </row>
    <row r="1643" spans="1:5">
      <c r="A1643" s="884">
        <v>39994</v>
      </c>
      <c r="B1643" s="138" t="str">
        <f>TiposLancamentos!B19</f>
        <v>Restaurantes</v>
      </c>
      <c r="C1643" s="3" t="s">
        <v>21512</v>
      </c>
      <c r="D1643" s="78"/>
      <c r="E1643" s="857">
        <v>27.9</v>
      </c>
    </row>
    <row r="1644" spans="1:5" ht="14.25" thickBot="1">
      <c r="A1644" s="884">
        <v>39994</v>
      </c>
      <c r="B1644" s="138" t="str">
        <f>TiposLancamentos!B25</f>
        <v>CD_DVD_BD</v>
      </c>
      <c r="C1644" s="3" t="s">
        <v>21513</v>
      </c>
      <c r="D1644" s="78"/>
      <c r="E1644" s="857">
        <v>59.9</v>
      </c>
    </row>
    <row r="1645" spans="1:5" ht="14.25" thickBot="1">
      <c r="A1645" s="998"/>
      <c r="B1645" s="989"/>
      <c r="C1645" s="997" t="s">
        <v>5715</v>
      </c>
      <c r="D1645" s="991"/>
      <c r="E1645" s="999"/>
    </row>
    <row r="1646" spans="1:5">
      <c r="A1646" s="856">
        <v>39995</v>
      </c>
      <c r="B1646" s="125" t="str">
        <f>TiposLancamentos!B45</f>
        <v>Online Services</v>
      </c>
      <c r="C1646" s="139" t="s">
        <v>15207</v>
      </c>
      <c r="D1646" s="51"/>
      <c r="E1646" s="857">
        <v>9.9</v>
      </c>
    </row>
    <row r="1647" spans="1:5">
      <c r="A1647" s="856">
        <v>39995</v>
      </c>
      <c r="B1647" s="125" t="str">
        <f>TiposLancamentos!B2</f>
        <v>Telefonia</v>
      </c>
      <c r="C1647" s="139" t="s">
        <v>5080</v>
      </c>
      <c r="D1647" s="51"/>
      <c r="E1647" s="857">
        <v>49.58</v>
      </c>
    </row>
    <row r="1648" spans="1:5">
      <c r="A1648" s="856">
        <v>39995</v>
      </c>
      <c r="B1648" s="125" t="str">
        <f>TiposLancamentos!B3</f>
        <v>Internet</v>
      </c>
      <c r="C1648" s="139" t="s">
        <v>4987</v>
      </c>
      <c r="D1648" s="51"/>
      <c r="E1648" s="857">
        <v>89.49</v>
      </c>
    </row>
    <row r="1649" spans="1:5">
      <c r="A1649" s="856">
        <v>39995</v>
      </c>
      <c r="B1649" s="125" t="str">
        <f>TiposLancamentos!B15</f>
        <v>Cartões de Crédito</v>
      </c>
      <c r="C1649" s="139" t="s">
        <v>5557</v>
      </c>
      <c r="D1649" s="51"/>
      <c r="E1649" s="857">
        <v>1508.64</v>
      </c>
    </row>
    <row r="1650" spans="1:5">
      <c r="A1650" s="856">
        <v>39995</v>
      </c>
      <c r="B1650" s="125" t="str">
        <f>TiposLancamentos!B70</f>
        <v>Vestuário</v>
      </c>
      <c r="C1650" s="139" t="s">
        <v>21514</v>
      </c>
      <c r="D1650" s="51"/>
      <c r="E1650" s="857">
        <v>462.23</v>
      </c>
    </row>
    <row r="1651" spans="1:5">
      <c r="A1651" s="856">
        <v>39995</v>
      </c>
      <c r="B1651" s="125" t="str">
        <f>TiposLancamentos!B15</f>
        <v>Cartões de Crédito</v>
      </c>
      <c r="C1651" s="139" t="s">
        <v>5558</v>
      </c>
      <c r="D1651" s="51"/>
      <c r="E1651" s="857">
        <v>705.51</v>
      </c>
    </row>
    <row r="1652" spans="1:5">
      <c r="A1652" s="856">
        <v>39995</v>
      </c>
      <c r="B1652" s="125" t="str">
        <f>TiposLancamentos!B9</f>
        <v>Condominio</v>
      </c>
      <c r="C1652" s="139" t="s">
        <v>15014</v>
      </c>
      <c r="D1652" s="51"/>
      <c r="E1652" s="857">
        <v>635.20000000000005</v>
      </c>
    </row>
    <row r="1653" spans="1:5">
      <c r="A1653" s="856">
        <v>39995</v>
      </c>
      <c r="B1653" s="125" t="str">
        <f>TiposLancamentos!B35</f>
        <v>Tv à Cabo</v>
      </c>
      <c r="C1653" s="139" t="s">
        <v>5662</v>
      </c>
      <c r="D1653" s="51"/>
      <c r="E1653" s="857">
        <v>168.8</v>
      </c>
    </row>
    <row r="1654" spans="1:5">
      <c r="A1654" s="856">
        <v>39995</v>
      </c>
      <c r="B1654" s="125" t="str">
        <f>TiposLancamentos!B105</f>
        <v>Transf. Bco</v>
      </c>
      <c r="C1654" s="139" t="s">
        <v>21515</v>
      </c>
      <c r="D1654" s="51"/>
      <c r="E1654" s="857">
        <v>4000</v>
      </c>
    </row>
    <row r="1655" spans="1:5">
      <c r="A1655" s="856">
        <v>39995</v>
      </c>
      <c r="B1655" s="125" t="str">
        <f>TiposLancamentos!B25</f>
        <v>CD_DVD_BD</v>
      </c>
      <c r="C1655" s="139" t="s">
        <v>21516</v>
      </c>
      <c r="D1655" s="51"/>
      <c r="E1655" s="857">
        <v>57</v>
      </c>
    </row>
    <row r="1656" spans="1:5">
      <c r="A1656" s="856">
        <v>39995</v>
      </c>
      <c r="B1656" s="125" t="str">
        <f>TiposLancamentos!B20</f>
        <v>Saques</v>
      </c>
      <c r="C1656" s="139" t="s">
        <v>21517</v>
      </c>
      <c r="D1656" s="51"/>
      <c r="E1656" s="857">
        <v>20</v>
      </c>
    </row>
    <row r="1657" spans="1:5">
      <c r="A1657" s="856">
        <v>39995</v>
      </c>
      <c r="B1657" s="125" t="str">
        <f>TiposLancamentos!B13</f>
        <v>Moradia</v>
      </c>
      <c r="C1657" s="139" t="s">
        <v>21518</v>
      </c>
      <c r="D1657" s="51"/>
      <c r="E1657" s="857">
        <v>240.1</v>
      </c>
    </row>
    <row r="1658" spans="1:5">
      <c r="A1658" s="856">
        <v>39995</v>
      </c>
      <c r="B1658" s="125" t="str">
        <f>TiposLancamentos!B4</f>
        <v>Taxas Bancarias</v>
      </c>
      <c r="C1658" s="139" t="s">
        <v>21482</v>
      </c>
      <c r="D1658" s="51"/>
      <c r="E1658" s="857">
        <v>3.4</v>
      </c>
    </row>
    <row r="1659" spans="1:5">
      <c r="A1659" s="856">
        <v>39996</v>
      </c>
      <c r="B1659" s="125" t="str">
        <f>TiposLancamentos!B5</f>
        <v>Supermercado</v>
      </c>
      <c r="C1659" s="139" t="s">
        <v>3902</v>
      </c>
      <c r="D1659" s="51"/>
      <c r="E1659" s="857">
        <v>34.25</v>
      </c>
    </row>
    <row r="1660" spans="1:5">
      <c r="A1660" s="856">
        <v>39997</v>
      </c>
      <c r="B1660" s="125" t="str">
        <f>TiposLancamentos!B17</f>
        <v>GATO</v>
      </c>
      <c r="C1660" s="139" t="s">
        <v>7606</v>
      </c>
      <c r="D1660" s="51"/>
      <c r="E1660" s="857">
        <v>18.3</v>
      </c>
    </row>
    <row r="1661" spans="1:5">
      <c r="A1661" s="856">
        <v>39997</v>
      </c>
      <c r="B1661" s="125" t="str">
        <f>TiposLancamentos!B20</f>
        <v>Saques</v>
      </c>
      <c r="C1661" s="139" t="s">
        <v>20995</v>
      </c>
      <c r="D1661" s="51"/>
      <c r="E1661" s="857">
        <v>140</v>
      </c>
    </row>
    <row r="1662" spans="1:5">
      <c r="A1662" s="856">
        <v>39998</v>
      </c>
      <c r="B1662" s="125" t="str">
        <f>TiposLancamentos!B56</f>
        <v>Farmácia</v>
      </c>
      <c r="C1662" s="139" t="s">
        <v>21519</v>
      </c>
      <c r="D1662" s="51"/>
      <c r="E1662" s="857">
        <v>78.209999999999994</v>
      </c>
    </row>
    <row r="1663" spans="1:5">
      <c r="A1663" s="856">
        <v>40000</v>
      </c>
      <c r="B1663" s="125" t="str">
        <f>TiposLancamentos!B56</f>
        <v>Farmácia</v>
      </c>
      <c r="C1663" s="139" t="s">
        <v>21520</v>
      </c>
      <c r="D1663" s="51"/>
      <c r="E1663" s="857">
        <v>68.349999999999994</v>
      </c>
    </row>
    <row r="1664" spans="1:5">
      <c r="A1664" s="856">
        <v>40000</v>
      </c>
      <c r="B1664" s="125" t="str">
        <f>TiposLancamentos!B17</f>
        <v>GATO</v>
      </c>
      <c r="C1664" s="139" t="s">
        <v>6059</v>
      </c>
      <c r="D1664" s="51"/>
      <c r="E1664" s="857">
        <v>88.6</v>
      </c>
    </row>
    <row r="1665" spans="1:6">
      <c r="A1665" s="856">
        <v>40000</v>
      </c>
      <c r="B1665" s="125" t="str">
        <f>TiposLancamentos!B5</f>
        <v>Supermercado</v>
      </c>
      <c r="C1665" s="139" t="s">
        <v>5930</v>
      </c>
      <c r="D1665" s="51"/>
      <c r="E1665" s="857">
        <v>11</v>
      </c>
    </row>
    <row r="1666" spans="1:6">
      <c r="A1666" s="856">
        <v>40001</v>
      </c>
      <c r="B1666" s="125" t="str">
        <f>TiposLancamentos!B22</f>
        <v>Combustivel</v>
      </c>
      <c r="C1666" s="139" t="s">
        <v>3381</v>
      </c>
      <c r="D1666" s="51"/>
      <c r="E1666" s="857">
        <v>60</v>
      </c>
    </row>
    <row r="1667" spans="1:6">
      <c r="A1667" s="856">
        <v>40003</v>
      </c>
      <c r="B1667" s="125" t="str">
        <f>TiposLancamentos!B5</f>
        <v>Supermercado</v>
      </c>
      <c r="C1667" s="139" t="s">
        <v>21208</v>
      </c>
      <c r="D1667" s="51"/>
      <c r="E1667" s="857">
        <v>61.47</v>
      </c>
    </row>
    <row r="1668" spans="1:6">
      <c r="A1668" s="858">
        <v>40004</v>
      </c>
      <c r="B1668" s="817" t="str">
        <f>TiposLancamentos!B8</f>
        <v>Aluguel</v>
      </c>
      <c r="C1668" s="808" t="s">
        <v>21521</v>
      </c>
      <c r="D1668" s="809"/>
      <c r="E1668" s="959">
        <f>F1669-E1669</f>
        <v>1003.95</v>
      </c>
    </row>
    <row r="1669" spans="1:6">
      <c r="A1669" s="862">
        <v>40004</v>
      </c>
      <c r="B1669" s="818" t="str">
        <f>TiposLancamentos!B12</f>
        <v>IPTU</v>
      </c>
      <c r="C1669" s="812" t="s">
        <v>13384</v>
      </c>
      <c r="D1669" s="813"/>
      <c r="E1669" s="960">
        <v>84.57</v>
      </c>
      <c r="F1669" s="36">
        <v>1088.52</v>
      </c>
    </row>
    <row r="1670" spans="1:6">
      <c r="A1670" s="856">
        <v>40005</v>
      </c>
      <c r="B1670" s="125" t="str">
        <f>TiposLancamentos!B90</f>
        <v>Locadora</v>
      </c>
      <c r="C1670" s="139" t="s">
        <v>21522</v>
      </c>
      <c r="D1670" s="51"/>
      <c r="E1670" s="857">
        <v>56.5</v>
      </c>
    </row>
    <row r="1671" spans="1:6">
      <c r="A1671" s="856">
        <v>39977</v>
      </c>
      <c r="B1671" s="125" t="str">
        <f>TiposLancamentos!B59</f>
        <v>Documentos</v>
      </c>
      <c r="C1671" s="139" t="s">
        <v>21523</v>
      </c>
      <c r="D1671" s="51"/>
      <c r="E1671" s="857">
        <v>60</v>
      </c>
    </row>
    <row r="1672" spans="1:6">
      <c r="A1672" s="856">
        <v>40007</v>
      </c>
      <c r="B1672" s="125" t="str">
        <f>TiposLancamentos!B20</f>
        <v>Saques</v>
      </c>
      <c r="C1672" s="139" t="s">
        <v>20995</v>
      </c>
      <c r="D1672" s="51"/>
      <c r="E1672" s="857">
        <v>30</v>
      </c>
    </row>
    <row r="1673" spans="1:6">
      <c r="A1673" s="856">
        <v>40008</v>
      </c>
      <c r="B1673" s="125" t="str">
        <f>TiposLancamentos!B5</f>
        <v>Supermercado</v>
      </c>
      <c r="C1673" s="139" t="s">
        <v>21524</v>
      </c>
      <c r="D1673" s="51"/>
      <c r="E1673" s="857">
        <v>52.72</v>
      </c>
    </row>
    <row r="1674" spans="1:6">
      <c r="A1674" s="856">
        <v>40009</v>
      </c>
      <c r="B1674" s="125" t="str">
        <f>TiposLancamentos!B19</f>
        <v>Restaurantes</v>
      </c>
      <c r="C1674" s="139" t="s">
        <v>21525</v>
      </c>
      <c r="D1674" s="51"/>
      <c r="E1674" s="857">
        <v>13.9</v>
      </c>
    </row>
    <row r="1675" spans="1:6">
      <c r="A1675" s="856">
        <v>40009</v>
      </c>
      <c r="B1675" s="125" t="str">
        <f>TiposLancamentos!B24</f>
        <v>Estacionamentos</v>
      </c>
      <c r="C1675" s="139" t="s">
        <v>5392</v>
      </c>
      <c r="D1675" s="51"/>
      <c r="E1675" s="857">
        <v>23.4</v>
      </c>
    </row>
    <row r="1676" spans="1:6">
      <c r="A1676" s="856">
        <v>40009</v>
      </c>
      <c r="B1676" s="125" t="str">
        <f>TiposLancamentos!B95</f>
        <v>Salarios</v>
      </c>
      <c r="C1676" s="139" t="s">
        <v>4916</v>
      </c>
      <c r="D1676" s="51">
        <v>1747.9</v>
      </c>
      <c r="E1676" s="857"/>
    </row>
    <row r="1677" spans="1:6">
      <c r="A1677" s="856">
        <v>40010</v>
      </c>
      <c r="B1677" s="125" t="str">
        <f>TiposLancamentos!B20</f>
        <v>Saques</v>
      </c>
      <c r="C1677" s="139" t="s">
        <v>3406</v>
      </c>
      <c r="D1677" s="51"/>
      <c r="E1677" s="857">
        <v>10</v>
      </c>
    </row>
    <row r="1678" spans="1:6">
      <c r="A1678" s="856">
        <v>40010</v>
      </c>
      <c r="B1678" s="125" t="str">
        <f>TiposLancamentos!B19</f>
        <v>Restaurantes</v>
      </c>
      <c r="C1678" s="139" t="s">
        <v>3960</v>
      </c>
      <c r="D1678" s="51"/>
      <c r="E1678" s="857">
        <v>17.100000000000001</v>
      </c>
    </row>
    <row r="1679" spans="1:6">
      <c r="A1679" s="856">
        <v>40010</v>
      </c>
      <c r="B1679" s="125" t="str">
        <f>TiposLancamentos!B71</f>
        <v>Itens Pessoais</v>
      </c>
      <c r="C1679" s="139" t="s">
        <v>3590</v>
      </c>
      <c r="D1679" s="51"/>
      <c r="E1679" s="857">
        <v>15</v>
      </c>
    </row>
    <row r="1680" spans="1:6">
      <c r="A1680" s="856">
        <v>40010</v>
      </c>
      <c r="B1680" s="125" t="str">
        <f>TiposLancamentos!B18</f>
        <v>Alimentacao</v>
      </c>
      <c r="C1680" s="139" t="s">
        <v>3668</v>
      </c>
      <c r="D1680" s="51"/>
      <c r="E1680" s="857">
        <v>8.59</v>
      </c>
    </row>
    <row r="1681" spans="1:5">
      <c r="A1681" s="856">
        <v>40010</v>
      </c>
      <c r="B1681" s="125" t="str">
        <f>TiposLancamentos!B19</f>
        <v>Restaurantes</v>
      </c>
      <c r="C1681" s="139" t="s">
        <v>5760</v>
      </c>
      <c r="D1681" s="51"/>
      <c r="E1681" s="857">
        <v>9.9</v>
      </c>
    </row>
    <row r="1682" spans="1:5">
      <c r="A1682" s="856">
        <v>40011</v>
      </c>
      <c r="B1682" s="125" t="str">
        <f>TiposLancamentos!B19</f>
        <v>Restaurantes</v>
      </c>
      <c r="C1682" s="139" t="s">
        <v>21526</v>
      </c>
      <c r="D1682" s="51"/>
      <c r="E1682" s="857">
        <v>18.27</v>
      </c>
    </row>
    <row r="1683" spans="1:5">
      <c r="A1683" s="856">
        <v>40011</v>
      </c>
      <c r="B1683" s="125" t="str">
        <f>TiposLancamentos!B86</f>
        <v>Peugeout 207</v>
      </c>
      <c r="C1683" s="139" t="s">
        <v>21527</v>
      </c>
      <c r="D1683" s="51"/>
      <c r="E1683" s="857">
        <v>180</v>
      </c>
    </row>
    <row r="1684" spans="1:5">
      <c r="A1684" s="856">
        <v>40011</v>
      </c>
      <c r="B1684" s="125" t="str">
        <f>TiposLancamentos!B22</f>
        <v>Combustivel</v>
      </c>
      <c r="C1684" s="139" t="s">
        <v>21528</v>
      </c>
      <c r="D1684" s="51"/>
      <c r="E1684" s="857">
        <v>69</v>
      </c>
    </row>
    <row r="1685" spans="1:5">
      <c r="A1685" s="856">
        <v>40011</v>
      </c>
      <c r="B1685" s="125" t="str">
        <f>TiposLancamentos!B19</f>
        <v>Restaurantes</v>
      </c>
      <c r="C1685" s="139" t="s">
        <v>7590</v>
      </c>
      <c r="D1685" s="51"/>
      <c r="E1685" s="857">
        <v>14.9</v>
      </c>
    </row>
    <row r="1686" spans="1:5">
      <c r="A1686" s="856">
        <v>40012</v>
      </c>
      <c r="B1686" s="125" t="str">
        <f>TiposLancamentos!B13</f>
        <v>Moradia</v>
      </c>
      <c r="C1686" s="139" t="s">
        <v>21529</v>
      </c>
      <c r="D1686" s="51"/>
      <c r="E1686" s="857">
        <v>34.75</v>
      </c>
    </row>
    <row r="1687" spans="1:5">
      <c r="A1687" s="856">
        <v>40012</v>
      </c>
      <c r="B1687" s="125" t="str">
        <f>TiposLancamentos!B56</f>
        <v>Farmácia</v>
      </c>
      <c r="C1687" s="139" t="s">
        <v>21530</v>
      </c>
      <c r="D1687" s="51"/>
      <c r="E1687" s="857">
        <v>13.26</v>
      </c>
    </row>
    <row r="1688" spans="1:5">
      <c r="A1688" s="856">
        <v>40012</v>
      </c>
      <c r="B1688" s="125" t="str">
        <f>TiposLancamentos!B19</f>
        <v>Restaurantes</v>
      </c>
      <c r="C1688" s="139" t="s">
        <v>21531</v>
      </c>
      <c r="D1688" s="51"/>
      <c r="E1688" s="857">
        <v>47.08</v>
      </c>
    </row>
    <row r="1689" spans="1:5">
      <c r="A1689" s="856">
        <v>40013</v>
      </c>
      <c r="B1689" s="125" t="str">
        <f>TiposLancamentos!B5</f>
        <v>Supermercado</v>
      </c>
      <c r="C1689" s="139" t="s">
        <v>21532</v>
      </c>
      <c r="D1689" s="51"/>
      <c r="E1689" s="857">
        <v>19.100000000000001</v>
      </c>
    </row>
    <row r="1690" spans="1:5">
      <c r="A1690" s="856">
        <v>40013</v>
      </c>
      <c r="B1690" s="125" t="str">
        <f>TiposLancamentos!B5</f>
        <v>Supermercado</v>
      </c>
      <c r="C1690" s="139" t="s">
        <v>21533</v>
      </c>
      <c r="D1690" s="51"/>
      <c r="E1690" s="857">
        <v>56.84</v>
      </c>
    </row>
    <row r="1691" spans="1:5">
      <c r="A1691" s="856">
        <v>40015</v>
      </c>
      <c r="B1691" s="125" t="str">
        <f>TiposLancamentos!B56</f>
        <v>Farmácia</v>
      </c>
      <c r="C1691" s="139" t="s">
        <v>21534</v>
      </c>
      <c r="D1691" s="51"/>
      <c r="E1691" s="857">
        <v>9.24</v>
      </c>
    </row>
    <row r="1692" spans="1:5">
      <c r="A1692" s="856">
        <v>40016</v>
      </c>
      <c r="B1692" s="125" t="str">
        <f>TiposLancamentos!B20</f>
        <v>Saques</v>
      </c>
      <c r="C1692" s="139" t="s">
        <v>3513</v>
      </c>
      <c r="D1692" s="51"/>
      <c r="E1692" s="857">
        <v>20</v>
      </c>
    </row>
    <row r="1693" spans="1:5">
      <c r="A1693" s="856">
        <v>40020</v>
      </c>
      <c r="B1693" s="125" t="str">
        <f>TiposLancamentos!B19</f>
        <v>Restaurantes</v>
      </c>
      <c r="C1693" s="139" t="s">
        <v>5760</v>
      </c>
      <c r="D1693" s="51"/>
      <c r="E1693" s="857">
        <v>19.23</v>
      </c>
    </row>
    <row r="1694" spans="1:5">
      <c r="A1694" s="856">
        <v>40024</v>
      </c>
      <c r="B1694" s="125" t="str">
        <f>TiposLancamentos!B19</f>
        <v>Restaurantes</v>
      </c>
      <c r="C1694" s="139" t="s">
        <v>5613</v>
      </c>
      <c r="D1694" s="51"/>
      <c r="E1694" s="857">
        <v>16.66</v>
      </c>
    </row>
    <row r="1695" spans="1:5">
      <c r="A1695" s="856">
        <v>40025</v>
      </c>
      <c r="B1695" s="125" t="str">
        <f>TiposLancamentos!B4</f>
        <v>Taxas Bancarias</v>
      </c>
      <c r="C1695" s="139" t="s">
        <v>21483</v>
      </c>
      <c r="D1695" s="51"/>
      <c r="E1695" s="857">
        <v>18.8</v>
      </c>
    </row>
    <row r="1696" spans="1:5">
      <c r="A1696" s="856">
        <v>40025</v>
      </c>
      <c r="B1696" s="125" t="str">
        <f>TiposLancamentos!B95</f>
        <v>Salarios</v>
      </c>
      <c r="C1696" s="126" t="s">
        <v>4939</v>
      </c>
      <c r="D1696" s="51">
        <v>5332.09</v>
      </c>
      <c r="E1696" s="857"/>
    </row>
    <row r="1697" spans="1:6" ht="14.25" thickBot="1">
      <c r="A1697" s="856">
        <v>40025</v>
      </c>
      <c r="B1697" s="125" t="str">
        <f>TiposLancamentos!B19</f>
        <v>Restaurantes</v>
      </c>
      <c r="C1697" s="139" t="s">
        <v>21535</v>
      </c>
      <c r="D1697" s="51"/>
      <c r="E1697" s="857">
        <v>54.27</v>
      </c>
    </row>
    <row r="1698" spans="1:6" ht="14.25" thickBot="1">
      <c r="A1698" s="998"/>
      <c r="B1698" s="989"/>
      <c r="C1698" s="990" t="s">
        <v>3850</v>
      </c>
      <c r="D1698" s="991"/>
      <c r="E1698" s="999"/>
    </row>
    <row r="1699" spans="1:6">
      <c r="A1699" s="856">
        <v>40026</v>
      </c>
      <c r="B1699" s="125" t="str">
        <f>TiposLancamentos!B18</f>
        <v>Alimentacao</v>
      </c>
      <c r="C1699" s="139" t="s">
        <v>21536</v>
      </c>
      <c r="D1699" s="51"/>
      <c r="E1699" s="857">
        <v>9.4</v>
      </c>
    </row>
    <row r="1700" spans="1:6">
      <c r="A1700" s="856">
        <v>40026</v>
      </c>
      <c r="B1700" s="125" t="str">
        <f>TiposLancamentos!B19</f>
        <v>Restaurantes</v>
      </c>
      <c r="C1700" s="139" t="s">
        <v>5002</v>
      </c>
      <c r="D1700" s="51"/>
      <c r="E1700" s="857">
        <v>41.5</v>
      </c>
    </row>
    <row r="1701" spans="1:6">
      <c r="A1701" s="856">
        <v>40027</v>
      </c>
      <c r="B1701" s="125" t="str">
        <f>TiposLancamentos!B19</f>
        <v>Restaurantes</v>
      </c>
      <c r="C1701" s="139" t="s">
        <v>21537</v>
      </c>
      <c r="D1701" s="51"/>
      <c r="E1701" s="857">
        <v>17.899999999999999</v>
      </c>
    </row>
    <row r="1702" spans="1:6">
      <c r="A1702" s="856">
        <v>40027</v>
      </c>
      <c r="B1702" s="125" t="str">
        <f>TiposLancamentos!B57</f>
        <v>Informática</v>
      </c>
      <c r="C1702" s="139" t="s">
        <v>21538</v>
      </c>
      <c r="D1702" s="51"/>
      <c r="E1702" s="857">
        <v>109.6</v>
      </c>
    </row>
    <row r="1703" spans="1:6">
      <c r="A1703" s="856">
        <v>40028</v>
      </c>
      <c r="B1703" s="125" t="str">
        <f>TiposLancamentos!B4</f>
        <v>Taxas Bancarias</v>
      </c>
      <c r="C1703" s="139" t="s">
        <v>21099</v>
      </c>
      <c r="D1703" s="51"/>
      <c r="E1703" s="857">
        <v>5.13</v>
      </c>
    </row>
    <row r="1704" spans="1:6">
      <c r="A1704" s="858">
        <v>40028</v>
      </c>
      <c r="B1704" s="817" t="str">
        <f>TiposLancamentos!B2</f>
        <v>Telefonia</v>
      </c>
      <c r="C1704" s="808" t="s">
        <v>5080</v>
      </c>
      <c r="D1704" s="809"/>
      <c r="E1704" s="959">
        <v>47.97</v>
      </c>
    </row>
    <row r="1705" spans="1:6">
      <c r="A1705" s="862">
        <v>40028</v>
      </c>
      <c r="B1705" s="818" t="str">
        <f>TiposLancamentos!B3</f>
        <v>Internet</v>
      </c>
      <c r="C1705" s="812" t="s">
        <v>4987</v>
      </c>
      <c r="D1705" s="813"/>
      <c r="E1705" s="960">
        <f>14.43</f>
        <v>14.43</v>
      </c>
      <c r="F1705" s="36">
        <f>SUM(E1704:E1705)</f>
        <v>62.4</v>
      </c>
    </row>
    <row r="1706" spans="1:6">
      <c r="A1706" s="856">
        <v>40028</v>
      </c>
      <c r="B1706" s="125" t="str">
        <f>TiposLancamentos!B15</f>
        <v>Cartões de Crédito</v>
      </c>
      <c r="C1706" s="139" t="s">
        <v>5557</v>
      </c>
      <c r="D1706" s="51"/>
      <c r="E1706" s="857">
        <v>952.54</v>
      </c>
    </row>
    <row r="1707" spans="1:6">
      <c r="A1707" s="856">
        <v>40028</v>
      </c>
      <c r="B1707" s="125" t="str">
        <f>TiposLancamentos!B45</f>
        <v>Online Services</v>
      </c>
      <c r="C1707" s="139" t="s">
        <v>15207</v>
      </c>
      <c r="D1707" s="51"/>
      <c r="E1707" s="857">
        <v>9.9</v>
      </c>
    </row>
    <row r="1708" spans="1:6">
      <c r="A1708" s="856">
        <v>40028</v>
      </c>
      <c r="B1708" s="125" t="str">
        <f>TiposLancamentos!B15</f>
        <v>Cartões de Crédito</v>
      </c>
      <c r="C1708" s="139" t="s">
        <v>5558</v>
      </c>
      <c r="D1708" s="51"/>
      <c r="E1708" s="857">
        <v>984.87</v>
      </c>
    </row>
    <row r="1709" spans="1:6">
      <c r="A1709" s="856">
        <v>40028</v>
      </c>
      <c r="B1709" s="125" t="str">
        <f>TiposLancamentos!B9</f>
        <v>Condominio</v>
      </c>
      <c r="C1709" s="139" t="s">
        <v>21539</v>
      </c>
      <c r="D1709" s="51"/>
      <c r="E1709" s="857">
        <v>722.79</v>
      </c>
    </row>
    <row r="1710" spans="1:6">
      <c r="A1710" s="856">
        <v>40028</v>
      </c>
      <c r="B1710" s="125" t="str">
        <f>TiposLancamentos!B5</f>
        <v>Supermercado</v>
      </c>
      <c r="C1710" s="139" t="s">
        <v>21208</v>
      </c>
      <c r="D1710" s="51"/>
      <c r="E1710" s="857">
        <v>9.61</v>
      </c>
    </row>
    <row r="1711" spans="1:6">
      <c r="A1711" s="856">
        <v>40029</v>
      </c>
      <c r="B1711" s="125" t="str">
        <f>TiposLancamentos!B17</f>
        <v>GATO</v>
      </c>
      <c r="C1711" s="139" t="s">
        <v>21540</v>
      </c>
      <c r="D1711" s="51"/>
      <c r="E1711" s="857">
        <v>15.48</v>
      </c>
    </row>
    <row r="1712" spans="1:6">
      <c r="A1712" s="856">
        <v>40030</v>
      </c>
      <c r="B1712" s="125" t="str">
        <f>TiposLancamentos!B17</f>
        <v>GATO</v>
      </c>
      <c r="C1712" s="139" t="s">
        <v>21541</v>
      </c>
      <c r="D1712" s="51"/>
      <c r="E1712" s="857">
        <v>50</v>
      </c>
    </row>
    <row r="1713" spans="1:6">
      <c r="A1713" s="856">
        <v>40030</v>
      </c>
      <c r="B1713" s="125" t="str">
        <f>TiposLancamentos!B19</f>
        <v>Restaurantes</v>
      </c>
      <c r="C1713" s="139" t="s">
        <v>11052</v>
      </c>
      <c r="D1713" s="51"/>
      <c r="E1713" s="857">
        <v>67.209999999999994</v>
      </c>
    </row>
    <row r="1714" spans="1:6">
      <c r="A1714" s="856">
        <v>40032</v>
      </c>
      <c r="B1714" s="125" t="str">
        <f>TiposLancamentos!B105</f>
        <v>Transf. Bco</v>
      </c>
      <c r="C1714" s="139" t="s">
        <v>21542</v>
      </c>
      <c r="D1714" s="51">
        <v>292</v>
      </c>
      <c r="E1714" s="857"/>
    </row>
    <row r="1715" spans="1:6">
      <c r="A1715" s="856">
        <v>40032</v>
      </c>
      <c r="B1715" s="125" t="str">
        <f>TiposLancamentos!B74</f>
        <v>Noite</v>
      </c>
      <c r="C1715" s="139" t="s">
        <v>21543</v>
      </c>
      <c r="D1715" s="51"/>
      <c r="E1715" s="857">
        <v>68</v>
      </c>
    </row>
    <row r="1716" spans="1:6">
      <c r="A1716" s="856">
        <v>40033</v>
      </c>
      <c r="B1716" s="125" t="str">
        <f>TiposLancamentos!B19</f>
        <v>Restaurantes</v>
      </c>
      <c r="C1716" s="139" t="s">
        <v>5951</v>
      </c>
      <c r="D1716" s="51"/>
      <c r="E1716" s="857">
        <v>45</v>
      </c>
    </row>
    <row r="1717" spans="1:6">
      <c r="A1717" s="856">
        <v>40033</v>
      </c>
      <c r="B1717" s="125" t="str">
        <f>TiposLancamentos!B81</f>
        <v>Ferramentas gerais</v>
      </c>
      <c r="C1717" s="139" t="s">
        <v>21544</v>
      </c>
      <c r="D1717" s="51"/>
      <c r="E1717" s="857">
        <v>14</v>
      </c>
    </row>
    <row r="1718" spans="1:6">
      <c r="A1718" s="856">
        <v>40033</v>
      </c>
      <c r="B1718" s="125" t="str">
        <f>TiposLancamentos!B71</f>
        <v>Itens Pessoais</v>
      </c>
      <c r="C1718" s="139" t="s">
        <v>21545</v>
      </c>
      <c r="D1718" s="51"/>
      <c r="E1718" s="857">
        <v>81</v>
      </c>
    </row>
    <row r="1719" spans="1:6">
      <c r="A1719" s="856">
        <v>40033</v>
      </c>
      <c r="B1719" s="125" t="str">
        <f>TiposLancamentos!B19</f>
        <v>Restaurantes</v>
      </c>
      <c r="C1719" s="139" t="s">
        <v>5869</v>
      </c>
      <c r="D1719" s="51"/>
      <c r="E1719" s="857">
        <v>28</v>
      </c>
    </row>
    <row r="1720" spans="1:6">
      <c r="A1720" s="856">
        <v>40034</v>
      </c>
      <c r="B1720" s="125" t="str">
        <f>TiposLancamentos!B19</f>
        <v>Restaurantes</v>
      </c>
      <c r="C1720" s="139" t="s">
        <v>5930</v>
      </c>
      <c r="D1720" s="51"/>
      <c r="E1720" s="857">
        <v>14.03</v>
      </c>
    </row>
    <row r="1721" spans="1:6">
      <c r="A1721" s="856">
        <v>40034</v>
      </c>
      <c r="B1721" s="125" t="str">
        <f>TiposLancamentos!B19</f>
        <v>Restaurantes</v>
      </c>
      <c r="C1721" s="139" t="s">
        <v>3902</v>
      </c>
      <c r="D1721" s="51"/>
      <c r="E1721" s="857">
        <v>70.47</v>
      </c>
    </row>
    <row r="1722" spans="1:6">
      <c r="A1722" s="858">
        <v>40035</v>
      </c>
      <c r="B1722" s="817" t="str">
        <f>TiposLancamentos!B8</f>
        <v>Aluguel</v>
      </c>
      <c r="C1722" s="808" t="s">
        <v>2504</v>
      </c>
      <c r="D1722" s="809"/>
      <c r="E1722" s="959">
        <f>F1723-E1723</f>
        <v>1003.95</v>
      </c>
    </row>
    <row r="1723" spans="1:6">
      <c r="A1723" s="862">
        <v>40035</v>
      </c>
      <c r="B1723" s="818" t="str">
        <f>TiposLancamentos!B12</f>
        <v>IPTU</v>
      </c>
      <c r="C1723" s="812" t="s">
        <v>13387</v>
      </c>
      <c r="D1723" s="813"/>
      <c r="E1723" s="960">
        <v>84.57</v>
      </c>
      <c r="F1723" s="36">
        <v>1088.52</v>
      </c>
    </row>
    <row r="1724" spans="1:6">
      <c r="A1724" s="858">
        <v>40035</v>
      </c>
      <c r="B1724" s="817" t="str">
        <f>TiposLancamentos!B35</f>
        <v>Tv à Cabo</v>
      </c>
      <c r="C1724" s="808" t="s">
        <v>5834</v>
      </c>
      <c r="D1724" s="809"/>
      <c r="E1724" s="959">
        <f>123.9+44.9+4.9</f>
        <v>173.70000000000002</v>
      </c>
    </row>
    <row r="1725" spans="1:6">
      <c r="A1725" s="860">
        <v>40035</v>
      </c>
      <c r="B1725" s="816" t="str">
        <f>TiposLancamentos!B3</f>
        <v>Internet</v>
      </c>
      <c r="C1725" s="141" t="s">
        <v>5835</v>
      </c>
      <c r="D1725" s="127"/>
      <c r="E1725" s="953">
        <v>86</v>
      </c>
    </row>
    <row r="1726" spans="1:6">
      <c r="A1726" s="862">
        <v>40035</v>
      </c>
      <c r="B1726" s="818" t="str">
        <f>TiposLancamentos!B3</f>
        <v>Internet</v>
      </c>
      <c r="C1726" s="812" t="s">
        <v>21546</v>
      </c>
      <c r="D1726" s="813"/>
      <c r="E1726" s="960">
        <v>77.400000000000006</v>
      </c>
      <c r="F1726" s="36">
        <f>SUM(E1724:E1726)</f>
        <v>337.1</v>
      </c>
    </row>
    <row r="1727" spans="1:6">
      <c r="A1727" s="856">
        <v>40035</v>
      </c>
      <c r="B1727" s="125" t="str">
        <f>TiposLancamentos!B19</f>
        <v>Restaurantes</v>
      </c>
      <c r="C1727" s="139" t="s">
        <v>21547</v>
      </c>
      <c r="D1727" s="51"/>
      <c r="E1727" s="857">
        <v>11.4</v>
      </c>
    </row>
    <row r="1728" spans="1:6">
      <c r="A1728" s="856">
        <v>40036</v>
      </c>
      <c r="B1728" s="125" t="str">
        <f>TiposLancamentos!B22</f>
        <v>Combustivel</v>
      </c>
      <c r="C1728" s="139" t="s">
        <v>5745</v>
      </c>
      <c r="D1728" s="51"/>
      <c r="E1728" s="857">
        <v>57.5</v>
      </c>
    </row>
    <row r="1729" spans="1:5">
      <c r="A1729" s="856">
        <v>40036</v>
      </c>
      <c r="B1729" s="125" t="str">
        <f>TiposLancamentos!B19</f>
        <v>Restaurantes</v>
      </c>
      <c r="C1729" s="139" t="s">
        <v>21548</v>
      </c>
      <c r="D1729" s="51"/>
      <c r="E1729" s="857">
        <v>15.9</v>
      </c>
    </row>
    <row r="1730" spans="1:5">
      <c r="A1730" s="856">
        <v>40036</v>
      </c>
      <c r="B1730" s="125" t="str">
        <f>TiposLancamentos!B19</f>
        <v>Restaurantes</v>
      </c>
      <c r="C1730" s="139" t="s">
        <v>21191</v>
      </c>
      <c r="D1730" s="51"/>
      <c r="E1730" s="857">
        <v>29.5</v>
      </c>
    </row>
    <row r="1731" spans="1:5">
      <c r="A1731" s="856">
        <v>40037</v>
      </c>
      <c r="B1731" s="125" t="str">
        <f>TiposLancamentos!B19</f>
        <v>Restaurantes</v>
      </c>
      <c r="C1731" s="139" t="s">
        <v>21549</v>
      </c>
      <c r="D1731" s="51"/>
      <c r="E1731" s="857">
        <v>19.2</v>
      </c>
    </row>
    <row r="1732" spans="1:5">
      <c r="A1732" s="856">
        <v>40037</v>
      </c>
      <c r="B1732" s="125" t="str">
        <f>TiposLancamentos!B19</f>
        <v>Restaurantes</v>
      </c>
      <c r="C1732" s="139" t="s">
        <v>21550</v>
      </c>
      <c r="D1732" s="51"/>
      <c r="E1732" s="857">
        <v>36.67</v>
      </c>
    </row>
    <row r="1733" spans="1:5">
      <c r="A1733" s="856">
        <v>40038</v>
      </c>
      <c r="B1733" s="125" t="str">
        <f>TiposLancamentos!B19</f>
        <v>Restaurantes</v>
      </c>
      <c r="C1733" s="139" t="s">
        <v>3960</v>
      </c>
      <c r="D1733" s="51"/>
      <c r="E1733" s="857">
        <v>13.33</v>
      </c>
    </row>
    <row r="1734" spans="1:5">
      <c r="A1734" s="856">
        <v>40038</v>
      </c>
      <c r="B1734" s="125" t="str">
        <f>TiposLancamentos!B25</f>
        <v>CD_DVD_BD</v>
      </c>
      <c r="C1734" s="139" t="s">
        <v>21551</v>
      </c>
      <c r="D1734" s="51"/>
      <c r="E1734" s="857">
        <v>119.8</v>
      </c>
    </row>
    <row r="1735" spans="1:5">
      <c r="A1735" s="856">
        <v>40039</v>
      </c>
      <c r="B1735" s="125" t="str">
        <f>TiposLancamentos!B95</f>
        <v>Salarios</v>
      </c>
      <c r="C1735" s="139" t="s">
        <v>4916</v>
      </c>
      <c r="D1735" s="51">
        <v>1831.9</v>
      </c>
      <c r="E1735" s="857"/>
    </row>
    <row r="1736" spans="1:5">
      <c r="A1736" s="856">
        <v>40039</v>
      </c>
      <c r="B1736" s="125" t="str">
        <f>TiposLancamentos!B86</f>
        <v>Peugeout 207</v>
      </c>
      <c r="C1736" s="139" t="s">
        <v>21552</v>
      </c>
      <c r="D1736" s="51"/>
      <c r="E1736" s="857">
        <v>700.69</v>
      </c>
    </row>
    <row r="1737" spans="1:5">
      <c r="A1737" s="856">
        <v>40039</v>
      </c>
      <c r="B1737" s="125" t="str">
        <f>TiposLancamentos!B71</f>
        <v>Itens Pessoais</v>
      </c>
      <c r="C1737" s="139" t="s">
        <v>21553</v>
      </c>
      <c r="D1737" s="51"/>
      <c r="E1737" s="857">
        <v>189</v>
      </c>
    </row>
    <row r="1738" spans="1:5">
      <c r="A1738" s="856">
        <v>40039</v>
      </c>
      <c r="B1738" s="125" t="str">
        <f>TiposLancamentos!B19</f>
        <v>Restaurantes</v>
      </c>
      <c r="C1738" s="139" t="s">
        <v>21554</v>
      </c>
      <c r="D1738" s="51"/>
      <c r="E1738" s="857">
        <v>17.8</v>
      </c>
    </row>
    <row r="1739" spans="1:5">
      <c r="A1739" s="856">
        <v>40039</v>
      </c>
      <c r="B1739" s="125" t="str">
        <f>TiposLancamentos!B72</f>
        <v>Presentes</v>
      </c>
      <c r="C1739" s="139" t="s">
        <v>21555</v>
      </c>
      <c r="D1739" s="51"/>
      <c r="E1739" s="857">
        <v>14.5</v>
      </c>
    </row>
    <row r="1740" spans="1:5">
      <c r="A1740" s="856">
        <v>40039</v>
      </c>
      <c r="B1740" s="125" t="str">
        <f>TiposLancamentos!B57</f>
        <v>Informática</v>
      </c>
      <c r="C1740" s="139" t="s">
        <v>21556</v>
      </c>
      <c r="D1740" s="51"/>
      <c r="E1740" s="857">
        <v>35.9</v>
      </c>
    </row>
    <row r="1741" spans="1:5">
      <c r="A1741" s="856">
        <v>40039</v>
      </c>
      <c r="B1741" s="125" t="str">
        <f>TiposLancamentos!B19</f>
        <v>Restaurantes</v>
      </c>
      <c r="C1741" s="139" t="s">
        <v>21557</v>
      </c>
      <c r="D1741" s="51"/>
      <c r="E1741" s="857">
        <v>83.05</v>
      </c>
    </row>
    <row r="1742" spans="1:5">
      <c r="A1742" s="856">
        <v>40040</v>
      </c>
      <c r="B1742" s="125" t="str">
        <f>TiposLancamentos!B25</f>
        <v>CD_DVD_BD</v>
      </c>
      <c r="C1742" s="139" t="s">
        <v>21558</v>
      </c>
      <c r="D1742" s="51"/>
      <c r="E1742" s="857">
        <v>113</v>
      </c>
    </row>
    <row r="1743" spans="1:5">
      <c r="A1743" s="856">
        <v>40041</v>
      </c>
      <c r="B1743" s="125" t="str">
        <f>TiposLancamentos!B5</f>
        <v>Supermercado</v>
      </c>
      <c r="C1743" s="139" t="s">
        <v>21142</v>
      </c>
      <c r="D1743" s="51"/>
      <c r="E1743" s="857">
        <v>14.09</v>
      </c>
    </row>
    <row r="1744" spans="1:5">
      <c r="A1744" s="856">
        <v>40041</v>
      </c>
      <c r="B1744" s="125" t="str">
        <f>TiposLancamentos!B5</f>
        <v>Supermercado</v>
      </c>
      <c r="C1744" s="139" t="s">
        <v>21559</v>
      </c>
      <c r="D1744" s="51"/>
      <c r="E1744" s="857">
        <v>97.98</v>
      </c>
    </row>
    <row r="1745" spans="1:5">
      <c r="A1745" s="856">
        <v>40041</v>
      </c>
      <c r="B1745" s="125" t="str">
        <f>TiposLancamentos!B5</f>
        <v>Supermercado</v>
      </c>
      <c r="C1745" s="139" t="s">
        <v>21560</v>
      </c>
      <c r="D1745" s="51"/>
      <c r="E1745" s="857">
        <v>55.92</v>
      </c>
    </row>
    <row r="1746" spans="1:5">
      <c r="A1746" s="856">
        <v>40041</v>
      </c>
      <c r="B1746" s="125" t="str">
        <f>TiposLancamentos!B19</f>
        <v>Restaurantes</v>
      </c>
      <c r="C1746" s="139" t="s">
        <v>21561</v>
      </c>
      <c r="D1746" s="51"/>
      <c r="E1746" s="857">
        <v>23.5</v>
      </c>
    </row>
    <row r="1747" spans="1:5">
      <c r="A1747" s="856">
        <v>40041</v>
      </c>
      <c r="B1747" s="125" t="str">
        <f>TiposLancamentos!B19</f>
        <v>Restaurantes</v>
      </c>
      <c r="C1747" s="139" t="s">
        <v>6597</v>
      </c>
      <c r="D1747" s="51"/>
      <c r="E1747" s="857">
        <v>33.83</v>
      </c>
    </row>
    <row r="1748" spans="1:5">
      <c r="A1748" s="856">
        <v>40042</v>
      </c>
      <c r="B1748" s="125" t="str">
        <f>TiposLancamentos!B33</f>
        <v>Pedágios</v>
      </c>
      <c r="C1748" s="139" t="s">
        <v>5392</v>
      </c>
      <c r="D1748" s="51"/>
      <c r="E1748" s="857">
        <v>71.150000000000006</v>
      </c>
    </row>
    <row r="1749" spans="1:5">
      <c r="A1749" s="856">
        <v>40042</v>
      </c>
      <c r="B1749" s="125" t="str">
        <f>TiposLancamentos!B19</f>
        <v>Restaurantes</v>
      </c>
      <c r="C1749" s="139" t="s">
        <v>3287</v>
      </c>
      <c r="D1749" s="51"/>
      <c r="E1749" s="857">
        <v>18.05</v>
      </c>
    </row>
    <row r="1750" spans="1:5">
      <c r="A1750" s="856">
        <v>40043</v>
      </c>
      <c r="B1750" s="125" t="str">
        <f>TiposLancamentos!B19</f>
        <v>Restaurantes</v>
      </c>
      <c r="C1750" s="139" t="s">
        <v>21562</v>
      </c>
      <c r="D1750" s="51"/>
      <c r="E1750" s="857">
        <v>18.5</v>
      </c>
    </row>
    <row r="1751" spans="1:5">
      <c r="A1751" s="856">
        <v>40043</v>
      </c>
      <c r="B1751" s="125" t="str">
        <f>TiposLancamentos!B19</f>
        <v>Restaurantes</v>
      </c>
      <c r="C1751" s="139" t="s">
        <v>5613</v>
      </c>
      <c r="D1751" s="51"/>
      <c r="E1751" s="857">
        <v>12.66</v>
      </c>
    </row>
    <row r="1752" spans="1:5">
      <c r="A1752" s="856">
        <v>40043</v>
      </c>
      <c r="B1752" s="125" t="str">
        <f>TiposLancamentos!B37</f>
        <v>Playstation 3</v>
      </c>
      <c r="C1752" s="139" t="s">
        <v>21563</v>
      </c>
      <c r="D1752" s="51"/>
      <c r="E1752" s="857">
        <v>219</v>
      </c>
    </row>
    <row r="1753" spans="1:5">
      <c r="A1753" s="856">
        <v>40044</v>
      </c>
      <c r="B1753" s="125" t="str">
        <f>TiposLancamentos!B19</f>
        <v>Restaurantes</v>
      </c>
      <c r="C1753" s="139" t="s">
        <v>4121</v>
      </c>
      <c r="D1753" s="51"/>
      <c r="E1753" s="857">
        <v>23.15</v>
      </c>
    </row>
    <row r="1754" spans="1:5">
      <c r="A1754" s="856">
        <v>40044</v>
      </c>
      <c r="B1754" s="125" t="str">
        <f>TiposLancamentos!B19</f>
        <v>Restaurantes</v>
      </c>
      <c r="C1754" s="139" t="s">
        <v>21564</v>
      </c>
      <c r="D1754" s="51"/>
      <c r="E1754" s="857">
        <v>11.4</v>
      </c>
    </row>
    <row r="1755" spans="1:5">
      <c r="A1755" s="856">
        <v>40044</v>
      </c>
      <c r="B1755" s="125" t="str">
        <f>TiposLancamentos!B19</f>
        <v>Restaurantes</v>
      </c>
      <c r="C1755" s="139" t="s">
        <v>21565</v>
      </c>
      <c r="D1755" s="51"/>
      <c r="E1755" s="857">
        <v>5.5</v>
      </c>
    </row>
    <row r="1756" spans="1:5">
      <c r="A1756" s="856">
        <v>40044</v>
      </c>
      <c r="B1756" s="125" t="str">
        <f>TiposLancamentos!B5</f>
        <v>Supermercado</v>
      </c>
      <c r="C1756" s="139" t="s">
        <v>21566</v>
      </c>
      <c r="D1756" s="51"/>
      <c r="E1756" s="857">
        <v>57.71</v>
      </c>
    </row>
    <row r="1757" spans="1:5">
      <c r="A1757" s="856">
        <v>40044</v>
      </c>
      <c r="B1757" s="125" t="str">
        <f>TiposLancamentos!B19</f>
        <v>Restaurantes</v>
      </c>
      <c r="C1757" s="139" t="s">
        <v>21567</v>
      </c>
      <c r="D1757" s="51"/>
      <c r="E1757" s="857">
        <v>18</v>
      </c>
    </row>
    <row r="1758" spans="1:5">
      <c r="A1758" s="856">
        <v>40045</v>
      </c>
      <c r="B1758" s="125" t="str">
        <f>TiposLancamentos!B19</f>
        <v>Restaurantes</v>
      </c>
      <c r="C1758" s="139" t="s">
        <v>21568</v>
      </c>
      <c r="D1758" s="51"/>
      <c r="E1758" s="857">
        <v>31.9</v>
      </c>
    </row>
    <row r="1759" spans="1:5">
      <c r="A1759" s="856">
        <v>40046</v>
      </c>
      <c r="B1759" s="125" t="str">
        <f>TiposLancamentos!B56</f>
        <v>Farmácia</v>
      </c>
      <c r="C1759" s="139" t="s">
        <v>6118</v>
      </c>
      <c r="D1759" s="51"/>
      <c r="E1759" s="857">
        <v>139.63</v>
      </c>
    </row>
    <row r="1760" spans="1:5">
      <c r="A1760" s="856">
        <v>40046</v>
      </c>
      <c r="B1760" s="125" t="str">
        <f>TiposLancamentos!B5</f>
        <v>Supermercado</v>
      </c>
      <c r="C1760" s="139" t="s">
        <v>21569</v>
      </c>
      <c r="D1760" s="51"/>
      <c r="E1760" s="857">
        <v>37.4</v>
      </c>
    </row>
    <row r="1761" spans="1:5">
      <c r="A1761" s="856">
        <v>40046</v>
      </c>
      <c r="B1761" s="125" t="str">
        <f>TiposLancamentos!B5</f>
        <v>Supermercado</v>
      </c>
      <c r="C1761" s="139" t="s">
        <v>21570</v>
      </c>
      <c r="D1761" s="51"/>
      <c r="E1761" s="857">
        <v>5.0999999999999996</v>
      </c>
    </row>
    <row r="1762" spans="1:5">
      <c r="A1762" s="856">
        <v>40047</v>
      </c>
      <c r="B1762" s="125" t="str">
        <f>TiposLancamentos!B19</f>
        <v>Restaurantes</v>
      </c>
      <c r="C1762" s="139" t="s">
        <v>21571</v>
      </c>
      <c r="D1762" s="51"/>
      <c r="E1762" s="857">
        <v>43.1</v>
      </c>
    </row>
    <row r="1763" spans="1:5">
      <c r="A1763" s="856">
        <v>40048</v>
      </c>
      <c r="B1763" s="125" t="str">
        <f>TiposLancamentos!B19</f>
        <v>Restaurantes</v>
      </c>
      <c r="C1763" s="139" t="s">
        <v>21572</v>
      </c>
      <c r="D1763" s="51"/>
      <c r="E1763" s="857">
        <v>26.84</v>
      </c>
    </row>
    <row r="1764" spans="1:5">
      <c r="A1764" s="856">
        <v>40048</v>
      </c>
      <c r="B1764" s="125" t="str">
        <f>TiposLancamentos!B5</f>
        <v>Supermercado</v>
      </c>
      <c r="C1764" s="139" t="s">
        <v>21573</v>
      </c>
      <c r="D1764" s="51"/>
      <c r="E1764" s="857">
        <v>16.78</v>
      </c>
    </row>
    <row r="1765" spans="1:5">
      <c r="A1765" s="856">
        <v>40048</v>
      </c>
      <c r="B1765" s="125" t="str">
        <f>TiposLancamentos!B5</f>
        <v>Supermercado</v>
      </c>
      <c r="C1765" s="139" t="s">
        <v>21574</v>
      </c>
      <c r="D1765" s="51"/>
      <c r="E1765" s="857">
        <v>19.95</v>
      </c>
    </row>
    <row r="1766" spans="1:5">
      <c r="A1766" s="856">
        <v>40049</v>
      </c>
      <c r="B1766" s="125" t="str">
        <f>TiposLancamentos!B20</f>
        <v>Saques</v>
      </c>
      <c r="C1766" s="139" t="s">
        <v>3406</v>
      </c>
      <c r="D1766" s="51"/>
      <c r="E1766" s="857">
        <v>50</v>
      </c>
    </row>
    <row r="1767" spans="1:5">
      <c r="A1767" s="856">
        <v>40050</v>
      </c>
      <c r="B1767" s="125" t="str">
        <f>TiposLancamentos!B5</f>
        <v>Supermercado</v>
      </c>
      <c r="C1767" s="139" t="s">
        <v>21575</v>
      </c>
      <c r="D1767" s="51"/>
      <c r="E1767" s="857">
        <v>49.05</v>
      </c>
    </row>
    <row r="1768" spans="1:5">
      <c r="A1768" s="856">
        <v>40051</v>
      </c>
      <c r="B1768" s="125" t="str">
        <f>TiposLancamentos!B20</f>
        <v>Saques</v>
      </c>
      <c r="C1768" s="139" t="s">
        <v>3871</v>
      </c>
      <c r="D1768" s="51"/>
      <c r="E1768" s="857">
        <v>150</v>
      </c>
    </row>
    <row r="1769" spans="1:5">
      <c r="A1769" s="856">
        <v>40051</v>
      </c>
      <c r="B1769" s="125" t="str">
        <f>TiposLancamentos!B18</f>
        <v>Alimentacao</v>
      </c>
      <c r="C1769" s="139" t="s">
        <v>3863</v>
      </c>
      <c r="D1769" s="51"/>
      <c r="E1769" s="857">
        <v>9.6999999999999993</v>
      </c>
    </row>
    <row r="1770" spans="1:5">
      <c r="A1770" s="856">
        <v>40052</v>
      </c>
      <c r="B1770" s="125" t="str">
        <f>TiposLancamentos!B19</f>
        <v>Restaurantes</v>
      </c>
      <c r="C1770" s="139" t="s">
        <v>21576</v>
      </c>
      <c r="D1770" s="51"/>
      <c r="E1770" s="857">
        <v>15.35</v>
      </c>
    </row>
    <row r="1771" spans="1:5">
      <c r="A1771" s="856">
        <v>40052</v>
      </c>
      <c r="B1771" s="125" t="str">
        <f>TiposLancamentos!B19</f>
        <v>Restaurantes</v>
      </c>
      <c r="C1771" s="139" t="s">
        <v>21577</v>
      </c>
      <c r="D1771" s="51"/>
      <c r="E1771" s="857">
        <v>41.35</v>
      </c>
    </row>
    <row r="1772" spans="1:5">
      <c r="A1772" s="856">
        <v>40054</v>
      </c>
      <c r="B1772" s="125" t="str">
        <f>TiposLancamentos!B18</f>
        <v>Alimentacao</v>
      </c>
      <c r="C1772" s="139" t="s">
        <v>21310</v>
      </c>
      <c r="D1772" s="51"/>
      <c r="E1772" s="857">
        <v>13.5</v>
      </c>
    </row>
    <row r="1773" spans="1:5">
      <c r="A1773" s="856">
        <v>40055</v>
      </c>
      <c r="B1773" s="125" t="str">
        <f>TiposLancamentos!B19</f>
        <v>Restaurantes</v>
      </c>
      <c r="C1773" s="139" t="s">
        <v>21339</v>
      </c>
      <c r="D1773" s="51"/>
      <c r="E1773" s="857">
        <v>37.729999999999997</v>
      </c>
    </row>
    <row r="1774" spans="1:5">
      <c r="A1774" s="856">
        <v>40055</v>
      </c>
      <c r="B1774" s="125" t="str">
        <f>TiposLancamentos!B13</f>
        <v>Moradia</v>
      </c>
      <c r="C1774" s="139" t="s">
        <v>15272</v>
      </c>
      <c r="D1774" s="51"/>
      <c r="E1774" s="857">
        <v>158.99</v>
      </c>
    </row>
    <row r="1775" spans="1:5">
      <c r="A1775" s="856">
        <v>40056</v>
      </c>
      <c r="B1775" s="125" t="str">
        <f>TiposLancamentos!B95</f>
        <v>Salarios</v>
      </c>
      <c r="C1775" s="126" t="s">
        <v>4939</v>
      </c>
      <c r="D1775" s="51">
        <v>6275.58</v>
      </c>
      <c r="E1775" s="857"/>
    </row>
    <row r="1776" spans="1:5" ht="14.25" thickBot="1">
      <c r="A1776" s="856">
        <v>40056</v>
      </c>
      <c r="B1776" s="125" t="str">
        <f>TiposLancamentos!B20</f>
        <v>Saques</v>
      </c>
      <c r="C1776" s="139" t="s">
        <v>21578</v>
      </c>
      <c r="D1776" s="51"/>
      <c r="E1776" s="857">
        <v>50</v>
      </c>
    </row>
    <row r="1777" spans="1:6" ht="14.25" thickBot="1">
      <c r="A1777" s="998"/>
      <c r="B1777" s="989"/>
      <c r="C1777" s="990" t="s">
        <v>3877</v>
      </c>
      <c r="D1777" s="991"/>
      <c r="E1777" s="999"/>
    </row>
    <row r="1778" spans="1:6">
      <c r="A1778" s="856">
        <v>40057</v>
      </c>
      <c r="B1778" s="125" t="str">
        <f>TiposLancamentos!B15</f>
        <v>Cartões de Crédito</v>
      </c>
      <c r="C1778" s="139" t="s">
        <v>5557</v>
      </c>
      <c r="D1778" s="51"/>
      <c r="E1778" s="857">
        <v>1416.81</v>
      </c>
    </row>
    <row r="1779" spans="1:6">
      <c r="A1779" s="856">
        <v>40057</v>
      </c>
      <c r="B1779" s="125" t="str">
        <f>TiposLancamentos!B6</f>
        <v>Energia Eletrica</v>
      </c>
      <c r="C1779" s="139" t="s">
        <v>5191</v>
      </c>
      <c r="D1779" s="51"/>
      <c r="E1779" s="857">
        <v>157.09</v>
      </c>
    </row>
    <row r="1780" spans="1:6">
      <c r="A1780" s="856">
        <v>40057</v>
      </c>
      <c r="B1780" s="125" t="str">
        <f>TiposLancamentos!B15</f>
        <v>Cartões de Crédito</v>
      </c>
      <c r="C1780" s="139" t="s">
        <v>5879</v>
      </c>
      <c r="D1780" s="51"/>
      <c r="E1780" s="857">
        <v>109.42</v>
      </c>
    </row>
    <row r="1781" spans="1:6">
      <c r="A1781" s="856">
        <v>40057</v>
      </c>
      <c r="B1781" s="125" t="str">
        <f>TiposLancamentos!B15</f>
        <v>Cartões de Crédito</v>
      </c>
      <c r="C1781" s="139" t="s">
        <v>21579</v>
      </c>
      <c r="D1781" s="51"/>
      <c r="E1781" s="857">
        <v>798.99</v>
      </c>
    </row>
    <row r="1782" spans="1:6">
      <c r="A1782" s="858">
        <v>40057</v>
      </c>
      <c r="B1782" s="817" t="str">
        <f>TiposLancamentos!B8</f>
        <v>Aluguel</v>
      </c>
      <c r="C1782" s="808" t="s">
        <v>21580</v>
      </c>
      <c r="D1782" s="809"/>
      <c r="E1782" s="959">
        <f>F1783-E1783</f>
        <v>1003.95</v>
      </c>
    </row>
    <row r="1783" spans="1:6">
      <c r="A1783" s="862">
        <v>40057</v>
      </c>
      <c r="B1783" s="818" t="str">
        <f>TiposLancamentos!B12</f>
        <v>IPTU</v>
      </c>
      <c r="C1783" s="812" t="s">
        <v>13397</v>
      </c>
      <c r="D1783" s="813"/>
      <c r="E1783" s="960">
        <v>84.57</v>
      </c>
      <c r="F1783" s="36">
        <v>1088.52</v>
      </c>
    </row>
    <row r="1784" spans="1:6">
      <c r="A1784" s="856">
        <v>40057</v>
      </c>
      <c r="B1784" s="125" t="str">
        <f>TiposLancamentos!B9</f>
        <v>Condominio</v>
      </c>
      <c r="C1784" s="139" t="s">
        <v>21581</v>
      </c>
      <c r="D1784" s="51"/>
      <c r="E1784" s="857">
        <v>642.55999999999995</v>
      </c>
    </row>
    <row r="1785" spans="1:6">
      <c r="A1785" s="856">
        <v>40057</v>
      </c>
      <c r="B1785" s="125" t="str">
        <f>TiposLancamentos!B4</f>
        <v>Taxas Bancarias</v>
      </c>
      <c r="C1785" s="139" t="s">
        <v>21175</v>
      </c>
      <c r="D1785" s="51"/>
      <c r="E1785" s="857">
        <v>1.0900000000000001</v>
      </c>
    </row>
    <row r="1786" spans="1:6">
      <c r="A1786" s="856">
        <v>40058</v>
      </c>
      <c r="B1786" s="125" t="str">
        <f>TiposLancamentos!B56</f>
        <v>Farmácia</v>
      </c>
      <c r="C1786" s="139" t="s">
        <v>21582</v>
      </c>
      <c r="D1786" s="51"/>
      <c r="E1786" s="857">
        <v>76.53</v>
      </c>
    </row>
    <row r="1787" spans="1:6">
      <c r="A1787" s="856">
        <v>40058</v>
      </c>
      <c r="B1787" s="125" t="str">
        <f>TiposLancamentos!B99</f>
        <v>Venda de algo</v>
      </c>
      <c r="C1787" s="139" t="s">
        <v>21583</v>
      </c>
      <c r="D1787" s="51">
        <v>100</v>
      </c>
      <c r="E1787" s="857"/>
    </row>
    <row r="1788" spans="1:6">
      <c r="A1788" s="856">
        <v>40058</v>
      </c>
      <c r="B1788" s="125" t="str">
        <f>TiposLancamentos!B5</f>
        <v>Supermercado</v>
      </c>
      <c r="C1788" s="139" t="s">
        <v>21475</v>
      </c>
      <c r="D1788" s="51"/>
      <c r="E1788" s="857">
        <v>76.12</v>
      </c>
    </row>
    <row r="1789" spans="1:6">
      <c r="A1789" s="856">
        <v>40059</v>
      </c>
      <c r="B1789" s="125" t="str">
        <f>TiposLancamentos!B56</f>
        <v>Farmácia</v>
      </c>
      <c r="C1789" s="139" t="s">
        <v>21584</v>
      </c>
      <c r="D1789" s="51"/>
      <c r="E1789" s="857">
        <v>15.92</v>
      </c>
    </row>
    <row r="1790" spans="1:6">
      <c r="A1790" s="856">
        <v>40060</v>
      </c>
      <c r="B1790" s="125" t="str">
        <f>TiposLancamentos!B57</f>
        <v>Informática</v>
      </c>
      <c r="C1790" s="139" t="s">
        <v>21585</v>
      </c>
      <c r="D1790" s="51"/>
      <c r="E1790" s="857">
        <v>85</v>
      </c>
    </row>
    <row r="1791" spans="1:6">
      <c r="A1791" s="856">
        <v>40060</v>
      </c>
      <c r="B1791" s="125" t="str">
        <f>TiposLancamentos!B57</f>
        <v>Informática</v>
      </c>
      <c r="C1791" s="139" t="s">
        <v>21586</v>
      </c>
      <c r="D1791" s="51"/>
      <c r="E1791" s="857">
        <v>49.9</v>
      </c>
    </row>
    <row r="1792" spans="1:6">
      <c r="A1792" s="856">
        <v>40060</v>
      </c>
      <c r="B1792" s="125" t="str">
        <f>TiposLancamentos!B27</f>
        <v>Jornais e revistas</v>
      </c>
      <c r="C1792" s="139" t="s">
        <v>21587</v>
      </c>
      <c r="D1792" s="51"/>
      <c r="E1792" s="857">
        <v>9.9</v>
      </c>
    </row>
    <row r="1793" spans="1:6">
      <c r="A1793" s="856">
        <v>40061</v>
      </c>
      <c r="B1793" s="125" t="str">
        <f>TiposLancamentos!B20</f>
        <v>Saques</v>
      </c>
      <c r="C1793" s="139" t="s">
        <v>3403</v>
      </c>
      <c r="D1793" s="51"/>
      <c r="E1793" s="857">
        <v>60</v>
      </c>
    </row>
    <row r="1794" spans="1:6">
      <c r="A1794" s="856">
        <v>40061</v>
      </c>
      <c r="B1794" s="125" t="str">
        <f>TiposLancamentos!B19</f>
        <v>Restaurantes</v>
      </c>
      <c r="C1794" s="139" t="s">
        <v>21588</v>
      </c>
      <c r="D1794" s="51"/>
      <c r="E1794" s="857">
        <v>47</v>
      </c>
    </row>
    <row r="1795" spans="1:6">
      <c r="A1795" s="856">
        <v>40061</v>
      </c>
      <c r="B1795" s="125" t="str">
        <f>TiposLancamentos!B5</f>
        <v>Supermercado</v>
      </c>
      <c r="C1795" s="139" t="s">
        <v>21589</v>
      </c>
      <c r="D1795" s="51"/>
      <c r="E1795" s="857">
        <v>92.82</v>
      </c>
    </row>
    <row r="1796" spans="1:6">
      <c r="A1796" s="856">
        <v>40063</v>
      </c>
      <c r="B1796" s="125" t="str">
        <f>TiposLancamentos!B19</f>
        <v>Restaurantes</v>
      </c>
      <c r="C1796" s="139" t="s">
        <v>5760</v>
      </c>
      <c r="D1796" s="51"/>
      <c r="E1796" s="857">
        <v>17</v>
      </c>
    </row>
    <row r="1797" spans="1:6">
      <c r="A1797" s="856">
        <v>40064</v>
      </c>
      <c r="B1797" s="125" t="str">
        <f>TiposLancamentos!B44</f>
        <v>Academia</v>
      </c>
      <c r="C1797" s="139" t="s">
        <v>21590</v>
      </c>
      <c r="D1797" s="51"/>
      <c r="E1797" s="857">
        <v>39</v>
      </c>
    </row>
    <row r="1798" spans="1:6">
      <c r="A1798" s="856">
        <v>40064</v>
      </c>
      <c r="B1798" s="125" t="str">
        <f>TiposLancamentos!B5</f>
        <v>Supermercado</v>
      </c>
      <c r="C1798" s="139" t="s">
        <v>21591</v>
      </c>
      <c r="D1798" s="51"/>
      <c r="E1798" s="857">
        <v>26.73</v>
      </c>
    </row>
    <row r="1799" spans="1:6">
      <c r="A1799" s="856">
        <v>40065</v>
      </c>
      <c r="B1799" s="125" t="str">
        <f>TiposLancamentos!B36</f>
        <v>Playstation 2</v>
      </c>
      <c r="C1799" s="139" t="s">
        <v>21592</v>
      </c>
      <c r="D1799" s="51"/>
      <c r="E1799" s="857">
        <v>30</v>
      </c>
    </row>
    <row r="1800" spans="1:6">
      <c r="A1800" s="856">
        <v>40065</v>
      </c>
      <c r="B1800" s="125" t="str">
        <f>TiposLancamentos!B37</f>
        <v>Playstation 3</v>
      </c>
      <c r="C1800" s="139" t="s">
        <v>21593</v>
      </c>
      <c r="D1800" s="51"/>
      <c r="E1800" s="857">
        <v>30</v>
      </c>
    </row>
    <row r="1801" spans="1:6">
      <c r="A1801" s="856">
        <v>40065</v>
      </c>
      <c r="B1801" s="125" t="str">
        <f>TiposLancamentos!B20</f>
        <v>Saques</v>
      </c>
      <c r="C1801" s="139" t="s">
        <v>3406</v>
      </c>
      <c r="D1801" s="51"/>
      <c r="E1801" s="857">
        <v>160</v>
      </c>
    </row>
    <row r="1802" spans="1:6">
      <c r="A1802" s="858">
        <v>40066</v>
      </c>
      <c r="B1802" s="817" t="str">
        <f>TiposLancamentos!B2</f>
        <v>Telefonia</v>
      </c>
      <c r="C1802" s="808" t="s">
        <v>5836</v>
      </c>
      <c r="D1802" s="809"/>
      <c r="E1802" s="959">
        <v>6.68</v>
      </c>
    </row>
    <row r="1803" spans="1:6">
      <c r="A1803" s="860">
        <v>40066</v>
      </c>
      <c r="B1803" s="816" t="str">
        <f>TiposLancamentos!B3</f>
        <v>Internet</v>
      </c>
      <c r="C1803" s="141" t="s">
        <v>5835</v>
      </c>
      <c r="D1803" s="127"/>
      <c r="E1803" s="953">
        <v>86</v>
      </c>
    </row>
    <row r="1804" spans="1:6">
      <c r="A1804" s="862">
        <v>40066</v>
      </c>
      <c r="B1804" s="818" t="str">
        <f>TiposLancamentos!B35</f>
        <v>Tv à Cabo</v>
      </c>
      <c r="C1804" s="812" t="s">
        <v>21594</v>
      </c>
      <c r="D1804" s="813"/>
      <c r="E1804" s="960">
        <v>168.8</v>
      </c>
      <c r="F1804" s="36">
        <f>SUM(E1802:E1804)</f>
        <v>261.48</v>
      </c>
    </row>
    <row r="1805" spans="1:6">
      <c r="A1805" s="856">
        <v>40066</v>
      </c>
      <c r="B1805" s="125" t="str">
        <f>TiposLancamentos!B13</f>
        <v>Moradia</v>
      </c>
      <c r="C1805" s="139" t="s">
        <v>21595</v>
      </c>
      <c r="D1805" s="51"/>
      <c r="E1805" s="857">
        <v>322.39999999999998</v>
      </c>
    </row>
    <row r="1806" spans="1:6">
      <c r="A1806" s="856">
        <v>40066</v>
      </c>
      <c r="B1806" s="125" t="str">
        <f>TiposLancamentos!B22</f>
        <v>Combustivel</v>
      </c>
      <c r="C1806" s="139" t="s">
        <v>21596</v>
      </c>
      <c r="D1806" s="51"/>
      <c r="E1806" s="857">
        <v>62.02</v>
      </c>
    </row>
    <row r="1807" spans="1:6">
      <c r="A1807" s="856">
        <v>40067</v>
      </c>
      <c r="B1807" s="125" t="str">
        <f>TiposLancamentos!B19</f>
        <v>Restaurantes</v>
      </c>
      <c r="C1807" s="139" t="s">
        <v>21597</v>
      </c>
      <c r="D1807" s="51"/>
      <c r="E1807" s="857">
        <v>52.98</v>
      </c>
    </row>
    <row r="1808" spans="1:6">
      <c r="A1808" s="856">
        <v>40068</v>
      </c>
      <c r="B1808" s="125" t="str">
        <f>TiposLancamentos!B74</f>
        <v>Noite</v>
      </c>
      <c r="C1808" s="139" t="s">
        <v>21598</v>
      </c>
      <c r="D1808" s="51"/>
      <c r="E1808" s="857">
        <v>26.5</v>
      </c>
    </row>
    <row r="1809" spans="1:6">
      <c r="A1809" s="856">
        <v>40069</v>
      </c>
      <c r="B1809" s="125" t="str">
        <f>TiposLancamentos!B19</f>
        <v>Restaurantes</v>
      </c>
      <c r="C1809" s="139" t="s">
        <v>21599</v>
      </c>
      <c r="D1809" s="51"/>
      <c r="E1809" s="857">
        <v>37.700000000000003</v>
      </c>
    </row>
    <row r="1810" spans="1:6">
      <c r="A1810" s="858">
        <v>40069</v>
      </c>
      <c r="B1810" s="817" t="str">
        <f>TiposLancamentos!B70</f>
        <v>Vestuário</v>
      </c>
      <c r="C1810" s="808" t="s">
        <v>21600</v>
      </c>
      <c r="D1810" s="809"/>
      <c r="E1810" s="959">
        <f>484.5-E1811</f>
        <v>404.7</v>
      </c>
    </row>
    <row r="1811" spans="1:6">
      <c r="A1811" s="862">
        <v>40069</v>
      </c>
      <c r="B1811" s="818" t="str">
        <f>TiposLancamentos!B16</f>
        <v>Cristiane</v>
      </c>
      <c r="C1811" s="812" t="s">
        <v>21601</v>
      </c>
      <c r="D1811" s="813"/>
      <c r="E1811" s="960">
        <f>39.9*2</f>
        <v>79.8</v>
      </c>
      <c r="F1811" s="36">
        <f>SUM(E1810:E1811)</f>
        <v>484.5</v>
      </c>
    </row>
    <row r="1812" spans="1:6">
      <c r="A1812" s="856">
        <v>40069</v>
      </c>
      <c r="B1812" s="125" t="str">
        <f>TiposLancamentos!B5</f>
        <v>Supermercado</v>
      </c>
      <c r="C1812" s="139" t="s">
        <v>2567</v>
      </c>
      <c r="D1812" s="51"/>
      <c r="E1812" s="857">
        <v>35.520000000000003</v>
      </c>
    </row>
    <row r="1813" spans="1:6">
      <c r="A1813" s="856">
        <v>40070</v>
      </c>
      <c r="B1813" s="125" t="str">
        <f>TiposLancamentos!B86</f>
        <v>Peugeout 207</v>
      </c>
      <c r="C1813" s="139" t="s">
        <v>21602</v>
      </c>
      <c r="D1813" s="51"/>
      <c r="E1813" s="857">
        <v>700.69</v>
      </c>
    </row>
    <row r="1814" spans="1:6">
      <c r="A1814" s="856">
        <v>40070</v>
      </c>
      <c r="B1814" s="125" t="str">
        <f>TiposLancamentos!B16</f>
        <v>Cristiane</v>
      </c>
      <c r="C1814" s="139" t="s">
        <v>21603</v>
      </c>
      <c r="D1814" s="51"/>
      <c r="E1814" s="857">
        <v>134.9</v>
      </c>
    </row>
    <row r="1815" spans="1:6">
      <c r="A1815" s="856">
        <v>40071</v>
      </c>
      <c r="B1815" s="125" t="str">
        <f>TiposLancamentos!B95</f>
        <v>Salarios</v>
      </c>
      <c r="C1815" s="139" t="s">
        <v>4916</v>
      </c>
      <c r="D1815" s="51">
        <v>1831.9</v>
      </c>
      <c r="E1815" s="857"/>
    </row>
    <row r="1816" spans="1:6">
      <c r="A1816" s="856">
        <v>40071</v>
      </c>
      <c r="B1816" s="125" t="str">
        <f>TiposLancamentos!B24</f>
        <v>Estacionamentos</v>
      </c>
      <c r="C1816" s="139" t="s">
        <v>21125</v>
      </c>
      <c r="D1816" s="51"/>
      <c r="E1816" s="857">
        <v>18.399999999999999</v>
      </c>
    </row>
    <row r="1817" spans="1:6">
      <c r="A1817" s="856">
        <v>40072</v>
      </c>
      <c r="B1817" s="125" t="str">
        <f>TiposLancamentos!B57</f>
        <v>Informática</v>
      </c>
      <c r="C1817" s="139" t="s">
        <v>21604</v>
      </c>
      <c r="D1817" s="51"/>
      <c r="E1817" s="857">
        <v>9.98</v>
      </c>
    </row>
    <row r="1818" spans="1:6">
      <c r="A1818" s="856">
        <v>40072</v>
      </c>
      <c r="B1818" s="125" t="str">
        <f>TiposLancamentos!B19</f>
        <v>Restaurantes</v>
      </c>
      <c r="C1818" s="139" t="s">
        <v>3287</v>
      </c>
      <c r="D1818" s="51"/>
      <c r="E1818" s="857">
        <v>18.399999999999999</v>
      </c>
    </row>
    <row r="1819" spans="1:6">
      <c r="A1819" s="856">
        <v>40072</v>
      </c>
      <c r="B1819" s="125" t="str">
        <f>TiposLancamentos!B71</f>
        <v>Itens Pessoais</v>
      </c>
      <c r="C1819" s="139" t="s">
        <v>21605</v>
      </c>
      <c r="D1819" s="51"/>
      <c r="E1819" s="857">
        <v>22.75</v>
      </c>
    </row>
    <row r="1820" spans="1:6">
      <c r="A1820" s="856">
        <v>40072</v>
      </c>
      <c r="B1820" s="125" t="str">
        <f>TiposLancamentos!B19</f>
        <v>Restaurantes</v>
      </c>
      <c r="C1820" s="139" t="s">
        <v>3618</v>
      </c>
      <c r="D1820" s="51"/>
      <c r="E1820" s="857">
        <v>60.3</v>
      </c>
    </row>
    <row r="1821" spans="1:6">
      <c r="A1821" s="856">
        <v>40073</v>
      </c>
      <c r="B1821" s="125" t="str">
        <f>TiposLancamentos!B19</f>
        <v>Restaurantes</v>
      </c>
      <c r="C1821" s="139" t="s">
        <v>21606</v>
      </c>
      <c r="D1821" s="51"/>
      <c r="E1821" s="857">
        <v>19.73</v>
      </c>
    </row>
    <row r="1822" spans="1:6">
      <c r="A1822" s="856">
        <v>40073</v>
      </c>
      <c r="B1822" s="125" t="str">
        <f>TiposLancamentos!B17</f>
        <v>GATO</v>
      </c>
      <c r="C1822" s="139" t="s">
        <v>21607</v>
      </c>
      <c r="D1822" s="51"/>
      <c r="E1822" s="857">
        <v>55.38</v>
      </c>
    </row>
    <row r="1823" spans="1:6">
      <c r="A1823" s="856">
        <v>40074</v>
      </c>
      <c r="B1823" s="125" t="str">
        <f>TiposLancamentos!B19</f>
        <v>Restaurantes</v>
      </c>
      <c r="C1823" s="139" t="s">
        <v>4121</v>
      </c>
      <c r="D1823" s="51"/>
      <c r="E1823" s="857">
        <v>14.33</v>
      </c>
    </row>
    <row r="1824" spans="1:6">
      <c r="A1824" s="856">
        <v>40074</v>
      </c>
      <c r="B1824" s="125" t="str">
        <f>TiposLancamentos!B19</f>
        <v>Restaurantes</v>
      </c>
      <c r="C1824" s="139" t="s">
        <v>20846</v>
      </c>
      <c r="D1824" s="51"/>
      <c r="E1824" s="857">
        <v>19.7</v>
      </c>
    </row>
    <row r="1825" spans="1:6">
      <c r="A1825" s="856">
        <v>40074</v>
      </c>
      <c r="B1825" s="125" t="str">
        <f>TiposLancamentos!B19</f>
        <v>Restaurantes</v>
      </c>
      <c r="C1825" s="139" t="s">
        <v>21608</v>
      </c>
      <c r="D1825" s="51"/>
      <c r="E1825" s="857">
        <v>8.6999999999999993</v>
      </c>
    </row>
    <row r="1826" spans="1:6">
      <c r="A1826" s="856">
        <v>40074</v>
      </c>
      <c r="B1826" s="125" t="str">
        <f>TiposLancamentos!B19</f>
        <v>Restaurantes</v>
      </c>
      <c r="C1826" s="139" t="s">
        <v>3668</v>
      </c>
      <c r="D1826" s="51"/>
      <c r="E1826" s="857">
        <v>6.5</v>
      </c>
    </row>
    <row r="1827" spans="1:6">
      <c r="A1827" s="856">
        <v>40075</v>
      </c>
      <c r="B1827" s="125" t="str">
        <f>TiposLancamentos!B19</f>
        <v>Restaurantes</v>
      </c>
      <c r="C1827" s="139" t="s">
        <v>21410</v>
      </c>
      <c r="D1827" s="51"/>
      <c r="E1827" s="857">
        <v>8.4</v>
      </c>
    </row>
    <row r="1828" spans="1:6">
      <c r="A1828" s="856">
        <v>40075</v>
      </c>
      <c r="B1828" s="125" t="str">
        <f>TiposLancamentos!B5</f>
        <v>Supermercado</v>
      </c>
      <c r="C1828" s="139" t="s">
        <v>3361</v>
      </c>
      <c r="D1828" s="51"/>
      <c r="E1828" s="857">
        <v>57.14</v>
      </c>
    </row>
    <row r="1829" spans="1:6">
      <c r="A1829" s="858">
        <v>40076</v>
      </c>
      <c r="B1829" s="817" t="str">
        <f>TiposLancamentos!B19</f>
        <v>Restaurantes</v>
      </c>
      <c r="C1829" s="808" t="s">
        <v>3618</v>
      </c>
      <c r="D1829" s="809"/>
      <c r="E1829" s="959">
        <v>20</v>
      </c>
    </row>
    <row r="1830" spans="1:6">
      <c r="A1830" s="862">
        <v>40076</v>
      </c>
      <c r="B1830" s="818" t="str">
        <f>TiposLancamentos!B51</f>
        <v>Marlboro</v>
      </c>
      <c r="C1830" s="812" t="s">
        <v>21609</v>
      </c>
      <c r="D1830" s="813"/>
      <c r="E1830" s="960">
        <v>4.25</v>
      </c>
      <c r="F1830" s="36">
        <f>SUM(E1829:E1830)</f>
        <v>24.25</v>
      </c>
    </row>
    <row r="1831" spans="1:6">
      <c r="A1831" s="856">
        <v>40077</v>
      </c>
      <c r="B1831" s="125" t="str">
        <f>TiposLancamentos!B9</f>
        <v>Condominio</v>
      </c>
      <c r="C1831" s="139" t="s">
        <v>21610</v>
      </c>
      <c r="D1831" s="51"/>
      <c r="E1831" s="857">
        <v>135</v>
      </c>
    </row>
    <row r="1832" spans="1:6">
      <c r="A1832" s="856">
        <v>40077</v>
      </c>
      <c r="B1832" s="125" t="str">
        <f>TiposLancamentos!B19</f>
        <v>Restaurantes</v>
      </c>
      <c r="C1832" s="139" t="s">
        <v>21611</v>
      </c>
      <c r="D1832" s="51"/>
      <c r="E1832" s="857">
        <v>21.3</v>
      </c>
    </row>
    <row r="1833" spans="1:6">
      <c r="A1833" s="856">
        <v>40077</v>
      </c>
      <c r="B1833" s="125" t="str">
        <f>TiposLancamentos!B62</f>
        <v>Papelaria</v>
      </c>
      <c r="C1833" s="139" t="s">
        <v>21612</v>
      </c>
      <c r="D1833" s="51"/>
      <c r="E1833" s="857">
        <v>6.62</v>
      </c>
    </row>
    <row r="1834" spans="1:6">
      <c r="A1834" s="856">
        <v>40077</v>
      </c>
      <c r="B1834" s="125" t="str">
        <f>TiposLancamentos!B19</f>
        <v>Restaurantes</v>
      </c>
      <c r="C1834" s="139" t="s">
        <v>21613</v>
      </c>
      <c r="D1834" s="51"/>
      <c r="E1834" s="857">
        <v>28.86</v>
      </c>
    </row>
    <row r="1835" spans="1:6">
      <c r="A1835" s="856">
        <v>40078</v>
      </c>
      <c r="B1835" s="125" t="str">
        <f>TiposLancamentos!B19</f>
        <v>Restaurantes</v>
      </c>
      <c r="C1835" s="139" t="s">
        <v>21614</v>
      </c>
      <c r="D1835" s="51"/>
      <c r="E1835" s="857">
        <v>19.399999999999999</v>
      </c>
    </row>
    <row r="1836" spans="1:6">
      <c r="A1836" s="856">
        <v>40078</v>
      </c>
      <c r="B1836" s="125" t="str">
        <f>TiposLancamentos!B19</f>
        <v>Restaurantes</v>
      </c>
      <c r="C1836" s="139" t="s">
        <v>21615</v>
      </c>
      <c r="D1836" s="51"/>
      <c r="E1836" s="857">
        <v>27.25</v>
      </c>
    </row>
    <row r="1837" spans="1:6">
      <c r="A1837" s="856">
        <v>40079</v>
      </c>
      <c r="B1837" s="125" t="str">
        <f>TiposLancamentos!B19</f>
        <v>Restaurantes</v>
      </c>
      <c r="C1837" s="139" t="s">
        <v>7141</v>
      </c>
      <c r="D1837" s="51"/>
      <c r="E1837" s="857">
        <v>11.4</v>
      </c>
    </row>
    <row r="1838" spans="1:6">
      <c r="A1838" s="856">
        <v>40079</v>
      </c>
      <c r="B1838" s="125" t="str">
        <f>TiposLancamentos!B19</f>
        <v>Restaurantes</v>
      </c>
      <c r="C1838" s="139" t="s">
        <v>21576</v>
      </c>
      <c r="D1838" s="51"/>
      <c r="E1838" s="857">
        <v>34.799999999999997</v>
      </c>
    </row>
    <row r="1839" spans="1:6">
      <c r="A1839" s="856">
        <v>40080</v>
      </c>
      <c r="B1839" s="125" t="str">
        <f>TiposLancamentos!B19</f>
        <v>Restaurantes</v>
      </c>
      <c r="C1839" s="139" t="s">
        <v>3755</v>
      </c>
      <c r="D1839" s="51"/>
      <c r="E1839" s="857">
        <v>16.8</v>
      </c>
    </row>
    <row r="1840" spans="1:6">
      <c r="A1840" s="856">
        <v>40080</v>
      </c>
      <c r="B1840" s="125" t="str">
        <f>TiposLancamentos!B16</f>
        <v>Cristiane</v>
      </c>
      <c r="C1840" s="139" t="s">
        <v>21616</v>
      </c>
      <c r="D1840" s="51"/>
      <c r="E1840" s="857">
        <v>12</v>
      </c>
    </row>
    <row r="1841" spans="1:5">
      <c r="A1841" s="856">
        <v>40080</v>
      </c>
      <c r="B1841" s="125" t="str">
        <f>TiposLancamentos!B19</f>
        <v>Restaurantes</v>
      </c>
      <c r="C1841" s="139" t="s">
        <v>21234</v>
      </c>
      <c r="D1841" s="51"/>
      <c r="E1841" s="857">
        <v>32.78</v>
      </c>
    </row>
    <row r="1842" spans="1:5">
      <c r="A1842" s="856">
        <v>40081</v>
      </c>
      <c r="B1842" s="125" t="str">
        <f>TiposLancamentos!B19</f>
        <v>Restaurantes</v>
      </c>
      <c r="C1842" s="139" t="s">
        <v>21615</v>
      </c>
      <c r="D1842" s="51"/>
      <c r="E1842" s="857">
        <v>17.899999999999999</v>
      </c>
    </row>
    <row r="1843" spans="1:5">
      <c r="A1843" s="856">
        <v>40081</v>
      </c>
      <c r="B1843" s="125" t="str">
        <f>TiposLancamentos!B19</f>
        <v>Restaurantes</v>
      </c>
      <c r="C1843" s="139" t="s">
        <v>3618</v>
      </c>
      <c r="D1843" s="51"/>
      <c r="E1843" s="857">
        <v>59.27</v>
      </c>
    </row>
    <row r="1844" spans="1:5">
      <c r="A1844" s="856">
        <v>40083</v>
      </c>
      <c r="B1844" s="125" t="str">
        <f>TiposLancamentos!B22</f>
        <v>Combustivel</v>
      </c>
      <c r="C1844" s="139" t="s">
        <v>21617</v>
      </c>
      <c r="D1844" s="51"/>
      <c r="E1844" s="857">
        <v>52.38</v>
      </c>
    </row>
    <row r="1845" spans="1:5">
      <c r="A1845" s="856">
        <v>40083</v>
      </c>
      <c r="B1845" s="125" t="str">
        <f>TiposLancamentos!B20</f>
        <v>Saques</v>
      </c>
      <c r="C1845" s="139" t="s">
        <v>3406</v>
      </c>
      <c r="D1845" s="51"/>
      <c r="E1845" s="857">
        <v>80</v>
      </c>
    </row>
    <row r="1846" spans="1:5">
      <c r="A1846" s="856">
        <v>40083</v>
      </c>
      <c r="B1846" s="125" t="str">
        <f>TiposLancamentos!B19</f>
        <v>Restaurantes</v>
      </c>
      <c r="C1846" s="139" t="s">
        <v>4977</v>
      </c>
      <c r="D1846" s="51"/>
      <c r="E1846" s="857">
        <v>35.56</v>
      </c>
    </row>
    <row r="1847" spans="1:5">
      <c r="A1847" s="856">
        <v>40083</v>
      </c>
      <c r="B1847" s="125" t="str">
        <f>TiposLancamentos!B19</f>
        <v>Restaurantes</v>
      </c>
      <c r="C1847" s="139" t="s">
        <v>3618</v>
      </c>
      <c r="D1847" s="51"/>
      <c r="E1847" s="857">
        <v>31.08</v>
      </c>
    </row>
    <row r="1848" spans="1:5">
      <c r="A1848" s="856">
        <v>40084</v>
      </c>
      <c r="B1848" s="125" t="str">
        <f>TiposLancamentos!B19</f>
        <v>Restaurantes</v>
      </c>
      <c r="C1848" s="139" t="s">
        <v>21618</v>
      </c>
      <c r="D1848" s="51"/>
      <c r="E1848" s="857">
        <v>21.3</v>
      </c>
    </row>
    <row r="1849" spans="1:5">
      <c r="A1849" s="856">
        <v>40085</v>
      </c>
      <c r="B1849" s="125" t="str">
        <f>TiposLancamentos!B15</f>
        <v>Cartões de Crédito</v>
      </c>
      <c r="C1849" s="139" t="s">
        <v>21619</v>
      </c>
      <c r="D1849" s="51"/>
      <c r="E1849" s="857">
        <v>637.37</v>
      </c>
    </row>
    <row r="1850" spans="1:5">
      <c r="A1850" s="856">
        <v>40085</v>
      </c>
      <c r="B1850" s="125" t="str">
        <f>TiposLancamentos!B19</f>
        <v>Restaurantes</v>
      </c>
      <c r="C1850" s="139" t="s">
        <v>5760</v>
      </c>
      <c r="D1850" s="51"/>
      <c r="E1850" s="857">
        <v>20.36</v>
      </c>
    </row>
    <row r="1851" spans="1:5">
      <c r="A1851" s="856">
        <v>40086</v>
      </c>
      <c r="B1851" s="125" t="str">
        <f>TiposLancamentos!B95</f>
        <v>Salarios</v>
      </c>
      <c r="C1851" s="126" t="s">
        <v>4939</v>
      </c>
      <c r="D1851" s="51">
        <v>7766.4</v>
      </c>
      <c r="E1851" s="857"/>
    </row>
    <row r="1852" spans="1:5" ht="14.25" thickBot="1">
      <c r="A1852" s="856">
        <v>40086</v>
      </c>
      <c r="B1852" s="125" t="str">
        <f>TiposLancamentos!B20</f>
        <v>Saques</v>
      </c>
      <c r="C1852" s="139" t="s">
        <v>3403</v>
      </c>
      <c r="D1852" s="51"/>
      <c r="E1852" s="857">
        <v>40</v>
      </c>
    </row>
    <row r="1853" spans="1:5" ht="14.25" thickBot="1">
      <c r="A1853" s="998"/>
      <c r="B1853" s="989"/>
      <c r="C1853" s="990" t="s">
        <v>3896</v>
      </c>
      <c r="D1853" s="991"/>
      <c r="E1853" s="999"/>
    </row>
    <row r="1854" spans="1:5">
      <c r="A1854" s="856">
        <v>40087</v>
      </c>
      <c r="B1854" s="125" t="str">
        <f>TiposLancamentos!B15</f>
        <v>Cartões de Crédito</v>
      </c>
      <c r="C1854" s="139" t="s">
        <v>16507</v>
      </c>
      <c r="D1854" s="51"/>
      <c r="E1854" s="857">
        <v>2762.77</v>
      </c>
    </row>
    <row r="1855" spans="1:5">
      <c r="A1855" s="856">
        <v>40087</v>
      </c>
      <c r="B1855" s="125" t="str">
        <f>TiposLancamentos!B6</f>
        <v>Energia Eletrica</v>
      </c>
      <c r="C1855" s="139" t="s">
        <v>5191</v>
      </c>
      <c r="D1855" s="51"/>
      <c r="E1855" s="857">
        <v>161.47999999999999</v>
      </c>
    </row>
    <row r="1856" spans="1:5">
      <c r="A1856" s="856">
        <v>40087</v>
      </c>
      <c r="B1856" s="125" t="str">
        <f>TiposLancamentos!B15</f>
        <v>Cartões de Crédito</v>
      </c>
      <c r="C1856" s="139" t="s">
        <v>21620</v>
      </c>
      <c r="D1856" s="51"/>
      <c r="E1856" s="857">
        <v>109.41</v>
      </c>
    </row>
    <row r="1857" spans="1:6">
      <c r="A1857" s="856">
        <v>40087</v>
      </c>
      <c r="B1857" s="125" t="str">
        <f>TiposLancamentos!B15</f>
        <v>Cartões de Crédito</v>
      </c>
      <c r="C1857" s="139" t="s">
        <v>5558</v>
      </c>
      <c r="D1857" s="51"/>
      <c r="E1857" s="857">
        <v>214.99</v>
      </c>
    </row>
    <row r="1858" spans="1:6">
      <c r="A1858" s="858">
        <v>40087</v>
      </c>
      <c r="B1858" s="817" t="str">
        <f>TiposLancamentos!B2</f>
        <v>Telefonia</v>
      </c>
      <c r="C1858" s="808" t="s">
        <v>5836</v>
      </c>
      <c r="D1858" s="809"/>
      <c r="E1858" s="959">
        <v>8.19</v>
      </c>
    </row>
    <row r="1859" spans="1:6">
      <c r="A1859" s="860">
        <v>40087</v>
      </c>
      <c r="B1859" s="816" t="str">
        <f>TiposLancamentos!B3</f>
        <v>Internet</v>
      </c>
      <c r="C1859" s="141" t="s">
        <v>5835</v>
      </c>
      <c r="D1859" s="127"/>
      <c r="E1859" s="953">
        <v>86</v>
      </c>
    </row>
    <row r="1860" spans="1:6">
      <c r="A1860" s="862">
        <v>40087</v>
      </c>
      <c r="B1860" s="818" t="str">
        <f>TiposLancamentos!B35</f>
        <v>Tv à Cabo</v>
      </c>
      <c r="C1860" s="812" t="s">
        <v>21594</v>
      </c>
      <c r="D1860" s="813"/>
      <c r="E1860" s="960">
        <f>123.9+44.9</f>
        <v>168.8</v>
      </c>
      <c r="F1860" s="36">
        <f>SUM(E1858:E1860)</f>
        <v>262.99</v>
      </c>
    </row>
    <row r="1861" spans="1:6">
      <c r="A1861" s="856">
        <v>40087</v>
      </c>
      <c r="B1861" s="125" t="str">
        <f>TiposLancamentos!B20</f>
        <v>Saques</v>
      </c>
      <c r="C1861" s="139" t="s">
        <v>2668</v>
      </c>
      <c r="D1861" s="51"/>
      <c r="E1861" s="857">
        <v>600</v>
      </c>
    </row>
    <row r="1862" spans="1:6">
      <c r="A1862" s="856">
        <v>40087</v>
      </c>
      <c r="B1862" s="125" t="str">
        <f>TiposLancamentos!B4</f>
        <v>Taxas Bancarias</v>
      </c>
      <c r="C1862" s="139" t="s">
        <v>21175</v>
      </c>
      <c r="D1862" s="51"/>
      <c r="E1862" s="857">
        <v>9.3800000000000008</v>
      </c>
    </row>
    <row r="1863" spans="1:6">
      <c r="A1863" s="858">
        <v>40088</v>
      </c>
      <c r="B1863" s="817" t="str">
        <f>TiposLancamentos!B5</f>
        <v>Supermercado</v>
      </c>
      <c r="C1863" s="808" t="s">
        <v>21621</v>
      </c>
      <c r="D1863" s="809"/>
      <c r="E1863" s="959">
        <f>33.7-4.25</f>
        <v>29.450000000000003</v>
      </c>
    </row>
    <row r="1864" spans="1:6">
      <c r="A1864" s="862">
        <v>40088</v>
      </c>
      <c r="B1864" s="818" t="str">
        <f>TiposLancamentos!B51</f>
        <v>Marlboro</v>
      </c>
      <c r="C1864" s="812" t="s">
        <v>3811</v>
      </c>
      <c r="D1864" s="813"/>
      <c r="E1864" s="960">
        <v>4.25</v>
      </c>
      <c r="F1864" s="36">
        <f>SUM(E1863:E1864)</f>
        <v>33.700000000000003</v>
      </c>
    </row>
    <row r="1865" spans="1:6">
      <c r="A1865" s="856">
        <v>40088</v>
      </c>
      <c r="B1865" s="125" t="str">
        <f>TiposLancamentos!B19</f>
        <v>Restaurantes</v>
      </c>
      <c r="C1865" s="139" t="s">
        <v>3698</v>
      </c>
      <c r="D1865" s="51"/>
      <c r="E1865" s="857">
        <v>59.97</v>
      </c>
      <c r="F1865" s="36"/>
    </row>
    <row r="1866" spans="1:6">
      <c r="A1866" s="856">
        <v>40089</v>
      </c>
      <c r="B1866" s="125" t="str">
        <f>TiposLancamentos!B22</f>
        <v>Combustivel</v>
      </c>
      <c r="C1866" s="139" t="s">
        <v>21622</v>
      </c>
      <c r="D1866" s="51"/>
      <c r="E1866" s="857">
        <v>53.7</v>
      </c>
      <c r="F1866" s="36"/>
    </row>
    <row r="1867" spans="1:6">
      <c r="A1867" s="856">
        <v>40089</v>
      </c>
      <c r="B1867" s="125" t="str">
        <f>TiposLancamentos!B5</f>
        <v>Supermercado</v>
      </c>
      <c r="C1867" s="139" t="s">
        <v>21623</v>
      </c>
      <c r="D1867" s="51"/>
      <c r="E1867" s="857">
        <v>14.72</v>
      </c>
      <c r="F1867" s="36"/>
    </row>
    <row r="1868" spans="1:6">
      <c r="A1868" s="856">
        <v>40090</v>
      </c>
      <c r="B1868" s="125" t="str">
        <f>TiposLancamentos!B22</f>
        <v>Combustivel</v>
      </c>
      <c r="C1868" s="139" t="s">
        <v>21624</v>
      </c>
      <c r="D1868" s="51"/>
      <c r="E1868" s="857">
        <v>66</v>
      </c>
    </row>
    <row r="1869" spans="1:6">
      <c r="A1869" s="856">
        <v>40091</v>
      </c>
      <c r="B1869" s="125" t="str">
        <f>TiposLancamentos!B57</f>
        <v>Informática</v>
      </c>
      <c r="C1869" s="139" t="s">
        <v>21625</v>
      </c>
      <c r="D1869" s="51"/>
      <c r="E1869" s="857">
        <v>69.900000000000006</v>
      </c>
    </row>
    <row r="1870" spans="1:6" ht="14.25" customHeight="1">
      <c r="A1870" s="856">
        <v>40091</v>
      </c>
      <c r="B1870" s="125" t="str">
        <f>TiposLancamentos!B20</f>
        <v>Saques</v>
      </c>
      <c r="C1870" s="139" t="s">
        <v>3403</v>
      </c>
      <c r="D1870" s="51"/>
      <c r="E1870" s="857">
        <v>40</v>
      </c>
    </row>
    <row r="1871" spans="1:6">
      <c r="A1871" s="856">
        <v>40092</v>
      </c>
      <c r="B1871" s="125" t="str">
        <f>TiposLancamentos!B71</f>
        <v>Itens Pessoais</v>
      </c>
      <c r="C1871" s="139" t="s">
        <v>21626</v>
      </c>
      <c r="D1871" s="51"/>
      <c r="E1871" s="857">
        <v>42.53</v>
      </c>
    </row>
    <row r="1872" spans="1:6">
      <c r="A1872" s="856">
        <v>40092</v>
      </c>
      <c r="B1872" s="125" t="str">
        <f>TiposLancamentos!B13</f>
        <v>Moradia</v>
      </c>
      <c r="C1872" s="139" t="s">
        <v>21627</v>
      </c>
      <c r="D1872" s="51"/>
      <c r="E1872" s="857">
        <v>95.4</v>
      </c>
    </row>
    <row r="1873" spans="1:6">
      <c r="A1873" s="856">
        <v>40092</v>
      </c>
      <c r="B1873" s="125" t="str">
        <f>TiposLancamentos!B22</f>
        <v>Combustivel</v>
      </c>
      <c r="C1873" s="139" t="s">
        <v>21628</v>
      </c>
      <c r="D1873" s="51"/>
      <c r="E1873" s="857">
        <v>73.5</v>
      </c>
    </row>
    <row r="1874" spans="1:6">
      <c r="A1874" s="856">
        <v>40092</v>
      </c>
      <c r="B1874" s="125" t="str">
        <f>TiposLancamentos!B9</f>
        <v>Condominio</v>
      </c>
      <c r="C1874" s="139" t="s">
        <v>21629</v>
      </c>
      <c r="D1874" s="51"/>
      <c r="E1874" s="857">
        <v>642.55999999999995</v>
      </c>
    </row>
    <row r="1875" spans="1:6">
      <c r="A1875" s="856">
        <v>40092</v>
      </c>
      <c r="B1875" s="125" t="str">
        <f>TiposLancamentos!B34</f>
        <v>Seguros</v>
      </c>
      <c r="C1875" s="139" t="s">
        <v>21630</v>
      </c>
      <c r="D1875" s="51"/>
      <c r="E1875" s="857">
        <v>1664</v>
      </c>
    </row>
    <row r="1876" spans="1:6">
      <c r="A1876" s="856">
        <v>40095</v>
      </c>
      <c r="B1876" s="125" t="str">
        <f>TiposLancamentos!B5</f>
        <v>Supermercado</v>
      </c>
      <c r="C1876" s="139" t="s">
        <v>21631</v>
      </c>
      <c r="D1876" s="51"/>
      <c r="E1876" s="857">
        <v>36.15</v>
      </c>
    </row>
    <row r="1877" spans="1:6">
      <c r="A1877" s="856">
        <v>40096</v>
      </c>
      <c r="B1877" s="125" t="str">
        <f>TiposLancamentos!B62</f>
        <v>Papelaria</v>
      </c>
      <c r="C1877" s="139" t="s">
        <v>21632</v>
      </c>
      <c r="D1877" s="51"/>
      <c r="E1877" s="857">
        <v>15.3</v>
      </c>
    </row>
    <row r="1878" spans="1:6">
      <c r="A1878" s="856">
        <v>40096</v>
      </c>
      <c r="B1878" s="125" t="str">
        <f>TiposLancamentos!B19</f>
        <v>Restaurantes</v>
      </c>
      <c r="C1878" s="139" t="s">
        <v>6151</v>
      </c>
      <c r="D1878" s="51"/>
      <c r="E1878" s="857">
        <v>78.2</v>
      </c>
    </row>
    <row r="1879" spans="1:6">
      <c r="A1879" s="856">
        <v>40096</v>
      </c>
      <c r="B1879" s="125" t="str">
        <f>TiposLancamentos!B70</f>
        <v>Vestuário</v>
      </c>
      <c r="C1879" s="139" t="s">
        <v>21633</v>
      </c>
      <c r="D1879" s="51"/>
      <c r="E1879" s="857">
        <v>24</v>
      </c>
    </row>
    <row r="1880" spans="1:6">
      <c r="A1880" s="856">
        <v>40096</v>
      </c>
      <c r="B1880" s="125" t="str">
        <f>TiposLancamentos!B5</f>
        <v>Supermercado</v>
      </c>
      <c r="C1880" s="139" t="s">
        <v>21208</v>
      </c>
      <c r="D1880" s="51"/>
      <c r="E1880" s="857">
        <v>108.75</v>
      </c>
    </row>
    <row r="1881" spans="1:6">
      <c r="A1881" s="856">
        <v>40097</v>
      </c>
      <c r="B1881" s="125" t="str">
        <f>TiposLancamentos!B19</f>
        <v>Restaurantes</v>
      </c>
      <c r="C1881" s="139" t="s">
        <v>21634</v>
      </c>
      <c r="D1881" s="51"/>
      <c r="E1881" s="857">
        <v>69.239999999999995</v>
      </c>
    </row>
    <row r="1882" spans="1:6">
      <c r="A1882" s="856">
        <v>40097</v>
      </c>
      <c r="B1882" s="125" t="str">
        <f>TiposLancamentos!B19</f>
        <v>Restaurantes</v>
      </c>
      <c r="C1882" s="139" t="s">
        <v>21635</v>
      </c>
      <c r="D1882" s="51"/>
      <c r="E1882" s="857">
        <v>36</v>
      </c>
    </row>
    <row r="1883" spans="1:6">
      <c r="A1883" s="856">
        <v>40098</v>
      </c>
      <c r="B1883" s="125" t="str">
        <f>TiposLancamentos!B5</f>
        <v>Supermercado</v>
      </c>
      <c r="C1883" s="139" t="s">
        <v>5784</v>
      </c>
      <c r="D1883" s="51"/>
      <c r="E1883" s="857">
        <v>57.21</v>
      </c>
    </row>
    <row r="1884" spans="1:6">
      <c r="A1884" s="856">
        <v>40099</v>
      </c>
      <c r="B1884" s="125" t="str">
        <f>TiposLancamentos!B19</f>
        <v>Restaurantes</v>
      </c>
      <c r="C1884" s="139" t="s">
        <v>3868</v>
      </c>
      <c r="D1884" s="51"/>
      <c r="E1884" s="857">
        <v>5.8</v>
      </c>
    </row>
    <row r="1885" spans="1:6">
      <c r="A1885" s="856">
        <v>40099</v>
      </c>
      <c r="B1885" s="125" t="str">
        <f>TiposLancamentos!B27</f>
        <v>Jornais e revistas</v>
      </c>
      <c r="C1885" s="139" t="s">
        <v>21636</v>
      </c>
      <c r="D1885" s="51"/>
      <c r="E1885" s="857">
        <v>24.8</v>
      </c>
    </row>
    <row r="1886" spans="1:6">
      <c r="A1886" s="858">
        <v>40099</v>
      </c>
      <c r="B1886" s="817" t="str">
        <f>TiposLancamentos!B8</f>
        <v>Aluguel</v>
      </c>
      <c r="C1886" s="808" t="s">
        <v>21637</v>
      </c>
      <c r="D1886" s="809"/>
      <c r="E1886" s="959">
        <f>F1887-E1887</f>
        <v>1003.95</v>
      </c>
    </row>
    <row r="1887" spans="1:6">
      <c r="A1887" s="862">
        <v>40099</v>
      </c>
      <c r="B1887" s="818" t="str">
        <f>TiposLancamentos!B12</f>
        <v>IPTU</v>
      </c>
      <c r="C1887" s="812" t="s">
        <v>13402</v>
      </c>
      <c r="D1887" s="813"/>
      <c r="E1887" s="960">
        <v>84.57</v>
      </c>
      <c r="F1887" s="36">
        <v>1088.52</v>
      </c>
    </row>
    <row r="1888" spans="1:6">
      <c r="A1888" s="856">
        <v>40099</v>
      </c>
      <c r="B1888" s="125" t="str">
        <f>TiposLancamentos!B19</f>
        <v>Restaurantes</v>
      </c>
      <c r="C1888" s="139" t="s">
        <v>21615</v>
      </c>
      <c r="D1888" s="51"/>
      <c r="E1888" s="857">
        <v>26.15</v>
      </c>
    </row>
    <row r="1889" spans="1:6">
      <c r="A1889" s="856">
        <v>40100</v>
      </c>
      <c r="B1889" s="125" t="str">
        <f>TiposLancamentos!B86</f>
        <v>Peugeout 207</v>
      </c>
      <c r="C1889" s="139" t="s">
        <v>21638</v>
      </c>
      <c r="D1889" s="51"/>
      <c r="E1889" s="857">
        <v>700.69</v>
      </c>
    </row>
    <row r="1890" spans="1:6">
      <c r="A1890" s="856">
        <v>40100</v>
      </c>
      <c r="B1890" s="125" t="str">
        <f>TiposLancamentos!B20</f>
        <v>Saques</v>
      </c>
      <c r="C1890" s="139" t="s">
        <v>21639</v>
      </c>
      <c r="D1890" s="51"/>
      <c r="E1890" s="857">
        <v>180</v>
      </c>
    </row>
    <row r="1891" spans="1:6">
      <c r="A1891" s="856">
        <v>40101</v>
      </c>
      <c r="B1891" s="125" t="str">
        <f>TiposLancamentos!B98</f>
        <v>Restituições</v>
      </c>
      <c r="C1891" s="139" t="s">
        <v>21640</v>
      </c>
      <c r="D1891" s="51">
        <v>316.74</v>
      </c>
      <c r="E1891" s="857"/>
    </row>
    <row r="1892" spans="1:6">
      <c r="A1892" s="856">
        <v>40101</v>
      </c>
      <c r="B1892" s="125" t="str">
        <f>TiposLancamentos!B95</f>
        <v>Salarios</v>
      </c>
      <c r="C1892" s="139" t="s">
        <v>4916</v>
      </c>
      <c r="D1892" s="51">
        <v>1831.9</v>
      </c>
      <c r="E1892" s="857"/>
    </row>
    <row r="1893" spans="1:6">
      <c r="A1893" s="856">
        <v>40101</v>
      </c>
      <c r="B1893" s="125" t="str">
        <f>TiposLancamentos!B33</f>
        <v>Pedágios</v>
      </c>
      <c r="C1893" s="126" t="s">
        <v>20941</v>
      </c>
      <c r="D1893" s="51"/>
      <c r="E1893" s="857">
        <v>119.2</v>
      </c>
    </row>
    <row r="1894" spans="1:6">
      <c r="A1894" s="856">
        <v>40102</v>
      </c>
      <c r="B1894" s="125" t="str">
        <f>TiposLancamentos!B5</f>
        <v>Supermercado</v>
      </c>
      <c r="C1894" s="139" t="s">
        <v>21641</v>
      </c>
      <c r="D1894" s="51"/>
      <c r="E1894" s="857">
        <v>29.01</v>
      </c>
    </row>
    <row r="1895" spans="1:6">
      <c r="A1895" s="856">
        <v>40102</v>
      </c>
      <c r="B1895" s="125" t="str">
        <f>TiposLancamentos!B19</f>
        <v>Restaurantes</v>
      </c>
      <c r="C1895" s="139" t="s">
        <v>21642</v>
      </c>
      <c r="D1895" s="51"/>
      <c r="E1895" s="857">
        <v>19.5</v>
      </c>
    </row>
    <row r="1896" spans="1:6">
      <c r="A1896" s="856">
        <v>40102</v>
      </c>
      <c r="B1896" s="125" t="str">
        <f>TiposLancamentos!B19</f>
        <v>Restaurantes</v>
      </c>
      <c r="C1896" s="139" t="s">
        <v>5758</v>
      </c>
      <c r="D1896" s="51"/>
      <c r="E1896" s="857">
        <v>5.8</v>
      </c>
    </row>
    <row r="1897" spans="1:6">
      <c r="A1897" s="856">
        <v>40102</v>
      </c>
      <c r="B1897" s="125" t="str">
        <f>TiposLancamentos!B22</f>
        <v>Combustivel</v>
      </c>
      <c r="C1897" s="139" t="s">
        <v>21643</v>
      </c>
      <c r="D1897" s="51"/>
      <c r="E1897" s="857">
        <v>70</v>
      </c>
    </row>
    <row r="1898" spans="1:6">
      <c r="A1898" s="856">
        <v>40103</v>
      </c>
      <c r="B1898" s="125" t="str">
        <f>TiposLancamentos!B72</f>
        <v>Presentes</v>
      </c>
      <c r="C1898" s="139" t="s">
        <v>21644</v>
      </c>
      <c r="D1898" s="51"/>
      <c r="E1898" s="857">
        <v>20</v>
      </c>
    </row>
    <row r="1899" spans="1:6">
      <c r="A1899" s="856">
        <v>40103</v>
      </c>
      <c r="B1899" s="125" t="str">
        <f>TiposLancamentos!B90</f>
        <v>Locadora</v>
      </c>
      <c r="C1899" s="139" t="s">
        <v>21645</v>
      </c>
      <c r="D1899" s="51"/>
      <c r="E1899" s="857">
        <v>49</v>
      </c>
    </row>
    <row r="1900" spans="1:6">
      <c r="A1900" s="858">
        <v>40106</v>
      </c>
      <c r="B1900" s="817" t="str">
        <f>TiposLancamentos!B19</f>
        <v>Restaurantes</v>
      </c>
      <c r="C1900" s="808" t="s">
        <v>21646</v>
      </c>
      <c r="D1900" s="809"/>
      <c r="E1900" s="959">
        <v>19.3</v>
      </c>
    </row>
    <row r="1901" spans="1:6">
      <c r="A1901" s="862">
        <v>40106</v>
      </c>
      <c r="B1901" s="818" t="str">
        <f>TiposLancamentos!B51</f>
        <v>Marlboro</v>
      </c>
      <c r="C1901" s="812" t="s">
        <v>21647</v>
      </c>
      <c r="D1901" s="813"/>
      <c r="E1901" s="960">
        <v>4.3</v>
      </c>
      <c r="F1901" s="36">
        <f>SUM(E1900:E1901)</f>
        <v>23.6</v>
      </c>
    </row>
    <row r="1902" spans="1:6">
      <c r="A1902" s="856">
        <v>40107</v>
      </c>
      <c r="B1902" s="125" t="str">
        <f>TiposLancamentos!B32</f>
        <v>Clinicas e tratamentos</v>
      </c>
      <c r="C1902" s="139" t="s">
        <v>21648</v>
      </c>
      <c r="D1902" s="51"/>
      <c r="E1902" s="857">
        <v>210</v>
      </c>
    </row>
    <row r="1903" spans="1:6">
      <c r="A1903" s="856">
        <v>40107</v>
      </c>
      <c r="B1903" s="125" t="str">
        <f>TiposLancamentos!B19</f>
        <v>Restaurantes</v>
      </c>
      <c r="C1903" s="139" t="s">
        <v>21649</v>
      </c>
      <c r="D1903" s="51"/>
      <c r="E1903" s="857">
        <v>8.6999999999999993</v>
      </c>
    </row>
    <row r="1904" spans="1:6">
      <c r="A1904" s="856">
        <v>40107</v>
      </c>
      <c r="B1904" s="125" t="str">
        <f>TiposLancamentos!B19</f>
        <v>Restaurantes</v>
      </c>
      <c r="C1904" s="139" t="s">
        <v>6104</v>
      </c>
      <c r="D1904" s="51"/>
      <c r="E1904" s="857">
        <v>47.13</v>
      </c>
    </row>
    <row r="1905" spans="1:5">
      <c r="A1905" s="856">
        <v>40108</v>
      </c>
      <c r="B1905" s="125" t="str">
        <f>TiposLancamentos!B5</f>
        <v>Supermercado</v>
      </c>
      <c r="C1905" s="139" t="s">
        <v>21650</v>
      </c>
      <c r="D1905" s="51"/>
      <c r="E1905" s="857">
        <v>14.5</v>
      </c>
    </row>
    <row r="1906" spans="1:5">
      <c r="A1906" s="856">
        <v>40109</v>
      </c>
      <c r="B1906" s="125" t="str">
        <f>TiposLancamentos!B77</f>
        <v>Esporádico</v>
      </c>
      <c r="C1906" s="139" t="s">
        <v>21651</v>
      </c>
      <c r="D1906" s="51"/>
      <c r="E1906" s="857">
        <v>40</v>
      </c>
    </row>
    <row r="1907" spans="1:5">
      <c r="A1907" s="856">
        <v>40109</v>
      </c>
      <c r="B1907" s="125" t="str">
        <f>TiposLancamentos!B19</f>
        <v>Restaurantes</v>
      </c>
      <c r="C1907" s="139" t="s">
        <v>21652</v>
      </c>
      <c r="D1907" s="51"/>
      <c r="E1907" s="857">
        <v>17.899999999999999</v>
      </c>
    </row>
    <row r="1908" spans="1:5">
      <c r="A1908" s="856">
        <v>40109</v>
      </c>
      <c r="B1908" s="125" t="str">
        <f>TiposLancamentos!B17</f>
        <v>GATO</v>
      </c>
      <c r="C1908" s="139" t="s">
        <v>21653</v>
      </c>
      <c r="D1908" s="51"/>
      <c r="E1908" s="857">
        <v>20.45</v>
      </c>
    </row>
    <row r="1909" spans="1:5">
      <c r="A1909" s="856">
        <v>40109</v>
      </c>
      <c r="B1909" s="125" t="str">
        <f>TiposLancamentos!B19</f>
        <v>Restaurantes</v>
      </c>
      <c r="C1909" s="139" t="s">
        <v>21576</v>
      </c>
      <c r="D1909" s="51"/>
      <c r="E1909" s="857">
        <v>55.3</v>
      </c>
    </row>
    <row r="1910" spans="1:5">
      <c r="A1910" s="856">
        <v>40111</v>
      </c>
      <c r="B1910" s="125" t="str">
        <f>TiposLancamentos!B5</f>
        <v>Supermercado</v>
      </c>
      <c r="C1910" s="139" t="s">
        <v>21654</v>
      </c>
      <c r="D1910" s="51"/>
      <c r="E1910" s="857">
        <v>29.06</v>
      </c>
    </row>
    <row r="1911" spans="1:5">
      <c r="A1911" s="856">
        <v>40112</v>
      </c>
      <c r="B1911" s="125" t="str">
        <f>TiposLancamentos!B4</f>
        <v>Taxas Bancarias</v>
      </c>
      <c r="C1911" s="139" t="s">
        <v>21655</v>
      </c>
      <c r="D1911" s="51"/>
      <c r="E1911" s="857">
        <v>32.46</v>
      </c>
    </row>
    <row r="1912" spans="1:5">
      <c r="A1912" s="856">
        <v>40112</v>
      </c>
      <c r="B1912" s="125" t="str">
        <f>TiposLancamentos!B19</f>
        <v>Restaurantes</v>
      </c>
      <c r="C1912" s="139" t="s">
        <v>21656</v>
      </c>
      <c r="D1912" s="51"/>
      <c r="E1912" s="857">
        <v>21.5</v>
      </c>
    </row>
    <row r="1913" spans="1:5">
      <c r="A1913" s="856">
        <v>40112</v>
      </c>
      <c r="B1913" s="125" t="str">
        <f>TiposLancamentos!B19</f>
        <v>Restaurantes</v>
      </c>
      <c r="C1913" s="139" t="s">
        <v>21657</v>
      </c>
      <c r="D1913" s="51"/>
      <c r="E1913" s="857">
        <v>15.86</v>
      </c>
    </row>
    <row r="1914" spans="1:5">
      <c r="A1914" s="856">
        <v>40113</v>
      </c>
      <c r="B1914" s="125" t="str">
        <f>TiposLancamentos!B19</f>
        <v>Restaurantes</v>
      </c>
      <c r="C1914" s="139" t="s">
        <v>21656</v>
      </c>
      <c r="D1914" s="51"/>
      <c r="E1914" s="857">
        <v>14.5</v>
      </c>
    </row>
    <row r="1915" spans="1:5">
      <c r="A1915" s="856">
        <v>40113</v>
      </c>
      <c r="B1915" s="125" t="str">
        <f>TiposLancamentos!B20</f>
        <v>Saques</v>
      </c>
      <c r="C1915" s="139" t="s">
        <v>6492</v>
      </c>
      <c r="D1915" s="51"/>
      <c r="E1915" s="857">
        <v>160</v>
      </c>
    </row>
    <row r="1916" spans="1:5">
      <c r="A1916" s="856">
        <v>40113</v>
      </c>
      <c r="B1916" s="125" t="str">
        <f>TiposLancamentos!B19</f>
        <v>Restaurantes</v>
      </c>
      <c r="C1916" s="139" t="s">
        <v>21658</v>
      </c>
      <c r="D1916" s="51"/>
      <c r="E1916" s="857">
        <v>28</v>
      </c>
    </row>
    <row r="1917" spans="1:5">
      <c r="A1917" s="856">
        <v>40114</v>
      </c>
      <c r="B1917" s="125" t="str">
        <f>TiposLancamentos!B19</f>
        <v>Restaurantes</v>
      </c>
      <c r="C1917" s="139" t="s">
        <v>21659</v>
      </c>
      <c r="D1917" s="51"/>
      <c r="E1917" s="857">
        <v>22.05</v>
      </c>
    </row>
    <row r="1918" spans="1:5">
      <c r="A1918" s="856">
        <v>40115</v>
      </c>
      <c r="B1918" s="125" t="str">
        <f>TiposLancamentos!B19</f>
        <v>Restaurantes</v>
      </c>
      <c r="C1918" s="139" t="s">
        <v>21660</v>
      </c>
      <c r="D1918" s="51"/>
      <c r="E1918" s="857">
        <v>19.87</v>
      </c>
    </row>
    <row r="1919" spans="1:5">
      <c r="A1919" s="856">
        <v>40116</v>
      </c>
      <c r="B1919" s="125" t="str">
        <f>TiposLancamentos!B19</f>
        <v>Restaurantes</v>
      </c>
      <c r="C1919" s="139" t="s">
        <v>5913</v>
      </c>
      <c r="D1919" s="51"/>
      <c r="E1919" s="857">
        <v>24.27</v>
      </c>
    </row>
    <row r="1920" spans="1:5">
      <c r="A1920" s="856">
        <v>40116</v>
      </c>
      <c r="B1920" s="125" t="str">
        <f>TiposLancamentos!B95</f>
        <v>Salarios</v>
      </c>
      <c r="C1920" s="126" t="s">
        <v>4939</v>
      </c>
      <c r="D1920" s="51">
        <v>7638.81</v>
      </c>
      <c r="E1920" s="857"/>
    </row>
    <row r="1921" spans="1:6">
      <c r="A1921" s="856">
        <v>40117</v>
      </c>
      <c r="B1921" s="125" t="str">
        <f>TiposLancamentos!B90</f>
        <v>Locadora</v>
      </c>
      <c r="C1921" s="139" t="s">
        <v>21661</v>
      </c>
      <c r="D1921" s="51"/>
      <c r="E1921" s="857">
        <v>32</v>
      </c>
    </row>
    <row r="1922" spans="1:6" ht="14.25" thickBot="1">
      <c r="A1922" s="856">
        <v>40117</v>
      </c>
      <c r="B1922" s="125" t="str">
        <f>TiposLancamentos!B19</f>
        <v>Restaurantes</v>
      </c>
      <c r="C1922" s="139" t="s">
        <v>6151</v>
      </c>
      <c r="D1922" s="51"/>
      <c r="E1922" s="857">
        <v>53.4</v>
      </c>
    </row>
    <row r="1923" spans="1:6" ht="14.25" thickBot="1">
      <c r="A1923" s="998"/>
      <c r="B1923" s="989"/>
      <c r="C1923" s="990" t="s">
        <v>5768</v>
      </c>
      <c r="D1923" s="991"/>
      <c r="E1923" s="999"/>
    </row>
    <row r="1924" spans="1:6">
      <c r="A1924" s="856">
        <v>40118</v>
      </c>
      <c r="B1924" s="125" t="str">
        <f>TiposLancamentos!B5</f>
        <v>Supermercado</v>
      </c>
      <c r="C1924" s="139" t="s">
        <v>21499</v>
      </c>
      <c r="D1924" s="51"/>
      <c r="E1924" s="857">
        <v>255.09</v>
      </c>
    </row>
    <row r="1925" spans="1:6">
      <c r="A1925" s="856">
        <v>40119</v>
      </c>
      <c r="B1925" s="125" t="str">
        <f>TiposLancamentos!B5</f>
        <v>Supermercado</v>
      </c>
      <c r="C1925" s="139" t="s">
        <v>2934</v>
      </c>
      <c r="D1925" s="51"/>
      <c r="E1925" s="857">
        <v>20.93</v>
      </c>
    </row>
    <row r="1926" spans="1:6">
      <c r="A1926" s="856">
        <v>40119</v>
      </c>
      <c r="B1926" s="125" t="str">
        <f>TiposLancamentos!B19</f>
        <v>Restaurantes</v>
      </c>
      <c r="C1926" s="139" t="s">
        <v>21662</v>
      </c>
      <c r="D1926" s="51"/>
      <c r="E1926" s="857">
        <v>10.64</v>
      </c>
    </row>
    <row r="1927" spans="1:6">
      <c r="A1927" s="856">
        <v>40120</v>
      </c>
      <c r="B1927" s="125" t="str">
        <f>TiposLancamentos!B15</f>
        <v>Cartões de Crédito</v>
      </c>
      <c r="C1927" s="139" t="s">
        <v>21663</v>
      </c>
      <c r="D1927" s="51"/>
      <c r="E1927" s="857">
        <v>2279.8000000000002</v>
      </c>
    </row>
    <row r="1928" spans="1:6">
      <c r="A1928" s="856">
        <v>40120</v>
      </c>
      <c r="B1928" s="125" t="str">
        <f>TiposLancamentos!B15</f>
        <v>Cartões de Crédito</v>
      </c>
      <c r="C1928" s="139" t="s">
        <v>21664</v>
      </c>
      <c r="D1928" s="51"/>
      <c r="E1928" s="857">
        <v>109.41</v>
      </c>
    </row>
    <row r="1929" spans="1:6">
      <c r="A1929" s="856">
        <v>40120</v>
      </c>
      <c r="B1929" s="125" t="str">
        <f>TiposLancamentos!B6</f>
        <v>Energia Eletrica</v>
      </c>
      <c r="C1929" s="139" t="s">
        <v>5744</v>
      </c>
      <c r="D1929" s="51"/>
      <c r="E1929" s="857">
        <v>159.12</v>
      </c>
    </row>
    <row r="1930" spans="1:6">
      <c r="A1930" s="856">
        <v>40120</v>
      </c>
      <c r="B1930" s="125" t="str">
        <f>TiposLancamentos!B52</f>
        <v>Multas</v>
      </c>
      <c r="C1930" s="139" t="s">
        <v>21665</v>
      </c>
      <c r="D1930" s="51"/>
      <c r="E1930" s="857">
        <v>127.69</v>
      </c>
    </row>
    <row r="1931" spans="1:6">
      <c r="A1931" s="856">
        <v>40120</v>
      </c>
      <c r="B1931" s="125" t="str">
        <f>TiposLancamentos!B15</f>
        <v>Cartões de Crédito</v>
      </c>
      <c r="C1931" s="139" t="s">
        <v>5558</v>
      </c>
      <c r="D1931" s="51"/>
      <c r="E1931" s="857">
        <v>470.82</v>
      </c>
      <c r="F1931" s="36"/>
    </row>
    <row r="1932" spans="1:6">
      <c r="A1932" s="856">
        <v>40120</v>
      </c>
      <c r="B1932" s="125" t="str">
        <f>TiposLancamentos!B16</f>
        <v>Cristiane</v>
      </c>
      <c r="C1932" s="139" t="s">
        <v>21666</v>
      </c>
      <c r="D1932" s="51"/>
      <c r="E1932" s="857">
        <v>529.17999999999995</v>
      </c>
    </row>
    <row r="1933" spans="1:6">
      <c r="A1933" s="858">
        <v>40120</v>
      </c>
      <c r="B1933" s="817" t="str">
        <f>TiposLancamentos!B2</f>
        <v>Telefonia</v>
      </c>
      <c r="C1933" s="808" t="s">
        <v>5836</v>
      </c>
      <c r="D1933" s="809"/>
      <c r="E1933" s="959">
        <v>0.67</v>
      </c>
    </row>
    <row r="1934" spans="1:6">
      <c r="A1934" s="860">
        <v>40120</v>
      </c>
      <c r="B1934" s="816" t="str">
        <f>TiposLancamentos!B3</f>
        <v>Internet</v>
      </c>
      <c r="C1934" s="141" t="s">
        <v>5835</v>
      </c>
      <c r="D1934" s="127"/>
      <c r="E1934" s="953">
        <v>86</v>
      </c>
    </row>
    <row r="1935" spans="1:6">
      <c r="A1935" s="862">
        <v>40120</v>
      </c>
      <c r="B1935" s="818" t="str">
        <f>TiposLancamentos!B35</f>
        <v>Tv à Cabo</v>
      </c>
      <c r="C1935" s="812" t="s">
        <v>21594</v>
      </c>
      <c r="D1935" s="813"/>
      <c r="E1935" s="960">
        <v>168.8</v>
      </c>
      <c r="F1935" s="36">
        <f>SUM(E1933:E1935)</f>
        <v>255.47000000000003</v>
      </c>
    </row>
    <row r="1936" spans="1:6">
      <c r="A1936" s="856">
        <v>40120</v>
      </c>
      <c r="B1936" s="125" t="str">
        <f>TiposLancamentos!B20</f>
        <v>Saques</v>
      </c>
      <c r="C1936" s="139" t="s">
        <v>1706</v>
      </c>
      <c r="D1936" s="51"/>
      <c r="E1936" s="857">
        <v>20</v>
      </c>
    </row>
    <row r="1937" spans="1:6">
      <c r="A1937" s="856">
        <v>40120</v>
      </c>
      <c r="B1937" s="125" t="str">
        <f>TiposLancamentos!B4</f>
        <v>Taxas Bancarias</v>
      </c>
      <c r="C1937" s="139" t="s">
        <v>21667</v>
      </c>
      <c r="D1937" s="51"/>
      <c r="E1937" s="857">
        <v>81.2</v>
      </c>
    </row>
    <row r="1938" spans="1:6">
      <c r="A1938" s="856">
        <v>40120</v>
      </c>
      <c r="B1938" s="125" t="str">
        <f>TiposLancamentos!B4</f>
        <v>Taxas Bancarias</v>
      </c>
      <c r="C1938" s="139" t="s">
        <v>21668</v>
      </c>
      <c r="E1938" s="857">
        <v>14.24</v>
      </c>
    </row>
    <row r="1939" spans="1:6">
      <c r="A1939" s="856">
        <v>40122</v>
      </c>
      <c r="B1939" s="125" t="str">
        <f>TiposLancamentos!B9</f>
        <v>Condominio</v>
      </c>
      <c r="C1939" s="139" t="s">
        <v>21669</v>
      </c>
      <c r="D1939" s="51"/>
      <c r="E1939" s="857">
        <v>635.20000000000005</v>
      </c>
    </row>
    <row r="1940" spans="1:6">
      <c r="A1940" s="856">
        <v>40122</v>
      </c>
      <c r="B1940" s="125" t="str">
        <f>TiposLancamentos!B95</f>
        <v>Salarios</v>
      </c>
      <c r="C1940" s="139" t="s">
        <v>21670</v>
      </c>
      <c r="D1940" s="51">
        <v>10868.24</v>
      </c>
      <c r="E1940" s="857"/>
    </row>
    <row r="1941" spans="1:6">
      <c r="A1941" s="856">
        <v>40122</v>
      </c>
      <c r="B1941" s="125" t="str">
        <f>TiposLancamentos!B9</f>
        <v>Condominio</v>
      </c>
      <c r="C1941" s="139" t="s">
        <v>21671</v>
      </c>
      <c r="D1941" s="51"/>
      <c r="E1941" s="857">
        <v>100</v>
      </c>
    </row>
    <row r="1942" spans="1:6">
      <c r="A1942" s="858">
        <v>40122</v>
      </c>
      <c r="B1942" s="817" t="str">
        <f>TiposLancamentos!B8</f>
        <v>Aluguel</v>
      </c>
      <c r="C1942" s="808" t="s">
        <v>21672</v>
      </c>
      <c r="D1942" s="809"/>
      <c r="E1942" s="959">
        <f>F1943-E1943</f>
        <v>1003.95</v>
      </c>
    </row>
    <row r="1943" spans="1:6">
      <c r="A1943" s="862">
        <v>40122</v>
      </c>
      <c r="B1943" s="818" t="str">
        <f>TiposLancamentos!B12</f>
        <v>IPTU</v>
      </c>
      <c r="C1943" s="812" t="s">
        <v>13409</v>
      </c>
      <c r="D1943" s="813"/>
      <c r="E1943" s="960">
        <v>84.57</v>
      </c>
      <c r="F1943" s="36">
        <v>1088.52</v>
      </c>
    </row>
    <row r="1944" spans="1:6">
      <c r="A1944" s="856">
        <v>40122</v>
      </c>
      <c r="B1944" s="125" t="str">
        <f>TiposLancamentos!B86</f>
        <v>Peugeout 207</v>
      </c>
      <c r="C1944" s="139" t="s">
        <v>21673</v>
      </c>
      <c r="D1944" s="51"/>
      <c r="E1944" s="857">
        <v>700.69</v>
      </c>
    </row>
    <row r="1945" spans="1:6">
      <c r="A1945" s="856">
        <v>40122</v>
      </c>
      <c r="B1945" s="125" t="str">
        <f>TiposLancamentos!B19</f>
        <v>Restaurantes</v>
      </c>
      <c r="C1945" s="139" t="s">
        <v>4977</v>
      </c>
      <c r="D1945" s="51"/>
      <c r="E1945" s="857">
        <v>19.399999999999999</v>
      </c>
    </row>
    <row r="1946" spans="1:6">
      <c r="A1946" s="856">
        <v>40122</v>
      </c>
      <c r="B1946" s="125" t="str">
        <f>TiposLancamentos!B71</f>
        <v>Itens Pessoais</v>
      </c>
      <c r="C1946" s="139" t="s">
        <v>21674</v>
      </c>
      <c r="D1946" s="51"/>
      <c r="E1946" s="857">
        <v>14</v>
      </c>
    </row>
    <row r="1947" spans="1:6">
      <c r="A1947" s="856">
        <v>40122</v>
      </c>
      <c r="B1947" s="125" t="str">
        <f>TiposLancamentos!B25</f>
        <v>CD_DVD_BD</v>
      </c>
      <c r="C1947" s="139" t="s">
        <v>21675</v>
      </c>
      <c r="D1947" s="51"/>
      <c r="E1947" s="857">
        <v>29.9</v>
      </c>
    </row>
    <row r="1948" spans="1:6">
      <c r="A1948" s="856">
        <v>40122</v>
      </c>
      <c r="B1948" s="125" t="str">
        <f>TiposLancamentos!B19</f>
        <v>Restaurantes</v>
      </c>
      <c r="C1948" s="139" t="s">
        <v>21676</v>
      </c>
      <c r="D1948" s="51"/>
      <c r="E1948" s="857">
        <v>78.209999999999994</v>
      </c>
    </row>
    <row r="1949" spans="1:6">
      <c r="A1949" s="856">
        <v>40123</v>
      </c>
      <c r="B1949" s="125" t="str">
        <f>TiposLancamentos!B19</f>
        <v>Restaurantes</v>
      </c>
      <c r="C1949" s="139" t="s">
        <v>21677</v>
      </c>
      <c r="D1949" s="51"/>
      <c r="E1949" s="857">
        <v>14.9</v>
      </c>
    </row>
    <row r="1950" spans="1:6">
      <c r="A1950" s="856">
        <v>40123</v>
      </c>
      <c r="B1950" s="125" t="str">
        <f>TiposLancamentos!B19</f>
        <v>Restaurantes</v>
      </c>
      <c r="C1950" s="139" t="s">
        <v>21678</v>
      </c>
      <c r="D1950" s="51"/>
      <c r="E1950" s="857">
        <v>5.5</v>
      </c>
    </row>
    <row r="1951" spans="1:6">
      <c r="A1951" s="856">
        <v>40124</v>
      </c>
      <c r="B1951" s="125" t="str">
        <f>TiposLancamentos!B16</f>
        <v>Cristiane</v>
      </c>
      <c r="C1951" s="139" t="s">
        <v>21679</v>
      </c>
      <c r="D1951" s="51"/>
      <c r="E1951" s="857">
        <v>128.94</v>
      </c>
    </row>
    <row r="1952" spans="1:6">
      <c r="A1952" s="856">
        <v>40124</v>
      </c>
      <c r="B1952" s="125" t="str">
        <f>TiposLancamentos!B20</f>
        <v>Saques</v>
      </c>
      <c r="C1952" s="139" t="s">
        <v>2668</v>
      </c>
      <c r="D1952" s="51"/>
      <c r="E1952" s="857">
        <v>320</v>
      </c>
    </row>
    <row r="1953" spans="1:5">
      <c r="A1953" s="856">
        <v>40124</v>
      </c>
      <c r="B1953" s="125" t="str">
        <f>TiposLancamentos!B70</f>
        <v>Vestuário</v>
      </c>
      <c r="C1953" s="139" t="s">
        <v>21680</v>
      </c>
      <c r="D1953" s="51"/>
      <c r="E1953" s="857">
        <v>246.96</v>
      </c>
    </row>
    <row r="1954" spans="1:5">
      <c r="A1954" s="856">
        <v>40124</v>
      </c>
      <c r="B1954" s="125" t="str">
        <f>TiposLancamentos!B19</f>
        <v>Restaurantes</v>
      </c>
      <c r="C1954" s="139" t="s">
        <v>21681</v>
      </c>
      <c r="D1954" s="51"/>
      <c r="E1954" s="857">
        <v>40</v>
      </c>
    </row>
    <row r="1955" spans="1:5">
      <c r="A1955" s="856">
        <v>40124</v>
      </c>
      <c r="B1955" s="125" t="str">
        <f>TiposLancamentos!B19</f>
        <v>Restaurantes</v>
      </c>
      <c r="C1955" s="139" t="s">
        <v>21682</v>
      </c>
      <c r="D1955" s="51"/>
      <c r="E1955" s="857">
        <v>17.2</v>
      </c>
    </row>
    <row r="1956" spans="1:5">
      <c r="A1956" s="856">
        <v>40125</v>
      </c>
      <c r="B1956" s="125" t="str">
        <f>TiposLancamentos!B5</f>
        <v>Supermercado</v>
      </c>
      <c r="C1956" s="139" t="s">
        <v>21683</v>
      </c>
      <c r="D1956" s="51"/>
      <c r="E1956" s="857">
        <v>21.52</v>
      </c>
    </row>
    <row r="1957" spans="1:5">
      <c r="A1957" s="856">
        <v>40125</v>
      </c>
      <c r="B1957" s="125" t="str">
        <f>TiposLancamentos!B22</f>
        <v>Combustivel</v>
      </c>
      <c r="C1957" s="139" t="s">
        <v>21684</v>
      </c>
      <c r="D1957" s="51"/>
      <c r="E1957" s="857">
        <v>71</v>
      </c>
    </row>
    <row r="1958" spans="1:5">
      <c r="A1958" s="856">
        <v>40125</v>
      </c>
      <c r="B1958" s="125" t="str">
        <f>TiposLancamentos!B19</f>
        <v>Restaurantes</v>
      </c>
      <c r="C1958" s="139" t="s">
        <v>21685</v>
      </c>
      <c r="D1958" s="51"/>
      <c r="E1958" s="857">
        <v>62.26</v>
      </c>
    </row>
    <row r="1959" spans="1:5">
      <c r="A1959" s="856">
        <v>40125</v>
      </c>
      <c r="B1959" s="125" t="str">
        <f>TiposLancamentos!B57</f>
        <v>Informática</v>
      </c>
      <c r="C1959" s="139" t="s">
        <v>21686</v>
      </c>
      <c r="D1959" s="51"/>
      <c r="E1959" s="857">
        <v>55</v>
      </c>
    </row>
    <row r="1960" spans="1:5">
      <c r="A1960" s="856">
        <v>40125</v>
      </c>
      <c r="B1960" s="125" t="str">
        <f>TiposLancamentos!B17</f>
        <v>GATO</v>
      </c>
      <c r="C1960" s="139" t="s">
        <v>21687</v>
      </c>
      <c r="D1960" s="51"/>
      <c r="E1960" s="857">
        <v>16.5</v>
      </c>
    </row>
    <row r="1961" spans="1:5">
      <c r="A1961" s="856">
        <v>40125</v>
      </c>
      <c r="B1961" s="125" t="str">
        <f>TiposLancamentos!B68</f>
        <v>Bombas</v>
      </c>
      <c r="C1961" s="139" t="s">
        <v>21688</v>
      </c>
      <c r="D1961" s="51"/>
      <c r="E1961" s="857">
        <v>91</v>
      </c>
    </row>
    <row r="1962" spans="1:5">
      <c r="A1962" s="856">
        <v>40125</v>
      </c>
      <c r="B1962" s="125" t="str">
        <f>TiposLancamentos!B16</f>
        <v>Cristiane</v>
      </c>
      <c r="C1962" s="139" t="s">
        <v>21689</v>
      </c>
      <c r="D1962" s="51"/>
      <c r="E1962" s="857">
        <v>99.99</v>
      </c>
    </row>
    <row r="1963" spans="1:5">
      <c r="A1963" s="856">
        <v>40125</v>
      </c>
      <c r="B1963" s="125" t="str">
        <f>TiposLancamentos!B5</f>
        <v>Supermercado</v>
      </c>
      <c r="C1963" s="139" t="s">
        <v>5774</v>
      </c>
      <c r="D1963" s="51"/>
      <c r="E1963" s="857">
        <v>101.35</v>
      </c>
    </row>
    <row r="1964" spans="1:5">
      <c r="A1964" s="856">
        <v>40126</v>
      </c>
      <c r="B1964" s="125" t="str">
        <f>TiposLancamentos!B5</f>
        <v>Supermercado</v>
      </c>
      <c r="C1964" s="139" t="s">
        <v>21142</v>
      </c>
      <c r="D1964" s="51"/>
      <c r="E1964" s="857">
        <v>30.79</v>
      </c>
    </row>
    <row r="1965" spans="1:5">
      <c r="A1965" s="856">
        <v>40126</v>
      </c>
      <c r="B1965" s="125" t="str">
        <f>TiposLancamentos!B20</f>
        <v>Saques</v>
      </c>
      <c r="C1965" s="139" t="s">
        <v>2668</v>
      </c>
      <c r="D1965" s="51"/>
      <c r="E1965" s="857">
        <v>230</v>
      </c>
    </row>
    <row r="1966" spans="1:5">
      <c r="A1966" s="856">
        <v>40126</v>
      </c>
      <c r="B1966" s="125" t="str">
        <f>TiposLancamentos!B29</f>
        <v>Mangá</v>
      </c>
      <c r="C1966" s="139" t="s">
        <v>21690</v>
      </c>
      <c r="D1966" s="51"/>
      <c r="E1966" s="857">
        <v>20.8</v>
      </c>
    </row>
    <row r="1967" spans="1:5">
      <c r="A1967" s="884">
        <v>40127</v>
      </c>
      <c r="B1967" s="86" t="str">
        <f>TiposLancamentos!B57</f>
        <v>Informática</v>
      </c>
      <c r="C1967" s="3" t="s">
        <v>21691</v>
      </c>
      <c r="D1967" s="63"/>
      <c r="E1967" s="952">
        <v>349</v>
      </c>
    </row>
    <row r="1968" spans="1:5">
      <c r="A1968" s="884">
        <v>40127</v>
      </c>
      <c r="B1968" s="86" t="str">
        <f>TiposLancamentos!B19</f>
        <v>Restaurantes</v>
      </c>
      <c r="C1968" s="3" t="s">
        <v>3867</v>
      </c>
      <c r="D1968" s="63"/>
      <c r="E1968" s="952">
        <v>14.9</v>
      </c>
    </row>
    <row r="1969" spans="1:6">
      <c r="A1969" s="884">
        <v>40129</v>
      </c>
      <c r="B1969" s="86" t="str">
        <f>TiposLancamentos!B19</f>
        <v>Restaurantes</v>
      </c>
      <c r="C1969" s="3" t="s">
        <v>21561</v>
      </c>
      <c r="D1969" s="63"/>
      <c r="E1969" s="952">
        <v>12.3</v>
      </c>
    </row>
    <row r="1970" spans="1:6">
      <c r="A1970" s="884">
        <v>40129</v>
      </c>
      <c r="B1970" s="86" t="str">
        <f>TiposLancamentos!B20</f>
        <v>Saques</v>
      </c>
      <c r="C1970" s="3" t="s">
        <v>1706</v>
      </c>
      <c r="D1970" s="63"/>
      <c r="E1970" s="952">
        <v>40</v>
      </c>
    </row>
    <row r="1971" spans="1:6">
      <c r="A1971" s="884">
        <v>40130</v>
      </c>
      <c r="B1971" s="86" t="str">
        <f>TiposLancamentos!B64</f>
        <v>Viagens</v>
      </c>
      <c r="C1971" s="3" t="s">
        <v>21692</v>
      </c>
      <c r="D1971" s="63"/>
      <c r="E1971" s="952">
        <v>299.89999999999998</v>
      </c>
    </row>
    <row r="1972" spans="1:6">
      <c r="A1972" s="884">
        <v>40130</v>
      </c>
      <c r="B1972" s="86" t="str">
        <f>TiposLancamentos!B19</f>
        <v>Restaurantes</v>
      </c>
      <c r="C1972" s="3" t="s">
        <v>21693</v>
      </c>
      <c r="D1972" s="63"/>
      <c r="E1972" s="952">
        <v>39.299999999999997</v>
      </c>
    </row>
    <row r="1973" spans="1:6">
      <c r="A1973" s="884">
        <v>40131</v>
      </c>
      <c r="B1973" s="86" t="str">
        <f>TiposLancamentos!B16</f>
        <v>Cristiane</v>
      </c>
      <c r="C1973" s="3" t="s">
        <v>21694</v>
      </c>
      <c r="D1973" s="63"/>
      <c r="E1973" s="952">
        <v>135</v>
      </c>
    </row>
    <row r="1974" spans="1:6">
      <c r="A1974" s="884">
        <v>40131</v>
      </c>
      <c r="B1974" s="86" t="str">
        <f>TiposLancamentos!B20</f>
        <v>Saques</v>
      </c>
      <c r="C1974" s="3" t="s">
        <v>3406</v>
      </c>
      <c r="D1974" s="63"/>
      <c r="E1974" s="952">
        <v>800</v>
      </c>
    </row>
    <row r="1975" spans="1:6">
      <c r="A1975" s="884">
        <v>40131</v>
      </c>
      <c r="B1975" s="86" t="str">
        <f>TiposLancamentos!B64</f>
        <v>Viagens</v>
      </c>
      <c r="C1975" s="3" t="s">
        <v>21695</v>
      </c>
      <c r="D1975" s="63"/>
      <c r="E1975" s="952">
        <v>29.7</v>
      </c>
    </row>
    <row r="1976" spans="1:6">
      <c r="A1976" s="884">
        <v>40131</v>
      </c>
      <c r="B1976" s="86" t="str">
        <f>TiposLancamentos!B70</f>
        <v>Vestuário</v>
      </c>
      <c r="C1976" s="3" t="s">
        <v>21696</v>
      </c>
      <c r="D1976" s="63"/>
      <c r="E1976" s="952">
        <f>12.99*4</f>
        <v>51.96</v>
      </c>
      <c r="F1976" s="36">
        <v>67.53</v>
      </c>
    </row>
    <row r="1977" spans="1:6">
      <c r="A1977" s="856">
        <v>40131</v>
      </c>
      <c r="B1977" s="125" t="str">
        <f>TiposLancamentos!B13</f>
        <v>Moradia</v>
      </c>
      <c r="C1977" s="139" t="s">
        <v>21697</v>
      </c>
      <c r="D1977" s="51"/>
      <c r="E1977" s="857">
        <f>F1976-E1976</f>
        <v>15.57</v>
      </c>
    </row>
    <row r="1978" spans="1:6">
      <c r="A1978" s="856">
        <v>40131</v>
      </c>
      <c r="B1978" s="125" t="str">
        <f>TiposLancamentos!B5</f>
        <v>Supermercado</v>
      </c>
      <c r="C1978" s="139" t="s">
        <v>21698</v>
      </c>
      <c r="D1978" s="51"/>
      <c r="E1978" s="857">
        <v>17.5</v>
      </c>
    </row>
    <row r="1979" spans="1:6">
      <c r="A1979" s="856">
        <v>40131</v>
      </c>
      <c r="B1979" s="125" t="str">
        <f>TiposLancamentos!B19</f>
        <v>Restaurantes</v>
      </c>
      <c r="C1979" s="139" t="s">
        <v>21699</v>
      </c>
      <c r="D1979" s="51"/>
      <c r="E1979" s="857">
        <v>37.799999999999997</v>
      </c>
    </row>
    <row r="1980" spans="1:6">
      <c r="A1980" s="856">
        <v>40133</v>
      </c>
      <c r="B1980" s="125" t="str">
        <f>TiposLancamentos!B24</f>
        <v>Estacionamentos</v>
      </c>
      <c r="C1980" s="139" t="s">
        <v>5392</v>
      </c>
      <c r="D1980" s="51"/>
      <c r="E1980" s="857">
        <v>51.9</v>
      </c>
    </row>
    <row r="1981" spans="1:6">
      <c r="A1981" s="856">
        <v>40135</v>
      </c>
      <c r="B1981" s="125" t="str">
        <f>TiposLancamentos!B64</f>
        <v>Viagens</v>
      </c>
      <c r="C1981" s="139" t="s">
        <v>21700</v>
      </c>
      <c r="D1981" s="51"/>
      <c r="E1981" s="857">
        <v>344.67</v>
      </c>
    </row>
    <row r="1982" spans="1:6">
      <c r="A1982" s="856">
        <v>40137</v>
      </c>
      <c r="B1982" s="125" t="str">
        <f>TiposLancamentos!B19</f>
        <v>Restaurantes</v>
      </c>
      <c r="C1982" s="139" t="s">
        <v>21701</v>
      </c>
      <c r="D1982" s="51"/>
      <c r="E1982" s="857">
        <v>67.760000000000005</v>
      </c>
    </row>
    <row r="1983" spans="1:6">
      <c r="A1983" s="856">
        <v>40137</v>
      </c>
      <c r="B1983" s="125" t="str">
        <f>TiposLancamentos!B72</f>
        <v>Presentes</v>
      </c>
      <c r="C1983" s="139" t="s">
        <v>21702</v>
      </c>
      <c r="D1983" s="51"/>
      <c r="E1983" s="857">
        <v>135</v>
      </c>
    </row>
    <row r="1984" spans="1:6">
      <c r="A1984" s="856">
        <v>40137</v>
      </c>
      <c r="B1984" s="125" t="str">
        <f>TiposLancamentos!B72</f>
        <v>Presentes</v>
      </c>
      <c r="C1984" s="139" t="s">
        <v>21703</v>
      </c>
      <c r="D1984" s="51"/>
      <c r="E1984" s="857">
        <v>87</v>
      </c>
    </row>
    <row r="1985" spans="1:6">
      <c r="A1985" s="856">
        <v>40137</v>
      </c>
      <c r="B1985" s="125" t="str">
        <f>TiposLancamentos!B72</f>
        <v>Presentes</v>
      </c>
      <c r="C1985" s="139" t="s">
        <v>21704</v>
      </c>
      <c r="D1985" s="51"/>
      <c r="E1985" s="857">
        <v>85</v>
      </c>
    </row>
    <row r="1986" spans="1:6">
      <c r="A1986" s="856">
        <v>40138</v>
      </c>
      <c r="B1986" s="125" t="str">
        <f>TiposLancamentos!B72</f>
        <v>Presentes</v>
      </c>
      <c r="C1986" s="139" t="s">
        <v>21705</v>
      </c>
      <c r="D1986" s="51"/>
      <c r="E1986" s="857">
        <v>21</v>
      </c>
    </row>
    <row r="1987" spans="1:6">
      <c r="A1987" s="856">
        <v>40137</v>
      </c>
      <c r="B1987" s="125" t="str">
        <f>TiposLancamentos!B72</f>
        <v>Presentes</v>
      </c>
      <c r="C1987" s="139" t="s">
        <v>21706</v>
      </c>
      <c r="D1987" s="51"/>
      <c r="E1987" s="857">
        <v>78</v>
      </c>
    </row>
    <row r="1988" spans="1:6">
      <c r="A1988" s="856">
        <v>40138</v>
      </c>
      <c r="B1988" s="125" t="str">
        <f>TiposLancamentos!B20</f>
        <v>Saques</v>
      </c>
      <c r="C1988" s="139" t="s">
        <v>2668</v>
      </c>
      <c r="D1988" s="51"/>
      <c r="E1988" s="857">
        <v>160</v>
      </c>
    </row>
    <row r="1989" spans="1:6">
      <c r="A1989" s="856">
        <v>40138</v>
      </c>
      <c r="B1989" s="125" t="str">
        <f>TiposLancamentos!B64</f>
        <v>Viagens</v>
      </c>
      <c r="C1989" s="139" t="s">
        <v>21707</v>
      </c>
      <c r="D1989" s="51"/>
      <c r="E1989" s="857">
        <v>386.2</v>
      </c>
    </row>
    <row r="1990" spans="1:6">
      <c r="A1990" s="856">
        <v>40139</v>
      </c>
      <c r="B1990" s="125" t="str">
        <f>TiposLancamentos!B5</f>
        <v>Supermercado</v>
      </c>
      <c r="C1990" s="139" t="s">
        <v>2567</v>
      </c>
      <c r="D1990" s="51"/>
      <c r="E1990" s="857">
        <v>34.57</v>
      </c>
    </row>
    <row r="1991" spans="1:6">
      <c r="A1991" s="858">
        <v>40140</v>
      </c>
      <c r="B1991" s="817" t="str">
        <f>TiposLancamentos!B22</f>
        <v>Combustivel</v>
      </c>
      <c r="C1991" s="808" t="s">
        <v>21708</v>
      </c>
      <c r="D1991" s="809"/>
      <c r="E1991" s="959">
        <v>66.010000000000005</v>
      </c>
    </row>
    <row r="1992" spans="1:6">
      <c r="A1992" s="862">
        <v>40140</v>
      </c>
      <c r="B1992" s="818" t="str">
        <f>TiposLancamentos!B86</f>
        <v>Peugeout 207</v>
      </c>
      <c r="C1992" s="812" t="s">
        <v>21709</v>
      </c>
      <c r="D1992" s="813"/>
      <c r="E1992" s="960">
        <f>101.9-E1991</f>
        <v>35.89</v>
      </c>
      <c r="F1992" s="36">
        <f>SUM(E1991:E1992)</f>
        <v>101.9</v>
      </c>
    </row>
    <row r="1993" spans="1:6">
      <c r="A1993" s="856">
        <v>40140</v>
      </c>
      <c r="B1993" s="125" t="str">
        <f>TiposLancamentos!B70</f>
        <v>Vestuário</v>
      </c>
      <c r="C1993" s="139" t="s">
        <v>21710</v>
      </c>
      <c r="D1993" s="51"/>
      <c r="E1993" s="857">
        <v>42.9</v>
      </c>
    </row>
    <row r="1994" spans="1:6">
      <c r="A1994" s="856">
        <v>40140</v>
      </c>
      <c r="B1994" s="125" t="str">
        <f>TiposLancamentos!B5</f>
        <v>Supermercado</v>
      </c>
      <c r="C1994" s="139" t="s">
        <v>3902</v>
      </c>
      <c r="D1994" s="51"/>
      <c r="E1994" s="857">
        <v>44.58</v>
      </c>
    </row>
    <row r="1995" spans="1:6">
      <c r="A1995" s="858">
        <v>40141</v>
      </c>
      <c r="B1995" s="817" t="str">
        <f>TiposLancamentos!B17</f>
        <v>GATO</v>
      </c>
      <c r="C1995" s="808" t="s">
        <v>21711</v>
      </c>
      <c r="D1995" s="809"/>
      <c r="E1995" s="959">
        <v>20.8</v>
      </c>
    </row>
    <row r="1996" spans="1:6">
      <c r="A1996" s="860">
        <v>40141</v>
      </c>
      <c r="B1996" s="816" t="str">
        <f>TiposLancamentos!B51</f>
        <v>Marlboro</v>
      </c>
      <c r="C1996" s="141" t="s">
        <v>3888</v>
      </c>
      <c r="D1996" s="127"/>
      <c r="E1996" s="953">
        <v>4.75</v>
      </c>
    </row>
    <row r="1997" spans="1:6">
      <c r="A1997" s="862">
        <v>40141</v>
      </c>
      <c r="B1997" s="818" t="str">
        <f>TiposLancamentos!B18</f>
        <v>Alimentacao</v>
      </c>
      <c r="C1997" s="812" t="s">
        <v>21712</v>
      </c>
      <c r="D1997" s="813"/>
      <c r="E1997" s="960">
        <f>28.35-E1995-E1996</f>
        <v>2.8000000000000007</v>
      </c>
      <c r="F1997" s="36">
        <f>SUM(E1995:E1997)</f>
        <v>28.35</v>
      </c>
    </row>
    <row r="1998" spans="1:6">
      <c r="A1998" s="856">
        <v>40142</v>
      </c>
      <c r="B1998" s="125" t="str">
        <f>TiposLancamentos!B77</f>
        <v>Esporádico</v>
      </c>
      <c r="C1998" s="139" t="s">
        <v>21713</v>
      </c>
      <c r="D1998" s="51"/>
      <c r="E1998" s="857">
        <v>52.5</v>
      </c>
    </row>
    <row r="1999" spans="1:6">
      <c r="A1999" s="856">
        <v>40142</v>
      </c>
      <c r="B1999" s="125" t="str">
        <f>TiposLancamentos!B20</f>
        <v>Saques</v>
      </c>
      <c r="C1999" s="139" t="s">
        <v>3406</v>
      </c>
      <c r="D1999" s="51"/>
      <c r="E1999" s="857">
        <v>240</v>
      </c>
    </row>
    <row r="2000" spans="1:6">
      <c r="A2000" s="856">
        <v>40143</v>
      </c>
      <c r="B2000" s="125" t="str">
        <f>TiposLancamentos!B22</f>
        <v>Combustivel</v>
      </c>
      <c r="C2000" s="139" t="s">
        <v>21714</v>
      </c>
      <c r="D2000" s="51"/>
      <c r="E2000" s="857">
        <v>81.099999999999994</v>
      </c>
    </row>
    <row r="2001" spans="1:5">
      <c r="A2001" s="856">
        <v>40143</v>
      </c>
      <c r="B2001" s="125" t="str">
        <f>TiposLancamentos!B57</f>
        <v>Informática</v>
      </c>
      <c r="C2001" s="139" t="s">
        <v>21715</v>
      </c>
      <c r="D2001" s="51"/>
      <c r="E2001" s="857">
        <v>160</v>
      </c>
    </row>
    <row r="2002" spans="1:5">
      <c r="A2002" s="856">
        <v>40143</v>
      </c>
      <c r="B2002" s="125" t="str">
        <f>TiposLancamentos!B57</f>
        <v>Informática</v>
      </c>
      <c r="C2002" s="139" t="s">
        <v>21716</v>
      </c>
      <c r="D2002" s="51"/>
      <c r="E2002" s="857">
        <v>53</v>
      </c>
    </row>
    <row r="2003" spans="1:5">
      <c r="A2003" s="856">
        <v>40144</v>
      </c>
      <c r="B2003" s="125" t="str">
        <f>TiposLancamentos!B20</f>
        <v>Saques</v>
      </c>
      <c r="C2003" s="139" t="s">
        <v>3403</v>
      </c>
      <c r="D2003" s="51"/>
      <c r="E2003" s="857">
        <v>100</v>
      </c>
    </row>
    <row r="2004" spans="1:5">
      <c r="A2004" s="856">
        <v>40145</v>
      </c>
      <c r="B2004" s="125" t="str">
        <f>TiposLancamentos!B19</f>
        <v>Restaurantes</v>
      </c>
      <c r="C2004" s="139" t="s">
        <v>21717</v>
      </c>
      <c r="D2004" s="51"/>
      <c r="E2004" s="857">
        <v>25</v>
      </c>
    </row>
    <row r="2005" spans="1:5">
      <c r="A2005" s="856">
        <v>40145</v>
      </c>
      <c r="B2005" s="125" t="str">
        <f>TiposLancamentos!B16</f>
        <v>Cristiane</v>
      </c>
      <c r="C2005" s="139" t="s">
        <v>21718</v>
      </c>
      <c r="D2005" s="51"/>
      <c r="E2005" s="857">
        <v>38.799999999999997</v>
      </c>
    </row>
    <row r="2006" spans="1:5">
      <c r="A2006" s="856">
        <v>40146</v>
      </c>
      <c r="B2006" s="125" t="str">
        <f>TiposLancamentos!B17</f>
        <v>GATO</v>
      </c>
      <c r="C2006" s="139" t="s">
        <v>7606</v>
      </c>
      <c r="D2006" s="51"/>
      <c r="E2006" s="857">
        <v>75.400000000000006</v>
      </c>
    </row>
    <row r="2007" spans="1:5">
      <c r="A2007" s="856">
        <v>40146</v>
      </c>
      <c r="B2007" s="125" t="str">
        <f>TiposLancamentos!B19</f>
        <v>Restaurantes</v>
      </c>
      <c r="C2007" s="139" t="s">
        <v>21685</v>
      </c>
      <c r="D2007" s="51"/>
      <c r="E2007" s="857">
        <v>47.85</v>
      </c>
    </row>
    <row r="2008" spans="1:5">
      <c r="A2008" s="856">
        <v>40146</v>
      </c>
      <c r="B2008" s="125" t="str">
        <f>TiposLancamentos!B90</f>
        <v>Locadora</v>
      </c>
      <c r="C2008" s="139" t="s">
        <v>3106</v>
      </c>
      <c r="D2008" s="51"/>
      <c r="E2008" s="857">
        <v>49</v>
      </c>
    </row>
    <row r="2009" spans="1:5">
      <c r="A2009" s="856">
        <v>40147</v>
      </c>
      <c r="B2009" s="125" t="str">
        <f>TiposLancamentos!B95</f>
        <v>Salarios</v>
      </c>
      <c r="C2009" s="126" t="s">
        <v>4939</v>
      </c>
      <c r="D2009" s="51">
        <v>5502.4</v>
      </c>
      <c r="E2009" s="857"/>
    </row>
    <row r="2010" spans="1:5">
      <c r="A2010" s="856">
        <v>40147</v>
      </c>
      <c r="B2010" s="125" t="str">
        <f>TiposLancamentos!B22</f>
        <v>Combustivel</v>
      </c>
      <c r="C2010" s="139" t="s">
        <v>21622</v>
      </c>
      <c r="D2010" s="51"/>
      <c r="E2010" s="857">
        <v>68</v>
      </c>
    </row>
    <row r="2011" spans="1:5">
      <c r="A2011" s="856">
        <v>40147</v>
      </c>
      <c r="B2011" s="125" t="str">
        <f>TiposLancamentos!B30</f>
        <v>Cinema</v>
      </c>
      <c r="C2011" s="139" t="s">
        <v>21719</v>
      </c>
      <c r="D2011" s="51"/>
      <c r="E2011" s="857">
        <v>28</v>
      </c>
    </row>
    <row r="2012" spans="1:5" ht="14.25" thickBot="1">
      <c r="A2012" s="856">
        <v>40147</v>
      </c>
      <c r="B2012" s="125" t="str">
        <f>TiposLancamentos!B19</f>
        <v>Restaurantes</v>
      </c>
      <c r="C2012" s="139" t="s">
        <v>5742</v>
      </c>
      <c r="D2012" s="51"/>
      <c r="E2012" s="857">
        <v>29.8</v>
      </c>
    </row>
    <row r="2013" spans="1:5" ht="14.25" thickBot="1">
      <c r="A2013" s="998"/>
      <c r="B2013" s="989"/>
      <c r="C2013" s="990" t="s">
        <v>5771</v>
      </c>
      <c r="D2013" s="991"/>
      <c r="E2013" s="999"/>
    </row>
    <row r="2014" spans="1:5">
      <c r="A2014" s="856">
        <v>40148</v>
      </c>
      <c r="B2014" s="125" t="str">
        <f>TiposLancamentos!B15</f>
        <v>Cartões de Crédito</v>
      </c>
      <c r="C2014" s="139" t="s">
        <v>20597</v>
      </c>
      <c r="D2014" s="51"/>
      <c r="E2014" s="857">
        <v>1719.75</v>
      </c>
    </row>
    <row r="2015" spans="1:5">
      <c r="A2015" s="856">
        <v>40148</v>
      </c>
      <c r="B2015" s="125" t="str">
        <f>TiposLancamentos!B15</f>
        <v>Cartões de Crédito</v>
      </c>
      <c r="C2015" s="139" t="s">
        <v>5700</v>
      </c>
      <c r="D2015" s="51"/>
      <c r="E2015" s="857">
        <v>110</v>
      </c>
    </row>
    <row r="2016" spans="1:5">
      <c r="A2016" s="856">
        <v>40148</v>
      </c>
      <c r="B2016" s="125" t="str">
        <f>TiposLancamentos!B6</f>
        <v>Energia Eletrica</v>
      </c>
      <c r="C2016" s="139" t="s">
        <v>5191</v>
      </c>
      <c r="D2016" s="51"/>
      <c r="E2016" s="857">
        <v>149.44999999999999</v>
      </c>
    </row>
    <row r="2017" spans="1:6">
      <c r="A2017" s="856">
        <v>40148</v>
      </c>
      <c r="B2017" s="125" t="str">
        <f>TiposLancamentos!B15</f>
        <v>Cartões de Crédito</v>
      </c>
      <c r="C2017" s="139" t="s">
        <v>5879</v>
      </c>
      <c r="D2017" s="51"/>
      <c r="E2017" s="857">
        <v>109.41</v>
      </c>
    </row>
    <row r="2018" spans="1:6">
      <c r="A2018" s="856">
        <v>40148</v>
      </c>
      <c r="B2018" s="125" t="str">
        <f>TiposLancamentos!B16</f>
        <v>Cristiane</v>
      </c>
      <c r="C2018" s="139" t="s">
        <v>4316</v>
      </c>
      <c r="D2018" s="51"/>
      <c r="E2018" s="857">
        <v>650</v>
      </c>
    </row>
    <row r="2019" spans="1:6">
      <c r="A2019" s="856">
        <v>40148</v>
      </c>
      <c r="B2019" s="125" t="str">
        <f>TiposLancamentos!B9</f>
        <v>Condominio</v>
      </c>
      <c r="C2019" s="139" t="s">
        <v>21720</v>
      </c>
      <c r="D2019" s="51"/>
      <c r="E2019" s="857">
        <v>642.55999999999995</v>
      </c>
    </row>
    <row r="2020" spans="1:6">
      <c r="A2020" s="856">
        <v>40148</v>
      </c>
      <c r="B2020" s="125" t="str">
        <f>TiposLancamentos!B19</f>
        <v>Restaurantes</v>
      </c>
      <c r="C2020" s="139" t="s">
        <v>21657</v>
      </c>
      <c r="D2020" s="51"/>
      <c r="E2020" s="857">
        <v>18.66</v>
      </c>
    </row>
    <row r="2021" spans="1:6">
      <c r="A2021" s="856">
        <v>40148</v>
      </c>
      <c r="B2021" s="125" t="str">
        <f>TiposLancamentos!B98</f>
        <v>Restituições</v>
      </c>
      <c r="C2021" s="139" t="s">
        <v>20569</v>
      </c>
      <c r="D2021" s="51">
        <v>7.11</v>
      </c>
      <c r="E2021" s="857"/>
    </row>
    <row r="2022" spans="1:6">
      <c r="A2022" s="856">
        <v>40148</v>
      </c>
      <c r="B2022" s="125" t="str">
        <f>TiposLancamentos!B15</f>
        <v>Cartões de Crédito</v>
      </c>
      <c r="C2022" s="139" t="s">
        <v>5558</v>
      </c>
      <c r="D2022" s="51"/>
      <c r="E2022" s="857">
        <v>637.86</v>
      </c>
    </row>
    <row r="2023" spans="1:6">
      <c r="A2023" s="856">
        <v>40151</v>
      </c>
      <c r="B2023" s="125" t="str">
        <f>TiposLancamentos!B19</f>
        <v>Restaurantes</v>
      </c>
      <c r="C2023" s="139" t="s">
        <v>21721</v>
      </c>
      <c r="D2023" s="51"/>
      <c r="E2023" s="857">
        <v>11.4</v>
      </c>
    </row>
    <row r="2024" spans="1:6">
      <c r="A2024" s="856">
        <v>40152</v>
      </c>
      <c r="B2024" s="125" t="str">
        <f>TiposLancamentos!B5</f>
        <v>Supermercado</v>
      </c>
      <c r="C2024" s="139" t="s">
        <v>21621</v>
      </c>
      <c r="D2024" s="51"/>
      <c r="E2024" s="857">
        <v>15.66</v>
      </c>
    </row>
    <row r="2025" spans="1:6">
      <c r="A2025" s="856">
        <v>40152</v>
      </c>
      <c r="B2025" s="125" t="str">
        <f>TiposLancamentos!B56</f>
        <v>Farmácia</v>
      </c>
      <c r="C2025" s="139" t="s">
        <v>6118</v>
      </c>
      <c r="D2025" s="51"/>
      <c r="E2025" s="857">
        <v>92.11</v>
      </c>
    </row>
    <row r="2026" spans="1:6">
      <c r="A2026" s="856">
        <v>40152</v>
      </c>
      <c r="B2026" s="125" t="str">
        <f>TiposLancamentos!B20</f>
        <v>Saques</v>
      </c>
      <c r="C2026" s="139" t="s">
        <v>3900</v>
      </c>
      <c r="D2026" s="51"/>
      <c r="E2026" s="857">
        <v>30</v>
      </c>
    </row>
    <row r="2027" spans="1:6">
      <c r="A2027" s="856">
        <v>40152</v>
      </c>
      <c r="B2027" s="125" t="str">
        <f>TiposLancamentos!B19</f>
        <v>Restaurantes</v>
      </c>
      <c r="C2027" s="139" t="s">
        <v>21722</v>
      </c>
      <c r="D2027" s="51"/>
      <c r="E2027" s="857">
        <v>21.7</v>
      </c>
    </row>
    <row r="2028" spans="1:6">
      <c r="A2028" s="858">
        <v>40153</v>
      </c>
      <c r="B2028" s="817" t="str">
        <f>TiposLancamentos!B16</f>
        <v>Cristiane</v>
      </c>
      <c r="C2028" s="808" t="s">
        <v>21723</v>
      </c>
      <c r="D2028" s="809"/>
      <c r="E2028" s="959">
        <f>194.7-E2029</f>
        <v>94.799999999999983</v>
      </c>
    </row>
    <row r="2029" spans="1:6" ht="15.75">
      <c r="A2029" s="862">
        <v>40153</v>
      </c>
      <c r="B2029" s="818" t="str">
        <f>TiposLancamentos!B25</f>
        <v>CD_DVD_BD</v>
      </c>
      <c r="C2029" s="812" t="s">
        <v>21724</v>
      </c>
      <c r="D2029" s="813"/>
      <c r="E2029" s="960">
        <v>99.9</v>
      </c>
      <c r="F2029" s="36">
        <f>SUM(E2028:E2029)</f>
        <v>194.7</v>
      </c>
    </row>
    <row r="2030" spans="1:6">
      <c r="A2030" s="856">
        <v>40134</v>
      </c>
      <c r="B2030" s="125" t="str">
        <f>TiposLancamentos!B64</f>
        <v>Viagens</v>
      </c>
      <c r="C2030" s="139" t="s">
        <v>21725</v>
      </c>
      <c r="D2030" s="51"/>
      <c r="E2030" s="857">
        <v>330</v>
      </c>
    </row>
    <row r="2031" spans="1:6">
      <c r="A2031" s="856">
        <v>40154</v>
      </c>
      <c r="B2031" s="125" t="str">
        <f>TiposLancamentos!B4</f>
        <v>Taxas Bancarias</v>
      </c>
      <c r="C2031" s="139" t="s">
        <v>21726</v>
      </c>
      <c r="D2031" s="51"/>
      <c r="E2031" s="857">
        <v>11.66</v>
      </c>
    </row>
    <row r="2032" spans="1:6">
      <c r="A2032" s="856">
        <v>40155</v>
      </c>
      <c r="B2032" s="125" t="str">
        <f>TiposLancamentos!B5</f>
        <v>Supermercado</v>
      </c>
      <c r="C2032" s="139" t="s">
        <v>21727</v>
      </c>
      <c r="D2032" s="51"/>
      <c r="E2032" s="857">
        <v>9.08</v>
      </c>
    </row>
    <row r="2033" spans="1:6">
      <c r="A2033" s="856">
        <v>40155</v>
      </c>
      <c r="B2033" s="125" t="str">
        <f>TiposLancamentos!B72</f>
        <v>Presentes</v>
      </c>
      <c r="C2033" s="139" t="s">
        <v>21728</v>
      </c>
      <c r="D2033" s="51"/>
      <c r="E2033" s="857">
        <v>50</v>
      </c>
    </row>
    <row r="2034" spans="1:6">
      <c r="A2034" s="856">
        <v>40155</v>
      </c>
      <c r="B2034" s="125" t="str">
        <f>TiposLancamentos!B19</f>
        <v>Restaurantes</v>
      </c>
      <c r="C2034" s="139" t="s">
        <v>21729</v>
      </c>
      <c r="D2034" s="51"/>
      <c r="E2034" s="857">
        <v>17.2</v>
      </c>
    </row>
    <row r="2035" spans="1:6">
      <c r="A2035" s="856">
        <v>40155</v>
      </c>
      <c r="B2035" s="125" t="str">
        <f>TiposLancamentos!B19</f>
        <v>Restaurantes</v>
      </c>
      <c r="C2035" s="139" t="s">
        <v>21730</v>
      </c>
      <c r="D2035" s="51"/>
      <c r="E2035" s="857">
        <v>28.45</v>
      </c>
    </row>
    <row r="2036" spans="1:6">
      <c r="A2036" s="858">
        <v>40157</v>
      </c>
      <c r="B2036" s="817" t="str">
        <f>TiposLancamentos!B8</f>
        <v>Aluguel</v>
      </c>
      <c r="C2036" s="808" t="s">
        <v>21731</v>
      </c>
      <c r="D2036" s="809"/>
      <c r="E2036" s="959">
        <f>F2037-E2037</f>
        <v>1003.95</v>
      </c>
    </row>
    <row r="2037" spans="1:6">
      <c r="A2037" s="862">
        <v>40157</v>
      </c>
      <c r="B2037" s="818" t="str">
        <f>TiposLancamentos!B12</f>
        <v>IPTU</v>
      </c>
      <c r="C2037" s="812" t="s">
        <v>13414</v>
      </c>
      <c r="D2037" s="813"/>
      <c r="E2037" s="960">
        <v>84.57</v>
      </c>
      <c r="F2037" s="36">
        <v>1088.52</v>
      </c>
    </row>
    <row r="2038" spans="1:6">
      <c r="A2038" s="858">
        <v>40157</v>
      </c>
      <c r="B2038" s="817" t="str">
        <f>TiposLancamentos!B35</f>
        <v>Tv à Cabo</v>
      </c>
      <c r="C2038" s="808" t="s">
        <v>21732</v>
      </c>
      <c r="D2038" s="809"/>
      <c r="E2038" s="959">
        <v>168.8</v>
      </c>
    </row>
    <row r="2039" spans="1:6">
      <c r="A2039" s="860">
        <v>40157</v>
      </c>
      <c r="B2039" s="816" t="str">
        <f>TiposLancamentos!B3</f>
        <v>Internet</v>
      </c>
      <c r="C2039" s="141" t="s">
        <v>5835</v>
      </c>
      <c r="D2039" s="127"/>
      <c r="E2039" s="953">
        <v>86</v>
      </c>
    </row>
    <row r="2040" spans="1:6">
      <c r="A2040" s="862">
        <v>40157</v>
      </c>
      <c r="B2040" s="818" t="str">
        <f>TiposLancamentos!B2</f>
        <v>Telefonia</v>
      </c>
      <c r="C2040" s="812" t="s">
        <v>21733</v>
      </c>
      <c r="D2040" s="813"/>
      <c r="E2040" s="960">
        <v>27.5</v>
      </c>
      <c r="F2040" s="36">
        <f>SUM(E2038:E2040)</f>
        <v>282.3</v>
      </c>
    </row>
    <row r="2041" spans="1:6">
      <c r="A2041" s="856">
        <v>40157</v>
      </c>
      <c r="B2041" s="125" t="str">
        <f>TiposLancamentos!B86</f>
        <v>Peugeout 207</v>
      </c>
      <c r="C2041" s="139" t="s">
        <v>21734</v>
      </c>
      <c r="D2041" s="51"/>
      <c r="E2041" s="857">
        <v>700.69</v>
      </c>
    </row>
    <row r="2042" spans="1:6">
      <c r="A2042" s="856">
        <v>40159</v>
      </c>
      <c r="B2042" s="125" t="str">
        <f>TiposLancamentos!B5</f>
        <v>Supermercado</v>
      </c>
      <c r="C2042" s="139" t="s">
        <v>2567</v>
      </c>
      <c r="D2042" s="51"/>
      <c r="E2042" s="857">
        <v>130.81</v>
      </c>
    </row>
    <row r="2043" spans="1:6">
      <c r="A2043" s="856">
        <v>40161</v>
      </c>
      <c r="B2043" s="125" t="str">
        <f>TiposLancamentos!B22</f>
        <v>Combustivel</v>
      </c>
      <c r="C2043" s="139" t="s">
        <v>21735</v>
      </c>
      <c r="D2043" s="51"/>
      <c r="E2043" s="857">
        <v>64</v>
      </c>
    </row>
    <row r="2044" spans="1:6">
      <c r="A2044" s="856">
        <v>40161</v>
      </c>
      <c r="B2044" s="125" t="str">
        <f>TiposLancamentos!B20</f>
        <v>Saques</v>
      </c>
      <c r="C2044" s="139" t="s">
        <v>3403</v>
      </c>
      <c r="D2044" s="51"/>
      <c r="E2044" s="857">
        <v>30</v>
      </c>
    </row>
    <row r="2045" spans="1:6">
      <c r="A2045" s="856">
        <v>40161</v>
      </c>
      <c r="B2045" s="125" t="str">
        <f>TiposLancamentos!B19</f>
        <v>Restaurantes</v>
      </c>
      <c r="C2045" s="139" t="s">
        <v>3287</v>
      </c>
      <c r="D2045" s="51"/>
      <c r="E2045" s="857">
        <v>21.3</v>
      </c>
    </row>
    <row r="2046" spans="1:6">
      <c r="A2046" s="856">
        <v>40161</v>
      </c>
      <c r="B2046" s="125" t="str">
        <f>TiposLancamentos!B37</f>
        <v>Playstation 3</v>
      </c>
      <c r="C2046" s="139" t="s">
        <v>21736</v>
      </c>
      <c r="D2046" s="51"/>
      <c r="E2046" s="857">
        <v>101</v>
      </c>
    </row>
    <row r="2047" spans="1:6">
      <c r="A2047" s="856">
        <v>40161</v>
      </c>
      <c r="B2047" s="125" t="str">
        <f>TiposLancamentos!B17</f>
        <v>GATO</v>
      </c>
      <c r="C2047" s="139" t="s">
        <v>21737</v>
      </c>
      <c r="D2047" s="51"/>
      <c r="E2047" s="857">
        <v>50</v>
      </c>
    </row>
    <row r="2048" spans="1:6">
      <c r="A2048" s="856">
        <v>40161</v>
      </c>
      <c r="B2048" s="125" t="str">
        <f>TiposLancamentos!B37</f>
        <v>Playstation 3</v>
      </c>
      <c r="C2048" s="139" t="s">
        <v>21738</v>
      </c>
      <c r="D2048" s="51"/>
      <c r="E2048" s="857">
        <v>159</v>
      </c>
    </row>
    <row r="2049" spans="1:5">
      <c r="A2049" s="856">
        <v>40161</v>
      </c>
      <c r="B2049" s="125" t="str">
        <f>TiposLancamentos!B56</f>
        <v>Farmácia</v>
      </c>
      <c r="C2049" s="139" t="s">
        <v>21739</v>
      </c>
      <c r="D2049" s="51"/>
      <c r="E2049" s="857">
        <v>14.62</v>
      </c>
    </row>
    <row r="2050" spans="1:5">
      <c r="A2050" s="856">
        <v>40162</v>
      </c>
      <c r="B2050" s="125" t="str">
        <f>TiposLancamentos!B19</f>
        <v>Restaurantes</v>
      </c>
      <c r="C2050" s="139" t="s">
        <v>21547</v>
      </c>
      <c r="D2050" s="51"/>
      <c r="E2050" s="857">
        <v>11.4</v>
      </c>
    </row>
    <row r="2051" spans="1:5">
      <c r="A2051" s="856">
        <v>40162</v>
      </c>
      <c r="B2051" s="125" t="str">
        <f>TiposLancamentos!B33</f>
        <v>Pedágios</v>
      </c>
      <c r="C2051" s="126" t="s">
        <v>20941</v>
      </c>
      <c r="D2051" s="51"/>
      <c r="E2051" s="857">
        <v>126.1</v>
      </c>
    </row>
    <row r="2052" spans="1:5">
      <c r="A2052" s="856">
        <v>40162</v>
      </c>
      <c r="B2052" s="125" t="str">
        <f>TiposLancamentos!B5</f>
        <v>Supermercado</v>
      </c>
      <c r="C2052" s="139" t="s">
        <v>3902</v>
      </c>
      <c r="D2052" s="51"/>
      <c r="E2052" s="857">
        <v>75.09</v>
      </c>
    </row>
    <row r="2053" spans="1:5">
      <c r="A2053" s="856">
        <v>40162</v>
      </c>
      <c r="B2053" s="125" t="str">
        <f>TiposLancamentos!B20</f>
        <v>Saques</v>
      </c>
      <c r="C2053" s="139" t="s">
        <v>21740</v>
      </c>
      <c r="D2053" s="51"/>
      <c r="E2053" s="857">
        <v>150</v>
      </c>
    </row>
    <row r="2054" spans="1:5">
      <c r="A2054" s="856">
        <v>40162</v>
      </c>
      <c r="B2054" s="125" t="str">
        <f>TiposLancamentos!B95</f>
        <v>Salarios</v>
      </c>
      <c r="C2054" s="139" t="s">
        <v>4916</v>
      </c>
      <c r="D2054" s="51">
        <v>1831.9</v>
      </c>
      <c r="E2054" s="857"/>
    </row>
    <row r="2055" spans="1:5">
      <c r="A2055" s="856">
        <v>40162</v>
      </c>
      <c r="B2055" s="125" t="str">
        <f>TiposLancamentos!B95</f>
        <v>Salarios</v>
      </c>
      <c r="C2055" s="126" t="s">
        <v>5355</v>
      </c>
      <c r="D2055" s="51">
        <v>5607.38</v>
      </c>
      <c r="E2055" s="857"/>
    </row>
    <row r="2056" spans="1:5">
      <c r="A2056" s="856">
        <v>40164</v>
      </c>
      <c r="B2056" s="125" t="str">
        <f>TiposLancamentos!B17</f>
        <v>GATO</v>
      </c>
      <c r="C2056" s="139" t="s">
        <v>21741</v>
      </c>
      <c r="D2056" s="51"/>
      <c r="E2056" s="857">
        <v>30</v>
      </c>
    </row>
    <row r="2057" spans="1:5">
      <c r="A2057" s="856">
        <v>40164</v>
      </c>
      <c r="B2057" s="125" t="str">
        <f>TiposLancamentos!B19</f>
        <v>Restaurantes</v>
      </c>
      <c r="C2057" s="139" t="s">
        <v>21742</v>
      </c>
      <c r="D2057" s="51"/>
      <c r="E2057" s="857">
        <v>63</v>
      </c>
    </row>
    <row r="2058" spans="1:5">
      <c r="A2058" s="856">
        <v>40165</v>
      </c>
      <c r="B2058" s="125" t="str">
        <f>TiposLancamentos!B19</f>
        <v>Restaurantes</v>
      </c>
      <c r="C2058" s="139" t="s">
        <v>21743</v>
      </c>
      <c r="D2058" s="51"/>
      <c r="E2058" s="857">
        <v>14.9</v>
      </c>
    </row>
    <row r="2059" spans="1:5">
      <c r="A2059" s="856">
        <v>40165</v>
      </c>
      <c r="B2059" s="125" t="str">
        <f>TiposLancamentos!B56</f>
        <v>Farmácia</v>
      </c>
      <c r="C2059" s="139" t="s">
        <v>21744</v>
      </c>
      <c r="D2059" s="51"/>
      <c r="E2059" s="857">
        <v>26.61</v>
      </c>
    </row>
    <row r="2060" spans="1:5">
      <c r="A2060" s="856">
        <v>40166</v>
      </c>
      <c r="B2060" s="125" t="str">
        <f>TiposLancamentos!B20</f>
        <v>Saques</v>
      </c>
      <c r="C2060" s="139" t="s">
        <v>3146</v>
      </c>
      <c r="D2060" s="51"/>
      <c r="E2060" s="857">
        <v>210</v>
      </c>
    </row>
    <row r="2061" spans="1:5">
      <c r="A2061" s="856">
        <v>40166</v>
      </c>
      <c r="B2061" s="125" t="str">
        <f>TiposLancamentos!B5</f>
        <v>Supermercado</v>
      </c>
      <c r="C2061" s="139" t="s">
        <v>21745</v>
      </c>
      <c r="D2061" s="51"/>
      <c r="E2061" s="857">
        <v>39.67</v>
      </c>
    </row>
    <row r="2062" spans="1:5">
      <c r="A2062" s="856">
        <v>40168</v>
      </c>
      <c r="B2062" s="125" t="str">
        <f>TiposLancamentos!B19</f>
        <v>Restaurantes</v>
      </c>
      <c r="C2062" s="139" t="s">
        <v>21746</v>
      </c>
      <c r="D2062" s="51"/>
      <c r="E2062" s="857">
        <v>17.899999999999999</v>
      </c>
    </row>
    <row r="2063" spans="1:5">
      <c r="A2063" s="856">
        <v>40168</v>
      </c>
      <c r="B2063" s="125" t="str">
        <f>TiposLancamentos!B72</f>
        <v>Presentes</v>
      </c>
      <c r="C2063" s="139" t="s">
        <v>21747</v>
      </c>
      <c r="D2063" s="51"/>
      <c r="E2063" s="857">
        <v>198</v>
      </c>
    </row>
    <row r="2064" spans="1:5">
      <c r="A2064" s="856">
        <v>40168</v>
      </c>
      <c r="B2064" s="125" t="str">
        <f>TiposLancamentos!B72</f>
        <v>Presentes</v>
      </c>
      <c r="C2064" s="139" t="s">
        <v>21748</v>
      </c>
      <c r="D2064" s="51"/>
      <c r="E2064" s="857">
        <v>127</v>
      </c>
    </row>
    <row r="2065" spans="1:5">
      <c r="A2065" s="856">
        <v>40168</v>
      </c>
      <c r="B2065" s="125" t="str">
        <f>TiposLancamentos!B19</f>
        <v>Restaurantes</v>
      </c>
      <c r="C2065" s="139" t="s">
        <v>21749</v>
      </c>
      <c r="D2065" s="51"/>
      <c r="E2065" s="857">
        <v>6</v>
      </c>
    </row>
    <row r="2066" spans="1:5">
      <c r="A2066" s="856">
        <v>40168</v>
      </c>
      <c r="B2066" s="125" t="str">
        <f>TiposLancamentos!B72</f>
        <v>Presentes</v>
      </c>
      <c r="C2066" s="139" t="s">
        <v>21750</v>
      </c>
      <c r="D2066" s="51"/>
      <c r="E2066" s="857">
        <v>41</v>
      </c>
    </row>
    <row r="2067" spans="1:5">
      <c r="A2067" s="856">
        <v>40169</v>
      </c>
      <c r="B2067" s="125" t="str">
        <f>TiposLancamentos!B76</f>
        <v>Motel</v>
      </c>
      <c r="C2067" s="139" t="s">
        <v>21751</v>
      </c>
      <c r="D2067" s="51"/>
      <c r="E2067" s="857">
        <v>147</v>
      </c>
    </row>
    <row r="2068" spans="1:5">
      <c r="A2068" s="856">
        <v>40169</v>
      </c>
      <c r="B2068" s="125" t="str">
        <f>TiposLancamentos!B5</f>
        <v>Supermercado</v>
      </c>
      <c r="C2068" s="139" t="s">
        <v>21752</v>
      </c>
      <c r="D2068" s="51"/>
      <c r="E2068" s="857">
        <v>14.87</v>
      </c>
    </row>
    <row r="2069" spans="1:5">
      <c r="A2069" s="856">
        <v>40169</v>
      </c>
      <c r="B2069" s="125" t="str">
        <f>TiposLancamentos!B95</f>
        <v>Salarios</v>
      </c>
      <c r="C2069" s="139" t="s">
        <v>4938</v>
      </c>
      <c r="D2069" s="51">
        <v>3817.62</v>
      </c>
      <c r="E2069" s="857"/>
    </row>
    <row r="2070" spans="1:5">
      <c r="A2070" s="856">
        <v>40169</v>
      </c>
      <c r="B2070" s="125" t="str">
        <f>TiposLancamentos!B20</f>
        <v>Saques</v>
      </c>
      <c r="C2070" s="139" t="s">
        <v>3604</v>
      </c>
      <c r="D2070" s="51"/>
      <c r="E2070" s="857">
        <v>50</v>
      </c>
    </row>
    <row r="2071" spans="1:5">
      <c r="A2071" s="856">
        <v>40170</v>
      </c>
      <c r="B2071" s="125" t="str">
        <f>TiposLancamentos!B5</f>
        <v>Supermercado</v>
      </c>
      <c r="C2071" s="139" t="s">
        <v>21377</v>
      </c>
      <c r="D2071" s="51"/>
      <c r="E2071" s="857">
        <v>29.76</v>
      </c>
    </row>
    <row r="2072" spans="1:5">
      <c r="A2072" s="856">
        <v>40170</v>
      </c>
      <c r="B2072" s="125" t="str">
        <f>TiposLancamentos!B17</f>
        <v>GATO</v>
      </c>
      <c r="C2072" s="139" t="s">
        <v>21753</v>
      </c>
      <c r="D2072" s="51"/>
      <c r="E2072" s="857">
        <v>94</v>
      </c>
    </row>
    <row r="2073" spans="1:5">
      <c r="A2073" s="856">
        <v>40171</v>
      </c>
      <c r="B2073" s="125" t="str">
        <f>TiposLancamentos!B19</f>
        <v>Restaurantes</v>
      </c>
      <c r="C2073" s="139" t="s">
        <v>21660</v>
      </c>
      <c r="D2073" s="51"/>
      <c r="E2073" s="857">
        <v>12</v>
      </c>
    </row>
    <row r="2074" spans="1:5">
      <c r="A2074" s="856">
        <v>40171</v>
      </c>
      <c r="B2074" s="125" t="str">
        <f>TiposLancamentos!B22</f>
        <v>Combustivel</v>
      </c>
      <c r="C2074" s="139" t="s">
        <v>21714</v>
      </c>
      <c r="D2074" s="51"/>
      <c r="E2074" s="857">
        <v>84</v>
      </c>
    </row>
    <row r="2075" spans="1:5">
      <c r="A2075" s="856">
        <v>40171</v>
      </c>
      <c r="B2075" s="125" t="str">
        <f>TiposLancamentos!B19</f>
        <v>Restaurantes</v>
      </c>
      <c r="C2075" s="139" t="s">
        <v>21754</v>
      </c>
      <c r="D2075" s="51"/>
      <c r="E2075" s="857">
        <v>21.6</v>
      </c>
    </row>
    <row r="2076" spans="1:5">
      <c r="A2076" s="856">
        <v>40171</v>
      </c>
      <c r="B2076" s="125" t="str">
        <f>TiposLancamentos!B22</f>
        <v>Combustivel</v>
      </c>
      <c r="C2076" s="139" t="s">
        <v>21714</v>
      </c>
      <c r="D2076" s="51"/>
      <c r="E2076" s="857">
        <v>78</v>
      </c>
    </row>
    <row r="2077" spans="1:5">
      <c r="A2077" s="856">
        <v>40171</v>
      </c>
      <c r="B2077" s="125" t="str">
        <f>TiposLancamentos!B19</f>
        <v>Restaurantes</v>
      </c>
      <c r="C2077" s="139" t="s">
        <v>21755</v>
      </c>
      <c r="D2077" s="51"/>
      <c r="E2077" s="857">
        <v>21.5</v>
      </c>
    </row>
    <row r="2078" spans="1:5">
      <c r="A2078" s="856">
        <v>40173</v>
      </c>
      <c r="B2078" s="125" t="str">
        <f>TiposLancamentos!B19</f>
        <v>Restaurantes</v>
      </c>
      <c r="C2078" s="139" t="s">
        <v>21756</v>
      </c>
      <c r="D2078" s="51"/>
      <c r="E2078" s="857">
        <v>47.56</v>
      </c>
    </row>
    <row r="2079" spans="1:5">
      <c r="A2079" s="856">
        <v>40175</v>
      </c>
      <c r="B2079" s="125" t="str">
        <f>TiposLancamentos!B22</f>
        <v>Combustivel</v>
      </c>
      <c r="C2079" s="139" t="s">
        <v>21714</v>
      </c>
      <c r="D2079" s="51"/>
      <c r="E2079" s="857">
        <v>66</v>
      </c>
    </row>
    <row r="2080" spans="1:5">
      <c r="A2080" s="856">
        <v>40175</v>
      </c>
      <c r="B2080" s="125" t="str">
        <f>TiposLancamentos!B19</f>
        <v>Restaurantes</v>
      </c>
      <c r="C2080" s="139" t="s">
        <v>21757</v>
      </c>
      <c r="D2080" s="51"/>
      <c r="E2080" s="857">
        <v>29.7</v>
      </c>
    </row>
    <row r="2081" spans="1:5">
      <c r="A2081" s="856">
        <v>40175</v>
      </c>
      <c r="B2081" s="125" t="str">
        <f>TiposLancamentos!B22</f>
        <v>Combustivel</v>
      </c>
      <c r="C2081" s="139" t="s">
        <v>21758</v>
      </c>
      <c r="D2081" s="51"/>
      <c r="E2081" s="857">
        <v>60.02</v>
      </c>
    </row>
    <row r="2082" spans="1:5">
      <c r="A2082" s="856">
        <v>40175</v>
      </c>
      <c r="B2082" s="125" t="str">
        <f>TiposLancamentos!B5</f>
        <v>Supermercado</v>
      </c>
      <c r="C2082" s="139" t="s">
        <v>21759</v>
      </c>
      <c r="D2082" s="51"/>
      <c r="E2082" s="857">
        <v>39.71</v>
      </c>
    </row>
    <row r="2083" spans="1:5">
      <c r="A2083" s="856">
        <v>40176</v>
      </c>
      <c r="B2083" s="125" t="str">
        <f>TiposLancamentos!B77</f>
        <v>Esporádico</v>
      </c>
      <c r="C2083" s="139" t="s">
        <v>21760</v>
      </c>
      <c r="D2083" s="51"/>
      <c r="E2083" s="857">
        <v>20</v>
      </c>
    </row>
    <row r="2084" spans="1:5">
      <c r="A2084" s="856">
        <v>40176</v>
      </c>
      <c r="B2084" s="125" t="str">
        <f>TiposLancamentos!B16</f>
        <v>Cristiane</v>
      </c>
      <c r="C2084" s="139" t="s">
        <v>21761</v>
      </c>
      <c r="D2084" s="51"/>
      <c r="E2084" s="857">
        <v>43.68</v>
      </c>
    </row>
    <row r="2085" spans="1:5">
      <c r="A2085" s="856">
        <v>40177</v>
      </c>
      <c r="B2085" s="125" t="str">
        <f>TiposLancamentos!B95</f>
        <v>Salarios</v>
      </c>
      <c r="C2085" s="126" t="s">
        <v>4939</v>
      </c>
      <c r="D2085" s="51">
        <v>3837.01</v>
      </c>
      <c r="E2085" s="857"/>
    </row>
    <row r="2086" spans="1:5">
      <c r="A2086" s="856">
        <v>40177</v>
      </c>
      <c r="B2086" s="125" t="str">
        <f>TiposLancamentos!B19</f>
        <v>Restaurantes</v>
      </c>
      <c r="C2086" s="139" t="s">
        <v>20562</v>
      </c>
      <c r="D2086" s="51"/>
      <c r="E2086" s="857">
        <v>40.4</v>
      </c>
    </row>
    <row r="2087" spans="1:5">
      <c r="A2087" s="856">
        <v>40177</v>
      </c>
      <c r="B2087" s="125" t="str">
        <f>TiposLancamentos!B19</f>
        <v>Restaurantes</v>
      </c>
      <c r="C2087" s="139" t="s">
        <v>3923</v>
      </c>
      <c r="D2087" s="51"/>
      <c r="E2087" s="857">
        <v>11.6</v>
      </c>
    </row>
    <row r="2088" spans="1:5">
      <c r="A2088" s="856">
        <v>40177</v>
      </c>
      <c r="B2088" s="125" t="str">
        <f>TiposLancamentos!B37</f>
        <v>Playstation 3</v>
      </c>
      <c r="C2088" s="139" t="s">
        <v>21762</v>
      </c>
      <c r="D2088" s="51"/>
      <c r="E2088" s="857">
        <v>29</v>
      </c>
    </row>
    <row r="2089" spans="1:5">
      <c r="A2089" s="856">
        <v>40177</v>
      </c>
      <c r="B2089" s="125" t="str">
        <f>TiposLancamentos!B19</f>
        <v>Restaurantes</v>
      </c>
      <c r="C2089" s="139" t="s">
        <v>21763</v>
      </c>
      <c r="D2089" s="51"/>
      <c r="E2089" s="857">
        <v>102.14</v>
      </c>
    </row>
    <row r="2090" spans="1:5">
      <c r="A2090" s="856">
        <v>40178</v>
      </c>
      <c r="B2090" s="125" t="str">
        <f>TiposLancamentos!B17</f>
        <v>GATO</v>
      </c>
      <c r="C2090" s="139" t="s">
        <v>6738</v>
      </c>
      <c r="D2090" s="51"/>
      <c r="E2090" s="857">
        <v>94.1</v>
      </c>
    </row>
    <row r="2091" spans="1:5" ht="14.25" thickBot="1">
      <c r="A2091" s="856">
        <v>40178</v>
      </c>
      <c r="B2091" s="125" t="str">
        <f>TiposLancamentos!B5</f>
        <v>Supermercado</v>
      </c>
      <c r="C2091" s="139" t="s">
        <v>2567</v>
      </c>
      <c r="D2091" s="51"/>
      <c r="E2091" s="857">
        <v>214.48</v>
      </c>
    </row>
    <row r="2092" spans="1:5" ht="14.25" thickBot="1">
      <c r="A2092" s="998"/>
      <c r="B2092" s="989"/>
      <c r="C2092" s="997" t="s">
        <v>5777</v>
      </c>
      <c r="D2092" s="991"/>
      <c r="E2092" s="999"/>
    </row>
    <row r="2093" spans="1:5">
      <c r="A2093" s="856">
        <v>40179</v>
      </c>
      <c r="B2093" s="125" t="str">
        <f>TiposLancamentos!B103</f>
        <v>Juros_Corr. Poupança</v>
      </c>
      <c r="C2093" s="139" t="s">
        <v>21764</v>
      </c>
      <c r="D2093" s="51">
        <v>7.55</v>
      </c>
      <c r="E2093" s="857"/>
    </row>
    <row r="2094" spans="1:5">
      <c r="A2094" s="856">
        <v>40179</v>
      </c>
      <c r="B2094" s="125" t="str">
        <f>TiposLancamentos!B103</f>
        <v>Juros_Corr. Poupança</v>
      </c>
      <c r="C2094" s="139" t="s">
        <v>21765</v>
      </c>
      <c r="D2094" s="51">
        <v>0.8</v>
      </c>
      <c r="E2094" s="857"/>
    </row>
    <row r="2095" spans="1:5">
      <c r="A2095" s="856">
        <v>40180</v>
      </c>
      <c r="B2095" s="125" t="str">
        <f>TiposLancamentos!B19</f>
        <v>Restaurantes</v>
      </c>
      <c r="C2095" s="139" t="s">
        <v>21766</v>
      </c>
      <c r="D2095" s="51"/>
      <c r="E2095" s="857">
        <v>14.4</v>
      </c>
    </row>
    <row r="2096" spans="1:5">
      <c r="A2096" s="856">
        <v>40180</v>
      </c>
      <c r="B2096" s="125" t="str">
        <f>TiposLancamentos!B16</f>
        <v>Cristiane</v>
      </c>
      <c r="C2096" s="139" t="s">
        <v>21767</v>
      </c>
      <c r="D2096" s="51"/>
      <c r="E2096" s="857">
        <v>34.799999999999997</v>
      </c>
    </row>
    <row r="2097" spans="1:7">
      <c r="A2097" s="856">
        <v>40180</v>
      </c>
      <c r="B2097" s="125" t="str">
        <f>TiposLancamentos!B19</f>
        <v>Restaurantes</v>
      </c>
      <c r="C2097" s="139" t="s">
        <v>21743</v>
      </c>
      <c r="D2097" s="51"/>
      <c r="E2097" s="857">
        <v>31.3</v>
      </c>
    </row>
    <row r="2098" spans="1:7">
      <c r="A2098" s="856">
        <v>40180</v>
      </c>
      <c r="B2098" s="125" t="str">
        <f>TiposLancamentos!B56</f>
        <v>Farmácia</v>
      </c>
      <c r="C2098" s="139" t="s">
        <v>6118</v>
      </c>
      <c r="D2098" s="51"/>
      <c r="E2098" s="857">
        <v>66.42</v>
      </c>
    </row>
    <row r="2099" spans="1:7">
      <c r="A2099" s="856">
        <v>40181</v>
      </c>
      <c r="B2099" s="125" t="str">
        <f>TiposLancamentos!B30</f>
        <v>Cinema</v>
      </c>
      <c r="C2099" s="139" t="s">
        <v>21768</v>
      </c>
      <c r="D2099" s="51"/>
      <c r="E2099" s="857">
        <v>44</v>
      </c>
    </row>
    <row r="2100" spans="1:7">
      <c r="A2100" s="856">
        <v>40181</v>
      </c>
      <c r="B2100" s="125" t="str">
        <f>TiposLancamentos!B19</f>
        <v>Restaurantes</v>
      </c>
      <c r="C2100" s="139" t="s">
        <v>21769</v>
      </c>
      <c r="D2100" s="51"/>
      <c r="E2100" s="857">
        <v>14.5</v>
      </c>
    </row>
    <row r="2101" spans="1:7">
      <c r="A2101" s="856">
        <v>40182</v>
      </c>
      <c r="B2101" s="125" t="str">
        <f>TiposLancamentos!B2</f>
        <v>Telefonia</v>
      </c>
      <c r="C2101" s="139" t="s">
        <v>21770</v>
      </c>
      <c r="D2101" s="51"/>
      <c r="E2101" s="857">
        <v>1.99</v>
      </c>
    </row>
    <row r="2102" spans="1:7">
      <c r="A2102" s="856">
        <v>40182</v>
      </c>
      <c r="B2102" s="125" t="str">
        <f>TiposLancamentos!B15</f>
        <v>Cartões de Crédito</v>
      </c>
      <c r="C2102" s="139" t="s">
        <v>20858</v>
      </c>
      <c r="D2102" s="51"/>
      <c r="E2102" s="857">
        <v>1976.98</v>
      </c>
    </row>
    <row r="2103" spans="1:7">
      <c r="A2103" s="856">
        <v>40182</v>
      </c>
      <c r="B2103" s="125" t="str">
        <f>TiposLancamentos!B15</f>
        <v>Cartões de Crédito</v>
      </c>
      <c r="C2103" s="139" t="s">
        <v>5558</v>
      </c>
      <c r="D2103" s="51"/>
      <c r="E2103" s="857">
        <v>288.83</v>
      </c>
    </row>
    <row r="2104" spans="1:7">
      <c r="A2104" s="856">
        <v>40182</v>
      </c>
      <c r="B2104" s="125" t="str">
        <f>TiposLancamentos!B6</f>
        <v>Energia Eletrica</v>
      </c>
      <c r="C2104" s="139" t="s">
        <v>5191</v>
      </c>
      <c r="D2104" s="51"/>
      <c r="E2104" s="857">
        <v>136.88999999999999</v>
      </c>
    </row>
    <row r="2105" spans="1:7">
      <c r="A2105" s="856">
        <v>40182</v>
      </c>
      <c r="B2105" s="125" t="str">
        <f>TiposLancamentos!B9</f>
        <v>Condominio</v>
      </c>
      <c r="C2105" s="139" t="s">
        <v>21771</v>
      </c>
      <c r="D2105" s="51"/>
      <c r="E2105" s="857">
        <v>640</v>
      </c>
    </row>
    <row r="2106" spans="1:7">
      <c r="A2106" s="856">
        <v>40182</v>
      </c>
      <c r="B2106" s="125" t="str">
        <f>TiposLancamentos!B8</f>
        <v>Aluguel</v>
      </c>
      <c r="C2106" s="139" t="s">
        <v>21772</v>
      </c>
      <c r="D2106" s="51"/>
      <c r="E2106" s="857">
        <v>1003.95</v>
      </c>
    </row>
    <row r="2107" spans="1:7">
      <c r="A2107" s="856">
        <v>40182</v>
      </c>
      <c r="B2107" s="125" t="str">
        <f>TiposLancamentos!B86</f>
        <v>Peugeout 207</v>
      </c>
      <c r="C2107" s="139" t="s">
        <v>21773</v>
      </c>
      <c r="D2107" s="51"/>
      <c r="E2107" s="857">
        <v>700.69</v>
      </c>
    </row>
    <row r="2108" spans="1:7">
      <c r="A2108" s="856">
        <v>40182</v>
      </c>
      <c r="B2108" s="125" t="str">
        <f>TiposLancamentos!B105</f>
        <v>Transf. Bco</v>
      </c>
      <c r="C2108" s="139" t="s">
        <v>21774</v>
      </c>
      <c r="D2108" s="51"/>
      <c r="E2108" s="857">
        <v>1250</v>
      </c>
    </row>
    <row r="2109" spans="1:7">
      <c r="A2109" s="858">
        <v>40183</v>
      </c>
      <c r="B2109" s="817" t="str">
        <f>TiposLancamentos!B44</f>
        <v>Academia</v>
      </c>
      <c r="C2109" s="808" t="s">
        <v>21775</v>
      </c>
      <c r="D2109" s="809"/>
      <c r="E2109" s="959">
        <v>735.3</v>
      </c>
      <c r="F2109" s="3">
        <v>735.3</v>
      </c>
    </row>
    <row r="2110" spans="1:7">
      <c r="A2110" s="862">
        <v>40183</v>
      </c>
      <c r="B2110" s="818" t="str">
        <f>TiposLancamentos!B16</f>
        <v>Cristiane</v>
      </c>
      <c r="C2110" s="812" t="s">
        <v>21776</v>
      </c>
      <c r="D2110" s="813"/>
      <c r="E2110" s="960">
        <v>735.3</v>
      </c>
      <c r="F2110" s="3">
        <v>735.3</v>
      </c>
      <c r="G2110" s="3">
        <f>SUM(F2109:F2110)</f>
        <v>1470.6</v>
      </c>
    </row>
    <row r="2111" spans="1:7">
      <c r="A2111" s="856">
        <v>40183</v>
      </c>
      <c r="B2111" s="125" t="str">
        <f>TiposLancamentos!B86</f>
        <v>Peugeout 207</v>
      </c>
      <c r="C2111" s="139" t="s">
        <v>13461</v>
      </c>
      <c r="D2111" s="51"/>
      <c r="E2111" s="857">
        <v>1185.4100000000001</v>
      </c>
    </row>
    <row r="2112" spans="1:7">
      <c r="A2112" s="856">
        <v>40183</v>
      </c>
      <c r="B2112" s="125" t="str">
        <f>TiposLancamentos!B86</f>
        <v>Peugeout 207</v>
      </c>
      <c r="C2112" s="139" t="s">
        <v>21777</v>
      </c>
      <c r="D2112" s="51"/>
      <c r="E2112" s="857">
        <v>160.69999999999999</v>
      </c>
    </row>
    <row r="2113" spans="1:6">
      <c r="A2113" s="858">
        <v>40183</v>
      </c>
      <c r="B2113" s="817" t="str">
        <f>TiposLancamentos!B35</f>
        <v>Tv à Cabo</v>
      </c>
      <c r="C2113" s="808" t="s">
        <v>21732</v>
      </c>
      <c r="D2113" s="809"/>
      <c r="E2113" s="959">
        <v>168.8</v>
      </c>
    </row>
    <row r="2114" spans="1:6">
      <c r="A2114" s="860">
        <v>40183</v>
      </c>
      <c r="B2114" s="816" t="str">
        <f>TiposLancamentos!B3</f>
        <v>Internet</v>
      </c>
      <c r="C2114" s="141" t="s">
        <v>5835</v>
      </c>
      <c r="D2114" s="127"/>
      <c r="E2114" s="953">
        <v>86</v>
      </c>
    </row>
    <row r="2115" spans="1:6">
      <c r="A2115" s="862">
        <v>40183</v>
      </c>
      <c r="B2115" s="818" t="str">
        <f>TiposLancamentos!B2</f>
        <v>Telefonia</v>
      </c>
      <c r="C2115" s="812" t="s">
        <v>21733</v>
      </c>
      <c r="D2115" s="813"/>
      <c r="E2115" s="960">
        <v>36.950000000000003</v>
      </c>
      <c r="F2115" s="36">
        <f>SUM(E2113:E2115)</f>
        <v>291.75</v>
      </c>
    </row>
    <row r="2116" spans="1:6">
      <c r="A2116" s="856">
        <v>40183</v>
      </c>
      <c r="B2116" s="125" t="str">
        <f>TiposLancamentos!B100</f>
        <v>Emprestimos</v>
      </c>
      <c r="C2116" s="139" t="s">
        <v>21778</v>
      </c>
      <c r="D2116" s="51"/>
      <c r="E2116" s="857">
        <v>12</v>
      </c>
    </row>
    <row r="2117" spans="1:6">
      <c r="A2117" s="856">
        <v>40183</v>
      </c>
      <c r="B2117" s="125" t="str">
        <f>TiposLancamentos!B97</f>
        <v>Deposito Terc.</v>
      </c>
      <c r="C2117" s="139" t="s">
        <v>21779</v>
      </c>
      <c r="D2117" s="51">
        <v>12</v>
      </c>
      <c r="E2117" s="857"/>
    </row>
    <row r="2118" spans="1:6">
      <c r="A2118" s="856">
        <v>40183</v>
      </c>
      <c r="B2118" s="125" t="str">
        <f>TiposLancamentos!B70</f>
        <v>Vestuário</v>
      </c>
      <c r="C2118" s="139" t="s">
        <v>21780</v>
      </c>
      <c r="D2118" s="51"/>
      <c r="E2118" s="857">
        <v>796</v>
      </c>
    </row>
    <row r="2119" spans="1:6">
      <c r="A2119" s="856">
        <v>40184</v>
      </c>
      <c r="B2119" s="125" t="str">
        <f>TiposLancamentos!B22</f>
        <v>Combustivel</v>
      </c>
      <c r="C2119" s="139" t="s">
        <v>21714</v>
      </c>
      <c r="D2119" s="51"/>
      <c r="E2119" s="857">
        <v>88.65</v>
      </c>
    </row>
    <row r="2120" spans="1:6">
      <c r="A2120" s="856">
        <v>40184</v>
      </c>
      <c r="B2120" s="125" t="str">
        <f>TiposLancamentos!B19</f>
        <v>Restaurantes</v>
      </c>
      <c r="C2120" s="139" t="s">
        <v>21781</v>
      </c>
      <c r="D2120" s="51"/>
      <c r="E2120" s="857">
        <v>17</v>
      </c>
    </row>
    <row r="2121" spans="1:6">
      <c r="A2121" s="856">
        <v>40185</v>
      </c>
      <c r="B2121" s="125" t="str">
        <f>TiposLancamentos!B29</f>
        <v>Mangá</v>
      </c>
      <c r="C2121" s="139" t="s">
        <v>21782</v>
      </c>
      <c r="D2121" s="51"/>
      <c r="E2121" s="857">
        <v>9.9</v>
      </c>
    </row>
    <row r="2122" spans="1:6">
      <c r="A2122" s="856">
        <v>40185</v>
      </c>
      <c r="B2122" s="125" t="str">
        <f>TiposLancamentos!B4</f>
        <v>Taxas Bancarias</v>
      </c>
      <c r="C2122" s="139" t="s">
        <v>21783</v>
      </c>
      <c r="D2122" s="51"/>
      <c r="E2122" s="857">
        <v>11.66</v>
      </c>
    </row>
    <row r="2123" spans="1:6">
      <c r="A2123" s="856">
        <v>40187</v>
      </c>
      <c r="B2123" s="125" t="str">
        <f>TiposLancamentos!B20</f>
        <v>Saques</v>
      </c>
      <c r="C2123" s="139" t="s">
        <v>3406</v>
      </c>
      <c r="D2123" s="51"/>
      <c r="E2123" s="857">
        <v>90</v>
      </c>
    </row>
    <row r="2124" spans="1:6">
      <c r="A2124" s="856">
        <v>40187</v>
      </c>
      <c r="B2124" s="125" t="str">
        <f>TiposLancamentos!B13</f>
        <v>Moradia</v>
      </c>
      <c r="C2124" s="139" t="s">
        <v>21784</v>
      </c>
      <c r="D2124" s="51"/>
      <c r="E2124" s="857">
        <v>250</v>
      </c>
    </row>
    <row r="2125" spans="1:6">
      <c r="A2125" s="856">
        <v>40187</v>
      </c>
      <c r="B2125" s="125" t="str">
        <f>TiposLancamentos!B19</f>
        <v>Restaurantes</v>
      </c>
      <c r="C2125" s="139" t="s">
        <v>21785</v>
      </c>
      <c r="D2125" s="51"/>
      <c r="E2125" s="857">
        <v>63.5</v>
      </c>
    </row>
    <row r="2126" spans="1:6">
      <c r="A2126" s="856">
        <v>40187</v>
      </c>
      <c r="B2126" s="125" t="str">
        <f>TiposLancamentos!B19</f>
        <v>Restaurantes</v>
      </c>
      <c r="C2126" s="139" t="s">
        <v>21786</v>
      </c>
      <c r="D2126" s="51"/>
      <c r="E2126" s="857">
        <v>79.3</v>
      </c>
    </row>
    <row r="2127" spans="1:6">
      <c r="A2127" s="856">
        <v>40188</v>
      </c>
      <c r="B2127" s="125" t="str">
        <f>TiposLancamentos!B19</f>
        <v>Restaurantes</v>
      </c>
      <c r="C2127" s="139" t="s">
        <v>21787</v>
      </c>
      <c r="D2127" s="51"/>
      <c r="E2127" s="857">
        <v>83.38</v>
      </c>
    </row>
    <row r="2128" spans="1:6">
      <c r="A2128" s="856">
        <v>40188</v>
      </c>
      <c r="B2128" s="125" t="str">
        <f>TiposLancamentos!B5</f>
        <v>Supermercado</v>
      </c>
      <c r="C2128" s="139" t="s">
        <v>5967</v>
      </c>
      <c r="D2128" s="51"/>
      <c r="E2128" s="857">
        <v>88.09</v>
      </c>
    </row>
    <row r="2129" spans="1:5">
      <c r="A2129" s="856">
        <v>40189</v>
      </c>
      <c r="B2129" s="125" t="str">
        <f>TiposLancamentos!B16</f>
        <v>Cristiane</v>
      </c>
      <c r="C2129" s="139" t="s">
        <v>21788</v>
      </c>
      <c r="D2129" s="51"/>
      <c r="E2129" s="857">
        <v>29.9</v>
      </c>
    </row>
    <row r="2130" spans="1:5">
      <c r="A2130" s="856">
        <v>40191</v>
      </c>
      <c r="B2130" s="125" t="str">
        <f>TiposLancamentos!B20</f>
        <v>Saques</v>
      </c>
      <c r="C2130" s="139" t="s">
        <v>2850</v>
      </c>
      <c r="D2130" s="51"/>
      <c r="E2130" s="857">
        <v>270</v>
      </c>
    </row>
    <row r="2131" spans="1:5">
      <c r="A2131" s="856">
        <v>40192</v>
      </c>
      <c r="B2131" s="125" t="str">
        <f>TiposLancamentos!B45</f>
        <v>Online Services</v>
      </c>
      <c r="C2131" s="139" t="s">
        <v>21789</v>
      </c>
      <c r="D2131" s="51"/>
      <c r="E2131" s="857">
        <v>11</v>
      </c>
    </row>
    <row r="2132" spans="1:5">
      <c r="A2132" s="856">
        <v>40193</v>
      </c>
      <c r="B2132" s="125" t="str">
        <f>TiposLancamentos!B33</f>
        <v>Pedágios</v>
      </c>
      <c r="C2132" s="126" t="s">
        <v>20941</v>
      </c>
      <c r="D2132" s="51"/>
      <c r="E2132" s="857">
        <v>122.2</v>
      </c>
    </row>
    <row r="2133" spans="1:5">
      <c r="A2133" s="856">
        <v>40193</v>
      </c>
      <c r="B2133" s="125" t="str">
        <f>TiposLancamentos!B95</f>
        <v>Salarios</v>
      </c>
      <c r="C2133" s="139" t="s">
        <v>4916</v>
      </c>
      <c r="D2133" s="51">
        <v>1831.9</v>
      </c>
      <c r="E2133" s="857"/>
    </row>
    <row r="2134" spans="1:5">
      <c r="A2134" s="856">
        <v>40193</v>
      </c>
      <c r="B2134" s="125" t="str">
        <f>TiposLancamentos!B69</f>
        <v>Consertos</v>
      </c>
      <c r="C2134" s="139" t="s">
        <v>21790</v>
      </c>
      <c r="D2134" s="51"/>
      <c r="E2134" s="857">
        <v>70</v>
      </c>
    </row>
    <row r="2135" spans="1:5">
      <c r="A2135" s="856">
        <v>40193</v>
      </c>
      <c r="B2135" s="125" t="str">
        <f>TiposLancamentos!B103</f>
        <v>Juros_Corr. Poupança</v>
      </c>
      <c r="C2135" s="139" t="s">
        <v>21764</v>
      </c>
      <c r="D2135" s="51">
        <v>21.96</v>
      </c>
      <c r="E2135" s="857"/>
    </row>
    <row r="2136" spans="1:5">
      <c r="A2136" s="856">
        <v>40193</v>
      </c>
      <c r="B2136" s="125" t="str">
        <f>TiposLancamentos!B103</f>
        <v>Juros_Corr. Poupança</v>
      </c>
      <c r="C2136" s="139" t="s">
        <v>21791</v>
      </c>
      <c r="D2136" s="51">
        <v>0.2</v>
      </c>
      <c r="E2136" s="857"/>
    </row>
    <row r="2137" spans="1:5">
      <c r="A2137" s="856">
        <v>40194</v>
      </c>
      <c r="B2137" s="125" t="str">
        <f>TiposLancamentos!B72</f>
        <v>Presentes</v>
      </c>
      <c r="C2137" s="139" t="s">
        <v>21792</v>
      </c>
      <c r="D2137" s="51"/>
      <c r="E2137" s="857">
        <v>66</v>
      </c>
    </row>
    <row r="2138" spans="1:5">
      <c r="A2138" s="856">
        <v>40194</v>
      </c>
      <c r="B2138" s="125" t="str">
        <f>TiposLancamentos!B16</f>
        <v>Cristiane</v>
      </c>
      <c r="C2138" s="139" t="s">
        <v>21793</v>
      </c>
      <c r="D2138" s="51"/>
      <c r="E2138" s="857">
        <v>239</v>
      </c>
    </row>
    <row r="2139" spans="1:5">
      <c r="A2139" s="856">
        <v>40195</v>
      </c>
      <c r="B2139" s="125" t="str">
        <f>TiposLancamentos!B22</f>
        <v>Combustivel</v>
      </c>
      <c r="C2139" s="139" t="s">
        <v>21794</v>
      </c>
      <c r="D2139" s="51"/>
      <c r="E2139" s="857">
        <v>80</v>
      </c>
    </row>
    <row r="2140" spans="1:5">
      <c r="A2140" s="856">
        <v>40195</v>
      </c>
      <c r="B2140" s="125" t="str">
        <f>TiposLancamentos!B5</f>
        <v>Supermercado</v>
      </c>
      <c r="C2140" s="139" t="s">
        <v>21795</v>
      </c>
      <c r="D2140" s="51"/>
      <c r="E2140" s="857">
        <v>24.88</v>
      </c>
    </row>
    <row r="2141" spans="1:5">
      <c r="A2141" s="856">
        <v>40195</v>
      </c>
      <c r="B2141" s="125" t="str">
        <f>TiposLancamentos!B19</f>
        <v>Restaurantes</v>
      </c>
      <c r="C2141" s="139" t="s">
        <v>5783</v>
      </c>
      <c r="D2141" s="51"/>
      <c r="E2141" s="857">
        <v>30</v>
      </c>
    </row>
    <row r="2142" spans="1:5">
      <c r="A2142" s="856">
        <v>40196</v>
      </c>
      <c r="B2142" s="125" t="str">
        <f>TiposLancamentos!B67</f>
        <v>Lavanderia</v>
      </c>
      <c r="C2142" s="139" t="s">
        <v>21796</v>
      </c>
      <c r="D2142" s="51"/>
      <c r="E2142" s="857">
        <v>100</v>
      </c>
    </row>
    <row r="2143" spans="1:5">
      <c r="A2143" s="856">
        <v>40198</v>
      </c>
      <c r="B2143" s="125" t="str">
        <f>TiposLancamentos!B57</f>
        <v>Informática</v>
      </c>
      <c r="C2143" s="139" t="s">
        <v>21797</v>
      </c>
      <c r="D2143" s="51"/>
      <c r="E2143" s="857">
        <v>25.98</v>
      </c>
    </row>
    <row r="2144" spans="1:5">
      <c r="A2144" s="856">
        <v>40198</v>
      </c>
      <c r="B2144" s="125" t="str">
        <f>TiposLancamentos!B19</f>
        <v>Restaurantes</v>
      </c>
      <c r="C2144" s="139" t="s">
        <v>3618</v>
      </c>
      <c r="D2144" s="51"/>
      <c r="E2144" s="857">
        <v>34.200000000000003</v>
      </c>
    </row>
    <row r="2145" spans="1:5">
      <c r="A2145" s="856">
        <v>40200</v>
      </c>
      <c r="B2145" s="125" t="str">
        <f>TiposLancamentos!B19</f>
        <v>Restaurantes</v>
      </c>
      <c r="C2145" s="139" t="s">
        <v>21798</v>
      </c>
      <c r="D2145" s="51"/>
      <c r="E2145" s="857">
        <v>40</v>
      </c>
    </row>
    <row r="2146" spans="1:5">
      <c r="A2146" s="856">
        <v>40201</v>
      </c>
      <c r="B2146" s="125" t="str">
        <f>TiposLancamentos!B19</f>
        <v>Restaurantes</v>
      </c>
      <c r="C2146" s="139" t="s">
        <v>21799</v>
      </c>
      <c r="D2146" s="51"/>
      <c r="E2146" s="857">
        <v>60.11</v>
      </c>
    </row>
    <row r="2147" spans="1:5">
      <c r="A2147" s="856">
        <v>40201</v>
      </c>
      <c r="B2147" s="125" t="str">
        <f>TiposLancamentos!B70</f>
        <v>Vestuário</v>
      </c>
      <c r="C2147" s="139" t="s">
        <v>21800</v>
      </c>
      <c r="D2147" s="51"/>
      <c r="E2147" s="857">
        <v>51.8</v>
      </c>
    </row>
    <row r="2148" spans="1:5">
      <c r="A2148" s="856">
        <v>40202</v>
      </c>
      <c r="B2148" s="125" t="str">
        <f>TiposLancamentos!B17</f>
        <v>GATO</v>
      </c>
      <c r="C2148" s="139" t="s">
        <v>21801</v>
      </c>
      <c r="D2148" s="51"/>
      <c r="E2148" s="857">
        <v>113.9</v>
      </c>
    </row>
    <row r="2149" spans="1:5">
      <c r="A2149" s="856">
        <v>40202</v>
      </c>
      <c r="B2149" s="125" t="str">
        <f>TiposLancamentos!B70</f>
        <v>Vestuário</v>
      </c>
      <c r="C2149" s="139" t="s">
        <v>16473</v>
      </c>
      <c r="D2149" s="51"/>
      <c r="E2149" s="857">
        <v>269.8</v>
      </c>
    </row>
    <row r="2150" spans="1:5">
      <c r="A2150" s="856">
        <v>40202</v>
      </c>
      <c r="B2150" s="125" t="str">
        <f>TiposLancamentos!B19</f>
        <v>Restaurantes</v>
      </c>
      <c r="C2150" s="139" t="s">
        <v>21802</v>
      </c>
      <c r="D2150" s="51"/>
      <c r="E2150" s="857">
        <v>94.93</v>
      </c>
    </row>
    <row r="2151" spans="1:5">
      <c r="A2151" s="856">
        <v>40202</v>
      </c>
      <c r="B2151" s="125" t="str">
        <f>TiposLancamentos!B24</f>
        <v>Estacionamentos</v>
      </c>
      <c r="C2151" s="139" t="s">
        <v>4031</v>
      </c>
      <c r="D2151" s="51"/>
      <c r="E2151" s="857">
        <v>15</v>
      </c>
    </row>
    <row r="2152" spans="1:5">
      <c r="A2152" s="856">
        <v>40200</v>
      </c>
      <c r="B2152" s="125" t="str">
        <f>TiposLancamentos!B19</f>
        <v>Restaurantes</v>
      </c>
      <c r="C2152" s="139" t="s">
        <v>21803</v>
      </c>
      <c r="D2152" s="51"/>
      <c r="E2152" s="857">
        <v>22</v>
      </c>
    </row>
    <row r="2153" spans="1:5">
      <c r="A2153" s="856">
        <v>40204</v>
      </c>
      <c r="B2153" s="125" t="str">
        <f>TiposLancamentos!B31</f>
        <v>Action Figures</v>
      </c>
      <c r="C2153" s="139" t="s">
        <v>21804</v>
      </c>
      <c r="D2153" s="51"/>
      <c r="E2153" s="857">
        <v>149</v>
      </c>
    </row>
    <row r="2154" spans="1:5">
      <c r="A2154" s="856">
        <v>40204</v>
      </c>
      <c r="B2154" s="125" t="str">
        <f>TiposLancamentos!B19</f>
        <v>Restaurantes</v>
      </c>
      <c r="C2154" s="139" t="s">
        <v>21805</v>
      </c>
      <c r="D2154" s="51"/>
      <c r="E2154" s="857">
        <v>12.25</v>
      </c>
    </row>
    <row r="2155" spans="1:5">
      <c r="A2155" s="856">
        <v>40204</v>
      </c>
      <c r="B2155" s="125" t="str">
        <f>TiposLancamentos!B56</f>
        <v>Farmácia</v>
      </c>
      <c r="C2155" s="139" t="s">
        <v>21806</v>
      </c>
      <c r="D2155" s="51"/>
      <c r="E2155" s="857">
        <v>49.28</v>
      </c>
    </row>
    <row r="2156" spans="1:5">
      <c r="A2156" s="856">
        <v>40205</v>
      </c>
      <c r="B2156" s="125" t="str">
        <f>TiposLancamentos!B19</f>
        <v>Restaurantes</v>
      </c>
      <c r="C2156" s="139" t="s">
        <v>21805</v>
      </c>
      <c r="D2156" s="51"/>
      <c r="E2156" s="857">
        <v>10.39</v>
      </c>
    </row>
    <row r="2157" spans="1:5">
      <c r="A2157" s="856">
        <v>40205</v>
      </c>
      <c r="B2157" s="125" t="str">
        <f>TiposLancamentos!B50</f>
        <v>Guitarra</v>
      </c>
      <c r="C2157" s="139" t="s">
        <v>21807</v>
      </c>
      <c r="D2157" s="51"/>
      <c r="E2157" s="857">
        <v>47</v>
      </c>
    </row>
    <row r="2158" spans="1:5">
      <c r="A2158" s="856">
        <v>40205</v>
      </c>
      <c r="B2158" s="125" t="str">
        <f>TiposLancamentos!B20</f>
        <v>Saques</v>
      </c>
      <c r="C2158" s="139" t="s">
        <v>21808</v>
      </c>
      <c r="D2158" s="51"/>
      <c r="E2158" s="857">
        <v>90</v>
      </c>
    </row>
    <row r="2159" spans="1:5">
      <c r="A2159" s="856">
        <v>40205</v>
      </c>
      <c r="B2159" s="125" t="str">
        <f>TiposLancamentos!B22</f>
        <v>Combustivel</v>
      </c>
      <c r="C2159" s="139" t="s">
        <v>21809</v>
      </c>
      <c r="D2159" s="51"/>
      <c r="E2159" s="857">
        <v>111</v>
      </c>
    </row>
    <row r="2160" spans="1:5">
      <c r="A2160" s="856">
        <v>40206</v>
      </c>
      <c r="B2160" s="125" t="str">
        <f>TiposLancamentos!B6</f>
        <v>Energia Eletrica</v>
      </c>
      <c r="C2160" s="139" t="s">
        <v>5191</v>
      </c>
      <c r="D2160" s="51"/>
      <c r="E2160" s="857">
        <v>128.65</v>
      </c>
    </row>
    <row r="2161" spans="1:6">
      <c r="A2161" s="856">
        <v>40206</v>
      </c>
      <c r="B2161" s="125" t="str">
        <f>TiposLancamentos!B2</f>
        <v>Telefonia</v>
      </c>
      <c r="C2161" s="139" t="s">
        <v>21810</v>
      </c>
      <c r="D2161" s="51"/>
      <c r="E2161" s="857">
        <v>17.48</v>
      </c>
    </row>
    <row r="2162" spans="1:6">
      <c r="A2162" s="856">
        <v>40206</v>
      </c>
      <c r="B2162" s="125" t="str">
        <f>TiposLancamentos!B59</f>
        <v>Documentos</v>
      </c>
      <c r="C2162" s="139" t="s">
        <v>21811</v>
      </c>
      <c r="D2162" s="51"/>
      <c r="E2162" s="857">
        <v>219.5</v>
      </c>
    </row>
    <row r="2163" spans="1:6">
      <c r="A2163" s="856">
        <v>40206</v>
      </c>
      <c r="B2163" s="125" t="str">
        <f>TiposLancamentos!B97</f>
        <v>Deposito Terc.</v>
      </c>
      <c r="C2163" s="139" t="s">
        <v>21812</v>
      </c>
      <c r="D2163" s="51">
        <v>155</v>
      </c>
      <c r="E2163" s="857"/>
    </row>
    <row r="2164" spans="1:6">
      <c r="A2164" s="856">
        <v>40207</v>
      </c>
      <c r="B2164" s="125" t="str">
        <f>TiposLancamentos!B19</f>
        <v>Restaurantes</v>
      </c>
      <c r="C2164" s="139" t="s">
        <v>21813</v>
      </c>
      <c r="D2164" s="51"/>
      <c r="E2164" s="857">
        <v>15.45</v>
      </c>
    </row>
    <row r="2165" spans="1:6">
      <c r="A2165" s="856">
        <v>40207</v>
      </c>
      <c r="B2165" s="125" t="str">
        <f>TiposLancamentos!B95</f>
        <v>Salarios</v>
      </c>
      <c r="C2165" s="126" t="s">
        <v>4939</v>
      </c>
      <c r="D2165" s="51">
        <v>5803.64</v>
      </c>
      <c r="E2165" s="857"/>
    </row>
    <row r="2166" spans="1:6">
      <c r="A2166" s="856">
        <v>40207</v>
      </c>
      <c r="B2166" s="125" t="str">
        <f>TiposLancamentos!B20</f>
        <v>Saques</v>
      </c>
      <c r="C2166" s="139" t="s">
        <v>21814</v>
      </c>
      <c r="D2166" s="51"/>
      <c r="E2166" s="857">
        <v>190</v>
      </c>
    </row>
    <row r="2167" spans="1:6">
      <c r="A2167" s="856">
        <v>40209</v>
      </c>
      <c r="B2167" s="125" t="str">
        <f>TiposLancamentos!B5</f>
        <v>Supermercado</v>
      </c>
      <c r="C2167" s="139" t="s">
        <v>21815</v>
      </c>
      <c r="D2167" s="51"/>
      <c r="E2167" s="857">
        <v>70.36</v>
      </c>
    </row>
    <row r="2168" spans="1:6" ht="14.25" thickBot="1">
      <c r="A2168" s="856">
        <v>40209</v>
      </c>
      <c r="B2168" s="125" t="str">
        <f>TiposLancamentos!B19</f>
        <v>Restaurantes</v>
      </c>
      <c r="C2168" s="139" t="s">
        <v>21816</v>
      </c>
      <c r="D2168" s="51"/>
      <c r="E2168" s="857">
        <v>18.170000000000002</v>
      </c>
    </row>
    <row r="2169" spans="1:6" ht="14.25" thickBot="1">
      <c r="A2169" s="998"/>
      <c r="B2169" s="989"/>
      <c r="C2169" s="990" t="s">
        <v>5778</v>
      </c>
      <c r="D2169" s="991"/>
      <c r="E2169" s="999"/>
    </row>
    <row r="2170" spans="1:6">
      <c r="A2170" s="856">
        <v>40210</v>
      </c>
      <c r="B2170" s="125" t="str">
        <f>TiposLancamentos!B15</f>
        <v>Cartões de Crédito</v>
      </c>
      <c r="C2170" s="139" t="s">
        <v>5557</v>
      </c>
      <c r="D2170" s="51"/>
      <c r="E2170" s="857">
        <v>1397.68</v>
      </c>
    </row>
    <row r="2171" spans="1:6">
      <c r="A2171" s="856">
        <v>40210</v>
      </c>
      <c r="B2171" s="125" t="str">
        <f>TiposLancamentos!B15</f>
        <v>Cartões de Crédito</v>
      </c>
      <c r="C2171" s="139" t="s">
        <v>5700</v>
      </c>
      <c r="D2171" s="51"/>
      <c r="E2171" s="857">
        <v>202.7</v>
      </c>
    </row>
    <row r="2172" spans="1:6">
      <c r="A2172" s="856">
        <v>40210</v>
      </c>
      <c r="B2172" s="125" t="str">
        <f>TiposLancamentos!B15</f>
        <v>Cartões de Crédito</v>
      </c>
      <c r="C2172" s="139" t="s">
        <v>5924</v>
      </c>
      <c r="D2172" s="51"/>
      <c r="E2172" s="857">
        <v>2003.3</v>
      </c>
    </row>
    <row r="2173" spans="1:6">
      <c r="A2173" s="856">
        <v>40210</v>
      </c>
      <c r="B2173" s="125" t="str">
        <f>TiposLancamentos!B15</f>
        <v>Cartões de Crédito</v>
      </c>
      <c r="C2173" s="139" t="s">
        <v>5558</v>
      </c>
      <c r="D2173" s="51"/>
      <c r="E2173" s="857">
        <v>1303.6199999999999</v>
      </c>
    </row>
    <row r="2174" spans="1:6">
      <c r="A2174" s="856">
        <v>40210</v>
      </c>
      <c r="B2174" s="125" t="str">
        <f>TiposLancamentos!B9</f>
        <v>Condominio</v>
      </c>
      <c r="C2174" s="139" t="s">
        <v>21817</v>
      </c>
      <c r="D2174" s="51"/>
      <c r="E2174" s="857">
        <v>746.73</v>
      </c>
    </row>
    <row r="2175" spans="1:6">
      <c r="A2175" s="858">
        <v>40210</v>
      </c>
      <c r="B2175" s="817" t="str">
        <f>TiposLancamentos!B8</f>
        <v>Aluguel</v>
      </c>
      <c r="C2175" s="808" t="s">
        <v>21818</v>
      </c>
      <c r="D2175" s="809"/>
      <c r="E2175" s="959">
        <f>1807.21-E2176</f>
        <v>1058.01</v>
      </c>
    </row>
    <row r="2176" spans="1:6">
      <c r="A2176" s="862">
        <v>40210</v>
      </c>
      <c r="B2176" s="818" t="str">
        <f>TiposLancamentos!B12</f>
        <v>IPTU</v>
      </c>
      <c r="C2176" s="812" t="s">
        <v>21819</v>
      </c>
      <c r="D2176" s="813"/>
      <c r="E2176" s="960">
        <v>749.2</v>
      </c>
      <c r="F2176" s="36">
        <f>SUM(E2175:E2176)</f>
        <v>1807.21</v>
      </c>
    </row>
    <row r="2177" spans="1:6">
      <c r="A2177" s="856">
        <v>40210</v>
      </c>
      <c r="B2177" s="125" t="str">
        <f>TiposLancamentos!B56</f>
        <v>Farmácia</v>
      </c>
      <c r="C2177" s="139" t="s">
        <v>21820</v>
      </c>
      <c r="D2177" s="51"/>
      <c r="E2177" s="857">
        <v>16.78</v>
      </c>
    </row>
    <row r="2178" spans="1:6">
      <c r="A2178" s="858">
        <v>40211</v>
      </c>
      <c r="B2178" s="817" t="str">
        <f>TiposLancamentos!B35</f>
        <v>Tv à Cabo</v>
      </c>
      <c r="C2178" s="808" t="s">
        <v>21732</v>
      </c>
      <c r="D2178" s="809"/>
      <c r="E2178" s="959">
        <v>168.8</v>
      </c>
    </row>
    <row r="2179" spans="1:6">
      <c r="A2179" s="860">
        <v>40211</v>
      </c>
      <c r="B2179" s="816" t="str">
        <f>TiposLancamentos!B3</f>
        <v>Internet</v>
      </c>
      <c r="C2179" s="141" t="s">
        <v>5835</v>
      </c>
      <c r="D2179" s="127"/>
      <c r="E2179" s="953">
        <v>86</v>
      </c>
    </row>
    <row r="2180" spans="1:6">
      <c r="A2180" s="862">
        <v>40211</v>
      </c>
      <c r="B2180" s="818" t="str">
        <f>TiposLancamentos!B2</f>
        <v>Telefonia</v>
      </c>
      <c r="C2180" s="812" t="s">
        <v>21733</v>
      </c>
      <c r="D2180" s="813"/>
      <c r="E2180" s="960">
        <v>23.87</v>
      </c>
      <c r="F2180" s="36">
        <f>SUM(E2178:E2180)</f>
        <v>278.67</v>
      </c>
    </row>
    <row r="2181" spans="1:6">
      <c r="A2181" s="856">
        <v>40211</v>
      </c>
      <c r="B2181" s="125" t="str">
        <f>TiposLancamentos!B19</f>
        <v>Restaurantes</v>
      </c>
      <c r="C2181" s="139" t="s">
        <v>21821</v>
      </c>
      <c r="D2181" s="51"/>
      <c r="E2181" s="857">
        <v>22</v>
      </c>
    </row>
    <row r="2182" spans="1:6">
      <c r="A2182" s="856">
        <v>40212</v>
      </c>
      <c r="B2182" s="125" t="str">
        <f>TiposLancamentos!B19</f>
        <v>Restaurantes</v>
      </c>
      <c r="C2182" s="139" t="s">
        <v>21822</v>
      </c>
      <c r="D2182" s="51"/>
      <c r="E2182" s="857">
        <v>13.09</v>
      </c>
    </row>
    <row r="2183" spans="1:6">
      <c r="A2183" s="856">
        <v>40213</v>
      </c>
      <c r="B2183" s="125" t="str">
        <f>TiposLancamentos!B19</f>
        <v>Restaurantes</v>
      </c>
      <c r="C2183" s="139" t="s">
        <v>21823</v>
      </c>
      <c r="D2183" s="51"/>
      <c r="E2183" s="857">
        <v>31.3</v>
      </c>
    </row>
    <row r="2184" spans="1:6">
      <c r="A2184" s="856">
        <v>40214</v>
      </c>
      <c r="B2184" s="125" t="str">
        <f>TiposLancamentos!B98</f>
        <v>Restituições</v>
      </c>
      <c r="C2184" s="139" t="s">
        <v>21824</v>
      </c>
      <c r="D2184" s="51">
        <v>145</v>
      </c>
      <c r="E2184" s="857"/>
    </row>
    <row r="2185" spans="1:6">
      <c r="A2185" s="856">
        <v>40215</v>
      </c>
      <c r="B2185" s="125" t="str">
        <f>TiposLancamentos!B19</f>
        <v>Restaurantes</v>
      </c>
      <c r="C2185" s="139" t="s">
        <v>21821</v>
      </c>
      <c r="D2185" s="51"/>
      <c r="E2185" s="857">
        <v>20.72</v>
      </c>
    </row>
    <row r="2186" spans="1:6">
      <c r="A2186" s="856">
        <v>40216</v>
      </c>
      <c r="B2186" s="125" t="str">
        <f>TiposLancamentos!B19</f>
        <v>Restaurantes</v>
      </c>
      <c r="C2186" s="139" t="s">
        <v>21821</v>
      </c>
      <c r="D2186" s="51"/>
      <c r="E2186" s="857">
        <v>32.479999999999997</v>
      </c>
    </row>
    <row r="2187" spans="1:6">
      <c r="A2187" s="856">
        <v>40216</v>
      </c>
      <c r="B2187" s="125" t="str">
        <f>TiposLancamentos!B72</f>
        <v>Presentes</v>
      </c>
      <c r="C2187" s="139" t="s">
        <v>21825</v>
      </c>
      <c r="D2187" s="51"/>
      <c r="E2187" s="857">
        <v>10</v>
      </c>
    </row>
    <row r="2188" spans="1:6">
      <c r="A2188" s="856">
        <v>40217</v>
      </c>
      <c r="B2188" s="125" t="str">
        <f>TiposLancamentos!B67</f>
        <v>Lavanderia</v>
      </c>
      <c r="C2188" s="139" t="s">
        <v>21826</v>
      </c>
      <c r="D2188" s="51"/>
      <c r="E2188" s="857">
        <v>30</v>
      </c>
    </row>
    <row r="2189" spans="1:6">
      <c r="A2189" s="856">
        <v>40219</v>
      </c>
      <c r="B2189" s="125" t="str">
        <f>TiposLancamentos!B69</f>
        <v>Consertos</v>
      </c>
      <c r="C2189" s="139" t="s">
        <v>21827</v>
      </c>
      <c r="D2189" s="51"/>
      <c r="E2189" s="857">
        <v>300</v>
      </c>
    </row>
    <row r="2190" spans="1:6">
      <c r="A2190" s="856">
        <v>40221</v>
      </c>
      <c r="B2190" s="125" t="str">
        <f>TiposLancamentos!B95</f>
        <v>Salarios</v>
      </c>
      <c r="C2190" s="139" t="s">
        <v>4916</v>
      </c>
      <c r="D2190" s="51">
        <v>1890.28</v>
      </c>
      <c r="E2190" s="857"/>
    </row>
    <row r="2191" spans="1:6">
      <c r="A2191" s="856">
        <v>40221</v>
      </c>
      <c r="B2191" s="125" t="str">
        <f>TiposLancamentos!B95</f>
        <v>Salarios</v>
      </c>
      <c r="C2191" s="126" t="s">
        <v>5435</v>
      </c>
      <c r="D2191" s="51">
        <v>2700.4</v>
      </c>
      <c r="E2191" s="857"/>
    </row>
    <row r="2192" spans="1:6">
      <c r="A2192" s="856">
        <v>40221</v>
      </c>
      <c r="B2192" s="125" t="str">
        <f>TiposLancamentos!B86</f>
        <v>Peugeout 207</v>
      </c>
      <c r="C2192" s="139" t="s">
        <v>21828</v>
      </c>
      <c r="D2192" s="51"/>
      <c r="E2192" s="857">
        <v>700.69</v>
      </c>
    </row>
    <row r="2193" spans="1:5">
      <c r="A2193" s="856">
        <v>40221</v>
      </c>
      <c r="B2193" s="125" t="str">
        <f>TiposLancamentos!B52</f>
        <v>Multas</v>
      </c>
      <c r="C2193" s="139" t="s">
        <v>21829</v>
      </c>
      <c r="D2193" s="51"/>
      <c r="E2193" s="857">
        <v>68.099999999999994</v>
      </c>
    </row>
    <row r="2194" spans="1:5">
      <c r="A2194" s="856">
        <v>40221</v>
      </c>
      <c r="B2194" s="125" t="str">
        <f>TiposLancamentos!B20</f>
        <v>Saques</v>
      </c>
      <c r="C2194" s="139" t="s">
        <v>3406</v>
      </c>
      <c r="D2194" s="51"/>
      <c r="E2194" s="857">
        <v>80</v>
      </c>
    </row>
    <row r="2195" spans="1:5">
      <c r="A2195" s="856">
        <v>40222</v>
      </c>
      <c r="B2195" s="125" t="str">
        <f>TiposLancamentos!B19</f>
        <v>Restaurantes</v>
      </c>
      <c r="C2195" s="139" t="s">
        <v>21830</v>
      </c>
      <c r="D2195" s="51"/>
      <c r="E2195" s="857">
        <v>16.600000000000001</v>
      </c>
    </row>
    <row r="2196" spans="1:5">
      <c r="A2196" s="856">
        <v>40222</v>
      </c>
      <c r="B2196" s="125" t="str">
        <f>TiposLancamentos!B19</f>
        <v>Restaurantes</v>
      </c>
      <c r="C2196" s="139" t="s">
        <v>21831</v>
      </c>
      <c r="D2196" s="51"/>
      <c r="E2196" s="857">
        <v>76.23</v>
      </c>
    </row>
    <row r="2197" spans="1:5">
      <c r="A2197" s="856">
        <v>40222</v>
      </c>
      <c r="B2197" s="125" t="str">
        <f>TiposLancamentos!B31</f>
        <v>Action Figures</v>
      </c>
      <c r="C2197" s="139" t="s">
        <v>21832</v>
      </c>
      <c r="D2197" s="51"/>
      <c r="E2197" s="857">
        <v>340</v>
      </c>
    </row>
    <row r="2198" spans="1:5">
      <c r="A2198" s="856">
        <v>40222</v>
      </c>
      <c r="B2198" s="125" t="str">
        <f>TiposLancamentos!B16</f>
        <v>Cristiane</v>
      </c>
      <c r="C2198" s="139" t="s">
        <v>9840</v>
      </c>
      <c r="D2198" s="51"/>
      <c r="E2198" s="857">
        <v>79.900000000000006</v>
      </c>
    </row>
    <row r="2199" spans="1:5">
      <c r="A2199" s="856">
        <v>40222</v>
      </c>
      <c r="B2199" s="125" t="str">
        <f>TiposLancamentos!B56</f>
        <v>Farmácia</v>
      </c>
      <c r="C2199" s="139" t="s">
        <v>5734</v>
      </c>
      <c r="D2199" s="51"/>
      <c r="E2199" s="857">
        <v>27.97</v>
      </c>
    </row>
    <row r="2200" spans="1:5">
      <c r="A2200" s="856">
        <v>40222</v>
      </c>
      <c r="B2200" s="125" t="str">
        <f>TiposLancamentos!B19</f>
        <v>Restaurantes</v>
      </c>
      <c r="C2200" s="139" t="s">
        <v>3022</v>
      </c>
      <c r="D2200" s="51"/>
      <c r="E2200" s="857">
        <v>12.5</v>
      </c>
    </row>
    <row r="2201" spans="1:5">
      <c r="A2201" s="856">
        <v>40222</v>
      </c>
      <c r="B2201" s="125" t="str">
        <f>TiposLancamentos!B5</f>
        <v>Supermercado</v>
      </c>
      <c r="C2201" s="139" t="s">
        <v>21833</v>
      </c>
      <c r="D2201" s="51"/>
      <c r="E2201" s="857">
        <v>79.7</v>
      </c>
    </row>
    <row r="2202" spans="1:5">
      <c r="A2202" s="856">
        <v>40224</v>
      </c>
      <c r="B2202" s="125" t="str">
        <f>TiposLancamentos!B71</f>
        <v>Itens Pessoais</v>
      </c>
      <c r="C2202" s="139" t="s">
        <v>21834</v>
      </c>
      <c r="D2202" s="51"/>
      <c r="E2202" s="857">
        <v>18</v>
      </c>
    </row>
    <row r="2203" spans="1:5">
      <c r="A2203" s="856">
        <v>40224</v>
      </c>
      <c r="B2203" s="125" t="str">
        <f>TiposLancamentos!B22</f>
        <v>Combustivel</v>
      </c>
      <c r="C2203" s="139" t="s">
        <v>21835</v>
      </c>
      <c r="D2203" s="51"/>
      <c r="E2203" s="857">
        <v>115</v>
      </c>
    </row>
    <row r="2204" spans="1:5">
      <c r="A2204" s="856">
        <v>40224</v>
      </c>
      <c r="B2204" s="125" t="str">
        <f>TiposLancamentos!B13</f>
        <v>Moradia</v>
      </c>
      <c r="C2204" s="139" t="s">
        <v>21836</v>
      </c>
      <c r="D2204" s="51"/>
      <c r="E2204" s="857">
        <v>35.81</v>
      </c>
    </row>
    <row r="2205" spans="1:5">
      <c r="A2205" s="856">
        <v>40224</v>
      </c>
      <c r="B2205" s="125" t="str">
        <f>TiposLancamentos!B5</f>
        <v>Supermercado</v>
      </c>
      <c r="C2205" s="139" t="s">
        <v>21837</v>
      </c>
      <c r="D2205" s="51"/>
      <c r="E2205" s="857">
        <v>68.8</v>
      </c>
    </row>
    <row r="2206" spans="1:5">
      <c r="A2206" s="856">
        <v>40224</v>
      </c>
      <c r="B2206" s="125" t="str">
        <f>TiposLancamentos!B103</f>
        <v>Juros_Corr. Poupança</v>
      </c>
      <c r="C2206" s="139" t="s">
        <v>20569</v>
      </c>
      <c r="D2206" s="51">
        <v>0.37</v>
      </c>
      <c r="E2206" s="857"/>
    </row>
    <row r="2207" spans="1:5">
      <c r="A2207" s="856">
        <v>40226</v>
      </c>
      <c r="B2207" s="125" t="str">
        <f>TiposLancamentos!B24</f>
        <v>Estacionamentos</v>
      </c>
      <c r="C2207" s="139" t="s">
        <v>5392</v>
      </c>
      <c r="D2207" s="51"/>
      <c r="E2207" s="857">
        <v>40.4</v>
      </c>
    </row>
    <row r="2208" spans="1:5">
      <c r="A2208" s="856">
        <v>40227</v>
      </c>
      <c r="B2208" s="125" t="str">
        <f>TiposLancamentos!B19</f>
        <v>Restaurantes</v>
      </c>
      <c r="C2208" s="139" t="s">
        <v>21477</v>
      </c>
      <c r="D2208" s="51"/>
      <c r="E2208" s="857">
        <v>21.21</v>
      </c>
    </row>
    <row r="2209" spans="1:5">
      <c r="A2209" s="856">
        <v>40227</v>
      </c>
      <c r="B2209" s="125" t="str">
        <f>TiposLancamentos!B19</f>
        <v>Restaurantes</v>
      </c>
      <c r="C2209" s="139" t="s">
        <v>3997</v>
      </c>
      <c r="D2209" s="51"/>
      <c r="E2209" s="857">
        <v>10.3</v>
      </c>
    </row>
    <row r="2210" spans="1:5">
      <c r="A2210" s="856">
        <v>40227</v>
      </c>
      <c r="B2210" s="125" t="str">
        <f>TiposLancamentos!B31</f>
        <v>Action Figures</v>
      </c>
      <c r="C2210" s="139" t="s">
        <v>21838</v>
      </c>
      <c r="D2210" s="51"/>
      <c r="E2210" s="857">
        <v>31.3</v>
      </c>
    </row>
    <row r="2211" spans="1:5">
      <c r="A2211" s="856">
        <v>40228</v>
      </c>
      <c r="B2211" s="125" t="str">
        <f>TiposLancamentos!B5</f>
        <v>Supermercado</v>
      </c>
      <c r="C2211" s="139" t="s">
        <v>5774</v>
      </c>
      <c r="D2211" s="51"/>
      <c r="E2211" s="857">
        <v>49.12</v>
      </c>
    </row>
    <row r="2212" spans="1:5">
      <c r="A2212" s="856">
        <v>40228</v>
      </c>
      <c r="B2212" s="125" t="str">
        <f>TiposLancamentos!B102</f>
        <v>ESTORNO</v>
      </c>
      <c r="C2212" s="139" t="s">
        <v>21839</v>
      </c>
      <c r="D2212" s="51">
        <v>11.66</v>
      </c>
      <c r="E2212" s="857"/>
    </row>
    <row r="2213" spans="1:5">
      <c r="A2213" s="856">
        <v>40228</v>
      </c>
      <c r="B2213" s="125" t="str">
        <f>TiposLancamentos!B102</f>
        <v>ESTORNO</v>
      </c>
      <c r="C2213" s="139" t="s">
        <v>21839</v>
      </c>
      <c r="D2213" s="51">
        <v>11.66</v>
      </c>
      <c r="E2213" s="857"/>
    </row>
    <row r="2214" spans="1:5">
      <c r="A2214" s="856">
        <v>40229</v>
      </c>
      <c r="B2214" s="125" t="str">
        <f>TiposLancamentos!B19</f>
        <v>Restaurantes</v>
      </c>
      <c r="C2214" s="139" t="s">
        <v>21840</v>
      </c>
      <c r="D2214" s="51"/>
      <c r="E2214" s="857">
        <v>21.3</v>
      </c>
    </row>
    <row r="2215" spans="1:5">
      <c r="A2215" s="856">
        <v>40229</v>
      </c>
      <c r="B2215" s="125" t="str">
        <f>TiposLancamentos!B20</f>
        <v>Saques</v>
      </c>
      <c r="C2215" s="139" t="s">
        <v>3403</v>
      </c>
      <c r="D2215" s="51"/>
      <c r="E2215" s="857">
        <v>1000</v>
      </c>
    </row>
    <row r="2216" spans="1:5">
      <c r="A2216" s="856">
        <v>40229</v>
      </c>
      <c r="B2216" s="125" t="str">
        <f>TiposLancamentos!B16</f>
        <v>Cristiane</v>
      </c>
      <c r="C2216" s="139" t="s">
        <v>21841</v>
      </c>
      <c r="D2216" s="51"/>
      <c r="E2216" s="857">
        <v>550</v>
      </c>
    </row>
    <row r="2217" spans="1:5">
      <c r="A2217" s="856">
        <v>40230</v>
      </c>
      <c r="B2217" s="125" t="str">
        <f>TiposLancamentos!B5</f>
        <v>Supermercado</v>
      </c>
      <c r="C2217" s="139" t="s">
        <v>21842</v>
      </c>
      <c r="D2217" s="51"/>
      <c r="E2217" s="857">
        <v>34.380000000000003</v>
      </c>
    </row>
    <row r="2218" spans="1:5">
      <c r="A2218" s="856">
        <v>40230</v>
      </c>
      <c r="B2218" s="125" t="str">
        <f>TiposLancamentos!B13</f>
        <v>Moradia</v>
      </c>
      <c r="C2218" s="139" t="s">
        <v>21843</v>
      </c>
      <c r="D2218" s="51"/>
      <c r="E2218" s="857">
        <v>11.5</v>
      </c>
    </row>
    <row r="2219" spans="1:5">
      <c r="A2219" s="856">
        <v>40231</v>
      </c>
      <c r="B2219" s="125" t="str">
        <f>TiposLancamentos!B9</f>
        <v>Condominio</v>
      </c>
      <c r="C2219" s="139" t="s">
        <v>21844</v>
      </c>
      <c r="D2219" s="51"/>
      <c r="E2219" s="857">
        <v>100</v>
      </c>
    </row>
    <row r="2220" spans="1:5">
      <c r="A2220" s="856">
        <v>40231</v>
      </c>
      <c r="B2220" s="125" t="str">
        <f>TiposLancamentos!B19</f>
        <v>Restaurantes</v>
      </c>
      <c r="C2220" s="139" t="s">
        <v>3287</v>
      </c>
      <c r="D2220" s="51"/>
      <c r="E2220" s="857">
        <v>15.46</v>
      </c>
    </row>
    <row r="2221" spans="1:5">
      <c r="A2221" s="856">
        <v>40231</v>
      </c>
      <c r="B2221" s="125" t="str">
        <f>TiposLancamentos!B16</f>
        <v>Cristiane</v>
      </c>
      <c r="C2221" s="139" t="s">
        <v>21054</v>
      </c>
      <c r="D2221" s="51"/>
      <c r="E2221" s="857">
        <v>70.5</v>
      </c>
    </row>
    <row r="2222" spans="1:5">
      <c r="A2222" s="856">
        <v>40232</v>
      </c>
      <c r="B2222" s="125" t="str">
        <f>TiposLancamentos!B19</f>
        <v>Restaurantes</v>
      </c>
      <c r="C2222" s="139" t="s">
        <v>21845</v>
      </c>
      <c r="D2222" s="51"/>
      <c r="E2222" s="857">
        <v>16</v>
      </c>
    </row>
    <row r="2223" spans="1:5">
      <c r="A2223" s="856">
        <v>40232</v>
      </c>
      <c r="B2223" s="125" t="str">
        <f>TiposLancamentos!B19</f>
        <v>Restaurantes</v>
      </c>
      <c r="C2223" s="139" t="s">
        <v>21821</v>
      </c>
      <c r="D2223" s="51"/>
      <c r="E2223" s="857">
        <v>21.16</v>
      </c>
    </row>
    <row r="2224" spans="1:5">
      <c r="A2224" s="856">
        <v>40233</v>
      </c>
      <c r="B2224" s="125" t="str">
        <f>TiposLancamentos!B19</f>
        <v>Restaurantes</v>
      </c>
      <c r="C2224" s="139" t="s">
        <v>21846</v>
      </c>
      <c r="D2224" s="51"/>
      <c r="E2224" s="857">
        <v>10.3</v>
      </c>
    </row>
    <row r="2225" spans="1:5">
      <c r="A2225" s="856">
        <v>40233</v>
      </c>
      <c r="B2225" s="125" t="str">
        <f>TiposLancamentos!B19</f>
        <v>Restaurantes</v>
      </c>
      <c r="C2225" s="139" t="s">
        <v>6079</v>
      </c>
      <c r="D2225" s="51"/>
      <c r="E2225" s="857">
        <v>13.1</v>
      </c>
    </row>
    <row r="2226" spans="1:5">
      <c r="A2226" s="856">
        <v>40233</v>
      </c>
      <c r="B2226" s="125" t="str">
        <f>TiposLancamentos!B57</f>
        <v>Informática</v>
      </c>
      <c r="C2226" s="139" t="s">
        <v>21847</v>
      </c>
      <c r="D2226" s="51"/>
      <c r="E2226" s="857">
        <v>35.25</v>
      </c>
    </row>
    <row r="2227" spans="1:5">
      <c r="A2227" s="856">
        <v>40233</v>
      </c>
      <c r="B2227" s="125" t="str">
        <f>TiposLancamentos!B19</f>
        <v>Restaurantes</v>
      </c>
      <c r="C2227" s="139" t="s">
        <v>21848</v>
      </c>
      <c r="D2227" s="51"/>
      <c r="E2227" s="857">
        <v>33.5</v>
      </c>
    </row>
    <row r="2228" spans="1:5">
      <c r="A2228" s="856">
        <v>40233</v>
      </c>
      <c r="B2228" s="125" t="str">
        <f>TiposLancamentos!B5</f>
        <v>Supermercado</v>
      </c>
      <c r="C2228" s="139" t="s">
        <v>3902</v>
      </c>
      <c r="D2228" s="51"/>
      <c r="E2228" s="857">
        <v>47.28</v>
      </c>
    </row>
    <row r="2229" spans="1:5">
      <c r="A2229" s="856">
        <v>40234</v>
      </c>
      <c r="B2229" s="125" t="str">
        <f>TiposLancamentos!B19</f>
        <v>Restaurantes</v>
      </c>
      <c r="C2229" s="139" t="s">
        <v>21849</v>
      </c>
      <c r="D2229" s="51"/>
      <c r="E2229" s="857">
        <v>17.21</v>
      </c>
    </row>
    <row r="2230" spans="1:5">
      <c r="A2230" s="856">
        <v>40234</v>
      </c>
      <c r="B2230" s="125" t="str">
        <f>TiposLancamentos!B20</f>
        <v>Saques</v>
      </c>
      <c r="C2230" s="139" t="s">
        <v>1706</v>
      </c>
      <c r="D2230" s="51"/>
      <c r="E2230" s="857">
        <v>10</v>
      </c>
    </row>
    <row r="2231" spans="1:5">
      <c r="A2231" s="856">
        <v>40234</v>
      </c>
      <c r="B2231" s="125" t="str">
        <f>TiposLancamentos!B13</f>
        <v>Moradia</v>
      </c>
      <c r="C2231" s="139" t="s">
        <v>21850</v>
      </c>
      <c r="D2231" s="51"/>
      <c r="E2231" s="857">
        <v>6.9</v>
      </c>
    </row>
    <row r="2232" spans="1:5">
      <c r="A2232" s="856">
        <v>40234</v>
      </c>
      <c r="B2232" s="125" t="str">
        <f>TiposLancamentos!B16</f>
        <v>Cristiane</v>
      </c>
      <c r="C2232" s="139" t="s">
        <v>21851</v>
      </c>
      <c r="D2232" s="51"/>
      <c r="E2232" s="857">
        <v>70</v>
      </c>
    </row>
    <row r="2233" spans="1:5">
      <c r="A2233" s="856">
        <v>40234</v>
      </c>
      <c r="B2233" s="125" t="str">
        <f>TiposLancamentos!B16</f>
        <v>Cristiane</v>
      </c>
      <c r="C2233" s="139" t="s">
        <v>21852</v>
      </c>
      <c r="D2233" s="51"/>
      <c r="E2233" s="857">
        <v>66.3</v>
      </c>
    </row>
    <row r="2234" spans="1:5">
      <c r="A2234" s="856">
        <v>40234</v>
      </c>
      <c r="B2234" s="125" t="str">
        <f>TiposLancamentos!B19</f>
        <v>Restaurantes</v>
      </c>
      <c r="C2234" s="139" t="s">
        <v>21853</v>
      </c>
      <c r="D2234" s="51"/>
      <c r="E2234" s="857">
        <v>60.5</v>
      </c>
    </row>
    <row r="2235" spans="1:5">
      <c r="A2235" s="856">
        <v>40235</v>
      </c>
      <c r="B2235" s="125" t="str">
        <f>TiposLancamentos!B95</f>
        <v>Salarios</v>
      </c>
      <c r="C2235" s="126" t="s">
        <v>4939</v>
      </c>
      <c r="D2235" s="51">
        <v>5021.99</v>
      </c>
      <c r="E2235" s="857"/>
    </row>
    <row r="2236" spans="1:5">
      <c r="A2236" s="856">
        <v>40235</v>
      </c>
      <c r="B2236" s="125" t="str">
        <f>TiposLancamentos!B19</f>
        <v>Restaurantes</v>
      </c>
      <c r="C2236" s="139" t="s">
        <v>3618</v>
      </c>
      <c r="D2236" s="51"/>
      <c r="E2236" s="857">
        <v>33.99</v>
      </c>
    </row>
    <row r="2237" spans="1:5">
      <c r="A2237" s="856">
        <v>40236</v>
      </c>
      <c r="B2237" s="125" t="str">
        <f>TiposLancamentos!B17</f>
        <v>GATO</v>
      </c>
      <c r="C2237" s="139" t="s">
        <v>21854</v>
      </c>
      <c r="D2237" s="51"/>
      <c r="E2237" s="857">
        <v>16.5</v>
      </c>
    </row>
    <row r="2238" spans="1:5">
      <c r="A2238" s="856">
        <v>40236</v>
      </c>
      <c r="B2238" s="125" t="str">
        <f>TiposLancamentos!B19</f>
        <v>Restaurantes</v>
      </c>
      <c r="C2238" s="139" t="s">
        <v>21191</v>
      </c>
      <c r="D2238" s="51"/>
      <c r="E2238" s="857">
        <v>39.5</v>
      </c>
    </row>
    <row r="2239" spans="1:5">
      <c r="A2239" s="856">
        <v>40236</v>
      </c>
      <c r="B2239" s="125" t="str">
        <f>TiposLancamentos!B5</f>
        <v>Supermercado</v>
      </c>
      <c r="C2239" s="139" t="s">
        <v>21855</v>
      </c>
      <c r="D2239" s="51"/>
      <c r="E2239" s="857">
        <v>62.45</v>
      </c>
    </row>
    <row r="2240" spans="1:5">
      <c r="A2240" s="856">
        <v>40236</v>
      </c>
      <c r="B2240" s="125" t="str">
        <f>TiposLancamentos!B19</f>
        <v>Restaurantes</v>
      </c>
      <c r="C2240" s="139" t="s">
        <v>21856</v>
      </c>
      <c r="D2240" s="51"/>
      <c r="E2240" s="857">
        <v>10</v>
      </c>
    </row>
    <row r="2241" spans="1:5">
      <c r="A2241" s="856">
        <v>40237</v>
      </c>
      <c r="B2241" s="125" t="str">
        <f>TiposLancamentos!B20</f>
        <v>Saques</v>
      </c>
      <c r="C2241" s="139" t="s">
        <v>3185</v>
      </c>
      <c r="D2241" s="51"/>
      <c r="E2241" s="857">
        <v>60</v>
      </c>
    </row>
    <row r="2242" spans="1:5" ht="14.25" thickBot="1">
      <c r="A2242" s="856">
        <v>40237</v>
      </c>
      <c r="B2242" s="125" t="str">
        <f>TiposLancamentos!B19</f>
        <v>Restaurantes</v>
      </c>
      <c r="C2242" s="139" t="s">
        <v>21857</v>
      </c>
      <c r="D2242" s="51"/>
      <c r="E2242" s="857">
        <v>74.8</v>
      </c>
    </row>
    <row r="2243" spans="1:5" ht="14.25" thickBot="1">
      <c r="A2243" s="998"/>
      <c r="B2243" s="989"/>
      <c r="C2243" s="990" t="s">
        <v>5780</v>
      </c>
      <c r="D2243" s="991"/>
      <c r="E2243" s="999"/>
    </row>
    <row r="2244" spans="1:5">
      <c r="A2244" s="856">
        <v>40238</v>
      </c>
      <c r="B2244" s="125" t="str">
        <f>TiposLancamentos!B15</f>
        <v>Cartões de Crédito</v>
      </c>
      <c r="C2244" s="139" t="s">
        <v>20858</v>
      </c>
      <c r="D2244" s="51"/>
      <c r="E2244" s="857">
        <v>1127.29</v>
      </c>
    </row>
    <row r="2245" spans="1:5">
      <c r="A2245" s="856">
        <v>40238</v>
      </c>
      <c r="B2245" s="125" t="str">
        <f>TiposLancamentos!B6</f>
        <v>Energia Eletrica</v>
      </c>
      <c r="C2245" s="139" t="s">
        <v>21858</v>
      </c>
      <c r="D2245" s="51"/>
      <c r="E2245" s="857">
        <v>118.16</v>
      </c>
    </row>
    <row r="2246" spans="1:5">
      <c r="A2246" s="856">
        <v>40238</v>
      </c>
      <c r="B2246" s="125" t="str">
        <f>TiposLancamentos!B15</f>
        <v>Cartões de Crédito</v>
      </c>
      <c r="C2246" s="139" t="s">
        <v>17460</v>
      </c>
      <c r="D2246" s="51"/>
      <c r="E2246" s="857">
        <v>250.5</v>
      </c>
    </row>
    <row r="2247" spans="1:5">
      <c r="A2247" s="856">
        <v>40238</v>
      </c>
      <c r="B2247" s="125" t="str">
        <f>TiposLancamentos!B9</f>
        <v>Condominio</v>
      </c>
      <c r="C2247" s="139" t="s">
        <v>14746</v>
      </c>
      <c r="D2247" s="51"/>
      <c r="E2247" s="857">
        <v>739.37</v>
      </c>
    </row>
    <row r="2248" spans="1:5">
      <c r="A2248" s="856">
        <v>40238</v>
      </c>
      <c r="B2248" s="125" t="str">
        <f>TiposLancamentos!B8</f>
        <v>Aluguel</v>
      </c>
      <c r="C2248" s="139" t="s">
        <v>21859</v>
      </c>
      <c r="D2248" s="51"/>
      <c r="E2248" s="857">
        <v>1058.01</v>
      </c>
    </row>
    <row r="2249" spans="1:5">
      <c r="A2249" s="856">
        <v>40238</v>
      </c>
      <c r="B2249" s="125" t="str">
        <f>TiposLancamentos!B86</f>
        <v>Peugeout 207</v>
      </c>
      <c r="C2249" s="139" t="s">
        <v>21860</v>
      </c>
      <c r="D2249" s="51"/>
      <c r="E2249" s="857">
        <v>700.69</v>
      </c>
    </row>
    <row r="2250" spans="1:5">
      <c r="A2250" s="856">
        <v>40238</v>
      </c>
      <c r="B2250" s="125" t="str">
        <f>TiposLancamentos!B98</f>
        <v>Restituições</v>
      </c>
      <c r="C2250" s="139" t="s">
        <v>21861</v>
      </c>
      <c r="D2250" s="51">
        <v>56</v>
      </c>
      <c r="E2250" s="857"/>
    </row>
    <row r="2251" spans="1:5">
      <c r="A2251" s="856">
        <v>40238</v>
      </c>
      <c r="B2251" s="125" t="str">
        <f>TiposLancamentos!B56</f>
        <v>Farmácia</v>
      </c>
      <c r="C2251" s="139" t="s">
        <v>6118</v>
      </c>
      <c r="D2251" s="51"/>
      <c r="E2251" s="857">
        <v>66.430000000000007</v>
      </c>
    </row>
    <row r="2252" spans="1:5">
      <c r="A2252" s="856">
        <v>40238</v>
      </c>
      <c r="B2252" s="125" t="str">
        <f>TiposLancamentos!B16</f>
        <v>Cristiane</v>
      </c>
      <c r="C2252" s="139" t="s">
        <v>21862</v>
      </c>
      <c r="D2252" s="51"/>
      <c r="E2252" s="857">
        <v>18.899999999999999</v>
      </c>
    </row>
    <row r="2253" spans="1:5">
      <c r="A2253" s="856">
        <v>40238</v>
      </c>
      <c r="B2253" s="125" t="str">
        <f>TiposLancamentos!B98</f>
        <v>Restituições</v>
      </c>
      <c r="C2253" s="139" t="s">
        <v>21863</v>
      </c>
      <c r="D2253" s="51">
        <v>23.32</v>
      </c>
      <c r="E2253" s="857"/>
    </row>
    <row r="2254" spans="1:5">
      <c r="A2254" s="856">
        <v>40239</v>
      </c>
      <c r="B2254" s="125" t="str">
        <f>TiposLancamentos!B72</f>
        <v>Presentes</v>
      </c>
      <c r="C2254" s="139" t="s">
        <v>21864</v>
      </c>
      <c r="D2254" s="51"/>
      <c r="E2254" s="857">
        <v>10</v>
      </c>
    </row>
    <row r="2255" spans="1:5">
      <c r="A2255" s="858">
        <v>40241</v>
      </c>
      <c r="B2255" s="822" t="str">
        <f>TiposLancamentos!B35</f>
        <v>Tv à Cabo</v>
      </c>
      <c r="C2255" s="808" t="s">
        <v>21732</v>
      </c>
      <c r="D2255" s="809"/>
      <c r="E2255" s="959">
        <v>168.8</v>
      </c>
    </row>
    <row r="2256" spans="1:5">
      <c r="A2256" s="860">
        <v>40241</v>
      </c>
      <c r="B2256" s="275" t="str">
        <f>TiposLancamentos!B3</f>
        <v>Internet</v>
      </c>
      <c r="C2256" s="141" t="s">
        <v>5835</v>
      </c>
      <c r="D2256" s="127"/>
      <c r="E2256" s="953">
        <v>86</v>
      </c>
    </row>
    <row r="2257" spans="1:6">
      <c r="A2257" s="862">
        <v>40241</v>
      </c>
      <c r="B2257" s="823" t="str">
        <f>TiposLancamentos!B2</f>
        <v>Telefonia</v>
      </c>
      <c r="C2257" s="812" t="s">
        <v>21733</v>
      </c>
      <c r="D2257" s="813"/>
      <c r="E2257" s="960">
        <v>3.31</v>
      </c>
      <c r="F2257" s="36">
        <f>SUM(E2255:E2257)</f>
        <v>258.11</v>
      </c>
    </row>
    <row r="2258" spans="1:6">
      <c r="A2258" s="856">
        <v>40244</v>
      </c>
      <c r="B2258" s="125" t="str">
        <f>TiposLancamentos!B19</f>
        <v>Restaurantes</v>
      </c>
      <c r="C2258" s="139" t="s">
        <v>3995</v>
      </c>
      <c r="D2258" s="51"/>
      <c r="E2258" s="857">
        <v>29.5</v>
      </c>
    </row>
    <row r="2259" spans="1:6">
      <c r="A2259" s="856">
        <v>40245</v>
      </c>
      <c r="B2259" s="125" t="str">
        <f>TiposLancamentos!B19</f>
        <v>Restaurantes</v>
      </c>
      <c r="C2259" s="139" t="s">
        <v>21865</v>
      </c>
      <c r="D2259" s="51"/>
      <c r="E2259" s="857">
        <v>13.35</v>
      </c>
    </row>
    <row r="2260" spans="1:6">
      <c r="A2260" s="856">
        <v>40245</v>
      </c>
      <c r="B2260" s="125" t="str">
        <f>TiposLancamentos!B20</f>
        <v>Saques</v>
      </c>
      <c r="C2260" s="139" t="s">
        <v>3900</v>
      </c>
      <c r="D2260" s="51"/>
      <c r="E2260" s="857">
        <v>40</v>
      </c>
    </row>
    <row r="2261" spans="1:6">
      <c r="A2261" s="856">
        <v>40245</v>
      </c>
      <c r="B2261" s="125" t="str">
        <f>TiposLancamentos!B22</f>
        <v>Combustivel</v>
      </c>
      <c r="C2261" s="139" t="s">
        <v>3381</v>
      </c>
      <c r="D2261" s="51"/>
      <c r="E2261" s="857">
        <v>121</v>
      </c>
    </row>
    <row r="2262" spans="1:6">
      <c r="A2262" s="856">
        <v>40247</v>
      </c>
      <c r="B2262" s="125" t="str">
        <f>TiposLancamentos!B16</f>
        <v>Cristiane</v>
      </c>
      <c r="C2262" s="139" t="s">
        <v>21866</v>
      </c>
      <c r="D2262" s="51"/>
      <c r="E2262" s="857">
        <v>241.7</v>
      </c>
    </row>
    <row r="2263" spans="1:6">
      <c r="A2263" s="856">
        <v>40247</v>
      </c>
      <c r="B2263" s="125" t="str">
        <f>TiposLancamentos!B5</f>
        <v>Supermercado</v>
      </c>
      <c r="C2263" s="139" t="s">
        <v>21867</v>
      </c>
      <c r="D2263" s="51"/>
      <c r="E2263" s="857">
        <v>74.06</v>
      </c>
    </row>
    <row r="2264" spans="1:6">
      <c r="A2264" s="856">
        <v>40249</v>
      </c>
      <c r="B2264" s="125" t="str">
        <f>TiposLancamentos!B16</f>
        <v>Cristiane</v>
      </c>
      <c r="C2264" s="139" t="s">
        <v>21868</v>
      </c>
      <c r="D2264" s="51"/>
      <c r="E2264" s="857">
        <v>189.8</v>
      </c>
    </row>
    <row r="2265" spans="1:6">
      <c r="A2265" s="856">
        <v>40249</v>
      </c>
      <c r="B2265" s="125" t="str">
        <f>TiposLancamentos!B56</f>
        <v>Farmácia</v>
      </c>
      <c r="C2265" s="139" t="s">
        <v>21869</v>
      </c>
      <c r="D2265" s="51"/>
      <c r="E2265" s="857">
        <v>46.29</v>
      </c>
    </row>
    <row r="2266" spans="1:6">
      <c r="A2266" s="856">
        <v>40249</v>
      </c>
      <c r="B2266" s="125" t="str">
        <f>TiposLancamentos!B19</f>
        <v>Restaurantes</v>
      </c>
      <c r="C2266" s="139" t="s">
        <v>21870</v>
      </c>
      <c r="D2266" s="51"/>
      <c r="E2266" s="857">
        <v>67.5</v>
      </c>
    </row>
    <row r="2267" spans="1:6">
      <c r="A2267" s="856">
        <v>40249</v>
      </c>
      <c r="B2267" s="125" t="str">
        <f>TiposLancamentos!B103</f>
        <v>Juros_Corr. Poupança</v>
      </c>
      <c r="C2267" s="139" t="s">
        <v>20569</v>
      </c>
      <c r="D2267" s="51">
        <v>2.72</v>
      </c>
      <c r="E2267" s="857"/>
    </row>
    <row r="2268" spans="1:6">
      <c r="A2268" s="856">
        <v>40250</v>
      </c>
      <c r="B2268" s="125" t="str">
        <f>TiposLancamentos!B19</f>
        <v>Restaurantes</v>
      </c>
      <c r="C2268" s="139" t="s">
        <v>21871</v>
      </c>
      <c r="D2268" s="51"/>
      <c r="E2268" s="857">
        <v>38.700000000000003</v>
      </c>
    </row>
    <row r="2269" spans="1:6">
      <c r="A2269" s="856">
        <v>40250</v>
      </c>
      <c r="B2269" s="125" t="str">
        <f>TiposLancamentos!B19</f>
        <v>Restaurantes</v>
      </c>
      <c r="C2269" s="139" t="s">
        <v>21872</v>
      </c>
      <c r="D2269" s="51"/>
      <c r="E2269" s="857">
        <v>28.55</v>
      </c>
    </row>
    <row r="2270" spans="1:6">
      <c r="A2270" s="856">
        <v>40250</v>
      </c>
      <c r="B2270" s="125" t="str">
        <f>TiposLancamentos!B20</f>
        <v>Saques</v>
      </c>
      <c r="C2270" s="139" t="s">
        <v>3900</v>
      </c>
      <c r="D2270" s="51"/>
      <c r="E2270" s="857">
        <v>40</v>
      </c>
    </row>
    <row r="2271" spans="1:6">
      <c r="A2271" s="856">
        <v>40252</v>
      </c>
      <c r="B2271" s="125" t="str">
        <f>TiposLancamentos!B22</f>
        <v>Combustivel</v>
      </c>
      <c r="C2271" s="139" t="s">
        <v>21873</v>
      </c>
      <c r="D2271" s="51"/>
      <c r="E2271" s="857">
        <v>132.88</v>
      </c>
    </row>
    <row r="2272" spans="1:6">
      <c r="A2272" s="856">
        <v>40252</v>
      </c>
      <c r="B2272" s="125" t="str">
        <f>TiposLancamentos!B19</f>
        <v>Restaurantes</v>
      </c>
      <c r="C2272" s="139" t="s">
        <v>21872</v>
      </c>
      <c r="D2272" s="51"/>
      <c r="E2272" s="857">
        <v>15.1</v>
      </c>
    </row>
    <row r="2273" spans="1:6">
      <c r="A2273" s="856">
        <v>40252</v>
      </c>
      <c r="B2273" s="125" t="str">
        <f>TiposLancamentos!B19</f>
        <v>Restaurantes</v>
      </c>
      <c r="C2273" s="139" t="s">
        <v>21874</v>
      </c>
      <c r="D2273" s="51"/>
      <c r="E2273" s="857">
        <v>21.9</v>
      </c>
    </row>
    <row r="2274" spans="1:6">
      <c r="A2274" s="856">
        <v>40252</v>
      </c>
      <c r="B2274" s="125" t="str">
        <f>TiposLancamentos!B24</f>
        <v>Estacionamentos</v>
      </c>
      <c r="C2274" s="139" t="s">
        <v>6044</v>
      </c>
      <c r="D2274" s="51"/>
      <c r="E2274" s="857">
        <v>25.4</v>
      </c>
    </row>
    <row r="2275" spans="1:6">
      <c r="A2275" s="856">
        <v>40252</v>
      </c>
      <c r="B2275" s="125" t="str">
        <f>TiposLancamentos!B95</f>
        <v>Salarios</v>
      </c>
      <c r="C2275" s="139" t="s">
        <v>4916</v>
      </c>
      <c r="D2275" s="51">
        <v>1890.28</v>
      </c>
      <c r="E2275" s="857"/>
    </row>
    <row r="2276" spans="1:6">
      <c r="A2276" s="856">
        <v>40253</v>
      </c>
      <c r="B2276" s="125" t="str">
        <f>TiposLancamentos!B19</f>
        <v>Restaurantes</v>
      </c>
      <c r="C2276" s="139" t="s">
        <v>21875</v>
      </c>
      <c r="D2276" s="51"/>
      <c r="E2276" s="857">
        <v>22.4</v>
      </c>
    </row>
    <row r="2277" spans="1:6">
      <c r="A2277" s="856">
        <v>40253</v>
      </c>
      <c r="B2277" s="125" t="str">
        <f>TiposLancamentos!B32</f>
        <v>Clinicas e tratamentos</v>
      </c>
      <c r="C2277" s="139" t="s">
        <v>21876</v>
      </c>
      <c r="D2277" s="51"/>
      <c r="E2277" s="857">
        <v>630</v>
      </c>
      <c r="F2277" s="114"/>
    </row>
    <row r="2278" spans="1:6">
      <c r="A2278" s="856">
        <v>40254</v>
      </c>
      <c r="B2278" s="125" t="str">
        <f>TiposLancamentos!B19</f>
        <v>Restaurantes</v>
      </c>
      <c r="C2278" s="139" t="s">
        <v>21877</v>
      </c>
      <c r="D2278" s="51"/>
      <c r="E2278" s="857">
        <v>14.38</v>
      </c>
    </row>
    <row r="2279" spans="1:6">
      <c r="A2279" s="856">
        <v>40254</v>
      </c>
      <c r="B2279" s="125" t="str">
        <f>TiposLancamentos!B5</f>
        <v>Supermercado</v>
      </c>
      <c r="C2279" s="139" t="s">
        <v>5801</v>
      </c>
      <c r="D2279" s="51"/>
      <c r="E2279" s="857">
        <v>23.38</v>
      </c>
    </row>
    <row r="2280" spans="1:6">
      <c r="A2280" s="856">
        <v>40255</v>
      </c>
      <c r="B2280" s="125" t="str">
        <f>TiposLancamentos!B19</f>
        <v>Restaurantes</v>
      </c>
      <c r="C2280" s="139" t="s">
        <v>3755</v>
      </c>
      <c r="D2280" s="51"/>
      <c r="E2280" s="857">
        <v>15.63</v>
      </c>
    </row>
    <row r="2281" spans="1:6">
      <c r="A2281" s="856">
        <v>40255</v>
      </c>
      <c r="B2281" s="125" t="str">
        <f>TiposLancamentos!B56</f>
        <v>Farmácia</v>
      </c>
      <c r="C2281" s="139" t="s">
        <v>21878</v>
      </c>
      <c r="D2281" s="51"/>
      <c r="E2281" s="857">
        <v>71.5</v>
      </c>
    </row>
    <row r="2282" spans="1:6">
      <c r="A2282" s="856">
        <v>40255</v>
      </c>
      <c r="B2282" s="125" t="str">
        <f>TiposLancamentos!B5</f>
        <v>Supermercado</v>
      </c>
      <c r="C2282" s="139" t="s">
        <v>17167</v>
      </c>
      <c r="D2282" s="51"/>
      <c r="E2282" s="857">
        <v>23.07</v>
      </c>
    </row>
    <row r="2283" spans="1:6">
      <c r="A2283" s="856">
        <v>40256</v>
      </c>
      <c r="B2283" s="125" t="str">
        <f>TiposLancamentos!B31</f>
        <v>Action Figures</v>
      </c>
      <c r="C2283" s="139" t="s">
        <v>21879</v>
      </c>
      <c r="D2283" s="51"/>
      <c r="E2283" s="857">
        <v>119</v>
      </c>
    </row>
    <row r="2284" spans="1:6">
      <c r="A2284" s="856">
        <v>40256</v>
      </c>
      <c r="B2284" s="125" t="str">
        <f>TiposLancamentos!B19</f>
        <v>Restaurantes</v>
      </c>
      <c r="C2284" s="139" t="s">
        <v>21845</v>
      </c>
      <c r="D2284" s="51"/>
      <c r="E2284" s="857">
        <v>8.4</v>
      </c>
    </row>
    <row r="2285" spans="1:6">
      <c r="A2285" s="856">
        <v>40256</v>
      </c>
      <c r="B2285" s="125" t="str">
        <f>TiposLancamentos!B20</f>
        <v>Saques</v>
      </c>
      <c r="C2285" s="139" t="s">
        <v>3403</v>
      </c>
      <c r="D2285" s="51"/>
      <c r="E2285" s="857">
        <v>60</v>
      </c>
    </row>
    <row r="2286" spans="1:6">
      <c r="A2286" s="856">
        <v>40257</v>
      </c>
      <c r="B2286" s="125" t="str">
        <f>TiposLancamentos!B19</f>
        <v>Restaurantes</v>
      </c>
      <c r="C2286" s="139" t="s">
        <v>21615</v>
      </c>
      <c r="D2286" s="51"/>
      <c r="E2286" s="857">
        <v>29.7</v>
      </c>
    </row>
    <row r="2287" spans="1:6">
      <c r="A2287" s="856">
        <v>40258</v>
      </c>
      <c r="B2287" s="125" t="str">
        <f>TiposLancamentos!B56</f>
        <v>Farmácia</v>
      </c>
      <c r="C2287" s="139" t="s">
        <v>21880</v>
      </c>
      <c r="D2287" s="51"/>
      <c r="E2287" s="857">
        <v>25.75</v>
      </c>
    </row>
    <row r="2288" spans="1:6">
      <c r="A2288" s="856">
        <v>40259</v>
      </c>
      <c r="B2288" s="125" t="str">
        <f>TiposLancamentos!B19</f>
        <v>Restaurantes</v>
      </c>
      <c r="C2288" s="139" t="s">
        <v>21881</v>
      </c>
      <c r="D2288" s="51"/>
      <c r="E2288" s="857">
        <v>8.1</v>
      </c>
    </row>
    <row r="2289" spans="1:5">
      <c r="A2289" s="856">
        <v>40260</v>
      </c>
      <c r="B2289" s="125" t="str">
        <f>TiposLancamentos!B19</f>
        <v>Restaurantes</v>
      </c>
      <c r="C2289" s="139" t="s">
        <v>21882</v>
      </c>
      <c r="D2289" s="51"/>
      <c r="E2289" s="857">
        <v>79.31</v>
      </c>
    </row>
    <row r="2290" spans="1:5">
      <c r="A2290" s="856">
        <v>40260</v>
      </c>
      <c r="B2290" s="125" t="str">
        <f>TiposLancamentos!B5</f>
        <v>Supermercado</v>
      </c>
      <c r="C2290" s="139" t="s">
        <v>5774</v>
      </c>
      <c r="D2290" s="51"/>
      <c r="E2290" s="857">
        <v>18.7</v>
      </c>
    </row>
    <row r="2291" spans="1:5">
      <c r="A2291" s="856">
        <v>40261</v>
      </c>
      <c r="B2291" s="125" t="str">
        <f>TiposLancamentos!B19</f>
        <v>Restaurantes</v>
      </c>
      <c r="C2291" s="139" t="s">
        <v>21882</v>
      </c>
      <c r="D2291" s="51"/>
      <c r="E2291" s="857">
        <v>8.1</v>
      </c>
    </row>
    <row r="2292" spans="1:5">
      <c r="A2292" s="856">
        <v>40262</v>
      </c>
      <c r="B2292" s="125" t="str">
        <f>TiposLancamentos!B22</f>
        <v>Combustivel</v>
      </c>
      <c r="C2292" s="139" t="s">
        <v>21883</v>
      </c>
      <c r="D2292" s="51"/>
      <c r="E2292" s="857">
        <v>121</v>
      </c>
    </row>
    <row r="2293" spans="1:5">
      <c r="A2293" s="856">
        <v>40263</v>
      </c>
      <c r="B2293" s="125" t="str">
        <f>TiposLancamentos!B72</f>
        <v>Presentes</v>
      </c>
      <c r="C2293" s="139" t="s">
        <v>21884</v>
      </c>
      <c r="D2293" s="51"/>
      <c r="E2293" s="857">
        <v>10</v>
      </c>
    </row>
    <row r="2294" spans="1:5">
      <c r="A2294" s="856">
        <v>40263</v>
      </c>
      <c r="B2294" s="125" t="str">
        <f>TiposLancamentos!B19</f>
        <v>Restaurantes</v>
      </c>
      <c r="C2294" s="139" t="s">
        <v>3287</v>
      </c>
      <c r="D2294" s="51"/>
      <c r="E2294" s="857">
        <v>17.91</v>
      </c>
    </row>
    <row r="2295" spans="1:5">
      <c r="A2295" s="856">
        <v>40263</v>
      </c>
      <c r="B2295" s="125" t="str">
        <f>TiposLancamentos!B37</f>
        <v>Playstation 3</v>
      </c>
      <c r="C2295" s="139" t="s">
        <v>21885</v>
      </c>
      <c r="D2295" s="51"/>
      <c r="E2295" s="857">
        <v>48.79</v>
      </c>
    </row>
    <row r="2296" spans="1:5">
      <c r="A2296" s="856">
        <v>40263</v>
      </c>
      <c r="B2296" s="125" t="str">
        <f>TiposLancamentos!B5</f>
        <v>Supermercado</v>
      </c>
      <c r="C2296" s="139" t="s">
        <v>5930</v>
      </c>
      <c r="D2296" s="51"/>
      <c r="E2296" s="857">
        <v>13.49</v>
      </c>
    </row>
    <row r="2297" spans="1:5">
      <c r="A2297" s="856">
        <v>40264</v>
      </c>
      <c r="B2297" s="125" t="str">
        <f>TiposLancamentos!B16</f>
        <v>Cristiane</v>
      </c>
      <c r="C2297" s="139" t="s">
        <v>16320</v>
      </c>
      <c r="D2297" s="51"/>
      <c r="E2297" s="857">
        <v>54.15</v>
      </c>
    </row>
    <row r="2298" spans="1:5">
      <c r="A2298" s="856">
        <v>40264</v>
      </c>
      <c r="B2298" s="125" t="str">
        <f>TiposLancamentos!B18</f>
        <v>Alimentacao</v>
      </c>
      <c r="C2298" s="139" t="s">
        <v>21886</v>
      </c>
      <c r="D2298" s="51"/>
      <c r="E2298" s="857">
        <v>22.35</v>
      </c>
    </row>
    <row r="2299" spans="1:5">
      <c r="A2299" s="856">
        <v>40264</v>
      </c>
      <c r="B2299" s="125" t="str">
        <f>TiposLancamentos!B19</f>
        <v>Restaurantes</v>
      </c>
      <c r="C2299" s="139" t="s">
        <v>21887</v>
      </c>
      <c r="D2299" s="51"/>
      <c r="E2299" s="857">
        <v>27.41</v>
      </c>
    </row>
    <row r="2300" spans="1:5">
      <c r="A2300" s="856">
        <v>40264</v>
      </c>
      <c r="B2300" s="125" t="str">
        <f>TiposLancamentos!B16</f>
        <v>Cristiane</v>
      </c>
      <c r="C2300" s="139" t="s">
        <v>16511</v>
      </c>
      <c r="D2300" s="51"/>
      <c r="E2300" s="857">
        <v>52.45</v>
      </c>
    </row>
    <row r="2301" spans="1:5">
      <c r="A2301" s="856">
        <v>40264</v>
      </c>
      <c r="B2301" s="125" t="str">
        <f>TiposLancamentos!B16</f>
        <v>Cristiane</v>
      </c>
      <c r="C2301" s="139" t="s">
        <v>21888</v>
      </c>
      <c r="D2301" s="51"/>
      <c r="E2301" s="857">
        <v>14.5</v>
      </c>
    </row>
    <row r="2302" spans="1:5">
      <c r="A2302" s="856">
        <v>40264</v>
      </c>
      <c r="B2302" s="125" t="str">
        <f>TiposLancamentos!B16</f>
        <v>Cristiane</v>
      </c>
      <c r="C2302" s="139" t="s">
        <v>21889</v>
      </c>
      <c r="D2302" s="51"/>
      <c r="E2302" s="857">
        <v>12.5</v>
      </c>
    </row>
    <row r="2303" spans="1:5">
      <c r="A2303" s="856">
        <v>40264</v>
      </c>
      <c r="B2303" s="125" t="str">
        <f>TiposLancamentos!B19</f>
        <v>Restaurantes</v>
      </c>
      <c r="C2303" s="139" t="s">
        <v>21890</v>
      </c>
      <c r="D2303" s="51"/>
      <c r="E2303" s="857">
        <v>9.5</v>
      </c>
    </row>
    <row r="2304" spans="1:5">
      <c r="A2304" s="856">
        <v>40264</v>
      </c>
      <c r="B2304" s="125" t="str">
        <f>TiposLancamentos!B16</f>
        <v>Cristiane</v>
      </c>
      <c r="C2304" s="139" t="s">
        <v>21891</v>
      </c>
      <c r="D2304" s="51"/>
      <c r="E2304" s="857">
        <v>22.77</v>
      </c>
    </row>
    <row r="2305" spans="1:6">
      <c r="A2305" s="856">
        <v>40264</v>
      </c>
      <c r="B2305" s="125" t="str">
        <f>TiposLancamentos!B19</f>
        <v>Restaurantes</v>
      </c>
      <c r="C2305" s="139" t="s">
        <v>21576</v>
      </c>
      <c r="D2305" s="51"/>
      <c r="E2305" s="857">
        <v>53.58</v>
      </c>
    </row>
    <row r="2306" spans="1:6">
      <c r="A2306" s="856">
        <v>40265</v>
      </c>
      <c r="B2306" s="125" t="str">
        <f>TiposLancamentos!B19</f>
        <v>Restaurantes</v>
      </c>
      <c r="C2306" s="139" t="s">
        <v>21892</v>
      </c>
      <c r="D2306" s="51"/>
      <c r="E2306" s="857">
        <v>14.8</v>
      </c>
    </row>
    <row r="2307" spans="1:6">
      <c r="A2307" s="856">
        <v>40265</v>
      </c>
      <c r="B2307" s="125" t="str">
        <f>TiposLancamentos!B19</f>
        <v>Restaurantes</v>
      </c>
      <c r="C2307" s="139" t="s">
        <v>21892</v>
      </c>
      <c r="D2307" s="51"/>
      <c r="E2307" s="857">
        <v>18.399999999999999</v>
      </c>
    </row>
    <row r="2308" spans="1:6">
      <c r="A2308" s="856">
        <v>40266</v>
      </c>
      <c r="B2308" s="125" t="str">
        <f>TiposLancamentos!B19</f>
        <v>Restaurantes</v>
      </c>
      <c r="C2308" s="139" t="s">
        <v>21893</v>
      </c>
      <c r="D2308" s="51"/>
      <c r="E2308" s="857">
        <v>19.8</v>
      </c>
    </row>
    <row r="2309" spans="1:6">
      <c r="A2309" s="856">
        <v>40266</v>
      </c>
      <c r="B2309" s="125" t="str">
        <f>TiposLancamentos!B5</f>
        <v>Supermercado</v>
      </c>
      <c r="C2309" s="139" t="s">
        <v>5801</v>
      </c>
      <c r="D2309" s="51"/>
      <c r="E2309" s="857">
        <v>174.52</v>
      </c>
    </row>
    <row r="2310" spans="1:6">
      <c r="A2310" s="856">
        <v>40267</v>
      </c>
      <c r="B2310" s="125" t="str">
        <f>TiposLancamentos!B20</f>
        <v>Saques</v>
      </c>
      <c r="C2310" s="139" t="s">
        <v>2850</v>
      </c>
      <c r="D2310" s="51"/>
      <c r="E2310" s="857">
        <v>10</v>
      </c>
    </row>
    <row r="2311" spans="1:6">
      <c r="A2311" s="856">
        <v>40267</v>
      </c>
      <c r="B2311" s="125" t="str">
        <f>TiposLancamentos!B19</f>
        <v>Restaurantes</v>
      </c>
      <c r="C2311" s="139" t="s">
        <v>21894</v>
      </c>
      <c r="D2311" s="51"/>
      <c r="E2311" s="857">
        <v>24.8</v>
      </c>
    </row>
    <row r="2312" spans="1:6">
      <c r="A2312" s="856">
        <v>40268</v>
      </c>
      <c r="B2312" s="125" t="str">
        <f>TiposLancamentos!B95</f>
        <v>Salarios</v>
      </c>
      <c r="C2312" s="126" t="s">
        <v>4939</v>
      </c>
      <c r="D2312" s="51">
        <v>5300.03</v>
      </c>
      <c r="E2312" s="857"/>
    </row>
    <row r="2313" spans="1:6">
      <c r="A2313" s="856">
        <v>40268</v>
      </c>
      <c r="B2313" s="125" t="str">
        <f>TiposLancamentos!B6</f>
        <v>Energia Eletrica</v>
      </c>
      <c r="C2313" s="139" t="s">
        <v>5191</v>
      </c>
      <c r="D2313" s="51"/>
      <c r="E2313" s="857">
        <v>108.55</v>
      </c>
    </row>
    <row r="2314" spans="1:6" ht="14.25" thickBot="1">
      <c r="A2314" s="856">
        <v>40268</v>
      </c>
      <c r="B2314" s="125" t="str">
        <f>TiposLancamentos!B16</f>
        <v>Cristiane</v>
      </c>
      <c r="C2314" s="139" t="s">
        <v>21895</v>
      </c>
      <c r="D2314" s="51"/>
      <c r="E2314" s="857">
        <v>150</v>
      </c>
    </row>
    <row r="2315" spans="1:6" ht="14.25" thickBot="1">
      <c r="A2315" s="998"/>
      <c r="B2315" s="989"/>
      <c r="C2315" s="990" t="s">
        <v>5781</v>
      </c>
      <c r="D2315" s="991"/>
      <c r="E2315" s="999"/>
    </row>
    <row r="2316" spans="1:6">
      <c r="A2316" s="856">
        <v>40269</v>
      </c>
      <c r="B2316" s="125" t="str">
        <f>TiposLancamentos!B15</f>
        <v>Cartões de Crédito</v>
      </c>
      <c r="C2316" s="139" t="s">
        <v>5557</v>
      </c>
      <c r="D2316" s="51"/>
      <c r="E2316" s="857">
        <v>1284.53</v>
      </c>
    </row>
    <row r="2317" spans="1:6">
      <c r="A2317" s="856">
        <v>40269</v>
      </c>
      <c r="B2317" s="125" t="str">
        <f>TiposLancamentos!B15</f>
        <v>Cartões de Crédito</v>
      </c>
      <c r="C2317" s="139" t="s">
        <v>5558</v>
      </c>
      <c r="D2317" s="51"/>
      <c r="E2317" s="857">
        <v>644.44000000000005</v>
      </c>
    </row>
    <row r="2318" spans="1:6">
      <c r="A2318" s="806">
        <v>40269</v>
      </c>
      <c r="B2318" s="807" t="str">
        <f>TiposLancamentos!B35</f>
        <v>Tv à Cabo</v>
      </c>
      <c r="C2318" s="808" t="s">
        <v>21732</v>
      </c>
      <c r="D2318" s="809"/>
      <c r="E2318" s="859">
        <v>168.8</v>
      </c>
    </row>
    <row r="2319" spans="1:6">
      <c r="A2319" s="773">
        <v>40269</v>
      </c>
      <c r="B2319" s="152" t="str">
        <f>TiposLancamentos!B3</f>
        <v>Internet</v>
      </c>
      <c r="C2319" s="141" t="s">
        <v>5835</v>
      </c>
      <c r="D2319" s="127"/>
      <c r="E2319" s="861">
        <v>86</v>
      </c>
    </row>
    <row r="2320" spans="1:6">
      <c r="A2320" s="810">
        <v>40269</v>
      </c>
      <c r="B2320" s="811" t="str">
        <f>TiposLancamentos!B2</f>
        <v>Telefonia</v>
      </c>
      <c r="C2320" s="812" t="s">
        <v>21733</v>
      </c>
      <c r="D2320" s="813"/>
      <c r="E2320" s="863">
        <v>1.05</v>
      </c>
      <c r="F2320" s="36">
        <f>SUM(E2318:E2320)</f>
        <v>255.85000000000002</v>
      </c>
    </row>
    <row r="2321" spans="1:6">
      <c r="A2321" s="856">
        <v>40269</v>
      </c>
      <c r="B2321" s="125" t="str">
        <f>TiposLancamentos!B8</f>
        <v>Aluguel</v>
      </c>
      <c r="C2321" s="139" t="s">
        <v>2504</v>
      </c>
      <c r="D2321" s="51"/>
      <c r="E2321" s="857">
        <v>1000</v>
      </c>
    </row>
    <row r="2322" spans="1:6">
      <c r="A2322" s="856">
        <v>40269</v>
      </c>
      <c r="B2322" s="125" t="str">
        <f>TiposLancamentos!B86</f>
        <v>Peugeout 207</v>
      </c>
      <c r="C2322" s="139" t="s">
        <v>21896</v>
      </c>
      <c r="D2322" s="51"/>
      <c r="E2322" s="857">
        <v>700.69</v>
      </c>
    </row>
    <row r="2323" spans="1:6">
      <c r="A2323" s="856">
        <v>40269</v>
      </c>
      <c r="B2323" s="125" t="str">
        <f>TiposLancamentos!B4</f>
        <v>Taxas Bancarias</v>
      </c>
      <c r="C2323" s="139" t="s">
        <v>21897</v>
      </c>
      <c r="D2323" s="51"/>
      <c r="E2323" s="857">
        <v>0.25</v>
      </c>
    </row>
    <row r="2324" spans="1:6">
      <c r="A2324" s="856">
        <v>40269</v>
      </c>
      <c r="B2324" s="125" t="str">
        <f>TiposLancamentos!B98</f>
        <v>Restituições</v>
      </c>
      <c r="C2324" s="139" t="s">
        <v>21898</v>
      </c>
      <c r="D2324" s="51">
        <v>14</v>
      </c>
      <c r="E2324" s="857"/>
    </row>
    <row r="2325" spans="1:6">
      <c r="A2325" s="856">
        <v>40270</v>
      </c>
      <c r="B2325" s="125" t="str">
        <f>TiposLancamentos!B17</f>
        <v>GATO</v>
      </c>
      <c r="C2325" s="139" t="s">
        <v>21899</v>
      </c>
      <c r="D2325" s="51"/>
      <c r="E2325" s="857">
        <v>14.5</v>
      </c>
    </row>
    <row r="2326" spans="1:6">
      <c r="A2326" s="856">
        <v>40270</v>
      </c>
      <c r="B2326" s="125" t="str">
        <f>TiposLancamentos!B19</f>
        <v>Restaurantes</v>
      </c>
      <c r="C2326" s="139" t="s">
        <v>21900</v>
      </c>
      <c r="D2326" s="51"/>
      <c r="E2326" s="857">
        <v>12.75</v>
      </c>
    </row>
    <row r="2327" spans="1:6">
      <c r="A2327" s="856">
        <v>40271</v>
      </c>
      <c r="B2327" s="125" t="str">
        <f>TiposLancamentos!B19</f>
        <v>Restaurantes</v>
      </c>
      <c r="C2327" s="139" t="s">
        <v>21568</v>
      </c>
      <c r="D2327" s="51"/>
      <c r="E2327" s="857">
        <v>37.1</v>
      </c>
    </row>
    <row r="2328" spans="1:6">
      <c r="A2328" s="856">
        <v>40271</v>
      </c>
      <c r="B2328" s="125" t="str">
        <f>TiposLancamentos!B20</f>
        <v>Saques</v>
      </c>
      <c r="C2328" s="139" t="s">
        <v>21901</v>
      </c>
      <c r="D2328" s="51"/>
      <c r="E2328" s="857">
        <v>60</v>
      </c>
    </row>
    <row r="2329" spans="1:6">
      <c r="A2329" s="856">
        <v>40271</v>
      </c>
      <c r="B2329" s="125" t="str">
        <f>TiposLancamentos!B16</f>
        <v>Cristiane</v>
      </c>
      <c r="C2329" s="139" t="s">
        <v>21902</v>
      </c>
      <c r="D2329" s="51"/>
      <c r="E2329" s="857">
        <v>11.97</v>
      </c>
    </row>
    <row r="2330" spans="1:6">
      <c r="A2330" s="860">
        <v>40271</v>
      </c>
      <c r="B2330" s="153" t="str">
        <f>TiposLancamentos!B71</f>
        <v>Itens Pessoais</v>
      </c>
      <c r="C2330" s="141" t="s">
        <v>21903</v>
      </c>
      <c r="D2330" s="51"/>
      <c r="E2330" s="953">
        <v>26</v>
      </c>
    </row>
    <row r="2331" spans="1:6">
      <c r="A2331" s="860">
        <v>40271</v>
      </c>
      <c r="B2331" s="153" t="str">
        <f>TiposLancamentos!B16</f>
        <v>Cristiane</v>
      </c>
      <c r="C2331" s="141" t="s">
        <v>21904</v>
      </c>
      <c r="D2331" s="51"/>
      <c r="E2331" s="953">
        <v>30</v>
      </c>
      <c r="F2331" s="36">
        <f>SUM(E2330:E2331)</f>
        <v>56</v>
      </c>
    </row>
    <row r="2332" spans="1:6">
      <c r="A2332" s="856">
        <v>40272</v>
      </c>
      <c r="B2332" s="125" t="str">
        <f>TiposLancamentos!B19</f>
        <v>Restaurantes</v>
      </c>
      <c r="C2332" s="139" t="s">
        <v>21905</v>
      </c>
      <c r="D2332" s="51"/>
      <c r="E2332" s="857">
        <v>10.98</v>
      </c>
    </row>
    <row r="2333" spans="1:6">
      <c r="A2333" s="856">
        <v>40273</v>
      </c>
      <c r="B2333" s="125" t="str">
        <f>TiposLancamentos!B9</f>
        <v>Condominio</v>
      </c>
      <c r="C2333" s="139" t="s">
        <v>21906</v>
      </c>
      <c r="D2333" s="51"/>
      <c r="E2333" s="857">
        <v>647.36</v>
      </c>
    </row>
    <row r="2334" spans="1:6">
      <c r="A2334" s="856">
        <v>40275</v>
      </c>
      <c r="B2334" s="125" t="str">
        <f>TiposLancamentos!B19</f>
        <v>Restaurantes</v>
      </c>
      <c r="C2334" s="139" t="s">
        <v>21907</v>
      </c>
      <c r="D2334" s="51"/>
      <c r="E2334" s="857">
        <v>27.9</v>
      </c>
    </row>
    <row r="2335" spans="1:6">
      <c r="A2335" s="856">
        <v>40275</v>
      </c>
      <c r="B2335" s="125" t="str">
        <f>TiposLancamentos!B97</f>
        <v>Deposito Terc.</v>
      </c>
      <c r="C2335" s="139" t="s">
        <v>21223</v>
      </c>
      <c r="D2335" s="51">
        <v>13.82</v>
      </c>
      <c r="E2335" s="857"/>
    </row>
    <row r="2336" spans="1:6">
      <c r="A2336" s="856">
        <v>40275</v>
      </c>
      <c r="B2336" s="125" t="str">
        <f>TiposLancamentos!B97</f>
        <v>Deposito Terc.</v>
      </c>
      <c r="C2336" s="139" t="s">
        <v>21908</v>
      </c>
      <c r="D2336" s="51">
        <v>14</v>
      </c>
      <c r="E2336" s="857"/>
    </row>
    <row r="2337" spans="1:5">
      <c r="A2337" s="856">
        <v>40276</v>
      </c>
      <c r="B2337" s="125" t="str">
        <f>TiposLancamentos!B19</f>
        <v>Restaurantes</v>
      </c>
      <c r="C2337" s="139" t="s">
        <v>21909</v>
      </c>
      <c r="D2337" s="51"/>
      <c r="E2337" s="857">
        <v>40.799999999999997</v>
      </c>
    </row>
    <row r="2338" spans="1:5">
      <c r="A2338" s="856">
        <v>40276</v>
      </c>
      <c r="B2338" s="125" t="str">
        <f>TiposLancamentos!B19</f>
        <v>Restaurantes</v>
      </c>
      <c r="C2338" s="139" t="s">
        <v>3968</v>
      </c>
      <c r="D2338" s="51"/>
      <c r="E2338" s="857">
        <v>12.55</v>
      </c>
    </row>
    <row r="2339" spans="1:5">
      <c r="A2339" s="856">
        <v>40276</v>
      </c>
      <c r="B2339" s="125" t="str">
        <f>TiposLancamentos!B29</f>
        <v>Mangá</v>
      </c>
      <c r="C2339" s="139" t="s">
        <v>21910</v>
      </c>
      <c r="D2339" s="51"/>
      <c r="E2339" s="857">
        <v>20.85</v>
      </c>
    </row>
    <row r="2340" spans="1:5">
      <c r="A2340" s="856">
        <v>40276</v>
      </c>
      <c r="B2340" s="125" t="str">
        <f>TiposLancamentos!B19</f>
        <v>Restaurantes</v>
      </c>
      <c r="C2340" s="139" t="s">
        <v>3618</v>
      </c>
      <c r="D2340" s="51"/>
      <c r="E2340" s="857">
        <v>27.2</v>
      </c>
    </row>
    <row r="2341" spans="1:5">
      <c r="A2341" s="856">
        <v>40278</v>
      </c>
      <c r="B2341" s="125" t="str">
        <f>TiposLancamentos!B16</f>
        <v>Cristiane</v>
      </c>
      <c r="C2341" s="139" t="s">
        <v>21911</v>
      </c>
      <c r="D2341" s="51"/>
      <c r="E2341" s="857">
        <v>20</v>
      </c>
    </row>
    <row r="2342" spans="1:5">
      <c r="A2342" s="856">
        <v>40278</v>
      </c>
      <c r="B2342" s="125" t="str">
        <f>TiposLancamentos!B72</f>
        <v>Presentes</v>
      </c>
      <c r="C2342" s="139" t="s">
        <v>21912</v>
      </c>
      <c r="D2342" s="51"/>
      <c r="E2342" s="857">
        <v>30</v>
      </c>
    </row>
    <row r="2343" spans="1:5">
      <c r="A2343" s="856">
        <v>40278</v>
      </c>
      <c r="B2343" s="125" t="str">
        <f>TiposLancamentos!B16</f>
        <v>Cristiane</v>
      </c>
      <c r="C2343" s="139" t="s">
        <v>21913</v>
      </c>
      <c r="D2343" s="51"/>
      <c r="E2343" s="857">
        <v>35</v>
      </c>
    </row>
    <row r="2344" spans="1:5">
      <c r="A2344" s="856">
        <v>40278</v>
      </c>
      <c r="B2344" s="125" t="str">
        <f>TiposLancamentos!B19</f>
        <v>Restaurantes</v>
      </c>
      <c r="C2344" s="139" t="s">
        <v>21914</v>
      </c>
      <c r="D2344" s="51"/>
      <c r="E2344" s="857">
        <v>72.489999999999995</v>
      </c>
    </row>
    <row r="2345" spans="1:5">
      <c r="A2345" s="856">
        <v>40278</v>
      </c>
      <c r="B2345" s="125" t="str">
        <f>TiposLancamentos!B17</f>
        <v>GATO</v>
      </c>
      <c r="C2345" s="139" t="s">
        <v>21915</v>
      </c>
      <c r="D2345" s="51"/>
      <c r="E2345" s="857">
        <v>132.9</v>
      </c>
    </row>
    <row r="2346" spans="1:5">
      <c r="A2346" s="856">
        <v>40278</v>
      </c>
      <c r="B2346" s="125" t="str">
        <f>TiposLancamentos!B19</f>
        <v>Restaurantes</v>
      </c>
      <c r="C2346" s="139" t="s">
        <v>3995</v>
      </c>
      <c r="D2346" s="51"/>
      <c r="E2346" s="857">
        <v>29</v>
      </c>
    </row>
    <row r="2347" spans="1:5">
      <c r="A2347" s="856">
        <v>40280</v>
      </c>
      <c r="B2347" s="125" t="str">
        <f>TiposLancamentos!B16</f>
        <v>Cristiane</v>
      </c>
      <c r="C2347" s="139" t="s">
        <v>21916</v>
      </c>
      <c r="D2347" s="51"/>
      <c r="E2347" s="857">
        <v>241.7</v>
      </c>
    </row>
    <row r="2348" spans="1:5">
      <c r="A2348" s="856">
        <v>40280</v>
      </c>
      <c r="B2348" s="125" t="str">
        <f>TiposLancamentos!B19</f>
        <v>Restaurantes</v>
      </c>
      <c r="C2348" s="139" t="s">
        <v>21613</v>
      </c>
      <c r="D2348" s="51"/>
      <c r="E2348" s="857">
        <v>26.68</v>
      </c>
    </row>
    <row r="2349" spans="1:5">
      <c r="A2349" s="856">
        <v>40283</v>
      </c>
      <c r="B2349" s="125" t="str">
        <f>TiposLancamentos!B20</f>
        <v>Saques</v>
      </c>
      <c r="C2349" s="139" t="s">
        <v>2668</v>
      </c>
      <c r="D2349" s="51"/>
      <c r="E2349" s="857">
        <v>50</v>
      </c>
    </row>
    <row r="2350" spans="1:5">
      <c r="A2350" s="856">
        <v>40283</v>
      </c>
      <c r="B2350" s="125" t="str">
        <f>TiposLancamentos!B33</f>
        <v>Pedágios</v>
      </c>
      <c r="C2350" s="126" t="s">
        <v>20941</v>
      </c>
      <c r="D2350" s="51"/>
      <c r="E2350" s="857">
        <v>94.8</v>
      </c>
    </row>
    <row r="2351" spans="1:5">
      <c r="A2351" s="856">
        <v>40283</v>
      </c>
      <c r="B2351" s="125" t="str">
        <f>TiposLancamentos!B95</f>
        <v>Salarios</v>
      </c>
      <c r="C2351" s="139" t="s">
        <v>4916</v>
      </c>
      <c r="D2351" s="51">
        <v>1890.28</v>
      </c>
      <c r="E2351" s="857"/>
    </row>
    <row r="2352" spans="1:5">
      <c r="A2352" s="856">
        <v>40284</v>
      </c>
      <c r="B2352" s="125" t="str">
        <f>TiposLancamentos!B56</f>
        <v>Farmácia</v>
      </c>
      <c r="C2352" s="139" t="s">
        <v>21917</v>
      </c>
      <c r="D2352" s="51"/>
      <c r="E2352" s="857">
        <v>160.97999999999999</v>
      </c>
    </row>
    <row r="2353" spans="1:5">
      <c r="A2353" s="856">
        <v>40284</v>
      </c>
      <c r="B2353" s="125" t="str">
        <f>TiposLancamentos!B19</f>
        <v>Restaurantes</v>
      </c>
      <c r="C2353" s="139" t="s">
        <v>21918</v>
      </c>
      <c r="D2353" s="51"/>
      <c r="E2353" s="857">
        <v>48.84</v>
      </c>
    </row>
    <row r="2354" spans="1:5">
      <c r="A2354" s="856">
        <v>40284</v>
      </c>
      <c r="B2354" s="125" t="str">
        <f>TiposLancamentos!B16</f>
        <v>Cristiane</v>
      </c>
      <c r="C2354" s="139" t="s">
        <v>21919</v>
      </c>
      <c r="D2354" s="51"/>
      <c r="E2354" s="857">
        <v>200</v>
      </c>
    </row>
    <row r="2355" spans="1:5">
      <c r="A2355" s="856">
        <v>40285</v>
      </c>
      <c r="B2355" s="125" t="str">
        <f>TiposLancamentos!B19</f>
        <v>Restaurantes</v>
      </c>
      <c r="C2355" s="139" t="s">
        <v>5789</v>
      </c>
      <c r="D2355" s="51"/>
      <c r="E2355" s="857">
        <v>18.55</v>
      </c>
    </row>
    <row r="2356" spans="1:5">
      <c r="A2356" s="856">
        <v>40285</v>
      </c>
      <c r="B2356" s="125" t="str">
        <f>TiposLancamentos!B22</f>
        <v>Combustivel</v>
      </c>
      <c r="C2356" s="139" t="s">
        <v>3381</v>
      </c>
      <c r="D2356" s="51"/>
      <c r="E2356" s="857">
        <v>110</v>
      </c>
    </row>
    <row r="2357" spans="1:5">
      <c r="A2357" s="856">
        <v>40285</v>
      </c>
      <c r="B2357" s="125" t="str">
        <f>TiposLancamentos!B37</f>
        <v>Playstation 3</v>
      </c>
      <c r="C2357" s="139" t="s">
        <v>21920</v>
      </c>
      <c r="D2357" s="51"/>
      <c r="E2357" s="857">
        <v>320</v>
      </c>
    </row>
    <row r="2358" spans="1:5">
      <c r="A2358" s="856">
        <v>40285</v>
      </c>
      <c r="B2358" s="125" t="str">
        <f>TiposLancamentos!B20</f>
        <v>Saques</v>
      </c>
      <c r="C2358" s="139" t="s">
        <v>4085</v>
      </c>
      <c r="D2358" s="51"/>
      <c r="E2358" s="857">
        <v>1000</v>
      </c>
    </row>
    <row r="2359" spans="1:5">
      <c r="A2359" s="856">
        <v>40285</v>
      </c>
      <c r="B2359" s="125" t="str">
        <f>TiposLancamentos!B19</f>
        <v>Restaurantes</v>
      </c>
      <c r="C2359" s="139" t="s">
        <v>21921</v>
      </c>
      <c r="D2359" s="51"/>
      <c r="E2359" s="857">
        <v>93.83</v>
      </c>
    </row>
    <row r="2360" spans="1:5">
      <c r="A2360" s="856">
        <v>40290</v>
      </c>
      <c r="B2360" s="125" t="str">
        <f>TiposLancamentos!B15</f>
        <v>Cartões de Crédito</v>
      </c>
      <c r="C2360" s="139" t="s">
        <v>21922</v>
      </c>
      <c r="D2360" s="51"/>
      <c r="E2360" s="857">
        <v>20</v>
      </c>
    </row>
    <row r="2361" spans="1:5">
      <c r="A2361" s="856">
        <v>40292</v>
      </c>
      <c r="B2361" s="125" t="str">
        <f>TiposLancamentos!B20</f>
        <v>Saques</v>
      </c>
      <c r="C2361" s="139" t="s">
        <v>2668</v>
      </c>
      <c r="D2361" s="51"/>
      <c r="E2361" s="857">
        <v>80</v>
      </c>
    </row>
    <row r="2362" spans="1:5">
      <c r="A2362" s="856">
        <v>40292</v>
      </c>
      <c r="B2362" s="125" t="str">
        <f>TiposLancamentos!B5</f>
        <v>Supermercado</v>
      </c>
      <c r="C2362" s="139" t="s">
        <v>21923</v>
      </c>
      <c r="D2362" s="51"/>
      <c r="E2362" s="857">
        <v>6.53</v>
      </c>
    </row>
    <row r="2363" spans="1:5">
      <c r="A2363" s="856">
        <v>40294</v>
      </c>
      <c r="B2363" s="125" t="str">
        <f>TiposLancamentos!B74</f>
        <v>Noite</v>
      </c>
      <c r="C2363" s="139" t="s">
        <v>21924</v>
      </c>
      <c r="D2363" s="51"/>
      <c r="E2363" s="857">
        <v>20.75</v>
      </c>
    </row>
    <row r="2364" spans="1:5">
      <c r="A2364" s="856">
        <v>40298</v>
      </c>
      <c r="B2364" s="125" t="str">
        <f>TiposLancamentos!B4</f>
        <v>Taxas Bancarias</v>
      </c>
      <c r="C2364" s="139" t="s">
        <v>21925</v>
      </c>
      <c r="D2364" s="51"/>
      <c r="E2364" s="857">
        <v>28.15</v>
      </c>
    </row>
    <row r="2365" spans="1:5">
      <c r="A2365" s="856">
        <v>40298</v>
      </c>
      <c r="B2365" s="125" t="str">
        <f>TiposLancamentos!B95</f>
        <v>Salarios</v>
      </c>
      <c r="C2365" s="126" t="s">
        <v>4939</v>
      </c>
      <c r="D2365" s="51">
        <v>5436.75</v>
      </c>
      <c r="E2365" s="857"/>
    </row>
    <row r="2366" spans="1:5">
      <c r="A2366" s="856">
        <v>40298</v>
      </c>
      <c r="B2366" s="125" t="str">
        <f>TiposLancamentos!B20</f>
        <v>Saques</v>
      </c>
      <c r="C2366" s="139" t="s">
        <v>21901</v>
      </c>
      <c r="D2366" s="51"/>
      <c r="E2366" s="857">
        <v>50</v>
      </c>
    </row>
    <row r="2367" spans="1:5" ht="14.25" thickBot="1">
      <c r="A2367" s="856">
        <v>40298</v>
      </c>
      <c r="B2367" s="125" t="str">
        <f>TiposLancamentos!B86</f>
        <v>Peugeout 207</v>
      </c>
      <c r="C2367" s="139" t="s">
        <v>21926</v>
      </c>
      <c r="D2367" s="51"/>
      <c r="E2367" s="857">
        <v>466</v>
      </c>
    </row>
    <row r="2368" spans="1:5" ht="14.25" thickBot="1">
      <c r="A2368" s="998"/>
      <c r="B2368" s="989"/>
      <c r="C2368" s="990" t="s">
        <v>5795</v>
      </c>
      <c r="D2368" s="991"/>
      <c r="E2368" s="999"/>
    </row>
    <row r="2369" spans="1:5">
      <c r="A2369" s="856">
        <v>40299</v>
      </c>
      <c r="B2369" s="125" t="str">
        <f>TiposLancamentos!B19</f>
        <v>Restaurantes</v>
      </c>
      <c r="C2369" s="139" t="s">
        <v>21576</v>
      </c>
      <c r="D2369" s="51"/>
      <c r="E2369" s="857">
        <v>20.8</v>
      </c>
    </row>
    <row r="2370" spans="1:5">
      <c r="A2370" s="856">
        <v>40301</v>
      </c>
      <c r="B2370" s="125" t="str">
        <f>TiposLancamentos!B15</f>
        <v>Cartões de Crédito</v>
      </c>
      <c r="C2370" s="139" t="s">
        <v>5557</v>
      </c>
      <c r="D2370" s="51"/>
      <c r="E2370" s="857">
        <v>1924.32</v>
      </c>
    </row>
    <row r="2371" spans="1:5">
      <c r="A2371" s="856">
        <v>40301</v>
      </c>
      <c r="B2371" s="125" t="str">
        <f>TiposLancamentos!B6</f>
        <v>Energia Eletrica</v>
      </c>
      <c r="C2371" s="139" t="s">
        <v>5191</v>
      </c>
      <c r="D2371" s="51"/>
      <c r="E2371" s="857">
        <v>149.06</v>
      </c>
    </row>
    <row r="2372" spans="1:5">
      <c r="A2372" s="856">
        <v>40301</v>
      </c>
      <c r="B2372" s="125" t="str">
        <f>TiposLancamentos!B15</f>
        <v>Cartões de Crédito</v>
      </c>
      <c r="C2372" s="139" t="s">
        <v>17460</v>
      </c>
      <c r="D2372" s="51"/>
      <c r="E2372" s="857">
        <v>157.69999999999999</v>
      </c>
    </row>
    <row r="2373" spans="1:5">
      <c r="A2373" s="856">
        <v>40301</v>
      </c>
      <c r="B2373" s="125" t="str">
        <f>TiposLancamentos!B15</f>
        <v>Cartões de Crédito</v>
      </c>
      <c r="C2373" s="139" t="s">
        <v>21927</v>
      </c>
      <c r="D2373" s="51"/>
      <c r="E2373" s="857">
        <v>6.67</v>
      </c>
    </row>
    <row r="2374" spans="1:5">
      <c r="A2374" s="856">
        <v>40301</v>
      </c>
      <c r="B2374" s="125" t="str">
        <f>TiposLancamentos!B15</f>
        <v>Cartões de Crédito</v>
      </c>
      <c r="C2374" s="139" t="s">
        <v>21928</v>
      </c>
      <c r="D2374" s="51"/>
      <c r="E2374" s="857">
        <v>5.7</v>
      </c>
    </row>
    <row r="2375" spans="1:5">
      <c r="A2375" s="856">
        <v>40301</v>
      </c>
      <c r="B2375" s="125" t="str">
        <f>TiposLancamentos!B9</f>
        <v>Condominio</v>
      </c>
      <c r="C2375" s="139" t="s">
        <v>5925</v>
      </c>
      <c r="D2375" s="51"/>
      <c r="E2375" s="857">
        <v>771.62</v>
      </c>
    </row>
    <row r="2376" spans="1:5">
      <c r="A2376" s="856">
        <v>40301</v>
      </c>
      <c r="B2376" s="125" t="str">
        <f>TiposLancamentos!B4</f>
        <v>Taxas Bancarias</v>
      </c>
      <c r="C2376" s="139" t="s">
        <v>21897</v>
      </c>
      <c r="D2376" s="51"/>
      <c r="E2376" s="857">
        <v>4.9400000000000004</v>
      </c>
    </row>
    <row r="2377" spans="1:5">
      <c r="A2377" s="856">
        <v>40301</v>
      </c>
      <c r="B2377" s="125" t="str">
        <f>TiposLancamentos!B5</f>
        <v>Supermercado</v>
      </c>
      <c r="C2377" s="139" t="s">
        <v>21929</v>
      </c>
      <c r="D2377" s="51"/>
      <c r="E2377" s="857">
        <v>28.4</v>
      </c>
    </row>
    <row r="2378" spans="1:5">
      <c r="A2378" s="856">
        <v>40303</v>
      </c>
      <c r="B2378" s="125" t="str">
        <f>TiposLancamentos!B22</f>
        <v>Combustivel</v>
      </c>
      <c r="C2378" s="139" t="s">
        <v>21930</v>
      </c>
      <c r="D2378" s="51"/>
      <c r="E2378" s="857">
        <v>120</v>
      </c>
    </row>
    <row r="2379" spans="1:5">
      <c r="A2379" s="856">
        <v>40304</v>
      </c>
      <c r="B2379" s="125" t="str">
        <f>TiposLancamentos!B19</f>
        <v>Restaurantes</v>
      </c>
      <c r="C2379" s="139" t="s">
        <v>21931</v>
      </c>
      <c r="D2379" s="51"/>
      <c r="E2379" s="857">
        <v>9.3000000000000007</v>
      </c>
    </row>
    <row r="2380" spans="1:5">
      <c r="A2380" s="856">
        <v>40304</v>
      </c>
      <c r="B2380" s="125" t="str">
        <f>TiposLancamentos!B50</f>
        <v>Guitarra</v>
      </c>
      <c r="C2380" s="139" t="s">
        <v>21932</v>
      </c>
      <c r="D2380" s="51"/>
      <c r="E2380" s="857">
        <v>29.8</v>
      </c>
    </row>
    <row r="2381" spans="1:5">
      <c r="A2381" s="856">
        <v>40304</v>
      </c>
      <c r="B2381" s="125" t="str">
        <f>TiposLancamentos!B19</f>
        <v>Restaurantes</v>
      </c>
      <c r="C2381" s="139" t="s">
        <v>21933</v>
      </c>
      <c r="D2381" s="51"/>
      <c r="E2381" s="857">
        <v>15</v>
      </c>
    </row>
    <row r="2382" spans="1:5">
      <c r="A2382" s="856">
        <v>40305</v>
      </c>
      <c r="B2382" s="125" t="str">
        <f>TiposLancamentos!B19</f>
        <v>Restaurantes</v>
      </c>
      <c r="C2382" s="139" t="s">
        <v>21934</v>
      </c>
      <c r="D2382" s="51"/>
      <c r="E2382" s="857">
        <v>27.4</v>
      </c>
    </row>
    <row r="2383" spans="1:5">
      <c r="A2383" s="856">
        <v>40305</v>
      </c>
      <c r="B2383" s="125" t="str">
        <f>TiposLancamentos!B16</f>
        <v>Cristiane</v>
      </c>
      <c r="C2383" s="139" t="s">
        <v>21935</v>
      </c>
      <c r="D2383" s="51"/>
      <c r="E2383" s="857">
        <v>24</v>
      </c>
    </row>
    <row r="2384" spans="1:5">
      <c r="A2384" s="856">
        <v>40305</v>
      </c>
      <c r="B2384" s="125" t="str">
        <f>TiposLancamentos!B19</f>
        <v>Restaurantes</v>
      </c>
      <c r="C2384" s="139" t="s">
        <v>21936</v>
      </c>
      <c r="D2384" s="51"/>
      <c r="E2384" s="857">
        <v>18.25</v>
      </c>
    </row>
    <row r="2385" spans="1:6">
      <c r="A2385" s="856">
        <v>40306</v>
      </c>
      <c r="B2385" s="125" t="str">
        <f>TiposLancamentos!B74</f>
        <v>Noite</v>
      </c>
      <c r="C2385" s="139" t="s">
        <v>21937</v>
      </c>
      <c r="D2385" s="51"/>
      <c r="E2385" s="857">
        <v>78</v>
      </c>
    </row>
    <row r="2386" spans="1:6">
      <c r="A2386" s="856">
        <v>40306</v>
      </c>
      <c r="B2386" s="125" t="str">
        <f>TiposLancamentos!B16</f>
        <v>Cristiane</v>
      </c>
      <c r="C2386" s="139" t="s">
        <v>21938</v>
      </c>
      <c r="D2386" s="51"/>
      <c r="E2386" s="857">
        <v>21</v>
      </c>
    </row>
    <row r="2387" spans="1:6">
      <c r="A2387" s="856">
        <v>40306</v>
      </c>
      <c r="B2387" s="125" t="str">
        <f>TiposLancamentos!B5</f>
        <v>Supermercado</v>
      </c>
      <c r="C2387" s="139" t="s">
        <v>5801</v>
      </c>
      <c r="D2387" s="51"/>
      <c r="E2387" s="857">
        <v>60.35</v>
      </c>
    </row>
    <row r="2388" spans="1:6">
      <c r="A2388" s="856">
        <v>40307</v>
      </c>
      <c r="B2388" s="125" t="str">
        <f>TiposLancamentos!B74</f>
        <v>Noite</v>
      </c>
      <c r="C2388" s="139" t="s">
        <v>21939</v>
      </c>
      <c r="D2388" s="51"/>
      <c r="E2388" s="857">
        <v>23</v>
      </c>
    </row>
    <row r="2389" spans="1:6">
      <c r="A2389" s="856">
        <v>40307</v>
      </c>
      <c r="B2389" s="125" t="str">
        <f>TiposLancamentos!B19</f>
        <v>Restaurantes</v>
      </c>
      <c r="C2389" s="139" t="s">
        <v>21940</v>
      </c>
      <c r="D2389" s="51"/>
      <c r="E2389" s="857">
        <v>22.6</v>
      </c>
    </row>
    <row r="2390" spans="1:6">
      <c r="A2390" s="806">
        <v>40308</v>
      </c>
      <c r="B2390" s="807" t="str">
        <f>TiposLancamentos!B35</f>
        <v>Tv à Cabo</v>
      </c>
      <c r="C2390" s="808" t="s">
        <v>21732</v>
      </c>
      <c r="D2390" s="809"/>
      <c r="E2390" s="859">
        <v>168.8</v>
      </c>
    </row>
    <row r="2391" spans="1:6">
      <c r="A2391" s="773">
        <v>40308</v>
      </c>
      <c r="B2391" s="152" t="str">
        <f>TiposLancamentos!B3</f>
        <v>Internet</v>
      </c>
      <c r="C2391" s="141" t="s">
        <v>5835</v>
      </c>
      <c r="D2391" s="127"/>
      <c r="E2391" s="861">
        <v>86</v>
      </c>
    </row>
    <row r="2392" spans="1:6">
      <c r="A2392" s="810">
        <v>40308</v>
      </c>
      <c r="B2392" s="811" t="str">
        <f>TiposLancamentos!B2</f>
        <v>Telefonia</v>
      </c>
      <c r="C2392" s="812" t="s">
        <v>21733</v>
      </c>
      <c r="D2392" s="813"/>
      <c r="E2392" s="863">
        <v>0.5</v>
      </c>
      <c r="F2392" s="36">
        <f>SUM(E2390:E2392)</f>
        <v>255.3</v>
      </c>
    </row>
    <row r="2393" spans="1:6">
      <c r="A2393" s="856">
        <v>40308</v>
      </c>
      <c r="B2393" s="125" t="str">
        <f>TiposLancamentos!B16</f>
        <v>Cristiane</v>
      </c>
      <c r="C2393" s="139" t="s">
        <v>21866</v>
      </c>
      <c r="D2393" s="51"/>
      <c r="E2393" s="857">
        <v>241.7</v>
      </c>
    </row>
    <row r="2394" spans="1:6">
      <c r="A2394" s="856">
        <v>40308</v>
      </c>
      <c r="B2394" s="125" t="str">
        <f>TiposLancamentos!B8</f>
        <v>Aluguel</v>
      </c>
      <c r="C2394" s="139" t="s">
        <v>2504</v>
      </c>
      <c r="D2394" s="51"/>
      <c r="E2394" s="857">
        <v>1004.05</v>
      </c>
    </row>
    <row r="2395" spans="1:6">
      <c r="A2395" s="856">
        <v>40308</v>
      </c>
      <c r="B2395" s="125" t="str">
        <f>TiposLancamentos!B30</f>
        <v>Cinema</v>
      </c>
      <c r="C2395" s="139" t="s">
        <v>21941</v>
      </c>
      <c r="D2395" s="51"/>
      <c r="E2395" s="857">
        <v>28</v>
      </c>
    </row>
    <row r="2396" spans="1:6">
      <c r="A2396" s="856">
        <v>40308</v>
      </c>
      <c r="B2396" s="125" t="str">
        <f>TiposLancamentos!B19</f>
        <v>Restaurantes</v>
      </c>
      <c r="C2396" s="139" t="s">
        <v>21942</v>
      </c>
      <c r="D2396" s="51"/>
      <c r="E2396" s="857">
        <v>23.65</v>
      </c>
    </row>
    <row r="2397" spans="1:6">
      <c r="A2397" s="856">
        <v>40309</v>
      </c>
      <c r="B2397" s="125" t="str">
        <f>TiposLancamentos!B19</f>
        <v>Restaurantes</v>
      </c>
      <c r="C2397" s="139" t="s">
        <v>21943</v>
      </c>
      <c r="D2397" s="51"/>
      <c r="E2397" s="857">
        <v>9.42</v>
      </c>
    </row>
    <row r="2398" spans="1:6">
      <c r="A2398" s="856">
        <v>40311</v>
      </c>
      <c r="B2398" s="125" t="str">
        <f>TiposLancamentos!B19</f>
        <v>Restaurantes</v>
      </c>
      <c r="C2398" s="139" t="s">
        <v>21944</v>
      </c>
      <c r="D2398" s="51"/>
      <c r="E2398" s="857">
        <v>21</v>
      </c>
    </row>
    <row r="2399" spans="1:6">
      <c r="A2399" s="856">
        <v>40311</v>
      </c>
      <c r="B2399" s="125" t="str">
        <f>TiposLancamentos!B69</f>
        <v>Consertos</v>
      </c>
      <c r="C2399" s="139" t="s">
        <v>21945</v>
      </c>
      <c r="D2399" s="51"/>
      <c r="E2399" s="857">
        <v>60</v>
      </c>
    </row>
    <row r="2400" spans="1:6">
      <c r="A2400" s="856">
        <v>40312</v>
      </c>
      <c r="B2400" s="125" t="str">
        <f>TiposLancamentos!B95</f>
        <v>Salarios</v>
      </c>
      <c r="C2400" s="139" t="s">
        <v>4916</v>
      </c>
      <c r="D2400" s="51">
        <v>1890.28</v>
      </c>
      <c r="E2400" s="857"/>
    </row>
    <row r="2401" spans="1:5">
      <c r="A2401" s="856">
        <v>40312</v>
      </c>
      <c r="B2401" s="125" t="str">
        <f>TiposLancamentos!B86</f>
        <v>Peugeout 207</v>
      </c>
      <c r="C2401" s="139" t="s">
        <v>21946</v>
      </c>
      <c r="D2401" s="51"/>
      <c r="E2401" s="857">
        <v>700.69</v>
      </c>
    </row>
    <row r="2402" spans="1:5">
      <c r="A2402" s="856">
        <v>40312</v>
      </c>
      <c r="B2402" s="125" t="str">
        <f>TiposLancamentos!B19</f>
        <v>Restaurantes</v>
      </c>
      <c r="C2402" s="139" t="s">
        <v>21892</v>
      </c>
      <c r="D2402" s="51"/>
      <c r="E2402" s="857">
        <v>43.5</v>
      </c>
    </row>
    <row r="2403" spans="1:5">
      <c r="A2403" s="856">
        <v>40312</v>
      </c>
      <c r="B2403" s="125" t="str">
        <f>TiposLancamentos!B56</f>
        <v>Farmácia</v>
      </c>
      <c r="C2403" s="139" t="s">
        <v>21947</v>
      </c>
      <c r="D2403" s="51"/>
      <c r="E2403" s="857">
        <v>46.58</v>
      </c>
    </row>
    <row r="2404" spans="1:5">
      <c r="A2404" s="856">
        <v>40312</v>
      </c>
      <c r="B2404" s="125" t="str">
        <f>TiposLancamentos!B27</f>
        <v>Jornais e revistas</v>
      </c>
      <c r="C2404" s="139" t="s">
        <v>21948</v>
      </c>
      <c r="D2404" s="51"/>
      <c r="E2404" s="857">
        <v>39.799999999999997</v>
      </c>
    </row>
    <row r="2405" spans="1:5">
      <c r="A2405" s="856">
        <v>40312</v>
      </c>
      <c r="B2405" s="125" t="str">
        <f>TiposLancamentos!B98</f>
        <v>Restituições</v>
      </c>
      <c r="C2405" s="139" t="s">
        <v>21949</v>
      </c>
      <c r="D2405" s="51">
        <v>60</v>
      </c>
      <c r="E2405" s="857"/>
    </row>
    <row r="2406" spans="1:5">
      <c r="A2406" s="856">
        <v>40314</v>
      </c>
      <c r="B2406" s="125" t="str">
        <f>TiposLancamentos!B24</f>
        <v>Estacionamentos</v>
      </c>
      <c r="C2406" s="139" t="s">
        <v>21125</v>
      </c>
      <c r="D2406" s="51"/>
      <c r="E2406" s="857">
        <v>30.2</v>
      </c>
    </row>
    <row r="2407" spans="1:5">
      <c r="A2407" s="856">
        <v>40315</v>
      </c>
      <c r="B2407" s="125" t="str">
        <f>TiposLancamentos!B16</f>
        <v>Cristiane</v>
      </c>
      <c r="C2407" s="139" t="s">
        <v>21950</v>
      </c>
      <c r="D2407" s="51"/>
      <c r="E2407" s="857">
        <v>88</v>
      </c>
    </row>
    <row r="2408" spans="1:5">
      <c r="A2408" s="856">
        <v>40315</v>
      </c>
      <c r="B2408" s="125" t="str">
        <f>TiposLancamentos!B5</f>
        <v>Supermercado</v>
      </c>
      <c r="C2408" s="139" t="s">
        <v>21951</v>
      </c>
      <c r="D2408" s="51"/>
      <c r="E2408" s="857">
        <v>120.44</v>
      </c>
    </row>
    <row r="2409" spans="1:5">
      <c r="A2409" s="856">
        <v>40316</v>
      </c>
      <c r="B2409" s="125" t="str">
        <f>TiposLancamentos!B18</f>
        <v>Alimentacao</v>
      </c>
      <c r="C2409" s="139" t="s">
        <v>21952</v>
      </c>
      <c r="D2409" s="51"/>
      <c r="E2409" s="857">
        <v>7.8</v>
      </c>
    </row>
    <row r="2410" spans="1:5">
      <c r="A2410" s="856">
        <v>40317</v>
      </c>
      <c r="B2410" s="125" t="str">
        <f>TiposLancamentos!B71</f>
        <v>Itens Pessoais</v>
      </c>
      <c r="C2410" s="139" t="s">
        <v>21202</v>
      </c>
      <c r="D2410" s="51"/>
      <c r="E2410" s="857">
        <v>18</v>
      </c>
    </row>
    <row r="2411" spans="1:5">
      <c r="A2411" s="856">
        <v>40317</v>
      </c>
      <c r="B2411" s="125" t="str">
        <f>TiposLancamentos!B19</f>
        <v>Restaurantes</v>
      </c>
      <c r="C2411" s="139" t="s">
        <v>21805</v>
      </c>
      <c r="D2411" s="51"/>
      <c r="E2411" s="857">
        <v>16.52</v>
      </c>
    </row>
    <row r="2412" spans="1:5">
      <c r="A2412" s="856">
        <v>40317</v>
      </c>
      <c r="B2412" s="125" t="str">
        <f>TiposLancamentos!B20</f>
        <v>Saques</v>
      </c>
      <c r="C2412" s="139" t="s">
        <v>3403</v>
      </c>
      <c r="D2412" s="51"/>
      <c r="E2412" s="857">
        <v>20</v>
      </c>
    </row>
    <row r="2413" spans="1:5">
      <c r="A2413" s="856">
        <v>40317</v>
      </c>
      <c r="B2413" s="125" t="str">
        <f>TiposLancamentos!B56</f>
        <v>Farmácia</v>
      </c>
      <c r="C2413" s="139" t="s">
        <v>21953</v>
      </c>
      <c r="D2413" s="51"/>
      <c r="E2413" s="857">
        <v>87.35</v>
      </c>
    </row>
    <row r="2414" spans="1:5">
      <c r="A2414" s="856">
        <v>40318</v>
      </c>
      <c r="B2414" s="125" t="str">
        <f>TiposLancamentos!B69</f>
        <v>Consertos</v>
      </c>
      <c r="C2414" s="139" t="s">
        <v>21945</v>
      </c>
      <c r="D2414" s="51"/>
      <c r="E2414" s="857">
        <v>60</v>
      </c>
    </row>
    <row r="2415" spans="1:5">
      <c r="A2415" s="856">
        <v>40319</v>
      </c>
      <c r="B2415" s="125" t="str">
        <f>TiposLancamentos!B19</f>
        <v>Restaurantes</v>
      </c>
      <c r="C2415" s="139" t="s">
        <v>21942</v>
      </c>
      <c r="D2415" s="51"/>
      <c r="E2415" s="857">
        <v>20.39</v>
      </c>
    </row>
    <row r="2416" spans="1:5">
      <c r="A2416" s="856">
        <v>40320</v>
      </c>
      <c r="B2416" s="125" t="str">
        <f>TiposLancamentos!B19</f>
        <v>Restaurantes</v>
      </c>
      <c r="C2416" s="139" t="s">
        <v>21954</v>
      </c>
      <c r="D2416" s="51"/>
      <c r="E2416" s="857">
        <v>8</v>
      </c>
    </row>
    <row r="2417" spans="1:6">
      <c r="A2417" s="856">
        <v>40320</v>
      </c>
      <c r="B2417" s="125" t="str">
        <f>TiposLancamentos!B20</f>
        <v>Saques</v>
      </c>
      <c r="C2417" s="139" t="s">
        <v>1706</v>
      </c>
      <c r="D2417" s="51"/>
      <c r="E2417" s="857">
        <v>40</v>
      </c>
    </row>
    <row r="2418" spans="1:6">
      <c r="A2418" s="856">
        <v>40321</v>
      </c>
      <c r="B2418" s="125" t="str">
        <f>TiposLancamentos!B19</f>
        <v>Restaurantes</v>
      </c>
      <c r="C2418" s="139" t="s">
        <v>3618</v>
      </c>
      <c r="D2418" s="51"/>
      <c r="E2418" s="857">
        <v>38.96</v>
      </c>
    </row>
    <row r="2419" spans="1:6">
      <c r="A2419" s="856">
        <v>40323</v>
      </c>
      <c r="B2419" s="125" t="str">
        <f>TiposLancamentos!B19</f>
        <v>Restaurantes</v>
      </c>
      <c r="C2419" s="139" t="s">
        <v>21955</v>
      </c>
      <c r="D2419" s="51"/>
      <c r="E2419" s="857">
        <v>21.62</v>
      </c>
    </row>
    <row r="2420" spans="1:6">
      <c r="A2420" s="856">
        <v>40325</v>
      </c>
      <c r="B2420" s="125" t="str">
        <f>TiposLancamentos!B74</f>
        <v>Noite</v>
      </c>
      <c r="C2420" s="139" t="s">
        <v>4027</v>
      </c>
      <c r="D2420" s="51"/>
      <c r="E2420" s="954">
        <v>24</v>
      </c>
    </row>
    <row r="2421" spans="1:6">
      <c r="A2421" s="856">
        <v>40326</v>
      </c>
      <c r="B2421" s="125" t="str">
        <f>TiposLancamentos!B20</f>
        <v>Saques</v>
      </c>
      <c r="C2421" s="139" t="s">
        <v>3403</v>
      </c>
      <c r="D2421" s="51"/>
      <c r="E2421" s="857">
        <v>30</v>
      </c>
    </row>
    <row r="2422" spans="1:6">
      <c r="A2422" s="856">
        <v>40326</v>
      </c>
      <c r="B2422" s="125" t="str">
        <f>TiposLancamentos!B22</f>
        <v>Combustivel</v>
      </c>
      <c r="C2422" s="139" t="s">
        <v>21956</v>
      </c>
      <c r="D2422" s="51"/>
      <c r="E2422" s="857">
        <v>120.04</v>
      </c>
    </row>
    <row r="2423" spans="1:6">
      <c r="A2423" s="856">
        <v>40327</v>
      </c>
      <c r="B2423" s="125" t="str">
        <f>TiposLancamentos!B20</f>
        <v>Saques</v>
      </c>
      <c r="C2423" s="139" t="s">
        <v>21957</v>
      </c>
      <c r="D2423" s="51"/>
      <c r="E2423" s="857">
        <v>80</v>
      </c>
    </row>
    <row r="2424" spans="1:6">
      <c r="A2424" s="856">
        <v>40327</v>
      </c>
      <c r="B2424" s="125" t="str">
        <f>TiposLancamentos!B19</f>
        <v>Restaurantes</v>
      </c>
      <c r="C2424" s="139" t="s">
        <v>21958</v>
      </c>
      <c r="D2424" s="51"/>
      <c r="E2424" s="857">
        <v>119.35</v>
      </c>
    </row>
    <row r="2425" spans="1:6">
      <c r="A2425" s="856">
        <v>40327</v>
      </c>
      <c r="B2425" s="125" t="str">
        <f>TiposLancamentos!B5</f>
        <v>Supermercado</v>
      </c>
      <c r="C2425" s="139" t="s">
        <v>21959</v>
      </c>
      <c r="D2425" s="51"/>
      <c r="E2425" s="857">
        <v>39.35</v>
      </c>
    </row>
    <row r="2426" spans="1:6">
      <c r="A2426" s="856">
        <v>40328</v>
      </c>
      <c r="B2426" s="125" t="str">
        <f>TiposLancamentos!B19</f>
        <v>Restaurantes</v>
      </c>
      <c r="C2426" s="139" t="s">
        <v>21960</v>
      </c>
      <c r="D2426" s="51"/>
      <c r="E2426" s="857">
        <v>17.84</v>
      </c>
    </row>
    <row r="2427" spans="1:6">
      <c r="A2427" s="856">
        <v>40328</v>
      </c>
      <c r="B2427" s="125" t="str">
        <f>TiposLancamentos!B19</f>
        <v>Restaurantes</v>
      </c>
      <c r="C2427" s="139" t="s">
        <v>21781</v>
      </c>
      <c r="D2427" s="51"/>
      <c r="E2427" s="857">
        <v>23.5</v>
      </c>
    </row>
    <row r="2428" spans="1:6">
      <c r="A2428" s="856">
        <v>40329</v>
      </c>
      <c r="B2428" s="125" t="str">
        <f>TiposLancamentos!B43</f>
        <v>Imposto de Renda</v>
      </c>
      <c r="C2428" s="139" t="s">
        <v>21961</v>
      </c>
      <c r="D2428" s="51"/>
      <c r="E2428" s="857">
        <v>254.27</v>
      </c>
      <c r="F2428" s="154"/>
    </row>
    <row r="2429" spans="1:6">
      <c r="A2429" s="856">
        <v>40329</v>
      </c>
      <c r="B2429" s="125" t="str">
        <f>TiposLancamentos!B4</f>
        <v>Taxas Bancarias</v>
      </c>
      <c r="C2429" s="139" t="s">
        <v>21962</v>
      </c>
      <c r="D2429" s="51"/>
      <c r="E2429" s="857">
        <v>31.22</v>
      </c>
      <c r="F2429" s="154"/>
    </row>
    <row r="2430" spans="1:6" ht="14.25" thickBot="1">
      <c r="A2430" s="856">
        <v>40329</v>
      </c>
      <c r="B2430" s="125" t="str">
        <f>TiposLancamentos!B95</f>
        <v>Salarios</v>
      </c>
      <c r="C2430" s="126" t="s">
        <v>4939</v>
      </c>
      <c r="D2430" s="51">
        <v>6138.14</v>
      </c>
      <c r="E2430" s="857"/>
    </row>
    <row r="2431" spans="1:6" ht="14.25" thickBot="1">
      <c r="A2431" s="998"/>
      <c r="B2431" s="989"/>
      <c r="C2431" s="990" t="s">
        <v>13435</v>
      </c>
      <c r="D2431" s="991"/>
      <c r="E2431" s="999"/>
    </row>
    <row r="2432" spans="1:6">
      <c r="A2432" s="856">
        <v>40330</v>
      </c>
      <c r="B2432" s="125" t="str">
        <f>TiposLancamentos!B15</f>
        <v>Cartões de Crédito</v>
      </c>
      <c r="C2432" s="139" t="s">
        <v>1260</v>
      </c>
      <c r="D2432" s="51"/>
      <c r="E2432" s="857">
        <v>1426.12</v>
      </c>
    </row>
    <row r="2433" spans="1:6">
      <c r="A2433" s="856">
        <v>40330</v>
      </c>
      <c r="B2433" s="125" t="str">
        <f>TiposLancamentos!B6</f>
        <v>Energia Eletrica</v>
      </c>
      <c r="C2433" s="139" t="s">
        <v>5191</v>
      </c>
      <c r="D2433" s="51"/>
      <c r="E2433" s="857">
        <v>139.37</v>
      </c>
    </row>
    <row r="2434" spans="1:6">
      <c r="A2434" s="856">
        <v>40330</v>
      </c>
      <c r="B2434" s="125" t="str">
        <f>TiposLancamentos!B15</f>
        <v>Cartões de Crédito</v>
      </c>
      <c r="C2434" s="139" t="s">
        <v>21963</v>
      </c>
      <c r="D2434" s="51"/>
      <c r="E2434" s="857">
        <v>7.9</v>
      </c>
    </row>
    <row r="2435" spans="1:6">
      <c r="A2435" s="856">
        <v>40330</v>
      </c>
      <c r="B2435" s="125" t="str">
        <f>TiposLancamentos!B15</f>
        <v>Cartões de Crédito</v>
      </c>
      <c r="C2435" s="139" t="s">
        <v>17460</v>
      </c>
      <c r="D2435" s="51"/>
      <c r="E2435" s="857">
        <v>458.33</v>
      </c>
    </row>
    <row r="2436" spans="1:6">
      <c r="A2436" s="856">
        <v>40330</v>
      </c>
      <c r="B2436" s="125" t="str">
        <f>TiposLancamentos!B9</f>
        <v>Condominio</v>
      </c>
      <c r="C2436" s="139" t="s">
        <v>5925</v>
      </c>
      <c r="D2436" s="51"/>
      <c r="E2436" s="857">
        <v>747.36</v>
      </c>
    </row>
    <row r="2437" spans="1:6">
      <c r="A2437" s="856">
        <v>40330</v>
      </c>
      <c r="B2437" s="125" t="str">
        <f>TiposLancamentos!B16</f>
        <v>Cristiane</v>
      </c>
      <c r="C2437" s="139" t="s">
        <v>6241</v>
      </c>
      <c r="D2437" s="51"/>
      <c r="E2437" s="857">
        <v>84.4</v>
      </c>
    </row>
    <row r="2438" spans="1:6">
      <c r="A2438" s="806">
        <v>40330</v>
      </c>
      <c r="B2438" s="807" t="str">
        <f>TiposLancamentos!B35</f>
        <v>Tv à Cabo</v>
      </c>
      <c r="C2438" s="808" t="s">
        <v>21732</v>
      </c>
      <c r="D2438" s="809"/>
      <c r="E2438" s="859">
        <v>168.8</v>
      </c>
    </row>
    <row r="2439" spans="1:6">
      <c r="A2439" s="773">
        <v>40330</v>
      </c>
      <c r="B2439" s="152" t="str">
        <f>TiposLancamentos!B3</f>
        <v>Internet</v>
      </c>
      <c r="C2439" s="141" t="s">
        <v>5835</v>
      </c>
      <c r="D2439" s="127"/>
      <c r="E2439" s="861">
        <v>86</v>
      </c>
    </row>
    <row r="2440" spans="1:6">
      <c r="A2440" s="810">
        <v>40330</v>
      </c>
      <c r="B2440" s="811" t="str">
        <f>TiposLancamentos!B2</f>
        <v>Telefonia</v>
      </c>
      <c r="C2440" s="812" t="s">
        <v>21733</v>
      </c>
      <c r="D2440" s="813"/>
      <c r="E2440" s="863">
        <v>3.02</v>
      </c>
      <c r="F2440" s="36">
        <f>SUM(E2438:E2440)</f>
        <v>257.82</v>
      </c>
    </row>
    <row r="2441" spans="1:6">
      <c r="A2441" s="856">
        <v>40330</v>
      </c>
      <c r="B2441" s="125" t="str">
        <f>TiposLancamentos!B20</f>
        <v>Saques</v>
      </c>
      <c r="C2441" s="139" t="s">
        <v>3403</v>
      </c>
      <c r="D2441" s="51"/>
      <c r="E2441" s="857">
        <v>80</v>
      </c>
    </row>
    <row r="2442" spans="1:6">
      <c r="A2442" s="856">
        <v>40330</v>
      </c>
      <c r="B2442" s="125" t="str">
        <f>TiposLancamentos!B4</f>
        <v>Taxas Bancarias</v>
      </c>
      <c r="C2442" s="139" t="s">
        <v>21897</v>
      </c>
      <c r="D2442" s="51"/>
      <c r="E2442" s="857">
        <v>6.86</v>
      </c>
    </row>
    <row r="2443" spans="1:6">
      <c r="A2443" s="856">
        <v>40333</v>
      </c>
      <c r="B2443" s="125" t="str">
        <f>TiposLancamentos!B56</f>
        <v>Farmácia</v>
      </c>
      <c r="C2443" s="139" t="s">
        <v>21964</v>
      </c>
      <c r="D2443" s="51"/>
      <c r="E2443" s="857">
        <v>57.82</v>
      </c>
    </row>
    <row r="2444" spans="1:6">
      <c r="A2444" s="856">
        <v>40337</v>
      </c>
      <c r="B2444" s="125" t="str">
        <f>TiposLancamentos!B19</f>
        <v>Restaurantes</v>
      </c>
      <c r="C2444" s="139" t="s">
        <v>21965</v>
      </c>
      <c r="D2444" s="51"/>
      <c r="E2444" s="857">
        <v>38.17</v>
      </c>
    </row>
    <row r="2445" spans="1:6">
      <c r="A2445" s="856">
        <v>40339</v>
      </c>
      <c r="B2445" s="125" t="str">
        <f>TiposLancamentos!B8</f>
        <v>Aluguel</v>
      </c>
      <c r="C2445" s="139" t="s">
        <v>21966</v>
      </c>
      <c r="D2445" s="51"/>
      <c r="E2445" s="857">
        <v>1004.05</v>
      </c>
    </row>
    <row r="2446" spans="1:6">
      <c r="A2446" s="856">
        <v>40339</v>
      </c>
      <c r="B2446" s="125" t="str">
        <f>TiposLancamentos!B19</f>
        <v>Restaurantes</v>
      </c>
      <c r="C2446" s="139" t="s">
        <v>21967</v>
      </c>
      <c r="D2446" s="51"/>
      <c r="E2446" s="857">
        <v>28.05</v>
      </c>
    </row>
    <row r="2447" spans="1:6">
      <c r="A2447" s="856">
        <v>40339</v>
      </c>
      <c r="B2447" s="125" t="str">
        <f>TiposLancamentos!B19</f>
        <v>Restaurantes</v>
      </c>
      <c r="C2447" s="139" t="s">
        <v>21968</v>
      </c>
      <c r="D2447" s="51"/>
      <c r="E2447" s="857">
        <v>6.4</v>
      </c>
    </row>
    <row r="2448" spans="1:6">
      <c r="A2448" s="856">
        <v>40339</v>
      </c>
      <c r="B2448" s="125" t="str">
        <f>TiposLancamentos!B16</f>
        <v>Cristiane</v>
      </c>
      <c r="C2448" s="139" t="s">
        <v>21969</v>
      </c>
      <c r="D2448" s="51"/>
      <c r="E2448" s="857">
        <v>117.25</v>
      </c>
    </row>
    <row r="2449" spans="1:5">
      <c r="A2449" s="856">
        <v>40339</v>
      </c>
      <c r="B2449" s="125" t="str">
        <f>TiposLancamentos!B16</f>
        <v>Cristiane</v>
      </c>
      <c r="C2449" s="139" t="s">
        <v>21970</v>
      </c>
      <c r="D2449" s="51"/>
      <c r="E2449" s="857">
        <v>241.7</v>
      </c>
    </row>
    <row r="2450" spans="1:5">
      <c r="A2450" s="856">
        <v>40340</v>
      </c>
      <c r="B2450" s="125" t="str">
        <f>TiposLancamentos!B70</f>
        <v>Vestuário</v>
      </c>
      <c r="C2450" s="139" t="s">
        <v>21971</v>
      </c>
      <c r="D2450" s="51"/>
      <c r="E2450" s="857">
        <v>659.6</v>
      </c>
    </row>
    <row r="2451" spans="1:5">
      <c r="A2451" s="856">
        <v>40340</v>
      </c>
      <c r="B2451" s="125" t="str">
        <f>TiposLancamentos!B70</f>
        <v>Vestuário</v>
      </c>
      <c r="C2451" s="139" t="s">
        <v>21972</v>
      </c>
      <c r="D2451" s="51"/>
      <c r="E2451" s="857">
        <v>43</v>
      </c>
    </row>
    <row r="2452" spans="1:5">
      <c r="A2452" s="856">
        <v>40340</v>
      </c>
      <c r="B2452" s="125" t="str">
        <f>TiposLancamentos!B13</f>
        <v>Moradia</v>
      </c>
      <c r="C2452" s="139" t="s">
        <v>21973</v>
      </c>
      <c r="D2452" s="51"/>
      <c r="E2452" s="857">
        <v>27.7</v>
      </c>
    </row>
    <row r="2453" spans="1:5">
      <c r="A2453" s="856">
        <v>40340</v>
      </c>
      <c r="B2453" s="125" t="str">
        <f>TiposLancamentos!B19</f>
        <v>Restaurantes</v>
      </c>
      <c r="C2453" s="139" t="s">
        <v>21455</v>
      </c>
      <c r="D2453" s="51"/>
      <c r="E2453" s="857">
        <v>31.8</v>
      </c>
    </row>
    <row r="2454" spans="1:5">
      <c r="A2454" s="856">
        <v>40340</v>
      </c>
      <c r="B2454" s="125" t="str">
        <f>TiposLancamentos!B20</f>
        <v>Saques</v>
      </c>
      <c r="C2454" s="139" t="s">
        <v>3403</v>
      </c>
      <c r="D2454" s="51"/>
      <c r="E2454" s="857">
        <v>60</v>
      </c>
    </row>
    <row r="2455" spans="1:5">
      <c r="A2455" s="856">
        <v>40341</v>
      </c>
      <c r="B2455" s="125" t="str">
        <f>TiposLancamentos!B16</f>
        <v>Cristiane</v>
      </c>
      <c r="C2455" s="139" t="s">
        <v>21974</v>
      </c>
      <c r="D2455" s="51"/>
      <c r="E2455" s="857">
        <v>149</v>
      </c>
    </row>
    <row r="2456" spans="1:5">
      <c r="A2456" s="856">
        <v>40341</v>
      </c>
      <c r="B2456" s="125" t="str">
        <f>TiposLancamentos!B16</f>
        <v>Cristiane</v>
      </c>
      <c r="C2456" s="139" t="s">
        <v>21975</v>
      </c>
      <c r="D2456" s="51"/>
      <c r="E2456" s="857">
        <v>37.5</v>
      </c>
    </row>
    <row r="2457" spans="1:5">
      <c r="A2457" s="856">
        <v>40341</v>
      </c>
      <c r="B2457" s="125" t="str">
        <f>TiposLancamentos!B19</f>
        <v>Restaurantes</v>
      </c>
      <c r="C2457" s="139" t="s">
        <v>21976</v>
      </c>
      <c r="D2457" s="51"/>
      <c r="E2457" s="857">
        <v>14</v>
      </c>
    </row>
    <row r="2458" spans="1:5">
      <c r="A2458" s="856">
        <v>40341</v>
      </c>
      <c r="B2458" s="125" t="str">
        <f>TiposLancamentos!B16</f>
        <v>Cristiane</v>
      </c>
      <c r="C2458" s="139" t="s">
        <v>21977</v>
      </c>
      <c r="D2458" s="51"/>
      <c r="E2458" s="857">
        <v>13.89</v>
      </c>
    </row>
    <row r="2459" spans="1:5">
      <c r="A2459" s="856">
        <v>40342</v>
      </c>
      <c r="B2459" s="125" t="str">
        <f>TiposLancamentos!B19</f>
        <v>Restaurantes</v>
      </c>
      <c r="C2459" s="139" t="s">
        <v>21978</v>
      </c>
      <c r="D2459" s="51"/>
      <c r="E2459" s="857">
        <v>22</v>
      </c>
    </row>
    <row r="2460" spans="1:5">
      <c r="A2460" s="856">
        <v>40342</v>
      </c>
      <c r="B2460" s="125" t="str">
        <f>TiposLancamentos!B19</f>
        <v>Restaurantes</v>
      </c>
      <c r="C2460" s="139" t="s">
        <v>21979</v>
      </c>
      <c r="D2460" s="51"/>
      <c r="E2460" s="857">
        <v>32.9</v>
      </c>
    </row>
    <row r="2461" spans="1:5">
      <c r="A2461" s="856">
        <v>40343</v>
      </c>
      <c r="B2461" s="125" t="str">
        <f>TiposLancamentos!B86</f>
        <v>Peugeout 207</v>
      </c>
      <c r="C2461" s="139" t="s">
        <v>21980</v>
      </c>
      <c r="D2461" s="51"/>
      <c r="E2461" s="857">
        <v>700.69</v>
      </c>
    </row>
    <row r="2462" spans="1:5">
      <c r="A2462" s="856">
        <v>40343</v>
      </c>
      <c r="B2462" s="125" t="str">
        <f>TiposLancamentos!B20</f>
        <v>Saques</v>
      </c>
      <c r="C2462" s="139" t="s">
        <v>3403</v>
      </c>
      <c r="D2462" s="51"/>
      <c r="E2462" s="857">
        <v>20</v>
      </c>
    </row>
    <row r="2463" spans="1:5">
      <c r="A2463" s="856">
        <v>40343</v>
      </c>
      <c r="B2463" s="125" t="str">
        <f>TiposLancamentos!B19</f>
        <v>Restaurantes</v>
      </c>
      <c r="C2463" s="139" t="s">
        <v>6686</v>
      </c>
      <c r="D2463" s="51"/>
      <c r="E2463" s="857">
        <v>31</v>
      </c>
    </row>
    <row r="2464" spans="1:5">
      <c r="A2464" s="856">
        <v>40344</v>
      </c>
      <c r="B2464" s="125" t="str">
        <f>TiposLancamentos!B95</f>
        <v>Salarios</v>
      </c>
      <c r="C2464" s="139" t="s">
        <v>4916</v>
      </c>
      <c r="D2464" s="51">
        <v>1890.28</v>
      </c>
      <c r="E2464" s="857"/>
    </row>
    <row r="2465" spans="1:5">
      <c r="A2465" s="856">
        <v>40344</v>
      </c>
      <c r="B2465" s="125" t="str">
        <f>TiposLancamentos!B19</f>
        <v>Restaurantes</v>
      </c>
      <c r="C2465" s="139" t="s">
        <v>6122</v>
      </c>
      <c r="D2465" s="51"/>
      <c r="E2465" s="857">
        <v>27</v>
      </c>
    </row>
    <row r="2466" spans="1:5">
      <c r="A2466" s="856">
        <v>40344</v>
      </c>
      <c r="B2466" s="125" t="str">
        <f>TiposLancamentos!B24</f>
        <v>Estacionamentos</v>
      </c>
      <c r="C2466" s="139" t="s">
        <v>21981</v>
      </c>
      <c r="D2466" s="51"/>
      <c r="E2466" s="857">
        <v>32.9</v>
      </c>
    </row>
    <row r="2467" spans="1:5">
      <c r="A2467" s="856">
        <v>40346</v>
      </c>
      <c r="B2467" s="125" t="str">
        <f>TiposLancamentos!B22</f>
        <v>Combustivel</v>
      </c>
      <c r="C2467" s="139" t="s">
        <v>3381</v>
      </c>
      <c r="D2467" s="51"/>
      <c r="E2467" s="857">
        <v>115</v>
      </c>
    </row>
    <row r="2468" spans="1:5">
      <c r="A2468" s="856">
        <v>40347</v>
      </c>
      <c r="B2468" s="125" t="str">
        <f>TiposLancamentos!B95</f>
        <v>Salarios</v>
      </c>
      <c r="C2468" s="139" t="s">
        <v>20627</v>
      </c>
      <c r="D2468" s="51">
        <v>1046.8</v>
      </c>
      <c r="E2468" s="857"/>
    </row>
    <row r="2469" spans="1:5">
      <c r="A2469" s="856">
        <v>40347</v>
      </c>
      <c r="B2469" s="125" t="str">
        <f>TiposLancamentos!B19</f>
        <v>Restaurantes</v>
      </c>
      <c r="C2469" s="139" t="s">
        <v>21234</v>
      </c>
      <c r="D2469" s="51"/>
      <c r="E2469" s="857">
        <v>21.77</v>
      </c>
    </row>
    <row r="2470" spans="1:5">
      <c r="A2470" s="856">
        <v>40347</v>
      </c>
      <c r="B2470" s="125" t="str">
        <f>TiposLancamentos!B20</f>
        <v>Saques</v>
      </c>
      <c r="C2470" s="139" t="s">
        <v>3761</v>
      </c>
      <c r="D2470" s="51"/>
      <c r="E2470" s="857">
        <v>20</v>
      </c>
    </row>
    <row r="2471" spans="1:5">
      <c r="A2471" s="856">
        <v>40347</v>
      </c>
      <c r="B2471" s="125" t="str">
        <f>TiposLancamentos!B16</f>
        <v>Cristiane</v>
      </c>
      <c r="C2471" s="139" t="s">
        <v>21982</v>
      </c>
      <c r="D2471" s="51"/>
      <c r="E2471" s="857">
        <v>43.77</v>
      </c>
    </row>
    <row r="2472" spans="1:5">
      <c r="A2472" s="856">
        <v>40347</v>
      </c>
      <c r="B2472" s="125" t="str">
        <f>TiposLancamentos!B16</f>
        <v>Cristiane</v>
      </c>
      <c r="C2472" s="139" t="s">
        <v>21983</v>
      </c>
      <c r="D2472" s="51"/>
      <c r="E2472" s="857">
        <v>128.66999999999999</v>
      </c>
    </row>
    <row r="2473" spans="1:5">
      <c r="A2473" s="856">
        <v>40348</v>
      </c>
      <c r="B2473" s="125" t="str">
        <f>TiposLancamentos!B19</f>
        <v>Restaurantes</v>
      </c>
      <c r="C2473" s="139" t="s">
        <v>3618</v>
      </c>
      <c r="D2473" s="51"/>
      <c r="E2473" s="857">
        <v>36.700000000000003</v>
      </c>
    </row>
    <row r="2474" spans="1:5">
      <c r="A2474" s="856">
        <v>40348</v>
      </c>
      <c r="B2474" s="125" t="str">
        <f>TiposLancamentos!B5</f>
        <v>Supermercado</v>
      </c>
      <c r="C2474" s="139" t="s">
        <v>5930</v>
      </c>
      <c r="D2474" s="51"/>
      <c r="E2474" s="857">
        <v>33.69</v>
      </c>
    </row>
    <row r="2475" spans="1:5">
      <c r="A2475" s="856">
        <v>40349</v>
      </c>
      <c r="B2475" s="125" t="str">
        <f>TiposLancamentos!B5</f>
        <v>Supermercado</v>
      </c>
      <c r="C2475" s="139" t="s">
        <v>5801</v>
      </c>
      <c r="D2475" s="51"/>
      <c r="E2475" s="857">
        <v>56.53</v>
      </c>
    </row>
    <row r="2476" spans="1:5">
      <c r="A2476" s="856">
        <v>40350</v>
      </c>
      <c r="B2476" s="125" t="str">
        <f>TiposLancamentos!B19</f>
        <v>Restaurantes</v>
      </c>
      <c r="C2476" s="139" t="s">
        <v>21984</v>
      </c>
      <c r="D2476" s="51"/>
      <c r="E2476" s="857">
        <v>38.4</v>
      </c>
    </row>
    <row r="2477" spans="1:5">
      <c r="A2477" s="856">
        <v>40350</v>
      </c>
      <c r="B2477" s="125" t="str">
        <f>TiposLancamentos!B91</f>
        <v>PSP Slim 2000</v>
      </c>
      <c r="C2477" s="139" t="s">
        <v>21985</v>
      </c>
      <c r="D2477" s="51"/>
      <c r="E2477" s="857">
        <v>70</v>
      </c>
    </row>
    <row r="2478" spans="1:5">
      <c r="A2478" s="856">
        <v>40350</v>
      </c>
      <c r="B2478" s="125" t="str">
        <f>TiposLancamentos!B19</f>
        <v>Restaurantes</v>
      </c>
      <c r="C2478" s="139" t="s">
        <v>3951</v>
      </c>
      <c r="D2478" s="51"/>
      <c r="E2478" s="857">
        <v>10.3</v>
      </c>
    </row>
    <row r="2479" spans="1:5">
      <c r="A2479" s="856">
        <v>40351</v>
      </c>
      <c r="B2479" s="125" t="str">
        <f>TiposLancamentos!B16</f>
        <v>Cristiane</v>
      </c>
      <c r="C2479" s="139" t="s">
        <v>21986</v>
      </c>
      <c r="D2479" s="51"/>
      <c r="E2479" s="857">
        <v>200</v>
      </c>
    </row>
    <row r="2480" spans="1:5">
      <c r="A2480" s="856">
        <v>40351</v>
      </c>
      <c r="B2480" s="125" t="str">
        <f>TiposLancamentos!B5</f>
        <v>Supermercado</v>
      </c>
      <c r="C2480" s="139" t="s">
        <v>21987</v>
      </c>
      <c r="D2480" s="51"/>
      <c r="E2480" s="857">
        <v>18.600000000000001</v>
      </c>
    </row>
    <row r="2481" spans="1:5">
      <c r="A2481" s="856">
        <v>40352</v>
      </c>
      <c r="B2481" s="125" t="str">
        <f>TiposLancamentos!B19</f>
        <v>Restaurantes</v>
      </c>
      <c r="C2481" s="139" t="s">
        <v>21988</v>
      </c>
      <c r="D2481" s="51"/>
      <c r="E2481" s="857">
        <v>34.770000000000003</v>
      </c>
    </row>
    <row r="2482" spans="1:5">
      <c r="A2482" s="856">
        <v>40352</v>
      </c>
      <c r="B2482" s="125" t="str">
        <f>TiposLancamentos!B17</f>
        <v>GATO</v>
      </c>
      <c r="C2482" s="139" t="s">
        <v>21989</v>
      </c>
      <c r="D2482" s="51"/>
      <c r="E2482" s="857">
        <v>20.3</v>
      </c>
    </row>
    <row r="2483" spans="1:5">
      <c r="A2483" s="856">
        <v>40353</v>
      </c>
      <c r="B2483" s="125" t="str">
        <f>TiposLancamentos!B16</f>
        <v>Cristiane</v>
      </c>
      <c r="C2483" s="139" t="s">
        <v>21990</v>
      </c>
      <c r="D2483" s="51"/>
      <c r="E2483" s="857">
        <v>21.8</v>
      </c>
    </row>
    <row r="2484" spans="1:5">
      <c r="A2484" s="856">
        <v>40354</v>
      </c>
      <c r="B2484" s="125" t="str">
        <f>TiposLancamentos!B19</f>
        <v>Restaurantes</v>
      </c>
      <c r="C2484" s="139" t="s">
        <v>21991</v>
      </c>
      <c r="D2484" s="51"/>
      <c r="E2484" s="857">
        <v>53.64</v>
      </c>
    </row>
    <row r="2485" spans="1:5">
      <c r="A2485" s="856">
        <v>40355</v>
      </c>
      <c r="B2485" s="125" t="str">
        <f>TiposLancamentos!B19</f>
        <v>Restaurantes</v>
      </c>
      <c r="C2485" s="139" t="s">
        <v>21992</v>
      </c>
      <c r="D2485" s="51"/>
      <c r="E2485" s="857">
        <v>12.8</v>
      </c>
    </row>
    <row r="2486" spans="1:5">
      <c r="A2486" s="856">
        <v>40355</v>
      </c>
      <c r="B2486" s="125" t="str">
        <f>TiposLancamentos!B16</f>
        <v>Cristiane</v>
      </c>
      <c r="C2486" s="139" t="s">
        <v>21993</v>
      </c>
      <c r="D2486" s="51"/>
      <c r="E2486" s="857">
        <v>39.6</v>
      </c>
    </row>
    <row r="2487" spans="1:5">
      <c r="A2487" s="856">
        <v>40356</v>
      </c>
      <c r="B2487" s="125" t="str">
        <f>TiposLancamentos!B5</f>
        <v>Supermercado</v>
      </c>
      <c r="C2487" s="139" t="s">
        <v>21994</v>
      </c>
      <c r="D2487" s="51"/>
      <c r="E2487" s="857">
        <v>72.94</v>
      </c>
    </row>
    <row r="2488" spans="1:5">
      <c r="A2488" s="856">
        <v>40356</v>
      </c>
      <c r="B2488" s="125" t="str">
        <f>TiposLancamentos!B5</f>
        <v>Supermercado</v>
      </c>
      <c r="C2488" s="139" t="s">
        <v>21995</v>
      </c>
      <c r="D2488" s="51"/>
      <c r="E2488" s="857">
        <v>76.239999999999995</v>
      </c>
    </row>
    <row r="2489" spans="1:5">
      <c r="A2489" s="856">
        <v>40356</v>
      </c>
      <c r="B2489" s="125" t="str">
        <f>TiposLancamentos!B19</f>
        <v>Restaurantes</v>
      </c>
      <c r="C2489" s="139" t="s">
        <v>21996</v>
      </c>
      <c r="D2489" s="51"/>
      <c r="E2489" s="857">
        <v>21.5</v>
      </c>
    </row>
    <row r="2490" spans="1:5">
      <c r="A2490" s="856">
        <v>40358</v>
      </c>
      <c r="B2490" s="125" t="str">
        <f>TiposLancamentos!B16</f>
        <v>Cristiane</v>
      </c>
      <c r="C2490" s="139" t="s">
        <v>6895</v>
      </c>
      <c r="D2490" s="51"/>
      <c r="E2490" s="857">
        <v>108</v>
      </c>
    </row>
    <row r="2491" spans="1:5">
      <c r="A2491" s="856">
        <v>40359</v>
      </c>
      <c r="B2491" s="125" t="str">
        <f>TiposLancamentos!B6</f>
        <v>Energia Eletrica</v>
      </c>
      <c r="C2491" s="139" t="s">
        <v>21997</v>
      </c>
      <c r="D2491" s="51"/>
      <c r="E2491" s="857">
        <v>159.5</v>
      </c>
    </row>
    <row r="2492" spans="1:5">
      <c r="A2492" s="856">
        <v>40359</v>
      </c>
      <c r="B2492" s="125" t="str">
        <f>TiposLancamentos!B95</f>
        <v>Salarios</v>
      </c>
      <c r="C2492" s="126" t="s">
        <v>4939</v>
      </c>
      <c r="D2492" s="51">
        <v>5186</v>
      </c>
      <c r="E2492" s="857"/>
    </row>
    <row r="2493" spans="1:5">
      <c r="A2493" s="856">
        <v>40359</v>
      </c>
      <c r="B2493" s="125" t="str">
        <f>TiposLancamentos!B43</f>
        <v>Imposto de Renda</v>
      </c>
      <c r="C2493" s="139" t="s">
        <v>21998</v>
      </c>
      <c r="D2493" s="51"/>
      <c r="E2493" s="857">
        <v>256.16000000000003</v>
      </c>
    </row>
    <row r="2494" spans="1:5">
      <c r="A2494" s="856">
        <v>40359</v>
      </c>
      <c r="B2494" s="125" t="str">
        <f>TiposLancamentos!B50</f>
        <v>Guitarra</v>
      </c>
      <c r="C2494" s="139" t="s">
        <v>21999</v>
      </c>
      <c r="D2494" s="51"/>
      <c r="E2494" s="857">
        <v>15</v>
      </c>
    </row>
    <row r="2495" spans="1:5">
      <c r="A2495" s="856">
        <v>40359</v>
      </c>
      <c r="B2495" s="125" t="str">
        <f>TiposLancamentos!B13</f>
        <v>Moradia</v>
      </c>
      <c r="C2495" s="139" t="s">
        <v>22000</v>
      </c>
      <c r="D2495" s="51"/>
      <c r="E2495" s="857">
        <v>126.7</v>
      </c>
    </row>
    <row r="2496" spans="1:5" ht="14.25" thickBot="1">
      <c r="A2496" s="856">
        <v>40359</v>
      </c>
      <c r="B2496" s="125" t="str">
        <f>TiposLancamentos!B72</f>
        <v>Presentes</v>
      </c>
      <c r="C2496" s="139" t="s">
        <v>22001</v>
      </c>
      <c r="D2496" s="51"/>
      <c r="E2496" s="857">
        <v>10</v>
      </c>
    </row>
    <row r="2497" spans="1:5" ht="14.25" thickBot="1">
      <c r="A2497" s="998"/>
      <c r="B2497" s="989"/>
      <c r="C2497" s="990" t="s">
        <v>13442</v>
      </c>
      <c r="D2497" s="991"/>
      <c r="E2497" s="999"/>
    </row>
    <row r="2498" spans="1:5">
      <c r="A2498" s="856">
        <v>40360</v>
      </c>
      <c r="B2498" s="125" t="str">
        <f>TiposLancamentos!B15</f>
        <v>Cartões de Crédito</v>
      </c>
      <c r="C2498" s="139" t="s">
        <v>20597</v>
      </c>
      <c r="D2498" s="51"/>
      <c r="E2498" s="857">
        <v>1787.63</v>
      </c>
    </row>
    <row r="2499" spans="1:5">
      <c r="A2499" s="856">
        <v>40360</v>
      </c>
      <c r="B2499" s="125" t="str">
        <f>TiposLancamentos!B15</f>
        <v>Cartões de Crédito</v>
      </c>
      <c r="C2499" s="139" t="s">
        <v>6561</v>
      </c>
      <c r="D2499" s="51"/>
      <c r="E2499" s="857">
        <v>7.9</v>
      </c>
    </row>
    <row r="2500" spans="1:5">
      <c r="A2500" s="856">
        <v>40360</v>
      </c>
      <c r="B2500" s="125" t="str">
        <f>TiposLancamentos!B52</f>
        <v>Multas</v>
      </c>
      <c r="C2500" s="139" t="s">
        <v>22002</v>
      </c>
      <c r="D2500" s="51"/>
      <c r="E2500" s="857">
        <v>85.13</v>
      </c>
    </row>
    <row r="2501" spans="1:5">
      <c r="A2501" s="856">
        <v>40360</v>
      </c>
      <c r="B2501" s="125" t="str">
        <f>TiposLancamentos!B15</f>
        <v>Cartões de Crédito</v>
      </c>
      <c r="C2501" s="139" t="s">
        <v>22003</v>
      </c>
      <c r="D2501" s="51"/>
      <c r="E2501" s="857">
        <v>99.53</v>
      </c>
    </row>
    <row r="2502" spans="1:5">
      <c r="A2502" s="856">
        <v>40360</v>
      </c>
      <c r="B2502" s="125" t="str">
        <f>TiposLancamentos!B15</f>
        <v>Cartões de Crédito</v>
      </c>
      <c r="C2502" s="139" t="s">
        <v>20597</v>
      </c>
      <c r="D2502" s="51"/>
      <c r="E2502" s="857">
        <v>262.13</v>
      </c>
    </row>
    <row r="2503" spans="1:5">
      <c r="A2503" s="856">
        <v>40360</v>
      </c>
      <c r="B2503" s="125" t="str">
        <f>TiposLancamentos!B16</f>
        <v>Cristiane</v>
      </c>
      <c r="C2503" s="139" t="s">
        <v>22004</v>
      </c>
      <c r="D2503" s="51"/>
      <c r="E2503" s="857">
        <v>101</v>
      </c>
    </row>
    <row r="2504" spans="1:5">
      <c r="A2504" s="856">
        <v>40360</v>
      </c>
      <c r="B2504" s="125" t="str">
        <f>TiposLancamentos!B9</f>
        <v>Condominio</v>
      </c>
      <c r="C2504" s="139" t="s">
        <v>22005</v>
      </c>
      <c r="D2504" s="51"/>
      <c r="E2504" s="857">
        <v>754.72</v>
      </c>
    </row>
    <row r="2505" spans="1:5">
      <c r="A2505" s="856">
        <v>40360</v>
      </c>
      <c r="B2505" s="125" t="str">
        <f>TiposLancamentos!B16</f>
        <v>Cristiane</v>
      </c>
      <c r="C2505" s="139" t="s">
        <v>22006</v>
      </c>
      <c r="D2505" s="51"/>
      <c r="E2505" s="857">
        <v>81.900000000000006</v>
      </c>
    </row>
    <row r="2506" spans="1:5">
      <c r="A2506" s="856">
        <v>40360</v>
      </c>
      <c r="B2506" s="125" t="str">
        <f>TiposLancamentos!B19</f>
        <v>Restaurantes</v>
      </c>
      <c r="C2506" s="139" t="s">
        <v>22007</v>
      </c>
      <c r="D2506" s="51"/>
      <c r="E2506" s="857">
        <v>29.6</v>
      </c>
    </row>
    <row r="2507" spans="1:5">
      <c r="A2507" s="856">
        <v>40330</v>
      </c>
      <c r="B2507" s="125" t="str">
        <f>TiposLancamentos!B4</f>
        <v>Taxas Bancarias</v>
      </c>
      <c r="C2507" s="139" t="s">
        <v>21897</v>
      </c>
      <c r="D2507" s="51"/>
      <c r="E2507" s="857">
        <v>6.46</v>
      </c>
    </row>
    <row r="2508" spans="1:5">
      <c r="A2508" s="856">
        <v>40361</v>
      </c>
      <c r="B2508" s="125" t="str">
        <f>TiposLancamentos!B19</f>
        <v>Restaurantes</v>
      </c>
      <c r="C2508" s="139" t="s">
        <v>22008</v>
      </c>
      <c r="D2508" s="51"/>
      <c r="E2508" s="857">
        <v>24</v>
      </c>
    </row>
    <row r="2509" spans="1:5">
      <c r="A2509" s="856">
        <v>40361</v>
      </c>
      <c r="B2509" s="125" t="str">
        <f>TiposLancamentos!B16</f>
        <v>Cristiane</v>
      </c>
      <c r="C2509" s="139" t="s">
        <v>5650</v>
      </c>
      <c r="D2509" s="51"/>
      <c r="E2509" s="857">
        <v>15.7</v>
      </c>
    </row>
    <row r="2510" spans="1:5">
      <c r="A2510" s="856">
        <v>40361</v>
      </c>
      <c r="B2510" s="125" t="str">
        <f>TiposLancamentos!B16</f>
        <v>Cristiane</v>
      </c>
      <c r="C2510" s="139" t="s">
        <v>22009</v>
      </c>
      <c r="D2510" s="51"/>
      <c r="E2510" s="857">
        <v>79.959999999999994</v>
      </c>
    </row>
    <row r="2511" spans="1:5">
      <c r="A2511" s="856">
        <v>40362</v>
      </c>
      <c r="B2511" s="125" t="str">
        <f>TiposLancamentos!B16</f>
        <v>Cristiane</v>
      </c>
      <c r="C2511" s="139" t="s">
        <v>22010</v>
      </c>
      <c r="D2511" s="51"/>
      <c r="E2511" s="857">
        <v>32.6</v>
      </c>
    </row>
    <row r="2512" spans="1:5">
      <c r="A2512" s="856">
        <v>40362</v>
      </c>
      <c r="B2512" s="125" t="str">
        <f>TiposLancamentos!B20</f>
        <v>Saques</v>
      </c>
      <c r="C2512" s="139" t="s">
        <v>3999</v>
      </c>
      <c r="D2512" s="51"/>
      <c r="E2512" s="857">
        <v>90</v>
      </c>
    </row>
    <row r="2513" spans="1:6">
      <c r="A2513" s="856">
        <v>40362</v>
      </c>
      <c r="B2513" s="125" t="str">
        <f>TiposLancamentos!B5</f>
        <v>Supermercado</v>
      </c>
      <c r="C2513" s="139" t="s">
        <v>3902</v>
      </c>
      <c r="D2513" s="51"/>
      <c r="E2513" s="857">
        <v>56.61</v>
      </c>
    </row>
    <row r="2514" spans="1:6">
      <c r="A2514" s="856">
        <v>40363</v>
      </c>
      <c r="B2514" s="125" t="str">
        <f>TiposLancamentos!B22</f>
        <v>Combustivel</v>
      </c>
      <c r="C2514" s="139" t="s">
        <v>22011</v>
      </c>
      <c r="D2514" s="51"/>
      <c r="E2514" s="857">
        <v>86.92</v>
      </c>
    </row>
    <row r="2515" spans="1:6">
      <c r="A2515" s="856">
        <v>40363</v>
      </c>
      <c r="B2515" s="125" t="str">
        <f>TiposLancamentos!B56</f>
        <v>Farmácia</v>
      </c>
      <c r="C2515" s="139" t="s">
        <v>19125</v>
      </c>
      <c r="D2515" s="51"/>
      <c r="E2515" s="857">
        <v>8.5</v>
      </c>
    </row>
    <row r="2516" spans="1:6">
      <c r="A2516" s="856">
        <v>40363</v>
      </c>
      <c r="B2516" s="125" t="str">
        <f>TiposLancamentos!B19</f>
        <v>Restaurantes</v>
      </c>
      <c r="C2516" s="139" t="s">
        <v>22012</v>
      </c>
      <c r="D2516" s="51"/>
      <c r="E2516" s="857">
        <v>12.4</v>
      </c>
    </row>
    <row r="2517" spans="1:6">
      <c r="A2517" s="806">
        <v>40364</v>
      </c>
      <c r="B2517" s="807" t="str">
        <f>TiposLancamentos!B35</f>
        <v>Tv à Cabo</v>
      </c>
      <c r="C2517" s="808" t="s">
        <v>21732</v>
      </c>
      <c r="D2517" s="809"/>
      <c r="E2517" s="859">
        <v>168.8</v>
      </c>
    </row>
    <row r="2518" spans="1:6">
      <c r="A2518" s="773">
        <v>40364</v>
      </c>
      <c r="B2518" s="152" t="str">
        <f>TiposLancamentos!B3</f>
        <v>Internet</v>
      </c>
      <c r="C2518" s="141" t="s">
        <v>5835</v>
      </c>
      <c r="D2518" s="127"/>
      <c r="E2518" s="861">
        <v>86</v>
      </c>
    </row>
    <row r="2519" spans="1:6">
      <c r="A2519" s="810">
        <v>40364</v>
      </c>
      <c r="B2519" s="811" t="str">
        <f>TiposLancamentos!B2</f>
        <v>Telefonia</v>
      </c>
      <c r="C2519" s="812" t="s">
        <v>21733</v>
      </c>
      <c r="D2519" s="813"/>
      <c r="E2519" s="863">
        <v>0.79</v>
      </c>
      <c r="F2519" s="36">
        <f>SUM(E2517:E2519)</f>
        <v>255.59</v>
      </c>
    </row>
    <row r="2520" spans="1:6">
      <c r="A2520" s="856">
        <v>40365</v>
      </c>
      <c r="B2520" s="125" t="str">
        <f>TiposLancamentos!B16</f>
        <v>Cristiane</v>
      </c>
      <c r="C2520" s="139" t="s">
        <v>22013</v>
      </c>
      <c r="D2520" s="51"/>
      <c r="E2520" s="857">
        <v>300</v>
      </c>
    </row>
    <row r="2521" spans="1:6">
      <c r="A2521" s="856">
        <v>40365</v>
      </c>
      <c r="B2521" s="125" t="str">
        <f>TiposLancamentos!B71</f>
        <v>Itens Pessoais</v>
      </c>
      <c r="C2521" s="139" t="s">
        <v>22014</v>
      </c>
      <c r="D2521" s="51"/>
      <c r="E2521" s="857">
        <v>18</v>
      </c>
    </row>
    <row r="2522" spans="1:6">
      <c r="A2522" s="856">
        <v>40365</v>
      </c>
      <c r="B2522" s="125" t="str">
        <f>TiposLancamentos!B20</f>
        <v>Saques</v>
      </c>
      <c r="C2522" s="139" t="s">
        <v>1706</v>
      </c>
      <c r="D2522" s="51"/>
      <c r="E2522" s="857">
        <v>20</v>
      </c>
    </row>
    <row r="2523" spans="1:6">
      <c r="A2523" s="856">
        <v>40367</v>
      </c>
      <c r="B2523" s="125" t="str">
        <f>TiposLancamentos!B16</f>
        <v>Cristiane</v>
      </c>
      <c r="C2523" s="139" t="s">
        <v>22015</v>
      </c>
      <c r="D2523" s="51"/>
      <c r="E2523" s="857">
        <v>11.8</v>
      </c>
    </row>
    <row r="2524" spans="1:6">
      <c r="A2524" s="856">
        <v>40367</v>
      </c>
      <c r="B2524" s="125" t="str">
        <f>TiposLancamentos!B25</f>
        <v>CD_DVD_BD</v>
      </c>
      <c r="C2524" s="139" t="s">
        <v>22016</v>
      </c>
      <c r="D2524" s="51"/>
      <c r="E2524" s="857">
        <v>88</v>
      </c>
    </row>
    <row r="2525" spans="1:6">
      <c r="A2525" s="856">
        <v>40367</v>
      </c>
      <c r="B2525" s="125" t="str">
        <f>TiposLancamentos!B16</f>
        <v>Cristiane</v>
      </c>
      <c r="C2525" s="139" t="s">
        <v>12029</v>
      </c>
      <c r="D2525" s="51"/>
      <c r="E2525" s="857">
        <v>76.14</v>
      </c>
    </row>
    <row r="2526" spans="1:6">
      <c r="A2526" s="856">
        <v>40368</v>
      </c>
      <c r="B2526" s="125" t="str">
        <f>TiposLancamentos!B19</f>
        <v>Restaurantes</v>
      </c>
      <c r="C2526" s="139" t="s">
        <v>4033</v>
      </c>
      <c r="D2526" s="51"/>
      <c r="E2526" s="857">
        <v>34</v>
      </c>
    </row>
    <row r="2527" spans="1:6">
      <c r="A2527" s="856">
        <v>40369</v>
      </c>
      <c r="B2527" s="125" t="str">
        <f>TiposLancamentos!B19</f>
        <v>Restaurantes</v>
      </c>
      <c r="C2527" s="139" t="s">
        <v>22017</v>
      </c>
      <c r="D2527" s="51"/>
      <c r="E2527" s="857">
        <v>14.6</v>
      </c>
    </row>
    <row r="2528" spans="1:6">
      <c r="A2528" s="856">
        <v>40339</v>
      </c>
      <c r="B2528" s="125" t="str">
        <f>TiposLancamentos!B16</f>
        <v>Cristiane</v>
      </c>
      <c r="C2528" s="139" t="s">
        <v>22018</v>
      </c>
      <c r="D2528" s="51"/>
      <c r="E2528" s="857">
        <v>61.8</v>
      </c>
    </row>
    <row r="2529" spans="1:5">
      <c r="A2529" s="856">
        <v>40371</v>
      </c>
      <c r="B2529" s="125" t="str">
        <f>TiposLancamentos!B16</f>
        <v>Cristiane</v>
      </c>
      <c r="C2529" s="139" t="s">
        <v>22019</v>
      </c>
      <c r="D2529" s="51"/>
      <c r="E2529" s="857">
        <v>241.7</v>
      </c>
    </row>
    <row r="2530" spans="1:5">
      <c r="A2530" s="856">
        <v>40371</v>
      </c>
      <c r="B2530" s="125" t="str">
        <f>TiposLancamentos!B8</f>
        <v>Aluguel</v>
      </c>
      <c r="C2530" s="139" t="s">
        <v>22020</v>
      </c>
      <c r="D2530" s="51"/>
      <c r="E2530" s="857">
        <v>1004.05</v>
      </c>
    </row>
    <row r="2531" spans="1:5">
      <c r="A2531" s="856">
        <v>40372</v>
      </c>
      <c r="B2531" s="125" t="str">
        <f>TiposLancamentos!B20</f>
        <v>Saques</v>
      </c>
      <c r="C2531" s="139" t="s">
        <v>1706</v>
      </c>
      <c r="D2531" s="51"/>
      <c r="E2531" s="857">
        <v>60</v>
      </c>
    </row>
    <row r="2532" spans="1:5">
      <c r="A2532" s="856">
        <v>40342</v>
      </c>
      <c r="B2532" s="125" t="str">
        <f>TiposLancamentos!B19</f>
        <v>Restaurantes</v>
      </c>
      <c r="C2532" s="139" t="s">
        <v>22021</v>
      </c>
      <c r="D2532" s="51"/>
      <c r="E2532" s="857">
        <v>6.4</v>
      </c>
    </row>
    <row r="2533" spans="1:5">
      <c r="A2533" s="856">
        <v>40373</v>
      </c>
      <c r="B2533" s="125" t="str">
        <f>TiposLancamentos!B86</f>
        <v>Peugeout 207</v>
      </c>
      <c r="C2533" s="139" t="s">
        <v>22022</v>
      </c>
      <c r="D2533" s="51"/>
      <c r="E2533" s="857">
        <v>700.69</v>
      </c>
    </row>
    <row r="2534" spans="1:5">
      <c r="A2534" s="856">
        <v>40373</v>
      </c>
      <c r="B2534" s="125" t="str">
        <f>TiposLancamentos!B19</f>
        <v>Restaurantes</v>
      </c>
      <c r="C2534" s="139" t="s">
        <v>21567</v>
      </c>
      <c r="D2534" s="51"/>
      <c r="E2534" s="857">
        <v>36.5</v>
      </c>
    </row>
    <row r="2535" spans="1:5">
      <c r="A2535" s="856">
        <v>40374</v>
      </c>
      <c r="B2535" s="125" t="str">
        <f>TiposLancamentos!B33</f>
        <v>Pedágios</v>
      </c>
      <c r="C2535" s="126" t="s">
        <v>20941</v>
      </c>
      <c r="D2535" s="51"/>
      <c r="E2535" s="857">
        <v>124.64</v>
      </c>
    </row>
    <row r="2536" spans="1:5">
      <c r="A2536" s="856">
        <v>40374</v>
      </c>
      <c r="B2536" s="125" t="str">
        <f>TiposLancamentos!B95</f>
        <v>Salarios</v>
      </c>
      <c r="C2536" s="139" t="s">
        <v>4916</v>
      </c>
      <c r="D2536" s="51">
        <v>1890.28</v>
      </c>
      <c r="E2536" s="857"/>
    </row>
    <row r="2537" spans="1:5">
      <c r="A2537" s="856">
        <v>40374</v>
      </c>
      <c r="B2537" s="125" t="str">
        <f>TiposLancamentos!B100</f>
        <v>Emprestimos</v>
      </c>
      <c r="C2537" s="139" t="s">
        <v>22023</v>
      </c>
      <c r="D2537" s="51"/>
      <c r="E2537" s="857">
        <v>18</v>
      </c>
    </row>
    <row r="2538" spans="1:5">
      <c r="A2538" s="856">
        <v>40374</v>
      </c>
      <c r="B2538" s="125" t="str">
        <f>TiposLancamentos!B98</f>
        <v>Restituições</v>
      </c>
      <c r="C2538" s="139" t="s">
        <v>22024</v>
      </c>
      <c r="D2538" s="51">
        <v>18</v>
      </c>
      <c r="E2538" s="857"/>
    </row>
    <row r="2539" spans="1:5">
      <c r="A2539" s="856">
        <v>40374</v>
      </c>
      <c r="B2539" s="125" t="str">
        <f>TiposLancamentos!B19</f>
        <v>Restaurantes</v>
      </c>
      <c r="C2539" s="139" t="s">
        <v>6142</v>
      </c>
      <c r="D2539" s="51"/>
      <c r="E2539" s="857">
        <v>17.95</v>
      </c>
    </row>
    <row r="2540" spans="1:5">
      <c r="A2540" s="856">
        <v>40376</v>
      </c>
      <c r="B2540" s="125" t="str">
        <f>TiposLancamentos!B19</f>
        <v>Restaurantes</v>
      </c>
      <c r="C2540" s="139" t="s">
        <v>21909</v>
      </c>
      <c r="D2540" s="51"/>
      <c r="E2540" s="857">
        <v>34.58</v>
      </c>
    </row>
    <row r="2541" spans="1:5">
      <c r="A2541" s="856">
        <v>40376</v>
      </c>
      <c r="B2541" s="125" t="str">
        <f>TiposLancamentos!B19</f>
        <v>Restaurantes</v>
      </c>
      <c r="C2541" s="139" t="s">
        <v>21954</v>
      </c>
      <c r="D2541" s="51"/>
      <c r="E2541" s="857">
        <v>10.5</v>
      </c>
    </row>
    <row r="2542" spans="1:5">
      <c r="A2542" s="856">
        <v>40376</v>
      </c>
      <c r="B2542" s="125" t="str">
        <f>TiposLancamentos!B5</f>
        <v>Supermercado</v>
      </c>
      <c r="C2542" s="139" t="s">
        <v>22025</v>
      </c>
      <c r="D2542" s="51"/>
      <c r="E2542" s="857">
        <v>16.89</v>
      </c>
    </row>
    <row r="2543" spans="1:5">
      <c r="A2543" s="856">
        <v>40376</v>
      </c>
      <c r="B2543" s="125" t="str">
        <f>TiposLancamentos!B20</f>
        <v>Saques</v>
      </c>
      <c r="C2543" s="139" t="s">
        <v>2876</v>
      </c>
      <c r="D2543" s="51"/>
      <c r="E2543" s="857">
        <v>20</v>
      </c>
    </row>
    <row r="2544" spans="1:5">
      <c r="A2544" s="856">
        <v>40377</v>
      </c>
      <c r="B2544" s="125" t="str">
        <f>TiposLancamentos!B5</f>
        <v>Supermercado</v>
      </c>
      <c r="C2544" s="139" t="s">
        <v>3995</v>
      </c>
      <c r="D2544" s="51"/>
      <c r="E2544" s="857">
        <v>33.5</v>
      </c>
    </row>
    <row r="2545" spans="1:5">
      <c r="A2545" s="856">
        <v>40378</v>
      </c>
      <c r="B2545" s="125" t="str">
        <f>TiposLancamentos!B20</f>
        <v>Saques</v>
      </c>
      <c r="C2545" s="139" t="s">
        <v>3403</v>
      </c>
      <c r="D2545" s="51"/>
      <c r="E2545" s="857">
        <v>60</v>
      </c>
    </row>
    <row r="2546" spans="1:5">
      <c r="A2546" s="856">
        <v>40378</v>
      </c>
      <c r="B2546" s="125" t="str">
        <f>TiposLancamentos!B16</f>
        <v>Cristiane</v>
      </c>
      <c r="C2546" s="139" t="s">
        <v>22026</v>
      </c>
      <c r="D2546" s="51"/>
      <c r="E2546" s="857">
        <v>66</v>
      </c>
    </row>
    <row r="2547" spans="1:5">
      <c r="A2547" s="856">
        <v>40379</v>
      </c>
      <c r="B2547" s="125" t="str">
        <f>TiposLancamentos!B16</f>
        <v>Cristiane</v>
      </c>
      <c r="C2547" s="139" t="s">
        <v>22027</v>
      </c>
      <c r="D2547" s="51"/>
      <c r="E2547" s="857">
        <v>112.65</v>
      </c>
    </row>
    <row r="2548" spans="1:5">
      <c r="A2548" s="856">
        <v>40379</v>
      </c>
      <c r="B2548" s="125" t="str">
        <f>TiposLancamentos!B5</f>
        <v>Supermercado</v>
      </c>
      <c r="C2548" s="139" t="s">
        <v>22028</v>
      </c>
      <c r="D2548" s="51"/>
      <c r="E2548" s="857">
        <v>40.74</v>
      </c>
    </row>
    <row r="2549" spans="1:5">
      <c r="A2549" s="856">
        <v>40381</v>
      </c>
      <c r="B2549" s="125" t="str">
        <f>TiposLancamentos!B97</f>
        <v>Deposito Terc.</v>
      </c>
      <c r="C2549" s="139" t="s">
        <v>22029</v>
      </c>
      <c r="D2549" s="51">
        <v>500</v>
      </c>
      <c r="E2549" s="857"/>
    </row>
    <row r="2550" spans="1:5">
      <c r="A2550" s="856">
        <v>40381</v>
      </c>
      <c r="B2550" s="125" t="str">
        <f>TiposLancamentos!B19</f>
        <v>Restaurantes</v>
      </c>
      <c r="C2550" s="139" t="s">
        <v>21942</v>
      </c>
      <c r="D2550" s="51"/>
      <c r="E2550" s="857">
        <v>29.92</v>
      </c>
    </row>
    <row r="2551" spans="1:5">
      <c r="A2551" s="856">
        <v>40382</v>
      </c>
      <c r="B2551" s="125" t="str">
        <f>TiposLancamentos!B19</f>
        <v>Restaurantes</v>
      </c>
      <c r="C2551" s="139" t="s">
        <v>21909</v>
      </c>
      <c r="D2551" s="51"/>
      <c r="E2551" s="857">
        <v>23</v>
      </c>
    </row>
    <row r="2552" spans="1:5">
      <c r="A2552" s="856">
        <v>40382</v>
      </c>
      <c r="B2552" s="125" t="str">
        <f>TiposLancamentos!B20</f>
        <v>Saques</v>
      </c>
      <c r="C2552" s="139" t="s">
        <v>3146</v>
      </c>
      <c r="D2552" s="51"/>
      <c r="E2552" s="857">
        <v>500</v>
      </c>
    </row>
    <row r="2553" spans="1:5">
      <c r="A2553" s="856">
        <v>40384</v>
      </c>
      <c r="B2553" s="125" t="str">
        <f>TiposLancamentos!B5</f>
        <v>Supermercado</v>
      </c>
      <c r="C2553" s="139" t="s">
        <v>22030</v>
      </c>
      <c r="D2553" s="51"/>
      <c r="E2553" s="857">
        <v>19.25</v>
      </c>
    </row>
    <row r="2554" spans="1:5">
      <c r="A2554" s="856">
        <v>40385</v>
      </c>
      <c r="B2554" s="125" t="str">
        <f>TiposLancamentos!B19</f>
        <v>Restaurantes</v>
      </c>
      <c r="C2554" s="139" t="s">
        <v>22031</v>
      </c>
      <c r="D2554" s="51"/>
      <c r="E2554" s="857">
        <v>11.9</v>
      </c>
    </row>
    <row r="2555" spans="1:5">
      <c r="A2555" s="856">
        <v>40386</v>
      </c>
      <c r="B2555" s="125" t="str">
        <f>TiposLancamentos!B19</f>
        <v>Restaurantes</v>
      </c>
      <c r="C2555" s="139" t="s">
        <v>21234</v>
      </c>
      <c r="D2555" s="51"/>
      <c r="E2555" s="857">
        <v>18.899999999999999</v>
      </c>
    </row>
    <row r="2556" spans="1:5">
      <c r="A2556" s="856">
        <v>40386</v>
      </c>
      <c r="B2556" s="125" t="str">
        <f>TiposLancamentos!B5</f>
        <v>Supermercado</v>
      </c>
      <c r="C2556" s="139" t="s">
        <v>5862</v>
      </c>
      <c r="D2556" s="51"/>
      <c r="E2556" s="857">
        <v>22.09</v>
      </c>
    </row>
    <row r="2557" spans="1:5">
      <c r="A2557" s="856">
        <v>40387</v>
      </c>
      <c r="B2557" s="125" t="str">
        <f>TiposLancamentos!B19</f>
        <v>Restaurantes</v>
      </c>
      <c r="C2557" s="139" t="s">
        <v>22032</v>
      </c>
      <c r="D2557" s="51"/>
      <c r="E2557" s="857">
        <v>19.399999999999999</v>
      </c>
    </row>
    <row r="2558" spans="1:5">
      <c r="A2558" s="856">
        <v>40389</v>
      </c>
      <c r="B2558" s="125" t="str">
        <f>TiposLancamentos!B6</f>
        <v>Energia Eletrica</v>
      </c>
      <c r="C2558" s="139" t="s">
        <v>6430</v>
      </c>
      <c r="D2558" s="51"/>
      <c r="E2558" s="857">
        <v>191.95</v>
      </c>
    </row>
    <row r="2559" spans="1:5">
      <c r="A2559" s="856">
        <v>40389</v>
      </c>
      <c r="B2559" s="125" t="str">
        <f>TiposLancamentos!B43</f>
        <v>Imposto de Renda</v>
      </c>
      <c r="C2559" s="139" t="s">
        <v>22033</v>
      </c>
      <c r="D2559" s="51"/>
      <c r="E2559" s="857">
        <v>258.14999999999998</v>
      </c>
    </row>
    <row r="2560" spans="1:5">
      <c r="A2560" s="856">
        <v>40389</v>
      </c>
      <c r="B2560" s="125" t="str">
        <f>TiposLancamentos!B95</f>
        <v>Salarios</v>
      </c>
      <c r="C2560" s="126" t="s">
        <v>4939</v>
      </c>
      <c r="D2560" s="51">
        <v>6441.75</v>
      </c>
      <c r="E2560" s="857"/>
    </row>
    <row r="2561" spans="1:6">
      <c r="A2561" s="856">
        <v>40389</v>
      </c>
      <c r="B2561" s="125" t="str">
        <f>TiposLancamentos!B4</f>
        <v>Taxas Bancarias</v>
      </c>
      <c r="C2561" s="139" t="s">
        <v>21962</v>
      </c>
      <c r="D2561" s="51"/>
      <c r="E2561" s="857">
        <v>39.700000000000003</v>
      </c>
    </row>
    <row r="2562" spans="1:6">
      <c r="A2562" s="856">
        <v>40390</v>
      </c>
      <c r="B2562" s="125" t="str">
        <f>TiposLancamentos!B20</f>
        <v>Saques</v>
      </c>
      <c r="C2562" s="139" t="s">
        <v>3403</v>
      </c>
      <c r="D2562" s="51"/>
      <c r="E2562" s="857">
        <v>40</v>
      </c>
    </row>
    <row r="2563" spans="1:6" ht="14.25" thickBot="1">
      <c r="A2563" s="856">
        <v>40390</v>
      </c>
      <c r="B2563" s="125" t="str">
        <f>TiposLancamentos!B5</f>
        <v>Supermercado</v>
      </c>
      <c r="C2563" s="139" t="s">
        <v>3902</v>
      </c>
      <c r="D2563" s="51"/>
      <c r="E2563" s="857">
        <v>20.07</v>
      </c>
    </row>
    <row r="2564" spans="1:6" ht="14.25" thickBot="1">
      <c r="A2564" s="998"/>
      <c r="B2564" s="989"/>
      <c r="C2564" s="997" t="s">
        <v>13447</v>
      </c>
      <c r="D2564" s="991"/>
      <c r="E2564" s="999"/>
    </row>
    <row r="2565" spans="1:6">
      <c r="A2565" s="856">
        <v>40392</v>
      </c>
      <c r="B2565" s="125" t="str">
        <f>TiposLancamentos!B15</f>
        <v>Cartões de Crédito</v>
      </c>
      <c r="C2565" s="139" t="s">
        <v>22034</v>
      </c>
      <c r="D2565" s="51"/>
      <c r="E2565" s="857">
        <v>2342.9499999999998</v>
      </c>
    </row>
    <row r="2566" spans="1:6">
      <c r="A2566" s="856">
        <v>40392</v>
      </c>
      <c r="B2566" s="125" t="str">
        <f>TiposLancamentos!B15</f>
        <v>Cartões de Crédito</v>
      </c>
      <c r="C2566" s="139" t="s">
        <v>21963</v>
      </c>
      <c r="D2566" s="51"/>
      <c r="E2566" s="857">
        <v>7.9</v>
      </c>
    </row>
    <row r="2567" spans="1:6">
      <c r="A2567" s="856">
        <v>40392</v>
      </c>
      <c r="B2567" s="125" t="str">
        <f>TiposLancamentos!B9</f>
        <v>Condominio</v>
      </c>
      <c r="C2567" s="139" t="s">
        <v>1684</v>
      </c>
      <c r="D2567" s="51"/>
      <c r="E2567" s="857">
        <v>755.96</v>
      </c>
    </row>
    <row r="2568" spans="1:6">
      <c r="A2568" s="856">
        <v>40392</v>
      </c>
      <c r="B2568" s="125" t="str">
        <f>TiposLancamentos!B8</f>
        <v>Aluguel</v>
      </c>
      <c r="C2568" s="139" t="s">
        <v>1682</v>
      </c>
      <c r="D2568" s="51"/>
      <c r="E2568" s="857">
        <v>1004.05</v>
      </c>
    </row>
    <row r="2569" spans="1:6">
      <c r="A2569" s="806">
        <v>40392</v>
      </c>
      <c r="B2569" s="807" t="str">
        <f>TiposLancamentos!B35</f>
        <v>Tv à Cabo</v>
      </c>
      <c r="C2569" s="808" t="s">
        <v>5834</v>
      </c>
      <c r="D2569" s="809"/>
      <c r="E2569" s="859">
        <v>97.83</v>
      </c>
    </row>
    <row r="2570" spans="1:6">
      <c r="A2570" s="773">
        <v>40392</v>
      </c>
      <c r="B2570" s="152" t="str">
        <f>TiposLancamentos!B3</f>
        <v>Internet</v>
      </c>
      <c r="C2570" s="141" t="s">
        <v>5835</v>
      </c>
      <c r="D2570" s="127"/>
      <c r="E2570" s="861">
        <v>86</v>
      </c>
    </row>
    <row r="2571" spans="1:6">
      <c r="A2571" s="810">
        <v>40392</v>
      </c>
      <c r="B2571" s="811" t="str">
        <f>TiposLancamentos!B2</f>
        <v>Telefonia</v>
      </c>
      <c r="C2571" s="812" t="s">
        <v>21733</v>
      </c>
      <c r="D2571" s="813"/>
      <c r="E2571" s="863">
        <v>37.89</v>
      </c>
      <c r="F2571" s="36">
        <f>SUM(E2569:E2571)</f>
        <v>221.71999999999997</v>
      </c>
    </row>
    <row r="2572" spans="1:6">
      <c r="A2572" s="856">
        <v>40392</v>
      </c>
      <c r="B2572" s="125" t="str">
        <f>TiposLancamentos!B4</f>
        <v>Taxas Bancarias</v>
      </c>
      <c r="C2572" s="139" t="s">
        <v>22035</v>
      </c>
      <c r="D2572" s="51"/>
      <c r="E2572" s="857">
        <v>9.93</v>
      </c>
    </row>
    <row r="2573" spans="1:6">
      <c r="A2573" s="856">
        <v>40393</v>
      </c>
      <c r="B2573" s="125" t="str">
        <f>TiposLancamentos!B5</f>
        <v>Supermercado</v>
      </c>
      <c r="C2573" s="139" t="s">
        <v>5844</v>
      </c>
      <c r="D2573" s="51"/>
      <c r="E2573" s="857">
        <v>29.35</v>
      </c>
    </row>
    <row r="2574" spans="1:6">
      <c r="A2574" s="856">
        <v>40394</v>
      </c>
      <c r="B2574" s="125" t="str">
        <f>TiposLancamentos!B20</f>
        <v>Saques</v>
      </c>
      <c r="C2574" s="139" t="s">
        <v>22036</v>
      </c>
      <c r="D2574" s="51"/>
      <c r="E2574" s="857">
        <v>70</v>
      </c>
    </row>
    <row r="2575" spans="1:6">
      <c r="A2575" s="856">
        <v>40396</v>
      </c>
      <c r="B2575" s="125" t="str">
        <f>TiposLancamentos!B5</f>
        <v>Supermercado</v>
      </c>
      <c r="C2575" s="139" t="s">
        <v>5801</v>
      </c>
      <c r="D2575" s="51"/>
      <c r="E2575" s="857">
        <v>54.91</v>
      </c>
    </row>
    <row r="2576" spans="1:6">
      <c r="A2576" s="856">
        <v>40397</v>
      </c>
      <c r="B2576" s="125" t="str">
        <f>TiposLancamentos!B50</f>
        <v>Guitarra</v>
      </c>
      <c r="C2576" s="139" t="s">
        <v>22037</v>
      </c>
      <c r="D2576" s="51"/>
      <c r="E2576" s="857">
        <v>80</v>
      </c>
    </row>
    <row r="2577" spans="1:5">
      <c r="A2577" s="856">
        <v>40397</v>
      </c>
      <c r="B2577" s="125" t="str">
        <f>TiposLancamentos!B50</f>
        <v>Guitarra</v>
      </c>
      <c r="C2577" s="139" t="s">
        <v>22038</v>
      </c>
      <c r="D2577" s="51"/>
      <c r="E2577" s="857">
        <v>23</v>
      </c>
    </row>
    <row r="2578" spans="1:5">
      <c r="A2578" s="856">
        <v>40397</v>
      </c>
      <c r="B2578" s="125" t="str">
        <f>TiposLancamentos!B69</f>
        <v>Consertos</v>
      </c>
      <c r="C2578" s="139" t="s">
        <v>22039</v>
      </c>
      <c r="D2578" s="51"/>
      <c r="E2578" s="857">
        <v>6.2</v>
      </c>
    </row>
    <row r="2579" spans="1:5">
      <c r="A2579" s="856">
        <v>40399</v>
      </c>
      <c r="B2579" s="125" t="str">
        <f>TiposLancamentos!B5</f>
        <v>Supermercado</v>
      </c>
      <c r="C2579" s="139" t="s">
        <v>22040</v>
      </c>
      <c r="D2579" s="51"/>
      <c r="E2579" s="857">
        <v>22.92</v>
      </c>
    </row>
    <row r="2580" spans="1:5">
      <c r="A2580" s="856">
        <v>40399</v>
      </c>
      <c r="B2580" s="125" t="str">
        <f>TiposLancamentos!B56</f>
        <v>Farmácia</v>
      </c>
      <c r="C2580" s="139" t="s">
        <v>22041</v>
      </c>
      <c r="D2580" s="51"/>
      <c r="E2580" s="857">
        <v>20.09</v>
      </c>
    </row>
    <row r="2581" spans="1:5">
      <c r="A2581" s="856">
        <v>40400</v>
      </c>
      <c r="B2581" s="125" t="str">
        <f>TiposLancamentos!B16</f>
        <v>Cristiane</v>
      </c>
      <c r="C2581" s="139" t="s">
        <v>22042</v>
      </c>
      <c r="D2581" s="51"/>
      <c r="E2581" s="857">
        <v>33.9</v>
      </c>
    </row>
    <row r="2582" spans="1:5">
      <c r="A2582" s="856">
        <v>40401</v>
      </c>
      <c r="B2582" s="125" t="str">
        <f>TiposLancamentos!B52</f>
        <v>Multas</v>
      </c>
      <c r="C2582" s="139" t="s">
        <v>22043</v>
      </c>
      <c r="D2582" s="51"/>
      <c r="E2582" s="857">
        <v>68.099999999999994</v>
      </c>
    </row>
    <row r="2583" spans="1:5">
      <c r="A2583" s="856">
        <v>40403</v>
      </c>
      <c r="B2583" s="125" t="str">
        <f>TiposLancamentos!B60</f>
        <v>Correio</v>
      </c>
      <c r="C2583" s="139" t="s">
        <v>22044</v>
      </c>
      <c r="D2583" s="51"/>
      <c r="E2583" s="857">
        <v>24.2</v>
      </c>
    </row>
    <row r="2584" spans="1:5">
      <c r="A2584" s="856">
        <v>40403</v>
      </c>
      <c r="B2584" s="125" t="str">
        <f>TiposLancamentos!B19</f>
        <v>Restaurantes</v>
      </c>
      <c r="C2584" s="139" t="s">
        <v>22045</v>
      </c>
      <c r="D2584" s="51"/>
      <c r="E2584" s="857">
        <v>18.5</v>
      </c>
    </row>
    <row r="2585" spans="1:5">
      <c r="A2585" s="856">
        <v>40403</v>
      </c>
      <c r="B2585" s="125" t="str">
        <f>TiposLancamentos!B95</f>
        <v>Salarios</v>
      </c>
      <c r="C2585" s="139" t="s">
        <v>4916</v>
      </c>
      <c r="D2585" s="51">
        <v>1890.28</v>
      </c>
      <c r="E2585" s="857"/>
    </row>
    <row r="2586" spans="1:5">
      <c r="A2586" s="856">
        <v>40403</v>
      </c>
      <c r="B2586" s="125" t="str">
        <f>TiposLancamentos!B16</f>
        <v>Cristiane</v>
      </c>
      <c r="C2586" s="139" t="s">
        <v>22046</v>
      </c>
      <c r="D2586" s="51"/>
      <c r="E2586" s="857">
        <v>65</v>
      </c>
    </row>
    <row r="2587" spans="1:5">
      <c r="A2587" s="856">
        <v>40403</v>
      </c>
      <c r="B2587" s="125" t="str">
        <f>TiposLancamentos!B19</f>
        <v>Restaurantes</v>
      </c>
      <c r="C2587" s="139" t="s">
        <v>22047</v>
      </c>
      <c r="D2587" s="51"/>
      <c r="E2587" s="857">
        <v>33.5</v>
      </c>
    </row>
    <row r="2588" spans="1:5">
      <c r="A2588" s="856">
        <v>40404</v>
      </c>
      <c r="B2588" s="125" t="str">
        <f>TiposLancamentos!B71</f>
        <v>Itens Pessoais</v>
      </c>
      <c r="C2588" s="139" t="s">
        <v>22048</v>
      </c>
      <c r="D2588" s="51"/>
      <c r="E2588" s="857">
        <f>16.95+6.95</f>
        <v>23.9</v>
      </c>
    </row>
    <row r="2589" spans="1:5">
      <c r="A2589" s="856">
        <v>40404</v>
      </c>
      <c r="B2589" s="125" t="str">
        <f>TiposLancamentos!B16</f>
        <v>Cristiane</v>
      </c>
      <c r="C2589" s="139" t="s">
        <v>22049</v>
      </c>
      <c r="D2589" s="51"/>
      <c r="E2589" s="857">
        <f>82.4-E2588</f>
        <v>58.500000000000007</v>
      </c>
    </row>
    <row r="2590" spans="1:5">
      <c r="A2590" s="856">
        <v>40404</v>
      </c>
      <c r="B2590" s="125" t="str">
        <f>TiposLancamentos!B13</f>
        <v>Moradia</v>
      </c>
      <c r="C2590" s="139" t="s">
        <v>22050</v>
      </c>
      <c r="D2590" s="51"/>
      <c r="E2590" s="857">
        <v>20.8</v>
      </c>
    </row>
    <row r="2591" spans="1:5">
      <c r="A2591" s="856">
        <v>40404</v>
      </c>
      <c r="B2591" s="125" t="str">
        <f>TiposLancamentos!B18</f>
        <v>Alimentacao</v>
      </c>
      <c r="C2591" s="139" t="s">
        <v>4413</v>
      </c>
      <c r="D2591" s="51"/>
      <c r="E2591" s="857">
        <v>17.899999999999999</v>
      </c>
    </row>
    <row r="2592" spans="1:5">
      <c r="A2592" s="856">
        <v>40404</v>
      </c>
      <c r="B2592" s="125" t="str">
        <f>TiposLancamentos!B5</f>
        <v>Supermercado</v>
      </c>
      <c r="C2592" s="139" t="s">
        <v>5967</v>
      </c>
      <c r="D2592" s="51"/>
      <c r="E2592" s="857">
        <v>139.75</v>
      </c>
    </row>
    <row r="2593" spans="1:6">
      <c r="A2593" s="856">
        <v>40405</v>
      </c>
      <c r="B2593" s="125" t="str">
        <f>TiposLancamentos!B19</f>
        <v>Restaurantes</v>
      </c>
      <c r="C2593" s="139" t="s">
        <v>21677</v>
      </c>
      <c r="D2593" s="51"/>
      <c r="E2593" s="857">
        <v>15.9</v>
      </c>
    </row>
    <row r="2594" spans="1:6">
      <c r="A2594" s="961">
        <v>40405</v>
      </c>
      <c r="B2594" s="817" t="str">
        <f>TiposLancamentos!B56</f>
        <v>Farmácia</v>
      </c>
      <c r="C2594" s="962" t="s">
        <v>22051</v>
      </c>
      <c r="D2594" s="809"/>
      <c r="E2594" s="965">
        <v>151.1</v>
      </c>
    </row>
    <row r="2595" spans="1:6">
      <c r="A2595" s="963">
        <v>40405</v>
      </c>
      <c r="B2595" s="818" t="str">
        <f>TiposLancamentos!B16</f>
        <v>Cristiane</v>
      </c>
      <c r="C2595" s="964" t="s">
        <v>22051</v>
      </c>
      <c r="D2595" s="813"/>
      <c r="E2595" s="966">
        <v>60</v>
      </c>
      <c r="F2595" s="36">
        <f>SUM(E2594:E2595)</f>
        <v>211.1</v>
      </c>
    </row>
    <row r="2596" spans="1:6">
      <c r="A2596" s="856">
        <v>40406</v>
      </c>
      <c r="B2596" s="125" t="str">
        <f>TiposLancamentos!B24</f>
        <v>Estacionamentos</v>
      </c>
      <c r="C2596" s="139" t="s">
        <v>5392</v>
      </c>
      <c r="D2596" s="51"/>
      <c r="E2596" s="857">
        <v>70.78</v>
      </c>
    </row>
    <row r="2597" spans="1:6">
      <c r="A2597" s="856">
        <v>40406</v>
      </c>
      <c r="B2597" s="125" t="str">
        <f>TiposLancamentos!B86</f>
        <v>Peugeout 207</v>
      </c>
      <c r="C2597" s="139" t="s">
        <v>22052</v>
      </c>
      <c r="D2597" s="51"/>
      <c r="E2597" s="857">
        <v>700.69</v>
      </c>
    </row>
    <row r="2598" spans="1:6">
      <c r="A2598" s="856">
        <v>40406</v>
      </c>
      <c r="B2598" s="125" t="str">
        <f>TiposLancamentos!B105</f>
        <v>Transf. Bco</v>
      </c>
      <c r="C2598" s="139" t="s">
        <v>21774</v>
      </c>
      <c r="D2598" s="51"/>
      <c r="E2598" s="857">
        <v>50</v>
      </c>
    </row>
    <row r="2599" spans="1:6">
      <c r="A2599" s="856">
        <v>40406</v>
      </c>
      <c r="B2599" s="125" t="str">
        <f>TiposLancamentos!B19</f>
        <v>Restaurantes</v>
      </c>
      <c r="C2599" s="139" t="s">
        <v>22053</v>
      </c>
      <c r="D2599" s="51"/>
      <c r="E2599" s="857">
        <v>21.74</v>
      </c>
    </row>
    <row r="2600" spans="1:6">
      <c r="A2600" s="856">
        <v>40407</v>
      </c>
      <c r="B2600" s="125" t="str">
        <f>TiposLancamentos!B19</f>
        <v>Restaurantes</v>
      </c>
      <c r="C2600" s="139" t="s">
        <v>21677</v>
      </c>
      <c r="D2600" s="51"/>
      <c r="E2600" s="857">
        <v>15.9</v>
      </c>
    </row>
    <row r="2601" spans="1:6">
      <c r="A2601" s="856">
        <v>40408</v>
      </c>
      <c r="B2601" s="125" t="str">
        <f>TiposLancamentos!B16</f>
        <v>Cristiane</v>
      </c>
      <c r="C2601" s="139" t="s">
        <v>22054</v>
      </c>
      <c r="D2601" s="51"/>
      <c r="E2601" s="857">
        <v>65.59</v>
      </c>
    </row>
    <row r="2602" spans="1:6">
      <c r="A2602" s="856">
        <v>40408</v>
      </c>
      <c r="B2602" s="125" t="str">
        <f>TiposLancamentos!B19</f>
        <v>Restaurantes</v>
      </c>
      <c r="C2602" s="139" t="s">
        <v>7141</v>
      </c>
      <c r="D2602" s="51"/>
      <c r="E2602" s="857">
        <v>11.9</v>
      </c>
    </row>
    <row r="2603" spans="1:6" ht="14.25" customHeight="1">
      <c r="A2603" s="856">
        <v>40408</v>
      </c>
      <c r="B2603" s="125" t="str">
        <f>TiposLancamentos!B20</f>
        <v>Saques</v>
      </c>
      <c r="C2603" s="139" t="s">
        <v>3072</v>
      </c>
      <c r="D2603" s="51"/>
      <c r="E2603" s="857">
        <v>20</v>
      </c>
    </row>
    <row r="2604" spans="1:6" ht="14.25" customHeight="1">
      <c r="A2604" s="856">
        <v>40409</v>
      </c>
      <c r="B2604" s="125" t="str">
        <f>TiposLancamentos!B19</f>
        <v>Restaurantes</v>
      </c>
      <c r="C2604" s="139" t="s">
        <v>3287</v>
      </c>
      <c r="D2604" s="51"/>
      <c r="E2604" s="857">
        <v>18.5</v>
      </c>
    </row>
    <row r="2605" spans="1:6" ht="14.25" customHeight="1">
      <c r="A2605" s="856">
        <v>40409</v>
      </c>
      <c r="B2605" s="125" t="str">
        <f>TiposLancamentos!B19</f>
        <v>Restaurantes</v>
      </c>
      <c r="C2605" s="139" t="s">
        <v>22055</v>
      </c>
      <c r="D2605" s="51"/>
      <c r="E2605" s="857">
        <v>6.4</v>
      </c>
    </row>
    <row r="2606" spans="1:6" ht="14.25" customHeight="1">
      <c r="A2606" s="856">
        <v>40409</v>
      </c>
      <c r="B2606" s="125" t="str">
        <f>TiposLancamentos!B20</f>
        <v>Saques</v>
      </c>
      <c r="C2606" s="139" t="s">
        <v>22056</v>
      </c>
      <c r="D2606" s="51"/>
      <c r="E2606" s="857">
        <v>40</v>
      </c>
    </row>
    <row r="2607" spans="1:6" ht="14.25" customHeight="1">
      <c r="A2607" s="856">
        <v>40410</v>
      </c>
      <c r="B2607" s="125" t="str">
        <f>TiposLancamentos!B19</f>
        <v>Restaurantes</v>
      </c>
      <c r="C2607" s="139" t="s">
        <v>22057</v>
      </c>
      <c r="D2607" s="51"/>
      <c r="E2607" s="857">
        <v>15.9</v>
      </c>
    </row>
    <row r="2608" spans="1:6" ht="14.25" customHeight="1">
      <c r="A2608" s="856">
        <v>40410</v>
      </c>
      <c r="B2608" s="125" t="str">
        <f>TiposLancamentos!B102</f>
        <v>ESTORNO</v>
      </c>
      <c r="C2608" s="139" t="s">
        <v>21839</v>
      </c>
      <c r="D2608" s="51">
        <v>15.9</v>
      </c>
      <c r="E2608" s="857"/>
    </row>
    <row r="2609" spans="1:5" ht="14.25" customHeight="1">
      <c r="A2609" s="856">
        <v>40411</v>
      </c>
      <c r="B2609" s="125" t="str">
        <f>TiposLancamentos!B18</f>
        <v>Alimentacao</v>
      </c>
      <c r="C2609" s="139" t="s">
        <v>22058</v>
      </c>
      <c r="D2609" s="51"/>
      <c r="E2609" s="857">
        <v>10</v>
      </c>
    </row>
    <row r="2610" spans="1:5" ht="14.25" customHeight="1">
      <c r="A2610" s="856">
        <v>40411</v>
      </c>
      <c r="B2610" s="125" t="str">
        <f>TiposLancamentos!B20</f>
        <v>Saques</v>
      </c>
      <c r="C2610" s="139" t="s">
        <v>2668</v>
      </c>
      <c r="D2610" s="51"/>
      <c r="E2610" s="857">
        <v>70</v>
      </c>
    </row>
    <row r="2611" spans="1:5" ht="14.25" customHeight="1">
      <c r="A2611" s="856">
        <v>40412</v>
      </c>
      <c r="B2611" s="125" t="str">
        <f>TiposLancamentos!B19</f>
        <v>Restaurantes</v>
      </c>
      <c r="C2611" s="139" t="s">
        <v>22059</v>
      </c>
      <c r="D2611" s="51"/>
      <c r="E2611" s="857">
        <v>8.9</v>
      </c>
    </row>
    <row r="2612" spans="1:5" ht="14.25" customHeight="1">
      <c r="A2612" s="856">
        <v>40412</v>
      </c>
      <c r="B2612" s="125" t="str">
        <f>TiposLancamentos!B19</f>
        <v>Restaurantes</v>
      </c>
      <c r="C2612" s="139" t="s">
        <v>22060</v>
      </c>
      <c r="D2612" s="51"/>
      <c r="E2612" s="857">
        <v>42.68</v>
      </c>
    </row>
    <row r="2613" spans="1:5" ht="14.25" customHeight="1">
      <c r="A2613" s="856">
        <v>40413</v>
      </c>
      <c r="B2613" s="125" t="str">
        <f>TiposLancamentos!B19</f>
        <v>Restaurantes</v>
      </c>
      <c r="C2613" s="139" t="s">
        <v>22061</v>
      </c>
      <c r="D2613" s="51"/>
      <c r="E2613" s="857">
        <v>23</v>
      </c>
    </row>
    <row r="2614" spans="1:5" ht="14.25" customHeight="1">
      <c r="A2614" s="856">
        <v>40414</v>
      </c>
      <c r="B2614" s="125" t="str">
        <f>TiposLancamentos!B19</f>
        <v>Restaurantes</v>
      </c>
      <c r="C2614" s="139" t="s">
        <v>22062</v>
      </c>
      <c r="D2614" s="51"/>
      <c r="E2614" s="857">
        <v>15.85</v>
      </c>
    </row>
    <row r="2615" spans="1:5" ht="14.25" customHeight="1">
      <c r="A2615" s="856">
        <v>40415</v>
      </c>
      <c r="B2615" s="125" t="str">
        <f>TiposLancamentos!B20</f>
        <v>Saques</v>
      </c>
      <c r="C2615" s="139" t="s">
        <v>3403</v>
      </c>
      <c r="D2615" s="51"/>
      <c r="E2615" s="857">
        <v>70</v>
      </c>
    </row>
    <row r="2616" spans="1:5">
      <c r="A2616" s="856">
        <v>40415</v>
      </c>
      <c r="B2616" s="125" t="str">
        <f>TiposLancamentos!B19</f>
        <v>Restaurantes</v>
      </c>
      <c r="C2616" s="139" t="s">
        <v>2218</v>
      </c>
      <c r="D2616" s="51"/>
      <c r="E2616" s="857">
        <v>16.600000000000001</v>
      </c>
    </row>
    <row r="2617" spans="1:5">
      <c r="A2617" s="856">
        <v>40415</v>
      </c>
      <c r="B2617" s="125" t="str">
        <f>TiposLancamentos!B19</f>
        <v>Restaurantes</v>
      </c>
      <c r="C2617" s="139" t="s">
        <v>22063</v>
      </c>
      <c r="D2617" s="51"/>
      <c r="E2617" s="857">
        <v>137.51</v>
      </c>
    </row>
    <row r="2618" spans="1:5">
      <c r="A2618" s="856">
        <v>40416</v>
      </c>
      <c r="B2618" s="125" t="str">
        <f>TiposLancamentos!B19</f>
        <v>Restaurantes</v>
      </c>
      <c r="C2618" s="139" t="s">
        <v>22064</v>
      </c>
      <c r="D2618" s="51"/>
      <c r="E2618" s="857">
        <v>15.9</v>
      </c>
    </row>
    <row r="2619" spans="1:5">
      <c r="A2619" s="856">
        <v>40416</v>
      </c>
      <c r="B2619" s="125" t="str">
        <f>TiposLancamentos!B98</f>
        <v>Restituições</v>
      </c>
      <c r="C2619" s="139" t="s">
        <v>22065</v>
      </c>
      <c r="D2619" s="51">
        <v>60.78</v>
      </c>
      <c r="E2619" s="857"/>
    </row>
    <row r="2620" spans="1:5">
      <c r="A2620" s="856">
        <v>40417</v>
      </c>
      <c r="B2620" s="125" t="str">
        <f>TiposLancamentos!B16</f>
        <v>Cristiane</v>
      </c>
      <c r="C2620" s="139" t="s">
        <v>22066</v>
      </c>
      <c r="D2620" s="51"/>
      <c r="E2620" s="857">
        <v>300</v>
      </c>
    </row>
    <row r="2621" spans="1:5">
      <c r="A2621" s="856">
        <v>40420</v>
      </c>
      <c r="B2621" s="125" t="str">
        <f>TiposLancamentos!B20</f>
        <v>Saques</v>
      </c>
      <c r="C2621" s="139" t="s">
        <v>3565</v>
      </c>
      <c r="D2621" s="51"/>
      <c r="E2621" s="857">
        <v>30</v>
      </c>
    </row>
    <row r="2622" spans="1:5">
      <c r="A2622" s="856">
        <v>40421</v>
      </c>
      <c r="B2622" s="125" t="str">
        <f>TiposLancamentos!B95</f>
        <v>Salarios</v>
      </c>
      <c r="C2622" s="126" t="s">
        <v>4939</v>
      </c>
      <c r="D2622" s="51">
        <v>6389.21</v>
      </c>
      <c r="E2622" s="857"/>
    </row>
    <row r="2623" spans="1:5">
      <c r="A2623" s="856">
        <v>40421</v>
      </c>
      <c r="B2623" s="125" t="str">
        <f>TiposLancamentos!B6</f>
        <v>Energia Eletrica</v>
      </c>
      <c r="C2623" s="139" t="s">
        <v>5744</v>
      </c>
      <c r="D2623" s="51"/>
      <c r="E2623" s="857">
        <v>106.54</v>
      </c>
    </row>
    <row r="2624" spans="1:5" ht="14.25" thickBot="1">
      <c r="A2624" s="856">
        <v>40421</v>
      </c>
      <c r="B2624" s="125" t="str">
        <f>TiposLancamentos!B43</f>
        <v>Imposto de Renda</v>
      </c>
      <c r="C2624" s="139" t="s">
        <v>22067</v>
      </c>
      <c r="D2624" s="51"/>
      <c r="E2624" s="857">
        <v>260.31</v>
      </c>
    </row>
    <row r="2625" spans="1:7" ht="14.25" thickBot="1">
      <c r="A2625" s="998"/>
      <c r="B2625" s="989"/>
      <c r="C2625" s="990" t="s">
        <v>13453</v>
      </c>
      <c r="D2625" s="991"/>
      <c r="E2625" s="999"/>
    </row>
    <row r="2626" spans="1:7">
      <c r="A2626" s="856">
        <v>40422</v>
      </c>
      <c r="B2626" s="125" t="str">
        <f>TiposLancamentos!B15</f>
        <v>Cartões de Crédito</v>
      </c>
      <c r="C2626" s="139" t="s">
        <v>5557</v>
      </c>
      <c r="D2626" s="51"/>
      <c r="E2626" s="857">
        <v>2100.4699999999998</v>
      </c>
    </row>
    <row r="2627" spans="1:7">
      <c r="A2627" s="856">
        <v>40422</v>
      </c>
      <c r="B2627" s="125" t="str">
        <f>TiposLancamentos!B15</f>
        <v>Cartões de Crédito</v>
      </c>
      <c r="C2627" s="139" t="s">
        <v>5924</v>
      </c>
      <c r="D2627" s="51"/>
      <c r="E2627" s="857">
        <v>7.9</v>
      </c>
    </row>
    <row r="2628" spans="1:7">
      <c r="A2628" s="856">
        <v>40422</v>
      </c>
      <c r="B2628" s="125" t="str">
        <f>TiposLancamentos!B16</f>
        <v>Cristiane</v>
      </c>
      <c r="C2628" s="139" t="s">
        <v>22068</v>
      </c>
      <c r="D2628" s="51"/>
      <c r="E2628" s="857">
        <v>30.4</v>
      </c>
    </row>
    <row r="2629" spans="1:7">
      <c r="A2629" s="856">
        <v>40422</v>
      </c>
      <c r="B2629" s="125" t="str">
        <f>TiposLancamentos!B9</f>
        <v>Condominio</v>
      </c>
      <c r="C2629" s="139" t="s">
        <v>5925</v>
      </c>
      <c r="D2629" s="51"/>
      <c r="E2629" s="857">
        <v>740</v>
      </c>
    </row>
    <row r="2630" spans="1:7">
      <c r="A2630" s="856">
        <v>40422</v>
      </c>
      <c r="B2630" s="125" t="str">
        <f>TiposLancamentos!B16</f>
        <v>Cristiane</v>
      </c>
      <c r="C2630" s="139" t="s">
        <v>22069</v>
      </c>
      <c r="D2630" s="51"/>
      <c r="E2630" s="857">
        <v>106.99</v>
      </c>
    </row>
    <row r="2631" spans="1:7">
      <c r="A2631" s="806">
        <v>40422</v>
      </c>
      <c r="B2631" s="807" t="str">
        <f>TiposLancamentos!B35</f>
        <v>Tv à Cabo</v>
      </c>
      <c r="C2631" s="808" t="s">
        <v>5834</v>
      </c>
      <c r="D2631" s="809"/>
      <c r="E2631" s="859">
        <f>134-72.11</f>
        <v>61.89</v>
      </c>
    </row>
    <row r="2632" spans="1:7">
      <c r="A2632" s="773">
        <v>40422</v>
      </c>
      <c r="B2632" s="152" t="str">
        <f>TiposLancamentos!B3</f>
        <v>Internet</v>
      </c>
      <c r="C2632" s="141" t="s">
        <v>5835</v>
      </c>
      <c r="D2632" s="127"/>
      <c r="E2632" s="861">
        <f>131.8-72.41</f>
        <v>59.390000000000015</v>
      </c>
      <c r="G2632" s="156"/>
    </row>
    <row r="2633" spans="1:7">
      <c r="A2633" s="810">
        <v>40422</v>
      </c>
      <c r="B2633" s="811" t="str">
        <f>TiposLancamentos!B2</f>
        <v>Telefonia</v>
      </c>
      <c r="C2633" s="812" t="s">
        <v>21733</v>
      </c>
      <c r="D2633" s="813"/>
      <c r="E2633" s="863">
        <v>37.880000000000003</v>
      </c>
      <c r="F2633" s="157">
        <f>SUM(E2631:E2633)</f>
        <v>159.16000000000003</v>
      </c>
    </row>
    <row r="2634" spans="1:7">
      <c r="A2634" s="856">
        <v>40422</v>
      </c>
      <c r="B2634" s="125" t="str">
        <f>TiposLancamentos!B8</f>
        <v>Aluguel</v>
      </c>
      <c r="C2634" s="139" t="s">
        <v>22070</v>
      </c>
      <c r="D2634" s="51"/>
      <c r="E2634" s="857">
        <v>1004.05</v>
      </c>
    </row>
    <row r="2635" spans="1:7">
      <c r="A2635" s="856">
        <v>40422</v>
      </c>
      <c r="B2635" s="125" t="str">
        <f>TiposLancamentos!B16</f>
        <v>Cristiane</v>
      </c>
      <c r="C2635" s="139" t="s">
        <v>22071</v>
      </c>
      <c r="D2635" s="51"/>
      <c r="E2635" s="857">
        <v>70</v>
      </c>
    </row>
    <row r="2636" spans="1:7">
      <c r="A2636" s="856">
        <v>40422</v>
      </c>
      <c r="B2636" s="125" t="str">
        <f>TiposLancamentos!B4</f>
        <v>Taxas Bancarias</v>
      </c>
      <c r="C2636" s="139" t="s">
        <v>4858</v>
      </c>
      <c r="D2636" s="51"/>
      <c r="E2636" s="857">
        <v>0.17</v>
      </c>
    </row>
    <row r="2637" spans="1:7">
      <c r="A2637" s="856">
        <v>40423</v>
      </c>
      <c r="B2637" s="125" t="str">
        <f>TiposLancamentos!B98</f>
        <v>Restituições</v>
      </c>
      <c r="C2637" s="139" t="s">
        <v>22072</v>
      </c>
      <c r="D2637" s="51">
        <v>25516.7</v>
      </c>
      <c r="E2637" s="857"/>
    </row>
    <row r="2638" spans="1:7">
      <c r="A2638" s="856">
        <v>40424</v>
      </c>
      <c r="B2638" s="125" t="str">
        <f>TiposLancamentos!B16</f>
        <v>Cristiane</v>
      </c>
      <c r="C2638" s="139" t="s">
        <v>22073</v>
      </c>
      <c r="D2638" s="51"/>
      <c r="E2638" s="857">
        <v>530</v>
      </c>
    </row>
    <row r="2639" spans="1:7">
      <c r="A2639" s="856">
        <v>40425</v>
      </c>
      <c r="B2639" s="125" t="str">
        <f>TiposLancamentos!B20</f>
        <v>Saques</v>
      </c>
      <c r="C2639" s="139" t="s">
        <v>20879</v>
      </c>
      <c r="D2639" s="51"/>
      <c r="E2639" s="857">
        <v>30</v>
      </c>
    </row>
    <row r="2640" spans="1:7">
      <c r="A2640" s="856">
        <v>40425</v>
      </c>
      <c r="B2640" s="125" t="str">
        <f>TiposLancamentos!B19</f>
        <v>Restaurantes</v>
      </c>
      <c r="C2640" s="139" t="s">
        <v>6622</v>
      </c>
      <c r="D2640" s="51"/>
      <c r="E2640" s="857">
        <v>26.25</v>
      </c>
    </row>
    <row r="2641" spans="1:5">
      <c r="A2641" s="856">
        <v>40425</v>
      </c>
      <c r="B2641" s="125" t="str">
        <f>TiposLancamentos!B19</f>
        <v>Restaurantes</v>
      </c>
      <c r="C2641" s="139" t="s">
        <v>22074</v>
      </c>
      <c r="D2641" s="51"/>
      <c r="E2641" s="857">
        <v>32.119999999999997</v>
      </c>
    </row>
    <row r="2642" spans="1:5">
      <c r="A2642" s="856">
        <v>40427</v>
      </c>
      <c r="B2642" s="125" t="str">
        <f>TiposLancamentos!B87</f>
        <v>P207-1.6-XS</v>
      </c>
      <c r="C2642" s="139" t="s">
        <v>22075</v>
      </c>
      <c r="D2642" s="51"/>
      <c r="E2642" s="857">
        <v>23000</v>
      </c>
    </row>
    <row r="2643" spans="1:5">
      <c r="A2643" s="856">
        <v>40430</v>
      </c>
      <c r="B2643" s="125" t="str">
        <f>TiposLancamentos!B13</f>
        <v>Moradia</v>
      </c>
      <c r="C2643" s="139" t="s">
        <v>22076</v>
      </c>
      <c r="D2643" s="51"/>
      <c r="E2643" s="857">
        <v>39.07</v>
      </c>
    </row>
    <row r="2644" spans="1:5">
      <c r="A2644" s="856">
        <v>40429</v>
      </c>
      <c r="B2644" s="125" t="str">
        <f>TiposLancamentos!B13</f>
        <v>Moradia</v>
      </c>
      <c r="C2644" s="139" t="s">
        <v>22077</v>
      </c>
      <c r="D2644" s="51"/>
      <c r="E2644" s="857">
        <v>89</v>
      </c>
    </row>
    <row r="2645" spans="1:5">
      <c r="A2645" s="856">
        <v>40429</v>
      </c>
      <c r="B2645" s="125" t="str">
        <f>TiposLancamentos!B13</f>
        <v>Moradia</v>
      </c>
      <c r="C2645" s="139" t="s">
        <v>22078</v>
      </c>
      <c r="D2645" s="51"/>
      <c r="E2645" s="857">
        <v>1030</v>
      </c>
    </row>
    <row r="2646" spans="1:5">
      <c r="A2646" s="856">
        <v>40429</v>
      </c>
      <c r="B2646" s="125" t="str">
        <f>TiposLancamentos!B72</f>
        <v>Presentes</v>
      </c>
      <c r="C2646" s="139" t="s">
        <v>22079</v>
      </c>
      <c r="D2646" s="51"/>
      <c r="E2646" s="857">
        <v>10</v>
      </c>
    </row>
    <row r="2647" spans="1:5">
      <c r="A2647" s="856">
        <v>40430</v>
      </c>
      <c r="B2647" s="125" t="str">
        <f>TiposLancamentos!B20</f>
        <v>Saques</v>
      </c>
      <c r="C2647" s="139" t="s">
        <v>3814</v>
      </c>
      <c r="D2647" s="51"/>
      <c r="E2647" s="857">
        <v>20</v>
      </c>
    </row>
    <row r="2648" spans="1:5">
      <c r="A2648" s="856">
        <v>40430</v>
      </c>
      <c r="B2648" s="125" t="str">
        <f>TiposLancamentos!B5</f>
        <v>Supermercado</v>
      </c>
      <c r="C2648" s="139" t="s">
        <v>16747</v>
      </c>
      <c r="D2648" s="51"/>
      <c r="E2648" s="857">
        <v>14.9</v>
      </c>
    </row>
    <row r="2649" spans="1:5">
      <c r="A2649" s="856">
        <v>40431</v>
      </c>
      <c r="B2649" s="125" t="str">
        <f>TiposLancamentos!B19</f>
        <v>Restaurantes</v>
      </c>
      <c r="C2649" s="139" t="s">
        <v>22080</v>
      </c>
      <c r="D2649" s="51"/>
      <c r="E2649" s="857">
        <v>38.090000000000003</v>
      </c>
    </row>
    <row r="2650" spans="1:5">
      <c r="A2650" s="856">
        <v>40432</v>
      </c>
      <c r="B2650" s="125" t="str">
        <f>TiposLancamentos!B16</f>
        <v>Cristiane</v>
      </c>
      <c r="C2650" s="139" t="s">
        <v>22081</v>
      </c>
      <c r="D2650" s="51"/>
      <c r="E2650" s="857">
        <v>74.45</v>
      </c>
    </row>
    <row r="2651" spans="1:5">
      <c r="A2651" s="856">
        <v>40432</v>
      </c>
      <c r="B2651" s="125" t="str">
        <f>TiposLancamentos!B16</f>
        <v>Cristiane</v>
      </c>
      <c r="C2651" s="139" t="s">
        <v>22082</v>
      </c>
      <c r="D2651" s="51"/>
      <c r="E2651" s="857">
        <v>61.79</v>
      </c>
    </row>
    <row r="2652" spans="1:5">
      <c r="A2652" s="856">
        <v>40432</v>
      </c>
      <c r="B2652" s="125" t="str">
        <f>TiposLancamentos!B19</f>
        <v>Restaurantes</v>
      </c>
      <c r="C2652" s="139" t="s">
        <v>22083</v>
      </c>
      <c r="D2652" s="51"/>
      <c r="E2652" s="857">
        <v>54.56</v>
      </c>
    </row>
    <row r="2653" spans="1:5">
      <c r="A2653" s="856">
        <v>40432</v>
      </c>
      <c r="B2653" s="125" t="str">
        <f>TiposLancamentos!B5</f>
        <v>Supermercado</v>
      </c>
      <c r="C2653" s="139" t="s">
        <v>22084</v>
      </c>
      <c r="D2653" s="51"/>
      <c r="E2653" s="857">
        <v>125.56</v>
      </c>
    </row>
    <row r="2654" spans="1:5" ht="14.25" customHeight="1">
      <c r="A2654" s="856">
        <v>40432</v>
      </c>
      <c r="B2654" s="125" t="str">
        <f>TiposLancamentos!B17</f>
        <v>GATO</v>
      </c>
      <c r="C2654" s="139" t="s">
        <v>22085</v>
      </c>
      <c r="D2654" s="51"/>
      <c r="E2654" s="857">
        <v>21.42</v>
      </c>
    </row>
    <row r="2655" spans="1:5" ht="14.25" customHeight="1">
      <c r="A2655" s="856">
        <v>40433</v>
      </c>
      <c r="B2655" s="125" t="str">
        <f>TiposLancamentos!B5</f>
        <v>Supermercado</v>
      </c>
      <c r="C2655" s="139" t="s">
        <v>22086</v>
      </c>
      <c r="D2655" s="51"/>
      <c r="E2655" s="857">
        <v>21.44</v>
      </c>
    </row>
    <row r="2656" spans="1:5" ht="14.25" customHeight="1">
      <c r="A2656" s="856">
        <v>40434</v>
      </c>
      <c r="B2656" s="125" t="str">
        <f>TiposLancamentos!B57</f>
        <v>Informática</v>
      </c>
      <c r="C2656" s="139" t="s">
        <v>22087</v>
      </c>
      <c r="D2656" s="51"/>
      <c r="E2656" s="857">
        <v>15</v>
      </c>
    </row>
    <row r="2657" spans="1:6">
      <c r="A2657" s="856">
        <v>40434</v>
      </c>
      <c r="B2657" s="125" t="str">
        <f>TiposLancamentos!B17</f>
        <v>GATO</v>
      </c>
      <c r="C2657" s="139" t="s">
        <v>9863</v>
      </c>
      <c r="D2657" s="51"/>
      <c r="E2657" s="857">
        <v>17.55</v>
      </c>
    </row>
    <row r="2658" spans="1:6">
      <c r="A2658" s="856">
        <v>40434</v>
      </c>
      <c r="B2658" s="125" t="str">
        <f>TiposLancamentos!B20</f>
        <v>Saques</v>
      </c>
      <c r="C2658" s="139" t="s">
        <v>3403</v>
      </c>
      <c r="D2658" s="51"/>
      <c r="E2658" s="857">
        <v>30</v>
      </c>
    </row>
    <row r="2659" spans="1:6">
      <c r="A2659" s="856">
        <v>40435</v>
      </c>
      <c r="B2659" s="125" t="str">
        <f>TiposLancamentos!B87</f>
        <v>P207-1.6-XS</v>
      </c>
      <c r="C2659" s="139" t="s">
        <v>22088</v>
      </c>
      <c r="D2659" s="51"/>
      <c r="E2659" s="857">
        <v>2250</v>
      </c>
      <c r="F2659" s="157"/>
    </row>
    <row r="2660" spans="1:6">
      <c r="A2660" s="856">
        <v>40435</v>
      </c>
      <c r="B2660" s="125" t="str">
        <f>TiposLancamentos!B22</f>
        <v>Combustivel</v>
      </c>
      <c r="C2660" s="139" t="s">
        <v>22089</v>
      </c>
      <c r="D2660" s="51"/>
      <c r="E2660" s="857">
        <v>137.01</v>
      </c>
    </row>
    <row r="2661" spans="1:6">
      <c r="A2661" s="856">
        <v>40435</v>
      </c>
      <c r="B2661" s="125" t="str">
        <f>TiposLancamentos!B20</f>
        <v>Saques</v>
      </c>
      <c r="C2661" s="139" t="s">
        <v>22090</v>
      </c>
      <c r="D2661" s="51"/>
      <c r="E2661" s="857">
        <v>40</v>
      </c>
    </row>
    <row r="2662" spans="1:6">
      <c r="A2662" s="856">
        <v>40435</v>
      </c>
      <c r="B2662" s="125" t="str">
        <f>TiposLancamentos!B17</f>
        <v>GATO</v>
      </c>
      <c r="C2662" s="139" t="s">
        <v>22091</v>
      </c>
      <c r="D2662" s="51"/>
      <c r="E2662" s="857">
        <v>118.4</v>
      </c>
    </row>
    <row r="2663" spans="1:6">
      <c r="A2663" s="856">
        <v>40435</v>
      </c>
      <c r="B2663" s="125" t="str">
        <f>TiposLancamentos!B19</f>
        <v>Restaurantes</v>
      </c>
      <c r="C2663" s="139" t="s">
        <v>17177</v>
      </c>
      <c r="D2663" s="51"/>
      <c r="E2663" s="857">
        <v>27.2</v>
      </c>
    </row>
    <row r="2664" spans="1:6">
      <c r="A2664" s="856">
        <v>40436</v>
      </c>
      <c r="B2664" s="125" t="str">
        <f>TiposLancamentos!B95</f>
        <v>Salarios</v>
      </c>
      <c r="C2664" s="139" t="s">
        <v>4916</v>
      </c>
      <c r="D2664" s="51">
        <v>1890.28</v>
      </c>
      <c r="E2664" s="857"/>
    </row>
    <row r="2665" spans="1:6">
      <c r="A2665" s="856">
        <v>40437</v>
      </c>
      <c r="B2665" s="125" t="str">
        <f>TiposLancamentos!B19</f>
        <v>Restaurantes</v>
      </c>
      <c r="C2665" s="139" t="s">
        <v>17244</v>
      </c>
      <c r="D2665" s="51"/>
      <c r="E2665" s="857">
        <v>30.89</v>
      </c>
    </row>
    <row r="2666" spans="1:6">
      <c r="A2666" s="856">
        <v>40437</v>
      </c>
      <c r="B2666" s="125" t="str">
        <f>TiposLancamentos!B71</f>
        <v>Itens Pessoais</v>
      </c>
      <c r="C2666" s="139" t="s">
        <v>22092</v>
      </c>
      <c r="D2666" s="51"/>
      <c r="E2666" s="857">
        <v>35</v>
      </c>
    </row>
    <row r="2667" spans="1:6">
      <c r="A2667" s="856">
        <v>40438</v>
      </c>
      <c r="B2667" s="125" t="str">
        <f>TiposLancamentos!B19</f>
        <v>Restaurantes</v>
      </c>
      <c r="C2667" s="139" t="s">
        <v>22093</v>
      </c>
      <c r="D2667" s="51"/>
      <c r="E2667" s="857">
        <v>10.6</v>
      </c>
    </row>
    <row r="2668" spans="1:6">
      <c r="A2668" s="856">
        <v>40439</v>
      </c>
      <c r="B2668" s="125" t="str">
        <f>TiposLancamentos!B19</f>
        <v>Restaurantes</v>
      </c>
      <c r="C2668" s="139" t="s">
        <v>22094</v>
      </c>
      <c r="D2668" s="51"/>
      <c r="E2668" s="857">
        <v>19.100000000000001</v>
      </c>
    </row>
    <row r="2669" spans="1:6">
      <c r="A2669" s="856">
        <v>40439</v>
      </c>
      <c r="B2669" s="125" t="str">
        <f>TiposLancamentos!B5</f>
        <v>Supermercado</v>
      </c>
      <c r="C2669" s="139" t="s">
        <v>22095</v>
      </c>
      <c r="D2669" s="51"/>
      <c r="E2669" s="857">
        <v>73.17</v>
      </c>
    </row>
    <row r="2670" spans="1:6">
      <c r="A2670" s="856">
        <v>40439</v>
      </c>
      <c r="B2670" s="125" t="str">
        <f>TiposLancamentos!B5</f>
        <v>Supermercado</v>
      </c>
      <c r="C2670" s="139" t="s">
        <v>22096</v>
      </c>
      <c r="D2670" s="51"/>
      <c r="E2670" s="857">
        <v>111.92</v>
      </c>
    </row>
    <row r="2671" spans="1:6">
      <c r="A2671" s="856">
        <v>40439</v>
      </c>
      <c r="B2671" s="125" t="str">
        <f>TiposLancamentos!B20</f>
        <v>Saques</v>
      </c>
      <c r="C2671" s="139" t="s">
        <v>1706</v>
      </c>
      <c r="D2671" s="51"/>
      <c r="E2671" s="857">
        <v>60</v>
      </c>
    </row>
    <row r="2672" spans="1:6">
      <c r="A2672" s="856">
        <v>40440</v>
      </c>
      <c r="B2672" s="125" t="str">
        <f>TiposLancamentos!B74</f>
        <v>Noite</v>
      </c>
      <c r="C2672" s="139" t="s">
        <v>22097</v>
      </c>
      <c r="D2672" s="51"/>
      <c r="E2672" s="857">
        <v>30</v>
      </c>
    </row>
    <row r="2673" spans="1:5">
      <c r="A2673" s="856">
        <v>40440</v>
      </c>
      <c r="B2673" s="125" t="str">
        <f>TiposLancamentos!B19</f>
        <v>Restaurantes</v>
      </c>
      <c r="C2673" s="139" t="s">
        <v>22098</v>
      </c>
      <c r="D2673" s="51"/>
      <c r="E2673" s="857">
        <v>84.26</v>
      </c>
    </row>
    <row r="2674" spans="1:5">
      <c r="A2674" s="856">
        <v>40441</v>
      </c>
      <c r="B2674" s="125" t="str">
        <f>TiposLancamentos!B16</f>
        <v>Cristiane</v>
      </c>
      <c r="C2674" s="139" t="s">
        <v>22099</v>
      </c>
      <c r="D2674" s="51"/>
      <c r="E2674" s="857">
        <v>371.16</v>
      </c>
    </row>
    <row r="2675" spans="1:5">
      <c r="A2675" s="856">
        <v>40441</v>
      </c>
      <c r="B2675" s="125" t="str">
        <f>TiposLancamentos!B72</f>
        <v>Presentes</v>
      </c>
      <c r="C2675" s="139" t="s">
        <v>22100</v>
      </c>
      <c r="D2675" s="51"/>
      <c r="E2675" s="857">
        <v>10</v>
      </c>
    </row>
    <row r="2676" spans="1:5">
      <c r="A2676" s="856">
        <v>40442</v>
      </c>
      <c r="B2676" s="125" t="str">
        <f>TiposLancamentos!B34</f>
        <v>Seguros</v>
      </c>
      <c r="C2676" s="139" t="s">
        <v>22101</v>
      </c>
      <c r="D2676" s="51"/>
      <c r="E2676" s="857">
        <v>668.33</v>
      </c>
    </row>
    <row r="2677" spans="1:5">
      <c r="A2677" s="856">
        <v>40442</v>
      </c>
      <c r="B2677" s="125" t="str">
        <f>TiposLancamentos!B16</f>
        <v>Cristiane</v>
      </c>
      <c r="C2677" s="139" t="s">
        <v>22102</v>
      </c>
      <c r="D2677" s="51"/>
      <c r="E2677" s="857">
        <v>235</v>
      </c>
    </row>
    <row r="2678" spans="1:5">
      <c r="A2678" s="856">
        <v>40442</v>
      </c>
      <c r="B2678" s="125" t="str">
        <f>TiposLancamentos!B19</f>
        <v>Restaurantes</v>
      </c>
      <c r="C2678" s="139" t="s">
        <v>7141</v>
      </c>
      <c r="D2678" s="51"/>
      <c r="E2678" s="857">
        <v>11.9</v>
      </c>
    </row>
    <row r="2679" spans="1:5">
      <c r="A2679" s="856">
        <v>40442</v>
      </c>
      <c r="B2679" s="125" t="str">
        <f>TiposLancamentos!B19</f>
        <v>Restaurantes</v>
      </c>
      <c r="C2679" s="139" t="s">
        <v>22103</v>
      </c>
      <c r="D2679" s="51"/>
      <c r="E2679" s="857">
        <v>24.75</v>
      </c>
    </row>
    <row r="2680" spans="1:5">
      <c r="A2680" s="856">
        <v>40443</v>
      </c>
      <c r="B2680" s="125" t="str">
        <f>TiposLancamentos!B19</f>
        <v>Restaurantes</v>
      </c>
      <c r="C2680" s="139" t="s">
        <v>6122</v>
      </c>
      <c r="D2680" s="51"/>
      <c r="E2680" s="857">
        <v>23.5</v>
      </c>
    </row>
    <row r="2681" spans="1:5">
      <c r="A2681" s="856">
        <v>40443</v>
      </c>
      <c r="B2681" s="125" t="str">
        <f>TiposLancamentos!B19</f>
        <v>Restaurantes</v>
      </c>
      <c r="C2681" s="139" t="s">
        <v>3618</v>
      </c>
      <c r="D2681" s="51"/>
      <c r="E2681" s="857">
        <v>39.700000000000003</v>
      </c>
    </row>
    <row r="2682" spans="1:5">
      <c r="A2682" s="856">
        <v>40444</v>
      </c>
      <c r="B2682" s="125" t="str">
        <f>TiposLancamentos!B19</f>
        <v>Restaurantes</v>
      </c>
      <c r="C2682" s="139" t="s">
        <v>22104</v>
      </c>
      <c r="D2682" s="51"/>
      <c r="E2682" s="857">
        <v>28.13</v>
      </c>
    </row>
    <row r="2683" spans="1:5">
      <c r="A2683" s="856">
        <v>40444</v>
      </c>
      <c r="B2683" s="125" t="str">
        <f>TiposLancamentos!B16</f>
        <v>Cristiane</v>
      </c>
      <c r="C2683" s="139" t="s">
        <v>22105</v>
      </c>
      <c r="D2683" s="51"/>
      <c r="E2683" s="857">
        <v>44.9</v>
      </c>
    </row>
    <row r="2684" spans="1:5">
      <c r="A2684" s="856">
        <v>40445</v>
      </c>
      <c r="B2684" s="125" t="str">
        <f>TiposLancamentos!B95</f>
        <v>Salarios</v>
      </c>
      <c r="C2684" s="139" t="s">
        <v>22106</v>
      </c>
      <c r="D2684" s="51">
        <v>12676.22</v>
      </c>
      <c r="E2684" s="857"/>
    </row>
    <row r="2685" spans="1:5">
      <c r="A2685" s="856">
        <v>40445</v>
      </c>
      <c r="B2685" s="125" t="str">
        <f>TiposLancamentos!B20</f>
        <v>Saques</v>
      </c>
      <c r="C2685" s="139" t="s">
        <v>3778</v>
      </c>
      <c r="D2685" s="51"/>
      <c r="E2685" s="857">
        <v>5300</v>
      </c>
    </row>
    <row r="2686" spans="1:5">
      <c r="A2686" s="856">
        <v>40445</v>
      </c>
      <c r="B2686" s="125" t="str">
        <f>TiposLancamentos!B19</f>
        <v>Restaurantes</v>
      </c>
      <c r="C2686" s="139" t="s">
        <v>22107</v>
      </c>
      <c r="D2686" s="51"/>
      <c r="E2686" s="857">
        <v>56.87</v>
      </c>
    </row>
    <row r="2687" spans="1:5">
      <c r="A2687" s="856">
        <v>40445</v>
      </c>
      <c r="B2687" s="125" t="str">
        <f>TiposLancamentos!B16</f>
        <v>Cristiane</v>
      </c>
      <c r="C2687" s="139" t="s">
        <v>22108</v>
      </c>
      <c r="D2687" s="51"/>
      <c r="E2687" s="857">
        <v>60</v>
      </c>
    </row>
    <row r="2688" spans="1:5">
      <c r="A2688" s="856">
        <v>40445</v>
      </c>
      <c r="B2688" s="125" t="str">
        <f>TiposLancamentos!B5</f>
        <v>Supermercado</v>
      </c>
      <c r="C2688" s="139" t="s">
        <v>5844</v>
      </c>
      <c r="D2688" s="51"/>
      <c r="E2688" s="857">
        <v>113.03</v>
      </c>
    </row>
    <row r="2689" spans="1:5">
      <c r="A2689" s="856">
        <v>40445</v>
      </c>
      <c r="B2689" s="125" t="str">
        <f>TiposLancamentos!B56</f>
        <v>Farmácia</v>
      </c>
      <c r="C2689" s="139" t="s">
        <v>22109</v>
      </c>
      <c r="D2689" s="51"/>
      <c r="E2689" s="857">
        <v>81.45</v>
      </c>
    </row>
    <row r="2690" spans="1:5">
      <c r="A2690" s="856">
        <v>40446</v>
      </c>
      <c r="B2690" s="125" t="str">
        <f>TiposLancamentos!B19</f>
        <v>Restaurantes</v>
      </c>
      <c r="C2690" s="139" t="s">
        <v>5002</v>
      </c>
      <c r="D2690" s="51"/>
      <c r="E2690" s="857">
        <v>27.5</v>
      </c>
    </row>
    <row r="2691" spans="1:5">
      <c r="A2691" s="856">
        <v>40447</v>
      </c>
      <c r="B2691" s="125" t="str">
        <f>TiposLancamentos!B19</f>
        <v>Restaurantes</v>
      </c>
      <c r="C2691" s="139" t="s">
        <v>22110</v>
      </c>
      <c r="D2691" s="51"/>
      <c r="E2691" s="857">
        <v>46.05</v>
      </c>
    </row>
    <row r="2692" spans="1:5">
      <c r="A2692" s="856">
        <v>40448</v>
      </c>
      <c r="B2692" s="125" t="str">
        <f>TiposLancamentos!B17</f>
        <v>GATO</v>
      </c>
      <c r="C2692" s="139" t="s">
        <v>22111</v>
      </c>
      <c r="D2692" s="51"/>
      <c r="E2692" s="857">
        <v>100</v>
      </c>
    </row>
    <row r="2693" spans="1:5">
      <c r="A2693" s="856">
        <v>40448</v>
      </c>
      <c r="B2693" s="125" t="str">
        <f>TiposLancamentos!B22</f>
        <v>Combustivel</v>
      </c>
      <c r="C2693" s="139" t="s">
        <v>22112</v>
      </c>
      <c r="D2693" s="51"/>
      <c r="E2693" s="857">
        <v>106.04</v>
      </c>
    </row>
    <row r="2694" spans="1:5">
      <c r="A2694" s="856">
        <v>40448</v>
      </c>
      <c r="B2694" s="125" t="str">
        <f>TiposLancamentos!B19</f>
        <v>Restaurantes</v>
      </c>
      <c r="C2694" s="139" t="s">
        <v>21781</v>
      </c>
      <c r="D2694" s="51"/>
      <c r="E2694" s="857">
        <v>15.89</v>
      </c>
    </row>
    <row r="2695" spans="1:5">
      <c r="A2695" s="856">
        <v>40449</v>
      </c>
      <c r="B2695" s="125" t="str">
        <f>TiposLancamentos!B72</f>
        <v>Presentes</v>
      </c>
      <c r="C2695" s="139" t="s">
        <v>22113</v>
      </c>
      <c r="D2695" s="51"/>
      <c r="E2695" s="857">
        <v>60</v>
      </c>
    </row>
    <row r="2696" spans="1:5">
      <c r="A2696" s="856">
        <v>40449</v>
      </c>
      <c r="B2696" s="125" t="str">
        <f>TiposLancamentos!B62</f>
        <v>Papelaria</v>
      </c>
      <c r="C2696" s="139" t="s">
        <v>22114</v>
      </c>
      <c r="D2696" s="51"/>
      <c r="E2696" s="857">
        <v>41.06</v>
      </c>
    </row>
    <row r="2697" spans="1:5">
      <c r="A2697" s="856">
        <v>40449</v>
      </c>
      <c r="B2697" s="125" t="str">
        <f>TiposLancamentos!B71</f>
        <v>Itens Pessoais</v>
      </c>
      <c r="C2697" s="139" t="s">
        <v>22115</v>
      </c>
      <c r="D2697" s="51"/>
      <c r="E2697" s="857">
        <v>47</v>
      </c>
    </row>
    <row r="2698" spans="1:5">
      <c r="A2698" s="856">
        <v>40449</v>
      </c>
      <c r="B2698" s="125" t="str">
        <f>TiposLancamentos!B19</f>
        <v>Restaurantes</v>
      </c>
      <c r="C2698" s="139" t="s">
        <v>22116</v>
      </c>
      <c r="D2698" s="51"/>
      <c r="E2698" s="857">
        <v>42.4</v>
      </c>
    </row>
    <row r="2699" spans="1:5">
      <c r="A2699" s="856">
        <v>40450</v>
      </c>
      <c r="B2699" s="125" t="str">
        <f>TiposLancamentos!B19</f>
        <v>Restaurantes</v>
      </c>
      <c r="C2699" s="139" t="s">
        <v>21781</v>
      </c>
      <c r="D2699" s="51"/>
      <c r="E2699" s="857">
        <v>15.89</v>
      </c>
    </row>
    <row r="2700" spans="1:5">
      <c r="A2700" s="856">
        <v>40450</v>
      </c>
      <c r="B2700" s="125" t="str">
        <f>TiposLancamentos!B5</f>
        <v>Supermercado</v>
      </c>
      <c r="C2700" s="139" t="s">
        <v>22117</v>
      </c>
      <c r="D2700" s="51"/>
      <c r="E2700" s="857">
        <v>11.89</v>
      </c>
    </row>
    <row r="2701" spans="1:5">
      <c r="A2701" s="856">
        <v>40451</v>
      </c>
      <c r="B2701" s="125" t="str">
        <f>TiposLancamentos!B43</f>
        <v>Imposto de Renda</v>
      </c>
      <c r="C2701" s="139" t="s">
        <v>22118</v>
      </c>
      <c r="D2701" s="51"/>
      <c r="E2701" s="857">
        <v>262.56</v>
      </c>
    </row>
    <row r="2702" spans="1:5">
      <c r="A2702" s="856">
        <v>40451</v>
      </c>
      <c r="B2702" s="125" t="str">
        <f>TiposLancamentos!B95</f>
        <v>Salarios</v>
      </c>
      <c r="C2702" s="126" t="s">
        <v>4939</v>
      </c>
      <c r="D2702" s="51">
        <v>5333.48</v>
      </c>
      <c r="E2702" s="857"/>
    </row>
    <row r="2703" spans="1:5">
      <c r="A2703" s="856">
        <v>40451</v>
      </c>
      <c r="B2703" s="125" t="str">
        <f>TiposLancamentos!B6</f>
        <v>Energia Eletrica</v>
      </c>
      <c r="C2703" s="139" t="s">
        <v>22119</v>
      </c>
      <c r="D2703" s="51"/>
      <c r="E2703" s="857">
        <v>163.97</v>
      </c>
    </row>
    <row r="2704" spans="1:5">
      <c r="A2704" s="856">
        <v>40451</v>
      </c>
      <c r="B2704" s="125" t="str">
        <f>TiposLancamentos!B87</f>
        <v>P207-1.6-XS</v>
      </c>
      <c r="C2704" s="139" t="s">
        <v>13462</v>
      </c>
      <c r="D2704" s="51"/>
      <c r="E2704" s="857">
        <v>173.33</v>
      </c>
    </row>
    <row r="2705" spans="1:6">
      <c r="A2705" s="856">
        <v>40451</v>
      </c>
      <c r="B2705" s="125" t="str">
        <f>TiposLancamentos!B87</f>
        <v>P207-1.6-XS</v>
      </c>
      <c r="C2705" s="139" t="s">
        <v>13463</v>
      </c>
      <c r="D2705" s="51"/>
      <c r="E2705" s="857">
        <v>173.33</v>
      </c>
    </row>
    <row r="2706" spans="1:6">
      <c r="A2706" s="856">
        <v>40451</v>
      </c>
      <c r="B2706" s="125" t="str">
        <f>TiposLancamentos!B34</f>
        <v>Seguros</v>
      </c>
      <c r="C2706" s="139" t="s">
        <v>22120</v>
      </c>
      <c r="D2706" s="51"/>
      <c r="E2706" s="857">
        <v>668.33</v>
      </c>
    </row>
    <row r="2707" spans="1:6">
      <c r="A2707" s="856">
        <v>40451</v>
      </c>
      <c r="B2707" s="125" t="str">
        <f>TiposLancamentos!B34</f>
        <v>Seguros</v>
      </c>
      <c r="C2707" s="139" t="s">
        <v>22121</v>
      </c>
      <c r="D2707" s="51"/>
      <c r="E2707" s="857">
        <v>668.33</v>
      </c>
    </row>
    <row r="2708" spans="1:6">
      <c r="A2708" s="856">
        <v>40451</v>
      </c>
      <c r="B2708" s="125" t="str">
        <f>TiposLancamentos!B34</f>
        <v>Seguros</v>
      </c>
      <c r="C2708" s="139" t="s">
        <v>22122</v>
      </c>
      <c r="D2708" s="51"/>
      <c r="E2708" s="857">
        <v>668.33</v>
      </c>
    </row>
    <row r="2709" spans="1:6">
      <c r="A2709" s="856">
        <v>40451</v>
      </c>
      <c r="B2709" s="125" t="str">
        <f>TiposLancamentos!B19</f>
        <v>Restaurantes</v>
      </c>
      <c r="C2709" s="139" t="s">
        <v>22123</v>
      </c>
      <c r="D2709" s="51"/>
      <c r="E2709" s="857">
        <v>43.2</v>
      </c>
    </row>
    <row r="2710" spans="1:6" ht="14.25" thickBot="1">
      <c r="A2710" s="856">
        <v>40451</v>
      </c>
      <c r="B2710" s="125" t="str">
        <f>TiposLancamentos!B19</f>
        <v>Restaurantes</v>
      </c>
      <c r="C2710" s="139" t="s">
        <v>22124</v>
      </c>
      <c r="D2710" s="51"/>
      <c r="E2710" s="857">
        <v>19</v>
      </c>
    </row>
    <row r="2711" spans="1:6" ht="14.25" thickBot="1">
      <c r="A2711" s="998"/>
      <c r="B2711" s="989"/>
      <c r="C2711" s="997" t="s">
        <v>4095</v>
      </c>
      <c r="D2711" s="991"/>
      <c r="E2711" s="999"/>
    </row>
    <row r="2712" spans="1:6">
      <c r="A2712" s="856">
        <v>40452</v>
      </c>
      <c r="B2712" s="125" t="str">
        <f>TiposLancamentos!B15</f>
        <v>Cartões de Crédito</v>
      </c>
      <c r="C2712" s="139" t="s">
        <v>20597</v>
      </c>
      <c r="D2712" s="51"/>
      <c r="E2712" s="857">
        <v>1666.09</v>
      </c>
    </row>
    <row r="2713" spans="1:6">
      <c r="A2713" s="856">
        <v>40452</v>
      </c>
      <c r="B2713" s="125" t="str">
        <f>TiposLancamentos!B15</f>
        <v>Cartões de Crédito</v>
      </c>
      <c r="C2713" s="139" t="s">
        <v>21963</v>
      </c>
      <c r="D2713" s="51"/>
      <c r="E2713" s="857">
        <v>7.9</v>
      </c>
    </row>
    <row r="2714" spans="1:6">
      <c r="A2714" s="856">
        <v>40452</v>
      </c>
      <c r="B2714" s="125" t="str">
        <f>TiposLancamentos!B16</f>
        <v>Cristiane</v>
      </c>
      <c r="C2714" s="139" t="s">
        <v>22068</v>
      </c>
      <c r="D2714" s="51"/>
      <c r="E2714" s="857">
        <v>38</v>
      </c>
    </row>
    <row r="2715" spans="1:6">
      <c r="A2715" s="856">
        <v>40452</v>
      </c>
      <c r="B2715" s="125" t="str">
        <f>TiposLancamentos!B16</f>
        <v>Cristiane</v>
      </c>
      <c r="C2715" s="139" t="s">
        <v>7119</v>
      </c>
      <c r="D2715" s="51"/>
      <c r="E2715" s="857">
        <v>56.41</v>
      </c>
    </row>
    <row r="2716" spans="1:6">
      <c r="A2716" s="806">
        <v>40452</v>
      </c>
      <c r="B2716" s="807" t="str">
        <f>TiposLancamentos!B35</f>
        <v>Tv à Cabo</v>
      </c>
      <c r="C2716" s="808" t="s">
        <v>5834</v>
      </c>
      <c r="D2716" s="809"/>
      <c r="E2716" s="859">
        <f>134-32.95</f>
        <v>101.05</v>
      </c>
    </row>
    <row r="2717" spans="1:6">
      <c r="A2717" s="773">
        <v>40452</v>
      </c>
      <c r="B2717" s="152" t="str">
        <f>TiposLancamentos!B3</f>
        <v>Internet</v>
      </c>
      <c r="C2717" s="141" t="s">
        <v>5835</v>
      </c>
      <c r="D2717" s="127"/>
      <c r="E2717" s="861">
        <f>131.8-32.95</f>
        <v>98.850000000000009</v>
      </c>
    </row>
    <row r="2718" spans="1:6">
      <c r="A2718" s="810">
        <v>40452</v>
      </c>
      <c r="B2718" s="811" t="str">
        <f>TiposLancamentos!B2</f>
        <v>Telefonia</v>
      </c>
      <c r="C2718" s="812" t="s">
        <v>21733</v>
      </c>
      <c r="D2718" s="813"/>
      <c r="E2718" s="863">
        <v>37.9</v>
      </c>
      <c r="F2718" s="36">
        <f>SUM(E2716:E2718)</f>
        <v>237.8</v>
      </c>
    </row>
    <row r="2719" spans="1:6">
      <c r="A2719" s="856">
        <v>40452</v>
      </c>
      <c r="B2719" s="125" t="str">
        <f>TiposLancamentos!B8</f>
        <v>Aluguel</v>
      </c>
      <c r="C2719" s="139" t="s">
        <v>1682</v>
      </c>
      <c r="D2719" s="51"/>
      <c r="E2719" s="857">
        <v>1073.98</v>
      </c>
    </row>
    <row r="2720" spans="1:6">
      <c r="A2720" s="856">
        <v>40452</v>
      </c>
      <c r="B2720" s="125" t="str">
        <f>TiposLancamentos!B87</f>
        <v>P207-1.6-XS</v>
      </c>
      <c r="C2720" s="139" t="s">
        <v>13471</v>
      </c>
      <c r="D2720" s="51"/>
      <c r="E2720" s="857">
        <v>733.79</v>
      </c>
    </row>
    <row r="2721" spans="1:6">
      <c r="A2721" s="856">
        <v>40452</v>
      </c>
      <c r="B2721" s="125" t="str">
        <f>TiposLancamentos!B19</f>
        <v>Restaurantes</v>
      </c>
      <c r="C2721" s="139" t="s">
        <v>22125</v>
      </c>
      <c r="D2721" s="51"/>
      <c r="E2721" s="857">
        <v>70.290000000000006</v>
      </c>
    </row>
    <row r="2722" spans="1:6">
      <c r="A2722" s="856">
        <v>40452</v>
      </c>
      <c r="B2722" s="125" t="str">
        <f>TiposLancamentos!B57</f>
        <v>Informática</v>
      </c>
      <c r="C2722" s="139" t="s">
        <v>22126</v>
      </c>
      <c r="D2722" s="51"/>
      <c r="E2722" s="857">
        <v>28</v>
      </c>
    </row>
    <row r="2723" spans="1:6">
      <c r="A2723" s="856">
        <v>40452</v>
      </c>
      <c r="B2723" s="125" t="str">
        <f>TiposLancamentos!B31</f>
        <v>Action Figures</v>
      </c>
      <c r="C2723" s="139" t="s">
        <v>22127</v>
      </c>
      <c r="D2723" s="51"/>
      <c r="E2723" s="857">
        <v>115</v>
      </c>
    </row>
    <row r="2724" spans="1:6">
      <c r="A2724" s="856">
        <v>40452</v>
      </c>
      <c r="B2724" s="125" t="str">
        <f>TiposLancamentos!B16</f>
        <v>Cristiane</v>
      </c>
      <c r="C2724" s="139" t="s">
        <v>22128</v>
      </c>
      <c r="D2724" s="51"/>
      <c r="E2724" s="857">
        <v>107</v>
      </c>
    </row>
    <row r="2725" spans="1:6">
      <c r="A2725" s="856">
        <v>40452</v>
      </c>
      <c r="B2725" s="125" t="str">
        <f>TiposLancamentos!B9</f>
        <v>Condominio</v>
      </c>
      <c r="C2725" s="139" t="s">
        <v>14746</v>
      </c>
      <c r="D2725" s="51"/>
      <c r="E2725" s="857">
        <v>755.96</v>
      </c>
    </row>
    <row r="2726" spans="1:6">
      <c r="A2726" s="856">
        <v>40452</v>
      </c>
      <c r="B2726" s="125" t="str">
        <f>TiposLancamentos!B34</f>
        <v>Seguros</v>
      </c>
      <c r="C2726" s="139" t="s">
        <v>22129</v>
      </c>
      <c r="D2726" s="51"/>
      <c r="E2726" s="857">
        <v>69</v>
      </c>
      <c r="F2726" s="36"/>
    </row>
    <row r="2727" spans="1:6">
      <c r="A2727" s="856">
        <v>40452</v>
      </c>
      <c r="B2727" s="125" t="str">
        <f>TiposLancamentos!B5</f>
        <v>Supermercado</v>
      </c>
      <c r="C2727" s="139" t="s">
        <v>5801</v>
      </c>
      <c r="D2727" s="51"/>
      <c r="E2727" s="857">
        <v>73.48</v>
      </c>
      <c r="F2727" s="36"/>
    </row>
    <row r="2728" spans="1:6">
      <c r="A2728" s="856">
        <v>40452</v>
      </c>
      <c r="B2728" s="125" t="str">
        <f>TiposLancamentos!B5</f>
        <v>Supermercado</v>
      </c>
      <c r="C2728" s="139" t="s">
        <v>22130</v>
      </c>
      <c r="D2728" s="51"/>
      <c r="E2728" s="857">
        <v>25.74</v>
      </c>
      <c r="F2728" s="36"/>
    </row>
    <row r="2729" spans="1:6">
      <c r="A2729" s="856">
        <v>40452</v>
      </c>
      <c r="B2729" s="125" t="str">
        <f>TiposLancamentos!B4</f>
        <v>Taxas Bancarias</v>
      </c>
      <c r="C2729" s="139" t="s">
        <v>22131</v>
      </c>
      <c r="D2729" s="51"/>
      <c r="E2729" s="857">
        <v>2.0499999999999998</v>
      </c>
      <c r="F2729" s="36"/>
    </row>
    <row r="2730" spans="1:6">
      <c r="A2730" s="856">
        <v>40453</v>
      </c>
      <c r="B2730" s="125" t="str">
        <f>TiposLancamentos!B71</f>
        <v>Itens Pessoais</v>
      </c>
      <c r="C2730" s="139" t="s">
        <v>22132</v>
      </c>
      <c r="D2730" s="51"/>
      <c r="E2730" s="857">
        <v>18</v>
      </c>
    </row>
    <row r="2731" spans="1:6">
      <c r="A2731" s="856">
        <v>40454</v>
      </c>
      <c r="B2731" s="125" t="str">
        <f>TiposLancamentos!B19</f>
        <v>Restaurantes</v>
      </c>
      <c r="C2731" s="139" t="s">
        <v>17270</v>
      </c>
      <c r="D2731" s="51"/>
      <c r="E2731" s="857">
        <v>41.46</v>
      </c>
    </row>
    <row r="2732" spans="1:6">
      <c r="A2732" s="856">
        <v>40454</v>
      </c>
      <c r="B2732" s="125" t="str">
        <f>TiposLancamentos!B16</f>
        <v>Cristiane</v>
      </c>
      <c r="C2732" s="139" t="s">
        <v>22133</v>
      </c>
      <c r="D2732" s="51"/>
      <c r="E2732" s="857">
        <v>156</v>
      </c>
    </row>
    <row r="2733" spans="1:6">
      <c r="A2733" s="856">
        <v>40454</v>
      </c>
      <c r="B2733" s="125" t="str">
        <f>TiposLancamentos!B31</f>
        <v>Action Figures</v>
      </c>
      <c r="C2733" s="139" t="s">
        <v>22134</v>
      </c>
      <c r="D2733" s="51"/>
      <c r="E2733" s="857">
        <v>75</v>
      </c>
    </row>
    <row r="2734" spans="1:6">
      <c r="A2734" s="856">
        <v>40454</v>
      </c>
      <c r="B2734" s="125" t="str">
        <f>TiposLancamentos!B31</f>
        <v>Action Figures</v>
      </c>
      <c r="C2734" s="139" t="s">
        <v>22135</v>
      </c>
      <c r="D2734" s="51"/>
      <c r="E2734" s="857">
        <v>120</v>
      </c>
    </row>
    <row r="2735" spans="1:6">
      <c r="A2735" s="856">
        <v>40455</v>
      </c>
      <c r="B2735" s="125" t="str">
        <f>TiposLancamentos!B5</f>
        <v>Supermercado</v>
      </c>
      <c r="C2735" s="139" t="s">
        <v>22136</v>
      </c>
      <c r="D2735" s="51"/>
      <c r="E2735" s="857">
        <v>16.66</v>
      </c>
    </row>
    <row r="2736" spans="1:6">
      <c r="A2736" s="856">
        <v>40455</v>
      </c>
      <c r="B2736" s="125" t="str">
        <f>TiposLancamentos!B5</f>
        <v>Supermercado</v>
      </c>
      <c r="C2736" s="139" t="s">
        <v>5967</v>
      </c>
      <c r="D2736" s="51"/>
      <c r="E2736" s="857">
        <v>23.68</v>
      </c>
    </row>
    <row r="2737" spans="1:5">
      <c r="A2737" s="856">
        <v>40456</v>
      </c>
      <c r="B2737" s="125" t="str">
        <f>TiposLancamentos!B19</f>
        <v>Restaurantes</v>
      </c>
      <c r="C2737" s="139" t="s">
        <v>17244</v>
      </c>
      <c r="D2737" s="51"/>
      <c r="E2737" s="857">
        <v>32.42</v>
      </c>
    </row>
    <row r="2738" spans="1:5">
      <c r="A2738" s="856">
        <v>40456</v>
      </c>
      <c r="B2738" s="125" t="str">
        <f>TiposLancamentos!B19</f>
        <v>Restaurantes</v>
      </c>
      <c r="C2738" s="139" t="s">
        <v>22137</v>
      </c>
      <c r="D2738" s="51"/>
      <c r="E2738" s="857">
        <v>12</v>
      </c>
    </row>
    <row r="2739" spans="1:5">
      <c r="A2739" s="856">
        <v>40456</v>
      </c>
      <c r="B2739" s="125" t="str">
        <f>TiposLancamentos!B19</f>
        <v>Restaurantes</v>
      </c>
      <c r="C2739" s="139" t="s">
        <v>22103</v>
      </c>
      <c r="D2739" s="51"/>
      <c r="E2739" s="857">
        <v>24.05</v>
      </c>
    </row>
    <row r="2740" spans="1:5">
      <c r="A2740" s="856">
        <v>40457</v>
      </c>
      <c r="B2740" s="125" t="str">
        <f>TiposLancamentos!B19</f>
        <v>Restaurantes</v>
      </c>
      <c r="C2740" s="139" t="s">
        <v>21781</v>
      </c>
      <c r="D2740" s="51"/>
      <c r="E2740" s="857">
        <v>28.55</v>
      </c>
    </row>
    <row r="2741" spans="1:5">
      <c r="A2741" s="856">
        <v>40457</v>
      </c>
      <c r="B2741" s="125" t="str">
        <f>TiposLancamentos!B5</f>
        <v>Supermercado</v>
      </c>
      <c r="C2741" s="139" t="s">
        <v>3902</v>
      </c>
      <c r="D2741" s="51"/>
      <c r="E2741" s="857">
        <v>15.78</v>
      </c>
    </row>
    <row r="2742" spans="1:5">
      <c r="A2742" s="856">
        <v>40458</v>
      </c>
      <c r="B2742" s="125" t="str">
        <f>TiposLancamentos!B31</f>
        <v>Action Figures</v>
      </c>
      <c r="C2742" s="139" t="s">
        <v>22138</v>
      </c>
      <c r="D2742" s="51"/>
      <c r="E2742" s="857">
        <v>70</v>
      </c>
    </row>
    <row r="2743" spans="1:5">
      <c r="A2743" s="856">
        <v>40458</v>
      </c>
      <c r="B2743" s="125" t="str">
        <f>TiposLancamentos!B19</f>
        <v>Restaurantes</v>
      </c>
      <c r="C2743" s="139" t="s">
        <v>22139</v>
      </c>
      <c r="D2743" s="51"/>
      <c r="E2743" s="857">
        <v>87.4</v>
      </c>
    </row>
    <row r="2744" spans="1:5">
      <c r="A2744" s="856">
        <v>40458</v>
      </c>
      <c r="B2744" s="125" t="str">
        <f>TiposLancamentos!B16</f>
        <v>Cristiane</v>
      </c>
      <c r="C2744" s="139" t="s">
        <v>22140</v>
      </c>
      <c r="D2744" s="51"/>
      <c r="E2744" s="857">
        <v>139.69999999999999</v>
      </c>
    </row>
    <row r="2745" spans="1:5">
      <c r="A2745" s="856">
        <v>40459</v>
      </c>
      <c r="B2745" s="125" t="str">
        <f>TiposLancamentos!B60</f>
        <v>Correio</v>
      </c>
      <c r="C2745" s="139" t="s">
        <v>22141</v>
      </c>
      <c r="D2745" s="51"/>
      <c r="E2745" s="857">
        <v>23.3</v>
      </c>
    </row>
    <row r="2746" spans="1:5">
      <c r="A2746" s="856">
        <v>40459</v>
      </c>
      <c r="B2746" s="125" t="str">
        <f>TiposLancamentos!B16</f>
        <v>Cristiane</v>
      </c>
      <c r="C2746" s="139" t="s">
        <v>22142</v>
      </c>
      <c r="D2746" s="51"/>
      <c r="E2746" s="857">
        <v>16.2</v>
      </c>
    </row>
    <row r="2747" spans="1:5">
      <c r="A2747" s="856">
        <v>40459</v>
      </c>
      <c r="B2747" s="125" t="str">
        <f>TiposLancamentos!B16</f>
        <v>Cristiane</v>
      </c>
      <c r="C2747" s="139" t="s">
        <v>18559</v>
      </c>
      <c r="D2747" s="51"/>
      <c r="E2747" s="857">
        <v>58.87</v>
      </c>
    </row>
    <row r="2748" spans="1:5">
      <c r="A2748" s="856">
        <v>40459</v>
      </c>
      <c r="B2748" s="125" t="str">
        <f>TiposLancamentos!B16</f>
        <v>Cristiane</v>
      </c>
      <c r="C2748" s="139" t="s">
        <v>22143</v>
      </c>
      <c r="D2748" s="51"/>
      <c r="E2748" s="857">
        <v>10.95</v>
      </c>
    </row>
    <row r="2749" spans="1:5">
      <c r="A2749" s="856">
        <v>40459</v>
      </c>
      <c r="B2749" s="125" t="str">
        <f>TiposLancamentos!B5</f>
        <v>Supermercado</v>
      </c>
      <c r="C2749" s="139" t="s">
        <v>6234</v>
      </c>
      <c r="D2749" s="51"/>
      <c r="E2749" s="857">
        <v>53.93</v>
      </c>
    </row>
    <row r="2750" spans="1:5">
      <c r="A2750" s="856">
        <v>40460</v>
      </c>
      <c r="B2750" s="125" t="str">
        <f>TiposLancamentos!B19</f>
        <v>Restaurantes</v>
      </c>
      <c r="C2750" s="139" t="s">
        <v>22144</v>
      </c>
      <c r="D2750" s="51"/>
      <c r="E2750" s="857">
        <v>33.5</v>
      </c>
    </row>
    <row r="2751" spans="1:5">
      <c r="A2751" s="856">
        <v>40461</v>
      </c>
      <c r="B2751" s="125" t="str">
        <f>TiposLancamentos!B5</f>
        <v>Supermercado</v>
      </c>
      <c r="C2751" s="139" t="s">
        <v>6234</v>
      </c>
      <c r="D2751" s="51"/>
      <c r="E2751" s="857">
        <v>70.77</v>
      </c>
    </row>
    <row r="2752" spans="1:5">
      <c r="A2752" s="856">
        <v>40462</v>
      </c>
      <c r="B2752" s="125" t="str">
        <f>TiposLancamentos!B5</f>
        <v>Supermercado</v>
      </c>
      <c r="C2752" s="139" t="s">
        <v>6674</v>
      </c>
      <c r="D2752" s="51"/>
      <c r="E2752" s="857">
        <v>84.46</v>
      </c>
    </row>
    <row r="2753" spans="1:5">
      <c r="A2753" s="856">
        <v>40463</v>
      </c>
      <c r="B2753" s="125" t="str">
        <f>TiposLancamentos!B19</f>
        <v>Restaurantes</v>
      </c>
      <c r="C2753" s="139" t="s">
        <v>22145</v>
      </c>
      <c r="D2753" s="51"/>
      <c r="E2753" s="857">
        <v>25.96</v>
      </c>
    </row>
    <row r="2754" spans="1:5">
      <c r="A2754" s="856">
        <v>40464</v>
      </c>
      <c r="B2754" s="125" t="str">
        <f>TiposLancamentos!B22</f>
        <v>Combustivel</v>
      </c>
      <c r="C2754" s="139" t="s">
        <v>22146</v>
      </c>
      <c r="D2754" s="51"/>
      <c r="E2754" s="857">
        <v>60</v>
      </c>
    </row>
    <row r="2755" spans="1:5">
      <c r="A2755" s="856">
        <v>40464</v>
      </c>
      <c r="B2755" s="125" t="str">
        <f>TiposLancamentos!B19</f>
        <v>Restaurantes</v>
      </c>
      <c r="C2755" s="139" t="s">
        <v>22147</v>
      </c>
      <c r="D2755" s="51"/>
      <c r="E2755" s="857">
        <v>8.8000000000000007</v>
      </c>
    </row>
    <row r="2756" spans="1:5">
      <c r="A2756" s="856">
        <v>40464</v>
      </c>
      <c r="B2756" s="125" t="str">
        <f>TiposLancamentos!B16</f>
        <v>Cristiane</v>
      </c>
      <c r="C2756" s="139" t="s">
        <v>22148</v>
      </c>
      <c r="D2756" s="51"/>
      <c r="E2756" s="857">
        <v>232.84</v>
      </c>
    </row>
    <row r="2757" spans="1:5">
      <c r="A2757" s="856">
        <v>40465</v>
      </c>
      <c r="B2757" s="125" t="str">
        <f>TiposLancamentos!B24</f>
        <v>Estacionamentos</v>
      </c>
      <c r="C2757" s="139" t="s">
        <v>5392</v>
      </c>
      <c r="D2757" s="51"/>
      <c r="E2757" s="857">
        <v>47.25</v>
      </c>
    </row>
    <row r="2758" spans="1:5">
      <c r="A2758" s="856">
        <v>40466</v>
      </c>
      <c r="B2758" s="125" t="str">
        <f>TiposLancamentos!B20</f>
        <v>Saques</v>
      </c>
      <c r="C2758" s="139" t="s">
        <v>3403</v>
      </c>
      <c r="D2758" s="51"/>
      <c r="E2758" s="857">
        <v>60</v>
      </c>
    </row>
    <row r="2759" spans="1:5">
      <c r="A2759" s="856">
        <v>40466</v>
      </c>
      <c r="B2759" s="125" t="str">
        <f>TiposLancamentos!B22</f>
        <v>Combustivel</v>
      </c>
      <c r="C2759" s="139" t="s">
        <v>22149</v>
      </c>
      <c r="D2759" s="51"/>
      <c r="E2759" s="857">
        <v>70</v>
      </c>
    </row>
    <row r="2760" spans="1:5">
      <c r="A2760" s="856">
        <v>40466</v>
      </c>
      <c r="B2760" s="125" t="str">
        <f>TiposLancamentos!B19</f>
        <v>Restaurantes</v>
      </c>
      <c r="C2760" s="139" t="s">
        <v>3934</v>
      </c>
      <c r="D2760" s="51"/>
      <c r="E2760" s="857">
        <v>5.5</v>
      </c>
    </row>
    <row r="2761" spans="1:5">
      <c r="A2761" s="856">
        <v>40467</v>
      </c>
      <c r="B2761" s="125" t="str">
        <f>TiposLancamentos!B26</f>
        <v>LIVROS</v>
      </c>
      <c r="C2761" s="139" t="s">
        <v>22150</v>
      </c>
      <c r="D2761" s="51"/>
      <c r="E2761" s="857">
        <v>25</v>
      </c>
    </row>
    <row r="2762" spans="1:5">
      <c r="A2762" s="856">
        <v>40467</v>
      </c>
      <c r="B2762" s="125" t="str">
        <f>TiposLancamentos!B19</f>
        <v>Restaurantes</v>
      </c>
      <c r="C2762" s="139" t="s">
        <v>22151</v>
      </c>
      <c r="D2762" s="51"/>
      <c r="E2762" s="857">
        <v>62.1</v>
      </c>
    </row>
    <row r="2763" spans="1:5">
      <c r="A2763" s="856">
        <v>40469</v>
      </c>
      <c r="B2763" s="125" t="str">
        <f>TiposLancamentos!B31</f>
        <v>Action Figures</v>
      </c>
      <c r="C2763" s="139" t="s">
        <v>22152</v>
      </c>
      <c r="D2763" s="51"/>
      <c r="E2763" s="857">
        <v>153.6</v>
      </c>
    </row>
    <row r="2764" spans="1:5">
      <c r="A2764" s="856">
        <v>40469</v>
      </c>
      <c r="B2764" s="125" t="str">
        <f>TiposLancamentos!B19</f>
        <v>Restaurantes</v>
      </c>
      <c r="C2764" s="139" t="s">
        <v>22153</v>
      </c>
      <c r="D2764" s="51"/>
      <c r="E2764" s="857">
        <v>24.3</v>
      </c>
    </row>
    <row r="2765" spans="1:5">
      <c r="A2765" s="856">
        <v>40470</v>
      </c>
      <c r="B2765" s="125" t="str">
        <f>TiposLancamentos!B34</f>
        <v>Seguros</v>
      </c>
      <c r="C2765" s="139" t="s">
        <v>22154</v>
      </c>
      <c r="D2765" s="51"/>
      <c r="E2765" s="857">
        <v>431.86</v>
      </c>
    </row>
    <row r="2766" spans="1:5">
      <c r="A2766" s="856">
        <v>40471</v>
      </c>
      <c r="B2766" s="125" t="str">
        <f>TiposLancamentos!B22</f>
        <v>Combustivel</v>
      </c>
      <c r="C2766" s="139" t="s">
        <v>22155</v>
      </c>
      <c r="D2766" s="51"/>
      <c r="E2766" s="857">
        <v>64</v>
      </c>
    </row>
    <row r="2767" spans="1:5">
      <c r="A2767" s="856">
        <v>40471</v>
      </c>
      <c r="B2767" s="125" t="str">
        <f>TiposLancamentos!B56</f>
        <v>Farmácia</v>
      </c>
      <c r="C2767" s="139" t="s">
        <v>22156</v>
      </c>
      <c r="D2767" s="51"/>
      <c r="E2767" s="857">
        <v>43</v>
      </c>
    </row>
    <row r="2768" spans="1:5">
      <c r="A2768" s="856">
        <v>40472</v>
      </c>
      <c r="B2768" s="125" t="str">
        <f>TiposLancamentos!B5</f>
        <v>Supermercado</v>
      </c>
      <c r="C2768" s="139" t="s">
        <v>21959</v>
      </c>
      <c r="D2768" s="51"/>
      <c r="E2768" s="857">
        <v>23.66</v>
      </c>
    </row>
    <row r="2769" spans="1:5">
      <c r="A2769" s="856">
        <v>40472</v>
      </c>
      <c r="B2769" s="125" t="str">
        <f>TiposLancamentos!B19</f>
        <v>Restaurantes</v>
      </c>
      <c r="C2769" s="139" t="s">
        <v>22157</v>
      </c>
      <c r="D2769" s="51"/>
      <c r="E2769" s="857">
        <v>30.4</v>
      </c>
    </row>
    <row r="2770" spans="1:5">
      <c r="A2770" s="856">
        <v>40474</v>
      </c>
      <c r="B2770" s="125" t="str">
        <f>TiposLancamentos!B98</f>
        <v>Restituições</v>
      </c>
      <c r="C2770" s="139" t="s">
        <v>15004</v>
      </c>
      <c r="D2770" s="51">
        <v>6.16</v>
      </c>
      <c r="E2770" s="857"/>
    </row>
    <row r="2771" spans="1:5">
      <c r="A2771" s="856">
        <v>40474</v>
      </c>
      <c r="B2771" s="125" t="str">
        <f>TiposLancamentos!B98</f>
        <v>Restituições</v>
      </c>
      <c r="C2771" s="139" t="s">
        <v>22158</v>
      </c>
      <c r="D2771" s="51">
        <v>1.05</v>
      </c>
      <c r="E2771" s="857"/>
    </row>
    <row r="2772" spans="1:5">
      <c r="A2772" s="856">
        <v>40475</v>
      </c>
      <c r="B2772" s="125" t="str">
        <f>TiposLancamentos!B19</f>
        <v>Restaurantes</v>
      </c>
      <c r="C2772" s="139" t="s">
        <v>4121</v>
      </c>
      <c r="D2772" s="51"/>
      <c r="E2772" s="857">
        <v>4.5999999999999996</v>
      </c>
    </row>
    <row r="2773" spans="1:5">
      <c r="A2773" s="856">
        <v>40475</v>
      </c>
      <c r="B2773" s="125" t="str">
        <f>TiposLancamentos!B34</f>
        <v>Seguros</v>
      </c>
      <c r="C2773" s="139" t="s">
        <v>6243</v>
      </c>
      <c r="D2773" s="51"/>
      <c r="E2773" s="857">
        <v>60</v>
      </c>
    </row>
    <row r="2774" spans="1:5">
      <c r="A2774" s="856">
        <v>40475</v>
      </c>
      <c r="B2774" s="125" t="str">
        <f>TiposLancamentos!B17</f>
        <v>GATO</v>
      </c>
      <c r="C2774" s="139" t="s">
        <v>1925</v>
      </c>
      <c r="D2774" s="51"/>
      <c r="E2774" s="857">
        <v>21</v>
      </c>
    </row>
    <row r="2775" spans="1:5">
      <c r="A2775" s="856">
        <v>40478</v>
      </c>
      <c r="B2775" s="125" t="str">
        <f>TiposLancamentos!B25</f>
        <v>CD_DVD_BD</v>
      </c>
      <c r="C2775" s="139" t="s">
        <v>22159</v>
      </c>
      <c r="D2775" s="51"/>
      <c r="E2775" s="857">
        <v>12.9</v>
      </c>
    </row>
    <row r="2776" spans="1:5">
      <c r="A2776" s="856">
        <v>40478</v>
      </c>
      <c r="B2776" s="125" t="str">
        <f>TiposLancamentos!B25</f>
        <v>CD_DVD_BD</v>
      </c>
      <c r="C2776" s="139" t="s">
        <v>22160</v>
      </c>
      <c r="D2776" s="51"/>
      <c r="E2776" s="857">
        <v>49.8</v>
      </c>
    </row>
    <row r="2777" spans="1:5">
      <c r="A2777" s="856">
        <v>40478</v>
      </c>
      <c r="B2777" s="125" t="str">
        <f>TiposLancamentos!B19</f>
        <v>Restaurantes</v>
      </c>
      <c r="C2777" s="139" t="s">
        <v>22161</v>
      </c>
      <c r="D2777" s="51"/>
      <c r="E2777" s="857">
        <v>29.8</v>
      </c>
    </row>
    <row r="2778" spans="1:5">
      <c r="A2778" s="856">
        <v>40479</v>
      </c>
      <c r="B2778" s="125" t="str">
        <f>TiposLancamentos!B19</f>
        <v>Restaurantes</v>
      </c>
      <c r="C2778" s="139" t="s">
        <v>22162</v>
      </c>
      <c r="D2778" s="51"/>
      <c r="E2778" s="857">
        <v>29.6</v>
      </c>
    </row>
    <row r="2779" spans="1:5">
      <c r="A2779" s="856">
        <v>40479</v>
      </c>
      <c r="B2779" s="125" t="str">
        <f>TiposLancamentos!B22</f>
        <v>Combustivel</v>
      </c>
      <c r="C2779" s="139" t="s">
        <v>22163</v>
      </c>
      <c r="D2779" s="51"/>
      <c r="E2779" s="857">
        <v>69.010000000000005</v>
      </c>
    </row>
    <row r="2780" spans="1:5">
      <c r="A2780" s="856">
        <v>40480</v>
      </c>
      <c r="B2780" s="125" t="str">
        <f>TiposLancamentos!B43</f>
        <v>Imposto de Renda</v>
      </c>
      <c r="C2780" s="139" t="s">
        <v>22164</v>
      </c>
      <c r="D2780" s="51"/>
      <c r="E2780" s="857">
        <v>264.7</v>
      </c>
    </row>
    <row r="2781" spans="1:5">
      <c r="A2781" s="856">
        <v>40480</v>
      </c>
      <c r="B2781" s="125" t="str">
        <f>TiposLancamentos!B95</f>
        <v>Salarios</v>
      </c>
      <c r="C2781" s="126" t="s">
        <v>4939</v>
      </c>
      <c r="D2781" s="51">
        <v>6186.17</v>
      </c>
      <c r="E2781" s="857"/>
    </row>
    <row r="2782" spans="1:5">
      <c r="A2782" s="856">
        <v>40480</v>
      </c>
      <c r="B2782" s="125" t="str">
        <f>TiposLancamentos!B69</f>
        <v>Consertos</v>
      </c>
      <c r="C2782" s="139" t="s">
        <v>22165</v>
      </c>
      <c r="D2782" s="51"/>
      <c r="E2782" s="857">
        <v>6.3</v>
      </c>
    </row>
    <row r="2783" spans="1:5">
      <c r="A2783" s="856">
        <v>40480</v>
      </c>
      <c r="B2783" s="125" t="str">
        <f>TiposLancamentos!B19</f>
        <v>Restaurantes</v>
      </c>
      <c r="C2783" s="139" t="s">
        <v>6328</v>
      </c>
      <c r="D2783" s="51"/>
      <c r="E2783" s="857">
        <v>25.7</v>
      </c>
    </row>
    <row r="2784" spans="1:5">
      <c r="A2784" s="856">
        <v>40481</v>
      </c>
      <c r="B2784" s="125" t="str">
        <f>TiposLancamentos!B19</f>
        <v>Restaurantes</v>
      </c>
      <c r="C2784" s="139" t="s">
        <v>22166</v>
      </c>
      <c r="D2784" s="51"/>
      <c r="E2784" s="857">
        <v>114.18</v>
      </c>
    </row>
    <row r="2785" spans="1:6" ht="14.25" thickBot="1">
      <c r="A2785" s="856">
        <v>40481</v>
      </c>
      <c r="B2785" s="125" t="str">
        <f>TiposLancamentos!B25</f>
        <v>CD_DVD_BD</v>
      </c>
      <c r="C2785" s="139" t="s">
        <v>22167</v>
      </c>
      <c r="D2785" s="51"/>
      <c r="E2785" s="857">
        <v>124.7</v>
      </c>
    </row>
    <row r="2786" spans="1:6" ht="14.25" thickBot="1">
      <c r="A2786" s="998"/>
      <c r="B2786" s="989"/>
      <c r="C2786" s="997" t="s">
        <v>13474</v>
      </c>
      <c r="D2786" s="991"/>
      <c r="E2786" s="999"/>
    </row>
    <row r="2787" spans="1:6">
      <c r="A2787" s="856">
        <v>40483</v>
      </c>
      <c r="B2787" s="125" t="str">
        <f>TiposLancamentos!B19</f>
        <v>Restaurantes</v>
      </c>
      <c r="C2787" s="139" t="s">
        <v>5002</v>
      </c>
      <c r="D2787" s="51"/>
      <c r="E2787" s="857">
        <v>29</v>
      </c>
    </row>
    <row r="2788" spans="1:6">
      <c r="A2788" s="856">
        <v>40483</v>
      </c>
      <c r="B2788" s="125" t="str">
        <f>TiposLancamentos!B20</f>
        <v>Saques</v>
      </c>
      <c r="C2788" s="139" t="s">
        <v>22168</v>
      </c>
      <c r="D2788" s="51"/>
      <c r="E2788" s="857">
        <v>60</v>
      </c>
    </row>
    <row r="2789" spans="1:6">
      <c r="A2789" s="856">
        <v>40483</v>
      </c>
      <c r="B2789" s="125" t="str">
        <f>TiposLancamentos!B6</f>
        <v>Energia Eletrica</v>
      </c>
      <c r="C2789" s="139" t="s">
        <v>5744</v>
      </c>
      <c r="D2789" s="51"/>
      <c r="E2789" s="857">
        <v>154.1</v>
      </c>
    </row>
    <row r="2790" spans="1:6">
      <c r="A2790" s="856">
        <v>40483</v>
      </c>
      <c r="B2790" s="125" t="str">
        <f>TiposLancamentos!B15</f>
        <v>Cartões de Crédito</v>
      </c>
      <c r="C2790" s="139" t="s">
        <v>1260</v>
      </c>
      <c r="D2790" s="51"/>
      <c r="E2790" s="857">
        <v>1890.72</v>
      </c>
    </row>
    <row r="2791" spans="1:6">
      <c r="A2791" s="856">
        <v>40484</v>
      </c>
      <c r="B2791" s="125" t="str">
        <f>TiposLancamentos!B5</f>
        <v>Supermercado</v>
      </c>
      <c r="C2791" s="139" t="s">
        <v>22169</v>
      </c>
      <c r="D2791" s="51"/>
      <c r="E2791" s="857">
        <v>68.540000000000006</v>
      </c>
    </row>
    <row r="2792" spans="1:6">
      <c r="A2792" s="856">
        <v>40486</v>
      </c>
      <c r="B2792" s="125" t="str">
        <f>TiposLancamentos!B9</f>
        <v>Condominio</v>
      </c>
      <c r="C2792" s="139" t="s">
        <v>5925</v>
      </c>
      <c r="D2792" s="51"/>
      <c r="E2792" s="857">
        <v>747.98</v>
      </c>
    </row>
    <row r="2793" spans="1:6">
      <c r="A2793" s="856">
        <v>40486</v>
      </c>
      <c r="B2793" s="125" t="str">
        <f>TiposLancamentos!B87</f>
        <v>P207-1.6-XS</v>
      </c>
      <c r="C2793" s="139" t="s">
        <v>13480</v>
      </c>
      <c r="D2793" s="51"/>
      <c r="E2793" s="857">
        <v>733.79</v>
      </c>
    </row>
    <row r="2794" spans="1:6">
      <c r="A2794" s="806">
        <v>40486</v>
      </c>
      <c r="B2794" s="807" t="str">
        <f>TiposLancamentos!B35</f>
        <v>Tv à Cabo</v>
      </c>
      <c r="C2794" s="808" t="s">
        <v>5834</v>
      </c>
      <c r="D2794" s="809"/>
      <c r="E2794" s="859">
        <v>134</v>
      </c>
    </row>
    <row r="2795" spans="1:6">
      <c r="A2795" s="773">
        <v>40486</v>
      </c>
      <c r="B2795" s="152" t="str">
        <f>TiposLancamentos!B3</f>
        <v>Internet</v>
      </c>
      <c r="C2795" s="141" t="s">
        <v>5835</v>
      </c>
      <c r="D2795" s="127"/>
      <c r="E2795" s="861">
        <v>65.900000000000006</v>
      </c>
    </row>
    <row r="2796" spans="1:6">
      <c r="A2796" s="810">
        <v>40486</v>
      </c>
      <c r="B2796" s="811" t="str">
        <f>TiposLancamentos!B2</f>
        <v>Telefonia</v>
      </c>
      <c r="C2796" s="812" t="s">
        <v>21733</v>
      </c>
      <c r="D2796" s="813"/>
      <c r="E2796" s="863">
        <v>37.9</v>
      </c>
      <c r="F2796" s="36">
        <f>SUM(E2794:E2796)</f>
        <v>237.8</v>
      </c>
    </row>
    <row r="2797" spans="1:6">
      <c r="A2797" s="856">
        <v>40486</v>
      </c>
      <c r="B2797" s="125" t="str">
        <f>TiposLancamentos!B8</f>
        <v>Aluguel</v>
      </c>
      <c r="C2797" s="139" t="s">
        <v>1682</v>
      </c>
      <c r="D2797" s="51"/>
      <c r="E2797" s="857">
        <v>1073.98</v>
      </c>
    </row>
    <row r="2798" spans="1:6">
      <c r="A2798" s="856">
        <v>40486</v>
      </c>
      <c r="B2798" s="125" t="str">
        <f>TiposLancamentos!B34</f>
        <v>Seguros</v>
      </c>
      <c r="C2798" s="139" t="s">
        <v>22170</v>
      </c>
      <c r="D2798" s="51"/>
      <c r="E2798" s="857">
        <v>99</v>
      </c>
    </row>
    <row r="2799" spans="1:6">
      <c r="A2799" s="856">
        <v>40486</v>
      </c>
      <c r="B2799" s="125" t="str">
        <f>TiposLancamentos!B34</f>
        <v>Seguros</v>
      </c>
      <c r="C2799" s="139" t="s">
        <v>22171</v>
      </c>
      <c r="D2799" s="51"/>
      <c r="E2799" s="857">
        <v>69</v>
      </c>
    </row>
    <row r="2800" spans="1:6">
      <c r="A2800" s="856">
        <v>40486</v>
      </c>
      <c r="B2800" s="125" t="str">
        <f>TiposLancamentos!B19</f>
        <v>Restaurantes</v>
      </c>
      <c r="C2800" s="139" t="s">
        <v>22172</v>
      </c>
      <c r="D2800" s="51"/>
      <c r="E2800" s="857">
        <v>43.2</v>
      </c>
    </row>
    <row r="2801" spans="1:5">
      <c r="A2801" s="856">
        <v>40487</v>
      </c>
      <c r="B2801" s="125" t="str">
        <f>TiposLancamentos!B19</f>
        <v>Restaurantes</v>
      </c>
      <c r="C2801" s="139" t="s">
        <v>22173</v>
      </c>
      <c r="D2801" s="51"/>
      <c r="E2801" s="857">
        <v>31.8</v>
      </c>
    </row>
    <row r="2802" spans="1:5" ht="14.25" customHeight="1">
      <c r="A2802" s="856">
        <v>40488</v>
      </c>
      <c r="B2802" s="125" t="str">
        <f>TiposLancamentos!B13</f>
        <v>Moradia</v>
      </c>
      <c r="C2802" s="139" t="s">
        <v>22174</v>
      </c>
      <c r="D2802" s="51"/>
      <c r="E2802" s="857">
        <v>85.55</v>
      </c>
    </row>
    <row r="2803" spans="1:5">
      <c r="A2803" s="856">
        <v>40488</v>
      </c>
      <c r="B2803" s="125" t="str">
        <f>TiposLancamentos!B56</f>
        <v>Farmácia</v>
      </c>
      <c r="C2803" s="139" t="s">
        <v>22175</v>
      </c>
      <c r="D2803" s="51"/>
      <c r="E2803" s="857">
        <v>119.66</v>
      </c>
    </row>
    <row r="2804" spans="1:5">
      <c r="A2804" s="856">
        <v>40488</v>
      </c>
      <c r="B2804" s="125" t="str">
        <f>TiposLancamentos!B5</f>
        <v>Supermercado</v>
      </c>
      <c r="C2804" s="139" t="s">
        <v>17167</v>
      </c>
      <c r="D2804" s="51"/>
      <c r="E2804" s="857">
        <v>66.709999999999994</v>
      </c>
    </row>
    <row r="2805" spans="1:5">
      <c r="A2805" s="856">
        <v>40491</v>
      </c>
      <c r="B2805" s="125" t="str">
        <f>TiposLancamentos!B22</f>
        <v>Combustivel</v>
      </c>
      <c r="C2805" s="139" t="s">
        <v>22163</v>
      </c>
      <c r="D2805" s="51"/>
      <c r="E2805" s="857">
        <v>68.02</v>
      </c>
    </row>
    <row r="2806" spans="1:5">
      <c r="A2806" s="856">
        <v>40492</v>
      </c>
      <c r="B2806" s="125" t="str">
        <f>TiposLancamentos!B16</f>
        <v>Cristiane</v>
      </c>
      <c r="C2806" s="139" t="s">
        <v>22176</v>
      </c>
      <c r="D2806" s="51"/>
      <c r="E2806" s="857">
        <v>17.8</v>
      </c>
    </row>
    <row r="2807" spans="1:5">
      <c r="A2807" s="856">
        <v>40492</v>
      </c>
      <c r="B2807" s="125" t="str">
        <f>TiposLancamentos!B19</f>
        <v>Restaurantes</v>
      </c>
      <c r="C2807" s="139" t="s">
        <v>22103</v>
      </c>
      <c r="D2807" s="51"/>
      <c r="E2807" s="857">
        <v>25.2</v>
      </c>
    </row>
    <row r="2808" spans="1:5">
      <c r="A2808" s="856">
        <v>40493</v>
      </c>
      <c r="B2808" s="125" t="str">
        <f>TiposLancamentos!B19</f>
        <v>Restaurantes</v>
      </c>
      <c r="C2808" s="139" t="s">
        <v>22177</v>
      </c>
      <c r="D2808" s="51"/>
      <c r="E2808" s="857">
        <v>24.1</v>
      </c>
    </row>
    <row r="2809" spans="1:5">
      <c r="A2809" s="856">
        <v>40494</v>
      </c>
      <c r="B2809" s="125" t="str">
        <f>TiposLancamentos!B19</f>
        <v>Restaurantes</v>
      </c>
      <c r="C2809" s="139" t="s">
        <v>22178</v>
      </c>
      <c r="D2809" s="51"/>
      <c r="E2809" s="857">
        <v>21.31</v>
      </c>
    </row>
    <row r="2810" spans="1:5">
      <c r="A2810" s="856">
        <v>40494</v>
      </c>
      <c r="B2810" s="125" t="str">
        <f>TiposLancamentos!B95</f>
        <v>Salarios</v>
      </c>
      <c r="C2810" s="139" t="s">
        <v>4916</v>
      </c>
      <c r="D2810" s="51">
        <v>1890.28</v>
      </c>
      <c r="E2810" s="857"/>
    </row>
    <row r="2811" spans="1:5">
      <c r="A2811" s="856">
        <v>40494</v>
      </c>
      <c r="B2811" s="125" t="str">
        <f>TiposLancamentos!B19</f>
        <v>Restaurantes</v>
      </c>
      <c r="C2811" s="139" t="s">
        <v>22179</v>
      </c>
      <c r="D2811" s="51"/>
      <c r="E2811" s="857">
        <v>24.6</v>
      </c>
    </row>
    <row r="2812" spans="1:5">
      <c r="A2812" s="856">
        <v>40495</v>
      </c>
      <c r="B2812" s="125" t="str">
        <f>TiposLancamentos!B19</f>
        <v>Restaurantes</v>
      </c>
      <c r="C2812" s="139" t="s">
        <v>6122</v>
      </c>
      <c r="D2812" s="51"/>
      <c r="E2812" s="857">
        <v>35.4</v>
      </c>
    </row>
    <row r="2813" spans="1:5">
      <c r="A2813" s="856">
        <v>40495</v>
      </c>
      <c r="B2813" s="125" t="str">
        <f>TiposLancamentos!B5</f>
        <v>Supermercado</v>
      </c>
      <c r="C2813" s="139" t="s">
        <v>5801</v>
      </c>
      <c r="D2813" s="51"/>
      <c r="E2813" s="857">
        <v>117.28</v>
      </c>
    </row>
    <row r="2814" spans="1:5">
      <c r="A2814" s="856">
        <v>40498</v>
      </c>
      <c r="B2814" s="125" t="str">
        <f>TiposLancamentos!B13</f>
        <v>Moradia</v>
      </c>
      <c r="C2814" s="139" t="s">
        <v>22180</v>
      </c>
      <c r="D2814" s="51"/>
      <c r="E2814" s="857">
        <v>25</v>
      </c>
    </row>
    <row r="2815" spans="1:5">
      <c r="A2815" s="856">
        <v>40498</v>
      </c>
      <c r="B2815" s="125" t="str">
        <f>TiposLancamentos!B31</f>
        <v>Action Figures</v>
      </c>
      <c r="C2815" s="139" t="s">
        <v>22181</v>
      </c>
      <c r="D2815" s="51"/>
      <c r="E2815" s="857">
        <v>111.9</v>
      </c>
    </row>
    <row r="2816" spans="1:5">
      <c r="A2816" s="856">
        <v>40498</v>
      </c>
      <c r="B2816" s="125" t="str">
        <f>TiposLancamentos!B33</f>
        <v>Pedágios</v>
      </c>
      <c r="C2816" s="126" t="s">
        <v>20941</v>
      </c>
      <c r="D2816" s="51"/>
      <c r="E2816" s="857">
        <v>119.09</v>
      </c>
    </row>
    <row r="2817" spans="1:5">
      <c r="A2817" s="856">
        <v>40499</v>
      </c>
      <c r="B2817" s="125" t="str">
        <f>TiposLancamentos!B5</f>
        <v>Supermercado</v>
      </c>
      <c r="C2817" s="139" t="s">
        <v>22182</v>
      </c>
      <c r="D2817" s="51"/>
      <c r="E2817" s="857">
        <v>20.71</v>
      </c>
    </row>
    <row r="2818" spans="1:5">
      <c r="A2818" s="856">
        <v>40500</v>
      </c>
      <c r="B2818" s="125" t="str">
        <f>TiposLancamentos!B5</f>
        <v>Supermercado</v>
      </c>
      <c r="C2818" s="139" t="s">
        <v>22183</v>
      </c>
      <c r="D2818" s="51"/>
      <c r="E2818" s="857">
        <v>12.54</v>
      </c>
    </row>
    <row r="2819" spans="1:5">
      <c r="A2819" s="856">
        <v>40500</v>
      </c>
      <c r="B2819" s="125" t="str">
        <f>TiposLancamentos!B34</f>
        <v>Seguros</v>
      </c>
      <c r="C2819" s="139" t="s">
        <v>22184</v>
      </c>
      <c r="D2819" s="51"/>
      <c r="E2819" s="857">
        <v>431.86</v>
      </c>
    </row>
    <row r="2820" spans="1:5">
      <c r="A2820" s="856">
        <v>40501</v>
      </c>
      <c r="B2820" s="125" t="str">
        <f>TiposLancamentos!B19</f>
        <v>Restaurantes</v>
      </c>
      <c r="C2820" s="139" t="s">
        <v>21934</v>
      </c>
      <c r="D2820" s="51"/>
      <c r="E2820" s="857">
        <v>48</v>
      </c>
    </row>
    <row r="2821" spans="1:5">
      <c r="A2821" s="856">
        <v>40501</v>
      </c>
      <c r="B2821" s="125" t="str">
        <f>TiposLancamentos!B22</f>
        <v>Combustivel</v>
      </c>
      <c r="C2821" s="139" t="s">
        <v>4404</v>
      </c>
      <c r="D2821" s="51"/>
      <c r="E2821" s="857">
        <v>85.02</v>
      </c>
    </row>
    <row r="2822" spans="1:5">
      <c r="A2822" s="856">
        <v>40501</v>
      </c>
      <c r="B2822" s="125" t="str">
        <f>TiposLancamentos!B19</f>
        <v>Restaurantes</v>
      </c>
      <c r="C2822" s="139" t="s">
        <v>22185</v>
      </c>
      <c r="D2822" s="51"/>
      <c r="E2822" s="857">
        <v>34.79</v>
      </c>
    </row>
    <row r="2823" spans="1:5">
      <c r="A2823" s="856">
        <v>40502</v>
      </c>
      <c r="B2823" s="125" t="str">
        <f>TiposLancamentos!B5</f>
        <v>Supermercado</v>
      </c>
      <c r="C2823" s="139" t="s">
        <v>5862</v>
      </c>
      <c r="D2823" s="51"/>
      <c r="E2823" s="857">
        <v>64.98</v>
      </c>
    </row>
    <row r="2824" spans="1:5">
      <c r="A2824" s="856">
        <v>40504</v>
      </c>
      <c r="B2824" s="125" t="str">
        <f>TiposLancamentos!B70</f>
        <v>Vestuário</v>
      </c>
      <c r="C2824" s="139" t="s">
        <v>22186</v>
      </c>
      <c r="D2824" s="51"/>
      <c r="E2824" s="857">
        <v>399.5</v>
      </c>
    </row>
    <row r="2825" spans="1:5">
      <c r="A2825" s="856">
        <v>40505</v>
      </c>
      <c r="B2825" s="125" t="str">
        <f>TiposLancamentos!B98</f>
        <v>Restituições</v>
      </c>
      <c r="C2825" s="139" t="s">
        <v>22187</v>
      </c>
      <c r="D2825" s="51">
        <v>2.65</v>
      </c>
      <c r="E2825" s="857"/>
    </row>
    <row r="2826" spans="1:5">
      <c r="A2826" s="856">
        <v>40505</v>
      </c>
      <c r="B2826" s="125" t="str">
        <f>TiposLancamentos!B98</f>
        <v>Restituições</v>
      </c>
      <c r="C2826" s="139" t="s">
        <v>22188</v>
      </c>
      <c r="D2826" s="51">
        <v>0.11</v>
      </c>
      <c r="E2826" s="857"/>
    </row>
    <row r="2827" spans="1:5">
      <c r="A2827" s="856">
        <v>40506</v>
      </c>
      <c r="B2827" s="125" t="str">
        <f>TiposLancamentos!B72</f>
        <v>Presentes</v>
      </c>
      <c r="C2827" s="139" t="s">
        <v>22189</v>
      </c>
      <c r="D2827" s="51"/>
      <c r="E2827" s="857">
        <v>20</v>
      </c>
    </row>
    <row r="2828" spans="1:5">
      <c r="A2828" s="856">
        <v>40506</v>
      </c>
      <c r="B2828" s="125" t="str">
        <f>TiposLancamentos!B19</f>
        <v>Restaurantes</v>
      </c>
      <c r="C2828" s="139" t="s">
        <v>17244</v>
      </c>
      <c r="D2828" s="51"/>
      <c r="E2828" s="857">
        <v>40.200000000000003</v>
      </c>
    </row>
    <row r="2829" spans="1:5">
      <c r="A2829" s="856">
        <v>40508</v>
      </c>
      <c r="B2829" s="125" t="str">
        <f>TiposLancamentos!B56</f>
        <v>Farmácia</v>
      </c>
      <c r="C2829" s="139" t="s">
        <v>22190</v>
      </c>
      <c r="D2829" s="51"/>
      <c r="E2829" s="857">
        <v>151.63</v>
      </c>
    </row>
    <row r="2830" spans="1:5">
      <c r="A2830" s="856">
        <v>40508</v>
      </c>
      <c r="B2830" s="125" t="str">
        <f>TiposLancamentos!B19</f>
        <v>Restaurantes</v>
      </c>
      <c r="C2830" s="139" t="s">
        <v>22191</v>
      </c>
      <c r="D2830" s="51"/>
      <c r="E2830" s="857">
        <v>26.5</v>
      </c>
    </row>
    <row r="2831" spans="1:5">
      <c r="A2831" s="856">
        <v>40509</v>
      </c>
      <c r="B2831" s="125" t="str">
        <f>TiposLancamentos!B19</f>
        <v>Restaurantes</v>
      </c>
      <c r="C2831" s="139" t="s">
        <v>22192</v>
      </c>
      <c r="D2831" s="51"/>
      <c r="E2831" s="857">
        <v>15.2</v>
      </c>
    </row>
    <row r="2832" spans="1:5">
      <c r="A2832" s="856">
        <v>40509</v>
      </c>
      <c r="B2832" s="125" t="str">
        <f>TiposLancamentos!B24</f>
        <v>Estacionamentos</v>
      </c>
      <c r="C2832" s="139" t="s">
        <v>22193</v>
      </c>
      <c r="D2832" s="51"/>
      <c r="E2832" s="857">
        <v>68</v>
      </c>
    </row>
    <row r="2833" spans="1:6">
      <c r="A2833" s="856">
        <v>40509</v>
      </c>
      <c r="B2833" s="125" t="str">
        <f>TiposLancamentos!B19</f>
        <v>Restaurantes</v>
      </c>
      <c r="C2833" s="139" t="s">
        <v>22194</v>
      </c>
      <c r="D2833" s="51"/>
      <c r="E2833" s="857">
        <v>11.3</v>
      </c>
    </row>
    <row r="2834" spans="1:6">
      <c r="A2834" s="856">
        <v>40510</v>
      </c>
      <c r="B2834" s="125" t="str">
        <f>TiposLancamentos!B24</f>
        <v>Estacionamentos</v>
      </c>
      <c r="C2834" s="139" t="s">
        <v>22193</v>
      </c>
      <c r="D2834" s="51"/>
      <c r="E2834" s="857">
        <v>79</v>
      </c>
    </row>
    <row r="2835" spans="1:6">
      <c r="A2835" s="856">
        <v>40510</v>
      </c>
      <c r="B2835" s="125" t="str">
        <f>TiposLancamentos!B19</f>
        <v>Restaurantes</v>
      </c>
      <c r="C2835" s="139" t="s">
        <v>22195</v>
      </c>
      <c r="D2835" s="51"/>
      <c r="E2835" s="857">
        <v>11.9</v>
      </c>
    </row>
    <row r="2836" spans="1:6">
      <c r="A2836" s="856">
        <v>40512</v>
      </c>
      <c r="B2836" s="125" t="str">
        <f>TiposLancamentos!B43</f>
        <v>Imposto de Renda</v>
      </c>
      <c r="C2836" s="139" t="s">
        <v>22196</v>
      </c>
      <c r="D2836" s="51"/>
      <c r="E2836" s="857">
        <v>266.73</v>
      </c>
    </row>
    <row r="2837" spans="1:6">
      <c r="A2837" s="856">
        <v>40512</v>
      </c>
      <c r="B2837" s="125" t="str">
        <f>TiposLancamentos!B95</f>
        <v>Salarios</v>
      </c>
      <c r="C2837" s="126" t="s">
        <v>4939</v>
      </c>
      <c r="D2837" s="51">
        <v>5103.66</v>
      </c>
      <c r="E2837" s="857"/>
    </row>
    <row r="2838" spans="1:6" ht="14.25" thickBot="1">
      <c r="A2838" s="856">
        <v>40512</v>
      </c>
      <c r="B2838" s="125" t="str">
        <f>TiposLancamentos!B16</f>
        <v>Cristiane</v>
      </c>
      <c r="C2838" s="139" t="s">
        <v>22197</v>
      </c>
      <c r="D2838" s="51"/>
      <c r="E2838" s="857">
        <v>39.85</v>
      </c>
    </row>
    <row r="2839" spans="1:6" ht="14.25" thickBot="1">
      <c r="A2839" s="998"/>
      <c r="B2839" s="989"/>
      <c r="C2839" s="990" t="s">
        <v>13483</v>
      </c>
      <c r="D2839" s="991"/>
      <c r="E2839" s="999"/>
    </row>
    <row r="2840" spans="1:6">
      <c r="A2840" s="856">
        <v>40513</v>
      </c>
      <c r="B2840" s="125" t="str">
        <f>TiposLancamentos!B15</f>
        <v>Cartões de Crédito</v>
      </c>
      <c r="C2840" s="139" t="s">
        <v>20597</v>
      </c>
      <c r="D2840" s="51"/>
      <c r="E2840" s="857">
        <v>1369.55</v>
      </c>
    </row>
    <row r="2841" spans="1:6">
      <c r="A2841" s="856">
        <v>40513</v>
      </c>
      <c r="B2841" s="125" t="str">
        <f>TiposLancamentos!B6</f>
        <v>Energia Eletrica</v>
      </c>
      <c r="C2841" s="139" t="s">
        <v>22198</v>
      </c>
      <c r="D2841" s="51"/>
      <c r="E2841" s="857">
        <v>147.57</v>
      </c>
    </row>
    <row r="2842" spans="1:6">
      <c r="A2842" s="856">
        <v>40513</v>
      </c>
      <c r="B2842" s="125" t="str">
        <f>TiposLancamentos!B9</f>
        <v>Condominio</v>
      </c>
      <c r="C2842" s="139" t="s">
        <v>1684</v>
      </c>
      <c r="D2842" s="51"/>
      <c r="E2842" s="857">
        <v>755.96</v>
      </c>
    </row>
    <row r="2843" spans="1:6">
      <c r="A2843" s="856">
        <v>40513</v>
      </c>
      <c r="B2843" s="125" t="str">
        <f>TiposLancamentos!B8</f>
        <v>Aluguel</v>
      </c>
      <c r="C2843" s="139" t="s">
        <v>5356</v>
      </c>
      <c r="D2843" s="51"/>
      <c r="E2843" s="857">
        <v>1073.98</v>
      </c>
    </row>
    <row r="2844" spans="1:6">
      <c r="A2844" s="856">
        <v>40513</v>
      </c>
      <c r="B2844" s="125" t="str">
        <f>TiposLancamentos!B34</f>
        <v>Seguros</v>
      </c>
      <c r="C2844" s="139" t="s">
        <v>5809</v>
      </c>
      <c r="D2844" s="51"/>
      <c r="E2844" s="857">
        <v>69</v>
      </c>
    </row>
    <row r="2845" spans="1:6">
      <c r="A2845" s="856">
        <v>40513</v>
      </c>
      <c r="B2845" s="125" t="str">
        <f>TiposLancamentos!B87</f>
        <v>P207-1.6-XS</v>
      </c>
      <c r="C2845" s="139" t="s">
        <v>13488</v>
      </c>
      <c r="D2845" s="51"/>
      <c r="E2845" s="857">
        <v>733.79</v>
      </c>
    </row>
    <row r="2846" spans="1:6">
      <c r="A2846" s="806">
        <v>40513</v>
      </c>
      <c r="B2846" s="807" t="str">
        <f>TiposLancamentos!B35</f>
        <v>Tv à Cabo</v>
      </c>
      <c r="C2846" s="808" t="s">
        <v>5834</v>
      </c>
      <c r="D2846" s="809"/>
      <c r="E2846" s="859">
        <v>134</v>
      </c>
    </row>
    <row r="2847" spans="1:6">
      <c r="A2847" s="773">
        <v>40513</v>
      </c>
      <c r="B2847" s="152" t="str">
        <f>TiposLancamentos!B3</f>
        <v>Internet</v>
      </c>
      <c r="C2847" s="141" t="s">
        <v>5835</v>
      </c>
      <c r="D2847" s="127"/>
      <c r="E2847" s="861">
        <v>65.900000000000006</v>
      </c>
    </row>
    <row r="2848" spans="1:6">
      <c r="A2848" s="810">
        <v>40513</v>
      </c>
      <c r="B2848" s="811" t="str">
        <f>TiposLancamentos!B2</f>
        <v>Telefonia</v>
      </c>
      <c r="C2848" s="812" t="s">
        <v>21733</v>
      </c>
      <c r="D2848" s="813"/>
      <c r="E2848" s="863">
        <v>37.89</v>
      </c>
      <c r="F2848" s="112">
        <f>SUM(E2846:E2848)</f>
        <v>237.79000000000002</v>
      </c>
    </row>
    <row r="2849" spans="1:5">
      <c r="A2849" s="856">
        <v>40513</v>
      </c>
      <c r="B2849" s="125" t="str">
        <f>TiposLancamentos!B103</f>
        <v>Juros_Corr. Poupança</v>
      </c>
      <c r="C2849" s="139" t="s">
        <v>20569</v>
      </c>
      <c r="D2849" s="51">
        <v>0.02</v>
      </c>
      <c r="E2849" s="857"/>
    </row>
    <row r="2850" spans="1:5">
      <c r="A2850" s="856">
        <v>40513</v>
      </c>
      <c r="B2850" s="125" t="str">
        <f>TiposLancamentos!B22</f>
        <v>Combustivel</v>
      </c>
      <c r="C2850" s="139" t="s">
        <v>4404</v>
      </c>
      <c r="D2850" s="51"/>
      <c r="E2850" s="857">
        <v>66</v>
      </c>
    </row>
    <row r="2851" spans="1:5">
      <c r="A2851" s="856">
        <v>40513</v>
      </c>
      <c r="B2851" s="125" t="str">
        <f>TiposLancamentos!B17</f>
        <v>GATO</v>
      </c>
      <c r="C2851" s="139" t="s">
        <v>22199</v>
      </c>
      <c r="D2851" s="51"/>
      <c r="E2851" s="857">
        <v>126.2</v>
      </c>
    </row>
    <row r="2852" spans="1:5">
      <c r="A2852" s="856">
        <v>40515</v>
      </c>
      <c r="B2852" s="125" t="str">
        <f>TiposLancamentos!B71</f>
        <v>Itens Pessoais</v>
      </c>
      <c r="C2852" s="139" t="s">
        <v>22200</v>
      </c>
      <c r="D2852" s="51"/>
      <c r="E2852" s="857">
        <v>30</v>
      </c>
    </row>
    <row r="2853" spans="1:5">
      <c r="A2853" s="856">
        <v>40515</v>
      </c>
      <c r="B2853" s="125" t="str">
        <f>TiposLancamentos!B56</f>
        <v>Farmácia</v>
      </c>
      <c r="C2853" s="139" t="s">
        <v>22201</v>
      </c>
      <c r="D2853" s="51"/>
      <c r="E2853" s="857">
        <v>7.02</v>
      </c>
    </row>
    <row r="2854" spans="1:5">
      <c r="A2854" s="856">
        <v>40515</v>
      </c>
      <c r="B2854" s="125" t="str">
        <f>TiposLancamentos!B5</f>
        <v>Supermercado</v>
      </c>
      <c r="C2854" s="139" t="s">
        <v>22202</v>
      </c>
      <c r="D2854" s="51"/>
      <c r="E2854" s="857">
        <v>42.44</v>
      </c>
    </row>
    <row r="2855" spans="1:5">
      <c r="A2855" s="856">
        <v>40518</v>
      </c>
      <c r="B2855" s="125" t="str">
        <f>TiposLancamentos!B16</f>
        <v>Cristiane</v>
      </c>
      <c r="C2855" s="139" t="s">
        <v>22068</v>
      </c>
      <c r="D2855" s="51"/>
      <c r="E2855" s="857">
        <v>38</v>
      </c>
    </row>
    <row r="2856" spans="1:5">
      <c r="A2856" s="856">
        <v>40518</v>
      </c>
      <c r="B2856" s="125" t="str">
        <f>TiposLancamentos!B16</f>
        <v>Cristiane</v>
      </c>
      <c r="C2856" s="139" t="s">
        <v>22069</v>
      </c>
      <c r="D2856" s="51"/>
      <c r="E2856" s="857">
        <v>64.489999999999995</v>
      </c>
    </row>
    <row r="2857" spans="1:5">
      <c r="A2857" s="856">
        <v>40518</v>
      </c>
      <c r="B2857" s="125" t="str">
        <f>TiposLancamentos!B56</f>
        <v>Farmácia</v>
      </c>
      <c r="C2857" s="139" t="s">
        <v>22203</v>
      </c>
      <c r="D2857" s="51"/>
      <c r="E2857" s="857">
        <v>44.97</v>
      </c>
    </row>
    <row r="2858" spans="1:5">
      <c r="A2858" s="856">
        <v>40522</v>
      </c>
      <c r="B2858" s="125" t="str">
        <f>TiposLancamentos!B95</f>
        <v>Salarios</v>
      </c>
      <c r="C2858" s="139" t="s">
        <v>4938</v>
      </c>
      <c r="D2858" s="51">
        <v>5884.85</v>
      </c>
      <c r="E2858" s="857"/>
    </row>
    <row r="2859" spans="1:5">
      <c r="A2859" s="856">
        <v>40522</v>
      </c>
      <c r="B2859" s="125" t="str">
        <f>TiposLancamentos!B19</f>
        <v>Restaurantes</v>
      </c>
      <c r="C2859" s="139" t="s">
        <v>22204</v>
      </c>
      <c r="D2859" s="51"/>
      <c r="E2859" s="857">
        <v>48</v>
      </c>
    </row>
    <row r="2860" spans="1:5">
      <c r="A2860" s="856">
        <v>40522</v>
      </c>
      <c r="B2860" s="125" t="str">
        <f>TiposLancamentos!B13</f>
        <v>Moradia</v>
      </c>
      <c r="C2860" s="139" t="s">
        <v>22205</v>
      </c>
      <c r="D2860" s="51"/>
      <c r="E2860" s="857">
        <v>194.8</v>
      </c>
    </row>
    <row r="2861" spans="1:5">
      <c r="A2861" s="856">
        <v>40522</v>
      </c>
      <c r="B2861" s="125" t="str">
        <f>TiposLancamentos!B19</f>
        <v>Restaurantes</v>
      </c>
      <c r="C2861" s="139" t="s">
        <v>22206</v>
      </c>
      <c r="D2861" s="51"/>
      <c r="E2861" s="857">
        <v>46.9</v>
      </c>
    </row>
    <row r="2862" spans="1:5">
      <c r="A2862" s="856">
        <v>40523</v>
      </c>
      <c r="B2862" s="125" t="str">
        <f>TiposLancamentos!B22</f>
        <v>Combustivel</v>
      </c>
      <c r="C2862" s="139" t="s">
        <v>6116</v>
      </c>
      <c r="D2862" s="51"/>
      <c r="E2862" s="857">
        <v>69</v>
      </c>
    </row>
    <row r="2863" spans="1:5">
      <c r="A2863" s="856">
        <v>40523</v>
      </c>
      <c r="B2863" s="125" t="str">
        <f>TiposLancamentos!B19</f>
        <v>Restaurantes</v>
      </c>
      <c r="C2863" s="139" t="s">
        <v>21410</v>
      </c>
      <c r="D2863" s="51"/>
      <c r="E2863" s="857">
        <v>19.71</v>
      </c>
    </row>
    <row r="2864" spans="1:5">
      <c r="A2864" s="856">
        <v>40523</v>
      </c>
      <c r="B2864" s="125" t="str">
        <f>TiposLancamentos!B17</f>
        <v>GATO</v>
      </c>
      <c r="C2864" s="139" t="s">
        <v>22207</v>
      </c>
      <c r="D2864" s="51"/>
      <c r="E2864" s="857">
        <v>21</v>
      </c>
    </row>
    <row r="2865" spans="1:5">
      <c r="A2865" s="856">
        <v>40523</v>
      </c>
      <c r="B2865" s="125" t="str">
        <f>TiposLancamentos!B16</f>
        <v>Cristiane</v>
      </c>
      <c r="C2865" s="139" t="s">
        <v>22208</v>
      </c>
      <c r="D2865" s="51"/>
      <c r="E2865" s="857">
        <v>46.1</v>
      </c>
    </row>
    <row r="2866" spans="1:5">
      <c r="A2866" s="856">
        <v>40523</v>
      </c>
      <c r="B2866" s="125" t="str">
        <f>TiposLancamentos!B13</f>
        <v>Moradia</v>
      </c>
      <c r="C2866" s="139" t="s">
        <v>22209</v>
      </c>
      <c r="D2866" s="51"/>
      <c r="E2866" s="857">
        <v>155</v>
      </c>
    </row>
    <row r="2867" spans="1:5">
      <c r="A2867" s="856">
        <v>40523</v>
      </c>
      <c r="B2867" s="125" t="str">
        <f>TiposLancamentos!B19</f>
        <v>Restaurantes</v>
      </c>
      <c r="C2867" s="139" t="s">
        <v>5892</v>
      </c>
      <c r="D2867" s="51"/>
      <c r="E2867" s="857">
        <v>23.8</v>
      </c>
    </row>
    <row r="2868" spans="1:5">
      <c r="A2868" s="856">
        <v>40524</v>
      </c>
      <c r="B2868" s="125" t="str">
        <f>TiposLancamentos!B5</f>
        <v>Supermercado</v>
      </c>
      <c r="C2868" s="139" t="s">
        <v>22210</v>
      </c>
      <c r="D2868" s="51"/>
      <c r="E2868" s="857">
        <v>8.7200000000000006</v>
      </c>
    </row>
    <row r="2869" spans="1:5">
      <c r="A2869" s="856">
        <v>40524</v>
      </c>
      <c r="B2869" s="125" t="str">
        <f>TiposLancamentos!B19</f>
        <v>Restaurantes</v>
      </c>
      <c r="C2869" s="139" t="s">
        <v>21763</v>
      </c>
      <c r="D2869" s="51"/>
      <c r="E2869" s="857">
        <v>135.19</v>
      </c>
    </row>
    <row r="2870" spans="1:5">
      <c r="A2870" s="856">
        <v>40524</v>
      </c>
      <c r="B2870" s="125" t="str">
        <f>TiposLancamentos!B103</f>
        <v>Juros_Corr. Poupança</v>
      </c>
      <c r="C2870" s="139" t="s">
        <v>20569</v>
      </c>
      <c r="D2870" s="51">
        <v>1.69</v>
      </c>
      <c r="E2870" s="857"/>
    </row>
    <row r="2871" spans="1:5">
      <c r="A2871" s="856">
        <v>40524</v>
      </c>
      <c r="B2871" s="125" t="str">
        <f>TiposLancamentos!B103</f>
        <v>Juros_Corr. Poupança</v>
      </c>
      <c r="C2871" s="139" t="s">
        <v>22158</v>
      </c>
      <c r="D2871" s="51">
        <v>0.18</v>
      </c>
      <c r="E2871" s="857"/>
    </row>
    <row r="2872" spans="1:5">
      <c r="A2872" s="856">
        <v>40525</v>
      </c>
      <c r="B2872" s="125" t="str">
        <f>TiposLancamentos!B13</f>
        <v>Moradia</v>
      </c>
      <c r="C2872" s="139" t="s">
        <v>22211</v>
      </c>
      <c r="D2872" s="51"/>
      <c r="E2872" s="857">
        <v>1776</v>
      </c>
    </row>
    <row r="2873" spans="1:5">
      <c r="A2873" s="856">
        <v>40525</v>
      </c>
      <c r="B2873" s="125" t="str">
        <f>TiposLancamentos!B5</f>
        <v>Supermercado</v>
      </c>
      <c r="C2873" s="139" t="s">
        <v>22212</v>
      </c>
      <c r="D2873" s="51"/>
      <c r="E2873" s="857">
        <v>75.64</v>
      </c>
    </row>
    <row r="2874" spans="1:5">
      <c r="A2874" s="856">
        <v>40527</v>
      </c>
      <c r="B2874" s="125" t="str">
        <f>TiposLancamentos!B33</f>
        <v>Pedágios</v>
      </c>
      <c r="C2874" s="126" t="s">
        <v>20941</v>
      </c>
      <c r="D2874" s="51"/>
      <c r="E2874" s="857">
        <v>115.64</v>
      </c>
    </row>
    <row r="2875" spans="1:5">
      <c r="A2875" s="856">
        <v>40527</v>
      </c>
      <c r="B2875" s="125" t="str">
        <f>TiposLancamentos!B95</f>
        <v>Salarios</v>
      </c>
      <c r="C2875" s="139" t="s">
        <v>4916</v>
      </c>
      <c r="D2875" s="51">
        <v>1890.28</v>
      </c>
      <c r="E2875" s="857"/>
    </row>
    <row r="2876" spans="1:5">
      <c r="A2876" s="856">
        <v>40527</v>
      </c>
      <c r="B2876" s="125" t="str">
        <f>TiposLancamentos!B95</f>
        <v>Salarios</v>
      </c>
      <c r="C2876" s="126" t="s">
        <v>5355</v>
      </c>
      <c r="D2876" s="51">
        <v>4808.1400000000003</v>
      </c>
      <c r="E2876" s="857"/>
    </row>
    <row r="2877" spans="1:5">
      <c r="A2877" s="856">
        <v>40528</v>
      </c>
      <c r="B2877" s="125" t="str">
        <f>TiposLancamentos!B72</f>
        <v>Presentes</v>
      </c>
      <c r="C2877" s="139" t="s">
        <v>22213</v>
      </c>
      <c r="D2877" s="51"/>
      <c r="E2877" s="857">
        <v>175</v>
      </c>
    </row>
    <row r="2878" spans="1:5">
      <c r="A2878" s="856">
        <v>40529</v>
      </c>
      <c r="B2878" s="125" t="str">
        <f>TiposLancamentos!B19</f>
        <v>Restaurantes</v>
      </c>
      <c r="C2878" s="139" t="s">
        <v>22214</v>
      </c>
      <c r="D2878" s="51"/>
      <c r="E2878" s="857">
        <v>21.96</v>
      </c>
    </row>
    <row r="2879" spans="1:5">
      <c r="A2879" s="856">
        <v>40529</v>
      </c>
      <c r="B2879" s="125" t="str">
        <f>TiposLancamentos!B20</f>
        <v>Saques</v>
      </c>
      <c r="C2879" s="139" t="s">
        <v>3403</v>
      </c>
      <c r="D2879" s="51"/>
      <c r="E2879" s="857">
        <v>10</v>
      </c>
    </row>
    <row r="2880" spans="1:5">
      <c r="A2880" s="961">
        <v>40529</v>
      </c>
      <c r="B2880" s="817" t="str">
        <f>TiposLancamentos!B71</f>
        <v>Itens Pessoais</v>
      </c>
      <c r="C2880" s="962" t="s">
        <v>22215</v>
      </c>
      <c r="D2880" s="809"/>
      <c r="E2880" s="965">
        <v>30.65</v>
      </c>
    </row>
    <row r="2881" spans="1:6">
      <c r="A2881" s="963">
        <v>40529</v>
      </c>
      <c r="B2881" s="818" t="str">
        <f>TiposLancamentos!B13</f>
        <v>Moradia</v>
      </c>
      <c r="C2881" s="964" t="s">
        <v>22216</v>
      </c>
      <c r="D2881" s="813"/>
      <c r="E2881" s="966">
        <v>97.4</v>
      </c>
      <c r="F2881" s="156">
        <f>SUM(E2880:E2881)</f>
        <v>128.05000000000001</v>
      </c>
    </row>
    <row r="2882" spans="1:6">
      <c r="A2882" s="856">
        <v>40529</v>
      </c>
      <c r="B2882" s="125" t="str">
        <f>TiposLancamentos!B5</f>
        <v>Supermercado</v>
      </c>
      <c r="C2882" s="139" t="s">
        <v>5801</v>
      </c>
      <c r="D2882" s="51"/>
      <c r="E2882" s="857">
        <v>97.87</v>
      </c>
      <c r="F2882" s="156"/>
    </row>
    <row r="2883" spans="1:6">
      <c r="A2883" s="856">
        <v>40530</v>
      </c>
      <c r="B2883" s="125" t="str">
        <f>TiposLancamentos!B19</f>
        <v>Restaurantes</v>
      </c>
      <c r="C2883" s="139" t="s">
        <v>6328</v>
      </c>
      <c r="D2883" s="51"/>
      <c r="E2883" s="857">
        <v>25.5</v>
      </c>
    </row>
    <row r="2884" spans="1:6">
      <c r="A2884" s="856">
        <v>40531</v>
      </c>
      <c r="B2884" s="125" t="str">
        <f>TiposLancamentos!B19</f>
        <v>Restaurantes</v>
      </c>
      <c r="C2884" s="139" t="s">
        <v>22217</v>
      </c>
      <c r="D2884" s="51"/>
      <c r="E2884" s="857">
        <v>52.69</v>
      </c>
    </row>
    <row r="2885" spans="1:6">
      <c r="A2885" s="856">
        <v>40532</v>
      </c>
      <c r="B2885" s="125" t="str">
        <f>TiposLancamentos!B19</f>
        <v>Restaurantes</v>
      </c>
      <c r="C2885" s="139" t="s">
        <v>22173</v>
      </c>
      <c r="D2885" s="51"/>
      <c r="E2885" s="857">
        <v>33.799999999999997</v>
      </c>
    </row>
    <row r="2886" spans="1:6">
      <c r="A2886" s="856">
        <v>40532</v>
      </c>
      <c r="B2886" s="125" t="str">
        <f>TiposLancamentos!B34</f>
        <v>Seguros</v>
      </c>
      <c r="C2886" s="139" t="s">
        <v>22218</v>
      </c>
      <c r="D2886" s="51"/>
      <c r="E2886" s="857">
        <v>431.8</v>
      </c>
    </row>
    <row r="2887" spans="1:6">
      <c r="A2887" s="856">
        <v>40533</v>
      </c>
      <c r="B2887" s="125" t="str">
        <f>TiposLancamentos!B22</f>
        <v>Combustivel</v>
      </c>
      <c r="C2887" s="139" t="s">
        <v>4404</v>
      </c>
      <c r="D2887" s="51"/>
      <c r="E2887" s="857">
        <v>73</v>
      </c>
    </row>
    <row r="2888" spans="1:6">
      <c r="A2888" s="856">
        <v>40533</v>
      </c>
      <c r="B2888" s="125" t="str">
        <f>TiposLancamentos!B20</f>
        <v>Saques</v>
      </c>
      <c r="C2888" s="139" t="s">
        <v>3761</v>
      </c>
      <c r="D2888" s="51"/>
      <c r="E2888" s="857">
        <v>400</v>
      </c>
    </row>
    <row r="2889" spans="1:6">
      <c r="A2889" s="856">
        <v>40533</v>
      </c>
      <c r="B2889" s="125" t="str">
        <f>TiposLancamentos!B19</f>
        <v>Restaurantes</v>
      </c>
      <c r="C2889" s="139" t="s">
        <v>22219</v>
      </c>
      <c r="D2889" s="51"/>
      <c r="E2889" s="857">
        <v>56.4</v>
      </c>
    </row>
    <row r="2890" spans="1:6">
      <c r="A2890" s="856">
        <v>40533</v>
      </c>
      <c r="B2890" s="125" t="str">
        <f>TiposLancamentos!B19</f>
        <v>Restaurantes</v>
      </c>
      <c r="C2890" s="139" t="s">
        <v>22220</v>
      </c>
      <c r="D2890" s="51"/>
      <c r="E2890" s="857">
        <v>181.94</v>
      </c>
    </row>
    <row r="2891" spans="1:6">
      <c r="A2891" s="856">
        <v>40534</v>
      </c>
      <c r="B2891" s="125" t="str">
        <f>TiposLancamentos!B56</f>
        <v>Farmácia</v>
      </c>
      <c r="C2891" s="139" t="s">
        <v>22221</v>
      </c>
      <c r="D2891" s="51"/>
      <c r="E2891" s="857">
        <v>133.56</v>
      </c>
    </row>
    <row r="2892" spans="1:6">
      <c r="A2892" s="856">
        <v>40534</v>
      </c>
      <c r="B2892" s="125" t="str">
        <f>TiposLancamentos!B19</f>
        <v>Restaurantes</v>
      </c>
      <c r="C2892" s="139" t="s">
        <v>5876</v>
      </c>
      <c r="D2892" s="51"/>
      <c r="E2892" s="857">
        <v>189.2</v>
      </c>
    </row>
    <row r="2893" spans="1:6">
      <c r="A2893" s="856">
        <v>40535</v>
      </c>
      <c r="B2893" s="125" t="str">
        <f>TiposLancamentos!B19</f>
        <v>Restaurantes</v>
      </c>
      <c r="C2893" s="139" t="s">
        <v>22222</v>
      </c>
      <c r="D2893" s="51"/>
      <c r="E2893" s="857">
        <v>16.899999999999999</v>
      </c>
    </row>
    <row r="2894" spans="1:6">
      <c r="A2894" s="856">
        <v>40535</v>
      </c>
      <c r="B2894" s="125" t="str">
        <f>TiposLancamentos!B19</f>
        <v>Restaurantes</v>
      </c>
      <c r="C2894" s="139" t="s">
        <v>21872</v>
      </c>
      <c r="D2894" s="51"/>
      <c r="E2894" s="857">
        <v>13.4</v>
      </c>
    </row>
    <row r="2895" spans="1:6">
      <c r="A2895" s="856">
        <v>40535</v>
      </c>
      <c r="B2895" s="125" t="str">
        <f>TiposLancamentos!B19</f>
        <v>Restaurantes</v>
      </c>
      <c r="C2895" s="139" t="s">
        <v>22223</v>
      </c>
      <c r="D2895" s="51"/>
      <c r="E2895" s="857">
        <v>21</v>
      </c>
    </row>
    <row r="2896" spans="1:6">
      <c r="A2896" s="856">
        <v>40535</v>
      </c>
      <c r="B2896" s="125" t="str">
        <f>TiposLancamentos!B72</f>
        <v>Presentes</v>
      </c>
      <c r="C2896" s="139" t="s">
        <v>22224</v>
      </c>
      <c r="D2896" s="51"/>
      <c r="E2896" s="857">
        <v>36.700000000000003</v>
      </c>
    </row>
    <row r="2897" spans="1:5">
      <c r="A2897" s="856">
        <v>40535</v>
      </c>
      <c r="B2897" s="125" t="str">
        <f>TiposLancamentos!B103</f>
        <v>Juros_Corr. Poupança</v>
      </c>
      <c r="C2897" s="139" t="s">
        <v>20569</v>
      </c>
      <c r="D2897" s="51">
        <v>0.52</v>
      </c>
      <c r="E2897" s="857"/>
    </row>
    <row r="2898" spans="1:5">
      <c r="A2898" s="856">
        <v>40535</v>
      </c>
      <c r="B2898" s="125" t="str">
        <f>TiposLancamentos!B103</f>
        <v>Juros_Corr. Poupança</v>
      </c>
      <c r="C2898" s="139" t="s">
        <v>22225</v>
      </c>
      <c r="D2898" s="51">
        <v>0.1</v>
      </c>
      <c r="E2898" s="857"/>
    </row>
    <row r="2899" spans="1:5">
      <c r="A2899" s="856">
        <v>40536</v>
      </c>
      <c r="B2899" s="125" t="str">
        <f>TiposLancamentos!B70</f>
        <v>Vestuário</v>
      </c>
      <c r="C2899" s="139" t="s">
        <v>22226</v>
      </c>
      <c r="D2899" s="51"/>
      <c r="E2899" s="857">
        <v>535</v>
      </c>
    </row>
    <row r="2900" spans="1:5">
      <c r="A2900" s="856">
        <v>40536</v>
      </c>
      <c r="B2900" s="125" t="str">
        <f>TiposLancamentos!B16</f>
        <v>Cristiane</v>
      </c>
      <c r="C2900" s="139" t="s">
        <v>22227</v>
      </c>
      <c r="D2900" s="51"/>
      <c r="E2900" s="857">
        <v>257</v>
      </c>
    </row>
    <row r="2901" spans="1:5">
      <c r="A2901" s="856">
        <v>40537</v>
      </c>
      <c r="B2901" s="125" t="str">
        <f>TiposLancamentos!B56</f>
        <v>Farmácia</v>
      </c>
      <c r="C2901" s="139" t="s">
        <v>22228</v>
      </c>
      <c r="D2901" s="51"/>
      <c r="E2901" s="857">
        <v>41.84</v>
      </c>
    </row>
    <row r="2902" spans="1:5">
      <c r="A2902" s="856">
        <v>40538</v>
      </c>
      <c r="B2902" s="125" t="str">
        <f>TiposLancamentos!B19</f>
        <v>Restaurantes</v>
      </c>
      <c r="C2902" s="139" t="s">
        <v>22229</v>
      </c>
      <c r="D2902" s="51"/>
      <c r="E2902" s="857">
        <v>60</v>
      </c>
    </row>
    <row r="2903" spans="1:5">
      <c r="A2903" s="856">
        <v>40539</v>
      </c>
      <c r="B2903" s="125" t="str">
        <f>TiposLancamentos!B22</f>
        <v>Combustivel</v>
      </c>
      <c r="C2903" s="139" t="s">
        <v>14133</v>
      </c>
      <c r="D2903" s="51"/>
      <c r="E2903" s="857">
        <v>90</v>
      </c>
    </row>
    <row r="2904" spans="1:5">
      <c r="A2904" s="856">
        <v>40539</v>
      </c>
      <c r="B2904" s="125" t="str">
        <f>TiposLancamentos!B19</f>
        <v>Restaurantes</v>
      </c>
      <c r="C2904" s="139" t="s">
        <v>17247</v>
      </c>
      <c r="D2904" s="51"/>
      <c r="E2904" s="857">
        <v>19.7</v>
      </c>
    </row>
    <row r="2905" spans="1:5">
      <c r="A2905" s="856">
        <v>40539</v>
      </c>
      <c r="B2905" s="125" t="str">
        <f>TiposLancamentos!B64</f>
        <v>Viagens</v>
      </c>
      <c r="C2905" s="139" t="s">
        <v>22230</v>
      </c>
      <c r="D2905" s="51"/>
      <c r="E2905" s="857">
        <v>143</v>
      </c>
    </row>
    <row r="2906" spans="1:5">
      <c r="A2906" s="856">
        <v>40539</v>
      </c>
      <c r="B2906" s="125" t="str">
        <f>TiposLancamentos!B5</f>
        <v>Supermercado</v>
      </c>
      <c r="C2906" s="139" t="s">
        <v>4000</v>
      </c>
      <c r="D2906" s="51"/>
      <c r="E2906" s="857">
        <v>33.03</v>
      </c>
    </row>
    <row r="2907" spans="1:5">
      <c r="A2907" s="856">
        <v>40540</v>
      </c>
      <c r="B2907" s="125" t="str">
        <f>TiposLancamentos!B99</f>
        <v>Venda de algo</v>
      </c>
      <c r="C2907" s="139" t="s">
        <v>22231</v>
      </c>
      <c r="D2907" s="51">
        <v>275</v>
      </c>
      <c r="E2907" s="857"/>
    </row>
    <row r="2908" spans="1:5">
      <c r="A2908" s="856">
        <v>40540</v>
      </c>
      <c r="B2908" s="125" t="str">
        <f>TiposLancamentos!B20</f>
        <v>Saques</v>
      </c>
      <c r="C2908" s="139" t="s">
        <v>3403</v>
      </c>
      <c r="D2908" s="51"/>
      <c r="E2908" s="857">
        <v>50</v>
      </c>
    </row>
    <row r="2909" spans="1:5">
      <c r="A2909" s="856">
        <v>40541</v>
      </c>
      <c r="B2909" s="125" t="str">
        <f>TiposLancamentos!B19</f>
        <v>Restaurantes</v>
      </c>
      <c r="C2909" s="139" t="s">
        <v>22232</v>
      </c>
      <c r="D2909" s="51"/>
      <c r="E2909" s="857">
        <v>48.05</v>
      </c>
    </row>
    <row r="2910" spans="1:5">
      <c r="A2910" s="856">
        <v>40542</v>
      </c>
      <c r="B2910" s="125" t="str">
        <f>TiposLancamentos!B95</f>
        <v>Salarios</v>
      </c>
      <c r="C2910" s="126" t="s">
        <v>4939</v>
      </c>
      <c r="D2910" s="51">
        <v>5965.63</v>
      </c>
      <c r="E2910" s="857"/>
    </row>
    <row r="2911" spans="1:5">
      <c r="A2911" s="856">
        <v>40542</v>
      </c>
      <c r="B2911" s="125" t="str">
        <f>TiposLancamentos!B6</f>
        <v>Energia Eletrica</v>
      </c>
      <c r="C2911" s="139" t="s">
        <v>22233</v>
      </c>
      <c r="D2911" s="51"/>
      <c r="E2911" s="857">
        <v>132.76</v>
      </c>
    </row>
    <row r="2912" spans="1:5">
      <c r="A2912" s="856">
        <v>40542</v>
      </c>
      <c r="B2912" s="125" t="str">
        <f>TiposLancamentos!B19</f>
        <v>Restaurantes</v>
      </c>
      <c r="C2912" s="139" t="s">
        <v>22234</v>
      </c>
      <c r="D2912" s="51"/>
      <c r="E2912" s="857">
        <v>42.4</v>
      </c>
    </row>
    <row r="2913" spans="1:6">
      <c r="A2913" s="856">
        <v>40542</v>
      </c>
      <c r="B2913" s="125" t="str">
        <f>TiposLancamentos!B16</f>
        <v>Cristiane</v>
      </c>
      <c r="C2913" s="139" t="s">
        <v>12884</v>
      </c>
      <c r="D2913" s="51"/>
      <c r="E2913" s="857">
        <v>143</v>
      </c>
    </row>
    <row r="2914" spans="1:6">
      <c r="A2914" s="856">
        <v>40542</v>
      </c>
      <c r="B2914" s="125" t="str">
        <f>TiposLancamentos!B57</f>
        <v>Informática</v>
      </c>
      <c r="C2914" s="139" t="s">
        <v>22235</v>
      </c>
      <c r="D2914" s="51"/>
      <c r="E2914" s="857">
        <v>34.9</v>
      </c>
    </row>
    <row r="2915" spans="1:6">
      <c r="A2915" s="856">
        <v>40542</v>
      </c>
      <c r="B2915" s="125" t="str">
        <f>TiposLancamentos!B16</f>
        <v>Cristiane</v>
      </c>
      <c r="C2915" s="139" t="s">
        <v>1806</v>
      </c>
      <c r="D2915" s="51"/>
      <c r="E2915" s="857">
        <v>29.9</v>
      </c>
    </row>
    <row r="2916" spans="1:6">
      <c r="A2916" s="856">
        <v>40542</v>
      </c>
      <c r="B2916" s="125" t="str">
        <f>TiposLancamentos!B5</f>
        <v>Supermercado</v>
      </c>
      <c r="C2916" s="139" t="s">
        <v>5967</v>
      </c>
      <c r="D2916" s="51"/>
      <c r="E2916" s="857">
        <v>322.93</v>
      </c>
    </row>
    <row r="2917" spans="1:6" ht="14.25" thickBot="1">
      <c r="A2917" s="856">
        <v>40542</v>
      </c>
      <c r="B2917" s="125" t="str">
        <f>TiposLancamentos!B69</f>
        <v>Consertos</v>
      </c>
      <c r="C2917" s="139" t="s">
        <v>22236</v>
      </c>
      <c r="D2917" s="51"/>
      <c r="E2917" s="857">
        <v>930</v>
      </c>
    </row>
    <row r="2918" spans="1:6" ht="14.25" thickBot="1">
      <c r="A2918" s="998"/>
      <c r="B2918" s="989"/>
      <c r="C2918" s="990" t="s">
        <v>4112</v>
      </c>
      <c r="D2918" s="991"/>
      <c r="E2918" s="999"/>
    </row>
    <row r="2919" spans="1:6">
      <c r="A2919" s="856">
        <v>40545</v>
      </c>
      <c r="B2919" s="125" t="str">
        <f>TiposLancamentos!B5</f>
        <v>Supermercado</v>
      </c>
      <c r="C2919" s="139" t="s">
        <v>5967</v>
      </c>
      <c r="D2919" s="51"/>
      <c r="E2919" s="857">
        <v>51.23</v>
      </c>
    </row>
    <row r="2920" spans="1:6">
      <c r="A2920" s="856">
        <v>40546</v>
      </c>
      <c r="B2920" s="125" t="str">
        <f>TiposLancamentos!B15</f>
        <v>Cartões de Crédito</v>
      </c>
      <c r="C2920" s="139" t="s">
        <v>20597</v>
      </c>
      <c r="D2920" s="51"/>
      <c r="E2920" s="857">
        <v>2530.36</v>
      </c>
    </row>
    <row r="2921" spans="1:6">
      <c r="A2921" s="856">
        <v>40546</v>
      </c>
      <c r="B2921" s="125" t="str">
        <f>TiposLancamentos!B9</f>
        <v>Condominio</v>
      </c>
      <c r="C2921" s="139" t="s">
        <v>1684</v>
      </c>
      <c r="D2921" s="51"/>
      <c r="E2921" s="857">
        <v>752.98</v>
      </c>
    </row>
    <row r="2922" spans="1:6">
      <c r="A2922" s="856">
        <v>40546</v>
      </c>
      <c r="B2922" s="125" t="str">
        <f>TiposLancamentos!B87</f>
        <v>P207-1.6-XS</v>
      </c>
      <c r="C2922" s="139" t="s">
        <v>13492</v>
      </c>
      <c r="D2922" s="51"/>
      <c r="E2922" s="857">
        <v>733.79</v>
      </c>
    </row>
    <row r="2923" spans="1:6">
      <c r="A2923" s="806">
        <v>40546</v>
      </c>
      <c r="B2923" s="807" t="str">
        <f>TiposLancamentos!B35</f>
        <v>Tv à Cabo</v>
      </c>
      <c r="C2923" s="808" t="s">
        <v>5834</v>
      </c>
      <c r="D2923" s="809"/>
      <c r="E2923" s="859">
        <v>134</v>
      </c>
    </row>
    <row r="2924" spans="1:6">
      <c r="A2924" s="773">
        <v>40546</v>
      </c>
      <c r="B2924" s="152" t="str">
        <f>TiposLancamentos!B3</f>
        <v>Internet</v>
      </c>
      <c r="C2924" s="141" t="s">
        <v>5835</v>
      </c>
      <c r="D2924" s="127"/>
      <c r="E2924" s="861">
        <v>65.900000000000006</v>
      </c>
    </row>
    <row r="2925" spans="1:6">
      <c r="A2925" s="810">
        <v>40546</v>
      </c>
      <c r="B2925" s="811" t="str">
        <f>TiposLancamentos!B2</f>
        <v>Telefonia</v>
      </c>
      <c r="C2925" s="812" t="s">
        <v>21733</v>
      </c>
      <c r="D2925" s="813"/>
      <c r="E2925" s="863">
        <v>37.89</v>
      </c>
      <c r="F2925" s="36">
        <f>SUM(E2923:E2925)</f>
        <v>237.79000000000002</v>
      </c>
    </row>
    <row r="2926" spans="1:6">
      <c r="A2926" s="856">
        <v>40546</v>
      </c>
      <c r="B2926" s="125" t="str">
        <f>TiposLancamentos!B8</f>
        <v>Aluguel</v>
      </c>
      <c r="C2926" s="139" t="s">
        <v>2504</v>
      </c>
      <c r="D2926" s="51"/>
      <c r="E2926" s="857">
        <v>1074.48</v>
      </c>
    </row>
    <row r="2927" spans="1:6">
      <c r="A2927" s="856">
        <v>40546</v>
      </c>
      <c r="B2927" s="125" t="str">
        <f>TiposLancamentos!B34</f>
        <v>Seguros</v>
      </c>
      <c r="C2927" s="139" t="s">
        <v>22237</v>
      </c>
      <c r="D2927" s="51"/>
      <c r="E2927" s="857">
        <v>69</v>
      </c>
    </row>
    <row r="2928" spans="1:6">
      <c r="A2928" s="856">
        <v>40546</v>
      </c>
      <c r="B2928" s="125" t="str">
        <f>TiposLancamentos!B19</f>
        <v>Restaurantes</v>
      </c>
      <c r="C2928" s="139" t="s">
        <v>17244</v>
      </c>
      <c r="D2928" s="51"/>
      <c r="E2928" s="857">
        <v>35.840000000000003</v>
      </c>
    </row>
    <row r="2929" spans="1:6">
      <c r="A2929" s="856">
        <v>40547</v>
      </c>
      <c r="B2929" s="125" t="str">
        <f>TiposLancamentos!B98</f>
        <v>Restituições</v>
      </c>
      <c r="C2929" s="139" t="s">
        <v>22238</v>
      </c>
      <c r="D2929" s="51">
        <v>70</v>
      </c>
      <c r="E2929" s="857"/>
    </row>
    <row r="2930" spans="1:6">
      <c r="A2930" s="856">
        <v>40547</v>
      </c>
      <c r="B2930" s="125" t="str">
        <f>TiposLancamentos!B16</f>
        <v>Cristiane</v>
      </c>
      <c r="C2930" s="139" t="s">
        <v>22239</v>
      </c>
      <c r="D2930" s="51"/>
      <c r="E2930" s="857">
        <v>50</v>
      </c>
    </row>
    <row r="2931" spans="1:6">
      <c r="A2931" s="856">
        <v>40548</v>
      </c>
      <c r="B2931" s="125" t="str">
        <f>TiposLancamentos!B98</f>
        <v>Restituições</v>
      </c>
      <c r="C2931" s="139" t="s">
        <v>7284</v>
      </c>
      <c r="D2931" s="51">
        <v>472.16</v>
      </c>
      <c r="E2931" s="857"/>
    </row>
    <row r="2932" spans="1:6">
      <c r="A2932" s="856">
        <v>40549</v>
      </c>
      <c r="B2932" s="125" t="str">
        <f>TiposLancamentos!B5</f>
        <v>Supermercado</v>
      </c>
      <c r="C2932" s="139" t="s">
        <v>22030</v>
      </c>
      <c r="D2932" s="51"/>
      <c r="E2932" s="857">
        <v>6.98</v>
      </c>
    </row>
    <row r="2933" spans="1:6">
      <c r="A2933" s="856">
        <v>40549</v>
      </c>
      <c r="B2933" s="125" t="str">
        <f>TiposLancamentos!B69</f>
        <v>Consertos</v>
      </c>
      <c r="C2933" s="139" t="s">
        <v>22240</v>
      </c>
      <c r="D2933" s="51"/>
      <c r="E2933" s="857">
        <v>120</v>
      </c>
    </row>
    <row r="2934" spans="1:6">
      <c r="A2934" s="961">
        <v>40550</v>
      </c>
      <c r="B2934" s="817" t="str">
        <f>TiposLancamentos!B16</f>
        <v>Cristiane</v>
      </c>
      <c r="C2934" s="962" t="s">
        <v>22241</v>
      </c>
      <c r="D2934" s="809"/>
      <c r="E2934" s="965">
        <f>F2934-E2935</f>
        <v>56.41</v>
      </c>
      <c r="F2934" s="127">
        <v>76.209999999999994</v>
      </c>
    </row>
    <row r="2935" spans="1:6">
      <c r="A2935" s="963">
        <v>40550</v>
      </c>
      <c r="B2935" s="818" t="str">
        <f>TiposLancamentos!B56</f>
        <v>Farmácia</v>
      </c>
      <c r="C2935" s="964" t="s">
        <v>22242</v>
      </c>
      <c r="D2935" s="813"/>
      <c r="E2935" s="966">
        <f>9.9*2</f>
        <v>19.8</v>
      </c>
    </row>
    <row r="2936" spans="1:6">
      <c r="A2936" s="856">
        <v>40550</v>
      </c>
      <c r="B2936" s="125" t="str">
        <f>TiposLancamentos!B20</f>
        <v>Saques</v>
      </c>
      <c r="C2936" s="139" t="s">
        <v>3403</v>
      </c>
      <c r="D2936" s="51"/>
      <c r="E2936" s="857">
        <v>40</v>
      </c>
    </row>
    <row r="2937" spans="1:6">
      <c r="A2937" s="961">
        <v>40550</v>
      </c>
      <c r="B2937" s="817" t="str">
        <f>TiposLancamentos!B16</f>
        <v>Cristiane</v>
      </c>
      <c r="C2937" s="962" t="s">
        <v>18667</v>
      </c>
      <c r="D2937" s="809"/>
      <c r="E2937" s="965">
        <v>4.2</v>
      </c>
    </row>
    <row r="2938" spans="1:6">
      <c r="A2938" s="963">
        <v>40550</v>
      </c>
      <c r="B2938" s="818" t="str">
        <f>TiposLancamentos!B71</f>
        <v>Itens Pessoais</v>
      </c>
      <c r="C2938" s="964" t="s">
        <v>22243</v>
      </c>
      <c r="D2938" s="813"/>
      <c r="E2938" s="966">
        <v>7</v>
      </c>
      <c r="F2938" s="127">
        <f>SUM(E2937:E2938)</f>
        <v>11.2</v>
      </c>
    </row>
    <row r="2939" spans="1:6">
      <c r="A2939" s="856">
        <v>40550</v>
      </c>
      <c r="B2939" s="125" t="str">
        <f>TiposLancamentos!B17</f>
        <v>GATO</v>
      </c>
      <c r="C2939" s="139" t="s">
        <v>22244</v>
      </c>
      <c r="D2939" s="51"/>
      <c r="E2939" s="857">
        <v>254.1</v>
      </c>
    </row>
    <row r="2940" spans="1:6">
      <c r="A2940" s="856">
        <v>40550</v>
      </c>
      <c r="B2940" s="125" t="str">
        <f>TiposLancamentos!B19</f>
        <v>Restaurantes</v>
      </c>
      <c r="C2940" s="139" t="s">
        <v>6328</v>
      </c>
      <c r="D2940" s="51"/>
      <c r="E2940" s="857">
        <v>26</v>
      </c>
    </row>
    <row r="2941" spans="1:6">
      <c r="A2941" s="856">
        <v>40551</v>
      </c>
      <c r="B2941" s="125" t="str">
        <f>TiposLancamentos!B16</f>
        <v>Cristiane</v>
      </c>
      <c r="C2941" s="139" t="s">
        <v>22245</v>
      </c>
      <c r="D2941" s="51"/>
      <c r="E2941" s="857">
        <v>49.99</v>
      </c>
    </row>
    <row r="2942" spans="1:6">
      <c r="A2942" s="856">
        <v>40551</v>
      </c>
      <c r="B2942" s="125" t="str">
        <f>TiposLancamentos!B31</f>
        <v>Action Figures</v>
      </c>
      <c r="C2942" s="139" t="s">
        <v>22246</v>
      </c>
      <c r="D2942" s="51"/>
      <c r="E2942" s="857">
        <v>194</v>
      </c>
    </row>
    <row r="2943" spans="1:6">
      <c r="A2943" s="856">
        <v>40551</v>
      </c>
      <c r="B2943" s="125" t="str">
        <f>TiposLancamentos!B19</f>
        <v>Restaurantes</v>
      </c>
      <c r="C2943" s="139" t="s">
        <v>22247</v>
      </c>
      <c r="D2943" s="51"/>
      <c r="E2943" s="857">
        <v>126.27</v>
      </c>
    </row>
    <row r="2944" spans="1:6">
      <c r="A2944" s="856">
        <v>40551</v>
      </c>
      <c r="B2944" s="125" t="str">
        <f>TiposLancamentos!B5</f>
        <v>Supermercado</v>
      </c>
      <c r="C2944" s="139" t="s">
        <v>22117</v>
      </c>
      <c r="D2944" s="51"/>
      <c r="E2944" s="857">
        <v>22.73</v>
      </c>
    </row>
    <row r="2945" spans="1:5">
      <c r="A2945" s="856">
        <v>40553</v>
      </c>
      <c r="B2945" s="125" t="str">
        <f>TiposLancamentos!B5</f>
        <v>Supermercado</v>
      </c>
      <c r="C2945" s="139" t="s">
        <v>22248</v>
      </c>
      <c r="D2945" s="51"/>
      <c r="E2945" s="857">
        <v>50.75</v>
      </c>
    </row>
    <row r="2946" spans="1:5">
      <c r="A2946" s="856">
        <v>40553</v>
      </c>
      <c r="B2946" s="125" t="str">
        <f>TiposLancamentos!B103</f>
        <v>Juros_Corr. Poupança</v>
      </c>
      <c r="C2946" s="139" t="s">
        <v>20569</v>
      </c>
      <c r="D2946" s="51">
        <v>18.04</v>
      </c>
      <c r="E2946" s="857"/>
    </row>
    <row r="2947" spans="1:5">
      <c r="A2947" s="856">
        <v>40553</v>
      </c>
      <c r="B2947" s="125" t="str">
        <f>TiposLancamentos!B103</f>
        <v>Juros_Corr. Poupança</v>
      </c>
      <c r="C2947" s="139" t="s">
        <v>22249</v>
      </c>
      <c r="D2947" s="51">
        <v>2.44</v>
      </c>
      <c r="E2947" s="857"/>
    </row>
    <row r="2948" spans="1:5">
      <c r="A2948" s="856">
        <v>40554</v>
      </c>
      <c r="B2948" s="125" t="str">
        <f>TiposLancamentos!B15</f>
        <v>Cartões de Crédito</v>
      </c>
      <c r="C2948" s="139" t="s">
        <v>22250</v>
      </c>
      <c r="D2948" s="51"/>
      <c r="E2948" s="857">
        <v>316.16000000000003</v>
      </c>
    </row>
    <row r="2949" spans="1:5">
      <c r="A2949" s="856">
        <v>40554</v>
      </c>
      <c r="B2949" s="125" t="str">
        <f>TiposLancamentos!B16</f>
        <v>Cristiane</v>
      </c>
      <c r="C2949" s="139" t="s">
        <v>22251</v>
      </c>
      <c r="D2949" s="51"/>
      <c r="E2949" s="857">
        <v>17</v>
      </c>
    </row>
    <row r="2950" spans="1:5">
      <c r="A2950" s="856">
        <v>40556</v>
      </c>
      <c r="B2950" s="125" t="str">
        <f>TiposLancamentos!B16</f>
        <v>Cristiane</v>
      </c>
      <c r="C2950" s="139" t="s">
        <v>22027</v>
      </c>
      <c r="D2950" s="51"/>
      <c r="E2950" s="857">
        <v>144.13</v>
      </c>
    </row>
    <row r="2951" spans="1:5">
      <c r="A2951" s="856">
        <v>40557</v>
      </c>
      <c r="B2951" s="125" t="str">
        <f>TiposLancamentos!B95</f>
        <v>Salarios</v>
      </c>
      <c r="C2951" s="139" t="s">
        <v>4916</v>
      </c>
      <c r="D2951" s="51">
        <v>1890.28</v>
      </c>
      <c r="E2951" s="857"/>
    </row>
    <row r="2952" spans="1:5">
      <c r="A2952" s="856">
        <v>40557</v>
      </c>
      <c r="B2952" s="125" t="str">
        <f>TiposLancamentos!B19</f>
        <v>Restaurantes</v>
      </c>
      <c r="C2952" s="139" t="s">
        <v>7068</v>
      </c>
      <c r="D2952" s="51"/>
      <c r="E2952" s="857">
        <v>23.8</v>
      </c>
    </row>
    <row r="2953" spans="1:5">
      <c r="A2953" s="856">
        <v>40557</v>
      </c>
      <c r="B2953" s="125" t="str">
        <f>TiposLancamentos!B13</f>
        <v>Moradia</v>
      </c>
      <c r="C2953" s="139" t="s">
        <v>22252</v>
      </c>
      <c r="D2953" s="51"/>
      <c r="E2953" s="857">
        <v>2097</v>
      </c>
    </row>
    <row r="2954" spans="1:5">
      <c r="A2954" s="856">
        <v>40558</v>
      </c>
      <c r="B2954" s="125" t="str">
        <f>TiposLancamentos!B19</f>
        <v>Restaurantes</v>
      </c>
      <c r="C2954" s="139" t="s">
        <v>22253</v>
      </c>
      <c r="D2954" s="51"/>
      <c r="E2954" s="857">
        <v>38.19</v>
      </c>
    </row>
    <row r="2955" spans="1:5">
      <c r="A2955" s="856">
        <v>40558</v>
      </c>
      <c r="B2955" s="125" t="str">
        <f>TiposLancamentos!B19</f>
        <v>Restaurantes</v>
      </c>
      <c r="C2955" s="139" t="s">
        <v>22254</v>
      </c>
      <c r="D2955" s="51"/>
      <c r="E2955" s="857">
        <v>30</v>
      </c>
    </row>
    <row r="2956" spans="1:5">
      <c r="A2956" s="856">
        <v>40558</v>
      </c>
      <c r="B2956" s="125" t="str">
        <f>TiposLancamentos!B17</f>
        <v>GATO</v>
      </c>
      <c r="C2956" s="139" t="s">
        <v>1925</v>
      </c>
      <c r="D2956" s="51"/>
      <c r="E2956" s="857">
        <v>24.96</v>
      </c>
    </row>
    <row r="2957" spans="1:5">
      <c r="A2957" s="856">
        <v>40558</v>
      </c>
      <c r="B2957" s="125" t="str">
        <f>TiposLancamentos!B16</f>
        <v>Cristiane</v>
      </c>
      <c r="C2957" s="139" t="s">
        <v>22255</v>
      </c>
      <c r="D2957" s="51"/>
      <c r="E2957" s="857">
        <v>28.79</v>
      </c>
    </row>
    <row r="2958" spans="1:5">
      <c r="A2958" s="856">
        <v>40558</v>
      </c>
      <c r="B2958" s="125" t="str">
        <f>TiposLancamentos!B103</f>
        <v>Juros_Corr. Poupança</v>
      </c>
      <c r="C2958" s="139" t="s">
        <v>20569</v>
      </c>
      <c r="D2958" s="51">
        <v>11.95</v>
      </c>
      <c r="E2958" s="857"/>
    </row>
    <row r="2959" spans="1:5">
      <c r="A2959" s="856">
        <v>40558</v>
      </c>
      <c r="B2959" s="125" t="str">
        <f>TiposLancamentos!B103</f>
        <v>Juros_Corr. Poupança</v>
      </c>
      <c r="C2959" s="139" t="s">
        <v>22249</v>
      </c>
      <c r="D2959" s="51">
        <v>2.4700000000000002</v>
      </c>
      <c r="E2959" s="857"/>
    </row>
    <row r="2960" spans="1:5">
      <c r="A2960" s="856">
        <v>40559</v>
      </c>
      <c r="B2960" s="125" t="str">
        <f>TiposLancamentos!B5</f>
        <v>Supermercado</v>
      </c>
      <c r="C2960" s="139" t="s">
        <v>2567</v>
      </c>
      <c r="D2960" s="51"/>
      <c r="E2960" s="857">
        <v>56.96</v>
      </c>
    </row>
    <row r="2961" spans="1:5">
      <c r="A2961" s="856">
        <v>40559</v>
      </c>
      <c r="B2961" s="125" t="str">
        <f>TiposLancamentos!B90</f>
        <v>Locadora</v>
      </c>
      <c r="C2961" s="139" t="s">
        <v>22256</v>
      </c>
      <c r="D2961" s="51"/>
      <c r="E2961" s="857">
        <v>49</v>
      </c>
    </row>
    <row r="2962" spans="1:5">
      <c r="A2962" s="856">
        <v>40559</v>
      </c>
      <c r="B2962" s="125" t="str">
        <f>TiposLancamentos!B19</f>
        <v>Restaurantes</v>
      </c>
      <c r="C2962" s="139" t="s">
        <v>5613</v>
      </c>
      <c r="D2962" s="51"/>
      <c r="E2962" s="857">
        <v>21.34</v>
      </c>
    </row>
    <row r="2963" spans="1:5">
      <c r="A2963" s="856">
        <v>40560</v>
      </c>
      <c r="B2963" s="125" t="str">
        <f>TiposLancamentos!B33</f>
        <v>Pedágios</v>
      </c>
      <c r="C2963" s="126" t="s">
        <v>20941</v>
      </c>
      <c r="D2963" s="51"/>
      <c r="E2963" s="857">
        <v>192.42</v>
      </c>
    </row>
    <row r="2964" spans="1:5">
      <c r="A2964" s="856">
        <v>40560</v>
      </c>
      <c r="B2964" s="125" t="str">
        <f>TiposLancamentos!B87</f>
        <v>P207-1.6-XS</v>
      </c>
      <c r="C2964" s="139" t="s">
        <v>22257</v>
      </c>
      <c r="D2964" s="51"/>
      <c r="E2964" s="857">
        <v>1302.01</v>
      </c>
    </row>
    <row r="2965" spans="1:5">
      <c r="A2965" s="856">
        <v>40560</v>
      </c>
      <c r="B2965" s="125" t="str">
        <f>TiposLancamentos!B59</f>
        <v>Documentos</v>
      </c>
      <c r="C2965" s="139" t="s">
        <v>22258</v>
      </c>
      <c r="D2965" s="51"/>
      <c r="E2965" s="857">
        <v>171.49</v>
      </c>
    </row>
    <row r="2966" spans="1:5">
      <c r="A2966" s="856">
        <v>40560</v>
      </c>
      <c r="B2966" s="125" t="str">
        <f>TiposLancamentos!B56</f>
        <v>Farmácia</v>
      </c>
      <c r="C2966" s="139" t="s">
        <v>22259</v>
      </c>
      <c r="D2966" s="51"/>
      <c r="E2966" s="857">
        <v>69.650000000000006</v>
      </c>
    </row>
    <row r="2967" spans="1:5">
      <c r="A2967" s="856">
        <v>40560</v>
      </c>
      <c r="B2967" s="125" t="str">
        <f>TiposLancamentos!B5</f>
        <v>Supermercado</v>
      </c>
      <c r="C2967" s="139" t="s">
        <v>22260</v>
      </c>
      <c r="D2967" s="51"/>
      <c r="E2967" s="857">
        <v>62.18</v>
      </c>
    </row>
    <row r="2968" spans="1:5">
      <c r="A2968" s="856">
        <v>40561</v>
      </c>
      <c r="B2968" s="125" t="str">
        <f>TiposLancamentos!B22</f>
        <v>Combustivel</v>
      </c>
      <c r="C2968" s="139" t="s">
        <v>4404</v>
      </c>
      <c r="D2968" s="51"/>
      <c r="E2968" s="857">
        <v>70</v>
      </c>
    </row>
    <row r="2969" spans="1:5">
      <c r="A2969" s="856">
        <v>40561</v>
      </c>
      <c r="B2969" s="125" t="str">
        <f>TiposLancamentos!B19</f>
        <v>Restaurantes</v>
      </c>
      <c r="C2969" s="139" t="s">
        <v>22261</v>
      </c>
      <c r="D2969" s="51"/>
      <c r="E2969" s="857">
        <v>36.46</v>
      </c>
    </row>
    <row r="2970" spans="1:5">
      <c r="A2970" s="856">
        <v>40561</v>
      </c>
      <c r="B2970" s="125" t="str">
        <f>TiposLancamentos!B34</f>
        <v>Seguros</v>
      </c>
      <c r="C2970" s="139" t="s">
        <v>22262</v>
      </c>
      <c r="D2970" s="51"/>
      <c r="E2970" s="857">
        <v>431.86</v>
      </c>
    </row>
    <row r="2971" spans="1:5">
      <c r="A2971" s="856">
        <v>40562</v>
      </c>
      <c r="B2971" s="125" t="str">
        <f>TiposLancamentos!B19</f>
        <v>Restaurantes</v>
      </c>
      <c r="C2971" s="139" t="s">
        <v>22263</v>
      </c>
      <c r="D2971" s="51"/>
      <c r="E2971" s="857">
        <v>24.7</v>
      </c>
    </row>
    <row r="2972" spans="1:5">
      <c r="A2972" s="856">
        <v>40562</v>
      </c>
      <c r="B2972" s="125" t="str">
        <f>TiposLancamentos!B20</f>
        <v>Saques</v>
      </c>
      <c r="C2972" s="139" t="s">
        <v>3761</v>
      </c>
      <c r="D2972" s="51"/>
      <c r="E2972" s="857">
        <v>40</v>
      </c>
    </row>
    <row r="2973" spans="1:5">
      <c r="A2973" s="856">
        <v>40562</v>
      </c>
      <c r="B2973" s="125" t="str">
        <f>TiposLancamentos!B19</f>
        <v>Restaurantes</v>
      </c>
      <c r="C2973" s="139" t="s">
        <v>3618</v>
      </c>
      <c r="D2973" s="51"/>
      <c r="E2973" s="857">
        <v>36.78</v>
      </c>
    </row>
    <row r="2974" spans="1:5">
      <c r="A2974" s="856">
        <v>40563</v>
      </c>
      <c r="B2974" s="125" t="str">
        <f>TiposLancamentos!B19</f>
        <v>Restaurantes</v>
      </c>
      <c r="C2974" s="139" t="s">
        <v>22172</v>
      </c>
      <c r="D2974" s="51"/>
      <c r="E2974" s="857">
        <v>39.700000000000003</v>
      </c>
    </row>
    <row r="2975" spans="1:5">
      <c r="A2975" s="856">
        <v>40564</v>
      </c>
      <c r="B2975" s="125" t="str">
        <f>TiposLancamentos!B5</f>
        <v>Supermercado</v>
      </c>
      <c r="C2975" s="139" t="s">
        <v>22264</v>
      </c>
      <c r="D2975" s="51"/>
      <c r="E2975" s="857">
        <v>11.65</v>
      </c>
    </row>
    <row r="2976" spans="1:5">
      <c r="A2976" s="856">
        <v>40565</v>
      </c>
      <c r="B2976" s="125" t="str">
        <f>TiposLancamentos!B16</f>
        <v>Cristiane</v>
      </c>
      <c r="C2976" s="139" t="s">
        <v>22265</v>
      </c>
      <c r="D2976" s="51"/>
      <c r="E2976" s="857">
        <v>29.9</v>
      </c>
    </row>
    <row r="2977" spans="1:5">
      <c r="A2977" s="856">
        <v>40565</v>
      </c>
      <c r="B2977" s="125" t="str">
        <f>TiposLancamentos!B20</f>
        <v>Saques</v>
      </c>
      <c r="C2977" s="139" t="s">
        <v>2655</v>
      </c>
      <c r="D2977" s="51"/>
      <c r="E2977" s="857">
        <v>60</v>
      </c>
    </row>
    <row r="2978" spans="1:5">
      <c r="A2978" s="856">
        <v>40565</v>
      </c>
      <c r="B2978" s="125" t="str">
        <f>TiposLancamentos!B16</f>
        <v>Cristiane</v>
      </c>
      <c r="C2978" s="139" t="s">
        <v>8685</v>
      </c>
      <c r="D2978" s="51"/>
      <c r="E2978" s="857">
        <v>30</v>
      </c>
    </row>
    <row r="2979" spans="1:5">
      <c r="A2979" s="856">
        <v>40566</v>
      </c>
      <c r="B2979" s="125" t="str">
        <f>TiposLancamentos!B19</f>
        <v>Restaurantes</v>
      </c>
      <c r="C2979" s="139" t="s">
        <v>5783</v>
      </c>
      <c r="D2979" s="51"/>
      <c r="E2979" s="857">
        <v>53.62</v>
      </c>
    </row>
    <row r="2980" spans="1:5">
      <c r="A2980" s="856">
        <v>40566</v>
      </c>
      <c r="B2980" s="125" t="str">
        <f>TiposLancamentos!B19</f>
        <v>Restaurantes</v>
      </c>
      <c r="C2980" s="139" t="s">
        <v>22266</v>
      </c>
      <c r="D2980" s="51"/>
      <c r="E2980" s="857">
        <v>36</v>
      </c>
    </row>
    <row r="2981" spans="1:5">
      <c r="A2981" s="856">
        <v>40567</v>
      </c>
      <c r="B2981" s="125" t="str">
        <f>TiposLancamentos!B19</f>
        <v>Restaurantes</v>
      </c>
      <c r="C2981" s="139" t="s">
        <v>22267</v>
      </c>
      <c r="D2981" s="51"/>
      <c r="E2981" s="857">
        <v>11.93</v>
      </c>
    </row>
    <row r="2982" spans="1:5">
      <c r="A2982" s="856">
        <v>40567</v>
      </c>
      <c r="B2982" s="125" t="str">
        <f>TiposLancamentos!B57</f>
        <v>Informática</v>
      </c>
      <c r="C2982" s="139" t="s">
        <v>22268</v>
      </c>
      <c r="D2982" s="51"/>
      <c r="E2982" s="857">
        <v>19.899999999999999</v>
      </c>
    </row>
    <row r="2983" spans="1:5">
      <c r="A2983" s="856">
        <v>40567</v>
      </c>
      <c r="B2983" s="125" t="str">
        <f>TiposLancamentos!B71</f>
        <v>Itens Pessoais</v>
      </c>
      <c r="C2983" s="139" t="s">
        <v>22269</v>
      </c>
      <c r="D2983" s="51"/>
      <c r="E2983" s="857">
        <v>18</v>
      </c>
    </row>
    <row r="2984" spans="1:5">
      <c r="A2984" s="856">
        <v>40570</v>
      </c>
      <c r="B2984" s="125" t="str">
        <f>TiposLancamentos!B19</f>
        <v>Restaurantes</v>
      </c>
      <c r="C2984" s="139" t="s">
        <v>7141</v>
      </c>
      <c r="D2984" s="51"/>
      <c r="E2984" s="857">
        <v>12.4</v>
      </c>
    </row>
    <row r="2985" spans="1:5">
      <c r="A2985" s="856">
        <v>40571</v>
      </c>
      <c r="B2985" s="125" t="str">
        <f>TiposLancamentos!B22</f>
        <v>Combustivel</v>
      </c>
      <c r="C2985" s="139" t="s">
        <v>22270</v>
      </c>
      <c r="D2985" s="51"/>
      <c r="E2985" s="857">
        <v>82.03</v>
      </c>
    </row>
    <row r="2986" spans="1:5">
      <c r="A2986" s="856">
        <v>40572</v>
      </c>
      <c r="B2986" s="125" t="str">
        <f>TiposLancamentos!B67</f>
        <v>Lavanderia</v>
      </c>
      <c r="C2986" s="139" t="s">
        <v>19378</v>
      </c>
      <c r="D2986" s="51"/>
      <c r="E2986" s="857">
        <v>22</v>
      </c>
    </row>
    <row r="2987" spans="1:5">
      <c r="A2987" s="856">
        <v>40574</v>
      </c>
      <c r="B2987" s="125" t="str">
        <f>TiposLancamentos!B6</f>
        <v>Energia Eletrica</v>
      </c>
      <c r="C2987" s="139" t="s">
        <v>5030</v>
      </c>
      <c r="D2987" s="51"/>
      <c r="E2987" s="857">
        <v>143.52000000000001</v>
      </c>
    </row>
    <row r="2988" spans="1:5" ht="14.25" thickBot="1">
      <c r="A2988" s="856">
        <v>40574</v>
      </c>
      <c r="B2988" s="125" t="str">
        <f>TiposLancamentos!B95</f>
        <v>Salarios</v>
      </c>
      <c r="C2988" s="126" t="s">
        <v>4939</v>
      </c>
      <c r="D2988" s="51">
        <v>6482.57</v>
      </c>
      <c r="E2988" s="857"/>
    </row>
    <row r="2989" spans="1:5" ht="14.25" thickBot="1">
      <c r="A2989" s="998"/>
      <c r="B2989" s="989"/>
      <c r="C2989" s="990" t="s">
        <v>13494</v>
      </c>
      <c r="D2989" s="991"/>
      <c r="E2989" s="999"/>
    </row>
    <row r="2990" spans="1:5">
      <c r="A2990" s="856">
        <v>40575</v>
      </c>
      <c r="B2990" s="125" t="str">
        <f>TiposLancamentos!B15</f>
        <v>Cartões de Crédito</v>
      </c>
      <c r="C2990" s="139" t="s">
        <v>5557</v>
      </c>
      <c r="D2990" s="51"/>
      <c r="E2990" s="857">
        <v>2008</v>
      </c>
    </row>
    <row r="2991" spans="1:5">
      <c r="A2991" s="856">
        <v>40575</v>
      </c>
      <c r="B2991" s="125" t="str">
        <f>TiposLancamentos!B9</f>
        <v>Condominio</v>
      </c>
      <c r="C2991" s="139" t="s">
        <v>1684</v>
      </c>
      <c r="D2991" s="51"/>
      <c r="E2991" s="857">
        <v>760.96</v>
      </c>
    </row>
    <row r="2992" spans="1:5">
      <c r="A2992" s="856">
        <v>40575</v>
      </c>
      <c r="B2992" s="125" t="str">
        <f>TiposLancamentos!B87</f>
        <v>P207-1.6-XS</v>
      </c>
      <c r="C2992" s="139" t="s">
        <v>13497</v>
      </c>
      <c r="D2992" s="51"/>
      <c r="E2992" s="857">
        <v>733.79</v>
      </c>
    </row>
    <row r="2993" spans="1:6">
      <c r="A2993" s="806">
        <v>40575</v>
      </c>
      <c r="B2993" s="807" t="str">
        <f>TiposLancamentos!B35</f>
        <v>Tv à Cabo</v>
      </c>
      <c r="C2993" s="808" t="s">
        <v>5834</v>
      </c>
      <c r="D2993" s="809"/>
      <c r="E2993" s="859">
        <v>134</v>
      </c>
    </row>
    <row r="2994" spans="1:6">
      <c r="A2994" s="773">
        <v>40575</v>
      </c>
      <c r="B2994" s="152" t="str">
        <f>TiposLancamentos!B3</f>
        <v>Internet</v>
      </c>
      <c r="C2994" s="141" t="s">
        <v>5835</v>
      </c>
      <c r="D2994" s="127"/>
      <c r="E2994" s="861">
        <v>65.900000000000006</v>
      </c>
    </row>
    <row r="2995" spans="1:6">
      <c r="A2995" s="810">
        <v>40575</v>
      </c>
      <c r="B2995" s="811" t="str">
        <f>TiposLancamentos!B2</f>
        <v>Telefonia</v>
      </c>
      <c r="C2995" s="812" t="s">
        <v>21733</v>
      </c>
      <c r="D2995" s="813"/>
      <c r="E2995" s="863">
        <v>37.880000000000003</v>
      </c>
      <c r="F2995" s="36">
        <f>SUM(E2993:E2995)</f>
        <v>237.78</v>
      </c>
    </row>
    <row r="2996" spans="1:6">
      <c r="A2996" s="856">
        <v>40575</v>
      </c>
      <c r="B2996" s="125" t="str">
        <f>TiposLancamentos!B8</f>
        <v>Aluguel</v>
      </c>
      <c r="C2996" s="139" t="s">
        <v>2504</v>
      </c>
      <c r="D2996" s="51"/>
      <c r="E2996" s="857">
        <v>1074.48</v>
      </c>
    </row>
    <row r="2997" spans="1:6">
      <c r="A2997" s="856">
        <v>40575</v>
      </c>
      <c r="B2997" s="125" t="str">
        <f>TiposLancamentos!B13</f>
        <v>Moradia</v>
      </c>
      <c r="C2997" s="139" t="s">
        <v>22271</v>
      </c>
      <c r="D2997" s="51"/>
      <c r="E2997" s="857">
        <v>554.04</v>
      </c>
    </row>
    <row r="2998" spans="1:6">
      <c r="A2998" s="856">
        <v>40581</v>
      </c>
      <c r="B2998" s="125" t="str">
        <f>TiposLancamentos!B65</f>
        <v>Taxi</v>
      </c>
      <c r="C2998" s="139" t="s">
        <v>22272</v>
      </c>
      <c r="D2998" s="51"/>
      <c r="E2998" s="857">
        <v>15</v>
      </c>
    </row>
    <row r="2999" spans="1:6">
      <c r="A2999" s="856">
        <v>40581</v>
      </c>
      <c r="B2999" s="125" t="str">
        <f>TiposLancamentos!B2</f>
        <v>Telefonia</v>
      </c>
      <c r="C2999" s="139" t="s">
        <v>5837</v>
      </c>
      <c r="D2999" s="51"/>
      <c r="E2999" s="857">
        <v>0.76</v>
      </c>
    </row>
    <row r="3000" spans="1:6">
      <c r="A3000" s="856">
        <v>40582</v>
      </c>
      <c r="B3000" s="125" t="str">
        <f>TiposLancamentos!B20</f>
        <v>Saques</v>
      </c>
      <c r="C3000" s="139" t="s">
        <v>2668</v>
      </c>
      <c r="D3000" s="51"/>
      <c r="E3000" s="857">
        <v>300</v>
      </c>
    </row>
    <row r="3001" spans="1:6">
      <c r="A3001" s="856">
        <v>40582</v>
      </c>
      <c r="B3001" s="125" t="str">
        <f>TiposLancamentos!B100</f>
        <v>Emprestimos</v>
      </c>
      <c r="C3001" s="139" t="s">
        <v>22273</v>
      </c>
      <c r="D3001" s="51"/>
      <c r="E3001" s="857">
        <v>15</v>
      </c>
    </row>
    <row r="3002" spans="1:6">
      <c r="A3002" s="856">
        <v>40584</v>
      </c>
      <c r="B3002" s="125" t="str">
        <f>TiposLancamentos!B103</f>
        <v>Juros_Corr. Poupança</v>
      </c>
      <c r="C3002" s="139" t="s">
        <v>22274</v>
      </c>
      <c r="D3002" s="51">
        <v>11.02</v>
      </c>
      <c r="E3002" s="857"/>
    </row>
    <row r="3003" spans="1:6">
      <c r="A3003" s="856">
        <v>40586</v>
      </c>
      <c r="B3003" s="125" t="str">
        <f>TiposLancamentos!B57</f>
        <v>Informática</v>
      </c>
      <c r="C3003" s="139" t="s">
        <v>22275</v>
      </c>
      <c r="D3003" s="51"/>
      <c r="E3003" s="857">
        <v>11.15</v>
      </c>
    </row>
    <row r="3004" spans="1:6">
      <c r="A3004" s="856">
        <v>40588</v>
      </c>
      <c r="B3004" s="125" t="str">
        <f>TiposLancamentos!B19</f>
        <v>Restaurantes</v>
      </c>
      <c r="C3004" s="139" t="s">
        <v>3618</v>
      </c>
      <c r="D3004" s="51"/>
      <c r="E3004" s="857">
        <v>17.3</v>
      </c>
    </row>
    <row r="3005" spans="1:6">
      <c r="A3005" s="856">
        <v>40588</v>
      </c>
      <c r="B3005" s="125" t="str">
        <f>TiposLancamentos!B16</f>
        <v>Cristiane</v>
      </c>
      <c r="C3005" s="139" t="s">
        <v>22276</v>
      </c>
      <c r="D3005" s="51"/>
      <c r="E3005" s="857">
        <v>186.56</v>
      </c>
    </row>
    <row r="3006" spans="1:6">
      <c r="A3006" s="856">
        <v>40589</v>
      </c>
      <c r="B3006" s="125" t="str">
        <f>TiposLancamentos!B20</f>
        <v>Saques</v>
      </c>
      <c r="C3006" s="139" t="s">
        <v>2668</v>
      </c>
      <c r="D3006" s="51"/>
      <c r="E3006" s="857">
        <v>80</v>
      </c>
    </row>
    <row r="3007" spans="1:6">
      <c r="A3007" s="856">
        <v>40589</v>
      </c>
      <c r="B3007" s="125" t="str">
        <f>TiposLancamentos!B95</f>
        <v>Salarios</v>
      </c>
      <c r="C3007" s="139" t="s">
        <v>4916</v>
      </c>
      <c r="D3007" s="51">
        <v>1990.45</v>
      </c>
      <c r="E3007" s="857"/>
    </row>
    <row r="3008" spans="1:6">
      <c r="A3008" s="856">
        <v>40589</v>
      </c>
      <c r="B3008" s="125" t="str">
        <f>TiposLancamentos!B95</f>
        <v>Salarios</v>
      </c>
      <c r="C3008" s="126" t="s">
        <v>20627</v>
      </c>
      <c r="D3008" s="51">
        <v>2843.5</v>
      </c>
      <c r="E3008" s="857"/>
    </row>
    <row r="3009" spans="1:6">
      <c r="A3009" s="856">
        <v>40589</v>
      </c>
      <c r="B3009" s="125" t="str">
        <f>TiposLancamentos!B24</f>
        <v>Estacionamentos</v>
      </c>
      <c r="C3009" s="139" t="s">
        <v>5392</v>
      </c>
      <c r="D3009" s="51"/>
      <c r="E3009" s="857">
        <v>51.92</v>
      </c>
    </row>
    <row r="3010" spans="1:6">
      <c r="A3010" s="856">
        <v>40589</v>
      </c>
      <c r="B3010" s="125" t="str">
        <f>TiposLancamentos!B34</f>
        <v>Seguros</v>
      </c>
      <c r="C3010" s="139" t="s">
        <v>22277</v>
      </c>
      <c r="D3010" s="51"/>
      <c r="E3010" s="857">
        <v>69</v>
      </c>
    </row>
    <row r="3011" spans="1:6">
      <c r="A3011" s="856">
        <v>40589</v>
      </c>
      <c r="B3011" s="125" t="str">
        <f>TiposLancamentos!B15</f>
        <v>Cartões de Crédito</v>
      </c>
      <c r="C3011" s="139" t="s">
        <v>2928</v>
      </c>
      <c r="D3011" s="51"/>
      <c r="E3011" s="857">
        <v>169.96</v>
      </c>
    </row>
    <row r="3012" spans="1:6">
      <c r="A3012" s="856">
        <v>40590</v>
      </c>
      <c r="B3012" s="125" t="str">
        <f>TiposLancamentos!B19</f>
        <v>Restaurantes</v>
      </c>
      <c r="C3012" s="139" t="s">
        <v>22278</v>
      </c>
      <c r="D3012" s="51"/>
      <c r="E3012" s="857">
        <v>15.33</v>
      </c>
    </row>
    <row r="3013" spans="1:6">
      <c r="A3013" s="856">
        <v>40590</v>
      </c>
      <c r="B3013" s="125" t="str">
        <f>TiposLancamentos!B19</f>
        <v>Restaurantes</v>
      </c>
      <c r="C3013" s="139" t="s">
        <v>5783</v>
      </c>
      <c r="D3013" s="51"/>
      <c r="E3013" s="857">
        <v>25.13</v>
      </c>
    </row>
    <row r="3014" spans="1:6">
      <c r="A3014" s="856">
        <v>40591</v>
      </c>
      <c r="B3014" s="125" t="str">
        <f>TiposLancamentos!B19</f>
        <v>Restaurantes</v>
      </c>
      <c r="C3014" s="139" t="s">
        <v>22279</v>
      </c>
      <c r="D3014" s="51"/>
      <c r="E3014" s="857">
        <v>20.8</v>
      </c>
    </row>
    <row r="3015" spans="1:6">
      <c r="A3015" s="856">
        <v>40591</v>
      </c>
      <c r="B3015" s="125" t="str">
        <f>TiposLancamentos!B19</f>
        <v>Restaurantes</v>
      </c>
      <c r="C3015" s="139" t="s">
        <v>22280</v>
      </c>
      <c r="D3015" s="51"/>
      <c r="E3015" s="857">
        <v>17.3</v>
      </c>
    </row>
    <row r="3016" spans="1:6">
      <c r="A3016" s="856">
        <v>40592</v>
      </c>
      <c r="B3016" s="125" t="str">
        <f>TiposLancamentos!B72</f>
        <v>Presentes</v>
      </c>
      <c r="C3016" s="139" t="s">
        <v>22281</v>
      </c>
      <c r="D3016" s="51"/>
      <c r="E3016" s="857">
        <v>50</v>
      </c>
    </row>
    <row r="3017" spans="1:6">
      <c r="A3017" s="856">
        <v>40592</v>
      </c>
      <c r="B3017" s="125" t="str">
        <f>TiposLancamentos!B19</f>
        <v>Restaurantes</v>
      </c>
      <c r="C3017" s="139" t="s">
        <v>6122</v>
      </c>
      <c r="D3017" s="51"/>
      <c r="E3017" s="857">
        <v>14.7</v>
      </c>
    </row>
    <row r="3018" spans="1:6">
      <c r="A3018" s="856">
        <v>40592</v>
      </c>
      <c r="B3018" s="125" t="str">
        <f>TiposLancamentos!B19</f>
        <v>Restaurantes</v>
      </c>
      <c r="C3018" s="139" t="s">
        <v>22282</v>
      </c>
      <c r="D3018" s="51"/>
      <c r="E3018" s="857">
        <v>14.7</v>
      </c>
    </row>
    <row r="3019" spans="1:6">
      <c r="A3019" s="856">
        <v>40593</v>
      </c>
      <c r="B3019" s="125" t="str">
        <f>TiposLancamentos!B19</f>
        <v>Restaurantes</v>
      </c>
      <c r="C3019" s="139" t="s">
        <v>6122</v>
      </c>
      <c r="D3019" s="51"/>
      <c r="E3019" s="857">
        <v>17</v>
      </c>
    </row>
    <row r="3020" spans="1:6">
      <c r="A3020" s="856">
        <v>40593</v>
      </c>
      <c r="B3020" s="125" t="str">
        <f>TiposLancamentos!B17</f>
        <v>GATO</v>
      </c>
      <c r="C3020" s="139" t="s">
        <v>22283</v>
      </c>
      <c r="D3020" s="51"/>
      <c r="E3020" s="857">
        <v>79.400000000000006</v>
      </c>
    </row>
    <row r="3021" spans="1:6">
      <c r="A3021" s="856">
        <v>40593</v>
      </c>
      <c r="B3021" s="125" t="str">
        <f>TiposLancamentos!B19</f>
        <v>Restaurantes</v>
      </c>
      <c r="C3021" s="139" t="s">
        <v>5760</v>
      </c>
      <c r="D3021" s="51"/>
      <c r="E3021" s="857">
        <v>25.13</v>
      </c>
    </row>
    <row r="3022" spans="1:6">
      <c r="A3022" s="961">
        <v>40593</v>
      </c>
      <c r="B3022" s="817" t="str">
        <f>TiposLancamentos!B17</f>
        <v>GATO</v>
      </c>
      <c r="C3022" s="962" t="s">
        <v>22284</v>
      </c>
      <c r="D3022" s="809"/>
      <c r="E3022" s="965">
        <f>3*4.26</f>
        <v>12.78</v>
      </c>
      <c r="F3022" s="3">
        <v>34.57</v>
      </c>
    </row>
    <row r="3023" spans="1:6">
      <c r="A3023" s="963">
        <v>40593</v>
      </c>
      <c r="B3023" s="818" t="str">
        <f>TiposLancamentos!B56</f>
        <v>Farmácia</v>
      </c>
      <c r="C3023" s="964" t="s">
        <v>22285</v>
      </c>
      <c r="D3023" s="813"/>
      <c r="E3023" s="966">
        <f>F3022-E3022</f>
        <v>21.79</v>
      </c>
    </row>
    <row r="3024" spans="1:6">
      <c r="A3024" s="856">
        <v>40594</v>
      </c>
      <c r="B3024" s="125" t="str">
        <f>TiposLancamentos!B19</f>
        <v>Restaurantes</v>
      </c>
      <c r="C3024" s="139" t="s">
        <v>22286</v>
      </c>
      <c r="D3024" s="51"/>
      <c r="E3024" s="857">
        <v>21.4</v>
      </c>
    </row>
    <row r="3025" spans="1:7">
      <c r="A3025" s="856">
        <v>40594</v>
      </c>
      <c r="B3025" s="125" t="str">
        <f>TiposLancamentos!B56</f>
        <v>Farmácia</v>
      </c>
      <c r="C3025" s="139" t="s">
        <v>22287</v>
      </c>
      <c r="D3025" s="51"/>
      <c r="E3025" s="857">
        <v>21.74</v>
      </c>
    </row>
    <row r="3026" spans="1:7">
      <c r="A3026" s="856">
        <v>40594</v>
      </c>
      <c r="B3026" s="125" t="str">
        <f>TiposLancamentos!B19</f>
        <v>Restaurantes</v>
      </c>
      <c r="C3026" s="139" t="s">
        <v>21576</v>
      </c>
      <c r="D3026" s="51"/>
      <c r="E3026" s="857">
        <v>17.95</v>
      </c>
    </row>
    <row r="3027" spans="1:7">
      <c r="A3027" s="856">
        <v>40595</v>
      </c>
      <c r="B3027" s="125" t="str">
        <f>TiposLancamentos!B19</f>
        <v>Restaurantes</v>
      </c>
      <c r="C3027" s="139" t="s">
        <v>22288</v>
      </c>
      <c r="D3027" s="51"/>
      <c r="E3027" s="857">
        <v>13.9</v>
      </c>
    </row>
    <row r="3028" spans="1:7">
      <c r="A3028" s="856">
        <v>40595</v>
      </c>
      <c r="B3028" s="125" t="str">
        <f>TiposLancamentos!B19</f>
        <v>Restaurantes</v>
      </c>
      <c r="C3028" s="139" t="s">
        <v>21315</v>
      </c>
      <c r="D3028" s="51"/>
      <c r="E3028" s="857">
        <v>7.5</v>
      </c>
    </row>
    <row r="3029" spans="1:7">
      <c r="A3029" s="856">
        <v>40595</v>
      </c>
      <c r="B3029" s="125" t="str">
        <f>TiposLancamentos!B5</f>
        <v>Supermercado</v>
      </c>
      <c r="C3029" s="139" t="s">
        <v>4063</v>
      </c>
      <c r="D3029" s="51"/>
      <c r="E3029" s="857">
        <v>35.64</v>
      </c>
    </row>
    <row r="3030" spans="1:7">
      <c r="A3030" s="856">
        <v>40596</v>
      </c>
      <c r="B3030" s="125" t="str">
        <f>TiposLancamentos!B19</f>
        <v>Restaurantes</v>
      </c>
      <c r="C3030" s="139" t="s">
        <v>22289</v>
      </c>
      <c r="D3030" s="51"/>
      <c r="E3030" s="857">
        <v>16.899999999999999</v>
      </c>
    </row>
    <row r="3031" spans="1:7">
      <c r="A3031" s="856">
        <v>40596</v>
      </c>
      <c r="B3031" s="125" t="str">
        <f>TiposLancamentos!B19</f>
        <v>Restaurantes</v>
      </c>
      <c r="C3031" s="139" t="s">
        <v>3618</v>
      </c>
      <c r="D3031" s="51"/>
      <c r="E3031" s="857">
        <v>22.95</v>
      </c>
      <c r="G3031" s="158"/>
    </row>
    <row r="3032" spans="1:7">
      <c r="A3032" s="856">
        <v>40597</v>
      </c>
      <c r="B3032" s="125" t="str">
        <f>TiposLancamentos!B19</f>
        <v>Restaurantes</v>
      </c>
      <c r="C3032" s="139" t="s">
        <v>22290</v>
      </c>
      <c r="D3032" s="51"/>
      <c r="E3032" s="857">
        <v>20.11</v>
      </c>
    </row>
    <row r="3033" spans="1:7">
      <c r="A3033" s="856">
        <v>40598</v>
      </c>
      <c r="B3033" s="125" t="str">
        <f>TiposLancamentos!B19</f>
        <v>Restaurantes</v>
      </c>
      <c r="C3033" s="139" t="s">
        <v>17244</v>
      </c>
      <c r="D3033" s="51"/>
      <c r="E3033" s="857">
        <v>20.72</v>
      </c>
    </row>
    <row r="3034" spans="1:7">
      <c r="A3034" s="856">
        <v>40598</v>
      </c>
      <c r="B3034" s="125" t="str">
        <f>TiposLancamentos!B19</f>
        <v>Restaurantes</v>
      </c>
      <c r="C3034" s="139" t="s">
        <v>22291</v>
      </c>
      <c r="D3034" s="51"/>
      <c r="E3034" s="857">
        <v>21.6</v>
      </c>
    </row>
    <row r="3035" spans="1:7">
      <c r="A3035" s="856">
        <v>40599</v>
      </c>
      <c r="B3035" s="125" t="str">
        <f>TiposLancamentos!B19</f>
        <v>Restaurantes</v>
      </c>
      <c r="C3035" s="139" t="s">
        <v>22292</v>
      </c>
      <c r="D3035" s="51"/>
      <c r="E3035" s="857">
        <v>11.95</v>
      </c>
    </row>
    <row r="3036" spans="1:7">
      <c r="A3036" s="856">
        <v>40599</v>
      </c>
      <c r="B3036" s="125" t="str">
        <f>TiposLancamentos!B19</f>
        <v>Restaurantes</v>
      </c>
      <c r="C3036" s="139" t="s">
        <v>22293</v>
      </c>
      <c r="D3036" s="51"/>
      <c r="E3036" s="857">
        <v>20.74</v>
      </c>
    </row>
    <row r="3037" spans="1:7">
      <c r="A3037" s="856">
        <v>40599</v>
      </c>
      <c r="B3037" s="125" t="str">
        <f>TiposLancamentos!B87</f>
        <v>P207-1.6-XS</v>
      </c>
      <c r="C3037" s="139" t="s">
        <v>22294</v>
      </c>
      <c r="D3037" s="51"/>
      <c r="E3037" s="857">
        <v>193.5</v>
      </c>
    </row>
    <row r="3038" spans="1:7">
      <c r="A3038" s="856">
        <v>40599</v>
      </c>
      <c r="B3038" s="125" t="str">
        <f>TiposLancamentos!B22</f>
        <v>Combustivel</v>
      </c>
      <c r="C3038" s="139" t="s">
        <v>4404</v>
      </c>
      <c r="D3038" s="51"/>
      <c r="E3038" s="857">
        <v>85</v>
      </c>
    </row>
    <row r="3039" spans="1:7">
      <c r="A3039" s="856">
        <v>40599</v>
      </c>
      <c r="B3039" s="125" t="str">
        <f>TiposLancamentos!B59</f>
        <v>Documentos</v>
      </c>
      <c r="C3039" s="139" t="s">
        <v>22295</v>
      </c>
      <c r="D3039" s="51"/>
      <c r="E3039" s="857">
        <v>243.68</v>
      </c>
    </row>
    <row r="3040" spans="1:7">
      <c r="A3040" s="856">
        <v>40599</v>
      </c>
      <c r="B3040" s="125" t="str">
        <f>TiposLancamentos!B19</f>
        <v>Restaurantes</v>
      </c>
      <c r="C3040" s="139" t="s">
        <v>22266</v>
      </c>
      <c r="D3040" s="51"/>
      <c r="E3040" s="857">
        <v>32</v>
      </c>
    </row>
    <row r="3041" spans="1:6">
      <c r="A3041" s="856">
        <v>40600</v>
      </c>
      <c r="B3041" s="125" t="str">
        <f>TiposLancamentos!B56</f>
        <v>Farmácia</v>
      </c>
      <c r="C3041" s="139" t="s">
        <v>22296</v>
      </c>
      <c r="D3041" s="51"/>
      <c r="E3041" s="857">
        <v>214.23</v>
      </c>
    </row>
    <row r="3042" spans="1:6">
      <c r="A3042" s="856">
        <v>40600</v>
      </c>
      <c r="B3042" s="125" t="str">
        <f>TiposLancamentos!B19</f>
        <v>Restaurantes</v>
      </c>
      <c r="C3042" s="139" t="s">
        <v>22297</v>
      </c>
      <c r="D3042" s="51"/>
      <c r="E3042" s="857">
        <v>41.36</v>
      </c>
    </row>
    <row r="3043" spans="1:6">
      <c r="A3043" s="856">
        <v>40601</v>
      </c>
      <c r="B3043" s="125" t="str">
        <f>TiposLancamentos!B19</f>
        <v>Restaurantes</v>
      </c>
      <c r="C3043" s="139" t="s">
        <v>22298</v>
      </c>
      <c r="D3043" s="51"/>
      <c r="E3043" s="857">
        <v>104.5</v>
      </c>
    </row>
    <row r="3044" spans="1:6">
      <c r="A3044" s="856">
        <v>40602</v>
      </c>
      <c r="B3044" s="125" t="str">
        <f>TiposLancamentos!B64</f>
        <v>Viagens</v>
      </c>
      <c r="C3044" s="139" t="s">
        <v>14143</v>
      </c>
      <c r="D3044" s="51"/>
      <c r="E3044" s="857">
        <v>229.99</v>
      </c>
    </row>
    <row r="3045" spans="1:6">
      <c r="A3045" s="856">
        <v>40602</v>
      </c>
      <c r="B3045" s="125" t="str">
        <f>TiposLancamentos!B22</f>
        <v>Combustivel</v>
      </c>
      <c r="C3045" s="139" t="s">
        <v>4404</v>
      </c>
      <c r="D3045" s="51"/>
      <c r="E3045" s="857">
        <v>57.51</v>
      </c>
    </row>
    <row r="3046" spans="1:6">
      <c r="A3046" s="856">
        <v>40602</v>
      </c>
      <c r="B3046" s="125" t="str">
        <f>TiposLancamentos!B5</f>
        <v>Supermercado</v>
      </c>
      <c r="C3046" s="139" t="s">
        <v>22117</v>
      </c>
      <c r="D3046" s="51"/>
      <c r="E3046" s="857">
        <v>84.83</v>
      </c>
    </row>
    <row r="3047" spans="1:6" ht="14.25" thickBot="1">
      <c r="A3047" s="856">
        <v>40602</v>
      </c>
      <c r="B3047" s="125" t="str">
        <f>TiposLancamentos!B95</f>
        <v>Salarios</v>
      </c>
      <c r="C3047" s="126" t="s">
        <v>4939</v>
      </c>
      <c r="D3047" s="51">
        <v>5416.65</v>
      </c>
      <c r="E3047" s="857"/>
    </row>
    <row r="3048" spans="1:6" ht="14.25" thickBot="1">
      <c r="A3048" s="998"/>
      <c r="B3048" s="989"/>
      <c r="C3048" s="997" t="s">
        <v>13498</v>
      </c>
      <c r="D3048" s="991"/>
      <c r="E3048" s="999"/>
    </row>
    <row r="3049" spans="1:6">
      <c r="A3049" s="856">
        <v>40603</v>
      </c>
      <c r="B3049" s="125" t="str">
        <f>TiposLancamentos!B103</f>
        <v>Juros_Corr. Poupança</v>
      </c>
      <c r="C3049" s="139" t="s">
        <v>22299</v>
      </c>
      <c r="D3049" s="51">
        <v>3.41</v>
      </c>
      <c r="E3049" s="857"/>
    </row>
    <row r="3050" spans="1:6">
      <c r="A3050" s="856">
        <v>40603</v>
      </c>
      <c r="B3050" s="125" t="str">
        <f>TiposLancamentos!B15</f>
        <v>Cartões de Crédito</v>
      </c>
      <c r="C3050" s="139" t="s">
        <v>5557</v>
      </c>
      <c r="D3050" s="51"/>
      <c r="E3050" s="857">
        <v>1099.05</v>
      </c>
    </row>
    <row r="3051" spans="1:6">
      <c r="A3051" s="856">
        <v>40603</v>
      </c>
      <c r="B3051" s="125" t="str">
        <f>TiposLancamentos!B6</f>
        <v>Energia Eletrica</v>
      </c>
      <c r="C3051" s="139" t="s">
        <v>5191</v>
      </c>
      <c r="D3051" s="51"/>
      <c r="E3051" s="857">
        <v>109.15</v>
      </c>
    </row>
    <row r="3052" spans="1:6">
      <c r="A3052" s="961">
        <v>40603</v>
      </c>
      <c r="B3052" s="817" t="str">
        <f>TiposLancamentos!B8</f>
        <v>Aluguel</v>
      </c>
      <c r="C3052" s="962" t="s">
        <v>1682</v>
      </c>
      <c r="D3052" s="809"/>
      <c r="E3052" s="965">
        <f>F3053-E3053</f>
        <v>1074.48</v>
      </c>
    </row>
    <row r="3053" spans="1:6">
      <c r="A3053" s="963">
        <v>40603</v>
      </c>
      <c r="B3053" s="818" t="str">
        <f>TiposLancamentos!B12</f>
        <v>IPTU</v>
      </c>
      <c r="C3053" s="964" t="s">
        <v>13356</v>
      </c>
      <c r="D3053" s="813"/>
      <c r="E3053" s="966">
        <v>93.11</v>
      </c>
      <c r="F3053" s="156">
        <v>1167.5899999999999</v>
      </c>
    </row>
    <row r="3054" spans="1:6">
      <c r="A3054" s="856">
        <v>40603</v>
      </c>
      <c r="B3054" s="125" t="str">
        <f>TiposLancamentos!B16</f>
        <v>Cristiane</v>
      </c>
      <c r="C3054" s="139" t="s">
        <v>7119</v>
      </c>
      <c r="D3054" s="51"/>
      <c r="E3054" s="857">
        <v>86.47</v>
      </c>
    </row>
    <row r="3055" spans="1:6">
      <c r="A3055" s="856">
        <v>40603</v>
      </c>
      <c r="B3055" s="125" t="str">
        <f>TiposLancamentos!B87</f>
        <v>P207-1.6-XS</v>
      </c>
      <c r="C3055" s="139" t="s">
        <v>13501</v>
      </c>
      <c r="D3055" s="51"/>
      <c r="E3055" s="857">
        <v>731.02</v>
      </c>
    </row>
    <row r="3056" spans="1:6">
      <c r="A3056" s="806">
        <v>40603</v>
      </c>
      <c r="B3056" s="807" t="str">
        <f>TiposLancamentos!B35</f>
        <v>Tv à Cabo</v>
      </c>
      <c r="C3056" s="808" t="s">
        <v>5834</v>
      </c>
      <c r="D3056" s="809"/>
      <c r="E3056" s="859">
        <v>134</v>
      </c>
    </row>
    <row r="3057" spans="1:6">
      <c r="A3057" s="773">
        <v>40603</v>
      </c>
      <c r="B3057" s="152" t="str">
        <f>TiposLancamentos!B3</f>
        <v>Internet</v>
      </c>
      <c r="C3057" s="141" t="s">
        <v>5835</v>
      </c>
      <c r="D3057" s="127"/>
      <c r="E3057" s="861">
        <v>65.900000000000006</v>
      </c>
    </row>
    <row r="3058" spans="1:6">
      <c r="A3058" s="810">
        <v>40603</v>
      </c>
      <c r="B3058" s="811" t="str">
        <f>TiposLancamentos!B2</f>
        <v>Telefonia</v>
      </c>
      <c r="C3058" s="812" t="s">
        <v>21733</v>
      </c>
      <c r="D3058" s="813"/>
      <c r="E3058" s="863">
        <v>37.89</v>
      </c>
      <c r="F3058" s="156">
        <f>SUM(E3056:E3058)</f>
        <v>237.79000000000002</v>
      </c>
    </row>
    <row r="3059" spans="1:6">
      <c r="A3059" s="856">
        <v>40604</v>
      </c>
      <c r="B3059" s="125" t="str">
        <f>TiposLancamentos!B9</f>
        <v>Condominio</v>
      </c>
      <c r="C3059" s="139" t="s">
        <v>22300</v>
      </c>
      <c r="D3059" s="51"/>
      <c r="E3059" s="857">
        <v>752.98</v>
      </c>
    </row>
    <row r="3060" spans="1:6">
      <c r="A3060" s="856">
        <v>40604</v>
      </c>
      <c r="B3060" s="125" t="str">
        <f>TiposLancamentos!B5</f>
        <v>Supermercado</v>
      </c>
      <c r="C3060" s="139" t="s">
        <v>22301</v>
      </c>
      <c r="D3060" s="51"/>
      <c r="E3060" s="857">
        <v>22.77</v>
      </c>
    </row>
    <row r="3061" spans="1:6">
      <c r="A3061" s="856">
        <v>40605</v>
      </c>
      <c r="B3061" s="125" t="str">
        <f>TiposLancamentos!B56</f>
        <v>Farmácia</v>
      </c>
      <c r="C3061" s="139" t="s">
        <v>22302</v>
      </c>
      <c r="D3061" s="51"/>
      <c r="E3061" s="857">
        <v>24.04</v>
      </c>
    </row>
    <row r="3062" spans="1:6">
      <c r="A3062" s="856">
        <v>40606</v>
      </c>
      <c r="B3062" s="125" t="str">
        <f>TiposLancamentos!B19</f>
        <v>Restaurantes</v>
      </c>
      <c r="C3062" s="139" t="s">
        <v>6328</v>
      </c>
      <c r="D3062" s="51"/>
      <c r="E3062" s="857">
        <v>32</v>
      </c>
    </row>
    <row r="3063" spans="1:6">
      <c r="A3063" s="856">
        <v>40607</v>
      </c>
      <c r="B3063" s="125" t="str">
        <f>TiposLancamentos!B19</f>
        <v>Restaurantes</v>
      </c>
      <c r="C3063" s="139" t="s">
        <v>5914</v>
      </c>
      <c r="D3063" s="51"/>
      <c r="E3063" s="857">
        <v>29.8</v>
      </c>
    </row>
    <row r="3064" spans="1:6">
      <c r="A3064" s="856">
        <v>40608</v>
      </c>
      <c r="B3064" s="125" t="str">
        <f>TiposLancamentos!B19</f>
        <v>Restaurantes</v>
      </c>
      <c r="C3064" s="139" t="s">
        <v>22303</v>
      </c>
      <c r="D3064" s="51"/>
      <c r="E3064" s="857">
        <v>45.13</v>
      </c>
    </row>
    <row r="3065" spans="1:6">
      <c r="A3065" s="856">
        <v>40608</v>
      </c>
      <c r="B3065" s="125" t="str">
        <f>TiposLancamentos!B20</f>
        <v>Saques</v>
      </c>
      <c r="C3065" s="139" t="s">
        <v>3403</v>
      </c>
      <c r="D3065" s="51"/>
      <c r="E3065" s="857">
        <v>40</v>
      </c>
    </row>
    <row r="3066" spans="1:6">
      <c r="A3066" s="856">
        <v>40608</v>
      </c>
      <c r="B3066" s="125" t="str">
        <f>TiposLancamentos!B5</f>
        <v>Supermercado</v>
      </c>
      <c r="C3066" s="139" t="s">
        <v>22304</v>
      </c>
      <c r="D3066" s="51"/>
      <c r="E3066" s="857">
        <v>26.54</v>
      </c>
    </row>
    <row r="3067" spans="1:6">
      <c r="A3067" s="884">
        <v>40608</v>
      </c>
      <c r="B3067" s="86" t="str">
        <f>TiposLancamentos!B19</f>
        <v>Restaurantes</v>
      </c>
      <c r="C3067" s="3" t="s">
        <v>5002</v>
      </c>
      <c r="D3067" s="63"/>
      <c r="E3067" s="952">
        <v>36.25</v>
      </c>
    </row>
    <row r="3068" spans="1:6">
      <c r="A3068" s="884">
        <v>40609</v>
      </c>
      <c r="B3068" s="86" t="str">
        <f>TiposLancamentos!B22</f>
        <v>Combustivel</v>
      </c>
      <c r="C3068" s="3" t="s">
        <v>4120</v>
      </c>
      <c r="D3068" s="63"/>
      <c r="E3068" s="952">
        <v>67</v>
      </c>
    </row>
    <row r="3069" spans="1:6">
      <c r="A3069" s="884">
        <v>40609</v>
      </c>
      <c r="B3069" s="86" t="str">
        <f>TiposLancamentos!B19</f>
        <v>Restaurantes</v>
      </c>
      <c r="C3069" s="3" t="s">
        <v>22305</v>
      </c>
      <c r="D3069" s="63"/>
      <c r="E3069" s="952">
        <v>107.63</v>
      </c>
    </row>
    <row r="3070" spans="1:6">
      <c r="A3070" s="884">
        <v>40609</v>
      </c>
      <c r="B3070" s="86" t="str">
        <f>TiposLancamentos!B17</f>
        <v>GATO</v>
      </c>
      <c r="C3070" s="3" t="s">
        <v>22306</v>
      </c>
      <c r="D3070" s="63"/>
      <c r="E3070" s="952">
        <v>110.4</v>
      </c>
    </row>
    <row r="3071" spans="1:6">
      <c r="A3071" s="884">
        <v>40609</v>
      </c>
      <c r="B3071" s="86" t="str">
        <f>TiposLancamentos!B5</f>
        <v>Supermercado</v>
      </c>
      <c r="C3071" s="3" t="s">
        <v>22307</v>
      </c>
      <c r="D3071" s="63"/>
      <c r="E3071" s="952">
        <v>21.95</v>
      </c>
    </row>
    <row r="3072" spans="1:6">
      <c r="A3072" s="884">
        <v>40610</v>
      </c>
      <c r="B3072" s="86" t="str">
        <f>TiposLancamentos!B19</f>
        <v>Restaurantes</v>
      </c>
      <c r="C3072" s="3" t="s">
        <v>22308</v>
      </c>
      <c r="D3072" s="63"/>
      <c r="E3072" s="952">
        <v>70.069999999999993</v>
      </c>
      <c r="F3072" s="3" t="s">
        <v>11</v>
      </c>
    </row>
    <row r="3073" spans="1:5">
      <c r="A3073" s="884">
        <v>40611</v>
      </c>
      <c r="B3073" s="86" t="str">
        <f>TiposLancamentos!B31</f>
        <v>Action Figures</v>
      </c>
      <c r="C3073" s="3" t="s">
        <v>22309</v>
      </c>
      <c r="D3073" s="63"/>
      <c r="E3073" s="952">
        <v>107</v>
      </c>
    </row>
    <row r="3074" spans="1:5">
      <c r="A3074" s="884">
        <v>40612</v>
      </c>
      <c r="B3074" s="86" t="str">
        <f>TiposLancamentos!B103</f>
        <v>Juros_Corr. Poupança</v>
      </c>
      <c r="C3074" s="3" t="s">
        <v>22310</v>
      </c>
      <c r="D3074" s="63">
        <v>7.91</v>
      </c>
      <c r="E3074" s="952"/>
    </row>
    <row r="3075" spans="1:5">
      <c r="A3075" s="884">
        <v>40613</v>
      </c>
      <c r="B3075" s="86" t="str">
        <f>TiposLancamentos!B19</f>
        <v>Restaurantes</v>
      </c>
      <c r="C3075" s="3" t="s">
        <v>22292</v>
      </c>
      <c r="D3075" s="63"/>
      <c r="E3075" s="952">
        <v>16.12</v>
      </c>
    </row>
    <row r="3076" spans="1:5">
      <c r="A3076" s="884">
        <v>40613</v>
      </c>
      <c r="B3076" s="86" t="str">
        <f>TiposLancamentos!B19</f>
        <v>Restaurantes</v>
      </c>
      <c r="C3076" s="3" t="s">
        <v>22311</v>
      </c>
      <c r="D3076" s="63"/>
      <c r="E3076" s="952">
        <v>25.6</v>
      </c>
    </row>
    <row r="3077" spans="1:5">
      <c r="A3077" s="884">
        <v>40613</v>
      </c>
      <c r="B3077" s="86" t="str">
        <f>TiposLancamentos!B5</f>
        <v>Supermercado</v>
      </c>
      <c r="C3077" s="3" t="s">
        <v>22304</v>
      </c>
      <c r="D3077" s="63"/>
      <c r="E3077" s="952">
        <v>50.15</v>
      </c>
    </row>
    <row r="3078" spans="1:5">
      <c r="A3078" s="884">
        <v>40614</v>
      </c>
      <c r="B3078" s="86" t="str">
        <f>TiposLancamentos!B81</f>
        <v>Ferramentas gerais</v>
      </c>
      <c r="C3078" s="3" t="s">
        <v>22312</v>
      </c>
      <c r="D3078" s="63"/>
      <c r="E3078" s="952">
        <v>21.8</v>
      </c>
    </row>
    <row r="3079" spans="1:5">
      <c r="A3079" s="884">
        <v>40614</v>
      </c>
      <c r="B3079" s="86" t="str">
        <f>TiposLancamentos!B16</f>
        <v>Cristiane</v>
      </c>
      <c r="C3079" s="3" t="s">
        <v>22313</v>
      </c>
      <c r="D3079" s="63"/>
      <c r="E3079" s="952">
        <v>7.99</v>
      </c>
    </row>
    <row r="3080" spans="1:5">
      <c r="A3080" s="884">
        <v>40615</v>
      </c>
      <c r="B3080" s="86" t="str">
        <f>TiposLancamentos!B5</f>
        <v>Supermercado</v>
      </c>
      <c r="C3080" s="3" t="s">
        <v>5930</v>
      </c>
      <c r="D3080" s="63"/>
      <c r="E3080" s="952">
        <v>25.18</v>
      </c>
    </row>
    <row r="3081" spans="1:5">
      <c r="A3081" s="884">
        <v>40615</v>
      </c>
      <c r="B3081" s="86" t="str">
        <f>TiposLancamentos!B31</f>
        <v>Action Figures</v>
      </c>
      <c r="C3081" s="3" t="s">
        <v>22314</v>
      </c>
      <c r="D3081" s="63"/>
      <c r="E3081" s="952">
        <v>150</v>
      </c>
    </row>
    <row r="3082" spans="1:5">
      <c r="A3082" s="884">
        <v>40616</v>
      </c>
      <c r="B3082" s="86" t="str">
        <f>TiposLancamentos!B31</f>
        <v>Action Figures</v>
      </c>
      <c r="C3082" s="3" t="s">
        <v>22315</v>
      </c>
      <c r="D3082" s="63"/>
      <c r="E3082" s="952">
        <v>146</v>
      </c>
    </row>
    <row r="3083" spans="1:5">
      <c r="A3083" s="884">
        <v>40617</v>
      </c>
      <c r="B3083" s="86" t="str">
        <f>TiposLancamentos!B95</f>
        <v>Salarios</v>
      </c>
      <c r="C3083" s="3" t="s">
        <v>4916</v>
      </c>
      <c r="D3083" s="63">
        <v>1990.45</v>
      </c>
      <c r="E3083" s="952"/>
    </row>
    <row r="3084" spans="1:5">
      <c r="A3084" s="884">
        <v>40617</v>
      </c>
      <c r="B3084" s="86" t="str">
        <f>TiposLancamentos!B33</f>
        <v>Pedágios</v>
      </c>
      <c r="C3084" s="126" t="s">
        <v>20941</v>
      </c>
      <c r="D3084" s="63"/>
      <c r="E3084" s="952">
        <v>59.34</v>
      </c>
    </row>
    <row r="3085" spans="1:5">
      <c r="A3085" s="884">
        <v>40617</v>
      </c>
      <c r="B3085" s="86" t="str">
        <f>TiposLancamentos!B34</f>
        <v>Seguros</v>
      </c>
      <c r="C3085" s="3" t="s">
        <v>22316</v>
      </c>
      <c r="D3085" s="63"/>
      <c r="E3085" s="952">
        <v>69</v>
      </c>
    </row>
    <row r="3086" spans="1:5">
      <c r="A3086" s="884">
        <v>40617</v>
      </c>
      <c r="B3086" s="86" t="str">
        <f>TiposLancamentos!B15</f>
        <v>Cartões de Crédito</v>
      </c>
      <c r="C3086" s="3" t="s">
        <v>22317</v>
      </c>
      <c r="D3086" s="63"/>
      <c r="E3086" s="952">
        <v>466.23</v>
      </c>
    </row>
    <row r="3087" spans="1:5">
      <c r="A3087" s="884">
        <v>40617</v>
      </c>
      <c r="B3087" s="86" t="str">
        <f>TiposLancamentos!B103</f>
        <v>Juros_Corr. Poupança</v>
      </c>
      <c r="C3087" s="3" t="s">
        <v>17656</v>
      </c>
      <c r="D3087" s="63">
        <v>17.53</v>
      </c>
      <c r="E3087" s="952"/>
    </row>
    <row r="3088" spans="1:5">
      <c r="A3088" s="884">
        <v>40617</v>
      </c>
      <c r="B3088" s="86" t="str">
        <f>TiposLancamentos!B57</f>
        <v>Informática</v>
      </c>
      <c r="C3088" s="3" t="s">
        <v>22318</v>
      </c>
      <c r="D3088" s="63"/>
      <c r="E3088" s="952">
        <v>92.99</v>
      </c>
    </row>
    <row r="3089" spans="1:5">
      <c r="A3089" s="884">
        <v>40617</v>
      </c>
      <c r="B3089" s="86" t="str">
        <f>TiposLancamentos!B5</f>
        <v>Supermercado</v>
      </c>
      <c r="C3089" s="3" t="s">
        <v>22319</v>
      </c>
      <c r="D3089" s="63"/>
      <c r="E3089" s="952">
        <v>132.65</v>
      </c>
    </row>
    <row r="3090" spans="1:5">
      <c r="A3090" s="884">
        <v>40618</v>
      </c>
      <c r="B3090" s="86" t="str">
        <f>TiposLancamentos!B19</f>
        <v>Restaurantes</v>
      </c>
      <c r="C3090" s="3" t="s">
        <v>22320</v>
      </c>
      <c r="D3090" s="63"/>
      <c r="E3090" s="952">
        <v>21.75</v>
      </c>
    </row>
    <row r="3091" spans="1:5">
      <c r="A3091" s="856">
        <v>40619</v>
      </c>
      <c r="B3091" s="125" t="str">
        <f>TiposLancamentos!B22</f>
        <v>Combustivel</v>
      </c>
      <c r="C3091" s="139" t="s">
        <v>22321</v>
      </c>
      <c r="D3091" s="51"/>
      <c r="E3091" s="857">
        <v>91.04</v>
      </c>
    </row>
    <row r="3092" spans="1:5">
      <c r="A3092" s="856">
        <v>40619</v>
      </c>
      <c r="B3092" s="125" t="str">
        <f>TiposLancamentos!B87</f>
        <v>P207-1.6-XS</v>
      </c>
      <c r="C3092" s="139" t="s">
        <v>22322</v>
      </c>
      <c r="D3092" s="51"/>
      <c r="E3092" s="857">
        <v>514.75</v>
      </c>
    </row>
    <row r="3093" spans="1:5">
      <c r="A3093" s="856">
        <v>40621</v>
      </c>
      <c r="B3093" s="125" t="str">
        <f>TiposLancamentos!B72</f>
        <v>Presentes</v>
      </c>
      <c r="C3093" s="139" t="s">
        <v>22323</v>
      </c>
      <c r="D3093" s="51"/>
      <c r="E3093" s="857">
        <v>135</v>
      </c>
    </row>
    <row r="3094" spans="1:5">
      <c r="A3094" s="856">
        <v>40621</v>
      </c>
      <c r="B3094" s="125" t="str">
        <f>TiposLancamentos!B19</f>
        <v>Restaurantes</v>
      </c>
      <c r="C3094" s="139" t="s">
        <v>22324</v>
      </c>
      <c r="D3094" s="51"/>
      <c r="E3094" s="857">
        <v>127.6</v>
      </c>
    </row>
    <row r="3095" spans="1:5">
      <c r="A3095" s="856">
        <v>40621</v>
      </c>
      <c r="B3095" s="125" t="str">
        <f>TiposLancamentos!B31</f>
        <v>Action Figures</v>
      </c>
      <c r="C3095" s="139" t="s">
        <v>22325</v>
      </c>
      <c r="D3095" s="51"/>
      <c r="E3095" s="857">
        <v>216</v>
      </c>
    </row>
    <row r="3096" spans="1:5">
      <c r="A3096" s="856">
        <v>40622</v>
      </c>
      <c r="B3096" s="125" t="str">
        <f>TiposLancamentos!B5</f>
        <v>Supermercado</v>
      </c>
      <c r="C3096" s="139" t="s">
        <v>6234</v>
      </c>
      <c r="D3096" s="51"/>
      <c r="E3096" s="857">
        <v>48.11</v>
      </c>
    </row>
    <row r="3097" spans="1:5">
      <c r="A3097" s="856">
        <v>40623</v>
      </c>
      <c r="B3097" s="125" t="str">
        <f>TiposLancamentos!B9</f>
        <v>Condominio</v>
      </c>
      <c r="C3097" s="139" t="s">
        <v>22326</v>
      </c>
      <c r="D3097" s="51"/>
      <c r="E3097" s="857">
        <v>136.47999999999999</v>
      </c>
    </row>
    <row r="3098" spans="1:5">
      <c r="A3098" s="856">
        <v>40626</v>
      </c>
      <c r="B3098" s="125" t="str">
        <f>TiposLancamentos!B56</f>
        <v>Farmácia</v>
      </c>
      <c r="C3098" s="139" t="s">
        <v>3420</v>
      </c>
      <c r="D3098" s="51"/>
      <c r="E3098" s="857">
        <v>57.28</v>
      </c>
    </row>
    <row r="3099" spans="1:5">
      <c r="A3099" s="856">
        <v>40626</v>
      </c>
      <c r="B3099" s="125" t="str">
        <f>TiposLancamentos!B16</f>
        <v>Cristiane</v>
      </c>
      <c r="C3099" s="139" t="s">
        <v>22327</v>
      </c>
      <c r="D3099" s="51"/>
      <c r="E3099" s="857">
        <v>167</v>
      </c>
    </row>
    <row r="3100" spans="1:5">
      <c r="A3100" s="856">
        <v>40627</v>
      </c>
      <c r="B3100" s="125" t="str">
        <f>TiposLancamentos!B16</f>
        <v>Cristiane</v>
      </c>
      <c r="C3100" s="139" t="s">
        <v>22328</v>
      </c>
      <c r="D3100" s="51"/>
      <c r="E3100" s="857">
        <v>35</v>
      </c>
    </row>
    <row r="3101" spans="1:5">
      <c r="A3101" s="856">
        <v>40627</v>
      </c>
      <c r="B3101" s="125" t="str">
        <f>TiposLancamentos!B19</f>
        <v>Restaurantes</v>
      </c>
      <c r="C3101" s="139" t="s">
        <v>22329</v>
      </c>
      <c r="D3101" s="51"/>
      <c r="E3101" s="857">
        <v>32.049999999999997</v>
      </c>
    </row>
    <row r="3102" spans="1:5">
      <c r="A3102" s="856">
        <v>40628</v>
      </c>
      <c r="B3102" s="125" t="str">
        <f>TiposLancamentos!B22</f>
        <v>Combustivel</v>
      </c>
      <c r="C3102" s="139" t="s">
        <v>22330</v>
      </c>
      <c r="D3102" s="51"/>
      <c r="E3102" s="857">
        <v>107</v>
      </c>
    </row>
    <row r="3103" spans="1:5">
      <c r="A3103" s="856">
        <v>40628</v>
      </c>
      <c r="B3103" s="125" t="str">
        <f>TiposLancamentos!B19</f>
        <v>Restaurantes</v>
      </c>
      <c r="C3103" s="139" t="s">
        <v>22292</v>
      </c>
      <c r="D3103" s="51"/>
      <c r="E3103" s="857">
        <v>38.25</v>
      </c>
    </row>
    <row r="3104" spans="1:5">
      <c r="A3104" s="856">
        <v>40628</v>
      </c>
      <c r="B3104" s="125" t="str">
        <f>TiposLancamentos!B20</f>
        <v>Saques</v>
      </c>
      <c r="C3104" s="139" t="s">
        <v>22331</v>
      </c>
      <c r="D3104" s="51"/>
      <c r="E3104" s="857">
        <v>240</v>
      </c>
    </row>
    <row r="3105" spans="1:6">
      <c r="A3105" s="856">
        <v>40629</v>
      </c>
      <c r="B3105" s="125" t="str">
        <f>TiposLancamentos!B19</f>
        <v>Restaurantes</v>
      </c>
      <c r="C3105" s="139" t="s">
        <v>5613</v>
      </c>
      <c r="D3105" s="51"/>
      <c r="E3105" s="857">
        <v>37.92</v>
      </c>
    </row>
    <row r="3106" spans="1:6">
      <c r="A3106" s="856">
        <v>40630</v>
      </c>
      <c r="B3106" s="125" t="str">
        <f>TiposLancamentos!B103</f>
        <v>Juros_Corr. Poupança</v>
      </c>
      <c r="C3106" s="139" t="s">
        <v>22274</v>
      </c>
      <c r="D3106" s="51">
        <v>2.06</v>
      </c>
      <c r="E3106" s="857"/>
    </row>
    <row r="3107" spans="1:6">
      <c r="A3107" s="856">
        <v>40630</v>
      </c>
      <c r="B3107" s="125" t="str">
        <f>TiposLancamentos!B19</f>
        <v>Restaurantes</v>
      </c>
      <c r="C3107" s="139" t="s">
        <v>6122</v>
      </c>
      <c r="D3107" s="51"/>
      <c r="E3107" s="857">
        <v>12.2</v>
      </c>
    </row>
    <row r="3108" spans="1:6">
      <c r="A3108" s="856">
        <v>40631</v>
      </c>
      <c r="B3108" s="125" t="str">
        <f>TiposLancamentos!B19</f>
        <v>Restaurantes</v>
      </c>
      <c r="C3108" s="139" t="s">
        <v>22332</v>
      </c>
      <c r="D3108" s="51"/>
      <c r="E3108" s="857">
        <v>19.8</v>
      </c>
    </row>
    <row r="3109" spans="1:6">
      <c r="A3109" s="856">
        <v>40631</v>
      </c>
      <c r="B3109" s="125" t="str">
        <f>TiposLancamentos!B5</f>
        <v>Supermercado</v>
      </c>
      <c r="C3109" s="139" t="s">
        <v>22333</v>
      </c>
      <c r="D3109" s="51"/>
      <c r="E3109" s="857">
        <v>42.94</v>
      </c>
    </row>
    <row r="3110" spans="1:6">
      <c r="A3110" s="856">
        <v>40630</v>
      </c>
      <c r="B3110" s="125" t="str">
        <f>TiposLancamentos!B95</f>
        <v>Salarios</v>
      </c>
      <c r="C3110" s="126" t="s">
        <v>4939</v>
      </c>
      <c r="D3110" s="51">
        <v>5463.77</v>
      </c>
      <c r="E3110" s="857"/>
    </row>
    <row r="3111" spans="1:6">
      <c r="A3111" s="856">
        <v>40633</v>
      </c>
      <c r="B3111" s="125" t="str">
        <f>TiposLancamentos!B100</f>
        <v>Emprestimos</v>
      </c>
      <c r="C3111" s="139" t="s">
        <v>22334</v>
      </c>
      <c r="D3111" s="51"/>
      <c r="E3111" s="857">
        <v>2000</v>
      </c>
    </row>
    <row r="3112" spans="1:6" ht="14.25" thickBot="1">
      <c r="A3112" s="856">
        <v>40633</v>
      </c>
      <c r="B3112" s="125" t="str">
        <f>TiposLancamentos!B74</f>
        <v>Noite</v>
      </c>
      <c r="C3112" s="139" t="s">
        <v>22335</v>
      </c>
      <c r="D3112" s="51"/>
      <c r="E3112" s="857">
        <v>29</v>
      </c>
    </row>
    <row r="3113" spans="1:6" ht="14.25" thickBot="1">
      <c r="A3113" s="998"/>
      <c r="B3113" s="989"/>
      <c r="C3113" s="990" t="s">
        <v>13503</v>
      </c>
      <c r="D3113" s="991"/>
      <c r="E3113" s="999"/>
    </row>
    <row r="3114" spans="1:6">
      <c r="A3114" s="856">
        <v>40634</v>
      </c>
      <c r="B3114" s="125" t="str">
        <f>TiposLancamentos!B15</f>
        <v>Cartões de Crédito</v>
      </c>
      <c r="C3114" s="139" t="s">
        <v>5557</v>
      </c>
      <c r="D3114" s="51"/>
      <c r="E3114" s="857">
        <v>1799.96</v>
      </c>
    </row>
    <row r="3115" spans="1:6">
      <c r="A3115" s="856">
        <v>40634</v>
      </c>
      <c r="B3115" s="125" t="str">
        <f>TiposLancamentos!B6</f>
        <v>Energia Eletrica</v>
      </c>
      <c r="C3115" s="139" t="s">
        <v>5191</v>
      </c>
      <c r="D3115" s="51"/>
      <c r="E3115" s="857">
        <v>133.33000000000001</v>
      </c>
    </row>
    <row r="3116" spans="1:6">
      <c r="A3116" s="806">
        <v>40634</v>
      </c>
      <c r="B3116" s="807" t="str">
        <f>TiposLancamentos!B35</f>
        <v>Tv à Cabo</v>
      </c>
      <c r="C3116" s="808" t="s">
        <v>5834</v>
      </c>
      <c r="D3116" s="809"/>
      <c r="E3116" s="859">
        <f>134+5.9</f>
        <v>139.9</v>
      </c>
    </row>
    <row r="3117" spans="1:6">
      <c r="A3117" s="773">
        <v>40634</v>
      </c>
      <c r="B3117" s="152" t="str">
        <f>TiposLancamentos!B3</f>
        <v>Internet</v>
      </c>
      <c r="C3117" s="141" t="s">
        <v>5835</v>
      </c>
      <c r="D3117" s="127"/>
      <c r="E3117" s="861">
        <v>65.900000000000006</v>
      </c>
    </row>
    <row r="3118" spans="1:6">
      <c r="A3118" s="810">
        <v>40634</v>
      </c>
      <c r="B3118" s="811" t="str">
        <f>TiposLancamentos!B2</f>
        <v>Telefonia</v>
      </c>
      <c r="C3118" s="812" t="s">
        <v>21733</v>
      </c>
      <c r="D3118" s="813"/>
      <c r="E3118" s="863">
        <v>37.9</v>
      </c>
      <c r="F3118" s="36">
        <f>SUM(E3116:E3118)</f>
        <v>243.70000000000002</v>
      </c>
    </row>
    <row r="3119" spans="1:6">
      <c r="A3119" s="856">
        <v>40634</v>
      </c>
      <c r="B3119" s="125" t="str">
        <f>TiposLancamentos!B34</f>
        <v>Seguros</v>
      </c>
      <c r="C3119" s="139" t="s">
        <v>22336</v>
      </c>
      <c r="D3119" s="51"/>
      <c r="E3119" s="857">
        <v>69</v>
      </c>
    </row>
    <row r="3120" spans="1:6">
      <c r="A3120" s="961">
        <v>40634</v>
      </c>
      <c r="B3120" s="817" t="str">
        <f>TiposLancamentos!B8</f>
        <v>Aluguel</v>
      </c>
      <c r="C3120" s="962" t="s">
        <v>2542</v>
      </c>
      <c r="D3120" s="809"/>
      <c r="E3120" s="965">
        <f>F3121-E3121</f>
        <v>1195.5500000000002</v>
      </c>
    </row>
    <row r="3121" spans="1:6">
      <c r="A3121" s="963">
        <v>40634</v>
      </c>
      <c r="B3121" s="818" t="str">
        <f>TiposLancamentos!B12</f>
        <v>IPTU</v>
      </c>
      <c r="C3121" s="964" t="s">
        <v>13368</v>
      </c>
      <c r="D3121" s="813"/>
      <c r="E3121" s="966">
        <v>93.11</v>
      </c>
      <c r="F3121" s="36">
        <v>1288.6600000000001</v>
      </c>
    </row>
    <row r="3122" spans="1:6">
      <c r="A3122" s="856">
        <v>40634</v>
      </c>
      <c r="B3122" s="125" t="str">
        <f>TiposLancamentos!B52</f>
        <v>Multas</v>
      </c>
      <c r="C3122" s="139" t="s">
        <v>22337</v>
      </c>
      <c r="D3122" s="51"/>
      <c r="E3122" s="857">
        <v>153.22</v>
      </c>
    </row>
    <row r="3123" spans="1:6">
      <c r="A3123" s="856">
        <v>40634</v>
      </c>
      <c r="B3123" s="125" t="str">
        <f>TiposLancamentos!B87</f>
        <v>P207-1.6-XS</v>
      </c>
      <c r="C3123" s="139" t="s">
        <v>13504</v>
      </c>
      <c r="D3123" s="51"/>
      <c r="E3123" s="857">
        <v>730.95</v>
      </c>
    </row>
    <row r="3124" spans="1:6">
      <c r="A3124" s="856">
        <v>40634</v>
      </c>
      <c r="B3124" s="125" t="str">
        <f>TiposLancamentos!B87</f>
        <v>P207-1.6-XS</v>
      </c>
      <c r="C3124" s="139" t="s">
        <v>13505</v>
      </c>
      <c r="D3124" s="51"/>
      <c r="E3124" s="857">
        <v>476.55</v>
      </c>
    </row>
    <row r="3125" spans="1:6">
      <c r="A3125" s="856">
        <v>40634</v>
      </c>
      <c r="B3125" s="125" t="str">
        <f>TiposLancamentos!B19</f>
        <v>Restaurantes</v>
      </c>
      <c r="C3125" s="139" t="s">
        <v>22338</v>
      </c>
      <c r="D3125" s="51"/>
      <c r="E3125" s="857">
        <v>17.100000000000001</v>
      </c>
    </row>
    <row r="3126" spans="1:6">
      <c r="A3126" s="856">
        <v>40635</v>
      </c>
      <c r="B3126" s="125" t="str">
        <f>TiposLancamentos!B13</f>
        <v>Moradia</v>
      </c>
      <c r="C3126" s="139" t="s">
        <v>22339</v>
      </c>
      <c r="D3126" s="51"/>
      <c r="E3126" s="857">
        <v>41.92</v>
      </c>
    </row>
    <row r="3127" spans="1:6">
      <c r="A3127" s="856">
        <v>40635</v>
      </c>
      <c r="B3127" s="125" t="str">
        <f>TiposLancamentos!B19</f>
        <v>Restaurantes</v>
      </c>
      <c r="C3127" s="139" t="s">
        <v>22340</v>
      </c>
      <c r="D3127" s="51"/>
      <c r="E3127" s="857">
        <v>14.8</v>
      </c>
    </row>
    <row r="3128" spans="1:6">
      <c r="A3128" s="856">
        <v>40638</v>
      </c>
      <c r="B3128" s="125" t="str">
        <f>TiposLancamentos!B56</f>
        <v>Farmácia</v>
      </c>
      <c r="C3128" s="139" t="s">
        <v>22341</v>
      </c>
      <c r="D3128" s="51"/>
      <c r="E3128" s="857">
        <v>132.19999999999999</v>
      </c>
    </row>
    <row r="3129" spans="1:6">
      <c r="A3129" s="856">
        <v>40638</v>
      </c>
      <c r="B3129" s="125" t="str">
        <f>TiposLancamentos!B56</f>
        <v>Farmácia</v>
      </c>
      <c r="C3129" s="139" t="s">
        <v>22342</v>
      </c>
      <c r="D3129" s="51"/>
      <c r="E3129" s="857">
        <v>59.86</v>
      </c>
    </row>
    <row r="3130" spans="1:6">
      <c r="A3130" s="856">
        <v>40638</v>
      </c>
      <c r="B3130" s="125" t="str">
        <f>B3059</f>
        <v>Condominio</v>
      </c>
      <c r="C3130" s="139" t="s">
        <v>5925</v>
      </c>
      <c r="D3130" s="51"/>
      <c r="E3130" s="857">
        <v>764.6</v>
      </c>
    </row>
    <row r="3131" spans="1:6">
      <c r="A3131" s="856">
        <v>40638</v>
      </c>
      <c r="B3131" s="125" t="str">
        <f>TiposLancamentos!B100</f>
        <v>Emprestimos</v>
      </c>
      <c r="C3131" s="139" t="s">
        <v>22343</v>
      </c>
      <c r="D3131" s="51">
        <v>15</v>
      </c>
      <c r="E3131" s="857"/>
    </row>
    <row r="3132" spans="1:6">
      <c r="A3132" s="856">
        <v>40639</v>
      </c>
      <c r="B3132" s="125" t="str">
        <f>TiposLancamentos!B25</f>
        <v>CD_DVD_BD</v>
      </c>
      <c r="C3132" s="139" t="s">
        <v>22344</v>
      </c>
      <c r="D3132" s="51"/>
      <c r="E3132" s="857">
        <v>24.9</v>
      </c>
    </row>
    <row r="3133" spans="1:6">
      <c r="A3133" s="856">
        <v>40639</v>
      </c>
      <c r="B3133" s="125" t="str">
        <f>TiposLancamentos!B19</f>
        <v>Restaurantes</v>
      </c>
      <c r="C3133" s="139" t="s">
        <v>22345</v>
      </c>
      <c r="D3133" s="51"/>
      <c r="E3133" s="857">
        <v>9.4</v>
      </c>
    </row>
    <row r="3134" spans="1:6">
      <c r="A3134" s="856">
        <v>40641</v>
      </c>
      <c r="B3134" s="125" t="str">
        <f>TiposLancamentos!B19</f>
        <v>Restaurantes</v>
      </c>
      <c r="C3134" s="139" t="s">
        <v>22346</v>
      </c>
      <c r="D3134" s="51"/>
      <c r="E3134" s="857">
        <v>22.3</v>
      </c>
    </row>
    <row r="3135" spans="1:6">
      <c r="A3135" s="856">
        <v>40641</v>
      </c>
      <c r="B3135" s="125" t="str">
        <f>TiposLancamentos!B16</f>
        <v>Cristiane</v>
      </c>
      <c r="C3135" s="139" t="s">
        <v>22347</v>
      </c>
      <c r="D3135" s="51"/>
      <c r="E3135" s="857">
        <v>25.18</v>
      </c>
    </row>
    <row r="3136" spans="1:6">
      <c r="A3136" s="856">
        <v>40641</v>
      </c>
      <c r="B3136" s="125" t="str">
        <f>TiposLancamentos!B71</f>
        <v>Itens Pessoais</v>
      </c>
      <c r="C3136" s="139" t="s">
        <v>5611</v>
      </c>
      <c r="D3136" s="51"/>
      <c r="E3136" s="857">
        <v>20</v>
      </c>
    </row>
    <row r="3137" spans="1:5">
      <c r="A3137" s="856">
        <v>40642</v>
      </c>
      <c r="B3137" s="125" t="str">
        <f>TiposLancamentos!B5</f>
        <v>Supermercado</v>
      </c>
      <c r="C3137" s="139" t="s">
        <v>12191</v>
      </c>
      <c r="D3137" s="51"/>
      <c r="E3137" s="857">
        <v>163.66999999999999</v>
      </c>
    </row>
    <row r="3138" spans="1:5">
      <c r="A3138" s="856">
        <v>40642</v>
      </c>
      <c r="B3138" s="125" t="str">
        <f>TiposLancamentos!B22</f>
        <v>Combustivel</v>
      </c>
      <c r="C3138" s="139" t="s">
        <v>5961</v>
      </c>
      <c r="D3138" s="51"/>
      <c r="E3138" s="857">
        <v>109.02</v>
      </c>
    </row>
    <row r="3139" spans="1:5">
      <c r="A3139" s="856">
        <v>40644</v>
      </c>
      <c r="B3139" s="125" t="str">
        <f>TiposLancamentos!B103</f>
        <v>Juros_Corr. Poupança</v>
      </c>
      <c r="C3139" s="139" t="s">
        <v>22348</v>
      </c>
      <c r="D3139" s="51">
        <v>7.36</v>
      </c>
      <c r="E3139" s="857"/>
    </row>
    <row r="3140" spans="1:5">
      <c r="A3140" s="856">
        <v>40645</v>
      </c>
      <c r="B3140" s="125" t="str">
        <f>TiposLancamentos!B16</f>
        <v>Cristiane</v>
      </c>
      <c r="C3140" s="139" t="s">
        <v>22349</v>
      </c>
      <c r="D3140" s="51"/>
      <c r="E3140" s="857">
        <v>48.76</v>
      </c>
    </row>
    <row r="3141" spans="1:5">
      <c r="A3141" s="856">
        <v>40646</v>
      </c>
      <c r="B3141" s="125" t="str">
        <f>TiposLancamentos!B19</f>
        <v>Restaurantes</v>
      </c>
      <c r="C3141" s="139" t="s">
        <v>22350</v>
      </c>
      <c r="D3141" s="51"/>
      <c r="E3141" s="857">
        <v>26.38</v>
      </c>
    </row>
    <row r="3142" spans="1:5">
      <c r="A3142" s="856">
        <v>40646</v>
      </c>
      <c r="B3142" s="125" t="str">
        <f>TiposLancamentos!B16</f>
        <v>Cristiane</v>
      </c>
      <c r="C3142" s="139" t="s">
        <v>22351</v>
      </c>
      <c r="D3142" s="51"/>
      <c r="E3142" s="857">
        <v>188.32</v>
      </c>
    </row>
    <row r="3143" spans="1:5">
      <c r="A3143" s="856">
        <v>40646</v>
      </c>
      <c r="B3143" s="125" t="str">
        <f>TiposLancamentos!B16</f>
        <v>Cristiane</v>
      </c>
      <c r="C3143" s="139" t="s">
        <v>22352</v>
      </c>
      <c r="D3143" s="51"/>
      <c r="E3143" s="857">
        <v>334</v>
      </c>
    </row>
    <row r="3144" spans="1:5">
      <c r="A3144" s="856">
        <v>40648</v>
      </c>
      <c r="B3144" s="125" t="str">
        <f>TiposLancamentos!B95</f>
        <v>Salarios</v>
      </c>
      <c r="C3144" s="126" t="s">
        <v>4939</v>
      </c>
      <c r="D3144" s="51">
        <v>1990.45</v>
      </c>
      <c r="E3144" s="857"/>
    </row>
    <row r="3145" spans="1:5">
      <c r="A3145" s="856">
        <v>40648</v>
      </c>
      <c r="B3145" s="125" t="str">
        <f>TiposLancamentos!B103</f>
        <v>Juros_Corr. Poupança</v>
      </c>
      <c r="C3145" s="139" t="s">
        <v>22353</v>
      </c>
      <c r="D3145" s="51">
        <v>1.64</v>
      </c>
      <c r="E3145" s="857"/>
    </row>
    <row r="3146" spans="1:5">
      <c r="A3146" s="856">
        <v>40648</v>
      </c>
      <c r="B3146" s="125" t="str">
        <f>TiposLancamentos!B87</f>
        <v>P207-1.6-XS</v>
      </c>
      <c r="C3146" s="139" t="s">
        <v>13506</v>
      </c>
      <c r="D3146" s="51"/>
      <c r="E3146" s="857">
        <v>487.04</v>
      </c>
    </row>
    <row r="3147" spans="1:5">
      <c r="A3147" s="856">
        <v>40648</v>
      </c>
      <c r="B3147" s="125" t="str">
        <f>TiposLancamentos!B15</f>
        <v>Cartões de Crédito</v>
      </c>
      <c r="C3147" s="139" t="s">
        <v>22354</v>
      </c>
      <c r="D3147" s="51"/>
      <c r="E3147" s="857">
        <v>147.58000000000001</v>
      </c>
    </row>
    <row r="3148" spans="1:5">
      <c r="A3148" s="856">
        <v>40648</v>
      </c>
      <c r="B3148" s="125" t="str">
        <f>TiposLancamentos!B17</f>
        <v>GATO</v>
      </c>
      <c r="C3148" s="139" t="s">
        <v>5125</v>
      </c>
      <c r="D3148" s="51"/>
      <c r="E3148" s="857">
        <v>22.4</v>
      </c>
    </row>
    <row r="3149" spans="1:5">
      <c r="A3149" s="856">
        <v>40648</v>
      </c>
      <c r="B3149" s="125" t="str">
        <f>TiposLancamentos!B24</f>
        <v>Estacionamentos</v>
      </c>
      <c r="C3149" s="139" t="s">
        <v>5392</v>
      </c>
      <c r="D3149" s="51"/>
      <c r="E3149" s="857">
        <v>42.84</v>
      </c>
    </row>
    <row r="3150" spans="1:5">
      <c r="A3150" s="856">
        <v>40651</v>
      </c>
      <c r="B3150" s="125" t="str">
        <f>TiposLancamentos!B20</f>
        <v>Saques</v>
      </c>
      <c r="C3150" s="139" t="s">
        <v>22355</v>
      </c>
      <c r="D3150" s="51"/>
      <c r="E3150" s="857">
        <v>20</v>
      </c>
    </row>
    <row r="3151" spans="1:5">
      <c r="A3151" s="856">
        <v>40654</v>
      </c>
      <c r="B3151" s="125" t="str">
        <f>TiposLancamentos!B19</f>
        <v>Restaurantes</v>
      </c>
      <c r="C3151" s="139" t="s">
        <v>3618</v>
      </c>
      <c r="D3151" s="51"/>
      <c r="E3151" s="857">
        <v>14.5</v>
      </c>
    </row>
    <row r="3152" spans="1:5">
      <c r="A3152" s="856">
        <v>40655</v>
      </c>
      <c r="B3152" s="125" t="str">
        <f>TiposLancamentos!B19</f>
        <v>Restaurantes</v>
      </c>
      <c r="C3152" s="139" t="s">
        <v>22263</v>
      </c>
      <c r="D3152" s="51"/>
      <c r="E3152" s="857">
        <v>25.6</v>
      </c>
    </row>
    <row r="3153" spans="1:5">
      <c r="A3153" s="856">
        <v>40655</v>
      </c>
      <c r="B3153" s="125" t="str">
        <f>TiposLancamentos!B19</f>
        <v>Restaurantes</v>
      </c>
      <c r="C3153" s="139" t="s">
        <v>5613</v>
      </c>
      <c r="D3153" s="51"/>
      <c r="E3153" s="857">
        <v>25.13</v>
      </c>
    </row>
    <row r="3154" spans="1:5">
      <c r="A3154" s="856">
        <v>40656</v>
      </c>
      <c r="B3154" s="125" t="str">
        <f>TiposLancamentos!B20</f>
        <v>Saques</v>
      </c>
      <c r="C3154" s="139" t="s">
        <v>22356</v>
      </c>
      <c r="D3154" s="51"/>
      <c r="E3154" s="857">
        <v>40</v>
      </c>
    </row>
    <row r="3155" spans="1:5">
      <c r="A3155" s="856">
        <v>40656</v>
      </c>
      <c r="B3155" s="125" t="str">
        <f>TiposLancamentos!B19</f>
        <v>Restaurantes</v>
      </c>
      <c r="C3155" s="139" t="s">
        <v>22357</v>
      </c>
      <c r="D3155" s="51"/>
      <c r="E3155" s="857">
        <v>21.62</v>
      </c>
    </row>
    <row r="3156" spans="1:5">
      <c r="A3156" s="856">
        <v>40656</v>
      </c>
      <c r="B3156" s="125" t="str">
        <f>TiposLancamentos!B57</f>
        <v>Informática</v>
      </c>
      <c r="C3156" s="139" t="s">
        <v>22358</v>
      </c>
      <c r="D3156" s="51"/>
      <c r="E3156" s="857">
        <v>39.9</v>
      </c>
    </row>
    <row r="3157" spans="1:5">
      <c r="A3157" s="856">
        <v>40656</v>
      </c>
      <c r="B3157" s="125" t="str">
        <f>TiposLancamentos!B5</f>
        <v>Supermercado</v>
      </c>
      <c r="C3157" s="139" t="s">
        <v>6234</v>
      </c>
      <c r="D3157" s="51"/>
      <c r="E3157" s="857">
        <v>27.18</v>
      </c>
    </row>
    <row r="3158" spans="1:5">
      <c r="A3158" s="856">
        <v>40657</v>
      </c>
      <c r="B3158" s="125" t="str">
        <f>TiposLancamentos!B19</f>
        <v>Restaurantes</v>
      </c>
      <c r="C3158" s="139" t="s">
        <v>17244</v>
      </c>
      <c r="D3158" s="51"/>
      <c r="E3158" s="857">
        <v>24.2</v>
      </c>
    </row>
    <row r="3159" spans="1:5">
      <c r="A3159" s="856">
        <v>40658</v>
      </c>
      <c r="B3159" s="125" t="str">
        <f>TiposLancamentos!B19</f>
        <v>Restaurantes</v>
      </c>
      <c r="C3159" s="139" t="s">
        <v>6122</v>
      </c>
      <c r="D3159" s="51"/>
      <c r="E3159" s="857">
        <v>11.83</v>
      </c>
    </row>
    <row r="3160" spans="1:5">
      <c r="A3160" s="856">
        <v>40658</v>
      </c>
      <c r="B3160" s="125" t="str">
        <f>TiposLancamentos!B13</f>
        <v>Moradia</v>
      </c>
      <c r="C3160" s="139" t="s">
        <v>22359</v>
      </c>
      <c r="D3160" s="51"/>
      <c r="E3160" s="857">
        <v>109.9</v>
      </c>
    </row>
    <row r="3161" spans="1:5">
      <c r="A3161" s="856">
        <v>40658</v>
      </c>
      <c r="B3161" s="125" t="str">
        <f>TiposLancamentos!B19</f>
        <v>Restaurantes</v>
      </c>
      <c r="C3161" s="139" t="s">
        <v>22360</v>
      </c>
      <c r="D3161" s="51"/>
      <c r="E3161" s="857">
        <v>18.45</v>
      </c>
    </row>
    <row r="3162" spans="1:5">
      <c r="A3162" s="856">
        <v>40658</v>
      </c>
      <c r="B3162" s="125" t="str">
        <f>TiposLancamentos!B20</f>
        <v>Saques</v>
      </c>
      <c r="C3162" s="139" t="s">
        <v>22356</v>
      </c>
      <c r="D3162" s="51"/>
      <c r="E3162" s="857">
        <v>70</v>
      </c>
    </row>
    <row r="3163" spans="1:5">
      <c r="A3163" s="856">
        <v>40659</v>
      </c>
      <c r="B3163" s="125" t="str">
        <f>TiposLancamentos!B19</f>
        <v>Restaurantes</v>
      </c>
      <c r="C3163" s="139" t="s">
        <v>22361</v>
      </c>
      <c r="D3163" s="51"/>
      <c r="E3163" s="857">
        <v>20.8</v>
      </c>
    </row>
    <row r="3164" spans="1:5">
      <c r="A3164" s="856">
        <v>40659</v>
      </c>
      <c r="B3164" s="125" t="str">
        <f>TiposLancamentos!B19</f>
        <v>Restaurantes</v>
      </c>
      <c r="C3164" s="139" t="s">
        <v>21954</v>
      </c>
      <c r="D3164" s="51"/>
      <c r="E3164" s="857">
        <v>3.5</v>
      </c>
    </row>
    <row r="3165" spans="1:5">
      <c r="A3165" s="856">
        <v>40660</v>
      </c>
      <c r="B3165" s="125" t="str">
        <f>TiposLancamentos!B19</f>
        <v>Restaurantes</v>
      </c>
      <c r="C3165" s="139" t="s">
        <v>22362</v>
      </c>
      <c r="D3165" s="51"/>
      <c r="E3165" s="857">
        <v>16.100000000000001</v>
      </c>
    </row>
    <row r="3166" spans="1:5">
      <c r="A3166" s="856">
        <v>40660</v>
      </c>
      <c r="B3166" s="125" t="str">
        <f>TiposLancamentos!B19</f>
        <v>Restaurantes</v>
      </c>
      <c r="C3166" s="139" t="s">
        <v>5613</v>
      </c>
      <c r="D3166" s="51"/>
      <c r="E3166" s="857">
        <v>18.600000000000001</v>
      </c>
    </row>
    <row r="3167" spans="1:5">
      <c r="A3167" s="856">
        <v>40662</v>
      </c>
      <c r="B3167" s="125" t="str">
        <f>TiposLancamentos!B95</f>
        <v>Salarios</v>
      </c>
      <c r="C3167" s="126" t="s">
        <v>4939</v>
      </c>
      <c r="D3167" s="51">
        <v>5427.64</v>
      </c>
      <c r="E3167" s="857"/>
    </row>
    <row r="3168" spans="1:5">
      <c r="A3168" s="856">
        <v>40662</v>
      </c>
      <c r="B3168" s="125" t="str">
        <f>TiposLancamentos!B43</f>
        <v>Imposto de Renda</v>
      </c>
      <c r="C3168" s="139" t="s">
        <v>22363</v>
      </c>
      <c r="D3168" s="51"/>
      <c r="E3168" s="857">
        <v>291.33</v>
      </c>
    </row>
    <row r="3169" spans="1:6">
      <c r="A3169" s="856">
        <v>40662</v>
      </c>
      <c r="B3169" s="125" t="str">
        <f>TiposLancamentos!B22</f>
        <v>Combustivel</v>
      </c>
      <c r="C3169" s="139" t="s">
        <v>22330</v>
      </c>
      <c r="D3169" s="51"/>
      <c r="E3169" s="857">
        <v>117.02</v>
      </c>
    </row>
    <row r="3170" spans="1:6">
      <c r="A3170" s="856">
        <v>40662</v>
      </c>
      <c r="B3170" s="125" t="str">
        <f>TiposLancamentos!B98</f>
        <v>Restituições</v>
      </c>
      <c r="C3170" s="139" t="s">
        <v>5820</v>
      </c>
      <c r="D3170" s="51">
        <v>224.46</v>
      </c>
      <c r="E3170" s="857"/>
    </row>
    <row r="3171" spans="1:6">
      <c r="A3171" s="856">
        <v>40663</v>
      </c>
      <c r="B3171" s="125" t="str">
        <f>TiposLancamentos!B19</f>
        <v>Restaurantes</v>
      </c>
      <c r="C3171" s="139" t="s">
        <v>22292</v>
      </c>
      <c r="D3171" s="51"/>
      <c r="E3171" s="857">
        <v>15.7</v>
      </c>
    </row>
    <row r="3172" spans="1:6">
      <c r="A3172" s="856">
        <v>40663</v>
      </c>
      <c r="B3172" s="125" t="str">
        <f>TiposLancamentos!B19</f>
        <v>Restaurantes</v>
      </c>
      <c r="C3172" s="139" t="s">
        <v>22247</v>
      </c>
      <c r="D3172" s="51"/>
      <c r="E3172" s="857">
        <v>51.65</v>
      </c>
    </row>
    <row r="3173" spans="1:6">
      <c r="A3173" s="856">
        <v>40663</v>
      </c>
      <c r="B3173" s="125" t="str">
        <f>TiposLancamentos!B71</f>
        <v>Itens Pessoais</v>
      </c>
      <c r="C3173" s="139" t="s">
        <v>22364</v>
      </c>
      <c r="D3173" s="51"/>
      <c r="E3173" s="857">
        <v>15</v>
      </c>
    </row>
    <row r="3174" spans="1:6">
      <c r="A3174" s="856">
        <v>40663</v>
      </c>
      <c r="B3174" s="125" t="str">
        <f>TiposLancamentos!B13</f>
        <v>Moradia</v>
      </c>
      <c r="C3174" s="139" t="s">
        <v>22365</v>
      </c>
      <c r="D3174" s="51"/>
      <c r="E3174" s="857">
        <v>58.8</v>
      </c>
    </row>
    <row r="3175" spans="1:6">
      <c r="A3175" s="856">
        <v>40663</v>
      </c>
      <c r="B3175" s="125" t="str">
        <f>TiposLancamentos!B20</f>
        <v>Saques</v>
      </c>
      <c r="C3175" s="139" t="s">
        <v>2668</v>
      </c>
      <c r="D3175" s="51"/>
      <c r="E3175" s="857">
        <v>40</v>
      </c>
    </row>
    <row r="3176" spans="1:6" ht="14.25" thickBot="1">
      <c r="A3176" s="856">
        <v>40663</v>
      </c>
      <c r="B3176" s="125" t="str">
        <f>TiposLancamentos!B19</f>
        <v>Restaurantes</v>
      </c>
      <c r="C3176" s="139" t="s">
        <v>22366</v>
      </c>
      <c r="D3176" s="51"/>
      <c r="E3176" s="857">
        <v>17.399999999999999</v>
      </c>
    </row>
    <row r="3177" spans="1:6" ht="14.25" thickBot="1">
      <c r="A3177" s="998"/>
      <c r="B3177" s="989"/>
      <c r="C3177" s="990" t="s">
        <v>13509</v>
      </c>
      <c r="D3177" s="991"/>
      <c r="E3177" s="999"/>
    </row>
    <row r="3178" spans="1:6">
      <c r="A3178" s="856">
        <v>40665</v>
      </c>
      <c r="B3178" s="125" t="str">
        <f>TiposLancamentos!B15</f>
        <v>Cartões de Crédito</v>
      </c>
      <c r="C3178" s="139" t="s">
        <v>5557</v>
      </c>
      <c r="D3178" s="51"/>
      <c r="E3178" s="857">
        <v>1392.36</v>
      </c>
    </row>
    <row r="3179" spans="1:6">
      <c r="A3179" s="856">
        <v>40665</v>
      </c>
      <c r="B3179" s="125" t="str">
        <f>TiposLancamentos!B6</f>
        <v>Energia Eletrica</v>
      </c>
      <c r="C3179" s="139" t="s">
        <v>5191</v>
      </c>
      <c r="D3179" s="51"/>
      <c r="E3179" s="857">
        <v>142.54</v>
      </c>
    </row>
    <row r="3180" spans="1:6">
      <c r="A3180" s="856">
        <v>40665</v>
      </c>
      <c r="B3180" s="125" t="str">
        <f>TiposLancamentos!B9</f>
        <v>Condominio</v>
      </c>
      <c r="C3180" s="139" t="s">
        <v>22367</v>
      </c>
      <c r="D3180" s="51"/>
      <c r="E3180" s="857">
        <v>780.56</v>
      </c>
    </row>
    <row r="3181" spans="1:6">
      <c r="A3181" s="961">
        <v>40665</v>
      </c>
      <c r="B3181" s="817" t="str">
        <f>TiposLancamentos!B8</f>
        <v>Aluguel</v>
      </c>
      <c r="C3181" s="962" t="s">
        <v>22368</v>
      </c>
      <c r="D3181" s="809"/>
      <c r="E3181" s="965">
        <f>F3182-E3182</f>
        <v>1074.48</v>
      </c>
    </row>
    <row r="3182" spans="1:6">
      <c r="A3182" s="963">
        <v>40665</v>
      </c>
      <c r="B3182" s="818" t="str">
        <f>TiposLancamentos!B12</f>
        <v>IPTU</v>
      </c>
      <c r="C3182" s="964" t="s">
        <v>13380</v>
      </c>
      <c r="D3182" s="813"/>
      <c r="E3182" s="966">
        <v>93.11</v>
      </c>
      <c r="F3182" s="36">
        <v>1167.5899999999999</v>
      </c>
    </row>
    <row r="3183" spans="1:6">
      <c r="A3183" s="806">
        <v>40665</v>
      </c>
      <c r="B3183" s="807" t="str">
        <f>TiposLancamentos!B35</f>
        <v>Tv à Cabo</v>
      </c>
      <c r="C3183" s="808" t="s">
        <v>5834</v>
      </c>
      <c r="D3183" s="809"/>
      <c r="E3183" s="859">
        <v>134</v>
      </c>
    </row>
    <row r="3184" spans="1:6">
      <c r="A3184" s="773">
        <v>40665</v>
      </c>
      <c r="B3184" s="152" t="str">
        <f>TiposLancamentos!B3</f>
        <v>Internet</v>
      </c>
      <c r="C3184" s="141" t="s">
        <v>5835</v>
      </c>
      <c r="D3184" s="127"/>
      <c r="E3184" s="861">
        <v>65.900000000000006</v>
      </c>
    </row>
    <row r="3185" spans="1:6">
      <c r="A3185" s="810">
        <v>40665</v>
      </c>
      <c r="B3185" s="811" t="str">
        <f>TiposLancamentos!B2</f>
        <v>Telefonia</v>
      </c>
      <c r="C3185" s="812" t="s">
        <v>5836</v>
      </c>
      <c r="D3185" s="813"/>
      <c r="E3185" s="863">
        <v>37.9</v>
      </c>
      <c r="F3185" s="36">
        <f>SUM(E3183:E3185)</f>
        <v>237.8</v>
      </c>
    </row>
    <row r="3186" spans="1:6">
      <c r="A3186" s="856">
        <v>40665</v>
      </c>
      <c r="B3186" s="125" t="str">
        <f>TiposLancamentos!B87</f>
        <v>P207-1.6-XS</v>
      </c>
      <c r="C3186" s="139" t="s">
        <v>13510</v>
      </c>
      <c r="D3186" s="51"/>
      <c r="E3186" s="857">
        <v>731.28</v>
      </c>
    </row>
    <row r="3187" spans="1:6">
      <c r="A3187" s="856">
        <v>40665</v>
      </c>
      <c r="B3187" s="125" t="str">
        <f>TiposLancamentos!B87</f>
        <v>P207-1.6-XS</v>
      </c>
      <c r="C3187" s="139" t="s">
        <v>13511</v>
      </c>
      <c r="D3187" s="51"/>
      <c r="E3187" s="857">
        <v>496.17</v>
      </c>
    </row>
    <row r="3188" spans="1:6">
      <c r="A3188" s="856">
        <v>40666</v>
      </c>
      <c r="B3188" s="125" t="str">
        <f>TiposLancamentos!B74</f>
        <v>Noite</v>
      </c>
      <c r="C3188" s="139" t="s">
        <v>22335</v>
      </c>
      <c r="D3188" s="51"/>
      <c r="E3188" s="857">
        <v>25</v>
      </c>
    </row>
    <row r="3189" spans="1:6">
      <c r="A3189" s="856">
        <v>40668</v>
      </c>
      <c r="B3189" s="125" t="str">
        <f>TiposLancamentos!B5</f>
        <v>Supermercado</v>
      </c>
      <c r="C3189" s="139" t="s">
        <v>5801</v>
      </c>
      <c r="D3189" s="51"/>
      <c r="E3189" s="857">
        <v>20.94</v>
      </c>
    </row>
    <row r="3190" spans="1:6">
      <c r="A3190" s="856">
        <v>40668</v>
      </c>
      <c r="B3190" s="125" t="str">
        <f>TiposLancamentos!B16</f>
        <v>Cristiane</v>
      </c>
      <c r="C3190" s="139" t="s">
        <v>22026</v>
      </c>
      <c r="D3190" s="51"/>
      <c r="E3190" s="857">
        <v>54.55</v>
      </c>
    </row>
    <row r="3191" spans="1:6">
      <c r="A3191" s="856">
        <v>40668</v>
      </c>
      <c r="B3191" s="125" t="str">
        <f>TiposLancamentos!B5</f>
        <v>Supermercado</v>
      </c>
      <c r="C3191" s="139" t="s">
        <v>5801</v>
      </c>
      <c r="D3191" s="51"/>
      <c r="E3191" s="857">
        <v>35.08</v>
      </c>
    </row>
    <row r="3192" spans="1:6">
      <c r="A3192" s="856">
        <v>40670</v>
      </c>
      <c r="B3192" s="125" t="str">
        <f>TiposLancamentos!B57</f>
        <v>Informática</v>
      </c>
      <c r="C3192" s="139" t="s">
        <v>22369</v>
      </c>
      <c r="D3192" s="51"/>
      <c r="E3192" s="857">
        <v>6.9</v>
      </c>
    </row>
    <row r="3193" spans="1:6">
      <c r="A3193" s="856">
        <v>40670</v>
      </c>
      <c r="B3193" s="125" t="str">
        <f>TiposLancamentos!B19</f>
        <v>Restaurantes</v>
      </c>
      <c r="C3193" s="139" t="s">
        <v>4413</v>
      </c>
      <c r="D3193" s="51"/>
      <c r="E3193" s="857">
        <v>14</v>
      </c>
    </row>
    <row r="3194" spans="1:6">
      <c r="A3194" s="856">
        <v>40671</v>
      </c>
      <c r="B3194" s="125" t="str">
        <f>TiposLancamentos!B5</f>
        <v>Supermercado</v>
      </c>
      <c r="C3194" s="139" t="s">
        <v>5930</v>
      </c>
      <c r="D3194" s="51"/>
      <c r="E3194" s="857">
        <v>27.04</v>
      </c>
    </row>
    <row r="3195" spans="1:6">
      <c r="A3195" s="856">
        <v>40671</v>
      </c>
      <c r="B3195" s="125" t="str">
        <f>TiposLancamentos!B5</f>
        <v>Supermercado</v>
      </c>
      <c r="C3195" s="139" t="s">
        <v>22370</v>
      </c>
      <c r="D3195" s="51"/>
      <c r="E3195" s="857">
        <v>37.81</v>
      </c>
    </row>
    <row r="3196" spans="1:6">
      <c r="A3196" s="856">
        <v>40672</v>
      </c>
      <c r="B3196" s="125" t="str">
        <f>TiposLancamentos!B16</f>
        <v>Cristiane</v>
      </c>
      <c r="C3196" s="139" t="s">
        <v>22371</v>
      </c>
      <c r="D3196" s="51"/>
      <c r="E3196" s="857">
        <v>185.8</v>
      </c>
    </row>
    <row r="3197" spans="1:6">
      <c r="A3197" s="856">
        <v>40672</v>
      </c>
      <c r="B3197" s="125" t="str">
        <f>TiposLancamentos!B15</f>
        <v>Cartões de Crédito</v>
      </c>
      <c r="C3197" s="139" t="s">
        <v>2928</v>
      </c>
      <c r="D3197" s="51"/>
      <c r="E3197" s="857">
        <v>62.03</v>
      </c>
    </row>
    <row r="3198" spans="1:6">
      <c r="A3198" s="856">
        <v>40672</v>
      </c>
      <c r="B3198" s="125" t="str">
        <f>TiposLancamentos!B34</f>
        <v>Seguros</v>
      </c>
      <c r="C3198" s="139" t="s">
        <v>22372</v>
      </c>
      <c r="D3198" s="51"/>
      <c r="E3198" s="857">
        <v>69</v>
      </c>
    </row>
    <row r="3199" spans="1:6">
      <c r="A3199" s="856">
        <v>40672</v>
      </c>
      <c r="B3199" s="125" t="str">
        <f>TiposLancamentos!B5</f>
        <v>Supermercado</v>
      </c>
      <c r="C3199" s="139" t="s">
        <v>6673</v>
      </c>
      <c r="D3199" s="51"/>
      <c r="E3199" s="857">
        <v>9.19</v>
      </c>
    </row>
    <row r="3200" spans="1:6">
      <c r="A3200" s="856">
        <v>40672</v>
      </c>
      <c r="B3200" s="125" t="str">
        <f>TiposLancamentos!B103</f>
        <v>Juros_Corr. Poupança</v>
      </c>
      <c r="C3200" s="139" t="s">
        <v>22373</v>
      </c>
      <c r="D3200" s="51">
        <v>1.59</v>
      </c>
      <c r="E3200" s="857"/>
    </row>
    <row r="3201" spans="1:6">
      <c r="A3201" s="856">
        <v>40673</v>
      </c>
      <c r="B3201" s="125" t="str">
        <f>TiposLancamentos!B19</f>
        <v>Restaurantes</v>
      </c>
      <c r="C3201" s="139" t="s">
        <v>22374</v>
      </c>
      <c r="D3201" s="51"/>
      <c r="E3201" s="857">
        <v>7</v>
      </c>
    </row>
    <row r="3202" spans="1:6">
      <c r="A3202" s="856">
        <v>40673</v>
      </c>
      <c r="B3202" s="125" t="str">
        <f>TiposLancamentos!B16</f>
        <v>Cristiane</v>
      </c>
      <c r="C3202" s="139" t="s">
        <v>22375</v>
      </c>
      <c r="D3202" s="51"/>
      <c r="E3202" s="857">
        <v>35</v>
      </c>
    </row>
    <row r="3203" spans="1:6">
      <c r="A3203" s="856">
        <v>40673</v>
      </c>
      <c r="B3203" s="125" t="str">
        <f>TiposLancamentos!B16</f>
        <v>Cristiane</v>
      </c>
      <c r="C3203" s="139" t="s">
        <v>21970</v>
      </c>
      <c r="D3203" s="51"/>
      <c r="E3203" s="857">
        <v>85</v>
      </c>
    </row>
    <row r="3204" spans="1:6">
      <c r="A3204" s="856">
        <v>40675</v>
      </c>
      <c r="B3204" s="125" t="str">
        <f>TiposLancamentos!B19</f>
        <v>Restaurantes</v>
      </c>
      <c r="C3204" s="139" t="s">
        <v>22376</v>
      </c>
      <c r="D3204" s="51"/>
      <c r="E3204" s="857">
        <v>19.510000000000002</v>
      </c>
    </row>
    <row r="3205" spans="1:6">
      <c r="A3205" s="856">
        <v>40675</v>
      </c>
      <c r="B3205" s="125" t="str">
        <f>TiposLancamentos!B20</f>
        <v>Saques</v>
      </c>
      <c r="C3205" s="139" t="s">
        <v>3604</v>
      </c>
      <c r="D3205" s="51"/>
      <c r="E3205" s="857">
        <v>60</v>
      </c>
    </row>
    <row r="3206" spans="1:6">
      <c r="A3206" s="856">
        <v>40675</v>
      </c>
      <c r="B3206" s="125" t="str">
        <f>TiposLancamentos!B22</f>
        <v>Combustivel</v>
      </c>
      <c r="C3206" s="139" t="s">
        <v>22330</v>
      </c>
      <c r="D3206" s="51"/>
      <c r="E3206" s="857">
        <v>124</v>
      </c>
    </row>
    <row r="3207" spans="1:6">
      <c r="A3207" s="856">
        <v>40675</v>
      </c>
      <c r="B3207" s="125" t="str">
        <f>TiposLancamentos!B17</f>
        <v>GATO</v>
      </c>
      <c r="C3207" s="139" t="s">
        <v>22377</v>
      </c>
      <c r="D3207" s="51"/>
      <c r="E3207" s="857">
        <v>19.79</v>
      </c>
    </row>
    <row r="3208" spans="1:6">
      <c r="A3208" s="856">
        <v>40675</v>
      </c>
      <c r="B3208" s="125" t="str">
        <f>TiposLancamentos!B5</f>
        <v>Supermercado</v>
      </c>
      <c r="C3208" s="139" t="s">
        <v>5801</v>
      </c>
      <c r="D3208" s="51"/>
      <c r="E3208" s="857">
        <v>89.56</v>
      </c>
    </row>
    <row r="3209" spans="1:6">
      <c r="A3209" s="856">
        <v>40676</v>
      </c>
      <c r="B3209" s="125" t="str">
        <f>TiposLancamentos!B95</f>
        <v>Salarios</v>
      </c>
      <c r="C3209" s="139" t="s">
        <v>4916</v>
      </c>
      <c r="D3209" s="51">
        <v>1990.45</v>
      </c>
      <c r="E3209" s="857"/>
    </row>
    <row r="3210" spans="1:6">
      <c r="A3210" s="856">
        <v>40676</v>
      </c>
      <c r="B3210" s="125" t="str">
        <f>TiposLancamentos!B87</f>
        <v>P207-1.6-XS</v>
      </c>
      <c r="C3210" s="139" t="s">
        <v>13512</v>
      </c>
      <c r="D3210" s="51"/>
      <c r="E3210" s="857">
        <v>506.24</v>
      </c>
    </row>
    <row r="3211" spans="1:6">
      <c r="A3211" s="856">
        <v>40677</v>
      </c>
      <c r="B3211" s="125" t="str">
        <f>TiposLancamentos!B74</f>
        <v>Noite</v>
      </c>
      <c r="C3211" s="139" t="s">
        <v>22378</v>
      </c>
      <c r="D3211" s="51"/>
      <c r="E3211" s="857">
        <v>72.2</v>
      </c>
    </row>
    <row r="3212" spans="1:6">
      <c r="A3212" s="856">
        <v>40678</v>
      </c>
      <c r="B3212" s="125" t="str">
        <f>TiposLancamentos!B16</f>
        <v>Cristiane</v>
      </c>
      <c r="C3212" s="139" t="s">
        <v>22379</v>
      </c>
      <c r="D3212" s="51"/>
      <c r="E3212" s="857">
        <v>30</v>
      </c>
    </row>
    <row r="3213" spans="1:6">
      <c r="A3213" s="856">
        <v>40678</v>
      </c>
      <c r="B3213" s="125" t="str">
        <f>TiposLancamentos!B57</f>
        <v>Informática</v>
      </c>
      <c r="C3213" s="139" t="s">
        <v>22380</v>
      </c>
      <c r="D3213" s="51"/>
      <c r="E3213" s="857">
        <v>25</v>
      </c>
      <c r="F3213" s="36">
        <f>SUM(E3212:E3213)</f>
        <v>55</v>
      </c>
    </row>
    <row r="3214" spans="1:6">
      <c r="A3214" s="856">
        <v>40678</v>
      </c>
      <c r="B3214" s="125" t="str">
        <f>TiposLancamentos!B5</f>
        <v>Supermercado</v>
      </c>
      <c r="C3214" s="139" t="s">
        <v>6234</v>
      </c>
      <c r="D3214" s="51"/>
      <c r="E3214" s="857">
        <v>44.05</v>
      </c>
      <c r="F3214" s="36"/>
    </row>
    <row r="3215" spans="1:6">
      <c r="A3215" s="856">
        <v>40679</v>
      </c>
      <c r="B3215" s="125" t="str">
        <f>TiposLancamentos!B103</f>
        <v>Juros_Corr. Poupança</v>
      </c>
      <c r="C3215" s="139" t="s">
        <v>22353</v>
      </c>
      <c r="D3215" s="51">
        <v>2.46</v>
      </c>
      <c r="E3215" s="857"/>
    </row>
    <row r="3216" spans="1:6">
      <c r="A3216" s="856">
        <v>40679</v>
      </c>
      <c r="B3216" s="125" t="str">
        <f>TiposLancamentos!B24</f>
        <v>Estacionamentos</v>
      </c>
      <c r="C3216" s="139" t="s">
        <v>5392</v>
      </c>
      <c r="D3216" s="51"/>
      <c r="E3216" s="857">
        <v>60.84</v>
      </c>
    </row>
    <row r="3217" spans="1:6">
      <c r="A3217" s="856">
        <v>40680</v>
      </c>
      <c r="B3217" s="125" t="str">
        <f>TiposLancamentos!B20</f>
        <v>Saques</v>
      </c>
      <c r="C3217" s="139" t="s">
        <v>3403</v>
      </c>
      <c r="D3217" s="51"/>
      <c r="E3217" s="857">
        <v>90</v>
      </c>
    </row>
    <row r="3218" spans="1:6">
      <c r="A3218" s="856">
        <v>40680</v>
      </c>
      <c r="B3218" s="125" t="str">
        <f>TiposLancamentos!B19</f>
        <v>Restaurantes</v>
      </c>
      <c r="C3218" s="139" t="s">
        <v>15823</v>
      </c>
      <c r="D3218" s="51"/>
      <c r="E3218" s="857">
        <v>37.700000000000003</v>
      </c>
    </row>
    <row r="3219" spans="1:6">
      <c r="A3219" s="856">
        <v>40680</v>
      </c>
      <c r="B3219" s="125" t="str">
        <f>TiposLancamentos!B56</f>
        <v>Farmácia</v>
      </c>
      <c r="C3219" s="139" t="s">
        <v>22203</v>
      </c>
      <c r="D3219" s="51"/>
      <c r="E3219" s="857">
        <v>21.92</v>
      </c>
    </row>
    <row r="3220" spans="1:6">
      <c r="A3220" s="856">
        <v>40680</v>
      </c>
      <c r="B3220" s="125" t="str">
        <f>TiposLancamentos!B99</f>
        <v>Venda de algo</v>
      </c>
      <c r="C3220" s="139" t="s">
        <v>22381</v>
      </c>
      <c r="D3220" s="51">
        <v>300</v>
      </c>
      <c r="E3220" s="857"/>
    </row>
    <row r="3221" spans="1:6">
      <c r="A3221" s="856">
        <v>40680</v>
      </c>
      <c r="B3221" s="125" t="str">
        <f>TiposLancamentos!B16</f>
        <v>Cristiane</v>
      </c>
      <c r="C3221" s="139" t="s">
        <v>22382</v>
      </c>
      <c r="D3221" s="51"/>
      <c r="E3221" s="857">
        <v>167</v>
      </c>
    </row>
    <row r="3222" spans="1:6">
      <c r="A3222" s="856">
        <v>40681</v>
      </c>
      <c r="B3222" s="125" t="str">
        <f>TiposLancamentos!B19</f>
        <v>Restaurantes</v>
      </c>
      <c r="C3222" s="139" t="s">
        <v>21893</v>
      </c>
      <c r="D3222" s="51"/>
      <c r="E3222" s="857">
        <v>29.6</v>
      </c>
    </row>
    <row r="3223" spans="1:6">
      <c r="A3223" s="856">
        <v>40681</v>
      </c>
      <c r="B3223" s="125" t="str">
        <f>TiposLancamentos!B13</f>
        <v>Moradia</v>
      </c>
      <c r="C3223" s="139" t="s">
        <v>22383</v>
      </c>
      <c r="D3223" s="51"/>
      <c r="E3223" s="857">
        <v>39.799999999999997</v>
      </c>
    </row>
    <row r="3224" spans="1:6">
      <c r="A3224" s="856">
        <v>40681</v>
      </c>
      <c r="B3224" s="125" t="str">
        <f>TiposLancamentos!B5</f>
        <v>Supermercado</v>
      </c>
      <c r="C3224" s="139" t="s">
        <v>5784</v>
      </c>
      <c r="D3224" s="51"/>
      <c r="E3224" s="857">
        <v>66.77</v>
      </c>
    </row>
    <row r="3225" spans="1:6">
      <c r="A3225" s="856">
        <v>40682</v>
      </c>
      <c r="B3225" s="125" t="str">
        <f>TiposLancamentos!B20</f>
        <v>Saques</v>
      </c>
      <c r="C3225" s="139" t="s">
        <v>4149</v>
      </c>
      <c r="D3225" s="51"/>
      <c r="E3225" s="857">
        <v>40</v>
      </c>
    </row>
    <row r="3226" spans="1:6">
      <c r="A3226" s="856">
        <v>40682</v>
      </c>
      <c r="B3226" s="125" t="str">
        <f>TiposLancamentos!B19</f>
        <v>Restaurantes</v>
      </c>
      <c r="C3226" s="139" t="s">
        <v>22384</v>
      </c>
      <c r="D3226" s="51"/>
      <c r="E3226" s="857">
        <v>44.6</v>
      </c>
    </row>
    <row r="3227" spans="1:6">
      <c r="A3227" s="856">
        <v>40682</v>
      </c>
      <c r="B3227" s="125" t="str">
        <f>TiposLancamentos!B19</f>
        <v>Restaurantes</v>
      </c>
      <c r="C3227" s="139" t="s">
        <v>21954</v>
      </c>
      <c r="D3227" s="51"/>
      <c r="E3227" s="857">
        <v>7</v>
      </c>
    </row>
    <row r="3228" spans="1:6">
      <c r="A3228" s="961">
        <v>40682</v>
      </c>
      <c r="B3228" s="817" t="str">
        <f>TiposLancamentos!B16</f>
        <v>Cristiane</v>
      </c>
      <c r="C3228" s="962" t="s">
        <v>5872</v>
      </c>
      <c r="D3228" s="809"/>
      <c r="E3228" s="965">
        <f>F3229-E3229</f>
        <v>77.570000000000007</v>
      </c>
    </row>
    <row r="3229" spans="1:6">
      <c r="A3229" s="963">
        <v>40682</v>
      </c>
      <c r="B3229" s="818" t="str">
        <f>TiposLancamentos!B56</f>
        <v>Farmácia</v>
      </c>
      <c r="C3229" s="964" t="s">
        <v>22385</v>
      </c>
      <c r="D3229" s="813"/>
      <c r="E3229" s="966">
        <v>56.39</v>
      </c>
      <c r="F3229" s="3">
        <v>133.96</v>
      </c>
    </row>
    <row r="3230" spans="1:6">
      <c r="A3230" s="856">
        <v>40683</v>
      </c>
      <c r="B3230" s="125" t="str">
        <f>TiposLancamentos!B19</f>
        <v>Restaurantes</v>
      </c>
      <c r="C3230" s="139" t="s">
        <v>3995</v>
      </c>
      <c r="D3230" s="51"/>
      <c r="E3230" s="857">
        <v>32</v>
      </c>
    </row>
    <row r="3231" spans="1:6">
      <c r="A3231" s="856">
        <v>40683</v>
      </c>
      <c r="B3231" s="125" t="str">
        <f>TiposLancamentos!B5</f>
        <v>Supermercado</v>
      </c>
      <c r="C3231" s="139" t="s">
        <v>22386</v>
      </c>
      <c r="D3231" s="51"/>
      <c r="E3231" s="857">
        <v>17.79</v>
      </c>
    </row>
    <row r="3232" spans="1:6">
      <c r="A3232" s="856">
        <v>40684</v>
      </c>
      <c r="B3232" s="125" t="str">
        <f>TiposLancamentos!B17</f>
        <v>GATO</v>
      </c>
      <c r="C3232" s="139" t="s">
        <v>22387</v>
      </c>
      <c r="D3232" s="51"/>
      <c r="E3232" s="857">
        <v>212.2</v>
      </c>
    </row>
    <row r="3233" spans="1:5">
      <c r="A3233" s="856">
        <v>40684</v>
      </c>
      <c r="B3233" s="125" t="str">
        <f>TiposLancamentos!B25</f>
        <v>CD_DVD_BD</v>
      </c>
      <c r="C3233" s="139" t="s">
        <v>22388</v>
      </c>
      <c r="D3233" s="51"/>
      <c r="E3233" s="857">
        <v>61.53</v>
      </c>
    </row>
    <row r="3234" spans="1:5">
      <c r="A3234" s="856">
        <v>40684</v>
      </c>
      <c r="B3234" s="125" t="str">
        <f>TiposLancamentos!B19</f>
        <v>Restaurantes</v>
      </c>
      <c r="C3234" s="139" t="s">
        <v>22389</v>
      </c>
      <c r="D3234" s="51"/>
      <c r="E3234" s="857">
        <v>30.8</v>
      </c>
    </row>
    <row r="3235" spans="1:5">
      <c r="A3235" s="856">
        <v>40684</v>
      </c>
      <c r="B3235" s="125" t="str">
        <f>TiposLancamentos!B5</f>
        <v>Supermercado</v>
      </c>
      <c r="C3235" s="139" t="s">
        <v>6234</v>
      </c>
      <c r="D3235" s="51"/>
      <c r="E3235" s="857">
        <v>105.03</v>
      </c>
    </row>
    <row r="3236" spans="1:5">
      <c r="A3236" s="856">
        <v>40685</v>
      </c>
      <c r="B3236" s="125" t="str">
        <f>TiposLancamentos!B19</f>
        <v>Restaurantes</v>
      </c>
      <c r="C3236" s="139" t="s">
        <v>6474</v>
      </c>
      <c r="D3236" s="51"/>
      <c r="E3236" s="857">
        <v>87.89</v>
      </c>
    </row>
    <row r="3237" spans="1:5">
      <c r="A3237" s="856">
        <v>40685</v>
      </c>
      <c r="B3237" s="125" t="str">
        <f>TiposLancamentos!B16</f>
        <v>Cristiane</v>
      </c>
      <c r="C3237" s="139" t="s">
        <v>22390</v>
      </c>
      <c r="D3237" s="51"/>
      <c r="E3237" s="857">
        <v>24.48</v>
      </c>
    </row>
    <row r="3238" spans="1:5">
      <c r="A3238" s="856">
        <v>40686</v>
      </c>
      <c r="B3238" s="125" t="str">
        <f>TiposLancamentos!B20</f>
        <v>Saques</v>
      </c>
      <c r="C3238" s="139" t="s">
        <v>2668</v>
      </c>
      <c r="D3238" s="51"/>
      <c r="E3238" s="857">
        <v>20</v>
      </c>
    </row>
    <row r="3239" spans="1:5">
      <c r="A3239" s="856">
        <v>40686</v>
      </c>
      <c r="B3239" s="125" t="str">
        <f>TiposLancamentos!B5</f>
        <v>Supermercado</v>
      </c>
      <c r="C3239" s="139" t="s">
        <v>5930</v>
      </c>
      <c r="D3239" s="51"/>
      <c r="E3239" s="857">
        <v>88.58</v>
      </c>
    </row>
    <row r="3240" spans="1:5">
      <c r="A3240" s="856">
        <v>40687</v>
      </c>
      <c r="B3240" s="125" t="str">
        <f>TiposLancamentos!B20</f>
        <v>Saques</v>
      </c>
      <c r="C3240" s="139" t="s">
        <v>2655</v>
      </c>
      <c r="D3240" s="51"/>
      <c r="E3240" s="857">
        <v>90</v>
      </c>
    </row>
    <row r="3241" spans="1:5">
      <c r="A3241" s="856">
        <v>40687</v>
      </c>
      <c r="B3241" s="125" t="str">
        <f>TiposLancamentos!B19</f>
        <v>Restaurantes</v>
      </c>
      <c r="C3241" s="139" t="s">
        <v>5914</v>
      </c>
      <c r="D3241" s="51"/>
      <c r="E3241" s="857">
        <v>24.7</v>
      </c>
    </row>
    <row r="3242" spans="1:5">
      <c r="A3242" s="856">
        <v>40687</v>
      </c>
      <c r="B3242" s="125" t="str">
        <f>TiposLancamentos!B99</f>
        <v>Venda de algo</v>
      </c>
      <c r="C3242" s="139" t="s">
        <v>22391</v>
      </c>
      <c r="D3242" s="51">
        <v>151.6</v>
      </c>
      <c r="E3242" s="857"/>
    </row>
    <row r="3243" spans="1:5">
      <c r="A3243" s="856">
        <v>40687</v>
      </c>
      <c r="B3243" s="125" t="str">
        <f>TiposLancamentos!B5</f>
        <v>Supermercado</v>
      </c>
      <c r="C3243" s="139" t="s">
        <v>6234</v>
      </c>
      <c r="D3243" s="51"/>
      <c r="E3243" s="857">
        <v>53.89</v>
      </c>
    </row>
    <row r="3244" spans="1:5">
      <c r="A3244" s="856">
        <v>40688</v>
      </c>
      <c r="B3244" s="125" t="str">
        <f>TiposLancamentos!B22</f>
        <v>Combustivel</v>
      </c>
      <c r="C3244" s="139" t="s">
        <v>5961</v>
      </c>
      <c r="D3244" s="51"/>
      <c r="E3244" s="857">
        <v>118.04</v>
      </c>
    </row>
    <row r="3245" spans="1:5">
      <c r="A3245" s="856">
        <v>40688</v>
      </c>
      <c r="B3245" s="125" t="str">
        <f>TiposLancamentos!B19</f>
        <v>Restaurantes</v>
      </c>
      <c r="C3245" s="139" t="s">
        <v>22234</v>
      </c>
      <c r="D3245" s="51"/>
      <c r="E3245" s="857">
        <v>38.33</v>
      </c>
    </row>
    <row r="3246" spans="1:5">
      <c r="A3246" s="856">
        <v>40688</v>
      </c>
      <c r="B3246" s="125" t="str">
        <f>TiposLancamentos!B19</f>
        <v>Restaurantes</v>
      </c>
      <c r="C3246" s="139" t="s">
        <v>22392</v>
      </c>
      <c r="D3246" s="51"/>
      <c r="E3246" s="857">
        <v>7</v>
      </c>
    </row>
    <row r="3247" spans="1:5">
      <c r="A3247" s="856">
        <v>40688</v>
      </c>
      <c r="B3247" s="125" t="str">
        <f>TiposLancamentos!B71</f>
        <v>Itens Pessoais</v>
      </c>
      <c r="C3247" s="139" t="s">
        <v>22393</v>
      </c>
      <c r="D3247" s="51"/>
      <c r="E3247" s="857">
        <v>55</v>
      </c>
    </row>
    <row r="3248" spans="1:5">
      <c r="A3248" s="856">
        <v>40688</v>
      </c>
      <c r="B3248" s="125" t="str">
        <f>TiposLancamentos!B19</f>
        <v>Restaurantes</v>
      </c>
      <c r="C3248" s="139" t="s">
        <v>21721</v>
      </c>
      <c r="D3248" s="51"/>
      <c r="E3248" s="857">
        <v>6.9</v>
      </c>
    </row>
    <row r="3249" spans="1:6">
      <c r="A3249" s="856">
        <v>40688</v>
      </c>
      <c r="B3249" s="125" t="str">
        <f>TiposLancamentos!B19</f>
        <v>Restaurantes</v>
      </c>
      <c r="C3249" s="139" t="s">
        <v>5613</v>
      </c>
      <c r="D3249" s="51"/>
      <c r="E3249" s="857">
        <v>27.24</v>
      </c>
    </row>
    <row r="3250" spans="1:6">
      <c r="A3250" s="856">
        <v>40689</v>
      </c>
      <c r="B3250" s="125" t="str">
        <f>TiposLancamentos!B19</f>
        <v>Restaurantes</v>
      </c>
      <c r="C3250" s="139" t="s">
        <v>22282</v>
      </c>
      <c r="D3250" s="51"/>
      <c r="E3250" s="857">
        <v>23.95</v>
      </c>
    </row>
    <row r="3251" spans="1:6">
      <c r="A3251" s="856">
        <v>40690</v>
      </c>
      <c r="B3251" s="125" t="str">
        <f>TiposLancamentos!B19</f>
        <v>Restaurantes</v>
      </c>
      <c r="C3251" s="139" t="s">
        <v>5613</v>
      </c>
      <c r="D3251" s="51"/>
      <c r="E3251" s="857">
        <v>28.5</v>
      </c>
    </row>
    <row r="3252" spans="1:6">
      <c r="A3252" s="856">
        <v>40691</v>
      </c>
      <c r="B3252" s="125" t="str">
        <f>TiposLancamentos!B5</f>
        <v>Supermercado</v>
      </c>
      <c r="C3252" s="139" t="s">
        <v>5801</v>
      </c>
      <c r="D3252" s="51"/>
      <c r="E3252" s="857">
        <v>22.95</v>
      </c>
    </row>
    <row r="3253" spans="1:6">
      <c r="A3253" s="856">
        <v>40692</v>
      </c>
      <c r="B3253" s="125" t="str">
        <f>TiposLancamentos!B20</f>
        <v>Saques</v>
      </c>
      <c r="C3253" s="139" t="s">
        <v>2655</v>
      </c>
      <c r="D3253" s="51"/>
      <c r="E3253" s="857">
        <v>40</v>
      </c>
    </row>
    <row r="3254" spans="1:6">
      <c r="A3254" s="856">
        <v>40692</v>
      </c>
      <c r="B3254" s="125" t="str">
        <f>TiposLancamentos!B19</f>
        <v>Restaurantes</v>
      </c>
      <c r="C3254" s="139" t="s">
        <v>3618</v>
      </c>
      <c r="D3254" s="51"/>
      <c r="E3254" s="857">
        <v>25.7</v>
      </c>
    </row>
    <row r="3255" spans="1:6">
      <c r="A3255" s="856">
        <v>40694</v>
      </c>
      <c r="B3255" s="125" t="str">
        <f>TiposLancamentos!B95</f>
        <v>Salarios</v>
      </c>
      <c r="C3255" s="126" t="s">
        <v>4939</v>
      </c>
      <c r="D3255" s="51">
        <v>6378.43</v>
      </c>
      <c r="E3255" s="857"/>
    </row>
    <row r="3256" spans="1:6">
      <c r="A3256" s="856">
        <v>40694</v>
      </c>
      <c r="B3256" s="125" t="str">
        <f>TiposLancamentos!B43</f>
        <v>Imposto de Renda</v>
      </c>
      <c r="C3256" s="139" t="s">
        <v>22394</v>
      </c>
      <c r="D3256" s="51"/>
      <c r="E3256" s="857">
        <v>291.33</v>
      </c>
    </row>
    <row r="3257" spans="1:6">
      <c r="A3257" s="856">
        <v>40694</v>
      </c>
      <c r="B3257" s="125" t="str">
        <f>TiposLancamentos!B99</f>
        <v>Venda de algo</v>
      </c>
      <c r="C3257" s="139" t="s">
        <v>22395</v>
      </c>
      <c r="D3257" s="51">
        <v>200</v>
      </c>
      <c r="E3257" s="857"/>
    </row>
    <row r="3258" spans="1:6" ht="14.25" thickBot="1">
      <c r="A3258" s="856">
        <v>40694</v>
      </c>
      <c r="B3258" s="125" t="str">
        <f>TiposLancamentos!B6</f>
        <v>Energia Eletrica</v>
      </c>
      <c r="C3258" s="139" t="s">
        <v>5191</v>
      </c>
      <c r="D3258" s="51"/>
      <c r="E3258" s="857">
        <v>150.84</v>
      </c>
    </row>
    <row r="3259" spans="1:6" ht="14.25" thickBot="1">
      <c r="A3259" s="998"/>
      <c r="B3259" s="989"/>
      <c r="C3259" s="990" t="s">
        <v>5805</v>
      </c>
      <c r="D3259" s="991"/>
      <c r="E3259" s="999"/>
    </row>
    <row r="3260" spans="1:6">
      <c r="A3260" s="856">
        <v>40695</v>
      </c>
      <c r="B3260" s="125" t="str">
        <f>TiposLancamentos!B19</f>
        <v>Restaurantes</v>
      </c>
      <c r="C3260" s="139" t="s">
        <v>21846</v>
      </c>
      <c r="D3260" s="51"/>
      <c r="E3260" s="857">
        <v>22.15</v>
      </c>
    </row>
    <row r="3261" spans="1:6">
      <c r="A3261" s="856">
        <v>40695</v>
      </c>
      <c r="B3261" s="125" t="str">
        <f>TiposLancamentos!B15</f>
        <v>Cartões de Crédito</v>
      </c>
      <c r="C3261" s="139" t="s">
        <v>5557</v>
      </c>
      <c r="D3261" s="51"/>
      <c r="E3261" s="857">
        <v>1794.73</v>
      </c>
    </row>
    <row r="3262" spans="1:6">
      <c r="A3262" s="961">
        <v>40695</v>
      </c>
      <c r="B3262" s="817" t="str">
        <f>TiposLancamentos!B8</f>
        <v>Aluguel</v>
      </c>
      <c r="C3262" s="962" t="s">
        <v>22396</v>
      </c>
      <c r="D3262" s="809"/>
      <c r="E3262" s="965">
        <f>F3263-E3263</f>
        <v>1074.48</v>
      </c>
    </row>
    <row r="3263" spans="1:6">
      <c r="A3263" s="963">
        <v>41061</v>
      </c>
      <c r="B3263" s="818" t="str">
        <f>TiposLancamentos!B12</f>
        <v>IPTU</v>
      </c>
      <c r="C3263" s="964" t="s">
        <v>13384</v>
      </c>
      <c r="D3263" s="813"/>
      <c r="E3263" s="966">
        <v>93.11</v>
      </c>
      <c r="F3263" s="3">
        <v>1167.5899999999999</v>
      </c>
    </row>
    <row r="3264" spans="1:6">
      <c r="A3264" s="856">
        <v>40695</v>
      </c>
      <c r="B3264" s="125" t="str">
        <f>TiposLancamentos!B9</f>
        <v>Condominio</v>
      </c>
      <c r="C3264" s="139" t="s">
        <v>22397</v>
      </c>
      <c r="D3264" s="51"/>
      <c r="E3264" s="857">
        <v>780.56</v>
      </c>
    </row>
    <row r="3265" spans="1:6">
      <c r="A3265" s="806">
        <v>40695</v>
      </c>
      <c r="B3265" s="807" t="str">
        <f>TiposLancamentos!B35</f>
        <v>Tv à Cabo</v>
      </c>
      <c r="C3265" s="808" t="s">
        <v>5834</v>
      </c>
      <c r="D3265" s="809"/>
      <c r="E3265" s="859">
        <v>134</v>
      </c>
    </row>
    <row r="3266" spans="1:6">
      <c r="A3266" s="773">
        <v>40695</v>
      </c>
      <c r="B3266" s="152" t="str">
        <f>TiposLancamentos!B3</f>
        <v>Internet</v>
      </c>
      <c r="C3266" s="141" t="s">
        <v>5835</v>
      </c>
      <c r="D3266" s="127"/>
      <c r="E3266" s="861">
        <v>65.900000000000006</v>
      </c>
    </row>
    <row r="3267" spans="1:6">
      <c r="A3267" s="810">
        <v>40695</v>
      </c>
      <c r="B3267" s="811" t="str">
        <f>TiposLancamentos!B2</f>
        <v>Telefonia</v>
      </c>
      <c r="C3267" s="812" t="s">
        <v>5836</v>
      </c>
      <c r="D3267" s="813"/>
      <c r="E3267" s="863">
        <v>37.909999999999997</v>
      </c>
      <c r="F3267" s="36">
        <f>SUM(E3265:E3267)</f>
        <v>237.81</v>
      </c>
    </row>
    <row r="3268" spans="1:6">
      <c r="A3268" s="856">
        <v>40695</v>
      </c>
      <c r="B3268" s="125" t="str">
        <f>TiposLancamentos!B87</f>
        <v>P207-1.6-XS</v>
      </c>
      <c r="C3268" s="139" t="s">
        <v>13514</v>
      </c>
      <c r="D3268" s="51"/>
      <c r="E3268" s="857">
        <v>730.92</v>
      </c>
    </row>
    <row r="3269" spans="1:6">
      <c r="A3269" s="856">
        <v>40695</v>
      </c>
      <c r="B3269" s="125" t="str">
        <f>TiposLancamentos!B87</f>
        <v>P207-1.6-XS</v>
      </c>
      <c r="C3269" s="139" t="s">
        <v>13517</v>
      </c>
      <c r="D3269" s="51"/>
      <c r="E3269" s="857">
        <v>518.79</v>
      </c>
    </row>
    <row r="3270" spans="1:6">
      <c r="A3270" s="856">
        <v>40696</v>
      </c>
      <c r="B3270" s="125" t="str">
        <f>TiposLancamentos!B56</f>
        <v>Farmácia</v>
      </c>
      <c r="C3270" s="139" t="s">
        <v>22398</v>
      </c>
      <c r="D3270" s="51"/>
      <c r="E3270" s="857">
        <v>39</v>
      </c>
    </row>
    <row r="3271" spans="1:6">
      <c r="A3271" s="856">
        <v>40696</v>
      </c>
      <c r="B3271" s="125" t="str">
        <f>TiposLancamentos!B20</f>
        <v>Saques</v>
      </c>
      <c r="C3271" s="139" t="s">
        <v>22399</v>
      </c>
      <c r="D3271" s="51"/>
      <c r="E3271" s="857">
        <v>40</v>
      </c>
    </row>
    <row r="3272" spans="1:6">
      <c r="A3272" s="856">
        <v>40698</v>
      </c>
      <c r="B3272" s="125" t="str">
        <f>TiposLancamentos!B22</f>
        <v>Combustivel</v>
      </c>
      <c r="C3272" s="139" t="s">
        <v>22400</v>
      </c>
      <c r="D3272" s="51"/>
      <c r="E3272" s="857">
        <v>105.5</v>
      </c>
    </row>
    <row r="3273" spans="1:6">
      <c r="A3273" s="856">
        <v>40698</v>
      </c>
      <c r="B3273" s="125" t="str">
        <f>TiposLancamentos!B19</f>
        <v>Restaurantes</v>
      </c>
      <c r="C3273" s="139" t="s">
        <v>22292</v>
      </c>
      <c r="D3273" s="51"/>
      <c r="E3273" s="857">
        <v>17.55</v>
      </c>
    </row>
    <row r="3274" spans="1:6">
      <c r="A3274" s="856">
        <v>40698</v>
      </c>
      <c r="B3274" s="125" t="str">
        <f>TiposLancamentos!B19</f>
        <v>Restaurantes</v>
      </c>
      <c r="C3274" s="139" t="s">
        <v>22401</v>
      </c>
      <c r="D3274" s="51"/>
      <c r="E3274" s="857">
        <v>31.9</v>
      </c>
    </row>
    <row r="3275" spans="1:6">
      <c r="A3275" s="856">
        <v>40698</v>
      </c>
      <c r="B3275" s="125" t="str">
        <f>TiposLancamentos!B16</f>
        <v>Cristiane</v>
      </c>
      <c r="C3275" s="139" t="s">
        <v>22402</v>
      </c>
      <c r="D3275" s="51"/>
      <c r="E3275" s="857">
        <v>130.5</v>
      </c>
    </row>
    <row r="3276" spans="1:6">
      <c r="A3276" s="856">
        <v>40699</v>
      </c>
      <c r="B3276" s="125" t="str">
        <f>TiposLancamentos!B56</f>
        <v>Farmácia</v>
      </c>
      <c r="C3276" s="139" t="s">
        <v>22403</v>
      </c>
      <c r="D3276" s="51"/>
      <c r="E3276" s="857">
        <v>24.7</v>
      </c>
    </row>
    <row r="3277" spans="1:6">
      <c r="A3277" s="856">
        <v>40699</v>
      </c>
      <c r="B3277" s="125" t="str">
        <f>TiposLancamentos!B22</f>
        <v>Combustivel</v>
      </c>
      <c r="C3277" s="139" t="s">
        <v>22404</v>
      </c>
      <c r="D3277" s="51"/>
      <c r="E3277" s="857">
        <v>100</v>
      </c>
    </row>
    <row r="3278" spans="1:6">
      <c r="A3278" s="856">
        <v>40699</v>
      </c>
      <c r="B3278" s="125" t="str">
        <f>TiposLancamentos!B5</f>
        <v>Supermercado</v>
      </c>
      <c r="C3278" s="139" t="s">
        <v>5801</v>
      </c>
      <c r="D3278" s="51"/>
      <c r="E3278" s="857">
        <v>9.41</v>
      </c>
    </row>
    <row r="3279" spans="1:6">
      <c r="A3279" s="856">
        <v>40699</v>
      </c>
      <c r="B3279" s="125" t="str">
        <f>TiposLancamentos!B19</f>
        <v>Restaurantes</v>
      </c>
      <c r="C3279" s="139" t="s">
        <v>22405</v>
      </c>
      <c r="D3279" s="51"/>
      <c r="E3279" s="857">
        <v>10.55</v>
      </c>
    </row>
    <row r="3280" spans="1:6">
      <c r="A3280" s="856">
        <v>40699</v>
      </c>
      <c r="B3280" s="125" t="str">
        <f>TiposLancamentos!B19</f>
        <v>Restaurantes</v>
      </c>
      <c r="C3280" s="139" t="s">
        <v>22406</v>
      </c>
      <c r="D3280" s="51"/>
      <c r="E3280" s="857">
        <v>29.7</v>
      </c>
    </row>
    <row r="3281" spans="1:5">
      <c r="A3281" s="856">
        <v>40699</v>
      </c>
      <c r="B3281" s="125" t="str">
        <f>TiposLancamentos!B19</f>
        <v>Restaurantes</v>
      </c>
      <c r="C3281" s="139" t="s">
        <v>3995</v>
      </c>
      <c r="D3281" s="51"/>
      <c r="E3281" s="857">
        <v>33</v>
      </c>
    </row>
    <row r="3282" spans="1:5">
      <c r="A3282" s="856">
        <v>40702</v>
      </c>
      <c r="B3282" s="125" t="str">
        <f>TiposLancamentos!B99</f>
        <v>Venda de algo</v>
      </c>
      <c r="C3282" s="139" t="s">
        <v>22407</v>
      </c>
      <c r="D3282" s="51">
        <v>469.95</v>
      </c>
      <c r="E3282" s="857"/>
    </row>
    <row r="3283" spans="1:5">
      <c r="A3283" s="856">
        <v>40702</v>
      </c>
      <c r="B3283" s="125" t="str">
        <f>TiposLancamentos!B20</f>
        <v>Saques</v>
      </c>
      <c r="C3283" s="139" t="s">
        <v>22408</v>
      </c>
      <c r="D3283" s="51"/>
      <c r="E3283" s="857">
        <v>20</v>
      </c>
    </row>
    <row r="3284" spans="1:5">
      <c r="A3284" s="856">
        <v>40703</v>
      </c>
      <c r="B3284" s="125" t="str">
        <f>TiposLancamentos!B19</f>
        <v>Restaurantes</v>
      </c>
      <c r="C3284" s="139" t="s">
        <v>22409</v>
      </c>
      <c r="D3284" s="51"/>
      <c r="E3284" s="857">
        <v>6.6</v>
      </c>
    </row>
    <row r="3285" spans="1:5">
      <c r="A3285" s="856">
        <v>40704</v>
      </c>
      <c r="B3285" s="125" t="str">
        <f>TiposLancamentos!B20</f>
        <v>Saques</v>
      </c>
      <c r="C3285" s="139" t="s">
        <v>4142</v>
      </c>
      <c r="D3285" s="51"/>
      <c r="E3285" s="857">
        <v>20</v>
      </c>
    </row>
    <row r="3286" spans="1:5">
      <c r="A3286" s="856">
        <v>40704</v>
      </c>
      <c r="B3286" s="125" t="str">
        <f>TiposLancamentos!B19</f>
        <v>Restaurantes</v>
      </c>
      <c r="C3286" s="139" t="s">
        <v>22410</v>
      </c>
      <c r="D3286" s="51"/>
      <c r="E3286" s="857">
        <v>36.020000000000003</v>
      </c>
    </row>
    <row r="3287" spans="1:5">
      <c r="A3287" s="856">
        <v>40704</v>
      </c>
      <c r="B3287" s="125" t="str">
        <f>TiposLancamentos!B72</f>
        <v>Presentes</v>
      </c>
      <c r="C3287" s="139" t="s">
        <v>22411</v>
      </c>
      <c r="D3287" s="51"/>
      <c r="E3287" s="857">
        <v>73.8</v>
      </c>
    </row>
    <row r="3288" spans="1:5">
      <c r="A3288" s="856">
        <v>40704</v>
      </c>
      <c r="B3288" s="125" t="str">
        <f>TiposLancamentos!B22</f>
        <v>Combustivel</v>
      </c>
      <c r="C3288" s="139" t="s">
        <v>5961</v>
      </c>
      <c r="D3288" s="51"/>
      <c r="E3288" s="857">
        <v>119</v>
      </c>
    </row>
    <row r="3289" spans="1:5">
      <c r="A3289" s="856">
        <v>40705</v>
      </c>
      <c r="B3289" s="125" t="str">
        <f>TiposLancamentos!B5</f>
        <v>Supermercado</v>
      </c>
      <c r="C3289" s="139" t="s">
        <v>2567</v>
      </c>
      <c r="D3289" s="51"/>
      <c r="E3289" s="857">
        <v>107.48</v>
      </c>
    </row>
    <row r="3290" spans="1:5">
      <c r="A3290" s="856">
        <v>40706</v>
      </c>
      <c r="B3290" s="125" t="str">
        <f>TiposLancamentos!B5</f>
        <v>Supermercado</v>
      </c>
      <c r="C3290" s="139" t="s">
        <v>22412</v>
      </c>
      <c r="D3290" s="51"/>
      <c r="E3290" s="857">
        <v>8.5399999999999991</v>
      </c>
    </row>
    <row r="3291" spans="1:5">
      <c r="A3291" s="856">
        <v>40707</v>
      </c>
      <c r="B3291" s="125" t="str">
        <f>TiposLancamentos!B103</f>
        <v>Juros_Corr. Poupança</v>
      </c>
      <c r="C3291" s="139" t="s">
        <v>22413</v>
      </c>
      <c r="D3291" s="51">
        <v>1.93</v>
      </c>
      <c r="E3291" s="857"/>
    </row>
    <row r="3292" spans="1:5">
      <c r="A3292" s="856">
        <v>40707</v>
      </c>
      <c r="B3292" s="125" t="str">
        <f>TiposLancamentos!B56</f>
        <v>Farmácia</v>
      </c>
      <c r="C3292" s="139" t="s">
        <v>22414</v>
      </c>
      <c r="D3292" s="51"/>
      <c r="E3292" s="857">
        <v>59.54</v>
      </c>
    </row>
    <row r="3293" spans="1:5">
      <c r="A3293" s="856">
        <v>40708</v>
      </c>
      <c r="B3293" s="125" t="str">
        <f>TiposLancamentos!B19</f>
        <v>Restaurantes</v>
      </c>
      <c r="C3293" s="139" t="s">
        <v>17244</v>
      </c>
      <c r="D3293" s="51"/>
      <c r="E3293" s="857">
        <v>25.54</v>
      </c>
    </row>
    <row r="3294" spans="1:5">
      <c r="A3294" s="856">
        <v>40708</v>
      </c>
      <c r="B3294" s="125" t="str">
        <f>TiposLancamentos!B19</f>
        <v>Restaurantes</v>
      </c>
      <c r="C3294" s="139" t="s">
        <v>22392</v>
      </c>
      <c r="D3294" s="51"/>
      <c r="E3294" s="857">
        <v>6.6</v>
      </c>
    </row>
    <row r="3295" spans="1:5">
      <c r="A3295" s="856">
        <v>40709</v>
      </c>
      <c r="B3295" s="125" t="str">
        <f>TiposLancamentos!B24</f>
        <v>Estacionamentos</v>
      </c>
      <c r="C3295" s="139" t="s">
        <v>5392</v>
      </c>
      <c r="D3295" s="51"/>
      <c r="E3295" s="857">
        <v>80.94</v>
      </c>
    </row>
    <row r="3296" spans="1:5">
      <c r="A3296" s="856">
        <v>40709</v>
      </c>
      <c r="B3296" s="125" t="str">
        <f>TiposLancamentos!B99</f>
        <v>Venda de algo</v>
      </c>
      <c r="C3296" s="139" t="s">
        <v>22415</v>
      </c>
      <c r="D3296" s="51">
        <v>428.9</v>
      </c>
      <c r="E3296" s="857"/>
    </row>
    <row r="3297" spans="1:5">
      <c r="A3297" s="856">
        <v>40709</v>
      </c>
      <c r="B3297" s="125" t="str">
        <f>TiposLancamentos!B95</f>
        <v>Salarios</v>
      </c>
      <c r="C3297" s="139" t="s">
        <v>4916</v>
      </c>
      <c r="D3297" s="51">
        <v>1990.45</v>
      </c>
      <c r="E3297" s="857"/>
    </row>
    <row r="3298" spans="1:5">
      <c r="A3298" s="856">
        <v>40709</v>
      </c>
      <c r="B3298" s="125" t="str">
        <f>TiposLancamentos!B87</f>
        <v>P207-1.6-XS</v>
      </c>
      <c r="C3298" s="139" t="s">
        <v>13519</v>
      </c>
      <c r="D3298" s="51"/>
      <c r="E3298" s="857">
        <v>528.04</v>
      </c>
    </row>
    <row r="3299" spans="1:5">
      <c r="A3299" s="856">
        <v>40710</v>
      </c>
      <c r="B3299" s="125" t="str">
        <f>TiposLancamentos!B16</f>
        <v>Cristiane</v>
      </c>
      <c r="C3299" s="139" t="s">
        <v>22416</v>
      </c>
      <c r="D3299" s="51"/>
      <c r="E3299" s="857">
        <v>167</v>
      </c>
    </row>
    <row r="3300" spans="1:5">
      <c r="A3300" s="856">
        <v>40710</v>
      </c>
      <c r="B3300" s="125" t="str">
        <f>TiposLancamentos!B19</f>
        <v>Restaurantes</v>
      </c>
      <c r="C3300" s="139" t="s">
        <v>21936</v>
      </c>
      <c r="D3300" s="51"/>
      <c r="E3300" s="857">
        <v>53.9</v>
      </c>
    </row>
    <row r="3301" spans="1:5">
      <c r="A3301" s="856">
        <v>40711</v>
      </c>
      <c r="B3301" s="125" t="str">
        <f>TiposLancamentos!B19</f>
        <v>Restaurantes</v>
      </c>
      <c r="C3301" s="139" t="s">
        <v>22417</v>
      </c>
      <c r="D3301" s="51"/>
      <c r="E3301" s="857">
        <v>35.700000000000003</v>
      </c>
    </row>
    <row r="3302" spans="1:5">
      <c r="A3302" s="856">
        <v>40711</v>
      </c>
      <c r="B3302" s="125" t="str">
        <f>TiposLancamentos!B19</f>
        <v>Restaurantes</v>
      </c>
      <c r="C3302" s="139" t="s">
        <v>21954</v>
      </c>
      <c r="D3302" s="51"/>
      <c r="E3302" s="857">
        <v>6.6</v>
      </c>
    </row>
    <row r="3303" spans="1:5">
      <c r="A3303" s="856">
        <v>40711</v>
      </c>
      <c r="B3303" s="125" t="str">
        <f>TiposLancamentos!B13</f>
        <v>Moradia</v>
      </c>
      <c r="C3303" s="139" t="s">
        <v>22418</v>
      </c>
      <c r="D3303" s="51"/>
      <c r="E3303" s="857">
        <v>325.89999999999998</v>
      </c>
    </row>
    <row r="3304" spans="1:5">
      <c r="A3304" s="856">
        <v>40712</v>
      </c>
      <c r="B3304" s="125" t="str">
        <f>TiposLancamentos!B5</f>
        <v>Supermercado</v>
      </c>
      <c r="C3304" s="139" t="s">
        <v>6234</v>
      </c>
      <c r="D3304" s="51"/>
      <c r="E3304" s="857">
        <v>30.61</v>
      </c>
    </row>
    <row r="3305" spans="1:5">
      <c r="A3305" s="856">
        <v>40713</v>
      </c>
      <c r="B3305" s="125" t="str">
        <f>TiposLancamentos!B19</f>
        <v>Restaurantes</v>
      </c>
      <c r="C3305" s="139" t="s">
        <v>22419</v>
      </c>
      <c r="D3305" s="51"/>
      <c r="E3305" s="857">
        <v>46.07</v>
      </c>
    </row>
    <row r="3306" spans="1:5">
      <c r="A3306" s="856">
        <v>40714</v>
      </c>
      <c r="B3306" s="125" t="str">
        <f>TiposLancamentos!B20</f>
        <v>Saques</v>
      </c>
      <c r="C3306" s="139" t="s">
        <v>4161</v>
      </c>
      <c r="D3306" s="51"/>
      <c r="E3306" s="857">
        <v>20</v>
      </c>
    </row>
    <row r="3307" spans="1:5">
      <c r="A3307" s="856">
        <v>40714</v>
      </c>
      <c r="B3307" s="125" t="str">
        <f>TiposLancamentos!B56</f>
        <v>Farmácia</v>
      </c>
      <c r="C3307" s="139" t="s">
        <v>22420</v>
      </c>
      <c r="D3307" s="51"/>
      <c r="E3307" s="857">
        <v>13.97</v>
      </c>
    </row>
    <row r="3308" spans="1:5">
      <c r="A3308" s="856">
        <v>40715</v>
      </c>
      <c r="B3308" s="125" t="str">
        <f>TiposLancamentos!B20</f>
        <v>Saques</v>
      </c>
      <c r="C3308" s="139" t="s">
        <v>2668</v>
      </c>
      <c r="D3308" s="51"/>
      <c r="E3308" s="857">
        <v>90</v>
      </c>
    </row>
    <row r="3309" spans="1:5">
      <c r="A3309" s="856">
        <v>40715</v>
      </c>
      <c r="B3309" s="125" t="str">
        <f>TiposLancamentos!B19</f>
        <v>Restaurantes</v>
      </c>
      <c r="C3309" s="139" t="s">
        <v>3960</v>
      </c>
      <c r="D3309" s="51"/>
      <c r="E3309" s="857">
        <v>14.15</v>
      </c>
    </row>
    <row r="3310" spans="1:5">
      <c r="A3310" s="856">
        <v>40715</v>
      </c>
      <c r="B3310" s="125" t="str">
        <f>TiposLancamentos!B5</f>
        <v>Supermercado</v>
      </c>
      <c r="C3310" s="139" t="s">
        <v>6554</v>
      </c>
      <c r="D3310" s="51"/>
      <c r="E3310" s="857">
        <v>59.44</v>
      </c>
    </row>
    <row r="3311" spans="1:5">
      <c r="A3311" s="856">
        <v>40716</v>
      </c>
      <c r="B3311" s="125" t="str">
        <f>TiposLancamentos!B95</f>
        <v>Salarios</v>
      </c>
      <c r="C3311" s="139" t="s">
        <v>22421</v>
      </c>
      <c r="D3311" s="51">
        <v>5426.99</v>
      </c>
      <c r="E3311" s="857"/>
    </row>
    <row r="3312" spans="1:5">
      <c r="A3312" s="856">
        <v>40716</v>
      </c>
      <c r="B3312" s="125" t="str">
        <f>TiposLancamentos!B19</f>
        <v>Restaurantes</v>
      </c>
      <c r="C3312" s="139" t="s">
        <v>3618</v>
      </c>
      <c r="D3312" s="51"/>
      <c r="E3312" s="857">
        <v>33.08</v>
      </c>
    </row>
    <row r="3313" spans="1:6">
      <c r="A3313" s="856">
        <v>40716</v>
      </c>
      <c r="B3313" s="125" t="str">
        <f>TiposLancamentos!B13</f>
        <v>Moradia</v>
      </c>
      <c r="C3313" s="139" t="s">
        <v>22422</v>
      </c>
      <c r="D3313" s="51"/>
      <c r="E3313" s="857">
        <v>400</v>
      </c>
    </row>
    <row r="3314" spans="1:6">
      <c r="A3314" s="856">
        <v>40716</v>
      </c>
      <c r="B3314" s="125" t="str">
        <f>TiposLancamentos!B19</f>
        <v>Restaurantes</v>
      </c>
      <c r="C3314" s="139" t="s">
        <v>22423</v>
      </c>
      <c r="D3314" s="51"/>
      <c r="E3314" s="857">
        <v>76</v>
      </c>
    </row>
    <row r="3315" spans="1:6">
      <c r="A3315" s="856">
        <v>40717</v>
      </c>
      <c r="B3315" s="125" t="str">
        <f>TiposLancamentos!B17</f>
        <v>GATO</v>
      </c>
      <c r="C3315" s="139" t="s">
        <v>22424</v>
      </c>
      <c r="D3315" s="51"/>
      <c r="E3315" s="857">
        <v>112.58</v>
      </c>
    </row>
    <row r="3316" spans="1:6">
      <c r="A3316" s="856">
        <v>40717</v>
      </c>
      <c r="B3316" s="125" t="str">
        <f>TiposLancamentos!B19</f>
        <v>Restaurantes</v>
      </c>
      <c r="C3316" s="139" t="s">
        <v>22425</v>
      </c>
      <c r="D3316" s="51"/>
      <c r="E3316" s="857">
        <v>99.22</v>
      </c>
    </row>
    <row r="3317" spans="1:6">
      <c r="A3317" s="856">
        <v>40717</v>
      </c>
      <c r="B3317" s="125" t="str">
        <f>TiposLancamentos!B19</f>
        <v>Restaurantes</v>
      </c>
      <c r="C3317" s="139" t="s">
        <v>3995</v>
      </c>
      <c r="D3317" s="51"/>
      <c r="E3317" s="857">
        <v>27</v>
      </c>
    </row>
    <row r="3318" spans="1:6">
      <c r="A3318" s="856">
        <v>40718</v>
      </c>
      <c r="B3318" s="125" t="str">
        <f>TiposLancamentos!B20</f>
        <v>Saques</v>
      </c>
      <c r="C3318" s="139" t="s">
        <v>3403</v>
      </c>
      <c r="D3318" s="51"/>
      <c r="E3318" s="857">
        <v>800</v>
      </c>
    </row>
    <row r="3319" spans="1:6">
      <c r="A3319" s="856">
        <v>40718</v>
      </c>
      <c r="B3319" s="125" t="str">
        <f>TiposLancamentos!B16</f>
        <v>Cristiane</v>
      </c>
      <c r="C3319" s="139" t="s">
        <v>22426</v>
      </c>
      <c r="D3319" s="51"/>
      <c r="E3319" s="857">
        <v>6.49</v>
      </c>
    </row>
    <row r="3320" spans="1:6">
      <c r="A3320" s="961">
        <v>40718</v>
      </c>
      <c r="B3320" s="817" t="str">
        <f>TiposLancamentos!B70</f>
        <v>Vestuário</v>
      </c>
      <c r="C3320" s="962" t="s">
        <v>22427</v>
      </c>
      <c r="D3320" s="809"/>
      <c r="E3320" s="965">
        <f>42.99</f>
        <v>42.99</v>
      </c>
      <c r="F3320" s="3">
        <v>79.89</v>
      </c>
    </row>
    <row r="3321" spans="1:6">
      <c r="A3321" s="963">
        <v>40718</v>
      </c>
      <c r="B3321" s="818" t="str">
        <f>TiposLancamentos!B16</f>
        <v>Cristiane</v>
      </c>
      <c r="C3321" s="964" t="s">
        <v>22428</v>
      </c>
      <c r="D3321" s="813"/>
      <c r="E3321" s="966">
        <f>F3320-E3320</f>
        <v>36.9</v>
      </c>
    </row>
    <row r="3322" spans="1:6">
      <c r="A3322" s="856">
        <v>40718</v>
      </c>
      <c r="B3322" s="125" t="str">
        <f>TiposLancamentos!B16</f>
        <v>Cristiane</v>
      </c>
      <c r="C3322" s="139" t="s">
        <v>22429</v>
      </c>
      <c r="D3322" s="51"/>
      <c r="E3322" s="857">
        <v>149.9</v>
      </c>
    </row>
    <row r="3323" spans="1:6">
      <c r="A3323" s="856">
        <v>40718</v>
      </c>
      <c r="B3323" s="125" t="str">
        <f>TiposLancamentos!B57</f>
        <v>Informática</v>
      </c>
      <c r="C3323" s="139" t="s">
        <v>22430</v>
      </c>
      <c r="D3323" s="51"/>
      <c r="E3323" s="857">
        <v>12.9</v>
      </c>
    </row>
    <row r="3324" spans="1:6">
      <c r="A3324" s="856">
        <v>40718</v>
      </c>
      <c r="B3324" s="125" t="str">
        <f>TiposLancamentos!B19</f>
        <v>Restaurantes</v>
      </c>
      <c r="C3324" s="139" t="s">
        <v>3423</v>
      </c>
      <c r="D3324" s="51"/>
      <c r="E3324" s="857">
        <v>9.6</v>
      </c>
    </row>
    <row r="3325" spans="1:6">
      <c r="A3325" s="856">
        <v>40718</v>
      </c>
      <c r="B3325" s="125" t="str">
        <f>TiposLancamentos!B56</f>
        <v>Farmácia</v>
      </c>
      <c r="C3325" s="139" t="s">
        <v>18631</v>
      </c>
      <c r="D3325" s="51"/>
      <c r="E3325" s="857">
        <v>8</v>
      </c>
    </row>
    <row r="3326" spans="1:6">
      <c r="A3326" s="856">
        <v>40718</v>
      </c>
      <c r="B3326" s="125" t="str">
        <f>TiposLancamentos!B5</f>
        <v>Supermercado</v>
      </c>
      <c r="C3326" s="139" t="s">
        <v>22431</v>
      </c>
      <c r="D3326" s="51"/>
      <c r="E3326" s="857">
        <v>26.22</v>
      </c>
    </row>
    <row r="3327" spans="1:6">
      <c r="A3327" s="856">
        <v>40719</v>
      </c>
      <c r="B3327" s="125" t="str">
        <f>TiposLancamentos!B19</f>
        <v>Restaurantes</v>
      </c>
      <c r="C3327" s="139" t="s">
        <v>5951</v>
      </c>
      <c r="D3327" s="51"/>
      <c r="E3327" s="857">
        <v>69.400000000000006</v>
      </c>
    </row>
    <row r="3328" spans="1:6">
      <c r="A3328" s="856">
        <v>40719</v>
      </c>
      <c r="B3328" s="125" t="str">
        <f>TiposLancamentos!B26</f>
        <v>LIVROS</v>
      </c>
      <c r="C3328" s="139" t="s">
        <v>22432</v>
      </c>
      <c r="D3328" s="51"/>
      <c r="E3328" s="857">
        <v>99.8</v>
      </c>
    </row>
    <row r="3329" spans="1:6">
      <c r="A3329" s="856">
        <v>40719</v>
      </c>
      <c r="B3329" s="125" t="str">
        <f>TiposLancamentos!B22</f>
        <v>Combustivel</v>
      </c>
      <c r="C3329" s="139" t="s">
        <v>4404</v>
      </c>
      <c r="D3329" s="51"/>
      <c r="E3329" s="857">
        <v>53</v>
      </c>
    </row>
    <row r="3330" spans="1:6">
      <c r="A3330" s="856">
        <v>40720</v>
      </c>
      <c r="B3330" s="125" t="str">
        <f>TiposLancamentos!B18</f>
        <v>Alimentacao</v>
      </c>
      <c r="C3330" s="139" t="s">
        <v>22433</v>
      </c>
      <c r="D3330" s="51"/>
      <c r="E3330" s="857">
        <v>4.8</v>
      </c>
    </row>
    <row r="3331" spans="1:6">
      <c r="A3331" s="856">
        <v>40720</v>
      </c>
      <c r="B3331" s="125" t="str">
        <f>TiposLancamentos!B19</f>
        <v>Restaurantes</v>
      </c>
      <c r="C3331" s="139" t="s">
        <v>22434</v>
      </c>
      <c r="D3331" s="51"/>
      <c r="E3331" s="857">
        <v>52.25</v>
      </c>
    </row>
    <row r="3332" spans="1:6">
      <c r="A3332" s="856">
        <v>40721</v>
      </c>
      <c r="B3332" s="125" t="str">
        <f>TiposLancamentos!B19</f>
        <v>Restaurantes</v>
      </c>
      <c r="C3332" s="139" t="s">
        <v>22435</v>
      </c>
      <c r="D3332" s="51"/>
      <c r="E3332" s="857">
        <v>84.7</v>
      </c>
    </row>
    <row r="3333" spans="1:6">
      <c r="A3333" s="856">
        <v>40721</v>
      </c>
      <c r="B3333" s="125" t="str">
        <f>TiposLancamentos!B20</f>
        <v>Saques</v>
      </c>
      <c r="C3333" s="139" t="s">
        <v>4335</v>
      </c>
      <c r="D3333" s="51"/>
      <c r="E3333" s="857">
        <v>70</v>
      </c>
    </row>
    <row r="3334" spans="1:6">
      <c r="A3334" s="856">
        <v>40721</v>
      </c>
      <c r="B3334" s="125" t="str">
        <f>TiposLancamentos!B20</f>
        <v>Saques</v>
      </c>
      <c r="C3334" s="139" t="s">
        <v>4335</v>
      </c>
      <c r="D3334" s="51"/>
      <c r="E3334" s="857">
        <v>90</v>
      </c>
    </row>
    <row r="3335" spans="1:6">
      <c r="A3335" s="856">
        <v>40722</v>
      </c>
      <c r="B3335" s="125" t="str">
        <f>TiposLancamentos!B19</f>
        <v>Restaurantes</v>
      </c>
      <c r="C3335" s="139" t="s">
        <v>22436</v>
      </c>
      <c r="D3335" s="51"/>
      <c r="E3335" s="857">
        <v>38.049999999999997</v>
      </c>
    </row>
    <row r="3336" spans="1:6">
      <c r="A3336" s="856">
        <v>40723</v>
      </c>
      <c r="B3336" s="125" t="str">
        <f>TiposLancamentos!B64</f>
        <v>Viagens</v>
      </c>
      <c r="C3336" s="139" t="s">
        <v>22437</v>
      </c>
      <c r="D3336" s="51"/>
      <c r="E3336" s="857">
        <v>271.37</v>
      </c>
    </row>
    <row r="3337" spans="1:6">
      <c r="A3337" s="856">
        <v>40723</v>
      </c>
      <c r="B3337" s="125" t="str">
        <f>TiposLancamentos!B16</f>
        <v>Cristiane</v>
      </c>
      <c r="C3337" s="139" t="s">
        <v>22438</v>
      </c>
      <c r="D3337" s="51"/>
      <c r="E3337" s="857">
        <v>48</v>
      </c>
    </row>
    <row r="3338" spans="1:6">
      <c r="A3338" s="856">
        <v>40723</v>
      </c>
      <c r="B3338" s="125" t="str">
        <f>TiposLancamentos!B19</f>
        <v>Restaurantes</v>
      </c>
      <c r="C3338" s="139" t="s">
        <v>22439</v>
      </c>
      <c r="D3338" s="51"/>
      <c r="E3338" s="857">
        <v>48.02</v>
      </c>
    </row>
    <row r="3339" spans="1:6">
      <c r="A3339" s="856">
        <v>40724</v>
      </c>
      <c r="B3339" s="125" t="str">
        <f>TiposLancamentos!B19</f>
        <v>Restaurantes</v>
      </c>
      <c r="C3339" s="139" t="s">
        <v>22440</v>
      </c>
      <c r="D3339" s="51"/>
      <c r="E3339" s="857">
        <v>56.43</v>
      </c>
    </row>
    <row r="3340" spans="1:6">
      <c r="A3340" s="856">
        <v>40724</v>
      </c>
      <c r="B3340" s="125" t="str">
        <f>TiposLancamentos!B95</f>
        <v>Salarios</v>
      </c>
      <c r="C3340" s="139" t="s">
        <v>20627</v>
      </c>
      <c r="D3340" s="51">
        <v>2803.09</v>
      </c>
      <c r="E3340" s="857"/>
    </row>
    <row r="3341" spans="1:6" ht="14.25" thickBot="1">
      <c r="A3341" s="856">
        <v>40724</v>
      </c>
      <c r="B3341" s="125" t="str">
        <f>TiposLancamentos!B95</f>
        <v>Salarios</v>
      </c>
      <c r="C3341" s="126" t="s">
        <v>4939</v>
      </c>
      <c r="D3341" s="51">
        <v>5191.99</v>
      </c>
      <c r="E3341" s="857"/>
    </row>
    <row r="3342" spans="1:6" ht="14.25" thickBot="1">
      <c r="A3342" s="998"/>
      <c r="B3342" s="989"/>
      <c r="C3342" s="990" t="s">
        <v>5811</v>
      </c>
      <c r="D3342" s="991"/>
      <c r="E3342" s="999"/>
    </row>
    <row r="3343" spans="1:6">
      <c r="A3343" s="856">
        <v>40725</v>
      </c>
      <c r="B3343" s="125" t="str">
        <f>TiposLancamentos!B15</f>
        <v>Cartões de Crédito</v>
      </c>
      <c r="C3343" s="139" t="s">
        <v>5557</v>
      </c>
      <c r="D3343" s="51"/>
      <c r="E3343" s="857">
        <v>3039.21</v>
      </c>
    </row>
    <row r="3344" spans="1:6">
      <c r="A3344" s="856">
        <v>40725</v>
      </c>
      <c r="B3344" s="125" t="str">
        <f>TiposLancamentos!B13</f>
        <v>Moradia</v>
      </c>
      <c r="C3344" s="139" t="s">
        <v>22441</v>
      </c>
      <c r="D3344" s="51"/>
      <c r="E3344" s="857">
        <v>1100</v>
      </c>
      <c r="F3344" s="159"/>
    </row>
    <row r="3345" spans="1:6">
      <c r="A3345" s="856">
        <v>40725</v>
      </c>
      <c r="B3345" s="125" t="str">
        <f>TiposLancamentos!B64</f>
        <v>Viagens</v>
      </c>
      <c r="C3345" s="139" t="s">
        <v>22442</v>
      </c>
      <c r="D3345" s="51"/>
      <c r="E3345" s="857">
        <v>6</v>
      </c>
    </row>
    <row r="3346" spans="1:6">
      <c r="A3346" s="856">
        <v>40725</v>
      </c>
      <c r="B3346" s="125" t="str">
        <f>TiposLancamentos!B103</f>
        <v>Juros_Corr. Poupança</v>
      </c>
      <c r="C3346" s="139" t="s">
        <v>22443</v>
      </c>
      <c r="D3346" s="51">
        <v>1.03</v>
      </c>
      <c r="E3346" s="857"/>
    </row>
    <row r="3347" spans="1:6">
      <c r="A3347" s="856">
        <v>40727</v>
      </c>
      <c r="B3347" s="125" t="str">
        <f>TiposLancamentos!B64</f>
        <v>Viagens</v>
      </c>
      <c r="C3347" s="139" t="s">
        <v>22444</v>
      </c>
      <c r="D3347" s="51"/>
      <c r="E3347" s="857">
        <v>551.76</v>
      </c>
    </row>
    <row r="3348" spans="1:6">
      <c r="A3348" s="856">
        <v>40727</v>
      </c>
      <c r="B3348" s="125" t="str">
        <f>TiposLancamentos!B19</f>
        <v>Restaurantes</v>
      </c>
      <c r="C3348" s="139" t="s">
        <v>22445</v>
      </c>
      <c r="D3348" s="51"/>
      <c r="E3348" s="857">
        <v>20.100000000000001</v>
      </c>
    </row>
    <row r="3349" spans="1:6" ht="12.75" customHeight="1">
      <c r="A3349" s="856">
        <v>40728</v>
      </c>
      <c r="B3349" s="125" t="str">
        <f>TiposLancamentos!B5</f>
        <v>Supermercado</v>
      </c>
      <c r="C3349" s="139" t="s">
        <v>22446</v>
      </c>
      <c r="D3349" s="51"/>
      <c r="E3349" s="857">
        <v>11.8</v>
      </c>
    </row>
    <row r="3350" spans="1:6">
      <c r="A3350" s="856">
        <v>40728</v>
      </c>
      <c r="B3350" s="125" t="str">
        <f>TiposLancamentos!B6</f>
        <v>Energia Eletrica</v>
      </c>
      <c r="C3350" s="139" t="s">
        <v>5191</v>
      </c>
      <c r="D3350" s="51"/>
      <c r="E3350" s="857">
        <v>162.72999999999999</v>
      </c>
    </row>
    <row r="3351" spans="1:6">
      <c r="A3351" s="856">
        <v>40728</v>
      </c>
      <c r="B3351" s="125" t="str">
        <f>TiposLancamentos!B3</f>
        <v>Internet</v>
      </c>
      <c r="C3351" s="139" t="s">
        <v>22447</v>
      </c>
      <c r="D3351" s="51"/>
      <c r="E3351" s="857">
        <v>11.6</v>
      </c>
    </row>
    <row r="3352" spans="1:6">
      <c r="A3352" s="856">
        <v>40728</v>
      </c>
      <c r="B3352" s="125" t="str">
        <f>TiposLancamentos!B3</f>
        <v>Internet</v>
      </c>
      <c r="C3352" s="139" t="s">
        <v>22448</v>
      </c>
      <c r="D3352" s="51"/>
      <c r="E3352" s="857">
        <v>5.8</v>
      </c>
    </row>
    <row r="3353" spans="1:6">
      <c r="A3353" s="856">
        <v>40728</v>
      </c>
      <c r="B3353" s="125" t="str">
        <f>TiposLancamentos!B9</f>
        <v>Condominio</v>
      </c>
      <c r="C3353" s="139" t="s">
        <v>22449</v>
      </c>
      <c r="D3353" s="51"/>
      <c r="E3353" s="857">
        <v>772.58</v>
      </c>
    </row>
    <row r="3354" spans="1:6">
      <c r="A3354" s="961">
        <v>40728</v>
      </c>
      <c r="B3354" s="817" t="str">
        <f>TiposLancamentos!B8</f>
        <v>Aluguel</v>
      </c>
      <c r="C3354" s="962" t="s">
        <v>22450</v>
      </c>
      <c r="D3354" s="809"/>
      <c r="E3354" s="965">
        <f>F3355-E3355</f>
        <v>1074.48</v>
      </c>
    </row>
    <row r="3355" spans="1:6">
      <c r="A3355" s="963">
        <v>40728</v>
      </c>
      <c r="B3355" s="818" t="str">
        <f>TiposLancamentos!B12</f>
        <v>IPTU</v>
      </c>
      <c r="C3355" s="964" t="s">
        <v>13387</v>
      </c>
      <c r="D3355" s="813"/>
      <c r="E3355" s="966">
        <v>93.11</v>
      </c>
      <c r="F3355" s="156">
        <v>1167.5899999999999</v>
      </c>
    </row>
    <row r="3356" spans="1:6">
      <c r="A3356" s="856">
        <v>40728</v>
      </c>
      <c r="B3356" s="125" t="str">
        <f>TiposLancamentos!B34</f>
        <v>Seguros</v>
      </c>
      <c r="C3356" s="139" t="s">
        <v>22451</v>
      </c>
      <c r="D3356" s="51"/>
      <c r="E3356" s="857">
        <v>69</v>
      </c>
    </row>
    <row r="3357" spans="1:6">
      <c r="A3357" s="856">
        <v>40728</v>
      </c>
      <c r="B3357" s="125" t="str">
        <f>TiposLancamentos!B16</f>
        <v>Cristiane</v>
      </c>
      <c r="C3357" s="139" t="s">
        <v>22069</v>
      </c>
      <c r="D3357" s="51"/>
      <c r="E3357" s="857">
        <v>95.48</v>
      </c>
    </row>
    <row r="3358" spans="1:6">
      <c r="A3358" s="806">
        <v>40728</v>
      </c>
      <c r="B3358" s="807" t="str">
        <f>TiposLancamentos!B35</f>
        <v>Tv à Cabo</v>
      </c>
      <c r="C3358" s="808" t="s">
        <v>5834</v>
      </c>
      <c r="D3358" s="809"/>
      <c r="E3358" s="859">
        <v>147.09</v>
      </c>
    </row>
    <row r="3359" spans="1:6">
      <c r="A3359" s="773">
        <v>40728</v>
      </c>
      <c r="B3359" s="152" t="str">
        <f>TiposLancamentos!B3</f>
        <v>Internet</v>
      </c>
      <c r="C3359" s="141" t="s">
        <v>5835</v>
      </c>
      <c r="D3359" s="127"/>
      <c r="E3359" s="861">
        <v>72.34</v>
      </c>
    </row>
    <row r="3360" spans="1:6">
      <c r="A3360" s="810">
        <v>40728</v>
      </c>
      <c r="B3360" s="811" t="str">
        <f>TiposLancamentos!B2</f>
        <v>Telefonia</v>
      </c>
      <c r="C3360" s="812" t="s">
        <v>5836</v>
      </c>
      <c r="D3360" s="813"/>
      <c r="E3360" s="863">
        <v>37.9</v>
      </c>
      <c r="F3360" s="156">
        <f>SUM(E3358:E3360)</f>
        <v>257.33</v>
      </c>
    </row>
    <row r="3361" spans="1:6">
      <c r="A3361" s="856">
        <v>40728</v>
      </c>
      <c r="B3361" s="125" t="str">
        <f>TiposLancamentos!B87</f>
        <v>P207-1.6-XS</v>
      </c>
      <c r="C3361" s="139" t="s">
        <v>13522</v>
      </c>
      <c r="D3361" s="51"/>
      <c r="E3361" s="857">
        <v>731.97</v>
      </c>
    </row>
    <row r="3362" spans="1:6">
      <c r="A3362" s="856">
        <v>40728</v>
      </c>
      <c r="B3362" s="125" t="str">
        <f>TiposLancamentos!B87</f>
        <v>P207-1.6-XS</v>
      </c>
      <c r="C3362" s="139" t="s">
        <v>13524</v>
      </c>
      <c r="D3362" s="51"/>
      <c r="E3362" s="857">
        <v>541.29</v>
      </c>
    </row>
    <row r="3363" spans="1:6">
      <c r="A3363" s="856">
        <v>40728</v>
      </c>
      <c r="B3363" s="125" t="str">
        <f>TiposLancamentos!B5</f>
        <v>Supermercado</v>
      </c>
      <c r="C3363" s="139" t="s">
        <v>21475</v>
      </c>
      <c r="D3363" s="51"/>
      <c r="E3363" s="857">
        <v>97.06</v>
      </c>
    </row>
    <row r="3364" spans="1:6">
      <c r="A3364" s="856">
        <v>40729</v>
      </c>
      <c r="B3364" s="125" t="str">
        <f>TiposLancamentos!B57</f>
        <v>Informática</v>
      </c>
      <c r="C3364" s="139" t="s">
        <v>22452</v>
      </c>
      <c r="D3364" s="51"/>
      <c r="E3364" s="857">
        <v>240</v>
      </c>
    </row>
    <row r="3365" spans="1:6">
      <c r="A3365" s="856">
        <v>40729</v>
      </c>
      <c r="B3365" s="125" t="str">
        <f>TiposLancamentos!B20</f>
        <v>Saques</v>
      </c>
      <c r="C3365" s="139" t="s">
        <v>2668</v>
      </c>
      <c r="D3365" s="51"/>
      <c r="E3365" s="857">
        <v>40</v>
      </c>
    </row>
    <row r="3366" spans="1:6">
      <c r="A3366" s="856">
        <v>40729</v>
      </c>
      <c r="B3366" s="125" t="str">
        <f>TiposLancamentos!B19</f>
        <v>Restaurantes</v>
      </c>
      <c r="C3366" s="139" t="s">
        <v>5613</v>
      </c>
      <c r="D3366" s="51"/>
      <c r="E3366" s="857">
        <v>33.61</v>
      </c>
    </row>
    <row r="3367" spans="1:6">
      <c r="A3367" s="856">
        <v>40729</v>
      </c>
      <c r="B3367" s="125" t="str">
        <f>TiposLancamentos!B99</f>
        <v>Venda de algo</v>
      </c>
      <c r="C3367" s="139" t="s">
        <v>22453</v>
      </c>
      <c r="D3367" s="51">
        <v>50</v>
      </c>
      <c r="E3367" s="857"/>
    </row>
    <row r="3368" spans="1:6">
      <c r="A3368" s="856">
        <v>40730</v>
      </c>
      <c r="B3368" s="125" t="str">
        <f>TiposLancamentos!B43</f>
        <v>Imposto de Renda</v>
      </c>
      <c r="C3368" s="139" t="s">
        <v>22454</v>
      </c>
      <c r="D3368" s="51"/>
      <c r="E3368" s="857">
        <v>305.68</v>
      </c>
    </row>
    <row r="3369" spans="1:6">
      <c r="A3369" s="856">
        <v>40730</v>
      </c>
      <c r="B3369" s="125" t="str">
        <f>TiposLancamentos!B15</f>
        <v>Cartões de Crédito</v>
      </c>
      <c r="C3369" s="139" t="s">
        <v>2928</v>
      </c>
      <c r="D3369" s="51"/>
      <c r="E3369" s="857">
        <v>13.73</v>
      </c>
    </row>
    <row r="3370" spans="1:6">
      <c r="A3370" s="856">
        <v>40731</v>
      </c>
      <c r="B3370" s="125" t="str">
        <f>TiposLancamentos!B8</f>
        <v>Aluguel</v>
      </c>
      <c r="C3370" s="139" t="s">
        <v>22455</v>
      </c>
      <c r="D3370" s="51"/>
      <c r="E3370" s="857">
        <v>124.57</v>
      </c>
    </row>
    <row r="3371" spans="1:6">
      <c r="A3371" s="856">
        <v>40731</v>
      </c>
      <c r="B3371" s="125" t="str">
        <f>TiposLancamentos!B62</f>
        <v>Papelaria</v>
      </c>
      <c r="C3371" s="139" t="s">
        <v>22456</v>
      </c>
      <c r="D3371" s="51"/>
      <c r="E3371" s="857">
        <v>14.18</v>
      </c>
    </row>
    <row r="3372" spans="1:6">
      <c r="A3372" s="856">
        <v>40731</v>
      </c>
      <c r="B3372" s="125" t="str">
        <f>TiposLancamentos!B60</f>
        <v>Correio</v>
      </c>
      <c r="C3372" s="139" t="s">
        <v>22457</v>
      </c>
      <c r="D3372" s="51"/>
      <c r="E3372" s="857">
        <v>21.9</v>
      </c>
    </row>
    <row r="3373" spans="1:6">
      <c r="A3373" s="856">
        <v>40731</v>
      </c>
      <c r="B3373" s="125" t="str">
        <f>TiposLancamentos!B20</f>
        <v>Saques</v>
      </c>
      <c r="C3373" s="139" t="s">
        <v>3604</v>
      </c>
      <c r="D3373" s="51"/>
      <c r="E3373" s="857">
        <v>40</v>
      </c>
    </row>
    <row r="3374" spans="1:6">
      <c r="A3374" s="856">
        <v>40731</v>
      </c>
      <c r="B3374" s="125" t="str">
        <f>TiposLancamentos!B87</f>
        <v>P207-1.6-XS</v>
      </c>
      <c r="C3374" s="139" t="s">
        <v>22458</v>
      </c>
      <c r="D3374" s="51"/>
      <c r="E3374" s="857">
        <v>606</v>
      </c>
      <c r="F3374" s="156">
        <v>606</v>
      </c>
    </row>
    <row r="3375" spans="1:6">
      <c r="A3375" s="856">
        <v>40731</v>
      </c>
      <c r="B3375" s="125" t="str">
        <f>TiposLancamentos!B56</f>
        <v>Farmácia</v>
      </c>
      <c r="C3375" s="139" t="s">
        <v>22459</v>
      </c>
      <c r="D3375" s="51"/>
      <c r="E3375" s="857">
        <v>71.97</v>
      </c>
    </row>
    <row r="3376" spans="1:6">
      <c r="A3376" s="856">
        <v>40731</v>
      </c>
      <c r="B3376" s="125" t="str">
        <f>TiposLancamentos!B19</f>
        <v>Restaurantes</v>
      </c>
      <c r="C3376" s="139" t="s">
        <v>6468</v>
      </c>
      <c r="D3376" s="51"/>
      <c r="E3376" s="857">
        <v>96.25</v>
      </c>
    </row>
    <row r="3377" spans="1:6">
      <c r="A3377" s="856">
        <v>40732</v>
      </c>
      <c r="B3377" s="125" t="str">
        <f>TiposLancamentos!B56</f>
        <v>Farmácia</v>
      </c>
      <c r="C3377" s="139" t="s">
        <v>22460</v>
      </c>
      <c r="D3377" s="51"/>
      <c r="E3377" s="857">
        <v>8.99</v>
      </c>
    </row>
    <row r="3378" spans="1:6">
      <c r="A3378" s="856">
        <v>40732</v>
      </c>
      <c r="B3378" s="125" t="str">
        <f>TiposLancamentos!B19</f>
        <v>Restaurantes</v>
      </c>
      <c r="C3378" s="139" t="s">
        <v>22461</v>
      </c>
      <c r="D3378" s="51"/>
      <c r="E3378" s="857">
        <v>21</v>
      </c>
    </row>
    <row r="3379" spans="1:6">
      <c r="A3379" s="856">
        <v>40732</v>
      </c>
      <c r="B3379" s="125" t="str">
        <f>TiposLancamentos!B103</f>
        <v>Juros_Corr. Poupança</v>
      </c>
      <c r="C3379" s="139" t="s">
        <v>22462</v>
      </c>
      <c r="D3379" s="51">
        <v>1.1599999999999999</v>
      </c>
      <c r="E3379" s="857"/>
    </row>
    <row r="3380" spans="1:6">
      <c r="A3380" s="856">
        <v>40734</v>
      </c>
      <c r="B3380" s="125" t="str">
        <f>TiposLancamentos!B19</f>
        <v>Restaurantes</v>
      </c>
      <c r="C3380" s="139" t="s">
        <v>22463</v>
      </c>
      <c r="D3380" s="51"/>
      <c r="E3380" s="857">
        <v>65.3</v>
      </c>
    </row>
    <row r="3381" spans="1:6">
      <c r="A3381" s="856">
        <v>40735</v>
      </c>
      <c r="B3381" s="125" t="str">
        <f>TiposLancamentos!B19</f>
        <v>Restaurantes</v>
      </c>
      <c r="C3381" s="139" t="s">
        <v>6597</v>
      </c>
      <c r="D3381" s="51"/>
      <c r="E3381" s="857">
        <v>29.59</v>
      </c>
    </row>
    <row r="3382" spans="1:6">
      <c r="A3382" s="856">
        <v>40736</v>
      </c>
      <c r="B3382" s="125" t="str">
        <f>TiposLancamentos!B20</f>
        <v>Saques</v>
      </c>
      <c r="C3382" s="139" t="s">
        <v>4149</v>
      </c>
      <c r="D3382" s="51"/>
      <c r="E3382" s="857">
        <v>90</v>
      </c>
    </row>
    <row r="3383" spans="1:6">
      <c r="A3383" s="856">
        <v>40736</v>
      </c>
      <c r="B3383" s="125" t="str">
        <f>TiposLancamentos!B69</f>
        <v>Consertos</v>
      </c>
      <c r="C3383" s="139" t="s">
        <v>22464</v>
      </c>
      <c r="D3383" s="51"/>
      <c r="E3383" s="857">
        <v>90</v>
      </c>
    </row>
    <row r="3384" spans="1:6">
      <c r="A3384" s="856">
        <v>40736</v>
      </c>
      <c r="B3384" s="125" t="str">
        <f>TiposLancamentos!B103</f>
        <v>Juros_Corr. Poupança</v>
      </c>
      <c r="C3384" s="139" t="s">
        <v>17656</v>
      </c>
      <c r="D3384" s="51">
        <v>0.83</v>
      </c>
      <c r="E3384" s="857"/>
    </row>
    <row r="3385" spans="1:6">
      <c r="A3385" s="856">
        <v>40737</v>
      </c>
      <c r="B3385" s="125" t="str">
        <f>TiposLancamentos!B19</f>
        <v>Restaurantes</v>
      </c>
      <c r="C3385" s="139" t="s">
        <v>22465</v>
      </c>
      <c r="D3385" s="51"/>
      <c r="E3385" s="857">
        <v>14.73</v>
      </c>
    </row>
    <row r="3386" spans="1:6">
      <c r="A3386" s="856">
        <v>40738</v>
      </c>
      <c r="B3386" s="125" t="str">
        <f>TiposLancamentos!B103</f>
        <v>Juros_Corr. Poupança</v>
      </c>
      <c r="C3386" s="139" t="s">
        <v>17656</v>
      </c>
      <c r="D3386" s="51">
        <v>2.41</v>
      </c>
      <c r="E3386" s="857"/>
    </row>
    <row r="3387" spans="1:6">
      <c r="A3387" s="961">
        <v>40738</v>
      </c>
      <c r="B3387" s="817" t="str">
        <f>TiposLancamentos!B22</f>
        <v>Combustivel</v>
      </c>
      <c r="C3387" s="962" t="s">
        <v>4404</v>
      </c>
      <c r="D3387" s="809"/>
      <c r="E3387" s="965">
        <v>72</v>
      </c>
      <c r="F3387" s="156">
        <v>82.1</v>
      </c>
    </row>
    <row r="3388" spans="1:6">
      <c r="A3388" s="963">
        <v>40738</v>
      </c>
      <c r="B3388" s="818" t="str">
        <f>TiposLancamentos!B51</f>
        <v>Marlboro</v>
      </c>
      <c r="C3388" s="964" t="s">
        <v>3562</v>
      </c>
      <c r="D3388" s="813"/>
      <c r="E3388" s="966">
        <f>F3387-E3387</f>
        <v>10.099999999999994</v>
      </c>
    </row>
    <row r="3389" spans="1:6">
      <c r="A3389" s="856">
        <v>40739</v>
      </c>
      <c r="B3389" s="125" t="str">
        <f>TiposLancamentos!B103</f>
        <v>Juros_Corr. Poupança</v>
      </c>
      <c r="C3389" s="139" t="s">
        <v>17656</v>
      </c>
      <c r="D3389" s="51">
        <v>3.46</v>
      </c>
      <c r="E3389" s="857"/>
    </row>
    <row r="3390" spans="1:6">
      <c r="A3390" s="856">
        <v>40739</v>
      </c>
      <c r="B3390" s="125" t="str">
        <f>TiposLancamentos!B24</f>
        <v>Estacionamentos</v>
      </c>
      <c r="C3390" s="139" t="s">
        <v>5392</v>
      </c>
      <c r="D3390" s="51"/>
      <c r="E3390" s="857">
        <v>75.099999999999994</v>
      </c>
    </row>
    <row r="3391" spans="1:6">
      <c r="A3391" s="856">
        <v>40739</v>
      </c>
      <c r="B3391" s="125" t="str">
        <f>TiposLancamentos!B87</f>
        <v>P207-1.6-XS</v>
      </c>
      <c r="C3391" s="139" t="s">
        <v>13532</v>
      </c>
      <c r="D3391" s="51"/>
      <c r="E3391" s="857">
        <v>551.85</v>
      </c>
    </row>
    <row r="3392" spans="1:6">
      <c r="A3392" s="856">
        <v>40740</v>
      </c>
      <c r="B3392" s="125" t="str">
        <f>TiposLancamentos!B5</f>
        <v>Supermercado</v>
      </c>
      <c r="C3392" s="139" t="s">
        <v>5844</v>
      </c>
      <c r="D3392" s="51"/>
      <c r="E3392" s="857">
        <v>78.97</v>
      </c>
    </row>
    <row r="3393" spans="1:5">
      <c r="A3393" s="856">
        <v>40741</v>
      </c>
      <c r="B3393" s="125" t="str">
        <f>TiposLancamentos!B13</f>
        <v>Moradia</v>
      </c>
      <c r="C3393" s="139" t="s">
        <v>22466</v>
      </c>
      <c r="D3393" s="51"/>
      <c r="E3393" s="857">
        <v>15</v>
      </c>
    </row>
    <row r="3394" spans="1:5">
      <c r="A3394" s="856">
        <v>40741</v>
      </c>
      <c r="B3394" s="125" t="str">
        <f>TiposLancamentos!B19</f>
        <v>Restaurantes</v>
      </c>
      <c r="C3394" s="139" t="s">
        <v>22467</v>
      </c>
      <c r="D3394" s="51"/>
      <c r="E3394" s="857">
        <v>111.65</v>
      </c>
    </row>
    <row r="3395" spans="1:5">
      <c r="A3395" s="856">
        <v>40741</v>
      </c>
      <c r="B3395" s="125" t="str">
        <f>TiposLancamentos!B19</f>
        <v>Restaurantes</v>
      </c>
      <c r="C3395" s="139" t="s">
        <v>22468</v>
      </c>
      <c r="D3395" s="51"/>
      <c r="E3395" s="857">
        <v>15.4</v>
      </c>
    </row>
    <row r="3396" spans="1:5">
      <c r="A3396" s="856">
        <v>40741</v>
      </c>
      <c r="B3396" s="125" t="str">
        <f>TiposLancamentos!B20</f>
        <v>Saques</v>
      </c>
      <c r="C3396" s="139" t="s">
        <v>22469</v>
      </c>
      <c r="D3396" s="51"/>
      <c r="E3396" s="857">
        <v>40</v>
      </c>
    </row>
    <row r="3397" spans="1:5">
      <c r="A3397" s="856">
        <v>40741</v>
      </c>
      <c r="B3397" s="125" t="str">
        <f>TiposLancamentos!B16</f>
        <v>Cristiane</v>
      </c>
      <c r="C3397" s="139" t="s">
        <v>22470</v>
      </c>
      <c r="D3397" s="51"/>
      <c r="E3397" s="857">
        <v>167</v>
      </c>
    </row>
    <row r="3398" spans="1:5">
      <c r="A3398" s="856">
        <v>40742</v>
      </c>
      <c r="B3398" s="125" t="str">
        <f>TiposLancamentos!B20</f>
        <v>Saques</v>
      </c>
      <c r="C3398" s="139" t="s">
        <v>22469</v>
      </c>
      <c r="D3398" s="51"/>
      <c r="E3398" s="857">
        <v>40</v>
      </c>
    </row>
    <row r="3399" spans="1:5">
      <c r="A3399" s="856">
        <v>40742</v>
      </c>
      <c r="B3399" s="125" t="str">
        <f>TiposLancamentos!B5</f>
        <v>Supermercado</v>
      </c>
      <c r="C3399" s="139" t="s">
        <v>5801</v>
      </c>
      <c r="D3399" s="51"/>
      <c r="E3399" s="857">
        <v>31.64</v>
      </c>
    </row>
    <row r="3400" spans="1:5">
      <c r="A3400" s="856">
        <v>40743</v>
      </c>
      <c r="B3400" s="125" t="str">
        <f>TiposLancamentos!B16</f>
        <v>Cristiane</v>
      </c>
      <c r="C3400" s="139" t="s">
        <v>22471</v>
      </c>
      <c r="D3400" s="51"/>
      <c r="E3400" s="857">
        <v>70</v>
      </c>
    </row>
    <row r="3401" spans="1:5">
      <c r="A3401" s="856">
        <v>40743</v>
      </c>
      <c r="B3401" s="125" t="str">
        <f>TiposLancamentos!B20</f>
        <v>Saques</v>
      </c>
      <c r="C3401" s="139" t="s">
        <v>22472</v>
      </c>
      <c r="D3401" s="51"/>
      <c r="E3401" s="857">
        <v>210</v>
      </c>
    </row>
    <row r="3402" spans="1:5">
      <c r="A3402" s="856">
        <v>40744</v>
      </c>
      <c r="B3402" s="125" t="str">
        <f>TiposLancamentos!B19</f>
        <v>Restaurantes</v>
      </c>
      <c r="C3402" s="139" t="s">
        <v>21567</v>
      </c>
      <c r="D3402" s="51"/>
      <c r="E3402" s="857">
        <v>41.5</v>
      </c>
    </row>
    <row r="3403" spans="1:5">
      <c r="A3403" s="856">
        <v>40746</v>
      </c>
      <c r="B3403" s="125" t="str">
        <f>TiposLancamentos!B103</f>
        <v>Juros_Corr. Poupança</v>
      </c>
      <c r="C3403" s="139" t="s">
        <v>17656</v>
      </c>
      <c r="D3403" s="51">
        <v>0.03</v>
      </c>
      <c r="E3403" s="857"/>
    </row>
    <row r="3404" spans="1:5">
      <c r="A3404" s="856">
        <v>40745</v>
      </c>
      <c r="B3404" s="125" t="str">
        <f>TiposLancamentos!B19</f>
        <v>Restaurantes</v>
      </c>
      <c r="C3404" s="139" t="s">
        <v>21615</v>
      </c>
      <c r="D3404" s="51"/>
      <c r="E3404" s="857">
        <v>17.8</v>
      </c>
    </row>
    <row r="3405" spans="1:5">
      <c r="A3405" s="856">
        <v>40750</v>
      </c>
      <c r="B3405" s="125" t="str">
        <f>TiposLancamentos!B19</f>
        <v>Restaurantes</v>
      </c>
      <c r="C3405" s="139" t="s">
        <v>6122</v>
      </c>
      <c r="D3405" s="51"/>
      <c r="E3405" s="857">
        <v>25.9</v>
      </c>
    </row>
    <row r="3406" spans="1:5">
      <c r="A3406" s="856">
        <v>40753</v>
      </c>
      <c r="B3406" s="125" t="str">
        <f>TiposLancamentos!B95</f>
        <v>Salarios</v>
      </c>
      <c r="C3406" s="126" t="s">
        <v>4939</v>
      </c>
      <c r="D3406" s="51">
        <v>7759.8</v>
      </c>
      <c r="E3406" s="857"/>
    </row>
    <row r="3407" spans="1:5">
      <c r="A3407" s="856">
        <v>40753</v>
      </c>
      <c r="B3407" s="125" t="str">
        <f>TiposLancamentos!B43</f>
        <v>Imposto de Renda</v>
      </c>
      <c r="C3407" s="139" t="s">
        <v>22473</v>
      </c>
      <c r="D3407" s="51"/>
      <c r="E3407" s="857">
        <v>291.33</v>
      </c>
    </row>
    <row r="3408" spans="1:5">
      <c r="A3408" s="856">
        <v>40753</v>
      </c>
      <c r="B3408" s="125" t="str">
        <f>TiposLancamentos!B20</f>
        <v>Saques</v>
      </c>
      <c r="C3408" s="139" t="s">
        <v>3604</v>
      </c>
      <c r="D3408" s="51"/>
      <c r="E3408" s="857">
        <v>60</v>
      </c>
    </row>
    <row r="3409" spans="1:6">
      <c r="A3409" s="856">
        <v>40753</v>
      </c>
      <c r="B3409" s="125" t="str">
        <f>TiposLancamentos!B5</f>
        <v>Supermercado</v>
      </c>
      <c r="C3409" s="139" t="s">
        <v>5801</v>
      </c>
      <c r="D3409" s="51"/>
      <c r="E3409" s="857">
        <v>67.58</v>
      </c>
    </row>
    <row r="3410" spans="1:6" ht="14.25" thickBot="1">
      <c r="A3410" s="856">
        <v>40755</v>
      </c>
      <c r="B3410" s="125" t="str">
        <f>TiposLancamentos!B19</f>
        <v>Restaurantes</v>
      </c>
      <c r="C3410" s="139" t="s">
        <v>22474</v>
      </c>
      <c r="D3410" s="51"/>
      <c r="E3410" s="857">
        <v>155.97999999999999</v>
      </c>
    </row>
    <row r="3411" spans="1:6" ht="14.25" thickBot="1">
      <c r="A3411" s="998"/>
      <c r="B3411" s="989"/>
      <c r="C3411" s="990" t="s">
        <v>4204</v>
      </c>
      <c r="D3411" s="991"/>
      <c r="E3411" s="999"/>
    </row>
    <row r="3412" spans="1:6">
      <c r="A3412" s="856">
        <v>40756</v>
      </c>
      <c r="B3412" s="125" t="str">
        <f>TiposLancamentos!B15</f>
        <v>Cartões de Crédito</v>
      </c>
      <c r="C3412" s="139" t="s">
        <v>5557</v>
      </c>
      <c r="D3412" s="51"/>
      <c r="E3412" s="857">
        <v>1980.23</v>
      </c>
    </row>
    <row r="3413" spans="1:6">
      <c r="A3413" s="856">
        <v>40756</v>
      </c>
      <c r="B3413" s="125" t="str">
        <f>TiposLancamentos!B6</f>
        <v>Energia Eletrica</v>
      </c>
      <c r="C3413" s="139" t="s">
        <v>21858</v>
      </c>
      <c r="D3413" s="51"/>
      <c r="E3413" s="857">
        <v>153.41999999999999</v>
      </c>
    </row>
    <row r="3414" spans="1:6">
      <c r="A3414" s="961">
        <v>40756</v>
      </c>
      <c r="B3414" s="817" t="str">
        <f>TiposLancamentos!B8</f>
        <v>Aluguel</v>
      </c>
      <c r="C3414" s="962" t="s">
        <v>1682</v>
      </c>
      <c r="D3414" s="809"/>
      <c r="E3414" s="965">
        <f>F3415-E3415</f>
        <v>1195.5500000000002</v>
      </c>
    </row>
    <row r="3415" spans="1:6">
      <c r="A3415" s="963">
        <v>40756</v>
      </c>
      <c r="B3415" s="818" t="str">
        <f>TiposLancamentos!B12</f>
        <v>IPTU</v>
      </c>
      <c r="C3415" s="964" t="s">
        <v>13397</v>
      </c>
      <c r="D3415" s="813"/>
      <c r="E3415" s="966">
        <v>93.11</v>
      </c>
      <c r="F3415" s="156">
        <v>1288.6600000000001</v>
      </c>
    </row>
    <row r="3416" spans="1:6">
      <c r="A3416" s="856">
        <v>40756</v>
      </c>
      <c r="B3416" s="125" t="str">
        <f>TiposLancamentos!B9</f>
        <v>Condominio</v>
      </c>
      <c r="C3416" s="139" t="s">
        <v>5925</v>
      </c>
      <c r="D3416" s="51"/>
      <c r="E3416" s="857">
        <v>760.96</v>
      </c>
    </row>
    <row r="3417" spans="1:6">
      <c r="A3417" s="806">
        <v>40756</v>
      </c>
      <c r="B3417" s="807" t="str">
        <f>TiposLancamentos!B35</f>
        <v>Tv à Cabo</v>
      </c>
      <c r="C3417" s="808" t="s">
        <v>5834</v>
      </c>
      <c r="D3417" s="809"/>
      <c r="E3417" s="859">
        <v>147.09</v>
      </c>
    </row>
    <row r="3418" spans="1:6">
      <c r="A3418" s="773">
        <v>40756</v>
      </c>
      <c r="B3418" s="152" t="str">
        <f>TiposLancamentos!B3</f>
        <v>Internet</v>
      </c>
      <c r="C3418" s="141" t="s">
        <v>5835</v>
      </c>
      <c r="D3418" s="127"/>
      <c r="E3418" s="861">
        <v>72.34</v>
      </c>
    </row>
    <row r="3419" spans="1:6">
      <c r="A3419" s="810">
        <v>40756</v>
      </c>
      <c r="B3419" s="811" t="str">
        <f>TiposLancamentos!B2</f>
        <v>Telefonia</v>
      </c>
      <c r="C3419" s="812" t="s">
        <v>5836</v>
      </c>
      <c r="D3419" s="813"/>
      <c r="E3419" s="863">
        <v>37.9</v>
      </c>
      <c r="F3419" s="156">
        <f>SUM(E3417:E3419)</f>
        <v>257.33</v>
      </c>
    </row>
    <row r="3420" spans="1:6">
      <c r="A3420" s="856">
        <v>40756</v>
      </c>
      <c r="B3420" s="125" t="str">
        <f>TiposLancamentos!B87</f>
        <v>P207-1.6-XS</v>
      </c>
      <c r="C3420" s="139" t="s">
        <v>13533</v>
      </c>
      <c r="D3420" s="51"/>
      <c r="E3420" s="857">
        <v>730.85</v>
      </c>
      <c r="F3420" s="156"/>
    </row>
    <row r="3421" spans="1:6">
      <c r="A3421" s="856">
        <v>40756</v>
      </c>
      <c r="B3421" s="125" t="str">
        <f>TiposLancamentos!B87</f>
        <v>P207-1.6-XS</v>
      </c>
      <c r="C3421" s="139" t="s">
        <v>13535</v>
      </c>
      <c r="D3421" s="51"/>
      <c r="E3421" s="857">
        <v>563.41</v>
      </c>
    </row>
    <row r="3422" spans="1:6">
      <c r="A3422" s="856">
        <v>40756</v>
      </c>
      <c r="B3422" s="125" t="str">
        <f>TiposLancamentos!B13</f>
        <v>Moradia</v>
      </c>
      <c r="C3422" s="139" t="s">
        <v>22475</v>
      </c>
      <c r="D3422" s="51"/>
      <c r="E3422" s="857">
        <v>1000</v>
      </c>
    </row>
    <row r="3423" spans="1:6">
      <c r="A3423" s="856">
        <v>40756</v>
      </c>
      <c r="B3423" s="125" t="str">
        <f>TiposLancamentos!B4</f>
        <v>Taxas Bancarias</v>
      </c>
      <c r="C3423" s="139" t="s">
        <v>5339</v>
      </c>
      <c r="D3423" s="51"/>
      <c r="E3423" s="857">
        <v>0.08</v>
      </c>
    </row>
    <row r="3424" spans="1:6">
      <c r="A3424" s="856">
        <v>40757</v>
      </c>
      <c r="B3424" s="125" t="str">
        <f>TiposLancamentos!B34</f>
        <v>Seguros</v>
      </c>
      <c r="C3424" s="139" t="s">
        <v>5809</v>
      </c>
      <c r="D3424" s="51"/>
      <c r="E3424" s="857">
        <v>69</v>
      </c>
    </row>
    <row r="3425" spans="1:6">
      <c r="A3425" s="856">
        <v>40757</v>
      </c>
      <c r="B3425" s="125" t="str">
        <f>TiposLancamentos!B13</f>
        <v>Moradia</v>
      </c>
      <c r="C3425" s="139" t="s">
        <v>22476</v>
      </c>
      <c r="D3425" s="51"/>
      <c r="E3425" s="857">
        <v>88.54</v>
      </c>
    </row>
    <row r="3426" spans="1:6">
      <c r="A3426" s="856">
        <v>40759</v>
      </c>
      <c r="B3426" s="125" t="str">
        <f>TiposLancamentos!B19</f>
        <v>Restaurantes</v>
      </c>
      <c r="C3426" s="139" t="s">
        <v>22477</v>
      </c>
      <c r="D3426" s="51"/>
      <c r="E3426" s="857">
        <v>30.26</v>
      </c>
    </row>
    <row r="3427" spans="1:6">
      <c r="A3427" s="856">
        <v>40760</v>
      </c>
      <c r="B3427" s="125" t="str">
        <f>TiposLancamentos!B19</f>
        <v>Restaurantes</v>
      </c>
      <c r="C3427" s="139" t="s">
        <v>6917</v>
      </c>
      <c r="D3427" s="51"/>
      <c r="E3427" s="857">
        <v>58.4</v>
      </c>
    </row>
    <row r="3428" spans="1:6">
      <c r="A3428" s="961">
        <v>40760</v>
      </c>
      <c r="B3428" s="817" t="str">
        <f>TiposLancamentos!B17</f>
        <v>GATO</v>
      </c>
      <c r="C3428" s="962" t="s">
        <v>22284</v>
      </c>
      <c r="D3428" s="809"/>
      <c r="E3428" s="965">
        <f>17.8</f>
        <v>17.8</v>
      </c>
      <c r="F3428" s="156">
        <v>43.32</v>
      </c>
    </row>
    <row r="3429" spans="1:6">
      <c r="A3429" s="963">
        <v>40760</v>
      </c>
      <c r="B3429" s="818" t="str">
        <f>TiposLancamentos!B56</f>
        <v>Farmácia</v>
      </c>
      <c r="C3429" s="964" t="s">
        <v>5872</v>
      </c>
      <c r="D3429" s="813"/>
      <c r="E3429" s="966">
        <f>F3428-E3428</f>
        <v>25.52</v>
      </c>
      <c r="F3429" s="156"/>
    </row>
    <row r="3430" spans="1:6">
      <c r="A3430" s="856">
        <v>40761</v>
      </c>
      <c r="B3430" s="125" t="str">
        <f>TiposLancamentos!B19</f>
        <v>Restaurantes</v>
      </c>
      <c r="C3430" s="139" t="s">
        <v>22214</v>
      </c>
      <c r="D3430" s="51"/>
      <c r="E3430" s="857">
        <v>21.43</v>
      </c>
    </row>
    <row r="3431" spans="1:6">
      <c r="A3431" s="856">
        <v>40761</v>
      </c>
      <c r="B3431" s="125" t="str">
        <f>TiposLancamentos!B19</f>
        <v>Restaurantes</v>
      </c>
      <c r="C3431" s="139" t="s">
        <v>22478</v>
      </c>
      <c r="D3431" s="51"/>
      <c r="E3431" s="857">
        <v>14.4</v>
      </c>
    </row>
    <row r="3432" spans="1:6">
      <c r="A3432" s="856">
        <v>40761</v>
      </c>
      <c r="B3432" s="125" t="str">
        <f>TiposLancamentos!B20</f>
        <v>Saques</v>
      </c>
      <c r="C3432" s="139" t="s">
        <v>1706</v>
      </c>
      <c r="D3432" s="51"/>
      <c r="E3432" s="857">
        <v>200</v>
      </c>
    </row>
    <row r="3433" spans="1:6">
      <c r="A3433" s="856">
        <v>40762</v>
      </c>
      <c r="B3433" s="125" t="str">
        <f>TiposLancamentos!B19</f>
        <v>Restaurantes</v>
      </c>
      <c r="C3433" s="139" t="s">
        <v>22478</v>
      </c>
      <c r="D3433" s="51"/>
      <c r="E3433" s="857">
        <v>26.1</v>
      </c>
    </row>
    <row r="3434" spans="1:6">
      <c r="A3434" s="856">
        <v>40762</v>
      </c>
      <c r="B3434" s="125" t="str">
        <f>TiposLancamentos!B19</f>
        <v>Restaurantes</v>
      </c>
      <c r="C3434" s="139" t="s">
        <v>3995</v>
      </c>
      <c r="D3434" s="51"/>
      <c r="E3434" s="857">
        <v>32.5</v>
      </c>
    </row>
    <row r="3435" spans="1:6">
      <c r="A3435" s="856">
        <v>40763</v>
      </c>
      <c r="B3435" s="125" t="str">
        <f>TiposLancamentos!B19</f>
        <v>Restaurantes</v>
      </c>
      <c r="C3435" s="139" t="s">
        <v>22214</v>
      </c>
      <c r="D3435" s="51"/>
      <c r="E3435" s="857">
        <v>9.65</v>
      </c>
    </row>
    <row r="3436" spans="1:6">
      <c r="A3436" s="856">
        <v>40765</v>
      </c>
      <c r="B3436" s="125" t="str">
        <f>TiposLancamentos!B19</f>
        <v>Restaurantes</v>
      </c>
      <c r="C3436" s="139" t="s">
        <v>3755</v>
      </c>
      <c r="D3436" s="51"/>
      <c r="E3436" s="857">
        <v>47.44</v>
      </c>
    </row>
    <row r="3437" spans="1:6">
      <c r="A3437" s="856">
        <v>40765</v>
      </c>
      <c r="B3437" s="125" t="str">
        <f>TiposLancamentos!B22</f>
        <v>Combustivel</v>
      </c>
      <c r="C3437" s="139" t="s">
        <v>22479</v>
      </c>
      <c r="D3437" s="51"/>
      <c r="E3437" s="857">
        <v>123.02</v>
      </c>
    </row>
    <row r="3438" spans="1:6">
      <c r="A3438" s="856">
        <v>40765</v>
      </c>
      <c r="B3438" s="125" t="str">
        <f>TiposLancamentos!B19</f>
        <v>Restaurantes</v>
      </c>
      <c r="C3438" s="139" t="s">
        <v>17553</v>
      </c>
      <c r="D3438" s="51"/>
      <c r="E3438" s="857">
        <v>54.8</v>
      </c>
    </row>
    <row r="3439" spans="1:6">
      <c r="A3439" s="856">
        <v>40768</v>
      </c>
      <c r="B3439" s="125" t="str">
        <f>TiposLancamentos!B19</f>
        <v>Restaurantes</v>
      </c>
      <c r="C3439" s="139" t="s">
        <v>22480</v>
      </c>
      <c r="D3439" s="51"/>
      <c r="E3439" s="857">
        <v>34.799999999999997</v>
      </c>
    </row>
    <row r="3440" spans="1:6">
      <c r="A3440" s="856">
        <v>40768</v>
      </c>
      <c r="B3440" s="125" t="str">
        <f>TiposLancamentos!B69</f>
        <v>Consertos</v>
      </c>
      <c r="C3440" s="139" t="s">
        <v>22481</v>
      </c>
      <c r="D3440" s="51"/>
      <c r="E3440" s="857">
        <v>16.25</v>
      </c>
    </row>
    <row r="3441" spans="1:5">
      <c r="A3441" s="856">
        <v>40768</v>
      </c>
      <c r="B3441" s="125" t="str">
        <f>TiposLancamentos!B20</f>
        <v>Saques</v>
      </c>
      <c r="C3441" s="139" t="s">
        <v>4142</v>
      </c>
      <c r="D3441" s="51"/>
      <c r="E3441" s="857">
        <v>60</v>
      </c>
    </row>
    <row r="3442" spans="1:5">
      <c r="A3442" s="856">
        <v>40768</v>
      </c>
      <c r="B3442" s="125" t="str">
        <f>TiposLancamentos!B19</f>
        <v>Restaurantes</v>
      </c>
      <c r="C3442" s="139" t="s">
        <v>22482</v>
      </c>
      <c r="D3442" s="51"/>
      <c r="E3442" s="857">
        <v>35.5</v>
      </c>
    </row>
    <row r="3443" spans="1:5">
      <c r="A3443" s="856">
        <v>40769</v>
      </c>
      <c r="B3443" s="125" t="str">
        <f>TiposLancamentos!B5</f>
        <v>Supermercado</v>
      </c>
      <c r="C3443" s="139" t="s">
        <v>5967</v>
      </c>
      <c r="D3443" s="51"/>
      <c r="E3443" s="857">
        <v>83.92</v>
      </c>
    </row>
    <row r="3444" spans="1:5">
      <c r="A3444" s="856">
        <v>40770</v>
      </c>
      <c r="B3444" s="125" t="str">
        <f>TiposLancamentos!B95</f>
        <v>Salarios</v>
      </c>
      <c r="C3444" s="139" t="s">
        <v>4916</v>
      </c>
      <c r="D3444" s="51">
        <v>1990.45</v>
      </c>
      <c r="E3444" s="857"/>
    </row>
    <row r="3445" spans="1:5">
      <c r="A3445" s="856">
        <v>40770</v>
      </c>
      <c r="B3445" s="125" t="str">
        <f>TiposLancamentos!B24</f>
        <v>Estacionamentos</v>
      </c>
      <c r="C3445" s="139" t="s">
        <v>5428</v>
      </c>
      <c r="D3445" s="51"/>
      <c r="E3445" s="857">
        <v>6.48</v>
      </c>
    </row>
    <row r="3446" spans="1:5">
      <c r="A3446" s="856">
        <v>40770</v>
      </c>
      <c r="B3446" s="125" t="str">
        <f>TiposLancamentos!B3</f>
        <v>Internet</v>
      </c>
      <c r="C3446" s="139" t="s">
        <v>5838</v>
      </c>
      <c r="D3446" s="51"/>
      <c r="E3446" s="857">
        <v>59.95</v>
      </c>
    </row>
    <row r="3447" spans="1:5">
      <c r="A3447" s="856">
        <v>40770</v>
      </c>
      <c r="B3447" s="125" t="str">
        <f>TiposLancamentos!B15</f>
        <v>Cartões de Crédito</v>
      </c>
      <c r="C3447" s="139" t="s">
        <v>2928</v>
      </c>
      <c r="D3447" s="51"/>
      <c r="E3447" s="857">
        <v>13.73</v>
      </c>
    </row>
    <row r="3448" spans="1:5">
      <c r="A3448" s="856">
        <v>40770</v>
      </c>
      <c r="B3448" s="125" t="str">
        <f>TiposLancamentos!B52</f>
        <v>Multas</v>
      </c>
      <c r="C3448" s="139" t="s">
        <v>22483</v>
      </c>
      <c r="D3448" s="51"/>
      <c r="E3448" s="857">
        <v>68.099999999999994</v>
      </c>
    </row>
    <row r="3449" spans="1:5">
      <c r="A3449" s="856">
        <v>40770</v>
      </c>
      <c r="B3449" s="125" t="str">
        <f>TiposLancamentos!B52</f>
        <v>Multas</v>
      </c>
      <c r="C3449" s="139" t="s">
        <v>22484</v>
      </c>
      <c r="D3449" s="51"/>
      <c r="E3449" s="857">
        <v>68.099999999999994</v>
      </c>
    </row>
    <row r="3450" spans="1:5">
      <c r="A3450" s="856">
        <v>40770</v>
      </c>
      <c r="B3450" s="125" t="str">
        <f>TiposLancamentos!B87</f>
        <v>P207-1.6-XS</v>
      </c>
      <c r="C3450" s="139" t="s">
        <v>13539</v>
      </c>
      <c r="D3450" s="51"/>
      <c r="E3450" s="857">
        <v>576.27</v>
      </c>
    </row>
    <row r="3451" spans="1:5">
      <c r="A3451" s="856">
        <v>40770</v>
      </c>
      <c r="B3451" s="125" t="str">
        <f>TiposLancamentos!B19</f>
        <v>Restaurantes</v>
      </c>
      <c r="C3451" s="139" t="s">
        <v>22485</v>
      </c>
      <c r="D3451" s="51"/>
      <c r="E3451" s="857">
        <v>14</v>
      </c>
    </row>
    <row r="3452" spans="1:5">
      <c r="A3452" s="856">
        <v>40770</v>
      </c>
      <c r="B3452" s="125" t="str">
        <f>TiposLancamentos!B20</f>
        <v>Saques</v>
      </c>
      <c r="C3452" s="139" t="s">
        <v>4331</v>
      </c>
      <c r="D3452" s="51"/>
      <c r="E3452" s="857">
        <v>90</v>
      </c>
    </row>
    <row r="3453" spans="1:5">
      <c r="A3453" s="856">
        <v>40771</v>
      </c>
      <c r="B3453" s="125" t="str">
        <f>TiposLancamentos!B19</f>
        <v>Restaurantes</v>
      </c>
      <c r="C3453" s="139" t="s">
        <v>5760</v>
      </c>
      <c r="D3453" s="51"/>
      <c r="E3453" s="857">
        <v>19.77</v>
      </c>
    </row>
    <row r="3454" spans="1:5">
      <c r="A3454" s="856">
        <v>40772</v>
      </c>
      <c r="B3454" s="125" t="str">
        <f>TiposLancamentos!B19</f>
        <v>Restaurantes</v>
      </c>
      <c r="C3454" s="139" t="s">
        <v>3618</v>
      </c>
      <c r="D3454" s="51"/>
      <c r="E3454" s="857">
        <v>59.03</v>
      </c>
    </row>
    <row r="3455" spans="1:5">
      <c r="A3455" s="856">
        <v>40773</v>
      </c>
      <c r="B3455" s="125" t="str">
        <f>TiposLancamentos!B19</f>
        <v>Restaurantes</v>
      </c>
      <c r="C3455" s="139" t="s">
        <v>6151</v>
      </c>
      <c r="D3455" s="51"/>
      <c r="E3455" s="857">
        <v>51.15</v>
      </c>
    </row>
    <row r="3456" spans="1:5">
      <c r="A3456" s="856">
        <v>40774</v>
      </c>
      <c r="B3456" s="125" t="str">
        <f>TiposLancamentos!B19</f>
        <v>Restaurantes</v>
      </c>
      <c r="C3456" s="139" t="s">
        <v>22486</v>
      </c>
      <c r="D3456" s="51"/>
      <c r="E3456" s="857">
        <v>23.55</v>
      </c>
    </row>
    <row r="3457" spans="1:5">
      <c r="A3457" s="856">
        <v>40774</v>
      </c>
      <c r="B3457" s="125" t="str">
        <f>TiposLancamentos!B16</f>
        <v>Cristiane</v>
      </c>
      <c r="C3457" s="139" t="s">
        <v>22487</v>
      </c>
      <c r="D3457" s="51"/>
      <c r="E3457" s="857">
        <v>16</v>
      </c>
    </row>
    <row r="3458" spans="1:5">
      <c r="A3458" s="856">
        <v>40774</v>
      </c>
      <c r="B3458" s="125" t="str">
        <f>TiposLancamentos!B5</f>
        <v>Supermercado</v>
      </c>
      <c r="C3458" s="139" t="s">
        <v>22117</v>
      </c>
      <c r="D3458" s="51"/>
      <c r="E3458" s="857">
        <v>70.94</v>
      </c>
    </row>
    <row r="3459" spans="1:5">
      <c r="A3459" s="856">
        <v>40774</v>
      </c>
      <c r="B3459" s="125" t="str">
        <f>TiposLancamentos!B20</f>
        <v>Saques</v>
      </c>
      <c r="C3459" s="139" t="s">
        <v>2655</v>
      </c>
      <c r="D3459" s="51"/>
      <c r="E3459" s="857">
        <v>40</v>
      </c>
    </row>
    <row r="3460" spans="1:5">
      <c r="A3460" s="856">
        <v>40775</v>
      </c>
      <c r="B3460" s="125" t="str">
        <f>TiposLancamentos!B5</f>
        <v>Supermercado</v>
      </c>
      <c r="C3460" s="139" t="s">
        <v>22488</v>
      </c>
      <c r="D3460" s="51"/>
      <c r="E3460" s="857">
        <v>35.1</v>
      </c>
    </row>
    <row r="3461" spans="1:5">
      <c r="A3461" s="856">
        <v>40775</v>
      </c>
      <c r="B3461" s="125" t="str">
        <f>TiposLancamentos!B19</f>
        <v>Restaurantes</v>
      </c>
      <c r="C3461" s="139" t="s">
        <v>22489</v>
      </c>
      <c r="D3461" s="51"/>
      <c r="E3461" s="857">
        <v>35.15</v>
      </c>
    </row>
    <row r="3462" spans="1:5">
      <c r="A3462" s="856">
        <v>40777</v>
      </c>
      <c r="B3462" s="125" t="str">
        <f>TiposLancamentos!B22</f>
        <v>Combustivel</v>
      </c>
      <c r="C3462" s="139" t="s">
        <v>22490</v>
      </c>
      <c r="D3462" s="51"/>
      <c r="E3462" s="857">
        <v>122.92</v>
      </c>
    </row>
    <row r="3463" spans="1:5">
      <c r="A3463" s="856">
        <v>40778</v>
      </c>
      <c r="B3463" s="125" t="str">
        <f>TiposLancamentos!B20</f>
        <v>Saques</v>
      </c>
      <c r="C3463" s="139" t="s">
        <v>22491</v>
      </c>
      <c r="D3463" s="51"/>
      <c r="E3463" s="857">
        <v>90</v>
      </c>
    </row>
    <row r="3464" spans="1:5">
      <c r="A3464" s="856">
        <v>40778</v>
      </c>
      <c r="B3464" s="125" t="str">
        <f>TiposLancamentos!B19</f>
        <v>Restaurantes</v>
      </c>
      <c r="C3464" s="139" t="s">
        <v>5914</v>
      </c>
      <c r="D3464" s="51"/>
      <c r="E3464" s="857">
        <v>27.2</v>
      </c>
    </row>
    <row r="3465" spans="1:5">
      <c r="A3465" s="856">
        <v>40779</v>
      </c>
      <c r="B3465" s="125" t="str">
        <f>TiposLancamentos!B20</f>
        <v>Saques</v>
      </c>
      <c r="C3465" s="139" t="s">
        <v>2668</v>
      </c>
      <c r="D3465" s="51"/>
      <c r="E3465" s="857">
        <v>60</v>
      </c>
    </row>
    <row r="3466" spans="1:5">
      <c r="A3466" s="856">
        <v>40780</v>
      </c>
      <c r="B3466" s="125" t="str">
        <f>TiposLancamentos!B19</f>
        <v>Restaurantes</v>
      </c>
      <c r="C3466" s="139" t="s">
        <v>4121</v>
      </c>
      <c r="D3466" s="51"/>
      <c r="E3466" s="857">
        <v>9.65</v>
      </c>
    </row>
    <row r="3467" spans="1:5">
      <c r="A3467" s="856">
        <v>40781</v>
      </c>
      <c r="B3467" s="125" t="str">
        <f>TiposLancamentos!B20</f>
        <v>Saques</v>
      </c>
      <c r="C3467" s="139" t="s">
        <v>2668</v>
      </c>
      <c r="D3467" s="51"/>
      <c r="E3467" s="857">
        <v>20</v>
      </c>
    </row>
    <row r="3468" spans="1:5">
      <c r="A3468" s="856">
        <v>40785</v>
      </c>
      <c r="B3468" s="125" t="str">
        <f>TiposLancamentos!B20</f>
        <v>Saques</v>
      </c>
      <c r="C3468" s="139" t="s">
        <v>2655</v>
      </c>
      <c r="D3468" s="51"/>
      <c r="E3468" s="857">
        <v>90</v>
      </c>
    </row>
    <row r="3469" spans="1:5">
      <c r="A3469" s="856">
        <v>40785</v>
      </c>
      <c r="B3469" s="125" t="str">
        <f>TiposLancamentos!B56</f>
        <v>Farmácia</v>
      </c>
      <c r="C3469" s="139" t="s">
        <v>22492</v>
      </c>
      <c r="D3469" s="51"/>
      <c r="E3469" s="857">
        <v>60.25</v>
      </c>
    </row>
    <row r="3470" spans="1:5">
      <c r="A3470" s="856">
        <v>40786</v>
      </c>
      <c r="B3470" s="125" t="str">
        <f>TiposLancamentos!B95</f>
        <v>Salarios</v>
      </c>
      <c r="C3470" s="126" t="s">
        <v>4939</v>
      </c>
      <c r="D3470" s="51">
        <v>6564.62</v>
      </c>
      <c r="E3470" s="857"/>
    </row>
    <row r="3471" spans="1:5">
      <c r="A3471" s="856">
        <v>40786</v>
      </c>
      <c r="B3471" s="125" t="str">
        <f>TiposLancamentos!B43</f>
        <v>Imposto de Renda</v>
      </c>
      <c r="C3471" s="139" t="s">
        <v>22493</v>
      </c>
      <c r="D3471" s="51"/>
      <c r="E3471" s="857">
        <v>291.33</v>
      </c>
    </row>
    <row r="3472" spans="1:5" ht="14.25" thickBot="1">
      <c r="A3472" s="856">
        <v>40786</v>
      </c>
      <c r="B3472" s="125" t="str">
        <f>TiposLancamentos!B6</f>
        <v>Energia Eletrica</v>
      </c>
      <c r="C3472" s="139" t="s">
        <v>6430</v>
      </c>
      <c r="D3472" s="51"/>
      <c r="E3472" s="857">
        <v>149.62</v>
      </c>
    </row>
    <row r="3473" spans="1:6" ht="14.25" thickBot="1">
      <c r="A3473" s="998"/>
      <c r="B3473" s="989"/>
      <c r="C3473" s="990" t="s">
        <v>4219</v>
      </c>
      <c r="D3473" s="991"/>
      <c r="E3473" s="999"/>
    </row>
    <row r="3474" spans="1:6">
      <c r="A3474" s="856">
        <v>40787</v>
      </c>
      <c r="B3474" s="125" t="str">
        <f>TiposLancamentos!B15</f>
        <v>Cartões de Crédito</v>
      </c>
      <c r="C3474" s="139" t="s">
        <v>5557</v>
      </c>
      <c r="D3474" s="51"/>
      <c r="E3474" s="857">
        <v>3015.39</v>
      </c>
    </row>
    <row r="3475" spans="1:6">
      <c r="A3475" s="961">
        <v>40787</v>
      </c>
      <c r="B3475" s="817" t="str">
        <f>TiposLancamentos!B8</f>
        <v>Aluguel</v>
      </c>
      <c r="C3475" s="962" t="s">
        <v>1682</v>
      </c>
      <c r="D3475" s="809"/>
      <c r="E3475" s="965">
        <f>F3476-E3476</f>
        <v>1195.5500000000002</v>
      </c>
    </row>
    <row r="3476" spans="1:6">
      <c r="A3476" s="963">
        <v>40787</v>
      </c>
      <c r="B3476" s="818" t="str">
        <f>TiposLancamentos!B12</f>
        <v>IPTU</v>
      </c>
      <c r="C3476" s="964" t="s">
        <v>13402</v>
      </c>
      <c r="D3476" s="813"/>
      <c r="E3476" s="966">
        <v>93.11</v>
      </c>
      <c r="F3476" s="156">
        <v>1288.6600000000001</v>
      </c>
    </row>
    <row r="3477" spans="1:6">
      <c r="A3477" s="856">
        <v>40787</v>
      </c>
      <c r="B3477" s="125" t="str">
        <f>TiposLancamentos!B9</f>
        <v>Condominio</v>
      </c>
      <c r="C3477" s="139" t="s">
        <v>5925</v>
      </c>
      <c r="D3477" s="51"/>
      <c r="E3477" s="857">
        <v>752.98</v>
      </c>
    </row>
    <row r="3478" spans="1:6">
      <c r="A3478" s="806">
        <v>40787</v>
      </c>
      <c r="B3478" s="807" t="str">
        <f>TiposLancamentos!B35</f>
        <v>Tv à Cabo</v>
      </c>
      <c r="C3478" s="808" t="s">
        <v>5834</v>
      </c>
      <c r="D3478" s="809"/>
      <c r="E3478" s="859">
        <v>147.09</v>
      </c>
    </row>
    <row r="3479" spans="1:6">
      <c r="A3479" s="773">
        <v>40787</v>
      </c>
      <c r="B3479" s="152" t="str">
        <f>TiposLancamentos!B3</f>
        <v>Internet</v>
      </c>
      <c r="C3479" s="141" t="s">
        <v>5835</v>
      </c>
      <c r="D3479" s="127"/>
      <c r="E3479" s="861">
        <v>72.34</v>
      </c>
    </row>
    <row r="3480" spans="1:6">
      <c r="A3480" s="810">
        <v>40787</v>
      </c>
      <c r="B3480" s="811" t="str">
        <f>TiposLancamentos!B2</f>
        <v>Telefonia</v>
      </c>
      <c r="C3480" s="812" t="s">
        <v>5836</v>
      </c>
      <c r="D3480" s="813"/>
      <c r="E3480" s="863">
        <v>37.909999999999997</v>
      </c>
      <c r="F3480" s="156">
        <f>SUBTOTAL(9,E3478:E3480)</f>
        <v>257.34000000000003</v>
      </c>
    </row>
    <row r="3481" spans="1:6">
      <c r="A3481" s="856">
        <v>40787</v>
      </c>
      <c r="B3481" s="125" t="str">
        <f>TiposLancamentos!B3</f>
        <v>Internet</v>
      </c>
      <c r="C3481" s="139" t="s">
        <v>5838</v>
      </c>
      <c r="D3481" s="51"/>
      <c r="E3481" s="857">
        <v>59.95</v>
      </c>
    </row>
    <row r="3482" spans="1:6">
      <c r="A3482" s="856">
        <v>40787</v>
      </c>
      <c r="B3482" s="125" t="str">
        <f>TiposLancamentos!B34</f>
        <v>Seguros</v>
      </c>
      <c r="C3482" s="139" t="s">
        <v>5809</v>
      </c>
      <c r="D3482" s="51"/>
      <c r="E3482" s="857">
        <v>69</v>
      </c>
    </row>
    <row r="3483" spans="1:6">
      <c r="A3483" s="856">
        <v>40787</v>
      </c>
      <c r="B3483" s="125" t="str">
        <f>TiposLancamentos!B16</f>
        <v>Cristiane</v>
      </c>
      <c r="C3483" s="139" t="s">
        <v>7119</v>
      </c>
      <c r="D3483" s="51"/>
      <c r="E3483" s="857">
        <v>135.52000000000001</v>
      </c>
    </row>
    <row r="3484" spans="1:6">
      <c r="A3484" s="856">
        <v>40787</v>
      </c>
      <c r="B3484" s="125" t="str">
        <f>TiposLancamentos!B4</f>
        <v>Taxas Bancarias</v>
      </c>
      <c r="C3484" s="139" t="s">
        <v>22494</v>
      </c>
      <c r="D3484" s="51"/>
      <c r="E3484" s="857">
        <v>12.4</v>
      </c>
    </row>
    <row r="3485" spans="1:6">
      <c r="A3485" s="856">
        <v>40787</v>
      </c>
      <c r="B3485" s="125" t="str">
        <f>TiposLancamentos!B4</f>
        <v>Taxas Bancarias</v>
      </c>
      <c r="C3485" s="139" t="s">
        <v>22495</v>
      </c>
      <c r="D3485" s="51"/>
      <c r="E3485" s="857">
        <v>0.32</v>
      </c>
    </row>
    <row r="3486" spans="1:6">
      <c r="A3486" s="856">
        <v>40787</v>
      </c>
      <c r="B3486" s="125" t="str">
        <f>TiposLancamentos!B4</f>
        <v>Taxas Bancarias</v>
      </c>
      <c r="C3486" s="139" t="s">
        <v>22496</v>
      </c>
      <c r="D3486" s="51"/>
      <c r="E3486" s="857">
        <v>2.8</v>
      </c>
    </row>
    <row r="3487" spans="1:6">
      <c r="A3487" s="856">
        <v>40788</v>
      </c>
      <c r="B3487" s="125" t="str">
        <f>TiposLancamentos!B5</f>
        <v>Supermercado</v>
      </c>
      <c r="C3487" s="139" t="s">
        <v>5801</v>
      </c>
      <c r="D3487" s="51"/>
      <c r="E3487" s="857">
        <v>62.39</v>
      </c>
    </row>
    <row r="3488" spans="1:6">
      <c r="A3488" s="856">
        <v>40789</v>
      </c>
      <c r="B3488" s="125" t="str">
        <f>TiposLancamentos!B22</f>
        <v>Combustivel</v>
      </c>
      <c r="C3488" s="139" t="s">
        <v>5961</v>
      </c>
      <c r="D3488" s="51"/>
      <c r="E3488" s="857">
        <v>115</v>
      </c>
    </row>
    <row r="3489" spans="1:5">
      <c r="A3489" s="856">
        <v>40789</v>
      </c>
      <c r="B3489" s="125" t="str">
        <f>TiposLancamentos!B20</f>
        <v>Saques</v>
      </c>
      <c r="C3489" s="139" t="s">
        <v>3604</v>
      </c>
      <c r="D3489" s="51"/>
      <c r="E3489" s="857">
        <v>40</v>
      </c>
    </row>
    <row r="3490" spans="1:5">
      <c r="A3490" s="856">
        <v>40790</v>
      </c>
      <c r="B3490" s="125" t="str">
        <f>TiposLancamentos!B19</f>
        <v>Restaurantes</v>
      </c>
      <c r="C3490" s="139" t="s">
        <v>22497</v>
      </c>
      <c r="D3490" s="51"/>
      <c r="E3490" s="857">
        <v>30.3</v>
      </c>
    </row>
    <row r="3491" spans="1:5">
      <c r="A3491" s="856">
        <v>40791</v>
      </c>
      <c r="B3491" s="125" t="str">
        <f>TiposLancamentos!B37</f>
        <v>Playstation 3</v>
      </c>
      <c r="C3491" s="139" t="s">
        <v>22498</v>
      </c>
      <c r="D3491" s="51"/>
      <c r="E3491" s="857">
        <v>96</v>
      </c>
    </row>
    <row r="3492" spans="1:5">
      <c r="A3492" s="856">
        <v>40792</v>
      </c>
      <c r="B3492" s="125" t="str">
        <f>TiposLancamentos!B19</f>
        <v>Restaurantes</v>
      </c>
      <c r="C3492" s="139" t="s">
        <v>6686</v>
      </c>
      <c r="D3492" s="51"/>
      <c r="E3492" s="857">
        <v>29.5</v>
      </c>
    </row>
    <row r="3493" spans="1:5">
      <c r="A3493" s="856">
        <v>40793</v>
      </c>
      <c r="B3493" s="125" t="str">
        <f>TiposLancamentos!B5</f>
        <v>Supermercado</v>
      </c>
      <c r="C3493" s="139" t="s">
        <v>5801</v>
      </c>
      <c r="D3493" s="51"/>
      <c r="E3493" s="857">
        <v>32.619999999999997</v>
      </c>
    </row>
    <row r="3494" spans="1:5">
      <c r="A3494" s="856">
        <v>40795</v>
      </c>
      <c r="B3494" s="125" t="str">
        <f>TiposLancamentos!B87</f>
        <v>P207-1.6-XS</v>
      </c>
      <c r="C3494" s="139" t="s">
        <v>13543</v>
      </c>
      <c r="D3494" s="51"/>
      <c r="E3494" s="857">
        <v>733.79</v>
      </c>
    </row>
    <row r="3495" spans="1:5">
      <c r="A3495" s="856">
        <v>40796</v>
      </c>
      <c r="B3495" s="125" t="str">
        <f>TiposLancamentos!B19</f>
        <v>Restaurantes</v>
      </c>
      <c r="C3495" s="161" t="s">
        <v>3755</v>
      </c>
      <c r="D3495" s="51"/>
      <c r="E3495" s="857">
        <v>27.65</v>
      </c>
    </row>
    <row r="3496" spans="1:5">
      <c r="A3496" s="856">
        <v>40796</v>
      </c>
      <c r="B3496" s="125" t="str">
        <f>TiposLancamentos!B5</f>
        <v>Supermercado</v>
      </c>
      <c r="C3496" s="139" t="s">
        <v>21959</v>
      </c>
      <c r="D3496" s="51"/>
      <c r="E3496" s="857">
        <v>41.5</v>
      </c>
    </row>
    <row r="3497" spans="1:5">
      <c r="A3497" s="856">
        <v>40797</v>
      </c>
      <c r="B3497" s="125" t="str">
        <f>TiposLancamentos!B19</f>
        <v>Restaurantes</v>
      </c>
      <c r="C3497" s="139" t="s">
        <v>22499</v>
      </c>
      <c r="D3497" s="51"/>
      <c r="E3497" s="857">
        <v>10.84</v>
      </c>
    </row>
    <row r="3498" spans="1:5">
      <c r="A3498" s="856">
        <v>40797</v>
      </c>
      <c r="B3498" s="125" t="str">
        <f>TiposLancamentos!B19</f>
        <v>Restaurantes</v>
      </c>
      <c r="C3498" s="139" t="s">
        <v>22500</v>
      </c>
      <c r="D3498" s="51"/>
      <c r="E3498" s="857">
        <v>17.899999999999999</v>
      </c>
    </row>
    <row r="3499" spans="1:5">
      <c r="A3499" s="856">
        <v>40798</v>
      </c>
      <c r="B3499" s="125" t="str">
        <f>TiposLancamentos!B19</f>
        <v>Restaurantes</v>
      </c>
      <c r="C3499" s="139" t="s">
        <v>5914</v>
      </c>
      <c r="D3499" s="51"/>
      <c r="E3499" s="857">
        <v>14</v>
      </c>
    </row>
    <row r="3500" spans="1:5">
      <c r="A3500" s="856">
        <v>40799</v>
      </c>
      <c r="B3500" s="125" t="str">
        <f>TiposLancamentos!B19</f>
        <v>Restaurantes</v>
      </c>
      <c r="C3500" s="139" t="s">
        <v>22501</v>
      </c>
      <c r="D3500" s="51"/>
      <c r="E3500" s="857">
        <v>13.2</v>
      </c>
    </row>
    <row r="3501" spans="1:5">
      <c r="A3501" s="856">
        <v>40799</v>
      </c>
      <c r="B3501" s="125" t="str">
        <f>TiposLancamentos!B19</f>
        <v>Restaurantes</v>
      </c>
      <c r="C3501" s="139" t="s">
        <v>22502</v>
      </c>
      <c r="D3501" s="51"/>
      <c r="E3501" s="857">
        <v>17.3</v>
      </c>
    </row>
    <row r="3502" spans="1:5">
      <c r="A3502" s="856">
        <v>40800</v>
      </c>
      <c r="B3502" s="125" t="str">
        <f>TiposLancamentos!B19</f>
        <v>Restaurantes</v>
      </c>
      <c r="C3502" s="139" t="s">
        <v>3618</v>
      </c>
      <c r="D3502" s="51"/>
      <c r="E3502" s="857">
        <v>26.97</v>
      </c>
    </row>
    <row r="3503" spans="1:5">
      <c r="A3503" s="856">
        <v>40800</v>
      </c>
      <c r="B3503" s="125" t="str">
        <f>TiposLancamentos!B5</f>
        <v>Supermercado</v>
      </c>
      <c r="C3503" s="139" t="s">
        <v>5801</v>
      </c>
      <c r="D3503" s="51"/>
      <c r="E3503" s="857">
        <v>32.200000000000003</v>
      </c>
    </row>
    <row r="3504" spans="1:5">
      <c r="A3504" s="856">
        <v>40801</v>
      </c>
      <c r="B3504" s="125" t="str">
        <f>TiposLancamentos!B95</f>
        <v>Salarios</v>
      </c>
      <c r="C3504" s="139" t="s">
        <v>4916</v>
      </c>
      <c r="D3504" s="51">
        <v>1990.45</v>
      </c>
      <c r="E3504" s="857"/>
    </row>
    <row r="3505" spans="1:5">
      <c r="A3505" s="856">
        <v>40801</v>
      </c>
      <c r="B3505" s="125" t="str">
        <f>TiposLancamentos!B24</f>
        <v>Estacionamentos</v>
      </c>
      <c r="C3505" s="139" t="s">
        <v>5392</v>
      </c>
      <c r="D3505" s="51"/>
      <c r="E3505" s="857">
        <v>32.299999999999997</v>
      </c>
    </row>
    <row r="3506" spans="1:5">
      <c r="A3506" s="856">
        <v>40801</v>
      </c>
      <c r="B3506" s="125" t="str">
        <f>TiposLancamentos!B19</f>
        <v>Restaurantes</v>
      </c>
      <c r="C3506" s="139" t="s">
        <v>5914</v>
      </c>
      <c r="D3506" s="51"/>
      <c r="E3506" s="857">
        <v>12.2</v>
      </c>
    </row>
    <row r="3507" spans="1:5">
      <c r="A3507" s="856">
        <v>40801</v>
      </c>
      <c r="B3507" s="125" t="str">
        <f>TiposLancamentos!B20</f>
        <v>Saques</v>
      </c>
      <c r="C3507" s="139" t="s">
        <v>2655</v>
      </c>
      <c r="D3507" s="51"/>
      <c r="E3507" s="857">
        <v>40</v>
      </c>
    </row>
    <row r="3508" spans="1:5">
      <c r="A3508" s="856">
        <v>40801</v>
      </c>
      <c r="B3508" s="125" t="str">
        <f>TiposLancamentos!B19</f>
        <v>Restaurantes</v>
      </c>
      <c r="C3508" s="139" t="s">
        <v>22503</v>
      </c>
      <c r="D3508" s="51"/>
      <c r="E3508" s="857">
        <v>126.5</v>
      </c>
    </row>
    <row r="3509" spans="1:5">
      <c r="A3509" s="856">
        <v>40802</v>
      </c>
      <c r="B3509" s="125" t="str">
        <f>TiposLancamentos!B15</f>
        <v>Cartões de Crédito</v>
      </c>
      <c r="C3509" s="139" t="s">
        <v>2928</v>
      </c>
      <c r="D3509" s="51"/>
      <c r="E3509" s="857">
        <v>739.69</v>
      </c>
    </row>
    <row r="3510" spans="1:5">
      <c r="A3510" s="856">
        <v>40802</v>
      </c>
      <c r="B3510" s="125" t="str">
        <f>TiposLancamentos!B19</f>
        <v>Restaurantes</v>
      </c>
      <c r="C3510" s="139" t="s">
        <v>5914</v>
      </c>
      <c r="D3510" s="51"/>
      <c r="E3510" s="857">
        <v>14.1</v>
      </c>
    </row>
    <row r="3511" spans="1:5">
      <c r="A3511" s="856">
        <v>40803</v>
      </c>
      <c r="B3511" s="125" t="str">
        <f>TiposLancamentos!B19</f>
        <v>Restaurantes</v>
      </c>
      <c r="C3511" s="139" t="s">
        <v>22504</v>
      </c>
      <c r="D3511" s="51"/>
      <c r="E3511" s="857">
        <v>66.3</v>
      </c>
    </row>
    <row r="3512" spans="1:5">
      <c r="A3512" s="856">
        <v>40803</v>
      </c>
      <c r="B3512" s="125" t="str">
        <f>TiposLancamentos!B19</f>
        <v>Restaurantes</v>
      </c>
      <c r="C3512" s="139" t="s">
        <v>22505</v>
      </c>
      <c r="D3512" s="51"/>
      <c r="E3512" s="857">
        <v>64.66</v>
      </c>
    </row>
    <row r="3513" spans="1:5">
      <c r="A3513" s="856">
        <v>40805</v>
      </c>
      <c r="B3513" s="125" t="str">
        <f>TiposLancamentos!B5</f>
        <v>Supermercado</v>
      </c>
      <c r="C3513" s="139" t="s">
        <v>6234</v>
      </c>
      <c r="D3513" s="51"/>
      <c r="E3513" s="857">
        <v>112.38</v>
      </c>
    </row>
    <row r="3514" spans="1:5">
      <c r="A3514" s="856">
        <v>40807</v>
      </c>
      <c r="B3514" s="125" t="str">
        <f>TiposLancamentos!B16</f>
        <v>Cristiane</v>
      </c>
      <c r="C3514" s="139" t="s">
        <v>22506</v>
      </c>
      <c r="D3514" s="51"/>
      <c r="E3514" s="857">
        <v>35</v>
      </c>
    </row>
    <row r="3515" spans="1:5">
      <c r="A3515" s="856">
        <v>40808</v>
      </c>
      <c r="B3515" s="125" t="str">
        <f>TiposLancamentos!B19</f>
        <v>Restaurantes</v>
      </c>
      <c r="C3515" s="139" t="s">
        <v>21893</v>
      </c>
      <c r="D3515" s="51"/>
      <c r="E3515" s="857">
        <v>10.5</v>
      </c>
    </row>
    <row r="3516" spans="1:5">
      <c r="A3516" s="856">
        <v>40808</v>
      </c>
      <c r="B3516" s="125" t="str">
        <f>TiposLancamentos!B13</f>
        <v>Moradia</v>
      </c>
      <c r="C3516" s="139" t="s">
        <v>22507</v>
      </c>
      <c r="D3516" s="51"/>
      <c r="E3516" s="857">
        <v>59.8</v>
      </c>
    </row>
    <row r="3517" spans="1:5">
      <c r="A3517" s="856">
        <v>40809</v>
      </c>
      <c r="B3517" s="125" t="str">
        <f>TiposLancamentos!B34</f>
        <v>Seguros</v>
      </c>
      <c r="C3517" s="139" t="s">
        <v>22508</v>
      </c>
      <c r="D3517" s="51"/>
      <c r="E3517" s="857">
        <v>548.02</v>
      </c>
    </row>
    <row r="3518" spans="1:5">
      <c r="A3518" s="856">
        <v>40810</v>
      </c>
      <c r="B3518" s="125" t="str">
        <f>TiposLancamentos!B22</f>
        <v>Combustivel</v>
      </c>
      <c r="C3518" s="139" t="s">
        <v>22509</v>
      </c>
      <c r="D3518" s="51"/>
      <c r="E3518" s="857">
        <v>119</v>
      </c>
    </row>
    <row r="3519" spans="1:5">
      <c r="A3519" s="856">
        <v>40810</v>
      </c>
      <c r="B3519" s="125" t="str">
        <f>TiposLancamentos!B16</f>
        <v>Cristiane</v>
      </c>
      <c r="C3519" s="139" t="s">
        <v>22510</v>
      </c>
      <c r="D3519" s="51"/>
      <c r="E3519" s="857">
        <v>44.8</v>
      </c>
    </row>
    <row r="3520" spans="1:5">
      <c r="A3520" s="856">
        <v>40810</v>
      </c>
      <c r="B3520" s="125" t="str">
        <f>TiposLancamentos!B19</f>
        <v>Restaurantes</v>
      </c>
      <c r="C3520" s="139" t="s">
        <v>22511</v>
      </c>
      <c r="D3520" s="51"/>
      <c r="E3520" s="857">
        <v>13.6</v>
      </c>
    </row>
    <row r="3521" spans="1:5">
      <c r="A3521" s="856">
        <v>40810</v>
      </c>
      <c r="B3521" s="125" t="str">
        <f>TiposLancamentos!B16</f>
        <v>Cristiane</v>
      </c>
      <c r="C3521" s="139" t="s">
        <v>22512</v>
      </c>
      <c r="D3521" s="51"/>
      <c r="E3521" s="857">
        <v>53.95</v>
      </c>
    </row>
    <row r="3522" spans="1:5">
      <c r="A3522" s="856">
        <v>40811</v>
      </c>
      <c r="B3522" s="125" t="str">
        <f>TiposLancamentos!B19</f>
        <v>Restaurantes</v>
      </c>
      <c r="C3522" s="139" t="s">
        <v>5914</v>
      </c>
      <c r="D3522" s="51"/>
      <c r="E3522" s="857">
        <v>42.7</v>
      </c>
    </row>
    <row r="3523" spans="1:5">
      <c r="A3523" s="856">
        <v>40811</v>
      </c>
      <c r="B3523" s="125" t="str">
        <f>TiposLancamentos!B19</f>
        <v>Restaurantes</v>
      </c>
      <c r="C3523" s="139" t="s">
        <v>22513</v>
      </c>
      <c r="D3523" s="51"/>
      <c r="E3523" s="857">
        <v>27.5</v>
      </c>
    </row>
    <row r="3524" spans="1:5">
      <c r="A3524" s="856">
        <v>40813</v>
      </c>
      <c r="B3524" s="125" t="str">
        <f>TiposLancamentos!B19</f>
        <v>Restaurantes</v>
      </c>
      <c r="C3524" s="139" t="s">
        <v>5760</v>
      </c>
      <c r="D3524" s="51"/>
      <c r="E3524" s="857">
        <v>41.97</v>
      </c>
    </row>
    <row r="3525" spans="1:5">
      <c r="A3525" s="856">
        <v>40814</v>
      </c>
      <c r="B3525" s="125" t="str">
        <f>TiposLancamentos!B19</f>
        <v>Restaurantes</v>
      </c>
      <c r="C3525" s="139" t="s">
        <v>3995</v>
      </c>
      <c r="D3525" s="51"/>
      <c r="E3525" s="857">
        <v>58.5</v>
      </c>
    </row>
    <row r="3526" spans="1:5">
      <c r="A3526" s="856">
        <v>40816</v>
      </c>
      <c r="B3526" s="125" t="str">
        <f>TiposLancamentos!B95</f>
        <v>Salarios</v>
      </c>
      <c r="C3526" s="126" t="s">
        <v>4939</v>
      </c>
      <c r="D3526" s="51">
        <v>6540.5</v>
      </c>
      <c r="E3526" s="857"/>
    </row>
    <row r="3527" spans="1:5">
      <c r="A3527" s="856">
        <v>40816</v>
      </c>
      <c r="B3527" s="125" t="str">
        <f>TiposLancamentos!B43</f>
        <v>Imposto de Renda</v>
      </c>
      <c r="C3527" s="139" t="s">
        <v>22514</v>
      </c>
      <c r="D3527" s="51"/>
      <c r="E3527" s="857">
        <v>291.33</v>
      </c>
    </row>
    <row r="3528" spans="1:5" ht="14.25" thickBot="1">
      <c r="A3528" s="856">
        <v>40816</v>
      </c>
      <c r="B3528" s="125" t="str">
        <f>TiposLancamentos!B5</f>
        <v>Supermercado</v>
      </c>
      <c r="C3528" s="139" t="s">
        <v>5844</v>
      </c>
      <c r="D3528" s="51"/>
      <c r="E3528" s="857">
        <v>150.13999999999999</v>
      </c>
    </row>
    <row r="3529" spans="1:5" ht="14.25" thickBot="1">
      <c r="A3529" s="998"/>
      <c r="B3529" s="989"/>
      <c r="C3529" s="997" t="s">
        <v>13546</v>
      </c>
      <c r="D3529" s="991"/>
      <c r="E3529" s="999"/>
    </row>
    <row r="3530" spans="1:5">
      <c r="A3530" s="856">
        <v>40817</v>
      </c>
      <c r="B3530" s="125" t="str">
        <f>TiposLancamentos!B56</f>
        <v>Farmácia</v>
      </c>
      <c r="C3530" s="139" t="s">
        <v>3420</v>
      </c>
      <c r="D3530" s="51"/>
      <c r="E3530" s="857">
        <v>33.29</v>
      </c>
    </row>
    <row r="3531" spans="1:5">
      <c r="A3531" s="856">
        <v>40818</v>
      </c>
      <c r="B3531" s="125" t="str">
        <f>TiposLancamentos!B19</f>
        <v>Restaurantes</v>
      </c>
      <c r="C3531" s="139" t="s">
        <v>22515</v>
      </c>
      <c r="D3531" s="51"/>
      <c r="E3531" s="857">
        <v>128.47999999999999</v>
      </c>
    </row>
    <row r="3532" spans="1:5">
      <c r="A3532" s="856">
        <v>40819</v>
      </c>
      <c r="B3532" s="125" t="str">
        <f>TiposLancamentos!B6</f>
        <v>Energia Eletrica</v>
      </c>
      <c r="C3532" s="139" t="s">
        <v>5191</v>
      </c>
      <c r="D3532" s="51"/>
      <c r="E3532" s="857">
        <v>187.05</v>
      </c>
    </row>
    <row r="3533" spans="1:5">
      <c r="A3533" s="856">
        <v>40819</v>
      </c>
      <c r="B3533" s="125" t="str">
        <f>TiposLancamentos!B15</f>
        <v>Cartões de Crédito</v>
      </c>
      <c r="C3533" s="139" t="s">
        <v>22516</v>
      </c>
      <c r="D3533" s="51"/>
      <c r="E3533" s="857">
        <v>3813.8</v>
      </c>
    </row>
    <row r="3534" spans="1:5">
      <c r="A3534" s="856">
        <v>40819</v>
      </c>
      <c r="B3534" s="125" t="str">
        <f>TiposLancamentos!B98</f>
        <v>Restituições</v>
      </c>
      <c r="C3534" s="139" t="s">
        <v>22517</v>
      </c>
      <c r="D3534" s="51">
        <v>87</v>
      </c>
      <c r="E3534" s="857"/>
    </row>
    <row r="3535" spans="1:5">
      <c r="A3535" s="856">
        <v>40819</v>
      </c>
      <c r="B3535" s="125" t="str">
        <f>TiposLancamentos!B4</f>
        <v>Taxas Bancarias</v>
      </c>
      <c r="C3535" s="139" t="s">
        <v>22518</v>
      </c>
      <c r="D3535" s="51"/>
      <c r="E3535" s="857">
        <v>63.88</v>
      </c>
    </row>
    <row r="3536" spans="1:5">
      <c r="A3536" s="856">
        <v>40819</v>
      </c>
      <c r="B3536" s="125" t="str">
        <f>TiposLancamentos!B4</f>
        <v>Taxas Bancarias</v>
      </c>
      <c r="C3536" s="139" t="s">
        <v>22519</v>
      </c>
      <c r="D3536" s="51"/>
      <c r="E3536" s="857">
        <v>1.47</v>
      </c>
    </row>
    <row r="3537" spans="1:5">
      <c r="A3537" s="856">
        <v>40819</v>
      </c>
      <c r="B3537" s="125" t="str">
        <f>TiposLancamentos!B4</f>
        <v>Taxas Bancarias</v>
      </c>
      <c r="C3537" s="139" t="s">
        <v>22520</v>
      </c>
      <c r="D3537" s="51"/>
      <c r="E3537" s="857">
        <v>9.85</v>
      </c>
    </row>
    <row r="3538" spans="1:5">
      <c r="A3538" s="856">
        <v>40820</v>
      </c>
      <c r="B3538" s="125" t="str">
        <f>TiposLancamentos!B19</f>
        <v>Restaurantes</v>
      </c>
      <c r="C3538" s="139" t="s">
        <v>22214</v>
      </c>
      <c r="D3538" s="51"/>
      <c r="E3538" s="857">
        <v>8.35</v>
      </c>
    </row>
    <row r="3539" spans="1:5">
      <c r="A3539" s="856">
        <v>40821</v>
      </c>
      <c r="B3539" s="125" t="str">
        <f>TiposLancamentos!B16</f>
        <v>Cristiane</v>
      </c>
      <c r="C3539" s="139" t="s">
        <v>22521</v>
      </c>
      <c r="D3539" s="51"/>
      <c r="E3539" s="857">
        <v>320</v>
      </c>
    </row>
    <row r="3540" spans="1:5">
      <c r="A3540" s="856">
        <v>40821</v>
      </c>
      <c r="B3540" s="125" t="str">
        <f>TiposLancamentos!B5</f>
        <v>Supermercado</v>
      </c>
      <c r="C3540" s="139" t="s">
        <v>6234</v>
      </c>
      <c r="D3540" s="51"/>
      <c r="E3540" s="857">
        <v>56.39</v>
      </c>
    </row>
    <row r="3541" spans="1:5">
      <c r="A3541" s="856">
        <v>40822</v>
      </c>
      <c r="B3541" s="125" t="str">
        <f>TiposLancamentos!B9</f>
        <v>Condominio</v>
      </c>
      <c r="C3541" s="139" t="s">
        <v>1684</v>
      </c>
      <c r="D3541" s="51"/>
      <c r="E3541" s="857">
        <v>752.98</v>
      </c>
    </row>
    <row r="3542" spans="1:5">
      <c r="A3542" s="856">
        <v>40823</v>
      </c>
      <c r="B3542" s="125" t="str">
        <f>TiposLancamentos!B16</f>
        <v>Cristiane</v>
      </c>
      <c r="C3542" s="139" t="s">
        <v>22522</v>
      </c>
      <c r="D3542" s="51"/>
      <c r="E3542" s="857">
        <v>187.94</v>
      </c>
    </row>
    <row r="3543" spans="1:5">
      <c r="A3543" s="856">
        <v>40823</v>
      </c>
      <c r="B3543" s="125" t="str">
        <f>TiposLancamentos!B3</f>
        <v>Internet</v>
      </c>
      <c r="C3543" s="139" t="s">
        <v>5838</v>
      </c>
      <c r="D3543" s="51"/>
      <c r="E3543" s="857">
        <v>59.95</v>
      </c>
    </row>
    <row r="3544" spans="1:5">
      <c r="A3544" s="856">
        <v>40823</v>
      </c>
      <c r="B3544" s="125" t="str">
        <f>TiposLancamentos!B19</f>
        <v>Restaurantes</v>
      </c>
      <c r="C3544" s="139" t="s">
        <v>3618</v>
      </c>
      <c r="D3544" s="51"/>
      <c r="E3544" s="857">
        <v>45.94</v>
      </c>
    </row>
    <row r="3545" spans="1:5">
      <c r="A3545" s="856">
        <v>40824</v>
      </c>
      <c r="B3545" s="125" t="str">
        <f>TiposLancamentos!B17</f>
        <v>GATO</v>
      </c>
      <c r="C3545" s="139" t="s">
        <v>22523</v>
      </c>
      <c r="D3545" s="51"/>
      <c r="E3545" s="857">
        <v>125.36</v>
      </c>
    </row>
    <row r="3546" spans="1:5">
      <c r="A3546" s="856">
        <v>40824</v>
      </c>
      <c r="B3546" s="125" t="str">
        <f>TiposLancamentos!B19</f>
        <v>Restaurantes</v>
      </c>
      <c r="C3546" s="139" t="s">
        <v>22524</v>
      </c>
      <c r="D3546" s="51"/>
      <c r="E3546" s="857">
        <v>34.5</v>
      </c>
    </row>
    <row r="3547" spans="1:5">
      <c r="A3547" s="856">
        <v>40825</v>
      </c>
      <c r="B3547" s="125" t="str">
        <f>TiposLancamentos!B5</f>
        <v>Supermercado</v>
      </c>
      <c r="C3547" s="139" t="s">
        <v>22525</v>
      </c>
      <c r="D3547" s="51"/>
      <c r="E3547" s="857">
        <v>46.89</v>
      </c>
    </row>
    <row r="3548" spans="1:5">
      <c r="A3548" s="856">
        <v>40825</v>
      </c>
      <c r="B3548" s="125" t="str">
        <f>TiposLancamentos!B5</f>
        <v>Supermercado</v>
      </c>
      <c r="C3548" s="139" t="s">
        <v>3902</v>
      </c>
      <c r="D3548" s="51"/>
      <c r="E3548" s="857">
        <v>53.23</v>
      </c>
    </row>
    <row r="3549" spans="1:5">
      <c r="A3549" s="856">
        <v>40825</v>
      </c>
      <c r="B3549" s="125" t="str">
        <f>TiposLancamentos!B5</f>
        <v>Supermercado</v>
      </c>
      <c r="C3549" s="139" t="s">
        <v>2889</v>
      </c>
      <c r="D3549" s="51"/>
      <c r="E3549" s="857">
        <v>21.23</v>
      </c>
    </row>
    <row r="3550" spans="1:5">
      <c r="A3550" s="856">
        <v>40825</v>
      </c>
      <c r="B3550" s="125" t="str">
        <f>TiposLancamentos!B5</f>
        <v>Supermercado</v>
      </c>
      <c r="C3550" s="139" t="s">
        <v>22526</v>
      </c>
      <c r="D3550" s="51"/>
      <c r="E3550" s="857">
        <v>5.67</v>
      </c>
    </row>
    <row r="3551" spans="1:5">
      <c r="A3551" s="856">
        <v>40826</v>
      </c>
      <c r="B3551" s="125" t="str">
        <f>TiposLancamentos!B56</f>
        <v>Farmácia</v>
      </c>
      <c r="C3551" s="139" t="s">
        <v>6118</v>
      </c>
      <c r="D3551" s="51"/>
      <c r="E3551" s="857">
        <v>101.2</v>
      </c>
    </row>
    <row r="3552" spans="1:5">
      <c r="A3552" s="856">
        <v>40826</v>
      </c>
      <c r="B3552" s="125" t="str">
        <f>TiposLancamentos!B87</f>
        <v>P207-1.6-XS</v>
      </c>
      <c r="C3552" s="139" t="s">
        <v>13547</v>
      </c>
      <c r="D3552" s="51"/>
      <c r="E3552" s="857">
        <v>733.79</v>
      </c>
    </row>
    <row r="3553" spans="1:6">
      <c r="A3553" s="858">
        <v>40826</v>
      </c>
      <c r="B3553" s="807" t="str">
        <f>TiposLancamentos!B8</f>
        <v>Aluguel</v>
      </c>
      <c r="C3553" s="808" t="s">
        <v>1682</v>
      </c>
      <c r="D3553" s="809"/>
      <c r="E3553" s="859">
        <f>F3554-E3554</f>
        <v>1195.5500000000002</v>
      </c>
    </row>
    <row r="3554" spans="1:6">
      <c r="A3554" s="862">
        <v>41192</v>
      </c>
      <c r="B3554" s="811" t="str">
        <f>TiposLancamentos!B12</f>
        <v>IPTU</v>
      </c>
      <c r="C3554" s="812" t="s">
        <v>13409</v>
      </c>
      <c r="D3554" s="813"/>
      <c r="E3554" s="863">
        <v>93.11</v>
      </c>
      <c r="F3554" s="156">
        <v>1288.6600000000001</v>
      </c>
    </row>
    <row r="3555" spans="1:6">
      <c r="A3555" s="858">
        <v>40826</v>
      </c>
      <c r="B3555" s="807" t="str">
        <f>TiposLancamentos!B35</f>
        <v>Tv à Cabo</v>
      </c>
      <c r="C3555" s="808" t="s">
        <v>5834</v>
      </c>
      <c r="D3555" s="809"/>
      <c r="E3555" s="859">
        <v>147.09</v>
      </c>
    </row>
    <row r="3556" spans="1:6">
      <c r="A3556" s="860">
        <v>40826</v>
      </c>
      <c r="B3556" s="152" t="str">
        <f>TiposLancamentos!B3</f>
        <v>Internet</v>
      </c>
      <c r="C3556" s="141" t="s">
        <v>5835</v>
      </c>
      <c r="D3556" s="127"/>
      <c r="E3556" s="861">
        <v>72.34</v>
      </c>
    </row>
    <row r="3557" spans="1:6">
      <c r="A3557" s="862">
        <v>40826</v>
      </c>
      <c r="B3557" s="811" t="str">
        <f>TiposLancamentos!B2</f>
        <v>Telefonia</v>
      </c>
      <c r="C3557" s="812" t="s">
        <v>5836</v>
      </c>
      <c r="D3557" s="813"/>
      <c r="E3557" s="863">
        <v>37.9</v>
      </c>
      <c r="F3557" s="156">
        <f>SUM(E3555:E3557)</f>
        <v>257.33</v>
      </c>
    </row>
    <row r="3558" spans="1:6">
      <c r="A3558" s="856">
        <v>40827</v>
      </c>
      <c r="B3558" s="125" t="str">
        <f>TiposLancamentos!B19</f>
        <v>Restaurantes</v>
      </c>
      <c r="C3558" s="139" t="s">
        <v>5613</v>
      </c>
      <c r="D3558" s="51"/>
      <c r="E3558" s="857">
        <v>31.9</v>
      </c>
    </row>
    <row r="3559" spans="1:6">
      <c r="A3559" s="856">
        <v>40828</v>
      </c>
      <c r="B3559" s="125" t="str">
        <f>TiposLancamentos!B5</f>
        <v>Supermercado</v>
      </c>
      <c r="C3559" s="139" t="s">
        <v>5844</v>
      </c>
      <c r="D3559" s="51"/>
      <c r="E3559" s="857">
        <v>34.369999999999997</v>
      </c>
    </row>
    <row r="3560" spans="1:6">
      <c r="A3560" s="856">
        <v>40829</v>
      </c>
      <c r="B3560" s="125" t="str">
        <f>TiposLancamentos!B5</f>
        <v>Supermercado</v>
      </c>
      <c r="C3560" s="139" t="s">
        <v>5844</v>
      </c>
      <c r="D3560" s="51"/>
      <c r="E3560" s="857">
        <v>13.78</v>
      </c>
    </row>
    <row r="3561" spans="1:6">
      <c r="A3561" s="856">
        <v>40829</v>
      </c>
      <c r="B3561" s="125" t="str">
        <f>TiposLancamentos!B95</f>
        <v>Salarios</v>
      </c>
      <c r="C3561" s="139" t="s">
        <v>6183</v>
      </c>
      <c r="D3561" s="51">
        <v>5426.82</v>
      </c>
      <c r="E3561" s="857"/>
    </row>
    <row r="3562" spans="1:6">
      <c r="A3562" s="856">
        <v>40829</v>
      </c>
      <c r="B3562" s="125" t="str">
        <f>TiposLancamentos!B98</f>
        <v>Restituições</v>
      </c>
      <c r="C3562" s="139" t="s">
        <v>22527</v>
      </c>
      <c r="D3562" s="51">
        <v>169.09</v>
      </c>
      <c r="E3562" s="857"/>
    </row>
    <row r="3563" spans="1:6">
      <c r="A3563" s="856">
        <v>40829</v>
      </c>
      <c r="B3563" s="125" t="str">
        <f>TiposLancamentos!B22</f>
        <v>Combustivel</v>
      </c>
      <c r="C3563" s="139" t="s">
        <v>14133</v>
      </c>
      <c r="D3563" s="51"/>
      <c r="E3563" s="857">
        <v>105</v>
      </c>
    </row>
    <row r="3564" spans="1:6">
      <c r="A3564" s="856">
        <v>40830</v>
      </c>
      <c r="B3564" s="125" t="str">
        <f>TiposLancamentos!B16</f>
        <v>Cristiane</v>
      </c>
      <c r="C3564" s="139" t="s">
        <v>22528</v>
      </c>
      <c r="D3564" s="51"/>
      <c r="E3564" s="857">
        <v>44.89</v>
      </c>
    </row>
    <row r="3565" spans="1:6">
      <c r="A3565" s="856">
        <v>40830</v>
      </c>
      <c r="B3565" s="125" t="str">
        <f>TiposLancamentos!B16</f>
        <v>Cristiane</v>
      </c>
      <c r="C3565" s="139" t="s">
        <v>22529</v>
      </c>
      <c r="D3565" s="51"/>
      <c r="E3565" s="857">
        <v>198.7</v>
      </c>
    </row>
    <row r="3566" spans="1:6">
      <c r="A3566" s="856">
        <v>40830</v>
      </c>
      <c r="B3566" s="125" t="str">
        <f>TiposLancamentos!B16</f>
        <v>Cristiane</v>
      </c>
      <c r="C3566" s="139" t="s">
        <v>22530</v>
      </c>
      <c r="D3566" s="51"/>
      <c r="E3566" s="857">
        <v>169.9</v>
      </c>
    </row>
    <row r="3567" spans="1:6">
      <c r="A3567" s="856">
        <v>40830</v>
      </c>
      <c r="B3567" s="125" t="str">
        <f>TiposLancamentos!B16</f>
        <v>Cristiane</v>
      </c>
      <c r="C3567" s="139" t="s">
        <v>22531</v>
      </c>
      <c r="D3567" s="51"/>
      <c r="E3567" s="857">
        <v>11.6</v>
      </c>
    </row>
    <row r="3568" spans="1:6">
      <c r="A3568" s="856">
        <v>40830</v>
      </c>
      <c r="B3568" s="125" t="str">
        <f>TiposLancamentos!B5</f>
        <v>Supermercado</v>
      </c>
      <c r="C3568" s="139" t="s">
        <v>22532</v>
      </c>
      <c r="D3568" s="51"/>
      <c r="E3568" s="857">
        <v>20.25</v>
      </c>
    </row>
    <row r="3569" spans="1:5">
      <c r="A3569" s="856">
        <v>40831</v>
      </c>
      <c r="B3569" s="125" t="str">
        <f>TiposLancamentos!B20</f>
        <v>Saques</v>
      </c>
      <c r="C3569" s="139" t="s">
        <v>3604</v>
      </c>
      <c r="D3569" s="51"/>
      <c r="E3569" s="857">
        <v>100</v>
      </c>
    </row>
    <row r="3570" spans="1:5">
      <c r="A3570" s="856">
        <v>40831</v>
      </c>
      <c r="B3570" s="125" t="str">
        <f>TiposLancamentos!B19</f>
        <v>Restaurantes</v>
      </c>
      <c r="C3570" s="139" t="s">
        <v>6474</v>
      </c>
      <c r="D3570" s="51"/>
      <c r="E3570" s="857">
        <v>97.35</v>
      </c>
    </row>
    <row r="3571" spans="1:5">
      <c r="A3571" s="856">
        <v>40831</v>
      </c>
      <c r="B3571" s="125" t="str">
        <f>TiposLancamentos!B16</f>
        <v>Cristiane</v>
      </c>
      <c r="C3571" s="139" t="s">
        <v>22533</v>
      </c>
      <c r="D3571" s="51"/>
      <c r="E3571" s="857">
        <v>28</v>
      </c>
    </row>
    <row r="3572" spans="1:5">
      <c r="A3572" s="856">
        <v>40831</v>
      </c>
      <c r="B3572" s="125" t="str">
        <f>TiposLancamentos!B16</f>
        <v>Cristiane</v>
      </c>
      <c r="C3572" s="139" t="s">
        <v>16734</v>
      </c>
      <c r="D3572" s="51"/>
      <c r="E3572" s="857">
        <v>122.8</v>
      </c>
    </row>
    <row r="3573" spans="1:5">
      <c r="A3573" s="856">
        <v>40832</v>
      </c>
      <c r="B3573" s="125" t="str">
        <f>TiposLancamentos!B5</f>
        <v>Supermercado</v>
      </c>
      <c r="C3573" s="139" t="s">
        <v>5801</v>
      </c>
      <c r="D3573" s="51"/>
      <c r="E3573" s="857">
        <v>34.299999999999997</v>
      </c>
    </row>
    <row r="3574" spans="1:5">
      <c r="A3574" s="856">
        <v>40833</v>
      </c>
      <c r="B3574" s="125" t="str">
        <f>TiposLancamentos!B34</f>
        <v>Seguros</v>
      </c>
      <c r="C3574" s="139" t="s">
        <v>5809</v>
      </c>
      <c r="D3574" s="51"/>
      <c r="E3574" s="857">
        <v>69</v>
      </c>
    </row>
    <row r="3575" spans="1:5">
      <c r="A3575" s="856">
        <v>40833</v>
      </c>
      <c r="B3575" s="125" t="str">
        <f>TiposLancamentos!B15</f>
        <v>Cartões de Crédito</v>
      </c>
      <c r="C3575" s="139" t="s">
        <v>22534</v>
      </c>
      <c r="D3575" s="51"/>
      <c r="E3575" s="857">
        <v>13.73</v>
      </c>
    </row>
    <row r="3576" spans="1:5">
      <c r="A3576" s="856">
        <v>40833</v>
      </c>
      <c r="B3576" s="125" t="str">
        <f>TiposLancamentos!B24</f>
        <v>Estacionamentos</v>
      </c>
      <c r="C3576" s="139" t="s">
        <v>5392</v>
      </c>
      <c r="D3576" s="51"/>
      <c r="E3576" s="857">
        <v>22.9</v>
      </c>
    </row>
    <row r="3577" spans="1:5">
      <c r="A3577" s="856">
        <v>40833</v>
      </c>
      <c r="B3577" s="125" t="str">
        <f>TiposLancamentos!B5</f>
        <v>Supermercado</v>
      </c>
      <c r="C3577" s="139" t="s">
        <v>5906</v>
      </c>
      <c r="D3577" s="51"/>
      <c r="E3577" s="857">
        <v>9.68</v>
      </c>
    </row>
    <row r="3578" spans="1:5">
      <c r="A3578" s="856">
        <v>40834</v>
      </c>
      <c r="B3578" s="125" t="str">
        <f>TiposLancamentos!B56</f>
        <v>Farmácia</v>
      </c>
      <c r="C3578" s="139" t="s">
        <v>22535</v>
      </c>
      <c r="D3578" s="51"/>
      <c r="E3578" s="857">
        <v>13.2</v>
      </c>
    </row>
    <row r="3579" spans="1:5">
      <c r="A3579" s="856">
        <v>40834</v>
      </c>
      <c r="B3579" s="125" t="str">
        <f>TiposLancamentos!B5</f>
        <v>Supermercado</v>
      </c>
      <c r="C3579" s="139" t="s">
        <v>3618</v>
      </c>
      <c r="D3579" s="51"/>
      <c r="E3579" s="857">
        <v>26.42</v>
      </c>
    </row>
    <row r="3580" spans="1:5">
      <c r="A3580" s="856">
        <v>40835</v>
      </c>
      <c r="B3580" s="125" t="str">
        <f>TiposLancamentos!B16</f>
        <v>Cristiane</v>
      </c>
      <c r="C3580" s="139" t="s">
        <v>22536</v>
      </c>
      <c r="D3580" s="51"/>
      <c r="E3580" s="857">
        <v>251</v>
      </c>
    </row>
    <row r="3581" spans="1:5">
      <c r="A3581" s="856">
        <v>40835</v>
      </c>
      <c r="B3581" s="125" t="str">
        <f>TiposLancamentos!B19</f>
        <v>Restaurantes</v>
      </c>
      <c r="C3581" s="139" t="s">
        <v>22537</v>
      </c>
      <c r="D3581" s="51"/>
      <c r="E3581" s="857">
        <v>44</v>
      </c>
    </row>
    <row r="3582" spans="1:5">
      <c r="A3582" s="856">
        <v>40835</v>
      </c>
      <c r="B3582" s="125" t="str">
        <f>TiposLancamentos!B20</f>
        <v>Saques</v>
      </c>
      <c r="C3582" s="139" t="s">
        <v>22538</v>
      </c>
      <c r="D3582" s="51"/>
      <c r="E3582" s="857">
        <v>60</v>
      </c>
    </row>
    <row r="3583" spans="1:5">
      <c r="A3583" s="856">
        <v>40836</v>
      </c>
      <c r="B3583" s="125" t="str">
        <f>TiposLancamentos!B5</f>
        <v>Supermercado</v>
      </c>
      <c r="C3583" s="139" t="s">
        <v>5844</v>
      </c>
      <c r="D3583" s="51"/>
      <c r="E3583" s="857">
        <v>139.4</v>
      </c>
    </row>
    <row r="3584" spans="1:5">
      <c r="A3584" s="856">
        <v>40837</v>
      </c>
      <c r="B3584" s="125" t="str">
        <f>TiposLancamentos!B5</f>
        <v>Supermercado</v>
      </c>
      <c r="C3584" s="139" t="s">
        <v>22539</v>
      </c>
      <c r="D3584" s="51"/>
      <c r="E3584" s="857">
        <v>67.2</v>
      </c>
    </row>
    <row r="3585" spans="1:6">
      <c r="A3585" s="856">
        <v>40837</v>
      </c>
      <c r="B3585" s="125" t="str">
        <f>TiposLancamentos!B19</f>
        <v>Restaurantes</v>
      </c>
      <c r="C3585" s="139" t="s">
        <v>22540</v>
      </c>
      <c r="D3585" s="51"/>
      <c r="E3585" s="857">
        <v>40.4</v>
      </c>
    </row>
    <row r="3586" spans="1:6">
      <c r="A3586" s="856">
        <v>40837</v>
      </c>
      <c r="B3586" s="125" t="str">
        <f>TiposLancamentos!B5</f>
        <v>Supermercado</v>
      </c>
      <c r="C3586" s="139" t="s">
        <v>22541</v>
      </c>
      <c r="D3586" s="51"/>
      <c r="E3586" s="857">
        <v>20.05</v>
      </c>
    </row>
    <row r="3587" spans="1:6">
      <c r="A3587" s="856">
        <v>40838</v>
      </c>
      <c r="B3587" s="125" t="str">
        <f>TiposLancamentos!B19</f>
        <v>Restaurantes</v>
      </c>
      <c r="C3587" s="139" t="s">
        <v>22542</v>
      </c>
      <c r="D3587" s="51"/>
      <c r="E3587" s="857">
        <v>51.3</v>
      </c>
    </row>
    <row r="3588" spans="1:6">
      <c r="A3588" s="856">
        <v>40838</v>
      </c>
      <c r="B3588" s="125" t="str">
        <f>TiposLancamentos!B19</f>
        <v>Restaurantes</v>
      </c>
      <c r="C3588" s="139" t="s">
        <v>22543</v>
      </c>
      <c r="D3588" s="51"/>
      <c r="E3588" s="857">
        <v>29.6</v>
      </c>
    </row>
    <row r="3589" spans="1:6">
      <c r="A3589" s="856">
        <v>40838</v>
      </c>
      <c r="B3589" s="125" t="str">
        <f>TiposLancamentos!B16</f>
        <v>Cristiane</v>
      </c>
      <c r="C3589" s="139" t="s">
        <v>22544</v>
      </c>
      <c r="D3589" s="51"/>
      <c r="E3589" s="857">
        <v>300</v>
      </c>
    </row>
    <row r="3590" spans="1:6">
      <c r="A3590" s="856">
        <v>40838</v>
      </c>
      <c r="B3590" s="125" t="str">
        <f>TiposLancamentos!B5</f>
        <v>Supermercado</v>
      </c>
      <c r="C3590" s="139" t="s">
        <v>5801</v>
      </c>
      <c r="D3590" s="51"/>
      <c r="E3590" s="857">
        <v>37.68</v>
      </c>
    </row>
    <row r="3591" spans="1:6">
      <c r="A3591" s="856">
        <v>40839</v>
      </c>
      <c r="B3591" s="125" t="str">
        <f>TiposLancamentos!B17</f>
        <v>GATO</v>
      </c>
      <c r="C3591" s="139" t="s">
        <v>22545</v>
      </c>
      <c r="D3591" s="51"/>
      <c r="E3591" s="857">
        <v>128.19999999999999</v>
      </c>
    </row>
    <row r="3592" spans="1:6">
      <c r="A3592" s="856">
        <v>40839</v>
      </c>
      <c r="B3592" s="125" t="str">
        <f>TiposLancamentos!B19</f>
        <v>Restaurantes</v>
      </c>
      <c r="C3592" s="139" t="s">
        <v>22546</v>
      </c>
      <c r="D3592" s="51"/>
      <c r="E3592" s="857">
        <v>30.6</v>
      </c>
    </row>
    <row r="3593" spans="1:6">
      <c r="A3593" s="856">
        <v>40840</v>
      </c>
      <c r="B3593" s="125" t="str">
        <f>TiposLancamentos!B20</f>
        <v>Saques</v>
      </c>
      <c r="C3593" s="139" t="s">
        <v>4142</v>
      </c>
      <c r="D3593" s="51"/>
      <c r="E3593" s="857">
        <v>80</v>
      </c>
    </row>
    <row r="3594" spans="1:6">
      <c r="A3594" s="856">
        <v>40840</v>
      </c>
      <c r="B3594" s="125" t="str">
        <f>TiposLancamentos!B16</f>
        <v>Cristiane</v>
      </c>
      <c r="C3594" s="139" t="s">
        <v>22547</v>
      </c>
      <c r="D3594" s="51"/>
      <c r="E3594" s="857">
        <v>10.88</v>
      </c>
    </row>
    <row r="3595" spans="1:6">
      <c r="A3595" s="856">
        <v>40840</v>
      </c>
      <c r="B3595" s="125" t="str">
        <f>TiposLancamentos!B16</f>
        <v>Cristiane</v>
      </c>
      <c r="C3595" s="139" t="s">
        <v>22548</v>
      </c>
      <c r="D3595" s="51"/>
      <c r="E3595" s="857">
        <v>36.9</v>
      </c>
    </row>
    <row r="3596" spans="1:6">
      <c r="A3596" s="856">
        <v>40840</v>
      </c>
      <c r="B3596" s="125" t="str">
        <f>TiposLancamentos!B5</f>
        <v>Supermercado</v>
      </c>
      <c r="C3596" s="139" t="s">
        <v>22549</v>
      </c>
      <c r="D3596" s="51"/>
      <c r="E3596" s="857">
        <v>50.34</v>
      </c>
    </row>
    <row r="3597" spans="1:6">
      <c r="A3597" s="961">
        <v>40840</v>
      </c>
      <c r="B3597" s="817" t="str">
        <f>TiposLancamentos!B44</f>
        <v>Academia</v>
      </c>
      <c r="C3597" s="962" t="s">
        <v>22550</v>
      </c>
      <c r="D3597" s="809"/>
      <c r="E3597" s="965">
        <f>(75+30)</f>
        <v>105</v>
      </c>
      <c r="F3597" s="156">
        <v>265</v>
      </c>
    </row>
    <row r="3598" spans="1:6">
      <c r="A3598" s="963">
        <v>40840</v>
      </c>
      <c r="B3598" s="818" t="str">
        <f>TiposLancamentos!B16</f>
        <v>Cristiane</v>
      </c>
      <c r="C3598" s="964" t="s">
        <v>22551</v>
      </c>
      <c r="D3598" s="813"/>
      <c r="E3598" s="966">
        <f>F3597-E3597</f>
        <v>160</v>
      </c>
    </row>
    <row r="3599" spans="1:6">
      <c r="A3599" s="856">
        <v>40841</v>
      </c>
      <c r="B3599" s="125" t="str">
        <f>TiposLancamentos!B16</f>
        <v>Cristiane</v>
      </c>
      <c r="C3599" s="139" t="s">
        <v>22552</v>
      </c>
      <c r="D3599" s="51"/>
      <c r="E3599" s="857">
        <v>32.200000000000003</v>
      </c>
    </row>
    <row r="3600" spans="1:6">
      <c r="A3600" s="856">
        <v>40842</v>
      </c>
      <c r="B3600" s="125" t="str">
        <f>TiposLancamentos!B71</f>
        <v>Itens Pessoais</v>
      </c>
      <c r="C3600" s="139" t="s">
        <v>5611</v>
      </c>
      <c r="D3600" s="51"/>
      <c r="E3600" s="857">
        <v>20</v>
      </c>
    </row>
    <row r="3601" spans="1:6">
      <c r="A3601" s="856">
        <v>40842</v>
      </c>
      <c r="B3601" s="125" t="str">
        <f>TiposLancamentos!B19</f>
        <v>Restaurantes</v>
      </c>
      <c r="C3601" s="139" t="s">
        <v>22553</v>
      </c>
      <c r="D3601" s="51"/>
      <c r="E3601" s="857">
        <v>27</v>
      </c>
    </row>
    <row r="3602" spans="1:6">
      <c r="A3602" s="856">
        <v>40842</v>
      </c>
      <c r="B3602" s="125" t="str">
        <f>TiposLancamentos!B19</f>
        <v>Restaurantes</v>
      </c>
      <c r="C3602" s="139" t="s">
        <v>4007</v>
      </c>
      <c r="D3602" s="51"/>
      <c r="E3602" s="857">
        <v>6</v>
      </c>
    </row>
    <row r="3603" spans="1:6">
      <c r="A3603" s="856">
        <v>40843</v>
      </c>
      <c r="B3603" s="125" t="str">
        <f>TiposLancamentos!B22</f>
        <v>Combustivel</v>
      </c>
      <c r="C3603" s="139" t="s">
        <v>22554</v>
      </c>
      <c r="D3603" s="51"/>
      <c r="E3603" s="857">
        <v>112.02</v>
      </c>
    </row>
    <row r="3604" spans="1:6">
      <c r="A3604" s="961">
        <v>40844</v>
      </c>
      <c r="B3604" s="817" t="str">
        <f>TiposLancamentos!B56</f>
        <v>Farmácia</v>
      </c>
      <c r="C3604" s="962" t="s">
        <v>22555</v>
      </c>
      <c r="D3604" s="809"/>
      <c r="E3604" s="965">
        <f>F3604-E3605</f>
        <v>45.16</v>
      </c>
      <c r="F3604" s="156">
        <v>62.39</v>
      </c>
    </row>
    <row r="3605" spans="1:6">
      <c r="A3605" s="963">
        <v>40844</v>
      </c>
      <c r="B3605" s="818" t="str">
        <f>TiposLancamentos!B17</f>
        <v>GATO</v>
      </c>
      <c r="C3605" s="964" t="s">
        <v>22556</v>
      </c>
      <c r="D3605" s="813"/>
      <c r="E3605" s="966">
        <v>17.23</v>
      </c>
    </row>
    <row r="3606" spans="1:6">
      <c r="A3606" s="856">
        <v>40845</v>
      </c>
      <c r="B3606" s="125" t="str">
        <f>TiposLancamentos!B70</f>
        <v>Vestuário</v>
      </c>
      <c r="C3606" s="139" t="s">
        <v>22557</v>
      </c>
      <c r="D3606" s="51"/>
      <c r="E3606" s="857">
        <v>139.80000000000001</v>
      </c>
    </row>
    <row r="3607" spans="1:6">
      <c r="A3607" s="856">
        <v>40845</v>
      </c>
      <c r="B3607" s="125" t="str">
        <f>TiposLancamentos!B20</f>
        <v>Saques</v>
      </c>
      <c r="C3607" s="139" t="s">
        <v>2668</v>
      </c>
      <c r="D3607" s="51"/>
      <c r="E3607" s="857">
        <v>20</v>
      </c>
    </row>
    <row r="3608" spans="1:6">
      <c r="A3608" s="856">
        <v>40847</v>
      </c>
      <c r="B3608" s="125" t="str">
        <f>TiposLancamentos!B95</f>
        <v>Salarios</v>
      </c>
      <c r="C3608" s="126" t="s">
        <v>4939</v>
      </c>
      <c r="D3608" s="51">
        <v>7111.92</v>
      </c>
      <c r="E3608" s="857"/>
    </row>
    <row r="3609" spans="1:6">
      <c r="A3609" s="856">
        <v>40847</v>
      </c>
      <c r="B3609" s="125" t="str">
        <f>TiposLancamentos!B43</f>
        <v>Imposto de Renda</v>
      </c>
      <c r="C3609" s="139" t="s">
        <v>22558</v>
      </c>
      <c r="D3609" s="51"/>
      <c r="E3609" s="857">
        <v>291.33</v>
      </c>
    </row>
    <row r="3610" spans="1:6">
      <c r="A3610" s="856">
        <v>40847</v>
      </c>
      <c r="B3610" s="125" t="str">
        <f>TiposLancamentos!B20</f>
        <v>Saques</v>
      </c>
      <c r="C3610" s="139" t="s">
        <v>3470</v>
      </c>
      <c r="D3610" s="51"/>
      <c r="E3610" s="857">
        <v>30</v>
      </c>
    </row>
    <row r="3611" spans="1:6">
      <c r="A3611" s="856">
        <v>40847</v>
      </c>
      <c r="B3611" s="125" t="str">
        <f>TiposLancamentos!B5</f>
        <v>Supermercado</v>
      </c>
      <c r="C3611" s="139" t="s">
        <v>21109</v>
      </c>
      <c r="D3611" s="51"/>
      <c r="E3611" s="857">
        <v>37.6</v>
      </c>
    </row>
    <row r="3612" spans="1:6" ht="14.25" thickBot="1">
      <c r="A3612" s="856">
        <v>40847</v>
      </c>
      <c r="B3612" s="125" t="str">
        <f>TiposLancamentos!B19</f>
        <v>Restaurantes</v>
      </c>
      <c r="C3612" s="139" t="s">
        <v>22559</v>
      </c>
      <c r="D3612" s="51"/>
      <c r="E3612" s="857">
        <v>40.22</v>
      </c>
    </row>
    <row r="3613" spans="1:6" ht="14.25" thickBot="1">
      <c r="A3613" s="998"/>
      <c r="B3613" s="989"/>
      <c r="C3613" s="990" t="s">
        <v>13551</v>
      </c>
      <c r="D3613" s="991"/>
      <c r="E3613" s="999"/>
    </row>
    <row r="3614" spans="1:6">
      <c r="A3614" s="856">
        <v>40848</v>
      </c>
      <c r="B3614" s="125" t="str">
        <f>TiposLancamentos!B15</f>
        <v>Cartões de Crédito</v>
      </c>
      <c r="C3614" s="139" t="s">
        <v>5557</v>
      </c>
      <c r="D3614" s="51"/>
      <c r="E3614" s="857">
        <v>1414.46</v>
      </c>
    </row>
    <row r="3615" spans="1:6">
      <c r="A3615" s="856">
        <v>40848</v>
      </c>
      <c r="B3615" s="125" t="str">
        <f>TiposLancamentos!B34</f>
        <v>Seguros</v>
      </c>
      <c r="C3615" s="139" t="s">
        <v>22560</v>
      </c>
      <c r="D3615" s="51"/>
      <c r="E3615" s="857">
        <v>547.98</v>
      </c>
    </row>
    <row r="3616" spans="1:6">
      <c r="A3616" s="856">
        <v>40848</v>
      </c>
      <c r="B3616" s="125" t="str">
        <f>TiposLancamentos!B3</f>
        <v>Internet</v>
      </c>
      <c r="C3616" s="139" t="s">
        <v>5838</v>
      </c>
      <c r="D3616" s="51"/>
      <c r="E3616" s="857">
        <v>59.95</v>
      </c>
    </row>
    <row r="3617" spans="1:6">
      <c r="A3617" s="856">
        <v>40848</v>
      </c>
      <c r="B3617" s="125" t="str">
        <f>TiposLancamentos!B6</f>
        <v>Energia Eletrica</v>
      </c>
      <c r="C3617" s="139" t="s">
        <v>5191</v>
      </c>
      <c r="D3617" s="51"/>
      <c r="E3617" s="857">
        <v>162.58000000000001</v>
      </c>
    </row>
    <row r="3618" spans="1:6">
      <c r="A3618" s="856">
        <v>40848</v>
      </c>
      <c r="B3618" s="125" t="str">
        <f>TiposLancamentos!B87</f>
        <v>P207-1.6-XS</v>
      </c>
      <c r="C3618" s="139" t="s">
        <v>13552</v>
      </c>
      <c r="D3618" s="51"/>
      <c r="E3618" s="857">
        <v>730.99</v>
      </c>
    </row>
    <row r="3619" spans="1:6">
      <c r="A3619" s="806">
        <v>40848</v>
      </c>
      <c r="B3619" s="807" t="str">
        <f>TiposLancamentos!B35</f>
        <v>Tv à Cabo</v>
      </c>
      <c r="C3619" s="808" t="s">
        <v>5834</v>
      </c>
      <c r="D3619" s="809"/>
      <c r="E3619" s="859">
        <v>147.09</v>
      </c>
    </row>
    <row r="3620" spans="1:6">
      <c r="A3620" s="773">
        <v>40848</v>
      </c>
      <c r="B3620" s="152" t="str">
        <f>TiposLancamentos!B3</f>
        <v>Internet</v>
      </c>
      <c r="C3620" s="141" t="s">
        <v>5835</v>
      </c>
      <c r="D3620" s="127"/>
      <c r="E3620" s="861">
        <v>72.34</v>
      </c>
    </row>
    <row r="3621" spans="1:6">
      <c r="A3621" s="810">
        <v>40848</v>
      </c>
      <c r="B3621" s="811" t="str">
        <f>TiposLancamentos!B2</f>
        <v>Telefonia</v>
      </c>
      <c r="C3621" s="812" t="s">
        <v>5836</v>
      </c>
      <c r="D3621" s="813"/>
      <c r="E3621" s="863">
        <v>37.9</v>
      </c>
      <c r="F3621" s="156">
        <f>SUM(E3619:E3621)</f>
        <v>257.33</v>
      </c>
    </row>
    <row r="3622" spans="1:6">
      <c r="A3622" s="856">
        <v>40848</v>
      </c>
      <c r="B3622" s="125" t="str">
        <f>TiposLancamentos!B9</f>
        <v>Condominio</v>
      </c>
      <c r="C3622" s="139" t="s">
        <v>22561</v>
      </c>
      <c r="D3622" s="51"/>
      <c r="E3622" s="857">
        <v>752.98</v>
      </c>
      <c r="F3622" s="156"/>
    </row>
    <row r="3623" spans="1:6">
      <c r="A3623" s="856">
        <v>40848</v>
      </c>
      <c r="B3623" s="125" t="str">
        <f>TiposLancamentos!B34</f>
        <v>Seguros</v>
      </c>
      <c r="C3623" s="139" t="s">
        <v>6243</v>
      </c>
      <c r="D3623" s="51"/>
      <c r="E3623" s="857">
        <v>69</v>
      </c>
      <c r="F3623" s="156"/>
    </row>
    <row r="3624" spans="1:6">
      <c r="A3624" s="856">
        <v>40848</v>
      </c>
      <c r="B3624" s="125" t="str">
        <f>TiposLancamentos!B5</f>
        <v>Supermercado</v>
      </c>
      <c r="C3624" s="139" t="s">
        <v>22117</v>
      </c>
      <c r="D3624" s="51"/>
      <c r="E3624" s="857">
        <v>63.38</v>
      </c>
      <c r="F3624" s="156"/>
    </row>
    <row r="3625" spans="1:6">
      <c r="A3625" s="856">
        <v>40848</v>
      </c>
      <c r="B3625" s="125" t="str">
        <f>TiposLancamentos!B4</f>
        <v>Taxas Bancarias</v>
      </c>
      <c r="C3625" s="139" t="s">
        <v>22562</v>
      </c>
      <c r="D3625" s="51"/>
      <c r="E3625" s="857">
        <v>66.73</v>
      </c>
      <c r="F3625" s="156"/>
    </row>
    <row r="3626" spans="1:6">
      <c r="A3626" s="856">
        <v>40848</v>
      </c>
      <c r="B3626" s="125" t="str">
        <f>TiposLancamentos!B4</f>
        <v>Taxas Bancarias</v>
      </c>
      <c r="C3626" s="139" t="s">
        <v>22563</v>
      </c>
      <c r="D3626" s="51"/>
      <c r="E3626" s="857">
        <v>1.67</v>
      </c>
      <c r="F3626" s="156"/>
    </row>
    <row r="3627" spans="1:6">
      <c r="A3627" s="856">
        <v>40848</v>
      </c>
      <c r="B3627" s="125" t="str">
        <f>TiposLancamentos!B4</f>
        <v>Taxas Bancarias</v>
      </c>
      <c r="C3627" s="139" t="s">
        <v>22564</v>
      </c>
      <c r="D3627" s="51"/>
      <c r="E3627" s="857">
        <v>17.68</v>
      </c>
      <c r="F3627" s="156"/>
    </row>
    <row r="3628" spans="1:6">
      <c r="A3628" s="856">
        <v>40850</v>
      </c>
      <c r="B3628" s="125" t="str">
        <f>TiposLancamentos!B20</f>
        <v>Saques</v>
      </c>
      <c r="C3628" s="139" t="s">
        <v>2655</v>
      </c>
      <c r="D3628" s="51"/>
      <c r="E3628" s="857">
        <v>40</v>
      </c>
      <c r="F3628" s="156"/>
    </row>
    <row r="3629" spans="1:6">
      <c r="A3629" s="856">
        <v>40851</v>
      </c>
      <c r="B3629" s="125" t="str">
        <f>TiposLancamentos!B5</f>
        <v>Supermercado</v>
      </c>
      <c r="C3629" s="139" t="s">
        <v>22532</v>
      </c>
      <c r="D3629" s="51"/>
      <c r="E3629" s="857">
        <v>106.34</v>
      </c>
      <c r="F3629" s="156"/>
    </row>
    <row r="3630" spans="1:6">
      <c r="A3630" s="856">
        <v>40852</v>
      </c>
      <c r="B3630" s="125" t="str">
        <f>TiposLancamentos!B56</f>
        <v>Farmácia</v>
      </c>
      <c r="C3630" s="139" t="s">
        <v>22565</v>
      </c>
      <c r="D3630" s="51"/>
      <c r="E3630" s="857">
        <v>137.19</v>
      </c>
      <c r="F3630" s="156"/>
    </row>
    <row r="3631" spans="1:6">
      <c r="A3631" s="856">
        <v>40852</v>
      </c>
      <c r="B3631" s="125" t="str">
        <f>TiposLancamentos!B19</f>
        <v>Restaurantes</v>
      </c>
      <c r="C3631" s="139" t="s">
        <v>3618</v>
      </c>
      <c r="D3631" s="51"/>
      <c r="E3631" s="857">
        <v>40.1</v>
      </c>
      <c r="F3631" s="156"/>
    </row>
    <row r="3632" spans="1:6">
      <c r="A3632" s="856">
        <v>40853</v>
      </c>
      <c r="B3632" s="125" t="str">
        <f>TiposLancamentos!B5</f>
        <v>Supermercado</v>
      </c>
      <c r="C3632" s="139" t="s">
        <v>22566</v>
      </c>
      <c r="D3632" s="51"/>
      <c r="E3632" s="857">
        <v>25.13</v>
      </c>
      <c r="F3632" s="156"/>
    </row>
    <row r="3633" spans="1:6">
      <c r="A3633" s="856">
        <v>40854</v>
      </c>
      <c r="B3633" s="125" t="str">
        <f>TiposLancamentos!B37</f>
        <v>Playstation 3</v>
      </c>
      <c r="C3633" s="139" t="s">
        <v>22567</v>
      </c>
      <c r="D3633" s="51"/>
      <c r="E3633" s="857">
        <v>199.9</v>
      </c>
      <c r="F3633" s="156"/>
    </row>
    <row r="3634" spans="1:6">
      <c r="A3634" s="856">
        <v>40854</v>
      </c>
      <c r="B3634" s="125" t="str">
        <f>TiposLancamentos!B5</f>
        <v>Supermercado</v>
      </c>
      <c r="C3634" s="139" t="s">
        <v>22568</v>
      </c>
      <c r="D3634" s="51"/>
      <c r="E3634" s="857">
        <v>72.23</v>
      </c>
      <c r="F3634" s="156"/>
    </row>
    <row r="3635" spans="1:6">
      <c r="A3635" s="856">
        <v>40856</v>
      </c>
      <c r="B3635" s="125" t="str">
        <f>TiposLancamentos!B97</f>
        <v>Deposito Terc.</v>
      </c>
      <c r="C3635" s="139" t="s">
        <v>22569</v>
      </c>
      <c r="D3635" s="51">
        <v>70</v>
      </c>
      <c r="E3635" s="857"/>
      <c r="F3635" s="156"/>
    </row>
    <row r="3636" spans="1:6">
      <c r="A3636" s="856">
        <v>40856</v>
      </c>
      <c r="B3636" s="125" t="str">
        <f>TiposLancamentos!B5</f>
        <v>Supermercado</v>
      </c>
      <c r="C3636" s="139" t="s">
        <v>22117</v>
      </c>
      <c r="D3636" s="51"/>
      <c r="E3636" s="857">
        <v>27.32</v>
      </c>
      <c r="F3636" s="156"/>
    </row>
    <row r="3637" spans="1:6">
      <c r="A3637" s="961">
        <v>40857</v>
      </c>
      <c r="B3637" s="817" t="str">
        <f>TiposLancamentos!B8</f>
        <v>Aluguel</v>
      </c>
      <c r="C3637" s="962" t="s">
        <v>22570</v>
      </c>
      <c r="D3637" s="809"/>
      <c r="E3637" s="965">
        <f>F3638-E3638</f>
        <v>1196.0500000000002</v>
      </c>
    </row>
    <row r="3638" spans="1:6">
      <c r="A3638" s="963">
        <v>40857</v>
      </c>
      <c r="B3638" s="818" t="str">
        <f>TiposLancamentos!B12</f>
        <v>IPTU</v>
      </c>
      <c r="C3638" s="964" t="s">
        <v>13414</v>
      </c>
      <c r="D3638" s="813"/>
      <c r="E3638" s="966">
        <v>93.11</v>
      </c>
      <c r="F3638" s="36">
        <v>1289.1600000000001</v>
      </c>
    </row>
    <row r="3639" spans="1:6">
      <c r="A3639" s="856">
        <v>40857</v>
      </c>
      <c r="B3639" s="125" t="str">
        <f>TiposLancamentos!B19</f>
        <v>Restaurantes</v>
      </c>
      <c r="C3639" s="139" t="s">
        <v>22571</v>
      </c>
      <c r="D3639" s="51"/>
      <c r="E3639" s="857">
        <v>52.5</v>
      </c>
    </row>
    <row r="3640" spans="1:6">
      <c r="A3640" s="961">
        <v>40857</v>
      </c>
      <c r="B3640" s="817" t="str">
        <f>TiposLancamentos!B70</f>
        <v>Vestuário</v>
      </c>
      <c r="C3640" s="962" t="s">
        <v>22572</v>
      </c>
      <c r="D3640" s="809"/>
      <c r="E3640" s="965">
        <v>19.989999999999998</v>
      </c>
    </row>
    <row r="3641" spans="1:6">
      <c r="A3641" s="963">
        <v>40857</v>
      </c>
      <c r="B3641" s="818" t="str">
        <f>TiposLancamentos!B16</f>
        <v>Cristiane</v>
      </c>
      <c r="C3641" s="964" t="s">
        <v>22572</v>
      </c>
      <c r="D3641" s="813"/>
      <c r="E3641" s="966">
        <v>19.989999999999998</v>
      </c>
      <c r="F3641" s="36">
        <f>SUM(E3640:E3641)</f>
        <v>39.979999999999997</v>
      </c>
    </row>
    <row r="3642" spans="1:6">
      <c r="A3642" s="856">
        <v>40857</v>
      </c>
      <c r="B3642" s="125" t="str">
        <f>TiposLancamentos!B19</f>
        <v>Restaurantes</v>
      </c>
      <c r="C3642" s="139" t="s">
        <v>4007</v>
      </c>
      <c r="D3642" s="51"/>
      <c r="E3642" s="857">
        <v>6.6</v>
      </c>
    </row>
    <row r="3643" spans="1:6">
      <c r="A3643" s="856">
        <v>40858</v>
      </c>
      <c r="B3643" s="125" t="str">
        <f>TiposLancamentos!B19</f>
        <v>Restaurantes</v>
      </c>
      <c r="C3643" s="139" t="s">
        <v>5869</v>
      </c>
      <c r="D3643" s="51"/>
      <c r="E3643" s="857">
        <v>36</v>
      </c>
    </row>
    <row r="3644" spans="1:6">
      <c r="A3644" s="856">
        <v>40860</v>
      </c>
      <c r="B3644" s="125" t="str">
        <f>TiposLancamentos!B5</f>
        <v>Supermercado</v>
      </c>
      <c r="C3644" s="139" t="s">
        <v>22573</v>
      </c>
      <c r="D3644" s="51"/>
      <c r="E3644" s="857">
        <v>124.75</v>
      </c>
    </row>
    <row r="3645" spans="1:6">
      <c r="A3645" s="856">
        <v>40861</v>
      </c>
      <c r="B3645" s="125" t="str">
        <f>TiposLancamentos!B95</f>
        <v>Salarios</v>
      </c>
      <c r="C3645" s="139" t="s">
        <v>4916</v>
      </c>
      <c r="D3645" s="51">
        <v>1990.45</v>
      </c>
      <c r="E3645" s="857"/>
    </row>
    <row r="3646" spans="1:6">
      <c r="A3646" s="856">
        <v>40861</v>
      </c>
      <c r="B3646" s="125" t="str">
        <f>TiposLancamentos!B20</f>
        <v>Saques</v>
      </c>
      <c r="C3646" s="139" t="s">
        <v>2655</v>
      </c>
      <c r="D3646" s="51"/>
      <c r="E3646" s="857">
        <v>20</v>
      </c>
    </row>
    <row r="3647" spans="1:6">
      <c r="A3647" s="856">
        <v>40861</v>
      </c>
      <c r="B3647" s="125" t="str">
        <f>TiposLancamentos!B5</f>
        <v>Supermercado</v>
      </c>
      <c r="C3647" s="139" t="s">
        <v>3902</v>
      </c>
      <c r="D3647" s="51"/>
      <c r="E3647" s="857">
        <v>107.14</v>
      </c>
    </row>
    <row r="3648" spans="1:6">
      <c r="A3648" s="856">
        <v>40861</v>
      </c>
      <c r="B3648" s="125" t="str">
        <f>TiposLancamentos!B5</f>
        <v>Supermercado</v>
      </c>
      <c r="C3648" s="139" t="s">
        <v>3618</v>
      </c>
      <c r="D3648" s="51"/>
      <c r="E3648" s="857">
        <v>5.79</v>
      </c>
    </row>
    <row r="3649" spans="1:6">
      <c r="A3649" s="856">
        <v>40863</v>
      </c>
      <c r="B3649" s="125" t="str">
        <f>TiposLancamentos!B22</f>
        <v>Combustivel</v>
      </c>
      <c r="C3649" s="139" t="s">
        <v>22574</v>
      </c>
      <c r="D3649" s="51"/>
      <c r="E3649" s="857">
        <v>116</v>
      </c>
    </row>
    <row r="3650" spans="1:6">
      <c r="A3650" s="856">
        <v>40863</v>
      </c>
      <c r="B3650" s="125" t="str">
        <f>TiposLancamentos!B24</f>
        <v>Estacionamentos</v>
      </c>
      <c r="C3650" s="139" t="s">
        <v>5392</v>
      </c>
      <c r="D3650" s="51"/>
      <c r="E3650" s="857">
        <v>33.9</v>
      </c>
    </row>
    <row r="3651" spans="1:6">
      <c r="A3651" s="856">
        <v>40863</v>
      </c>
      <c r="B3651" s="125" t="str">
        <f>TiposLancamentos!B16</f>
        <v>Cristiane</v>
      </c>
      <c r="C3651" s="139" t="s">
        <v>22575</v>
      </c>
      <c r="D3651" s="51"/>
      <c r="E3651" s="857">
        <v>98.5</v>
      </c>
    </row>
    <row r="3652" spans="1:6">
      <c r="A3652" s="856">
        <v>40863</v>
      </c>
      <c r="B3652" s="125" t="str">
        <f>TiposLancamentos!B15</f>
        <v>Cartões de Crédito</v>
      </c>
      <c r="C3652" s="139" t="s">
        <v>5810</v>
      </c>
      <c r="D3652" s="51"/>
      <c r="E3652" s="857">
        <v>13.73</v>
      </c>
    </row>
    <row r="3653" spans="1:6">
      <c r="A3653" s="856">
        <v>40863</v>
      </c>
      <c r="B3653" s="125" t="str">
        <f>TiposLancamentos!B5</f>
        <v>Supermercado</v>
      </c>
      <c r="C3653" s="139" t="s">
        <v>22576</v>
      </c>
      <c r="D3653" s="51"/>
      <c r="E3653" s="857">
        <v>26.96</v>
      </c>
    </row>
    <row r="3654" spans="1:6">
      <c r="A3654" s="856">
        <v>40863</v>
      </c>
      <c r="B3654" s="125" t="str">
        <f>TiposLancamentos!B16</f>
        <v>Cristiane</v>
      </c>
      <c r="C3654" s="139" t="s">
        <v>22577</v>
      </c>
      <c r="D3654" s="51"/>
      <c r="E3654" s="857">
        <v>103.9</v>
      </c>
      <c r="F3654" s="112"/>
    </row>
    <row r="3655" spans="1:6">
      <c r="A3655" s="856">
        <v>40864</v>
      </c>
      <c r="B3655" s="125" t="str">
        <f>TiposLancamentos!B87</f>
        <v>P207-1.6-XS</v>
      </c>
      <c r="C3655" s="139" t="s">
        <v>6670</v>
      </c>
      <c r="D3655" s="51"/>
      <c r="E3655" s="857">
        <v>208</v>
      </c>
    </row>
    <row r="3656" spans="1:6">
      <c r="A3656" s="856">
        <v>40864</v>
      </c>
      <c r="B3656" s="125" t="str">
        <f>TiposLancamentos!B19</f>
        <v>Restaurantes</v>
      </c>
      <c r="C3656" s="139" t="s">
        <v>3618</v>
      </c>
      <c r="D3656" s="51"/>
      <c r="E3656" s="857">
        <v>12.7</v>
      </c>
    </row>
    <row r="3657" spans="1:6">
      <c r="A3657" s="856">
        <v>40865</v>
      </c>
      <c r="B3657" s="125" t="str">
        <f>TiposLancamentos!B5</f>
        <v>Supermercado</v>
      </c>
      <c r="C3657" s="139" t="s">
        <v>22578</v>
      </c>
      <c r="D3657" s="51"/>
      <c r="E3657" s="857">
        <v>30.29</v>
      </c>
    </row>
    <row r="3658" spans="1:6">
      <c r="A3658" s="961">
        <v>40866</v>
      </c>
      <c r="B3658" s="817" t="str">
        <f>TiposLancamentos!B13</f>
        <v>Moradia</v>
      </c>
      <c r="C3658" s="962" t="s">
        <v>22579</v>
      </c>
      <c r="D3658" s="809"/>
      <c r="E3658" s="965">
        <v>88.4</v>
      </c>
    </row>
    <row r="3659" spans="1:6">
      <c r="A3659" s="963">
        <v>40866</v>
      </c>
      <c r="B3659" s="818" t="str">
        <f>TiposLancamentos!B57</f>
        <v>Informática</v>
      </c>
      <c r="C3659" s="964" t="s">
        <v>22580</v>
      </c>
      <c r="D3659" s="813"/>
      <c r="E3659" s="966">
        <v>15.1</v>
      </c>
      <c r="F3659" s="36">
        <f>SUM(E3658:E3659)</f>
        <v>103.5</v>
      </c>
    </row>
    <row r="3660" spans="1:6">
      <c r="A3660" s="856">
        <v>40866</v>
      </c>
      <c r="B3660" s="125" t="str">
        <f>TiposLancamentos!B19</f>
        <v>Restaurantes</v>
      </c>
      <c r="C3660" s="139" t="s">
        <v>22581</v>
      </c>
      <c r="D3660" s="51"/>
      <c r="E3660" s="857">
        <v>70.180000000000007</v>
      </c>
      <c r="F3660" s="36"/>
    </row>
    <row r="3661" spans="1:6">
      <c r="A3661" s="856">
        <v>40866</v>
      </c>
      <c r="B3661" s="125" t="str">
        <f>TiposLancamentos!B16</f>
        <v>Cristiane</v>
      </c>
      <c r="C3661" s="139" t="s">
        <v>22582</v>
      </c>
      <c r="D3661" s="51"/>
      <c r="E3661" s="857">
        <v>139.80000000000001</v>
      </c>
    </row>
    <row r="3662" spans="1:6">
      <c r="A3662" s="856">
        <v>40866</v>
      </c>
      <c r="B3662" s="125" t="str">
        <f>TiposLancamentos!B16</f>
        <v>Cristiane</v>
      </c>
      <c r="C3662" s="139" t="s">
        <v>22583</v>
      </c>
      <c r="D3662" s="51"/>
      <c r="E3662" s="857">
        <v>6.8</v>
      </c>
    </row>
    <row r="3663" spans="1:6">
      <c r="A3663" s="856">
        <v>40867</v>
      </c>
      <c r="B3663" s="125" t="str">
        <f>TiposLancamentos!B19</f>
        <v>Restaurantes</v>
      </c>
      <c r="C3663" s="139" t="s">
        <v>22584</v>
      </c>
      <c r="D3663" s="51"/>
      <c r="E3663" s="857">
        <v>63.03</v>
      </c>
    </row>
    <row r="3664" spans="1:6">
      <c r="A3664" s="856">
        <v>40867</v>
      </c>
      <c r="B3664" s="125" t="str">
        <f>TiposLancamentos!B16</f>
        <v>Cristiane</v>
      </c>
      <c r="C3664" s="139" t="s">
        <v>22585</v>
      </c>
      <c r="D3664" s="51"/>
      <c r="E3664" s="857">
        <v>35.5</v>
      </c>
    </row>
    <row r="3665" spans="1:6">
      <c r="A3665" s="856">
        <v>40867</v>
      </c>
      <c r="B3665" s="125" t="str">
        <f>TiposLancamentos!B20</f>
        <v>Saques</v>
      </c>
      <c r="C3665" s="139" t="s">
        <v>4142</v>
      </c>
      <c r="D3665" s="51"/>
      <c r="E3665" s="857">
        <v>30</v>
      </c>
    </row>
    <row r="3666" spans="1:6">
      <c r="A3666" s="856">
        <v>40867</v>
      </c>
      <c r="B3666" s="125" t="str">
        <f>TiposLancamentos!B19</f>
        <v>Restaurantes</v>
      </c>
      <c r="C3666" s="139" t="s">
        <v>22586</v>
      </c>
      <c r="D3666" s="51"/>
      <c r="E3666" s="857">
        <v>20.2</v>
      </c>
    </row>
    <row r="3667" spans="1:6">
      <c r="A3667" s="856">
        <v>40867</v>
      </c>
      <c r="B3667" s="125" t="str">
        <f>TiposLancamentos!B5</f>
        <v>Supermercado</v>
      </c>
      <c r="C3667" s="139" t="s">
        <v>22587</v>
      </c>
      <c r="D3667" s="51"/>
      <c r="E3667" s="857">
        <v>149.58000000000001</v>
      </c>
    </row>
    <row r="3668" spans="1:6">
      <c r="A3668" s="856">
        <v>40870</v>
      </c>
      <c r="B3668" s="125" t="str">
        <f>TiposLancamentos!B19</f>
        <v>Restaurantes</v>
      </c>
      <c r="C3668" s="139" t="s">
        <v>6122</v>
      </c>
      <c r="D3668" s="51"/>
      <c r="E3668" s="857">
        <v>36</v>
      </c>
    </row>
    <row r="3669" spans="1:6">
      <c r="A3669" s="961">
        <v>40871</v>
      </c>
      <c r="B3669" s="817" t="str">
        <f>TiposLancamentos!B16</f>
        <v>Cristiane</v>
      </c>
      <c r="C3669" s="962" t="s">
        <v>22588</v>
      </c>
      <c r="D3669" s="809"/>
      <c r="E3669" s="965">
        <f>235-E3670</f>
        <v>125</v>
      </c>
    </row>
    <row r="3670" spans="1:6">
      <c r="A3670" s="963">
        <v>40871</v>
      </c>
      <c r="B3670" s="818" t="str">
        <f>TiposLancamentos!B44</f>
        <v>Academia</v>
      </c>
      <c r="C3670" s="964" t="s">
        <v>22589</v>
      </c>
      <c r="D3670" s="813"/>
      <c r="E3670" s="966">
        <v>110</v>
      </c>
      <c r="F3670" s="156">
        <f>SUM(E3670)</f>
        <v>110</v>
      </c>
    </row>
    <row r="3671" spans="1:6">
      <c r="A3671" s="856">
        <v>40871</v>
      </c>
      <c r="B3671" s="125" t="str">
        <f>TiposLancamentos!B16</f>
        <v>Cristiane</v>
      </c>
      <c r="C3671" s="139" t="s">
        <v>6052</v>
      </c>
      <c r="D3671" s="51"/>
      <c r="E3671" s="857">
        <v>44.27</v>
      </c>
    </row>
    <row r="3672" spans="1:6">
      <c r="A3672" s="856">
        <v>40871</v>
      </c>
      <c r="B3672" s="125" t="str">
        <f>TiposLancamentos!B5</f>
        <v>Supermercado</v>
      </c>
      <c r="C3672" s="139" t="s">
        <v>22117</v>
      </c>
      <c r="D3672" s="51"/>
      <c r="E3672" s="857">
        <v>45.59</v>
      </c>
    </row>
    <row r="3673" spans="1:6">
      <c r="A3673" s="856">
        <v>40872</v>
      </c>
      <c r="B3673" s="125" t="str">
        <f>TiposLancamentos!B72</f>
        <v>Presentes</v>
      </c>
      <c r="C3673" s="139" t="s">
        <v>22590</v>
      </c>
      <c r="D3673" s="51"/>
      <c r="E3673" s="857">
        <v>293.05</v>
      </c>
    </row>
    <row r="3674" spans="1:6">
      <c r="A3674" s="856">
        <v>40872</v>
      </c>
      <c r="B3674" s="125" t="str">
        <f>TiposLancamentos!B19</f>
        <v>Restaurantes</v>
      </c>
      <c r="C3674" s="139" t="s">
        <v>22581</v>
      </c>
      <c r="D3674" s="51"/>
      <c r="E3674" s="857">
        <v>49.83</v>
      </c>
    </row>
    <row r="3675" spans="1:6">
      <c r="A3675" s="856">
        <v>40872</v>
      </c>
      <c r="B3675" s="125" t="str">
        <f>TiposLancamentos!B19</f>
        <v>Restaurantes</v>
      </c>
      <c r="C3675" s="139" t="s">
        <v>22591</v>
      </c>
      <c r="D3675" s="51"/>
      <c r="E3675" s="857">
        <v>41.63</v>
      </c>
    </row>
    <row r="3676" spans="1:6">
      <c r="A3676" s="856">
        <v>40873</v>
      </c>
      <c r="B3676" s="125" t="str">
        <f>TiposLancamentos!B19</f>
        <v>Restaurantes</v>
      </c>
      <c r="C3676" s="139" t="s">
        <v>22592</v>
      </c>
      <c r="D3676" s="51"/>
      <c r="E3676" s="857">
        <v>56.54</v>
      </c>
    </row>
    <row r="3677" spans="1:6">
      <c r="A3677" s="806">
        <v>40873</v>
      </c>
      <c r="B3677" s="807" t="str">
        <f>TiposLancamentos!B71</f>
        <v>Itens Pessoais</v>
      </c>
      <c r="C3677" s="808" t="s">
        <v>22593</v>
      </c>
      <c r="D3677" s="809"/>
      <c r="E3677" s="859">
        <v>120</v>
      </c>
      <c r="F3677" s="156"/>
    </row>
    <row r="3678" spans="1:6">
      <c r="A3678" s="773">
        <v>40873</v>
      </c>
      <c r="B3678" s="152" t="str">
        <f>TiposLancamentos!B16</f>
        <v>Cristiane</v>
      </c>
      <c r="C3678" s="141" t="s">
        <v>22594</v>
      </c>
      <c r="D3678" s="127"/>
      <c r="E3678" s="861">
        <v>120</v>
      </c>
      <c r="F3678" s="156"/>
    </row>
    <row r="3679" spans="1:6">
      <c r="A3679" s="810">
        <v>40873</v>
      </c>
      <c r="B3679" s="811" t="str">
        <f>TiposLancamentos!B72</f>
        <v>Presentes</v>
      </c>
      <c r="C3679" s="812" t="s">
        <v>22595</v>
      </c>
      <c r="D3679" s="813"/>
      <c r="E3679" s="863">
        <v>62</v>
      </c>
      <c r="F3679" s="156">
        <f>SUM(E3677:E3679)</f>
        <v>302</v>
      </c>
    </row>
    <row r="3680" spans="1:6">
      <c r="A3680" s="856">
        <v>40873</v>
      </c>
      <c r="B3680" s="125" t="str">
        <f>TiposLancamentos!B19</f>
        <v>Restaurantes</v>
      </c>
      <c r="C3680" s="139" t="s">
        <v>22596</v>
      </c>
      <c r="D3680" s="51"/>
      <c r="E3680" s="857">
        <v>28</v>
      </c>
    </row>
    <row r="3681" spans="1:6">
      <c r="A3681" s="856">
        <v>40874</v>
      </c>
      <c r="B3681" s="125" t="str">
        <f>TiposLancamentos!B19</f>
        <v>Restaurantes</v>
      </c>
      <c r="C3681" s="139" t="s">
        <v>22597</v>
      </c>
      <c r="D3681" s="51"/>
      <c r="E3681" s="857">
        <v>15.2</v>
      </c>
    </row>
    <row r="3682" spans="1:6">
      <c r="A3682" s="856">
        <v>40876</v>
      </c>
      <c r="B3682" s="125" t="str">
        <f>TiposLancamentos!B5</f>
        <v>Supermercado</v>
      </c>
      <c r="C3682" s="139" t="s">
        <v>22598</v>
      </c>
      <c r="D3682" s="51"/>
      <c r="E3682" s="857">
        <v>39.92</v>
      </c>
    </row>
    <row r="3683" spans="1:6">
      <c r="A3683" s="856">
        <v>40876</v>
      </c>
      <c r="B3683" s="125" t="str">
        <f>TiposLancamentos!B56</f>
        <v>Farmácia</v>
      </c>
      <c r="C3683" s="139" t="s">
        <v>19225</v>
      </c>
      <c r="D3683" s="51"/>
      <c r="E3683" s="857">
        <f>(59.06-17.72)+13.3</f>
        <v>54.64</v>
      </c>
    </row>
    <row r="3684" spans="1:6">
      <c r="A3684" s="856">
        <v>40876</v>
      </c>
      <c r="B3684" s="125" t="str">
        <f>TiposLancamentos!B16</f>
        <v>Cristiane</v>
      </c>
      <c r="C3684" s="139" t="s">
        <v>5887</v>
      </c>
      <c r="D3684" s="51"/>
      <c r="E3684" s="857">
        <f>62.82-18.85</f>
        <v>43.97</v>
      </c>
    </row>
    <row r="3685" spans="1:6" ht="14.25" thickBot="1">
      <c r="A3685" s="856">
        <v>40724</v>
      </c>
      <c r="B3685" s="125" t="str">
        <f>TiposLancamentos!B95</f>
        <v>Salarios</v>
      </c>
      <c r="C3685" s="126" t="s">
        <v>4939</v>
      </c>
      <c r="D3685" s="51">
        <v>7582.04</v>
      </c>
      <c r="E3685" s="857"/>
    </row>
    <row r="3686" spans="1:6" ht="14.25" thickBot="1">
      <c r="A3686" s="998"/>
      <c r="B3686" s="989"/>
      <c r="C3686" s="990" t="s">
        <v>13557</v>
      </c>
      <c r="D3686" s="991"/>
      <c r="E3686" s="999"/>
    </row>
    <row r="3687" spans="1:6">
      <c r="A3687" s="856">
        <v>40878</v>
      </c>
      <c r="B3687" s="125" t="str">
        <f>TiposLancamentos!B15</f>
        <v>Cartões de Crédito</v>
      </c>
      <c r="C3687" s="139" t="s">
        <v>5557</v>
      </c>
      <c r="D3687" s="51"/>
      <c r="E3687" s="857">
        <v>1909.52</v>
      </c>
    </row>
    <row r="3688" spans="1:6">
      <c r="A3688" s="856">
        <v>40878</v>
      </c>
      <c r="B3688" s="125" t="str">
        <f>TiposLancamentos!B34</f>
        <v>Seguros</v>
      </c>
      <c r="C3688" s="139" t="s">
        <v>22599</v>
      </c>
      <c r="D3688" s="51"/>
      <c r="E3688" s="857">
        <v>547.98</v>
      </c>
    </row>
    <row r="3689" spans="1:6">
      <c r="A3689" s="856">
        <v>40878</v>
      </c>
      <c r="B3689" s="125" t="str">
        <f>TiposLancamentos!B6</f>
        <v>Energia Eletrica</v>
      </c>
      <c r="C3689" s="139" t="s">
        <v>5191</v>
      </c>
      <c r="D3689" s="51"/>
      <c r="E3689" s="857">
        <v>169.19</v>
      </c>
    </row>
    <row r="3690" spans="1:6">
      <c r="A3690" s="856">
        <v>40878</v>
      </c>
      <c r="B3690" s="125" t="str">
        <f>TiposLancamentos!B8</f>
        <v>Aluguel</v>
      </c>
      <c r="C3690" s="139" t="s">
        <v>22600</v>
      </c>
      <c r="D3690" s="51"/>
      <c r="E3690" s="857">
        <v>1196.05</v>
      </c>
    </row>
    <row r="3691" spans="1:6">
      <c r="A3691" s="856">
        <v>40878</v>
      </c>
      <c r="B3691" s="125" t="str">
        <f>TiposLancamentos!B87</f>
        <v>P207-1.6-XS</v>
      </c>
      <c r="C3691" s="139" t="s">
        <v>13558</v>
      </c>
      <c r="D3691" s="51"/>
      <c r="E3691" s="857">
        <v>730.99</v>
      </c>
    </row>
    <row r="3692" spans="1:6">
      <c r="A3692" s="806">
        <v>40878</v>
      </c>
      <c r="B3692" s="807" t="str">
        <f>TiposLancamentos!B35</f>
        <v>Tv à Cabo</v>
      </c>
      <c r="C3692" s="808" t="s">
        <v>5834</v>
      </c>
      <c r="D3692" s="809"/>
      <c r="E3692" s="859">
        <v>147.09</v>
      </c>
    </row>
    <row r="3693" spans="1:6">
      <c r="A3693" s="773">
        <v>40878</v>
      </c>
      <c r="B3693" s="152" t="str">
        <f>TiposLancamentos!B3</f>
        <v>Internet</v>
      </c>
      <c r="C3693" s="141" t="s">
        <v>5835</v>
      </c>
      <c r="D3693" s="127"/>
      <c r="E3693" s="861">
        <v>72.34</v>
      </c>
    </row>
    <row r="3694" spans="1:6">
      <c r="A3694" s="810">
        <v>40878</v>
      </c>
      <c r="B3694" s="811" t="str">
        <f>TiposLancamentos!B2</f>
        <v>Telefonia</v>
      </c>
      <c r="C3694" s="812" t="s">
        <v>5836</v>
      </c>
      <c r="D3694" s="813"/>
      <c r="E3694" s="863">
        <v>37.9</v>
      </c>
      <c r="F3694" s="36">
        <f>SUM(E3692:E3694)</f>
        <v>257.33</v>
      </c>
    </row>
    <row r="3695" spans="1:6">
      <c r="A3695" s="856">
        <v>40878</v>
      </c>
      <c r="B3695" s="125" t="str">
        <f>TiposLancamentos!B34</f>
        <v>Seguros</v>
      </c>
      <c r="C3695" s="139" t="s">
        <v>6243</v>
      </c>
      <c r="D3695" s="51"/>
      <c r="E3695" s="857">
        <v>69</v>
      </c>
    </row>
    <row r="3696" spans="1:6">
      <c r="A3696" s="856">
        <v>40878</v>
      </c>
      <c r="B3696" s="125" t="str">
        <f>TiposLancamentos!B3</f>
        <v>Internet</v>
      </c>
      <c r="C3696" s="139" t="s">
        <v>5838</v>
      </c>
      <c r="D3696" s="51"/>
      <c r="E3696" s="857">
        <v>59.95</v>
      </c>
    </row>
    <row r="3697" spans="1:6">
      <c r="A3697" s="856">
        <v>40878</v>
      </c>
      <c r="B3697" s="125" t="str">
        <f>TiposLancamentos!B16</f>
        <v>Cristiane</v>
      </c>
      <c r="C3697" s="139" t="s">
        <v>22601</v>
      </c>
      <c r="D3697" s="51"/>
      <c r="E3697" s="857">
        <v>190</v>
      </c>
    </row>
    <row r="3698" spans="1:6">
      <c r="A3698" s="856">
        <v>40878</v>
      </c>
      <c r="B3698" s="125" t="str">
        <f>TiposLancamentos!B9</f>
        <v>Condominio</v>
      </c>
      <c r="C3698" s="139" t="s">
        <v>22561</v>
      </c>
      <c r="D3698" s="51"/>
      <c r="E3698" s="857">
        <v>830.96</v>
      </c>
    </row>
    <row r="3699" spans="1:6">
      <c r="A3699" s="856">
        <v>40878</v>
      </c>
      <c r="B3699" s="125" t="str">
        <f>TiposLancamentos!B4</f>
        <v>Taxas Bancarias</v>
      </c>
      <c r="C3699" s="139" t="s">
        <v>22602</v>
      </c>
      <c r="D3699" s="51"/>
      <c r="E3699" s="857">
        <v>29.51</v>
      </c>
    </row>
    <row r="3700" spans="1:6">
      <c r="A3700" s="856">
        <v>40878</v>
      </c>
      <c r="B3700" s="125" t="str">
        <f>TiposLancamentos!B4</f>
        <v>Taxas Bancarias</v>
      </c>
      <c r="C3700" s="139" t="s">
        <v>22603</v>
      </c>
      <c r="D3700" s="51"/>
      <c r="E3700" s="857">
        <v>0.74</v>
      </c>
    </row>
    <row r="3701" spans="1:6">
      <c r="A3701" s="856">
        <v>40878</v>
      </c>
      <c r="B3701" s="125" t="str">
        <f>TiposLancamentos!B4</f>
        <v>Taxas Bancarias</v>
      </c>
      <c r="C3701" s="139" t="s">
        <v>22604</v>
      </c>
      <c r="D3701" s="51"/>
      <c r="E3701" s="857">
        <v>8.1</v>
      </c>
    </row>
    <row r="3702" spans="1:6">
      <c r="A3702" s="856">
        <v>40884</v>
      </c>
      <c r="B3702" s="125" t="str">
        <f>TiposLancamentos!B20</f>
        <v>Saques</v>
      </c>
      <c r="C3702" s="139" t="s">
        <v>2668</v>
      </c>
      <c r="D3702" s="51"/>
      <c r="E3702" s="857">
        <v>40</v>
      </c>
    </row>
    <row r="3703" spans="1:6">
      <c r="A3703" s="856">
        <v>40884</v>
      </c>
      <c r="B3703" s="125" t="str">
        <f>TiposLancamentos!B19</f>
        <v>Restaurantes</v>
      </c>
      <c r="C3703" s="139" t="s">
        <v>22605</v>
      </c>
      <c r="D3703" s="51"/>
      <c r="E3703" s="857">
        <v>78.209999999999994</v>
      </c>
    </row>
    <row r="3704" spans="1:6">
      <c r="A3704" s="856">
        <v>40886</v>
      </c>
      <c r="B3704" s="125" t="str">
        <f>TiposLancamentos!B5</f>
        <v>Supermercado</v>
      </c>
      <c r="C3704" s="139" t="s">
        <v>22606</v>
      </c>
      <c r="D3704" s="51"/>
      <c r="E3704" s="857">
        <v>83.11</v>
      </c>
    </row>
    <row r="3705" spans="1:6">
      <c r="A3705" s="856">
        <v>40887</v>
      </c>
      <c r="B3705" s="125" t="str">
        <f>TiposLancamentos!B72</f>
        <v>Presentes</v>
      </c>
      <c r="C3705" s="139" t="s">
        <v>22607</v>
      </c>
      <c r="D3705" s="51"/>
      <c r="E3705" s="857">
        <v>20</v>
      </c>
    </row>
    <row r="3706" spans="1:6">
      <c r="A3706" s="856">
        <v>40887</v>
      </c>
      <c r="B3706" s="125" t="str">
        <f>TiposLancamentos!B19</f>
        <v>Restaurantes</v>
      </c>
      <c r="C3706" s="139" t="s">
        <v>22608</v>
      </c>
      <c r="D3706" s="51"/>
      <c r="E3706" s="857">
        <v>30.8</v>
      </c>
    </row>
    <row r="3707" spans="1:6">
      <c r="A3707" s="856">
        <v>40887</v>
      </c>
      <c r="B3707" s="125" t="str">
        <f>TiposLancamentos!B5</f>
        <v>Supermercado</v>
      </c>
      <c r="C3707" s="139" t="s">
        <v>22532</v>
      </c>
      <c r="D3707" s="51"/>
      <c r="E3707" s="857">
        <v>44.03</v>
      </c>
    </row>
    <row r="3708" spans="1:6">
      <c r="A3708" s="856">
        <v>40889</v>
      </c>
      <c r="B3708" s="125" t="str">
        <f>TiposLancamentos!B19</f>
        <v>Restaurantes</v>
      </c>
      <c r="C3708" s="139" t="s">
        <v>6122</v>
      </c>
      <c r="D3708" s="51"/>
      <c r="E3708" s="857">
        <v>16.600000000000001</v>
      </c>
    </row>
    <row r="3709" spans="1:6">
      <c r="A3709" s="961">
        <v>40889</v>
      </c>
      <c r="B3709" s="817" t="str">
        <f>TiposLancamentos!B19</f>
        <v>Restaurantes</v>
      </c>
      <c r="C3709" s="962" t="s">
        <v>22609</v>
      </c>
      <c r="D3709" s="809"/>
      <c r="E3709" s="965">
        <f>F3710-E3710</f>
        <v>47.15</v>
      </c>
    </row>
    <row r="3710" spans="1:6">
      <c r="A3710" s="963">
        <v>40889</v>
      </c>
      <c r="B3710" s="818" t="str">
        <f>TiposLancamentos!B57</f>
        <v>Informática</v>
      </c>
      <c r="C3710" s="964" t="s">
        <v>22610</v>
      </c>
      <c r="D3710" s="813"/>
      <c r="E3710" s="966">
        <v>39.99</v>
      </c>
      <c r="F3710" s="156">
        <v>87.14</v>
      </c>
    </row>
    <row r="3711" spans="1:6">
      <c r="A3711" s="856">
        <v>40890</v>
      </c>
      <c r="B3711" s="125" t="str">
        <f>TiposLancamentos!B19</f>
        <v>Restaurantes</v>
      </c>
      <c r="C3711" s="139" t="s">
        <v>6122</v>
      </c>
      <c r="D3711" s="51"/>
      <c r="E3711" s="857">
        <v>28.7</v>
      </c>
    </row>
    <row r="3712" spans="1:6">
      <c r="A3712" s="856">
        <v>40890</v>
      </c>
      <c r="B3712" s="125" t="str">
        <f>TiposLancamentos!B17</f>
        <v>GATO</v>
      </c>
      <c r="C3712" s="139" t="s">
        <v>22611</v>
      </c>
      <c r="D3712" s="51"/>
      <c r="E3712" s="857">
        <v>22.4</v>
      </c>
    </row>
    <row r="3713" spans="1:6">
      <c r="A3713" s="856">
        <v>40890</v>
      </c>
      <c r="B3713" s="125" t="str">
        <f>TiposLancamentos!B19</f>
        <v>Restaurantes</v>
      </c>
      <c r="C3713" s="139" t="s">
        <v>22592</v>
      </c>
      <c r="D3713" s="51"/>
      <c r="E3713" s="857">
        <v>19</v>
      </c>
    </row>
    <row r="3714" spans="1:6">
      <c r="A3714" s="856">
        <v>40892</v>
      </c>
      <c r="B3714" s="125" t="str">
        <f>TiposLancamentos!B95</f>
        <v>Salarios</v>
      </c>
      <c r="C3714" s="139" t="s">
        <v>4916</v>
      </c>
      <c r="D3714" s="51">
        <v>2110.15</v>
      </c>
      <c r="E3714" s="857"/>
    </row>
    <row r="3715" spans="1:6">
      <c r="A3715" s="856">
        <v>40892</v>
      </c>
      <c r="B3715" s="125" t="str">
        <f>TiposLancamentos!B95</f>
        <v>Salarios</v>
      </c>
      <c r="C3715" s="126" t="s">
        <v>5355</v>
      </c>
      <c r="D3715" s="51">
        <v>5750.32</v>
      </c>
      <c r="E3715" s="857"/>
    </row>
    <row r="3716" spans="1:6">
      <c r="A3716" s="856">
        <v>40892</v>
      </c>
      <c r="B3716" s="298" t="str">
        <f>TiposLancamentos!B95</f>
        <v>Salarios</v>
      </c>
      <c r="C3716" s="139" t="s">
        <v>4938</v>
      </c>
      <c r="D3716" s="51">
        <v>7038.48</v>
      </c>
      <c r="E3716" s="857"/>
    </row>
    <row r="3717" spans="1:6">
      <c r="A3717" s="856">
        <v>40892</v>
      </c>
      <c r="B3717" s="125" t="str">
        <f>TiposLancamentos!B24</f>
        <v>Estacionamentos</v>
      </c>
      <c r="C3717" s="139" t="s">
        <v>5392</v>
      </c>
      <c r="D3717" s="51"/>
      <c r="E3717" s="857">
        <v>28.9</v>
      </c>
    </row>
    <row r="3718" spans="1:6">
      <c r="A3718" s="856">
        <v>40892</v>
      </c>
      <c r="B3718" s="125" t="str">
        <f>TiposLancamentos!B56</f>
        <v>Farmácia</v>
      </c>
      <c r="C3718" s="139" t="s">
        <v>6118</v>
      </c>
      <c r="D3718" s="51"/>
      <c r="E3718" s="857">
        <v>110.2</v>
      </c>
    </row>
    <row r="3719" spans="1:6">
      <c r="A3719" s="856">
        <v>40892</v>
      </c>
      <c r="B3719" s="125" t="str">
        <f>TiposLancamentos!B34</f>
        <v>Seguros</v>
      </c>
      <c r="C3719" s="139" t="s">
        <v>22612</v>
      </c>
      <c r="D3719" s="51"/>
      <c r="E3719" s="857">
        <v>547.98</v>
      </c>
    </row>
    <row r="3720" spans="1:6">
      <c r="A3720" s="856">
        <v>40892</v>
      </c>
      <c r="B3720" s="125" t="str">
        <f>TiposLancamentos!B87</f>
        <v>P207-1.6-XS</v>
      </c>
      <c r="C3720" s="139" t="s">
        <v>13563</v>
      </c>
      <c r="D3720" s="51"/>
      <c r="E3720" s="857">
        <v>629.22</v>
      </c>
    </row>
    <row r="3721" spans="1:6">
      <c r="A3721" s="856">
        <v>40892</v>
      </c>
      <c r="B3721" s="125" t="str">
        <f>TiposLancamentos!B87</f>
        <v>P207-1.6-XS</v>
      </c>
      <c r="C3721" s="139" t="s">
        <v>13564</v>
      </c>
      <c r="D3721" s="51"/>
      <c r="E3721" s="857">
        <v>638.38</v>
      </c>
    </row>
    <row r="3722" spans="1:6">
      <c r="A3722" s="856">
        <v>40892</v>
      </c>
      <c r="B3722" s="125" t="str">
        <f>TiposLancamentos!B15</f>
        <v>Cartões de Crédito</v>
      </c>
      <c r="C3722" s="139" t="s">
        <v>5810</v>
      </c>
      <c r="D3722" s="51"/>
      <c r="E3722" s="857">
        <v>175.13</v>
      </c>
    </row>
    <row r="3723" spans="1:6">
      <c r="A3723" s="856">
        <v>40892</v>
      </c>
      <c r="B3723" s="125" t="str">
        <f>TiposLancamentos!B19</f>
        <v>Restaurantes</v>
      </c>
      <c r="C3723" s="139" t="s">
        <v>22613</v>
      </c>
      <c r="D3723" s="51"/>
      <c r="E3723" s="857">
        <v>17.8</v>
      </c>
    </row>
    <row r="3724" spans="1:6">
      <c r="A3724" s="856">
        <v>40893</v>
      </c>
      <c r="B3724" s="125" t="str">
        <f>TiposLancamentos!B43</f>
        <v>Imposto de Renda</v>
      </c>
      <c r="C3724" s="139" t="s">
        <v>22614</v>
      </c>
      <c r="D3724" s="51"/>
      <c r="E3724" s="857">
        <v>346.97</v>
      </c>
    </row>
    <row r="3725" spans="1:6">
      <c r="A3725" s="856">
        <v>40893</v>
      </c>
      <c r="B3725" s="125" t="str">
        <f>TiposLancamentos!B19</f>
        <v>Restaurantes</v>
      </c>
      <c r="C3725" s="139" t="s">
        <v>22615</v>
      </c>
      <c r="D3725" s="51"/>
      <c r="E3725" s="857">
        <v>36</v>
      </c>
    </row>
    <row r="3726" spans="1:6">
      <c r="A3726" s="856">
        <v>40894</v>
      </c>
      <c r="B3726" s="125" t="str">
        <f>TiposLancamentos!B16</f>
        <v>Cristiane</v>
      </c>
      <c r="C3726" s="139" t="s">
        <v>22616</v>
      </c>
      <c r="D3726" s="51"/>
      <c r="E3726" s="857">
        <v>263</v>
      </c>
      <c r="F3726" s="156"/>
    </row>
    <row r="3727" spans="1:6">
      <c r="A3727" s="856">
        <v>40894</v>
      </c>
      <c r="B3727" s="125" t="str">
        <f>TiposLancamentos!B19</f>
        <v>Restaurantes</v>
      </c>
      <c r="C3727" s="139" t="s">
        <v>22617</v>
      </c>
      <c r="D3727" s="51"/>
      <c r="E3727" s="857">
        <v>106.5</v>
      </c>
    </row>
    <row r="3728" spans="1:6">
      <c r="A3728" s="856">
        <v>40894</v>
      </c>
      <c r="B3728" s="125" t="str">
        <f>TiposLancamentos!B16</f>
        <v>Cristiane</v>
      </c>
      <c r="C3728" s="139" t="s">
        <v>22618</v>
      </c>
      <c r="D3728" s="51"/>
      <c r="E3728" s="857">
        <v>32.54</v>
      </c>
    </row>
    <row r="3729" spans="1:6">
      <c r="A3729" s="856">
        <v>40895</v>
      </c>
      <c r="B3729" s="125" t="str">
        <f>TiposLancamentos!B19</f>
        <v>Restaurantes</v>
      </c>
      <c r="C3729" s="139" t="s">
        <v>22619</v>
      </c>
      <c r="D3729" s="51"/>
      <c r="E3729" s="857">
        <v>12.1</v>
      </c>
    </row>
    <row r="3730" spans="1:6">
      <c r="A3730" s="856">
        <v>40895</v>
      </c>
      <c r="B3730" s="125" t="str">
        <f>TiposLancamentos!B19</f>
        <v>Restaurantes</v>
      </c>
      <c r="C3730" s="139" t="s">
        <v>22620</v>
      </c>
      <c r="D3730" s="51"/>
      <c r="E3730" s="857">
        <v>132</v>
      </c>
    </row>
    <row r="3731" spans="1:6">
      <c r="A3731" s="856">
        <v>40895</v>
      </c>
      <c r="B3731" s="125" t="str">
        <f>TiposLancamentos!B16</f>
        <v>Cristiane</v>
      </c>
      <c r="C3731" s="139" t="s">
        <v>22621</v>
      </c>
      <c r="D3731" s="51"/>
      <c r="E3731" s="857">
        <v>89.8</v>
      </c>
    </row>
    <row r="3732" spans="1:6">
      <c r="A3732" s="961">
        <v>40895</v>
      </c>
      <c r="B3732" s="817" t="str">
        <f>TiposLancamentos!B16</f>
        <v>Cristiane</v>
      </c>
      <c r="C3732" s="962" t="s">
        <v>6715</v>
      </c>
      <c r="D3732" s="809"/>
      <c r="E3732" s="965">
        <f>F3733-E3733</f>
        <v>31</v>
      </c>
    </row>
    <row r="3733" spans="1:6">
      <c r="A3733" s="963">
        <v>40895</v>
      </c>
      <c r="B3733" s="818" t="str">
        <f>TiposLancamentos!B71</f>
        <v>Itens Pessoais</v>
      </c>
      <c r="C3733" s="964" t="s">
        <v>22622</v>
      </c>
      <c r="D3733" s="813"/>
      <c r="E3733" s="966">
        <f>6.5+11</f>
        <v>17.5</v>
      </c>
      <c r="F3733" s="156">
        <v>48.5</v>
      </c>
    </row>
    <row r="3734" spans="1:6">
      <c r="A3734" s="856">
        <v>40895</v>
      </c>
      <c r="B3734" s="125" t="str">
        <f>TiposLancamentos!B72</f>
        <v>Presentes</v>
      </c>
      <c r="C3734" s="139" t="s">
        <v>22623</v>
      </c>
      <c r="D3734" s="51"/>
      <c r="E3734" s="857">
        <v>70.900000000000006</v>
      </c>
    </row>
    <row r="3735" spans="1:6">
      <c r="A3735" s="856">
        <v>40896</v>
      </c>
      <c r="B3735" s="125" t="str">
        <f>TiposLancamentos!B5</f>
        <v>Supermercado</v>
      </c>
      <c r="C3735" s="139" t="s">
        <v>22212</v>
      </c>
      <c r="D3735" s="51"/>
      <c r="E3735" s="857">
        <v>65.290000000000006</v>
      </c>
    </row>
    <row r="3736" spans="1:6">
      <c r="A3736" s="856">
        <v>40897</v>
      </c>
      <c r="B3736" s="125" t="str">
        <f>TiposLancamentos!B16</f>
        <v>Cristiane</v>
      </c>
      <c r="C3736" s="139" t="s">
        <v>22624</v>
      </c>
      <c r="D3736" s="51"/>
      <c r="E3736" s="857">
        <v>20</v>
      </c>
    </row>
    <row r="3737" spans="1:6">
      <c r="A3737" s="856">
        <v>40898</v>
      </c>
      <c r="B3737" s="125" t="str">
        <f>TiposLancamentos!B16</f>
        <v>Cristiane</v>
      </c>
      <c r="C3737" s="139" t="s">
        <v>22625</v>
      </c>
      <c r="D3737" s="51"/>
      <c r="E3737" s="857">
        <v>220</v>
      </c>
      <c r="F3737" s="156">
        <v>220</v>
      </c>
    </row>
    <row r="3738" spans="1:6">
      <c r="A3738" s="856">
        <v>40898</v>
      </c>
      <c r="B3738" s="125" t="str">
        <f>TiposLancamentos!B19</f>
        <v>Restaurantes</v>
      </c>
      <c r="C3738" s="139" t="s">
        <v>6917</v>
      </c>
      <c r="D3738" s="51"/>
      <c r="E3738" s="857">
        <v>72.95</v>
      </c>
    </row>
    <row r="3739" spans="1:6">
      <c r="A3739" s="856">
        <v>40898</v>
      </c>
      <c r="B3739" s="125" t="str">
        <f>TiposLancamentos!B16</f>
        <v>Cristiane</v>
      </c>
      <c r="C3739" s="139" t="s">
        <v>22626</v>
      </c>
      <c r="D3739" s="51"/>
      <c r="E3739" s="857">
        <v>29.2</v>
      </c>
    </row>
    <row r="3740" spans="1:6">
      <c r="A3740" s="856">
        <v>40898</v>
      </c>
      <c r="B3740" s="125" t="str">
        <f>TiposLancamentos!B19</f>
        <v>Restaurantes</v>
      </c>
      <c r="C3740" s="139" t="s">
        <v>22627</v>
      </c>
      <c r="D3740" s="51"/>
      <c r="E3740" s="857">
        <v>227.59</v>
      </c>
    </row>
    <row r="3741" spans="1:6">
      <c r="A3741" s="856">
        <v>40899</v>
      </c>
      <c r="B3741" s="125" t="str">
        <f>TiposLancamentos!B5</f>
        <v>Supermercado</v>
      </c>
      <c r="C3741" s="139" t="s">
        <v>6234</v>
      </c>
      <c r="D3741" s="51"/>
      <c r="E3741" s="857">
        <v>45.19</v>
      </c>
    </row>
    <row r="3742" spans="1:6">
      <c r="A3742" s="856">
        <v>40900</v>
      </c>
      <c r="B3742" s="125" t="str">
        <f>TiposLancamentos!B19</f>
        <v>Restaurantes</v>
      </c>
      <c r="C3742" s="139" t="s">
        <v>5913</v>
      </c>
      <c r="D3742" s="51"/>
      <c r="E3742" s="857">
        <v>5.3</v>
      </c>
    </row>
    <row r="3743" spans="1:6">
      <c r="A3743" s="856">
        <v>40900</v>
      </c>
      <c r="B3743" s="125" t="str">
        <f>TiposLancamentos!B19</f>
        <v>Restaurantes</v>
      </c>
      <c r="C3743" s="139" t="s">
        <v>5914</v>
      </c>
      <c r="D3743" s="51"/>
      <c r="E3743" s="857">
        <v>15</v>
      </c>
    </row>
    <row r="3744" spans="1:6">
      <c r="A3744" s="856">
        <v>40900</v>
      </c>
      <c r="B3744" s="125" t="str">
        <f>TiposLancamentos!B5</f>
        <v>Supermercado</v>
      </c>
      <c r="C3744" s="139" t="s">
        <v>22628</v>
      </c>
      <c r="D3744" s="51"/>
      <c r="E3744" s="857">
        <v>8.3800000000000008</v>
      </c>
    </row>
    <row r="3745" spans="1:5">
      <c r="A3745" s="856">
        <v>40901</v>
      </c>
      <c r="B3745" s="125" t="str">
        <f>TiposLancamentos!B22</f>
        <v>Combustivel</v>
      </c>
      <c r="C3745" s="139" t="s">
        <v>5961</v>
      </c>
      <c r="D3745" s="51"/>
      <c r="E3745" s="857">
        <v>114</v>
      </c>
    </row>
    <row r="3746" spans="1:5">
      <c r="A3746" s="856">
        <v>40901</v>
      </c>
      <c r="B3746" s="125" t="str">
        <f>TiposLancamentos!B5</f>
        <v>Supermercado</v>
      </c>
      <c r="C3746" s="139" t="s">
        <v>21142</v>
      </c>
      <c r="D3746" s="51"/>
      <c r="E3746" s="857">
        <v>94.9</v>
      </c>
    </row>
    <row r="3747" spans="1:5">
      <c r="A3747" s="856">
        <v>40901</v>
      </c>
      <c r="B3747" s="125" t="str">
        <f>TiposLancamentos!B5</f>
        <v>Supermercado</v>
      </c>
      <c r="C3747" s="139" t="s">
        <v>22629</v>
      </c>
      <c r="D3747" s="51"/>
      <c r="E3747" s="857">
        <v>43.8</v>
      </c>
    </row>
    <row r="3748" spans="1:5">
      <c r="A3748" s="856">
        <v>40901</v>
      </c>
      <c r="B3748" s="125" t="str">
        <f>TiposLancamentos!B16</f>
        <v>Cristiane</v>
      </c>
      <c r="C3748" s="139" t="s">
        <v>22630</v>
      </c>
      <c r="D3748" s="51"/>
      <c r="E3748" s="857">
        <v>48.3</v>
      </c>
    </row>
    <row r="3749" spans="1:5">
      <c r="A3749" s="856">
        <v>40901</v>
      </c>
      <c r="B3749" s="125" t="str">
        <f>TiposLancamentos!B16</f>
        <v>Cristiane</v>
      </c>
      <c r="C3749" s="139" t="s">
        <v>22631</v>
      </c>
      <c r="D3749" s="51"/>
      <c r="E3749" s="857">
        <v>49.87</v>
      </c>
    </row>
    <row r="3750" spans="1:5">
      <c r="A3750" s="856">
        <v>40901</v>
      </c>
      <c r="B3750" s="125" t="str">
        <f>TiposLancamentos!B20</f>
        <v>Saques</v>
      </c>
      <c r="C3750" s="139" t="s">
        <v>3470</v>
      </c>
      <c r="D3750" s="51"/>
      <c r="E3750" s="857">
        <v>60</v>
      </c>
    </row>
    <row r="3751" spans="1:5">
      <c r="A3751" s="856">
        <v>40903</v>
      </c>
      <c r="B3751" s="125" t="str">
        <f>TiposLancamentos!B19</f>
        <v>Restaurantes</v>
      </c>
      <c r="C3751" s="139" t="s">
        <v>22632</v>
      </c>
      <c r="D3751" s="51"/>
      <c r="E3751" s="857">
        <v>33.799999999999997</v>
      </c>
    </row>
    <row r="3752" spans="1:5">
      <c r="A3752" s="856">
        <v>40903</v>
      </c>
      <c r="B3752" s="125" t="str">
        <f>TiposLancamentos!B16</f>
        <v>Cristiane</v>
      </c>
      <c r="C3752" s="139" t="s">
        <v>22633</v>
      </c>
      <c r="D3752" s="51"/>
      <c r="E3752" s="857">
        <v>59.8</v>
      </c>
    </row>
    <row r="3753" spans="1:5">
      <c r="A3753" s="856">
        <v>40904</v>
      </c>
      <c r="B3753" s="125" t="str">
        <f>TiposLancamentos!B19</f>
        <v>Restaurantes</v>
      </c>
      <c r="C3753" s="139" t="s">
        <v>22634</v>
      </c>
      <c r="D3753" s="51"/>
      <c r="E3753" s="857">
        <v>52.58</v>
      </c>
    </row>
    <row r="3754" spans="1:5">
      <c r="A3754" s="856">
        <v>40904</v>
      </c>
      <c r="B3754" s="125" t="str">
        <f>TiposLancamentos!B16</f>
        <v>Cristiane</v>
      </c>
      <c r="C3754" s="139" t="s">
        <v>22635</v>
      </c>
      <c r="D3754" s="51"/>
      <c r="E3754" s="857">
        <v>33.200000000000003</v>
      </c>
    </row>
    <row r="3755" spans="1:5">
      <c r="A3755" s="856">
        <v>40904</v>
      </c>
      <c r="B3755" s="125" t="str">
        <f>TiposLancamentos!B5</f>
        <v>Supermercado</v>
      </c>
      <c r="C3755" s="139" t="s">
        <v>22636</v>
      </c>
      <c r="D3755" s="51"/>
      <c r="E3755" s="857">
        <v>300</v>
      </c>
    </row>
    <row r="3756" spans="1:5">
      <c r="A3756" s="856">
        <v>40905</v>
      </c>
      <c r="B3756" s="125" t="str">
        <f>TiposLancamentos!B16</f>
        <v>Cristiane</v>
      </c>
      <c r="C3756" s="139" t="s">
        <v>22637</v>
      </c>
      <c r="D3756" s="51"/>
      <c r="E3756" s="857">
        <v>26</v>
      </c>
    </row>
    <row r="3757" spans="1:5">
      <c r="A3757" s="856">
        <v>40905</v>
      </c>
      <c r="B3757" s="125" t="str">
        <f>TiposLancamentos!B16</f>
        <v>Cristiane</v>
      </c>
      <c r="C3757" s="139" t="s">
        <v>22638</v>
      </c>
      <c r="D3757" s="51"/>
      <c r="E3757" s="857">
        <v>26</v>
      </c>
    </row>
    <row r="3758" spans="1:5">
      <c r="A3758" s="856">
        <v>40905</v>
      </c>
      <c r="B3758" s="125" t="str">
        <f>TiposLancamentos!B16</f>
        <v>Cristiane</v>
      </c>
      <c r="C3758" s="139" t="s">
        <v>5190</v>
      </c>
      <c r="D3758" s="51"/>
      <c r="E3758" s="857">
        <v>132.97999999999999</v>
      </c>
    </row>
    <row r="3759" spans="1:5">
      <c r="A3759" s="856">
        <v>40906</v>
      </c>
      <c r="B3759" s="125" t="str">
        <f>TiposLancamentos!B95</f>
        <v>Salarios</v>
      </c>
      <c r="C3759" s="126" t="s">
        <v>4939</v>
      </c>
      <c r="D3759" s="51">
        <v>7777.94</v>
      </c>
      <c r="E3759" s="857"/>
    </row>
    <row r="3760" spans="1:5">
      <c r="A3760" s="856">
        <v>40906</v>
      </c>
      <c r="B3760" s="125" t="str">
        <f>TiposLancamentos!B5</f>
        <v>Supermercado</v>
      </c>
      <c r="C3760" s="139" t="s">
        <v>22532</v>
      </c>
      <c r="D3760" s="51"/>
      <c r="E3760" s="857">
        <v>49.72</v>
      </c>
    </row>
    <row r="3761" spans="1:5">
      <c r="A3761" s="856">
        <v>40907</v>
      </c>
      <c r="B3761" s="125" t="str">
        <f>TiposLancamentos!B72</f>
        <v>Presentes</v>
      </c>
      <c r="C3761" s="139" t="s">
        <v>22639</v>
      </c>
      <c r="D3761" s="51"/>
      <c r="E3761" s="857">
        <v>12.18</v>
      </c>
    </row>
    <row r="3762" spans="1:5">
      <c r="A3762" s="856">
        <v>40907</v>
      </c>
      <c r="B3762" s="125" t="str">
        <f>TiposLancamentos!B57</f>
        <v>Informática</v>
      </c>
      <c r="C3762" s="139" t="s">
        <v>22640</v>
      </c>
      <c r="D3762" s="51"/>
      <c r="E3762" s="857">
        <v>29.99</v>
      </c>
    </row>
    <row r="3763" spans="1:5">
      <c r="A3763" s="856">
        <v>40907</v>
      </c>
      <c r="B3763" s="125" t="str">
        <f>TiposLancamentos!B19</f>
        <v>Restaurantes</v>
      </c>
      <c r="C3763" s="139" t="s">
        <v>22641</v>
      </c>
      <c r="D3763" s="51"/>
      <c r="E3763" s="857">
        <v>7.6</v>
      </c>
    </row>
    <row r="3764" spans="1:5">
      <c r="A3764" s="856">
        <v>40907</v>
      </c>
      <c r="B3764" s="125" t="str">
        <f>TiposLancamentos!B72</f>
        <v>Presentes</v>
      </c>
      <c r="C3764" s="139" t="s">
        <v>22642</v>
      </c>
      <c r="D3764" s="51"/>
      <c r="E3764" s="857">
        <v>139</v>
      </c>
    </row>
    <row r="3765" spans="1:5">
      <c r="A3765" s="856">
        <v>40907</v>
      </c>
      <c r="B3765" s="125" t="str">
        <f>TiposLancamentos!B19</f>
        <v>Restaurantes</v>
      </c>
      <c r="C3765" s="139" t="s">
        <v>3618</v>
      </c>
      <c r="D3765" s="51"/>
      <c r="E3765" s="857">
        <v>58.84</v>
      </c>
    </row>
    <row r="3766" spans="1:5">
      <c r="A3766" s="856">
        <v>40908</v>
      </c>
      <c r="B3766" s="125" t="str">
        <f>TiposLancamentos!B19</f>
        <v>Restaurantes</v>
      </c>
      <c r="C3766" s="139" t="s">
        <v>16873</v>
      </c>
      <c r="D3766" s="51"/>
      <c r="E3766" s="857">
        <v>100.65</v>
      </c>
    </row>
    <row r="3767" spans="1:5">
      <c r="A3767" s="856">
        <v>40908</v>
      </c>
      <c r="B3767" s="125" t="str">
        <f>TiposLancamentos!B16</f>
        <v>Cristiane</v>
      </c>
      <c r="C3767" s="139" t="s">
        <v>22643</v>
      </c>
      <c r="D3767" s="51"/>
      <c r="E3767" s="857">
        <v>129.80000000000001</v>
      </c>
    </row>
    <row r="3768" spans="1:5" ht="14.25" thickBot="1">
      <c r="A3768" s="866">
        <v>40908</v>
      </c>
      <c r="B3768" s="867" t="str">
        <f>TiposLancamentos!B5</f>
        <v>Supermercado</v>
      </c>
      <c r="C3768" s="868" t="s">
        <v>22644</v>
      </c>
      <c r="D3768" s="869"/>
      <c r="E3768" s="870">
        <v>17.98</v>
      </c>
    </row>
    <row r="3769" spans="1:5">
      <c r="A3769" s="976"/>
      <c r="B3769" s="977"/>
      <c r="C3769" s="978" t="s">
        <v>13565</v>
      </c>
      <c r="D3769" s="979"/>
      <c r="E3769" s="971"/>
    </row>
    <row r="3770" spans="1:5">
      <c r="A3770" s="856">
        <v>40909</v>
      </c>
      <c r="B3770" s="125" t="str">
        <f>TiposLancamentos!B56</f>
        <v>Farmácia</v>
      </c>
      <c r="C3770" s="139" t="s">
        <v>22645</v>
      </c>
      <c r="D3770" s="51"/>
      <c r="E3770" s="857">
        <v>47.11</v>
      </c>
    </row>
    <row r="3771" spans="1:5">
      <c r="A3771" s="856">
        <v>40910</v>
      </c>
      <c r="B3771" s="125" t="str">
        <f>TiposLancamentos!B6</f>
        <v>Energia Eletrica</v>
      </c>
      <c r="C3771" s="139" t="s">
        <v>5191</v>
      </c>
      <c r="D3771" s="51"/>
      <c r="E3771" s="857">
        <v>151.76</v>
      </c>
    </row>
    <row r="3772" spans="1:5">
      <c r="A3772" s="856">
        <v>40910</v>
      </c>
      <c r="B3772" s="125" t="str">
        <f>TiposLancamentos!B15</f>
        <v>Cartões de Crédito</v>
      </c>
      <c r="C3772" s="139" t="s">
        <v>6560</v>
      </c>
      <c r="D3772" s="51"/>
      <c r="E3772" s="857">
        <v>2616.4899999999998</v>
      </c>
    </row>
    <row r="3773" spans="1:5">
      <c r="A3773" s="856">
        <v>40910</v>
      </c>
      <c r="B3773" s="125" t="str">
        <f>TiposLancamentos!B3</f>
        <v>Internet</v>
      </c>
      <c r="C3773" s="139" t="s">
        <v>5838</v>
      </c>
      <c r="D3773" s="51"/>
      <c r="E3773" s="857">
        <v>59.95</v>
      </c>
    </row>
    <row r="3774" spans="1:5">
      <c r="A3774" s="856">
        <v>40910</v>
      </c>
      <c r="B3774" s="125" t="str">
        <f>TiposLancamentos!B34</f>
        <v>Seguros</v>
      </c>
      <c r="C3774" s="139" t="s">
        <v>5809</v>
      </c>
      <c r="D3774" s="51"/>
      <c r="E3774" s="857">
        <v>69</v>
      </c>
    </row>
    <row r="3775" spans="1:5">
      <c r="A3775" s="806">
        <v>40910</v>
      </c>
      <c r="B3775" s="807" t="str">
        <f>TiposLancamentos!B35</f>
        <v>Tv à Cabo</v>
      </c>
      <c r="C3775" s="808" t="s">
        <v>5834</v>
      </c>
      <c r="D3775" s="809"/>
      <c r="E3775" s="859">
        <v>147.09</v>
      </c>
    </row>
    <row r="3776" spans="1:5">
      <c r="A3776" s="773">
        <v>40910</v>
      </c>
      <c r="B3776" s="152" t="str">
        <f>TiposLancamentos!B3</f>
        <v>Internet</v>
      </c>
      <c r="C3776" s="141" t="s">
        <v>5835</v>
      </c>
      <c r="D3776" s="127"/>
      <c r="E3776" s="861">
        <v>72.34</v>
      </c>
    </row>
    <row r="3777" spans="1:6">
      <c r="A3777" s="810">
        <v>40910</v>
      </c>
      <c r="B3777" s="811" t="str">
        <f>TiposLancamentos!B2</f>
        <v>Telefonia</v>
      </c>
      <c r="C3777" s="812" t="s">
        <v>5836</v>
      </c>
      <c r="D3777" s="813"/>
      <c r="E3777" s="863">
        <v>37.89</v>
      </c>
      <c r="F3777" s="156">
        <f>SUM(E3775:E3777)</f>
        <v>257.32</v>
      </c>
    </row>
    <row r="3778" spans="1:6">
      <c r="A3778" s="856">
        <v>40910</v>
      </c>
      <c r="B3778" s="125" t="str">
        <f>TiposLancamentos!B9</f>
        <v>Condominio</v>
      </c>
      <c r="C3778" s="139" t="s">
        <v>22646</v>
      </c>
      <c r="D3778" s="51"/>
      <c r="E3778" s="857">
        <v>757.48</v>
      </c>
    </row>
    <row r="3779" spans="1:6">
      <c r="A3779" s="856">
        <v>40910</v>
      </c>
      <c r="B3779" s="125" t="str">
        <f>TiposLancamentos!B8</f>
        <v>Aluguel</v>
      </c>
      <c r="C3779" s="139" t="s">
        <v>22647</v>
      </c>
      <c r="D3779" s="51"/>
      <c r="E3779" s="857">
        <v>1196.05</v>
      </c>
    </row>
    <row r="3780" spans="1:6">
      <c r="A3780" s="856">
        <v>40910</v>
      </c>
      <c r="B3780" s="125" t="str">
        <f>TiposLancamentos!B87</f>
        <v>P207-1.6-XS</v>
      </c>
      <c r="C3780" s="139" t="s">
        <v>13568</v>
      </c>
      <c r="D3780" s="51"/>
      <c r="E3780" s="857">
        <v>731.4</v>
      </c>
    </row>
    <row r="3781" spans="1:6">
      <c r="A3781" s="856">
        <v>40910</v>
      </c>
      <c r="B3781" s="125" t="str">
        <f>TiposLancamentos!B87</f>
        <v>P207-1.6-XS</v>
      </c>
      <c r="C3781" s="139" t="s">
        <v>13569</v>
      </c>
      <c r="D3781" s="51"/>
      <c r="E3781" s="857">
        <v>652.80999999999995</v>
      </c>
    </row>
    <row r="3782" spans="1:6">
      <c r="A3782" s="856">
        <v>40910</v>
      </c>
      <c r="B3782" s="125" t="str">
        <f>TiposLancamentos!B19</f>
        <v>Restaurantes</v>
      </c>
      <c r="C3782" s="139" t="s">
        <v>6502</v>
      </c>
      <c r="D3782" s="51"/>
      <c r="E3782" s="857">
        <v>55.7</v>
      </c>
    </row>
    <row r="3783" spans="1:6">
      <c r="A3783" s="856">
        <v>40910</v>
      </c>
      <c r="B3783" s="125" t="str">
        <f>TiposLancamentos!B4</f>
        <v>Taxas Bancarias</v>
      </c>
      <c r="C3783" s="139" t="s">
        <v>22648</v>
      </c>
      <c r="D3783" s="51"/>
      <c r="E3783" s="857">
        <v>0.09</v>
      </c>
    </row>
    <row r="3784" spans="1:6">
      <c r="A3784" s="856">
        <v>40910</v>
      </c>
      <c r="B3784" s="125" t="str">
        <f>TiposLancamentos!B4</f>
        <v>Taxas Bancarias</v>
      </c>
      <c r="C3784" s="139" t="s">
        <v>22649</v>
      </c>
      <c r="D3784" s="51"/>
      <c r="E3784" s="857">
        <v>1.37</v>
      </c>
    </row>
    <row r="3785" spans="1:6">
      <c r="A3785" s="856">
        <v>40911</v>
      </c>
      <c r="B3785" s="298" t="str">
        <f>TiposLancamentos!B19</f>
        <v>Restaurantes</v>
      </c>
      <c r="C3785" s="139" t="s">
        <v>22650</v>
      </c>
      <c r="D3785" s="51"/>
      <c r="E3785" s="857">
        <v>38.53</v>
      </c>
    </row>
    <row r="3786" spans="1:6">
      <c r="A3786" s="856">
        <v>40912</v>
      </c>
      <c r="B3786" s="125" t="str">
        <f>TiposLancamentos!B16</f>
        <v>Cristiane</v>
      </c>
      <c r="C3786" s="139" t="s">
        <v>22651</v>
      </c>
      <c r="D3786" s="51"/>
      <c r="E3786" s="857">
        <v>350</v>
      </c>
    </row>
    <row r="3787" spans="1:6">
      <c r="A3787" s="856">
        <v>40912</v>
      </c>
      <c r="B3787" s="125" t="str">
        <f>TiposLancamentos!B19</f>
        <v>Restaurantes</v>
      </c>
      <c r="C3787" s="139" t="s">
        <v>5002</v>
      </c>
      <c r="D3787" s="51"/>
      <c r="E3787" s="857">
        <v>46.75</v>
      </c>
    </row>
    <row r="3788" spans="1:6">
      <c r="A3788" s="856">
        <v>40915</v>
      </c>
      <c r="B3788" s="125" t="str">
        <f>TiposLancamentos!B19</f>
        <v>Restaurantes</v>
      </c>
      <c r="C3788" s="139" t="s">
        <v>6032</v>
      </c>
      <c r="D3788" s="51"/>
      <c r="E3788" s="857">
        <v>117.7</v>
      </c>
    </row>
    <row r="3789" spans="1:6">
      <c r="A3789" s="856">
        <v>40915</v>
      </c>
      <c r="B3789" s="125" t="str">
        <f>TiposLancamentos!B17</f>
        <v>GATO</v>
      </c>
      <c r="C3789" s="139" t="s">
        <v>22652</v>
      </c>
      <c r="D3789" s="51"/>
      <c r="E3789" s="857">
        <v>139.86000000000001</v>
      </c>
    </row>
    <row r="3790" spans="1:6">
      <c r="A3790" s="856">
        <v>40916</v>
      </c>
      <c r="B3790" s="125" t="str">
        <f>TiposLancamentos!B19</f>
        <v>Restaurantes</v>
      </c>
      <c r="C3790" s="139" t="s">
        <v>22653</v>
      </c>
      <c r="D3790" s="51"/>
      <c r="E3790" s="857">
        <v>145.19999999999999</v>
      </c>
    </row>
    <row r="3791" spans="1:6">
      <c r="A3791" s="856">
        <v>40917</v>
      </c>
      <c r="B3791" s="125" t="str">
        <f>TiposLancamentos!B87</f>
        <v>P207-1.6-XS</v>
      </c>
      <c r="C3791" s="139" t="s">
        <v>22654</v>
      </c>
      <c r="D3791" s="51"/>
      <c r="E3791" s="857">
        <v>1217.07</v>
      </c>
    </row>
    <row r="3792" spans="1:6">
      <c r="A3792" s="856">
        <v>40917</v>
      </c>
      <c r="B3792" s="125" t="str">
        <f>TiposLancamentos!B59</f>
        <v>Documentos</v>
      </c>
      <c r="C3792" s="139" t="s">
        <v>22258</v>
      </c>
      <c r="D3792" s="51"/>
      <c r="E3792" s="857">
        <v>174.86</v>
      </c>
    </row>
    <row r="3793" spans="1:6">
      <c r="A3793" s="856">
        <v>40917</v>
      </c>
      <c r="B3793" s="125" t="str">
        <f>TiposLancamentos!B16</f>
        <v>Cristiane</v>
      </c>
      <c r="C3793" s="139" t="s">
        <v>22655</v>
      </c>
      <c r="D3793" s="51"/>
      <c r="E3793" s="857">
        <v>117</v>
      </c>
    </row>
    <row r="3794" spans="1:6">
      <c r="A3794" s="858">
        <v>40917</v>
      </c>
      <c r="B3794" s="807" t="str">
        <f>TiposLancamentos!B44</f>
        <v>Academia</v>
      </c>
      <c r="C3794" s="808" t="s">
        <v>22656</v>
      </c>
      <c r="D3794" s="809"/>
      <c r="E3794" s="859">
        <v>110</v>
      </c>
    </row>
    <row r="3795" spans="1:6">
      <c r="A3795" s="862">
        <v>40917</v>
      </c>
      <c r="B3795" s="811" t="str">
        <f>TiposLancamentos!B16</f>
        <v>Cristiane</v>
      </c>
      <c r="C3795" s="812" t="s">
        <v>22657</v>
      </c>
      <c r="D3795" s="813"/>
      <c r="E3795" s="863">
        <v>125</v>
      </c>
      <c r="F3795" s="36">
        <f>SUM(E3794:E3795)</f>
        <v>235</v>
      </c>
    </row>
    <row r="3796" spans="1:6">
      <c r="A3796" s="856">
        <v>40918</v>
      </c>
      <c r="B3796" s="125" t="str">
        <f>TiposLancamentos!B22</f>
        <v>Combustivel</v>
      </c>
      <c r="C3796" s="139" t="s">
        <v>5961</v>
      </c>
      <c r="D3796" s="51"/>
      <c r="E3796" s="857">
        <v>115</v>
      </c>
    </row>
    <row r="3797" spans="1:6">
      <c r="A3797" s="856">
        <v>40918</v>
      </c>
      <c r="B3797" s="125" t="str">
        <f>TiposLancamentos!B13</f>
        <v>Moradia</v>
      </c>
      <c r="C3797" s="139" t="s">
        <v>22658</v>
      </c>
      <c r="D3797" s="51"/>
      <c r="E3797" s="857">
        <v>229</v>
      </c>
    </row>
    <row r="3798" spans="1:6">
      <c r="A3798" s="856">
        <v>40919</v>
      </c>
      <c r="B3798" s="125" t="str">
        <f>TiposLancamentos!B20</f>
        <v>Saques</v>
      </c>
      <c r="C3798" s="139" t="s">
        <v>22659</v>
      </c>
      <c r="D3798" s="51"/>
      <c r="E3798" s="857">
        <v>140</v>
      </c>
    </row>
    <row r="3799" spans="1:6">
      <c r="A3799" s="856">
        <v>40920</v>
      </c>
      <c r="B3799" s="125" t="str">
        <f>TiposLancamentos!B20</f>
        <v>Saques</v>
      </c>
      <c r="C3799" s="139" t="s">
        <v>4256</v>
      </c>
      <c r="D3799" s="51"/>
      <c r="E3799" s="857">
        <v>70</v>
      </c>
    </row>
    <row r="3800" spans="1:6">
      <c r="A3800" s="856">
        <v>40921</v>
      </c>
      <c r="B3800" s="125" t="str">
        <f>TiposLancamentos!B95</f>
        <v>Salarios</v>
      </c>
      <c r="C3800" s="139" t="s">
        <v>4916</v>
      </c>
      <c r="D3800" s="51">
        <v>2110.15</v>
      </c>
      <c r="E3800" s="857"/>
    </row>
    <row r="3801" spans="1:6">
      <c r="A3801" s="856">
        <v>40921</v>
      </c>
      <c r="B3801" s="125" t="str">
        <f>TiposLancamentos!B87</f>
        <v>P207-1.6-XS</v>
      </c>
      <c r="C3801" s="139" t="s">
        <v>13570</v>
      </c>
      <c r="D3801" s="51"/>
      <c r="E3801" s="857">
        <v>665.71</v>
      </c>
    </row>
    <row r="3802" spans="1:6">
      <c r="A3802" s="856">
        <v>40921</v>
      </c>
      <c r="B3802" s="125" t="str">
        <f>TiposLancamentos!B19</f>
        <v>Restaurantes</v>
      </c>
      <c r="C3802" s="139" t="s">
        <v>22660</v>
      </c>
      <c r="D3802" s="51"/>
      <c r="E3802" s="857">
        <v>34.5</v>
      </c>
    </row>
    <row r="3803" spans="1:6">
      <c r="A3803" s="856">
        <v>40922</v>
      </c>
      <c r="B3803" s="125" t="str">
        <f>TiposLancamentos!B19</f>
        <v>Restaurantes</v>
      </c>
      <c r="C3803" s="139" t="s">
        <v>22661</v>
      </c>
      <c r="D3803" s="51"/>
      <c r="E3803" s="857">
        <v>71.5</v>
      </c>
    </row>
    <row r="3804" spans="1:6">
      <c r="A3804" s="856">
        <v>40922</v>
      </c>
      <c r="B3804" s="125" t="str">
        <f>TiposLancamentos!B16</f>
        <v>Cristiane</v>
      </c>
      <c r="C3804" s="139" t="s">
        <v>22662</v>
      </c>
      <c r="D3804" s="51"/>
      <c r="E3804" s="857">
        <v>170</v>
      </c>
    </row>
    <row r="3805" spans="1:6">
      <c r="A3805" s="856">
        <v>40922</v>
      </c>
      <c r="B3805" s="125" t="str">
        <f>TiposLancamentos!B25</f>
        <v>CD_DVD_BD</v>
      </c>
      <c r="C3805" s="139" t="s">
        <v>22663</v>
      </c>
      <c r="D3805" s="51"/>
      <c r="E3805" s="857">
        <v>66.260000000000005</v>
      </c>
    </row>
    <row r="3806" spans="1:6">
      <c r="A3806" s="856">
        <v>40922</v>
      </c>
      <c r="B3806" s="125" t="str">
        <f>TiposLancamentos!B71</f>
        <v>Itens Pessoais</v>
      </c>
      <c r="C3806" s="139" t="s">
        <v>22664</v>
      </c>
      <c r="D3806" s="51"/>
      <c r="E3806" s="857">
        <v>238</v>
      </c>
    </row>
    <row r="3807" spans="1:6">
      <c r="A3807" s="856">
        <v>40922</v>
      </c>
      <c r="B3807" s="125" t="str">
        <f>TiposLancamentos!B16</f>
        <v>Cristiane</v>
      </c>
      <c r="C3807" s="139" t="s">
        <v>22665</v>
      </c>
      <c r="D3807" s="51"/>
      <c r="E3807" s="857">
        <v>66.02</v>
      </c>
    </row>
    <row r="3808" spans="1:6">
      <c r="A3808" s="856">
        <v>40923</v>
      </c>
      <c r="B3808" s="125" t="str">
        <f>TiposLancamentos!B19</f>
        <v>Restaurantes</v>
      </c>
      <c r="C3808" s="139" t="s">
        <v>22666</v>
      </c>
      <c r="D3808" s="51"/>
      <c r="E3808" s="857">
        <v>145.31</v>
      </c>
    </row>
    <row r="3809" spans="1:6">
      <c r="A3809" s="858">
        <v>40924</v>
      </c>
      <c r="B3809" s="807" t="str">
        <f>TiposLancamentos!B33</f>
        <v>Pedágios</v>
      </c>
      <c r="C3809" s="808" t="s">
        <v>5392</v>
      </c>
      <c r="D3809" s="809"/>
      <c r="E3809" s="859">
        <v>11.9</v>
      </c>
      <c r="F3809" s="156"/>
    </row>
    <row r="3810" spans="1:6">
      <c r="A3810" s="862">
        <v>40924</v>
      </c>
      <c r="B3810" s="811" t="str">
        <f>TiposLancamentos!B24</f>
        <v>Estacionamentos</v>
      </c>
      <c r="C3810" s="812" t="s">
        <v>5863</v>
      </c>
      <c r="D3810" s="813"/>
      <c r="E3810" s="863">
        <v>8</v>
      </c>
      <c r="F3810" s="156">
        <f>SUM(E3809:E3810)</f>
        <v>19.899999999999999</v>
      </c>
    </row>
    <row r="3811" spans="1:6">
      <c r="A3811" s="856">
        <v>40925</v>
      </c>
      <c r="B3811" s="125" t="str">
        <f>TiposLancamentos!B5</f>
        <v>Supermercado</v>
      </c>
      <c r="C3811" s="139" t="s">
        <v>22117</v>
      </c>
      <c r="D3811" s="51"/>
      <c r="E3811" s="857">
        <v>16.32</v>
      </c>
    </row>
    <row r="3812" spans="1:6">
      <c r="A3812" s="856">
        <v>40925</v>
      </c>
      <c r="B3812" s="125" t="str">
        <f>TiposLancamentos!B103</f>
        <v>Juros_Corr. Poupança</v>
      </c>
      <c r="C3812" s="139" t="s">
        <v>22667</v>
      </c>
      <c r="D3812" s="51">
        <v>40.32</v>
      </c>
      <c r="E3812" s="857"/>
    </row>
    <row r="3813" spans="1:6">
      <c r="A3813" s="856">
        <v>40925</v>
      </c>
      <c r="B3813" s="125" t="str">
        <f>TiposLancamentos!B99</f>
        <v>Venda de algo</v>
      </c>
      <c r="C3813" s="139" t="s">
        <v>22668</v>
      </c>
      <c r="D3813" s="51">
        <v>500</v>
      </c>
      <c r="E3813" s="857"/>
    </row>
    <row r="3814" spans="1:6">
      <c r="A3814" s="856">
        <v>40925</v>
      </c>
      <c r="B3814" s="125" t="str">
        <f>TiposLancamentos!B5</f>
        <v>Supermercado</v>
      </c>
      <c r="C3814" s="139" t="s">
        <v>3509</v>
      </c>
      <c r="D3814" s="51"/>
      <c r="E3814" s="857">
        <v>40.74</v>
      </c>
    </row>
    <row r="3815" spans="1:6">
      <c r="A3815" s="856">
        <v>40926</v>
      </c>
      <c r="B3815" s="125" t="str">
        <f>TiposLancamentos!B19</f>
        <v>Restaurantes</v>
      </c>
      <c r="C3815" s="139" t="s">
        <v>22669</v>
      </c>
      <c r="D3815" s="51"/>
      <c r="E3815" s="857">
        <v>63.22</v>
      </c>
    </row>
    <row r="3816" spans="1:6">
      <c r="A3816" s="856">
        <v>40927</v>
      </c>
      <c r="B3816" s="125" t="str">
        <f>TiposLancamentos!B56</f>
        <v>Farmácia</v>
      </c>
      <c r="C3816" s="139" t="s">
        <v>22670</v>
      </c>
      <c r="D3816" s="51"/>
      <c r="E3816" s="857">
        <v>18.350000000000001</v>
      </c>
    </row>
    <row r="3817" spans="1:6">
      <c r="A3817" s="856">
        <v>40927</v>
      </c>
      <c r="B3817" s="125" t="str">
        <f>TiposLancamentos!B19</f>
        <v>Restaurantes</v>
      </c>
      <c r="C3817" s="139" t="s">
        <v>21954</v>
      </c>
      <c r="D3817" s="51"/>
      <c r="E3817" s="857">
        <v>6.6</v>
      </c>
    </row>
    <row r="3818" spans="1:6">
      <c r="A3818" s="856">
        <v>40927</v>
      </c>
      <c r="B3818" s="125" t="str">
        <f>TiposLancamentos!B20</f>
        <v>Saques</v>
      </c>
      <c r="C3818" s="139" t="s">
        <v>3403</v>
      </c>
      <c r="D3818" s="51"/>
      <c r="E3818" s="857">
        <v>60</v>
      </c>
    </row>
    <row r="3819" spans="1:6">
      <c r="A3819" s="856">
        <v>40928</v>
      </c>
      <c r="B3819" s="125" t="str">
        <f>TiposLancamentos!B71</f>
        <v>Itens Pessoais</v>
      </c>
      <c r="C3819" s="139" t="s">
        <v>22671</v>
      </c>
      <c r="D3819" s="51"/>
      <c r="E3819" s="857">
        <v>20</v>
      </c>
    </row>
    <row r="3820" spans="1:6">
      <c r="A3820" s="856">
        <v>40928</v>
      </c>
      <c r="B3820" s="125" t="str">
        <f>TiposLancamentos!B20</f>
        <v>Saques</v>
      </c>
      <c r="C3820" s="139" t="s">
        <v>4149</v>
      </c>
      <c r="D3820" s="51"/>
      <c r="E3820" s="857">
        <v>40</v>
      </c>
    </row>
    <row r="3821" spans="1:6">
      <c r="A3821" s="856">
        <v>40928</v>
      </c>
      <c r="B3821" s="125" t="str">
        <f>TiposLancamentos!B37</f>
        <v>Playstation 3</v>
      </c>
      <c r="C3821" s="139" t="s">
        <v>22672</v>
      </c>
      <c r="D3821" s="51"/>
      <c r="E3821" s="857">
        <v>169</v>
      </c>
    </row>
    <row r="3822" spans="1:6">
      <c r="A3822" s="856">
        <v>40928</v>
      </c>
      <c r="B3822" s="125" t="str">
        <f>TiposLancamentos!B16</f>
        <v>Cristiane</v>
      </c>
      <c r="C3822" s="139" t="s">
        <v>22673</v>
      </c>
      <c r="D3822" s="51"/>
      <c r="E3822" s="857">
        <v>47</v>
      </c>
    </row>
    <row r="3823" spans="1:6">
      <c r="A3823" s="856">
        <v>40928</v>
      </c>
      <c r="B3823" s="125" t="str">
        <f>TiposLancamentos!B5</f>
        <v>Supermercado</v>
      </c>
      <c r="C3823" s="139" t="s">
        <v>22117</v>
      </c>
      <c r="D3823" s="51"/>
      <c r="E3823" s="857">
        <v>17.2</v>
      </c>
    </row>
    <row r="3824" spans="1:6">
      <c r="A3824" s="856">
        <v>40930</v>
      </c>
      <c r="B3824" s="125" t="str">
        <f>TiposLancamentos!B19</f>
        <v>Restaurantes</v>
      </c>
      <c r="C3824" s="139" t="s">
        <v>6032</v>
      </c>
      <c r="D3824" s="51"/>
      <c r="E3824" s="857">
        <v>106.7</v>
      </c>
    </row>
    <row r="3825" spans="1:5">
      <c r="A3825" s="856">
        <v>40930</v>
      </c>
      <c r="B3825" s="125" t="str">
        <f>TiposLancamentos!B19</f>
        <v>Restaurantes</v>
      </c>
      <c r="C3825" s="139" t="s">
        <v>17231</v>
      </c>
      <c r="D3825" s="51"/>
      <c r="E3825" s="857">
        <v>24.1</v>
      </c>
    </row>
    <row r="3826" spans="1:5">
      <c r="A3826" s="856">
        <v>40931</v>
      </c>
      <c r="B3826" s="125" t="str">
        <f>TiposLancamentos!B71</f>
        <v>Itens Pessoais</v>
      </c>
      <c r="C3826" s="139" t="s">
        <v>22674</v>
      </c>
      <c r="D3826" s="51"/>
      <c r="E3826" s="857">
        <v>600</v>
      </c>
    </row>
    <row r="3827" spans="1:5">
      <c r="A3827" s="856">
        <v>40931</v>
      </c>
      <c r="B3827" s="125" t="str">
        <f>TiposLancamentos!B20</f>
        <v>Saques</v>
      </c>
      <c r="C3827" s="139" t="s">
        <v>4142</v>
      </c>
      <c r="D3827" s="51"/>
      <c r="E3827" s="857">
        <v>20</v>
      </c>
    </row>
    <row r="3828" spans="1:5">
      <c r="A3828" s="856">
        <v>40931</v>
      </c>
      <c r="B3828" s="125" t="str">
        <f>TiposLancamentos!B99</f>
        <v>Venda de algo</v>
      </c>
      <c r="C3828" s="139" t="s">
        <v>122</v>
      </c>
      <c r="D3828" s="51">
        <v>70</v>
      </c>
      <c r="E3828" s="857"/>
    </row>
    <row r="3829" spans="1:5">
      <c r="A3829" s="856">
        <v>40931</v>
      </c>
      <c r="B3829" s="125" t="str">
        <f>TiposLancamentos!B5</f>
        <v>Supermercado</v>
      </c>
      <c r="C3829" s="139" t="s">
        <v>22532</v>
      </c>
      <c r="D3829" s="51"/>
      <c r="E3829" s="857">
        <v>41.75</v>
      </c>
    </row>
    <row r="3830" spans="1:5">
      <c r="A3830" s="856">
        <v>40932</v>
      </c>
      <c r="B3830" s="125" t="str">
        <f>TiposLancamentos!B16</f>
        <v>Cristiane</v>
      </c>
      <c r="C3830" s="139" t="s">
        <v>6544</v>
      </c>
      <c r="D3830" s="51"/>
      <c r="E3830" s="857">
        <v>38.380000000000003</v>
      </c>
    </row>
    <row r="3831" spans="1:5">
      <c r="A3831" s="856">
        <v>40932</v>
      </c>
      <c r="B3831" s="125" t="str">
        <f>TiposLancamentos!B18</f>
        <v>Alimentacao</v>
      </c>
      <c r="C3831" s="139" t="s">
        <v>22675</v>
      </c>
      <c r="D3831" s="51"/>
      <c r="E3831" s="857">
        <v>4.5</v>
      </c>
    </row>
    <row r="3832" spans="1:5">
      <c r="A3832" s="856">
        <v>40933</v>
      </c>
      <c r="B3832" s="125" t="str">
        <f>TiposLancamentos!B17</f>
        <v>GATO</v>
      </c>
      <c r="C3832" s="139" t="s">
        <v>22284</v>
      </c>
      <c r="D3832" s="51"/>
      <c r="E3832" s="857">
        <f>3*5.83</f>
        <v>17.490000000000002</v>
      </c>
    </row>
    <row r="3833" spans="1:5">
      <c r="A3833" s="856">
        <v>40933</v>
      </c>
      <c r="B3833" s="125" t="str">
        <f>TiposLancamentos!B56</f>
        <v>Farmácia</v>
      </c>
      <c r="C3833" s="139" t="s">
        <v>6118</v>
      </c>
      <c r="D3833" s="51"/>
      <c r="E3833" s="857">
        <f>118.69-E3832</f>
        <v>101.19999999999999</v>
      </c>
    </row>
    <row r="3834" spans="1:5">
      <c r="A3834" s="856">
        <v>40935</v>
      </c>
      <c r="B3834" s="125" t="str">
        <f>TiposLancamentos!B19</f>
        <v>Restaurantes</v>
      </c>
      <c r="C3834" s="139" t="s">
        <v>22676</v>
      </c>
      <c r="D3834" s="51"/>
      <c r="E3834" s="857">
        <v>171.32</v>
      </c>
    </row>
    <row r="3835" spans="1:5">
      <c r="A3835" s="856">
        <v>40936</v>
      </c>
      <c r="B3835" s="125" t="str">
        <f>TiposLancamentos!B16</f>
        <v>Cristiane</v>
      </c>
      <c r="C3835" s="139" t="s">
        <v>22677</v>
      </c>
      <c r="D3835" s="51"/>
      <c r="E3835" s="857">
        <v>60</v>
      </c>
    </row>
    <row r="3836" spans="1:5">
      <c r="A3836" s="856">
        <v>40936</v>
      </c>
      <c r="B3836" s="125" t="str">
        <f>TiposLancamentos!B13</f>
        <v>Moradia</v>
      </c>
      <c r="C3836" s="139" t="s">
        <v>22678</v>
      </c>
      <c r="D3836" s="51"/>
      <c r="E3836" s="857">
        <v>85</v>
      </c>
    </row>
    <row r="3837" spans="1:5">
      <c r="A3837" s="856">
        <v>40936</v>
      </c>
      <c r="B3837" s="125" t="str">
        <f>TiposLancamentos!B16</f>
        <v>Cristiane</v>
      </c>
      <c r="C3837" s="139" t="s">
        <v>22679</v>
      </c>
      <c r="D3837" s="51"/>
      <c r="E3837" s="857">
        <v>252.39</v>
      </c>
    </row>
    <row r="3838" spans="1:5">
      <c r="A3838" s="856">
        <v>40936</v>
      </c>
      <c r="B3838" s="125" t="str">
        <f>TiposLancamentos!B19</f>
        <v>Restaurantes</v>
      </c>
      <c r="C3838" s="139" t="s">
        <v>3618</v>
      </c>
      <c r="D3838" s="51"/>
      <c r="E3838" s="857">
        <v>66.42</v>
      </c>
    </row>
    <row r="3839" spans="1:5">
      <c r="A3839" s="856">
        <v>40937</v>
      </c>
      <c r="B3839" s="125" t="str">
        <f>TiposLancamentos!B5</f>
        <v>Supermercado</v>
      </c>
      <c r="C3839" s="139" t="s">
        <v>22117</v>
      </c>
      <c r="D3839" s="51"/>
      <c r="E3839" s="857">
        <v>36.9</v>
      </c>
    </row>
    <row r="3840" spans="1:5">
      <c r="A3840" s="856">
        <v>40938</v>
      </c>
      <c r="B3840" s="125" t="str">
        <f>TiposLancamentos!B22</f>
        <v>Combustivel</v>
      </c>
      <c r="C3840" s="139" t="s">
        <v>5961</v>
      </c>
      <c r="D3840" s="51"/>
      <c r="E3840" s="857">
        <v>119</v>
      </c>
    </row>
    <row r="3841" spans="1:6">
      <c r="A3841" s="856">
        <v>40938</v>
      </c>
      <c r="B3841" s="125" t="str">
        <f>TiposLancamentos!B16</f>
        <v>Cristiane</v>
      </c>
      <c r="C3841" s="139" t="s">
        <v>22680</v>
      </c>
      <c r="D3841" s="51"/>
      <c r="E3841" s="857">
        <v>12.36</v>
      </c>
    </row>
    <row r="3842" spans="1:6">
      <c r="A3842" s="856">
        <v>40939</v>
      </c>
      <c r="B3842" s="125" t="str">
        <f>TiposLancamentos!B95</f>
        <v>Salarios</v>
      </c>
      <c r="C3842" s="126" t="s">
        <v>4939</v>
      </c>
      <c r="D3842" s="51">
        <v>6604.87</v>
      </c>
      <c r="E3842" s="857"/>
    </row>
    <row r="3843" spans="1:6">
      <c r="A3843" s="856">
        <v>40939</v>
      </c>
      <c r="B3843" s="125" t="str">
        <f>TiposLancamentos!B6</f>
        <v>Energia Eletrica</v>
      </c>
      <c r="C3843" s="139" t="s">
        <v>5561</v>
      </c>
      <c r="D3843" s="51"/>
      <c r="E3843" s="857">
        <v>141.41999999999999</v>
      </c>
    </row>
    <row r="3844" spans="1:6">
      <c r="A3844" s="856">
        <v>40939</v>
      </c>
      <c r="B3844" s="125" t="str">
        <f>TiposLancamentos!B16</f>
        <v>Cristiane</v>
      </c>
      <c r="C3844" s="139" t="s">
        <v>22681</v>
      </c>
      <c r="D3844" s="51"/>
      <c r="E3844" s="857">
        <v>286</v>
      </c>
    </row>
    <row r="3845" spans="1:6">
      <c r="A3845" s="856">
        <v>40939</v>
      </c>
      <c r="B3845" s="125" t="str">
        <f>TiposLancamentos!B16</f>
        <v>Cristiane</v>
      </c>
      <c r="C3845" s="139" t="s">
        <v>22682</v>
      </c>
      <c r="D3845" s="51"/>
      <c r="E3845" s="857">
        <v>45</v>
      </c>
    </row>
    <row r="3846" spans="1:6">
      <c r="A3846" s="856">
        <v>40939</v>
      </c>
      <c r="B3846" s="125" t="str">
        <f>TiposLancamentos!B16</f>
        <v>Cristiane</v>
      </c>
      <c r="C3846" s="139" t="s">
        <v>22683</v>
      </c>
      <c r="D3846" s="51"/>
      <c r="E3846" s="857">
        <v>315.5</v>
      </c>
    </row>
    <row r="3847" spans="1:6">
      <c r="A3847" s="961">
        <v>40939</v>
      </c>
      <c r="B3847" s="817" t="str">
        <f>TiposLancamentos!B72</f>
        <v>Presentes</v>
      </c>
      <c r="C3847" s="962" t="s">
        <v>22684</v>
      </c>
      <c r="D3847" s="809"/>
      <c r="E3847" s="965">
        <v>32.5</v>
      </c>
    </row>
    <row r="3848" spans="1:6" ht="14.25" thickBot="1">
      <c r="A3848" s="963">
        <v>40939</v>
      </c>
      <c r="B3848" s="818" t="str">
        <f>TiposLancamentos!B56</f>
        <v>Farmácia</v>
      </c>
      <c r="C3848" s="964" t="s">
        <v>22685</v>
      </c>
      <c r="D3848" s="813"/>
      <c r="E3848" s="966">
        <f>11.62-2.33</f>
        <v>9.2899999999999991</v>
      </c>
      <c r="F3848" s="36">
        <f>SUM(E3847:E3848)</f>
        <v>41.79</v>
      </c>
    </row>
    <row r="3849" spans="1:6">
      <c r="A3849" s="976"/>
      <c r="B3849" s="977"/>
      <c r="C3849" s="978" t="s">
        <v>13571</v>
      </c>
      <c r="D3849" s="979"/>
      <c r="E3849" s="971"/>
    </row>
    <row r="3850" spans="1:6">
      <c r="A3850" s="856">
        <v>40940</v>
      </c>
      <c r="B3850" s="125" t="str">
        <f>TiposLancamentos!B15</f>
        <v>Cartões de Crédito</v>
      </c>
      <c r="C3850" s="139" t="s">
        <v>6560</v>
      </c>
      <c r="D3850" s="51"/>
      <c r="E3850" s="857">
        <v>2227.09</v>
      </c>
    </row>
    <row r="3851" spans="1:6">
      <c r="A3851" s="856">
        <v>40940</v>
      </c>
      <c r="B3851" s="125" t="str">
        <f>TiposLancamentos!B3</f>
        <v>Internet</v>
      </c>
      <c r="C3851" s="139" t="s">
        <v>5838</v>
      </c>
      <c r="D3851" s="51"/>
      <c r="E3851" s="857">
        <v>59.95</v>
      </c>
    </row>
    <row r="3852" spans="1:6">
      <c r="A3852" s="858">
        <v>40940</v>
      </c>
      <c r="B3852" s="807" t="str">
        <f>TiposLancamentos!B35</f>
        <v>Tv à Cabo</v>
      </c>
      <c r="C3852" s="808" t="s">
        <v>5834</v>
      </c>
      <c r="D3852" s="809"/>
      <c r="E3852" s="859">
        <v>147.09</v>
      </c>
    </row>
    <row r="3853" spans="1:6">
      <c r="A3853" s="860">
        <v>40940</v>
      </c>
      <c r="B3853" s="152" t="str">
        <f>TiposLancamentos!B3</f>
        <v>Internet</v>
      </c>
      <c r="C3853" s="141" t="s">
        <v>5835</v>
      </c>
      <c r="D3853" s="127"/>
      <c r="E3853" s="861">
        <v>72.34</v>
      </c>
    </row>
    <row r="3854" spans="1:6">
      <c r="A3854" s="862">
        <v>40940</v>
      </c>
      <c r="B3854" s="811" t="str">
        <f>TiposLancamentos!B2</f>
        <v>Telefonia</v>
      </c>
      <c r="C3854" s="812" t="s">
        <v>5836</v>
      </c>
      <c r="D3854" s="813"/>
      <c r="E3854" s="863">
        <v>37.9</v>
      </c>
      <c r="F3854" s="36">
        <f>SUM(E3852:E3854)</f>
        <v>257.33</v>
      </c>
    </row>
    <row r="3855" spans="1:6">
      <c r="A3855" s="856">
        <v>40940</v>
      </c>
      <c r="B3855" s="125" t="str">
        <f>TiposLancamentos!B9</f>
        <v>Condominio</v>
      </c>
      <c r="C3855" s="139" t="s">
        <v>22646</v>
      </c>
      <c r="D3855" s="51"/>
      <c r="E3855" s="857">
        <v>765.46</v>
      </c>
    </row>
    <row r="3856" spans="1:6">
      <c r="A3856" s="858">
        <v>40940</v>
      </c>
      <c r="B3856" s="807" t="str">
        <f>TiposLancamentos!B8</f>
        <v>Aluguel</v>
      </c>
      <c r="C3856" s="808" t="s">
        <v>22647</v>
      </c>
      <c r="D3856" s="809"/>
      <c r="E3856" s="859">
        <v>1189.8699999999999</v>
      </c>
    </row>
    <row r="3857" spans="1:6">
      <c r="A3857" s="862">
        <v>40940</v>
      </c>
      <c r="B3857" s="811" t="str">
        <f>TiposLancamentos!B12</f>
        <v>IPTU</v>
      </c>
      <c r="C3857" s="812" t="s">
        <v>22686</v>
      </c>
      <c r="D3857" s="813"/>
      <c r="E3857" s="863">
        <v>99.29</v>
      </c>
      <c r="F3857" s="804">
        <f>SUM(E3856:E3857)</f>
        <v>1289.1599999999999</v>
      </c>
    </row>
    <row r="3858" spans="1:6">
      <c r="A3858" s="856">
        <v>40940</v>
      </c>
      <c r="B3858" s="125" t="str">
        <f>TiposLancamentos!B87</f>
        <v>P207-1.6-XS</v>
      </c>
      <c r="C3858" s="139" t="s">
        <v>13574</v>
      </c>
      <c r="D3858" s="51"/>
      <c r="E3858" s="857">
        <v>731.13</v>
      </c>
    </row>
    <row r="3859" spans="1:6">
      <c r="A3859" s="856">
        <v>40940</v>
      </c>
      <c r="B3859" s="125" t="str">
        <f>TiposLancamentos!B87</f>
        <v>P207-1.6-XS</v>
      </c>
      <c r="C3859" s="139" t="s">
        <v>13575</v>
      </c>
      <c r="D3859" s="51"/>
      <c r="E3859" s="857">
        <v>682.68</v>
      </c>
    </row>
    <row r="3860" spans="1:6">
      <c r="A3860" s="856">
        <v>40940</v>
      </c>
      <c r="B3860" s="125" t="str">
        <f>TiposLancamentos!B16</f>
        <v>Cristiane</v>
      </c>
      <c r="C3860" s="139" t="s">
        <v>3016</v>
      </c>
      <c r="D3860" s="51"/>
      <c r="E3860" s="857">
        <v>250</v>
      </c>
    </row>
    <row r="3861" spans="1:6">
      <c r="A3861" s="856">
        <v>40940</v>
      </c>
      <c r="B3861" s="125" t="str">
        <f>TiposLancamentos!B99</f>
        <v>Venda de algo</v>
      </c>
      <c r="C3861" s="139" t="s">
        <v>22687</v>
      </c>
      <c r="D3861" s="51">
        <v>120</v>
      </c>
      <c r="E3861" s="857"/>
    </row>
    <row r="3862" spans="1:6">
      <c r="A3862" s="858">
        <v>40940</v>
      </c>
      <c r="B3862" s="807" t="str">
        <f>TiposLancamentos!B44</f>
        <v>Academia</v>
      </c>
      <c r="C3862" s="808" t="s">
        <v>22688</v>
      </c>
      <c r="D3862" s="809"/>
      <c r="E3862" s="859">
        <v>110</v>
      </c>
      <c r="F3862" s="36"/>
    </row>
    <row r="3863" spans="1:6">
      <c r="A3863" s="862">
        <v>40940</v>
      </c>
      <c r="B3863" s="811" t="str">
        <f>TiposLancamentos!B16</f>
        <v>Cristiane</v>
      </c>
      <c r="C3863" s="812" t="s">
        <v>22689</v>
      </c>
      <c r="D3863" s="813"/>
      <c r="E3863" s="863">
        <v>125</v>
      </c>
      <c r="F3863" s="36">
        <f>SUM(E3862:E3863)</f>
        <v>235</v>
      </c>
    </row>
    <row r="3864" spans="1:6">
      <c r="A3864" s="856">
        <v>40941</v>
      </c>
      <c r="B3864" s="125" t="str">
        <f>TiposLancamentos!B19</f>
        <v>Restaurantes</v>
      </c>
      <c r="C3864" s="139" t="s">
        <v>22690</v>
      </c>
      <c r="D3864" s="51"/>
      <c r="E3864" s="857">
        <v>14.35</v>
      </c>
    </row>
    <row r="3865" spans="1:6">
      <c r="A3865" s="858">
        <v>40941</v>
      </c>
      <c r="B3865" s="807" t="str">
        <f>TiposLancamentos!B57</f>
        <v>Informática</v>
      </c>
      <c r="C3865" s="808" t="s">
        <v>22691</v>
      </c>
      <c r="D3865" s="809"/>
      <c r="E3865" s="859">
        <f>84.9+99.9</f>
        <v>184.8</v>
      </c>
    </row>
    <row r="3866" spans="1:6">
      <c r="A3866" s="862">
        <v>40941</v>
      </c>
      <c r="B3866" s="811" t="str">
        <f>TiposLancamentos!B16</f>
        <v>Cristiane</v>
      </c>
      <c r="C3866" s="812" t="s">
        <v>22692</v>
      </c>
      <c r="D3866" s="813"/>
      <c r="E3866" s="863">
        <f>283.28-E3865</f>
        <v>98.479999999999961</v>
      </c>
      <c r="F3866" s="36">
        <f>SUM(E3865:E3866)</f>
        <v>283.27999999999997</v>
      </c>
    </row>
    <row r="3867" spans="1:6">
      <c r="A3867" s="856">
        <v>40943</v>
      </c>
      <c r="B3867" s="125" t="str">
        <f>TiposLancamentos!B16</f>
        <v>Cristiane</v>
      </c>
      <c r="C3867" s="139" t="s">
        <v>22693</v>
      </c>
      <c r="D3867" s="51"/>
      <c r="E3867" s="857">
        <v>172.7</v>
      </c>
    </row>
    <row r="3868" spans="1:6">
      <c r="A3868" s="856">
        <v>40943</v>
      </c>
      <c r="B3868" s="125" t="str">
        <f>TiposLancamentos!B19</f>
        <v>Restaurantes</v>
      </c>
      <c r="C3868" s="139" t="s">
        <v>22694</v>
      </c>
      <c r="D3868" s="51"/>
      <c r="E3868" s="857">
        <v>87.9</v>
      </c>
    </row>
    <row r="3869" spans="1:6">
      <c r="A3869" s="856">
        <v>40944</v>
      </c>
      <c r="B3869" s="125" t="str">
        <f>TiposLancamentos!B5</f>
        <v>Supermercado</v>
      </c>
      <c r="C3869" s="139" t="s">
        <v>22695</v>
      </c>
      <c r="D3869" s="51"/>
      <c r="E3869" s="857">
        <v>16.989999999999998</v>
      </c>
    </row>
    <row r="3870" spans="1:6">
      <c r="A3870" s="856">
        <v>40944</v>
      </c>
      <c r="B3870" s="125" t="str">
        <f>TiposLancamentos!B5</f>
        <v>Supermercado</v>
      </c>
      <c r="C3870" s="139" t="s">
        <v>22696</v>
      </c>
      <c r="D3870" s="51"/>
      <c r="E3870" s="857">
        <v>49.33</v>
      </c>
    </row>
    <row r="3871" spans="1:6">
      <c r="A3871" s="856">
        <v>40944</v>
      </c>
      <c r="B3871" s="125" t="str">
        <f>TiposLancamentos!B5</f>
        <v>Supermercado</v>
      </c>
      <c r="C3871" s="139" t="s">
        <v>22697</v>
      </c>
      <c r="D3871" s="51"/>
      <c r="E3871" s="857">
        <v>85.9</v>
      </c>
    </row>
    <row r="3872" spans="1:6">
      <c r="A3872" s="856">
        <v>40945</v>
      </c>
      <c r="B3872" s="125" t="str">
        <f>TiposLancamentos!B34</f>
        <v>Seguros</v>
      </c>
      <c r="C3872" s="139" t="s">
        <v>6243</v>
      </c>
      <c r="D3872" s="51"/>
      <c r="E3872" s="857">
        <v>69</v>
      </c>
    </row>
    <row r="3873" spans="1:6">
      <c r="A3873" s="856">
        <v>40946</v>
      </c>
      <c r="B3873" s="125" t="str">
        <f>TiposLancamentos!B20</f>
        <v>Saques</v>
      </c>
      <c r="C3873" s="139" t="s">
        <v>22698</v>
      </c>
      <c r="D3873" s="51"/>
      <c r="E3873" s="857">
        <v>20</v>
      </c>
    </row>
    <row r="3874" spans="1:6">
      <c r="A3874" s="856">
        <v>40946</v>
      </c>
      <c r="B3874" s="125" t="str">
        <f>TiposLancamentos!B5</f>
        <v>Supermercado</v>
      </c>
      <c r="C3874" s="139" t="s">
        <v>5967</v>
      </c>
      <c r="D3874" s="51"/>
      <c r="E3874" s="857">
        <v>61.63</v>
      </c>
    </row>
    <row r="3875" spans="1:6">
      <c r="A3875" s="856">
        <v>40946</v>
      </c>
      <c r="B3875" s="125" t="str">
        <f>TiposLancamentos!B2</f>
        <v>Telefonia</v>
      </c>
      <c r="C3875" s="139" t="s">
        <v>22699</v>
      </c>
      <c r="D3875" s="51"/>
      <c r="E3875" s="857">
        <v>0.75</v>
      </c>
    </row>
    <row r="3876" spans="1:6">
      <c r="A3876" s="856">
        <v>40948</v>
      </c>
      <c r="B3876" s="125" t="str">
        <f>TiposLancamentos!B19</f>
        <v>Restaurantes</v>
      </c>
      <c r="C3876" s="139" t="s">
        <v>22700</v>
      </c>
      <c r="D3876" s="51"/>
      <c r="E3876" s="857">
        <v>37.5</v>
      </c>
    </row>
    <row r="3877" spans="1:6">
      <c r="A3877" s="856">
        <v>40950</v>
      </c>
      <c r="B3877" s="125" t="str">
        <f>TiposLancamentos!B19</f>
        <v>Restaurantes</v>
      </c>
      <c r="C3877" s="139" t="s">
        <v>21781</v>
      </c>
      <c r="D3877" s="51"/>
      <c r="E3877" s="857">
        <v>45.98</v>
      </c>
    </row>
    <row r="3878" spans="1:6">
      <c r="A3878" s="858">
        <v>40950</v>
      </c>
      <c r="B3878" s="807" t="str">
        <f>TiposLancamentos!B19</f>
        <v>Restaurantes</v>
      </c>
      <c r="C3878" s="808" t="s">
        <v>10098</v>
      </c>
      <c r="D3878" s="809"/>
      <c r="E3878" s="859">
        <f>F3879-E3879</f>
        <v>88.55</v>
      </c>
    </row>
    <row r="3879" spans="1:6">
      <c r="A3879" s="862">
        <v>40950</v>
      </c>
      <c r="B3879" s="811" t="str">
        <f>TiposLancamentos!B24</f>
        <v>Estacionamentos</v>
      </c>
      <c r="C3879" s="812" t="s">
        <v>22701</v>
      </c>
      <c r="D3879" s="813"/>
      <c r="E3879" s="863">
        <v>16</v>
      </c>
      <c r="F3879" s="3">
        <f>104.55</f>
        <v>104.55</v>
      </c>
    </row>
    <row r="3880" spans="1:6">
      <c r="A3880" s="856">
        <v>40951</v>
      </c>
      <c r="B3880" s="125" t="str">
        <f>TiposLancamentos!B5</f>
        <v>Supermercado</v>
      </c>
      <c r="C3880" s="139" t="s">
        <v>22117</v>
      </c>
      <c r="D3880" s="51"/>
      <c r="E3880" s="857">
        <v>30.83</v>
      </c>
    </row>
    <row r="3881" spans="1:6">
      <c r="A3881" s="856">
        <v>40952</v>
      </c>
      <c r="B3881" s="125" t="str">
        <f>TiposLancamentos!B103</f>
        <v>Juros_Corr. Poupança</v>
      </c>
      <c r="C3881" s="139" t="s">
        <v>22702</v>
      </c>
      <c r="D3881" s="51">
        <v>8.56</v>
      </c>
      <c r="E3881" s="857"/>
    </row>
    <row r="3882" spans="1:6">
      <c r="A3882" s="856">
        <v>40953</v>
      </c>
      <c r="B3882" s="125" t="str">
        <f>TiposLancamentos!B19</f>
        <v>Restaurantes</v>
      </c>
      <c r="C3882" s="139" t="s">
        <v>22703</v>
      </c>
      <c r="D3882" s="51"/>
      <c r="E3882" s="857">
        <v>38.43</v>
      </c>
    </row>
    <row r="3883" spans="1:6">
      <c r="A3883" s="856">
        <v>40953</v>
      </c>
      <c r="B3883" s="125" t="str">
        <f>TiposLancamentos!B5</f>
        <v>Supermercado</v>
      </c>
      <c r="C3883" s="139" t="s">
        <v>2567</v>
      </c>
      <c r="D3883" s="51"/>
      <c r="E3883" s="857">
        <v>152.07</v>
      </c>
    </row>
    <row r="3884" spans="1:6">
      <c r="A3884" s="856">
        <v>40954</v>
      </c>
      <c r="B3884" s="125" t="str">
        <f>TiposLancamentos!B95</f>
        <v>Salarios</v>
      </c>
      <c r="C3884" s="126" t="s">
        <v>5435</v>
      </c>
      <c r="D3884" s="51">
        <v>3014.5</v>
      </c>
      <c r="E3884" s="857"/>
    </row>
    <row r="3885" spans="1:6">
      <c r="A3885" s="856">
        <v>40954</v>
      </c>
      <c r="B3885" s="125" t="str">
        <f>TiposLancamentos!B95</f>
        <v>Salarios</v>
      </c>
      <c r="C3885" s="139" t="s">
        <v>4916</v>
      </c>
      <c r="D3885" s="51">
        <v>2110.15</v>
      </c>
      <c r="E3885" s="857"/>
    </row>
    <row r="3886" spans="1:6">
      <c r="A3886" s="858">
        <v>40954</v>
      </c>
      <c r="B3886" s="807" t="str">
        <f>TiposLancamentos!B33</f>
        <v>Pedágios</v>
      </c>
      <c r="C3886" s="808" t="s">
        <v>5392</v>
      </c>
      <c r="D3886" s="809"/>
      <c r="E3886" s="859">
        <v>11.89</v>
      </c>
      <c r="F3886" s="156"/>
    </row>
    <row r="3887" spans="1:6">
      <c r="A3887" s="862">
        <v>40954</v>
      </c>
      <c r="B3887" s="811" t="str">
        <f>TiposLancamentos!B24</f>
        <v>Estacionamentos</v>
      </c>
      <c r="C3887" s="812" t="s">
        <v>5863</v>
      </c>
      <c r="D3887" s="813"/>
      <c r="E3887" s="863">
        <v>29</v>
      </c>
      <c r="F3887" s="156">
        <f>SUM(E3886:E3887)</f>
        <v>40.89</v>
      </c>
    </row>
    <row r="3888" spans="1:6">
      <c r="A3888" s="856">
        <v>40954</v>
      </c>
      <c r="B3888" s="125" t="str">
        <f>TiposLancamentos!B87</f>
        <v>P207-1.6-XS</v>
      </c>
      <c r="C3888" s="139" t="s">
        <v>13577</v>
      </c>
      <c r="D3888" s="51"/>
      <c r="E3888" s="857">
        <v>696.45</v>
      </c>
    </row>
    <row r="3889" spans="1:6">
      <c r="A3889" s="856">
        <v>40954</v>
      </c>
      <c r="B3889" s="125" t="str">
        <f>TiposLancamentos!B87</f>
        <v>P207-1.6-XS</v>
      </c>
      <c r="C3889" s="139" t="s">
        <v>13575</v>
      </c>
      <c r="D3889" s="51"/>
      <c r="E3889" s="857">
        <v>706.33</v>
      </c>
      <c r="F3889" s="36"/>
    </row>
    <row r="3890" spans="1:6">
      <c r="A3890" s="856">
        <v>40954</v>
      </c>
      <c r="B3890" s="125" t="str">
        <f>TiposLancamentos!B22</f>
        <v>Combustivel</v>
      </c>
      <c r="C3890" s="139" t="s">
        <v>5961</v>
      </c>
      <c r="D3890" s="51"/>
      <c r="E3890" s="857">
        <v>128.79</v>
      </c>
    </row>
    <row r="3891" spans="1:6">
      <c r="A3891" s="856">
        <v>40955</v>
      </c>
      <c r="B3891" s="125" t="str">
        <f>TiposLancamentos!B103</f>
        <v>Juros_Corr. Poupança</v>
      </c>
      <c r="C3891" s="139" t="s">
        <v>22704</v>
      </c>
      <c r="D3891" s="51">
        <v>19.329999999999998</v>
      </c>
      <c r="E3891" s="857"/>
    </row>
    <row r="3892" spans="1:6">
      <c r="A3892" s="856">
        <v>40956</v>
      </c>
      <c r="B3892" s="125" t="str">
        <f>TiposLancamentos!B19</f>
        <v>Restaurantes</v>
      </c>
      <c r="C3892" s="139" t="s">
        <v>22705</v>
      </c>
      <c r="D3892" s="51"/>
      <c r="E3892" s="857">
        <v>29.75</v>
      </c>
    </row>
    <row r="3893" spans="1:6">
      <c r="A3893" s="856">
        <v>40956</v>
      </c>
      <c r="B3893" s="125" t="str">
        <f>TiposLancamentos!B16</f>
        <v>Cristiane</v>
      </c>
      <c r="C3893" s="139" t="s">
        <v>22706</v>
      </c>
      <c r="D3893" s="51"/>
      <c r="E3893" s="857">
        <v>23.8</v>
      </c>
    </row>
    <row r="3894" spans="1:6">
      <c r="A3894" s="856">
        <v>40957</v>
      </c>
      <c r="B3894" s="125" t="str">
        <f>TiposLancamentos!B31</f>
        <v>Action Figures</v>
      </c>
      <c r="C3894" s="139" t="s">
        <v>22707</v>
      </c>
      <c r="D3894" s="51"/>
      <c r="E3894" s="857">
        <v>463.5</v>
      </c>
    </row>
    <row r="3895" spans="1:6">
      <c r="A3895" s="856">
        <v>40957</v>
      </c>
      <c r="B3895" s="125" t="str">
        <f>TiposLancamentos!B19</f>
        <v>Restaurantes</v>
      </c>
      <c r="C3895" s="139" t="s">
        <v>22708</v>
      </c>
      <c r="D3895" s="51"/>
      <c r="E3895" s="857">
        <v>98.01</v>
      </c>
    </row>
    <row r="3896" spans="1:6">
      <c r="A3896" s="858">
        <v>40957</v>
      </c>
      <c r="B3896" s="807" t="str">
        <f>TiposLancamentos!B25</f>
        <v>CD_DVD_BD</v>
      </c>
      <c r="C3896" s="808" t="s">
        <v>22709</v>
      </c>
      <c r="D3896" s="809"/>
      <c r="E3896" s="859">
        <v>299.89999999999998</v>
      </c>
    </row>
    <row r="3897" spans="1:6">
      <c r="A3897" s="862">
        <v>40957</v>
      </c>
      <c r="B3897" s="811" t="str">
        <f>TiposLancamentos!B31</f>
        <v>Action Figures</v>
      </c>
      <c r="C3897" s="812" t="s">
        <v>22710</v>
      </c>
      <c r="D3897" s="813"/>
      <c r="E3897" s="863">
        <v>124.9</v>
      </c>
      <c r="F3897" s="156">
        <f>SUM(E3896:E3897)</f>
        <v>424.79999999999995</v>
      </c>
    </row>
    <row r="3898" spans="1:6">
      <c r="A3898" s="856">
        <v>40957</v>
      </c>
      <c r="B3898" s="125" t="str">
        <f>TiposLancamentos!B17</f>
        <v>GATO</v>
      </c>
      <c r="C3898" s="139" t="s">
        <v>22711</v>
      </c>
      <c r="D3898" s="51"/>
      <c r="E3898" s="857">
        <v>22.4</v>
      </c>
      <c r="F3898" s="156"/>
    </row>
    <row r="3899" spans="1:6">
      <c r="A3899" s="856">
        <v>40957</v>
      </c>
      <c r="B3899" s="125" t="str">
        <f>TiposLancamentos!B19</f>
        <v>Restaurantes</v>
      </c>
      <c r="C3899" s="139" t="s">
        <v>22712</v>
      </c>
      <c r="D3899" s="51"/>
      <c r="E3899" s="857">
        <v>21.56</v>
      </c>
      <c r="F3899" s="156"/>
    </row>
    <row r="3900" spans="1:6">
      <c r="A3900" s="856">
        <v>40957</v>
      </c>
      <c r="B3900" s="125" t="str">
        <f>TiposLancamentos!B16</f>
        <v>Cristiane</v>
      </c>
      <c r="C3900" s="139" t="s">
        <v>4232</v>
      </c>
      <c r="D3900" s="51"/>
      <c r="E3900" s="857">
        <v>100.1</v>
      </c>
      <c r="F3900" s="156"/>
    </row>
    <row r="3901" spans="1:6">
      <c r="A3901" s="856">
        <v>40958</v>
      </c>
      <c r="B3901" s="125" t="str">
        <f>TiposLancamentos!B19</f>
        <v>Restaurantes</v>
      </c>
      <c r="C3901" s="139" t="s">
        <v>22713</v>
      </c>
      <c r="D3901" s="51"/>
      <c r="E3901" s="857">
        <v>79.22</v>
      </c>
      <c r="F3901" s="156"/>
    </row>
    <row r="3902" spans="1:6">
      <c r="A3902" s="856">
        <v>40959</v>
      </c>
      <c r="B3902" s="125" t="str">
        <f>TiposLancamentos!B19</f>
        <v>Restaurantes</v>
      </c>
      <c r="C3902" s="139" t="s">
        <v>5951</v>
      </c>
      <c r="D3902" s="51"/>
      <c r="E3902" s="857">
        <v>65.900000000000006</v>
      </c>
      <c r="F3902" s="156"/>
    </row>
    <row r="3903" spans="1:6">
      <c r="A3903" s="856">
        <v>40959</v>
      </c>
      <c r="B3903" s="125" t="str">
        <f>TiposLancamentos!B5</f>
        <v>Supermercado</v>
      </c>
      <c r="C3903" s="139" t="s">
        <v>3902</v>
      </c>
      <c r="D3903" s="51"/>
      <c r="E3903" s="857">
        <v>47.3</v>
      </c>
      <c r="F3903" s="156"/>
    </row>
    <row r="3904" spans="1:6">
      <c r="A3904" s="856">
        <v>40960</v>
      </c>
      <c r="B3904" s="125" t="str">
        <f>TiposLancamentos!B5</f>
        <v>Supermercado</v>
      </c>
      <c r="C3904" s="139" t="s">
        <v>5862</v>
      </c>
      <c r="D3904" s="51"/>
      <c r="E3904" s="857">
        <v>25.68</v>
      </c>
      <c r="F3904" s="156"/>
    </row>
    <row r="3905" spans="1:6">
      <c r="A3905" s="856">
        <v>40961</v>
      </c>
      <c r="B3905" s="125" t="str">
        <f>TiposLancamentos!B16</f>
        <v>Cristiane</v>
      </c>
      <c r="C3905" s="139" t="s">
        <v>22714</v>
      </c>
      <c r="D3905" s="51"/>
      <c r="E3905" s="857">
        <v>53.65</v>
      </c>
      <c r="F3905" s="156"/>
    </row>
    <row r="3906" spans="1:6">
      <c r="A3906" s="856">
        <v>40961</v>
      </c>
      <c r="B3906" s="125" t="str">
        <f>TiposLancamentos!B13</f>
        <v>Moradia</v>
      </c>
      <c r="C3906" s="139" t="s">
        <v>22715</v>
      </c>
      <c r="D3906" s="51"/>
      <c r="E3906" s="857">
        <v>498</v>
      </c>
      <c r="F3906" s="156"/>
    </row>
    <row r="3907" spans="1:6">
      <c r="A3907" s="856">
        <v>40961</v>
      </c>
      <c r="B3907" s="125" t="str">
        <f>TiposLancamentos!B19</f>
        <v>Restaurantes</v>
      </c>
      <c r="C3907" s="139" t="s">
        <v>22716</v>
      </c>
      <c r="D3907" s="51"/>
      <c r="E3907" s="857">
        <v>36</v>
      </c>
      <c r="F3907" s="156"/>
    </row>
    <row r="3908" spans="1:6">
      <c r="A3908" s="856">
        <v>40962</v>
      </c>
      <c r="B3908" s="125" t="str">
        <f>TiposLancamentos!B19</f>
        <v>Restaurantes</v>
      </c>
      <c r="C3908" s="139" t="s">
        <v>5914</v>
      </c>
      <c r="D3908" s="51"/>
      <c r="E3908" s="857">
        <v>16</v>
      </c>
      <c r="F3908" s="156"/>
    </row>
    <row r="3909" spans="1:6">
      <c r="A3909" s="856">
        <v>40963</v>
      </c>
      <c r="B3909" s="125" t="str">
        <f>TiposLancamentos!B19</f>
        <v>Restaurantes</v>
      </c>
      <c r="C3909" s="139" t="s">
        <v>22717</v>
      </c>
      <c r="D3909" s="51"/>
      <c r="E3909" s="857">
        <v>29.59</v>
      </c>
      <c r="F3909" s="156"/>
    </row>
    <row r="3910" spans="1:6">
      <c r="A3910" s="856">
        <v>40963</v>
      </c>
      <c r="B3910" s="125" t="str">
        <f>TiposLancamentos!B19</f>
        <v>Restaurantes</v>
      </c>
      <c r="C3910" s="139" t="s">
        <v>22718</v>
      </c>
      <c r="D3910" s="51"/>
      <c r="E3910" s="857">
        <v>24</v>
      </c>
      <c r="F3910" s="156"/>
    </row>
    <row r="3911" spans="1:6">
      <c r="A3911" s="856">
        <v>40963</v>
      </c>
      <c r="B3911" s="125" t="str">
        <f>TiposLancamentos!B19</f>
        <v>Restaurantes</v>
      </c>
      <c r="C3911" s="139" t="s">
        <v>5869</v>
      </c>
      <c r="D3911" s="51"/>
      <c r="E3911" s="857">
        <v>35</v>
      </c>
      <c r="F3911" s="156"/>
    </row>
    <row r="3912" spans="1:6">
      <c r="A3912" s="856">
        <v>40964</v>
      </c>
      <c r="B3912" s="125" t="str">
        <f>TiposLancamentos!B5</f>
        <v>Supermercado</v>
      </c>
      <c r="C3912" s="139" t="s">
        <v>22719</v>
      </c>
      <c r="D3912" s="51"/>
      <c r="E3912" s="857">
        <v>24.96</v>
      </c>
      <c r="F3912" s="156"/>
    </row>
    <row r="3913" spans="1:6">
      <c r="A3913" s="856">
        <v>40964</v>
      </c>
      <c r="B3913" s="125" t="str">
        <f>TiposLancamentos!B56</f>
        <v>Farmácia</v>
      </c>
      <c r="C3913" s="139" t="s">
        <v>6118</v>
      </c>
      <c r="D3913" s="51"/>
      <c r="E3913" s="857">
        <v>116.17</v>
      </c>
      <c r="F3913" s="156"/>
    </row>
    <row r="3914" spans="1:6">
      <c r="A3914" s="856">
        <v>40964</v>
      </c>
      <c r="B3914" s="125" t="str">
        <f>TiposLancamentos!B5</f>
        <v>Supermercado</v>
      </c>
      <c r="C3914" s="139" t="s">
        <v>22532</v>
      </c>
      <c r="D3914" s="51"/>
      <c r="E3914" s="857">
        <v>139.22999999999999</v>
      </c>
      <c r="F3914" s="156"/>
    </row>
    <row r="3915" spans="1:6">
      <c r="A3915" s="856">
        <v>40965</v>
      </c>
      <c r="B3915" s="125" t="str">
        <f>TiposLancamentos!B19</f>
        <v>Restaurantes</v>
      </c>
      <c r="C3915" s="139" t="s">
        <v>20190</v>
      </c>
      <c r="D3915" s="51"/>
      <c r="E3915" s="857">
        <v>119.68</v>
      </c>
      <c r="F3915" s="156"/>
    </row>
    <row r="3916" spans="1:6">
      <c r="A3916" s="856">
        <v>40966</v>
      </c>
      <c r="B3916" s="125" t="str">
        <f>TiposLancamentos!B5</f>
        <v>Supermercado</v>
      </c>
      <c r="C3916" s="139" t="s">
        <v>21524</v>
      </c>
      <c r="D3916" s="51"/>
      <c r="E3916" s="857">
        <v>38.67</v>
      </c>
      <c r="F3916" s="156"/>
    </row>
    <row r="3917" spans="1:6">
      <c r="A3917" s="856">
        <v>40967</v>
      </c>
      <c r="B3917" s="125" t="str">
        <f>TiposLancamentos!B19</f>
        <v>Restaurantes</v>
      </c>
      <c r="C3917" s="139" t="s">
        <v>22720</v>
      </c>
      <c r="D3917" s="51"/>
      <c r="E3917" s="857">
        <v>40.6</v>
      </c>
      <c r="F3917" s="156"/>
    </row>
    <row r="3918" spans="1:6">
      <c r="A3918" s="856">
        <v>40967</v>
      </c>
      <c r="B3918" s="125" t="str">
        <f>TiposLancamentos!B70</f>
        <v>Vestuário</v>
      </c>
      <c r="C3918" s="139" t="s">
        <v>22721</v>
      </c>
      <c r="D3918" s="51"/>
      <c r="E3918" s="857">
        <v>239.7</v>
      </c>
      <c r="F3918" s="156"/>
    </row>
    <row r="3919" spans="1:6">
      <c r="A3919" s="856">
        <v>40967</v>
      </c>
      <c r="B3919" s="125" t="str">
        <f>TiposLancamentos!B19</f>
        <v>Restaurantes</v>
      </c>
      <c r="C3919" s="139" t="s">
        <v>22722</v>
      </c>
      <c r="D3919" s="51"/>
      <c r="E3919" s="857">
        <v>107.48</v>
      </c>
      <c r="F3919" s="156"/>
    </row>
    <row r="3920" spans="1:6" ht="14.25" thickBot="1">
      <c r="A3920" s="866">
        <v>40968</v>
      </c>
      <c r="B3920" s="867" t="str">
        <f>TiposLancamentos!B95</f>
        <v>Salarios</v>
      </c>
      <c r="C3920" s="871" t="s">
        <v>4939</v>
      </c>
      <c r="D3920" s="869">
        <v>7124.24</v>
      </c>
      <c r="E3920" s="870"/>
      <c r="F3920" s="156"/>
    </row>
    <row r="3921" spans="1:6">
      <c r="A3921" s="976"/>
      <c r="B3921" s="977"/>
      <c r="C3921" s="980" t="s">
        <v>5815</v>
      </c>
      <c r="D3921" s="979"/>
      <c r="E3921" s="971"/>
      <c r="F3921" s="156"/>
    </row>
    <row r="3922" spans="1:6">
      <c r="A3922" s="856">
        <v>40969</v>
      </c>
      <c r="B3922" s="125" t="str">
        <f>TiposLancamentos!B15</f>
        <v>Cartões de Crédito</v>
      </c>
      <c r="C3922" s="139" t="s">
        <v>6560</v>
      </c>
      <c r="D3922" s="51"/>
      <c r="E3922" s="857">
        <v>1487.52</v>
      </c>
      <c r="F3922" s="156"/>
    </row>
    <row r="3923" spans="1:6">
      <c r="A3923" s="858">
        <v>40969</v>
      </c>
      <c r="B3923" s="807" t="str">
        <f>TiposLancamentos!B8</f>
        <v>Aluguel</v>
      </c>
      <c r="C3923" s="808" t="s">
        <v>22723</v>
      </c>
      <c r="D3923" s="809"/>
      <c r="E3923" s="859">
        <v>1202.23</v>
      </c>
      <c r="F3923" s="156"/>
    </row>
    <row r="3924" spans="1:6">
      <c r="A3924" s="862">
        <v>40969</v>
      </c>
      <c r="B3924" s="811" t="str">
        <f>TiposLancamentos!B12</f>
        <v>IPTU</v>
      </c>
      <c r="C3924" s="812" t="s">
        <v>22724</v>
      </c>
      <c r="D3924" s="813"/>
      <c r="E3924" s="863">
        <v>99.29</v>
      </c>
      <c r="F3924" s="156">
        <f>SUM(E3923:E3924)</f>
        <v>1301.52</v>
      </c>
    </row>
    <row r="3925" spans="1:6">
      <c r="A3925" s="858">
        <v>40969</v>
      </c>
      <c r="B3925" s="807" t="str">
        <f>TiposLancamentos!B35</f>
        <v>Tv à Cabo</v>
      </c>
      <c r="C3925" s="808" t="s">
        <v>5834</v>
      </c>
      <c r="D3925" s="809"/>
      <c r="E3925" s="859">
        <v>147.09</v>
      </c>
      <c r="F3925" s="156"/>
    </row>
    <row r="3926" spans="1:6">
      <c r="A3926" s="860">
        <v>40969</v>
      </c>
      <c r="B3926" s="152" t="str">
        <f>TiposLancamentos!B3</f>
        <v>Internet</v>
      </c>
      <c r="C3926" s="141" t="s">
        <v>5835</v>
      </c>
      <c r="D3926" s="127"/>
      <c r="E3926" s="861">
        <v>72.34</v>
      </c>
      <c r="F3926" s="156"/>
    </row>
    <row r="3927" spans="1:6">
      <c r="A3927" s="862">
        <v>40969</v>
      </c>
      <c r="B3927" s="811" t="str">
        <f>TiposLancamentos!B2</f>
        <v>Telefonia</v>
      </c>
      <c r="C3927" s="812" t="s">
        <v>5836</v>
      </c>
      <c r="D3927" s="813"/>
      <c r="E3927" s="863">
        <v>37.880000000000003</v>
      </c>
      <c r="F3927" s="156">
        <f>SUM(E3925:E3927)</f>
        <v>257.31</v>
      </c>
    </row>
    <row r="3928" spans="1:6">
      <c r="A3928" s="856">
        <v>40969</v>
      </c>
      <c r="B3928" s="125" t="str">
        <f>TiposLancamentos!B6</f>
        <v>Energia Eletrica</v>
      </c>
      <c r="C3928" s="139" t="s">
        <v>22725</v>
      </c>
      <c r="D3928" s="51"/>
      <c r="E3928" s="857">
        <v>126.21</v>
      </c>
      <c r="F3928" s="156"/>
    </row>
    <row r="3929" spans="1:6">
      <c r="A3929" s="856">
        <v>40969</v>
      </c>
      <c r="B3929" s="125" t="str">
        <f>TiposLancamentos!B87</f>
        <v>P207-1.6-XS</v>
      </c>
      <c r="C3929" s="139" t="s">
        <v>13581</v>
      </c>
      <c r="D3929" s="51"/>
      <c r="E3929" s="857">
        <v>731.13</v>
      </c>
      <c r="F3929" s="156"/>
    </row>
    <row r="3930" spans="1:6">
      <c r="A3930" s="856">
        <v>40969</v>
      </c>
      <c r="B3930" s="125" t="str">
        <f>TiposLancamentos!B87</f>
        <v>P207-1.6-XS</v>
      </c>
      <c r="C3930" s="139" t="s">
        <v>13582</v>
      </c>
      <c r="D3930" s="51"/>
      <c r="E3930" s="857">
        <v>720.91</v>
      </c>
      <c r="F3930" s="156"/>
    </row>
    <row r="3931" spans="1:6">
      <c r="A3931" s="856">
        <v>40970</v>
      </c>
      <c r="B3931" s="125" t="str">
        <f>TiposLancamentos!B72</f>
        <v>Presentes</v>
      </c>
      <c r="C3931" s="139" t="s">
        <v>22726</v>
      </c>
      <c r="D3931" s="51"/>
      <c r="E3931" s="857">
        <v>39.9</v>
      </c>
      <c r="F3931" s="156"/>
    </row>
    <row r="3932" spans="1:6">
      <c r="A3932" s="856">
        <v>40970</v>
      </c>
      <c r="B3932" s="125" t="str">
        <f>TiposLancamentos!B56</f>
        <v>Farmácia</v>
      </c>
      <c r="C3932" s="139" t="s">
        <v>22727</v>
      </c>
      <c r="D3932" s="51"/>
      <c r="E3932" s="857">
        <v>23.4</v>
      </c>
      <c r="F3932" s="156"/>
    </row>
    <row r="3933" spans="1:6">
      <c r="A3933" s="856">
        <v>40970</v>
      </c>
      <c r="B3933" s="125" t="str">
        <f>TiposLancamentos!B19</f>
        <v>Restaurantes</v>
      </c>
      <c r="C3933" s="139" t="s">
        <v>22728</v>
      </c>
      <c r="D3933" s="51"/>
      <c r="E3933" s="857">
        <v>31.6</v>
      </c>
      <c r="F3933" s="156"/>
    </row>
    <row r="3934" spans="1:6">
      <c r="A3934" s="856">
        <v>40970</v>
      </c>
      <c r="B3934" s="125" t="str">
        <f>TiposLancamentos!B19</f>
        <v>Restaurantes</v>
      </c>
      <c r="C3934" s="139" t="s">
        <v>22729</v>
      </c>
      <c r="D3934" s="51"/>
      <c r="E3934" s="857">
        <v>26.9</v>
      </c>
      <c r="F3934" s="156"/>
    </row>
    <row r="3935" spans="1:6">
      <c r="A3935" s="856">
        <v>40971</v>
      </c>
      <c r="B3935" s="125" t="str">
        <f>TiposLancamentos!B19</f>
        <v>Restaurantes</v>
      </c>
      <c r="C3935" s="139" t="s">
        <v>22730</v>
      </c>
      <c r="D3935" s="51"/>
      <c r="E3935" s="857">
        <v>62.76</v>
      </c>
      <c r="F3935" s="156"/>
    </row>
    <row r="3936" spans="1:6">
      <c r="A3936" s="856">
        <v>40971</v>
      </c>
      <c r="B3936" s="125" t="str">
        <f>TiposLancamentos!B16</f>
        <v>Cristiane</v>
      </c>
      <c r="C3936" s="139" t="s">
        <v>22731</v>
      </c>
      <c r="D3936" s="51"/>
      <c r="E3936" s="857">
        <v>16.75</v>
      </c>
      <c r="F3936" s="156"/>
    </row>
    <row r="3937" spans="1:6">
      <c r="A3937" s="856">
        <v>40972</v>
      </c>
      <c r="B3937" s="125" t="str">
        <f>TiposLancamentos!B5</f>
        <v>Supermercado</v>
      </c>
      <c r="C3937" s="139" t="s">
        <v>22732</v>
      </c>
      <c r="D3937" s="51"/>
      <c r="E3937" s="857">
        <v>76.989999999999995</v>
      </c>
      <c r="F3937" s="156"/>
    </row>
    <row r="3938" spans="1:6">
      <c r="A3938" s="856">
        <v>40972</v>
      </c>
      <c r="B3938" s="125" t="str">
        <f>TiposLancamentos!B100</f>
        <v>Emprestimos</v>
      </c>
      <c r="C3938" s="139" t="s">
        <v>22733</v>
      </c>
      <c r="D3938" s="51"/>
      <c r="E3938" s="857">
        <v>35</v>
      </c>
      <c r="F3938" s="156"/>
    </row>
    <row r="3939" spans="1:6">
      <c r="A3939" s="856">
        <v>40973</v>
      </c>
      <c r="B3939" s="125" t="str">
        <f>TiposLancamentos!B22</f>
        <v>Combustivel</v>
      </c>
      <c r="C3939" s="139" t="s">
        <v>5961</v>
      </c>
      <c r="D3939" s="51"/>
      <c r="E3939" s="857">
        <v>106.06</v>
      </c>
      <c r="F3939" s="156"/>
    </row>
    <row r="3940" spans="1:6">
      <c r="A3940" s="856">
        <v>40974</v>
      </c>
      <c r="B3940" s="125" t="str">
        <f>TiposLancamentos!B9</f>
        <v>Condominio</v>
      </c>
      <c r="C3940" s="139" t="s">
        <v>5925</v>
      </c>
      <c r="D3940" s="51"/>
      <c r="E3940" s="857">
        <v>765.46</v>
      </c>
      <c r="F3940" s="156"/>
    </row>
    <row r="3941" spans="1:6">
      <c r="A3941" s="856">
        <v>40974</v>
      </c>
      <c r="B3941" s="125" t="str">
        <f>TiposLancamentos!B19</f>
        <v>Restaurantes</v>
      </c>
      <c r="C3941" s="139" t="s">
        <v>3995</v>
      </c>
      <c r="D3941" s="51"/>
      <c r="E3941" s="857">
        <v>31</v>
      </c>
      <c r="F3941" s="156"/>
    </row>
    <row r="3942" spans="1:6">
      <c r="A3942" s="858">
        <v>40975</v>
      </c>
      <c r="B3942" s="807" t="str">
        <f>TiposLancamentos!B32</f>
        <v>Clinicas e tratamentos</v>
      </c>
      <c r="C3942" s="808" t="s">
        <v>22734</v>
      </c>
      <c r="D3942" s="809"/>
      <c r="E3942" s="859">
        <v>534.47</v>
      </c>
      <c r="F3942" s="156"/>
    </row>
    <row r="3943" spans="1:6">
      <c r="A3943" s="862">
        <v>40975</v>
      </c>
      <c r="B3943" s="811" t="str">
        <f>TiposLancamentos!B16</f>
        <v>Cristiane</v>
      </c>
      <c r="C3943" s="812" t="s">
        <v>22734</v>
      </c>
      <c r="D3943" s="813"/>
      <c r="E3943" s="863">
        <v>534.47</v>
      </c>
      <c r="F3943" s="156">
        <f>SUM(E3942:E3943)</f>
        <v>1068.94</v>
      </c>
    </row>
    <row r="3944" spans="1:6">
      <c r="A3944" s="856">
        <v>40975</v>
      </c>
      <c r="B3944" s="125" t="str">
        <f>TiposLancamentos!B5</f>
        <v>Supermercado</v>
      </c>
      <c r="C3944" s="139" t="s">
        <v>22117</v>
      </c>
      <c r="D3944" s="51"/>
      <c r="E3944" s="857">
        <v>20.05</v>
      </c>
      <c r="F3944" s="156"/>
    </row>
    <row r="3945" spans="1:6">
      <c r="A3945" s="856">
        <v>40976</v>
      </c>
      <c r="B3945" s="125" t="str">
        <f>TiposLancamentos!B70</f>
        <v>Vestuário</v>
      </c>
      <c r="C3945" s="139" t="s">
        <v>22735</v>
      </c>
      <c r="D3945" s="51"/>
      <c r="E3945" s="857">
        <v>144.97999999999999</v>
      </c>
      <c r="F3945" s="156"/>
    </row>
    <row r="3946" spans="1:6">
      <c r="A3946" s="856">
        <v>40976</v>
      </c>
      <c r="B3946" s="125" t="str">
        <f>TiposLancamentos!B57</f>
        <v>Informática</v>
      </c>
      <c r="C3946" s="139" t="s">
        <v>22736</v>
      </c>
      <c r="D3946" s="51"/>
      <c r="E3946" s="857">
        <v>1266.6300000000001</v>
      </c>
      <c r="F3946" s="156"/>
    </row>
    <row r="3947" spans="1:6">
      <c r="A3947" s="856">
        <v>40976</v>
      </c>
      <c r="B3947" s="125" t="str">
        <f>TiposLancamentos!B19</f>
        <v>Restaurantes</v>
      </c>
      <c r="C3947" s="139" t="s">
        <v>21234</v>
      </c>
      <c r="D3947" s="51"/>
      <c r="E3947" s="857">
        <v>35</v>
      </c>
      <c r="F3947" s="156"/>
    </row>
    <row r="3948" spans="1:6">
      <c r="A3948" s="856">
        <v>40977</v>
      </c>
      <c r="B3948" s="125" t="str">
        <f>TiposLancamentos!B19</f>
        <v>Restaurantes</v>
      </c>
      <c r="C3948" s="139" t="s">
        <v>17244</v>
      </c>
      <c r="D3948" s="51"/>
      <c r="E3948" s="857">
        <v>47.64</v>
      </c>
      <c r="F3948" s="156"/>
    </row>
    <row r="3949" spans="1:6">
      <c r="A3949" s="856">
        <v>40977</v>
      </c>
      <c r="B3949" s="125" t="str">
        <f>TiposLancamentos!B57</f>
        <v>Informática</v>
      </c>
      <c r="C3949" s="139" t="s">
        <v>22737</v>
      </c>
      <c r="D3949" s="51"/>
      <c r="E3949" s="857">
        <v>15.8</v>
      </c>
      <c r="F3949" s="156"/>
    </row>
    <row r="3950" spans="1:6">
      <c r="A3950" s="856">
        <v>40977</v>
      </c>
      <c r="B3950" s="125" t="str">
        <f>TiposLancamentos!B72</f>
        <v>Presentes</v>
      </c>
      <c r="C3950" s="139" t="s">
        <v>22738</v>
      </c>
      <c r="D3950" s="51"/>
      <c r="E3950" s="857">
        <v>86.99</v>
      </c>
      <c r="F3950" s="156"/>
    </row>
    <row r="3951" spans="1:6">
      <c r="A3951" s="856">
        <v>40977</v>
      </c>
      <c r="B3951" s="125" t="str">
        <f>TiposLancamentos!B19</f>
        <v>Restaurantes</v>
      </c>
      <c r="C3951" s="139" t="s">
        <v>3951</v>
      </c>
      <c r="D3951" s="51"/>
      <c r="E3951" s="857">
        <v>7.6</v>
      </c>
      <c r="F3951" s="156"/>
    </row>
    <row r="3952" spans="1:6">
      <c r="A3952" s="858">
        <v>40977</v>
      </c>
      <c r="B3952" s="807" t="str">
        <f>TiposLancamentos!B44</f>
        <v>Academia</v>
      </c>
      <c r="C3952" s="808" t="s">
        <v>22739</v>
      </c>
      <c r="D3952" s="809"/>
      <c r="E3952" s="859">
        <v>110</v>
      </c>
      <c r="F3952" s="156"/>
    </row>
    <row r="3953" spans="1:6">
      <c r="A3953" s="862">
        <v>40977</v>
      </c>
      <c r="B3953" s="811" t="str">
        <f>TiposLancamentos!B16</f>
        <v>Cristiane</v>
      </c>
      <c r="C3953" s="812" t="s">
        <v>22740</v>
      </c>
      <c r="D3953" s="813"/>
      <c r="E3953" s="863">
        <v>125</v>
      </c>
      <c r="F3953" s="156">
        <f>SUM(E3952:E3953)</f>
        <v>235</v>
      </c>
    </row>
    <row r="3954" spans="1:6">
      <c r="A3954" s="856">
        <v>40978</v>
      </c>
      <c r="B3954" s="125" t="str">
        <f>TiposLancamentos!B19</f>
        <v>Restaurantes</v>
      </c>
      <c r="C3954" s="139" t="s">
        <v>7147</v>
      </c>
      <c r="D3954" s="51"/>
      <c r="E3954" s="857">
        <v>18.899999999999999</v>
      </c>
      <c r="F3954" s="156"/>
    </row>
    <row r="3955" spans="1:6">
      <c r="A3955" s="856">
        <v>40979</v>
      </c>
      <c r="B3955" s="125" t="str">
        <f>TiposLancamentos!B72</f>
        <v>Presentes</v>
      </c>
      <c r="C3955" s="139" t="s">
        <v>22741</v>
      </c>
      <c r="D3955" s="51"/>
      <c r="E3955" s="857">
        <v>51.15</v>
      </c>
      <c r="F3955" s="156"/>
    </row>
    <row r="3956" spans="1:6">
      <c r="A3956" s="856">
        <v>40981</v>
      </c>
      <c r="B3956" s="125" t="str">
        <f>TiposLancamentos!B69</f>
        <v>Consertos</v>
      </c>
      <c r="C3956" s="139" t="s">
        <v>22742</v>
      </c>
      <c r="D3956" s="51"/>
      <c r="E3956" s="857">
        <v>520.91999999999996</v>
      </c>
      <c r="F3956" s="156"/>
    </row>
    <row r="3957" spans="1:6">
      <c r="A3957" s="856">
        <v>40982</v>
      </c>
      <c r="B3957" s="125" t="str">
        <f>TiposLancamentos!B16</f>
        <v>Cristiane</v>
      </c>
      <c r="C3957" s="139" t="s">
        <v>22635</v>
      </c>
      <c r="D3957" s="51"/>
      <c r="E3957" s="857">
        <v>90.85</v>
      </c>
      <c r="F3957" s="156"/>
    </row>
    <row r="3958" spans="1:6">
      <c r="A3958" s="856">
        <v>40982</v>
      </c>
      <c r="B3958" s="125" t="str">
        <f>TiposLancamentos!B103</f>
        <v>Juros_Corr. Poupança</v>
      </c>
      <c r="C3958" s="139" t="s">
        <v>22743</v>
      </c>
      <c r="D3958" s="51">
        <v>5.44</v>
      </c>
      <c r="E3958" s="857"/>
      <c r="F3958" s="156"/>
    </row>
    <row r="3959" spans="1:6">
      <c r="A3959" s="856">
        <v>40983</v>
      </c>
      <c r="B3959" s="125" t="str">
        <f>TiposLancamentos!B95</f>
        <v>Salarios</v>
      </c>
      <c r="C3959" s="139" t="s">
        <v>4916</v>
      </c>
      <c r="D3959" s="51">
        <v>2110.15</v>
      </c>
      <c r="E3959" s="857"/>
      <c r="F3959" s="156"/>
    </row>
    <row r="3960" spans="1:6">
      <c r="A3960" s="923">
        <v>40983</v>
      </c>
      <c r="B3960" s="830" t="str">
        <f>TiposLancamentos!B33</f>
        <v>Pedágios</v>
      </c>
      <c r="C3960" s="915" t="s">
        <v>5392</v>
      </c>
      <c r="D3960" s="917"/>
      <c r="E3960" s="920">
        <v>11.9</v>
      </c>
    </row>
    <row r="3961" spans="1:6">
      <c r="A3961" s="924">
        <v>40983</v>
      </c>
      <c r="B3961" s="833" t="str">
        <f>TiposLancamentos!B24</f>
        <v>Estacionamentos</v>
      </c>
      <c r="C3961" s="916" t="s">
        <v>5863</v>
      </c>
      <c r="D3961" s="918"/>
      <c r="E3961" s="922">
        <v>24</v>
      </c>
      <c r="F3961" s="156">
        <f>SUM(E3960:E3961)</f>
        <v>35.9</v>
      </c>
    </row>
    <row r="3962" spans="1:6">
      <c r="A3962" s="856">
        <v>40983</v>
      </c>
      <c r="B3962" s="125" t="str">
        <f>TiposLancamentos!B34</f>
        <v>Seguros</v>
      </c>
      <c r="C3962" s="139" t="s">
        <v>5809</v>
      </c>
      <c r="D3962" s="51"/>
      <c r="E3962" s="857">
        <v>69</v>
      </c>
      <c r="F3962" s="156"/>
    </row>
    <row r="3963" spans="1:6">
      <c r="A3963" s="856">
        <v>40983</v>
      </c>
      <c r="B3963" s="125" t="str">
        <f>TiposLancamentos!B105</f>
        <v>Transf. Bco</v>
      </c>
      <c r="C3963" s="139" t="s">
        <v>21774</v>
      </c>
      <c r="D3963" s="51"/>
      <c r="E3963" s="857">
        <v>2420</v>
      </c>
      <c r="F3963" s="156"/>
    </row>
    <row r="3964" spans="1:6">
      <c r="A3964" s="856">
        <v>40984</v>
      </c>
      <c r="B3964" s="125" t="str">
        <f>TiposLancamentos!B16</f>
        <v>Cristiane</v>
      </c>
      <c r="C3964" s="139" t="s">
        <v>22744</v>
      </c>
      <c r="D3964" s="51"/>
      <c r="E3964" s="857">
        <v>95</v>
      </c>
      <c r="F3964" s="156"/>
    </row>
    <row r="3965" spans="1:6">
      <c r="A3965" s="856">
        <v>40984</v>
      </c>
      <c r="B3965" s="125" t="str">
        <f>TiposLancamentos!B19</f>
        <v>Restaurantes</v>
      </c>
      <c r="C3965" s="139" t="s">
        <v>22745</v>
      </c>
      <c r="D3965" s="51"/>
      <c r="E3965" s="857">
        <v>34.5</v>
      </c>
      <c r="F3965" s="156"/>
    </row>
    <row r="3966" spans="1:6">
      <c r="A3966" s="856">
        <v>40984</v>
      </c>
      <c r="B3966" s="125" t="str">
        <f>TiposLancamentos!B103</f>
        <v>Juros_Corr. Poupança</v>
      </c>
      <c r="C3966" s="139" t="s">
        <v>22667</v>
      </c>
      <c r="D3966" s="51">
        <v>7.47</v>
      </c>
      <c r="E3966" s="857"/>
      <c r="F3966" s="156"/>
    </row>
    <row r="3967" spans="1:6">
      <c r="A3967" s="856">
        <v>40986</v>
      </c>
      <c r="B3967" s="125" t="str">
        <f>TiposLancamentos!B19</f>
        <v>Restaurantes</v>
      </c>
      <c r="C3967" s="139" t="s">
        <v>22746</v>
      </c>
      <c r="D3967" s="51"/>
      <c r="E3967" s="857">
        <v>152.58000000000001</v>
      </c>
      <c r="F3967" s="156"/>
    </row>
    <row r="3968" spans="1:6">
      <c r="A3968" s="856">
        <v>40987</v>
      </c>
      <c r="B3968" s="125" t="str">
        <f>TiposLancamentos!B69</f>
        <v>Consertos</v>
      </c>
      <c r="C3968" s="139" t="s">
        <v>22747</v>
      </c>
      <c r="D3968" s="51"/>
      <c r="E3968" s="857">
        <v>39.5</v>
      </c>
      <c r="F3968" s="156"/>
    </row>
    <row r="3969" spans="1:7">
      <c r="A3969" s="856">
        <v>40987</v>
      </c>
      <c r="B3969" s="125" t="str">
        <f>TiposLancamentos!B13</f>
        <v>Moradia</v>
      </c>
      <c r="C3969" s="139" t="s">
        <v>22748</v>
      </c>
      <c r="D3969" s="51"/>
      <c r="E3969" s="857">
        <v>120.4</v>
      </c>
      <c r="F3969" s="156"/>
    </row>
    <row r="3970" spans="1:7">
      <c r="A3970" s="856">
        <v>40988</v>
      </c>
      <c r="B3970" s="125" t="str">
        <f>TiposLancamentos!B16</f>
        <v>Cristiane</v>
      </c>
      <c r="C3970" s="139" t="s">
        <v>22749</v>
      </c>
      <c r="D3970" s="51"/>
      <c r="E3970" s="857">
        <v>41.8</v>
      </c>
      <c r="F3970" s="156"/>
    </row>
    <row r="3971" spans="1:7">
      <c r="A3971" s="856">
        <v>40989</v>
      </c>
      <c r="B3971" s="125" t="str">
        <f>TiposLancamentos!B5</f>
        <v>Supermercado</v>
      </c>
      <c r="C3971" s="139" t="s">
        <v>22750</v>
      </c>
      <c r="D3971" s="51"/>
      <c r="E3971" s="857">
        <v>118.45</v>
      </c>
      <c r="F3971" s="156"/>
    </row>
    <row r="3972" spans="1:7">
      <c r="A3972" s="856">
        <v>40989</v>
      </c>
      <c r="B3972" s="125" t="str">
        <f>TiposLancamentos!B5</f>
        <v>Supermercado</v>
      </c>
      <c r="C3972" s="139" t="s">
        <v>22532</v>
      </c>
      <c r="D3972" s="51"/>
      <c r="E3972" s="857">
        <v>17.7</v>
      </c>
      <c r="F3972" s="156"/>
    </row>
    <row r="3973" spans="1:7">
      <c r="A3973" s="858">
        <v>40990</v>
      </c>
      <c r="B3973" s="807" t="str">
        <f>TiposLancamentos!B56</f>
        <v>Farmácia</v>
      </c>
      <c r="C3973" s="808" t="s">
        <v>22751</v>
      </c>
      <c r="D3973" s="809"/>
      <c r="E3973" s="859">
        <f>132.2-6.45</f>
        <v>125.74999999999999</v>
      </c>
      <c r="F3973" s="156"/>
      <c r="G3973" s="780"/>
    </row>
    <row r="3974" spans="1:7">
      <c r="A3974" s="862">
        <v>40990</v>
      </c>
      <c r="B3974" s="811" t="str">
        <f>TiposLancamentos!B16</f>
        <v>Cristiane</v>
      </c>
      <c r="C3974" s="812" t="s">
        <v>22751</v>
      </c>
      <c r="D3974" s="813"/>
      <c r="E3974" s="863">
        <f>114.7-6.45</f>
        <v>108.25</v>
      </c>
      <c r="F3974" s="156">
        <f>SUM(E3973:E3974)</f>
        <v>234</v>
      </c>
    </row>
    <row r="3975" spans="1:7">
      <c r="A3975" s="856">
        <v>40990</v>
      </c>
      <c r="B3975" s="125" t="str">
        <f>TiposLancamentos!B22</f>
        <v>Combustivel</v>
      </c>
      <c r="C3975" s="139" t="s">
        <v>5961</v>
      </c>
      <c r="D3975" s="51"/>
      <c r="E3975" s="857">
        <v>114</v>
      </c>
      <c r="F3975" s="156"/>
    </row>
    <row r="3976" spans="1:7">
      <c r="A3976" s="856">
        <v>40992</v>
      </c>
      <c r="B3976" s="125" t="str">
        <f>TiposLancamentos!B71</f>
        <v>Itens Pessoais</v>
      </c>
      <c r="C3976" s="139" t="s">
        <v>5611</v>
      </c>
      <c r="D3976" s="51"/>
      <c r="E3976" s="857">
        <v>20</v>
      </c>
      <c r="F3976" s="156"/>
    </row>
    <row r="3977" spans="1:7">
      <c r="A3977" s="856">
        <v>40992</v>
      </c>
      <c r="B3977" s="125" t="str">
        <f>TiposLancamentos!B19</f>
        <v>Restaurantes</v>
      </c>
      <c r="C3977" s="139" t="s">
        <v>22752</v>
      </c>
      <c r="D3977" s="51"/>
      <c r="E3977" s="857">
        <v>17.43</v>
      </c>
      <c r="F3977" s="156"/>
    </row>
    <row r="3978" spans="1:7">
      <c r="A3978" s="856">
        <v>40992</v>
      </c>
      <c r="B3978" s="125" t="str">
        <f>TiposLancamentos!B5</f>
        <v>Supermercado</v>
      </c>
      <c r="C3978" s="139" t="s">
        <v>21923</v>
      </c>
      <c r="D3978" s="51"/>
      <c r="E3978" s="857">
        <v>45.31</v>
      </c>
      <c r="F3978" s="156"/>
    </row>
    <row r="3979" spans="1:7">
      <c r="A3979" s="856">
        <v>40993</v>
      </c>
      <c r="B3979" s="125" t="str">
        <f>TiposLancamentos!B17</f>
        <v>GATO</v>
      </c>
      <c r="C3979" s="139" t="s">
        <v>10483</v>
      </c>
      <c r="D3979" s="51"/>
      <c r="E3979" s="857">
        <v>136.30000000000001</v>
      </c>
      <c r="F3979" s="156"/>
    </row>
    <row r="3980" spans="1:7">
      <c r="A3980" s="856">
        <v>40993</v>
      </c>
      <c r="B3980" s="125" t="str">
        <f>TiposLancamentos!B19</f>
        <v>Restaurantes</v>
      </c>
      <c r="C3980" s="139" t="s">
        <v>3225</v>
      </c>
      <c r="D3980" s="51"/>
      <c r="E3980" s="857">
        <v>18.5</v>
      </c>
      <c r="F3980" s="156"/>
    </row>
    <row r="3981" spans="1:7">
      <c r="A3981" s="856">
        <v>40998</v>
      </c>
      <c r="B3981" s="125" t="str">
        <f>TiposLancamentos!B95</f>
        <v>Salarios</v>
      </c>
      <c r="C3981" s="126" t="s">
        <v>4939</v>
      </c>
      <c r="D3981" s="51">
        <v>6025.75</v>
      </c>
      <c r="E3981" s="857"/>
      <c r="F3981" s="156"/>
    </row>
    <row r="3982" spans="1:7">
      <c r="A3982" s="856">
        <v>40998</v>
      </c>
      <c r="B3982" s="125" t="str">
        <f>TiposLancamentos!B16</f>
        <v>Cristiane</v>
      </c>
      <c r="C3982" s="139" t="s">
        <v>22692</v>
      </c>
      <c r="D3982" s="51"/>
      <c r="E3982" s="857">
        <v>54.4</v>
      </c>
      <c r="F3982" s="156"/>
    </row>
    <row r="3983" spans="1:7">
      <c r="A3983" s="856">
        <v>40998</v>
      </c>
      <c r="B3983" s="125" t="str">
        <f>TiposLancamentos!B16</f>
        <v>Cristiane</v>
      </c>
      <c r="C3983" s="139" t="s">
        <v>22753</v>
      </c>
      <c r="D3983" s="51"/>
      <c r="E3983" s="857">
        <v>69</v>
      </c>
      <c r="F3983" s="156"/>
    </row>
    <row r="3984" spans="1:7">
      <c r="A3984" s="856">
        <v>40998</v>
      </c>
      <c r="B3984" s="125" t="str">
        <f>TiposLancamentos!B6</f>
        <v>Energia Eletrica</v>
      </c>
      <c r="C3984" s="139" t="s">
        <v>5191</v>
      </c>
      <c r="D3984" s="51"/>
      <c r="E3984" s="857">
        <v>147.09</v>
      </c>
      <c r="F3984" s="156"/>
    </row>
    <row r="3985" spans="1:6">
      <c r="A3985" s="856">
        <v>40999</v>
      </c>
      <c r="B3985" s="125" t="str">
        <f>TiposLancamentos!B13</f>
        <v>Moradia</v>
      </c>
      <c r="C3985" s="139" t="s">
        <v>22754</v>
      </c>
      <c r="D3985" s="51"/>
      <c r="E3985" s="857">
        <v>50</v>
      </c>
      <c r="F3985" s="156"/>
    </row>
    <row r="3986" spans="1:6">
      <c r="A3986" s="856">
        <v>40999</v>
      </c>
      <c r="B3986" s="125" t="str">
        <f>TiposLancamentos!B19</f>
        <v>Restaurantes</v>
      </c>
      <c r="C3986" s="139" t="s">
        <v>18530</v>
      </c>
      <c r="D3986" s="51"/>
      <c r="E3986" s="857">
        <v>78.099999999999994</v>
      </c>
      <c r="F3986" s="156"/>
    </row>
    <row r="3987" spans="1:6" ht="14.25" thickBot="1">
      <c r="A3987" s="866">
        <v>40999</v>
      </c>
      <c r="B3987" s="867" t="str">
        <f>TiposLancamentos!B16</f>
        <v>Cristiane</v>
      </c>
      <c r="C3987" s="868" t="s">
        <v>22755</v>
      </c>
      <c r="D3987" s="869"/>
      <c r="E3987" s="870">
        <v>200</v>
      </c>
      <c r="F3987" s="156"/>
    </row>
    <row r="3988" spans="1:6">
      <c r="A3988" s="976"/>
      <c r="B3988" s="977"/>
      <c r="C3988" s="980" t="s">
        <v>5817</v>
      </c>
      <c r="D3988" s="979"/>
      <c r="E3988" s="971"/>
      <c r="F3988" s="156"/>
    </row>
    <row r="3989" spans="1:6">
      <c r="A3989" s="856">
        <v>41001</v>
      </c>
      <c r="B3989" s="125" t="str">
        <f>TiposLancamentos!B59</f>
        <v>Documentos</v>
      </c>
      <c r="C3989" s="139" t="s">
        <v>5439</v>
      </c>
      <c r="D3989" s="51"/>
      <c r="E3989" s="857">
        <v>350</v>
      </c>
      <c r="F3989" s="156"/>
    </row>
    <row r="3990" spans="1:6">
      <c r="A3990" s="856">
        <v>41001</v>
      </c>
      <c r="B3990" s="125" t="str">
        <f>TiposLancamentos!B15</f>
        <v>Cartões de Crédito</v>
      </c>
      <c r="C3990" s="139" t="s">
        <v>6240</v>
      </c>
      <c r="D3990" s="51"/>
      <c r="E3990" s="857">
        <v>695.73</v>
      </c>
      <c r="F3990" s="156"/>
    </row>
    <row r="3991" spans="1:6">
      <c r="A3991" s="858">
        <v>41001</v>
      </c>
      <c r="B3991" s="807" t="str">
        <f>TiposLancamentos!B8</f>
        <v>Aluguel</v>
      </c>
      <c r="C3991" s="808" t="s">
        <v>1682</v>
      </c>
      <c r="D3991" s="809"/>
      <c r="E3991" s="859">
        <f>F3993-E3993-E3992</f>
        <v>1196.05</v>
      </c>
      <c r="F3991" s="156"/>
    </row>
    <row r="3992" spans="1:6">
      <c r="A3992" s="860">
        <v>41001</v>
      </c>
      <c r="B3992" s="152" t="str">
        <f>TiposLancamentos!B12</f>
        <v>IPTU</v>
      </c>
      <c r="C3992" s="141" t="s">
        <v>22756</v>
      </c>
      <c r="D3992" s="127"/>
      <c r="E3992" s="861">
        <v>99.29</v>
      </c>
      <c r="F3992" s="156"/>
    </row>
    <row r="3993" spans="1:6">
      <c r="A3993" s="862">
        <v>41001</v>
      </c>
      <c r="B3993" s="811" t="str">
        <f>TiposLancamentos!B34</f>
        <v>Seguros</v>
      </c>
      <c r="C3993" s="812" t="s">
        <v>22757</v>
      </c>
      <c r="D3993" s="813"/>
      <c r="E3993" s="863">
        <v>480</v>
      </c>
      <c r="F3993" s="156">
        <f>1775.34</f>
        <v>1775.34</v>
      </c>
    </row>
    <row r="3994" spans="1:6">
      <c r="A3994" s="856">
        <v>41001</v>
      </c>
      <c r="B3994" s="125" t="str">
        <f>TiposLancamentos!B9</f>
        <v>Condominio</v>
      </c>
      <c r="C3994" s="139" t="s">
        <v>1684</v>
      </c>
      <c r="D3994" s="51"/>
      <c r="E3994" s="857">
        <v>757.48</v>
      </c>
      <c r="F3994" s="156"/>
    </row>
    <row r="3995" spans="1:6">
      <c r="A3995" s="856">
        <v>41001</v>
      </c>
      <c r="B3995" s="125" t="str">
        <f>TiposLancamentos!B3</f>
        <v>Internet</v>
      </c>
      <c r="C3995" s="139" t="s">
        <v>5838</v>
      </c>
      <c r="D3995" s="51"/>
      <c r="E3995" s="857">
        <v>59.89</v>
      </c>
      <c r="F3995" s="156"/>
    </row>
    <row r="3996" spans="1:6">
      <c r="A3996" s="858">
        <v>41001</v>
      </c>
      <c r="B3996" s="807" t="str">
        <f>TiposLancamentos!B35</f>
        <v>Tv à Cabo</v>
      </c>
      <c r="C3996" s="808" t="s">
        <v>5834</v>
      </c>
      <c r="D3996" s="809"/>
      <c r="E3996" s="859">
        <v>147.09</v>
      </c>
      <c r="F3996" s="156"/>
    </row>
    <row r="3997" spans="1:6">
      <c r="A3997" s="860">
        <v>41001</v>
      </c>
      <c r="B3997" s="152" t="str">
        <f>TiposLancamentos!B3</f>
        <v>Internet</v>
      </c>
      <c r="C3997" s="141" t="s">
        <v>5835</v>
      </c>
      <c r="D3997" s="127"/>
      <c r="E3997" s="861">
        <v>72.34</v>
      </c>
      <c r="F3997" s="156"/>
    </row>
    <row r="3998" spans="1:6">
      <c r="A3998" s="862">
        <v>41001</v>
      </c>
      <c r="B3998" s="811" t="str">
        <f>TiposLancamentos!B2</f>
        <v>Telefonia</v>
      </c>
      <c r="C3998" s="812" t="s">
        <v>5836</v>
      </c>
      <c r="D3998" s="813"/>
      <c r="E3998" s="863">
        <v>37.9</v>
      </c>
      <c r="F3998" s="156">
        <f>SUM(E3996:E3998)</f>
        <v>257.33</v>
      </c>
    </row>
    <row r="3999" spans="1:6">
      <c r="A3999" s="856">
        <v>41001</v>
      </c>
      <c r="B3999" s="125" t="str">
        <f>TiposLancamentos!B16</f>
        <v>Cristiane</v>
      </c>
      <c r="C3999" s="139" t="s">
        <v>22758</v>
      </c>
      <c r="D3999" s="51"/>
      <c r="E3999" s="857">
        <v>61.48</v>
      </c>
      <c r="F3999" s="156"/>
    </row>
    <row r="4000" spans="1:6">
      <c r="A4000" s="856">
        <v>41001</v>
      </c>
      <c r="B4000" s="125" t="str">
        <f>TiposLancamentos!B16</f>
        <v>Cristiane</v>
      </c>
      <c r="C4000" s="139" t="s">
        <v>22759</v>
      </c>
      <c r="D4000" s="51"/>
      <c r="E4000" s="857">
        <v>51.6</v>
      </c>
      <c r="F4000" s="156"/>
    </row>
    <row r="4001" spans="1:6">
      <c r="A4001" s="856">
        <v>41001</v>
      </c>
      <c r="B4001" s="125" t="str">
        <f>TiposLancamentos!B5</f>
        <v>Supermercado</v>
      </c>
      <c r="C4001" s="139" t="s">
        <v>22760</v>
      </c>
      <c r="D4001" s="51"/>
      <c r="E4001" s="857">
        <v>79.95</v>
      </c>
      <c r="F4001" s="156"/>
    </row>
    <row r="4002" spans="1:6">
      <c r="A4002" s="856">
        <v>41002</v>
      </c>
      <c r="B4002" s="125" t="str">
        <f>TiposLancamentos!B34</f>
        <v>Seguros</v>
      </c>
      <c r="C4002" s="139" t="s">
        <v>22761</v>
      </c>
      <c r="D4002" s="51"/>
      <c r="E4002" s="857">
        <v>69</v>
      </c>
      <c r="F4002" s="156"/>
    </row>
    <row r="4003" spans="1:6">
      <c r="A4003" s="856">
        <v>41003</v>
      </c>
      <c r="B4003" s="125" t="str">
        <f>TiposLancamentos!B22</f>
        <v>Combustivel</v>
      </c>
      <c r="C4003" s="139" t="s">
        <v>5961</v>
      </c>
      <c r="D4003" s="51"/>
      <c r="E4003" s="857">
        <v>116</v>
      </c>
      <c r="F4003" s="156"/>
    </row>
    <row r="4004" spans="1:6">
      <c r="A4004" s="856">
        <v>41004</v>
      </c>
      <c r="B4004" s="125" t="str">
        <f>TiposLancamentos!B5</f>
        <v>Supermercado</v>
      </c>
      <c r="C4004" s="139" t="s">
        <v>22117</v>
      </c>
      <c r="D4004" s="51"/>
      <c r="E4004" s="857">
        <v>27.99</v>
      </c>
      <c r="F4004" s="156"/>
    </row>
    <row r="4005" spans="1:6">
      <c r="A4005" s="856">
        <v>41005</v>
      </c>
      <c r="B4005" s="125" t="str">
        <f>TiposLancamentos!B5</f>
        <v>Supermercado</v>
      </c>
      <c r="C4005" s="139" t="s">
        <v>22762</v>
      </c>
      <c r="D4005" s="51"/>
      <c r="E4005" s="857">
        <v>157.69999999999999</v>
      </c>
      <c r="F4005" s="156"/>
    </row>
    <row r="4006" spans="1:6">
      <c r="A4006" s="858">
        <v>41006</v>
      </c>
      <c r="B4006" s="807" t="str">
        <f>TiposLancamentos!B13</f>
        <v>Moradia</v>
      </c>
      <c r="C4006" s="808" t="s">
        <v>22763</v>
      </c>
      <c r="D4006" s="809"/>
      <c r="E4006" s="859">
        <f>F4007-E4007</f>
        <v>259.90000000000003</v>
      </c>
      <c r="F4006" s="156"/>
    </row>
    <row r="4007" spans="1:6">
      <c r="A4007" s="862">
        <v>41006</v>
      </c>
      <c r="B4007" s="811" t="str">
        <f>TiposLancamentos!B17</f>
        <v>GATO</v>
      </c>
      <c r="C4007" s="812" t="s">
        <v>22764</v>
      </c>
      <c r="D4007" s="813"/>
      <c r="E4007" s="863">
        <v>9.9</v>
      </c>
      <c r="F4007" s="156">
        <f>269.8</f>
        <v>269.8</v>
      </c>
    </row>
    <row r="4008" spans="1:6">
      <c r="A4008" s="856">
        <v>41006</v>
      </c>
      <c r="B4008" s="125" t="str">
        <f>TiposLancamentos!B5</f>
        <v>Supermercado</v>
      </c>
      <c r="C4008" s="139" t="s">
        <v>22765</v>
      </c>
      <c r="D4008" s="51"/>
      <c r="E4008" s="857">
        <v>23.54</v>
      </c>
      <c r="F4008" s="156"/>
    </row>
    <row r="4009" spans="1:6">
      <c r="A4009" s="856">
        <v>41007</v>
      </c>
      <c r="B4009" s="125" t="str">
        <f>TiposLancamentos!B5</f>
        <v>Supermercado</v>
      </c>
      <c r="C4009" s="139" t="s">
        <v>22766</v>
      </c>
      <c r="D4009" s="51"/>
      <c r="E4009" s="857">
        <v>102.64</v>
      </c>
      <c r="F4009" s="156"/>
    </row>
    <row r="4010" spans="1:6">
      <c r="A4010" s="858">
        <v>41008</v>
      </c>
      <c r="B4010" s="807" t="str">
        <f>TiposLancamentos!B32</f>
        <v>Clinicas e tratamentos</v>
      </c>
      <c r="C4010" s="808" t="s">
        <v>22767</v>
      </c>
      <c r="D4010" s="809"/>
      <c r="E4010" s="859">
        <v>534.47</v>
      </c>
      <c r="F4010" s="156"/>
    </row>
    <row r="4011" spans="1:6">
      <c r="A4011" s="862">
        <v>41008</v>
      </c>
      <c r="B4011" s="811" t="str">
        <f>TiposLancamentos!B16</f>
        <v>Cristiane</v>
      </c>
      <c r="C4011" s="812" t="s">
        <v>22767</v>
      </c>
      <c r="D4011" s="813"/>
      <c r="E4011" s="863">
        <v>534.47</v>
      </c>
      <c r="F4011" s="156">
        <f>SUM(E4010:E4011)</f>
        <v>1068.94</v>
      </c>
    </row>
    <row r="4012" spans="1:6">
      <c r="A4012" s="856">
        <v>41008</v>
      </c>
      <c r="B4012" s="125" t="str">
        <f>TiposLancamentos!B16</f>
        <v>Cristiane</v>
      </c>
      <c r="C4012" s="139" t="s">
        <v>22768</v>
      </c>
      <c r="D4012" s="51"/>
      <c r="E4012" s="857">
        <v>300</v>
      </c>
      <c r="F4012" s="156"/>
    </row>
    <row r="4013" spans="1:6">
      <c r="A4013" s="856">
        <v>41011</v>
      </c>
      <c r="B4013" s="125" t="str">
        <f>TiposLancamentos!B20</f>
        <v>Saques</v>
      </c>
      <c r="C4013" s="139" t="s">
        <v>2655</v>
      </c>
      <c r="D4013" s="51"/>
      <c r="E4013" s="857">
        <v>170</v>
      </c>
      <c r="F4013" s="156"/>
    </row>
    <row r="4014" spans="1:6">
      <c r="A4014" s="856">
        <v>41012</v>
      </c>
      <c r="B4014" s="125" t="str">
        <f>TiposLancamentos!B95</f>
        <v>Salarios</v>
      </c>
      <c r="C4014" s="139" t="s">
        <v>4916</v>
      </c>
      <c r="D4014" s="51">
        <v>2110.15</v>
      </c>
      <c r="E4014" s="857"/>
      <c r="F4014" s="156"/>
    </row>
    <row r="4015" spans="1:6">
      <c r="A4015" s="858">
        <v>41012</v>
      </c>
      <c r="B4015" s="807" t="str">
        <f>TiposLancamentos!B19</f>
        <v>Restaurantes</v>
      </c>
      <c r="C4015" s="808" t="s">
        <v>6468</v>
      </c>
      <c r="D4015" s="809"/>
      <c r="E4015" s="859">
        <f>F4016-E4016</f>
        <v>100.43</v>
      </c>
      <c r="F4015" s="156"/>
    </row>
    <row r="4016" spans="1:6">
      <c r="A4016" s="862">
        <v>41012</v>
      </c>
      <c r="B4016" s="811" t="str">
        <f>TiposLancamentos!B24</f>
        <v>Estacionamentos</v>
      </c>
      <c r="C4016" s="812" t="s">
        <v>22769</v>
      </c>
      <c r="D4016" s="813"/>
      <c r="E4016" s="863">
        <v>19</v>
      </c>
      <c r="F4016" s="156">
        <v>119.43</v>
      </c>
    </row>
    <row r="4017" spans="1:6">
      <c r="A4017" s="856">
        <v>41013</v>
      </c>
      <c r="B4017" s="125" t="str">
        <f>TiposLancamentos!B16</f>
        <v>Cristiane</v>
      </c>
      <c r="C4017" s="139" t="s">
        <v>22770</v>
      </c>
      <c r="D4017" s="51"/>
      <c r="E4017" s="857">
        <v>200</v>
      </c>
      <c r="F4017" s="156"/>
    </row>
    <row r="4018" spans="1:6">
      <c r="A4018" s="858">
        <v>41013</v>
      </c>
      <c r="B4018" s="807" t="str">
        <f>TiposLancamentos!B56</f>
        <v>Farmácia</v>
      </c>
      <c r="C4018" s="808" t="s">
        <v>6118</v>
      </c>
      <c r="D4018" s="809"/>
      <c r="E4018" s="859">
        <f>F4019-E4019</f>
        <v>98.13</v>
      </c>
      <c r="F4018" s="156"/>
    </row>
    <row r="4019" spans="1:6">
      <c r="A4019" s="862">
        <v>41013</v>
      </c>
      <c r="B4019" s="811" t="str">
        <f>TiposLancamentos!B16</f>
        <v>Cristiane</v>
      </c>
      <c r="C4019" s="812" t="s">
        <v>22771</v>
      </c>
      <c r="D4019" s="813"/>
      <c r="E4019" s="863">
        <f>F4019/2</f>
        <v>98.13</v>
      </c>
      <c r="F4019" s="156">
        <v>196.26</v>
      </c>
    </row>
    <row r="4020" spans="1:6">
      <c r="A4020" s="856">
        <v>41014</v>
      </c>
      <c r="B4020" s="125" t="str">
        <f>TiposLancamentos!B5</f>
        <v>Supermercado</v>
      </c>
      <c r="C4020" s="139" t="s">
        <v>22772</v>
      </c>
      <c r="D4020" s="51"/>
      <c r="E4020" s="857">
        <v>48.66</v>
      </c>
      <c r="F4020" s="156"/>
    </row>
    <row r="4021" spans="1:6">
      <c r="A4021" s="923">
        <v>41015</v>
      </c>
      <c r="B4021" s="830" t="str">
        <f>TiposLancamentos!B33</f>
        <v>Pedágios</v>
      </c>
      <c r="C4021" s="915" t="s">
        <v>5392</v>
      </c>
      <c r="D4021" s="917"/>
      <c r="E4021" s="920">
        <v>11.9</v>
      </c>
    </row>
    <row r="4022" spans="1:6">
      <c r="A4022" s="924">
        <v>41015</v>
      </c>
      <c r="B4022" s="833" t="str">
        <f>TiposLancamentos!B24</f>
        <v>Estacionamentos</v>
      </c>
      <c r="C4022" s="916" t="s">
        <v>5863</v>
      </c>
      <c r="D4022" s="918"/>
      <c r="E4022" s="922">
        <v>9</v>
      </c>
      <c r="F4022" s="156">
        <f>SUM(E4021:E4022)</f>
        <v>20.9</v>
      </c>
    </row>
    <row r="4023" spans="1:6">
      <c r="A4023" s="856">
        <v>41017</v>
      </c>
      <c r="B4023" s="125" t="str">
        <f>TiposLancamentos!B16</f>
        <v>Cristiane</v>
      </c>
      <c r="C4023" s="139" t="s">
        <v>22773</v>
      </c>
      <c r="D4023" s="51"/>
      <c r="E4023" s="857">
        <v>190</v>
      </c>
      <c r="F4023" s="156"/>
    </row>
    <row r="4024" spans="1:6">
      <c r="A4024" s="856">
        <v>41017</v>
      </c>
      <c r="B4024" s="125" t="str">
        <f>TiposLancamentos!B16</f>
        <v>Cristiane</v>
      </c>
      <c r="C4024" s="139" t="s">
        <v>1779</v>
      </c>
      <c r="D4024" s="51"/>
      <c r="E4024" s="857">
        <v>22.55</v>
      </c>
      <c r="F4024" s="156"/>
    </row>
    <row r="4025" spans="1:6">
      <c r="A4025" s="856">
        <v>41018</v>
      </c>
      <c r="B4025" s="125" t="str">
        <f>TiposLancamentos!B5</f>
        <v>Supermercado</v>
      </c>
      <c r="C4025" s="139" t="s">
        <v>22774</v>
      </c>
      <c r="D4025" s="51"/>
      <c r="E4025" s="857">
        <v>43.69</v>
      </c>
      <c r="F4025" s="156"/>
    </row>
    <row r="4026" spans="1:6">
      <c r="A4026" s="856">
        <v>41020</v>
      </c>
      <c r="B4026" s="125" t="str">
        <f>TiposLancamentos!B19</f>
        <v>Restaurantes</v>
      </c>
      <c r="C4026" s="139" t="s">
        <v>22775</v>
      </c>
      <c r="D4026" s="51"/>
      <c r="E4026" s="857">
        <v>90.75</v>
      </c>
      <c r="F4026" s="156"/>
    </row>
    <row r="4027" spans="1:6">
      <c r="A4027" s="856">
        <v>41020</v>
      </c>
      <c r="B4027" s="125" t="str">
        <f>TiposLancamentos!B16</f>
        <v>Cristiane</v>
      </c>
      <c r="C4027" s="139" t="s">
        <v>3146</v>
      </c>
      <c r="D4027" s="51"/>
      <c r="E4027" s="857">
        <v>200</v>
      </c>
      <c r="F4027" s="156"/>
    </row>
    <row r="4028" spans="1:6">
      <c r="A4028" s="856">
        <v>41022</v>
      </c>
      <c r="B4028" s="125" t="str">
        <f>TiposLancamentos!B22</f>
        <v>Combustivel</v>
      </c>
      <c r="C4028" s="139" t="s">
        <v>5961</v>
      </c>
      <c r="D4028" s="51"/>
      <c r="E4028" s="857">
        <v>116.05</v>
      </c>
      <c r="F4028" s="156"/>
    </row>
    <row r="4029" spans="1:6">
      <c r="A4029" s="856">
        <v>41022</v>
      </c>
      <c r="B4029" s="125" t="str">
        <f>TiposLancamentos!B16</f>
        <v>Cristiane</v>
      </c>
      <c r="C4029" s="139" t="s">
        <v>22776</v>
      </c>
      <c r="D4029" s="51"/>
      <c r="E4029" s="857">
        <v>30.99</v>
      </c>
      <c r="F4029" s="156"/>
    </row>
    <row r="4030" spans="1:6">
      <c r="A4030" s="856">
        <v>41023</v>
      </c>
      <c r="B4030" s="125" t="str">
        <f>TiposLancamentos!B5</f>
        <v>Supermercado</v>
      </c>
      <c r="C4030" s="139" t="s">
        <v>22777</v>
      </c>
      <c r="D4030" s="51"/>
      <c r="E4030" s="857">
        <v>95.78</v>
      </c>
      <c r="F4030" s="156"/>
    </row>
    <row r="4031" spans="1:6">
      <c r="A4031" s="856">
        <v>41024</v>
      </c>
      <c r="B4031" s="125" t="str">
        <f>TiposLancamentos!B5</f>
        <v>Supermercado</v>
      </c>
      <c r="C4031" s="139" t="s">
        <v>22117</v>
      </c>
      <c r="D4031" s="51"/>
      <c r="E4031" s="857">
        <v>185.1</v>
      </c>
      <c r="F4031" s="156"/>
    </row>
    <row r="4032" spans="1:6">
      <c r="A4032" s="858">
        <v>41027</v>
      </c>
      <c r="B4032" s="807" t="str">
        <f>TiposLancamentos!B16</f>
        <v>Cristiane</v>
      </c>
      <c r="C4032" s="808" t="s">
        <v>22635</v>
      </c>
      <c r="D4032" s="809"/>
      <c r="E4032" s="859">
        <f>F4033-E4033</f>
        <v>244.45000000000002</v>
      </c>
      <c r="F4032" s="156"/>
    </row>
    <row r="4033" spans="1:6">
      <c r="A4033" s="862">
        <v>41027</v>
      </c>
      <c r="B4033" s="811" t="str">
        <f>TiposLancamentos!B71</f>
        <v>Itens Pessoais</v>
      </c>
      <c r="C4033" s="812" t="s">
        <v>22778</v>
      </c>
      <c r="D4033" s="813"/>
      <c r="E4033" s="863">
        <v>24.1</v>
      </c>
      <c r="F4033" s="156">
        <v>268.55</v>
      </c>
    </row>
    <row r="4034" spans="1:6">
      <c r="A4034" s="856">
        <v>41027</v>
      </c>
      <c r="B4034" s="125" t="str">
        <f>TiposLancamentos!B19</f>
        <v>Restaurantes</v>
      </c>
      <c r="C4034" s="139" t="s">
        <v>22779</v>
      </c>
      <c r="D4034" s="51"/>
      <c r="E4034" s="857">
        <v>40.5</v>
      </c>
      <c r="F4034" s="156"/>
    </row>
    <row r="4035" spans="1:6">
      <c r="A4035" s="856">
        <v>41028</v>
      </c>
      <c r="B4035" s="125" t="str">
        <f>TiposLancamentos!B19</f>
        <v>Restaurantes</v>
      </c>
      <c r="C4035" s="139" t="s">
        <v>22780</v>
      </c>
      <c r="D4035" s="51"/>
      <c r="E4035" s="857">
        <v>104.06</v>
      </c>
      <c r="F4035" s="156"/>
    </row>
    <row r="4036" spans="1:6">
      <c r="A4036" s="856">
        <v>41028</v>
      </c>
      <c r="B4036" s="125" t="str">
        <f>TiposLancamentos!B16</f>
        <v>Cristiane</v>
      </c>
      <c r="C4036" s="139" t="s">
        <v>3509</v>
      </c>
      <c r="D4036" s="51"/>
      <c r="E4036" s="857">
        <v>45.4</v>
      </c>
      <c r="F4036" s="156"/>
    </row>
    <row r="4037" spans="1:6">
      <c r="A4037" s="856">
        <v>41029</v>
      </c>
      <c r="B4037" s="125" t="str">
        <f>TiposLancamentos!B95</f>
        <v>Salarios</v>
      </c>
      <c r="C4037" s="126" t="s">
        <v>4939</v>
      </c>
      <c r="D4037" s="51">
        <v>7383</v>
      </c>
      <c r="E4037" s="857"/>
      <c r="F4037" s="156"/>
    </row>
    <row r="4038" spans="1:6" ht="14.25" thickBot="1">
      <c r="A4038" s="866">
        <v>41029</v>
      </c>
      <c r="B4038" s="867" t="str">
        <f>TiposLancamentos!B43</f>
        <v>Imposto de Renda</v>
      </c>
      <c r="C4038" s="868" t="s">
        <v>22781</v>
      </c>
      <c r="D4038" s="869"/>
      <c r="E4038" s="870">
        <v>386.13</v>
      </c>
      <c r="F4038" s="156"/>
    </row>
    <row r="4039" spans="1:6">
      <c r="A4039" s="976"/>
      <c r="B4039" s="977"/>
      <c r="C4039" s="980" t="s">
        <v>5819</v>
      </c>
      <c r="D4039" s="979"/>
      <c r="E4039" s="971"/>
      <c r="F4039" s="156"/>
    </row>
    <row r="4040" spans="1:6">
      <c r="A4040" s="856">
        <v>41030</v>
      </c>
      <c r="B4040" s="125" t="str">
        <f>TiposLancamentos!B5</f>
        <v>Supermercado</v>
      </c>
      <c r="C4040" s="139" t="s">
        <v>22782</v>
      </c>
      <c r="D4040" s="51"/>
      <c r="E4040" s="857">
        <v>32.270000000000003</v>
      </c>
      <c r="F4040" s="156"/>
    </row>
    <row r="4041" spans="1:6">
      <c r="A4041" s="856">
        <v>41031</v>
      </c>
      <c r="B4041" s="125" t="str">
        <f>TiposLancamentos!B15</f>
        <v>Cartões de Crédito</v>
      </c>
      <c r="C4041" s="139" t="s">
        <v>6240</v>
      </c>
      <c r="D4041" s="51"/>
      <c r="E4041" s="857">
        <v>855.46</v>
      </c>
      <c r="F4041" s="156"/>
    </row>
    <row r="4042" spans="1:6">
      <c r="A4042" s="858">
        <v>41031</v>
      </c>
      <c r="B4042" s="807" t="str">
        <f>TiposLancamentos!B8</f>
        <v>Aluguel</v>
      </c>
      <c r="C4042" s="808" t="s">
        <v>1682</v>
      </c>
      <c r="D4042" s="809"/>
      <c r="E4042" s="859">
        <v>1234.67</v>
      </c>
      <c r="F4042" s="156"/>
    </row>
    <row r="4043" spans="1:6">
      <c r="A4043" s="860">
        <v>41031</v>
      </c>
      <c r="B4043" s="152" t="str">
        <f>TiposLancamentos!B12</f>
        <v>IPTU</v>
      </c>
      <c r="C4043" s="141" t="s">
        <v>22783</v>
      </c>
      <c r="D4043" s="127"/>
      <c r="E4043" s="861">
        <v>99.29</v>
      </c>
      <c r="F4043" s="156"/>
    </row>
    <row r="4044" spans="1:6">
      <c r="A4044" s="862">
        <v>41031</v>
      </c>
      <c r="B4044" s="811" t="str">
        <f>TiposLancamentos!B34</f>
        <v>Seguros</v>
      </c>
      <c r="C4044" s="812" t="s">
        <v>22784</v>
      </c>
      <c r="D4044" s="813"/>
      <c r="E4044" s="863">
        <v>480</v>
      </c>
      <c r="F4044" s="156">
        <f>SUM(E4042:E4044)</f>
        <v>1813.96</v>
      </c>
    </row>
    <row r="4045" spans="1:6">
      <c r="A4045" s="856">
        <v>41031</v>
      </c>
      <c r="B4045" s="125" t="str">
        <f>TiposLancamentos!B9</f>
        <v>Condominio</v>
      </c>
      <c r="C4045" s="139" t="s">
        <v>1684</v>
      </c>
      <c r="D4045" s="51"/>
      <c r="E4045" s="857">
        <v>765.46</v>
      </c>
      <c r="F4045" s="156"/>
    </row>
    <row r="4046" spans="1:6">
      <c r="A4046" s="856">
        <v>41031</v>
      </c>
      <c r="B4046" s="125" t="str">
        <f>TiposLancamentos!B3</f>
        <v>Internet</v>
      </c>
      <c r="C4046" s="139" t="s">
        <v>5838</v>
      </c>
      <c r="D4046" s="51"/>
      <c r="E4046" s="857">
        <v>59.9</v>
      </c>
      <c r="F4046" s="156"/>
    </row>
    <row r="4047" spans="1:6">
      <c r="A4047" s="856">
        <v>41031</v>
      </c>
      <c r="B4047" s="125" t="str">
        <f>TiposLancamentos!B6</f>
        <v>Energia Eletrica</v>
      </c>
      <c r="C4047" s="139" t="s">
        <v>21858</v>
      </c>
      <c r="D4047" s="51"/>
      <c r="E4047" s="857">
        <v>137.6</v>
      </c>
      <c r="F4047" s="156"/>
    </row>
    <row r="4048" spans="1:6">
      <c r="A4048" s="858">
        <v>41031</v>
      </c>
      <c r="B4048" s="807" t="str">
        <f>TiposLancamentos!B35</f>
        <v>Tv à Cabo</v>
      </c>
      <c r="C4048" s="808" t="s">
        <v>5834</v>
      </c>
      <c r="D4048" s="809"/>
      <c r="E4048" s="859">
        <v>147.09</v>
      </c>
      <c r="F4048" s="156"/>
    </row>
    <row r="4049" spans="1:6">
      <c r="A4049" s="860">
        <v>41031</v>
      </c>
      <c r="B4049" s="152" t="str">
        <f>TiposLancamentos!B3</f>
        <v>Internet</v>
      </c>
      <c r="C4049" s="141" t="s">
        <v>5835</v>
      </c>
      <c r="D4049" s="127"/>
      <c r="E4049" s="861">
        <v>72.34</v>
      </c>
      <c r="F4049" s="156"/>
    </row>
    <row r="4050" spans="1:6">
      <c r="A4050" s="862">
        <v>41031</v>
      </c>
      <c r="B4050" s="811" t="str">
        <f>TiposLancamentos!B2</f>
        <v>Telefonia</v>
      </c>
      <c r="C4050" s="812" t="s">
        <v>5836</v>
      </c>
      <c r="D4050" s="813"/>
      <c r="E4050" s="863">
        <v>37.909999999999997</v>
      </c>
      <c r="F4050" s="156">
        <f>SUM(E4048:E4050)</f>
        <v>257.34000000000003</v>
      </c>
    </row>
    <row r="4051" spans="1:6">
      <c r="A4051" s="856">
        <v>41031</v>
      </c>
      <c r="B4051" s="125" t="str">
        <f>TiposLancamentos!B4</f>
        <v>Taxas Bancarias</v>
      </c>
      <c r="C4051" s="139" t="s">
        <v>22785</v>
      </c>
      <c r="D4051" s="51"/>
      <c r="E4051" s="857">
        <v>0.63</v>
      </c>
      <c r="F4051" s="156"/>
    </row>
    <row r="4052" spans="1:6">
      <c r="A4052" s="858">
        <v>41033</v>
      </c>
      <c r="B4052" s="807" t="str">
        <f>TiposLancamentos!B16</f>
        <v>Cristiane</v>
      </c>
      <c r="C4052" s="808" t="s">
        <v>22786</v>
      </c>
      <c r="D4052" s="809"/>
      <c r="E4052" s="859">
        <f>F4053-E4053</f>
        <v>98.410000000000011</v>
      </c>
      <c r="F4052" s="156"/>
    </row>
    <row r="4053" spans="1:6">
      <c r="A4053" s="862">
        <v>41033</v>
      </c>
      <c r="B4053" s="811" t="str">
        <f>TiposLancamentos!B57</f>
        <v>Informática</v>
      </c>
      <c r="C4053" s="812" t="s">
        <v>22787</v>
      </c>
      <c r="D4053" s="813"/>
      <c r="E4053" s="863">
        <v>26.99</v>
      </c>
      <c r="F4053" s="156">
        <v>125.4</v>
      </c>
    </row>
    <row r="4054" spans="1:6">
      <c r="A4054" s="856">
        <v>41033</v>
      </c>
      <c r="B4054" s="125" t="str">
        <f>TiposLancamentos!B56</f>
        <v>Farmácia</v>
      </c>
      <c r="C4054" s="139" t="s">
        <v>22788</v>
      </c>
      <c r="D4054" s="51"/>
      <c r="E4054" s="857">
        <v>16.850000000000001</v>
      </c>
      <c r="F4054" s="156"/>
    </row>
    <row r="4055" spans="1:6">
      <c r="A4055" s="858">
        <v>41033</v>
      </c>
      <c r="B4055" s="807" t="str">
        <f>TiposLancamentos!B19</f>
        <v>Restaurantes</v>
      </c>
      <c r="C4055" s="808" t="s">
        <v>6307</v>
      </c>
      <c r="D4055" s="809"/>
      <c r="E4055" s="859">
        <f>F4056-E4056</f>
        <v>126.16999999999999</v>
      </c>
      <c r="F4055" s="156"/>
    </row>
    <row r="4056" spans="1:6">
      <c r="A4056" s="862">
        <v>41033</v>
      </c>
      <c r="B4056" s="811" t="str">
        <f>TiposLancamentos!B24</f>
        <v>Estacionamentos</v>
      </c>
      <c r="C4056" s="812" t="s">
        <v>22789</v>
      </c>
      <c r="D4056" s="813"/>
      <c r="E4056" s="863">
        <v>19</v>
      </c>
      <c r="F4056" s="156">
        <v>145.16999999999999</v>
      </c>
    </row>
    <row r="4057" spans="1:6">
      <c r="A4057" s="856">
        <v>41034</v>
      </c>
      <c r="B4057" s="125" t="str">
        <f>TiposLancamentos!B17</f>
        <v>GATO</v>
      </c>
      <c r="C4057" s="139" t="s">
        <v>22790</v>
      </c>
      <c r="D4057" s="51"/>
      <c r="E4057" s="857">
        <v>32.450000000000003</v>
      </c>
      <c r="F4057" s="156"/>
    </row>
    <row r="4058" spans="1:6">
      <c r="A4058" s="856">
        <v>41034</v>
      </c>
      <c r="B4058" s="125" t="str">
        <f>TiposLancamentos!B20</f>
        <v>Saques</v>
      </c>
      <c r="C4058" s="139" t="s">
        <v>22791</v>
      </c>
      <c r="D4058" s="51"/>
      <c r="E4058" s="857">
        <v>70</v>
      </c>
      <c r="F4058" s="156"/>
    </row>
    <row r="4059" spans="1:6">
      <c r="A4059" s="856">
        <v>41034</v>
      </c>
      <c r="B4059" s="125" t="str">
        <f>TiposLancamentos!B5</f>
        <v>Supermercado</v>
      </c>
      <c r="C4059" s="139" t="s">
        <v>4251</v>
      </c>
      <c r="D4059" s="51"/>
      <c r="E4059" s="857">
        <v>62.53</v>
      </c>
      <c r="F4059" s="156"/>
    </row>
    <row r="4060" spans="1:6">
      <c r="A4060" s="856">
        <v>41036</v>
      </c>
      <c r="B4060" s="125" t="str">
        <f>TiposLancamentos!B19</f>
        <v>Restaurantes</v>
      </c>
      <c r="C4060" s="139" t="s">
        <v>22792</v>
      </c>
      <c r="D4060" s="51"/>
      <c r="E4060" s="857">
        <v>40.799999999999997</v>
      </c>
      <c r="F4060" s="156"/>
    </row>
    <row r="4061" spans="1:6">
      <c r="A4061" s="856">
        <v>41036</v>
      </c>
      <c r="B4061" s="125" t="str">
        <f>TiposLancamentos!B74</f>
        <v>Noite</v>
      </c>
      <c r="C4061" s="139" t="s">
        <v>4027</v>
      </c>
      <c r="D4061" s="51"/>
      <c r="E4061" s="857">
        <v>55</v>
      </c>
      <c r="F4061" s="156"/>
    </row>
    <row r="4062" spans="1:6">
      <c r="A4062" s="856">
        <v>41037</v>
      </c>
      <c r="B4062" s="125" t="str">
        <f>TiposLancamentos!B19</f>
        <v>Restaurantes</v>
      </c>
      <c r="C4062" s="139" t="s">
        <v>22793</v>
      </c>
      <c r="D4062" s="51"/>
      <c r="E4062" s="857">
        <v>26.7</v>
      </c>
      <c r="F4062" s="156"/>
    </row>
    <row r="4063" spans="1:6">
      <c r="A4063" s="856">
        <v>41037</v>
      </c>
      <c r="B4063" s="125" t="str">
        <f>TiposLancamentos!B87</f>
        <v>P207-1.6-XS</v>
      </c>
      <c r="C4063" s="139" t="s">
        <v>22794</v>
      </c>
      <c r="D4063" s="51"/>
      <c r="E4063" s="857">
        <v>130</v>
      </c>
      <c r="F4063" s="156"/>
    </row>
    <row r="4064" spans="1:6">
      <c r="A4064" s="858">
        <v>41038</v>
      </c>
      <c r="B4064" s="807" t="str">
        <f>TiposLancamentos!B22</f>
        <v>Combustivel</v>
      </c>
      <c r="C4064" s="808" t="s">
        <v>5961</v>
      </c>
      <c r="D4064" s="809"/>
      <c r="E4064" s="859">
        <v>100.03</v>
      </c>
      <c r="F4064" s="156"/>
    </row>
    <row r="4065" spans="1:6">
      <c r="A4065" s="862">
        <v>41038</v>
      </c>
      <c r="B4065" s="811" t="str">
        <f>TiposLancamentos!B87</f>
        <v>P207-1.6-XS</v>
      </c>
      <c r="C4065" s="812" t="s">
        <v>22795</v>
      </c>
      <c r="D4065" s="813"/>
      <c r="E4065" s="863">
        <f>F4065-E4064</f>
        <v>55.669999999999987</v>
      </c>
      <c r="F4065" s="156">
        <f>155.7</f>
        <v>155.69999999999999</v>
      </c>
    </row>
    <row r="4066" spans="1:6">
      <c r="A4066" s="856">
        <v>41038</v>
      </c>
      <c r="B4066" s="125" t="str">
        <f>TiposLancamentos!B56</f>
        <v>Farmácia</v>
      </c>
      <c r="C4066" s="139" t="s">
        <v>22796</v>
      </c>
      <c r="D4066" s="51"/>
      <c r="E4066" s="857">
        <v>26.97</v>
      </c>
      <c r="F4066" s="156"/>
    </row>
    <row r="4067" spans="1:6">
      <c r="A4067" s="856">
        <v>41038</v>
      </c>
      <c r="B4067" s="125" t="str">
        <f>TiposLancamentos!B20</f>
        <v>Saques</v>
      </c>
      <c r="C4067" s="139" t="s">
        <v>4149</v>
      </c>
      <c r="D4067" s="51"/>
      <c r="E4067" s="857">
        <v>20</v>
      </c>
      <c r="F4067" s="156"/>
    </row>
    <row r="4068" spans="1:6">
      <c r="A4068" s="856">
        <v>41039</v>
      </c>
      <c r="B4068" s="125" t="str">
        <f>TiposLancamentos!B19</f>
        <v>Restaurantes</v>
      </c>
      <c r="C4068" s="139" t="s">
        <v>22797</v>
      </c>
      <c r="D4068" s="51"/>
      <c r="E4068" s="857">
        <v>28.5</v>
      </c>
      <c r="F4068" s="156"/>
    </row>
    <row r="4069" spans="1:6">
      <c r="A4069" s="856">
        <v>41040</v>
      </c>
      <c r="B4069" s="125" t="str">
        <f>TiposLancamentos!B22</f>
        <v>Combustivel</v>
      </c>
      <c r="C4069" s="139" t="s">
        <v>22479</v>
      </c>
      <c r="D4069" s="51"/>
      <c r="E4069" s="857">
        <v>62.02</v>
      </c>
      <c r="F4069" s="156"/>
    </row>
    <row r="4070" spans="1:6">
      <c r="A4070" s="856">
        <v>41040</v>
      </c>
      <c r="B4070" s="125" t="str">
        <f>TiposLancamentos!B19</f>
        <v>Restaurantes</v>
      </c>
      <c r="C4070" s="139" t="s">
        <v>22798</v>
      </c>
      <c r="D4070" s="51"/>
      <c r="E4070" s="857">
        <v>4.3</v>
      </c>
      <c r="F4070" s="156"/>
    </row>
    <row r="4071" spans="1:6">
      <c r="A4071" s="856">
        <v>41040</v>
      </c>
      <c r="B4071" s="125" t="str">
        <f>TiposLancamentos!B19</f>
        <v>Restaurantes</v>
      </c>
      <c r="C4071" s="139" t="s">
        <v>22799</v>
      </c>
      <c r="D4071" s="51"/>
      <c r="E4071" s="857">
        <v>64.349999999999994</v>
      </c>
      <c r="F4071" s="156"/>
    </row>
    <row r="4072" spans="1:6">
      <c r="A4072" s="856">
        <v>41040</v>
      </c>
      <c r="B4072" s="125" t="str">
        <f>TiposLancamentos!B19</f>
        <v>Restaurantes</v>
      </c>
      <c r="C4072" s="139" t="s">
        <v>22800</v>
      </c>
      <c r="D4072" s="51"/>
      <c r="E4072" s="857">
        <v>49.06</v>
      </c>
      <c r="F4072" s="156"/>
    </row>
    <row r="4073" spans="1:6">
      <c r="A4073" s="856">
        <v>41041</v>
      </c>
      <c r="B4073" s="125" t="str">
        <f>TiposLancamentos!B16</f>
        <v>Cristiane</v>
      </c>
      <c r="C4073" s="139" t="s">
        <v>19057</v>
      </c>
      <c r="D4073" s="51"/>
      <c r="E4073" s="857">
        <v>130</v>
      </c>
      <c r="F4073" s="156"/>
    </row>
    <row r="4074" spans="1:6">
      <c r="A4074" s="856">
        <v>41041</v>
      </c>
      <c r="B4074" s="125" t="str">
        <f>TiposLancamentos!B19</f>
        <v>Restaurantes</v>
      </c>
      <c r="C4074" s="139" t="s">
        <v>22801</v>
      </c>
      <c r="D4074" s="51"/>
      <c r="E4074" s="857">
        <v>46.3</v>
      </c>
      <c r="F4074" s="156"/>
    </row>
    <row r="4075" spans="1:6">
      <c r="A4075" s="858">
        <v>41042</v>
      </c>
      <c r="B4075" s="817" t="str">
        <f>TiposLancamentos!B22</f>
        <v>Combustivel</v>
      </c>
      <c r="C4075" s="808" t="s">
        <v>22802</v>
      </c>
      <c r="D4075" s="809"/>
      <c r="E4075" s="859">
        <v>102.48</v>
      </c>
      <c r="F4075" s="156"/>
    </row>
    <row r="4076" spans="1:6">
      <c r="A4076" s="862">
        <v>41042</v>
      </c>
      <c r="B4076" s="818" t="str">
        <f>TiposLancamentos!B19</f>
        <v>Restaurantes</v>
      </c>
      <c r="C4076" s="812" t="s">
        <v>3959</v>
      </c>
      <c r="D4076" s="813"/>
      <c r="E4076" s="863">
        <f>F4076-E4075</f>
        <v>2.019999999999996</v>
      </c>
      <c r="F4076" s="156">
        <v>104.5</v>
      </c>
    </row>
    <row r="4077" spans="1:6">
      <c r="A4077" s="856">
        <v>41042</v>
      </c>
      <c r="B4077" s="125" t="str">
        <f>TiposLancamentos!B19</f>
        <v>Restaurantes</v>
      </c>
      <c r="C4077" s="139" t="s">
        <v>22803</v>
      </c>
      <c r="D4077" s="51"/>
      <c r="E4077" s="857">
        <v>21</v>
      </c>
      <c r="F4077" s="156"/>
    </row>
    <row r="4078" spans="1:6">
      <c r="A4078" s="856">
        <v>41042</v>
      </c>
      <c r="B4078" s="125" t="str">
        <f>TiposLancamentos!B22</f>
        <v>Combustivel</v>
      </c>
      <c r="C4078" s="139" t="s">
        <v>22479</v>
      </c>
      <c r="D4078" s="51"/>
      <c r="E4078" s="857">
        <v>90</v>
      </c>
      <c r="F4078" s="156"/>
    </row>
    <row r="4079" spans="1:6">
      <c r="A4079" s="856">
        <v>41042</v>
      </c>
      <c r="B4079" s="125" t="str">
        <f>TiposLancamentos!B5</f>
        <v>Supermercado</v>
      </c>
      <c r="C4079" s="139" t="s">
        <v>22804</v>
      </c>
      <c r="D4079" s="51"/>
      <c r="E4079" s="857">
        <v>32.83</v>
      </c>
      <c r="F4079" s="156"/>
    </row>
    <row r="4080" spans="1:6">
      <c r="A4080" s="856">
        <v>41043</v>
      </c>
      <c r="B4080" s="125" t="str">
        <f>TiposLancamentos!B103</f>
        <v>Juros_Corr. Poupança</v>
      </c>
      <c r="C4080" s="139" t="s">
        <v>22805</v>
      </c>
      <c r="D4080" s="51">
        <v>1.93</v>
      </c>
      <c r="E4080" s="857"/>
      <c r="F4080" s="156"/>
    </row>
    <row r="4081" spans="1:6">
      <c r="A4081" s="856">
        <v>41044</v>
      </c>
      <c r="B4081" s="125" t="str">
        <f>TiposLancamentos!B95</f>
        <v>Salarios</v>
      </c>
      <c r="C4081" s="139" t="s">
        <v>4916</v>
      </c>
      <c r="D4081" s="51">
        <v>2110.15</v>
      </c>
      <c r="E4081" s="857"/>
      <c r="F4081" s="156"/>
    </row>
    <row r="4082" spans="1:6">
      <c r="A4082" s="856">
        <v>41044</v>
      </c>
      <c r="B4082" s="125" t="str">
        <f>TiposLancamentos!B105</f>
        <v>Transf. Bco</v>
      </c>
      <c r="C4082" s="139" t="s">
        <v>22806</v>
      </c>
      <c r="D4082" s="51"/>
      <c r="E4082" s="857">
        <v>2000</v>
      </c>
      <c r="F4082" s="156"/>
    </row>
    <row r="4083" spans="1:6">
      <c r="A4083" s="923">
        <v>41044</v>
      </c>
      <c r="B4083" s="830" t="str">
        <f>TiposLancamentos!B33</f>
        <v>Pedágios</v>
      </c>
      <c r="C4083" s="915" t="s">
        <v>5392</v>
      </c>
      <c r="D4083" s="917"/>
      <c r="E4083" s="920">
        <v>11.9</v>
      </c>
    </row>
    <row r="4084" spans="1:6">
      <c r="A4084" s="924">
        <v>41044</v>
      </c>
      <c r="B4084" s="833" t="str">
        <f>TiposLancamentos!B24</f>
        <v>Estacionamentos</v>
      </c>
      <c r="C4084" s="916" t="s">
        <v>5863</v>
      </c>
      <c r="D4084" s="918"/>
      <c r="E4084" s="922">
        <v>10</v>
      </c>
      <c r="F4084" s="156">
        <f>SUM(E4083:E4084)</f>
        <v>21.9</v>
      </c>
    </row>
    <row r="4085" spans="1:6">
      <c r="A4085" s="856">
        <v>41044</v>
      </c>
      <c r="B4085" s="125" t="str">
        <f>TiposLancamentos!B5</f>
        <v>Supermercado</v>
      </c>
      <c r="C4085" s="139" t="s">
        <v>22807</v>
      </c>
      <c r="D4085" s="51"/>
      <c r="E4085" s="857">
        <v>23.25</v>
      </c>
      <c r="F4085" s="156"/>
    </row>
    <row r="4086" spans="1:6">
      <c r="A4086" s="858">
        <v>41044</v>
      </c>
      <c r="B4086" s="817" t="str">
        <f>TiposLancamentos!B56</f>
        <v>Farmácia</v>
      </c>
      <c r="C4086" s="808" t="s">
        <v>6118</v>
      </c>
      <c r="D4086" s="809"/>
      <c r="E4086" s="859">
        <f>40.33+59.72</f>
        <v>100.05</v>
      </c>
      <c r="F4086" s="156"/>
    </row>
    <row r="4087" spans="1:6">
      <c r="A4087" s="862">
        <v>41044</v>
      </c>
      <c r="B4087" s="818" t="str">
        <f>TiposLancamentos!B16</f>
        <v>Cristiane</v>
      </c>
      <c r="C4087" s="812" t="s">
        <v>22796</v>
      </c>
      <c r="D4087" s="813"/>
      <c r="E4087" s="863">
        <f>F4087-E4086</f>
        <v>96.76</v>
      </c>
      <c r="F4087" s="156">
        <v>196.81</v>
      </c>
    </row>
    <row r="4088" spans="1:6">
      <c r="A4088" s="856">
        <v>41044</v>
      </c>
      <c r="B4088" s="125" t="str">
        <f>TiposLancamentos!B19</f>
        <v>Restaurantes</v>
      </c>
      <c r="C4088" s="139" t="s">
        <v>22808</v>
      </c>
      <c r="D4088" s="51"/>
      <c r="E4088" s="857">
        <v>34.6</v>
      </c>
      <c r="F4088" s="156"/>
    </row>
    <row r="4089" spans="1:6">
      <c r="A4089" s="856">
        <v>41045</v>
      </c>
      <c r="B4089" s="125" t="str">
        <f>TiposLancamentos!B34</f>
        <v>Seguros</v>
      </c>
      <c r="C4089" s="139" t="s">
        <v>22761</v>
      </c>
      <c r="D4089" s="51"/>
      <c r="E4089" s="857">
        <v>69</v>
      </c>
      <c r="F4089" s="156"/>
    </row>
    <row r="4090" spans="1:6">
      <c r="A4090" s="856">
        <v>41045</v>
      </c>
      <c r="B4090" s="125" t="str">
        <f>TiposLancamentos!B5</f>
        <v>Supermercado</v>
      </c>
      <c r="C4090" s="139" t="s">
        <v>5844</v>
      </c>
      <c r="D4090" s="51"/>
      <c r="E4090" s="857">
        <v>62.93</v>
      </c>
      <c r="F4090" s="156"/>
    </row>
    <row r="4091" spans="1:6">
      <c r="A4091" s="856">
        <v>41046</v>
      </c>
      <c r="B4091" s="125" t="str">
        <f>TiposLancamentos!B19</f>
        <v>Restaurantes</v>
      </c>
      <c r="C4091" s="139" t="s">
        <v>5914</v>
      </c>
      <c r="D4091" s="51"/>
      <c r="E4091" s="857">
        <v>18.440000000000001</v>
      </c>
      <c r="F4091" s="156"/>
    </row>
    <row r="4092" spans="1:6">
      <c r="A4092" s="856">
        <v>41047</v>
      </c>
      <c r="B4092" s="125" t="str">
        <f>TiposLancamentos!B19</f>
        <v>Restaurantes</v>
      </c>
      <c r="C4092" s="139" t="s">
        <v>22809</v>
      </c>
      <c r="D4092" s="51"/>
      <c r="E4092" s="857">
        <v>56.98</v>
      </c>
      <c r="F4092" s="156"/>
    </row>
    <row r="4093" spans="1:6">
      <c r="A4093" s="856">
        <v>41047</v>
      </c>
      <c r="B4093" s="125" t="str">
        <f>TiposLancamentos!B70</f>
        <v>Vestuário</v>
      </c>
      <c r="C4093" s="139" t="s">
        <v>22810</v>
      </c>
      <c r="D4093" s="51"/>
      <c r="E4093" s="857">
        <v>79.8</v>
      </c>
      <c r="F4093" s="156"/>
    </row>
    <row r="4094" spans="1:6">
      <c r="A4094" s="856">
        <v>41047</v>
      </c>
      <c r="B4094" s="125" t="str">
        <f>TiposLancamentos!B16</f>
        <v>Cristiane</v>
      </c>
      <c r="C4094" s="139" t="s">
        <v>22811</v>
      </c>
      <c r="D4094" s="51"/>
      <c r="E4094" s="857">
        <v>19.899999999999999</v>
      </c>
      <c r="F4094" s="156"/>
    </row>
    <row r="4095" spans="1:6">
      <c r="A4095" s="856">
        <v>41048</v>
      </c>
      <c r="B4095" s="125" t="str">
        <f>TiposLancamentos!B22</f>
        <v>Combustivel</v>
      </c>
      <c r="C4095" s="139" t="s">
        <v>22812</v>
      </c>
      <c r="D4095" s="51"/>
      <c r="E4095" s="857">
        <v>73</v>
      </c>
      <c r="F4095" s="156"/>
    </row>
    <row r="4096" spans="1:6">
      <c r="A4096" s="856">
        <v>41048</v>
      </c>
      <c r="B4096" s="125" t="str">
        <f>TiposLancamentos!B19</f>
        <v>Restaurantes</v>
      </c>
      <c r="C4096" s="139" t="s">
        <v>22813</v>
      </c>
      <c r="D4096" s="51"/>
      <c r="E4096" s="857">
        <v>31.36</v>
      </c>
      <c r="F4096" s="156"/>
    </row>
    <row r="4097" spans="1:6">
      <c r="A4097" s="856">
        <v>41048</v>
      </c>
      <c r="B4097" s="125" t="str">
        <f>TiposLancamentos!B19</f>
        <v>Restaurantes</v>
      </c>
      <c r="C4097" s="139" t="s">
        <v>22814</v>
      </c>
      <c r="D4097" s="51"/>
      <c r="E4097" s="857">
        <v>96.8</v>
      </c>
      <c r="F4097" s="156"/>
    </row>
    <row r="4098" spans="1:6">
      <c r="A4098" s="856">
        <v>41048</v>
      </c>
      <c r="B4098" s="125" t="str">
        <f>TiposLancamentos!B71</f>
        <v>Itens Pessoais</v>
      </c>
      <c r="C4098" s="139" t="s">
        <v>22815</v>
      </c>
      <c r="D4098" s="51"/>
      <c r="E4098" s="857">
        <v>287</v>
      </c>
      <c r="F4098" s="156"/>
    </row>
    <row r="4099" spans="1:6">
      <c r="A4099" s="856">
        <v>41048</v>
      </c>
      <c r="B4099" s="125" t="str">
        <f>TiposLancamentos!B70</f>
        <v>Vestuário</v>
      </c>
      <c r="C4099" s="139" t="s">
        <v>22816</v>
      </c>
      <c r="D4099" s="51"/>
      <c r="E4099" s="857">
        <v>48</v>
      </c>
      <c r="F4099" s="156"/>
    </row>
    <row r="4100" spans="1:6">
      <c r="A4100" s="856">
        <v>41048</v>
      </c>
      <c r="B4100" s="125" t="str">
        <f>TiposLancamentos!B19</f>
        <v>Restaurantes</v>
      </c>
      <c r="C4100" s="139" t="s">
        <v>22817</v>
      </c>
      <c r="D4100" s="51"/>
      <c r="E4100" s="857">
        <v>21</v>
      </c>
      <c r="F4100" s="156"/>
    </row>
    <row r="4101" spans="1:6">
      <c r="A4101" s="856">
        <v>41049</v>
      </c>
      <c r="B4101" s="125" t="str">
        <f>B4099</f>
        <v>Vestuário</v>
      </c>
      <c r="C4101" s="139" t="s">
        <v>22818</v>
      </c>
      <c r="D4101" s="51"/>
      <c r="E4101" s="857">
        <v>69.900000000000006</v>
      </c>
      <c r="F4101" s="156"/>
    </row>
    <row r="4102" spans="1:6">
      <c r="A4102" s="856">
        <v>41049</v>
      </c>
      <c r="B4102" s="125" t="str">
        <f>TiposLancamentos!B20</f>
        <v>Saques</v>
      </c>
      <c r="C4102" s="139" t="s">
        <v>22819</v>
      </c>
      <c r="D4102" s="51"/>
      <c r="E4102" s="857">
        <v>80</v>
      </c>
      <c r="F4102" s="156"/>
    </row>
    <row r="4103" spans="1:6">
      <c r="A4103" s="856">
        <v>41049</v>
      </c>
      <c r="B4103" s="125" t="str">
        <f>TiposLancamentos!B16</f>
        <v>Cristiane</v>
      </c>
      <c r="C4103" s="139" t="s">
        <v>22820</v>
      </c>
      <c r="D4103" s="51"/>
      <c r="E4103" s="857">
        <v>35</v>
      </c>
      <c r="F4103" s="156"/>
    </row>
    <row r="4104" spans="1:6">
      <c r="A4104" s="856">
        <v>41049</v>
      </c>
      <c r="B4104" s="125" t="str">
        <f>TiposLancamentos!B19</f>
        <v>Restaurantes</v>
      </c>
      <c r="C4104" s="139" t="s">
        <v>22821</v>
      </c>
      <c r="D4104" s="51"/>
      <c r="E4104" s="857">
        <v>39.76</v>
      </c>
      <c r="F4104" s="156"/>
    </row>
    <row r="4105" spans="1:6">
      <c r="A4105" s="856">
        <v>41049</v>
      </c>
      <c r="B4105" s="125" t="str">
        <f>TiposLancamentos!B19</f>
        <v>Restaurantes</v>
      </c>
      <c r="C4105" s="139" t="s">
        <v>22822</v>
      </c>
      <c r="D4105" s="51"/>
      <c r="E4105" s="857">
        <v>17.5</v>
      </c>
      <c r="F4105" s="156"/>
    </row>
    <row r="4106" spans="1:6">
      <c r="A4106" s="856">
        <v>41049</v>
      </c>
      <c r="B4106" s="125" t="str">
        <f>TiposLancamentos!B17</f>
        <v>GATO</v>
      </c>
      <c r="C4106" s="139" t="s">
        <v>22823</v>
      </c>
      <c r="D4106" s="51"/>
      <c r="E4106" s="857">
        <v>22.4</v>
      </c>
      <c r="F4106" s="156"/>
    </row>
    <row r="4107" spans="1:6">
      <c r="A4107" s="856">
        <v>41050</v>
      </c>
      <c r="B4107" s="125" t="str">
        <f>TiposLancamentos!B5</f>
        <v>Supermercado</v>
      </c>
      <c r="C4107" s="139" t="s">
        <v>22532</v>
      </c>
      <c r="D4107" s="51"/>
      <c r="E4107" s="857">
        <v>117.38</v>
      </c>
      <c r="F4107" s="156"/>
    </row>
    <row r="4108" spans="1:6">
      <c r="A4108" s="856">
        <v>41051</v>
      </c>
      <c r="B4108" s="125" t="str">
        <f>TiposLancamentos!B19</f>
        <v>Restaurantes</v>
      </c>
      <c r="C4108" s="139" t="s">
        <v>6122</v>
      </c>
      <c r="D4108" s="51"/>
      <c r="E4108" s="857">
        <v>13.3</v>
      </c>
      <c r="F4108" s="156"/>
    </row>
    <row r="4109" spans="1:6">
      <c r="A4109" s="856">
        <v>41052</v>
      </c>
      <c r="B4109" s="125" t="str">
        <f>TiposLancamentos!B19</f>
        <v>Restaurantes</v>
      </c>
      <c r="C4109" s="139" t="s">
        <v>22824</v>
      </c>
      <c r="D4109" s="51"/>
      <c r="E4109" s="857">
        <v>19.399999999999999</v>
      </c>
      <c r="F4109" s="156"/>
    </row>
    <row r="4110" spans="1:6">
      <c r="A4110" s="856">
        <v>41052</v>
      </c>
      <c r="B4110" s="125" t="str">
        <f>TiposLancamentos!B16</f>
        <v>Cristiane</v>
      </c>
      <c r="C4110" s="139" t="s">
        <v>16693</v>
      </c>
      <c r="D4110" s="51"/>
      <c r="E4110" s="857">
        <v>52</v>
      </c>
      <c r="F4110" s="156"/>
    </row>
    <row r="4111" spans="1:6">
      <c r="A4111" s="856">
        <v>41054</v>
      </c>
      <c r="B4111" s="125" t="str">
        <f>TiposLancamentos!B19</f>
        <v>Restaurantes</v>
      </c>
      <c r="C4111" s="139" t="s">
        <v>6143</v>
      </c>
      <c r="D4111" s="51"/>
      <c r="E4111" s="857">
        <v>17.25</v>
      </c>
      <c r="F4111" s="156"/>
    </row>
    <row r="4112" spans="1:6">
      <c r="A4112" s="856">
        <v>41054</v>
      </c>
      <c r="B4112" s="125" t="str">
        <f>TiposLancamentos!B19</f>
        <v>Restaurantes</v>
      </c>
      <c r="C4112" s="139" t="s">
        <v>22825</v>
      </c>
      <c r="D4112" s="51"/>
      <c r="E4112" s="857">
        <v>40</v>
      </c>
      <c r="F4112" s="156"/>
    </row>
    <row r="4113" spans="1:6">
      <c r="A4113" s="864">
        <v>41054</v>
      </c>
      <c r="B4113" s="76" t="str">
        <f>TiposLancamentos!B31</f>
        <v>Action Figures</v>
      </c>
      <c r="C4113" s="147" t="s">
        <v>22826</v>
      </c>
      <c r="D4113" s="63"/>
      <c r="E4113" s="865">
        <v>175</v>
      </c>
      <c r="F4113" s="156"/>
    </row>
    <row r="4114" spans="1:6">
      <c r="A4114" s="856">
        <v>41055</v>
      </c>
      <c r="B4114" s="125" t="str">
        <f>TiposLancamentos!B71</f>
        <v>Itens Pessoais</v>
      </c>
      <c r="C4114" s="139" t="s">
        <v>3762</v>
      </c>
      <c r="D4114" s="51"/>
      <c r="E4114" s="857">
        <v>20</v>
      </c>
      <c r="F4114" s="156"/>
    </row>
    <row r="4115" spans="1:6">
      <c r="A4115" s="856">
        <v>41055</v>
      </c>
      <c r="B4115" s="125" t="str">
        <f>TiposLancamentos!B19</f>
        <v>Restaurantes</v>
      </c>
      <c r="C4115" s="139" t="s">
        <v>22827</v>
      </c>
      <c r="D4115" s="51"/>
      <c r="E4115" s="857">
        <v>17</v>
      </c>
      <c r="F4115" s="156"/>
    </row>
    <row r="4116" spans="1:6">
      <c r="A4116" s="858">
        <v>41055</v>
      </c>
      <c r="B4116" s="817" t="str">
        <f>TiposLancamentos!B56</f>
        <v>Farmácia</v>
      </c>
      <c r="C4116" s="808" t="s">
        <v>22828</v>
      </c>
      <c r="D4116" s="809"/>
      <c r="E4116" s="859">
        <f>F4117-E4117</f>
        <v>85.97999999999999</v>
      </c>
      <c r="F4116" s="156"/>
    </row>
    <row r="4117" spans="1:6">
      <c r="A4117" s="862">
        <v>41055</v>
      </c>
      <c r="B4117" s="818" t="str">
        <f>TiposLancamentos!B72</f>
        <v>Presentes</v>
      </c>
      <c r="C4117" s="812" t="s">
        <v>22829</v>
      </c>
      <c r="D4117" s="813"/>
      <c r="E4117" s="863">
        <v>35.99</v>
      </c>
      <c r="F4117" s="156">
        <v>121.97</v>
      </c>
    </row>
    <row r="4118" spans="1:6">
      <c r="A4118" s="856">
        <v>41055</v>
      </c>
      <c r="B4118" s="125" t="str">
        <f>TiposLancamentos!B16</f>
        <v>Cristiane</v>
      </c>
      <c r="C4118" s="139" t="s">
        <v>22830</v>
      </c>
      <c r="D4118" s="51"/>
      <c r="E4118" s="857">
        <v>33</v>
      </c>
      <c r="F4118" s="156"/>
    </row>
    <row r="4119" spans="1:6">
      <c r="A4119" s="856">
        <v>41056</v>
      </c>
      <c r="B4119" s="125" t="str">
        <f>TiposLancamentos!B19</f>
        <v>Restaurantes</v>
      </c>
      <c r="C4119" s="139" t="s">
        <v>5961</v>
      </c>
      <c r="D4119" s="51"/>
      <c r="E4119" s="857">
        <v>118.25</v>
      </c>
      <c r="F4119" s="156"/>
    </row>
    <row r="4120" spans="1:6">
      <c r="A4120" s="856">
        <v>41056</v>
      </c>
      <c r="B4120" s="125" t="str">
        <f>TiposLancamentos!B56</f>
        <v>Farmácia</v>
      </c>
      <c r="C4120" s="139" t="s">
        <v>22831</v>
      </c>
      <c r="D4120" s="51"/>
      <c r="E4120" s="857">
        <v>8.4</v>
      </c>
      <c r="F4120" s="156"/>
    </row>
    <row r="4121" spans="1:6">
      <c r="A4121" s="856">
        <v>41056</v>
      </c>
      <c r="B4121" s="125" t="str">
        <f>TiposLancamentos!B19</f>
        <v>Restaurantes</v>
      </c>
      <c r="C4121" s="139" t="s">
        <v>5914</v>
      </c>
      <c r="D4121" s="51"/>
      <c r="E4121" s="857">
        <v>30.4</v>
      </c>
      <c r="F4121" s="156"/>
    </row>
    <row r="4122" spans="1:6">
      <c r="A4122" s="856">
        <v>41056</v>
      </c>
      <c r="B4122" s="125" t="str">
        <f>TiposLancamentos!B5</f>
        <v>Supermercado</v>
      </c>
      <c r="C4122" s="139" t="s">
        <v>22832</v>
      </c>
      <c r="D4122" s="51"/>
      <c r="E4122" s="857">
        <v>17.02</v>
      </c>
      <c r="F4122" s="156"/>
    </row>
    <row r="4123" spans="1:6">
      <c r="A4123" s="856">
        <v>41056</v>
      </c>
      <c r="B4123" s="125" t="str">
        <f>TiposLancamentos!B56</f>
        <v>Farmácia</v>
      </c>
      <c r="C4123" s="139" t="s">
        <v>22833</v>
      </c>
      <c r="D4123" s="51"/>
      <c r="E4123" s="857">
        <v>29.14</v>
      </c>
      <c r="F4123" s="156"/>
    </row>
    <row r="4124" spans="1:6">
      <c r="A4124" s="856">
        <v>41058</v>
      </c>
      <c r="B4124" s="125" t="str">
        <f>TiposLancamentos!B19</f>
        <v>Restaurantes</v>
      </c>
      <c r="C4124" s="139" t="s">
        <v>5914</v>
      </c>
      <c r="D4124" s="51"/>
      <c r="E4124" s="857">
        <v>14.4</v>
      </c>
      <c r="F4124" s="156"/>
    </row>
    <row r="4125" spans="1:6">
      <c r="A4125" s="856">
        <v>41058</v>
      </c>
      <c r="B4125" s="125" t="str">
        <f>TiposLancamentos!B20</f>
        <v>Saques</v>
      </c>
      <c r="C4125" s="139" t="s">
        <v>2850</v>
      </c>
      <c r="D4125" s="51"/>
      <c r="E4125" s="857">
        <v>50</v>
      </c>
      <c r="F4125" s="156"/>
    </row>
    <row r="4126" spans="1:6">
      <c r="A4126" s="856">
        <v>41060</v>
      </c>
      <c r="B4126" s="125" t="str">
        <f>TiposLancamentos!B95</f>
        <v>Salarios</v>
      </c>
      <c r="C4126" s="139" t="s">
        <v>4939</v>
      </c>
      <c r="D4126" s="51">
        <v>7908.2</v>
      </c>
      <c r="E4126" s="857"/>
      <c r="F4126" s="156"/>
    </row>
    <row r="4127" spans="1:6">
      <c r="A4127" s="856">
        <v>41060</v>
      </c>
      <c r="B4127" s="125" t="str">
        <f>TiposLancamentos!B43</f>
        <v>Imposto de Renda</v>
      </c>
      <c r="C4127" s="139" t="s">
        <v>22834</v>
      </c>
      <c r="D4127" s="51"/>
      <c r="E4127" s="857">
        <v>389.99</v>
      </c>
      <c r="F4127" s="156"/>
    </row>
    <row r="4128" spans="1:6">
      <c r="A4128" s="856">
        <v>41060</v>
      </c>
      <c r="B4128" s="125" t="str">
        <f>TiposLancamentos!B20</f>
        <v>Saques</v>
      </c>
      <c r="C4128" s="139" t="s">
        <v>4149</v>
      </c>
      <c r="D4128" s="51"/>
      <c r="E4128" s="857">
        <v>20</v>
      </c>
      <c r="F4128" s="156"/>
    </row>
    <row r="4129" spans="1:6" ht="14.25" thickBot="1">
      <c r="A4129" s="866">
        <v>41060</v>
      </c>
      <c r="B4129" s="867" t="str">
        <f>TiposLancamentos!B6</f>
        <v>Energia Eletrica</v>
      </c>
      <c r="C4129" s="868" t="s">
        <v>22835</v>
      </c>
      <c r="D4129" s="869"/>
      <c r="E4129" s="870">
        <v>150.22</v>
      </c>
      <c r="F4129" s="156"/>
    </row>
    <row r="4130" spans="1:6">
      <c r="A4130" s="981"/>
      <c r="B4130" s="982"/>
      <c r="C4130" s="980" t="s">
        <v>13589</v>
      </c>
      <c r="D4130" s="983"/>
      <c r="E4130" s="984"/>
      <c r="F4130" s="156"/>
    </row>
    <row r="4131" spans="1:6">
      <c r="A4131" s="847">
        <v>41061</v>
      </c>
      <c r="B4131" s="824" t="str">
        <f>TiposLancamentos!B15</f>
        <v>Cartões de Crédito</v>
      </c>
      <c r="C4131" s="826" t="s">
        <v>6240</v>
      </c>
      <c r="D4131" s="828"/>
      <c r="E4131" s="848">
        <v>904.37</v>
      </c>
      <c r="F4131" s="156"/>
    </row>
    <row r="4132" spans="1:6">
      <c r="A4132" s="850">
        <v>41061</v>
      </c>
      <c r="B4132" s="830" t="str">
        <f>TiposLancamentos!B8</f>
        <v>Aluguel</v>
      </c>
      <c r="C4132" s="831" t="s">
        <v>2504</v>
      </c>
      <c r="D4132" s="832"/>
      <c r="E4132" s="851">
        <v>1234.67</v>
      </c>
      <c r="F4132" s="156"/>
    </row>
    <row r="4133" spans="1:6">
      <c r="A4133" s="852">
        <v>41061</v>
      </c>
      <c r="B4133" s="825" t="str">
        <f>TiposLancamentos!B12</f>
        <v>IPTU</v>
      </c>
      <c r="C4133" s="827" t="s">
        <v>22836</v>
      </c>
      <c r="D4133" s="829"/>
      <c r="E4133" s="853">
        <v>99.29</v>
      </c>
      <c r="F4133" s="156"/>
    </row>
    <row r="4134" spans="1:6">
      <c r="A4134" s="854">
        <v>41061</v>
      </c>
      <c r="B4134" s="833" t="str">
        <f>TiposLancamentos!B34</f>
        <v>Seguros</v>
      </c>
      <c r="C4134" s="834" t="s">
        <v>22837</v>
      </c>
      <c r="D4134" s="835"/>
      <c r="E4134" s="855">
        <v>480</v>
      </c>
      <c r="F4134" s="156">
        <f>SUM(E4132:E4134)</f>
        <v>1813.96</v>
      </c>
    </row>
    <row r="4135" spans="1:6">
      <c r="A4135" s="847">
        <v>41061</v>
      </c>
      <c r="B4135" s="824" t="str">
        <f>TiposLancamentos!B9</f>
        <v>Condominio</v>
      </c>
      <c r="C4135" s="826" t="s">
        <v>1684</v>
      </c>
      <c r="D4135" s="828"/>
      <c r="E4135" s="848">
        <v>757.48</v>
      </c>
      <c r="F4135" s="156"/>
    </row>
    <row r="4136" spans="1:6">
      <c r="A4136" s="847">
        <v>41061</v>
      </c>
      <c r="B4136" s="824" t="str">
        <f>TiposLancamentos!B3</f>
        <v>Internet</v>
      </c>
      <c r="C4136" s="826" t="s">
        <v>5838</v>
      </c>
      <c r="D4136" s="828"/>
      <c r="E4136" s="848">
        <v>59.9</v>
      </c>
      <c r="F4136" s="156"/>
    </row>
    <row r="4137" spans="1:6">
      <c r="A4137" s="850">
        <v>41061</v>
      </c>
      <c r="B4137" s="830" t="str">
        <f>TiposLancamentos!B35</f>
        <v>Tv à Cabo</v>
      </c>
      <c r="C4137" s="831" t="s">
        <v>5834</v>
      </c>
      <c r="D4137" s="832"/>
      <c r="E4137" s="851">
        <v>147.09</v>
      </c>
      <c r="F4137" s="156"/>
    </row>
    <row r="4138" spans="1:6">
      <c r="A4138" s="852">
        <v>41061</v>
      </c>
      <c r="B4138" s="825" t="str">
        <f>TiposLancamentos!B3</f>
        <v>Internet</v>
      </c>
      <c r="C4138" s="827" t="s">
        <v>5835</v>
      </c>
      <c r="D4138" s="829"/>
      <c r="E4138" s="853">
        <v>72.34</v>
      </c>
      <c r="F4138" s="156"/>
    </row>
    <row r="4139" spans="1:6">
      <c r="A4139" s="854">
        <v>41061</v>
      </c>
      <c r="B4139" s="833" t="str">
        <f>TiposLancamentos!B2</f>
        <v>Telefonia</v>
      </c>
      <c r="C4139" s="834" t="s">
        <v>5836</v>
      </c>
      <c r="D4139" s="835"/>
      <c r="E4139" s="855">
        <v>37.9</v>
      </c>
      <c r="F4139" s="156">
        <f>SUM(E4137:E4139)</f>
        <v>257.33</v>
      </c>
    </row>
    <row r="4140" spans="1:6">
      <c r="A4140" s="847">
        <v>41061</v>
      </c>
      <c r="B4140" s="824" t="str">
        <f>TiposLancamentos!B19</f>
        <v>Restaurantes</v>
      </c>
      <c r="C4140" s="826" t="s">
        <v>22838</v>
      </c>
      <c r="D4140" s="828"/>
      <c r="E4140" s="848">
        <v>40</v>
      </c>
      <c r="F4140" s="156"/>
    </row>
    <row r="4141" spans="1:6">
      <c r="A4141" s="847">
        <v>41061</v>
      </c>
      <c r="B4141" s="824" t="str">
        <f>TiposLancamentos!B4</f>
        <v>Taxas Bancarias</v>
      </c>
      <c r="C4141" s="826" t="s">
        <v>22839</v>
      </c>
      <c r="D4141" s="828"/>
      <c r="E4141" s="848">
        <v>2.75</v>
      </c>
      <c r="F4141" s="156"/>
    </row>
    <row r="4142" spans="1:6">
      <c r="A4142" s="847">
        <v>41061</v>
      </c>
      <c r="B4142" s="824" t="str">
        <f>TiposLancamentos!B4</f>
        <v>Taxas Bancarias</v>
      </c>
      <c r="C4142" s="826" t="s">
        <v>22840</v>
      </c>
      <c r="D4142" s="828"/>
      <c r="E4142" s="848">
        <v>0.12</v>
      </c>
      <c r="F4142" s="156"/>
    </row>
    <row r="4143" spans="1:6">
      <c r="A4143" s="850">
        <v>41062</v>
      </c>
      <c r="B4143" s="830" t="str">
        <f>TiposLancamentos!B31</f>
        <v>Action Figures</v>
      </c>
      <c r="C4143" s="831" t="s">
        <v>22841</v>
      </c>
      <c r="D4143" s="832"/>
      <c r="E4143" s="851">
        <v>99</v>
      </c>
      <c r="F4143" s="156"/>
    </row>
    <row r="4144" spans="1:6">
      <c r="A4144" s="854">
        <v>41062</v>
      </c>
      <c r="B4144" s="833" t="str">
        <f>TiposLancamentos!B72</f>
        <v>Presentes</v>
      </c>
      <c r="C4144" s="834" t="s">
        <v>22842</v>
      </c>
      <c r="D4144" s="835"/>
      <c r="E4144" s="855">
        <f>F4144-E4143</f>
        <v>33.379999999999995</v>
      </c>
      <c r="F4144" s="156">
        <v>132.38</v>
      </c>
    </row>
    <row r="4145" spans="1:6">
      <c r="A4145" s="847">
        <v>41062</v>
      </c>
      <c r="B4145" s="824" t="str">
        <f>TiposLancamentos!B72</f>
        <v>Presentes</v>
      </c>
      <c r="C4145" s="826" t="s">
        <v>22843</v>
      </c>
      <c r="D4145" s="828"/>
      <c r="E4145" s="848">
        <v>110</v>
      </c>
      <c r="F4145" s="156"/>
    </row>
    <row r="4146" spans="1:6">
      <c r="A4146" s="847">
        <v>41062</v>
      </c>
      <c r="B4146" s="824" t="str">
        <f>TiposLancamentos!B71</f>
        <v>Itens Pessoais</v>
      </c>
      <c r="C4146" s="826" t="s">
        <v>22844</v>
      </c>
      <c r="D4146" s="828"/>
      <c r="E4146" s="848">
        <v>140</v>
      </c>
      <c r="F4146" s="156"/>
    </row>
    <row r="4147" spans="1:6">
      <c r="A4147" s="847">
        <v>41062</v>
      </c>
      <c r="B4147" s="824" t="str">
        <f>TiposLancamentos!B57</f>
        <v>Informática</v>
      </c>
      <c r="C4147" s="826" t="s">
        <v>22845</v>
      </c>
      <c r="D4147" s="828"/>
      <c r="E4147" s="848">
        <v>35</v>
      </c>
      <c r="F4147" s="156" t="s">
        <v>120</v>
      </c>
    </row>
    <row r="4148" spans="1:6">
      <c r="A4148" s="847">
        <v>41062</v>
      </c>
      <c r="B4148" s="824" t="str">
        <f>TiposLancamentos!B19</f>
        <v>Restaurantes</v>
      </c>
      <c r="C4148" s="826" t="s">
        <v>6032</v>
      </c>
      <c r="D4148" s="828"/>
      <c r="E4148" s="848">
        <v>116.16</v>
      </c>
      <c r="F4148" s="156"/>
    </row>
    <row r="4149" spans="1:6">
      <c r="A4149" s="847">
        <v>41062</v>
      </c>
      <c r="B4149" s="824" t="str">
        <f>TiposLancamentos!B24</f>
        <v>Estacionamentos</v>
      </c>
      <c r="C4149" s="826" t="s">
        <v>22846</v>
      </c>
      <c r="D4149" s="828"/>
      <c r="E4149" s="848">
        <v>18</v>
      </c>
      <c r="F4149" s="156"/>
    </row>
    <row r="4150" spans="1:6">
      <c r="A4150" s="847">
        <v>41062</v>
      </c>
      <c r="B4150" s="824" t="str">
        <f>TiposLancamentos!B31</f>
        <v>Action Figures</v>
      </c>
      <c r="C4150" s="826" t="s">
        <v>22847</v>
      </c>
      <c r="D4150" s="828"/>
      <c r="E4150" s="848">
        <v>217.55</v>
      </c>
      <c r="F4150" s="156"/>
    </row>
    <row r="4151" spans="1:6">
      <c r="A4151" s="850">
        <v>41064</v>
      </c>
      <c r="B4151" s="830" t="str">
        <f>TiposLancamentos!B62</f>
        <v>Papelaria</v>
      </c>
      <c r="C4151" s="831" t="s">
        <v>10848</v>
      </c>
      <c r="D4151" s="832"/>
      <c r="E4151" s="851">
        <f>F4152-E4152</f>
        <v>22.610000000000003</v>
      </c>
      <c r="F4151" s="156"/>
    </row>
    <row r="4152" spans="1:6">
      <c r="A4152" s="854">
        <v>41064</v>
      </c>
      <c r="B4152" s="833" t="str">
        <f>TiposLancamentos!B18</f>
        <v>Alimentacao</v>
      </c>
      <c r="C4152" s="834" t="s">
        <v>22848</v>
      </c>
      <c r="D4152" s="835"/>
      <c r="E4152" s="855">
        <f>15.98+1.5+3</f>
        <v>20.48</v>
      </c>
      <c r="F4152" s="156">
        <v>43.09</v>
      </c>
    </row>
    <row r="4153" spans="1:6">
      <c r="A4153" s="847">
        <v>41064</v>
      </c>
      <c r="B4153" s="824" t="str">
        <f>TiposLancamentos!B70</f>
        <v>Vestuário</v>
      </c>
      <c r="C4153" s="826" t="s">
        <v>22849</v>
      </c>
      <c r="D4153" s="828"/>
      <c r="E4153" s="848">
        <v>29.9</v>
      </c>
      <c r="F4153" s="156"/>
    </row>
    <row r="4154" spans="1:6">
      <c r="A4154" s="847">
        <v>41064</v>
      </c>
      <c r="B4154" s="824" t="str">
        <f>TiposLancamentos!B18</f>
        <v>Alimentacao</v>
      </c>
      <c r="C4154" s="826" t="s">
        <v>22850</v>
      </c>
      <c r="D4154" s="828"/>
      <c r="E4154" s="848">
        <v>12.5</v>
      </c>
      <c r="F4154" s="156"/>
    </row>
    <row r="4155" spans="1:6">
      <c r="A4155" s="847">
        <v>41067</v>
      </c>
      <c r="B4155" s="824" t="str">
        <f>TiposLancamentos!B19</f>
        <v>Restaurantes</v>
      </c>
      <c r="C4155" s="826" t="s">
        <v>22851</v>
      </c>
      <c r="D4155" s="828"/>
      <c r="E4155" s="848">
        <v>101.89</v>
      </c>
      <c r="F4155" s="156"/>
    </row>
    <row r="4156" spans="1:6">
      <c r="A4156" s="847">
        <v>41067</v>
      </c>
      <c r="B4156" s="824" t="str">
        <f>TiposLancamentos!B20</f>
        <v>Saques</v>
      </c>
      <c r="C4156" s="826" t="s">
        <v>4609</v>
      </c>
      <c r="D4156" s="828"/>
      <c r="E4156" s="848">
        <v>50</v>
      </c>
      <c r="F4156" s="156"/>
    </row>
    <row r="4157" spans="1:6">
      <c r="A4157" s="847">
        <v>41067</v>
      </c>
      <c r="B4157" s="824" t="str">
        <f>TiposLancamentos!B31</f>
        <v>Action Figures</v>
      </c>
      <c r="C4157" s="826" t="s">
        <v>22852</v>
      </c>
      <c r="D4157" s="828"/>
      <c r="E4157" s="848">
        <v>115</v>
      </c>
      <c r="F4157" s="156"/>
    </row>
    <row r="4158" spans="1:6">
      <c r="A4158" s="847">
        <v>41067</v>
      </c>
      <c r="B4158" s="824" t="str">
        <f>TiposLancamentos!B31</f>
        <v>Action Figures</v>
      </c>
      <c r="C4158" s="826" t="s">
        <v>22853</v>
      </c>
      <c r="D4158" s="828"/>
      <c r="E4158" s="848">
        <v>120</v>
      </c>
      <c r="F4158" s="156">
        <v>120</v>
      </c>
    </row>
    <row r="4159" spans="1:6">
      <c r="A4159" s="847">
        <v>41067</v>
      </c>
      <c r="B4159" s="824" t="str">
        <f>TiposLancamentos!B16</f>
        <v>Cristiane</v>
      </c>
      <c r="C4159" s="826" t="s">
        <v>22854</v>
      </c>
      <c r="D4159" s="828"/>
      <c r="E4159" s="848">
        <v>155.28</v>
      </c>
      <c r="F4159" s="156"/>
    </row>
    <row r="4160" spans="1:6">
      <c r="A4160" s="847">
        <v>41067</v>
      </c>
      <c r="B4160" s="824" t="str">
        <f>TiposLancamentos!B5</f>
        <v>Supermercado</v>
      </c>
      <c r="C4160" s="826" t="s">
        <v>22855</v>
      </c>
      <c r="D4160" s="828"/>
      <c r="E4160" s="848">
        <v>41.3</v>
      </c>
      <c r="F4160" s="156"/>
    </row>
    <row r="4161" spans="1:6">
      <c r="A4161" s="847">
        <v>41068</v>
      </c>
      <c r="B4161" s="824" t="str">
        <f>TiposLancamentos!B13</f>
        <v>Moradia</v>
      </c>
      <c r="C4161" s="826" t="s">
        <v>22856</v>
      </c>
      <c r="D4161" s="828"/>
      <c r="E4161" s="848">
        <v>168.3</v>
      </c>
      <c r="F4161" s="156"/>
    </row>
    <row r="4162" spans="1:6">
      <c r="A4162" s="847">
        <v>41068</v>
      </c>
      <c r="B4162" s="824" t="str">
        <f>TiposLancamentos!B13</f>
        <v>Moradia</v>
      </c>
      <c r="C4162" s="826" t="s">
        <v>22857</v>
      </c>
      <c r="D4162" s="828"/>
      <c r="E4162" s="848">
        <v>79.75</v>
      </c>
      <c r="F4162" s="156"/>
    </row>
    <row r="4163" spans="1:6">
      <c r="A4163" s="847">
        <v>41069</v>
      </c>
      <c r="B4163" s="824" t="str">
        <f>TiposLancamentos!B5</f>
        <v>Supermercado</v>
      </c>
      <c r="C4163" s="826" t="s">
        <v>22858</v>
      </c>
      <c r="D4163" s="828"/>
      <c r="E4163" s="848">
        <v>46.14</v>
      </c>
      <c r="F4163" s="156"/>
    </row>
    <row r="4164" spans="1:6">
      <c r="A4164" s="847">
        <v>41070</v>
      </c>
      <c r="B4164" s="824" t="str">
        <f>TiposLancamentos!B19</f>
        <v>Restaurantes</v>
      </c>
      <c r="C4164" s="826" t="s">
        <v>22859</v>
      </c>
      <c r="D4164" s="828"/>
      <c r="E4164" s="848">
        <v>152.02000000000001</v>
      </c>
      <c r="F4164" s="156"/>
    </row>
    <row r="4165" spans="1:6">
      <c r="A4165" s="847">
        <v>41070</v>
      </c>
      <c r="B4165" s="824" t="str">
        <f>TiposLancamentos!B5</f>
        <v>Supermercado</v>
      </c>
      <c r="C4165" s="826" t="s">
        <v>22860</v>
      </c>
      <c r="D4165" s="828"/>
      <c r="E4165" s="848">
        <v>74.239999999999995</v>
      </c>
      <c r="F4165" s="156"/>
    </row>
    <row r="4166" spans="1:6">
      <c r="A4166" s="847">
        <v>41071</v>
      </c>
      <c r="B4166" s="824" t="str">
        <f>TiposLancamentos!B16</f>
        <v>Cristiane</v>
      </c>
      <c r="C4166" s="826" t="s">
        <v>22861</v>
      </c>
      <c r="D4166" s="828"/>
      <c r="E4166" s="848">
        <v>135.78</v>
      </c>
      <c r="F4166" s="156"/>
    </row>
    <row r="4167" spans="1:6">
      <c r="A4167" s="847">
        <v>41072</v>
      </c>
      <c r="B4167" s="824" t="str">
        <f>TiposLancamentos!B19</f>
        <v>Restaurantes</v>
      </c>
      <c r="C4167" s="826" t="s">
        <v>22862</v>
      </c>
      <c r="D4167" s="828"/>
      <c r="E4167" s="848">
        <v>22.99</v>
      </c>
      <c r="F4167" s="156"/>
    </row>
    <row r="4168" spans="1:6">
      <c r="A4168" s="847">
        <v>41072</v>
      </c>
      <c r="B4168" s="824" t="str">
        <f>TiposLancamentos!B19</f>
        <v>Restaurantes</v>
      </c>
      <c r="C4168" s="826" t="s">
        <v>22863</v>
      </c>
      <c r="D4168" s="828"/>
      <c r="E4168" s="848">
        <v>8</v>
      </c>
      <c r="F4168" s="156"/>
    </row>
    <row r="4169" spans="1:6">
      <c r="A4169" s="847">
        <v>41072</v>
      </c>
      <c r="B4169" s="824" t="str">
        <f>TiposLancamentos!B19</f>
        <v>Restaurantes</v>
      </c>
      <c r="C4169" s="826" t="s">
        <v>22864</v>
      </c>
      <c r="D4169" s="828"/>
      <c r="E4169" s="848">
        <v>5.65</v>
      </c>
      <c r="F4169" s="156"/>
    </row>
    <row r="4170" spans="1:6">
      <c r="A4170" s="847">
        <v>41072</v>
      </c>
      <c r="B4170" s="824" t="str">
        <f>TiposLancamentos!B5</f>
        <v>Supermercado</v>
      </c>
      <c r="C4170" s="826" t="s">
        <v>5967</v>
      </c>
      <c r="D4170" s="828"/>
      <c r="E4170" s="848">
        <v>91.11</v>
      </c>
      <c r="F4170" s="156"/>
    </row>
    <row r="4171" spans="1:6">
      <c r="A4171" s="847">
        <v>41073</v>
      </c>
      <c r="B4171" s="824" t="str">
        <f>TiposLancamentos!B19</f>
        <v>Restaurantes</v>
      </c>
      <c r="C4171" s="826" t="s">
        <v>5914</v>
      </c>
      <c r="D4171" s="828"/>
      <c r="E4171" s="848">
        <v>25.91</v>
      </c>
      <c r="F4171" s="156"/>
    </row>
    <row r="4172" spans="1:6">
      <c r="A4172" s="847">
        <v>41074</v>
      </c>
      <c r="B4172" s="824" t="str">
        <f>TiposLancamentos!B19</f>
        <v>Restaurantes</v>
      </c>
      <c r="C4172" s="826" t="s">
        <v>22865</v>
      </c>
      <c r="D4172" s="828"/>
      <c r="E4172" s="848">
        <v>17.100000000000001</v>
      </c>
      <c r="F4172" s="156"/>
    </row>
    <row r="4173" spans="1:6">
      <c r="A4173" s="847">
        <v>41074</v>
      </c>
      <c r="B4173" s="824" t="str">
        <f>TiposLancamentos!B19</f>
        <v>Restaurantes</v>
      </c>
      <c r="C4173" s="826" t="s">
        <v>22866</v>
      </c>
      <c r="D4173" s="828"/>
      <c r="E4173" s="848">
        <v>5</v>
      </c>
      <c r="F4173" s="156"/>
    </row>
    <row r="4174" spans="1:6">
      <c r="A4174" s="847">
        <v>41074</v>
      </c>
      <c r="B4174" s="824" t="str">
        <f>TiposLancamentos!B19</f>
        <v>Restaurantes</v>
      </c>
      <c r="C4174" s="826" t="s">
        <v>3755</v>
      </c>
      <c r="D4174" s="828"/>
      <c r="E4174" s="848">
        <v>18.03</v>
      </c>
      <c r="F4174" s="156"/>
    </row>
    <row r="4175" spans="1:6">
      <c r="A4175" s="847">
        <v>41074</v>
      </c>
      <c r="B4175" s="824" t="str">
        <f>TiposLancamentos!B22</f>
        <v>Combustivel</v>
      </c>
      <c r="C4175" s="826" t="s">
        <v>22867</v>
      </c>
      <c r="D4175" s="828"/>
      <c r="E4175" s="848">
        <v>122.02</v>
      </c>
      <c r="F4175" s="156"/>
    </row>
    <row r="4176" spans="1:6">
      <c r="A4176" s="923">
        <v>41075</v>
      </c>
      <c r="B4176" s="830" t="str">
        <f>TiposLancamentos!B33</f>
        <v>Pedágios</v>
      </c>
      <c r="C4176" s="915" t="s">
        <v>5392</v>
      </c>
      <c r="D4176" s="917"/>
      <c r="E4176" s="920">
        <f>11.9+183.9</f>
        <v>195.8</v>
      </c>
    </row>
    <row r="4177" spans="1:6">
      <c r="A4177" s="924">
        <v>41075</v>
      </c>
      <c r="B4177" s="833" t="str">
        <f>TiposLancamentos!B24</f>
        <v>Estacionamentos</v>
      </c>
      <c r="C4177" s="916" t="s">
        <v>5863</v>
      </c>
      <c r="D4177" s="918"/>
      <c r="E4177" s="922">
        <v>32</v>
      </c>
      <c r="F4177" s="156">
        <f>SUM(E4176:E4177)</f>
        <v>227.8</v>
      </c>
    </row>
    <row r="4178" spans="1:6">
      <c r="A4178" s="847">
        <v>41075</v>
      </c>
      <c r="B4178" s="824" t="str">
        <f>TiposLancamentos!B95</f>
        <v>Salarios</v>
      </c>
      <c r="C4178" s="826" t="s">
        <v>4916</v>
      </c>
      <c r="D4178" s="828">
        <v>2110.15</v>
      </c>
      <c r="E4178" s="848"/>
      <c r="F4178" s="156"/>
    </row>
    <row r="4179" spans="1:6">
      <c r="A4179" s="847">
        <v>41075</v>
      </c>
      <c r="B4179" s="824" t="str">
        <f>TiposLancamentos!B34</f>
        <v>Seguros</v>
      </c>
      <c r="C4179" s="826" t="s">
        <v>22868</v>
      </c>
      <c r="D4179" s="828"/>
      <c r="E4179" s="848">
        <v>69</v>
      </c>
      <c r="F4179" s="156"/>
    </row>
    <row r="4180" spans="1:6">
      <c r="A4180" s="847">
        <v>41075</v>
      </c>
      <c r="B4180" s="824" t="str">
        <f>TiposLancamentos!B22</f>
        <v>Combustivel</v>
      </c>
      <c r="C4180" s="826" t="s">
        <v>22869</v>
      </c>
      <c r="D4180" s="828"/>
      <c r="E4180" s="848">
        <v>16.079999999999998</v>
      </c>
      <c r="F4180" s="156"/>
    </row>
    <row r="4181" spans="1:6">
      <c r="A4181" s="847">
        <v>41076</v>
      </c>
      <c r="B4181" s="824" t="str">
        <f>TiposLancamentos!B19</f>
        <v>Restaurantes</v>
      </c>
      <c r="C4181" s="826" t="s">
        <v>6468</v>
      </c>
      <c r="D4181" s="828"/>
      <c r="E4181" s="848">
        <v>114.73</v>
      </c>
      <c r="F4181" s="156"/>
    </row>
    <row r="4182" spans="1:6">
      <c r="A4182" s="847">
        <v>41077</v>
      </c>
      <c r="B4182" s="824" t="str">
        <f>TiposLancamentos!B19</f>
        <v>Restaurantes</v>
      </c>
      <c r="C4182" s="826" t="s">
        <v>22870</v>
      </c>
      <c r="D4182" s="828"/>
      <c r="E4182" s="848">
        <v>40.5</v>
      </c>
      <c r="F4182" s="156"/>
    </row>
    <row r="4183" spans="1:6">
      <c r="A4183" s="847">
        <v>41078</v>
      </c>
      <c r="B4183" s="824" t="str">
        <f>TiposLancamentos!B56</f>
        <v>Farmácia</v>
      </c>
      <c r="C4183" s="826" t="s">
        <v>22871</v>
      </c>
      <c r="D4183" s="828"/>
      <c r="E4183" s="848">
        <v>120.03</v>
      </c>
      <c r="F4183" s="156"/>
    </row>
    <row r="4184" spans="1:6">
      <c r="A4184" s="847">
        <v>41078</v>
      </c>
      <c r="B4184" s="824" t="str">
        <f>TiposLancamentos!B17</f>
        <v>GATO</v>
      </c>
      <c r="C4184" s="826" t="s">
        <v>22872</v>
      </c>
      <c r="D4184" s="828"/>
      <c r="E4184" s="848">
        <v>140.26</v>
      </c>
      <c r="F4184" s="156"/>
    </row>
    <row r="4185" spans="1:6">
      <c r="A4185" s="847">
        <v>41079</v>
      </c>
      <c r="B4185" s="824" t="str">
        <f>TiposLancamentos!B19</f>
        <v>Restaurantes</v>
      </c>
      <c r="C4185" s="826" t="s">
        <v>22873</v>
      </c>
      <c r="D4185" s="828"/>
      <c r="E4185" s="848">
        <v>17.93</v>
      </c>
      <c r="F4185" s="156"/>
    </row>
    <row r="4186" spans="1:6">
      <c r="A4186" s="847">
        <v>41079</v>
      </c>
      <c r="B4186" s="824" t="str">
        <f>TiposLancamentos!B18</f>
        <v>Alimentacao</v>
      </c>
      <c r="C4186" s="826" t="s">
        <v>22874</v>
      </c>
      <c r="D4186" s="828"/>
      <c r="E4186" s="848">
        <v>5</v>
      </c>
      <c r="F4186" s="156"/>
    </row>
    <row r="4187" spans="1:6">
      <c r="A4187" s="847">
        <v>41079</v>
      </c>
      <c r="B4187" s="824" t="str">
        <f>TiposLancamentos!B57</f>
        <v>Informática</v>
      </c>
      <c r="C4187" s="826" t="s">
        <v>22875</v>
      </c>
      <c r="D4187" s="828"/>
      <c r="E4187" s="848">
        <v>26</v>
      </c>
      <c r="F4187" s="156"/>
    </row>
    <row r="4188" spans="1:6">
      <c r="A4188" s="847">
        <v>41080</v>
      </c>
      <c r="B4188" s="824" t="str">
        <f>TiposLancamentos!B20</f>
        <v>Saques</v>
      </c>
      <c r="C4188" s="826" t="s">
        <v>20879</v>
      </c>
      <c r="D4188" s="828"/>
      <c r="E4188" s="848">
        <v>20</v>
      </c>
      <c r="F4188" s="156"/>
    </row>
    <row r="4189" spans="1:6">
      <c r="A4189" s="847">
        <v>41081</v>
      </c>
      <c r="B4189" s="824" t="str">
        <f>TiposLancamentos!B19</f>
        <v>Restaurantes</v>
      </c>
      <c r="C4189" s="826" t="s">
        <v>5914</v>
      </c>
      <c r="D4189" s="828"/>
      <c r="E4189" s="848">
        <v>12.7</v>
      </c>
      <c r="F4189" s="156"/>
    </row>
    <row r="4190" spans="1:6">
      <c r="A4190" s="847">
        <v>41081</v>
      </c>
      <c r="B4190" s="824" t="str">
        <f>TiposLancamentos!B19</f>
        <v>Restaurantes</v>
      </c>
      <c r="C4190" s="826" t="s">
        <v>22876</v>
      </c>
      <c r="D4190" s="828"/>
      <c r="E4190" s="848">
        <v>44.2</v>
      </c>
      <c r="F4190" s="156"/>
    </row>
    <row r="4191" spans="1:6">
      <c r="A4191" s="847">
        <v>41082</v>
      </c>
      <c r="B4191" s="824" t="str">
        <f>TiposLancamentos!B19</f>
        <v>Restaurantes</v>
      </c>
      <c r="C4191" s="826" t="s">
        <v>3618</v>
      </c>
      <c r="D4191" s="828"/>
      <c r="E4191" s="848">
        <v>30.56</v>
      </c>
      <c r="F4191" s="156"/>
    </row>
    <row r="4192" spans="1:6">
      <c r="A4192" s="847">
        <v>41083</v>
      </c>
      <c r="B4192" s="824" t="str">
        <f>TiposLancamentos!B19</f>
        <v>Restaurantes</v>
      </c>
      <c r="C4192" s="826" t="s">
        <v>22877</v>
      </c>
      <c r="D4192" s="828"/>
      <c r="E4192" s="848">
        <v>115.06</v>
      </c>
      <c r="F4192" s="156"/>
    </row>
    <row r="4193" spans="1:6">
      <c r="A4193" s="847">
        <v>41083</v>
      </c>
      <c r="B4193" s="824" t="str">
        <f>TiposLancamentos!B16</f>
        <v>Cristiane</v>
      </c>
      <c r="C4193" s="826" t="s">
        <v>22878</v>
      </c>
      <c r="D4193" s="828"/>
      <c r="E4193" s="848">
        <v>89.55</v>
      </c>
      <c r="F4193" s="156"/>
    </row>
    <row r="4194" spans="1:6">
      <c r="A4194" s="847">
        <v>41084</v>
      </c>
      <c r="B4194" s="824" t="str">
        <f>TiposLancamentos!B19</f>
        <v>Restaurantes</v>
      </c>
      <c r="C4194" s="826" t="s">
        <v>5760</v>
      </c>
      <c r="D4194" s="828"/>
      <c r="E4194" s="848">
        <v>44.68</v>
      </c>
      <c r="F4194" s="156"/>
    </row>
    <row r="4195" spans="1:6">
      <c r="A4195" s="847">
        <v>41084</v>
      </c>
      <c r="B4195" s="824" t="str">
        <f>TiposLancamentos!B5</f>
        <v>Supermercado</v>
      </c>
      <c r="C4195" s="826" t="s">
        <v>22117</v>
      </c>
      <c r="D4195" s="828"/>
      <c r="E4195" s="848">
        <v>60.38</v>
      </c>
      <c r="F4195" s="156"/>
    </row>
    <row r="4196" spans="1:6">
      <c r="A4196" s="847">
        <v>41085</v>
      </c>
      <c r="B4196" s="824" t="str">
        <f>TiposLancamentos!B19</f>
        <v>Restaurantes</v>
      </c>
      <c r="C4196" s="826" t="s">
        <v>22357</v>
      </c>
      <c r="D4196" s="828"/>
      <c r="E4196" s="848">
        <v>22</v>
      </c>
      <c r="F4196" s="156"/>
    </row>
    <row r="4197" spans="1:6">
      <c r="A4197" s="847">
        <v>41086</v>
      </c>
      <c r="B4197" s="824" t="str">
        <f>TiposLancamentos!B19</f>
        <v>Restaurantes</v>
      </c>
      <c r="C4197" s="826" t="s">
        <v>5742</v>
      </c>
      <c r="D4197" s="828"/>
      <c r="E4197" s="848">
        <v>23.9</v>
      </c>
      <c r="F4197" s="156"/>
    </row>
    <row r="4198" spans="1:6">
      <c r="A4198" s="847">
        <v>41086</v>
      </c>
      <c r="B4198" s="824" t="str">
        <f>TiposLancamentos!B87</f>
        <v>P207-1.6-XS</v>
      </c>
      <c r="C4198" s="826" t="s">
        <v>22879</v>
      </c>
      <c r="D4198" s="828"/>
      <c r="E4198" s="848">
        <v>923</v>
      </c>
      <c r="F4198" s="156"/>
    </row>
    <row r="4199" spans="1:6">
      <c r="A4199" s="847">
        <v>41087</v>
      </c>
      <c r="B4199" s="824" t="str">
        <f>TiposLancamentos!B19</f>
        <v>Restaurantes</v>
      </c>
      <c r="C4199" s="826" t="s">
        <v>22880</v>
      </c>
      <c r="D4199" s="828"/>
      <c r="E4199" s="848">
        <v>5</v>
      </c>
      <c r="F4199" s="156"/>
    </row>
    <row r="4200" spans="1:6">
      <c r="A4200" s="847">
        <v>41087</v>
      </c>
      <c r="B4200" s="824" t="str">
        <f>TiposLancamentos!B20</f>
        <v>Saques</v>
      </c>
      <c r="C4200" s="826" t="s">
        <v>2668</v>
      </c>
      <c r="D4200" s="828"/>
      <c r="E4200" s="848">
        <v>40</v>
      </c>
      <c r="F4200" s="156"/>
    </row>
    <row r="4201" spans="1:6">
      <c r="A4201" s="847">
        <v>41089</v>
      </c>
      <c r="B4201" s="824" t="str">
        <f>TiposLancamentos!B43</f>
        <v>Imposto de Renda</v>
      </c>
      <c r="C4201" s="826" t="s">
        <v>22881</v>
      </c>
      <c r="D4201" s="828"/>
      <c r="E4201" s="848">
        <v>392.84</v>
      </c>
      <c r="F4201" s="156"/>
    </row>
    <row r="4202" spans="1:6">
      <c r="A4202" s="847">
        <v>41089</v>
      </c>
      <c r="B4202" s="824" t="str">
        <f>TiposLancamentos!B95</f>
        <v>Salarios</v>
      </c>
      <c r="C4202" s="826" t="s">
        <v>20627</v>
      </c>
      <c r="D4202" s="828">
        <v>2214.64</v>
      </c>
      <c r="E4202" s="848"/>
      <c r="F4202" s="156"/>
    </row>
    <row r="4203" spans="1:6">
      <c r="A4203" s="847">
        <v>41089</v>
      </c>
      <c r="B4203" s="824" t="str">
        <f>TiposLancamentos!B95</f>
        <v>Salarios</v>
      </c>
      <c r="C4203" s="826" t="s">
        <v>4939</v>
      </c>
      <c r="D4203" s="828">
        <v>7193.33</v>
      </c>
      <c r="E4203" s="848"/>
      <c r="F4203" s="156"/>
    </row>
    <row r="4204" spans="1:6">
      <c r="A4204" s="847">
        <v>41090</v>
      </c>
      <c r="B4204" s="824" t="str">
        <f>TiposLancamentos!B16</f>
        <v>Cristiane</v>
      </c>
      <c r="C4204" s="826" t="s">
        <v>22882</v>
      </c>
      <c r="D4204" s="828"/>
      <c r="E4204" s="848">
        <v>190</v>
      </c>
      <c r="F4204" s="156"/>
    </row>
    <row r="4205" spans="1:6">
      <c r="A4205" s="850">
        <v>41090</v>
      </c>
      <c r="B4205" s="830" t="str">
        <f>TiposLancamentos!B37</f>
        <v>Playstation 3</v>
      </c>
      <c r="C4205" s="831" t="s">
        <v>22883</v>
      </c>
      <c r="D4205" s="832"/>
      <c r="E4205" s="851">
        <v>120</v>
      </c>
      <c r="F4205" s="156"/>
    </row>
    <row r="4206" spans="1:6">
      <c r="A4206" s="854">
        <v>41090</v>
      </c>
      <c r="B4206" s="833" t="str">
        <f>TiposLancamentos!B57</f>
        <v>Informática</v>
      </c>
      <c r="C4206" s="834" t="s">
        <v>22884</v>
      </c>
      <c r="D4206" s="835"/>
      <c r="E4206" s="855">
        <v>20</v>
      </c>
      <c r="F4206" s="156">
        <f>SUM(E4205:E4206)</f>
        <v>140</v>
      </c>
    </row>
    <row r="4207" spans="1:6">
      <c r="A4207" s="847">
        <v>41090</v>
      </c>
      <c r="B4207" s="824" t="str">
        <f>TiposLancamentos!B71</f>
        <v>Itens Pessoais</v>
      </c>
      <c r="C4207" s="826" t="s">
        <v>22885</v>
      </c>
      <c r="D4207" s="828"/>
      <c r="E4207" s="848">
        <v>590</v>
      </c>
      <c r="F4207" s="156"/>
    </row>
    <row r="4208" spans="1:6" ht="14.25" thickBot="1">
      <c r="A4208" s="847">
        <v>41090</v>
      </c>
      <c r="B4208" s="824" t="str">
        <f>TiposLancamentos!B19</f>
        <v>Restaurantes</v>
      </c>
      <c r="C4208" s="826" t="s">
        <v>22886</v>
      </c>
      <c r="D4208" s="828"/>
      <c r="E4208" s="848">
        <v>93.73</v>
      </c>
      <c r="F4208" s="156"/>
    </row>
    <row r="4209" spans="1:6">
      <c r="A4209" s="981"/>
      <c r="B4209" s="977"/>
      <c r="C4209" s="978" t="s">
        <v>5822</v>
      </c>
      <c r="D4209" s="979"/>
      <c r="E4209" s="984"/>
      <c r="F4209" s="156"/>
    </row>
    <row r="4210" spans="1:6">
      <c r="A4210" s="847">
        <v>41091</v>
      </c>
      <c r="B4210" s="125" t="str">
        <f>TiposLancamentos!B22</f>
        <v>Combustivel</v>
      </c>
      <c r="C4210" s="826" t="s">
        <v>22887</v>
      </c>
      <c r="D4210" s="51"/>
      <c r="E4210" s="848">
        <v>100.05</v>
      </c>
      <c r="F4210" s="156"/>
    </row>
    <row r="4211" spans="1:6">
      <c r="A4211" s="847">
        <v>41091</v>
      </c>
      <c r="B4211" s="125" t="str">
        <f>TiposLancamentos!B19</f>
        <v>Restaurantes</v>
      </c>
      <c r="C4211" s="826" t="s">
        <v>22504</v>
      </c>
      <c r="D4211" s="51"/>
      <c r="E4211" s="848">
        <v>21.2</v>
      </c>
      <c r="F4211" s="156"/>
    </row>
    <row r="4212" spans="1:6">
      <c r="A4212" s="847">
        <v>41092</v>
      </c>
      <c r="B4212" s="125" t="str">
        <f>TiposLancamentos!B15</f>
        <v>Cartões de Crédito</v>
      </c>
      <c r="C4212" s="826" t="s">
        <v>6240</v>
      </c>
      <c r="D4212" s="51"/>
      <c r="E4212" s="848">
        <v>2299.33</v>
      </c>
      <c r="F4212" s="156"/>
    </row>
    <row r="4213" spans="1:6">
      <c r="A4213" s="850">
        <v>41092</v>
      </c>
      <c r="B4213" s="817" t="str">
        <f>TiposLancamentos!B8</f>
        <v>Aluguel</v>
      </c>
      <c r="C4213" s="831" t="s">
        <v>2504</v>
      </c>
      <c r="D4213" s="809"/>
      <c r="E4213" s="851">
        <f>1229.62+4.8+1.05</f>
        <v>1235.4699999999998</v>
      </c>
      <c r="F4213" s="156"/>
    </row>
    <row r="4214" spans="1:6">
      <c r="A4214" s="852">
        <v>41092</v>
      </c>
      <c r="B4214" s="816" t="str">
        <f>TiposLancamentos!B12</f>
        <v>IPTU</v>
      </c>
      <c r="C4214" s="827" t="s">
        <v>22888</v>
      </c>
      <c r="D4214" s="127"/>
      <c r="E4214" s="853">
        <v>99.29</v>
      </c>
      <c r="F4214" s="156"/>
    </row>
    <row r="4215" spans="1:6">
      <c r="A4215" s="854">
        <v>41092</v>
      </c>
      <c r="B4215" s="818" t="str">
        <f>TiposLancamentos!B34</f>
        <v>Seguros</v>
      </c>
      <c r="C4215" s="834" t="s">
        <v>22889</v>
      </c>
      <c r="D4215" s="813"/>
      <c r="E4215" s="855">
        <v>480</v>
      </c>
      <c r="F4215" s="156">
        <f>SUM(E4213:E4215)</f>
        <v>1814.7599999999998</v>
      </c>
    </row>
    <row r="4216" spans="1:6">
      <c r="A4216" s="847">
        <v>41092</v>
      </c>
      <c r="B4216" s="824" t="str">
        <f>TiposLancamentos!B9</f>
        <v>Condominio</v>
      </c>
      <c r="C4216" s="826" t="s">
        <v>1684</v>
      </c>
      <c r="D4216" s="51"/>
      <c r="E4216" s="848">
        <v>757.48</v>
      </c>
      <c r="F4216" s="156"/>
    </row>
    <row r="4217" spans="1:6">
      <c r="A4217" s="847">
        <v>41092</v>
      </c>
      <c r="B4217" s="824" t="str">
        <f>TiposLancamentos!B3</f>
        <v>Internet</v>
      </c>
      <c r="C4217" s="826" t="s">
        <v>5838</v>
      </c>
      <c r="D4217" s="51"/>
      <c r="E4217" s="848">
        <v>59.9</v>
      </c>
      <c r="F4217" s="156"/>
    </row>
    <row r="4218" spans="1:6">
      <c r="A4218" s="830">
        <v>41092</v>
      </c>
      <c r="B4218" s="817" t="str">
        <f>TiposLancamentos!B35</f>
        <v>Tv à Cabo</v>
      </c>
      <c r="C4218" s="831" t="s">
        <v>5834</v>
      </c>
      <c r="D4218" s="747"/>
      <c r="E4218" s="851">
        <v>153.36000000000001</v>
      </c>
      <c r="F4218" s="156"/>
    </row>
    <row r="4219" spans="1:6">
      <c r="A4219" s="825">
        <v>41092</v>
      </c>
      <c r="B4219" s="816" t="str">
        <f>TiposLancamentos!B3</f>
        <v>Internet</v>
      </c>
      <c r="C4219" s="827" t="s">
        <v>5835</v>
      </c>
      <c r="D4219" s="51"/>
      <c r="E4219" s="853">
        <v>75.42</v>
      </c>
      <c r="F4219" s="156"/>
    </row>
    <row r="4220" spans="1:6">
      <c r="A4220" s="833">
        <v>41092</v>
      </c>
      <c r="B4220" s="818" t="str">
        <f>TiposLancamentos!B2</f>
        <v>Telefonia</v>
      </c>
      <c r="C4220" s="834" t="s">
        <v>5836</v>
      </c>
      <c r="D4220" s="849"/>
      <c r="E4220" s="855">
        <v>37.9</v>
      </c>
      <c r="F4220" s="156">
        <f>SUM(E4218:E4220)</f>
        <v>266.68</v>
      </c>
    </row>
    <row r="4221" spans="1:6">
      <c r="A4221" s="847">
        <v>41092</v>
      </c>
      <c r="B4221" s="824" t="str">
        <f>TiposLancamentos!B34</f>
        <v>Seguros</v>
      </c>
      <c r="C4221" s="826" t="s">
        <v>5809</v>
      </c>
      <c r="D4221" s="828"/>
      <c r="E4221" s="848">
        <v>69</v>
      </c>
      <c r="F4221" s="156"/>
    </row>
    <row r="4222" spans="1:6">
      <c r="A4222" s="847">
        <v>41092</v>
      </c>
      <c r="B4222" s="824" t="str">
        <f>TiposLancamentos!B6</f>
        <v>Energia Eletrica</v>
      </c>
      <c r="C4222" s="826" t="s">
        <v>5744</v>
      </c>
      <c r="D4222" s="828"/>
      <c r="E4222" s="848">
        <v>151.85</v>
      </c>
      <c r="F4222" s="156"/>
    </row>
    <row r="4223" spans="1:6">
      <c r="A4223" s="847">
        <v>41092</v>
      </c>
      <c r="B4223" s="824" t="str">
        <f>TiposLancamentos!B105</f>
        <v>Transf. Bco</v>
      </c>
      <c r="C4223" s="826" t="s">
        <v>22890</v>
      </c>
      <c r="D4223" s="828"/>
      <c r="E4223" s="848">
        <v>1500</v>
      </c>
      <c r="F4223" s="156"/>
    </row>
    <row r="4224" spans="1:6">
      <c r="A4224" s="847">
        <v>41092</v>
      </c>
      <c r="B4224" s="824" t="str">
        <f>TiposLancamentos!B103</f>
        <v>Juros_Corr. Poupança</v>
      </c>
      <c r="C4224" s="826" t="s">
        <v>22667</v>
      </c>
      <c r="D4224" s="828">
        <v>1.36</v>
      </c>
      <c r="E4224" s="848"/>
      <c r="F4224" s="156"/>
    </row>
    <row r="4225" spans="1:6">
      <c r="A4225" s="847">
        <v>41093</v>
      </c>
      <c r="B4225" s="824" t="str">
        <f>TiposLancamentos!B56</f>
        <v>Farmácia</v>
      </c>
      <c r="C4225" s="826" t="s">
        <v>22891</v>
      </c>
      <c r="D4225" s="828"/>
      <c r="E4225" s="848">
        <v>47.18</v>
      </c>
      <c r="F4225" s="156"/>
    </row>
    <row r="4226" spans="1:6">
      <c r="A4226" s="847">
        <v>41093</v>
      </c>
      <c r="B4226" s="824" t="str">
        <f>TiposLancamentos!B16</f>
        <v>Cristiane</v>
      </c>
      <c r="C4226" s="826" t="s">
        <v>22892</v>
      </c>
      <c r="D4226" s="828"/>
      <c r="E4226" s="848">
        <v>27.3</v>
      </c>
      <c r="F4226" s="156"/>
    </row>
    <row r="4227" spans="1:6">
      <c r="A4227" s="847">
        <v>41093</v>
      </c>
      <c r="B4227" s="824" t="str">
        <f>TiposLancamentos!B74</f>
        <v>Noite</v>
      </c>
      <c r="C4227" s="826" t="s">
        <v>22893</v>
      </c>
      <c r="D4227" s="828"/>
      <c r="E4227" s="848">
        <v>37</v>
      </c>
      <c r="F4227" s="156"/>
    </row>
    <row r="4228" spans="1:6">
      <c r="A4228" s="847">
        <v>41094</v>
      </c>
      <c r="B4228" s="824" t="str">
        <f>TiposLancamentos!B16</f>
        <v>Cristiane</v>
      </c>
      <c r="C4228" s="826" t="s">
        <v>22894</v>
      </c>
      <c r="D4228" s="828"/>
      <c r="E4228" s="848">
        <v>53.7</v>
      </c>
      <c r="F4228" s="156"/>
    </row>
    <row r="4229" spans="1:6">
      <c r="A4229" s="847">
        <v>41095</v>
      </c>
      <c r="B4229" s="824" t="str">
        <f>TiposLancamentos!B5</f>
        <v>Supermercado</v>
      </c>
      <c r="C4229" s="826" t="s">
        <v>22532</v>
      </c>
      <c r="D4229" s="828"/>
      <c r="E4229" s="848">
        <v>57.73</v>
      </c>
      <c r="F4229" s="156"/>
    </row>
    <row r="4230" spans="1:6">
      <c r="A4230" s="847">
        <v>41095</v>
      </c>
      <c r="B4230" s="824" t="str">
        <f>TiposLancamentos!B16</f>
        <v>Cristiane</v>
      </c>
      <c r="C4230" s="826" t="s">
        <v>22895</v>
      </c>
      <c r="D4230" s="828"/>
      <c r="E4230" s="848">
        <v>45.29</v>
      </c>
      <c r="F4230" s="156"/>
    </row>
    <row r="4231" spans="1:6">
      <c r="A4231" s="847">
        <v>41095</v>
      </c>
      <c r="B4231" s="824" t="str">
        <f>TiposLancamentos!B5</f>
        <v>Supermercado</v>
      </c>
      <c r="C4231" s="826" t="s">
        <v>22896</v>
      </c>
      <c r="D4231" s="828"/>
      <c r="E4231" s="848">
        <v>19.899999999999999</v>
      </c>
      <c r="F4231" s="156"/>
    </row>
    <row r="4232" spans="1:6">
      <c r="A4232" s="847">
        <v>41095</v>
      </c>
      <c r="B4232" s="824" t="str">
        <f>TiposLancamentos!B16</f>
        <v>Cristiane</v>
      </c>
      <c r="C4232" s="826" t="s">
        <v>22897</v>
      </c>
      <c r="D4232" s="828"/>
      <c r="E4232" s="848">
        <v>65</v>
      </c>
      <c r="F4232" s="156"/>
    </row>
    <row r="4233" spans="1:6">
      <c r="A4233" s="830">
        <v>41095</v>
      </c>
      <c r="B4233" s="817" t="str">
        <f>TiposLancamentos!B44</f>
        <v>Academia</v>
      </c>
      <c r="C4233" s="831" t="s">
        <v>22898</v>
      </c>
      <c r="D4233" s="809"/>
      <c r="E4233" s="851">
        <f>F4234/2</f>
        <v>105</v>
      </c>
      <c r="F4233" s="156"/>
    </row>
    <row r="4234" spans="1:6">
      <c r="A4234" s="833">
        <v>41095</v>
      </c>
      <c r="B4234" s="818" t="str">
        <f>TiposLancamentos!B16</f>
        <v>Cristiane</v>
      </c>
      <c r="C4234" s="834" t="s">
        <v>22899</v>
      </c>
      <c r="D4234" s="813"/>
      <c r="E4234" s="855">
        <f>F4234-E4233</f>
        <v>105</v>
      </c>
      <c r="F4234" s="156">
        <v>210</v>
      </c>
    </row>
    <row r="4235" spans="1:6">
      <c r="A4235" s="847">
        <v>41096</v>
      </c>
      <c r="B4235" s="824" t="str">
        <f>TiposLancamentos!B87</f>
        <v>P207-1.6-XS</v>
      </c>
      <c r="C4235" s="826" t="s">
        <v>22900</v>
      </c>
      <c r="D4235" s="828"/>
      <c r="E4235" s="848">
        <v>114.58</v>
      </c>
      <c r="F4235" s="156"/>
    </row>
    <row r="4236" spans="1:6">
      <c r="A4236" s="847">
        <v>41096</v>
      </c>
      <c r="B4236" s="824" t="str">
        <f>TiposLancamentos!B19</f>
        <v>Restaurantes</v>
      </c>
      <c r="C4236" s="826" t="s">
        <v>22901</v>
      </c>
      <c r="D4236" s="828"/>
      <c r="E4236" s="848">
        <v>44</v>
      </c>
      <c r="F4236" s="156"/>
    </row>
    <row r="4237" spans="1:6">
      <c r="A4237" s="847">
        <v>41097</v>
      </c>
      <c r="B4237" s="824" t="str">
        <f>TiposLancamentos!B19</f>
        <v>Restaurantes</v>
      </c>
      <c r="C4237" s="826" t="s">
        <v>6658</v>
      </c>
      <c r="D4237" s="828"/>
      <c r="E4237" s="848">
        <v>108.02</v>
      </c>
      <c r="F4237" s="156"/>
    </row>
    <row r="4238" spans="1:6">
      <c r="A4238" s="847">
        <v>41097</v>
      </c>
      <c r="B4238" s="824" t="str">
        <f>TiposLancamentos!B19</f>
        <v>Restaurantes</v>
      </c>
      <c r="C4238" s="826" t="s">
        <v>22902</v>
      </c>
      <c r="D4238" s="828"/>
      <c r="E4238" s="848">
        <v>24.1</v>
      </c>
      <c r="F4238" s="156"/>
    </row>
    <row r="4239" spans="1:6">
      <c r="A4239" s="847">
        <v>41097</v>
      </c>
      <c r="B4239" s="824" t="str">
        <f>TiposLancamentos!B24</f>
        <v>Estacionamentos</v>
      </c>
      <c r="C4239" s="826" t="s">
        <v>2527</v>
      </c>
      <c r="D4239" s="828"/>
      <c r="E4239" s="848">
        <v>18</v>
      </c>
      <c r="F4239" s="156"/>
    </row>
    <row r="4240" spans="1:6">
      <c r="A4240" s="847">
        <v>41098</v>
      </c>
      <c r="B4240" s="824" t="str">
        <f>TiposLancamentos!B19</f>
        <v>Restaurantes</v>
      </c>
      <c r="C4240" s="826" t="s">
        <v>17270</v>
      </c>
      <c r="D4240" s="828"/>
      <c r="E4240" s="848">
        <v>167.75</v>
      </c>
      <c r="F4240" s="156"/>
    </row>
    <row r="4241" spans="1:6">
      <c r="A4241" s="847">
        <v>41098</v>
      </c>
      <c r="B4241" s="824" t="str">
        <f>TiposLancamentos!B19</f>
        <v>Restaurantes</v>
      </c>
      <c r="C4241" s="826" t="s">
        <v>17206</v>
      </c>
      <c r="D4241" s="828"/>
      <c r="E4241" s="848">
        <v>35.75</v>
      </c>
      <c r="F4241" s="156"/>
    </row>
    <row r="4242" spans="1:6">
      <c r="A4242" s="847">
        <v>41099</v>
      </c>
      <c r="B4242" s="824" t="str">
        <f>TiposLancamentos!B13</f>
        <v>Moradia</v>
      </c>
      <c r="C4242" s="826" t="s">
        <v>22754</v>
      </c>
      <c r="D4242" s="828"/>
      <c r="E4242" s="848">
        <v>318.36</v>
      </c>
      <c r="F4242" s="156"/>
    </row>
    <row r="4243" spans="1:6">
      <c r="A4243" s="847">
        <v>41099</v>
      </c>
      <c r="B4243" s="824" t="str">
        <f>TiposLancamentos!B19</f>
        <v>Restaurantes</v>
      </c>
      <c r="C4243" s="826" t="s">
        <v>5783</v>
      </c>
      <c r="D4243" s="828"/>
      <c r="E4243" s="848">
        <v>33.44</v>
      </c>
      <c r="F4243" s="156"/>
    </row>
    <row r="4244" spans="1:6">
      <c r="A4244" s="847">
        <v>41099</v>
      </c>
      <c r="B4244" s="824" t="str">
        <f>TiposLancamentos!B16</f>
        <v>Cristiane</v>
      </c>
      <c r="C4244" s="826" t="s">
        <v>22903</v>
      </c>
      <c r="D4244" s="828"/>
      <c r="E4244" s="848">
        <v>85.75</v>
      </c>
      <c r="F4244" s="156"/>
    </row>
    <row r="4245" spans="1:6">
      <c r="A4245" s="847">
        <v>41099</v>
      </c>
      <c r="B4245" s="824" t="str">
        <f>TiposLancamentos!B5</f>
        <v>Supermercado</v>
      </c>
      <c r="C4245" s="826" t="s">
        <v>22117</v>
      </c>
      <c r="D4245" s="828"/>
      <c r="E4245" s="848">
        <v>154.31</v>
      </c>
      <c r="F4245" s="156"/>
    </row>
    <row r="4246" spans="1:6">
      <c r="A4246" s="847">
        <v>41100</v>
      </c>
      <c r="B4246" s="824" t="str">
        <f>TiposLancamentos!B5</f>
        <v>Supermercado</v>
      </c>
      <c r="C4246" s="826" t="s">
        <v>22532</v>
      </c>
      <c r="D4246" s="828"/>
      <c r="E4246" s="848">
        <f>13.09</f>
        <v>13.09</v>
      </c>
      <c r="F4246" s="156"/>
    </row>
    <row r="4247" spans="1:6">
      <c r="A4247" s="847">
        <v>41101</v>
      </c>
      <c r="B4247" s="824" t="str">
        <f>TiposLancamentos!B16</f>
        <v>Cristiane</v>
      </c>
      <c r="C4247" s="826" t="s">
        <v>5216</v>
      </c>
      <c r="D4247" s="828"/>
      <c r="E4247" s="848">
        <v>119.97</v>
      </c>
      <c r="F4247" s="156"/>
    </row>
    <row r="4248" spans="1:6">
      <c r="A4248" s="847">
        <v>41102</v>
      </c>
      <c r="B4248" s="824" t="str">
        <f>TiposLancamentos!B16</f>
        <v>Cristiane</v>
      </c>
      <c r="C4248" s="826" t="s">
        <v>22904</v>
      </c>
      <c r="D4248" s="828"/>
      <c r="E4248" s="848">
        <v>18.399999999999999</v>
      </c>
      <c r="F4248" s="156"/>
    </row>
    <row r="4249" spans="1:6">
      <c r="A4249" s="847">
        <v>41103</v>
      </c>
      <c r="B4249" s="824" t="str">
        <f>TiposLancamentos!B95</f>
        <v>Salarios</v>
      </c>
      <c r="C4249" s="826" t="s">
        <v>4916</v>
      </c>
      <c r="D4249" s="828">
        <v>2110.15</v>
      </c>
      <c r="E4249" s="848"/>
      <c r="F4249" s="156"/>
    </row>
    <row r="4250" spans="1:6">
      <c r="A4250" s="847">
        <v>41103</v>
      </c>
      <c r="B4250" s="824" t="str">
        <f>TiposLancamentos!B19</f>
        <v>Restaurantes</v>
      </c>
      <c r="C4250" s="826" t="s">
        <v>22905</v>
      </c>
      <c r="D4250" s="828"/>
      <c r="E4250" s="848">
        <v>30</v>
      </c>
      <c r="F4250" s="156"/>
    </row>
    <row r="4251" spans="1:6">
      <c r="A4251" s="847">
        <v>41104</v>
      </c>
      <c r="B4251" s="824" t="str">
        <f>TiposLancamentos!B5</f>
        <v>Supermercado</v>
      </c>
      <c r="C4251" s="826" t="s">
        <v>22906</v>
      </c>
      <c r="D4251" s="828"/>
      <c r="E4251" s="848">
        <v>111.05</v>
      </c>
      <c r="F4251" s="156"/>
    </row>
    <row r="4252" spans="1:6">
      <c r="A4252" s="923">
        <v>41106</v>
      </c>
      <c r="B4252" s="830" t="str">
        <f>TiposLancamentos!B33</f>
        <v>Pedágios</v>
      </c>
      <c r="C4252" s="915" t="s">
        <v>5392</v>
      </c>
      <c r="D4252" s="917"/>
      <c r="E4252" s="920">
        <v>6.45</v>
      </c>
    </row>
    <row r="4253" spans="1:6">
      <c r="A4253" s="924">
        <v>41106</v>
      </c>
      <c r="B4253" s="833" t="str">
        <f>TiposLancamentos!B24</f>
        <v>Estacionamentos</v>
      </c>
      <c r="C4253" s="916" t="s">
        <v>5863</v>
      </c>
      <c r="D4253" s="918"/>
      <c r="E4253" s="922">
        <v>28</v>
      </c>
      <c r="F4253" s="156">
        <f>SUM(E4252:E4253)</f>
        <v>34.450000000000003</v>
      </c>
    </row>
    <row r="4254" spans="1:6">
      <c r="A4254" s="847">
        <v>41107</v>
      </c>
      <c r="B4254" s="824" t="str">
        <f>TiposLancamentos!B22</f>
        <v>Combustivel</v>
      </c>
      <c r="C4254" s="826" t="s">
        <v>5961</v>
      </c>
      <c r="D4254" s="828"/>
      <c r="E4254" s="848">
        <v>115.06</v>
      </c>
      <c r="F4254" s="156"/>
    </row>
    <row r="4255" spans="1:6">
      <c r="A4255" s="847">
        <v>41108</v>
      </c>
      <c r="B4255" s="824" t="str">
        <f>TiposLancamentos!B71</f>
        <v>Itens Pessoais</v>
      </c>
      <c r="C4255" s="826" t="s">
        <v>22907</v>
      </c>
      <c r="D4255" s="828"/>
      <c r="E4255" s="848">
        <v>112.07</v>
      </c>
      <c r="F4255" s="156"/>
    </row>
    <row r="4256" spans="1:6">
      <c r="A4256" s="847">
        <v>41109</v>
      </c>
      <c r="B4256" s="824" t="str">
        <f>TiposLancamentos!B5</f>
        <v>Supermercado</v>
      </c>
      <c r="C4256" s="826" t="s">
        <v>6234</v>
      </c>
      <c r="D4256" s="828"/>
      <c r="E4256" s="848">
        <v>36.25</v>
      </c>
      <c r="F4256" s="156"/>
    </row>
    <row r="4257" spans="1:6">
      <c r="A4257" s="847">
        <v>41110</v>
      </c>
      <c r="B4257" s="824" t="str">
        <f>TiposLancamentos!B5</f>
        <v>Supermercado</v>
      </c>
      <c r="C4257" s="826" t="s">
        <v>5862</v>
      </c>
      <c r="D4257" s="828"/>
      <c r="E4257" s="848">
        <v>54.72</v>
      </c>
      <c r="F4257" s="156"/>
    </row>
    <row r="4258" spans="1:6">
      <c r="A4258" s="847">
        <v>41111</v>
      </c>
      <c r="B4258" s="824" t="str">
        <f>TiposLancamentos!B16</f>
        <v>Cristiane</v>
      </c>
      <c r="C4258" s="826" t="s">
        <v>22673</v>
      </c>
      <c r="D4258" s="828"/>
      <c r="E4258" s="848">
        <v>111.95</v>
      </c>
      <c r="F4258" s="156"/>
    </row>
    <row r="4259" spans="1:6">
      <c r="A4259" s="847">
        <v>41111</v>
      </c>
      <c r="B4259" s="824" t="str">
        <f>TiposLancamentos!B31</f>
        <v>Action Figures</v>
      </c>
      <c r="C4259" s="826" t="s">
        <v>22908</v>
      </c>
      <c r="D4259" s="828"/>
      <c r="E4259" s="848">
        <v>19.989999999999998</v>
      </c>
      <c r="F4259" s="156"/>
    </row>
    <row r="4260" spans="1:6">
      <c r="A4260" s="847">
        <v>41111</v>
      </c>
      <c r="B4260" s="824" t="str">
        <f>TiposLancamentos!B19</f>
        <v>Restaurantes</v>
      </c>
      <c r="C4260" s="826" t="s">
        <v>6468</v>
      </c>
      <c r="D4260" s="828"/>
      <c r="E4260" s="848">
        <v>148.06</v>
      </c>
      <c r="F4260" s="156"/>
    </row>
    <row r="4261" spans="1:6">
      <c r="A4261" s="847">
        <v>41111</v>
      </c>
      <c r="B4261" s="824" t="str">
        <f>TiposLancamentos!B19</f>
        <v>Restaurantes</v>
      </c>
      <c r="C4261" s="826" t="s">
        <v>22909</v>
      </c>
      <c r="D4261" s="828"/>
      <c r="E4261" s="848">
        <v>7.5</v>
      </c>
      <c r="F4261" s="156"/>
    </row>
    <row r="4262" spans="1:6">
      <c r="A4262" s="847">
        <v>41112</v>
      </c>
      <c r="B4262" s="824" t="str">
        <f>TiposLancamentos!B19</f>
        <v>Restaurantes</v>
      </c>
      <c r="C4262" s="826" t="s">
        <v>22910</v>
      </c>
      <c r="D4262" s="828"/>
      <c r="E4262" s="848">
        <v>154.88</v>
      </c>
      <c r="F4262" s="156"/>
    </row>
    <row r="4263" spans="1:6">
      <c r="A4263" s="847">
        <v>41112</v>
      </c>
      <c r="B4263" s="824" t="str">
        <f>TiposLancamentos!B13</f>
        <v>Moradia</v>
      </c>
      <c r="C4263" s="826" t="s">
        <v>22911</v>
      </c>
      <c r="D4263" s="828"/>
      <c r="E4263" s="848">
        <v>28.5</v>
      </c>
      <c r="F4263" s="156"/>
    </row>
    <row r="4264" spans="1:6">
      <c r="A4264" s="847">
        <v>41113</v>
      </c>
      <c r="B4264" s="824" t="str">
        <f>TiposLancamentos!B19</f>
        <v>Restaurantes</v>
      </c>
      <c r="C4264" s="826" t="s">
        <v>5914</v>
      </c>
      <c r="D4264" s="828"/>
      <c r="E4264" s="848">
        <v>18.2</v>
      </c>
      <c r="F4264" s="156"/>
    </row>
    <row r="4265" spans="1:6">
      <c r="A4265" s="847">
        <v>41113</v>
      </c>
      <c r="B4265" s="824" t="str">
        <f>TiposLancamentos!B5</f>
        <v>Supermercado</v>
      </c>
      <c r="C4265" s="826" t="s">
        <v>5967</v>
      </c>
      <c r="D4265" s="828"/>
      <c r="E4265" s="848">
        <v>131.83000000000001</v>
      </c>
      <c r="F4265" s="156"/>
    </row>
    <row r="4266" spans="1:6">
      <c r="A4266" s="847">
        <v>41113</v>
      </c>
      <c r="B4266" s="824" t="str">
        <f>TiposLancamentos!B19</f>
        <v>Restaurantes</v>
      </c>
      <c r="C4266" s="826" t="s">
        <v>22912</v>
      </c>
      <c r="D4266" s="828"/>
      <c r="E4266" s="848">
        <v>46.3</v>
      </c>
      <c r="F4266" s="156"/>
    </row>
    <row r="4267" spans="1:6">
      <c r="A4267" s="847">
        <v>41114</v>
      </c>
      <c r="B4267" s="824" t="str">
        <f>TiposLancamentos!B56</f>
        <v>Farmácia</v>
      </c>
      <c r="C4267" s="826" t="s">
        <v>6118</v>
      </c>
      <c r="D4267" s="828"/>
      <c r="E4267" s="848">
        <v>51.72</v>
      </c>
      <c r="F4267" s="156"/>
    </row>
    <row r="4268" spans="1:6">
      <c r="A4268" s="847">
        <v>41114</v>
      </c>
      <c r="B4268" s="824" t="str">
        <f>TiposLancamentos!B16</f>
        <v>Cristiane</v>
      </c>
      <c r="C4268" s="826" t="s">
        <v>22913</v>
      </c>
      <c r="D4268" s="828"/>
      <c r="E4268" s="848">
        <f>F4268-E4267</f>
        <v>113.59</v>
      </c>
      <c r="F4268" s="156">
        <v>165.31</v>
      </c>
    </row>
    <row r="4269" spans="1:6">
      <c r="A4269" s="847">
        <v>41115</v>
      </c>
      <c r="B4269" s="824" t="str">
        <f>TiposLancamentos!B19</f>
        <v>Restaurantes</v>
      </c>
      <c r="C4269" s="826" t="s">
        <v>7590</v>
      </c>
      <c r="D4269" s="828"/>
      <c r="E4269" s="848">
        <v>39.299999999999997</v>
      </c>
      <c r="F4269" s="156"/>
    </row>
    <row r="4270" spans="1:6">
      <c r="A4270" s="847">
        <v>41115</v>
      </c>
      <c r="B4270" s="824" t="str">
        <f>TiposLancamentos!B16</f>
        <v>Cristiane</v>
      </c>
      <c r="C4270" s="826" t="s">
        <v>10862</v>
      </c>
      <c r="D4270" s="828"/>
      <c r="E4270" s="848">
        <v>29.7</v>
      </c>
      <c r="F4270" s="156"/>
    </row>
    <row r="4271" spans="1:6">
      <c r="A4271" s="847">
        <v>41115</v>
      </c>
      <c r="B4271" s="824" t="str">
        <f>TiposLancamentos!B16</f>
        <v>Cristiane</v>
      </c>
      <c r="C4271" s="826" t="s">
        <v>22914</v>
      </c>
      <c r="D4271" s="828"/>
      <c r="E4271" s="848">
        <v>44.8</v>
      </c>
      <c r="F4271" s="156"/>
    </row>
    <row r="4272" spans="1:6">
      <c r="A4272" s="847">
        <v>41115</v>
      </c>
      <c r="B4272" s="824" t="str">
        <f>TiposLancamentos!B19</f>
        <v>Restaurantes</v>
      </c>
      <c r="C4272" s="826" t="s">
        <v>22915</v>
      </c>
      <c r="D4272" s="828"/>
      <c r="E4272" s="848">
        <v>16.2</v>
      </c>
      <c r="F4272" s="156"/>
    </row>
    <row r="4273" spans="1:6">
      <c r="A4273" s="847">
        <v>41116</v>
      </c>
      <c r="B4273" s="824" t="str">
        <f>TiposLancamentos!B19</f>
        <v>Restaurantes</v>
      </c>
      <c r="C4273" s="826" t="s">
        <v>22916</v>
      </c>
      <c r="D4273" s="828"/>
      <c r="E4273" s="848">
        <v>8</v>
      </c>
      <c r="F4273" s="156"/>
    </row>
    <row r="4274" spans="1:6">
      <c r="A4274" s="847">
        <v>41117</v>
      </c>
      <c r="B4274" s="824" t="str">
        <f>TiposLancamentos!B19</f>
        <v>Restaurantes</v>
      </c>
      <c r="C4274" s="826" t="s">
        <v>5913</v>
      </c>
      <c r="D4274" s="828"/>
      <c r="E4274" s="848">
        <v>8.5500000000000007</v>
      </c>
      <c r="F4274" s="156"/>
    </row>
    <row r="4275" spans="1:6">
      <c r="A4275" s="847">
        <v>41114</v>
      </c>
      <c r="B4275" s="824" t="str">
        <f>TiposLancamentos!B19</f>
        <v>Restaurantes</v>
      </c>
      <c r="C4275" s="826" t="s">
        <v>17244</v>
      </c>
      <c r="D4275" s="828"/>
      <c r="E4275" s="848">
        <v>47.2</v>
      </c>
      <c r="F4275" s="156"/>
    </row>
    <row r="4276" spans="1:6">
      <c r="A4276" s="847">
        <v>41117</v>
      </c>
      <c r="B4276" s="824" t="str">
        <f>TiposLancamentos!B19</f>
        <v>Restaurantes</v>
      </c>
      <c r="C4276" s="826" t="s">
        <v>14884</v>
      </c>
      <c r="D4276" s="828"/>
      <c r="E4276" s="848">
        <v>19.399999999999999</v>
      </c>
      <c r="F4276" s="156"/>
    </row>
    <row r="4277" spans="1:6">
      <c r="A4277" s="847">
        <v>41117</v>
      </c>
      <c r="B4277" s="824" t="str">
        <f>TiposLancamentos!B13</f>
        <v>Moradia</v>
      </c>
      <c r="C4277" s="826" t="s">
        <v>22917</v>
      </c>
      <c r="D4277" s="828"/>
      <c r="E4277" s="848">
        <v>49</v>
      </c>
      <c r="F4277" s="156"/>
    </row>
    <row r="4278" spans="1:6">
      <c r="A4278" s="847">
        <v>41117</v>
      </c>
      <c r="B4278" s="824" t="str">
        <f>TiposLancamentos!B19</f>
        <v>Restaurantes</v>
      </c>
      <c r="C4278" s="826" t="s">
        <v>22918</v>
      </c>
      <c r="D4278" s="828"/>
      <c r="E4278" s="848">
        <v>44</v>
      </c>
      <c r="F4278" s="156"/>
    </row>
    <row r="4279" spans="1:6">
      <c r="A4279" s="847">
        <v>41118</v>
      </c>
      <c r="B4279" s="824" t="str">
        <f>TiposLancamentos!B19</f>
        <v>Restaurantes</v>
      </c>
      <c r="C4279" s="826" t="s">
        <v>22151</v>
      </c>
      <c r="D4279" s="828"/>
      <c r="E4279" s="848">
        <v>72</v>
      </c>
      <c r="F4279" s="156"/>
    </row>
    <row r="4280" spans="1:6">
      <c r="A4280" s="847">
        <v>41118</v>
      </c>
      <c r="B4280" s="824" t="str">
        <f>TiposLancamentos!B13</f>
        <v>Moradia</v>
      </c>
      <c r="C4280" s="826" t="s">
        <v>22919</v>
      </c>
      <c r="D4280" s="828"/>
      <c r="E4280" s="848">
        <v>27.2</v>
      </c>
      <c r="F4280" s="156"/>
    </row>
    <row r="4281" spans="1:6">
      <c r="A4281" s="847">
        <v>41118</v>
      </c>
      <c r="B4281" s="824" t="str">
        <f>TiposLancamentos!B16</f>
        <v>Cristiane</v>
      </c>
      <c r="C4281" s="826" t="s">
        <v>22920</v>
      </c>
      <c r="D4281" s="828"/>
      <c r="E4281" s="848">
        <v>61.4</v>
      </c>
      <c r="F4281" s="156"/>
    </row>
    <row r="4282" spans="1:6">
      <c r="A4282" s="847">
        <v>41118</v>
      </c>
      <c r="B4282" s="824" t="str">
        <f>TiposLancamentos!B5</f>
        <v>Supermercado</v>
      </c>
      <c r="C4282" s="826" t="s">
        <v>5862</v>
      </c>
      <c r="D4282" s="828"/>
      <c r="E4282" s="848">
        <v>122.9</v>
      </c>
      <c r="F4282" s="156"/>
    </row>
    <row r="4283" spans="1:6">
      <c r="A4283" s="847">
        <v>41119</v>
      </c>
      <c r="B4283" s="824" t="str">
        <f>B4278</f>
        <v>Restaurantes</v>
      </c>
      <c r="C4283" s="826" t="s">
        <v>22921</v>
      </c>
      <c r="D4283" s="828"/>
      <c r="E4283" s="848">
        <v>174.02</v>
      </c>
      <c r="F4283" s="156"/>
    </row>
    <row r="4284" spans="1:6">
      <c r="A4284" s="847">
        <v>41121</v>
      </c>
      <c r="B4284" s="824" t="str">
        <f>TiposLancamentos!B95</f>
        <v>Salarios</v>
      </c>
      <c r="C4284" s="826" t="s">
        <v>4939</v>
      </c>
      <c r="D4284" s="828">
        <v>7085.32</v>
      </c>
      <c r="E4284" s="848"/>
      <c r="F4284" s="156"/>
    </row>
    <row r="4285" spans="1:6" ht="14.25" thickBot="1">
      <c r="A4285" s="847">
        <v>41121</v>
      </c>
      <c r="B4285" s="824" t="str">
        <f>TiposLancamentos!B43</f>
        <v>Imposto de Renda</v>
      </c>
      <c r="C4285" s="826" t="s">
        <v>22922</v>
      </c>
      <c r="D4285" s="828"/>
      <c r="E4285" s="848">
        <v>395.31</v>
      </c>
      <c r="F4285" s="156"/>
    </row>
    <row r="4286" spans="1:6">
      <c r="A4286" s="981"/>
      <c r="B4286" s="982"/>
      <c r="C4286" s="975" t="s">
        <v>22923</v>
      </c>
      <c r="D4286" s="983"/>
      <c r="E4286" s="984"/>
      <c r="F4286" s="156"/>
    </row>
    <row r="4287" spans="1:6">
      <c r="A4287" s="847">
        <v>41122</v>
      </c>
      <c r="B4287" s="824" t="str">
        <f>TiposLancamentos!B15</f>
        <v>Cartões de Crédito</v>
      </c>
      <c r="C4287" s="876" t="s">
        <v>6240</v>
      </c>
      <c r="D4287" s="828"/>
      <c r="E4287" s="848">
        <v>1885.45</v>
      </c>
      <c r="F4287" s="156"/>
    </row>
    <row r="4288" spans="1:6">
      <c r="A4288" s="850">
        <v>41122</v>
      </c>
      <c r="B4288" s="817" t="str">
        <f>TiposLancamentos!B8</f>
        <v>Aluguel</v>
      </c>
      <c r="C4288" s="831" t="s">
        <v>2504</v>
      </c>
      <c r="D4288" s="747"/>
      <c r="E4288" s="851">
        <f>F4289-E4289</f>
        <v>1235.47</v>
      </c>
      <c r="F4288" s="156"/>
    </row>
    <row r="4289" spans="1:6">
      <c r="A4289" s="854">
        <v>41122</v>
      </c>
      <c r="B4289" s="818" t="str">
        <f>TiposLancamentos!B12</f>
        <v>IPTU</v>
      </c>
      <c r="C4289" s="834" t="s">
        <v>22888</v>
      </c>
      <c r="D4289" s="849"/>
      <c r="E4289" s="855">
        <v>99.29</v>
      </c>
      <c r="F4289" s="156">
        <v>1334.76</v>
      </c>
    </row>
    <row r="4290" spans="1:6">
      <c r="A4290" s="847">
        <v>41122</v>
      </c>
      <c r="B4290" s="824" t="str">
        <f>TiposLancamentos!B9</f>
        <v>Condominio</v>
      </c>
      <c r="C4290" s="826" t="s">
        <v>1684</v>
      </c>
      <c r="D4290" s="828"/>
      <c r="E4290" s="848">
        <v>765.46</v>
      </c>
      <c r="F4290" s="156"/>
    </row>
    <row r="4291" spans="1:6">
      <c r="A4291" s="847">
        <v>41122</v>
      </c>
      <c r="B4291" s="824" t="str">
        <f>TiposLancamentos!B3</f>
        <v>Internet</v>
      </c>
      <c r="C4291" s="826" t="s">
        <v>5838</v>
      </c>
      <c r="D4291" s="828"/>
      <c r="E4291" s="848">
        <v>59.9</v>
      </c>
      <c r="F4291" s="156"/>
    </row>
    <row r="4292" spans="1:6">
      <c r="A4292" s="850">
        <v>41122</v>
      </c>
      <c r="B4292" s="817" t="str">
        <f>TiposLancamentos!B35</f>
        <v>Tv à Cabo</v>
      </c>
      <c r="C4292" s="831" t="s">
        <v>5834</v>
      </c>
      <c r="D4292" s="747"/>
      <c r="E4292" s="851">
        <v>153.36000000000001</v>
      </c>
      <c r="F4292" s="156"/>
    </row>
    <row r="4293" spans="1:6">
      <c r="A4293" s="852">
        <v>41122</v>
      </c>
      <c r="B4293" s="816" t="str">
        <f>TiposLancamentos!B3</f>
        <v>Internet</v>
      </c>
      <c r="C4293" s="827" t="s">
        <v>5835</v>
      </c>
      <c r="D4293" s="51"/>
      <c r="E4293" s="853">
        <v>75.42</v>
      </c>
      <c r="F4293" s="156"/>
    </row>
    <row r="4294" spans="1:6">
      <c r="A4294" s="854">
        <v>41122</v>
      </c>
      <c r="B4294" s="818" t="str">
        <f>TiposLancamentos!B2</f>
        <v>Telefonia</v>
      </c>
      <c r="C4294" s="834" t="s">
        <v>5836</v>
      </c>
      <c r="D4294" s="849"/>
      <c r="E4294" s="855">
        <v>37.9</v>
      </c>
      <c r="F4294" s="156">
        <v>266.68</v>
      </c>
    </row>
    <row r="4295" spans="1:6">
      <c r="A4295" s="847">
        <v>41122</v>
      </c>
      <c r="B4295" s="824" t="str">
        <f>TiposLancamentos!B34</f>
        <v>Seguros</v>
      </c>
      <c r="C4295" s="826" t="s">
        <v>5809</v>
      </c>
      <c r="D4295" s="828"/>
      <c r="E4295" s="848">
        <v>69</v>
      </c>
      <c r="F4295" s="156"/>
    </row>
    <row r="4296" spans="1:6">
      <c r="A4296" s="847">
        <v>41122</v>
      </c>
      <c r="B4296" s="824" t="str">
        <f>TiposLancamentos!B6</f>
        <v>Energia Eletrica</v>
      </c>
      <c r="C4296" s="826" t="s">
        <v>5744</v>
      </c>
      <c r="D4296" s="828"/>
      <c r="E4296" s="848">
        <v>167.83</v>
      </c>
      <c r="F4296" s="156"/>
    </row>
    <row r="4297" spans="1:6">
      <c r="A4297" s="847">
        <v>41122</v>
      </c>
      <c r="B4297" s="824" t="str">
        <f>TiposLancamentos!B16</f>
        <v>Cristiane</v>
      </c>
      <c r="C4297" s="826" t="s">
        <v>22924</v>
      </c>
      <c r="D4297" s="828"/>
      <c r="E4297" s="848">
        <v>190</v>
      </c>
      <c r="F4297" s="156"/>
    </row>
    <row r="4298" spans="1:6">
      <c r="A4298" s="847">
        <v>41122</v>
      </c>
      <c r="B4298" s="824" t="str">
        <f>TiposLancamentos!B13</f>
        <v>Moradia</v>
      </c>
      <c r="C4298" s="826" t="s">
        <v>22925</v>
      </c>
      <c r="D4298" s="828"/>
      <c r="E4298" s="848">
        <v>36.799999999999997</v>
      </c>
      <c r="F4298" s="156"/>
    </row>
    <row r="4299" spans="1:6">
      <c r="A4299" s="847">
        <v>41122</v>
      </c>
      <c r="B4299" s="824" t="str">
        <f>TiposLancamentos!B56</f>
        <v>Farmácia</v>
      </c>
      <c r="C4299" s="826" t="s">
        <v>5190</v>
      </c>
      <c r="D4299" s="828"/>
      <c r="E4299" s="848">
        <v>78.53</v>
      </c>
      <c r="F4299" s="156"/>
    </row>
    <row r="4300" spans="1:6">
      <c r="A4300" s="847">
        <v>41122</v>
      </c>
      <c r="B4300" s="824" t="str">
        <f>TiposLancamentos!B4</f>
        <v>Taxas Bancarias</v>
      </c>
      <c r="C4300" s="826" t="s">
        <v>22926</v>
      </c>
      <c r="D4300" s="828"/>
      <c r="E4300" s="848">
        <v>4.28</v>
      </c>
      <c r="F4300" s="156"/>
    </row>
    <row r="4301" spans="1:6">
      <c r="A4301" s="847">
        <v>41122</v>
      </c>
      <c r="B4301" s="824" t="str">
        <f>TiposLancamentos!B4</f>
        <v>Taxas Bancarias</v>
      </c>
      <c r="C4301" s="826" t="s">
        <v>22927</v>
      </c>
      <c r="D4301" s="828"/>
      <c r="E4301" s="848">
        <v>0.11</v>
      </c>
      <c r="F4301" s="156"/>
    </row>
    <row r="4302" spans="1:6">
      <c r="A4302" s="847">
        <v>41124</v>
      </c>
      <c r="B4302" s="824" t="str">
        <f>TiposLancamentos!B16</f>
        <v>Cristiane</v>
      </c>
      <c r="C4302" s="826" t="s">
        <v>22928</v>
      </c>
      <c r="D4302" s="828"/>
      <c r="E4302" s="848">
        <v>46.2</v>
      </c>
      <c r="F4302" s="156"/>
    </row>
    <row r="4303" spans="1:6">
      <c r="A4303" s="847">
        <v>41124</v>
      </c>
      <c r="B4303" s="824" t="str">
        <f>TiposLancamentos!B22</f>
        <v>Combustivel</v>
      </c>
      <c r="C4303" s="826" t="s">
        <v>22929</v>
      </c>
      <c r="D4303" s="828"/>
      <c r="E4303" s="848">
        <v>118.03</v>
      </c>
      <c r="F4303" s="156"/>
    </row>
    <row r="4304" spans="1:6">
      <c r="A4304" s="847">
        <v>41125</v>
      </c>
      <c r="B4304" s="824" t="str">
        <f>TiposLancamentos!B16</f>
        <v>Cristiane</v>
      </c>
      <c r="C4304" s="826" t="s">
        <v>22930</v>
      </c>
      <c r="D4304" s="828"/>
      <c r="E4304" s="848">
        <v>147.75</v>
      </c>
      <c r="F4304" s="156"/>
    </row>
    <row r="4305" spans="1:6">
      <c r="A4305" s="847">
        <v>41125</v>
      </c>
      <c r="B4305" s="824" t="str">
        <f>TiposLancamentos!B17</f>
        <v>GATO</v>
      </c>
      <c r="C4305" s="826" t="s">
        <v>22931</v>
      </c>
      <c r="D4305" s="828"/>
      <c r="E4305" s="848">
        <v>22.4</v>
      </c>
      <c r="F4305" s="156"/>
    </row>
    <row r="4306" spans="1:6">
      <c r="A4306" s="847">
        <v>41126</v>
      </c>
      <c r="B4306" s="824" t="str">
        <f>TiposLancamentos!B19</f>
        <v>Restaurantes</v>
      </c>
      <c r="C4306" s="826" t="s">
        <v>6468</v>
      </c>
      <c r="D4306" s="828"/>
      <c r="E4306" s="848">
        <v>135.30000000000001</v>
      </c>
      <c r="F4306" s="156"/>
    </row>
    <row r="4307" spans="1:6">
      <c r="A4307" s="830">
        <v>41126</v>
      </c>
      <c r="B4307" s="817" t="str">
        <f>TiposLancamentos!B44</f>
        <v>Academia</v>
      </c>
      <c r="C4307" s="831" t="s">
        <v>22932</v>
      </c>
      <c r="D4307" s="809"/>
      <c r="E4307" s="851">
        <v>105</v>
      </c>
      <c r="F4307" s="156"/>
    </row>
    <row r="4308" spans="1:6">
      <c r="A4308" s="833">
        <v>41126</v>
      </c>
      <c r="B4308" s="818" t="str">
        <f>TiposLancamentos!B16</f>
        <v>Cristiane</v>
      </c>
      <c r="C4308" s="834" t="s">
        <v>22933</v>
      </c>
      <c r="D4308" s="813"/>
      <c r="E4308" s="855">
        <v>105</v>
      </c>
      <c r="F4308" s="156">
        <f>SUM(E4307:E4308)</f>
        <v>210</v>
      </c>
    </row>
    <row r="4309" spans="1:6">
      <c r="A4309" s="847">
        <v>41129</v>
      </c>
      <c r="B4309" s="824" t="str">
        <f>TiposLancamentos!B16</f>
        <v>Cristiane</v>
      </c>
      <c r="C4309" s="826" t="s">
        <v>22934</v>
      </c>
      <c r="D4309" s="828"/>
      <c r="E4309" s="848">
        <v>24.9</v>
      </c>
      <c r="F4309" s="156"/>
    </row>
    <row r="4310" spans="1:6">
      <c r="A4310" s="847">
        <v>41130</v>
      </c>
      <c r="B4310" s="824" t="str">
        <f>TiposLancamentos!B20</f>
        <v>Saques</v>
      </c>
      <c r="C4310" s="826" t="s">
        <v>4149</v>
      </c>
      <c r="D4310" s="828"/>
      <c r="E4310" s="848">
        <v>150</v>
      </c>
      <c r="F4310" s="156"/>
    </row>
    <row r="4311" spans="1:6">
      <c r="A4311" s="847">
        <v>41131</v>
      </c>
      <c r="B4311" s="824" t="str">
        <f>TiposLancamentos!B95</f>
        <v>Salarios</v>
      </c>
      <c r="C4311" s="826" t="s">
        <v>6183</v>
      </c>
      <c r="D4311" s="828">
        <v>12937.54</v>
      </c>
      <c r="E4311" s="848"/>
      <c r="F4311" s="156"/>
    </row>
    <row r="4312" spans="1:6">
      <c r="A4312" s="847">
        <v>41131</v>
      </c>
      <c r="B4312" s="824" t="str">
        <f>TiposLancamentos!B19</f>
        <v>Restaurantes</v>
      </c>
      <c r="C4312" s="826" t="s">
        <v>22905</v>
      </c>
      <c r="D4312" s="828"/>
      <c r="E4312" s="848">
        <v>16.8</v>
      </c>
      <c r="F4312" s="156"/>
    </row>
    <row r="4313" spans="1:6">
      <c r="A4313" s="847">
        <v>41131</v>
      </c>
      <c r="B4313" s="824" t="str">
        <f>TiposLancamentos!B72</f>
        <v>Presentes</v>
      </c>
      <c r="C4313" s="826" t="s">
        <v>22935</v>
      </c>
      <c r="D4313" s="828"/>
      <c r="E4313" s="848">
        <v>26.99</v>
      </c>
      <c r="F4313" s="156"/>
    </row>
    <row r="4314" spans="1:6">
      <c r="A4314" s="847">
        <v>41131</v>
      </c>
      <c r="B4314" s="824" t="str">
        <f>TiposLancamentos!B13</f>
        <v>Moradia</v>
      </c>
      <c r="C4314" s="826" t="s">
        <v>22936</v>
      </c>
      <c r="D4314" s="828"/>
      <c r="E4314" s="848">
        <v>14</v>
      </c>
      <c r="F4314" s="156"/>
    </row>
    <row r="4315" spans="1:6">
      <c r="A4315" s="847">
        <v>41131</v>
      </c>
      <c r="B4315" s="824" t="str">
        <f>TiposLancamentos!B19</f>
        <v>Restaurantes</v>
      </c>
      <c r="C4315" s="826" t="s">
        <v>22937</v>
      </c>
      <c r="D4315" s="828"/>
      <c r="E4315" s="848">
        <v>44</v>
      </c>
      <c r="F4315" s="156"/>
    </row>
    <row r="4316" spans="1:6">
      <c r="A4316" s="847">
        <v>41132</v>
      </c>
      <c r="B4316" s="824" t="str">
        <f>TiposLancamentos!B19</f>
        <v>Restaurantes</v>
      </c>
      <c r="C4316" s="826" t="s">
        <v>5913</v>
      </c>
      <c r="D4316" s="828"/>
      <c r="E4316" s="848">
        <v>11.7</v>
      </c>
      <c r="F4316" s="156"/>
    </row>
    <row r="4317" spans="1:6">
      <c r="A4317" s="847">
        <v>41132</v>
      </c>
      <c r="B4317" s="824" t="str">
        <f>TiposLancamentos!B16</f>
        <v>Cristiane</v>
      </c>
      <c r="C4317" s="826" t="s">
        <v>22938</v>
      </c>
      <c r="D4317" s="828"/>
      <c r="E4317" s="848">
        <v>1100</v>
      </c>
      <c r="F4317" s="156"/>
    </row>
    <row r="4318" spans="1:6">
      <c r="A4318" s="847">
        <v>41132</v>
      </c>
      <c r="B4318" s="824" t="str">
        <f>TiposLancamentos!B13</f>
        <v>Moradia</v>
      </c>
      <c r="C4318" s="826" t="s">
        <v>12470</v>
      </c>
      <c r="D4318" s="828"/>
      <c r="E4318" s="848">
        <v>83.5</v>
      </c>
      <c r="F4318" s="156"/>
    </row>
    <row r="4319" spans="1:6">
      <c r="A4319" s="847">
        <v>41132</v>
      </c>
      <c r="B4319" s="824" t="str">
        <f>TiposLancamentos!B16</f>
        <v>Cristiane</v>
      </c>
      <c r="C4319" s="826" t="s">
        <v>22939</v>
      </c>
      <c r="D4319" s="828"/>
      <c r="E4319" s="848">
        <v>20</v>
      </c>
      <c r="F4319" s="156"/>
    </row>
    <row r="4320" spans="1:6">
      <c r="A4320" s="847">
        <v>41132</v>
      </c>
      <c r="B4320" s="824" t="str">
        <f>TiposLancamentos!B71</f>
        <v>Itens Pessoais</v>
      </c>
      <c r="C4320" s="826" t="s">
        <v>22940</v>
      </c>
      <c r="D4320" s="828"/>
      <c r="E4320" s="848">
        <v>29.9</v>
      </c>
      <c r="F4320" s="156"/>
    </row>
    <row r="4321" spans="1:6">
      <c r="A4321" s="847">
        <v>41132</v>
      </c>
      <c r="B4321" s="824" t="str">
        <f>TiposLancamentos!B19</f>
        <v>Restaurantes</v>
      </c>
      <c r="C4321" s="826" t="s">
        <v>16873</v>
      </c>
      <c r="D4321" s="828"/>
      <c r="E4321" s="848">
        <v>116.05</v>
      </c>
      <c r="F4321" s="156"/>
    </row>
    <row r="4322" spans="1:6">
      <c r="A4322" s="847">
        <v>41132</v>
      </c>
      <c r="B4322" s="824" t="str">
        <f>TiposLancamentos!B16</f>
        <v>Cristiane</v>
      </c>
      <c r="C4322" s="826" t="s">
        <v>22941</v>
      </c>
      <c r="D4322" s="828"/>
      <c r="E4322" s="848">
        <v>100</v>
      </c>
      <c r="F4322" s="156"/>
    </row>
    <row r="4323" spans="1:6">
      <c r="A4323" s="847">
        <v>41132</v>
      </c>
      <c r="B4323" s="824" t="str">
        <f>TiposLancamentos!B16</f>
        <v>Cristiane</v>
      </c>
      <c r="C4323" s="826" t="s">
        <v>6652</v>
      </c>
      <c r="D4323" s="828"/>
      <c r="E4323" s="848">
        <v>230</v>
      </c>
      <c r="F4323" s="156"/>
    </row>
    <row r="4324" spans="1:6">
      <c r="A4324" s="847">
        <v>41132</v>
      </c>
      <c r="B4324" s="824" t="str">
        <f>TiposLancamentos!B24</f>
        <v>Estacionamentos</v>
      </c>
      <c r="C4324" s="826" t="s">
        <v>22942</v>
      </c>
      <c r="D4324" s="828"/>
      <c r="E4324" s="848">
        <v>18</v>
      </c>
      <c r="F4324" s="156"/>
    </row>
    <row r="4325" spans="1:6">
      <c r="A4325" s="847">
        <v>41132</v>
      </c>
      <c r="B4325" s="824" t="str">
        <f>TiposLancamentos!B5</f>
        <v>Supermercado</v>
      </c>
      <c r="C4325" s="3" t="s">
        <v>22117</v>
      </c>
      <c r="D4325" s="828"/>
      <c r="E4325" s="848">
        <v>111.88</v>
      </c>
      <c r="F4325" s="156"/>
    </row>
    <row r="4326" spans="1:6">
      <c r="A4326" s="847">
        <v>41133</v>
      </c>
      <c r="B4326" s="824" t="str">
        <f>TiposLancamentos!B20</f>
        <v>Saques</v>
      </c>
      <c r="C4326" s="3" t="s">
        <v>22943</v>
      </c>
      <c r="D4326" s="828"/>
      <c r="E4326" s="848">
        <v>630</v>
      </c>
      <c r="F4326" s="156"/>
    </row>
    <row r="4327" spans="1:6">
      <c r="A4327" s="847">
        <v>41133</v>
      </c>
      <c r="B4327" s="824" t="str">
        <f>TiposLancamentos!B19</f>
        <v>Restaurantes</v>
      </c>
      <c r="C4327" s="826" t="s">
        <v>22944</v>
      </c>
      <c r="D4327" s="828"/>
      <c r="E4327" s="848">
        <v>56.6</v>
      </c>
      <c r="F4327" s="156"/>
    </row>
    <row r="4328" spans="1:6">
      <c r="A4328" s="847">
        <v>41133</v>
      </c>
      <c r="B4328" s="824" t="str">
        <f>TiposLancamentos!B19</f>
        <v>Restaurantes</v>
      </c>
      <c r="C4328" s="826" t="s">
        <v>22945</v>
      </c>
      <c r="D4328" s="828"/>
      <c r="E4328" s="848">
        <v>18.04</v>
      </c>
      <c r="F4328" s="156"/>
    </row>
    <row r="4329" spans="1:6">
      <c r="A4329" s="847">
        <v>41133</v>
      </c>
      <c r="B4329" s="824" t="str">
        <f>TiposLancamentos!B24</f>
        <v>Estacionamentos</v>
      </c>
      <c r="C4329" s="826" t="s">
        <v>22946</v>
      </c>
      <c r="D4329" s="828"/>
      <c r="E4329" s="848">
        <v>18</v>
      </c>
      <c r="F4329" s="156"/>
    </row>
    <row r="4330" spans="1:6">
      <c r="A4330" s="847">
        <v>41134</v>
      </c>
      <c r="B4330" s="824" t="str">
        <f>TiposLancamentos!B56</f>
        <v>Farmácia</v>
      </c>
      <c r="C4330" s="826" t="s">
        <v>22947</v>
      </c>
      <c r="D4330" s="828"/>
      <c r="E4330" s="848">
        <v>34.840000000000003</v>
      </c>
      <c r="F4330" s="156"/>
    </row>
    <row r="4331" spans="1:6">
      <c r="A4331" s="847">
        <v>41134</v>
      </c>
      <c r="B4331" s="824" t="str">
        <f>TiposLancamentos!B5</f>
        <v>Supermercado</v>
      </c>
      <c r="C4331" s="826" t="s">
        <v>22948</v>
      </c>
      <c r="D4331" s="828"/>
      <c r="E4331" s="848">
        <v>45.78</v>
      </c>
      <c r="F4331" s="156"/>
    </row>
    <row r="4332" spans="1:6">
      <c r="A4332" s="847">
        <v>41134</v>
      </c>
      <c r="B4332" s="824" t="str">
        <f>TiposLancamentos!B19</f>
        <v>Restaurantes</v>
      </c>
      <c r="C4332" s="826" t="s">
        <v>22949</v>
      </c>
      <c r="D4332" s="828"/>
      <c r="E4332" s="848">
        <v>7.8</v>
      </c>
      <c r="F4332" s="156"/>
    </row>
    <row r="4333" spans="1:6">
      <c r="A4333" s="847">
        <v>41134</v>
      </c>
      <c r="B4333" s="824" t="str">
        <f>TiposLancamentos!B13</f>
        <v>Moradia</v>
      </c>
      <c r="C4333" s="826" t="s">
        <v>22950</v>
      </c>
      <c r="D4333" s="828"/>
      <c r="E4333" s="848">
        <v>31.4</v>
      </c>
      <c r="F4333" s="156"/>
    </row>
    <row r="4334" spans="1:6">
      <c r="A4334" s="847">
        <v>41134</v>
      </c>
      <c r="B4334" s="824" t="str">
        <f>TiposLancamentos!B98</f>
        <v>Restituições</v>
      </c>
      <c r="C4334" s="826" t="s">
        <v>22951</v>
      </c>
      <c r="D4334" s="828">
        <v>60</v>
      </c>
      <c r="E4334" s="848"/>
      <c r="F4334" s="156"/>
    </row>
    <row r="4335" spans="1:6">
      <c r="A4335" s="847">
        <v>41135</v>
      </c>
      <c r="B4335" s="824" t="str">
        <f>TiposLancamentos!B19</f>
        <v>Restaurantes</v>
      </c>
      <c r="C4335" s="826" t="s">
        <v>6222</v>
      </c>
      <c r="D4335" s="828"/>
      <c r="E4335" s="848">
        <v>21</v>
      </c>
      <c r="F4335" s="156"/>
    </row>
    <row r="4336" spans="1:6">
      <c r="A4336" s="847">
        <v>41135</v>
      </c>
      <c r="B4336" s="824" t="str">
        <f>TiposLancamentos!B13</f>
        <v>Moradia</v>
      </c>
      <c r="C4336" s="826" t="s">
        <v>22952</v>
      </c>
      <c r="D4336" s="828"/>
      <c r="E4336" s="848">
        <v>64.400000000000006</v>
      </c>
      <c r="F4336" s="156"/>
    </row>
    <row r="4337" spans="1:6">
      <c r="A4337" s="847">
        <v>41136</v>
      </c>
      <c r="B4337" s="824" t="str">
        <f>TiposLancamentos!B16</f>
        <v>Cristiane</v>
      </c>
      <c r="C4337" s="826" t="s">
        <v>22953</v>
      </c>
      <c r="D4337" s="828"/>
      <c r="E4337" s="848">
        <v>53.2</v>
      </c>
      <c r="F4337" s="156"/>
    </row>
    <row r="4338" spans="1:6">
      <c r="A4338" s="847">
        <v>41136</v>
      </c>
      <c r="B4338" s="824" t="str">
        <f>TiposLancamentos!B19</f>
        <v>Restaurantes</v>
      </c>
      <c r="C4338" s="826" t="s">
        <v>3960</v>
      </c>
      <c r="D4338" s="828"/>
      <c r="E4338" s="848">
        <v>41.35</v>
      </c>
      <c r="F4338" s="156"/>
    </row>
    <row r="4339" spans="1:6">
      <c r="A4339" s="847">
        <v>41136</v>
      </c>
      <c r="B4339" s="824" t="str">
        <f>TiposLancamentos!B13</f>
        <v>Moradia</v>
      </c>
      <c r="C4339" s="826" t="s">
        <v>22954</v>
      </c>
      <c r="D4339" s="828"/>
      <c r="E4339" s="848">
        <v>1090</v>
      </c>
      <c r="F4339" s="156"/>
    </row>
    <row r="4340" spans="1:6">
      <c r="A4340" s="847">
        <v>41136</v>
      </c>
      <c r="B4340" s="824" t="str">
        <f>TiposLancamentos!B19</f>
        <v>Restaurantes</v>
      </c>
      <c r="C4340" s="826" t="s">
        <v>22955</v>
      </c>
      <c r="D4340" s="828"/>
      <c r="E4340" s="848">
        <v>8.3000000000000007</v>
      </c>
      <c r="F4340" s="156"/>
    </row>
    <row r="4341" spans="1:6">
      <c r="A4341" s="847">
        <v>41136</v>
      </c>
      <c r="B4341" s="824" t="str">
        <f>TiposLancamentos!B13</f>
        <v>Moradia</v>
      </c>
      <c r="C4341" s="826" t="s">
        <v>22956</v>
      </c>
      <c r="D4341" s="828"/>
      <c r="E4341" s="848">
        <v>135</v>
      </c>
      <c r="F4341" s="156"/>
    </row>
    <row r="4342" spans="1:6">
      <c r="A4342" s="923">
        <v>41136</v>
      </c>
      <c r="B4342" s="830" t="str">
        <f>TiposLancamentos!B33</f>
        <v>Pedágios</v>
      </c>
      <c r="C4342" s="915" t="s">
        <v>5392</v>
      </c>
      <c r="D4342" s="917"/>
      <c r="E4342" s="920">
        <v>12.4</v>
      </c>
    </row>
    <row r="4343" spans="1:6">
      <c r="A4343" s="924">
        <v>41136</v>
      </c>
      <c r="B4343" s="833" t="str">
        <f>TiposLancamentos!B24</f>
        <v>Estacionamentos</v>
      </c>
      <c r="C4343" s="916" t="s">
        <v>5863</v>
      </c>
      <c r="D4343" s="918"/>
      <c r="E4343" s="922">
        <v>21</v>
      </c>
      <c r="F4343" s="156">
        <f>SUM(E4342:E4343)</f>
        <v>33.4</v>
      </c>
    </row>
    <row r="4344" spans="1:6">
      <c r="A4344" s="847">
        <v>41137</v>
      </c>
      <c r="B4344" s="824" t="str">
        <f>TiposLancamentos!B5</f>
        <v>Supermercado</v>
      </c>
      <c r="C4344" s="826" t="s">
        <v>22957</v>
      </c>
      <c r="D4344" s="828"/>
      <c r="E4344" s="848">
        <v>92.36</v>
      </c>
      <c r="F4344" s="156"/>
    </row>
    <row r="4345" spans="1:6">
      <c r="A4345" s="847">
        <v>41137</v>
      </c>
      <c r="B4345" s="824" t="str">
        <f>TiposLancamentos!B69</f>
        <v>Consertos</v>
      </c>
      <c r="C4345" s="826" t="s">
        <v>22958</v>
      </c>
      <c r="D4345" s="828"/>
      <c r="E4345" s="848">
        <v>200</v>
      </c>
      <c r="F4345" s="156"/>
    </row>
    <row r="4346" spans="1:6">
      <c r="A4346" s="847">
        <v>41137</v>
      </c>
      <c r="B4346" s="824" t="str">
        <f>TiposLancamentos!B19</f>
        <v>Restaurantes</v>
      </c>
      <c r="C4346" s="826" t="s">
        <v>22959</v>
      </c>
      <c r="D4346" s="828"/>
      <c r="E4346" s="848">
        <v>28.7</v>
      </c>
      <c r="F4346" s="156"/>
    </row>
    <row r="4347" spans="1:6">
      <c r="A4347" s="830">
        <v>41137</v>
      </c>
      <c r="B4347" s="817" t="str">
        <f>TiposLancamentos!B28</f>
        <v>ComicBook</v>
      </c>
      <c r="C4347" s="831" t="s">
        <v>22960</v>
      </c>
      <c r="D4347" s="747"/>
      <c r="E4347" s="851">
        <v>96</v>
      </c>
      <c r="F4347" s="156"/>
    </row>
    <row r="4348" spans="1:6">
      <c r="A4348" s="825">
        <v>41137</v>
      </c>
      <c r="B4348" s="816" t="str">
        <f>TiposLancamentos!B28</f>
        <v>ComicBook</v>
      </c>
      <c r="C4348" s="827" t="s">
        <v>22961</v>
      </c>
      <c r="D4348" s="51"/>
      <c r="E4348" s="853">
        <v>50</v>
      </c>
      <c r="F4348" s="156"/>
    </row>
    <row r="4349" spans="1:6">
      <c r="A4349" s="825">
        <v>41137</v>
      </c>
      <c r="B4349" s="816" t="str">
        <f>TiposLancamentos!B25</f>
        <v>CD_DVD_BD</v>
      </c>
      <c r="C4349" s="827" t="s">
        <v>22962</v>
      </c>
      <c r="D4349" s="51"/>
      <c r="E4349" s="853">
        <v>24.9</v>
      </c>
      <c r="F4349" s="156"/>
    </row>
    <row r="4350" spans="1:6">
      <c r="A4350" s="833">
        <v>41137</v>
      </c>
      <c r="B4350" s="818" t="str">
        <f>TiposLancamentos!B25</f>
        <v>CD_DVD_BD</v>
      </c>
      <c r="C4350" s="834" t="s">
        <v>22963</v>
      </c>
      <c r="D4350" s="849"/>
      <c r="E4350" s="855">
        <v>29.9</v>
      </c>
      <c r="F4350" s="156">
        <f>SUM(E4347:E4350)</f>
        <v>200.8</v>
      </c>
    </row>
    <row r="4351" spans="1:6">
      <c r="A4351" s="847">
        <v>41138</v>
      </c>
      <c r="B4351" s="824" t="str">
        <f>TiposLancamentos!B71</f>
        <v>Itens Pessoais</v>
      </c>
      <c r="C4351" s="826" t="s">
        <v>1964</v>
      </c>
      <c r="D4351" s="828"/>
      <c r="E4351" s="848">
        <v>20</v>
      </c>
      <c r="F4351" s="156"/>
    </row>
    <row r="4352" spans="1:6">
      <c r="A4352" s="847">
        <v>41138</v>
      </c>
      <c r="B4352" s="824" t="str">
        <f>TiposLancamentos!B16</f>
        <v>Cristiane</v>
      </c>
      <c r="C4352" s="826" t="s">
        <v>22964</v>
      </c>
      <c r="D4352" s="828"/>
      <c r="E4352" s="848">
        <v>200</v>
      </c>
      <c r="F4352" s="156"/>
    </row>
    <row r="4353" spans="1:6">
      <c r="A4353" s="847">
        <v>41138</v>
      </c>
      <c r="B4353" s="824" t="str">
        <f>TiposLancamentos!B19</f>
        <v>Restaurantes</v>
      </c>
      <c r="C4353" s="826" t="s">
        <v>22965</v>
      </c>
      <c r="D4353" s="828"/>
      <c r="E4353" s="848">
        <v>21</v>
      </c>
      <c r="F4353" s="156"/>
    </row>
    <row r="4354" spans="1:6">
      <c r="A4354" s="847">
        <v>41139</v>
      </c>
      <c r="B4354" s="824" t="str">
        <f>TiposLancamentos!B81</f>
        <v>Ferramentas gerais</v>
      </c>
      <c r="C4354" s="826" t="s">
        <v>22966</v>
      </c>
      <c r="D4354" s="828"/>
      <c r="E4354" s="848">
        <v>8.1</v>
      </c>
      <c r="F4354" s="156"/>
    </row>
    <row r="4355" spans="1:6">
      <c r="A4355" s="847">
        <v>41139</v>
      </c>
      <c r="B4355" s="824" t="str">
        <f>TiposLancamentos!B19</f>
        <v>Restaurantes</v>
      </c>
      <c r="C4355" s="826" t="s">
        <v>22967</v>
      </c>
      <c r="D4355" s="828"/>
      <c r="E4355" s="848">
        <v>34.26</v>
      </c>
      <c r="F4355" s="156"/>
    </row>
    <row r="4356" spans="1:6">
      <c r="A4356" s="847">
        <v>41140</v>
      </c>
      <c r="B4356" s="824" t="str">
        <f>TiposLancamentos!B22</f>
        <v>Combustivel</v>
      </c>
      <c r="C4356" s="826" t="s">
        <v>22968</v>
      </c>
      <c r="D4356" s="828"/>
      <c r="E4356" s="848">
        <v>105</v>
      </c>
      <c r="F4356" s="156"/>
    </row>
    <row r="4357" spans="1:6">
      <c r="A4357" s="847">
        <v>41140</v>
      </c>
      <c r="B4357" s="824" t="str">
        <f>TiposLancamentos!B19</f>
        <v>Restaurantes</v>
      </c>
      <c r="C4357" s="826" t="s">
        <v>22969</v>
      </c>
      <c r="D4357" s="828"/>
      <c r="E4357" s="848">
        <v>149.80000000000001</v>
      </c>
      <c r="F4357" s="156"/>
    </row>
    <row r="4358" spans="1:6">
      <c r="A4358" s="847">
        <v>41140</v>
      </c>
      <c r="B4358" s="824" t="str">
        <f>TiposLancamentos!B16</f>
        <v>Cristiane</v>
      </c>
      <c r="C4358" s="826" t="s">
        <v>22970</v>
      </c>
      <c r="D4358" s="828"/>
      <c r="E4358" s="848">
        <v>209.6</v>
      </c>
      <c r="F4358" s="156"/>
    </row>
    <row r="4359" spans="1:6">
      <c r="A4359" s="847">
        <v>41140</v>
      </c>
      <c r="B4359" s="824" t="str">
        <f>TiposLancamentos!B28</f>
        <v>ComicBook</v>
      </c>
      <c r="C4359" s="826" t="s">
        <v>22971</v>
      </c>
      <c r="D4359" s="828"/>
      <c r="E4359" s="848">
        <v>17</v>
      </c>
      <c r="F4359" s="156"/>
    </row>
    <row r="4360" spans="1:6">
      <c r="A4360" s="847">
        <v>41140</v>
      </c>
      <c r="B4360" s="824" t="str">
        <f>TiposLancamentos!B19</f>
        <v>Restaurantes</v>
      </c>
      <c r="C4360" s="826" t="s">
        <v>22972</v>
      </c>
      <c r="D4360" s="828"/>
      <c r="E4360" s="848">
        <v>19.47</v>
      </c>
      <c r="F4360" s="156"/>
    </row>
    <row r="4361" spans="1:6">
      <c r="A4361" s="830">
        <v>41140</v>
      </c>
      <c r="B4361" s="817" t="str">
        <f>TiposLancamentos!B70</f>
        <v>Vestuário</v>
      </c>
      <c r="C4361" s="831" t="s">
        <v>22973</v>
      </c>
      <c r="D4361" s="747"/>
      <c r="E4361" s="851">
        <f>99.99+59.99+49.99+69.99+59.99</f>
        <v>339.95</v>
      </c>
      <c r="F4361" s="156"/>
    </row>
    <row r="4362" spans="1:6">
      <c r="A4362" s="833">
        <v>41140</v>
      </c>
      <c r="B4362" s="818" t="str">
        <f>TiposLancamentos!B16</f>
        <v>Cristiane</v>
      </c>
      <c r="C4362" s="834" t="s">
        <v>22973</v>
      </c>
      <c r="D4362" s="849"/>
      <c r="E4362" s="855">
        <f>F4362-E4361</f>
        <v>199.95999999999998</v>
      </c>
      <c r="F4362" s="156">
        <v>539.91</v>
      </c>
    </row>
    <row r="4363" spans="1:6">
      <c r="A4363" s="847">
        <v>41141</v>
      </c>
      <c r="B4363" s="824" t="str">
        <f>TiposLancamentos!B19</f>
        <v>Restaurantes</v>
      </c>
      <c r="C4363" s="826" t="s">
        <v>22974</v>
      </c>
      <c r="D4363" s="828"/>
      <c r="E4363" s="848">
        <v>15.1</v>
      </c>
      <c r="F4363" s="156"/>
    </row>
    <row r="4364" spans="1:6">
      <c r="A4364" s="847">
        <v>41141</v>
      </c>
      <c r="B4364" s="824" t="str">
        <f>TiposLancamentos!B19</f>
        <v>Restaurantes</v>
      </c>
      <c r="C4364" s="826" t="s">
        <v>22975</v>
      </c>
      <c r="D4364" s="828"/>
      <c r="E4364" s="848">
        <v>46.2</v>
      </c>
      <c r="F4364" s="156"/>
    </row>
    <row r="4365" spans="1:6">
      <c r="A4365" s="847">
        <v>41141</v>
      </c>
      <c r="B4365" s="824" t="str">
        <f>TiposLancamentos!B20</f>
        <v>Saques</v>
      </c>
      <c r="C4365" s="826" t="s">
        <v>22976</v>
      </c>
      <c r="D4365" s="828"/>
      <c r="E4365" s="848">
        <v>260</v>
      </c>
      <c r="F4365" s="156"/>
    </row>
    <row r="4366" spans="1:6">
      <c r="A4366" s="847">
        <v>41141</v>
      </c>
      <c r="B4366" s="824" t="str">
        <f>TiposLancamentos!B16</f>
        <v>Cristiane</v>
      </c>
      <c r="C4366" s="826" t="s">
        <v>22977</v>
      </c>
      <c r="D4366" s="828"/>
      <c r="E4366" s="848">
        <v>94.8</v>
      </c>
      <c r="F4366" s="156"/>
    </row>
    <row r="4367" spans="1:6">
      <c r="A4367" s="847">
        <v>41141</v>
      </c>
      <c r="B4367" s="824" t="str">
        <f>TiposLancamentos!B19</f>
        <v>Restaurantes</v>
      </c>
      <c r="C4367" s="826" t="s">
        <v>22978</v>
      </c>
      <c r="D4367" s="828"/>
      <c r="E4367" s="848">
        <v>24.3</v>
      </c>
      <c r="F4367" s="156"/>
    </row>
    <row r="4368" spans="1:6">
      <c r="A4368" s="847">
        <v>41141</v>
      </c>
      <c r="B4368" s="824" t="str">
        <f>TiposLancamentos!B16</f>
        <v>Cristiane</v>
      </c>
      <c r="C4368" s="826" t="s">
        <v>22979</v>
      </c>
      <c r="D4368" s="828"/>
      <c r="E4368" s="848">
        <v>51.15</v>
      </c>
      <c r="F4368" s="156"/>
    </row>
    <row r="4369" spans="1:6">
      <c r="A4369" s="847">
        <v>41142</v>
      </c>
      <c r="B4369" s="824" t="str">
        <f>TiposLancamentos!B19</f>
        <v>Restaurantes</v>
      </c>
      <c r="C4369" s="826" t="s">
        <v>22980</v>
      </c>
      <c r="D4369" s="828"/>
      <c r="E4369" s="848">
        <v>46.87</v>
      </c>
      <c r="F4369" s="156"/>
    </row>
    <row r="4370" spans="1:6">
      <c r="A4370" s="847">
        <v>41142</v>
      </c>
      <c r="B4370" s="824" t="str">
        <f>TiposLancamentos!B17</f>
        <v>GATO</v>
      </c>
      <c r="C4370" s="826" t="s">
        <v>22981</v>
      </c>
      <c r="D4370" s="828"/>
      <c r="E4370" s="848">
        <v>76</v>
      </c>
      <c r="F4370" s="156"/>
    </row>
    <row r="4371" spans="1:6">
      <c r="A4371" s="847">
        <v>41142</v>
      </c>
      <c r="B4371" s="824" t="str">
        <f>TiposLancamentos!B19</f>
        <v>Restaurantes</v>
      </c>
      <c r="C4371" s="826" t="s">
        <v>3767</v>
      </c>
      <c r="D4371" s="828"/>
      <c r="E4371" s="848">
        <v>8.3000000000000007</v>
      </c>
      <c r="F4371" s="156"/>
    </row>
    <row r="4372" spans="1:6">
      <c r="A4372" s="847">
        <v>41142</v>
      </c>
      <c r="B4372" s="824" t="str">
        <f>TiposLancamentos!B5</f>
        <v>Supermercado</v>
      </c>
      <c r="C4372" s="826" t="s">
        <v>5844</v>
      </c>
      <c r="D4372" s="828"/>
      <c r="E4372" s="848">
        <v>53.95</v>
      </c>
      <c r="F4372" s="156"/>
    </row>
    <row r="4373" spans="1:6">
      <c r="A4373" s="830">
        <v>41142</v>
      </c>
      <c r="B4373" s="817" t="str">
        <f>TiposLancamentos!B71</f>
        <v>Itens Pessoais</v>
      </c>
      <c r="C4373" s="831" t="s">
        <v>22982</v>
      </c>
      <c r="D4373" s="747"/>
      <c r="E4373" s="851">
        <v>40.99</v>
      </c>
      <c r="F4373" s="156"/>
    </row>
    <row r="4374" spans="1:6">
      <c r="A4374" s="833">
        <v>41142</v>
      </c>
      <c r="B4374" s="818" t="str">
        <f>TiposLancamentos!B16</f>
        <v>Cristiane</v>
      </c>
      <c r="C4374" s="834" t="s">
        <v>22982</v>
      </c>
      <c r="D4374" s="849"/>
      <c r="E4374" s="855">
        <f>F4374-E4373</f>
        <v>59.98</v>
      </c>
      <c r="F4374" s="156">
        <v>100.97</v>
      </c>
    </row>
    <row r="4375" spans="1:6">
      <c r="A4375" s="830">
        <v>41143</v>
      </c>
      <c r="B4375" s="817" t="str">
        <f>TiposLancamentos!B56</f>
        <v>Farmácia</v>
      </c>
      <c r="C4375" s="831" t="s">
        <v>22983</v>
      </c>
      <c r="D4375" s="747"/>
      <c r="E4375" s="851">
        <f>39.9+55.9</f>
        <v>95.8</v>
      </c>
      <c r="F4375" s="156"/>
    </row>
    <row r="4376" spans="1:6">
      <c r="A4376" s="833">
        <v>41143</v>
      </c>
      <c r="B4376" s="818" t="str">
        <f>TiposLancamentos!B16</f>
        <v>Cristiane</v>
      </c>
      <c r="C4376" s="834" t="s">
        <v>22984</v>
      </c>
      <c r="D4376" s="849"/>
      <c r="E4376" s="855">
        <f>F4376-E4375</f>
        <v>50.600000000000009</v>
      </c>
      <c r="F4376" s="156">
        <v>146.4</v>
      </c>
    </row>
    <row r="4377" spans="1:6">
      <c r="A4377" s="847">
        <v>41143</v>
      </c>
      <c r="B4377" s="824" t="str">
        <f>TiposLancamentos!B19</f>
        <v>Restaurantes</v>
      </c>
      <c r="C4377" s="826" t="s">
        <v>22985</v>
      </c>
      <c r="D4377" s="828"/>
      <c r="E4377" s="848">
        <v>35</v>
      </c>
      <c r="F4377" s="156"/>
    </row>
    <row r="4378" spans="1:6">
      <c r="A4378" s="847">
        <v>41143</v>
      </c>
      <c r="B4378" s="824" t="str">
        <f>TiposLancamentos!B20</f>
        <v>Saques</v>
      </c>
      <c r="C4378" s="826" t="s">
        <v>22986</v>
      </c>
      <c r="D4378" s="828"/>
      <c r="E4378" s="848">
        <v>500</v>
      </c>
      <c r="F4378" s="156"/>
    </row>
    <row r="4379" spans="1:6">
      <c r="A4379" s="847">
        <v>41143</v>
      </c>
      <c r="B4379" s="824" t="str">
        <f>TiposLancamentos!B16</f>
        <v>Cristiane</v>
      </c>
      <c r="C4379" s="826" t="s">
        <v>22987</v>
      </c>
      <c r="D4379" s="828"/>
      <c r="E4379" s="848">
        <v>107</v>
      </c>
      <c r="F4379" s="156"/>
    </row>
    <row r="4380" spans="1:6">
      <c r="A4380" s="830">
        <v>41144</v>
      </c>
      <c r="B4380" s="817" t="str">
        <f>TiposLancamentos!B16</f>
        <v>Cristiane</v>
      </c>
      <c r="C4380" s="831" t="s">
        <v>22988</v>
      </c>
      <c r="D4380" s="747"/>
      <c r="E4380" s="851">
        <f>F4381-E4381</f>
        <v>35.400000000000006</v>
      </c>
      <c r="F4380" s="156"/>
    </row>
    <row r="4381" spans="1:6">
      <c r="A4381" s="833">
        <v>41144</v>
      </c>
      <c r="B4381" s="818" t="str">
        <f>TiposLancamentos!B72</f>
        <v>Presentes</v>
      </c>
      <c r="C4381" s="834" t="s">
        <v>22989</v>
      </c>
      <c r="D4381" s="849"/>
      <c r="E4381" s="855">
        <v>29</v>
      </c>
      <c r="F4381" s="156">
        <v>64.400000000000006</v>
      </c>
    </row>
    <row r="4382" spans="1:6">
      <c r="A4382" s="847">
        <v>41144</v>
      </c>
      <c r="B4382" s="824" t="str">
        <f>TiposLancamentos!B19</f>
        <v>Restaurantes</v>
      </c>
      <c r="C4382" s="826" t="s">
        <v>22990</v>
      </c>
      <c r="D4382" s="828"/>
      <c r="E4382" s="848">
        <v>25.2</v>
      </c>
      <c r="F4382" s="156"/>
    </row>
    <row r="4383" spans="1:6">
      <c r="A4383" s="847">
        <v>41144</v>
      </c>
      <c r="B4383" s="824" t="str">
        <f>TiposLancamentos!B19</f>
        <v>Restaurantes</v>
      </c>
      <c r="C4383" s="826" t="s">
        <v>22991</v>
      </c>
      <c r="D4383" s="828"/>
      <c r="E4383" s="848">
        <v>69</v>
      </c>
      <c r="F4383" s="156"/>
    </row>
    <row r="4384" spans="1:6">
      <c r="A4384" s="847">
        <v>41145</v>
      </c>
      <c r="B4384" s="824" t="str">
        <f>TiposLancamentos!B19</f>
        <v>Restaurantes</v>
      </c>
      <c r="C4384" s="826" t="s">
        <v>22992</v>
      </c>
      <c r="D4384" s="828"/>
      <c r="E4384" s="848">
        <v>74.5</v>
      </c>
      <c r="F4384" s="156"/>
    </row>
    <row r="4385" spans="1:6">
      <c r="A4385" s="847">
        <v>41145</v>
      </c>
      <c r="B4385" s="824" t="str">
        <f>TiposLancamentos!B16</f>
        <v>Cristiane</v>
      </c>
      <c r="C4385" s="826" t="s">
        <v>22993</v>
      </c>
      <c r="D4385" s="828"/>
      <c r="E4385" s="848">
        <v>85.96</v>
      </c>
      <c r="F4385" s="156"/>
    </row>
    <row r="4386" spans="1:6">
      <c r="A4386" s="847">
        <v>41145</v>
      </c>
      <c r="B4386" s="824" t="str">
        <f>TiposLancamentos!B19</f>
        <v>Restaurantes</v>
      </c>
      <c r="C4386" s="826" t="s">
        <v>22994</v>
      </c>
      <c r="D4386" s="828"/>
      <c r="E4386" s="848">
        <v>11.1</v>
      </c>
      <c r="F4386" s="156"/>
    </row>
    <row r="4387" spans="1:6">
      <c r="A4387" s="847">
        <v>41145</v>
      </c>
      <c r="B4387" s="824" t="str">
        <f>TiposLancamentos!B19</f>
        <v>Restaurantes</v>
      </c>
      <c r="C4387" s="826" t="s">
        <v>22995</v>
      </c>
      <c r="D4387" s="828"/>
      <c r="E4387" s="848">
        <v>92.13</v>
      </c>
      <c r="F4387" s="156"/>
    </row>
    <row r="4388" spans="1:6">
      <c r="A4388" s="847">
        <v>41146</v>
      </c>
      <c r="B4388" s="824" t="str">
        <f>TiposLancamentos!B19</f>
        <v>Restaurantes</v>
      </c>
      <c r="C4388" s="826" t="s">
        <v>22996</v>
      </c>
      <c r="D4388" s="828"/>
      <c r="E4388" s="848">
        <v>36.85</v>
      </c>
      <c r="F4388" s="156"/>
    </row>
    <row r="4389" spans="1:6">
      <c r="A4389" s="847">
        <v>41147</v>
      </c>
      <c r="B4389" s="824" t="str">
        <f>TiposLancamentos!B19</f>
        <v>Restaurantes</v>
      </c>
      <c r="C4389" s="826" t="s">
        <v>6780</v>
      </c>
      <c r="D4389" s="828"/>
      <c r="E4389" s="848">
        <v>46.42</v>
      </c>
      <c r="F4389" s="156"/>
    </row>
    <row r="4390" spans="1:6">
      <c r="A4390" s="847">
        <v>41147</v>
      </c>
      <c r="B4390" s="824" t="str">
        <f>TiposLancamentos!B19</f>
        <v>Restaurantes</v>
      </c>
      <c r="C4390" s="826" t="s">
        <v>22997</v>
      </c>
      <c r="D4390" s="828"/>
      <c r="E4390" s="848">
        <v>7.5</v>
      </c>
      <c r="F4390" s="156"/>
    </row>
    <row r="4391" spans="1:6">
      <c r="A4391" s="847">
        <v>41147</v>
      </c>
      <c r="B4391" s="824" t="str">
        <f>TiposLancamentos!B18</f>
        <v>Alimentacao</v>
      </c>
      <c r="C4391" s="826" t="s">
        <v>22998</v>
      </c>
      <c r="D4391" s="828"/>
      <c r="E4391" s="848">
        <v>38.17</v>
      </c>
      <c r="F4391" s="156"/>
    </row>
    <row r="4392" spans="1:6">
      <c r="A4392" s="847">
        <v>41148</v>
      </c>
      <c r="B4392" s="824" t="str">
        <f>TiposLancamentos!B19</f>
        <v>Restaurantes</v>
      </c>
      <c r="C4392" s="826" t="s">
        <v>22999</v>
      </c>
      <c r="D4392" s="828"/>
      <c r="E4392" s="848">
        <v>172.03</v>
      </c>
      <c r="F4392" s="156"/>
    </row>
    <row r="4393" spans="1:6">
      <c r="A4393" s="847">
        <v>41148</v>
      </c>
      <c r="B4393" s="824" t="str">
        <f>TiposLancamentos!B19</f>
        <v>Restaurantes</v>
      </c>
      <c r="C4393" s="826" t="s">
        <v>23000</v>
      </c>
      <c r="D4393" s="828"/>
      <c r="E4393" s="848">
        <v>11.7</v>
      </c>
      <c r="F4393" s="156"/>
    </row>
    <row r="4394" spans="1:6">
      <c r="A4394" s="847">
        <v>41148</v>
      </c>
      <c r="B4394" s="824" t="str">
        <f>TiposLancamentos!B72</f>
        <v>Presentes</v>
      </c>
      <c r="C4394" s="826" t="s">
        <v>23001</v>
      </c>
      <c r="D4394" s="828"/>
      <c r="E4394" s="848">
        <v>39.799999999999997</v>
      </c>
      <c r="F4394" s="156"/>
    </row>
    <row r="4395" spans="1:6">
      <c r="A4395" s="847">
        <v>41148</v>
      </c>
      <c r="B4395" s="824" t="str">
        <f>TiposLancamentos!B16</f>
        <v>Cristiane</v>
      </c>
      <c r="C4395" s="826" t="s">
        <v>23002</v>
      </c>
      <c r="D4395" s="828"/>
      <c r="E4395" s="848">
        <v>66.400000000000006</v>
      </c>
      <c r="F4395" s="156"/>
    </row>
    <row r="4396" spans="1:6">
      <c r="A4396" s="847">
        <v>41149</v>
      </c>
      <c r="B4396" s="824" t="str">
        <f>TiposLancamentos!B19</f>
        <v>Restaurantes</v>
      </c>
      <c r="C4396" s="826" t="s">
        <v>23003</v>
      </c>
      <c r="D4396" s="828"/>
      <c r="E4396" s="848">
        <v>61.37</v>
      </c>
      <c r="F4396" s="156"/>
    </row>
    <row r="4397" spans="1:6">
      <c r="A4397" s="847">
        <v>41149</v>
      </c>
      <c r="B4397" s="824" t="str">
        <f>TiposLancamentos!B19</f>
        <v>Restaurantes</v>
      </c>
      <c r="C4397" s="826" t="s">
        <v>23004</v>
      </c>
      <c r="D4397" s="828"/>
      <c r="E4397" s="848">
        <v>11.7</v>
      </c>
      <c r="F4397" s="156"/>
    </row>
    <row r="4398" spans="1:6">
      <c r="A4398" s="847">
        <v>41149</v>
      </c>
      <c r="B4398" s="824" t="str">
        <f>TiposLancamentos!B26</f>
        <v>LIVROS</v>
      </c>
      <c r="C4398" s="826" t="s">
        <v>23005</v>
      </c>
      <c r="D4398" s="828"/>
      <c r="E4398" s="848">
        <v>39.9</v>
      </c>
      <c r="F4398" s="156"/>
    </row>
    <row r="4399" spans="1:6">
      <c r="A4399" s="847">
        <v>41149</v>
      </c>
      <c r="B4399" s="824" t="str">
        <f>TiposLancamentos!B19</f>
        <v>Restaurantes</v>
      </c>
      <c r="C4399" s="826" t="s">
        <v>23006</v>
      </c>
      <c r="D4399" s="828"/>
      <c r="E4399" s="848">
        <v>44</v>
      </c>
      <c r="F4399" s="156"/>
    </row>
    <row r="4400" spans="1:6">
      <c r="A4400" s="847">
        <v>41150</v>
      </c>
      <c r="B4400" s="824" t="str">
        <f>TiposLancamentos!B5</f>
        <v>Supermercado</v>
      </c>
      <c r="C4400" s="826" t="s">
        <v>22304</v>
      </c>
      <c r="D4400" s="828"/>
      <c r="E4400" s="848">
        <v>168.86</v>
      </c>
      <c r="F4400" s="156"/>
    </row>
    <row r="4401" spans="1:6">
      <c r="A4401" s="847">
        <v>41150</v>
      </c>
      <c r="B4401" s="824" t="str">
        <f>TiposLancamentos!B81</f>
        <v>Ferramentas gerais</v>
      </c>
      <c r="C4401" s="826" t="s">
        <v>23007</v>
      </c>
      <c r="D4401" s="828"/>
      <c r="E4401" s="848">
        <v>6.5</v>
      </c>
      <c r="F4401" s="156"/>
    </row>
    <row r="4402" spans="1:6">
      <c r="A4402" s="847">
        <v>41150</v>
      </c>
      <c r="B4402" s="824" t="str">
        <f>TiposLancamentos!B19</f>
        <v>Restaurantes</v>
      </c>
      <c r="C4402" s="826" t="s">
        <v>23008</v>
      </c>
      <c r="D4402" s="828"/>
      <c r="E4402" s="848">
        <v>18.5</v>
      </c>
      <c r="F4402" s="156"/>
    </row>
    <row r="4403" spans="1:6">
      <c r="A4403" s="847">
        <v>41150</v>
      </c>
      <c r="B4403" s="824" t="str">
        <f>TiposLancamentos!B72</f>
        <v>Presentes</v>
      </c>
      <c r="C4403" s="826" t="s">
        <v>23009</v>
      </c>
      <c r="D4403" s="828"/>
      <c r="E4403" s="848">
        <v>27</v>
      </c>
      <c r="F4403" s="156"/>
    </row>
    <row r="4404" spans="1:6">
      <c r="A4404" s="847">
        <v>41151</v>
      </c>
      <c r="B4404" s="824" t="str">
        <f>TiposLancamentos!B16</f>
        <v>Cristiane</v>
      </c>
      <c r="C4404" s="826" t="s">
        <v>23010</v>
      </c>
      <c r="D4404" s="828"/>
      <c r="E4404" s="848">
        <v>98.5</v>
      </c>
      <c r="F4404" s="156"/>
    </row>
    <row r="4405" spans="1:6">
      <c r="A4405" s="847">
        <v>41151</v>
      </c>
      <c r="B4405" s="824" t="str">
        <f>TiposLancamentos!B16</f>
        <v>Cristiane</v>
      </c>
      <c r="C4405" s="826" t="s">
        <v>23011</v>
      </c>
      <c r="D4405" s="828"/>
      <c r="E4405" s="848">
        <v>58.9</v>
      </c>
      <c r="F4405" s="156"/>
    </row>
    <row r="4406" spans="1:6">
      <c r="A4406" s="847">
        <v>41151</v>
      </c>
      <c r="B4406" s="824" t="str">
        <f>TiposLancamentos!B16</f>
        <v>Cristiane</v>
      </c>
      <c r="C4406" s="826" t="s">
        <v>23012</v>
      </c>
      <c r="D4406" s="828"/>
      <c r="E4406" s="848">
        <v>226</v>
      </c>
      <c r="F4406" s="156"/>
    </row>
    <row r="4407" spans="1:6">
      <c r="A4407" s="847">
        <v>41151</v>
      </c>
      <c r="B4407" s="824" t="str">
        <f>TiposLancamentos!B19</f>
        <v>Restaurantes</v>
      </c>
      <c r="C4407" s="826" t="s">
        <v>23013</v>
      </c>
      <c r="D4407" s="828"/>
      <c r="E4407" s="848">
        <v>25</v>
      </c>
      <c r="F4407" s="156"/>
    </row>
    <row r="4408" spans="1:6" ht="12.75" customHeight="1">
      <c r="A4408" s="847">
        <v>41151</v>
      </c>
      <c r="B4408" s="824" t="str">
        <f>TiposLancamentos!B56</f>
        <v>Farmácia</v>
      </c>
      <c r="C4408" s="826" t="s">
        <v>5887</v>
      </c>
      <c r="D4408" s="828"/>
      <c r="E4408" s="848">
        <v>13.65</v>
      </c>
      <c r="F4408" s="156"/>
    </row>
    <row r="4409" spans="1:6" ht="12.75" customHeight="1">
      <c r="A4409" s="847">
        <v>41152</v>
      </c>
      <c r="B4409" s="824" t="str">
        <f>TiposLancamentos!B103</f>
        <v>Juros_Corr. Poupança</v>
      </c>
      <c r="C4409" s="826" t="s">
        <v>23014</v>
      </c>
      <c r="D4409" s="828">
        <v>2.66</v>
      </c>
      <c r="E4409" s="848"/>
      <c r="F4409" s="156"/>
    </row>
    <row r="4410" spans="1:6">
      <c r="A4410" s="847">
        <v>41152</v>
      </c>
      <c r="B4410" s="824" t="str">
        <f>TiposLancamentos!B43</f>
        <v>Imposto de Renda</v>
      </c>
      <c r="C4410" s="826" t="s">
        <v>23015</v>
      </c>
      <c r="D4410" s="828"/>
      <c r="E4410" s="848">
        <v>397.94</v>
      </c>
      <c r="F4410" s="156"/>
    </row>
    <row r="4411" spans="1:6" ht="14.25" thickBot="1">
      <c r="A4411" s="847">
        <v>41152</v>
      </c>
      <c r="B4411" s="824" t="str">
        <f>TiposLancamentos!B95</f>
        <v>Salarios</v>
      </c>
      <c r="C4411" s="826" t="s">
        <v>4939</v>
      </c>
      <c r="D4411" s="828">
        <v>6663.02</v>
      </c>
      <c r="E4411" s="848"/>
      <c r="F4411" s="156"/>
    </row>
    <row r="4412" spans="1:6">
      <c r="A4412" s="981"/>
      <c r="B4412" s="982"/>
      <c r="C4412" s="974" t="s">
        <v>5827</v>
      </c>
      <c r="D4412" s="983"/>
      <c r="E4412" s="984"/>
      <c r="F4412" s="156"/>
    </row>
    <row r="4413" spans="1:6">
      <c r="A4413" s="847">
        <v>41153</v>
      </c>
      <c r="B4413" s="824" t="str">
        <f>TiposLancamentos!B56</f>
        <v>Farmácia</v>
      </c>
      <c r="C4413" s="826" t="s">
        <v>23016</v>
      </c>
      <c r="D4413" s="828"/>
      <c r="E4413" s="848">
        <v>17.75</v>
      </c>
      <c r="F4413" s="156"/>
    </row>
    <row r="4414" spans="1:6">
      <c r="A4414" s="847">
        <v>41154</v>
      </c>
      <c r="B4414" s="824" t="str">
        <f>TiposLancamentos!B19</f>
        <v>Restaurantes</v>
      </c>
      <c r="C4414" s="826" t="s">
        <v>23017</v>
      </c>
      <c r="D4414" s="828"/>
      <c r="E4414" s="848">
        <v>99</v>
      </c>
      <c r="F4414" s="156"/>
    </row>
    <row r="4415" spans="1:6">
      <c r="A4415" s="847">
        <v>41154</v>
      </c>
      <c r="B4415" s="824" t="str">
        <f>TiposLancamentos!B16</f>
        <v>Cristiane</v>
      </c>
      <c r="C4415" s="826" t="s">
        <v>23018</v>
      </c>
      <c r="D4415" s="828"/>
      <c r="E4415" s="848">
        <v>70</v>
      </c>
      <c r="F4415" s="156"/>
    </row>
    <row r="4416" spans="1:6">
      <c r="A4416" s="847">
        <v>41154</v>
      </c>
      <c r="B4416" s="824" t="str">
        <f>TiposLancamentos!B24</f>
        <v>Estacionamentos</v>
      </c>
      <c r="C4416" s="826" t="s">
        <v>23019</v>
      </c>
      <c r="D4416" s="828"/>
      <c r="E4416" s="848">
        <v>18</v>
      </c>
      <c r="F4416" s="156"/>
    </row>
    <row r="4417" spans="1:6">
      <c r="A4417" s="847">
        <v>41154</v>
      </c>
      <c r="B4417" s="824" t="str">
        <f>TiposLancamentos!B19</f>
        <v>Restaurantes</v>
      </c>
      <c r="C4417" s="826" t="s">
        <v>23020</v>
      </c>
      <c r="D4417" s="828"/>
      <c r="E4417" s="848">
        <v>57.9</v>
      </c>
      <c r="F4417" s="156"/>
    </row>
    <row r="4418" spans="1:6">
      <c r="A4418" s="847">
        <v>41155</v>
      </c>
      <c r="B4418" s="824" t="str">
        <f>TiposLancamentos!B15</f>
        <v>Cartões de Crédito</v>
      </c>
      <c r="C4418" s="876" t="s">
        <v>6240</v>
      </c>
      <c r="D4418" s="828"/>
      <c r="E4418" s="848">
        <v>1973.73</v>
      </c>
      <c r="F4418" s="156"/>
    </row>
    <row r="4419" spans="1:6">
      <c r="A4419" s="923">
        <v>41155</v>
      </c>
      <c r="B4419" s="830" t="str">
        <f>TiposLancamentos!B8</f>
        <v>Aluguel</v>
      </c>
      <c r="C4419" s="915" t="s">
        <v>2504</v>
      </c>
      <c r="D4419" s="917"/>
      <c r="E4419" s="920">
        <f>F4420-E4420</f>
        <v>1235.47</v>
      </c>
      <c r="F4419" s="156"/>
    </row>
    <row r="4420" spans="1:6">
      <c r="A4420" s="924">
        <v>41155</v>
      </c>
      <c r="B4420" s="833" t="str">
        <f>TiposLancamentos!B12</f>
        <v>IPTU</v>
      </c>
      <c r="C4420" s="916" t="s">
        <v>23021</v>
      </c>
      <c r="D4420" s="918"/>
      <c r="E4420" s="922">
        <v>99.29</v>
      </c>
      <c r="F4420" s="156">
        <v>1334.76</v>
      </c>
    </row>
    <row r="4421" spans="1:6">
      <c r="A4421" s="847">
        <v>41155</v>
      </c>
      <c r="B4421" s="824" t="str">
        <f>TiposLancamentos!B34</f>
        <v>Seguros</v>
      </c>
      <c r="C4421" s="826" t="s">
        <v>5809</v>
      </c>
      <c r="D4421" s="828"/>
      <c r="E4421" s="848">
        <v>69</v>
      </c>
      <c r="F4421" s="156"/>
    </row>
    <row r="4422" spans="1:6">
      <c r="A4422" s="847">
        <v>41155</v>
      </c>
      <c r="B4422" s="824" t="str">
        <f>TiposLancamentos!B6</f>
        <v>Energia Eletrica</v>
      </c>
      <c r="C4422" s="826" t="s">
        <v>5744</v>
      </c>
      <c r="D4422" s="828"/>
      <c r="E4422" s="848">
        <v>174.28</v>
      </c>
      <c r="F4422" s="156"/>
    </row>
    <row r="4423" spans="1:6">
      <c r="A4423" s="830">
        <v>41155</v>
      </c>
      <c r="B4423" s="817" t="str">
        <f>TiposLancamentos!B35</f>
        <v>Tv à Cabo</v>
      </c>
      <c r="C4423" s="831" t="s">
        <v>5834</v>
      </c>
      <c r="D4423" s="747"/>
      <c r="E4423" s="851">
        <v>153.36000000000001</v>
      </c>
      <c r="F4423" s="156"/>
    </row>
    <row r="4424" spans="1:6">
      <c r="A4424" s="825">
        <v>41155</v>
      </c>
      <c r="B4424" s="816" t="str">
        <f>TiposLancamentos!B3</f>
        <v>Internet</v>
      </c>
      <c r="C4424" s="827" t="s">
        <v>5835</v>
      </c>
      <c r="D4424" s="51"/>
      <c r="E4424" s="853">
        <v>75.42</v>
      </c>
      <c r="F4424" s="156"/>
    </row>
    <row r="4425" spans="1:6">
      <c r="A4425" s="833">
        <v>41155</v>
      </c>
      <c r="B4425" s="818" t="str">
        <f>TiposLancamentos!B2</f>
        <v>Telefonia</v>
      </c>
      <c r="C4425" s="834" t="s">
        <v>5836</v>
      </c>
      <c r="D4425" s="849"/>
      <c r="E4425" s="855">
        <v>37.89</v>
      </c>
      <c r="F4425" s="156">
        <f>SUM(E4423:E4425)</f>
        <v>266.67</v>
      </c>
    </row>
    <row r="4426" spans="1:6">
      <c r="A4426" s="847">
        <v>41155</v>
      </c>
      <c r="B4426" s="824" t="str">
        <f>TiposLancamentos!B16</f>
        <v>Cristiane</v>
      </c>
      <c r="C4426" s="826" t="s">
        <v>23022</v>
      </c>
      <c r="D4426" s="828"/>
      <c r="E4426" s="848">
        <v>56</v>
      </c>
      <c r="F4426" s="156"/>
    </row>
    <row r="4427" spans="1:6">
      <c r="A4427" s="847">
        <v>41155</v>
      </c>
      <c r="B4427" s="824" t="str">
        <f>TiposLancamentos!B16</f>
        <v>Cristiane</v>
      </c>
      <c r="C4427" s="826" t="s">
        <v>5837</v>
      </c>
      <c r="D4427" s="828"/>
      <c r="E4427" s="848">
        <v>117.72</v>
      </c>
      <c r="F4427" s="156"/>
    </row>
    <row r="4428" spans="1:6">
      <c r="A4428" s="847">
        <v>41155</v>
      </c>
      <c r="B4428" s="824" t="str">
        <f>TiposLancamentos!B9</f>
        <v>Condominio</v>
      </c>
      <c r="C4428" s="826" t="s">
        <v>1684</v>
      </c>
      <c r="D4428" s="828"/>
      <c r="E4428" s="848">
        <v>765.46</v>
      </c>
      <c r="F4428" s="156"/>
    </row>
    <row r="4429" spans="1:6">
      <c r="A4429" s="847">
        <v>41155</v>
      </c>
      <c r="B4429" s="824" t="str">
        <f>TiposLancamentos!B3</f>
        <v>Internet</v>
      </c>
      <c r="C4429" s="826" t="s">
        <v>5838</v>
      </c>
      <c r="D4429" s="828"/>
      <c r="E4429" s="848">
        <v>89.9</v>
      </c>
      <c r="F4429" s="156"/>
    </row>
    <row r="4430" spans="1:6">
      <c r="A4430" s="847">
        <v>41155</v>
      </c>
      <c r="B4430" s="824" t="str">
        <f>TiposLancamentos!B105</f>
        <v>Transf. Bco</v>
      </c>
      <c r="C4430" s="826" t="s">
        <v>5717</v>
      </c>
      <c r="D4430" s="828"/>
      <c r="E4430" s="848">
        <v>4000</v>
      </c>
      <c r="F4430" s="156"/>
    </row>
    <row r="4431" spans="1:6">
      <c r="A4431" s="847">
        <v>41155</v>
      </c>
      <c r="B4431" s="824" t="str">
        <f>TiposLancamentos!B17</f>
        <v>GATO</v>
      </c>
      <c r="C4431" s="826" t="s">
        <v>23023</v>
      </c>
      <c r="D4431" s="828"/>
      <c r="E4431" s="848">
        <v>112.4</v>
      </c>
      <c r="F4431" s="156"/>
    </row>
    <row r="4432" spans="1:6">
      <c r="A4432" s="847">
        <v>41156</v>
      </c>
      <c r="B4432" s="824" t="str">
        <f>TiposLancamentos!B16</f>
        <v>Cristiane</v>
      </c>
      <c r="C4432" s="826" t="s">
        <v>23024</v>
      </c>
      <c r="D4432" s="828"/>
      <c r="E4432" s="848">
        <v>300</v>
      </c>
      <c r="F4432" s="156"/>
    </row>
    <row r="4433" spans="1:6">
      <c r="A4433" s="923">
        <v>41157</v>
      </c>
      <c r="B4433" s="830" t="str">
        <f>TiposLancamentos!B44</f>
        <v>Academia</v>
      </c>
      <c r="C4433" s="915" t="s">
        <v>23025</v>
      </c>
      <c r="D4433" s="917"/>
      <c r="E4433" s="920">
        <v>105</v>
      </c>
      <c r="F4433" s="156"/>
    </row>
    <row r="4434" spans="1:6">
      <c r="A4434" s="924">
        <v>41157</v>
      </c>
      <c r="B4434" s="833" t="str">
        <f>TiposLancamentos!B16</f>
        <v>Cristiane</v>
      </c>
      <c r="C4434" s="916" t="s">
        <v>23026</v>
      </c>
      <c r="D4434" s="918"/>
      <c r="E4434" s="922">
        <v>105</v>
      </c>
      <c r="F4434" s="156">
        <f>SUM(E4433:E4434)</f>
        <v>210</v>
      </c>
    </row>
    <row r="4435" spans="1:6">
      <c r="A4435" s="847">
        <v>41158</v>
      </c>
      <c r="B4435" s="824" t="str">
        <f>TiposLancamentos!B22</f>
        <v>Combustivel</v>
      </c>
      <c r="C4435" s="826" t="s">
        <v>23027</v>
      </c>
      <c r="D4435" s="828"/>
      <c r="E4435" s="848">
        <v>103.02</v>
      </c>
      <c r="F4435" s="156"/>
    </row>
    <row r="4436" spans="1:6">
      <c r="A4436" s="847">
        <v>41158</v>
      </c>
      <c r="B4436" s="824" t="str">
        <f>TiposLancamentos!B19</f>
        <v>Restaurantes</v>
      </c>
      <c r="C4436" s="826" t="s">
        <v>23028</v>
      </c>
      <c r="D4436" s="828"/>
      <c r="E4436" s="848">
        <v>108</v>
      </c>
      <c r="F4436" s="156"/>
    </row>
    <row r="4437" spans="1:6">
      <c r="A4437" s="847">
        <v>41158</v>
      </c>
      <c r="B4437" s="824" t="str">
        <f>TiposLancamentos!B24</f>
        <v>Estacionamentos</v>
      </c>
      <c r="C4437" s="826" t="s">
        <v>23029</v>
      </c>
      <c r="D4437" s="828"/>
      <c r="E4437" s="848">
        <v>24</v>
      </c>
      <c r="F4437" s="156"/>
    </row>
    <row r="4438" spans="1:6">
      <c r="A4438" s="847">
        <v>41159</v>
      </c>
      <c r="B4438" s="824" t="str">
        <f>TiposLancamentos!B19</f>
        <v>Restaurantes</v>
      </c>
      <c r="C4438" s="826" t="s">
        <v>23030</v>
      </c>
      <c r="D4438" s="828"/>
      <c r="E4438" s="848">
        <v>116.9</v>
      </c>
      <c r="F4438" s="156"/>
    </row>
    <row r="4439" spans="1:6">
      <c r="A4439" s="923">
        <v>41159</v>
      </c>
      <c r="B4439" s="830" t="str">
        <f>TiposLancamentos!B71</f>
        <v>Itens Pessoais</v>
      </c>
      <c r="C4439" s="915" t="s">
        <v>23031</v>
      </c>
      <c r="D4439" s="917"/>
      <c r="E4439" s="920">
        <v>45</v>
      </c>
      <c r="F4439" s="156"/>
    </row>
    <row r="4440" spans="1:6">
      <c r="A4440" s="924">
        <v>41159</v>
      </c>
      <c r="B4440" s="833" t="str">
        <f>TiposLancamentos!B16</f>
        <v>Cristiane</v>
      </c>
      <c r="C4440" s="916" t="s">
        <v>23031</v>
      </c>
      <c r="D4440" s="918"/>
      <c r="E4440" s="922">
        <f>F4440-E4439</f>
        <v>35</v>
      </c>
      <c r="F4440" s="156">
        <v>80</v>
      </c>
    </row>
    <row r="4441" spans="1:6">
      <c r="A4441" s="923">
        <v>41159</v>
      </c>
      <c r="B4441" s="830" t="str">
        <f>TiposLancamentos!B71</f>
        <v>Itens Pessoais</v>
      </c>
      <c r="C4441" s="915" t="s">
        <v>23031</v>
      </c>
      <c r="D4441" s="917"/>
      <c r="E4441" s="920">
        <v>15</v>
      </c>
      <c r="F4441" s="156"/>
    </row>
    <row r="4442" spans="1:6">
      <c r="A4442" s="924">
        <v>41159</v>
      </c>
      <c r="B4442" s="833" t="str">
        <f>TiposLancamentos!B16</f>
        <v>Cristiane</v>
      </c>
      <c r="C4442" s="916" t="s">
        <v>23031</v>
      </c>
      <c r="D4442" s="918"/>
      <c r="E4442" s="922">
        <f>F4442-E4441</f>
        <v>30</v>
      </c>
      <c r="F4442" s="156">
        <v>45</v>
      </c>
    </row>
    <row r="4443" spans="1:6">
      <c r="A4443" s="847">
        <v>41159</v>
      </c>
      <c r="B4443" s="824" t="str">
        <f>TiposLancamentos!B24</f>
        <v>Estacionamentos</v>
      </c>
      <c r="C4443" s="826" t="s">
        <v>23032</v>
      </c>
      <c r="D4443" s="828"/>
      <c r="E4443" s="848">
        <v>18</v>
      </c>
      <c r="F4443" s="156"/>
    </row>
    <row r="4444" spans="1:6">
      <c r="A4444" s="847">
        <v>41160</v>
      </c>
      <c r="B4444" s="824" t="str">
        <f>TiposLancamentos!B13</f>
        <v>Moradia</v>
      </c>
      <c r="C4444" s="826" t="s">
        <v>23033</v>
      </c>
      <c r="D4444" s="828"/>
      <c r="E4444" s="848">
        <v>24.4</v>
      </c>
      <c r="F4444" s="156"/>
    </row>
    <row r="4445" spans="1:6">
      <c r="A4445" s="847">
        <v>41160</v>
      </c>
      <c r="B4445" s="824" t="str">
        <f>TiposLancamentos!B19</f>
        <v>Restaurantes</v>
      </c>
      <c r="C4445" s="826" t="s">
        <v>23034</v>
      </c>
      <c r="D4445" s="828"/>
      <c r="E4445" s="848">
        <v>24</v>
      </c>
      <c r="F4445" s="156"/>
    </row>
    <row r="4446" spans="1:6">
      <c r="A4446" s="847">
        <v>41160</v>
      </c>
      <c r="B4446" s="824" t="str">
        <f>TiposLancamentos!B5</f>
        <v>Supermercado</v>
      </c>
      <c r="C4446" s="826" t="s">
        <v>23035</v>
      </c>
      <c r="D4446" s="828"/>
      <c r="E4446" s="848">
        <v>96.39</v>
      </c>
      <c r="F4446" s="156"/>
    </row>
    <row r="4447" spans="1:6">
      <c r="A4447" s="847">
        <v>41162</v>
      </c>
      <c r="B4447" s="824" t="str">
        <f>TiposLancamentos!B103</f>
        <v>Juros_Corr. Poupança</v>
      </c>
      <c r="C4447" s="826" t="s">
        <v>23036</v>
      </c>
      <c r="D4447" s="828">
        <v>2.0499999999999998</v>
      </c>
      <c r="E4447" s="848"/>
      <c r="F4447" s="156"/>
    </row>
    <row r="4448" spans="1:6">
      <c r="A4448" s="847">
        <v>41165</v>
      </c>
      <c r="B4448" s="824" t="str">
        <f>TiposLancamentos!B16</f>
        <v>Cristiane</v>
      </c>
      <c r="C4448" s="826" t="s">
        <v>23037</v>
      </c>
      <c r="D4448" s="828"/>
      <c r="E4448" s="848">
        <v>178</v>
      </c>
      <c r="F4448" s="156"/>
    </row>
    <row r="4449" spans="1:6">
      <c r="A4449" s="847">
        <v>41166</v>
      </c>
      <c r="B4449" s="824" t="str">
        <f>TiposLancamentos!B95</f>
        <v>Salarios</v>
      </c>
      <c r="C4449" s="826" t="s">
        <v>4916</v>
      </c>
      <c r="D4449" s="828">
        <v>2110.15</v>
      </c>
      <c r="E4449" s="848"/>
      <c r="F4449" s="156"/>
    </row>
    <row r="4450" spans="1:6">
      <c r="A4450" s="847">
        <v>41166</v>
      </c>
      <c r="B4450" s="824" t="str">
        <f>TiposLancamentos!B97</f>
        <v>Deposito Terc.</v>
      </c>
      <c r="C4450" s="826" t="s">
        <v>23038</v>
      </c>
      <c r="D4450" s="828">
        <v>178</v>
      </c>
      <c r="E4450" s="848"/>
      <c r="F4450" s="156"/>
    </row>
    <row r="4451" spans="1:6">
      <c r="A4451" s="847">
        <v>41167</v>
      </c>
      <c r="B4451" s="824" t="str">
        <f>TiposLancamentos!B19</f>
        <v>Restaurantes</v>
      </c>
      <c r="C4451" s="826" t="s">
        <v>23039</v>
      </c>
      <c r="D4451" s="828"/>
      <c r="E4451" s="848">
        <v>78.5</v>
      </c>
      <c r="F4451" s="156"/>
    </row>
    <row r="4452" spans="1:6">
      <c r="A4452" s="847">
        <v>41168</v>
      </c>
      <c r="B4452" s="824" t="str">
        <f>TiposLancamentos!B19</f>
        <v>Restaurantes</v>
      </c>
      <c r="C4452" s="826" t="s">
        <v>3755</v>
      </c>
      <c r="D4452" s="828"/>
      <c r="E4452" s="848">
        <v>55.77</v>
      </c>
      <c r="F4452" s="156"/>
    </row>
    <row r="4453" spans="1:6">
      <c r="A4453" s="923">
        <v>41169</v>
      </c>
      <c r="B4453" s="830" t="str">
        <f>TiposLancamentos!B33</f>
        <v>Pedágios</v>
      </c>
      <c r="C4453" s="915" t="s">
        <v>5392</v>
      </c>
      <c r="D4453" s="917"/>
      <c r="E4453" s="920">
        <v>12.4</v>
      </c>
    </row>
    <row r="4454" spans="1:6">
      <c r="A4454" s="924">
        <v>41169</v>
      </c>
      <c r="B4454" s="833" t="str">
        <f>TiposLancamentos!B24</f>
        <v>Estacionamentos</v>
      </c>
      <c r="C4454" s="916" t="s">
        <v>5863</v>
      </c>
      <c r="D4454" s="918"/>
      <c r="E4454" s="922">
        <v>49</v>
      </c>
      <c r="F4454" s="156">
        <f>SUM(E4453:E4454)</f>
        <v>61.4</v>
      </c>
    </row>
    <row r="4455" spans="1:6">
      <c r="A4455" s="847">
        <v>41169</v>
      </c>
      <c r="B4455" s="824" t="str">
        <f>TiposLancamentos!B16</f>
        <v>Cristiane</v>
      </c>
      <c r="C4455" s="826" t="s">
        <v>23037</v>
      </c>
      <c r="D4455" s="828"/>
      <c r="E4455" s="848">
        <v>178</v>
      </c>
      <c r="F4455" s="156"/>
    </row>
    <row r="4456" spans="1:6">
      <c r="A4456" s="847">
        <v>41169</v>
      </c>
      <c r="B4456" s="824" t="str">
        <f>TiposLancamentos!B16</f>
        <v>Cristiane</v>
      </c>
      <c r="C4456" s="826" t="s">
        <v>21761</v>
      </c>
      <c r="D4456" s="828"/>
      <c r="E4456" s="848">
        <v>39.49</v>
      </c>
      <c r="F4456" s="156"/>
    </row>
    <row r="4457" spans="1:6">
      <c r="A4457" s="847">
        <v>41170</v>
      </c>
      <c r="B4457" s="824" t="str">
        <f>TiposLancamentos!B5</f>
        <v>Supermercado</v>
      </c>
      <c r="C4457" s="826" t="s">
        <v>21923</v>
      </c>
      <c r="D4457" s="828"/>
      <c r="E4457" s="848">
        <v>72.400000000000006</v>
      </c>
      <c r="F4457" s="156"/>
    </row>
    <row r="4458" spans="1:6">
      <c r="A4458" s="847">
        <v>41171</v>
      </c>
      <c r="B4458" s="824" t="str">
        <f>TiposLancamentos!B56</f>
        <v>Farmácia</v>
      </c>
      <c r="C4458" s="826" t="s">
        <v>23040</v>
      </c>
      <c r="D4458" s="828"/>
      <c r="E4458" s="848">
        <v>4.6500000000000004</v>
      </c>
      <c r="F4458" s="156"/>
    </row>
    <row r="4459" spans="1:6">
      <c r="A4459" s="847">
        <v>41172</v>
      </c>
      <c r="B4459" s="824" t="str">
        <f>TiposLancamentos!B5</f>
        <v>Supermercado</v>
      </c>
      <c r="C4459" s="826" t="s">
        <v>5801</v>
      </c>
      <c r="D4459" s="828"/>
      <c r="E4459" s="848">
        <v>82.29</v>
      </c>
      <c r="F4459" s="156"/>
    </row>
    <row r="4460" spans="1:6">
      <c r="A4460" s="847">
        <v>41173</v>
      </c>
      <c r="B4460" s="824" t="str">
        <f>TiposLancamentos!B5</f>
        <v>Supermercado</v>
      </c>
      <c r="C4460" s="826" t="s">
        <v>5862</v>
      </c>
      <c r="D4460" s="828"/>
      <c r="E4460" s="848">
        <v>39.79</v>
      </c>
      <c r="F4460" s="156"/>
    </row>
    <row r="4461" spans="1:6">
      <c r="A4461" s="847">
        <v>41174</v>
      </c>
      <c r="B4461" s="824" t="str">
        <f>TiposLancamentos!B2</f>
        <v>Telefonia</v>
      </c>
      <c r="C4461" s="826" t="s">
        <v>23041</v>
      </c>
      <c r="D4461" s="828"/>
      <c r="E4461" s="848">
        <v>1</v>
      </c>
      <c r="F4461" s="156"/>
    </row>
    <row r="4462" spans="1:6">
      <c r="A4462" s="847">
        <v>41174</v>
      </c>
      <c r="B4462" s="824" t="str">
        <f>TiposLancamentos!B87</f>
        <v>P207-1.6-XS</v>
      </c>
      <c r="C4462" s="826" t="s">
        <v>23042</v>
      </c>
      <c r="D4462" s="828"/>
      <c r="E4462" s="848">
        <v>140</v>
      </c>
      <c r="F4462" s="156"/>
    </row>
    <row r="4463" spans="1:6">
      <c r="A4463" s="847">
        <v>41174</v>
      </c>
      <c r="B4463" s="824" t="str">
        <f>TiposLancamentos!B2</f>
        <v>Telefonia</v>
      </c>
      <c r="C4463" s="826" t="s">
        <v>6172</v>
      </c>
      <c r="D4463" s="828"/>
      <c r="E4463" s="848">
        <v>17</v>
      </c>
      <c r="F4463" s="156"/>
    </row>
    <row r="4464" spans="1:6">
      <c r="A4464" s="847">
        <v>41174</v>
      </c>
      <c r="B4464" s="824" t="str">
        <f>TiposLancamentos!B5</f>
        <v>Supermercado</v>
      </c>
      <c r="C4464" s="826" t="s">
        <v>23043</v>
      </c>
      <c r="D4464" s="828"/>
      <c r="E4464" s="848">
        <v>18.600000000000001</v>
      </c>
      <c r="F4464" s="156"/>
    </row>
    <row r="4465" spans="1:6">
      <c r="A4465" s="847">
        <v>41176</v>
      </c>
      <c r="B4465" s="824" t="str">
        <f>TiposLancamentos!B19</f>
        <v>Restaurantes</v>
      </c>
      <c r="C4465" s="826" t="s">
        <v>5914</v>
      </c>
      <c r="D4465" s="828"/>
      <c r="E4465" s="848">
        <v>34.299999999999997</v>
      </c>
      <c r="F4465" s="156"/>
    </row>
    <row r="4466" spans="1:6">
      <c r="A4466" s="847">
        <v>41177</v>
      </c>
      <c r="B4466" s="824" t="str">
        <f>TiposLancamentos!B20</f>
        <v>Saques</v>
      </c>
      <c r="C4466" s="826" t="s">
        <v>2668</v>
      </c>
      <c r="D4466" s="828"/>
      <c r="E4466" s="848">
        <v>120</v>
      </c>
      <c r="F4466" s="156"/>
    </row>
    <row r="4467" spans="1:6">
      <c r="A4467" s="847">
        <v>41177</v>
      </c>
      <c r="B4467" s="824" t="str">
        <f>TiposLancamentos!B22</f>
        <v>Combustivel</v>
      </c>
      <c r="C4467" s="826" t="s">
        <v>23044</v>
      </c>
      <c r="D4467" s="828"/>
      <c r="E4467" s="848">
        <v>116.01</v>
      </c>
      <c r="F4467" s="156"/>
    </row>
    <row r="4468" spans="1:6">
      <c r="A4468" s="847">
        <v>41178</v>
      </c>
      <c r="B4468" s="824" t="str">
        <f>TiposLancamentos!B2</f>
        <v>Telefonia</v>
      </c>
      <c r="C4468" s="826" t="s">
        <v>23045</v>
      </c>
      <c r="D4468" s="828"/>
      <c r="E4468" s="848">
        <v>6</v>
      </c>
      <c r="F4468" s="156"/>
    </row>
    <row r="4469" spans="1:6">
      <c r="A4469" s="923">
        <v>41179</v>
      </c>
      <c r="B4469" s="830" t="str">
        <f>TiposLancamentos!B56</f>
        <v>Farmácia</v>
      </c>
      <c r="C4469" s="915" t="s">
        <v>23046</v>
      </c>
      <c r="D4469" s="917"/>
      <c r="E4469" s="920">
        <f>F4470-E4470</f>
        <v>73.050000000000011</v>
      </c>
      <c r="F4469" s="156"/>
    </row>
    <row r="4470" spans="1:6">
      <c r="A4470" s="924">
        <v>41179</v>
      </c>
      <c r="B4470" s="833" t="str">
        <f>TiposLancamentos!B16</f>
        <v>Cristiane</v>
      </c>
      <c r="C4470" s="916" t="s">
        <v>23047</v>
      </c>
      <c r="D4470" s="918"/>
      <c r="E4470" s="922">
        <f>60.83-9.73</f>
        <v>51.099999999999994</v>
      </c>
      <c r="F4470" s="156">
        <v>124.15</v>
      </c>
    </row>
    <row r="4471" spans="1:6">
      <c r="A4471" s="847">
        <v>41179</v>
      </c>
      <c r="B4471" s="824" t="str">
        <f>TiposLancamentos!B69</f>
        <v>Consertos</v>
      </c>
      <c r="C4471" s="826" t="s">
        <v>23048</v>
      </c>
      <c r="D4471" s="828"/>
      <c r="E4471" s="848">
        <v>20</v>
      </c>
      <c r="F4471" s="156"/>
    </row>
    <row r="4472" spans="1:6">
      <c r="A4472" s="847">
        <v>41179</v>
      </c>
      <c r="B4472" s="824" t="str">
        <f>TiposLancamentos!B20</f>
        <v>Saques</v>
      </c>
      <c r="C4472" s="826" t="s">
        <v>3604</v>
      </c>
      <c r="D4472" s="828"/>
      <c r="E4472" s="848">
        <v>20</v>
      </c>
      <c r="F4472" s="156"/>
    </row>
    <row r="4473" spans="1:6">
      <c r="A4473" s="847">
        <v>41180</v>
      </c>
      <c r="B4473" s="824" t="str">
        <f>TiposLancamentos!B19</f>
        <v>Restaurantes</v>
      </c>
      <c r="C4473" s="826" t="s">
        <v>23049</v>
      </c>
      <c r="D4473" s="828"/>
      <c r="E4473" s="848">
        <v>59.7</v>
      </c>
      <c r="F4473" s="156"/>
    </row>
    <row r="4474" spans="1:6">
      <c r="A4474" s="847">
        <v>41180</v>
      </c>
      <c r="B4474" s="824" t="str">
        <f>TiposLancamentos!B13</f>
        <v>Moradia</v>
      </c>
      <c r="C4474" s="826" t="s">
        <v>23050</v>
      </c>
      <c r="D4474" s="828"/>
      <c r="E4474" s="848">
        <v>415</v>
      </c>
      <c r="F4474" s="156"/>
    </row>
    <row r="4475" spans="1:6">
      <c r="A4475" s="847">
        <v>41180</v>
      </c>
      <c r="B4475" s="824" t="str">
        <f>TiposLancamentos!B19</f>
        <v>Restaurantes</v>
      </c>
      <c r="C4475" s="826" t="s">
        <v>23051</v>
      </c>
      <c r="D4475" s="828"/>
      <c r="E4475" s="848">
        <v>21.2</v>
      </c>
      <c r="F4475" s="156"/>
    </row>
    <row r="4476" spans="1:6">
      <c r="A4476" s="847">
        <v>41181</v>
      </c>
      <c r="B4476" s="824" t="str">
        <f>TiposLancamentos!B34</f>
        <v>Seguros</v>
      </c>
      <c r="C4476" s="826" t="s">
        <v>23052</v>
      </c>
      <c r="D4476" s="828"/>
      <c r="E4476" s="848">
        <v>66.3</v>
      </c>
      <c r="F4476" s="156"/>
    </row>
    <row r="4477" spans="1:6">
      <c r="A4477" s="847">
        <v>41181</v>
      </c>
      <c r="B4477" s="824" t="str">
        <f>TiposLancamentos!B19</f>
        <v>Restaurantes</v>
      </c>
      <c r="C4477" s="826" t="s">
        <v>23053</v>
      </c>
      <c r="D4477" s="828"/>
      <c r="E4477" s="848">
        <v>28</v>
      </c>
      <c r="F4477" s="156"/>
    </row>
    <row r="4478" spans="1:6" ht="14.25" thickBot="1">
      <c r="A4478" s="847">
        <v>41180</v>
      </c>
      <c r="B4478" s="824" t="str">
        <f>TiposLancamentos!B43</f>
        <v>Imposto de Renda</v>
      </c>
      <c r="C4478" s="826" t="s">
        <v>23054</v>
      </c>
      <c r="D4478" s="828"/>
      <c r="E4478" s="848">
        <v>400.6</v>
      </c>
      <c r="F4478" s="156"/>
    </row>
    <row r="4479" spans="1:6">
      <c r="A4479" s="981"/>
      <c r="B4479" s="982"/>
      <c r="C4479" s="974" t="s">
        <v>5830</v>
      </c>
      <c r="D4479" s="983"/>
      <c r="E4479" s="984"/>
      <c r="F4479" s="156"/>
    </row>
    <row r="4480" spans="1:6">
      <c r="A4480" s="847">
        <v>41183</v>
      </c>
      <c r="B4480" s="824" t="str">
        <f>TiposLancamentos!B105</f>
        <v>Transf. Bco</v>
      </c>
      <c r="C4480" s="826" t="s">
        <v>17470</v>
      </c>
      <c r="D4480" s="828">
        <v>70</v>
      </c>
      <c r="E4480" s="848"/>
      <c r="F4480" s="156"/>
    </row>
    <row r="4481" spans="1:6">
      <c r="A4481" s="847">
        <v>41192</v>
      </c>
      <c r="B4481" s="824" t="str">
        <f>TiposLancamentos!B103</f>
        <v>Juros_Corr. Poupança</v>
      </c>
      <c r="C4481" s="826" t="s">
        <v>23055</v>
      </c>
      <c r="D4481" s="828">
        <v>0.04</v>
      </c>
      <c r="E4481" s="848"/>
      <c r="F4481" s="156"/>
    </row>
    <row r="4482" spans="1:6">
      <c r="A4482" s="847">
        <v>41213</v>
      </c>
      <c r="B4482" s="824" t="str">
        <f>TiposLancamentos!B43</f>
        <v>Imposto de Renda</v>
      </c>
      <c r="C4482" s="826" t="s">
        <v>23056</v>
      </c>
      <c r="D4482" s="828"/>
      <c r="E4482" s="848">
        <v>402.69</v>
      </c>
      <c r="F4482" s="156"/>
    </row>
    <row r="4483" spans="1:6" ht="14.25" thickBot="1">
      <c r="A4483" s="847">
        <v>41213</v>
      </c>
      <c r="B4483" s="824" t="str">
        <f>TiposLancamentos!B31</f>
        <v>Action Figures</v>
      </c>
      <c r="C4483" s="826" t="s">
        <v>23057</v>
      </c>
      <c r="D4483" s="828"/>
      <c r="E4483" s="848">
        <v>35</v>
      </c>
      <c r="F4483" s="156"/>
    </row>
    <row r="4484" spans="1:6">
      <c r="A4484" s="976"/>
      <c r="B4484" s="977"/>
      <c r="C4484" s="975" t="s">
        <v>5877</v>
      </c>
      <c r="D4484" s="979"/>
      <c r="E4484" s="971"/>
      <c r="F4484" s="156"/>
    </row>
    <row r="4485" spans="1:6">
      <c r="A4485" s="856">
        <v>41214</v>
      </c>
      <c r="B4485" s="125" t="str">
        <f>TiposLancamentos!B105</f>
        <v>Transf. Bco</v>
      </c>
      <c r="C4485" s="139" t="s">
        <v>21542</v>
      </c>
      <c r="D4485" s="51">
        <v>432</v>
      </c>
      <c r="E4485" s="857"/>
      <c r="F4485" s="156"/>
    </row>
    <row r="4486" spans="1:6">
      <c r="A4486" s="856">
        <v>41225</v>
      </c>
      <c r="B4486" s="125" t="str">
        <f>TiposLancamentos!B103</f>
        <v>Juros_Corr. Poupança</v>
      </c>
      <c r="C4486" s="139" t="s">
        <v>23058</v>
      </c>
      <c r="D4486" s="51">
        <v>0.01</v>
      </c>
      <c r="E4486" s="857"/>
      <c r="F4486" s="156"/>
    </row>
    <row r="4487" spans="1:6" ht="14.25" thickBot="1">
      <c r="A4487" s="866">
        <v>41243</v>
      </c>
      <c r="B4487" s="867" t="str">
        <f>TiposLancamentos!B43</f>
        <v>Imposto de Renda</v>
      </c>
      <c r="C4487" s="868" t="s">
        <v>23059</v>
      </c>
      <c r="D4487" s="869"/>
      <c r="E4487" s="870">
        <v>405.05</v>
      </c>
      <c r="F4487" s="156"/>
    </row>
    <row r="4488" spans="1:6">
      <c r="A4488" s="976"/>
      <c r="B4488" s="977"/>
      <c r="C4488" s="985" t="s">
        <v>5918</v>
      </c>
      <c r="D4488" s="979"/>
      <c r="E4488" s="971"/>
      <c r="F4488" s="156"/>
    </row>
    <row r="4489" spans="1:6">
      <c r="A4489" s="884">
        <v>41246</v>
      </c>
      <c r="B4489" s="138" t="str">
        <f>TiposLancamentos!B15</f>
        <v>Cartões de Crédito</v>
      </c>
      <c r="C4489" s="3" t="s">
        <v>5557</v>
      </c>
      <c r="D4489" s="197"/>
      <c r="E4489" s="857">
        <v>8046.02</v>
      </c>
      <c r="F4489" s="156"/>
    </row>
    <row r="4490" spans="1:6">
      <c r="A4490" s="856">
        <v>41246</v>
      </c>
      <c r="B4490" s="125" t="str">
        <f>TiposLancamentos!B105</f>
        <v>Transf. Bco</v>
      </c>
      <c r="C4490" s="139" t="s">
        <v>17470</v>
      </c>
      <c r="D4490" s="51">
        <v>8455</v>
      </c>
      <c r="E4490" s="857"/>
      <c r="F4490" s="156"/>
    </row>
    <row r="4491" spans="1:6">
      <c r="A4491" s="864">
        <v>41246</v>
      </c>
      <c r="B4491" s="76" t="str">
        <f>TiposLancamentos!B4</f>
        <v>Taxas Bancarias</v>
      </c>
      <c r="C4491" s="147" t="s">
        <v>23060</v>
      </c>
      <c r="D4491" s="63"/>
      <c r="E4491" s="857">
        <v>0.01</v>
      </c>
      <c r="F4491" s="156"/>
    </row>
    <row r="4492" spans="1:6" ht="14.25" thickBot="1">
      <c r="A4492" s="900">
        <v>41246</v>
      </c>
      <c r="B4492" s="901" t="str">
        <f>TiposLancamentos!B4</f>
        <v>Taxas Bancarias</v>
      </c>
      <c r="C4492" s="902" t="s">
        <v>23061</v>
      </c>
      <c r="D4492" s="903"/>
      <c r="E4492" s="870">
        <v>1.53</v>
      </c>
      <c r="F4492" s="156"/>
    </row>
    <row r="4493" spans="1:6">
      <c r="A4493" s="967"/>
      <c r="B4493" s="986"/>
      <c r="C4493" s="987" t="s">
        <v>5991</v>
      </c>
      <c r="D4493" s="979"/>
      <c r="E4493" s="971"/>
      <c r="F4493" s="156"/>
    </row>
    <row r="4494" spans="1:6">
      <c r="A4494" s="856">
        <v>41276</v>
      </c>
      <c r="B4494" s="125" t="str">
        <f>TiposLancamentos!B4</f>
        <v>Taxas Bancarias</v>
      </c>
      <c r="C4494" s="139" t="s">
        <v>23062</v>
      </c>
      <c r="D4494" s="51"/>
      <c r="E4494" s="857">
        <v>0.03</v>
      </c>
      <c r="F4494" s="156"/>
    </row>
    <row r="4495" spans="1:6">
      <c r="A4495" s="856">
        <v>41276</v>
      </c>
      <c r="B4495" s="125" t="str">
        <f>TiposLancamentos!B103</f>
        <v>Juros_Corr. Poupança</v>
      </c>
      <c r="C4495" s="139" t="s">
        <v>22805</v>
      </c>
      <c r="D4495" s="51">
        <v>0.02</v>
      </c>
      <c r="E4495" s="857"/>
      <c r="F4495" s="156"/>
    </row>
    <row r="4496" spans="1:6" ht="14.25" thickBot="1">
      <c r="A4496" s="866">
        <v>41296</v>
      </c>
      <c r="B4496" s="867" t="str">
        <f>TiposLancamentos!B73</f>
        <v>Cursos</v>
      </c>
      <c r="C4496" s="868" t="s">
        <v>23063</v>
      </c>
      <c r="D4496" s="869"/>
      <c r="E4496" s="870">
        <v>593.17999999999995</v>
      </c>
      <c r="F4496" s="156"/>
    </row>
    <row r="4497" spans="1:6">
      <c r="A4497" s="976"/>
      <c r="B4497" s="977"/>
      <c r="C4497" s="987" t="s">
        <v>6029</v>
      </c>
      <c r="D4497" s="979"/>
      <c r="E4497" s="971"/>
      <c r="F4497" s="156"/>
    </row>
    <row r="4498" spans="1:6">
      <c r="A4498" s="856">
        <v>41306</v>
      </c>
      <c r="B4498" s="125" t="str">
        <f>TiposLancamentos!B4</f>
        <v>Taxas Bancarias</v>
      </c>
      <c r="C4498" s="139" t="s">
        <v>23064</v>
      </c>
      <c r="D4498" s="51"/>
      <c r="E4498" s="857">
        <v>0.24</v>
      </c>
      <c r="F4498" s="156"/>
    </row>
    <row r="4499" spans="1:6">
      <c r="A4499" s="856">
        <v>41306</v>
      </c>
      <c r="B4499" s="125" t="str">
        <f>TiposLancamentos!B4</f>
        <v>Taxas Bancarias</v>
      </c>
      <c r="C4499" s="139" t="s">
        <v>23065</v>
      </c>
      <c r="D4499" s="51"/>
      <c r="E4499" s="857">
        <v>2.23</v>
      </c>
      <c r="F4499" s="156"/>
    </row>
    <row r="4500" spans="1:6">
      <c r="A4500" s="856">
        <v>41318</v>
      </c>
      <c r="B4500" s="125" t="str">
        <f>TiposLancamentos!B105</f>
        <v>Transf. Bco</v>
      </c>
      <c r="C4500" s="139" t="s">
        <v>23066</v>
      </c>
      <c r="D4500" s="51">
        <v>661.94</v>
      </c>
      <c r="E4500" s="857"/>
      <c r="F4500" s="156"/>
    </row>
    <row r="4501" spans="1:6" ht="14.25" thickBot="1">
      <c r="A4501" s="856">
        <v>41329</v>
      </c>
      <c r="B4501" s="125" t="str">
        <f>TiposLancamentos!B19</f>
        <v>Restaurantes</v>
      </c>
      <c r="C4501" s="139" t="s">
        <v>23067</v>
      </c>
      <c r="D4501" s="51"/>
      <c r="E4501" s="857">
        <v>39.6</v>
      </c>
      <c r="F4501" s="156"/>
    </row>
    <row r="4502" spans="1:6">
      <c r="A4502" s="976"/>
      <c r="B4502" s="977"/>
      <c r="C4502" s="1000" t="s">
        <v>6069</v>
      </c>
      <c r="D4502" s="979"/>
      <c r="E4502" s="971"/>
      <c r="F4502" s="156"/>
    </row>
    <row r="4503" spans="1:6">
      <c r="A4503" s="856">
        <v>41334</v>
      </c>
      <c r="B4503" s="125" t="str">
        <f>TiposLancamentos!B4</f>
        <v>Taxas Bancarias</v>
      </c>
      <c r="C4503" s="139" t="s">
        <v>23068</v>
      </c>
      <c r="D4503" s="51"/>
      <c r="E4503" s="857">
        <v>0.28999999999999998</v>
      </c>
      <c r="F4503" s="156"/>
    </row>
    <row r="4504" spans="1:6" ht="14.25" thickBot="1">
      <c r="A4504" s="856">
        <v>41334</v>
      </c>
      <c r="B4504" s="125" t="str">
        <f>TiposLancamentos!B4</f>
        <v>Taxas Bancarias</v>
      </c>
      <c r="C4504" s="139" t="s">
        <v>23069</v>
      </c>
      <c r="D4504" s="51"/>
      <c r="E4504" s="857">
        <v>18.149999999999999</v>
      </c>
      <c r="F4504" s="156"/>
    </row>
    <row r="4505" spans="1:6">
      <c r="A4505" s="976"/>
      <c r="B4505" s="977"/>
      <c r="C4505" s="1000" t="s">
        <v>6114</v>
      </c>
      <c r="D4505" s="979"/>
      <c r="E4505" s="971"/>
      <c r="F4505" s="156"/>
    </row>
    <row r="4506" spans="1:6" ht="14.25" thickBot="1">
      <c r="A4506" s="856">
        <v>41392</v>
      </c>
      <c r="B4506" s="125" t="str">
        <f>TiposLancamentos!B19</f>
        <v>Restaurantes</v>
      </c>
      <c r="C4506" s="139" t="s">
        <v>23070</v>
      </c>
      <c r="D4506" s="51"/>
      <c r="E4506" s="857">
        <v>45.65</v>
      </c>
      <c r="F4506" s="156"/>
    </row>
    <row r="4507" spans="1:6">
      <c r="A4507" s="976"/>
      <c r="B4507" s="977"/>
      <c r="C4507" s="1000" t="s">
        <v>6150</v>
      </c>
      <c r="D4507" s="979"/>
      <c r="E4507" s="971"/>
      <c r="F4507" s="156"/>
    </row>
    <row r="4508" spans="1:6" ht="14.25" thickBot="1">
      <c r="A4508" s="856">
        <v>41425</v>
      </c>
      <c r="B4508" s="125" t="str">
        <f>TiposLancamentos!B60</f>
        <v>Correio</v>
      </c>
      <c r="C4508" s="139" t="s">
        <v>23071</v>
      </c>
      <c r="D4508" s="51"/>
      <c r="E4508" s="857">
        <v>14.1</v>
      </c>
      <c r="F4508" s="156"/>
    </row>
    <row r="4509" spans="1:6">
      <c r="A4509" s="976"/>
      <c r="B4509" s="977"/>
      <c r="C4509" s="1000" t="s">
        <v>13627</v>
      </c>
      <c r="D4509" s="979"/>
      <c r="E4509" s="971"/>
      <c r="F4509" s="156"/>
    </row>
    <row r="4510" spans="1:6">
      <c r="A4510" s="856">
        <v>41428</v>
      </c>
      <c r="B4510" s="125" t="str">
        <f>TiposLancamentos!B4</f>
        <v>Taxas Bancarias</v>
      </c>
      <c r="C4510" s="139" t="s">
        <v>23072</v>
      </c>
      <c r="D4510" s="51"/>
      <c r="E4510" s="857">
        <v>0.04</v>
      </c>
      <c r="F4510" s="156"/>
    </row>
    <row r="4511" spans="1:6">
      <c r="A4511" s="856">
        <v>41428</v>
      </c>
      <c r="B4511" s="125" t="str">
        <f>TiposLancamentos!B4</f>
        <v>Taxas Bancarias</v>
      </c>
      <c r="C4511" s="139" t="s">
        <v>23073</v>
      </c>
      <c r="D4511" s="51"/>
      <c r="E4511" s="857">
        <v>0.05</v>
      </c>
      <c r="F4511" s="156"/>
    </row>
    <row r="4512" spans="1:6">
      <c r="A4512" s="856">
        <v>41428</v>
      </c>
      <c r="B4512" s="125" t="str">
        <f>TiposLancamentos!B4</f>
        <v>Taxas Bancarias</v>
      </c>
      <c r="C4512" s="139" t="s">
        <v>23074</v>
      </c>
      <c r="D4512" s="51"/>
      <c r="E4512" s="857">
        <v>3.42</v>
      </c>
      <c r="F4512" s="156"/>
    </row>
    <row r="4513" spans="1:6" ht="14.25" thickBot="1">
      <c r="A4513" s="856">
        <v>41431</v>
      </c>
      <c r="B4513" s="125" t="str">
        <f>TiposLancamentos!B105</f>
        <v>Transf. Bco</v>
      </c>
      <c r="C4513" s="139" t="s">
        <v>23075</v>
      </c>
      <c r="D4513" s="51">
        <v>60</v>
      </c>
      <c r="E4513" s="857"/>
      <c r="F4513" s="156"/>
    </row>
    <row r="4514" spans="1:6">
      <c r="A4514" s="976"/>
      <c r="B4514" s="977"/>
      <c r="C4514" s="1000" t="s">
        <v>6239</v>
      </c>
      <c r="D4514" s="979"/>
      <c r="E4514" s="971"/>
      <c r="F4514" s="156"/>
    </row>
    <row r="4515" spans="1:6" ht="14.25" thickBot="1">
      <c r="A4515" s="856">
        <v>41463</v>
      </c>
      <c r="B4515" s="125" t="str">
        <f>TiposLancamentos!B103</f>
        <v>Juros_Corr. Poupança</v>
      </c>
      <c r="C4515" s="139" t="s">
        <v>22805</v>
      </c>
      <c r="D4515" s="51">
        <v>0.04</v>
      </c>
      <c r="E4515" s="857"/>
      <c r="F4515" s="156"/>
    </row>
    <row r="4516" spans="1:6">
      <c r="A4516" s="976"/>
      <c r="B4516" s="977"/>
      <c r="C4516" s="1000" t="s">
        <v>23076</v>
      </c>
      <c r="D4516" s="979"/>
      <c r="E4516" s="971"/>
      <c r="F4516" s="156"/>
    </row>
    <row r="4517" spans="1:6">
      <c r="A4517" s="856">
        <v>41504</v>
      </c>
      <c r="B4517" s="125" t="str">
        <f>TiposLancamentos!B19</f>
        <v>Restaurantes</v>
      </c>
      <c r="C4517" s="139" t="s">
        <v>23077</v>
      </c>
      <c r="D4517" s="51"/>
      <c r="E4517" s="857">
        <v>79.97</v>
      </c>
      <c r="F4517" s="156"/>
    </row>
    <row r="4518" spans="1:6" ht="14.25" thickBot="1">
      <c r="A4518" s="856">
        <v>41516</v>
      </c>
      <c r="B4518" s="125" t="str">
        <f>TiposLancamentos!B105</f>
        <v>Transf. Bco</v>
      </c>
      <c r="C4518" s="139" t="s">
        <v>3845</v>
      </c>
      <c r="D4518" s="51">
        <v>80</v>
      </c>
      <c r="E4518" s="857"/>
      <c r="F4518" s="156"/>
    </row>
    <row r="4519" spans="1:6">
      <c r="A4519" s="976"/>
      <c r="B4519" s="977"/>
      <c r="C4519" s="1000" t="s">
        <v>6310</v>
      </c>
      <c r="D4519" s="979"/>
      <c r="E4519" s="971"/>
      <c r="F4519" s="156"/>
    </row>
    <row r="4520" spans="1:6">
      <c r="A4520" s="856">
        <v>41519</v>
      </c>
      <c r="B4520" s="125" t="str">
        <f>TiposLancamentos!B4</f>
        <v>Taxas Bancarias</v>
      </c>
      <c r="C4520" s="139" t="s">
        <v>23078</v>
      </c>
      <c r="D4520" s="51"/>
      <c r="E4520" s="857">
        <v>0.03</v>
      </c>
      <c r="F4520" s="156"/>
    </row>
    <row r="4521" spans="1:6">
      <c r="A4521" s="856">
        <v>41519</v>
      </c>
      <c r="B4521" s="125" t="str">
        <f>TiposLancamentos!B4</f>
        <v>Taxas Bancarias</v>
      </c>
      <c r="C4521" s="139" t="s">
        <v>23079</v>
      </c>
      <c r="D4521" s="51"/>
      <c r="E4521" s="857">
        <v>0.26</v>
      </c>
      <c r="F4521" s="156"/>
    </row>
    <row r="4522" spans="1:6">
      <c r="A4522" s="856">
        <v>41519</v>
      </c>
      <c r="B4522" s="125" t="str">
        <f>TiposLancamentos!B4</f>
        <v>Taxas Bancarias</v>
      </c>
      <c r="C4522" s="139" t="s">
        <v>23080</v>
      </c>
      <c r="D4522" s="51"/>
      <c r="E4522" s="857">
        <v>3</v>
      </c>
      <c r="F4522" s="156"/>
    </row>
    <row r="4523" spans="1:6" ht="14.25" thickBot="1">
      <c r="A4523" s="856">
        <v>41547</v>
      </c>
      <c r="B4523" s="125" t="str">
        <f>TiposLancamentos!B103</f>
        <v>Juros_Corr. Poupança</v>
      </c>
      <c r="C4523" s="139" t="s">
        <v>22805</v>
      </c>
      <c r="D4523" s="51">
        <v>0.04</v>
      </c>
      <c r="E4523" s="857"/>
      <c r="F4523" s="156"/>
    </row>
    <row r="4524" spans="1:6">
      <c r="A4524" s="976"/>
      <c r="B4524" s="977"/>
      <c r="C4524" s="1000" t="s">
        <v>6341</v>
      </c>
      <c r="D4524" s="979"/>
      <c r="E4524" s="971"/>
      <c r="F4524" s="156"/>
    </row>
    <row r="4525" spans="1:6">
      <c r="A4525" s="884">
        <v>41548</v>
      </c>
      <c r="B4525" s="138" t="str">
        <f>TiposLancamentos!B15</f>
        <v>Cartões de Crédito</v>
      </c>
      <c r="C4525" s="3" t="s">
        <v>23081</v>
      </c>
      <c r="D4525" s="197"/>
      <c r="E4525" s="857">
        <v>4978.7700000000004</v>
      </c>
      <c r="F4525" s="156"/>
    </row>
    <row r="4526" spans="1:6">
      <c r="A4526" s="884">
        <v>41554</v>
      </c>
      <c r="B4526" s="138" t="str">
        <f>TiposLancamentos!B73</f>
        <v>Cursos</v>
      </c>
      <c r="C4526" s="3" t="s">
        <v>23082</v>
      </c>
      <c r="D4526" s="197"/>
      <c r="E4526" s="857">
        <v>593.17999999999995</v>
      </c>
      <c r="F4526" s="156"/>
    </row>
    <row r="4527" spans="1:6">
      <c r="A4527" s="884">
        <v>41554</v>
      </c>
      <c r="B4527" s="138" t="str">
        <f>TiposLancamentos!B9</f>
        <v>Condominio</v>
      </c>
      <c r="C4527" s="3" t="s">
        <v>23083</v>
      </c>
      <c r="D4527" s="197"/>
      <c r="E4527" s="857">
        <v>861.65</v>
      </c>
      <c r="F4527" s="156"/>
    </row>
    <row r="4528" spans="1:6" ht="14.25" thickBot="1">
      <c r="A4528" s="856">
        <v>41562</v>
      </c>
      <c r="B4528" s="125" t="str">
        <f>TiposLancamentos!B5</f>
        <v>Supermercado</v>
      </c>
      <c r="C4528" s="139" t="s">
        <v>21943</v>
      </c>
      <c r="D4528" s="51"/>
      <c r="E4528" s="857">
        <v>36.75</v>
      </c>
      <c r="F4528" s="156"/>
    </row>
    <row r="4529" spans="1:6">
      <c r="A4529" s="976"/>
      <c r="B4529" s="977"/>
      <c r="C4529" s="1000" t="s">
        <v>13648</v>
      </c>
      <c r="D4529" s="979"/>
      <c r="E4529" s="971"/>
      <c r="F4529" s="156"/>
    </row>
    <row r="4530" spans="1:6">
      <c r="A4530" s="856">
        <v>41579</v>
      </c>
      <c r="B4530" s="125" t="str">
        <f>TiposLancamentos!B15</f>
        <v>Cartões de Crédito</v>
      </c>
      <c r="C4530" s="139" t="s">
        <v>23081</v>
      </c>
      <c r="D4530" s="51"/>
      <c r="E4530" s="857">
        <v>5184.6099999999997</v>
      </c>
      <c r="F4530" s="156"/>
    </row>
    <row r="4531" spans="1:6">
      <c r="A4531" s="856">
        <v>41579</v>
      </c>
      <c r="B4531" s="125" t="str">
        <f>TiposLancamentos!B4</f>
        <v>Taxas Bancarias</v>
      </c>
      <c r="C4531" s="139" t="s">
        <v>23084</v>
      </c>
      <c r="D4531" s="51"/>
      <c r="E4531" s="857">
        <v>7.83</v>
      </c>
      <c r="F4531" s="156"/>
    </row>
    <row r="4532" spans="1:6">
      <c r="A4532" s="856">
        <v>41579</v>
      </c>
      <c r="B4532" s="125" t="str">
        <f>TiposLancamentos!B4</f>
        <v>Taxas Bancarias</v>
      </c>
      <c r="C4532" s="139" t="s">
        <v>23085</v>
      </c>
      <c r="D4532" s="51"/>
      <c r="E4532" s="857">
        <v>24.54</v>
      </c>
      <c r="F4532" s="156"/>
    </row>
    <row r="4533" spans="1:6">
      <c r="A4533" s="856">
        <v>41579</v>
      </c>
      <c r="B4533" s="125" t="str">
        <f>TiposLancamentos!B4</f>
        <v>Taxas Bancarias</v>
      </c>
      <c r="C4533" s="139" t="s">
        <v>23086</v>
      </c>
      <c r="D4533" s="51"/>
      <c r="E4533" s="857">
        <v>677.91</v>
      </c>
      <c r="F4533" s="156"/>
    </row>
    <row r="4534" spans="1:6">
      <c r="A4534" s="856">
        <v>41588</v>
      </c>
      <c r="B4534" s="125" t="str">
        <f>TiposLancamentos!B19</f>
        <v>Restaurantes</v>
      </c>
      <c r="C4534" s="139" t="s">
        <v>23087</v>
      </c>
      <c r="D4534" s="51"/>
      <c r="E4534" s="857">
        <v>54.45</v>
      </c>
      <c r="F4534" s="156"/>
    </row>
    <row r="4535" spans="1:6">
      <c r="A4535" s="919">
        <v>41589</v>
      </c>
      <c r="B4535" s="830" t="str">
        <f>TiposLancamentos!B8</f>
        <v>Aluguel</v>
      </c>
      <c r="C4535" s="915" t="s">
        <v>6163</v>
      </c>
      <c r="D4535" s="917"/>
      <c r="E4535" s="920">
        <f>F4537-E4536-E4537</f>
        <v>1406.3</v>
      </c>
      <c r="F4535" s="156"/>
    </row>
    <row r="4536" spans="1:6">
      <c r="A4536" s="930">
        <v>41589</v>
      </c>
      <c r="B4536" s="825" t="str">
        <f>TiposLancamentos!B12</f>
        <v>IPTU</v>
      </c>
      <c r="C4536" s="88" t="s">
        <v>6876</v>
      </c>
      <c r="D4536" s="828"/>
      <c r="E4536" s="931">
        <v>104.78</v>
      </c>
      <c r="F4536" s="156"/>
    </row>
    <row r="4537" spans="1:6">
      <c r="A4537" s="921">
        <v>41589</v>
      </c>
      <c r="B4537" s="833" t="str">
        <f>TiposLancamentos!B34</f>
        <v>Seguros</v>
      </c>
      <c r="C4537" s="916" t="s">
        <v>23088</v>
      </c>
      <c r="D4537" s="918"/>
      <c r="E4537" s="922">
        <v>240.91</v>
      </c>
      <c r="F4537" s="156">
        <v>1751.99</v>
      </c>
    </row>
    <row r="4538" spans="1:6">
      <c r="A4538" s="856">
        <v>41589</v>
      </c>
      <c r="B4538" s="125" t="str">
        <f>TiposLancamentos!B24</f>
        <v>Estacionamentos</v>
      </c>
      <c r="C4538" s="139" t="s">
        <v>23089</v>
      </c>
      <c r="D4538" s="51"/>
      <c r="E4538" s="857">
        <v>7</v>
      </c>
      <c r="F4538" s="156"/>
    </row>
    <row r="4539" spans="1:6">
      <c r="A4539" s="919">
        <v>41588</v>
      </c>
      <c r="B4539" s="830" t="str">
        <f>TiposLancamentos!B35</f>
        <v>Tv à Cabo</v>
      </c>
      <c r="C4539" s="915" t="s">
        <v>5834</v>
      </c>
      <c r="D4539" s="917"/>
      <c r="E4539" s="920">
        <v>252.34</v>
      </c>
      <c r="F4539" s="156"/>
    </row>
    <row r="4540" spans="1:6">
      <c r="A4540" s="930">
        <v>41588</v>
      </c>
      <c r="B4540" s="825" t="str">
        <f>TiposLancamentos!B3</f>
        <v>Internet</v>
      </c>
      <c r="C4540" s="88" t="s">
        <v>5835</v>
      </c>
      <c r="D4540" s="828"/>
      <c r="E4540" s="931">
        <v>63.63</v>
      </c>
      <c r="F4540" s="156"/>
    </row>
    <row r="4541" spans="1:6">
      <c r="A4541" s="921">
        <v>41588</v>
      </c>
      <c r="B4541" s="833" t="str">
        <f>TiposLancamentos!B2</f>
        <v>Telefonia</v>
      </c>
      <c r="C4541" s="916" t="s">
        <v>5836</v>
      </c>
      <c r="D4541" s="918"/>
      <c r="E4541" s="922">
        <v>0</v>
      </c>
      <c r="F4541" s="156">
        <f>SUM(E4539:E4541)</f>
        <v>315.97000000000003</v>
      </c>
    </row>
    <row r="4542" spans="1:6">
      <c r="A4542" s="856">
        <v>41591</v>
      </c>
      <c r="B4542" s="125" t="str">
        <f>TiposLancamentos!B24</f>
        <v>Estacionamentos</v>
      </c>
      <c r="C4542" s="139" t="s">
        <v>23090</v>
      </c>
      <c r="D4542" s="51"/>
      <c r="E4542" s="857">
        <v>7</v>
      </c>
      <c r="F4542" s="156"/>
    </row>
    <row r="4543" spans="1:6" ht="14.25" thickBot="1">
      <c r="A4543" s="856">
        <v>41591</v>
      </c>
      <c r="B4543" s="125" t="str">
        <f>TiposLancamentos!B19</f>
        <v>Restaurantes</v>
      </c>
      <c r="C4543" s="139" t="s">
        <v>23091</v>
      </c>
      <c r="D4543" s="51"/>
      <c r="E4543" s="857">
        <v>8.5</v>
      </c>
      <c r="F4543" s="156"/>
    </row>
    <row r="4544" spans="1:6">
      <c r="A4544" s="976"/>
      <c r="B4544" s="977"/>
      <c r="C4544" s="1000" t="s">
        <v>13652</v>
      </c>
      <c r="D4544" s="979"/>
      <c r="E4544" s="971"/>
      <c r="F4544" s="156"/>
    </row>
    <row r="4545" spans="1:6">
      <c r="A4545" s="856">
        <v>41610</v>
      </c>
      <c r="B4545" s="125" t="str">
        <f>TiposLancamentos!B15</f>
        <v>Cartões de Crédito</v>
      </c>
      <c r="C4545" s="139" t="s">
        <v>23092</v>
      </c>
      <c r="D4545" s="51"/>
      <c r="E4545" s="857">
        <v>1948.95</v>
      </c>
      <c r="F4545" s="156"/>
    </row>
    <row r="4546" spans="1:6">
      <c r="A4546" s="856">
        <v>41610</v>
      </c>
      <c r="B4546" s="125" t="str">
        <f>TiposLancamentos!B4</f>
        <v>Taxas Bancarias</v>
      </c>
      <c r="C4546" s="139" t="s">
        <v>23093</v>
      </c>
      <c r="D4546" s="51"/>
      <c r="E4546" s="857">
        <v>16.940000000000001</v>
      </c>
      <c r="F4546" s="156"/>
    </row>
    <row r="4547" spans="1:6">
      <c r="A4547" s="856">
        <v>41610</v>
      </c>
      <c r="B4547" s="125" t="str">
        <f>TiposLancamentos!B4</f>
        <v>Taxas Bancarias</v>
      </c>
      <c r="C4547" s="139" t="s">
        <v>23094</v>
      </c>
      <c r="D4547" s="51"/>
      <c r="E4547" s="857">
        <v>30.54</v>
      </c>
      <c r="F4547" s="156"/>
    </row>
    <row r="4548" spans="1:6">
      <c r="A4548" s="856">
        <v>41610</v>
      </c>
      <c r="B4548" s="125" t="str">
        <f>TiposLancamentos!B4</f>
        <v>Taxas Bancarias</v>
      </c>
      <c r="C4548" s="139" t="s">
        <v>23095</v>
      </c>
      <c r="D4548" s="51"/>
      <c r="E4548" s="857">
        <v>1465.96</v>
      </c>
      <c r="F4548" s="156"/>
    </row>
    <row r="4549" spans="1:6">
      <c r="A4549" s="884">
        <v>41611</v>
      </c>
      <c r="B4549" s="138" t="str">
        <f>TiposLancamentos!B15</f>
        <v>Cartões de Crédito</v>
      </c>
      <c r="C4549" s="3" t="s">
        <v>5924</v>
      </c>
      <c r="D4549" s="197"/>
      <c r="E4549" s="857">
        <v>1228.75</v>
      </c>
    </row>
    <row r="4550" spans="1:6">
      <c r="A4550" s="856">
        <v>41621</v>
      </c>
      <c r="B4550" s="125" t="str">
        <f>TiposLancamentos!B105</f>
        <v>Transf. Bco</v>
      </c>
      <c r="C4550" s="139" t="s">
        <v>3845</v>
      </c>
      <c r="D4550" s="51">
        <v>10000</v>
      </c>
      <c r="E4550" s="857"/>
      <c r="F4550" s="156"/>
    </row>
    <row r="4551" spans="1:6" ht="14.25" thickBot="1">
      <c r="A4551" s="856">
        <v>41628</v>
      </c>
      <c r="B4551" s="125" t="str">
        <f>TiposLancamentos!B100</f>
        <v>Emprestimos</v>
      </c>
      <c r="C4551" s="139" t="s">
        <v>23096</v>
      </c>
      <c r="D4551" s="51">
        <v>11000</v>
      </c>
      <c r="E4551" s="857"/>
      <c r="F4551" s="156"/>
    </row>
    <row r="4552" spans="1:6">
      <c r="A4552" s="976"/>
      <c r="B4552" s="977"/>
      <c r="C4552" s="1000" t="s">
        <v>6426</v>
      </c>
      <c r="D4552" s="979"/>
      <c r="E4552" s="971"/>
      <c r="F4552" s="156"/>
    </row>
    <row r="4553" spans="1:6">
      <c r="A4553" s="856">
        <v>41641</v>
      </c>
      <c r="B4553" s="125" t="str">
        <f>TiposLancamentos!B4</f>
        <v>Taxas Bancarias</v>
      </c>
      <c r="C4553" s="139" t="s">
        <v>23097</v>
      </c>
      <c r="D4553" s="51"/>
      <c r="E4553" s="857">
        <v>11.84</v>
      </c>
      <c r="F4553" s="156"/>
    </row>
    <row r="4554" spans="1:6">
      <c r="A4554" s="856">
        <v>41641</v>
      </c>
      <c r="B4554" s="125" t="str">
        <f>TiposLancamentos!B4</f>
        <v>Taxas Bancarias</v>
      </c>
      <c r="C4554" s="139" t="s">
        <v>23098</v>
      </c>
      <c r="D4554" s="51"/>
      <c r="E4554" s="857">
        <v>17.809999999999999</v>
      </c>
      <c r="F4554" s="156"/>
    </row>
    <row r="4555" spans="1:6">
      <c r="A4555" s="856">
        <v>41641</v>
      </c>
      <c r="B4555" s="125" t="str">
        <f>TiposLancamentos!B4</f>
        <v>Taxas Bancarias</v>
      </c>
      <c r="C4555" s="139" t="s">
        <v>23099</v>
      </c>
      <c r="D4555" s="51"/>
      <c r="E4555" s="857">
        <v>1133.3800000000001</v>
      </c>
      <c r="F4555" s="156"/>
    </row>
    <row r="4556" spans="1:6">
      <c r="A4556" s="856">
        <v>41649</v>
      </c>
      <c r="B4556" s="125" t="str">
        <f>TiposLancamentos!B79</f>
        <v>Financiamento Banco</v>
      </c>
      <c r="C4556" s="139" t="s">
        <v>23100</v>
      </c>
      <c r="D4556" s="51"/>
      <c r="E4556" s="857">
        <v>537.84</v>
      </c>
      <c r="F4556" s="156"/>
    </row>
    <row r="4557" spans="1:6" ht="14.25" thickBot="1">
      <c r="A4557" s="856">
        <v>41659</v>
      </c>
      <c r="B4557" s="125" t="str">
        <f>TiposLancamentos!B103</f>
        <v>Juros_Corr. Poupança</v>
      </c>
      <c r="C4557" s="139" t="s">
        <v>22702</v>
      </c>
      <c r="D4557" s="51">
        <v>0.52</v>
      </c>
      <c r="E4557" s="857"/>
      <c r="F4557" s="156"/>
    </row>
    <row r="4558" spans="1:6">
      <c r="A4558" s="976"/>
      <c r="B4558" s="977"/>
      <c r="C4558" s="1000" t="s">
        <v>6446</v>
      </c>
      <c r="D4558" s="979"/>
      <c r="E4558" s="971"/>
      <c r="F4558" s="156"/>
    </row>
    <row r="4559" spans="1:6">
      <c r="A4559" s="856">
        <v>41675</v>
      </c>
      <c r="B4559" s="125" t="str">
        <f>TiposLancamentos!B105</f>
        <v>Transf. Bco</v>
      </c>
      <c r="C4559" s="139" t="s">
        <v>23101</v>
      </c>
      <c r="D4559" s="51">
        <v>11300</v>
      </c>
      <c r="E4559" s="857"/>
      <c r="F4559" s="156"/>
    </row>
    <row r="4560" spans="1:6">
      <c r="A4560" s="856">
        <v>41675</v>
      </c>
      <c r="B4560" s="125" t="str">
        <f>TiposLancamentos!B79</f>
        <v>Financiamento Banco</v>
      </c>
      <c r="C4560" s="139" t="s">
        <v>23102</v>
      </c>
      <c r="D4560" s="51"/>
      <c r="E4560" s="857">
        <v>11351.09</v>
      </c>
      <c r="F4560" s="156"/>
    </row>
    <row r="4561" spans="1:6">
      <c r="A4561" s="856">
        <v>41689</v>
      </c>
      <c r="B4561" s="125" t="str">
        <f>TiposLancamentos!B34</f>
        <v>Seguros</v>
      </c>
      <c r="C4561" s="139" t="s">
        <v>23103</v>
      </c>
      <c r="D4561" s="51"/>
      <c r="E4561" s="857">
        <v>12.9</v>
      </c>
      <c r="F4561" s="156"/>
    </row>
    <row r="4562" spans="1:6" ht="14.25" thickBot="1">
      <c r="A4562" s="856">
        <v>41690</v>
      </c>
      <c r="B4562" s="125" t="str">
        <f>TiposLancamentos!B103</f>
        <v>Juros_Corr. Poupança</v>
      </c>
      <c r="C4562" s="139" t="s">
        <v>17656</v>
      </c>
      <c r="D4562" s="51">
        <v>0.25</v>
      </c>
      <c r="E4562" s="857"/>
      <c r="F4562" s="156"/>
    </row>
    <row r="4563" spans="1:6">
      <c r="A4563" s="976"/>
      <c r="B4563" s="977"/>
      <c r="C4563" s="1000" t="s">
        <v>23104</v>
      </c>
      <c r="D4563" s="979"/>
      <c r="E4563" s="971"/>
      <c r="F4563" s="156"/>
    </row>
    <row r="4564" spans="1:6">
      <c r="A4564" s="856">
        <v>41710</v>
      </c>
      <c r="B4564" s="125" t="str">
        <f>TiposLancamentos!B20</f>
        <v>Saques</v>
      </c>
      <c r="C4564" s="139" t="s">
        <v>4325</v>
      </c>
      <c r="D4564" s="51"/>
      <c r="E4564" s="857">
        <v>20</v>
      </c>
      <c r="F4564" s="156"/>
    </row>
    <row r="4565" spans="1:6">
      <c r="A4565" s="856">
        <v>41717</v>
      </c>
      <c r="B4565" s="125" t="str">
        <f>TiposLancamentos!B5</f>
        <v>Supermercado</v>
      </c>
      <c r="C4565" s="139" t="s">
        <v>10663</v>
      </c>
      <c r="D4565" s="51"/>
      <c r="E4565" s="857">
        <v>22.86</v>
      </c>
      <c r="F4565" s="156"/>
    </row>
    <row r="4566" spans="1:6">
      <c r="A4566" s="856">
        <v>41717</v>
      </c>
      <c r="B4566" s="125" t="str">
        <f>TiposLancamentos!B34</f>
        <v>Seguros</v>
      </c>
      <c r="C4566" s="139" t="s">
        <v>23103</v>
      </c>
      <c r="D4566" s="51"/>
      <c r="E4566" s="857">
        <v>12.9</v>
      </c>
      <c r="F4566" s="156"/>
    </row>
    <row r="4567" spans="1:6" ht="14.25" thickBot="1">
      <c r="A4567" s="856">
        <v>41722</v>
      </c>
      <c r="B4567" s="125" t="str">
        <f>TiposLancamentos!B102</f>
        <v>ESTORNO</v>
      </c>
      <c r="C4567" s="139" t="s">
        <v>23105</v>
      </c>
      <c r="D4567" s="51">
        <v>12.07</v>
      </c>
      <c r="E4567" s="857"/>
      <c r="F4567" s="156"/>
    </row>
    <row r="4568" spans="1:6">
      <c r="A4568" s="976"/>
      <c r="B4568" s="977"/>
      <c r="C4568" s="1000" t="s">
        <v>6517</v>
      </c>
      <c r="D4568" s="979"/>
      <c r="E4568" s="971"/>
      <c r="F4568" s="156"/>
    </row>
    <row r="4569" spans="1:6">
      <c r="A4569" s="856">
        <v>41730</v>
      </c>
      <c r="B4569" s="125" t="str">
        <f>TiposLancamentos!B4</f>
        <v>Taxas Bancarias</v>
      </c>
      <c r="C4569" s="139" t="s">
        <v>23106</v>
      </c>
      <c r="D4569" s="51"/>
      <c r="E4569" s="857">
        <v>0.05</v>
      </c>
      <c r="F4569" s="156"/>
    </row>
    <row r="4570" spans="1:6">
      <c r="A4570" s="856">
        <v>41730</v>
      </c>
      <c r="B4570" s="125" t="str">
        <f>TiposLancamentos!B4</f>
        <v>Taxas Bancarias</v>
      </c>
      <c r="C4570" s="139" t="s">
        <v>23107</v>
      </c>
      <c r="D4570" s="51"/>
      <c r="E4570" s="857">
        <v>0.35</v>
      </c>
      <c r="F4570" s="156"/>
    </row>
    <row r="4571" spans="1:6" ht="14.25" thickBot="1">
      <c r="A4571" s="856">
        <v>41758</v>
      </c>
      <c r="B4571" s="125" t="str">
        <f>TiposLancamentos!B16</f>
        <v>Cristiane</v>
      </c>
      <c r="C4571" s="139" t="s">
        <v>23108</v>
      </c>
      <c r="D4571" s="51"/>
      <c r="E4571" s="857">
        <v>26.5</v>
      </c>
      <c r="F4571" s="156"/>
    </row>
    <row r="4572" spans="1:6">
      <c r="A4572" s="976"/>
      <c r="B4572" s="977"/>
      <c r="C4572" s="1000" t="s">
        <v>6557</v>
      </c>
      <c r="D4572" s="979"/>
      <c r="E4572" s="971"/>
      <c r="F4572" s="156"/>
    </row>
    <row r="4573" spans="1:6">
      <c r="A4573" s="856">
        <v>41761</v>
      </c>
      <c r="B4573" s="125" t="str">
        <f>TiposLancamentos!B4</f>
        <v>Taxas Bancarias</v>
      </c>
      <c r="C4573" s="139" t="s">
        <v>23109</v>
      </c>
      <c r="D4573" s="51"/>
      <c r="E4573" s="857">
        <v>0.1</v>
      </c>
      <c r="F4573" s="156"/>
    </row>
    <row r="4574" spans="1:6">
      <c r="A4574" s="856">
        <v>41761</v>
      </c>
      <c r="B4574" s="125" t="str">
        <f>TiposLancamentos!B4</f>
        <v>Taxas Bancarias</v>
      </c>
      <c r="C4574" s="139" t="s">
        <v>23110</v>
      </c>
      <c r="D4574" s="51"/>
      <c r="E4574" s="857">
        <v>0.62</v>
      </c>
      <c r="F4574" s="156"/>
    </row>
    <row r="4575" spans="1:6" ht="14.25" thickBot="1">
      <c r="A4575" s="856">
        <v>41765</v>
      </c>
      <c r="B4575" s="125" t="str">
        <f>TiposLancamentos!B105</f>
        <v>Transf. Bco</v>
      </c>
      <c r="C4575" s="139" t="s">
        <v>23111</v>
      </c>
      <c r="D4575" s="51">
        <v>50</v>
      </c>
      <c r="E4575" s="857"/>
      <c r="F4575" s="156"/>
    </row>
    <row r="4576" spans="1:6">
      <c r="A4576" s="976"/>
      <c r="B4576" s="977"/>
      <c r="C4576" s="1000" t="s">
        <v>6612</v>
      </c>
      <c r="D4576" s="979"/>
      <c r="E4576" s="971"/>
      <c r="F4576" s="156"/>
    </row>
    <row r="4577" spans="1:6">
      <c r="A4577" s="856">
        <v>41795</v>
      </c>
      <c r="B4577" s="125" t="str">
        <f>TiposLancamentos!B103</f>
        <v>Juros_Corr. Poupança</v>
      </c>
      <c r="C4577" s="139" t="s">
        <v>23112</v>
      </c>
      <c r="D4577" s="51">
        <v>0.13</v>
      </c>
      <c r="E4577" s="857"/>
      <c r="F4577" s="156"/>
    </row>
    <row r="4578" spans="1:6">
      <c r="A4578" s="856">
        <v>41796</v>
      </c>
      <c r="B4578" s="125" t="str">
        <f>TiposLancamentos!B73</f>
        <v>Cursos</v>
      </c>
      <c r="C4578" s="139" t="s">
        <v>23113</v>
      </c>
      <c r="D4578" s="51"/>
      <c r="E4578" s="857">
        <v>640.16</v>
      </c>
      <c r="F4578" s="156"/>
    </row>
    <row r="4579" spans="1:6" ht="14.25" thickBot="1">
      <c r="A4579" s="856">
        <v>41796</v>
      </c>
      <c r="B4579" s="125" t="str">
        <f>TiposLancamentos!B105</f>
        <v>Transf. Bco</v>
      </c>
      <c r="C4579" s="139" t="s">
        <v>17470</v>
      </c>
      <c r="D4579" s="51">
        <v>622</v>
      </c>
      <c r="E4579" s="857"/>
      <c r="F4579" s="156"/>
    </row>
    <row r="4580" spans="1:6">
      <c r="A4580" s="976"/>
      <c r="B4580" s="977"/>
      <c r="C4580" s="1000" t="s">
        <v>14749</v>
      </c>
      <c r="D4580" s="979"/>
      <c r="E4580" s="971"/>
      <c r="F4580" s="156"/>
    </row>
    <row r="4581" spans="1:6" ht="14.25" thickBot="1">
      <c r="A4581" s="856">
        <v>41827</v>
      </c>
      <c r="B4581" s="125" t="str">
        <f>TiposLancamentos!B103</f>
        <v>Juros_Corr. Poupança</v>
      </c>
      <c r="C4581" s="139" t="s">
        <v>23112</v>
      </c>
      <c r="D4581" s="51">
        <v>0.01</v>
      </c>
      <c r="E4581" s="857"/>
      <c r="F4581" s="156"/>
    </row>
    <row r="4582" spans="1:6">
      <c r="A4582" s="967"/>
      <c r="B4582" s="968"/>
      <c r="C4582" s="969" t="s">
        <v>6743</v>
      </c>
      <c r="D4582" s="970"/>
      <c r="E4582" s="971"/>
      <c r="F4582" s="156"/>
    </row>
    <row r="4583" spans="1:6">
      <c r="A4583" s="856">
        <v>41873</v>
      </c>
      <c r="B4583" s="125" t="str">
        <f>TiposLancamentos!B52</f>
        <v>Multas</v>
      </c>
      <c r="C4583" s="139" t="s">
        <v>23114</v>
      </c>
      <c r="D4583" s="51"/>
      <c r="E4583" s="857">
        <v>127.69</v>
      </c>
      <c r="F4583" s="156"/>
    </row>
    <row r="4584" spans="1:6" ht="14.25" thickBot="1">
      <c r="A4584" s="856">
        <v>41873</v>
      </c>
      <c r="B4584" s="125" t="str">
        <f>TiposLancamentos!B105</f>
        <v>Transf. Bco</v>
      </c>
      <c r="C4584" s="139" t="s">
        <v>23111</v>
      </c>
      <c r="D4584" s="51">
        <v>127</v>
      </c>
      <c r="E4584" s="857"/>
      <c r="F4584" s="156"/>
    </row>
    <row r="4585" spans="1:6">
      <c r="A4585" s="967"/>
      <c r="B4585" s="968"/>
      <c r="C4585" s="969" t="s">
        <v>23115</v>
      </c>
      <c r="D4585" s="970"/>
      <c r="E4585" s="971"/>
      <c r="F4585" s="156"/>
    </row>
    <row r="4586" spans="1:6">
      <c r="A4586" s="856">
        <v>42048</v>
      </c>
      <c r="B4586" s="125" t="str">
        <f>TiposLancamentos!B19</f>
        <v>Restaurantes</v>
      </c>
      <c r="C4586" s="139" t="s">
        <v>6565</v>
      </c>
      <c r="D4586" s="51"/>
      <c r="E4586" s="857">
        <v>29.36</v>
      </c>
      <c r="F4586" s="156"/>
    </row>
    <row r="4587" spans="1:6">
      <c r="A4587" s="856">
        <v>42058</v>
      </c>
      <c r="B4587" s="125" t="str">
        <f>TiposLancamentos!B19</f>
        <v>Restaurantes</v>
      </c>
      <c r="C4587" s="139" t="s">
        <v>23116</v>
      </c>
      <c r="D4587" s="51"/>
      <c r="E4587" s="857">
        <v>7.5</v>
      </c>
      <c r="F4587" s="156"/>
    </row>
    <row r="4588" spans="1:6" ht="14.25" thickBot="1">
      <c r="A4588" s="864">
        <v>42062</v>
      </c>
      <c r="B4588" s="76" t="str">
        <f>TiposLancamentos!B19</f>
        <v>Restaurantes</v>
      </c>
      <c r="C4588" s="147" t="s">
        <v>23117</v>
      </c>
      <c r="D4588" s="63"/>
      <c r="E4588" s="857">
        <v>20.5</v>
      </c>
      <c r="F4588" s="156"/>
    </row>
    <row r="4589" spans="1:6">
      <c r="A4589" s="967"/>
      <c r="B4589" s="968"/>
      <c r="C4589" s="969" t="s">
        <v>23118</v>
      </c>
      <c r="D4589" s="970"/>
      <c r="E4589" s="971"/>
      <c r="F4589" s="156"/>
    </row>
    <row r="4590" spans="1:6">
      <c r="A4590" s="856">
        <v>42065</v>
      </c>
      <c r="B4590" s="125" t="str">
        <f>TiposLancamentos!B4</f>
        <v>Taxas Bancarias</v>
      </c>
      <c r="C4590" s="139" t="s">
        <v>23119</v>
      </c>
      <c r="D4590" s="51"/>
      <c r="E4590" s="857">
        <v>0.04</v>
      </c>
      <c r="F4590" s="156"/>
    </row>
    <row r="4591" spans="1:6">
      <c r="A4591" s="856">
        <v>42065</v>
      </c>
      <c r="B4591" s="125" t="str">
        <f>TiposLancamentos!B4</f>
        <v>Taxas Bancarias</v>
      </c>
      <c r="C4591" s="139" t="s">
        <v>23120</v>
      </c>
      <c r="D4591" s="51"/>
      <c r="E4591" s="857">
        <v>0.19</v>
      </c>
      <c r="F4591" s="156"/>
    </row>
    <row r="4592" spans="1:6">
      <c r="A4592" s="856">
        <v>42065</v>
      </c>
      <c r="B4592" s="125" t="str">
        <f>TiposLancamentos!B4</f>
        <v>Taxas Bancarias</v>
      </c>
      <c r="C4592" s="139" t="s">
        <v>23121</v>
      </c>
      <c r="D4592" s="51"/>
      <c r="E4592" s="857">
        <v>2.15</v>
      </c>
      <c r="F4592" s="156"/>
    </row>
    <row r="4593" spans="1:6" ht="14.25" thickBot="1">
      <c r="A4593" s="856">
        <v>42086</v>
      </c>
      <c r="B4593" s="125" t="str">
        <f>TiposLancamentos!B105</f>
        <v>Transf. Bco</v>
      </c>
      <c r="C4593" s="139" t="s">
        <v>3845</v>
      </c>
      <c r="D4593" s="51">
        <v>70</v>
      </c>
      <c r="E4593" s="857"/>
      <c r="F4593" s="156"/>
    </row>
    <row r="4594" spans="1:6">
      <c r="A4594" s="967"/>
      <c r="B4594" s="968"/>
      <c r="C4594" s="969" t="s">
        <v>23122</v>
      </c>
      <c r="D4594" s="970"/>
      <c r="E4594" s="971"/>
      <c r="F4594" s="156"/>
    </row>
    <row r="4595" spans="1:6">
      <c r="A4595" s="856">
        <v>42095</v>
      </c>
      <c r="B4595" s="125" t="str">
        <f>TiposLancamentos!B4</f>
        <v>Taxas Bancarias</v>
      </c>
      <c r="C4595" s="139" t="s">
        <v>23123</v>
      </c>
      <c r="D4595" s="51"/>
      <c r="E4595" s="857">
        <v>0.09</v>
      </c>
      <c r="F4595" s="156"/>
    </row>
    <row r="4596" spans="1:6" ht="14.25" thickBot="1">
      <c r="A4596" s="856">
        <v>42095</v>
      </c>
      <c r="B4596" s="125" t="str">
        <f>TiposLancamentos!B4</f>
        <v>Taxas Bancarias</v>
      </c>
      <c r="C4596" s="139" t="s">
        <v>23124</v>
      </c>
      <c r="D4596" s="51"/>
      <c r="E4596" s="857">
        <v>5.2</v>
      </c>
      <c r="F4596" s="156"/>
    </row>
    <row r="4597" spans="1:6">
      <c r="A4597" s="967"/>
      <c r="B4597" s="968"/>
      <c r="C4597" s="969" t="s">
        <v>23125</v>
      </c>
      <c r="D4597" s="970"/>
      <c r="E4597" s="971"/>
      <c r="F4597" s="156"/>
    </row>
    <row r="4598" spans="1:6">
      <c r="A4598" s="856">
        <v>42125</v>
      </c>
      <c r="B4598" s="125" t="str">
        <f>TiposLancamentos!B103</f>
        <v>Juros_Corr. Poupança</v>
      </c>
      <c r="C4598" s="139" t="s">
        <v>23126</v>
      </c>
      <c r="D4598" s="51">
        <v>0.04</v>
      </c>
      <c r="E4598" s="857"/>
      <c r="F4598" s="156"/>
    </row>
    <row r="4599" spans="1:6">
      <c r="A4599" s="856">
        <v>42132</v>
      </c>
      <c r="B4599" s="125" t="str">
        <f>TiposLancamentos!B18</f>
        <v>Alimentacao</v>
      </c>
      <c r="C4599" s="139" t="s">
        <v>23127</v>
      </c>
      <c r="D4599" s="51"/>
      <c r="E4599" s="857">
        <v>6.05</v>
      </c>
      <c r="F4599" s="156"/>
    </row>
    <row r="4600" spans="1:6">
      <c r="A4600" s="856"/>
      <c r="B4600" s="125"/>
      <c r="C4600" s="139"/>
      <c r="D4600" s="51"/>
      <c r="E4600" s="857"/>
      <c r="F4600" s="156"/>
    </row>
    <row r="4601" spans="1:6">
      <c r="A4601" s="856"/>
      <c r="B4601" s="125"/>
      <c r="C4601" s="139"/>
      <c r="D4601" s="51"/>
      <c r="E4601" s="857"/>
      <c r="F4601" s="156"/>
    </row>
    <row r="4602" spans="1:6">
      <c r="A4602" s="856"/>
      <c r="B4602" s="125"/>
      <c r="C4602" s="139"/>
      <c r="D4602" s="51"/>
      <c r="E4602" s="857"/>
      <c r="F4602" s="156"/>
    </row>
    <row r="4603" spans="1:6" ht="10.5" customHeight="1">
      <c r="A4603" s="872"/>
      <c r="B4603" s="162"/>
      <c r="C4603" s="163" t="s">
        <v>18317</v>
      </c>
      <c r="D4603" s="163"/>
      <c r="E4603" s="873"/>
      <c r="F4603" s="156"/>
    </row>
    <row r="4604" spans="1:6" ht="14.25" thickBot="1">
      <c r="A4604" s="866"/>
      <c r="B4604" s="867"/>
      <c r="C4604" s="868"/>
      <c r="D4604" s="869"/>
      <c r="E4604" s="870"/>
      <c r="F4604" s="156"/>
    </row>
    <row r="4605" spans="1:6">
      <c r="A4605" s="164"/>
      <c r="B4605" s="165"/>
      <c r="C4605" s="166" t="s">
        <v>12</v>
      </c>
      <c r="D4605" s="167">
        <f>SUM(D3:D4604)</f>
        <v>673087.74000000057</v>
      </c>
      <c r="E4605" s="168">
        <f>SUM(E3:E4604)</f>
        <v>673087.74000000174</v>
      </c>
    </row>
    <row r="4606" spans="1:6">
      <c r="A4606" s="164"/>
      <c r="B4606" s="120"/>
      <c r="C4606" s="117" t="s">
        <v>13</v>
      </c>
      <c r="D4606" s="169"/>
      <c r="E4606" s="170">
        <f>D4605-E4605</f>
        <v>-1.1641532182693481E-9</v>
      </c>
      <c r="F4606" s="36"/>
    </row>
    <row r="4607" spans="1:6">
      <c r="A4607" s="116"/>
      <c r="B4607" s="116"/>
      <c r="C4607" s="52" t="s">
        <v>9740</v>
      </c>
      <c r="D4607" s="171"/>
      <c r="E4607" s="172"/>
      <c r="F4607" s="36"/>
    </row>
    <row r="4608" spans="1:6">
      <c r="A4608" s="116"/>
      <c r="B4608" s="116"/>
      <c r="C4608" s="52" t="s">
        <v>9741</v>
      </c>
      <c r="D4608" s="51"/>
      <c r="E4608" s="173">
        <f>IF(E4607&lt;&gt;0,E4606-E4607,0)</f>
        <v>0</v>
      </c>
    </row>
    <row r="4609" spans="2:5">
      <c r="B4609" s="3" t="s">
        <v>9743</v>
      </c>
      <c r="D4609" s="66" t="s">
        <v>9744</v>
      </c>
      <c r="E4609" s="174" t="s">
        <v>1359</v>
      </c>
    </row>
    <row r="4610" spans="2:5">
      <c r="B4610" s="175" t="s">
        <v>9745</v>
      </c>
      <c r="C4610" s="36"/>
      <c r="D4610" s="66" t="s">
        <v>23128</v>
      </c>
      <c r="E4610" s="66" t="s">
        <v>1360</v>
      </c>
    </row>
    <row r="4611" spans="2:5">
      <c r="D4611" s="25" t="s">
        <v>14585</v>
      </c>
      <c r="E4611" s="176">
        <v>0.10589999999999999</v>
      </c>
    </row>
    <row r="4612" spans="2:5">
      <c r="D4612" s="25" t="s">
        <v>9747</v>
      </c>
      <c r="E4612" s="176"/>
    </row>
    <row r="4613" spans="2:5">
      <c r="B4613" s="3" t="s">
        <v>23129</v>
      </c>
      <c r="C4613" s="3" t="s">
        <v>23130</v>
      </c>
      <c r="D4613" s="25" t="s">
        <v>4858</v>
      </c>
      <c r="E4613" s="176">
        <v>7.3800000000000004E-2</v>
      </c>
    </row>
    <row r="4614" spans="2:5">
      <c r="C4614" s="3" t="s">
        <v>23131</v>
      </c>
      <c r="D4614" s="25" t="s">
        <v>5065</v>
      </c>
      <c r="E4614" s="176">
        <v>0</v>
      </c>
    </row>
    <row r="4615" spans="2:5">
      <c r="B4615" s="3" t="s">
        <v>23132</v>
      </c>
      <c r="D4615" s="25" t="s">
        <v>14588</v>
      </c>
      <c r="E4615" s="34">
        <v>26000</v>
      </c>
    </row>
    <row r="4616" spans="2:5">
      <c r="B4616" s="3" t="s">
        <v>23131</v>
      </c>
      <c r="D4616" s="25" t="s">
        <v>9748</v>
      </c>
      <c r="E4616" s="34">
        <f>(IF(E4606&lt;0,(E4606*-1)*E4611,0))</f>
        <v>1.2328382581472396E-10</v>
      </c>
    </row>
    <row r="4617" spans="2:5">
      <c r="C4617" s="154"/>
      <c r="D4617" s="25" t="s">
        <v>9749</v>
      </c>
      <c r="E4617" s="34">
        <f>(IF(E4606&lt;0,(E4606*-1)*E4613,0))</f>
        <v>8.5914507508277892E-11</v>
      </c>
    </row>
    <row r="4618" spans="2:5">
      <c r="B4618" s="3" t="s">
        <v>23133</v>
      </c>
      <c r="D4618" s="25" t="s">
        <v>9750</v>
      </c>
      <c r="E4618" s="34">
        <f>IF(E4606&lt;0,(E4606*-1)*E4614,0)</f>
        <v>0</v>
      </c>
    </row>
    <row r="4619" spans="2:5">
      <c r="B4619" s="3" t="s">
        <v>23134</v>
      </c>
      <c r="D4619" s="177" t="s">
        <v>9751</v>
      </c>
      <c r="E4619" s="178">
        <f>IF(E4606&lt;0,(E4606*-1)+E4616+E4617,0)</f>
        <v>1.3733515515923499E-9</v>
      </c>
    </row>
    <row r="4621" spans="2:5">
      <c r="E4621" s="36"/>
    </row>
  </sheetData>
  <sheetProtection selectLockedCells="1" selectUnlockedCells="1"/>
  <conditionalFormatting sqref="E137:E138 E901 E1122:E1126 E1129 E1131 E1133 E1135 E1175:E1177 E1639:E1644 E1967:E1976 E3067:E3090">
    <cfRule type="cellIs" dxfId="13" priority="19" stopIfTrue="1" operator="lessThan">
      <formula>0</formula>
    </cfRule>
  </conditionalFormatting>
  <conditionalFormatting sqref="E4489">
    <cfRule type="cellIs" dxfId="12" priority="17" stopIfTrue="1" operator="lessThan">
      <formula>0</formula>
    </cfRule>
  </conditionalFormatting>
  <conditionalFormatting sqref="E4525:E4527">
    <cfRule type="cellIs" dxfId="11" priority="13" stopIfTrue="1" operator="lessThan">
      <formula>0</formula>
    </cfRule>
  </conditionalFormatting>
  <conditionalFormatting sqref="E4582">
    <cfRule type="cellIs" dxfId="10" priority="9" stopIfTrue="1" operator="lessThan">
      <formula>0</formula>
    </cfRule>
  </conditionalFormatting>
  <conditionalFormatting sqref="E4585">
    <cfRule type="cellIs" dxfId="9" priority="7" stopIfTrue="1" operator="lessThan">
      <formula>0</formula>
    </cfRule>
  </conditionalFormatting>
  <conditionalFormatting sqref="E4589">
    <cfRule type="cellIs" dxfId="8" priority="5" stopIfTrue="1" operator="lessThan">
      <formula>0</formula>
    </cfRule>
  </conditionalFormatting>
  <conditionalFormatting sqref="E4594">
    <cfRule type="cellIs" dxfId="7" priority="3" stopIfTrue="1" operator="lessThan">
      <formula>0</formula>
    </cfRule>
  </conditionalFormatting>
  <conditionalFormatting sqref="E4597">
    <cfRule type="cellIs" dxfId="6" priority="1" stopIfTrue="1" operator="lessThan">
      <formula>0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Plan72"/>
  <dimension ref="A1:F277"/>
  <sheetViews>
    <sheetView workbookViewId="0">
      <pane xSplit="6" ySplit="1" topLeftCell="G250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11.42578125" defaultRowHeight="13.5"/>
  <cols>
    <col min="1" max="1" width="17.5703125" style="3" customWidth="1"/>
    <col min="2" max="2" width="21.42578125" style="3" customWidth="1"/>
    <col min="3" max="3" width="36.140625" style="3" customWidth="1"/>
    <col min="4" max="4" width="15.140625" style="3" customWidth="1"/>
    <col min="5" max="5" width="15.140625" style="221" customWidth="1"/>
    <col min="6" max="6" width="14" style="3" customWidth="1"/>
    <col min="7" max="16384" width="11.42578125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642">
        <v>36130</v>
      </c>
      <c r="B2" s="76" t="str">
        <f>TiposLancamentos!B78</f>
        <v>Diferenças</v>
      </c>
      <c r="C2" s="52" t="s">
        <v>20351</v>
      </c>
      <c r="D2" s="63"/>
      <c r="E2" s="231">
        <v>1.48</v>
      </c>
      <c r="F2" s="126"/>
    </row>
    <row r="3" spans="1:6">
      <c r="A3" s="75">
        <v>36138</v>
      </c>
      <c r="B3" s="86" t="str">
        <f>TiposLancamentos!B64</f>
        <v>Viagens</v>
      </c>
      <c r="C3" s="52" t="s">
        <v>23135</v>
      </c>
      <c r="D3" s="587"/>
      <c r="E3" s="231">
        <v>18.62</v>
      </c>
      <c r="F3" s="126"/>
    </row>
    <row r="4" spans="1:6">
      <c r="A4" s="75">
        <v>36139</v>
      </c>
      <c r="B4" s="86" t="str">
        <f>TiposLancamentos!B4</f>
        <v>Taxas Bancarias</v>
      </c>
      <c r="C4" s="52" t="s">
        <v>23136</v>
      </c>
      <c r="D4" s="643"/>
      <c r="E4" s="231">
        <v>3</v>
      </c>
      <c r="F4" s="126"/>
    </row>
    <row r="5" spans="1:6">
      <c r="A5" s="75">
        <v>36144</v>
      </c>
      <c r="B5" s="86" t="str">
        <f>TiposLancamentos!B25</f>
        <v>CD_DVD_BD</v>
      </c>
      <c r="C5" s="52" t="s">
        <v>23137</v>
      </c>
      <c r="D5" s="644"/>
      <c r="E5" s="231">
        <v>21</v>
      </c>
      <c r="F5" s="126"/>
    </row>
    <row r="6" spans="1:6">
      <c r="A6" s="75">
        <v>36144</v>
      </c>
      <c r="B6" s="86" t="str">
        <f>TiposLancamentos!B25</f>
        <v>CD_DVD_BD</v>
      </c>
      <c r="C6" s="52" t="s">
        <v>23138</v>
      </c>
      <c r="D6" s="587"/>
      <c r="E6" s="231">
        <v>13.9</v>
      </c>
      <c r="F6" s="126"/>
    </row>
    <row r="7" spans="1:6">
      <c r="A7" s="75">
        <v>36146</v>
      </c>
      <c r="B7" s="86" t="str">
        <f>TiposLancamentos!B64</f>
        <v>Viagens</v>
      </c>
      <c r="C7" s="52" t="s">
        <v>23135</v>
      </c>
      <c r="D7" s="587"/>
      <c r="E7" s="231">
        <v>18.62</v>
      </c>
      <c r="F7" s="126"/>
    </row>
    <row r="8" spans="1:6">
      <c r="A8" s="83"/>
      <c r="B8" s="91"/>
      <c r="C8" s="43" t="s">
        <v>23139</v>
      </c>
      <c r="D8" s="93"/>
      <c r="E8" s="230"/>
      <c r="F8" s="223">
        <f>SUM(E3:E7)</f>
        <v>75.14</v>
      </c>
    </row>
    <row r="9" spans="1:6">
      <c r="A9" s="79">
        <v>36165</v>
      </c>
      <c r="B9" s="95" t="str">
        <f>TiposLancamentos!B15</f>
        <v>Cartões de Crédito</v>
      </c>
      <c r="C9" s="477" t="s">
        <v>23140</v>
      </c>
      <c r="D9" s="85">
        <v>75.14</v>
      </c>
      <c r="E9" s="645"/>
      <c r="F9" s="458"/>
    </row>
    <row r="10" spans="1:6">
      <c r="A10" s="75"/>
      <c r="B10" s="86"/>
      <c r="C10" s="52" t="s">
        <v>23141</v>
      </c>
      <c r="D10" s="63"/>
      <c r="E10" s="646"/>
      <c r="F10" s="126">
        <v>0</v>
      </c>
    </row>
    <row r="11" spans="1:6">
      <c r="A11" s="75">
        <v>36192</v>
      </c>
      <c r="B11" s="86" t="str">
        <f>TiposLancamentos!B4</f>
        <v>Taxas Bancarias</v>
      </c>
      <c r="C11" s="52" t="s">
        <v>23142</v>
      </c>
      <c r="D11" s="63">
        <v>3.05</v>
      </c>
      <c r="E11" s="646"/>
      <c r="F11" s="126"/>
    </row>
    <row r="12" spans="1:6">
      <c r="A12" s="75">
        <v>36203</v>
      </c>
      <c r="B12" s="86" t="str">
        <f>TiposLancamentos!B64</f>
        <v>Viagens</v>
      </c>
      <c r="C12" s="52" t="s">
        <v>23135</v>
      </c>
      <c r="D12" s="587"/>
      <c r="E12" s="231">
        <v>21.71</v>
      </c>
      <c r="F12" s="126"/>
    </row>
    <row r="13" spans="1:6">
      <c r="A13" s="83"/>
      <c r="B13" s="91"/>
      <c r="C13" s="43" t="s">
        <v>23143</v>
      </c>
      <c r="D13" s="93"/>
      <c r="E13" s="230"/>
      <c r="F13" s="223">
        <f>SUM(E10:E12)</f>
        <v>21.71</v>
      </c>
    </row>
    <row r="14" spans="1:6">
      <c r="A14" s="75">
        <v>36224</v>
      </c>
      <c r="B14" s="86" t="str">
        <f>TiposLancamentos!B15</f>
        <v>Cartões de Crédito</v>
      </c>
      <c r="C14" s="52" t="s">
        <v>23140</v>
      </c>
      <c r="D14" s="63">
        <v>18.66</v>
      </c>
      <c r="E14" s="646"/>
      <c r="F14" s="126"/>
    </row>
    <row r="15" spans="1:6">
      <c r="A15" s="75">
        <v>36224</v>
      </c>
      <c r="B15" s="86" t="str">
        <f>TiposLancamentos!B56</f>
        <v>Farmácia</v>
      </c>
      <c r="C15" s="52" t="s">
        <v>1775</v>
      </c>
      <c r="D15" s="644"/>
      <c r="E15" s="231">
        <v>52</v>
      </c>
      <c r="F15" s="126"/>
    </row>
    <row r="16" spans="1:6">
      <c r="A16" s="79">
        <v>36247</v>
      </c>
      <c r="B16" s="95" t="str">
        <f>TiposLancamentos!B64</f>
        <v>Viagens</v>
      </c>
      <c r="C16" s="477" t="s">
        <v>23135</v>
      </c>
      <c r="D16" s="647"/>
      <c r="E16" s="589">
        <v>21.8</v>
      </c>
      <c r="F16" s="458"/>
    </row>
    <row r="17" spans="1:6">
      <c r="A17" s="75"/>
      <c r="B17" s="86"/>
      <c r="C17" s="52" t="s">
        <v>23144</v>
      </c>
      <c r="D17" s="63"/>
      <c r="E17" s="231"/>
      <c r="F17" s="224">
        <f>SUM(E13:E16)</f>
        <v>73.8</v>
      </c>
    </row>
    <row r="18" spans="1:6">
      <c r="A18" s="75">
        <v>36257</v>
      </c>
      <c r="B18" s="86" t="str">
        <f>TiposLancamentos!B15</f>
        <v>Cartões de Crédito</v>
      </c>
      <c r="C18" s="52" t="s">
        <v>23140</v>
      </c>
      <c r="D18" s="63">
        <v>73.8</v>
      </c>
      <c r="E18" s="646"/>
      <c r="F18" s="126"/>
    </row>
    <row r="19" spans="1:6">
      <c r="A19" s="75">
        <v>36259</v>
      </c>
      <c r="B19" s="86" t="str">
        <f>TiposLancamentos!B25</f>
        <v>CD_DVD_BD</v>
      </c>
      <c r="C19" s="52" t="s">
        <v>23145</v>
      </c>
      <c r="D19" s="648"/>
      <c r="E19" s="231">
        <v>21.9</v>
      </c>
      <c r="F19" s="126"/>
    </row>
    <row r="20" spans="1:6">
      <c r="A20" s="75">
        <v>36280</v>
      </c>
      <c r="B20" s="86" t="str">
        <f>TiposLancamentos!B64</f>
        <v>Viagens</v>
      </c>
      <c r="C20" s="52" t="s">
        <v>23135</v>
      </c>
      <c r="D20" s="587"/>
      <c r="E20" s="231">
        <v>18.62</v>
      </c>
      <c r="F20" s="126"/>
    </row>
    <row r="21" spans="1:6">
      <c r="A21" s="83"/>
      <c r="B21" s="91"/>
      <c r="C21" s="43" t="s">
        <v>12677</v>
      </c>
      <c r="D21" s="93"/>
      <c r="E21" s="230"/>
      <c r="F21" s="223">
        <f>SUM(E17:E20)</f>
        <v>40.519999999999996</v>
      </c>
    </row>
    <row r="22" spans="1:6">
      <c r="A22" s="75">
        <v>36286</v>
      </c>
      <c r="B22" s="86" t="str">
        <f>TiposLancamentos!B15</f>
        <v>Cartões de Crédito</v>
      </c>
      <c r="C22" s="52" t="s">
        <v>23140</v>
      </c>
      <c r="D22" s="63">
        <v>40.520000000000003</v>
      </c>
      <c r="E22" s="646"/>
      <c r="F22" s="126"/>
    </row>
    <row r="23" spans="1:6">
      <c r="A23" s="79">
        <v>36298</v>
      </c>
      <c r="B23" s="95" t="str">
        <f>TiposLancamentos!B25</f>
        <v>CD_DVD_BD</v>
      </c>
      <c r="C23" s="477" t="s">
        <v>23146</v>
      </c>
      <c r="D23" s="588"/>
      <c r="E23" s="589">
        <v>21.9</v>
      </c>
      <c r="F23" s="458"/>
    </row>
    <row r="24" spans="1:6">
      <c r="A24" s="75"/>
      <c r="B24" s="86"/>
      <c r="C24" s="52" t="s">
        <v>12679</v>
      </c>
      <c r="D24" s="63"/>
      <c r="E24" s="231"/>
      <c r="F24" s="224">
        <f>SUM(E21:E23)</f>
        <v>21.9</v>
      </c>
    </row>
    <row r="25" spans="1:6">
      <c r="A25" s="75">
        <v>36313</v>
      </c>
      <c r="B25" s="86" t="str">
        <f>TiposLancamentos!B15</f>
        <v>Cartões de Crédito</v>
      </c>
      <c r="C25" s="52" t="s">
        <v>23140</v>
      </c>
      <c r="D25" s="63">
        <v>21.9</v>
      </c>
      <c r="E25" s="646"/>
      <c r="F25" s="126"/>
    </row>
    <row r="26" spans="1:6">
      <c r="A26" s="75">
        <v>36325</v>
      </c>
      <c r="B26" s="86" t="str">
        <f>TiposLancamentos!B70</f>
        <v>Vestuário</v>
      </c>
      <c r="C26" s="52" t="s">
        <v>23147</v>
      </c>
      <c r="D26" s="587"/>
      <c r="E26" s="231">
        <v>7.9</v>
      </c>
      <c r="F26" s="126"/>
    </row>
    <row r="27" spans="1:6">
      <c r="A27" s="75">
        <v>36327</v>
      </c>
      <c r="B27" s="86" t="str">
        <f>TiposLancamentos!B64</f>
        <v>Viagens</v>
      </c>
      <c r="C27" s="52" t="s">
        <v>23135</v>
      </c>
      <c r="D27" s="587"/>
      <c r="E27" s="231">
        <v>21.71</v>
      </c>
      <c r="F27" s="126"/>
    </row>
    <row r="28" spans="1:6">
      <c r="A28" s="83"/>
      <c r="B28" s="91"/>
      <c r="C28" s="43" t="s">
        <v>23148</v>
      </c>
      <c r="D28" s="93"/>
      <c r="E28" s="230"/>
      <c r="F28" s="223">
        <f>SUM(E24:E27)</f>
        <v>29.61</v>
      </c>
    </row>
    <row r="29" spans="1:6">
      <c r="A29" s="75">
        <v>36347</v>
      </c>
      <c r="B29" s="86" t="str">
        <f>TiposLancamentos!B15</f>
        <v>Cartões de Crédito</v>
      </c>
      <c r="C29" s="52" t="s">
        <v>23140</v>
      </c>
      <c r="D29" s="63">
        <v>29.61</v>
      </c>
      <c r="E29" s="646"/>
      <c r="F29" s="126"/>
    </row>
    <row r="30" spans="1:6" ht="12.75" customHeight="1">
      <c r="A30" s="75">
        <v>36347</v>
      </c>
      <c r="B30" s="86" t="str">
        <f>TiposLancamentos!B58</f>
        <v>Fotografias</v>
      </c>
      <c r="C30" s="52" t="s">
        <v>23149</v>
      </c>
      <c r="D30" s="587"/>
      <c r="E30" s="231">
        <v>15.8</v>
      </c>
      <c r="F30" s="126"/>
    </row>
    <row r="31" spans="1:6" ht="12.75" customHeight="1">
      <c r="A31" s="75">
        <v>36350</v>
      </c>
      <c r="B31" s="86" t="str">
        <f>TiposLancamentos!B5</f>
        <v>Supermercado</v>
      </c>
      <c r="C31" s="52" t="s">
        <v>2567</v>
      </c>
      <c r="D31" s="643"/>
      <c r="E31" s="231">
        <v>16.04</v>
      </c>
      <c r="F31" s="126"/>
    </row>
    <row r="32" spans="1:6" ht="12.75" customHeight="1">
      <c r="A32" s="75">
        <v>36361</v>
      </c>
      <c r="B32" s="86" t="str">
        <f>TiposLancamentos!B72</f>
        <v>Presentes</v>
      </c>
      <c r="C32" s="52" t="s">
        <v>23150</v>
      </c>
      <c r="D32" s="643"/>
      <c r="E32" s="231">
        <v>13.99</v>
      </c>
      <c r="F32" s="126"/>
    </row>
    <row r="33" spans="1:6" ht="12.75" customHeight="1">
      <c r="A33" s="79">
        <v>36363</v>
      </c>
      <c r="B33" s="95" t="str">
        <f>TiposLancamentos!B64</f>
        <v>Viagens</v>
      </c>
      <c r="C33" s="477" t="s">
        <v>23135</v>
      </c>
      <c r="D33" s="647"/>
      <c r="E33" s="589">
        <v>22.41</v>
      </c>
      <c r="F33" s="458"/>
    </row>
    <row r="34" spans="1:6" ht="12.75" customHeight="1">
      <c r="A34" s="75"/>
      <c r="B34" s="86"/>
      <c r="C34" s="52" t="s">
        <v>14673</v>
      </c>
      <c r="D34" s="63"/>
      <c r="E34" s="231"/>
      <c r="F34" s="224">
        <f>SUM(E28:E33)</f>
        <v>68.239999999999995</v>
      </c>
    </row>
    <row r="35" spans="1:6" ht="12.75" customHeight="1">
      <c r="A35" s="75">
        <v>36374</v>
      </c>
      <c r="B35" s="86" t="str">
        <f>TiposLancamentos!B15</f>
        <v>Cartões de Crédito</v>
      </c>
      <c r="C35" s="52" t="s">
        <v>23140</v>
      </c>
      <c r="D35" s="63">
        <v>68.239999999999995</v>
      </c>
      <c r="E35" s="646"/>
      <c r="F35" s="126"/>
    </row>
    <row r="36" spans="1:6" ht="12.75" customHeight="1">
      <c r="A36" s="75">
        <v>36377</v>
      </c>
      <c r="B36" s="86" t="str">
        <f>TiposLancamentos!B57</f>
        <v>Informática</v>
      </c>
      <c r="C36" s="52" t="s">
        <v>23151</v>
      </c>
      <c r="D36" s="644"/>
      <c r="E36" s="231">
        <v>24.35</v>
      </c>
      <c r="F36" s="126"/>
    </row>
    <row r="37" spans="1:6" ht="12.75" customHeight="1">
      <c r="A37" s="75">
        <v>36378</v>
      </c>
      <c r="B37" s="86" t="str">
        <f>TiposLancamentos!B64</f>
        <v>Viagens</v>
      </c>
      <c r="C37" s="52" t="s">
        <v>23135</v>
      </c>
      <c r="D37" s="587"/>
      <c r="E37" s="231">
        <v>24.54</v>
      </c>
      <c r="F37" s="126"/>
    </row>
    <row r="38" spans="1:6" ht="12.75" customHeight="1">
      <c r="A38" s="75">
        <v>36381</v>
      </c>
      <c r="B38" s="86" t="str">
        <f>TiposLancamentos!B25</f>
        <v>CD_DVD_BD</v>
      </c>
      <c r="C38" s="52" t="s">
        <v>23152</v>
      </c>
      <c r="D38" s="587"/>
      <c r="E38" s="231">
        <v>65.7</v>
      </c>
      <c r="F38" s="126"/>
    </row>
    <row r="39" spans="1:6" ht="12.75" customHeight="1">
      <c r="A39" s="83"/>
      <c r="B39" s="91"/>
      <c r="C39" s="43" t="s">
        <v>12688</v>
      </c>
      <c r="D39" s="93"/>
      <c r="E39" s="230"/>
      <c r="F39" s="223">
        <f>SUM(E34:E38)</f>
        <v>114.59</v>
      </c>
    </row>
    <row r="40" spans="1:6" ht="12.75" customHeight="1">
      <c r="A40" s="75">
        <v>36406</v>
      </c>
      <c r="B40" s="86" t="str">
        <f>TiposLancamentos!B15</f>
        <v>Cartões de Crédito</v>
      </c>
      <c r="C40" s="52" t="s">
        <v>23140</v>
      </c>
      <c r="D40" s="63">
        <v>114.59</v>
      </c>
      <c r="E40" s="649"/>
      <c r="F40" s="126"/>
    </row>
    <row r="41" spans="1:6" ht="12.75" customHeight="1">
      <c r="A41" s="75">
        <v>36416</v>
      </c>
      <c r="B41" s="86" t="str">
        <f>TiposLancamentos!B70</f>
        <v>Vestuário</v>
      </c>
      <c r="C41" s="52" t="s">
        <v>16390</v>
      </c>
      <c r="D41" s="587"/>
      <c r="E41" s="231">
        <v>65</v>
      </c>
      <c r="F41" s="126"/>
    </row>
    <row r="42" spans="1:6" ht="12.75" customHeight="1">
      <c r="A42" s="75">
        <v>36416</v>
      </c>
      <c r="B42" s="86" t="str">
        <f>TiposLancamentos!B70</f>
        <v>Vestuário</v>
      </c>
      <c r="C42" s="52" t="s">
        <v>23153</v>
      </c>
      <c r="D42" s="644"/>
      <c r="E42" s="231">
        <v>8.9</v>
      </c>
      <c r="F42" s="126"/>
    </row>
    <row r="43" spans="1:6" ht="12.75" customHeight="1">
      <c r="A43" s="75">
        <v>36416</v>
      </c>
      <c r="B43" s="86" t="str">
        <f>TiposLancamentos!B25</f>
        <v>CD_DVD_BD</v>
      </c>
      <c r="C43" s="52" t="s">
        <v>23154</v>
      </c>
      <c r="D43" s="644"/>
      <c r="E43" s="231">
        <v>19.899999999999999</v>
      </c>
      <c r="F43" s="126"/>
    </row>
    <row r="44" spans="1:6" ht="12.75" customHeight="1">
      <c r="A44" s="75">
        <v>36420</v>
      </c>
      <c r="B44" s="86" t="str">
        <f>TiposLancamentos!B72</f>
        <v>Presentes</v>
      </c>
      <c r="C44" s="52" t="s">
        <v>23155</v>
      </c>
      <c r="D44" s="587"/>
      <c r="E44" s="231">
        <v>28.5</v>
      </c>
      <c r="F44" s="126"/>
    </row>
    <row r="45" spans="1:6" ht="12.75" customHeight="1">
      <c r="A45" s="79">
        <v>36359</v>
      </c>
      <c r="B45" s="95" t="str">
        <f>TiposLancamentos!B5</f>
        <v>Supermercado</v>
      </c>
      <c r="C45" s="477" t="s">
        <v>2567</v>
      </c>
      <c r="D45" s="588"/>
      <c r="E45" s="589">
        <v>11.77</v>
      </c>
      <c r="F45" s="458"/>
    </row>
    <row r="46" spans="1:6" ht="12.75" customHeight="1">
      <c r="A46" s="75"/>
      <c r="B46" s="86"/>
      <c r="C46" s="52" t="s">
        <v>14674</v>
      </c>
      <c r="D46" s="63"/>
      <c r="E46" s="231"/>
      <c r="F46" s="224">
        <f>SUM(E39:E45)</f>
        <v>134.07000000000002</v>
      </c>
    </row>
    <row r="47" spans="1:6" ht="12.75" customHeight="1">
      <c r="A47" s="75">
        <v>36440</v>
      </c>
      <c r="B47" s="86" t="str">
        <f>TiposLancamentos!B15</f>
        <v>Cartões de Crédito</v>
      </c>
      <c r="C47" s="52" t="s">
        <v>23140</v>
      </c>
      <c r="D47" s="63">
        <v>134.07</v>
      </c>
      <c r="E47" s="646"/>
      <c r="F47" s="126"/>
    </row>
    <row r="48" spans="1:6" ht="12.75" customHeight="1">
      <c r="A48" s="75">
        <v>36440</v>
      </c>
      <c r="B48" s="86" t="str">
        <f>TiposLancamentos!B64</f>
        <v>Viagens</v>
      </c>
      <c r="C48" s="52" t="s">
        <v>23135</v>
      </c>
      <c r="D48" s="587"/>
      <c r="E48" s="231">
        <v>24.54</v>
      </c>
      <c r="F48" s="126"/>
    </row>
    <row r="49" spans="1:6" ht="12.75" customHeight="1">
      <c r="A49" s="75">
        <v>36441</v>
      </c>
      <c r="B49" s="86" t="str">
        <f>TiposLancamentos!B5</f>
        <v>Supermercado</v>
      </c>
      <c r="C49" s="52" t="s">
        <v>10219</v>
      </c>
      <c r="D49" s="644"/>
      <c r="E49" s="231">
        <v>11.25</v>
      </c>
      <c r="F49" s="126"/>
    </row>
    <row r="50" spans="1:6" ht="12.75" customHeight="1">
      <c r="A50" s="75">
        <v>36446</v>
      </c>
      <c r="B50" s="86" t="str">
        <f>TiposLancamentos!B70</f>
        <v>Vestuário</v>
      </c>
      <c r="C50" s="52" t="s">
        <v>23156</v>
      </c>
      <c r="D50" s="587"/>
      <c r="E50" s="231">
        <v>19.899999999999999</v>
      </c>
      <c r="F50" s="126"/>
    </row>
    <row r="51" spans="1:6" ht="12.75" customHeight="1">
      <c r="A51" s="75">
        <v>36449</v>
      </c>
      <c r="B51" s="86" t="str">
        <f>TiposLancamentos!B19</f>
        <v>Restaurantes</v>
      </c>
      <c r="C51" s="52" t="s">
        <v>23157</v>
      </c>
      <c r="D51" s="643"/>
      <c r="E51" s="231">
        <v>6</v>
      </c>
      <c r="F51" s="126"/>
    </row>
    <row r="52" spans="1:6" ht="12.75" customHeight="1">
      <c r="A52" s="83"/>
      <c r="B52" s="91"/>
      <c r="C52" s="43" t="s">
        <v>12690</v>
      </c>
      <c r="D52" s="93"/>
      <c r="E52" s="230"/>
      <c r="F52" s="223">
        <f>SUM(E46:E51)</f>
        <v>61.69</v>
      </c>
    </row>
    <row r="53" spans="1:6" ht="12.75" customHeight="1">
      <c r="A53" s="75">
        <v>36469</v>
      </c>
      <c r="B53" s="86" t="str">
        <f>TiposLancamentos!B15</f>
        <v>Cartões de Crédito</v>
      </c>
      <c r="C53" s="52" t="s">
        <v>23140</v>
      </c>
      <c r="D53" s="63">
        <v>61.69</v>
      </c>
      <c r="E53" s="646"/>
      <c r="F53" s="126"/>
    </row>
    <row r="54" spans="1:6" ht="12.75" customHeight="1">
      <c r="A54" s="75">
        <v>36469</v>
      </c>
      <c r="B54" s="86" t="str">
        <f>TiposLancamentos!B25</f>
        <v>CD_DVD_BD</v>
      </c>
      <c r="C54" s="52" t="s">
        <v>23158</v>
      </c>
      <c r="D54" s="643"/>
      <c r="E54" s="231">
        <v>21.9</v>
      </c>
      <c r="F54" s="126"/>
    </row>
    <row r="55" spans="1:6" ht="12.75" customHeight="1">
      <c r="A55" s="75">
        <v>36470</v>
      </c>
      <c r="B55" s="86" t="str">
        <f>TiposLancamentos!B5</f>
        <v>Supermercado</v>
      </c>
      <c r="C55" s="52" t="s">
        <v>14609</v>
      </c>
      <c r="D55" s="587"/>
      <c r="E55" s="231">
        <v>8.3800000000000008</v>
      </c>
      <c r="F55" s="126"/>
    </row>
    <row r="56" spans="1:6" ht="12.75" customHeight="1">
      <c r="A56" s="75">
        <v>36477</v>
      </c>
      <c r="B56" s="86" t="str">
        <f>TiposLancamentos!B25</f>
        <v>CD_DVD_BD</v>
      </c>
      <c r="C56" s="52" t="s">
        <v>23159</v>
      </c>
      <c r="D56" s="650"/>
      <c r="E56" s="231">
        <v>26.8</v>
      </c>
      <c r="F56" s="126"/>
    </row>
    <row r="57" spans="1:6" ht="12.75" customHeight="1">
      <c r="A57" s="79">
        <v>36483</v>
      </c>
      <c r="B57" s="95" t="str">
        <f>TiposLancamentos!B64</f>
        <v>Viagens</v>
      </c>
      <c r="C57" s="477" t="s">
        <v>23135</v>
      </c>
      <c r="D57" s="647"/>
      <c r="E57" s="589">
        <v>49.09</v>
      </c>
      <c r="F57" s="458"/>
    </row>
    <row r="58" spans="1:6" ht="12.75" customHeight="1">
      <c r="A58" s="75"/>
      <c r="B58" s="86"/>
      <c r="C58" s="52" t="s">
        <v>12693</v>
      </c>
      <c r="D58" s="63"/>
      <c r="E58" s="231"/>
      <c r="F58" s="224">
        <f>SUM(E52:E57)</f>
        <v>106.17</v>
      </c>
    </row>
    <row r="59" spans="1:6" ht="12.75" customHeight="1">
      <c r="A59" s="75">
        <v>36500</v>
      </c>
      <c r="B59" s="86" t="str">
        <f>TiposLancamentos!B15</f>
        <v>Cartões de Crédito</v>
      </c>
      <c r="C59" s="52" t="s">
        <v>23140</v>
      </c>
      <c r="D59" s="63">
        <v>106.17</v>
      </c>
      <c r="E59" s="646"/>
      <c r="F59" s="126"/>
    </row>
    <row r="60" spans="1:6" ht="12.75" customHeight="1">
      <c r="A60" s="75">
        <v>36505</v>
      </c>
      <c r="B60" s="86" t="str">
        <f>TiposLancamentos!B72</f>
        <v>Presentes</v>
      </c>
      <c r="C60" s="52" t="s">
        <v>23160</v>
      </c>
      <c r="D60" s="644"/>
      <c r="E60" s="231">
        <v>49.2</v>
      </c>
      <c r="F60" s="126"/>
    </row>
    <row r="61" spans="1:6" ht="12.75" customHeight="1">
      <c r="A61" s="75">
        <v>36515</v>
      </c>
      <c r="B61" s="86" t="str">
        <f>TiposLancamentos!B64</f>
        <v>Viagens</v>
      </c>
      <c r="C61" s="52" t="s">
        <v>23135</v>
      </c>
      <c r="D61" s="587"/>
      <c r="E61" s="231">
        <v>49.08</v>
      </c>
      <c r="F61" s="126"/>
    </row>
    <row r="62" spans="1:6" ht="12.75" customHeight="1">
      <c r="A62" s="75">
        <v>36515</v>
      </c>
      <c r="B62" s="86" t="str">
        <f>TiposLancamentos!B72</f>
        <v>Presentes</v>
      </c>
      <c r="C62" s="52" t="s">
        <v>23161</v>
      </c>
      <c r="D62" s="587"/>
      <c r="E62" s="231">
        <v>19.899999999999999</v>
      </c>
      <c r="F62" s="126"/>
    </row>
    <row r="63" spans="1:6" ht="12.75" customHeight="1">
      <c r="A63" s="83"/>
      <c r="B63" s="91"/>
      <c r="C63" s="43" t="s">
        <v>12697</v>
      </c>
      <c r="D63" s="93"/>
      <c r="E63" s="230"/>
      <c r="F63" s="223">
        <f>SUM(E58:E62)</f>
        <v>118.18</v>
      </c>
    </row>
    <row r="64" spans="1:6" ht="12.75" customHeight="1">
      <c r="A64" s="75">
        <v>36535</v>
      </c>
      <c r="B64" s="86" t="str">
        <f>TiposLancamentos!B15</f>
        <v>Cartões de Crédito</v>
      </c>
      <c r="C64" s="52" t="s">
        <v>23140</v>
      </c>
      <c r="D64" s="63">
        <v>118.18</v>
      </c>
      <c r="E64" s="646"/>
      <c r="F64" s="126"/>
    </row>
    <row r="65" spans="1:6" ht="12.75" customHeight="1">
      <c r="A65" s="75">
        <v>36538</v>
      </c>
      <c r="B65" s="86" t="str">
        <f>TiposLancamentos!B25</f>
        <v>CD_DVD_BD</v>
      </c>
      <c r="C65" s="52" t="s">
        <v>23162</v>
      </c>
      <c r="D65" s="587"/>
      <c r="E65" s="231">
        <v>23.9</v>
      </c>
      <c r="F65" s="126"/>
    </row>
    <row r="66" spans="1:6" ht="12.75" customHeight="1">
      <c r="A66" s="79">
        <v>36540</v>
      </c>
      <c r="B66" s="95" t="str">
        <f>TiposLancamentos!B64</f>
        <v>Viagens</v>
      </c>
      <c r="C66" s="477" t="s">
        <v>23135</v>
      </c>
      <c r="D66" s="647"/>
      <c r="E66" s="589">
        <v>4.84</v>
      </c>
      <c r="F66" s="458"/>
    </row>
    <row r="67" spans="1:6" ht="12.75" customHeight="1">
      <c r="A67" s="75"/>
      <c r="B67" s="86"/>
      <c r="C67" s="52" t="s">
        <v>14676</v>
      </c>
      <c r="D67" s="63"/>
      <c r="E67" s="231"/>
      <c r="F67" s="224">
        <f>SUM(E63:E66)</f>
        <v>28.74</v>
      </c>
    </row>
    <row r="68" spans="1:6" ht="12.75" customHeight="1">
      <c r="A68" s="75">
        <v>36557</v>
      </c>
      <c r="B68" s="86" t="str">
        <f>TiposLancamentos!B64</f>
        <v>Viagens</v>
      </c>
      <c r="C68" s="52" t="s">
        <v>23135</v>
      </c>
      <c r="D68" s="587"/>
      <c r="E68" s="231">
        <v>22.42</v>
      </c>
      <c r="F68" s="126"/>
    </row>
    <row r="69" spans="1:6" ht="12.75" customHeight="1">
      <c r="A69" s="75">
        <v>36561</v>
      </c>
      <c r="B69" s="86" t="str">
        <f>TiposLancamentos!B64</f>
        <v>Viagens</v>
      </c>
      <c r="C69" s="52" t="s">
        <v>23135</v>
      </c>
      <c r="D69" s="587"/>
      <c r="E69" s="231">
        <v>4.84</v>
      </c>
      <c r="F69" s="126"/>
    </row>
    <row r="70" spans="1:6" ht="12.75" customHeight="1">
      <c r="A70" s="75">
        <v>36566</v>
      </c>
      <c r="B70" s="86" t="str">
        <f>TiposLancamentos!B15</f>
        <v>Cartões de Crédito</v>
      </c>
      <c r="C70" s="52" t="s">
        <v>23140</v>
      </c>
      <c r="D70" s="63">
        <v>28.74</v>
      </c>
      <c r="E70" s="646"/>
      <c r="F70" s="126"/>
    </row>
    <row r="71" spans="1:6" ht="12.75" customHeight="1">
      <c r="A71" s="75">
        <v>36574</v>
      </c>
      <c r="B71" s="86" t="str">
        <f>TiposLancamentos!B5</f>
        <v>Supermercado</v>
      </c>
      <c r="C71" s="52" t="s">
        <v>14609</v>
      </c>
      <c r="D71" s="587"/>
      <c r="E71" s="231">
        <v>7.36</v>
      </c>
      <c r="F71" s="126"/>
    </row>
    <row r="72" spans="1:6" ht="12.75" customHeight="1">
      <c r="A72" s="75">
        <v>36575</v>
      </c>
      <c r="B72" s="86" t="str">
        <f>TiposLancamentos!B64</f>
        <v>Viagens</v>
      </c>
      <c r="C72" s="52" t="s">
        <v>23135</v>
      </c>
      <c r="D72" s="587"/>
      <c r="E72" s="231">
        <v>4.84</v>
      </c>
      <c r="F72" s="126"/>
    </row>
    <row r="73" spans="1:6" ht="12.75" customHeight="1">
      <c r="A73" s="83"/>
      <c r="B73" s="91"/>
      <c r="C73" s="43" t="s">
        <v>23163</v>
      </c>
      <c r="D73" s="93"/>
      <c r="E73" s="230"/>
      <c r="F73" s="223">
        <f>SUM(E67:E72)</f>
        <v>39.460000000000008</v>
      </c>
    </row>
    <row r="74" spans="1:6" ht="12.75" customHeight="1">
      <c r="A74" s="75">
        <v>36595</v>
      </c>
      <c r="B74" s="86" t="str">
        <f>TiposLancamentos!B15</f>
        <v>Cartões de Crédito</v>
      </c>
      <c r="C74" s="52" t="s">
        <v>23140</v>
      </c>
      <c r="D74" s="63">
        <v>39.46</v>
      </c>
      <c r="E74" s="646"/>
      <c r="F74" s="126"/>
    </row>
    <row r="75" spans="1:6" ht="12.75" customHeight="1">
      <c r="A75" s="75">
        <v>36596</v>
      </c>
      <c r="B75" s="86" t="str">
        <f>TiposLancamentos!B64</f>
        <v>Viagens</v>
      </c>
      <c r="C75" s="52" t="s">
        <v>23135</v>
      </c>
      <c r="D75" s="587"/>
      <c r="E75" s="231">
        <v>4.84</v>
      </c>
      <c r="F75" s="126"/>
    </row>
    <row r="76" spans="1:6" ht="12.75" customHeight="1">
      <c r="A76" s="75">
        <v>36598</v>
      </c>
      <c r="B76" s="86" t="str">
        <f>TiposLancamentos!B26</f>
        <v>LIVROS</v>
      </c>
      <c r="C76" s="52" t="s">
        <v>23164</v>
      </c>
      <c r="D76" s="648"/>
      <c r="E76" s="231">
        <v>40.18</v>
      </c>
      <c r="F76" s="126"/>
    </row>
    <row r="77" spans="1:6" ht="12.75" customHeight="1">
      <c r="A77" s="75">
        <v>36600</v>
      </c>
      <c r="B77" s="86" t="str">
        <f>TiposLancamentos!B26</f>
        <v>LIVROS</v>
      </c>
      <c r="C77" s="52" t="s">
        <v>23165</v>
      </c>
      <c r="D77" s="587"/>
      <c r="E77" s="231">
        <v>15.99</v>
      </c>
      <c r="F77" s="126"/>
    </row>
    <row r="78" spans="1:6" ht="12.75" customHeight="1">
      <c r="A78" s="75">
        <v>36600</v>
      </c>
      <c r="B78" s="86" t="str">
        <f>TiposLancamentos!B26</f>
        <v>LIVROS</v>
      </c>
      <c r="C78" s="52" t="s">
        <v>23166</v>
      </c>
      <c r="D78" s="587"/>
      <c r="E78" s="231">
        <v>13.12</v>
      </c>
      <c r="F78" s="126"/>
    </row>
    <row r="79" spans="1:6" ht="12.75" customHeight="1">
      <c r="A79" s="75">
        <v>36603</v>
      </c>
      <c r="B79" s="86" t="str">
        <f>TiposLancamentos!B64</f>
        <v>Viagens</v>
      </c>
      <c r="C79" s="52" t="s">
        <v>23135</v>
      </c>
      <c r="D79" s="587"/>
      <c r="E79" s="231">
        <v>4.84</v>
      </c>
      <c r="F79" s="126"/>
    </row>
    <row r="80" spans="1:6" ht="12.75" customHeight="1">
      <c r="A80" s="75">
        <v>36609</v>
      </c>
      <c r="B80" s="86" t="str">
        <f>TiposLancamentos!B5</f>
        <v>Supermercado</v>
      </c>
      <c r="C80" s="52" t="s">
        <v>14609</v>
      </c>
      <c r="D80" s="587"/>
      <c r="E80" s="231">
        <v>7.96</v>
      </c>
      <c r="F80" s="126"/>
    </row>
    <row r="81" spans="1:6" ht="12.75" customHeight="1">
      <c r="A81" s="79">
        <v>36614</v>
      </c>
      <c r="B81" s="95" t="str">
        <f>TiposLancamentos!B5</f>
        <v>Supermercado</v>
      </c>
      <c r="C81" s="477" t="s">
        <v>14609</v>
      </c>
      <c r="D81" s="647"/>
      <c r="E81" s="589">
        <v>7.54</v>
      </c>
      <c r="F81" s="458"/>
    </row>
    <row r="82" spans="1:6" ht="12.75" customHeight="1">
      <c r="A82" s="75"/>
      <c r="B82" s="86"/>
      <c r="C82" s="52" t="s">
        <v>23167</v>
      </c>
      <c r="D82" s="63"/>
      <c r="E82" s="231"/>
      <c r="F82" s="224">
        <f>SUM(E73:E81)</f>
        <v>94.47</v>
      </c>
    </row>
    <row r="83" spans="1:6" ht="12.75" customHeight="1">
      <c r="A83" s="75">
        <v>36626</v>
      </c>
      <c r="B83" s="86" t="str">
        <f>TiposLancamentos!B15</f>
        <v>Cartões de Crédito</v>
      </c>
      <c r="C83" s="52" t="s">
        <v>23140</v>
      </c>
      <c r="D83" s="63">
        <v>94.47</v>
      </c>
      <c r="E83" s="646"/>
      <c r="F83" s="126"/>
    </row>
    <row r="84" spans="1:6" ht="12.75" customHeight="1">
      <c r="A84" s="75">
        <v>36626</v>
      </c>
      <c r="B84" s="86" t="str">
        <f>TiposLancamentos!B26</f>
        <v>LIVROS</v>
      </c>
      <c r="C84" s="52" t="s">
        <v>23168</v>
      </c>
      <c r="D84" s="651"/>
      <c r="E84" s="231">
        <v>205</v>
      </c>
      <c r="F84" s="126"/>
    </row>
    <row r="85" spans="1:6" ht="12.75" customHeight="1">
      <c r="A85" s="75">
        <v>36627</v>
      </c>
      <c r="B85" s="86" t="str">
        <f>TiposLancamentos!B5</f>
        <v>Supermercado</v>
      </c>
      <c r="C85" s="52" t="s">
        <v>14609</v>
      </c>
      <c r="D85" s="587"/>
      <c r="E85" s="231">
        <v>14.7</v>
      </c>
      <c r="F85" s="126"/>
    </row>
    <row r="86" spans="1:6" ht="12.75" customHeight="1">
      <c r="A86" s="75">
        <v>36628</v>
      </c>
      <c r="B86" s="86" t="str">
        <f>TiposLancamentos!B26</f>
        <v>LIVROS</v>
      </c>
      <c r="C86" s="52" t="s">
        <v>23169</v>
      </c>
      <c r="D86" s="650"/>
      <c r="E86" s="231">
        <v>63.96</v>
      </c>
      <c r="F86" s="126"/>
    </row>
    <row r="87" spans="1:6" ht="12.75" customHeight="1">
      <c r="A87" s="75">
        <v>36634</v>
      </c>
      <c r="B87" s="86" t="str">
        <f>TiposLancamentos!B5</f>
        <v>Supermercado</v>
      </c>
      <c r="C87" s="52" t="s">
        <v>14609</v>
      </c>
      <c r="D87" s="587"/>
      <c r="E87" s="231">
        <v>7.9</v>
      </c>
      <c r="F87" s="126"/>
    </row>
    <row r="88" spans="1:6" ht="12.75" customHeight="1">
      <c r="A88" s="75">
        <v>36636</v>
      </c>
      <c r="B88" s="86" t="str">
        <f>TiposLancamentos!B5</f>
        <v>Supermercado</v>
      </c>
      <c r="C88" s="52" t="s">
        <v>14609</v>
      </c>
      <c r="D88" s="587"/>
      <c r="E88" s="231">
        <v>19.399999999999999</v>
      </c>
      <c r="F88" s="126"/>
    </row>
    <row r="89" spans="1:6" ht="12.75" customHeight="1">
      <c r="A89" s="75">
        <v>36641</v>
      </c>
      <c r="B89" s="86" t="str">
        <f>TiposLancamentos!B25</f>
        <v>CD_DVD_BD</v>
      </c>
      <c r="C89" s="52" t="s">
        <v>23170</v>
      </c>
      <c r="D89" s="643"/>
      <c r="E89" s="231">
        <v>13.9</v>
      </c>
      <c r="F89" s="126"/>
    </row>
    <row r="90" spans="1:6" ht="12.75" customHeight="1">
      <c r="A90" s="75">
        <v>36642</v>
      </c>
      <c r="B90" s="86" t="str">
        <f>TiposLancamentos!B64</f>
        <v>Viagens</v>
      </c>
      <c r="C90" s="52" t="s">
        <v>23135</v>
      </c>
      <c r="D90" s="587"/>
      <c r="E90" s="231">
        <v>22.2</v>
      </c>
      <c r="F90" s="126"/>
    </row>
    <row r="91" spans="1:6" ht="12.75" customHeight="1">
      <c r="A91" s="83"/>
      <c r="B91" s="91"/>
      <c r="C91" s="43" t="s">
        <v>20465</v>
      </c>
      <c r="D91" s="93"/>
      <c r="E91" s="230"/>
      <c r="F91" s="223">
        <f>SUM(E82:E90)</f>
        <v>347.05999999999989</v>
      </c>
    </row>
    <row r="92" spans="1:6" ht="12.75" customHeight="1">
      <c r="A92" s="75">
        <v>36651</v>
      </c>
      <c r="B92" s="86" t="str">
        <f>TiposLancamentos!B64</f>
        <v>Viagens</v>
      </c>
      <c r="C92" s="52" t="s">
        <v>23135</v>
      </c>
      <c r="D92" s="587"/>
      <c r="E92" s="231">
        <v>20.69</v>
      </c>
      <c r="F92" s="126"/>
    </row>
    <row r="93" spans="1:6" ht="12.75" customHeight="1">
      <c r="A93" s="75">
        <v>36656</v>
      </c>
      <c r="B93" s="86" t="str">
        <f>TiposLancamentos!B15</f>
        <v>Cartões de Crédito</v>
      </c>
      <c r="C93" s="52" t="s">
        <v>23140</v>
      </c>
      <c r="D93" s="63">
        <v>347.76</v>
      </c>
      <c r="E93" s="646"/>
      <c r="F93" s="126"/>
    </row>
    <row r="94" spans="1:6" ht="12.75" customHeight="1">
      <c r="A94" s="75">
        <v>36662</v>
      </c>
      <c r="B94" s="86" t="str">
        <f>TiposLancamentos!B25</f>
        <v>CD_DVD_BD</v>
      </c>
      <c r="C94" s="52" t="s">
        <v>23171</v>
      </c>
      <c r="D94" s="644"/>
      <c r="E94" s="231">
        <v>35.43</v>
      </c>
      <c r="F94" s="126"/>
    </row>
    <row r="95" spans="1:6" ht="12.75" customHeight="1">
      <c r="A95" s="75">
        <v>36669</v>
      </c>
      <c r="B95" s="86" t="str">
        <f>TiposLancamentos!B5</f>
        <v>Supermercado</v>
      </c>
      <c r="C95" s="52" t="s">
        <v>14609</v>
      </c>
      <c r="D95" s="587"/>
      <c r="E95" s="231">
        <v>9.67</v>
      </c>
      <c r="F95" s="126"/>
    </row>
    <row r="96" spans="1:6" ht="12.75" customHeight="1">
      <c r="A96" s="79">
        <v>36667</v>
      </c>
      <c r="B96" s="95" t="str">
        <f>TiposLancamentos!B64</f>
        <v>Viagens</v>
      </c>
      <c r="C96" s="477" t="s">
        <v>23135</v>
      </c>
      <c r="D96" s="647"/>
      <c r="E96" s="589">
        <v>5.3</v>
      </c>
      <c r="F96" s="177"/>
    </row>
    <row r="97" spans="1:6" ht="12.75" customHeight="1">
      <c r="A97" s="75"/>
      <c r="B97" s="86"/>
      <c r="C97" s="52" t="s">
        <v>23172</v>
      </c>
      <c r="D97" s="63"/>
      <c r="E97" s="231"/>
      <c r="F97" s="224">
        <f>SUM(E91:E96)</f>
        <v>71.09</v>
      </c>
    </row>
    <row r="98" spans="1:6" ht="12.75" customHeight="1">
      <c r="A98" s="75">
        <v>36679</v>
      </c>
      <c r="B98" s="86" t="str">
        <f>TiposLancamentos!B15</f>
        <v>Cartões de Crédito</v>
      </c>
      <c r="C98" s="52" t="s">
        <v>23140</v>
      </c>
      <c r="D98" s="63">
        <v>71.09</v>
      </c>
      <c r="E98" s="649"/>
      <c r="F98" s="126"/>
    </row>
    <row r="99" spans="1:6" ht="12.75" customHeight="1">
      <c r="A99" s="75">
        <v>36680</v>
      </c>
      <c r="B99" s="86" t="str">
        <f>TiposLancamentos!B72</f>
        <v>Presentes</v>
      </c>
      <c r="C99" s="52" t="s">
        <v>23173</v>
      </c>
      <c r="D99" s="644"/>
      <c r="E99" s="231">
        <v>9.5</v>
      </c>
      <c r="F99" s="126"/>
    </row>
    <row r="100" spans="1:6" ht="12.75" customHeight="1">
      <c r="A100" s="75">
        <v>36680</v>
      </c>
      <c r="B100" s="86" t="str">
        <f>TiposLancamentos!B64</f>
        <v>Viagens</v>
      </c>
      <c r="C100" s="52" t="s">
        <v>23135</v>
      </c>
      <c r="D100" s="587"/>
      <c r="E100" s="231">
        <v>5.23</v>
      </c>
      <c r="F100" s="126"/>
    </row>
    <row r="101" spans="1:6" ht="12.75" customHeight="1">
      <c r="A101" s="75">
        <v>36680</v>
      </c>
      <c r="B101" s="86" t="str">
        <f>TiposLancamentos!B64</f>
        <v>Viagens</v>
      </c>
      <c r="C101" s="52" t="s">
        <v>23135</v>
      </c>
      <c r="D101" s="587"/>
      <c r="E101" s="231">
        <v>5.33</v>
      </c>
      <c r="F101" s="126"/>
    </row>
    <row r="102" spans="1:6" ht="12.75" customHeight="1">
      <c r="A102" s="75">
        <v>36682</v>
      </c>
      <c r="B102" s="86" t="str">
        <f>TiposLancamentos!B25</f>
        <v>CD_DVD_BD</v>
      </c>
      <c r="C102" s="52" t="s">
        <v>23174</v>
      </c>
      <c r="D102" s="648"/>
      <c r="E102" s="231">
        <v>18.8</v>
      </c>
      <c r="F102" s="126"/>
    </row>
    <row r="103" spans="1:6" ht="12.75" customHeight="1">
      <c r="A103" s="75">
        <v>36683</v>
      </c>
      <c r="B103" s="86" t="str">
        <f>TiposLancamentos!B25</f>
        <v>CD_DVD_BD</v>
      </c>
      <c r="C103" s="52" t="s">
        <v>23175</v>
      </c>
      <c r="D103" s="644"/>
      <c r="E103" s="231">
        <v>18.899999999999999</v>
      </c>
      <c r="F103" s="126"/>
    </row>
    <row r="104" spans="1:6" ht="12.75" customHeight="1">
      <c r="A104" s="75">
        <v>36690</v>
      </c>
      <c r="B104" s="86" t="str">
        <f>TiposLancamentos!B25</f>
        <v>CD_DVD_BD</v>
      </c>
      <c r="C104" s="52" t="s">
        <v>23176</v>
      </c>
      <c r="D104" s="648"/>
      <c r="E104" s="231">
        <v>13.9</v>
      </c>
      <c r="F104" s="126"/>
    </row>
    <row r="105" spans="1:6" ht="12.75" customHeight="1">
      <c r="A105" s="75">
        <v>36697</v>
      </c>
      <c r="B105" s="86" t="str">
        <f>TiposLancamentos!B25</f>
        <v>CD_DVD_BD</v>
      </c>
      <c r="C105" s="52" t="s">
        <v>23177</v>
      </c>
      <c r="D105" s="587"/>
      <c r="E105" s="231">
        <v>20.6</v>
      </c>
      <c r="F105" s="126"/>
    </row>
    <row r="106" spans="1:6" ht="12.75" customHeight="1">
      <c r="A106" s="75">
        <v>36700</v>
      </c>
      <c r="B106" s="86" t="str">
        <f>TiposLancamentos!B5</f>
        <v>Supermercado</v>
      </c>
      <c r="C106" s="52" t="s">
        <v>14609</v>
      </c>
      <c r="D106" s="587"/>
      <c r="E106" s="231">
        <v>6</v>
      </c>
      <c r="F106" s="126"/>
    </row>
    <row r="107" spans="1:6" ht="12.75" customHeight="1">
      <c r="A107" s="75">
        <v>36703</v>
      </c>
      <c r="B107" s="86" t="str">
        <f>TiposLancamentos!B5</f>
        <v>Supermercado</v>
      </c>
      <c r="C107" s="52" t="s">
        <v>14609</v>
      </c>
      <c r="D107" s="587"/>
      <c r="E107" s="231">
        <v>6.73</v>
      </c>
      <c r="F107" s="126"/>
    </row>
    <row r="108" spans="1:6" ht="12.75" customHeight="1">
      <c r="A108" s="83"/>
      <c r="B108" s="91"/>
      <c r="C108" s="43" t="s">
        <v>20469</v>
      </c>
      <c r="D108" s="93"/>
      <c r="E108" s="230"/>
      <c r="F108" s="223">
        <f>SUM(E98:E107)</f>
        <v>104.99</v>
      </c>
    </row>
    <row r="109" spans="1:6">
      <c r="A109" s="75">
        <v>36708</v>
      </c>
      <c r="B109" s="86" t="str">
        <f>TiposLancamentos!B64</f>
        <v>Viagens</v>
      </c>
      <c r="C109" s="52" t="s">
        <v>23135</v>
      </c>
      <c r="D109" s="587"/>
      <c r="E109" s="231">
        <v>22.9</v>
      </c>
      <c r="F109" s="126"/>
    </row>
    <row r="110" spans="1:6">
      <c r="A110" s="75">
        <v>36713</v>
      </c>
      <c r="B110" s="86" t="str">
        <f>TiposLancamentos!B25</f>
        <v>CD_DVD_BD</v>
      </c>
      <c r="C110" s="52" t="s">
        <v>23178</v>
      </c>
      <c r="D110" s="587"/>
      <c r="E110" s="231">
        <v>35.909999999999997</v>
      </c>
      <c r="F110" s="126"/>
    </row>
    <row r="111" spans="1:6" ht="12.75" customHeight="1">
      <c r="A111" s="75">
        <v>36717</v>
      </c>
      <c r="B111" s="86" t="str">
        <f>TiposLancamentos!B15</f>
        <v>Cartões de Crédito</v>
      </c>
      <c r="C111" s="52" t="s">
        <v>23140</v>
      </c>
      <c r="D111" s="63">
        <v>104.99</v>
      </c>
      <c r="E111" s="649"/>
      <c r="F111" s="126"/>
    </row>
    <row r="112" spans="1:6" ht="12.75" customHeight="1">
      <c r="A112" s="75">
        <v>36724</v>
      </c>
      <c r="B112" s="86" t="str">
        <f>TiposLancamentos!B5</f>
        <v>Supermercado</v>
      </c>
      <c r="C112" s="52" t="s">
        <v>14609</v>
      </c>
      <c r="D112" s="587"/>
      <c r="E112" s="231">
        <v>8.69</v>
      </c>
      <c r="F112" s="126"/>
    </row>
    <row r="113" spans="1:6" ht="12.75" customHeight="1">
      <c r="A113" s="79">
        <v>36724</v>
      </c>
      <c r="B113" s="95" t="str">
        <f>TiposLancamentos!B64</f>
        <v>Viagens</v>
      </c>
      <c r="C113" s="477" t="s">
        <v>23135</v>
      </c>
      <c r="D113" s="647"/>
      <c r="E113" s="589">
        <v>25.02</v>
      </c>
      <c r="F113" s="458"/>
    </row>
    <row r="114" spans="1:6" ht="12.75" customHeight="1">
      <c r="A114" s="75"/>
      <c r="B114" s="86"/>
      <c r="C114" s="52" t="s">
        <v>23179</v>
      </c>
      <c r="D114" s="63"/>
      <c r="E114" s="231"/>
      <c r="F114" s="224">
        <f>SUM(E109:E113)</f>
        <v>92.52</v>
      </c>
    </row>
    <row r="115" spans="1:6" ht="12.75" customHeight="1">
      <c r="A115" s="75">
        <v>36743</v>
      </c>
      <c r="B115" s="86" t="str">
        <f>TiposLancamentos!B5</f>
        <v>Supermercado</v>
      </c>
      <c r="C115" s="52" t="s">
        <v>14609</v>
      </c>
      <c r="D115" s="63"/>
      <c r="E115" s="231">
        <v>4.38</v>
      </c>
      <c r="F115" s="126"/>
    </row>
    <row r="116" spans="1:6" ht="12.75" customHeight="1">
      <c r="A116" s="75">
        <v>36746</v>
      </c>
      <c r="B116" s="86" t="str">
        <f>TiposLancamentos!B5</f>
        <v>Supermercado</v>
      </c>
      <c r="C116" s="52" t="s">
        <v>14609</v>
      </c>
      <c r="D116" s="63"/>
      <c r="E116" s="231">
        <v>5.34</v>
      </c>
      <c r="F116" s="126"/>
    </row>
    <row r="117" spans="1:6" ht="12.75" customHeight="1">
      <c r="A117" s="75">
        <v>36754</v>
      </c>
      <c r="B117" s="86" t="str">
        <f>TiposLancamentos!B15</f>
        <v>Cartões de Crédito</v>
      </c>
      <c r="C117" s="52" t="s">
        <v>23140</v>
      </c>
      <c r="D117" s="63">
        <v>92.52</v>
      </c>
      <c r="E117" s="231"/>
      <c r="F117" s="126"/>
    </row>
    <row r="118" spans="1:6" ht="12.75" customHeight="1">
      <c r="A118" s="75">
        <v>36763</v>
      </c>
      <c r="B118" s="86" t="str">
        <f>TiposLancamentos!B64</f>
        <v>Viagens</v>
      </c>
      <c r="C118" s="52" t="s">
        <v>23135</v>
      </c>
      <c r="D118" s="63"/>
      <c r="E118" s="231">
        <v>5.4</v>
      </c>
      <c r="F118" s="126"/>
    </row>
    <row r="119" spans="1:6" ht="12.75" customHeight="1">
      <c r="A119" s="75">
        <v>36764</v>
      </c>
      <c r="B119" s="86" t="str">
        <f>TiposLancamentos!B5</f>
        <v>Supermercado</v>
      </c>
      <c r="C119" s="52" t="s">
        <v>14609</v>
      </c>
      <c r="D119" s="63"/>
      <c r="E119" s="231">
        <v>5.16</v>
      </c>
      <c r="F119" s="126"/>
    </row>
    <row r="120" spans="1:6" ht="12.75" customHeight="1">
      <c r="A120" s="75">
        <v>36766</v>
      </c>
      <c r="B120" s="86" t="str">
        <f>TiposLancamentos!B5</f>
        <v>Supermercado</v>
      </c>
      <c r="C120" s="52" t="s">
        <v>14609</v>
      </c>
      <c r="D120" s="63"/>
      <c r="E120" s="231">
        <v>8</v>
      </c>
      <c r="F120" s="126"/>
    </row>
    <row r="121" spans="1:6" ht="12.75" customHeight="1">
      <c r="A121" s="75">
        <v>36768</v>
      </c>
      <c r="B121" s="86" t="str">
        <f>TiposLancamentos!B4</f>
        <v>Taxas Bancarias</v>
      </c>
      <c r="C121" s="52" t="s">
        <v>23180</v>
      </c>
      <c r="D121" s="63"/>
      <c r="E121" s="231">
        <v>3.87</v>
      </c>
      <c r="F121" s="224"/>
    </row>
    <row r="122" spans="1:6" ht="12.75" customHeight="1">
      <c r="A122" s="83"/>
      <c r="B122" s="91"/>
      <c r="C122" s="43" t="s">
        <v>23181</v>
      </c>
      <c r="D122" s="93"/>
      <c r="E122" s="230"/>
      <c r="F122" s="223">
        <f>SUM(E115:E121)</f>
        <v>32.15</v>
      </c>
    </row>
    <row r="123" spans="1:6" ht="12.75" customHeight="1">
      <c r="A123" s="75">
        <v>36770</v>
      </c>
      <c r="B123" s="86" t="str">
        <f>TiposLancamentos!B57</f>
        <v>Informática</v>
      </c>
      <c r="C123" s="52" t="s">
        <v>23151</v>
      </c>
      <c r="D123" s="63"/>
      <c r="E123" s="231">
        <v>11.75</v>
      </c>
      <c r="F123" s="126"/>
    </row>
    <row r="124" spans="1:6" ht="12.75" customHeight="1">
      <c r="A124" s="75">
        <v>36770</v>
      </c>
      <c r="B124" s="86" t="str">
        <f>TiposLancamentos!B56</f>
        <v>Farmácia</v>
      </c>
      <c r="C124" s="52" t="s">
        <v>23182</v>
      </c>
      <c r="D124" s="63"/>
      <c r="E124" s="231">
        <v>5.61</v>
      </c>
      <c r="F124" s="224"/>
    </row>
    <row r="125" spans="1:6" ht="12.75" customHeight="1">
      <c r="A125" s="75">
        <v>36770</v>
      </c>
      <c r="B125" s="86" t="str">
        <f>TiposLancamentos!B57</f>
        <v>Informática</v>
      </c>
      <c r="C125" s="52" t="s">
        <v>23183</v>
      </c>
      <c r="D125" s="63"/>
      <c r="E125" s="231">
        <v>38.950000000000003</v>
      </c>
      <c r="F125" s="126"/>
    </row>
    <row r="126" spans="1:6" ht="12.75" customHeight="1">
      <c r="A126" s="75">
        <v>36771</v>
      </c>
      <c r="B126" s="86" t="str">
        <f>TiposLancamentos!B64</f>
        <v>Viagens</v>
      </c>
      <c r="C126" s="52" t="s">
        <v>23135</v>
      </c>
      <c r="D126" s="63"/>
      <c r="E126" s="231">
        <v>5.63</v>
      </c>
      <c r="F126" s="126"/>
    </row>
    <row r="127" spans="1:6" ht="12.75" customHeight="1">
      <c r="A127" s="75">
        <v>36773</v>
      </c>
      <c r="B127" s="86" t="str">
        <f>TiposLancamentos!B72</f>
        <v>Presentes</v>
      </c>
      <c r="C127" s="52" t="s">
        <v>23184</v>
      </c>
      <c r="D127" s="63"/>
      <c r="E127" s="231">
        <v>19.670000000000002</v>
      </c>
      <c r="F127" s="126"/>
    </row>
    <row r="128" spans="1:6" ht="12.75" customHeight="1">
      <c r="A128" s="75">
        <v>36774</v>
      </c>
      <c r="B128" s="86" t="str">
        <f>TiposLancamentos!B26</f>
        <v>LIVROS</v>
      </c>
      <c r="C128" s="52" t="s">
        <v>23185</v>
      </c>
      <c r="D128" s="63"/>
      <c r="E128" s="231">
        <v>18.5</v>
      </c>
      <c r="F128" s="126"/>
    </row>
    <row r="129" spans="1:6" ht="12.75" customHeight="1">
      <c r="A129" s="75">
        <v>36775</v>
      </c>
      <c r="B129" s="86" t="str">
        <f>TiposLancamentos!B64</f>
        <v>Viagens</v>
      </c>
      <c r="C129" s="52" t="s">
        <v>23135</v>
      </c>
      <c r="D129" s="63"/>
      <c r="E129" s="231">
        <v>26.3</v>
      </c>
      <c r="F129" s="126"/>
    </row>
    <row r="130" spans="1:6" ht="12.75" customHeight="1">
      <c r="A130" s="75">
        <v>36779</v>
      </c>
      <c r="B130" s="86" t="str">
        <f>TiposLancamentos!B15</f>
        <v>Cartões de Crédito</v>
      </c>
      <c r="C130" s="52" t="s">
        <v>23140</v>
      </c>
      <c r="D130" s="63">
        <v>32.15</v>
      </c>
      <c r="E130" s="231"/>
      <c r="F130" s="126"/>
    </row>
    <row r="131" spans="1:6" ht="12.75" customHeight="1">
      <c r="A131" s="75">
        <v>36782</v>
      </c>
      <c r="B131" s="86" t="str">
        <f>TiposLancamentos!B72</f>
        <v>Presentes</v>
      </c>
      <c r="C131" s="52" t="s">
        <v>23186</v>
      </c>
      <c r="D131" s="63"/>
      <c r="E131" s="231">
        <v>8.14</v>
      </c>
      <c r="F131" s="126"/>
    </row>
    <row r="132" spans="1:6" ht="12.75" customHeight="1">
      <c r="A132" s="75">
        <v>36788</v>
      </c>
      <c r="B132" s="86" t="str">
        <f>TiposLancamentos!B5</f>
        <v>Supermercado</v>
      </c>
      <c r="C132" s="52" t="s">
        <v>14609</v>
      </c>
      <c r="D132" s="63"/>
      <c r="E132" s="231">
        <v>3.82</v>
      </c>
      <c r="F132" s="126"/>
    </row>
    <row r="133" spans="1:6" ht="12.75" customHeight="1">
      <c r="A133" s="75">
        <v>36792</v>
      </c>
      <c r="B133" s="86" t="str">
        <f>TiposLancamentos!B64</f>
        <v>Viagens</v>
      </c>
      <c r="C133" s="52" t="s">
        <v>23135</v>
      </c>
      <c r="D133" s="63"/>
      <c r="E133" s="231">
        <v>5.63</v>
      </c>
      <c r="F133" s="126"/>
    </row>
    <row r="134" spans="1:6">
      <c r="A134" s="79">
        <v>36795</v>
      </c>
      <c r="B134" s="95" t="str">
        <f>TiposLancamentos!B5</f>
        <v>Supermercado</v>
      </c>
      <c r="C134" s="477" t="s">
        <v>14609</v>
      </c>
      <c r="D134" s="85"/>
      <c r="E134" s="589">
        <v>4.1399999999999997</v>
      </c>
      <c r="F134" s="458"/>
    </row>
    <row r="135" spans="1:6">
      <c r="A135" s="75"/>
      <c r="B135" s="86"/>
      <c r="C135" s="52" t="s">
        <v>20481</v>
      </c>
      <c r="D135" s="63"/>
      <c r="E135" s="231"/>
      <c r="F135" s="224">
        <f>SUM(E123:E134)</f>
        <v>148.13999999999999</v>
      </c>
    </row>
    <row r="136" spans="1:6">
      <c r="A136" s="75">
        <v>36800</v>
      </c>
      <c r="B136" s="86" t="str">
        <f>TiposLancamentos!B64</f>
        <v>Viagens</v>
      </c>
      <c r="C136" s="52" t="s">
        <v>23187</v>
      </c>
      <c r="D136" s="63"/>
      <c r="E136" s="231">
        <v>5.32</v>
      </c>
      <c r="F136" s="126"/>
    </row>
    <row r="137" spans="1:6">
      <c r="A137" s="75">
        <v>36806</v>
      </c>
      <c r="B137" s="86" t="str">
        <f>TiposLancamentos!B64</f>
        <v>Viagens</v>
      </c>
      <c r="C137" s="52" t="s">
        <v>23135</v>
      </c>
      <c r="D137" s="63"/>
      <c r="E137" s="231">
        <v>5.63</v>
      </c>
      <c r="F137" s="126"/>
    </row>
    <row r="138" spans="1:6">
      <c r="A138" s="75">
        <v>36809</v>
      </c>
      <c r="B138" s="86" t="str">
        <f>TiposLancamentos!B15</f>
        <v>Cartões de Crédito</v>
      </c>
      <c r="C138" s="52" t="s">
        <v>5115</v>
      </c>
      <c r="D138" s="63">
        <v>148.13999999999999</v>
      </c>
      <c r="E138" s="231"/>
      <c r="F138" s="126"/>
    </row>
    <row r="139" spans="1:6">
      <c r="A139" s="75">
        <v>36809</v>
      </c>
      <c r="B139" s="86" t="str">
        <f>TiposLancamentos!B70</f>
        <v>Vestuário</v>
      </c>
      <c r="C139" s="52" t="s">
        <v>12701</v>
      </c>
      <c r="D139" s="63"/>
      <c r="E139" s="231">
        <v>56.3</v>
      </c>
      <c r="F139" s="126"/>
    </row>
    <row r="140" spans="1:6">
      <c r="A140" s="75">
        <v>36809</v>
      </c>
      <c r="B140" s="86" t="str">
        <f>TiposLancamentos!B4</f>
        <v>Taxas Bancarias</v>
      </c>
      <c r="C140" s="52" t="s">
        <v>23188</v>
      </c>
      <c r="D140" s="63"/>
      <c r="E140" s="231">
        <v>8</v>
      </c>
      <c r="F140" s="126"/>
    </row>
    <row r="141" spans="1:6">
      <c r="A141" s="75">
        <v>36811</v>
      </c>
      <c r="B141" s="86" t="str">
        <f>TiposLancamentos!B70</f>
        <v>Vestuário</v>
      </c>
      <c r="C141" s="52" t="s">
        <v>12703</v>
      </c>
      <c r="D141" s="63"/>
      <c r="E141" s="231">
        <v>33.799999999999997</v>
      </c>
      <c r="F141" s="126"/>
    </row>
    <row r="142" spans="1:6">
      <c r="A142" s="75">
        <v>36812</v>
      </c>
      <c r="B142" s="86" t="str">
        <f>TiposLancamentos!B5</f>
        <v>Supermercado</v>
      </c>
      <c r="C142" s="52" t="s">
        <v>2567</v>
      </c>
      <c r="D142" s="63"/>
      <c r="E142" s="231">
        <v>5.86</v>
      </c>
      <c r="F142" s="126"/>
    </row>
    <row r="143" spans="1:6">
      <c r="A143" s="75">
        <v>36822</v>
      </c>
      <c r="B143" s="86" t="str">
        <f>TiposLancamentos!B56</f>
        <v>Farmácia</v>
      </c>
      <c r="C143" s="52" t="s">
        <v>23182</v>
      </c>
      <c r="D143" s="63"/>
      <c r="E143" s="231">
        <v>12.5</v>
      </c>
      <c r="F143" s="126"/>
    </row>
    <row r="144" spans="1:6" ht="13.5" customHeight="1">
      <c r="A144" s="75">
        <v>36826</v>
      </c>
      <c r="B144" s="86" t="str">
        <f>TiposLancamentos!B64</f>
        <v>Viagens</v>
      </c>
      <c r="C144" s="52" t="s">
        <v>23189</v>
      </c>
      <c r="D144" s="63"/>
      <c r="E144" s="231">
        <v>24.1</v>
      </c>
      <c r="F144" s="126"/>
    </row>
    <row r="145" spans="1:6" ht="13.5" customHeight="1">
      <c r="A145" s="75">
        <v>36826</v>
      </c>
      <c r="B145" s="86" t="str">
        <f>TiposLancamentos!B4</f>
        <v>Taxas Bancarias</v>
      </c>
      <c r="C145" s="52" t="s">
        <v>23180</v>
      </c>
      <c r="D145" s="63"/>
      <c r="E145" s="231">
        <v>5.14</v>
      </c>
      <c r="F145" s="126"/>
    </row>
    <row r="146" spans="1:6">
      <c r="A146" s="83"/>
      <c r="B146" s="91"/>
      <c r="C146" s="43" t="s">
        <v>12704</v>
      </c>
      <c r="D146" s="93"/>
      <c r="E146" s="230"/>
      <c r="F146" s="223">
        <f>SUM(E136:E145)</f>
        <v>156.64999999999998</v>
      </c>
    </row>
    <row r="147" spans="1:6">
      <c r="A147" s="75">
        <v>36829</v>
      </c>
      <c r="B147" s="86" t="str">
        <f>TiposLancamentos!B5</f>
        <v>Supermercado</v>
      </c>
      <c r="C147" s="52" t="s">
        <v>14609</v>
      </c>
      <c r="D147" s="63"/>
      <c r="E147" s="231">
        <v>22.65</v>
      </c>
      <c r="F147" s="126"/>
    </row>
    <row r="148" spans="1:6">
      <c r="A148" s="75">
        <v>36829</v>
      </c>
      <c r="B148" s="86" t="str">
        <f>TiposLancamentos!B72</f>
        <v>Presentes</v>
      </c>
      <c r="C148" s="52" t="s">
        <v>23155</v>
      </c>
      <c r="D148" s="63"/>
      <c r="E148" s="231">
        <v>16.5</v>
      </c>
      <c r="F148" s="126"/>
    </row>
    <row r="149" spans="1:6">
      <c r="A149" s="75">
        <v>36835</v>
      </c>
      <c r="B149" s="86" t="str">
        <f>TiposLancamentos!B70</f>
        <v>Vestuário</v>
      </c>
      <c r="C149" s="52" t="s">
        <v>12706</v>
      </c>
      <c r="D149" s="63"/>
      <c r="E149" s="231">
        <v>58.14</v>
      </c>
      <c r="F149" s="126"/>
    </row>
    <row r="150" spans="1:6">
      <c r="A150" s="75">
        <v>36840</v>
      </c>
      <c r="B150" s="86" t="str">
        <f>TiposLancamentos!B70</f>
        <v>Vestuário</v>
      </c>
      <c r="C150" s="52" t="s">
        <v>12707</v>
      </c>
      <c r="D150" s="63"/>
      <c r="E150" s="231">
        <v>56.3</v>
      </c>
      <c r="F150" s="126"/>
    </row>
    <row r="151" spans="1:6">
      <c r="A151" s="75">
        <v>36842</v>
      </c>
      <c r="B151" s="86" t="str">
        <f>TiposLancamentos!B70</f>
        <v>Vestuário</v>
      </c>
      <c r="C151" s="52" t="s">
        <v>12708</v>
      </c>
      <c r="D151" s="63"/>
      <c r="E151" s="231">
        <v>33.799999999999997</v>
      </c>
      <c r="F151" s="126"/>
    </row>
    <row r="152" spans="1:6">
      <c r="A152" s="75">
        <v>36844</v>
      </c>
      <c r="B152" s="86" t="str">
        <f>TiposLancamentos!B15</f>
        <v>Cartões de Crédito</v>
      </c>
      <c r="C152" s="52" t="s">
        <v>14126</v>
      </c>
      <c r="D152" s="63">
        <v>156.65</v>
      </c>
      <c r="E152" s="231"/>
      <c r="F152" s="126"/>
    </row>
    <row r="153" spans="1:6">
      <c r="A153" s="79">
        <v>36845</v>
      </c>
      <c r="B153" s="95" t="str">
        <f>TiposLancamentos!B4</f>
        <v>Taxas Bancarias</v>
      </c>
      <c r="C153" s="477" t="s">
        <v>15004</v>
      </c>
      <c r="D153" s="85"/>
      <c r="E153" s="589">
        <v>2.2799999999999998</v>
      </c>
      <c r="F153" s="458"/>
    </row>
    <row r="154" spans="1:6">
      <c r="A154" s="75"/>
      <c r="B154" s="86"/>
      <c r="C154" s="52" t="s">
        <v>12711</v>
      </c>
      <c r="D154" s="63"/>
      <c r="E154" s="231"/>
      <c r="F154" s="224">
        <f>SUM(E147:E153)</f>
        <v>189.67</v>
      </c>
    </row>
    <row r="155" spans="1:6">
      <c r="A155" s="75">
        <v>36865</v>
      </c>
      <c r="B155" s="86" t="str">
        <f>TiposLancamentos!B70</f>
        <v>Vestuário</v>
      </c>
      <c r="C155" s="52" t="s">
        <v>12716</v>
      </c>
      <c r="D155" s="63"/>
      <c r="E155" s="231">
        <v>58.13</v>
      </c>
      <c r="F155" s="224"/>
    </row>
    <row r="156" spans="1:6">
      <c r="A156" s="75">
        <v>36870</v>
      </c>
      <c r="B156" s="86" t="str">
        <f>TiposLancamentos!B70</f>
        <v>Vestuário</v>
      </c>
      <c r="C156" s="52" t="s">
        <v>12717</v>
      </c>
      <c r="D156" s="63"/>
      <c r="E156" s="231">
        <v>56.3</v>
      </c>
      <c r="F156" s="224"/>
    </row>
    <row r="157" spans="1:6">
      <c r="A157" s="75">
        <v>36870</v>
      </c>
      <c r="B157" s="86" t="str">
        <f>TiposLancamentos!B15</f>
        <v>Cartões de Crédito</v>
      </c>
      <c r="C157" s="52" t="s">
        <v>14126</v>
      </c>
      <c r="D157" s="63">
        <v>189.67</v>
      </c>
      <c r="E157" s="231"/>
      <c r="F157" s="224"/>
    </row>
    <row r="158" spans="1:6">
      <c r="A158" s="75">
        <v>36872</v>
      </c>
      <c r="B158" s="86" t="str">
        <f>TiposLancamentos!B70</f>
        <v>Vestuário</v>
      </c>
      <c r="C158" s="52" t="s">
        <v>12718</v>
      </c>
      <c r="D158" s="63"/>
      <c r="E158" s="231">
        <v>33.799999999999997</v>
      </c>
      <c r="F158" s="224"/>
    </row>
    <row r="159" spans="1:6">
      <c r="A159" s="83"/>
      <c r="B159" s="91"/>
      <c r="C159" s="59" t="s">
        <v>12720</v>
      </c>
      <c r="D159" s="93"/>
      <c r="E159" s="230"/>
      <c r="F159" s="223">
        <f>SUM(E155:E158)</f>
        <v>148.23000000000002</v>
      </c>
    </row>
    <row r="160" spans="1:6">
      <c r="A160" s="75">
        <v>36896</v>
      </c>
      <c r="B160" s="86" t="str">
        <f>TiposLancamentos!B70</f>
        <v>Vestuário</v>
      </c>
      <c r="C160" s="52" t="s">
        <v>12722</v>
      </c>
      <c r="D160" s="63"/>
      <c r="E160" s="231">
        <v>58.13</v>
      </c>
      <c r="F160" s="224"/>
    </row>
    <row r="161" spans="1:6">
      <c r="A161" s="75">
        <v>36901</v>
      </c>
      <c r="B161" s="86" t="str">
        <f>TiposLancamentos!B15</f>
        <v>Cartões de Crédito</v>
      </c>
      <c r="C161" s="47" t="s">
        <v>14126</v>
      </c>
      <c r="D161" s="63">
        <v>148.22999999999999</v>
      </c>
      <c r="E161" s="231"/>
      <c r="F161" s="224"/>
    </row>
    <row r="162" spans="1:6">
      <c r="A162" s="75">
        <v>36912</v>
      </c>
      <c r="B162" s="86" t="str">
        <f>TiposLancamentos!B25</f>
        <v>CD_DVD_BD</v>
      </c>
      <c r="C162" s="47" t="s">
        <v>23190</v>
      </c>
      <c r="D162" s="63"/>
      <c r="E162" s="231">
        <v>26.9</v>
      </c>
      <c r="F162" s="224"/>
    </row>
    <row r="163" spans="1:6">
      <c r="A163" s="75">
        <v>36913</v>
      </c>
      <c r="B163" s="86" t="str">
        <f>TiposLancamentos!B25</f>
        <v>CD_DVD_BD</v>
      </c>
      <c r="C163" s="52" t="s">
        <v>23191</v>
      </c>
      <c r="D163" s="63"/>
      <c r="E163" s="231">
        <v>23.25</v>
      </c>
      <c r="F163" s="224"/>
    </row>
    <row r="164" spans="1:6">
      <c r="A164" s="75">
        <v>36913</v>
      </c>
      <c r="B164" s="86" t="str">
        <f>TiposLancamentos!B3</f>
        <v>Internet</v>
      </c>
      <c r="C164" s="52" t="s">
        <v>23192</v>
      </c>
      <c r="D164" s="63"/>
      <c r="E164" s="231">
        <v>24.95</v>
      </c>
      <c r="F164" s="224"/>
    </row>
    <row r="165" spans="1:6">
      <c r="A165" s="79">
        <v>36915</v>
      </c>
      <c r="B165" s="95" t="str">
        <f>TiposLancamentos!B64</f>
        <v>Viagens</v>
      </c>
      <c r="C165" s="477" t="s">
        <v>12107</v>
      </c>
      <c r="D165" s="85"/>
      <c r="E165" s="589">
        <v>26.54</v>
      </c>
      <c r="F165" s="177"/>
    </row>
    <row r="166" spans="1:6">
      <c r="A166" s="75"/>
      <c r="B166" s="86"/>
      <c r="C166" s="52" t="s">
        <v>15917</v>
      </c>
      <c r="D166" s="63"/>
      <c r="E166" s="231"/>
      <c r="F166" s="224">
        <f>SUM(E159:E165)</f>
        <v>159.76999999999998</v>
      </c>
    </row>
    <row r="167" spans="1:6">
      <c r="A167" s="75">
        <v>36932</v>
      </c>
      <c r="B167" s="86" t="str">
        <f>TiposLancamentos!B15</f>
        <v>Cartões de Crédito</v>
      </c>
      <c r="C167" s="47" t="s">
        <v>14126</v>
      </c>
      <c r="D167" s="63">
        <v>159.77000000000001</v>
      </c>
      <c r="E167" s="231"/>
      <c r="F167" s="224"/>
    </row>
    <row r="168" spans="1:6">
      <c r="A168" s="75">
        <v>36934</v>
      </c>
      <c r="B168" s="86" t="str">
        <f>TiposLancamentos!B26</f>
        <v>LIVROS</v>
      </c>
      <c r="C168" s="52" t="s">
        <v>23193</v>
      </c>
      <c r="D168" s="63"/>
      <c r="E168" s="231">
        <v>56.5</v>
      </c>
      <c r="F168" s="224"/>
    </row>
    <row r="169" spans="1:6">
      <c r="A169" s="75">
        <v>36934</v>
      </c>
      <c r="B169" s="86" t="str">
        <f>TiposLancamentos!B57</f>
        <v>Informática</v>
      </c>
      <c r="C169" s="52" t="s">
        <v>23194</v>
      </c>
      <c r="D169" s="63"/>
      <c r="E169" s="231">
        <v>18.75</v>
      </c>
      <c r="F169" s="224"/>
    </row>
    <row r="170" spans="1:6">
      <c r="A170" s="75">
        <v>36938</v>
      </c>
      <c r="B170" s="86" t="str">
        <f>TiposLancamentos!B5</f>
        <v>Supermercado</v>
      </c>
      <c r="C170" s="52" t="s">
        <v>20466</v>
      </c>
      <c r="D170" s="63"/>
      <c r="E170" s="231">
        <v>9.5</v>
      </c>
      <c r="F170" s="224"/>
    </row>
    <row r="171" spans="1:6">
      <c r="A171" s="83"/>
      <c r="B171" s="91"/>
      <c r="C171" s="43" t="s">
        <v>23195</v>
      </c>
      <c r="D171" s="93"/>
      <c r="E171" s="230"/>
      <c r="F171" s="223">
        <f>SUM(E166:E170)</f>
        <v>84.75</v>
      </c>
    </row>
    <row r="172" spans="1:6">
      <c r="A172" s="75">
        <v>36950</v>
      </c>
      <c r="B172" s="86" t="str">
        <f>TiposLancamentos!B5</f>
        <v>Supermercado</v>
      </c>
      <c r="C172" s="52" t="s">
        <v>23196</v>
      </c>
      <c r="D172" s="63"/>
      <c r="E172" s="231">
        <v>5.16</v>
      </c>
      <c r="F172" s="224"/>
    </row>
    <row r="173" spans="1:6">
      <c r="A173" s="75">
        <v>36953</v>
      </c>
      <c r="B173" s="86" t="str">
        <f>TiposLancamentos!B5</f>
        <v>Supermercado</v>
      </c>
      <c r="C173" s="52" t="s">
        <v>23197</v>
      </c>
      <c r="D173" s="63"/>
      <c r="E173" s="231">
        <v>5.7</v>
      </c>
      <c r="F173" s="224"/>
    </row>
    <row r="174" spans="1:6">
      <c r="A174" s="75">
        <v>36953</v>
      </c>
      <c r="B174" s="86" t="str">
        <f>TiposLancamentos!B62</f>
        <v>Papelaria</v>
      </c>
      <c r="C174" s="52" t="s">
        <v>23198</v>
      </c>
      <c r="D174" s="63"/>
      <c r="E174" s="231">
        <v>7.9</v>
      </c>
      <c r="F174" s="224"/>
    </row>
    <row r="175" spans="1:6">
      <c r="A175" s="75">
        <v>36956</v>
      </c>
      <c r="B175" s="86" t="str">
        <f>TiposLancamentos!B15</f>
        <v>Cartões de Crédito</v>
      </c>
      <c r="C175" s="52" t="s">
        <v>14142</v>
      </c>
      <c r="D175" s="63">
        <v>84.75</v>
      </c>
      <c r="E175" s="231"/>
      <c r="F175" s="224"/>
    </row>
    <row r="176" spans="1:6">
      <c r="A176" s="75">
        <v>36958</v>
      </c>
      <c r="B176" s="86" t="str">
        <f>TiposLancamentos!B25</f>
        <v>CD_DVD_BD</v>
      </c>
      <c r="C176" s="52" t="s">
        <v>23199</v>
      </c>
      <c r="D176" s="63"/>
      <c r="E176" s="231">
        <v>10.9</v>
      </c>
      <c r="F176" s="224"/>
    </row>
    <row r="177" spans="1:6">
      <c r="A177" s="79">
        <v>36970</v>
      </c>
      <c r="B177" s="95" t="str">
        <f>TiposLancamentos!B72</f>
        <v>Presentes</v>
      </c>
      <c r="C177" s="477" t="s">
        <v>23200</v>
      </c>
      <c r="D177" s="85"/>
      <c r="E177" s="589">
        <v>24</v>
      </c>
      <c r="F177" s="177"/>
    </row>
    <row r="178" spans="1:6">
      <c r="A178" s="75"/>
      <c r="B178" s="86"/>
      <c r="C178" s="47" t="s">
        <v>12732</v>
      </c>
      <c r="D178" s="63"/>
      <c r="E178" s="231"/>
      <c r="F178" s="224">
        <f>SUM(E171:E177)</f>
        <v>53.66</v>
      </c>
    </row>
    <row r="179" spans="1:6">
      <c r="A179" s="75">
        <v>36984</v>
      </c>
      <c r="B179" s="86" t="str">
        <f>TiposLancamentos!B72</f>
        <v>Presentes</v>
      </c>
      <c r="C179" s="128" t="s">
        <v>23201</v>
      </c>
      <c r="E179" s="231">
        <v>36.9</v>
      </c>
      <c r="F179" s="224"/>
    </row>
    <row r="180" spans="1:6">
      <c r="A180" s="75">
        <v>36991</v>
      </c>
      <c r="B180" s="86" t="str">
        <f>TiposLancamentos!B15</f>
        <v>Cartões de Crédito</v>
      </c>
      <c r="C180" s="52" t="s">
        <v>14142</v>
      </c>
      <c r="D180" s="63">
        <v>53.66</v>
      </c>
      <c r="E180" s="231"/>
      <c r="F180" s="224"/>
    </row>
    <row r="181" spans="1:6">
      <c r="A181" s="75">
        <v>36993</v>
      </c>
      <c r="B181" s="86" t="str">
        <f>TiposLancamentos!B25</f>
        <v>CD_DVD_BD</v>
      </c>
      <c r="C181" s="52" t="s">
        <v>23202</v>
      </c>
      <c r="D181" s="63"/>
      <c r="E181" s="231">
        <v>45.8</v>
      </c>
      <c r="F181" s="224"/>
    </row>
    <row r="182" spans="1:6">
      <c r="A182" s="75">
        <v>36995</v>
      </c>
      <c r="B182" s="86" t="str">
        <f>TiposLancamentos!B5</f>
        <v>Supermercado</v>
      </c>
      <c r="C182" s="52" t="s">
        <v>2567</v>
      </c>
      <c r="D182" s="63"/>
      <c r="E182" s="231">
        <v>12.35</v>
      </c>
      <c r="F182" s="224"/>
    </row>
    <row r="183" spans="1:6">
      <c r="A183" s="75">
        <v>36995</v>
      </c>
      <c r="B183" s="86" t="str">
        <f>TiposLancamentos!B71</f>
        <v>Itens Pessoais</v>
      </c>
      <c r="C183" s="52" t="s">
        <v>23203</v>
      </c>
      <c r="D183" s="63"/>
      <c r="E183" s="231">
        <v>35</v>
      </c>
      <c r="F183" s="224"/>
    </row>
    <row r="184" spans="1:6">
      <c r="A184" s="75">
        <v>36998</v>
      </c>
      <c r="B184" s="86" t="str">
        <f>TiposLancamentos!B27</f>
        <v>Jornais e revistas</v>
      </c>
      <c r="C184" s="52" t="s">
        <v>23204</v>
      </c>
      <c r="D184" s="63"/>
      <c r="E184" s="231">
        <v>54</v>
      </c>
      <c r="F184" s="224"/>
    </row>
    <row r="185" spans="1:6">
      <c r="A185" s="75">
        <v>37004</v>
      </c>
      <c r="B185" s="86" t="str">
        <f>TiposLancamentos!B70</f>
        <v>Vestuário</v>
      </c>
      <c r="C185" s="52" t="s">
        <v>23205</v>
      </c>
      <c r="D185" s="63"/>
      <c r="E185" s="231">
        <v>58.34</v>
      </c>
      <c r="F185" s="224"/>
    </row>
    <row r="186" spans="1:6">
      <c r="A186" s="83"/>
      <c r="B186" s="91"/>
      <c r="C186" s="43" t="s">
        <v>12737</v>
      </c>
      <c r="D186" s="93"/>
      <c r="E186" s="230"/>
      <c r="F186" s="223">
        <f>SUM(E178:E185)</f>
        <v>242.39</v>
      </c>
    </row>
    <row r="187" spans="1:6">
      <c r="A187" s="75">
        <v>37015</v>
      </c>
      <c r="B187" s="86" t="str">
        <f>TiposLancamentos!B15</f>
        <v>Cartões de Crédito</v>
      </c>
      <c r="C187" s="52" t="s">
        <v>14126</v>
      </c>
      <c r="D187" s="63">
        <v>242.39</v>
      </c>
      <c r="E187" s="231"/>
      <c r="F187" s="224"/>
    </row>
    <row r="188" spans="1:6">
      <c r="A188" s="75">
        <v>37019</v>
      </c>
      <c r="B188" s="86" t="str">
        <f>TiposLancamentos!B26</f>
        <v>LIVROS</v>
      </c>
      <c r="C188" s="52" t="s">
        <v>45</v>
      </c>
      <c r="D188" s="63"/>
      <c r="E188" s="231">
        <v>48.6</v>
      </c>
      <c r="F188" s="224"/>
    </row>
    <row r="189" spans="1:6">
      <c r="A189" s="75">
        <v>37024</v>
      </c>
      <c r="B189" s="86" t="str">
        <f>TiposLancamentos!B19</f>
        <v>Restaurantes</v>
      </c>
      <c r="C189" s="52" t="s">
        <v>14622</v>
      </c>
      <c r="D189" s="63"/>
      <c r="E189" s="231">
        <v>16.100000000000001</v>
      </c>
      <c r="F189" s="224"/>
    </row>
    <row r="190" spans="1:6">
      <c r="A190" s="75">
        <v>37029</v>
      </c>
      <c r="B190" s="86" t="str">
        <f>TiposLancamentos!B64</f>
        <v>Viagens</v>
      </c>
      <c r="C190" s="52" t="s">
        <v>12107</v>
      </c>
      <c r="D190" s="63"/>
      <c r="E190" s="231">
        <v>26.54</v>
      </c>
      <c r="F190" s="224"/>
    </row>
    <row r="191" spans="1:6">
      <c r="A191" s="75">
        <v>37034</v>
      </c>
      <c r="B191" s="86" t="str">
        <f>TiposLancamentos!B70</f>
        <v>Vestuário</v>
      </c>
      <c r="C191" s="52" t="s">
        <v>23206</v>
      </c>
      <c r="D191" s="63"/>
      <c r="E191" s="231">
        <v>58.33</v>
      </c>
      <c r="F191" s="224"/>
    </row>
    <row r="192" spans="1:6">
      <c r="A192" s="79">
        <v>37038</v>
      </c>
      <c r="B192" s="95" t="str">
        <f>TiposLancamentos!B19</f>
        <v>Restaurantes</v>
      </c>
      <c r="C192" s="477" t="s">
        <v>2654</v>
      </c>
      <c r="D192" s="85"/>
      <c r="E192" s="589">
        <v>6</v>
      </c>
      <c r="F192" s="177"/>
    </row>
    <row r="193" spans="1:6">
      <c r="A193" s="75"/>
      <c r="B193" s="86"/>
      <c r="C193" s="52" t="s">
        <v>12740</v>
      </c>
      <c r="D193" s="63"/>
      <c r="E193" s="231"/>
      <c r="F193" s="224">
        <f>SUM(E186:E192)</f>
        <v>155.57</v>
      </c>
    </row>
    <row r="194" spans="1:6">
      <c r="A194" s="75">
        <v>37049</v>
      </c>
      <c r="B194" s="86" t="str">
        <f>TiposLancamentos!B71</f>
        <v>Itens Pessoais</v>
      </c>
      <c r="C194" s="52" t="s">
        <v>23207</v>
      </c>
      <c r="D194" s="63"/>
      <c r="E194" s="231">
        <v>10</v>
      </c>
      <c r="F194" s="224"/>
    </row>
    <row r="195" spans="1:6">
      <c r="A195" s="75">
        <v>37051</v>
      </c>
      <c r="B195" s="86" t="str">
        <f>TiposLancamentos!B70</f>
        <v>Vestuário</v>
      </c>
      <c r="C195" s="52" t="s">
        <v>12706</v>
      </c>
      <c r="D195" s="63"/>
      <c r="E195" s="231">
        <v>49.86</v>
      </c>
      <c r="F195" s="224"/>
    </row>
    <row r="196" spans="1:6">
      <c r="A196" s="75">
        <v>37051</v>
      </c>
      <c r="B196" s="86" t="str">
        <f>TiposLancamentos!B70</f>
        <v>Vestuário</v>
      </c>
      <c r="C196" s="52" t="s">
        <v>23208</v>
      </c>
      <c r="D196" s="63"/>
      <c r="E196" s="231">
        <v>24.9</v>
      </c>
      <c r="F196" s="224"/>
    </row>
    <row r="197" spans="1:6">
      <c r="A197" s="75">
        <v>37053</v>
      </c>
      <c r="B197" s="86" t="str">
        <f>TiposLancamentos!B15</f>
        <v>Cartões de Crédito</v>
      </c>
      <c r="C197" s="52" t="s">
        <v>14126</v>
      </c>
      <c r="D197" s="63">
        <v>155.6</v>
      </c>
      <c r="E197" s="231"/>
      <c r="F197" s="224"/>
    </row>
    <row r="198" spans="1:6">
      <c r="A198" s="75">
        <v>37065</v>
      </c>
      <c r="B198" s="86" t="str">
        <f>TiposLancamentos!B70</f>
        <v>Vestuário</v>
      </c>
      <c r="C198" s="52" t="s">
        <v>23209</v>
      </c>
      <c r="D198" s="63"/>
      <c r="E198" s="231">
        <v>58.33</v>
      </c>
      <c r="F198" s="224"/>
    </row>
    <row r="199" spans="1:6">
      <c r="A199" s="83"/>
      <c r="B199" s="91"/>
      <c r="C199" s="43" t="s">
        <v>12744</v>
      </c>
      <c r="D199" s="93"/>
      <c r="E199" s="230"/>
      <c r="F199" s="223">
        <f>SUM(E193:E198)</f>
        <v>143.08999999999997</v>
      </c>
    </row>
    <row r="200" spans="1:6">
      <c r="A200" s="75">
        <v>37081</v>
      </c>
      <c r="B200" s="86" t="str">
        <f>TiposLancamentos!B70</f>
        <v>Vestuário</v>
      </c>
      <c r="C200" s="52" t="s">
        <v>12716</v>
      </c>
      <c r="D200" s="63"/>
      <c r="E200" s="231">
        <v>49.86</v>
      </c>
      <c r="F200" s="224"/>
    </row>
    <row r="201" spans="1:6">
      <c r="A201" s="75">
        <v>37081</v>
      </c>
      <c r="B201" s="86" t="str">
        <f>TiposLancamentos!B26</f>
        <v>LIVROS</v>
      </c>
      <c r="C201" s="52" t="s">
        <v>23210</v>
      </c>
      <c r="D201" s="63"/>
      <c r="E201" s="231">
        <v>32.799999999999997</v>
      </c>
      <c r="F201" s="224"/>
    </row>
    <row r="202" spans="1:6">
      <c r="A202" s="75">
        <v>37082</v>
      </c>
      <c r="B202" s="86" t="str">
        <f>TiposLancamentos!B15</f>
        <v>Cartões de Crédito</v>
      </c>
      <c r="C202" s="52" t="s">
        <v>14126</v>
      </c>
      <c r="D202" s="63">
        <v>143.11000000000001</v>
      </c>
      <c r="E202" s="652"/>
      <c r="F202" s="224"/>
    </row>
    <row r="203" spans="1:6">
      <c r="A203" s="79">
        <v>37094</v>
      </c>
      <c r="B203" s="95" t="str">
        <f>TiposLancamentos!B70</f>
        <v>Vestuário</v>
      </c>
      <c r="C203" s="477" t="s">
        <v>23211</v>
      </c>
      <c r="D203" s="85"/>
      <c r="E203" s="589">
        <v>44.9</v>
      </c>
      <c r="F203" s="177"/>
    </row>
    <row r="204" spans="1:6">
      <c r="A204" s="75"/>
      <c r="B204" s="86"/>
      <c r="C204" s="52" t="s">
        <v>15953</v>
      </c>
      <c r="D204" s="63"/>
      <c r="E204" s="231"/>
      <c r="F204" s="224">
        <f>SUM(E199:E203)</f>
        <v>127.56</v>
      </c>
    </row>
    <row r="205" spans="1:6">
      <c r="A205" s="75">
        <v>37106</v>
      </c>
      <c r="B205" s="86" t="str">
        <f>TiposLancamentos!B57</f>
        <v>Informática</v>
      </c>
      <c r="C205" s="52" t="s">
        <v>23212</v>
      </c>
      <c r="D205" s="63"/>
      <c r="E205" s="231">
        <v>74.400000000000006</v>
      </c>
      <c r="F205" s="224"/>
    </row>
    <row r="206" spans="1:6">
      <c r="A206" s="75">
        <v>37109</v>
      </c>
      <c r="B206" s="86" t="str">
        <f>TiposLancamentos!B15</f>
        <v>Cartões de Crédito</v>
      </c>
      <c r="C206" s="52" t="s">
        <v>14126</v>
      </c>
      <c r="D206" s="63">
        <v>78</v>
      </c>
      <c r="E206" s="231"/>
      <c r="F206" s="224"/>
    </row>
    <row r="207" spans="1:6">
      <c r="A207" s="75">
        <v>37112</v>
      </c>
      <c r="B207" s="86" t="str">
        <f>TiposLancamentos!B70</f>
        <v>Vestuário</v>
      </c>
      <c r="C207" s="52" t="s">
        <v>12722</v>
      </c>
      <c r="D207" s="63"/>
      <c r="E207" s="231">
        <v>49.86</v>
      </c>
      <c r="F207" s="224"/>
    </row>
    <row r="208" spans="1:6">
      <c r="A208" s="75">
        <v>37112</v>
      </c>
      <c r="B208" s="86" t="str">
        <f>TiposLancamentos!B3</f>
        <v>Internet</v>
      </c>
      <c r="C208" s="52" t="s">
        <v>15207</v>
      </c>
      <c r="D208" s="63"/>
      <c r="E208" s="231">
        <v>24.9</v>
      </c>
      <c r="F208" s="224"/>
    </row>
    <row r="209" spans="1:6">
      <c r="A209" s="75">
        <v>37116</v>
      </c>
      <c r="B209" s="86" t="str">
        <f>TiposLancamentos!B72</f>
        <v>Presentes</v>
      </c>
      <c r="C209" s="52" t="s">
        <v>23213</v>
      </c>
      <c r="D209" s="63"/>
      <c r="E209" s="231">
        <v>34.5</v>
      </c>
      <c r="F209" s="224"/>
    </row>
    <row r="210" spans="1:6">
      <c r="A210" s="75">
        <v>37123</v>
      </c>
      <c r="B210" s="86" t="str">
        <f>TiposLancamentos!B25</f>
        <v>CD_DVD_BD</v>
      </c>
      <c r="C210" s="52" t="s">
        <v>23214</v>
      </c>
      <c r="D210" s="63"/>
      <c r="E210" s="231">
        <v>20.9</v>
      </c>
      <c r="F210" s="224"/>
    </row>
    <row r="211" spans="1:6">
      <c r="A211" s="83"/>
      <c r="B211" s="91"/>
      <c r="C211" s="43" t="s">
        <v>12752</v>
      </c>
      <c r="D211" s="93"/>
      <c r="E211" s="230"/>
      <c r="F211" s="223">
        <f>SUM(E204:E210)</f>
        <v>204.56</v>
      </c>
    </row>
    <row r="212" spans="1:6">
      <c r="A212" s="75">
        <v>37144</v>
      </c>
      <c r="B212" s="86" t="str">
        <f>TiposLancamentos!B4</f>
        <v>Taxas Bancarias</v>
      </c>
      <c r="C212" s="52" t="s">
        <v>15004</v>
      </c>
      <c r="D212" s="63"/>
      <c r="E212" s="231">
        <v>36.57</v>
      </c>
      <c r="F212" s="224"/>
    </row>
    <row r="213" spans="1:6">
      <c r="A213" s="79">
        <v>37144</v>
      </c>
      <c r="B213" s="95" t="str">
        <f>TiposLancamentos!B4</f>
        <v>Taxas Bancarias</v>
      </c>
      <c r="C213" s="477" t="s">
        <v>15004</v>
      </c>
      <c r="D213" s="85"/>
      <c r="E213" s="589">
        <v>6.11</v>
      </c>
      <c r="F213" s="177"/>
    </row>
    <row r="214" spans="1:6">
      <c r="A214" s="75"/>
      <c r="B214" s="86"/>
      <c r="C214" s="52" t="s">
        <v>12755</v>
      </c>
      <c r="D214" s="63"/>
      <c r="E214" s="231"/>
      <c r="F214" s="224"/>
    </row>
    <row r="215" spans="1:6">
      <c r="A215" s="75">
        <v>37166</v>
      </c>
      <c r="B215" s="86" t="str">
        <f>TiposLancamentos!B15</f>
        <v>Cartões de Crédito</v>
      </c>
      <c r="C215" s="52" t="s">
        <v>14700</v>
      </c>
      <c r="D215" s="63">
        <v>86</v>
      </c>
      <c r="E215" s="231"/>
      <c r="F215" s="224"/>
    </row>
    <row r="216" spans="1:6">
      <c r="A216" s="75">
        <v>37169</v>
      </c>
      <c r="B216" s="86" t="str">
        <f>TiposLancamentos!B57</f>
        <v>Informática</v>
      </c>
      <c r="C216" s="52" t="s">
        <v>23215</v>
      </c>
      <c r="D216" s="63"/>
      <c r="E216" s="231">
        <v>57.7</v>
      </c>
      <c r="F216" s="224"/>
    </row>
    <row r="217" spans="1:6">
      <c r="A217" s="75">
        <v>37173</v>
      </c>
      <c r="B217" s="86" t="str">
        <f>TiposLancamentos!B15</f>
        <v>Cartões de Crédito</v>
      </c>
      <c r="C217" s="52" t="s">
        <v>14700</v>
      </c>
      <c r="D217" s="63">
        <v>212</v>
      </c>
      <c r="E217" s="231"/>
      <c r="F217" s="224"/>
    </row>
    <row r="218" spans="1:6">
      <c r="A218" s="83"/>
      <c r="B218" s="91"/>
      <c r="C218" s="43" t="s">
        <v>23216</v>
      </c>
      <c r="D218" s="93"/>
      <c r="E218" s="230"/>
      <c r="F218" s="223">
        <f>SUM(E214:E217)</f>
        <v>57.7</v>
      </c>
    </row>
    <row r="219" spans="1:6">
      <c r="A219" s="75">
        <v>37196</v>
      </c>
      <c r="B219" s="86" t="str">
        <f>TiposLancamentos!B25</f>
        <v>CD_DVD_BD</v>
      </c>
      <c r="C219" s="52" t="s">
        <v>23217</v>
      </c>
      <c r="D219" s="63"/>
      <c r="E219" s="231">
        <v>75.28</v>
      </c>
      <c r="F219" s="224"/>
    </row>
    <row r="220" spans="1:6">
      <c r="A220" s="75">
        <v>37200</v>
      </c>
      <c r="B220" s="86" t="str">
        <f>TiposLancamentos!B26</f>
        <v>LIVROS</v>
      </c>
      <c r="C220" s="52" t="s">
        <v>23218</v>
      </c>
      <c r="D220" s="63"/>
      <c r="E220" s="231">
        <v>56</v>
      </c>
      <c r="F220" s="224"/>
    </row>
    <row r="221" spans="1:6">
      <c r="A221" s="75">
        <v>37207</v>
      </c>
      <c r="B221" s="86" t="str">
        <f>TiposLancamentos!B5</f>
        <v>Supermercado</v>
      </c>
      <c r="C221" s="52" t="s">
        <v>2567</v>
      </c>
      <c r="D221" s="63"/>
      <c r="E221" s="231">
        <v>17.899999999999999</v>
      </c>
      <c r="F221" s="224"/>
    </row>
    <row r="222" spans="1:6">
      <c r="A222" s="75">
        <v>37207</v>
      </c>
      <c r="B222" s="86" t="str">
        <f>TiposLancamentos!B15</f>
        <v>Cartões de Crédito</v>
      </c>
      <c r="C222" s="52" t="s">
        <v>23219</v>
      </c>
      <c r="D222" s="63">
        <v>7</v>
      </c>
      <c r="E222" s="231"/>
      <c r="F222" s="224"/>
    </row>
    <row r="223" spans="1:6">
      <c r="A223" s="79">
        <v>37221</v>
      </c>
      <c r="B223" s="95" t="str">
        <f>TiposLancamentos!B15</f>
        <v>Cartões de Crédito</v>
      </c>
      <c r="C223" s="477" t="s">
        <v>23219</v>
      </c>
      <c r="D223" s="85">
        <v>50</v>
      </c>
      <c r="E223" s="589"/>
      <c r="F223" s="177"/>
    </row>
    <row r="224" spans="1:6">
      <c r="A224" s="75"/>
      <c r="B224" s="86"/>
      <c r="C224" s="52" t="s">
        <v>23220</v>
      </c>
      <c r="D224" s="63"/>
      <c r="E224" s="231"/>
      <c r="F224" s="224">
        <f>SUM(E218:E223)</f>
        <v>149.18</v>
      </c>
    </row>
    <row r="225" spans="1:6">
      <c r="A225" s="75">
        <v>37231</v>
      </c>
      <c r="B225" s="86" t="str">
        <f>TiposLancamentos!B57</f>
        <v>Informática</v>
      </c>
      <c r="C225" s="52" t="s">
        <v>23221</v>
      </c>
      <c r="D225" s="63"/>
      <c r="E225" s="231">
        <v>49.4</v>
      </c>
      <c r="F225" s="224"/>
    </row>
    <row r="226" spans="1:6">
      <c r="A226" s="75">
        <v>37233</v>
      </c>
      <c r="B226" s="86" t="str">
        <f>TiposLancamentos!B70</f>
        <v>Vestuário</v>
      </c>
      <c r="C226" s="52" t="s">
        <v>23222</v>
      </c>
      <c r="D226" s="63"/>
      <c r="E226" s="231">
        <v>49.9</v>
      </c>
      <c r="F226" s="224"/>
    </row>
    <row r="227" spans="1:6">
      <c r="A227" s="75">
        <v>37235</v>
      </c>
      <c r="B227" s="86" t="str">
        <f>TiposLancamentos!B15</f>
        <v>Cartões de Crédito</v>
      </c>
      <c r="C227" s="52" t="s">
        <v>14126</v>
      </c>
      <c r="D227" s="653">
        <v>151.35</v>
      </c>
      <c r="E227" s="231"/>
      <c r="F227" s="224"/>
    </row>
    <row r="228" spans="1:6">
      <c r="A228" s="75">
        <v>37239</v>
      </c>
      <c r="B228" s="86" t="str">
        <f>TiposLancamentos!B72</f>
        <v>Presentes</v>
      </c>
      <c r="C228" s="52" t="s">
        <v>23161</v>
      </c>
      <c r="D228" s="63"/>
      <c r="E228" s="231">
        <v>44.9</v>
      </c>
      <c r="F228" s="224"/>
    </row>
    <row r="229" spans="1:6">
      <c r="A229" s="75">
        <v>37240</v>
      </c>
      <c r="B229" s="86" t="str">
        <f>TiposLancamentos!B5</f>
        <v>Supermercado</v>
      </c>
      <c r="C229" s="52" t="s">
        <v>14609</v>
      </c>
      <c r="D229" s="63"/>
      <c r="E229" s="231">
        <v>17.899999999999999</v>
      </c>
      <c r="F229" s="224"/>
    </row>
    <row r="230" spans="1:6">
      <c r="A230" s="75">
        <v>37246</v>
      </c>
      <c r="B230" s="86" t="str">
        <f>TiposLancamentos!B5</f>
        <v>Supermercado</v>
      </c>
      <c r="C230" s="52" t="s">
        <v>1262</v>
      </c>
      <c r="D230" s="63"/>
      <c r="E230" s="231">
        <v>72.400000000000006</v>
      </c>
      <c r="F230" s="224"/>
    </row>
    <row r="231" spans="1:6">
      <c r="A231" s="83"/>
      <c r="B231" s="91"/>
      <c r="C231" s="43" t="s">
        <v>12764</v>
      </c>
      <c r="D231" s="93"/>
      <c r="E231" s="230"/>
      <c r="F231" s="223">
        <f>SUM(E224:E230)</f>
        <v>234.5</v>
      </c>
    </row>
    <row r="232" spans="1:6">
      <c r="A232" s="75">
        <v>37298</v>
      </c>
      <c r="B232" s="86" t="str">
        <f>TiposLancamentos!B4</f>
        <v>Taxas Bancarias</v>
      </c>
      <c r="C232" s="52" t="s">
        <v>23223</v>
      </c>
      <c r="D232" s="63"/>
      <c r="E232" s="231">
        <v>33.06</v>
      </c>
      <c r="F232" s="224"/>
    </row>
    <row r="233" spans="1:6">
      <c r="A233" s="79">
        <v>37300</v>
      </c>
      <c r="B233" s="95" t="str">
        <f>TiposLancamentos!B15</f>
        <v>Cartões de Crédito</v>
      </c>
      <c r="C233" s="477" t="s">
        <v>14935</v>
      </c>
      <c r="D233" s="85">
        <v>55.17</v>
      </c>
      <c r="E233" s="589"/>
      <c r="F233" s="177"/>
    </row>
    <row r="234" spans="1:6">
      <c r="A234" s="75"/>
      <c r="B234" s="86"/>
      <c r="C234" s="52" t="s">
        <v>12768</v>
      </c>
      <c r="D234" s="63"/>
      <c r="E234" s="231"/>
      <c r="F234" s="224">
        <f>SUM(E231:E233)</f>
        <v>33.06</v>
      </c>
    </row>
    <row r="235" spans="1:6">
      <c r="A235" s="75">
        <v>37300</v>
      </c>
      <c r="B235" s="86" t="str">
        <f>TiposLancamentos!B15</f>
        <v>Cartões de Crédito</v>
      </c>
      <c r="C235" s="52" t="s">
        <v>14126</v>
      </c>
      <c r="D235" s="63">
        <v>216</v>
      </c>
      <c r="E235" s="231"/>
      <c r="F235" s="224"/>
    </row>
    <row r="236" spans="1:6">
      <c r="A236" s="83"/>
      <c r="B236" s="91"/>
      <c r="C236" s="43" t="s">
        <v>12772</v>
      </c>
      <c r="D236" s="93"/>
      <c r="E236" s="230"/>
      <c r="F236" s="223">
        <f>SUM(E234:E235)</f>
        <v>0</v>
      </c>
    </row>
    <row r="237" spans="1:6">
      <c r="A237" s="79">
        <v>37328</v>
      </c>
      <c r="B237" s="95" t="str">
        <f>TiposLancamentos!B5</f>
        <v>Supermercado</v>
      </c>
      <c r="C237" s="477" t="s">
        <v>2567</v>
      </c>
      <c r="D237" s="85"/>
      <c r="E237" s="589">
        <v>10.55</v>
      </c>
      <c r="F237" s="177"/>
    </row>
    <row r="238" spans="1:6">
      <c r="A238" s="75"/>
      <c r="B238" s="86"/>
      <c r="C238" s="52" t="s">
        <v>23224</v>
      </c>
      <c r="D238" s="63"/>
      <c r="E238" s="231"/>
      <c r="F238" s="224">
        <f>SUM(E236:E237)</f>
        <v>10.55</v>
      </c>
    </row>
    <row r="239" spans="1:6">
      <c r="A239" s="75">
        <v>37350</v>
      </c>
      <c r="B239" s="86" t="str">
        <f>TiposLancamentos!B15</f>
        <v>Cartões de Crédito</v>
      </c>
      <c r="C239" s="52" t="s">
        <v>14126</v>
      </c>
      <c r="D239" s="63">
        <v>5</v>
      </c>
      <c r="E239" s="231"/>
      <c r="F239" s="224"/>
    </row>
    <row r="240" spans="1:6">
      <c r="A240" s="83"/>
      <c r="B240" s="91"/>
      <c r="C240" s="43" t="s">
        <v>12786</v>
      </c>
      <c r="D240" s="93"/>
      <c r="E240" s="230"/>
      <c r="F240" s="223">
        <f>SUM(E238:E239)</f>
        <v>0</v>
      </c>
    </row>
    <row r="241" spans="1:6">
      <c r="A241" s="79">
        <v>37377</v>
      </c>
      <c r="B241" s="95" t="str">
        <f>TiposLancamentos!B56</f>
        <v>Farmácia</v>
      </c>
      <c r="C241" s="477" t="s">
        <v>23225</v>
      </c>
      <c r="D241" s="85"/>
      <c r="E241" s="589">
        <v>16.84</v>
      </c>
      <c r="F241" s="177"/>
    </row>
    <row r="242" spans="1:6">
      <c r="A242" s="75"/>
      <c r="B242" s="86"/>
      <c r="C242" s="52" t="s">
        <v>12790</v>
      </c>
      <c r="D242" s="63"/>
      <c r="E242" s="231"/>
      <c r="F242" s="224">
        <f>SUM(E240:E241)</f>
        <v>16.84</v>
      </c>
    </row>
    <row r="243" spans="1:6">
      <c r="A243" s="75">
        <v>37413</v>
      </c>
      <c r="B243" s="86" t="str">
        <f>TiposLancamentos!B5</f>
        <v>Supermercado</v>
      </c>
      <c r="C243" s="52" t="s">
        <v>2567</v>
      </c>
      <c r="D243" s="63"/>
      <c r="E243" s="231">
        <v>7.51</v>
      </c>
      <c r="F243" s="224"/>
    </row>
    <row r="244" spans="1:6">
      <c r="A244" s="75">
        <v>37428</v>
      </c>
      <c r="B244" s="86" t="str">
        <f>TiposLancamentos!B5</f>
        <v>Supermercado</v>
      </c>
      <c r="C244" s="52" t="s">
        <v>14609</v>
      </c>
      <c r="D244" s="63"/>
      <c r="E244" s="231">
        <v>36.9</v>
      </c>
      <c r="F244" s="224"/>
    </row>
    <row r="245" spans="1:6">
      <c r="A245" s="75">
        <v>37428</v>
      </c>
      <c r="B245" s="86" t="str">
        <f>TiposLancamentos!B4</f>
        <v>Taxas Bancarias</v>
      </c>
      <c r="C245" s="52" t="s">
        <v>23226</v>
      </c>
      <c r="D245" s="63"/>
      <c r="E245" s="231">
        <v>2.42</v>
      </c>
      <c r="F245" s="224"/>
    </row>
    <row r="246" spans="1:6">
      <c r="A246" s="83"/>
      <c r="B246" s="91"/>
      <c r="C246" s="43" t="s">
        <v>12797</v>
      </c>
      <c r="D246" s="93"/>
      <c r="E246" s="230"/>
      <c r="F246" s="223">
        <f>SUM(E242:E245)</f>
        <v>46.83</v>
      </c>
    </row>
    <row r="247" spans="1:6">
      <c r="A247" s="75">
        <v>37438</v>
      </c>
      <c r="B247" s="86" t="str">
        <f>TiposLancamentos!B26</f>
        <v>LIVROS</v>
      </c>
      <c r="C247" s="52" t="s">
        <v>23227</v>
      </c>
      <c r="D247" s="63"/>
      <c r="E247" s="231">
        <v>18.899999999999999</v>
      </c>
      <c r="F247" s="224"/>
    </row>
    <row r="248" spans="1:6">
      <c r="A248" s="75">
        <v>37439</v>
      </c>
      <c r="B248" s="86" t="str">
        <f>TiposLancamentos!B15</f>
        <v>Cartões de Crédito</v>
      </c>
      <c r="C248" s="52" t="s">
        <v>23228</v>
      </c>
      <c r="D248" s="63">
        <v>63.67</v>
      </c>
      <c r="E248" s="231"/>
      <c r="F248" s="224"/>
    </row>
    <row r="249" spans="1:6">
      <c r="A249" s="75">
        <v>37450</v>
      </c>
      <c r="B249" s="86" t="str">
        <f>TiposLancamentos!B5</f>
        <v>Supermercado</v>
      </c>
      <c r="C249" s="52" t="s">
        <v>2567</v>
      </c>
      <c r="D249" s="63"/>
      <c r="E249" s="231">
        <v>21.97</v>
      </c>
      <c r="F249" s="224"/>
    </row>
    <row r="250" spans="1:6">
      <c r="A250" s="75">
        <v>37450</v>
      </c>
      <c r="B250" s="86" t="str">
        <f>TiposLancamentos!B13</f>
        <v>Moradia</v>
      </c>
      <c r="C250" s="52" t="s">
        <v>23229</v>
      </c>
      <c r="D250" s="63"/>
      <c r="E250" s="231">
        <v>33.5</v>
      </c>
      <c r="F250" s="224"/>
    </row>
    <row r="251" spans="1:6">
      <c r="A251" s="75">
        <v>37451</v>
      </c>
      <c r="B251" s="86" t="str">
        <f>TiposLancamentos!B5</f>
        <v>Supermercado</v>
      </c>
      <c r="C251" s="52" t="s">
        <v>14609</v>
      </c>
      <c r="D251" s="63"/>
      <c r="E251" s="231">
        <v>23.97</v>
      </c>
      <c r="F251" s="224"/>
    </row>
    <row r="252" spans="1:6">
      <c r="A252" s="79">
        <v>37466</v>
      </c>
      <c r="B252" s="95" t="str">
        <f>TiposLancamentos!B5</f>
        <v>Supermercado</v>
      </c>
      <c r="C252" s="477" t="s">
        <v>2567</v>
      </c>
      <c r="D252" s="85"/>
      <c r="E252" s="589">
        <v>27.52</v>
      </c>
      <c r="F252" s="177"/>
    </row>
    <row r="253" spans="1:6">
      <c r="A253" s="75"/>
      <c r="B253" s="86"/>
      <c r="C253" s="52" t="s">
        <v>12805</v>
      </c>
      <c r="D253" s="63"/>
      <c r="E253" s="231"/>
      <c r="F253" s="224">
        <f>SUM(E246:E252)</f>
        <v>125.86</v>
      </c>
    </row>
    <row r="254" spans="1:6">
      <c r="A254" s="75">
        <v>37478</v>
      </c>
      <c r="B254" s="86" t="str">
        <f>TiposLancamentos!B15</f>
        <v>Cartões de Crédito</v>
      </c>
      <c r="C254" s="52" t="s">
        <v>14142</v>
      </c>
      <c r="D254" s="63">
        <v>125.86</v>
      </c>
      <c r="E254" s="231"/>
      <c r="F254" s="224"/>
    </row>
    <row r="255" spans="1:6">
      <c r="A255" s="75">
        <v>37482</v>
      </c>
      <c r="B255" s="86" t="str">
        <f>TiposLancamentos!B13</f>
        <v>Moradia</v>
      </c>
      <c r="C255" s="52" t="s">
        <v>23230</v>
      </c>
      <c r="D255" s="63"/>
      <c r="E255" s="231">
        <v>33.5</v>
      </c>
      <c r="F255" s="224"/>
    </row>
    <row r="256" spans="1:6">
      <c r="A256" s="75">
        <v>37490</v>
      </c>
      <c r="B256" s="86" t="str">
        <f>TiposLancamentos!B25</f>
        <v>CD_DVD_BD</v>
      </c>
      <c r="C256" s="52" t="s">
        <v>12813</v>
      </c>
      <c r="D256" s="63"/>
      <c r="E256" s="231">
        <v>25.5</v>
      </c>
      <c r="F256" s="224"/>
    </row>
    <row r="257" spans="1:6">
      <c r="A257" s="83"/>
      <c r="B257" s="91"/>
      <c r="C257" s="43" t="s">
        <v>12814</v>
      </c>
      <c r="D257" s="93"/>
      <c r="E257" s="230"/>
      <c r="F257" s="223">
        <f>SUM(E253:E256)</f>
        <v>59</v>
      </c>
    </row>
    <row r="258" spans="1:6">
      <c r="A258" s="75">
        <v>37504</v>
      </c>
      <c r="B258" s="86" t="str">
        <f>TiposLancamentos!B15</f>
        <v>Cartões de Crédito</v>
      </c>
      <c r="C258" s="52" t="s">
        <v>23228</v>
      </c>
      <c r="D258" s="63">
        <v>60</v>
      </c>
      <c r="E258" s="231"/>
      <c r="F258" s="224"/>
    </row>
    <row r="259" spans="1:6">
      <c r="A259" s="75">
        <v>37512</v>
      </c>
      <c r="B259" s="86" t="str">
        <f>TiposLancamentos!B57</f>
        <v>Informática</v>
      </c>
      <c r="C259" s="52" t="s">
        <v>23231</v>
      </c>
      <c r="D259" s="63"/>
      <c r="E259" s="231">
        <v>95.25</v>
      </c>
      <c r="F259" s="224"/>
    </row>
    <row r="260" spans="1:6">
      <c r="A260" s="75">
        <v>37521</v>
      </c>
      <c r="B260" s="86" t="str">
        <f>TiposLancamentos!B25</f>
        <v>CD_DVD_BD</v>
      </c>
      <c r="C260" s="52" t="s">
        <v>12821</v>
      </c>
      <c r="D260" s="63"/>
      <c r="E260" s="231">
        <v>25.5</v>
      </c>
      <c r="F260" s="224"/>
    </row>
    <row r="261" spans="1:6">
      <c r="A261" s="79">
        <v>37527</v>
      </c>
      <c r="B261" s="95" t="str">
        <f>TiposLancamentos!B5</f>
        <v>Supermercado</v>
      </c>
      <c r="C261" s="477" t="s">
        <v>2567</v>
      </c>
      <c r="D261" s="85"/>
      <c r="E261" s="589">
        <v>14.1</v>
      </c>
      <c r="F261" s="177"/>
    </row>
    <row r="262" spans="1:6">
      <c r="A262" s="75"/>
      <c r="B262" s="86"/>
      <c r="C262" s="52" t="s">
        <v>20523</v>
      </c>
      <c r="D262" s="63"/>
      <c r="E262" s="231"/>
      <c r="F262" s="224">
        <f>SUM(E257:E261)</f>
        <v>134.85</v>
      </c>
    </row>
    <row r="263" spans="1:6">
      <c r="A263" s="75">
        <v>37539</v>
      </c>
      <c r="B263" s="86" t="str">
        <f>TiposLancamentos!B15</f>
        <v>Cartões de Crédito</v>
      </c>
      <c r="C263" s="52" t="s">
        <v>23232</v>
      </c>
      <c r="D263" s="63">
        <v>107.68</v>
      </c>
      <c r="E263" s="231"/>
      <c r="F263" s="224"/>
    </row>
    <row r="264" spans="1:6">
      <c r="A264" s="75">
        <v>37541</v>
      </c>
      <c r="B264" s="86" t="str">
        <f>TiposLancamentos!B25</f>
        <v>CD_DVD_BD</v>
      </c>
      <c r="C264" s="52" t="s">
        <v>23233</v>
      </c>
      <c r="D264" s="63"/>
      <c r="E264" s="231">
        <v>24.9</v>
      </c>
      <c r="F264" s="224"/>
    </row>
    <row r="265" spans="1:6">
      <c r="A265" s="75">
        <v>37546</v>
      </c>
      <c r="B265" s="86" t="str">
        <f>TiposLancamentos!B15</f>
        <v>Cartões de Crédito</v>
      </c>
      <c r="C265" s="52" t="s">
        <v>23234</v>
      </c>
      <c r="D265" s="63">
        <v>15</v>
      </c>
      <c r="E265" s="231"/>
      <c r="F265" s="224"/>
    </row>
    <row r="266" spans="1:6">
      <c r="A266" s="75">
        <v>37551</v>
      </c>
      <c r="B266" s="86" t="str">
        <f>TiposLancamentos!B25</f>
        <v>CD_DVD_BD</v>
      </c>
      <c r="C266" s="52" t="s">
        <v>12828</v>
      </c>
      <c r="D266" s="63"/>
      <c r="E266" s="231">
        <v>25.5</v>
      </c>
      <c r="F266" s="224"/>
    </row>
    <row r="267" spans="1:6">
      <c r="A267" s="83"/>
      <c r="B267" s="91"/>
      <c r="C267" s="43" t="s">
        <v>23235</v>
      </c>
      <c r="D267" s="93"/>
      <c r="E267" s="230"/>
      <c r="F267" s="223">
        <f>SUM(E262:E266)</f>
        <v>50.4</v>
      </c>
    </row>
    <row r="268" spans="1:6">
      <c r="A268" s="75">
        <v>37559</v>
      </c>
      <c r="B268" s="86" t="str">
        <f>TiposLancamentos!B57</f>
        <v>Informática</v>
      </c>
      <c r="C268" s="52" t="s">
        <v>23236</v>
      </c>
      <c r="D268" s="63"/>
      <c r="E268" s="231">
        <v>35.75</v>
      </c>
      <c r="F268" s="224"/>
    </row>
    <row r="269" spans="1:6">
      <c r="A269" s="75">
        <v>37570</v>
      </c>
      <c r="B269" s="86" t="str">
        <f>TiposLancamentos!B15</f>
        <v>Cartões de Crédito</v>
      </c>
      <c r="C269" s="52" t="s">
        <v>23237</v>
      </c>
      <c r="D269" s="63">
        <v>47.94</v>
      </c>
      <c r="E269" s="231"/>
      <c r="F269" s="224"/>
    </row>
    <row r="270" spans="1:6">
      <c r="A270" s="75">
        <v>37572</v>
      </c>
      <c r="B270" s="86" t="str">
        <f>TiposLancamentos!B15</f>
        <v>Cartões de Crédito</v>
      </c>
      <c r="C270" s="590" t="s">
        <v>15192</v>
      </c>
      <c r="D270" s="63"/>
      <c r="E270" s="231"/>
      <c r="F270" s="224"/>
    </row>
    <row r="271" spans="1:6">
      <c r="A271" s="75">
        <v>37582</v>
      </c>
      <c r="B271" s="86" t="str">
        <f>TiposLancamentos!B25</f>
        <v>CD_DVD_BD</v>
      </c>
      <c r="C271" s="52" t="s">
        <v>12833</v>
      </c>
      <c r="D271" s="63"/>
      <c r="E271" s="231">
        <v>25.5</v>
      </c>
      <c r="F271" s="224"/>
    </row>
    <row r="272" spans="1:6">
      <c r="A272" s="83"/>
      <c r="B272" s="91"/>
      <c r="C272" s="43" t="s">
        <v>12834</v>
      </c>
      <c r="D272" s="93"/>
      <c r="E272" s="230"/>
      <c r="F272" s="223">
        <f>SUM(E267:E271)</f>
        <v>61.25</v>
      </c>
    </row>
    <row r="273" spans="1:6">
      <c r="A273" s="75">
        <v>37600</v>
      </c>
      <c r="B273" s="86" t="str">
        <f>TiposLancamentos!B78</f>
        <v>Diferenças</v>
      </c>
      <c r="C273" s="52" t="s">
        <v>23238</v>
      </c>
      <c r="D273" s="63">
        <v>13.58</v>
      </c>
      <c r="E273" s="231"/>
      <c r="F273" s="224"/>
    </row>
    <row r="274" spans="1:6">
      <c r="A274" s="79">
        <v>37600</v>
      </c>
      <c r="B274" s="95" t="str">
        <f>TiposLancamentos!B15</f>
        <v>Cartões de Crédito</v>
      </c>
      <c r="C274" s="477" t="s">
        <v>23234</v>
      </c>
      <c r="D274" s="85">
        <v>61.3</v>
      </c>
      <c r="E274" s="589"/>
      <c r="F274" s="177"/>
    </row>
    <row r="275" spans="1:6">
      <c r="A275" s="46"/>
      <c r="B275" s="46"/>
      <c r="C275" s="184" t="s">
        <v>12</v>
      </c>
      <c r="D275" s="426">
        <f>SUM(D2:D274)</f>
        <v>4514.32</v>
      </c>
      <c r="E275" s="591">
        <f>SUM(E2:E274)</f>
        <v>4514.3200000000052</v>
      </c>
      <c r="F275" s="126"/>
    </row>
    <row r="276" spans="1:6">
      <c r="A276" s="119"/>
      <c r="B276" s="119"/>
      <c r="C276" s="24" t="s">
        <v>13</v>
      </c>
      <c r="D276" s="177"/>
      <c r="E276" s="302">
        <f>D275-E275</f>
        <v>0</v>
      </c>
      <c r="F276" s="458"/>
    </row>
    <row r="277" spans="1:6">
      <c r="B277" s="65" t="s">
        <v>23239</v>
      </c>
    </row>
  </sheetData>
  <sheetProtection selectLockedCells="1" selectUnlockedCells="1"/>
  <printOptions gridLines="1"/>
  <pageMargins left="0.78749999999999998" right="0.78749999999999998" top="0.78749999999999998" bottom="0.78749999999999998" header="0.51180555555555551" footer="0.51180555555555551"/>
  <pageSetup paperSize="9" firstPageNumber="0" orientation="portrait" horizontalDpi="300" verticalDpi="300"/>
  <headerFooter alignWithMargins="0">
    <oddHeader>&amp;C&amp;A</oddHeader>
    <oddFooter>&amp;CSeite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Plan63"/>
  <dimension ref="A1:H2263"/>
  <sheetViews>
    <sheetView zoomScaleNormal="100" workbookViewId="0">
      <pane xSplit="6" ySplit="1" topLeftCell="G546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" defaultRowHeight="13.5"/>
  <cols>
    <col min="1" max="1" width="14.5703125" style="3" customWidth="1"/>
    <col min="2" max="2" width="25.85546875" style="3" customWidth="1"/>
    <col min="3" max="3" width="77.5703125" style="3" customWidth="1"/>
    <col min="4" max="4" width="16.7109375" style="3" customWidth="1"/>
    <col min="5" max="5" width="17" style="221" customWidth="1"/>
    <col min="6" max="6" width="17.5703125" style="3" customWidth="1"/>
    <col min="7" max="7" width="7.85546875" style="3" customWidth="1"/>
    <col min="8" max="16384" width="9" style="3"/>
  </cols>
  <sheetData>
    <row r="1" spans="1:7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6</v>
      </c>
    </row>
    <row r="2" spans="1:7">
      <c r="A2" s="91"/>
      <c r="B2" s="37"/>
      <c r="C2" s="222" t="s">
        <v>3332</v>
      </c>
      <c r="D2" s="93"/>
      <c r="E2" s="44"/>
      <c r="F2" s="223"/>
    </row>
    <row r="3" spans="1:7">
      <c r="A3" s="86">
        <v>39189</v>
      </c>
      <c r="B3" s="76" t="str">
        <f>TiposLancamentos!B70</f>
        <v>Vestuário</v>
      </c>
      <c r="C3" s="147" t="s">
        <v>23240</v>
      </c>
      <c r="D3" s="63"/>
      <c r="E3" s="49">
        <v>248</v>
      </c>
      <c r="F3" s="224"/>
    </row>
    <row r="4" spans="1:7">
      <c r="A4" s="86">
        <v>39189</v>
      </c>
      <c r="B4" s="76" t="str">
        <f>TiposLancamentos!B70</f>
        <v>Vestuário</v>
      </c>
      <c r="C4" s="147" t="s">
        <v>23241</v>
      </c>
      <c r="D4" s="63"/>
      <c r="E4" s="49">
        <v>79.8</v>
      </c>
      <c r="F4" s="224"/>
    </row>
    <row r="5" spans="1:7">
      <c r="A5" s="225"/>
      <c r="B5" s="226"/>
      <c r="C5" s="227" t="s">
        <v>10</v>
      </c>
      <c r="D5" s="228"/>
      <c r="E5" s="228"/>
      <c r="F5" s="228"/>
    </row>
    <row r="6" spans="1:7">
      <c r="A6" s="86">
        <v>39194</v>
      </c>
      <c r="B6" s="76" t="str">
        <f>TiposLancamentos!B36</f>
        <v>Playstation 2</v>
      </c>
      <c r="C6" s="147" t="s">
        <v>23242</v>
      </c>
      <c r="D6" s="63"/>
      <c r="E6" s="49">
        <f>89.96*1.97</f>
        <v>177.22119999999998</v>
      </c>
      <c r="F6" s="224"/>
    </row>
    <row r="7" spans="1:7">
      <c r="A7" s="86">
        <v>39195</v>
      </c>
      <c r="B7" s="76" t="str">
        <f>TiposLancamentos!B45</f>
        <v>Online Services</v>
      </c>
      <c r="C7" s="147" t="s">
        <v>23243</v>
      </c>
      <c r="D7" s="63"/>
      <c r="E7" s="49">
        <f>1.95*1.97</f>
        <v>3.8414999999999999</v>
      </c>
      <c r="F7" s="224"/>
    </row>
    <row r="8" spans="1:7">
      <c r="A8" s="95">
        <v>39197</v>
      </c>
      <c r="B8" s="76" t="str">
        <f>TiposLancamentos!B45</f>
        <v>Online Services</v>
      </c>
      <c r="C8" s="147" t="s">
        <v>15207</v>
      </c>
      <c r="D8" s="63"/>
      <c r="E8" s="49">
        <v>13.03</v>
      </c>
      <c r="F8" s="224"/>
    </row>
    <row r="9" spans="1:7">
      <c r="A9" s="95">
        <v>39197</v>
      </c>
      <c r="B9" s="80" t="str">
        <f>TiposLancamentos!B16</f>
        <v>Cristiane</v>
      </c>
      <c r="C9" s="229" t="s">
        <v>23244</v>
      </c>
      <c r="D9" s="85"/>
      <c r="E9" s="58">
        <v>13.93</v>
      </c>
      <c r="F9" s="177"/>
    </row>
    <row r="10" spans="1:7">
      <c r="A10" s="86"/>
      <c r="B10" s="76"/>
      <c r="C10" s="147" t="s">
        <v>16471</v>
      </c>
      <c r="D10" s="63"/>
      <c r="E10" s="49"/>
      <c r="F10" s="224">
        <f>SUM(E2:E4)</f>
        <v>327.8</v>
      </c>
    </row>
    <row r="11" spans="1:7">
      <c r="A11" s="86">
        <v>39204</v>
      </c>
      <c r="B11" s="76" t="str">
        <f>TiposLancamentos!B15</f>
        <v>Cartões de Crédito</v>
      </c>
      <c r="C11" s="147" t="s">
        <v>20858</v>
      </c>
      <c r="D11" s="63">
        <v>327.8</v>
      </c>
      <c r="E11" s="49"/>
      <c r="F11" s="224"/>
    </row>
    <row r="12" spans="1:7">
      <c r="A12" s="86">
        <v>39211</v>
      </c>
      <c r="B12" s="76" t="str">
        <f>TiposLancamentos!B56</f>
        <v>Farmácia</v>
      </c>
      <c r="C12" s="147" t="s">
        <v>23245</v>
      </c>
      <c r="D12" s="63"/>
      <c r="E12" s="49">
        <v>117.88</v>
      </c>
      <c r="F12" s="224"/>
    </row>
    <row r="13" spans="1:7">
      <c r="A13" s="86">
        <v>39214</v>
      </c>
      <c r="B13" s="76" t="str">
        <f>TiposLancamentos!B5</f>
        <v>Supermercado</v>
      </c>
      <c r="C13" s="147" t="s">
        <v>2567</v>
      </c>
      <c r="D13" s="63"/>
      <c r="E13" s="49">
        <v>123.31</v>
      </c>
      <c r="F13" s="224"/>
    </row>
    <row r="14" spans="1:7">
      <c r="A14" s="86">
        <v>39221</v>
      </c>
      <c r="B14" s="76" t="str">
        <f>TiposLancamentos!B5</f>
        <v>Supermercado</v>
      </c>
      <c r="C14" s="147" t="s">
        <v>23246</v>
      </c>
      <c r="D14" s="63"/>
      <c r="E14" s="49">
        <v>71.5</v>
      </c>
      <c r="F14" s="224"/>
    </row>
    <row r="15" spans="1:7">
      <c r="A15" s="86">
        <v>39222</v>
      </c>
      <c r="B15" s="76" t="str">
        <f>TiposLancamentos!B27</f>
        <v>Jornais e revistas</v>
      </c>
      <c r="C15" s="147" t="s">
        <v>23247</v>
      </c>
      <c r="D15" s="63"/>
      <c r="E15" s="49">
        <v>36.54</v>
      </c>
      <c r="F15" s="224"/>
    </row>
    <row r="16" spans="1:7">
      <c r="A16" s="86">
        <v>39225</v>
      </c>
      <c r="B16" s="76" t="str">
        <f>TiposLancamentos!B4</f>
        <v>Taxas Bancarias</v>
      </c>
      <c r="C16" s="147" t="s">
        <v>23248</v>
      </c>
      <c r="D16" s="63"/>
      <c r="E16" s="49">
        <v>3.62</v>
      </c>
      <c r="F16" s="224"/>
    </row>
    <row r="17" spans="1:6">
      <c r="A17" s="225"/>
      <c r="B17" s="226"/>
      <c r="C17" s="227" t="s">
        <v>10</v>
      </c>
      <c r="D17" s="228"/>
      <c r="E17" s="228"/>
      <c r="F17" s="228"/>
    </row>
    <row r="18" spans="1:6">
      <c r="A18" s="86">
        <v>39229</v>
      </c>
      <c r="B18" s="76" t="str">
        <f>TiposLancamentos!B5</f>
        <v>Supermercado</v>
      </c>
      <c r="C18" s="147" t="s">
        <v>23249</v>
      </c>
      <c r="D18" s="63"/>
      <c r="E18" s="49">
        <v>45.89</v>
      </c>
      <c r="F18" s="224"/>
    </row>
    <row r="19" spans="1:6">
      <c r="A19" s="91"/>
      <c r="B19" s="37"/>
      <c r="C19" s="222" t="s">
        <v>3366</v>
      </c>
      <c r="D19" s="93"/>
      <c r="E19" s="44"/>
      <c r="F19" s="223">
        <f>SUM(E6:E16)</f>
        <v>560.87270000000001</v>
      </c>
    </row>
    <row r="20" spans="1:6">
      <c r="A20" s="86">
        <v>39234</v>
      </c>
      <c r="B20" s="76" t="str">
        <f>TiposLancamentos!B15</f>
        <v>Cartões de Crédito</v>
      </c>
      <c r="C20" s="147" t="s">
        <v>20858</v>
      </c>
      <c r="D20" s="63">
        <v>560.87</v>
      </c>
      <c r="E20" s="49"/>
      <c r="F20" s="224"/>
    </row>
    <row r="21" spans="1:6">
      <c r="A21" s="86">
        <v>39235</v>
      </c>
      <c r="B21" s="76" t="str">
        <f>TiposLancamentos!B45</f>
        <v>Online Services</v>
      </c>
      <c r="C21" s="147" t="s">
        <v>15207</v>
      </c>
      <c r="D21" s="63"/>
      <c r="E21" s="49">
        <v>13.93</v>
      </c>
      <c r="F21" s="224"/>
    </row>
    <row r="22" spans="1:6">
      <c r="A22" s="225"/>
      <c r="B22" s="226"/>
      <c r="C22" s="227" t="s">
        <v>10</v>
      </c>
      <c r="D22" s="228"/>
      <c r="E22" s="228"/>
      <c r="F22" s="228"/>
    </row>
    <row r="23" spans="1:6">
      <c r="A23" s="86">
        <v>39259</v>
      </c>
      <c r="B23" s="76" t="str">
        <f>TiposLancamentos!B35</f>
        <v>Tv à Cabo</v>
      </c>
      <c r="C23" s="147" t="s">
        <v>23250</v>
      </c>
      <c r="D23" s="63"/>
      <c r="E23" s="49">
        <v>57.85</v>
      </c>
      <c r="F23" s="224"/>
    </row>
    <row r="24" spans="1:6">
      <c r="A24" s="91"/>
      <c r="B24" s="37"/>
      <c r="C24" s="222" t="s">
        <v>3104</v>
      </c>
      <c r="D24" s="93"/>
      <c r="E24" s="44"/>
      <c r="F24" s="223">
        <f>SUM(E18:E21)</f>
        <v>59.82</v>
      </c>
    </row>
    <row r="25" spans="1:6">
      <c r="A25" s="86">
        <v>39265</v>
      </c>
      <c r="B25" s="76" t="str">
        <f>TiposLancamentos!B15</f>
        <v>Cartões de Crédito</v>
      </c>
      <c r="C25" s="147" t="s">
        <v>23251</v>
      </c>
      <c r="D25" s="63">
        <v>56.14</v>
      </c>
      <c r="E25" s="49"/>
      <c r="F25" s="224"/>
    </row>
    <row r="26" spans="1:6">
      <c r="A26" s="86">
        <v>39265</v>
      </c>
      <c r="B26" s="76" t="str">
        <f>TiposLancamentos!B45</f>
        <v>Online Services</v>
      </c>
      <c r="C26" s="147" t="s">
        <v>15207</v>
      </c>
      <c r="D26" s="63"/>
      <c r="E26" s="49">
        <v>13.93</v>
      </c>
      <c r="F26" s="224"/>
    </row>
    <row r="27" spans="1:6">
      <c r="A27" s="86">
        <v>39278</v>
      </c>
      <c r="B27" s="76" t="str">
        <f>TiposLancamentos!B97</f>
        <v>Deposito Terc.</v>
      </c>
      <c r="C27" s="147" t="s">
        <v>23252</v>
      </c>
      <c r="D27" s="63">
        <v>70</v>
      </c>
      <c r="E27" s="49"/>
      <c r="F27" s="224"/>
    </row>
    <row r="28" spans="1:6">
      <c r="A28" s="86">
        <v>39278</v>
      </c>
      <c r="B28" s="76" t="str">
        <f>TiposLancamentos!B98</f>
        <v>Restituições</v>
      </c>
      <c r="C28" s="147" t="s">
        <v>23253</v>
      </c>
      <c r="D28" s="63"/>
      <c r="E28" s="49">
        <v>70</v>
      </c>
      <c r="F28" s="224"/>
    </row>
    <row r="29" spans="1:6">
      <c r="A29" s="225"/>
      <c r="B29" s="226"/>
      <c r="C29" s="227" t="s">
        <v>10</v>
      </c>
      <c r="D29" s="228"/>
      <c r="E29" s="228"/>
      <c r="F29" s="228"/>
    </row>
    <row r="30" spans="1:6">
      <c r="A30" s="95">
        <v>39290</v>
      </c>
      <c r="B30" s="80" t="str">
        <f>TiposLancamentos!B35</f>
        <v>Tv à Cabo</v>
      </c>
      <c r="C30" s="229" t="s">
        <v>23250</v>
      </c>
      <c r="D30" s="85"/>
      <c r="E30" s="58">
        <v>57.85</v>
      </c>
      <c r="F30" s="177"/>
    </row>
    <row r="31" spans="1:6">
      <c r="A31" s="91"/>
      <c r="B31" s="37"/>
      <c r="C31" s="222" t="s">
        <v>23254</v>
      </c>
      <c r="D31" s="93"/>
      <c r="E31" s="44"/>
      <c r="F31" s="223">
        <f>SUM(E18:E21)</f>
        <v>59.82</v>
      </c>
    </row>
    <row r="32" spans="1:6">
      <c r="A32" s="86">
        <v>39295</v>
      </c>
      <c r="B32" s="76" t="str">
        <f>TiposLancamentos!B15</f>
        <v>Cartões de Crédito</v>
      </c>
      <c r="C32" s="147" t="s">
        <v>14142</v>
      </c>
      <c r="D32" s="63">
        <v>71.78</v>
      </c>
      <c r="E32" s="49"/>
      <c r="F32" s="224"/>
    </row>
    <row r="33" spans="1:6">
      <c r="A33" s="86">
        <v>39295</v>
      </c>
      <c r="B33" s="76" t="str">
        <f>TiposLancamentos!B45</f>
        <v>Online Services</v>
      </c>
      <c r="C33" s="147" t="s">
        <v>15207</v>
      </c>
      <c r="D33" s="63"/>
      <c r="E33" s="49">
        <v>13.93</v>
      </c>
      <c r="F33" s="224"/>
    </row>
    <row r="34" spans="1:6">
      <c r="A34" s="225"/>
      <c r="B34" s="226"/>
      <c r="C34" s="227" t="s">
        <v>10</v>
      </c>
      <c r="D34" s="228"/>
      <c r="E34" s="228"/>
      <c r="F34" s="228"/>
    </row>
    <row r="35" spans="1:6">
      <c r="A35" s="95">
        <v>39352</v>
      </c>
      <c r="B35" s="80" t="str">
        <f>TiposLancamentos!B35</f>
        <v>Tv à Cabo</v>
      </c>
      <c r="C35" s="229" t="s">
        <v>23250</v>
      </c>
      <c r="D35" s="85"/>
      <c r="E35" s="58">
        <v>57.85</v>
      </c>
      <c r="F35" s="177"/>
    </row>
    <row r="36" spans="1:6">
      <c r="A36" s="91"/>
      <c r="B36" s="37"/>
      <c r="C36" s="222" t="s">
        <v>16486</v>
      </c>
      <c r="D36" s="93"/>
      <c r="E36" s="44"/>
      <c r="F36" s="223">
        <f>SUM(E23:E28)</f>
        <v>141.78</v>
      </c>
    </row>
    <row r="37" spans="1:6">
      <c r="A37" s="86">
        <v>39326</v>
      </c>
      <c r="B37" s="76" t="str">
        <f>TiposLancamentos!B45</f>
        <v>Online Services</v>
      </c>
      <c r="C37" s="147" t="s">
        <v>15207</v>
      </c>
      <c r="D37" s="63"/>
      <c r="E37" s="49">
        <v>13.93</v>
      </c>
      <c r="F37" s="224"/>
    </row>
    <row r="38" spans="1:6">
      <c r="A38" s="86">
        <v>39328</v>
      </c>
      <c r="B38" s="76" t="str">
        <f>TiposLancamentos!B15</f>
        <v>Cartões de Crédito</v>
      </c>
      <c r="C38" s="147" t="s">
        <v>14126</v>
      </c>
      <c r="D38" s="63">
        <v>71.78</v>
      </c>
      <c r="E38" s="49"/>
      <c r="F38" s="224"/>
    </row>
    <row r="39" spans="1:6">
      <c r="A39" s="225"/>
      <c r="B39" s="226"/>
      <c r="C39" s="227" t="s">
        <v>10</v>
      </c>
      <c r="D39" s="228"/>
      <c r="E39" s="228"/>
      <c r="F39" s="228"/>
    </row>
    <row r="40" spans="1:6">
      <c r="A40" s="86">
        <v>39346</v>
      </c>
      <c r="B40" s="76" t="str">
        <f>TiposLancamentos!B85</f>
        <v>Peugeout 206</v>
      </c>
      <c r="C40" s="147" t="s">
        <v>23255</v>
      </c>
      <c r="D40" s="63"/>
      <c r="E40" s="49">
        <v>302.68</v>
      </c>
      <c r="F40" s="224"/>
    </row>
    <row r="41" spans="1:6">
      <c r="A41" s="86">
        <v>39346</v>
      </c>
      <c r="B41" s="76" t="str">
        <f>TiposLancamentos!B5</f>
        <v>Supermercado</v>
      </c>
      <c r="C41" s="147" t="s">
        <v>2567</v>
      </c>
      <c r="D41" s="63"/>
      <c r="E41" s="49">
        <v>193.97</v>
      </c>
      <c r="F41" s="224"/>
    </row>
    <row r="42" spans="1:6">
      <c r="A42" s="86">
        <v>39346</v>
      </c>
      <c r="B42" s="76" t="str">
        <f>TiposLancamentos!B56</f>
        <v>Farmácia</v>
      </c>
      <c r="C42" s="147" t="s">
        <v>20624</v>
      </c>
      <c r="D42" s="63"/>
      <c r="E42" s="49">
        <v>29.15</v>
      </c>
      <c r="F42" s="224"/>
    </row>
    <row r="43" spans="1:6">
      <c r="A43" s="86">
        <v>39352</v>
      </c>
      <c r="B43" s="76" t="str">
        <f>TiposLancamentos!B35</f>
        <v>Tv à Cabo</v>
      </c>
      <c r="C43" s="147" t="s">
        <v>23250</v>
      </c>
      <c r="D43" s="63"/>
      <c r="E43" s="49">
        <v>102.8</v>
      </c>
      <c r="F43" s="224"/>
    </row>
    <row r="44" spans="1:6">
      <c r="A44" s="86">
        <v>39354</v>
      </c>
      <c r="B44" s="76" t="str">
        <f>TiposLancamentos!B5</f>
        <v>Supermercado</v>
      </c>
      <c r="C44" s="147" t="s">
        <v>3298</v>
      </c>
      <c r="D44" s="63"/>
      <c r="E44" s="49">
        <v>105.32</v>
      </c>
      <c r="F44" s="224"/>
    </row>
    <row r="45" spans="1:6">
      <c r="A45" s="91"/>
      <c r="B45" s="37"/>
      <c r="C45" s="222" t="s">
        <v>16491</v>
      </c>
      <c r="D45" s="93"/>
      <c r="E45" s="230"/>
      <c r="F45" s="223">
        <f>SUM(E30:E33)</f>
        <v>71.78</v>
      </c>
    </row>
    <row r="46" spans="1:6">
      <c r="A46" s="86">
        <v>39356</v>
      </c>
      <c r="B46" s="76" t="str">
        <f>TiposLancamentos!B15</f>
        <v>Cartões de Crédito</v>
      </c>
      <c r="C46" s="147" t="s">
        <v>20858</v>
      </c>
      <c r="D46" s="63">
        <v>71.78</v>
      </c>
      <c r="E46" s="231"/>
      <c r="F46" s="224"/>
    </row>
    <row r="47" spans="1:6">
      <c r="A47" s="86">
        <v>39356</v>
      </c>
      <c r="B47" s="76" t="str">
        <f>TiposLancamentos!B5</f>
        <v>Supermercado</v>
      </c>
      <c r="C47" s="147" t="s">
        <v>5551</v>
      </c>
      <c r="D47" s="63"/>
      <c r="E47" s="231">
        <v>22.6</v>
      </c>
      <c r="F47" s="224"/>
    </row>
    <row r="48" spans="1:6">
      <c r="A48" s="86">
        <v>39358</v>
      </c>
      <c r="B48" s="76" t="str">
        <f>TiposLancamentos!B45</f>
        <v>Online Services</v>
      </c>
      <c r="C48" s="147" t="s">
        <v>15207</v>
      </c>
      <c r="D48" s="63"/>
      <c r="E48" s="231">
        <v>13.93</v>
      </c>
      <c r="F48" s="224"/>
    </row>
    <row r="49" spans="1:6">
      <c r="A49" s="86">
        <v>39366</v>
      </c>
      <c r="B49" s="76" t="str">
        <f>TiposLancamentos!B5</f>
        <v>Supermercado</v>
      </c>
      <c r="C49" s="147" t="s">
        <v>2567</v>
      </c>
      <c r="D49" s="63"/>
      <c r="E49" s="231">
        <v>71.52</v>
      </c>
      <c r="F49" s="224"/>
    </row>
    <row r="50" spans="1:6">
      <c r="A50" s="86">
        <v>39368</v>
      </c>
      <c r="B50" s="76" t="str">
        <f>TiposLancamentos!B19</f>
        <v>Restaurantes</v>
      </c>
      <c r="C50" s="147" t="s">
        <v>23256</v>
      </c>
      <c r="D50" s="63"/>
      <c r="E50" s="231">
        <v>26.6</v>
      </c>
      <c r="F50" s="224"/>
    </row>
    <row r="51" spans="1:6">
      <c r="A51" s="86">
        <v>39375</v>
      </c>
      <c r="B51" s="76" t="str">
        <f>TiposLancamentos!B5</f>
        <v>Supermercado</v>
      </c>
      <c r="C51" s="147" t="s">
        <v>16382</v>
      </c>
      <c r="D51" s="63"/>
      <c r="E51" s="231">
        <v>73.95</v>
      </c>
      <c r="F51" s="224"/>
    </row>
    <row r="52" spans="1:6">
      <c r="A52" s="86">
        <v>39375</v>
      </c>
      <c r="B52" s="76" t="str">
        <f>TiposLancamentos!B56</f>
        <v>Farmácia</v>
      </c>
      <c r="C52" s="147" t="s">
        <v>23257</v>
      </c>
      <c r="D52" s="63"/>
      <c r="E52" s="231">
        <v>55.57</v>
      </c>
      <c r="F52" s="224"/>
    </row>
    <row r="53" spans="1:6">
      <c r="A53" s="225"/>
      <c r="B53" s="226"/>
      <c r="C53" s="227" t="s">
        <v>10</v>
      </c>
      <c r="D53" s="228"/>
      <c r="E53" s="232"/>
      <c r="F53" s="228"/>
    </row>
    <row r="54" spans="1:6">
      <c r="A54" s="86">
        <v>39376</v>
      </c>
      <c r="B54" s="76" t="str">
        <f>TiposLancamentos!B85</f>
        <v>Peugeout 206</v>
      </c>
      <c r="C54" s="147" t="s">
        <v>23258</v>
      </c>
      <c r="D54" s="63"/>
      <c r="E54" s="231">
        <v>302.66000000000003</v>
      </c>
      <c r="F54" s="224"/>
    </row>
    <row r="55" spans="1:6">
      <c r="A55" s="86">
        <v>39381</v>
      </c>
      <c r="B55" s="76" t="str">
        <f>TiposLancamentos!B35</f>
        <v>Tv à Cabo</v>
      </c>
      <c r="C55" s="147" t="s">
        <v>23259</v>
      </c>
      <c r="D55" s="63"/>
      <c r="E55" s="231">
        <v>102.8</v>
      </c>
      <c r="F55" s="224"/>
    </row>
    <row r="56" spans="1:6">
      <c r="A56" s="86">
        <v>39384</v>
      </c>
      <c r="B56" s="76" t="str">
        <f>TiposLancamentos!B19</f>
        <v>Restaurantes</v>
      </c>
      <c r="C56" s="147" t="s">
        <v>5451</v>
      </c>
      <c r="D56" s="63"/>
      <c r="E56" s="231">
        <v>26.8</v>
      </c>
      <c r="F56" s="224"/>
    </row>
    <row r="57" spans="1:6">
      <c r="A57" s="86">
        <v>39384</v>
      </c>
      <c r="B57" s="76" t="str">
        <f>TiposLancamentos!B19</f>
        <v>Restaurantes</v>
      </c>
      <c r="C57" s="147" t="s">
        <v>3427</v>
      </c>
      <c r="D57" s="63"/>
      <c r="E57" s="231">
        <v>9.8000000000000007</v>
      </c>
      <c r="F57" s="224"/>
    </row>
    <row r="58" spans="1:6">
      <c r="A58" s="86">
        <v>39385</v>
      </c>
      <c r="B58" s="76" t="str">
        <f>TiposLancamentos!B19</f>
        <v>Restaurantes</v>
      </c>
      <c r="C58" s="147" t="s">
        <v>23260</v>
      </c>
      <c r="D58" s="63"/>
      <c r="E58" s="231">
        <v>12.2</v>
      </c>
      <c r="F58" s="224"/>
    </row>
    <row r="59" spans="1:6">
      <c r="A59" s="86">
        <v>39385</v>
      </c>
      <c r="B59" s="76" t="str">
        <f>TiposLancamentos!B5</f>
        <v>Supermercado</v>
      </c>
      <c r="C59" s="147" t="s">
        <v>23246</v>
      </c>
      <c r="D59" s="63"/>
      <c r="E59" s="231">
        <v>42.53</v>
      </c>
      <c r="F59" s="224"/>
    </row>
    <row r="60" spans="1:6">
      <c r="A60" s="86">
        <v>39385</v>
      </c>
      <c r="B60" s="76" t="str">
        <f>TiposLancamentos!B22</f>
        <v>Combustivel</v>
      </c>
      <c r="C60" s="147" t="s">
        <v>3381</v>
      </c>
      <c r="D60" s="63"/>
      <c r="E60" s="231">
        <v>50</v>
      </c>
      <c r="F60" s="224"/>
    </row>
    <row r="61" spans="1:6">
      <c r="A61" s="86">
        <v>39385</v>
      </c>
      <c r="B61" s="76" t="str">
        <f>TiposLancamentos!B56</f>
        <v>Farmácia</v>
      </c>
      <c r="C61" s="147" t="s">
        <v>23261</v>
      </c>
      <c r="D61" s="63"/>
      <c r="E61" s="231">
        <v>31.97</v>
      </c>
      <c r="F61" s="177"/>
    </row>
    <row r="62" spans="1:6">
      <c r="A62" s="91"/>
      <c r="B62" s="37"/>
      <c r="C62" s="222" t="s">
        <v>16494</v>
      </c>
      <c r="D62" s="93"/>
      <c r="E62" s="44"/>
      <c r="F62" s="233">
        <f>SUM(E35:E38)</f>
        <v>71.78</v>
      </c>
    </row>
    <row r="63" spans="1:6">
      <c r="A63" s="86">
        <v>39387</v>
      </c>
      <c r="B63" s="76" t="str">
        <f>TiposLancamentos!B15</f>
        <v>Cartões de Crédito</v>
      </c>
      <c r="C63" s="147" t="s">
        <v>20858</v>
      </c>
      <c r="D63" s="63">
        <v>998.09</v>
      </c>
      <c r="E63" s="49"/>
      <c r="F63" s="224"/>
    </row>
    <row r="64" spans="1:6">
      <c r="A64" s="86">
        <v>39387</v>
      </c>
      <c r="B64" s="76" t="str">
        <f>TiposLancamentos!B45</f>
        <v>Online Services</v>
      </c>
      <c r="C64" s="147" t="s">
        <v>15207</v>
      </c>
      <c r="D64" s="63"/>
      <c r="E64" s="49">
        <v>19.899999999999999</v>
      </c>
      <c r="F64" s="224"/>
    </row>
    <row r="65" spans="1:6">
      <c r="A65" s="86">
        <v>39389</v>
      </c>
      <c r="B65" s="76" t="str">
        <f>TiposLancamentos!B19</f>
        <v>Restaurantes</v>
      </c>
      <c r="C65" s="147" t="s">
        <v>3287</v>
      </c>
      <c r="D65" s="63"/>
      <c r="E65" s="49">
        <v>29.3</v>
      </c>
      <c r="F65" s="224"/>
    </row>
    <row r="66" spans="1:6">
      <c r="A66" s="86">
        <v>39390</v>
      </c>
      <c r="B66" s="76" t="str">
        <f>TiposLancamentos!B5</f>
        <v>Supermercado</v>
      </c>
      <c r="C66" s="147" t="s">
        <v>5551</v>
      </c>
      <c r="D66" s="63"/>
      <c r="E66" s="49">
        <v>29.9</v>
      </c>
      <c r="F66" s="224"/>
    </row>
    <row r="67" spans="1:6">
      <c r="A67" s="86">
        <v>39390</v>
      </c>
      <c r="B67" s="76" t="str">
        <f>TiposLancamentos!B5</f>
        <v>Supermercado</v>
      </c>
      <c r="C67" s="147" t="s">
        <v>23246</v>
      </c>
      <c r="D67" s="63"/>
      <c r="E67" s="49">
        <v>52.51</v>
      </c>
      <c r="F67" s="224"/>
    </row>
    <row r="68" spans="1:6">
      <c r="A68" s="86">
        <v>39390</v>
      </c>
      <c r="B68" s="76" t="str">
        <f>TiposLancamentos!B56</f>
        <v>Farmácia</v>
      </c>
      <c r="C68" s="147" t="s">
        <v>23261</v>
      </c>
      <c r="D68" s="63"/>
      <c r="E68" s="49">
        <v>25.69</v>
      </c>
      <c r="F68" s="224"/>
    </row>
    <row r="69" spans="1:6">
      <c r="A69" s="86">
        <v>39395</v>
      </c>
      <c r="B69" s="76" t="str">
        <f>TiposLancamentos!B19</f>
        <v>Restaurantes</v>
      </c>
      <c r="C69" s="147" t="s">
        <v>3427</v>
      </c>
      <c r="D69" s="63"/>
      <c r="E69" s="49">
        <v>11</v>
      </c>
      <c r="F69" s="224"/>
    </row>
    <row r="70" spans="1:6">
      <c r="A70" s="86">
        <v>39398</v>
      </c>
      <c r="B70" s="76" t="str">
        <f>TiposLancamentos!B19</f>
        <v>Restaurantes</v>
      </c>
      <c r="C70" s="126" t="s">
        <v>20691</v>
      </c>
      <c r="D70" s="51"/>
      <c r="E70" s="49">
        <v>23.4</v>
      </c>
      <c r="F70" s="224"/>
    </row>
    <row r="71" spans="1:6">
      <c r="A71" s="225"/>
      <c r="B71" s="226"/>
      <c r="C71" s="227" t="s">
        <v>10</v>
      </c>
      <c r="D71" s="228"/>
      <c r="E71" s="228"/>
      <c r="F71" s="228"/>
    </row>
    <row r="72" spans="1:6">
      <c r="A72" s="86">
        <v>39407</v>
      </c>
      <c r="B72" s="76" t="str">
        <f>TiposLancamentos!B85</f>
        <v>Peugeout 206</v>
      </c>
      <c r="C72" s="147" t="s">
        <v>23262</v>
      </c>
      <c r="D72" s="63"/>
      <c r="E72" s="231">
        <v>302.66000000000003</v>
      </c>
      <c r="F72" s="224"/>
    </row>
    <row r="73" spans="1:6">
      <c r="A73" s="86">
        <v>39408</v>
      </c>
      <c r="B73" s="76" t="str">
        <f>TiposLancamentos!B91</f>
        <v>PSP Slim 2000</v>
      </c>
      <c r="C73" s="147" t="s">
        <v>23263</v>
      </c>
      <c r="D73" s="63"/>
      <c r="E73" s="49">
        <f>699/3</f>
        <v>233</v>
      </c>
      <c r="F73" s="224"/>
    </row>
    <row r="74" spans="1:6">
      <c r="A74" s="87">
        <v>39416</v>
      </c>
      <c r="B74" s="234" t="str">
        <f>TiposLancamentos!B26</f>
        <v>LIVROS</v>
      </c>
      <c r="C74" s="235" t="s">
        <v>23264</v>
      </c>
      <c r="D74" s="90"/>
      <c r="E74" s="90">
        <f>160-E75</f>
        <v>87.2</v>
      </c>
      <c r="F74" s="90"/>
    </row>
    <row r="75" spans="1:6">
      <c r="A75" s="87">
        <v>39416</v>
      </c>
      <c r="B75" s="234" t="str">
        <f>TiposLancamentos!B25</f>
        <v>CD_DVD_BD</v>
      </c>
      <c r="C75" s="235" t="s">
        <v>23265</v>
      </c>
      <c r="D75" s="90"/>
      <c r="E75" s="90">
        <f>39.9+32.9</f>
        <v>72.8</v>
      </c>
      <c r="F75" s="90"/>
    </row>
    <row r="76" spans="1:6">
      <c r="A76" s="99"/>
      <c r="B76" s="236"/>
      <c r="C76" s="237" t="s">
        <v>3409</v>
      </c>
      <c r="D76" s="101"/>
      <c r="E76" s="238"/>
      <c r="F76" s="239">
        <f>SUM(E40:E52)</f>
        <v>998.08999999999992</v>
      </c>
    </row>
    <row r="77" spans="1:6">
      <c r="A77" s="103">
        <v>39419</v>
      </c>
      <c r="B77" s="240" t="str">
        <f>TiposLancamentos!B15</f>
        <v>Cartões de Crédito</v>
      </c>
      <c r="C77" s="147" t="s">
        <v>23266</v>
      </c>
      <c r="D77" s="63">
        <v>770.46</v>
      </c>
      <c r="E77" s="231"/>
      <c r="F77" s="241"/>
    </row>
    <row r="78" spans="1:6">
      <c r="A78" s="103">
        <v>39418</v>
      </c>
      <c r="B78" s="240" t="str">
        <f>TiposLancamentos!B45</f>
        <v>Online Services</v>
      </c>
      <c r="C78" s="147" t="s">
        <v>15207</v>
      </c>
      <c r="D78" s="63"/>
      <c r="E78" s="231">
        <v>19.899999999999999</v>
      </c>
      <c r="F78" s="241"/>
    </row>
    <row r="79" spans="1:6">
      <c r="A79" s="103">
        <v>39423</v>
      </c>
      <c r="B79" s="240" t="str">
        <f>TiposLancamentos!B65</f>
        <v>Taxi</v>
      </c>
      <c r="C79" s="147" t="s">
        <v>23267</v>
      </c>
      <c r="D79" s="63"/>
      <c r="E79" s="231">
        <v>12.7</v>
      </c>
      <c r="F79" s="241"/>
    </row>
    <row r="80" spans="1:6">
      <c r="A80" s="103">
        <v>39423</v>
      </c>
      <c r="B80" s="240" t="str">
        <f>TiposLancamentos!B65</f>
        <v>Taxi</v>
      </c>
      <c r="C80" s="147" t="s">
        <v>23268</v>
      </c>
      <c r="D80" s="63"/>
      <c r="E80" s="231">
        <v>6.4</v>
      </c>
      <c r="F80" s="241"/>
    </row>
    <row r="81" spans="1:6">
      <c r="A81" s="103">
        <v>39423</v>
      </c>
      <c r="B81" s="240" t="str">
        <f>TiposLancamentos!B65</f>
        <v>Taxi</v>
      </c>
      <c r="C81" s="147" t="s">
        <v>2778</v>
      </c>
      <c r="D81" s="63"/>
      <c r="E81" s="231">
        <v>9.1</v>
      </c>
      <c r="F81" s="241"/>
    </row>
    <row r="82" spans="1:6">
      <c r="A82" s="242"/>
      <c r="B82" s="243"/>
      <c r="C82" s="227" t="s">
        <v>10</v>
      </c>
      <c r="D82" s="228"/>
      <c r="E82" s="232"/>
      <c r="F82" s="146"/>
    </row>
    <row r="83" spans="1:6">
      <c r="A83" s="105">
        <v>39438</v>
      </c>
      <c r="B83" s="164" t="str">
        <f>TiposLancamentos!B91</f>
        <v>PSP Slim 2000</v>
      </c>
      <c r="C83" s="244" t="s">
        <v>23269</v>
      </c>
      <c r="D83" s="106"/>
      <c r="E83" s="245">
        <f>699/3</f>
        <v>233</v>
      </c>
      <c r="F83" s="246"/>
    </row>
    <row r="84" spans="1:6">
      <c r="A84" s="86"/>
      <c r="B84" s="76"/>
      <c r="C84" s="147" t="s">
        <v>23270</v>
      </c>
      <c r="D84" s="63"/>
      <c r="E84" s="49"/>
      <c r="F84" s="224">
        <f>SUM(E72:E81)</f>
        <v>743.7600000000001</v>
      </c>
    </row>
    <row r="85" spans="1:6">
      <c r="A85" s="86">
        <v>39448</v>
      </c>
      <c r="B85" s="76" t="str">
        <f>TiposLancamentos!B45</f>
        <v>Online Services</v>
      </c>
      <c r="C85" s="147" t="s">
        <v>15207</v>
      </c>
      <c r="D85" s="63"/>
      <c r="E85" s="49">
        <v>19.899999999999999</v>
      </c>
      <c r="F85" s="224"/>
    </row>
    <row r="86" spans="1:6">
      <c r="A86" s="86">
        <v>39449</v>
      </c>
      <c r="B86" s="76" t="str">
        <f>TiposLancamentos!B15</f>
        <v>Cartões de Crédito</v>
      </c>
      <c r="C86" s="147" t="s">
        <v>20858</v>
      </c>
      <c r="D86" s="63">
        <v>743.76</v>
      </c>
      <c r="E86" s="49"/>
      <c r="F86" s="224"/>
    </row>
    <row r="87" spans="1:6">
      <c r="A87" s="86">
        <v>39454</v>
      </c>
      <c r="B87" s="76" t="str">
        <f>TiposLancamentos!B19</f>
        <v>Restaurantes</v>
      </c>
      <c r="C87" s="147" t="s">
        <v>23271</v>
      </c>
      <c r="D87" s="63"/>
      <c r="E87" s="49">
        <v>34.299999999999997</v>
      </c>
      <c r="F87" s="224"/>
    </row>
    <row r="88" spans="1:6">
      <c r="A88" s="225"/>
      <c r="B88" s="226"/>
      <c r="C88" s="227" t="s">
        <v>10</v>
      </c>
      <c r="D88" s="228"/>
      <c r="E88" s="228"/>
      <c r="F88" s="228"/>
    </row>
    <row r="89" spans="1:6">
      <c r="A89" s="86">
        <v>39469</v>
      </c>
      <c r="B89" s="76" t="str">
        <f>TiposLancamentos!B91</f>
        <v>PSP Slim 2000</v>
      </c>
      <c r="C89" s="147" t="s">
        <v>23272</v>
      </c>
      <c r="D89" s="63"/>
      <c r="E89" s="49">
        <f>699/3</f>
        <v>233</v>
      </c>
      <c r="F89" s="224"/>
    </row>
    <row r="90" spans="1:6">
      <c r="A90" s="129"/>
      <c r="B90" s="247"/>
      <c r="C90" s="237" t="s">
        <v>23273</v>
      </c>
      <c r="D90" s="101"/>
      <c r="E90" s="248"/>
      <c r="F90" s="249">
        <f>SUM(E83:E87)</f>
        <v>287.2</v>
      </c>
    </row>
    <row r="91" spans="1:6">
      <c r="A91" s="130">
        <v>39479</v>
      </c>
      <c r="B91" s="76" t="str">
        <f>TiposLancamentos!B15</f>
        <v>Cartões de Crédito</v>
      </c>
      <c r="C91" s="147" t="s">
        <v>20858</v>
      </c>
      <c r="D91" s="63">
        <v>287.2</v>
      </c>
      <c r="E91" s="49"/>
      <c r="F91" s="250"/>
    </row>
    <row r="92" spans="1:6">
      <c r="A92" s="130">
        <v>39479</v>
      </c>
      <c r="B92" s="76" t="str">
        <f>TiposLancamentos!B45</f>
        <v>Online Services</v>
      </c>
      <c r="C92" s="147" t="s">
        <v>15207</v>
      </c>
      <c r="D92" s="63"/>
      <c r="E92" s="49">
        <v>19.899999999999999</v>
      </c>
      <c r="F92" s="250"/>
    </row>
    <row r="93" spans="1:6">
      <c r="A93" s="130">
        <v>39480</v>
      </c>
      <c r="B93" s="76" t="str">
        <f>TiposLancamentos!B27</f>
        <v>Jornais e revistas</v>
      </c>
      <c r="C93" s="147" t="s">
        <v>23274</v>
      </c>
      <c r="D93" s="63"/>
      <c r="E93" s="49">
        <v>106.92</v>
      </c>
      <c r="F93" s="250"/>
    </row>
    <row r="94" spans="1:6">
      <c r="A94" s="242"/>
      <c r="B94" s="226"/>
      <c r="C94" s="227" t="s">
        <v>10</v>
      </c>
      <c r="D94" s="228"/>
      <c r="E94" s="228"/>
      <c r="F94" s="251"/>
    </row>
    <row r="95" spans="1:6">
      <c r="A95" s="130">
        <v>39500</v>
      </c>
      <c r="B95" s="76" t="str">
        <f>TiposLancamentos!B25</f>
        <v>CD_DVD_BD</v>
      </c>
      <c r="C95" s="147" t="s">
        <v>23275</v>
      </c>
      <c r="D95" s="63"/>
      <c r="E95" s="49">
        <v>158.9</v>
      </c>
      <c r="F95" s="250"/>
    </row>
    <row r="96" spans="1:6">
      <c r="A96" s="130">
        <v>39502</v>
      </c>
      <c r="B96" s="76" t="str">
        <f>TiposLancamentos!B5</f>
        <v>Supermercado</v>
      </c>
      <c r="C96" s="147" t="s">
        <v>23276</v>
      </c>
      <c r="D96" s="63"/>
      <c r="E96" s="49">
        <v>293.20999999999998</v>
      </c>
      <c r="F96" s="250"/>
    </row>
    <row r="97" spans="1:6">
      <c r="A97" s="129"/>
      <c r="B97" s="247"/>
      <c r="C97" s="237" t="s">
        <v>3457</v>
      </c>
      <c r="D97" s="101"/>
      <c r="E97" s="248"/>
      <c r="F97" s="249">
        <f>SUM(E89:E93)</f>
        <v>359.82</v>
      </c>
    </row>
    <row r="98" spans="1:6">
      <c r="A98" s="130">
        <v>39510</v>
      </c>
      <c r="B98" s="76" t="str">
        <f>TiposLancamentos!B15</f>
        <v>Cartões de Crédito</v>
      </c>
      <c r="C98" s="147" t="s">
        <v>16507</v>
      </c>
      <c r="D98" s="63">
        <v>359.82</v>
      </c>
      <c r="E98" s="49"/>
      <c r="F98" s="250"/>
    </row>
    <row r="99" spans="1:6">
      <c r="A99" s="130">
        <v>39510</v>
      </c>
      <c r="B99" s="76" t="str">
        <f>TiposLancamentos!B45</f>
        <v>Online Services</v>
      </c>
      <c r="C99" s="147" t="s">
        <v>15207</v>
      </c>
      <c r="D99" s="63"/>
      <c r="E99" s="49">
        <v>19.899999999999999</v>
      </c>
      <c r="F99" s="250"/>
    </row>
    <row r="100" spans="1:6">
      <c r="A100" s="130">
        <v>39520</v>
      </c>
      <c r="B100" s="76" t="str">
        <f>TiposLancamentos!B75</f>
        <v>Shows</v>
      </c>
      <c r="C100" s="147" t="s">
        <v>23277</v>
      </c>
      <c r="D100" s="63"/>
      <c r="E100" s="49">
        <v>438</v>
      </c>
      <c r="F100" s="250"/>
    </row>
    <row r="101" spans="1:6">
      <c r="A101" s="130">
        <v>39521</v>
      </c>
      <c r="B101" s="76" t="str">
        <f>TiposLancamentos!B72</f>
        <v>Presentes</v>
      </c>
      <c r="C101" s="147" t="s">
        <v>23278</v>
      </c>
      <c r="D101" s="63"/>
      <c r="E101" s="49">
        <v>64</v>
      </c>
      <c r="F101" s="250"/>
    </row>
    <row r="102" spans="1:6">
      <c r="A102" s="242"/>
      <c r="B102" s="226"/>
      <c r="C102" s="227" t="s">
        <v>10</v>
      </c>
      <c r="D102" s="228"/>
      <c r="E102" s="228"/>
      <c r="F102" s="251"/>
    </row>
    <row r="103" spans="1:6">
      <c r="A103" s="130">
        <v>39531</v>
      </c>
      <c r="B103" s="76" t="str">
        <f>TiposLancamentos!B72</f>
        <v>Presentes</v>
      </c>
      <c r="C103" s="147" t="s">
        <v>23279</v>
      </c>
      <c r="D103" s="63"/>
      <c r="E103" s="49">
        <v>169</v>
      </c>
      <c r="F103" s="250"/>
    </row>
    <row r="104" spans="1:6">
      <c r="A104" s="194">
        <v>39532</v>
      </c>
      <c r="B104" s="252" t="str">
        <f>TiposLancamentos!B57</f>
        <v>Informática</v>
      </c>
      <c r="C104" s="244" t="s">
        <v>23280</v>
      </c>
      <c r="D104" s="106"/>
      <c r="E104" s="253">
        <v>252</v>
      </c>
      <c r="F104" s="254"/>
    </row>
    <row r="105" spans="1:6">
      <c r="A105" s="129"/>
      <c r="B105" s="247"/>
      <c r="C105" s="237" t="s">
        <v>3488</v>
      </c>
      <c r="D105" s="101"/>
      <c r="E105" s="248"/>
      <c r="F105" s="249">
        <f>SUM(E95:E101)</f>
        <v>974.01</v>
      </c>
    </row>
    <row r="106" spans="1:6">
      <c r="A106" s="130">
        <v>39539</v>
      </c>
      <c r="B106" s="76" t="str">
        <f>TiposLancamentos!B15</f>
        <v>Cartões de Crédito</v>
      </c>
      <c r="C106" s="147" t="s">
        <v>14126</v>
      </c>
      <c r="D106" s="63">
        <v>974.01</v>
      </c>
      <c r="E106" s="49"/>
      <c r="F106" s="250"/>
    </row>
    <row r="107" spans="1:6">
      <c r="A107" s="130">
        <v>39539</v>
      </c>
      <c r="B107" s="76" t="str">
        <f>TiposLancamentos!B45</f>
        <v>Online Services</v>
      </c>
      <c r="C107" s="147" t="s">
        <v>15207</v>
      </c>
      <c r="D107" s="63"/>
      <c r="E107" s="49">
        <v>19.899999999999999</v>
      </c>
      <c r="F107" s="250"/>
    </row>
    <row r="108" spans="1:6">
      <c r="A108" s="130">
        <v>39560</v>
      </c>
      <c r="B108" s="76" t="str">
        <f>TiposLancamentos!B4</f>
        <v>Taxas Bancarias</v>
      </c>
      <c r="C108" s="147" t="s">
        <v>23281</v>
      </c>
      <c r="D108" s="63"/>
      <c r="E108" s="49">
        <v>1.55</v>
      </c>
      <c r="F108" s="250"/>
    </row>
    <row r="109" spans="1:6">
      <c r="A109" s="130">
        <v>39560</v>
      </c>
      <c r="B109" s="76" t="str">
        <f>TiposLancamentos!B71</f>
        <v>Itens Pessoais</v>
      </c>
      <c r="C109" s="147" t="s">
        <v>23282</v>
      </c>
      <c r="D109" s="63"/>
      <c r="E109" s="49">
        <v>65.31</v>
      </c>
      <c r="F109" s="250"/>
    </row>
    <row r="110" spans="1:6">
      <c r="A110" s="242"/>
      <c r="B110" s="226"/>
      <c r="C110" s="227" t="s">
        <v>10</v>
      </c>
      <c r="D110" s="228"/>
      <c r="E110" s="228"/>
      <c r="F110" s="251"/>
    </row>
    <row r="111" spans="1:6">
      <c r="A111" s="130">
        <v>39562</v>
      </c>
      <c r="B111" s="76" t="str">
        <f>TiposLancamentos!B75</f>
        <v>Shows</v>
      </c>
      <c r="C111" s="147" t="s">
        <v>23283</v>
      </c>
      <c r="D111" s="63"/>
      <c r="E111" s="49">
        <v>492</v>
      </c>
      <c r="F111" s="250"/>
    </row>
    <row r="112" spans="1:6">
      <c r="A112" s="129"/>
      <c r="B112" s="247"/>
      <c r="C112" s="237" t="s">
        <v>23284</v>
      </c>
      <c r="D112" s="101"/>
      <c r="E112" s="248"/>
      <c r="F112" s="249">
        <f>SUM(E103:E109)</f>
        <v>507.76</v>
      </c>
    </row>
    <row r="113" spans="1:6">
      <c r="A113" s="130">
        <v>39558</v>
      </c>
      <c r="B113" s="76" t="str">
        <f>TiposLancamentos!B71</f>
        <v>Itens Pessoais</v>
      </c>
      <c r="C113" s="147" t="s">
        <v>23285</v>
      </c>
      <c r="D113" s="63"/>
      <c r="E113" s="49">
        <f>52.74*1.68</f>
        <v>88.603200000000001</v>
      </c>
      <c r="F113" s="250"/>
    </row>
    <row r="114" spans="1:6">
      <c r="A114" s="130">
        <v>39558</v>
      </c>
      <c r="B114" s="76" t="str">
        <f>TiposLancamentos!B71</f>
        <v>Itens Pessoais</v>
      </c>
      <c r="C114" s="147" t="s">
        <v>23286</v>
      </c>
      <c r="D114" s="63"/>
      <c r="E114" s="49">
        <f>60.95*1.68</f>
        <v>102.396</v>
      </c>
      <c r="F114" s="250"/>
    </row>
    <row r="115" spans="1:6">
      <c r="A115" s="130">
        <v>39558</v>
      </c>
      <c r="B115" s="76" t="str">
        <f>TiposLancamentos!B57</f>
        <v>Informática</v>
      </c>
      <c r="C115" s="147" t="s">
        <v>23287</v>
      </c>
      <c r="D115" s="63"/>
      <c r="E115" s="49">
        <f>34.9*1.68</f>
        <v>58.631999999999998</v>
      </c>
      <c r="F115" s="250"/>
    </row>
    <row r="116" spans="1:6">
      <c r="A116" s="130">
        <v>39570</v>
      </c>
      <c r="B116" s="76" t="str">
        <f>TiposLancamentos!B15</f>
        <v>Cartões de Crédito</v>
      </c>
      <c r="C116" s="147" t="s">
        <v>16507</v>
      </c>
      <c r="D116" s="63">
        <v>507.76</v>
      </c>
      <c r="E116" s="49"/>
      <c r="F116" s="250"/>
    </row>
    <row r="117" spans="1:6">
      <c r="A117" s="130">
        <v>39570</v>
      </c>
      <c r="B117" s="76" t="str">
        <f>TiposLancamentos!B98</f>
        <v>Restituições</v>
      </c>
      <c r="C117" s="147" t="s">
        <v>23288</v>
      </c>
      <c r="D117" s="63">
        <v>0.77</v>
      </c>
      <c r="E117" s="49"/>
      <c r="F117" s="250"/>
    </row>
    <row r="118" spans="1:6">
      <c r="A118" s="130">
        <v>39589</v>
      </c>
      <c r="B118" s="76" t="str">
        <f>TiposLancamentos!B4</f>
        <v>Taxas Bancarias</v>
      </c>
      <c r="C118" s="147" t="s">
        <v>23289</v>
      </c>
      <c r="D118" s="63"/>
      <c r="E118" s="49">
        <v>5.94</v>
      </c>
      <c r="F118" s="250"/>
    </row>
    <row r="119" spans="1:6">
      <c r="A119" s="242"/>
      <c r="B119" s="226"/>
      <c r="C119" s="227" t="s">
        <v>10</v>
      </c>
      <c r="D119" s="228"/>
      <c r="E119" s="228"/>
      <c r="F119" s="251"/>
    </row>
    <row r="120" spans="1:6">
      <c r="A120" s="130">
        <v>39590</v>
      </c>
      <c r="B120" s="76" t="str">
        <f>TiposLancamentos!B98</f>
        <v>Restituições</v>
      </c>
      <c r="C120" s="147" t="s">
        <v>23290</v>
      </c>
      <c r="D120" s="63">
        <v>0.78</v>
      </c>
      <c r="E120" s="49"/>
      <c r="F120" s="250"/>
    </row>
    <row r="121" spans="1:6">
      <c r="A121" s="130">
        <v>39591</v>
      </c>
      <c r="B121" s="76" t="str">
        <f>TiposLancamentos!B19</f>
        <v>Restaurantes</v>
      </c>
      <c r="C121" s="147" t="s">
        <v>23291</v>
      </c>
      <c r="D121" s="63"/>
      <c r="E121" s="49">
        <v>116.6</v>
      </c>
      <c r="F121" s="250"/>
    </row>
    <row r="122" spans="1:6">
      <c r="A122" s="130">
        <v>39594</v>
      </c>
      <c r="B122" s="76" t="str">
        <f>TiposLancamentos!B44</f>
        <v>Academia</v>
      </c>
      <c r="C122" s="147" t="s">
        <v>23292</v>
      </c>
      <c r="D122" s="63"/>
      <c r="E122" s="49">
        <v>153.5</v>
      </c>
      <c r="F122" s="250"/>
    </row>
    <row r="123" spans="1:6">
      <c r="A123" s="130">
        <v>39595</v>
      </c>
      <c r="B123" s="76" t="str">
        <f>TiposLancamentos!B70</f>
        <v>Vestuário</v>
      </c>
      <c r="C123" s="147" t="s">
        <v>23293</v>
      </c>
      <c r="D123" s="63"/>
      <c r="E123" s="49">
        <v>102.53</v>
      </c>
      <c r="F123" s="250"/>
    </row>
    <row r="124" spans="1:6">
      <c r="A124" s="129"/>
      <c r="B124" s="247"/>
      <c r="C124" s="237" t="s">
        <v>3539</v>
      </c>
      <c r="D124" s="101"/>
      <c r="E124" s="248"/>
      <c r="F124" s="249">
        <f>SUM(E111:E118)</f>
        <v>747.57119999999998</v>
      </c>
    </row>
    <row r="125" spans="1:6">
      <c r="A125" s="130">
        <v>39601</v>
      </c>
      <c r="B125" s="76" t="str">
        <f>TiposLancamentos!B15</f>
        <v>Cartões de Crédito</v>
      </c>
      <c r="C125" s="147" t="s">
        <v>23294</v>
      </c>
      <c r="D125" s="63">
        <v>746.79</v>
      </c>
      <c r="E125" s="49"/>
      <c r="F125" s="250"/>
    </row>
    <row r="126" spans="1:6">
      <c r="A126" s="130">
        <v>39601</v>
      </c>
      <c r="B126" s="76" t="str">
        <f>TiposLancamentos!B72</f>
        <v>Presentes</v>
      </c>
      <c r="C126" s="147" t="s">
        <v>23295</v>
      </c>
      <c r="D126" s="63"/>
      <c r="E126" s="49">
        <v>89.82</v>
      </c>
      <c r="F126" s="250"/>
    </row>
    <row r="127" spans="1:6">
      <c r="A127" s="130">
        <v>39601</v>
      </c>
      <c r="B127" s="76" t="str">
        <f>TiposLancamentos!B98</f>
        <v>Restituições</v>
      </c>
      <c r="C127" s="147" t="s">
        <v>23288</v>
      </c>
      <c r="D127" s="63">
        <v>2.97</v>
      </c>
      <c r="E127" s="49"/>
      <c r="F127" s="250"/>
    </row>
    <row r="128" spans="1:6">
      <c r="A128" s="242"/>
      <c r="B128" s="226"/>
      <c r="C128" s="227" t="s">
        <v>10</v>
      </c>
      <c r="D128" s="228"/>
      <c r="E128" s="228"/>
      <c r="F128" s="251"/>
    </row>
    <row r="129" spans="1:6">
      <c r="A129" s="130">
        <v>39625</v>
      </c>
      <c r="B129" s="76" t="str">
        <f>TiposLancamentos!B44</f>
        <v>Academia</v>
      </c>
      <c r="C129" s="147" t="s">
        <v>23296</v>
      </c>
      <c r="D129" s="63"/>
      <c r="E129" s="49">
        <v>153.30000000000001</v>
      </c>
      <c r="F129" s="250"/>
    </row>
    <row r="130" spans="1:6">
      <c r="A130" s="129"/>
      <c r="B130" s="247"/>
      <c r="C130" s="237" t="s">
        <v>3551</v>
      </c>
      <c r="D130" s="101"/>
      <c r="E130" s="248"/>
      <c r="F130" s="249">
        <f>SUM(E120:E127)</f>
        <v>462.45</v>
      </c>
    </row>
    <row r="131" spans="1:6">
      <c r="A131" s="130">
        <v>39630</v>
      </c>
      <c r="B131" s="76" t="str">
        <f>TiposLancamentos!B15</f>
        <v>Cartões de Crédito</v>
      </c>
      <c r="C131" s="147" t="s">
        <v>20858</v>
      </c>
      <c r="D131" s="63">
        <v>460.5</v>
      </c>
      <c r="E131" s="49"/>
      <c r="F131" s="250"/>
    </row>
    <row r="132" spans="1:6">
      <c r="A132" s="130">
        <v>39630</v>
      </c>
      <c r="B132" s="76" t="str">
        <f>TiposLancamentos!B72</f>
        <v>Presentes</v>
      </c>
      <c r="C132" s="147" t="s">
        <v>23297</v>
      </c>
      <c r="D132" s="63"/>
      <c r="E132" s="49">
        <v>120.9</v>
      </c>
      <c r="F132" s="250"/>
    </row>
    <row r="133" spans="1:6">
      <c r="A133" s="130">
        <v>39649</v>
      </c>
      <c r="B133" s="76" t="str">
        <f>TiposLancamentos!B13</f>
        <v>Moradia</v>
      </c>
      <c r="C133" s="147" t="s">
        <v>23298</v>
      </c>
      <c r="D133" s="63"/>
      <c r="E133" s="49">
        <v>102.3</v>
      </c>
      <c r="F133" s="250"/>
    </row>
    <row r="134" spans="1:6">
      <c r="A134" s="130">
        <v>39649</v>
      </c>
      <c r="B134" s="76" t="str">
        <f>TiposLancamentos!B25</f>
        <v>CD_DVD_BD</v>
      </c>
      <c r="C134" s="147" t="s">
        <v>23299</v>
      </c>
      <c r="D134" s="63"/>
      <c r="E134" s="49">
        <v>29.9</v>
      </c>
      <c r="F134" s="250"/>
    </row>
    <row r="135" spans="1:6">
      <c r="A135" s="130">
        <v>39650</v>
      </c>
      <c r="B135" s="76" t="str">
        <f>TiposLancamentos!B5</f>
        <v>Supermercado</v>
      </c>
      <c r="C135" s="147" t="s">
        <v>23300</v>
      </c>
      <c r="D135" s="63"/>
      <c r="E135" s="49">
        <v>165.68</v>
      </c>
      <c r="F135" s="250"/>
    </row>
    <row r="136" spans="1:6">
      <c r="A136" s="242"/>
      <c r="B136" s="226"/>
      <c r="C136" s="227" t="s">
        <v>10</v>
      </c>
      <c r="D136" s="228"/>
      <c r="E136" s="228"/>
      <c r="F136" s="251"/>
    </row>
    <row r="137" spans="1:6">
      <c r="A137" s="130">
        <v>39655</v>
      </c>
      <c r="B137" s="76" t="str">
        <f>TiposLancamentos!B44</f>
        <v>Academia</v>
      </c>
      <c r="C137" s="147" t="s">
        <v>23301</v>
      </c>
      <c r="D137" s="63"/>
      <c r="E137" s="49">
        <v>153.5</v>
      </c>
      <c r="F137" s="250"/>
    </row>
    <row r="138" spans="1:6">
      <c r="A138" s="130">
        <v>39656</v>
      </c>
      <c r="B138" s="76" t="str">
        <f>TiposLancamentos!B91</f>
        <v>PSP Slim 2000</v>
      </c>
      <c r="C138" s="147" t="s">
        <v>23302</v>
      </c>
      <c r="D138" s="63"/>
      <c r="E138" s="49">
        <v>235</v>
      </c>
      <c r="F138" s="250"/>
    </row>
    <row r="139" spans="1:6">
      <c r="A139" s="130">
        <v>39656</v>
      </c>
      <c r="B139" s="76" t="str">
        <f>TiposLancamentos!B25</f>
        <v>CD_DVD_BD</v>
      </c>
      <c r="C139" s="147" t="s">
        <v>4294</v>
      </c>
      <c r="D139" s="63"/>
      <c r="E139" s="49">
        <v>16.87</v>
      </c>
      <c r="F139" s="250"/>
    </row>
    <row r="140" spans="1:6">
      <c r="A140" s="130">
        <v>39659</v>
      </c>
      <c r="B140" s="76" t="str">
        <f>TiposLancamentos!B5</f>
        <v>Supermercado</v>
      </c>
      <c r="C140" s="147" t="s">
        <v>23303</v>
      </c>
      <c r="D140" s="63"/>
      <c r="E140" s="49">
        <v>106.45</v>
      </c>
      <c r="F140" s="250"/>
    </row>
    <row r="141" spans="1:6">
      <c r="A141" s="129"/>
      <c r="B141" s="247"/>
      <c r="C141" s="237" t="s">
        <v>3567</v>
      </c>
      <c r="D141" s="101"/>
      <c r="E141" s="248"/>
      <c r="F141" s="249">
        <f>SUM(E129:E135)</f>
        <v>572.08000000000004</v>
      </c>
    </row>
    <row r="142" spans="1:6">
      <c r="A142" s="130">
        <v>39661</v>
      </c>
      <c r="B142" s="76" t="str">
        <f>TiposLancamentos!B15</f>
        <v>Cartões de Crédito</v>
      </c>
      <c r="C142" s="147" t="s">
        <v>23304</v>
      </c>
      <c r="D142" s="63">
        <v>569.70000000000005</v>
      </c>
      <c r="E142" s="49"/>
      <c r="F142" s="250"/>
    </row>
    <row r="143" spans="1:6">
      <c r="A143" s="130">
        <v>39664</v>
      </c>
      <c r="B143" s="76" t="str">
        <f>TiposLancamentos!B26</f>
        <v>LIVROS</v>
      </c>
      <c r="C143" s="147" t="s">
        <v>23305</v>
      </c>
      <c r="D143" s="63"/>
      <c r="E143" s="49">
        <v>68</v>
      </c>
      <c r="F143" s="250"/>
    </row>
    <row r="144" spans="1:6">
      <c r="A144" s="130">
        <v>39667</v>
      </c>
      <c r="B144" s="76" t="str">
        <f>TiposLancamentos!B71</f>
        <v>Itens Pessoais</v>
      </c>
      <c r="C144" s="147" t="s">
        <v>23306</v>
      </c>
      <c r="D144" s="63"/>
      <c r="E144" s="49">
        <v>300</v>
      </c>
      <c r="F144" s="250"/>
    </row>
    <row r="145" spans="1:6">
      <c r="A145" s="130">
        <v>39671</v>
      </c>
      <c r="B145" s="76" t="str">
        <f>TiposLancamentos!B50</f>
        <v>Guitarra</v>
      </c>
      <c r="C145" s="147" t="s">
        <v>23307</v>
      </c>
      <c r="D145" s="63"/>
      <c r="E145" s="49">
        <v>74.58</v>
      </c>
      <c r="F145" s="250"/>
    </row>
    <row r="146" spans="1:6">
      <c r="A146" s="130">
        <v>39677</v>
      </c>
      <c r="B146" s="76" t="str">
        <f>TiposLancamentos!B64</f>
        <v>Viagens</v>
      </c>
      <c r="C146" s="147" t="s">
        <v>23308</v>
      </c>
      <c r="D146" s="63"/>
      <c r="E146" s="49">
        <v>316.2</v>
      </c>
      <c r="F146" s="250"/>
    </row>
    <row r="147" spans="1:6">
      <c r="A147" s="130">
        <v>39679</v>
      </c>
      <c r="B147" s="76" t="str">
        <f>TiposLancamentos!B56</f>
        <v>Farmácia</v>
      </c>
      <c r="C147" s="147" t="s">
        <v>23309</v>
      </c>
      <c r="D147" s="63"/>
      <c r="E147" s="49">
        <v>51</v>
      </c>
      <c r="F147" s="250"/>
    </row>
    <row r="148" spans="1:6">
      <c r="A148" s="242"/>
      <c r="B148" s="226"/>
      <c r="C148" s="227" t="s">
        <v>10</v>
      </c>
      <c r="D148" s="228"/>
      <c r="E148" s="228"/>
      <c r="F148" s="251"/>
    </row>
    <row r="149" spans="1:6">
      <c r="A149" s="130">
        <v>39683</v>
      </c>
      <c r="B149" s="76" t="str">
        <f>TiposLancamentos!B19</f>
        <v>Restaurantes</v>
      </c>
      <c r="C149" s="147" t="s">
        <v>23310</v>
      </c>
      <c r="D149" s="63"/>
      <c r="E149" s="49">
        <v>160.32</v>
      </c>
      <c r="F149" s="250"/>
    </row>
    <row r="150" spans="1:6">
      <c r="A150" s="130">
        <v>39685</v>
      </c>
      <c r="B150" s="76" t="str">
        <f>TiposLancamentos!B56</f>
        <v>Farmácia</v>
      </c>
      <c r="C150" s="147" t="s">
        <v>23311</v>
      </c>
      <c r="D150" s="63"/>
      <c r="E150" s="49">
        <v>130.19</v>
      </c>
      <c r="F150" s="250"/>
    </row>
    <row r="151" spans="1:6">
      <c r="A151" s="130">
        <v>39686</v>
      </c>
      <c r="B151" s="76" t="str">
        <f>TiposLancamentos!B44</f>
        <v>Academia</v>
      </c>
      <c r="C151" s="147" t="s">
        <v>23312</v>
      </c>
      <c r="D151" s="63"/>
      <c r="E151" s="49">
        <v>153.30000000000001</v>
      </c>
      <c r="F151" s="250"/>
    </row>
    <row r="152" spans="1:6">
      <c r="A152" s="194">
        <v>39688</v>
      </c>
      <c r="B152" s="252" t="str">
        <f>TiposLancamentos!B22</f>
        <v>Combustivel</v>
      </c>
      <c r="C152" s="244" t="s">
        <v>21022</v>
      </c>
      <c r="D152" s="106"/>
      <c r="E152" s="253">
        <v>104</v>
      </c>
      <c r="F152" s="254"/>
    </row>
    <row r="153" spans="1:6">
      <c r="A153" s="130"/>
      <c r="B153" s="76"/>
      <c r="C153" s="147" t="s">
        <v>16538</v>
      </c>
      <c r="D153" s="63"/>
      <c r="E153" s="49"/>
      <c r="F153" s="250">
        <f>SUM(E137:E147)</f>
        <v>1321.6</v>
      </c>
    </row>
    <row r="154" spans="1:6">
      <c r="A154" s="130">
        <v>39692</v>
      </c>
      <c r="B154" s="76" t="str">
        <f>TiposLancamentos!B15</f>
        <v>Cartões de Crédito</v>
      </c>
      <c r="C154" s="147" t="s">
        <v>20858</v>
      </c>
      <c r="D154" s="63">
        <v>1321.6</v>
      </c>
      <c r="E154" s="49"/>
      <c r="F154" s="250"/>
    </row>
    <row r="155" spans="1:6">
      <c r="A155" s="130">
        <v>39698</v>
      </c>
      <c r="B155" s="76" t="str">
        <f>TiposLancamentos!B45</f>
        <v>Online Services</v>
      </c>
      <c r="C155" s="147" t="s">
        <v>23313</v>
      </c>
      <c r="D155" s="63"/>
      <c r="E155" s="49">
        <v>7.49</v>
      </c>
      <c r="F155" s="250"/>
    </row>
    <row r="156" spans="1:6">
      <c r="A156" s="130">
        <v>39699</v>
      </c>
      <c r="B156" s="76" t="str">
        <f>TiposLancamentos!B71</f>
        <v>Itens Pessoais</v>
      </c>
      <c r="C156" s="147" t="s">
        <v>23314</v>
      </c>
      <c r="D156" s="63"/>
      <c r="E156" s="49">
        <v>300</v>
      </c>
      <c r="F156" s="250"/>
    </row>
    <row r="157" spans="1:6">
      <c r="A157" s="242"/>
      <c r="B157" s="226"/>
      <c r="C157" s="227" t="s">
        <v>10</v>
      </c>
      <c r="D157" s="228"/>
      <c r="E157" s="228"/>
      <c r="F157" s="251"/>
    </row>
    <row r="158" spans="1:6">
      <c r="A158" s="130">
        <v>39720</v>
      </c>
      <c r="B158" s="76" t="str">
        <f>TiposLancamentos!B5</f>
        <v>Supermercado</v>
      </c>
      <c r="C158" s="147" t="s">
        <v>2567</v>
      </c>
      <c r="D158" s="63"/>
      <c r="E158" s="49">
        <v>114.33</v>
      </c>
      <c r="F158" s="250"/>
    </row>
    <row r="159" spans="1:6">
      <c r="A159" s="194">
        <v>39721</v>
      </c>
      <c r="B159" s="252" t="str">
        <f>TiposLancamentos!B70</f>
        <v>Vestuário</v>
      </c>
      <c r="C159" s="244" t="s">
        <v>23315</v>
      </c>
      <c r="D159" s="106"/>
      <c r="E159" s="253">
        <v>384.34</v>
      </c>
      <c r="F159" s="254"/>
    </row>
    <row r="160" spans="1:6">
      <c r="A160" s="129"/>
      <c r="B160" s="247"/>
      <c r="C160" s="237" t="s">
        <v>3611</v>
      </c>
      <c r="D160" s="101"/>
      <c r="E160" s="248"/>
      <c r="F160" s="249">
        <f>SUM(E149:E156)</f>
        <v>855.3</v>
      </c>
    </row>
    <row r="161" spans="1:6">
      <c r="A161" s="130">
        <v>39722</v>
      </c>
      <c r="B161" s="76" t="str">
        <f>TiposLancamentos!B15</f>
        <v>Cartões de Crédito</v>
      </c>
      <c r="C161" s="147" t="s">
        <v>5115</v>
      </c>
      <c r="D161" s="63">
        <v>855.7</v>
      </c>
      <c r="E161" s="49"/>
      <c r="F161" s="250"/>
    </row>
    <row r="162" spans="1:6">
      <c r="A162" s="130">
        <v>39722</v>
      </c>
      <c r="B162" s="76" t="str">
        <f>TiposLancamentos!B85</f>
        <v>Peugeout 206</v>
      </c>
      <c r="C162" s="147" t="s">
        <v>23316</v>
      </c>
      <c r="D162" s="63"/>
      <c r="E162" s="49">
        <v>342</v>
      </c>
      <c r="F162" s="250"/>
    </row>
    <row r="163" spans="1:6">
      <c r="A163" s="130">
        <v>39726</v>
      </c>
      <c r="B163" s="76" t="str">
        <f>TiposLancamentos!B19</f>
        <v>Restaurantes</v>
      </c>
      <c r="C163" s="147" t="s">
        <v>17270</v>
      </c>
      <c r="D163" s="63"/>
      <c r="E163" s="49">
        <v>106.7</v>
      </c>
      <c r="F163" s="250"/>
    </row>
    <row r="164" spans="1:6">
      <c r="A164" s="130">
        <v>39726</v>
      </c>
      <c r="B164" s="76" t="str">
        <f>TiposLancamentos!B13</f>
        <v>Moradia</v>
      </c>
      <c r="C164" s="147" t="s">
        <v>23317</v>
      </c>
      <c r="D164" s="63"/>
      <c r="E164" s="49">
        <f>360/2</f>
        <v>180</v>
      </c>
      <c r="F164" s="250"/>
    </row>
    <row r="165" spans="1:6">
      <c r="A165" s="130">
        <v>39728</v>
      </c>
      <c r="B165" s="76" t="str">
        <f>TiposLancamentos!B26</f>
        <v>LIVROS</v>
      </c>
      <c r="C165" s="147" t="s">
        <v>23318</v>
      </c>
      <c r="D165" s="63"/>
      <c r="E165" s="49">
        <v>50</v>
      </c>
      <c r="F165" s="250"/>
    </row>
    <row r="166" spans="1:6">
      <c r="A166" s="130">
        <v>39730</v>
      </c>
      <c r="B166" s="76" t="str">
        <f>TiposLancamentos!B16</f>
        <v>Cristiane</v>
      </c>
      <c r="C166" s="147" t="s">
        <v>23319</v>
      </c>
      <c r="D166" s="63"/>
      <c r="E166" s="49">
        <v>265.8</v>
      </c>
      <c r="F166" s="250"/>
    </row>
    <row r="167" spans="1:6">
      <c r="A167" s="130">
        <v>39734</v>
      </c>
      <c r="B167" s="76" t="str">
        <f>TiposLancamentos!B13</f>
        <v>Moradia</v>
      </c>
      <c r="C167" s="147" t="s">
        <v>23320</v>
      </c>
      <c r="D167" s="63"/>
      <c r="E167" s="49">
        <v>138.99</v>
      </c>
      <c r="F167" s="250"/>
    </row>
    <row r="168" spans="1:6">
      <c r="A168" s="130">
        <v>39739</v>
      </c>
      <c r="B168" s="76" t="str">
        <f>TiposLancamentos!B70</f>
        <v>Vestuário</v>
      </c>
      <c r="C168" s="147" t="s">
        <v>23321</v>
      </c>
      <c r="D168" s="63"/>
      <c r="E168" s="49">
        <v>199.9</v>
      </c>
      <c r="F168" s="250"/>
    </row>
    <row r="169" spans="1:6">
      <c r="A169" s="103">
        <v>39740</v>
      </c>
      <c r="B169" s="76" t="str">
        <f>TiposLancamentos!B19</f>
        <v>Restaurantes</v>
      </c>
      <c r="C169" s="147" t="s">
        <v>23322</v>
      </c>
      <c r="D169" s="63"/>
      <c r="E169" s="49">
        <v>63.36</v>
      </c>
      <c r="F169" s="250"/>
    </row>
    <row r="170" spans="1:6">
      <c r="A170" s="242"/>
      <c r="B170" s="226"/>
      <c r="C170" s="227" t="s">
        <v>10</v>
      </c>
      <c r="D170" s="228"/>
      <c r="E170" s="228"/>
      <c r="F170" s="251"/>
    </row>
    <row r="171" spans="1:6">
      <c r="A171" s="103">
        <v>39744</v>
      </c>
      <c r="B171" s="76" t="str">
        <f>TiposLancamentos!B57</f>
        <v>Informática</v>
      </c>
      <c r="C171" s="147" t="s">
        <v>23323</v>
      </c>
      <c r="D171" s="63"/>
      <c r="E171" s="49">
        <v>20.69</v>
      </c>
      <c r="F171" s="250"/>
    </row>
    <row r="172" spans="1:6">
      <c r="A172" s="103">
        <v>39744</v>
      </c>
      <c r="B172" s="76" t="str">
        <f>TiposLancamentos!B57</f>
        <v>Informática</v>
      </c>
      <c r="C172" s="147" t="s">
        <v>23324</v>
      </c>
      <c r="D172" s="63"/>
      <c r="E172" s="49">
        <v>25.9</v>
      </c>
      <c r="F172" s="250"/>
    </row>
    <row r="173" spans="1:6">
      <c r="A173" s="103">
        <v>39745</v>
      </c>
      <c r="B173" s="76" t="str">
        <f>TiposLancamentos!B19</f>
        <v>Restaurantes</v>
      </c>
      <c r="C173" s="147" t="s">
        <v>23325</v>
      </c>
      <c r="D173" s="63"/>
      <c r="E173" s="49">
        <v>71.8</v>
      </c>
      <c r="F173" s="250"/>
    </row>
    <row r="174" spans="1:6">
      <c r="A174" s="103">
        <v>39746</v>
      </c>
      <c r="B174" s="76" t="str">
        <f>TiposLancamentos!B5</f>
        <v>Supermercado</v>
      </c>
      <c r="C174" s="147" t="s">
        <v>23326</v>
      </c>
      <c r="D174" s="63"/>
      <c r="E174" s="49">
        <v>22.68</v>
      </c>
      <c r="F174" s="250"/>
    </row>
    <row r="175" spans="1:6">
      <c r="A175" s="103">
        <v>39746</v>
      </c>
      <c r="B175" s="76" t="str">
        <f>TiposLancamentos!B5</f>
        <v>Supermercado</v>
      </c>
      <c r="C175" s="147" t="s">
        <v>23327</v>
      </c>
      <c r="D175" s="63"/>
      <c r="E175" s="49">
        <v>161.38999999999999</v>
      </c>
      <c r="F175" s="250"/>
    </row>
    <row r="176" spans="1:6">
      <c r="A176" s="103">
        <v>39747</v>
      </c>
      <c r="B176" s="76" t="str">
        <f>TiposLancamentos!B17</f>
        <v>GATO</v>
      </c>
      <c r="C176" s="147" t="s">
        <v>23328</v>
      </c>
      <c r="D176" s="63"/>
      <c r="E176" s="49">
        <v>66.64</v>
      </c>
      <c r="F176" s="250"/>
    </row>
    <row r="177" spans="1:6">
      <c r="A177" s="103">
        <v>39749</v>
      </c>
      <c r="B177" s="76" t="str">
        <f>TiposLancamentos!B56</f>
        <v>Farmácia</v>
      </c>
      <c r="C177" s="147" t="s">
        <v>6118</v>
      </c>
      <c r="D177" s="63"/>
      <c r="E177" s="49">
        <v>116.56</v>
      </c>
      <c r="F177" s="250"/>
    </row>
    <row r="178" spans="1:6">
      <c r="A178" s="103">
        <v>39749</v>
      </c>
      <c r="B178" s="76" t="str">
        <f>TiposLancamentos!B22</f>
        <v>Combustivel</v>
      </c>
      <c r="C178" s="147" t="s">
        <v>23329</v>
      </c>
      <c r="D178" s="63"/>
      <c r="E178" s="49">
        <v>66</v>
      </c>
      <c r="F178" s="250"/>
    </row>
    <row r="179" spans="1:6">
      <c r="A179" s="103">
        <v>39750</v>
      </c>
      <c r="B179" s="76" t="str">
        <f>TiposLancamentos!B17</f>
        <v>GATO</v>
      </c>
      <c r="C179" s="147" t="s">
        <v>23330</v>
      </c>
      <c r="D179" s="63"/>
      <c r="E179" s="49">
        <v>30</v>
      </c>
      <c r="F179" s="250"/>
    </row>
    <row r="180" spans="1:6">
      <c r="A180" s="103">
        <v>39750</v>
      </c>
      <c r="B180" s="76" t="str">
        <f>TiposLancamentos!B19</f>
        <v>Restaurantes</v>
      </c>
      <c r="C180" s="147" t="s">
        <v>23331</v>
      </c>
      <c r="D180" s="63"/>
      <c r="E180" s="49">
        <v>17.98</v>
      </c>
      <c r="F180" s="250"/>
    </row>
    <row r="181" spans="1:6">
      <c r="A181" s="103">
        <v>39750</v>
      </c>
      <c r="B181" s="76" t="str">
        <f>TiposLancamentos!B13</f>
        <v>Moradia</v>
      </c>
      <c r="C181" s="147" t="s">
        <v>23332</v>
      </c>
      <c r="D181" s="63"/>
      <c r="E181" s="49">
        <v>199.7</v>
      </c>
      <c r="F181" s="250"/>
    </row>
    <row r="182" spans="1:6">
      <c r="A182" s="130">
        <v>39751</v>
      </c>
      <c r="B182" s="76" t="str">
        <f>TiposLancamentos!B70</f>
        <v>Vestuário</v>
      </c>
      <c r="C182" s="255" t="s">
        <v>23333</v>
      </c>
      <c r="D182" s="63"/>
      <c r="E182" s="49">
        <v>384.33</v>
      </c>
      <c r="F182" s="250"/>
    </row>
    <row r="183" spans="1:6">
      <c r="A183" s="129"/>
      <c r="B183" s="247"/>
      <c r="C183" s="237" t="s">
        <v>5652</v>
      </c>
      <c r="D183" s="101"/>
      <c r="E183" s="248"/>
      <c r="F183" s="249">
        <f>SUM(E158:E169)</f>
        <v>1845.4199999999998</v>
      </c>
    </row>
    <row r="184" spans="1:6">
      <c r="A184" s="130">
        <v>39755</v>
      </c>
      <c r="B184" s="76" t="str">
        <f>TiposLancamentos!B15</f>
        <v>Cartões de Crédito</v>
      </c>
      <c r="C184" s="147" t="s">
        <v>20858</v>
      </c>
      <c r="D184" s="63">
        <v>1845.42</v>
      </c>
      <c r="E184" s="49"/>
      <c r="F184" s="250"/>
    </row>
    <row r="185" spans="1:6">
      <c r="A185" s="130">
        <v>39756</v>
      </c>
      <c r="B185" s="76" t="str">
        <f>TiposLancamentos!B75</f>
        <v>Shows</v>
      </c>
      <c r="C185" s="147" t="s">
        <v>23334</v>
      </c>
      <c r="D185" s="63"/>
      <c r="E185" s="49">
        <v>300</v>
      </c>
      <c r="F185" s="250"/>
    </row>
    <row r="186" spans="1:6">
      <c r="A186" s="130">
        <v>39757</v>
      </c>
      <c r="B186" s="76" t="str">
        <f>TiposLancamentos!B13</f>
        <v>Moradia</v>
      </c>
      <c r="C186" s="147" t="s">
        <v>23335</v>
      </c>
      <c r="D186" s="63"/>
      <c r="E186" s="49">
        <v>180</v>
      </c>
      <c r="F186" s="250"/>
    </row>
    <row r="187" spans="1:6">
      <c r="A187" s="130">
        <v>39757</v>
      </c>
      <c r="B187" s="76" t="str">
        <f>TiposLancamentos!B75</f>
        <v>Shows</v>
      </c>
      <c r="C187" s="147" t="s">
        <v>23336</v>
      </c>
      <c r="D187" s="63"/>
      <c r="E187" s="49">
        <v>300</v>
      </c>
      <c r="F187" s="250"/>
    </row>
    <row r="188" spans="1:6">
      <c r="A188" s="130">
        <v>39762</v>
      </c>
      <c r="B188" s="76" t="str">
        <f>TiposLancamentos!B45</f>
        <v>Online Services</v>
      </c>
      <c r="C188" s="147" t="s">
        <v>23337</v>
      </c>
      <c r="D188" s="63"/>
      <c r="E188" s="49">
        <v>26</v>
      </c>
      <c r="F188" s="250"/>
    </row>
    <row r="189" spans="1:6">
      <c r="A189" s="130">
        <v>39762</v>
      </c>
      <c r="B189" s="76" t="str">
        <f>TiposLancamentos!B45</f>
        <v>Online Services</v>
      </c>
      <c r="C189" s="147" t="s">
        <v>23338</v>
      </c>
      <c r="D189" s="63"/>
      <c r="E189" s="49">
        <v>15</v>
      </c>
      <c r="F189" s="250"/>
    </row>
    <row r="190" spans="1:6">
      <c r="A190" s="130">
        <v>39765</v>
      </c>
      <c r="B190" s="76" t="str">
        <f>TiposLancamentos!B13</f>
        <v>Moradia</v>
      </c>
      <c r="C190" s="147" t="s">
        <v>23339</v>
      </c>
      <c r="D190" s="63"/>
      <c r="E190" s="49">
        <v>138.97999999999999</v>
      </c>
      <c r="F190" s="250"/>
    </row>
    <row r="191" spans="1:6">
      <c r="A191" s="130">
        <v>39770</v>
      </c>
      <c r="B191" s="76" t="str">
        <f>TiposLancamentos!B70</f>
        <v>Vestuário</v>
      </c>
      <c r="C191" s="147" t="s">
        <v>23340</v>
      </c>
      <c r="D191" s="63"/>
      <c r="E191" s="49">
        <v>199.9</v>
      </c>
      <c r="F191" s="250"/>
    </row>
    <row r="192" spans="1:6">
      <c r="A192" s="242"/>
      <c r="B192" s="226"/>
      <c r="C192" s="227" t="s">
        <v>10</v>
      </c>
      <c r="D192" s="228"/>
      <c r="E192" s="228"/>
      <c r="F192" s="251"/>
    </row>
    <row r="193" spans="1:6">
      <c r="A193" s="130">
        <v>39777</v>
      </c>
      <c r="B193" s="76" t="str">
        <f>TiposLancamentos!B16</f>
        <v>Cristiane</v>
      </c>
      <c r="C193" s="147" t="s">
        <v>23341</v>
      </c>
      <c r="D193" s="63"/>
      <c r="E193" s="49">
        <v>76</v>
      </c>
      <c r="F193" s="250"/>
    </row>
    <row r="194" spans="1:6">
      <c r="A194" s="130">
        <v>39781</v>
      </c>
      <c r="B194" s="76" t="str">
        <f>TiposLancamentos!B13</f>
        <v>Moradia</v>
      </c>
      <c r="C194" s="147" t="s">
        <v>23342</v>
      </c>
      <c r="D194" s="63"/>
      <c r="E194" s="49">
        <v>199.67</v>
      </c>
      <c r="F194" s="250"/>
    </row>
    <row r="195" spans="1:6">
      <c r="A195" s="130">
        <v>39782</v>
      </c>
      <c r="B195" s="76" t="str">
        <f>TiposLancamentos!B70</f>
        <v>Vestuário</v>
      </c>
      <c r="C195" s="255" t="s">
        <v>23343</v>
      </c>
      <c r="D195" s="63"/>
      <c r="E195" s="49">
        <v>384.33</v>
      </c>
      <c r="F195" s="250"/>
    </row>
    <row r="196" spans="1:6">
      <c r="A196" s="129"/>
      <c r="B196" s="247"/>
      <c r="C196" s="237" t="s">
        <v>3675</v>
      </c>
      <c r="D196" s="101"/>
      <c r="E196" s="248"/>
      <c r="F196" s="249">
        <f>SUM(E171:E191)</f>
        <v>2343.5499999999997</v>
      </c>
    </row>
    <row r="197" spans="1:6">
      <c r="A197" s="130">
        <v>39783</v>
      </c>
      <c r="B197" s="76" t="str">
        <f>TiposLancamentos!B15</f>
        <v>Cartões de Crédito</v>
      </c>
      <c r="C197" s="147" t="s">
        <v>16507</v>
      </c>
      <c r="D197" s="63">
        <v>2343.5500000000002</v>
      </c>
      <c r="E197" s="49"/>
      <c r="F197" s="250"/>
    </row>
    <row r="198" spans="1:6">
      <c r="A198" s="130">
        <v>39783</v>
      </c>
      <c r="B198" s="76" t="str">
        <f>TiposLancamentos!B98</f>
        <v>Restituições</v>
      </c>
      <c r="C198" s="147" t="s">
        <v>23344</v>
      </c>
      <c r="D198" s="63">
        <v>300</v>
      </c>
      <c r="E198" s="49"/>
      <c r="F198" s="250"/>
    </row>
    <row r="199" spans="1:6">
      <c r="A199" s="130">
        <v>39784</v>
      </c>
      <c r="B199" s="76" t="str">
        <f>TiposLancamentos!B4</f>
        <v>Taxas Bancarias</v>
      </c>
      <c r="C199" s="147" t="s">
        <v>23345</v>
      </c>
      <c r="D199" s="63"/>
      <c r="E199" s="49">
        <v>91.56</v>
      </c>
      <c r="F199" s="250"/>
    </row>
    <row r="200" spans="1:6">
      <c r="A200" s="130">
        <v>39785</v>
      </c>
      <c r="B200" s="76" t="str">
        <f>TiposLancamentos!B72</f>
        <v>Presentes</v>
      </c>
      <c r="C200" s="147" t="s">
        <v>23346</v>
      </c>
      <c r="D200" s="63"/>
      <c r="E200" s="49">
        <v>62.8</v>
      </c>
      <c r="F200" s="250"/>
    </row>
    <row r="201" spans="1:6">
      <c r="A201" s="130">
        <v>39785</v>
      </c>
      <c r="B201" s="76" t="str">
        <f>TiposLancamentos!B56</f>
        <v>Farmácia</v>
      </c>
      <c r="C201" s="147" t="s">
        <v>23347</v>
      </c>
      <c r="D201" s="63"/>
      <c r="E201" s="49">
        <v>24.41</v>
      </c>
      <c r="F201" s="250"/>
    </row>
    <row r="202" spans="1:6">
      <c r="A202" s="130">
        <v>39789</v>
      </c>
      <c r="B202" s="76" t="str">
        <f>TiposLancamentos!B72</f>
        <v>Presentes</v>
      </c>
      <c r="C202" s="147" t="s">
        <v>23348</v>
      </c>
      <c r="D202" s="63"/>
      <c r="E202" s="49">
        <v>51.02</v>
      </c>
      <c r="F202" s="250"/>
    </row>
    <row r="203" spans="1:6">
      <c r="A203" s="130">
        <v>39790</v>
      </c>
      <c r="B203" s="76" t="str">
        <f>TiposLancamentos!B19</f>
        <v>Restaurantes</v>
      </c>
      <c r="C203" s="147" t="s">
        <v>3287</v>
      </c>
      <c r="D203" s="63"/>
      <c r="E203" s="49">
        <v>33.1</v>
      </c>
      <c r="F203" s="250"/>
    </row>
    <row r="204" spans="1:6">
      <c r="A204" s="130">
        <v>39790</v>
      </c>
      <c r="B204" s="76" t="str">
        <f>TiposLancamentos!B56</f>
        <v>Farmácia</v>
      </c>
      <c r="C204" s="147" t="s">
        <v>3420</v>
      </c>
      <c r="D204" s="63"/>
      <c r="E204" s="49">
        <v>44.99</v>
      </c>
      <c r="F204" s="250"/>
    </row>
    <row r="205" spans="1:6">
      <c r="A205" s="130">
        <v>39790</v>
      </c>
      <c r="B205" s="76" t="str">
        <f>TiposLancamentos!B17</f>
        <v>GATO</v>
      </c>
      <c r="C205" s="147" t="s">
        <v>23349</v>
      </c>
      <c r="D205" s="63"/>
      <c r="E205" s="49">
        <v>66.150000000000006</v>
      </c>
      <c r="F205" s="250"/>
    </row>
    <row r="206" spans="1:6">
      <c r="A206" s="130">
        <v>39790</v>
      </c>
      <c r="B206" s="76" t="str">
        <f>TiposLancamentos!B5</f>
        <v>Supermercado</v>
      </c>
      <c r="C206" s="147" t="s">
        <v>5801</v>
      </c>
      <c r="D206" s="63"/>
      <c r="E206" s="49">
        <v>26.34</v>
      </c>
      <c r="F206" s="250"/>
    </row>
    <row r="207" spans="1:6">
      <c r="A207" s="130">
        <v>39791</v>
      </c>
      <c r="B207" s="76" t="str">
        <f>TiposLancamentos!B19</f>
        <v>Restaurantes</v>
      </c>
      <c r="C207" s="147" t="s">
        <v>23350</v>
      </c>
      <c r="D207" s="63"/>
      <c r="E207" s="49">
        <v>47.1</v>
      </c>
      <c r="F207" s="250"/>
    </row>
    <row r="208" spans="1:6">
      <c r="A208" s="130">
        <v>39791</v>
      </c>
      <c r="B208" s="76" t="str">
        <f>TiposLancamentos!B28</f>
        <v>ComicBook</v>
      </c>
      <c r="C208" s="147" t="s">
        <v>23351</v>
      </c>
      <c r="D208" s="63"/>
      <c r="E208" s="49">
        <v>50.8</v>
      </c>
      <c r="F208" s="250"/>
    </row>
    <row r="209" spans="1:6">
      <c r="A209" s="130">
        <v>39793</v>
      </c>
      <c r="B209" s="76" t="str">
        <f>TiposLancamentos!B19</f>
        <v>Restaurantes</v>
      </c>
      <c r="C209" s="147" t="s">
        <v>22144</v>
      </c>
      <c r="D209" s="63"/>
      <c r="E209" s="49">
        <v>38</v>
      </c>
      <c r="F209" s="250"/>
    </row>
    <row r="210" spans="1:6">
      <c r="A210" s="130">
        <v>39794</v>
      </c>
      <c r="B210" s="76" t="str">
        <f>TiposLancamentos!B58</f>
        <v>Fotografias</v>
      </c>
      <c r="C210" s="147" t="s">
        <v>23352</v>
      </c>
      <c r="D210" s="63"/>
      <c r="E210" s="49">
        <v>16.899999999999999</v>
      </c>
      <c r="F210" s="250"/>
    </row>
    <row r="211" spans="1:6">
      <c r="A211" s="130">
        <v>39794</v>
      </c>
      <c r="B211" s="76" t="str">
        <f>TiposLancamentos!B72</f>
        <v>Presentes</v>
      </c>
      <c r="C211" s="147" t="s">
        <v>23353</v>
      </c>
      <c r="D211" s="63"/>
      <c r="E211" s="49">
        <v>65</v>
      </c>
      <c r="F211" s="250"/>
    </row>
    <row r="212" spans="1:6">
      <c r="A212" s="130">
        <v>39794</v>
      </c>
      <c r="B212" s="76" t="str">
        <f>TiposLancamentos!B72</f>
        <v>Presentes</v>
      </c>
      <c r="C212" s="147" t="s">
        <v>23354</v>
      </c>
      <c r="D212" s="63"/>
      <c r="E212" s="49">
        <v>265</v>
      </c>
      <c r="F212" s="250"/>
    </row>
    <row r="213" spans="1:6">
      <c r="A213" s="130">
        <v>39794</v>
      </c>
      <c r="B213" s="76" t="str">
        <f>TiposLancamentos!B72</f>
        <v>Presentes</v>
      </c>
      <c r="C213" s="147" t="s">
        <v>23355</v>
      </c>
      <c r="D213" s="63"/>
      <c r="E213" s="49">
        <v>329.7</v>
      </c>
      <c r="F213" s="250"/>
    </row>
    <row r="214" spans="1:6">
      <c r="A214" s="130">
        <v>39794</v>
      </c>
      <c r="B214" s="76" t="str">
        <f>TiposLancamentos!B56</f>
        <v>Farmácia</v>
      </c>
      <c r="C214" s="147" t="s">
        <v>20752</v>
      </c>
      <c r="D214" s="63"/>
      <c r="E214" s="49">
        <v>15.77</v>
      </c>
      <c r="F214" s="250"/>
    </row>
    <row r="215" spans="1:6">
      <c r="A215" s="130">
        <v>39795</v>
      </c>
      <c r="B215" s="76" t="str">
        <f>TiposLancamentos!B13</f>
        <v>Moradia</v>
      </c>
      <c r="C215" s="147" t="s">
        <v>23356</v>
      </c>
      <c r="D215" s="63"/>
      <c r="E215" s="49">
        <v>138.97999999999999</v>
      </c>
      <c r="F215" s="250"/>
    </row>
    <row r="216" spans="1:6">
      <c r="A216" s="130">
        <v>39800</v>
      </c>
      <c r="B216" s="76" t="str">
        <f>TiposLancamentos!B70</f>
        <v>Vestuário</v>
      </c>
      <c r="C216" s="147" t="s">
        <v>23357</v>
      </c>
      <c r="D216" s="63"/>
      <c r="E216" s="49">
        <v>199.9</v>
      </c>
      <c r="F216" s="250"/>
    </row>
    <row r="217" spans="1:6">
      <c r="A217" s="242"/>
      <c r="B217" s="226"/>
      <c r="C217" s="227" t="s">
        <v>10</v>
      </c>
      <c r="D217" s="228"/>
      <c r="E217" s="228"/>
      <c r="F217" s="251"/>
    </row>
    <row r="218" spans="1:6">
      <c r="A218" s="130">
        <v>39804</v>
      </c>
      <c r="B218" s="76" t="str">
        <f>TiposLancamentos!B70</f>
        <v>Vestuário</v>
      </c>
      <c r="C218" s="147" t="s">
        <v>23358</v>
      </c>
      <c r="D218" s="63"/>
      <c r="E218" s="49">
        <v>29.9</v>
      </c>
      <c r="F218" s="250"/>
    </row>
    <row r="219" spans="1:6">
      <c r="A219" s="130">
        <v>39804</v>
      </c>
      <c r="B219" s="76" t="str">
        <f>TiposLancamentos!B27</f>
        <v>Jornais e revistas</v>
      </c>
      <c r="C219" s="147" t="s">
        <v>23359</v>
      </c>
      <c r="D219" s="63"/>
      <c r="E219" s="49">
        <v>111.18</v>
      </c>
      <c r="F219" s="250"/>
    </row>
    <row r="220" spans="1:6">
      <c r="A220" s="130">
        <v>39775</v>
      </c>
      <c r="B220" s="76" t="str">
        <f>TiposLancamentos!B19</f>
        <v>Restaurantes</v>
      </c>
      <c r="C220" s="147" t="s">
        <v>23360</v>
      </c>
      <c r="D220" s="63"/>
      <c r="E220" s="49">
        <v>110</v>
      </c>
      <c r="F220" s="250"/>
    </row>
    <row r="221" spans="1:6">
      <c r="A221" s="130">
        <v>39811</v>
      </c>
      <c r="B221" s="76" t="str">
        <f>TiposLancamentos!B13</f>
        <v>Moradia</v>
      </c>
      <c r="C221" s="147" t="s">
        <v>23361</v>
      </c>
      <c r="D221" s="63"/>
      <c r="E221" s="49">
        <v>199.67</v>
      </c>
      <c r="F221" s="250"/>
    </row>
    <row r="222" spans="1:6">
      <c r="A222" s="129"/>
      <c r="B222" s="247"/>
      <c r="C222" s="256" t="s">
        <v>16506</v>
      </c>
      <c r="D222" s="101"/>
      <c r="E222" s="248"/>
      <c r="F222" s="249">
        <f>SUM(E193:E216)-D198</f>
        <v>1927.52</v>
      </c>
    </row>
    <row r="223" spans="1:6">
      <c r="A223" s="130">
        <v>39815</v>
      </c>
      <c r="B223" s="76" t="str">
        <f>TiposLancamentos!B15</f>
        <v>Cartões de Crédito</v>
      </c>
      <c r="C223" s="147" t="s">
        <v>23294</v>
      </c>
      <c r="D223" s="63">
        <v>1927.51</v>
      </c>
      <c r="E223" s="49"/>
      <c r="F223" s="250"/>
    </row>
    <row r="224" spans="1:6">
      <c r="A224" s="130">
        <v>39818</v>
      </c>
      <c r="B224" s="76" t="str">
        <f>TiposLancamentos!B28</f>
        <v>ComicBook</v>
      </c>
      <c r="C224" s="147" t="s">
        <v>23362</v>
      </c>
      <c r="D224" s="63"/>
      <c r="E224" s="49">
        <v>98.21</v>
      </c>
      <c r="F224" s="250"/>
    </row>
    <row r="225" spans="1:6">
      <c r="A225" s="130">
        <v>39819</v>
      </c>
      <c r="B225" s="76" t="str">
        <f>TiposLancamentos!B44</f>
        <v>Academia</v>
      </c>
      <c r="C225" s="147" t="s">
        <v>23363</v>
      </c>
      <c r="D225" s="63"/>
      <c r="E225" s="49">
        <v>207.1</v>
      </c>
      <c r="F225" s="250"/>
    </row>
    <row r="226" spans="1:6">
      <c r="A226" s="242"/>
      <c r="B226" s="226"/>
      <c r="C226" s="227" t="s">
        <v>10</v>
      </c>
      <c r="D226" s="228"/>
      <c r="E226" s="228"/>
      <c r="F226" s="251"/>
    </row>
    <row r="227" spans="1:6">
      <c r="A227" s="130">
        <v>39836</v>
      </c>
      <c r="B227" s="76" t="str">
        <f>TiposLancamentos!B19</f>
        <v>Restaurantes</v>
      </c>
      <c r="C227" s="147" t="s">
        <v>23364</v>
      </c>
      <c r="D227" s="63"/>
      <c r="E227" s="49">
        <v>44.92</v>
      </c>
      <c r="F227" s="250"/>
    </row>
    <row r="228" spans="1:6">
      <c r="A228" s="130">
        <v>39837</v>
      </c>
      <c r="B228" s="76" t="str">
        <f>TiposLancamentos!B56</f>
        <v>Farmácia</v>
      </c>
      <c r="C228" s="147" t="s">
        <v>6118</v>
      </c>
      <c r="D228" s="63"/>
      <c r="E228" s="49">
        <v>107.07</v>
      </c>
      <c r="F228" s="250"/>
    </row>
    <row r="229" spans="1:6">
      <c r="A229" s="130">
        <v>39837</v>
      </c>
      <c r="B229" s="76" t="str">
        <f>TiposLancamentos!B50</f>
        <v>Guitarra</v>
      </c>
      <c r="C229" s="147" t="s">
        <v>23365</v>
      </c>
      <c r="D229" s="63"/>
      <c r="E229" s="49">
        <v>1740</v>
      </c>
      <c r="F229" s="250"/>
    </row>
    <row r="230" spans="1:6">
      <c r="A230" s="130">
        <v>39842</v>
      </c>
      <c r="B230" s="76" t="str">
        <f>TiposLancamentos!B13</f>
        <v>Moradia</v>
      </c>
      <c r="C230" s="147" t="s">
        <v>23366</v>
      </c>
      <c r="D230" s="63"/>
      <c r="E230" s="49">
        <v>199.66</v>
      </c>
      <c r="F230" s="250"/>
    </row>
    <row r="231" spans="1:6">
      <c r="A231" s="129"/>
      <c r="B231" s="247"/>
      <c r="C231" s="237" t="s">
        <v>19962</v>
      </c>
      <c r="D231" s="101"/>
      <c r="E231" s="248"/>
      <c r="F231" s="249">
        <f>SUM(E218:E225)</f>
        <v>756.06000000000006</v>
      </c>
    </row>
    <row r="232" spans="1:6">
      <c r="A232" s="130">
        <v>39846</v>
      </c>
      <c r="B232" s="76" t="str">
        <f>TiposLancamentos!B44</f>
        <v>Academia</v>
      </c>
      <c r="C232" s="147" t="s">
        <v>23363</v>
      </c>
      <c r="D232" s="63"/>
      <c r="E232" s="49">
        <v>207.1</v>
      </c>
      <c r="F232" s="250"/>
    </row>
    <row r="233" spans="1:6">
      <c r="A233" s="130">
        <v>39846</v>
      </c>
      <c r="B233" s="76" t="str">
        <f>TiposLancamentos!B15</f>
        <v>Cartões de Crédito</v>
      </c>
      <c r="C233" s="147" t="s">
        <v>23304</v>
      </c>
      <c r="D233" s="63">
        <v>756.05</v>
      </c>
      <c r="E233" s="49"/>
      <c r="F233" s="250"/>
    </row>
    <row r="234" spans="1:6">
      <c r="A234" s="130">
        <v>39858</v>
      </c>
      <c r="B234" s="76" t="str">
        <f>TiposLancamentos!B70</f>
        <v>Vestuário</v>
      </c>
      <c r="C234" s="147" t="s">
        <v>23367</v>
      </c>
      <c r="D234" s="63"/>
      <c r="E234" s="49">
        <v>169.78</v>
      </c>
      <c r="F234" s="250"/>
    </row>
    <row r="235" spans="1:6">
      <c r="A235" s="242"/>
      <c r="B235" s="226"/>
      <c r="C235" s="227" t="s">
        <v>10</v>
      </c>
      <c r="D235" s="228"/>
      <c r="E235" s="228"/>
      <c r="F235" s="251"/>
    </row>
    <row r="236" spans="1:6">
      <c r="A236" s="130">
        <v>39863</v>
      </c>
      <c r="B236" s="76" t="str">
        <f>TiposLancamentos!B19</f>
        <v>Restaurantes</v>
      </c>
      <c r="C236" s="147" t="s">
        <v>23368</v>
      </c>
      <c r="D236" s="63"/>
      <c r="E236" s="49">
        <v>27.8</v>
      </c>
      <c r="F236" s="250"/>
    </row>
    <row r="237" spans="1:6">
      <c r="A237" s="130">
        <v>39863</v>
      </c>
      <c r="B237" s="76" t="str">
        <f>TiposLancamentos!B62</f>
        <v>Papelaria</v>
      </c>
      <c r="C237" s="147" t="s">
        <v>23369</v>
      </c>
      <c r="D237" s="63"/>
      <c r="E237" s="49">
        <v>25.17</v>
      </c>
      <c r="F237" s="250"/>
    </row>
    <row r="238" spans="1:6">
      <c r="A238" s="130">
        <v>39864</v>
      </c>
      <c r="B238" s="76" t="str">
        <f>TiposLancamentos!B19</f>
        <v>Restaurantes</v>
      </c>
      <c r="C238" s="147" t="s">
        <v>23370</v>
      </c>
      <c r="D238" s="63"/>
      <c r="E238" s="49">
        <v>35.39</v>
      </c>
      <c r="F238" s="250"/>
    </row>
    <row r="239" spans="1:6">
      <c r="A239" s="130">
        <v>39864</v>
      </c>
      <c r="B239" s="76" t="str">
        <f>TiposLancamentos!B22</f>
        <v>Combustivel</v>
      </c>
      <c r="C239" s="147" t="s">
        <v>23371</v>
      </c>
      <c r="D239" s="63"/>
      <c r="E239" s="49">
        <v>105</v>
      </c>
      <c r="F239" s="250"/>
    </row>
    <row r="240" spans="1:6">
      <c r="A240" s="130">
        <v>39864</v>
      </c>
      <c r="B240" s="76" t="str">
        <f>TiposLancamentos!B17</f>
        <v>GATO</v>
      </c>
      <c r="C240" s="147" t="s">
        <v>23372</v>
      </c>
      <c r="D240" s="63"/>
      <c r="E240" s="49">
        <v>23.08</v>
      </c>
      <c r="F240" s="250"/>
    </row>
    <row r="241" spans="1:6">
      <c r="A241" s="130">
        <v>39864</v>
      </c>
      <c r="B241" s="76" t="str">
        <f>TiposLancamentos!B19</f>
        <v>Restaurantes</v>
      </c>
      <c r="C241" s="147" t="s">
        <v>23373</v>
      </c>
      <c r="D241" s="63"/>
      <c r="E241" s="49">
        <v>23</v>
      </c>
      <c r="F241" s="250"/>
    </row>
    <row r="242" spans="1:6">
      <c r="A242" s="130">
        <v>39867</v>
      </c>
      <c r="B242" s="76" t="str">
        <f>TiposLancamentos!B22</f>
        <v>Combustivel</v>
      </c>
      <c r="C242" s="147" t="s">
        <v>23371</v>
      </c>
      <c r="D242" s="63"/>
      <c r="E242" s="49">
        <v>105.96</v>
      </c>
      <c r="F242" s="250"/>
    </row>
    <row r="243" spans="1:6">
      <c r="A243" s="130">
        <v>39867</v>
      </c>
      <c r="B243" s="76" t="str">
        <f>TiposLancamentos!B19</f>
        <v>Restaurantes</v>
      </c>
      <c r="C243" s="147" t="s">
        <v>23373</v>
      </c>
      <c r="D243" s="63"/>
      <c r="E243" s="49">
        <v>16.27</v>
      </c>
      <c r="F243" s="250"/>
    </row>
    <row r="244" spans="1:6">
      <c r="A244" s="130">
        <v>39867</v>
      </c>
      <c r="B244" s="76" t="str">
        <f>TiposLancamentos!B19</f>
        <v>Restaurantes</v>
      </c>
      <c r="C244" s="147" t="s">
        <v>5451</v>
      </c>
      <c r="D244" s="63"/>
      <c r="E244" s="49">
        <v>36.799999999999997</v>
      </c>
      <c r="F244" s="250"/>
    </row>
    <row r="245" spans="1:6">
      <c r="A245" s="130">
        <v>39869</v>
      </c>
      <c r="B245" s="76" t="str">
        <f>TiposLancamentos!B19</f>
        <v>Restaurantes</v>
      </c>
      <c r="C245" s="147" t="s">
        <v>23374</v>
      </c>
      <c r="D245" s="63"/>
      <c r="E245" s="49">
        <v>17.399999999999999</v>
      </c>
      <c r="F245" s="250"/>
    </row>
    <row r="246" spans="1:6">
      <c r="A246" s="130">
        <v>39870</v>
      </c>
      <c r="B246" s="76" t="str">
        <f>TiposLancamentos!B16</f>
        <v>Cristiane</v>
      </c>
      <c r="C246" s="147" t="s">
        <v>23375</v>
      </c>
      <c r="D246" s="63"/>
      <c r="E246" s="49">
        <v>108</v>
      </c>
      <c r="F246" s="250"/>
    </row>
    <row r="247" spans="1:6">
      <c r="A247" s="130">
        <v>39870</v>
      </c>
      <c r="B247" s="76" t="str">
        <f>TiposLancamentos!B13</f>
        <v>Moradia</v>
      </c>
      <c r="C247" s="147" t="s">
        <v>23376</v>
      </c>
      <c r="D247" s="63"/>
      <c r="E247" s="49">
        <v>36.6</v>
      </c>
      <c r="F247" s="250"/>
    </row>
    <row r="248" spans="1:6">
      <c r="A248" s="130">
        <v>39872</v>
      </c>
      <c r="B248" s="76" t="str">
        <f>TiposLancamentos!B13</f>
        <v>Moradia</v>
      </c>
      <c r="C248" s="147" t="s">
        <v>23377</v>
      </c>
      <c r="D248" s="63"/>
      <c r="E248" s="49">
        <v>199.67</v>
      </c>
      <c r="F248" s="250"/>
    </row>
    <row r="249" spans="1:6">
      <c r="A249" s="129"/>
      <c r="B249" s="247"/>
      <c r="C249" s="237" t="s">
        <v>3747</v>
      </c>
      <c r="D249" s="101"/>
      <c r="E249" s="248"/>
      <c r="F249" s="249">
        <f>SUM(E227:E234)</f>
        <v>2468.5300000000002</v>
      </c>
    </row>
    <row r="250" spans="1:6">
      <c r="A250" s="130">
        <v>39874</v>
      </c>
      <c r="B250" s="76" t="str">
        <f>TiposLancamentos!B44</f>
        <v>Academia</v>
      </c>
      <c r="C250" s="147" t="s">
        <v>23363</v>
      </c>
      <c r="D250" s="63"/>
      <c r="E250" s="49">
        <v>207.1</v>
      </c>
      <c r="F250" s="250"/>
    </row>
    <row r="251" spans="1:6">
      <c r="A251" s="130">
        <v>39874</v>
      </c>
      <c r="B251" s="76" t="str">
        <f>TiposLancamentos!B15</f>
        <v>Cartões de Crédito</v>
      </c>
      <c r="C251" s="147" t="s">
        <v>14142</v>
      </c>
      <c r="D251" s="63">
        <v>2468.5300000000002</v>
      </c>
      <c r="E251" s="49"/>
      <c r="F251" s="250"/>
    </row>
    <row r="252" spans="1:6">
      <c r="A252" s="130">
        <v>39886</v>
      </c>
      <c r="B252" s="76" t="str">
        <f>TiposLancamentos!B70</f>
        <v>Vestuário</v>
      </c>
      <c r="C252" s="147" t="s">
        <v>23378</v>
      </c>
      <c r="D252" s="63"/>
      <c r="E252" s="49">
        <v>169.76</v>
      </c>
      <c r="F252" s="250"/>
    </row>
    <row r="253" spans="1:6">
      <c r="A253" s="130">
        <v>39893</v>
      </c>
      <c r="B253" s="76" t="str">
        <f>TiposLancamentos!B5</f>
        <v>Supermercado</v>
      </c>
      <c r="C253" s="147" t="s">
        <v>2567</v>
      </c>
      <c r="D253" s="63"/>
      <c r="E253" s="49">
        <v>209.4</v>
      </c>
      <c r="F253" s="250"/>
    </row>
    <row r="254" spans="1:6">
      <c r="A254" s="242"/>
      <c r="B254" s="226"/>
      <c r="C254" s="227" t="s">
        <v>10</v>
      </c>
      <c r="D254" s="228"/>
      <c r="E254" s="228"/>
      <c r="F254" s="251"/>
    </row>
    <row r="255" spans="1:6">
      <c r="A255" s="131">
        <v>39897</v>
      </c>
      <c r="B255" s="234" t="str">
        <f>TiposLancamentos!B72</f>
        <v>Presentes</v>
      </c>
      <c r="C255" s="235" t="s">
        <v>23379</v>
      </c>
      <c r="D255" s="90"/>
      <c r="E255" s="90">
        <f>69.9+39.9</f>
        <v>109.80000000000001</v>
      </c>
      <c r="F255" s="257"/>
    </row>
    <row r="256" spans="1:6">
      <c r="A256" s="131">
        <v>39897</v>
      </c>
      <c r="B256" s="234" t="str">
        <f>TiposLancamentos!B16</f>
        <v>Cristiane</v>
      </c>
      <c r="C256" s="235" t="s">
        <v>23380</v>
      </c>
      <c r="D256" s="90"/>
      <c r="E256" s="90">
        <f>131.7-E255</f>
        <v>21.899999999999977</v>
      </c>
      <c r="F256" s="257"/>
    </row>
    <row r="257" spans="1:6">
      <c r="A257" s="130">
        <v>39897</v>
      </c>
      <c r="B257" s="76" t="str">
        <f>TiposLancamentos!B56</f>
        <v>Farmácia</v>
      </c>
      <c r="C257" s="147" t="s">
        <v>23381</v>
      </c>
      <c r="D257" s="63"/>
      <c r="E257" s="49">
        <v>46.84</v>
      </c>
      <c r="F257" s="250"/>
    </row>
    <row r="258" spans="1:6">
      <c r="A258" s="130">
        <v>39901</v>
      </c>
      <c r="B258" s="76" t="str">
        <f>TiposLancamentos!B13</f>
        <v>Moradia</v>
      </c>
      <c r="C258" s="147" t="s">
        <v>23382</v>
      </c>
      <c r="D258" s="63"/>
      <c r="E258" s="49">
        <v>199.66</v>
      </c>
      <c r="F258" s="250"/>
    </row>
    <row r="259" spans="1:6">
      <c r="A259" s="129"/>
      <c r="B259" s="247"/>
      <c r="C259" s="237" t="s">
        <v>3772</v>
      </c>
      <c r="D259" s="101"/>
      <c r="E259" s="248"/>
      <c r="F259" s="249">
        <f>SUM(E236:E253)</f>
        <v>1346.4</v>
      </c>
    </row>
    <row r="260" spans="1:6">
      <c r="A260" s="130">
        <v>39904</v>
      </c>
      <c r="B260" s="76" t="str">
        <f>TiposLancamentos!B15</f>
        <v>Cartões de Crédito</v>
      </c>
      <c r="C260" s="147" t="s">
        <v>14126</v>
      </c>
      <c r="D260" s="63">
        <v>990.72</v>
      </c>
      <c r="E260" s="49"/>
      <c r="F260" s="250"/>
    </row>
    <row r="261" spans="1:6">
      <c r="A261" s="130">
        <v>39904</v>
      </c>
      <c r="B261" s="76" t="str">
        <f>TiposLancamentos!B15</f>
        <v>Cartões de Crédito</v>
      </c>
      <c r="C261" s="147" t="s">
        <v>23383</v>
      </c>
      <c r="D261" s="63">
        <v>355.68</v>
      </c>
      <c r="E261" s="49"/>
      <c r="F261" s="250"/>
    </row>
    <row r="262" spans="1:6">
      <c r="A262" s="130">
        <v>39905</v>
      </c>
      <c r="B262" s="76" t="str">
        <f>TiposLancamentos!B44</f>
        <v>Academia</v>
      </c>
      <c r="C262" s="147" t="s">
        <v>23363</v>
      </c>
      <c r="D262" s="63"/>
      <c r="E262" s="49">
        <v>207.1</v>
      </c>
      <c r="F262" s="250"/>
    </row>
    <row r="263" spans="1:6">
      <c r="A263" s="130">
        <v>39917</v>
      </c>
      <c r="B263" s="76" t="str">
        <f>TiposLancamentos!B70</f>
        <v>Vestuário</v>
      </c>
      <c r="C263" s="147" t="s">
        <v>23384</v>
      </c>
      <c r="D263" s="63"/>
      <c r="E263" s="49">
        <v>169.76</v>
      </c>
      <c r="F263" s="250"/>
    </row>
    <row r="264" spans="1:6">
      <c r="A264" s="138">
        <v>39917</v>
      </c>
      <c r="B264" s="125" t="str">
        <f>TiposLancamentos!B19</f>
        <v>Restaurantes</v>
      </c>
      <c r="C264" s="139" t="s">
        <v>23385</v>
      </c>
      <c r="D264" s="51"/>
      <c r="E264" s="140">
        <v>15.25</v>
      </c>
      <c r="F264" s="250"/>
    </row>
    <row r="265" spans="1:6">
      <c r="A265" s="130">
        <v>39923</v>
      </c>
      <c r="B265" s="76" t="str">
        <f>TiposLancamentos!B56</f>
        <v>Farmácia</v>
      </c>
      <c r="C265" s="147" t="s">
        <v>6118</v>
      </c>
      <c r="D265" s="63"/>
      <c r="E265" s="49">
        <v>163.89</v>
      </c>
      <c r="F265" s="250"/>
    </row>
    <row r="266" spans="1:6">
      <c r="A266" s="130">
        <v>39924</v>
      </c>
      <c r="B266" s="76" t="str">
        <f>TiposLancamentos!B5</f>
        <v>Supermercado</v>
      </c>
      <c r="C266" s="147" t="s">
        <v>23386</v>
      </c>
      <c r="D266" s="63"/>
      <c r="E266" s="49">
        <v>16.55</v>
      </c>
      <c r="F266" s="250"/>
    </row>
    <row r="267" spans="1:6">
      <c r="A267" s="242"/>
      <c r="B267" s="226"/>
      <c r="C267" s="227" t="s">
        <v>10</v>
      </c>
      <c r="D267" s="228"/>
      <c r="E267" s="228"/>
      <c r="F267" s="251"/>
    </row>
    <row r="268" spans="1:6">
      <c r="A268" s="131">
        <v>39925</v>
      </c>
      <c r="B268" s="234" t="str">
        <f>TiposLancamentos!B26</f>
        <v>LIVROS</v>
      </c>
      <c r="C268" s="235" t="s">
        <v>23387</v>
      </c>
      <c r="D268" s="90"/>
      <c r="E268" s="90">
        <v>49.9</v>
      </c>
      <c r="F268" s="250"/>
    </row>
    <row r="269" spans="1:6">
      <c r="A269" s="131">
        <v>39925</v>
      </c>
      <c r="B269" s="234" t="str">
        <f>TiposLancamentos!B25</f>
        <v>CD_DVD_BD</v>
      </c>
      <c r="C269" s="235" t="s">
        <v>23388</v>
      </c>
      <c r="D269" s="90"/>
      <c r="E269" s="90">
        <f>101.5-E268</f>
        <v>51.6</v>
      </c>
      <c r="F269" s="250"/>
    </row>
    <row r="270" spans="1:6">
      <c r="A270" s="130">
        <v>39925</v>
      </c>
      <c r="B270" s="76" t="str">
        <f>TiposLancamentos!B19</f>
        <v>Restaurantes</v>
      </c>
      <c r="C270" s="147" t="s">
        <v>23389</v>
      </c>
      <c r="D270" s="63"/>
      <c r="E270" s="49">
        <v>16.3</v>
      </c>
      <c r="F270" s="250"/>
    </row>
    <row r="271" spans="1:6">
      <c r="A271" s="130">
        <v>39925</v>
      </c>
      <c r="B271" s="76" t="str">
        <f>TiposLancamentos!B19</f>
        <v>Restaurantes</v>
      </c>
      <c r="C271" s="147" t="s">
        <v>3622</v>
      </c>
      <c r="D271" s="63"/>
      <c r="E271" s="49">
        <v>5.8</v>
      </c>
      <c r="F271" s="250"/>
    </row>
    <row r="272" spans="1:6">
      <c r="A272" s="130">
        <v>39926</v>
      </c>
      <c r="B272" s="76" t="str">
        <f>TiposLancamentos!B19</f>
        <v>Restaurantes</v>
      </c>
      <c r="C272" s="147" t="s">
        <v>23390</v>
      </c>
      <c r="D272" s="63"/>
      <c r="E272" s="49">
        <v>15.8</v>
      </c>
      <c r="F272" s="250"/>
    </row>
    <row r="273" spans="1:6">
      <c r="A273" s="130">
        <v>39928</v>
      </c>
      <c r="B273" s="76" t="str">
        <f>TiposLancamentos!B19</f>
        <v>Restaurantes</v>
      </c>
      <c r="C273" s="147" t="s">
        <v>23391</v>
      </c>
      <c r="D273" s="63"/>
      <c r="E273" s="49">
        <v>76.709999999999994</v>
      </c>
      <c r="F273" s="250"/>
    </row>
    <row r="274" spans="1:6">
      <c r="A274" s="130">
        <v>39929</v>
      </c>
      <c r="B274" s="76" t="str">
        <f>TiposLancamentos!B5</f>
        <v>Supermercado</v>
      </c>
      <c r="C274" s="147" t="s">
        <v>23392</v>
      </c>
      <c r="D274" s="63"/>
      <c r="E274" s="49">
        <v>47.95</v>
      </c>
      <c r="F274" s="250"/>
    </row>
    <row r="275" spans="1:6">
      <c r="A275" s="130">
        <v>39929</v>
      </c>
      <c r="B275" s="76" t="str">
        <f>TiposLancamentos!B5</f>
        <v>Supermercado</v>
      </c>
      <c r="C275" s="147" t="s">
        <v>23393</v>
      </c>
      <c r="D275" s="63"/>
      <c r="E275" s="49">
        <v>17.329999999999998</v>
      </c>
      <c r="F275" s="250"/>
    </row>
    <row r="276" spans="1:6">
      <c r="A276" s="130">
        <v>39930</v>
      </c>
      <c r="B276" s="76" t="str">
        <f>TiposLancamentos!B22</f>
        <v>Combustivel</v>
      </c>
      <c r="C276" s="147" t="s">
        <v>23394</v>
      </c>
      <c r="D276" s="63"/>
      <c r="E276" s="49">
        <v>60</v>
      </c>
      <c r="F276" s="250"/>
    </row>
    <row r="277" spans="1:6">
      <c r="A277" s="130">
        <v>39930</v>
      </c>
      <c r="B277" s="76" t="str">
        <f>TiposLancamentos!B56</f>
        <v>Farmácia</v>
      </c>
      <c r="C277" s="147" t="s">
        <v>23395</v>
      </c>
      <c r="D277" s="63"/>
      <c r="E277" s="49">
        <v>11.48</v>
      </c>
      <c r="F277" s="250"/>
    </row>
    <row r="278" spans="1:6">
      <c r="A278" s="130">
        <v>39931</v>
      </c>
      <c r="B278" s="76" t="str">
        <f>TiposLancamentos!B19</f>
        <v>Restaurantes</v>
      </c>
      <c r="C278" s="147" t="s">
        <v>23396</v>
      </c>
      <c r="D278" s="63"/>
      <c r="E278" s="49">
        <v>18.8</v>
      </c>
      <c r="F278" s="250"/>
    </row>
    <row r="279" spans="1:6">
      <c r="A279" s="130">
        <v>39931</v>
      </c>
      <c r="B279" s="76" t="str">
        <f>TiposLancamentos!B56</f>
        <v>Farmácia</v>
      </c>
      <c r="C279" s="147" t="s">
        <v>23397</v>
      </c>
      <c r="D279" s="63"/>
      <c r="E279" s="49">
        <v>64.290000000000006</v>
      </c>
      <c r="F279" s="250"/>
    </row>
    <row r="280" spans="1:6">
      <c r="A280" s="129"/>
      <c r="B280" s="247"/>
      <c r="C280" s="237" t="s">
        <v>3782</v>
      </c>
      <c r="D280" s="101"/>
      <c r="E280" s="248"/>
      <c r="F280" s="249">
        <f>SUM(E255:E266)</f>
        <v>950.74999999999989</v>
      </c>
    </row>
    <row r="281" spans="1:6">
      <c r="A281" s="130">
        <v>39939</v>
      </c>
      <c r="B281" s="76" t="str">
        <f>TiposLancamentos!B44</f>
        <v>Academia</v>
      </c>
      <c r="C281" s="147" t="s">
        <v>23363</v>
      </c>
      <c r="D281" s="63"/>
      <c r="E281" s="49">
        <v>207.1</v>
      </c>
      <c r="F281" s="250"/>
    </row>
    <row r="282" spans="1:6">
      <c r="A282" s="130">
        <v>39937</v>
      </c>
      <c r="B282" s="76" t="str">
        <f>TiposLancamentos!B15</f>
        <v>Cartões de Crédito</v>
      </c>
      <c r="C282" s="147" t="s">
        <v>20858</v>
      </c>
      <c r="D282" s="63">
        <v>950.74</v>
      </c>
      <c r="E282" s="49"/>
      <c r="F282" s="250"/>
    </row>
    <row r="283" spans="1:6">
      <c r="A283" s="130">
        <v>39949</v>
      </c>
      <c r="B283" s="76" t="str">
        <f>TiposLancamentos!B13</f>
        <v>Moradia</v>
      </c>
      <c r="C283" s="147" t="s">
        <v>23398</v>
      </c>
      <c r="D283" s="63"/>
      <c r="E283" s="49">
        <v>542</v>
      </c>
      <c r="F283" s="250"/>
    </row>
    <row r="284" spans="1:6">
      <c r="A284" s="242"/>
      <c r="B284" s="226"/>
      <c r="C284" s="227" t="s">
        <v>10</v>
      </c>
      <c r="D284" s="228"/>
      <c r="E284" s="228"/>
      <c r="F284" s="251"/>
    </row>
    <row r="285" spans="1:6">
      <c r="A285" s="130">
        <v>39954</v>
      </c>
      <c r="B285" s="76" t="str">
        <f>TiposLancamentos!B19</f>
        <v>Restaurantes</v>
      </c>
      <c r="C285" s="147" t="s">
        <v>23399</v>
      </c>
      <c r="D285" s="63"/>
      <c r="E285" s="49">
        <v>32.5</v>
      </c>
      <c r="F285" s="250"/>
    </row>
    <row r="286" spans="1:6">
      <c r="A286" s="130">
        <v>39955</v>
      </c>
      <c r="B286" s="76" t="str">
        <f>TiposLancamentos!B19</f>
        <v>Restaurantes</v>
      </c>
      <c r="C286" s="147" t="s">
        <v>23400</v>
      </c>
      <c r="D286" s="63"/>
      <c r="E286" s="49">
        <v>30.6</v>
      </c>
      <c r="F286" s="250"/>
    </row>
    <row r="287" spans="1:6">
      <c r="A287" s="130">
        <v>39956</v>
      </c>
      <c r="B287" s="76" t="str">
        <f>TiposLancamentos!B27</f>
        <v>Jornais e revistas</v>
      </c>
      <c r="C287" s="147" t="s">
        <v>23401</v>
      </c>
      <c r="D287" s="63"/>
      <c r="E287" s="49">
        <v>71.599999999999994</v>
      </c>
      <c r="F287" s="250"/>
    </row>
    <row r="288" spans="1:6">
      <c r="A288" s="130">
        <v>39957</v>
      </c>
      <c r="B288" s="76" t="str">
        <f>TiposLancamentos!B5</f>
        <v>Supermercado</v>
      </c>
      <c r="C288" s="147" t="s">
        <v>5615</v>
      </c>
      <c r="D288" s="63"/>
      <c r="E288" s="49">
        <v>25.16</v>
      </c>
      <c r="F288" s="250"/>
    </row>
    <row r="289" spans="1:6">
      <c r="A289" s="130">
        <v>39957</v>
      </c>
      <c r="B289" s="76" t="str">
        <f>TiposLancamentos!B5</f>
        <v>Supermercado</v>
      </c>
      <c r="C289" s="147" t="s">
        <v>5930</v>
      </c>
      <c r="D289" s="63"/>
      <c r="E289" s="49">
        <v>9.23</v>
      </c>
      <c r="F289" s="250"/>
    </row>
    <row r="290" spans="1:6">
      <c r="A290" s="130">
        <v>39957</v>
      </c>
      <c r="B290" s="76" t="str">
        <f>TiposLancamentos!B5</f>
        <v>Supermercado</v>
      </c>
      <c r="C290" s="147" t="s">
        <v>23402</v>
      </c>
      <c r="D290" s="63"/>
      <c r="E290" s="49">
        <v>6.97</v>
      </c>
      <c r="F290" s="250"/>
    </row>
    <row r="291" spans="1:6">
      <c r="A291" s="130">
        <v>39957</v>
      </c>
      <c r="B291" s="76" t="str">
        <f>TiposLancamentos!B70</f>
        <v>Vestuário</v>
      </c>
      <c r="C291" s="147" t="s">
        <v>23403</v>
      </c>
      <c r="D291" s="63"/>
      <c r="E291" s="49">
        <v>79.900000000000006</v>
      </c>
      <c r="F291" s="250"/>
    </row>
    <row r="292" spans="1:6">
      <c r="A292" s="130">
        <v>39957</v>
      </c>
      <c r="B292" s="76" t="str">
        <f>TiposLancamentos!B56</f>
        <v>Farmácia</v>
      </c>
      <c r="C292" s="147" t="s">
        <v>23404</v>
      </c>
      <c r="D292" s="63"/>
      <c r="E292" s="49">
        <v>89.24</v>
      </c>
      <c r="F292" s="250"/>
    </row>
    <row r="293" spans="1:6">
      <c r="A293" s="130">
        <v>39957</v>
      </c>
      <c r="B293" s="76" t="str">
        <f>TiposLancamentos!B18</f>
        <v>Alimentacao</v>
      </c>
      <c r="C293" s="147" t="s">
        <v>3777</v>
      </c>
      <c r="D293" s="63"/>
      <c r="E293" s="49">
        <v>20.399999999999999</v>
      </c>
      <c r="F293" s="250"/>
    </row>
    <row r="294" spans="1:6">
      <c r="A294" s="130">
        <v>39958</v>
      </c>
      <c r="B294" s="76" t="str">
        <f>TiposLancamentos!B19</f>
        <v>Restaurantes</v>
      </c>
      <c r="C294" s="147" t="s">
        <v>3287</v>
      </c>
      <c r="D294" s="63"/>
      <c r="E294" s="49">
        <v>20.100000000000001</v>
      </c>
      <c r="F294" s="250"/>
    </row>
    <row r="295" spans="1:6">
      <c r="A295" s="130">
        <v>39959</v>
      </c>
      <c r="B295" s="76" t="str">
        <f>TiposLancamentos!B19</f>
        <v>Restaurantes</v>
      </c>
      <c r="C295" s="147" t="s">
        <v>21477</v>
      </c>
      <c r="D295" s="63"/>
      <c r="E295" s="49">
        <v>23.37</v>
      </c>
      <c r="F295" s="250"/>
    </row>
    <row r="296" spans="1:6">
      <c r="A296" s="130">
        <v>39959</v>
      </c>
      <c r="B296" s="76" t="str">
        <f>TiposLancamentos!B19</f>
        <v>Restaurantes</v>
      </c>
      <c r="C296" s="147" t="s">
        <v>23405</v>
      </c>
      <c r="D296" s="63"/>
      <c r="E296" s="49">
        <v>5.8</v>
      </c>
      <c r="F296" s="250"/>
    </row>
    <row r="297" spans="1:6">
      <c r="A297" s="130">
        <v>39960</v>
      </c>
      <c r="B297" s="76" t="str">
        <f>TiposLancamentos!B19</f>
        <v>Restaurantes</v>
      </c>
      <c r="C297" s="147" t="s">
        <v>21112</v>
      </c>
      <c r="D297" s="63"/>
      <c r="E297" s="49">
        <v>15.9</v>
      </c>
      <c r="F297" s="250"/>
    </row>
    <row r="298" spans="1:6">
      <c r="A298" s="129"/>
      <c r="B298" s="247"/>
      <c r="C298" s="237" t="s">
        <v>5706</v>
      </c>
      <c r="D298" s="101"/>
      <c r="E298" s="248"/>
      <c r="F298" s="249">
        <f>SUM(E268:E283)</f>
        <v>1185.06</v>
      </c>
    </row>
    <row r="299" spans="1:6">
      <c r="A299" s="130">
        <v>39965</v>
      </c>
      <c r="B299" s="76" t="str">
        <f>TiposLancamentos!B44</f>
        <v>Academia</v>
      </c>
      <c r="C299" s="147" t="s">
        <v>23406</v>
      </c>
      <c r="D299" s="63"/>
      <c r="E299" s="49">
        <v>207.1</v>
      </c>
      <c r="F299" s="250"/>
    </row>
    <row r="300" spans="1:6">
      <c r="A300" s="130">
        <v>39965</v>
      </c>
      <c r="B300" s="76" t="str">
        <f>TiposLancamentos!B15</f>
        <v>Cartões de Crédito</v>
      </c>
      <c r="C300" s="147" t="s">
        <v>14126</v>
      </c>
      <c r="D300" s="63">
        <v>1185.06</v>
      </c>
      <c r="E300" s="49"/>
      <c r="F300" s="250"/>
    </row>
    <row r="301" spans="1:6">
      <c r="A301" s="130">
        <v>39974</v>
      </c>
      <c r="B301" s="76" t="str">
        <f>TiposLancamentos!B19</f>
        <v>Restaurantes</v>
      </c>
      <c r="C301" s="147" t="s">
        <v>23407</v>
      </c>
      <c r="D301" s="63"/>
      <c r="E301" s="49">
        <v>15.9</v>
      </c>
      <c r="F301" s="250"/>
    </row>
    <row r="302" spans="1:6">
      <c r="A302" s="130">
        <v>39974</v>
      </c>
      <c r="B302" s="76" t="str">
        <f>TiposLancamentos!B56</f>
        <v>Farmácia</v>
      </c>
      <c r="C302" s="147" t="s">
        <v>23408</v>
      </c>
      <c r="D302" s="63"/>
      <c r="E302" s="49">
        <v>12.1</v>
      </c>
      <c r="F302" s="250"/>
    </row>
    <row r="303" spans="1:6">
      <c r="A303" s="130">
        <v>39974</v>
      </c>
      <c r="B303" s="76" t="str">
        <f>TiposLancamentos!B56</f>
        <v>Farmácia</v>
      </c>
      <c r="C303" s="147" t="s">
        <v>23409</v>
      </c>
      <c r="D303" s="63"/>
      <c r="E303" s="49">
        <v>15.66</v>
      </c>
      <c r="F303" s="250"/>
    </row>
    <row r="304" spans="1:6">
      <c r="A304" s="130">
        <v>39976</v>
      </c>
      <c r="B304" s="76" t="str">
        <f>TiposLancamentos!B19</f>
        <v>Restaurantes</v>
      </c>
      <c r="C304" s="147" t="s">
        <v>15784</v>
      </c>
      <c r="D304" s="63"/>
      <c r="E304" s="49">
        <v>80.19</v>
      </c>
      <c r="F304" s="250"/>
    </row>
    <row r="305" spans="1:6">
      <c r="A305" s="130">
        <v>39979</v>
      </c>
      <c r="B305" s="76" t="str">
        <f>TiposLancamentos!B31</f>
        <v>Action Figures</v>
      </c>
      <c r="C305" s="147" t="s">
        <v>23410</v>
      </c>
      <c r="D305" s="63"/>
      <c r="E305" s="49">
        <v>139.29</v>
      </c>
      <c r="F305" s="250"/>
    </row>
    <row r="306" spans="1:6">
      <c r="A306" s="130">
        <v>39981</v>
      </c>
      <c r="B306" s="76" t="str">
        <f>TiposLancamentos!B72</f>
        <v>Presentes</v>
      </c>
      <c r="C306" s="147" t="s">
        <v>23411</v>
      </c>
      <c r="D306" s="63"/>
      <c r="E306" s="49">
        <v>95.85</v>
      </c>
      <c r="F306" s="250"/>
    </row>
    <row r="307" spans="1:6">
      <c r="A307" s="130">
        <v>39981</v>
      </c>
      <c r="B307" s="76" t="str">
        <f>TiposLancamentos!B62</f>
        <v>Papelaria</v>
      </c>
      <c r="C307" s="139" t="s">
        <v>23412</v>
      </c>
      <c r="D307" s="63"/>
      <c r="E307" s="49">
        <v>39.770000000000003</v>
      </c>
      <c r="F307" s="250"/>
    </row>
    <row r="308" spans="1:6">
      <c r="A308" s="130">
        <v>39982</v>
      </c>
      <c r="B308" s="76" t="str">
        <f>TiposLancamentos!B13</f>
        <v>Moradia</v>
      </c>
      <c r="C308" s="3" t="s">
        <v>23413</v>
      </c>
      <c r="D308" s="63"/>
      <c r="E308" s="49">
        <v>139.69999999999999</v>
      </c>
      <c r="F308" s="250"/>
    </row>
    <row r="309" spans="1:6">
      <c r="A309" s="130">
        <v>39983</v>
      </c>
      <c r="B309" s="76" t="str">
        <f>TiposLancamentos!B17</f>
        <v>GATO</v>
      </c>
      <c r="C309" s="147" t="s">
        <v>23414</v>
      </c>
      <c r="D309" s="63"/>
      <c r="E309" s="49">
        <v>121.9</v>
      </c>
      <c r="F309" s="250"/>
    </row>
    <row r="310" spans="1:6">
      <c r="A310" s="130">
        <v>39983</v>
      </c>
      <c r="B310" s="76" t="str">
        <f>TiposLancamentos!B22</f>
        <v>Combustivel</v>
      </c>
      <c r="C310" s="147" t="s">
        <v>3381</v>
      </c>
      <c r="D310" s="63"/>
      <c r="E310" s="49">
        <v>60</v>
      </c>
      <c r="F310" s="250"/>
    </row>
    <row r="311" spans="1:6">
      <c r="A311" s="130">
        <v>39985</v>
      </c>
      <c r="B311" s="76" t="str">
        <f>TiposLancamentos!B5</f>
        <v>Supermercado</v>
      </c>
      <c r="C311" s="147" t="s">
        <v>23415</v>
      </c>
      <c r="D311" s="63"/>
      <c r="E311" s="49">
        <v>97.06</v>
      </c>
      <c r="F311" s="250"/>
    </row>
    <row r="312" spans="1:6">
      <c r="A312" s="130">
        <v>39985</v>
      </c>
      <c r="B312" s="76" t="str">
        <f>TiposLancamentos!B81</f>
        <v>Ferramentas gerais</v>
      </c>
      <c r="C312" s="147" t="s">
        <v>23416</v>
      </c>
      <c r="D312" s="63"/>
      <c r="E312" s="49">
        <v>22.9</v>
      </c>
      <c r="F312" s="250"/>
    </row>
    <row r="313" spans="1:6">
      <c r="A313" s="130">
        <v>39985</v>
      </c>
      <c r="B313" s="76" t="str">
        <f>TiposLancamentos!B19</f>
        <v>Restaurantes</v>
      </c>
      <c r="C313" s="147" t="s">
        <v>23417</v>
      </c>
      <c r="D313" s="63"/>
      <c r="E313" s="49">
        <v>30.45</v>
      </c>
      <c r="F313" s="250"/>
    </row>
    <row r="314" spans="1:6">
      <c r="A314" s="242"/>
      <c r="B314" s="226"/>
      <c r="C314" s="227" t="s">
        <v>10</v>
      </c>
      <c r="D314" s="228"/>
      <c r="E314" s="228"/>
      <c r="F314" s="251"/>
    </row>
    <row r="315" spans="1:6">
      <c r="A315" s="138">
        <v>39986</v>
      </c>
      <c r="B315" s="76" t="str">
        <f>TiposLancamentos!B19</f>
        <v>Restaurantes</v>
      </c>
      <c r="C315" s="147" t="s">
        <v>23418</v>
      </c>
      <c r="D315" s="63"/>
      <c r="E315" s="49">
        <v>11.06</v>
      </c>
      <c r="F315" s="250"/>
    </row>
    <row r="316" spans="1:6">
      <c r="A316" s="138">
        <v>39895</v>
      </c>
      <c r="B316" s="76" t="str">
        <f>TiposLancamentos!B19</f>
        <v>Restaurantes</v>
      </c>
      <c r="C316" s="147" t="s">
        <v>23418</v>
      </c>
      <c r="D316" s="63"/>
      <c r="E316" s="49">
        <v>13.83</v>
      </c>
      <c r="F316" s="250"/>
    </row>
    <row r="317" spans="1:6">
      <c r="A317" s="130">
        <v>39988</v>
      </c>
      <c r="B317" s="76" t="str">
        <f>TiposLancamentos!B19</f>
        <v>Restaurantes</v>
      </c>
      <c r="C317" s="147" t="s">
        <v>23418</v>
      </c>
      <c r="D317" s="63"/>
      <c r="E317" s="49">
        <v>12.51</v>
      </c>
      <c r="F317" s="250"/>
    </row>
    <row r="318" spans="1:6">
      <c r="A318" s="130">
        <v>39991</v>
      </c>
      <c r="B318" s="76" t="str">
        <f>TiposLancamentos!B56</f>
        <v>Farmácia</v>
      </c>
      <c r="C318" s="147" t="s">
        <v>6118</v>
      </c>
      <c r="D318" s="63"/>
      <c r="E318" s="49">
        <v>154.03</v>
      </c>
      <c r="F318" s="250"/>
    </row>
    <row r="319" spans="1:6">
      <c r="A319" s="130">
        <v>39991</v>
      </c>
      <c r="B319" s="76" t="str">
        <f>TiposLancamentos!B16</f>
        <v>Cristiane</v>
      </c>
      <c r="C319" s="147" t="s">
        <v>23241</v>
      </c>
      <c r="D319" s="63"/>
      <c r="E319" s="49">
        <v>99.99</v>
      </c>
      <c r="F319" s="250"/>
    </row>
    <row r="320" spans="1:6">
      <c r="A320" s="130">
        <v>39990</v>
      </c>
      <c r="B320" s="76" t="str">
        <f>TiposLancamentos!B16</f>
        <v>Cristiane</v>
      </c>
      <c r="C320" s="147" t="s">
        <v>23419</v>
      </c>
      <c r="D320" s="63"/>
      <c r="E320" s="49">
        <v>11.6</v>
      </c>
      <c r="F320" s="250"/>
    </row>
    <row r="321" spans="1:6">
      <c r="A321" s="130">
        <v>39994</v>
      </c>
      <c r="B321" s="76" t="str">
        <f>TiposLancamentos!B31</f>
        <v>Action Figures</v>
      </c>
      <c r="C321" s="147" t="s">
        <v>23420</v>
      </c>
      <c r="D321" s="63"/>
      <c r="E321" s="49">
        <v>74.38</v>
      </c>
      <c r="F321" s="250"/>
    </row>
    <row r="322" spans="1:6">
      <c r="A322" s="129"/>
      <c r="B322" s="247"/>
      <c r="C322" s="237" t="s">
        <v>3828</v>
      </c>
      <c r="D322" s="101"/>
      <c r="E322" s="248"/>
      <c r="F322" s="249">
        <f>SUM(E285:E313)</f>
        <v>1508.6400000000003</v>
      </c>
    </row>
    <row r="323" spans="1:6">
      <c r="A323" s="130">
        <v>39995</v>
      </c>
      <c r="B323" s="76" t="str">
        <f>TiposLancamentos!B15</f>
        <v>Cartões de Crédito</v>
      </c>
      <c r="C323" s="147" t="s">
        <v>23421</v>
      </c>
      <c r="D323" s="63">
        <v>1508.64</v>
      </c>
      <c r="E323" s="49"/>
      <c r="F323" s="250"/>
    </row>
    <row r="324" spans="1:6">
      <c r="A324" s="130">
        <v>40001</v>
      </c>
      <c r="B324" s="76" t="str">
        <f>TiposLancamentos!B19</f>
        <v>Restaurantes</v>
      </c>
      <c r="C324" s="147" t="s">
        <v>23422</v>
      </c>
      <c r="D324" s="63"/>
      <c r="E324" s="49">
        <v>56</v>
      </c>
      <c r="F324" s="250"/>
    </row>
    <row r="325" spans="1:6">
      <c r="A325" s="131">
        <v>40003</v>
      </c>
      <c r="B325" s="234" t="str">
        <f>TiposLancamentos!B31</f>
        <v>Action Figures</v>
      </c>
      <c r="C325" s="235" t="s">
        <v>23423</v>
      </c>
      <c r="D325" s="90"/>
      <c r="E325" s="90">
        <v>69.900000000000006</v>
      </c>
      <c r="F325" s="250"/>
    </row>
    <row r="326" spans="1:6">
      <c r="A326" s="131">
        <v>40003</v>
      </c>
      <c r="B326" s="234" t="str">
        <f>TiposLancamentos!B28</f>
        <v>ComicBook</v>
      </c>
      <c r="C326" s="235" t="s">
        <v>23424</v>
      </c>
      <c r="D326" s="90"/>
      <c r="E326" s="90">
        <f>166.39-E325</f>
        <v>96.489999999999981</v>
      </c>
      <c r="F326" s="250">
        <f>SUM(E325:E326)</f>
        <v>166.39</v>
      </c>
    </row>
    <row r="327" spans="1:6">
      <c r="A327" s="130">
        <v>40005</v>
      </c>
      <c r="B327" s="76" t="str">
        <f>TiposLancamentos!B19</f>
        <v>Restaurantes</v>
      </c>
      <c r="C327" s="147" t="s">
        <v>23425</v>
      </c>
      <c r="D327" s="63"/>
      <c r="E327" s="49">
        <v>41.14</v>
      </c>
      <c r="F327" s="250"/>
    </row>
    <row r="328" spans="1:6">
      <c r="A328" s="130">
        <v>40006</v>
      </c>
      <c r="B328" s="76" t="str">
        <f>TiposLancamentos!B19</f>
        <v>Restaurantes</v>
      </c>
      <c r="C328" s="147" t="s">
        <v>23426</v>
      </c>
      <c r="D328" s="63"/>
      <c r="E328" s="49">
        <v>66.3</v>
      </c>
      <c r="F328" s="250"/>
    </row>
    <row r="329" spans="1:6">
      <c r="A329" s="130">
        <v>40006</v>
      </c>
      <c r="B329" s="76" t="str">
        <f>TiposLancamentos!B19</f>
        <v>Restaurantes</v>
      </c>
      <c r="C329" s="147" t="s">
        <v>23427</v>
      </c>
      <c r="D329" s="63"/>
      <c r="E329" s="49">
        <v>28.5</v>
      </c>
      <c r="F329" s="250"/>
    </row>
    <row r="330" spans="1:6">
      <c r="A330" s="138">
        <v>40015</v>
      </c>
      <c r="B330" s="125" t="str">
        <f>TiposLancamentos!B56</f>
        <v>Farmácia</v>
      </c>
      <c r="C330" s="139" t="s">
        <v>23428</v>
      </c>
      <c r="D330" s="51"/>
      <c r="E330" s="140">
        <v>17.54</v>
      </c>
      <c r="F330" s="250"/>
    </row>
    <row r="331" spans="1:6">
      <c r="A331" s="138">
        <v>40015</v>
      </c>
      <c r="B331" s="125" t="str">
        <f>TiposLancamentos!B16</f>
        <v>Cristiane</v>
      </c>
      <c r="C331" s="139" t="s">
        <v>23429</v>
      </c>
      <c r="D331" s="51"/>
      <c r="E331" s="140">
        <v>71.8</v>
      </c>
      <c r="F331" s="250"/>
    </row>
    <row r="332" spans="1:6">
      <c r="A332" s="130">
        <v>40016</v>
      </c>
      <c r="B332" s="76" t="str">
        <f>TiposLancamentos!B31</f>
        <v>Action Figures</v>
      </c>
      <c r="C332" s="147" t="s">
        <v>23430</v>
      </c>
      <c r="D332" s="63"/>
      <c r="E332" s="49">
        <v>127.47</v>
      </c>
      <c r="F332" s="250"/>
    </row>
    <row r="333" spans="1:6">
      <c r="A333" s="242"/>
      <c r="B333" s="226"/>
      <c r="C333" s="227" t="s">
        <v>10</v>
      </c>
      <c r="D333" s="228"/>
      <c r="E333" s="228"/>
      <c r="F333" s="251"/>
    </row>
    <row r="334" spans="1:6">
      <c r="A334" s="130">
        <v>40019</v>
      </c>
      <c r="B334" s="76" t="str">
        <f>TiposLancamentos!B13</f>
        <v>Moradia</v>
      </c>
      <c r="C334" s="147" t="s">
        <v>23431</v>
      </c>
      <c r="D334" s="63"/>
      <c r="E334" s="49">
        <v>362.68</v>
      </c>
      <c r="F334" s="250"/>
    </row>
    <row r="335" spans="1:6">
      <c r="A335" s="130">
        <v>40022</v>
      </c>
      <c r="B335" s="76" t="str">
        <f>TiposLancamentos!B13</f>
        <v>Moradia</v>
      </c>
      <c r="C335" s="147" t="s">
        <v>23432</v>
      </c>
      <c r="D335" s="63"/>
      <c r="E335" s="49">
        <v>208.6</v>
      </c>
      <c r="F335" s="250"/>
    </row>
    <row r="336" spans="1:6">
      <c r="A336" s="129"/>
      <c r="B336" s="247"/>
      <c r="C336" s="237" t="s">
        <v>23433</v>
      </c>
      <c r="D336" s="101"/>
      <c r="E336" s="248"/>
      <c r="F336" s="249">
        <f>SUM(E315:E332)</f>
        <v>952.54</v>
      </c>
    </row>
    <row r="337" spans="1:6">
      <c r="A337" s="130">
        <v>40028</v>
      </c>
      <c r="B337" s="76" t="str">
        <f>TiposLancamentos!B15</f>
        <v>Cartões de Crédito</v>
      </c>
      <c r="C337" s="147" t="s">
        <v>20858</v>
      </c>
      <c r="D337" s="63">
        <v>952.54</v>
      </c>
      <c r="E337" s="49"/>
      <c r="F337" s="250"/>
    </row>
    <row r="338" spans="1:6">
      <c r="A338" s="130">
        <v>40030</v>
      </c>
      <c r="B338" s="76" t="str">
        <f>TiposLancamentos!B57</f>
        <v>Informática</v>
      </c>
      <c r="C338" s="147" t="s">
        <v>23434</v>
      </c>
      <c r="D338" s="63"/>
      <c r="E338" s="49">
        <v>600.01</v>
      </c>
      <c r="F338" s="250"/>
    </row>
    <row r="339" spans="1:6">
      <c r="A339" s="130">
        <v>40032</v>
      </c>
      <c r="B339" s="76" t="str">
        <f>TiposLancamentos!B45</f>
        <v>Online Services</v>
      </c>
      <c r="C339" s="147" t="s">
        <v>23435</v>
      </c>
      <c r="D339" s="63"/>
      <c r="E339" s="49">
        <v>118.89</v>
      </c>
      <c r="F339" s="250"/>
    </row>
    <row r="340" spans="1:6">
      <c r="A340" s="130">
        <v>40032</v>
      </c>
      <c r="B340" s="76" t="str">
        <f>TiposLancamentos!B37</f>
        <v>Playstation 3</v>
      </c>
      <c r="C340" s="147" t="s">
        <v>23436</v>
      </c>
      <c r="D340" s="63"/>
      <c r="E340" s="49">
        <v>126.63</v>
      </c>
      <c r="F340" s="250"/>
    </row>
    <row r="341" spans="1:6">
      <c r="A341" s="242"/>
      <c r="B341" s="226"/>
      <c r="C341" s="227" t="s">
        <v>10</v>
      </c>
      <c r="D341" s="228"/>
      <c r="E341" s="228"/>
      <c r="F341" s="251"/>
    </row>
    <row r="342" spans="1:6">
      <c r="A342" s="130">
        <v>40047</v>
      </c>
      <c r="B342" s="76" t="str">
        <f>TiposLancamentos!B16</f>
        <v>Cristiane</v>
      </c>
      <c r="C342" s="147" t="s">
        <v>23437</v>
      </c>
      <c r="D342" s="63"/>
      <c r="E342" s="49">
        <v>131.84</v>
      </c>
      <c r="F342" s="250" t="s">
        <v>9</v>
      </c>
    </row>
    <row r="343" spans="1:6">
      <c r="A343" s="130">
        <v>40049</v>
      </c>
      <c r="B343" s="76" t="str">
        <f>TiposLancamentos!B22</f>
        <v>Combustivel</v>
      </c>
      <c r="C343" s="147" t="s">
        <v>23329</v>
      </c>
      <c r="D343" s="63"/>
      <c r="E343" s="49">
        <v>64</v>
      </c>
      <c r="F343" s="250" t="s">
        <v>9</v>
      </c>
    </row>
    <row r="344" spans="1:6">
      <c r="A344" s="130">
        <v>40050</v>
      </c>
      <c r="B344" s="76" t="str">
        <f>TiposLancamentos!B19</f>
        <v>Restaurantes</v>
      </c>
      <c r="C344" s="147" t="s">
        <v>21887</v>
      </c>
      <c r="D344" s="63"/>
      <c r="E344" s="49">
        <v>48.22</v>
      </c>
      <c r="F344" s="250" t="s">
        <v>9</v>
      </c>
    </row>
    <row r="345" spans="1:6">
      <c r="A345" s="130">
        <v>40050</v>
      </c>
      <c r="B345" s="76" t="str">
        <f>TiposLancamentos!B13</f>
        <v>Moradia</v>
      </c>
      <c r="C345" s="147" t="s">
        <v>23438</v>
      </c>
      <c r="D345" s="63"/>
      <c r="E345" s="49">
        <v>362.66</v>
      </c>
      <c r="F345" s="250" t="s">
        <v>9</v>
      </c>
    </row>
    <row r="346" spans="1:6">
      <c r="A346" s="130">
        <v>40050</v>
      </c>
      <c r="B346" s="76" t="str">
        <f>TiposLancamentos!B19</f>
        <v>Restaurantes</v>
      </c>
      <c r="C346" s="147" t="s">
        <v>5876</v>
      </c>
      <c r="D346" s="63"/>
      <c r="E346" s="49">
        <v>102.3</v>
      </c>
      <c r="F346" s="250" t="s">
        <v>9</v>
      </c>
    </row>
    <row r="347" spans="1:6">
      <c r="A347" s="130">
        <v>40051</v>
      </c>
      <c r="B347" s="76" t="str">
        <f>TiposLancamentos!B19</f>
        <v>Restaurantes</v>
      </c>
      <c r="C347" s="147" t="s">
        <v>23439</v>
      </c>
      <c r="D347" s="63"/>
      <c r="E347" s="49">
        <v>19.7</v>
      </c>
      <c r="F347" s="250" t="s">
        <v>9</v>
      </c>
    </row>
    <row r="348" spans="1:6">
      <c r="A348" s="130">
        <v>40084</v>
      </c>
      <c r="B348" s="76" t="str">
        <f>TiposLancamentos!B5</f>
        <v>Supermercado</v>
      </c>
      <c r="C348" s="147" t="s">
        <v>21475</v>
      </c>
      <c r="D348" s="63"/>
      <c r="E348" s="49">
        <v>60.89</v>
      </c>
      <c r="F348" s="250" t="s">
        <v>9</v>
      </c>
    </row>
    <row r="349" spans="1:6">
      <c r="A349" s="130">
        <v>40054</v>
      </c>
      <c r="B349" s="76" t="str">
        <f>TiposLancamentos!B16</f>
        <v>Cristiane</v>
      </c>
      <c r="C349" s="147" t="s">
        <v>23440</v>
      </c>
      <c r="D349" s="63"/>
      <c r="E349" s="49">
        <v>109</v>
      </c>
      <c r="F349" s="250" t="s">
        <v>9</v>
      </c>
    </row>
    <row r="350" spans="1:6">
      <c r="A350" s="130">
        <v>40054</v>
      </c>
      <c r="B350" s="76" t="str">
        <f>TiposLancamentos!B16</f>
        <v>Cristiane</v>
      </c>
      <c r="C350" s="147" t="s">
        <v>5216</v>
      </c>
      <c r="D350" s="63"/>
      <c r="E350" s="49">
        <v>70</v>
      </c>
      <c r="F350" s="250" t="s">
        <v>9</v>
      </c>
    </row>
    <row r="351" spans="1:6">
      <c r="A351" s="129"/>
      <c r="B351" s="247"/>
      <c r="C351" s="237" t="s">
        <v>3877</v>
      </c>
      <c r="D351" s="101"/>
      <c r="E351" s="248"/>
      <c r="F351" s="249">
        <f>SUM(E334:E340)</f>
        <v>1416.81</v>
      </c>
    </row>
    <row r="352" spans="1:6">
      <c r="A352" s="130">
        <v>40057</v>
      </c>
      <c r="B352" s="76" t="str">
        <f>TiposLancamentos!B15</f>
        <v>Cartões de Crédito</v>
      </c>
      <c r="C352" s="147" t="s">
        <v>20858</v>
      </c>
      <c r="D352" s="63">
        <v>1416.81</v>
      </c>
      <c r="E352" s="49"/>
      <c r="F352" s="250"/>
    </row>
    <row r="353" spans="1:6">
      <c r="A353" s="130">
        <v>40059</v>
      </c>
      <c r="B353" s="76" t="str">
        <f>TiposLancamentos!B57</f>
        <v>Informática</v>
      </c>
      <c r="C353" s="147" t="s">
        <v>23441</v>
      </c>
      <c r="D353" s="63"/>
      <c r="E353" s="49">
        <v>316.7</v>
      </c>
      <c r="F353" s="250" t="s">
        <v>9</v>
      </c>
    </row>
    <row r="354" spans="1:6">
      <c r="A354" s="130">
        <v>40061</v>
      </c>
      <c r="B354" s="76" t="str">
        <f>TiposLancamentos!B57</f>
        <v>Informática</v>
      </c>
      <c r="C354" s="147" t="s">
        <v>23442</v>
      </c>
      <c r="D354" s="63"/>
      <c r="E354" s="49">
        <v>599.98</v>
      </c>
      <c r="F354" s="250" t="s">
        <v>9</v>
      </c>
    </row>
    <row r="355" spans="1:6">
      <c r="A355" s="130">
        <v>40062</v>
      </c>
      <c r="B355" s="76" t="str">
        <f>TiposLancamentos!B37</f>
        <v>Playstation 3</v>
      </c>
      <c r="C355" s="147" t="s">
        <v>23443</v>
      </c>
      <c r="D355" s="63"/>
      <c r="E355" s="49">
        <v>279</v>
      </c>
      <c r="F355" s="250" t="s">
        <v>9</v>
      </c>
    </row>
    <row r="356" spans="1:6">
      <c r="A356" s="130">
        <v>40063</v>
      </c>
      <c r="B356" s="76" t="str">
        <f>TiposLancamentos!B31</f>
        <v>Action Figures</v>
      </c>
      <c r="C356" s="147" t="s">
        <v>23444</v>
      </c>
      <c r="D356" s="63"/>
      <c r="E356" s="49">
        <v>39.909999999999997</v>
      </c>
      <c r="F356" s="250" t="s">
        <v>9</v>
      </c>
    </row>
    <row r="357" spans="1:6">
      <c r="A357" s="130">
        <v>40063</v>
      </c>
      <c r="B357" s="76" t="str">
        <f>TiposLancamentos!B31</f>
        <v>Action Figures</v>
      </c>
      <c r="C357" s="147" t="s">
        <v>23445</v>
      </c>
      <c r="D357" s="63"/>
      <c r="E357" s="49">
        <v>136.9</v>
      </c>
      <c r="F357" s="250" t="s">
        <v>9</v>
      </c>
    </row>
    <row r="358" spans="1:6">
      <c r="A358" s="242"/>
      <c r="B358" s="226"/>
      <c r="C358" s="227" t="s">
        <v>10</v>
      </c>
      <c r="D358" s="228"/>
      <c r="E358" s="228"/>
      <c r="F358" s="251"/>
    </row>
    <row r="359" spans="1:6">
      <c r="A359" s="130">
        <v>40080</v>
      </c>
      <c r="B359" s="76" t="str">
        <f>TiposLancamentos!B22</f>
        <v>Combustivel</v>
      </c>
      <c r="C359" s="147" t="s">
        <v>23446</v>
      </c>
      <c r="D359" s="63"/>
      <c r="E359" s="49">
        <v>56.59</v>
      </c>
      <c r="F359" s="250"/>
    </row>
    <row r="360" spans="1:6">
      <c r="A360" s="130">
        <v>40080</v>
      </c>
      <c r="B360" s="76" t="str">
        <f>TiposLancamentos!B16</f>
        <v>Cristiane</v>
      </c>
      <c r="C360" s="147" t="s">
        <v>23447</v>
      </c>
      <c r="D360" s="63"/>
      <c r="E360" s="49">
        <v>198</v>
      </c>
      <c r="F360" s="250"/>
    </row>
    <row r="361" spans="1:6">
      <c r="A361" s="130">
        <v>40078</v>
      </c>
      <c r="B361" s="76" t="str">
        <f>TiposLancamentos!B17</f>
        <v>GATO</v>
      </c>
      <c r="C361" s="147" t="s">
        <v>23448</v>
      </c>
      <c r="D361" s="63"/>
      <c r="E361" s="49">
        <v>109.4</v>
      </c>
      <c r="F361" s="250"/>
    </row>
    <row r="362" spans="1:6">
      <c r="A362" s="130">
        <v>40081</v>
      </c>
      <c r="B362" s="76" t="str">
        <f>TiposLancamentos!B13</f>
        <v>Moradia</v>
      </c>
      <c r="C362" s="147" t="s">
        <v>23449</v>
      </c>
      <c r="D362" s="63"/>
      <c r="E362" s="49">
        <v>362.66</v>
      </c>
      <c r="F362" s="250"/>
    </row>
    <row r="363" spans="1:6">
      <c r="A363" s="131">
        <v>40084</v>
      </c>
      <c r="B363" s="234" t="str">
        <f>TiposLancamentos!B57</f>
        <v>Informática</v>
      </c>
      <c r="C363" s="235" t="s">
        <v>23450</v>
      </c>
      <c r="D363" s="90"/>
      <c r="E363" s="90">
        <v>149</v>
      </c>
      <c r="F363" s="250"/>
    </row>
    <row r="364" spans="1:6">
      <c r="A364" s="131">
        <v>40084</v>
      </c>
      <c r="B364" s="234" t="str">
        <f>TiposLancamentos!B16</f>
        <v>Cristiane</v>
      </c>
      <c r="C364" s="235" t="s">
        <v>23451</v>
      </c>
      <c r="D364" s="90"/>
      <c r="E364" s="90">
        <v>48</v>
      </c>
      <c r="F364" s="250">
        <f>SUM(E363:E364)</f>
        <v>197</v>
      </c>
    </row>
    <row r="365" spans="1:6">
      <c r="A365" s="130">
        <v>40084</v>
      </c>
      <c r="B365" s="76" t="str">
        <f>TiposLancamentos!B5</f>
        <v>Supermercado</v>
      </c>
      <c r="C365" s="147" t="s">
        <v>2567</v>
      </c>
      <c r="D365" s="63"/>
      <c r="E365" s="49">
        <v>161.80000000000001</v>
      </c>
      <c r="F365" s="250"/>
    </row>
    <row r="366" spans="1:6">
      <c r="A366" s="129"/>
      <c r="B366" s="247"/>
      <c r="C366" s="100" t="s">
        <v>3896</v>
      </c>
      <c r="D366" s="101"/>
      <c r="E366" s="238"/>
      <c r="F366" s="239">
        <f>SUM(E342:E357)</f>
        <v>2341.1</v>
      </c>
    </row>
    <row r="367" spans="1:6">
      <c r="A367" s="130">
        <v>40087</v>
      </c>
      <c r="B367" s="76" t="str">
        <f>TiposLancamentos!B15</f>
        <v>Cartões de Crédito</v>
      </c>
      <c r="C367" s="3" t="s">
        <v>23452</v>
      </c>
      <c r="D367" s="63">
        <v>2762.77</v>
      </c>
      <c r="E367" s="231"/>
      <c r="F367" s="241"/>
    </row>
    <row r="368" spans="1:6">
      <c r="A368" s="130">
        <v>40088</v>
      </c>
      <c r="B368" s="76" t="str">
        <f>TiposLancamentos!B64</f>
        <v>Viagens</v>
      </c>
      <c r="C368" s="3" t="s">
        <v>23453</v>
      </c>
      <c r="D368" s="63"/>
      <c r="E368" s="231">
        <v>621.78</v>
      </c>
      <c r="F368" s="241"/>
    </row>
    <row r="369" spans="1:6">
      <c r="A369" s="130">
        <v>40091</v>
      </c>
      <c r="B369" s="76" t="str">
        <f>TiposLancamentos!B57</f>
        <v>Informática</v>
      </c>
      <c r="C369" s="147" t="s">
        <v>23454</v>
      </c>
      <c r="D369" s="63"/>
      <c r="E369" s="49">
        <v>599.98</v>
      </c>
      <c r="F369" s="241"/>
    </row>
    <row r="370" spans="1:6">
      <c r="A370" s="130">
        <v>40094</v>
      </c>
      <c r="B370" s="76" t="str">
        <f>TiposLancamentos!B31</f>
        <v>Action Figures</v>
      </c>
      <c r="C370" s="52" t="s">
        <v>23455</v>
      </c>
      <c r="D370" s="63"/>
      <c r="E370" s="231">
        <v>45.41</v>
      </c>
      <c r="F370" s="241"/>
    </row>
    <row r="371" spans="1:6">
      <c r="A371" s="130">
        <v>40102</v>
      </c>
      <c r="B371" s="76" t="str">
        <f>TiposLancamentos!B25</f>
        <v>CD_DVD_BD</v>
      </c>
      <c r="C371" s="52" t="s">
        <v>23456</v>
      </c>
      <c r="D371" s="63"/>
      <c r="E371" s="231">
        <v>90</v>
      </c>
      <c r="F371" s="241">
        <f>D367-F366</f>
        <v>421.67000000000007</v>
      </c>
    </row>
    <row r="372" spans="1:6">
      <c r="A372" s="130">
        <v>40104</v>
      </c>
      <c r="B372" s="76" t="str">
        <f>TiposLancamentos!B5</f>
        <v>Supermercado</v>
      </c>
      <c r="C372" s="52" t="s">
        <v>23457</v>
      </c>
      <c r="D372" s="63"/>
      <c r="E372" s="231">
        <v>33.81</v>
      </c>
      <c r="F372" s="241"/>
    </row>
    <row r="373" spans="1:6">
      <c r="A373" s="130">
        <v>40105</v>
      </c>
      <c r="B373" s="76" t="str">
        <f>TiposLancamentos!B19</f>
        <v>Restaurantes</v>
      </c>
      <c r="C373" s="52" t="s">
        <v>3287</v>
      </c>
      <c r="D373" s="63"/>
      <c r="E373" s="231">
        <v>19.399999999999999</v>
      </c>
      <c r="F373" s="241"/>
    </row>
    <row r="374" spans="1:6">
      <c r="A374" s="130">
        <v>40107</v>
      </c>
      <c r="B374" s="76" t="str">
        <f>TiposLancamentos!B19</f>
        <v>Restaurantes</v>
      </c>
      <c r="C374" s="52" t="s">
        <v>23458</v>
      </c>
      <c r="D374" s="63"/>
      <c r="E374" s="231">
        <v>21.6</v>
      </c>
      <c r="F374" s="241"/>
    </row>
    <row r="375" spans="1:6">
      <c r="A375" s="130">
        <v>40107</v>
      </c>
      <c r="B375" s="76" t="str">
        <f>TiposLancamentos!B56</f>
        <v>Farmácia</v>
      </c>
      <c r="C375" s="52" t="s">
        <v>23459</v>
      </c>
      <c r="D375" s="63"/>
      <c r="E375" s="231">
        <v>184.04</v>
      </c>
      <c r="F375" s="241"/>
    </row>
    <row r="376" spans="1:6">
      <c r="A376" s="242"/>
      <c r="B376" s="226"/>
      <c r="C376" s="227" t="s">
        <v>10</v>
      </c>
      <c r="D376" s="228"/>
      <c r="E376" s="228"/>
      <c r="F376" s="251"/>
    </row>
    <row r="377" spans="1:6">
      <c r="A377" s="130">
        <v>40108</v>
      </c>
      <c r="B377" s="76" t="str">
        <f>TiposLancamentos!B19</f>
        <v>Restaurantes</v>
      </c>
      <c r="C377" s="52" t="s">
        <v>23460</v>
      </c>
      <c r="D377" s="63"/>
      <c r="E377" s="231">
        <v>14.9</v>
      </c>
      <c r="F377" s="241"/>
    </row>
    <row r="378" spans="1:6">
      <c r="A378" s="130">
        <v>40112</v>
      </c>
      <c r="B378" s="76" t="str">
        <f>TiposLancamentos!B31</f>
        <v>Action Figures</v>
      </c>
      <c r="C378" s="52" t="s">
        <v>23461</v>
      </c>
      <c r="D378" s="63"/>
      <c r="E378" s="231">
        <v>170.22</v>
      </c>
      <c r="F378" s="241" t="s">
        <v>23462</v>
      </c>
    </row>
    <row r="379" spans="1:6">
      <c r="A379" s="130">
        <v>40112</v>
      </c>
      <c r="B379" s="76" t="str">
        <f>TiposLancamentos!B17</f>
        <v>GATO</v>
      </c>
      <c r="C379" s="52" t="s">
        <v>9863</v>
      </c>
      <c r="D379" s="63"/>
      <c r="E379" s="231">
        <v>83.66</v>
      </c>
      <c r="F379" s="241"/>
    </row>
    <row r="380" spans="1:6">
      <c r="A380" s="130">
        <v>40114</v>
      </c>
      <c r="B380" s="76" t="str">
        <f>TiposLancamentos!B19</f>
        <v>Restaurantes</v>
      </c>
      <c r="C380" s="52" t="s">
        <v>2218</v>
      </c>
      <c r="D380" s="63"/>
      <c r="E380" s="231">
        <v>48.67</v>
      </c>
      <c r="F380" s="241"/>
    </row>
    <row r="381" spans="1:6">
      <c r="A381" s="130">
        <v>40114</v>
      </c>
      <c r="B381" s="76" t="str">
        <f>TiposLancamentos!B57</f>
        <v>Informática</v>
      </c>
      <c r="C381" s="52" t="s">
        <v>23463</v>
      </c>
      <c r="D381" s="63"/>
      <c r="E381" s="231">
        <v>38.08</v>
      </c>
      <c r="F381" s="241" t="s">
        <v>23464</v>
      </c>
    </row>
    <row r="382" spans="1:6">
      <c r="A382" s="129"/>
      <c r="B382" s="247"/>
      <c r="C382" s="100" t="s">
        <v>5768</v>
      </c>
      <c r="D382" s="101"/>
      <c r="E382" s="238"/>
      <c r="F382" s="239">
        <f>SUM(E359:E375)-F371</f>
        <v>2279.7999999999997</v>
      </c>
    </row>
    <row r="383" spans="1:6">
      <c r="A383" s="130">
        <v>40119</v>
      </c>
      <c r="B383" s="76" t="str">
        <f>TiposLancamentos!B64</f>
        <v>Viagens</v>
      </c>
      <c r="C383" s="3" t="s">
        <v>23465</v>
      </c>
      <c r="D383" s="63"/>
      <c r="E383" s="231">
        <v>621.74</v>
      </c>
      <c r="F383" s="241"/>
    </row>
    <row r="384" spans="1:6">
      <c r="A384" s="130">
        <v>40120</v>
      </c>
      <c r="B384" s="76" t="str">
        <f>TiposLancamentos!B15</f>
        <v>Cartões de Crédito</v>
      </c>
      <c r="C384" s="3" t="s">
        <v>14126</v>
      </c>
      <c r="D384" s="63">
        <v>2279.8000000000002</v>
      </c>
      <c r="E384" s="231"/>
      <c r="F384" s="241"/>
    </row>
    <row r="385" spans="1:6">
      <c r="A385" s="130">
        <v>40122</v>
      </c>
      <c r="B385" s="76" t="str">
        <f>TiposLancamentos!B57</f>
        <v>Informática</v>
      </c>
      <c r="C385" s="147" t="s">
        <v>23466</v>
      </c>
      <c r="D385" s="63"/>
      <c r="E385" s="49">
        <v>599.98</v>
      </c>
      <c r="F385" s="241"/>
    </row>
    <row r="386" spans="1:6">
      <c r="A386" s="138">
        <v>40123</v>
      </c>
      <c r="B386" s="125" t="str">
        <f>TiposLancamentos!B19</f>
        <v>Restaurantes</v>
      </c>
      <c r="C386" s="139" t="s">
        <v>23467</v>
      </c>
      <c r="D386" s="51"/>
      <c r="E386" s="140">
        <v>51.8</v>
      </c>
      <c r="F386" s="241"/>
    </row>
    <row r="387" spans="1:6">
      <c r="A387" s="130">
        <v>40129</v>
      </c>
      <c r="B387" s="76" t="str">
        <f>TiposLancamentos!B19</f>
        <v>Restaurantes</v>
      </c>
      <c r="C387" s="3" t="s">
        <v>23467</v>
      </c>
      <c r="D387" s="63"/>
      <c r="E387" s="231">
        <v>47.8</v>
      </c>
      <c r="F387" s="241"/>
    </row>
    <row r="388" spans="1:6">
      <c r="A388" s="130">
        <v>40134</v>
      </c>
      <c r="B388" s="76" t="str">
        <f>TiposLancamentos!B19</f>
        <v>Restaurantes</v>
      </c>
      <c r="C388" s="3" t="s">
        <v>23468</v>
      </c>
      <c r="D388" s="63"/>
      <c r="E388" s="231">
        <v>42.9</v>
      </c>
      <c r="F388" s="241"/>
    </row>
    <row r="389" spans="1:6">
      <c r="A389" s="242"/>
      <c r="B389" s="226"/>
      <c r="C389" s="227" t="s">
        <v>10</v>
      </c>
      <c r="D389" s="228"/>
      <c r="E389" s="228"/>
      <c r="F389" s="251"/>
    </row>
    <row r="390" spans="1:6">
      <c r="A390" s="129"/>
      <c r="B390" s="247"/>
      <c r="C390" s="100" t="s">
        <v>5771</v>
      </c>
      <c r="D390" s="101"/>
      <c r="E390" s="238"/>
      <c r="F390" s="239">
        <f>SUM(E377:E388)</f>
        <v>1719.75</v>
      </c>
    </row>
    <row r="391" spans="1:6">
      <c r="A391" s="130">
        <v>40148</v>
      </c>
      <c r="B391" s="76" t="str">
        <f>TiposLancamentos!B15</f>
        <v>Cartões de Crédito</v>
      </c>
      <c r="C391" s="3" t="s">
        <v>14126</v>
      </c>
      <c r="D391" s="63">
        <f>F390</f>
        <v>1719.75</v>
      </c>
      <c r="E391" s="231"/>
      <c r="F391" s="241"/>
    </row>
    <row r="392" spans="1:6">
      <c r="A392" s="130">
        <v>40148</v>
      </c>
      <c r="B392" s="76" t="str">
        <f>TiposLancamentos!B75</f>
        <v>Shows</v>
      </c>
      <c r="C392" s="3" t="s">
        <v>23469</v>
      </c>
      <c r="D392" s="63"/>
      <c r="E392" s="231">
        <v>421</v>
      </c>
      <c r="F392" s="241"/>
    </row>
    <row r="393" spans="1:6">
      <c r="A393" s="130">
        <v>40149</v>
      </c>
      <c r="B393" s="76" t="str">
        <f>TiposLancamentos!B64</f>
        <v>Viagens</v>
      </c>
      <c r="C393" s="3" t="s">
        <v>23470</v>
      </c>
      <c r="D393" s="63"/>
      <c r="E393" s="231">
        <v>621.74</v>
      </c>
      <c r="F393" s="241"/>
    </row>
    <row r="394" spans="1:6">
      <c r="A394" s="130">
        <v>40149</v>
      </c>
      <c r="B394" s="76" t="str">
        <f>TiposLancamentos!B27</f>
        <v>Jornais e revistas</v>
      </c>
      <c r="C394" s="3" t="s">
        <v>23359</v>
      </c>
      <c r="D394" s="63"/>
      <c r="E394" s="231">
        <v>111.18</v>
      </c>
      <c r="F394" s="241"/>
    </row>
    <row r="395" spans="1:6">
      <c r="A395" s="130">
        <v>40150</v>
      </c>
      <c r="B395" s="76" t="str">
        <f>TiposLancamentos!B19</f>
        <v>Restaurantes</v>
      </c>
      <c r="C395" s="3" t="s">
        <v>21112</v>
      </c>
      <c r="D395" s="63"/>
      <c r="E395" s="231">
        <v>55.7</v>
      </c>
      <c r="F395" s="241"/>
    </row>
    <row r="396" spans="1:6">
      <c r="A396" s="130">
        <v>40152</v>
      </c>
      <c r="B396" s="76" t="str">
        <f>TiposLancamentos!B57</f>
        <v>Informática</v>
      </c>
      <c r="C396" s="147" t="s">
        <v>23471</v>
      </c>
      <c r="D396" s="63"/>
      <c r="E396" s="49">
        <v>599.98</v>
      </c>
      <c r="F396" s="241" t="s">
        <v>9088</v>
      </c>
    </row>
    <row r="397" spans="1:6">
      <c r="A397" s="130">
        <v>40157</v>
      </c>
      <c r="B397" s="76" t="str">
        <f>TiposLancamentos!B19</f>
        <v>Restaurantes</v>
      </c>
      <c r="C397" s="3" t="s">
        <v>21112</v>
      </c>
      <c r="D397" s="63"/>
      <c r="E397" s="231">
        <v>55.7</v>
      </c>
      <c r="F397" s="241"/>
    </row>
    <row r="398" spans="1:6">
      <c r="A398" s="130">
        <v>40160</v>
      </c>
      <c r="B398" s="76" t="str">
        <f>TiposLancamentos!B16</f>
        <v>Cristiane</v>
      </c>
      <c r="C398" s="3" t="s">
        <v>23472</v>
      </c>
      <c r="D398" s="63"/>
      <c r="E398" s="231">
        <f>23.55*1.82</f>
        <v>42.861000000000004</v>
      </c>
      <c r="F398" s="241" t="s">
        <v>23473</v>
      </c>
    </row>
    <row r="399" spans="1:6">
      <c r="A399" s="130">
        <v>40164</v>
      </c>
      <c r="B399" s="76" t="str">
        <f>TiposLancamentos!B19</f>
        <v>Restaurantes</v>
      </c>
      <c r="C399" s="3" t="s">
        <v>23474</v>
      </c>
      <c r="D399" s="63"/>
      <c r="E399" s="231">
        <v>67.8</v>
      </c>
      <c r="F399" s="241"/>
    </row>
    <row r="400" spans="1:6">
      <c r="A400" s="130">
        <v>40165</v>
      </c>
      <c r="B400" s="76" t="str">
        <f>TiposLancamentos!B4</f>
        <v>Taxas Bancarias</v>
      </c>
      <c r="C400" s="3" t="s">
        <v>23475</v>
      </c>
      <c r="D400" s="63"/>
      <c r="E400" s="231">
        <v>1.02</v>
      </c>
      <c r="F400" s="241"/>
    </row>
    <row r="401" spans="1:6">
      <c r="A401" s="242"/>
      <c r="B401" s="226"/>
      <c r="C401" s="227" t="s">
        <v>10</v>
      </c>
      <c r="D401" s="228"/>
      <c r="E401" s="228"/>
      <c r="F401" s="251"/>
    </row>
    <row r="402" spans="1:6">
      <c r="A402" s="130">
        <v>40178</v>
      </c>
      <c r="B402" s="76" t="str">
        <f>TiposLancamentos!B4</f>
        <v>Taxas Bancarias</v>
      </c>
      <c r="C402" s="3" t="s">
        <v>23476</v>
      </c>
      <c r="D402" s="63"/>
      <c r="E402" s="231">
        <v>3.56</v>
      </c>
      <c r="F402" s="241"/>
    </row>
    <row r="403" spans="1:6">
      <c r="A403" s="130">
        <v>40178</v>
      </c>
      <c r="B403" s="76" t="str">
        <f>TiposLancamentos!B31</f>
        <v>Action Figures</v>
      </c>
      <c r="C403" s="3" t="s">
        <v>23477</v>
      </c>
      <c r="D403" s="63"/>
      <c r="E403" s="231">
        <v>82.84</v>
      </c>
      <c r="F403" s="241" t="s">
        <v>23478</v>
      </c>
    </row>
    <row r="404" spans="1:6">
      <c r="A404" s="129"/>
      <c r="B404" s="247"/>
      <c r="C404" s="100" t="s">
        <v>5777</v>
      </c>
      <c r="D404" s="101"/>
      <c r="E404" s="238"/>
      <c r="F404" s="239">
        <f>SUM(E390:E400)</f>
        <v>1976.9810000000002</v>
      </c>
    </row>
    <row r="405" spans="1:6">
      <c r="A405" s="130">
        <v>40180</v>
      </c>
      <c r="B405" s="76" t="str">
        <f>TiposLancamentos!B64</f>
        <v>Viagens</v>
      </c>
      <c r="C405" s="3" t="s">
        <v>23479</v>
      </c>
      <c r="D405" s="63"/>
      <c r="E405" s="231">
        <v>621.74</v>
      </c>
      <c r="F405" s="241"/>
    </row>
    <row r="406" spans="1:6">
      <c r="A406" s="130">
        <v>40182</v>
      </c>
      <c r="B406" s="76" t="str">
        <f>TiposLancamentos!B15</f>
        <v>Cartões de Crédito</v>
      </c>
      <c r="C406" s="3" t="s">
        <v>14142</v>
      </c>
      <c r="D406" s="63">
        <v>1976.98</v>
      </c>
      <c r="E406" s="231"/>
      <c r="F406" s="241"/>
    </row>
    <row r="407" spans="1:6">
      <c r="A407" s="130">
        <v>40182</v>
      </c>
      <c r="B407" s="76" t="str">
        <f>TiposLancamentos!B4</f>
        <v>Taxas Bancarias</v>
      </c>
      <c r="C407" s="3" t="s">
        <v>10953</v>
      </c>
      <c r="D407" s="63">
        <v>0.7</v>
      </c>
      <c r="E407" s="231"/>
      <c r="F407" s="241"/>
    </row>
    <row r="408" spans="1:6">
      <c r="A408" s="130">
        <v>40183</v>
      </c>
      <c r="B408" s="76" t="str">
        <f>TiposLancamentos!B57</f>
        <v>Informática</v>
      </c>
      <c r="C408" s="147" t="s">
        <v>23480</v>
      </c>
      <c r="D408" s="63"/>
      <c r="E408" s="49">
        <v>599.98500000000001</v>
      </c>
      <c r="F408" s="241"/>
    </row>
    <row r="409" spans="1:6">
      <c r="A409" s="130">
        <v>40189</v>
      </c>
      <c r="B409" s="76" t="str">
        <f>TiposLancamentos!B100</f>
        <v>Emprestimos</v>
      </c>
      <c r="C409" s="3" t="s">
        <v>23481</v>
      </c>
      <c r="D409" s="63"/>
      <c r="E409" s="231">
        <v>154.18</v>
      </c>
      <c r="F409" s="241" t="s">
        <v>23482</v>
      </c>
    </row>
    <row r="410" spans="1:6">
      <c r="A410" s="130">
        <v>40197</v>
      </c>
      <c r="B410" s="76" t="str">
        <f>TiposLancamentos!B4</f>
        <v>Taxas Bancarias</v>
      </c>
      <c r="C410" s="3" t="s">
        <v>23483</v>
      </c>
      <c r="D410" s="63">
        <v>64</v>
      </c>
      <c r="E410" s="231"/>
      <c r="F410" s="241"/>
    </row>
    <row r="411" spans="1:6">
      <c r="A411" s="130">
        <v>40198</v>
      </c>
      <c r="B411" s="76" t="str">
        <f>TiposLancamentos!B4</f>
        <v>Taxas Bancarias</v>
      </c>
      <c r="C411" s="3" t="s">
        <v>23289</v>
      </c>
      <c r="D411" s="63"/>
      <c r="E411" s="231">
        <v>0.08</v>
      </c>
      <c r="F411" s="241"/>
    </row>
    <row r="412" spans="1:6">
      <c r="A412" s="242"/>
      <c r="B412" s="226"/>
      <c r="C412" s="227" t="s">
        <v>10</v>
      </c>
      <c r="D412" s="228"/>
      <c r="E412" s="228"/>
      <c r="F412" s="251"/>
    </row>
    <row r="413" spans="1:6">
      <c r="A413" s="130">
        <v>40200</v>
      </c>
      <c r="B413" s="76" t="str">
        <f>TiposLancamentos!B26</f>
        <v>LIVROS</v>
      </c>
      <c r="C413" s="3" t="s">
        <v>23484</v>
      </c>
      <c r="D413" s="63"/>
      <c r="E413" s="231">
        <v>111.87</v>
      </c>
      <c r="F413" s="241"/>
    </row>
    <row r="414" spans="1:6">
      <c r="A414" s="130">
        <v>40207</v>
      </c>
      <c r="B414" s="76" t="str">
        <f>TiposLancamentos!B19</f>
        <v>Restaurantes</v>
      </c>
      <c r="C414" s="3" t="s">
        <v>21112</v>
      </c>
      <c r="D414" s="63"/>
      <c r="E414" s="231">
        <v>47.8</v>
      </c>
      <c r="F414" s="241"/>
    </row>
    <row r="415" spans="1:6">
      <c r="A415" s="130">
        <v>40207</v>
      </c>
      <c r="B415" s="76" t="str">
        <f>TiposLancamentos!B4</f>
        <v>Taxas Bancarias</v>
      </c>
      <c r="C415" s="3" t="s">
        <v>23288</v>
      </c>
      <c r="D415" s="63"/>
      <c r="E415" s="231">
        <v>0.15</v>
      </c>
      <c r="F415" s="241"/>
    </row>
    <row r="416" spans="1:6">
      <c r="A416" s="130">
        <v>40207</v>
      </c>
      <c r="B416" s="76" t="str">
        <f>TiposLancamentos!B25</f>
        <v>CD_DVD_BD</v>
      </c>
      <c r="C416" s="3" t="s">
        <v>23485</v>
      </c>
      <c r="D416" s="63"/>
      <c r="E416" s="231">
        <v>46</v>
      </c>
      <c r="F416" s="241"/>
    </row>
    <row r="417" spans="1:6">
      <c r="A417" s="258"/>
      <c r="B417" s="259"/>
      <c r="C417" s="109" t="s">
        <v>5778</v>
      </c>
      <c r="D417" s="110"/>
      <c r="E417" s="260"/>
      <c r="F417" s="261">
        <f>SUM(E402:E411)-(D407+D410)</f>
        <v>1397.6849999999999</v>
      </c>
    </row>
    <row r="418" spans="1:6">
      <c r="A418" s="262">
        <v>40210</v>
      </c>
      <c r="B418" s="76" t="str">
        <f>TiposLancamentos!B15</f>
        <v>Cartões de Crédito</v>
      </c>
      <c r="C418" s="3" t="s">
        <v>14126</v>
      </c>
      <c r="D418" s="63">
        <v>1397.68</v>
      </c>
      <c r="E418" s="231"/>
      <c r="F418" s="263"/>
    </row>
    <row r="419" spans="1:6">
      <c r="A419" s="262">
        <v>40211</v>
      </c>
      <c r="B419" s="76" t="str">
        <f>TiposLancamentos!B64</f>
        <v>Viagens</v>
      </c>
      <c r="C419" s="147" t="s">
        <v>23486</v>
      </c>
      <c r="D419" s="63"/>
      <c r="E419" s="231">
        <v>621.74</v>
      </c>
      <c r="F419" s="263"/>
    </row>
    <row r="420" spans="1:6">
      <c r="A420" s="262">
        <v>40212</v>
      </c>
      <c r="B420" s="76" t="str">
        <f>TiposLancamentos!B16</f>
        <v>Cristiane</v>
      </c>
      <c r="C420" s="147" t="s">
        <v>23487</v>
      </c>
      <c r="D420" s="63"/>
      <c r="E420" s="231">
        <v>88.76</v>
      </c>
      <c r="F420" s="263" t="s">
        <v>23488</v>
      </c>
    </row>
    <row r="421" spans="1:6">
      <c r="A421" s="262">
        <v>40217</v>
      </c>
      <c r="B421" s="76" t="str">
        <f>TiposLancamentos!B31</f>
        <v>Action Figures</v>
      </c>
      <c r="C421" s="147" t="s">
        <v>23489</v>
      </c>
      <c r="D421" s="63"/>
      <c r="E421" s="231">
        <v>79.150000000000006</v>
      </c>
      <c r="F421" s="263" t="s">
        <v>23490</v>
      </c>
    </row>
    <row r="422" spans="1:6">
      <c r="A422" s="262">
        <v>40217</v>
      </c>
      <c r="B422" s="76" t="str">
        <f>TiposLancamentos!B31</f>
        <v>Action Figures</v>
      </c>
      <c r="C422" s="147" t="s">
        <v>23491</v>
      </c>
      <c r="D422" s="63"/>
      <c r="E422" s="231">
        <v>121.75</v>
      </c>
      <c r="F422" s="263" t="s">
        <v>23492</v>
      </c>
    </row>
    <row r="423" spans="1:6">
      <c r="A423" s="111">
        <v>40218</v>
      </c>
      <c r="B423" s="76" t="str">
        <f>TiposLancamentos!B4</f>
        <v>Taxas Bancarias</v>
      </c>
      <c r="C423" s="147" t="s">
        <v>23493</v>
      </c>
      <c r="D423" s="63"/>
      <c r="E423" s="231">
        <v>8</v>
      </c>
      <c r="F423" s="263"/>
    </row>
    <row r="424" spans="1:6">
      <c r="A424" s="111">
        <v>40226</v>
      </c>
      <c r="B424" s="76" t="str">
        <f>TiposLancamentos!B4</f>
        <v>Taxas Bancarias</v>
      </c>
      <c r="C424" s="147" t="s">
        <v>23494</v>
      </c>
      <c r="D424" s="63">
        <v>2.0699999999999998</v>
      </c>
      <c r="E424" s="231"/>
      <c r="F424" s="263"/>
    </row>
    <row r="425" spans="1:6">
      <c r="A425" s="264"/>
      <c r="B425" s="226"/>
      <c r="C425" s="227" t="s">
        <v>10</v>
      </c>
      <c r="D425" s="228"/>
      <c r="E425" s="232"/>
      <c r="F425" s="265"/>
    </row>
    <row r="426" spans="1:6">
      <c r="A426" s="111">
        <v>40226</v>
      </c>
      <c r="B426" s="76" t="str">
        <f>TiposLancamentos!B13</f>
        <v>Moradia</v>
      </c>
      <c r="C426" s="147" t="s">
        <v>23495</v>
      </c>
      <c r="D426" s="63"/>
      <c r="E426" s="231">
        <v>299</v>
      </c>
      <c r="F426" s="263"/>
    </row>
    <row r="427" spans="1:6">
      <c r="A427" s="266">
        <v>40236</v>
      </c>
      <c r="B427" s="115" t="str">
        <f>TiposLancamentos!B27</f>
        <v>Jornais e revistas</v>
      </c>
      <c r="C427" s="267" t="s">
        <v>23496</v>
      </c>
      <c r="D427" s="113"/>
      <c r="E427" s="268">
        <v>130.72999999999999</v>
      </c>
      <c r="F427" s="269"/>
    </row>
    <row r="428" spans="1:6">
      <c r="A428" s="258"/>
      <c r="B428" s="259"/>
      <c r="C428" s="270" t="s">
        <v>3996</v>
      </c>
      <c r="D428" s="110"/>
      <c r="E428" s="260"/>
      <c r="F428" s="271">
        <f>SUM(E413:E424)+D424</f>
        <v>1127.29</v>
      </c>
    </row>
    <row r="429" spans="1:6">
      <c r="A429" s="262">
        <v>40238</v>
      </c>
      <c r="B429" s="76" t="str">
        <f>TiposLancamentos!B15</f>
        <v>Cartões de Crédito</v>
      </c>
      <c r="C429" s="147" t="s">
        <v>14126</v>
      </c>
      <c r="D429" s="63">
        <v>1127.29</v>
      </c>
      <c r="E429" s="231"/>
      <c r="F429" s="272"/>
    </row>
    <row r="430" spans="1:6">
      <c r="A430" s="262">
        <v>40239</v>
      </c>
      <c r="B430" s="76" t="str">
        <f>TiposLancamentos!B64</f>
        <v>Viagens</v>
      </c>
      <c r="C430" s="147" t="s">
        <v>23497</v>
      </c>
      <c r="D430" s="63"/>
      <c r="E430" s="231">
        <v>621.74</v>
      </c>
      <c r="F430" s="272"/>
    </row>
    <row r="431" spans="1:6">
      <c r="A431" s="262">
        <v>40248</v>
      </c>
      <c r="B431" s="76" t="str">
        <f>TiposLancamentos!B31</f>
        <v>Action Figures</v>
      </c>
      <c r="C431" s="147" t="s">
        <v>23498</v>
      </c>
      <c r="D431" s="63"/>
      <c r="E431" s="231">
        <v>30.83</v>
      </c>
      <c r="F431" s="272" t="s">
        <v>23499</v>
      </c>
    </row>
    <row r="432" spans="1:6">
      <c r="A432" s="262">
        <v>40248</v>
      </c>
      <c r="B432" s="76" t="str">
        <f>TiposLancamentos!B31</f>
        <v>Action Figures</v>
      </c>
      <c r="C432" s="147" t="s">
        <v>23500</v>
      </c>
      <c r="D432" s="63"/>
      <c r="E432" s="231">
        <v>17.8</v>
      </c>
      <c r="F432" s="272" t="s">
        <v>23501</v>
      </c>
    </row>
    <row r="433" spans="1:7">
      <c r="A433" s="262">
        <v>40248</v>
      </c>
      <c r="B433" s="76" t="str">
        <f>TiposLancamentos!B31</f>
        <v>Action Figures</v>
      </c>
      <c r="C433" s="147" t="s">
        <v>23502</v>
      </c>
      <c r="D433" s="63"/>
      <c r="E433" s="231">
        <v>34.479999999999997</v>
      </c>
      <c r="F433" s="272" t="s">
        <v>23503</v>
      </c>
    </row>
    <row r="434" spans="1:7">
      <c r="A434" s="262">
        <v>40248</v>
      </c>
      <c r="B434" s="76" t="str">
        <f>TiposLancamentos!B31</f>
        <v>Action Figures</v>
      </c>
      <c r="C434" s="147" t="s">
        <v>23504</v>
      </c>
      <c r="D434" s="63"/>
      <c r="E434" s="231">
        <v>23.93</v>
      </c>
      <c r="F434" s="272" t="s">
        <v>23505</v>
      </c>
    </row>
    <row r="435" spans="1:7">
      <c r="A435" s="262">
        <v>40248</v>
      </c>
      <c r="B435" s="76" t="str">
        <f>TiposLancamentos!B31</f>
        <v>Action Figures</v>
      </c>
      <c r="C435" s="147" t="s">
        <v>23506</v>
      </c>
      <c r="D435" s="63"/>
      <c r="E435" s="231">
        <v>25.24</v>
      </c>
      <c r="F435" s="272" t="s">
        <v>23507</v>
      </c>
    </row>
    <row r="436" spans="1:7">
      <c r="A436" s="262">
        <v>40248</v>
      </c>
      <c r="B436" s="76" t="str">
        <f>TiposLancamentos!B69</f>
        <v>Consertos</v>
      </c>
      <c r="C436" s="147" t="s">
        <v>23508</v>
      </c>
      <c r="D436" s="63"/>
      <c r="E436" s="231">
        <v>55.29</v>
      </c>
      <c r="F436" s="272" t="s">
        <v>23509</v>
      </c>
    </row>
    <row r="437" spans="1:7">
      <c r="A437" s="262">
        <v>40254</v>
      </c>
      <c r="B437" s="76" t="str">
        <f>TiposLancamentos!B19</f>
        <v>Restaurantes</v>
      </c>
      <c r="C437" s="147" t="s">
        <v>21112</v>
      </c>
      <c r="D437" s="63"/>
      <c r="E437" s="231">
        <v>47.8</v>
      </c>
      <c r="F437" s="272">
        <f>E436/4</f>
        <v>13.8225</v>
      </c>
    </row>
    <row r="438" spans="1:7">
      <c r="A438" s="264"/>
      <c r="B438" s="226"/>
      <c r="C438" s="227" t="s">
        <v>10</v>
      </c>
      <c r="D438" s="228"/>
      <c r="E438" s="228"/>
      <c r="F438" s="273"/>
    </row>
    <row r="439" spans="1:7">
      <c r="A439" s="262">
        <v>40256</v>
      </c>
      <c r="B439" s="76" t="str">
        <f>TiposLancamentos!B75</f>
        <v>Shows</v>
      </c>
      <c r="C439" s="147" t="s">
        <v>23510</v>
      </c>
      <c r="D439" s="63"/>
      <c r="E439" s="231">
        <v>613</v>
      </c>
      <c r="F439" s="272"/>
    </row>
    <row r="440" spans="1:7">
      <c r="A440" s="274">
        <v>40257</v>
      </c>
      <c r="B440" s="275" t="str">
        <f>TiposLancamentos!B37</f>
        <v>Playstation 3</v>
      </c>
      <c r="C440" s="141" t="s">
        <v>23511</v>
      </c>
      <c r="D440" s="51"/>
      <c r="E440" s="142">
        <v>159.9</v>
      </c>
      <c r="F440" s="272">
        <v>230.9</v>
      </c>
    </row>
    <row r="441" spans="1:7">
      <c r="A441" s="274">
        <v>40257</v>
      </c>
      <c r="B441" s="275" t="str">
        <f>TiposLancamentos!B16</f>
        <v>Cristiane</v>
      </c>
      <c r="C441" s="141" t="s">
        <v>23512</v>
      </c>
      <c r="D441" s="51"/>
      <c r="E441" s="142">
        <f>F440-E440</f>
        <v>71</v>
      </c>
      <c r="F441" s="272"/>
    </row>
    <row r="442" spans="1:7">
      <c r="A442" s="262">
        <v>40258</v>
      </c>
      <c r="B442" s="76" t="str">
        <f>TiposLancamentos!B37</f>
        <v>Playstation 3</v>
      </c>
      <c r="C442" s="147" t="s">
        <v>23513</v>
      </c>
      <c r="D442" s="63"/>
      <c r="E442" s="231">
        <v>199</v>
      </c>
      <c r="F442" s="272"/>
    </row>
    <row r="443" spans="1:7">
      <c r="A443" s="262">
        <v>40263</v>
      </c>
      <c r="B443" s="76" t="str">
        <f>TiposLancamentos!B16</f>
        <v>Cristiane</v>
      </c>
      <c r="C443" s="147" t="s">
        <v>23514</v>
      </c>
      <c r="D443" s="63"/>
      <c r="E443" s="231">
        <v>64.2</v>
      </c>
      <c r="F443" s="272"/>
    </row>
    <row r="444" spans="1:7">
      <c r="A444" s="262">
        <v>40267</v>
      </c>
      <c r="B444" s="76" t="str">
        <f>TiposLancamentos!B16</f>
        <v>Cristiane</v>
      </c>
      <c r="C444" s="147" t="s">
        <v>23515</v>
      </c>
      <c r="D444" s="63"/>
      <c r="E444" s="231">
        <v>63.95</v>
      </c>
      <c r="F444" s="272" t="s">
        <v>23516</v>
      </c>
      <c r="G444" s="154"/>
    </row>
    <row r="445" spans="1:7">
      <c r="A445" s="262">
        <v>40267</v>
      </c>
      <c r="B445" s="76" t="str">
        <f>TiposLancamentos!B50</f>
        <v>Guitarra</v>
      </c>
      <c r="C445" s="147" t="s">
        <v>23517</v>
      </c>
      <c r="D445" s="63"/>
      <c r="E445" s="231">
        <v>29.64</v>
      </c>
      <c r="F445" s="272" t="s">
        <v>23518</v>
      </c>
    </row>
    <row r="446" spans="1:7">
      <c r="A446" s="258"/>
      <c r="B446" s="259"/>
      <c r="C446" s="270" t="s">
        <v>4006</v>
      </c>
      <c r="D446" s="110"/>
      <c r="E446" s="260"/>
      <c r="F446" s="271">
        <f>SUM(E426:E437)</f>
        <v>1286.8399999999999</v>
      </c>
    </row>
    <row r="447" spans="1:7">
      <c r="A447" s="262">
        <v>40269</v>
      </c>
      <c r="B447" s="76" t="str">
        <f>TiposLancamentos!B15</f>
        <v>Cartões de Crédito</v>
      </c>
      <c r="C447" s="147" t="s">
        <v>14126</v>
      </c>
      <c r="D447" s="63">
        <v>1284.53</v>
      </c>
      <c r="E447" s="231"/>
      <c r="F447" s="272"/>
    </row>
    <row r="448" spans="1:7">
      <c r="A448" s="262">
        <v>40270</v>
      </c>
      <c r="B448" s="76" t="str">
        <f>TiposLancamentos!B50</f>
        <v>Guitarra</v>
      </c>
      <c r="C448" s="147" t="s">
        <v>23519</v>
      </c>
      <c r="D448" s="63"/>
      <c r="E448" s="231">
        <v>39.85</v>
      </c>
      <c r="F448" s="272"/>
    </row>
    <row r="449" spans="1:6">
      <c r="A449" s="262">
        <v>40281</v>
      </c>
      <c r="B449" s="76" t="str">
        <f>TiposLancamentos!B31</f>
        <v>Action Figures</v>
      </c>
      <c r="C449" s="147" t="s">
        <v>23520</v>
      </c>
      <c r="D449" s="63"/>
      <c r="E449" s="231">
        <v>21.44</v>
      </c>
      <c r="F449" s="272"/>
    </row>
    <row r="450" spans="1:6">
      <c r="A450" s="262">
        <v>40282</v>
      </c>
      <c r="B450" s="76" t="str">
        <f>TiposLancamentos!B19</f>
        <v>Restaurantes</v>
      </c>
      <c r="C450" s="147" t="s">
        <v>21112</v>
      </c>
      <c r="D450" s="63"/>
      <c r="E450" s="231">
        <v>47.8</v>
      </c>
      <c r="F450" s="272"/>
    </row>
    <row r="451" spans="1:6">
      <c r="A451" s="262">
        <v>40284</v>
      </c>
      <c r="B451" s="76" t="str">
        <f>TiposLancamentos!B75</f>
        <v>Shows</v>
      </c>
      <c r="C451" s="147" t="s">
        <v>23521</v>
      </c>
      <c r="D451" s="63"/>
      <c r="E451" s="231">
        <v>613</v>
      </c>
      <c r="F451" s="272"/>
    </row>
    <row r="452" spans="1:6">
      <c r="A452" s="262">
        <v>40288</v>
      </c>
      <c r="B452" s="76" t="str">
        <f>TiposLancamentos!B4</f>
        <v>Taxas Bancarias</v>
      </c>
      <c r="C452" s="147" t="s">
        <v>23522</v>
      </c>
      <c r="D452" s="63"/>
      <c r="E452" s="231">
        <v>1.54</v>
      </c>
      <c r="F452" s="272"/>
    </row>
    <row r="453" spans="1:6">
      <c r="A453" s="264"/>
      <c r="B453" s="226"/>
      <c r="C453" s="227" t="s">
        <v>10</v>
      </c>
      <c r="D453" s="228"/>
      <c r="E453" s="228"/>
      <c r="F453" s="273"/>
    </row>
    <row r="454" spans="1:6">
      <c r="A454" s="276">
        <v>40287</v>
      </c>
      <c r="B454" s="277" t="str">
        <f>TiposLancamentos!B25</f>
        <v>CD_DVD_BD</v>
      </c>
      <c r="C454" s="143" t="s">
        <v>23523</v>
      </c>
      <c r="D454" s="135"/>
      <c r="E454" s="145">
        <v>135.93</v>
      </c>
      <c r="F454" s="151" t="s">
        <v>23524</v>
      </c>
    </row>
    <row r="455" spans="1:6">
      <c r="A455" s="262">
        <v>40289</v>
      </c>
      <c r="B455" s="76" t="str">
        <f>TiposLancamentos!B19</f>
        <v>Restaurantes</v>
      </c>
      <c r="C455" s="147" t="s">
        <v>21112</v>
      </c>
      <c r="D455" s="63"/>
      <c r="E455" s="231">
        <v>47.8</v>
      </c>
      <c r="F455" s="272"/>
    </row>
    <row r="456" spans="1:6">
      <c r="A456" s="262">
        <v>40290</v>
      </c>
      <c r="B456" s="76" t="str">
        <f>TiposLancamentos!B50</f>
        <v>Guitarra</v>
      </c>
      <c r="C456" s="147" t="s">
        <v>23525</v>
      </c>
      <c r="D456" s="63"/>
      <c r="E456" s="231">
        <v>54.42</v>
      </c>
      <c r="F456" s="272"/>
    </row>
    <row r="457" spans="1:6">
      <c r="A457" s="262">
        <v>40290</v>
      </c>
      <c r="B457" s="76" t="str">
        <f>TiposLancamentos!B16</f>
        <v>Cristiane</v>
      </c>
      <c r="C457" s="147" t="s">
        <v>23526</v>
      </c>
      <c r="D457" s="63"/>
      <c r="E457" s="231">
        <v>101</v>
      </c>
      <c r="F457" s="272"/>
    </row>
    <row r="458" spans="1:6">
      <c r="A458" s="262">
        <v>40291</v>
      </c>
      <c r="B458" s="76" t="str">
        <f>TiposLancamentos!B71</f>
        <v>Itens Pessoais</v>
      </c>
      <c r="C458" s="147" t="s">
        <v>23527</v>
      </c>
      <c r="D458" s="63"/>
      <c r="E458" s="231">
        <v>333.2</v>
      </c>
      <c r="F458" s="272"/>
    </row>
    <row r="459" spans="1:6">
      <c r="A459" s="262">
        <v>40293</v>
      </c>
      <c r="B459" s="76" t="str">
        <f>TiposLancamentos!B74</f>
        <v>Noite</v>
      </c>
      <c r="C459" s="147" t="s">
        <v>23528</v>
      </c>
      <c r="D459" s="63"/>
      <c r="E459" s="231">
        <v>33</v>
      </c>
      <c r="F459" s="272"/>
    </row>
    <row r="460" spans="1:6">
      <c r="A460" s="262">
        <v>40294</v>
      </c>
      <c r="B460" s="76" t="str">
        <f>TiposLancamentos!B30</f>
        <v>Cinema</v>
      </c>
      <c r="C460" s="147" t="s">
        <v>23529</v>
      </c>
      <c r="D460" s="63"/>
      <c r="E460" s="231">
        <v>56.35</v>
      </c>
      <c r="F460" s="272"/>
    </row>
    <row r="461" spans="1:6">
      <c r="A461" s="262">
        <v>40295</v>
      </c>
      <c r="B461" s="76" t="str">
        <f>TiposLancamentos!B37</f>
        <v>Playstation 3</v>
      </c>
      <c r="C461" s="147" t="s">
        <v>23530</v>
      </c>
      <c r="D461" s="63"/>
      <c r="E461" s="231">
        <v>161</v>
      </c>
      <c r="F461" s="272"/>
    </row>
    <row r="462" spans="1:6">
      <c r="A462" s="262">
        <v>40295</v>
      </c>
      <c r="B462" s="76" t="str">
        <f>TiposLancamentos!B72</f>
        <v>Presentes</v>
      </c>
      <c r="C462" s="147" t="s">
        <v>23531</v>
      </c>
      <c r="D462" s="63"/>
      <c r="E462" s="231">
        <v>79.900000000000006</v>
      </c>
      <c r="F462" s="272"/>
    </row>
    <row r="463" spans="1:6">
      <c r="A463" s="258"/>
      <c r="B463" s="259"/>
      <c r="C463" s="270" t="s">
        <v>23532</v>
      </c>
      <c r="D463" s="110"/>
      <c r="E463" s="260"/>
      <c r="F463" s="271">
        <f>SUM(E439:E452)</f>
        <v>1924.3200000000002</v>
      </c>
    </row>
    <row r="464" spans="1:6">
      <c r="A464" s="262">
        <v>40301</v>
      </c>
      <c r="B464" s="76" t="str">
        <f>TiposLancamentos!B15</f>
        <v>Cartões de Crédito</v>
      </c>
      <c r="C464" s="147" t="s">
        <v>14142</v>
      </c>
      <c r="D464" s="63">
        <v>1924.32</v>
      </c>
      <c r="E464" s="231"/>
      <c r="F464" s="272"/>
    </row>
    <row r="465" spans="1:6">
      <c r="A465" s="262">
        <v>40304</v>
      </c>
      <c r="B465" s="76" t="str">
        <f>TiposLancamentos!B91</f>
        <v>PSP Slim 2000</v>
      </c>
      <c r="C465" s="147" t="s">
        <v>23533</v>
      </c>
      <c r="D465" s="63"/>
      <c r="E465" s="231">
        <v>64.44</v>
      </c>
      <c r="F465" s="272" t="s">
        <v>23534</v>
      </c>
    </row>
    <row r="466" spans="1:6">
      <c r="A466" s="262">
        <v>40309</v>
      </c>
      <c r="B466" s="76" t="str">
        <f>TiposLancamentos!B16</f>
        <v>Cristiane</v>
      </c>
      <c r="C466" s="147" t="s">
        <v>23535</v>
      </c>
      <c r="D466" s="63"/>
      <c r="E466" s="231">
        <v>323.54000000000002</v>
      </c>
      <c r="F466" s="272"/>
    </row>
    <row r="467" spans="1:6">
      <c r="A467" s="262">
        <v>40315</v>
      </c>
      <c r="B467" s="76" t="str">
        <f>TiposLancamentos!B69</f>
        <v>Consertos</v>
      </c>
      <c r="C467" s="147" t="s">
        <v>23536</v>
      </c>
      <c r="D467" s="63"/>
      <c r="E467" s="231">
        <v>33.85</v>
      </c>
      <c r="F467" s="272"/>
    </row>
    <row r="468" spans="1:6">
      <c r="A468" s="262">
        <v>40318</v>
      </c>
      <c r="B468" s="76" t="str">
        <f>TiposLancamentos!B4</f>
        <v>Taxas Bancarias</v>
      </c>
      <c r="C468" s="147" t="s">
        <v>23537</v>
      </c>
      <c r="D468" s="63"/>
      <c r="E468" s="231">
        <v>3.09</v>
      </c>
      <c r="F468" s="272"/>
    </row>
    <row r="469" spans="1:6">
      <c r="A469" s="264"/>
      <c r="B469" s="226"/>
      <c r="C469" s="227" t="s">
        <v>10</v>
      </c>
      <c r="D469" s="228"/>
      <c r="E469" s="228"/>
      <c r="F469" s="273"/>
    </row>
    <row r="470" spans="1:6">
      <c r="A470" s="262">
        <v>40320</v>
      </c>
      <c r="B470" s="76" t="str">
        <f>TiposLancamentos!B16</f>
        <v>Cristiane</v>
      </c>
      <c r="C470" s="147" t="s">
        <v>23538</v>
      </c>
      <c r="D470" s="63"/>
      <c r="E470" s="231">
        <v>159</v>
      </c>
      <c r="F470" s="272"/>
    </row>
    <row r="471" spans="1:6">
      <c r="A471" s="262">
        <v>40320</v>
      </c>
      <c r="B471" s="76" t="str">
        <f>TiposLancamentos!B19</f>
        <v>Restaurantes</v>
      </c>
      <c r="C471" s="147" t="s">
        <v>23539</v>
      </c>
      <c r="D471" s="63"/>
      <c r="E471" s="231">
        <v>32</v>
      </c>
      <c r="F471" s="272"/>
    </row>
    <row r="472" spans="1:6">
      <c r="A472" s="262">
        <v>40320</v>
      </c>
      <c r="B472" s="76" t="str">
        <f>TiposLancamentos!B16</f>
        <v>Cristiane</v>
      </c>
      <c r="C472" s="147" t="s">
        <v>9840</v>
      </c>
      <c r="D472" s="63"/>
      <c r="E472" s="231">
        <v>76.819999999999993</v>
      </c>
      <c r="F472" s="272"/>
    </row>
    <row r="473" spans="1:6">
      <c r="A473" s="262">
        <v>40321</v>
      </c>
      <c r="B473" s="76" t="str">
        <f>TiposLancamentos!B71</f>
        <v>Itens Pessoais</v>
      </c>
      <c r="C473" s="147" t="s">
        <v>23540</v>
      </c>
      <c r="D473" s="63"/>
      <c r="E473" s="231">
        <v>333.16</v>
      </c>
      <c r="F473" s="272"/>
    </row>
    <row r="474" spans="1:6">
      <c r="A474" s="262">
        <v>40325</v>
      </c>
      <c r="B474" s="76" t="str">
        <f>TiposLancamentos!B30</f>
        <v>Cinema</v>
      </c>
      <c r="C474" s="147" t="s">
        <v>23541</v>
      </c>
      <c r="D474" s="63"/>
      <c r="E474" s="231">
        <v>45.9</v>
      </c>
      <c r="F474" s="272"/>
    </row>
    <row r="475" spans="1:6">
      <c r="A475" s="262">
        <v>40326</v>
      </c>
      <c r="B475" s="76" t="str">
        <f>TiposLancamentos!B16</f>
        <v>Cristiane</v>
      </c>
      <c r="C475" s="147" t="s">
        <v>23542</v>
      </c>
      <c r="D475" s="63"/>
      <c r="E475" s="231">
        <v>80</v>
      </c>
      <c r="F475" s="272"/>
    </row>
    <row r="476" spans="1:6">
      <c r="A476" s="258"/>
      <c r="B476" s="259"/>
      <c r="C476" s="270" t="s">
        <v>16642</v>
      </c>
      <c r="D476" s="110"/>
      <c r="E476" s="260"/>
      <c r="F476" s="271">
        <f>SUM(E454:E468)</f>
        <v>1427.5199999999998</v>
      </c>
    </row>
    <row r="477" spans="1:6">
      <c r="A477" s="262">
        <v>40330</v>
      </c>
      <c r="B477" s="76" t="str">
        <f>TiposLancamentos!B15</f>
        <v>Cartões de Crédito</v>
      </c>
      <c r="C477" s="147" t="s">
        <v>14126</v>
      </c>
      <c r="D477" s="63">
        <v>1426.12</v>
      </c>
      <c r="E477" s="231"/>
      <c r="F477" s="272">
        <f>D477-F476</f>
        <v>-1.3999999999998636</v>
      </c>
    </row>
    <row r="478" spans="1:6">
      <c r="A478" s="262">
        <v>40330</v>
      </c>
      <c r="B478" s="76" t="str">
        <f>TiposLancamentos!B72</f>
        <v>Presentes</v>
      </c>
      <c r="C478" s="147" t="s">
        <v>23543</v>
      </c>
      <c r="D478" s="63"/>
      <c r="E478" s="231">
        <v>111</v>
      </c>
      <c r="F478" s="272"/>
    </row>
    <row r="479" spans="1:6">
      <c r="A479" s="262">
        <v>40330</v>
      </c>
      <c r="B479" s="76" t="str">
        <f>TiposLancamentos!B98</f>
        <v>Restituições</v>
      </c>
      <c r="C479" s="147" t="s">
        <v>23288</v>
      </c>
      <c r="D479" s="63"/>
      <c r="E479" s="231"/>
      <c r="F479" s="272"/>
    </row>
    <row r="480" spans="1:6">
      <c r="A480" s="262">
        <v>40330</v>
      </c>
      <c r="B480" s="76" t="str">
        <f>TiposLancamentos!B31</f>
        <v>Action Figures</v>
      </c>
      <c r="C480" s="147" t="s">
        <v>23544</v>
      </c>
      <c r="D480" s="63"/>
      <c r="E480" s="231">
        <v>151.33000000000001</v>
      </c>
      <c r="F480" s="272" t="s">
        <v>23545</v>
      </c>
    </row>
    <row r="481" spans="1:6">
      <c r="A481" s="278">
        <v>40330</v>
      </c>
      <c r="B481" s="279" t="str">
        <f>TiposLancamentos!B72</f>
        <v>Presentes</v>
      </c>
      <c r="C481" s="280" t="s">
        <v>23546</v>
      </c>
      <c r="D481" s="281"/>
      <c r="E481" s="282">
        <v>69.900000000000006</v>
      </c>
      <c r="F481" s="283"/>
    </row>
    <row r="482" spans="1:6">
      <c r="A482" s="278">
        <v>40330</v>
      </c>
      <c r="B482" s="279" t="str">
        <f>TiposLancamentos!B16</f>
        <v>Cristiane</v>
      </c>
      <c r="C482" s="280" t="s">
        <v>23547</v>
      </c>
      <c r="D482" s="281"/>
      <c r="E482" s="282">
        <v>47.06</v>
      </c>
      <c r="F482" s="283"/>
    </row>
    <row r="483" spans="1:6">
      <c r="A483" s="278">
        <v>40330</v>
      </c>
      <c r="B483" s="279" t="str">
        <f>TiposLancamentos!B16</f>
        <v>Cristiane</v>
      </c>
      <c r="C483" s="280" t="s">
        <v>23548</v>
      </c>
      <c r="D483" s="281"/>
      <c r="E483" s="282">
        <v>44.91</v>
      </c>
      <c r="F483" s="283"/>
    </row>
    <row r="484" spans="1:6">
      <c r="A484" s="278">
        <v>40333</v>
      </c>
      <c r="B484" s="279" t="str">
        <f>TiposLancamentos!B16</f>
        <v>Cristiane</v>
      </c>
      <c r="C484" s="280" t="s">
        <v>23549</v>
      </c>
      <c r="D484" s="281"/>
      <c r="E484" s="282">
        <v>33</v>
      </c>
      <c r="F484" s="283"/>
    </row>
    <row r="485" spans="1:6">
      <c r="A485" s="278">
        <v>40335</v>
      </c>
      <c r="B485" s="279" t="str">
        <f>TiposLancamentos!B16</f>
        <v>Cristiane</v>
      </c>
      <c r="C485" s="280" t="s">
        <v>23550</v>
      </c>
      <c r="D485" s="281"/>
      <c r="E485" s="282">
        <v>25.89</v>
      </c>
      <c r="F485" s="283"/>
    </row>
    <row r="486" spans="1:6">
      <c r="A486" s="278">
        <v>40336</v>
      </c>
      <c r="B486" s="279" t="str">
        <f>TiposLancamentos!B16</f>
        <v>Cristiane</v>
      </c>
      <c r="C486" s="280" t="s">
        <v>23551</v>
      </c>
      <c r="D486" s="281"/>
      <c r="E486" s="282">
        <v>34.020000000000003</v>
      </c>
      <c r="F486" s="283"/>
    </row>
    <row r="487" spans="1:6">
      <c r="A487" s="262">
        <v>40338</v>
      </c>
      <c r="B487" s="76" t="str">
        <f>TiposLancamentos!B31</f>
        <v>Action Figures</v>
      </c>
      <c r="C487" s="147" t="s">
        <v>23552</v>
      </c>
      <c r="D487" s="63"/>
      <c r="E487" s="231">
        <v>64.12</v>
      </c>
      <c r="F487" s="272" t="s">
        <v>23553</v>
      </c>
    </row>
    <row r="488" spans="1:6">
      <c r="A488" s="262">
        <v>40338</v>
      </c>
      <c r="B488" s="76" t="str">
        <f>TiposLancamentos!B31</f>
        <v>Action Figures</v>
      </c>
      <c r="C488" s="147" t="s">
        <v>23554</v>
      </c>
      <c r="D488" s="63"/>
      <c r="E488" s="231">
        <v>67.64</v>
      </c>
      <c r="F488" s="272" t="s">
        <v>23555</v>
      </c>
    </row>
    <row r="489" spans="1:6">
      <c r="A489" s="278">
        <v>40340</v>
      </c>
      <c r="B489" s="279" t="str">
        <f>TiposLancamentos!B16</f>
        <v>Cristiane</v>
      </c>
      <c r="C489" s="280" t="s">
        <v>23556</v>
      </c>
      <c r="D489" s="281"/>
      <c r="E489" s="282">
        <v>38</v>
      </c>
      <c r="F489" s="283"/>
    </row>
    <row r="490" spans="1:6">
      <c r="A490" s="278">
        <v>40340</v>
      </c>
      <c r="B490" s="279" t="str">
        <f>TiposLancamentos!B16</f>
        <v>Cristiane</v>
      </c>
      <c r="C490" s="280" t="s">
        <v>23557</v>
      </c>
      <c r="D490" s="281"/>
      <c r="E490" s="282">
        <v>31.9</v>
      </c>
      <c r="F490" s="283"/>
    </row>
    <row r="491" spans="1:6">
      <c r="A491" s="278">
        <v>40343</v>
      </c>
      <c r="B491" s="279" t="str">
        <f>TiposLancamentos!B16</f>
        <v>Cristiane</v>
      </c>
      <c r="C491" s="280" t="s">
        <v>2822</v>
      </c>
      <c r="D491" s="281"/>
      <c r="E491" s="282">
        <v>16.100000000000001</v>
      </c>
      <c r="F491" s="283"/>
    </row>
    <row r="492" spans="1:6">
      <c r="A492" s="278">
        <v>40344</v>
      </c>
      <c r="B492" s="279" t="str">
        <f>TiposLancamentos!B5</f>
        <v>Supermercado</v>
      </c>
      <c r="C492" s="280" t="s">
        <v>23558</v>
      </c>
      <c r="D492" s="281"/>
      <c r="E492" s="282">
        <v>221.69</v>
      </c>
      <c r="F492" s="283"/>
    </row>
    <row r="493" spans="1:6">
      <c r="A493" s="278">
        <v>40344</v>
      </c>
      <c r="B493" s="279" t="str">
        <f>TiposLancamentos!B16</f>
        <v>Cristiane</v>
      </c>
      <c r="C493" s="280" t="s">
        <v>23559</v>
      </c>
      <c r="D493" s="281"/>
      <c r="E493" s="282">
        <v>57.61</v>
      </c>
      <c r="F493" s="283"/>
    </row>
    <row r="494" spans="1:6">
      <c r="A494" s="278">
        <v>40345</v>
      </c>
      <c r="B494" s="279" t="str">
        <f>TiposLancamentos!B5</f>
        <v>Supermercado</v>
      </c>
      <c r="C494" s="280" t="s">
        <v>23560</v>
      </c>
      <c r="D494" s="281"/>
      <c r="E494" s="282">
        <v>49.43</v>
      </c>
      <c r="F494" s="283"/>
    </row>
    <row r="495" spans="1:6">
      <c r="A495" s="264"/>
      <c r="B495" s="226"/>
      <c r="C495" s="227" t="s">
        <v>10</v>
      </c>
      <c r="D495" s="228"/>
      <c r="E495" s="228"/>
      <c r="F495" s="273"/>
    </row>
    <row r="496" spans="1:6">
      <c r="A496" s="262">
        <v>40347</v>
      </c>
      <c r="B496" s="76" t="str">
        <f>TiposLancamentos!B3</f>
        <v>Internet</v>
      </c>
      <c r="C496" s="147" t="s">
        <v>10734</v>
      </c>
      <c r="D496" s="63"/>
      <c r="E496" s="231">
        <v>59</v>
      </c>
      <c r="F496" s="272"/>
    </row>
    <row r="497" spans="1:6">
      <c r="A497" s="262">
        <v>40347</v>
      </c>
      <c r="B497" s="76" t="str">
        <f>TiposLancamentos!B19</f>
        <v>Restaurantes</v>
      </c>
      <c r="C497" s="147" t="s">
        <v>23561</v>
      </c>
      <c r="D497" s="63"/>
      <c r="E497" s="231">
        <v>53.8</v>
      </c>
      <c r="F497" s="272"/>
    </row>
    <row r="498" spans="1:6">
      <c r="A498" s="262">
        <v>40350</v>
      </c>
      <c r="B498" s="76" t="str">
        <f>TiposLancamentos!B31</f>
        <v>Action Figures</v>
      </c>
      <c r="C498" s="147" t="s">
        <v>23562</v>
      </c>
      <c r="D498" s="63"/>
      <c r="E498" s="231">
        <v>109.11</v>
      </c>
      <c r="F498" s="272" t="s">
        <v>23563</v>
      </c>
    </row>
    <row r="499" spans="1:6">
      <c r="A499" s="262">
        <v>40350</v>
      </c>
      <c r="B499" s="76" t="str">
        <f>TiposLancamentos!B31</f>
        <v>Action Figures</v>
      </c>
      <c r="C499" s="147" t="s">
        <v>23564</v>
      </c>
      <c r="D499" s="63"/>
      <c r="E499" s="231">
        <v>36.36</v>
      </c>
      <c r="F499" s="272" t="s">
        <v>23565</v>
      </c>
    </row>
    <row r="500" spans="1:6">
      <c r="A500" s="262">
        <v>40350</v>
      </c>
      <c r="B500" s="76" t="str">
        <f>TiposLancamentos!B16</f>
        <v>Cristiane</v>
      </c>
      <c r="C500" s="147" t="s">
        <v>23566</v>
      </c>
      <c r="D500" s="63"/>
      <c r="E500" s="231">
        <v>77.7</v>
      </c>
      <c r="F500" s="272" t="s">
        <v>23567</v>
      </c>
    </row>
    <row r="501" spans="1:6">
      <c r="A501" s="125">
        <v>40381</v>
      </c>
      <c r="B501" s="116" t="str">
        <f>TiposLancamentos!B71</f>
        <v>Itens Pessoais</v>
      </c>
      <c r="C501" s="147" t="s">
        <v>23568</v>
      </c>
      <c r="D501" s="63"/>
      <c r="E501" s="231">
        <v>333.16</v>
      </c>
      <c r="F501" s="284"/>
    </row>
    <row r="502" spans="1:6">
      <c r="A502" s="278">
        <v>40351</v>
      </c>
      <c r="B502" s="279" t="str">
        <f>TiposLancamentos!B16</f>
        <v>Cristiane</v>
      </c>
      <c r="C502" s="280" t="s">
        <v>23569</v>
      </c>
      <c r="D502" s="281"/>
      <c r="E502" s="282">
        <v>30</v>
      </c>
      <c r="F502" s="283"/>
    </row>
    <row r="503" spans="1:6">
      <c r="A503" s="285">
        <v>40352</v>
      </c>
      <c r="B503" s="275" t="str">
        <f>TiposLancamentos!B25</f>
        <v>CD_DVD_BD</v>
      </c>
      <c r="C503" s="141" t="s">
        <v>23570</v>
      </c>
      <c r="D503" s="51"/>
      <c r="E503" s="142">
        <v>139.29</v>
      </c>
      <c r="F503" s="286"/>
    </row>
    <row r="504" spans="1:6">
      <c r="A504" s="285">
        <v>40352</v>
      </c>
      <c r="B504" s="275" t="str">
        <f>TiposLancamentos!B16</f>
        <v>Cristiane</v>
      </c>
      <c r="C504" s="141" t="s">
        <v>23571</v>
      </c>
      <c r="D504" s="51"/>
      <c r="E504" s="142">
        <v>57.61</v>
      </c>
      <c r="F504" s="142">
        <f>SUM(E503:E504)</f>
        <v>196.89999999999998</v>
      </c>
    </row>
    <row r="505" spans="1:6">
      <c r="A505" s="278">
        <v>40352</v>
      </c>
      <c r="B505" s="279" t="str">
        <f>TiposLancamentos!B5</f>
        <v>Supermercado</v>
      </c>
      <c r="C505" s="280" t="s">
        <v>6234</v>
      </c>
      <c r="D505" s="281"/>
      <c r="E505" s="282">
        <v>81.44</v>
      </c>
      <c r="F505" s="283"/>
    </row>
    <row r="506" spans="1:6">
      <c r="A506" s="278">
        <v>40353</v>
      </c>
      <c r="B506" s="279" t="str">
        <f>TiposLancamentos!B45</f>
        <v>Online Services</v>
      </c>
      <c r="C506" s="280" t="s">
        <v>15207</v>
      </c>
      <c r="D506" s="281"/>
      <c r="E506" s="282">
        <v>30.4</v>
      </c>
      <c r="F506" s="283"/>
    </row>
    <row r="507" spans="1:6">
      <c r="A507" s="262">
        <v>40355</v>
      </c>
      <c r="B507" s="76" t="str">
        <f>TiposLancamentos!B70</f>
        <v>Vestuário</v>
      </c>
      <c r="C507" s="147" t="s">
        <v>23572</v>
      </c>
      <c r="D507" s="63"/>
      <c r="E507" s="231">
        <v>359.4</v>
      </c>
      <c r="F507" s="272"/>
    </row>
    <row r="508" spans="1:6">
      <c r="A508" s="262">
        <v>40356</v>
      </c>
      <c r="B508" s="76" t="str">
        <f>TiposLancamentos!B17</f>
        <v>GATO</v>
      </c>
      <c r="C508" s="147" t="s">
        <v>23573</v>
      </c>
      <c r="D508" s="63"/>
      <c r="E508" s="231">
        <v>204.18</v>
      </c>
      <c r="F508" s="272"/>
    </row>
    <row r="509" spans="1:6">
      <c r="A509" s="258"/>
      <c r="B509" s="259"/>
      <c r="C509" s="287" t="s">
        <v>4045</v>
      </c>
      <c r="D509" s="110"/>
      <c r="E509" s="260"/>
      <c r="F509" s="271">
        <f>SUM(E470:E494)</f>
        <v>1790.4800000000002</v>
      </c>
    </row>
    <row r="510" spans="1:6">
      <c r="A510" s="262">
        <v>40360</v>
      </c>
      <c r="B510" s="76" t="str">
        <f>TiposLancamentos!B15</f>
        <v>Cartões de Crédito</v>
      </c>
      <c r="C510" s="147" t="s">
        <v>5115</v>
      </c>
      <c r="D510" s="63">
        <v>1787.63</v>
      </c>
      <c r="E510" s="231"/>
      <c r="F510" s="272"/>
    </row>
    <row r="511" spans="1:6">
      <c r="A511" s="262">
        <v>40362</v>
      </c>
      <c r="B511" s="76" t="str">
        <f>TiposLancamentos!B22</f>
        <v>Combustivel</v>
      </c>
      <c r="C511" s="147" t="s">
        <v>23574</v>
      </c>
      <c r="D511" s="63"/>
      <c r="E511" s="231">
        <v>71.5</v>
      </c>
      <c r="F511" s="272"/>
    </row>
    <row r="512" spans="1:6">
      <c r="A512" s="278">
        <v>40366</v>
      </c>
      <c r="B512" s="279" t="str">
        <f>TiposLancamentos!B16</f>
        <v>Cristiane</v>
      </c>
      <c r="C512" s="280" t="s">
        <v>23575</v>
      </c>
      <c r="D512" s="281"/>
      <c r="E512" s="282">
        <v>200.5</v>
      </c>
      <c r="F512" s="283"/>
    </row>
    <row r="513" spans="1:6">
      <c r="A513" s="278">
        <v>40366</v>
      </c>
      <c r="B513" s="279" t="str">
        <f>TiposLancamentos!B16</f>
        <v>Cristiane</v>
      </c>
      <c r="C513" s="280" t="s">
        <v>23576</v>
      </c>
      <c r="D513" s="281"/>
      <c r="E513" s="282">
        <v>53.3</v>
      </c>
      <c r="F513" s="283"/>
    </row>
    <row r="514" spans="1:6">
      <c r="A514" s="278">
        <v>40366</v>
      </c>
      <c r="B514" s="279" t="str">
        <f>TiposLancamentos!B16</f>
        <v>Cristiane</v>
      </c>
      <c r="C514" s="280" t="s">
        <v>23577</v>
      </c>
      <c r="D514" s="281"/>
      <c r="E514" s="282">
        <v>17.600000000000001</v>
      </c>
      <c r="F514" s="283"/>
    </row>
    <row r="515" spans="1:6">
      <c r="A515" s="262">
        <v>40368</v>
      </c>
      <c r="B515" s="76" t="str">
        <f>TiposLancamentos!B19</f>
        <v>Restaurantes</v>
      </c>
      <c r="C515" s="147" t="s">
        <v>23578</v>
      </c>
      <c r="D515" s="63"/>
      <c r="E515" s="231">
        <v>92.74</v>
      </c>
      <c r="F515" s="272"/>
    </row>
    <row r="516" spans="1:6">
      <c r="A516" s="278">
        <v>40371</v>
      </c>
      <c r="B516" s="279" t="str">
        <f>TiposLancamentos!B16</f>
        <v>Cristiane</v>
      </c>
      <c r="C516" s="280" t="s">
        <v>23579</v>
      </c>
      <c r="D516" s="281"/>
      <c r="E516" s="282">
        <v>41.6</v>
      </c>
      <c r="F516" s="283"/>
    </row>
    <row r="517" spans="1:6">
      <c r="A517" s="278">
        <v>40372</v>
      </c>
      <c r="B517" s="279" t="str">
        <f>TiposLancamentos!B16</f>
        <v>Cristiane</v>
      </c>
      <c r="C517" s="280" t="s">
        <v>23580</v>
      </c>
      <c r="D517" s="281"/>
      <c r="E517" s="282">
        <v>17.2</v>
      </c>
      <c r="F517" s="283"/>
    </row>
    <row r="518" spans="1:6">
      <c r="A518" s="278">
        <v>40375</v>
      </c>
      <c r="B518" s="279" t="str">
        <f>TiposLancamentos!B16</f>
        <v>Cristiane</v>
      </c>
      <c r="C518" s="280" t="s">
        <v>23581</v>
      </c>
      <c r="D518" s="281"/>
      <c r="E518" s="282">
        <v>82.8</v>
      </c>
      <c r="F518" s="283"/>
    </row>
    <row r="519" spans="1:6">
      <c r="A519" s="278">
        <v>40375</v>
      </c>
      <c r="B519" s="279" t="str">
        <f>TiposLancamentos!B16</f>
        <v>Cristiane</v>
      </c>
      <c r="C519" s="280" t="s">
        <v>23582</v>
      </c>
      <c r="D519" s="281"/>
      <c r="E519" s="282">
        <v>41.45</v>
      </c>
      <c r="F519" s="283"/>
    </row>
    <row r="520" spans="1:6">
      <c r="A520" s="278">
        <v>40376</v>
      </c>
      <c r="B520" s="279" t="str">
        <f>TiposLancamentos!B16</f>
        <v>Cristiane</v>
      </c>
      <c r="C520" s="280" t="s">
        <v>23583</v>
      </c>
      <c r="D520" s="281"/>
      <c r="E520" s="282">
        <v>30.4</v>
      </c>
      <c r="F520" s="283"/>
    </row>
    <row r="521" spans="1:6">
      <c r="A521" s="285">
        <v>40376</v>
      </c>
      <c r="B521" s="275" t="str">
        <f>TiposLancamentos!B22</f>
        <v>Combustivel</v>
      </c>
      <c r="C521" s="141" t="s">
        <v>5961</v>
      </c>
      <c r="D521" s="51"/>
      <c r="E521" s="142">
        <v>117</v>
      </c>
      <c r="F521" s="286"/>
    </row>
    <row r="522" spans="1:6">
      <c r="A522" s="285">
        <v>40376</v>
      </c>
      <c r="B522" s="275" t="str">
        <f>TiposLancamentos!B18</f>
        <v>Alimentacao</v>
      </c>
      <c r="C522" s="141" t="s">
        <v>23584</v>
      </c>
      <c r="D522" s="51"/>
      <c r="E522" s="142">
        <f>120.6-E521</f>
        <v>3.5999999999999943</v>
      </c>
      <c r="F522" s="142">
        <f>SUM(E521:E522)</f>
        <v>120.6</v>
      </c>
    </row>
    <row r="523" spans="1:6">
      <c r="A523" s="262">
        <v>40380</v>
      </c>
      <c r="B523" s="76" t="str">
        <f>TiposLancamentos!B4</f>
        <v>Taxas Bancarias</v>
      </c>
      <c r="C523" s="147" t="s">
        <v>23585</v>
      </c>
      <c r="D523" s="63"/>
      <c r="E523" s="231">
        <v>1.81</v>
      </c>
      <c r="F523" s="272"/>
    </row>
    <row r="524" spans="1:6">
      <c r="A524" s="264"/>
      <c r="B524" s="226"/>
      <c r="C524" s="227" t="s">
        <v>10</v>
      </c>
      <c r="D524" s="228"/>
      <c r="E524" s="228"/>
      <c r="F524" s="273"/>
    </row>
    <row r="525" spans="1:6">
      <c r="A525" s="262">
        <v>40381</v>
      </c>
      <c r="B525" s="76" t="str">
        <f>TiposLancamentos!B37</f>
        <v>Playstation 3</v>
      </c>
      <c r="C525" s="147" t="s">
        <v>23586</v>
      </c>
      <c r="D525" s="63"/>
      <c r="E525" s="231">
        <v>89.9</v>
      </c>
      <c r="F525" s="272"/>
    </row>
    <row r="526" spans="1:6">
      <c r="A526" s="262">
        <v>40381</v>
      </c>
      <c r="B526" s="76" t="str">
        <f>TiposLancamentos!B71</f>
        <v>Itens Pessoais</v>
      </c>
      <c r="C526" s="147" t="s">
        <v>23587</v>
      </c>
      <c r="D526" s="63"/>
      <c r="E526" s="231">
        <v>333.16</v>
      </c>
      <c r="F526" s="272"/>
    </row>
    <row r="527" spans="1:6">
      <c r="A527" s="262">
        <v>40379</v>
      </c>
      <c r="B527" s="76" t="str">
        <f>TiposLancamentos!B3</f>
        <v>Internet</v>
      </c>
      <c r="C527" s="147" t="s">
        <v>10734</v>
      </c>
      <c r="D527" s="63"/>
      <c r="E527" s="231">
        <v>62.93</v>
      </c>
      <c r="F527" s="272"/>
    </row>
    <row r="528" spans="1:6">
      <c r="A528" s="262">
        <v>40382</v>
      </c>
      <c r="B528" s="76" t="str">
        <f>TiposLancamentos!B16</f>
        <v>Cristiane</v>
      </c>
      <c r="C528" s="147" t="s">
        <v>23588</v>
      </c>
      <c r="D528" s="63"/>
      <c r="E528" s="231">
        <v>62.4</v>
      </c>
      <c r="F528" s="272"/>
    </row>
    <row r="529" spans="1:6">
      <c r="A529" s="262">
        <v>40382</v>
      </c>
      <c r="B529" s="76" t="str">
        <f>TiposLancamentos!B16</f>
        <v>Cristiane</v>
      </c>
      <c r="C529" s="147" t="s">
        <v>23589</v>
      </c>
      <c r="D529" s="63"/>
      <c r="E529" s="231">
        <v>179</v>
      </c>
      <c r="F529" s="272"/>
    </row>
    <row r="530" spans="1:6">
      <c r="A530" s="262">
        <v>40382</v>
      </c>
      <c r="B530" s="76" t="str">
        <f>TiposLancamentos!B16</f>
        <v>Cristiane</v>
      </c>
      <c r="C530" s="147" t="s">
        <v>16389</v>
      </c>
      <c r="D530" s="63"/>
      <c r="E530" s="231">
        <v>69.900000000000006</v>
      </c>
      <c r="F530" s="272"/>
    </row>
    <row r="531" spans="1:6">
      <c r="A531" s="262">
        <v>40382</v>
      </c>
      <c r="B531" s="76" t="str">
        <f>TiposLancamentos!B25</f>
        <v>CD_DVD_BD</v>
      </c>
      <c r="C531" s="147" t="s">
        <v>23590</v>
      </c>
      <c r="D531" s="63"/>
      <c r="E531" s="231">
        <v>99.8</v>
      </c>
      <c r="F531" s="272"/>
    </row>
    <row r="532" spans="1:6">
      <c r="A532" s="262">
        <v>40385</v>
      </c>
      <c r="B532" s="76" t="str">
        <f>TiposLancamentos!B16</f>
        <v>Cristiane</v>
      </c>
      <c r="C532" s="147" t="s">
        <v>12107</v>
      </c>
      <c r="D532" s="63"/>
      <c r="E532" s="231">
        <v>37.17</v>
      </c>
      <c r="F532" s="272"/>
    </row>
    <row r="533" spans="1:6">
      <c r="A533" s="262">
        <v>40385</v>
      </c>
      <c r="B533" s="76" t="str">
        <f>TiposLancamentos!B16</f>
        <v>Cristiane</v>
      </c>
      <c r="C533" s="147" t="s">
        <v>23591</v>
      </c>
      <c r="D533" s="63"/>
      <c r="E533" s="231">
        <v>47.1</v>
      </c>
      <c r="F533" s="272"/>
    </row>
    <row r="534" spans="1:6">
      <c r="A534" s="262">
        <v>40386</v>
      </c>
      <c r="B534" s="76" t="str">
        <f>TiposLancamentos!B16</f>
        <v>Cristiane</v>
      </c>
      <c r="C534" s="147" t="s">
        <v>1698</v>
      </c>
      <c r="D534" s="63"/>
      <c r="E534" s="231">
        <v>43.12</v>
      </c>
      <c r="F534" s="272"/>
    </row>
    <row r="535" spans="1:6">
      <c r="A535" s="262">
        <v>40387</v>
      </c>
      <c r="B535" s="76" t="str">
        <f>TiposLancamentos!B26</f>
        <v>LIVROS</v>
      </c>
      <c r="C535" s="147" t="s">
        <v>23592</v>
      </c>
      <c r="D535" s="63"/>
      <c r="E535" s="231">
        <v>89.9</v>
      </c>
      <c r="F535" s="272"/>
    </row>
    <row r="536" spans="1:6">
      <c r="A536" s="262">
        <v>40419</v>
      </c>
      <c r="B536" s="76" t="str">
        <f>TiposLancamentos!B16</f>
        <v>Cristiane</v>
      </c>
      <c r="C536" s="147" t="s">
        <v>23591</v>
      </c>
      <c r="D536" s="63"/>
      <c r="E536" s="231">
        <v>50</v>
      </c>
      <c r="F536" s="272"/>
    </row>
    <row r="537" spans="1:6">
      <c r="A537" s="262">
        <v>40390</v>
      </c>
      <c r="B537" s="76" t="str">
        <f>TiposLancamentos!B16</f>
        <v>Cristiane</v>
      </c>
      <c r="C537" s="147" t="s">
        <v>23593</v>
      </c>
      <c r="D537" s="63"/>
      <c r="E537" s="231">
        <v>36.17</v>
      </c>
      <c r="F537" s="272"/>
    </row>
    <row r="538" spans="1:6">
      <c r="A538" s="258"/>
      <c r="B538" s="259"/>
      <c r="C538" s="270" t="s">
        <v>4064</v>
      </c>
      <c r="D538" s="110"/>
      <c r="E538" s="260"/>
      <c r="F538" s="261">
        <f>SUM(E496:E523)</f>
        <v>2342.9499999999998</v>
      </c>
    </row>
    <row r="539" spans="1:6">
      <c r="A539" s="262">
        <v>40392</v>
      </c>
      <c r="B539" s="76" t="str">
        <f>TiposLancamentos!B4</f>
        <v>Taxas Bancarias</v>
      </c>
      <c r="C539" s="147" t="s">
        <v>23288</v>
      </c>
      <c r="D539" s="63">
        <v>1.68</v>
      </c>
      <c r="E539" s="231">
        <v>0</v>
      </c>
      <c r="F539" s="263"/>
    </row>
    <row r="540" spans="1:6">
      <c r="A540" s="262">
        <v>40392</v>
      </c>
      <c r="B540" s="76" t="str">
        <f>TiposLancamentos!B15</f>
        <v>Cartões de Crédito</v>
      </c>
      <c r="C540" s="147" t="s">
        <v>5115</v>
      </c>
      <c r="D540" s="63">
        <v>2342.9499999999998</v>
      </c>
      <c r="E540" s="231"/>
      <c r="F540" s="263"/>
    </row>
    <row r="541" spans="1:6">
      <c r="A541" s="262">
        <v>40394</v>
      </c>
      <c r="B541" s="76" t="str">
        <f>TiposLancamentos!B16</f>
        <v>Cristiane</v>
      </c>
      <c r="C541" s="147" t="s">
        <v>23588</v>
      </c>
      <c r="D541" s="63"/>
      <c r="E541" s="231">
        <v>88.08</v>
      </c>
      <c r="F541" s="263"/>
    </row>
    <row r="542" spans="1:6">
      <c r="A542" s="262">
        <v>40394</v>
      </c>
      <c r="B542" s="76" t="str">
        <f>TiposLancamentos!B16</f>
        <v>Cristiane</v>
      </c>
      <c r="C542" s="147" t="s">
        <v>23594</v>
      </c>
      <c r="D542" s="63"/>
      <c r="E542" s="231">
        <v>59.5</v>
      </c>
      <c r="F542" s="263"/>
    </row>
    <row r="543" spans="1:6">
      <c r="A543" s="262">
        <v>40395</v>
      </c>
      <c r="B543" s="76" t="str">
        <f>TiposLancamentos!B50</f>
        <v>Guitarra</v>
      </c>
      <c r="C543" s="147" t="s">
        <v>23595</v>
      </c>
      <c r="D543" s="63"/>
      <c r="E543" s="231">
        <v>16.18</v>
      </c>
      <c r="F543" s="265" t="s">
        <v>23596</v>
      </c>
    </row>
    <row r="544" spans="1:6">
      <c r="A544" s="262">
        <v>40397</v>
      </c>
      <c r="B544" s="76" t="str">
        <f>TiposLancamentos!B16</f>
        <v>Cristiane</v>
      </c>
      <c r="C544" s="147" t="s">
        <v>23597</v>
      </c>
      <c r="D544" s="63"/>
      <c r="E544" s="231">
        <v>200.5</v>
      </c>
      <c r="F544" s="263"/>
    </row>
    <row r="545" spans="1:6">
      <c r="A545" s="262">
        <v>40397</v>
      </c>
      <c r="B545" s="76" t="str">
        <f>TiposLancamentos!B45</f>
        <v>Online Services</v>
      </c>
      <c r="C545" s="147" t="s">
        <v>23598</v>
      </c>
      <c r="D545" s="63"/>
      <c r="E545" s="231">
        <v>108.48</v>
      </c>
      <c r="F545" s="265" t="s">
        <v>23563</v>
      </c>
    </row>
    <row r="546" spans="1:6">
      <c r="A546" s="262">
        <v>40400</v>
      </c>
      <c r="B546" s="76" t="str">
        <f>TiposLancamentos!B72</f>
        <v>Presentes</v>
      </c>
      <c r="C546" s="147" t="s">
        <v>13456</v>
      </c>
      <c r="D546" s="63"/>
      <c r="E546" s="231">
        <v>166.34</v>
      </c>
      <c r="F546" s="263"/>
    </row>
    <row r="547" spans="1:6">
      <c r="A547" s="262">
        <v>40400</v>
      </c>
      <c r="B547" s="76" t="str">
        <f>TiposLancamentos!B19</f>
        <v>Restaurantes</v>
      </c>
      <c r="C547" s="147" t="s">
        <v>23467</v>
      </c>
      <c r="D547" s="63"/>
      <c r="E547" s="231">
        <v>53.8</v>
      </c>
      <c r="F547" s="263"/>
    </row>
    <row r="548" spans="1:6">
      <c r="A548" s="262">
        <v>40401</v>
      </c>
      <c r="B548" s="76" t="str">
        <f>TiposLancamentos!B5</f>
        <v>Supermercado</v>
      </c>
      <c r="C548" s="147" t="s">
        <v>5801</v>
      </c>
      <c r="D548" s="63"/>
      <c r="E548" s="231">
        <v>40.36</v>
      </c>
      <c r="F548" s="263"/>
    </row>
    <row r="549" spans="1:6">
      <c r="A549" s="262">
        <v>40404</v>
      </c>
      <c r="B549" s="76" t="str">
        <f>TiposLancamentos!B16</f>
        <v>Cristiane</v>
      </c>
      <c r="C549" s="147" t="s">
        <v>23599</v>
      </c>
      <c r="D549" s="63"/>
      <c r="E549" s="231">
        <v>97.77</v>
      </c>
      <c r="F549" s="263"/>
    </row>
    <row r="550" spans="1:6">
      <c r="A550" s="262">
        <v>40407</v>
      </c>
      <c r="B550" s="76" t="str">
        <f>TiposLancamentos!B5</f>
        <v>Supermercado</v>
      </c>
      <c r="C550" s="147" t="s">
        <v>5844</v>
      </c>
      <c r="D550" s="63"/>
      <c r="E550" s="231">
        <v>70.59</v>
      </c>
      <c r="F550" s="263"/>
    </row>
    <row r="551" spans="1:6">
      <c r="A551" s="264"/>
      <c r="B551" s="226"/>
      <c r="C551" s="227" t="s">
        <v>10</v>
      </c>
      <c r="D551" s="228"/>
      <c r="E551" s="228"/>
      <c r="F551" s="273"/>
    </row>
    <row r="552" spans="1:6">
      <c r="A552" s="262">
        <v>40410</v>
      </c>
      <c r="B552" s="76" t="str">
        <f>TiposLancamentos!B3</f>
        <v>Internet</v>
      </c>
      <c r="C552" s="147" t="s">
        <v>10734</v>
      </c>
      <c r="D552" s="63"/>
      <c r="E552" s="231">
        <v>59</v>
      </c>
      <c r="F552" s="263"/>
    </row>
    <row r="553" spans="1:6">
      <c r="A553" s="262">
        <v>40412</v>
      </c>
      <c r="B553" s="76" t="str">
        <f>TiposLancamentos!B25</f>
        <v>CD_DVD_BD</v>
      </c>
      <c r="C553" s="147" t="s">
        <v>23600</v>
      </c>
      <c r="D553" s="63"/>
      <c r="E553" s="231">
        <v>43.48</v>
      </c>
      <c r="F553" s="263"/>
    </row>
    <row r="554" spans="1:6">
      <c r="A554" s="262">
        <v>40412</v>
      </c>
      <c r="B554" s="76" t="str">
        <f>TiposLancamentos!B71</f>
        <v>Itens Pessoais</v>
      </c>
      <c r="C554" s="147" t="s">
        <v>23601</v>
      </c>
      <c r="D554" s="63"/>
      <c r="E554" s="231">
        <v>333.16</v>
      </c>
      <c r="F554" s="263"/>
    </row>
    <row r="555" spans="1:6">
      <c r="A555" s="262">
        <v>40415</v>
      </c>
      <c r="B555" s="76" t="str">
        <f>TiposLancamentos!B16</f>
        <v>Cristiane</v>
      </c>
      <c r="C555" s="147" t="s">
        <v>23602</v>
      </c>
      <c r="D555" s="63"/>
      <c r="E555" s="231">
        <v>239.7</v>
      </c>
      <c r="F555" s="263"/>
    </row>
    <row r="556" spans="1:6">
      <c r="A556" s="262">
        <v>40415</v>
      </c>
      <c r="B556" s="76" t="str">
        <f>TiposLancamentos!B16</f>
        <v>Cristiane</v>
      </c>
      <c r="C556" s="147" t="s">
        <v>23603</v>
      </c>
      <c r="D556" s="63"/>
      <c r="E556" s="231">
        <v>50</v>
      </c>
      <c r="F556" s="263"/>
    </row>
    <row r="557" spans="1:6">
      <c r="A557" s="262">
        <v>40415</v>
      </c>
      <c r="B557" s="76" t="str">
        <f>TiposLancamentos!B16</f>
        <v>Cristiane</v>
      </c>
      <c r="C557" s="147" t="s">
        <v>23604</v>
      </c>
      <c r="D557" s="63"/>
      <c r="E557" s="231">
        <v>123.97</v>
      </c>
      <c r="F557" s="263"/>
    </row>
    <row r="558" spans="1:6">
      <c r="A558" s="262">
        <v>40415</v>
      </c>
      <c r="B558" s="76" t="str">
        <f>TiposLancamentos!B16</f>
        <v>Cristiane</v>
      </c>
      <c r="C558" s="147" t="s">
        <v>23605</v>
      </c>
      <c r="D558" s="63"/>
      <c r="E558" s="231">
        <v>42.18</v>
      </c>
      <c r="F558" s="263"/>
    </row>
    <row r="559" spans="1:6">
      <c r="A559" s="262">
        <v>40416</v>
      </c>
      <c r="B559" s="76" t="str">
        <f>TiposLancamentos!B16</f>
        <v>Cristiane</v>
      </c>
      <c r="C559" s="147" t="s">
        <v>2246</v>
      </c>
      <c r="D559" s="63"/>
      <c r="E559" s="231">
        <v>54.14</v>
      </c>
      <c r="F559" s="263"/>
    </row>
    <row r="560" spans="1:6">
      <c r="A560" s="262">
        <v>40416</v>
      </c>
      <c r="B560" s="76" t="str">
        <f>TiposLancamentos!B72</f>
        <v>Presentes</v>
      </c>
      <c r="C560" s="147" t="s">
        <v>23606</v>
      </c>
      <c r="D560" s="63"/>
      <c r="E560" s="231">
        <v>69.900000000000006</v>
      </c>
      <c r="F560" s="263"/>
    </row>
    <row r="561" spans="1:6">
      <c r="A561" s="262">
        <v>40417</v>
      </c>
      <c r="B561" s="76" t="str">
        <f>TiposLancamentos!B19</f>
        <v>Restaurantes</v>
      </c>
      <c r="C561" s="147" t="s">
        <v>21934</v>
      </c>
      <c r="D561" s="63"/>
      <c r="E561" s="231">
        <v>19.5</v>
      </c>
      <c r="F561" s="263"/>
    </row>
    <row r="562" spans="1:6">
      <c r="A562" s="262">
        <v>40417</v>
      </c>
      <c r="B562" s="76" t="str">
        <f>TiposLancamentos!B16</f>
        <v>Cristiane</v>
      </c>
      <c r="C562" s="147" t="s">
        <v>2822</v>
      </c>
      <c r="D562" s="63"/>
      <c r="E562" s="231">
        <v>19.100000000000001</v>
      </c>
      <c r="F562" s="263"/>
    </row>
    <row r="563" spans="1:6">
      <c r="A563" s="262">
        <v>40419</v>
      </c>
      <c r="B563" s="76" t="str">
        <f>TiposLancamentos!B19</f>
        <v>Restaurantes</v>
      </c>
      <c r="C563" s="147" t="s">
        <v>23607</v>
      </c>
      <c r="D563" s="63"/>
      <c r="E563" s="231">
        <v>53.1</v>
      </c>
      <c r="F563" s="263"/>
    </row>
    <row r="564" spans="1:6">
      <c r="A564" s="258"/>
      <c r="B564" s="259"/>
      <c r="C564" s="270" t="s">
        <v>4080</v>
      </c>
      <c r="D564" s="110"/>
      <c r="E564" s="260"/>
      <c r="F564" s="261">
        <f>SUM(E525:E550)-D539</f>
        <v>2100.4700000000003</v>
      </c>
    </row>
    <row r="565" spans="1:6">
      <c r="A565" s="262">
        <v>40422</v>
      </c>
      <c r="B565" s="76" t="str">
        <f>TiposLancamentos!B15</f>
        <v>Cartões de Crédito</v>
      </c>
      <c r="C565" s="147" t="s">
        <v>14142</v>
      </c>
      <c r="D565" s="63">
        <v>2100.4699999999998</v>
      </c>
      <c r="E565" s="231"/>
      <c r="F565" s="263"/>
    </row>
    <row r="566" spans="1:6">
      <c r="A566" s="262">
        <v>40425</v>
      </c>
      <c r="B566" s="288" t="str">
        <f>TiposLancamentos!B87</f>
        <v>P207-1.6-XS</v>
      </c>
      <c r="C566" s="147" t="s">
        <v>13470</v>
      </c>
      <c r="D566" s="63"/>
      <c r="E566" s="231">
        <v>166.35</v>
      </c>
      <c r="F566" s="263"/>
    </row>
    <row r="567" spans="1:6">
      <c r="A567" s="262">
        <v>40427</v>
      </c>
      <c r="B567" s="288" t="str">
        <f>TiposLancamentos!B5</f>
        <v>Supermercado</v>
      </c>
      <c r="C567" s="147" t="s">
        <v>6234</v>
      </c>
      <c r="D567" s="63"/>
      <c r="E567" s="231">
        <v>41.32</v>
      </c>
      <c r="F567" s="263"/>
    </row>
    <row r="568" spans="1:6">
      <c r="A568" s="262">
        <v>40428</v>
      </c>
      <c r="B568" s="288" t="str">
        <f>TiposLancamentos!B19</f>
        <v>Restaurantes</v>
      </c>
      <c r="C568" s="147" t="s">
        <v>23608</v>
      </c>
      <c r="D568" s="63"/>
      <c r="E568" s="231">
        <v>33.5</v>
      </c>
      <c r="F568" s="263"/>
    </row>
    <row r="569" spans="1:6">
      <c r="A569" s="262">
        <v>40431</v>
      </c>
      <c r="B569" s="288" t="str">
        <f>TiposLancamentos!B72</f>
        <v>Presentes</v>
      </c>
      <c r="C569" s="147" t="s">
        <v>13468</v>
      </c>
      <c r="D569" s="63"/>
      <c r="E569" s="231">
        <v>166.33</v>
      </c>
      <c r="F569" s="263"/>
    </row>
    <row r="570" spans="1:6">
      <c r="A570" s="262">
        <v>40435</v>
      </c>
      <c r="B570" s="288" t="str">
        <f>TiposLancamentos!B16</f>
        <v>Cristiane</v>
      </c>
      <c r="C570" s="147" t="s">
        <v>23609</v>
      </c>
      <c r="D570" s="63"/>
      <c r="E570" s="231">
        <v>92.36</v>
      </c>
      <c r="F570" s="263"/>
    </row>
    <row r="571" spans="1:6">
      <c r="A571" s="262">
        <v>40441</v>
      </c>
      <c r="B571" s="288" t="str">
        <f>TiposLancamentos!B16</f>
        <v>Cristiane</v>
      </c>
      <c r="C571" s="147" t="s">
        <v>23610</v>
      </c>
      <c r="D571" s="63"/>
      <c r="E571" s="231">
        <v>59</v>
      </c>
      <c r="F571" s="263"/>
    </row>
    <row r="572" spans="1:6">
      <c r="A572" s="264"/>
      <c r="B572" s="226"/>
      <c r="C572" s="227" t="s">
        <v>10</v>
      </c>
      <c r="D572" s="228"/>
      <c r="E572" s="228"/>
      <c r="F572" s="273"/>
    </row>
    <row r="573" spans="1:6">
      <c r="A573" s="262">
        <v>40443</v>
      </c>
      <c r="B573" s="288" t="str">
        <f>TiposLancamentos!B71</f>
        <v>Itens Pessoais</v>
      </c>
      <c r="C573" s="147" t="s">
        <v>23611</v>
      </c>
      <c r="D573" s="63"/>
      <c r="E573" s="231">
        <v>333.16</v>
      </c>
      <c r="F573" s="263"/>
    </row>
    <row r="574" spans="1:6">
      <c r="A574" s="289">
        <v>40451</v>
      </c>
      <c r="B574" s="290" t="str">
        <f>TiposLancamentos!B16</f>
        <v>Cristiane</v>
      </c>
      <c r="C574" s="291" t="s">
        <v>23612</v>
      </c>
      <c r="D574" s="292"/>
      <c r="E574" s="293">
        <v>125.7</v>
      </c>
      <c r="F574" s="294"/>
    </row>
    <row r="575" spans="1:6">
      <c r="A575" s="258"/>
      <c r="B575" s="259"/>
      <c r="C575" s="270" t="s">
        <v>23613</v>
      </c>
      <c r="D575" s="110"/>
      <c r="E575" s="260"/>
      <c r="F575" s="261">
        <f>SUM(E552:E571)</f>
        <v>1666.0899999999992</v>
      </c>
    </row>
    <row r="576" spans="1:6">
      <c r="A576" s="262">
        <v>40452</v>
      </c>
      <c r="B576" s="76" t="str">
        <f>TiposLancamentos!B15</f>
        <v>Cartões de Crédito</v>
      </c>
      <c r="C576" s="147" t="s">
        <v>14126</v>
      </c>
      <c r="D576" s="63">
        <v>1666.09</v>
      </c>
      <c r="E576" s="231"/>
      <c r="F576" s="263"/>
    </row>
    <row r="577" spans="1:6">
      <c r="A577" s="289">
        <v>40452</v>
      </c>
      <c r="B577" s="295" t="str">
        <f>TiposLancamentos!B16</f>
        <v>Cristiane</v>
      </c>
      <c r="C577" s="291" t="s">
        <v>23614</v>
      </c>
      <c r="D577" s="292"/>
      <c r="E577" s="293">
        <v>129.80000000000001</v>
      </c>
      <c r="F577" s="294"/>
    </row>
    <row r="578" spans="1:6">
      <c r="A578" s="262">
        <v>40453</v>
      </c>
      <c r="B578" s="76" t="str">
        <f>TiposLancamentos!B19</f>
        <v>Restaurantes</v>
      </c>
      <c r="C578" s="147" t="s">
        <v>6328</v>
      </c>
      <c r="D578" s="63"/>
      <c r="E578" s="231">
        <v>28</v>
      </c>
      <c r="F578" s="263"/>
    </row>
    <row r="579" spans="1:6">
      <c r="A579" s="262">
        <v>40458</v>
      </c>
      <c r="B579" s="76" t="str">
        <f>TiposLancamentos!B16</f>
        <v>Cristiane</v>
      </c>
      <c r="C579" s="147" t="s">
        <v>23615</v>
      </c>
      <c r="D579" s="63"/>
      <c r="E579" s="231">
        <v>244.3</v>
      </c>
      <c r="F579" s="263"/>
    </row>
    <row r="580" spans="1:6">
      <c r="A580" s="262">
        <v>40458</v>
      </c>
      <c r="B580" s="76" t="str">
        <f>TiposLancamentos!B16</f>
        <v>Cristiane</v>
      </c>
      <c r="C580" s="147" t="s">
        <v>23616</v>
      </c>
      <c r="D580" s="63"/>
      <c r="E580" s="231">
        <v>270</v>
      </c>
      <c r="F580" s="263"/>
    </row>
    <row r="581" spans="1:6">
      <c r="A581" s="289">
        <v>40458</v>
      </c>
      <c r="B581" s="295" t="str">
        <f>TiposLancamentos!B16</f>
        <v>Cristiane</v>
      </c>
      <c r="C581" s="291" t="s">
        <v>23614</v>
      </c>
      <c r="D581" s="292"/>
      <c r="E581" s="293">
        <v>95.9</v>
      </c>
      <c r="F581" s="294"/>
    </row>
    <row r="582" spans="1:6">
      <c r="A582" s="262">
        <v>40461</v>
      </c>
      <c r="B582" s="76" t="str">
        <f>TiposLancamentos!B72</f>
        <v>Presentes</v>
      </c>
      <c r="C582" s="147" t="s">
        <v>13476</v>
      </c>
      <c r="D582" s="63"/>
      <c r="E582" s="231">
        <v>166.33</v>
      </c>
      <c r="F582" s="263"/>
    </row>
    <row r="583" spans="1:6">
      <c r="A583" s="262">
        <v>40461</v>
      </c>
      <c r="B583" s="76" t="str">
        <f>TiposLancamentos!B87</f>
        <v>P207-1.6-XS</v>
      </c>
      <c r="C583" s="147" t="s">
        <v>13477</v>
      </c>
      <c r="D583" s="63"/>
      <c r="E583" s="231">
        <v>166.33</v>
      </c>
      <c r="F583" s="263"/>
    </row>
    <row r="584" spans="1:6">
      <c r="A584" s="262">
        <v>40466</v>
      </c>
      <c r="B584" s="76" t="str">
        <f>TiposLancamentos!B19</f>
        <v>Restaurantes</v>
      </c>
      <c r="C584" s="147" t="s">
        <v>23617</v>
      </c>
      <c r="D584" s="63"/>
      <c r="E584" s="231">
        <v>55.7</v>
      </c>
      <c r="F584" s="263"/>
    </row>
    <row r="585" spans="1:6">
      <c r="A585" s="289">
        <v>40467</v>
      </c>
      <c r="B585" s="295" t="str">
        <f>TiposLancamentos!B16</f>
        <v>Cristiane</v>
      </c>
      <c r="C585" s="291" t="s">
        <v>23618</v>
      </c>
      <c r="D585" s="292"/>
      <c r="E585" s="293">
        <v>275</v>
      </c>
      <c r="F585" s="294"/>
    </row>
    <row r="586" spans="1:6">
      <c r="A586" s="264"/>
      <c r="B586" s="226"/>
      <c r="C586" s="227" t="s">
        <v>10</v>
      </c>
      <c r="D586" s="228"/>
      <c r="E586" s="228"/>
      <c r="F586" s="273"/>
    </row>
    <row r="587" spans="1:6">
      <c r="A587" s="262">
        <v>40470</v>
      </c>
      <c r="B587" s="76" t="str">
        <f>TiposLancamentos!B5</f>
        <v>Supermercado</v>
      </c>
      <c r="C587" s="147" t="s">
        <v>23619</v>
      </c>
      <c r="D587" s="63"/>
      <c r="E587" s="231">
        <v>93.75</v>
      </c>
      <c r="F587" s="263"/>
    </row>
    <row r="588" spans="1:6">
      <c r="A588" s="289">
        <v>40472</v>
      </c>
      <c r="B588" s="295" t="str">
        <f>TiposLancamentos!B16</f>
        <v>Cristiane</v>
      </c>
      <c r="C588" s="291" t="s">
        <v>23620</v>
      </c>
      <c r="D588" s="292"/>
      <c r="E588" s="293">
        <v>91.3</v>
      </c>
      <c r="F588" s="294"/>
    </row>
    <row r="589" spans="1:6">
      <c r="A589" s="262">
        <v>40476</v>
      </c>
      <c r="B589" s="76" t="str">
        <f>TiposLancamentos!B13</f>
        <v>Moradia</v>
      </c>
      <c r="C589" s="147" t="s">
        <v>23621</v>
      </c>
      <c r="D589" s="63"/>
      <c r="E589" s="231">
        <v>331.06</v>
      </c>
      <c r="F589" s="263">
        <v>1324.18</v>
      </c>
    </row>
    <row r="590" spans="1:6">
      <c r="A590" s="262">
        <v>40476</v>
      </c>
      <c r="B590" s="76" t="str">
        <f>TiposLancamentos!B16</f>
        <v>Cristiane</v>
      </c>
      <c r="C590" s="147" t="s">
        <v>23622</v>
      </c>
      <c r="D590" s="63"/>
      <c r="E590" s="231">
        <v>73.290000000000006</v>
      </c>
      <c r="F590" s="263">
        <f>F589/4</f>
        <v>331.04500000000002</v>
      </c>
    </row>
    <row r="591" spans="1:6">
      <c r="A591" s="289">
        <v>40476</v>
      </c>
      <c r="B591" s="295" t="str">
        <f>TiposLancamentos!B5</f>
        <v>Supermercado</v>
      </c>
      <c r="C591" s="291" t="s">
        <v>6414</v>
      </c>
      <c r="D591" s="292"/>
      <c r="E591" s="293">
        <v>87.14</v>
      </c>
      <c r="F591" s="294"/>
    </row>
    <row r="592" spans="1:6">
      <c r="A592" s="262">
        <v>40478</v>
      </c>
      <c r="B592" s="76" t="str">
        <f>TiposLancamentos!B28</f>
        <v>ComicBook</v>
      </c>
      <c r="C592" s="147" t="s">
        <v>23623</v>
      </c>
      <c r="D592" s="63"/>
      <c r="E592" s="231">
        <v>112</v>
      </c>
      <c r="F592" s="263"/>
    </row>
    <row r="593" spans="1:7">
      <c r="A593" s="258"/>
      <c r="B593" s="259"/>
      <c r="C593" s="270" t="s">
        <v>4103</v>
      </c>
      <c r="D593" s="110"/>
      <c r="E593" s="260"/>
      <c r="F593" s="261">
        <f>SUM(E573:E585)</f>
        <v>1890.22</v>
      </c>
    </row>
    <row r="594" spans="1:7">
      <c r="A594" s="262">
        <v>40483</v>
      </c>
      <c r="B594" s="76" t="str">
        <f>TiposLancamentos!B15</f>
        <v>Cartões de Crédito</v>
      </c>
      <c r="C594" s="147" t="s">
        <v>16544</v>
      </c>
      <c r="D594" s="63">
        <v>1890.72</v>
      </c>
      <c r="E594" s="231"/>
      <c r="F594" s="263"/>
    </row>
    <row r="595" spans="1:7">
      <c r="A595" s="262">
        <v>40486</v>
      </c>
      <c r="B595" s="76" t="str">
        <f>TiposLancamentos!B87</f>
        <v>P207-1.6-XS</v>
      </c>
      <c r="C595" s="147" t="s">
        <v>13484</v>
      </c>
      <c r="D595" s="63"/>
      <c r="E595" s="231">
        <v>166.33</v>
      </c>
      <c r="F595" s="263"/>
    </row>
    <row r="596" spans="1:7">
      <c r="A596" s="289">
        <v>40486</v>
      </c>
      <c r="B596" s="295" t="str">
        <f>TiposLancamentos!B5</f>
        <v>Supermercado</v>
      </c>
      <c r="C596" s="291" t="s">
        <v>22319</v>
      </c>
      <c r="D596" s="292"/>
      <c r="E596" s="293">
        <v>49.96</v>
      </c>
      <c r="F596" s="294"/>
    </row>
    <row r="597" spans="1:7">
      <c r="A597" s="289">
        <v>40498</v>
      </c>
      <c r="B597" s="295" t="str">
        <f>TiposLancamentos!B16</f>
        <v>Cristiane</v>
      </c>
      <c r="C597" s="291" t="s">
        <v>23624</v>
      </c>
      <c r="D597" s="292"/>
      <c r="E597" s="293">
        <v>275</v>
      </c>
      <c r="F597" s="294"/>
    </row>
    <row r="598" spans="1:7">
      <c r="A598" s="289">
        <v>40498</v>
      </c>
      <c r="B598" s="295" t="str">
        <f>TiposLancamentos!B5</f>
        <v>Supermercado</v>
      </c>
      <c r="C598" s="291" t="s">
        <v>5801</v>
      </c>
      <c r="D598" s="292"/>
      <c r="E598" s="293">
        <v>89.72</v>
      </c>
      <c r="F598" s="294"/>
      <c r="G598" s="154"/>
    </row>
    <row r="599" spans="1:7">
      <c r="A599" s="264"/>
      <c r="B599" s="226"/>
      <c r="C599" s="227" t="s">
        <v>10</v>
      </c>
      <c r="D599" s="228"/>
      <c r="E599" s="228"/>
      <c r="F599" s="273"/>
      <c r="G599" s="154"/>
    </row>
    <row r="600" spans="1:7">
      <c r="A600" s="262">
        <v>40504</v>
      </c>
      <c r="B600" s="76" t="str">
        <f>TiposLancamentos!B72</f>
        <v>Presentes</v>
      </c>
      <c r="C600" s="147" t="s">
        <v>23625</v>
      </c>
      <c r="D600" s="63"/>
      <c r="E600" s="231">
        <v>439.28</v>
      </c>
      <c r="F600" s="263"/>
      <c r="G600" s="154"/>
    </row>
    <row r="601" spans="1:7">
      <c r="A601" s="289">
        <v>40504</v>
      </c>
      <c r="B601" s="295" t="str">
        <f>TiposLancamentos!B5</f>
        <v>Supermercado</v>
      </c>
      <c r="C601" s="291" t="s">
        <v>23626</v>
      </c>
      <c r="D601" s="292"/>
      <c r="E601" s="293">
        <v>101.65</v>
      </c>
      <c r="F601" s="294"/>
      <c r="G601" s="154"/>
    </row>
    <row r="602" spans="1:7">
      <c r="A602" s="289">
        <v>40505</v>
      </c>
      <c r="B602" s="295" t="str">
        <f>TiposLancamentos!B16</f>
        <v>Cristiane</v>
      </c>
      <c r="C602" s="291" t="s">
        <v>2246</v>
      </c>
      <c r="D602" s="292"/>
      <c r="E602" s="293">
        <v>35.33</v>
      </c>
      <c r="F602" s="294"/>
      <c r="G602" s="154"/>
    </row>
    <row r="603" spans="1:7">
      <c r="A603" s="262">
        <v>40507</v>
      </c>
      <c r="B603" s="76" t="str">
        <f>TiposLancamentos!B13</f>
        <v>Moradia</v>
      </c>
      <c r="C603" s="147" t="s">
        <v>23627</v>
      </c>
      <c r="D603" s="63"/>
      <c r="E603" s="231">
        <v>331.04</v>
      </c>
      <c r="F603" s="263"/>
      <c r="G603" s="154"/>
    </row>
    <row r="604" spans="1:7">
      <c r="A604" s="289">
        <v>40507</v>
      </c>
      <c r="B604" s="295" t="str">
        <f>TiposLancamentos!B16</f>
        <v>Cristiane</v>
      </c>
      <c r="C604" s="291" t="s">
        <v>23628</v>
      </c>
      <c r="D604" s="292"/>
      <c r="E604" s="293">
        <v>204.2</v>
      </c>
      <c r="F604" s="294"/>
      <c r="G604" s="154"/>
    </row>
    <row r="605" spans="1:7">
      <c r="A605" s="289">
        <v>40511</v>
      </c>
      <c r="B605" s="295" t="str">
        <f>TiposLancamentos!B5</f>
        <v>Supermercado</v>
      </c>
      <c r="C605" s="291" t="s">
        <v>6234</v>
      </c>
      <c r="D605" s="292"/>
      <c r="E605" s="293">
        <v>72.91</v>
      </c>
      <c r="F605" s="294"/>
      <c r="G605" s="154"/>
    </row>
    <row r="606" spans="1:7">
      <c r="A606" s="262">
        <v>40511</v>
      </c>
      <c r="B606" s="76" t="str">
        <f>TiposLancamentos!B44</f>
        <v>Academia</v>
      </c>
      <c r="C606" s="147" t="s">
        <v>23629</v>
      </c>
      <c r="D606" s="63"/>
      <c r="E606" s="231">
        <v>153.34</v>
      </c>
      <c r="F606" s="263"/>
      <c r="G606" s="154"/>
    </row>
    <row r="607" spans="1:7">
      <c r="A607" s="258"/>
      <c r="B607" s="259"/>
      <c r="C607" s="270" t="s">
        <v>13483</v>
      </c>
      <c r="D607" s="110"/>
      <c r="E607" s="260"/>
      <c r="F607" s="261">
        <f>SUM(E587:E598)</f>
        <v>1369.55</v>
      </c>
      <c r="G607" s="154"/>
    </row>
    <row r="608" spans="1:7">
      <c r="A608" s="262">
        <v>40513</v>
      </c>
      <c r="B608" s="76" t="str">
        <f>TiposLancamentos!B15</f>
        <v>Cartões de Crédito</v>
      </c>
      <c r="C608" s="147" t="s">
        <v>23630</v>
      </c>
      <c r="D608" s="63">
        <v>1369.55</v>
      </c>
      <c r="E608" s="231"/>
      <c r="F608" s="263"/>
      <c r="G608" s="154"/>
    </row>
    <row r="609" spans="1:7">
      <c r="A609" s="289">
        <v>40513</v>
      </c>
      <c r="B609" s="295" t="str">
        <f>TiposLancamentos!B70</f>
        <v>Vestuário</v>
      </c>
      <c r="C609" s="291" t="s">
        <v>23631</v>
      </c>
      <c r="D609" s="292"/>
      <c r="E609" s="293">
        <v>107.7</v>
      </c>
      <c r="F609" s="294"/>
      <c r="G609" s="154"/>
    </row>
    <row r="610" spans="1:7">
      <c r="A610" s="289">
        <v>40513</v>
      </c>
      <c r="B610" s="295" t="str">
        <f>TiposLancamentos!B16</f>
        <v>Cristiane</v>
      </c>
      <c r="C610" s="291" t="s">
        <v>23632</v>
      </c>
      <c r="D610" s="292"/>
      <c r="E610" s="293">
        <v>244.9</v>
      </c>
      <c r="F610" s="294"/>
      <c r="G610" s="154"/>
    </row>
    <row r="611" spans="1:7">
      <c r="A611" s="289">
        <v>40513</v>
      </c>
      <c r="B611" s="295" t="str">
        <f>TiposLancamentos!B16</f>
        <v>Cristiane</v>
      </c>
      <c r="C611" s="291" t="s">
        <v>23633</v>
      </c>
      <c r="D611" s="292"/>
      <c r="E611" s="293">
        <v>62.67</v>
      </c>
      <c r="F611" s="294"/>
      <c r="G611" s="154"/>
    </row>
    <row r="612" spans="1:7">
      <c r="A612" s="289">
        <v>40513</v>
      </c>
      <c r="B612" s="295" t="str">
        <f>TiposLancamentos!B16</f>
        <v>Cristiane</v>
      </c>
      <c r="C612" s="291" t="s">
        <v>23634</v>
      </c>
      <c r="D612" s="292"/>
      <c r="E612" s="293">
        <v>99.99</v>
      </c>
      <c r="F612" s="294"/>
      <c r="G612" s="154"/>
    </row>
    <row r="613" spans="1:7">
      <c r="A613" s="262">
        <v>40516</v>
      </c>
      <c r="B613" s="76" t="str">
        <f>TiposLancamentos!B87</f>
        <v>P207-1.6-XS</v>
      </c>
      <c r="C613" s="147" t="s">
        <v>13490</v>
      </c>
      <c r="D613" s="63"/>
      <c r="E613" s="231">
        <v>166.33</v>
      </c>
      <c r="F613" s="263"/>
      <c r="G613" s="154"/>
    </row>
    <row r="614" spans="1:7">
      <c r="A614" s="152">
        <v>40520</v>
      </c>
      <c r="B614" s="275" t="str">
        <f>TiposLancamentos!B25</f>
        <v>CD_DVD_BD</v>
      </c>
      <c r="C614" s="141" t="s">
        <v>23635</v>
      </c>
      <c r="D614" s="51"/>
      <c r="E614" s="142">
        <f>59.9+19.9</f>
        <v>79.8</v>
      </c>
      <c r="F614" s="296"/>
      <c r="G614" s="154"/>
    </row>
    <row r="615" spans="1:7">
      <c r="A615" s="152">
        <v>40520</v>
      </c>
      <c r="B615" s="275" t="str">
        <f>TiposLancamentos!B26</f>
        <v>LIVROS</v>
      </c>
      <c r="C615" s="141" t="s">
        <v>23636</v>
      </c>
      <c r="D615" s="51"/>
      <c r="E615" s="142">
        <v>12.57</v>
      </c>
      <c r="F615" s="297"/>
      <c r="G615" s="154"/>
    </row>
    <row r="616" spans="1:7">
      <c r="A616" s="152">
        <v>40520</v>
      </c>
      <c r="B616" s="275" t="str">
        <f>TiposLancamentos!B72</f>
        <v>Presentes</v>
      </c>
      <c r="C616" s="141" t="s">
        <v>23637</v>
      </c>
      <c r="D616" s="51"/>
      <c r="E616" s="142">
        <f>20.19</f>
        <v>20.190000000000001</v>
      </c>
      <c r="F616" s="142">
        <f>SUM(E614:E616)</f>
        <v>112.56</v>
      </c>
      <c r="G616" s="154"/>
    </row>
    <row r="617" spans="1:7">
      <c r="A617" s="262">
        <v>40520</v>
      </c>
      <c r="B617" s="76" t="str">
        <f>TiposLancamentos!B26</f>
        <v>LIVROS</v>
      </c>
      <c r="C617" s="147" t="s">
        <v>23638</v>
      </c>
      <c r="D617" s="63"/>
      <c r="E617" s="231">
        <v>47.6</v>
      </c>
      <c r="F617" s="296"/>
      <c r="G617" s="154"/>
    </row>
    <row r="618" spans="1:7">
      <c r="A618" s="262">
        <v>40520</v>
      </c>
      <c r="B618" s="76" t="str">
        <f>TiposLancamentos!B26</f>
        <v>LIVROS</v>
      </c>
      <c r="C618" s="147" t="s">
        <v>23639</v>
      </c>
      <c r="D618" s="63"/>
      <c r="E618" s="231">
        <v>36.46</v>
      </c>
      <c r="F618" s="263"/>
      <c r="G618" s="154"/>
    </row>
    <row r="619" spans="1:7">
      <c r="A619" s="262">
        <v>40521</v>
      </c>
      <c r="B619" s="76" t="str">
        <f>TiposLancamentos!B16</f>
        <v>Cristiane</v>
      </c>
      <c r="C619" s="147" t="s">
        <v>23640</v>
      </c>
      <c r="D619" s="63"/>
      <c r="E619" s="231">
        <v>71.400000000000006</v>
      </c>
      <c r="F619" s="263"/>
      <c r="G619" s="154"/>
    </row>
    <row r="620" spans="1:7">
      <c r="A620" s="262">
        <v>40527</v>
      </c>
      <c r="B620" s="76" t="str">
        <f>TiposLancamentos!B75</f>
        <v>Shows</v>
      </c>
      <c r="C620" s="147" t="s">
        <v>23641</v>
      </c>
      <c r="D620" s="63"/>
      <c r="E620" s="231">
        <v>243</v>
      </c>
      <c r="F620" s="263"/>
      <c r="G620" s="154"/>
    </row>
    <row r="621" spans="1:7">
      <c r="A621" s="264"/>
      <c r="B621" s="226"/>
      <c r="C621" s="227" t="s">
        <v>10</v>
      </c>
      <c r="D621" s="228"/>
      <c r="E621" s="228"/>
      <c r="F621" s="273"/>
      <c r="G621" s="154"/>
    </row>
    <row r="622" spans="1:7">
      <c r="A622" s="289">
        <v>40534</v>
      </c>
      <c r="B622" s="295" t="str">
        <f>TiposLancamentos!B16</f>
        <v>Cristiane</v>
      </c>
      <c r="C622" s="291" t="s">
        <v>5642</v>
      </c>
      <c r="D622" s="292"/>
      <c r="E622" s="293">
        <v>176.5</v>
      </c>
      <c r="F622" s="294"/>
      <c r="G622" s="154"/>
    </row>
    <row r="623" spans="1:7">
      <c r="A623" s="289">
        <v>40534</v>
      </c>
      <c r="B623" s="295" t="str">
        <f>TiposLancamentos!B16</f>
        <v>Cristiane</v>
      </c>
      <c r="C623" s="291" t="s">
        <v>23642</v>
      </c>
      <c r="D623" s="292"/>
      <c r="E623" s="293">
        <v>50</v>
      </c>
      <c r="F623" s="294"/>
      <c r="G623" s="154"/>
    </row>
    <row r="624" spans="1:7">
      <c r="A624" s="262">
        <v>40534</v>
      </c>
      <c r="B624" s="76" t="str">
        <f>TiposLancamentos!B37</f>
        <v>Playstation 3</v>
      </c>
      <c r="C624" s="147" t="s">
        <v>23643</v>
      </c>
      <c r="D624" s="63"/>
      <c r="E624" s="231">
        <v>42.91</v>
      </c>
      <c r="F624" s="265" t="s">
        <v>23644</v>
      </c>
      <c r="G624" s="154"/>
    </row>
    <row r="625" spans="1:7">
      <c r="A625" s="262">
        <v>40537</v>
      </c>
      <c r="B625" s="76" t="str">
        <f>TiposLancamentos!B13</f>
        <v>Moradia</v>
      </c>
      <c r="C625" s="147" t="s">
        <v>23645</v>
      </c>
      <c r="D625" s="63"/>
      <c r="E625" s="231">
        <v>331.04</v>
      </c>
      <c r="F625" s="263"/>
      <c r="G625" s="154"/>
    </row>
    <row r="626" spans="1:7">
      <c r="A626" s="262">
        <v>40541</v>
      </c>
      <c r="B626" s="76" t="str">
        <f>TiposLancamentos!B44</f>
        <v>Academia</v>
      </c>
      <c r="C626" s="147" t="s">
        <v>23646</v>
      </c>
      <c r="D626" s="63"/>
      <c r="E626" s="231">
        <v>153.33000000000001</v>
      </c>
      <c r="F626" s="263"/>
      <c r="G626" s="154"/>
    </row>
    <row r="627" spans="1:7">
      <c r="A627" s="262">
        <v>40542</v>
      </c>
      <c r="B627" s="76" t="str">
        <f>TiposLancamentos!B16</f>
        <v>Cristiane</v>
      </c>
      <c r="C627" s="147" t="s">
        <v>23647</v>
      </c>
      <c r="D627" s="63"/>
      <c r="E627" s="231">
        <v>104.47</v>
      </c>
      <c r="F627" s="265" t="s">
        <v>23648</v>
      </c>
      <c r="G627" s="154"/>
    </row>
    <row r="628" spans="1:7">
      <c r="A628" s="289">
        <v>40542</v>
      </c>
      <c r="B628" s="295" t="str">
        <f>TiposLancamentos!B16</f>
        <v>Cristiane</v>
      </c>
      <c r="C628" s="291" t="s">
        <v>23649</v>
      </c>
      <c r="D628" s="292"/>
      <c r="E628" s="293">
        <v>80</v>
      </c>
      <c r="F628" s="294"/>
      <c r="G628" s="154"/>
    </row>
    <row r="629" spans="1:7">
      <c r="A629" s="289">
        <v>40542</v>
      </c>
      <c r="B629" s="295" t="str">
        <f>TiposLancamentos!B13</f>
        <v>Moradia</v>
      </c>
      <c r="C629" s="291" t="s">
        <v>23650</v>
      </c>
      <c r="D629" s="292"/>
      <c r="E629" s="293">
        <v>193.1</v>
      </c>
      <c r="F629" s="294"/>
      <c r="G629" s="154"/>
    </row>
    <row r="630" spans="1:7">
      <c r="A630" s="258"/>
      <c r="B630" s="259"/>
      <c r="C630" s="270" t="s">
        <v>23651</v>
      </c>
      <c r="D630" s="110"/>
      <c r="E630" s="260"/>
      <c r="F630" s="261">
        <f>SUM(E600:E620)</f>
        <v>2530.3600000000006</v>
      </c>
      <c r="G630" s="154"/>
    </row>
    <row r="631" spans="1:7">
      <c r="A631" s="262">
        <v>40546</v>
      </c>
      <c r="B631" s="76" t="str">
        <f>TiposLancamentos!B15</f>
        <v>Cartões de Crédito</v>
      </c>
      <c r="C631" s="147" t="s">
        <v>23652</v>
      </c>
      <c r="D631" s="63">
        <v>2530.36</v>
      </c>
      <c r="E631" s="231"/>
      <c r="F631" s="263"/>
      <c r="G631" s="154"/>
    </row>
    <row r="632" spans="1:7">
      <c r="A632" s="262">
        <v>40547</v>
      </c>
      <c r="B632" s="76" t="str">
        <f>TiposLancamentos!B87</f>
        <v>P207-1.6-XS</v>
      </c>
      <c r="C632" s="147" t="s">
        <v>13496</v>
      </c>
      <c r="D632" s="63"/>
      <c r="E632" s="231">
        <v>166.33</v>
      </c>
      <c r="F632" s="263"/>
      <c r="G632" s="154"/>
    </row>
    <row r="633" spans="1:7">
      <c r="A633" s="262">
        <v>40547</v>
      </c>
      <c r="B633" s="76" t="str">
        <f>TiposLancamentos!B16</f>
        <v>Cristiane</v>
      </c>
      <c r="C633" s="147" t="s">
        <v>23653</v>
      </c>
      <c r="D633" s="63"/>
      <c r="E633" s="231">
        <v>46.37</v>
      </c>
      <c r="F633" s="265" t="s">
        <v>23654</v>
      </c>
      <c r="G633" s="154"/>
    </row>
    <row r="634" spans="1:7">
      <c r="A634" s="262">
        <v>40549</v>
      </c>
      <c r="B634" s="76" t="str">
        <f>TiposLancamentos!B16</f>
        <v>Cristiane</v>
      </c>
      <c r="C634" s="147" t="s">
        <v>23655</v>
      </c>
      <c r="D634" s="63"/>
      <c r="E634" s="231">
        <v>60.38</v>
      </c>
      <c r="F634" s="263"/>
      <c r="G634" s="154"/>
    </row>
    <row r="635" spans="1:7">
      <c r="A635" s="262">
        <v>40551</v>
      </c>
      <c r="B635" s="76" t="str">
        <f>TiposLancamentos!B45</f>
        <v>Online Services</v>
      </c>
      <c r="C635" s="147" t="s">
        <v>23656</v>
      </c>
      <c r="D635" s="63"/>
      <c r="E635" s="231">
        <v>15.56</v>
      </c>
      <c r="F635" s="265" t="s">
        <v>23657</v>
      </c>
      <c r="G635" s="154"/>
    </row>
    <row r="636" spans="1:7">
      <c r="A636" s="289">
        <v>40553</v>
      </c>
      <c r="B636" s="295" t="str">
        <f>TiposLancamentos!B56</f>
        <v>Farmácia</v>
      </c>
      <c r="C636" s="291" t="s">
        <v>23658</v>
      </c>
      <c r="D636" s="292"/>
      <c r="E636" s="293">
        <v>38.909999999999997</v>
      </c>
      <c r="F636" s="294"/>
      <c r="G636" s="154"/>
    </row>
    <row r="637" spans="1:7">
      <c r="A637" s="289">
        <v>40553</v>
      </c>
      <c r="B637" s="295" t="str">
        <f>TiposLancamentos!B16</f>
        <v>Cristiane</v>
      </c>
      <c r="C637" s="291" t="s">
        <v>22026</v>
      </c>
      <c r="D637" s="292"/>
      <c r="E637" s="293">
        <v>30</v>
      </c>
      <c r="F637" s="294"/>
      <c r="G637" s="154"/>
    </row>
    <row r="638" spans="1:7">
      <c r="A638" s="289">
        <v>40554</v>
      </c>
      <c r="B638" s="295" t="str">
        <f>TiposLancamentos!B16</f>
        <v>Cristiane</v>
      </c>
      <c r="C638" s="291" t="s">
        <v>23659</v>
      </c>
      <c r="D638" s="292"/>
      <c r="E638" s="293">
        <v>74.36</v>
      </c>
      <c r="F638" s="294"/>
      <c r="G638" s="154"/>
    </row>
    <row r="639" spans="1:7">
      <c r="A639" s="262">
        <v>40555</v>
      </c>
      <c r="B639" s="76" t="str">
        <f>TiposLancamentos!B31</f>
        <v>Action Figures</v>
      </c>
      <c r="C639" s="147" t="s">
        <v>23660</v>
      </c>
      <c r="D639" s="63"/>
      <c r="E639" s="231">
        <v>133.69999999999999</v>
      </c>
      <c r="F639" s="265" t="s">
        <v>23661</v>
      </c>
      <c r="G639" s="154"/>
    </row>
    <row r="640" spans="1:7">
      <c r="A640" s="289">
        <v>40555</v>
      </c>
      <c r="B640" s="295" t="str">
        <f>TiposLancamentos!B5</f>
        <v>Supermercado</v>
      </c>
      <c r="C640" s="291" t="s">
        <v>23662</v>
      </c>
      <c r="D640" s="292"/>
      <c r="E640" s="293">
        <v>30</v>
      </c>
      <c r="F640" s="294"/>
      <c r="G640" s="154"/>
    </row>
    <row r="641" spans="1:7">
      <c r="A641" s="289">
        <v>40558</v>
      </c>
      <c r="B641" s="295" t="str">
        <f>TiposLancamentos!B16</f>
        <v>Cristiane</v>
      </c>
      <c r="C641" s="291" t="s">
        <v>23663</v>
      </c>
      <c r="D641" s="292"/>
      <c r="E641" s="293">
        <v>46.28</v>
      </c>
      <c r="F641" s="294"/>
      <c r="G641" s="154"/>
    </row>
    <row r="642" spans="1:7">
      <c r="A642" s="262">
        <v>40561</v>
      </c>
      <c r="B642" s="76" t="str">
        <f>TiposLancamentos!B26</f>
        <v>LIVROS</v>
      </c>
      <c r="C642" s="147" t="s">
        <v>23664</v>
      </c>
      <c r="D642" s="63"/>
      <c r="E642" s="231">
        <v>37.58</v>
      </c>
      <c r="F642" s="263"/>
      <c r="G642" s="154"/>
    </row>
    <row r="643" spans="1:7">
      <c r="A643" s="289">
        <v>40561</v>
      </c>
      <c r="B643" s="295" t="str">
        <f>TiposLancamentos!B16</f>
        <v>Cristiane</v>
      </c>
      <c r="C643" s="291" t="s">
        <v>23665</v>
      </c>
      <c r="D643" s="292"/>
      <c r="E643" s="293">
        <v>94.9</v>
      </c>
      <c r="F643" s="294"/>
      <c r="G643" s="154"/>
    </row>
    <row r="644" spans="1:7">
      <c r="A644" s="289">
        <v>40561</v>
      </c>
      <c r="B644" s="295" t="str">
        <f>TiposLancamentos!B16</f>
        <v>Cristiane</v>
      </c>
      <c r="C644" s="291" t="s">
        <v>23666</v>
      </c>
      <c r="D644" s="292"/>
      <c r="E644" s="293">
        <v>55.66</v>
      </c>
      <c r="F644" s="294"/>
      <c r="G644" s="154"/>
    </row>
    <row r="645" spans="1:7">
      <c r="A645" s="289">
        <v>40561</v>
      </c>
      <c r="B645" s="295" t="str">
        <f>TiposLancamentos!B16</f>
        <v>Cristiane</v>
      </c>
      <c r="C645" s="291" t="s">
        <v>23581</v>
      </c>
      <c r="D645" s="292"/>
      <c r="E645" s="293">
        <v>45.59</v>
      </c>
      <c r="F645" s="294"/>
      <c r="G645" s="154"/>
    </row>
    <row r="646" spans="1:7">
      <c r="A646" s="262">
        <v>40563</v>
      </c>
      <c r="B646" s="76" t="str">
        <f>TiposLancamentos!B4</f>
        <v>Taxas Bancarias</v>
      </c>
      <c r="C646" s="147" t="s">
        <v>23667</v>
      </c>
      <c r="D646" s="63"/>
      <c r="E646" s="231">
        <v>1.03</v>
      </c>
      <c r="F646" s="263"/>
      <c r="G646" s="154"/>
    </row>
    <row r="647" spans="1:7">
      <c r="A647" s="264"/>
      <c r="B647" s="226"/>
      <c r="C647" s="227" t="s">
        <v>10</v>
      </c>
      <c r="D647" s="228"/>
      <c r="E647" s="228"/>
      <c r="F647" s="273"/>
      <c r="G647" s="154"/>
    </row>
    <row r="648" spans="1:7">
      <c r="A648" s="289">
        <v>40561</v>
      </c>
      <c r="B648" s="295" t="str">
        <f>TiposLancamentos!B16</f>
        <v>Cristiane</v>
      </c>
      <c r="C648" s="291" t="s">
        <v>23668</v>
      </c>
      <c r="D648" s="292"/>
      <c r="E648" s="293">
        <v>66</v>
      </c>
      <c r="F648" s="294"/>
      <c r="G648" s="154"/>
    </row>
    <row r="649" spans="1:7">
      <c r="A649" s="289">
        <v>40563</v>
      </c>
      <c r="B649" s="295" t="str">
        <f>TiposLancamentos!B5</f>
        <v>Supermercado</v>
      </c>
      <c r="C649" s="291" t="s">
        <v>18994</v>
      </c>
      <c r="D649" s="292"/>
      <c r="E649" s="293">
        <v>87.77</v>
      </c>
      <c r="F649" s="294"/>
      <c r="G649" s="154"/>
    </row>
    <row r="650" spans="1:7">
      <c r="A650" s="262">
        <v>40566</v>
      </c>
      <c r="B650" s="76" t="str">
        <f>TiposLancamentos!B57</f>
        <v>Informática</v>
      </c>
      <c r="C650" s="147" t="s">
        <v>23669</v>
      </c>
      <c r="D650" s="63"/>
      <c r="E650" s="231">
        <v>80.02</v>
      </c>
      <c r="F650" s="265" t="s">
        <v>23670</v>
      </c>
      <c r="G650" s="154"/>
    </row>
    <row r="651" spans="1:7">
      <c r="A651" s="289">
        <v>40567</v>
      </c>
      <c r="B651" s="295" t="str">
        <f>TiposLancamentos!B5</f>
        <v>Supermercado</v>
      </c>
      <c r="C651" s="291" t="s">
        <v>5844</v>
      </c>
      <c r="D651" s="292"/>
      <c r="E651" s="293">
        <v>52.67</v>
      </c>
      <c r="F651" s="294"/>
      <c r="G651" s="154"/>
    </row>
    <row r="652" spans="1:7">
      <c r="A652" s="262">
        <v>40568</v>
      </c>
      <c r="B652" s="76" t="str">
        <f>TiposLancamentos!B3</f>
        <v>Internet</v>
      </c>
      <c r="C652" s="147" t="s">
        <v>10734</v>
      </c>
      <c r="D652" s="63"/>
      <c r="E652" s="231">
        <v>87</v>
      </c>
      <c r="F652" s="263"/>
      <c r="G652" s="154"/>
    </row>
    <row r="653" spans="1:7">
      <c r="A653" s="262">
        <v>40568</v>
      </c>
      <c r="B653" s="76" t="str">
        <f>TiposLancamentos!B13</f>
        <v>Moradia</v>
      </c>
      <c r="C653" s="147" t="s">
        <v>23671</v>
      </c>
      <c r="D653" s="63"/>
      <c r="E653" s="231">
        <v>331.04</v>
      </c>
      <c r="F653" s="263"/>
      <c r="G653" s="154"/>
    </row>
    <row r="654" spans="1:7">
      <c r="A654" s="289">
        <v>40570</v>
      </c>
      <c r="B654" s="295" t="str">
        <f>TiposLancamentos!B16</f>
        <v>Cristiane</v>
      </c>
      <c r="C654" s="291" t="s">
        <v>23672</v>
      </c>
      <c r="D654" s="292"/>
      <c r="E654" s="293">
        <v>85.3</v>
      </c>
      <c r="F654" s="294"/>
      <c r="G654" s="154"/>
    </row>
    <row r="655" spans="1:7">
      <c r="A655" s="289">
        <v>40571</v>
      </c>
      <c r="B655" s="295" t="str">
        <f>TiposLancamentos!B16</f>
        <v>Cristiane</v>
      </c>
      <c r="C655" s="291" t="s">
        <v>23673</v>
      </c>
      <c r="D655" s="292"/>
      <c r="E655" s="293">
        <v>39.28</v>
      </c>
      <c r="F655" s="294"/>
      <c r="G655" s="154"/>
    </row>
    <row r="656" spans="1:7">
      <c r="A656" s="262">
        <v>40572</v>
      </c>
      <c r="B656" s="76" t="str">
        <f>TiposLancamentos!B44</f>
        <v>Academia</v>
      </c>
      <c r="C656" s="147" t="s">
        <v>23674</v>
      </c>
      <c r="D656" s="63"/>
      <c r="E656" s="231">
        <v>153.33000000000001</v>
      </c>
      <c r="F656" s="263"/>
      <c r="G656" s="154"/>
    </row>
    <row r="657" spans="1:7">
      <c r="A657" s="262">
        <v>40573</v>
      </c>
      <c r="B657" s="76" t="str">
        <f>TiposLancamentos!B37</f>
        <v>Playstation 3</v>
      </c>
      <c r="C657" s="147" t="s">
        <v>23643</v>
      </c>
      <c r="D657" s="63"/>
      <c r="E657" s="231">
        <v>42.81</v>
      </c>
      <c r="F657" s="265" t="s">
        <v>23644</v>
      </c>
      <c r="G657" s="154"/>
    </row>
    <row r="658" spans="1:7">
      <c r="A658" s="258"/>
      <c r="B658" s="259"/>
      <c r="C658" s="270" t="s">
        <v>4118</v>
      </c>
      <c r="D658" s="110"/>
      <c r="E658" s="260"/>
      <c r="F658" s="261">
        <f>SUM(E622:E646)</f>
        <v>2008</v>
      </c>
      <c r="G658" s="154"/>
    </row>
    <row r="659" spans="1:7">
      <c r="A659" s="262">
        <v>40575</v>
      </c>
      <c r="B659" s="76" t="str">
        <f>B646</f>
        <v>Taxas Bancarias</v>
      </c>
      <c r="C659" s="147" t="s">
        <v>23288</v>
      </c>
      <c r="D659" s="63"/>
      <c r="E659" s="231">
        <v>0.1</v>
      </c>
      <c r="F659" s="263"/>
      <c r="G659" s="154"/>
    </row>
    <row r="660" spans="1:7">
      <c r="A660" s="262">
        <v>40575</v>
      </c>
      <c r="B660" s="76" t="str">
        <f>TiposLancamentos!B15</f>
        <v>Cartões de Crédito</v>
      </c>
      <c r="C660" s="147" t="s">
        <v>14142</v>
      </c>
      <c r="D660" s="63">
        <v>2008</v>
      </c>
      <c r="E660" s="231"/>
      <c r="F660" s="263"/>
      <c r="G660" s="154"/>
    </row>
    <row r="661" spans="1:7">
      <c r="A661" s="262">
        <v>40577</v>
      </c>
      <c r="B661" s="76" t="str">
        <f>TiposLancamentos!B98</f>
        <v>Restituições</v>
      </c>
      <c r="C661" s="147" t="s">
        <v>23675</v>
      </c>
      <c r="D661" s="63">
        <v>46.37</v>
      </c>
      <c r="E661" s="231">
        <v>0</v>
      </c>
      <c r="F661" s="263"/>
      <c r="G661" s="154"/>
    </row>
    <row r="662" spans="1:7">
      <c r="A662" s="262">
        <v>40577</v>
      </c>
      <c r="B662" s="76" t="str">
        <f>TiposLancamentos!B98</f>
        <v>Restituições</v>
      </c>
      <c r="C662" s="147" t="s">
        <v>23675</v>
      </c>
      <c r="D662" s="63">
        <v>104.47</v>
      </c>
      <c r="E662" s="231">
        <v>0</v>
      </c>
      <c r="F662" s="263"/>
      <c r="G662" s="154"/>
    </row>
    <row r="663" spans="1:7">
      <c r="A663" s="262">
        <v>40578</v>
      </c>
      <c r="B663" s="76" t="str">
        <f>TiposLancamentos!B87</f>
        <v>P207-1.6-XS</v>
      </c>
      <c r="C663" s="147" t="s">
        <v>13500</v>
      </c>
      <c r="D663" s="63"/>
      <c r="E663" s="231">
        <v>166.33</v>
      </c>
      <c r="F663" s="263"/>
      <c r="G663" s="154"/>
    </row>
    <row r="664" spans="1:7">
      <c r="A664" s="262">
        <v>40583</v>
      </c>
      <c r="B664" s="76" t="str">
        <f>TiposLancamentos!B31</f>
        <v>Action Figures</v>
      </c>
      <c r="C664" s="147" t="s">
        <v>23676</v>
      </c>
      <c r="D664" s="63"/>
      <c r="E664" s="231">
        <v>57.24</v>
      </c>
      <c r="F664" s="263"/>
      <c r="G664" s="154"/>
    </row>
    <row r="665" spans="1:7">
      <c r="A665" s="111">
        <v>40591</v>
      </c>
      <c r="B665" s="76" t="str">
        <f>TiposLancamentos!B4</f>
        <v>Taxas Bancarias</v>
      </c>
      <c r="C665" s="147" t="s">
        <v>23677</v>
      </c>
      <c r="D665" s="63"/>
      <c r="E665" s="231">
        <v>1</v>
      </c>
      <c r="F665" s="263"/>
      <c r="G665" s="154"/>
    </row>
    <row r="666" spans="1:7">
      <c r="A666" s="264"/>
      <c r="B666" s="226"/>
      <c r="C666" s="227" t="s">
        <v>10</v>
      </c>
      <c r="D666" s="228"/>
      <c r="E666" s="228"/>
      <c r="F666" s="273"/>
      <c r="G666" s="154"/>
    </row>
    <row r="667" spans="1:7">
      <c r="A667" s="289">
        <v>40590</v>
      </c>
      <c r="B667" s="295" t="str">
        <f>TiposLancamentos!B16</f>
        <v>Cristiane</v>
      </c>
      <c r="C667" s="291" t="s">
        <v>20752</v>
      </c>
      <c r="D667" s="292"/>
      <c r="E667" s="293">
        <v>120</v>
      </c>
      <c r="F667" s="294"/>
      <c r="G667" s="154"/>
    </row>
    <row r="668" spans="1:7">
      <c r="A668" s="289">
        <v>40595</v>
      </c>
      <c r="B668" s="295" t="str">
        <f>TiposLancamentos!B16</f>
        <v>Cristiane</v>
      </c>
      <c r="C668" s="291" t="s">
        <v>23672</v>
      </c>
      <c r="D668" s="292"/>
      <c r="E668" s="293">
        <v>81.8</v>
      </c>
      <c r="F668" s="294"/>
      <c r="G668" s="154"/>
    </row>
    <row r="669" spans="1:7">
      <c r="A669" s="262">
        <v>40597</v>
      </c>
      <c r="B669" s="76" t="str">
        <f>TiposLancamentos!B25</f>
        <v>CD_DVD_BD</v>
      </c>
      <c r="C669" s="147" t="s">
        <v>23678</v>
      </c>
      <c r="D669" s="63"/>
      <c r="E669" s="231">
        <v>229.6</v>
      </c>
      <c r="F669" s="263"/>
      <c r="G669" s="154"/>
    </row>
    <row r="670" spans="1:7">
      <c r="A670" s="289">
        <v>40598</v>
      </c>
      <c r="B670" s="295" t="str">
        <f>TiposLancamentos!B16</f>
        <v>Cristiane</v>
      </c>
      <c r="C670" s="291" t="s">
        <v>23679</v>
      </c>
      <c r="D670" s="292"/>
      <c r="E670" s="293">
        <v>122.6</v>
      </c>
      <c r="F670" s="294"/>
      <c r="G670" s="154"/>
    </row>
    <row r="671" spans="1:7">
      <c r="A671" s="258"/>
      <c r="B671" s="259"/>
      <c r="C671" s="270" t="s">
        <v>4122</v>
      </c>
      <c r="D671" s="110"/>
      <c r="E671" s="260"/>
      <c r="F671" s="261">
        <f>SUM(E648:E665)-(D661+D662)</f>
        <v>1099.05</v>
      </c>
      <c r="G671" s="154"/>
    </row>
    <row r="672" spans="1:7">
      <c r="A672" s="262">
        <v>40603</v>
      </c>
      <c r="B672" s="76" t="str">
        <f>TiposLancamentos!B15</f>
        <v>Cartões de Crédito</v>
      </c>
      <c r="C672" s="147" t="s">
        <v>15114</v>
      </c>
      <c r="D672" s="63">
        <v>1099.05</v>
      </c>
      <c r="E672" s="231"/>
      <c r="F672" s="263"/>
      <c r="G672" s="154"/>
    </row>
    <row r="673" spans="1:7">
      <c r="A673" s="262">
        <v>40603</v>
      </c>
      <c r="B673" s="76" t="str">
        <f>TiposLancamentos!B37</f>
        <v>Playstation 3</v>
      </c>
      <c r="C673" s="147" t="s">
        <v>23680</v>
      </c>
      <c r="D673" s="63"/>
      <c r="E673" s="231">
        <v>106.64</v>
      </c>
      <c r="F673" s="263"/>
      <c r="G673" s="154"/>
    </row>
    <row r="674" spans="1:7">
      <c r="A674" s="262">
        <v>40603</v>
      </c>
      <c r="B674" s="76" t="str">
        <f>TiposLancamentos!B25</f>
        <v>CD_DVD_BD</v>
      </c>
      <c r="C674" s="147" t="s">
        <v>23681</v>
      </c>
      <c r="D674" s="63"/>
      <c r="E674" s="231">
        <v>79.8</v>
      </c>
      <c r="F674" s="263"/>
      <c r="G674" s="154"/>
    </row>
    <row r="675" spans="1:7">
      <c r="A675" s="262">
        <v>40605</v>
      </c>
      <c r="B675" s="76" t="str">
        <f>TiposLancamentos!B57</f>
        <v>Informática</v>
      </c>
      <c r="C675" s="147" t="s">
        <v>23682</v>
      </c>
      <c r="D675" s="63"/>
      <c r="E675" s="231">
        <v>51.44</v>
      </c>
      <c r="F675" s="265" t="s">
        <v>23683</v>
      </c>
      <c r="G675" s="154"/>
    </row>
    <row r="676" spans="1:7">
      <c r="A676" s="289">
        <v>40609</v>
      </c>
      <c r="B676" s="295" t="str">
        <f>TiposLancamentos!B16</f>
        <v>Cristiane</v>
      </c>
      <c r="C676" s="291" t="s">
        <v>23684</v>
      </c>
      <c r="D676" s="292"/>
      <c r="E676" s="293">
        <v>110</v>
      </c>
      <c r="F676" s="294"/>
      <c r="G676" s="154"/>
    </row>
    <row r="677" spans="1:7">
      <c r="A677" s="289">
        <v>40609</v>
      </c>
      <c r="B677" s="295" t="str">
        <f>TiposLancamentos!B16</f>
        <v>Cristiane</v>
      </c>
      <c r="C677" s="291" t="s">
        <v>23685</v>
      </c>
      <c r="D677" s="292"/>
      <c r="E677" s="293">
        <v>90</v>
      </c>
      <c r="F677" s="294"/>
      <c r="G677" s="154"/>
    </row>
    <row r="678" spans="1:7">
      <c r="A678" s="289">
        <v>40610</v>
      </c>
      <c r="B678" s="295" t="str">
        <f>TiposLancamentos!B16</f>
        <v>Cristiane</v>
      </c>
      <c r="C678" s="291" t="s">
        <v>23686</v>
      </c>
      <c r="D678" s="292"/>
      <c r="E678" s="293">
        <v>36.9</v>
      </c>
      <c r="F678" s="294"/>
      <c r="G678" s="154"/>
    </row>
    <row r="679" spans="1:7">
      <c r="A679" s="262">
        <v>40612</v>
      </c>
      <c r="B679" s="76" t="str">
        <f>TiposLancamentos!B16</f>
        <v>Cristiane</v>
      </c>
      <c r="C679" s="147" t="s">
        <v>23687</v>
      </c>
      <c r="D679" s="63"/>
      <c r="E679" s="231">
        <v>115.1</v>
      </c>
      <c r="F679" s="263"/>
      <c r="G679" s="154"/>
    </row>
    <row r="680" spans="1:7">
      <c r="A680" s="289">
        <v>40613</v>
      </c>
      <c r="B680" s="295" t="str">
        <f>TiposLancamentos!B16</f>
        <v>Cristiane</v>
      </c>
      <c r="C680" s="291" t="s">
        <v>23688</v>
      </c>
      <c r="D680" s="292"/>
      <c r="E680" s="293">
        <v>172.5</v>
      </c>
      <c r="F680" s="294"/>
      <c r="G680" s="154"/>
    </row>
    <row r="681" spans="1:7">
      <c r="A681" s="262">
        <v>40617</v>
      </c>
      <c r="B681" s="76" t="str">
        <f>TiposLancamentos!B13</f>
        <v>Moradia</v>
      </c>
      <c r="C681" s="147" t="s">
        <v>23689</v>
      </c>
      <c r="D681" s="63"/>
      <c r="E681" s="231">
        <v>234.9</v>
      </c>
      <c r="F681" s="263"/>
      <c r="G681" s="154"/>
    </row>
    <row r="682" spans="1:7">
      <c r="A682" s="262">
        <v>40618</v>
      </c>
      <c r="B682" s="76" t="str">
        <f>TiposLancamentos!B31</f>
        <v>Action Figures</v>
      </c>
      <c r="C682" s="147" t="s">
        <v>23690</v>
      </c>
      <c r="D682" s="63"/>
      <c r="E682" s="231">
        <v>200.2</v>
      </c>
      <c r="F682" s="263" t="s">
        <v>23691</v>
      </c>
      <c r="G682" s="154"/>
    </row>
    <row r="683" spans="1:7">
      <c r="A683" s="262">
        <v>40618</v>
      </c>
      <c r="B683" s="76" t="str">
        <f>TiposLancamentos!B16</f>
        <v>Cristiane</v>
      </c>
      <c r="C683" s="147" t="s">
        <v>23692</v>
      </c>
      <c r="D683" s="63"/>
      <c r="E683" s="231">
        <v>48.48</v>
      </c>
      <c r="F683" s="263"/>
      <c r="G683" s="154"/>
    </row>
    <row r="684" spans="1:7">
      <c r="A684" s="264"/>
      <c r="B684" s="226"/>
      <c r="C684" s="227" t="s">
        <v>10</v>
      </c>
      <c r="D684" s="228"/>
      <c r="E684" s="228"/>
      <c r="F684" s="273"/>
      <c r="G684" s="154"/>
    </row>
    <row r="685" spans="1:7">
      <c r="A685" s="289">
        <v>40624</v>
      </c>
      <c r="B685" s="295" t="str">
        <f>TiposLancamentos!B16</f>
        <v>Cristiane</v>
      </c>
      <c r="C685" s="291" t="s">
        <v>23693</v>
      </c>
      <c r="D685" s="292"/>
      <c r="E685" s="293">
        <v>42</v>
      </c>
      <c r="F685" s="294"/>
      <c r="G685" s="154"/>
    </row>
    <row r="686" spans="1:7">
      <c r="A686" s="289">
        <v>40624</v>
      </c>
      <c r="B686" s="295" t="str">
        <f>TiposLancamentos!B16</f>
        <v>Cristiane</v>
      </c>
      <c r="C686" s="291" t="s">
        <v>23694</v>
      </c>
      <c r="D686" s="292"/>
      <c r="E686" s="293">
        <v>95.85</v>
      </c>
      <c r="F686" s="294"/>
      <c r="G686" s="154"/>
    </row>
    <row r="687" spans="1:7">
      <c r="A687" s="289">
        <v>40624</v>
      </c>
      <c r="B687" s="295" t="str">
        <f>TiposLancamentos!B56</f>
        <v>Farmácia</v>
      </c>
      <c r="C687" s="291" t="s">
        <v>23695</v>
      </c>
      <c r="D687" s="292"/>
      <c r="E687" s="293">
        <v>129.80000000000001</v>
      </c>
      <c r="F687" s="294"/>
      <c r="G687" s="154"/>
    </row>
    <row r="688" spans="1:7">
      <c r="A688" s="160">
        <v>40624</v>
      </c>
      <c r="B688" s="275" t="str">
        <f>TiposLancamentos!B16</f>
        <v>Cristiane</v>
      </c>
      <c r="C688" s="141" t="s">
        <v>23696</v>
      </c>
      <c r="D688" s="51"/>
      <c r="E688" s="142">
        <v>42</v>
      </c>
      <c r="F688" s="263"/>
      <c r="G688" s="154"/>
    </row>
    <row r="689" spans="1:7">
      <c r="A689" s="160">
        <v>40624</v>
      </c>
      <c r="B689" s="275" t="str">
        <f>TiposLancamentos!B25</f>
        <v>CD_DVD_BD</v>
      </c>
      <c r="C689" s="141" t="s">
        <v>23697</v>
      </c>
      <c r="D689" s="51"/>
      <c r="E689" s="142">
        <v>69.900000000000006</v>
      </c>
      <c r="F689" s="263">
        <f>SUM(E688:E689)</f>
        <v>111.9</v>
      </c>
      <c r="G689" s="154"/>
    </row>
    <row r="690" spans="1:7">
      <c r="A690" s="258"/>
      <c r="B690" s="259"/>
      <c r="C690" s="270" t="s">
        <v>4130</v>
      </c>
      <c r="D690" s="110"/>
      <c r="E690" s="260"/>
      <c r="F690" s="261">
        <f>SUM(E667:E683)</f>
        <v>1799.96</v>
      </c>
      <c r="G690" s="154"/>
    </row>
    <row r="691" spans="1:7">
      <c r="A691" s="262">
        <v>40634</v>
      </c>
      <c r="B691" s="76" t="str">
        <f>TiposLancamentos!B15</f>
        <v>Cartões de Crédito</v>
      </c>
      <c r="C691" s="147" t="s">
        <v>16507</v>
      </c>
      <c r="D691" s="63">
        <v>1799.96</v>
      </c>
      <c r="E691" s="231"/>
      <c r="F691" s="263"/>
      <c r="G691" s="154"/>
    </row>
    <row r="692" spans="1:7">
      <c r="A692" s="262">
        <v>40635</v>
      </c>
      <c r="B692" s="76" t="str">
        <f>TiposLancamentos!B16</f>
        <v>Cristiane</v>
      </c>
      <c r="C692" s="147" t="s">
        <v>23698</v>
      </c>
      <c r="D692" s="63"/>
      <c r="E692" s="231">
        <v>209.8</v>
      </c>
      <c r="F692" s="263"/>
      <c r="G692" s="154"/>
    </row>
    <row r="693" spans="1:7">
      <c r="A693" s="192">
        <v>40638</v>
      </c>
      <c r="B693" s="76" t="str">
        <f>TiposLancamentos!B37</f>
        <v>Playstation 3</v>
      </c>
      <c r="C693" s="147" t="s">
        <v>23699</v>
      </c>
      <c r="D693" s="63"/>
      <c r="E693" s="231">
        <v>4.7699999999999996</v>
      </c>
      <c r="F693" s="263" t="s">
        <v>23700</v>
      </c>
      <c r="G693" s="154"/>
    </row>
    <row r="694" spans="1:7">
      <c r="A694" s="289">
        <v>40641</v>
      </c>
      <c r="B694" s="295" t="str">
        <f>TiposLancamentos!B16</f>
        <v>Cristiane</v>
      </c>
      <c r="C694" s="291" t="s">
        <v>23701</v>
      </c>
      <c r="D694" s="292"/>
      <c r="E694" s="293">
        <v>139.9</v>
      </c>
      <c r="F694" s="294"/>
      <c r="G694" s="154"/>
    </row>
    <row r="695" spans="1:7">
      <c r="A695" s="289">
        <v>40644</v>
      </c>
      <c r="B695" s="295" t="str">
        <f>TiposLancamentos!B16</f>
        <v>Cristiane</v>
      </c>
      <c r="C695" s="291" t="s">
        <v>23702</v>
      </c>
      <c r="D695" s="292"/>
      <c r="E695" s="293">
        <v>64.42</v>
      </c>
      <c r="F695" s="294"/>
      <c r="G695" s="154"/>
    </row>
    <row r="696" spans="1:7">
      <c r="A696" s="289">
        <v>40645</v>
      </c>
      <c r="B696" s="295" t="str">
        <f>TiposLancamentos!B5</f>
        <v>Supermercado</v>
      </c>
      <c r="C696" s="291" t="s">
        <v>6234</v>
      </c>
      <c r="D696" s="292"/>
      <c r="E696" s="293">
        <v>71.95</v>
      </c>
      <c r="F696" s="294"/>
      <c r="G696" s="154"/>
    </row>
    <row r="697" spans="1:7">
      <c r="A697" s="262">
        <v>40645</v>
      </c>
      <c r="B697" s="76" t="str">
        <f>TiposLancamentos!B31</f>
        <v>Action Figures</v>
      </c>
      <c r="C697" s="147" t="s">
        <v>23703</v>
      </c>
      <c r="D697" s="63"/>
      <c r="E697" s="231">
        <v>96.55</v>
      </c>
      <c r="F697" s="263" t="s">
        <v>23704</v>
      </c>
      <c r="G697" s="154"/>
    </row>
    <row r="698" spans="1:7">
      <c r="A698" s="289">
        <v>40646</v>
      </c>
      <c r="B698" s="295" t="str">
        <f>TiposLancamentos!B16</f>
        <v>Cristiane</v>
      </c>
      <c r="C698" s="291" t="s">
        <v>23705</v>
      </c>
      <c r="D698" s="292"/>
      <c r="E698" s="293">
        <v>109.9</v>
      </c>
      <c r="F698" s="294"/>
      <c r="G698" s="154"/>
    </row>
    <row r="699" spans="1:7">
      <c r="A699" s="289">
        <v>40646</v>
      </c>
      <c r="B699" s="295" t="str">
        <f>TiposLancamentos!B16</f>
        <v>Cristiane</v>
      </c>
      <c r="C699" s="291" t="s">
        <v>23706</v>
      </c>
      <c r="D699" s="292"/>
      <c r="E699" s="293">
        <v>79.98</v>
      </c>
      <c r="F699" s="294"/>
      <c r="G699" s="154"/>
    </row>
    <row r="700" spans="1:7">
      <c r="A700" s="289">
        <v>40646</v>
      </c>
      <c r="B700" s="295" t="str">
        <f>TiposLancamentos!B16</f>
        <v>Cristiane</v>
      </c>
      <c r="C700" s="291" t="s">
        <v>23672</v>
      </c>
      <c r="D700" s="292"/>
      <c r="E700" s="293">
        <v>166.54</v>
      </c>
      <c r="F700" s="294"/>
      <c r="G700" s="154"/>
    </row>
    <row r="701" spans="1:7">
      <c r="A701" s="289">
        <v>40647</v>
      </c>
      <c r="B701" s="295" t="str">
        <f>TiposLancamentos!B16</f>
        <v>Cristiane</v>
      </c>
      <c r="C701" s="291" t="s">
        <v>23707</v>
      </c>
      <c r="D701" s="292"/>
      <c r="E701" s="293">
        <v>69</v>
      </c>
      <c r="F701" s="294"/>
      <c r="G701" s="154"/>
    </row>
    <row r="702" spans="1:7">
      <c r="A702" s="264"/>
      <c r="B702" s="226"/>
      <c r="C702" s="227" t="s">
        <v>10</v>
      </c>
      <c r="D702" s="228"/>
      <c r="E702" s="228"/>
      <c r="F702" s="273"/>
      <c r="G702" s="154"/>
    </row>
    <row r="703" spans="1:7">
      <c r="A703" s="262">
        <v>40648</v>
      </c>
      <c r="B703" s="76" t="str">
        <f>TiposLancamentos!B31</f>
        <v>Action Figures</v>
      </c>
      <c r="C703" s="147" t="s">
        <v>23708</v>
      </c>
      <c r="D703" s="63"/>
      <c r="E703" s="231">
        <v>210.36</v>
      </c>
      <c r="F703" s="263" t="s">
        <v>23709</v>
      </c>
      <c r="G703" s="154"/>
    </row>
    <row r="704" spans="1:7">
      <c r="A704" s="289">
        <v>40648</v>
      </c>
      <c r="B704" s="295" t="str">
        <f>TiposLancamentos!B16</f>
        <v>Cristiane</v>
      </c>
      <c r="C704" s="291" t="s">
        <v>23710</v>
      </c>
      <c r="D704" s="292"/>
      <c r="E704" s="293">
        <v>39.28</v>
      </c>
      <c r="F704" s="294"/>
      <c r="G704" s="154"/>
    </row>
    <row r="705" spans="1:7">
      <c r="A705" s="262">
        <v>40651</v>
      </c>
      <c r="B705" s="76" t="str">
        <f>TiposLancamentos!B28</f>
        <v>ComicBook</v>
      </c>
      <c r="C705" s="147" t="s">
        <v>23711</v>
      </c>
      <c r="D705" s="63"/>
      <c r="E705" s="231">
        <v>31.62</v>
      </c>
      <c r="F705" s="263"/>
      <c r="G705" s="154"/>
    </row>
    <row r="706" spans="1:7">
      <c r="A706" s="289">
        <v>40652</v>
      </c>
      <c r="B706" s="295" t="str">
        <f>TiposLancamentos!B16</f>
        <v>Cristiane</v>
      </c>
      <c r="C706" s="291" t="s">
        <v>23712</v>
      </c>
      <c r="D706" s="292"/>
      <c r="E706" s="293">
        <v>189.83</v>
      </c>
      <c r="F706" s="294"/>
      <c r="G706" s="154"/>
    </row>
    <row r="707" spans="1:7">
      <c r="A707" s="262">
        <v>40658</v>
      </c>
      <c r="B707" s="76" t="str">
        <f>TiposLancamentos!B3</f>
        <v>Internet</v>
      </c>
      <c r="C707" s="147" t="s">
        <v>10734</v>
      </c>
      <c r="D707" s="63"/>
      <c r="E707" s="231">
        <v>127</v>
      </c>
      <c r="F707" s="263"/>
      <c r="G707" s="154"/>
    </row>
    <row r="708" spans="1:7">
      <c r="A708" s="258"/>
      <c r="B708" s="259"/>
      <c r="C708" s="270" t="s">
        <v>4139</v>
      </c>
      <c r="D708" s="110"/>
      <c r="E708" s="260"/>
      <c r="F708" s="261">
        <f>SUM(E685:E701)</f>
        <v>1392.36</v>
      </c>
      <c r="G708" s="154"/>
    </row>
    <row r="709" spans="1:7">
      <c r="A709" s="262">
        <v>40664</v>
      </c>
      <c r="B709" s="76" t="str">
        <f>TiposLancamentos!B15</f>
        <v>Cartões de Crédito</v>
      </c>
      <c r="C709" s="147" t="s">
        <v>14126</v>
      </c>
      <c r="D709" s="63">
        <v>1392.36</v>
      </c>
      <c r="E709" s="231"/>
      <c r="F709" s="263"/>
      <c r="G709" s="154"/>
    </row>
    <row r="710" spans="1:7">
      <c r="A710" s="262">
        <v>40665</v>
      </c>
      <c r="B710" s="76" t="str">
        <f>TiposLancamentos!B64</f>
        <v>Viagens</v>
      </c>
      <c r="C710" s="147" t="s">
        <v>23713</v>
      </c>
      <c r="D710" s="63"/>
      <c r="E710" s="231">
        <v>489.64</v>
      </c>
      <c r="F710" s="263"/>
      <c r="G710" s="154"/>
    </row>
    <row r="711" spans="1:7">
      <c r="A711" s="289">
        <v>40667</v>
      </c>
      <c r="B711" s="295" t="str">
        <f>TiposLancamentos!B16</f>
        <v>Cristiane</v>
      </c>
      <c r="C711" s="291" t="s">
        <v>23714</v>
      </c>
      <c r="D711" s="292"/>
      <c r="E711" s="293">
        <v>64</v>
      </c>
      <c r="F711" s="294"/>
      <c r="G711" s="154"/>
    </row>
    <row r="712" spans="1:7">
      <c r="A712" s="289">
        <v>40667</v>
      </c>
      <c r="B712" s="295" t="str">
        <f>TiposLancamentos!B16</f>
        <v>Cristiane</v>
      </c>
      <c r="C712" s="291" t="s">
        <v>23715</v>
      </c>
      <c r="D712" s="292"/>
      <c r="E712" s="293">
        <v>104.8</v>
      </c>
      <c r="F712" s="294"/>
      <c r="G712" s="154"/>
    </row>
    <row r="713" spans="1:7">
      <c r="A713" s="262">
        <v>40671</v>
      </c>
      <c r="B713" s="76" t="str">
        <f>TiposLancamentos!B45</f>
        <v>Online Services</v>
      </c>
      <c r="C713" s="147" t="s">
        <v>23716</v>
      </c>
      <c r="D713" s="63"/>
      <c r="E713" s="231">
        <v>16.739999999999998</v>
      </c>
      <c r="F713" s="263" t="s">
        <v>23717</v>
      </c>
      <c r="G713" s="154"/>
    </row>
    <row r="714" spans="1:7">
      <c r="A714" s="262">
        <v>40674</v>
      </c>
      <c r="B714" s="76" t="str">
        <f>TiposLancamentos!B71</f>
        <v>Itens Pessoais</v>
      </c>
      <c r="C714" s="147" t="s">
        <v>23718</v>
      </c>
      <c r="D714" s="63"/>
      <c r="E714" s="231">
        <f>1299/6</f>
        <v>216.5</v>
      </c>
      <c r="F714" s="263"/>
      <c r="G714" s="154"/>
    </row>
    <row r="715" spans="1:7">
      <c r="A715" s="289">
        <v>40674</v>
      </c>
      <c r="B715" s="295" t="str">
        <f>TiposLancamentos!B16</f>
        <v>Cristiane</v>
      </c>
      <c r="C715" s="291" t="s">
        <v>3420</v>
      </c>
      <c r="D715" s="292"/>
      <c r="E715" s="293">
        <v>57.4</v>
      </c>
      <c r="F715" s="294"/>
      <c r="G715" s="154"/>
    </row>
    <row r="716" spans="1:7">
      <c r="A716" s="262">
        <v>40678</v>
      </c>
      <c r="B716" s="76" t="str">
        <f>TiposLancamentos!B45</f>
        <v>Online Services</v>
      </c>
      <c r="C716" s="147" t="s">
        <v>23719</v>
      </c>
      <c r="D716" s="63"/>
      <c r="E716" s="231">
        <v>13.45</v>
      </c>
      <c r="F716" s="263"/>
      <c r="G716" s="154"/>
    </row>
    <row r="717" spans="1:7">
      <c r="A717" s="262">
        <v>40680</v>
      </c>
      <c r="B717" s="76" t="str">
        <f>TiposLancamentos!B31</f>
        <v>Action Figures</v>
      </c>
      <c r="C717" s="147" t="s">
        <v>23720</v>
      </c>
      <c r="D717" s="63"/>
      <c r="E717" s="231">
        <v>230.12</v>
      </c>
      <c r="F717" s="263" t="s">
        <v>23721</v>
      </c>
      <c r="G717" s="154"/>
    </row>
    <row r="718" spans="1:7">
      <c r="A718" s="262">
        <v>40681</v>
      </c>
      <c r="B718" s="76" t="str">
        <f>TiposLancamentos!B16</f>
        <v>Cristiane</v>
      </c>
      <c r="C718" s="147" t="s">
        <v>23722</v>
      </c>
      <c r="D718" s="63"/>
      <c r="E718" s="231">
        <v>3.99</v>
      </c>
      <c r="F718" s="263"/>
      <c r="G718" s="154"/>
    </row>
    <row r="719" spans="1:7">
      <c r="A719" s="264"/>
      <c r="B719" s="226"/>
      <c r="C719" s="227" t="s">
        <v>10</v>
      </c>
      <c r="D719" s="228"/>
      <c r="E719" s="228"/>
      <c r="F719" s="273"/>
      <c r="G719" s="154"/>
    </row>
    <row r="720" spans="1:7">
      <c r="A720" s="262">
        <v>40682</v>
      </c>
      <c r="B720" s="76" t="str">
        <f>TiposLancamentos!B57</f>
        <v>Informática</v>
      </c>
      <c r="C720" s="147" t="s">
        <v>23723</v>
      </c>
      <c r="D720" s="63"/>
      <c r="E720" s="231">
        <f>0.99*1.65757</f>
        <v>1.6409943</v>
      </c>
      <c r="F720" s="263" t="s">
        <v>10768</v>
      </c>
      <c r="G720" s="154"/>
    </row>
    <row r="721" spans="1:8">
      <c r="A721" s="262">
        <v>40682</v>
      </c>
      <c r="B721" s="76" t="str">
        <f>TiposLancamentos!B57</f>
        <v>Informática</v>
      </c>
      <c r="C721" s="147" t="s">
        <v>23724</v>
      </c>
      <c r="D721" s="63"/>
      <c r="E721" s="231">
        <f>0.99*1.65757</f>
        <v>1.6409943</v>
      </c>
      <c r="F721" s="263" t="s">
        <v>10768</v>
      </c>
      <c r="G721" s="154"/>
    </row>
    <row r="722" spans="1:8">
      <c r="A722" s="262">
        <v>40684</v>
      </c>
      <c r="B722" s="76" t="str">
        <f>TiposLancamentos!B45</f>
        <v>Online Services</v>
      </c>
      <c r="C722" s="147" t="s">
        <v>23725</v>
      </c>
      <c r="D722" s="63"/>
      <c r="E722" s="231">
        <v>16.79</v>
      </c>
      <c r="F722" s="263"/>
      <c r="G722" s="154"/>
      <c r="H722" s="154"/>
    </row>
    <row r="723" spans="1:8">
      <c r="A723" s="152">
        <v>40685</v>
      </c>
      <c r="B723" s="275" t="str">
        <f>TiposLancamentos!B70</f>
        <v>Vestuário</v>
      </c>
      <c r="C723" s="141" t="s">
        <v>23726</v>
      </c>
      <c r="D723" s="51"/>
      <c r="E723" s="142">
        <f>F723-E724</f>
        <v>135</v>
      </c>
      <c r="F723" s="263">
        <v>180</v>
      </c>
      <c r="G723" s="154"/>
    </row>
    <row r="724" spans="1:8">
      <c r="A724" s="152">
        <v>40685</v>
      </c>
      <c r="B724" s="275" t="str">
        <f>TiposLancamentos!B72</f>
        <v>Presentes</v>
      </c>
      <c r="C724" s="141" t="s">
        <v>23727</v>
      </c>
      <c r="D724" s="51"/>
      <c r="E724" s="142">
        <v>45</v>
      </c>
      <c r="F724" s="263"/>
      <c r="G724" s="154"/>
    </row>
    <row r="725" spans="1:8">
      <c r="A725" s="262">
        <v>40685</v>
      </c>
      <c r="B725" s="76" t="str">
        <f>TiposLancamentos!B31</f>
        <v>Action Figures</v>
      </c>
      <c r="C725" s="147" t="s">
        <v>23728</v>
      </c>
      <c r="D725" s="63"/>
      <c r="E725" s="231">
        <v>283</v>
      </c>
      <c r="F725" s="263"/>
      <c r="G725" s="154"/>
    </row>
    <row r="726" spans="1:8">
      <c r="A726" s="262">
        <v>40688</v>
      </c>
      <c r="B726" s="76" t="str">
        <f>TiposLancamentos!B72</f>
        <v>Presentes</v>
      </c>
      <c r="C726" s="147" t="s">
        <v>23729</v>
      </c>
      <c r="D726" s="63"/>
      <c r="E726" s="231">
        <f>979/5</f>
        <v>195.8</v>
      </c>
      <c r="F726" s="263"/>
      <c r="G726" s="154"/>
    </row>
    <row r="727" spans="1:8">
      <c r="A727" s="262">
        <v>40689</v>
      </c>
      <c r="B727" s="76" t="str">
        <f>TiposLancamentos!B19</f>
        <v>Restaurantes</v>
      </c>
      <c r="C727" s="147" t="s">
        <v>23730</v>
      </c>
      <c r="D727" s="63"/>
      <c r="E727" s="231">
        <v>36.56</v>
      </c>
      <c r="F727" s="263"/>
    </row>
    <row r="728" spans="1:8">
      <c r="A728" s="262">
        <v>40690</v>
      </c>
      <c r="B728" s="76" t="str">
        <f>TiposLancamentos!B19</f>
        <v>Restaurantes</v>
      </c>
      <c r="C728" s="147" t="s">
        <v>23731</v>
      </c>
      <c r="D728" s="63"/>
      <c r="E728" s="231">
        <v>76.56</v>
      </c>
      <c r="F728" s="263"/>
    </row>
    <row r="729" spans="1:8">
      <c r="A729" s="262">
        <v>40690</v>
      </c>
      <c r="B729" s="76" t="str">
        <f>TiposLancamentos!B31</f>
        <v>Action Figures</v>
      </c>
      <c r="C729" s="147" t="s">
        <v>23732</v>
      </c>
      <c r="D729" s="63"/>
      <c r="E729" s="231">
        <v>40.020000000000003</v>
      </c>
      <c r="F729" s="263" t="s">
        <v>23733</v>
      </c>
    </row>
    <row r="730" spans="1:8">
      <c r="A730" s="289">
        <v>40690</v>
      </c>
      <c r="B730" s="295" t="str">
        <f>TiposLancamentos!B16</f>
        <v>Cristiane</v>
      </c>
      <c r="C730" s="291" t="s">
        <v>23734</v>
      </c>
      <c r="D730" s="292"/>
      <c r="E730" s="293">
        <v>115.16</v>
      </c>
      <c r="F730" s="294"/>
    </row>
    <row r="731" spans="1:8">
      <c r="A731" s="289">
        <v>40690</v>
      </c>
      <c r="B731" s="295" t="str">
        <f>TiposLancamentos!B16</f>
        <v>Cristiane</v>
      </c>
      <c r="C731" s="291" t="s">
        <v>23735</v>
      </c>
      <c r="D731" s="292"/>
      <c r="E731" s="293">
        <v>200</v>
      </c>
      <c r="F731" s="294"/>
    </row>
    <row r="732" spans="1:8">
      <c r="A732" s="262">
        <v>40692</v>
      </c>
      <c r="B732" s="76" t="str">
        <f>TiposLancamentos!B19</f>
        <v>Restaurantes</v>
      </c>
      <c r="C732" s="147" t="s">
        <v>23736</v>
      </c>
      <c r="D732" s="63"/>
      <c r="E732" s="231">
        <v>51</v>
      </c>
      <c r="F732" s="263"/>
    </row>
    <row r="733" spans="1:8">
      <c r="A733" s="262">
        <v>40694</v>
      </c>
      <c r="B733" s="76" t="str">
        <f>TiposLancamentos!B31</f>
        <v>Action Figures</v>
      </c>
      <c r="C733" s="147" t="s">
        <v>23737</v>
      </c>
      <c r="D733" s="63"/>
      <c r="E733" s="231">
        <v>43.5</v>
      </c>
      <c r="F733" s="263" t="s">
        <v>23738</v>
      </c>
    </row>
    <row r="734" spans="1:8">
      <c r="A734" s="258"/>
      <c r="B734" s="259"/>
      <c r="C734" s="270" t="s">
        <v>5805</v>
      </c>
      <c r="D734" s="110"/>
      <c r="E734" s="260"/>
      <c r="F734" s="261">
        <f>SUM(E703:E718)</f>
        <v>1794.7300000000002</v>
      </c>
      <c r="G734" s="154"/>
    </row>
    <row r="735" spans="1:8">
      <c r="A735" s="262">
        <v>40695</v>
      </c>
      <c r="B735" s="76" t="str">
        <f>TiposLancamentos!B15</f>
        <v>Cartões de Crédito</v>
      </c>
      <c r="C735" s="147" t="s">
        <v>5115</v>
      </c>
      <c r="D735" s="63">
        <f>Real_2007!E3261</f>
        <v>1794.73</v>
      </c>
      <c r="E735" s="231"/>
      <c r="F735" s="263"/>
      <c r="G735" s="154"/>
    </row>
    <row r="736" spans="1:8">
      <c r="A736" s="289">
        <v>40695</v>
      </c>
      <c r="B736" s="295" t="str">
        <f>TiposLancamentos!B16</f>
        <v>Cristiane</v>
      </c>
      <c r="C736" s="291" t="s">
        <v>23739</v>
      </c>
      <c r="D736" s="292"/>
      <c r="E736" s="293">
        <v>250.93</v>
      </c>
      <c r="F736" s="294"/>
      <c r="G736" s="154"/>
    </row>
    <row r="737" spans="1:7">
      <c r="A737" s="262">
        <v>40696</v>
      </c>
      <c r="B737" s="76" t="str">
        <f>TiposLancamentos!B64</f>
        <v>Viagens</v>
      </c>
      <c r="C737" s="147" t="s">
        <v>23740</v>
      </c>
      <c r="D737" s="63"/>
      <c r="E737" s="231">
        <v>489.64</v>
      </c>
      <c r="F737" s="263"/>
      <c r="G737" s="154"/>
    </row>
    <row r="738" spans="1:7">
      <c r="A738" s="262">
        <v>40697</v>
      </c>
      <c r="B738" s="76" t="str">
        <f>TiposLancamentos!B16</f>
        <v>Cristiane</v>
      </c>
      <c r="C738" s="147" t="s">
        <v>23741</v>
      </c>
      <c r="D738" s="63"/>
      <c r="E738" s="231">
        <v>46.8</v>
      </c>
      <c r="F738" s="263"/>
      <c r="G738" s="154"/>
    </row>
    <row r="739" spans="1:7">
      <c r="A739" s="262">
        <v>40700</v>
      </c>
      <c r="B739" s="76" t="str">
        <f>TiposLancamentos!B27</f>
        <v>Jornais e revistas</v>
      </c>
      <c r="C739" s="147" t="s">
        <v>23742</v>
      </c>
      <c r="D739" s="63"/>
      <c r="E739" s="231">
        <v>18.23</v>
      </c>
      <c r="F739" s="263"/>
      <c r="G739" s="154"/>
    </row>
    <row r="740" spans="1:7">
      <c r="A740" s="289">
        <v>40700</v>
      </c>
      <c r="B740" s="295" t="str">
        <f>TiposLancamentos!B16</f>
        <v>Cristiane</v>
      </c>
      <c r="C740" s="291" t="s">
        <v>23743</v>
      </c>
      <c r="D740" s="292"/>
      <c r="E740" s="293">
        <v>277.25</v>
      </c>
      <c r="F740" s="294"/>
      <c r="G740" s="154"/>
    </row>
    <row r="741" spans="1:7">
      <c r="A741" s="262">
        <v>40703</v>
      </c>
      <c r="B741" s="76" t="str">
        <f>TiposLancamentos!B16</f>
        <v>Cristiane</v>
      </c>
      <c r="C741" s="147" t="s">
        <v>23744</v>
      </c>
      <c r="D741" s="63"/>
      <c r="E741" s="231">
        <v>175.68</v>
      </c>
      <c r="F741" s="263"/>
      <c r="G741" s="154"/>
    </row>
    <row r="742" spans="1:7">
      <c r="A742" s="262">
        <v>40705</v>
      </c>
      <c r="B742" s="76" t="str">
        <f>TiposLancamentos!B71</f>
        <v>Itens Pessoais</v>
      </c>
      <c r="C742" s="147" t="s">
        <v>23745</v>
      </c>
      <c r="D742" s="63"/>
      <c r="E742" s="231">
        <f>1299/6</f>
        <v>216.5</v>
      </c>
      <c r="F742" s="263"/>
      <c r="G742" s="154"/>
    </row>
    <row r="743" spans="1:7">
      <c r="A743" s="262">
        <v>40708</v>
      </c>
      <c r="B743" s="76" t="str">
        <f>TiposLancamentos!B57</f>
        <v>Informática</v>
      </c>
      <c r="C743" s="147" t="s">
        <v>23746</v>
      </c>
      <c r="D743" s="63"/>
      <c r="E743" s="231">
        <v>139.94999999999999</v>
      </c>
      <c r="F743" s="263"/>
      <c r="G743" s="154"/>
    </row>
    <row r="744" spans="1:7">
      <c r="A744" s="262">
        <v>40708</v>
      </c>
      <c r="B744" s="76" t="str">
        <f>TiposLancamentos!B57</f>
        <v>Informática</v>
      </c>
      <c r="C744" s="147" t="s">
        <v>23747</v>
      </c>
      <c r="D744" s="63"/>
      <c r="E744" s="231">
        <v>79.03</v>
      </c>
      <c r="F744" s="263"/>
      <c r="G744" s="154"/>
    </row>
    <row r="745" spans="1:7">
      <c r="A745" s="262">
        <v>40709</v>
      </c>
      <c r="B745" s="76" t="str">
        <f>TiposLancamentos!B57</f>
        <v>Informática</v>
      </c>
      <c r="C745" s="147" t="s">
        <v>23748</v>
      </c>
      <c r="D745" s="63"/>
      <c r="E745" s="231">
        <f>2.05*1.65757</f>
        <v>3.3980184999999996</v>
      </c>
      <c r="F745" s="263" t="s">
        <v>23749</v>
      </c>
      <c r="G745" s="154"/>
    </row>
    <row r="746" spans="1:7">
      <c r="A746" s="262">
        <v>40709</v>
      </c>
      <c r="B746" s="76" t="str">
        <f>TiposLancamentos!B57</f>
        <v>Informática</v>
      </c>
      <c r="C746" s="147" t="s">
        <v>23750</v>
      </c>
      <c r="D746" s="63"/>
      <c r="E746" s="231">
        <v>99.8</v>
      </c>
      <c r="F746" s="263"/>
      <c r="G746" s="154"/>
    </row>
    <row r="747" spans="1:7">
      <c r="A747" s="264"/>
      <c r="B747" s="226"/>
      <c r="C747" s="227" t="s">
        <v>10</v>
      </c>
      <c r="D747" s="228"/>
      <c r="E747" s="228"/>
      <c r="F747" s="273"/>
      <c r="G747" s="154"/>
    </row>
    <row r="748" spans="1:7">
      <c r="A748" s="289">
        <v>40713</v>
      </c>
      <c r="B748" s="295" t="str">
        <f>TiposLancamentos!B16</f>
        <v>Cristiane</v>
      </c>
      <c r="C748" s="291" t="s">
        <v>23751</v>
      </c>
      <c r="D748" s="292"/>
      <c r="E748" s="293">
        <v>216</v>
      </c>
      <c r="F748" s="294"/>
      <c r="G748" s="154"/>
    </row>
    <row r="749" spans="1:7">
      <c r="A749" s="150">
        <v>40715</v>
      </c>
      <c r="B749" s="298" t="str">
        <f>TiposLancamentos!B71</f>
        <v>Itens Pessoais</v>
      </c>
      <c r="C749" s="139" t="s">
        <v>5611</v>
      </c>
      <c r="D749" s="51"/>
      <c r="E749" s="151">
        <v>20</v>
      </c>
      <c r="F749" s="263"/>
      <c r="G749" s="154"/>
    </row>
    <row r="750" spans="1:7">
      <c r="A750" s="262">
        <v>40719</v>
      </c>
      <c r="B750" s="76" t="str">
        <f>TiposLancamentos!B72</f>
        <v>Presentes</v>
      </c>
      <c r="C750" s="147" t="s">
        <v>23752</v>
      </c>
      <c r="D750" s="63"/>
      <c r="E750" s="231">
        <f>979/5</f>
        <v>195.8</v>
      </c>
      <c r="F750" s="263"/>
      <c r="G750" s="154"/>
    </row>
    <row r="751" spans="1:7">
      <c r="A751" s="289">
        <v>40721</v>
      </c>
      <c r="B751" s="295" t="str">
        <f>TiposLancamentos!B16</f>
        <v>Cristiane</v>
      </c>
      <c r="C751" s="291" t="s">
        <v>23753</v>
      </c>
      <c r="D751" s="292"/>
      <c r="E751" s="293">
        <v>200</v>
      </c>
      <c r="F751" s="294"/>
      <c r="G751" s="154"/>
    </row>
    <row r="752" spans="1:7">
      <c r="A752" s="258"/>
      <c r="B752" s="259"/>
      <c r="C752" s="270" t="s">
        <v>5811</v>
      </c>
      <c r="D752" s="110"/>
      <c r="E752" s="260"/>
      <c r="F752" s="261">
        <f>SUM(E720:E746)</f>
        <v>3038.8800071000005</v>
      </c>
      <c r="G752" s="154"/>
    </row>
    <row r="753" spans="1:7">
      <c r="A753" s="262">
        <v>40725</v>
      </c>
      <c r="B753" s="76" t="str">
        <f>TiposLancamentos!B64</f>
        <v>Viagens</v>
      </c>
      <c r="C753" s="147" t="s">
        <v>23754</v>
      </c>
      <c r="D753" s="63"/>
      <c r="E753" s="231">
        <v>489.56</v>
      </c>
      <c r="F753" s="263"/>
      <c r="G753" s="154"/>
    </row>
    <row r="754" spans="1:7">
      <c r="A754" s="262">
        <v>40725</v>
      </c>
      <c r="B754" s="76" t="str">
        <f>TiposLancamentos!B15</f>
        <v>Cartões de Crédito</v>
      </c>
      <c r="C754" s="147" t="s">
        <v>14126</v>
      </c>
      <c r="D754" s="63">
        <v>3039.21</v>
      </c>
      <c r="E754" s="231"/>
      <c r="F754" s="263"/>
      <c r="G754" s="154"/>
    </row>
    <row r="755" spans="1:7">
      <c r="A755" s="262">
        <v>40728</v>
      </c>
      <c r="B755" s="76" t="str">
        <f>TiposLancamentos!B45</f>
        <v>Online Services</v>
      </c>
      <c r="C755" s="147" t="s">
        <v>23755</v>
      </c>
      <c r="D755" s="63"/>
      <c r="E755" s="231">
        <v>16.13</v>
      </c>
      <c r="F755" s="263"/>
      <c r="G755" s="154"/>
    </row>
    <row r="756" spans="1:7">
      <c r="A756" s="262">
        <v>40733</v>
      </c>
      <c r="B756" s="76" t="str">
        <f>TiposLancamentos!B16</f>
        <v>Cristiane</v>
      </c>
      <c r="C756" s="147" t="s">
        <v>23756</v>
      </c>
      <c r="D756" s="63"/>
      <c r="E756" s="231">
        <v>175.66</v>
      </c>
      <c r="F756" s="263"/>
      <c r="G756" s="154"/>
    </row>
    <row r="757" spans="1:7">
      <c r="A757" s="262">
        <v>40735</v>
      </c>
      <c r="B757" s="76" t="str">
        <f>TiposLancamentos!B71</f>
        <v>Itens Pessoais</v>
      </c>
      <c r="C757" s="147" t="s">
        <v>23757</v>
      </c>
      <c r="D757" s="63"/>
      <c r="E757" s="231">
        <f>1299/6</f>
        <v>216.5</v>
      </c>
      <c r="F757" s="263"/>
      <c r="G757" s="154"/>
    </row>
    <row r="758" spans="1:7">
      <c r="A758" s="289">
        <v>40736</v>
      </c>
      <c r="B758" s="295" t="str">
        <f>TiposLancamentos!B5</f>
        <v>Supermercado</v>
      </c>
      <c r="C758" s="291" t="s">
        <v>6201</v>
      </c>
      <c r="D758" s="292"/>
      <c r="E758" s="293">
        <v>63.81</v>
      </c>
      <c r="F758" s="294"/>
      <c r="G758" s="154"/>
    </row>
    <row r="759" spans="1:7">
      <c r="A759" s="289">
        <v>40737</v>
      </c>
      <c r="B759" s="295" t="str">
        <f>TiposLancamentos!B5</f>
        <v>Supermercado</v>
      </c>
      <c r="C759" s="291" t="s">
        <v>6201</v>
      </c>
      <c r="D759" s="292"/>
      <c r="E759" s="293">
        <v>48.39</v>
      </c>
      <c r="F759" s="294"/>
      <c r="G759" s="154"/>
    </row>
    <row r="760" spans="1:7">
      <c r="A760" s="262">
        <v>40738</v>
      </c>
      <c r="B760" s="76" t="str">
        <f>TiposLancamentos!B57</f>
        <v>Informática</v>
      </c>
      <c r="C760" s="147" t="s">
        <v>23758</v>
      </c>
      <c r="D760" s="63"/>
      <c r="E760" s="231">
        <v>139.87</v>
      </c>
      <c r="F760" s="263"/>
      <c r="G760" s="154"/>
    </row>
    <row r="761" spans="1:7">
      <c r="A761" s="289">
        <v>40738</v>
      </c>
      <c r="B761" s="295" t="str">
        <f>TiposLancamentos!B16</f>
        <v>Cristiane</v>
      </c>
      <c r="C761" s="291" t="s">
        <v>2218</v>
      </c>
      <c r="D761" s="292"/>
      <c r="E761" s="293">
        <v>25.92</v>
      </c>
      <c r="F761" s="294"/>
      <c r="G761" s="154"/>
    </row>
    <row r="762" spans="1:7">
      <c r="A762" s="289">
        <v>40740</v>
      </c>
      <c r="B762" s="295" t="str">
        <f>TiposLancamentos!B16</f>
        <v>Cristiane</v>
      </c>
      <c r="C762" s="291" t="s">
        <v>4232</v>
      </c>
      <c r="D762" s="292"/>
      <c r="E762" s="293">
        <v>81.45</v>
      </c>
      <c r="F762" s="294"/>
      <c r="G762" s="154"/>
    </row>
    <row r="763" spans="1:7">
      <c r="A763" s="289">
        <v>40741</v>
      </c>
      <c r="B763" s="295" t="str">
        <f>TiposLancamentos!B16</f>
        <v>Cristiane</v>
      </c>
      <c r="C763" s="291" t="s">
        <v>23759</v>
      </c>
      <c r="D763" s="292"/>
      <c r="E763" s="293">
        <v>49.8</v>
      </c>
      <c r="F763" s="294"/>
      <c r="G763" s="154"/>
    </row>
    <row r="764" spans="1:7">
      <c r="A764" s="289">
        <v>40742</v>
      </c>
      <c r="B764" s="295" t="str">
        <f>TiposLancamentos!B16</f>
        <v>Cristiane</v>
      </c>
      <c r="C764" s="291" t="s">
        <v>23760</v>
      </c>
      <c r="D764" s="292"/>
      <c r="E764" s="293">
        <v>41.34</v>
      </c>
      <c r="F764" s="294"/>
      <c r="G764" s="154"/>
    </row>
    <row r="765" spans="1:7">
      <c r="A765" s="264"/>
      <c r="B765" s="226"/>
      <c r="C765" s="227" t="s">
        <v>10</v>
      </c>
      <c r="D765" s="228"/>
      <c r="E765" s="228"/>
      <c r="F765" s="273"/>
      <c r="G765" s="154"/>
    </row>
    <row r="766" spans="1:7">
      <c r="A766" s="262">
        <v>40745</v>
      </c>
      <c r="B766" s="76" t="str">
        <f>TiposLancamentos!B31</f>
        <v>Action Figures</v>
      </c>
      <c r="C766" s="147" t="s">
        <v>23761</v>
      </c>
      <c r="D766" s="63"/>
      <c r="E766" s="231">
        <v>176.32</v>
      </c>
      <c r="F766" s="263" t="s">
        <v>23762</v>
      </c>
      <c r="G766" s="154"/>
    </row>
    <row r="767" spans="1:7">
      <c r="A767" s="262">
        <v>40745</v>
      </c>
      <c r="B767" s="76" t="str">
        <f>TiposLancamentos!B19</f>
        <v>Restaurantes</v>
      </c>
      <c r="C767" s="147" t="s">
        <v>21846</v>
      </c>
      <c r="D767" s="63"/>
      <c r="E767" s="231">
        <v>13.2</v>
      </c>
      <c r="F767" s="263"/>
      <c r="G767" s="154"/>
    </row>
    <row r="768" spans="1:7">
      <c r="A768" s="262">
        <v>40746</v>
      </c>
      <c r="B768" s="76" t="str">
        <f>TiposLancamentos!B19</f>
        <v>Restaurantes</v>
      </c>
      <c r="C768" s="147" t="s">
        <v>6917</v>
      </c>
      <c r="D768" s="63"/>
      <c r="E768" s="231">
        <v>50</v>
      </c>
      <c r="F768" s="263"/>
      <c r="G768" s="154"/>
    </row>
    <row r="769" spans="1:7">
      <c r="A769" s="262">
        <v>40746</v>
      </c>
      <c r="B769" s="76" t="str">
        <f>TiposLancamentos!B5</f>
        <v>Supermercado</v>
      </c>
      <c r="C769" s="147" t="s">
        <v>5844</v>
      </c>
      <c r="D769" s="63"/>
      <c r="E769" s="231">
        <v>94.07</v>
      </c>
      <c r="F769" s="263"/>
      <c r="G769" s="154"/>
    </row>
    <row r="770" spans="1:7">
      <c r="A770" s="262">
        <v>40747</v>
      </c>
      <c r="B770" s="76" t="str">
        <f>TiposLancamentos!B5</f>
        <v>Supermercado</v>
      </c>
      <c r="C770" s="147" t="s">
        <v>5844</v>
      </c>
      <c r="D770" s="63"/>
      <c r="E770" s="231">
        <v>54.08</v>
      </c>
      <c r="F770" s="263"/>
      <c r="G770" s="154"/>
    </row>
    <row r="771" spans="1:7">
      <c r="A771" s="262">
        <v>40748</v>
      </c>
      <c r="B771" s="76" t="str">
        <f>TiposLancamentos!B17</f>
        <v>GATO</v>
      </c>
      <c r="C771" s="147" t="s">
        <v>23763</v>
      </c>
      <c r="D771" s="63"/>
      <c r="E771" s="231">
        <v>147.9</v>
      </c>
      <c r="F771" s="263"/>
      <c r="G771" s="154"/>
    </row>
    <row r="772" spans="1:7">
      <c r="A772" s="262">
        <v>40749</v>
      </c>
      <c r="B772" s="76" t="str">
        <f>TiposLancamentos!B72</f>
        <v>Presentes</v>
      </c>
      <c r="C772" s="147" t="s">
        <v>23764</v>
      </c>
      <c r="D772" s="63"/>
      <c r="E772" s="231">
        <f>979/5</f>
        <v>195.8</v>
      </c>
      <c r="F772" s="263"/>
      <c r="G772" s="154"/>
    </row>
    <row r="773" spans="1:7">
      <c r="A773" s="262">
        <v>40749</v>
      </c>
      <c r="B773" s="76" t="str">
        <f>TiposLancamentos!B57</f>
        <v>Informática</v>
      </c>
      <c r="C773" s="147" t="s">
        <v>23765</v>
      </c>
      <c r="D773" s="63"/>
      <c r="E773" s="231">
        <v>49.7</v>
      </c>
      <c r="F773" s="263"/>
      <c r="G773" s="154"/>
    </row>
    <row r="774" spans="1:7">
      <c r="A774" s="262">
        <v>40749</v>
      </c>
      <c r="B774" s="76" t="str">
        <f>TiposLancamentos!B16</f>
        <v>Cristiane</v>
      </c>
      <c r="C774" s="147" t="s">
        <v>23766</v>
      </c>
      <c r="D774" s="63"/>
      <c r="E774" s="231">
        <v>87</v>
      </c>
      <c r="F774" s="263"/>
      <c r="G774" s="154"/>
    </row>
    <row r="775" spans="1:7">
      <c r="A775" s="262">
        <v>40749</v>
      </c>
      <c r="B775" s="76" t="str">
        <f>TiposLancamentos!B19</f>
        <v>Restaurantes</v>
      </c>
      <c r="C775" s="147" t="s">
        <v>23767</v>
      </c>
      <c r="D775" s="63"/>
      <c r="E775" s="231">
        <v>35.58</v>
      </c>
      <c r="F775" s="263"/>
      <c r="G775" s="154"/>
    </row>
    <row r="776" spans="1:7">
      <c r="A776" s="262">
        <v>40749</v>
      </c>
      <c r="B776" s="76" t="str">
        <f>TiposLancamentos!B22</f>
        <v>Combustivel</v>
      </c>
      <c r="C776" s="147" t="s">
        <v>4404</v>
      </c>
      <c r="D776" s="63"/>
      <c r="E776" s="231">
        <v>81.03</v>
      </c>
      <c r="F776" s="263"/>
      <c r="G776" s="154"/>
    </row>
    <row r="777" spans="1:7">
      <c r="A777" s="262">
        <v>40719</v>
      </c>
      <c r="B777" s="76" t="str">
        <f>TiposLancamentos!B5</f>
        <v>Supermercado</v>
      </c>
      <c r="C777" s="147" t="s">
        <v>21954</v>
      </c>
      <c r="D777" s="63"/>
      <c r="E777" s="231">
        <v>62.72</v>
      </c>
      <c r="F777" s="263"/>
      <c r="G777" s="154"/>
    </row>
    <row r="778" spans="1:7">
      <c r="A778" s="262">
        <v>40750</v>
      </c>
      <c r="B778" s="76" t="str">
        <f>TiposLancamentos!B19</f>
        <v>Restaurantes</v>
      </c>
      <c r="C778" s="147" t="s">
        <v>23768</v>
      </c>
      <c r="D778" s="63"/>
      <c r="E778" s="231">
        <v>125.51</v>
      </c>
      <c r="F778" s="263"/>
      <c r="G778" s="154"/>
    </row>
    <row r="779" spans="1:7">
      <c r="A779" s="258"/>
      <c r="B779" s="259"/>
      <c r="C779" s="270" t="s">
        <v>4204</v>
      </c>
      <c r="D779" s="110"/>
      <c r="E779" s="260"/>
      <c r="F779" s="261">
        <f>SUM(E748:E764)</f>
        <v>1980.2300000000002</v>
      </c>
      <c r="G779" s="154"/>
    </row>
    <row r="780" spans="1:7">
      <c r="A780" s="262">
        <v>40756</v>
      </c>
      <c r="B780" s="76" t="str">
        <f>TiposLancamentos!B15</f>
        <v>Cartões de Crédito</v>
      </c>
      <c r="C780" s="147" t="s">
        <v>14126</v>
      </c>
      <c r="D780" s="63">
        <v>1980.23</v>
      </c>
      <c r="E780" s="231"/>
      <c r="F780" s="263">
        <f>F779-F752</f>
        <v>-1058.6500071000003</v>
      </c>
      <c r="G780" s="154"/>
    </row>
    <row r="781" spans="1:7">
      <c r="A781" s="262">
        <v>40756</v>
      </c>
      <c r="B781" s="76" t="str">
        <f>TiposLancamentos!B64</f>
        <v>Viagens</v>
      </c>
      <c r="C781" s="147" t="s">
        <v>23769</v>
      </c>
      <c r="D781" s="63"/>
      <c r="E781" s="231">
        <v>489.56</v>
      </c>
      <c r="F781" s="263"/>
      <c r="G781" s="154"/>
    </row>
    <row r="782" spans="1:7">
      <c r="A782" s="262">
        <v>40757</v>
      </c>
      <c r="B782" s="76" t="str">
        <f>TiposLancamentos!B57</f>
        <v>Informática</v>
      </c>
      <c r="C782" s="147" t="s">
        <v>23770</v>
      </c>
      <c r="D782" s="63"/>
      <c r="E782" s="231">
        <v>38.799999999999997</v>
      </c>
      <c r="F782" s="263"/>
      <c r="G782" s="154"/>
    </row>
    <row r="783" spans="1:7">
      <c r="A783" s="150">
        <v>40759</v>
      </c>
      <c r="B783" s="125" t="str">
        <f>TiposLancamentos!B19</f>
        <v>Restaurantes</v>
      </c>
      <c r="C783" s="139" t="s">
        <v>5914</v>
      </c>
      <c r="D783" s="51"/>
      <c r="E783" s="151">
        <v>15.8</v>
      </c>
      <c r="F783" s="263"/>
      <c r="G783" s="154"/>
    </row>
    <row r="784" spans="1:7">
      <c r="A784" s="262">
        <v>40759</v>
      </c>
      <c r="B784" s="76" t="str">
        <f>TiposLancamentos!B72</f>
        <v>Presentes</v>
      </c>
      <c r="C784" s="147" t="s">
        <v>23771</v>
      </c>
      <c r="D784" s="63"/>
      <c r="E784" s="231">
        <v>16.25</v>
      </c>
      <c r="F784" s="263" t="s">
        <v>23772</v>
      </c>
      <c r="G784" s="154"/>
    </row>
    <row r="785" spans="1:7">
      <c r="A785" s="262">
        <v>40760</v>
      </c>
      <c r="B785" s="76" t="str">
        <f>TiposLancamentos!B26</f>
        <v>LIVROS</v>
      </c>
      <c r="C785" s="147" t="s">
        <v>23773</v>
      </c>
      <c r="D785" s="63"/>
      <c r="E785" s="231">
        <v>68.7</v>
      </c>
      <c r="F785" s="263"/>
      <c r="G785" s="154"/>
    </row>
    <row r="786" spans="1:7">
      <c r="A786" s="262">
        <v>40764</v>
      </c>
      <c r="B786" s="76" t="str">
        <f>TiposLancamentos!B16</f>
        <v>Cristiane</v>
      </c>
      <c r="C786" s="147" t="s">
        <v>23774</v>
      </c>
      <c r="D786" s="63"/>
      <c r="E786" s="231">
        <v>175.66</v>
      </c>
      <c r="F786" s="263"/>
      <c r="G786" s="154"/>
    </row>
    <row r="787" spans="1:7">
      <c r="A787" s="262">
        <v>40766</v>
      </c>
      <c r="B787" s="76" t="str">
        <f>TiposLancamentos!B71</f>
        <v>Itens Pessoais</v>
      </c>
      <c r="C787" s="147" t="s">
        <v>23775</v>
      </c>
      <c r="D787" s="63"/>
      <c r="E787" s="231">
        <f>1299/6</f>
        <v>216.5</v>
      </c>
      <c r="F787" s="263"/>
      <c r="G787" s="154"/>
    </row>
    <row r="788" spans="1:7">
      <c r="A788" s="262">
        <v>40767</v>
      </c>
      <c r="B788" s="76" t="str">
        <f>TiposLancamentos!B13</f>
        <v>Moradia</v>
      </c>
      <c r="C788" s="147" t="s">
        <v>23776</v>
      </c>
      <c r="D788" s="63"/>
      <c r="E788" s="231">
        <v>539</v>
      </c>
      <c r="F788" s="263"/>
      <c r="G788" s="154"/>
    </row>
    <row r="789" spans="1:7">
      <c r="A789" s="262">
        <v>40769</v>
      </c>
      <c r="B789" s="76" t="str">
        <f>TiposLancamentos!B57</f>
        <v>Informática</v>
      </c>
      <c r="C789" s="147" t="s">
        <v>23777</v>
      </c>
      <c r="D789" s="63"/>
      <c r="E789" s="231">
        <v>139.87</v>
      </c>
      <c r="F789" s="263"/>
      <c r="G789" s="154"/>
    </row>
    <row r="790" spans="1:7">
      <c r="A790" s="289">
        <v>40770</v>
      </c>
      <c r="B790" s="295" t="str">
        <f>TiposLancamentos!B16</f>
        <v>Cristiane</v>
      </c>
      <c r="C790" s="291" t="s">
        <v>23778</v>
      </c>
      <c r="D790" s="292"/>
      <c r="E790" s="293">
        <v>72.28</v>
      </c>
      <c r="F790" s="294" t="s">
        <v>23779</v>
      </c>
      <c r="G790" s="154"/>
    </row>
    <row r="791" spans="1:7">
      <c r="A791" s="289">
        <v>40772</v>
      </c>
      <c r="B791" s="295" t="str">
        <f>TiposLancamentos!B16</f>
        <v>Cristiane</v>
      </c>
      <c r="C791" s="291" t="s">
        <v>6052</v>
      </c>
      <c r="D791" s="292"/>
      <c r="E791" s="293">
        <v>65.58</v>
      </c>
      <c r="F791" s="294"/>
      <c r="G791" s="154"/>
    </row>
    <row r="792" spans="1:7">
      <c r="A792" s="262">
        <v>40775</v>
      </c>
      <c r="B792" s="76" t="str">
        <f>TiposLancamentos!B4</f>
        <v>Taxas Bancarias</v>
      </c>
      <c r="C792" s="147" t="s">
        <v>23780</v>
      </c>
      <c r="D792" s="63"/>
      <c r="E792" s="231">
        <v>4.4800000000000004</v>
      </c>
      <c r="F792" s="263"/>
      <c r="G792" s="154"/>
    </row>
    <row r="793" spans="1:7">
      <c r="A793" s="264"/>
      <c r="B793" s="226"/>
      <c r="C793" s="227" t="s">
        <v>10</v>
      </c>
      <c r="D793" s="228"/>
      <c r="E793" s="228"/>
      <c r="F793" s="273"/>
      <c r="G793" s="154"/>
    </row>
    <row r="794" spans="1:7">
      <c r="A794" s="262">
        <v>40776</v>
      </c>
      <c r="B794" s="76" t="str">
        <f>TiposLancamentos!B13</f>
        <v>Moradia</v>
      </c>
      <c r="C794" s="147" t="s">
        <v>23781</v>
      </c>
      <c r="D794" s="63"/>
      <c r="E794" s="231">
        <v>270.5</v>
      </c>
      <c r="F794" s="263"/>
      <c r="G794" s="154"/>
    </row>
    <row r="795" spans="1:7">
      <c r="A795" s="262">
        <v>40776</v>
      </c>
      <c r="B795" s="76" t="str">
        <f>TiposLancamentos!B19</f>
        <v>Restaurantes</v>
      </c>
      <c r="C795" s="147" t="s">
        <v>23782</v>
      </c>
      <c r="D795" s="63"/>
      <c r="E795" s="231">
        <v>74.58</v>
      </c>
      <c r="F795" s="263"/>
      <c r="G795" s="154"/>
    </row>
    <row r="796" spans="1:7">
      <c r="A796" s="262">
        <v>40776</v>
      </c>
      <c r="B796" s="76" t="str">
        <f>TiposLancamentos!B13</f>
        <v>Moradia</v>
      </c>
      <c r="C796" s="147" t="s">
        <v>23783</v>
      </c>
      <c r="D796" s="63"/>
      <c r="E796" s="231">
        <v>135</v>
      </c>
      <c r="F796" s="263"/>
      <c r="G796" s="154"/>
    </row>
    <row r="797" spans="1:7">
      <c r="A797" s="262">
        <v>40777</v>
      </c>
      <c r="B797" s="76" t="str">
        <f>TiposLancamentos!B31</f>
        <v>Action Figures</v>
      </c>
      <c r="C797" s="147" t="s">
        <v>830</v>
      </c>
      <c r="D797" s="63"/>
      <c r="E797" s="231">
        <v>199.82</v>
      </c>
      <c r="F797" s="263" t="s">
        <v>23784</v>
      </c>
      <c r="G797" s="154"/>
    </row>
    <row r="798" spans="1:7">
      <c r="A798" s="289">
        <v>40777</v>
      </c>
      <c r="B798" s="295" t="str">
        <f>TiposLancamentos!B5</f>
        <v>Supermercado</v>
      </c>
      <c r="C798" s="291" t="s">
        <v>10663</v>
      </c>
      <c r="D798" s="292"/>
      <c r="E798" s="293">
        <v>52.57</v>
      </c>
      <c r="F798" s="294"/>
      <c r="G798" s="154"/>
    </row>
    <row r="799" spans="1:7">
      <c r="A799" s="262">
        <v>40778</v>
      </c>
      <c r="B799" s="76" t="str">
        <f>TiposLancamentos!B31</f>
        <v>Action Figures</v>
      </c>
      <c r="C799" s="147" t="s">
        <v>854</v>
      </c>
      <c r="D799" s="63"/>
      <c r="E799" s="231">
        <v>196.59</v>
      </c>
      <c r="F799" s="263" t="s">
        <v>23785</v>
      </c>
      <c r="G799" s="154"/>
    </row>
    <row r="800" spans="1:7">
      <c r="A800" s="262">
        <v>40779</v>
      </c>
      <c r="B800" s="76" t="str">
        <f>TiposLancamentos!B16</f>
        <v>Cristiane</v>
      </c>
      <c r="C800" s="147" t="s">
        <v>23786</v>
      </c>
      <c r="D800" s="63"/>
      <c r="E800" s="231">
        <v>200</v>
      </c>
      <c r="F800" s="263"/>
      <c r="G800" s="154"/>
    </row>
    <row r="801" spans="1:7">
      <c r="A801" s="262">
        <v>40779</v>
      </c>
      <c r="B801" s="76" t="str">
        <f>TiposLancamentos!B19</f>
        <v>Restaurantes</v>
      </c>
      <c r="C801" s="147" t="s">
        <v>3755</v>
      </c>
      <c r="D801" s="63"/>
      <c r="E801" s="231">
        <v>32.76</v>
      </c>
      <c r="F801" s="263"/>
      <c r="G801" s="154"/>
    </row>
    <row r="802" spans="1:7">
      <c r="A802" s="262">
        <v>40780</v>
      </c>
      <c r="B802" s="76" t="str">
        <f>TiposLancamentos!B72</f>
        <v>Presentes</v>
      </c>
      <c r="C802" s="147" t="s">
        <v>23787</v>
      </c>
      <c r="D802" s="63"/>
      <c r="E802" s="231">
        <f>979/5</f>
        <v>195.8</v>
      </c>
      <c r="F802" s="263"/>
      <c r="G802" s="154"/>
    </row>
    <row r="803" spans="1:7">
      <c r="A803" s="262">
        <v>40780</v>
      </c>
      <c r="B803" s="76" t="str">
        <f>TiposLancamentos!B19</f>
        <v>Restaurantes</v>
      </c>
      <c r="C803" s="147" t="s">
        <v>23788</v>
      </c>
      <c r="D803" s="63"/>
      <c r="E803" s="231">
        <v>42.68</v>
      </c>
      <c r="F803" s="263"/>
      <c r="G803" s="154"/>
    </row>
    <row r="804" spans="1:7">
      <c r="A804" s="262">
        <v>40780</v>
      </c>
      <c r="B804" s="76" t="str">
        <f>TiposLancamentos!B71</f>
        <v>Itens Pessoais</v>
      </c>
      <c r="C804" s="147" t="s">
        <v>23789</v>
      </c>
      <c r="D804" s="63"/>
      <c r="E804" s="231">
        <v>24.05</v>
      </c>
      <c r="F804" s="263"/>
      <c r="G804" s="154"/>
    </row>
    <row r="805" spans="1:7">
      <c r="A805" s="262">
        <v>40780</v>
      </c>
      <c r="B805" s="76" t="str">
        <f>TiposLancamentos!B19</f>
        <v>Restaurantes</v>
      </c>
      <c r="C805" s="147" t="s">
        <v>23790</v>
      </c>
      <c r="D805" s="63"/>
      <c r="E805" s="231">
        <v>137.5</v>
      </c>
      <c r="F805" s="263"/>
    </row>
    <row r="806" spans="1:7">
      <c r="A806" s="289">
        <v>40781</v>
      </c>
      <c r="B806" s="295" t="str">
        <f>TiposLancamentos!B16</f>
        <v>Cristiane</v>
      </c>
      <c r="C806" s="291" t="s">
        <v>23791</v>
      </c>
      <c r="D806" s="292"/>
      <c r="E806" s="293">
        <v>60.91</v>
      </c>
      <c r="F806" s="294"/>
    </row>
    <row r="807" spans="1:7">
      <c r="A807" s="289">
        <v>40781</v>
      </c>
      <c r="B807" s="295" t="str">
        <f>TiposLancamentos!B16</f>
        <v>Cristiane</v>
      </c>
      <c r="C807" s="291" t="s">
        <v>23602</v>
      </c>
      <c r="D807" s="292"/>
      <c r="E807" s="293">
        <v>129.69999999999999</v>
      </c>
      <c r="F807" s="294"/>
    </row>
    <row r="808" spans="1:7">
      <c r="A808" s="289">
        <v>40781</v>
      </c>
      <c r="B808" s="295" t="str">
        <f>TiposLancamentos!B16</f>
        <v>Cristiane</v>
      </c>
      <c r="C808" s="291" t="s">
        <v>23792</v>
      </c>
      <c r="D808" s="292"/>
      <c r="E808" s="293">
        <v>179</v>
      </c>
      <c r="F808" s="294"/>
    </row>
    <row r="809" spans="1:7">
      <c r="A809" s="262">
        <v>40781</v>
      </c>
      <c r="B809" s="76" t="str">
        <f>TiposLancamentos!B56</f>
        <v>Farmácia</v>
      </c>
      <c r="C809" s="147" t="s">
        <v>6118</v>
      </c>
      <c r="D809" s="63"/>
      <c r="E809" s="231">
        <v>101.2</v>
      </c>
      <c r="F809" s="263"/>
      <c r="G809" s="154"/>
    </row>
    <row r="810" spans="1:7">
      <c r="A810" s="262">
        <v>40781</v>
      </c>
      <c r="B810" s="76" t="str">
        <f>TiposLancamentos!B19</f>
        <v>Restaurantes</v>
      </c>
      <c r="C810" s="147" t="s">
        <v>23793</v>
      </c>
      <c r="D810" s="63"/>
      <c r="E810" s="231">
        <v>26.81</v>
      </c>
      <c r="F810" s="263"/>
      <c r="G810" s="154"/>
    </row>
    <row r="811" spans="1:7">
      <c r="A811" s="262">
        <v>40781</v>
      </c>
      <c r="B811" s="76" t="str">
        <f>TiposLancamentos!B71</f>
        <v>Itens Pessoais</v>
      </c>
      <c r="C811" s="147" t="s">
        <v>5611</v>
      </c>
      <c r="D811" s="63"/>
      <c r="E811" s="231">
        <v>20</v>
      </c>
      <c r="F811" s="263"/>
      <c r="G811" s="154"/>
    </row>
    <row r="812" spans="1:7">
      <c r="A812" s="258"/>
      <c r="B812" s="259"/>
      <c r="C812" s="270" t="s">
        <v>23794</v>
      </c>
      <c r="D812" s="110"/>
      <c r="E812" s="260"/>
      <c r="F812" s="261">
        <f>SUM(E766:E792)</f>
        <v>3015.39</v>
      </c>
      <c r="G812" s="154"/>
    </row>
    <row r="813" spans="1:7">
      <c r="A813" s="262">
        <v>40787</v>
      </c>
      <c r="B813" s="76" t="str">
        <f>TiposLancamentos!B15</f>
        <v>Cartões de Crédito</v>
      </c>
      <c r="C813" s="147" t="s">
        <v>14126</v>
      </c>
      <c r="D813" s="63">
        <v>3015.39</v>
      </c>
      <c r="E813" s="231"/>
      <c r="F813" s="263">
        <f>F812-F779</f>
        <v>1035.1599999999996</v>
      </c>
      <c r="G813" s="154"/>
    </row>
    <row r="814" spans="1:7">
      <c r="A814" s="262">
        <v>40787</v>
      </c>
      <c r="B814" s="76" t="str">
        <f>TiposLancamentos!B64</f>
        <v>Viagens</v>
      </c>
      <c r="C814" s="147" t="s">
        <v>23795</v>
      </c>
      <c r="D814" s="63"/>
      <c r="E814" s="231">
        <v>489.56</v>
      </c>
      <c r="F814" s="263"/>
      <c r="G814" s="154"/>
    </row>
    <row r="815" spans="1:7">
      <c r="A815" s="262">
        <v>40787</v>
      </c>
      <c r="B815" s="76" t="str">
        <f>TiposLancamentos!B72</f>
        <v>Presentes</v>
      </c>
      <c r="C815" s="147" t="s">
        <v>23796</v>
      </c>
      <c r="D815" s="63"/>
      <c r="E815" s="231">
        <v>250.16</v>
      </c>
      <c r="F815" s="263"/>
      <c r="G815" s="154"/>
    </row>
    <row r="816" spans="1:7">
      <c r="A816" s="262">
        <v>40787</v>
      </c>
      <c r="B816" s="76" t="str">
        <f>TiposLancamentos!B4</f>
        <v>Taxas Bancarias</v>
      </c>
      <c r="C816" s="147" t="s">
        <v>19457</v>
      </c>
      <c r="D816" s="63">
        <v>0.4</v>
      </c>
      <c r="E816" s="231"/>
      <c r="F816" s="263"/>
      <c r="G816" s="154"/>
    </row>
    <row r="817" spans="1:7">
      <c r="A817" s="262">
        <v>40791</v>
      </c>
      <c r="B817" s="76" t="str">
        <f>TiposLancamentos!B100</f>
        <v>Emprestimos</v>
      </c>
      <c r="C817" s="147" t="s">
        <v>23797</v>
      </c>
      <c r="D817" s="63"/>
      <c r="E817" s="231">
        <v>87</v>
      </c>
      <c r="F817" s="263"/>
      <c r="G817" s="154"/>
    </row>
    <row r="818" spans="1:7">
      <c r="A818" s="289">
        <v>40792</v>
      </c>
      <c r="B818" s="295" t="str">
        <f>TiposLancamentos!B16</f>
        <v>Cristiane</v>
      </c>
      <c r="C818" s="291" t="s">
        <v>23798</v>
      </c>
      <c r="D818" s="292"/>
      <c r="E818" s="293">
        <v>96.7</v>
      </c>
      <c r="F818" s="294"/>
      <c r="G818" s="154"/>
    </row>
    <row r="819" spans="1:7">
      <c r="A819" s="262">
        <v>40797</v>
      </c>
      <c r="B819" s="76" t="str">
        <f>TiposLancamentos!B71</f>
        <v>Itens Pessoais</v>
      </c>
      <c r="C819" s="147" t="s">
        <v>23799</v>
      </c>
      <c r="D819" s="63"/>
      <c r="E819" s="231">
        <f>1299/6</f>
        <v>216.5</v>
      </c>
      <c r="F819" s="263"/>
      <c r="G819" s="154"/>
    </row>
    <row r="820" spans="1:7">
      <c r="A820" s="289">
        <v>40799</v>
      </c>
      <c r="B820" s="295" t="str">
        <f>TiposLancamentos!B5</f>
        <v>Supermercado</v>
      </c>
      <c r="C820" s="291" t="s">
        <v>23800</v>
      </c>
      <c r="D820" s="292"/>
      <c r="E820" s="293">
        <v>107.4</v>
      </c>
      <c r="F820" s="294"/>
      <c r="G820" s="154"/>
    </row>
    <row r="821" spans="1:7">
      <c r="A821" s="299">
        <v>40800</v>
      </c>
      <c r="B821" s="295" t="str">
        <f>TiposLancamentos!B16</f>
        <v>Cristiane</v>
      </c>
      <c r="C821" s="291" t="s">
        <v>23801</v>
      </c>
      <c r="D821" s="292"/>
      <c r="E821" s="293">
        <v>90.42</v>
      </c>
      <c r="F821" s="294"/>
      <c r="G821" s="154"/>
    </row>
    <row r="822" spans="1:7">
      <c r="A822" s="299">
        <v>40801</v>
      </c>
      <c r="B822" s="295" t="str">
        <f>TiposLancamentos!B16</f>
        <v>Cristiane</v>
      </c>
      <c r="C822" s="291" t="s">
        <v>23802</v>
      </c>
      <c r="D822" s="292"/>
      <c r="E822" s="293">
        <v>77.12</v>
      </c>
      <c r="F822" s="294"/>
      <c r="G822" s="154"/>
    </row>
    <row r="823" spans="1:7">
      <c r="A823" s="262">
        <v>40800</v>
      </c>
      <c r="B823" s="76" t="str">
        <f>TiposLancamentos!B57</f>
        <v>Informática</v>
      </c>
      <c r="C823" s="147" t="s">
        <v>23803</v>
      </c>
      <c r="D823" s="63"/>
      <c r="E823" s="231">
        <v>139.87</v>
      </c>
      <c r="F823" s="263"/>
      <c r="G823" s="154"/>
    </row>
    <row r="824" spans="1:7">
      <c r="A824" s="289">
        <v>40802</v>
      </c>
      <c r="B824" s="295" t="str">
        <f>TiposLancamentos!B16</f>
        <v>Cristiane</v>
      </c>
      <c r="C824" s="291" t="s">
        <v>23804</v>
      </c>
      <c r="D824" s="292"/>
      <c r="E824" s="293">
        <v>180</v>
      </c>
      <c r="F824" s="294"/>
      <c r="G824" s="154"/>
    </row>
    <row r="825" spans="1:7">
      <c r="A825" s="264"/>
      <c r="B825" s="226"/>
      <c r="C825" s="227" t="s">
        <v>10</v>
      </c>
      <c r="D825" s="228"/>
      <c r="E825" s="228"/>
      <c r="F825" s="273"/>
      <c r="G825" s="154"/>
    </row>
    <row r="826" spans="1:7">
      <c r="A826" s="289">
        <v>40809</v>
      </c>
      <c r="B826" s="295" t="str">
        <f>TiposLancamentos!B5</f>
        <v>Supermercado</v>
      </c>
      <c r="C826" s="291" t="s">
        <v>23805</v>
      </c>
      <c r="D826" s="292"/>
      <c r="E826" s="293">
        <v>130.29</v>
      </c>
      <c r="F826" s="294"/>
      <c r="G826" s="154"/>
    </row>
    <row r="827" spans="1:7">
      <c r="A827" s="262">
        <v>40811</v>
      </c>
      <c r="B827" s="76" t="str">
        <f>TiposLancamentos!B72</f>
        <v>Presentes</v>
      </c>
      <c r="C827" s="147" t="s">
        <v>23806</v>
      </c>
      <c r="D827" s="63"/>
      <c r="E827" s="231">
        <f>979/5</f>
        <v>195.8</v>
      </c>
      <c r="F827" s="263"/>
      <c r="G827" s="154"/>
    </row>
    <row r="828" spans="1:7">
      <c r="A828" s="262">
        <v>40812</v>
      </c>
      <c r="B828" s="76" t="str">
        <f>TiposLancamentos!B98</f>
        <v>Restituições</v>
      </c>
      <c r="C828" s="147" t="s">
        <v>23796</v>
      </c>
      <c r="D828" s="63">
        <v>250.16</v>
      </c>
      <c r="E828" s="231">
        <v>0</v>
      </c>
      <c r="F828" s="263"/>
      <c r="G828" s="154"/>
    </row>
    <row r="829" spans="1:7">
      <c r="A829" s="299">
        <v>40814</v>
      </c>
      <c r="B829" s="295" t="str">
        <f>TiposLancamentos!B16</f>
        <v>Cristiane</v>
      </c>
      <c r="C829" s="291" t="s">
        <v>23807</v>
      </c>
      <c r="D829" s="292"/>
      <c r="E829" s="293">
        <v>291.32</v>
      </c>
      <c r="F829" s="294"/>
      <c r="G829" s="154"/>
    </row>
    <row r="830" spans="1:7">
      <c r="A830" s="258"/>
      <c r="B830" s="259"/>
      <c r="C830" s="270" t="s">
        <v>4223</v>
      </c>
      <c r="D830" s="110"/>
      <c r="E830" s="260"/>
      <c r="F830" s="261">
        <f>SUM(E794:E824)</f>
        <v>3814.2</v>
      </c>
      <c r="G830" s="154"/>
    </row>
    <row r="831" spans="1:7">
      <c r="A831" s="262">
        <v>40817</v>
      </c>
      <c r="B831" s="76" t="str">
        <f>TiposLancamentos!B64</f>
        <v>Viagens</v>
      </c>
      <c r="C831" s="147" t="s">
        <v>23808</v>
      </c>
      <c r="D831" s="63"/>
      <c r="E831" s="231">
        <v>489.56</v>
      </c>
      <c r="F831" s="263"/>
      <c r="G831" s="154"/>
    </row>
    <row r="832" spans="1:7">
      <c r="A832" s="262">
        <v>40819</v>
      </c>
      <c r="B832" s="76" t="str">
        <f>TiposLancamentos!B15</f>
        <v>Cartões de Crédito</v>
      </c>
      <c r="C832" s="147" t="s">
        <v>14126</v>
      </c>
      <c r="D832" s="63">
        <v>3813.8</v>
      </c>
      <c r="E832" s="231"/>
      <c r="F832" s="263"/>
      <c r="G832" s="154"/>
    </row>
    <row r="833" spans="1:7">
      <c r="A833" s="289">
        <v>40820</v>
      </c>
      <c r="B833" s="295" t="str">
        <f>TiposLancamentos!B5</f>
        <v>Supermercado</v>
      </c>
      <c r="C833" s="291" t="s">
        <v>6201</v>
      </c>
      <c r="D833" s="292"/>
      <c r="E833" s="293">
        <v>76.17</v>
      </c>
      <c r="F833" s="294"/>
      <c r="G833" s="154"/>
    </row>
    <row r="834" spans="1:7">
      <c r="A834" s="299">
        <v>40822</v>
      </c>
      <c r="B834" s="295" t="str">
        <f>TiposLancamentos!B16</f>
        <v>Cristiane</v>
      </c>
      <c r="C834" s="291" t="s">
        <v>23809</v>
      </c>
      <c r="D834" s="292"/>
      <c r="E834" s="293">
        <v>57.39</v>
      </c>
      <c r="F834" s="294"/>
      <c r="G834" s="154"/>
    </row>
    <row r="835" spans="1:7">
      <c r="A835" s="299">
        <v>40823</v>
      </c>
      <c r="B835" s="295" t="str">
        <f>TiposLancamentos!B5</f>
        <v>Supermercado</v>
      </c>
      <c r="C835" s="291" t="s">
        <v>6201</v>
      </c>
      <c r="D835" s="292"/>
      <c r="E835" s="293">
        <v>67.72</v>
      </c>
      <c r="F835" s="294"/>
      <c r="G835" s="154"/>
    </row>
    <row r="836" spans="1:7">
      <c r="A836" s="262">
        <v>40827</v>
      </c>
      <c r="B836" s="76" t="str">
        <f>TiposLancamentos!B71</f>
        <v>Itens Pessoais</v>
      </c>
      <c r="C836" s="147" t="s">
        <v>23810</v>
      </c>
      <c r="D836" s="63"/>
      <c r="E836" s="231">
        <f>1299/6</f>
        <v>216.5</v>
      </c>
      <c r="F836" s="263"/>
      <c r="G836" s="154"/>
    </row>
    <row r="837" spans="1:7">
      <c r="A837" s="262">
        <v>40830</v>
      </c>
      <c r="B837" s="76" t="str">
        <f>TiposLancamentos!B57</f>
        <v>Informática</v>
      </c>
      <c r="C837" s="147" t="s">
        <v>23811</v>
      </c>
      <c r="D837" s="63"/>
      <c r="E837" s="231">
        <v>139.87</v>
      </c>
      <c r="F837" s="263"/>
      <c r="G837" s="154"/>
    </row>
    <row r="838" spans="1:7">
      <c r="A838" s="264"/>
      <c r="B838" s="226"/>
      <c r="C838" s="227" t="s">
        <v>10</v>
      </c>
      <c r="D838" s="228"/>
      <c r="E838" s="228"/>
      <c r="F838" s="273"/>
      <c r="G838" s="154"/>
    </row>
    <row r="839" spans="1:7">
      <c r="A839" s="150">
        <v>40838</v>
      </c>
      <c r="B839" s="125" t="str">
        <f>TiposLancamentos!B31</f>
        <v>Action Figures</v>
      </c>
      <c r="C839" s="139" t="s">
        <v>23812</v>
      </c>
      <c r="D839" s="51"/>
      <c r="E839" s="151">
        <v>188.9</v>
      </c>
      <c r="F839" s="263"/>
    </row>
    <row r="840" spans="1:7">
      <c r="A840" s="299">
        <v>40841</v>
      </c>
      <c r="B840" s="295" t="str">
        <f>TiposLancamentos!B16</f>
        <v>Cristiane</v>
      </c>
      <c r="C840" s="291" t="s">
        <v>23813</v>
      </c>
      <c r="D840" s="292"/>
      <c r="E840" s="293">
        <v>64.34</v>
      </c>
      <c r="F840" s="294"/>
    </row>
    <row r="841" spans="1:7">
      <c r="A841" s="262">
        <v>40841</v>
      </c>
      <c r="B841" s="76" t="str">
        <f>TiposLancamentos!B16</f>
        <v>Cristiane</v>
      </c>
      <c r="C841" s="147" t="s">
        <v>23814</v>
      </c>
      <c r="D841" s="63"/>
      <c r="E841" s="231">
        <v>19.329999999999998</v>
      </c>
      <c r="F841" s="263"/>
    </row>
    <row r="842" spans="1:7">
      <c r="A842" s="299">
        <v>40841</v>
      </c>
      <c r="B842" s="295" t="str">
        <f>TiposLancamentos!B16</f>
        <v>Cristiane</v>
      </c>
      <c r="C842" s="291" t="s">
        <v>23815</v>
      </c>
      <c r="D842" s="292"/>
      <c r="E842" s="293">
        <v>59.45</v>
      </c>
      <c r="F842" s="294"/>
    </row>
    <row r="843" spans="1:7">
      <c r="A843" s="299">
        <v>40844</v>
      </c>
      <c r="B843" s="295" t="str">
        <f>TiposLancamentos!B16</f>
        <v>Cristiane</v>
      </c>
      <c r="C843" s="291" t="s">
        <v>3420</v>
      </c>
      <c r="D843" s="292"/>
      <c r="E843" s="293">
        <v>31.74</v>
      </c>
      <c r="F843" s="294"/>
      <c r="G843" s="154"/>
    </row>
    <row r="844" spans="1:7">
      <c r="A844" s="751"/>
      <c r="B844" s="752"/>
      <c r="C844" s="753" t="s">
        <v>4240</v>
      </c>
      <c r="D844" s="754"/>
      <c r="E844" s="755"/>
      <c r="F844" s="756">
        <f>SUM(E826:E837)-D828</f>
        <v>1414.4600000000003</v>
      </c>
      <c r="G844" s="154"/>
    </row>
    <row r="845" spans="1:7">
      <c r="A845" s="757">
        <v>40848</v>
      </c>
      <c r="B845" s="76" t="str">
        <f>TiposLancamentos!B15</f>
        <v>Cartões de Crédito</v>
      </c>
      <c r="C845" s="147" t="s">
        <v>15114</v>
      </c>
      <c r="D845" s="63">
        <v>1414.46</v>
      </c>
      <c r="E845" s="231"/>
      <c r="F845" s="758"/>
      <c r="G845" s="154"/>
    </row>
    <row r="846" spans="1:7">
      <c r="A846" s="757">
        <v>40848</v>
      </c>
      <c r="B846" s="76" t="str">
        <f>TiposLancamentos!B64</f>
        <v>Viagens</v>
      </c>
      <c r="C846" s="147" t="s">
        <v>23816</v>
      </c>
      <c r="D846" s="63"/>
      <c r="E846" s="231">
        <v>489.56</v>
      </c>
      <c r="F846" s="758"/>
      <c r="G846" s="154"/>
    </row>
    <row r="847" spans="1:7">
      <c r="A847" s="299">
        <v>40851</v>
      </c>
      <c r="B847" s="295" t="str">
        <f>TiposLancamentos!B16</f>
        <v>Cristiane</v>
      </c>
      <c r="C847" s="291" t="s">
        <v>16693</v>
      </c>
      <c r="D847" s="292"/>
      <c r="E847" s="293">
        <v>29.6</v>
      </c>
      <c r="F847" s="294"/>
      <c r="G847" s="154"/>
    </row>
    <row r="848" spans="1:7">
      <c r="A848" s="299">
        <v>40851</v>
      </c>
      <c r="B848" s="295" t="str">
        <f>TiposLancamentos!B5</f>
        <v>Supermercado</v>
      </c>
      <c r="C848" s="291" t="s">
        <v>23817</v>
      </c>
      <c r="D848" s="292"/>
      <c r="E848" s="293">
        <v>23.94</v>
      </c>
      <c r="F848" s="294"/>
      <c r="G848" s="154"/>
    </row>
    <row r="849" spans="1:7">
      <c r="A849" s="757">
        <v>40854</v>
      </c>
      <c r="B849" s="76" t="str">
        <f>TiposLancamentos!B31</f>
        <v>Action Figures</v>
      </c>
      <c r="C849" s="147" t="s">
        <v>23818</v>
      </c>
      <c r="D849" s="63"/>
      <c r="E849" s="231">
        <v>214.6</v>
      </c>
      <c r="F849" s="758"/>
      <c r="G849" s="154"/>
    </row>
    <row r="850" spans="1:7">
      <c r="A850" s="299">
        <v>40854</v>
      </c>
      <c r="B850" s="295" t="str">
        <f>TiposLancamentos!B5</f>
        <v>Supermercado</v>
      </c>
      <c r="C850" s="291" t="s">
        <v>5801</v>
      </c>
      <c r="D850" s="292"/>
      <c r="E850" s="293">
        <v>33.07</v>
      </c>
      <c r="F850" s="294"/>
      <c r="G850" s="154"/>
    </row>
    <row r="851" spans="1:7">
      <c r="A851" s="757">
        <v>40857</v>
      </c>
      <c r="B851" s="76" t="str">
        <f>TiposLancamentos!B70</f>
        <v>Vestuário</v>
      </c>
      <c r="C851" s="147" t="s">
        <v>2625</v>
      </c>
      <c r="D851" s="63"/>
      <c r="E851" s="231">
        <v>309.39999999999998</v>
      </c>
      <c r="F851" s="758"/>
      <c r="G851" s="154"/>
    </row>
    <row r="852" spans="1:7">
      <c r="A852" s="757">
        <v>40857</v>
      </c>
      <c r="B852" s="76" t="str">
        <f>TiposLancamentos!B45</f>
        <v>Online Services</v>
      </c>
      <c r="C852" s="147" t="s">
        <v>23819</v>
      </c>
      <c r="D852" s="63"/>
      <c r="E852" s="231">
        <v>24.85</v>
      </c>
      <c r="F852" s="758" t="s">
        <v>23820</v>
      </c>
      <c r="G852" s="154"/>
    </row>
    <row r="853" spans="1:7">
      <c r="A853" s="757">
        <v>40858</v>
      </c>
      <c r="B853" s="76" t="str">
        <f>TiposLancamentos!B16</f>
        <v>Cristiane</v>
      </c>
      <c r="C853" s="147" t="s">
        <v>23804</v>
      </c>
      <c r="D853" s="63"/>
      <c r="E853" s="231">
        <f>41.84+4.28</f>
        <v>46.120000000000005</v>
      </c>
      <c r="F853" s="758" t="s">
        <v>23821</v>
      </c>
      <c r="G853" s="154"/>
    </row>
    <row r="854" spans="1:7">
      <c r="A854" s="757">
        <v>40860</v>
      </c>
      <c r="B854" s="76" t="str">
        <f>TiposLancamentos!B57</f>
        <v>Informática</v>
      </c>
      <c r="C854" s="147" t="s">
        <v>23822</v>
      </c>
      <c r="D854" s="63"/>
      <c r="E854" s="231">
        <f>2.39+0.13</f>
        <v>2.52</v>
      </c>
      <c r="F854" s="758" t="s">
        <v>23823</v>
      </c>
      <c r="G854" s="154"/>
    </row>
    <row r="855" spans="1:7">
      <c r="A855" s="757">
        <v>40861</v>
      </c>
      <c r="B855" s="76" t="str">
        <f>TiposLancamentos!B57</f>
        <v>Informática</v>
      </c>
      <c r="C855" s="147" t="s">
        <v>23824</v>
      </c>
      <c r="D855" s="63"/>
      <c r="E855" s="231">
        <v>139.87</v>
      </c>
      <c r="F855" s="758"/>
      <c r="G855" s="154"/>
    </row>
    <row r="856" spans="1:7">
      <c r="A856" s="757">
        <v>40862</v>
      </c>
      <c r="B856" s="76" t="str">
        <f>TiposLancamentos!B57</f>
        <v>Informática</v>
      </c>
      <c r="C856" s="147" t="s">
        <v>23825</v>
      </c>
      <c r="D856" s="63"/>
      <c r="E856" s="231">
        <v>27.48</v>
      </c>
      <c r="F856" s="758" t="s">
        <v>23826</v>
      </c>
      <c r="G856" s="154"/>
    </row>
    <row r="857" spans="1:7">
      <c r="A857" s="299">
        <v>40864</v>
      </c>
      <c r="B857" s="295" t="str">
        <f>TiposLancamentos!B16</f>
        <v>Cristiane</v>
      </c>
      <c r="C857" s="291" t="s">
        <v>23827</v>
      </c>
      <c r="D857" s="292"/>
      <c r="E857" s="293">
        <v>98</v>
      </c>
      <c r="F857" s="294"/>
      <c r="G857" s="154"/>
    </row>
    <row r="858" spans="1:7">
      <c r="A858" s="299">
        <v>40864</v>
      </c>
      <c r="B858" s="295" t="str">
        <f>TiposLancamentos!B16</f>
        <v>Cristiane</v>
      </c>
      <c r="C858" s="291" t="s">
        <v>23828</v>
      </c>
      <c r="D858" s="292"/>
      <c r="E858" s="293">
        <v>53.55</v>
      </c>
      <c r="F858" s="294"/>
      <c r="G858" s="154"/>
    </row>
    <row r="859" spans="1:7">
      <c r="A859" s="299">
        <v>40864</v>
      </c>
      <c r="B859" s="295" t="str">
        <f>TiposLancamentos!B16</f>
        <v>Cristiane</v>
      </c>
      <c r="C859" s="291" t="s">
        <v>23829</v>
      </c>
      <c r="D859" s="292"/>
      <c r="E859" s="293">
        <v>53.2</v>
      </c>
      <c r="F859" s="294"/>
      <c r="G859" s="154"/>
    </row>
    <row r="860" spans="1:7">
      <c r="A860" s="759"/>
      <c r="B860" s="226"/>
      <c r="C860" s="227" t="s">
        <v>10</v>
      </c>
      <c r="D860" s="228"/>
      <c r="E860" s="228"/>
      <c r="F860" s="760"/>
      <c r="G860" s="154"/>
    </row>
    <row r="861" spans="1:7">
      <c r="A861" s="757">
        <v>40871</v>
      </c>
      <c r="B861" s="76" t="str">
        <f>TiposLancamentos!B16</f>
        <v>Cristiane</v>
      </c>
      <c r="C861" s="147" t="s">
        <v>23830</v>
      </c>
      <c r="D861" s="63"/>
      <c r="E861" s="231">
        <v>44.99</v>
      </c>
      <c r="F861" s="758"/>
      <c r="G861" s="154"/>
    </row>
    <row r="862" spans="1:7">
      <c r="A862" s="152">
        <v>40872</v>
      </c>
      <c r="B862" s="275" t="str">
        <f>TiposLancamentos!B3</f>
        <v>Internet</v>
      </c>
      <c r="C862" s="141" t="s">
        <v>23831</v>
      </c>
      <c r="D862" s="51"/>
      <c r="E862" s="142">
        <f>58/2</f>
        <v>29</v>
      </c>
      <c r="F862" s="758"/>
      <c r="G862" s="154"/>
    </row>
    <row r="863" spans="1:7">
      <c r="A863" s="152">
        <v>40872</v>
      </c>
      <c r="B863" s="275" t="str">
        <f>TiposLancamentos!B100</f>
        <v>Emprestimos</v>
      </c>
      <c r="C863" s="141" t="s">
        <v>23832</v>
      </c>
      <c r="D863" s="51"/>
      <c r="E863" s="142">
        <v>29</v>
      </c>
      <c r="F863" s="758">
        <f>SUM(E862:E863)</f>
        <v>58</v>
      </c>
      <c r="G863" s="154"/>
    </row>
    <row r="864" spans="1:7">
      <c r="A864" s="299">
        <v>40872</v>
      </c>
      <c r="B864" s="295" t="str">
        <f>TiposLancamentos!B16</f>
        <v>Cristiane</v>
      </c>
      <c r="C864" s="291" t="s">
        <v>23833</v>
      </c>
      <c r="D864" s="292"/>
      <c r="E864" s="293">
        <v>182.38</v>
      </c>
      <c r="F864" s="294"/>
      <c r="G864" s="154"/>
    </row>
    <row r="865" spans="1:7">
      <c r="A865" s="262">
        <v>40872</v>
      </c>
      <c r="B865" s="76" t="str">
        <f>TiposLancamentos!B16</f>
        <v>Cristiane</v>
      </c>
      <c r="C865" s="147" t="s">
        <v>23834</v>
      </c>
      <c r="D865" s="63"/>
      <c r="E865" s="231">
        <v>54.9</v>
      </c>
      <c r="F865" s="263"/>
      <c r="G865" s="154"/>
    </row>
    <row r="866" spans="1:7">
      <c r="A866" s="262">
        <v>40872</v>
      </c>
      <c r="B866" s="76" t="str">
        <f>TiposLancamentos!B45</f>
        <v>Online Services</v>
      </c>
      <c r="C866" s="147" t="s">
        <v>23835</v>
      </c>
      <c r="D866" s="63"/>
      <c r="E866" s="231">
        <v>19.600000000000001</v>
      </c>
      <c r="F866" s="263"/>
      <c r="G866" s="154"/>
    </row>
    <row r="867" spans="1:7">
      <c r="A867" s="748">
        <v>40874</v>
      </c>
      <c r="B867" s="125" t="str">
        <f>TiposLancamentos!B5</f>
        <v>Supermercado</v>
      </c>
      <c r="C867" s="139" t="s">
        <v>6234</v>
      </c>
      <c r="D867" s="51"/>
      <c r="E867" s="749">
        <v>91.87</v>
      </c>
      <c r="F867" s="263"/>
      <c r="G867" s="154"/>
    </row>
    <row r="868" spans="1:7">
      <c r="A868" s="262">
        <v>40877</v>
      </c>
      <c r="B868" s="76" t="str">
        <f>TiposLancamentos!B28</f>
        <v>ComicBook</v>
      </c>
      <c r="C868" s="147" t="s">
        <v>23836</v>
      </c>
      <c r="D868" s="63"/>
      <c r="E868" s="231">
        <v>102.8</v>
      </c>
      <c r="F868" s="263"/>
      <c r="G868" s="154"/>
    </row>
    <row r="869" spans="1:7">
      <c r="A869" s="751"/>
      <c r="B869" s="752"/>
      <c r="C869" s="753" t="s">
        <v>4245</v>
      </c>
      <c r="D869" s="754"/>
      <c r="E869" s="755"/>
      <c r="F869" s="756">
        <f>SUM(E839:E859)</f>
        <v>1909.5199999999995</v>
      </c>
      <c r="G869" s="154"/>
    </row>
    <row r="870" spans="1:7">
      <c r="A870" s="757">
        <v>40878</v>
      </c>
      <c r="B870" s="76" t="str">
        <f>TiposLancamentos!B15</f>
        <v>Cartões de Crédito</v>
      </c>
      <c r="C870" s="147" t="s">
        <v>16544</v>
      </c>
      <c r="D870" s="63">
        <v>1909.52</v>
      </c>
      <c r="E870" s="231"/>
      <c r="F870" s="758">
        <f>F869-F844</f>
        <v>495.05999999999926</v>
      </c>
      <c r="G870" s="154"/>
    </row>
    <row r="871" spans="1:7">
      <c r="A871" s="757">
        <v>40878</v>
      </c>
      <c r="B871" s="76" t="str">
        <f>TiposLancamentos!B98</f>
        <v>Restituições</v>
      </c>
      <c r="C871" s="147" t="s">
        <v>23837</v>
      </c>
      <c r="D871" s="63"/>
      <c r="E871" s="231">
        <v>1</v>
      </c>
      <c r="F871" s="758"/>
      <c r="G871" s="154"/>
    </row>
    <row r="872" spans="1:7">
      <c r="A872" s="757">
        <v>40878</v>
      </c>
      <c r="B872" s="76" t="str">
        <f>TiposLancamentos!B64</f>
        <v>Viagens</v>
      </c>
      <c r="C872" s="147" t="s">
        <v>23838</v>
      </c>
      <c r="D872" s="63"/>
      <c r="E872" s="231">
        <v>489.56</v>
      </c>
      <c r="F872" s="758"/>
      <c r="G872" s="154"/>
    </row>
    <row r="873" spans="1:7">
      <c r="A873" s="299">
        <v>40878</v>
      </c>
      <c r="B873" s="295" t="str">
        <f>TiposLancamentos!B5</f>
        <v>Supermercado</v>
      </c>
      <c r="C873" s="291" t="s">
        <v>23839</v>
      </c>
      <c r="D873" s="292"/>
      <c r="E873" s="293">
        <v>82.1</v>
      </c>
      <c r="F873" s="294"/>
      <c r="G873" s="154"/>
    </row>
    <row r="874" spans="1:7">
      <c r="A874" s="757">
        <v>40879</v>
      </c>
      <c r="B874" s="76" t="str">
        <f>TiposLancamentos!B16</f>
        <v>Cristiane</v>
      </c>
      <c r="C874" s="147" t="s">
        <v>23840</v>
      </c>
      <c r="D874" s="63"/>
      <c r="E874" s="231">
        <v>71.400000000000006</v>
      </c>
      <c r="F874" s="758"/>
      <c r="G874" s="154"/>
    </row>
    <row r="875" spans="1:7">
      <c r="A875" s="152">
        <v>40879</v>
      </c>
      <c r="B875" s="275" t="str">
        <f>TiposLancamentos!B19</f>
        <v>Restaurantes</v>
      </c>
      <c r="C875" s="141" t="s">
        <v>23841</v>
      </c>
      <c r="D875" s="51"/>
      <c r="E875" s="142">
        <f>F876-E876</f>
        <v>135.63</v>
      </c>
      <c r="F875" s="758"/>
      <c r="G875" s="154"/>
    </row>
    <row r="876" spans="1:7">
      <c r="A876" s="152">
        <v>40879</v>
      </c>
      <c r="B876" s="275" t="str">
        <f>TiposLancamentos!B24</f>
        <v>Estacionamentos</v>
      </c>
      <c r="C876" s="141" t="s">
        <v>23842</v>
      </c>
      <c r="D876" s="51"/>
      <c r="E876" s="142">
        <v>16</v>
      </c>
      <c r="F876" s="758">
        <v>151.63</v>
      </c>
      <c r="G876" s="154"/>
    </row>
    <row r="877" spans="1:7">
      <c r="A877" s="757">
        <v>40880</v>
      </c>
      <c r="B877" s="76" t="str">
        <f>TiposLancamentos!B5</f>
        <v>Supermercado</v>
      </c>
      <c r="C877" s="147" t="s">
        <v>23560</v>
      </c>
      <c r="D877" s="63"/>
      <c r="E877" s="231">
        <v>28.16</v>
      </c>
      <c r="F877" s="758"/>
      <c r="G877" s="154"/>
    </row>
    <row r="878" spans="1:7">
      <c r="A878" s="757">
        <v>40882</v>
      </c>
      <c r="B878" s="76" t="str">
        <f>TiposLancamentos!B22</f>
        <v>Combustivel</v>
      </c>
      <c r="C878" s="147" t="s">
        <v>5961</v>
      </c>
      <c r="D878" s="63"/>
      <c r="E878" s="231">
        <v>132.63</v>
      </c>
      <c r="F878" s="758"/>
      <c r="G878" s="154"/>
    </row>
    <row r="879" spans="1:7">
      <c r="A879" s="757">
        <v>40882</v>
      </c>
      <c r="B879" s="76" t="str">
        <f>TiposLancamentos!B5</f>
        <v>Supermercado</v>
      </c>
      <c r="C879" s="147" t="s">
        <v>23560</v>
      </c>
      <c r="D879" s="63"/>
      <c r="E879" s="231">
        <v>73.569999999999993</v>
      </c>
      <c r="F879" s="758"/>
      <c r="G879" s="154"/>
    </row>
    <row r="880" spans="1:7">
      <c r="A880" s="757">
        <v>40883</v>
      </c>
      <c r="B880" s="76" t="str">
        <f>TiposLancamentos!B72</f>
        <v>Presentes</v>
      </c>
      <c r="C880" s="147" t="s">
        <v>23843</v>
      </c>
      <c r="D880" s="63"/>
      <c r="E880" s="231">
        <v>84.99</v>
      </c>
      <c r="F880" s="758"/>
      <c r="G880" s="154"/>
    </row>
    <row r="881" spans="1:7">
      <c r="A881" s="757">
        <v>40884</v>
      </c>
      <c r="B881" s="76" t="str">
        <f>TiposLancamentos!B57</f>
        <v>Informática</v>
      </c>
      <c r="C881" s="147" t="s">
        <v>23844</v>
      </c>
      <c r="D881" s="63"/>
      <c r="E881" s="231">
        <v>0.19</v>
      </c>
      <c r="F881" s="758" t="s">
        <v>23845</v>
      </c>
      <c r="G881" s="154"/>
    </row>
    <row r="882" spans="1:7">
      <c r="A882" s="757">
        <v>40884</v>
      </c>
      <c r="B882" s="76" t="str">
        <f>TiposLancamentos!B57</f>
        <v>Informática</v>
      </c>
      <c r="C882" s="147" t="s">
        <v>23846</v>
      </c>
      <c r="D882" s="63"/>
      <c r="E882" s="231">
        <v>0.19</v>
      </c>
      <c r="F882" s="758" t="s">
        <v>23845</v>
      </c>
      <c r="G882" s="154"/>
    </row>
    <row r="883" spans="1:7">
      <c r="A883" s="757">
        <v>40884</v>
      </c>
      <c r="B883" s="76" t="str">
        <f>TiposLancamentos!B57</f>
        <v>Informática</v>
      </c>
      <c r="C883" s="147" t="s">
        <v>23847</v>
      </c>
      <c r="D883" s="63"/>
      <c r="E883" s="231">
        <v>0.19</v>
      </c>
      <c r="F883" s="758" t="s">
        <v>23845</v>
      </c>
      <c r="G883" s="154"/>
    </row>
    <row r="884" spans="1:7">
      <c r="A884" s="757">
        <v>40884</v>
      </c>
      <c r="B884" s="76" t="str">
        <f>TiposLancamentos!B57</f>
        <v>Informática</v>
      </c>
      <c r="C884" s="147" t="s">
        <v>23848</v>
      </c>
      <c r="D884" s="63"/>
      <c r="E884" s="231">
        <v>0.19</v>
      </c>
      <c r="F884" s="758" t="s">
        <v>23845</v>
      </c>
      <c r="G884" s="154"/>
    </row>
    <row r="885" spans="1:7">
      <c r="A885" s="757">
        <v>40884</v>
      </c>
      <c r="B885" s="76" t="str">
        <f>TiposLancamentos!B57</f>
        <v>Informática</v>
      </c>
      <c r="C885" s="147" t="s">
        <v>23849</v>
      </c>
      <c r="D885" s="63"/>
      <c r="E885" s="231">
        <v>0.19</v>
      </c>
      <c r="F885" s="758" t="s">
        <v>23845</v>
      </c>
      <c r="G885" s="154"/>
    </row>
    <row r="886" spans="1:7">
      <c r="A886" s="152">
        <v>40884</v>
      </c>
      <c r="B886" s="275" t="str">
        <f>TiposLancamentos!B28</f>
        <v>ComicBook</v>
      </c>
      <c r="C886" s="141" t="s">
        <v>23850</v>
      </c>
      <c r="D886" s="51"/>
      <c r="E886" s="142">
        <v>58</v>
      </c>
      <c r="F886" s="758"/>
      <c r="G886" s="154"/>
    </row>
    <row r="887" spans="1:7">
      <c r="A887" s="152">
        <v>40884</v>
      </c>
      <c r="B887" s="275" t="str">
        <f>TiposLancamentos!B25</f>
        <v>CD_DVD_BD</v>
      </c>
      <c r="C887" s="141" t="s">
        <v>23851</v>
      </c>
      <c r="D887" s="51"/>
      <c r="E887" s="142">
        <v>59.9</v>
      </c>
      <c r="F887" s="758">
        <f>SUM(E886:E887)</f>
        <v>117.9</v>
      </c>
      <c r="G887" s="154"/>
    </row>
    <row r="888" spans="1:7">
      <c r="A888" s="757">
        <v>40885</v>
      </c>
      <c r="B888" s="76" t="str">
        <f>TiposLancamentos!B57</f>
        <v>Informática</v>
      </c>
      <c r="C888" s="147" t="s">
        <v>23852</v>
      </c>
      <c r="D888" s="63"/>
      <c r="E888" s="231">
        <v>0.19</v>
      </c>
      <c r="F888" s="758" t="s">
        <v>23845</v>
      </c>
      <c r="G888" s="154"/>
    </row>
    <row r="889" spans="1:7">
      <c r="A889" s="757">
        <v>40885</v>
      </c>
      <c r="B889" s="76" t="str">
        <f>TiposLancamentos!B5</f>
        <v>Supermercado</v>
      </c>
      <c r="C889" s="147" t="s">
        <v>21524</v>
      </c>
      <c r="D889" s="63"/>
      <c r="E889" s="231">
        <v>43.27</v>
      </c>
      <c r="F889" s="758"/>
      <c r="G889" s="154"/>
    </row>
    <row r="890" spans="1:7">
      <c r="A890" s="757">
        <v>40887</v>
      </c>
      <c r="B890" s="76" t="str">
        <f>TiposLancamentos!B72</f>
        <v>Presentes</v>
      </c>
      <c r="C890" s="147" t="s">
        <v>11072</v>
      </c>
      <c r="D890" s="63"/>
      <c r="E890" s="231">
        <v>142.96</v>
      </c>
      <c r="F890" s="758"/>
      <c r="G890" s="154"/>
    </row>
    <row r="891" spans="1:7">
      <c r="A891" s="757">
        <v>40889</v>
      </c>
      <c r="B891" s="76" t="str">
        <f>TiposLancamentos!B26</f>
        <v>LIVROS</v>
      </c>
      <c r="C891" s="147" t="s">
        <v>23853</v>
      </c>
      <c r="D891" s="63"/>
      <c r="E891" s="231">
        <v>49.9</v>
      </c>
      <c r="F891" s="758"/>
      <c r="G891" s="154"/>
    </row>
    <row r="892" spans="1:7">
      <c r="A892" s="757">
        <v>40889</v>
      </c>
      <c r="B892" s="76" t="str">
        <f>TiposLancamentos!B26</f>
        <v>LIVROS</v>
      </c>
      <c r="C892" s="147" t="s">
        <v>23854</v>
      </c>
      <c r="D892" s="63"/>
      <c r="E892" s="231">
        <v>99.15</v>
      </c>
      <c r="F892" s="758"/>
      <c r="G892" s="154"/>
    </row>
    <row r="893" spans="1:7">
      <c r="A893" s="757">
        <v>40889</v>
      </c>
      <c r="B893" s="76" t="str">
        <f>TiposLancamentos!B45</f>
        <v>Online Services</v>
      </c>
      <c r="C893" s="147" t="s">
        <v>23855</v>
      </c>
      <c r="D893" s="63"/>
      <c r="E893" s="231">
        <v>90.86</v>
      </c>
      <c r="F893" s="758" t="s">
        <v>23856</v>
      </c>
      <c r="G893" s="154"/>
    </row>
    <row r="894" spans="1:7">
      <c r="A894" s="757">
        <v>40891</v>
      </c>
      <c r="B894" s="76" t="str">
        <f>TiposLancamentos!B57</f>
        <v>Informática</v>
      </c>
      <c r="C894" s="147" t="s">
        <v>23857</v>
      </c>
      <c r="D894" s="63"/>
      <c r="E894" s="231">
        <v>139.87</v>
      </c>
      <c r="F894" s="758"/>
      <c r="G894" s="154"/>
    </row>
    <row r="895" spans="1:7">
      <c r="A895" s="757">
        <v>40892</v>
      </c>
      <c r="B895" s="76" t="str">
        <f>TiposLancamentos!B57</f>
        <v>Informática</v>
      </c>
      <c r="C895" s="147" t="s">
        <v>23858</v>
      </c>
      <c r="D895" s="63"/>
      <c r="E895" s="231">
        <v>0.19</v>
      </c>
      <c r="F895" s="758" t="s">
        <v>23845</v>
      </c>
      <c r="G895" s="154"/>
    </row>
    <row r="896" spans="1:7">
      <c r="A896" s="757">
        <v>40892</v>
      </c>
      <c r="B896" s="76" t="str">
        <f>TiposLancamentos!B57</f>
        <v>Informática</v>
      </c>
      <c r="C896" s="147" t="s">
        <v>23859</v>
      </c>
      <c r="D896" s="63"/>
      <c r="E896" s="231">
        <v>0.19</v>
      </c>
      <c r="F896" s="758" t="s">
        <v>23845</v>
      </c>
      <c r="G896" s="154"/>
    </row>
    <row r="897" spans="1:7">
      <c r="A897" s="299">
        <v>40892</v>
      </c>
      <c r="B897" s="295" t="str">
        <f>TiposLancamentos!B5</f>
        <v>Supermercado</v>
      </c>
      <c r="C897" s="291" t="s">
        <v>6234</v>
      </c>
      <c r="D897" s="292"/>
      <c r="E897" s="293">
        <v>104.7</v>
      </c>
      <c r="F897" s="294"/>
      <c r="G897" s="154"/>
    </row>
    <row r="898" spans="1:7">
      <c r="A898" s="299">
        <v>40892</v>
      </c>
      <c r="B898" s="295" t="str">
        <f>TiposLancamentos!B16</f>
        <v>Cristiane</v>
      </c>
      <c r="C898" s="291" t="s">
        <v>23860</v>
      </c>
      <c r="D898" s="292"/>
      <c r="E898" s="293">
        <v>79.8</v>
      </c>
      <c r="F898" s="294"/>
      <c r="G898" s="154"/>
    </row>
    <row r="899" spans="1:7">
      <c r="A899" s="757">
        <v>40892</v>
      </c>
      <c r="B899" s="76" t="str">
        <f>TiposLancamentos!B26</f>
        <v>LIVROS</v>
      </c>
      <c r="C899" s="147" t="s">
        <v>23861</v>
      </c>
      <c r="D899" s="63"/>
      <c r="E899" s="231">
        <v>76.900000000000006</v>
      </c>
      <c r="F899" s="758"/>
      <c r="G899" s="154"/>
    </row>
    <row r="900" spans="1:7">
      <c r="A900" s="757">
        <v>40898</v>
      </c>
      <c r="B900" s="76" t="str">
        <f>TiposLancamentos!B4</f>
        <v>Taxas Bancarias</v>
      </c>
      <c r="C900" s="147" t="s">
        <v>23780</v>
      </c>
      <c r="D900" s="63"/>
      <c r="E900" s="231">
        <v>0.08</v>
      </c>
      <c r="F900" s="758"/>
      <c r="G900" s="154"/>
    </row>
    <row r="901" spans="1:7">
      <c r="A901" s="759"/>
      <c r="B901" s="226"/>
      <c r="C901" s="227" t="s">
        <v>10</v>
      </c>
      <c r="D901" s="228"/>
      <c r="E901" s="228"/>
      <c r="F901" s="760"/>
      <c r="G901" s="154"/>
    </row>
    <row r="902" spans="1:7">
      <c r="A902" s="152">
        <v>40903</v>
      </c>
      <c r="B902" s="275" t="str">
        <f>TiposLancamentos!B3</f>
        <v>Internet</v>
      </c>
      <c r="C902" s="141" t="s">
        <v>23831</v>
      </c>
      <c r="D902" s="51"/>
      <c r="E902" s="142">
        <f>58/2</f>
        <v>29</v>
      </c>
      <c r="F902" s="758"/>
      <c r="G902" s="154"/>
    </row>
    <row r="903" spans="1:7">
      <c r="A903" s="152">
        <v>40903</v>
      </c>
      <c r="B903" s="275" t="str">
        <f>TiposLancamentos!B100</f>
        <v>Emprestimos</v>
      </c>
      <c r="C903" s="141" t="s">
        <v>23832</v>
      </c>
      <c r="D903" s="51"/>
      <c r="E903" s="142">
        <v>29</v>
      </c>
      <c r="F903" s="758">
        <f>SUM(E902:E903)</f>
        <v>58</v>
      </c>
      <c r="G903" s="154"/>
    </row>
    <row r="904" spans="1:7">
      <c r="A904" s="757">
        <v>40904</v>
      </c>
      <c r="B904" s="76" t="str">
        <f>TiposLancamentos!B31</f>
        <v>Action Figures</v>
      </c>
      <c r="C904" s="147" t="s">
        <v>23862</v>
      </c>
      <c r="D904" s="63"/>
      <c r="E904" s="231">
        <v>207.54</v>
      </c>
      <c r="F904" s="758" t="s">
        <v>23863</v>
      </c>
      <c r="G904" s="154"/>
    </row>
    <row r="905" spans="1:7">
      <c r="A905" s="299">
        <v>40904</v>
      </c>
      <c r="B905" s="295" t="str">
        <f>TiposLancamentos!B5</f>
        <v>Supermercado</v>
      </c>
      <c r="C905" s="291" t="s">
        <v>23864</v>
      </c>
      <c r="D905" s="292"/>
      <c r="E905" s="293">
        <v>210.16</v>
      </c>
      <c r="F905" s="294"/>
      <c r="G905" s="154"/>
    </row>
    <row r="906" spans="1:7">
      <c r="A906" s="757">
        <v>40905</v>
      </c>
      <c r="B906" s="76" t="str">
        <f>TiposLancamentos!B57</f>
        <v>Informática</v>
      </c>
      <c r="C906" s="147" t="s">
        <v>23865</v>
      </c>
      <c r="D906" s="63"/>
      <c r="E906" s="231">
        <v>19.32</v>
      </c>
      <c r="F906" s="758" t="s">
        <v>23866</v>
      </c>
      <c r="G906" s="154"/>
    </row>
    <row r="907" spans="1:7">
      <c r="A907" s="757">
        <v>40905</v>
      </c>
      <c r="B907" s="76" t="str">
        <f>TiposLancamentos!B57</f>
        <v>Informática</v>
      </c>
      <c r="C907" s="147" t="s">
        <v>23867</v>
      </c>
      <c r="D907" s="63"/>
      <c r="E907" s="231">
        <v>4.45</v>
      </c>
      <c r="F907" s="758" t="s">
        <v>23868</v>
      </c>
      <c r="G907" s="154"/>
    </row>
    <row r="908" spans="1:7">
      <c r="A908" s="757">
        <v>40907</v>
      </c>
      <c r="B908" s="76" t="str">
        <f>TiposLancamentos!B4</f>
        <v>Taxas Bancarias</v>
      </c>
      <c r="C908" s="147" t="s">
        <v>19158</v>
      </c>
      <c r="D908" s="63"/>
      <c r="E908" s="231">
        <v>0.02</v>
      </c>
      <c r="F908" s="758"/>
      <c r="G908" s="154"/>
    </row>
    <row r="909" spans="1:7">
      <c r="A909" s="751"/>
      <c r="B909" s="752"/>
      <c r="C909" s="753" t="s">
        <v>13565</v>
      </c>
      <c r="D909" s="754"/>
      <c r="E909" s="755"/>
      <c r="F909" s="756">
        <f>SUM(E861:E900)-D871</f>
        <v>2616.4900000000007</v>
      </c>
      <c r="G909" s="154"/>
    </row>
    <row r="910" spans="1:7">
      <c r="A910" s="757">
        <v>40909</v>
      </c>
      <c r="B910" s="76" t="str">
        <f>TiposLancamentos!B64</f>
        <v>Viagens</v>
      </c>
      <c r="C910" s="147" t="s">
        <v>23869</v>
      </c>
      <c r="D910" s="63"/>
      <c r="E910" s="231">
        <v>489.56</v>
      </c>
      <c r="F910" s="758"/>
      <c r="G910" s="154"/>
    </row>
    <row r="911" spans="1:7">
      <c r="A911" s="757">
        <v>40910</v>
      </c>
      <c r="B911" s="76" t="str">
        <f>TiposLancamentos!B15</f>
        <v>Cartões de Crédito</v>
      </c>
      <c r="C911" s="147" t="s">
        <v>23870</v>
      </c>
      <c r="D911" s="63">
        <v>2616.4899999999998</v>
      </c>
      <c r="E911" s="231"/>
      <c r="F911" s="758"/>
      <c r="G911" s="154"/>
    </row>
    <row r="912" spans="1:7">
      <c r="A912" s="299">
        <v>40911</v>
      </c>
      <c r="B912" s="295" t="str">
        <f>TiposLancamentos!B16</f>
        <v>Cristiane</v>
      </c>
      <c r="C912" s="291" t="s">
        <v>23002</v>
      </c>
      <c r="D912" s="292"/>
      <c r="E912" s="293">
        <v>96.15</v>
      </c>
      <c r="F912" s="294"/>
      <c r="G912" s="154"/>
    </row>
    <row r="913" spans="1:7">
      <c r="A913" s="299">
        <v>40911</v>
      </c>
      <c r="B913" s="295" t="str">
        <f>TiposLancamentos!B16</f>
        <v>Cristiane</v>
      </c>
      <c r="C913" s="291" t="s">
        <v>23871</v>
      </c>
      <c r="D913" s="292"/>
      <c r="E913" s="293">
        <v>61.5</v>
      </c>
      <c r="F913" s="294"/>
      <c r="G913" s="154"/>
    </row>
    <row r="914" spans="1:7">
      <c r="A914" s="757">
        <v>40916</v>
      </c>
      <c r="B914" s="76" t="str">
        <f>TiposLancamentos!B28</f>
        <v>ComicBook</v>
      </c>
      <c r="C914" s="147" t="s">
        <v>23872</v>
      </c>
      <c r="D914" s="63"/>
      <c r="E914" s="231">
        <v>225.39</v>
      </c>
      <c r="F914" s="758" t="s">
        <v>23873</v>
      </c>
      <c r="G914" s="154"/>
    </row>
    <row r="915" spans="1:7">
      <c r="A915" s="757">
        <v>40916</v>
      </c>
      <c r="B915" s="76" t="str">
        <f>TiposLancamentos!B28</f>
        <v>ComicBook</v>
      </c>
      <c r="C915" s="147" t="s">
        <v>23874</v>
      </c>
      <c r="D915" s="63"/>
      <c r="E915" s="231">
        <v>40.549999999999997</v>
      </c>
      <c r="F915" s="758" t="s">
        <v>23875</v>
      </c>
      <c r="G915" s="154"/>
    </row>
    <row r="916" spans="1:7">
      <c r="A916" s="757">
        <v>40917</v>
      </c>
      <c r="B916" s="76" t="str">
        <f>TiposLancamentos!B16</f>
        <v>Cristiane</v>
      </c>
      <c r="C916" s="147" t="s">
        <v>23876</v>
      </c>
      <c r="D916" s="63"/>
      <c r="E916" s="231">
        <v>39.19</v>
      </c>
      <c r="F916" s="758"/>
      <c r="G916" s="154"/>
    </row>
    <row r="917" spans="1:7">
      <c r="A917" s="299">
        <v>40919</v>
      </c>
      <c r="B917" s="295" t="str">
        <f>TiposLancamentos!B16</f>
        <v>Cristiane</v>
      </c>
      <c r="C917" s="291" t="s">
        <v>23877</v>
      </c>
      <c r="D917" s="292"/>
      <c r="E917" s="293">
        <v>179.4</v>
      </c>
      <c r="F917" s="294"/>
      <c r="G917" s="154"/>
    </row>
    <row r="918" spans="1:7">
      <c r="A918" s="757">
        <v>40920</v>
      </c>
      <c r="B918" s="76" t="str">
        <f>TiposLancamentos!B16</f>
        <v>Cristiane</v>
      </c>
      <c r="C918" s="147" t="s">
        <v>23878</v>
      </c>
      <c r="D918" s="63"/>
      <c r="E918" s="231">
        <v>127.2</v>
      </c>
      <c r="F918" s="758" t="s">
        <v>23879</v>
      </c>
      <c r="G918" s="154"/>
    </row>
    <row r="919" spans="1:7">
      <c r="A919" s="299">
        <v>40920</v>
      </c>
      <c r="B919" s="295" t="str">
        <f>TiposLancamentos!B16</f>
        <v>Cristiane</v>
      </c>
      <c r="C919" s="291" t="s">
        <v>16576</v>
      </c>
      <c r="D919" s="292"/>
      <c r="E919" s="293">
        <v>192.6</v>
      </c>
      <c r="F919" s="294"/>
      <c r="G919" s="154"/>
    </row>
    <row r="920" spans="1:7">
      <c r="A920" s="299">
        <v>40921</v>
      </c>
      <c r="B920" s="295" t="str">
        <f>TiposLancamentos!B16</f>
        <v>Cristiane</v>
      </c>
      <c r="C920" s="291" t="s">
        <v>16576</v>
      </c>
      <c r="D920" s="292"/>
      <c r="E920" s="293">
        <v>111</v>
      </c>
      <c r="F920" s="294"/>
      <c r="G920" s="154"/>
    </row>
    <row r="921" spans="1:7">
      <c r="A921" s="757">
        <v>40922</v>
      </c>
      <c r="B921" s="76" t="str">
        <f>TiposLancamentos!B57</f>
        <v>Informática</v>
      </c>
      <c r="C921" s="147" t="s">
        <v>23880</v>
      </c>
      <c r="D921" s="63"/>
      <c r="E921" s="231">
        <v>139.87</v>
      </c>
      <c r="F921" s="758"/>
      <c r="G921" s="154"/>
    </row>
    <row r="922" spans="1:7">
      <c r="A922" s="757">
        <v>40929</v>
      </c>
      <c r="B922" s="76" t="str">
        <f>TiposLancamentos!B4</f>
        <v>Taxas Bancarias</v>
      </c>
      <c r="C922" s="147" t="s">
        <v>23881</v>
      </c>
      <c r="D922" s="63"/>
      <c r="E922" s="231">
        <v>25.19</v>
      </c>
      <c r="F922" s="758"/>
      <c r="G922" s="154"/>
    </row>
    <row r="923" spans="1:7">
      <c r="A923" s="759"/>
      <c r="B923" s="226"/>
      <c r="C923" s="227" t="s">
        <v>10</v>
      </c>
      <c r="D923" s="228"/>
      <c r="E923" s="228"/>
      <c r="F923" s="760"/>
      <c r="G923" s="154"/>
    </row>
    <row r="924" spans="1:7">
      <c r="A924" s="757">
        <v>40930</v>
      </c>
      <c r="B924" s="76" t="str">
        <f>TiposLancamentos!B37</f>
        <v>Playstation 3</v>
      </c>
      <c r="C924" s="147" t="s">
        <v>23882</v>
      </c>
      <c r="D924" s="63"/>
      <c r="E924" s="231">
        <v>295</v>
      </c>
      <c r="F924" s="758"/>
      <c r="G924" s="154"/>
    </row>
    <row r="925" spans="1:7">
      <c r="A925" s="152">
        <v>40934</v>
      </c>
      <c r="B925" s="275" t="str">
        <f>TiposLancamentos!B3</f>
        <v>Internet</v>
      </c>
      <c r="C925" s="141" t="s">
        <v>23831</v>
      </c>
      <c r="D925" s="51"/>
      <c r="E925" s="142">
        <f>58/2</f>
        <v>29</v>
      </c>
      <c r="F925" s="758"/>
      <c r="G925" s="154"/>
    </row>
    <row r="926" spans="1:7">
      <c r="A926" s="152">
        <v>40934</v>
      </c>
      <c r="B926" s="275" t="str">
        <f>TiposLancamentos!B100</f>
        <v>Emprestimos</v>
      </c>
      <c r="C926" s="141" t="s">
        <v>23832</v>
      </c>
      <c r="D926" s="51"/>
      <c r="E926" s="142">
        <v>29</v>
      </c>
      <c r="F926" s="758">
        <f>SUM(E925:E926)</f>
        <v>58</v>
      </c>
      <c r="G926" s="154"/>
    </row>
    <row r="927" spans="1:7">
      <c r="A927" s="299">
        <v>40938</v>
      </c>
      <c r="B927" s="295" t="str">
        <f>TiposLancamentos!B16</f>
        <v>Cristiane</v>
      </c>
      <c r="C927" s="291" t="s">
        <v>14609</v>
      </c>
      <c r="D927" s="292"/>
      <c r="E927" s="293">
        <v>125.91</v>
      </c>
      <c r="F927" s="294"/>
      <c r="G927" s="154"/>
    </row>
    <row r="928" spans="1:7">
      <c r="A928" s="299">
        <v>40938</v>
      </c>
      <c r="B928" s="295" t="str">
        <f>TiposLancamentos!B16</f>
        <v>Cristiane</v>
      </c>
      <c r="C928" s="291" t="s">
        <v>16636</v>
      </c>
      <c r="D928" s="292"/>
      <c r="E928" s="293">
        <v>130</v>
      </c>
      <c r="F928" s="294"/>
      <c r="G928" s="154"/>
    </row>
    <row r="929" spans="1:7">
      <c r="A929" s="299">
        <v>40938</v>
      </c>
      <c r="B929" s="295" t="str">
        <f>TiposLancamentos!B16</f>
        <v>Cristiane</v>
      </c>
      <c r="C929" s="291" t="s">
        <v>23883</v>
      </c>
      <c r="D929" s="292"/>
      <c r="E929" s="293">
        <v>75.489999999999995</v>
      </c>
      <c r="F929" s="294"/>
      <c r="G929" s="154"/>
    </row>
    <row r="930" spans="1:7">
      <c r="A930" s="751"/>
      <c r="B930" s="752"/>
      <c r="C930" s="753" t="s">
        <v>23884</v>
      </c>
      <c r="D930" s="754"/>
      <c r="E930" s="755"/>
      <c r="F930" s="756">
        <f>SUM(E902:E922)</f>
        <v>2227.09</v>
      </c>
      <c r="G930" s="154"/>
    </row>
    <row r="931" spans="1:7">
      <c r="A931" s="757">
        <v>40940</v>
      </c>
      <c r="B931" s="76" t="str">
        <f>TiposLancamentos!B15</f>
        <v>Cartões de Crédito</v>
      </c>
      <c r="C931" s="147" t="s">
        <v>14126</v>
      </c>
      <c r="D931" s="63">
        <v>2227.09</v>
      </c>
      <c r="E931" s="231"/>
      <c r="F931" s="758">
        <f>F930-F909</f>
        <v>-389.40000000000055</v>
      </c>
      <c r="G931" s="154"/>
    </row>
    <row r="932" spans="1:7">
      <c r="A932" s="757">
        <v>40940</v>
      </c>
      <c r="B932" s="76" t="str">
        <f>TiposLancamentos!B64</f>
        <v>Viagens</v>
      </c>
      <c r="C932" s="147" t="s">
        <v>23885</v>
      </c>
      <c r="D932" s="63"/>
      <c r="E932" s="231">
        <v>489.56</v>
      </c>
      <c r="F932" s="758"/>
      <c r="G932" s="154"/>
    </row>
    <row r="933" spans="1:7">
      <c r="A933" s="757">
        <v>40940</v>
      </c>
      <c r="B933" s="76" t="str">
        <f>TiposLancamentos!B102</f>
        <v>ESTORNO</v>
      </c>
      <c r="C933" s="147" t="s">
        <v>23886</v>
      </c>
      <c r="D933" s="63">
        <v>5.71</v>
      </c>
      <c r="E933" s="231">
        <v>0</v>
      </c>
      <c r="F933" s="758"/>
      <c r="G933" s="154"/>
    </row>
    <row r="934" spans="1:7">
      <c r="A934" s="757">
        <v>40945</v>
      </c>
      <c r="B934" s="76" t="str">
        <f>TiposLancamentos!B26</f>
        <v>LIVROS</v>
      </c>
      <c r="C934" s="147" t="s">
        <v>23887</v>
      </c>
      <c r="D934" s="63"/>
      <c r="E934" s="231">
        <v>78.739999999999995</v>
      </c>
      <c r="F934" s="758"/>
      <c r="G934" s="154"/>
    </row>
    <row r="935" spans="1:7">
      <c r="A935" s="799">
        <v>40947</v>
      </c>
      <c r="B935" s="295" t="str">
        <f>TiposLancamentos!B16</f>
        <v>Cristiane</v>
      </c>
      <c r="C935" s="291" t="s">
        <v>23888</v>
      </c>
      <c r="D935" s="292"/>
      <c r="E935" s="293">
        <v>49.9</v>
      </c>
      <c r="F935" s="800"/>
      <c r="G935" s="154"/>
    </row>
    <row r="936" spans="1:7">
      <c r="A936" s="757">
        <v>40950</v>
      </c>
      <c r="B936" s="76" t="str">
        <f>TiposLancamentos!B28</f>
        <v>ComicBook</v>
      </c>
      <c r="C936" s="147" t="s">
        <v>23889</v>
      </c>
      <c r="D936" s="63"/>
      <c r="E936" s="231">
        <v>50.76</v>
      </c>
      <c r="F936" s="758"/>
      <c r="G936" s="154"/>
    </row>
    <row r="937" spans="1:7">
      <c r="A937" s="757">
        <v>40953</v>
      </c>
      <c r="B937" s="76" t="str">
        <f>TiposLancamentos!B57</f>
        <v>Informática</v>
      </c>
      <c r="C937" s="147" t="s">
        <v>23890</v>
      </c>
      <c r="D937" s="63"/>
      <c r="E937" s="231">
        <v>139.87</v>
      </c>
      <c r="F937" s="758"/>
      <c r="G937" s="154"/>
    </row>
    <row r="938" spans="1:7">
      <c r="A938" s="759"/>
      <c r="B938" s="226"/>
      <c r="C938" s="227" t="s">
        <v>10</v>
      </c>
      <c r="D938" s="228"/>
      <c r="E938" s="228"/>
      <c r="F938" s="760"/>
      <c r="G938" s="154"/>
    </row>
    <row r="939" spans="1:7">
      <c r="A939" s="799">
        <v>40986</v>
      </c>
      <c r="B939" s="295" t="str">
        <f>TiposLancamentos!B16</f>
        <v>Cristiane</v>
      </c>
      <c r="C939" s="291" t="s">
        <v>23891</v>
      </c>
      <c r="D939" s="292"/>
      <c r="E939" s="293">
        <v>1.84</v>
      </c>
      <c r="F939" s="800" t="s">
        <v>23892</v>
      </c>
      <c r="G939" s="154"/>
    </row>
    <row r="940" spans="1:7">
      <c r="A940" s="773">
        <v>40964</v>
      </c>
      <c r="B940" s="275" t="str">
        <f>TiposLancamentos!B3</f>
        <v>Internet</v>
      </c>
      <c r="C940" s="141" t="s">
        <v>23831</v>
      </c>
      <c r="D940" s="51"/>
      <c r="E940" s="142">
        <v>29.59</v>
      </c>
      <c r="F940" s="758"/>
      <c r="G940" s="154"/>
    </row>
    <row r="941" spans="1:7">
      <c r="A941" s="773">
        <v>40964</v>
      </c>
      <c r="B941" s="275" t="str">
        <f>TiposLancamentos!B100</f>
        <v>Emprestimos</v>
      </c>
      <c r="C941" s="141" t="s">
        <v>23832</v>
      </c>
      <c r="D941" s="51"/>
      <c r="E941" s="142">
        <v>29.59</v>
      </c>
      <c r="F941" s="758">
        <f>SUM(E940:E941)</f>
        <v>59.18</v>
      </c>
      <c r="G941" s="154"/>
    </row>
    <row r="942" spans="1:7">
      <c r="A942" s="761">
        <v>40966</v>
      </c>
      <c r="B942" s="762" t="str">
        <f>TiposLancamentos!B26</f>
        <v>LIVROS</v>
      </c>
      <c r="C942" s="763" t="s">
        <v>23893</v>
      </c>
      <c r="D942" s="764"/>
      <c r="E942" s="765">
        <v>186.62</v>
      </c>
      <c r="F942" s="766" t="s">
        <v>23894</v>
      </c>
      <c r="G942" s="154"/>
    </row>
    <row r="943" spans="1:7">
      <c r="A943" s="751"/>
      <c r="B943" s="752"/>
      <c r="C943" s="753" t="s">
        <v>4268</v>
      </c>
      <c r="D943" s="754"/>
      <c r="E943" s="755"/>
      <c r="F943" s="756">
        <f>SUM(E924:E937)-D933</f>
        <v>1487.52</v>
      </c>
      <c r="G943" s="154"/>
    </row>
    <row r="944" spans="1:7">
      <c r="A944" s="757">
        <v>40969</v>
      </c>
      <c r="B944" s="76" t="str">
        <f>TiposLancamentos!B15</f>
        <v>Cartões de Crédito</v>
      </c>
      <c r="C944" s="147" t="s">
        <v>14126</v>
      </c>
      <c r="D944" s="63">
        <v>1487.52</v>
      </c>
      <c r="E944" s="231"/>
      <c r="F944" s="758"/>
      <c r="G944" s="154"/>
    </row>
    <row r="945" spans="1:7">
      <c r="A945" s="757">
        <v>40971</v>
      </c>
      <c r="B945" s="76" t="str">
        <f>TiposLancamentos!B57</f>
        <v>Informática</v>
      </c>
      <c r="C945" s="147" t="s">
        <v>23895</v>
      </c>
      <c r="D945" s="63"/>
      <c r="E945" s="231">
        <v>168.09</v>
      </c>
      <c r="F945" s="758">
        <f>F943-F930</f>
        <v>-739.57000000000016</v>
      </c>
      <c r="G945" s="154"/>
    </row>
    <row r="946" spans="1:7">
      <c r="A946" s="757">
        <v>40973</v>
      </c>
      <c r="B946" s="76" t="str">
        <f>TiposLancamentos!B31</f>
        <v>Action Figures</v>
      </c>
      <c r="C946" s="147" t="s">
        <v>23896</v>
      </c>
      <c r="D946" s="63"/>
      <c r="E946" s="231">
        <v>48.44</v>
      </c>
      <c r="F946" s="758" t="s">
        <v>858</v>
      </c>
      <c r="G946" s="154"/>
    </row>
    <row r="947" spans="1:7">
      <c r="A947" s="299">
        <v>40973</v>
      </c>
      <c r="B947" s="295" t="str">
        <f>TiposLancamentos!B16</f>
        <v>Cristiane</v>
      </c>
      <c r="C947" s="291" t="s">
        <v>23897</v>
      </c>
      <c r="D947" s="292"/>
      <c r="E947" s="293">
        <v>41.31</v>
      </c>
      <c r="F947" s="294"/>
      <c r="G947" s="154"/>
    </row>
    <row r="948" spans="1:7">
      <c r="A948" s="262">
        <v>40976</v>
      </c>
      <c r="B948" s="76" t="str">
        <f>TiposLancamentos!B28</f>
        <v>ComicBook</v>
      </c>
      <c r="C948" s="147" t="s">
        <v>23898</v>
      </c>
      <c r="D948" s="63"/>
      <c r="E948" s="231">
        <v>18.350000000000001</v>
      </c>
      <c r="F948" s="263"/>
      <c r="G948" s="154"/>
    </row>
    <row r="949" spans="1:7">
      <c r="A949" s="192">
        <v>40980</v>
      </c>
      <c r="B949" s="76" t="str">
        <f>TiposLancamentos!B28</f>
        <v>ComicBook</v>
      </c>
      <c r="C949" s="147" t="s">
        <v>23899</v>
      </c>
      <c r="D949" s="63"/>
      <c r="E949" s="231">
        <v>21.1</v>
      </c>
      <c r="F949" s="758"/>
      <c r="G949" s="154"/>
    </row>
    <row r="950" spans="1:7">
      <c r="A950" s="757">
        <v>40616</v>
      </c>
      <c r="B950" s="76" t="str">
        <f>TiposLancamentos!B57</f>
        <v>Informática</v>
      </c>
      <c r="C950" s="147" t="s">
        <v>23900</v>
      </c>
      <c r="D950" s="63"/>
      <c r="E950" s="231">
        <v>139.87</v>
      </c>
      <c r="F950" s="758"/>
      <c r="G950" s="154"/>
    </row>
    <row r="951" spans="1:7">
      <c r="A951" s="299">
        <v>40989</v>
      </c>
      <c r="B951" s="295" t="str">
        <f>TiposLancamentos!B4</f>
        <v>Taxas Bancarias</v>
      </c>
      <c r="C951" s="291" t="s">
        <v>23901</v>
      </c>
      <c r="D951" s="292"/>
      <c r="E951" s="293">
        <v>0.11</v>
      </c>
      <c r="F951" s="294"/>
      <c r="G951" s="154"/>
    </row>
    <row r="952" spans="1:7">
      <c r="A952" s="757">
        <v>40989</v>
      </c>
      <c r="B952" s="76" t="str">
        <f>TiposLancamentos!B4</f>
        <v>Taxas Bancarias</v>
      </c>
      <c r="C952" s="147" t="s">
        <v>6343</v>
      </c>
      <c r="D952" s="63"/>
      <c r="E952" s="231">
        <v>10.82</v>
      </c>
      <c r="F952" s="758"/>
      <c r="G952" s="154"/>
    </row>
    <row r="953" spans="1:7">
      <c r="A953" s="759"/>
      <c r="B953" s="226"/>
      <c r="C953" s="227" t="s">
        <v>10</v>
      </c>
      <c r="D953" s="228"/>
      <c r="E953" s="228"/>
      <c r="F953" s="760"/>
      <c r="G953" s="154"/>
    </row>
    <row r="954" spans="1:7">
      <c r="A954" s="299">
        <v>40989</v>
      </c>
      <c r="B954" s="295" t="str">
        <f>TiposLancamentos!B16</f>
        <v>Cristiane</v>
      </c>
      <c r="C954" s="291" t="s">
        <v>23902</v>
      </c>
      <c r="D954" s="292"/>
      <c r="E954" s="293">
        <v>48.42</v>
      </c>
      <c r="F954" s="294"/>
      <c r="G954" s="154"/>
    </row>
    <row r="955" spans="1:7">
      <c r="A955" s="757">
        <v>40991</v>
      </c>
      <c r="B955" s="76" t="str">
        <f>TiposLancamentos!B31</f>
        <v>Action Figures</v>
      </c>
      <c r="C955" s="147" t="s">
        <v>23903</v>
      </c>
      <c r="D955" s="63"/>
      <c r="E955" s="231">
        <v>225.81</v>
      </c>
      <c r="F955" s="758" t="s">
        <v>23904</v>
      </c>
      <c r="G955" s="154"/>
    </row>
    <row r="956" spans="1:7">
      <c r="A956" s="152">
        <v>40994</v>
      </c>
      <c r="B956" s="275" t="str">
        <f>TiposLancamentos!B3</f>
        <v>Internet</v>
      </c>
      <c r="C956" s="141" t="s">
        <v>23831</v>
      </c>
      <c r="D956" s="51"/>
      <c r="E956" s="142">
        <v>29</v>
      </c>
      <c r="F956" s="758"/>
      <c r="G956" s="154"/>
    </row>
    <row r="957" spans="1:7">
      <c r="A957" s="152">
        <v>40994</v>
      </c>
      <c r="B957" s="275" t="str">
        <f>TiposLancamentos!B100</f>
        <v>Emprestimos</v>
      </c>
      <c r="C957" s="141" t="s">
        <v>23832</v>
      </c>
      <c r="D957" s="51"/>
      <c r="E957" s="142">
        <v>29</v>
      </c>
      <c r="F957" s="142">
        <f>SUM(E956:E957)</f>
        <v>58</v>
      </c>
      <c r="G957" s="154"/>
    </row>
    <row r="958" spans="1:7">
      <c r="A958" s="262">
        <v>40995</v>
      </c>
      <c r="B958" s="76" t="str">
        <f>TiposLancamentos!B57</f>
        <v>Informática</v>
      </c>
      <c r="C958" s="147" t="s">
        <v>23905</v>
      </c>
      <c r="D958" s="63"/>
      <c r="E958" s="231">
        <v>56.66</v>
      </c>
      <c r="F958" s="263" t="s">
        <v>23906</v>
      </c>
      <c r="G958" s="154"/>
    </row>
    <row r="959" spans="1:7">
      <c r="A959" s="751"/>
      <c r="B959" s="752"/>
      <c r="C959" s="753" t="s">
        <v>4273</v>
      </c>
      <c r="D959" s="754"/>
      <c r="E959" s="755"/>
      <c r="F959" s="756">
        <f>SUM(E939:E952)</f>
        <v>695.73000000000013</v>
      </c>
      <c r="G959" s="154"/>
    </row>
    <row r="960" spans="1:7">
      <c r="A960" s="757">
        <v>41000</v>
      </c>
      <c r="B960" s="76" t="str">
        <f>TiposLancamentos!B15</f>
        <v>Cartões de Crédito</v>
      </c>
      <c r="C960" s="147" t="s">
        <v>14126</v>
      </c>
      <c r="D960" s="63">
        <v>695.73</v>
      </c>
      <c r="E960" s="231"/>
      <c r="F960" s="758">
        <f>F959-F943</f>
        <v>-791.78999999999985</v>
      </c>
      <c r="G960" s="154"/>
    </row>
    <row r="961" spans="1:7">
      <c r="A961" s="192">
        <v>41001</v>
      </c>
      <c r="B961" s="76" t="str">
        <f>TiposLancamentos!B102</f>
        <v>ESTORNO</v>
      </c>
      <c r="C961" s="147" t="s">
        <v>23907</v>
      </c>
      <c r="D961" s="63">
        <v>0.39</v>
      </c>
      <c r="E961" s="231"/>
      <c r="F961" s="781"/>
      <c r="G961" s="154"/>
    </row>
    <row r="962" spans="1:7">
      <c r="A962" s="299">
        <v>41003</v>
      </c>
      <c r="B962" s="295" t="str">
        <f>TiposLancamentos!B16</f>
        <v>Cristiane</v>
      </c>
      <c r="C962" s="291" t="s">
        <v>23908</v>
      </c>
      <c r="D962" s="292"/>
      <c r="E962" s="293">
        <v>62.95</v>
      </c>
      <c r="F962" s="294"/>
      <c r="G962" s="154"/>
    </row>
    <row r="963" spans="1:7">
      <c r="A963" s="299">
        <v>41003</v>
      </c>
      <c r="B963" s="295" t="str">
        <f>TiposLancamentos!B5</f>
        <v>Supermercado</v>
      </c>
      <c r="C963" s="291" t="s">
        <v>23909</v>
      </c>
      <c r="D963" s="292"/>
      <c r="E963" s="293">
        <v>30.7</v>
      </c>
      <c r="F963" s="294"/>
      <c r="G963" s="154"/>
    </row>
    <row r="964" spans="1:7">
      <c r="A964" s="757">
        <v>41010</v>
      </c>
      <c r="B964" s="76" t="str">
        <f>TiposLancamentos!B19</f>
        <v>Restaurantes</v>
      </c>
      <c r="C964" s="147" t="s">
        <v>17215</v>
      </c>
      <c r="D964" s="63"/>
      <c r="E964" s="231">
        <v>215.5</v>
      </c>
      <c r="F964" s="758"/>
      <c r="G964" s="154"/>
    </row>
    <row r="965" spans="1:7">
      <c r="A965" s="757">
        <v>40647</v>
      </c>
      <c r="B965" s="76" t="str">
        <f>TiposLancamentos!B57</f>
        <v>Informática</v>
      </c>
      <c r="C965" s="147" t="s">
        <v>23910</v>
      </c>
      <c r="D965" s="63"/>
      <c r="E965" s="231">
        <v>139.87</v>
      </c>
      <c r="F965" s="758"/>
      <c r="G965" s="154"/>
    </row>
    <row r="966" spans="1:7">
      <c r="A966" s="757">
        <v>41013</v>
      </c>
      <c r="B966" s="76" t="str">
        <f>TiposLancamentos!B57</f>
        <v>Informática</v>
      </c>
      <c r="C966" s="147" t="s">
        <v>23911</v>
      </c>
      <c r="D966" s="63"/>
      <c r="E966" s="231">
        <v>17.940000000000001</v>
      </c>
      <c r="F966" s="758" t="s">
        <v>23912</v>
      </c>
      <c r="G966" s="154"/>
    </row>
    <row r="967" spans="1:7">
      <c r="A967" s="759"/>
      <c r="B967" s="226"/>
      <c r="C967" s="227" t="s">
        <v>10</v>
      </c>
      <c r="D967" s="228"/>
      <c r="E967" s="228"/>
      <c r="F967" s="760"/>
      <c r="G967" s="154"/>
    </row>
    <row r="968" spans="1:7">
      <c r="A968" s="757">
        <v>41021</v>
      </c>
      <c r="B968" s="76" t="str">
        <f>TiposLancamentos!B57</f>
        <v>Informática</v>
      </c>
      <c r="C968" s="147" t="s">
        <v>23913</v>
      </c>
      <c r="D968" s="63"/>
      <c r="E968" s="231">
        <v>90.5</v>
      </c>
      <c r="F968" s="758"/>
      <c r="G968" s="154"/>
    </row>
    <row r="969" spans="1:7">
      <c r="A969" s="757">
        <v>41023</v>
      </c>
      <c r="B969" s="76" t="str">
        <f>TiposLancamentos!B31</f>
        <v>Action Figures</v>
      </c>
      <c r="C969" s="147" t="s">
        <v>866</v>
      </c>
      <c r="D969" s="63"/>
      <c r="E969" s="231">
        <v>208.12</v>
      </c>
      <c r="F969" s="758"/>
      <c r="G969" s="154"/>
    </row>
    <row r="970" spans="1:7">
      <c r="A970" s="299">
        <v>41024</v>
      </c>
      <c r="B970" s="295" t="str">
        <f>TiposLancamentos!B16</f>
        <v>Cristiane</v>
      </c>
      <c r="C970" s="291" t="s">
        <v>23804</v>
      </c>
      <c r="D970" s="292"/>
      <c r="E970" s="293">
        <v>57.35</v>
      </c>
      <c r="F970" s="294"/>
      <c r="G970" s="154"/>
    </row>
    <row r="971" spans="1:7">
      <c r="A971" s="152">
        <v>41025</v>
      </c>
      <c r="B971" s="275" t="str">
        <f>TiposLancamentos!B3</f>
        <v>Internet</v>
      </c>
      <c r="C971" s="141" t="s">
        <v>23831</v>
      </c>
      <c r="D971" s="51"/>
      <c r="E971" s="142">
        <f>29+40</f>
        <v>69</v>
      </c>
      <c r="F971" s="758"/>
      <c r="G971" s="154"/>
    </row>
    <row r="972" spans="1:7">
      <c r="A972" s="152">
        <v>41025</v>
      </c>
      <c r="B972" s="275" t="str">
        <f>TiposLancamentos!B100</f>
        <v>Emprestimos</v>
      </c>
      <c r="C972" s="141" t="s">
        <v>23832</v>
      </c>
      <c r="D972" s="51"/>
      <c r="E972" s="142">
        <v>29</v>
      </c>
      <c r="F972" s="142">
        <f>SUM(E971:E972)</f>
        <v>98</v>
      </c>
      <c r="G972" s="154"/>
    </row>
    <row r="973" spans="1:7">
      <c r="A973" s="299">
        <v>41025</v>
      </c>
      <c r="B973" s="295" t="str">
        <f>TiposLancamentos!B16</f>
        <v>Cristiane</v>
      </c>
      <c r="C973" s="291" t="s">
        <v>23914</v>
      </c>
      <c r="D973" s="292"/>
      <c r="E973" s="293">
        <v>53.98</v>
      </c>
      <c r="F973" s="294"/>
      <c r="G973" s="154"/>
    </row>
    <row r="974" spans="1:7">
      <c r="A974" s="757">
        <v>41029</v>
      </c>
      <c r="B974" s="76" t="str">
        <f>TiposLancamentos!B57</f>
        <v>Informática</v>
      </c>
      <c r="C974" s="147" t="s">
        <v>23915</v>
      </c>
      <c r="D974" s="63"/>
      <c r="E974" s="231">
        <v>69</v>
      </c>
      <c r="F974" s="758"/>
      <c r="G974" s="154"/>
    </row>
    <row r="975" spans="1:7">
      <c r="A975" s="751"/>
      <c r="B975" s="752"/>
      <c r="C975" s="753" t="s">
        <v>23916</v>
      </c>
      <c r="D975" s="754"/>
      <c r="E975" s="755"/>
      <c r="F975" s="756">
        <f>SUM(E954:E966)-D961</f>
        <v>855.46</v>
      </c>
      <c r="G975" s="154"/>
    </row>
    <row r="976" spans="1:7">
      <c r="A976" s="757">
        <v>41031</v>
      </c>
      <c r="B976" s="76" t="str">
        <f>TiposLancamentos!B15</f>
        <v>Cartões de Crédito</v>
      </c>
      <c r="C976" s="147" t="s">
        <v>14126</v>
      </c>
      <c r="D976" s="63">
        <v>855.46</v>
      </c>
      <c r="E976" s="231"/>
      <c r="F976" s="758"/>
      <c r="G976" s="154"/>
    </row>
    <row r="977" spans="1:7">
      <c r="A977" s="799">
        <v>41031</v>
      </c>
      <c r="B977" s="295" t="str">
        <f>TiposLancamentos!B16</f>
        <v>Cristiane</v>
      </c>
      <c r="C977" s="291" t="s">
        <v>23917</v>
      </c>
      <c r="D977" s="292"/>
      <c r="E977" s="293">
        <v>61.99</v>
      </c>
      <c r="F977" s="800"/>
      <c r="G977" s="154"/>
    </row>
    <row r="978" spans="1:7">
      <c r="A978" s="757">
        <v>41031</v>
      </c>
      <c r="B978" s="76" t="str">
        <f>TiposLancamentos!B31</f>
        <v>Action Figures</v>
      </c>
      <c r="C978" s="147" t="s">
        <v>23918</v>
      </c>
      <c r="D978" s="63"/>
      <c r="E978" s="231">
        <v>76.959999999999994</v>
      </c>
      <c r="F978" s="758"/>
      <c r="G978" s="154"/>
    </row>
    <row r="979" spans="1:7">
      <c r="A979" s="757">
        <v>41036</v>
      </c>
      <c r="B979" s="76" t="str">
        <f>TiposLancamentos!B30</f>
        <v>Cinema</v>
      </c>
      <c r="C979" s="147" t="s">
        <v>23919</v>
      </c>
      <c r="D979" s="63"/>
      <c r="E979" s="231">
        <v>48.6</v>
      </c>
      <c r="F979" s="758">
        <f>F975-F959</f>
        <v>159.7299999999999</v>
      </c>
      <c r="G979" s="154"/>
    </row>
    <row r="980" spans="1:7">
      <c r="A980" s="757">
        <v>40677</v>
      </c>
      <c r="B980" s="76" t="str">
        <f>TiposLancamentos!B57</f>
        <v>Informática</v>
      </c>
      <c r="C980" s="147" t="s">
        <v>23920</v>
      </c>
      <c r="D980" s="63"/>
      <c r="E980" s="231">
        <v>139.87</v>
      </c>
      <c r="F980" s="758"/>
      <c r="G980" s="154"/>
    </row>
    <row r="981" spans="1:7">
      <c r="A981" s="759"/>
      <c r="B981" s="226"/>
      <c r="C981" s="227" t="s">
        <v>10</v>
      </c>
      <c r="D981" s="228"/>
      <c r="E981" s="228"/>
      <c r="F981" s="760"/>
      <c r="G981" s="154"/>
    </row>
    <row r="982" spans="1:7">
      <c r="A982" s="757">
        <v>41048</v>
      </c>
      <c r="B982" s="76" t="str">
        <f>TiposLancamentos!B19</f>
        <v>Restaurantes</v>
      </c>
      <c r="C982" s="147" t="s">
        <v>23921</v>
      </c>
      <c r="D982" s="63"/>
      <c r="E982" s="231">
        <v>170.17</v>
      </c>
      <c r="F982" s="758"/>
      <c r="G982" s="154"/>
    </row>
    <row r="983" spans="1:7">
      <c r="A983" s="757">
        <v>41049</v>
      </c>
      <c r="B983" s="76" t="str">
        <f>TiposLancamentos!B64</f>
        <v>Viagens</v>
      </c>
      <c r="C983" s="147" t="s">
        <v>23922</v>
      </c>
      <c r="D983" s="63"/>
      <c r="E983" s="231">
        <v>434</v>
      </c>
      <c r="F983" s="758"/>
      <c r="G983" s="154"/>
    </row>
    <row r="984" spans="1:7">
      <c r="A984" s="757">
        <v>41051</v>
      </c>
      <c r="B984" s="76" t="str">
        <f>TiposLancamentos!B28</f>
        <v>ComicBook</v>
      </c>
      <c r="C984" s="147" t="s">
        <v>23923</v>
      </c>
      <c r="D984" s="63"/>
      <c r="E984" s="231">
        <v>140.55000000000001</v>
      </c>
      <c r="F984" s="758"/>
      <c r="G984" s="154"/>
    </row>
    <row r="985" spans="1:7">
      <c r="A985" s="757">
        <v>41051</v>
      </c>
      <c r="B985" s="76" t="str">
        <f>TiposLancamentos!B26</f>
        <v>LIVROS</v>
      </c>
      <c r="C985" s="147" t="s">
        <v>23924</v>
      </c>
      <c r="D985" s="63"/>
      <c r="E985" s="231">
        <v>51.32</v>
      </c>
      <c r="F985" s="758"/>
      <c r="G985" s="154"/>
    </row>
    <row r="986" spans="1:7">
      <c r="A986" s="799">
        <v>41052</v>
      </c>
      <c r="B986" s="295" t="str">
        <f>TiposLancamentos!B16</f>
        <v>Cristiane</v>
      </c>
      <c r="C986" s="291" t="s">
        <v>23925</v>
      </c>
      <c r="D986" s="292"/>
      <c r="E986" s="293">
        <v>255.2</v>
      </c>
      <c r="F986" s="800"/>
      <c r="G986" s="154"/>
    </row>
    <row r="987" spans="1:7">
      <c r="A987" s="799">
        <v>41052</v>
      </c>
      <c r="B987" s="295" t="str">
        <f>TiposLancamentos!B16</f>
        <v>Cristiane</v>
      </c>
      <c r="C987" s="291" t="s">
        <v>23926</v>
      </c>
      <c r="D987" s="292"/>
      <c r="E987" s="293">
        <v>121</v>
      </c>
      <c r="F987" s="800"/>
      <c r="G987" s="154"/>
    </row>
    <row r="988" spans="1:7">
      <c r="A988" s="757">
        <v>41052</v>
      </c>
      <c r="B988" s="76" t="str">
        <f>TiposLancamentos!B19</f>
        <v>Restaurantes</v>
      </c>
      <c r="C988" s="147" t="s">
        <v>23927</v>
      </c>
      <c r="D988" s="63"/>
      <c r="E988" s="231">
        <v>51.04</v>
      </c>
      <c r="F988" s="758"/>
      <c r="G988" s="154"/>
    </row>
    <row r="989" spans="1:7">
      <c r="A989" s="757">
        <v>41052</v>
      </c>
      <c r="B989" s="76" t="str">
        <f>TiposLancamentos!B16</f>
        <v>Cristiane</v>
      </c>
      <c r="C989" s="147" t="s">
        <v>23928</v>
      </c>
      <c r="D989" s="63"/>
      <c r="E989" s="231">
        <v>89.9</v>
      </c>
      <c r="F989" s="758"/>
      <c r="G989" s="154"/>
    </row>
    <row r="990" spans="1:7">
      <c r="A990" s="757">
        <v>41053</v>
      </c>
      <c r="B990" s="76" t="str">
        <f>TiposLancamentos!B16</f>
        <v>Cristiane</v>
      </c>
      <c r="C990" s="147" t="s">
        <v>23929</v>
      </c>
      <c r="D990" s="63"/>
      <c r="E990" s="231">
        <v>26.64</v>
      </c>
      <c r="F990" s="758"/>
      <c r="G990" s="154"/>
    </row>
    <row r="991" spans="1:7">
      <c r="A991" s="757">
        <v>41053</v>
      </c>
      <c r="B991" s="76" t="str">
        <f>TiposLancamentos!B19</f>
        <v>Restaurantes</v>
      </c>
      <c r="C991" s="147" t="s">
        <v>7141</v>
      </c>
      <c r="D991" s="63"/>
      <c r="E991" s="231">
        <v>14.1</v>
      </c>
      <c r="F991" s="758"/>
      <c r="G991" s="154"/>
    </row>
    <row r="992" spans="1:7">
      <c r="A992" s="152">
        <v>41054</v>
      </c>
      <c r="B992" s="275" t="str">
        <f>TiposLancamentos!B3</f>
        <v>Internet</v>
      </c>
      <c r="C992" s="141" t="s">
        <v>23831</v>
      </c>
      <c r="D992" s="51"/>
      <c r="E992" s="142">
        <v>29</v>
      </c>
      <c r="F992" s="142"/>
      <c r="G992" s="154"/>
    </row>
    <row r="993" spans="1:7">
      <c r="A993" s="152">
        <v>41054</v>
      </c>
      <c r="B993" s="275" t="str">
        <f>TiposLancamentos!B100</f>
        <v>Emprestimos</v>
      </c>
      <c r="C993" s="141" t="s">
        <v>23832</v>
      </c>
      <c r="D993" s="51"/>
      <c r="E993" s="142">
        <v>29</v>
      </c>
      <c r="F993" s="142">
        <f>SUM(E992:E993)</f>
        <v>58</v>
      </c>
      <c r="G993" s="154"/>
    </row>
    <row r="994" spans="1:7">
      <c r="A994" s="757">
        <v>41054</v>
      </c>
      <c r="B994" s="76" t="str">
        <f>TiposLancamentos!B19</f>
        <v>Restaurantes</v>
      </c>
      <c r="C994" s="147" t="s">
        <v>5914</v>
      </c>
      <c r="D994" s="63"/>
      <c r="E994" s="231">
        <v>21.9</v>
      </c>
      <c r="F994" s="758"/>
      <c r="G994" s="154"/>
    </row>
    <row r="995" spans="1:7">
      <c r="A995" s="757">
        <v>41057</v>
      </c>
      <c r="B995" s="76" t="str">
        <f>TiposLancamentos!B5</f>
        <v>Supermercado</v>
      </c>
      <c r="C995" s="147" t="s">
        <v>23930</v>
      </c>
      <c r="D995" s="63"/>
      <c r="E995" s="231">
        <v>69.95</v>
      </c>
      <c r="F995" s="758"/>
      <c r="G995" s="154"/>
    </row>
    <row r="996" spans="1:7">
      <c r="A996" s="757">
        <v>41059</v>
      </c>
      <c r="B996" s="76" t="str">
        <f>TiposLancamentos!B5</f>
        <v>Supermercado</v>
      </c>
      <c r="C996" s="147" t="s">
        <v>5844</v>
      </c>
      <c r="D996" s="63"/>
      <c r="E996" s="231">
        <v>72.98</v>
      </c>
      <c r="F996" s="758"/>
      <c r="G996" s="154"/>
    </row>
    <row r="997" spans="1:7">
      <c r="A997" s="751"/>
      <c r="B997" s="752"/>
      <c r="C997" s="801" t="s">
        <v>23931</v>
      </c>
      <c r="D997" s="754"/>
      <c r="E997" s="755"/>
      <c r="F997" s="756">
        <f>SUM(E968:E981)</f>
        <v>904.37000000000012</v>
      </c>
      <c r="G997" s="154"/>
    </row>
    <row r="998" spans="1:7">
      <c r="A998" s="757">
        <v>41061</v>
      </c>
      <c r="B998" s="76" t="str">
        <f>TiposLancamentos!B28</f>
        <v>ComicBook</v>
      </c>
      <c r="C998" s="147" t="s">
        <v>23932</v>
      </c>
      <c r="D998" s="63"/>
      <c r="E998" s="231">
        <v>31.4</v>
      </c>
      <c r="F998" s="758">
        <f>F997-F975</f>
        <v>48.910000000000082</v>
      </c>
      <c r="G998" s="154"/>
    </row>
    <row r="999" spans="1:7">
      <c r="A999" s="757">
        <v>41061</v>
      </c>
      <c r="B999" s="76" t="str">
        <f>TiposLancamentos!B15</f>
        <v>Cartões de Crédito</v>
      </c>
      <c r="C999" s="147" t="s">
        <v>1874</v>
      </c>
      <c r="D999" s="63">
        <v>904.37</v>
      </c>
      <c r="E999" s="231"/>
      <c r="F999" s="758"/>
      <c r="G999" s="154"/>
    </row>
    <row r="1000" spans="1:7">
      <c r="A1000" s="757">
        <v>41061</v>
      </c>
      <c r="B1000" s="76" t="str">
        <f>TiposLancamentos!B37</f>
        <v>Playstation 3</v>
      </c>
      <c r="C1000" s="147" t="s">
        <v>23933</v>
      </c>
      <c r="D1000" s="63"/>
      <c r="E1000" s="231">
        <v>26.5504</v>
      </c>
      <c r="F1000" s="758" t="s">
        <v>23934</v>
      </c>
      <c r="G1000" s="154"/>
    </row>
    <row r="1001" spans="1:7">
      <c r="A1001" s="757">
        <v>41062</v>
      </c>
      <c r="B1001" s="76" t="str">
        <f>TiposLancamentos!B3</f>
        <v>Internet</v>
      </c>
      <c r="C1001" s="147" t="s">
        <v>23935</v>
      </c>
      <c r="D1001" s="63"/>
      <c r="E1001" s="231">
        <v>40</v>
      </c>
      <c r="F1001" s="758"/>
      <c r="G1001" s="154"/>
    </row>
    <row r="1002" spans="1:7">
      <c r="A1002" s="757">
        <v>41064</v>
      </c>
      <c r="B1002" s="76" t="str">
        <f>TiposLancamentos!B26</f>
        <v>LIVROS</v>
      </c>
      <c r="C1002" s="147" t="s">
        <v>23936</v>
      </c>
      <c r="D1002" s="63"/>
      <c r="E1002" s="231">
        <v>43.93</v>
      </c>
      <c r="F1002" s="758"/>
      <c r="G1002" s="154"/>
    </row>
    <row r="1003" spans="1:7">
      <c r="A1003" s="757">
        <v>41064</v>
      </c>
      <c r="B1003" s="76" t="str">
        <f>TiposLancamentos!B30</f>
        <v>Cinema</v>
      </c>
      <c r="C1003" s="147" t="s">
        <v>23937</v>
      </c>
      <c r="D1003" s="63"/>
      <c r="E1003" s="231">
        <v>35</v>
      </c>
      <c r="F1003" s="758"/>
      <c r="G1003" s="154"/>
    </row>
    <row r="1004" spans="1:7">
      <c r="A1004" s="152">
        <v>41065</v>
      </c>
      <c r="B1004" s="275" t="str">
        <f>TiposLancamentos!B31</f>
        <v>Action Figures</v>
      </c>
      <c r="C1004" s="141" t="s">
        <v>23938</v>
      </c>
      <c r="D1004" s="51"/>
      <c r="E1004" s="142">
        <v>219</v>
      </c>
      <c r="F1004" s="142"/>
      <c r="G1004" s="154"/>
    </row>
    <row r="1005" spans="1:7">
      <c r="A1005" s="152">
        <v>41065</v>
      </c>
      <c r="B1005" s="275" t="str">
        <f>TiposLancamentos!B31</f>
        <v>Action Figures</v>
      </c>
      <c r="C1005" s="141" t="s">
        <v>23939</v>
      </c>
      <c r="D1005" s="51"/>
      <c r="E1005" s="142">
        <v>109</v>
      </c>
      <c r="F1005" s="142"/>
      <c r="G1005" s="154"/>
    </row>
    <row r="1006" spans="1:7">
      <c r="A1006" s="152">
        <v>41065</v>
      </c>
      <c r="B1006" s="275" t="str">
        <f>TiposLancamentos!B60</f>
        <v>Correio</v>
      </c>
      <c r="C1006" s="141" t="s">
        <v>23940</v>
      </c>
      <c r="D1006" s="51"/>
      <c r="E1006" s="142">
        <v>12</v>
      </c>
      <c r="F1006" s="142">
        <f>SUM(E1004:E1006)</f>
        <v>340</v>
      </c>
      <c r="G1006" s="154"/>
    </row>
    <row r="1007" spans="1:7">
      <c r="A1007" s="799">
        <v>41070</v>
      </c>
      <c r="B1007" s="295" t="str">
        <f>TiposLancamentos!B16</f>
        <v>Cristiane</v>
      </c>
      <c r="C1007" s="291" t="s">
        <v>23941</v>
      </c>
      <c r="D1007" s="292"/>
      <c r="E1007" s="293">
        <v>42.088999999999999</v>
      </c>
      <c r="F1007" s="800" t="s">
        <v>23942</v>
      </c>
      <c r="G1007" s="154"/>
    </row>
    <row r="1008" spans="1:7">
      <c r="A1008" s="757">
        <v>41070</v>
      </c>
      <c r="B1008" s="76" t="str">
        <f>TiposLancamentos!B78</f>
        <v>Diferenças</v>
      </c>
      <c r="C1008" s="147" t="s">
        <v>16645</v>
      </c>
      <c r="D1008" s="63">
        <v>0.26</v>
      </c>
      <c r="E1008" s="231"/>
      <c r="F1008" s="758"/>
      <c r="G1008" s="154"/>
    </row>
    <row r="1009" spans="1:7">
      <c r="A1009" s="757">
        <v>41070</v>
      </c>
      <c r="B1009" s="76" t="str">
        <f>TiposLancamentos!B57</f>
        <v>Informática</v>
      </c>
      <c r="C1009" s="147" t="s">
        <v>23943</v>
      </c>
      <c r="D1009" s="63"/>
      <c r="E1009" s="231">
        <v>41.88</v>
      </c>
      <c r="F1009" s="758" t="s">
        <v>23944</v>
      </c>
      <c r="G1009" s="154"/>
    </row>
    <row r="1010" spans="1:7">
      <c r="A1010" s="799">
        <v>41075</v>
      </c>
      <c r="B1010" s="295" t="str">
        <f>TiposLancamentos!B5</f>
        <v>Supermercado</v>
      </c>
      <c r="C1010" s="291" t="s">
        <v>5801</v>
      </c>
      <c r="D1010" s="292"/>
      <c r="E1010" s="293">
        <v>58.7</v>
      </c>
      <c r="F1010" s="800"/>
      <c r="G1010" s="154"/>
    </row>
    <row r="1011" spans="1:7">
      <c r="A1011" s="799">
        <v>41078</v>
      </c>
      <c r="B1011" s="295" t="str">
        <f>TiposLancamentos!B5</f>
        <v>Supermercado</v>
      </c>
      <c r="C1011" s="291" t="s">
        <v>5967</v>
      </c>
      <c r="D1011" s="292"/>
      <c r="E1011" s="293">
        <v>58.84</v>
      </c>
      <c r="F1011" s="800"/>
      <c r="G1011" s="154"/>
    </row>
    <row r="1012" spans="1:7">
      <c r="A1012" s="757">
        <v>41080</v>
      </c>
      <c r="B1012" s="76" t="str">
        <f>TiposLancamentos!B4</f>
        <v>Taxas Bancarias</v>
      </c>
      <c r="C1012" s="147" t="s">
        <v>23945</v>
      </c>
      <c r="D1012" s="63"/>
      <c r="E1012" s="231">
        <v>1.62</v>
      </c>
      <c r="F1012" s="758"/>
      <c r="G1012" s="154"/>
    </row>
    <row r="1013" spans="1:7">
      <c r="A1013" s="799">
        <v>41080</v>
      </c>
      <c r="B1013" s="295" t="str">
        <f>TiposLancamentos!B4</f>
        <v>Taxas Bancarias</v>
      </c>
      <c r="C1013" s="291" t="s">
        <v>23945</v>
      </c>
      <c r="D1013" s="292"/>
      <c r="E1013" s="293">
        <v>2.57</v>
      </c>
      <c r="F1013" s="800"/>
      <c r="G1013" s="154"/>
    </row>
    <row r="1014" spans="1:7">
      <c r="A1014" s="759"/>
      <c r="B1014" s="226"/>
      <c r="C1014" s="227" t="s">
        <v>10</v>
      </c>
      <c r="D1014" s="228"/>
      <c r="E1014" s="228"/>
      <c r="F1014" s="760"/>
      <c r="G1014" s="154"/>
    </row>
    <row r="1015" spans="1:7">
      <c r="A1015" s="757">
        <v>41079</v>
      </c>
      <c r="B1015" s="76" t="str">
        <f>TiposLancamentos!B26</f>
        <v>LIVROS</v>
      </c>
      <c r="C1015" s="147" t="s">
        <v>23946</v>
      </c>
      <c r="D1015" s="63"/>
      <c r="E1015" s="231">
        <v>101.2</v>
      </c>
      <c r="F1015" s="758"/>
      <c r="G1015" s="804"/>
    </row>
    <row r="1016" spans="1:7">
      <c r="A1016" s="757">
        <v>41079</v>
      </c>
      <c r="B1016" s="76" t="str">
        <f>TiposLancamentos!B31</f>
        <v>Action Figures</v>
      </c>
      <c r="C1016" s="147" t="s">
        <v>23947</v>
      </c>
      <c r="D1016" s="63"/>
      <c r="E1016" s="231">
        <v>57.3</v>
      </c>
      <c r="F1016" s="758"/>
      <c r="G1016" s="804"/>
    </row>
    <row r="1017" spans="1:7">
      <c r="A1017" s="757">
        <v>41081</v>
      </c>
      <c r="B1017" s="76" t="str">
        <f>TiposLancamentos!B57</f>
        <v>Informática</v>
      </c>
      <c r="C1017" s="147" t="s">
        <v>23948</v>
      </c>
      <c r="D1017" s="63"/>
      <c r="E1017" s="231">
        <v>79.11</v>
      </c>
      <c r="F1017" s="758"/>
      <c r="G1017" s="804"/>
    </row>
    <row r="1018" spans="1:7">
      <c r="A1018" s="757">
        <v>41084</v>
      </c>
      <c r="B1018" s="76" t="str">
        <f>TiposLancamentos!B16</f>
        <v>Cristiane</v>
      </c>
      <c r="C1018" s="147" t="s">
        <v>23949</v>
      </c>
      <c r="D1018" s="63"/>
      <c r="E1018" s="231">
        <v>26.64</v>
      </c>
      <c r="F1018" s="758"/>
      <c r="G1018" s="804"/>
    </row>
    <row r="1019" spans="1:7">
      <c r="A1019" s="806">
        <v>41085</v>
      </c>
      <c r="B1019" s="822" t="str">
        <f>TiposLancamentos!B3</f>
        <v>Internet</v>
      </c>
      <c r="C1019" s="808" t="s">
        <v>23831</v>
      </c>
      <c r="D1019" s="747"/>
      <c r="E1019" s="874">
        <v>29</v>
      </c>
      <c r="F1019" s="756"/>
      <c r="G1019" s="804"/>
    </row>
    <row r="1020" spans="1:7">
      <c r="A1020" s="810">
        <v>41085</v>
      </c>
      <c r="B1020" s="823" t="str">
        <f>TiposLancamentos!B100</f>
        <v>Emprestimos</v>
      </c>
      <c r="C1020" s="812" t="s">
        <v>23832</v>
      </c>
      <c r="D1020" s="849"/>
      <c r="E1020" s="875">
        <v>29</v>
      </c>
      <c r="F1020" s="766">
        <f>SUM(E1019:E1020)</f>
        <v>58</v>
      </c>
      <c r="G1020" s="804"/>
    </row>
    <row r="1021" spans="1:7">
      <c r="A1021" s="799">
        <v>41086</v>
      </c>
      <c r="B1021" s="295" t="str">
        <f>TiposLancamentos!B16</f>
        <v>Cristiane</v>
      </c>
      <c r="C1021" s="291" t="s">
        <v>23950</v>
      </c>
      <c r="D1021" s="292"/>
      <c r="E1021" s="293">
        <v>214.95</v>
      </c>
      <c r="F1021" s="800"/>
      <c r="G1021" s="804"/>
    </row>
    <row r="1022" spans="1:7">
      <c r="A1022" s="799">
        <v>41086</v>
      </c>
      <c r="B1022" s="295" t="str">
        <f>TiposLancamentos!B16</f>
        <v>Cristiane</v>
      </c>
      <c r="C1022" s="291" t="s">
        <v>23951</v>
      </c>
      <c r="D1022" s="292"/>
      <c r="E1022" s="293">
        <v>151.97</v>
      </c>
      <c r="F1022" s="800"/>
      <c r="G1022" s="804"/>
    </row>
    <row r="1023" spans="1:7">
      <c r="A1023" s="757">
        <v>41087</v>
      </c>
      <c r="B1023" s="76" t="str">
        <f>TiposLancamentos!B31</f>
        <v>Action Figures</v>
      </c>
      <c r="C1023" s="147" t="s">
        <v>23952</v>
      </c>
      <c r="D1023" s="63"/>
      <c r="E1023" s="231">
        <v>242.22</v>
      </c>
      <c r="F1023" s="758"/>
    </row>
    <row r="1024" spans="1:7">
      <c r="A1024" s="799">
        <v>41087</v>
      </c>
      <c r="B1024" s="295" t="str">
        <f>TiposLancamentos!B5</f>
        <v>Supermercado</v>
      </c>
      <c r="C1024" s="291" t="s">
        <v>5801</v>
      </c>
      <c r="D1024" s="292"/>
      <c r="E1024" s="293">
        <v>87.46</v>
      </c>
      <c r="F1024" s="800"/>
    </row>
    <row r="1025" spans="1:7">
      <c r="A1025" s="799">
        <v>41088</v>
      </c>
      <c r="B1025" s="295" t="str">
        <f>TiposLancamentos!B16</f>
        <v>Cristiane</v>
      </c>
      <c r="C1025" s="291" t="s">
        <v>2218</v>
      </c>
      <c r="D1025" s="292"/>
      <c r="E1025" s="293">
        <v>34.5</v>
      </c>
      <c r="F1025" s="800"/>
    </row>
    <row r="1026" spans="1:7">
      <c r="A1026" s="757">
        <v>41088</v>
      </c>
      <c r="B1026" s="76" t="str">
        <f>TiposLancamentos!B57</f>
        <v>Informática</v>
      </c>
      <c r="C1026" s="147" t="s">
        <v>23953</v>
      </c>
      <c r="D1026" s="63"/>
      <c r="E1026" s="231">
        <v>8.2799999999999994</v>
      </c>
      <c r="F1026" s="758" t="s">
        <v>11062</v>
      </c>
    </row>
    <row r="1027" spans="1:7">
      <c r="A1027" s="751"/>
      <c r="B1027" s="752"/>
      <c r="C1027" s="802" t="s">
        <v>13592</v>
      </c>
      <c r="D1027" s="754"/>
      <c r="E1027" s="755"/>
      <c r="F1027" s="756">
        <f>SUM(E982:E1013)</f>
        <v>2299.3294000000005</v>
      </c>
    </row>
    <row r="1028" spans="1:7">
      <c r="A1028" s="757">
        <v>41092</v>
      </c>
      <c r="B1028" s="76" t="str">
        <f>TiposLancamentos!B15</f>
        <v>Cartões de Crédito</v>
      </c>
      <c r="C1028" s="147" t="s">
        <v>23954</v>
      </c>
      <c r="D1028" s="63">
        <v>2299.33</v>
      </c>
      <c r="E1028" s="231"/>
      <c r="F1028" s="758">
        <f>F997-F1027</f>
        <v>-1394.9594000000004</v>
      </c>
      <c r="G1028" s="36"/>
    </row>
    <row r="1029" spans="1:7">
      <c r="A1029" s="799">
        <v>41093</v>
      </c>
      <c r="B1029" s="295" t="str">
        <f>TiposLancamentos!B16</f>
        <v>Cristiane</v>
      </c>
      <c r="C1029" s="291" t="s">
        <v>16636</v>
      </c>
      <c r="D1029" s="292"/>
      <c r="E1029" s="293">
        <v>130.97</v>
      </c>
      <c r="F1029" s="800"/>
    </row>
    <row r="1030" spans="1:7">
      <c r="A1030" s="757">
        <v>41093</v>
      </c>
      <c r="B1030" s="76" t="str">
        <f>TiposLancamentos!B16</f>
        <v>Cristiane</v>
      </c>
      <c r="C1030" s="147" t="s">
        <v>23955</v>
      </c>
      <c r="D1030" s="63"/>
      <c r="E1030" s="231">
        <v>114.01</v>
      </c>
      <c r="F1030" s="758"/>
    </row>
    <row r="1031" spans="1:7">
      <c r="A1031" s="757">
        <v>41093</v>
      </c>
      <c r="B1031" s="76" t="str">
        <f>TiposLancamentos!B30</f>
        <v>Cinema</v>
      </c>
      <c r="C1031" s="147" t="s">
        <v>23956</v>
      </c>
      <c r="D1031" s="63"/>
      <c r="E1031" s="231">
        <v>50.6</v>
      </c>
      <c r="F1031" s="758"/>
    </row>
    <row r="1032" spans="1:7">
      <c r="A1032" s="757">
        <v>41095</v>
      </c>
      <c r="B1032" s="76" t="str">
        <f>TiposLancamentos!B57</f>
        <v>Informática</v>
      </c>
      <c r="C1032" s="147" t="s">
        <v>23957</v>
      </c>
      <c r="D1032" s="63"/>
      <c r="E1032" s="231">
        <v>10.08</v>
      </c>
      <c r="F1032" s="758" t="s">
        <v>11024</v>
      </c>
    </row>
    <row r="1033" spans="1:7">
      <c r="A1033" s="757">
        <v>41098</v>
      </c>
      <c r="B1033" s="76" t="str">
        <f>TiposLancamentos!B31</f>
        <v>Action Figures</v>
      </c>
      <c r="C1033" s="147" t="s">
        <v>23958</v>
      </c>
      <c r="D1033" s="63"/>
      <c r="E1033" s="231">
        <v>142</v>
      </c>
      <c r="F1033" s="758"/>
    </row>
    <row r="1034" spans="1:7">
      <c r="A1034" s="757">
        <v>41100</v>
      </c>
      <c r="B1034" s="76" t="str">
        <f>TiposLancamentos!B57</f>
        <v>Informática</v>
      </c>
      <c r="C1034" s="147" t="s">
        <v>23959</v>
      </c>
      <c r="D1034" s="63"/>
      <c r="E1034" s="231">
        <v>31.6</v>
      </c>
      <c r="F1034" s="758" t="s">
        <v>23960</v>
      </c>
    </row>
    <row r="1035" spans="1:7">
      <c r="A1035" s="799">
        <v>41106</v>
      </c>
      <c r="B1035" s="295" t="str">
        <f>TiposLancamentos!B5</f>
        <v>Supermercado</v>
      </c>
      <c r="C1035" s="291" t="s">
        <v>22762</v>
      </c>
      <c r="D1035" s="292"/>
      <c r="E1035" s="293">
        <v>86.6</v>
      </c>
      <c r="F1035" s="800"/>
    </row>
    <row r="1036" spans="1:7">
      <c r="A1036" s="757">
        <v>41106</v>
      </c>
      <c r="B1036" s="76" t="str">
        <f>TiposLancamentos!B71</f>
        <v>Itens Pessoais</v>
      </c>
      <c r="C1036" s="147" t="s">
        <v>23961</v>
      </c>
      <c r="D1036" s="63"/>
      <c r="E1036" s="231">
        <v>126.99</v>
      </c>
      <c r="F1036" s="758"/>
    </row>
    <row r="1037" spans="1:7">
      <c r="A1037" s="799">
        <v>41108</v>
      </c>
      <c r="B1037" s="295" t="str">
        <f>TiposLancamentos!B16</f>
        <v>Cristiane</v>
      </c>
      <c r="C1037" s="291" t="s">
        <v>23888</v>
      </c>
      <c r="D1037" s="292"/>
      <c r="E1037" s="293">
        <v>79.8</v>
      </c>
      <c r="F1037" s="800"/>
    </row>
    <row r="1038" spans="1:7">
      <c r="A1038" s="799">
        <v>41108</v>
      </c>
      <c r="B1038" s="295" t="str">
        <f>TiposLancamentos!B16</f>
        <v>Cristiane</v>
      </c>
      <c r="C1038" s="291" t="s">
        <v>23962</v>
      </c>
      <c r="D1038" s="292"/>
      <c r="E1038" s="293">
        <v>49.99</v>
      </c>
      <c r="F1038" s="800"/>
    </row>
    <row r="1039" spans="1:7">
      <c r="A1039" s="757">
        <v>41110</v>
      </c>
      <c r="B1039" s="76" t="str">
        <f>TiposLancamentos!B4</f>
        <v>Taxas Bancarias</v>
      </c>
      <c r="C1039" s="147" t="s">
        <v>23963</v>
      </c>
      <c r="D1039" s="63"/>
      <c r="E1039" s="231">
        <v>1.18</v>
      </c>
      <c r="F1039" s="758"/>
    </row>
    <row r="1040" spans="1:7">
      <c r="A1040" s="759"/>
      <c r="B1040" s="226"/>
      <c r="C1040" s="227" t="s">
        <v>10</v>
      </c>
      <c r="D1040" s="228"/>
      <c r="E1040" s="228"/>
      <c r="F1040" s="760"/>
    </row>
    <row r="1041" spans="1:6">
      <c r="A1041" s="757">
        <v>41110</v>
      </c>
      <c r="B1041" s="76" t="str">
        <f>TiposLancamentos!B31</f>
        <v>Action Figures</v>
      </c>
      <c r="C1041" s="147" t="s">
        <v>23964</v>
      </c>
      <c r="D1041" s="63"/>
      <c r="E1041" s="231">
        <v>172.34</v>
      </c>
      <c r="F1041" s="758"/>
    </row>
    <row r="1042" spans="1:6">
      <c r="A1042" s="757">
        <v>41112</v>
      </c>
      <c r="B1042" s="76" t="str">
        <f>TiposLancamentos!B64</f>
        <v>Viagens</v>
      </c>
      <c r="C1042" s="147" t="s">
        <v>23965</v>
      </c>
      <c r="D1042" s="63"/>
      <c r="E1042" s="231">
        <v>398.28</v>
      </c>
      <c r="F1042" s="758"/>
    </row>
    <row r="1043" spans="1:6">
      <c r="A1043" s="757">
        <v>41113</v>
      </c>
      <c r="B1043" s="76" t="str">
        <f>TiposLancamentos!B57</f>
        <v>Informática</v>
      </c>
      <c r="C1043" s="147" t="s">
        <v>23966</v>
      </c>
      <c r="D1043" s="63"/>
      <c r="E1043" s="231">
        <v>69.900000000000006</v>
      </c>
      <c r="F1043" s="758"/>
    </row>
    <row r="1044" spans="1:6">
      <c r="A1044" s="757">
        <v>41114</v>
      </c>
      <c r="B1044" s="76" t="str">
        <f>TiposLancamentos!B31</f>
        <v>Action Figures</v>
      </c>
      <c r="C1044" s="147" t="s">
        <v>23967</v>
      </c>
      <c r="D1044" s="63"/>
      <c r="E1044" s="231">
        <v>304.17</v>
      </c>
      <c r="F1044" s="758"/>
    </row>
    <row r="1045" spans="1:6">
      <c r="A1045" s="757">
        <v>41084</v>
      </c>
      <c r="B1045" s="76" t="str">
        <f>TiposLancamentos!B16</f>
        <v>Cristiane</v>
      </c>
      <c r="C1045" s="147" t="s">
        <v>23968</v>
      </c>
      <c r="D1045" s="63"/>
      <c r="E1045" s="231">
        <v>26.63</v>
      </c>
      <c r="F1045" s="758"/>
    </row>
    <row r="1046" spans="1:6">
      <c r="A1046" s="757">
        <v>41085</v>
      </c>
      <c r="B1046" s="76" t="str">
        <f>TiposLancamentos!B16</f>
        <v>Cristiane</v>
      </c>
      <c r="C1046" s="147" t="s">
        <v>23969</v>
      </c>
      <c r="D1046" s="63"/>
      <c r="E1046" s="231">
        <v>8.6999999999999993</v>
      </c>
      <c r="F1046" s="758"/>
    </row>
    <row r="1047" spans="1:6">
      <c r="A1047" s="757">
        <v>41116</v>
      </c>
      <c r="B1047" s="76" t="str">
        <f>TiposLancamentos!B57</f>
        <v>Informática</v>
      </c>
      <c r="C1047" s="147" t="s">
        <v>23970</v>
      </c>
      <c r="D1047" s="63"/>
      <c r="E1047" s="231">
        <v>264.83999999999997</v>
      </c>
      <c r="F1047" s="758"/>
    </row>
    <row r="1048" spans="1:6">
      <c r="A1048" s="757">
        <v>41119</v>
      </c>
      <c r="B1048" s="76" t="str">
        <f>TiposLancamentos!B30</f>
        <v>Cinema</v>
      </c>
      <c r="C1048" s="147" t="s">
        <v>23971</v>
      </c>
      <c r="D1048" s="63"/>
      <c r="E1048" s="231">
        <v>51</v>
      </c>
      <c r="F1048" s="758"/>
    </row>
    <row r="1049" spans="1:6">
      <c r="A1049" s="799">
        <v>41120</v>
      </c>
      <c r="B1049" s="295" t="str">
        <f>TiposLancamentos!B5</f>
        <v>Supermercado</v>
      </c>
      <c r="C1049" s="291" t="s">
        <v>23972</v>
      </c>
      <c r="D1049" s="292"/>
      <c r="E1049" s="293">
        <v>34.83</v>
      </c>
      <c r="F1049" s="800"/>
    </row>
    <row r="1050" spans="1:6">
      <c r="A1050" s="751"/>
      <c r="B1050" s="752"/>
      <c r="C1050" s="802" t="s">
        <v>13595</v>
      </c>
      <c r="D1050" s="754"/>
      <c r="E1050" s="755"/>
      <c r="F1050" s="756">
        <f>SUM(E1015:E1039)</f>
        <v>1885.4499999999998</v>
      </c>
    </row>
    <row r="1051" spans="1:6">
      <c r="A1051" s="757">
        <v>41122</v>
      </c>
      <c r="B1051" s="76" t="str">
        <f>TiposLancamentos!B15</f>
        <v>Cartões de Crédito</v>
      </c>
      <c r="C1051" s="147" t="s">
        <v>16544</v>
      </c>
      <c r="D1051" s="63">
        <v>1885.45</v>
      </c>
      <c r="E1051" s="231"/>
      <c r="F1051" s="758">
        <f>F1027-F1050</f>
        <v>413.87940000000071</v>
      </c>
    </row>
    <row r="1052" spans="1:6">
      <c r="A1052" s="757">
        <v>41122</v>
      </c>
      <c r="B1052" s="76" t="str">
        <f>TiposLancamentos!B4</f>
        <v>Taxas Bancarias</v>
      </c>
      <c r="C1052" s="147" t="s">
        <v>23973</v>
      </c>
      <c r="D1052" s="63"/>
      <c r="E1052" s="231">
        <v>0.24</v>
      </c>
      <c r="F1052" s="758"/>
    </row>
    <row r="1053" spans="1:6">
      <c r="A1053" s="757">
        <v>41123</v>
      </c>
      <c r="B1053" s="76" t="str">
        <f>TiposLancamentos!B31</f>
        <v>Action Figures</v>
      </c>
      <c r="C1053" s="147" t="s">
        <v>23974</v>
      </c>
      <c r="D1053" s="63"/>
      <c r="E1053" s="231">
        <v>159</v>
      </c>
      <c r="F1053" s="758"/>
    </row>
    <row r="1054" spans="1:6">
      <c r="A1054" s="757">
        <v>41123</v>
      </c>
      <c r="B1054" s="76" t="str">
        <f>TiposLancamentos!B72</f>
        <v>Presentes</v>
      </c>
      <c r="C1054" s="147" t="s">
        <v>23975</v>
      </c>
      <c r="D1054" s="63"/>
      <c r="E1054" s="231">
        <v>98.1</v>
      </c>
      <c r="F1054" s="758"/>
    </row>
    <row r="1055" spans="1:6">
      <c r="A1055" s="152">
        <v>41127</v>
      </c>
      <c r="B1055" s="275" t="str">
        <f>TiposLancamentos!B28</f>
        <v>ComicBook</v>
      </c>
      <c r="C1055" s="141" t="s">
        <v>23976</v>
      </c>
      <c r="D1055" s="51"/>
      <c r="E1055" s="142">
        <v>69</v>
      </c>
      <c r="F1055" s="142"/>
    </row>
    <row r="1056" spans="1:6">
      <c r="A1056" s="152">
        <v>41127</v>
      </c>
      <c r="B1056" s="275" t="str">
        <f>TiposLancamentos!B25</f>
        <v>CD_DVD_BD</v>
      </c>
      <c r="C1056" s="141" t="s">
        <v>23977</v>
      </c>
      <c r="D1056" s="51"/>
      <c r="E1056" s="142">
        <f>F1056-E1055</f>
        <v>82.5</v>
      </c>
      <c r="F1056" s="142">
        <v>151.5</v>
      </c>
    </row>
    <row r="1057" spans="1:7">
      <c r="A1057" s="152">
        <v>41127</v>
      </c>
      <c r="B1057" s="275" t="str">
        <f>TiposLancamentos!B26</f>
        <v>LIVROS</v>
      </c>
      <c r="C1057" s="141" t="s">
        <v>23978</v>
      </c>
      <c r="D1057" s="51"/>
      <c r="E1057" s="142">
        <v>54.57</v>
      </c>
      <c r="F1057" s="152"/>
    </row>
    <row r="1058" spans="1:7">
      <c r="A1058" s="152">
        <v>41127</v>
      </c>
      <c r="B1058" s="275" t="str">
        <f>TiposLancamentos!B26</f>
        <v>LIVROS</v>
      </c>
      <c r="C1058" s="141" t="s">
        <v>23979</v>
      </c>
      <c r="D1058" s="51"/>
      <c r="E1058" s="142">
        <v>54.57</v>
      </c>
      <c r="F1058" s="152"/>
    </row>
    <row r="1059" spans="1:7">
      <c r="A1059" s="152">
        <v>41127</v>
      </c>
      <c r="B1059" s="275" t="str">
        <f>TiposLancamentos!B26</f>
        <v>LIVROS</v>
      </c>
      <c r="C1059" s="141" t="s">
        <v>23980</v>
      </c>
      <c r="D1059" s="51"/>
      <c r="E1059" s="142">
        <v>54.56</v>
      </c>
      <c r="F1059" s="142">
        <f>SUM(E1057:E1059)</f>
        <v>163.69999999999999</v>
      </c>
    </row>
    <row r="1060" spans="1:7">
      <c r="A1060" s="757">
        <v>41136</v>
      </c>
      <c r="B1060" s="76" t="str">
        <f>TiposLancamentos!B57</f>
        <v>Informática</v>
      </c>
      <c r="C1060" s="147" t="s">
        <v>23981</v>
      </c>
      <c r="D1060" s="63"/>
      <c r="E1060" s="231">
        <v>6.27</v>
      </c>
      <c r="F1060" s="758" t="s">
        <v>17292</v>
      </c>
    </row>
    <row r="1061" spans="1:7">
      <c r="A1061" s="799">
        <v>41136</v>
      </c>
      <c r="B1061" s="295" t="str">
        <f>TiposLancamentos!B16</f>
        <v>Cristiane</v>
      </c>
      <c r="C1061" s="291" t="s">
        <v>23982</v>
      </c>
      <c r="D1061" s="292"/>
      <c r="E1061" s="293">
        <v>2.08</v>
      </c>
      <c r="F1061" s="800" t="s">
        <v>10768</v>
      </c>
    </row>
    <row r="1062" spans="1:7">
      <c r="A1062" s="757">
        <v>41137</v>
      </c>
      <c r="B1062" s="76" t="str">
        <f>TiposLancamentos!B30</f>
        <v>Cinema</v>
      </c>
      <c r="C1062" s="147" t="s">
        <v>23971</v>
      </c>
      <c r="D1062" s="63"/>
      <c r="E1062" s="231">
        <v>55</v>
      </c>
      <c r="F1062" s="758"/>
    </row>
    <row r="1063" spans="1:7">
      <c r="A1063" s="799">
        <v>41140</v>
      </c>
      <c r="B1063" s="295" t="str">
        <f>TiposLancamentos!B16</f>
        <v>Cristiane</v>
      </c>
      <c r="C1063" s="291" t="s">
        <v>23982</v>
      </c>
      <c r="D1063" s="292"/>
      <c r="E1063" s="293">
        <v>6.25</v>
      </c>
      <c r="F1063" s="800" t="s">
        <v>23983</v>
      </c>
      <c r="G1063" s="877"/>
    </row>
    <row r="1064" spans="1:7">
      <c r="A1064" s="799">
        <v>41143</v>
      </c>
      <c r="B1064" s="295" t="str">
        <f>TiposLancamentos!B4</f>
        <v>Taxas Bancarias</v>
      </c>
      <c r="C1064" s="291" t="s">
        <v>23984</v>
      </c>
      <c r="D1064" s="292"/>
      <c r="E1064" s="293">
        <v>0.51</v>
      </c>
      <c r="F1064" s="800"/>
      <c r="G1064" s="877"/>
    </row>
    <row r="1065" spans="1:7">
      <c r="A1065" s="757">
        <v>41143</v>
      </c>
      <c r="B1065" s="76" t="str">
        <f>TiposLancamentos!B4</f>
        <v>Taxas Bancarias</v>
      </c>
      <c r="C1065" s="147" t="s">
        <v>4858</v>
      </c>
      <c r="D1065" s="63"/>
      <c r="E1065" s="231">
        <v>0.39</v>
      </c>
      <c r="F1065" s="758"/>
      <c r="G1065" s="877"/>
    </row>
    <row r="1066" spans="1:7">
      <c r="A1066" s="759"/>
      <c r="B1066" s="226"/>
      <c r="C1066" s="227" t="s">
        <v>10</v>
      </c>
      <c r="D1066" s="228"/>
      <c r="E1066" s="228"/>
      <c r="F1066" s="760"/>
      <c r="G1066" s="877"/>
    </row>
    <row r="1067" spans="1:7">
      <c r="A1067" s="152">
        <v>41143</v>
      </c>
      <c r="B1067" s="275" t="str">
        <f>TiposLancamentos!B25</f>
        <v>CD_DVD_BD</v>
      </c>
      <c r="C1067" s="141" t="s">
        <v>23985</v>
      </c>
      <c r="D1067" s="51"/>
      <c r="E1067" s="142">
        <v>79.900000000000006</v>
      </c>
      <c r="F1067" s="152"/>
      <c r="G1067" s="877"/>
    </row>
    <row r="1068" spans="1:7">
      <c r="A1068" s="152">
        <v>41143</v>
      </c>
      <c r="B1068" s="275" t="str">
        <f>TiposLancamentos!B25</f>
        <v>CD_DVD_BD</v>
      </c>
      <c r="C1068" s="141" t="s">
        <v>23986</v>
      </c>
      <c r="D1068" s="51"/>
      <c r="E1068" s="142">
        <f>F1068-E1067</f>
        <v>382.89</v>
      </c>
      <c r="F1068" s="142">
        <v>462.79</v>
      </c>
    </row>
    <row r="1069" spans="1:7">
      <c r="A1069" s="757">
        <v>41146</v>
      </c>
      <c r="B1069" s="76" t="str">
        <f>TiposLancamentos!B16</f>
        <v>Cristiane</v>
      </c>
      <c r="C1069" s="147" t="s">
        <v>23987</v>
      </c>
      <c r="D1069" s="63"/>
      <c r="E1069" s="231">
        <v>29</v>
      </c>
      <c r="F1069" s="758"/>
      <c r="G1069" s="877"/>
    </row>
    <row r="1070" spans="1:7">
      <c r="A1070" s="757">
        <v>41146</v>
      </c>
      <c r="B1070" s="76" t="str">
        <f>TiposLancamentos!B28</f>
        <v>ComicBook</v>
      </c>
      <c r="C1070" s="147" t="s">
        <v>23988</v>
      </c>
      <c r="D1070" s="63"/>
      <c r="E1070" s="231">
        <v>32.24</v>
      </c>
      <c r="F1070" s="758"/>
      <c r="G1070" s="877"/>
    </row>
    <row r="1071" spans="1:7">
      <c r="A1071" s="152">
        <v>41150</v>
      </c>
      <c r="B1071" s="275" t="str">
        <f>TiposLancamentos!B25</f>
        <v>CD_DVD_BD</v>
      </c>
      <c r="C1071" s="141" t="s">
        <v>23989</v>
      </c>
      <c r="D1071" s="51"/>
      <c r="E1071" s="142">
        <f>29.9+2.75</f>
        <v>32.65</v>
      </c>
      <c r="F1071" s="142">
        <f>SUM(E1071:E1071)</f>
        <v>32.65</v>
      </c>
      <c r="G1071" s="877"/>
    </row>
    <row r="1072" spans="1:7">
      <c r="A1072" s="799">
        <v>41150</v>
      </c>
      <c r="B1072" s="295" t="str">
        <f>TiposLancamentos!B16</f>
        <v>Cristiane</v>
      </c>
      <c r="C1072" s="291" t="s">
        <v>23990</v>
      </c>
      <c r="D1072" s="292"/>
      <c r="E1072" s="293">
        <v>2.09</v>
      </c>
      <c r="F1072" s="800" t="s">
        <v>10768</v>
      </c>
      <c r="G1072" s="877"/>
    </row>
    <row r="1073" spans="1:7">
      <c r="A1073" s="757">
        <v>41151</v>
      </c>
      <c r="B1073" s="76" t="str">
        <f>TiposLancamentos!B31</f>
        <v>Action Figures</v>
      </c>
      <c r="C1073" s="147" t="s">
        <v>23991</v>
      </c>
      <c r="D1073" s="63"/>
      <c r="E1073" s="231">
        <v>380.4</v>
      </c>
      <c r="F1073" s="758"/>
      <c r="G1073" s="877"/>
    </row>
    <row r="1074" spans="1:7">
      <c r="A1074" s="751"/>
      <c r="B1074" s="752"/>
      <c r="C1074" s="802" t="s">
        <v>13597</v>
      </c>
      <c r="D1074" s="754"/>
      <c r="E1074" s="755"/>
      <c r="F1074" s="756">
        <f>SUM(E1041:E1065)</f>
        <v>1973.7299999999998</v>
      </c>
    </row>
    <row r="1075" spans="1:7">
      <c r="A1075" s="757">
        <v>41155</v>
      </c>
      <c r="B1075" s="76" t="str">
        <f>TiposLancamentos!B15</f>
        <v>Cartões de Crédito</v>
      </c>
      <c r="C1075" s="147" t="s">
        <v>1874</v>
      </c>
      <c r="D1075" s="63">
        <v>1973.73</v>
      </c>
      <c r="E1075" s="231"/>
      <c r="F1075" s="758"/>
    </row>
    <row r="1076" spans="1:7">
      <c r="A1076" s="757">
        <v>41155</v>
      </c>
      <c r="B1076" s="76" t="str">
        <f>TiposLancamentos!B25</f>
        <v>CD_DVD_BD</v>
      </c>
      <c r="C1076" s="147" t="s">
        <v>23992</v>
      </c>
      <c r="D1076" s="63"/>
      <c r="E1076" s="231">
        <v>42.64</v>
      </c>
      <c r="F1076" s="758"/>
    </row>
    <row r="1077" spans="1:7">
      <c r="A1077" s="757">
        <v>41155</v>
      </c>
      <c r="B1077" s="76" t="str">
        <f>TiposLancamentos!B4</f>
        <v>Taxas Bancarias</v>
      </c>
      <c r="C1077" s="147" t="s">
        <v>11080</v>
      </c>
      <c r="D1077" s="63"/>
      <c r="E1077" s="231">
        <v>0.15</v>
      </c>
      <c r="F1077" s="758"/>
    </row>
    <row r="1078" spans="1:7">
      <c r="A1078" s="757">
        <v>41155</v>
      </c>
      <c r="B1078" s="76" t="str">
        <f>TiposLancamentos!B57</f>
        <v>Informática</v>
      </c>
      <c r="C1078" s="147" t="s">
        <v>23993</v>
      </c>
      <c r="D1078" s="63"/>
      <c r="E1078" s="231">
        <v>2.09</v>
      </c>
      <c r="F1078" s="758" t="s">
        <v>10768</v>
      </c>
    </row>
    <row r="1079" spans="1:7">
      <c r="A1079" s="799">
        <v>41156</v>
      </c>
      <c r="B1079" s="295" t="str">
        <f>TiposLancamentos!B16</f>
        <v>Cristiane</v>
      </c>
      <c r="C1079" s="291" t="s">
        <v>23994</v>
      </c>
      <c r="D1079" s="292"/>
      <c r="E1079" s="293">
        <v>216</v>
      </c>
      <c r="F1079" s="800"/>
    </row>
    <row r="1080" spans="1:7">
      <c r="A1080" s="799">
        <v>41156</v>
      </c>
      <c r="B1080" s="295" t="str">
        <f>TiposLancamentos!B16</f>
        <v>Cristiane</v>
      </c>
      <c r="C1080" s="291" t="s">
        <v>23995</v>
      </c>
      <c r="D1080" s="292"/>
      <c r="E1080" s="293">
        <v>90</v>
      </c>
      <c r="F1080" s="800"/>
    </row>
    <row r="1081" spans="1:7">
      <c r="A1081" s="799">
        <v>41157</v>
      </c>
      <c r="B1081" s="295" t="str">
        <f>TiposLancamentos!B16</f>
        <v>Cristiane</v>
      </c>
      <c r="C1081" s="291" t="s">
        <v>23996</v>
      </c>
      <c r="D1081" s="292"/>
      <c r="E1081" s="293">
        <v>39.74</v>
      </c>
      <c r="F1081" s="800"/>
    </row>
    <row r="1082" spans="1:7">
      <c r="A1082" s="799">
        <v>41158</v>
      </c>
      <c r="B1082" s="295" t="str">
        <f>TiposLancamentos!B16</f>
        <v>Cristiane</v>
      </c>
      <c r="C1082" s="291" t="s">
        <v>23995</v>
      </c>
      <c r="D1082" s="292"/>
      <c r="E1082" s="293">
        <v>169.7</v>
      </c>
      <c r="F1082" s="800"/>
    </row>
    <row r="1083" spans="1:7">
      <c r="A1083" s="757">
        <v>41158</v>
      </c>
      <c r="B1083" s="76" t="str">
        <f>TiposLancamentos!B71</f>
        <v>Itens Pessoais</v>
      </c>
      <c r="C1083" s="147" t="s">
        <v>23997</v>
      </c>
      <c r="D1083" s="63"/>
      <c r="E1083" s="231">
        <f>F1083/3</f>
        <v>433</v>
      </c>
      <c r="F1083" s="758">
        <v>1299</v>
      </c>
    </row>
    <row r="1084" spans="1:7">
      <c r="A1084" s="757">
        <v>41161</v>
      </c>
      <c r="B1084" s="76" t="str">
        <f>TiposLancamentos!B17</f>
        <v>GATO</v>
      </c>
      <c r="C1084" s="147" t="s">
        <v>7606</v>
      </c>
      <c r="D1084" s="63"/>
      <c r="E1084" s="231">
        <v>113.9</v>
      </c>
      <c r="F1084" s="758"/>
    </row>
    <row r="1085" spans="1:7">
      <c r="A1085" s="757">
        <v>41163</v>
      </c>
      <c r="B1085" s="76" t="str">
        <f>TiposLancamentos!B57</f>
        <v>Informática</v>
      </c>
      <c r="C1085" s="147" t="s">
        <v>23998</v>
      </c>
      <c r="D1085" s="63"/>
      <c r="E1085" s="231">
        <v>8.41</v>
      </c>
      <c r="F1085" s="758" t="s">
        <v>11062</v>
      </c>
    </row>
    <row r="1086" spans="1:7">
      <c r="A1086" s="757">
        <v>41163</v>
      </c>
      <c r="B1086" s="76" t="str">
        <f>TiposLancamentos!B71</f>
        <v>Itens Pessoais</v>
      </c>
      <c r="C1086" s="147" t="s">
        <v>23999</v>
      </c>
      <c r="D1086" s="63"/>
      <c r="E1086" s="231">
        <v>79.400000000000006</v>
      </c>
      <c r="F1086" s="758"/>
    </row>
    <row r="1087" spans="1:7">
      <c r="A1087" s="757">
        <v>41163</v>
      </c>
      <c r="B1087" s="76" t="str">
        <f>TiposLancamentos!B5</f>
        <v>Supermercado</v>
      </c>
      <c r="C1087" s="147" t="s">
        <v>24000</v>
      </c>
      <c r="D1087" s="63"/>
      <c r="E1087" s="231">
        <v>25.7</v>
      </c>
      <c r="F1087" s="758"/>
    </row>
    <row r="1088" spans="1:7">
      <c r="A1088" s="757">
        <v>41163</v>
      </c>
      <c r="B1088" s="76" t="str">
        <f>TiposLancamentos!B5</f>
        <v>Supermercado</v>
      </c>
      <c r="C1088" s="147" t="s">
        <v>24001</v>
      </c>
      <c r="D1088" s="63"/>
      <c r="E1088" s="231">
        <v>92.48</v>
      </c>
      <c r="F1088" s="758"/>
    </row>
    <row r="1089" spans="1:7">
      <c r="A1089" s="757">
        <v>41165</v>
      </c>
      <c r="B1089" s="76" t="str">
        <f>TiposLancamentos!B5</f>
        <v>Supermercado</v>
      </c>
      <c r="C1089" s="147" t="s">
        <v>24001</v>
      </c>
      <c r="D1089" s="63"/>
      <c r="E1089" s="231">
        <v>48.87</v>
      </c>
      <c r="F1089" s="758"/>
    </row>
    <row r="1090" spans="1:7">
      <c r="A1090" s="799">
        <v>41166</v>
      </c>
      <c r="B1090" s="295" t="str">
        <f>TiposLancamentos!B5</f>
        <v>Supermercado</v>
      </c>
      <c r="C1090" s="291" t="s">
        <v>10663</v>
      </c>
      <c r="D1090" s="292"/>
      <c r="E1090" s="293">
        <v>39.15</v>
      </c>
      <c r="F1090" s="800"/>
    </row>
    <row r="1091" spans="1:7">
      <c r="A1091" s="879">
        <v>41166</v>
      </c>
      <c r="B1091" s="880" t="str">
        <f>TiposLancamentos!B71</f>
        <v>Itens Pessoais</v>
      </c>
      <c r="C1091" s="881" t="s">
        <v>24002</v>
      </c>
      <c r="D1091" s="882"/>
      <c r="E1091" s="883">
        <v>29.99</v>
      </c>
      <c r="F1091" s="883"/>
    </row>
    <row r="1092" spans="1:7">
      <c r="A1092" s="879">
        <v>41166</v>
      </c>
      <c r="B1092" s="880" t="str">
        <f>TiposLancamentos!B16</f>
        <v>Cristiane</v>
      </c>
      <c r="C1092" s="881" t="s">
        <v>6735</v>
      </c>
      <c r="D1092" s="882"/>
      <c r="E1092" s="883">
        <f>F1092-E1091</f>
        <v>124.00000000000001</v>
      </c>
      <c r="F1092" s="883">
        <v>153.99</v>
      </c>
    </row>
    <row r="1093" spans="1:7">
      <c r="A1093" s="152">
        <v>41166</v>
      </c>
      <c r="B1093" s="275" t="str">
        <f>TiposLancamentos!B28</f>
        <v>ComicBook</v>
      </c>
      <c r="C1093" s="141" t="s">
        <v>24003</v>
      </c>
      <c r="D1093" s="51"/>
      <c r="E1093" s="142">
        <v>74.48</v>
      </c>
      <c r="F1093" s="142"/>
    </row>
    <row r="1094" spans="1:7">
      <c r="A1094" s="152">
        <v>41166</v>
      </c>
      <c r="B1094" s="275" t="str">
        <f>TiposLancamentos!B25</f>
        <v>CD_DVD_BD</v>
      </c>
      <c r="C1094" s="141" t="s">
        <v>24004</v>
      </c>
      <c r="D1094" s="51"/>
      <c r="E1094" s="142">
        <v>29.9</v>
      </c>
      <c r="F1094" s="142">
        <f>SUM(E1093:E1094)</f>
        <v>104.38</v>
      </c>
    </row>
    <row r="1095" spans="1:7">
      <c r="A1095" s="799">
        <v>41169</v>
      </c>
      <c r="B1095" s="295" t="str">
        <f>TiposLancamentos!B16</f>
        <v>Cristiane</v>
      </c>
      <c r="C1095" s="291" t="s">
        <v>24005</v>
      </c>
      <c r="D1095" s="292"/>
      <c r="E1095" s="293">
        <v>56.5</v>
      </c>
      <c r="F1095" s="800"/>
    </row>
    <row r="1096" spans="1:7">
      <c r="A1096" s="799">
        <v>41171</v>
      </c>
      <c r="B1096" s="295" t="str">
        <f>TiposLancamentos!B4</f>
        <v>Taxas Bancarias</v>
      </c>
      <c r="C1096" s="291" t="s">
        <v>4858</v>
      </c>
      <c r="D1096" s="292"/>
      <c r="E1096" s="293">
        <v>0.13</v>
      </c>
      <c r="F1096" s="800"/>
    </row>
    <row r="1097" spans="1:7">
      <c r="A1097" s="757">
        <v>41171</v>
      </c>
      <c r="B1097" s="76" t="str">
        <f>TiposLancamentos!B4</f>
        <v>Taxas Bancarias</v>
      </c>
      <c r="C1097" s="147" t="s">
        <v>24006</v>
      </c>
      <c r="D1097" s="63"/>
      <c r="E1097" s="231">
        <v>0.64</v>
      </c>
      <c r="F1097" s="758"/>
      <c r="G1097" s="877"/>
    </row>
    <row r="1098" spans="1:7">
      <c r="A1098" s="759"/>
      <c r="B1098" s="226"/>
      <c r="C1098" s="227" t="s">
        <v>10</v>
      </c>
      <c r="D1098" s="228"/>
      <c r="E1098" s="228"/>
      <c r="F1098" s="760"/>
    </row>
    <row r="1099" spans="1:7">
      <c r="A1099" s="757">
        <v>41168</v>
      </c>
      <c r="B1099" s="76" t="str">
        <f>TiposLancamentos!B57</f>
        <v>Informática</v>
      </c>
      <c r="C1099" s="147" t="s">
        <v>24007</v>
      </c>
      <c r="D1099" s="63"/>
      <c r="E1099" s="231">
        <v>6.3074834439999998</v>
      </c>
      <c r="F1099" s="758" t="s">
        <v>24008</v>
      </c>
    </row>
    <row r="1100" spans="1:7" ht="14.25" customHeight="1">
      <c r="A1100" s="757">
        <v>41168</v>
      </c>
      <c r="B1100" s="76" t="str">
        <f>TiposLancamentos!B57</f>
        <v>Informática</v>
      </c>
      <c r="C1100" s="147" t="s">
        <v>24009</v>
      </c>
      <c r="D1100" s="63"/>
      <c r="E1100" s="231">
        <v>8.4170096789999995</v>
      </c>
      <c r="F1100" s="758" t="s">
        <v>24010</v>
      </c>
      <c r="G1100" s="36"/>
    </row>
    <row r="1101" spans="1:7" ht="14.25" customHeight="1">
      <c r="A1101" s="757">
        <v>41175</v>
      </c>
      <c r="B1101" s="76" t="str">
        <f>TiposLancamentos!B16</f>
        <v>Cristiane</v>
      </c>
      <c r="C1101" s="147" t="s">
        <v>24011</v>
      </c>
      <c r="D1101" s="63"/>
      <c r="E1101" s="231">
        <v>50.9</v>
      </c>
      <c r="F1101" s="758"/>
    </row>
    <row r="1102" spans="1:7" ht="14.25" customHeight="1">
      <c r="A1102" s="757">
        <v>41176</v>
      </c>
      <c r="B1102" s="76" t="str">
        <f>TiposLancamentos!B57</f>
        <v>Informática</v>
      </c>
      <c r="C1102" s="147" t="s">
        <v>24012</v>
      </c>
      <c r="D1102" s="63"/>
      <c r="E1102" s="231">
        <v>210.55</v>
      </c>
      <c r="F1102" s="758"/>
    </row>
    <row r="1103" spans="1:7" ht="14.25" customHeight="1">
      <c r="A1103" s="799">
        <v>41177</v>
      </c>
      <c r="B1103" s="295" t="str">
        <f>TiposLancamentos!B16</f>
        <v>Cristiane</v>
      </c>
      <c r="C1103" s="291" t="s">
        <v>24013</v>
      </c>
      <c r="D1103" s="292"/>
      <c r="E1103" s="293">
        <v>186.45</v>
      </c>
      <c r="F1103" s="800"/>
    </row>
    <row r="1104" spans="1:7">
      <c r="A1104" s="757">
        <v>41177</v>
      </c>
      <c r="B1104" s="76" t="str">
        <f>TiposLancamentos!B3</f>
        <v>Internet</v>
      </c>
      <c r="C1104" s="147" t="s">
        <v>10734</v>
      </c>
      <c r="D1104" s="63"/>
      <c r="E1104" s="231">
        <v>29</v>
      </c>
      <c r="F1104" s="758"/>
    </row>
    <row r="1105" spans="1:6">
      <c r="A1105" s="799">
        <v>41177</v>
      </c>
      <c r="B1105" s="295" t="str">
        <f>TiposLancamentos!B16</f>
        <v>Cristiane</v>
      </c>
      <c r="C1105" s="291" t="s">
        <v>19506</v>
      </c>
      <c r="D1105" s="292"/>
      <c r="E1105" s="293">
        <v>53.8</v>
      </c>
      <c r="F1105" s="800"/>
    </row>
    <row r="1106" spans="1:6">
      <c r="A1106" s="757">
        <v>41177</v>
      </c>
      <c r="B1106" s="76" t="str">
        <f>TiposLancamentos!B57</f>
        <v>Informática</v>
      </c>
      <c r="C1106" s="147" t="s">
        <v>24014</v>
      </c>
      <c r="D1106" s="63"/>
      <c r="E1106" s="231">
        <v>2.0884309729999999</v>
      </c>
      <c r="F1106" s="758" t="s">
        <v>24015</v>
      </c>
    </row>
    <row r="1107" spans="1:6">
      <c r="A1107" s="799">
        <v>41178</v>
      </c>
      <c r="B1107" s="295" t="str">
        <f>TiposLancamentos!B5</f>
        <v>Supermercado</v>
      </c>
      <c r="C1107" s="291" t="s">
        <v>22750</v>
      </c>
      <c r="D1107" s="292"/>
      <c r="E1107" s="293">
        <v>136.83000000000001</v>
      </c>
      <c r="F1107" s="800"/>
    </row>
    <row r="1108" spans="1:6">
      <c r="A1108" s="757">
        <v>41178</v>
      </c>
      <c r="B1108" s="76" t="str">
        <f>TiposLancamentos!B57</f>
        <v>Informática</v>
      </c>
      <c r="C1108" s="147" t="s">
        <v>24016</v>
      </c>
      <c r="D1108" s="63"/>
      <c r="E1108" s="231">
        <v>0.52738155900000006</v>
      </c>
      <c r="F1108" s="758" t="s">
        <v>24017</v>
      </c>
    </row>
    <row r="1109" spans="1:6">
      <c r="A1109" s="757">
        <v>41178</v>
      </c>
      <c r="B1109" s="76" t="str">
        <f>TiposLancamentos!B57</f>
        <v>Informática</v>
      </c>
      <c r="C1109" s="147" t="s">
        <v>24018</v>
      </c>
      <c r="D1109" s="63"/>
      <c r="E1109" s="231">
        <v>0.52738155900000006</v>
      </c>
      <c r="F1109" s="758" t="s">
        <v>24017</v>
      </c>
    </row>
    <row r="1110" spans="1:6">
      <c r="A1110" s="799">
        <v>41178</v>
      </c>
      <c r="B1110" s="295" t="str">
        <f>TiposLancamentos!B16</f>
        <v>Cristiane</v>
      </c>
      <c r="C1110" s="291" t="s">
        <v>24019</v>
      </c>
      <c r="D1110" s="292"/>
      <c r="E1110" s="293">
        <v>38.25</v>
      </c>
      <c r="F1110" s="800"/>
    </row>
    <row r="1111" spans="1:6">
      <c r="A1111" s="757">
        <v>41179</v>
      </c>
      <c r="B1111" s="76" t="str">
        <f>TiposLancamentos!B57</f>
        <v>Informática</v>
      </c>
      <c r="C1111" s="147" t="s">
        <v>24020</v>
      </c>
      <c r="D1111" s="63"/>
      <c r="E1111" s="231">
        <v>0.52738155900000006</v>
      </c>
      <c r="F1111" s="758" t="s">
        <v>24017</v>
      </c>
    </row>
    <row r="1112" spans="1:6">
      <c r="A1112" s="757">
        <v>41180</v>
      </c>
      <c r="B1112" s="76" t="str">
        <f>TiposLancamentos!B57</f>
        <v>Informática</v>
      </c>
      <c r="C1112" s="147" t="s">
        <v>24021</v>
      </c>
      <c r="D1112" s="63"/>
      <c r="E1112" s="231">
        <v>0.52738155900000006</v>
      </c>
      <c r="F1112" s="758" t="s">
        <v>24017</v>
      </c>
    </row>
    <row r="1113" spans="1:6">
      <c r="A1113" s="757">
        <v>41180</v>
      </c>
      <c r="B1113" s="76" t="str">
        <f>TiposLancamentos!B57</f>
        <v>Informática</v>
      </c>
      <c r="C1113" s="147" t="s">
        <v>24022</v>
      </c>
      <c r="D1113" s="63"/>
      <c r="E1113" s="231">
        <v>0.52738155900000006</v>
      </c>
      <c r="F1113" s="758" t="s">
        <v>24017</v>
      </c>
    </row>
    <row r="1114" spans="1:6">
      <c r="A1114" s="751"/>
      <c r="B1114" s="752"/>
      <c r="C1114" s="802" t="s">
        <v>5830</v>
      </c>
      <c r="D1114" s="754"/>
      <c r="E1114" s="755"/>
      <c r="F1114" s="756">
        <f>SUM(E1067:E1097)</f>
        <v>2656.04</v>
      </c>
    </row>
    <row r="1115" spans="1:6">
      <c r="A1115" s="757">
        <v>41183</v>
      </c>
      <c r="B1115" s="76" t="str">
        <f>TiposLancamentos!B4</f>
        <v>Taxas Bancarias</v>
      </c>
      <c r="C1115" s="878" t="s">
        <v>23973</v>
      </c>
      <c r="D1115" s="63"/>
      <c r="E1115" s="231">
        <v>0.02</v>
      </c>
      <c r="F1115" s="758"/>
    </row>
    <row r="1116" spans="1:6">
      <c r="A1116" s="757">
        <v>41183</v>
      </c>
      <c r="B1116" s="76" t="str">
        <f>TiposLancamentos!B15</f>
        <v>Cartões de Crédito</v>
      </c>
      <c r="C1116" s="147" t="s">
        <v>16507</v>
      </c>
      <c r="D1116" s="63">
        <v>2656.04</v>
      </c>
      <c r="E1116" s="231"/>
      <c r="F1116" s="758">
        <f>F1114-F1074</f>
        <v>682.31000000000017</v>
      </c>
    </row>
    <row r="1117" spans="1:6">
      <c r="A1117" s="799">
        <v>41185</v>
      </c>
      <c r="B1117" s="295" t="str">
        <f>TiposLancamentos!B16</f>
        <v>Cristiane</v>
      </c>
      <c r="C1117" s="291" t="s">
        <v>24023</v>
      </c>
      <c r="D1117" s="292"/>
      <c r="E1117" s="293">
        <v>176.13</v>
      </c>
      <c r="F1117" s="800"/>
    </row>
    <row r="1118" spans="1:6">
      <c r="A1118" s="757">
        <v>41185</v>
      </c>
      <c r="B1118" s="76" t="str">
        <f>TiposLancamentos!B16</f>
        <v>Cristiane</v>
      </c>
      <c r="C1118" s="147" t="s">
        <v>24024</v>
      </c>
      <c r="D1118" s="63"/>
      <c r="E1118" s="231">
        <v>200</v>
      </c>
      <c r="F1118" s="758"/>
    </row>
    <row r="1119" spans="1:6">
      <c r="A1119" s="806">
        <v>41188</v>
      </c>
      <c r="B1119" s="822" t="str">
        <f>TiposLancamentos!B16</f>
        <v>Cristiane</v>
      </c>
      <c r="C1119" s="808" t="s">
        <v>23609</v>
      </c>
      <c r="D1119" s="747"/>
      <c r="E1119" s="874">
        <f>F1120-E1120</f>
        <v>61.010000000000019</v>
      </c>
      <c r="F1119" s="814"/>
    </row>
    <row r="1120" spans="1:6">
      <c r="A1120" s="773">
        <v>41188</v>
      </c>
      <c r="B1120" s="275" t="str">
        <f>TiposLancamentos!B56</f>
        <v>Farmácia</v>
      </c>
      <c r="C1120" s="141" t="s">
        <v>24025</v>
      </c>
      <c r="D1120" s="51"/>
      <c r="E1120" s="142">
        <f>40.33+59.72+9.99</f>
        <v>110.03999999999999</v>
      </c>
      <c r="F1120" s="821">
        <v>171.05</v>
      </c>
    </row>
    <row r="1121" spans="1:6">
      <c r="A1121" s="806">
        <v>41188</v>
      </c>
      <c r="B1121" s="822" t="str">
        <f>TiposLancamentos!B16</f>
        <v>Cristiane</v>
      </c>
      <c r="C1121" s="808" t="s">
        <v>24026</v>
      </c>
      <c r="D1121" s="747"/>
      <c r="E1121" s="874">
        <v>99</v>
      </c>
      <c r="F1121" s="814"/>
    </row>
    <row r="1122" spans="1:6">
      <c r="A1122" s="773">
        <v>41188</v>
      </c>
      <c r="B1122" s="275" t="str">
        <f>TiposLancamentos!B25</f>
        <v>CD_DVD_BD</v>
      </c>
      <c r="C1122" s="141" t="s">
        <v>24027</v>
      </c>
      <c r="D1122" s="51"/>
      <c r="E1122" s="142">
        <f>39.9+47.9</f>
        <v>87.8</v>
      </c>
      <c r="F1122" s="821"/>
    </row>
    <row r="1123" spans="1:6">
      <c r="A1123" s="810">
        <v>41188</v>
      </c>
      <c r="B1123" s="823" t="str">
        <f>TiposLancamentos!B28</f>
        <v>ComicBook</v>
      </c>
      <c r="C1123" s="812" t="s">
        <v>24028</v>
      </c>
      <c r="D1123" s="849"/>
      <c r="E1123" s="875">
        <v>0</v>
      </c>
      <c r="F1123" s="815">
        <f>SUM(E1121:E1123)</f>
        <v>186.8</v>
      </c>
    </row>
    <row r="1124" spans="1:6">
      <c r="A1124" s="757">
        <v>41188</v>
      </c>
      <c r="B1124" s="76" t="str">
        <f>TiposLancamentos!B19</f>
        <v>Restaurantes</v>
      </c>
      <c r="C1124" s="147" t="s">
        <v>24029</v>
      </c>
      <c r="D1124" s="63"/>
      <c r="E1124" s="231">
        <v>73.400000000000006</v>
      </c>
      <c r="F1124" s="758"/>
    </row>
    <row r="1125" spans="1:6">
      <c r="A1125" s="757">
        <v>41188</v>
      </c>
      <c r="B1125" s="76" t="str">
        <f>TiposLancamentos!B31</f>
        <v>Action Figures</v>
      </c>
      <c r="C1125" s="147" t="s">
        <v>24030</v>
      </c>
      <c r="D1125" s="63"/>
      <c r="E1125" s="231">
        <v>397</v>
      </c>
      <c r="F1125" s="758"/>
    </row>
    <row r="1126" spans="1:6">
      <c r="A1126" s="757">
        <v>41188</v>
      </c>
      <c r="B1126" s="76" t="str">
        <f>TiposLancamentos!B71</f>
        <v>Itens Pessoais</v>
      </c>
      <c r="C1126" s="147" t="s">
        <v>24031</v>
      </c>
      <c r="D1126" s="63"/>
      <c r="E1126" s="231">
        <v>433</v>
      </c>
      <c r="F1126" s="758"/>
    </row>
    <row r="1127" spans="1:6">
      <c r="A1127" s="757">
        <v>41189</v>
      </c>
      <c r="B1127" s="76" t="str">
        <f>TiposLancamentos!B19</f>
        <v>Restaurantes</v>
      </c>
      <c r="C1127" s="147" t="s">
        <v>24032</v>
      </c>
      <c r="D1127" s="63"/>
      <c r="E1127" s="231">
        <v>125.95</v>
      </c>
      <c r="F1127" s="758"/>
    </row>
    <row r="1128" spans="1:6">
      <c r="A1128" s="757">
        <v>41189</v>
      </c>
      <c r="B1128" s="76" t="str">
        <f>TiposLancamentos!B19</f>
        <v>Restaurantes</v>
      </c>
      <c r="C1128" s="147" t="s">
        <v>24033</v>
      </c>
      <c r="D1128" s="63"/>
      <c r="E1128" s="231">
        <v>25.8</v>
      </c>
      <c r="F1128" s="758"/>
    </row>
    <row r="1129" spans="1:6">
      <c r="A1129" s="757">
        <v>41189</v>
      </c>
      <c r="B1129" s="76" t="str">
        <f>TiposLancamentos!B5</f>
        <v>Supermercado</v>
      </c>
      <c r="C1129" s="147" t="s">
        <v>5844</v>
      </c>
      <c r="D1129" s="63"/>
      <c r="E1129" s="231">
        <v>91.39</v>
      </c>
      <c r="F1129" s="758"/>
    </row>
    <row r="1130" spans="1:6">
      <c r="A1130" s="799">
        <v>41192</v>
      </c>
      <c r="B1130" s="295" t="str">
        <f>TiposLancamentos!B5</f>
        <v>Supermercado</v>
      </c>
      <c r="C1130" s="291" t="s">
        <v>5844</v>
      </c>
      <c r="D1130" s="292"/>
      <c r="E1130" s="293">
        <v>53.55</v>
      </c>
      <c r="F1130" s="800"/>
    </row>
    <row r="1131" spans="1:6">
      <c r="A1131" s="799">
        <v>41199</v>
      </c>
      <c r="B1131" s="295" t="str">
        <f>TiposLancamentos!B16</f>
        <v>Cristiane</v>
      </c>
      <c r="C1131" s="291" t="s">
        <v>24034</v>
      </c>
      <c r="D1131" s="292"/>
      <c r="E1131" s="293">
        <v>21.96</v>
      </c>
      <c r="F1131" s="800" t="s">
        <v>24035</v>
      </c>
    </row>
    <row r="1132" spans="1:6">
      <c r="A1132" s="757">
        <v>41204</v>
      </c>
      <c r="B1132" s="76" t="str">
        <f>TiposLancamentos!B4</f>
        <v>Taxas Bancarias</v>
      </c>
      <c r="C1132" s="147" t="s">
        <v>23963</v>
      </c>
      <c r="D1132" s="63"/>
      <c r="E1132" s="231">
        <v>1.18</v>
      </c>
      <c r="F1132" s="758"/>
    </row>
    <row r="1133" spans="1:6">
      <c r="A1133" s="757">
        <v>41204</v>
      </c>
      <c r="B1133" s="76" t="str">
        <f>TiposLancamentos!B4</f>
        <v>Taxas Bancarias</v>
      </c>
      <c r="C1133" s="147" t="s">
        <v>23963</v>
      </c>
      <c r="D1133" s="63"/>
      <c r="E1133" s="231">
        <v>1.35</v>
      </c>
      <c r="F1133" s="758"/>
    </row>
    <row r="1134" spans="1:6">
      <c r="A1134" s="759"/>
      <c r="B1134" s="226"/>
      <c r="C1134" s="227" t="s">
        <v>10</v>
      </c>
      <c r="D1134" s="228"/>
      <c r="E1134" s="228"/>
      <c r="F1134" s="760"/>
    </row>
    <row r="1135" spans="1:6">
      <c r="A1135" s="799">
        <v>41201</v>
      </c>
      <c r="B1135" s="295" t="str">
        <f>TiposLancamentos!B16</f>
        <v>Cristiane</v>
      </c>
      <c r="C1135" s="291" t="s">
        <v>24036</v>
      </c>
      <c r="D1135" s="292"/>
      <c r="E1135" s="293">
        <v>149.19999999999999</v>
      </c>
      <c r="F1135" s="800"/>
    </row>
    <row r="1136" spans="1:6">
      <c r="A1136" s="799">
        <v>41201</v>
      </c>
      <c r="B1136" s="295" t="str">
        <f>TiposLancamentos!B5</f>
        <v>Supermercado</v>
      </c>
      <c r="C1136" s="291" t="s">
        <v>5844</v>
      </c>
      <c r="D1136" s="292"/>
      <c r="E1136" s="293">
        <v>40.4</v>
      </c>
      <c r="F1136" s="800"/>
    </row>
    <row r="1137" spans="1:6">
      <c r="A1137" s="757">
        <v>41202</v>
      </c>
      <c r="B1137" s="76" t="str">
        <f>TiposLancamentos!B5</f>
        <v>Supermercado</v>
      </c>
      <c r="C1137" s="147" t="s">
        <v>5844</v>
      </c>
      <c r="D1137" s="63"/>
      <c r="E1137" s="231">
        <v>26.59</v>
      </c>
      <c r="F1137" s="758"/>
    </row>
    <row r="1138" spans="1:6">
      <c r="A1138" s="757">
        <v>41202</v>
      </c>
      <c r="B1138" s="76" t="str">
        <f>TiposLancamentos!B22</f>
        <v>Combustivel</v>
      </c>
      <c r="C1138" s="147" t="s">
        <v>5961</v>
      </c>
      <c r="D1138" s="63"/>
      <c r="E1138" s="231">
        <v>60</v>
      </c>
      <c r="F1138" s="758"/>
    </row>
    <row r="1139" spans="1:6">
      <c r="A1139" s="757">
        <v>41202</v>
      </c>
      <c r="B1139" s="76" t="str">
        <f>TiposLancamentos!B24</f>
        <v>Estacionamentos</v>
      </c>
      <c r="C1139" s="147" t="s">
        <v>24037</v>
      </c>
      <c r="D1139" s="63"/>
      <c r="E1139" s="231">
        <v>15</v>
      </c>
      <c r="F1139" s="758"/>
    </row>
    <row r="1140" spans="1:6">
      <c r="A1140" s="757">
        <v>41202</v>
      </c>
      <c r="B1140" s="76" t="str">
        <f>TiposLancamentos!B19</f>
        <v>Restaurantes</v>
      </c>
      <c r="C1140" s="147" t="s">
        <v>24038</v>
      </c>
      <c r="D1140" s="63"/>
      <c r="E1140" s="231">
        <v>226.6</v>
      </c>
      <c r="F1140" s="758"/>
    </row>
    <row r="1141" spans="1:6">
      <c r="A1141" s="757">
        <v>41202</v>
      </c>
      <c r="B1141" s="76" t="str">
        <f>TiposLancamentos!B16</f>
        <v>Cristiane</v>
      </c>
      <c r="C1141" s="147" t="s">
        <v>23031</v>
      </c>
      <c r="D1141" s="63"/>
      <c r="E1141" s="231">
        <v>35</v>
      </c>
      <c r="F1141" s="758"/>
    </row>
    <row r="1142" spans="1:6">
      <c r="A1142" s="757">
        <v>41202</v>
      </c>
      <c r="B1142" s="76" t="str">
        <f>TiposLancamentos!B19</f>
        <v>Restaurantes</v>
      </c>
      <c r="C1142" s="147" t="s">
        <v>14884</v>
      </c>
      <c r="D1142" s="63"/>
      <c r="E1142" s="231">
        <v>22.3</v>
      </c>
      <c r="F1142" s="758"/>
    </row>
    <row r="1143" spans="1:6">
      <c r="A1143" s="806">
        <v>41202</v>
      </c>
      <c r="B1143" s="822" t="str">
        <f>TiposLancamentos!B71</f>
        <v>Itens Pessoais</v>
      </c>
      <c r="C1143" s="808" t="s">
        <v>24039</v>
      </c>
      <c r="D1143" s="747"/>
      <c r="E1143" s="874">
        <v>59.99</v>
      </c>
      <c r="F1143" s="814"/>
    </row>
    <row r="1144" spans="1:6">
      <c r="A1144" s="810">
        <v>41202</v>
      </c>
      <c r="B1144" s="823" t="str">
        <f>TiposLancamentos!B16</f>
        <v>Cristiane</v>
      </c>
      <c r="C1144" s="812" t="s">
        <v>24040</v>
      </c>
      <c r="D1144" s="849"/>
      <c r="E1144" s="875">
        <f>F1144-E1143</f>
        <v>59.99</v>
      </c>
      <c r="F1144" s="815">
        <v>119.98</v>
      </c>
    </row>
    <row r="1145" spans="1:6">
      <c r="A1145" s="757">
        <v>41202</v>
      </c>
      <c r="B1145" s="76" t="str">
        <f>TiposLancamentos!B24</f>
        <v>Estacionamentos</v>
      </c>
      <c r="C1145" s="147" t="s">
        <v>10732</v>
      </c>
      <c r="D1145" s="63"/>
      <c r="E1145" s="231">
        <v>18</v>
      </c>
      <c r="F1145" s="758"/>
    </row>
    <row r="1146" spans="1:6">
      <c r="A1146" s="806">
        <v>41202</v>
      </c>
      <c r="B1146" s="822" t="str">
        <f>TiposLancamentos!B57</f>
        <v>Informática</v>
      </c>
      <c r="C1146" s="808" t="s">
        <v>24041</v>
      </c>
      <c r="D1146" s="747"/>
      <c r="E1146" s="874">
        <f>28.23*2.1</f>
        <v>59.283000000000001</v>
      </c>
      <c r="F1146" s="814" t="s">
        <v>24042</v>
      </c>
    </row>
    <row r="1147" spans="1:6">
      <c r="A1147" s="773">
        <v>41202</v>
      </c>
      <c r="B1147" s="275" t="str">
        <f>TiposLancamentos!B57</f>
        <v>Informática</v>
      </c>
      <c r="C1147" s="141" t="s">
        <v>24043</v>
      </c>
      <c r="D1147" s="51"/>
      <c r="E1147" s="142">
        <f>27.43*2.1</f>
        <v>57.603000000000002</v>
      </c>
      <c r="F1147" s="821" t="s">
        <v>24044</v>
      </c>
    </row>
    <row r="1148" spans="1:6">
      <c r="A1148" s="773">
        <v>41202</v>
      </c>
      <c r="B1148" s="275" t="str">
        <f>TiposLancamentos!B57</f>
        <v>Informática</v>
      </c>
      <c r="C1148" s="141" t="s">
        <v>24045</v>
      </c>
      <c r="D1148" s="51"/>
      <c r="E1148" s="142">
        <f>3.33*2.1</f>
        <v>6.9930000000000003</v>
      </c>
      <c r="F1148" s="821" t="s">
        <v>24046</v>
      </c>
    </row>
    <row r="1149" spans="1:6">
      <c r="A1149" s="773">
        <v>41202</v>
      </c>
      <c r="B1149" s="275" t="str">
        <f>TiposLancamentos!B57</f>
        <v>Informática</v>
      </c>
      <c r="C1149" s="141" t="s">
        <v>24047</v>
      </c>
      <c r="D1149" s="51"/>
      <c r="E1149" s="142">
        <f>4.01*2.1</f>
        <v>8.4209999999999994</v>
      </c>
      <c r="F1149" s="821" t="s">
        <v>24048</v>
      </c>
    </row>
    <row r="1150" spans="1:6">
      <c r="A1150" s="810">
        <v>41202</v>
      </c>
      <c r="B1150" s="823"/>
      <c r="C1150" s="812" t="s">
        <v>24049</v>
      </c>
      <c r="D1150" s="849"/>
      <c r="E1150" s="875"/>
      <c r="F1150" s="815">
        <f>SUM(E1146:E1149)</f>
        <v>132.29999999999998</v>
      </c>
    </row>
    <row r="1151" spans="1:6">
      <c r="A1151" s="799">
        <v>41203</v>
      </c>
      <c r="B1151" s="295" t="str">
        <f>TiposLancamentos!B5</f>
        <v>Supermercado</v>
      </c>
      <c r="C1151" s="291" t="s">
        <v>18994</v>
      </c>
      <c r="D1151" s="292"/>
      <c r="E1151" s="293">
        <v>94.48</v>
      </c>
      <c r="F1151" s="800"/>
    </row>
    <row r="1152" spans="1:6">
      <c r="A1152" s="757">
        <v>41204</v>
      </c>
      <c r="B1152" s="76" t="str">
        <f>TiposLancamentos!B4</f>
        <v>Taxas Bancarias</v>
      </c>
      <c r="C1152" s="147" t="s">
        <v>24050</v>
      </c>
      <c r="D1152" s="63">
        <v>7.73</v>
      </c>
      <c r="E1152" s="231">
        <v>7.73</v>
      </c>
      <c r="F1152" s="913" t="s">
        <v>24051</v>
      </c>
    </row>
    <row r="1153" spans="1:6">
      <c r="A1153" s="757">
        <v>41205</v>
      </c>
      <c r="B1153" s="76" t="str">
        <f>TiposLancamentos!B5</f>
        <v>Supermercado</v>
      </c>
      <c r="C1153" s="147" t="s">
        <v>5844</v>
      </c>
      <c r="D1153" s="63"/>
      <c r="E1153" s="231">
        <v>133.46</v>
      </c>
      <c r="F1153" s="758"/>
    </row>
    <row r="1154" spans="1:6">
      <c r="A1154" s="799">
        <v>41206</v>
      </c>
      <c r="B1154" s="295" t="str">
        <f>TiposLancamentos!B16</f>
        <v>Cristiane</v>
      </c>
      <c r="C1154" s="291" t="s">
        <v>24052</v>
      </c>
      <c r="D1154" s="292"/>
      <c r="E1154" s="293">
        <v>82.87</v>
      </c>
      <c r="F1154" s="800"/>
    </row>
    <row r="1155" spans="1:6">
      <c r="A1155" s="799">
        <v>41206</v>
      </c>
      <c r="B1155" s="295" t="str">
        <f>TiposLancamentos!B16</f>
        <v>Cristiane</v>
      </c>
      <c r="C1155" s="291" t="s">
        <v>2218</v>
      </c>
      <c r="D1155" s="292"/>
      <c r="E1155" s="293">
        <v>48.4</v>
      </c>
      <c r="F1155" s="800"/>
    </row>
    <row r="1156" spans="1:6">
      <c r="A1156" s="757">
        <v>41207</v>
      </c>
      <c r="B1156" s="76" t="str">
        <f>TiposLancamentos!B16</f>
        <v>Cristiane</v>
      </c>
      <c r="C1156" s="147" t="s">
        <v>23622</v>
      </c>
      <c r="D1156" s="63"/>
      <c r="E1156" s="231">
        <v>29</v>
      </c>
      <c r="F1156" s="758"/>
    </row>
    <row r="1157" spans="1:6">
      <c r="A1157" s="757">
        <v>41207</v>
      </c>
      <c r="B1157" s="76" t="str">
        <f>TiposLancamentos!B5</f>
        <v>Supermercado</v>
      </c>
      <c r="C1157" s="147" t="s">
        <v>5801</v>
      </c>
      <c r="D1157" s="63"/>
      <c r="E1157" s="231">
        <v>14.09</v>
      </c>
      <c r="F1157" s="758"/>
    </row>
    <row r="1158" spans="1:6">
      <c r="A1158" s="757">
        <v>41207</v>
      </c>
      <c r="B1158" s="76" t="str">
        <f>TiposLancamentos!B57</f>
        <v>Informática</v>
      </c>
      <c r="C1158" s="147" t="s">
        <v>24053</v>
      </c>
      <c r="D1158" s="63"/>
      <c r="E1158" s="231">
        <v>2.09</v>
      </c>
      <c r="F1158" s="758" t="s">
        <v>10768</v>
      </c>
    </row>
    <row r="1159" spans="1:6">
      <c r="A1159" s="757">
        <v>41208</v>
      </c>
      <c r="B1159" s="76" t="str">
        <f>TiposLancamentos!B19</f>
        <v>Restaurantes</v>
      </c>
      <c r="C1159" s="147" t="s">
        <v>5038</v>
      </c>
      <c r="D1159" s="63"/>
      <c r="E1159" s="231">
        <v>38</v>
      </c>
      <c r="F1159" s="758"/>
    </row>
    <row r="1160" spans="1:6">
      <c r="A1160" s="757">
        <v>41208</v>
      </c>
      <c r="B1160" s="76" t="str">
        <f>TiposLancamentos!B19</f>
        <v>Restaurantes</v>
      </c>
      <c r="C1160" s="147" t="s">
        <v>17231</v>
      </c>
      <c r="D1160" s="63"/>
      <c r="E1160" s="231">
        <v>14.8</v>
      </c>
      <c r="F1160" s="758"/>
    </row>
    <row r="1161" spans="1:6">
      <c r="A1161" s="757">
        <v>41208</v>
      </c>
      <c r="B1161" s="76" t="str">
        <f>TiposLancamentos!B16</f>
        <v>Cristiane</v>
      </c>
      <c r="C1161" s="147" t="s">
        <v>3420</v>
      </c>
      <c r="D1161" s="63"/>
      <c r="E1161" s="231">
        <v>34.03</v>
      </c>
      <c r="F1161" s="758"/>
    </row>
    <row r="1162" spans="1:6">
      <c r="A1162" s="757">
        <v>41208</v>
      </c>
      <c r="B1162" s="76" t="str">
        <f>TiposLancamentos!B16</f>
        <v>Cristiane</v>
      </c>
      <c r="C1162" s="147" t="s">
        <v>20338</v>
      </c>
      <c r="D1162" s="63"/>
      <c r="E1162" s="231">
        <v>90</v>
      </c>
      <c r="F1162" s="758"/>
    </row>
    <row r="1163" spans="1:6">
      <c r="A1163" s="799">
        <v>41208</v>
      </c>
      <c r="B1163" s="295" t="str">
        <f>TiposLancamentos!B16</f>
        <v>Cristiane</v>
      </c>
      <c r="C1163" s="291" t="s">
        <v>24054</v>
      </c>
      <c r="D1163" s="292"/>
      <c r="E1163" s="293">
        <v>38.25</v>
      </c>
      <c r="F1163" s="800"/>
    </row>
    <row r="1164" spans="1:6">
      <c r="A1164" s="757">
        <v>41209</v>
      </c>
      <c r="B1164" s="76" t="str">
        <f>TiposLancamentos!B19</f>
        <v>Restaurantes</v>
      </c>
      <c r="C1164" s="147" t="s">
        <v>24055</v>
      </c>
      <c r="D1164" s="63"/>
      <c r="E1164" s="231">
        <v>71.28</v>
      </c>
      <c r="F1164" s="758"/>
    </row>
    <row r="1165" spans="1:6">
      <c r="A1165" s="806">
        <v>41209</v>
      </c>
      <c r="B1165" s="822" t="str">
        <f>TiposLancamentos!B34</f>
        <v>Seguros</v>
      </c>
      <c r="C1165" s="808" t="s">
        <v>24056</v>
      </c>
      <c r="D1165" s="747"/>
      <c r="E1165" s="874">
        <v>953.43</v>
      </c>
      <c r="F1165" s="814"/>
    </row>
    <row r="1166" spans="1:6">
      <c r="A1166" s="810">
        <v>41209</v>
      </c>
      <c r="B1166" s="823" t="str">
        <f>TiposLancamentos!B13</f>
        <v>Moradia</v>
      </c>
      <c r="C1166" s="812" t="s">
        <v>24057</v>
      </c>
      <c r="D1166" s="849"/>
      <c r="E1166" s="875">
        <f>F1166-E1165</f>
        <v>3637.0000000000005</v>
      </c>
      <c r="F1166" s="815">
        <v>4590.43</v>
      </c>
    </row>
    <row r="1167" spans="1:6">
      <c r="A1167" s="806">
        <v>41209</v>
      </c>
      <c r="B1167" s="822" t="str">
        <f>TiposLancamentos!B71</f>
        <v>Itens Pessoais</v>
      </c>
      <c r="C1167" s="808" t="s">
        <v>24058</v>
      </c>
      <c r="D1167" s="747"/>
      <c r="E1167" s="874">
        <v>29.9</v>
      </c>
      <c r="F1167" s="814"/>
    </row>
    <row r="1168" spans="1:6">
      <c r="A1168" s="810">
        <v>41209</v>
      </c>
      <c r="B1168" s="823" t="str">
        <f>TiposLancamentos!B13</f>
        <v>Moradia</v>
      </c>
      <c r="C1168" s="812" t="s">
        <v>24059</v>
      </c>
      <c r="D1168" s="849"/>
      <c r="E1168" s="875">
        <f>F1168-E1167</f>
        <v>79.599999999999994</v>
      </c>
      <c r="F1168" s="815">
        <v>109.5</v>
      </c>
    </row>
    <row r="1169" spans="1:6">
      <c r="A1169" s="757">
        <v>41209</v>
      </c>
      <c r="B1169" s="76" t="str">
        <f>TiposLancamentos!B19</f>
        <v>Restaurantes</v>
      </c>
      <c r="C1169" s="147" t="s">
        <v>24060</v>
      </c>
      <c r="D1169" s="63"/>
      <c r="E1169" s="231">
        <v>159.44999999999999</v>
      </c>
      <c r="F1169" s="758"/>
    </row>
    <row r="1170" spans="1:6">
      <c r="A1170" s="757">
        <v>41210</v>
      </c>
      <c r="B1170" s="76" t="str">
        <f>TiposLancamentos!B19</f>
        <v>Restaurantes</v>
      </c>
      <c r="C1170" s="147" t="s">
        <v>6122</v>
      </c>
      <c r="D1170" s="63"/>
      <c r="E1170" s="231">
        <v>46.6</v>
      </c>
      <c r="F1170" s="758"/>
    </row>
    <row r="1171" spans="1:6">
      <c r="A1171" s="757">
        <v>41210</v>
      </c>
      <c r="B1171" s="76" t="str">
        <f>TiposLancamentos!B5</f>
        <v>Supermercado</v>
      </c>
      <c r="C1171" s="147" t="s">
        <v>5844</v>
      </c>
      <c r="D1171" s="63"/>
      <c r="E1171" s="231">
        <v>119.9</v>
      </c>
      <c r="F1171" s="758"/>
    </row>
    <row r="1172" spans="1:6">
      <c r="A1172" s="757">
        <v>41211</v>
      </c>
      <c r="B1172" s="76" t="str">
        <f>TiposLancamentos!B57</f>
        <v>Informática</v>
      </c>
      <c r="C1172" s="147" t="s">
        <v>24061</v>
      </c>
      <c r="D1172" s="63"/>
      <c r="E1172" s="231">
        <v>69</v>
      </c>
      <c r="F1172" s="758"/>
    </row>
    <row r="1173" spans="1:6">
      <c r="A1173" s="757">
        <v>41212</v>
      </c>
      <c r="B1173" s="76" t="str">
        <f>TiposLancamentos!B5</f>
        <v>Supermercado</v>
      </c>
      <c r="C1173" s="147" t="s">
        <v>5844</v>
      </c>
      <c r="D1173" s="63"/>
      <c r="E1173" s="231">
        <v>49.36</v>
      </c>
      <c r="F1173" s="758"/>
    </row>
    <row r="1174" spans="1:6">
      <c r="A1174" s="799">
        <v>41213</v>
      </c>
      <c r="B1174" s="295" t="str">
        <f>TiposLancamentos!B16</f>
        <v>Cristiane</v>
      </c>
      <c r="C1174" s="291" t="s">
        <v>24062</v>
      </c>
      <c r="D1174" s="292"/>
      <c r="E1174" s="293">
        <v>131.6</v>
      </c>
      <c r="F1174" s="800"/>
    </row>
    <row r="1175" spans="1:6">
      <c r="A1175" s="751"/>
      <c r="B1175" s="752"/>
      <c r="C1175" s="802" t="s">
        <v>5877</v>
      </c>
      <c r="D1175" s="754"/>
      <c r="E1175" s="755"/>
      <c r="F1175" s="756">
        <f>SUM(E1099:E1133)</f>
        <v>2683.8098318909997</v>
      </c>
    </row>
    <row r="1176" spans="1:6">
      <c r="A1176" s="757">
        <v>41214</v>
      </c>
      <c r="B1176" s="76" t="str">
        <f>TiposLancamentos!B15</f>
        <v>Cartões de Crédito</v>
      </c>
      <c r="C1176" s="147" t="s">
        <v>14126</v>
      </c>
      <c r="D1176" s="63">
        <v>2683.21</v>
      </c>
      <c r="E1176" s="231"/>
      <c r="F1176" s="758">
        <f>F1175-F1114</f>
        <v>27.76983189099974</v>
      </c>
    </row>
    <row r="1177" spans="1:6">
      <c r="A1177" s="757">
        <v>41214</v>
      </c>
      <c r="B1177" s="76" t="str">
        <f>TiposLancamentos!B16</f>
        <v>Cristiane</v>
      </c>
      <c r="C1177" s="147" t="s">
        <v>24063</v>
      </c>
      <c r="D1177" s="63"/>
      <c r="E1177" s="231">
        <v>239.7</v>
      </c>
      <c r="F1177" s="758"/>
    </row>
    <row r="1178" spans="1:6">
      <c r="A1178" s="757">
        <v>41216</v>
      </c>
      <c r="B1178" s="76" t="str">
        <f>TiposLancamentos!B22</f>
        <v>Combustivel</v>
      </c>
      <c r="C1178" s="147" t="s">
        <v>6000</v>
      </c>
      <c r="D1178" s="63"/>
      <c r="E1178" s="231">
        <v>94.54</v>
      </c>
      <c r="F1178" s="758"/>
    </row>
    <row r="1179" spans="1:6">
      <c r="A1179" s="757">
        <v>41216</v>
      </c>
      <c r="B1179" s="76" t="str">
        <f>TiposLancamentos!B19</f>
        <v>Restaurantes</v>
      </c>
      <c r="C1179" s="147" t="s">
        <v>19376</v>
      </c>
      <c r="D1179" s="63"/>
      <c r="E1179" s="231">
        <v>64.459999999999994</v>
      </c>
      <c r="F1179" s="758"/>
    </row>
    <row r="1180" spans="1:6">
      <c r="A1180" s="757">
        <v>41219</v>
      </c>
      <c r="B1180" s="76" t="str">
        <f>TiposLancamentos!B71</f>
        <v>Itens Pessoais</v>
      </c>
      <c r="C1180" s="147" t="s">
        <v>24064</v>
      </c>
      <c r="D1180" s="63"/>
      <c r="E1180" s="231">
        <v>433</v>
      </c>
      <c r="F1180" s="758"/>
    </row>
    <row r="1181" spans="1:6">
      <c r="A1181" s="757">
        <v>41221</v>
      </c>
      <c r="B1181" s="76" t="str">
        <f>TiposLancamentos!B19</f>
        <v>Restaurantes</v>
      </c>
      <c r="C1181" s="147" t="s">
        <v>24065</v>
      </c>
      <c r="D1181" s="63"/>
      <c r="E1181" s="231">
        <v>24.3</v>
      </c>
      <c r="F1181" s="758"/>
    </row>
    <row r="1182" spans="1:6">
      <c r="A1182" s="757">
        <v>41225</v>
      </c>
      <c r="B1182" s="76" t="str">
        <f>TiposLancamentos!B31</f>
        <v>Action Figures</v>
      </c>
      <c r="C1182" s="147" t="s">
        <v>24066</v>
      </c>
      <c r="D1182" s="63"/>
      <c r="E1182" s="231">
        <v>261.89999999999998</v>
      </c>
      <c r="F1182" s="758"/>
    </row>
    <row r="1183" spans="1:6">
      <c r="A1183" s="907">
        <v>41227</v>
      </c>
      <c r="B1183" s="908" t="str">
        <f>TiposLancamentos!B5</f>
        <v>Supermercado</v>
      </c>
      <c r="C1183" s="909" t="s">
        <v>5844</v>
      </c>
      <c r="D1183" s="910"/>
      <c r="E1183" s="911">
        <v>43.13</v>
      </c>
      <c r="F1183" s="912"/>
    </row>
    <row r="1184" spans="1:6">
      <c r="A1184" s="757">
        <v>41234</v>
      </c>
      <c r="B1184" s="76" t="str">
        <f>TiposLancamentos!B4</f>
        <v>Taxas Bancarias</v>
      </c>
      <c r="C1184" s="147" t="s">
        <v>24067</v>
      </c>
      <c r="D1184" s="63"/>
      <c r="E1184" s="231">
        <v>0.79</v>
      </c>
      <c r="F1184" s="758"/>
    </row>
    <row r="1185" spans="1:6">
      <c r="A1185" s="757">
        <v>41229</v>
      </c>
      <c r="B1185" s="76" t="str">
        <f>TiposLancamentos!B26</f>
        <v>LIVROS</v>
      </c>
      <c r="C1185" s="147" t="s">
        <v>24068</v>
      </c>
      <c r="D1185" s="63"/>
      <c r="E1185" s="231">
        <v>72.239999999999995</v>
      </c>
      <c r="F1185" s="758"/>
    </row>
    <row r="1186" spans="1:6">
      <c r="A1186" s="759"/>
      <c r="B1186" s="226"/>
      <c r="C1186" s="227" t="s">
        <v>10</v>
      </c>
      <c r="D1186" s="228"/>
      <c r="E1186" s="228"/>
      <c r="F1186" s="760"/>
    </row>
    <row r="1187" spans="1:6">
      <c r="A1187" s="757">
        <v>41235</v>
      </c>
      <c r="B1187" s="76" t="str">
        <f>TiposLancamentos!B57</f>
        <v>Informática</v>
      </c>
      <c r="C1187" s="147" t="s">
        <v>24069</v>
      </c>
      <c r="D1187" s="63"/>
      <c r="E1187" s="231">
        <v>194.73</v>
      </c>
      <c r="F1187" s="758"/>
    </row>
    <row r="1188" spans="1:6">
      <c r="A1188" s="757">
        <v>41235</v>
      </c>
      <c r="B1188" s="76" t="str">
        <f>TiposLancamentos!B19</f>
        <v>Restaurantes</v>
      </c>
      <c r="C1188" s="147" t="s">
        <v>5914</v>
      </c>
      <c r="D1188" s="63"/>
      <c r="E1188" s="231">
        <v>20</v>
      </c>
      <c r="F1188" s="758"/>
    </row>
    <row r="1189" spans="1:6">
      <c r="A1189" s="757">
        <v>41235</v>
      </c>
      <c r="B1189" s="76" t="str">
        <f>TiposLancamentos!B19</f>
        <v>Restaurantes</v>
      </c>
      <c r="C1189" s="147" t="s">
        <v>3618</v>
      </c>
      <c r="D1189" s="63"/>
      <c r="E1189" s="231">
        <v>21.6</v>
      </c>
      <c r="F1189" s="758"/>
    </row>
    <row r="1190" spans="1:6">
      <c r="A1190" s="907">
        <v>41236</v>
      </c>
      <c r="B1190" s="908" t="str">
        <f>TiposLancamentos!B16</f>
        <v>Cristiane</v>
      </c>
      <c r="C1190" s="909" t="s">
        <v>24070</v>
      </c>
      <c r="D1190" s="910"/>
      <c r="E1190" s="911">
        <v>65</v>
      </c>
      <c r="F1190" s="912"/>
    </row>
    <row r="1191" spans="1:6">
      <c r="A1191" s="757">
        <v>41236</v>
      </c>
      <c r="B1191" s="76" t="str">
        <f>TiposLancamentos!B19</f>
        <v>Restaurantes</v>
      </c>
      <c r="C1191" s="147" t="s">
        <v>5914</v>
      </c>
      <c r="D1191" s="63"/>
      <c r="E1191" s="231">
        <v>17.8</v>
      </c>
      <c r="F1191" s="758"/>
    </row>
    <row r="1192" spans="1:6">
      <c r="A1192" s="757">
        <v>41237</v>
      </c>
      <c r="B1192" s="76" t="str">
        <f>TiposLancamentos!B19</f>
        <v>Restaurantes</v>
      </c>
      <c r="C1192" s="147" t="s">
        <v>5914</v>
      </c>
      <c r="D1192" s="63"/>
      <c r="E1192" s="231">
        <v>17.37</v>
      </c>
      <c r="F1192" s="758"/>
    </row>
    <row r="1193" spans="1:6">
      <c r="A1193" s="757">
        <v>41237</v>
      </c>
      <c r="B1193" s="76" t="str">
        <f>TiposLancamentos!B16</f>
        <v>Cristiane</v>
      </c>
      <c r="C1193" s="147" t="s">
        <v>24071</v>
      </c>
      <c r="D1193" s="63"/>
      <c r="E1193" s="231">
        <v>71.400000000000006</v>
      </c>
      <c r="F1193" s="758"/>
    </row>
    <row r="1194" spans="1:6">
      <c r="A1194" s="757">
        <v>41237</v>
      </c>
      <c r="B1194" s="76" t="str">
        <f>TiposLancamentos!B5</f>
        <v>Supermercado</v>
      </c>
      <c r="C1194" s="147" t="s">
        <v>6201</v>
      </c>
      <c r="D1194" s="63"/>
      <c r="E1194" s="231">
        <v>21.45</v>
      </c>
      <c r="F1194" s="758"/>
    </row>
    <row r="1195" spans="1:6">
      <c r="A1195" s="757">
        <v>41238</v>
      </c>
      <c r="B1195" s="76" t="str">
        <f>TiposLancamentos!B3</f>
        <v>Internet</v>
      </c>
      <c r="C1195" s="147" t="s">
        <v>10734</v>
      </c>
      <c r="D1195" s="63"/>
      <c r="E1195" s="231">
        <v>29</v>
      </c>
      <c r="F1195" s="758"/>
    </row>
    <row r="1196" spans="1:6">
      <c r="A1196" s="757">
        <v>41238</v>
      </c>
      <c r="B1196" s="76" t="str">
        <f>TiposLancamentos!B19</f>
        <v>Restaurantes</v>
      </c>
      <c r="C1196" s="147" t="s">
        <v>3618</v>
      </c>
      <c r="D1196" s="63"/>
      <c r="E1196" s="231">
        <v>26.69</v>
      </c>
      <c r="F1196" s="758"/>
    </row>
    <row r="1197" spans="1:6">
      <c r="A1197" s="907">
        <v>41239</v>
      </c>
      <c r="B1197" s="908" t="str">
        <f>TiposLancamentos!B16</f>
        <v>Cristiane</v>
      </c>
      <c r="C1197" s="909" t="s">
        <v>24072</v>
      </c>
      <c r="D1197" s="910"/>
      <c r="E1197" s="911">
        <v>38.25</v>
      </c>
      <c r="F1197" s="912"/>
    </row>
    <row r="1198" spans="1:6">
      <c r="A1198" s="757">
        <v>41239</v>
      </c>
      <c r="B1198" s="76" t="str">
        <f>TiposLancamentos!B19</f>
        <v>Restaurantes</v>
      </c>
      <c r="C1198" s="147" t="s">
        <v>24073</v>
      </c>
      <c r="D1198" s="63"/>
      <c r="E1198" s="231">
        <v>8.5500000000000007</v>
      </c>
      <c r="F1198" s="758"/>
    </row>
    <row r="1199" spans="1:6">
      <c r="A1199" s="757">
        <v>41239</v>
      </c>
      <c r="B1199" s="76" t="str">
        <f>TiposLancamentos!B19</f>
        <v>Restaurantes</v>
      </c>
      <c r="C1199" s="147" t="s">
        <v>5914</v>
      </c>
      <c r="D1199" s="63"/>
      <c r="E1199" s="231">
        <v>18.2</v>
      </c>
      <c r="F1199" s="758"/>
    </row>
    <row r="1200" spans="1:6">
      <c r="A1200" s="757">
        <v>41239</v>
      </c>
      <c r="B1200" s="76" t="str">
        <f>TiposLancamentos!B19</f>
        <v>Restaurantes</v>
      </c>
      <c r="C1200" s="147" t="s">
        <v>3746</v>
      </c>
      <c r="D1200" s="63"/>
      <c r="E1200" s="231">
        <v>41.75</v>
      </c>
      <c r="F1200" s="758"/>
    </row>
    <row r="1201" spans="1:6">
      <c r="A1201" s="757">
        <v>41240</v>
      </c>
      <c r="B1201" s="76" t="str">
        <f>TiposLancamentos!B19</f>
        <v>Restaurantes</v>
      </c>
      <c r="C1201" s="147" t="s">
        <v>22869</v>
      </c>
      <c r="D1201" s="63"/>
      <c r="E1201" s="231">
        <v>11.85</v>
      </c>
      <c r="F1201" s="758"/>
    </row>
    <row r="1202" spans="1:6">
      <c r="A1202" s="907">
        <v>41240</v>
      </c>
      <c r="B1202" s="908" t="str">
        <f>TiposLancamentos!B5</f>
        <v>Supermercado</v>
      </c>
      <c r="C1202" s="909" t="s">
        <v>6201</v>
      </c>
      <c r="D1202" s="910"/>
      <c r="E1202" s="911">
        <v>126.68</v>
      </c>
      <c r="F1202" s="912"/>
    </row>
    <row r="1203" spans="1:6">
      <c r="A1203" s="907">
        <v>41242</v>
      </c>
      <c r="B1203" s="908" t="str">
        <f>TiposLancamentos!B16</f>
        <v>Cristiane</v>
      </c>
      <c r="C1203" s="909" t="s">
        <v>22226</v>
      </c>
      <c r="D1203" s="910"/>
      <c r="E1203" s="911">
        <v>129.9</v>
      </c>
      <c r="F1203" s="912"/>
    </row>
    <row r="1204" spans="1:6">
      <c r="A1204" s="907">
        <v>41242</v>
      </c>
      <c r="B1204" s="908" t="str">
        <f>TiposLancamentos!B16</f>
        <v>Cristiane</v>
      </c>
      <c r="C1204" s="909" t="s">
        <v>24074</v>
      </c>
      <c r="D1204" s="910"/>
      <c r="E1204" s="911">
        <v>148.84</v>
      </c>
      <c r="F1204" s="912"/>
    </row>
    <row r="1205" spans="1:6">
      <c r="A1205" s="757">
        <v>41243</v>
      </c>
      <c r="B1205" s="76" t="str">
        <f>TiposLancamentos!B26</f>
        <v>LIVROS</v>
      </c>
      <c r="C1205" s="147" t="s">
        <v>24075</v>
      </c>
      <c r="D1205" s="63"/>
      <c r="E1205" s="231">
        <v>53.29</v>
      </c>
      <c r="F1205" s="758"/>
    </row>
    <row r="1206" spans="1:6">
      <c r="A1206" s="751"/>
      <c r="B1206" s="752"/>
      <c r="C1206" s="802" t="s">
        <v>24076</v>
      </c>
      <c r="D1206" s="754"/>
      <c r="E1206" s="755"/>
      <c r="F1206" s="756">
        <f>SUM(E1135:E1185)-D1152</f>
        <v>8046.02</v>
      </c>
    </row>
    <row r="1207" spans="1:6">
      <c r="A1207" s="757"/>
      <c r="B1207" s="76"/>
      <c r="C1207" s="878"/>
      <c r="D1207" s="63"/>
      <c r="E1207" s="231"/>
      <c r="F1207" s="758">
        <f>F1175-F1206</f>
        <v>-5362.2101681090007</v>
      </c>
    </row>
    <row r="1208" spans="1:6">
      <c r="A1208" s="907">
        <v>41244</v>
      </c>
      <c r="B1208" s="908" t="str">
        <f>TiposLancamentos!B16</f>
        <v>Cristiane</v>
      </c>
      <c r="C1208" s="909" t="s">
        <v>24014</v>
      </c>
      <c r="D1208" s="910"/>
      <c r="E1208" s="911">
        <v>2.16</v>
      </c>
      <c r="F1208" s="912" t="s">
        <v>10768</v>
      </c>
    </row>
    <row r="1209" spans="1:6">
      <c r="A1209" s="757">
        <v>41246</v>
      </c>
      <c r="B1209" s="76" t="str">
        <f>TiposLancamentos!B15</f>
        <v>Cartões de Crédito</v>
      </c>
      <c r="C1209" s="147" t="s">
        <v>24077</v>
      </c>
      <c r="D1209" s="63">
        <v>8046.02</v>
      </c>
      <c r="E1209" s="231"/>
      <c r="F1209" s="758"/>
    </row>
    <row r="1210" spans="1:6">
      <c r="A1210" s="907">
        <v>41248</v>
      </c>
      <c r="B1210" s="908" t="str">
        <f>TiposLancamentos!B16</f>
        <v>Cristiane</v>
      </c>
      <c r="C1210" s="909" t="s">
        <v>24078</v>
      </c>
      <c r="D1210" s="910"/>
      <c r="E1210" s="911">
        <v>147.5</v>
      </c>
      <c r="F1210" s="912"/>
    </row>
    <row r="1211" spans="1:6">
      <c r="A1211" s="907">
        <v>41248</v>
      </c>
      <c r="B1211" s="908" t="str">
        <f>TiposLancamentos!B16</f>
        <v>Cristiane</v>
      </c>
      <c r="C1211" s="909" t="s">
        <v>24079</v>
      </c>
      <c r="D1211" s="910"/>
      <c r="E1211" s="911">
        <v>61.4</v>
      </c>
      <c r="F1211" s="912"/>
    </row>
    <row r="1212" spans="1:6">
      <c r="A1212" s="907">
        <v>41248</v>
      </c>
      <c r="B1212" s="908" t="str">
        <f>TiposLancamentos!B16</f>
        <v>Cristiane</v>
      </c>
      <c r="C1212" s="909" t="s">
        <v>19924</v>
      </c>
      <c r="D1212" s="910"/>
      <c r="E1212" s="911">
        <v>125.21</v>
      </c>
      <c r="F1212" s="912"/>
    </row>
    <row r="1213" spans="1:6">
      <c r="A1213" s="907">
        <v>41250</v>
      </c>
      <c r="B1213" s="908" t="str">
        <f>TiposLancamentos!B5</f>
        <v>Supermercado</v>
      </c>
      <c r="C1213" s="909" t="s">
        <v>6280</v>
      </c>
      <c r="D1213" s="910"/>
      <c r="E1213" s="911">
        <v>89.96</v>
      </c>
      <c r="F1213" s="912"/>
    </row>
    <row r="1214" spans="1:6">
      <c r="A1214" s="806">
        <v>41251</v>
      </c>
      <c r="B1214" s="822" t="str">
        <f>TiposLancamentos!B13</f>
        <v>Moradia</v>
      </c>
      <c r="C1214" s="808" t="s">
        <v>24080</v>
      </c>
      <c r="D1214" s="747"/>
      <c r="E1214" s="874">
        <v>469</v>
      </c>
      <c r="F1214" s="814"/>
    </row>
    <row r="1215" spans="1:6">
      <c r="A1215" s="810">
        <v>41251</v>
      </c>
      <c r="B1215" s="823" t="str">
        <f>TiposLancamentos!B34</f>
        <v>Seguros</v>
      </c>
      <c r="C1215" s="812" t="s">
        <v>24081</v>
      </c>
      <c r="D1215" s="849"/>
      <c r="E1215" s="875">
        <f>F1215-E1214</f>
        <v>82.649999999999977</v>
      </c>
      <c r="F1215" s="815">
        <v>551.65</v>
      </c>
    </row>
    <row r="1216" spans="1:6">
      <c r="A1216" s="907">
        <v>41253</v>
      </c>
      <c r="B1216" s="908" t="str">
        <f>TiposLancamentos!B5</f>
        <v>Supermercado</v>
      </c>
      <c r="C1216" s="909" t="s">
        <v>24082</v>
      </c>
      <c r="D1216" s="910"/>
      <c r="E1216" s="911">
        <v>45.94</v>
      </c>
      <c r="F1216" s="912"/>
    </row>
    <row r="1217" spans="1:6">
      <c r="A1217" s="907">
        <v>41254</v>
      </c>
      <c r="B1217" s="908" t="str">
        <f>TiposLancamentos!B16</f>
        <v>Cristiane</v>
      </c>
      <c r="C1217" s="909" t="s">
        <v>24083</v>
      </c>
      <c r="D1217" s="910"/>
      <c r="E1217" s="911">
        <v>55.3</v>
      </c>
      <c r="F1217" s="912"/>
    </row>
    <row r="1218" spans="1:6">
      <c r="A1218" s="907">
        <v>41254</v>
      </c>
      <c r="B1218" s="908" t="str">
        <f>TiposLancamentos!B16</f>
        <v>Cristiane</v>
      </c>
      <c r="C1218" s="909" t="s">
        <v>24084</v>
      </c>
      <c r="D1218" s="910"/>
      <c r="E1218" s="911">
        <v>47</v>
      </c>
      <c r="F1218" s="912"/>
    </row>
    <row r="1219" spans="1:6">
      <c r="A1219" s="757">
        <v>41256</v>
      </c>
      <c r="B1219" s="76" t="str">
        <f>TiposLancamentos!B26</f>
        <v>LIVROS</v>
      </c>
      <c r="C1219" s="147" t="s">
        <v>24085</v>
      </c>
      <c r="D1219" s="63"/>
      <c r="E1219" s="231">
        <v>50.92</v>
      </c>
      <c r="F1219" s="758"/>
    </row>
    <row r="1220" spans="1:6">
      <c r="A1220" s="757">
        <v>41256</v>
      </c>
      <c r="B1220" s="76" t="str">
        <f>TiposLancamentos!B5</f>
        <v>Supermercado</v>
      </c>
      <c r="C1220" s="147" t="s">
        <v>5977</v>
      </c>
      <c r="D1220" s="63"/>
      <c r="E1220" s="231">
        <v>122.92</v>
      </c>
      <c r="F1220" s="758"/>
    </row>
    <row r="1221" spans="1:6">
      <c r="A1221" s="757">
        <v>41259</v>
      </c>
      <c r="B1221" s="76" t="str">
        <f>TiposLancamentos!B45</f>
        <v>Online Services</v>
      </c>
      <c r="C1221" s="147" t="s">
        <v>24086</v>
      </c>
      <c r="D1221" s="63"/>
      <c r="E1221" s="231">
        <v>10</v>
      </c>
      <c r="F1221" s="758"/>
    </row>
    <row r="1222" spans="1:6">
      <c r="A1222" s="757">
        <v>41262</v>
      </c>
      <c r="B1222" s="76" t="str">
        <f>TiposLancamentos!B4</f>
        <v>Taxas Bancarias</v>
      </c>
      <c r="C1222" s="147" t="s">
        <v>23963</v>
      </c>
      <c r="D1222" s="63"/>
      <c r="E1222" s="231">
        <v>0.13</v>
      </c>
      <c r="F1222" s="758"/>
    </row>
    <row r="1223" spans="1:6">
      <c r="A1223" s="759"/>
      <c r="B1223" s="226"/>
      <c r="C1223" s="227" t="s">
        <v>10</v>
      </c>
      <c r="D1223" s="228"/>
      <c r="E1223" s="228"/>
      <c r="F1223" s="760"/>
    </row>
    <row r="1224" spans="1:6">
      <c r="A1224" s="757">
        <v>41262</v>
      </c>
      <c r="B1224" s="76" t="str">
        <f>TiposLancamentos!B70</f>
        <v>Vestuário</v>
      </c>
      <c r="C1224" s="147" t="s">
        <v>24087</v>
      </c>
      <c r="D1224" s="63"/>
      <c r="E1224" s="231">
        <v>46.03</v>
      </c>
      <c r="F1224" s="758"/>
    </row>
    <row r="1225" spans="1:6">
      <c r="A1225" s="757">
        <v>41266</v>
      </c>
      <c r="B1225" s="76" t="str">
        <f>TiposLancamentos!B70</f>
        <v>Vestuário</v>
      </c>
      <c r="C1225" s="147" t="s">
        <v>24088</v>
      </c>
      <c r="D1225" s="63"/>
      <c r="E1225" s="231">
        <v>51.2</v>
      </c>
      <c r="F1225" s="758"/>
    </row>
    <row r="1226" spans="1:6">
      <c r="A1226" s="907">
        <v>41269</v>
      </c>
      <c r="B1226" s="908" t="str">
        <f>TiposLancamentos!B16</f>
        <v>Cristiane</v>
      </c>
      <c r="C1226" s="909" t="s">
        <v>24089</v>
      </c>
      <c r="D1226" s="910"/>
      <c r="E1226" s="911">
        <v>38.25</v>
      </c>
      <c r="F1226" s="912"/>
    </row>
    <row r="1227" spans="1:6">
      <c r="A1227" s="757">
        <v>41269</v>
      </c>
      <c r="B1227" s="76" t="str">
        <f>TiposLancamentos!B30</f>
        <v>Cinema</v>
      </c>
      <c r="C1227" s="147" t="s">
        <v>24090</v>
      </c>
      <c r="D1227" s="63"/>
      <c r="E1227" s="231">
        <v>50.6</v>
      </c>
      <c r="F1227" s="758"/>
    </row>
    <row r="1228" spans="1:6">
      <c r="A1228" s="757">
        <v>41273</v>
      </c>
      <c r="B1228" s="76" t="str">
        <f>TiposLancamentos!B25</f>
        <v>CD_DVD_BD</v>
      </c>
      <c r="C1228" s="147" t="s">
        <v>24091</v>
      </c>
      <c r="D1228" s="63"/>
      <c r="E1228" s="231">
        <v>85.49</v>
      </c>
      <c r="F1228" s="758"/>
    </row>
    <row r="1229" spans="1:6" ht="14.25" thickBot="1">
      <c r="A1229" s="192">
        <v>41639</v>
      </c>
      <c r="B1229" s="76" t="str">
        <f>TiposLancamentos!B98</f>
        <v>Restituições</v>
      </c>
      <c r="C1229" s="147" t="s">
        <v>19457</v>
      </c>
      <c r="D1229" s="63">
        <v>0.06</v>
      </c>
      <c r="E1229" s="231"/>
      <c r="F1229" s="781"/>
    </row>
    <row r="1230" spans="1:6">
      <c r="A1230" s="893"/>
      <c r="B1230" s="894"/>
      <c r="C1230" s="906" t="s">
        <v>5991</v>
      </c>
      <c r="D1230" s="896"/>
      <c r="E1230" s="925"/>
      <c r="F1230" s="926">
        <f>SUM(E1187:E1222)</f>
        <v>2372.4400000000005</v>
      </c>
    </row>
    <row r="1231" spans="1:6">
      <c r="A1231" s="864">
        <v>41276</v>
      </c>
      <c r="B1231" s="76" t="str">
        <f>TiposLancamentos!B15</f>
        <v>Cartões de Crédito</v>
      </c>
      <c r="C1231" s="147" t="s">
        <v>14126</v>
      </c>
      <c r="D1231" s="63">
        <v>2372.44</v>
      </c>
      <c r="E1231" s="231"/>
      <c r="F1231" s="927">
        <f>F1230-F1206</f>
        <v>-5673.58</v>
      </c>
    </row>
    <row r="1232" spans="1:6">
      <c r="A1232" s="932">
        <v>41277</v>
      </c>
      <c r="B1232" s="908" t="str">
        <f>TiposLancamentos!B5</f>
        <v>Supermercado</v>
      </c>
      <c r="C1232" s="909" t="s">
        <v>6201</v>
      </c>
      <c r="D1232" s="910"/>
      <c r="E1232" s="911">
        <v>30.6</v>
      </c>
      <c r="F1232" s="933"/>
    </row>
    <row r="1233" spans="1:6">
      <c r="A1233" s="932">
        <v>41278</v>
      </c>
      <c r="B1233" s="908" t="str">
        <f>TiposLancamentos!B16</f>
        <v>Cristiane</v>
      </c>
      <c r="C1233" s="909" t="s">
        <v>24092</v>
      </c>
      <c r="D1233" s="910"/>
      <c r="E1233" s="911">
        <v>100</v>
      </c>
      <c r="F1233" s="933"/>
    </row>
    <row r="1234" spans="1:6">
      <c r="A1234" s="932">
        <v>41279</v>
      </c>
      <c r="B1234" s="908" t="str">
        <f>TiposLancamentos!B16</f>
        <v>Cristiane</v>
      </c>
      <c r="C1234" s="909" t="s">
        <v>24093</v>
      </c>
      <c r="D1234" s="910"/>
      <c r="E1234" s="911">
        <v>51.16</v>
      </c>
      <c r="F1234" s="933"/>
    </row>
    <row r="1235" spans="1:6">
      <c r="A1235" s="864">
        <v>41281</v>
      </c>
      <c r="B1235" s="76" t="str">
        <f>TiposLancamentos!B16</f>
        <v>Cristiane</v>
      </c>
      <c r="C1235" s="147" t="s">
        <v>24094</v>
      </c>
      <c r="D1235" s="63"/>
      <c r="E1235" s="231">
        <v>29</v>
      </c>
      <c r="F1235" s="927"/>
    </row>
    <row r="1236" spans="1:6">
      <c r="A1236" s="932">
        <v>41281</v>
      </c>
      <c r="B1236" s="908" t="str">
        <f>TiposLancamentos!B5</f>
        <v>Supermercado</v>
      </c>
      <c r="C1236" s="909" t="s">
        <v>3902</v>
      </c>
      <c r="D1236" s="910"/>
      <c r="E1236" s="911">
        <v>33.979999999999997</v>
      </c>
      <c r="F1236" s="933"/>
    </row>
    <row r="1237" spans="1:6">
      <c r="A1237" s="864">
        <v>41281</v>
      </c>
      <c r="B1237" s="76" t="str">
        <f>TiposLancamentos!B57</f>
        <v>Informática</v>
      </c>
      <c r="C1237" s="147" t="s">
        <v>24095</v>
      </c>
      <c r="D1237" s="63"/>
      <c r="E1237" s="231">
        <v>417.16</v>
      </c>
      <c r="F1237" s="927"/>
    </row>
    <row r="1238" spans="1:6">
      <c r="A1238" s="864">
        <v>41283</v>
      </c>
      <c r="B1238" s="76" t="str">
        <f>TiposLancamentos!B71</f>
        <v>Itens Pessoais</v>
      </c>
      <c r="C1238" s="147" t="s">
        <v>24096</v>
      </c>
      <c r="D1238" s="63"/>
      <c r="E1238" s="231">
        <v>4.6100000000000003</v>
      </c>
      <c r="F1238" s="927"/>
    </row>
    <row r="1239" spans="1:6">
      <c r="A1239" s="932">
        <v>41283</v>
      </c>
      <c r="B1239" s="908" t="str">
        <f>TiposLancamentos!B5</f>
        <v>Supermercado</v>
      </c>
      <c r="C1239" s="909" t="s">
        <v>24097</v>
      </c>
      <c r="D1239" s="910"/>
      <c r="E1239" s="911">
        <v>165.9</v>
      </c>
      <c r="F1239" s="933"/>
    </row>
    <row r="1240" spans="1:6">
      <c r="A1240" s="932">
        <v>41284</v>
      </c>
      <c r="B1240" s="908" t="str">
        <f>TiposLancamentos!B16</f>
        <v>Cristiane</v>
      </c>
      <c r="C1240" s="909" t="s">
        <v>24098</v>
      </c>
      <c r="D1240" s="910"/>
      <c r="E1240" s="911">
        <v>59.72</v>
      </c>
      <c r="F1240" s="933"/>
    </row>
    <row r="1241" spans="1:6">
      <c r="A1241" s="864">
        <v>41286</v>
      </c>
      <c r="B1241" s="76" t="str">
        <f>TiposLancamentos!B18</f>
        <v>Alimentacao</v>
      </c>
      <c r="C1241" s="147" t="s">
        <v>24099</v>
      </c>
      <c r="D1241" s="63"/>
      <c r="E1241" s="231">
        <v>92</v>
      </c>
      <c r="F1241" s="927"/>
    </row>
    <row r="1242" spans="1:6">
      <c r="A1242" s="864">
        <v>41286</v>
      </c>
      <c r="B1242" s="76" t="str">
        <f>TiposLancamentos!B19</f>
        <v>Restaurantes</v>
      </c>
      <c r="C1242" s="147" t="s">
        <v>24100</v>
      </c>
      <c r="D1242" s="63"/>
      <c r="E1242" s="231">
        <v>55.9</v>
      </c>
      <c r="F1242" s="927"/>
    </row>
    <row r="1243" spans="1:6">
      <c r="A1243" s="864">
        <v>41286</v>
      </c>
      <c r="B1243" s="76" t="str">
        <f>TiposLancamentos!B18</f>
        <v>Alimentacao</v>
      </c>
      <c r="C1243" s="147" t="s">
        <v>24101</v>
      </c>
      <c r="D1243" s="63"/>
      <c r="E1243" s="231">
        <v>20</v>
      </c>
      <c r="F1243" s="927"/>
    </row>
    <row r="1244" spans="1:6">
      <c r="A1244" s="864">
        <v>41286</v>
      </c>
      <c r="B1244" s="76" t="str">
        <f>TiposLancamentos!B18</f>
        <v>Alimentacao</v>
      </c>
      <c r="C1244" s="147" t="s">
        <v>24102</v>
      </c>
      <c r="D1244" s="63"/>
      <c r="E1244" s="231">
        <v>68</v>
      </c>
      <c r="F1244" s="927"/>
    </row>
    <row r="1245" spans="1:6">
      <c r="A1245" s="864">
        <v>41287</v>
      </c>
      <c r="B1245" s="76" t="str">
        <f>TiposLancamentos!B19</f>
        <v>Restaurantes</v>
      </c>
      <c r="C1245" s="147" t="s">
        <v>24103</v>
      </c>
      <c r="D1245" s="63"/>
      <c r="E1245" s="231">
        <v>126.75</v>
      </c>
      <c r="F1245" s="927"/>
    </row>
    <row r="1246" spans="1:6">
      <c r="A1246" s="864">
        <v>41287</v>
      </c>
      <c r="B1246" s="76" t="str">
        <f>TiposLancamentos!B31</f>
        <v>Action Figures</v>
      </c>
      <c r="C1246" s="147" t="s">
        <v>24104</v>
      </c>
      <c r="D1246" s="63"/>
      <c r="E1246" s="231">
        <v>34.99</v>
      </c>
      <c r="F1246" s="927"/>
    </row>
    <row r="1247" spans="1:6">
      <c r="A1247" s="932">
        <v>41287</v>
      </c>
      <c r="B1247" s="908" t="str">
        <f>TiposLancamentos!B16</f>
        <v>Cristiane</v>
      </c>
      <c r="C1247" s="909" t="s">
        <v>24105</v>
      </c>
      <c r="D1247" s="910"/>
      <c r="E1247" s="911">
        <v>149.69999999999999</v>
      </c>
      <c r="F1247" s="933"/>
    </row>
    <row r="1248" spans="1:6">
      <c r="A1248" s="864">
        <v>41290</v>
      </c>
      <c r="B1248" s="76" t="str">
        <f>TiposLancamentos!B31</f>
        <v>Action Figures</v>
      </c>
      <c r="C1248" s="147" t="s">
        <v>24106</v>
      </c>
      <c r="D1248" s="63"/>
      <c r="E1248" s="231">
        <v>290.01</v>
      </c>
      <c r="F1248" s="927" t="s">
        <v>24107</v>
      </c>
    </row>
    <row r="1249" spans="1:6">
      <c r="A1249" s="932">
        <v>41290</v>
      </c>
      <c r="B1249" s="908" t="str">
        <f>TiposLancamentos!B5</f>
        <v>Supermercado</v>
      </c>
      <c r="C1249" s="909" t="s">
        <v>24082</v>
      </c>
      <c r="D1249" s="910"/>
      <c r="E1249" s="911">
        <v>69.27</v>
      </c>
      <c r="F1249" s="933"/>
    </row>
    <row r="1250" spans="1:6">
      <c r="A1250" s="932">
        <v>41290</v>
      </c>
      <c r="B1250" s="908" t="str">
        <f>TiposLancamentos!B16</f>
        <v>Cristiane</v>
      </c>
      <c r="C1250" s="909" t="s">
        <v>24108</v>
      </c>
      <c r="D1250" s="910"/>
      <c r="E1250" s="911">
        <f>F1250/4</f>
        <v>146</v>
      </c>
      <c r="F1250" s="933">
        <v>584</v>
      </c>
    </row>
    <row r="1251" spans="1:6">
      <c r="A1251" s="864">
        <v>41294</v>
      </c>
      <c r="B1251" s="76" t="str">
        <f>TiposLancamentos!B57</f>
        <v>Informática</v>
      </c>
      <c r="C1251" s="147" t="s">
        <v>24109</v>
      </c>
      <c r="D1251" s="63"/>
      <c r="E1251" s="231">
        <v>201.6</v>
      </c>
      <c r="F1251" s="927"/>
    </row>
    <row r="1252" spans="1:6">
      <c r="A1252" s="864">
        <v>41294</v>
      </c>
      <c r="B1252" s="76" t="str">
        <f>TiposLancamentos!B56</f>
        <v>Farmácia</v>
      </c>
      <c r="C1252" s="147" t="s">
        <v>24110</v>
      </c>
      <c r="D1252" s="63"/>
      <c r="E1252" s="231">
        <v>21.09</v>
      </c>
      <c r="F1252" s="927"/>
    </row>
    <row r="1253" spans="1:6">
      <c r="A1253" s="864">
        <v>41294</v>
      </c>
      <c r="B1253" s="76" t="str">
        <f>TiposLancamentos!B16</f>
        <v>Cristiane</v>
      </c>
      <c r="C1253" s="147" t="s">
        <v>16887</v>
      </c>
      <c r="D1253" s="63"/>
      <c r="E1253" s="231">
        <v>199.99</v>
      </c>
      <c r="F1253" s="927"/>
    </row>
    <row r="1254" spans="1:6">
      <c r="A1254" s="864">
        <v>41294</v>
      </c>
      <c r="B1254" s="76" t="str">
        <f>TiposLancamentos!B71</f>
        <v>Itens Pessoais</v>
      </c>
      <c r="C1254" s="147" t="s">
        <v>24111</v>
      </c>
      <c r="D1254" s="63"/>
      <c r="E1254" s="231">
        <v>40.99</v>
      </c>
      <c r="F1254" s="927"/>
    </row>
    <row r="1255" spans="1:6">
      <c r="A1255" s="932">
        <v>41294</v>
      </c>
      <c r="B1255" s="908" t="str">
        <f>TiposLancamentos!B16</f>
        <v>Cristiane</v>
      </c>
      <c r="C1255" s="909" t="s">
        <v>16890</v>
      </c>
      <c r="D1255" s="910"/>
      <c r="E1255" s="911">
        <v>69.900000000000006</v>
      </c>
      <c r="F1255" s="933"/>
    </row>
    <row r="1256" spans="1:6">
      <c r="A1256" s="864">
        <v>41294</v>
      </c>
      <c r="B1256" s="76" t="str">
        <f>TiposLancamentos!B5</f>
        <v>Supermercado</v>
      </c>
      <c r="C1256" s="147" t="s">
        <v>24112</v>
      </c>
      <c r="D1256" s="63"/>
      <c r="E1256" s="231">
        <v>20.46</v>
      </c>
      <c r="F1256" s="927"/>
    </row>
    <row r="1257" spans="1:6">
      <c r="A1257" s="934"/>
      <c r="B1257" s="226"/>
      <c r="C1257" s="227" t="s">
        <v>10</v>
      </c>
      <c r="D1257" s="228"/>
      <c r="E1257" s="228"/>
      <c r="F1257" s="935"/>
    </row>
    <row r="1258" spans="1:6">
      <c r="A1258" s="864"/>
      <c r="B1258" s="76"/>
      <c r="C1258" s="147"/>
      <c r="D1258" s="63"/>
      <c r="E1258" s="231"/>
      <c r="F1258" s="927"/>
    </row>
    <row r="1259" spans="1:6">
      <c r="A1259" s="932">
        <v>41295</v>
      </c>
      <c r="B1259" s="908" t="str">
        <f>TiposLancamentos!B5</f>
        <v>Supermercado</v>
      </c>
      <c r="C1259" s="909" t="s">
        <v>24082</v>
      </c>
      <c r="D1259" s="910"/>
      <c r="E1259" s="911">
        <v>95.1</v>
      </c>
      <c r="F1259" s="933"/>
    </row>
    <row r="1260" spans="1:6">
      <c r="A1260" s="932">
        <v>41296</v>
      </c>
      <c r="B1260" s="908" t="str">
        <f>TiposLancamentos!B5</f>
        <v>Supermercado</v>
      </c>
      <c r="C1260" s="909" t="s">
        <v>18796</v>
      </c>
      <c r="D1260" s="910"/>
      <c r="E1260" s="911">
        <v>79.900000000000006</v>
      </c>
      <c r="F1260" s="933"/>
    </row>
    <row r="1261" spans="1:6">
      <c r="A1261" s="932">
        <v>41297</v>
      </c>
      <c r="B1261" s="908" t="str">
        <f>TiposLancamentos!B16</f>
        <v>Cristiane</v>
      </c>
      <c r="C1261" s="909" t="s">
        <v>24113</v>
      </c>
      <c r="D1261" s="910"/>
      <c r="E1261" s="911">
        <v>123.23</v>
      </c>
      <c r="F1261" s="933"/>
    </row>
    <row r="1262" spans="1:6">
      <c r="A1262" s="864">
        <v>41297</v>
      </c>
      <c r="B1262" s="76" t="str">
        <f>TiposLancamentos!B22</f>
        <v>Combustivel</v>
      </c>
      <c r="C1262" s="147" t="s">
        <v>24114</v>
      </c>
      <c r="D1262" s="63"/>
      <c r="E1262" s="231">
        <v>123</v>
      </c>
      <c r="F1262" s="927"/>
    </row>
    <row r="1263" spans="1:6">
      <c r="A1263" s="864">
        <v>41297</v>
      </c>
      <c r="B1263" s="76" t="str">
        <f>TiposLancamentos!B16</f>
        <v>Cristiane</v>
      </c>
      <c r="C1263" s="147" t="s">
        <v>24115</v>
      </c>
      <c r="D1263" s="63"/>
      <c r="E1263" s="231">
        <v>35.340000000000003</v>
      </c>
      <c r="F1263" s="927"/>
    </row>
    <row r="1264" spans="1:6">
      <c r="A1264" s="806">
        <v>41297</v>
      </c>
      <c r="B1264" s="822" t="str">
        <f>TiposLancamentos!B56</f>
        <v>Farmácia</v>
      </c>
      <c r="C1264" s="808" t="s">
        <v>6118</v>
      </c>
      <c r="D1264" s="747"/>
      <c r="E1264" s="874">
        <f>59.72+36.07</f>
        <v>95.789999999999992</v>
      </c>
      <c r="F1264" s="936"/>
    </row>
    <row r="1265" spans="1:6">
      <c r="A1265" s="810">
        <v>41297</v>
      </c>
      <c r="B1265" s="823" t="str">
        <f>TiposLancamentos!B16</f>
        <v>Cristiane</v>
      </c>
      <c r="C1265" s="812" t="s">
        <v>5190</v>
      </c>
      <c r="D1265" s="849"/>
      <c r="E1265" s="875">
        <f>F1265-E1264</f>
        <v>48.91</v>
      </c>
      <c r="F1265" s="937">
        <v>144.69999999999999</v>
      </c>
    </row>
    <row r="1266" spans="1:6">
      <c r="A1266" s="864">
        <v>41298</v>
      </c>
      <c r="B1266" s="76" t="str">
        <f>TiposLancamentos!B19</f>
        <v>Restaurantes</v>
      </c>
      <c r="C1266" s="147" t="s">
        <v>24116</v>
      </c>
      <c r="D1266" s="63"/>
      <c r="E1266" s="231">
        <v>21.32</v>
      </c>
      <c r="F1266" s="927"/>
    </row>
    <row r="1267" spans="1:6">
      <c r="A1267" s="864">
        <v>41298</v>
      </c>
      <c r="B1267" s="76" t="str">
        <f>TiposLancamentos!B19</f>
        <v>Restaurantes</v>
      </c>
      <c r="C1267" s="147" t="s">
        <v>3618</v>
      </c>
      <c r="D1267" s="63"/>
      <c r="E1267" s="231">
        <v>24.8</v>
      </c>
      <c r="F1267" s="927"/>
    </row>
    <row r="1268" spans="1:6">
      <c r="A1268" s="864">
        <v>41299</v>
      </c>
      <c r="B1268" s="76" t="str">
        <f>TiposLancamentos!B3</f>
        <v>Internet</v>
      </c>
      <c r="C1268" s="147" t="s">
        <v>10734</v>
      </c>
      <c r="D1268" s="63"/>
      <c r="E1268" s="231">
        <v>29</v>
      </c>
      <c r="F1268" s="927"/>
    </row>
    <row r="1269" spans="1:6">
      <c r="A1269" s="864">
        <v>41299</v>
      </c>
      <c r="B1269" s="76" t="str">
        <f>TiposLancamentos!B19</f>
        <v>Restaurantes</v>
      </c>
      <c r="C1269" s="147" t="s">
        <v>6079</v>
      </c>
      <c r="D1269" s="63"/>
      <c r="E1269" s="231">
        <v>15.8</v>
      </c>
      <c r="F1269" s="927"/>
    </row>
    <row r="1270" spans="1:6">
      <c r="A1270" s="864">
        <v>41299</v>
      </c>
      <c r="B1270" s="76" t="str">
        <f>TiposLancamentos!B5</f>
        <v>Supermercado</v>
      </c>
      <c r="C1270" s="147" t="s">
        <v>3974</v>
      </c>
      <c r="D1270" s="63"/>
      <c r="E1270" s="231">
        <v>25.12</v>
      </c>
      <c r="F1270" s="927"/>
    </row>
    <row r="1271" spans="1:6">
      <c r="A1271" s="864">
        <v>41300</v>
      </c>
      <c r="B1271" s="76" t="str">
        <f>TiposLancamentos!B19</f>
        <v>Restaurantes</v>
      </c>
      <c r="C1271" s="147" t="s">
        <v>5914</v>
      </c>
      <c r="D1271" s="63"/>
      <c r="E1271" s="231">
        <v>20.3</v>
      </c>
      <c r="F1271" s="927"/>
    </row>
    <row r="1272" spans="1:6">
      <c r="A1272" s="864">
        <v>41300</v>
      </c>
      <c r="B1272" s="76" t="str">
        <f>TiposLancamentos!B5</f>
        <v>Supermercado</v>
      </c>
      <c r="C1272" s="147" t="s">
        <v>24117</v>
      </c>
      <c r="D1272" s="63"/>
      <c r="E1272" s="231">
        <v>15.75</v>
      </c>
      <c r="F1272" s="927"/>
    </row>
    <row r="1273" spans="1:6">
      <c r="A1273" s="864">
        <v>41300</v>
      </c>
      <c r="B1273" s="76" t="str">
        <f>TiposLancamentos!B19</f>
        <v>Restaurantes</v>
      </c>
      <c r="C1273" s="147" t="s">
        <v>24118</v>
      </c>
      <c r="D1273" s="63"/>
      <c r="E1273" s="231">
        <v>15.5</v>
      </c>
      <c r="F1273" s="927"/>
    </row>
    <row r="1274" spans="1:6">
      <c r="A1274" s="864">
        <v>41302</v>
      </c>
      <c r="B1274" s="76" t="str">
        <f>TiposLancamentos!B19</f>
        <v>Restaurantes</v>
      </c>
      <c r="C1274" s="147" t="s">
        <v>5914</v>
      </c>
      <c r="D1274" s="63"/>
      <c r="E1274" s="231">
        <v>15</v>
      </c>
      <c r="F1274" s="927"/>
    </row>
    <row r="1275" spans="1:6">
      <c r="A1275" s="864">
        <v>41302</v>
      </c>
      <c r="B1275" s="76" t="str">
        <f>TiposLancamentos!B19</f>
        <v>Restaurantes</v>
      </c>
      <c r="C1275" s="147" t="s">
        <v>3618</v>
      </c>
      <c r="D1275" s="63"/>
      <c r="E1275" s="231">
        <v>19.8</v>
      </c>
      <c r="F1275" s="927"/>
    </row>
    <row r="1276" spans="1:6">
      <c r="A1276" s="864">
        <v>41303</v>
      </c>
      <c r="B1276" s="76" t="str">
        <f>TiposLancamentos!B19</f>
        <v>Restaurantes</v>
      </c>
      <c r="C1276" s="147" t="s">
        <v>5914</v>
      </c>
      <c r="D1276" s="63"/>
      <c r="E1276" s="231">
        <v>18.399999999999999</v>
      </c>
      <c r="F1276" s="927"/>
    </row>
    <row r="1277" spans="1:6">
      <c r="A1277" s="864">
        <v>41303</v>
      </c>
      <c r="B1277" s="76" t="str">
        <f>TiposLancamentos!B5</f>
        <v>Supermercado</v>
      </c>
      <c r="C1277" s="147" t="s">
        <v>24119</v>
      </c>
      <c r="D1277" s="63"/>
      <c r="E1277" s="231">
        <v>31.67</v>
      </c>
      <c r="F1277" s="927"/>
    </row>
    <row r="1278" spans="1:6">
      <c r="A1278" s="932">
        <v>41304</v>
      </c>
      <c r="B1278" s="908" t="str">
        <f>TiposLancamentos!B16</f>
        <v>Cristiane</v>
      </c>
      <c r="C1278" s="909" t="s">
        <v>24120</v>
      </c>
      <c r="D1278" s="910"/>
      <c r="E1278" s="911">
        <v>50</v>
      </c>
      <c r="F1278" s="933"/>
    </row>
    <row r="1279" spans="1:6">
      <c r="A1279" s="932">
        <v>41305</v>
      </c>
      <c r="B1279" s="908" t="str">
        <f>TiposLancamentos!B16</f>
        <v>Cristiane</v>
      </c>
      <c r="C1279" s="909" t="s">
        <v>24121</v>
      </c>
      <c r="D1279" s="910"/>
      <c r="E1279" s="911">
        <v>53.63</v>
      </c>
      <c r="F1279" s="933"/>
    </row>
    <row r="1280" spans="1:6">
      <c r="A1280" s="932">
        <v>41305</v>
      </c>
      <c r="B1280" s="908" t="str">
        <f>TiposLancamentos!B16</f>
        <v>Cristiane</v>
      </c>
      <c r="C1280" s="909" t="s">
        <v>24122</v>
      </c>
      <c r="D1280" s="910"/>
      <c r="E1280" s="911">
        <v>40.06</v>
      </c>
      <c r="F1280" s="933"/>
    </row>
    <row r="1281" spans="1:6">
      <c r="A1281" s="864">
        <v>41305</v>
      </c>
      <c r="B1281" s="76" t="str">
        <f>TiposLancamentos!B57</f>
        <v>Informática</v>
      </c>
      <c r="C1281" s="147" t="s">
        <v>24123</v>
      </c>
      <c r="D1281" s="63"/>
      <c r="E1281" s="231">
        <v>29</v>
      </c>
      <c r="F1281" s="927"/>
    </row>
    <row r="1282" spans="1:6" ht="14.25" thickBot="1">
      <c r="A1282" s="932">
        <v>41305</v>
      </c>
      <c r="B1282" s="908" t="str">
        <f>TiposLancamentos!B16</f>
        <v>Cristiane</v>
      </c>
      <c r="C1282" s="909" t="s">
        <v>24124</v>
      </c>
      <c r="D1282" s="910"/>
      <c r="E1282" s="911">
        <v>69.69</v>
      </c>
      <c r="F1282" s="933"/>
    </row>
    <row r="1283" spans="1:6">
      <c r="A1283" s="893"/>
      <c r="B1283" s="894"/>
      <c r="C1283" s="906" t="s">
        <v>6029</v>
      </c>
      <c r="D1283" s="896"/>
      <c r="E1283" s="925"/>
      <c r="F1283" s="926">
        <f>SUM(E1224:E1256)-D1229</f>
        <v>2770.29</v>
      </c>
    </row>
    <row r="1284" spans="1:6">
      <c r="A1284" s="864">
        <v>41306</v>
      </c>
      <c r="B1284" s="76" t="str">
        <f>TiposLancamentos!B15</f>
        <v>Cartões de Crédito</v>
      </c>
      <c r="C1284" s="878" t="s">
        <v>14126</v>
      </c>
      <c r="D1284" s="63">
        <v>2770.29</v>
      </c>
      <c r="E1284" s="231"/>
      <c r="F1284" s="927">
        <f>F1283-F1230</f>
        <v>397.84999999999945</v>
      </c>
    </row>
    <row r="1285" spans="1:6">
      <c r="A1285" s="864">
        <v>41306</v>
      </c>
      <c r="B1285" s="76" t="str">
        <f>TiposLancamentos!B57</f>
        <v>Informática</v>
      </c>
      <c r="C1285" s="147" t="s">
        <v>24125</v>
      </c>
      <c r="D1285" s="63"/>
      <c r="E1285" s="231">
        <v>2.0177100000000001</v>
      </c>
      <c r="F1285" s="927" t="s">
        <v>10768</v>
      </c>
    </row>
    <row r="1286" spans="1:6">
      <c r="A1286" s="864">
        <v>41306</v>
      </c>
      <c r="B1286" s="76" t="str">
        <f>TiposLancamentos!B4</f>
        <v>Taxas Bancarias</v>
      </c>
      <c r="C1286" s="147" t="s">
        <v>6343</v>
      </c>
      <c r="D1286" s="63"/>
      <c r="E1286" s="231">
        <v>1.85</v>
      </c>
      <c r="F1286" s="927"/>
    </row>
    <row r="1287" spans="1:6">
      <c r="A1287" s="864">
        <v>41309</v>
      </c>
      <c r="B1287" s="76" t="str">
        <f>TiposLancamentos!B28</f>
        <v>ComicBook</v>
      </c>
      <c r="C1287" s="878" t="s">
        <v>24126</v>
      </c>
      <c r="D1287" s="63"/>
      <c r="E1287" s="231">
        <v>56.7</v>
      </c>
      <c r="F1287" s="927"/>
    </row>
    <row r="1288" spans="1:6">
      <c r="A1288" s="864">
        <v>41312</v>
      </c>
      <c r="B1288" s="76" t="str">
        <f>TiposLancamentos!B57</f>
        <v>Informática</v>
      </c>
      <c r="C1288" s="147" t="s">
        <v>24127</v>
      </c>
      <c r="D1288" s="63"/>
      <c r="E1288" s="231">
        <v>417.07</v>
      </c>
      <c r="F1288" s="927"/>
    </row>
    <row r="1289" spans="1:6">
      <c r="A1289" s="932">
        <v>41312</v>
      </c>
      <c r="B1289" s="908" t="str">
        <f>TiposLancamentos!B5</f>
        <v>Supermercado</v>
      </c>
      <c r="C1289" s="909" t="s">
        <v>6234</v>
      </c>
      <c r="D1289" s="910"/>
      <c r="E1289" s="911">
        <v>43.58</v>
      </c>
      <c r="F1289" s="933"/>
    </row>
    <row r="1290" spans="1:6">
      <c r="A1290" s="864">
        <v>41312</v>
      </c>
      <c r="B1290" s="76" t="str">
        <f>TiposLancamentos!B57</f>
        <v>Informática</v>
      </c>
      <c r="C1290" s="147" t="s">
        <v>24128</v>
      </c>
      <c r="D1290" s="63"/>
      <c r="E1290" s="231">
        <v>55.89</v>
      </c>
      <c r="F1290" s="927"/>
    </row>
    <row r="1291" spans="1:6">
      <c r="A1291" s="932">
        <v>41314</v>
      </c>
      <c r="B1291" s="908" t="str">
        <f>TiposLancamentos!B5</f>
        <v>Supermercado</v>
      </c>
      <c r="C1291" s="909" t="s">
        <v>5862</v>
      </c>
      <c r="D1291" s="910"/>
      <c r="E1291" s="911">
        <v>152.41</v>
      </c>
      <c r="F1291" s="933"/>
    </row>
    <row r="1292" spans="1:6">
      <c r="A1292" s="864">
        <v>41315</v>
      </c>
      <c r="B1292" s="76" t="str">
        <f>TiposLancamentos!B19</f>
        <v>Restaurantes</v>
      </c>
      <c r="C1292" s="147" t="s">
        <v>6032</v>
      </c>
      <c r="D1292" s="63"/>
      <c r="E1292" s="231">
        <v>176.99</v>
      </c>
      <c r="F1292" s="927"/>
    </row>
    <row r="1293" spans="1:6">
      <c r="A1293" s="932">
        <v>41315</v>
      </c>
      <c r="B1293" s="908" t="str">
        <f>TiposLancamentos!B16</f>
        <v>Cristiane</v>
      </c>
      <c r="C1293" s="909" t="s">
        <v>24129</v>
      </c>
      <c r="D1293" s="910"/>
      <c r="E1293" s="911">
        <v>54.95</v>
      </c>
      <c r="F1293" s="933"/>
    </row>
    <row r="1294" spans="1:6">
      <c r="A1294" s="864">
        <v>41316</v>
      </c>
      <c r="B1294" s="76" t="str">
        <f>TiposLancamentos!B5</f>
        <v>Supermercado</v>
      </c>
      <c r="C1294" s="147" t="s">
        <v>24130</v>
      </c>
      <c r="D1294" s="63"/>
      <c r="E1294" s="231">
        <v>64.260000000000005</v>
      </c>
      <c r="F1294" s="927"/>
    </row>
    <row r="1295" spans="1:6">
      <c r="A1295" s="864">
        <v>41316</v>
      </c>
      <c r="B1295" s="76" t="str">
        <f>TiposLancamentos!B16</f>
        <v>Cristiane</v>
      </c>
      <c r="C1295" s="147" t="s">
        <v>18530</v>
      </c>
      <c r="D1295" s="63"/>
      <c r="E1295" s="231">
        <v>29.45</v>
      </c>
      <c r="F1295" s="927"/>
    </row>
    <row r="1296" spans="1:6">
      <c r="A1296" s="932">
        <v>41318</v>
      </c>
      <c r="B1296" s="908" t="str">
        <f>TiposLancamentos!B16</f>
        <v>Cristiane</v>
      </c>
      <c r="C1296" s="909" t="s">
        <v>24131</v>
      </c>
      <c r="D1296" s="910"/>
      <c r="E1296" s="911">
        <v>25.802299999999999</v>
      </c>
      <c r="F1296" s="933" t="s">
        <v>24132</v>
      </c>
    </row>
    <row r="1297" spans="1:6">
      <c r="A1297" s="932">
        <v>41321</v>
      </c>
      <c r="B1297" s="908" t="str">
        <f>TiposLancamentos!B16</f>
        <v>Cristiane</v>
      </c>
      <c r="C1297" s="909" t="s">
        <v>24133</v>
      </c>
      <c r="D1297" s="910"/>
      <c r="E1297" s="911">
        <v>146</v>
      </c>
      <c r="F1297" s="933"/>
    </row>
    <row r="1298" spans="1:6">
      <c r="A1298" s="864">
        <v>41325</v>
      </c>
      <c r="B1298" s="76" t="str">
        <f>TiposLancamentos!B4</f>
        <v>Taxas Bancarias</v>
      </c>
      <c r="C1298" s="147" t="s">
        <v>4858</v>
      </c>
      <c r="D1298" s="63"/>
      <c r="E1298" s="231">
        <v>0.13</v>
      </c>
      <c r="F1298" s="927"/>
    </row>
    <row r="1299" spans="1:6">
      <c r="A1299" s="864">
        <v>41325</v>
      </c>
      <c r="B1299" s="76" t="str">
        <f>TiposLancamentos!B4</f>
        <v>Taxas Bancarias</v>
      </c>
      <c r="C1299" s="147" t="s">
        <v>4858</v>
      </c>
      <c r="D1299" s="63"/>
      <c r="E1299" s="231">
        <v>1.89</v>
      </c>
      <c r="F1299" s="927"/>
    </row>
    <row r="1300" spans="1:6">
      <c r="A1300" s="934"/>
      <c r="B1300" s="226"/>
      <c r="C1300" s="227" t="s">
        <v>10</v>
      </c>
      <c r="D1300" s="228"/>
      <c r="E1300" s="228"/>
      <c r="F1300" s="935"/>
    </row>
    <row r="1301" spans="1:6">
      <c r="A1301" s="864">
        <v>41325</v>
      </c>
      <c r="B1301" s="76" t="str">
        <f>TiposLancamentos!B16</f>
        <v>Cristiane</v>
      </c>
      <c r="C1301" s="147" t="s">
        <v>24134</v>
      </c>
      <c r="D1301" s="63"/>
      <c r="E1301" s="231">
        <v>143.99</v>
      </c>
      <c r="F1301" s="927"/>
    </row>
    <row r="1302" spans="1:6">
      <c r="A1302" s="932">
        <v>41325</v>
      </c>
      <c r="B1302" s="908" t="str">
        <f>TiposLancamentos!B5</f>
        <v>Supermercado</v>
      </c>
      <c r="C1302" s="909" t="s">
        <v>10663</v>
      </c>
      <c r="D1302" s="910"/>
      <c r="E1302" s="911">
        <v>76.37</v>
      </c>
      <c r="F1302" s="933"/>
    </row>
    <row r="1303" spans="1:6">
      <c r="A1303" s="932">
        <v>41325</v>
      </c>
      <c r="B1303" s="908" t="str">
        <f>TiposLancamentos!B16</f>
        <v>Cristiane</v>
      </c>
      <c r="C1303" s="909" t="s">
        <v>4232</v>
      </c>
      <c r="D1303" s="910"/>
      <c r="E1303" s="911">
        <v>179.78</v>
      </c>
      <c r="F1303" s="933"/>
    </row>
    <row r="1304" spans="1:6">
      <c r="A1304" s="864">
        <v>41325</v>
      </c>
      <c r="B1304" s="76" t="str">
        <f>TiposLancamentos!B5</f>
        <v>Supermercado</v>
      </c>
      <c r="C1304" s="147" t="s">
        <v>5844</v>
      </c>
      <c r="D1304" s="63"/>
      <c r="E1304" s="231">
        <v>40.049999999999997</v>
      </c>
      <c r="F1304" s="927"/>
    </row>
    <row r="1305" spans="1:6">
      <c r="A1305" s="932">
        <v>41327</v>
      </c>
      <c r="B1305" s="908" t="str">
        <f>TiposLancamentos!B5</f>
        <v>Supermercado</v>
      </c>
      <c r="C1305" s="909" t="s">
        <v>5953</v>
      </c>
      <c r="D1305" s="910"/>
      <c r="E1305" s="911">
        <v>73.510000000000005</v>
      </c>
      <c r="F1305" s="933"/>
    </row>
    <row r="1306" spans="1:6">
      <c r="A1306" s="864">
        <v>41328</v>
      </c>
      <c r="B1306" s="76" t="str">
        <f>TiposLancamentos!B19</f>
        <v>Restaurantes</v>
      </c>
      <c r="C1306" s="147" t="s">
        <v>24135</v>
      </c>
      <c r="D1306" s="63"/>
      <c r="E1306" s="231">
        <v>104.29</v>
      </c>
      <c r="F1306" s="927"/>
    </row>
    <row r="1307" spans="1:6">
      <c r="A1307" s="932">
        <v>41330</v>
      </c>
      <c r="B1307" s="908" t="str">
        <f>TiposLancamentos!B5</f>
        <v>Supermercado</v>
      </c>
      <c r="C1307" s="909" t="s">
        <v>5977</v>
      </c>
      <c r="D1307" s="910"/>
      <c r="E1307" s="911">
        <v>123.4</v>
      </c>
      <c r="F1307" s="933"/>
    </row>
    <row r="1308" spans="1:6">
      <c r="A1308" s="864">
        <v>41330</v>
      </c>
      <c r="B1308" s="76" t="str">
        <f>TiposLancamentos!B3</f>
        <v>Internet</v>
      </c>
      <c r="C1308" s="147" t="s">
        <v>10734</v>
      </c>
      <c r="D1308" s="63"/>
      <c r="E1308" s="231">
        <v>29</v>
      </c>
      <c r="F1308" s="927"/>
    </row>
    <row r="1309" spans="1:6">
      <c r="A1309" s="932">
        <v>41330</v>
      </c>
      <c r="B1309" s="908" t="str">
        <f>TiposLancamentos!B16</f>
        <v>Cristiane</v>
      </c>
      <c r="C1309" s="909" t="s">
        <v>3420</v>
      </c>
      <c r="D1309" s="910"/>
      <c r="E1309" s="911">
        <v>21.89</v>
      </c>
      <c r="F1309" s="933"/>
    </row>
    <row r="1310" spans="1:6">
      <c r="A1310" s="932">
        <v>41331</v>
      </c>
      <c r="B1310" s="908" t="str">
        <f>TiposLancamentos!B16</f>
        <v>Cristiane</v>
      </c>
      <c r="C1310" s="909" t="s">
        <v>2626</v>
      </c>
      <c r="D1310" s="910"/>
      <c r="E1310" s="911">
        <v>79.989999999999995</v>
      </c>
      <c r="F1310" s="933"/>
    </row>
    <row r="1311" spans="1:6">
      <c r="A1311" s="932">
        <v>41331</v>
      </c>
      <c r="B1311" s="908" t="str">
        <f>TiposLancamentos!B70</f>
        <v>Vestuário</v>
      </c>
      <c r="C1311" s="909" t="s">
        <v>24136</v>
      </c>
      <c r="D1311" s="910"/>
      <c r="E1311" s="911">
        <v>404</v>
      </c>
      <c r="F1311" s="933"/>
    </row>
    <row r="1312" spans="1:6">
      <c r="A1312" s="932">
        <v>41331</v>
      </c>
      <c r="B1312" s="908" t="str">
        <f>TiposLancamentos!B16</f>
        <v>Cristiane</v>
      </c>
      <c r="C1312" s="909" t="s">
        <v>16777</v>
      </c>
      <c r="D1312" s="910"/>
      <c r="E1312" s="911">
        <v>63.8</v>
      </c>
      <c r="F1312" s="933"/>
    </row>
    <row r="1313" spans="1:6">
      <c r="A1313" s="864">
        <v>41331</v>
      </c>
      <c r="B1313" s="76" t="str">
        <f>TiposLancamentos!B19</f>
        <v>Restaurantes</v>
      </c>
      <c r="C1313" s="147" t="s">
        <v>15788</v>
      </c>
      <c r="D1313" s="63"/>
      <c r="E1313" s="231">
        <v>132.33000000000001</v>
      </c>
      <c r="F1313" s="927"/>
    </row>
    <row r="1314" spans="1:6">
      <c r="A1314" s="806">
        <v>41331</v>
      </c>
      <c r="B1314" s="822" t="str">
        <f>TiposLancamentos!B56</f>
        <v>Farmácia</v>
      </c>
      <c r="C1314" s="808" t="s">
        <v>6118</v>
      </c>
      <c r="D1314" s="747"/>
      <c r="E1314" s="874">
        <f>59.8+37</f>
        <v>96.8</v>
      </c>
      <c r="F1314" s="936"/>
    </row>
    <row r="1315" spans="1:6">
      <c r="A1315" s="810">
        <v>41331</v>
      </c>
      <c r="B1315" s="823" t="str">
        <f>TiposLancamentos!B16</f>
        <v>Cristiane</v>
      </c>
      <c r="C1315" s="812" t="s">
        <v>24137</v>
      </c>
      <c r="D1315" s="849"/>
      <c r="E1315" s="875">
        <f>F1315-E1314</f>
        <v>136.57999999999998</v>
      </c>
      <c r="F1315" s="937">
        <v>233.38</v>
      </c>
    </row>
    <row r="1316" spans="1:6">
      <c r="A1316" s="864">
        <v>41332</v>
      </c>
      <c r="B1316" s="76" t="str">
        <f>TiposLancamentos!B31</f>
        <v>Action Figures</v>
      </c>
      <c r="C1316" s="147" t="s">
        <v>22841</v>
      </c>
      <c r="D1316" s="63"/>
      <c r="E1316" s="231">
        <v>269</v>
      </c>
      <c r="F1316" s="927"/>
    </row>
    <row r="1317" spans="1:6">
      <c r="A1317" s="932">
        <v>41332</v>
      </c>
      <c r="B1317" s="908" t="str">
        <f>TiposLancamentos!B5</f>
        <v>Supermercado</v>
      </c>
      <c r="C1317" s="909" t="s">
        <v>5977</v>
      </c>
      <c r="D1317" s="910"/>
      <c r="E1317" s="911">
        <v>49.6</v>
      </c>
      <c r="F1317" s="933"/>
    </row>
    <row r="1318" spans="1:6" ht="14.25" thickBot="1">
      <c r="A1318" s="932">
        <v>41333</v>
      </c>
      <c r="B1318" s="908" t="str">
        <f>TiposLancamentos!B16</f>
        <v>Cristiane</v>
      </c>
      <c r="C1318" s="909" t="s">
        <v>23990</v>
      </c>
      <c r="D1318" s="910"/>
      <c r="E1318" s="911">
        <v>4.0999999999999996</v>
      </c>
      <c r="F1318" s="933" t="s">
        <v>17319</v>
      </c>
    </row>
    <row r="1319" spans="1:6">
      <c r="A1319" s="893"/>
      <c r="B1319" s="894"/>
      <c r="C1319" s="906" t="s">
        <v>24138</v>
      </c>
      <c r="D1319" s="896"/>
      <c r="E1319" s="925"/>
      <c r="F1319" s="926">
        <f>SUM(E1258:E1299)</f>
        <v>2325.1000099999997</v>
      </c>
    </row>
    <row r="1320" spans="1:6">
      <c r="A1320" s="864">
        <v>41334</v>
      </c>
      <c r="B1320" s="76" t="str">
        <f>TiposLancamentos!B15</f>
        <v>Cartões de Crédito</v>
      </c>
      <c r="C1320" s="878" t="s">
        <v>14126</v>
      </c>
      <c r="D1320" s="63">
        <v>2325.1</v>
      </c>
      <c r="E1320" s="231"/>
      <c r="F1320" s="927"/>
    </row>
    <row r="1321" spans="1:6">
      <c r="A1321" s="864">
        <v>41334</v>
      </c>
      <c r="B1321" s="76" t="str">
        <f>TiposLancamentos!B57</f>
        <v>Informática</v>
      </c>
      <c r="C1321" s="147" t="s">
        <v>24139</v>
      </c>
      <c r="D1321" s="63"/>
      <c r="E1321" s="231">
        <v>26</v>
      </c>
      <c r="F1321" s="927"/>
    </row>
    <row r="1322" spans="1:6">
      <c r="A1322" s="864">
        <v>41334</v>
      </c>
      <c r="B1322" s="76" t="str">
        <f>TiposLancamentos!B4</f>
        <v>Taxas Bancarias</v>
      </c>
      <c r="C1322" s="147" t="s">
        <v>23973</v>
      </c>
      <c r="D1322" s="63"/>
      <c r="E1322" s="231">
        <v>0.22</v>
      </c>
      <c r="F1322" s="927"/>
    </row>
    <row r="1323" spans="1:6">
      <c r="A1323" s="932">
        <v>41337</v>
      </c>
      <c r="B1323" s="908" t="str">
        <f>TiposLancamentos!B16</f>
        <v>Cristiane</v>
      </c>
      <c r="C1323" s="909" t="s">
        <v>24140</v>
      </c>
      <c r="D1323" s="910"/>
      <c r="E1323" s="911">
        <v>44.2</v>
      </c>
      <c r="F1323" s="933"/>
    </row>
    <row r="1324" spans="1:6">
      <c r="A1324" s="864">
        <v>41340</v>
      </c>
      <c r="B1324" s="76" t="str">
        <f>TiposLancamentos!B57</f>
        <v>Informática</v>
      </c>
      <c r="C1324" s="147" t="s">
        <v>24141</v>
      </c>
      <c r="D1324" s="63"/>
      <c r="E1324" s="231">
        <v>417.07</v>
      </c>
      <c r="F1324" s="927"/>
    </row>
    <row r="1325" spans="1:6">
      <c r="A1325" s="864">
        <v>41342</v>
      </c>
      <c r="B1325" s="76" t="str">
        <f>TiposLancamentos!B37</f>
        <v>Playstation 3</v>
      </c>
      <c r="C1325" s="147" t="s">
        <v>24142</v>
      </c>
      <c r="D1325" s="63"/>
      <c r="E1325" s="231">
        <v>149</v>
      </c>
      <c r="F1325" s="927"/>
    </row>
    <row r="1326" spans="1:6">
      <c r="A1326" s="932">
        <v>41346</v>
      </c>
      <c r="B1326" s="908" t="str">
        <f>TiposLancamentos!B5</f>
        <v>Supermercado</v>
      </c>
      <c r="C1326" s="909" t="s">
        <v>24143</v>
      </c>
      <c r="D1326" s="910"/>
      <c r="E1326" s="911">
        <v>85.74</v>
      </c>
      <c r="F1326" s="933"/>
    </row>
    <row r="1327" spans="1:6">
      <c r="A1327" s="932">
        <v>41348</v>
      </c>
      <c r="B1327" s="908" t="str">
        <f>TiposLancamentos!B16</f>
        <v>Cristiane</v>
      </c>
      <c r="C1327" s="909" t="s">
        <v>24144</v>
      </c>
      <c r="D1327" s="910"/>
      <c r="E1327" s="911">
        <v>172</v>
      </c>
      <c r="F1327" s="933"/>
    </row>
    <row r="1328" spans="1:6">
      <c r="A1328" s="932">
        <v>41348</v>
      </c>
      <c r="B1328" s="908" t="str">
        <f>TiposLancamentos!B16</f>
        <v>Cristiane</v>
      </c>
      <c r="C1328" s="909" t="s">
        <v>24145</v>
      </c>
      <c r="D1328" s="910"/>
      <c r="E1328" s="911">
        <v>236.76</v>
      </c>
      <c r="F1328" s="933"/>
    </row>
    <row r="1329" spans="1:6">
      <c r="A1329" s="932">
        <v>41349</v>
      </c>
      <c r="B1329" s="908" t="str">
        <f>TiposLancamentos!B16</f>
        <v>Cristiane</v>
      </c>
      <c r="C1329" s="909" t="s">
        <v>24146</v>
      </c>
      <c r="D1329" s="910"/>
      <c r="E1329" s="911">
        <v>146</v>
      </c>
      <c r="F1329" s="933"/>
    </row>
    <row r="1330" spans="1:6">
      <c r="A1330" s="932">
        <v>41350</v>
      </c>
      <c r="B1330" s="908" t="str">
        <f>TiposLancamentos!B16</f>
        <v>Cristiane</v>
      </c>
      <c r="C1330" s="909" t="s">
        <v>24147</v>
      </c>
      <c r="D1330" s="910"/>
      <c r="E1330" s="911">
        <v>65</v>
      </c>
      <c r="F1330" s="933"/>
    </row>
    <row r="1331" spans="1:6">
      <c r="A1331" s="932">
        <v>41351</v>
      </c>
      <c r="B1331" s="908" t="str">
        <f>TiposLancamentos!B16</f>
        <v>Cristiane</v>
      </c>
      <c r="C1331" s="909" t="s">
        <v>15818</v>
      </c>
      <c r="D1331" s="910"/>
      <c r="E1331" s="911">
        <v>41.89</v>
      </c>
      <c r="F1331" s="933"/>
    </row>
    <row r="1332" spans="1:6">
      <c r="A1332" s="932">
        <v>41351</v>
      </c>
      <c r="B1332" s="908" t="str">
        <f>TiposLancamentos!B16</f>
        <v>Cristiane</v>
      </c>
      <c r="C1332" s="909" t="s">
        <v>24148</v>
      </c>
      <c r="D1332" s="910"/>
      <c r="E1332" s="911">
        <v>55.33</v>
      </c>
      <c r="F1332" s="933"/>
    </row>
    <row r="1333" spans="1:6">
      <c r="A1333" s="932">
        <v>41353</v>
      </c>
      <c r="B1333" s="908" t="str">
        <f>TiposLancamentos!B4</f>
        <v>Taxas Bancarias</v>
      </c>
      <c r="C1333" s="909" t="s">
        <v>24149</v>
      </c>
      <c r="D1333" s="910"/>
      <c r="E1333" s="911">
        <v>0.25</v>
      </c>
      <c r="F1333" s="933"/>
    </row>
    <row r="1334" spans="1:6">
      <c r="A1334" s="864">
        <v>41353</v>
      </c>
      <c r="B1334" s="76" t="str">
        <f>TiposLancamentos!B98</f>
        <v>Restituições</v>
      </c>
      <c r="C1334" s="147" t="s">
        <v>24150</v>
      </c>
      <c r="D1334" s="63">
        <v>55.89</v>
      </c>
      <c r="E1334" s="231"/>
      <c r="F1334" s="927"/>
    </row>
    <row r="1335" spans="1:6">
      <c r="A1335" s="934"/>
      <c r="B1335" s="226"/>
      <c r="C1335" s="227" t="s">
        <v>10</v>
      </c>
      <c r="D1335" s="228"/>
      <c r="E1335" s="228"/>
      <c r="F1335" s="935"/>
    </row>
    <row r="1336" spans="1:6">
      <c r="A1336" s="932">
        <v>41354</v>
      </c>
      <c r="B1336" s="908" t="str">
        <f>TiposLancamentos!B16</f>
        <v>Cristiane</v>
      </c>
      <c r="C1336" s="909" t="s">
        <v>24151</v>
      </c>
      <c r="D1336" s="910"/>
      <c r="E1336" s="911">
        <v>48.29</v>
      </c>
      <c r="F1336" s="933"/>
    </row>
    <row r="1337" spans="1:6">
      <c r="A1337" s="864">
        <v>41356</v>
      </c>
      <c r="B1337" s="76" t="str">
        <f>TiposLancamentos!B22</f>
        <v>Combustivel</v>
      </c>
      <c r="C1337" s="147" t="s">
        <v>24152</v>
      </c>
      <c r="D1337" s="63"/>
      <c r="E1337" s="231">
        <v>42</v>
      </c>
      <c r="F1337" s="927"/>
    </row>
    <row r="1338" spans="1:6">
      <c r="A1338" s="864">
        <v>41356</v>
      </c>
      <c r="B1338" s="76" t="str">
        <f>TiposLancamentos!B22</f>
        <v>Combustivel</v>
      </c>
      <c r="C1338" s="147" t="s">
        <v>24153</v>
      </c>
      <c r="D1338" s="63"/>
      <c r="E1338" s="231">
        <v>95</v>
      </c>
      <c r="F1338" s="927"/>
    </row>
    <row r="1339" spans="1:6">
      <c r="A1339" s="864">
        <v>41356</v>
      </c>
      <c r="B1339" s="76" t="str">
        <f>TiposLancamentos!B19</f>
        <v>Restaurantes</v>
      </c>
      <c r="C1339" s="147" t="s">
        <v>24154</v>
      </c>
      <c r="D1339" s="63"/>
      <c r="E1339" s="231">
        <v>20.5</v>
      </c>
      <c r="F1339" s="927"/>
    </row>
    <row r="1340" spans="1:6">
      <c r="A1340" s="864">
        <v>41357</v>
      </c>
      <c r="B1340" s="76" t="str">
        <f>TiposLancamentos!B19</f>
        <v>Restaurantes</v>
      </c>
      <c r="C1340" s="147" t="s">
        <v>24155</v>
      </c>
      <c r="D1340" s="63"/>
      <c r="E1340" s="231">
        <v>77.97</v>
      </c>
      <c r="F1340" s="927"/>
    </row>
    <row r="1341" spans="1:6">
      <c r="A1341" s="864">
        <v>41357</v>
      </c>
      <c r="B1341" s="76" t="str">
        <f>TiposLancamentos!B16</f>
        <v>Cristiane</v>
      </c>
      <c r="C1341" s="147" t="s">
        <v>24156</v>
      </c>
      <c r="D1341" s="63"/>
      <c r="E1341" s="231">
        <v>90</v>
      </c>
      <c r="F1341" s="927"/>
    </row>
    <row r="1342" spans="1:6">
      <c r="A1342" s="864">
        <v>41358</v>
      </c>
      <c r="B1342" s="76" t="str">
        <f>TiposLancamentos!B3</f>
        <v>Internet</v>
      </c>
      <c r="C1342" s="147" t="s">
        <v>10734</v>
      </c>
      <c r="D1342" s="63"/>
      <c r="E1342" s="231">
        <v>29</v>
      </c>
      <c r="F1342" s="927"/>
    </row>
    <row r="1343" spans="1:6">
      <c r="A1343" s="932">
        <v>41358</v>
      </c>
      <c r="B1343" s="908" t="str">
        <f>TiposLancamentos!B5</f>
        <v>Supermercado</v>
      </c>
      <c r="C1343" s="909" t="s">
        <v>5977</v>
      </c>
      <c r="D1343" s="910"/>
      <c r="E1343" s="911">
        <v>85.69</v>
      </c>
      <c r="F1343" s="933"/>
    </row>
    <row r="1344" spans="1:6">
      <c r="A1344" s="864">
        <v>41359</v>
      </c>
      <c r="B1344" s="76" t="str">
        <f>TiposLancamentos!B25</f>
        <v>CD_DVD_BD</v>
      </c>
      <c r="C1344" s="147" t="s">
        <v>24157</v>
      </c>
      <c r="D1344" s="63"/>
      <c r="E1344" s="231">
        <v>69.900000000000006</v>
      </c>
      <c r="F1344" s="927"/>
    </row>
    <row r="1345" spans="1:6">
      <c r="A1345" s="864">
        <v>41359</v>
      </c>
      <c r="B1345" s="76" t="str">
        <f>TiposLancamentos!B25</f>
        <v>CD_DVD_BD</v>
      </c>
      <c r="C1345" s="147" t="s">
        <v>24158</v>
      </c>
      <c r="D1345" s="63"/>
      <c r="E1345" s="231">
        <v>53.9</v>
      </c>
      <c r="F1345" s="927"/>
    </row>
    <row r="1346" spans="1:6">
      <c r="A1346" s="932">
        <v>41359</v>
      </c>
      <c r="B1346" s="908" t="str">
        <f>TiposLancamentos!B16</f>
        <v>Cristiane</v>
      </c>
      <c r="C1346" s="909" t="s">
        <v>24159</v>
      </c>
      <c r="D1346" s="910"/>
      <c r="E1346" s="911">
        <v>76.03</v>
      </c>
      <c r="F1346" s="933"/>
    </row>
    <row r="1347" spans="1:6">
      <c r="A1347" s="864">
        <v>41359</v>
      </c>
      <c r="B1347" s="76" t="str">
        <f>TiposLancamentos!B19</f>
        <v>Restaurantes</v>
      </c>
      <c r="C1347" s="147" t="s">
        <v>6328</v>
      </c>
      <c r="D1347" s="63"/>
      <c r="E1347" s="231">
        <v>49</v>
      </c>
      <c r="F1347" s="927"/>
    </row>
    <row r="1348" spans="1:6" ht="14.25" thickBot="1">
      <c r="A1348" s="932">
        <v>41363</v>
      </c>
      <c r="B1348" s="908" t="str">
        <f>TiposLancamentos!B16</f>
        <v>Cristiane</v>
      </c>
      <c r="C1348" s="909" t="s">
        <v>24160</v>
      </c>
      <c r="D1348" s="910"/>
      <c r="E1348" s="911">
        <v>101.37</v>
      </c>
      <c r="F1348" s="933" t="s">
        <v>24161</v>
      </c>
    </row>
    <row r="1349" spans="1:6">
      <c r="A1349" s="893"/>
      <c r="B1349" s="894"/>
      <c r="C1349" s="906" t="s">
        <v>6114</v>
      </c>
      <c r="D1349" s="896"/>
      <c r="E1349" s="925"/>
      <c r="F1349" s="926">
        <f>SUM(E1301:E1334)-D1334</f>
        <v>3412.0499999999993</v>
      </c>
    </row>
    <row r="1350" spans="1:6">
      <c r="A1350" s="932">
        <v>41365</v>
      </c>
      <c r="B1350" s="908" t="str">
        <f>TiposLancamentos!B16</f>
        <v>Cristiane</v>
      </c>
      <c r="C1350" s="909" t="s">
        <v>24162</v>
      </c>
      <c r="D1350" s="910"/>
      <c r="E1350" s="911">
        <v>340.2</v>
      </c>
      <c r="F1350" s="933">
        <f>F1349-F1319</f>
        <v>1086.9499899999996</v>
      </c>
    </row>
    <row r="1351" spans="1:6">
      <c r="A1351" s="864">
        <v>41365</v>
      </c>
      <c r="B1351" s="76" t="str">
        <f>TiposLancamentos!B15</f>
        <v>Cartões de Crédito</v>
      </c>
      <c r="C1351" s="878" t="s">
        <v>14126</v>
      </c>
      <c r="D1351" s="63">
        <v>3412.05</v>
      </c>
      <c r="E1351" s="231"/>
      <c r="F1351" s="927"/>
    </row>
    <row r="1352" spans="1:6">
      <c r="A1352" s="864">
        <v>41369</v>
      </c>
      <c r="B1352" s="76" t="str">
        <f>TiposLancamentos!B19</f>
        <v>Restaurantes</v>
      </c>
      <c r="C1352" s="878" t="s">
        <v>24163</v>
      </c>
      <c r="D1352" s="63"/>
      <c r="E1352" s="231">
        <v>68.2</v>
      </c>
      <c r="F1352" s="927"/>
    </row>
    <row r="1353" spans="1:6">
      <c r="A1353" s="864">
        <v>41369</v>
      </c>
      <c r="B1353" s="76" t="str">
        <f>TiposLancamentos!B70</f>
        <v>Vestuário</v>
      </c>
      <c r="C1353" s="878" t="s">
        <v>24164</v>
      </c>
      <c r="D1353" s="63"/>
      <c r="E1353" s="231">
        <v>29.9</v>
      </c>
      <c r="F1353" s="927"/>
    </row>
    <row r="1354" spans="1:6">
      <c r="A1354" s="864">
        <v>41369</v>
      </c>
      <c r="B1354" s="76" t="str">
        <f>TiposLancamentos!B16</f>
        <v>Cristiane</v>
      </c>
      <c r="C1354" s="878" t="s">
        <v>24165</v>
      </c>
      <c r="D1354" s="63"/>
      <c r="E1354" s="231">
        <v>38.700000000000003</v>
      </c>
      <c r="F1354" s="927"/>
    </row>
    <row r="1355" spans="1:6">
      <c r="A1355" s="864">
        <v>41369</v>
      </c>
      <c r="B1355" s="76" t="str">
        <f>TiposLancamentos!B22</f>
        <v>Combustivel</v>
      </c>
      <c r="C1355" s="878" t="s">
        <v>24166</v>
      </c>
      <c r="D1355" s="63"/>
      <c r="E1355" s="231">
        <v>20</v>
      </c>
      <c r="F1355" s="927"/>
    </row>
    <row r="1356" spans="1:6">
      <c r="A1356" s="864">
        <v>41369</v>
      </c>
      <c r="B1356" s="76" t="str">
        <f>TiposLancamentos!B22</f>
        <v>Combustivel</v>
      </c>
      <c r="C1356" s="878" t="s">
        <v>24167</v>
      </c>
      <c r="D1356" s="63"/>
      <c r="E1356" s="231">
        <v>50</v>
      </c>
      <c r="F1356" s="927"/>
    </row>
    <row r="1357" spans="1:6">
      <c r="A1357" s="864">
        <v>41370</v>
      </c>
      <c r="B1357" s="76" t="str">
        <f>TiposLancamentos!B19</f>
        <v>Restaurantes</v>
      </c>
      <c r="C1357" s="878" t="s">
        <v>24168</v>
      </c>
      <c r="D1357" s="63"/>
      <c r="E1357" s="231">
        <v>73.400000000000006</v>
      </c>
      <c r="F1357" s="927"/>
    </row>
    <row r="1358" spans="1:6">
      <c r="A1358" s="932">
        <v>41370</v>
      </c>
      <c r="B1358" s="908" t="str">
        <f>TiposLancamentos!B16</f>
        <v>Cristiane</v>
      </c>
      <c r="C1358" s="909" t="s">
        <v>24169</v>
      </c>
      <c r="D1358" s="910"/>
      <c r="E1358" s="911">
        <v>162</v>
      </c>
      <c r="F1358" s="933"/>
    </row>
    <row r="1359" spans="1:6">
      <c r="A1359" s="864">
        <v>41371</v>
      </c>
      <c r="B1359" s="76" t="str">
        <f>TiposLancamentos!B57</f>
        <v>Informática</v>
      </c>
      <c r="C1359" s="878" t="s">
        <v>24170</v>
      </c>
      <c r="D1359" s="63"/>
      <c r="E1359" s="231">
        <v>417.07</v>
      </c>
      <c r="F1359" s="927"/>
    </row>
    <row r="1360" spans="1:6">
      <c r="A1360" s="864">
        <v>41372</v>
      </c>
      <c r="B1360" s="76" t="str">
        <f>TiposLancamentos!B22</f>
        <v>Combustivel</v>
      </c>
      <c r="C1360" s="878" t="s">
        <v>24171</v>
      </c>
      <c r="D1360" s="63"/>
      <c r="E1360" s="231">
        <v>100.27</v>
      </c>
      <c r="F1360" s="927"/>
    </row>
    <row r="1361" spans="1:6">
      <c r="A1361" s="864">
        <v>41372</v>
      </c>
      <c r="B1361" s="76" t="str">
        <f>TiposLancamentos!B22</f>
        <v>Combustivel</v>
      </c>
      <c r="C1361" s="878" t="s">
        <v>24172</v>
      </c>
      <c r="D1361" s="63"/>
      <c r="E1361" s="231">
        <v>90.08</v>
      </c>
      <c r="F1361" s="927"/>
    </row>
    <row r="1362" spans="1:6">
      <c r="A1362" s="864">
        <v>41372</v>
      </c>
      <c r="B1362" s="76" t="str">
        <f>TiposLancamentos!B5</f>
        <v>Supermercado</v>
      </c>
      <c r="C1362" s="878" t="s">
        <v>6201</v>
      </c>
      <c r="D1362" s="63"/>
      <c r="E1362" s="231">
        <v>27.64</v>
      </c>
      <c r="F1362" s="927"/>
    </row>
    <row r="1363" spans="1:6">
      <c r="A1363" s="864">
        <v>41373</v>
      </c>
      <c r="B1363" s="76" t="str">
        <f>TiposLancamentos!B19</f>
        <v>Restaurantes</v>
      </c>
      <c r="C1363" s="878" t="s">
        <v>24173</v>
      </c>
      <c r="D1363" s="63"/>
      <c r="E1363" s="231">
        <v>302.10000000000002</v>
      </c>
      <c r="F1363" s="927"/>
    </row>
    <row r="1364" spans="1:6">
      <c r="A1364" s="864">
        <v>41373</v>
      </c>
      <c r="B1364" s="76" t="str">
        <f>TiposLancamentos!B16</f>
        <v>Cristiane</v>
      </c>
      <c r="C1364" s="878" t="s">
        <v>24174</v>
      </c>
      <c r="D1364" s="63"/>
      <c r="E1364" s="231">
        <v>43.58</v>
      </c>
      <c r="F1364" s="927"/>
    </row>
    <row r="1365" spans="1:6">
      <c r="A1365" s="864">
        <v>41373</v>
      </c>
      <c r="B1365" s="76" t="str">
        <f>TiposLancamentos!B19</f>
        <v>Restaurantes</v>
      </c>
      <c r="C1365" s="878" t="s">
        <v>24175</v>
      </c>
      <c r="D1365" s="63"/>
      <c r="E1365" s="231">
        <v>41.47</v>
      </c>
      <c r="F1365" s="927"/>
    </row>
    <row r="1366" spans="1:6">
      <c r="A1366" s="932">
        <v>41374</v>
      </c>
      <c r="B1366" s="908" t="str">
        <f>TiposLancamentos!B5</f>
        <v>Supermercado</v>
      </c>
      <c r="C1366" s="909" t="s">
        <v>22117</v>
      </c>
      <c r="D1366" s="910"/>
      <c r="E1366" s="911">
        <v>16.86</v>
      </c>
      <c r="F1366" s="933"/>
    </row>
    <row r="1367" spans="1:6">
      <c r="A1367" s="806">
        <v>41374</v>
      </c>
      <c r="B1367" s="822" t="str">
        <f>TiposLancamentos!B28</f>
        <v>ComicBook</v>
      </c>
      <c r="C1367" s="808" t="s">
        <v>24176</v>
      </c>
      <c r="D1367" s="747"/>
      <c r="E1367" s="874">
        <f>F1368-E1368</f>
        <v>127.1</v>
      </c>
      <c r="F1367" s="936"/>
    </row>
    <row r="1368" spans="1:6">
      <c r="A1368" s="810">
        <v>41374</v>
      </c>
      <c r="B1368" s="823" t="str">
        <f>TiposLancamentos!B25</f>
        <v>CD_DVD_BD</v>
      </c>
      <c r="C1368" s="812" t="s">
        <v>24177</v>
      </c>
      <c r="D1368" s="849"/>
      <c r="E1368" s="875">
        <v>29.9</v>
      </c>
      <c r="F1368" s="937">
        <v>157</v>
      </c>
    </row>
    <row r="1369" spans="1:6">
      <c r="A1369" s="864">
        <v>41374</v>
      </c>
      <c r="B1369" s="76" t="str">
        <f>TiposLancamentos!B19</f>
        <v>Restaurantes</v>
      </c>
      <c r="C1369" s="878" t="s">
        <v>6686</v>
      </c>
      <c r="D1369" s="63"/>
      <c r="E1369" s="231">
        <v>35</v>
      </c>
      <c r="F1369" s="927"/>
    </row>
    <row r="1370" spans="1:6">
      <c r="A1370" s="864">
        <v>41375</v>
      </c>
      <c r="B1370" s="76" t="str">
        <f>TiposLancamentos!B19</f>
        <v>Restaurantes</v>
      </c>
      <c r="C1370" s="878" t="s">
        <v>6138</v>
      </c>
      <c r="D1370" s="63"/>
      <c r="E1370" s="231">
        <v>14.6</v>
      </c>
      <c r="F1370" s="927"/>
    </row>
    <row r="1371" spans="1:6">
      <c r="A1371" s="932">
        <v>41375</v>
      </c>
      <c r="B1371" s="908" t="str">
        <f>TiposLancamentos!B5</f>
        <v>Supermercado</v>
      </c>
      <c r="C1371" s="909" t="s">
        <v>24178</v>
      </c>
      <c r="D1371" s="910"/>
      <c r="E1371" s="911">
        <v>54.97</v>
      </c>
      <c r="F1371" s="933"/>
    </row>
    <row r="1372" spans="1:6">
      <c r="A1372" s="932">
        <v>41375</v>
      </c>
      <c r="B1372" s="908" t="str">
        <f>TiposLancamentos!B5</f>
        <v>Supermercado</v>
      </c>
      <c r="C1372" s="909" t="s">
        <v>24179</v>
      </c>
      <c r="D1372" s="910"/>
      <c r="E1372" s="911">
        <v>97.6</v>
      </c>
      <c r="F1372" s="933"/>
    </row>
    <row r="1373" spans="1:6">
      <c r="A1373" s="864">
        <v>41377</v>
      </c>
      <c r="B1373" s="76" t="str">
        <f>TiposLancamentos!B19</f>
        <v>Restaurantes</v>
      </c>
      <c r="C1373" s="147" t="s">
        <v>24180</v>
      </c>
      <c r="D1373" s="63"/>
      <c r="E1373" s="231">
        <v>66.88</v>
      </c>
      <c r="F1373" s="927"/>
    </row>
    <row r="1374" spans="1:6">
      <c r="A1374" s="864">
        <v>41377</v>
      </c>
      <c r="B1374" s="76" t="str">
        <f>TiposLancamentos!B72</f>
        <v>Presentes</v>
      </c>
      <c r="C1374" s="147" t="s">
        <v>24181</v>
      </c>
      <c r="D1374" s="63"/>
      <c r="E1374" s="231">
        <v>63.9</v>
      </c>
      <c r="F1374" s="927"/>
    </row>
    <row r="1375" spans="1:6">
      <c r="A1375" s="864">
        <v>41377</v>
      </c>
      <c r="B1375" s="76" t="str">
        <f>TiposLancamentos!B24</f>
        <v>Estacionamentos</v>
      </c>
      <c r="C1375" s="147" t="s">
        <v>24182</v>
      </c>
      <c r="D1375" s="63"/>
      <c r="E1375" s="231">
        <v>14</v>
      </c>
      <c r="F1375" s="927"/>
    </row>
    <row r="1376" spans="1:6">
      <c r="A1376" s="864">
        <v>41377</v>
      </c>
      <c r="B1376" s="76" t="str">
        <f>TiposLancamentos!B72</f>
        <v>Presentes</v>
      </c>
      <c r="C1376" s="147" t="s">
        <v>24183</v>
      </c>
      <c r="D1376" s="63"/>
      <c r="E1376" s="231">
        <v>99.9</v>
      </c>
      <c r="F1376" s="927"/>
    </row>
    <row r="1377" spans="1:6">
      <c r="A1377" s="864">
        <v>41377</v>
      </c>
      <c r="B1377" s="76" t="str">
        <f>TiposLancamentos!B72</f>
        <v>Presentes</v>
      </c>
      <c r="C1377" s="147" t="s">
        <v>6230</v>
      </c>
      <c r="D1377" s="63"/>
      <c r="E1377" s="231">
        <v>84.26</v>
      </c>
      <c r="F1377" s="927"/>
    </row>
    <row r="1378" spans="1:6">
      <c r="A1378" s="864">
        <v>41378</v>
      </c>
      <c r="B1378" s="76" t="str">
        <f>TiposLancamentos!B16</f>
        <v>Cristiane</v>
      </c>
      <c r="C1378" s="147" t="s">
        <v>24184</v>
      </c>
      <c r="D1378" s="63"/>
      <c r="E1378" s="231">
        <v>101.69</v>
      </c>
      <c r="F1378" s="927"/>
    </row>
    <row r="1379" spans="1:6">
      <c r="A1379" s="932">
        <v>41380</v>
      </c>
      <c r="B1379" s="908" t="str">
        <f>TiposLancamentos!B16</f>
        <v>Cristiane</v>
      </c>
      <c r="C1379" s="909" t="s">
        <v>24185</v>
      </c>
      <c r="D1379" s="910"/>
      <c r="E1379" s="911">
        <v>146</v>
      </c>
      <c r="F1379" s="933"/>
    </row>
    <row r="1380" spans="1:6">
      <c r="A1380" s="932">
        <v>41381</v>
      </c>
      <c r="B1380" s="908" t="str">
        <f>TiposLancamentos!B5</f>
        <v>Supermercado</v>
      </c>
      <c r="C1380" s="909" t="s">
        <v>22117</v>
      </c>
      <c r="D1380" s="910"/>
      <c r="E1380" s="911">
        <v>33.79</v>
      </c>
      <c r="F1380" s="933"/>
    </row>
    <row r="1381" spans="1:6">
      <c r="A1381" s="932">
        <v>41382</v>
      </c>
      <c r="B1381" s="908" t="str">
        <f>TiposLancamentos!B16</f>
        <v>Cristiane</v>
      </c>
      <c r="C1381" s="909" t="s">
        <v>24186</v>
      </c>
      <c r="D1381" s="910"/>
      <c r="E1381" s="911">
        <v>85</v>
      </c>
      <c r="F1381" s="933"/>
    </row>
    <row r="1382" spans="1:6">
      <c r="A1382" s="932">
        <v>41382</v>
      </c>
      <c r="B1382" s="908" t="str">
        <f>TiposLancamentos!B16</f>
        <v>Cristiane</v>
      </c>
      <c r="C1382" s="909" t="s">
        <v>24187</v>
      </c>
      <c r="D1382" s="910"/>
      <c r="E1382" s="911">
        <v>65</v>
      </c>
      <c r="F1382" s="933"/>
    </row>
    <row r="1383" spans="1:6">
      <c r="A1383" s="864">
        <v>41382</v>
      </c>
      <c r="B1383" s="76" t="str">
        <f>TiposLancamentos!B16</f>
        <v>Cristiane</v>
      </c>
      <c r="C1383" s="147" t="s">
        <v>6138</v>
      </c>
      <c r="D1383" s="63"/>
      <c r="E1383" s="231">
        <v>17</v>
      </c>
      <c r="F1383" s="927"/>
    </row>
    <row r="1384" spans="1:6">
      <c r="A1384" s="932">
        <v>41386</v>
      </c>
      <c r="B1384" s="908" t="str">
        <f>TiposLancamentos!B4</f>
        <v>Taxas Bancarias</v>
      </c>
      <c r="C1384" s="909" t="s">
        <v>24188</v>
      </c>
      <c r="D1384" s="910"/>
      <c r="E1384" s="911">
        <v>6.23</v>
      </c>
      <c r="F1384" s="933"/>
    </row>
    <row r="1385" spans="1:6">
      <c r="A1385" s="934"/>
      <c r="B1385" s="226"/>
      <c r="C1385" s="227" t="s">
        <v>10</v>
      </c>
      <c r="D1385" s="228"/>
      <c r="E1385" s="228"/>
      <c r="F1385" s="935"/>
    </row>
    <row r="1386" spans="1:6">
      <c r="A1386" s="864">
        <v>41384</v>
      </c>
      <c r="B1386" s="76" t="str">
        <f>TiposLancamentos!B22</f>
        <v>Combustivel</v>
      </c>
      <c r="C1386" s="147" t="s">
        <v>24189</v>
      </c>
      <c r="D1386" s="63"/>
      <c r="E1386" s="231">
        <v>124.03</v>
      </c>
      <c r="F1386" s="927"/>
    </row>
    <row r="1387" spans="1:6">
      <c r="A1387" s="864">
        <v>41384</v>
      </c>
      <c r="B1387" s="76" t="str">
        <f>TiposLancamentos!B19</f>
        <v>Restaurantes</v>
      </c>
      <c r="C1387" s="147" t="s">
        <v>4187</v>
      </c>
      <c r="D1387" s="63"/>
      <c r="E1387" s="231">
        <v>26.19</v>
      </c>
      <c r="F1387" s="927"/>
    </row>
    <row r="1388" spans="1:6">
      <c r="A1388" s="864">
        <v>41384</v>
      </c>
      <c r="B1388" s="76" t="str">
        <f>TiposLancamentos!B19</f>
        <v>Restaurantes</v>
      </c>
      <c r="C1388" s="147" t="s">
        <v>24190</v>
      </c>
      <c r="D1388" s="63"/>
      <c r="E1388" s="231">
        <v>30</v>
      </c>
      <c r="F1388" s="927"/>
    </row>
    <row r="1389" spans="1:6">
      <c r="A1389" s="864">
        <v>41385</v>
      </c>
      <c r="B1389" s="76" t="str">
        <f>TiposLancamentos!B19</f>
        <v>Restaurantes</v>
      </c>
      <c r="C1389" s="147" t="s">
        <v>24191</v>
      </c>
      <c r="D1389" s="63"/>
      <c r="E1389" s="231">
        <v>27.9</v>
      </c>
      <c r="F1389" s="927"/>
    </row>
    <row r="1390" spans="1:6">
      <c r="A1390" s="864">
        <v>41385</v>
      </c>
      <c r="B1390" s="76" t="str">
        <f>TiposLancamentos!B19</f>
        <v>Restaurantes</v>
      </c>
      <c r="C1390" s="147" t="s">
        <v>24192</v>
      </c>
      <c r="D1390" s="63"/>
      <c r="E1390" s="231">
        <v>52.1</v>
      </c>
      <c r="F1390" s="927"/>
    </row>
    <row r="1391" spans="1:6">
      <c r="A1391" s="932">
        <v>41386</v>
      </c>
      <c r="B1391" s="908" t="str">
        <f>TiposLancamentos!B5</f>
        <v>Supermercado</v>
      </c>
      <c r="C1391" s="909" t="s">
        <v>24193</v>
      </c>
      <c r="D1391" s="910"/>
      <c r="E1391" s="911">
        <v>158.21</v>
      </c>
      <c r="F1391" s="933"/>
    </row>
    <row r="1392" spans="1:6">
      <c r="A1392" s="864">
        <v>41387</v>
      </c>
      <c r="B1392" s="76" t="str">
        <f>TiposLancamentos!B22</f>
        <v>Combustivel</v>
      </c>
      <c r="C1392" s="147" t="s">
        <v>24194</v>
      </c>
      <c r="D1392" s="63"/>
      <c r="E1392" s="231">
        <v>120</v>
      </c>
      <c r="F1392" s="927"/>
    </row>
    <row r="1393" spans="1:6">
      <c r="A1393" s="932">
        <v>41388</v>
      </c>
      <c r="B1393" s="908" t="str">
        <f>TiposLancamentos!B5</f>
        <v>Supermercado</v>
      </c>
      <c r="C1393" s="909" t="s">
        <v>24195</v>
      </c>
      <c r="D1393" s="910"/>
      <c r="E1393" s="911">
        <v>44.8</v>
      </c>
      <c r="F1393" s="933"/>
    </row>
    <row r="1394" spans="1:6">
      <c r="A1394" s="864">
        <v>41389</v>
      </c>
      <c r="B1394" s="76" t="str">
        <f>TiposLancamentos!B16</f>
        <v>Cristiane</v>
      </c>
      <c r="C1394" s="147" t="s">
        <v>24196</v>
      </c>
      <c r="D1394" s="63"/>
      <c r="E1394" s="231">
        <v>109</v>
      </c>
      <c r="F1394" s="927"/>
    </row>
    <row r="1395" spans="1:6">
      <c r="A1395" s="864">
        <v>41390</v>
      </c>
      <c r="B1395" s="76" t="str">
        <f>TiposLancamentos!B19</f>
        <v>Restaurantes</v>
      </c>
      <c r="C1395" s="147" t="s">
        <v>5914</v>
      </c>
      <c r="D1395" s="63"/>
      <c r="E1395" s="231">
        <v>29</v>
      </c>
      <c r="F1395" s="927"/>
    </row>
    <row r="1396" spans="1:6">
      <c r="A1396" s="864">
        <v>41390</v>
      </c>
      <c r="B1396" s="76" t="str">
        <f>TiposLancamentos!B19</f>
        <v>Restaurantes</v>
      </c>
      <c r="C1396" s="147" t="s">
        <v>24197</v>
      </c>
      <c r="D1396" s="63"/>
      <c r="E1396" s="231">
        <v>56.27</v>
      </c>
      <c r="F1396" s="927"/>
    </row>
    <row r="1397" spans="1:6">
      <c r="A1397" s="864">
        <v>41390</v>
      </c>
      <c r="B1397" s="76" t="str">
        <f>TiposLancamentos!B31</f>
        <v>Action Figures</v>
      </c>
      <c r="C1397" s="147" t="s">
        <v>879</v>
      </c>
      <c r="D1397" s="63"/>
      <c r="E1397" s="231">
        <v>191.14</v>
      </c>
      <c r="F1397" s="927" t="s">
        <v>880</v>
      </c>
    </row>
    <row r="1398" spans="1:6">
      <c r="A1398" s="864">
        <v>41390</v>
      </c>
      <c r="B1398" s="76" t="str">
        <f>TiposLancamentos!B56</f>
        <v>Farmácia</v>
      </c>
      <c r="C1398" s="147" t="s">
        <v>24198</v>
      </c>
      <c r="D1398" s="63"/>
      <c r="E1398" s="231">
        <v>27.3</v>
      </c>
      <c r="F1398" s="927"/>
    </row>
    <row r="1399" spans="1:6">
      <c r="A1399" s="932">
        <v>41390</v>
      </c>
      <c r="B1399" s="908" t="str">
        <f>TiposLancamentos!B16</f>
        <v>Cristiane</v>
      </c>
      <c r="C1399" s="909" t="s">
        <v>24199</v>
      </c>
      <c r="D1399" s="910"/>
      <c r="E1399" s="911">
        <v>56.44</v>
      </c>
      <c r="F1399" s="933"/>
    </row>
    <row r="1400" spans="1:6">
      <c r="A1400" s="864">
        <v>41391</v>
      </c>
      <c r="B1400" s="76" t="str">
        <f>TiposLancamentos!B19</f>
        <v>Restaurantes</v>
      </c>
      <c r="C1400" s="147" t="s">
        <v>7068</v>
      </c>
      <c r="D1400" s="63"/>
      <c r="E1400" s="231">
        <v>69.08</v>
      </c>
      <c r="F1400" s="927"/>
    </row>
    <row r="1401" spans="1:6">
      <c r="A1401" s="864">
        <v>41392</v>
      </c>
      <c r="B1401" s="76" t="str">
        <f>TiposLancamentos!B19</f>
        <v>Restaurantes</v>
      </c>
      <c r="C1401" s="147" t="s">
        <v>24200</v>
      </c>
      <c r="D1401" s="63"/>
      <c r="E1401" s="231">
        <v>115.5</v>
      </c>
      <c r="F1401" s="927"/>
    </row>
    <row r="1402" spans="1:6">
      <c r="A1402" s="864">
        <v>41392</v>
      </c>
      <c r="B1402" s="76" t="str">
        <f>TiposLancamentos!B17</f>
        <v>GATO</v>
      </c>
      <c r="C1402" s="147" t="s">
        <v>24201</v>
      </c>
      <c r="D1402" s="63"/>
      <c r="E1402" s="231">
        <v>37.46</v>
      </c>
      <c r="F1402" s="927"/>
    </row>
    <row r="1403" spans="1:6">
      <c r="A1403" s="864">
        <v>41393</v>
      </c>
      <c r="B1403" s="76" t="str">
        <f>TiposLancamentos!B31</f>
        <v>Action Figures</v>
      </c>
      <c r="C1403" s="147" t="s">
        <v>24202</v>
      </c>
      <c r="D1403" s="63"/>
      <c r="E1403" s="231">
        <v>282.12</v>
      </c>
      <c r="F1403" s="927" t="s">
        <v>24203</v>
      </c>
    </row>
    <row r="1404" spans="1:6">
      <c r="A1404" s="864">
        <v>41393</v>
      </c>
      <c r="B1404" s="76" t="str">
        <f>TiposLancamentos!B4</f>
        <v>Taxas Bancarias</v>
      </c>
      <c r="C1404" s="147" t="s">
        <v>24204</v>
      </c>
      <c r="D1404" s="63"/>
      <c r="E1404" s="231">
        <v>18</v>
      </c>
      <c r="F1404" s="927"/>
    </row>
    <row r="1405" spans="1:6">
      <c r="A1405" s="932">
        <v>41390</v>
      </c>
      <c r="B1405" s="908" t="str">
        <f>TiposLancamentos!B5</f>
        <v>Supermercado</v>
      </c>
      <c r="C1405" s="909" t="s">
        <v>5977</v>
      </c>
      <c r="D1405" s="910"/>
      <c r="E1405" s="911">
        <v>55</v>
      </c>
      <c r="F1405" s="933"/>
    </row>
    <row r="1406" spans="1:6" ht="14.25" thickBot="1">
      <c r="A1406" s="900"/>
      <c r="B1406" s="901"/>
      <c r="C1406" s="902"/>
      <c r="D1406" s="903"/>
      <c r="E1406" s="928"/>
      <c r="F1406" s="929"/>
    </row>
    <row r="1407" spans="1:6">
      <c r="A1407" s="893"/>
      <c r="B1407" s="894"/>
      <c r="C1407" s="906" t="s">
        <v>6150</v>
      </c>
      <c r="D1407" s="896"/>
      <c r="E1407" s="925"/>
      <c r="F1407" s="926">
        <f>SUM(E1336:E1384)</f>
        <v>3802.94</v>
      </c>
    </row>
    <row r="1408" spans="1:6">
      <c r="A1408" s="864">
        <v>41396</v>
      </c>
      <c r="B1408" s="76" t="str">
        <f>TiposLancamentos!B15</f>
        <v>Cartões de Crédito</v>
      </c>
      <c r="C1408" s="147" t="s">
        <v>15240</v>
      </c>
      <c r="D1408" s="63">
        <v>3802.94</v>
      </c>
      <c r="E1408" s="231"/>
      <c r="F1408" s="927">
        <f>F1407-F1349</f>
        <v>390.89000000000078</v>
      </c>
    </row>
    <row r="1409" spans="1:6">
      <c r="A1409" s="864">
        <v>41396</v>
      </c>
      <c r="B1409" s="76" t="str">
        <f>TiposLancamentos!B30</f>
        <v>Cinema</v>
      </c>
      <c r="C1409" s="147" t="s">
        <v>24205</v>
      </c>
      <c r="D1409" s="63"/>
      <c r="E1409" s="231">
        <v>45</v>
      </c>
      <c r="F1409" s="927"/>
    </row>
    <row r="1410" spans="1:6">
      <c r="A1410" s="864">
        <v>41396</v>
      </c>
      <c r="B1410" s="76" t="str">
        <f>TiposLancamentos!B98</f>
        <v>Restituições</v>
      </c>
      <c r="C1410" s="147" t="s">
        <v>10992</v>
      </c>
      <c r="D1410" s="63">
        <v>0.36</v>
      </c>
      <c r="E1410" s="231"/>
      <c r="F1410" s="927"/>
    </row>
    <row r="1411" spans="1:6">
      <c r="A1411" s="864">
        <v>41397</v>
      </c>
      <c r="B1411" s="76" t="str">
        <f>TiposLancamentos!B28</f>
        <v>ComicBook</v>
      </c>
      <c r="C1411" s="147" t="s">
        <v>24206</v>
      </c>
      <c r="D1411" s="63"/>
      <c r="E1411" s="231">
        <v>80</v>
      </c>
      <c r="F1411" s="927"/>
    </row>
    <row r="1412" spans="1:6">
      <c r="A1412" s="932">
        <v>41400</v>
      </c>
      <c r="B1412" s="908" t="str">
        <f>TiposLancamentos!B75</f>
        <v>Shows</v>
      </c>
      <c r="C1412" s="909" t="s">
        <v>24207</v>
      </c>
      <c r="D1412" s="910"/>
      <c r="E1412" s="911">
        <v>183.34</v>
      </c>
      <c r="F1412" s="933"/>
    </row>
    <row r="1413" spans="1:6">
      <c r="A1413" s="864">
        <v>41401</v>
      </c>
      <c r="B1413" s="76" t="str">
        <f>TiposLancamentos!B57</f>
        <v>Informática</v>
      </c>
      <c r="C1413" s="147" t="s">
        <v>24208</v>
      </c>
      <c r="D1413" s="63"/>
      <c r="E1413" s="231">
        <v>417.07</v>
      </c>
      <c r="F1413" s="927"/>
    </row>
    <row r="1414" spans="1:6">
      <c r="A1414" s="864">
        <v>41402</v>
      </c>
      <c r="B1414" s="76" t="str">
        <f>TiposLancamentos!B19</f>
        <v>Restaurantes</v>
      </c>
      <c r="C1414" s="147" t="s">
        <v>6249</v>
      </c>
      <c r="D1414" s="63"/>
      <c r="E1414" s="231">
        <v>67.55</v>
      </c>
      <c r="F1414" s="927"/>
    </row>
    <row r="1415" spans="1:6">
      <c r="A1415" s="932">
        <v>41402</v>
      </c>
      <c r="B1415" s="908" t="str">
        <f>TiposLancamentos!B71</f>
        <v>Itens Pessoais</v>
      </c>
      <c r="C1415" s="909" t="s">
        <v>24209</v>
      </c>
      <c r="D1415" s="910"/>
      <c r="E1415" s="911">
        <v>42.99</v>
      </c>
      <c r="F1415" s="933"/>
    </row>
    <row r="1416" spans="1:6">
      <c r="A1416" s="932">
        <v>41403</v>
      </c>
      <c r="B1416" s="908" t="str">
        <f>TiposLancamentos!B64</f>
        <v>Viagens</v>
      </c>
      <c r="C1416" s="909" t="s">
        <v>24210</v>
      </c>
      <c r="D1416" s="910"/>
      <c r="E1416" s="911">
        <v>219.6</v>
      </c>
      <c r="F1416" s="933"/>
    </row>
    <row r="1417" spans="1:6">
      <c r="A1417" s="932">
        <v>41404</v>
      </c>
      <c r="B1417" s="908" t="str">
        <f>TiposLancamentos!B16</f>
        <v>Cristiane</v>
      </c>
      <c r="C1417" s="909" t="s">
        <v>5190</v>
      </c>
      <c r="D1417" s="910"/>
      <c r="E1417" s="911">
        <v>60.48</v>
      </c>
      <c r="F1417" s="933"/>
    </row>
    <row r="1418" spans="1:6">
      <c r="A1418" s="864">
        <v>41404</v>
      </c>
      <c r="B1418" s="76" t="str">
        <f>TiposLancamentos!B19</f>
        <v>Restaurantes</v>
      </c>
      <c r="C1418" s="147" t="s">
        <v>24211</v>
      </c>
      <c r="D1418" s="63"/>
      <c r="E1418" s="231">
        <v>54.23</v>
      </c>
      <c r="F1418" s="927"/>
    </row>
    <row r="1419" spans="1:6">
      <c r="A1419" s="864">
        <v>41404</v>
      </c>
      <c r="B1419" s="76" t="str">
        <f>TiposLancamentos!B19</f>
        <v>Restaurantes</v>
      </c>
      <c r="C1419" s="147" t="s">
        <v>24212</v>
      </c>
      <c r="D1419" s="63"/>
      <c r="E1419" s="231">
        <v>44</v>
      </c>
      <c r="F1419" s="927"/>
    </row>
    <row r="1420" spans="1:6">
      <c r="A1420" s="864">
        <v>41405</v>
      </c>
      <c r="B1420" s="76" t="str">
        <f>TiposLancamentos!B19</f>
        <v>Restaurantes</v>
      </c>
      <c r="C1420" s="147" t="s">
        <v>5951</v>
      </c>
      <c r="D1420" s="63"/>
      <c r="E1420" s="231">
        <v>32.799999999999997</v>
      </c>
      <c r="F1420" s="927"/>
    </row>
    <row r="1421" spans="1:6">
      <c r="A1421" s="864">
        <v>41405</v>
      </c>
      <c r="B1421" s="76" t="str">
        <f>TiposLancamentos!B22</f>
        <v>Combustivel</v>
      </c>
      <c r="C1421" s="147" t="s">
        <v>6000</v>
      </c>
      <c r="D1421" s="63"/>
      <c r="E1421" s="231">
        <v>122.03</v>
      </c>
      <c r="F1421" s="927"/>
    </row>
    <row r="1422" spans="1:6">
      <c r="A1422" s="864">
        <v>41405</v>
      </c>
      <c r="B1422" s="76" t="str">
        <f>TiposLancamentos!B19</f>
        <v>Restaurantes</v>
      </c>
      <c r="C1422" s="147" t="s">
        <v>6881</v>
      </c>
      <c r="D1422" s="63"/>
      <c r="E1422" s="231">
        <v>92.4</v>
      </c>
      <c r="F1422" s="927"/>
    </row>
    <row r="1423" spans="1:6">
      <c r="A1423" s="864">
        <v>41407</v>
      </c>
      <c r="B1423" s="76" t="str">
        <f>TiposLancamentos!B17</f>
        <v>GATO</v>
      </c>
      <c r="C1423" s="147" t="s">
        <v>6348</v>
      </c>
      <c r="D1423" s="63"/>
      <c r="E1423" s="231">
        <v>149.4</v>
      </c>
      <c r="F1423" s="927"/>
    </row>
    <row r="1424" spans="1:6">
      <c r="A1424" s="932">
        <v>41408</v>
      </c>
      <c r="B1424" s="908" t="str">
        <f>TiposLancamentos!B5</f>
        <v>Supermercado</v>
      </c>
      <c r="C1424" s="909" t="s">
        <v>5967</v>
      </c>
      <c r="D1424" s="910"/>
      <c r="E1424" s="911">
        <v>88.92</v>
      </c>
      <c r="F1424" s="933"/>
    </row>
    <row r="1425" spans="1:6">
      <c r="A1425" s="932">
        <v>41408</v>
      </c>
      <c r="B1425" s="908" t="str">
        <f>TiposLancamentos!B16</f>
        <v>Cristiane</v>
      </c>
      <c r="C1425" s="909" t="s">
        <v>24213</v>
      </c>
      <c r="D1425" s="910"/>
      <c r="E1425" s="911">
        <v>100</v>
      </c>
      <c r="F1425" s="933"/>
    </row>
    <row r="1426" spans="1:6">
      <c r="A1426" s="932">
        <v>41408</v>
      </c>
      <c r="B1426" s="908" t="str">
        <f>TiposLancamentos!B16</f>
        <v>Cristiane</v>
      </c>
      <c r="C1426" s="909" t="s">
        <v>24214</v>
      </c>
      <c r="D1426" s="910"/>
      <c r="E1426" s="911">
        <v>113.25</v>
      </c>
      <c r="F1426" s="933"/>
    </row>
    <row r="1427" spans="1:6">
      <c r="A1427" s="864">
        <v>41408</v>
      </c>
      <c r="B1427" s="76" t="str">
        <f>TiposLancamentos!B19</f>
        <v>Restaurantes</v>
      </c>
      <c r="C1427" s="147" t="s">
        <v>22985</v>
      </c>
      <c r="D1427" s="63"/>
      <c r="E1427" s="231">
        <v>39.799999999999997</v>
      </c>
      <c r="F1427" s="927"/>
    </row>
    <row r="1428" spans="1:6">
      <c r="A1428" s="864">
        <v>41408</v>
      </c>
      <c r="B1428" s="76" t="str">
        <f>TiposLancamentos!B16</f>
        <v>Cristiane</v>
      </c>
      <c r="C1428" s="147" t="s">
        <v>24215</v>
      </c>
      <c r="D1428" s="63"/>
      <c r="E1428" s="231">
        <v>30</v>
      </c>
      <c r="F1428" s="927"/>
    </row>
    <row r="1429" spans="1:6">
      <c r="A1429" s="864">
        <v>41408</v>
      </c>
      <c r="B1429" s="76" t="str">
        <f>TiposLancamentos!B56</f>
        <v>Farmácia</v>
      </c>
      <c r="C1429" s="147" t="s">
        <v>24216</v>
      </c>
      <c r="D1429" s="63"/>
      <c r="E1429" s="231">
        <v>71.66</v>
      </c>
      <c r="F1429" s="927"/>
    </row>
    <row r="1430" spans="1:6">
      <c r="A1430" s="864">
        <v>41412</v>
      </c>
      <c r="B1430" s="76" t="str">
        <f>TiposLancamentos!B16</f>
        <v>Cristiane</v>
      </c>
      <c r="C1430" s="147" t="s">
        <v>24217</v>
      </c>
      <c r="D1430" s="63"/>
      <c r="E1430" s="231">
        <v>89</v>
      </c>
      <c r="F1430" s="927"/>
    </row>
    <row r="1431" spans="1:6">
      <c r="A1431" s="864">
        <v>41412</v>
      </c>
      <c r="B1431" s="76" t="str">
        <f>TiposLancamentos!B24</f>
        <v>Estacionamentos</v>
      </c>
      <c r="C1431" s="147" t="s">
        <v>24218</v>
      </c>
      <c r="D1431" s="63"/>
      <c r="E1431" s="231">
        <v>20</v>
      </c>
      <c r="F1431" s="927"/>
    </row>
    <row r="1432" spans="1:6">
      <c r="A1432" s="864">
        <v>41412</v>
      </c>
      <c r="B1432" s="76" t="str">
        <f>TiposLancamentos!B16</f>
        <v>Cristiane</v>
      </c>
      <c r="C1432" s="147" t="s">
        <v>24219</v>
      </c>
      <c r="D1432" s="63"/>
      <c r="E1432" s="231">
        <v>112.78</v>
      </c>
      <c r="F1432" s="927"/>
    </row>
    <row r="1433" spans="1:6">
      <c r="A1433" s="864">
        <v>41412</v>
      </c>
      <c r="B1433" s="76" t="str">
        <f>TiposLancamentos!B19</f>
        <v>Restaurantes</v>
      </c>
      <c r="C1433" s="147" t="s">
        <v>6536</v>
      </c>
      <c r="D1433" s="63"/>
      <c r="E1433" s="231">
        <v>92.4</v>
      </c>
      <c r="F1433" s="927"/>
    </row>
    <row r="1434" spans="1:6">
      <c r="A1434" s="864">
        <v>41413</v>
      </c>
      <c r="B1434" s="76" t="str">
        <f>TiposLancamentos!B19</f>
        <v>Restaurantes</v>
      </c>
      <c r="C1434" s="147" t="s">
        <v>22573</v>
      </c>
      <c r="D1434" s="63"/>
      <c r="E1434" s="231">
        <v>127.28</v>
      </c>
      <c r="F1434" s="927"/>
    </row>
    <row r="1435" spans="1:6">
      <c r="A1435" s="864">
        <v>41413</v>
      </c>
      <c r="B1435" s="76" t="str">
        <f>TiposLancamentos!B5</f>
        <v>Supermercado</v>
      </c>
      <c r="C1435" s="147" t="s">
        <v>5844</v>
      </c>
      <c r="D1435" s="63"/>
      <c r="E1435" s="231">
        <v>154.62</v>
      </c>
      <c r="F1435" s="927"/>
    </row>
    <row r="1436" spans="1:6">
      <c r="A1436" s="934"/>
      <c r="B1436" s="226"/>
      <c r="C1436" s="227" t="s">
        <v>10</v>
      </c>
      <c r="D1436" s="228"/>
      <c r="E1436" s="228"/>
      <c r="F1436" s="935"/>
    </row>
    <row r="1437" spans="1:6">
      <c r="A1437" s="932">
        <v>41415</v>
      </c>
      <c r="B1437" s="908" t="str">
        <f>TiposLancamentos!B16</f>
        <v>Cristiane</v>
      </c>
      <c r="C1437" s="909" t="s">
        <v>24220</v>
      </c>
      <c r="D1437" s="910"/>
      <c r="E1437" s="911">
        <v>116</v>
      </c>
      <c r="F1437" s="933"/>
    </row>
    <row r="1438" spans="1:6">
      <c r="A1438" s="864">
        <v>41415</v>
      </c>
      <c r="B1438" s="76" t="str">
        <f>TiposLancamentos!B16</f>
        <v>Cristiane</v>
      </c>
      <c r="C1438" s="147" t="s">
        <v>6326</v>
      </c>
      <c r="D1438" s="63"/>
      <c r="E1438" s="231">
        <v>31.4</v>
      </c>
      <c r="F1438" s="927"/>
    </row>
    <row r="1439" spans="1:6">
      <c r="A1439" s="864">
        <v>41415</v>
      </c>
      <c r="B1439" s="76" t="str">
        <f>TiposLancamentos!B19</f>
        <v>Restaurantes</v>
      </c>
      <c r="C1439" s="147" t="s">
        <v>24221</v>
      </c>
      <c r="D1439" s="63"/>
      <c r="E1439" s="231">
        <v>42.4</v>
      </c>
      <c r="F1439" s="927"/>
    </row>
    <row r="1440" spans="1:6">
      <c r="A1440" s="864">
        <v>41416</v>
      </c>
      <c r="B1440" s="76" t="str">
        <f>TiposLancamentos!B19</f>
        <v>Restaurantes</v>
      </c>
      <c r="C1440" s="147" t="s">
        <v>3755</v>
      </c>
      <c r="D1440" s="63"/>
      <c r="E1440" s="231">
        <v>35.29</v>
      </c>
      <c r="F1440" s="927"/>
    </row>
    <row r="1441" spans="1:6">
      <c r="A1441" s="864">
        <v>41416</v>
      </c>
      <c r="B1441" s="76" t="str">
        <f>TiposLancamentos!B16</f>
        <v>Cristiane</v>
      </c>
      <c r="C1441" s="147" t="s">
        <v>24222</v>
      </c>
      <c r="D1441" s="63"/>
      <c r="E1441" s="231">
        <v>134.65</v>
      </c>
      <c r="F1441" s="927"/>
    </row>
    <row r="1442" spans="1:6">
      <c r="A1442" s="932">
        <v>41418</v>
      </c>
      <c r="B1442" s="908" t="str">
        <f>TiposLancamentos!B16</f>
        <v>Cristiane</v>
      </c>
      <c r="C1442" s="909" t="s">
        <v>24223</v>
      </c>
      <c r="D1442" s="910"/>
      <c r="E1442" s="911">
        <v>47.24</v>
      </c>
      <c r="F1442" s="933"/>
    </row>
    <row r="1443" spans="1:6">
      <c r="A1443" s="864">
        <v>41418</v>
      </c>
      <c r="B1443" s="76" t="str">
        <f>TiposLancamentos!B19</f>
        <v>Restaurantes</v>
      </c>
      <c r="C1443" s="147" t="s">
        <v>24224</v>
      </c>
      <c r="D1443" s="63"/>
      <c r="E1443" s="231">
        <v>73.400000000000006</v>
      </c>
      <c r="F1443" s="927"/>
    </row>
    <row r="1444" spans="1:6">
      <c r="A1444" s="864">
        <v>41418</v>
      </c>
      <c r="B1444" s="76" t="str">
        <f>TiposLancamentos!B22</f>
        <v>Combustivel</v>
      </c>
      <c r="C1444" s="147" t="s">
        <v>5961</v>
      </c>
      <c r="D1444" s="63"/>
      <c r="E1444" s="231">
        <v>123.3</v>
      </c>
      <c r="F1444" s="927"/>
    </row>
    <row r="1445" spans="1:6">
      <c r="A1445" s="864">
        <v>41418</v>
      </c>
      <c r="B1445" s="76" t="str">
        <f>TiposLancamentos!B16</f>
        <v>Cristiane</v>
      </c>
      <c r="C1445" s="147" t="s">
        <v>24225</v>
      </c>
      <c r="D1445" s="63"/>
      <c r="E1445" s="231">
        <v>161.6</v>
      </c>
      <c r="F1445" s="927"/>
    </row>
    <row r="1446" spans="1:6">
      <c r="A1446" s="864">
        <v>41418</v>
      </c>
      <c r="B1446" s="76" t="str">
        <f>TiposLancamentos!B19</f>
        <v>Restaurantes</v>
      </c>
      <c r="C1446" s="147" t="s">
        <v>24226</v>
      </c>
      <c r="D1446" s="63"/>
      <c r="E1446" s="231">
        <v>84.98</v>
      </c>
      <c r="F1446" s="927"/>
    </row>
    <row r="1447" spans="1:6">
      <c r="A1447" s="864">
        <v>41419</v>
      </c>
      <c r="B1447" s="76" t="str">
        <f>TiposLancamentos!B3</f>
        <v>Internet</v>
      </c>
      <c r="C1447" s="147" t="s">
        <v>10734</v>
      </c>
      <c r="D1447" s="63"/>
      <c r="E1447" s="231">
        <v>29</v>
      </c>
      <c r="F1447" s="927"/>
    </row>
    <row r="1448" spans="1:6">
      <c r="A1448" s="864">
        <v>41419</v>
      </c>
      <c r="B1448" s="76" t="str">
        <f>TiposLancamentos!B19</f>
        <v>Restaurantes</v>
      </c>
      <c r="C1448" s="147" t="s">
        <v>5913</v>
      </c>
      <c r="D1448" s="63"/>
      <c r="E1448" s="231">
        <v>12.25</v>
      </c>
      <c r="F1448" s="927"/>
    </row>
    <row r="1449" spans="1:6">
      <c r="A1449" s="864">
        <v>41419</v>
      </c>
      <c r="B1449" s="76" t="str">
        <f>TiposLancamentos!B19</f>
        <v>Restaurantes</v>
      </c>
      <c r="C1449" s="147" t="s">
        <v>24227</v>
      </c>
      <c r="D1449" s="63"/>
      <c r="E1449" s="231">
        <v>18.3</v>
      </c>
      <c r="F1449" s="927"/>
    </row>
    <row r="1450" spans="1:6">
      <c r="A1450" s="864">
        <v>41419</v>
      </c>
      <c r="B1450" s="76" t="str">
        <f>TiposLancamentos!B16</f>
        <v>Cristiane</v>
      </c>
      <c r="C1450" s="147" t="s">
        <v>24228</v>
      </c>
      <c r="D1450" s="63"/>
      <c r="E1450" s="231">
        <v>10.7</v>
      </c>
      <c r="F1450" s="927"/>
    </row>
    <row r="1451" spans="1:6">
      <c r="A1451" s="864">
        <v>41419</v>
      </c>
      <c r="B1451" s="76" t="str">
        <f>TiposLancamentos!B53</f>
        <v>Auxilio Idoso</v>
      </c>
      <c r="C1451" s="147" t="s">
        <v>24229</v>
      </c>
      <c r="D1451" s="63"/>
      <c r="E1451" s="231">
        <v>33</v>
      </c>
      <c r="F1451" s="927"/>
    </row>
    <row r="1452" spans="1:6">
      <c r="A1452" s="864">
        <v>41419</v>
      </c>
      <c r="B1452" s="76" t="str">
        <f>TiposLancamentos!B16</f>
        <v>Cristiane</v>
      </c>
      <c r="C1452" s="147" t="s">
        <v>23860</v>
      </c>
      <c r="D1452" s="63"/>
      <c r="E1452" s="231">
        <v>136</v>
      </c>
      <c r="F1452" s="927"/>
    </row>
    <row r="1453" spans="1:6">
      <c r="A1453" s="864">
        <v>41419</v>
      </c>
      <c r="B1453" s="76" t="str">
        <f>TiposLancamentos!B13</f>
        <v>Moradia</v>
      </c>
      <c r="C1453" s="147" t="s">
        <v>24230</v>
      </c>
      <c r="D1453" s="63"/>
      <c r="E1453" s="231">
        <v>35.799999999999997</v>
      </c>
      <c r="F1453" s="927"/>
    </row>
    <row r="1454" spans="1:6">
      <c r="A1454" s="864">
        <v>41419</v>
      </c>
      <c r="B1454" s="76" t="str">
        <f>TiposLancamentos!B53</f>
        <v>Auxilio Idoso</v>
      </c>
      <c r="C1454" s="147" t="s">
        <v>24231</v>
      </c>
      <c r="D1454" s="63"/>
      <c r="E1454" s="231">
        <v>14.9</v>
      </c>
      <c r="F1454" s="927"/>
    </row>
    <row r="1455" spans="1:6">
      <c r="A1455" s="864">
        <v>41419</v>
      </c>
      <c r="B1455" s="76" t="str">
        <f>TiposLancamentos!B5</f>
        <v>Supermercado</v>
      </c>
      <c r="C1455" s="147" t="s">
        <v>24232</v>
      </c>
      <c r="D1455" s="63"/>
      <c r="E1455" s="231">
        <v>38.21</v>
      </c>
      <c r="F1455" s="927"/>
    </row>
    <row r="1456" spans="1:6">
      <c r="A1456" s="864">
        <v>41419</v>
      </c>
      <c r="B1456" s="76" t="str">
        <f>TiposLancamentos!B56</f>
        <v>Farmácia</v>
      </c>
      <c r="C1456" s="147" t="s">
        <v>24233</v>
      </c>
      <c r="D1456" s="63"/>
      <c r="E1456" s="231">
        <v>20</v>
      </c>
      <c r="F1456" s="927"/>
    </row>
    <row r="1457" spans="1:6">
      <c r="A1457" s="864">
        <v>41420</v>
      </c>
      <c r="B1457" s="76" t="str">
        <f>TiposLancamentos!B19</f>
        <v>Restaurantes</v>
      </c>
      <c r="C1457" s="147" t="s">
        <v>24234</v>
      </c>
      <c r="D1457" s="63"/>
      <c r="E1457" s="231">
        <v>21.5</v>
      </c>
      <c r="F1457" s="927"/>
    </row>
    <row r="1458" spans="1:6">
      <c r="A1458" s="864">
        <v>41420</v>
      </c>
      <c r="B1458" s="76" t="str">
        <f>TiposLancamentos!B22</f>
        <v>Combustivel</v>
      </c>
      <c r="C1458" s="147" t="s">
        <v>5961</v>
      </c>
      <c r="D1458" s="63"/>
      <c r="E1458" s="231">
        <v>90.01</v>
      </c>
      <c r="F1458" s="927"/>
    </row>
    <row r="1459" spans="1:6">
      <c r="A1459" s="864">
        <v>41420</v>
      </c>
      <c r="B1459" s="76" t="str">
        <f>TiposLancamentos!B19</f>
        <v>Restaurantes</v>
      </c>
      <c r="C1459" s="147" t="s">
        <v>24235</v>
      </c>
      <c r="D1459" s="63"/>
      <c r="E1459" s="231">
        <v>32.299999999999997</v>
      </c>
      <c r="F1459" s="927"/>
    </row>
    <row r="1460" spans="1:6">
      <c r="A1460" s="864">
        <v>41420</v>
      </c>
      <c r="B1460" s="76" t="str">
        <f>TiposLancamentos!B19</f>
        <v>Restaurantes</v>
      </c>
      <c r="C1460" s="147" t="s">
        <v>6328</v>
      </c>
      <c r="D1460" s="63"/>
      <c r="E1460" s="231">
        <v>44.5</v>
      </c>
      <c r="F1460" s="927"/>
    </row>
    <row r="1461" spans="1:6">
      <c r="A1461" s="864">
        <v>41421</v>
      </c>
      <c r="B1461" s="76" t="str">
        <f>TiposLancamentos!B16</f>
        <v>Cristiane</v>
      </c>
      <c r="C1461" s="147" t="s">
        <v>24236</v>
      </c>
      <c r="D1461" s="63"/>
      <c r="E1461" s="231">
        <v>44.19</v>
      </c>
      <c r="F1461" s="927"/>
    </row>
    <row r="1462" spans="1:6">
      <c r="A1462" s="864">
        <v>41421</v>
      </c>
      <c r="B1462" s="76" t="str">
        <f>TiposLancamentos!B19</f>
        <v>Restaurantes</v>
      </c>
      <c r="C1462" s="147" t="s">
        <v>24237</v>
      </c>
      <c r="D1462" s="63"/>
      <c r="E1462" s="231">
        <v>22</v>
      </c>
      <c r="F1462" s="927"/>
    </row>
    <row r="1463" spans="1:6">
      <c r="A1463" s="864">
        <v>41421</v>
      </c>
      <c r="B1463" s="76" t="str">
        <f>TiposLancamentos!B5</f>
        <v>Supermercado</v>
      </c>
      <c r="C1463" s="147" t="s">
        <v>5957</v>
      </c>
      <c r="D1463" s="63"/>
      <c r="E1463" s="231">
        <v>51.15</v>
      </c>
      <c r="F1463" s="927"/>
    </row>
    <row r="1464" spans="1:6">
      <c r="A1464" s="864">
        <v>41422</v>
      </c>
      <c r="B1464" s="76" t="str">
        <f>TiposLancamentos!B65</f>
        <v>Taxi</v>
      </c>
      <c r="C1464" s="147" t="s">
        <v>24238</v>
      </c>
      <c r="D1464" s="63"/>
      <c r="E1464" s="231">
        <v>36</v>
      </c>
      <c r="F1464" s="927"/>
    </row>
    <row r="1465" spans="1:6">
      <c r="A1465" s="864">
        <v>41422</v>
      </c>
      <c r="B1465" s="76" t="str">
        <f>TiposLancamentos!B5</f>
        <v>Supermercado</v>
      </c>
      <c r="C1465" s="147" t="s">
        <v>24239</v>
      </c>
      <c r="D1465" s="63"/>
      <c r="E1465" s="231">
        <v>102.2</v>
      </c>
      <c r="F1465" s="927" t="s">
        <v>24240</v>
      </c>
    </row>
    <row r="1466" spans="1:6">
      <c r="A1466" s="932">
        <v>41422</v>
      </c>
      <c r="B1466" s="908" t="str">
        <f>TiposLancamentos!B5</f>
        <v>Supermercado</v>
      </c>
      <c r="C1466" s="909" t="s">
        <v>5977</v>
      </c>
      <c r="D1466" s="910"/>
      <c r="E1466" s="911">
        <v>71.989999999999995</v>
      </c>
      <c r="F1466" s="933"/>
    </row>
    <row r="1467" spans="1:6">
      <c r="A1467" s="864">
        <v>41422</v>
      </c>
      <c r="B1467" s="76" t="str">
        <f>TiposLancamentos!B98</f>
        <v>Restituições</v>
      </c>
      <c r="C1467" s="147" t="s">
        <v>24241</v>
      </c>
      <c r="D1467" s="63">
        <v>102.2</v>
      </c>
      <c r="E1467" s="231"/>
      <c r="F1467" s="927"/>
    </row>
    <row r="1468" spans="1:6">
      <c r="A1468" s="864">
        <v>41423</v>
      </c>
      <c r="B1468" s="76" t="str">
        <f>TiposLancamentos!B65</f>
        <v>Taxi</v>
      </c>
      <c r="C1468" s="147" t="s">
        <v>24242</v>
      </c>
      <c r="D1468" s="63"/>
      <c r="E1468" s="231">
        <v>25</v>
      </c>
      <c r="F1468" s="927"/>
    </row>
    <row r="1469" spans="1:6">
      <c r="A1469" s="932">
        <v>41423</v>
      </c>
      <c r="B1469" s="908" t="str">
        <f>TiposLancamentos!B5</f>
        <v>Supermercado</v>
      </c>
      <c r="C1469" s="909" t="s">
        <v>5957</v>
      </c>
      <c r="D1469" s="910"/>
      <c r="E1469" s="911">
        <v>34.56</v>
      </c>
      <c r="F1469" s="933"/>
    </row>
    <row r="1470" spans="1:6">
      <c r="A1470" s="864">
        <v>41424</v>
      </c>
      <c r="B1470" s="76" t="str">
        <f>TiposLancamentos!B19</f>
        <v>Restaurantes</v>
      </c>
      <c r="C1470" s="147" t="s">
        <v>6230</v>
      </c>
      <c r="D1470" s="63"/>
      <c r="E1470" s="231">
        <v>63.36</v>
      </c>
      <c r="F1470" s="927"/>
    </row>
    <row r="1471" spans="1:6">
      <c r="A1471" s="864">
        <v>41424</v>
      </c>
      <c r="B1471" s="76" t="str">
        <f>TiposLancamentos!B31</f>
        <v>Action Figures</v>
      </c>
      <c r="C1471" s="147" t="s">
        <v>24243</v>
      </c>
      <c r="D1471" s="63"/>
      <c r="E1471" s="231">
        <v>244.57</v>
      </c>
      <c r="F1471" s="927" t="s">
        <v>24244</v>
      </c>
    </row>
    <row r="1472" spans="1:6">
      <c r="A1472" s="864">
        <v>41424</v>
      </c>
      <c r="B1472" s="76" t="str">
        <f>TiposLancamentos!B4</f>
        <v>Taxas Bancarias</v>
      </c>
      <c r="C1472" s="147" t="s">
        <v>4858</v>
      </c>
      <c r="D1472" s="63"/>
      <c r="E1472" s="231">
        <v>15.6</v>
      </c>
      <c r="F1472" s="927"/>
    </row>
    <row r="1473" spans="1:6" ht="14.25" thickBot="1">
      <c r="A1473" s="932">
        <v>41425</v>
      </c>
      <c r="B1473" s="908" t="str">
        <f>TiposLancamentos!B16</f>
        <v>Cristiane</v>
      </c>
      <c r="C1473" s="909" t="s">
        <v>24245</v>
      </c>
      <c r="D1473" s="910"/>
      <c r="E1473" s="911">
        <v>39.799999999999997</v>
      </c>
      <c r="F1473" s="933"/>
    </row>
    <row r="1474" spans="1:6">
      <c r="A1474" s="893"/>
      <c r="B1474" s="894"/>
      <c r="C1474" s="906" t="s">
        <v>24246</v>
      </c>
      <c r="D1474" s="896"/>
      <c r="E1474" s="925"/>
      <c r="F1474" s="926">
        <f>SUM(E1386:E1435)-D1410</f>
        <v>4279.7800000000007</v>
      </c>
    </row>
    <row r="1475" spans="1:6">
      <c r="A1475" s="932">
        <v>41426</v>
      </c>
      <c r="B1475" s="908" t="str">
        <f>TiposLancamentos!B16</f>
        <v>Cristiane</v>
      </c>
      <c r="C1475" s="909" t="s">
        <v>24247</v>
      </c>
      <c r="D1475" s="910"/>
      <c r="E1475" s="911">
        <v>74.349999999999994</v>
      </c>
      <c r="F1475" s="933">
        <f>F1474-F1407</f>
        <v>476.8400000000006</v>
      </c>
    </row>
    <row r="1476" spans="1:6">
      <c r="A1476" s="864">
        <v>41428</v>
      </c>
      <c r="B1476" s="76" t="str">
        <f>TiposLancamentos!B15</f>
        <v>Cartões de Crédito</v>
      </c>
      <c r="C1476" s="147" t="s">
        <v>14126</v>
      </c>
      <c r="D1476" s="63">
        <v>4279.78</v>
      </c>
      <c r="E1476" s="231"/>
      <c r="F1476" s="927"/>
    </row>
    <row r="1477" spans="1:6">
      <c r="A1477" s="932">
        <v>41428</v>
      </c>
      <c r="B1477" s="908" t="str">
        <f>TiposLancamentos!B16</f>
        <v>Cristiane</v>
      </c>
      <c r="C1477" s="909" t="s">
        <v>24248</v>
      </c>
      <c r="D1477" s="910"/>
      <c r="E1477" s="911">
        <v>62.05</v>
      </c>
      <c r="F1477" s="933"/>
    </row>
    <row r="1478" spans="1:6">
      <c r="A1478" s="932">
        <v>41430</v>
      </c>
      <c r="B1478" s="908" t="str">
        <f>TiposLancamentos!B16</f>
        <v>Cristiane</v>
      </c>
      <c r="C1478" s="909" t="s">
        <v>24249</v>
      </c>
      <c r="D1478" s="910"/>
      <c r="E1478" s="911">
        <v>139.57</v>
      </c>
      <c r="F1478" s="933"/>
    </row>
    <row r="1479" spans="1:6">
      <c r="A1479" s="932">
        <v>41431</v>
      </c>
      <c r="B1479" s="908" t="str">
        <f>TiposLancamentos!B16</f>
        <v>Cristiane</v>
      </c>
      <c r="C1479" s="909" t="s">
        <v>24250</v>
      </c>
      <c r="D1479" s="910"/>
      <c r="E1479" s="911">
        <v>157.6</v>
      </c>
      <c r="F1479" s="933"/>
    </row>
    <row r="1480" spans="1:6">
      <c r="A1480" s="932">
        <v>41431</v>
      </c>
      <c r="B1480" s="908" t="str">
        <f>TiposLancamentos!B75</f>
        <v>Shows</v>
      </c>
      <c r="C1480" s="909" t="s">
        <v>24251</v>
      </c>
      <c r="D1480" s="910"/>
      <c r="E1480" s="911">
        <v>183.33</v>
      </c>
      <c r="F1480" s="933"/>
    </row>
    <row r="1481" spans="1:6">
      <c r="A1481" s="864">
        <v>41432</v>
      </c>
      <c r="B1481" s="76" t="str">
        <f>TiposLancamentos!B57</f>
        <v>Informática</v>
      </c>
      <c r="C1481" s="147" t="s">
        <v>24252</v>
      </c>
      <c r="D1481" s="63"/>
      <c r="E1481" s="231">
        <v>417.07</v>
      </c>
      <c r="F1481" s="927"/>
    </row>
    <row r="1482" spans="1:6">
      <c r="A1482" s="932">
        <v>41434</v>
      </c>
      <c r="B1482" s="908" t="str">
        <f>TiposLancamentos!B64</f>
        <v>Viagens</v>
      </c>
      <c r="C1482" s="909" t="s">
        <v>24253</v>
      </c>
      <c r="D1482" s="910"/>
      <c r="E1482" s="911">
        <v>219.56</v>
      </c>
      <c r="F1482" s="933"/>
    </row>
    <row r="1483" spans="1:6">
      <c r="A1483" s="864">
        <v>41436</v>
      </c>
      <c r="B1483" s="76" t="str">
        <f>TiposLancamentos!B65</f>
        <v>Taxi</v>
      </c>
      <c r="C1483" s="147" t="s">
        <v>24254</v>
      </c>
      <c r="D1483" s="63"/>
      <c r="E1483" s="231">
        <v>135</v>
      </c>
      <c r="F1483" s="927"/>
    </row>
    <row r="1484" spans="1:6">
      <c r="A1484" s="864">
        <v>41436</v>
      </c>
      <c r="B1484" s="76" t="str">
        <f>TiposLancamentos!B19</f>
        <v>Restaurantes</v>
      </c>
      <c r="C1484" s="147" t="s">
        <v>24255</v>
      </c>
      <c r="D1484" s="63"/>
      <c r="E1484" s="231">
        <v>29.25</v>
      </c>
      <c r="F1484" s="927"/>
    </row>
    <row r="1485" spans="1:6">
      <c r="A1485" s="864">
        <v>41436</v>
      </c>
      <c r="B1485" s="76" t="str">
        <f>TiposLancamentos!B65</f>
        <v>Taxi</v>
      </c>
      <c r="C1485" s="147" t="s">
        <v>24256</v>
      </c>
      <c r="D1485" s="63"/>
      <c r="E1485" s="231">
        <v>43</v>
      </c>
      <c r="F1485" s="927"/>
    </row>
    <row r="1486" spans="1:6">
      <c r="A1486" s="934"/>
      <c r="B1486" s="226"/>
      <c r="C1486" s="227" t="s">
        <v>10</v>
      </c>
      <c r="D1486" s="228"/>
      <c r="E1486" s="228"/>
      <c r="F1486" s="935"/>
    </row>
    <row r="1487" spans="1:6">
      <c r="A1487" s="864">
        <v>41440</v>
      </c>
      <c r="B1487" s="76" t="str">
        <f>TiposLancamentos!B57</f>
        <v>Informática</v>
      </c>
      <c r="C1487" s="147" t="s">
        <v>24257</v>
      </c>
      <c r="D1487" s="63"/>
      <c r="E1487" s="231">
        <v>4.6900000000000004</v>
      </c>
      <c r="F1487" s="927" t="s">
        <v>17319</v>
      </c>
    </row>
    <row r="1488" spans="1:6">
      <c r="A1488" s="932">
        <v>41443</v>
      </c>
      <c r="B1488" s="908" t="str">
        <f>TiposLancamentos!B16</f>
        <v>Cristiane</v>
      </c>
      <c r="C1488" s="909" t="s">
        <v>24258</v>
      </c>
      <c r="D1488" s="910"/>
      <c r="E1488" s="911">
        <v>2.327</v>
      </c>
      <c r="F1488" s="933" t="s">
        <v>10768</v>
      </c>
    </row>
    <row r="1489" spans="1:6">
      <c r="A1489" s="864">
        <v>41444</v>
      </c>
      <c r="B1489" s="76" t="str">
        <f>TiposLancamentos!B65</f>
        <v>Taxi</v>
      </c>
      <c r="C1489" s="147" t="s">
        <v>24259</v>
      </c>
      <c r="D1489" s="63"/>
      <c r="E1489" s="231">
        <v>168</v>
      </c>
      <c r="F1489" s="927"/>
    </row>
    <row r="1490" spans="1:6">
      <c r="A1490" s="932">
        <v>41444</v>
      </c>
      <c r="B1490" s="908" t="str">
        <f>TiposLancamentos!B5</f>
        <v>Supermercado</v>
      </c>
      <c r="C1490" s="909" t="s">
        <v>24260</v>
      </c>
      <c r="D1490" s="910"/>
      <c r="E1490" s="911">
        <v>76.930000000000007</v>
      </c>
      <c r="F1490" s="933"/>
    </row>
    <row r="1491" spans="1:6">
      <c r="A1491" s="932">
        <v>41449</v>
      </c>
      <c r="B1491" s="908" t="str">
        <f>TiposLancamentos!B16</f>
        <v>Cristiane</v>
      </c>
      <c r="C1491" s="909" t="s">
        <v>24261</v>
      </c>
      <c r="D1491" s="910"/>
      <c r="E1491" s="911">
        <v>262.7</v>
      </c>
      <c r="F1491" s="933"/>
    </row>
    <row r="1492" spans="1:6">
      <c r="A1492" s="864">
        <v>41449</v>
      </c>
      <c r="B1492" s="76" t="str">
        <f>TiposLancamentos!B31</f>
        <v>Action Figures</v>
      </c>
      <c r="C1492" s="147" t="s">
        <v>24262</v>
      </c>
      <c r="D1492" s="63"/>
      <c r="E1492" s="231">
        <v>145.81</v>
      </c>
      <c r="F1492" s="927" t="s">
        <v>24263</v>
      </c>
    </row>
    <row r="1493" spans="1:6">
      <c r="A1493" s="864">
        <v>41449</v>
      </c>
      <c r="B1493" s="76" t="str">
        <f>TiposLancamentos!B4</f>
        <v>Taxas Bancarias</v>
      </c>
      <c r="C1493" s="147" t="s">
        <v>24264</v>
      </c>
      <c r="D1493" s="63"/>
      <c r="E1493" s="231">
        <v>9.3000000000000007</v>
      </c>
      <c r="F1493" s="927"/>
    </row>
    <row r="1494" spans="1:6">
      <c r="A1494" s="864">
        <v>41450</v>
      </c>
      <c r="B1494" s="76" t="str">
        <f>TiposLancamentos!B3</f>
        <v>Internet</v>
      </c>
      <c r="C1494" s="147" t="s">
        <v>10734</v>
      </c>
      <c r="D1494" s="63"/>
      <c r="E1494" s="231">
        <v>29</v>
      </c>
      <c r="F1494" s="927"/>
    </row>
    <row r="1495" spans="1:6">
      <c r="A1495" s="864">
        <v>41453</v>
      </c>
      <c r="B1495" s="76" t="str">
        <f>TiposLancamentos!B31</f>
        <v>Action Figures</v>
      </c>
      <c r="C1495" s="147" t="s">
        <v>24265</v>
      </c>
      <c r="D1495" s="63"/>
      <c r="E1495" s="231">
        <v>121.73</v>
      </c>
      <c r="F1495" s="927" t="s">
        <v>24266</v>
      </c>
    </row>
    <row r="1496" spans="1:6">
      <c r="A1496" s="864">
        <v>41453</v>
      </c>
      <c r="B1496" s="76" t="str">
        <f>TiposLancamentos!B4</f>
        <v>Taxas Bancarias</v>
      </c>
      <c r="C1496" s="147" t="s">
        <v>24267</v>
      </c>
      <c r="D1496" s="63"/>
      <c r="E1496" s="231">
        <v>7.77</v>
      </c>
      <c r="F1496" s="927"/>
    </row>
    <row r="1497" spans="1:6" ht="14.25" thickBot="1">
      <c r="A1497" s="864">
        <v>41454</v>
      </c>
      <c r="B1497" s="76" t="str">
        <f>TiposLancamentos!B19</f>
        <v>Restaurantes</v>
      </c>
      <c r="C1497" s="147" t="s">
        <v>24268</v>
      </c>
      <c r="D1497" s="63"/>
      <c r="E1497" s="231">
        <v>31</v>
      </c>
      <c r="F1497" s="927"/>
    </row>
    <row r="1498" spans="1:6">
      <c r="A1498" s="893"/>
      <c r="B1498" s="894"/>
      <c r="C1498" s="906" t="s">
        <v>19981</v>
      </c>
      <c r="D1498" s="896"/>
      <c r="E1498" s="925"/>
      <c r="F1498" s="926">
        <f>SUM(E1437:E1485)-D1467</f>
        <v>3495.7300000000005</v>
      </c>
    </row>
    <row r="1499" spans="1:6">
      <c r="A1499" s="864">
        <v>41456</v>
      </c>
      <c r="B1499" s="76" t="str">
        <f>TiposLancamentos!B15</f>
        <v>Cartões de Crédito</v>
      </c>
      <c r="C1499" s="147" t="s">
        <v>1874</v>
      </c>
      <c r="D1499" s="63">
        <v>3495.73</v>
      </c>
      <c r="E1499" s="231"/>
      <c r="F1499" s="927">
        <f>F1498-F1474</f>
        <v>-784.05000000000018</v>
      </c>
    </row>
    <row r="1500" spans="1:6">
      <c r="A1500" s="864">
        <v>41457</v>
      </c>
      <c r="B1500" s="76" t="str">
        <f>TiposLancamentos!B71</f>
        <v>Itens Pessoais</v>
      </c>
      <c r="C1500" s="147" t="s">
        <v>24269</v>
      </c>
      <c r="D1500" s="63"/>
      <c r="E1500" s="231">
        <v>78.3</v>
      </c>
      <c r="F1500" s="927"/>
    </row>
    <row r="1501" spans="1:6">
      <c r="A1501" s="932">
        <v>41458</v>
      </c>
      <c r="B1501" s="908" t="str">
        <f>TiposLancamentos!B5</f>
        <v>Supermercado</v>
      </c>
      <c r="C1501" s="909" t="s">
        <v>22532</v>
      </c>
      <c r="D1501" s="910"/>
      <c r="E1501" s="911">
        <v>16.059999999999999</v>
      </c>
      <c r="F1501" s="933"/>
    </row>
    <row r="1502" spans="1:6">
      <c r="A1502" s="932">
        <v>41461</v>
      </c>
      <c r="B1502" s="908" t="str">
        <f>TiposLancamentos!B75</f>
        <v>Shows</v>
      </c>
      <c r="C1502" s="909" t="s">
        <v>24270</v>
      </c>
      <c r="D1502" s="910"/>
      <c r="E1502" s="911">
        <v>183.33</v>
      </c>
      <c r="F1502" s="933"/>
    </row>
    <row r="1503" spans="1:6">
      <c r="A1503" s="864">
        <v>41462</v>
      </c>
      <c r="B1503" s="76" t="str">
        <f>TiposLancamentos!B57</f>
        <v>Informática</v>
      </c>
      <c r="C1503" s="147" t="s">
        <v>24271</v>
      </c>
      <c r="D1503" s="63"/>
      <c r="E1503" s="231">
        <v>417.07</v>
      </c>
      <c r="F1503" s="927"/>
    </row>
    <row r="1504" spans="1:6">
      <c r="A1504" s="864">
        <v>41463</v>
      </c>
      <c r="B1504" s="76" t="str">
        <f>TiposLancamentos!B28</f>
        <v>ComicBook</v>
      </c>
      <c r="C1504" s="147" t="s">
        <v>24272</v>
      </c>
      <c r="D1504" s="63"/>
      <c r="E1504" s="231">
        <v>29.4</v>
      </c>
      <c r="F1504" s="927"/>
    </row>
    <row r="1505" spans="1:6">
      <c r="A1505" s="864">
        <v>41463</v>
      </c>
      <c r="B1505" s="76" t="str">
        <f>TiposLancamentos!B28</f>
        <v>ComicBook</v>
      </c>
      <c r="C1505" s="147" t="s">
        <v>24273</v>
      </c>
      <c r="D1505" s="63"/>
      <c r="E1505" s="231">
        <v>25.9</v>
      </c>
      <c r="F1505" s="927"/>
    </row>
    <row r="1506" spans="1:6">
      <c r="A1506" s="864">
        <v>41463</v>
      </c>
      <c r="B1506" s="76" t="str">
        <f>TiposLancamentos!B57</f>
        <v>Informática</v>
      </c>
      <c r="C1506" s="147" t="s">
        <v>24274</v>
      </c>
      <c r="D1506" s="63"/>
      <c r="E1506" s="231">
        <v>7.99</v>
      </c>
      <c r="F1506" s="927"/>
    </row>
    <row r="1507" spans="1:6">
      <c r="A1507" s="864">
        <v>41465</v>
      </c>
      <c r="B1507" s="76" t="str">
        <f>TiposLancamentos!B4</f>
        <v>Taxas Bancarias</v>
      </c>
      <c r="C1507" s="147" t="s">
        <v>4858</v>
      </c>
      <c r="D1507" s="63"/>
      <c r="E1507" s="231">
        <v>0.51</v>
      </c>
      <c r="F1507" s="927"/>
    </row>
    <row r="1508" spans="1:6">
      <c r="A1508" s="932">
        <v>41464</v>
      </c>
      <c r="B1508" s="908" t="str">
        <f>TiposLancamentos!B64</f>
        <v>Viagens</v>
      </c>
      <c r="C1508" s="909" t="s">
        <v>24275</v>
      </c>
      <c r="D1508" s="910"/>
      <c r="E1508" s="911">
        <v>219.56</v>
      </c>
      <c r="F1508" s="933"/>
    </row>
    <row r="1509" spans="1:6">
      <c r="A1509" s="864">
        <v>41467</v>
      </c>
      <c r="B1509" s="76" t="str">
        <f>TiposLancamentos!B28</f>
        <v>ComicBook</v>
      </c>
      <c r="C1509" s="147" t="s">
        <v>24276</v>
      </c>
      <c r="D1509" s="63"/>
      <c r="E1509" s="231">
        <v>87.9</v>
      </c>
      <c r="F1509" s="927"/>
    </row>
    <row r="1510" spans="1:6">
      <c r="A1510" s="932">
        <v>41472</v>
      </c>
      <c r="B1510" s="908" t="str">
        <f>TiposLancamentos!B5</f>
        <v>Supermercado</v>
      </c>
      <c r="C1510" s="909" t="s">
        <v>24277</v>
      </c>
      <c r="D1510" s="910"/>
      <c r="E1510" s="911">
        <v>89.87</v>
      </c>
      <c r="F1510" s="933"/>
    </row>
    <row r="1511" spans="1:6">
      <c r="A1511" s="932">
        <v>41472</v>
      </c>
      <c r="B1511" s="908" t="str">
        <f>TiposLancamentos!B16</f>
        <v>Cristiane</v>
      </c>
      <c r="C1511" s="909" t="s">
        <v>24278</v>
      </c>
      <c r="D1511" s="910"/>
      <c r="E1511" s="911">
        <v>2.327</v>
      </c>
      <c r="F1511" s="933" t="s">
        <v>10768</v>
      </c>
    </row>
    <row r="1512" spans="1:6">
      <c r="A1512" s="932">
        <v>41474</v>
      </c>
      <c r="B1512" s="908" t="str">
        <f>TiposLancamentos!B16</f>
        <v>Cristiane</v>
      </c>
      <c r="C1512" s="909" t="s">
        <v>24279</v>
      </c>
      <c r="D1512" s="910"/>
      <c r="E1512" s="911">
        <v>205</v>
      </c>
      <c r="F1512" s="933"/>
    </row>
    <row r="1513" spans="1:6">
      <c r="A1513" s="932">
        <v>41478</v>
      </c>
      <c r="B1513" s="908" t="str">
        <f>TiposLancamentos!B4</f>
        <v>Taxas Bancarias</v>
      </c>
      <c r="C1513" s="909" t="s">
        <v>24280</v>
      </c>
      <c r="D1513" s="910"/>
      <c r="E1513" s="911">
        <v>0.28000000000000003</v>
      </c>
      <c r="F1513" s="933"/>
    </row>
    <row r="1514" spans="1:6">
      <c r="A1514" s="864">
        <v>41478</v>
      </c>
      <c r="B1514" s="76" t="str">
        <f>TiposLancamentos!B4</f>
        <v>Taxas Bancarias</v>
      </c>
      <c r="C1514" s="147" t="s">
        <v>24280</v>
      </c>
      <c r="D1514" s="63"/>
      <c r="E1514" s="231">
        <v>0.28000000000000003</v>
      </c>
      <c r="F1514" s="927"/>
    </row>
    <row r="1515" spans="1:6">
      <c r="A1515" s="934"/>
      <c r="B1515" s="226"/>
      <c r="C1515" s="227" t="s">
        <v>10</v>
      </c>
      <c r="D1515" s="228"/>
      <c r="E1515" s="228"/>
      <c r="F1515" s="935"/>
    </row>
    <row r="1516" spans="1:6">
      <c r="A1516" s="864">
        <v>41477</v>
      </c>
      <c r="B1516" s="76" t="str">
        <f>TiposLancamentos!B88</f>
        <v>Ford Ecosport XLT</v>
      </c>
      <c r="C1516" s="147" t="s">
        <v>24281</v>
      </c>
      <c r="D1516" s="63"/>
      <c r="E1516" s="231">
        <v>105.09</v>
      </c>
      <c r="F1516" s="927"/>
    </row>
    <row r="1517" spans="1:6">
      <c r="A1517" s="932">
        <v>41477</v>
      </c>
      <c r="B1517" s="908" t="str">
        <f>TiposLancamentos!B5</f>
        <v>Supermercado</v>
      </c>
      <c r="C1517" s="909" t="s">
        <v>5977</v>
      </c>
      <c r="D1517" s="910"/>
      <c r="E1517" s="911">
        <v>95.22</v>
      </c>
      <c r="F1517" s="933"/>
    </row>
    <row r="1518" spans="1:6">
      <c r="A1518" s="864">
        <v>41478</v>
      </c>
      <c r="B1518" s="76" t="str">
        <f>TiposLancamentos!B22</f>
        <v>Combustivel</v>
      </c>
      <c r="C1518" s="147" t="s">
        <v>24282</v>
      </c>
      <c r="D1518" s="63"/>
      <c r="E1518" s="231">
        <v>119.67</v>
      </c>
      <c r="F1518" s="927"/>
    </row>
    <row r="1519" spans="1:6">
      <c r="A1519" s="932">
        <v>41479</v>
      </c>
      <c r="B1519" s="908" t="str">
        <f>TiposLancamentos!B13</f>
        <v>Moradia</v>
      </c>
      <c r="C1519" s="909" t="s">
        <v>24283</v>
      </c>
      <c r="D1519" s="910"/>
      <c r="E1519" s="911">
        <v>305.7</v>
      </c>
      <c r="F1519" s="933"/>
    </row>
    <row r="1520" spans="1:6">
      <c r="A1520" s="864">
        <v>41479</v>
      </c>
      <c r="B1520" s="76" t="str">
        <f>TiposLancamentos!B13</f>
        <v>Moradia</v>
      </c>
      <c r="C1520" s="147" t="s">
        <v>24284</v>
      </c>
      <c r="D1520" s="63"/>
      <c r="E1520" s="231">
        <v>22.5</v>
      </c>
      <c r="F1520" s="927"/>
    </row>
    <row r="1521" spans="1:6">
      <c r="A1521" s="932">
        <v>41479</v>
      </c>
      <c r="B1521" s="908" t="str">
        <f>TiposLancamentos!B5</f>
        <v>Supermercado</v>
      </c>
      <c r="C1521" s="909" t="s">
        <v>5957</v>
      </c>
      <c r="D1521" s="910"/>
      <c r="E1521" s="911">
        <v>247.72</v>
      </c>
      <c r="F1521" s="933"/>
    </row>
    <row r="1522" spans="1:6">
      <c r="A1522" s="864">
        <v>41480</v>
      </c>
      <c r="B1522" s="76" t="str">
        <f>TiposLancamentos!B3</f>
        <v>Internet</v>
      </c>
      <c r="C1522" s="147" t="s">
        <v>23831</v>
      </c>
      <c r="D1522" s="63"/>
      <c r="E1522" s="231">
        <v>29</v>
      </c>
      <c r="F1522" s="927"/>
    </row>
    <row r="1523" spans="1:6">
      <c r="A1523" s="932">
        <v>41480</v>
      </c>
      <c r="B1523" s="908" t="str">
        <f>TiposLancamentos!B16</f>
        <v>Cristiane</v>
      </c>
      <c r="C1523" s="909" t="s">
        <v>24285</v>
      </c>
      <c r="D1523" s="910"/>
      <c r="E1523" s="911">
        <v>5.1100000000000003</v>
      </c>
      <c r="F1523" s="933" t="s">
        <v>17319</v>
      </c>
    </row>
    <row r="1524" spans="1:6">
      <c r="A1524" s="864">
        <v>41480</v>
      </c>
      <c r="B1524" s="76" t="str">
        <f>TiposLancamentos!B22</f>
        <v>Combustivel</v>
      </c>
      <c r="C1524" s="147" t="s">
        <v>24286</v>
      </c>
      <c r="D1524" s="63"/>
      <c r="E1524" s="231">
        <v>114</v>
      </c>
      <c r="F1524" s="927"/>
    </row>
    <row r="1525" spans="1:6">
      <c r="A1525" s="864">
        <v>41480</v>
      </c>
      <c r="B1525" s="76" t="str">
        <f>TiposLancamentos!B5</f>
        <v>Supermercado</v>
      </c>
      <c r="C1525" s="147" t="s">
        <v>24287</v>
      </c>
      <c r="D1525" s="63"/>
      <c r="E1525" s="231">
        <v>70.650000000000006</v>
      </c>
      <c r="F1525" s="927"/>
    </row>
    <row r="1526" spans="1:6">
      <c r="A1526" s="864">
        <v>41480</v>
      </c>
      <c r="B1526" s="76" t="str">
        <f>TiposLancamentos!B57</f>
        <v>Informática</v>
      </c>
      <c r="C1526" s="147" t="s">
        <v>24288</v>
      </c>
      <c r="D1526" s="63"/>
      <c r="E1526" s="231">
        <v>6.99</v>
      </c>
      <c r="F1526" s="927"/>
    </row>
    <row r="1527" spans="1:6">
      <c r="A1527" s="864">
        <v>41481</v>
      </c>
      <c r="B1527" s="76" t="str">
        <f>TiposLancamentos!B28</f>
        <v>ComicBook</v>
      </c>
      <c r="C1527" s="147" t="s">
        <v>24289</v>
      </c>
      <c r="D1527" s="63"/>
      <c r="E1527" s="231">
        <v>25.1</v>
      </c>
      <c r="F1527" s="927"/>
    </row>
    <row r="1528" spans="1:6">
      <c r="A1528" s="864">
        <v>41481</v>
      </c>
      <c r="B1528" s="76" t="str">
        <f>TiposLancamentos!B4</f>
        <v>Taxas Bancarias</v>
      </c>
      <c r="C1528" s="147" t="s">
        <v>24290</v>
      </c>
      <c r="D1528" s="63"/>
      <c r="E1528" s="231">
        <v>0.45</v>
      </c>
      <c r="F1528" s="927"/>
    </row>
    <row r="1529" spans="1:6">
      <c r="A1529" s="864">
        <v>41481</v>
      </c>
      <c r="B1529" s="76" t="str">
        <f>TiposLancamentos!B4</f>
        <v>Taxas Bancarias</v>
      </c>
      <c r="C1529" s="147" t="s">
        <v>24290</v>
      </c>
      <c r="D1529" s="63"/>
      <c r="E1529" s="231">
        <v>0.45</v>
      </c>
      <c r="F1529" s="927"/>
    </row>
    <row r="1530" spans="1:6">
      <c r="A1530" s="864">
        <v>41481</v>
      </c>
      <c r="B1530" s="76" t="str">
        <f>TiposLancamentos!B81</f>
        <v>Ferramentas gerais</v>
      </c>
      <c r="C1530" s="147" t="s">
        <v>24291</v>
      </c>
      <c r="D1530" s="63"/>
      <c r="E1530" s="231">
        <v>67.599999999999994</v>
      </c>
      <c r="F1530" s="927"/>
    </row>
    <row r="1531" spans="1:6">
      <c r="A1531" s="864">
        <v>41482</v>
      </c>
      <c r="B1531" s="76" t="str">
        <f>TiposLancamentos!B5</f>
        <v>Supermercado</v>
      </c>
      <c r="C1531" s="147" t="s">
        <v>24260</v>
      </c>
      <c r="D1531" s="63"/>
      <c r="E1531" s="231">
        <v>51.38</v>
      </c>
      <c r="F1531" s="927"/>
    </row>
    <row r="1532" spans="1:6">
      <c r="A1532" s="864">
        <v>41482</v>
      </c>
      <c r="B1532" s="76" t="str">
        <f>TiposLancamentos!B13</f>
        <v>Moradia</v>
      </c>
      <c r="C1532" s="147" t="s">
        <v>24292</v>
      </c>
      <c r="D1532" s="63"/>
      <c r="E1532" s="231">
        <v>11.7</v>
      </c>
      <c r="F1532" s="927"/>
    </row>
    <row r="1533" spans="1:6">
      <c r="A1533" s="864">
        <v>41482</v>
      </c>
      <c r="B1533" s="76" t="str">
        <f>TiposLancamentos!B56</f>
        <v>Farmácia</v>
      </c>
      <c r="C1533" s="147" t="s">
        <v>24293</v>
      </c>
      <c r="D1533" s="63"/>
      <c r="E1533" s="231">
        <v>168.39</v>
      </c>
      <c r="F1533" s="927"/>
    </row>
    <row r="1534" spans="1:6">
      <c r="A1534" s="864">
        <v>41482</v>
      </c>
      <c r="B1534" s="76" t="str">
        <f>TiposLancamentos!B19</f>
        <v>Restaurantes</v>
      </c>
      <c r="C1534" s="147" t="s">
        <v>6137</v>
      </c>
      <c r="D1534" s="63"/>
      <c r="E1534" s="231">
        <v>93.5</v>
      </c>
      <c r="F1534" s="927"/>
    </row>
    <row r="1535" spans="1:6">
      <c r="A1535" s="864">
        <v>41484</v>
      </c>
      <c r="B1535" s="76" t="str">
        <f>TiposLancamentos!B88</f>
        <v>Ford Ecosport XLT</v>
      </c>
      <c r="C1535" s="147" t="s">
        <v>24294</v>
      </c>
      <c r="D1535" s="63"/>
      <c r="E1535" s="231">
        <v>59.11</v>
      </c>
      <c r="F1535" s="927"/>
    </row>
    <row r="1536" spans="1:6" ht="14.25" thickBot="1">
      <c r="A1536" s="864">
        <v>41485</v>
      </c>
      <c r="B1536" s="76" t="str">
        <f>TiposLancamentos!B88</f>
        <v>Ford Ecosport XLT</v>
      </c>
      <c r="C1536" s="147" t="s">
        <v>24295</v>
      </c>
      <c r="D1536" s="63"/>
      <c r="E1536" s="231">
        <v>64.989999999999995</v>
      </c>
      <c r="F1536" s="927"/>
    </row>
    <row r="1537" spans="1:6">
      <c r="A1537" s="893"/>
      <c r="B1537" s="894"/>
      <c r="C1537" s="906" t="s">
        <v>23076</v>
      </c>
      <c r="D1537" s="896"/>
      <c r="E1537" s="925"/>
      <c r="F1537" s="926">
        <f>SUM(E1487:E1514)</f>
        <v>2223.0340000000006</v>
      </c>
    </row>
    <row r="1538" spans="1:6">
      <c r="A1538" s="864">
        <v>41487</v>
      </c>
      <c r="B1538" s="76" t="str">
        <f>TiposLancamentos!B15</f>
        <v>Cartões de Crédito</v>
      </c>
      <c r="C1538" s="878" t="s">
        <v>1874</v>
      </c>
      <c r="D1538" s="63">
        <v>2223.0300000000002</v>
      </c>
      <c r="E1538" s="231"/>
      <c r="F1538" s="927">
        <f>F1537-F1498</f>
        <v>-1272.6959999999999</v>
      </c>
    </row>
    <row r="1539" spans="1:6">
      <c r="A1539" s="864">
        <v>41487</v>
      </c>
      <c r="B1539" s="76" t="str">
        <f>TiposLancamentos!B4</f>
        <v>Taxas Bancarias</v>
      </c>
      <c r="C1539" s="878" t="s">
        <v>19651</v>
      </c>
      <c r="D1539" s="63"/>
      <c r="E1539" s="231">
        <v>0.22</v>
      </c>
      <c r="F1539" s="927"/>
    </row>
    <row r="1540" spans="1:6">
      <c r="A1540" s="932">
        <v>41488</v>
      </c>
      <c r="B1540" s="908" t="str">
        <f>TiposLancamentos!B16</f>
        <v>Cristiane</v>
      </c>
      <c r="C1540" s="909" t="s">
        <v>24296</v>
      </c>
      <c r="D1540" s="910"/>
      <c r="E1540" s="911">
        <v>129.99</v>
      </c>
      <c r="F1540" s="933"/>
    </row>
    <row r="1541" spans="1:6">
      <c r="A1541" s="864">
        <v>41493</v>
      </c>
      <c r="B1541" s="76" t="str">
        <f>TiposLancamentos!B57</f>
        <v>Informática</v>
      </c>
      <c r="C1541" s="147" t="s">
        <v>24297</v>
      </c>
      <c r="D1541" s="63"/>
      <c r="E1541" s="231">
        <v>417.07</v>
      </c>
      <c r="F1541" s="927"/>
    </row>
    <row r="1542" spans="1:6">
      <c r="A1542" s="932">
        <v>41495</v>
      </c>
      <c r="B1542" s="908" t="str">
        <f>TiposLancamentos!B64</f>
        <v>Viagens</v>
      </c>
      <c r="C1542" s="909" t="s">
        <v>24298</v>
      </c>
      <c r="D1542" s="910"/>
      <c r="E1542" s="911">
        <v>219.57</v>
      </c>
      <c r="F1542" s="933"/>
    </row>
    <row r="1543" spans="1:6">
      <c r="A1543" s="932">
        <v>41499</v>
      </c>
      <c r="B1543" s="908" t="str">
        <f>TiposLancamentos!B16</f>
        <v>Cristiane</v>
      </c>
      <c r="C1543" s="909" t="s">
        <v>24299</v>
      </c>
      <c r="D1543" s="910"/>
      <c r="E1543" s="911">
        <v>113.72</v>
      </c>
      <c r="F1543" s="933"/>
    </row>
    <row r="1544" spans="1:6">
      <c r="A1544" s="932">
        <v>41499</v>
      </c>
      <c r="B1544" s="908" t="str">
        <f>TiposLancamentos!B5</f>
        <v>Supermercado</v>
      </c>
      <c r="C1544" s="909" t="s">
        <v>5957</v>
      </c>
      <c r="D1544" s="910"/>
      <c r="E1544" s="911">
        <v>48.54</v>
      </c>
      <c r="F1544" s="933"/>
    </row>
    <row r="1545" spans="1:6">
      <c r="A1545" s="864">
        <v>41500</v>
      </c>
      <c r="B1545" s="76" t="str">
        <f>TiposLancamentos!B100</f>
        <v>Emprestimos</v>
      </c>
      <c r="C1545" s="147" t="s">
        <v>24300</v>
      </c>
      <c r="D1545" s="63"/>
      <c r="E1545" s="231">
        <v>799</v>
      </c>
      <c r="F1545" s="927"/>
    </row>
    <row r="1546" spans="1:6">
      <c r="A1546" s="864">
        <v>41503</v>
      </c>
      <c r="B1546" s="76" t="str">
        <f>TiposLancamentos!B19</f>
        <v>Restaurantes</v>
      </c>
      <c r="C1546" s="147" t="s">
        <v>24301</v>
      </c>
      <c r="D1546" s="63"/>
      <c r="E1546" s="231">
        <v>124.08</v>
      </c>
      <c r="F1546" s="927"/>
    </row>
    <row r="1547" spans="1:6">
      <c r="A1547" s="864">
        <v>41503</v>
      </c>
      <c r="B1547" s="76" t="str">
        <f>TiposLancamentos!B16</f>
        <v>Cristiane</v>
      </c>
      <c r="C1547" s="147" t="s">
        <v>24302</v>
      </c>
      <c r="D1547" s="63"/>
      <c r="E1547" s="231">
        <v>204.3</v>
      </c>
      <c r="F1547" s="927"/>
    </row>
    <row r="1548" spans="1:6">
      <c r="A1548" s="864">
        <v>41503</v>
      </c>
      <c r="B1548" s="76" t="str">
        <f>TiposLancamentos!B56</f>
        <v>Farmácia</v>
      </c>
      <c r="C1548" s="147" t="s">
        <v>24303</v>
      </c>
      <c r="D1548" s="63"/>
      <c r="E1548" s="231">
        <v>297.60000000000002</v>
      </c>
      <c r="F1548" s="927"/>
    </row>
    <row r="1549" spans="1:6">
      <c r="A1549" s="864">
        <v>41504</v>
      </c>
      <c r="B1549" s="76" t="str">
        <f>TiposLancamentos!B19</f>
        <v>Restaurantes</v>
      </c>
      <c r="C1549" s="147" t="s">
        <v>24304</v>
      </c>
      <c r="D1549" s="63"/>
      <c r="E1549" s="231">
        <v>119.91</v>
      </c>
      <c r="F1549" s="927"/>
    </row>
    <row r="1550" spans="1:6">
      <c r="A1550" s="864">
        <v>41504</v>
      </c>
      <c r="B1550" s="76" t="str">
        <f>TiposLancamentos!B56</f>
        <v>Farmácia</v>
      </c>
      <c r="C1550" s="147" t="s">
        <v>24305</v>
      </c>
      <c r="D1550" s="63"/>
      <c r="E1550" s="231">
        <v>85.23</v>
      </c>
      <c r="F1550" s="927"/>
    </row>
    <row r="1551" spans="1:6">
      <c r="A1551" s="864">
        <v>41505</v>
      </c>
      <c r="B1551" s="76" t="str">
        <f>TiposLancamentos!B5</f>
        <v>Supermercado</v>
      </c>
      <c r="C1551" s="147" t="s">
        <v>24306</v>
      </c>
      <c r="D1551" s="63"/>
      <c r="E1551" s="231">
        <v>62.69</v>
      </c>
      <c r="F1551" s="927"/>
    </row>
    <row r="1552" spans="1:6">
      <c r="A1552" s="932">
        <v>41507</v>
      </c>
      <c r="B1552" s="908" t="str">
        <f>TiposLancamentos!B5</f>
        <v>Supermercado</v>
      </c>
      <c r="C1552" s="909" t="s">
        <v>5957</v>
      </c>
      <c r="D1552" s="910"/>
      <c r="E1552" s="911">
        <v>96.43</v>
      </c>
      <c r="F1552" s="933"/>
    </row>
    <row r="1553" spans="1:6">
      <c r="A1553" s="932">
        <v>41509</v>
      </c>
      <c r="B1553" s="908" t="str">
        <f>TiposLancamentos!B4</f>
        <v>Taxas Bancarias</v>
      </c>
      <c r="C1553" s="909" t="s">
        <v>4858</v>
      </c>
      <c r="D1553" s="910"/>
      <c r="E1553" s="911">
        <v>0.28000000000000003</v>
      </c>
      <c r="F1553" s="933"/>
    </row>
    <row r="1554" spans="1:6">
      <c r="A1554" s="934"/>
      <c r="B1554" s="226"/>
      <c r="C1554" s="227" t="s">
        <v>10</v>
      </c>
      <c r="D1554" s="228"/>
      <c r="E1554" s="228"/>
      <c r="F1554" s="935"/>
    </row>
    <row r="1555" spans="1:6">
      <c r="A1555" s="864">
        <v>41508</v>
      </c>
      <c r="B1555" s="76" t="str">
        <f>TiposLancamentos!B28</f>
        <v>ComicBook</v>
      </c>
      <c r="C1555" s="147" t="s">
        <v>24307</v>
      </c>
      <c r="D1555" s="63"/>
      <c r="E1555" s="231">
        <v>87.9</v>
      </c>
      <c r="F1555" s="927"/>
    </row>
    <row r="1556" spans="1:6">
      <c r="A1556" s="864">
        <v>41508</v>
      </c>
      <c r="B1556" s="76" t="str">
        <f>TiposLancamentos!B30</f>
        <v>Cinema</v>
      </c>
      <c r="C1556" s="147" t="s">
        <v>24308</v>
      </c>
      <c r="D1556" s="63"/>
      <c r="E1556" s="231">
        <v>34.32</v>
      </c>
      <c r="F1556" s="927"/>
    </row>
    <row r="1557" spans="1:6">
      <c r="A1557" s="932">
        <v>41508</v>
      </c>
      <c r="B1557" s="908" t="str">
        <f>TiposLancamentos!B16</f>
        <v>Cristiane</v>
      </c>
      <c r="C1557" s="909" t="s">
        <v>24309</v>
      </c>
      <c r="D1557" s="910"/>
      <c r="E1557" s="911">
        <v>76.489999999999995</v>
      </c>
      <c r="F1557" s="933"/>
    </row>
    <row r="1558" spans="1:6">
      <c r="A1558" s="932">
        <v>41508</v>
      </c>
      <c r="B1558" s="908" t="str">
        <f>TiposLancamentos!B16</f>
        <v>Cristiane</v>
      </c>
      <c r="C1558" s="909" t="s">
        <v>24310</v>
      </c>
      <c r="D1558" s="910"/>
      <c r="E1558" s="911">
        <v>139.19</v>
      </c>
      <c r="F1558" s="933"/>
    </row>
    <row r="1559" spans="1:6">
      <c r="A1559" s="864">
        <v>41508</v>
      </c>
      <c r="B1559" s="76" t="str">
        <f>TiposLancamentos!B37</f>
        <v>Playstation 3</v>
      </c>
      <c r="C1559" s="147" t="s">
        <v>24311</v>
      </c>
      <c r="D1559" s="63"/>
      <c r="E1559" s="231">
        <v>134</v>
      </c>
      <c r="F1559" s="927"/>
    </row>
    <row r="1560" spans="1:6">
      <c r="A1560" s="864">
        <v>41508</v>
      </c>
      <c r="B1560" s="76" t="str">
        <f>TiposLancamentos!B74</f>
        <v>Noite</v>
      </c>
      <c r="C1560" s="147" t="s">
        <v>24312</v>
      </c>
      <c r="D1560" s="63"/>
      <c r="E1560" s="231">
        <v>29.5</v>
      </c>
      <c r="F1560" s="927"/>
    </row>
    <row r="1561" spans="1:6">
      <c r="A1561" s="932">
        <v>41509</v>
      </c>
      <c r="B1561" s="908" t="str">
        <f>TiposLancamentos!B16</f>
        <v>Cristiane</v>
      </c>
      <c r="C1561" s="909" t="s">
        <v>24313</v>
      </c>
      <c r="D1561" s="910"/>
      <c r="E1561" s="911">
        <v>40</v>
      </c>
      <c r="F1561" s="933"/>
    </row>
    <row r="1562" spans="1:6">
      <c r="A1562" s="932">
        <v>41509</v>
      </c>
      <c r="B1562" s="908" t="str">
        <f>TiposLancamentos!B5</f>
        <v>Supermercado</v>
      </c>
      <c r="C1562" s="909" t="s">
        <v>5957</v>
      </c>
      <c r="D1562" s="910"/>
      <c r="E1562" s="911">
        <v>97.41</v>
      </c>
      <c r="F1562" s="933"/>
    </row>
    <row r="1563" spans="1:6">
      <c r="A1563" s="932">
        <v>41509</v>
      </c>
      <c r="B1563" s="908" t="str">
        <f>TiposLancamentos!B16</f>
        <v>Cristiane</v>
      </c>
      <c r="C1563" s="909" t="s">
        <v>24314</v>
      </c>
      <c r="D1563" s="910"/>
      <c r="E1563" s="911">
        <v>79.900000000000006</v>
      </c>
      <c r="F1563" s="933"/>
    </row>
    <row r="1564" spans="1:6">
      <c r="A1564" s="864">
        <v>41510</v>
      </c>
      <c r="B1564" s="76" t="str">
        <f>TiposLancamentos!B72</f>
        <v>Presentes</v>
      </c>
      <c r="C1564" s="147" t="s">
        <v>24315</v>
      </c>
      <c r="D1564" s="63"/>
      <c r="E1564" s="231">
        <v>279</v>
      </c>
      <c r="F1564" s="927"/>
    </row>
    <row r="1565" spans="1:6">
      <c r="A1565" s="864">
        <v>41510</v>
      </c>
      <c r="B1565" s="76" t="str">
        <f>TiposLancamentos!B16</f>
        <v>Cristiane</v>
      </c>
      <c r="C1565" s="147" t="s">
        <v>24316</v>
      </c>
      <c r="D1565" s="63"/>
      <c r="E1565" s="231">
        <v>45.37</v>
      </c>
      <c r="F1565" s="927"/>
    </row>
    <row r="1566" spans="1:6">
      <c r="A1566" s="864">
        <v>41510</v>
      </c>
      <c r="B1566" s="76" t="str">
        <f>TiposLancamentos!B19</f>
        <v>Restaurantes</v>
      </c>
      <c r="C1566" s="147" t="s">
        <v>3618</v>
      </c>
      <c r="D1566" s="63"/>
      <c r="E1566" s="231">
        <v>30.36</v>
      </c>
      <c r="F1566" s="927"/>
    </row>
    <row r="1567" spans="1:6">
      <c r="A1567" s="864">
        <v>41510</v>
      </c>
      <c r="B1567" s="76" t="str">
        <f>TiposLancamentos!B72</f>
        <v>Presentes</v>
      </c>
      <c r="C1567" s="147" t="s">
        <v>24317</v>
      </c>
      <c r="D1567" s="63"/>
      <c r="E1567" s="231">
        <v>179</v>
      </c>
      <c r="F1567" s="927"/>
    </row>
    <row r="1568" spans="1:6">
      <c r="A1568" s="864">
        <v>41510</v>
      </c>
      <c r="B1568" s="76" t="str">
        <f>TiposLancamentos!B19</f>
        <v>Restaurantes</v>
      </c>
      <c r="C1568" s="147" t="s">
        <v>24318</v>
      </c>
      <c r="D1568" s="63"/>
      <c r="E1568" s="231">
        <v>154.88</v>
      </c>
      <c r="F1568" s="927"/>
    </row>
    <row r="1569" spans="1:6">
      <c r="A1569" s="864">
        <v>41511</v>
      </c>
      <c r="B1569" s="76" t="str">
        <f>TiposLancamentos!B16</f>
        <v>Cristiane</v>
      </c>
      <c r="C1569" s="147" t="s">
        <v>24319</v>
      </c>
      <c r="D1569" s="63"/>
      <c r="E1569" s="231">
        <v>29</v>
      </c>
      <c r="F1569" s="927"/>
    </row>
    <row r="1570" spans="1:6">
      <c r="A1570" s="864">
        <v>41511</v>
      </c>
      <c r="B1570" s="76" t="str">
        <f>TiposLancamentos!B5</f>
        <v>Supermercado</v>
      </c>
      <c r="C1570" s="147" t="s">
        <v>24320</v>
      </c>
      <c r="D1570" s="63"/>
      <c r="E1570" s="231">
        <v>14.68</v>
      </c>
      <c r="F1570" s="927"/>
    </row>
    <row r="1571" spans="1:6">
      <c r="A1571" s="932">
        <v>41512</v>
      </c>
      <c r="B1571" s="908" t="str">
        <f>TiposLancamentos!B5</f>
        <v>Supermercado</v>
      </c>
      <c r="C1571" s="909" t="s">
        <v>5977</v>
      </c>
      <c r="D1571" s="910"/>
      <c r="E1571" s="911">
        <v>152.77000000000001</v>
      </c>
      <c r="F1571" s="933"/>
    </row>
    <row r="1572" spans="1:6">
      <c r="A1572" s="864">
        <v>41513</v>
      </c>
      <c r="B1572" s="76" t="str">
        <f>TiposLancamentos!B88</f>
        <v>Ford Ecosport XLT</v>
      </c>
      <c r="C1572" s="147" t="s">
        <v>24321</v>
      </c>
      <c r="D1572" s="63"/>
      <c r="E1572" s="231">
        <v>49.85</v>
      </c>
      <c r="F1572" s="927"/>
    </row>
    <row r="1573" spans="1:6">
      <c r="A1573" s="864">
        <v>41514</v>
      </c>
      <c r="B1573" s="76" t="str">
        <f>TiposLancamentos!B65</f>
        <v>Taxi</v>
      </c>
      <c r="C1573" s="147" t="s">
        <v>24322</v>
      </c>
      <c r="D1573" s="63"/>
      <c r="E1573" s="231">
        <v>21.75</v>
      </c>
      <c r="F1573" s="927"/>
    </row>
    <row r="1574" spans="1:6">
      <c r="A1574" s="932">
        <v>41514</v>
      </c>
      <c r="B1574" s="908" t="str">
        <f>TiposLancamentos!B5</f>
        <v>Supermercado</v>
      </c>
      <c r="C1574" s="909" t="s">
        <v>5977</v>
      </c>
      <c r="D1574" s="910"/>
      <c r="E1574" s="911">
        <v>86.32</v>
      </c>
      <c r="F1574" s="933"/>
    </row>
    <row r="1575" spans="1:6">
      <c r="A1575" s="864">
        <v>41516</v>
      </c>
      <c r="B1575" s="76" t="str">
        <f>TiposLancamentos!B29</f>
        <v>Mangá</v>
      </c>
      <c r="C1575" s="147" t="s">
        <v>24323</v>
      </c>
      <c r="D1575" s="63"/>
      <c r="E1575" s="231">
        <v>34.42</v>
      </c>
      <c r="F1575" s="927"/>
    </row>
    <row r="1576" spans="1:6" ht="14.25" thickBot="1">
      <c r="A1576" s="932">
        <v>41516</v>
      </c>
      <c r="B1576" s="908" t="str">
        <f>TiposLancamentos!B16</f>
        <v>Cristiane</v>
      </c>
      <c r="C1576" s="909" t="s">
        <v>24285</v>
      </c>
      <c r="D1576" s="910"/>
      <c r="E1576" s="911">
        <v>4.62</v>
      </c>
      <c r="F1576" s="933" t="s">
        <v>17319</v>
      </c>
    </row>
    <row r="1577" spans="1:6">
      <c r="A1577" s="893"/>
      <c r="B1577" s="894"/>
      <c r="C1577" s="906" t="s">
        <v>19985</v>
      </c>
      <c r="D1577" s="896"/>
      <c r="E1577" s="925"/>
      <c r="F1577" s="926">
        <f>SUM(E1516:E1553)</f>
        <v>4382.95</v>
      </c>
    </row>
    <row r="1578" spans="1:6">
      <c r="A1578" s="932">
        <v>41519</v>
      </c>
      <c r="B1578" s="908" t="str">
        <f>TiposLancamentos!B16</f>
        <v>Cristiane</v>
      </c>
      <c r="C1578" s="909" t="s">
        <v>24324</v>
      </c>
      <c r="D1578" s="910"/>
      <c r="E1578" s="911">
        <v>129.97999999999999</v>
      </c>
      <c r="F1578" s="933">
        <f>F1577-F1537</f>
        <v>2159.9159999999993</v>
      </c>
    </row>
    <row r="1579" spans="1:6">
      <c r="A1579" s="864">
        <v>41519</v>
      </c>
      <c r="B1579" s="76" t="str">
        <f>TiposLancamentos!B15</f>
        <v>Cartões de Crédito</v>
      </c>
      <c r="C1579" s="147" t="s">
        <v>14142</v>
      </c>
      <c r="D1579" s="63">
        <v>4382.95</v>
      </c>
      <c r="E1579" s="231"/>
      <c r="F1579" s="927"/>
    </row>
    <row r="1580" spans="1:6">
      <c r="A1580" s="864">
        <v>41519</v>
      </c>
      <c r="B1580" s="76" t="str">
        <f>TiposLancamentos!B98</f>
        <v>Restituições</v>
      </c>
      <c r="C1580" s="147" t="s">
        <v>24325</v>
      </c>
      <c r="D1580" s="63">
        <v>0.15</v>
      </c>
      <c r="E1580" s="231">
        <v>0</v>
      </c>
      <c r="F1580" s="927"/>
    </row>
    <row r="1581" spans="1:6">
      <c r="A1581" s="932">
        <v>41520</v>
      </c>
      <c r="B1581" s="908" t="str">
        <f>TiposLancamentos!B5</f>
        <v>Supermercado</v>
      </c>
      <c r="C1581" s="909" t="s">
        <v>5977</v>
      </c>
      <c r="D1581" s="910"/>
      <c r="E1581" s="911">
        <v>17.43</v>
      </c>
      <c r="F1581" s="933"/>
    </row>
    <row r="1582" spans="1:6">
      <c r="A1582" s="932">
        <v>41521</v>
      </c>
      <c r="B1582" s="908" t="str">
        <f>TiposLancamentos!B13</f>
        <v>Moradia</v>
      </c>
      <c r="C1582" s="909" t="s">
        <v>24326</v>
      </c>
      <c r="D1582" s="910"/>
      <c r="E1582" s="911">
        <v>50</v>
      </c>
      <c r="F1582" s="933"/>
    </row>
    <row r="1583" spans="1:6">
      <c r="A1583" s="932">
        <v>41521</v>
      </c>
      <c r="B1583" s="908" t="str">
        <f>TiposLancamentos!B13</f>
        <v>Moradia</v>
      </c>
      <c r="C1583" s="909" t="s">
        <v>24327</v>
      </c>
      <c r="D1583" s="910"/>
      <c r="E1583" s="911">
        <v>26.55</v>
      </c>
      <c r="F1583" s="933"/>
    </row>
    <row r="1584" spans="1:6">
      <c r="A1584" s="932">
        <v>41523</v>
      </c>
      <c r="B1584" s="908" t="str">
        <f>TiposLancamentos!B77</f>
        <v>Esporádico</v>
      </c>
      <c r="C1584" s="909" t="s">
        <v>24328</v>
      </c>
      <c r="D1584" s="910"/>
      <c r="E1584" s="911">
        <v>46.9</v>
      </c>
      <c r="F1584" s="933"/>
    </row>
    <row r="1585" spans="1:6">
      <c r="A1585" s="932">
        <v>41523</v>
      </c>
      <c r="B1585" s="908" t="str">
        <f>TiposLancamentos!B77</f>
        <v>Esporádico</v>
      </c>
      <c r="C1585" s="909" t="s">
        <v>24329</v>
      </c>
      <c r="D1585" s="910"/>
      <c r="E1585" s="911">
        <v>47.59</v>
      </c>
      <c r="F1585" s="933"/>
    </row>
    <row r="1586" spans="1:6">
      <c r="A1586" s="806">
        <v>41523</v>
      </c>
      <c r="B1586" s="822" t="str">
        <f>TiposLancamentos!B72</f>
        <v>Presentes</v>
      </c>
      <c r="C1586" s="808" t="s">
        <v>24330</v>
      </c>
      <c r="D1586" s="747"/>
      <c r="E1586" s="874">
        <v>101</v>
      </c>
      <c r="F1586" s="936"/>
    </row>
    <row r="1587" spans="1:6">
      <c r="A1587" s="810">
        <v>41523</v>
      </c>
      <c r="B1587" s="823" t="str">
        <f>TiposLancamentos!B16</f>
        <v>Cristiane</v>
      </c>
      <c r="C1587" s="812" t="s">
        <v>24331</v>
      </c>
      <c r="D1587" s="849"/>
      <c r="E1587" s="875">
        <f>F1587-E1586</f>
        <v>41</v>
      </c>
      <c r="F1587" s="937">
        <v>142</v>
      </c>
    </row>
    <row r="1588" spans="1:6">
      <c r="A1588" s="864">
        <v>41523</v>
      </c>
      <c r="B1588" s="76" t="str">
        <f>TiposLancamentos!B57</f>
        <v>Informática</v>
      </c>
      <c r="C1588" s="147" t="s">
        <v>24332</v>
      </c>
      <c r="D1588" s="63"/>
      <c r="E1588" s="231">
        <v>17.989999999999998</v>
      </c>
      <c r="F1588" s="927"/>
    </row>
    <row r="1589" spans="1:6">
      <c r="A1589" s="864">
        <v>41523</v>
      </c>
      <c r="B1589" s="76" t="str">
        <f>TiposLancamentos!B88</f>
        <v>Ford Ecosport XLT</v>
      </c>
      <c r="C1589" s="147" t="s">
        <v>24333</v>
      </c>
      <c r="D1589" s="63"/>
      <c r="E1589" s="231">
        <v>15</v>
      </c>
      <c r="F1589" s="927"/>
    </row>
    <row r="1590" spans="1:6">
      <c r="A1590" s="932">
        <v>41523</v>
      </c>
      <c r="B1590" s="908" t="str">
        <f>TiposLancamentos!B5</f>
        <v>Supermercado</v>
      </c>
      <c r="C1590" s="909" t="s">
        <v>5957</v>
      </c>
      <c r="D1590" s="910"/>
      <c r="E1590" s="911">
        <v>47.35</v>
      </c>
      <c r="F1590" s="933"/>
    </row>
    <row r="1591" spans="1:6">
      <c r="A1591" s="864">
        <v>41523</v>
      </c>
      <c r="B1591" s="76" t="str">
        <f>TiposLancamentos!B22</f>
        <v>Combustivel</v>
      </c>
      <c r="C1591" s="147" t="s">
        <v>24334</v>
      </c>
      <c r="D1591" s="63"/>
      <c r="E1591" s="231">
        <v>98.97</v>
      </c>
      <c r="F1591" s="927"/>
    </row>
    <row r="1592" spans="1:6">
      <c r="A1592" s="864">
        <v>41524</v>
      </c>
      <c r="B1592" s="76" t="str">
        <f>TiposLancamentos!B57</f>
        <v>Informática</v>
      </c>
      <c r="C1592" s="147" t="s">
        <v>24335</v>
      </c>
      <c r="D1592" s="63"/>
      <c r="E1592" s="231">
        <v>417.07</v>
      </c>
      <c r="F1592" s="927"/>
    </row>
    <row r="1593" spans="1:6">
      <c r="A1593" s="932">
        <v>41524</v>
      </c>
      <c r="B1593" s="908" t="str">
        <f>TiposLancamentos!B64</f>
        <v>Viagens</v>
      </c>
      <c r="C1593" s="909" t="s">
        <v>24336</v>
      </c>
      <c r="D1593" s="910"/>
      <c r="E1593" s="911">
        <v>219.56</v>
      </c>
      <c r="F1593" s="933"/>
    </row>
    <row r="1594" spans="1:6">
      <c r="A1594" s="864">
        <v>41525</v>
      </c>
      <c r="B1594" s="76" t="str">
        <f>TiposLancamentos!B22</f>
        <v>Combustivel</v>
      </c>
      <c r="C1594" s="147" t="s">
        <v>6398</v>
      </c>
      <c r="D1594" s="63"/>
      <c r="E1594" s="231">
        <v>95</v>
      </c>
      <c r="F1594" s="927"/>
    </row>
    <row r="1595" spans="1:6">
      <c r="A1595" s="864">
        <v>41525</v>
      </c>
      <c r="B1595" s="76" t="str">
        <f>TiposLancamentos!B19</f>
        <v>Restaurantes</v>
      </c>
      <c r="C1595" s="147" t="s">
        <v>24337</v>
      </c>
      <c r="D1595" s="63"/>
      <c r="E1595" s="231">
        <v>31</v>
      </c>
      <c r="F1595" s="927"/>
    </row>
    <row r="1596" spans="1:6">
      <c r="A1596" s="864">
        <v>41526</v>
      </c>
      <c r="B1596" s="76" t="str">
        <f>TiposLancamentos!B22</f>
        <v>Combustivel</v>
      </c>
      <c r="C1596" s="147" t="s">
        <v>6412</v>
      </c>
      <c r="D1596" s="63"/>
      <c r="E1596" s="231">
        <v>20</v>
      </c>
      <c r="F1596" s="927"/>
    </row>
    <row r="1597" spans="1:6">
      <c r="A1597" s="864">
        <v>41526</v>
      </c>
      <c r="B1597" s="76" t="str">
        <f>TiposLancamentos!B65</f>
        <v>Taxi</v>
      </c>
      <c r="C1597" s="147" t="s">
        <v>24338</v>
      </c>
      <c r="D1597" s="63"/>
      <c r="E1597" s="231">
        <v>20</v>
      </c>
      <c r="F1597" s="927"/>
    </row>
    <row r="1598" spans="1:6">
      <c r="A1598" s="864">
        <v>41526</v>
      </c>
      <c r="B1598" s="76" t="str">
        <f>TiposLancamentos!B22</f>
        <v>Combustivel</v>
      </c>
      <c r="C1598" s="147" t="s">
        <v>24339</v>
      </c>
      <c r="D1598" s="63"/>
      <c r="E1598" s="231">
        <v>20</v>
      </c>
      <c r="F1598" s="927"/>
    </row>
    <row r="1599" spans="1:6">
      <c r="A1599" s="864">
        <v>41526</v>
      </c>
      <c r="B1599" s="76" t="str">
        <f>TiposLancamentos!B88</f>
        <v>Ford Ecosport XLT</v>
      </c>
      <c r="C1599" s="147" t="s">
        <v>24340</v>
      </c>
      <c r="D1599" s="63"/>
      <c r="E1599" s="231">
        <v>28.4</v>
      </c>
      <c r="F1599" s="927"/>
    </row>
    <row r="1600" spans="1:6">
      <c r="A1600" s="932">
        <v>41527</v>
      </c>
      <c r="B1600" s="908" t="str">
        <f>TiposLancamentos!B5</f>
        <v>Supermercado</v>
      </c>
      <c r="C1600" s="909" t="s">
        <v>5977</v>
      </c>
      <c r="D1600" s="910"/>
      <c r="E1600" s="911">
        <v>164.43</v>
      </c>
      <c r="F1600" s="933"/>
    </row>
    <row r="1601" spans="1:6">
      <c r="A1601" s="864">
        <v>41527</v>
      </c>
      <c r="B1601" s="76" t="str">
        <f>TiposLancamentos!B25</f>
        <v>CD_DVD_BD</v>
      </c>
      <c r="C1601" s="147" t="s">
        <v>24341</v>
      </c>
      <c r="D1601" s="63"/>
      <c r="E1601" s="231">
        <v>114.8</v>
      </c>
      <c r="F1601" s="927"/>
    </row>
    <row r="1602" spans="1:6">
      <c r="A1602" s="864">
        <v>41529</v>
      </c>
      <c r="B1602" s="76" t="str">
        <f>TiposLancamentos!B37</f>
        <v>Playstation 3</v>
      </c>
      <c r="C1602" s="147" t="s">
        <v>24342</v>
      </c>
      <c r="D1602" s="63"/>
      <c r="E1602" s="231">
        <v>99.9</v>
      </c>
      <c r="F1602" s="927"/>
    </row>
    <row r="1603" spans="1:6">
      <c r="A1603" s="864">
        <v>41530</v>
      </c>
      <c r="B1603" s="76" t="str">
        <f>TiposLancamentos!B16</f>
        <v>Cristiane</v>
      </c>
      <c r="C1603" s="147" t="s">
        <v>24343</v>
      </c>
      <c r="D1603" s="63"/>
      <c r="E1603" s="231">
        <v>32</v>
      </c>
      <c r="F1603" s="927"/>
    </row>
    <row r="1604" spans="1:6">
      <c r="A1604" s="864">
        <v>41530</v>
      </c>
      <c r="B1604" s="76" t="str">
        <f>TiposLancamentos!B5</f>
        <v>Supermercado</v>
      </c>
      <c r="C1604" s="147" t="s">
        <v>5957</v>
      </c>
      <c r="D1604" s="63"/>
      <c r="E1604" s="231">
        <v>66.06</v>
      </c>
      <c r="F1604" s="927"/>
    </row>
    <row r="1605" spans="1:6">
      <c r="A1605" s="864">
        <v>41531</v>
      </c>
      <c r="B1605" s="76" t="str">
        <f>TiposLancamentos!B22</f>
        <v>Combustivel</v>
      </c>
      <c r="C1605" s="147" t="s">
        <v>24344</v>
      </c>
      <c r="D1605" s="63"/>
      <c r="E1605" s="231">
        <v>122</v>
      </c>
      <c r="F1605" s="927"/>
    </row>
    <row r="1606" spans="1:6">
      <c r="A1606" s="864">
        <v>41531</v>
      </c>
      <c r="B1606" s="76" t="str">
        <f>TiposLancamentos!B5</f>
        <v>Supermercado</v>
      </c>
      <c r="C1606" s="147" t="s">
        <v>5977</v>
      </c>
      <c r="D1606" s="63"/>
      <c r="E1606" s="231">
        <v>81.12</v>
      </c>
      <c r="F1606" s="927"/>
    </row>
    <row r="1607" spans="1:6">
      <c r="A1607" s="864">
        <v>41531</v>
      </c>
      <c r="B1607" s="76" t="str">
        <f>TiposLancamentos!B71</f>
        <v>Itens Pessoais</v>
      </c>
      <c r="C1607" s="147" t="s">
        <v>23860</v>
      </c>
      <c r="D1607" s="63"/>
      <c r="E1607" s="231">
        <v>48.98</v>
      </c>
      <c r="F1607" s="927"/>
    </row>
    <row r="1608" spans="1:6">
      <c r="A1608" s="864">
        <v>41532</v>
      </c>
      <c r="B1608" s="76" t="str">
        <f>TiposLancamentos!B19</f>
        <v>Restaurantes</v>
      </c>
      <c r="C1608" s="147" t="s">
        <v>6474</v>
      </c>
      <c r="D1608" s="63"/>
      <c r="E1608" s="231">
        <v>90.86</v>
      </c>
      <c r="F1608" s="927"/>
    </row>
    <row r="1609" spans="1:6">
      <c r="A1609" s="864">
        <v>41532</v>
      </c>
      <c r="B1609" s="76" t="str">
        <f>TiposLancamentos!B31</f>
        <v>Action Figures</v>
      </c>
      <c r="C1609" s="147" t="s">
        <v>24345</v>
      </c>
      <c r="D1609" s="63"/>
      <c r="E1609" s="231">
        <v>261</v>
      </c>
      <c r="F1609" s="927"/>
    </row>
    <row r="1610" spans="1:6">
      <c r="A1610" s="864">
        <v>41532</v>
      </c>
      <c r="B1610" s="76" t="str">
        <f>TiposLancamentos!B16</f>
        <v>Cristiane</v>
      </c>
      <c r="C1610" s="147" t="s">
        <v>24346</v>
      </c>
      <c r="D1610" s="63"/>
      <c r="E1610" s="231">
        <v>22</v>
      </c>
      <c r="F1610" s="927"/>
    </row>
    <row r="1611" spans="1:6">
      <c r="A1611" s="864">
        <v>41532</v>
      </c>
      <c r="B1611" s="76" t="str">
        <f>TiposLancamentos!B71</f>
        <v>Itens Pessoais</v>
      </c>
      <c r="C1611" s="147" t="s">
        <v>24347</v>
      </c>
      <c r="D1611" s="63"/>
      <c r="E1611" s="231">
        <v>30</v>
      </c>
      <c r="F1611" s="927"/>
    </row>
    <row r="1612" spans="1:6">
      <c r="A1612" s="864">
        <v>41532</v>
      </c>
      <c r="B1612" s="76" t="str">
        <f>TiposLancamentos!B56</f>
        <v>Farmácia</v>
      </c>
      <c r="C1612" s="147" t="s">
        <v>24348</v>
      </c>
      <c r="D1612" s="63"/>
      <c r="E1612" s="231">
        <v>17.14</v>
      </c>
      <c r="F1612" s="927"/>
    </row>
    <row r="1613" spans="1:6">
      <c r="A1613" s="864">
        <v>41532</v>
      </c>
      <c r="B1613" s="76" t="str">
        <f>TiposLancamentos!B19</f>
        <v>Restaurantes</v>
      </c>
      <c r="C1613" s="147" t="s">
        <v>6502</v>
      </c>
      <c r="D1613" s="63"/>
      <c r="E1613" s="231">
        <v>132.07</v>
      </c>
      <c r="F1613" s="927"/>
    </row>
    <row r="1614" spans="1:6">
      <c r="A1614" s="864">
        <v>41533</v>
      </c>
      <c r="B1614" s="76" t="str">
        <f>TiposLancamentos!B45</f>
        <v>Online Services</v>
      </c>
      <c r="C1614" s="147" t="s">
        <v>24349</v>
      </c>
      <c r="D1614" s="63"/>
      <c r="E1614" s="231">
        <v>10</v>
      </c>
      <c r="F1614" s="927"/>
    </row>
    <row r="1615" spans="1:6">
      <c r="A1615" s="864">
        <v>41534</v>
      </c>
      <c r="B1615" s="76" t="str">
        <f>TiposLancamentos!B17</f>
        <v>GATO</v>
      </c>
      <c r="C1615" s="147" t="s">
        <v>24350</v>
      </c>
      <c r="D1615" s="63"/>
      <c r="E1615" s="231">
        <v>39</v>
      </c>
      <c r="F1615" s="927"/>
    </row>
    <row r="1616" spans="1:6">
      <c r="A1616" s="864">
        <v>41534</v>
      </c>
      <c r="B1616" s="76" t="str">
        <f>TiposLancamentos!B56</f>
        <v>Farmácia</v>
      </c>
      <c r="C1616" s="147" t="s">
        <v>24351</v>
      </c>
      <c r="D1616" s="63"/>
      <c r="E1616" s="231">
        <v>248.82</v>
      </c>
      <c r="F1616" s="927"/>
    </row>
    <row r="1617" spans="1:6">
      <c r="A1617" s="864">
        <v>41534</v>
      </c>
      <c r="B1617" s="76" t="str">
        <f>TiposLancamentos!B19</f>
        <v>Restaurantes</v>
      </c>
      <c r="C1617" s="147" t="s">
        <v>24352</v>
      </c>
      <c r="D1617" s="63"/>
      <c r="E1617" s="231">
        <v>33.799999999999997</v>
      </c>
      <c r="F1617" s="927"/>
    </row>
    <row r="1618" spans="1:6">
      <c r="A1618" s="864">
        <v>41535</v>
      </c>
      <c r="B1618" s="76" t="str">
        <f>TiposLancamentos!B19</f>
        <v>Restaurantes</v>
      </c>
      <c r="C1618" s="147" t="s">
        <v>24353</v>
      </c>
      <c r="D1618" s="63"/>
      <c r="E1618" s="231">
        <v>73.12</v>
      </c>
      <c r="F1618" s="927"/>
    </row>
    <row r="1619" spans="1:6">
      <c r="A1619" s="864">
        <v>41537</v>
      </c>
      <c r="B1619" s="76" t="str">
        <f>TiposLancamentos!B4</f>
        <v>Taxas Bancarias</v>
      </c>
      <c r="C1619" s="147" t="s">
        <v>22785</v>
      </c>
      <c r="D1619" s="63"/>
      <c r="E1619" s="231">
        <v>0.3</v>
      </c>
      <c r="F1619" s="927"/>
    </row>
    <row r="1620" spans="1:6">
      <c r="A1620" s="934"/>
      <c r="B1620" s="226"/>
      <c r="C1620" s="227" t="s">
        <v>10</v>
      </c>
      <c r="D1620" s="228"/>
      <c r="E1620" s="228"/>
      <c r="F1620" s="935"/>
    </row>
    <row r="1621" spans="1:6">
      <c r="A1621" s="864">
        <v>41538</v>
      </c>
      <c r="B1621" s="76" t="str">
        <f>TiposLancamentos!B5</f>
        <v>Supermercado</v>
      </c>
      <c r="C1621" s="147" t="s">
        <v>24179</v>
      </c>
      <c r="D1621" s="63"/>
      <c r="E1621" s="231">
        <v>93.81</v>
      </c>
      <c r="F1621" s="927"/>
    </row>
    <row r="1622" spans="1:6">
      <c r="A1622" s="864">
        <v>41538</v>
      </c>
      <c r="B1622" s="76" t="str">
        <f>TiposLancamentos!B19</f>
        <v>Restaurantes</v>
      </c>
      <c r="C1622" s="147" t="s">
        <v>24354</v>
      </c>
      <c r="D1622" s="63"/>
      <c r="E1622" s="231">
        <v>151.82</v>
      </c>
      <c r="F1622" s="927"/>
    </row>
    <row r="1623" spans="1:6">
      <c r="A1623" s="864">
        <v>41539</v>
      </c>
      <c r="B1623" s="76" t="str">
        <f>TiposLancamentos!B22</f>
        <v>Combustivel</v>
      </c>
      <c r="C1623" s="147" t="s">
        <v>18953</v>
      </c>
      <c r="D1623" s="63"/>
      <c r="E1623" s="231">
        <v>114</v>
      </c>
      <c r="F1623" s="927"/>
    </row>
    <row r="1624" spans="1:6">
      <c r="A1624" s="864">
        <v>41539</v>
      </c>
      <c r="B1624" s="76" t="str">
        <f>TiposLancamentos!B19</f>
        <v>Restaurantes</v>
      </c>
      <c r="C1624" s="147" t="s">
        <v>17205</v>
      </c>
      <c r="D1624" s="63"/>
      <c r="E1624" s="231">
        <v>123.75</v>
      </c>
      <c r="F1624" s="927"/>
    </row>
    <row r="1625" spans="1:6">
      <c r="A1625" s="864">
        <v>41539</v>
      </c>
      <c r="B1625" s="76" t="str">
        <f>TiposLancamentos!B72</f>
        <v>Presentes</v>
      </c>
      <c r="C1625" s="147" t="s">
        <v>24355</v>
      </c>
      <c r="D1625" s="63"/>
      <c r="E1625" s="231">
        <v>91.75</v>
      </c>
      <c r="F1625" s="927"/>
    </row>
    <row r="1626" spans="1:6">
      <c r="A1626" s="864">
        <v>41539</v>
      </c>
      <c r="B1626" s="76" t="str">
        <f>TiposLancamentos!B13</f>
        <v>Moradia</v>
      </c>
      <c r="C1626" s="147" t="s">
        <v>24356</v>
      </c>
      <c r="D1626" s="63"/>
      <c r="E1626" s="231">
        <v>89</v>
      </c>
      <c r="F1626" s="927"/>
    </row>
    <row r="1627" spans="1:6">
      <c r="A1627" s="864">
        <v>41540</v>
      </c>
      <c r="B1627" s="76" t="str">
        <f>TiposLancamentos!B26</f>
        <v>LIVROS</v>
      </c>
      <c r="C1627" s="147" t="s">
        <v>24357</v>
      </c>
      <c r="D1627" s="63"/>
      <c r="E1627" s="231">
        <v>129.1</v>
      </c>
      <c r="F1627" s="927"/>
    </row>
    <row r="1628" spans="1:6">
      <c r="A1628" s="932">
        <v>41540</v>
      </c>
      <c r="B1628" s="908" t="str">
        <f>TiposLancamentos!B5</f>
        <v>Supermercado</v>
      </c>
      <c r="C1628" s="909" t="s">
        <v>5977</v>
      </c>
      <c r="D1628" s="910"/>
      <c r="E1628" s="911">
        <v>39.92</v>
      </c>
      <c r="F1628" s="933"/>
    </row>
    <row r="1629" spans="1:6">
      <c r="A1629" s="864">
        <v>41541</v>
      </c>
      <c r="B1629" s="76" t="str">
        <f>TiposLancamentos!B28</f>
        <v>ComicBook</v>
      </c>
      <c r="C1629" s="147" t="s">
        <v>24358</v>
      </c>
      <c r="D1629" s="63"/>
      <c r="E1629" s="231">
        <v>68.349999999999994</v>
      </c>
      <c r="F1629" s="927"/>
    </row>
    <row r="1630" spans="1:6">
      <c r="A1630" s="864">
        <v>41541</v>
      </c>
      <c r="B1630" s="76" t="str">
        <f>TiposLancamentos!B29</f>
        <v>Mangá</v>
      </c>
      <c r="C1630" s="147" t="s">
        <v>24359</v>
      </c>
      <c r="D1630" s="63"/>
      <c r="E1630" s="231">
        <v>96.45</v>
      </c>
      <c r="F1630" s="927"/>
    </row>
    <row r="1631" spans="1:6">
      <c r="A1631" s="932">
        <v>41543</v>
      </c>
      <c r="B1631" s="908" t="str">
        <f>TiposLancamentos!B5</f>
        <v>Supermercado</v>
      </c>
      <c r="C1631" s="909" t="s">
        <v>24360</v>
      </c>
      <c r="D1631" s="910"/>
      <c r="E1631" s="911">
        <v>118.91</v>
      </c>
      <c r="F1631" s="933"/>
    </row>
    <row r="1632" spans="1:6">
      <c r="A1632" s="864">
        <v>41543</v>
      </c>
      <c r="B1632" s="76" t="str">
        <f>TiposLancamentos!B88</f>
        <v>Ford Ecosport XLT</v>
      </c>
      <c r="C1632" s="147" t="s">
        <v>24361</v>
      </c>
      <c r="D1632" s="63"/>
      <c r="E1632" s="231">
        <f>299/6</f>
        <v>49.833333333333336</v>
      </c>
      <c r="F1632" s="927"/>
    </row>
    <row r="1633" spans="1:6">
      <c r="A1633" s="864">
        <v>41546</v>
      </c>
      <c r="B1633" s="76" t="str">
        <f>TiposLancamentos!B31</f>
        <v>Action Figures</v>
      </c>
      <c r="C1633" s="147" t="s">
        <v>24362</v>
      </c>
      <c r="D1633" s="63"/>
      <c r="E1633" s="231">
        <v>226</v>
      </c>
      <c r="F1633" s="927"/>
    </row>
    <row r="1634" spans="1:6">
      <c r="A1634" s="864">
        <v>41546</v>
      </c>
      <c r="B1634" s="76" t="str">
        <f>TiposLancamentos!B70</f>
        <v>Vestuário</v>
      </c>
      <c r="C1634" s="147" t="s">
        <v>24363</v>
      </c>
      <c r="D1634" s="63"/>
      <c r="E1634" s="231">
        <v>49.9</v>
      </c>
      <c r="F1634" s="927"/>
    </row>
    <row r="1635" spans="1:6">
      <c r="A1635" s="864">
        <v>41543</v>
      </c>
      <c r="B1635" s="76" t="str">
        <f>TiposLancamentos!B19</f>
        <v>Restaurantes</v>
      </c>
      <c r="C1635" s="147" t="s">
        <v>24364</v>
      </c>
      <c r="D1635" s="63"/>
      <c r="E1635" s="231">
        <v>100.12</v>
      </c>
      <c r="F1635" s="927"/>
    </row>
    <row r="1636" spans="1:6">
      <c r="A1636" s="864">
        <v>41544</v>
      </c>
      <c r="B1636" s="76" t="str">
        <f>TiposLancamentos!B57</f>
        <v>Informática</v>
      </c>
      <c r="C1636" s="147" t="s">
        <v>24365</v>
      </c>
      <c r="D1636" s="63"/>
      <c r="E1636" s="231">
        <v>2.25</v>
      </c>
      <c r="F1636" s="927" t="s">
        <v>10768</v>
      </c>
    </row>
    <row r="1637" spans="1:6">
      <c r="A1637" s="864">
        <v>41545</v>
      </c>
      <c r="B1637" s="76" t="str">
        <f>TiposLancamentos!B19</f>
        <v>Restaurantes</v>
      </c>
      <c r="C1637" s="147" t="s">
        <v>24366</v>
      </c>
      <c r="D1637" s="63"/>
      <c r="E1637" s="231">
        <v>134.86000000000001</v>
      </c>
      <c r="F1637" s="927"/>
    </row>
    <row r="1638" spans="1:6">
      <c r="A1638" s="864">
        <v>41545</v>
      </c>
      <c r="B1638" s="76" t="str">
        <f>TiposLancamentos!B62</f>
        <v>Papelaria</v>
      </c>
      <c r="C1638" s="147" t="s">
        <v>24367</v>
      </c>
      <c r="D1638" s="63"/>
      <c r="E1638" s="231">
        <v>18.45</v>
      </c>
      <c r="F1638" s="927"/>
    </row>
    <row r="1639" spans="1:6">
      <c r="A1639" s="864">
        <v>41545</v>
      </c>
      <c r="B1639" s="76" t="str">
        <f>TiposLancamentos!B19</f>
        <v>Restaurantes</v>
      </c>
      <c r="C1639" s="147" t="s">
        <v>24368</v>
      </c>
      <c r="D1639" s="63"/>
      <c r="E1639" s="231">
        <v>57.92</v>
      </c>
      <c r="F1639" s="927"/>
    </row>
    <row r="1640" spans="1:6">
      <c r="A1640" s="864">
        <v>41545</v>
      </c>
      <c r="B1640" s="76" t="str">
        <f>TiposLancamentos!B16</f>
        <v>Cristiane</v>
      </c>
      <c r="C1640" s="147" t="s">
        <v>24369</v>
      </c>
      <c r="D1640" s="63"/>
      <c r="E1640" s="231">
        <v>46.3</v>
      </c>
      <c r="F1640" s="927"/>
    </row>
    <row r="1641" spans="1:6">
      <c r="A1641" s="864">
        <v>41546</v>
      </c>
      <c r="B1641" s="76" t="str">
        <f>TiposLancamentos!B19</f>
        <v>Restaurantes</v>
      </c>
      <c r="C1641" s="147" t="s">
        <v>24370</v>
      </c>
      <c r="D1641" s="63"/>
      <c r="E1641" s="231">
        <v>156.19999999999999</v>
      </c>
      <c r="F1641" s="927"/>
    </row>
    <row r="1642" spans="1:6">
      <c r="A1642" s="864">
        <v>41547</v>
      </c>
      <c r="B1642" s="76" t="str">
        <f>TiposLancamentos!B16</f>
        <v>Cristiane</v>
      </c>
      <c r="C1642" s="147" t="s">
        <v>23622</v>
      </c>
      <c r="D1642" s="63"/>
      <c r="E1642" s="231">
        <v>29</v>
      </c>
      <c r="F1642" s="927"/>
    </row>
    <row r="1643" spans="1:6">
      <c r="A1643" s="864">
        <v>41547</v>
      </c>
      <c r="B1643" s="76" t="str">
        <f>TiposLancamentos!B31</f>
        <v>Action Figures</v>
      </c>
      <c r="C1643" s="147" t="s">
        <v>24371</v>
      </c>
      <c r="D1643" s="63"/>
      <c r="E1643" s="231">
        <v>24.2</v>
      </c>
      <c r="F1643" s="1001">
        <f>289.96/12</f>
        <v>24.16333333333333</v>
      </c>
    </row>
    <row r="1644" spans="1:6" ht="14.25" thickBot="1">
      <c r="A1644" s="864">
        <v>41547</v>
      </c>
      <c r="B1644" s="76" t="str">
        <f>TiposLancamentos!B22</f>
        <v>Combustivel</v>
      </c>
      <c r="C1644" s="147" t="s">
        <v>6412</v>
      </c>
      <c r="D1644" s="63"/>
      <c r="E1644" s="231">
        <v>114</v>
      </c>
      <c r="F1644" s="927"/>
    </row>
    <row r="1645" spans="1:6">
      <c r="A1645" s="893"/>
      <c r="B1645" s="894"/>
      <c r="C1645" s="906" t="s">
        <v>17175</v>
      </c>
      <c r="D1645" s="896"/>
      <c r="E1645" s="925"/>
      <c r="F1645" s="926">
        <f>SUM(E1555:E1619)-D1580</f>
        <v>4978.7699999999995</v>
      </c>
    </row>
    <row r="1646" spans="1:6">
      <c r="A1646" s="864">
        <v>41548</v>
      </c>
      <c r="B1646" s="76" t="str">
        <f>TiposLancamentos!B15</f>
        <v>Cartões de Crédito</v>
      </c>
      <c r="C1646" s="147" t="s">
        <v>24372</v>
      </c>
      <c r="D1646" s="63">
        <v>4978.7700000000004</v>
      </c>
      <c r="E1646" s="231"/>
      <c r="F1646" s="927">
        <f>F1645-F1577</f>
        <v>595.81999999999971</v>
      </c>
    </row>
    <row r="1647" spans="1:6">
      <c r="A1647" s="864">
        <v>41548</v>
      </c>
      <c r="B1647" s="76" t="str">
        <f>TiposLancamentos!B4</f>
        <v>Taxas Bancarias</v>
      </c>
      <c r="C1647" s="147" t="s">
        <v>18409</v>
      </c>
      <c r="D1647" s="63"/>
      <c r="E1647" s="231">
        <v>0.05</v>
      </c>
      <c r="F1647" s="927"/>
    </row>
    <row r="1648" spans="1:6">
      <c r="A1648" s="932">
        <v>41549</v>
      </c>
      <c r="B1648" s="908" t="str">
        <f>TiposLancamentos!B5</f>
        <v>Supermercado</v>
      </c>
      <c r="C1648" s="909" t="s">
        <v>24373</v>
      </c>
      <c r="D1648" s="910"/>
      <c r="E1648" s="911">
        <v>58.48</v>
      </c>
      <c r="F1648" s="933"/>
    </row>
    <row r="1649" spans="1:6">
      <c r="A1649" s="932">
        <v>41550</v>
      </c>
      <c r="B1649" s="908" t="str">
        <f>TiposLancamentos!B5</f>
        <v>Supermercado</v>
      </c>
      <c r="C1649" s="909" t="s">
        <v>5957</v>
      </c>
      <c r="D1649" s="910"/>
      <c r="E1649" s="911">
        <v>86.27</v>
      </c>
      <c r="F1649" s="933"/>
    </row>
    <row r="1650" spans="1:6">
      <c r="A1650" s="864">
        <v>41551</v>
      </c>
      <c r="B1650" s="76" t="str">
        <f>TiposLancamentos!B22</f>
        <v>Combustivel</v>
      </c>
      <c r="C1650" s="147" t="s">
        <v>6412</v>
      </c>
      <c r="D1650" s="63"/>
      <c r="E1650" s="231">
        <v>35</v>
      </c>
      <c r="F1650" s="927"/>
    </row>
    <row r="1651" spans="1:6">
      <c r="A1651" s="864">
        <v>41551</v>
      </c>
      <c r="B1651" s="76" t="str">
        <f>TiposLancamentos!B56</f>
        <v>Farmácia</v>
      </c>
      <c r="C1651" s="147" t="s">
        <v>24374</v>
      </c>
      <c r="D1651" s="63"/>
      <c r="E1651" s="231">
        <v>111.55</v>
      </c>
      <c r="F1651" s="927"/>
    </row>
    <row r="1652" spans="1:6">
      <c r="A1652" s="806">
        <v>41551</v>
      </c>
      <c r="B1652" s="822" t="str">
        <f>TiposLancamentos!B70</f>
        <v>Vestuário</v>
      </c>
      <c r="C1652" s="808" t="s">
        <v>24375</v>
      </c>
      <c r="D1652" s="747"/>
      <c r="E1652" s="874">
        <f>44+6.1</f>
        <v>50.1</v>
      </c>
      <c r="F1652" s="936"/>
    </row>
    <row r="1653" spans="1:6">
      <c r="A1653" s="810">
        <v>41551</v>
      </c>
      <c r="B1653" s="823" t="str">
        <f>TiposLancamentos!B16</f>
        <v>Cristiane</v>
      </c>
      <c r="C1653" s="812" t="s">
        <v>24376</v>
      </c>
      <c r="D1653" s="849"/>
      <c r="E1653" s="875">
        <f>F1653-E1652</f>
        <v>103.6</v>
      </c>
      <c r="F1653" s="937">
        <v>153.69999999999999</v>
      </c>
    </row>
    <row r="1654" spans="1:6">
      <c r="A1654" s="864">
        <v>41552</v>
      </c>
      <c r="B1654" s="76" t="str">
        <f>TiposLancamentos!B56</f>
        <v>Farmácia</v>
      </c>
      <c r="C1654" s="147" t="s">
        <v>24377</v>
      </c>
      <c r="D1654" s="63"/>
      <c r="E1654" s="231">
        <v>15</v>
      </c>
      <c r="F1654" s="927"/>
    </row>
    <row r="1655" spans="1:6">
      <c r="A1655" s="806">
        <v>41553</v>
      </c>
      <c r="B1655" s="822" t="str">
        <f>TiposLancamentos!B22</f>
        <v>Combustivel</v>
      </c>
      <c r="C1655" s="808" t="s">
        <v>24378</v>
      </c>
      <c r="D1655" s="747"/>
      <c r="E1655" s="874">
        <v>92.8</v>
      </c>
      <c r="F1655" s="936"/>
    </row>
    <row r="1656" spans="1:6">
      <c r="A1656" s="810">
        <v>41553</v>
      </c>
      <c r="B1656" s="823" t="str">
        <f>TiposLancamentos!B18</f>
        <v>Alimentacao</v>
      </c>
      <c r="C1656" s="812" t="s">
        <v>24379</v>
      </c>
      <c r="D1656" s="849"/>
      <c r="E1656" s="875">
        <f>F1656-E1655</f>
        <v>3</v>
      </c>
      <c r="F1656" s="937">
        <v>95.8</v>
      </c>
    </row>
    <row r="1657" spans="1:6">
      <c r="A1657" s="864">
        <v>41553</v>
      </c>
      <c r="B1657" s="76" t="str">
        <f>TiposLancamentos!B19</f>
        <v>Restaurantes</v>
      </c>
      <c r="C1657" s="147" t="s">
        <v>24380</v>
      </c>
      <c r="D1657" s="63"/>
      <c r="E1657" s="231">
        <v>91.08</v>
      </c>
      <c r="F1657" s="927"/>
    </row>
    <row r="1658" spans="1:6">
      <c r="A1658" s="864">
        <v>41554</v>
      </c>
      <c r="B1658" s="76" t="str">
        <f>TiposLancamentos!B57</f>
        <v>Informática</v>
      </c>
      <c r="C1658" s="147" t="s">
        <v>24381</v>
      </c>
      <c r="D1658" s="63"/>
      <c r="E1658" s="231">
        <v>417.07</v>
      </c>
      <c r="F1658" s="927"/>
    </row>
    <row r="1659" spans="1:6">
      <c r="A1659" s="932">
        <v>41554</v>
      </c>
      <c r="B1659" s="908" t="str">
        <f>TiposLancamentos!B64</f>
        <v>Viagens</v>
      </c>
      <c r="C1659" s="909" t="s">
        <v>24382</v>
      </c>
      <c r="D1659" s="910"/>
      <c r="E1659" s="911">
        <v>219.56</v>
      </c>
      <c r="F1659" s="933"/>
    </row>
    <row r="1660" spans="1:6">
      <c r="A1660" s="864">
        <v>41555</v>
      </c>
      <c r="B1660" s="76" t="str">
        <f>TiposLancamentos!B16</f>
        <v>Cristiane</v>
      </c>
      <c r="C1660" s="147" t="s">
        <v>24383</v>
      </c>
      <c r="D1660" s="63"/>
      <c r="E1660" s="231">
        <v>26.63</v>
      </c>
      <c r="F1660" s="1001">
        <f>79.85/3</f>
        <v>26.616666666666664</v>
      </c>
    </row>
    <row r="1661" spans="1:6">
      <c r="A1661" s="864">
        <v>41555</v>
      </c>
      <c r="B1661" s="76" t="str">
        <f>TiposLancamentos!B5</f>
        <v>Supermercado</v>
      </c>
      <c r="C1661" s="147" t="s">
        <v>24384</v>
      </c>
      <c r="D1661" s="63"/>
      <c r="E1661" s="231">
        <v>216.36</v>
      </c>
      <c r="F1661" s="927"/>
    </row>
    <row r="1662" spans="1:6">
      <c r="A1662" s="864">
        <v>41558</v>
      </c>
      <c r="B1662" s="76" t="str">
        <f>TiposLancamentos!B31</f>
        <v>Action Figures</v>
      </c>
      <c r="C1662" s="147" t="s">
        <v>24385</v>
      </c>
      <c r="D1662" s="63"/>
      <c r="E1662" s="231">
        <v>93.42</v>
      </c>
      <c r="F1662" s="927"/>
    </row>
    <row r="1663" spans="1:6">
      <c r="A1663" s="864">
        <v>41559</v>
      </c>
      <c r="B1663" s="76" t="str">
        <f>TiposLancamentos!B19</f>
        <v>Restaurantes</v>
      </c>
      <c r="C1663" s="147" t="s">
        <v>24386</v>
      </c>
      <c r="D1663" s="63"/>
      <c r="E1663" s="231">
        <v>35.25</v>
      </c>
      <c r="F1663" s="927"/>
    </row>
    <row r="1664" spans="1:6">
      <c r="A1664" s="864">
        <v>41559</v>
      </c>
      <c r="B1664" s="76" t="str">
        <f>TiposLancamentos!B19</f>
        <v>Restaurantes</v>
      </c>
      <c r="C1664" s="147" t="s">
        <v>24387</v>
      </c>
      <c r="D1664" s="63"/>
      <c r="E1664" s="231">
        <v>105.6</v>
      </c>
      <c r="F1664" s="927"/>
    </row>
    <row r="1665" spans="1:6">
      <c r="A1665" s="864">
        <v>41560</v>
      </c>
      <c r="B1665" s="76" t="str">
        <f>TiposLancamentos!B22</f>
        <v>Combustivel</v>
      </c>
      <c r="C1665" s="147" t="s">
        <v>6555</v>
      </c>
      <c r="D1665" s="63"/>
      <c r="E1665" s="231">
        <v>103.57</v>
      </c>
      <c r="F1665" s="927"/>
    </row>
    <row r="1666" spans="1:6">
      <c r="A1666" s="864">
        <v>41560</v>
      </c>
      <c r="B1666" s="76" t="str">
        <f>TiposLancamentos!B19</f>
        <v>Restaurantes</v>
      </c>
      <c r="C1666" s="147" t="s">
        <v>24388</v>
      </c>
      <c r="D1666" s="63"/>
      <c r="E1666" s="231">
        <v>163.13</v>
      </c>
      <c r="F1666" s="927"/>
    </row>
    <row r="1667" spans="1:6">
      <c r="A1667" s="864">
        <v>41561</v>
      </c>
      <c r="B1667" s="76" t="str">
        <f>TiposLancamentos!B25</f>
        <v>CD_DVD_BD</v>
      </c>
      <c r="C1667" s="147" t="s">
        <v>24389</v>
      </c>
      <c r="D1667" s="63"/>
      <c r="E1667" s="231">
        <v>215.81</v>
      </c>
      <c r="F1667" s="927" t="s">
        <v>24390</v>
      </c>
    </row>
    <row r="1668" spans="1:6">
      <c r="A1668" s="932">
        <v>41563</v>
      </c>
      <c r="B1668" s="908" t="str">
        <f>TiposLancamentos!B16</f>
        <v>Cristiane</v>
      </c>
      <c r="C1668" s="909" t="s">
        <v>6052</v>
      </c>
      <c r="D1668" s="910"/>
      <c r="E1668" s="911">
        <v>65.56</v>
      </c>
      <c r="F1668" s="933"/>
    </row>
    <row r="1669" spans="1:6">
      <c r="A1669" s="864">
        <v>41563</v>
      </c>
      <c r="B1669" s="76" t="str">
        <f>TiposLancamentos!B19</f>
        <v>Restaurantes</v>
      </c>
      <c r="C1669" s="147" t="s">
        <v>24391</v>
      </c>
      <c r="D1669" s="63"/>
      <c r="E1669" s="231">
        <v>56.42</v>
      </c>
      <c r="F1669" s="927"/>
    </row>
    <row r="1670" spans="1:6">
      <c r="A1670" s="864">
        <v>41564</v>
      </c>
      <c r="B1670" s="76" t="str">
        <f>TiposLancamentos!B98</f>
        <v>Restituições</v>
      </c>
      <c r="C1670" s="147" t="s">
        <v>24392</v>
      </c>
      <c r="D1670" s="63">
        <v>11.79</v>
      </c>
      <c r="E1670" s="231"/>
      <c r="F1670" s="927" t="s">
        <v>24393</v>
      </c>
    </row>
    <row r="1671" spans="1:6">
      <c r="A1671" s="932">
        <v>41564</v>
      </c>
      <c r="B1671" s="908" t="str">
        <f>TiposLancamentos!B5</f>
        <v>Supermercado</v>
      </c>
      <c r="C1671" s="909" t="s">
        <v>5977</v>
      </c>
      <c r="D1671" s="910"/>
      <c r="E1671" s="911">
        <v>124.18</v>
      </c>
      <c r="F1671" s="933"/>
    </row>
    <row r="1672" spans="1:6">
      <c r="A1672" s="864">
        <v>41565</v>
      </c>
      <c r="B1672" s="76" t="str">
        <f>TiposLancamentos!B16</f>
        <v>Cristiane</v>
      </c>
      <c r="C1672" s="147" t="s">
        <v>24394</v>
      </c>
      <c r="D1672" s="63"/>
      <c r="E1672" s="231">
        <v>140</v>
      </c>
      <c r="F1672" s="927"/>
    </row>
    <row r="1673" spans="1:6">
      <c r="A1673" s="864">
        <v>41565</v>
      </c>
      <c r="B1673" s="76" t="str">
        <f>TiposLancamentos!B19</f>
        <v>Restaurantes</v>
      </c>
      <c r="C1673" s="147" t="s">
        <v>24395</v>
      </c>
      <c r="D1673" s="63"/>
      <c r="E1673" s="231">
        <v>64.13</v>
      </c>
      <c r="F1673" s="927"/>
    </row>
    <row r="1674" spans="1:6">
      <c r="A1674" s="932">
        <v>41565</v>
      </c>
      <c r="B1674" s="908" t="str">
        <f>TiposLancamentos!B5</f>
        <v>Supermercado</v>
      </c>
      <c r="C1674" s="909" t="s">
        <v>24396</v>
      </c>
      <c r="D1674" s="910"/>
      <c r="E1674" s="911">
        <v>83.28</v>
      </c>
      <c r="F1674" s="933"/>
    </row>
    <row r="1675" spans="1:6">
      <c r="A1675" s="864">
        <v>41566</v>
      </c>
      <c r="B1675" s="76" t="str">
        <f>TiposLancamentos!B16</f>
        <v>Cristiane</v>
      </c>
      <c r="C1675" s="147" t="s">
        <v>24397</v>
      </c>
      <c r="D1675" s="63"/>
      <c r="E1675" s="231">
        <v>37.75</v>
      </c>
      <c r="F1675" s="927"/>
    </row>
    <row r="1676" spans="1:6">
      <c r="A1676" s="864">
        <v>41566</v>
      </c>
      <c r="B1676" s="76" t="str">
        <f>TiposLancamentos!B16</f>
        <v>Cristiane</v>
      </c>
      <c r="C1676" s="147" t="s">
        <v>24398</v>
      </c>
      <c r="D1676" s="63"/>
      <c r="E1676" s="231">
        <v>44.57</v>
      </c>
      <c r="F1676" s="927"/>
    </row>
    <row r="1677" spans="1:6">
      <c r="A1677" s="864">
        <v>41566</v>
      </c>
      <c r="B1677" s="76" t="str">
        <f>TiposLancamentos!B72</f>
        <v>Presentes</v>
      </c>
      <c r="C1677" s="147" t="s">
        <v>24399</v>
      </c>
      <c r="D1677" s="63"/>
      <c r="E1677" s="231">
        <v>99</v>
      </c>
      <c r="F1677" s="927"/>
    </row>
    <row r="1678" spans="1:6">
      <c r="A1678" s="932">
        <v>41568</v>
      </c>
      <c r="B1678" s="908" t="str">
        <f>TiposLancamentos!B16</f>
        <v>Cristiane</v>
      </c>
      <c r="C1678" s="909" t="s">
        <v>24400</v>
      </c>
      <c r="D1678" s="910"/>
      <c r="E1678" s="911">
        <v>50</v>
      </c>
      <c r="F1678" s="933"/>
    </row>
    <row r="1679" spans="1:6">
      <c r="A1679" s="932">
        <v>41568</v>
      </c>
      <c r="B1679" s="908" t="str">
        <f>TiposLancamentos!B16</f>
        <v>Cristiane</v>
      </c>
      <c r="C1679" s="909" t="s">
        <v>24401</v>
      </c>
      <c r="D1679" s="910"/>
      <c r="E1679" s="911">
        <v>49</v>
      </c>
      <c r="F1679" s="933"/>
    </row>
    <row r="1680" spans="1:6">
      <c r="A1680" s="864">
        <v>41570</v>
      </c>
      <c r="B1680" s="76" t="str">
        <f>TiposLancamentos!B4</f>
        <v>Taxas Bancarias</v>
      </c>
      <c r="C1680" s="147" t="s">
        <v>24280</v>
      </c>
      <c r="D1680" s="63"/>
      <c r="E1680" s="231">
        <v>13.29</v>
      </c>
      <c r="F1680" s="927"/>
    </row>
    <row r="1681" spans="1:6">
      <c r="A1681" s="934"/>
      <c r="B1681" s="226"/>
      <c r="C1681" s="227" t="s">
        <v>10</v>
      </c>
      <c r="D1681" s="228"/>
      <c r="E1681" s="228"/>
      <c r="F1681" s="935"/>
    </row>
    <row r="1682" spans="1:6">
      <c r="A1682" s="932">
        <v>41569</v>
      </c>
      <c r="B1682" s="908" t="str">
        <f>TiposLancamentos!B5</f>
        <v>Supermercado</v>
      </c>
      <c r="C1682" s="909" t="s">
        <v>5957</v>
      </c>
      <c r="D1682" s="910"/>
      <c r="E1682" s="911">
        <v>66</v>
      </c>
      <c r="F1682" s="933"/>
    </row>
    <row r="1683" spans="1:6">
      <c r="A1683" s="864">
        <v>41572</v>
      </c>
      <c r="B1683" s="76" t="str">
        <f>TiposLancamentos!B3</f>
        <v>Internet</v>
      </c>
      <c r="C1683" s="147" t="s">
        <v>10734</v>
      </c>
      <c r="D1683" s="63"/>
      <c r="E1683" s="231">
        <v>29</v>
      </c>
      <c r="F1683" s="927"/>
    </row>
    <row r="1684" spans="1:6">
      <c r="A1684" s="864">
        <v>41572</v>
      </c>
      <c r="B1684" s="76" t="str">
        <f>TiposLancamentos!B77</f>
        <v>Esporádico</v>
      </c>
      <c r="C1684" s="147" t="s">
        <v>24402</v>
      </c>
      <c r="D1684" s="63"/>
      <c r="E1684" s="231">
        <v>9.44</v>
      </c>
      <c r="F1684" s="927"/>
    </row>
    <row r="1685" spans="1:6">
      <c r="A1685" s="864">
        <v>41572</v>
      </c>
      <c r="B1685" s="76" t="str">
        <f>TiposLancamentos!B102</f>
        <v>ESTORNO</v>
      </c>
      <c r="C1685" s="147" t="s">
        <v>24403</v>
      </c>
      <c r="D1685" s="63">
        <v>9.44</v>
      </c>
      <c r="E1685" s="231"/>
      <c r="F1685" s="927"/>
    </row>
    <row r="1686" spans="1:6">
      <c r="A1686" s="932">
        <v>41572</v>
      </c>
      <c r="B1686" s="908" t="str">
        <f>TiposLancamentos!B17</f>
        <v>GATO</v>
      </c>
      <c r="C1686" s="909" t="s">
        <v>6220</v>
      </c>
      <c r="D1686" s="910"/>
      <c r="E1686" s="911">
        <v>32.700000000000003</v>
      </c>
      <c r="F1686" s="933"/>
    </row>
    <row r="1687" spans="1:6">
      <c r="A1687" s="864">
        <v>41572</v>
      </c>
      <c r="B1687" s="76" t="str">
        <f>TiposLancamentos!B77</f>
        <v>Esporádico</v>
      </c>
      <c r="C1687" s="147" t="s">
        <v>24404</v>
      </c>
      <c r="D1687" s="63"/>
      <c r="E1687" s="231">
        <v>137.41</v>
      </c>
      <c r="F1687" s="927"/>
    </row>
    <row r="1688" spans="1:6">
      <c r="A1688" s="864">
        <v>41572</v>
      </c>
      <c r="B1688" s="76" t="str">
        <f>TiposLancamentos!B102</f>
        <v>ESTORNO</v>
      </c>
      <c r="C1688" s="147" t="s">
        <v>24405</v>
      </c>
      <c r="D1688" s="63">
        <v>137.41</v>
      </c>
      <c r="E1688" s="231"/>
      <c r="F1688" s="927"/>
    </row>
    <row r="1689" spans="1:6">
      <c r="A1689" s="864">
        <v>41574</v>
      </c>
      <c r="B1689" s="76" t="str">
        <f>TiposLancamentos!B88</f>
        <v>Ford Ecosport XLT</v>
      </c>
      <c r="C1689" s="147" t="s">
        <v>24406</v>
      </c>
      <c r="D1689" s="63"/>
      <c r="E1689" s="231">
        <f>299/6</f>
        <v>49.833333333333336</v>
      </c>
      <c r="F1689" s="927"/>
    </row>
    <row r="1690" spans="1:6">
      <c r="A1690" s="864">
        <v>41577</v>
      </c>
      <c r="B1690" s="76" t="str">
        <f>TiposLancamentos!B31</f>
        <v>Action Figures</v>
      </c>
      <c r="C1690" s="147" t="s">
        <v>24407</v>
      </c>
      <c r="D1690" s="63"/>
      <c r="E1690" s="231">
        <v>24.16</v>
      </c>
      <c r="F1690" s="927"/>
    </row>
    <row r="1691" spans="1:6" ht="14.25" thickBot="1">
      <c r="A1691" s="932">
        <v>41578</v>
      </c>
      <c r="B1691" s="908" t="str">
        <f>TiposLancamentos!B16</f>
        <v>Cristiane</v>
      </c>
      <c r="C1691" s="909" t="s">
        <v>24408</v>
      </c>
      <c r="D1691" s="910"/>
      <c r="E1691" s="911">
        <v>72.599999999999994</v>
      </c>
      <c r="F1691" s="933"/>
    </row>
    <row r="1692" spans="1:6">
      <c r="A1692" s="893"/>
      <c r="B1692" s="894"/>
      <c r="C1692" s="906" t="s">
        <v>13648</v>
      </c>
      <c r="D1692" s="896"/>
      <c r="E1692" s="925"/>
      <c r="F1692" s="926">
        <f>SUM(E1621:E1680)-D1670</f>
        <v>5184.6133333333355</v>
      </c>
    </row>
    <row r="1693" spans="1:6">
      <c r="A1693" s="864">
        <v>41579</v>
      </c>
      <c r="B1693" s="76" t="str">
        <f>TiposLancamentos!B15</f>
        <v>Cartões de Crédito</v>
      </c>
      <c r="C1693" s="878" t="s">
        <v>14126</v>
      </c>
      <c r="D1693" s="63">
        <v>5184.6099999999997</v>
      </c>
      <c r="E1693" s="231"/>
      <c r="F1693" s="927">
        <f>F1692-F1645</f>
        <v>205.84333333333598</v>
      </c>
    </row>
    <row r="1694" spans="1:6">
      <c r="A1694" s="864">
        <v>41579</v>
      </c>
      <c r="B1694" s="76" t="str">
        <f>TiposLancamentos!B4</f>
        <v>Taxas Bancarias</v>
      </c>
      <c r="C1694" s="878" t="s">
        <v>24409</v>
      </c>
      <c r="D1694" s="63"/>
      <c r="E1694" s="231">
        <v>2.37</v>
      </c>
      <c r="F1694" s="927"/>
    </row>
    <row r="1695" spans="1:6">
      <c r="A1695" s="932">
        <v>41582</v>
      </c>
      <c r="B1695" s="908" t="str">
        <f>TiposLancamentos!B16</f>
        <v>Cristiane</v>
      </c>
      <c r="C1695" s="909" t="s">
        <v>24410</v>
      </c>
      <c r="D1695" s="910"/>
      <c r="E1695" s="911">
        <v>69.41</v>
      </c>
      <c r="F1695" s="933"/>
    </row>
    <row r="1696" spans="1:6">
      <c r="A1696" s="932">
        <v>41583</v>
      </c>
      <c r="B1696" s="908" t="str">
        <f>TiposLancamentos!B16</f>
        <v>Cristiane</v>
      </c>
      <c r="C1696" s="909" t="s">
        <v>24410</v>
      </c>
      <c r="D1696" s="910"/>
      <c r="E1696" s="911">
        <v>20.9</v>
      </c>
      <c r="F1696" s="933"/>
    </row>
    <row r="1697" spans="1:6">
      <c r="A1697" s="932">
        <v>41584</v>
      </c>
      <c r="B1697" s="908" t="str">
        <f>TiposLancamentos!B16</f>
        <v>Cristiane</v>
      </c>
      <c r="C1697" s="909" t="s">
        <v>24411</v>
      </c>
      <c r="D1697" s="910"/>
      <c r="E1697" s="911">
        <v>129</v>
      </c>
      <c r="F1697" s="933"/>
    </row>
    <row r="1698" spans="1:6">
      <c r="A1698" s="932">
        <v>41584</v>
      </c>
      <c r="B1698" s="908" t="str">
        <f>TiposLancamentos!B16</f>
        <v>Cristiane</v>
      </c>
      <c r="C1698" s="909" t="s">
        <v>24410</v>
      </c>
      <c r="D1698" s="910"/>
      <c r="E1698" s="911">
        <v>35.42</v>
      </c>
      <c r="F1698" s="933"/>
    </row>
    <row r="1699" spans="1:6">
      <c r="A1699" s="864">
        <v>41586</v>
      </c>
      <c r="B1699" s="76" t="str">
        <f>TiposLancamentos!B16</f>
        <v>Cristiane</v>
      </c>
      <c r="C1699" s="147" t="s">
        <v>24412</v>
      </c>
      <c r="D1699" s="63"/>
      <c r="E1699" s="231">
        <v>26.61</v>
      </c>
      <c r="F1699" s="927"/>
    </row>
    <row r="1700" spans="1:6">
      <c r="A1700" s="864">
        <v>41586</v>
      </c>
      <c r="B1700" s="76" t="str">
        <f>TiposLancamentos!B5</f>
        <v>Supermercado</v>
      </c>
      <c r="C1700" s="147" t="s">
        <v>5957</v>
      </c>
      <c r="D1700" s="63"/>
      <c r="E1700" s="231">
        <v>134.63</v>
      </c>
      <c r="F1700" s="927"/>
    </row>
    <row r="1701" spans="1:6">
      <c r="A1701" s="864">
        <v>41589</v>
      </c>
      <c r="B1701" s="76" t="str">
        <f>TiposLancamentos!B31</f>
        <v>Action Figures</v>
      </c>
      <c r="C1701" s="147" t="s">
        <v>24413</v>
      </c>
      <c r="D1701" s="63"/>
      <c r="E1701" s="231">
        <v>93.42</v>
      </c>
      <c r="F1701" s="927"/>
    </row>
    <row r="1702" spans="1:6">
      <c r="A1702" s="932">
        <v>41591</v>
      </c>
      <c r="B1702" s="908" t="str">
        <f>TiposLancamentos!B5</f>
        <v>Supermercado</v>
      </c>
      <c r="C1702" s="909" t="s">
        <v>5977</v>
      </c>
      <c r="D1702" s="910"/>
      <c r="E1702" s="911">
        <v>124.98</v>
      </c>
      <c r="F1702" s="933"/>
    </row>
    <row r="1703" spans="1:6">
      <c r="A1703" s="932">
        <v>41591</v>
      </c>
      <c r="B1703" s="908" t="str">
        <f>TiposLancamentos!B16</f>
        <v>Cristiane</v>
      </c>
      <c r="C1703" s="909" t="s">
        <v>24414</v>
      </c>
      <c r="D1703" s="910"/>
      <c r="E1703" s="911">
        <v>14.71</v>
      </c>
      <c r="F1703" s="933" t="s">
        <v>24415</v>
      </c>
    </row>
    <row r="1704" spans="1:6">
      <c r="A1704" s="864">
        <v>41592</v>
      </c>
      <c r="B1704" s="76" t="str">
        <f>TiposLancamentos!B87</f>
        <v>P207-1.6-XS</v>
      </c>
      <c r="C1704" s="147" t="s">
        <v>24416</v>
      </c>
      <c r="D1704" s="63"/>
      <c r="E1704" s="231">
        <v>246</v>
      </c>
      <c r="F1704" s="927"/>
    </row>
    <row r="1705" spans="1:6">
      <c r="A1705" s="932">
        <v>41592</v>
      </c>
      <c r="B1705" s="908" t="str">
        <f>TiposLancamentos!B5</f>
        <v>Supermercado</v>
      </c>
      <c r="C1705" s="909" t="s">
        <v>5977</v>
      </c>
      <c r="D1705" s="910"/>
      <c r="E1705" s="911">
        <v>51.34</v>
      </c>
      <c r="F1705" s="933"/>
    </row>
    <row r="1706" spans="1:6">
      <c r="A1706" s="932">
        <v>41592</v>
      </c>
      <c r="B1706" s="908" t="str">
        <f>TiposLancamentos!B5</f>
        <v>Supermercado</v>
      </c>
      <c r="C1706" s="909" t="s">
        <v>24417</v>
      </c>
      <c r="D1706" s="910"/>
      <c r="E1706" s="911">
        <v>43.5</v>
      </c>
      <c r="F1706" s="933"/>
    </row>
    <row r="1707" spans="1:6">
      <c r="A1707" s="932">
        <v>41596</v>
      </c>
      <c r="B1707" s="908" t="str">
        <f>B1702</f>
        <v>Supermercado</v>
      </c>
      <c r="C1707" s="909" t="s">
        <v>5957</v>
      </c>
      <c r="D1707" s="910"/>
      <c r="E1707" s="911">
        <v>95.17</v>
      </c>
      <c r="F1707" s="933"/>
    </row>
    <row r="1708" spans="1:6">
      <c r="A1708" s="932">
        <v>41596</v>
      </c>
      <c r="B1708" s="908" t="str">
        <f>TiposLancamentos!B17</f>
        <v>GATO</v>
      </c>
      <c r="C1708" s="909" t="s">
        <v>24418</v>
      </c>
      <c r="D1708" s="910"/>
      <c r="E1708" s="911">
        <v>147.80000000000001</v>
      </c>
      <c r="F1708" s="933"/>
    </row>
    <row r="1709" spans="1:6">
      <c r="A1709" s="932">
        <v>41596</v>
      </c>
      <c r="B1709" s="908" t="str">
        <f>TiposLancamentos!B16</f>
        <v>Cristiane</v>
      </c>
      <c r="C1709" s="909" t="s">
        <v>24419</v>
      </c>
      <c r="D1709" s="910"/>
      <c r="E1709" s="911">
        <v>29.2</v>
      </c>
      <c r="F1709" s="933"/>
    </row>
    <row r="1710" spans="1:6">
      <c r="A1710" s="932">
        <v>41597</v>
      </c>
      <c r="B1710" s="908" t="str">
        <f>TiposLancamentos!B16</f>
        <v>Cristiane</v>
      </c>
      <c r="C1710" s="909" t="s">
        <v>24420</v>
      </c>
      <c r="D1710" s="910"/>
      <c r="E1710" s="911">
        <v>26.97</v>
      </c>
      <c r="F1710" s="933"/>
    </row>
    <row r="1711" spans="1:6">
      <c r="A1711" s="864">
        <v>41599</v>
      </c>
      <c r="B1711" s="76" t="str">
        <f>TiposLancamentos!B4</f>
        <v>Taxas Bancarias</v>
      </c>
      <c r="C1711" s="147" t="s">
        <v>24421</v>
      </c>
      <c r="D1711" s="63"/>
      <c r="E1711" s="231">
        <v>0.88</v>
      </c>
      <c r="F1711" s="927"/>
    </row>
    <row r="1712" spans="1:6">
      <c r="A1712" s="934"/>
      <c r="B1712" s="226"/>
      <c r="C1712" s="227" t="s">
        <v>10</v>
      </c>
      <c r="D1712" s="228"/>
      <c r="E1712" s="228"/>
      <c r="F1712" s="935"/>
    </row>
    <row r="1713" spans="1:6">
      <c r="A1713" s="932">
        <v>41604</v>
      </c>
      <c r="B1713" s="908" t="str">
        <f>TiposLancamentos!B16</f>
        <v>Cristiane</v>
      </c>
      <c r="C1713" s="909" t="s">
        <v>12029</v>
      </c>
      <c r="D1713" s="910"/>
      <c r="E1713" s="911">
        <v>120.68</v>
      </c>
      <c r="F1713" s="933"/>
    </row>
    <row r="1714" spans="1:6">
      <c r="A1714" s="932">
        <v>41604</v>
      </c>
      <c r="B1714" s="908" t="str">
        <f>TiposLancamentos!B29</f>
        <v>Mangá</v>
      </c>
      <c r="C1714" s="909" t="s">
        <v>24422</v>
      </c>
      <c r="D1714" s="910"/>
      <c r="E1714" s="911">
        <v>11.9</v>
      </c>
      <c r="F1714" s="933"/>
    </row>
    <row r="1715" spans="1:6">
      <c r="A1715" s="932">
        <v>41604</v>
      </c>
      <c r="B1715" s="908" t="str">
        <f>TiposLancamentos!B5</f>
        <v>Supermercado</v>
      </c>
      <c r="C1715" s="909" t="s">
        <v>5977</v>
      </c>
      <c r="D1715" s="910"/>
      <c r="E1715" s="911">
        <v>179.47</v>
      </c>
      <c r="F1715" s="933"/>
    </row>
    <row r="1716" spans="1:6">
      <c r="A1716" s="864">
        <v>41605</v>
      </c>
      <c r="B1716" s="76" t="str">
        <f>TiposLancamentos!B88</f>
        <v>Ford Ecosport XLT</v>
      </c>
      <c r="C1716" s="147" t="s">
        <v>24423</v>
      </c>
      <c r="D1716" s="63"/>
      <c r="E1716" s="231">
        <f>299/6</f>
        <v>49.833333333333336</v>
      </c>
      <c r="F1716" s="927"/>
    </row>
    <row r="1717" spans="1:6">
      <c r="A1717" s="864">
        <v>41607</v>
      </c>
      <c r="B1717" s="76" t="str">
        <f>TiposLancamentos!B88</f>
        <v>Ford Ecosport XLT</v>
      </c>
      <c r="C1717" s="147" t="s">
        <v>24424</v>
      </c>
      <c r="D1717" s="63"/>
      <c r="E1717" s="231">
        <v>532</v>
      </c>
      <c r="F1717" s="927"/>
    </row>
    <row r="1718" spans="1:6">
      <c r="A1718" s="932">
        <v>41607</v>
      </c>
      <c r="B1718" s="908" t="str">
        <f>TiposLancamentos!B16</f>
        <v>Cristiane</v>
      </c>
      <c r="C1718" s="909" t="s">
        <v>24425</v>
      </c>
      <c r="D1718" s="910"/>
      <c r="E1718" s="911">
        <v>105</v>
      </c>
      <c r="F1718" s="933"/>
    </row>
    <row r="1719" spans="1:6" ht="14.25" thickBot="1">
      <c r="A1719" s="864">
        <v>41608</v>
      </c>
      <c r="B1719" s="76" t="str">
        <f>TiposLancamentos!B31</f>
        <v>Action Figures</v>
      </c>
      <c r="C1719" s="147" t="s">
        <v>24426</v>
      </c>
      <c r="D1719" s="63"/>
      <c r="E1719" s="231">
        <v>24.16</v>
      </c>
      <c r="F1719" s="927"/>
    </row>
    <row r="1720" spans="1:6">
      <c r="A1720" s="893"/>
      <c r="B1720" s="894"/>
      <c r="C1720" s="906" t="s">
        <v>6381</v>
      </c>
      <c r="D1720" s="896"/>
      <c r="E1720" s="925"/>
      <c r="F1720" s="926">
        <f>SUM(E1682:E1711)-D1688-D1685-D1685</f>
        <v>1557.1633333333332</v>
      </c>
    </row>
    <row r="1721" spans="1:6">
      <c r="A1721" s="932">
        <v>41610</v>
      </c>
      <c r="B1721" s="908" t="str">
        <f>TiposLancamentos!B16</f>
        <v>Cristiane</v>
      </c>
      <c r="C1721" s="909" t="s">
        <v>24427</v>
      </c>
      <c r="D1721" s="910"/>
      <c r="E1721" s="911">
        <v>252.6</v>
      </c>
      <c r="F1721" s="933">
        <f>F1720-F1692</f>
        <v>-3627.4500000000025</v>
      </c>
    </row>
    <row r="1722" spans="1:6">
      <c r="A1722" s="864">
        <v>41610</v>
      </c>
      <c r="B1722" s="76" t="str">
        <f>TiposLancamentos!B15</f>
        <v>Cartões de Crédito</v>
      </c>
      <c r="C1722" s="147" t="s">
        <v>1874</v>
      </c>
      <c r="D1722" s="63">
        <v>1557.16</v>
      </c>
      <c r="E1722" s="231"/>
      <c r="F1722" s="927"/>
    </row>
    <row r="1723" spans="1:6">
      <c r="A1723" s="932">
        <v>41610</v>
      </c>
      <c r="B1723" s="908" t="str">
        <f>TiposLancamentos!B16</f>
        <v>Cristiane</v>
      </c>
      <c r="C1723" s="909" t="s">
        <v>24428</v>
      </c>
      <c r="D1723" s="910"/>
      <c r="E1723" s="911">
        <v>270</v>
      </c>
      <c r="F1723" s="933"/>
    </row>
    <row r="1724" spans="1:6">
      <c r="A1724" s="932">
        <v>41612</v>
      </c>
      <c r="B1724" s="908" t="str">
        <f>TiposLancamentos!B16</f>
        <v>Cristiane</v>
      </c>
      <c r="C1724" s="909" t="s">
        <v>24429</v>
      </c>
      <c r="D1724" s="910"/>
      <c r="E1724" s="911">
        <v>14.66</v>
      </c>
      <c r="F1724" s="933" t="s">
        <v>24430</v>
      </c>
    </row>
    <row r="1725" spans="1:6">
      <c r="A1725" s="864">
        <v>41612</v>
      </c>
      <c r="B1725" s="76" t="str">
        <f>TiposLancamentos!B16</f>
        <v>Cristiane</v>
      </c>
      <c r="C1725" s="147" t="s">
        <v>24431</v>
      </c>
      <c r="D1725" s="63"/>
      <c r="E1725" s="231">
        <v>16.2</v>
      </c>
      <c r="F1725" s="927"/>
    </row>
    <row r="1726" spans="1:6">
      <c r="A1726" s="932">
        <v>41612</v>
      </c>
      <c r="B1726" s="908" t="str">
        <f>TiposLancamentos!B5</f>
        <v>Supermercado</v>
      </c>
      <c r="C1726" s="909" t="s">
        <v>5957</v>
      </c>
      <c r="D1726" s="910"/>
      <c r="E1726" s="911">
        <v>18.940000000000001</v>
      </c>
      <c r="F1726" s="933"/>
    </row>
    <row r="1727" spans="1:6">
      <c r="A1727" s="932">
        <v>41615</v>
      </c>
      <c r="B1727" s="908" t="str">
        <f>TiposLancamentos!B16</f>
        <v>Cristiane</v>
      </c>
      <c r="C1727" s="909" t="s">
        <v>24432</v>
      </c>
      <c r="D1727" s="910"/>
      <c r="E1727" s="911">
        <v>203</v>
      </c>
      <c r="F1727" s="933"/>
    </row>
    <row r="1728" spans="1:6">
      <c r="A1728" s="932">
        <v>41615</v>
      </c>
      <c r="B1728" s="908" t="str">
        <f>TiposLancamentos!B16</f>
        <v>Cristiane</v>
      </c>
      <c r="C1728" s="909" t="s">
        <v>24433</v>
      </c>
      <c r="D1728" s="910"/>
      <c r="E1728" s="911">
        <v>57.75</v>
      </c>
      <c r="F1728" s="933"/>
    </row>
    <row r="1729" spans="1:7">
      <c r="A1729" s="864">
        <v>41616</v>
      </c>
      <c r="B1729" s="76" t="str">
        <f>TiposLancamentos!B16</f>
        <v>Cristiane</v>
      </c>
      <c r="C1729" s="147" t="s">
        <v>24434</v>
      </c>
      <c r="D1729" s="63"/>
      <c r="E1729" s="231">
        <v>26.61</v>
      </c>
      <c r="F1729" s="927"/>
    </row>
    <row r="1730" spans="1:7">
      <c r="A1730" s="864">
        <v>41616</v>
      </c>
      <c r="B1730" s="76" t="str">
        <f>TiposLancamentos!B19</f>
        <v>Restaurantes</v>
      </c>
      <c r="C1730" s="147" t="s">
        <v>24435</v>
      </c>
      <c r="D1730" s="63"/>
      <c r="E1730" s="231">
        <v>27.99</v>
      </c>
      <c r="F1730" s="927"/>
    </row>
    <row r="1731" spans="1:7">
      <c r="A1731" s="932">
        <v>41617</v>
      </c>
      <c r="B1731" s="908" t="str">
        <f>TiposLancamentos!B5</f>
        <v>Supermercado</v>
      </c>
      <c r="C1731" s="909" t="s">
        <v>5957</v>
      </c>
      <c r="D1731" s="910"/>
      <c r="E1731" s="911">
        <v>100.44</v>
      </c>
      <c r="F1731" s="933"/>
    </row>
    <row r="1732" spans="1:7">
      <c r="A1732" s="932">
        <v>41617</v>
      </c>
      <c r="B1732" s="908" t="str">
        <f>TiposLancamentos!B16</f>
        <v>Cristiane</v>
      </c>
      <c r="C1732" s="909" t="s">
        <v>24436</v>
      </c>
      <c r="D1732" s="910"/>
      <c r="E1732" s="911">
        <v>91</v>
      </c>
      <c r="F1732" s="933"/>
    </row>
    <row r="1733" spans="1:7">
      <c r="A1733" s="932">
        <v>41619</v>
      </c>
      <c r="B1733" s="908" t="str">
        <f>TiposLancamentos!B5</f>
        <v>Supermercado</v>
      </c>
      <c r="C1733" s="909" t="s">
        <v>5957</v>
      </c>
      <c r="D1733" s="910"/>
      <c r="E1733" s="911">
        <v>123.26</v>
      </c>
      <c r="F1733" s="933"/>
    </row>
    <row r="1734" spans="1:7">
      <c r="A1734" s="864">
        <v>41619</v>
      </c>
      <c r="B1734" s="76" t="str">
        <f>TiposLancamentos!B31</f>
        <v>Action Figures</v>
      </c>
      <c r="C1734" s="147" t="s">
        <v>24437</v>
      </c>
      <c r="D1734" s="63"/>
      <c r="E1734" s="231">
        <v>93.42</v>
      </c>
      <c r="F1734" s="927"/>
    </row>
    <row r="1735" spans="1:7">
      <c r="A1735" s="864">
        <v>41622</v>
      </c>
      <c r="B1735" s="76" t="str">
        <f>TiposLancamentos!B87</f>
        <v>P207-1.6-XS</v>
      </c>
      <c r="C1735" s="147" t="s">
        <v>24438</v>
      </c>
      <c r="D1735" s="63"/>
      <c r="E1735" s="231">
        <v>246</v>
      </c>
      <c r="F1735" s="927"/>
    </row>
    <row r="1736" spans="1:7">
      <c r="A1736" s="932">
        <v>41625</v>
      </c>
      <c r="B1736" s="908" t="str">
        <f>TiposLancamentos!B16</f>
        <v>Cristiane</v>
      </c>
      <c r="C1736" s="909" t="s">
        <v>16320</v>
      </c>
      <c r="D1736" s="910"/>
      <c r="E1736" s="911">
        <v>80.23</v>
      </c>
      <c r="F1736" s="933"/>
    </row>
    <row r="1737" spans="1:7">
      <c r="A1737" s="864">
        <v>41627</v>
      </c>
      <c r="B1737" s="76" t="str">
        <f>TiposLancamentos!B4</f>
        <v>Taxas Bancarias</v>
      </c>
      <c r="C1737" s="147" t="s">
        <v>24439</v>
      </c>
      <c r="D1737" s="63"/>
      <c r="E1737" s="231">
        <v>0.91</v>
      </c>
      <c r="F1737" s="927"/>
    </row>
    <row r="1738" spans="1:7">
      <c r="A1738" s="934"/>
      <c r="B1738" s="226"/>
      <c r="C1738" s="227" t="s">
        <v>10</v>
      </c>
      <c r="D1738" s="228"/>
      <c r="E1738" s="228"/>
      <c r="F1738" s="935"/>
      <c r="G1738" s="36"/>
    </row>
    <row r="1739" spans="1:7">
      <c r="A1739" s="932">
        <v>41631</v>
      </c>
      <c r="B1739" s="908" t="str">
        <f>TiposLancamentos!B5</f>
        <v>Supermercado</v>
      </c>
      <c r="C1739" s="909" t="s">
        <v>24440</v>
      </c>
      <c r="D1739" s="910"/>
      <c r="E1739" s="911">
        <v>60.5</v>
      </c>
      <c r="F1739" s="933"/>
    </row>
    <row r="1740" spans="1:7">
      <c r="A1740" s="932">
        <v>41631</v>
      </c>
      <c r="B1740" s="908" t="str">
        <f>TiposLancamentos!B5</f>
        <v>Supermercado</v>
      </c>
      <c r="C1740" s="909" t="s">
        <v>24441</v>
      </c>
      <c r="D1740" s="910"/>
      <c r="E1740" s="911">
        <v>236.42</v>
      </c>
      <c r="F1740" s="933"/>
    </row>
    <row r="1741" spans="1:7">
      <c r="A1741" s="864">
        <v>41635</v>
      </c>
      <c r="B1741" s="76" t="str">
        <f>TiposLancamentos!B88</f>
        <v>Ford Ecosport XLT</v>
      </c>
      <c r="C1741" s="147" t="s">
        <v>24442</v>
      </c>
      <c r="D1741" s="63"/>
      <c r="E1741" s="231">
        <f>299/6</f>
        <v>49.833333333333336</v>
      </c>
      <c r="F1741" s="927"/>
    </row>
    <row r="1742" spans="1:7">
      <c r="A1742" s="864">
        <v>41637</v>
      </c>
      <c r="B1742" s="76" t="str">
        <f>TiposLancamentos!B88</f>
        <v>Ford Ecosport XLT</v>
      </c>
      <c r="C1742" s="147" t="s">
        <v>24443</v>
      </c>
      <c r="D1742" s="63"/>
      <c r="E1742" s="231">
        <v>532</v>
      </c>
      <c r="F1742" s="927"/>
    </row>
    <row r="1743" spans="1:7">
      <c r="A1743" s="864">
        <v>41638</v>
      </c>
      <c r="B1743" s="76" t="str">
        <f>TiposLancamentos!B31</f>
        <v>Action Figures</v>
      </c>
      <c r="C1743" s="147" t="s">
        <v>24444</v>
      </c>
      <c r="D1743" s="63"/>
      <c r="E1743" s="231">
        <v>24.16</v>
      </c>
      <c r="F1743" s="927"/>
    </row>
    <row r="1744" spans="1:7" ht="14.25" thickBot="1">
      <c r="A1744" s="864">
        <v>41305</v>
      </c>
      <c r="B1744" s="76" t="str">
        <f>TiposLancamentos!B4</f>
        <v>Taxas Bancarias</v>
      </c>
      <c r="C1744" s="147" t="s">
        <v>24445</v>
      </c>
      <c r="D1744" s="63"/>
      <c r="E1744" s="231">
        <v>0.1</v>
      </c>
      <c r="F1744" s="927"/>
    </row>
    <row r="1745" spans="1:7">
      <c r="A1745" s="893"/>
      <c r="B1745" s="894"/>
      <c r="C1745" s="906" t="s">
        <v>6426</v>
      </c>
      <c r="D1745" s="896"/>
      <c r="E1745" s="925"/>
      <c r="F1745" s="926">
        <f>SUM(E1713:E1737)</f>
        <v>2646.0533333333337</v>
      </c>
    </row>
    <row r="1746" spans="1:7">
      <c r="A1746" s="864">
        <v>41641</v>
      </c>
      <c r="B1746" s="76" t="str">
        <f>TiposLancamentos!B15</f>
        <v>Cartões de Crédito</v>
      </c>
      <c r="C1746" s="147" t="s">
        <v>1874</v>
      </c>
      <c r="D1746" s="63">
        <v>2646.05</v>
      </c>
      <c r="E1746" s="231"/>
      <c r="F1746" s="927">
        <f>F1745-F1720</f>
        <v>1088.8900000000006</v>
      </c>
    </row>
    <row r="1747" spans="1:7">
      <c r="A1747" s="864">
        <v>41642</v>
      </c>
      <c r="B1747" s="76" t="str">
        <f>TiposLancamentos!B98</f>
        <v>Restituições</v>
      </c>
      <c r="C1747" s="147" t="s">
        <v>24446</v>
      </c>
      <c r="D1747" s="63">
        <v>2.73</v>
      </c>
      <c r="E1747" s="231"/>
      <c r="F1747" s="927"/>
    </row>
    <row r="1748" spans="1:7">
      <c r="A1748" s="932">
        <v>41647</v>
      </c>
      <c r="B1748" s="908" t="str">
        <f>TiposLancamentos!B5</f>
        <v>Supermercado</v>
      </c>
      <c r="C1748" s="909" t="s">
        <v>6414</v>
      </c>
      <c r="D1748" s="910"/>
      <c r="E1748" s="911">
        <v>142.02000000000001</v>
      </c>
      <c r="F1748" s="933"/>
    </row>
    <row r="1749" spans="1:7">
      <c r="A1749" s="932">
        <v>41648</v>
      </c>
      <c r="B1749" s="908" t="str">
        <f>TiposLancamentos!B17</f>
        <v>GATO</v>
      </c>
      <c r="C1749" s="909" t="s">
        <v>9982</v>
      </c>
      <c r="D1749" s="910"/>
      <c r="E1749" s="911">
        <v>37.5</v>
      </c>
      <c r="F1749" s="933"/>
    </row>
    <row r="1750" spans="1:7">
      <c r="A1750" s="932">
        <v>41649</v>
      </c>
      <c r="B1750" s="908" t="str">
        <f>TiposLancamentos!B16</f>
        <v>Cristiane</v>
      </c>
      <c r="C1750" s="909" t="s">
        <v>24447</v>
      </c>
      <c r="D1750" s="910"/>
      <c r="E1750" s="911">
        <v>105.65</v>
      </c>
      <c r="F1750" s="933"/>
    </row>
    <row r="1751" spans="1:7">
      <c r="A1751" s="864">
        <v>41650</v>
      </c>
      <c r="B1751" s="76" t="str">
        <f>TiposLancamentos!B31</f>
        <v>Action Figures</v>
      </c>
      <c r="C1751" s="147" t="s">
        <v>24448</v>
      </c>
      <c r="D1751" s="63"/>
      <c r="E1751" s="231">
        <v>93.42</v>
      </c>
      <c r="F1751" s="927"/>
    </row>
    <row r="1752" spans="1:7">
      <c r="A1752" s="864">
        <v>41653</v>
      </c>
      <c r="B1752" s="76" t="str">
        <f>TiposLancamentos!B87</f>
        <v>P207-1.6-XS</v>
      </c>
      <c r="C1752" s="147" t="s">
        <v>24449</v>
      </c>
      <c r="D1752" s="63"/>
      <c r="E1752" s="231">
        <v>246</v>
      </c>
      <c r="F1752" s="927"/>
    </row>
    <row r="1753" spans="1:7">
      <c r="A1753" s="932">
        <v>41654</v>
      </c>
      <c r="B1753" s="908" t="str">
        <f>TiposLancamentos!B5</f>
        <v>Supermercado</v>
      </c>
      <c r="C1753" s="909" t="s">
        <v>24450</v>
      </c>
      <c r="D1753" s="910"/>
      <c r="E1753" s="911">
        <v>28.5</v>
      </c>
      <c r="F1753" s="933"/>
    </row>
    <row r="1754" spans="1:7">
      <c r="A1754" s="932">
        <v>41654</v>
      </c>
      <c r="B1754" s="908" t="str">
        <f>TiposLancamentos!B5</f>
        <v>Supermercado</v>
      </c>
      <c r="C1754" s="909" t="s">
        <v>21142</v>
      </c>
      <c r="D1754" s="910"/>
      <c r="E1754" s="911">
        <v>48.7</v>
      </c>
      <c r="F1754" s="933"/>
    </row>
    <row r="1755" spans="1:7">
      <c r="A1755" s="932">
        <v>41655</v>
      </c>
      <c r="B1755" s="908" t="str">
        <f>TiposLancamentos!B16</f>
        <v>Cristiane</v>
      </c>
      <c r="C1755" s="909" t="s">
        <v>24451</v>
      </c>
      <c r="D1755" s="910"/>
      <c r="E1755" s="911">
        <v>40</v>
      </c>
      <c r="F1755" s="933"/>
    </row>
    <row r="1756" spans="1:7">
      <c r="A1756" s="932">
        <v>41655</v>
      </c>
      <c r="B1756" s="908" t="str">
        <f>TiposLancamentos!B16</f>
        <v>Cristiane</v>
      </c>
      <c r="C1756" s="909" t="s">
        <v>24452</v>
      </c>
      <c r="D1756" s="910"/>
      <c r="E1756" s="911">
        <v>70</v>
      </c>
      <c r="F1756" s="933"/>
    </row>
    <row r="1757" spans="1:7">
      <c r="A1757" s="932">
        <v>41658</v>
      </c>
      <c r="B1757" s="908" t="str">
        <f>TiposLancamentos!B16</f>
        <v>Cristiane</v>
      </c>
      <c r="C1757" s="909" t="s">
        <v>24453</v>
      </c>
      <c r="D1757" s="910"/>
      <c r="E1757" s="911">
        <v>30.36</v>
      </c>
      <c r="F1757" s="933"/>
    </row>
    <row r="1758" spans="1:7">
      <c r="A1758" s="932">
        <v>41658</v>
      </c>
      <c r="B1758" s="908" t="str">
        <f>TiposLancamentos!B16</f>
        <v>Cristiane</v>
      </c>
      <c r="C1758" s="909" t="s">
        <v>24454</v>
      </c>
      <c r="D1758" s="910"/>
      <c r="E1758" s="911">
        <v>30</v>
      </c>
      <c r="F1758" s="933"/>
    </row>
    <row r="1759" spans="1:7">
      <c r="A1759" s="934"/>
      <c r="B1759" s="226"/>
      <c r="C1759" s="227" t="s">
        <v>10</v>
      </c>
      <c r="D1759" s="228"/>
      <c r="E1759" s="228"/>
      <c r="F1759" s="935"/>
      <c r="G1759" s="36"/>
    </row>
    <row r="1760" spans="1:7">
      <c r="A1760" s="932">
        <v>41661</v>
      </c>
      <c r="B1760" s="908" t="str">
        <f>TiposLancamentos!B16</f>
        <v>Cristiane</v>
      </c>
      <c r="C1760" s="909" t="s">
        <v>2218</v>
      </c>
      <c r="D1760" s="910"/>
      <c r="E1760" s="911">
        <v>17.13</v>
      </c>
      <c r="F1760" s="933"/>
    </row>
    <row r="1761" spans="1:6">
      <c r="A1761" s="932">
        <v>41662</v>
      </c>
      <c r="B1761" s="908" t="str">
        <f>TiposLancamentos!B16</f>
        <v>Cristiane</v>
      </c>
      <c r="C1761" s="909" t="s">
        <v>2218</v>
      </c>
      <c r="D1761" s="910"/>
      <c r="E1761" s="911">
        <v>20.85</v>
      </c>
      <c r="F1761" s="933"/>
    </row>
    <row r="1762" spans="1:6">
      <c r="A1762" s="864">
        <v>41666</v>
      </c>
      <c r="B1762" s="76" t="str">
        <f>TiposLancamentos!B88</f>
        <v>Ford Ecosport XLT</v>
      </c>
      <c r="C1762" s="147" t="s">
        <v>24455</v>
      </c>
      <c r="D1762" s="63"/>
      <c r="E1762" s="231">
        <f>299/6</f>
        <v>49.833333333333336</v>
      </c>
      <c r="F1762" s="927"/>
    </row>
    <row r="1763" spans="1:6">
      <c r="A1763" s="932">
        <v>41666</v>
      </c>
      <c r="B1763" s="908" t="str">
        <f>TiposLancamentos!B5</f>
        <v>Supermercado</v>
      </c>
      <c r="C1763" s="909" t="s">
        <v>5957</v>
      </c>
      <c r="D1763" s="910"/>
      <c r="E1763" s="911">
        <v>161</v>
      </c>
      <c r="F1763" s="933"/>
    </row>
    <row r="1764" spans="1:6">
      <c r="A1764" s="932">
        <v>41666</v>
      </c>
      <c r="B1764" s="908" t="str">
        <f>TiposLancamentos!B5</f>
        <v>Supermercado</v>
      </c>
      <c r="C1764" s="909" t="s">
        <v>22762</v>
      </c>
      <c r="D1764" s="910"/>
      <c r="E1764" s="911">
        <v>31.78</v>
      </c>
      <c r="F1764" s="933"/>
    </row>
    <row r="1765" spans="1:6">
      <c r="A1765" s="864">
        <v>41668</v>
      </c>
      <c r="B1765" s="76" t="str">
        <f>TiposLancamentos!B88</f>
        <v>Ford Ecosport XLT</v>
      </c>
      <c r="C1765" s="147" t="s">
        <v>24456</v>
      </c>
      <c r="D1765" s="63"/>
      <c r="E1765" s="231">
        <v>532</v>
      </c>
      <c r="F1765" s="927"/>
    </row>
    <row r="1766" spans="1:6" ht="14.25" thickBot="1">
      <c r="A1766" s="864">
        <v>41669</v>
      </c>
      <c r="B1766" s="76" t="str">
        <f>TiposLancamentos!B31</f>
        <v>Action Figures</v>
      </c>
      <c r="C1766" s="147" t="s">
        <v>24457</v>
      </c>
      <c r="D1766" s="63"/>
      <c r="E1766" s="231">
        <v>24.16</v>
      </c>
      <c r="F1766" s="927"/>
    </row>
    <row r="1767" spans="1:6">
      <c r="A1767" s="893"/>
      <c r="B1767" s="894"/>
      <c r="C1767" s="906" t="s">
        <v>6446</v>
      </c>
      <c r="D1767" s="896"/>
      <c r="E1767" s="925"/>
      <c r="F1767" s="926">
        <f>SUM(E1739:E1758)-D1747</f>
        <v>1772.4333333333334</v>
      </c>
    </row>
    <row r="1768" spans="1:6">
      <c r="A1768" s="864">
        <v>41673</v>
      </c>
      <c r="B1768" s="76" t="str">
        <f>TiposLancamentos!B15</f>
        <v>Cartões de Crédito</v>
      </c>
      <c r="C1768" s="147" t="s">
        <v>1874</v>
      </c>
      <c r="D1768" s="63">
        <v>1772.43</v>
      </c>
      <c r="E1768" s="231"/>
      <c r="F1768" s="927">
        <f>F1767-F1745</f>
        <v>-873.62000000000035</v>
      </c>
    </row>
    <row r="1769" spans="1:6">
      <c r="A1769" s="932">
        <v>41674</v>
      </c>
      <c r="B1769" s="908" t="str">
        <f>TiposLancamentos!B16</f>
        <v>Cristiane</v>
      </c>
      <c r="C1769" s="909" t="s">
        <v>24458</v>
      </c>
      <c r="D1769" s="910"/>
      <c r="E1769" s="911">
        <v>49.8</v>
      </c>
      <c r="F1769" s="933"/>
    </row>
    <row r="1770" spans="1:6">
      <c r="A1770" s="932">
        <v>41677</v>
      </c>
      <c r="B1770" s="908" t="str">
        <f>TiposLancamentos!B5</f>
        <v>Supermercado</v>
      </c>
      <c r="C1770" s="909" t="s">
        <v>6234</v>
      </c>
      <c r="D1770" s="910"/>
      <c r="E1770" s="911">
        <v>97.61</v>
      </c>
      <c r="F1770" s="933"/>
    </row>
    <row r="1771" spans="1:6">
      <c r="A1771" s="932">
        <v>41681</v>
      </c>
      <c r="B1771" s="908" t="str">
        <f>TiposLancamentos!B17</f>
        <v>GATO</v>
      </c>
      <c r="C1771" s="909" t="s">
        <v>24459</v>
      </c>
      <c r="D1771" s="910"/>
      <c r="E1771" s="911">
        <v>161.9</v>
      </c>
      <c r="F1771" s="933"/>
    </row>
    <row r="1772" spans="1:6">
      <c r="A1772" s="864">
        <v>41681</v>
      </c>
      <c r="B1772" s="76" t="str">
        <f>TiposLancamentos!B31</f>
        <v>Action Figures</v>
      </c>
      <c r="C1772" s="147" t="s">
        <v>24460</v>
      </c>
      <c r="D1772" s="63"/>
      <c r="E1772" s="231">
        <v>93.42</v>
      </c>
      <c r="F1772" s="927"/>
    </row>
    <row r="1773" spans="1:6">
      <c r="A1773" s="932">
        <v>41681</v>
      </c>
      <c r="B1773" s="908" t="str">
        <f>TiposLancamentos!B16</f>
        <v>Cristiane</v>
      </c>
      <c r="C1773" s="909" t="s">
        <v>24461</v>
      </c>
      <c r="D1773" s="910"/>
      <c r="E1773" s="911">
        <v>169.7</v>
      </c>
      <c r="F1773" s="933"/>
    </row>
    <row r="1774" spans="1:6">
      <c r="A1774" s="932">
        <v>41681</v>
      </c>
      <c r="B1774" s="908" t="str">
        <f>TiposLancamentos!B19</f>
        <v>Restaurantes</v>
      </c>
      <c r="C1774" s="909" t="s">
        <v>24462</v>
      </c>
      <c r="D1774" s="910"/>
      <c r="E1774" s="911">
        <v>80.08</v>
      </c>
      <c r="F1774" s="933"/>
    </row>
    <row r="1775" spans="1:6">
      <c r="A1775" s="932">
        <v>41682</v>
      </c>
      <c r="B1775" s="908" t="str">
        <f>TiposLancamentos!B22</f>
        <v>Combustivel</v>
      </c>
      <c r="C1775" s="909" t="s">
        <v>24463</v>
      </c>
      <c r="D1775" s="910"/>
      <c r="E1775" s="911">
        <v>60</v>
      </c>
      <c r="F1775" s="933"/>
    </row>
    <row r="1776" spans="1:6">
      <c r="A1776" s="932">
        <v>41683</v>
      </c>
      <c r="B1776" s="908" t="str">
        <f>TiposLancamentos!B5</f>
        <v>Supermercado</v>
      </c>
      <c r="C1776" s="909" t="s">
        <v>17167</v>
      </c>
      <c r="D1776" s="910"/>
      <c r="E1776" s="911">
        <v>178.75</v>
      </c>
      <c r="F1776" s="933"/>
    </row>
    <row r="1777" spans="1:7">
      <c r="A1777" s="932">
        <v>41684</v>
      </c>
      <c r="B1777" s="908" t="str">
        <f>TiposLancamentos!B16</f>
        <v>Cristiane</v>
      </c>
      <c r="C1777" s="909" t="s">
        <v>24464</v>
      </c>
      <c r="D1777" s="910"/>
      <c r="E1777" s="911">
        <v>40</v>
      </c>
      <c r="F1777" s="933"/>
    </row>
    <row r="1778" spans="1:7">
      <c r="A1778" s="934"/>
      <c r="B1778" s="226"/>
      <c r="C1778" s="227" t="s">
        <v>10</v>
      </c>
      <c r="D1778" s="228"/>
      <c r="E1778" s="228"/>
      <c r="F1778" s="935"/>
      <c r="G1778" s="36"/>
    </row>
    <row r="1779" spans="1:7">
      <c r="A1779" s="932">
        <v>41695</v>
      </c>
      <c r="B1779" s="908" t="str">
        <f>TiposLancamentos!B16</f>
        <v>Cristiane</v>
      </c>
      <c r="C1779" s="909" t="s">
        <v>24465</v>
      </c>
      <c r="D1779" s="910"/>
      <c r="E1779" s="911">
        <v>54</v>
      </c>
      <c r="F1779" s="933"/>
    </row>
    <row r="1780" spans="1:7">
      <c r="A1780" s="932">
        <v>41696</v>
      </c>
      <c r="B1780" s="908" t="str">
        <f>TiposLancamentos!B16</f>
        <v>Cristiane</v>
      </c>
      <c r="C1780" s="909" t="s">
        <v>6052</v>
      </c>
      <c r="D1780" s="910"/>
      <c r="E1780" s="911">
        <v>67.5</v>
      </c>
      <c r="F1780" s="933"/>
    </row>
    <row r="1781" spans="1:7">
      <c r="A1781" s="932">
        <v>41696</v>
      </c>
      <c r="B1781" s="908" t="str">
        <f>TiposLancamentos!B19</f>
        <v>Restaurantes</v>
      </c>
      <c r="C1781" s="909" t="s">
        <v>24466</v>
      </c>
      <c r="D1781" s="910"/>
      <c r="E1781" s="911">
        <v>56.5</v>
      </c>
      <c r="F1781" s="933"/>
    </row>
    <row r="1782" spans="1:7">
      <c r="A1782" s="932">
        <v>41698</v>
      </c>
      <c r="B1782" s="908" t="str">
        <f>TiposLancamentos!B22</f>
        <v>Combustivel</v>
      </c>
      <c r="C1782" s="909" t="s">
        <v>6398</v>
      </c>
      <c r="D1782" s="910"/>
      <c r="E1782" s="911">
        <v>60</v>
      </c>
      <c r="F1782" s="933"/>
    </row>
    <row r="1783" spans="1:7">
      <c r="A1783" s="864">
        <v>41698</v>
      </c>
      <c r="B1783" s="76" t="str">
        <f>TiposLancamentos!B31</f>
        <v>Action Figures</v>
      </c>
      <c r="C1783" s="147" t="s">
        <v>24467</v>
      </c>
      <c r="D1783" s="63"/>
      <c r="E1783" s="231">
        <v>24.16</v>
      </c>
      <c r="F1783" s="927"/>
    </row>
    <row r="1784" spans="1:7" ht="14.25" thickBot="1">
      <c r="A1784" s="864">
        <v>41698</v>
      </c>
      <c r="B1784" s="76" t="str">
        <f>TiposLancamentos!B88</f>
        <v>Ford Ecosport XLT</v>
      </c>
      <c r="C1784" s="147" t="s">
        <v>24468</v>
      </c>
      <c r="D1784" s="63"/>
      <c r="E1784" s="231">
        <v>532</v>
      </c>
      <c r="F1784" s="927"/>
    </row>
    <row r="1785" spans="1:7">
      <c r="A1785" s="893"/>
      <c r="B1785" s="894"/>
      <c r="C1785" s="906" t="s">
        <v>20005</v>
      </c>
      <c r="D1785" s="896"/>
      <c r="E1785" s="925"/>
      <c r="F1785" s="926">
        <f>SUM(E1760:E1777)</f>
        <v>1768.0133333333333</v>
      </c>
    </row>
    <row r="1786" spans="1:7">
      <c r="A1786" s="864">
        <v>41699</v>
      </c>
      <c r="B1786" s="76" t="str">
        <f>TiposLancamentos!B15</f>
        <v>Cartões de Crédito</v>
      </c>
      <c r="C1786" s="147" t="s">
        <v>14126</v>
      </c>
      <c r="D1786" s="63">
        <v>1768.01</v>
      </c>
      <c r="E1786" s="231"/>
      <c r="F1786" s="927">
        <f>F1785-F1767</f>
        <v>-4.4200000000000728</v>
      </c>
    </row>
    <row r="1787" spans="1:7">
      <c r="A1787" s="864">
        <v>41709</v>
      </c>
      <c r="B1787" s="76" t="str">
        <f>TiposLancamentos!B31</f>
        <v>Action Figures</v>
      </c>
      <c r="C1787" s="147" t="s">
        <v>24469</v>
      </c>
      <c r="D1787" s="63"/>
      <c r="E1787" s="231">
        <v>93.42</v>
      </c>
      <c r="F1787" s="927"/>
    </row>
    <row r="1788" spans="1:7">
      <c r="A1788" s="934"/>
      <c r="B1788" s="226"/>
      <c r="C1788" s="227" t="s">
        <v>10</v>
      </c>
      <c r="D1788" s="228"/>
      <c r="E1788" s="228"/>
      <c r="F1788" s="935"/>
      <c r="G1788" s="36"/>
    </row>
    <row r="1789" spans="1:7">
      <c r="A1789" s="864">
        <v>41718</v>
      </c>
      <c r="B1789" s="76" t="str">
        <f>TiposLancamentos!B70</f>
        <v>Vestuário</v>
      </c>
      <c r="C1789" s="147" t="s">
        <v>24470</v>
      </c>
      <c r="D1789" s="63"/>
      <c r="E1789" s="231">
        <v>239.7</v>
      </c>
      <c r="F1789" s="927"/>
      <c r="G1789" s="36"/>
    </row>
    <row r="1790" spans="1:7">
      <c r="A1790" s="864">
        <v>41723</v>
      </c>
      <c r="B1790" s="76" t="str">
        <f>TiposLancamentos!B16</f>
        <v>Cristiane</v>
      </c>
      <c r="C1790" s="147" t="s">
        <v>24471</v>
      </c>
      <c r="D1790" s="63"/>
      <c r="E1790" s="231">
        <v>127.25</v>
      </c>
      <c r="F1790" s="927"/>
      <c r="G1790" s="36"/>
    </row>
    <row r="1791" spans="1:7">
      <c r="A1791" s="864">
        <v>41723</v>
      </c>
      <c r="B1791" s="76" t="str">
        <f>TiposLancamentos!B5</f>
        <v>Supermercado</v>
      </c>
      <c r="C1791" s="147" t="s">
        <v>6234</v>
      </c>
      <c r="D1791" s="63"/>
      <c r="E1791" s="231">
        <v>133.74</v>
      </c>
      <c r="F1791" s="927"/>
      <c r="G1791" s="36"/>
    </row>
    <row r="1792" spans="1:7">
      <c r="A1792" s="932">
        <v>41726</v>
      </c>
      <c r="B1792" s="908" t="str">
        <f>TiposLancamentos!B5</f>
        <v>Supermercado</v>
      </c>
      <c r="C1792" s="909" t="s">
        <v>5844</v>
      </c>
      <c r="D1792" s="910"/>
      <c r="E1792" s="911">
        <v>69.52</v>
      </c>
      <c r="F1792" s="933"/>
      <c r="G1792" s="36"/>
    </row>
    <row r="1793" spans="1:7">
      <c r="A1793" s="932">
        <v>41727</v>
      </c>
      <c r="B1793" s="908" t="str">
        <f>TiposLancamentos!B22</f>
        <v>Combustivel</v>
      </c>
      <c r="C1793" s="909" t="s">
        <v>18953</v>
      </c>
      <c r="D1793" s="910"/>
      <c r="E1793" s="911">
        <v>60</v>
      </c>
      <c r="F1793" s="933"/>
      <c r="G1793" s="36"/>
    </row>
    <row r="1794" spans="1:7" ht="14.25" thickBot="1">
      <c r="A1794" s="864">
        <v>41728</v>
      </c>
      <c r="B1794" s="76" t="str">
        <f>B1783</f>
        <v>Action Figures</v>
      </c>
      <c r="C1794" s="147" t="s">
        <v>24472</v>
      </c>
      <c r="D1794" s="63"/>
      <c r="E1794" s="231">
        <v>24.16</v>
      </c>
      <c r="F1794" s="927"/>
      <c r="G1794" s="36"/>
    </row>
    <row r="1795" spans="1:7">
      <c r="A1795" s="893"/>
      <c r="B1795" s="894"/>
      <c r="C1795" s="906" t="s">
        <v>6517</v>
      </c>
      <c r="D1795" s="896"/>
      <c r="E1795" s="925"/>
      <c r="F1795" s="926">
        <f>SUM(E1778:E1788)</f>
        <v>887.58</v>
      </c>
      <c r="G1795" s="36"/>
    </row>
    <row r="1796" spans="1:7">
      <c r="A1796" s="864">
        <v>41730</v>
      </c>
      <c r="B1796" s="76" t="str">
        <f>TiposLancamentos!B15</f>
        <v>Cartões de Crédito</v>
      </c>
      <c r="C1796" s="147" t="s">
        <v>14126</v>
      </c>
      <c r="D1796" s="63">
        <v>887.58</v>
      </c>
      <c r="E1796" s="231"/>
      <c r="F1796" s="927">
        <f>F1795-F1785</f>
        <v>-880.43333333333328</v>
      </c>
      <c r="G1796" s="36"/>
    </row>
    <row r="1797" spans="1:7">
      <c r="A1797" s="932">
        <v>41731</v>
      </c>
      <c r="B1797" s="908" t="str">
        <f>TiposLancamentos!B16</f>
        <v>Cristiane</v>
      </c>
      <c r="C1797" s="909" t="s">
        <v>24473</v>
      </c>
      <c r="D1797" s="910"/>
      <c r="E1797" s="911">
        <v>139.9</v>
      </c>
      <c r="F1797" s="933"/>
      <c r="G1797" s="36"/>
    </row>
    <row r="1798" spans="1:7">
      <c r="A1798" s="932">
        <v>41733</v>
      </c>
      <c r="B1798" s="908" t="str">
        <f>TiposLancamentos!B16</f>
        <v>Cristiane</v>
      </c>
      <c r="C1798" s="909" t="s">
        <v>6597</v>
      </c>
      <c r="D1798" s="910"/>
      <c r="E1798" s="911">
        <v>40.340000000000003</v>
      </c>
      <c r="F1798" s="933"/>
      <c r="G1798" s="36"/>
    </row>
    <row r="1799" spans="1:7">
      <c r="A1799" s="932">
        <v>41734</v>
      </c>
      <c r="B1799" s="908" t="str">
        <f>TiposLancamentos!B16</f>
        <v>Cristiane</v>
      </c>
      <c r="C1799" s="909" t="s">
        <v>6188</v>
      </c>
      <c r="D1799" s="910"/>
      <c r="E1799" s="911">
        <v>76.28</v>
      </c>
      <c r="F1799" s="933"/>
      <c r="G1799" s="36"/>
    </row>
    <row r="1800" spans="1:7">
      <c r="A1800" s="932">
        <v>41739</v>
      </c>
      <c r="B1800" s="908" t="str">
        <f>TiposLancamentos!B16</f>
        <v>Cristiane</v>
      </c>
      <c r="C1800" s="909" t="s">
        <v>24474</v>
      </c>
      <c r="D1800" s="910"/>
      <c r="E1800" s="911">
        <v>42.22</v>
      </c>
      <c r="F1800" s="933"/>
      <c r="G1800" s="36"/>
    </row>
    <row r="1801" spans="1:7">
      <c r="A1801" s="864">
        <v>41740</v>
      </c>
      <c r="B1801" s="76" t="str">
        <f>TiposLancamentos!B31</f>
        <v>Action Figures</v>
      </c>
      <c r="C1801" s="147" t="s">
        <v>24475</v>
      </c>
      <c r="D1801" s="63"/>
      <c r="E1801" s="231">
        <v>93.42</v>
      </c>
      <c r="F1801" s="927"/>
      <c r="G1801" s="36"/>
    </row>
    <row r="1802" spans="1:7">
      <c r="A1802" s="934"/>
      <c r="B1802" s="226"/>
      <c r="C1802" s="227" t="s">
        <v>10</v>
      </c>
      <c r="D1802" s="228"/>
      <c r="E1802" s="228"/>
      <c r="F1802" s="935"/>
      <c r="G1802" s="36"/>
    </row>
    <row r="1803" spans="1:7">
      <c r="A1803" s="932">
        <v>41752</v>
      </c>
      <c r="B1803" s="908" t="str">
        <f>TiposLancamentos!B5</f>
        <v>Supermercado</v>
      </c>
      <c r="C1803" s="909" t="s">
        <v>6581</v>
      </c>
      <c r="D1803" s="910"/>
      <c r="E1803" s="911">
        <v>155.35</v>
      </c>
      <c r="F1803" s="933"/>
      <c r="G1803" s="36"/>
    </row>
    <row r="1804" spans="1:7">
      <c r="A1804" s="864">
        <v>41755</v>
      </c>
      <c r="B1804" s="76" t="str">
        <f>TiposLancamentos!B19</f>
        <v>Restaurantes</v>
      </c>
      <c r="C1804" s="147" t="s">
        <v>24476</v>
      </c>
      <c r="D1804" s="63"/>
      <c r="E1804" s="231">
        <v>105.16</v>
      </c>
      <c r="F1804" s="927"/>
      <c r="G1804" s="36"/>
    </row>
    <row r="1805" spans="1:7" ht="14.25" thickBot="1">
      <c r="A1805" s="864">
        <v>41759</v>
      </c>
      <c r="B1805" s="76" t="str">
        <f>TiposLancamentos!B31</f>
        <v>Action Figures</v>
      </c>
      <c r="C1805" s="147" t="s">
        <v>24477</v>
      </c>
      <c r="D1805" s="63"/>
      <c r="E1805" s="231">
        <v>24.16</v>
      </c>
      <c r="F1805" s="927"/>
      <c r="G1805" s="36"/>
    </row>
    <row r="1806" spans="1:7">
      <c r="A1806" s="893"/>
      <c r="B1806" s="894"/>
      <c r="C1806" s="906" t="s">
        <v>6557</v>
      </c>
      <c r="D1806" s="896"/>
      <c r="E1806" s="925"/>
      <c r="F1806" s="926">
        <f>SUM(E1789:E1801)</f>
        <v>1046.53</v>
      </c>
      <c r="G1806" s="36"/>
    </row>
    <row r="1807" spans="1:7">
      <c r="A1807" s="864">
        <v>41761</v>
      </c>
      <c r="B1807" s="76" t="str">
        <f>TiposLancamentos!B15</f>
        <v>Cartões de Crédito</v>
      </c>
      <c r="C1807" s="147" t="s">
        <v>15114</v>
      </c>
      <c r="D1807" s="63">
        <v>1046.53</v>
      </c>
      <c r="E1807" s="231"/>
      <c r="F1807" s="927">
        <f>F1806-F1795</f>
        <v>158.94999999999993</v>
      </c>
      <c r="G1807" s="36"/>
    </row>
    <row r="1808" spans="1:7">
      <c r="A1808" s="932">
        <v>41764</v>
      </c>
      <c r="B1808" s="908" t="str">
        <f>TiposLancamentos!B16</f>
        <v>Cristiane</v>
      </c>
      <c r="C1808" s="909" t="s">
        <v>24478</v>
      </c>
      <c r="D1808" s="910"/>
      <c r="E1808" s="911">
        <v>162.44999999999999</v>
      </c>
      <c r="F1808" s="933"/>
      <c r="G1808" s="36"/>
    </row>
    <row r="1809" spans="1:7">
      <c r="A1809" s="932">
        <v>41764</v>
      </c>
      <c r="B1809" s="908" t="str">
        <f>TiposLancamentos!B16</f>
        <v>Cristiane</v>
      </c>
      <c r="C1809" s="909" t="s">
        <v>24479</v>
      </c>
      <c r="D1809" s="910"/>
      <c r="E1809" s="911">
        <v>30.6</v>
      </c>
      <c r="F1809" s="933"/>
      <c r="G1809" s="36"/>
    </row>
    <row r="1810" spans="1:7">
      <c r="A1810" s="864">
        <v>41770</v>
      </c>
      <c r="B1810" s="76" t="str">
        <f>TiposLancamentos!B31</f>
        <v>Action Figures</v>
      </c>
      <c r="C1810" s="147" t="s">
        <v>24480</v>
      </c>
      <c r="D1810" s="63"/>
      <c r="E1810" s="231">
        <v>93.42</v>
      </c>
      <c r="F1810" s="927"/>
      <c r="G1810" s="36"/>
    </row>
    <row r="1811" spans="1:7">
      <c r="A1811" s="934"/>
      <c r="B1811" s="226"/>
      <c r="C1811" s="227" t="s">
        <v>10</v>
      </c>
      <c r="D1811" s="228"/>
      <c r="E1811" s="228"/>
      <c r="F1811" s="935"/>
      <c r="G1811" s="36"/>
    </row>
    <row r="1812" spans="1:7">
      <c r="A1812" s="932">
        <v>41784</v>
      </c>
      <c r="B1812" s="908" t="str">
        <f>TiposLancamentos!B5</f>
        <v>Supermercado</v>
      </c>
      <c r="C1812" s="909" t="s">
        <v>3902</v>
      </c>
      <c r="D1812" s="910"/>
      <c r="E1812" s="911">
        <v>181.72</v>
      </c>
      <c r="F1812" s="933"/>
      <c r="G1812" s="36"/>
    </row>
    <row r="1813" spans="1:7">
      <c r="A1813" s="932">
        <v>41785</v>
      </c>
      <c r="B1813" s="908" t="str">
        <f>TiposLancamentos!B5</f>
        <v>Supermercado</v>
      </c>
      <c r="C1813" s="909" t="s">
        <v>5862</v>
      </c>
      <c r="D1813" s="910"/>
      <c r="E1813" s="911">
        <v>27.61</v>
      </c>
      <c r="F1813" s="933"/>
      <c r="G1813" s="36"/>
    </row>
    <row r="1814" spans="1:7">
      <c r="A1814" s="864">
        <v>41789</v>
      </c>
      <c r="B1814" s="76" t="str">
        <f>TiposLancamentos!B31</f>
        <v>Action Figures</v>
      </c>
      <c r="C1814" s="147" t="s">
        <v>24481</v>
      </c>
      <c r="D1814" s="63"/>
      <c r="E1814" s="231">
        <v>24.16</v>
      </c>
      <c r="F1814" s="927"/>
      <c r="G1814" s="36"/>
    </row>
    <row r="1815" spans="1:7">
      <c r="A1815" s="932">
        <v>41789</v>
      </c>
      <c r="B1815" s="908" t="str">
        <f>TiposLancamentos!B5</f>
        <v>Supermercado</v>
      </c>
      <c r="C1815" s="909" t="s">
        <v>5844</v>
      </c>
      <c r="D1815" s="910"/>
      <c r="E1815" s="911">
        <v>134.11000000000001</v>
      </c>
      <c r="F1815" s="933"/>
      <c r="G1815" s="36"/>
    </row>
    <row r="1816" spans="1:7">
      <c r="A1816" s="932">
        <v>41790</v>
      </c>
      <c r="B1816" s="908" t="str">
        <f>TiposLancamentos!B16</f>
        <v>Cristiane</v>
      </c>
      <c r="C1816" s="909" t="s">
        <v>24482</v>
      </c>
      <c r="D1816" s="910"/>
      <c r="E1816" s="911">
        <v>85.2</v>
      </c>
      <c r="F1816" s="933"/>
      <c r="G1816" s="36"/>
    </row>
    <row r="1817" spans="1:7" ht="14.25" thickBot="1">
      <c r="A1817" s="932">
        <v>41790</v>
      </c>
      <c r="B1817" s="908" t="str">
        <f>TiposLancamentos!B5</f>
        <v>Supermercado</v>
      </c>
      <c r="C1817" s="909" t="s">
        <v>6724</v>
      </c>
      <c r="D1817" s="910"/>
      <c r="E1817" s="911">
        <v>38.82</v>
      </c>
      <c r="F1817" s="933"/>
      <c r="G1817" s="36"/>
    </row>
    <row r="1818" spans="1:7">
      <c r="A1818" s="893"/>
      <c r="B1818" s="894"/>
      <c r="C1818" s="906" t="s">
        <v>6612</v>
      </c>
      <c r="D1818" s="896"/>
      <c r="E1818" s="925"/>
      <c r="F1818" s="926">
        <f>SUM(E1803:E1810)</f>
        <v>571.14</v>
      </c>
      <c r="G1818" s="36"/>
    </row>
    <row r="1819" spans="1:7">
      <c r="A1819" s="932">
        <v>41791</v>
      </c>
      <c r="B1819" s="908" t="str">
        <f>TiposLancamentos!B16</f>
        <v>Cristiane</v>
      </c>
      <c r="C1819" s="909" t="s">
        <v>24483</v>
      </c>
      <c r="D1819" s="910"/>
      <c r="E1819" s="911">
        <v>70</v>
      </c>
      <c r="F1819" s="933">
        <f>F1818-F1806</f>
        <v>-475.39</v>
      </c>
      <c r="G1819" s="36"/>
    </row>
    <row r="1820" spans="1:7">
      <c r="A1820" s="864">
        <v>41792</v>
      </c>
      <c r="B1820" s="76" t="str">
        <f>TiposLancamentos!B15</f>
        <v>Cartões de Crédito</v>
      </c>
      <c r="C1820" s="878" t="s">
        <v>15658</v>
      </c>
      <c r="D1820" s="63">
        <v>571.14</v>
      </c>
      <c r="E1820" s="231"/>
      <c r="F1820" s="927"/>
      <c r="G1820" s="36"/>
    </row>
    <row r="1821" spans="1:7">
      <c r="A1821" s="864">
        <v>41793</v>
      </c>
      <c r="B1821" s="76" t="str">
        <f>TiposLancamentos!B22</f>
        <v>Combustivel</v>
      </c>
      <c r="C1821" s="147" t="s">
        <v>24484</v>
      </c>
      <c r="D1821" s="63"/>
      <c r="E1821" s="231">
        <v>80</v>
      </c>
      <c r="F1821" s="927"/>
      <c r="G1821" s="36"/>
    </row>
    <row r="1822" spans="1:7">
      <c r="A1822" s="932">
        <v>41796</v>
      </c>
      <c r="B1822" s="908" t="str">
        <f>TiposLancamentos!B5</f>
        <v>Supermercado</v>
      </c>
      <c r="C1822" s="909" t="s">
        <v>6234</v>
      </c>
      <c r="D1822" s="910"/>
      <c r="E1822" s="911">
        <v>266.58</v>
      </c>
      <c r="F1822" s="933"/>
      <c r="G1822" s="36"/>
    </row>
    <row r="1823" spans="1:7">
      <c r="A1823" s="864">
        <v>41801</v>
      </c>
      <c r="B1823" s="76" t="str">
        <f>TiposLancamentos!B31</f>
        <v>Action Figures</v>
      </c>
      <c r="C1823" s="147" t="s">
        <v>24485</v>
      </c>
      <c r="D1823" s="63"/>
      <c r="E1823" s="231">
        <v>93.42</v>
      </c>
      <c r="F1823" s="927"/>
      <c r="G1823" s="36"/>
    </row>
    <row r="1824" spans="1:7">
      <c r="A1824" s="932">
        <v>41805</v>
      </c>
      <c r="B1824" s="908" t="str">
        <f>TiposLancamentos!B16</f>
        <v>Cristiane</v>
      </c>
      <c r="C1824" s="909" t="s">
        <v>24486</v>
      </c>
      <c r="D1824" s="910"/>
      <c r="E1824" s="911">
        <v>70</v>
      </c>
      <c r="F1824" s="933"/>
      <c r="G1824" s="36"/>
    </row>
    <row r="1825" spans="1:7">
      <c r="A1825" s="932">
        <v>41805</v>
      </c>
      <c r="B1825" s="908" t="str">
        <f>TiposLancamentos!B16</f>
        <v>Cristiane</v>
      </c>
      <c r="C1825" s="909" t="s">
        <v>2912</v>
      </c>
      <c r="D1825" s="910"/>
      <c r="E1825" s="911">
        <v>28.5</v>
      </c>
      <c r="F1825" s="933"/>
      <c r="G1825" s="36"/>
    </row>
    <row r="1826" spans="1:7">
      <c r="A1826" s="934"/>
      <c r="B1826" s="226"/>
      <c r="C1826" s="227" t="s">
        <v>10</v>
      </c>
      <c r="D1826" s="228"/>
      <c r="E1826" s="228"/>
      <c r="F1826" s="935"/>
      <c r="G1826" s="36"/>
    </row>
    <row r="1827" spans="1:7" ht="14.25" thickBot="1">
      <c r="A1827" s="864">
        <v>41820</v>
      </c>
      <c r="B1827" s="76" t="str">
        <f>TiposLancamentos!B31</f>
        <v>Action Figures</v>
      </c>
      <c r="C1827" s="147" t="s">
        <v>24487</v>
      </c>
      <c r="D1827" s="63"/>
      <c r="E1827" s="231">
        <v>24.16</v>
      </c>
      <c r="F1827" s="927"/>
      <c r="G1827" s="36"/>
    </row>
    <row r="1828" spans="1:7">
      <c r="A1828" s="893"/>
      <c r="B1828" s="894"/>
      <c r="C1828" s="906" t="s">
        <v>6678</v>
      </c>
      <c r="D1828" s="896"/>
      <c r="E1828" s="925"/>
      <c r="F1828" s="926">
        <f>SUM(E1812:E1825)</f>
        <v>1100.1199999999999</v>
      </c>
      <c r="G1828" s="36"/>
    </row>
    <row r="1829" spans="1:7">
      <c r="A1829" s="864">
        <v>41821</v>
      </c>
      <c r="B1829" s="76" t="str">
        <f>TiposLancamentos!B15</f>
        <v>Cartões de Crédito</v>
      </c>
      <c r="C1829" s="147" t="s">
        <v>1874</v>
      </c>
      <c r="D1829" s="63">
        <v>1100.1199999999999</v>
      </c>
      <c r="E1829" s="231"/>
      <c r="F1829" s="927">
        <f>F1828-F1818</f>
        <v>528.9799999999999</v>
      </c>
      <c r="G1829" s="36"/>
    </row>
    <row r="1830" spans="1:7">
      <c r="A1830" s="932">
        <v>41821</v>
      </c>
      <c r="B1830" s="908" t="str">
        <f>TiposLancamentos!B5</f>
        <v>Supermercado</v>
      </c>
      <c r="C1830" s="909" t="s">
        <v>6234</v>
      </c>
      <c r="D1830" s="910"/>
      <c r="E1830" s="911">
        <v>68.25</v>
      </c>
      <c r="F1830" s="933"/>
      <c r="G1830" s="36"/>
    </row>
    <row r="1831" spans="1:7">
      <c r="A1831" s="864">
        <v>41831</v>
      </c>
      <c r="B1831" s="76" t="str">
        <f>TiposLancamentos!B31</f>
        <v>Action Figures</v>
      </c>
      <c r="C1831" s="147" t="s">
        <v>24488</v>
      </c>
      <c r="D1831" s="63"/>
      <c r="E1831" s="231">
        <v>93.42</v>
      </c>
      <c r="F1831" s="927"/>
      <c r="G1831" s="36"/>
    </row>
    <row r="1832" spans="1:7">
      <c r="A1832" s="864">
        <v>41836</v>
      </c>
      <c r="B1832" s="76" t="str">
        <f>TiposLancamentos!B31</f>
        <v>Action Figures</v>
      </c>
      <c r="C1832" s="147" t="s">
        <v>24385</v>
      </c>
      <c r="D1832" s="63"/>
      <c r="E1832" s="231">
        <v>88.29</v>
      </c>
      <c r="F1832" s="927"/>
      <c r="G1832" s="36"/>
    </row>
    <row r="1833" spans="1:7">
      <c r="A1833" s="932">
        <v>41837</v>
      </c>
      <c r="B1833" s="908" t="str">
        <f>TiposLancamentos!B16</f>
        <v>Cristiane</v>
      </c>
      <c r="C1833" s="909" t="s">
        <v>24489</v>
      </c>
      <c r="D1833" s="910"/>
      <c r="E1833" s="911">
        <v>116.8</v>
      </c>
      <c r="F1833" s="933"/>
      <c r="G1833" s="36"/>
    </row>
    <row r="1834" spans="1:7">
      <c r="A1834" s="934"/>
      <c r="B1834" s="226"/>
      <c r="C1834" s="227" t="s">
        <v>10</v>
      </c>
      <c r="D1834" s="228"/>
      <c r="E1834" s="228"/>
      <c r="F1834" s="935"/>
      <c r="G1834" s="36"/>
    </row>
    <row r="1835" spans="1:7">
      <c r="A1835" s="932">
        <v>41843</v>
      </c>
      <c r="B1835" s="908" t="str">
        <f>TiposLancamentos!B16</f>
        <v>Cristiane</v>
      </c>
      <c r="C1835" s="909" t="s">
        <v>24490</v>
      </c>
      <c r="D1835" s="910"/>
      <c r="E1835" s="911">
        <v>223</v>
      </c>
      <c r="F1835" s="933"/>
      <c r="G1835" s="36"/>
    </row>
    <row r="1836" spans="1:7">
      <c r="A1836" s="932">
        <v>41843</v>
      </c>
      <c r="B1836" s="908" t="str">
        <f>TiposLancamentos!B16</f>
        <v>Cristiane</v>
      </c>
      <c r="C1836" s="909" t="s">
        <v>24491</v>
      </c>
      <c r="D1836" s="910"/>
      <c r="E1836" s="911">
        <v>186</v>
      </c>
      <c r="F1836" s="933"/>
      <c r="G1836" s="36"/>
    </row>
    <row r="1837" spans="1:7" ht="15" customHeight="1">
      <c r="A1837" s="932">
        <v>41846</v>
      </c>
      <c r="B1837" s="908" t="str">
        <f>TiposLancamentos!B16</f>
        <v>Cristiane</v>
      </c>
      <c r="C1837" s="909" t="s">
        <v>24492</v>
      </c>
      <c r="D1837" s="910"/>
      <c r="E1837" s="911">
        <v>16.440000000000001</v>
      </c>
      <c r="F1837" s="933" t="s">
        <v>24493</v>
      </c>
      <c r="G1837" s="36"/>
    </row>
    <row r="1838" spans="1:7" ht="15" customHeight="1">
      <c r="A1838" s="932">
        <v>41846</v>
      </c>
      <c r="B1838" s="908" t="str">
        <f>TiposLancamentos!B4</f>
        <v>Taxas Bancarias</v>
      </c>
      <c r="C1838" s="909" t="s">
        <v>24421</v>
      </c>
      <c r="D1838" s="910"/>
      <c r="E1838" s="911">
        <v>0.99</v>
      </c>
      <c r="F1838" s="933"/>
      <c r="G1838" s="36"/>
    </row>
    <row r="1839" spans="1:7">
      <c r="A1839" s="932">
        <v>41851</v>
      </c>
      <c r="B1839" s="908" t="str">
        <f>TiposLancamentos!B16</f>
        <v>Cristiane</v>
      </c>
      <c r="C1839" s="909" t="s">
        <v>24494</v>
      </c>
      <c r="D1839" s="910"/>
      <c r="E1839" s="911">
        <v>147.37</v>
      </c>
      <c r="F1839" s="933"/>
      <c r="G1839" s="36"/>
    </row>
    <row r="1840" spans="1:7" ht="14.25" thickBot="1">
      <c r="A1840" s="864">
        <v>41850</v>
      </c>
      <c r="B1840" s="76" t="str">
        <f>TiposLancamentos!B31</f>
        <v>Action Figures</v>
      </c>
      <c r="C1840" s="147" t="s">
        <v>24495</v>
      </c>
      <c r="D1840" s="63"/>
      <c r="E1840" s="231">
        <v>24.16</v>
      </c>
      <c r="F1840" s="927"/>
      <c r="G1840" s="36"/>
    </row>
    <row r="1841" spans="1:7">
      <c r="A1841" s="893"/>
      <c r="B1841" s="894"/>
      <c r="C1841" s="906" t="s">
        <v>17290</v>
      </c>
      <c r="D1841" s="896"/>
      <c r="E1841" s="925"/>
      <c r="F1841" s="926">
        <f>SUM(E1827:E1833)</f>
        <v>390.92</v>
      </c>
      <c r="G1841" s="36"/>
    </row>
    <row r="1842" spans="1:7">
      <c r="A1842" s="864">
        <v>41852</v>
      </c>
      <c r="B1842" s="76" t="str">
        <f>TiposLancamentos!B15</f>
        <v>Cartões de Crédito</v>
      </c>
      <c r="C1842" s="147" t="s">
        <v>1874</v>
      </c>
      <c r="D1842" s="63">
        <v>390.92</v>
      </c>
      <c r="E1842" s="231"/>
      <c r="F1842" s="927">
        <f>F1841-F1828</f>
        <v>-709.19999999999982</v>
      </c>
      <c r="G1842" s="36"/>
    </row>
    <row r="1843" spans="1:7">
      <c r="A1843" s="932">
        <v>41857</v>
      </c>
      <c r="B1843" s="908" t="str">
        <f>TiposLancamentos!B16</f>
        <v>Cristiane</v>
      </c>
      <c r="C1843" s="909" t="s">
        <v>24496</v>
      </c>
      <c r="D1843" s="910"/>
      <c r="E1843" s="911">
        <v>149.80000000000001</v>
      </c>
      <c r="F1843" s="933"/>
      <c r="G1843" s="36"/>
    </row>
    <row r="1844" spans="1:7">
      <c r="A1844" s="932">
        <v>41862</v>
      </c>
      <c r="B1844" s="908" t="str">
        <f>TiposLancamentos!B16</f>
        <v>Cristiane</v>
      </c>
      <c r="C1844" s="909" t="s">
        <v>24497</v>
      </c>
      <c r="D1844" s="910"/>
      <c r="E1844" s="911">
        <v>120.09</v>
      </c>
      <c r="F1844" s="933"/>
      <c r="G1844" s="36"/>
    </row>
    <row r="1845" spans="1:7">
      <c r="A1845" s="864">
        <v>41867</v>
      </c>
      <c r="B1845" s="76" t="str">
        <f>TiposLancamentos!B31</f>
        <v>Action Figures</v>
      </c>
      <c r="C1845" s="147" t="s">
        <v>24413</v>
      </c>
      <c r="D1845" s="63"/>
      <c r="E1845" s="231">
        <v>88.29</v>
      </c>
      <c r="F1845" s="927"/>
      <c r="G1845" s="36"/>
    </row>
    <row r="1846" spans="1:7">
      <c r="A1846" s="934"/>
      <c r="B1846" s="226"/>
      <c r="C1846" s="227" t="s">
        <v>10</v>
      </c>
      <c r="D1846" s="228"/>
      <c r="E1846" s="228"/>
      <c r="F1846" s="935"/>
      <c r="G1846" s="36"/>
    </row>
    <row r="1847" spans="1:7">
      <c r="A1847" s="932">
        <v>41880</v>
      </c>
      <c r="B1847" s="908" t="str">
        <f>TiposLancamentos!B5</f>
        <v>Supermercado</v>
      </c>
      <c r="C1847" s="909" t="s">
        <v>3902</v>
      </c>
      <c r="D1847" s="910"/>
      <c r="E1847" s="911">
        <v>85.06</v>
      </c>
      <c r="F1847" s="933"/>
      <c r="G1847" s="36"/>
    </row>
    <row r="1848" spans="1:7" ht="14.25" thickBot="1">
      <c r="A1848" s="864">
        <v>41881</v>
      </c>
      <c r="B1848" s="76" t="str">
        <f>TiposLancamentos!B31</f>
        <v>Action Figures</v>
      </c>
      <c r="C1848" s="147" t="s">
        <v>24498</v>
      </c>
      <c r="D1848" s="63"/>
      <c r="E1848" s="231">
        <v>24.16</v>
      </c>
      <c r="F1848" s="927"/>
      <c r="G1848" s="36"/>
    </row>
    <row r="1849" spans="1:7">
      <c r="A1849" s="893"/>
      <c r="B1849" s="894"/>
      <c r="C1849" s="906" t="s">
        <v>6774</v>
      </c>
      <c r="D1849" s="896"/>
      <c r="E1849" s="925"/>
      <c r="F1849" s="926">
        <f>SUM(E1835:E1845)</f>
        <v>956.14</v>
      </c>
      <c r="G1849" s="36"/>
    </row>
    <row r="1850" spans="1:7">
      <c r="A1850" s="864">
        <v>41883</v>
      </c>
      <c r="B1850" s="76" t="str">
        <f>TiposLancamentos!B15</f>
        <v>Cartões de Crédito</v>
      </c>
      <c r="C1850" s="147" t="s">
        <v>1874</v>
      </c>
      <c r="D1850" s="63">
        <v>956.14</v>
      </c>
      <c r="E1850" s="231"/>
      <c r="F1850" s="927">
        <f>F1849-F1841</f>
        <v>565.22</v>
      </c>
      <c r="G1850" s="36"/>
    </row>
    <row r="1851" spans="1:7">
      <c r="A1851" s="864">
        <v>41883</v>
      </c>
      <c r="B1851" s="76" t="str">
        <f>TiposLancamentos!B98</f>
        <v>Restituições</v>
      </c>
      <c r="C1851" s="147" t="s">
        <v>18768</v>
      </c>
      <c r="D1851" s="63">
        <v>0.14000000000000001</v>
      </c>
      <c r="E1851" s="231"/>
      <c r="F1851" s="927"/>
      <c r="G1851" s="36"/>
    </row>
    <row r="1852" spans="1:7">
      <c r="A1852" s="932">
        <v>41885</v>
      </c>
      <c r="B1852" s="908" t="str">
        <f>TiposLancamentos!B22</f>
        <v>Combustivel</v>
      </c>
      <c r="C1852" s="909" t="s">
        <v>6718</v>
      </c>
      <c r="D1852" s="910"/>
      <c r="E1852" s="911">
        <v>81.75</v>
      </c>
      <c r="F1852" s="933"/>
      <c r="G1852" s="36"/>
    </row>
    <row r="1853" spans="1:7">
      <c r="A1853" s="932">
        <v>41885</v>
      </c>
      <c r="B1853" s="908" t="str">
        <f>TiposLancamentos!B16</f>
        <v>Cristiane</v>
      </c>
      <c r="C1853" s="909" t="s">
        <v>6052</v>
      </c>
      <c r="D1853" s="910"/>
      <c r="E1853" s="911">
        <v>110.08</v>
      </c>
      <c r="F1853" s="933"/>
      <c r="G1853" s="36"/>
    </row>
    <row r="1854" spans="1:7">
      <c r="A1854" s="864">
        <v>41892</v>
      </c>
      <c r="B1854" s="76" t="str">
        <f>TiposLancamentos!B26</f>
        <v>LIVROS</v>
      </c>
      <c r="C1854" s="147" t="s">
        <v>24499</v>
      </c>
      <c r="D1854" s="63"/>
      <c r="E1854" s="231">
        <f>64.11+3.78</f>
        <v>67.89</v>
      </c>
      <c r="F1854" s="927" t="s">
        <v>24500</v>
      </c>
      <c r="G1854" s="36"/>
    </row>
    <row r="1855" spans="1:7">
      <c r="A1855" s="932">
        <v>41893</v>
      </c>
      <c r="B1855" s="908" t="str">
        <f>TiposLancamentos!B16</f>
        <v>Cristiane</v>
      </c>
      <c r="C1855" s="909" t="s">
        <v>24501</v>
      </c>
      <c r="D1855" s="910"/>
      <c r="E1855" s="911">
        <v>33.26</v>
      </c>
      <c r="F1855" s="933"/>
      <c r="G1855" s="36"/>
    </row>
    <row r="1856" spans="1:7">
      <c r="A1856" s="932">
        <v>41893</v>
      </c>
      <c r="B1856" s="908" t="str">
        <f>TiposLancamentos!B70</f>
        <v>Vestuário</v>
      </c>
      <c r="C1856" s="909" t="s">
        <v>24502</v>
      </c>
      <c r="D1856" s="910"/>
      <c r="E1856" s="911">
        <v>247</v>
      </c>
      <c r="F1856" s="933"/>
      <c r="G1856" s="36"/>
    </row>
    <row r="1857" spans="1:7">
      <c r="A1857" s="932">
        <v>41893</v>
      </c>
      <c r="B1857" s="908" t="str">
        <f>TiposLancamentos!B5</f>
        <v>Supermercado</v>
      </c>
      <c r="C1857" s="909" t="s">
        <v>6664</v>
      </c>
      <c r="D1857" s="910"/>
      <c r="E1857" s="911">
        <v>127.56</v>
      </c>
      <c r="F1857" s="933"/>
      <c r="G1857" s="36"/>
    </row>
    <row r="1858" spans="1:7">
      <c r="A1858" s="932">
        <v>41894</v>
      </c>
      <c r="B1858" s="908" t="str">
        <f>TiposLancamentos!B5</f>
        <v>Supermercado</v>
      </c>
      <c r="C1858" s="909" t="s">
        <v>6234</v>
      </c>
      <c r="D1858" s="910"/>
      <c r="E1858" s="911">
        <v>212.77</v>
      </c>
      <c r="F1858" s="933"/>
      <c r="G1858" s="36"/>
    </row>
    <row r="1859" spans="1:7">
      <c r="A1859" s="864">
        <v>41898</v>
      </c>
      <c r="B1859" s="76" t="str">
        <f>TiposLancamentos!B31</f>
        <v>Action Figures</v>
      </c>
      <c r="C1859" s="147" t="s">
        <v>24437</v>
      </c>
      <c r="D1859" s="63"/>
      <c r="E1859" s="231">
        <v>88.29</v>
      </c>
      <c r="F1859" s="927"/>
      <c r="G1859" s="36"/>
    </row>
    <row r="1860" spans="1:7">
      <c r="A1860" s="934"/>
      <c r="B1860" s="226"/>
      <c r="C1860" s="227" t="s">
        <v>10</v>
      </c>
      <c r="D1860" s="228"/>
      <c r="E1860" s="228"/>
      <c r="F1860" s="935"/>
      <c r="G1860" s="36"/>
    </row>
    <row r="1861" spans="1:7">
      <c r="A1861" s="932">
        <v>41900</v>
      </c>
      <c r="B1861" s="908" t="str">
        <f>TiposLancamentos!B16</f>
        <v>Cristiane</v>
      </c>
      <c r="C1861" s="909" t="s">
        <v>16901</v>
      </c>
      <c r="D1861" s="910"/>
      <c r="E1861" s="911">
        <v>91.45</v>
      </c>
      <c r="F1861" s="933"/>
      <c r="G1861" s="36"/>
    </row>
    <row r="1862" spans="1:7">
      <c r="A1862" s="932">
        <v>41903</v>
      </c>
      <c r="B1862" s="908" t="str">
        <f>TiposLancamentos!B16</f>
        <v>Cristiane</v>
      </c>
      <c r="C1862" s="909" t="s">
        <v>24492</v>
      </c>
      <c r="D1862" s="910"/>
      <c r="E1862" s="911">
        <v>15.47</v>
      </c>
      <c r="F1862" s="933" t="s">
        <v>24503</v>
      </c>
      <c r="G1862" s="36"/>
    </row>
    <row r="1863" spans="1:7">
      <c r="A1863" s="932">
        <v>41905</v>
      </c>
      <c r="B1863" s="908" t="str">
        <f>TiposLancamentos!B5</f>
        <v>Supermercado</v>
      </c>
      <c r="C1863" s="909" t="s">
        <v>6234</v>
      </c>
      <c r="D1863" s="910"/>
      <c r="E1863" s="911">
        <v>142.97999999999999</v>
      </c>
      <c r="F1863" s="933"/>
      <c r="G1863" s="36"/>
    </row>
    <row r="1864" spans="1:7">
      <c r="A1864" s="932">
        <v>41905</v>
      </c>
      <c r="B1864" s="908" t="str">
        <f>TiposLancamentos!B22</f>
        <v>Combustivel</v>
      </c>
      <c r="C1864" s="909" t="s">
        <v>6398</v>
      </c>
      <c r="D1864" s="910"/>
      <c r="E1864" s="911">
        <v>80</v>
      </c>
      <c r="F1864" s="933"/>
      <c r="G1864" s="36"/>
    </row>
    <row r="1865" spans="1:7">
      <c r="A1865" s="932">
        <v>41908</v>
      </c>
      <c r="B1865" s="908" t="str">
        <f>TiposLancamentos!B16</f>
        <v>Cristiane</v>
      </c>
      <c r="C1865" s="909" t="s">
        <v>16939</v>
      </c>
      <c r="D1865" s="910"/>
      <c r="E1865" s="911">
        <v>127</v>
      </c>
      <c r="F1865" s="933"/>
      <c r="G1865" s="36"/>
    </row>
    <row r="1866" spans="1:7">
      <c r="A1866" s="932">
        <v>41908</v>
      </c>
      <c r="B1866" s="908" t="str">
        <f>TiposLancamentos!B5</f>
        <v>Supermercado</v>
      </c>
      <c r="C1866" s="909" t="s">
        <v>24504</v>
      </c>
      <c r="D1866" s="910"/>
      <c r="E1866" s="911">
        <v>35.56</v>
      </c>
      <c r="F1866" s="933"/>
      <c r="G1866" s="36"/>
    </row>
    <row r="1867" spans="1:7" ht="14.25" thickBot="1">
      <c r="A1867" s="932">
        <v>41912</v>
      </c>
      <c r="B1867" s="908" t="str">
        <f>TiposLancamentos!B16</f>
        <v>Cristiane</v>
      </c>
      <c r="C1867" s="909" t="s">
        <v>6052</v>
      </c>
      <c r="D1867" s="910"/>
      <c r="E1867" s="911">
        <v>94.86</v>
      </c>
      <c r="F1867" s="933"/>
      <c r="G1867" s="36"/>
    </row>
    <row r="1868" spans="1:7">
      <c r="A1868" s="893"/>
      <c r="B1868" s="894"/>
      <c r="C1868" s="906" t="s">
        <v>13668</v>
      </c>
      <c r="D1868" s="896"/>
      <c r="E1868" s="925"/>
      <c r="F1868" s="926">
        <f>SUM(E1847:E1859)-D1851</f>
        <v>1077.6799999999998</v>
      </c>
      <c r="G1868" s="36"/>
    </row>
    <row r="1869" spans="1:7">
      <c r="A1869" s="864">
        <v>41913</v>
      </c>
      <c r="B1869" s="76" t="str">
        <f>B1883</f>
        <v>Taxas Bancarias</v>
      </c>
      <c r="C1869" s="878" t="s">
        <v>24409</v>
      </c>
      <c r="D1869" s="63"/>
      <c r="E1869" s="231">
        <v>2.27</v>
      </c>
      <c r="F1869" s="927"/>
      <c r="G1869" s="36"/>
    </row>
    <row r="1870" spans="1:7">
      <c r="A1870" s="864">
        <v>41913</v>
      </c>
      <c r="B1870" s="76" t="str">
        <f>TiposLancamentos!B15</f>
        <v>Cartões de Crédito</v>
      </c>
      <c r="C1870" s="878" t="s">
        <v>14126</v>
      </c>
      <c r="D1870" s="63">
        <v>1077.68</v>
      </c>
      <c r="E1870" s="231"/>
      <c r="F1870" s="927">
        <f>F1868-F1849</f>
        <v>121.53999999999985</v>
      </c>
      <c r="G1870" s="36"/>
    </row>
    <row r="1871" spans="1:7">
      <c r="A1871" s="932">
        <v>41913</v>
      </c>
      <c r="B1871" s="908" t="str">
        <f>TiposLancamentos!B71</f>
        <v>Itens Pessoais</v>
      </c>
      <c r="C1871" s="909" t="s">
        <v>24505</v>
      </c>
      <c r="D1871" s="910"/>
      <c r="E1871" s="911">
        <v>39.9</v>
      </c>
      <c r="F1871" s="933"/>
      <c r="G1871" s="36"/>
    </row>
    <row r="1872" spans="1:7">
      <c r="A1872" s="932">
        <v>41915</v>
      </c>
      <c r="B1872" s="908" t="str">
        <f>TiposLancamentos!B5</f>
        <v>Supermercado</v>
      </c>
      <c r="C1872" s="909" t="s">
        <v>6234</v>
      </c>
      <c r="D1872" s="910"/>
      <c r="E1872" s="911">
        <v>115.46</v>
      </c>
      <c r="F1872" s="933"/>
      <c r="G1872" s="36"/>
    </row>
    <row r="1873" spans="1:7">
      <c r="A1873" s="932">
        <v>41918</v>
      </c>
      <c r="B1873" s="908" t="str">
        <f>TiposLancamentos!B17</f>
        <v>GATO</v>
      </c>
      <c r="C1873" s="909" t="s">
        <v>7510</v>
      </c>
      <c r="D1873" s="910"/>
      <c r="E1873" s="911">
        <v>58.4</v>
      </c>
      <c r="F1873" s="933"/>
      <c r="G1873" s="36"/>
    </row>
    <row r="1874" spans="1:7">
      <c r="A1874" s="932">
        <v>41919</v>
      </c>
      <c r="B1874" s="908" t="str">
        <f>TiposLancamentos!B5</f>
        <v>Supermercado</v>
      </c>
      <c r="C1874" s="909" t="s">
        <v>6234</v>
      </c>
      <c r="D1874" s="910"/>
      <c r="E1874" s="911">
        <v>116.88</v>
      </c>
      <c r="F1874" s="933"/>
      <c r="G1874" s="36"/>
    </row>
    <row r="1875" spans="1:7">
      <c r="A1875" s="932">
        <v>41921</v>
      </c>
      <c r="B1875" s="908" t="str">
        <f>TiposLancamentos!B16</f>
        <v>Cristiane</v>
      </c>
      <c r="C1875" s="909" t="s">
        <v>24506</v>
      </c>
      <c r="D1875" s="910"/>
      <c r="E1875" s="911">
        <v>122.8</v>
      </c>
      <c r="F1875" s="933"/>
      <c r="G1875" s="36"/>
    </row>
    <row r="1876" spans="1:7">
      <c r="A1876" s="932">
        <v>41923</v>
      </c>
      <c r="B1876" s="908" t="str">
        <f>TiposLancamentos!B16</f>
        <v>Cristiane</v>
      </c>
      <c r="C1876" s="909" t="s">
        <v>24492</v>
      </c>
      <c r="D1876" s="910"/>
      <c r="E1876" s="911">
        <v>23.23</v>
      </c>
      <c r="F1876" s="933" t="s">
        <v>24507</v>
      </c>
      <c r="G1876" s="36"/>
    </row>
    <row r="1877" spans="1:7">
      <c r="A1877" s="932">
        <v>41923</v>
      </c>
      <c r="B1877" s="908" t="str">
        <f>TiposLancamentos!B16</f>
        <v>Cristiane</v>
      </c>
      <c r="C1877" s="909" t="s">
        <v>24508</v>
      </c>
      <c r="D1877" s="910"/>
      <c r="E1877" s="911">
        <v>247</v>
      </c>
      <c r="F1877" s="933"/>
      <c r="G1877" s="36"/>
    </row>
    <row r="1878" spans="1:7">
      <c r="A1878" s="932">
        <v>41925</v>
      </c>
      <c r="B1878" s="908" t="str">
        <f>TiposLancamentos!B16</f>
        <v>Cristiane</v>
      </c>
      <c r="C1878" s="909" t="s">
        <v>24509</v>
      </c>
      <c r="D1878" s="910"/>
      <c r="E1878" s="911">
        <v>169.8</v>
      </c>
      <c r="F1878" s="933"/>
      <c r="G1878" s="36"/>
    </row>
    <row r="1879" spans="1:7">
      <c r="A1879" s="932">
        <v>41926</v>
      </c>
      <c r="B1879" s="908" t="str">
        <f>TiposLancamentos!B5</f>
        <v>Supermercado</v>
      </c>
      <c r="C1879" s="909" t="s">
        <v>6234</v>
      </c>
      <c r="D1879" s="910"/>
      <c r="E1879" s="911">
        <v>57.41</v>
      </c>
      <c r="F1879" s="933"/>
      <c r="G1879" s="36"/>
    </row>
    <row r="1880" spans="1:7">
      <c r="A1880" s="864">
        <v>41928</v>
      </c>
      <c r="B1880" s="76" t="str">
        <f>TiposLancamentos!B31</f>
        <v>Action Figures</v>
      </c>
      <c r="C1880" s="147" t="s">
        <v>24448</v>
      </c>
      <c r="D1880" s="63"/>
      <c r="E1880" s="231">
        <v>88.29</v>
      </c>
      <c r="F1880" s="927"/>
      <c r="G1880" s="36"/>
    </row>
    <row r="1881" spans="1:7">
      <c r="A1881" s="932">
        <v>41929</v>
      </c>
      <c r="B1881" s="908" t="str">
        <f>TiposLancamentos!B16</f>
        <v>Cristiane</v>
      </c>
      <c r="C1881" s="909" t="s">
        <v>16693</v>
      </c>
      <c r="D1881" s="910"/>
      <c r="E1881" s="911">
        <v>89.9</v>
      </c>
      <c r="F1881" s="933"/>
      <c r="G1881" s="36"/>
    </row>
    <row r="1882" spans="1:7">
      <c r="A1882" s="932">
        <v>41931</v>
      </c>
      <c r="B1882" s="908" t="str">
        <f>TiposLancamentos!B16</f>
        <v>Cristiane</v>
      </c>
      <c r="C1882" s="909" t="s">
        <v>24492</v>
      </c>
      <c r="D1882" s="910"/>
      <c r="E1882" s="911">
        <v>2.58</v>
      </c>
      <c r="F1882" s="933" t="s">
        <v>10768</v>
      </c>
      <c r="G1882" s="36"/>
    </row>
    <row r="1883" spans="1:7">
      <c r="A1883" s="932">
        <v>41931</v>
      </c>
      <c r="B1883" s="908" t="str">
        <f>TiposLancamentos!B4</f>
        <v>Taxas Bancarias</v>
      </c>
      <c r="C1883" s="909" t="s">
        <v>24510</v>
      </c>
      <c r="D1883" s="910"/>
      <c r="E1883" s="911">
        <v>2.42</v>
      </c>
      <c r="F1883" s="933"/>
      <c r="G1883" s="36"/>
    </row>
    <row r="1884" spans="1:7">
      <c r="A1884" s="934"/>
      <c r="B1884" s="226"/>
      <c r="C1884" s="227" t="s">
        <v>10</v>
      </c>
      <c r="D1884" s="228"/>
      <c r="E1884" s="228"/>
      <c r="F1884" s="935"/>
      <c r="G1884" s="36"/>
    </row>
    <row r="1885" spans="1:7">
      <c r="A1885" s="932">
        <v>41933</v>
      </c>
      <c r="B1885" s="908" t="str">
        <f>TiposLancamentos!B5</f>
        <v>Supermercado</v>
      </c>
      <c r="C1885" s="909" t="s">
        <v>6234</v>
      </c>
      <c r="D1885" s="910"/>
      <c r="E1885" s="911">
        <v>65.95</v>
      </c>
      <c r="F1885" s="933"/>
      <c r="G1885" s="36"/>
    </row>
    <row r="1886" spans="1:7">
      <c r="A1886" s="932">
        <v>41935</v>
      </c>
      <c r="B1886" s="908" t="str">
        <f>TiposLancamentos!B5</f>
        <v>Supermercado</v>
      </c>
      <c r="C1886" s="909" t="s">
        <v>6234</v>
      </c>
      <c r="D1886" s="910"/>
      <c r="E1886" s="911">
        <v>66.08</v>
      </c>
      <c r="F1886" s="933"/>
      <c r="G1886" s="36"/>
    </row>
    <row r="1887" spans="1:7">
      <c r="A1887" s="932">
        <v>41938</v>
      </c>
      <c r="B1887" s="908" t="str">
        <f>TiposLancamentos!B16</f>
        <v>Cristiane</v>
      </c>
      <c r="C1887" s="909" t="s">
        <v>16636</v>
      </c>
      <c r="D1887" s="910"/>
      <c r="E1887" s="911">
        <v>215.96</v>
      </c>
      <c r="F1887" s="933"/>
      <c r="G1887" s="36"/>
    </row>
    <row r="1888" spans="1:7">
      <c r="A1888" s="932">
        <v>41941</v>
      </c>
      <c r="B1888" s="908" t="str">
        <f>TiposLancamentos!B5</f>
        <v>Supermercado</v>
      </c>
      <c r="C1888" s="909" t="s">
        <v>6234</v>
      </c>
      <c r="D1888" s="910"/>
      <c r="E1888" s="911">
        <v>45</v>
      </c>
      <c r="F1888" s="933"/>
      <c r="G1888" s="36"/>
    </row>
    <row r="1889" spans="1:7">
      <c r="A1889" s="932">
        <v>42002</v>
      </c>
      <c r="B1889" s="908" t="str">
        <f>TiposLancamentos!B16</f>
        <v>Cristiane</v>
      </c>
      <c r="C1889" s="909" t="s">
        <v>6050</v>
      </c>
      <c r="D1889" s="910"/>
      <c r="E1889" s="911">
        <v>143.72</v>
      </c>
      <c r="F1889" s="933"/>
      <c r="G1889" s="36"/>
    </row>
    <row r="1890" spans="1:7" ht="14.25" thickBot="1">
      <c r="A1890" s="932">
        <v>41943</v>
      </c>
      <c r="B1890" s="908" t="str">
        <f>TiposLancamentos!B17</f>
        <v>GATO</v>
      </c>
      <c r="C1890" s="909" t="s">
        <v>24511</v>
      </c>
      <c r="D1890" s="910"/>
      <c r="E1890" s="911">
        <v>164.9</v>
      </c>
      <c r="F1890" s="933"/>
      <c r="G1890" s="36"/>
    </row>
    <row r="1891" spans="1:7">
      <c r="A1891" s="893"/>
      <c r="B1891" s="894"/>
      <c r="C1891" s="906" t="s">
        <v>13673</v>
      </c>
      <c r="D1891" s="896"/>
      <c r="E1891" s="925"/>
      <c r="F1891" s="926">
        <f>SUM(E1861:E1883)</f>
        <v>1723.66</v>
      </c>
      <c r="G1891" s="36"/>
    </row>
    <row r="1892" spans="1:7">
      <c r="A1892" s="932">
        <v>41946</v>
      </c>
      <c r="B1892" s="908" t="str">
        <f>TiposLancamentos!B22</f>
        <v>Combustivel</v>
      </c>
      <c r="C1892" s="909" t="s">
        <v>24512</v>
      </c>
      <c r="D1892" s="910"/>
      <c r="E1892" s="911">
        <v>80</v>
      </c>
      <c r="F1892" s="933">
        <f>F1891-F1868</f>
        <v>645.98000000000025</v>
      </c>
      <c r="G1892" s="36"/>
    </row>
    <row r="1893" spans="1:7">
      <c r="A1893" s="864">
        <v>41946</v>
      </c>
      <c r="B1893" s="76" t="str">
        <f>TiposLancamentos!B15</f>
        <v>Cartões de Crédito</v>
      </c>
      <c r="C1893" s="147" t="s">
        <v>10915</v>
      </c>
      <c r="D1893" s="63">
        <v>1723.66</v>
      </c>
      <c r="E1893" s="231"/>
      <c r="F1893" s="927"/>
      <c r="G1893" s="36"/>
    </row>
    <row r="1894" spans="1:7">
      <c r="A1894" s="864">
        <v>41946</v>
      </c>
      <c r="B1894" s="76" t="str">
        <f>TiposLancamentos!B98</f>
        <v>Restituições</v>
      </c>
      <c r="C1894" s="147" t="s">
        <v>24513</v>
      </c>
      <c r="D1894" s="63">
        <v>0.59</v>
      </c>
      <c r="E1894" s="231"/>
      <c r="F1894" s="927"/>
      <c r="G1894" s="36"/>
    </row>
    <row r="1895" spans="1:7">
      <c r="A1895" s="932">
        <v>41949</v>
      </c>
      <c r="B1895" s="908" t="str">
        <f>TiposLancamentos!B16</f>
        <v>Cristiane</v>
      </c>
      <c r="C1895" s="909" t="s">
        <v>24314</v>
      </c>
      <c r="D1895" s="910"/>
      <c r="E1895" s="911">
        <v>69.900000000000006</v>
      </c>
      <c r="F1895" s="933"/>
      <c r="G1895" s="36"/>
    </row>
    <row r="1896" spans="1:7">
      <c r="A1896" s="932">
        <v>41949</v>
      </c>
      <c r="B1896" s="908" t="str">
        <f>TiposLancamentos!B16</f>
        <v>Cristiane</v>
      </c>
      <c r="C1896" s="909" t="s">
        <v>24514</v>
      </c>
      <c r="D1896" s="910"/>
      <c r="E1896" s="911">
        <v>149.91</v>
      </c>
      <c r="F1896" s="933"/>
      <c r="G1896" s="36"/>
    </row>
    <row r="1897" spans="1:7">
      <c r="A1897" s="932">
        <v>41950</v>
      </c>
      <c r="B1897" s="908" t="str">
        <f>TiposLancamentos!B16</f>
        <v>Cristiane</v>
      </c>
      <c r="C1897" s="909" t="s">
        <v>24515</v>
      </c>
      <c r="D1897" s="910"/>
      <c r="E1897" s="911">
        <v>50</v>
      </c>
      <c r="F1897" s="933"/>
      <c r="G1897" s="36"/>
    </row>
    <row r="1898" spans="1:7">
      <c r="A1898" s="932">
        <v>41956</v>
      </c>
      <c r="B1898" s="908" t="str">
        <f>TiposLancamentos!B16</f>
        <v>Cristiane</v>
      </c>
      <c r="C1898" s="909" t="s">
        <v>24516</v>
      </c>
      <c r="D1898" s="910"/>
      <c r="E1898" s="911">
        <v>54</v>
      </c>
      <c r="F1898" s="933"/>
      <c r="G1898" s="36"/>
    </row>
    <row r="1899" spans="1:7">
      <c r="A1899" s="932">
        <v>41956</v>
      </c>
      <c r="B1899" s="908" t="str">
        <f>TiposLancamentos!B5</f>
        <v>Supermercado</v>
      </c>
      <c r="C1899" s="909" t="s">
        <v>6234</v>
      </c>
      <c r="D1899" s="910"/>
      <c r="E1899" s="911">
        <v>72.849999999999994</v>
      </c>
      <c r="F1899" s="933"/>
      <c r="G1899" s="36"/>
    </row>
    <row r="1900" spans="1:7">
      <c r="A1900" s="932">
        <v>41958</v>
      </c>
      <c r="B1900" s="908" t="str">
        <f>TiposLancamentos!B16</f>
        <v>Cristiane</v>
      </c>
      <c r="C1900" s="909" t="s">
        <v>16693</v>
      </c>
      <c r="D1900" s="910"/>
      <c r="E1900" s="911">
        <v>46.25</v>
      </c>
      <c r="F1900" s="933"/>
      <c r="G1900" s="36"/>
    </row>
    <row r="1901" spans="1:7">
      <c r="A1901" s="864">
        <v>41959</v>
      </c>
      <c r="B1901" s="76" t="str">
        <f>TiposLancamentos!B31</f>
        <v>Action Figures</v>
      </c>
      <c r="C1901" s="147" t="s">
        <v>24460</v>
      </c>
      <c r="D1901" s="63"/>
      <c r="E1901" s="231">
        <v>88.29</v>
      </c>
      <c r="F1901" s="927"/>
      <c r="G1901" s="36"/>
    </row>
    <row r="1902" spans="1:7">
      <c r="A1902" s="932">
        <v>41959</v>
      </c>
      <c r="B1902" s="908" t="str">
        <f>TiposLancamentos!B16</f>
        <v>Cristiane</v>
      </c>
      <c r="C1902" s="909" t="s">
        <v>24517</v>
      </c>
      <c r="D1902" s="910"/>
      <c r="E1902" s="911">
        <v>73.400000000000006</v>
      </c>
      <c r="F1902" s="933"/>
      <c r="G1902" s="36"/>
    </row>
    <row r="1903" spans="1:7">
      <c r="A1903" s="932">
        <v>41960</v>
      </c>
      <c r="B1903" s="908" t="str">
        <f>TiposLancamentos!B5</f>
        <v>Supermercado</v>
      </c>
      <c r="C1903" s="909" t="s">
        <v>6234</v>
      </c>
      <c r="D1903" s="910"/>
      <c r="E1903" s="911">
        <v>94.68</v>
      </c>
      <c r="F1903" s="933"/>
      <c r="G1903" s="36"/>
    </row>
    <row r="1904" spans="1:7">
      <c r="A1904" s="934"/>
      <c r="B1904" s="226"/>
      <c r="C1904" s="227" t="s">
        <v>10</v>
      </c>
      <c r="D1904" s="228"/>
      <c r="E1904" s="228"/>
      <c r="F1904" s="935"/>
      <c r="G1904" s="36"/>
    </row>
    <row r="1905" spans="1:7">
      <c r="A1905" s="932">
        <v>41961</v>
      </c>
      <c r="B1905" s="908" t="str">
        <f>TiposLancamentos!B16</f>
        <v>Cristiane</v>
      </c>
      <c r="C1905" s="909" t="s">
        <v>24518</v>
      </c>
      <c r="D1905" s="910"/>
      <c r="E1905" s="911">
        <v>39.200000000000003</v>
      </c>
      <c r="F1905" s="933"/>
      <c r="G1905" s="36"/>
    </row>
    <row r="1906" spans="1:7">
      <c r="A1906" s="932">
        <v>41961</v>
      </c>
      <c r="B1906" s="908" t="str">
        <f>TiposLancamentos!B5</f>
        <v>Supermercado</v>
      </c>
      <c r="C1906" s="909" t="s">
        <v>5844</v>
      </c>
      <c r="D1906" s="910"/>
      <c r="E1906" s="911">
        <v>41.98</v>
      </c>
      <c r="F1906" s="933"/>
      <c r="G1906" s="36"/>
    </row>
    <row r="1907" spans="1:7">
      <c r="A1907" s="932">
        <v>41965</v>
      </c>
      <c r="B1907" s="908" t="str">
        <f>TiposLancamentos!B16</f>
        <v>Cristiane</v>
      </c>
      <c r="C1907" s="909" t="s">
        <v>24519</v>
      </c>
      <c r="D1907" s="910"/>
      <c r="E1907" s="911">
        <v>100</v>
      </c>
      <c r="F1907" s="933"/>
      <c r="G1907" s="36"/>
    </row>
    <row r="1908" spans="1:7">
      <c r="A1908" s="932">
        <v>41967</v>
      </c>
      <c r="B1908" s="908" t="str">
        <f>TiposLancamentos!B5</f>
        <v>Supermercado</v>
      </c>
      <c r="C1908" s="909" t="s">
        <v>24520</v>
      </c>
      <c r="D1908" s="910"/>
      <c r="E1908" s="911">
        <v>193.57</v>
      </c>
      <c r="F1908" s="933"/>
      <c r="G1908" s="36"/>
    </row>
    <row r="1909" spans="1:7">
      <c r="A1909" s="932">
        <v>41968</v>
      </c>
      <c r="B1909" s="908" t="str">
        <f>TiposLancamentos!B5</f>
        <v>Supermercado</v>
      </c>
      <c r="C1909" s="909" t="s">
        <v>5844</v>
      </c>
      <c r="D1909" s="910"/>
      <c r="E1909" s="911">
        <v>131.22</v>
      </c>
      <c r="F1909" s="933"/>
      <c r="G1909" s="36"/>
    </row>
    <row r="1910" spans="1:7" ht="14.25" thickBot="1">
      <c r="A1910" s="932">
        <v>41970</v>
      </c>
      <c r="B1910" s="908" t="str">
        <f>TiposLancamentos!B16</f>
        <v>Cristiane</v>
      </c>
      <c r="C1910" s="909" t="s">
        <v>24521</v>
      </c>
      <c r="D1910" s="910"/>
      <c r="E1910" s="911">
        <v>2.77</v>
      </c>
      <c r="F1910" s="933" t="s">
        <v>11601</v>
      </c>
      <c r="G1910" s="36"/>
    </row>
    <row r="1911" spans="1:7">
      <c r="A1911" s="893"/>
      <c r="B1911" s="894"/>
      <c r="C1911" s="906" t="s">
        <v>13677</v>
      </c>
      <c r="D1911" s="896"/>
      <c r="E1911" s="925"/>
      <c r="F1911" s="926">
        <f>SUM(E1885:E1903)-D1894</f>
        <v>1480.3000000000002</v>
      </c>
      <c r="G1911" s="36"/>
    </row>
    <row r="1912" spans="1:7">
      <c r="A1912" s="864">
        <v>41974</v>
      </c>
      <c r="B1912" s="76" t="str">
        <f>TiposLancamentos!B15</f>
        <v>Cartões de Crédito</v>
      </c>
      <c r="C1912" s="147" t="s">
        <v>1874</v>
      </c>
      <c r="D1912" s="63">
        <v>1480.3</v>
      </c>
      <c r="E1912" s="231"/>
      <c r="F1912" s="927">
        <f>F1911-F1891</f>
        <v>-243.3599999999999</v>
      </c>
      <c r="G1912" s="36"/>
    </row>
    <row r="1913" spans="1:7">
      <c r="A1913" s="932">
        <v>41975</v>
      </c>
      <c r="B1913" s="908" t="str">
        <f>TiposLancamentos!B5</f>
        <v>Supermercado</v>
      </c>
      <c r="C1913" s="909" t="s">
        <v>6234</v>
      </c>
      <c r="D1913" s="910"/>
      <c r="E1913" s="911">
        <v>98.53</v>
      </c>
      <c r="F1913" s="933"/>
      <c r="G1913" s="36"/>
    </row>
    <row r="1914" spans="1:7">
      <c r="A1914" s="932">
        <v>41976</v>
      </c>
      <c r="B1914" s="908" t="str">
        <f>TiposLancamentos!B16</f>
        <v>Cristiane</v>
      </c>
      <c r="C1914" s="909" t="s">
        <v>16905</v>
      </c>
      <c r="D1914" s="910"/>
      <c r="E1914" s="911">
        <v>26.91</v>
      </c>
      <c r="F1914" s="933"/>
      <c r="G1914" s="36"/>
    </row>
    <row r="1915" spans="1:7">
      <c r="A1915" s="932">
        <v>41978</v>
      </c>
      <c r="B1915" s="908" t="str">
        <f>TiposLancamentos!B16</f>
        <v>Cristiane</v>
      </c>
      <c r="C1915" s="909" t="s">
        <v>24522</v>
      </c>
      <c r="D1915" s="910"/>
      <c r="E1915" s="911">
        <v>269.8</v>
      </c>
      <c r="F1915" s="933"/>
      <c r="G1915" s="36"/>
    </row>
    <row r="1916" spans="1:7">
      <c r="A1916" s="932">
        <v>41981</v>
      </c>
      <c r="B1916" s="908" t="str">
        <f>TiposLancamentos!B16</f>
        <v>Cristiane</v>
      </c>
      <c r="C1916" s="909" t="s">
        <v>12029</v>
      </c>
      <c r="D1916" s="910"/>
      <c r="E1916" s="911">
        <v>96.09</v>
      </c>
      <c r="F1916" s="933"/>
      <c r="G1916" s="36"/>
    </row>
    <row r="1917" spans="1:7">
      <c r="A1917" s="932">
        <v>41982</v>
      </c>
      <c r="B1917" s="908" t="str">
        <f>TiposLancamentos!B16</f>
        <v>Cristiane</v>
      </c>
      <c r="C1917" s="909" t="s">
        <v>3509</v>
      </c>
      <c r="D1917" s="910"/>
      <c r="E1917" s="911">
        <v>78</v>
      </c>
      <c r="F1917" s="933"/>
      <c r="G1917" s="36"/>
    </row>
    <row r="1918" spans="1:7">
      <c r="A1918" s="932">
        <v>41982</v>
      </c>
      <c r="B1918" s="908" t="str">
        <f>TiposLancamentos!B5</f>
        <v>Supermercado</v>
      </c>
      <c r="C1918" s="909" t="s">
        <v>3902</v>
      </c>
      <c r="D1918" s="910"/>
      <c r="E1918" s="911">
        <v>72.55</v>
      </c>
      <c r="F1918" s="933"/>
      <c r="G1918" s="36"/>
    </row>
    <row r="1919" spans="1:7">
      <c r="A1919" s="932">
        <v>41986</v>
      </c>
      <c r="B1919" s="908" t="str">
        <f>TiposLancamentos!B16</f>
        <v>Cristiane</v>
      </c>
      <c r="C1919" s="909" t="s">
        <v>24523</v>
      </c>
      <c r="D1919" s="910"/>
      <c r="E1919" s="911">
        <v>54</v>
      </c>
      <c r="F1919" s="933"/>
      <c r="G1919" s="36"/>
    </row>
    <row r="1920" spans="1:7">
      <c r="A1920" s="932">
        <v>41984</v>
      </c>
      <c r="B1920" s="908" t="str">
        <f>TiposLancamentos!B22</f>
        <v>Combustivel</v>
      </c>
      <c r="C1920" s="909" t="s">
        <v>24524</v>
      </c>
      <c r="D1920" s="910"/>
      <c r="E1920" s="911">
        <v>80</v>
      </c>
      <c r="F1920" s="933"/>
      <c r="G1920" s="36"/>
    </row>
    <row r="1921" spans="1:7">
      <c r="A1921" s="864">
        <v>41986</v>
      </c>
      <c r="B1921" s="76" t="str">
        <f>TiposLancamentos!B30</f>
        <v>Cinema</v>
      </c>
      <c r="C1921" s="147" t="s">
        <v>24525</v>
      </c>
      <c r="D1921" s="63"/>
      <c r="E1921" s="231">
        <v>51.52</v>
      </c>
      <c r="F1921" s="927"/>
      <c r="G1921" s="36"/>
    </row>
    <row r="1922" spans="1:7">
      <c r="A1922" s="932">
        <v>41987</v>
      </c>
      <c r="B1922" s="908" t="str">
        <f>TiposLancamentos!B16</f>
        <v>Cristiane</v>
      </c>
      <c r="C1922" s="909" t="s">
        <v>6052</v>
      </c>
      <c r="D1922" s="910"/>
      <c r="E1922" s="911">
        <v>76.819999999999993</v>
      </c>
      <c r="F1922" s="933"/>
      <c r="G1922" s="36"/>
    </row>
    <row r="1923" spans="1:7">
      <c r="A1923" s="864">
        <v>41959</v>
      </c>
      <c r="B1923" s="76" t="str">
        <f>TiposLancamentos!B31</f>
        <v>Action Figures</v>
      </c>
      <c r="C1923" s="147" t="s">
        <v>24469</v>
      </c>
      <c r="D1923" s="63"/>
      <c r="E1923" s="231">
        <v>88.29</v>
      </c>
      <c r="F1923" s="927"/>
      <c r="G1923" s="36"/>
    </row>
    <row r="1924" spans="1:7">
      <c r="A1924" s="932">
        <v>41990</v>
      </c>
      <c r="B1924" s="908" t="str">
        <f>TiposLancamentos!B5</f>
        <v>Supermercado</v>
      </c>
      <c r="C1924" s="909" t="s">
        <v>24526</v>
      </c>
      <c r="D1924" s="910"/>
      <c r="E1924" s="911">
        <v>145.63999999999999</v>
      </c>
      <c r="F1924" s="933"/>
      <c r="G1924" s="36"/>
    </row>
    <row r="1925" spans="1:7">
      <c r="A1925" s="932">
        <v>41991</v>
      </c>
      <c r="B1925" s="908" t="str">
        <f>TiposLancamentos!B4</f>
        <v>Taxas Bancarias</v>
      </c>
      <c r="C1925" s="909" t="s">
        <v>24527</v>
      </c>
      <c r="D1925" s="910"/>
      <c r="E1925" s="911">
        <v>0.16</v>
      </c>
      <c r="F1925" s="933"/>
      <c r="G1925" s="36"/>
    </row>
    <row r="1926" spans="1:7">
      <c r="A1926" s="934"/>
      <c r="B1926" s="226"/>
      <c r="C1926" s="227" t="s">
        <v>10</v>
      </c>
      <c r="D1926" s="228"/>
      <c r="E1926" s="228"/>
      <c r="F1926" s="935"/>
      <c r="G1926" s="36"/>
    </row>
    <row r="1927" spans="1:7">
      <c r="A1927" s="864">
        <v>41990</v>
      </c>
      <c r="B1927" s="76" t="str">
        <f>TiposLancamentos!B31</f>
        <v>Action Figures</v>
      </c>
      <c r="C1927" s="147" t="s">
        <v>24475</v>
      </c>
      <c r="D1927" s="63"/>
      <c r="E1927" s="231">
        <v>88.29</v>
      </c>
      <c r="F1927" s="927"/>
      <c r="G1927" s="36"/>
    </row>
    <row r="1928" spans="1:7">
      <c r="A1928" s="932">
        <v>41991</v>
      </c>
      <c r="B1928" s="908" t="str">
        <f>TiposLancamentos!B16</f>
        <v>Cristiane</v>
      </c>
      <c r="C1928" s="909" t="s">
        <v>24528</v>
      </c>
      <c r="D1928" s="910"/>
      <c r="E1928" s="911">
        <v>2.73</v>
      </c>
      <c r="F1928" s="933" t="s">
        <v>11601</v>
      </c>
      <c r="G1928" s="36"/>
    </row>
    <row r="1929" spans="1:7">
      <c r="A1929" s="932">
        <v>41992</v>
      </c>
      <c r="B1929" s="908" t="str">
        <f>TiposLancamentos!B16</f>
        <v>Cristiane</v>
      </c>
      <c r="C1929" s="909" t="s">
        <v>16734</v>
      </c>
      <c r="D1929" s="910"/>
      <c r="E1929" s="911">
        <v>75.05</v>
      </c>
      <c r="F1929" s="933"/>
      <c r="G1929" s="36"/>
    </row>
    <row r="1930" spans="1:7">
      <c r="A1930" s="932">
        <v>41995</v>
      </c>
      <c r="B1930" s="908" t="str">
        <f>TiposLancamentos!B5</f>
        <v>Supermercado</v>
      </c>
      <c r="C1930" s="909" t="s">
        <v>6234</v>
      </c>
      <c r="D1930" s="910"/>
      <c r="E1930" s="911">
        <v>70.790000000000006</v>
      </c>
      <c r="F1930" s="933"/>
      <c r="G1930" s="36"/>
    </row>
    <row r="1931" spans="1:7">
      <c r="A1931" s="932">
        <v>41996</v>
      </c>
      <c r="B1931" s="908" t="str">
        <f>TiposLancamentos!B5</f>
        <v>Supermercado</v>
      </c>
      <c r="C1931" s="909" t="s">
        <v>11038</v>
      </c>
      <c r="D1931" s="910"/>
      <c r="E1931" s="911">
        <v>216.25</v>
      </c>
      <c r="F1931" s="933"/>
      <c r="G1931" s="36"/>
    </row>
    <row r="1932" spans="1:7">
      <c r="A1932" s="932">
        <v>41996</v>
      </c>
      <c r="B1932" s="908" t="str">
        <f>TiposLancamentos!B16</f>
        <v>Cristiane</v>
      </c>
      <c r="C1932" s="909" t="s">
        <v>24529</v>
      </c>
      <c r="D1932" s="910"/>
      <c r="E1932" s="911">
        <v>180</v>
      </c>
      <c r="F1932" s="933"/>
      <c r="G1932" s="36"/>
    </row>
    <row r="1933" spans="1:7">
      <c r="A1933" s="932">
        <v>42001</v>
      </c>
      <c r="B1933" s="908" t="str">
        <f>TiposLancamentos!B5</f>
        <v>Supermercado</v>
      </c>
      <c r="C1933" s="909" t="s">
        <v>24530</v>
      </c>
      <c r="D1933" s="910"/>
      <c r="E1933" s="911">
        <v>59.44</v>
      </c>
      <c r="F1933" s="933"/>
      <c r="G1933" s="36"/>
    </row>
    <row r="1934" spans="1:7">
      <c r="A1934" s="932">
        <v>42003</v>
      </c>
      <c r="B1934" s="908" t="str">
        <f>TiposLancamentos!B22</f>
        <v>Combustivel</v>
      </c>
      <c r="C1934" s="909" t="s">
        <v>18953</v>
      </c>
      <c r="D1934" s="910"/>
      <c r="E1934" s="911">
        <v>60</v>
      </c>
      <c r="F1934" s="933"/>
      <c r="G1934" s="36"/>
    </row>
    <row r="1935" spans="1:7" ht="14.25" thickBot="1">
      <c r="A1935" s="932">
        <v>42003</v>
      </c>
      <c r="B1935" s="908" t="str">
        <f>TiposLancamentos!B16</f>
        <v>Cristiane</v>
      </c>
      <c r="C1935" s="909" t="s">
        <v>24531</v>
      </c>
      <c r="D1935" s="910"/>
      <c r="E1935" s="911">
        <v>59.8</v>
      </c>
      <c r="F1935" s="933"/>
      <c r="G1935" s="36"/>
    </row>
    <row r="1936" spans="1:7">
      <c r="A1936" s="893"/>
      <c r="B1936" s="894"/>
      <c r="C1936" s="906" t="s">
        <v>24532</v>
      </c>
      <c r="D1936" s="896"/>
      <c r="E1936" s="925"/>
      <c r="F1936" s="926">
        <f>SUM(E1905:E1925)</f>
        <v>1647.05</v>
      </c>
      <c r="G1936" s="36"/>
    </row>
    <row r="1937" spans="1:7">
      <c r="A1937" s="864">
        <v>42006</v>
      </c>
      <c r="B1937" s="76" t="str">
        <f>TiposLancamentos!B15</f>
        <v>Cartões de Crédito</v>
      </c>
      <c r="C1937" s="878" t="s">
        <v>24533</v>
      </c>
      <c r="D1937" s="63">
        <v>1647.05</v>
      </c>
      <c r="E1937" s="231"/>
      <c r="F1937" s="927">
        <f>F1936-F1911</f>
        <v>166.74999999999977</v>
      </c>
      <c r="G1937" s="36"/>
    </row>
    <row r="1938" spans="1:7">
      <c r="A1938" s="932">
        <v>42010</v>
      </c>
      <c r="B1938" s="908" t="str">
        <f>TiposLancamentos!B16</f>
        <v>Cristiane</v>
      </c>
      <c r="C1938" s="909" t="s">
        <v>24534</v>
      </c>
      <c r="D1938" s="910"/>
      <c r="E1938" s="911">
        <v>147.4</v>
      </c>
      <c r="F1938" s="933"/>
      <c r="G1938" s="36"/>
    </row>
    <row r="1939" spans="1:7">
      <c r="A1939" s="932">
        <v>42010</v>
      </c>
      <c r="B1939" s="908" t="str">
        <f>TiposLancamentos!B5</f>
        <v>Supermercado</v>
      </c>
      <c r="C1939" s="909" t="s">
        <v>24535</v>
      </c>
      <c r="D1939" s="910"/>
      <c r="E1939" s="911">
        <v>47.38</v>
      </c>
      <c r="F1939" s="933"/>
      <c r="G1939" s="36"/>
    </row>
    <row r="1940" spans="1:7">
      <c r="A1940" s="932">
        <v>42011</v>
      </c>
      <c r="B1940" s="908" t="str">
        <f>TiposLancamentos!B5</f>
        <v>Supermercado</v>
      </c>
      <c r="C1940" s="909" t="s">
        <v>6234</v>
      </c>
      <c r="D1940" s="910"/>
      <c r="E1940" s="911">
        <v>97.97</v>
      </c>
      <c r="F1940" s="933"/>
      <c r="G1940" s="36"/>
    </row>
    <row r="1941" spans="1:7">
      <c r="A1941" s="932">
        <v>42011</v>
      </c>
      <c r="B1941" s="908" t="str">
        <f>TiposLancamentos!B56</f>
        <v>Farmácia</v>
      </c>
      <c r="C1941" s="909" t="s">
        <v>12029</v>
      </c>
      <c r="D1941" s="910"/>
      <c r="E1941" s="911">
        <v>90.87</v>
      </c>
      <c r="F1941" s="933"/>
      <c r="G1941" s="36"/>
    </row>
    <row r="1942" spans="1:7">
      <c r="A1942" s="932">
        <v>42016</v>
      </c>
      <c r="B1942" s="908" t="str">
        <f>B1938</f>
        <v>Cristiane</v>
      </c>
      <c r="C1942" s="909" t="s">
        <v>21889</v>
      </c>
      <c r="D1942" s="910"/>
      <c r="E1942" s="911">
        <v>20.47</v>
      </c>
      <c r="F1942" s="933"/>
      <c r="G1942" s="36"/>
    </row>
    <row r="1943" spans="1:7">
      <c r="A1943" s="932">
        <v>42016</v>
      </c>
      <c r="B1943" s="908" t="str">
        <f>TiposLancamentos!B16</f>
        <v>Cristiane</v>
      </c>
      <c r="C1943" s="909" t="s">
        <v>18338</v>
      </c>
      <c r="D1943" s="910"/>
      <c r="E1943" s="911">
        <v>19.55</v>
      </c>
      <c r="F1943" s="933"/>
      <c r="G1943" s="36"/>
    </row>
    <row r="1944" spans="1:7">
      <c r="A1944" s="932">
        <v>42016</v>
      </c>
      <c r="B1944" s="908" t="str">
        <f>TiposLancamentos!B16</f>
        <v>Cristiane</v>
      </c>
      <c r="C1944" s="909" t="s">
        <v>24536</v>
      </c>
      <c r="D1944" s="910"/>
      <c r="E1944" s="911">
        <v>144.66</v>
      </c>
      <c r="F1944" s="933"/>
      <c r="G1944" s="36"/>
    </row>
    <row r="1945" spans="1:7">
      <c r="A1945" s="932">
        <v>42016</v>
      </c>
      <c r="B1945" s="908" t="str">
        <f>TiposLancamentos!B70</f>
        <v>Vestuário</v>
      </c>
      <c r="C1945" s="909" t="s">
        <v>24537</v>
      </c>
      <c r="D1945" s="910"/>
      <c r="E1945" s="911">
        <v>79.900000000000006</v>
      </c>
      <c r="F1945" s="933"/>
      <c r="G1945" s="36"/>
    </row>
    <row r="1946" spans="1:7">
      <c r="A1946" s="932">
        <v>42017</v>
      </c>
      <c r="B1946" s="908" t="str">
        <f>TiposLancamentos!B16</f>
        <v>Cristiane</v>
      </c>
      <c r="C1946" s="909" t="s">
        <v>24538</v>
      </c>
      <c r="D1946" s="910"/>
      <c r="E1946" s="911">
        <v>54</v>
      </c>
      <c r="F1946" s="933"/>
      <c r="G1946" s="36"/>
    </row>
    <row r="1947" spans="1:7">
      <c r="A1947" s="864">
        <v>42017</v>
      </c>
      <c r="B1947" s="76" t="str">
        <f>TiposLancamentos!B26</f>
        <v>LIVROS</v>
      </c>
      <c r="C1947" s="147" t="s">
        <v>24539</v>
      </c>
      <c r="D1947" s="63"/>
      <c r="E1947" s="231">
        <v>33.83</v>
      </c>
      <c r="F1947" s="927"/>
      <c r="G1947" s="36"/>
    </row>
    <row r="1948" spans="1:7">
      <c r="A1948" s="932">
        <v>42017</v>
      </c>
      <c r="B1948" s="908" t="str">
        <f>TiposLancamentos!B16</f>
        <v>Cristiane</v>
      </c>
      <c r="C1948" s="909" t="s">
        <v>24540</v>
      </c>
      <c r="D1948" s="910"/>
      <c r="E1948" s="911">
        <v>69.900000000000006</v>
      </c>
      <c r="F1948" s="933"/>
      <c r="G1948" s="36"/>
    </row>
    <row r="1949" spans="1:7">
      <c r="A1949" s="932">
        <v>42017</v>
      </c>
      <c r="B1949" s="908" t="str">
        <f>TiposLancamentos!B5</f>
        <v>Supermercado</v>
      </c>
      <c r="C1949" s="909" t="s">
        <v>5844</v>
      </c>
      <c r="D1949" s="910"/>
      <c r="E1949" s="911">
        <v>52.79</v>
      </c>
      <c r="F1949" s="933"/>
      <c r="G1949" s="36"/>
    </row>
    <row r="1950" spans="1:7">
      <c r="A1950" s="932">
        <v>42018</v>
      </c>
      <c r="B1950" s="908" t="str">
        <f>TiposLancamentos!B16</f>
        <v>Cristiane</v>
      </c>
      <c r="C1950" s="909" t="s">
        <v>22557</v>
      </c>
      <c r="D1950" s="910"/>
      <c r="E1950" s="911">
        <v>99.8</v>
      </c>
      <c r="F1950" s="933"/>
      <c r="G1950" s="36"/>
    </row>
    <row r="1951" spans="1:7">
      <c r="A1951" s="932">
        <v>42025</v>
      </c>
      <c r="B1951" s="908" t="str">
        <f>TiposLancamentos!B4</f>
        <v>Taxas Bancarias</v>
      </c>
      <c r="C1951" s="909" t="s">
        <v>18391</v>
      </c>
      <c r="D1951" s="910"/>
      <c r="E1951" s="911">
        <v>0.17</v>
      </c>
      <c r="F1951" s="933"/>
      <c r="G1951" s="36"/>
    </row>
    <row r="1952" spans="1:7">
      <c r="A1952" s="934"/>
      <c r="B1952" s="226"/>
      <c r="C1952" s="227" t="s">
        <v>10</v>
      </c>
      <c r="D1952" s="228"/>
      <c r="E1952" s="228"/>
      <c r="F1952" s="935"/>
      <c r="G1952" s="36"/>
    </row>
    <row r="1953" spans="1:7">
      <c r="A1953" s="864">
        <v>42021</v>
      </c>
      <c r="B1953" s="76" t="str">
        <f>TiposLancamentos!B31</f>
        <v>Action Figures</v>
      </c>
      <c r="C1953" s="147" t="s">
        <v>24480</v>
      </c>
      <c r="D1953" s="63"/>
      <c r="E1953" s="231">
        <v>88.29</v>
      </c>
      <c r="F1953" s="927"/>
      <c r="G1953" s="946" t="s">
        <v>9</v>
      </c>
    </row>
    <row r="1954" spans="1:7">
      <c r="A1954" s="932">
        <v>42024</v>
      </c>
      <c r="B1954" s="908" t="str">
        <f>TiposLancamentos!B16</f>
        <v>Cristiane</v>
      </c>
      <c r="C1954" s="909" t="s">
        <v>5482</v>
      </c>
      <c r="D1954" s="910"/>
      <c r="E1954" s="911">
        <v>74.75</v>
      </c>
      <c r="F1954" s="933"/>
      <c r="G1954" s="946" t="s">
        <v>9</v>
      </c>
    </row>
    <row r="1955" spans="1:7">
      <c r="A1955" s="932">
        <v>42025</v>
      </c>
      <c r="B1955" s="908" t="str">
        <f>TiposLancamentos!B16</f>
        <v>Cristiane</v>
      </c>
      <c r="C1955" s="909" t="s">
        <v>24541</v>
      </c>
      <c r="D1955" s="910"/>
      <c r="E1955" s="911">
        <v>59.62</v>
      </c>
      <c r="F1955" s="933"/>
      <c r="G1955" s="946" t="s">
        <v>9</v>
      </c>
    </row>
    <row r="1956" spans="1:7">
      <c r="A1956" s="932">
        <v>42027</v>
      </c>
      <c r="B1956" s="908" t="str">
        <f>TiposLancamentos!B16</f>
        <v>Cristiane</v>
      </c>
      <c r="C1956" s="909" t="s">
        <v>24542</v>
      </c>
      <c r="D1956" s="910"/>
      <c r="E1956" s="911">
        <v>36</v>
      </c>
      <c r="F1956" s="933"/>
      <c r="G1956" s="946" t="s">
        <v>9</v>
      </c>
    </row>
    <row r="1957" spans="1:7">
      <c r="A1957" s="932">
        <v>42028</v>
      </c>
      <c r="B1957" s="908" t="str">
        <f>TiposLancamentos!B16</f>
        <v>Cristiane</v>
      </c>
      <c r="C1957" s="909" t="s">
        <v>24543</v>
      </c>
      <c r="D1957" s="910"/>
      <c r="E1957" s="911">
        <v>90</v>
      </c>
      <c r="F1957" s="933"/>
      <c r="G1957" s="946" t="s">
        <v>9</v>
      </c>
    </row>
    <row r="1958" spans="1:7">
      <c r="A1958" s="932">
        <v>42028</v>
      </c>
      <c r="B1958" s="908" t="str">
        <f>TiposLancamentos!B16</f>
        <v>Cristiane</v>
      </c>
      <c r="C1958" s="909" t="s">
        <v>24544</v>
      </c>
      <c r="D1958" s="910"/>
      <c r="E1958" s="911">
        <v>63.8</v>
      </c>
      <c r="F1958" s="933"/>
      <c r="G1958" s="946" t="s">
        <v>9</v>
      </c>
    </row>
    <row r="1959" spans="1:7">
      <c r="A1959" s="932">
        <v>42030</v>
      </c>
      <c r="B1959" s="908" t="str">
        <f>TiposLancamentos!B16</f>
        <v>Cristiane</v>
      </c>
      <c r="C1959" s="909" t="s">
        <v>24545</v>
      </c>
      <c r="D1959" s="910"/>
      <c r="E1959" s="911">
        <v>61.4</v>
      </c>
      <c r="F1959" s="933"/>
      <c r="G1959" s="946" t="s">
        <v>9</v>
      </c>
    </row>
    <row r="1960" spans="1:7">
      <c r="A1960" s="864">
        <v>42030</v>
      </c>
      <c r="B1960" s="76" t="str">
        <f>TiposLancamentos!B26</f>
        <v>LIVROS</v>
      </c>
      <c r="C1960" s="3" t="s">
        <v>24546</v>
      </c>
      <c r="D1960" s="63"/>
      <c r="E1960" s="231">
        <v>36.1</v>
      </c>
      <c r="F1960" s="927"/>
      <c r="G1960" s="946" t="s">
        <v>9</v>
      </c>
    </row>
    <row r="1961" spans="1:7">
      <c r="A1961" s="864">
        <v>42031</v>
      </c>
      <c r="B1961" s="76" t="str">
        <f>TiposLancamentos!B19</f>
        <v>Restaurantes</v>
      </c>
      <c r="C1961" s="3" t="s">
        <v>6795</v>
      </c>
      <c r="D1961" s="63"/>
      <c r="E1961" s="231">
        <v>6</v>
      </c>
      <c r="F1961" s="927"/>
      <c r="G1961" s="946" t="s">
        <v>9</v>
      </c>
    </row>
    <row r="1962" spans="1:7">
      <c r="A1962" s="864">
        <v>42032</v>
      </c>
      <c r="B1962" s="76" t="str">
        <f>TiposLancamentos!B19</f>
        <v>Restaurantes</v>
      </c>
      <c r="C1962" s="3" t="s">
        <v>6795</v>
      </c>
      <c r="D1962" s="63"/>
      <c r="E1962" s="231">
        <v>8.5</v>
      </c>
      <c r="F1962" s="927"/>
      <c r="G1962" s="946" t="s">
        <v>9</v>
      </c>
    </row>
    <row r="1963" spans="1:7">
      <c r="A1963" s="864">
        <v>42032</v>
      </c>
      <c r="B1963" s="76" t="str">
        <f>TiposLancamentos!B19</f>
        <v>Restaurantes</v>
      </c>
      <c r="C1963" s="3" t="s">
        <v>6793</v>
      </c>
      <c r="D1963" s="63"/>
      <c r="E1963" s="231">
        <v>22.3</v>
      </c>
      <c r="F1963" s="927"/>
      <c r="G1963" s="946" t="s">
        <v>9</v>
      </c>
    </row>
    <row r="1964" spans="1:7">
      <c r="A1964" s="864">
        <v>42032</v>
      </c>
      <c r="B1964" s="76" t="str">
        <f>TiposLancamentos!B19</f>
        <v>Restaurantes</v>
      </c>
      <c r="C1964" s="3" t="s">
        <v>24547</v>
      </c>
      <c r="D1964" s="63"/>
      <c r="E1964" s="231">
        <v>38</v>
      </c>
      <c r="F1964" s="927"/>
      <c r="G1964" s="946" t="s">
        <v>9</v>
      </c>
    </row>
    <row r="1965" spans="1:7">
      <c r="A1965" s="864">
        <v>42033</v>
      </c>
      <c r="B1965" s="76" t="str">
        <f>TiposLancamentos!B19</f>
        <v>Restaurantes</v>
      </c>
      <c r="C1965" s="3" t="s">
        <v>6795</v>
      </c>
      <c r="D1965" s="63"/>
      <c r="E1965" s="231">
        <v>6</v>
      </c>
      <c r="F1965" s="927"/>
      <c r="G1965" s="946" t="s">
        <v>9</v>
      </c>
    </row>
    <row r="1966" spans="1:7">
      <c r="A1966" s="864">
        <v>42033</v>
      </c>
      <c r="B1966" s="76" t="str">
        <f>TiposLancamentos!B19</f>
        <v>Restaurantes</v>
      </c>
      <c r="C1966" s="3" t="s">
        <v>6793</v>
      </c>
      <c r="D1966" s="63"/>
      <c r="E1966" s="231">
        <v>20.5</v>
      </c>
      <c r="F1966" s="927"/>
      <c r="G1966" s="946" t="s">
        <v>9</v>
      </c>
    </row>
    <row r="1967" spans="1:7">
      <c r="A1967" s="864">
        <v>42033</v>
      </c>
      <c r="B1967" s="76" t="str">
        <f>TiposLancamentos!B19</f>
        <v>Restaurantes</v>
      </c>
      <c r="C1967" s="3" t="s">
        <v>17860</v>
      </c>
      <c r="D1967" s="63"/>
      <c r="E1967" s="231">
        <v>7</v>
      </c>
      <c r="F1967" s="927"/>
      <c r="G1967" s="946" t="s">
        <v>9</v>
      </c>
    </row>
    <row r="1968" spans="1:7">
      <c r="A1968" s="864">
        <v>42034</v>
      </c>
      <c r="B1968" s="76" t="str">
        <f>TiposLancamentos!B19</f>
        <v>Restaurantes</v>
      </c>
      <c r="C1968" s="3" t="s">
        <v>6795</v>
      </c>
      <c r="D1968" s="63"/>
      <c r="E1968" s="231">
        <v>10.5</v>
      </c>
      <c r="F1968" s="927"/>
      <c r="G1968" s="946" t="s">
        <v>9</v>
      </c>
    </row>
    <row r="1969" spans="1:7">
      <c r="A1969" s="864">
        <v>42034</v>
      </c>
      <c r="B1969" s="76" t="str">
        <f>TiposLancamentos!B19</f>
        <v>Restaurantes</v>
      </c>
      <c r="C1969" s="3" t="s">
        <v>24548</v>
      </c>
      <c r="D1969" s="63"/>
      <c r="E1969" s="231">
        <v>18</v>
      </c>
      <c r="F1969" s="927"/>
      <c r="G1969" s="946" t="s">
        <v>9</v>
      </c>
    </row>
    <row r="1970" spans="1:7">
      <c r="A1970" s="864">
        <v>42034</v>
      </c>
      <c r="B1970" s="76" t="str">
        <f>TiposLancamentos!B32</f>
        <v>Clinicas e tratamentos</v>
      </c>
      <c r="C1970" s="3" t="s">
        <v>24549</v>
      </c>
      <c r="D1970" s="63"/>
      <c r="E1970" s="231">
        <v>100</v>
      </c>
      <c r="F1970" s="927"/>
      <c r="G1970" s="946" t="s">
        <v>9</v>
      </c>
    </row>
    <row r="1971" spans="1:7">
      <c r="A1971" s="864">
        <v>42034</v>
      </c>
      <c r="B1971" s="76" t="str">
        <f>TiposLancamentos!B32</f>
        <v>Clinicas e tratamentos</v>
      </c>
      <c r="C1971" s="3" t="s">
        <v>24550</v>
      </c>
      <c r="D1971" s="63"/>
      <c r="E1971" s="231">
        <v>293</v>
      </c>
      <c r="F1971" s="927">
        <f>3516/12</f>
        <v>293</v>
      </c>
      <c r="G1971" s="946" t="s">
        <v>9</v>
      </c>
    </row>
    <row r="1972" spans="1:7" ht="14.25" thickBot="1">
      <c r="A1972" s="864">
        <v>42035</v>
      </c>
      <c r="B1972" s="76" t="str">
        <f>TiposLancamentos!B19</f>
        <v>Restaurantes</v>
      </c>
      <c r="C1972" s="3" t="s">
        <v>24551</v>
      </c>
      <c r="D1972" s="63"/>
      <c r="E1972" s="231">
        <v>40</v>
      </c>
      <c r="F1972" s="927"/>
      <c r="G1972" s="946" t="s">
        <v>9</v>
      </c>
    </row>
    <row r="1973" spans="1:7">
      <c r="A1973" s="893"/>
      <c r="B1973" s="894"/>
      <c r="C1973" s="906" t="s">
        <v>23115</v>
      </c>
      <c r="D1973" s="896"/>
      <c r="E1973" s="925"/>
      <c r="F1973" s="926">
        <f>SUM(E1927:E1951)</f>
        <v>1771.04</v>
      </c>
      <c r="G1973" s="36"/>
    </row>
    <row r="1974" spans="1:7">
      <c r="A1974" s="864">
        <v>42036</v>
      </c>
      <c r="B1974" s="76" t="str">
        <f>TiposLancamentos!B19</f>
        <v>Restaurantes</v>
      </c>
      <c r="C1974" s="147" t="s">
        <v>24552</v>
      </c>
      <c r="D1974" s="63"/>
      <c r="E1974" s="231">
        <v>153.34</v>
      </c>
      <c r="F1974" s="927">
        <f>F1973-F1936</f>
        <v>123.99000000000001</v>
      </c>
      <c r="G1974" s="946" t="s">
        <v>9</v>
      </c>
    </row>
    <row r="1975" spans="1:7">
      <c r="A1975" s="864">
        <v>42036</v>
      </c>
      <c r="B1975" s="76" t="str">
        <f>TiposLancamentos!B5</f>
        <v>Supermercado</v>
      </c>
      <c r="C1975" s="147" t="s">
        <v>2934</v>
      </c>
      <c r="D1975" s="63"/>
      <c r="E1975" s="231">
        <v>15.98</v>
      </c>
      <c r="F1975" s="927"/>
      <c r="G1975" s="946" t="s">
        <v>9</v>
      </c>
    </row>
    <row r="1976" spans="1:7">
      <c r="A1976" s="864">
        <v>42037</v>
      </c>
      <c r="B1976" s="76" t="str">
        <f>TiposLancamentos!B15</f>
        <v>Cartões de Crédito</v>
      </c>
      <c r="C1976" s="147" t="s">
        <v>1874</v>
      </c>
      <c r="D1976" s="63">
        <v>1771.04</v>
      </c>
      <c r="E1976" s="231"/>
      <c r="F1976" s="927"/>
      <c r="G1976" s="946" t="s">
        <v>9</v>
      </c>
    </row>
    <row r="1977" spans="1:7">
      <c r="A1977" s="864">
        <v>42037</v>
      </c>
      <c r="B1977" s="76" t="str">
        <f>TiposLancamentos!B19</f>
        <v>Restaurantes</v>
      </c>
      <c r="C1977" s="3" t="s">
        <v>6793</v>
      </c>
      <c r="D1977" s="63"/>
      <c r="E1977" s="231">
        <v>20.5</v>
      </c>
      <c r="F1977" s="927"/>
      <c r="G1977" s="946" t="s">
        <v>9</v>
      </c>
    </row>
    <row r="1978" spans="1:7">
      <c r="A1978" s="864">
        <v>42037</v>
      </c>
      <c r="B1978" s="76" t="str">
        <f>TiposLancamentos!B56</f>
        <v>Farmácia</v>
      </c>
      <c r="C1978" s="147" t="s">
        <v>6118</v>
      </c>
      <c r="D1978" s="63"/>
      <c r="E1978" s="231">
        <v>61.94</v>
      </c>
      <c r="F1978" s="927"/>
      <c r="G1978" s="946" t="s">
        <v>9</v>
      </c>
    </row>
    <row r="1979" spans="1:7">
      <c r="A1979" s="864">
        <v>42037</v>
      </c>
      <c r="B1979" s="76" t="str">
        <f>TiposLancamentos!B5</f>
        <v>Supermercado</v>
      </c>
      <c r="C1979" s="147" t="s">
        <v>6397</v>
      </c>
      <c r="D1979" s="63"/>
      <c r="E1979" s="231">
        <v>7.9</v>
      </c>
      <c r="F1979" s="927"/>
      <c r="G1979" s="946" t="s">
        <v>9</v>
      </c>
    </row>
    <row r="1980" spans="1:7">
      <c r="A1980" s="932">
        <v>42037</v>
      </c>
      <c r="B1980" s="908" t="str">
        <f>TiposLancamentos!B5</f>
        <v>Supermercado</v>
      </c>
      <c r="C1980" s="909" t="s">
        <v>24553</v>
      </c>
      <c r="D1980" s="910"/>
      <c r="E1980" s="911">
        <v>23.47</v>
      </c>
      <c r="F1980" s="933"/>
      <c r="G1980" s="946" t="s">
        <v>9</v>
      </c>
    </row>
    <row r="1981" spans="1:7">
      <c r="A1981" s="864">
        <v>42037</v>
      </c>
      <c r="B1981" s="76" t="str">
        <f>TiposLancamentos!B4</f>
        <v>Taxas Bancarias</v>
      </c>
      <c r="C1981" s="3" t="s">
        <v>19651</v>
      </c>
      <c r="D1981" s="63"/>
      <c r="E1981" s="231">
        <v>0.04</v>
      </c>
      <c r="F1981" s="927"/>
      <c r="G1981" s="946" t="s">
        <v>9</v>
      </c>
    </row>
    <row r="1982" spans="1:7">
      <c r="A1982" s="864">
        <v>42038</v>
      </c>
      <c r="B1982" s="76" t="str">
        <f>TiposLancamentos!B19</f>
        <v>Restaurantes</v>
      </c>
      <c r="C1982" s="147" t="s">
        <v>24554</v>
      </c>
      <c r="D1982" s="63"/>
      <c r="E1982" s="231">
        <v>19</v>
      </c>
      <c r="F1982" s="927"/>
      <c r="G1982" s="946" t="s">
        <v>9</v>
      </c>
    </row>
    <row r="1983" spans="1:7">
      <c r="A1983" s="932">
        <v>42038</v>
      </c>
      <c r="B1983" s="908" t="str">
        <f>TiposLancamentos!B16</f>
        <v>Cristiane</v>
      </c>
      <c r="C1983" s="909" t="s">
        <v>24555</v>
      </c>
      <c r="D1983" s="910"/>
      <c r="E1983" s="911">
        <v>62</v>
      </c>
      <c r="F1983" s="933"/>
      <c r="G1983" s="946" t="s">
        <v>9</v>
      </c>
    </row>
    <row r="1984" spans="1:7">
      <c r="A1984" s="864">
        <v>42039</v>
      </c>
      <c r="B1984" s="76" t="str">
        <f>TiposLancamentos!B19</f>
        <v>Restaurantes</v>
      </c>
      <c r="C1984" s="3" t="s">
        <v>6795</v>
      </c>
      <c r="D1984" s="63"/>
      <c r="E1984" s="231">
        <v>8.5</v>
      </c>
      <c r="F1984" s="927"/>
      <c r="G1984" s="946" t="s">
        <v>9</v>
      </c>
    </row>
    <row r="1985" spans="1:7">
      <c r="A1985" s="864">
        <v>42039</v>
      </c>
      <c r="B1985" s="76" t="str">
        <f>TiposLancamentos!B19</f>
        <v>Restaurantes</v>
      </c>
      <c r="C1985" s="3" t="s">
        <v>24556</v>
      </c>
      <c r="D1985" s="63"/>
      <c r="E1985" s="231">
        <v>20.5</v>
      </c>
      <c r="F1985" s="927"/>
      <c r="G1985" s="946" t="s">
        <v>9</v>
      </c>
    </row>
    <row r="1986" spans="1:7">
      <c r="A1986" s="864">
        <v>42039</v>
      </c>
      <c r="B1986" s="76" t="str">
        <f>TiposLancamentos!B16</f>
        <v>Cristiane</v>
      </c>
      <c r="C1986" s="3" t="s">
        <v>24557</v>
      </c>
      <c r="D1986" s="63"/>
      <c r="E1986" s="231">
        <v>118</v>
      </c>
      <c r="F1986" s="927"/>
      <c r="G1986" s="946" t="s">
        <v>9</v>
      </c>
    </row>
    <row r="1987" spans="1:7">
      <c r="A1987" s="864">
        <v>42040</v>
      </c>
      <c r="B1987" s="76" t="str">
        <f>TiposLancamentos!B19</f>
        <v>Restaurantes</v>
      </c>
      <c r="C1987" s="3" t="s">
        <v>6795</v>
      </c>
      <c r="D1987" s="63"/>
      <c r="E1987" s="231">
        <v>6</v>
      </c>
      <c r="F1987" s="927"/>
      <c r="G1987" s="946" t="s">
        <v>9</v>
      </c>
    </row>
    <row r="1988" spans="1:7">
      <c r="A1988" s="864">
        <v>42040</v>
      </c>
      <c r="B1988" s="76" t="str">
        <f>TiposLancamentos!B19</f>
        <v>Restaurantes</v>
      </c>
      <c r="C1988" s="3" t="s">
        <v>6793</v>
      </c>
      <c r="D1988" s="63"/>
      <c r="E1988" s="231">
        <v>23.3</v>
      </c>
      <c r="F1988" s="927"/>
      <c r="G1988" s="946" t="s">
        <v>9</v>
      </c>
    </row>
    <row r="1989" spans="1:7">
      <c r="A1989" s="864">
        <v>42040</v>
      </c>
      <c r="B1989" s="76" t="str">
        <f>TiposLancamentos!B71</f>
        <v>Itens Pessoais</v>
      </c>
      <c r="C1989" s="3" t="s">
        <v>3112</v>
      </c>
      <c r="D1989" s="63"/>
      <c r="E1989" s="231">
        <v>35</v>
      </c>
      <c r="F1989" s="927"/>
      <c r="G1989" s="946" t="s">
        <v>9</v>
      </c>
    </row>
    <row r="1990" spans="1:7">
      <c r="A1990" s="932">
        <v>42040</v>
      </c>
      <c r="B1990" s="908" t="str">
        <f>TiposLancamentos!B16</f>
        <v>Cristiane</v>
      </c>
      <c r="C1990" s="909" t="s">
        <v>7006</v>
      </c>
      <c r="D1990" s="910"/>
      <c r="E1990" s="911">
        <v>21</v>
      </c>
      <c r="F1990" s="933"/>
      <c r="G1990" s="946" t="s">
        <v>9</v>
      </c>
    </row>
    <row r="1991" spans="1:7">
      <c r="A1991" s="864">
        <v>42040</v>
      </c>
      <c r="B1991" s="76" t="str">
        <f>TiposLancamentos!B5</f>
        <v>Supermercado</v>
      </c>
      <c r="C1991" s="147" t="s">
        <v>5844</v>
      </c>
      <c r="D1991" s="63"/>
      <c r="E1991" s="231">
        <v>46.46</v>
      </c>
      <c r="F1991" s="927"/>
      <c r="G1991" s="946" t="s">
        <v>9</v>
      </c>
    </row>
    <row r="1992" spans="1:7">
      <c r="A1992" s="864">
        <v>42041</v>
      </c>
      <c r="B1992" s="76" t="str">
        <f>TiposLancamentos!B19</f>
        <v>Restaurantes</v>
      </c>
      <c r="C1992" s="147" t="s">
        <v>6795</v>
      </c>
      <c r="D1992" s="63"/>
      <c r="E1992" s="231">
        <v>8.5</v>
      </c>
      <c r="F1992" s="927"/>
      <c r="G1992" s="946" t="s">
        <v>9</v>
      </c>
    </row>
    <row r="1993" spans="1:7">
      <c r="A1993" s="864">
        <v>42041</v>
      </c>
      <c r="B1993" s="76" t="str">
        <f>TiposLancamentos!B19</f>
        <v>Restaurantes</v>
      </c>
      <c r="C1993" s="3" t="s">
        <v>6793</v>
      </c>
      <c r="D1993" s="63"/>
      <c r="E1993" s="231">
        <v>21.5</v>
      </c>
      <c r="F1993" s="927"/>
      <c r="G1993" s="946" t="s">
        <v>9</v>
      </c>
    </row>
    <row r="1994" spans="1:7">
      <c r="A1994" s="864">
        <v>42041</v>
      </c>
      <c r="B1994" s="76" t="str">
        <f>TiposLancamentos!B19</f>
        <v>Restaurantes</v>
      </c>
      <c r="C1994" s="3" t="s">
        <v>17860</v>
      </c>
      <c r="D1994" s="63"/>
      <c r="E1994" s="231">
        <v>7</v>
      </c>
      <c r="F1994" s="927"/>
      <c r="G1994" s="946" t="s">
        <v>9</v>
      </c>
    </row>
    <row r="1995" spans="1:7">
      <c r="A1995" s="864">
        <v>42041</v>
      </c>
      <c r="B1995" s="76" t="str">
        <f>TiposLancamentos!B65</f>
        <v>Taxi</v>
      </c>
      <c r="C1995" s="3" t="s">
        <v>24558</v>
      </c>
      <c r="D1995" s="63"/>
      <c r="E1995" s="231">
        <v>35</v>
      </c>
      <c r="F1995" s="927"/>
      <c r="G1995" s="946" t="s">
        <v>9</v>
      </c>
    </row>
    <row r="1996" spans="1:7">
      <c r="A1996" s="864">
        <v>42041</v>
      </c>
      <c r="B1996" s="76" t="str">
        <f>TiposLancamentos!B19</f>
        <v>Restaurantes</v>
      </c>
      <c r="C1996" s="3" t="s">
        <v>24559</v>
      </c>
      <c r="D1996" s="63"/>
      <c r="E1996" s="231">
        <v>23.9</v>
      </c>
      <c r="F1996" s="927"/>
      <c r="G1996" s="946" t="s">
        <v>9</v>
      </c>
    </row>
    <row r="1997" spans="1:7">
      <c r="A1997" s="864">
        <v>42042</v>
      </c>
      <c r="B1997" s="76" t="str">
        <f>TiposLancamentos!B19</f>
        <v>Restaurantes</v>
      </c>
      <c r="C1997" s="3" t="s">
        <v>24560</v>
      </c>
      <c r="D1997" s="63"/>
      <c r="E1997" s="231">
        <v>74.8</v>
      </c>
      <c r="F1997" s="927"/>
      <c r="G1997" s="946" t="s">
        <v>9</v>
      </c>
    </row>
    <row r="1998" spans="1:7">
      <c r="A1998" s="864">
        <v>42042</v>
      </c>
      <c r="B1998" s="76" t="str">
        <f>TiposLancamentos!B16</f>
        <v>Cristiane</v>
      </c>
      <c r="C1998" s="3" t="s">
        <v>24561</v>
      </c>
      <c r="D1998" s="63"/>
      <c r="E1998" s="231">
        <v>35.9</v>
      </c>
      <c r="F1998" s="927"/>
      <c r="G1998" s="946" t="s">
        <v>9</v>
      </c>
    </row>
    <row r="1999" spans="1:7">
      <c r="A1999" s="864">
        <v>42042</v>
      </c>
      <c r="B1999" s="76" t="str">
        <f>TiposLancamentos!B16</f>
        <v>Cristiane</v>
      </c>
      <c r="C1999" s="3" t="s">
        <v>24225</v>
      </c>
      <c r="D1999" s="63"/>
      <c r="E1999" s="231">
        <v>219.7</v>
      </c>
      <c r="F1999" s="927"/>
      <c r="G1999" s="946" t="s">
        <v>9</v>
      </c>
    </row>
    <row r="2000" spans="1:7">
      <c r="A2000" s="864">
        <v>42043</v>
      </c>
      <c r="B2000" s="76" t="str">
        <f>TiposLancamentos!B19</f>
        <v>Restaurantes</v>
      </c>
      <c r="C2000" s="3" t="s">
        <v>24562</v>
      </c>
      <c r="D2000" s="63"/>
      <c r="E2000" s="231">
        <v>111.76</v>
      </c>
      <c r="F2000" s="927"/>
      <c r="G2000" s="946" t="s">
        <v>9</v>
      </c>
    </row>
    <row r="2001" spans="1:7">
      <c r="A2001" s="864">
        <v>42043</v>
      </c>
      <c r="B2001" s="76" t="str">
        <f>TiposLancamentos!B13</f>
        <v>Moradia</v>
      </c>
      <c r="C2001" s="3" t="s">
        <v>24563</v>
      </c>
      <c r="D2001" s="63"/>
      <c r="E2001" s="231">
        <v>32</v>
      </c>
      <c r="F2001" s="927"/>
      <c r="G2001" s="946" t="s">
        <v>9</v>
      </c>
    </row>
    <row r="2002" spans="1:7">
      <c r="A2002" s="864">
        <v>42043</v>
      </c>
      <c r="B2002" s="76" t="str">
        <f>TiposLancamentos!B22</f>
        <v>Combustivel</v>
      </c>
      <c r="C2002" s="3" t="s">
        <v>24564</v>
      </c>
      <c r="D2002" s="63"/>
      <c r="E2002" s="231">
        <v>50</v>
      </c>
      <c r="F2002" s="927"/>
      <c r="G2002" s="946" t="s">
        <v>9</v>
      </c>
    </row>
    <row r="2003" spans="1:7">
      <c r="A2003" s="932">
        <v>42043</v>
      </c>
      <c r="B2003" s="908" t="str">
        <f>TiposLancamentos!B5</f>
        <v>Supermercado</v>
      </c>
      <c r="C2003" s="909" t="s">
        <v>6234</v>
      </c>
      <c r="D2003" s="910"/>
      <c r="E2003" s="911">
        <v>92.65</v>
      </c>
      <c r="F2003" s="933"/>
      <c r="G2003" s="946" t="s">
        <v>9</v>
      </c>
    </row>
    <row r="2004" spans="1:7">
      <c r="A2004" s="864">
        <v>42044</v>
      </c>
      <c r="B2004" s="76" t="str">
        <f>TiposLancamentos!B16</f>
        <v>Cristiane</v>
      </c>
      <c r="C2004" s="3" t="s">
        <v>6793</v>
      </c>
      <c r="D2004" s="63"/>
      <c r="E2004" s="231">
        <v>22.3</v>
      </c>
      <c r="F2004" s="927"/>
      <c r="G2004" s="946" t="s">
        <v>9</v>
      </c>
    </row>
    <row r="2005" spans="1:7">
      <c r="A2005" s="864">
        <v>42044</v>
      </c>
      <c r="B2005" s="76" t="str">
        <f>TiposLancamentos!B18</f>
        <v>Alimentacao</v>
      </c>
      <c r="C2005" s="3" t="s">
        <v>24565</v>
      </c>
      <c r="D2005" s="63"/>
      <c r="E2005" s="231">
        <v>16</v>
      </c>
      <c r="F2005" s="927"/>
      <c r="G2005" s="946" t="s">
        <v>9</v>
      </c>
    </row>
    <row r="2006" spans="1:7">
      <c r="A2006" s="932">
        <v>42044</v>
      </c>
      <c r="B2006" s="908" t="str">
        <f>TiposLancamentos!B16</f>
        <v>Cristiane</v>
      </c>
      <c r="C2006" s="909" t="s">
        <v>22897</v>
      </c>
      <c r="D2006" s="910"/>
      <c r="E2006" s="911">
        <v>165.5</v>
      </c>
      <c r="F2006" s="933"/>
      <c r="G2006" s="946" t="s">
        <v>9</v>
      </c>
    </row>
    <row r="2007" spans="1:7">
      <c r="A2007" s="932">
        <v>42044</v>
      </c>
      <c r="B2007" s="908" t="str">
        <f>TiposLancamentos!B16</f>
        <v>Cristiane</v>
      </c>
      <c r="C2007" s="909" t="s">
        <v>22897</v>
      </c>
      <c r="D2007" s="910"/>
      <c r="E2007" s="911">
        <v>114.8</v>
      </c>
      <c r="F2007" s="933"/>
      <c r="G2007" s="946" t="s">
        <v>9</v>
      </c>
    </row>
    <row r="2008" spans="1:7">
      <c r="A2008" s="864">
        <v>42045</v>
      </c>
      <c r="B2008" s="76" t="str">
        <f>TiposLancamentos!B19</f>
        <v>Restaurantes</v>
      </c>
      <c r="C2008" s="3" t="s">
        <v>6793</v>
      </c>
      <c r="D2008" s="63"/>
      <c r="E2008" s="231">
        <v>20.5</v>
      </c>
      <c r="F2008" s="927"/>
      <c r="G2008" s="946" t="s">
        <v>9</v>
      </c>
    </row>
    <row r="2009" spans="1:7">
      <c r="A2009" s="864">
        <v>42045</v>
      </c>
      <c r="B2009" s="76" t="str">
        <f>TiposLancamentos!B19</f>
        <v>Restaurantes</v>
      </c>
      <c r="C2009" s="3" t="s">
        <v>17860</v>
      </c>
      <c r="D2009" s="63"/>
      <c r="E2009" s="231">
        <v>7</v>
      </c>
      <c r="F2009" s="927"/>
      <c r="G2009" s="946" t="s">
        <v>9</v>
      </c>
    </row>
    <row r="2010" spans="1:7">
      <c r="A2010" s="864">
        <v>42045</v>
      </c>
      <c r="B2010" s="76" t="str">
        <f>TiposLancamentos!B19</f>
        <v>Restaurantes</v>
      </c>
      <c r="C2010" s="3" t="s">
        <v>24566</v>
      </c>
      <c r="D2010" s="63"/>
      <c r="E2010" s="231">
        <v>136.94999999999999</v>
      </c>
      <c r="F2010" s="927"/>
      <c r="G2010" s="946" t="s">
        <v>9</v>
      </c>
    </row>
    <row r="2011" spans="1:7">
      <c r="A2011" s="864">
        <v>42046</v>
      </c>
      <c r="B2011" s="76" t="str">
        <f>TiposLancamentos!B16</f>
        <v>Cristiane</v>
      </c>
      <c r="C2011" s="3" t="s">
        <v>6793</v>
      </c>
      <c r="D2011" s="63"/>
      <c r="E2011" s="231">
        <v>20</v>
      </c>
      <c r="F2011" s="927"/>
      <c r="G2011" s="946" t="s">
        <v>9</v>
      </c>
    </row>
    <row r="2012" spans="1:7">
      <c r="A2012" s="932">
        <v>42046</v>
      </c>
      <c r="B2012" s="908" t="str">
        <f>TiposLancamentos!B16</f>
        <v>Cristiane</v>
      </c>
      <c r="C2012" s="909" t="s">
        <v>2822</v>
      </c>
      <c r="D2012" s="910"/>
      <c r="E2012" s="911">
        <v>86.7</v>
      </c>
      <c r="F2012" s="933"/>
      <c r="G2012" s="946" t="s">
        <v>9</v>
      </c>
    </row>
    <row r="2013" spans="1:7">
      <c r="A2013" s="864">
        <v>42046</v>
      </c>
      <c r="B2013" s="76" t="str">
        <f>TiposLancamentos!B56</f>
        <v>Farmácia</v>
      </c>
      <c r="C2013" s="3" t="s">
        <v>24567</v>
      </c>
      <c r="D2013" s="63"/>
      <c r="E2013" s="231">
        <v>49.96</v>
      </c>
      <c r="F2013" s="927"/>
      <c r="G2013" s="946" t="s">
        <v>9</v>
      </c>
    </row>
    <row r="2014" spans="1:7">
      <c r="A2014" s="864">
        <v>42047</v>
      </c>
      <c r="B2014" s="76" t="str">
        <f>TiposLancamentos!B19</f>
        <v>Restaurantes</v>
      </c>
      <c r="C2014" s="147" t="s">
        <v>6795</v>
      </c>
      <c r="D2014" s="63"/>
      <c r="E2014" s="231">
        <v>8.5</v>
      </c>
      <c r="F2014" s="927"/>
      <c r="G2014" s="946" t="s">
        <v>9</v>
      </c>
    </row>
    <row r="2015" spans="1:7">
      <c r="A2015" s="864">
        <v>42047</v>
      </c>
      <c r="B2015" s="76" t="str">
        <f>TiposLancamentos!B19</f>
        <v>Restaurantes</v>
      </c>
      <c r="C2015" s="3" t="s">
        <v>24568</v>
      </c>
      <c r="D2015" s="63"/>
      <c r="E2015" s="231">
        <v>20.9</v>
      </c>
      <c r="F2015" s="927"/>
      <c r="G2015" s="946" t="s">
        <v>9</v>
      </c>
    </row>
    <row r="2016" spans="1:7">
      <c r="A2016" s="932">
        <v>42047</v>
      </c>
      <c r="B2016" s="908" t="str">
        <f>TiposLancamentos!B22</f>
        <v>Combustivel</v>
      </c>
      <c r="C2016" s="909" t="s">
        <v>24569</v>
      </c>
      <c r="D2016" s="910"/>
      <c r="E2016" s="911">
        <v>80</v>
      </c>
      <c r="F2016" s="933"/>
      <c r="G2016" s="946" t="s">
        <v>9</v>
      </c>
    </row>
    <row r="2017" spans="1:7">
      <c r="A2017" s="934"/>
      <c r="B2017" s="226"/>
      <c r="C2017" s="227" t="s">
        <v>10</v>
      </c>
      <c r="D2017" s="228"/>
      <c r="E2017" s="228"/>
      <c r="F2017" s="935"/>
      <c r="G2017" s="1095" t="s">
        <v>11</v>
      </c>
    </row>
    <row r="2018" spans="1:7">
      <c r="A2018" s="864">
        <v>42048</v>
      </c>
      <c r="B2018" s="76" t="str">
        <f>TiposLancamentos!B19</f>
        <v>Restaurantes</v>
      </c>
      <c r="C2018" s="147" t="s">
        <v>6795</v>
      </c>
      <c r="D2018" s="63"/>
      <c r="E2018" s="231">
        <v>12.5</v>
      </c>
      <c r="F2018" s="927"/>
      <c r="G2018" s="946" t="s">
        <v>9</v>
      </c>
    </row>
    <row r="2019" spans="1:7">
      <c r="A2019" s="864">
        <v>42048</v>
      </c>
      <c r="B2019" s="76" t="str">
        <f>TiposLancamentos!B19</f>
        <v>Restaurantes</v>
      </c>
      <c r="C2019" s="147" t="s">
        <v>24570</v>
      </c>
      <c r="D2019" s="63"/>
      <c r="E2019" s="231">
        <v>19</v>
      </c>
      <c r="F2019" s="927"/>
      <c r="G2019" s="946" t="s">
        <v>9</v>
      </c>
    </row>
    <row r="2020" spans="1:7">
      <c r="A2020" s="932">
        <v>42048</v>
      </c>
      <c r="B2020" s="908" t="str">
        <f>TiposLancamentos!B5</f>
        <v>Supermercado</v>
      </c>
      <c r="C2020" s="909" t="s">
        <v>6664</v>
      </c>
      <c r="D2020" s="910"/>
      <c r="E2020" s="911">
        <v>223.54</v>
      </c>
      <c r="F2020" s="933"/>
      <c r="G2020" s="946" t="s">
        <v>9</v>
      </c>
    </row>
    <row r="2021" spans="1:7">
      <c r="A2021" s="864">
        <v>42049</v>
      </c>
      <c r="B2021" s="76" t="str">
        <f>TiposLancamentos!B17</f>
        <v>GATO</v>
      </c>
      <c r="C2021" s="3" t="s">
        <v>24571</v>
      </c>
      <c r="D2021" s="63"/>
      <c r="E2021" s="231">
        <v>45.1</v>
      </c>
      <c r="F2021" s="927"/>
      <c r="G2021" s="946" t="s">
        <v>9</v>
      </c>
    </row>
    <row r="2022" spans="1:7">
      <c r="A2022" s="864">
        <v>42049</v>
      </c>
      <c r="B2022" s="76" t="str">
        <f>TiposLancamentos!B19</f>
        <v>Restaurantes</v>
      </c>
      <c r="C2022" s="3" t="s">
        <v>6542</v>
      </c>
      <c r="D2022" s="63"/>
      <c r="E2022" s="231">
        <v>97.9</v>
      </c>
      <c r="F2022" s="927"/>
      <c r="G2022" s="946" t="s">
        <v>9</v>
      </c>
    </row>
    <row r="2023" spans="1:7">
      <c r="A2023" s="864">
        <v>42050</v>
      </c>
      <c r="B2023" s="76" t="str">
        <f>TiposLancamentos!B19</f>
        <v>Restaurantes</v>
      </c>
      <c r="C2023" s="3" t="s">
        <v>24572</v>
      </c>
      <c r="D2023" s="63"/>
      <c r="E2023" s="231">
        <v>216.75</v>
      </c>
      <c r="F2023" s="927"/>
      <c r="G2023" s="946" t="s">
        <v>9</v>
      </c>
    </row>
    <row r="2024" spans="1:7">
      <c r="A2024" s="864">
        <v>42051</v>
      </c>
      <c r="B2024" s="76" t="str">
        <f>TiposLancamentos!B19</f>
        <v>Restaurantes</v>
      </c>
      <c r="C2024" s="3" t="s">
        <v>24573</v>
      </c>
      <c r="D2024" s="63"/>
      <c r="E2024" s="231">
        <v>95.81</v>
      </c>
      <c r="F2024" s="927"/>
      <c r="G2024" s="946" t="s">
        <v>9</v>
      </c>
    </row>
    <row r="2025" spans="1:7">
      <c r="A2025" s="864">
        <v>42051</v>
      </c>
      <c r="B2025" s="76" t="str">
        <f>TiposLancamentos!B19</f>
        <v>Restaurantes</v>
      </c>
      <c r="C2025" s="3" t="s">
        <v>24574</v>
      </c>
      <c r="D2025" s="63"/>
      <c r="E2025" s="231">
        <v>46</v>
      </c>
      <c r="F2025" s="927"/>
      <c r="G2025" s="946" t="s">
        <v>9</v>
      </c>
    </row>
    <row r="2026" spans="1:7">
      <c r="A2026" s="864">
        <v>42052</v>
      </c>
      <c r="B2026" s="76" t="str">
        <f>TiposLancamentos!B31</f>
        <v>Action Figures</v>
      </c>
      <c r="C2026" s="147" t="s">
        <v>24485</v>
      </c>
      <c r="D2026" s="63"/>
      <c r="E2026" s="231">
        <v>88.29</v>
      </c>
      <c r="F2026" s="927"/>
      <c r="G2026" s="946" t="s">
        <v>9</v>
      </c>
    </row>
    <row r="2027" spans="1:7">
      <c r="A2027" s="864">
        <v>42052</v>
      </c>
      <c r="B2027" s="76" t="str">
        <f>TiposLancamentos!B19</f>
        <v>Restaurantes</v>
      </c>
      <c r="C2027" s="3" t="s">
        <v>17539</v>
      </c>
      <c r="D2027" s="63"/>
      <c r="E2027" s="231">
        <v>23.9</v>
      </c>
      <c r="F2027" s="927"/>
      <c r="G2027" s="946" t="s">
        <v>9</v>
      </c>
    </row>
    <row r="2028" spans="1:7">
      <c r="A2028" s="864">
        <v>42053</v>
      </c>
      <c r="B2028" s="76" t="str">
        <f>TiposLancamentos!B22</f>
        <v>Combustivel</v>
      </c>
      <c r="C2028" s="3" t="s">
        <v>6728</v>
      </c>
      <c r="D2028" s="63"/>
      <c r="E2028" s="231">
        <v>50</v>
      </c>
      <c r="F2028" s="927"/>
      <c r="G2028" s="946" t="s">
        <v>9</v>
      </c>
    </row>
    <row r="2029" spans="1:7">
      <c r="A2029" s="932">
        <v>42053</v>
      </c>
      <c r="B2029" s="908" t="str">
        <f>TiposLancamentos!B16</f>
        <v>Cristiane</v>
      </c>
      <c r="C2029" s="909" t="s">
        <v>23804</v>
      </c>
      <c r="D2029" s="910"/>
      <c r="E2029" s="911">
        <v>166.8</v>
      </c>
      <c r="F2029" s="933"/>
      <c r="G2029" s="946" t="s">
        <v>9</v>
      </c>
    </row>
    <row r="2030" spans="1:7">
      <c r="A2030" s="932">
        <v>42053</v>
      </c>
      <c r="B2030" s="908" t="str">
        <f>TiposLancamentos!B5</f>
        <v>Supermercado</v>
      </c>
      <c r="C2030" s="909" t="s">
        <v>18676</v>
      </c>
      <c r="D2030" s="910"/>
      <c r="E2030" s="911">
        <v>151.13</v>
      </c>
      <c r="F2030" s="933"/>
      <c r="G2030" s="946" t="s">
        <v>9</v>
      </c>
    </row>
    <row r="2031" spans="1:7">
      <c r="A2031" s="864">
        <v>42054</v>
      </c>
      <c r="B2031" s="76" t="str">
        <f>TiposLancamentos!B19</f>
        <v>Restaurantes</v>
      </c>
      <c r="C2031" s="147" t="s">
        <v>6795</v>
      </c>
      <c r="D2031" s="63"/>
      <c r="E2031" s="231">
        <v>8</v>
      </c>
      <c r="F2031" s="927"/>
      <c r="G2031" s="946" t="s">
        <v>9</v>
      </c>
    </row>
    <row r="2032" spans="1:7">
      <c r="A2032" s="864">
        <v>42054</v>
      </c>
      <c r="B2032" s="76" t="str">
        <f>TiposLancamentos!B19</f>
        <v>Restaurantes</v>
      </c>
      <c r="C2032" s="3" t="s">
        <v>6793</v>
      </c>
      <c r="D2032" s="63"/>
      <c r="E2032" s="231">
        <v>23.3</v>
      </c>
      <c r="F2032" s="927"/>
      <c r="G2032" s="946" t="s">
        <v>9</v>
      </c>
    </row>
    <row r="2033" spans="1:7">
      <c r="A2033" s="932">
        <v>42054</v>
      </c>
      <c r="B2033" s="908" t="str">
        <f>TiposLancamentos!B16</f>
        <v>Cristiane</v>
      </c>
      <c r="C2033" s="909" t="s">
        <v>24575</v>
      </c>
      <c r="D2033" s="910"/>
      <c r="E2033" s="911">
        <v>108.94</v>
      </c>
      <c r="F2033" s="933"/>
      <c r="G2033" s="946" t="s">
        <v>9</v>
      </c>
    </row>
    <row r="2034" spans="1:7">
      <c r="A2034" s="932">
        <v>42054</v>
      </c>
      <c r="B2034" s="908" t="str">
        <f>TiposLancamentos!B5</f>
        <v>Supermercado</v>
      </c>
      <c r="C2034" s="909" t="s">
        <v>6234</v>
      </c>
      <c r="D2034" s="910"/>
      <c r="E2034" s="911">
        <v>89.38</v>
      </c>
      <c r="F2034" s="933"/>
      <c r="G2034" s="946" t="s">
        <v>9</v>
      </c>
    </row>
    <row r="2035" spans="1:7">
      <c r="A2035" s="864">
        <v>42055</v>
      </c>
      <c r="B2035" s="76" t="str">
        <f>TiposLancamentos!B19</f>
        <v>Restaurantes</v>
      </c>
      <c r="C2035" s="147" t="s">
        <v>6795</v>
      </c>
      <c r="D2035" s="63"/>
      <c r="E2035" s="231">
        <v>6</v>
      </c>
      <c r="F2035" s="927"/>
      <c r="G2035" s="946" t="s">
        <v>9</v>
      </c>
    </row>
    <row r="2036" spans="1:7">
      <c r="A2036" s="864">
        <v>42055</v>
      </c>
      <c r="B2036" s="76" t="str">
        <f>TiposLancamentos!B19</f>
        <v>Restaurantes</v>
      </c>
      <c r="C2036" s="147" t="s">
        <v>6827</v>
      </c>
      <c r="D2036" s="63"/>
      <c r="E2036" s="231">
        <v>19</v>
      </c>
      <c r="F2036" s="927"/>
      <c r="G2036" s="946" t="s">
        <v>9</v>
      </c>
    </row>
    <row r="2037" spans="1:7">
      <c r="A2037" s="864">
        <v>42055</v>
      </c>
      <c r="B2037" s="76" t="str">
        <f>TiposLancamentos!B19</f>
        <v>Restaurantes</v>
      </c>
      <c r="C2037" s="147" t="s">
        <v>24576</v>
      </c>
      <c r="D2037" s="63"/>
      <c r="E2037" s="231">
        <v>113.3</v>
      </c>
      <c r="F2037" s="927"/>
      <c r="G2037" s="946" t="s">
        <v>9</v>
      </c>
    </row>
    <row r="2038" spans="1:7">
      <c r="A2038" s="864">
        <v>42056</v>
      </c>
      <c r="B2038" s="76" t="str">
        <f>TiposLancamentos!B19</f>
        <v>Restaurantes</v>
      </c>
      <c r="C2038" s="147" t="s">
        <v>24577</v>
      </c>
      <c r="D2038" s="63"/>
      <c r="E2038" s="231">
        <v>17.2</v>
      </c>
      <c r="F2038" s="927"/>
      <c r="G2038" s="946" t="s">
        <v>9</v>
      </c>
    </row>
    <row r="2039" spans="1:7">
      <c r="A2039" s="864">
        <v>42056</v>
      </c>
      <c r="B2039" s="76" t="str">
        <f>TiposLancamentos!B16</f>
        <v>Cristiane</v>
      </c>
      <c r="C2039" s="147" t="s">
        <v>24578</v>
      </c>
      <c r="D2039" s="63"/>
      <c r="E2039" s="231">
        <v>18</v>
      </c>
      <c r="F2039" s="927"/>
      <c r="G2039" s="946" t="s">
        <v>9</v>
      </c>
    </row>
    <row r="2040" spans="1:7">
      <c r="A2040" s="864">
        <v>42056</v>
      </c>
      <c r="B2040" s="76" t="str">
        <f>TiposLancamentos!B19</f>
        <v>Restaurantes</v>
      </c>
      <c r="C2040" s="147" t="s">
        <v>6468</v>
      </c>
      <c r="D2040" s="63"/>
      <c r="E2040" s="231">
        <v>115.5</v>
      </c>
      <c r="F2040" s="927"/>
      <c r="G2040" s="946" t="s">
        <v>9</v>
      </c>
    </row>
    <row r="2041" spans="1:7">
      <c r="A2041" s="864">
        <v>42057</v>
      </c>
      <c r="B2041" s="76" t="str">
        <f>TiposLancamentos!B19</f>
        <v>Restaurantes</v>
      </c>
      <c r="C2041" s="147" t="s">
        <v>24579</v>
      </c>
      <c r="D2041" s="63"/>
      <c r="E2041" s="231">
        <v>76.67</v>
      </c>
      <c r="F2041" s="927"/>
      <c r="G2041" s="946" t="s">
        <v>9</v>
      </c>
    </row>
    <row r="2042" spans="1:7">
      <c r="A2042" s="864">
        <v>42057</v>
      </c>
      <c r="B2042" s="76" t="str">
        <f>TiposLancamentos!B19</f>
        <v>Restaurantes</v>
      </c>
      <c r="C2042" s="147" t="s">
        <v>24580</v>
      </c>
      <c r="D2042" s="63"/>
      <c r="E2042" s="231">
        <v>14</v>
      </c>
      <c r="F2042" s="927"/>
      <c r="G2042" s="946" t="s">
        <v>9</v>
      </c>
    </row>
    <row r="2043" spans="1:7">
      <c r="A2043" s="864">
        <v>42057</v>
      </c>
      <c r="B2043" s="76" t="str">
        <f>TiposLancamentos!B16</f>
        <v>Cristiane</v>
      </c>
      <c r="C2043" s="147" t="s">
        <v>24581</v>
      </c>
      <c r="D2043" s="63"/>
      <c r="E2043" s="231">
        <v>99.9</v>
      </c>
      <c r="F2043" s="927"/>
      <c r="G2043" s="946" t="s">
        <v>9</v>
      </c>
    </row>
    <row r="2044" spans="1:7">
      <c r="A2044" s="864">
        <v>42058</v>
      </c>
      <c r="B2044" s="76" t="str">
        <f>TiposLancamentos!B5</f>
        <v>Supermercado</v>
      </c>
      <c r="C2044" s="147" t="s">
        <v>6234</v>
      </c>
      <c r="D2044" s="63"/>
      <c r="E2044" s="231">
        <v>52.37</v>
      </c>
      <c r="F2044" s="927"/>
      <c r="G2044" s="946" t="s">
        <v>9</v>
      </c>
    </row>
    <row r="2045" spans="1:7">
      <c r="A2045" s="932">
        <v>42058</v>
      </c>
      <c r="B2045" s="908" t="str">
        <f>TiposLancamentos!B16</f>
        <v>Cristiane</v>
      </c>
      <c r="C2045" s="909" t="s">
        <v>24582</v>
      </c>
      <c r="D2045" s="910"/>
      <c r="E2045" s="911">
        <v>23.58</v>
      </c>
      <c r="F2045" s="933"/>
      <c r="G2045" s="946" t="s">
        <v>9</v>
      </c>
    </row>
    <row r="2046" spans="1:7">
      <c r="A2046" s="864">
        <v>42059</v>
      </c>
      <c r="B2046" s="76" t="str">
        <f>TiposLancamentos!B19</f>
        <v>Restaurantes</v>
      </c>
      <c r="C2046" s="147" t="s">
        <v>16675</v>
      </c>
      <c r="D2046" s="63"/>
      <c r="E2046" s="231">
        <v>23.9</v>
      </c>
      <c r="F2046" s="927"/>
      <c r="G2046" s="946" t="s">
        <v>9</v>
      </c>
    </row>
    <row r="2047" spans="1:7">
      <c r="A2047" s="864">
        <v>42059</v>
      </c>
      <c r="B2047" s="76" t="str">
        <f>TiposLancamentos!B16</f>
        <v>Cristiane</v>
      </c>
      <c r="C2047" s="147" t="s">
        <v>24583</v>
      </c>
      <c r="D2047" s="63"/>
      <c r="E2047" s="231">
        <v>21.8</v>
      </c>
      <c r="F2047" s="927"/>
      <c r="G2047" s="946" t="s">
        <v>9</v>
      </c>
    </row>
    <row r="2048" spans="1:7">
      <c r="A2048" s="932">
        <v>42059</v>
      </c>
      <c r="B2048" s="908" t="str">
        <f>TiposLancamentos!B16</f>
        <v>Cristiane</v>
      </c>
      <c r="C2048" s="909" t="s">
        <v>24584</v>
      </c>
      <c r="D2048" s="910"/>
      <c r="E2048" s="911">
        <v>90</v>
      </c>
      <c r="F2048" s="933"/>
      <c r="G2048" s="946" t="s">
        <v>9</v>
      </c>
    </row>
    <row r="2049" spans="1:7">
      <c r="A2049" s="932">
        <v>42059</v>
      </c>
      <c r="B2049" s="908" t="str">
        <f>TiposLancamentos!B22</f>
        <v>Combustivel</v>
      </c>
      <c r="C2049" s="909" t="s">
        <v>8230</v>
      </c>
      <c r="D2049" s="910"/>
      <c r="E2049" s="911">
        <v>100</v>
      </c>
      <c r="F2049" s="933"/>
      <c r="G2049" s="946" t="s">
        <v>9</v>
      </c>
    </row>
    <row r="2050" spans="1:7">
      <c r="A2050" s="864">
        <v>42060</v>
      </c>
      <c r="B2050" s="76" t="str">
        <f>TiposLancamentos!B3</f>
        <v>Internet</v>
      </c>
      <c r="C2050" s="147" t="s">
        <v>10734</v>
      </c>
      <c r="D2050" s="63"/>
      <c r="E2050" s="231">
        <v>29.9</v>
      </c>
      <c r="F2050" s="927"/>
      <c r="G2050" s="946" t="s">
        <v>9</v>
      </c>
    </row>
    <row r="2051" spans="1:7">
      <c r="A2051" s="864">
        <v>42060</v>
      </c>
      <c r="B2051" s="76" t="str">
        <f>TiposLancamentos!B71</f>
        <v>Itens Pessoais</v>
      </c>
      <c r="C2051" s="147" t="s">
        <v>24585</v>
      </c>
      <c r="D2051" s="63"/>
      <c r="E2051" s="231">
        <v>53</v>
      </c>
      <c r="F2051" s="927"/>
      <c r="G2051" s="946" t="s">
        <v>9</v>
      </c>
    </row>
    <row r="2052" spans="1:7">
      <c r="A2052" s="864">
        <v>42061</v>
      </c>
      <c r="B2052" s="76" t="str">
        <f>TiposLancamentos!B5</f>
        <v>Supermercado</v>
      </c>
      <c r="C2052" s="147" t="s">
        <v>6234</v>
      </c>
      <c r="D2052" s="63"/>
      <c r="E2052" s="231">
        <v>29.64</v>
      </c>
      <c r="F2052" s="927"/>
      <c r="G2052" s="946" t="s">
        <v>9</v>
      </c>
    </row>
    <row r="2053" spans="1:7">
      <c r="A2053" s="932">
        <v>42061</v>
      </c>
      <c r="B2053" s="908" t="str">
        <f>TiposLancamentos!B16</f>
        <v>Cristiane</v>
      </c>
      <c r="C2053" s="909" t="s">
        <v>6052</v>
      </c>
      <c r="D2053" s="910"/>
      <c r="E2053" s="911">
        <v>57.15</v>
      </c>
      <c r="F2053" s="933"/>
      <c r="G2053" s="946" t="s">
        <v>9</v>
      </c>
    </row>
    <row r="2054" spans="1:7">
      <c r="A2054" s="864">
        <v>42062</v>
      </c>
      <c r="B2054" s="76" t="str">
        <f>TiposLancamentos!B19</f>
        <v>Restaurantes</v>
      </c>
      <c r="C2054" s="147" t="s">
        <v>24586</v>
      </c>
      <c r="D2054" s="63"/>
      <c r="E2054" s="231">
        <v>137.69999999999999</v>
      </c>
      <c r="F2054" s="927"/>
      <c r="G2054" s="946" t="s">
        <v>9</v>
      </c>
    </row>
    <row r="2055" spans="1:7">
      <c r="A2055" s="864">
        <v>42062</v>
      </c>
      <c r="B2055" s="76" t="str">
        <f>TiposLancamentos!B70</f>
        <v>Vestuário</v>
      </c>
      <c r="C2055" s="147" t="s">
        <v>24587</v>
      </c>
      <c r="D2055" s="63"/>
      <c r="E2055" s="231">
        <v>216.67</v>
      </c>
      <c r="F2055" s="927">
        <f>649.99/3</f>
        <v>216.66333333333333</v>
      </c>
      <c r="G2055" s="946" t="s">
        <v>9</v>
      </c>
    </row>
    <row r="2056" spans="1:7">
      <c r="A2056" s="932">
        <v>42062</v>
      </c>
      <c r="B2056" s="908" t="str">
        <f>TiposLancamentos!B16</f>
        <v>Cristiane</v>
      </c>
      <c r="C2056" s="909" t="s">
        <v>16734</v>
      </c>
      <c r="D2056" s="910"/>
      <c r="E2056" s="911">
        <v>106.05</v>
      </c>
      <c r="F2056" s="933"/>
      <c r="G2056" s="946" t="s">
        <v>9</v>
      </c>
    </row>
    <row r="2057" spans="1:7">
      <c r="A2057" s="864">
        <v>42063</v>
      </c>
      <c r="B2057" s="76" t="str">
        <f>TiposLancamentos!B19</f>
        <v>Restaurantes</v>
      </c>
      <c r="C2057" s="147" t="s">
        <v>24588</v>
      </c>
      <c r="D2057" s="63"/>
      <c r="E2057" s="231">
        <v>55.56</v>
      </c>
      <c r="F2057" s="927"/>
      <c r="G2057" s="946" t="s">
        <v>9</v>
      </c>
    </row>
    <row r="2058" spans="1:7">
      <c r="A2058" s="864">
        <v>42063</v>
      </c>
      <c r="B2058" s="76" t="str">
        <f>TiposLancamentos!B32</f>
        <v>Clinicas e tratamentos</v>
      </c>
      <c r="C2058" s="3" t="s">
        <v>24589</v>
      </c>
      <c r="D2058" s="63"/>
      <c r="E2058" s="231">
        <v>293</v>
      </c>
      <c r="F2058" s="927"/>
      <c r="G2058" s="946" t="s">
        <v>9</v>
      </c>
    </row>
    <row r="2059" spans="1:7">
      <c r="A2059" s="864">
        <v>42063</v>
      </c>
      <c r="B2059" s="76" t="str">
        <f>TiposLancamentos!B24</f>
        <v>Estacionamentos</v>
      </c>
      <c r="C2059" s="147" t="s">
        <v>7159</v>
      </c>
      <c r="D2059" s="63"/>
      <c r="E2059" s="231">
        <v>15</v>
      </c>
      <c r="F2059" s="927"/>
      <c r="G2059" s="946" t="s">
        <v>9</v>
      </c>
    </row>
    <row r="2060" spans="1:7" ht="14.25" thickBot="1">
      <c r="A2060" s="864">
        <v>42063</v>
      </c>
      <c r="B2060" s="76" t="str">
        <f>TiposLancamentos!B19</f>
        <v>Restaurantes</v>
      </c>
      <c r="C2060" s="147" t="s">
        <v>24590</v>
      </c>
      <c r="D2060" s="63"/>
      <c r="E2060" s="231">
        <v>179.15</v>
      </c>
      <c r="F2060" s="927"/>
      <c r="G2060" s="946" t="s">
        <v>9</v>
      </c>
    </row>
    <row r="2061" spans="1:7">
      <c r="A2061" s="893"/>
      <c r="B2061" s="894"/>
      <c r="C2061" s="906" t="s">
        <v>7033</v>
      </c>
      <c r="D2061" s="896"/>
      <c r="E2061" s="925"/>
      <c r="F2061" s="926">
        <f>SUM(E1953:E2016)</f>
        <v>3184.5100000000007</v>
      </c>
      <c r="G2061" s="946" t="s">
        <v>9</v>
      </c>
    </row>
    <row r="2062" spans="1:7">
      <c r="A2062" s="864">
        <v>42064</v>
      </c>
      <c r="B2062" s="76" t="str">
        <f>TiposLancamentos!B22</f>
        <v>Combustivel</v>
      </c>
      <c r="C2062" s="147" t="s">
        <v>6412</v>
      </c>
      <c r="D2062" s="63"/>
      <c r="E2062" s="231">
        <v>60</v>
      </c>
      <c r="F2062" s="927">
        <f>F2061-F1973</f>
        <v>1413.4700000000007</v>
      </c>
      <c r="G2062" s="946" t="s">
        <v>9</v>
      </c>
    </row>
    <row r="2063" spans="1:7">
      <c r="A2063" s="864">
        <v>42064</v>
      </c>
      <c r="B2063" s="76" t="str">
        <f>TiposLancamentos!B19</f>
        <v>Restaurantes</v>
      </c>
      <c r="C2063" s="147" t="s">
        <v>24591</v>
      </c>
      <c r="D2063" s="63"/>
      <c r="E2063" s="231">
        <v>87.45</v>
      </c>
      <c r="F2063" s="927"/>
      <c r="G2063" s="946" t="s">
        <v>9</v>
      </c>
    </row>
    <row r="2064" spans="1:7">
      <c r="A2064" s="864">
        <v>42064</v>
      </c>
      <c r="B2064" s="76" t="str">
        <f>TiposLancamentos!B16</f>
        <v>Cristiane</v>
      </c>
      <c r="C2064" s="147" t="s">
        <v>24592</v>
      </c>
      <c r="D2064" s="63"/>
      <c r="E2064" s="231">
        <v>119.8</v>
      </c>
      <c r="F2064" s="927"/>
      <c r="G2064" s="946" t="s">
        <v>9</v>
      </c>
    </row>
    <row r="2065" spans="1:7">
      <c r="A2065" s="864">
        <v>42064</v>
      </c>
      <c r="B2065" s="76" t="str">
        <f>TiposLancamentos!B5</f>
        <v>Supermercado</v>
      </c>
      <c r="C2065" s="147" t="s">
        <v>5844</v>
      </c>
      <c r="D2065" s="63"/>
      <c r="E2065" s="231">
        <v>97.96</v>
      </c>
      <c r="F2065" s="927"/>
      <c r="G2065" s="946" t="s">
        <v>9</v>
      </c>
    </row>
    <row r="2066" spans="1:7">
      <c r="A2066" s="864">
        <v>42065</v>
      </c>
      <c r="B2066" s="76" t="str">
        <f>TiposLancamentos!B15</f>
        <v>Cartões de Crédito</v>
      </c>
      <c r="C2066" s="147" t="s">
        <v>1874</v>
      </c>
      <c r="D2066" s="63">
        <v>3184.51</v>
      </c>
      <c r="E2066" s="231"/>
      <c r="F2066" s="927"/>
      <c r="G2066" s="946" t="s">
        <v>9</v>
      </c>
    </row>
    <row r="2067" spans="1:7">
      <c r="A2067" s="864">
        <v>42065</v>
      </c>
      <c r="B2067" s="76" t="str">
        <f>TiposLancamentos!B19</f>
        <v>Restaurantes</v>
      </c>
      <c r="C2067" s="147" t="s">
        <v>17636</v>
      </c>
      <c r="D2067" s="63"/>
      <c r="E2067" s="231">
        <v>10.8</v>
      </c>
      <c r="F2067" s="927"/>
      <c r="G2067" s="946" t="s">
        <v>9</v>
      </c>
    </row>
    <row r="2068" spans="1:7">
      <c r="A2068" s="864">
        <v>42066</v>
      </c>
      <c r="B2068" s="76" t="str">
        <f>TiposLancamentos!B19</f>
        <v>Restaurantes</v>
      </c>
      <c r="C2068" s="147" t="s">
        <v>17636</v>
      </c>
      <c r="D2068" s="63"/>
      <c r="E2068" s="231">
        <v>12.8</v>
      </c>
      <c r="F2068" s="927"/>
      <c r="G2068" s="946" t="s">
        <v>9</v>
      </c>
    </row>
    <row r="2069" spans="1:7">
      <c r="A2069" s="864">
        <v>42066</v>
      </c>
      <c r="B2069" s="76" t="str">
        <f>TiposLancamentos!B56</f>
        <v>Farmácia</v>
      </c>
      <c r="C2069" s="147" t="s">
        <v>24593</v>
      </c>
      <c r="D2069" s="63"/>
      <c r="E2069" s="231">
        <v>170.68</v>
      </c>
      <c r="F2069" s="927"/>
      <c r="G2069" s="946" t="s">
        <v>9</v>
      </c>
    </row>
    <row r="2070" spans="1:7">
      <c r="A2070" s="864">
        <v>42067</v>
      </c>
      <c r="B2070" s="76" t="str">
        <f>TiposLancamentos!B19</f>
        <v>Restaurantes</v>
      </c>
      <c r="C2070" s="147" t="s">
        <v>24594</v>
      </c>
      <c r="D2070" s="63"/>
      <c r="E2070" s="231">
        <v>54</v>
      </c>
      <c r="F2070" s="927"/>
      <c r="G2070" s="946" t="s">
        <v>9</v>
      </c>
    </row>
    <row r="2071" spans="1:7">
      <c r="A2071" s="864">
        <v>42067</v>
      </c>
      <c r="B2071" s="76" t="str">
        <f>TiposLancamentos!B87</f>
        <v>P207-1.6-XS</v>
      </c>
      <c r="C2071" s="147" t="s">
        <v>24595</v>
      </c>
      <c r="D2071" s="63"/>
      <c r="E2071" s="231">
        <v>48</v>
      </c>
      <c r="F2071" s="927"/>
      <c r="G2071" s="946" t="s">
        <v>9</v>
      </c>
    </row>
    <row r="2072" spans="1:7">
      <c r="A2072" s="864">
        <v>42067</v>
      </c>
      <c r="B2072" s="76" t="str">
        <f>TiposLancamentos!B19</f>
        <v>Restaurantes</v>
      </c>
      <c r="C2072" s="147" t="s">
        <v>24596</v>
      </c>
      <c r="D2072" s="63"/>
      <c r="E2072" s="231">
        <v>9.24</v>
      </c>
      <c r="F2072" s="927"/>
      <c r="G2072" s="946" t="s">
        <v>9</v>
      </c>
    </row>
    <row r="2073" spans="1:7">
      <c r="A2073" s="864">
        <v>42068</v>
      </c>
      <c r="B2073" s="76" t="str">
        <f>TiposLancamentos!B19</f>
        <v>Restaurantes</v>
      </c>
      <c r="C2073" s="147" t="s">
        <v>24597</v>
      </c>
      <c r="D2073" s="63"/>
      <c r="E2073" s="231">
        <v>6.9</v>
      </c>
      <c r="F2073" s="927"/>
      <c r="G2073" s="946" t="s">
        <v>9</v>
      </c>
    </row>
    <row r="2074" spans="1:7">
      <c r="A2074" s="864">
        <v>42068</v>
      </c>
      <c r="B2074" s="76" t="str">
        <f>TiposLancamentos!B5</f>
        <v>Supermercado</v>
      </c>
      <c r="C2074" s="147" t="s">
        <v>6201</v>
      </c>
      <c r="D2074" s="63"/>
      <c r="E2074" s="231">
        <v>146.97</v>
      </c>
      <c r="F2074" s="927"/>
      <c r="G2074" s="946" t="s">
        <v>9</v>
      </c>
    </row>
    <row r="2075" spans="1:7">
      <c r="A2075" s="932">
        <v>42069</v>
      </c>
      <c r="B2075" s="908" t="str">
        <f>TiposLancamentos!B16</f>
        <v>Cristiane</v>
      </c>
      <c r="C2075" s="909" t="s">
        <v>24522</v>
      </c>
      <c r="D2075" s="910"/>
      <c r="E2075" s="911">
        <v>160</v>
      </c>
      <c r="F2075" s="933"/>
      <c r="G2075" s="946" t="s">
        <v>9</v>
      </c>
    </row>
    <row r="2076" spans="1:7">
      <c r="A2076" s="864">
        <v>42069</v>
      </c>
      <c r="B2076" s="76" t="str">
        <f>TiposLancamentos!B19</f>
        <v>Restaurantes</v>
      </c>
      <c r="C2076" s="147" t="s">
        <v>24598</v>
      </c>
      <c r="D2076" s="63"/>
      <c r="E2076" s="231">
        <v>43.5</v>
      </c>
      <c r="F2076" s="927"/>
      <c r="G2076" s="946" t="s">
        <v>9</v>
      </c>
    </row>
    <row r="2077" spans="1:7">
      <c r="A2077" s="864">
        <v>42069</v>
      </c>
      <c r="B2077" s="76" t="str">
        <f>TiposLancamentos!B16</f>
        <v>Cristiane</v>
      </c>
      <c r="C2077" s="147" t="s">
        <v>24599</v>
      </c>
      <c r="D2077" s="63"/>
      <c r="E2077" s="231">
        <v>11.55</v>
      </c>
      <c r="F2077" s="927"/>
      <c r="G2077" s="946" t="s">
        <v>9</v>
      </c>
    </row>
    <row r="2078" spans="1:7">
      <c r="A2078" s="864">
        <v>42070</v>
      </c>
      <c r="B2078" s="76" t="str">
        <f>TiposLancamentos!B19</f>
        <v>Restaurantes</v>
      </c>
      <c r="C2078" s="147" t="s">
        <v>24600</v>
      </c>
      <c r="D2078" s="63"/>
      <c r="E2078" s="231">
        <v>51.66</v>
      </c>
      <c r="F2078" s="927"/>
      <c r="G2078" s="946" t="s">
        <v>9</v>
      </c>
    </row>
    <row r="2079" spans="1:7">
      <c r="A2079" s="864">
        <v>42070</v>
      </c>
      <c r="B2079" s="76" t="str">
        <f>TiposLancamentos!B19</f>
        <v>Restaurantes</v>
      </c>
      <c r="C2079" s="147" t="s">
        <v>5999</v>
      </c>
      <c r="D2079" s="63"/>
      <c r="E2079" s="231">
        <v>40</v>
      </c>
      <c r="F2079" s="927"/>
      <c r="G2079" s="946" t="s">
        <v>9</v>
      </c>
    </row>
    <row r="2080" spans="1:7">
      <c r="A2080" s="864">
        <v>42071</v>
      </c>
      <c r="B2080" s="76" t="str">
        <f>TiposLancamentos!B5</f>
        <v>Supermercado</v>
      </c>
      <c r="C2080" s="147" t="s">
        <v>5844</v>
      </c>
      <c r="D2080" s="63"/>
      <c r="E2080" s="231">
        <v>39.26</v>
      </c>
      <c r="F2080" s="927"/>
      <c r="G2080" s="946" t="s">
        <v>9</v>
      </c>
    </row>
    <row r="2081" spans="1:7">
      <c r="A2081" s="864">
        <v>42072</v>
      </c>
      <c r="B2081" s="76" t="str">
        <f>TiposLancamentos!B19</f>
        <v>Restaurantes</v>
      </c>
      <c r="C2081" s="147" t="s">
        <v>6565</v>
      </c>
      <c r="D2081" s="63"/>
      <c r="E2081" s="231">
        <v>21.7</v>
      </c>
      <c r="F2081" s="927"/>
      <c r="G2081" s="946" t="s">
        <v>9</v>
      </c>
    </row>
    <row r="2082" spans="1:7">
      <c r="A2082" s="864">
        <v>42073</v>
      </c>
      <c r="B2082" s="76" t="str">
        <f>TiposLancamentos!B22</f>
        <v>Combustivel</v>
      </c>
      <c r="C2082" s="147" t="s">
        <v>6412</v>
      </c>
      <c r="D2082" s="63"/>
      <c r="E2082" s="231">
        <v>50</v>
      </c>
      <c r="F2082" s="927"/>
      <c r="G2082" s="946" t="s">
        <v>9</v>
      </c>
    </row>
    <row r="2083" spans="1:7">
      <c r="A2083" s="864">
        <v>42073</v>
      </c>
      <c r="B2083" s="76" t="str">
        <f>TiposLancamentos!B19</f>
        <v>Restaurantes</v>
      </c>
      <c r="C2083" s="147" t="s">
        <v>24601</v>
      </c>
      <c r="D2083" s="63"/>
      <c r="E2083" s="231">
        <v>34.700000000000003</v>
      </c>
      <c r="F2083" s="927"/>
      <c r="G2083" s="946" t="s">
        <v>9</v>
      </c>
    </row>
    <row r="2084" spans="1:7">
      <c r="A2084" s="864">
        <v>42074</v>
      </c>
      <c r="B2084" s="76" t="str">
        <f>TiposLancamentos!B19</f>
        <v>Restaurantes</v>
      </c>
      <c r="C2084" s="147" t="s">
        <v>24602</v>
      </c>
      <c r="D2084" s="63"/>
      <c r="E2084" s="231">
        <v>56.7</v>
      </c>
      <c r="F2084" s="927"/>
      <c r="G2084" s="946" t="s">
        <v>9</v>
      </c>
    </row>
    <row r="2085" spans="1:7">
      <c r="A2085" s="864">
        <v>42074</v>
      </c>
      <c r="B2085" s="76" t="str">
        <f>TiposLancamentos!B19</f>
        <v>Restaurantes</v>
      </c>
      <c r="C2085" s="147" t="s">
        <v>24603</v>
      </c>
      <c r="D2085" s="63"/>
      <c r="E2085" s="231">
        <v>14.5</v>
      </c>
      <c r="F2085" s="927"/>
      <c r="G2085" s="946" t="s">
        <v>9</v>
      </c>
    </row>
    <row r="2086" spans="1:7">
      <c r="A2086" s="864">
        <v>42075</v>
      </c>
      <c r="B2086" s="76" t="str">
        <f>TiposLancamentos!B19</f>
        <v>Restaurantes</v>
      </c>
      <c r="C2086" s="147" t="s">
        <v>4544</v>
      </c>
      <c r="D2086" s="63"/>
      <c r="E2086" s="231">
        <v>24.4</v>
      </c>
      <c r="F2086" s="927"/>
      <c r="G2086" s="946" t="s">
        <v>9</v>
      </c>
    </row>
    <row r="2087" spans="1:7">
      <c r="A2087" s="932">
        <v>42075</v>
      </c>
      <c r="B2087" s="908" t="str">
        <f>TiposLancamentos!B5</f>
        <v>Supermercado</v>
      </c>
      <c r="C2087" s="909" t="s">
        <v>6234</v>
      </c>
      <c r="D2087" s="910"/>
      <c r="E2087" s="911">
        <v>219.06</v>
      </c>
      <c r="F2087" s="933"/>
      <c r="G2087" s="946" t="s">
        <v>9</v>
      </c>
    </row>
    <row r="2088" spans="1:7">
      <c r="A2088" s="864">
        <v>42076</v>
      </c>
      <c r="B2088" s="76" t="str">
        <f>TiposLancamentos!B19</f>
        <v>Restaurantes</v>
      </c>
      <c r="C2088" s="147" t="s">
        <v>16742</v>
      </c>
      <c r="D2088" s="63"/>
      <c r="E2088" s="231">
        <v>83.87</v>
      </c>
      <c r="F2088" s="927"/>
      <c r="G2088" s="946" t="s">
        <v>9</v>
      </c>
    </row>
    <row r="2089" spans="1:7">
      <c r="A2089" s="864">
        <v>42076</v>
      </c>
      <c r="B2089" s="76" t="str">
        <f>TiposLancamentos!B19</f>
        <v>Restaurantes</v>
      </c>
      <c r="C2089" s="147" t="s">
        <v>24604</v>
      </c>
      <c r="D2089" s="63"/>
      <c r="E2089" s="231">
        <v>23.9</v>
      </c>
      <c r="F2089" s="927"/>
      <c r="G2089" s="946" t="s">
        <v>9</v>
      </c>
    </row>
    <row r="2090" spans="1:7">
      <c r="A2090" s="932">
        <v>42076</v>
      </c>
      <c r="B2090" s="908" t="str">
        <f>TiposLancamentos!B16</f>
        <v>Cristiane</v>
      </c>
      <c r="C2090" s="909" t="s">
        <v>24605</v>
      </c>
      <c r="D2090" s="910"/>
      <c r="E2090" s="911">
        <v>89.7</v>
      </c>
      <c r="F2090" s="933"/>
      <c r="G2090" s="946" t="s">
        <v>9</v>
      </c>
    </row>
    <row r="2091" spans="1:7">
      <c r="A2091" s="864">
        <v>42077</v>
      </c>
      <c r="B2091" s="76" t="str">
        <f>TiposLancamentos!B19</f>
        <v>Restaurantes</v>
      </c>
      <c r="C2091" s="147" t="s">
        <v>5951</v>
      </c>
      <c r="D2091" s="63"/>
      <c r="E2091" s="231">
        <v>64.77</v>
      </c>
      <c r="F2091" s="927"/>
      <c r="G2091" s="946" t="s">
        <v>9</v>
      </c>
    </row>
    <row r="2092" spans="1:7">
      <c r="A2092" s="932">
        <v>42077</v>
      </c>
      <c r="B2092" s="908" t="str">
        <f>TiposLancamentos!B16</f>
        <v>Cristiane</v>
      </c>
      <c r="C2092" s="909" t="s">
        <v>24606</v>
      </c>
      <c r="D2092" s="910"/>
      <c r="E2092" s="911">
        <v>75.84</v>
      </c>
      <c r="F2092" s="933"/>
      <c r="G2092" s="946" t="s">
        <v>9</v>
      </c>
    </row>
    <row r="2093" spans="1:7">
      <c r="A2093" s="932">
        <v>42077</v>
      </c>
      <c r="B2093" s="908" t="str">
        <f>TiposLancamentos!B5</f>
        <v>Supermercado</v>
      </c>
      <c r="C2093" s="909" t="s">
        <v>6234</v>
      </c>
      <c r="D2093" s="910"/>
      <c r="E2093" s="911">
        <v>72.06</v>
      </c>
      <c r="F2093" s="933"/>
      <c r="G2093" s="946" t="s">
        <v>9</v>
      </c>
    </row>
    <row r="2094" spans="1:7">
      <c r="A2094" s="864">
        <v>42079</v>
      </c>
      <c r="B2094" s="76" t="str">
        <f>TiposLancamentos!B19</f>
        <v>Restaurantes</v>
      </c>
      <c r="C2094" s="147" t="s">
        <v>24607</v>
      </c>
      <c r="D2094" s="63"/>
      <c r="E2094" s="231">
        <v>25.7</v>
      </c>
      <c r="F2094" s="927"/>
      <c r="G2094" s="946" t="s">
        <v>9</v>
      </c>
    </row>
    <row r="2095" spans="1:7">
      <c r="A2095" s="932">
        <v>42079</v>
      </c>
      <c r="B2095" s="908" t="str">
        <f>TiposLancamentos!B5</f>
        <v>Supermercado</v>
      </c>
      <c r="C2095" s="909" t="s">
        <v>6234</v>
      </c>
      <c r="D2095" s="910"/>
      <c r="E2095" s="911">
        <v>62.89</v>
      </c>
      <c r="F2095" s="933"/>
      <c r="G2095" s="946" t="s">
        <v>9</v>
      </c>
    </row>
    <row r="2096" spans="1:7">
      <c r="A2096" s="932">
        <v>42080</v>
      </c>
      <c r="B2096" s="908" t="str">
        <f>TiposLancamentos!B16</f>
        <v>Cristiane</v>
      </c>
      <c r="C2096" s="909" t="s">
        <v>24608</v>
      </c>
      <c r="D2096" s="910"/>
      <c r="E2096" s="911">
        <v>154.97999999999999</v>
      </c>
      <c r="F2096" s="933">
        <f>E2096*2</f>
        <v>309.95999999999998</v>
      </c>
      <c r="G2096" s="946" t="s">
        <v>9</v>
      </c>
    </row>
    <row r="2097" spans="1:7">
      <c r="A2097" s="864">
        <v>42142</v>
      </c>
      <c r="B2097" s="76" t="str">
        <f>TiposLancamentos!B19</f>
        <v>Restaurantes</v>
      </c>
      <c r="C2097" s="147" t="s">
        <v>24609</v>
      </c>
      <c r="D2097" s="63"/>
      <c r="E2097" s="231">
        <v>55.1</v>
      </c>
      <c r="F2097" s="927"/>
      <c r="G2097" s="946" t="s">
        <v>9</v>
      </c>
    </row>
    <row r="2098" spans="1:7">
      <c r="A2098" s="932">
        <v>42142</v>
      </c>
      <c r="B2098" s="908" t="str">
        <f>TiposLancamentos!B16</f>
        <v>Cristiane</v>
      </c>
      <c r="C2098" s="909" t="s">
        <v>6052</v>
      </c>
      <c r="D2098" s="910"/>
      <c r="E2098" s="911">
        <v>51.91</v>
      </c>
      <c r="F2098" s="933"/>
      <c r="G2098" s="946" t="s">
        <v>9</v>
      </c>
    </row>
    <row r="2099" spans="1:7">
      <c r="A2099" s="864">
        <v>42081</v>
      </c>
      <c r="B2099" s="76" t="str">
        <f>TiposLancamentos!B19</f>
        <v>Restaurantes</v>
      </c>
      <c r="C2099" s="147" t="s">
        <v>6536</v>
      </c>
      <c r="D2099" s="63"/>
      <c r="E2099" s="231">
        <v>117.8</v>
      </c>
      <c r="F2099" s="927"/>
      <c r="G2099" s="946" t="s">
        <v>9</v>
      </c>
    </row>
    <row r="2100" spans="1:7">
      <c r="A2100" s="934"/>
      <c r="B2100" s="226"/>
      <c r="C2100" s="227" t="s">
        <v>10</v>
      </c>
      <c r="D2100" s="228"/>
      <c r="E2100" s="228"/>
      <c r="F2100" s="935"/>
      <c r="G2100" s="1095" t="s">
        <v>11</v>
      </c>
    </row>
    <row r="2101" spans="1:7">
      <c r="A2101" s="864">
        <v>42080</v>
      </c>
      <c r="B2101" s="76" t="str">
        <f>TiposLancamentos!B31</f>
        <v>Action Figures</v>
      </c>
      <c r="C2101" s="147" t="s">
        <v>24488</v>
      </c>
      <c r="D2101" s="63"/>
      <c r="E2101" s="231">
        <v>88.29</v>
      </c>
      <c r="F2101" s="927"/>
      <c r="G2101" s="946" t="s">
        <v>9</v>
      </c>
    </row>
    <row r="2102" spans="1:7">
      <c r="A2102" s="864">
        <v>42082</v>
      </c>
      <c r="B2102" s="76" t="str">
        <f>TiposLancamentos!B22</f>
        <v>Combustivel</v>
      </c>
      <c r="C2102" s="147" t="s">
        <v>24610</v>
      </c>
      <c r="D2102" s="63"/>
      <c r="E2102" s="231">
        <v>60</v>
      </c>
      <c r="F2102" s="927"/>
      <c r="G2102" s="946" t="s">
        <v>9</v>
      </c>
    </row>
    <row r="2103" spans="1:7">
      <c r="A2103" s="864">
        <v>42083</v>
      </c>
      <c r="B2103" s="76" t="str">
        <f>TiposLancamentos!B22</f>
        <v>Combustivel</v>
      </c>
      <c r="C2103" s="147" t="s">
        <v>6718</v>
      </c>
      <c r="D2103" s="63"/>
      <c r="E2103" s="231">
        <v>60</v>
      </c>
      <c r="F2103" s="927"/>
      <c r="G2103" s="946" t="s">
        <v>9</v>
      </c>
    </row>
    <row r="2104" spans="1:7">
      <c r="A2104" s="864">
        <v>42085</v>
      </c>
      <c r="B2104" s="76" t="str">
        <f>TiposLancamentos!B19</f>
        <v>Restaurantes</v>
      </c>
      <c r="C2104" s="147" t="s">
        <v>24598</v>
      </c>
      <c r="D2104" s="63"/>
      <c r="E2104" s="231">
        <v>49</v>
      </c>
      <c r="F2104" s="927"/>
      <c r="G2104" s="946" t="s">
        <v>9</v>
      </c>
    </row>
    <row r="2105" spans="1:7">
      <c r="A2105" s="864">
        <v>42085</v>
      </c>
      <c r="B2105" s="76" t="str">
        <f>TiposLancamentos!B5</f>
        <v>Supermercado</v>
      </c>
      <c r="C2105" s="147" t="s">
        <v>6234</v>
      </c>
      <c r="D2105" s="63"/>
      <c r="E2105" s="231">
        <v>19.059999999999999</v>
      </c>
      <c r="F2105" s="927"/>
      <c r="G2105" s="946" t="s">
        <v>9</v>
      </c>
    </row>
    <row r="2106" spans="1:7">
      <c r="A2106" s="864">
        <v>42086</v>
      </c>
      <c r="B2106" s="76" t="str">
        <f>TiposLancamentos!B5</f>
        <v>Supermercado</v>
      </c>
      <c r="C2106" s="147" t="s">
        <v>24611</v>
      </c>
      <c r="D2106" s="63"/>
      <c r="E2106" s="231">
        <v>10.98</v>
      </c>
      <c r="F2106" s="927"/>
      <c r="G2106" s="946" t="s">
        <v>9</v>
      </c>
    </row>
    <row r="2107" spans="1:7">
      <c r="A2107" s="864">
        <v>42086</v>
      </c>
      <c r="B2107" s="76" t="str">
        <f>TiposLancamentos!B88</f>
        <v>Ford Ecosport XLT</v>
      </c>
      <c r="C2107" s="147" t="s">
        <v>24612</v>
      </c>
      <c r="D2107" s="63"/>
      <c r="E2107" s="231">
        <v>260.3</v>
      </c>
      <c r="F2107" s="927"/>
      <c r="G2107" s="946" t="s">
        <v>9</v>
      </c>
    </row>
    <row r="2108" spans="1:7">
      <c r="A2108" s="864">
        <v>42086</v>
      </c>
      <c r="B2108" s="76" t="str">
        <f>TiposLancamentos!B71</f>
        <v>Itens Pessoais</v>
      </c>
      <c r="C2108" s="147" t="s">
        <v>24613</v>
      </c>
      <c r="D2108" s="63"/>
      <c r="E2108" s="231">
        <v>59.99</v>
      </c>
      <c r="F2108" s="927"/>
      <c r="G2108" s="946" t="s">
        <v>9</v>
      </c>
    </row>
    <row r="2109" spans="1:7">
      <c r="A2109" s="864">
        <v>42086</v>
      </c>
      <c r="B2109" s="76" t="str">
        <f>TiposLancamentos!B16</f>
        <v>Cristiane</v>
      </c>
      <c r="C2109" s="147" t="s">
        <v>24614</v>
      </c>
      <c r="D2109" s="63"/>
      <c r="E2109" s="231">
        <v>11.13</v>
      </c>
      <c r="F2109" s="927"/>
      <c r="G2109" s="946" t="s">
        <v>9</v>
      </c>
    </row>
    <row r="2110" spans="1:7" ht="12" customHeight="1">
      <c r="A2110" s="864">
        <v>42086</v>
      </c>
      <c r="B2110" s="76" t="str">
        <f>TiposLancamentos!B18</f>
        <v>Alimentacao</v>
      </c>
      <c r="C2110" s="147" t="s">
        <v>2854</v>
      </c>
      <c r="D2110" s="63"/>
      <c r="E2110" s="231">
        <v>2.6</v>
      </c>
      <c r="F2110" s="927"/>
      <c r="G2110" s="946" t="s">
        <v>9</v>
      </c>
    </row>
    <row r="2111" spans="1:7" ht="12" customHeight="1">
      <c r="A2111" s="864">
        <v>42086</v>
      </c>
      <c r="B2111" s="76" t="str">
        <f>TiposLancamentos!B88</f>
        <v>Ford Ecosport XLT</v>
      </c>
      <c r="C2111" s="147" t="s">
        <v>24615</v>
      </c>
      <c r="D2111" s="63"/>
      <c r="E2111" s="231">
        <v>63.9</v>
      </c>
      <c r="F2111" s="927"/>
      <c r="G2111" s="946" t="s">
        <v>9</v>
      </c>
    </row>
    <row r="2112" spans="1:7" ht="12" customHeight="1">
      <c r="A2112" s="864">
        <v>42087</v>
      </c>
      <c r="B2112" s="76" t="str">
        <f>TiposLancamentos!B28</f>
        <v>ComicBook</v>
      </c>
      <c r="C2112" s="147" t="s">
        <v>24616</v>
      </c>
      <c r="D2112" s="63"/>
      <c r="E2112" s="231">
        <v>31.05</v>
      </c>
      <c r="F2112" s="927"/>
      <c r="G2112" s="946" t="s">
        <v>9</v>
      </c>
    </row>
    <row r="2113" spans="1:7" ht="12" customHeight="1">
      <c r="A2113" s="864">
        <v>42088</v>
      </c>
      <c r="B2113" s="76" t="str">
        <f>TiposLancamentos!B3</f>
        <v>Internet</v>
      </c>
      <c r="C2113" s="147" t="s">
        <v>10734</v>
      </c>
      <c r="D2113" s="63"/>
      <c r="E2113" s="231">
        <v>29.9</v>
      </c>
      <c r="F2113" s="927"/>
      <c r="G2113" s="946" t="s">
        <v>9</v>
      </c>
    </row>
    <row r="2114" spans="1:7" ht="12" customHeight="1">
      <c r="A2114" s="864">
        <v>42089</v>
      </c>
      <c r="B2114" s="76" t="str">
        <f>TiposLancamentos!B5</f>
        <v>Supermercado</v>
      </c>
      <c r="C2114" s="147" t="s">
        <v>6234</v>
      </c>
      <c r="D2114" s="63"/>
      <c r="E2114" s="231">
        <v>26.84</v>
      </c>
      <c r="F2114" s="927"/>
      <c r="G2114" s="946" t="s">
        <v>9</v>
      </c>
    </row>
    <row r="2115" spans="1:7" ht="12" customHeight="1">
      <c r="A2115" s="864">
        <v>42089</v>
      </c>
      <c r="B2115" s="76" t="str">
        <f>TiposLancamentos!B22</f>
        <v>Combustivel</v>
      </c>
      <c r="C2115" s="147" t="s">
        <v>6728</v>
      </c>
      <c r="D2115" s="63"/>
      <c r="E2115" s="231">
        <v>70</v>
      </c>
      <c r="F2115" s="927"/>
      <c r="G2115" s="946" t="s">
        <v>9</v>
      </c>
    </row>
    <row r="2116" spans="1:7" ht="12" customHeight="1">
      <c r="A2116" s="864">
        <v>42089</v>
      </c>
      <c r="B2116" s="76" t="str">
        <f>TiposLancamentos!B19</f>
        <v>Restaurantes</v>
      </c>
      <c r="C2116" s="147" t="s">
        <v>6981</v>
      </c>
      <c r="D2116" s="63"/>
      <c r="E2116" s="231">
        <v>49.8</v>
      </c>
      <c r="F2116" s="927"/>
      <c r="G2116" s="946" t="s">
        <v>9</v>
      </c>
    </row>
    <row r="2117" spans="1:7" ht="12" customHeight="1">
      <c r="A2117" s="932">
        <v>42090</v>
      </c>
      <c r="B2117" s="908" t="str">
        <f>TiposLancamentos!B16</f>
        <v>Cristiane</v>
      </c>
      <c r="C2117" s="909" t="s">
        <v>24617</v>
      </c>
      <c r="D2117" s="910"/>
      <c r="E2117" s="911">
        <v>100.4</v>
      </c>
      <c r="F2117" s="933"/>
      <c r="G2117" s="946" t="s">
        <v>9</v>
      </c>
    </row>
    <row r="2118" spans="1:7" ht="12" customHeight="1">
      <c r="A2118" s="864">
        <v>42090</v>
      </c>
      <c r="B2118" s="76" t="str">
        <f>TiposLancamentos!B70</f>
        <v>Vestuário</v>
      </c>
      <c r="C2118" s="147" t="s">
        <v>24618</v>
      </c>
      <c r="D2118" s="63"/>
      <c r="E2118" s="231">
        <v>216.66</v>
      </c>
      <c r="F2118" s="927">
        <f>649.99/3</f>
        <v>216.66333333333333</v>
      </c>
      <c r="G2118" s="946" t="s">
        <v>9</v>
      </c>
    </row>
    <row r="2119" spans="1:7" ht="12" customHeight="1">
      <c r="A2119" s="932">
        <v>42090</v>
      </c>
      <c r="B2119" s="908" t="str">
        <f>TiposLancamentos!B22</f>
        <v>Combustivel</v>
      </c>
      <c r="C2119" s="909" t="s">
        <v>6398</v>
      </c>
      <c r="D2119" s="910"/>
      <c r="E2119" s="911">
        <v>120</v>
      </c>
      <c r="F2119" s="933"/>
      <c r="G2119" s="946" t="s">
        <v>9</v>
      </c>
    </row>
    <row r="2120" spans="1:7" ht="12" customHeight="1">
      <c r="A2120" s="932">
        <v>42090</v>
      </c>
      <c r="B2120" s="908" t="str">
        <f>TiposLancamentos!B16</f>
        <v>Cristiane</v>
      </c>
      <c r="C2120" s="909" t="s">
        <v>24619</v>
      </c>
      <c r="D2120" s="910"/>
      <c r="E2120" s="911">
        <v>125.45</v>
      </c>
      <c r="F2120" s="933"/>
      <c r="G2120" s="946" t="s">
        <v>9</v>
      </c>
    </row>
    <row r="2121" spans="1:7" ht="12" customHeight="1">
      <c r="A2121" s="864">
        <v>42091</v>
      </c>
      <c r="B2121" s="76" t="str">
        <f>TiposLancamentos!B19</f>
        <v>Restaurantes</v>
      </c>
      <c r="C2121" s="52" t="s">
        <v>6553</v>
      </c>
      <c r="D2121" s="63"/>
      <c r="E2121" s="231">
        <v>71.5</v>
      </c>
      <c r="F2121" s="927"/>
      <c r="G2121" s="946" t="s">
        <v>9</v>
      </c>
    </row>
    <row r="2122" spans="1:7" ht="12" customHeight="1">
      <c r="A2122" s="864">
        <v>42092</v>
      </c>
      <c r="B2122" s="76" t="str">
        <f>TiposLancamentos!B19</f>
        <v>Restaurantes</v>
      </c>
      <c r="C2122" s="52" t="s">
        <v>24620</v>
      </c>
      <c r="D2122" s="63"/>
      <c r="E2122" s="231">
        <v>116.6</v>
      </c>
      <c r="F2122" s="927"/>
      <c r="G2122" s="946" t="s">
        <v>9</v>
      </c>
    </row>
    <row r="2123" spans="1:7" ht="12" customHeight="1">
      <c r="A2123" s="864">
        <v>42092</v>
      </c>
      <c r="B2123" s="76" t="str">
        <f>TiposLancamentos!B19</f>
        <v>Restaurantes</v>
      </c>
      <c r="C2123" s="52" t="s">
        <v>24621</v>
      </c>
      <c r="D2123" s="63"/>
      <c r="E2123" s="231">
        <v>25</v>
      </c>
      <c r="F2123" s="927"/>
      <c r="G2123" s="946" t="s">
        <v>9</v>
      </c>
    </row>
    <row r="2124" spans="1:7" ht="12" customHeight="1">
      <c r="A2124" s="864">
        <v>42092</v>
      </c>
      <c r="B2124" s="76" t="str">
        <f>TiposLancamentos!B5</f>
        <v>Supermercado</v>
      </c>
      <c r="C2124" s="52" t="s">
        <v>24622</v>
      </c>
      <c r="D2124" s="63"/>
      <c r="E2124" s="231">
        <v>23.5</v>
      </c>
      <c r="F2124" s="927"/>
      <c r="G2124" s="946" t="s">
        <v>9</v>
      </c>
    </row>
    <row r="2125" spans="1:7" ht="12" customHeight="1">
      <c r="A2125" s="864">
        <v>42092</v>
      </c>
      <c r="B2125" s="76" t="str">
        <f>TiposLancamentos!B28</f>
        <v>ComicBook</v>
      </c>
      <c r="C2125" s="147" t="s">
        <v>24623</v>
      </c>
      <c r="D2125" s="63"/>
      <c r="E2125" s="231">
        <v>49.85</v>
      </c>
      <c r="F2125" s="927"/>
      <c r="G2125" s="946" t="s">
        <v>9</v>
      </c>
    </row>
    <row r="2126" spans="1:7" ht="12" customHeight="1">
      <c r="A2126" s="864">
        <v>42093</v>
      </c>
      <c r="B2126" s="76" t="str">
        <f>TiposLancamentos!B26</f>
        <v>LIVROS</v>
      </c>
      <c r="C2126" s="52" t="s">
        <v>24624</v>
      </c>
      <c r="D2126" s="63"/>
      <c r="E2126" s="231">
        <v>45.79</v>
      </c>
      <c r="F2126" s="927"/>
      <c r="G2126" s="946" t="s">
        <v>9</v>
      </c>
    </row>
    <row r="2127" spans="1:7" ht="12" customHeight="1">
      <c r="A2127" s="864">
        <v>42093</v>
      </c>
      <c r="B2127" s="76" t="str">
        <f>TiposLancamentos!B32</f>
        <v>Clinicas e tratamentos</v>
      </c>
      <c r="C2127" s="3" t="s">
        <v>24625</v>
      </c>
      <c r="D2127" s="63"/>
      <c r="E2127" s="231">
        <v>293</v>
      </c>
      <c r="F2127" s="927"/>
      <c r="G2127" s="946" t="s">
        <v>9</v>
      </c>
    </row>
    <row r="2128" spans="1:7" ht="12" customHeight="1" thickBot="1">
      <c r="A2128" s="864">
        <v>42094</v>
      </c>
      <c r="B2128" s="76" t="str">
        <f>TiposLancamentos!B5</f>
        <v>Supermercado</v>
      </c>
      <c r="C2128" s="3" t="s">
        <v>6234</v>
      </c>
      <c r="D2128" s="63"/>
      <c r="E2128" s="231">
        <v>69.599999999999994</v>
      </c>
      <c r="F2128" s="927"/>
      <c r="G2128" s="946" t="s">
        <v>9</v>
      </c>
    </row>
    <row r="2129" spans="1:7">
      <c r="A2129" s="893"/>
      <c r="B2129" s="894"/>
      <c r="C2129" s="906" t="s">
        <v>23122</v>
      </c>
      <c r="D2129" s="896"/>
      <c r="E2129" s="925"/>
      <c r="F2129" s="926">
        <f>SUM(E2018:E2099)</f>
        <v>5900.5300000000007</v>
      </c>
      <c r="G2129" s="36"/>
    </row>
    <row r="2130" spans="1:7">
      <c r="A2130" s="864">
        <v>42095</v>
      </c>
      <c r="B2130" s="76" t="str">
        <f>TiposLancamentos!B15</f>
        <v>Cartões de Crédito</v>
      </c>
      <c r="C2130" s="147" t="s">
        <v>1874</v>
      </c>
      <c r="D2130" s="63">
        <v>5900.53</v>
      </c>
      <c r="E2130" s="231"/>
      <c r="F2130" s="927"/>
      <c r="G2130" s="36"/>
    </row>
    <row r="2131" spans="1:7">
      <c r="A2131" s="806">
        <v>42097</v>
      </c>
      <c r="B2131" s="822" t="str">
        <f>TiposLancamentos!B56</f>
        <v>Farmácia</v>
      </c>
      <c r="C2131" s="808" t="s">
        <v>6118</v>
      </c>
      <c r="D2131" s="747"/>
      <c r="E2131" s="874">
        <f>123.89-61.95</f>
        <v>61.94</v>
      </c>
      <c r="F2131" s="936"/>
      <c r="G2131" s="946" t="s">
        <v>9</v>
      </c>
    </row>
    <row r="2132" spans="1:7">
      <c r="A2132" s="810">
        <v>42097</v>
      </c>
      <c r="B2132" s="823" t="str">
        <f>TiposLancamentos!B16</f>
        <v>Cristiane</v>
      </c>
      <c r="C2132" s="812" t="s">
        <v>7922</v>
      </c>
      <c r="D2132" s="849"/>
      <c r="E2132" s="875">
        <f>183.33-64.17+14.9</f>
        <v>134.06</v>
      </c>
      <c r="F2132" s="937">
        <f>SUM(E2131:E2132)</f>
        <v>196</v>
      </c>
      <c r="G2132" s="946" t="s">
        <v>9</v>
      </c>
    </row>
    <row r="2133" spans="1:7">
      <c r="A2133" s="864">
        <v>42097</v>
      </c>
      <c r="B2133" s="76" t="str">
        <f>TiposLancamentos!B19</f>
        <v>Restaurantes</v>
      </c>
      <c r="C2133" s="147" t="s">
        <v>24626</v>
      </c>
      <c r="D2133" s="63"/>
      <c r="E2133" s="231">
        <v>51.13</v>
      </c>
      <c r="F2133" s="927"/>
      <c r="G2133" s="946" t="s">
        <v>9</v>
      </c>
    </row>
    <row r="2134" spans="1:7">
      <c r="A2134" s="864">
        <v>42097</v>
      </c>
      <c r="B2134" s="76" t="str">
        <f>TiposLancamentos!B19</f>
        <v>Restaurantes</v>
      </c>
      <c r="C2134" s="147" t="s">
        <v>6137</v>
      </c>
      <c r="D2134" s="63"/>
      <c r="E2134" s="231">
        <v>40</v>
      </c>
      <c r="F2134" s="927"/>
      <c r="G2134" s="946" t="s">
        <v>9</v>
      </c>
    </row>
    <row r="2135" spans="1:7">
      <c r="A2135" s="864">
        <v>42098</v>
      </c>
      <c r="B2135" s="76" t="str">
        <f>TiposLancamentos!B16</f>
        <v>Cristiane</v>
      </c>
      <c r="C2135" s="147" t="s">
        <v>16789</v>
      </c>
      <c r="D2135" s="63"/>
      <c r="E2135" s="231">
        <v>105.94</v>
      </c>
      <c r="F2135" s="927"/>
      <c r="G2135" s="946" t="s">
        <v>9</v>
      </c>
    </row>
    <row r="2136" spans="1:7">
      <c r="A2136" s="864">
        <v>42098</v>
      </c>
      <c r="B2136" s="76" t="str">
        <f>TiposLancamentos!B13</f>
        <v>Moradia</v>
      </c>
      <c r="C2136" s="147" t="s">
        <v>24627</v>
      </c>
      <c r="D2136" s="63"/>
      <c r="E2136" s="231">
        <v>59.8</v>
      </c>
      <c r="F2136" s="927"/>
      <c r="G2136" s="946" t="s">
        <v>9</v>
      </c>
    </row>
    <row r="2137" spans="1:7">
      <c r="A2137" s="864">
        <v>42098</v>
      </c>
      <c r="B2137" s="76" t="str">
        <f>TiposLancamentos!B19</f>
        <v>Restaurantes</v>
      </c>
      <c r="C2137" s="147" t="s">
        <v>11016</v>
      </c>
      <c r="D2137" s="63"/>
      <c r="E2137" s="231">
        <v>89.1</v>
      </c>
      <c r="F2137" s="927"/>
      <c r="G2137" s="946" t="s">
        <v>9</v>
      </c>
    </row>
    <row r="2138" spans="1:7">
      <c r="A2138" s="864">
        <v>42098</v>
      </c>
      <c r="B2138" s="76" t="str">
        <f>TiposLancamentos!B5</f>
        <v>Supermercado</v>
      </c>
      <c r="C2138" s="147" t="s">
        <v>6234</v>
      </c>
      <c r="D2138" s="63"/>
      <c r="E2138" s="231">
        <v>213.31</v>
      </c>
      <c r="F2138" s="927"/>
      <c r="G2138" s="946" t="s">
        <v>9</v>
      </c>
    </row>
    <row r="2139" spans="1:7">
      <c r="A2139" s="864">
        <v>42102</v>
      </c>
      <c r="B2139" s="76" t="str">
        <f>TiposLancamentos!B19</f>
        <v>Restaurantes</v>
      </c>
      <c r="C2139" s="147" t="s">
        <v>24628</v>
      </c>
      <c r="D2139" s="63"/>
      <c r="E2139" s="231">
        <v>136.18</v>
      </c>
      <c r="F2139" s="927"/>
      <c r="G2139" s="946" t="s">
        <v>9</v>
      </c>
    </row>
    <row r="2140" spans="1:7">
      <c r="A2140" s="864">
        <v>42102</v>
      </c>
      <c r="B2140" s="76" t="str">
        <f>TiposLancamentos!B16</f>
        <v>Cristiane</v>
      </c>
      <c r="C2140" s="147" t="s">
        <v>24629</v>
      </c>
      <c r="D2140" s="63"/>
      <c r="E2140" s="231">
        <v>39.9</v>
      </c>
      <c r="F2140" s="927"/>
      <c r="G2140" s="946" t="s">
        <v>9</v>
      </c>
    </row>
    <row r="2141" spans="1:7">
      <c r="A2141" s="864">
        <v>42102</v>
      </c>
      <c r="B2141" s="76" t="str">
        <f>TiposLancamentos!B16</f>
        <v>Cristiane</v>
      </c>
      <c r="C2141" s="147" t="s">
        <v>24630</v>
      </c>
      <c r="D2141" s="63"/>
      <c r="E2141" s="231">
        <v>49.5</v>
      </c>
      <c r="F2141" s="927"/>
      <c r="G2141" s="946" t="s">
        <v>9</v>
      </c>
    </row>
    <row r="2142" spans="1:7">
      <c r="A2142" s="864">
        <v>42102</v>
      </c>
      <c r="B2142" s="76" t="str">
        <f>TiposLancamentos!B16</f>
        <v>Cristiane</v>
      </c>
      <c r="C2142" s="147" t="s">
        <v>24631</v>
      </c>
      <c r="D2142" s="63"/>
      <c r="E2142" s="231">
        <v>59.99</v>
      </c>
      <c r="F2142" s="927"/>
      <c r="G2142" s="946" t="s">
        <v>9</v>
      </c>
    </row>
    <row r="2143" spans="1:7">
      <c r="A2143" s="864">
        <v>42102</v>
      </c>
      <c r="B2143" s="76" t="str">
        <f>TiposLancamentos!B48</f>
        <v>Baralhos e Oráculos</v>
      </c>
      <c r="C2143" s="147" t="s">
        <v>24632</v>
      </c>
      <c r="D2143" s="63"/>
      <c r="E2143" s="231">
        <v>69.930000000000007</v>
      </c>
      <c r="F2143" s="927" t="s">
        <v>24633</v>
      </c>
      <c r="G2143" s="1095" t="s">
        <v>11</v>
      </c>
    </row>
    <row r="2144" spans="1:7">
      <c r="A2144" s="864">
        <v>42103</v>
      </c>
      <c r="B2144" s="76" t="str">
        <f>TiposLancamentos!B71</f>
        <v>Itens Pessoais</v>
      </c>
      <c r="C2144" s="147" t="s">
        <v>24634</v>
      </c>
      <c r="D2144" s="63"/>
      <c r="E2144" s="231">
        <v>30</v>
      </c>
      <c r="F2144" s="927"/>
      <c r="G2144" s="946" t="s">
        <v>9</v>
      </c>
    </row>
    <row r="2145" spans="1:7">
      <c r="A2145" s="932">
        <v>42103</v>
      </c>
      <c r="B2145" s="908" t="str">
        <f>TiposLancamentos!B5</f>
        <v>Supermercado</v>
      </c>
      <c r="C2145" s="909" t="s">
        <v>24635</v>
      </c>
      <c r="D2145" s="910"/>
      <c r="E2145" s="911">
        <v>28.3</v>
      </c>
      <c r="F2145" s="933"/>
      <c r="G2145" s="946" t="s">
        <v>9</v>
      </c>
    </row>
    <row r="2146" spans="1:7">
      <c r="A2146" s="864">
        <v>42104</v>
      </c>
      <c r="B2146" s="76" t="str">
        <f>TiposLancamentos!B71</f>
        <v>Itens Pessoais</v>
      </c>
      <c r="C2146" s="147" t="s">
        <v>24636</v>
      </c>
      <c r="D2146" s="63"/>
      <c r="E2146" s="231">
        <v>99</v>
      </c>
      <c r="F2146" s="927"/>
      <c r="G2146" s="946" t="s">
        <v>9</v>
      </c>
    </row>
    <row r="2147" spans="1:7">
      <c r="A2147" s="864">
        <v>42104</v>
      </c>
      <c r="B2147" s="76" t="str">
        <f>TiposLancamentos!B19</f>
        <v>Restaurantes</v>
      </c>
      <c r="C2147" s="147" t="s">
        <v>20108</v>
      </c>
      <c r="D2147" s="63"/>
      <c r="E2147" s="231">
        <v>74.58</v>
      </c>
      <c r="F2147" s="927"/>
      <c r="G2147" s="946" t="s">
        <v>9</v>
      </c>
    </row>
    <row r="2148" spans="1:7">
      <c r="A2148" s="864">
        <v>42105</v>
      </c>
      <c r="B2148" s="76" t="str">
        <f>TiposLancamentos!B22</f>
        <v>Combustivel</v>
      </c>
      <c r="C2148" s="147" t="s">
        <v>24637</v>
      </c>
      <c r="D2148" s="63"/>
      <c r="E2148" s="231">
        <v>140.31</v>
      </c>
      <c r="F2148" s="927"/>
      <c r="G2148" s="946" t="s">
        <v>9</v>
      </c>
    </row>
    <row r="2149" spans="1:7">
      <c r="A2149" s="864">
        <v>42105</v>
      </c>
      <c r="B2149" s="76" t="str">
        <f>TiposLancamentos!B19</f>
        <v>Restaurantes</v>
      </c>
      <c r="C2149" s="147" t="s">
        <v>6832</v>
      </c>
      <c r="D2149" s="63"/>
      <c r="E2149" s="231">
        <v>103.4</v>
      </c>
      <c r="F2149" s="927"/>
      <c r="G2149" s="946" t="s">
        <v>9</v>
      </c>
    </row>
    <row r="2150" spans="1:7">
      <c r="A2150" s="932">
        <v>42106</v>
      </c>
      <c r="B2150" s="908" t="str">
        <f>TiposLancamentos!B22</f>
        <v>Combustivel</v>
      </c>
      <c r="C2150" s="909" t="s">
        <v>6718</v>
      </c>
      <c r="D2150" s="910"/>
      <c r="E2150" s="911">
        <v>100</v>
      </c>
      <c r="F2150" s="933"/>
      <c r="G2150" s="946" t="s">
        <v>9</v>
      </c>
    </row>
    <row r="2151" spans="1:7">
      <c r="A2151" s="864">
        <v>42106</v>
      </c>
      <c r="B2151" s="76" t="str">
        <f>TiposLancamentos!B56</f>
        <v>Farmácia</v>
      </c>
      <c r="C2151" s="147" t="s">
        <v>24638</v>
      </c>
      <c r="D2151" s="63"/>
      <c r="E2151" s="231">
        <v>31.84</v>
      </c>
      <c r="F2151" s="927"/>
      <c r="G2151" s="946" t="s">
        <v>9</v>
      </c>
    </row>
    <row r="2152" spans="1:7">
      <c r="A2152" s="932">
        <v>42106</v>
      </c>
      <c r="B2152" s="908" t="str">
        <f>TiposLancamentos!B5</f>
        <v>Supermercado</v>
      </c>
      <c r="C2152" s="909" t="s">
        <v>24639</v>
      </c>
      <c r="D2152" s="910"/>
      <c r="E2152" s="911">
        <v>35.03</v>
      </c>
      <c r="F2152" s="933"/>
      <c r="G2152" s="946" t="s">
        <v>9</v>
      </c>
    </row>
    <row r="2153" spans="1:7">
      <c r="A2153" s="864">
        <v>42106</v>
      </c>
      <c r="B2153" s="76" t="str">
        <f>TiposLancamentos!B26</f>
        <v>LIVROS</v>
      </c>
      <c r="C2153" s="147" t="s">
        <v>24640</v>
      </c>
      <c r="D2153" s="63"/>
      <c r="E2153" s="231">
        <v>40.29</v>
      </c>
      <c r="F2153" s="927"/>
      <c r="G2153" s="946" t="s">
        <v>9</v>
      </c>
    </row>
    <row r="2154" spans="1:7">
      <c r="A2154" s="864">
        <v>42106</v>
      </c>
      <c r="B2154" s="76" t="str">
        <f>TiposLancamentos!B5</f>
        <v>Supermercado</v>
      </c>
      <c r="C2154" s="147" t="s">
        <v>3698</v>
      </c>
      <c r="D2154" s="63"/>
      <c r="E2154" s="231">
        <v>24.38</v>
      </c>
      <c r="F2154" s="927"/>
      <c r="G2154" s="946" t="s">
        <v>9</v>
      </c>
    </row>
    <row r="2155" spans="1:7">
      <c r="A2155" s="864">
        <v>42107</v>
      </c>
      <c r="B2155" s="76" t="str">
        <f>TiposLancamentos!B26</f>
        <v>LIVROS</v>
      </c>
      <c r="C2155" s="147" t="s">
        <v>24641</v>
      </c>
      <c r="D2155" s="63"/>
      <c r="E2155" s="231">
        <v>61.64</v>
      </c>
      <c r="F2155" s="927"/>
      <c r="G2155" s="946" t="s">
        <v>9</v>
      </c>
    </row>
    <row r="2156" spans="1:7">
      <c r="A2156" s="932">
        <v>42108</v>
      </c>
      <c r="B2156" s="908" t="str">
        <f>TiposLancamentos!B16</f>
        <v>Cristiane</v>
      </c>
      <c r="C2156" s="909" t="s">
        <v>6622</v>
      </c>
      <c r="D2156" s="910"/>
      <c r="E2156" s="911">
        <v>25</v>
      </c>
      <c r="F2156" s="933"/>
      <c r="G2156" s="946" t="s">
        <v>9</v>
      </c>
    </row>
    <row r="2157" spans="1:7">
      <c r="A2157" s="932">
        <v>42109</v>
      </c>
      <c r="B2157" s="908" t="str">
        <f>TiposLancamentos!B16</f>
        <v>Cristiane</v>
      </c>
      <c r="C2157" s="909" t="s">
        <v>7164</v>
      </c>
      <c r="D2157" s="910"/>
      <c r="E2157" s="911">
        <v>21.02</v>
      </c>
      <c r="F2157" s="933"/>
      <c r="G2157" s="946" t="s">
        <v>9</v>
      </c>
    </row>
    <row r="2158" spans="1:7">
      <c r="A2158" s="864">
        <v>42110</v>
      </c>
      <c r="B2158" s="76" t="str">
        <f>TiposLancamentos!B31</f>
        <v>Action Figures</v>
      </c>
      <c r="C2158" s="147" t="s">
        <v>24642</v>
      </c>
      <c r="D2158" s="63"/>
      <c r="E2158" s="231">
        <v>164.88</v>
      </c>
      <c r="F2158" s="927"/>
      <c r="G2158" s="946" t="s">
        <v>9</v>
      </c>
    </row>
    <row r="2159" spans="1:7">
      <c r="A2159" s="932">
        <v>42110</v>
      </c>
      <c r="B2159" s="908" t="str">
        <f>TiposLancamentos!B5</f>
        <v>Supermercado</v>
      </c>
      <c r="C2159" s="909" t="s">
        <v>6234</v>
      </c>
      <c r="D2159" s="910"/>
      <c r="E2159" s="911">
        <v>268.64</v>
      </c>
      <c r="F2159" s="933"/>
      <c r="G2159" s="946" t="s">
        <v>9</v>
      </c>
    </row>
    <row r="2160" spans="1:7">
      <c r="A2160" s="932">
        <v>42111</v>
      </c>
      <c r="B2160" s="908" t="str">
        <f>TiposLancamentos!B16</f>
        <v>Cristiane</v>
      </c>
      <c r="C2160" s="909" t="s">
        <v>24643</v>
      </c>
      <c r="D2160" s="910"/>
      <c r="E2160" s="911">
        <v>154.97999999999999</v>
      </c>
      <c r="F2160" s="933">
        <f>E2160*2</f>
        <v>309.95999999999998</v>
      </c>
      <c r="G2160" s="946" t="s">
        <v>9</v>
      </c>
    </row>
    <row r="2161" spans="1:7">
      <c r="A2161" s="864">
        <v>42114</v>
      </c>
      <c r="B2161" s="76" t="str">
        <f>TiposLancamentos!B4</f>
        <v>Taxas Bancarias</v>
      </c>
      <c r="C2161" s="147" t="s">
        <v>18452</v>
      </c>
      <c r="D2161" s="63"/>
      <c r="E2161" s="231">
        <v>4.2</v>
      </c>
      <c r="F2161" s="927"/>
      <c r="G2161" s="946" t="s">
        <v>9</v>
      </c>
    </row>
    <row r="2162" spans="1:7">
      <c r="A2162" s="934"/>
      <c r="B2162" s="226"/>
      <c r="C2162" s="227" t="s">
        <v>10</v>
      </c>
      <c r="D2162" s="228"/>
      <c r="E2162" s="228"/>
      <c r="F2162" s="935"/>
      <c r="G2162" s="1095" t="s">
        <v>11</v>
      </c>
    </row>
    <row r="2163" spans="1:7">
      <c r="A2163" s="864">
        <v>42111</v>
      </c>
      <c r="B2163" s="76" t="str">
        <f>TiposLancamentos!B19</f>
        <v>Restaurantes</v>
      </c>
      <c r="C2163" s="147" t="s">
        <v>15788</v>
      </c>
      <c r="D2163" s="63"/>
      <c r="E2163" s="231">
        <v>79.75</v>
      </c>
      <c r="F2163" s="927"/>
      <c r="G2163" s="946" t="s">
        <v>9</v>
      </c>
    </row>
    <row r="2164" spans="1:7">
      <c r="A2164" s="932">
        <v>42111</v>
      </c>
      <c r="B2164" s="908" t="str">
        <f>TiposLancamentos!B16</f>
        <v>Cristiane</v>
      </c>
      <c r="C2164" s="909" t="s">
        <v>24644</v>
      </c>
      <c r="D2164" s="910"/>
      <c r="E2164" s="911">
        <v>225</v>
      </c>
      <c r="F2164" s="933"/>
      <c r="G2164" s="946" t="s">
        <v>9</v>
      </c>
    </row>
    <row r="2165" spans="1:7">
      <c r="A2165" s="932">
        <v>42113</v>
      </c>
      <c r="B2165" s="908" t="str">
        <f>TiposLancamentos!B5</f>
        <v>Supermercado</v>
      </c>
      <c r="C2165" s="909" t="s">
        <v>24645</v>
      </c>
      <c r="D2165" s="910"/>
      <c r="E2165" s="911">
        <v>48.09</v>
      </c>
      <c r="F2165" s="933"/>
      <c r="G2165" s="946" t="s">
        <v>9</v>
      </c>
    </row>
    <row r="2166" spans="1:7">
      <c r="A2166" s="864">
        <v>42113</v>
      </c>
      <c r="B2166" s="76" t="str">
        <f>TiposLancamentos!B5</f>
        <v>Supermercado</v>
      </c>
      <c r="C2166" s="147" t="s">
        <v>4956</v>
      </c>
      <c r="D2166" s="63"/>
      <c r="E2166" s="231">
        <v>39.5</v>
      </c>
      <c r="F2166" s="927"/>
      <c r="G2166" s="946" t="s">
        <v>9</v>
      </c>
    </row>
    <row r="2167" spans="1:7">
      <c r="A2167" s="864">
        <v>42113</v>
      </c>
      <c r="B2167" s="76" t="str">
        <f>TiposLancamentos!B48</f>
        <v>Baralhos e Oráculos</v>
      </c>
      <c r="C2167" s="147" t="s">
        <v>24646</v>
      </c>
      <c r="D2167" s="63"/>
      <c r="E2167" s="231">
        <v>280</v>
      </c>
      <c r="F2167" s="927"/>
      <c r="G2167" s="946" t="s">
        <v>9</v>
      </c>
    </row>
    <row r="2168" spans="1:7">
      <c r="A2168" s="864">
        <v>42113</v>
      </c>
      <c r="B2168" s="76" t="str">
        <f>TiposLancamentos!B16</f>
        <v>Cristiane</v>
      </c>
      <c r="C2168" s="147" t="s">
        <v>24647</v>
      </c>
      <c r="D2168" s="63"/>
      <c r="E2168" s="231">
        <v>16.3</v>
      </c>
      <c r="F2168" s="927" t="s">
        <v>24648</v>
      </c>
      <c r="G2168" s="1095" t="s">
        <v>11</v>
      </c>
    </row>
    <row r="2169" spans="1:7">
      <c r="A2169" s="864">
        <v>42117</v>
      </c>
      <c r="B2169" s="76" t="str">
        <f>TiposLancamentos!B17</f>
        <v>GATO</v>
      </c>
      <c r="C2169" s="147" t="s">
        <v>24649</v>
      </c>
      <c r="D2169" s="63"/>
      <c r="E2169" s="231">
        <v>172.49</v>
      </c>
      <c r="F2169" s="927"/>
      <c r="G2169" s="946" t="s">
        <v>9</v>
      </c>
    </row>
    <row r="2170" spans="1:7">
      <c r="A2170" s="864">
        <v>42117</v>
      </c>
      <c r="B2170" s="76" t="str">
        <f>TiposLancamentos!B19</f>
        <v>Restaurantes</v>
      </c>
      <c r="C2170" s="147" t="s">
        <v>7068</v>
      </c>
      <c r="D2170" s="63"/>
      <c r="E2170" s="231">
        <v>45.64</v>
      </c>
      <c r="F2170" s="927"/>
      <c r="G2170" s="946" t="s">
        <v>9</v>
      </c>
    </row>
    <row r="2171" spans="1:7">
      <c r="A2171" s="864">
        <v>42117</v>
      </c>
      <c r="B2171" s="76" t="str">
        <f>TiposLancamentos!B57</f>
        <v>Informática</v>
      </c>
      <c r="C2171" s="147" t="s">
        <v>24650</v>
      </c>
      <c r="D2171" s="63"/>
      <c r="E2171" s="231">
        <f>(9.52*11)+9.58</f>
        <v>114.3</v>
      </c>
      <c r="F2171" s="927">
        <v>114.3</v>
      </c>
      <c r="G2171" s="946" t="s">
        <v>9</v>
      </c>
    </row>
    <row r="2172" spans="1:7">
      <c r="A2172" s="864">
        <v>42118</v>
      </c>
      <c r="B2172" s="76" t="str">
        <f>TiposLancamentos!B19</f>
        <v>Restaurantes</v>
      </c>
      <c r="C2172" s="147" t="s">
        <v>24651</v>
      </c>
      <c r="D2172" s="63"/>
      <c r="E2172" s="231">
        <v>33</v>
      </c>
      <c r="F2172" s="927"/>
      <c r="G2172" s="946" t="s">
        <v>9</v>
      </c>
    </row>
    <row r="2173" spans="1:7">
      <c r="A2173" s="932">
        <v>42118</v>
      </c>
      <c r="B2173" s="908" t="str">
        <f>TiposLancamentos!B16</f>
        <v>Cristiane</v>
      </c>
      <c r="C2173" s="909" t="s">
        <v>16666</v>
      </c>
      <c r="D2173" s="910"/>
      <c r="E2173" s="911">
        <v>38.99</v>
      </c>
      <c r="F2173" s="933"/>
      <c r="G2173" s="946" t="s">
        <v>9</v>
      </c>
    </row>
    <row r="2174" spans="1:7">
      <c r="A2174" s="932">
        <v>42118</v>
      </c>
      <c r="B2174" s="908" t="str">
        <f>TiposLancamentos!B16</f>
        <v>Cristiane</v>
      </c>
      <c r="C2174" s="909" t="s">
        <v>24652</v>
      </c>
      <c r="D2174" s="910"/>
      <c r="E2174" s="911">
        <v>54.99</v>
      </c>
      <c r="F2174" s="933"/>
      <c r="G2174" s="946" t="s">
        <v>9</v>
      </c>
    </row>
    <row r="2175" spans="1:7">
      <c r="A2175" s="932">
        <v>42118</v>
      </c>
      <c r="B2175" s="908" t="str">
        <f>TiposLancamentos!B16</f>
        <v>Cristiane</v>
      </c>
      <c r="C2175" s="909" t="s">
        <v>24653</v>
      </c>
      <c r="D2175" s="910"/>
      <c r="E2175" s="911">
        <v>112.9</v>
      </c>
      <c r="F2175" s="933"/>
      <c r="G2175" s="946" t="s">
        <v>9</v>
      </c>
    </row>
    <row r="2176" spans="1:7">
      <c r="A2176" s="864">
        <v>42118</v>
      </c>
      <c r="B2176" s="76" t="str">
        <f>TiposLancamentos!B19</f>
        <v>Restaurantes</v>
      </c>
      <c r="C2176" s="147" t="s">
        <v>7068</v>
      </c>
      <c r="D2176" s="63"/>
      <c r="E2176" s="231">
        <v>66.34</v>
      </c>
      <c r="F2176" s="927"/>
      <c r="G2176" s="946" t="s">
        <v>9</v>
      </c>
    </row>
    <row r="2177" spans="1:7">
      <c r="A2177" s="806">
        <v>42119</v>
      </c>
      <c r="B2177" s="822" t="str">
        <f>TiposLancamentos!B3</f>
        <v>Internet</v>
      </c>
      <c r="C2177" s="808" t="s">
        <v>10734</v>
      </c>
      <c r="D2177" s="747"/>
      <c r="E2177" s="874">
        <f>F2178-E2178</f>
        <v>69.900000000000006</v>
      </c>
      <c r="F2177" s="936"/>
      <c r="G2177" s="946" t="s">
        <v>9</v>
      </c>
    </row>
    <row r="2178" spans="1:7">
      <c r="A2178" s="810">
        <v>42119</v>
      </c>
      <c r="B2178" s="823" t="str">
        <f>TiposLancamentos!B3</f>
        <v>Internet</v>
      </c>
      <c r="C2178" s="812" t="s">
        <v>15349</v>
      </c>
      <c r="D2178" s="849"/>
      <c r="E2178" s="875">
        <v>40</v>
      </c>
      <c r="F2178" s="937">
        <v>109.9</v>
      </c>
      <c r="G2178" s="946" t="s">
        <v>9</v>
      </c>
    </row>
    <row r="2179" spans="1:7">
      <c r="A2179" s="864">
        <v>42119</v>
      </c>
      <c r="B2179" s="76" t="str">
        <f>TiposLancamentos!B88</f>
        <v>Ford Ecosport XLT</v>
      </c>
      <c r="C2179" s="147" t="s">
        <v>24654</v>
      </c>
      <c r="D2179" s="63"/>
      <c r="E2179" s="231">
        <v>120</v>
      </c>
      <c r="F2179" s="927"/>
      <c r="G2179" s="946" t="s">
        <v>9</v>
      </c>
    </row>
    <row r="2180" spans="1:7">
      <c r="A2180" s="864">
        <v>42119</v>
      </c>
      <c r="B2180" s="76" t="str">
        <f>TiposLancamentos!B48</f>
        <v>Baralhos e Oráculos</v>
      </c>
      <c r="C2180" s="147" t="s">
        <v>24655</v>
      </c>
      <c r="D2180" s="63"/>
      <c r="E2180" s="231">
        <v>88.34</v>
      </c>
      <c r="F2180" s="927" t="s">
        <v>24656</v>
      </c>
      <c r="G2180" s="1095" t="s">
        <v>11</v>
      </c>
    </row>
    <row r="2181" spans="1:7">
      <c r="A2181" s="864">
        <v>42119</v>
      </c>
      <c r="B2181" s="76" t="str">
        <f>TiposLancamentos!B19</f>
        <v>Restaurantes</v>
      </c>
      <c r="C2181" s="147" t="s">
        <v>6832</v>
      </c>
      <c r="D2181" s="63"/>
      <c r="E2181" s="231">
        <v>119.9</v>
      </c>
      <c r="F2181" s="927"/>
      <c r="G2181" s="946" t="s">
        <v>9</v>
      </c>
    </row>
    <row r="2182" spans="1:7">
      <c r="A2182" s="864">
        <v>42120</v>
      </c>
      <c r="B2182" s="76" t="str">
        <f>TiposLancamentos!B19</f>
        <v>Restaurantes</v>
      </c>
      <c r="C2182" s="147" t="s">
        <v>24657</v>
      </c>
      <c r="D2182" s="63"/>
      <c r="E2182" s="231">
        <v>49.25</v>
      </c>
      <c r="F2182" s="927"/>
      <c r="G2182" s="946" t="s">
        <v>9</v>
      </c>
    </row>
    <row r="2183" spans="1:7">
      <c r="A2183" s="864">
        <v>42120</v>
      </c>
      <c r="B2183" s="76" t="str">
        <f>TiposLancamentos!B31</f>
        <v>Action Figures</v>
      </c>
      <c r="C2183" s="147" t="s">
        <v>24658</v>
      </c>
      <c r="D2183" s="63"/>
      <c r="E2183" s="231">
        <v>99.96</v>
      </c>
      <c r="F2183" s="927"/>
      <c r="G2183" s="946" t="s">
        <v>9</v>
      </c>
    </row>
    <row r="2184" spans="1:7">
      <c r="A2184" s="864">
        <v>42120</v>
      </c>
      <c r="B2184" s="76" t="str">
        <f>TiposLancamentos!B16</f>
        <v>Cristiane</v>
      </c>
      <c r="C2184" s="147" t="s">
        <v>2625</v>
      </c>
      <c r="D2184" s="63"/>
      <c r="E2184" s="231">
        <v>119.9</v>
      </c>
      <c r="F2184" s="927"/>
      <c r="G2184" s="946" t="s">
        <v>9</v>
      </c>
    </row>
    <row r="2185" spans="1:7">
      <c r="A2185" s="932">
        <v>42121</v>
      </c>
      <c r="B2185" s="908" t="str">
        <f>TiposLancamentos!B5</f>
        <v>Supermercado</v>
      </c>
      <c r="C2185" s="909" t="s">
        <v>6234</v>
      </c>
      <c r="D2185" s="910"/>
      <c r="E2185" s="911">
        <v>229.8</v>
      </c>
      <c r="F2185" s="933"/>
      <c r="G2185" s="946" t="s">
        <v>9</v>
      </c>
    </row>
    <row r="2186" spans="1:7">
      <c r="A2186" s="864">
        <v>42121</v>
      </c>
      <c r="B2186" s="76" t="str">
        <f>TiposLancamentos!B70</f>
        <v>Vestuário</v>
      </c>
      <c r="C2186" s="147" t="s">
        <v>24659</v>
      </c>
      <c r="D2186" s="63"/>
      <c r="E2186" s="231">
        <v>216.66</v>
      </c>
      <c r="F2186" s="927">
        <f>E2186*3</f>
        <v>649.98</v>
      </c>
      <c r="G2186" s="946" t="s">
        <v>9</v>
      </c>
    </row>
    <row r="2187" spans="1:7">
      <c r="A2187" s="864">
        <v>42121</v>
      </c>
      <c r="B2187" s="76" t="str">
        <f>TiposLancamentos!B16</f>
        <v>Cristiane</v>
      </c>
      <c r="C2187" s="52" t="s">
        <v>24660</v>
      </c>
      <c r="D2187" s="63"/>
      <c r="E2187" s="231">
        <v>123.92</v>
      </c>
      <c r="F2187" s="927"/>
      <c r="G2187" s="946" t="s">
        <v>9</v>
      </c>
    </row>
    <row r="2188" spans="1:7">
      <c r="A2188" s="864">
        <v>42121</v>
      </c>
      <c r="B2188" s="76" t="s">
        <v>1775</v>
      </c>
      <c r="C2188" s="52" t="s">
        <v>24661</v>
      </c>
      <c r="D2188" s="63"/>
      <c r="E2188" s="231">
        <v>21.68</v>
      </c>
      <c r="F2188" s="927"/>
      <c r="G2188" s="946" t="s">
        <v>9</v>
      </c>
    </row>
    <row r="2189" spans="1:7">
      <c r="A2189" s="806">
        <v>42122</v>
      </c>
      <c r="B2189" s="822" t="str">
        <f>TiposLancamentos!B48</f>
        <v>Baralhos e Oráculos</v>
      </c>
      <c r="C2189" s="808" t="s">
        <v>24662</v>
      </c>
      <c r="D2189" s="747"/>
      <c r="E2189" s="874">
        <f>(59.5*3) + 12.93</f>
        <v>191.43</v>
      </c>
      <c r="F2189" s="936"/>
      <c r="G2189" s="946" t="s">
        <v>9</v>
      </c>
    </row>
    <row r="2190" spans="1:7">
      <c r="A2190" s="810">
        <v>42122</v>
      </c>
      <c r="B2190" s="823" t="str">
        <f>TiposLancamentos!B72</f>
        <v>Presentes</v>
      </c>
      <c r="C2190" s="812" t="s">
        <v>24663</v>
      </c>
      <c r="D2190" s="849"/>
      <c r="E2190" s="875">
        <f>27.3+4.31</f>
        <v>31.61</v>
      </c>
      <c r="F2190" s="937">
        <f>SUM(E2189:E2190)</f>
        <v>223.04000000000002</v>
      </c>
      <c r="G2190" s="946" t="s">
        <v>9</v>
      </c>
    </row>
    <row r="2191" spans="1:7" ht="14.25" thickBot="1">
      <c r="A2191" s="864">
        <v>42124</v>
      </c>
      <c r="B2191" s="76" t="str">
        <f>TiposLancamentos!B32</f>
        <v>Clinicas e tratamentos</v>
      </c>
      <c r="C2191" s="3" t="s">
        <v>24664</v>
      </c>
      <c r="D2191" s="63"/>
      <c r="E2191" s="231">
        <v>293</v>
      </c>
      <c r="F2191" s="927"/>
      <c r="G2191" s="946" t="s">
        <v>9</v>
      </c>
    </row>
    <row r="2192" spans="1:7">
      <c r="A2192" s="893"/>
      <c r="B2192" s="894"/>
      <c r="C2192" s="906" t="s">
        <v>7077</v>
      </c>
      <c r="D2192" s="896"/>
      <c r="E2192" s="925"/>
      <c r="F2192" s="926">
        <f>SUM(E2101:E2161)</f>
        <v>4668.46</v>
      </c>
      <c r="G2192" s="36"/>
    </row>
    <row r="2193" spans="1:7">
      <c r="A2193" s="864">
        <v>42125</v>
      </c>
      <c r="B2193" s="76" t="str">
        <f>TiposLancamentos!B19</f>
        <v>Restaurantes</v>
      </c>
      <c r="C2193" s="147" t="s">
        <v>6916</v>
      </c>
      <c r="D2193" s="63"/>
      <c r="E2193" s="231">
        <v>103.84</v>
      </c>
      <c r="F2193" s="927">
        <f>F2192-F2129</f>
        <v>-1232.0700000000006</v>
      </c>
      <c r="G2193" s="946" t="s">
        <v>9</v>
      </c>
    </row>
    <row r="2194" spans="1:7">
      <c r="A2194" s="864">
        <v>42125</v>
      </c>
      <c r="B2194" s="76" t="str">
        <f>TiposLancamentos!B16</f>
        <v>Cristiane</v>
      </c>
      <c r="C2194" s="147" t="s">
        <v>24665</v>
      </c>
      <c r="D2194" s="63"/>
      <c r="E2194" s="231">
        <v>167.7</v>
      </c>
      <c r="F2194" s="927"/>
      <c r="G2194" s="946" t="s">
        <v>9</v>
      </c>
    </row>
    <row r="2195" spans="1:7">
      <c r="A2195" s="932">
        <v>42127</v>
      </c>
      <c r="B2195" s="908" t="str">
        <f>TiposLancamentos!B16</f>
        <v>Cristiane</v>
      </c>
      <c r="C2195" s="909" t="s">
        <v>6052</v>
      </c>
      <c r="D2195" s="910"/>
      <c r="E2195" s="911">
        <v>84.91</v>
      </c>
      <c r="F2195" s="933"/>
      <c r="G2195" s="946" t="s">
        <v>9</v>
      </c>
    </row>
    <row r="2196" spans="1:7">
      <c r="A2196" s="864">
        <v>42127</v>
      </c>
      <c r="B2196" s="76" t="str">
        <f>TiposLancamentos!B19</f>
        <v>Restaurantes</v>
      </c>
      <c r="C2196" s="147" t="s">
        <v>24666</v>
      </c>
      <c r="D2196" s="63"/>
      <c r="E2196" s="231">
        <v>83.27</v>
      </c>
      <c r="F2196" s="927"/>
      <c r="G2196" s="946" t="s">
        <v>9</v>
      </c>
    </row>
    <row r="2197" spans="1:7">
      <c r="A2197" s="864">
        <v>42127</v>
      </c>
      <c r="B2197" s="76" t="str">
        <f>TiposLancamentos!B19</f>
        <v>Restaurantes</v>
      </c>
      <c r="C2197" s="147" t="s">
        <v>6328</v>
      </c>
      <c r="D2197" s="63"/>
      <c r="E2197" s="231">
        <v>42</v>
      </c>
      <c r="F2197" s="927"/>
      <c r="G2197" s="946" t="s">
        <v>9</v>
      </c>
    </row>
    <row r="2198" spans="1:7">
      <c r="A2198" s="864">
        <v>42128</v>
      </c>
      <c r="B2198" s="76" t="str">
        <f>TiposLancamentos!B15</f>
        <v>Cartões de Crédito</v>
      </c>
      <c r="C2198" s="147" t="s">
        <v>24372</v>
      </c>
      <c r="D2198" s="63">
        <v>4668.46</v>
      </c>
      <c r="E2198" s="231"/>
      <c r="F2198" s="927"/>
      <c r="G2198" s="946" t="s">
        <v>9</v>
      </c>
    </row>
    <row r="2199" spans="1:7">
      <c r="A2199" s="864">
        <v>42130</v>
      </c>
      <c r="B2199" s="76" t="str">
        <f>TiposLancamentos!B57</f>
        <v>Informática</v>
      </c>
      <c r="C2199" s="147" t="s">
        <v>24667</v>
      </c>
      <c r="D2199" s="63"/>
      <c r="E2199" s="231">
        <v>73.69</v>
      </c>
      <c r="F2199" s="927"/>
      <c r="G2199" s="946" t="s">
        <v>9</v>
      </c>
    </row>
    <row r="2200" spans="1:7">
      <c r="A2200" s="864">
        <v>42136</v>
      </c>
      <c r="B2200" s="76" t="str">
        <f>TiposLancamentos!B71</f>
        <v>Itens Pessoais</v>
      </c>
      <c r="C2200" s="147" t="s">
        <v>24668</v>
      </c>
      <c r="D2200" s="63"/>
      <c r="E2200" s="231">
        <v>374.85</v>
      </c>
      <c r="F2200" s="927"/>
      <c r="G2200" s="946" t="s">
        <v>9</v>
      </c>
    </row>
    <row r="2201" spans="1:7">
      <c r="A2201" s="864">
        <v>42137</v>
      </c>
      <c r="B2201" s="76" t="str">
        <f>TiposLancamentos!B26</f>
        <v>LIVROS</v>
      </c>
      <c r="C2201" s="147" t="s">
        <v>24669</v>
      </c>
      <c r="D2201" s="63"/>
      <c r="E2201" s="231">
        <v>61.63</v>
      </c>
      <c r="F2201" s="927"/>
      <c r="G2201" s="946" t="s">
        <v>9</v>
      </c>
    </row>
    <row r="2202" spans="1:7">
      <c r="A2202" s="934"/>
      <c r="B2202" s="226"/>
      <c r="C2202" s="227" t="s">
        <v>10</v>
      </c>
      <c r="D2202" s="228"/>
      <c r="E2202" s="228"/>
      <c r="F2202" s="935"/>
      <c r="G2202" s="36"/>
    </row>
    <row r="2203" spans="1:7" ht="14.25" thickBot="1">
      <c r="A2203" s="900">
        <v>42154</v>
      </c>
      <c r="B2203" s="901" t="str">
        <f>TiposLancamentos!B32</f>
        <v>Clinicas e tratamentos</v>
      </c>
      <c r="C2203" s="887" t="s">
        <v>24670</v>
      </c>
      <c r="D2203" s="903"/>
      <c r="E2203" s="928">
        <v>293</v>
      </c>
      <c r="F2203" s="929"/>
      <c r="G2203" s="36"/>
    </row>
    <row r="2204" spans="1:7">
      <c r="A2204" s="893"/>
      <c r="B2204" s="894"/>
      <c r="C2204" s="906" t="s">
        <v>7109</v>
      </c>
      <c r="D2204" s="896"/>
      <c r="E2204" s="925"/>
      <c r="F2204" s="926">
        <f>SUM(E2163:E2201)</f>
        <v>4134.53</v>
      </c>
      <c r="G2204" s="36"/>
    </row>
    <row r="2205" spans="1:7">
      <c r="A2205" s="864">
        <v>42156</v>
      </c>
      <c r="B2205" s="76" t="str">
        <f>TiposLancamentos!B4</f>
        <v>Taxas Bancarias</v>
      </c>
      <c r="C2205" s="878" t="s">
        <v>18638</v>
      </c>
      <c r="D2205" s="63"/>
      <c r="E2205" s="231">
        <v>5.05</v>
      </c>
      <c r="F2205" s="927"/>
      <c r="G2205" s="36"/>
    </row>
    <row r="2206" spans="1:7">
      <c r="A2206" s="864">
        <v>42156</v>
      </c>
      <c r="B2206" s="76" t="str">
        <f>TiposLancamentos!B15</f>
        <v>Cartões de Crédito</v>
      </c>
      <c r="C2206" s="147" t="s">
        <v>1874</v>
      </c>
      <c r="D2206" s="63">
        <v>4241.43</v>
      </c>
      <c r="E2206" s="231"/>
      <c r="F2206" s="927">
        <f>F2204-F2192</f>
        <v>-533.93000000000029</v>
      </c>
      <c r="G2206" s="36"/>
    </row>
    <row r="2207" spans="1:7">
      <c r="A2207" s="864">
        <v>42167</v>
      </c>
      <c r="B2207" s="76" t="str">
        <f>TiposLancamentos!B71</f>
        <v>Itens Pessoais</v>
      </c>
      <c r="C2207" s="147" t="s">
        <v>24671</v>
      </c>
      <c r="D2207" s="63"/>
      <c r="E2207" s="231">
        <v>374.83</v>
      </c>
      <c r="F2207" s="927"/>
      <c r="G2207" s="36"/>
    </row>
    <row r="2208" spans="1:7">
      <c r="A2208" s="864">
        <v>42168</v>
      </c>
      <c r="B2208" s="76" t="str">
        <f>TiposLancamentos!B26</f>
        <v>LIVROS</v>
      </c>
      <c r="C2208" s="147" t="s">
        <v>24672</v>
      </c>
      <c r="D2208" s="63"/>
      <c r="E2208" s="231">
        <v>61.63</v>
      </c>
      <c r="F2208" s="927"/>
      <c r="G2208" s="36"/>
    </row>
    <row r="2209" spans="1:7">
      <c r="A2209" s="934"/>
      <c r="B2209" s="226"/>
      <c r="C2209" s="227" t="s">
        <v>10</v>
      </c>
      <c r="D2209" s="228"/>
      <c r="E2209" s="228"/>
      <c r="F2209" s="935"/>
      <c r="G2209" s="36"/>
    </row>
    <row r="2210" spans="1:7" ht="14.25" thickBot="1">
      <c r="A2210" s="900">
        <v>42185</v>
      </c>
      <c r="B2210" s="901" t="str">
        <f>TiposLancamentos!B32</f>
        <v>Clinicas e tratamentos</v>
      </c>
      <c r="C2210" s="887" t="s">
        <v>24673</v>
      </c>
      <c r="D2210" s="903"/>
      <c r="E2210" s="928">
        <v>293</v>
      </c>
      <c r="F2210" s="929"/>
      <c r="G2210" s="36"/>
    </row>
    <row r="2211" spans="1:7">
      <c r="A2211" s="893"/>
      <c r="B2211" s="894"/>
      <c r="C2211" s="1143" t="s">
        <v>24674</v>
      </c>
      <c r="D2211" s="896"/>
      <c r="E2211" s="925"/>
      <c r="F2211" s="926">
        <f>SUM(E2203:E2208)</f>
        <v>734.51</v>
      </c>
      <c r="G2211" s="36"/>
    </row>
    <row r="2212" spans="1:7">
      <c r="A2212" s="864">
        <v>42186</v>
      </c>
      <c r="B2212" s="76" t="str">
        <f>TiposLancamentos!B15</f>
        <v>Cartões de Crédito</v>
      </c>
      <c r="C2212" s="3" t="s">
        <v>1874</v>
      </c>
      <c r="D2212" s="63">
        <v>734.51</v>
      </c>
      <c r="E2212" s="231"/>
      <c r="F2212" s="927"/>
      <c r="G2212" s="36"/>
    </row>
    <row r="2213" spans="1:7">
      <c r="A2213" s="864">
        <v>42197</v>
      </c>
      <c r="B2213" s="76" t="str">
        <f>TiposLancamentos!B71</f>
        <v>Itens Pessoais</v>
      </c>
      <c r="C2213" s="147" t="s">
        <v>24675</v>
      </c>
      <c r="D2213" s="63"/>
      <c r="E2213" s="231">
        <v>374.83</v>
      </c>
      <c r="F2213" s="927"/>
      <c r="G2213" s="36"/>
    </row>
    <row r="2214" spans="1:7">
      <c r="A2214" s="934"/>
      <c r="B2214" s="226"/>
      <c r="C2214" s="227" t="s">
        <v>10</v>
      </c>
      <c r="D2214" s="228"/>
      <c r="E2214" s="228"/>
      <c r="F2214" s="935"/>
      <c r="G2214" s="36"/>
    </row>
    <row r="2215" spans="1:7" ht="14.25" thickBot="1">
      <c r="A2215" s="900">
        <v>42215</v>
      </c>
      <c r="B2215" s="901" t="str">
        <f>TiposLancamentos!B32</f>
        <v>Clinicas e tratamentos</v>
      </c>
      <c r="C2215" s="887" t="s">
        <v>24676</v>
      </c>
      <c r="D2215" s="903"/>
      <c r="E2215" s="928">
        <v>293</v>
      </c>
      <c r="F2215" s="929"/>
      <c r="G2215" s="36"/>
    </row>
    <row r="2216" spans="1:7">
      <c r="A2216" s="864"/>
      <c r="B2216" s="76"/>
      <c r="C2216" s="771" t="s">
        <v>13694</v>
      </c>
      <c r="D2216" s="63"/>
      <c r="E2216" s="231"/>
      <c r="F2216" s="927">
        <f>SUM(E2210:E2213)</f>
        <v>667.82999999999993</v>
      </c>
      <c r="G2216" s="36"/>
    </row>
    <row r="2217" spans="1:7">
      <c r="A2217" s="864">
        <v>42217</v>
      </c>
      <c r="B2217" s="76" t="str">
        <f>TiposLancamentos!B15</f>
        <v>Cartões de Crédito</v>
      </c>
      <c r="C2217" s="3" t="s">
        <v>1874</v>
      </c>
      <c r="D2217" s="63">
        <v>667.83</v>
      </c>
      <c r="E2217" s="231"/>
      <c r="F2217" s="927"/>
      <c r="G2217" s="36"/>
    </row>
    <row r="2218" spans="1:7">
      <c r="A2218" s="864">
        <v>42228</v>
      </c>
      <c r="B2218" s="76" t="str">
        <f>TiposLancamentos!B71</f>
        <v>Itens Pessoais</v>
      </c>
      <c r="C2218" s="147" t="s">
        <v>24677</v>
      </c>
      <c r="D2218" s="63"/>
      <c r="E2218" s="231">
        <v>374.83</v>
      </c>
      <c r="F2218" s="927"/>
      <c r="G2218" s="36"/>
    </row>
    <row r="2219" spans="1:7">
      <c r="A2219" s="934"/>
      <c r="B2219" s="226"/>
      <c r="C2219" s="227" t="s">
        <v>10</v>
      </c>
      <c r="D2219" s="228"/>
      <c r="E2219" s="228"/>
      <c r="F2219" s="935"/>
      <c r="G2219" s="36"/>
    </row>
    <row r="2220" spans="1:7" ht="14.25" thickBot="1">
      <c r="A2220" s="900">
        <v>42246</v>
      </c>
      <c r="B2220" s="901" t="str">
        <f>TiposLancamentos!B32</f>
        <v>Clinicas e tratamentos</v>
      </c>
      <c r="C2220" s="887" t="s">
        <v>24678</v>
      </c>
      <c r="D2220" s="903"/>
      <c r="E2220" s="928">
        <v>293</v>
      </c>
      <c r="F2220" s="929"/>
      <c r="G2220" s="36"/>
    </row>
    <row r="2221" spans="1:7">
      <c r="A2221" s="864"/>
      <c r="B2221" s="76"/>
      <c r="C2221" s="878" t="s">
        <v>7175</v>
      </c>
      <c r="D2221" s="63"/>
      <c r="E2221" s="231"/>
      <c r="F2221" s="927">
        <f>SUM(E2215:E2218)</f>
        <v>667.82999999999993</v>
      </c>
      <c r="G2221" s="36"/>
    </row>
    <row r="2222" spans="1:7">
      <c r="A2222" s="864">
        <v>42248</v>
      </c>
      <c r="B2222" s="76" t="str">
        <f>TiposLancamentos!B15</f>
        <v>Cartões de Crédito</v>
      </c>
      <c r="C2222" s="147" t="s">
        <v>1874</v>
      </c>
      <c r="D2222" s="63">
        <v>667.83</v>
      </c>
      <c r="E2222" s="231"/>
      <c r="F2222" s="927"/>
      <c r="G2222" s="36"/>
    </row>
    <row r="2223" spans="1:7">
      <c r="A2223" s="864">
        <v>42259</v>
      </c>
      <c r="B2223" s="76" t="str">
        <f>TiposLancamentos!B71</f>
        <v>Itens Pessoais</v>
      </c>
      <c r="C2223" s="147" t="s">
        <v>24679</v>
      </c>
      <c r="D2223" s="63"/>
      <c r="E2223" s="231">
        <v>374.83</v>
      </c>
      <c r="F2223" s="927"/>
      <c r="G2223" s="36"/>
    </row>
    <row r="2224" spans="1:7">
      <c r="A2224" s="934"/>
      <c r="B2224" s="226"/>
      <c r="C2224" s="227" t="s">
        <v>10</v>
      </c>
      <c r="D2224" s="228"/>
      <c r="E2224" s="228"/>
      <c r="F2224" s="935"/>
      <c r="G2224" s="36"/>
    </row>
    <row r="2225" spans="1:7" ht="14.25" thickBot="1">
      <c r="A2225" s="900">
        <v>42277</v>
      </c>
      <c r="B2225" s="901" t="str">
        <f>TiposLancamentos!B32</f>
        <v>Clinicas e tratamentos</v>
      </c>
      <c r="C2225" s="887" t="s">
        <v>24680</v>
      </c>
      <c r="D2225" s="903"/>
      <c r="E2225" s="928">
        <v>293</v>
      </c>
      <c r="F2225" s="929"/>
      <c r="G2225" s="36"/>
    </row>
    <row r="2226" spans="1:7">
      <c r="A2226" s="864"/>
      <c r="B2226" s="76"/>
      <c r="C2226" s="771" t="s">
        <v>24681</v>
      </c>
      <c r="D2226" s="63"/>
      <c r="E2226" s="231"/>
      <c r="F2226" s="927">
        <f>SUM(E2220:E2223)</f>
        <v>667.82999999999993</v>
      </c>
      <c r="G2226" s="36"/>
    </row>
    <row r="2227" spans="1:7">
      <c r="A2227" s="864">
        <v>42278</v>
      </c>
      <c r="B2227" s="76" t="str">
        <f>TiposLancamentos!B15</f>
        <v>Cartões de Crédito</v>
      </c>
      <c r="C2227" s="3" t="s">
        <v>14126</v>
      </c>
      <c r="D2227" s="63">
        <v>667.83</v>
      </c>
      <c r="E2227" s="231"/>
      <c r="F2227" s="927"/>
      <c r="G2227" s="36"/>
    </row>
    <row r="2228" spans="1:7">
      <c r="A2228" s="864">
        <v>42289</v>
      </c>
      <c r="B2228" s="76" t="str">
        <f>TiposLancamentos!B71</f>
        <v>Itens Pessoais</v>
      </c>
      <c r="C2228" s="147" t="s">
        <v>24682</v>
      </c>
      <c r="D2228" s="63"/>
      <c r="E2228" s="231">
        <v>374.83</v>
      </c>
      <c r="F2228" s="927"/>
      <c r="G2228" s="36"/>
    </row>
    <row r="2229" spans="1:7">
      <c r="A2229" s="934"/>
      <c r="B2229" s="226"/>
      <c r="C2229" s="227" t="s">
        <v>10</v>
      </c>
      <c r="D2229" s="228"/>
      <c r="E2229" s="228"/>
      <c r="F2229" s="935"/>
      <c r="G2229" s="36"/>
    </row>
    <row r="2230" spans="1:7" ht="14.25" thickBot="1">
      <c r="A2230" s="900">
        <v>42307</v>
      </c>
      <c r="B2230" s="901" t="str">
        <f>TiposLancamentos!B32</f>
        <v>Clinicas e tratamentos</v>
      </c>
      <c r="C2230" s="887" t="s">
        <v>24683</v>
      </c>
      <c r="D2230" s="903"/>
      <c r="E2230" s="928">
        <v>293</v>
      </c>
      <c r="F2230" s="929"/>
      <c r="G2230" s="36"/>
    </row>
    <row r="2231" spans="1:7">
      <c r="A2231" s="864"/>
      <c r="B2231" s="76"/>
      <c r="C2231" s="771" t="s">
        <v>7203</v>
      </c>
      <c r="D2231" s="63"/>
      <c r="E2231" s="231"/>
      <c r="F2231" s="927">
        <f>SUM(E2225:E2228)</f>
        <v>667.82999999999993</v>
      </c>
      <c r="G2231" s="36"/>
    </row>
    <row r="2232" spans="1:7">
      <c r="A2232" s="864">
        <v>42311</v>
      </c>
      <c r="B2232" s="76" t="str">
        <f>TiposLancamentos!B15</f>
        <v>Cartões de Crédito</v>
      </c>
      <c r="C2232" s="3" t="s">
        <v>1874</v>
      </c>
      <c r="D2232" s="63">
        <v>667.83</v>
      </c>
      <c r="E2232" s="231"/>
      <c r="F2232" s="927"/>
      <c r="G2232" s="36"/>
    </row>
    <row r="2233" spans="1:7">
      <c r="A2233" s="934"/>
      <c r="B2233" s="226"/>
      <c r="C2233" s="227" t="s">
        <v>10</v>
      </c>
      <c r="D2233" s="228"/>
      <c r="E2233" s="228"/>
      <c r="F2233" s="935"/>
      <c r="G2233" s="36"/>
    </row>
    <row r="2234" spans="1:7" ht="14.25" thickBot="1">
      <c r="A2234" s="900">
        <v>42338</v>
      </c>
      <c r="B2234" s="901" t="str">
        <f>TiposLancamentos!B32</f>
        <v>Clinicas e tratamentos</v>
      </c>
      <c r="C2234" s="887" t="s">
        <v>24684</v>
      </c>
      <c r="D2234" s="903"/>
      <c r="E2234" s="928">
        <v>293</v>
      </c>
      <c r="F2234" s="929"/>
      <c r="G2234" s="36"/>
    </row>
    <row r="2235" spans="1:7">
      <c r="A2235" s="864"/>
      <c r="B2235" s="76"/>
      <c r="C2235" s="771" t="s">
        <v>7221</v>
      </c>
      <c r="D2235" s="63"/>
      <c r="E2235" s="231"/>
      <c r="F2235" s="927">
        <f>SUM(E2230:E2232)</f>
        <v>293</v>
      </c>
      <c r="G2235" s="36"/>
    </row>
    <row r="2236" spans="1:7">
      <c r="A2236" s="864">
        <v>42339</v>
      </c>
      <c r="B2236" s="76" t="str">
        <f>TiposLancamentos!B15</f>
        <v>Cartões de Crédito</v>
      </c>
      <c r="C2236" s="3" t="s">
        <v>1874</v>
      </c>
      <c r="D2236" s="63">
        <v>293</v>
      </c>
      <c r="E2236" s="231"/>
      <c r="F2236" s="927"/>
      <c r="G2236" s="36"/>
    </row>
    <row r="2237" spans="1:7">
      <c r="A2237" s="934"/>
      <c r="B2237" s="226"/>
      <c r="C2237" s="227" t="s">
        <v>10</v>
      </c>
      <c r="D2237" s="228"/>
      <c r="E2237" s="228"/>
      <c r="F2237" s="935"/>
      <c r="G2237" s="36"/>
    </row>
    <row r="2238" spans="1:7" ht="14.25" thickBot="1">
      <c r="A2238" s="900">
        <v>42368</v>
      </c>
      <c r="B2238" s="901" t="str">
        <f>TiposLancamentos!B32</f>
        <v>Clinicas e tratamentos</v>
      </c>
      <c r="C2238" s="887" t="s">
        <v>24685</v>
      </c>
      <c r="D2238" s="903"/>
      <c r="E2238" s="928">
        <v>293</v>
      </c>
      <c r="F2238" s="929"/>
      <c r="G2238" s="36"/>
    </row>
    <row r="2239" spans="1:7">
      <c r="A2239" s="864"/>
      <c r="B2239" s="76"/>
      <c r="C2239" s="771" t="s">
        <v>24686</v>
      </c>
      <c r="D2239" s="63"/>
      <c r="E2239" s="231"/>
      <c r="F2239" s="927">
        <f>SUM(E2234:E2236)</f>
        <v>293</v>
      </c>
      <c r="G2239" s="36"/>
    </row>
    <row r="2240" spans="1:7">
      <c r="A2240" s="864">
        <v>42370</v>
      </c>
      <c r="B2240" s="76" t="str">
        <f>TiposLancamentos!B15</f>
        <v>Cartões de Crédito</v>
      </c>
      <c r="C2240" s="3" t="s">
        <v>1874</v>
      </c>
      <c r="D2240" s="63">
        <v>293</v>
      </c>
      <c r="E2240" s="231"/>
      <c r="F2240" s="927"/>
      <c r="G2240" s="36"/>
    </row>
    <row r="2241" spans="1:7">
      <c r="A2241" s="934"/>
      <c r="B2241" s="226"/>
      <c r="C2241" s="227" t="s">
        <v>10</v>
      </c>
      <c r="D2241" s="228"/>
      <c r="E2241" s="228"/>
      <c r="F2241" s="935"/>
      <c r="G2241" s="36"/>
    </row>
    <row r="2242" spans="1:7" ht="14.25" thickBot="1">
      <c r="A2242" s="900"/>
      <c r="B2242" s="901"/>
      <c r="C2242" s="887"/>
      <c r="D2242" s="903"/>
      <c r="E2242" s="928"/>
      <c r="F2242" s="929"/>
      <c r="G2242" s="36"/>
    </row>
    <row r="2243" spans="1:7">
      <c r="A2243" s="864"/>
      <c r="B2243" s="76"/>
      <c r="C2243" s="771" t="s">
        <v>24687</v>
      </c>
      <c r="D2243" s="63"/>
      <c r="E2243" s="231"/>
      <c r="F2243" s="927">
        <f>SUM(E2238:E2240)</f>
        <v>293</v>
      </c>
      <c r="G2243" s="36"/>
    </row>
    <row r="2244" spans="1:7">
      <c r="A2244" s="864">
        <v>42401</v>
      </c>
      <c r="B2244" s="76" t="str">
        <f>TiposLancamentos!B15</f>
        <v>Cartões de Crédito</v>
      </c>
      <c r="C2244" s="3" t="s">
        <v>1874</v>
      </c>
      <c r="D2244" s="63">
        <v>293</v>
      </c>
      <c r="E2244" s="231"/>
      <c r="F2244" s="927"/>
      <c r="G2244" s="36"/>
    </row>
    <row r="2245" spans="1:7">
      <c r="A2245" s="934"/>
      <c r="B2245" s="226"/>
      <c r="C2245" s="227" t="s">
        <v>10</v>
      </c>
      <c r="D2245" s="228"/>
      <c r="E2245" s="228"/>
      <c r="F2245" s="935"/>
      <c r="G2245" s="36"/>
    </row>
    <row r="2246" spans="1:7" ht="14.25" thickBot="1">
      <c r="A2246" s="900"/>
      <c r="B2246" s="901"/>
      <c r="C2246" s="887"/>
      <c r="D2246" s="903"/>
      <c r="E2246" s="928"/>
      <c r="F2246" s="929"/>
      <c r="G2246" s="36"/>
    </row>
    <row r="2247" spans="1:7">
      <c r="A2247" s="864"/>
      <c r="B2247" s="76"/>
      <c r="C2247" s="771" t="s">
        <v>24688</v>
      </c>
      <c r="D2247" s="63"/>
      <c r="E2247" s="231"/>
      <c r="F2247" s="927">
        <f>SUM(E2242:E2244)</f>
        <v>0</v>
      </c>
      <c r="G2247" s="36"/>
    </row>
    <row r="2248" spans="1:7">
      <c r="A2248" s="864">
        <v>42401</v>
      </c>
      <c r="B2248" s="76" t="str">
        <f>TiposLancamentos!B78</f>
        <v>Diferenças</v>
      </c>
      <c r="C2248" s="3" t="s">
        <v>16645</v>
      </c>
      <c r="D2248" s="63"/>
      <c r="E2248" s="231">
        <v>97.31</v>
      </c>
      <c r="F2248" s="927"/>
      <c r="G2248" s="36"/>
    </row>
    <row r="2249" spans="1:7">
      <c r="A2249" s="864"/>
      <c r="B2249" s="76"/>
      <c r="D2249" s="63"/>
      <c r="E2249" s="231"/>
      <c r="F2249" s="927"/>
      <c r="G2249" s="36"/>
    </row>
    <row r="2250" spans="1:7">
      <c r="A2250" s="864"/>
      <c r="B2250" s="76"/>
      <c r="D2250" s="63"/>
      <c r="E2250" s="231"/>
      <c r="F2250" s="927"/>
      <c r="G2250" s="36"/>
    </row>
    <row r="2251" spans="1:7">
      <c r="A2251" s="864"/>
      <c r="B2251" s="76"/>
      <c r="D2251" s="63"/>
      <c r="E2251" s="231"/>
      <c r="F2251" s="927"/>
      <c r="G2251" s="36"/>
    </row>
    <row r="2252" spans="1:7">
      <c r="A2252" s="864"/>
      <c r="B2252" s="76"/>
      <c r="D2252" s="63"/>
      <c r="E2252" s="231"/>
      <c r="F2252" s="927"/>
      <c r="G2252" s="36"/>
    </row>
    <row r="2253" spans="1:7">
      <c r="A2253" s="864"/>
      <c r="B2253" s="76"/>
      <c r="C2253" s="147"/>
      <c r="D2253" s="63"/>
      <c r="E2253" s="231"/>
      <c r="F2253" s="927"/>
      <c r="G2253" s="36"/>
    </row>
    <row r="2254" spans="1:7" ht="14.25" thickBot="1">
      <c r="A2254" s="900"/>
      <c r="B2254" s="871"/>
      <c r="C2254" s="902"/>
      <c r="D2254" s="903"/>
      <c r="E2254" s="928"/>
      <c r="F2254" s="929"/>
      <c r="G2254" s="36"/>
    </row>
    <row r="2255" spans="1:7">
      <c r="A2255" s="1073"/>
      <c r="B2255" s="1074"/>
      <c r="C2255" s="1075" t="s">
        <v>12</v>
      </c>
      <c r="D2255" s="1076">
        <f>SUM(D2:D2254)</f>
        <v>190723.43</v>
      </c>
      <c r="E2255" s="1077">
        <f>SUM(E2:E2254)</f>
        <v>190729.1398156576</v>
      </c>
      <c r="F2255" s="1078"/>
    </row>
    <row r="2256" spans="1:7" ht="14.25" thickBot="1">
      <c r="A2256" s="1028"/>
      <c r="B2256" s="1079"/>
      <c r="C2256" s="1029" t="s">
        <v>13</v>
      </c>
      <c r="D2256" s="1030"/>
      <c r="E2256" s="1031">
        <f>D2255-E2255</f>
        <v>-5.7098156576103065</v>
      </c>
      <c r="F2256" s="905"/>
    </row>
    <row r="2257" spans="1:7">
      <c r="A2257" s="65"/>
      <c r="B2257" s="65"/>
    </row>
    <row r="2258" spans="1:7">
      <c r="C2258" s="23"/>
      <c r="D2258" s="25" t="s">
        <v>14</v>
      </c>
      <c r="E2258" s="303" t="s">
        <v>15</v>
      </c>
      <c r="F2258" s="25" t="s">
        <v>16</v>
      </c>
    </row>
    <row r="2259" spans="1:7">
      <c r="B2259" s="77" t="s">
        <v>17</v>
      </c>
      <c r="C2259" s="36">
        <f>F509</f>
        <v>1790.4800000000002</v>
      </c>
      <c r="D2259" s="60">
        <v>23200</v>
      </c>
      <c r="E2259" s="34">
        <f>E2256</f>
        <v>-5.7098156576103065</v>
      </c>
      <c r="F2259" s="62">
        <f>D2259+E2259</f>
        <v>23194.29018434239</v>
      </c>
    </row>
    <row r="2260" spans="1:7">
      <c r="C2260" s="23"/>
      <c r="D2260" s="77"/>
      <c r="E2260" s="77"/>
      <c r="F2260" s="304"/>
    </row>
    <row r="2261" spans="1:7">
      <c r="C2261" s="23"/>
      <c r="D2261" s="36"/>
    </row>
    <row r="2262" spans="1:7">
      <c r="B2262" s="77"/>
      <c r="C2262" s="305"/>
      <c r="D2262" s="3">
        <v>190173.49</v>
      </c>
      <c r="E2262" s="3">
        <v>190173.75</v>
      </c>
    </row>
    <row r="2263" spans="1:7">
      <c r="B2263" s="77"/>
      <c r="C2263" s="77"/>
      <c r="D2263" s="877">
        <f>D2262-D2255</f>
        <v>-549.94000000000233</v>
      </c>
      <c r="E2263" s="221">
        <f>E2262-E2255</f>
        <v>-555.38981565760332</v>
      </c>
      <c r="G2263" s="3" t="s">
        <v>14160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Plan24"/>
  <dimension ref="A1:G59"/>
  <sheetViews>
    <sheetView topLeftCell="A16" workbookViewId="0">
      <selection activeCell="B50" sqref="B50"/>
    </sheetView>
  </sheetViews>
  <sheetFormatPr defaultColWidth="9" defaultRowHeight="13.5"/>
  <cols>
    <col min="1" max="1" width="13.7109375" style="1216" bestFit="1" customWidth="1"/>
    <col min="2" max="2" width="21.42578125" style="1216" customWidth="1"/>
    <col min="3" max="3" width="48.42578125" style="1216" customWidth="1"/>
    <col min="4" max="4" width="16" style="1216" customWidth="1"/>
    <col min="5" max="5" width="17" style="1217" customWidth="1"/>
    <col min="6" max="6" width="16" style="1216" bestFit="1" customWidth="1"/>
    <col min="7" max="7" width="8.42578125" style="1216" customWidth="1"/>
    <col min="8" max="16384" width="9" style="1216"/>
  </cols>
  <sheetData>
    <row r="1" spans="1:7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  <c r="G1" s="72" t="s">
        <v>6</v>
      </c>
    </row>
    <row r="2" spans="1:7">
      <c r="A2" s="767"/>
      <c r="B2" s="1121"/>
      <c r="C2" s="802" t="s">
        <v>24689</v>
      </c>
      <c r="D2" s="754"/>
      <c r="E2" s="755"/>
      <c r="F2" s="1191"/>
      <c r="G2" s="3"/>
    </row>
    <row r="3" spans="1:7">
      <c r="A3" s="769">
        <v>43070</v>
      </c>
      <c r="B3" s="240" t="str">
        <f>TiposLancamentos!B77</f>
        <v>Esporádico</v>
      </c>
      <c r="C3" s="878" t="s">
        <v>15281</v>
      </c>
      <c r="D3" s="63">
        <v>0.01</v>
      </c>
      <c r="E3" s="231"/>
      <c r="F3" s="1193"/>
      <c r="G3" s="3"/>
    </row>
    <row r="4" spans="1:7">
      <c r="A4" s="769">
        <v>43070</v>
      </c>
      <c r="B4" s="240" t="str">
        <f>TiposLancamentos!B78</f>
        <v>Diferenças</v>
      </c>
      <c r="C4" s="878" t="s">
        <v>15282</v>
      </c>
      <c r="D4" s="63"/>
      <c r="E4" s="231">
        <v>0.01</v>
      </c>
      <c r="F4" s="1193"/>
      <c r="G4" s="3"/>
    </row>
    <row r="5" spans="1:7">
      <c r="A5" s="759"/>
      <c r="B5" s="243"/>
      <c r="C5" s="389" t="s">
        <v>10</v>
      </c>
      <c r="D5" s="146"/>
      <c r="E5" s="1190"/>
      <c r="F5" s="760"/>
      <c r="G5" s="1094" t="s">
        <v>11</v>
      </c>
    </row>
    <row r="6" spans="1:7">
      <c r="A6" s="770"/>
      <c r="B6" s="1124"/>
      <c r="C6" s="1179"/>
      <c r="D6" s="764"/>
      <c r="E6" s="765"/>
      <c r="F6" s="1194"/>
      <c r="G6" s="3"/>
    </row>
    <row r="7" spans="1:7">
      <c r="A7" s="769"/>
      <c r="B7" s="240"/>
      <c r="C7" s="878"/>
      <c r="D7" s="63"/>
      <c r="E7" s="231"/>
      <c r="F7" s="1193"/>
      <c r="G7" s="3"/>
    </row>
    <row r="8" spans="1:7">
      <c r="A8" s="769">
        <v>43675</v>
      </c>
      <c r="B8" s="240" t="str">
        <f>TiposLancamentos!B71</f>
        <v>Itens Pessoais</v>
      </c>
      <c r="C8" s="878" t="s">
        <v>24690</v>
      </c>
      <c r="D8" s="63"/>
      <c r="E8" s="231">
        <v>230</v>
      </c>
      <c r="F8" s="1193"/>
      <c r="G8" s="3"/>
    </row>
    <row r="9" spans="1:7">
      <c r="A9" s="769"/>
      <c r="B9" s="240"/>
      <c r="C9" s="878"/>
      <c r="D9" s="63"/>
      <c r="E9" s="231"/>
      <c r="F9" s="1193"/>
      <c r="G9" s="3"/>
    </row>
    <row r="10" spans="1:7">
      <c r="A10" s="759"/>
      <c r="B10" s="243"/>
      <c r="C10" s="389" t="s">
        <v>10</v>
      </c>
      <c r="D10" s="146"/>
      <c r="E10" s="1190"/>
      <c r="F10" s="760"/>
      <c r="G10" s="1094" t="s">
        <v>11</v>
      </c>
    </row>
    <row r="11" spans="1:7">
      <c r="A11" s="769"/>
      <c r="B11" s="240"/>
      <c r="C11" s="878"/>
      <c r="D11" s="63"/>
      <c r="E11" s="231"/>
      <c r="F11" s="1193"/>
      <c r="G11" s="3"/>
    </row>
    <row r="12" spans="1:7">
      <c r="A12" s="884">
        <v>43705</v>
      </c>
      <c r="B12" s="240" t="str">
        <f>TiposLancamentos!B45</f>
        <v>Online Services</v>
      </c>
      <c r="C12" s="878" t="s">
        <v>1894</v>
      </c>
      <c r="D12" s="63"/>
      <c r="E12" s="231">
        <v>32.9</v>
      </c>
      <c r="F12" s="1193"/>
      <c r="G12" s="3"/>
    </row>
    <row r="13" spans="1:7">
      <c r="A13" s="770"/>
      <c r="B13" s="1124"/>
      <c r="C13" s="1179"/>
      <c r="D13" s="764"/>
      <c r="E13" s="765"/>
      <c r="F13" s="1194"/>
      <c r="G13" s="3"/>
    </row>
    <row r="14" spans="1:7">
      <c r="A14" s="769"/>
      <c r="B14" s="240"/>
      <c r="C14" s="878" t="s">
        <v>15303</v>
      </c>
      <c r="D14" s="63"/>
      <c r="E14" s="231"/>
      <c r="F14" s="1193"/>
      <c r="G14" s="3"/>
    </row>
    <row r="15" spans="1:7">
      <c r="A15" s="769">
        <v>43710</v>
      </c>
      <c r="B15" s="240" t="str">
        <f>TiposLancamentos!B15</f>
        <v>Cartões de Crédito</v>
      </c>
      <c r="C15" s="878" t="s">
        <v>10915</v>
      </c>
      <c r="D15" s="63">
        <v>230</v>
      </c>
      <c r="E15" s="231"/>
      <c r="F15" s="1193"/>
      <c r="G15" s="3"/>
    </row>
    <row r="16" spans="1:7" ht="12.75" customHeight="1">
      <c r="A16" s="769">
        <v>43720</v>
      </c>
      <c r="B16" s="240" t="str">
        <f>TiposLancamentos!B73</f>
        <v>Cursos</v>
      </c>
      <c r="C16" s="878" t="s">
        <v>24691</v>
      </c>
      <c r="D16" s="63"/>
      <c r="E16" s="231">
        <f>F16/12</f>
        <v>84</v>
      </c>
      <c r="F16" s="1193">
        <v>1008</v>
      </c>
      <c r="G16" s="3"/>
    </row>
    <row r="17" spans="1:7">
      <c r="A17" s="769">
        <v>43720</v>
      </c>
      <c r="B17" s="240" t="str">
        <f>TiposLancamentos!B26</f>
        <v>LIVROS</v>
      </c>
      <c r="C17" s="878" t="s">
        <v>24692</v>
      </c>
      <c r="D17" s="63"/>
      <c r="E17" s="231">
        <v>40.89</v>
      </c>
      <c r="F17" s="1193"/>
      <c r="G17" s="3"/>
    </row>
    <row r="18" spans="1:7">
      <c r="A18" s="759"/>
      <c r="B18" s="243"/>
      <c r="C18" s="389" t="s">
        <v>10</v>
      </c>
      <c r="D18" s="146"/>
      <c r="E18" s="1190"/>
      <c r="F18" s="760"/>
      <c r="G18" s="1094" t="s">
        <v>11</v>
      </c>
    </row>
    <row r="19" spans="1:7">
      <c r="A19" s="769"/>
      <c r="B19" s="240"/>
      <c r="C19" s="878"/>
      <c r="D19" s="63"/>
      <c r="E19" s="231"/>
      <c r="F19" s="1193"/>
      <c r="G19" s="3"/>
    </row>
    <row r="20" spans="1:7">
      <c r="A20" s="884">
        <v>43736</v>
      </c>
      <c r="B20" s="240" t="str">
        <f>TiposLancamentos!B45</f>
        <v>Online Services</v>
      </c>
      <c r="C20" s="878" t="s">
        <v>1894</v>
      </c>
      <c r="D20" s="63"/>
      <c r="E20" s="231">
        <v>32.9</v>
      </c>
      <c r="F20" s="1193"/>
      <c r="G20" s="3"/>
    </row>
    <row r="21" spans="1:7">
      <c r="A21" s="769"/>
      <c r="B21" s="240"/>
      <c r="C21" s="878" t="s">
        <v>13870</v>
      </c>
      <c r="D21" s="63"/>
      <c r="E21" s="231"/>
      <c r="F21" s="1193">
        <f>SUM(E11:E17)</f>
        <v>157.79000000000002</v>
      </c>
      <c r="G21" s="3"/>
    </row>
    <row r="22" spans="1:7">
      <c r="A22" s="769">
        <v>43739</v>
      </c>
      <c r="B22" s="240" t="str">
        <f>TiposLancamentos!B15</f>
        <v>Cartões de Crédito</v>
      </c>
      <c r="C22" s="878" t="s">
        <v>24693</v>
      </c>
      <c r="D22" s="63">
        <v>157.79</v>
      </c>
      <c r="E22" s="231"/>
      <c r="F22" s="1193"/>
      <c r="G22" s="3"/>
    </row>
    <row r="23" spans="1:7">
      <c r="A23" s="769">
        <v>43750</v>
      </c>
      <c r="B23" s="240" t="str">
        <f>TiposLancamentos!B73</f>
        <v>Cursos</v>
      </c>
      <c r="C23" s="878" t="s">
        <v>24694</v>
      </c>
      <c r="D23" s="63"/>
      <c r="E23" s="231">
        <f>F23/12</f>
        <v>84</v>
      </c>
      <c r="F23" s="1193">
        <v>1008</v>
      </c>
      <c r="G23" s="3"/>
    </row>
    <row r="24" spans="1:7">
      <c r="A24" s="759"/>
      <c r="B24" s="243"/>
      <c r="C24" s="389" t="s">
        <v>10</v>
      </c>
      <c r="D24" s="146"/>
      <c r="E24" s="1190"/>
      <c r="F24" s="760"/>
      <c r="G24" s="1094" t="s">
        <v>11</v>
      </c>
    </row>
    <row r="25" spans="1:7">
      <c r="A25" s="767"/>
      <c r="B25" s="1121"/>
      <c r="C25" s="802" t="s">
        <v>13874</v>
      </c>
      <c r="D25" s="754"/>
      <c r="E25" s="755"/>
      <c r="F25" s="1395">
        <f>SUM(E19:E23)</f>
        <v>116.9</v>
      </c>
      <c r="G25" s="3"/>
    </row>
    <row r="26" spans="1:7">
      <c r="A26" s="769">
        <v>43770</v>
      </c>
      <c r="B26" s="240" t="str">
        <f>TiposLancamentos!B15</f>
        <v>Cartões de Crédito</v>
      </c>
      <c r="C26" s="878" t="s">
        <v>1874</v>
      </c>
      <c r="D26" s="63">
        <v>116.9</v>
      </c>
      <c r="E26" s="231"/>
      <c r="F26" s="1193"/>
      <c r="G26" s="3"/>
    </row>
    <row r="27" spans="1:7">
      <c r="A27" s="769">
        <v>43770</v>
      </c>
      <c r="B27" s="240" t="str">
        <f>TiposLancamentos!B4</f>
        <v>Taxas Bancarias</v>
      </c>
      <c r="C27" s="878" t="s">
        <v>24695</v>
      </c>
      <c r="D27" s="63"/>
      <c r="E27" s="231">
        <v>9.9</v>
      </c>
      <c r="F27" s="1193"/>
      <c r="G27" s="3"/>
    </row>
    <row r="28" spans="1:7">
      <c r="A28" s="769">
        <v>43781</v>
      </c>
      <c r="B28" s="240" t="str">
        <f>TiposLancamentos!B73</f>
        <v>Cursos</v>
      </c>
      <c r="C28" s="878" t="s">
        <v>24696</v>
      </c>
      <c r="D28" s="63"/>
      <c r="E28" s="231">
        <f>F28/12</f>
        <v>84</v>
      </c>
      <c r="F28" s="1193">
        <v>1008</v>
      </c>
      <c r="G28" s="3"/>
    </row>
    <row r="29" spans="1:7">
      <c r="A29" s="759"/>
      <c r="B29" s="243"/>
      <c r="C29" s="389" t="s">
        <v>10</v>
      </c>
      <c r="D29" s="146"/>
      <c r="E29" s="1190"/>
      <c r="F29" s="760"/>
      <c r="G29" s="3"/>
    </row>
    <row r="30" spans="1:7">
      <c r="A30" s="767"/>
      <c r="B30" s="1121"/>
      <c r="C30" s="802" t="s">
        <v>13878</v>
      </c>
      <c r="D30" s="754"/>
      <c r="E30" s="755"/>
      <c r="F30" s="1395">
        <f>SUM(E25:E28)</f>
        <v>93.9</v>
      </c>
      <c r="G30" s="3"/>
    </row>
    <row r="31" spans="1:7">
      <c r="A31" s="769">
        <v>43800</v>
      </c>
      <c r="B31" s="240" t="str">
        <f>TiposLancamentos!B15</f>
        <v>Cartões de Crédito</v>
      </c>
      <c r="C31" s="878" t="s">
        <v>1874</v>
      </c>
      <c r="D31" s="63">
        <v>93.9</v>
      </c>
      <c r="E31" s="231"/>
      <c r="F31" s="1193"/>
      <c r="G31" s="3"/>
    </row>
    <row r="32" spans="1:7">
      <c r="A32" s="769">
        <v>43811</v>
      </c>
      <c r="B32" s="240" t="str">
        <f>TiposLancamentos!B73</f>
        <v>Cursos</v>
      </c>
      <c r="C32" s="878" t="s">
        <v>24697</v>
      </c>
      <c r="D32" s="63"/>
      <c r="E32" s="231">
        <f>F32/12</f>
        <v>84</v>
      </c>
      <c r="F32" s="1193">
        <v>1008</v>
      </c>
      <c r="G32" s="3"/>
    </row>
    <row r="33" spans="1:6">
      <c r="A33" s="769">
        <v>43832</v>
      </c>
      <c r="B33" s="240" t="str">
        <f>TiposLancamentos!B15</f>
        <v>Cartões de Crédito</v>
      </c>
      <c r="C33" s="878" t="s">
        <v>1874</v>
      </c>
      <c r="D33" s="63">
        <v>81.22</v>
      </c>
      <c r="E33" s="231"/>
      <c r="F33" s="1193"/>
    </row>
    <row r="34" spans="1:6">
      <c r="A34" s="769">
        <v>43842</v>
      </c>
      <c r="B34" s="240" t="str">
        <f>TiposLancamentos!B73</f>
        <v>Cursos</v>
      </c>
      <c r="C34" s="878" t="s">
        <v>24698</v>
      </c>
      <c r="D34" s="63"/>
      <c r="E34" s="231">
        <f>F34/12</f>
        <v>84</v>
      </c>
      <c r="F34" s="1193">
        <v>1008</v>
      </c>
    </row>
    <row r="35" spans="1:6">
      <c r="A35" s="769">
        <v>43864</v>
      </c>
      <c r="B35" s="240" t="str">
        <f>TiposLancamentos!B15</f>
        <v>Cartões de Crédito</v>
      </c>
      <c r="C35" s="878" t="s">
        <v>1874</v>
      </c>
      <c r="D35" s="63">
        <v>84</v>
      </c>
      <c r="E35" s="231"/>
      <c r="F35" s="1193"/>
    </row>
    <row r="36" spans="1:6">
      <c r="A36" s="769">
        <v>43873</v>
      </c>
      <c r="B36" s="240" t="str">
        <f>TiposLancamentos!B73</f>
        <v>Cursos</v>
      </c>
      <c r="C36" s="878" t="s">
        <v>24699</v>
      </c>
      <c r="D36" s="63"/>
      <c r="E36" s="231">
        <f>F36/12</f>
        <v>84</v>
      </c>
      <c r="F36" s="1193">
        <v>1008</v>
      </c>
    </row>
    <row r="37" spans="1:6">
      <c r="A37" s="769">
        <v>43892</v>
      </c>
      <c r="B37" s="240" t="str">
        <f>TiposLancamentos!B15</f>
        <v>Cartões de Crédito</v>
      </c>
      <c r="C37" s="878" t="s">
        <v>1874</v>
      </c>
      <c r="D37" s="63">
        <v>84</v>
      </c>
      <c r="E37" s="231"/>
      <c r="F37" s="1193"/>
    </row>
    <row r="38" spans="1:6">
      <c r="A38" s="769">
        <v>43902</v>
      </c>
      <c r="B38" s="240" t="str">
        <f>TiposLancamentos!B73</f>
        <v>Cursos</v>
      </c>
      <c r="C38" s="878" t="s">
        <v>24700</v>
      </c>
      <c r="D38" s="63"/>
      <c r="E38" s="231">
        <f>F38/12</f>
        <v>84</v>
      </c>
      <c r="F38" s="1193">
        <v>1008</v>
      </c>
    </row>
    <row r="39" spans="1:6">
      <c r="A39" s="769">
        <v>43922</v>
      </c>
      <c r="B39" s="240" t="str">
        <f>TiposLancamentos!B15</f>
        <v>Cartões de Crédito</v>
      </c>
      <c r="C39" s="878" t="s">
        <v>1874</v>
      </c>
      <c r="D39" s="63">
        <v>84</v>
      </c>
      <c r="E39" s="231"/>
      <c r="F39" s="1193"/>
    </row>
    <row r="40" spans="1:6">
      <c r="A40" s="769">
        <v>43933</v>
      </c>
      <c r="B40" s="240" t="str">
        <f>TiposLancamentos!B73</f>
        <v>Cursos</v>
      </c>
      <c r="C40" s="878" t="s">
        <v>24701</v>
      </c>
      <c r="D40" s="63"/>
      <c r="E40" s="231">
        <f>F40/12</f>
        <v>84</v>
      </c>
      <c r="F40" s="1193">
        <v>1008</v>
      </c>
    </row>
    <row r="41" spans="1:6">
      <c r="A41" s="769">
        <v>43952</v>
      </c>
      <c r="B41" s="240" t="str">
        <f>TiposLancamentos!B15</f>
        <v>Cartões de Crédito</v>
      </c>
      <c r="C41" s="878" t="s">
        <v>1874</v>
      </c>
      <c r="D41" s="63">
        <v>84</v>
      </c>
      <c r="E41" s="231"/>
      <c r="F41" s="1193"/>
    </row>
    <row r="42" spans="1:6">
      <c r="A42" s="769">
        <v>43963</v>
      </c>
      <c r="B42" s="240" t="str">
        <f>TiposLancamentos!B73</f>
        <v>Cursos</v>
      </c>
      <c r="C42" s="878" t="s">
        <v>24702</v>
      </c>
      <c r="D42" s="63"/>
      <c r="E42" s="231">
        <f>F42/12</f>
        <v>84</v>
      </c>
      <c r="F42" s="1193">
        <v>1008</v>
      </c>
    </row>
    <row r="43" spans="1:6">
      <c r="A43" s="769">
        <v>43983</v>
      </c>
      <c r="B43" s="240" t="str">
        <f>TiposLancamentos!B15</f>
        <v>Cartões de Crédito</v>
      </c>
      <c r="C43" s="878" t="s">
        <v>1874</v>
      </c>
      <c r="D43" s="63">
        <v>84</v>
      </c>
      <c r="E43" s="231"/>
      <c r="F43" s="1193"/>
    </row>
    <row r="44" spans="1:6">
      <c r="A44" s="769">
        <v>43994</v>
      </c>
      <c r="B44" s="240" t="str">
        <f>TiposLancamentos!B73</f>
        <v>Cursos</v>
      </c>
      <c r="C44" s="878" t="s">
        <v>24703</v>
      </c>
      <c r="D44" s="63"/>
      <c r="E44" s="231">
        <f>F44/12</f>
        <v>84</v>
      </c>
      <c r="F44" s="1193">
        <v>1008</v>
      </c>
    </row>
    <row r="45" spans="1:6">
      <c r="A45" s="769">
        <v>44013</v>
      </c>
      <c r="B45" s="240" t="str">
        <f>TiposLancamentos!B15</f>
        <v>Cartões de Crédito</v>
      </c>
      <c r="C45" s="878" t="s">
        <v>1874</v>
      </c>
      <c r="D45" s="63">
        <v>84</v>
      </c>
      <c r="E45" s="231"/>
      <c r="F45" s="1193"/>
    </row>
    <row r="46" spans="1:6">
      <c r="A46" s="769">
        <v>44024</v>
      </c>
      <c r="B46" s="240" t="str">
        <f>TiposLancamentos!B73</f>
        <v>Cursos</v>
      </c>
      <c r="C46" s="878" t="s">
        <v>24704</v>
      </c>
      <c r="D46" s="63"/>
      <c r="E46" s="231">
        <f>F46/12</f>
        <v>84</v>
      </c>
      <c r="F46" s="1193">
        <v>1008</v>
      </c>
    </row>
    <row r="47" spans="1:6">
      <c r="A47" s="769">
        <v>44044</v>
      </c>
      <c r="B47" s="240" t="str">
        <f>TiposLancamentos!B15</f>
        <v>Cartões de Crédito</v>
      </c>
      <c r="C47" s="878" t="s">
        <v>1874</v>
      </c>
      <c r="D47" s="63">
        <v>84</v>
      </c>
      <c r="E47" s="231"/>
      <c r="F47" s="1193"/>
    </row>
    <row r="48" spans="1:6">
      <c r="A48" s="769">
        <v>44055</v>
      </c>
      <c r="B48" s="240" t="str">
        <f>TiposLancamentos!B73</f>
        <v>Cursos</v>
      </c>
      <c r="C48" s="878" t="s">
        <v>24705</v>
      </c>
      <c r="D48" s="63"/>
      <c r="E48" s="231">
        <f>F48/12</f>
        <v>84</v>
      </c>
      <c r="F48" s="1193">
        <v>1008</v>
      </c>
    </row>
    <row r="49" spans="1:7">
      <c r="A49" s="769">
        <v>44075</v>
      </c>
      <c r="B49" s="240" t="str">
        <f>TiposLancamentos!B15</f>
        <v>Cartões de Crédito</v>
      </c>
      <c r="C49" s="878" t="s">
        <v>1874</v>
      </c>
      <c r="D49" s="63">
        <v>84</v>
      </c>
      <c r="E49" s="231"/>
      <c r="F49" s="1193"/>
      <c r="G49" s="3"/>
    </row>
    <row r="50" spans="1:7">
      <c r="A50" s="769">
        <v>44075</v>
      </c>
      <c r="B50" s="240" t="str">
        <f>TiposLancamentos!B78</f>
        <v>Diferenças</v>
      </c>
      <c r="C50" s="878" t="s">
        <v>17347</v>
      </c>
      <c r="D50" s="63">
        <v>2.78</v>
      </c>
      <c r="E50" s="231"/>
      <c r="F50" s="1193"/>
      <c r="G50" s="3"/>
    </row>
    <row r="51" spans="1:7">
      <c r="A51" s="769"/>
      <c r="B51" s="240"/>
      <c r="C51" s="878"/>
      <c r="D51" s="63"/>
      <c r="E51" s="231"/>
      <c r="F51" s="1193"/>
      <c r="G51" s="3"/>
    </row>
    <row r="52" spans="1:7">
      <c r="A52" s="769"/>
      <c r="B52" s="240"/>
      <c r="C52" s="878"/>
      <c r="D52" s="63"/>
      <c r="E52" s="231"/>
      <c r="F52" s="1193"/>
      <c r="G52" s="3"/>
    </row>
    <row r="53" spans="1:7">
      <c r="A53" s="770"/>
      <c r="B53" s="1124"/>
      <c r="C53" s="1179"/>
      <c r="D53" s="764"/>
      <c r="E53" s="765"/>
      <c r="F53" s="1194"/>
      <c r="G53" s="3"/>
    </row>
    <row r="54" spans="1:7">
      <c r="A54" s="770"/>
      <c r="B54" s="1124"/>
      <c r="C54" s="763"/>
      <c r="D54" s="764"/>
      <c r="E54" s="765"/>
      <c r="F54" s="1192"/>
      <c r="G54" s="1094" t="s">
        <v>11</v>
      </c>
    </row>
    <row r="55" spans="1:7">
      <c r="A55" s="46"/>
      <c r="B55" s="116"/>
      <c r="C55" s="117" t="s">
        <v>12</v>
      </c>
      <c r="D55" s="185">
        <f>SUM(D2:D54)</f>
        <v>1354.6</v>
      </c>
      <c r="E55" s="609">
        <f>SUM(E2:E54)</f>
        <v>1354.6</v>
      </c>
      <c r="F55" s="224"/>
      <c r="G55" s="3"/>
    </row>
    <row r="56" spans="1:7">
      <c r="A56" s="119"/>
      <c r="B56" s="120"/>
      <c r="C56" s="24" t="s">
        <v>13</v>
      </c>
      <c r="D56" s="177"/>
      <c r="E56" s="302">
        <f>D55-E55</f>
        <v>0</v>
      </c>
      <c r="F56" s="177"/>
      <c r="G56" s="3"/>
    </row>
    <row r="57" spans="1:7">
      <c r="A57" s="65"/>
      <c r="B57" s="65"/>
      <c r="C57" s="3"/>
      <c r="D57" s="3"/>
      <c r="E57" s="221"/>
      <c r="F57" s="3"/>
      <c r="G57" s="3"/>
    </row>
    <row r="58" spans="1:7">
      <c r="A58" s="3"/>
      <c r="B58" s="3"/>
      <c r="C58" s="23"/>
      <c r="D58" s="25" t="s">
        <v>14</v>
      </c>
      <c r="E58" s="303" t="s">
        <v>15</v>
      </c>
      <c r="F58" s="25" t="s">
        <v>16</v>
      </c>
      <c r="G58" s="3"/>
    </row>
    <row r="59" spans="1:7">
      <c r="A59" s="3"/>
      <c r="B59" s="77" t="s">
        <v>17</v>
      </c>
      <c r="C59" s="36"/>
      <c r="D59" s="60">
        <f>CARTOES!H41</f>
        <v>0</v>
      </c>
      <c r="E59" s="34">
        <f>E56</f>
        <v>0</v>
      </c>
      <c r="F59" s="62">
        <f>D59+E59</f>
        <v>0</v>
      </c>
      <c r="G59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Plan51"/>
  <dimension ref="A1:F70"/>
  <sheetViews>
    <sheetView workbookViewId="0">
      <pane xSplit="6" ySplit="1" topLeftCell="G32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" defaultRowHeight="13.5"/>
  <cols>
    <col min="1" max="1" width="17.5703125" style="3" customWidth="1"/>
    <col min="2" max="2" width="21.42578125" style="3" customWidth="1"/>
    <col min="3" max="3" width="39" style="3" customWidth="1"/>
    <col min="4" max="4" width="15.140625" style="3" customWidth="1"/>
    <col min="5" max="5" width="17.85546875" style="221" customWidth="1"/>
    <col min="6" max="6" width="14.42578125" style="3" customWidth="1"/>
    <col min="7" max="16384" width="9" style="3"/>
  </cols>
  <sheetData>
    <row r="1" spans="1:6">
      <c r="A1" s="67" t="s">
        <v>0</v>
      </c>
      <c r="B1" s="68" t="s">
        <v>1</v>
      </c>
      <c r="C1" s="69" t="s">
        <v>2</v>
      </c>
      <c r="D1" s="70" t="s">
        <v>3</v>
      </c>
      <c r="E1" s="71" t="s">
        <v>4</v>
      </c>
      <c r="F1" s="72" t="s">
        <v>5</v>
      </c>
    </row>
    <row r="2" spans="1:6">
      <c r="A2" s="42"/>
      <c r="B2" s="37"/>
      <c r="C2" s="1449" t="s">
        <v>4874</v>
      </c>
      <c r="D2" s="93"/>
      <c r="E2" s="44"/>
      <c r="F2" s="223"/>
    </row>
    <row r="3" spans="1:6">
      <c r="A3" s="75">
        <v>38635</v>
      </c>
      <c r="B3" s="76" t="str">
        <f>TiposLancamentos!B16</f>
        <v>Cristiane</v>
      </c>
      <c r="C3" s="147" t="s">
        <v>24706</v>
      </c>
      <c r="D3" s="63">
        <v>0.01</v>
      </c>
      <c r="E3" s="135">
        <v>29.9</v>
      </c>
      <c r="F3" s="224"/>
    </row>
    <row r="4" spans="1:6">
      <c r="A4" s="75">
        <v>38635</v>
      </c>
      <c r="B4" s="76" t="str">
        <f>TiposLancamentos!B19</f>
        <v>Restaurantes</v>
      </c>
      <c r="C4" s="147" t="s">
        <v>2941</v>
      </c>
      <c r="D4" s="63"/>
      <c r="E4" s="135">
        <v>25.1</v>
      </c>
      <c r="F4" s="224"/>
    </row>
    <row r="5" spans="1:6">
      <c r="A5" s="75">
        <v>38635</v>
      </c>
      <c r="B5" s="76" t="str">
        <f>TiposLancamentos!B19</f>
        <v>Restaurantes</v>
      </c>
      <c r="C5" s="147" t="s">
        <v>2640</v>
      </c>
      <c r="D5" s="63"/>
      <c r="E5" s="135">
        <v>5.3</v>
      </c>
      <c r="F5" s="224"/>
    </row>
    <row r="6" spans="1:6">
      <c r="A6" s="75">
        <v>38636</v>
      </c>
      <c r="B6" s="76" t="str">
        <f>TiposLancamentos!B22</f>
        <v>Combustivel</v>
      </c>
      <c r="C6" s="147" t="s">
        <v>3050</v>
      </c>
      <c r="D6" s="63"/>
      <c r="E6" s="135">
        <v>27.25</v>
      </c>
      <c r="F6" s="224"/>
    </row>
    <row r="7" spans="1:6">
      <c r="A7" s="75">
        <v>38637</v>
      </c>
      <c r="B7" s="76" t="str">
        <f>TiposLancamentos!B5</f>
        <v>Supermercado</v>
      </c>
      <c r="C7" s="147" t="s">
        <v>2934</v>
      </c>
      <c r="D7" s="63"/>
      <c r="E7" s="135">
        <v>11.9</v>
      </c>
      <c r="F7" s="224"/>
    </row>
    <row r="8" spans="1:6">
      <c r="A8" s="75">
        <v>38638</v>
      </c>
      <c r="B8" s="76" t="str">
        <f>TiposLancamentos!B19</f>
        <v>Restaurantes</v>
      </c>
      <c r="C8" s="147" t="s">
        <v>2941</v>
      </c>
      <c r="D8" s="63"/>
      <c r="E8" s="135">
        <v>25.1</v>
      </c>
      <c r="F8" s="224"/>
    </row>
    <row r="9" spans="1:6">
      <c r="A9" s="75">
        <v>38639</v>
      </c>
      <c r="B9" s="76" t="str">
        <f>TiposLancamentos!B64</f>
        <v>Viagens</v>
      </c>
      <c r="C9" s="147" t="s">
        <v>13113</v>
      </c>
      <c r="D9" s="63"/>
      <c r="E9" s="135">
        <v>86.54</v>
      </c>
      <c r="F9" s="224"/>
    </row>
    <row r="10" spans="1:6">
      <c r="A10" s="75">
        <v>38639</v>
      </c>
      <c r="B10" s="76" t="str">
        <f>TiposLancamentos!B64</f>
        <v>Viagens</v>
      </c>
      <c r="C10" s="147" t="s">
        <v>13115</v>
      </c>
      <c r="D10" s="63"/>
      <c r="E10" s="135">
        <v>97.88</v>
      </c>
      <c r="F10" s="224"/>
    </row>
    <row r="11" spans="1:6">
      <c r="A11" s="75">
        <v>38639</v>
      </c>
      <c r="B11" s="76" t="str">
        <f>TiposLancamentos!B64</f>
        <v>Viagens</v>
      </c>
      <c r="C11" s="147" t="s">
        <v>24707</v>
      </c>
      <c r="D11" s="63"/>
      <c r="E11" s="135">
        <v>56.22</v>
      </c>
      <c r="F11" s="224"/>
    </row>
    <row r="12" spans="1:6">
      <c r="A12" s="75">
        <v>38640</v>
      </c>
      <c r="B12" s="76" t="str">
        <f>TiposLancamentos!B69</f>
        <v>Consertos</v>
      </c>
      <c r="C12" s="147" t="s">
        <v>24708</v>
      </c>
      <c r="D12" s="63"/>
      <c r="E12" s="135">
        <v>3.55</v>
      </c>
      <c r="F12" s="224"/>
    </row>
    <row r="13" spans="1:6">
      <c r="A13" s="75">
        <v>38641</v>
      </c>
      <c r="B13" s="76" t="str">
        <f>TiposLancamentos!B57</f>
        <v>Informática</v>
      </c>
      <c r="C13" s="147" t="s">
        <v>24709</v>
      </c>
      <c r="D13" s="63"/>
      <c r="E13" s="135">
        <v>29</v>
      </c>
      <c r="F13" s="224"/>
    </row>
    <row r="14" spans="1:6">
      <c r="A14" s="75">
        <v>38641</v>
      </c>
      <c r="B14" s="76" t="str">
        <f>TiposLancamentos!B19</f>
        <v>Restaurantes</v>
      </c>
      <c r="C14" s="147" t="s">
        <v>24710</v>
      </c>
      <c r="D14" s="63"/>
      <c r="E14" s="135">
        <v>20.68</v>
      </c>
      <c r="F14" s="224"/>
    </row>
    <row r="15" spans="1:6">
      <c r="A15" s="75">
        <v>38644</v>
      </c>
      <c r="B15" s="76" t="str">
        <f>TiposLancamentos!B16</f>
        <v>Cristiane</v>
      </c>
      <c r="C15" s="147" t="s">
        <v>1787</v>
      </c>
      <c r="D15" s="63"/>
      <c r="E15" s="135">
        <v>15.9</v>
      </c>
      <c r="F15" s="224"/>
    </row>
    <row r="16" spans="1:6">
      <c r="A16" s="75">
        <v>38644</v>
      </c>
      <c r="B16" s="76" t="str">
        <f>TiposLancamentos!B5</f>
        <v>Supermercado</v>
      </c>
      <c r="C16" s="147" t="s">
        <v>1676</v>
      </c>
      <c r="D16" s="63"/>
      <c r="E16" s="135">
        <v>78.5</v>
      </c>
      <c r="F16" s="224"/>
    </row>
    <row r="17" spans="1:6">
      <c r="A17" s="75">
        <v>38645</v>
      </c>
      <c r="B17" s="76" t="str">
        <f>TiposLancamentos!B16</f>
        <v>Cristiane</v>
      </c>
      <c r="C17" s="147" t="s">
        <v>24711</v>
      </c>
      <c r="D17" s="63"/>
      <c r="E17" s="135">
        <v>31.5</v>
      </c>
      <c r="F17" s="224"/>
    </row>
    <row r="18" spans="1:6">
      <c r="A18" s="75"/>
      <c r="B18" s="76"/>
      <c r="C18" s="147"/>
      <c r="D18" s="63"/>
      <c r="E18" s="135"/>
      <c r="F18" s="224"/>
    </row>
    <row r="19" spans="1:6">
      <c r="A19" s="75">
        <v>38646</v>
      </c>
      <c r="B19" s="76" t="str">
        <f>TiposLancamentos!B64</f>
        <v>Viagens</v>
      </c>
      <c r="C19" s="147" t="s">
        <v>24712</v>
      </c>
      <c r="D19" s="63"/>
      <c r="E19" s="135">
        <v>34.74</v>
      </c>
      <c r="F19" s="224"/>
    </row>
    <row r="20" spans="1:6">
      <c r="A20" s="75">
        <v>38650</v>
      </c>
      <c r="B20" s="76" t="str">
        <f>TiposLancamentos!B17</f>
        <v>GATO</v>
      </c>
      <c r="C20" s="147" t="s">
        <v>24713</v>
      </c>
      <c r="D20" s="63"/>
      <c r="E20" s="135">
        <v>52.7</v>
      </c>
      <c r="F20" s="224"/>
    </row>
    <row r="21" spans="1:6">
      <c r="A21" s="75">
        <v>38651</v>
      </c>
      <c r="B21" s="76" t="str">
        <f>TiposLancamentos!B5</f>
        <v>Supermercado</v>
      </c>
      <c r="C21" s="147" t="s">
        <v>1676</v>
      </c>
      <c r="D21" s="63"/>
      <c r="E21" s="135">
        <v>50.85</v>
      </c>
      <c r="F21" s="224"/>
    </row>
    <row r="22" spans="1:6">
      <c r="A22" s="75">
        <v>38651</v>
      </c>
      <c r="B22" s="76" t="str">
        <f>TiposLancamentos!B16</f>
        <v>Cristiane</v>
      </c>
      <c r="C22" s="147" t="s">
        <v>24714</v>
      </c>
      <c r="D22" s="63"/>
      <c r="E22" s="135">
        <v>20.100000000000001</v>
      </c>
      <c r="F22" s="224"/>
    </row>
    <row r="23" spans="1:6">
      <c r="A23" s="75">
        <v>38682</v>
      </c>
      <c r="B23" s="76" t="str">
        <f>TiposLancamentos!B4</f>
        <v>Taxas Bancarias</v>
      </c>
      <c r="C23" s="147" t="s">
        <v>24715</v>
      </c>
      <c r="D23" s="63"/>
      <c r="E23" s="135">
        <v>12.9</v>
      </c>
      <c r="F23" s="224"/>
    </row>
    <row r="24" spans="1:6">
      <c r="A24" s="75">
        <v>38652</v>
      </c>
      <c r="B24" s="76" t="str">
        <f>TiposLancamentos!B22</f>
        <v>Combustivel</v>
      </c>
      <c r="C24" s="147" t="s">
        <v>3050</v>
      </c>
      <c r="D24" s="63"/>
      <c r="E24" s="135">
        <v>25.76</v>
      </c>
      <c r="F24" s="224"/>
    </row>
    <row r="25" spans="1:6">
      <c r="A25" s="75">
        <v>38652</v>
      </c>
      <c r="B25" s="76" t="str">
        <f>TiposLancamentos!B19</f>
        <v>Restaurantes</v>
      </c>
      <c r="C25" s="147" t="s">
        <v>2654</v>
      </c>
      <c r="D25" s="63"/>
      <c r="E25" s="135">
        <v>45.32</v>
      </c>
      <c r="F25" s="224"/>
    </row>
    <row r="26" spans="1:6">
      <c r="A26" s="83"/>
      <c r="B26" s="37"/>
      <c r="C26" s="1449" t="s">
        <v>4888</v>
      </c>
      <c r="D26" s="93"/>
      <c r="E26" s="44"/>
      <c r="F26" s="223">
        <f>SUM(E2:E25)</f>
        <v>786.69000000000017</v>
      </c>
    </row>
    <row r="27" spans="1:6">
      <c r="A27" s="75">
        <v>38657</v>
      </c>
      <c r="B27" s="76" t="str">
        <f>TiposLancamentos!B45</f>
        <v>Online Services</v>
      </c>
      <c r="C27" s="147" t="s">
        <v>15207</v>
      </c>
      <c r="D27" s="63"/>
      <c r="E27" s="135">
        <v>14.9</v>
      </c>
      <c r="F27" s="224"/>
    </row>
    <row r="28" spans="1:6">
      <c r="A28" s="75">
        <v>38659</v>
      </c>
      <c r="B28" s="76" t="str">
        <f>TiposLancamentos!B98</f>
        <v>Restituições</v>
      </c>
      <c r="C28" s="147" t="s">
        <v>24716</v>
      </c>
      <c r="D28" s="63">
        <v>138.82</v>
      </c>
      <c r="E28" s="135"/>
      <c r="F28" s="224"/>
    </row>
    <row r="29" spans="1:6">
      <c r="A29" s="75">
        <v>38660</v>
      </c>
      <c r="B29" s="76" t="str">
        <f>TiposLancamentos!B98</f>
        <v>Restituições</v>
      </c>
      <c r="C29" s="147" t="s">
        <v>24716</v>
      </c>
      <c r="D29" s="63">
        <v>49.2</v>
      </c>
      <c r="E29" s="135"/>
      <c r="F29" s="224"/>
    </row>
    <row r="30" spans="1:6">
      <c r="A30" s="75">
        <v>38668</v>
      </c>
      <c r="B30" s="76" t="str">
        <f>TiposLancamentos!B5</f>
        <v>Supermercado</v>
      </c>
      <c r="C30" s="147" t="s">
        <v>2567</v>
      </c>
      <c r="D30" s="63"/>
      <c r="E30" s="135">
        <v>69.31</v>
      </c>
      <c r="F30" s="224"/>
    </row>
    <row r="31" spans="1:6">
      <c r="A31" s="75">
        <v>38669</v>
      </c>
      <c r="B31" s="76" t="str">
        <f>TiposLancamentos!B56</f>
        <v>Farmácia</v>
      </c>
      <c r="C31" s="147" t="s">
        <v>24717</v>
      </c>
      <c r="D31" s="63"/>
      <c r="E31" s="135">
        <v>4.5</v>
      </c>
      <c r="F31" s="224"/>
    </row>
    <row r="32" spans="1:6">
      <c r="A32" s="75">
        <v>38670</v>
      </c>
      <c r="B32" s="76" t="str">
        <f>TiposLancamentos!B64</f>
        <v>Viagens</v>
      </c>
      <c r="C32" s="147" t="s">
        <v>13116</v>
      </c>
      <c r="D32" s="63"/>
      <c r="E32" s="135">
        <v>86.54</v>
      </c>
      <c r="F32" s="224"/>
    </row>
    <row r="33" spans="1:6">
      <c r="A33" s="75">
        <v>38670</v>
      </c>
      <c r="B33" s="76" t="str">
        <f>TiposLancamentos!B64</f>
        <v>Viagens</v>
      </c>
      <c r="C33" s="147" t="s">
        <v>13117</v>
      </c>
      <c r="D33" s="63"/>
      <c r="E33" s="135">
        <v>97.87</v>
      </c>
      <c r="F33" s="224"/>
    </row>
    <row r="34" spans="1:6">
      <c r="A34" s="75">
        <v>38670</v>
      </c>
      <c r="B34" s="76" t="str">
        <f>TiposLancamentos!B64</f>
        <v>Viagens</v>
      </c>
      <c r="C34" s="147" t="s">
        <v>24718</v>
      </c>
      <c r="D34" s="63"/>
      <c r="E34" s="135">
        <v>56.22</v>
      </c>
      <c r="F34" s="224"/>
    </row>
    <row r="35" spans="1:6">
      <c r="A35" s="75">
        <v>38670</v>
      </c>
      <c r="B35" s="76" t="str">
        <f>TiposLancamentos!B56</f>
        <v>Farmácia</v>
      </c>
      <c r="C35" s="147"/>
      <c r="D35" s="63"/>
      <c r="E35" s="135">
        <v>7.2</v>
      </c>
      <c r="F35" s="224"/>
    </row>
    <row r="36" spans="1:6">
      <c r="A36" s="75">
        <v>38671</v>
      </c>
      <c r="B36" s="76" t="str">
        <f>TiposLancamentos!B5</f>
        <v>Supermercado</v>
      </c>
      <c r="C36" s="147" t="s">
        <v>2567</v>
      </c>
      <c r="D36" s="63"/>
      <c r="E36" s="135">
        <v>26.67</v>
      </c>
      <c r="F36" s="224"/>
    </row>
    <row r="37" spans="1:6">
      <c r="A37" s="75">
        <v>38673</v>
      </c>
      <c r="B37" s="76" t="str">
        <f>TiposLancamentos!B19</f>
        <v>Restaurantes</v>
      </c>
      <c r="C37" s="147" t="s">
        <v>2640</v>
      </c>
      <c r="D37" s="63"/>
      <c r="E37" s="135">
        <v>18.3</v>
      </c>
      <c r="F37" s="224"/>
    </row>
    <row r="38" spans="1:6">
      <c r="A38" s="75">
        <v>38675</v>
      </c>
      <c r="B38" s="76" t="str">
        <f>TiposLancamentos!B5</f>
        <v>Supermercado</v>
      </c>
      <c r="C38" s="147" t="s">
        <v>2567</v>
      </c>
      <c r="D38" s="63"/>
      <c r="E38" s="135">
        <v>48.82</v>
      </c>
      <c r="F38" s="224"/>
    </row>
    <row r="39" spans="1:6">
      <c r="A39" s="75">
        <v>38677</v>
      </c>
      <c r="B39" s="76" t="str">
        <f>TiposLancamentos!B5</f>
        <v>Supermercado</v>
      </c>
      <c r="C39" s="147" t="s">
        <v>2567</v>
      </c>
      <c r="D39" s="63"/>
      <c r="E39" s="135">
        <v>43</v>
      </c>
      <c r="F39" s="224"/>
    </row>
    <row r="40" spans="1:6">
      <c r="A40" s="83"/>
      <c r="B40" s="37"/>
      <c r="C40" s="1449" t="s">
        <v>4901</v>
      </c>
      <c r="D40" s="93"/>
      <c r="E40" s="44"/>
      <c r="F40" s="223">
        <f>SUM(E26:E39)</f>
        <v>473.33000000000004</v>
      </c>
    </row>
    <row r="41" spans="1:6">
      <c r="A41" s="75">
        <v>38687</v>
      </c>
      <c r="B41" s="76" t="str">
        <f>TiposLancamentos!B15</f>
        <v>Cartões de Crédito</v>
      </c>
      <c r="C41" s="147" t="s">
        <v>14126</v>
      </c>
      <c r="D41" s="63">
        <v>985</v>
      </c>
      <c r="E41" s="49"/>
      <c r="F41" s="224"/>
    </row>
    <row r="42" spans="1:6">
      <c r="A42" s="75">
        <v>38688</v>
      </c>
      <c r="B42" s="76" t="str">
        <f>TiposLancamentos!B45</f>
        <v>Online Services</v>
      </c>
      <c r="C42" s="147" t="s">
        <v>15207</v>
      </c>
      <c r="D42" s="63"/>
      <c r="E42" s="135">
        <v>14.9</v>
      </c>
      <c r="F42" s="224"/>
    </row>
    <row r="43" spans="1:6">
      <c r="A43" s="75">
        <v>38698</v>
      </c>
      <c r="B43" s="76" t="str">
        <f>TiposLancamentos!B64</f>
        <v>Viagens</v>
      </c>
      <c r="C43" s="147" t="s">
        <v>24719</v>
      </c>
      <c r="D43" s="63"/>
      <c r="E43" s="135">
        <f>301.62/3</f>
        <v>100.54</v>
      </c>
      <c r="F43" s="224"/>
    </row>
    <row r="44" spans="1:6">
      <c r="A44" s="75">
        <v>38700</v>
      </c>
      <c r="B44" s="76" t="str">
        <f>TiposLancamentos!B64</f>
        <v>Viagens</v>
      </c>
      <c r="C44" s="147" t="s">
        <v>13132</v>
      </c>
      <c r="D44" s="63"/>
      <c r="E44" s="49">
        <v>86.54</v>
      </c>
      <c r="F44" s="224"/>
    </row>
    <row r="45" spans="1:6">
      <c r="A45" s="75">
        <v>38700</v>
      </c>
      <c r="B45" s="76" t="str">
        <f>TiposLancamentos!B64</f>
        <v>Viagens</v>
      </c>
      <c r="C45" s="147" t="s">
        <v>13133</v>
      </c>
      <c r="D45" s="63"/>
      <c r="E45" s="49">
        <v>97.87</v>
      </c>
      <c r="F45" s="224"/>
    </row>
    <row r="46" spans="1:6">
      <c r="A46" s="75"/>
      <c r="B46" s="76"/>
      <c r="C46" s="147"/>
      <c r="D46" s="63"/>
      <c r="E46" s="135"/>
      <c r="F46" s="224"/>
    </row>
    <row r="47" spans="1:6">
      <c r="A47" s="75">
        <v>38707</v>
      </c>
      <c r="B47" s="76" t="str">
        <f>TiposLancamentos!B64</f>
        <v>Viagens</v>
      </c>
      <c r="C47" s="147" t="s">
        <v>24720</v>
      </c>
      <c r="D47" s="63"/>
      <c r="E47" s="135">
        <v>34.729999999999997</v>
      </c>
      <c r="F47" s="224"/>
    </row>
    <row r="48" spans="1:6">
      <c r="A48" s="75">
        <v>38708</v>
      </c>
      <c r="B48" s="76" t="str">
        <f>TiposLancamentos!B4</f>
        <v>Taxas Bancarias</v>
      </c>
      <c r="C48" s="147" t="s">
        <v>14738</v>
      </c>
      <c r="D48" s="63"/>
      <c r="E48" s="135">
        <v>21.85</v>
      </c>
      <c r="F48" s="224"/>
    </row>
    <row r="49" spans="1:6">
      <c r="A49" s="83"/>
      <c r="B49" s="37"/>
      <c r="C49" s="1449" t="s">
        <v>4943</v>
      </c>
      <c r="D49" s="93"/>
      <c r="E49" s="309"/>
      <c r="F49" s="223">
        <f>SUM(E42:E48)</f>
        <v>356.43000000000006</v>
      </c>
    </row>
    <row r="50" spans="1:6">
      <c r="A50" s="75">
        <v>38719</v>
      </c>
      <c r="B50" s="76" t="str">
        <f>TiposLancamentos!B15</f>
        <v>Cartões de Crédito</v>
      </c>
      <c r="C50" s="147" t="s">
        <v>24721</v>
      </c>
      <c r="D50" s="63">
        <f>ItaU!E272</f>
        <v>496.91</v>
      </c>
      <c r="E50" s="135"/>
      <c r="F50" s="224"/>
    </row>
    <row r="51" spans="1:6">
      <c r="A51" s="75">
        <v>38729</v>
      </c>
      <c r="B51" s="76" t="str">
        <f>TiposLancamentos!B64</f>
        <v>Viagens</v>
      </c>
      <c r="C51" s="147" t="s">
        <v>24722</v>
      </c>
      <c r="D51" s="63"/>
      <c r="E51" s="135">
        <f>301.62/3</f>
        <v>100.54</v>
      </c>
      <c r="F51" s="224"/>
    </row>
    <row r="52" spans="1:6">
      <c r="A52" s="611">
        <v>38737</v>
      </c>
      <c r="B52" s="612" t="str">
        <f>TiposLancamentos!B15</f>
        <v>Cartões de Crédito</v>
      </c>
      <c r="C52" s="613" t="s">
        <v>15776</v>
      </c>
      <c r="D52" s="63">
        <v>0</v>
      </c>
      <c r="E52" s="135">
        <v>0</v>
      </c>
      <c r="F52" s="224"/>
    </row>
    <row r="53" spans="1:6">
      <c r="A53" s="79">
        <v>38738</v>
      </c>
      <c r="B53" s="80" t="str">
        <f>TiposLancamentos!B64</f>
        <v>Viagens</v>
      </c>
      <c r="C53" s="229" t="s">
        <v>24723</v>
      </c>
      <c r="D53" s="85"/>
      <c r="E53" s="407">
        <v>34.729999999999997</v>
      </c>
      <c r="F53" s="177"/>
    </row>
    <row r="54" spans="1:6">
      <c r="A54" s="83"/>
      <c r="B54" s="37"/>
      <c r="C54" s="1449" t="s">
        <v>24724</v>
      </c>
      <c r="D54" s="93"/>
      <c r="E54" s="309"/>
      <c r="F54" s="223">
        <f>SUM(E49:E53)</f>
        <v>135.27000000000001</v>
      </c>
    </row>
    <row r="55" spans="1:6">
      <c r="A55" s="75">
        <v>38750</v>
      </c>
      <c r="B55" s="76" t="str">
        <f>TiposLancamentos!B15</f>
        <v>Cartões de Crédito</v>
      </c>
      <c r="C55" s="147" t="s">
        <v>4871</v>
      </c>
      <c r="D55" s="63">
        <v>135.27000000000001</v>
      </c>
      <c r="E55" s="135"/>
      <c r="F55" s="224"/>
    </row>
    <row r="56" spans="1:6">
      <c r="A56" s="75">
        <v>38750</v>
      </c>
      <c r="B56" s="76" t="str">
        <f>TiposLancamentos!B78</f>
        <v>Diferenças</v>
      </c>
      <c r="C56" s="147" t="s">
        <v>2763</v>
      </c>
      <c r="D56" s="63"/>
      <c r="E56" s="135">
        <v>53.49</v>
      </c>
      <c r="F56" s="224"/>
    </row>
    <row r="57" spans="1:6">
      <c r="A57" s="79">
        <v>38760</v>
      </c>
      <c r="B57" s="80" t="str">
        <f>TiposLancamentos!B64</f>
        <v>Viagens</v>
      </c>
      <c r="C57" s="229" t="s">
        <v>24725</v>
      </c>
      <c r="D57" s="85"/>
      <c r="E57" s="407">
        <f>301.62/3</f>
        <v>100.54</v>
      </c>
      <c r="F57" s="177"/>
    </row>
    <row r="58" spans="1:6">
      <c r="A58" s="75"/>
      <c r="B58" s="76"/>
      <c r="C58" s="1203" t="s">
        <v>24726</v>
      </c>
      <c r="D58" s="63"/>
      <c r="E58" s="135"/>
      <c r="F58" s="224">
        <f>SUM(E57)</f>
        <v>100.54</v>
      </c>
    </row>
    <row r="59" spans="1:6">
      <c r="A59" s="75">
        <v>38778</v>
      </c>
      <c r="B59" s="76" t="str">
        <f>TiposLancamentos!B15</f>
        <v>Cartões de Crédito</v>
      </c>
      <c r="C59" s="52" t="s">
        <v>24721</v>
      </c>
      <c r="D59" s="63">
        <v>100.54</v>
      </c>
      <c r="E59" s="135"/>
      <c r="F59" s="224"/>
    </row>
    <row r="60" spans="1:6">
      <c r="A60" s="75"/>
      <c r="B60" s="76"/>
      <c r="C60" s="52"/>
      <c r="D60" s="63"/>
      <c r="E60" s="135"/>
      <c r="F60" s="224"/>
    </row>
    <row r="61" spans="1:6">
      <c r="A61" s="75"/>
      <c r="B61" s="76"/>
      <c r="C61" s="52"/>
      <c r="D61" s="63"/>
      <c r="E61" s="135"/>
      <c r="F61" s="224"/>
    </row>
    <row r="62" spans="1:6">
      <c r="A62" s="75"/>
      <c r="B62" s="76"/>
      <c r="C62" s="52"/>
      <c r="D62" s="63"/>
      <c r="E62" s="135"/>
      <c r="F62" s="177"/>
    </row>
    <row r="63" spans="1:6">
      <c r="A63" s="464"/>
      <c r="B63" s="465"/>
      <c r="C63" s="476" t="s">
        <v>12</v>
      </c>
      <c r="D63" s="426">
        <f>SUM(D3:D59)</f>
        <v>1905.75</v>
      </c>
      <c r="E63" s="591">
        <f>SUM(E2:E60)</f>
        <v>1905.7499999999998</v>
      </c>
      <c r="F63" s="62"/>
    </row>
    <row r="64" spans="1:6">
      <c r="A64" s="119"/>
      <c r="B64" s="80"/>
      <c r="C64" s="229" t="s">
        <v>13</v>
      </c>
      <c r="D64" s="177"/>
      <c r="E64" s="614">
        <f>D63-E63</f>
        <v>0</v>
      </c>
      <c r="F64" s="177"/>
    </row>
    <row r="65" spans="1:6">
      <c r="A65" s="65"/>
      <c r="B65" s="65"/>
    </row>
    <row r="66" spans="1:6">
      <c r="B66" s="3" t="s">
        <v>24727</v>
      </c>
      <c r="C66" s="23" t="s">
        <v>24728</v>
      </c>
      <c r="D66" s="25" t="s">
        <v>14</v>
      </c>
      <c r="E66" s="303" t="s">
        <v>15</v>
      </c>
      <c r="F66" s="25" t="s">
        <v>16</v>
      </c>
    </row>
    <row r="67" spans="1:6">
      <c r="B67" s="77" t="s">
        <v>1190</v>
      </c>
      <c r="C67" s="1450" t="s">
        <v>24729</v>
      </c>
      <c r="D67" s="60">
        <v>2000</v>
      </c>
      <c r="E67" s="34">
        <f>E64</f>
        <v>0</v>
      </c>
      <c r="F67" s="62">
        <f>D67+E67</f>
        <v>2000</v>
      </c>
    </row>
    <row r="68" spans="1:6">
      <c r="B68" s="77" t="s">
        <v>1403</v>
      </c>
      <c r="C68" s="77" t="s">
        <v>24730</v>
      </c>
      <c r="D68" s="77"/>
      <c r="E68" s="77"/>
      <c r="F68" s="77"/>
    </row>
    <row r="69" spans="1:6">
      <c r="B69" s="77" t="s">
        <v>24731</v>
      </c>
      <c r="C69" s="77" t="s">
        <v>24732</v>
      </c>
    </row>
    <row r="70" spans="1:6">
      <c r="B70" s="77" t="s">
        <v>17</v>
      </c>
      <c r="C70" s="36">
        <f>F58</f>
        <v>100.54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48C4-2C0A-4874-BB0E-F15873E87558}">
  <sheetPr codeName="Planilha33">
    <tabColor theme="3"/>
  </sheetPr>
  <dimension ref="A1"/>
  <sheetViews>
    <sheetView workbookViewId="0">
      <selection activeCell="P31" sqref="P31"/>
    </sheetView>
  </sheetViews>
  <sheetFormatPr defaultRowHeight="12.75"/>
  <sheetData/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Plan52"/>
  <dimension ref="B2:G32"/>
  <sheetViews>
    <sheetView workbookViewId="0">
      <pane ySplit="2" topLeftCell="A12" activePane="bottomLeft" state="frozen"/>
      <selection pane="bottomLeft" activeCell="H32" sqref="H32"/>
    </sheetView>
  </sheetViews>
  <sheetFormatPr defaultColWidth="9" defaultRowHeight="13.5"/>
  <cols>
    <col min="1" max="1" width="3.7109375" style="3" customWidth="1"/>
    <col min="2" max="2" width="17.5703125" style="3" customWidth="1"/>
    <col min="3" max="3" width="56.5703125" style="3" customWidth="1"/>
    <col min="4" max="4" width="9.42578125" style="3" customWidth="1"/>
    <col min="5" max="5" width="15.140625" style="3" customWidth="1"/>
    <col min="6" max="6" width="9" style="3"/>
    <col min="7" max="7" width="12.140625" style="3" customWidth="1"/>
    <col min="8" max="8" width="10" style="3" customWidth="1"/>
    <col min="9" max="16384" width="9" style="3"/>
  </cols>
  <sheetData>
    <row r="2" spans="2:7">
      <c r="B2" s="37" t="s">
        <v>0</v>
      </c>
      <c r="C2" s="461" t="s">
        <v>1394</v>
      </c>
      <c r="D2" s="179" t="s">
        <v>3</v>
      </c>
      <c r="E2" s="180" t="s">
        <v>4</v>
      </c>
      <c r="F2" s="181" t="s">
        <v>12664</v>
      </c>
      <c r="G2" s="41"/>
    </row>
    <row r="3" spans="2:7">
      <c r="B3" s="83"/>
      <c r="C3" s="43" t="s">
        <v>24733</v>
      </c>
      <c r="D3" s="615"/>
      <c r="E3" s="44"/>
      <c r="F3" s="334"/>
      <c r="G3" s="45">
        <f>IF(F3="X",0,E3)</f>
        <v>0</v>
      </c>
    </row>
    <row r="4" spans="2:7">
      <c r="B4" s="75">
        <v>37796</v>
      </c>
      <c r="C4" s="3" t="s">
        <v>12868</v>
      </c>
      <c r="D4" s="89"/>
      <c r="E4" s="49">
        <v>36.56</v>
      </c>
      <c r="F4" s="337" t="s">
        <v>120</v>
      </c>
      <c r="G4" s="50">
        <f>IF(F4="X",0,E4)</f>
        <v>0</v>
      </c>
    </row>
    <row r="5" spans="2:7">
      <c r="B5" s="75">
        <v>37802</v>
      </c>
      <c r="C5" s="52" t="s">
        <v>14277</v>
      </c>
      <c r="D5" s="616"/>
      <c r="E5" s="49">
        <v>65</v>
      </c>
      <c r="F5" s="337" t="s">
        <v>120</v>
      </c>
      <c r="G5" s="50">
        <f>IF(F5="X",0,E5)</f>
        <v>0</v>
      </c>
    </row>
    <row r="6" spans="2:7">
      <c r="B6" s="83"/>
      <c r="C6" s="43" t="s">
        <v>12869</v>
      </c>
      <c r="D6" s="615"/>
      <c r="E6" s="44"/>
      <c r="F6" s="334"/>
      <c r="G6" s="45"/>
    </row>
    <row r="7" spans="2:7">
      <c r="B7" s="75">
        <v>37826</v>
      </c>
      <c r="C7" s="3" t="s">
        <v>12872</v>
      </c>
      <c r="D7" s="89"/>
      <c r="E7" s="49">
        <v>36.56</v>
      </c>
      <c r="F7" s="337" t="s">
        <v>9</v>
      </c>
      <c r="G7" s="50" t="e">
        <f>#N/A</f>
        <v>#N/A</v>
      </c>
    </row>
    <row r="8" spans="2:7">
      <c r="B8" s="75">
        <v>37828</v>
      </c>
      <c r="C8" s="3" t="s">
        <v>24734</v>
      </c>
      <c r="D8" s="617"/>
      <c r="E8" s="49">
        <v>133.6</v>
      </c>
      <c r="F8" s="337" t="s">
        <v>9</v>
      </c>
      <c r="G8" s="50" t="e">
        <f>#N/A</f>
        <v>#N/A</v>
      </c>
    </row>
    <row r="9" spans="2:7">
      <c r="B9" s="83"/>
      <c r="C9" s="92" t="s">
        <v>24735</v>
      </c>
      <c r="D9" s="615"/>
      <c r="E9" s="44"/>
      <c r="F9" s="334"/>
      <c r="G9" s="45" t="e">
        <f>#N/A</f>
        <v>#N/A</v>
      </c>
    </row>
    <row r="10" spans="2:7">
      <c r="B10" s="79">
        <v>37836</v>
      </c>
      <c r="C10" s="96" t="s">
        <v>24736</v>
      </c>
      <c r="D10" s="618"/>
      <c r="E10" s="58">
        <v>49.07</v>
      </c>
      <c r="F10" s="455" t="s">
        <v>9</v>
      </c>
      <c r="G10" s="183" t="e">
        <f>#N/A</f>
        <v>#N/A</v>
      </c>
    </row>
    <row r="11" spans="2:7">
      <c r="B11" s="83"/>
      <c r="C11" s="92" t="s">
        <v>14359</v>
      </c>
      <c r="D11" s="615"/>
      <c r="E11" s="44"/>
      <c r="F11" s="334"/>
      <c r="G11" s="45" t="e">
        <f>#N/A</f>
        <v>#N/A</v>
      </c>
    </row>
    <row r="12" spans="2:7">
      <c r="B12" s="75">
        <v>38036</v>
      </c>
      <c r="C12" s="3" t="s">
        <v>14380</v>
      </c>
      <c r="D12" s="616"/>
      <c r="E12" s="49">
        <v>80</v>
      </c>
      <c r="F12" s="337" t="s">
        <v>120</v>
      </c>
      <c r="G12" s="50" t="e">
        <f>#N/A</f>
        <v>#N/A</v>
      </c>
    </row>
    <row r="13" spans="2:7">
      <c r="B13" s="75">
        <v>38042</v>
      </c>
      <c r="C13" s="3" t="s">
        <v>14383</v>
      </c>
      <c r="D13" s="616"/>
      <c r="E13" s="49">
        <v>70</v>
      </c>
      <c r="F13" s="337" t="s">
        <v>120</v>
      </c>
      <c r="G13" s="50" t="e">
        <f>#N/A</f>
        <v>#N/A</v>
      </c>
    </row>
    <row r="14" spans="2:7">
      <c r="B14" s="83"/>
      <c r="C14" s="92" t="s">
        <v>12913</v>
      </c>
      <c r="D14" s="74"/>
      <c r="E14" s="44"/>
      <c r="F14" s="334"/>
      <c r="G14" s="45" t="e">
        <f>#N/A</f>
        <v>#N/A</v>
      </c>
    </row>
    <row r="15" spans="2:7">
      <c r="B15" s="79">
        <v>38194</v>
      </c>
      <c r="C15" s="96" t="s">
        <v>24737</v>
      </c>
      <c r="D15" s="82"/>
      <c r="E15" s="58">
        <v>40.15</v>
      </c>
      <c r="F15" s="455" t="s">
        <v>120</v>
      </c>
      <c r="G15" s="183" t="e">
        <f>#N/A</f>
        <v>#N/A</v>
      </c>
    </row>
    <row r="16" spans="2:7">
      <c r="B16" s="83"/>
      <c r="C16" s="92" t="s">
        <v>2600</v>
      </c>
      <c r="D16" s="74"/>
      <c r="E16" s="44"/>
      <c r="F16" s="334"/>
      <c r="G16" s="45" t="e">
        <f>#N/A</f>
        <v>#N/A</v>
      </c>
    </row>
    <row r="17" spans="2:7">
      <c r="B17" s="79">
        <v>38245</v>
      </c>
      <c r="C17" s="96" t="s">
        <v>24738</v>
      </c>
      <c r="D17" s="82"/>
      <c r="E17" s="58">
        <v>767</v>
      </c>
      <c r="F17" s="455" t="s">
        <v>120</v>
      </c>
      <c r="G17" s="183" t="e">
        <f>#N/A</f>
        <v>#N/A</v>
      </c>
    </row>
    <row r="18" spans="2:7">
      <c r="B18" s="83"/>
      <c r="C18" s="92" t="s">
        <v>2704</v>
      </c>
      <c r="D18" s="74"/>
      <c r="E18" s="44"/>
      <c r="F18" s="334"/>
      <c r="G18" s="45"/>
    </row>
    <row r="19" spans="2:7">
      <c r="B19" s="75">
        <v>38320</v>
      </c>
      <c r="C19" s="3" t="s">
        <v>12955</v>
      </c>
      <c r="D19" s="78"/>
      <c r="E19" s="49">
        <v>130.6</v>
      </c>
      <c r="F19" s="337" t="s">
        <v>9</v>
      </c>
      <c r="G19" s="50">
        <f>IF(F19="X",0,E19)</f>
        <v>0</v>
      </c>
    </row>
    <row r="20" spans="2:7">
      <c r="B20" s="75">
        <v>38321</v>
      </c>
      <c r="C20" s="3" t="s">
        <v>14485</v>
      </c>
      <c r="D20" s="78"/>
      <c r="E20" s="49">
        <v>66</v>
      </c>
      <c r="F20" s="337" t="s">
        <v>9</v>
      </c>
      <c r="G20" s="50">
        <f>IF(F20="X",0,E20)</f>
        <v>0</v>
      </c>
    </row>
    <row r="21" spans="2:7">
      <c r="B21" s="79">
        <v>38321</v>
      </c>
      <c r="C21" s="96" t="s">
        <v>12957</v>
      </c>
      <c r="D21" s="82"/>
      <c r="E21" s="58">
        <v>50</v>
      </c>
      <c r="F21" s="455" t="s">
        <v>9</v>
      </c>
      <c r="G21" s="183">
        <f>IF(F21="X",0,E21)</f>
        <v>0</v>
      </c>
    </row>
    <row r="22" spans="2:7">
      <c r="B22" s="83"/>
      <c r="C22" s="92" t="s">
        <v>2728</v>
      </c>
      <c r="D22" s="93"/>
      <c r="E22" s="309"/>
      <c r="F22" s="37"/>
      <c r="G22" s="619"/>
    </row>
    <row r="23" spans="2:7">
      <c r="B23" s="75">
        <v>38336</v>
      </c>
      <c r="C23" s="3" t="s">
        <v>12972</v>
      </c>
      <c r="D23" s="63"/>
      <c r="E23" s="135">
        <v>124.7</v>
      </c>
      <c r="F23" s="76" t="s">
        <v>9</v>
      </c>
      <c r="G23" s="620">
        <f>IF(F23="X",0,E23)</f>
        <v>0</v>
      </c>
    </row>
    <row r="24" spans="2:7">
      <c r="B24" s="79">
        <v>38341</v>
      </c>
      <c r="C24" s="96" t="s">
        <v>12973</v>
      </c>
      <c r="D24" s="85"/>
      <c r="E24" s="407">
        <v>75</v>
      </c>
      <c r="F24" s="80" t="s">
        <v>9</v>
      </c>
      <c r="G24" s="621">
        <f>IF(F24="X",0,E24)</f>
        <v>0</v>
      </c>
    </row>
    <row r="25" spans="2:7">
      <c r="B25" s="83"/>
      <c r="C25" s="92" t="s">
        <v>2764</v>
      </c>
      <c r="D25" s="93"/>
      <c r="E25" s="309"/>
      <c r="F25" s="37"/>
      <c r="G25" s="619"/>
    </row>
    <row r="26" spans="2:7">
      <c r="B26" s="79">
        <v>38370</v>
      </c>
      <c r="C26" s="96" t="s">
        <v>24739</v>
      </c>
      <c r="D26" s="85"/>
      <c r="E26" s="407">
        <v>94</v>
      </c>
      <c r="F26" s="80" t="s">
        <v>9</v>
      </c>
      <c r="G26" s="621">
        <f>IF(F26="X",0,E26)</f>
        <v>0</v>
      </c>
    </row>
    <row r="27" spans="2:7">
      <c r="B27" s="83"/>
      <c r="C27" s="92" t="s">
        <v>14519</v>
      </c>
      <c r="D27" s="93"/>
      <c r="E27" s="309"/>
      <c r="F27" s="37"/>
      <c r="G27" s="619">
        <f>IF(F27="X",0,E27)</f>
        <v>0</v>
      </c>
    </row>
    <row r="28" spans="2:7">
      <c r="B28" s="75">
        <v>38511</v>
      </c>
      <c r="C28" s="3" t="s">
        <v>14523</v>
      </c>
      <c r="D28" s="63"/>
      <c r="E28" s="135">
        <v>66.400000000000006</v>
      </c>
      <c r="F28" s="76" t="s">
        <v>120</v>
      </c>
      <c r="G28" s="620">
        <f>IF(F28="X",0,E28)</f>
        <v>0</v>
      </c>
    </row>
    <row r="29" spans="2:7">
      <c r="B29" s="79">
        <v>38519</v>
      </c>
      <c r="C29" s="477" t="s">
        <v>14527</v>
      </c>
      <c r="D29" s="85"/>
      <c r="E29" s="407">
        <v>53.25</v>
      </c>
      <c r="F29" s="80" t="s">
        <v>9</v>
      </c>
      <c r="G29" s="621">
        <f>IF(F29="X",0,E29)</f>
        <v>0</v>
      </c>
    </row>
    <row r="30" spans="2:7">
      <c r="B30" s="83"/>
      <c r="C30" s="43" t="s">
        <v>2882</v>
      </c>
      <c r="D30" s="93"/>
      <c r="E30" s="309"/>
      <c r="F30" s="37"/>
      <c r="G30" s="619"/>
    </row>
    <row r="31" spans="2:7">
      <c r="B31" s="79">
        <v>38571</v>
      </c>
      <c r="C31" s="477" t="s">
        <v>14538</v>
      </c>
      <c r="D31" s="85"/>
      <c r="E31" s="407">
        <v>120</v>
      </c>
      <c r="F31" s="80" t="s">
        <v>9</v>
      </c>
      <c r="G31" s="621">
        <f>IF(F31="X",0,E31)</f>
        <v>0</v>
      </c>
    </row>
    <row r="32" spans="2:7">
      <c r="B32" s="46"/>
      <c r="C32" s="117" t="s">
        <v>12</v>
      </c>
      <c r="D32" s="185">
        <f>SUM(D14:D31)</f>
        <v>0</v>
      </c>
      <c r="E32" s="118">
        <f>SUM(E3:E31)</f>
        <v>2057.8900000000003</v>
      </c>
      <c r="F32" s="76"/>
      <c r="G32" s="98"/>
    </row>
  </sheetData>
  <sheetProtection selectLockedCells="1" selectUnlockedCells="1"/>
  <pageMargins left="0.78749999999999998" right="0.78749999999999998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Plan59"/>
  <dimension ref="B2:H25"/>
  <sheetViews>
    <sheetView workbookViewId="0">
      <pane xSplit="7" ySplit="2" topLeftCell="H3" activePane="bottomRight" state="frozen"/>
      <selection pane="bottomRight" activeCell="H1" sqref="H1"/>
      <selection pane="bottomLeft" activeCell="A3" sqref="A3"/>
      <selection pane="topRight" activeCell="H1" sqref="H1"/>
    </sheetView>
  </sheetViews>
  <sheetFormatPr defaultColWidth="9.140625" defaultRowHeight="13.5"/>
  <cols>
    <col min="1" max="1" width="9" style="3" customWidth="1"/>
    <col min="2" max="2" width="17.85546875" style="3" customWidth="1"/>
    <col min="3" max="3" width="51.140625" style="3" customWidth="1"/>
    <col min="4" max="4" width="9.42578125" style="3" customWidth="1"/>
    <col min="5" max="5" width="15" style="3" customWidth="1"/>
    <col min="6" max="6" width="9" style="3" customWidth="1"/>
    <col min="7" max="7" width="12.140625" style="3" customWidth="1"/>
    <col min="8" max="16384" width="9.140625" style="3"/>
  </cols>
  <sheetData>
    <row r="2" spans="2:7">
      <c r="B2" s="37" t="s">
        <v>0</v>
      </c>
      <c r="C2" s="461" t="s">
        <v>1394</v>
      </c>
      <c r="D2" s="179" t="s">
        <v>3</v>
      </c>
      <c r="E2" s="180" t="s">
        <v>4</v>
      </c>
      <c r="F2" s="181" t="s">
        <v>12664</v>
      </c>
      <c r="G2" s="41"/>
    </row>
    <row r="3" spans="2:7">
      <c r="B3" s="83"/>
      <c r="C3" s="38" t="s">
        <v>12942</v>
      </c>
      <c r="D3" s="53"/>
      <c r="E3" s="44"/>
      <c r="F3" s="334"/>
      <c r="G3" s="45">
        <f>IF(F3="X",0,E3)</f>
        <v>0</v>
      </c>
    </row>
    <row r="4" spans="2:7">
      <c r="B4" s="75">
        <v>38305</v>
      </c>
      <c r="C4" s="126" t="s">
        <v>12947</v>
      </c>
      <c r="D4" s="51"/>
      <c r="E4" s="49">
        <v>347.93</v>
      </c>
      <c r="F4" s="337" t="s">
        <v>9</v>
      </c>
      <c r="G4" s="50">
        <f>IF(F4="X",0,E4)</f>
        <v>0</v>
      </c>
    </row>
    <row r="5" spans="2:7">
      <c r="B5" s="75">
        <v>38306</v>
      </c>
      <c r="C5" s="126" t="s">
        <v>14949</v>
      </c>
      <c r="D5" s="51"/>
      <c r="E5" s="49">
        <v>280</v>
      </c>
      <c r="F5" s="337" t="s">
        <v>9</v>
      </c>
      <c r="G5" s="50">
        <f>IF(F5="X",0,E5)</f>
        <v>0</v>
      </c>
    </row>
    <row r="6" spans="2:7">
      <c r="B6" s="75">
        <v>38307</v>
      </c>
      <c r="C6" s="126" t="s">
        <v>14950</v>
      </c>
      <c r="D6" s="51"/>
      <c r="E6" s="49">
        <v>766</v>
      </c>
      <c r="F6" s="337" t="s">
        <v>9</v>
      </c>
      <c r="G6" s="50">
        <f>IF(F6="X",0,E6)</f>
        <v>0</v>
      </c>
    </row>
    <row r="7" spans="2:7">
      <c r="B7" s="83"/>
      <c r="C7" s="38" t="s">
        <v>12958</v>
      </c>
      <c r="D7" s="53"/>
      <c r="E7" s="44"/>
      <c r="F7" s="334"/>
      <c r="G7" s="45"/>
    </row>
    <row r="8" spans="2:7">
      <c r="B8" s="75">
        <v>38334</v>
      </c>
      <c r="C8" s="126" t="s">
        <v>12963</v>
      </c>
      <c r="D8" s="55"/>
      <c r="E8" s="49">
        <v>143.85</v>
      </c>
      <c r="F8" s="337" t="s">
        <v>9</v>
      </c>
      <c r="G8" s="50">
        <f>IF(F8="X",0,E8)</f>
        <v>0</v>
      </c>
    </row>
    <row r="9" spans="2:7">
      <c r="B9" s="75">
        <v>38335</v>
      </c>
      <c r="C9" s="126" t="s">
        <v>24740</v>
      </c>
      <c r="D9" s="55"/>
      <c r="E9" s="49"/>
      <c r="F9" s="337"/>
      <c r="G9" s="50">
        <f>IF(F9="X",0,E9)</f>
        <v>0</v>
      </c>
    </row>
    <row r="10" spans="2:7">
      <c r="B10" s="75">
        <v>38335</v>
      </c>
      <c r="C10" s="126" t="s">
        <v>12964</v>
      </c>
      <c r="D10" s="51"/>
      <c r="E10" s="49">
        <v>347.93</v>
      </c>
      <c r="F10" s="337" t="s">
        <v>9</v>
      </c>
      <c r="G10" s="50">
        <f>IF(F10="X",0,E10)</f>
        <v>0</v>
      </c>
    </row>
    <row r="11" spans="2:7">
      <c r="B11" s="83"/>
      <c r="C11" s="66" t="s">
        <v>12974</v>
      </c>
      <c r="D11" s="53"/>
      <c r="E11" s="44"/>
      <c r="F11" s="334"/>
      <c r="G11" s="45"/>
    </row>
    <row r="12" spans="2:7">
      <c r="B12" s="75">
        <v>38365</v>
      </c>
      <c r="C12" s="126" t="s">
        <v>12983</v>
      </c>
      <c r="D12" s="55"/>
      <c r="E12" s="49">
        <v>143.85</v>
      </c>
      <c r="F12" s="337" t="s">
        <v>9</v>
      </c>
      <c r="G12" s="50">
        <f>IF(F12="X",0,E12)</f>
        <v>0</v>
      </c>
    </row>
    <row r="13" spans="2:7">
      <c r="B13" s="75">
        <v>38366</v>
      </c>
      <c r="C13" s="126" t="s">
        <v>12984</v>
      </c>
      <c r="D13" s="55"/>
      <c r="E13" s="49">
        <v>347.93</v>
      </c>
      <c r="F13" s="337" t="s">
        <v>9</v>
      </c>
      <c r="G13" s="50">
        <f>IF(F13="X",0,E13)</f>
        <v>0</v>
      </c>
    </row>
    <row r="14" spans="2:7">
      <c r="B14" s="83"/>
      <c r="C14" s="66" t="s">
        <v>14129</v>
      </c>
      <c r="D14" s="53"/>
      <c r="E14" s="44"/>
      <c r="F14" s="334"/>
      <c r="G14" s="45"/>
    </row>
    <row r="15" spans="2:7">
      <c r="B15" s="79">
        <v>38396</v>
      </c>
      <c r="C15" s="458" t="s">
        <v>12996</v>
      </c>
      <c r="D15" s="462"/>
      <c r="E15" s="58">
        <v>143.85</v>
      </c>
      <c r="F15" s="455" t="s">
        <v>9</v>
      </c>
      <c r="G15" s="183">
        <f>IF(F15="X",0,E15)</f>
        <v>0</v>
      </c>
    </row>
    <row r="16" spans="2:7">
      <c r="B16" s="83"/>
      <c r="C16" s="66" t="s">
        <v>2806</v>
      </c>
      <c r="D16" s="53"/>
      <c r="E16" s="44"/>
      <c r="F16" s="334"/>
      <c r="G16" s="45">
        <f>IF(F16="X",0,E16)</f>
        <v>0</v>
      </c>
    </row>
    <row r="17" spans="2:8">
      <c r="B17" s="75">
        <v>38426</v>
      </c>
      <c r="C17" s="126" t="s">
        <v>13016</v>
      </c>
      <c r="D17" s="55"/>
      <c r="E17" s="49">
        <v>53.25</v>
      </c>
      <c r="F17" s="337" t="s">
        <v>120</v>
      </c>
      <c r="G17" s="50">
        <f>IF(F17="X",0,E17)</f>
        <v>0</v>
      </c>
    </row>
    <row r="18" spans="2:8">
      <c r="B18" s="79">
        <v>38442</v>
      </c>
      <c r="C18" s="458" t="s">
        <v>13018</v>
      </c>
      <c r="D18" s="462"/>
      <c r="E18" s="58">
        <v>110</v>
      </c>
      <c r="F18" s="455" t="s">
        <v>9</v>
      </c>
      <c r="G18" s="183">
        <f>IF(F18="X",0,E18)</f>
        <v>0</v>
      </c>
    </row>
    <row r="19" spans="2:8">
      <c r="B19" s="75"/>
      <c r="C19" s="126" t="s">
        <v>2824</v>
      </c>
      <c r="D19" s="55"/>
      <c r="E19" s="49"/>
      <c r="F19" s="337"/>
      <c r="G19" s="50"/>
    </row>
    <row r="20" spans="2:8">
      <c r="B20" s="75">
        <v>38457</v>
      </c>
      <c r="C20" s="126" t="s">
        <v>13034</v>
      </c>
      <c r="D20" s="55"/>
      <c r="E20" s="49">
        <v>53.25</v>
      </c>
      <c r="F20" s="337" t="s">
        <v>9</v>
      </c>
      <c r="G20" s="50">
        <f>IF(F20="X",0,E20)</f>
        <v>0</v>
      </c>
    </row>
    <row r="21" spans="2:8">
      <c r="B21" s="75">
        <v>38458</v>
      </c>
      <c r="C21" s="126" t="s">
        <v>13035</v>
      </c>
      <c r="D21" s="55"/>
      <c r="E21" s="49">
        <v>190</v>
      </c>
      <c r="F21" s="337" t="s">
        <v>9</v>
      </c>
      <c r="G21" s="50">
        <f>IF(F21="X",0,E21)</f>
        <v>0</v>
      </c>
    </row>
    <row r="22" spans="2:8">
      <c r="B22" s="83"/>
      <c r="C22" s="66" t="s">
        <v>14512</v>
      </c>
      <c r="D22" s="53"/>
      <c r="E22" s="44"/>
      <c r="F22" s="334"/>
      <c r="G22" s="45"/>
      <c r="H22" s="125"/>
    </row>
    <row r="23" spans="2:8">
      <c r="B23" s="75">
        <v>38486</v>
      </c>
      <c r="C23" s="126" t="s">
        <v>15081</v>
      </c>
      <c r="D23" s="55"/>
      <c r="E23" s="49">
        <v>54</v>
      </c>
      <c r="F23" s="337" t="s">
        <v>9</v>
      </c>
      <c r="G23" s="50">
        <f>IF(F23="X",0,E23)</f>
        <v>0</v>
      </c>
    </row>
    <row r="24" spans="2:8">
      <c r="B24" s="75">
        <v>38487</v>
      </c>
      <c r="C24" s="458" t="s">
        <v>13047</v>
      </c>
      <c r="D24" s="55"/>
      <c r="E24" s="49">
        <v>53.25</v>
      </c>
      <c r="F24" s="337" t="s">
        <v>9</v>
      </c>
      <c r="G24" s="50">
        <f>IF(F24="X",0,E24)</f>
        <v>0</v>
      </c>
    </row>
    <row r="25" spans="2:8">
      <c r="B25" s="464"/>
      <c r="C25" s="184" t="s">
        <v>12</v>
      </c>
      <c r="D25" s="426">
        <f>SUM(D17:D24)</f>
        <v>0</v>
      </c>
      <c r="E25" s="186">
        <f>SUM(E3:E24)</f>
        <v>3035.0899999999997</v>
      </c>
      <c r="F25" s="465"/>
      <c r="G25" s="61"/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Plan46"/>
  <dimension ref="B2:H57"/>
  <sheetViews>
    <sheetView workbookViewId="0">
      <pane xSplit="7" ySplit="2" topLeftCell="H34" activePane="bottomRight" state="frozen"/>
      <selection pane="bottomRight" activeCell="H1" sqref="H1"/>
      <selection pane="bottomLeft" activeCell="A30" sqref="A30"/>
      <selection pane="topRight" activeCell="H1" sqref="H1"/>
    </sheetView>
  </sheetViews>
  <sheetFormatPr defaultColWidth="9" defaultRowHeight="13.5"/>
  <cols>
    <col min="1" max="1" width="4.5703125" style="3" customWidth="1"/>
    <col min="2" max="2" width="16" style="3" customWidth="1"/>
    <col min="3" max="3" width="48" style="3" customWidth="1"/>
    <col min="4" max="4" width="11.42578125" style="3" customWidth="1"/>
    <col min="5" max="5" width="14.85546875" style="3" customWidth="1"/>
    <col min="6" max="6" width="9" style="3"/>
    <col min="7" max="7" width="11.140625" style="3" customWidth="1"/>
    <col min="8" max="8" width="10" style="3" customWidth="1"/>
    <col min="9" max="16384" width="9" style="3"/>
  </cols>
  <sheetData>
    <row r="2" spans="2:8">
      <c r="B2" s="37" t="s">
        <v>0</v>
      </c>
      <c r="C2" s="461" t="s">
        <v>1394</v>
      </c>
      <c r="D2" s="179" t="s">
        <v>3</v>
      </c>
      <c r="E2" s="180" t="s">
        <v>4</v>
      </c>
      <c r="F2" s="181" t="s">
        <v>12664</v>
      </c>
      <c r="G2" s="41"/>
    </row>
    <row r="3" spans="2:8">
      <c r="B3" s="83"/>
      <c r="C3" s="43" t="s">
        <v>12732</v>
      </c>
      <c r="D3" s="53"/>
      <c r="E3" s="94"/>
      <c r="F3" s="37"/>
      <c r="G3" s="45"/>
    </row>
    <row r="4" spans="2:8">
      <c r="B4" s="75">
        <v>36988</v>
      </c>
      <c r="C4" s="52" t="s">
        <v>24741</v>
      </c>
      <c r="D4" s="428"/>
      <c r="E4" s="98">
        <v>23.3</v>
      </c>
      <c r="F4" s="76" t="s">
        <v>9</v>
      </c>
      <c r="G4" s="50">
        <f>IF(F4="X",0,E4)</f>
        <v>0</v>
      </c>
    </row>
    <row r="5" spans="2:8">
      <c r="B5" s="83"/>
      <c r="C5" s="59" t="s">
        <v>12737</v>
      </c>
      <c r="D5" s="592"/>
      <c r="E5" s="94"/>
      <c r="F5" s="593"/>
      <c r="G5" s="45"/>
      <c r="H5" s="36">
        <f>SUM(G4:G4)</f>
        <v>0</v>
      </c>
    </row>
    <row r="6" spans="2:8">
      <c r="B6" s="75">
        <v>37018</v>
      </c>
      <c r="C6" s="52" t="s">
        <v>24742</v>
      </c>
      <c r="D6" s="55"/>
      <c r="E6" s="98">
        <v>23.3</v>
      </c>
      <c r="F6" s="76" t="s">
        <v>120</v>
      </c>
      <c r="G6" s="50">
        <f>IF(F6="X",0,E6)</f>
        <v>0</v>
      </c>
    </row>
    <row r="7" spans="2:8">
      <c r="B7" s="83"/>
      <c r="C7" s="43" t="s">
        <v>24743</v>
      </c>
      <c r="D7" s="592"/>
      <c r="E7" s="94"/>
      <c r="F7" s="37"/>
      <c r="G7" s="45"/>
      <c r="H7" s="36">
        <f>SUM(G6:G6)</f>
        <v>0</v>
      </c>
    </row>
    <row r="8" spans="2:8">
      <c r="B8" s="75">
        <v>37076</v>
      </c>
      <c r="C8" s="52" t="s">
        <v>24744</v>
      </c>
      <c r="D8" s="594"/>
      <c r="E8" s="98">
        <v>139.6</v>
      </c>
      <c r="F8" s="76" t="s">
        <v>120</v>
      </c>
      <c r="G8" s="50">
        <f>IF(F8="X",0,E8)</f>
        <v>0</v>
      </c>
    </row>
    <row r="9" spans="2:8">
      <c r="B9" s="83"/>
      <c r="C9" s="43" t="s">
        <v>15953</v>
      </c>
      <c r="D9" s="592"/>
      <c r="E9" s="94"/>
      <c r="F9" s="37"/>
      <c r="G9" s="45">
        <f>IF(F9="X",0,E9)</f>
        <v>0</v>
      </c>
    </row>
    <row r="10" spans="2:8">
      <c r="B10" s="79">
        <v>37132</v>
      </c>
      <c r="C10" s="96" t="s">
        <v>15960</v>
      </c>
      <c r="D10" s="57"/>
      <c r="E10" s="97">
        <v>53.5</v>
      </c>
      <c r="F10" s="80" t="s">
        <v>120</v>
      </c>
      <c r="G10" s="183">
        <f>IF(F10="X",0,E10)</f>
        <v>0</v>
      </c>
    </row>
    <row r="11" spans="2:8">
      <c r="B11" s="75"/>
      <c r="C11" s="52" t="s">
        <v>12752</v>
      </c>
      <c r="D11" s="51"/>
      <c r="E11" s="98"/>
      <c r="F11" s="76"/>
      <c r="G11" s="50"/>
    </row>
    <row r="12" spans="2:8">
      <c r="B12" s="75">
        <v>37148</v>
      </c>
      <c r="C12" s="52" t="s">
        <v>12753</v>
      </c>
      <c r="D12" s="51"/>
      <c r="E12" s="98">
        <v>50</v>
      </c>
      <c r="F12" s="76" t="s">
        <v>120</v>
      </c>
      <c r="G12" s="50">
        <f>IF(F12="X",0,E12)</f>
        <v>0</v>
      </c>
      <c r="H12" s="36">
        <f>SUM(G9:G10)</f>
        <v>0</v>
      </c>
    </row>
    <row r="13" spans="2:8">
      <c r="B13" s="75">
        <v>37163</v>
      </c>
      <c r="C13" s="3" t="s">
        <v>15969</v>
      </c>
      <c r="D13" s="51"/>
      <c r="E13" s="98">
        <v>53.5</v>
      </c>
      <c r="F13" s="76" t="s">
        <v>120</v>
      </c>
      <c r="G13" s="50">
        <f>IF(F13="X",0,E13)</f>
        <v>0</v>
      </c>
    </row>
    <row r="14" spans="2:8">
      <c r="B14" s="83"/>
      <c r="C14" s="43" t="s">
        <v>12755</v>
      </c>
      <c r="D14" s="54"/>
      <c r="E14" s="94"/>
      <c r="F14" s="37"/>
      <c r="G14" s="45"/>
      <c r="H14" s="36">
        <f>SUM(G12:G13)</f>
        <v>0</v>
      </c>
    </row>
    <row r="15" spans="2:8">
      <c r="B15" s="75">
        <v>37178</v>
      </c>
      <c r="C15" s="52" t="s">
        <v>12756</v>
      </c>
      <c r="D15" s="51"/>
      <c r="E15" s="98">
        <v>50</v>
      </c>
      <c r="F15" s="76" t="s">
        <v>9</v>
      </c>
      <c r="G15" s="50">
        <f>IF(F15="X",0,E15)</f>
        <v>0</v>
      </c>
    </row>
    <row r="16" spans="2:8">
      <c r="B16" s="83"/>
      <c r="C16" s="43" t="s">
        <v>12757</v>
      </c>
      <c r="D16" s="54"/>
      <c r="E16" s="94"/>
      <c r="F16" s="37"/>
      <c r="G16" s="45"/>
      <c r="H16" s="36">
        <f>SUM(G14:G15)</f>
        <v>0</v>
      </c>
    </row>
    <row r="17" spans="2:8">
      <c r="B17" s="75">
        <v>37209</v>
      </c>
      <c r="C17" s="52" t="s">
        <v>12758</v>
      </c>
      <c r="D17" s="51"/>
      <c r="E17" s="98">
        <v>50</v>
      </c>
      <c r="F17" s="76" t="s">
        <v>120</v>
      </c>
      <c r="G17" s="50">
        <f>IF(F17="X",0,E17)</f>
        <v>0</v>
      </c>
    </row>
    <row r="18" spans="2:8">
      <c r="B18" s="83"/>
      <c r="C18" s="43" t="s">
        <v>24745</v>
      </c>
      <c r="D18" s="54"/>
      <c r="E18" s="94"/>
      <c r="F18" s="37"/>
      <c r="G18" s="45"/>
      <c r="H18" s="36">
        <f>SUM(G16:G17)</f>
        <v>0</v>
      </c>
    </row>
    <row r="19" spans="2:8">
      <c r="B19" s="75">
        <v>37239</v>
      </c>
      <c r="C19" s="52" t="s">
        <v>12762</v>
      </c>
      <c r="D19" s="51"/>
      <c r="E19" s="98">
        <v>50</v>
      </c>
      <c r="F19" s="76" t="s">
        <v>120</v>
      </c>
      <c r="G19" s="50">
        <f>IF(F19="X",0,E19)</f>
        <v>0</v>
      </c>
    </row>
    <row r="20" spans="2:8">
      <c r="B20" s="83"/>
      <c r="C20" s="43" t="s">
        <v>24746</v>
      </c>
      <c r="D20" s="54"/>
      <c r="E20" s="94"/>
      <c r="F20" s="37"/>
      <c r="G20" s="45"/>
      <c r="H20" s="36">
        <f>SUM(G18:G19)</f>
        <v>0</v>
      </c>
    </row>
    <row r="21" spans="2:8">
      <c r="B21" s="75">
        <v>37270</v>
      </c>
      <c r="C21" s="52" t="s">
        <v>12766</v>
      </c>
      <c r="D21" s="51"/>
      <c r="E21" s="98">
        <v>50</v>
      </c>
      <c r="F21" s="76" t="s">
        <v>120</v>
      </c>
      <c r="G21" s="50">
        <f>IF(F21="X",0,E21)</f>
        <v>0</v>
      </c>
    </row>
    <row r="22" spans="2:8">
      <c r="B22" s="75">
        <v>37261</v>
      </c>
      <c r="C22" s="3" t="s">
        <v>16017</v>
      </c>
      <c r="D22" s="51"/>
      <c r="E22" s="98">
        <v>233.5</v>
      </c>
      <c r="F22" s="76" t="s">
        <v>120</v>
      </c>
      <c r="G22" s="50">
        <f>IF(F22="X",0,E22)</f>
        <v>0</v>
      </c>
    </row>
    <row r="23" spans="2:8">
      <c r="B23" s="83"/>
      <c r="C23" s="92" t="s">
        <v>12772</v>
      </c>
      <c r="D23" s="54"/>
      <c r="E23" s="94"/>
      <c r="F23" s="37"/>
      <c r="G23" s="45"/>
    </row>
    <row r="24" spans="2:8">
      <c r="B24" s="79">
        <v>37330</v>
      </c>
      <c r="C24" s="477" t="s">
        <v>12775</v>
      </c>
      <c r="D24" s="57"/>
      <c r="E24" s="97">
        <v>33.630000000000003</v>
      </c>
      <c r="F24" s="80" t="s">
        <v>120</v>
      </c>
      <c r="G24" s="183">
        <f>IF(F24="X",0,E24)</f>
        <v>0</v>
      </c>
    </row>
    <row r="25" spans="2:8">
      <c r="B25" s="75"/>
      <c r="C25" s="52" t="s">
        <v>12779</v>
      </c>
      <c r="D25" s="51"/>
      <c r="E25" s="98"/>
      <c r="F25" s="76"/>
      <c r="G25" s="50"/>
    </row>
    <row r="26" spans="2:8">
      <c r="B26" s="75">
        <v>37361</v>
      </c>
      <c r="C26" s="52" t="s">
        <v>12781</v>
      </c>
      <c r="D26" s="51"/>
      <c r="E26" s="98">
        <v>33.630000000000003</v>
      </c>
      <c r="F26" s="76" t="s">
        <v>120</v>
      </c>
      <c r="G26" s="50">
        <f>IF(F26="X",0,E26)</f>
        <v>0</v>
      </c>
    </row>
    <row r="27" spans="2:8">
      <c r="B27" s="75">
        <v>37368</v>
      </c>
      <c r="C27" s="52" t="s">
        <v>12783</v>
      </c>
      <c r="D27" s="51"/>
      <c r="E27" s="98">
        <v>66</v>
      </c>
      <c r="F27" s="76" t="s">
        <v>120</v>
      </c>
      <c r="G27" s="50">
        <f>IF(F27="X",0,E27)</f>
        <v>0</v>
      </c>
    </row>
    <row r="28" spans="2:8">
      <c r="B28" s="83"/>
      <c r="C28" s="43" t="s">
        <v>12786</v>
      </c>
      <c r="D28" s="54"/>
      <c r="E28" s="94"/>
      <c r="F28" s="37"/>
      <c r="G28" s="45"/>
    </row>
    <row r="29" spans="2:8">
      <c r="B29" s="75">
        <v>37391</v>
      </c>
      <c r="C29" s="52" t="s">
        <v>24747</v>
      </c>
      <c r="D29" s="51"/>
      <c r="E29" s="98">
        <v>33.630000000000003</v>
      </c>
      <c r="F29" s="76" t="s">
        <v>120</v>
      </c>
      <c r="G29" s="50">
        <f>IF(F29="X",0,E29)</f>
        <v>0</v>
      </c>
    </row>
    <row r="30" spans="2:8">
      <c r="B30" s="79">
        <v>37398</v>
      </c>
      <c r="C30" s="477" t="s">
        <v>12789</v>
      </c>
      <c r="D30" s="57"/>
      <c r="E30" s="97">
        <v>66</v>
      </c>
      <c r="F30" s="80" t="s">
        <v>120</v>
      </c>
      <c r="G30" s="183">
        <f>IF(F30="X",0,E30)</f>
        <v>0</v>
      </c>
    </row>
    <row r="31" spans="2:8">
      <c r="B31" s="75"/>
      <c r="C31" s="52" t="s">
        <v>24748</v>
      </c>
      <c r="D31" s="51"/>
      <c r="E31" s="98"/>
      <c r="F31" s="76"/>
      <c r="G31" s="50"/>
    </row>
    <row r="32" spans="2:8">
      <c r="B32" s="75">
        <v>37422</v>
      </c>
      <c r="C32" s="52" t="s">
        <v>12793</v>
      </c>
      <c r="D32" s="51"/>
      <c r="E32" s="98">
        <v>33.630000000000003</v>
      </c>
      <c r="F32" s="76" t="s">
        <v>120</v>
      </c>
      <c r="G32" s="50">
        <f>IF(F32="X",0,E32)</f>
        <v>0</v>
      </c>
    </row>
    <row r="33" spans="2:7">
      <c r="B33" s="83"/>
      <c r="C33" s="43" t="s">
        <v>12797</v>
      </c>
      <c r="D33" s="54"/>
      <c r="E33" s="94"/>
      <c r="F33" s="37"/>
      <c r="G33" s="45"/>
    </row>
    <row r="34" spans="2:7">
      <c r="B34" s="75">
        <v>37452</v>
      </c>
      <c r="C34" s="52" t="s">
        <v>12803</v>
      </c>
      <c r="D34" s="51"/>
      <c r="E34" s="98">
        <v>33.630000000000003</v>
      </c>
      <c r="F34" s="76" t="s">
        <v>120</v>
      </c>
      <c r="G34" s="50">
        <f>IF(F34="X",0,E34)</f>
        <v>0</v>
      </c>
    </row>
    <row r="35" spans="2:7">
      <c r="B35" s="79">
        <v>37457</v>
      </c>
      <c r="C35" s="477" t="s">
        <v>12804</v>
      </c>
      <c r="D35" s="57"/>
      <c r="E35" s="97">
        <v>92</v>
      </c>
      <c r="F35" s="80" t="s">
        <v>120</v>
      </c>
      <c r="G35" s="183">
        <f>IF(F35="X",0,E35)</f>
        <v>0</v>
      </c>
    </row>
    <row r="36" spans="2:7">
      <c r="B36" s="75"/>
      <c r="C36" s="52" t="s">
        <v>12805</v>
      </c>
      <c r="D36" s="51"/>
      <c r="E36" s="98"/>
      <c r="F36" s="76"/>
      <c r="G36" s="50"/>
    </row>
    <row r="37" spans="2:7">
      <c r="B37" s="75">
        <v>37483</v>
      </c>
      <c r="C37" s="52" t="s">
        <v>12810</v>
      </c>
      <c r="D37" s="51"/>
      <c r="E37" s="98">
        <v>33.630000000000003</v>
      </c>
      <c r="F37" s="76" t="s">
        <v>9</v>
      </c>
      <c r="G37" s="50">
        <f>IF(F37="X",0,E37)</f>
        <v>0</v>
      </c>
    </row>
    <row r="38" spans="2:7">
      <c r="B38" s="75">
        <v>37488</v>
      </c>
      <c r="C38" s="52" t="s">
        <v>12811</v>
      </c>
      <c r="D38" s="51"/>
      <c r="E38" s="98">
        <v>92</v>
      </c>
      <c r="F38" s="76" t="s">
        <v>9</v>
      </c>
      <c r="G38" s="50">
        <f>IF(F38="X",0,E38)</f>
        <v>0</v>
      </c>
    </row>
    <row r="39" spans="2:7">
      <c r="B39" s="83"/>
      <c r="C39" s="43" t="s">
        <v>12814</v>
      </c>
      <c r="D39" s="54"/>
      <c r="E39" s="94"/>
      <c r="F39" s="37"/>
      <c r="G39" s="45"/>
    </row>
    <row r="40" spans="2:7">
      <c r="B40" s="75">
        <v>37514</v>
      </c>
      <c r="C40" s="52" t="s">
        <v>12820</v>
      </c>
      <c r="D40" s="51"/>
      <c r="E40" s="98">
        <v>33.630000000000003</v>
      </c>
      <c r="F40" s="76" t="s">
        <v>9</v>
      </c>
      <c r="G40" s="50">
        <f>IF(F40="X",0,E40)</f>
        <v>0</v>
      </c>
    </row>
    <row r="41" spans="2:7">
      <c r="B41" s="83"/>
      <c r="C41" s="43" t="s">
        <v>12822</v>
      </c>
      <c r="D41" s="54"/>
      <c r="E41" s="94"/>
      <c r="F41" s="37"/>
      <c r="G41" s="45"/>
    </row>
    <row r="42" spans="2:7">
      <c r="B42" s="75">
        <v>37544</v>
      </c>
      <c r="C42" s="52" t="s">
        <v>12827</v>
      </c>
      <c r="D42" s="51"/>
      <c r="E42" s="98">
        <v>33.630000000000003</v>
      </c>
      <c r="F42" s="76" t="s">
        <v>9</v>
      </c>
      <c r="G42" s="50" t="e">
        <f>#N/A</f>
        <v>#N/A</v>
      </c>
    </row>
    <row r="43" spans="2:7">
      <c r="B43" s="83"/>
      <c r="C43" s="92" t="s">
        <v>12834</v>
      </c>
      <c r="D43" s="54"/>
      <c r="E43" s="94"/>
      <c r="F43" s="37"/>
      <c r="G43" s="45" t="e">
        <f>#N/A</f>
        <v>#N/A</v>
      </c>
    </row>
    <row r="44" spans="2:7">
      <c r="B44" s="75">
        <v>37604</v>
      </c>
      <c r="C44" s="3" t="s">
        <v>16194</v>
      </c>
      <c r="D44" s="51"/>
      <c r="E44" s="98">
        <v>78</v>
      </c>
      <c r="F44" s="76" t="s">
        <v>9</v>
      </c>
      <c r="G44" s="50" t="e">
        <f>#N/A</f>
        <v>#N/A</v>
      </c>
    </row>
    <row r="45" spans="2:7">
      <c r="B45" s="83"/>
      <c r="C45" s="92" t="s">
        <v>12840</v>
      </c>
      <c r="D45" s="54"/>
      <c r="E45" s="94"/>
      <c r="F45" s="37"/>
      <c r="G45" s="45" t="e">
        <f>#N/A</f>
        <v>#N/A</v>
      </c>
    </row>
    <row r="46" spans="2:7">
      <c r="B46" s="75">
        <v>37271</v>
      </c>
      <c r="C46" s="3" t="s">
        <v>24749</v>
      </c>
      <c r="D46" s="51"/>
      <c r="E46" s="98">
        <v>74.5</v>
      </c>
      <c r="F46" s="76" t="s">
        <v>9</v>
      </c>
      <c r="G46" s="50" t="e">
        <f>#N/A</f>
        <v>#N/A</v>
      </c>
    </row>
    <row r="47" spans="2:7">
      <c r="B47" s="75">
        <v>37639</v>
      </c>
      <c r="C47" s="3" t="s">
        <v>12843</v>
      </c>
      <c r="D47" s="51"/>
      <c r="E47" s="98">
        <v>74.95</v>
      </c>
      <c r="F47" s="76" t="s">
        <v>9</v>
      </c>
      <c r="G47" s="50" t="e">
        <f>#N/A</f>
        <v>#N/A</v>
      </c>
    </row>
    <row r="48" spans="2:7">
      <c r="B48" s="83"/>
      <c r="C48" s="92" t="s">
        <v>12846</v>
      </c>
      <c r="D48" s="54"/>
      <c r="E48" s="94"/>
      <c r="F48" s="37"/>
      <c r="G48" s="45" t="e">
        <f>#N/A</f>
        <v>#N/A</v>
      </c>
    </row>
    <row r="49" spans="2:7">
      <c r="B49" s="75">
        <v>37628</v>
      </c>
      <c r="C49" s="3" t="s">
        <v>24750</v>
      </c>
      <c r="D49" s="51"/>
      <c r="E49" s="98">
        <v>150</v>
      </c>
      <c r="F49" s="76" t="s">
        <v>9</v>
      </c>
      <c r="G49" s="50" t="e">
        <f>#N/A</f>
        <v>#N/A</v>
      </c>
    </row>
    <row r="50" spans="2:7">
      <c r="B50" s="75">
        <v>37666</v>
      </c>
      <c r="C50" s="3" t="s">
        <v>12849</v>
      </c>
      <c r="D50" s="51"/>
      <c r="E50" s="98">
        <v>42</v>
      </c>
      <c r="F50" s="76" t="s">
        <v>9</v>
      </c>
      <c r="G50" s="50" t="e">
        <f>#N/A</f>
        <v>#N/A</v>
      </c>
    </row>
    <row r="51" spans="2:7">
      <c r="B51" s="75">
        <v>37673</v>
      </c>
      <c r="C51" s="3" t="s">
        <v>12852</v>
      </c>
      <c r="D51" s="51"/>
      <c r="E51" s="98">
        <v>120</v>
      </c>
      <c r="F51" s="76" t="s">
        <v>9</v>
      </c>
      <c r="G51" s="50" t="e">
        <f>#N/A</f>
        <v>#N/A</v>
      </c>
    </row>
    <row r="52" spans="2:7">
      <c r="B52" s="83"/>
      <c r="C52" s="92" t="s">
        <v>12853</v>
      </c>
      <c r="D52" s="54"/>
      <c r="E52" s="94"/>
      <c r="F52" s="37" t="s">
        <v>9</v>
      </c>
      <c r="G52" s="45" t="e">
        <f>#N/A</f>
        <v>#N/A</v>
      </c>
    </row>
    <row r="53" spans="2:7">
      <c r="B53" s="75">
        <v>37694</v>
      </c>
      <c r="C53" s="3" t="s">
        <v>12855</v>
      </c>
      <c r="D53" s="51"/>
      <c r="E53" s="98">
        <v>42</v>
      </c>
      <c r="F53" s="76" t="s">
        <v>9</v>
      </c>
      <c r="G53" s="50" t="e">
        <f>#N/A</f>
        <v>#N/A</v>
      </c>
    </row>
    <row r="54" spans="2:7">
      <c r="B54" s="83"/>
      <c r="C54" s="92" t="s">
        <v>12857</v>
      </c>
      <c r="D54" s="54"/>
      <c r="E54" s="94"/>
      <c r="F54" s="37"/>
      <c r="G54" s="45" t="e">
        <f>#N/A</f>
        <v>#N/A</v>
      </c>
    </row>
    <row r="55" spans="2:7">
      <c r="B55" s="75">
        <v>37725</v>
      </c>
      <c r="C55" s="3" t="s">
        <v>12858</v>
      </c>
      <c r="D55" s="51"/>
      <c r="E55" s="98">
        <v>42</v>
      </c>
      <c r="F55" s="76" t="s">
        <v>9</v>
      </c>
      <c r="G55" s="50" t="e">
        <f>#N/A</f>
        <v>#N/A</v>
      </c>
    </row>
    <row r="56" spans="2:7">
      <c r="B56" s="46"/>
      <c r="C56" s="184" t="s">
        <v>12</v>
      </c>
      <c r="D56" s="426">
        <f>SUM(D5:D55)</f>
        <v>0</v>
      </c>
      <c r="E56" s="186">
        <f>SUM(E3:E55)</f>
        <v>1985.1900000000005</v>
      </c>
      <c r="F56" s="76"/>
      <c r="G56" s="98">
        <f>SUM(G3:G10)</f>
        <v>0</v>
      </c>
    </row>
    <row r="57" spans="2:7">
      <c r="B57" s="24"/>
      <c r="C57" s="465"/>
      <c r="D57" s="595"/>
      <c r="E57" s="61"/>
      <c r="F57" s="464"/>
      <c r="G57" s="596" t="e">
        <f>SUM(G3:G56)</f>
        <v>#N/A</v>
      </c>
    </row>
  </sheetData>
  <sheetProtection selectLockedCells="1" selectUnlockedCells="1"/>
  <pageMargins left="0.78749999999999998" right="0.78749999999999998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Plan69"/>
  <dimension ref="A2:F89"/>
  <sheetViews>
    <sheetView topLeftCell="A89" workbookViewId="0">
      <selection activeCell="F89" sqref="F89"/>
    </sheetView>
  </sheetViews>
  <sheetFormatPr defaultColWidth="9.140625" defaultRowHeight="13.5"/>
  <cols>
    <col min="1" max="1" width="17.85546875" style="3" customWidth="1"/>
    <col min="2" max="2" width="59.85546875" style="3" customWidth="1"/>
    <col min="3" max="3" width="9.42578125" style="3" customWidth="1"/>
    <col min="4" max="4" width="16" style="3" bestFit="1" customWidth="1"/>
    <col min="5" max="5" width="9" style="3" customWidth="1"/>
    <col min="6" max="6" width="17" style="3" customWidth="1"/>
    <col min="7" max="16384" width="9.140625" style="3"/>
  </cols>
  <sheetData>
    <row r="2" spans="1:6">
      <c r="A2" s="37" t="s">
        <v>0</v>
      </c>
      <c r="B2" s="461" t="s">
        <v>1394</v>
      </c>
      <c r="C2" s="179" t="s">
        <v>3</v>
      </c>
      <c r="D2" s="180" t="s">
        <v>4</v>
      </c>
      <c r="E2" s="181" t="s">
        <v>12664</v>
      </c>
      <c r="F2" s="41"/>
    </row>
    <row r="3" spans="1:6">
      <c r="A3" s="83"/>
      <c r="B3" s="38" t="s">
        <v>14129</v>
      </c>
      <c r="C3" s="53"/>
      <c r="D3" s="44"/>
      <c r="E3" s="334"/>
      <c r="F3" s="45"/>
    </row>
    <row r="4" spans="1:6">
      <c r="A4" s="75">
        <v>38776</v>
      </c>
      <c r="B4" s="126" t="s">
        <v>5019</v>
      </c>
      <c r="C4" s="51"/>
      <c r="D4" s="49">
        <v>45</v>
      </c>
      <c r="E4" s="337" t="s">
        <v>9</v>
      </c>
      <c r="F4" s="50">
        <f>IF(E4="X",0,D4)</f>
        <v>0</v>
      </c>
    </row>
    <row r="5" spans="1:6">
      <c r="A5" s="83"/>
      <c r="B5" s="38" t="s">
        <v>2806</v>
      </c>
      <c r="C5" s="53"/>
      <c r="D5" s="44"/>
      <c r="E5" s="334"/>
      <c r="F5" s="45"/>
    </row>
    <row r="6" spans="1:6">
      <c r="A6" s="75">
        <v>38791</v>
      </c>
      <c r="B6" s="126" t="s">
        <v>5051</v>
      </c>
      <c r="C6" s="55"/>
      <c r="D6" s="49">
        <v>140</v>
      </c>
      <c r="E6" s="337" t="s">
        <v>9</v>
      </c>
      <c r="F6" s="50">
        <f>IF(E6="X",0,D6)</f>
        <v>0</v>
      </c>
    </row>
    <row r="7" spans="1:6">
      <c r="A7" s="75">
        <v>38807</v>
      </c>
      <c r="B7" s="126" t="s">
        <v>24751</v>
      </c>
      <c r="C7" s="51"/>
      <c r="D7" s="49">
        <v>45</v>
      </c>
      <c r="E7" s="337" t="s">
        <v>9</v>
      </c>
      <c r="F7" s="50">
        <f>IF(E7="X",0,D7)</f>
        <v>0</v>
      </c>
    </row>
    <row r="8" spans="1:6">
      <c r="A8" s="83"/>
      <c r="B8" s="66" t="s">
        <v>2824</v>
      </c>
      <c r="C8" s="53"/>
      <c r="D8" s="44"/>
      <c r="E8" s="334"/>
      <c r="F8" s="45"/>
    </row>
    <row r="9" spans="1:6">
      <c r="A9" s="75">
        <v>38808</v>
      </c>
      <c r="B9" s="126" t="s">
        <v>5087</v>
      </c>
      <c r="C9" s="55"/>
      <c r="D9" s="49">
        <v>302.5</v>
      </c>
      <c r="E9" s="337" t="s">
        <v>9</v>
      </c>
      <c r="F9" s="50">
        <f>IF(E9="X",0,D9)</f>
        <v>0</v>
      </c>
    </row>
    <row r="10" spans="1:6">
      <c r="A10" s="75">
        <v>38814</v>
      </c>
      <c r="B10" s="126" t="s">
        <v>5090</v>
      </c>
      <c r="C10" s="55"/>
      <c r="D10" s="49">
        <v>70</v>
      </c>
      <c r="E10" s="337" t="s">
        <v>9</v>
      </c>
      <c r="F10" s="50">
        <f>IF(E10="X",0,D10)</f>
        <v>0</v>
      </c>
    </row>
    <row r="11" spans="1:6">
      <c r="A11" s="75">
        <v>38822</v>
      </c>
      <c r="B11" s="126" t="s">
        <v>5099</v>
      </c>
      <c r="C11" s="55"/>
      <c r="D11" s="49">
        <v>140</v>
      </c>
      <c r="E11" s="337" t="s">
        <v>9</v>
      </c>
      <c r="F11" s="50">
        <f>IF(E11="X",0,D11)</f>
        <v>0</v>
      </c>
    </row>
    <row r="12" spans="1:6">
      <c r="A12" s="75">
        <v>38791</v>
      </c>
      <c r="B12" s="126" t="s">
        <v>5100</v>
      </c>
      <c r="C12" s="55"/>
      <c r="D12" s="49">
        <v>452</v>
      </c>
      <c r="E12" s="337" t="s">
        <v>9</v>
      </c>
      <c r="F12" s="50">
        <f>IF(E12="X",0,D12)</f>
        <v>0</v>
      </c>
    </row>
    <row r="13" spans="1:6">
      <c r="A13" s="75">
        <v>38837</v>
      </c>
      <c r="B13" s="126" t="s">
        <v>5117</v>
      </c>
      <c r="C13" s="55"/>
      <c r="D13" s="49">
        <v>45</v>
      </c>
      <c r="E13" s="337" t="s">
        <v>9</v>
      </c>
      <c r="F13" s="50">
        <f>IF(E13="X",0,D13)</f>
        <v>0</v>
      </c>
    </row>
    <row r="14" spans="1:6">
      <c r="A14" s="83"/>
      <c r="B14" s="66" t="s">
        <v>14512</v>
      </c>
      <c r="C14" s="53"/>
      <c r="D14" s="44"/>
      <c r="E14" s="334"/>
      <c r="F14" s="45"/>
    </row>
    <row r="15" spans="1:6">
      <c r="A15" s="75">
        <v>38838</v>
      </c>
      <c r="B15" s="126" t="s">
        <v>5118</v>
      </c>
      <c r="C15" s="55"/>
      <c r="D15" s="49">
        <v>302.5</v>
      </c>
      <c r="E15" s="337" t="s">
        <v>9</v>
      </c>
      <c r="F15" s="50">
        <f>IF(E15="X",0,D15)</f>
        <v>0</v>
      </c>
    </row>
    <row r="16" spans="1:6">
      <c r="A16" s="75">
        <v>38844</v>
      </c>
      <c r="B16" s="126" t="s">
        <v>5122</v>
      </c>
      <c r="C16" s="55"/>
      <c r="D16" s="49">
        <v>70</v>
      </c>
      <c r="E16" s="337" t="s">
        <v>9</v>
      </c>
      <c r="F16" s="50">
        <f>IF(E16="X",0,D16)</f>
        <v>0</v>
      </c>
    </row>
    <row r="17" spans="1:6">
      <c r="A17" s="75">
        <v>38868</v>
      </c>
      <c r="B17" s="126" t="s">
        <v>5138</v>
      </c>
      <c r="C17" s="55"/>
      <c r="D17" s="49">
        <v>45</v>
      </c>
      <c r="E17" s="455" t="s">
        <v>9</v>
      </c>
      <c r="F17" s="183">
        <f>IF(E17="X",0,D17)</f>
        <v>0</v>
      </c>
    </row>
    <row r="18" spans="1:6">
      <c r="A18" s="83"/>
      <c r="B18" s="66" t="s">
        <v>14519</v>
      </c>
      <c r="C18" s="53"/>
      <c r="D18" s="44"/>
      <c r="E18" s="334"/>
      <c r="F18" s="45"/>
    </row>
    <row r="19" spans="1:6">
      <c r="A19" s="75">
        <v>38869</v>
      </c>
      <c r="B19" s="126" t="s">
        <v>5141</v>
      </c>
      <c r="C19" s="55"/>
      <c r="D19" s="49">
        <v>302.5</v>
      </c>
      <c r="E19" s="337" t="s">
        <v>9</v>
      </c>
      <c r="F19" s="50">
        <f>IF(E19="X",0,D19)</f>
        <v>0</v>
      </c>
    </row>
    <row r="20" spans="1:6">
      <c r="A20" s="75">
        <v>38883</v>
      </c>
      <c r="B20" s="126" t="s">
        <v>24752</v>
      </c>
      <c r="C20" s="55"/>
      <c r="D20" s="49">
        <v>51</v>
      </c>
      <c r="E20" s="337" t="s">
        <v>9</v>
      </c>
      <c r="F20" s="50">
        <f>IF(E20="X",0,D20)</f>
        <v>0</v>
      </c>
    </row>
    <row r="21" spans="1:6">
      <c r="A21" s="79">
        <v>38898</v>
      </c>
      <c r="B21" s="458" t="s">
        <v>5164</v>
      </c>
      <c r="C21" s="462"/>
      <c r="D21" s="58">
        <v>45</v>
      </c>
      <c r="E21" s="455" t="s">
        <v>9</v>
      </c>
      <c r="F21" s="183">
        <f>IF(E21="X",0,D21)</f>
        <v>0</v>
      </c>
    </row>
    <row r="22" spans="1:6">
      <c r="A22" s="83"/>
      <c r="B22" s="66" t="s">
        <v>16370</v>
      </c>
      <c r="C22" s="53"/>
      <c r="D22" s="44"/>
      <c r="E22" s="334"/>
      <c r="F22" s="45"/>
    </row>
    <row r="23" spans="1:6">
      <c r="A23" s="79">
        <v>38913</v>
      </c>
      <c r="B23" s="458" t="s">
        <v>5173</v>
      </c>
      <c r="C23" s="462"/>
      <c r="D23" s="58">
        <v>153</v>
      </c>
      <c r="E23" s="455" t="s">
        <v>9</v>
      </c>
      <c r="F23" s="183">
        <f>IF(E23="X",0,D23)</f>
        <v>0</v>
      </c>
    </row>
    <row r="24" spans="1:6">
      <c r="A24" s="83"/>
      <c r="B24" s="66" t="s">
        <v>24753</v>
      </c>
      <c r="C24" s="53"/>
      <c r="D24" s="44"/>
      <c r="E24" s="463"/>
      <c r="F24" s="45"/>
    </row>
    <row r="25" spans="1:6">
      <c r="A25" s="79">
        <v>38940</v>
      </c>
      <c r="B25" s="458" t="s">
        <v>24754</v>
      </c>
      <c r="C25" s="462"/>
      <c r="D25" s="58">
        <v>82</v>
      </c>
      <c r="E25" s="120" t="s">
        <v>9</v>
      </c>
      <c r="F25" s="183">
        <f>IF(E25="X",0,D25)</f>
        <v>0</v>
      </c>
    </row>
    <row r="26" spans="1:6">
      <c r="A26" s="83"/>
      <c r="B26" s="66" t="s">
        <v>3163</v>
      </c>
      <c r="C26" s="53"/>
      <c r="D26" s="44"/>
      <c r="E26" s="463"/>
      <c r="F26" s="45"/>
    </row>
    <row r="27" spans="1:6">
      <c r="A27" s="75">
        <v>39001</v>
      </c>
      <c r="B27" s="126" t="s">
        <v>5277</v>
      </c>
      <c r="C27" s="55"/>
      <c r="D27" s="49">
        <v>75</v>
      </c>
      <c r="E27" s="337" t="s">
        <v>9</v>
      </c>
      <c r="F27" s="50">
        <f>IF(E27="X",0,D27)</f>
        <v>0</v>
      </c>
    </row>
    <row r="28" spans="1:6">
      <c r="A28" s="75">
        <v>39005</v>
      </c>
      <c r="B28" s="126" t="s">
        <v>24755</v>
      </c>
      <c r="C28" s="55"/>
      <c r="D28" s="49">
        <v>60</v>
      </c>
      <c r="E28" s="337" t="s">
        <v>9</v>
      </c>
      <c r="F28" s="50">
        <f>IF(E28="X",0,D28)</f>
        <v>0</v>
      </c>
    </row>
    <row r="29" spans="1:6">
      <c r="A29" s="83"/>
      <c r="B29" s="66" t="s">
        <v>16427</v>
      </c>
      <c r="C29" s="53"/>
      <c r="D29" s="44"/>
      <c r="E29" s="463"/>
      <c r="F29" s="45"/>
    </row>
    <row r="30" spans="1:6">
      <c r="A30" s="79">
        <v>39032</v>
      </c>
      <c r="B30" s="458" t="s">
        <v>24756</v>
      </c>
      <c r="C30" s="462"/>
      <c r="D30" s="58">
        <v>75</v>
      </c>
      <c r="E30" s="455" t="s">
        <v>9</v>
      </c>
      <c r="F30" s="183">
        <f>IF(E30="X",0,D30)</f>
        <v>0</v>
      </c>
    </row>
    <row r="31" spans="1:6">
      <c r="A31" s="83"/>
      <c r="B31" s="66" t="s">
        <v>3202</v>
      </c>
      <c r="C31" s="53"/>
      <c r="D31" s="44"/>
      <c r="E31" s="334"/>
      <c r="F31" s="45"/>
    </row>
    <row r="32" spans="1:6">
      <c r="A32" s="75">
        <v>39070</v>
      </c>
      <c r="B32" s="126" t="s">
        <v>5363</v>
      </c>
      <c r="C32" s="55"/>
      <c r="D32" s="49">
        <v>159.9</v>
      </c>
      <c r="E32" s="337" t="s">
        <v>9</v>
      </c>
      <c r="F32" s="50">
        <f>IF(E32="X",0,D32)</f>
        <v>0</v>
      </c>
    </row>
    <row r="33" spans="1:6">
      <c r="A33" s="75">
        <v>39071</v>
      </c>
      <c r="B33" s="126" t="s">
        <v>5366</v>
      </c>
      <c r="C33" s="55"/>
      <c r="D33" s="49">
        <v>199.99</v>
      </c>
      <c r="E33" s="337" t="s">
        <v>9</v>
      </c>
      <c r="F33" s="50">
        <f>IF(E33="X",0,D33)</f>
        <v>0</v>
      </c>
    </row>
    <row r="34" spans="1:6">
      <c r="A34" s="75">
        <v>39071</v>
      </c>
      <c r="B34" s="126" t="s">
        <v>5367</v>
      </c>
      <c r="C34" s="55"/>
      <c r="D34" s="49">
        <v>99.5</v>
      </c>
      <c r="E34" s="337" t="s">
        <v>9</v>
      </c>
      <c r="F34" s="50">
        <f>IF(E34="X",0,D34)</f>
        <v>0</v>
      </c>
    </row>
    <row r="35" spans="1:6">
      <c r="A35" s="767"/>
      <c r="B35" s="1085" t="s">
        <v>3244</v>
      </c>
      <c r="C35" s="1086"/>
      <c r="D35" s="1087"/>
      <c r="E35" s="783"/>
      <c r="F35" s="1088"/>
    </row>
    <row r="36" spans="1:6">
      <c r="A36" s="770">
        <v>39114</v>
      </c>
      <c r="B36" s="1089" t="s">
        <v>5413</v>
      </c>
      <c r="C36" s="1090"/>
      <c r="D36" s="1082">
        <v>80</v>
      </c>
      <c r="E36" s="787" t="s">
        <v>9</v>
      </c>
      <c r="F36" s="1091">
        <f>IF(E36="X",0,D36)</f>
        <v>0</v>
      </c>
    </row>
    <row r="37" spans="1:6">
      <c r="A37" s="75"/>
      <c r="B37" s="126"/>
      <c r="C37" s="55"/>
      <c r="D37" s="49"/>
      <c r="E37" s="337"/>
      <c r="F37" s="50"/>
    </row>
    <row r="38" spans="1:6">
      <c r="A38" s="75"/>
      <c r="B38" s="126"/>
      <c r="C38" s="55"/>
      <c r="D38" s="49"/>
      <c r="E38" s="337"/>
      <c r="F38" s="50"/>
    </row>
    <row r="39" spans="1:6">
      <c r="A39" s="75">
        <v>39721</v>
      </c>
      <c r="B39" s="126" t="s">
        <v>5609</v>
      </c>
      <c r="C39" s="55" t="s">
        <v>9088</v>
      </c>
      <c r="D39" s="49">
        <v>1130</v>
      </c>
      <c r="E39" s="337" t="s">
        <v>9</v>
      </c>
      <c r="F39" s="50">
        <f t="shared" ref="F39:F44" si="0">IF(E39="X",0,D39)</f>
        <v>0</v>
      </c>
    </row>
    <row r="40" spans="1:6">
      <c r="A40" s="75">
        <v>39751</v>
      </c>
      <c r="B40" s="126" t="s">
        <v>5659</v>
      </c>
      <c r="C40" s="55"/>
      <c r="D40" s="49">
        <v>1130</v>
      </c>
      <c r="E40" s="337" t="s">
        <v>9</v>
      </c>
      <c r="F40" s="50">
        <f t="shared" si="0"/>
        <v>0</v>
      </c>
    </row>
    <row r="41" spans="1:6">
      <c r="A41" s="75">
        <v>39776</v>
      </c>
      <c r="B41" s="126" t="s">
        <v>5672</v>
      </c>
      <c r="C41" s="55"/>
      <c r="D41" s="49">
        <v>284</v>
      </c>
      <c r="E41" s="337" t="s">
        <v>9</v>
      </c>
      <c r="F41" s="50">
        <f t="shared" si="0"/>
        <v>0</v>
      </c>
    </row>
    <row r="42" spans="1:6">
      <c r="A42" s="75">
        <v>39782</v>
      </c>
      <c r="B42" s="126" t="s">
        <v>5678</v>
      </c>
      <c r="C42" s="55"/>
      <c r="D42" s="49">
        <v>1130</v>
      </c>
      <c r="E42" s="337" t="s">
        <v>120</v>
      </c>
      <c r="F42" s="50">
        <f t="shared" si="0"/>
        <v>0</v>
      </c>
    </row>
    <row r="43" spans="1:6">
      <c r="A43" s="75">
        <v>39812</v>
      </c>
      <c r="B43" s="126" t="s">
        <v>5687</v>
      </c>
      <c r="C43" s="55"/>
      <c r="D43" s="49">
        <v>1130</v>
      </c>
      <c r="E43" s="337" t="s">
        <v>9</v>
      </c>
      <c r="F43" s="50">
        <f t="shared" si="0"/>
        <v>0</v>
      </c>
    </row>
    <row r="44" spans="1:6">
      <c r="A44" s="75">
        <v>39843</v>
      </c>
      <c r="B44" s="126" t="s">
        <v>13335</v>
      </c>
      <c r="C44" s="55"/>
      <c r="D44" s="49">
        <v>1130</v>
      </c>
      <c r="E44" s="337" t="s">
        <v>9</v>
      </c>
      <c r="F44" s="50">
        <f t="shared" si="0"/>
        <v>0</v>
      </c>
    </row>
    <row r="45" spans="1:6">
      <c r="A45" s="75"/>
      <c r="B45" s="126"/>
      <c r="C45" s="55"/>
      <c r="D45" s="49"/>
      <c r="E45" s="337"/>
      <c r="F45" s="50"/>
    </row>
    <row r="46" spans="1:6">
      <c r="A46" s="75">
        <v>41217</v>
      </c>
      <c r="B46" s="126" t="s">
        <v>24757</v>
      </c>
      <c r="C46" s="55"/>
      <c r="D46" s="49">
        <v>210</v>
      </c>
      <c r="E46" s="337" t="s">
        <v>9</v>
      </c>
      <c r="F46" s="50">
        <f>IF(E46="X",0,D46)</f>
        <v>0</v>
      </c>
    </row>
    <row r="47" spans="1:6">
      <c r="A47" s="75"/>
      <c r="B47" s="126"/>
      <c r="C47" s="55"/>
      <c r="D47" s="49"/>
      <c r="E47" s="337"/>
      <c r="F47" s="50"/>
    </row>
    <row r="48" spans="1:6">
      <c r="A48" s="75">
        <v>41247</v>
      </c>
      <c r="B48" s="126" t="s">
        <v>24757</v>
      </c>
      <c r="C48" s="55"/>
      <c r="D48" s="49">
        <v>210</v>
      </c>
      <c r="E48" s="337" t="s">
        <v>120</v>
      </c>
      <c r="F48" s="50">
        <f>IF(E48="X",0,D48)</f>
        <v>0</v>
      </c>
    </row>
    <row r="49" spans="1:6">
      <c r="A49" s="75"/>
      <c r="B49" s="126"/>
      <c r="C49" s="55"/>
      <c r="D49" s="49"/>
      <c r="E49" s="337"/>
      <c r="F49" s="50"/>
    </row>
    <row r="50" spans="1:6">
      <c r="A50" s="86">
        <v>41456</v>
      </c>
      <c r="B50" s="128" t="s">
        <v>6244</v>
      </c>
      <c r="C50" s="134"/>
      <c r="D50" s="98">
        <v>440</v>
      </c>
      <c r="E50" s="76" t="s">
        <v>9</v>
      </c>
      <c r="F50" s="50">
        <f t="shared" ref="F50:F55" si="1">IF(E50="X",0,D50)</f>
        <v>0</v>
      </c>
    </row>
    <row r="51" spans="1:6">
      <c r="A51" s="86">
        <v>41487</v>
      </c>
      <c r="B51" s="128" t="s">
        <v>6277</v>
      </c>
      <c r="C51" s="134"/>
      <c r="D51" s="98">
        <v>440</v>
      </c>
      <c r="E51" s="76" t="s">
        <v>9</v>
      </c>
      <c r="F51" s="50">
        <f t="shared" si="1"/>
        <v>0</v>
      </c>
    </row>
    <row r="52" spans="1:6">
      <c r="A52" s="86">
        <v>41518</v>
      </c>
      <c r="B52" s="128" t="s">
        <v>6312</v>
      </c>
      <c r="C52" s="134"/>
      <c r="D52" s="98">
        <v>440</v>
      </c>
      <c r="E52" s="76" t="s">
        <v>9</v>
      </c>
      <c r="F52" s="50">
        <f t="shared" si="1"/>
        <v>0</v>
      </c>
    </row>
    <row r="53" spans="1:6">
      <c r="A53" s="86">
        <v>41548</v>
      </c>
      <c r="B53" s="128" t="s">
        <v>6342</v>
      </c>
      <c r="C53" s="134"/>
      <c r="D53" s="98">
        <v>440</v>
      </c>
      <c r="E53" s="76" t="s">
        <v>9</v>
      </c>
      <c r="F53" s="50">
        <f t="shared" si="1"/>
        <v>0</v>
      </c>
    </row>
    <row r="54" spans="1:6">
      <c r="A54" s="86">
        <v>41579</v>
      </c>
      <c r="B54" s="128" t="s">
        <v>6362</v>
      </c>
      <c r="C54" s="134"/>
      <c r="D54" s="98">
        <v>440</v>
      </c>
      <c r="E54" s="76" t="s">
        <v>9</v>
      </c>
      <c r="F54" s="50">
        <f t="shared" si="1"/>
        <v>0</v>
      </c>
    </row>
    <row r="55" spans="1:6">
      <c r="A55" s="86">
        <v>41609</v>
      </c>
      <c r="B55" s="128" t="s">
        <v>24758</v>
      </c>
      <c r="C55" s="134"/>
      <c r="D55" s="98">
        <v>440</v>
      </c>
      <c r="E55" s="76" t="s">
        <v>9</v>
      </c>
      <c r="F55" s="50">
        <f t="shared" si="1"/>
        <v>0</v>
      </c>
    </row>
    <row r="56" spans="1:6">
      <c r="A56" s="86"/>
      <c r="B56" s="128"/>
      <c r="C56" s="134"/>
      <c r="D56" s="98"/>
      <c r="E56" s="76"/>
      <c r="F56" s="50"/>
    </row>
    <row r="57" spans="1:6">
      <c r="A57" s="86">
        <v>41470</v>
      </c>
      <c r="B57" s="128" t="s">
        <v>6268</v>
      </c>
      <c r="C57" s="134"/>
      <c r="D57" s="98">
        <v>270</v>
      </c>
      <c r="E57" s="76" t="s">
        <v>9</v>
      </c>
      <c r="F57" s="50">
        <f t="shared" ref="F57:F83" si="2">IF(E57="X",0,D57)</f>
        <v>0</v>
      </c>
    </row>
    <row r="58" spans="1:6">
      <c r="A58" s="86">
        <v>41501</v>
      </c>
      <c r="B58" s="128" t="s">
        <v>24759</v>
      </c>
      <c r="C58" s="134"/>
      <c r="D58" s="98">
        <v>270</v>
      </c>
      <c r="E58" s="76" t="s">
        <v>9</v>
      </c>
      <c r="F58" s="50">
        <f t="shared" si="2"/>
        <v>0</v>
      </c>
    </row>
    <row r="59" spans="1:6">
      <c r="A59" s="86">
        <v>41532</v>
      </c>
      <c r="B59" s="128" t="s">
        <v>6329</v>
      </c>
      <c r="C59" s="134"/>
      <c r="D59" s="98">
        <v>270</v>
      </c>
      <c r="E59" s="76" t="s">
        <v>9</v>
      </c>
      <c r="F59" s="50">
        <f t="shared" si="2"/>
        <v>0</v>
      </c>
    </row>
    <row r="60" spans="1:6">
      <c r="A60" s="86">
        <v>41562</v>
      </c>
      <c r="B60" s="128" t="s">
        <v>24760</v>
      </c>
      <c r="C60" s="134"/>
      <c r="D60" s="98">
        <v>270</v>
      </c>
      <c r="E60" s="76" t="s">
        <v>9</v>
      </c>
      <c r="F60" s="50">
        <f t="shared" si="2"/>
        <v>0</v>
      </c>
    </row>
    <row r="61" spans="1:6">
      <c r="A61" s="86">
        <v>41593</v>
      </c>
      <c r="B61" s="128" t="s">
        <v>24761</v>
      </c>
      <c r="C61" s="134"/>
      <c r="D61" s="98">
        <v>270</v>
      </c>
      <c r="E61" s="76" t="s">
        <v>9</v>
      </c>
      <c r="F61" s="50">
        <f t="shared" si="2"/>
        <v>0</v>
      </c>
    </row>
    <row r="62" spans="1:6">
      <c r="A62" s="86">
        <v>41623</v>
      </c>
      <c r="B62" s="128" t="s">
        <v>24762</v>
      </c>
      <c r="C62" s="134"/>
      <c r="D62" s="98">
        <v>270</v>
      </c>
      <c r="E62" s="76" t="s">
        <v>9</v>
      </c>
      <c r="F62" s="50">
        <f t="shared" si="2"/>
        <v>0</v>
      </c>
    </row>
    <row r="63" spans="1:6">
      <c r="A63" s="86">
        <v>41654</v>
      </c>
      <c r="B63" s="128" t="s">
        <v>24763</v>
      </c>
      <c r="C63" s="134"/>
      <c r="D63" s="98">
        <v>270</v>
      </c>
      <c r="E63" s="76" t="s">
        <v>9</v>
      </c>
      <c r="F63" s="50">
        <f t="shared" si="2"/>
        <v>0</v>
      </c>
    </row>
    <row r="64" spans="1:6">
      <c r="A64" s="86">
        <v>41685</v>
      </c>
      <c r="B64" s="128" t="s">
        <v>24764</v>
      </c>
      <c r="C64" s="134"/>
      <c r="D64" s="98">
        <v>270</v>
      </c>
      <c r="E64" s="76" t="s">
        <v>9</v>
      </c>
      <c r="F64" s="50">
        <f t="shared" si="2"/>
        <v>0</v>
      </c>
    </row>
    <row r="65" spans="1:6">
      <c r="A65" s="75"/>
      <c r="B65" s="126"/>
      <c r="C65" s="55"/>
      <c r="D65" s="49"/>
      <c r="E65" s="337"/>
      <c r="F65" s="50"/>
    </row>
    <row r="66" spans="1:6">
      <c r="A66" s="86">
        <v>41922</v>
      </c>
      <c r="B66" s="128" t="s">
        <v>24765</v>
      </c>
      <c r="C66" s="134"/>
      <c r="D66" s="98">
        <v>240</v>
      </c>
      <c r="E66" s="76" t="s">
        <v>9</v>
      </c>
      <c r="F66" s="50">
        <f t="shared" si="2"/>
        <v>0</v>
      </c>
    </row>
    <row r="67" spans="1:6">
      <c r="A67" s="86">
        <v>41649</v>
      </c>
      <c r="B67" s="128" t="s">
        <v>24766</v>
      </c>
      <c r="C67" s="134"/>
      <c r="D67" s="98">
        <v>240</v>
      </c>
      <c r="E67" s="76" t="s">
        <v>9</v>
      </c>
      <c r="F67" s="50">
        <f t="shared" si="2"/>
        <v>0</v>
      </c>
    </row>
    <row r="68" spans="1:6">
      <c r="A68" s="86">
        <v>41983</v>
      </c>
      <c r="B68" s="128" t="s">
        <v>6929</v>
      </c>
      <c r="C68" s="134"/>
      <c r="D68" s="98">
        <v>240</v>
      </c>
      <c r="E68" s="76" t="s">
        <v>9</v>
      </c>
      <c r="F68" s="50">
        <f t="shared" si="2"/>
        <v>0</v>
      </c>
    </row>
    <row r="69" spans="1:6">
      <c r="A69" s="86">
        <v>42014</v>
      </c>
      <c r="B69" s="128" t="s">
        <v>6982</v>
      </c>
      <c r="C69" s="134"/>
      <c r="D69" s="98">
        <v>240</v>
      </c>
      <c r="E69" s="76" t="s">
        <v>9</v>
      </c>
      <c r="F69" s="50">
        <f t="shared" si="2"/>
        <v>0</v>
      </c>
    </row>
    <row r="70" spans="1:6">
      <c r="A70" s="86">
        <v>42045</v>
      </c>
      <c r="B70" s="128" t="s">
        <v>7024</v>
      </c>
      <c r="C70" s="134"/>
      <c r="D70" s="98">
        <v>240</v>
      </c>
      <c r="E70" s="76" t="s">
        <v>9</v>
      </c>
      <c r="F70" s="50">
        <f t="shared" si="2"/>
        <v>0</v>
      </c>
    </row>
    <row r="71" spans="1:6">
      <c r="A71" s="86">
        <v>42073</v>
      </c>
      <c r="B71" s="128" t="s">
        <v>7040</v>
      </c>
      <c r="C71" s="134"/>
      <c r="D71" s="98">
        <v>240</v>
      </c>
      <c r="E71" s="76" t="s">
        <v>9</v>
      </c>
      <c r="F71" s="50">
        <f t="shared" si="2"/>
        <v>0</v>
      </c>
    </row>
    <row r="72" spans="1:6">
      <c r="A72" s="75"/>
      <c r="B72" s="126"/>
      <c r="C72" s="55"/>
      <c r="D72" s="49"/>
      <c r="E72" s="337"/>
      <c r="F72" s="50"/>
    </row>
    <row r="73" spans="1:6">
      <c r="A73" s="86">
        <v>42104</v>
      </c>
      <c r="B73" s="128" t="s">
        <v>24767</v>
      </c>
      <c r="C73" s="134"/>
      <c r="D73" s="98">
        <v>240</v>
      </c>
      <c r="E73" s="76" t="s">
        <v>9</v>
      </c>
      <c r="F73" s="50">
        <f t="shared" si="2"/>
        <v>0</v>
      </c>
    </row>
    <row r="74" spans="1:6">
      <c r="A74" s="86">
        <v>42134</v>
      </c>
      <c r="B74" s="128" t="s">
        <v>7090</v>
      </c>
      <c r="C74" s="134"/>
      <c r="D74" s="98">
        <v>240</v>
      </c>
      <c r="E74" s="76" t="s">
        <v>9</v>
      </c>
      <c r="F74" s="50">
        <f t="shared" si="2"/>
        <v>0</v>
      </c>
    </row>
    <row r="75" spans="1:6">
      <c r="A75" s="86">
        <v>42165</v>
      </c>
      <c r="B75" s="128" t="s">
        <v>7113</v>
      </c>
      <c r="C75" s="134"/>
      <c r="D75" s="98">
        <v>240</v>
      </c>
      <c r="E75" s="76" t="s">
        <v>9</v>
      </c>
      <c r="F75" s="50">
        <f t="shared" si="2"/>
        <v>0</v>
      </c>
    </row>
    <row r="76" spans="1:6">
      <c r="A76" s="86">
        <v>42195</v>
      </c>
      <c r="B76" s="128" t="s">
        <v>7132</v>
      </c>
      <c r="C76" s="134"/>
      <c r="D76" s="98">
        <v>240</v>
      </c>
      <c r="E76" s="76" t="s">
        <v>9</v>
      </c>
      <c r="F76" s="50">
        <f t="shared" si="2"/>
        <v>0</v>
      </c>
    </row>
    <row r="77" spans="1:6">
      <c r="A77" s="86">
        <v>42226</v>
      </c>
      <c r="B77" s="128" t="s">
        <v>7169</v>
      </c>
      <c r="C77" s="134"/>
      <c r="D77" s="98">
        <v>240</v>
      </c>
      <c r="E77" s="76" t="s">
        <v>9</v>
      </c>
      <c r="F77" s="50">
        <f t="shared" si="2"/>
        <v>0</v>
      </c>
    </row>
    <row r="78" spans="1:6">
      <c r="A78" s="86">
        <v>42257</v>
      </c>
      <c r="B78" s="128" t="s">
        <v>7180</v>
      </c>
      <c r="C78" s="134"/>
      <c r="D78" s="98">
        <v>240</v>
      </c>
      <c r="E78" s="76" t="s">
        <v>120</v>
      </c>
      <c r="F78" s="50">
        <f t="shared" si="2"/>
        <v>0</v>
      </c>
    </row>
    <row r="79" spans="1:6">
      <c r="A79" s="86"/>
      <c r="B79" s="128"/>
      <c r="C79" s="134"/>
      <c r="D79" s="98"/>
      <c r="E79" s="76"/>
      <c r="F79" s="50"/>
    </row>
    <row r="80" spans="1:6">
      <c r="A80" s="86">
        <v>42261</v>
      </c>
      <c r="B80" s="128" t="s">
        <v>7181</v>
      </c>
      <c r="C80" s="134"/>
      <c r="D80" s="98">
        <v>320</v>
      </c>
      <c r="E80" s="76" t="s">
        <v>120</v>
      </c>
      <c r="F80" s="50">
        <f t="shared" si="2"/>
        <v>0</v>
      </c>
    </row>
    <row r="81" spans="1:6">
      <c r="A81" s="86">
        <v>42291</v>
      </c>
      <c r="B81" s="128" t="s">
        <v>24768</v>
      </c>
      <c r="C81" s="134"/>
      <c r="D81" s="98">
        <v>320</v>
      </c>
      <c r="E81" s="76" t="s">
        <v>9</v>
      </c>
      <c r="F81" s="50">
        <f t="shared" si="2"/>
        <v>0</v>
      </c>
    </row>
    <row r="82" spans="1:6">
      <c r="A82" s="86"/>
      <c r="B82" s="128"/>
      <c r="C82" s="134"/>
      <c r="D82" s="98"/>
      <c r="E82" s="76"/>
      <c r="F82" s="50"/>
    </row>
    <row r="83" spans="1:6">
      <c r="A83" s="86">
        <v>42475</v>
      </c>
      <c r="B83" s="128" t="s">
        <v>7283</v>
      </c>
      <c r="C83" s="134"/>
      <c r="D83" s="98">
        <v>1200</v>
      </c>
      <c r="E83" s="76" t="s">
        <v>9</v>
      </c>
      <c r="F83" s="50">
        <f t="shared" si="2"/>
        <v>0</v>
      </c>
    </row>
    <row r="84" spans="1:6">
      <c r="A84" s="86"/>
      <c r="B84" s="128"/>
      <c r="C84" s="134"/>
      <c r="D84" s="98"/>
      <c r="E84" s="76"/>
      <c r="F84" s="50"/>
    </row>
    <row r="85" spans="1:6">
      <c r="A85" s="75"/>
      <c r="B85" s="126"/>
      <c r="C85" s="55"/>
      <c r="D85" s="49"/>
      <c r="E85" s="337"/>
      <c r="F85" s="50"/>
    </row>
    <row r="86" spans="1:6">
      <c r="A86" s="75"/>
      <c r="B86" s="126"/>
      <c r="C86" s="55"/>
      <c r="D86" s="49"/>
      <c r="E86" s="337"/>
      <c r="F86" s="50"/>
    </row>
    <row r="87" spans="1:6">
      <c r="A87" s="75"/>
      <c r="B87" s="126"/>
      <c r="C87" s="55"/>
      <c r="D87" s="49"/>
      <c r="E87" s="337"/>
      <c r="F87" s="50">
        <f>IF(E87="X",0,D87)</f>
        <v>0</v>
      </c>
    </row>
    <row r="88" spans="1:6">
      <c r="A88" s="75"/>
      <c r="B88" s="126"/>
      <c r="C88" s="55"/>
      <c r="D88" s="49"/>
      <c r="E88" s="337"/>
      <c r="F88" s="50"/>
    </row>
    <row r="89" spans="1:6">
      <c r="A89" s="464"/>
      <c r="B89" s="184" t="s">
        <v>12</v>
      </c>
      <c r="C89" s="426">
        <f>SUM(C21:C21)</f>
        <v>0</v>
      </c>
      <c r="D89" s="186">
        <f>SUM(D3:D88)</f>
        <v>18913.89</v>
      </c>
      <c r="E89" s="465"/>
      <c r="F89" s="61">
        <f>SUM(F3:F88)</f>
        <v>0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Plan73"/>
  <dimension ref="B3:G34"/>
  <sheetViews>
    <sheetView topLeftCell="A2" workbookViewId="0">
      <pane xSplit="7" ySplit="2" topLeftCell="H11" activePane="bottomRight" state="frozen"/>
      <selection pane="bottomRight" activeCell="H2" sqref="H2"/>
      <selection pane="bottomLeft" activeCell="A4" sqref="A4"/>
      <selection pane="topRight" activeCell="H2" sqref="H2"/>
    </sheetView>
  </sheetViews>
  <sheetFormatPr defaultColWidth="9" defaultRowHeight="13.5"/>
  <cols>
    <col min="1" max="1" width="9" style="3"/>
    <col min="2" max="2" width="16" style="3" customWidth="1"/>
    <col min="3" max="3" width="43.28515625" style="3" customWidth="1"/>
    <col min="4" max="4" width="9.42578125" style="3" customWidth="1"/>
    <col min="5" max="5" width="14.85546875" style="3" customWidth="1"/>
    <col min="6" max="6" width="9" style="3"/>
    <col min="7" max="7" width="8.28515625" style="3" customWidth="1"/>
    <col min="8" max="16384" width="9" style="3"/>
  </cols>
  <sheetData>
    <row r="3" spans="2:7">
      <c r="B3" s="37" t="s">
        <v>0</v>
      </c>
      <c r="C3" s="461" t="s">
        <v>1394</v>
      </c>
      <c r="D3" s="179" t="s">
        <v>3</v>
      </c>
      <c r="E3" s="180" t="s">
        <v>4</v>
      </c>
      <c r="F3" s="181" t="s">
        <v>12664</v>
      </c>
      <c r="G3" s="41"/>
    </row>
    <row r="4" spans="2:7">
      <c r="B4" s="83">
        <v>36258</v>
      </c>
      <c r="C4" s="38" t="s">
        <v>20385</v>
      </c>
      <c r="D4" s="53"/>
      <c r="E4" s="44">
        <v>40</v>
      </c>
      <c r="F4" s="334" t="s">
        <v>120</v>
      </c>
      <c r="G4" s="45" t="e">
        <f>#N/A</f>
        <v>#N/A</v>
      </c>
    </row>
    <row r="5" spans="2:7">
      <c r="B5" s="75">
        <v>36265</v>
      </c>
      <c r="C5" s="255" t="s">
        <v>24769</v>
      </c>
      <c r="D5" s="428"/>
      <c r="E5" s="49">
        <v>11</v>
      </c>
      <c r="F5" s="337" t="s">
        <v>120</v>
      </c>
      <c r="G5" s="50" t="e">
        <f>#N/A</f>
        <v>#N/A</v>
      </c>
    </row>
    <row r="6" spans="2:7">
      <c r="B6" s="75">
        <v>36276</v>
      </c>
      <c r="C6" s="255" t="s">
        <v>12676</v>
      </c>
      <c r="D6" s="171"/>
      <c r="E6" s="49">
        <v>24.3</v>
      </c>
      <c r="F6" s="337" t="s">
        <v>120</v>
      </c>
      <c r="G6" s="50" t="e">
        <f>#N/A</f>
        <v>#N/A</v>
      </c>
    </row>
    <row r="7" spans="2:7">
      <c r="B7" s="79">
        <v>36280</v>
      </c>
      <c r="C7" s="495" t="s">
        <v>20390</v>
      </c>
      <c r="D7" s="654"/>
      <c r="E7" s="58">
        <v>62.4</v>
      </c>
      <c r="F7" s="455" t="s">
        <v>120</v>
      </c>
      <c r="G7" s="183" t="e">
        <f>#N/A</f>
        <v>#N/A</v>
      </c>
    </row>
    <row r="8" spans="2:7">
      <c r="B8" s="75">
        <v>36306</v>
      </c>
      <c r="C8" s="255" t="s">
        <v>12678</v>
      </c>
      <c r="D8" s="171"/>
      <c r="E8" s="49">
        <v>24.3</v>
      </c>
      <c r="F8" s="337" t="s">
        <v>120</v>
      </c>
      <c r="G8" s="50" t="e">
        <f>#N/A</f>
        <v>#N/A</v>
      </c>
    </row>
    <row r="9" spans="2:7">
      <c r="B9" s="83">
        <v>36351</v>
      </c>
      <c r="C9" s="38" t="s">
        <v>20415</v>
      </c>
      <c r="D9" s="592"/>
      <c r="E9" s="44">
        <v>23</v>
      </c>
      <c r="F9" s="334" t="s">
        <v>120</v>
      </c>
      <c r="G9" s="45" t="e">
        <f>#N/A</f>
        <v>#N/A</v>
      </c>
    </row>
    <row r="10" spans="2:7">
      <c r="B10" s="75">
        <v>36355</v>
      </c>
      <c r="C10" s="255" t="s">
        <v>12684</v>
      </c>
      <c r="D10" s="55"/>
      <c r="E10" s="49">
        <v>26</v>
      </c>
      <c r="F10" s="337" t="s">
        <v>120</v>
      </c>
      <c r="G10" s="50" t="e">
        <f>#N/A</f>
        <v>#N/A</v>
      </c>
    </row>
    <row r="11" spans="2:7">
      <c r="B11" s="79">
        <v>36367</v>
      </c>
      <c r="C11" s="495" t="s">
        <v>24770</v>
      </c>
      <c r="D11" s="655"/>
      <c r="E11" s="58">
        <v>24</v>
      </c>
      <c r="F11" s="455" t="s">
        <v>120</v>
      </c>
      <c r="G11" s="183" t="e">
        <f>#N/A</f>
        <v>#N/A</v>
      </c>
    </row>
    <row r="12" spans="2:7">
      <c r="B12" s="83">
        <v>36386</v>
      </c>
      <c r="C12" s="38" t="s">
        <v>12686</v>
      </c>
      <c r="D12" s="53"/>
      <c r="E12" s="44">
        <v>26</v>
      </c>
      <c r="F12" s="334" t="s">
        <v>120</v>
      </c>
      <c r="G12" s="45" t="e">
        <f>#N/A</f>
        <v>#N/A</v>
      </c>
    </row>
    <row r="13" spans="2:7">
      <c r="B13" s="79">
        <v>36398</v>
      </c>
      <c r="C13" s="495" t="s">
        <v>24771</v>
      </c>
      <c r="D13" s="655"/>
      <c r="E13" s="58">
        <v>26</v>
      </c>
      <c r="F13" s="455" t="s">
        <v>120</v>
      </c>
      <c r="G13" s="183" t="e">
        <f>#N/A</f>
        <v>#N/A</v>
      </c>
    </row>
    <row r="14" spans="2:7">
      <c r="B14" s="75">
        <v>36417</v>
      </c>
      <c r="C14" s="255" t="s">
        <v>12689</v>
      </c>
      <c r="D14" s="55"/>
      <c r="E14" s="49">
        <v>26</v>
      </c>
      <c r="F14" s="337" t="s">
        <v>120</v>
      </c>
      <c r="G14" s="50" t="e">
        <f>#N/A</f>
        <v>#N/A</v>
      </c>
    </row>
    <row r="15" spans="2:7">
      <c r="B15" s="75">
        <v>36503</v>
      </c>
      <c r="C15" s="255" t="s">
        <v>12696</v>
      </c>
      <c r="D15" s="428"/>
      <c r="E15" s="49">
        <v>61</v>
      </c>
      <c r="F15" s="337" t="s">
        <v>120</v>
      </c>
      <c r="G15" s="50" t="e">
        <f>#N/A</f>
        <v>#N/A</v>
      </c>
    </row>
    <row r="16" spans="2:7">
      <c r="B16" s="75">
        <v>36532</v>
      </c>
      <c r="C16" s="255" t="s">
        <v>12698</v>
      </c>
      <c r="D16" s="594"/>
      <c r="E16" s="49">
        <v>188</v>
      </c>
      <c r="F16" s="337" t="s">
        <v>120</v>
      </c>
      <c r="G16" s="50" t="e">
        <f>#N/A</f>
        <v>#N/A</v>
      </c>
    </row>
    <row r="17" spans="2:7">
      <c r="B17" s="83"/>
      <c r="C17" s="656" t="s">
        <v>12711</v>
      </c>
      <c r="D17" s="592"/>
      <c r="E17" s="44"/>
      <c r="F17" s="334"/>
      <c r="G17" s="45"/>
    </row>
    <row r="18" spans="2:7">
      <c r="B18" s="75">
        <v>36861</v>
      </c>
      <c r="C18" s="255" t="s">
        <v>20488</v>
      </c>
      <c r="D18" s="594"/>
      <c r="E18" s="49">
        <v>15</v>
      </c>
      <c r="F18" s="337" t="s">
        <v>120</v>
      </c>
      <c r="G18" s="50" t="e">
        <f>#N/A</f>
        <v>#N/A</v>
      </c>
    </row>
    <row r="19" spans="2:7">
      <c r="B19" s="75">
        <v>36864</v>
      </c>
      <c r="C19" s="255" t="s">
        <v>24772</v>
      </c>
      <c r="D19" s="594"/>
      <c r="E19" s="49">
        <v>9.9700000000000006</v>
      </c>
      <c r="F19" s="337" t="s">
        <v>120</v>
      </c>
      <c r="G19" s="50" t="e">
        <f>#N/A</f>
        <v>#N/A</v>
      </c>
    </row>
    <row r="20" spans="2:7">
      <c r="B20" s="79">
        <v>36881</v>
      </c>
      <c r="C20" s="495" t="s">
        <v>12719</v>
      </c>
      <c r="D20" s="598"/>
      <c r="E20" s="58">
        <v>46.5</v>
      </c>
      <c r="F20" s="455" t="s">
        <v>120</v>
      </c>
      <c r="G20" s="183" t="e">
        <f>#N/A</f>
        <v>#N/A</v>
      </c>
    </row>
    <row r="21" spans="2:7">
      <c r="B21" s="83"/>
      <c r="C21" s="38" t="s">
        <v>24773</v>
      </c>
      <c r="D21" s="592"/>
      <c r="E21" s="44"/>
      <c r="F21" s="334"/>
      <c r="G21" s="45" t="e">
        <f>#N/A</f>
        <v>#N/A</v>
      </c>
    </row>
    <row r="22" spans="2:7">
      <c r="B22" s="75">
        <v>36893</v>
      </c>
      <c r="C22" s="255" t="s">
        <v>20495</v>
      </c>
      <c r="D22" s="594"/>
      <c r="E22" s="49">
        <v>19.899999999999999</v>
      </c>
      <c r="F22" s="337" t="s">
        <v>120</v>
      </c>
      <c r="G22" s="50" t="e">
        <f>#N/A</f>
        <v>#N/A</v>
      </c>
    </row>
    <row r="23" spans="2:7">
      <c r="B23" s="75">
        <v>36895</v>
      </c>
      <c r="C23" s="255" t="s">
        <v>12721</v>
      </c>
      <c r="D23" s="594"/>
      <c r="E23" s="49">
        <v>9.9700000000000006</v>
      </c>
      <c r="F23" s="337" t="s">
        <v>120</v>
      </c>
      <c r="G23" s="50" t="e">
        <f>#N/A</f>
        <v>#N/A</v>
      </c>
    </row>
    <row r="24" spans="2:7">
      <c r="B24" s="75">
        <v>36899</v>
      </c>
      <c r="C24" s="255" t="s">
        <v>24774</v>
      </c>
      <c r="D24" s="594"/>
      <c r="E24" s="49">
        <v>205</v>
      </c>
      <c r="F24" s="337" t="s">
        <v>120</v>
      </c>
      <c r="G24" s="50" t="e">
        <f>#N/A</f>
        <v>#N/A</v>
      </c>
    </row>
    <row r="25" spans="2:7">
      <c r="B25" s="75">
        <v>36901</v>
      </c>
      <c r="C25" s="255" t="s">
        <v>20496</v>
      </c>
      <c r="D25" s="594"/>
      <c r="E25" s="49">
        <v>19.899999999999999</v>
      </c>
      <c r="F25" s="337" t="s">
        <v>120</v>
      </c>
      <c r="G25" s="50" t="e">
        <f>#N/A</f>
        <v>#N/A</v>
      </c>
    </row>
    <row r="26" spans="2:7">
      <c r="B26" s="79">
        <v>36912</v>
      </c>
      <c r="C26" s="495" t="s">
        <v>12724</v>
      </c>
      <c r="D26" s="598"/>
      <c r="E26" s="58">
        <v>46.5</v>
      </c>
      <c r="F26" s="455" t="s">
        <v>120</v>
      </c>
      <c r="G26" s="183" t="e">
        <f>#N/A</f>
        <v>#N/A</v>
      </c>
    </row>
    <row r="27" spans="2:7">
      <c r="B27" s="83"/>
      <c r="C27" s="38" t="s">
        <v>24775</v>
      </c>
      <c r="D27" s="592"/>
      <c r="E27" s="44"/>
      <c r="F27" s="334"/>
      <c r="G27" s="619"/>
    </row>
    <row r="28" spans="2:7">
      <c r="B28" s="75">
        <v>36926</v>
      </c>
      <c r="C28" s="255" t="s">
        <v>12726</v>
      </c>
      <c r="D28" s="594"/>
      <c r="E28" s="49">
        <v>9.9700000000000006</v>
      </c>
      <c r="F28" s="337" t="s">
        <v>120</v>
      </c>
      <c r="G28" s="620">
        <f>IF(F28="X",0,E28)</f>
        <v>0</v>
      </c>
    </row>
    <row r="29" spans="2:7">
      <c r="B29" s="79">
        <v>36943</v>
      </c>
      <c r="C29" s="495" t="s">
        <v>12727</v>
      </c>
      <c r="D29" s="598"/>
      <c r="E29" s="58">
        <v>46.5</v>
      </c>
      <c r="F29" s="455" t="s">
        <v>120</v>
      </c>
      <c r="G29" s="621">
        <f>IF(F29="X",0,E29)</f>
        <v>0</v>
      </c>
    </row>
    <row r="30" spans="2:7">
      <c r="B30" s="83"/>
      <c r="C30" s="38" t="s">
        <v>24776</v>
      </c>
      <c r="D30" s="592"/>
      <c r="E30" s="44"/>
      <c r="F30" s="334"/>
      <c r="G30" s="619"/>
    </row>
    <row r="31" spans="2:7">
      <c r="B31" s="79">
        <v>36971</v>
      </c>
      <c r="C31" s="495" t="s">
        <v>12731</v>
      </c>
      <c r="D31" s="598"/>
      <c r="E31" s="58">
        <v>46.5</v>
      </c>
      <c r="F31" s="455" t="s">
        <v>120</v>
      </c>
      <c r="G31" s="183">
        <f>IF(F31="X",0,E31)</f>
        <v>0</v>
      </c>
    </row>
    <row r="32" spans="2:7">
      <c r="B32" s="83"/>
      <c r="C32" s="38" t="s">
        <v>24777</v>
      </c>
      <c r="D32" s="592"/>
      <c r="E32" s="44"/>
      <c r="F32" s="334"/>
      <c r="G32" s="45"/>
    </row>
    <row r="33" spans="2:7">
      <c r="B33" s="79">
        <v>37002</v>
      </c>
      <c r="C33" s="495" t="s">
        <v>24778</v>
      </c>
      <c r="D33" s="598"/>
      <c r="E33" s="58">
        <v>46.5</v>
      </c>
      <c r="F33" s="455" t="s">
        <v>120</v>
      </c>
      <c r="G33" s="183">
        <f>IF(F33="X",0,E33)</f>
        <v>0</v>
      </c>
    </row>
    <row r="34" spans="2:7">
      <c r="B34" s="46"/>
      <c r="C34" s="117" t="s">
        <v>12</v>
      </c>
      <c r="D34" s="426">
        <f>SUM(D6:D33)</f>
        <v>0</v>
      </c>
      <c r="E34" s="118">
        <f>SUM(E4:E33)</f>
        <v>1084.21</v>
      </c>
      <c r="F34" s="76"/>
      <c r="G34" s="98" t="e">
        <f>SUM(G4:G33)</f>
        <v>#N/A</v>
      </c>
    </row>
  </sheetData>
  <sheetProtection selectLockedCells="1" selectUnlockedCells="1"/>
  <pageMargins left="0.78749999999999998" right="0.78749999999999998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Plan65"/>
  <dimension ref="A1:G40"/>
  <sheetViews>
    <sheetView topLeftCell="A31" workbookViewId="0">
      <selection activeCell="G40" sqref="G40"/>
    </sheetView>
  </sheetViews>
  <sheetFormatPr defaultColWidth="9.140625" defaultRowHeight="13.5"/>
  <cols>
    <col min="1" max="1" width="17.85546875" style="3" customWidth="1"/>
    <col min="2" max="2" width="55.140625" style="3" customWidth="1"/>
    <col min="3" max="3" width="9.42578125" style="3" customWidth="1"/>
    <col min="4" max="4" width="16" style="3" customWidth="1"/>
    <col min="5" max="5" width="9" style="3" customWidth="1"/>
    <col min="6" max="6" width="17" style="3" customWidth="1"/>
    <col min="7" max="7" width="12.42578125" style="3" customWidth="1"/>
    <col min="8" max="16384" width="9.140625" style="3"/>
  </cols>
  <sheetData>
    <row r="1" spans="1:6">
      <c r="A1" s="37" t="s">
        <v>0</v>
      </c>
      <c r="B1" s="43" t="s">
        <v>1394</v>
      </c>
      <c r="C1" s="179" t="s">
        <v>3</v>
      </c>
      <c r="D1" s="180" t="s">
        <v>4</v>
      </c>
      <c r="E1" s="181" t="s">
        <v>12664</v>
      </c>
      <c r="F1" s="41"/>
    </row>
    <row r="2" spans="1:6">
      <c r="A2" s="86">
        <v>39235</v>
      </c>
      <c r="B2" s="52" t="s">
        <v>20607</v>
      </c>
      <c r="C2" s="134"/>
      <c r="D2" s="135">
        <v>89.9</v>
      </c>
      <c r="E2" s="76" t="s">
        <v>9</v>
      </c>
      <c r="F2" s="50" t="e">
        <f>#N/A</f>
        <v>#N/A</v>
      </c>
    </row>
    <row r="3" spans="1:6">
      <c r="A3" s="86">
        <v>39238</v>
      </c>
      <c r="B3" s="3" t="s">
        <v>24779</v>
      </c>
      <c r="C3" s="63"/>
      <c r="D3" s="135">
        <v>240</v>
      </c>
      <c r="E3" s="76" t="s">
        <v>9</v>
      </c>
      <c r="F3" s="50" t="e">
        <f>#N/A</f>
        <v>#N/A</v>
      </c>
    </row>
    <row r="4" spans="1:6">
      <c r="A4" s="86">
        <v>39600</v>
      </c>
      <c r="B4" s="3" t="s">
        <v>24780</v>
      </c>
      <c r="C4" s="134"/>
      <c r="D4" s="135">
        <v>1195</v>
      </c>
      <c r="E4" s="76" t="s">
        <v>9</v>
      </c>
      <c r="F4" s="50" t="e">
        <f>#N/A</f>
        <v>#N/A</v>
      </c>
    </row>
    <row r="5" spans="1:6">
      <c r="A5" s="86">
        <v>39627</v>
      </c>
      <c r="B5" s="3" t="s">
        <v>21056</v>
      </c>
      <c r="C5" s="134"/>
      <c r="D5" s="135">
        <v>680</v>
      </c>
      <c r="E5" s="76" t="s">
        <v>9</v>
      </c>
      <c r="F5" s="50" t="e">
        <f>#N/A</f>
        <v>#N/A</v>
      </c>
    </row>
    <row r="6" spans="1:6">
      <c r="A6" s="86">
        <v>39630</v>
      </c>
      <c r="B6" s="3" t="s">
        <v>24781</v>
      </c>
      <c r="C6" s="134"/>
      <c r="D6" s="135">
        <v>1000</v>
      </c>
      <c r="E6" s="76" t="s">
        <v>9</v>
      </c>
      <c r="F6" s="50" t="e">
        <f>#N/A</f>
        <v>#N/A</v>
      </c>
    </row>
    <row r="7" spans="1:6">
      <c r="A7" s="86">
        <v>39661</v>
      </c>
      <c r="B7" s="3" t="s">
        <v>21100</v>
      </c>
      <c r="C7" s="134"/>
      <c r="D7" s="135">
        <v>560</v>
      </c>
      <c r="E7" s="76" t="s">
        <v>9</v>
      </c>
      <c r="F7" s="50" t="e">
        <f>#N/A</f>
        <v>#N/A</v>
      </c>
    </row>
    <row r="8" spans="1:6">
      <c r="A8" s="86">
        <v>39671</v>
      </c>
      <c r="B8" s="3" t="s">
        <v>13294</v>
      </c>
      <c r="C8" s="134"/>
      <c r="D8" s="135">
        <v>109.39</v>
      </c>
      <c r="E8" s="76" t="s">
        <v>9</v>
      </c>
      <c r="F8" s="50" t="e">
        <f>#N/A</f>
        <v>#N/A</v>
      </c>
    </row>
    <row r="9" spans="1:6">
      <c r="A9" s="86">
        <v>39702</v>
      </c>
      <c r="B9" s="3" t="s">
        <v>13299</v>
      </c>
      <c r="C9" s="134"/>
      <c r="D9" s="135">
        <v>109.39</v>
      </c>
      <c r="E9" s="76" t="s">
        <v>9</v>
      </c>
      <c r="F9" s="50" t="e">
        <f>#N/A</f>
        <v>#N/A</v>
      </c>
    </row>
    <row r="10" spans="1:6">
      <c r="A10" s="86"/>
      <c r="C10" s="134"/>
      <c r="D10" s="135"/>
      <c r="E10" s="76"/>
      <c r="F10" s="50" t="e">
        <f>#N/A</f>
        <v>#N/A</v>
      </c>
    </row>
    <row r="11" spans="1:6">
      <c r="A11" s="86">
        <v>39887</v>
      </c>
      <c r="B11" s="3" t="s">
        <v>21380</v>
      </c>
      <c r="C11" s="134"/>
      <c r="D11" s="135">
        <v>135</v>
      </c>
      <c r="E11" s="76" t="s">
        <v>9</v>
      </c>
      <c r="F11" s="50" t="e">
        <f>#N/A</f>
        <v>#N/A</v>
      </c>
    </row>
    <row r="12" spans="1:6">
      <c r="A12" s="86">
        <v>39887</v>
      </c>
      <c r="B12" s="3" t="s">
        <v>21378</v>
      </c>
      <c r="C12" s="134"/>
      <c r="D12" s="135">
        <v>518</v>
      </c>
      <c r="E12" s="76" t="s">
        <v>9</v>
      </c>
      <c r="F12" s="50" t="e">
        <f>#N/A</f>
        <v>#N/A</v>
      </c>
    </row>
    <row r="13" spans="1:6">
      <c r="A13" s="86"/>
      <c r="C13" s="134"/>
      <c r="D13" s="135"/>
      <c r="E13" s="76"/>
      <c r="F13" s="50"/>
    </row>
    <row r="14" spans="1:6">
      <c r="A14" s="86">
        <v>39913</v>
      </c>
      <c r="B14" s="3" t="s">
        <v>21418</v>
      </c>
      <c r="C14" s="134"/>
      <c r="D14" s="135">
        <v>173</v>
      </c>
      <c r="E14" s="76" t="s">
        <v>9</v>
      </c>
      <c r="F14" s="50">
        <f>IF(E14="X",0,D14)</f>
        <v>0</v>
      </c>
    </row>
    <row r="15" spans="1:6">
      <c r="A15" s="86">
        <v>39918</v>
      </c>
      <c r="B15" s="3" t="s">
        <v>21423</v>
      </c>
      <c r="C15" s="134"/>
      <c r="D15" s="135">
        <v>135</v>
      </c>
      <c r="E15" s="76" t="s">
        <v>120</v>
      </c>
      <c r="F15" s="50">
        <f>IF(E15="X",0,D15)</f>
        <v>0</v>
      </c>
    </row>
    <row r="16" spans="1:6">
      <c r="A16" s="86">
        <v>39918</v>
      </c>
      <c r="B16" s="3" t="s">
        <v>24782</v>
      </c>
      <c r="C16" s="134"/>
      <c r="D16" s="135">
        <v>518</v>
      </c>
      <c r="E16" s="76" t="s">
        <v>9</v>
      </c>
      <c r="F16" s="50">
        <f>IF(E16="X",0,D16)</f>
        <v>0</v>
      </c>
    </row>
    <row r="17" spans="1:7">
      <c r="A17" s="86">
        <v>39924</v>
      </c>
      <c r="B17" s="3" t="s">
        <v>21452</v>
      </c>
      <c r="C17" s="134"/>
      <c r="D17" s="135">
        <v>172.48</v>
      </c>
      <c r="E17" s="76" t="s">
        <v>9</v>
      </c>
      <c r="F17" s="50">
        <f>IF(E17="X",0,D17)</f>
        <v>0</v>
      </c>
    </row>
    <row r="18" spans="1:7">
      <c r="A18" s="86"/>
      <c r="C18" s="134"/>
      <c r="D18" s="135"/>
      <c r="E18" s="76"/>
      <c r="F18" s="50"/>
    </row>
    <row r="19" spans="1:7">
      <c r="A19" s="86">
        <v>39948</v>
      </c>
      <c r="B19" s="3" t="s">
        <v>21466</v>
      </c>
      <c r="C19" s="134"/>
      <c r="D19" s="135">
        <v>135</v>
      </c>
      <c r="E19" s="76" t="s">
        <v>9</v>
      </c>
      <c r="F19" s="50">
        <f>IF(E19="X",0,D19)</f>
        <v>0</v>
      </c>
    </row>
    <row r="20" spans="1:7">
      <c r="A20" s="86">
        <v>39948</v>
      </c>
      <c r="B20" s="3" t="s">
        <v>21467</v>
      </c>
      <c r="C20" s="134"/>
      <c r="D20" s="135">
        <v>518</v>
      </c>
      <c r="E20" s="76" t="s">
        <v>9</v>
      </c>
      <c r="F20" s="50">
        <f>IF(E20="X",0,D20)</f>
        <v>0</v>
      </c>
      <c r="G20" s="36"/>
    </row>
    <row r="21" spans="1:7">
      <c r="A21" s="86"/>
      <c r="C21" s="134"/>
      <c r="D21" s="135"/>
      <c r="E21" s="76"/>
      <c r="F21" s="50"/>
    </row>
    <row r="22" spans="1:7">
      <c r="A22" s="86">
        <v>39979</v>
      </c>
      <c r="B22" s="3" t="s">
        <v>21496</v>
      </c>
      <c r="C22" s="134"/>
      <c r="D22" s="135">
        <v>518</v>
      </c>
      <c r="E22" s="76" t="s">
        <v>9</v>
      </c>
      <c r="F22" s="50" t="e">
        <f>#N/A</f>
        <v>#N/A</v>
      </c>
    </row>
    <row r="23" spans="1:7">
      <c r="A23" s="86"/>
      <c r="C23" s="63"/>
      <c r="D23" s="135"/>
      <c r="E23" s="76"/>
      <c r="F23" s="50" t="e">
        <f>#N/A</f>
        <v>#N/A</v>
      </c>
    </row>
    <row r="24" spans="1:7">
      <c r="A24" s="86"/>
      <c r="C24" s="63"/>
      <c r="D24" s="135"/>
      <c r="E24" s="76"/>
      <c r="F24" s="50" t="e">
        <f>#N/A</f>
        <v>#N/A</v>
      </c>
    </row>
    <row r="25" spans="1:7">
      <c r="A25" s="86">
        <v>40500</v>
      </c>
      <c r="B25" s="3" t="s">
        <v>24783</v>
      </c>
      <c r="C25" s="63"/>
      <c r="D25" s="135">
        <v>431.86</v>
      </c>
      <c r="E25" s="76" t="s">
        <v>9</v>
      </c>
      <c r="F25" s="50" t="e">
        <f>#N/A</f>
        <v>#N/A</v>
      </c>
    </row>
    <row r="26" spans="1:7">
      <c r="A26" s="86"/>
      <c r="C26" s="63"/>
      <c r="D26" s="135"/>
      <c r="E26" s="76"/>
      <c r="F26" s="50" t="e">
        <f>#N/A</f>
        <v>#N/A</v>
      </c>
    </row>
    <row r="27" spans="1:7">
      <c r="A27" s="86">
        <v>40530</v>
      </c>
      <c r="B27" s="3" t="s">
        <v>24784</v>
      </c>
      <c r="C27" s="63"/>
      <c r="D27" s="135">
        <v>431.86</v>
      </c>
      <c r="E27" s="76" t="s">
        <v>9</v>
      </c>
      <c r="F27" s="50" t="e">
        <f>#N/A</f>
        <v>#N/A</v>
      </c>
    </row>
    <row r="28" spans="1:7">
      <c r="A28" s="86"/>
      <c r="C28" s="63"/>
      <c r="D28" s="135"/>
      <c r="E28" s="76"/>
      <c r="F28" s="50" t="e">
        <f>#N/A</f>
        <v>#N/A</v>
      </c>
    </row>
    <row r="29" spans="1:7">
      <c r="A29" s="86">
        <v>40561</v>
      </c>
      <c r="B29" s="3" t="s">
        <v>24785</v>
      </c>
      <c r="C29" s="134"/>
      <c r="D29" s="135">
        <v>431.86</v>
      </c>
      <c r="E29" s="76" t="s">
        <v>9</v>
      </c>
      <c r="F29" s="50" t="e">
        <f>#N/A</f>
        <v>#N/A</v>
      </c>
    </row>
    <row r="30" spans="1:7">
      <c r="A30" s="86"/>
      <c r="C30" s="134"/>
      <c r="D30" s="135"/>
      <c r="E30" s="76"/>
      <c r="F30" s="50"/>
    </row>
    <row r="31" spans="1:7">
      <c r="A31" s="86">
        <v>40725</v>
      </c>
      <c r="B31" s="3" t="s">
        <v>22441</v>
      </c>
      <c r="C31" s="134"/>
      <c r="D31" s="135">
        <v>1100</v>
      </c>
      <c r="E31" s="76" t="s">
        <v>9</v>
      </c>
      <c r="F31" s="50">
        <f>IF(E31="X",0,D31)</f>
        <v>0</v>
      </c>
    </row>
    <row r="32" spans="1:7">
      <c r="A32" s="86"/>
      <c r="C32" s="134"/>
      <c r="D32" s="135"/>
      <c r="E32" s="76"/>
      <c r="F32" s="50"/>
    </row>
    <row r="33" spans="1:6">
      <c r="A33" s="86">
        <v>40756</v>
      </c>
      <c r="B33" s="3" t="s">
        <v>22475</v>
      </c>
      <c r="C33" s="134"/>
      <c r="D33" s="135">
        <v>1000</v>
      </c>
      <c r="E33" s="76" t="s">
        <v>9</v>
      </c>
      <c r="F33" s="50">
        <f>IF(E33="X",0,D33)</f>
        <v>0</v>
      </c>
    </row>
    <row r="34" spans="1:6">
      <c r="A34" s="86"/>
      <c r="B34" s="128"/>
      <c r="C34" s="134"/>
      <c r="D34" s="98"/>
      <c r="E34" s="76"/>
      <c r="F34" s="50"/>
    </row>
    <row r="35" spans="1:6">
      <c r="A35" s="86">
        <v>41006</v>
      </c>
      <c r="B35" s="128" t="s">
        <v>24786</v>
      </c>
      <c r="C35" s="134"/>
      <c r="D35" s="98">
        <v>1068.94</v>
      </c>
      <c r="E35" s="76" t="s">
        <v>9</v>
      </c>
      <c r="F35" s="50">
        <f>IF(E35="X",0,D35)</f>
        <v>0</v>
      </c>
    </row>
    <row r="36" spans="1:6">
      <c r="A36" s="86"/>
      <c r="B36" s="128"/>
      <c r="C36" s="134"/>
      <c r="D36" s="98"/>
      <c r="E36" s="76"/>
      <c r="F36" s="50"/>
    </row>
    <row r="37" spans="1:6">
      <c r="A37" s="86"/>
      <c r="B37" s="128"/>
      <c r="C37" s="134"/>
      <c r="D37" s="98"/>
      <c r="E37" s="76"/>
      <c r="F37" s="50"/>
    </row>
    <row r="38" spans="1:6">
      <c r="A38" s="86"/>
      <c r="B38" s="128"/>
      <c r="C38" s="134"/>
      <c r="D38" s="98"/>
      <c r="E38" s="76"/>
      <c r="F38" s="50"/>
    </row>
    <row r="39" spans="1:6">
      <c r="A39" s="95"/>
      <c r="B39" s="128"/>
      <c r="C39" s="182"/>
      <c r="D39" s="98"/>
      <c r="E39" s="80"/>
      <c r="F39" s="183"/>
    </row>
    <row r="40" spans="1:6">
      <c r="A40" s="119"/>
      <c r="B40" s="184" t="s">
        <v>12</v>
      </c>
      <c r="C40" s="185">
        <f>SUM(C4:C4)</f>
        <v>0</v>
      </c>
      <c r="D40" s="186">
        <f>SUM(D2:D39)</f>
        <v>11270.679999999998</v>
      </c>
      <c r="E40" s="80"/>
      <c r="F40" s="97" t="e">
        <f>SUM(F2:F39)</f>
        <v>#N/A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Plan27"/>
  <dimension ref="A1:F12"/>
  <sheetViews>
    <sheetView workbookViewId="0">
      <pane xSplit="6" ySplit="1" topLeftCell="G2" activePane="bottomRight" state="frozen"/>
      <selection pane="bottomRight" activeCell="G1" sqref="G1"/>
      <selection pane="bottomLeft" activeCell="A2" sqref="A2"/>
      <selection pane="topRight" activeCell="G1" sqref="G1"/>
    </sheetView>
  </sheetViews>
  <sheetFormatPr defaultColWidth="9.140625" defaultRowHeight="13.5"/>
  <cols>
    <col min="1" max="1" width="13.7109375" style="3" bestFit="1" customWidth="1"/>
    <col min="2" max="2" width="59.85546875" style="3" customWidth="1"/>
    <col min="3" max="3" width="9.42578125" style="3" customWidth="1"/>
    <col min="4" max="4" width="16" style="3" bestFit="1" customWidth="1"/>
    <col min="5" max="5" width="8" style="3" bestFit="1" customWidth="1"/>
    <col min="6" max="6" width="17" style="3" customWidth="1"/>
    <col min="7" max="16384" width="9.140625" style="3"/>
  </cols>
  <sheetData>
    <row r="1" spans="1:6">
      <c r="A1" s="37" t="s">
        <v>0</v>
      </c>
      <c r="B1" s="461" t="s">
        <v>1394</v>
      </c>
      <c r="C1" s="179" t="s">
        <v>3</v>
      </c>
      <c r="D1" s="180" t="s">
        <v>4</v>
      </c>
      <c r="E1" s="181" t="s">
        <v>12664</v>
      </c>
      <c r="F1" s="41"/>
    </row>
    <row r="2" spans="1:6">
      <c r="A2" s="86"/>
      <c r="B2" s="128"/>
      <c r="C2" s="134"/>
      <c r="D2" s="98"/>
      <c r="E2" s="76"/>
      <c r="F2" s="50"/>
    </row>
    <row r="3" spans="1:6">
      <c r="A3" s="86"/>
      <c r="B3" s="128"/>
      <c r="C3" s="134"/>
      <c r="D3" s="98"/>
      <c r="E3" s="76"/>
      <c r="F3" s="50">
        <f>IF(E3="X",0,D3)</f>
        <v>0</v>
      </c>
    </row>
    <row r="4" spans="1:6">
      <c r="A4" s="86"/>
      <c r="B4" s="128"/>
      <c r="C4" s="134"/>
      <c r="D4" s="98"/>
      <c r="E4" s="76"/>
      <c r="F4" s="50">
        <f>IF(E4="X",0,D4)</f>
        <v>0</v>
      </c>
    </row>
    <row r="5" spans="1:6">
      <c r="A5" s="86"/>
      <c r="B5" s="128"/>
      <c r="C5" s="134"/>
      <c r="D5" s="98"/>
      <c r="E5" s="76"/>
      <c r="F5" s="50"/>
    </row>
    <row r="6" spans="1:6">
      <c r="A6" s="86"/>
      <c r="B6" s="128"/>
      <c r="C6" s="134"/>
      <c r="D6" s="98"/>
      <c r="E6" s="76"/>
      <c r="F6" s="50"/>
    </row>
    <row r="7" spans="1:6">
      <c r="A7" s="86"/>
      <c r="B7" s="128"/>
      <c r="C7" s="134"/>
      <c r="D7" s="98"/>
      <c r="E7" s="76"/>
      <c r="F7" s="50"/>
    </row>
    <row r="8" spans="1:6">
      <c r="A8" s="75"/>
      <c r="B8" s="126"/>
      <c r="C8" s="55"/>
      <c r="D8" s="49"/>
      <c r="E8" s="337"/>
      <c r="F8" s="50"/>
    </row>
    <row r="9" spans="1:6">
      <c r="A9" s="75"/>
      <c r="B9" s="126"/>
      <c r="C9" s="55"/>
      <c r="D9" s="49"/>
      <c r="E9" s="337"/>
      <c r="F9" s="50"/>
    </row>
    <row r="10" spans="1:6">
      <c r="A10" s="75"/>
      <c r="B10" s="126"/>
      <c r="C10" s="55"/>
      <c r="D10" s="49"/>
      <c r="E10" s="337"/>
      <c r="F10" s="50">
        <f>IF(E10="X",0,D10)</f>
        <v>0</v>
      </c>
    </row>
    <row r="11" spans="1:6">
      <c r="A11" s="75"/>
      <c r="B11" s="126"/>
      <c r="C11" s="55"/>
      <c r="D11" s="49"/>
      <c r="E11" s="337"/>
      <c r="F11" s="50"/>
    </row>
    <row r="12" spans="1:6">
      <c r="A12" s="464"/>
      <c r="B12" s="184" t="s">
        <v>12</v>
      </c>
      <c r="C12" s="426">
        <f>SUM(C2:C11)</f>
        <v>0</v>
      </c>
      <c r="D12" s="186">
        <f>SUM(D2:D11)</f>
        <v>0</v>
      </c>
      <c r="E12" s="465"/>
      <c r="F12" s="61">
        <f>SUM(F2:F11)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DC76-E383-4F5A-A57F-99DDEFA60DA7}">
  <sheetPr codeName="Planilha34">
    <tabColor theme="9"/>
  </sheetPr>
  <dimension ref="A1"/>
  <sheetViews>
    <sheetView workbookViewId="0"/>
  </sheetViews>
  <sheetFormatPr defaultRowHeight="12.75"/>
  <sheetData>
    <row r="1" spans="1:1">
      <c r="A1" t="s">
        <v>24787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Plan47"/>
  <dimension ref="B1:G33"/>
  <sheetViews>
    <sheetView topLeftCell="A19" workbookViewId="0">
      <selection activeCell="C48" sqref="C48"/>
    </sheetView>
  </sheetViews>
  <sheetFormatPr defaultColWidth="9" defaultRowHeight="13.5"/>
  <cols>
    <col min="1" max="1" width="3.42578125" style="3" customWidth="1"/>
    <col min="2" max="2" width="16" style="3" customWidth="1"/>
    <col min="3" max="3" width="41" style="3" customWidth="1"/>
    <col min="4" max="4" width="9.42578125" style="3" customWidth="1"/>
    <col min="5" max="5" width="14.85546875" style="3" customWidth="1"/>
    <col min="6" max="6" width="9" style="3"/>
    <col min="7" max="7" width="14.85546875" style="3" customWidth="1"/>
    <col min="8" max="16384" width="9" style="3"/>
  </cols>
  <sheetData>
    <row r="1" spans="2:7">
      <c r="C1" s="52" t="s">
        <v>24788</v>
      </c>
      <c r="D1" s="594"/>
      <c r="E1" s="98" t="e">
        <f>G32</f>
        <v>#N/A</v>
      </c>
      <c r="G1" s="36" t="e">
        <f>E32-E1</f>
        <v>#N/A</v>
      </c>
    </row>
    <row r="2" spans="2:7">
      <c r="B2" s="37" t="s">
        <v>0</v>
      </c>
      <c r="C2" s="461" t="s">
        <v>1394</v>
      </c>
      <c r="D2" s="179" t="s">
        <v>3</v>
      </c>
      <c r="E2" s="180" t="s">
        <v>4</v>
      </c>
      <c r="F2" s="181" t="s">
        <v>12664</v>
      </c>
      <c r="G2" s="41"/>
    </row>
    <row r="3" spans="2:7">
      <c r="B3" s="83"/>
      <c r="C3" s="43" t="s">
        <v>12768</v>
      </c>
      <c r="D3" s="53"/>
      <c r="E3" s="94"/>
      <c r="F3" s="37"/>
      <c r="G3" s="45" t="e">
        <f>#N/A</f>
        <v>#N/A</v>
      </c>
    </row>
    <row r="4" spans="2:7">
      <c r="B4" s="75">
        <v>37302</v>
      </c>
      <c r="C4" s="52" t="s">
        <v>24789</v>
      </c>
      <c r="D4" s="55"/>
      <c r="E4" s="98">
        <v>72.48</v>
      </c>
      <c r="F4" s="76" t="s">
        <v>120</v>
      </c>
      <c r="G4" s="50" t="e">
        <f>#N/A</f>
        <v>#N/A</v>
      </c>
    </row>
    <row r="5" spans="2:7">
      <c r="B5" s="75"/>
      <c r="C5" s="47" t="s">
        <v>12772</v>
      </c>
      <c r="D5" s="594"/>
      <c r="E5" s="98"/>
      <c r="F5" s="597"/>
      <c r="G5" s="50" t="e">
        <f>#N/A</f>
        <v>#N/A</v>
      </c>
    </row>
    <row r="6" spans="2:7">
      <c r="B6" s="75">
        <v>37330</v>
      </c>
      <c r="C6" s="52" t="s">
        <v>24790</v>
      </c>
      <c r="D6" s="594"/>
      <c r="E6" s="98">
        <v>72.48</v>
      </c>
      <c r="F6" s="76" t="s">
        <v>120</v>
      </c>
      <c r="G6" s="50" t="e">
        <f>#N/A</f>
        <v>#N/A</v>
      </c>
    </row>
    <row r="7" spans="2:7">
      <c r="B7" s="83"/>
      <c r="C7" s="43" t="s">
        <v>12779</v>
      </c>
      <c r="D7" s="592"/>
      <c r="E7" s="94"/>
      <c r="F7" s="37"/>
      <c r="G7" s="45" t="e">
        <f>#N/A</f>
        <v>#N/A</v>
      </c>
    </row>
    <row r="8" spans="2:7">
      <c r="B8" s="79">
        <v>37361</v>
      </c>
      <c r="C8" s="477" t="s">
        <v>24791</v>
      </c>
      <c r="D8" s="598"/>
      <c r="E8" s="97">
        <v>72.48</v>
      </c>
      <c r="F8" s="80" t="s">
        <v>120</v>
      </c>
      <c r="G8" s="183" t="e">
        <f>#N/A</f>
        <v>#N/A</v>
      </c>
    </row>
    <row r="9" spans="2:7">
      <c r="B9" s="75"/>
      <c r="C9" s="52" t="s">
        <v>12786</v>
      </c>
      <c r="D9" s="594"/>
      <c r="E9" s="98"/>
      <c r="F9" s="76"/>
      <c r="G9" s="50" t="e">
        <f>#N/A</f>
        <v>#N/A</v>
      </c>
    </row>
    <row r="10" spans="2:7">
      <c r="B10" s="75">
        <v>37391</v>
      </c>
      <c r="C10" s="52" t="s">
        <v>24792</v>
      </c>
      <c r="D10" s="594"/>
      <c r="E10" s="98">
        <v>72.48</v>
      </c>
      <c r="F10" s="76" t="s">
        <v>120</v>
      </c>
      <c r="G10" s="50" t="e">
        <f>#N/A</f>
        <v>#N/A</v>
      </c>
    </row>
    <row r="11" spans="2:7">
      <c r="B11" s="83"/>
      <c r="C11" s="43" t="s">
        <v>12790</v>
      </c>
      <c r="D11" s="54"/>
      <c r="E11" s="94"/>
      <c r="F11" s="37"/>
      <c r="G11" s="45" t="e">
        <f>#N/A</f>
        <v>#N/A</v>
      </c>
    </row>
    <row r="12" spans="2:7">
      <c r="B12" s="75">
        <v>37422</v>
      </c>
      <c r="C12" s="52" t="s">
        <v>24793</v>
      </c>
      <c r="D12" s="594"/>
      <c r="E12" s="98">
        <v>72.48</v>
      </c>
      <c r="F12" s="76" t="s">
        <v>120</v>
      </c>
      <c r="G12" s="50" t="e">
        <f>#N/A</f>
        <v>#N/A</v>
      </c>
    </row>
    <row r="13" spans="2:7">
      <c r="B13" s="83"/>
      <c r="C13" s="43" t="s">
        <v>12797</v>
      </c>
      <c r="D13" s="54"/>
      <c r="E13" s="94"/>
      <c r="F13" s="37"/>
      <c r="G13" s="45" t="e">
        <f>#N/A</f>
        <v>#N/A</v>
      </c>
    </row>
    <row r="14" spans="2:7">
      <c r="B14" s="75">
        <v>37452</v>
      </c>
      <c r="C14" s="52" t="s">
        <v>24794</v>
      </c>
      <c r="D14" s="594"/>
      <c r="E14" s="98">
        <v>72.48</v>
      </c>
      <c r="F14" s="76" t="s">
        <v>120</v>
      </c>
      <c r="G14" s="50" t="e">
        <f>#N/A</f>
        <v>#N/A</v>
      </c>
    </row>
    <row r="15" spans="2:7">
      <c r="B15" s="83"/>
      <c r="C15" s="43" t="s">
        <v>12805</v>
      </c>
      <c r="D15" s="54"/>
      <c r="E15" s="94"/>
      <c r="F15" s="37"/>
      <c r="G15" s="45" t="e">
        <f>#N/A</f>
        <v>#N/A</v>
      </c>
    </row>
    <row r="16" spans="2:7">
      <c r="B16" s="79">
        <v>37483</v>
      </c>
      <c r="C16" s="477" t="s">
        <v>24795</v>
      </c>
      <c r="D16" s="598"/>
      <c r="E16" s="97">
        <v>72.48</v>
      </c>
      <c r="F16" s="80" t="s">
        <v>120</v>
      </c>
      <c r="G16" s="183" t="e">
        <f>#N/A</f>
        <v>#N/A</v>
      </c>
    </row>
    <row r="17" spans="2:7">
      <c r="B17" s="75"/>
      <c r="C17" s="52" t="s">
        <v>12814</v>
      </c>
      <c r="D17" s="51"/>
      <c r="E17" s="98"/>
      <c r="F17" s="76"/>
      <c r="G17" s="50" t="e">
        <f>#N/A</f>
        <v>#N/A</v>
      </c>
    </row>
    <row r="18" spans="2:7">
      <c r="B18" s="75">
        <v>37515</v>
      </c>
      <c r="C18" s="52" t="s">
        <v>24796</v>
      </c>
      <c r="D18" s="594"/>
      <c r="E18" s="98">
        <v>72.48</v>
      </c>
      <c r="F18" s="76" t="s">
        <v>120</v>
      </c>
      <c r="G18" s="50" t="e">
        <f>#N/A</f>
        <v>#N/A</v>
      </c>
    </row>
    <row r="19" spans="2:7">
      <c r="B19" s="83"/>
      <c r="C19" s="43" t="s">
        <v>12822</v>
      </c>
      <c r="D19" s="54"/>
      <c r="E19" s="94"/>
      <c r="F19" s="37"/>
      <c r="G19" s="45" t="e">
        <f>#N/A</f>
        <v>#N/A</v>
      </c>
    </row>
    <row r="20" spans="2:7">
      <c r="B20" s="79">
        <v>37544</v>
      </c>
      <c r="C20" s="477" t="s">
        <v>24797</v>
      </c>
      <c r="D20" s="598"/>
      <c r="E20" s="97">
        <v>72.48</v>
      </c>
      <c r="F20" s="80" t="s">
        <v>120</v>
      </c>
      <c r="G20" s="183" t="e">
        <f>#N/A</f>
        <v>#N/A</v>
      </c>
    </row>
    <row r="21" spans="2:7">
      <c r="B21" s="75"/>
      <c r="C21" s="3" t="s">
        <v>12829</v>
      </c>
      <c r="D21" s="51"/>
      <c r="E21" s="98"/>
      <c r="F21" s="76"/>
      <c r="G21" s="50" t="e">
        <f>#N/A</f>
        <v>#N/A</v>
      </c>
    </row>
    <row r="22" spans="2:7">
      <c r="B22" s="75">
        <v>37575</v>
      </c>
      <c r="C22" s="52" t="s">
        <v>24798</v>
      </c>
      <c r="D22" s="594"/>
      <c r="E22" s="98">
        <v>72.48</v>
      </c>
      <c r="F22" s="76" t="s">
        <v>120</v>
      </c>
      <c r="G22" s="50" t="e">
        <f>#N/A</f>
        <v>#N/A</v>
      </c>
    </row>
    <row r="23" spans="2:7">
      <c r="B23" s="83"/>
      <c r="C23" s="43" t="s">
        <v>12834</v>
      </c>
      <c r="D23" s="54"/>
      <c r="E23" s="94"/>
      <c r="F23" s="37"/>
      <c r="G23" s="45" t="e">
        <f>#N/A</f>
        <v>#N/A</v>
      </c>
    </row>
    <row r="24" spans="2:7">
      <c r="B24" s="75">
        <v>37592</v>
      </c>
      <c r="C24" s="52" t="s">
        <v>24799</v>
      </c>
      <c r="D24" s="594"/>
      <c r="E24" s="98">
        <v>58.98</v>
      </c>
      <c r="F24" s="76" t="s">
        <v>9</v>
      </c>
      <c r="G24" s="50" t="e">
        <f>#N/A</f>
        <v>#N/A</v>
      </c>
    </row>
    <row r="25" spans="2:7">
      <c r="B25" s="75">
        <v>37592</v>
      </c>
      <c r="C25" s="52" t="s">
        <v>24800</v>
      </c>
      <c r="D25" s="594"/>
      <c r="E25" s="98">
        <v>58.97</v>
      </c>
      <c r="F25" s="76" t="s">
        <v>9</v>
      </c>
      <c r="G25" s="50" t="e">
        <f>#N/A</f>
        <v>#N/A</v>
      </c>
    </row>
    <row r="26" spans="2:7">
      <c r="B26" s="75">
        <v>37592</v>
      </c>
      <c r="C26" s="52" t="s">
        <v>24801</v>
      </c>
      <c r="D26" s="594"/>
      <c r="E26" s="98">
        <v>58.97</v>
      </c>
      <c r="F26" s="76" t="s">
        <v>9</v>
      </c>
      <c r="G26" s="50" t="e">
        <f>#N/A</f>
        <v>#N/A</v>
      </c>
    </row>
    <row r="27" spans="2:7">
      <c r="B27" s="75">
        <v>37592</v>
      </c>
      <c r="C27" s="52" t="s">
        <v>24802</v>
      </c>
      <c r="D27" s="594"/>
      <c r="E27" s="98">
        <v>58.97</v>
      </c>
      <c r="F27" s="76" t="s">
        <v>9</v>
      </c>
      <c r="G27" s="50" t="e">
        <f>#N/A</f>
        <v>#N/A</v>
      </c>
    </row>
    <row r="28" spans="2:7">
      <c r="B28" s="75">
        <v>37592</v>
      </c>
      <c r="C28" s="52" t="s">
        <v>24803</v>
      </c>
      <c r="D28" s="594"/>
      <c r="E28" s="98">
        <v>58.97</v>
      </c>
      <c r="F28" s="76" t="s">
        <v>9</v>
      </c>
      <c r="G28" s="50" t="e">
        <f>#N/A</f>
        <v>#N/A</v>
      </c>
    </row>
    <row r="29" spans="2:7">
      <c r="B29" s="75">
        <v>37592</v>
      </c>
      <c r="C29" s="52" t="s">
        <v>24804</v>
      </c>
      <c r="D29" s="594"/>
      <c r="E29" s="98">
        <v>58.97</v>
      </c>
      <c r="F29" s="76" t="s">
        <v>9</v>
      </c>
      <c r="G29" s="50" t="e">
        <f>#N/A</f>
        <v>#N/A</v>
      </c>
    </row>
    <row r="30" spans="2:7">
      <c r="B30" s="75">
        <v>37592</v>
      </c>
      <c r="C30" s="52" t="s">
        <v>24805</v>
      </c>
      <c r="D30" s="594"/>
      <c r="E30" s="98">
        <v>58.97</v>
      </c>
      <c r="F30" s="76" t="s">
        <v>9</v>
      </c>
      <c r="G30" s="50" t="e">
        <f>#N/A</f>
        <v>#N/A</v>
      </c>
    </row>
    <row r="31" spans="2:7">
      <c r="B31" s="75">
        <v>37592</v>
      </c>
      <c r="C31" s="52" t="s">
        <v>24806</v>
      </c>
      <c r="D31" s="594"/>
      <c r="E31" s="98">
        <v>58.97</v>
      </c>
      <c r="F31" s="76" t="s">
        <v>9</v>
      </c>
      <c r="G31" s="50" t="e">
        <f>#N/A</f>
        <v>#N/A</v>
      </c>
    </row>
    <row r="32" spans="2:7">
      <c r="B32" s="46"/>
      <c r="C32" s="184" t="s">
        <v>12</v>
      </c>
      <c r="D32" s="426">
        <f>SUM(D5:D31)</f>
        <v>0</v>
      </c>
      <c r="E32" s="186">
        <f>SUM(E3:E31)</f>
        <v>1196.5700000000002</v>
      </c>
      <c r="F32" s="46"/>
      <c r="G32" s="186" t="e">
        <f>SUM(G3:G31)</f>
        <v>#N/A</v>
      </c>
    </row>
    <row r="33" spans="2:7">
      <c r="B33" s="24"/>
      <c r="C33" s="465"/>
      <c r="D33" s="595"/>
      <c r="E33" s="61"/>
      <c r="F33" s="465"/>
      <c r="G33" s="599"/>
    </row>
  </sheetData>
  <sheetProtection selectLockedCells="1" selectUnlockedCells="1"/>
  <pageMargins left="0.78749999999999998" right="0.78749999999999998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Planilha27"/>
  <dimension ref="A1:J42"/>
  <sheetViews>
    <sheetView workbookViewId="0">
      <pane xSplit="10" ySplit="1" topLeftCell="K2" activePane="bottomRight" state="frozen"/>
      <selection pane="bottomRight" activeCell="K1" sqref="K1"/>
      <selection pane="bottomLeft" activeCell="A2" sqref="A2"/>
      <selection pane="topRight" activeCell="K1" sqref="K1"/>
    </sheetView>
  </sheetViews>
  <sheetFormatPr defaultColWidth="9.140625" defaultRowHeight="13.5"/>
  <cols>
    <col min="1" max="1" width="3.28515625" style="3" bestFit="1" customWidth="1"/>
    <col min="2" max="2" width="16.140625" style="3" customWidth="1"/>
    <col min="3" max="3" width="70.28515625" style="3" bestFit="1" customWidth="1"/>
    <col min="4" max="4" width="17.5703125" style="3" customWidth="1"/>
    <col min="5" max="6" width="14.85546875" bestFit="1" customWidth="1"/>
    <col min="7" max="7" width="7.85546875" bestFit="1" customWidth="1"/>
    <col min="8" max="8" width="12.42578125" bestFit="1" customWidth="1"/>
    <col min="9" max="9" width="5.5703125" bestFit="1" customWidth="1"/>
    <col min="10" max="10" width="12.42578125" bestFit="1" customWidth="1"/>
    <col min="11" max="16384" width="9.140625" style="3"/>
  </cols>
  <sheetData>
    <row r="1" spans="1:10">
      <c r="A1" s="3" t="s">
        <v>356</v>
      </c>
      <c r="B1" s="1055" t="s">
        <v>0</v>
      </c>
      <c r="C1" s="836" t="s">
        <v>1394</v>
      </c>
      <c r="D1" s="1056" t="s">
        <v>363</v>
      </c>
      <c r="E1" s="837" t="s">
        <v>1396</v>
      </c>
      <c r="F1" s="948" t="s">
        <v>1397</v>
      </c>
      <c r="G1" s="837" t="s">
        <v>1398</v>
      </c>
      <c r="H1" s="837" t="s">
        <v>1399</v>
      </c>
      <c r="I1" s="837" t="s">
        <v>1400</v>
      </c>
      <c r="J1" s="837"/>
    </row>
    <row r="2" spans="1:10">
      <c r="A2" s="3">
        <v>1</v>
      </c>
      <c r="B2" s="1057">
        <v>43845</v>
      </c>
      <c r="C2" s="836" t="s">
        <v>24807</v>
      </c>
      <c r="D2" s="947">
        <f t="shared" ref="D2:D25" si="0">$D$29</f>
        <v>385.02</v>
      </c>
      <c r="E2" s="838"/>
      <c r="F2" s="948"/>
      <c r="G2" s="951" t="str">
        <f>IF(F2&lt;&gt;"",F2/D2,"")</f>
        <v/>
      </c>
      <c r="H2" s="949" t="str">
        <f>IF(F2&lt;&gt;"",D2-F2,"")</f>
        <v/>
      </c>
      <c r="I2" s="839" t="str">
        <f>IF(E2&gt;0,1,"")</f>
        <v/>
      </c>
      <c r="J2" s="947">
        <f>IF(I2=1,0,D2)</f>
        <v>385.02</v>
      </c>
    </row>
    <row r="3" spans="1:10">
      <c r="A3" s="3">
        <v>2</v>
      </c>
      <c r="B3" s="1057">
        <v>43876</v>
      </c>
      <c r="C3" s="836" t="s">
        <v>24808</v>
      </c>
      <c r="D3" s="947">
        <f t="shared" si="0"/>
        <v>385.02</v>
      </c>
      <c r="E3" s="838"/>
      <c r="F3" s="948"/>
      <c r="G3" s="951" t="str">
        <f t="shared" ref="G3:G25" si="1">IF(F3&lt;&gt;"",F3/D3,"")</f>
        <v/>
      </c>
      <c r="H3" s="949" t="str">
        <f t="shared" ref="H3:H25" si="2">IF(F3&lt;&gt;"",D3-F3,"")</f>
        <v/>
      </c>
      <c r="I3" s="839" t="str">
        <f t="shared" ref="I3:I25" si="3">IF(E3&gt;0,1,"")</f>
        <v/>
      </c>
      <c r="J3" s="947">
        <f t="shared" ref="J3:J25" si="4">IF(I3=1,0,D3)</f>
        <v>385.02</v>
      </c>
    </row>
    <row r="4" spans="1:10">
      <c r="A4" s="3">
        <v>3</v>
      </c>
      <c r="B4" s="1057">
        <v>43905</v>
      </c>
      <c r="C4" s="836" t="s">
        <v>24809</v>
      </c>
      <c r="D4" s="947">
        <f t="shared" si="0"/>
        <v>385.02</v>
      </c>
      <c r="E4" s="838"/>
      <c r="F4" s="948"/>
      <c r="G4" s="951" t="str">
        <f t="shared" si="1"/>
        <v/>
      </c>
      <c r="H4" s="949" t="str">
        <f t="shared" si="2"/>
        <v/>
      </c>
      <c r="I4" s="839" t="str">
        <f t="shared" si="3"/>
        <v/>
      </c>
      <c r="J4" s="947">
        <f t="shared" si="4"/>
        <v>385.02</v>
      </c>
    </row>
    <row r="5" spans="1:10">
      <c r="A5" s="3">
        <v>4</v>
      </c>
      <c r="B5" s="1057">
        <v>43936</v>
      </c>
      <c r="C5" s="836" t="s">
        <v>24810</v>
      </c>
      <c r="D5" s="947">
        <f t="shared" si="0"/>
        <v>385.02</v>
      </c>
      <c r="E5" s="838"/>
      <c r="F5" s="948"/>
      <c r="G5" s="951" t="str">
        <f t="shared" si="1"/>
        <v/>
      </c>
      <c r="H5" s="949" t="str">
        <f t="shared" si="2"/>
        <v/>
      </c>
      <c r="I5" s="839" t="str">
        <f t="shared" si="3"/>
        <v/>
      </c>
      <c r="J5" s="947">
        <f t="shared" si="4"/>
        <v>385.02</v>
      </c>
    </row>
    <row r="6" spans="1:10">
      <c r="A6" s="3">
        <v>5</v>
      </c>
      <c r="B6" s="1057">
        <v>43966</v>
      </c>
      <c r="C6" s="836" t="s">
        <v>24811</v>
      </c>
      <c r="D6" s="947">
        <f t="shared" si="0"/>
        <v>385.02</v>
      </c>
      <c r="E6" s="838"/>
      <c r="F6" s="948"/>
      <c r="G6" s="951" t="str">
        <f t="shared" si="1"/>
        <v/>
      </c>
      <c r="H6" s="949" t="str">
        <f t="shared" si="2"/>
        <v/>
      </c>
      <c r="I6" s="839" t="str">
        <f t="shared" si="3"/>
        <v/>
      </c>
      <c r="J6" s="947">
        <f t="shared" si="4"/>
        <v>385.02</v>
      </c>
    </row>
    <row r="7" spans="1:10">
      <c r="A7" s="3">
        <v>6</v>
      </c>
      <c r="B7" s="1057">
        <v>43997</v>
      </c>
      <c r="C7" s="836" t="s">
        <v>24812</v>
      </c>
      <c r="D7" s="947">
        <f t="shared" si="0"/>
        <v>385.02</v>
      </c>
      <c r="E7" s="838"/>
      <c r="F7" s="948"/>
      <c r="G7" s="951" t="str">
        <f t="shared" si="1"/>
        <v/>
      </c>
      <c r="H7" s="949" t="str">
        <f t="shared" si="2"/>
        <v/>
      </c>
      <c r="I7" s="839" t="str">
        <f t="shared" si="3"/>
        <v/>
      </c>
      <c r="J7" s="947">
        <f t="shared" si="4"/>
        <v>385.02</v>
      </c>
    </row>
    <row r="8" spans="1:10">
      <c r="A8" s="3">
        <v>7</v>
      </c>
      <c r="B8" s="1057">
        <v>44027</v>
      </c>
      <c r="C8" s="836" t="s">
        <v>24813</v>
      </c>
      <c r="D8" s="947">
        <f t="shared" si="0"/>
        <v>385.02</v>
      </c>
      <c r="E8" s="838"/>
      <c r="F8" s="948"/>
      <c r="G8" s="951" t="str">
        <f t="shared" si="1"/>
        <v/>
      </c>
      <c r="H8" s="949" t="str">
        <f t="shared" si="2"/>
        <v/>
      </c>
      <c r="I8" s="839" t="str">
        <f t="shared" si="3"/>
        <v/>
      </c>
      <c r="J8" s="947">
        <f t="shared" si="4"/>
        <v>385.02</v>
      </c>
    </row>
    <row r="9" spans="1:10">
      <c r="A9" s="3">
        <v>8</v>
      </c>
      <c r="B9" s="1057">
        <v>44058</v>
      </c>
      <c r="C9" s="836" t="s">
        <v>24814</v>
      </c>
      <c r="D9" s="947">
        <f t="shared" si="0"/>
        <v>385.02</v>
      </c>
      <c r="E9" s="838"/>
      <c r="F9" s="948"/>
      <c r="G9" s="951" t="str">
        <f t="shared" si="1"/>
        <v/>
      </c>
      <c r="H9" s="949" t="str">
        <f t="shared" si="2"/>
        <v/>
      </c>
      <c r="I9" s="839" t="str">
        <f t="shared" si="3"/>
        <v/>
      </c>
      <c r="J9" s="947">
        <f t="shared" si="4"/>
        <v>385.02</v>
      </c>
    </row>
    <row r="10" spans="1:10">
      <c r="A10" s="3">
        <v>9</v>
      </c>
      <c r="B10" s="1057">
        <v>44089</v>
      </c>
      <c r="C10" s="836" t="s">
        <v>24815</v>
      </c>
      <c r="D10" s="947">
        <f t="shared" si="0"/>
        <v>385.02</v>
      </c>
      <c r="E10" s="838"/>
      <c r="F10" s="948"/>
      <c r="G10" s="951" t="str">
        <f t="shared" si="1"/>
        <v/>
      </c>
      <c r="H10" s="949" t="str">
        <f t="shared" si="2"/>
        <v/>
      </c>
      <c r="I10" s="839" t="str">
        <f t="shared" si="3"/>
        <v/>
      </c>
      <c r="J10" s="947">
        <f t="shared" si="4"/>
        <v>385.02</v>
      </c>
    </row>
    <row r="11" spans="1:10">
      <c r="A11" s="3">
        <v>10</v>
      </c>
      <c r="B11" s="1057">
        <v>44119</v>
      </c>
      <c r="C11" s="836" t="s">
        <v>24816</v>
      </c>
      <c r="D11" s="947">
        <f t="shared" si="0"/>
        <v>385.02</v>
      </c>
      <c r="E11" s="838"/>
      <c r="F11" s="948"/>
      <c r="G11" s="951" t="str">
        <f t="shared" si="1"/>
        <v/>
      </c>
      <c r="H11" s="949" t="str">
        <f t="shared" si="2"/>
        <v/>
      </c>
      <c r="I11" s="839" t="str">
        <f t="shared" si="3"/>
        <v/>
      </c>
      <c r="J11" s="947">
        <f t="shared" si="4"/>
        <v>385.02</v>
      </c>
    </row>
    <row r="12" spans="1:10">
      <c r="A12" s="3">
        <v>11</v>
      </c>
      <c r="B12" s="1057">
        <v>44150</v>
      </c>
      <c r="C12" s="836" t="s">
        <v>24817</v>
      </c>
      <c r="D12" s="947">
        <f t="shared" si="0"/>
        <v>385.02</v>
      </c>
      <c r="E12" s="838"/>
      <c r="F12" s="948"/>
      <c r="G12" s="951" t="str">
        <f t="shared" si="1"/>
        <v/>
      </c>
      <c r="H12" s="949" t="str">
        <f t="shared" si="2"/>
        <v/>
      </c>
      <c r="I12" s="839" t="str">
        <f t="shared" si="3"/>
        <v/>
      </c>
      <c r="J12" s="947">
        <f t="shared" si="4"/>
        <v>385.02</v>
      </c>
    </row>
    <row r="13" spans="1:10">
      <c r="A13" s="3">
        <v>12</v>
      </c>
      <c r="B13" s="1057">
        <v>44180</v>
      </c>
      <c r="C13" s="836" t="s">
        <v>24818</v>
      </c>
      <c r="D13" s="947">
        <f t="shared" si="0"/>
        <v>385.02</v>
      </c>
      <c r="E13" s="838"/>
      <c r="F13" s="948"/>
      <c r="G13" s="951" t="str">
        <f t="shared" si="1"/>
        <v/>
      </c>
      <c r="H13" s="949" t="str">
        <f t="shared" si="2"/>
        <v/>
      </c>
      <c r="I13" s="839" t="str">
        <f t="shared" si="3"/>
        <v/>
      </c>
      <c r="J13" s="947">
        <f t="shared" si="4"/>
        <v>385.02</v>
      </c>
    </row>
    <row r="14" spans="1:10">
      <c r="A14" s="3">
        <v>13</v>
      </c>
      <c r="B14" s="1057">
        <v>44211</v>
      </c>
      <c r="C14" s="836" t="s">
        <v>24819</v>
      </c>
      <c r="D14" s="947">
        <f t="shared" si="0"/>
        <v>385.02</v>
      </c>
      <c r="E14" s="838"/>
      <c r="F14" s="948"/>
      <c r="G14" s="951" t="str">
        <f t="shared" si="1"/>
        <v/>
      </c>
      <c r="H14" s="949" t="str">
        <f t="shared" si="2"/>
        <v/>
      </c>
      <c r="I14" s="839" t="str">
        <f t="shared" si="3"/>
        <v/>
      </c>
      <c r="J14" s="947">
        <f t="shared" si="4"/>
        <v>385.02</v>
      </c>
    </row>
    <row r="15" spans="1:10">
      <c r="A15" s="3">
        <v>14</v>
      </c>
      <c r="B15" s="1057">
        <v>44242</v>
      </c>
      <c r="C15" s="836" t="s">
        <v>24820</v>
      </c>
      <c r="D15" s="947">
        <f t="shared" si="0"/>
        <v>385.02</v>
      </c>
      <c r="E15" s="838"/>
      <c r="F15" s="948"/>
      <c r="G15" s="951" t="str">
        <f t="shared" si="1"/>
        <v/>
      </c>
      <c r="H15" s="949" t="str">
        <f t="shared" si="2"/>
        <v/>
      </c>
      <c r="I15" s="839" t="str">
        <f t="shared" si="3"/>
        <v/>
      </c>
      <c r="J15" s="947">
        <f t="shared" si="4"/>
        <v>385.02</v>
      </c>
    </row>
    <row r="16" spans="1:10">
      <c r="A16" s="3">
        <v>15</v>
      </c>
      <c r="B16" s="1057">
        <v>44270</v>
      </c>
      <c r="C16" s="836" t="s">
        <v>24821</v>
      </c>
      <c r="D16" s="947">
        <f t="shared" si="0"/>
        <v>385.02</v>
      </c>
      <c r="E16" s="838"/>
      <c r="F16" s="948"/>
      <c r="G16" s="951" t="str">
        <f t="shared" si="1"/>
        <v/>
      </c>
      <c r="H16" s="949" t="str">
        <f t="shared" si="2"/>
        <v/>
      </c>
      <c r="I16" s="839" t="str">
        <f t="shared" si="3"/>
        <v/>
      </c>
      <c r="J16" s="947">
        <f t="shared" si="4"/>
        <v>385.02</v>
      </c>
    </row>
    <row r="17" spans="1:10">
      <c r="A17" s="3">
        <v>16</v>
      </c>
      <c r="B17" s="1057">
        <v>44301</v>
      </c>
      <c r="C17" s="836" t="s">
        <v>24822</v>
      </c>
      <c r="D17" s="947">
        <f t="shared" si="0"/>
        <v>385.02</v>
      </c>
      <c r="E17" s="838"/>
      <c r="F17" s="948"/>
      <c r="G17" s="951" t="str">
        <f t="shared" si="1"/>
        <v/>
      </c>
      <c r="H17" s="949" t="str">
        <f t="shared" si="2"/>
        <v/>
      </c>
      <c r="I17" s="839" t="str">
        <f t="shared" si="3"/>
        <v/>
      </c>
      <c r="J17" s="947">
        <f t="shared" si="4"/>
        <v>385.02</v>
      </c>
    </row>
    <row r="18" spans="1:10">
      <c r="A18" s="3">
        <v>17</v>
      </c>
      <c r="B18" s="1057">
        <v>44331</v>
      </c>
      <c r="C18" s="836" t="s">
        <v>24823</v>
      </c>
      <c r="D18" s="947">
        <f t="shared" si="0"/>
        <v>385.02</v>
      </c>
      <c r="E18" s="838"/>
      <c r="F18" s="948"/>
      <c r="G18" s="951" t="str">
        <f t="shared" si="1"/>
        <v/>
      </c>
      <c r="H18" s="949" t="str">
        <f t="shared" si="2"/>
        <v/>
      </c>
      <c r="I18" s="839" t="str">
        <f t="shared" si="3"/>
        <v/>
      </c>
      <c r="J18" s="947">
        <f t="shared" si="4"/>
        <v>385.02</v>
      </c>
    </row>
    <row r="19" spans="1:10">
      <c r="A19" s="3">
        <v>18</v>
      </c>
      <c r="B19" s="1057">
        <v>44362</v>
      </c>
      <c r="C19" s="836" t="s">
        <v>24824</v>
      </c>
      <c r="D19" s="947">
        <f t="shared" si="0"/>
        <v>385.02</v>
      </c>
      <c r="E19" s="838"/>
      <c r="F19" s="948"/>
      <c r="G19" s="951" t="str">
        <f t="shared" si="1"/>
        <v/>
      </c>
      <c r="H19" s="949" t="str">
        <f t="shared" si="2"/>
        <v/>
      </c>
      <c r="I19" s="839" t="str">
        <f t="shared" si="3"/>
        <v/>
      </c>
      <c r="J19" s="947">
        <f t="shared" si="4"/>
        <v>385.02</v>
      </c>
    </row>
    <row r="20" spans="1:10">
      <c r="A20" s="3">
        <v>19</v>
      </c>
      <c r="B20" s="1057">
        <v>44392</v>
      </c>
      <c r="C20" s="836" t="s">
        <v>24825</v>
      </c>
      <c r="D20" s="947">
        <f t="shared" si="0"/>
        <v>385.02</v>
      </c>
      <c r="E20" s="838"/>
      <c r="F20" s="948"/>
      <c r="G20" s="951" t="str">
        <f t="shared" si="1"/>
        <v/>
      </c>
      <c r="H20" s="949" t="str">
        <f t="shared" si="2"/>
        <v/>
      </c>
      <c r="I20" s="839" t="str">
        <f t="shared" si="3"/>
        <v/>
      </c>
      <c r="J20" s="947">
        <f t="shared" si="4"/>
        <v>385.02</v>
      </c>
    </row>
    <row r="21" spans="1:10">
      <c r="A21" s="3">
        <v>20</v>
      </c>
      <c r="B21" s="1057">
        <v>44423</v>
      </c>
      <c r="C21" s="836" t="s">
        <v>24826</v>
      </c>
      <c r="D21" s="947">
        <f t="shared" si="0"/>
        <v>385.02</v>
      </c>
      <c r="E21" s="838"/>
      <c r="F21" s="948"/>
      <c r="G21" s="951" t="str">
        <f t="shared" si="1"/>
        <v/>
      </c>
      <c r="H21" s="949" t="str">
        <f t="shared" si="2"/>
        <v/>
      </c>
      <c r="I21" s="839" t="str">
        <f t="shared" si="3"/>
        <v/>
      </c>
      <c r="J21" s="947">
        <f t="shared" si="4"/>
        <v>385.02</v>
      </c>
    </row>
    <row r="22" spans="1:10">
      <c r="A22" s="3">
        <v>21</v>
      </c>
      <c r="B22" s="1057">
        <v>44454</v>
      </c>
      <c r="C22" s="836" t="s">
        <v>24827</v>
      </c>
      <c r="D22" s="947">
        <f t="shared" si="0"/>
        <v>385.02</v>
      </c>
      <c r="E22" s="838"/>
      <c r="F22" s="948"/>
      <c r="G22" s="951" t="str">
        <f t="shared" si="1"/>
        <v/>
      </c>
      <c r="H22" s="949" t="str">
        <f t="shared" si="2"/>
        <v/>
      </c>
      <c r="I22" s="839" t="str">
        <f t="shared" si="3"/>
        <v/>
      </c>
      <c r="J22" s="947">
        <f t="shared" si="4"/>
        <v>385.02</v>
      </c>
    </row>
    <row r="23" spans="1:10">
      <c r="A23" s="3">
        <v>22</v>
      </c>
      <c r="B23" s="1057">
        <v>44484</v>
      </c>
      <c r="C23" s="836" t="s">
        <v>24828</v>
      </c>
      <c r="D23" s="947">
        <f t="shared" si="0"/>
        <v>385.02</v>
      </c>
      <c r="E23" s="838"/>
      <c r="F23" s="948"/>
      <c r="G23" s="951" t="str">
        <f t="shared" si="1"/>
        <v/>
      </c>
      <c r="H23" s="949" t="str">
        <f t="shared" si="2"/>
        <v/>
      </c>
      <c r="I23" s="839" t="str">
        <f t="shared" si="3"/>
        <v/>
      </c>
      <c r="J23" s="947">
        <f t="shared" si="4"/>
        <v>385.02</v>
      </c>
    </row>
    <row r="24" spans="1:10">
      <c r="A24" s="3">
        <v>23</v>
      </c>
      <c r="B24" s="1057">
        <v>44515</v>
      </c>
      <c r="C24" s="836" t="s">
        <v>24829</v>
      </c>
      <c r="D24" s="947">
        <f t="shared" si="0"/>
        <v>385.02</v>
      </c>
      <c r="E24" s="838"/>
      <c r="F24" s="948"/>
      <c r="G24" s="951" t="str">
        <f t="shared" si="1"/>
        <v/>
      </c>
      <c r="H24" s="949" t="str">
        <f t="shared" si="2"/>
        <v/>
      </c>
      <c r="I24" s="839" t="str">
        <f t="shared" si="3"/>
        <v/>
      </c>
      <c r="J24" s="947">
        <f t="shared" si="4"/>
        <v>385.02</v>
      </c>
    </row>
    <row r="25" spans="1:10">
      <c r="A25" s="3">
        <v>24</v>
      </c>
      <c r="B25" s="1057">
        <v>44545</v>
      </c>
      <c r="C25" s="836" t="s">
        <v>24830</v>
      </c>
      <c r="D25" s="947">
        <f t="shared" si="0"/>
        <v>385.02</v>
      </c>
      <c r="E25" s="838"/>
      <c r="F25" s="948"/>
      <c r="G25" s="951" t="str">
        <f t="shared" si="1"/>
        <v/>
      </c>
      <c r="H25" s="949" t="str">
        <f t="shared" si="2"/>
        <v/>
      </c>
      <c r="I25" s="839" t="str">
        <f t="shared" si="3"/>
        <v/>
      </c>
      <c r="J25" s="947">
        <f t="shared" si="4"/>
        <v>385.02</v>
      </c>
    </row>
    <row r="26" spans="1:10">
      <c r="B26" s="1057"/>
      <c r="C26" s="836"/>
      <c r="D26" s="947"/>
    </row>
    <row r="27" spans="1:10" ht="14.25" thickBot="1">
      <c r="B27" s="1028"/>
      <c r="C27" s="1053" t="s">
        <v>12</v>
      </c>
      <c r="D27" s="1054">
        <f>SUM(D2:D25)</f>
        <v>9240.480000000005</v>
      </c>
    </row>
    <row r="28" spans="1:10">
      <c r="C28" s="1039" t="s">
        <v>24831</v>
      </c>
      <c r="D28" s="1330">
        <v>6200</v>
      </c>
      <c r="F28" s="1326"/>
    </row>
    <row r="29" spans="1:10">
      <c r="C29" s="1040" t="s">
        <v>24832</v>
      </c>
      <c r="D29" s="1328">
        <v>385.02</v>
      </c>
      <c r="F29" s="1326"/>
    </row>
    <row r="30" spans="1:10">
      <c r="C30" s="1040" t="s">
        <v>24833</v>
      </c>
      <c r="D30" s="1327">
        <v>24</v>
      </c>
      <c r="F30" s="1326"/>
    </row>
    <row r="31" spans="1:10">
      <c r="C31" s="1040" t="s">
        <v>9746</v>
      </c>
      <c r="D31" s="1045">
        <v>3.2000000000000001E-2</v>
      </c>
    </row>
    <row r="32" spans="1:10">
      <c r="C32" s="1040" t="s">
        <v>24834</v>
      </c>
      <c r="D32" s="1045">
        <f>D31*12</f>
        <v>0.38400000000000001</v>
      </c>
    </row>
    <row r="33" spans="3:5">
      <c r="C33" s="1040" t="s">
        <v>24835</v>
      </c>
      <c r="D33" s="1045">
        <f>D30*D31</f>
        <v>0.76800000000000002</v>
      </c>
      <c r="E33" s="1326"/>
    </row>
    <row r="34" spans="3:5">
      <c r="C34" s="1040" t="s">
        <v>24836</v>
      </c>
      <c r="D34" s="1328">
        <f>D30*D29</f>
        <v>9240.48</v>
      </c>
    </row>
    <row r="35" spans="3:5">
      <c r="C35" s="1040" t="s">
        <v>24837</v>
      </c>
      <c r="D35" s="1328">
        <f>D34-D28</f>
        <v>3040.4799999999996</v>
      </c>
    </row>
    <row r="36" spans="3:5">
      <c r="C36" s="1040" t="s">
        <v>24838</v>
      </c>
      <c r="D36" s="1328">
        <f>D35/D30</f>
        <v>126.68666666666665</v>
      </c>
    </row>
    <row r="37" spans="3:5">
      <c r="C37" s="1040" t="s">
        <v>24839</v>
      </c>
      <c r="D37" s="1328">
        <f>SUM(F2:F25)</f>
        <v>0</v>
      </c>
    </row>
    <row r="38" spans="3:5">
      <c r="C38" s="1040" t="s">
        <v>24840</v>
      </c>
      <c r="D38" s="1328">
        <f>D27-D40</f>
        <v>0</v>
      </c>
    </row>
    <row r="39" spans="3:5">
      <c r="C39" s="1040" t="s">
        <v>24841</v>
      </c>
      <c r="D39" s="1328">
        <f>SUM(H2:H25)</f>
        <v>0</v>
      </c>
    </row>
    <row r="40" spans="3:5" ht="14.25" thickBot="1">
      <c r="C40" s="1041" t="s">
        <v>24788</v>
      </c>
      <c r="D40" s="1329">
        <f>SUM(J2:J25)</f>
        <v>9240.480000000005</v>
      </c>
    </row>
    <row r="41" spans="3:5" ht="15">
      <c r="C41" s="2" t="s">
        <v>24842</v>
      </c>
    </row>
    <row r="42" spans="3:5" ht="15">
      <c r="C42" s="2" t="s">
        <v>24843</v>
      </c>
    </row>
  </sheetData>
  <hyperlinks>
    <hyperlink ref="C41" r:id="rId1" xr:uid="{00000000-0004-0000-6C00-000000000000}"/>
    <hyperlink ref="C42" r:id="rId2" xr:uid="{00000000-0004-0000-6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Plan53"/>
  <dimension ref="B1:G45"/>
  <sheetViews>
    <sheetView topLeftCell="B1" workbookViewId="0">
      <pane xSplit="6" ySplit="2" topLeftCell="H16" activePane="bottomRight" state="frozen"/>
      <selection pane="bottomRight" activeCell="H1" sqref="H1"/>
      <selection pane="bottomLeft" activeCell="B27" sqref="B27"/>
      <selection pane="topRight" activeCell="H1" sqref="H1"/>
    </sheetView>
  </sheetViews>
  <sheetFormatPr defaultColWidth="9.140625" defaultRowHeight="13.5"/>
  <cols>
    <col min="1" max="1" width="9.140625" style="3"/>
    <col min="2" max="2" width="16.140625" style="3" customWidth="1"/>
    <col min="3" max="3" width="44.85546875" style="3" customWidth="1"/>
    <col min="4" max="4" width="9.42578125" style="3" customWidth="1"/>
    <col min="5" max="5" width="14.85546875" style="3" customWidth="1"/>
    <col min="6" max="6" width="9" style="3" customWidth="1"/>
    <col min="7" max="7" width="15" style="3" customWidth="1"/>
    <col min="8" max="16384" width="9.140625" style="3"/>
  </cols>
  <sheetData>
    <row r="1" spans="2:7">
      <c r="C1" s="52" t="s">
        <v>24788</v>
      </c>
      <c r="D1" s="594"/>
      <c r="E1" s="98">
        <f>G45</f>
        <v>0</v>
      </c>
      <c r="G1" s="36">
        <f>E45-E1</f>
        <v>2630.0900000000011</v>
      </c>
    </row>
    <row r="2" spans="2:7">
      <c r="B2" s="37" t="s">
        <v>0</v>
      </c>
      <c r="C2" s="461" t="s">
        <v>1394</v>
      </c>
      <c r="D2" s="39" t="s">
        <v>3</v>
      </c>
      <c r="E2" s="40" t="s">
        <v>4</v>
      </c>
      <c r="F2" s="622" t="s">
        <v>12664</v>
      </c>
      <c r="G2" s="41"/>
    </row>
    <row r="3" spans="2:7">
      <c r="B3" s="767"/>
      <c r="C3" s="1321" t="s">
        <v>2568</v>
      </c>
      <c r="D3" s="1086"/>
      <c r="E3" s="1087"/>
      <c r="F3" s="783"/>
      <c r="G3" s="1088"/>
    </row>
    <row r="4" spans="2:7">
      <c r="B4" s="770">
        <v>38211</v>
      </c>
      <c r="C4" s="1322" t="s">
        <v>12918</v>
      </c>
      <c r="D4" s="1324"/>
      <c r="E4" s="1082">
        <v>114.21</v>
      </c>
      <c r="F4" s="787" t="s">
        <v>9</v>
      </c>
      <c r="G4" s="1091">
        <f>IF(F4="X",0,Parcelamentos!E381)</f>
        <v>0</v>
      </c>
    </row>
    <row r="5" spans="2:7">
      <c r="B5" s="75"/>
      <c r="C5" s="624" t="s">
        <v>2600</v>
      </c>
      <c r="D5" s="594"/>
      <c r="E5" s="49"/>
      <c r="F5" s="625"/>
      <c r="G5" s="50"/>
    </row>
    <row r="6" spans="2:7">
      <c r="B6" s="75">
        <v>38242</v>
      </c>
      <c r="C6" s="317" t="s">
        <v>12923</v>
      </c>
      <c r="D6" s="594"/>
      <c r="E6" s="49">
        <v>114.21</v>
      </c>
      <c r="F6" s="337" t="s">
        <v>9</v>
      </c>
      <c r="G6" s="50">
        <f>IF(F6="X",0,Parcelamentos!E383)</f>
        <v>0</v>
      </c>
    </row>
    <row r="7" spans="2:7">
      <c r="B7" s="767"/>
      <c r="C7" s="1321" t="s">
        <v>24844</v>
      </c>
      <c r="D7" s="1325"/>
      <c r="E7" s="1087"/>
      <c r="F7" s="783"/>
      <c r="G7" s="1088"/>
    </row>
    <row r="8" spans="2:7">
      <c r="B8" s="770">
        <v>38272</v>
      </c>
      <c r="C8" s="1322" t="s">
        <v>12934</v>
      </c>
      <c r="D8" s="1323"/>
      <c r="E8" s="1082">
        <v>114.21</v>
      </c>
      <c r="F8" s="787" t="s">
        <v>9</v>
      </c>
      <c r="G8" s="1091">
        <f>IF(F8="X",0,Parcelamentos!E385)</f>
        <v>0</v>
      </c>
    </row>
    <row r="9" spans="2:7">
      <c r="B9" s="75"/>
      <c r="C9" s="255" t="s">
        <v>12942</v>
      </c>
      <c r="D9" s="594"/>
      <c r="E9" s="49"/>
      <c r="F9" s="337"/>
      <c r="G9" s="50"/>
    </row>
    <row r="10" spans="2:7">
      <c r="B10" s="75">
        <v>38303</v>
      </c>
      <c r="C10" s="317" t="s">
        <v>12945</v>
      </c>
      <c r="D10" s="594"/>
      <c r="E10" s="49">
        <v>114.21</v>
      </c>
      <c r="F10" s="337" t="s">
        <v>9</v>
      </c>
      <c r="G10" s="50">
        <f>IF(F10="X",0,Parcelamentos!E387)</f>
        <v>0</v>
      </c>
    </row>
    <row r="11" spans="2:7">
      <c r="B11" s="83"/>
      <c r="C11" s="38" t="s">
        <v>12958</v>
      </c>
      <c r="D11" s="54"/>
      <c r="E11" s="44"/>
      <c r="F11" s="334"/>
      <c r="G11" s="45"/>
    </row>
    <row r="12" spans="2:7">
      <c r="B12" s="75">
        <v>38333</v>
      </c>
      <c r="C12" s="317" t="s">
        <v>12961</v>
      </c>
      <c r="D12" s="594"/>
      <c r="E12" s="49">
        <v>114.21</v>
      </c>
      <c r="F12" s="337" t="s">
        <v>9</v>
      </c>
      <c r="G12" s="50">
        <f>IF(F12="X",0,Parcelamentos!E389)</f>
        <v>0</v>
      </c>
    </row>
    <row r="13" spans="2:7">
      <c r="B13" s="83"/>
      <c r="C13" s="38" t="s">
        <v>2764</v>
      </c>
      <c r="D13" s="54"/>
      <c r="E13" s="44"/>
      <c r="F13" s="334"/>
      <c r="G13" s="45"/>
    </row>
    <row r="14" spans="2:7">
      <c r="B14" s="75">
        <v>38364</v>
      </c>
      <c r="C14" s="317" t="s">
        <v>12982</v>
      </c>
      <c r="D14" s="594"/>
      <c r="E14" s="49">
        <v>114.21</v>
      </c>
      <c r="F14" s="337" t="s">
        <v>9</v>
      </c>
      <c r="G14" s="50">
        <f>IF(F14="X",0,Parcelamentos!E391)</f>
        <v>0</v>
      </c>
    </row>
    <row r="15" spans="2:7">
      <c r="B15" s="767"/>
      <c r="C15" s="1321" t="s">
        <v>14129</v>
      </c>
      <c r="D15" s="747"/>
      <c r="E15" s="1087"/>
      <c r="F15" s="783"/>
      <c r="G15" s="1088"/>
    </row>
    <row r="16" spans="2:7">
      <c r="B16" s="770">
        <v>38395</v>
      </c>
      <c r="C16" s="1322" t="s">
        <v>12995</v>
      </c>
      <c r="D16" s="1323"/>
      <c r="E16" s="1082">
        <v>114.21</v>
      </c>
      <c r="F16" s="787" t="s">
        <v>9</v>
      </c>
      <c r="G16" s="1091">
        <f>IF(F16="X",0,Parcelamentos!E393)</f>
        <v>0</v>
      </c>
    </row>
    <row r="17" spans="2:7">
      <c r="B17" s="75"/>
      <c r="C17" s="255" t="s">
        <v>2806</v>
      </c>
      <c r="D17" s="51"/>
      <c r="E17" s="49"/>
      <c r="F17" s="337"/>
      <c r="G17" s="50"/>
    </row>
    <row r="18" spans="2:7">
      <c r="B18" s="75">
        <v>38423</v>
      </c>
      <c r="C18" s="317" t="s">
        <v>13014</v>
      </c>
      <c r="D18" s="594"/>
      <c r="E18" s="49">
        <v>114.21</v>
      </c>
      <c r="F18" s="337" t="s">
        <v>9</v>
      </c>
      <c r="G18" s="50">
        <f>IF(F18="X",0,Parcelamentos!E395)</f>
        <v>0</v>
      </c>
    </row>
    <row r="19" spans="2:7">
      <c r="B19" s="767"/>
      <c r="C19" s="1321" t="s">
        <v>2824</v>
      </c>
      <c r="D19" s="747"/>
      <c r="E19" s="1087"/>
      <c r="F19" s="783"/>
      <c r="G19" s="1088"/>
    </row>
    <row r="20" spans="2:7" ht="13.5" customHeight="1">
      <c r="B20" s="770">
        <v>38454</v>
      </c>
      <c r="C20" s="1322" t="s">
        <v>13031</v>
      </c>
      <c r="D20" s="1323"/>
      <c r="E20" s="1082">
        <v>114.21</v>
      </c>
      <c r="F20" s="787" t="s">
        <v>9</v>
      </c>
      <c r="G20" s="1091">
        <f>IF(F20="X",0,Parcelamentos!E397)</f>
        <v>0</v>
      </c>
    </row>
    <row r="21" spans="2:7">
      <c r="B21" s="75"/>
      <c r="C21" s="126" t="s">
        <v>24845</v>
      </c>
      <c r="D21" s="51"/>
      <c r="E21" s="49"/>
      <c r="F21" s="337"/>
      <c r="G21" s="50"/>
    </row>
    <row r="22" spans="2:7">
      <c r="B22" s="75">
        <v>38484</v>
      </c>
      <c r="C22" s="317" t="s">
        <v>13044</v>
      </c>
      <c r="D22" s="594"/>
      <c r="E22" s="49">
        <v>114.21</v>
      </c>
      <c r="F22" s="337" t="s">
        <v>9</v>
      </c>
      <c r="G22" s="50">
        <f>IF(F22="X",0,Parcelamentos!E399)</f>
        <v>0</v>
      </c>
    </row>
    <row r="23" spans="2:7">
      <c r="B23" s="767"/>
      <c r="C23" s="1321" t="s">
        <v>14519</v>
      </c>
      <c r="D23" s="747"/>
      <c r="E23" s="1087"/>
      <c r="F23" s="783"/>
      <c r="G23" s="1088"/>
    </row>
    <row r="24" spans="2:7">
      <c r="B24" s="770">
        <v>38515</v>
      </c>
      <c r="C24" s="1322" t="s">
        <v>13057</v>
      </c>
      <c r="D24" s="1323"/>
      <c r="E24" s="1082">
        <v>114.21</v>
      </c>
      <c r="F24" s="787" t="s">
        <v>9</v>
      </c>
      <c r="G24" s="1091">
        <f>IF(F24="X",0,Parcelamentos!E401)</f>
        <v>0</v>
      </c>
    </row>
    <row r="25" spans="2:7">
      <c r="B25" s="75"/>
      <c r="C25" s="255" t="s">
        <v>2870</v>
      </c>
      <c r="D25" s="51"/>
      <c r="E25" s="49"/>
      <c r="F25" s="337"/>
      <c r="G25" s="50"/>
    </row>
    <row r="26" spans="2:7">
      <c r="B26" s="75">
        <v>38545</v>
      </c>
      <c r="C26" s="317" t="s">
        <v>13070</v>
      </c>
      <c r="D26" s="594"/>
      <c r="E26" s="49">
        <v>114.21</v>
      </c>
      <c r="F26" s="337" t="s">
        <v>9</v>
      </c>
      <c r="G26" s="50">
        <f>IF(F26="X",0,Parcelamentos!E403)</f>
        <v>0</v>
      </c>
    </row>
    <row r="27" spans="2:7">
      <c r="B27" s="767"/>
      <c r="C27" s="1321" t="s">
        <v>2882</v>
      </c>
      <c r="D27" s="747"/>
      <c r="E27" s="1087"/>
      <c r="F27" s="783"/>
      <c r="G27" s="1088"/>
    </row>
    <row r="28" spans="2:7">
      <c r="B28" s="770">
        <v>38576</v>
      </c>
      <c r="C28" s="1322" t="s">
        <v>13086</v>
      </c>
      <c r="D28" s="1323"/>
      <c r="E28" s="1082">
        <v>114.21</v>
      </c>
      <c r="F28" s="787" t="s">
        <v>9</v>
      </c>
      <c r="G28" s="1091">
        <f>IF(F28="X",0,Parcelamentos!E405)</f>
        <v>0</v>
      </c>
    </row>
    <row r="29" spans="2:7">
      <c r="B29" s="75"/>
      <c r="C29" s="255" t="s">
        <v>2895</v>
      </c>
      <c r="D29" s="51"/>
      <c r="E29" s="49"/>
      <c r="F29" s="337"/>
      <c r="G29" s="50"/>
    </row>
    <row r="30" spans="2:7">
      <c r="B30" s="75">
        <v>38607</v>
      </c>
      <c r="C30" s="317" t="s">
        <v>13097</v>
      </c>
      <c r="D30" s="594"/>
      <c r="E30" s="49">
        <v>114.21</v>
      </c>
      <c r="F30" s="337" t="s">
        <v>120</v>
      </c>
      <c r="G30" s="50">
        <f>IF(F30="X",0,Parcelamentos!E407)</f>
        <v>0</v>
      </c>
    </row>
    <row r="31" spans="2:7">
      <c r="B31" s="767"/>
      <c r="C31" s="1321" t="s">
        <v>2901</v>
      </c>
      <c r="D31" s="747"/>
      <c r="E31" s="1087"/>
      <c r="F31" s="783"/>
      <c r="G31" s="1088"/>
    </row>
    <row r="32" spans="2:7">
      <c r="B32" s="770">
        <v>38637</v>
      </c>
      <c r="C32" s="1322" t="s">
        <v>13106</v>
      </c>
      <c r="D32" s="1323"/>
      <c r="E32" s="1082">
        <v>114.21</v>
      </c>
      <c r="F32" s="787" t="s">
        <v>9</v>
      </c>
      <c r="G32" s="1091">
        <f>IF(F32="X",0,Parcelamentos!E409)</f>
        <v>0</v>
      </c>
    </row>
    <row r="33" spans="2:7">
      <c r="B33" s="75"/>
      <c r="C33" s="255" t="s">
        <v>2931</v>
      </c>
      <c r="D33" s="51"/>
      <c r="E33" s="49"/>
      <c r="F33" s="337"/>
      <c r="G33" s="50"/>
    </row>
    <row r="34" spans="2:7">
      <c r="B34" s="75">
        <v>38668</v>
      </c>
      <c r="C34" s="317" t="s">
        <v>13111</v>
      </c>
      <c r="D34" s="594"/>
      <c r="E34" s="49">
        <v>114.21</v>
      </c>
      <c r="F34" s="337" t="s">
        <v>9</v>
      </c>
      <c r="G34" s="50">
        <f>IF(F34="X",0,Parcelamentos!E411)</f>
        <v>0</v>
      </c>
    </row>
    <row r="35" spans="2:7">
      <c r="B35" s="83"/>
      <c r="C35" s="38" t="s">
        <v>2947</v>
      </c>
      <c r="D35" s="54"/>
      <c r="E35" s="44"/>
      <c r="F35" s="334"/>
      <c r="G35" s="45"/>
    </row>
    <row r="36" spans="2:7">
      <c r="B36" s="75">
        <v>38698</v>
      </c>
      <c r="C36" s="317" t="s">
        <v>13128</v>
      </c>
      <c r="D36" s="594"/>
      <c r="E36" s="49">
        <v>114.21</v>
      </c>
      <c r="F36" s="337" t="s">
        <v>9</v>
      </c>
      <c r="G36" s="50">
        <f>IF(F36="X",0,Parcelamentos!E413)</f>
        <v>0</v>
      </c>
    </row>
    <row r="37" spans="2:7">
      <c r="B37" s="83"/>
      <c r="C37" s="527" t="s">
        <v>3004</v>
      </c>
      <c r="D37" s="54"/>
      <c r="E37" s="44"/>
      <c r="F37" s="334"/>
      <c r="G37" s="45"/>
    </row>
    <row r="38" spans="2:7">
      <c r="B38" s="75">
        <v>38723</v>
      </c>
      <c r="C38" s="317" t="s">
        <v>13137</v>
      </c>
      <c r="D38" s="594"/>
      <c r="E38" s="49">
        <v>113.12</v>
      </c>
      <c r="F38" s="337" t="s">
        <v>9</v>
      </c>
      <c r="G38" s="50">
        <f>IF(F38="X",0,Parcelamentos!E415)</f>
        <v>0</v>
      </c>
    </row>
    <row r="39" spans="2:7">
      <c r="B39" s="75">
        <v>38723</v>
      </c>
      <c r="C39" s="317" t="s">
        <v>13138</v>
      </c>
      <c r="D39" s="594"/>
      <c r="E39" s="49">
        <v>107.5</v>
      </c>
      <c r="F39" s="337" t="s">
        <v>9</v>
      </c>
      <c r="G39" s="50">
        <f>IF(F39="X",0,Parcelamentos!E416)</f>
        <v>0</v>
      </c>
    </row>
    <row r="40" spans="2:7">
      <c r="B40" s="75">
        <v>38723</v>
      </c>
      <c r="C40" s="317" t="s">
        <v>13139</v>
      </c>
      <c r="D40" s="594"/>
      <c r="E40" s="49">
        <v>102.8</v>
      </c>
      <c r="F40" s="337" t="s">
        <v>9</v>
      </c>
      <c r="G40" s="50">
        <f>IF(F40="X",0,Parcelamentos!E417)</f>
        <v>0</v>
      </c>
    </row>
    <row r="41" spans="2:7">
      <c r="B41" s="75">
        <v>38723</v>
      </c>
      <c r="C41" s="317" t="s">
        <v>13140</v>
      </c>
      <c r="D41" s="594"/>
      <c r="E41" s="49">
        <v>98</v>
      </c>
      <c r="F41" s="337" t="s">
        <v>9</v>
      </c>
      <c r="G41" s="50">
        <f>IF(F41="X",0,Parcelamentos!E418)</f>
        <v>0</v>
      </c>
    </row>
    <row r="42" spans="2:7">
      <c r="B42" s="75">
        <v>38723</v>
      </c>
      <c r="C42" s="317" t="s">
        <v>13141</v>
      </c>
      <c r="D42" s="594"/>
      <c r="E42" s="49">
        <v>93.42</v>
      </c>
      <c r="F42" s="337" t="s">
        <v>9</v>
      </c>
      <c r="G42" s="50">
        <f>IF(F42="X",0,Parcelamentos!E419)</f>
        <v>0</v>
      </c>
    </row>
    <row r="43" spans="2:7">
      <c r="B43" s="75">
        <v>38723</v>
      </c>
      <c r="C43" s="317" t="s">
        <v>13142</v>
      </c>
      <c r="D43" s="594"/>
      <c r="E43" s="49">
        <v>88.92</v>
      </c>
      <c r="F43" s="337" t="s">
        <v>9</v>
      </c>
      <c r="G43" s="50">
        <f>IF(F43="X",0,Parcelamentos!E420)</f>
        <v>0</v>
      </c>
    </row>
    <row r="44" spans="2:7">
      <c r="B44" s="79">
        <v>38723</v>
      </c>
      <c r="C44" s="623" t="s">
        <v>13143</v>
      </c>
      <c r="D44" s="598"/>
      <c r="E44" s="58">
        <v>84.76</v>
      </c>
      <c r="F44" s="455" t="s">
        <v>9</v>
      </c>
      <c r="G44" s="183">
        <f>IF(F44="X",0,Parcelamentos!E421)</f>
        <v>0</v>
      </c>
    </row>
    <row r="45" spans="2:7">
      <c r="B45" s="46"/>
      <c r="C45" s="117" t="s">
        <v>12</v>
      </c>
      <c r="D45" s="185">
        <f>SUM(D5:D44)</f>
        <v>0</v>
      </c>
      <c r="E45" s="609">
        <f>SUM(E3:E44)</f>
        <v>2630.0900000000011</v>
      </c>
      <c r="F45" s="465"/>
      <c r="G45" s="626">
        <f>SUM(G3:G44)</f>
        <v>0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29"/>
  <dimension ref="A1:J44"/>
  <sheetViews>
    <sheetView workbookViewId="0">
      <pane xSplit="10" ySplit="1" topLeftCell="K2" activePane="bottomRight" state="frozen"/>
      <selection pane="bottomRight" activeCell="K1" sqref="K1"/>
      <selection pane="bottomLeft" activeCell="A2" sqref="A2"/>
      <selection pane="topRight" activeCell="K1" sqref="K1"/>
    </sheetView>
  </sheetViews>
  <sheetFormatPr defaultColWidth="9.140625" defaultRowHeight="13.5"/>
  <cols>
    <col min="1" max="1" width="3.28515625" style="3" bestFit="1" customWidth="1"/>
    <col min="2" max="2" width="12.140625" style="3" bestFit="1" customWidth="1"/>
    <col min="3" max="3" width="53.28515625" style="3" bestFit="1" customWidth="1"/>
    <col min="4" max="4" width="15.5703125" style="3" bestFit="1" customWidth="1"/>
    <col min="5" max="6" width="16.7109375" bestFit="1" customWidth="1"/>
    <col min="7" max="7" width="9.85546875" bestFit="1" customWidth="1"/>
    <col min="8" max="8" width="12.140625" bestFit="1" customWidth="1"/>
    <col min="9" max="9" width="7.7109375" bestFit="1" customWidth="1"/>
    <col min="10" max="10" width="12.140625" bestFit="1" customWidth="1"/>
    <col min="11" max="16384" width="9.140625" style="3"/>
  </cols>
  <sheetData>
    <row r="1" spans="1:10" ht="14.25" thickBot="1">
      <c r="A1" s="1039" t="s">
        <v>356</v>
      </c>
      <c r="B1" s="1415" t="s">
        <v>0</v>
      </c>
      <c r="C1" s="1412" t="s">
        <v>1394</v>
      </c>
      <c r="D1" s="1413" t="s">
        <v>363</v>
      </c>
      <c r="E1" s="1387" t="s">
        <v>1396</v>
      </c>
      <c r="F1" s="1422" t="s">
        <v>1397</v>
      </c>
      <c r="G1" s="1414" t="s">
        <v>1398</v>
      </c>
      <c r="H1" s="1414" t="s">
        <v>1399</v>
      </c>
      <c r="I1" s="1414" t="s">
        <v>1400</v>
      </c>
      <c r="J1" s="1387" t="s">
        <v>24846</v>
      </c>
    </row>
    <row r="2" spans="1:10">
      <c r="A2" s="1419">
        <v>1</v>
      </c>
      <c r="B2" s="1416">
        <v>44728</v>
      </c>
      <c r="C2" s="1400" t="s">
        <v>10326</v>
      </c>
      <c r="D2" s="1401">
        <v>710.54</v>
      </c>
      <c r="E2" s="1426">
        <v>44729</v>
      </c>
      <c r="F2" s="1423">
        <v>710.54</v>
      </c>
      <c r="G2" s="1409">
        <f>IF(F2&lt;&gt;"",F2/D2,"")</f>
        <v>1</v>
      </c>
      <c r="H2" s="835">
        <f>IF(F2&lt;&gt;"",D2-F2,"")</f>
        <v>0</v>
      </c>
      <c r="I2" s="1410" t="str">
        <f>IF(E2&gt;0,"X","")</f>
        <v>X</v>
      </c>
      <c r="J2" s="1411">
        <f t="shared" ref="J2:J25" si="0">IF(I2="X",0,D2)</f>
        <v>0</v>
      </c>
    </row>
    <row r="3" spans="1:10">
      <c r="A3" s="1420">
        <v>2</v>
      </c>
      <c r="B3" s="1417">
        <v>44758</v>
      </c>
      <c r="C3" s="836" t="s">
        <v>10337</v>
      </c>
      <c r="D3" s="947">
        <v>710.54</v>
      </c>
      <c r="E3" s="1427">
        <v>44761</v>
      </c>
      <c r="F3" s="1424">
        <v>710.54</v>
      </c>
      <c r="G3" s="951">
        <f t="shared" ref="G3:G25" si="1">IF(F3&lt;&gt;"",F3/D3,"")</f>
        <v>1</v>
      </c>
      <c r="H3" s="949">
        <f t="shared" ref="H3:H25" si="2">IF(F3&lt;&gt;"",D3-F3,"")</f>
        <v>0</v>
      </c>
      <c r="I3" s="839" t="str">
        <f t="shared" ref="I3:I25" si="3">IF(E3&gt;0,"X","")</f>
        <v>X</v>
      </c>
      <c r="J3" s="1402">
        <f t="shared" si="0"/>
        <v>0</v>
      </c>
    </row>
    <row r="4" spans="1:10">
      <c r="A4" s="1420">
        <v>3</v>
      </c>
      <c r="B4" s="1417">
        <v>44789</v>
      </c>
      <c r="C4" s="836" t="s">
        <v>10387</v>
      </c>
      <c r="D4" s="947">
        <v>710.54</v>
      </c>
      <c r="E4" s="1427">
        <v>44789</v>
      </c>
      <c r="F4" s="1424">
        <v>710.54</v>
      </c>
      <c r="G4" s="951">
        <f t="shared" si="1"/>
        <v>1</v>
      </c>
      <c r="H4" s="949">
        <f t="shared" si="2"/>
        <v>0</v>
      </c>
      <c r="I4" s="839" t="str">
        <f t="shared" si="3"/>
        <v>X</v>
      </c>
      <c r="J4" s="1402">
        <f t="shared" si="0"/>
        <v>0</v>
      </c>
    </row>
    <row r="5" spans="1:10">
      <c r="A5" s="1420">
        <v>4</v>
      </c>
      <c r="B5" s="1417">
        <v>44820</v>
      </c>
      <c r="C5" s="836" t="s">
        <v>10446</v>
      </c>
      <c r="D5" s="947">
        <v>710.54</v>
      </c>
      <c r="E5" s="1427">
        <v>44820</v>
      </c>
      <c r="F5" s="1424">
        <v>710.54</v>
      </c>
      <c r="G5" s="951">
        <f t="shared" si="1"/>
        <v>1</v>
      </c>
      <c r="H5" s="949">
        <f t="shared" si="2"/>
        <v>0</v>
      </c>
      <c r="I5" s="839" t="str">
        <f t="shared" si="3"/>
        <v>X</v>
      </c>
      <c r="J5" s="1402">
        <f t="shared" si="0"/>
        <v>0</v>
      </c>
    </row>
    <row r="6" spans="1:10">
      <c r="A6" s="1420">
        <v>5</v>
      </c>
      <c r="B6" s="1417">
        <v>44850</v>
      </c>
      <c r="C6" s="836" t="s">
        <v>10511</v>
      </c>
      <c r="D6" s="947">
        <v>710.54</v>
      </c>
      <c r="E6" s="1427">
        <v>44851</v>
      </c>
      <c r="F6" s="1424">
        <v>710.54</v>
      </c>
      <c r="G6" s="951">
        <f t="shared" si="1"/>
        <v>1</v>
      </c>
      <c r="H6" s="949">
        <f t="shared" si="2"/>
        <v>0</v>
      </c>
      <c r="I6" s="839" t="str">
        <f t="shared" si="3"/>
        <v>X</v>
      </c>
      <c r="J6" s="1402">
        <f t="shared" si="0"/>
        <v>0</v>
      </c>
    </row>
    <row r="7" spans="1:10">
      <c r="A7" s="1420">
        <v>6</v>
      </c>
      <c r="B7" s="1417">
        <v>44881</v>
      </c>
      <c r="C7" s="836" t="s">
        <v>10552</v>
      </c>
      <c r="D7" s="947">
        <v>710.54</v>
      </c>
      <c r="E7" s="1427">
        <v>44881</v>
      </c>
      <c r="F7" s="1424">
        <v>710.54</v>
      </c>
      <c r="G7" s="951">
        <f t="shared" si="1"/>
        <v>1</v>
      </c>
      <c r="H7" s="949">
        <f t="shared" si="2"/>
        <v>0</v>
      </c>
      <c r="I7" s="839" t="str">
        <f t="shared" si="3"/>
        <v>X</v>
      </c>
      <c r="J7" s="1402">
        <f t="shared" si="0"/>
        <v>0</v>
      </c>
    </row>
    <row r="8" spans="1:10">
      <c r="A8" s="1420">
        <v>7</v>
      </c>
      <c r="B8" s="1417">
        <v>44911</v>
      </c>
      <c r="C8" s="836" t="s">
        <v>10561</v>
      </c>
      <c r="D8" s="947">
        <v>710.54</v>
      </c>
      <c r="E8" s="1427">
        <v>44911</v>
      </c>
      <c r="F8" s="1424">
        <v>710.54</v>
      </c>
      <c r="G8" s="951">
        <f t="shared" si="1"/>
        <v>1</v>
      </c>
      <c r="H8" s="949">
        <f t="shared" si="2"/>
        <v>0</v>
      </c>
      <c r="I8" s="839" t="str">
        <f t="shared" si="3"/>
        <v>X</v>
      </c>
      <c r="J8" s="1402">
        <f t="shared" si="0"/>
        <v>0</v>
      </c>
    </row>
    <row r="9" spans="1:10">
      <c r="A9" s="1420">
        <v>8</v>
      </c>
      <c r="B9" s="1417">
        <v>44942</v>
      </c>
      <c r="C9" s="836" t="s">
        <v>10564</v>
      </c>
      <c r="D9" s="947">
        <v>710.54</v>
      </c>
      <c r="E9" s="1427">
        <v>44942</v>
      </c>
      <c r="F9" s="1424">
        <v>710.54</v>
      </c>
      <c r="G9" s="951">
        <f t="shared" si="1"/>
        <v>1</v>
      </c>
      <c r="H9" s="949">
        <f t="shared" si="2"/>
        <v>0</v>
      </c>
      <c r="I9" s="839" t="str">
        <f t="shared" si="3"/>
        <v>X</v>
      </c>
      <c r="J9" s="1402">
        <f t="shared" si="0"/>
        <v>0</v>
      </c>
    </row>
    <row r="10" spans="1:10">
      <c r="A10" s="1420">
        <v>9</v>
      </c>
      <c r="B10" s="1417">
        <v>44973</v>
      </c>
      <c r="C10" s="836" t="s">
        <v>10565</v>
      </c>
      <c r="D10" s="947">
        <v>710.54</v>
      </c>
      <c r="E10" s="1427">
        <v>44973</v>
      </c>
      <c r="F10" s="1424">
        <v>710.54</v>
      </c>
      <c r="G10" s="951">
        <f t="shared" si="1"/>
        <v>1</v>
      </c>
      <c r="H10" s="949">
        <f t="shared" si="2"/>
        <v>0</v>
      </c>
      <c r="I10" s="839" t="str">
        <f t="shared" si="3"/>
        <v>X</v>
      </c>
      <c r="J10" s="1402">
        <f t="shared" si="0"/>
        <v>0</v>
      </c>
    </row>
    <row r="11" spans="1:10">
      <c r="A11" s="1420">
        <v>10</v>
      </c>
      <c r="B11" s="1417">
        <v>45001</v>
      </c>
      <c r="C11" s="836" t="s">
        <v>10566</v>
      </c>
      <c r="D11" s="947">
        <v>710.54</v>
      </c>
      <c r="E11" s="1427">
        <v>45001</v>
      </c>
      <c r="F11" s="1424">
        <v>710.54</v>
      </c>
      <c r="G11" s="951">
        <f t="shared" si="1"/>
        <v>1</v>
      </c>
      <c r="H11" s="949">
        <f t="shared" si="2"/>
        <v>0</v>
      </c>
      <c r="I11" s="839" t="str">
        <f t="shared" si="3"/>
        <v>X</v>
      </c>
      <c r="J11" s="1402">
        <f t="shared" si="0"/>
        <v>0</v>
      </c>
    </row>
    <row r="12" spans="1:10">
      <c r="A12" s="1420">
        <v>11</v>
      </c>
      <c r="B12" s="1417">
        <v>45032</v>
      </c>
      <c r="C12" s="836" t="s">
        <v>10567</v>
      </c>
      <c r="D12" s="947">
        <v>710.54</v>
      </c>
      <c r="E12" s="1427">
        <v>45018</v>
      </c>
      <c r="F12" s="1424">
        <v>698.82</v>
      </c>
      <c r="G12" s="951">
        <f t="shared" si="1"/>
        <v>0.98350550285698213</v>
      </c>
      <c r="H12" s="949">
        <f t="shared" si="2"/>
        <v>11.719999999999914</v>
      </c>
      <c r="I12" s="839" t="str">
        <f t="shared" si="3"/>
        <v>X</v>
      </c>
      <c r="J12" s="1402">
        <f t="shared" si="0"/>
        <v>0</v>
      </c>
    </row>
    <row r="13" spans="1:10">
      <c r="A13" s="1420">
        <v>12</v>
      </c>
      <c r="B13" s="1417">
        <v>45062</v>
      </c>
      <c r="C13" s="836" t="s">
        <v>10568</v>
      </c>
      <c r="D13" s="947">
        <v>710.54</v>
      </c>
      <c r="E13" s="1427">
        <v>45047</v>
      </c>
      <c r="F13" s="1424">
        <v>697.58</v>
      </c>
      <c r="G13" s="951">
        <f t="shared" si="1"/>
        <v>0.98176035128212358</v>
      </c>
      <c r="H13" s="949">
        <f t="shared" si="2"/>
        <v>12.959999999999923</v>
      </c>
      <c r="I13" s="839" t="str">
        <f t="shared" si="3"/>
        <v>X</v>
      </c>
      <c r="J13" s="1402">
        <f t="shared" si="0"/>
        <v>0</v>
      </c>
    </row>
    <row r="14" spans="1:10">
      <c r="A14" s="1420">
        <v>13</v>
      </c>
      <c r="B14" s="1417">
        <v>45093</v>
      </c>
      <c r="C14" s="836" t="s">
        <v>10571</v>
      </c>
      <c r="D14" s="947">
        <v>710.54</v>
      </c>
      <c r="E14" s="1427">
        <v>45078</v>
      </c>
      <c r="F14" s="1424">
        <v>697.99</v>
      </c>
      <c r="G14" s="951">
        <f t="shared" si="1"/>
        <v>0.98233737720606873</v>
      </c>
      <c r="H14" s="949">
        <f t="shared" si="2"/>
        <v>12.549999999999955</v>
      </c>
      <c r="I14" s="839" t="str">
        <f t="shared" si="3"/>
        <v>X</v>
      </c>
      <c r="J14" s="1402">
        <f t="shared" si="0"/>
        <v>0</v>
      </c>
    </row>
    <row r="15" spans="1:10">
      <c r="A15" s="1420">
        <v>14</v>
      </c>
      <c r="B15" s="1417">
        <v>45123</v>
      </c>
      <c r="C15" s="836" t="s">
        <v>10574</v>
      </c>
      <c r="D15" s="947">
        <v>710.54</v>
      </c>
      <c r="E15" s="1427">
        <v>45108</v>
      </c>
      <c r="F15" s="1424">
        <v>697.58</v>
      </c>
      <c r="G15" s="951">
        <f t="shared" si="1"/>
        <v>0.98176035128212358</v>
      </c>
      <c r="H15" s="949">
        <f t="shared" si="2"/>
        <v>12.959999999999923</v>
      </c>
      <c r="I15" s="839" t="str">
        <f t="shared" si="3"/>
        <v>X</v>
      </c>
      <c r="J15" s="1402">
        <f t="shared" si="0"/>
        <v>0</v>
      </c>
    </row>
    <row r="16" spans="1:10">
      <c r="A16" s="1420">
        <v>15</v>
      </c>
      <c r="B16" s="1417">
        <v>45154</v>
      </c>
      <c r="C16" s="836" t="s">
        <v>10576</v>
      </c>
      <c r="D16" s="947">
        <v>710.54</v>
      </c>
      <c r="E16" s="1427">
        <v>45138</v>
      </c>
      <c r="F16" s="1424">
        <v>697.16</v>
      </c>
      <c r="G16" s="951">
        <f t="shared" si="1"/>
        <v>0.98116925155515522</v>
      </c>
      <c r="H16" s="949">
        <f t="shared" si="2"/>
        <v>13.379999999999995</v>
      </c>
      <c r="I16" s="839" t="str">
        <f t="shared" si="3"/>
        <v>X</v>
      </c>
      <c r="J16" s="1402">
        <f t="shared" si="0"/>
        <v>0</v>
      </c>
    </row>
    <row r="17" spans="1:10">
      <c r="A17" s="1420">
        <v>16</v>
      </c>
      <c r="B17" s="1417">
        <v>45185</v>
      </c>
      <c r="C17" s="836" t="s">
        <v>24847</v>
      </c>
      <c r="D17" s="947">
        <v>710.54</v>
      </c>
      <c r="E17" s="1427">
        <v>45170</v>
      </c>
      <c r="F17" s="1424">
        <v>697.99</v>
      </c>
      <c r="G17" s="951">
        <f t="shared" si="1"/>
        <v>0.98233737720606873</v>
      </c>
      <c r="H17" s="949">
        <f t="shared" si="2"/>
        <v>12.549999999999955</v>
      </c>
      <c r="I17" s="839" t="str">
        <f t="shared" si="3"/>
        <v>X</v>
      </c>
      <c r="J17" s="1402">
        <f t="shared" si="0"/>
        <v>0</v>
      </c>
    </row>
    <row r="18" spans="1:10">
      <c r="A18" s="1420">
        <v>17</v>
      </c>
      <c r="B18" s="1417">
        <v>45215</v>
      </c>
      <c r="C18" s="836" t="s">
        <v>10338</v>
      </c>
      <c r="D18" s="947">
        <v>710.54</v>
      </c>
      <c r="E18" s="1427">
        <v>44761</v>
      </c>
      <c r="F18" s="1424">
        <v>410.5</v>
      </c>
      <c r="G18" s="951">
        <f t="shared" si="1"/>
        <v>0.57772961409632118</v>
      </c>
      <c r="H18" s="949">
        <f t="shared" si="2"/>
        <v>300.03999999999996</v>
      </c>
      <c r="I18" s="839" t="str">
        <f t="shared" si="3"/>
        <v>X</v>
      </c>
      <c r="J18" s="1402">
        <f t="shared" si="0"/>
        <v>0</v>
      </c>
    </row>
    <row r="19" spans="1:10">
      <c r="A19" s="1420">
        <v>9</v>
      </c>
      <c r="B19" s="1417">
        <v>45246</v>
      </c>
      <c r="C19" s="836" t="s">
        <v>24848</v>
      </c>
      <c r="D19" s="947">
        <v>710.54</v>
      </c>
      <c r="E19" s="1427">
        <v>44743</v>
      </c>
      <c r="F19" s="1424">
        <v>387.06</v>
      </c>
      <c r="G19" s="951">
        <f t="shared" si="1"/>
        <v>0.54474061981028521</v>
      </c>
      <c r="H19" s="949">
        <f t="shared" si="2"/>
        <v>323.47999999999996</v>
      </c>
      <c r="I19" s="839" t="str">
        <f t="shared" si="3"/>
        <v>X</v>
      </c>
      <c r="J19" s="1402">
        <f t="shared" si="0"/>
        <v>0</v>
      </c>
    </row>
    <row r="20" spans="1:10">
      <c r="A20" s="1420">
        <v>19</v>
      </c>
      <c r="B20" s="1417">
        <v>45276</v>
      </c>
      <c r="C20" s="836" t="s">
        <v>24849</v>
      </c>
      <c r="D20" s="947">
        <v>710.54</v>
      </c>
      <c r="E20" s="1427">
        <v>44743</v>
      </c>
      <c r="F20" s="1424">
        <v>373.07</v>
      </c>
      <c r="G20" s="951">
        <f t="shared" si="1"/>
        <v>0.52505136938103414</v>
      </c>
      <c r="H20" s="949">
        <f t="shared" si="2"/>
        <v>337.46999999999997</v>
      </c>
      <c r="I20" s="839" t="str">
        <f t="shared" si="3"/>
        <v>X</v>
      </c>
      <c r="J20" s="1402">
        <f t="shared" si="0"/>
        <v>0</v>
      </c>
    </row>
    <row r="21" spans="1:10">
      <c r="A21" s="1420">
        <v>20</v>
      </c>
      <c r="B21" s="1417">
        <v>45307</v>
      </c>
      <c r="C21" s="836" t="s">
        <v>10334</v>
      </c>
      <c r="D21" s="947">
        <v>710.54</v>
      </c>
      <c r="E21" s="1427">
        <v>44743</v>
      </c>
      <c r="F21" s="1424">
        <v>359.59</v>
      </c>
      <c r="G21" s="951">
        <f t="shared" si="1"/>
        <v>0.50607988290595884</v>
      </c>
      <c r="H21" s="949">
        <f t="shared" si="2"/>
        <v>350.95</v>
      </c>
      <c r="I21" s="839" t="str">
        <f t="shared" si="3"/>
        <v>X</v>
      </c>
      <c r="J21" s="1402">
        <f t="shared" si="0"/>
        <v>0</v>
      </c>
    </row>
    <row r="22" spans="1:10">
      <c r="A22" s="1420">
        <v>21</v>
      </c>
      <c r="B22" s="1417">
        <v>45338</v>
      </c>
      <c r="C22" s="836" t="s">
        <v>10330</v>
      </c>
      <c r="D22" s="947">
        <v>710.54</v>
      </c>
      <c r="E22" s="1427">
        <v>44738</v>
      </c>
      <c r="F22" s="1424">
        <v>344.47</v>
      </c>
      <c r="G22" s="951">
        <f t="shared" si="1"/>
        <v>0.48480029273510294</v>
      </c>
      <c r="H22" s="949">
        <f t="shared" si="2"/>
        <v>366.06999999999994</v>
      </c>
      <c r="I22" s="839" t="str">
        <f t="shared" si="3"/>
        <v>X</v>
      </c>
      <c r="J22" s="1402">
        <f t="shared" si="0"/>
        <v>0</v>
      </c>
    </row>
    <row r="23" spans="1:10">
      <c r="A23" s="1420">
        <v>22</v>
      </c>
      <c r="B23" s="1417">
        <v>45367</v>
      </c>
      <c r="C23" s="836" t="s">
        <v>24850</v>
      </c>
      <c r="D23" s="947">
        <v>710.54</v>
      </c>
      <c r="E23" s="1427">
        <v>44723</v>
      </c>
      <c r="F23" s="1424">
        <v>326.02999999999997</v>
      </c>
      <c r="G23" s="951">
        <f t="shared" si="1"/>
        <v>0.45884819996059334</v>
      </c>
      <c r="H23" s="949">
        <f t="shared" si="2"/>
        <v>384.51</v>
      </c>
      <c r="I23" s="839" t="str">
        <f t="shared" si="3"/>
        <v>X</v>
      </c>
      <c r="J23" s="1402">
        <f t="shared" si="0"/>
        <v>0</v>
      </c>
    </row>
    <row r="24" spans="1:10">
      <c r="A24" s="1420">
        <v>23</v>
      </c>
      <c r="B24" s="1417">
        <v>45398</v>
      </c>
      <c r="C24" s="836" t="s">
        <v>24851</v>
      </c>
      <c r="D24" s="947">
        <v>710.54</v>
      </c>
      <c r="E24" s="1427">
        <v>44723</v>
      </c>
      <c r="F24" s="1424">
        <v>314.25</v>
      </c>
      <c r="G24" s="951">
        <f t="shared" si="1"/>
        <v>0.44226925999943706</v>
      </c>
      <c r="H24" s="949">
        <f t="shared" si="2"/>
        <v>396.28999999999996</v>
      </c>
      <c r="I24" s="839" t="str">
        <f t="shared" si="3"/>
        <v>X</v>
      </c>
      <c r="J24" s="1402">
        <f t="shared" si="0"/>
        <v>0</v>
      </c>
    </row>
    <row r="25" spans="1:10" ht="14.25" thickBot="1">
      <c r="A25" s="1421">
        <v>24</v>
      </c>
      <c r="B25" s="1418">
        <v>45428</v>
      </c>
      <c r="C25" s="1403" t="s">
        <v>24852</v>
      </c>
      <c r="D25" s="1404">
        <v>710.54</v>
      </c>
      <c r="E25" s="1428">
        <v>44723</v>
      </c>
      <c r="F25" s="1425">
        <v>302.89</v>
      </c>
      <c r="G25" s="1405">
        <f t="shared" si="1"/>
        <v>0.42628141976524897</v>
      </c>
      <c r="H25" s="1406">
        <f t="shared" si="2"/>
        <v>407.65</v>
      </c>
      <c r="I25" s="1407" t="str">
        <f t="shared" si="3"/>
        <v>X</v>
      </c>
      <c r="J25" s="1408">
        <f t="shared" si="0"/>
        <v>0</v>
      </c>
    </row>
    <row r="26" spans="1:10" ht="14.25" thickBot="1">
      <c r="B26" s="1397"/>
      <c r="C26" s="52"/>
      <c r="D26" s="135"/>
      <c r="E26" s="1397"/>
      <c r="F26" s="51"/>
      <c r="G26" s="1398"/>
      <c r="H26" s="127"/>
      <c r="I26" s="1399"/>
      <c r="J26" s="135"/>
    </row>
    <row r="27" spans="1:10">
      <c r="C27" s="1434" t="s">
        <v>12</v>
      </c>
      <c r="D27" s="1429">
        <f>SUM(D2:D25)</f>
        <v>17052.96000000001</v>
      </c>
    </row>
    <row r="28" spans="1:10">
      <c r="C28" s="1420" t="s">
        <v>24831</v>
      </c>
      <c r="D28" s="1430">
        <v>11000</v>
      </c>
      <c r="F28" s="1326"/>
    </row>
    <row r="29" spans="1:10">
      <c r="C29" s="1420" t="s">
        <v>24832</v>
      </c>
      <c r="D29" s="1430">
        <v>710.54</v>
      </c>
      <c r="F29" s="1326"/>
    </row>
    <row r="30" spans="1:10">
      <c r="C30" s="1420" t="s">
        <v>24833</v>
      </c>
      <c r="D30" s="1431">
        <v>24</v>
      </c>
      <c r="F30" s="1326"/>
    </row>
    <row r="31" spans="1:10">
      <c r="C31" s="1420" t="s">
        <v>24853</v>
      </c>
      <c r="D31" s="1431">
        <f>COUNTIF(I2:I25,"X")</f>
        <v>24</v>
      </c>
    </row>
    <row r="32" spans="1:10">
      <c r="C32" s="1420" t="s">
        <v>24854</v>
      </c>
      <c r="D32" s="1431">
        <f>D30-D31</f>
        <v>0</v>
      </c>
    </row>
    <row r="33" spans="3:6">
      <c r="C33" s="1420" t="s">
        <v>9746</v>
      </c>
      <c r="D33" s="1432">
        <v>3.7499999999999999E-2</v>
      </c>
      <c r="E33" s="1326"/>
    </row>
    <row r="34" spans="3:6">
      <c r="C34" s="1420" t="s">
        <v>24834</v>
      </c>
      <c r="D34" s="1432">
        <v>0.55549999999999999</v>
      </c>
    </row>
    <row r="35" spans="3:6">
      <c r="C35" s="1420" t="s">
        <v>24835</v>
      </c>
      <c r="D35" s="1432">
        <f>D30*D33</f>
        <v>0.89999999999999991</v>
      </c>
    </row>
    <row r="36" spans="3:6">
      <c r="C36" s="1420" t="s">
        <v>24836</v>
      </c>
      <c r="D36" s="1430">
        <f>D30*D29</f>
        <v>17052.96</v>
      </c>
    </row>
    <row r="37" spans="3:6">
      <c r="C37" s="1420" t="s">
        <v>24837</v>
      </c>
      <c r="D37" s="1430">
        <f>D36-D28</f>
        <v>6052.9599999999991</v>
      </c>
    </row>
    <row r="38" spans="3:6">
      <c r="C38" s="1420" t="s">
        <v>24838</v>
      </c>
      <c r="D38" s="1430">
        <f>D37/D30</f>
        <v>252.20666666666662</v>
      </c>
    </row>
    <row r="39" spans="3:6">
      <c r="C39" s="1420" t="s">
        <v>24839</v>
      </c>
      <c r="D39" s="1430">
        <f>SUM(F2:F25)</f>
        <v>14110.379999999997</v>
      </c>
      <c r="E39" s="1112"/>
    </row>
    <row r="40" spans="3:6">
      <c r="C40" s="1420" t="s">
        <v>24840</v>
      </c>
      <c r="D40" s="1430">
        <f>D27-D42</f>
        <v>17052.96000000001</v>
      </c>
    </row>
    <row r="41" spans="3:6">
      <c r="C41" s="1420" t="s">
        <v>24841</v>
      </c>
      <c r="D41" s="1430">
        <f>SUM(H2:H25)</f>
        <v>2942.5799999999995</v>
      </c>
      <c r="F41" s="1112"/>
    </row>
    <row r="42" spans="3:6" ht="14.25" thickBot="1">
      <c r="C42" s="1435" t="s">
        <v>24788</v>
      </c>
      <c r="D42" s="1433">
        <f>SUM(J2:J25)</f>
        <v>0</v>
      </c>
    </row>
    <row r="43" spans="3:6" ht="15">
      <c r="C43" s="2" t="s">
        <v>24842</v>
      </c>
    </row>
    <row r="44" spans="3:6" ht="15">
      <c r="C44" s="2"/>
    </row>
  </sheetData>
  <autoFilter ref="A1:J25" xr:uid="{00000000-0009-0000-0000-000013000000}"/>
  <hyperlinks>
    <hyperlink ref="C43" r:id="rId1" xr:uid="{00000000-0004-0000-1300-000000000000}"/>
  </hyperlinks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E530-9551-4F22-AA00-785E85AF9EC2}">
  <dimension ref="A1:J27"/>
  <sheetViews>
    <sheetView workbookViewId="0">
      <selection activeCell="F17" sqref="F17"/>
    </sheetView>
  </sheetViews>
  <sheetFormatPr defaultColWidth="9.140625" defaultRowHeight="13.5"/>
  <cols>
    <col min="1" max="1" width="3.28515625" style="3" bestFit="1" customWidth="1"/>
    <col min="2" max="2" width="16.140625" style="3" customWidth="1"/>
    <col min="3" max="3" width="70.28515625" style="3" bestFit="1" customWidth="1"/>
    <col min="4" max="4" width="14.85546875" style="3" bestFit="1" customWidth="1"/>
    <col min="5" max="6" width="14.85546875" bestFit="1" customWidth="1"/>
    <col min="7" max="7" width="9" bestFit="1" customWidth="1"/>
    <col min="8" max="8" width="12.42578125" bestFit="1" customWidth="1"/>
    <col min="9" max="9" width="5.5703125" bestFit="1" customWidth="1"/>
    <col min="10" max="10" width="12.42578125" bestFit="1" customWidth="1"/>
    <col min="11" max="16384" width="9.140625" style="3"/>
  </cols>
  <sheetData>
    <row r="1" spans="1:10">
      <c r="A1" s="3" t="s">
        <v>356</v>
      </c>
      <c r="B1" s="1935" t="s">
        <v>0</v>
      </c>
      <c r="C1" s="1936" t="s">
        <v>1394</v>
      </c>
      <c r="D1" s="1937" t="s">
        <v>363</v>
      </c>
      <c r="E1" s="1938" t="s">
        <v>1396</v>
      </c>
      <c r="F1" s="1939" t="s">
        <v>1397</v>
      </c>
      <c r="G1" s="1938" t="s">
        <v>1398</v>
      </c>
      <c r="H1" s="1938" t="s">
        <v>1399</v>
      </c>
      <c r="I1" s="1938" t="s">
        <v>1400</v>
      </c>
      <c r="J1" s="1940"/>
    </row>
    <row r="2" spans="1:10">
      <c r="A2" s="3">
        <v>1</v>
      </c>
      <c r="B2" s="1941">
        <v>45786</v>
      </c>
      <c r="C2" s="836" t="s">
        <v>24855</v>
      </c>
      <c r="D2" s="947">
        <f t="shared" ref="D2:D11" si="0">$D$14</f>
        <v>469.82</v>
      </c>
      <c r="E2" s="1369">
        <v>45785</v>
      </c>
      <c r="F2" s="948">
        <v>469.21</v>
      </c>
      <c r="G2" s="951">
        <f>IF(F2&lt;&gt;"",F2/D2,"")</f>
        <v>0.99870163041164695</v>
      </c>
      <c r="H2" s="949">
        <f>IF(F2&lt;&gt;"",D2-F2,"")</f>
        <v>0.61000000000001364</v>
      </c>
      <c r="I2" s="839" t="str">
        <f t="shared" ref="I2:I11" si="1">IF(E2&gt;0,"X","")</f>
        <v>X</v>
      </c>
      <c r="J2" s="1942">
        <f t="shared" ref="J2:J11" si="2">IF(I2="X",0,D2)</f>
        <v>0</v>
      </c>
    </row>
    <row r="3" spans="1:10">
      <c r="A3" s="3">
        <v>2</v>
      </c>
      <c r="B3" s="1941">
        <v>45817</v>
      </c>
      <c r="C3" s="836" t="s">
        <v>24856</v>
      </c>
      <c r="D3" s="947">
        <f t="shared" si="0"/>
        <v>469.82</v>
      </c>
      <c r="E3" s="1369">
        <v>45809</v>
      </c>
      <c r="F3" s="948">
        <v>465.73</v>
      </c>
      <c r="G3" s="951">
        <f t="shared" ref="G3:G11" si="3">IF(F3&lt;&gt;"",F3/D3,"")</f>
        <v>0.99129453833383008</v>
      </c>
      <c r="H3" s="949">
        <f t="shared" ref="H3:H11" si="4">IF(F3&lt;&gt;"",D3-F3,"")</f>
        <v>4.089999999999975</v>
      </c>
      <c r="I3" s="839" t="str">
        <f t="shared" si="1"/>
        <v>X</v>
      </c>
      <c r="J3" s="1942">
        <f t="shared" si="2"/>
        <v>0</v>
      </c>
    </row>
    <row r="4" spans="1:10">
      <c r="A4" s="3">
        <v>3</v>
      </c>
      <c r="B4" s="1941">
        <v>45847</v>
      </c>
      <c r="C4" s="836" t="s">
        <v>24857</v>
      </c>
      <c r="D4" s="947">
        <f t="shared" si="0"/>
        <v>469.82</v>
      </c>
      <c r="E4" s="1369">
        <v>45841</v>
      </c>
      <c r="F4" s="948">
        <v>466.19</v>
      </c>
      <c r="G4" s="951">
        <f t="shared" si="3"/>
        <v>0.99227363671193225</v>
      </c>
      <c r="H4" s="949">
        <f t="shared" si="4"/>
        <v>3.6299999999999955</v>
      </c>
      <c r="I4" s="839" t="str">
        <f t="shared" si="1"/>
        <v>X</v>
      </c>
      <c r="J4" s="1942">
        <f t="shared" si="2"/>
        <v>0</v>
      </c>
    </row>
    <row r="5" spans="1:10">
      <c r="A5" s="3">
        <v>4</v>
      </c>
      <c r="B5" s="1941">
        <v>45878</v>
      </c>
      <c r="C5" s="836" t="s">
        <v>24858</v>
      </c>
      <c r="D5" s="947">
        <f t="shared" si="0"/>
        <v>469.82</v>
      </c>
      <c r="E5" s="1369">
        <v>45873</v>
      </c>
      <c r="F5" s="948">
        <v>466.89</v>
      </c>
      <c r="G5" s="951">
        <f t="shared" si="3"/>
        <v>0.99376356902643559</v>
      </c>
      <c r="H5" s="949">
        <f t="shared" si="4"/>
        <v>2.9300000000000068</v>
      </c>
      <c r="I5" s="839" t="str">
        <f t="shared" si="1"/>
        <v>X</v>
      </c>
      <c r="J5" s="1942">
        <f t="shared" si="2"/>
        <v>0</v>
      </c>
    </row>
    <row r="6" spans="1:10">
      <c r="A6" s="3">
        <v>5</v>
      </c>
      <c r="B6" s="1941">
        <v>45909</v>
      </c>
      <c r="C6" s="836" t="s">
        <v>24859</v>
      </c>
      <c r="D6" s="947">
        <f t="shared" si="0"/>
        <v>469.82</v>
      </c>
      <c r="E6" s="1369">
        <v>45903</v>
      </c>
      <c r="F6" s="948">
        <v>466.31</v>
      </c>
      <c r="G6" s="951">
        <f t="shared" si="3"/>
        <v>0.99252905368013289</v>
      </c>
      <c r="H6" s="949">
        <f t="shared" si="4"/>
        <v>3.5099999999999909</v>
      </c>
      <c r="I6" s="839" t="str">
        <f t="shared" si="1"/>
        <v>X</v>
      </c>
      <c r="J6" s="1942">
        <f t="shared" si="2"/>
        <v>0</v>
      </c>
    </row>
    <row r="7" spans="1:10">
      <c r="A7" s="3">
        <v>6</v>
      </c>
      <c r="B7" s="1941">
        <v>45939</v>
      </c>
      <c r="C7" s="836" t="s">
        <v>24860</v>
      </c>
      <c r="D7" s="947">
        <f t="shared" si="0"/>
        <v>469.82</v>
      </c>
      <c r="E7" s="1369">
        <v>45932</v>
      </c>
      <c r="F7" s="948">
        <v>465.59</v>
      </c>
      <c r="G7" s="951">
        <f t="shared" si="3"/>
        <v>0.99099655187092928</v>
      </c>
      <c r="H7" s="949">
        <f t="shared" si="4"/>
        <v>4.2300000000000182</v>
      </c>
      <c r="I7" s="839" t="str">
        <f t="shared" si="1"/>
        <v>X</v>
      </c>
      <c r="J7" s="1942">
        <f t="shared" si="2"/>
        <v>0</v>
      </c>
    </row>
    <row r="8" spans="1:10">
      <c r="A8" s="3">
        <v>7</v>
      </c>
      <c r="B8" s="1941">
        <v>45970</v>
      </c>
      <c r="C8" s="836" t="s">
        <v>24861</v>
      </c>
      <c r="D8" s="947">
        <f t="shared" si="0"/>
        <v>469.82</v>
      </c>
      <c r="E8" s="1369">
        <v>45932</v>
      </c>
      <c r="F8" s="948">
        <v>447.9</v>
      </c>
      <c r="G8" s="951">
        <f t="shared" si="3"/>
        <v>0.9533438338086927</v>
      </c>
      <c r="H8" s="949">
        <f t="shared" si="4"/>
        <v>21.920000000000016</v>
      </c>
      <c r="I8" s="839" t="str">
        <f t="shared" si="1"/>
        <v>X</v>
      </c>
      <c r="J8" s="1942">
        <f t="shared" si="2"/>
        <v>0</v>
      </c>
    </row>
    <row r="9" spans="1:10">
      <c r="A9" s="3">
        <v>8</v>
      </c>
      <c r="B9" s="1941">
        <v>46000</v>
      </c>
      <c r="C9" s="836" t="s">
        <v>24862</v>
      </c>
      <c r="D9" s="947">
        <f t="shared" si="0"/>
        <v>469.82</v>
      </c>
      <c r="E9" s="1369">
        <v>45932</v>
      </c>
      <c r="F9" s="948">
        <v>430.88</v>
      </c>
      <c r="G9" s="951">
        <f t="shared" si="3"/>
        <v>0.91711719381890933</v>
      </c>
      <c r="H9" s="949">
        <f t="shared" si="4"/>
        <v>38.94</v>
      </c>
      <c r="I9" s="839" t="str">
        <f t="shared" si="1"/>
        <v>X</v>
      </c>
      <c r="J9" s="1942">
        <f t="shared" si="2"/>
        <v>0</v>
      </c>
    </row>
    <row r="10" spans="1:10">
      <c r="A10" s="3">
        <v>9</v>
      </c>
      <c r="B10" s="1941">
        <v>46031</v>
      </c>
      <c r="C10" s="836" t="s">
        <v>24863</v>
      </c>
      <c r="D10" s="947">
        <f t="shared" si="0"/>
        <v>469.82</v>
      </c>
      <c r="E10" s="1369">
        <v>45809</v>
      </c>
      <c r="F10" s="948">
        <v>355.11</v>
      </c>
      <c r="G10" s="951">
        <f t="shared" si="3"/>
        <v>0.75584266314758852</v>
      </c>
      <c r="H10" s="949">
        <f t="shared" si="4"/>
        <v>114.70999999999998</v>
      </c>
      <c r="I10" s="839" t="str">
        <f t="shared" si="1"/>
        <v>X</v>
      </c>
      <c r="J10" s="1942">
        <f t="shared" si="2"/>
        <v>0</v>
      </c>
    </row>
    <row r="11" spans="1:10">
      <c r="A11" s="3">
        <v>10</v>
      </c>
      <c r="B11" s="1941">
        <v>46062</v>
      </c>
      <c r="C11" s="836" t="s">
        <v>24864</v>
      </c>
      <c r="D11" s="947">
        <f t="shared" si="0"/>
        <v>469.82</v>
      </c>
      <c r="E11" s="1369">
        <v>45785</v>
      </c>
      <c r="F11" s="948">
        <v>331.09</v>
      </c>
      <c r="G11" s="951">
        <f t="shared" si="3"/>
        <v>0.70471670001277076</v>
      </c>
      <c r="H11" s="949">
        <f t="shared" si="4"/>
        <v>138.73000000000002</v>
      </c>
      <c r="I11" s="839" t="str">
        <f t="shared" si="1"/>
        <v>X</v>
      </c>
      <c r="J11" s="1942">
        <f t="shared" si="2"/>
        <v>0</v>
      </c>
    </row>
    <row r="12" spans="1:10" ht="14.25" thickBot="1">
      <c r="B12" s="1028"/>
      <c r="C12" s="1053" t="s">
        <v>12</v>
      </c>
      <c r="D12" s="1054">
        <f>SUM(D2:D11)</f>
        <v>4698.2</v>
      </c>
    </row>
    <row r="13" spans="1:10">
      <c r="C13" s="1039" t="s">
        <v>24831</v>
      </c>
      <c r="D13" s="1330">
        <v>3750</v>
      </c>
      <c r="F13" s="1326"/>
    </row>
    <row r="14" spans="1:10">
      <c r="C14" s="1040" t="s">
        <v>24832</v>
      </c>
      <c r="D14" s="1328">
        <v>469.82</v>
      </c>
      <c r="F14" s="1326"/>
    </row>
    <row r="15" spans="1:10">
      <c r="C15" s="1040" t="s">
        <v>24833</v>
      </c>
      <c r="D15" s="1327">
        <v>10</v>
      </c>
      <c r="F15" s="1326"/>
    </row>
    <row r="16" spans="1:10">
      <c r="C16" s="1040" t="s">
        <v>9746</v>
      </c>
      <c r="D16" s="1045">
        <v>4.2999999999999997E-2</v>
      </c>
    </row>
    <row r="17" spans="3:5">
      <c r="C17" s="1040" t="s">
        <v>24834</v>
      </c>
      <c r="D17" s="1045">
        <v>0.65739999999999998</v>
      </c>
    </row>
    <row r="18" spans="3:5">
      <c r="C18" s="1040" t="s">
        <v>24835</v>
      </c>
      <c r="D18" s="1045">
        <f>D15*D16</f>
        <v>0.42999999999999994</v>
      </c>
      <c r="E18" s="1326"/>
    </row>
    <row r="19" spans="3:5">
      <c r="C19" s="1040" t="s">
        <v>24836</v>
      </c>
      <c r="D19" s="1328">
        <f>D15*D14</f>
        <v>4698.2</v>
      </c>
    </row>
    <row r="20" spans="3:5">
      <c r="C20" s="1040" t="s">
        <v>24837</v>
      </c>
      <c r="D20" s="1328">
        <f>D19-D13</f>
        <v>948.19999999999982</v>
      </c>
    </row>
    <row r="21" spans="3:5">
      <c r="C21" s="1040" t="s">
        <v>24838</v>
      </c>
      <c r="D21" s="1328">
        <f>D20/D15</f>
        <v>94.819999999999979</v>
      </c>
    </row>
    <row r="22" spans="3:5">
      <c r="C22" s="1040" t="s">
        <v>24839</v>
      </c>
      <c r="D22" s="1328">
        <f>SUM(F2:F11)</f>
        <v>4364.9000000000005</v>
      </c>
    </row>
    <row r="23" spans="3:5">
      <c r="C23" s="1040" t="s">
        <v>24840</v>
      </c>
      <c r="D23" s="1328">
        <f>D12-D25</f>
        <v>4698.2</v>
      </c>
    </row>
    <row r="24" spans="3:5">
      <c r="C24" s="1040" t="s">
        <v>24841</v>
      </c>
      <c r="D24" s="1328">
        <f>SUM(H2:H11)</f>
        <v>333.3</v>
      </c>
    </row>
    <row r="25" spans="3:5" ht="14.25" thickBot="1">
      <c r="C25" s="1041" t="s">
        <v>24788</v>
      </c>
      <c r="D25" s="1329">
        <f>SUM(J2:J11)</f>
        <v>0</v>
      </c>
    </row>
    <row r="26" spans="3:5" ht="15">
      <c r="C26" s="2" t="s">
        <v>24842</v>
      </c>
    </row>
    <row r="27" spans="3:5" ht="15">
      <c r="C27" s="2"/>
    </row>
  </sheetData>
  <hyperlinks>
    <hyperlink ref="C26" r:id="rId1" xr:uid="{E5C57910-8BCE-48F8-86E1-5787E337D609}"/>
  </hyperlinks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Plan75"/>
  <dimension ref="A1:J63"/>
  <sheetViews>
    <sheetView workbookViewId="0">
      <pane xSplit="10" ySplit="1" topLeftCell="K2" activePane="bottomRight" state="frozen"/>
      <selection pane="bottomRight" activeCell="K1" sqref="K1"/>
      <selection pane="bottomLeft" activeCell="A2" sqref="A2"/>
      <selection pane="topRight" activeCell="K1" sqref="K1"/>
    </sheetView>
  </sheetViews>
  <sheetFormatPr defaultColWidth="9.140625" defaultRowHeight="13.5"/>
  <cols>
    <col min="1" max="1" width="3.28515625" style="3" bestFit="1" customWidth="1"/>
    <col min="2" max="2" width="16.140625" style="3" customWidth="1"/>
    <col min="3" max="3" width="46.85546875" style="3" bestFit="1" customWidth="1"/>
    <col min="4" max="4" width="17.5703125" style="3" customWidth="1"/>
    <col min="5" max="6" width="14.85546875" bestFit="1" customWidth="1"/>
    <col min="7" max="7" width="7.85546875" bestFit="1" customWidth="1"/>
    <col min="8" max="8" width="12.42578125" bestFit="1" customWidth="1"/>
    <col min="9" max="9" width="5.5703125" bestFit="1" customWidth="1"/>
    <col min="10" max="10" width="12.42578125" bestFit="1" customWidth="1"/>
    <col min="11" max="16384" width="9.140625" style="3"/>
  </cols>
  <sheetData>
    <row r="1" spans="1:10">
      <c r="A1" s="3" t="s">
        <v>356</v>
      </c>
      <c r="B1" s="1055" t="s">
        <v>0</v>
      </c>
      <c r="C1" s="836" t="s">
        <v>1394</v>
      </c>
      <c r="D1" s="1056" t="s">
        <v>363</v>
      </c>
      <c r="E1" s="837" t="s">
        <v>1396</v>
      </c>
      <c r="F1" s="948" t="s">
        <v>1397</v>
      </c>
      <c r="G1" s="837" t="s">
        <v>1398</v>
      </c>
      <c r="H1" s="837" t="s">
        <v>1399</v>
      </c>
      <c r="I1" s="837" t="s">
        <v>1400</v>
      </c>
      <c r="J1" s="837"/>
    </row>
    <row r="2" spans="1:10">
      <c r="A2" s="3">
        <v>1</v>
      </c>
      <c r="B2" s="1057">
        <v>41671</v>
      </c>
      <c r="C2" s="836" t="s">
        <v>24865</v>
      </c>
      <c r="D2" s="947">
        <v>553.99</v>
      </c>
      <c r="E2" s="838">
        <v>41649</v>
      </c>
      <c r="F2" s="948">
        <v>537.84</v>
      </c>
      <c r="G2" s="951">
        <f>IF(F2&lt;&gt;"",F2/D2,"")</f>
        <v>0.97084784923915601</v>
      </c>
      <c r="H2" s="949">
        <f>IF(F2&lt;&gt;"",D2-F2,"")</f>
        <v>16.149999999999977</v>
      </c>
      <c r="I2" s="839">
        <f>IF(E2&gt;0,1,"")</f>
        <v>1</v>
      </c>
      <c r="J2" s="947">
        <f>IF(I2=1,0,D2)</f>
        <v>0</v>
      </c>
    </row>
    <row r="3" spans="1:10">
      <c r="A3" s="3">
        <v>2</v>
      </c>
      <c r="B3" s="1057">
        <v>41699</v>
      </c>
      <c r="C3" s="836" t="s">
        <v>24866</v>
      </c>
      <c r="D3" s="947">
        <v>553.99</v>
      </c>
      <c r="E3" s="838"/>
      <c r="F3" s="948"/>
      <c r="G3" s="951" t="str">
        <f t="shared" ref="G3:G51" si="0">IF(F3&lt;&gt;"",F3/D3,"")</f>
        <v/>
      </c>
      <c r="H3" s="949" t="str">
        <f t="shared" ref="H3:H51" si="1">IF(F3&lt;&gt;"",D3-F3,"")</f>
        <v/>
      </c>
      <c r="I3" s="839" t="str">
        <f t="shared" ref="I3:I51" si="2">IF(E3&gt;0,1,"")</f>
        <v/>
      </c>
      <c r="J3" s="947">
        <f t="shared" ref="J3:J51" si="3">IF(I3=1,0,D3)</f>
        <v>553.99</v>
      </c>
    </row>
    <row r="4" spans="1:10">
      <c r="A4" s="3">
        <v>3</v>
      </c>
      <c r="B4" s="1057">
        <v>41730</v>
      </c>
      <c r="C4" s="836" t="s">
        <v>24867</v>
      </c>
      <c r="D4" s="947">
        <v>553.99</v>
      </c>
      <c r="E4" s="838"/>
      <c r="F4" s="948"/>
      <c r="G4" s="951" t="str">
        <f t="shared" si="0"/>
        <v/>
      </c>
      <c r="H4" s="949" t="str">
        <f t="shared" si="1"/>
        <v/>
      </c>
      <c r="I4" s="839" t="str">
        <f t="shared" si="2"/>
        <v/>
      </c>
      <c r="J4" s="947">
        <f t="shared" si="3"/>
        <v>553.99</v>
      </c>
    </row>
    <row r="5" spans="1:10">
      <c r="A5" s="3">
        <v>4</v>
      </c>
      <c r="B5" s="1057">
        <v>41760</v>
      </c>
      <c r="C5" s="836" t="s">
        <v>24868</v>
      </c>
      <c r="D5" s="947">
        <v>553.99</v>
      </c>
      <c r="E5" s="838"/>
      <c r="F5" s="948"/>
      <c r="G5" s="951" t="str">
        <f t="shared" si="0"/>
        <v/>
      </c>
      <c r="H5" s="949" t="str">
        <f t="shared" si="1"/>
        <v/>
      </c>
      <c r="I5" s="839" t="str">
        <f t="shared" si="2"/>
        <v/>
      </c>
      <c r="J5" s="947">
        <f t="shared" si="3"/>
        <v>553.99</v>
      </c>
    </row>
    <row r="6" spans="1:10">
      <c r="A6" s="3">
        <v>5</v>
      </c>
      <c r="B6" s="1057">
        <v>41791</v>
      </c>
      <c r="C6" s="836" t="s">
        <v>24869</v>
      </c>
      <c r="D6" s="947">
        <v>553.99</v>
      </c>
      <c r="E6" s="838"/>
      <c r="F6" s="948"/>
      <c r="G6" s="951" t="str">
        <f t="shared" si="0"/>
        <v/>
      </c>
      <c r="H6" s="949" t="str">
        <f t="shared" si="1"/>
        <v/>
      </c>
      <c r="I6" s="839" t="str">
        <f t="shared" si="2"/>
        <v/>
      </c>
      <c r="J6" s="947">
        <f t="shared" si="3"/>
        <v>553.99</v>
      </c>
    </row>
    <row r="7" spans="1:10">
      <c r="A7" s="3">
        <v>6</v>
      </c>
      <c r="B7" s="1057">
        <v>41821</v>
      </c>
      <c r="C7" s="836" t="s">
        <v>24870</v>
      </c>
      <c r="D7" s="947">
        <v>553.99</v>
      </c>
      <c r="E7" s="838"/>
      <c r="F7" s="948"/>
      <c r="G7" s="951" t="str">
        <f t="shared" si="0"/>
        <v/>
      </c>
      <c r="H7" s="949" t="str">
        <f t="shared" si="1"/>
        <v/>
      </c>
      <c r="I7" s="839" t="str">
        <f t="shared" si="2"/>
        <v/>
      </c>
      <c r="J7" s="947">
        <f t="shared" si="3"/>
        <v>553.99</v>
      </c>
    </row>
    <row r="8" spans="1:10">
      <c r="A8" s="3">
        <v>7</v>
      </c>
      <c r="B8" s="1057">
        <v>41852</v>
      </c>
      <c r="C8" s="836" t="s">
        <v>24871</v>
      </c>
      <c r="D8" s="947">
        <v>553.99</v>
      </c>
      <c r="E8" s="838"/>
      <c r="F8" s="948"/>
      <c r="G8" s="951" t="str">
        <f t="shared" si="0"/>
        <v/>
      </c>
      <c r="H8" s="949" t="str">
        <f t="shared" si="1"/>
        <v/>
      </c>
      <c r="I8" s="839" t="str">
        <f t="shared" si="2"/>
        <v/>
      </c>
      <c r="J8" s="947">
        <f t="shared" si="3"/>
        <v>553.99</v>
      </c>
    </row>
    <row r="9" spans="1:10">
      <c r="A9" s="3">
        <v>8</v>
      </c>
      <c r="B9" s="1057">
        <v>41883</v>
      </c>
      <c r="C9" s="836" t="s">
        <v>24872</v>
      </c>
      <c r="D9" s="947">
        <v>553.99</v>
      </c>
      <c r="E9" s="838"/>
      <c r="F9" s="948"/>
      <c r="G9" s="951" t="str">
        <f t="shared" si="0"/>
        <v/>
      </c>
      <c r="H9" s="949" t="str">
        <f t="shared" si="1"/>
        <v/>
      </c>
      <c r="I9" s="839" t="str">
        <f t="shared" si="2"/>
        <v/>
      </c>
      <c r="J9" s="947">
        <f t="shared" si="3"/>
        <v>553.99</v>
      </c>
    </row>
    <row r="10" spans="1:10">
      <c r="A10" s="3">
        <v>9</v>
      </c>
      <c r="B10" s="1057">
        <v>41913</v>
      </c>
      <c r="C10" s="836" t="s">
        <v>24873</v>
      </c>
      <c r="D10" s="947">
        <v>553.99</v>
      </c>
      <c r="E10" s="838"/>
      <c r="F10" s="948"/>
      <c r="G10" s="951" t="str">
        <f t="shared" si="0"/>
        <v/>
      </c>
      <c r="H10" s="949" t="str">
        <f t="shared" si="1"/>
        <v/>
      </c>
      <c r="I10" s="839" t="str">
        <f t="shared" si="2"/>
        <v/>
      </c>
      <c r="J10" s="947">
        <f t="shared" si="3"/>
        <v>553.99</v>
      </c>
    </row>
    <row r="11" spans="1:10">
      <c r="A11" s="3">
        <v>10</v>
      </c>
      <c r="B11" s="1057">
        <v>41944</v>
      </c>
      <c r="C11" s="836" t="s">
        <v>24874</v>
      </c>
      <c r="D11" s="947">
        <v>553.99</v>
      </c>
      <c r="E11" s="838"/>
      <c r="F11" s="948"/>
      <c r="G11" s="951" t="str">
        <f t="shared" si="0"/>
        <v/>
      </c>
      <c r="H11" s="949" t="str">
        <f t="shared" si="1"/>
        <v/>
      </c>
      <c r="I11" s="839" t="str">
        <f t="shared" si="2"/>
        <v/>
      </c>
      <c r="J11" s="947">
        <f t="shared" si="3"/>
        <v>553.99</v>
      </c>
    </row>
    <row r="12" spans="1:10">
      <c r="A12" s="3">
        <v>11</v>
      </c>
      <c r="B12" s="1057">
        <v>41974</v>
      </c>
      <c r="C12" s="836" t="s">
        <v>24875</v>
      </c>
      <c r="D12" s="947">
        <v>553.99</v>
      </c>
      <c r="E12" s="838"/>
      <c r="F12" s="948"/>
      <c r="G12" s="951" t="str">
        <f t="shared" si="0"/>
        <v/>
      </c>
      <c r="H12" s="949" t="str">
        <f t="shared" si="1"/>
        <v/>
      </c>
      <c r="I12" s="839" t="str">
        <f t="shared" si="2"/>
        <v/>
      </c>
      <c r="J12" s="947">
        <f t="shared" si="3"/>
        <v>553.99</v>
      </c>
    </row>
    <row r="13" spans="1:10">
      <c r="A13" s="3">
        <v>12</v>
      </c>
      <c r="B13" s="1057">
        <v>42005</v>
      </c>
      <c r="C13" s="836" t="s">
        <v>24876</v>
      </c>
      <c r="D13" s="947">
        <v>553.99</v>
      </c>
      <c r="E13" s="838"/>
      <c r="F13" s="948"/>
      <c r="G13" s="951" t="str">
        <f t="shared" si="0"/>
        <v/>
      </c>
      <c r="H13" s="949" t="str">
        <f t="shared" si="1"/>
        <v/>
      </c>
      <c r="I13" s="839" t="str">
        <f t="shared" si="2"/>
        <v/>
      </c>
      <c r="J13" s="947">
        <f t="shared" si="3"/>
        <v>553.99</v>
      </c>
    </row>
    <row r="14" spans="1:10">
      <c r="A14" s="3">
        <v>13</v>
      </c>
      <c r="B14" s="1057">
        <v>42036</v>
      </c>
      <c r="C14" s="836" t="s">
        <v>24877</v>
      </c>
      <c r="D14" s="947">
        <v>553.99</v>
      </c>
      <c r="E14" s="838"/>
      <c r="F14" s="948"/>
      <c r="G14" s="951" t="str">
        <f t="shared" si="0"/>
        <v/>
      </c>
      <c r="H14" s="949" t="str">
        <f t="shared" si="1"/>
        <v/>
      </c>
      <c r="I14" s="839" t="str">
        <f t="shared" si="2"/>
        <v/>
      </c>
      <c r="J14" s="947">
        <f t="shared" si="3"/>
        <v>553.99</v>
      </c>
    </row>
    <row r="15" spans="1:10">
      <c r="A15" s="3">
        <v>14</v>
      </c>
      <c r="B15" s="1057">
        <v>42064</v>
      </c>
      <c r="C15" s="836" t="s">
        <v>24878</v>
      </c>
      <c r="D15" s="947">
        <v>553.99</v>
      </c>
      <c r="E15" s="838"/>
      <c r="F15" s="948"/>
      <c r="G15" s="951" t="str">
        <f t="shared" si="0"/>
        <v/>
      </c>
      <c r="H15" s="949" t="str">
        <f t="shared" si="1"/>
        <v/>
      </c>
      <c r="I15" s="839" t="str">
        <f t="shared" si="2"/>
        <v/>
      </c>
      <c r="J15" s="947">
        <f t="shared" si="3"/>
        <v>553.99</v>
      </c>
    </row>
    <row r="16" spans="1:10">
      <c r="A16" s="3">
        <v>15</v>
      </c>
      <c r="B16" s="1057">
        <v>42095</v>
      </c>
      <c r="C16" s="836" t="s">
        <v>24879</v>
      </c>
      <c r="D16" s="947">
        <v>553.99</v>
      </c>
      <c r="E16" s="838"/>
      <c r="F16" s="948"/>
      <c r="G16" s="951" t="str">
        <f t="shared" si="0"/>
        <v/>
      </c>
      <c r="H16" s="949" t="str">
        <f t="shared" si="1"/>
        <v/>
      </c>
      <c r="I16" s="839" t="str">
        <f t="shared" si="2"/>
        <v/>
      </c>
      <c r="J16" s="947">
        <f t="shared" si="3"/>
        <v>553.99</v>
      </c>
    </row>
    <row r="17" spans="1:10">
      <c r="A17" s="3">
        <v>16</v>
      </c>
      <c r="B17" s="1057">
        <v>42125</v>
      </c>
      <c r="C17" s="836" t="s">
        <v>24880</v>
      </c>
      <c r="D17" s="947">
        <v>553.99</v>
      </c>
      <c r="E17" s="838"/>
      <c r="F17" s="948"/>
      <c r="G17" s="951" t="str">
        <f t="shared" si="0"/>
        <v/>
      </c>
      <c r="H17" s="949" t="str">
        <f t="shared" si="1"/>
        <v/>
      </c>
      <c r="I17" s="839" t="str">
        <f t="shared" si="2"/>
        <v/>
      </c>
      <c r="J17" s="947">
        <f t="shared" si="3"/>
        <v>553.99</v>
      </c>
    </row>
    <row r="18" spans="1:10">
      <c r="A18" s="3">
        <v>17</v>
      </c>
      <c r="B18" s="1057">
        <v>42156</v>
      </c>
      <c r="C18" s="836" t="s">
        <v>24881</v>
      </c>
      <c r="D18" s="947">
        <v>553.99</v>
      </c>
      <c r="E18" s="838"/>
      <c r="F18" s="948"/>
      <c r="G18" s="951" t="str">
        <f t="shared" si="0"/>
        <v/>
      </c>
      <c r="H18" s="949" t="str">
        <f t="shared" si="1"/>
        <v/>
      </c>
      <c r="I18" s="839" t="str">
        <f t="shared" si="2"/>
        <v/>
      </c>
      <c r="J18" s="947">
        <f t="shared" si="3"/>
        <v>553.99</v>
      </c>
    </row>
    <row r="19" spans="1:10">
      <c r="A19" s="3">
        <v>18</v>
      </c>
      <c r="B19" s="1057">
        <v>42186</v>
      </c>
      <c r="C19" s="836" t="s">
        <v>24882</v>
      </c>
      <c r="D19" s="947">
        <v>553.99</v>
      </c>
      <c r="E19" s="838"/>
      <c r="F19" s="948"/>
      <c r="G19" s="951" t="str">
        <f t="shared" si="0"/>
        <v/>
      </c>
      <c r="H19" s="949" t="str">
        <f t="shared" si="1"/>
        <v/>
      </c>
      <c r="I19" s="839" t="str">
        <f t="shared" si="2"/>
        <v/>
      </c>
      <c r="J19" s="947">
        <f t="shared" si="3"/>
        <v>553.99</v>
      </c>
    </row>
    <row r="20" spans="1:10">
      <c r="A20" s="3">
        <v>19</v>
      </c>
      <c r="B20" s="1057">
        <v>42217</v>
      </c>
      <c r="C20" s="836" t="s">
        <v>24883</v>
      </c>
      <c r="D20" s="947">
        <v>553.99</v>
      </c>
      <c r="E20" s="838"/>
      <c r="F20" s="948"/>
      <c r="G20" s="951" t="str">
        <f t="shared" si="0"/>
        <v/>
      </c>
      <c r="H20" s="949" t="str">
        <f t="shared" si="1"/>
        <v/>
      </c>
      <c r="I20" s="839" t="str">
        <f t="shared" si="2"/>
        <v/>
      </c>
      <c r="J20" s="947">
        <f t="shared" si="3"/>
        <v>553.99</v>
      </c>
    </row>
    <row r="21" spans="1:10">
      <c r="A21" s="3">
        <v>20</v>
      </c>
      <c r="B21" s="1057">
        <v>42248</v>
      </c>
      <c r="C21" s="836" t="s">
        <v>24884</v>
      </c>
      <c r="D21" s="947">
        <v>553.99</v>
      </c>
      <c r="E21" s="838"/>
      <c r="F21" s="948"/>
      <c r="G21" s="951" t="str">
        <f t="shared" si="0"/>
        <v/>
      </c>
      <c r="H21" s="949" t="str">
        <f t="shared" si="1"/>
        <v/>
      </c>
      <c r="I21" s="839" t="str">
        <f t="shared" si="2"/>
        <v/>
      </c>
      <c r="J21" s="947">
        <f t="shared" si="3"/>
        <v>553.99</v>
      </c>
    </row>
    <row r="22" spans="1:10">
      <c r="A22" s="3">
        <v>21</v>
      </c>
      <c r="B22" s="1057">
        <v>42278</v>
      </c>
      <c r="C22" s="836" t="s">
        <v>24885</v>
      </c>
      <c r="D22" s="947">
        <v>553.99</v>
      </c>
      <c r="E22" s="838"/>
      <c r="F22" s="948"/>
      <c r="G22" s="951" t="str">
        <f t="shared" si="0"/>
        <v/>
      </c>
      <c r="H22" s="949" t="str">
        <f t="shared" si="1"/>
        <v/>
      </c>
      <c r="I22" s="839" t="str">
        <f t="shared" si="2"/>
        <v/>
      </c>
      <c r="J22" s="947">
        <f t="shared" si="3"/>
        <v>553.99</v>
      </c>
    </row>
    <row r="23" spans="1:10">
      <c r="A23" s="3">
        <v>22</v>
      </c>
      <c r="B23" s="1057">
        <v>42309</v>
      </c>
      <c r="C23" s="836" t="s">
        <v>24886</v>
      </c>
      <c r="D23" s="947">
        <v>553.99</v>
      </c>
      <c r="E23" s="838"/>
      <c r="F23" s="948"/>
      <c r="G23" s="951" t="str">
        <f t="shared" si="0"/>
        <v/>
      </c>
      <c r="H23" s="949" t="str">
        <f t="shared" si="1"/>
        <v/>
      </c>
      <c r="I23" s="839" t="str">
        <f t="shared" si="2"/>
        <v/>
      </c>
      <c r="J23" s="947">
        <f t="shared" si="3"/>
        <v>553.99</v>
      </c>
    </row>
    <row r="24" spans="1:10">
      <c r="A24" s="3">
        <v>23</v>
      </c>
      <c r="B24" s="1057">
        <v>42339</v>
      </c>
      <c r="C24" s="836" t="s">
        <v>24887</v>
      </c>
      <c r="D24" s="947">
        <v>553.99</v>
      </c>
      <c r="E24" s="838"/>
      <c r="F24" s="948"/>
      <c r="G24" s="951" t="str">
        <f t="shared" si="0"/>
        <v/>
      </c>
      <c r="H24" s="949" t="str">
        <f t="shared" si="1"/>
        <v/>
      </c>
      <c r="I24" s="839" t="str">
        <f t="shared" si="2"/>
        <v/>
      </c>
      <c r="J24" s="947">
        <f t="shared" si="3"/>
        <v>553.99</v>
      </c>
    </row>
    <row r="25" spans="1:10">
      <c r="A25" s="3">
        <v>24</v>
      </c>
      <c r="B25" s="1057">
        <v>42370</v>
      </c>
      <c r="C25" s="836" t="s">
        <v>24888</v>
      </c>
      <c r="D25" s="947">
        <v>553.99</v>
      </c>
      <c r="E25" s="838"/>
      <c r="F25" s="948"/>
      <c r="G25" s="951" t="str">
        <f t="shared" si="0"/>
        <v/>
      </c>
      <c r="H25" s="949" t="str">
        <f t="shared" si="1"/>
        <v/>
      </c>
      <c r="I25" s="839" t="str">
        <f t="shared" si="2"/>
        <v/>
      </c>
      <c r="J25" s="947">
        <f t="shared" si="3"/>
        <v>553.99</v>
      </c>
    </row>
    <row r="26" spans="1:10">
      <c r="A26" s="3">
        <v>25</v>
      </c>
      <c r="B26" s="1057">
        <v>42401</v>
      </c>
      <c r="C26" s="836" t="s">
        <v>24889</v>
      </c>
      <c r="D26" s="947">
        <v>553.99</v>
      </c>
      <c r="E26" s="838"/>
      <c r="F26" s="948"/>
      <c r="G26" s="951" t="str">
        <f t="shared" si="0"/>
        <v/>
      </c>
      <c r="H26" s="949" t="str">
        <f t="shared" si="1"/>
        <v/>
      </c>
      <c r="I26" s="839" t="str">
        <f t="shared" si="2"/>
        <v/>
      </c>
      <c r="J26" s="947">
        <f t="shared" si="3"/>
        <v>553.99</v>
      </c>
    </row>
    <row r="27" spans="1:10">
      <c r="A27" s="3">
        <v>26</v>
      </c>
      <c r="B27" s="1057">
        <v>42430</v>
      </c>
      <c r="C27" s="836" t="s">
        <v>24890</v>
      </c>
      <c r="D27" s="947">
        <v>553.99</v>
      </c>
      <c r="E27" s="838"/>
      <c r="F27" s="948"/>
      <c r="G27" s="951" t="str">
        <f t="shared" si="0"/>
        <v/>
      </c>
      <c r="H27" s="949" t="str">
        <f t="shared" si="1"/>
        <v/>
      </c>
      <c r="I27" s="839" t="str">
        <f t="shared" si="2"/>
        <v/>
      </c>
      <c r="J27" s="947">
        <f t="shared" si="3"/>
        <v>553.99</v>
      </c>
    </row>
    <row r="28" spans="1:10">
      <c r="A28" s="3">
        <v>27</v>
      </c>
      <c r="B28" s="1057">
        <v>42461</v>
      </c>
      <c r="C28" s="836" t="s">
        <v>24891</v>
      </c>
      <c r="D28" s="947">
        <v>553.99</v>
      </c>
      <c r="E28" s="838"/>
      <c r="F28" s="948"/>
      <c r="G28" s="951" t="str">
        <f t="shared" si="0"/>
        <v/>
      </c>
      <c r="H28" s="949" t="str">
        <f t="shared" si="1"/>
        <v/>
      </c>
      <c r="I28" s="839" t="str">
        <f t="shared" si="2"/>
        <v/>
      </c>
      <c r="J28" s="947">
        <f t="shared" si="3"/>
        <v>553.99</v>
      </c>
    </row>
    <row r="29" spans="1:10">
      <c r="A29" s="3">
        <v>28</v>
      </c>
      <c r="B29" s="1057">
        <v>42491</v>
      </c>
      <c r="C29" s="836" t="s">
        <v>24892</v>
      </c>
      <c r="D29" s="947">
        <v>553.99</v>
      </c>
      <c r="E29" s="838"/>
      <c r="F29" s="948"/>
      <c r="G29" s="951" t="str">
        <f t="shared" si="0"/>
        <v/>
      </c>
      <c r="H29" s="949" t="str">
        <f t="shared" si="1"/>
        <v/>
      </c>
      <c r="I29" s="839" t="str">
        <f t="shared" si="2"/>
        <v/>
      </c>
      <c r="J29" s="947">
        <f t="shared" si="3"/>
        <v>553.99</v>
      </c>
    </row>
    <row r="30" spans="1:10">
      <c r="A30" s="3">
        <v>29</v>
      </c>
      <c r="B30" s="1057">
        <v>42522</v>
      </c>
      <c r="C30" s="836" t="s">
        <v>24893</v>
      </c>
      <c r="D30" s="947">
        <v>553.99</v>
      </c>
      <c r="E30" s="838"/>
      <c r="F30" s="948"/>
      <c r="G30" s="951" t="str">
        <f t="shared" si="0"/>
        <v/>
      </c>
      <c r="H30" s="949" t="str">
        <f t="shared" si="1"/>
        <v/>
      </c>
      <c r="I30" s="839" t="str">
        <f t="shared" si="2"/>
        <v/>
      </c>
      <c r="J30" s="947">
        <f t="shared" si="3"/>
        <v>553.99</v>
      </c>
    </row>
    <row r="31" spans="1:10">
      <c r="A31" s="3">
        <v>30</v>
      </c>
      <c r="B31" s="1057">
        <v>42552</v>
      </c>
      <c r="C31" s="836" t="s">
        <v>24894</v>
      </c>
      <c r="D31" s="947">
        <v>553.99</v>
      </c>
      <c r="E31" s="838"/>
      <c r="F31" s="948"/>
      <c r="G31" s="951" t="str">
        <f t="shared" si="0"/>
        <v/>
      </c>
      <c r="H31" s="949" t="str">
        <f t="shared" si="1"/>
        <v/>
      </c>
      <c r="I31" s="839" t="str">
        <f t="shared" si="2"/>
        <v/>
      </c>
      <c r="J31" s="947">
        <f t="shared" si="3"/>
        <v>553.99</v>
      </c>
    </row>
    <row r="32" spans="1:10">
      <c r="A32" s="3">
        <v>31</v>
      </c>
      <c r="B32" s="1057">
        <v>42583</v>
      </c>
      <c r="C32" s="836" t="s">
        <v>24895</v>
      </c>
      <c r="D32" s="947">
        <v>553.99</v>
      </c>
      <c r="E32" s="838"/>
      <c r="F32" s="948"/>
      <c r="G32" s="951" t="str">
        <f t="shared" si="0"/>
        <v/>
      </c>
      <c r="H32" s="949" t="str">
        <f t="shared" si="1"/>
        <v/>
      </c>
      <c r="I32" s="839" t="str">
        <f t="shared" si="2"/>
        <v/>
      </c>
      <c r="J32" s="947">
        <f t="shared" si="3"/>
        <v>553.99</v>
      </c>
    </row>
    <row r="33" spans="1:10">
      <c r="A33" s="3">
        <v>32</v>
      </c>
      <c r="B33" s="1057">
        <v>42614</v>
      </c>
      <c r="C33" s="836" t="s">
        <v>24896</v>
      </c>
      <c r="D33" s="947">
        <v>553.99</v>
      </c>
      <c r="E33" s="838"/>
      <c r="F33" s="948"/>
      <c r="G33" s="951" t="str">
        <f t="shared" si="0"/>
        <v/>
      </c>
      <c r="H33" s="949" t="str">
        <f t="shared" si="1"/>
        <v/>
      </c>
      <c r="I33" s="839" t="str">
        <f t="shared" si="2"/>
        <v/>
      </c>
      <c r="J33" s="947">
        <f t="shared" si="3"/>
        <v>553.99</v>
      </c>
    </row>
    <row r="34" spans="1:10">
      <c r="A34" s="3">
        <v>33</v>
      </c>
      <c r="B34" s="1057">
        <v>42644</v>
      </c>
      <c r="C34" s="836" t="s">
        <v>24897</v>
      </c>
      <c r="D34" s="947">
        <v>553.99</v>
      </c>
      <c r="E34" s="838"/>
      <c r="F34" s="948"/>
      <c r="G34" s="951" t="str">
        <f t="shared" si="0"/>
        <v/>
      </c>
      <c r="H34" s="949" t="str">
        <f t="shared" si="1"/>
        <v/>
      </c>
      <c r="I34" s="839" t="str">
        <f t="shared" si="2"/>
        <v/>
      </c>
      <c r="J34" s="947">
        <f t="shared" si="3"/>
        <v>553.99</v>
      </c>
    </row>
    <row r="35" spans="1:10">
      <c r="A35" s="3">
        <v>34</v>
      </c>
      <c r="B35" s="1057">
        <v>42675</v>
      </c>
      <c r="C35" s="836" t="s">
        <v>24898</v>
      </c>
      <c r="D35" s="947">
        <v>553.99</v>
      </c>
      <c r="E35" s="838"/>
      <c r="F35" s="948"/>
      <c r="G35" s="951" t="str">
        <f t="shared" si="0"/>
        <v/>
      </c>
      <c r="H35" s="949" t="str">
        <f t="shared" si="1"/>
        <v/>
      </c>
      <c r="I35" s="839" t="str">
        <f t="shared" si="2"/>
        <v/>
      </c>
      <c r="J35" s="947">
        <f t="shared" si="3"/>
        <v>553.99</v>
      </c>
    </row>
    <row r="36" spans="1:10">
      <c r="A36" s="3">
        <v>35</v>
      </c>
      <c r="B36" s="1057">
        <v>42705</v>
      </c>
      <c r="C36" s="836" t="s">
        <v>24899</v>
      </c>
      <c r="D36" s="947">
        <v>553.99</v>
      </c>
      <c r="E36" s="838"/>
      <c r="F36" s="948"/>
      <c r="G36" s="951" t="str">
        <f t="shared" si="0"/>
        <v/>
      </c>
      <c r="H36" s="949" t="str">
        <f t="shared" si="1"/>
        <v/>
      </c>
      <c r="I36" s="839" t="str">
        <f t="shared" si="2"/>
        <v/>
      </c>
      <c r="J36" s="947">
        <f t="shared" si="3"/>
        <v>553.99</v>
      </c>
    </row>
    <row r="37" spans="1:10">
      <c r="A37" s="3">
        <v>36</v>
      </c>
      <c r="B37" s="1057">
        <v>42736</v>
      </c>
      <c r="C37" s="836" t="s">
        <v>24900</v>
      </c>
      <c r="D37" s="947">
        <v>553.99</v>
      </c>
      <c r="E37" s="838"/>
      <c r="F37" s="948"/>
      <c r="G37" s="951" t="str">
        <f t="shared" si="0"/>
        <v/>
      </c>
      <c r="H37" s="949" t="str">
        <f t="shared" si="1"/>
        <v/>
      </c>
      <c r="I37" s="839" t="str">
        <f t="shared" si="2"/>
        <v/>
      </c>
      <c r="J37" s="947">
        <f t="shared" si="3"/>
        <v>553.99</v>
      </c>
    </row>
    <row r="38" spans="1:10">
      <c r="A38" s="3">
        <v>37</v>
      </c>
      <c r="B38" s="1057">
        <v>42767</v>
      </c>
      <c r="C38" s="836" t="s">
        <v>24901</v>
      </c>
      <c r="D38" s="947">
        <v>553.99</v>
      </c>
      <c r="E38" s="838"/>
      <c r="F38" s="948"/>
      <c r="G38" s="951" t="str">
        <f t="shared" si="0"/>
        <v/>
      </c>
      <c r="H38" s="949" t="str">
        <f t="shared" si="1"/>
        <v/>
      </c>
      <c r="I38" s="839" t="str">
        <f t="shared" si="2"/>
        <v/>
      </c>
      <c r="J38" s="947">
        <f t="shared" si="3"/>
        <v>553.99</v>
      </c>
    </row>
    <row r="39" spans="1:10">
      <c r="A39" s="3">
        <v>38</v>
      </c>
      <c r="B39" s="1057">
        <v>42795</v>
      </c>
      <c r="C39" s="836" t="s">
        <v>24902</v>
      </c>
      <c r="D39" s="947">
        <v>553.99</v>
      </c>
      <c r="E39" s="838"/>
      <c r="F39" s="948"/>
      <c r="G39" s="951" t="str">
        <f t="shared" si="0"/>
        <v/>
      </c>
      <c r="H39" s="949" t="str">
        <f t="shared" si="1"/>
        <v/>
      </c>
      <c r="I39" s="839" t="str">
        <f t="shared" si="2"/>
        <v/>
      </c>
      <c r="J39" s="947">
        <f t="shared" si="3"/>
        <v>553.99</v>
      </c>
    </row>
    <row r="40" spans="1:10">
      <c r="A40" s="3">
        <v>39</v>
      </c>
      <c r="B40" s="1057">
        <v>42826</v>
      </c>
      <c r="C40" s="836" t="s">
        <v>24903</v>
      </c>
      <c r="D40" s="947">
        <v>553.99</v>
      </c>
      <c r="E40" s="838"/>
      <c r="F40" s="948"/>
      <c r="G40" s="951" t="str">
        <f t="shared" si="0"/>
        <v/>
      </c>
      <c r="H40" s="949" t="str">
        <f t="shared" si="1"/>
        <v/>
      </c>
      <c r="I40" s="839" t="str">
        <f t="shared" si="2"/>
        <v/>
      </c>
      <c r="J40" s="947">
        <f t="shared" si="3"/>
        <v>553.99</v>
      </c>
    </row>
    <row r="41" spans="1:10">
      <c r="A41" s="3">
        <v>40</v>
      </c>
      <c r="B41" s="1057">
        <v>42856</v>
      </c>
      <c r="C41" s="836" t="s">
        <v>24904</v>
      </c>
      <c r="D41" s="947">
        <v>553.99</v>
      </c>
      <c r="E41" s="838"/>
      <c r="F41" s="948"/>
      <c r="G41" s="951" t="str">
        <f t="shared" si="0"/>
        <v/>
      </c>
      <c r="H41" s="949" t="str">
        <f t="shared" si="1"/>
        <v/>
      </c>
      <c r="I41" s="839" t="str">
        <f t="shared" si="2"/>
        <v/>
      </c>
      <c r="J41" s="947">
        <f t="shared" si="3"/>
        <v>553.99</v>
      </c>
    </row>
    <row r="42" spans="1:10">
      <c r="A42" s="3">
        <v>41</v>
      </c>
      <c r="B42" s="1057">
        <v>42887</v>
      </c>
      <c r="C42" s="836" t="s">
        <v>24905</v>
      </c>
      <c r="D42" s="947">
        <v>553.99</v>
      </c>
      <c r="E42" s="838"/>
      <c r="F42" s="948"/>
      <c r="G42" s="951" t="str">
        <f t="shared" si="0"/>
        <v/>
      </c>
      <c r="H42" s="949" t="str">
        <f t="shared" si="1"/>
        <v/>
      </c>
      <c r="I42" s="839" t="str">
        <f t="shared" si="2"/>
        <v/>
      </c>
      <c r="J42" s="947">
        <f t="shared" si="3"/>
        <v>553.99</v>
      </c>
    </row>
    <row r="43" spans="1:10">
      <c r="A43" s="3">
        <v>42</v>
      </c>
      <c r="B43" s="1057">
        <v>42917</v>
      </c>
      <c r="C43" s="836" t="s">
        <v>24906</v>
      </c>
      <c r="D43" s="947">
        <v>553.99</v>
      </c>
      <c r="E43" s="838"/>
      <c r="F43" s="948"/>
      <c r="G43" s="951" t="str">
        <f t="shared" si="0"/>
        <v/>
      </c>
      <c r="H43" s="949" t="str">
        <f t="shared" si="1"/>
        <v/>
      </c>
      <c r="I43" s="839" t="str">
        <f t="shared" si="2"/>
        <v/>
      </c>
      <c r="J43" s="947">
        <f t="shared" si="3"/>
        <v>553.99</v>
      </c>
    </row>
    <row r="44" spans="1:10">
      <c r="A44" s="3">
        <v>43</v>
      </c>
      <c r="B44" s="1057">
        <v>42948</v>
      </c>
      <c r="C44" s="836" t="s">
        <v>24907</v>
      </c>
      <c r="D44" s="947">
        <v>553.99</v>
      </c>
      <c r="E44" s="838"/>
      <c r="F44" s="948"/>
      <c r="G44" s="951" t="str">
        <f t="shared" si="0"/>
        <v/>
      </c>
      <c r="H44" s="949" t="str">
        <f t="shared" si="1"/>
        <v/>
      </c>
      <c r="I44" s="839" t="str">
        <f t="shared" si="2"/>
        <v/>
      </c>
      <c r="J44" s="947">
        <f t="shared" si="3"/>
        <v>553.99</v>
      </c>
    </row>
    <row r="45" spans="1:10">
      <c r="A45" s="3">
        <v>44</v>
      </c>
      <c r="B45" s="1057">
        <v>42979</v>
      </c>
      <c r="C45" s="836" t="s">
        <v>24908</v>
      </c>
      <c r="D45" s="947">
        <v>553.99</v>
      </c>
      <c r="E45" s="838"/>
      <c r="F45" s="948"/>
      <c r="G45" s="951" t="str">
        <f t="shared" si="0"/>
        <v/>
      </c>
      <c r="H45" s="949" t="str">
        <f t="shared" si="1"/>
        <v/>
      </c>
      <c r="I45" s="839" t="str">
        <f t="shared" si="2"/>
        <v/>
      </c>
      <c r="J45" s="947">
        <f t="shared" si="3"/>
        <v>553.99</v>
      </c>
    </row>
    <row r="46" spans="1:10">
      <c r="A46" s="3">
        <v>45</v>
      </c>
      <c r="B46" s="1057">
        <v>43009</v>
      </c>
      <c r="C46" s="836" t="s">
        <v>24909</v>
      </c>
      <c r="D46" s="947">
        <v>553.99</v>
      </c>
      <c r="E46" s="838"/>
      <c r="F46" s="948"/>
      <c r="G46" s="951" t="str">
        <f t="shared" si="0"/>
        <v/>
      </c>
      <c r="H46" s="949" t="str">
        <f t="shared" si="1"/>
        <v/>
      </c>
      <c r="I46" s="839" t="str">
        <f t="shared" si="2"/>
        <v/>
      </c>
      <c r="J46" s="947">
        <f t="shared" si="3"/>
        <v>553.99</v>
      </c>
    </row>
    <row r="47" spans="1:10">
      <c r="A47" s="3">
        <v>46</v>
      </c>
      <c r="B47" s="1057">
        <v>43040</v>
      </c>
      <c r="C47" s="836" t="s">
        <v>24910</v>
      </c>
      <c r="D47" s="947">
        <v>553.99</v>
      </c>
      <c r="E47" s="838"/>
      <c r="F47" s="948"/>
      <c r="G47" s="951" t="str">
        <f t="shared" si="0"/>
        <v/>
      </c>
      <c r="H47" s="949" t="str">
        <f t="shared" si="1"/>
        <v/>
      </c>
      <c r="I47" s="839" t="str">
        <f t="shared" si="2"/>
        <v/>
      </c>
      <c r="J47" s="947">
        <f t="shared" si="3"/>
        <v>553.99</v>
      </c>
    </row>
    <row r="48" spans="1:10">
      <c r="A48" s="3">
        <v>47</v>
      </c>
      <c r="B48" s="1057">
        <v>43070</v>
      </c>
      <c r="C48" s="836" t="s">
        <v>24911</v>
      </c>
      <c r="D48" s="947">
        <v>553.99</v>
      </c>
      <c r="E48" s="838"/>
      <c r="F48" s="948"/>
      <c r="G48" s="951" t="str">
        <f t="shared" si="0"/>
        <v/>
      </c>
      <c r="H48" s="949" t="str">
        <f t="shared" si="1"/>
        <v/>
      </c>
      <c r="I48" s="839" t="str">
        <f t="shared" si="2"/>
        <v/>
      </c>
      <c r="J48" s="947">
        <f t="shared" si="3"/>
        <v>553.99</v>
      </c>
    </row>
    <row r="49" spans="1:10">
      <c r="A49" s="3">
        <v>48</v>
      </c>
      <c r="B49" s="1057">
        <v>43101</v>
      </c>
      <c r="C49" s="836" t="s">
        <v>24912</v>
      </c>
      <c r="D49" s="947">
        <v>553.99</v>
      </c>
      <c r="E49" s="838"/>
      <c r="F49" s="948"/>
      <c r="G49" s="951" t="str">
        <f t="shared" si="0"/>
        <v/>
      </c>
      <c r="H49" s="949" t="str">
        <f t="shared" si="1"/>
        <v/>
      </c>
      <c r="I49" s="839" t="str">
        <f t="shared" si="2"/>
        <v/>
      </c>
      <c r="J49" s="947">
        <f t="shared" si="3"/>
        <v>553.99</v>
      </c>
    </row>
    <row r="50" spans="1:10">
      <c r="A50" s="3">
        <v>49</v>
      </c>
      <c r="B50" s="1057">
        <v>43132</v>
      </c>
      <c r="C50" s="836" t="s">
        <v>24913</v>
      </c>
      <c r="D50" s="947">
        <v>553.99</v>
      </c>
      <c r="E50" s="838"/>
      <c r="F50" s="948"/>
      <c r="G50" s="951" t="str">
        <f t="shared" si="0"/>
        <v/>
      </c>
      <c r="H50" s="949" t="str">
        <f t="shared" si="1"/>
        <v/>
      </c>
      <c r="I50" s="839" t="str">
        <f t="shared" si="2"/>
        <v/>
      </c>
      <c r="J50" s="947">
        <f t="shared" si="3"/>
        <v>553.99</v>
      </c>
    </row>
    <row r="51" spans="1:10">
      <c r="A51" s="3">
        <v>50</v>
      </c>
      <c r="B51" s="1057">
        <v>43160</v>
      </c>
      <c r="C51" s="836" t="s">
        <v>24914</v>
      </c>
      <c r="D51" s="947">
        <v>553.99</v>
      </c>
      <c r="E51" s="838"/>
      <c r="F51" s="948"/>
      <c r="G51" s="951" t="str">
        <f t="shared" si="0"/>
        <v/>
      </c>
      <c r="H51" s="949" t="str">
        <f t="shared" si="1"/>
        <v/>
      </c>
      <c r="I51" s="839" t="str">
        <f t="shared" si="2"/>
        <v/>
      </c>
      <c r="J51" s="947">
        <f t="shared" si="3"/>
        <v>553.99</v>
      </c>
    </row>
    <row r="52" spans="1:10">
      <c r="B52" s="1057"/>
      <c r="C52" s="836"/>
      <c r="D52" s="947"/>
    </row>
    <row r="53" spans="1:10" ht="14.25" thickBot="1">
      <c r="B53" s="1028"/>
      <c r="C53" s="1053" t="s">
        <v>12</v>
      </c>
      <c r="D53" s="1054">
        <f>SUM(D2:D51)</f>
        <v>27699.500000000029</v>
      </c>
    </row>
    <row r="54" spans="1:10">
      <c r="C54" s="1039" t="s">
        <v>24831</v>
      </c>
      <c r="D54" s="1042">
        <v>11206.65</v>
      </c>
    </row>
    <row r="55" spans="1:10">
      <c r="C55" s="1040" t="s">
        <v>24832</v>
      </c>
      <c r="D55" s="1043">
        <v>553.99</v>
      </c>
    </row>
    <row r="56" spans="1:10">
      <c r="C56" s="1040" t="s">
        <v>9746</v>
      </c>
      <c r="D56" s="1045">
        <v>4.2500000000000003E-2</v>
      </c>
    </row>
    <row r="57" spans="1:10">
      <c r="C57" s="1040" t="s">
        <v>24834</v>
      </c>
      <c r="D57" s="1045">
        <f>D56*12</f>
        <v>0.51</v>
      </c>
    </row>
    <row r="58" spans="1:10">
      <c r="C58" s="1040" t="s">
        <v>24833</v>
      </c>
      <c r="D58" s="1043">
        <v>50</v>
      </c>
    </row>
    <row r="59" spans="1:10">
      <c r="C59" s="1040" t="s">
        <v>24836</v>
      </c>
      <c r="D59" s="1043">
        <f>D58*D55</f>
        <v>27699.5</v>
      </c>
    </row>
    <row r="60" spans="1:10">
      <c r="C60" s="1040" t="s">
        <v>24837</v>
      </c>
      <c r="D60" s="1043">
        <f>D59-D54</f>
        <v>16492.849999999999</v>
      </c>
    </row>
    <row r="61" spans="1:10">
      <c r="C61" s="1040" t="s">
        <v>24840</v>
      </c>
      <c r="D61" s="1043">
        <f>D53-D63</f>
        <v>553.9900000000016</v>
      </c>
    </row>
    <row r="62" spans="1:10">
      <c r="C62" s="1040" t="s">
        <v>24841</v>
      </c>
      <c r="D62" s="1043">
        <f>SUM(H2:H51)</f>
        <v>16.149999999999977</v>
      </c>
    </row>
    <row r="63" spans="1:10" ht="14.25" thickBot="1">
      <c r="C63" s="1041" t="s">
        <v>24788</v>
      </c>
      <c r="D63" s="1044">
        <f>SUM(J2:J51)</f>
        <v>27145.510000000028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Planilha28"/>
  <dimension ref="A1:J31"/>
  <sheetViews>
    <sheetView workbookViewId="0">
      <selection activeCell="F8" sqref="F8"/>
    </sheetView>
  </sheetViews>
  <sheetFormatPr defaultColWidth="9.140625" defaultRowHeight="13.5"/>
  <cols>
    <col min="1" max="1" width="3.28515625" style="3" bestFit="1" customWidth="1"/>
    <col min="2" max="2" width="16.140625" style="3" customWidth="1"/>
    <col min="3" max="3" width="70.28515625" style="3" bestFit="1" customWidth="1"/>
    <col min="4" max="4" width="14.85546875" style="3" bestFit="1" customWidth="1"/>
    <col min="5" max="6" width="14.85546875" bestFit="1" customWidth="1"/>
    <col min="7" max="7" width="9" bestFit="1" customWidth="1"/>
    <col min="8" max="8" width="12.42578125" bestFit="1" customWidth="1"/>
    <col min="9" max="9" width="5.5703125" bestFit="1" customWidth="1"/>
    <col min="10" max="10" width="12.42578125" bestFit="1" customWidth="1"/>
    <col min="11" max="16384" width="9.140625" style="3"/>
  </cols>
  <sheetData>
    <row r="1" spans="1:10">
      <c r="A1" s="3" t="s">
        <v>356</v>
      </c>
      <c r="B1" s="1055" t="s">
        <v>0</v>
      </c>
      <c r="C1" s="836" t="s">
        <v>1394</v>
      </c>
      <c r="D1" s="1056" t="s">
        <v>363</v>
      </c>
      <c r="E1" s="837" t="s">
        <v>1396</v>
      </c>
      <c r="F1" s="948" t="s">
        <v>1397</v>
      </c>
      <c r="G1" s="837" t="s">
        <v>1398</v>
      </c>
      <c r="H1" s="837" t="s">
        <v>1399</v>
      </c>
      <c r="I1" s="837" t="s">
        <v>1400</v>
      </c>
      <c r="J1" s="837"/>
    </row>
    <row r="2" spans="1:10">
      <c r="A2" s="3">
        <v>1</v>
      </c>
      <c r="B2" s="1057">
        <v>44331</v>
      </c>
      <c r="C2" s="836" t="s">
        <v>24915</v>
      </c>
      <c r="D2" s="947">
        <f t="shared" ref="D2:D13" si="0">$D$18</f>
        <v>573.02</v>
      </c>
      <c r="E2" s="1369">
        <v>44333</v>
      </c>
      <c r="F2" s="948">
        <v>573.02</v>
      </c>
      <c r="G2" s="951">
        <f>IF(F2&lt;&gt;"",F2/D2,"")</f>
        <v>1</v>
      </c>
      <c r="H2" s="949">
        <f>IF(F2&lt;&gt;"",D2-F2,"")</f>
        <v>0</v>
      </c>
      <c r="I2" s="839" t="str">
        <f t="shared" ref="I2:I12" si="1">IF(E2&gt;0,"X","")</f>
        <v>X</v>
      </c>
      <c r="J2" s="947">
        <f t="shared" ref="J2:J12" si="2">IF(I2="X",0,D2)</f>
        <v>0</v>
      </c>
    </row>
    <row r="3" spans="1:10">
      <c r="A3" s="3">
        <v>2</v>
      </c>
      <c r="B3" s="1057">
        <v>44362</v>
      </c>
      <c r="C3" s="836" t="s">
        <v>24916</v>
      </c>
      <c r="D3" s="947">
        <f t="shared" si="0"/>
        <v>573.02</v>
      </c>
      <c r="E3" s="1369">
        <v>44362</v>
      </c>
      <c r="F3" s="948">
        <v>573.02</v>
      </c>
      <c r="G3" s="951">
        <f t="shared" ref="G3:G13" si="3">IF(F3&lt;&gt;"",F3/D3,"")</f>
        <v>1</v>
      </c>
      <c r="H3" s="949">
        <f t="shared" ref="H3:H13" si="4">IF(F3&lt;&gt;"",D3-F3,"")</f>
        <v>0</v>
      </c>
      <c r="I3" s="839" t="str">
        <f t="shared" si="1"/>
        <v>X</v>
      </c>
      <c r="J3" s="947">
        <f t="shared" si="2"/>
        <v>0</v>
      </c>
    </row>
    <row r="4" spans="1:10">
      <c r="A4" s="3">
        <v>3</v>
      </c>
      <c r="B4" s="1057">
        <v>44392</v>
      </c>
      <c r="C4" s="836" t="s">
        <v>24917</v>
      </c>
      <c r="D4" s="947">
        <f t="shared" si="0"/>
        <v>573.02</v>
      </c>
      <c r="E4" s="1369">
        <v>44392</v>
      </c>
      <c r="F4" s="948">
        <v>573.02</v>
      </c>
      <c r="G4" s="951">
        <f t="shared" si="3"/>
        <v>1</v>
      </c>
      <c r="H4" s="949">
        <f t="shared" si="4"/>
        <v>0</v>
      </c>
      <c r="I4" s="839" t="str">
        <f t="shared" si="1"/>
        <v>X</v>
      </c>
      <c r="J4" s="947">
        <f t="shared" si="2"/>
        <v>0</v>
      </c>
    </row>
    <row r="5" spans="1:10">
      <c r="A5" s="3">
        <v>4</v>
      </c>
      <c r="B5" s="1057">
        <v>44423</v>
      </c>
      <c r="C5" s="836" t="s">
        <v>24918</v>
      </c>
      <c r="D5" s="947">
        <f t="shared" si="0"/>
        <v>573.02</v>
      </c>
      <c r="E5" s="1369">
        <v>44407</v>
      </c>
      <c r="F5" s="948">
        <v>564.32000000000005</v>
      </c>
      <c r="G5" s="951">
        <f t="shared" si="3"/>
        <v>0.98481728386443768</v>
      </c>
      <c r="H5" s="949">
        <f t="shared" si="4"/>
        <v>8.6999999999999318</v>
      </c>
      <c r="I5" s="839" t="str">
        <f t="shared" si="1"/>
        <v>X</v>
      </c>
      <c r="J5" s="947">
        <f t="shared" si="2"/>
        <v>0</v>
      </c>
    </row>
    <row r="6" spans="1:10">
      <c r="A6" s="3">
        <v>5</v>
      </c>
      <c r="B6" s="1057">
        <v>44454</v>
      </c>
      <c r="C6" s="836" t="s">
        <v>24919</v>
      </c>
      <c r="D6" s="947">
        <f t="shared" si="0"/>
        <v>573.02</v>
      </c>
      <c r="E6" s="1369">
        <v>44407</v>
      </c>
      <c r="F6" s="948">
        <v>547.83000000000004</v>
      </c>
      <c r="G6" s="951">
        <f t="shared" si="3"/>
        <v>0.9560399287982968</v>
      </c>
      <c r="H6" s="949">
        <f t="shared" si="4"/>
        <v>25.189999999999941</v>
      </c>
      <c r="I6" s="839" t="str">
        <f t="shared" si="1"/>
        <v>X</v>
      </c>
      <c r="J6" s="947">
        <f t="shared" si="2"/>
        <v>0</v>
      </c>
    </row>
    <row r="7" spans="1:10">
      <c r="A7" s="3">
        <v>6</v>
      </c>
      <c r="B7" s="1057">
        <v>44484</v>
      </c>
      <c r="C7" s="836" t="s">
        <v>24920</v>
      </c>
      <c r="D7" s="947">
        <f t="shared" si="0"/>
        <v>573.02</v>
      </c>
      <c r="E7" s="1369">
        <v>44407</v>
      </c>
      <c r="F7" s="948">
        <v>531.82000000000005</v>
      </c>
      <c r="G7" s="951">
        <f t="shared" si="3"/>
        <v>0.92810024082929055</v>
      </c>
      <c r="H7" s="949">
        <f t="shared" si="4"/>
        <v>41.199999999999932</v>
      </c>
      <c r="I7" s="839" t="str">
        <f t="shared" si="1"/>
        <v>X</v>
      </c>
      <c r="J7" s="947">
        <f t="shared" si="2"/>
        <v>0</v>
      </c>
    </row>
    <row r="8" spans="1:10">
      <c r="A8" s="3">
        <v>7</v>
      </c>
      <c r="B8" s="1057">
        <v>44515</v>
      </c>
      <c r="C8" s="836" t="s">
        <v>24921</v>
      </c>
      <c r="D8" s="947">
        <f t="shared" si="0"/>
        <v>573.02</v>
      </c>
      <c r="E8" s="1369">
        <v>44407</v>
      </c>
      <c r="F8" s="948">
        <v>516.28</v>
      </c>
      <c r="G8" s="951">
        <f t="shared" si="3"/>
        <v>0.90098076855956155</v>
      </c>
      <c r="H8" s="949">
        <f t="shared" si="4"/>
        <v>56.740000000000009</v>
      </c>
      <c r="I8" s="839" t="str">
        <f t="shared" si="1"/>
        <v>X</v>
      </c>
      <c r="J8" s="947">
        <f t="shared" si="2"/>
        <v>0</v>
      </c>
    </row>
    <row r="9" spans="1:10">
      <c r="A9" s="3">
        <v>8</v>
      </c>
      <c r="B9" s="1057">
        <v>44545</v>
      </c>
      <c r="C9" s="836" t="s">
        <v>24922</v>
      </c>
      <c r="D9" s="947">
        <f t="shared" si="0"/>
        <v>573.02</v>
      </c>
      <c r="E9" s="1369">
        <v>44407</v>
      </c>
      <c r="F9" s="948">
        <v>501.2</v>
      </c>
      <c r="G9" s="951">
        <f t="shared" si="3"/>
        <v>0.87466406059125335</v>
      </c>
      <c r="H9" s="949">
        <f t="shared" si="4"/>
        <v>71.819999999999993</v>
      </c>
      <c r="I9" s="839" t="str">
        <f t="shared" si="1"/>
        <v>X</v>
      </c>
      <c r="J9" s="947">
        <f t="shared" si="2"/>
        <v>0</v>
      </c>
    </row>
    <row r="10" spans="1:10">
      <c r="A10" s="3">
        <v>9</v>
      </c>
      <c r="B10" s="1057">
        <v>44576</v>
      </c>
      <c r="C10" s="836" t="s">
        <v>24923</v>
      </c>
      <c r="D10" s="947">
        <f t="shared" si="0"/>
        <v>573.02</v>
      </c>
      <c r="E10" s="1369">
        <v>44407</v>
      </c>
      <c r="F10" s="948">
        <v>486.55</v>
      </c>
      <c r="G10" s="951">
        <f t="shared" si="3"/>
        <v>0.84909776273079474</v>
      </c>
      <c r="H10" s="949">
        <f t="shared" si="4"/>
        <v>86.46999999999997</v>
      </c>
      <c r="I10" s="839" t="str">
        <f t="shared" si="1"/>
        <v>X</v>
      </c>
      <c r="J10" s="947">
        <f t="shared" si="2"/>
        <v>0</v>
      </c>
    </row>
    <row r="11" spans="1:10">
      <c r="A11" s="3">
        <v>10</v>
      </c>
      <c r="B11" s="1057">
        <v>44607</v>
      </c>
      <c r="C11" s="836" t="s">
        <v>24924</v>
      </c>
      <c r="D11" s="947">
        <f t="shared" si="0"/>
        <v>573.02</v>
      </c>
      <c r="E11" s="1369">
        <v>44407</v>
      </c>
      <c r="F11" s="948">
        <v>472.33</v>
      </c>
      <c r="G11" s="951">
        <f t="shared" si="3"/>
        <v>0.82428187497818572</v>
      </c>
      <c r="H11" s="949">
        <f t="shared" si="4"/>
        <v>100.69</v>
      </c>
      <c r="I11" s="839" t="str">
        <f t="shared" si="1"/>
        <v>X</v>
      </c>
      <c r="J11" s="947">
        <f t="shared" si="2"/>
        <v>0</v>
      </c>
    </row>
    <row r="12" spans="1:10">
      <c r="A12" s="3">
        <v>11</v>
      </c>
      <c r="B12" s="1057">
        <v>44635</v>
      </c>
      <c r="C12" s="836" t="s">
        <v>24925</v>
      </c>
      <c r="D12" s="947">
        <f t="shared" si="0"/>
        <v>573.02</v>
      </c>
      <c r="E12" s="1369">
        <v>44407</v>
      </c>
      <c r="F12" s="948">
        <v>458.53</v>
      </c>
      <c r="G12" s="951">
        <f t="shared" si="3"/>
        <v>0.80019894593556939</v>
      </c>
      <c r="H12" s="949">
        <f t="shared" si="4"/>
        <v>114.49000000000001</v>
      </c>
      <c r="I12" s="839" t="str">
        <f t="shared" si="1"/>
        <v>X</v>
      </c>
      <c r="J12" s="947">
        <f t="shared" si="2"/>
        <v>0</v>
      </c>
    </row>
    <row r="13" spans="1:10">
      <c r="A13" s="3">
        <v>12</v>
      </c>
      <c r="B13" s="1057">
        <v>44666</v>
      </c>
      <c r="C13" s="836" t="s">
        <v>24926</v>
      </c>
      <c r="D13" s="947">
        <f t="shared" si="0"/>
        <v>573.02</v>
      </c>
      <c r="E13" s="1369">
        <v>44407</v>
      </c>
      <c r="F13" s="948">
        <v>445.13</v>
      </c>
      <c r="G13" s="951">
        <f t="shared" si="3"/>
        <v>0.77681407280723191</v>
      </c>
      <c r="H13" s="949">
        <f t="shared" si="4"/>
        <v>127.88999999999999</v>
      </c>
      <c r="I13" s="839" t="str">
        <f>IF(E13&gt;0,"X","")</f>
        <v>X</v>
      </c>
      <c r="J13" s="947">
        <f>IF(I13="X",0,D13)</f>
        <v>0</v>
      </c>
    </row>
    <row r="14" spans="1:10">
      <c r="A14" s="3">
        <v>24</v>
      </c>
      <c r="B14" s="1057"/>
      <c r="C14" s="836"/>
      <c r="D14" s="947"/>
      <c r="E14" s="1369"/>
      <c r="F14" s="948"/>
      <c r="G14" s="951"/>
      <c r="H14" s="949"/>
      <c r="I14" s="839"/>
      <c r="J14" s="947"/>
    </row>
    <row r="15" spans="1:10">
      <c r="B15" s="1057"/>
      <c r="C15" s="836"/>
      <c r="D15" s="947"/>
    </row>
    <row r="16" spans="1:10" ht="14.25" thickBot="1">
      <c r="B16" s="1028"/>
      <c r="C16" s="1053" t="s">
        <v>12</v>
      </c>
      <c r="D16" s="1054">
        <f>SUM(D2:D14)</f>
        <v>6876.2400000000016</v>
      </c>
    </row>
    <row r="17" spans="3:6">
      <c r="C17" s="1039" t="s">
        <v>24831</v>
      </c>
      <c r="D17" s="1330">
        <v>5500</v>
      </c>
      <c r="F17" s="1326"/>
    </row>
    <row r="18" spans="3:6">
      <c r="C18" s="1040" t="s">
        <v>24832</v>
      </c>
      <c r="D18" s="1328">
        <v>573.02</v>
      </c>
      <c r="F18" s="1326"/>
    </row>
    <row r="19" spans="3:6">
      <c r="C19" s="1040" t="s">
        <v>24833</v>
      </c>
      <c r="D19" s="1327">
        <v>12</v>
      </c>
      <c r="F19" s="1326"/>
    </row>
    <row r="20" spans="3:6">
      <c r="C20" s="1040" t="s">
        <v>9746</v>
      </c>
      <c r="D20" s="1045">
        <v>3.0099999999999998E-2</v>
      </c>
    </row>
    <row r="21" spans="3:6">
      <c r="C21" s="1040" t="s">
        <v>24834</v>
      </c>
      <c r="D21" s="1045">
        <v>0.4849</v>
      </c>
    </row>
    <row r="22" spans="3:6">
      <c r="C22" s="1040" t="s">
        <v>24835</v>
      </c>
      <c r="D22" s="1045">
        <f>D19*D20</f>
        <v>0.36119999999999997</v>
      </c>
      <c r="E22" s="1326"/>
    </row>
    <row r="23" spans="3:6">
      <c r="C23" s="1040" t="s">
        <v>24836</v>
      </c>
      <c r="D23" s="1328">
        <f>D19*D18</f>
        <v>6876.24</v>
      </c>
    </row>
    <row r="24" spans="3:6">
      <c r="C24" s="1040" t="s">
        <v>24837</v>
      </c>
      <c r="D24" s="1328">
        <f>D23-D17</f>
        <v>1376.2399999999998</v>
      </c>
    </row>
    <row r="25" spans="3:6">
      <c r="C25" s="1040" t="s">
        <v>24838</v>
      </c>
      <c r="D25" s="1328">
        <f>D24/D19</f>
        <v>114.68666666666665</v>
      </c>
    </row>
    <row r="26" spans="3:6">
      <c r="C26" s="1040" t="s">
        <v>24839</v>
      </c>
      <c r="D26" s="1328">
        <f>SUM(F2:F14)</f>
        <v>6243.05</v>
      </c>
    </row>
    <row r="27" spans="3:6">
      <c r="C27" s="1040" t="s">
        <v>24840</v>
      </c>
      <c r="D27" s="1328">
        <f>D16-D29</f>
        <v>6876.2400000000016</v>
      </c>
    </row>
    <row r="28" spans="3:6">
      <c r="C28" s="1040" t="s">
        <v>24841</v>
      </c>
      <c r="D28" s="1328">
        <f>SUM(H2:H14)</f>
        <v>633.18999999999983</v>
      </c>
    </row>
    <row r="29" spans="3:6" ht="14.25" thickBot="1">
      <c r="C29" s="1041" t="s">
        <v>24788</v>
      </c>
      <c r="D29" s="1329">
        <f>SUM(J2:J14)</f>
        <v>0</v>
      </c>
    </row>
    <row r="30" spans="3:6" ht="15">
      <c r="C30" s="2" t="s">
        <v>24842</v>
      </c>
    </row>
    <row r="31" spans="3:6" ht="15">
      <c r="C31" s="2"/>
    </row>
  </sheetData>
  <hyperlinks>
    <hyperlink ref="C30" r:id="rId1" xr:uid="{00000000-0004-0000-6D00-000000000000}"/>
  </hyperlinks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C25C-6235-4874-BE75-308C7E5D2829}">
  <sheetPr codeName="Planilha35">
    <tabColor theme="7" tint="-0.249977111117893"/>
  </sheetPr>
  <dimension ref="A1"/>
  <sheetViews>
    <sheetView workbookViewId="0"/>
  </sheetViews>
  <sheetFormatPr defaultRowHeight="12.75"/>
  <sheetData>
    <row r="1" spans="1:1">
      <c r="A1" t="s">
        <v>24927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Plan76"/>
  <dimension ref="A1:C16"/>
  <sheetViews>
    <sheetView workbookViewId="0">
      <selection activeCell="C16" sqref="C16"/>
    </sheetView>
  </sheetViews>
  <sheetFormatPr defaultRowHeight="12.75"/>
  <sheetData>
    <row r="1" spans="1:3">
      <c r="A1" t="s">
        <v>24928</v>
      </c>
    </row>
    <row r="2" spans="1:3">
      <c r="A2" s="665">
        <v>37622</v>
      </c>
      <c r="B2">
        <v>1327.88</v>
      </c>
      <c r="C2">
        <v>40.479999999999997</v>
      </c>
    </row>
    <row r="3" spans="1:3">
      <c r="A3" s="665"/>
      <c r="B3">
        <v>4341.72</v>
      </c>
      <c r="C3">
        <v>770.89</v>
      </c>
    </row>
    <row r="4" spans="1:3">
      <c r="A4" s="665">
        <v>37653</v>
      </c>
      <c r="B4">
        <v>1327.88</v>
      </c>
      <c r="C4">
        <v>40.479999999999997</v>
      </c>
    </row>
    <row r="5" spans="1:3">
      <c r="A5" s="665">
        <v>37681</v>
      </c>
      <c r="B5">
        <v>1327.88</v>
      </c>
      <c r="C5">
        <v>40.479999999999997</v>
      </c>
    </row>
    <row r="6" spans="1:3">
      <c r="A6" s="665">
        <v>37712</v>
      </c>
      <c r="B6">
        <v>1327.88</v>
      </c>
      <c r="C6">
        <v>40.479999999999997</v>
      </c>
    </row>
    <row r="7" spans="1:3">
      <c r="A7" s="665">
        <v>37742</v>
      </c>
      <c r="B7">
        <v>1327.88</v>
      </c>
      <c r="C7">
        <v>40.479999999999997</v>
      </c>
    </row>
    <row r="8" spans="1:3">
      <c r="A8" s="665">
        <v>37773</v>
      </c>
      <c r="B8">
        <v>1410.33</v>
      </c>
      <c r="C8">
        <v>52.85</v>
      </c>
    </row>
    <row r="9" spans="1:3">
      <c r="A9" s="665">
        <v>37803</v>
      </c>
      <c r="B9">
        <v>1427.09</v>
      </c>
      <c r="C9">
        <v>55.36</v>
      </c>
    </row>
    <row r="10" spans="1:3">
      <c r="A10" s="665">
        <v>37834</v>
      </c>
      <c r="B10">
        <v>1965.33</v>
      </c>
      <c r="C10">
        <v>136.1</v>
      </c>
    </row>
    <row r="11" spans="1:3">
      <c r="A11" s="665">
        <v>37865</v>
      </c>
      <c r="B11">
        <v>1775.48</v>
      </c>
      <c r="C11">
        <v>107.62</v>
      </c>
    </row>
    <row r="12" spans="1:3">
      <c r="A12" s="665">
        <v>37895</v>
      </c>
      <c r="B12">
        <v>2018.89</v>
      </c>
      <c r="C12">
        <v>144.13</v>
      </c>
    </row>
    <row r="13" spans="1:3">
      <c r="A13" s="665">
        <v>37926</v>
      </c>
      <c r="B13">
        <v>1427.09</v>
      </c>
      <c r="C13">
        <v>55.36</v>
      </c>
    </row>
    <row r="14" spans="1:3">
      <c r="A14" s="665">
        <v>37956</v>
      </c>
    </row>
    <row r="15" spans="1:3">
      <c r="B15">
        <f>SUM(B2:B14)</f>
        <v>21005.33</v>
      </c>
      <c r="C15">
        <f>SUM(C2:C14)</f>
        <v>1524.7099999999998</v>
      </c>
    </row>
    <row r="16" spans="1:3">
      <c r="A16" t="s">
        <v>24929</v>
      </c>
      <c r="B16" s="666">
        <f>(B13/12)*11</f>
        <v>1308.1658333333332</v>
      </c>
      <c r="C16" s="666">
        <f>(C13/12)*11</f>
        <v>50.74666666666667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Plan77"/>
  <dimension ref="A1:C25"/>
  <sheetViews>
    <sheetView workbookViewId="0">
      <selection activeCell="C25" sqref="C25"/>
    </sheetView>
  </sheetViews>
  <sheetFormatPr defaultRowHeight="12.75"/>
  <cols>
    <col min="1" max="1" width="15.85546875" customWidth="1"/>
    <col min="2" max="2" width="18.7109375" customWidth="1"/>
  </cols>
  <sheetData>
    <row r="1" spans="1:3">
      <c r="A1" t="s">
        <v>1247</v>
      </c>
      <c r="B1" t="s">
        <v>24930</v>
      </c>
    </row>
    <row r="2" spans="1:3">
      <c r="A2" t="s">
        <v>24931</v>
      </c>
      <c r="B2" t="s">
        <v>363</v>
      </c>
      <c r="C2" t="s">
        <v>24932</v>
      </c>
    </row>
    <row r="3" spans="1:3">
      <c r="A3" s="667">
        <v>37987</v>
      </c>
      <c r="B3" s="668">
        <v>1139</v>
      </c>
    </row>
    <row r="4" spans="1:3">
      <c r="A4" s="667">
        <v>38018</v>
      </c>
      <c r="B4" s="668">
        <v>1139.19</v>
      </c>
    </row>
    <row r="5" spans="1:3">
      <c r="A5" s="667">
        <v>38047</v>
      </c>
      <c r="B5" s="668">
        <v>1139</v>
      </c>
    </row>
    <row r="6" spans="1:3">
      <c r="A6" s="667">
        <v>38078</v>
      </c>
      <c r="B6" s="668">
        <v>1139.18</v>
      </c>
    </row>
    <row r="7" spans="1:3">
      <c r="A7" s="667">
        <v>38108</v>
      </c>
      <c r="B7" s="668">
        <v>1139.69</v>
      </c>
    </row>
    <row r="8" spans="1:3">
      <c r="A8" s="667">
        <v>38139</v>
      </c>
      <c r="B8" s="668">
        <v>1139.2</v>
      </c>
    </row>
    <row r="9" spans="1:3">
      <c r="A9" s="667">
        <v>38169</v>
      </c>
      <c r="B9" s="668">
        <v>1139.71</v>
      </c>
    </row>
    <row r="10" spans="1:3">
      <c r="A10" s="667">
        <v>38200</v>
      </c>
      <c r="B10" s="668">
        <v>1185</v>
      </c>
    </row>
    <row r="11" spans="1:3">
      <c r="A11" s="667">
        <v>38231</v>
      </c>
      <c r="B11" s="668">
        <v>1368.09</v>
      </c>
    </row>
    <row r="13" spans="1:3">
      <c r="A13" t="s">
        <v>24933</v>
      </c>
      <c r="B13" s="668">
        <f>SUM(B3:B12)</f>
        <v>10528.06</v>
      </c>
    </row>
    <row r="14" spans="1:3">
      <c r="B14" s="668"/>
    </row>
    <row r="15" spans="1:3">
      <c r="A15" t="s">
        <v>1246</v>
      </c>
      <c r="B15" s="668" t="s">
        <v>24934</v>
      </c>
    </row>
    <row r="16" spans="1:3">
      <c r="A16" t="s">
        <v>24931</v>
      </c>
      <c r="B16" t="s">
        <v>363</v>
      </c>
      <c r="C16" t="s">
        <v>24932</v>
      </c>
    </row>
    <row r="17" spans="1:3">
      <c r="A17" s="667">
        <v>38231</v>
      </c>
      <c r="B17" s="668">
        <v>2040</v>
      </c>
      <c r="C17" s="668">
        <v>98.64</v>
      </c>
    </row>
    <row r="18" spans="1:3">
      <c r="A18" s="667">
        <v>38261</v>
      </c>
      <c r="B18" s="668">
        <v>3400</v>
      </c>
      <c r="C18" s="668">
        <v>408.53</v>
      </c>
    </row>
    <row r="19" spans="1:3">
      <c r="A19" s="667">
        <v>38292</v>
      </c>
      <c r="B19" s="668">
        <v>3400</v>
      </c>
      <c r="C19" s="668">
        <v>408.53</v>
      </c>
    </row>
    <row r="20" spans="1:3">
      <c r="A20" s="667">
        <v>38322</v>
      </c>
      <c r="B20" s="668">
        <v>1133.33</v>
      </c>
      <c r="C20" s="668">
        <f>B20*0.1201559</f>
        <v>136.17628614699998</v>
      </c>
    </row>
    <row r="21" spans="1:3">
      <c r="A21" s="667">
        <v>38322</v>
      </c>
      <c r="B21" s="668">
        <v>3400</v>
      </c>
      <c r="C21" s="668">
        <v>408.53</v>
      </c>
    </row>
    <row r="22" spans="1:3">
      <c r="B22" s="668">
        <f>SUM(B17:B21)</f>
        <v>13373.33</v>
      </c>
      <c r="C22" s="668">
        <f>SUM(C17:C21)</f>
        <v>1460.4062861469999</v>
      </c>
    </row>
    <row r="24" spans="1:3">
      <c r="A24" t="s">
        <v>24935</v>
      </c>
      <c r="B24" s="668">
        <f>B13+B22</f>
        <v>23901.39</v>
      </c>
    </row>
    <row r="25" spans="1:3">
      <c r="A25" t="s">
        <v>24936</v>
      </c>
      <c r="B25" s="668">
        <f>C22</f>
        <v>1460.4062861469999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Plan78"/>
  <dimension ref="A1:I25"/>
  <sheetViews>
    <sheetView workbookViewId="0">
      <selection activeCell="I25" sqref="I25"/>
    </sheetView>
  </sheetViews>
  <sheetFormatPr defaultColWidth="9.140625" defaultRowHeight="13.5"/>
  <cols>
    <col min="1" max="1" width="17.140625" style="3" customWidth="1"/>
    <col min="2" max="2" width="22" style="3" customWidth="1"/>
    <col min="3" max="4" width="19.5703125" style="3" customWidth="1"/>
    <col min="5" max="7" width="16" style="3" customWidth="1"/>
    <col min="8" max="8" width="14.85546875" style="3" customWidth="1"/>
    <col min="9" max="16384" width="9.140625" style="3"/>
  </cols>
  <sheetData>
    <row r="1" spans="1:7">
      <c r="A1" s="214" t="s">
        <v>24937</v>
      </c>
      <c r="B1" s="214" t="s">
        <v>24938</v>
      </c>
      <c r="C1" s="214" t="s">
        <v>24939</v>
      </c>
      <c r="D1" s="214" t="s">
        <v>24940</v>
      </c>
      <c r="E1" s="214" t="s">
        <v>24941</v>
      </c>
      <c r="F1" s="214" t="s">
        <v>24942</v>
      </c>
    </row>
    <row r="2" spans="1:7">
      <c r="A2" s="669">
        <v>38353</v>
      </c>
      <c r="B2" s="670">
        <v>3400</v>
      </c>
      <c r="C2" s="670">
        <v>393.76</v>
      </c>
      <c r="D2" s="670">
        <v>275.95999999999998</v>
      </c>
      <c r="E2" s="670"/>
      <c r="F2" s="670"/>
    </row>
    <row r="3" spans="1:7">
      <c r="A3" s="669">
        <v>38384</v>
      </c>
      <c r="B3" s="670">
        <v>3400</v>
      </c>
      <c r="C3" s="670">
        <v>393.76</v>
      </c>
      <c r="D3" s="670">
        <v>275.95999999999998</v>
      </c>
      <c r="E3" s="670"/>
      <c r="F3" s="670"/>
    </row>
    <row r="4" spans="1:7">
      <c r="A4" s="671">
        <v>38412</v>
      </c>
      <c r="B4" s="672">
        <v>3173.33</v>
      </c>
      <c r="C4" s="672">
        <v>883.93</v>
      </c>
      <c r="D4" s="672">
        <v>275.95999999999998</v>
      </c>
      <c r="E4" s="672"/>
      <c r="F4" s="672"/>
    </row>
    <row r="5" spans="1:7">
      <c r="A5" s="671" t="s">
        <v>24943</v>
      </c>
      <c r="B5" s="672">
        <v>2670.53</v>
      </c>
      <c r="C5" s="672">
        <v>45</v>
      </c>
      <c r="D5" s="672"/>
      <c r="E5" s="672"/>
      <c r="F5" s="672"/>
    </row>
    <row r="6" spans="1:7">
      <c r="A6" s="669" t="s">
        <v>24944</v>
      </c>
      <c r="B6" s="670">
        <v>1983</v>
      </c>
      <c r="C6" s="670">
        <v>216.87</v>
      </c>
      <c r="D6" s="670"/>
      <c r="E6" s="670"/>
      <c r="F6" s="670"/>
    </row>
    <row r="7" spans="1:7">
      <c r="A7" s="673">
        <v>38443</v>
      </c>
      <c r="B7" s="674">
        <v>2163.71</v>
      </c>
      <c r="C7" s="674">
        <v>149.96</v>
      </c>
      <c r="D7" s="674">
        <v>275.95999999999998</v>
      </c>
      <c r="E7" s="674"/>
      <c r="F7" s="674"/>
      <c r="G7" s="675"/>
    </row>
    <row r="8" spans="1:7">
      <c r="A8" s="676">
        <v>38473</v>
      </c>
      <c r="B8" s="677">
        <v>2691.33</v>
      </c>
      <c r="C8" s="677">
        <v>274.77</v>
      </c>
      <c r="D8" s="677">
        <v>293.5</v>
      </c>
      <c r="E8" s="677"/>
      <c r="F8" s="677"/>
      <c r="G8" s="675"/>
    </row>
    <row r="9" spans="1:7">
      <c r="A9" s="676">
        <v>38504</v>
      </c>
      <c r="B9" s="677">
        <v>2574.63</v>
      </c>
      <c r="C9" s="677">
        <v>242.67</v>
      </c>
      <c r="D9" s="677">
        <v>293.5</v>
      </c>
      <c r="E9" s="677">
        <f>61.3*2</f>
        <v>122.6</v>
      </c>
      <c r="F9" s="677">
        <f>114.3*2</f>
        <v>228.6</v>
      </c>
      <c r="G9" s="675"/>
    </row>
    <row r="10" spans="1:7">
      <c r="A10" s="676">
        <v>38534</v>
      </c>
      <c r="B10" s="677">
        <v>2456.2399999999998</v>
      </c>
      <c r="C10" s="677">
        <v>210.12</v>
      </c>
      <c r="D10" s="677">
        <v>293.5</v>
      </c>
      <c r="E10" s="677">
        <v>67.959999999999994</v>
      </c>
      <c r="F10" s="677">
        <v>127.98</v>
      </c>
      <c r="G10" s="675"/>
    </row>
    <row r="11" spans="1:7">
      <c r="A11" s="676">
        <v>38565</v>
      </c>
      <c r="B11" s="677">
        <v>2456.2399999999998</v>
      </c>
      <c r="C11" s="677">
        <v>210.12</v>
      </c>
      <c r="D11" s="677">
        <v>293.5</v>
      </c>
      <c r="E11" s="677"/>
      <c r="F11" s="677">
        <v>127.98</v>
      </c>
      <c r="G11" s="675"/>
    </row>
    <row r="12" spans="1:7">
      <c r="A12" s="676">
        <v>38596</v>
      </c>
      <c r="B12" s="677">
        <v>2530.7600000000002</v>
      </c>
      <c r="C12" s="677">
        <v>230.61</v>
      </c>
      <c r="D12" s="677">
        <v>293.5</v>
      </c>
      <c r="E12" s="677"/>
      <c r="F12" s="677">
        <v>127.98</v>
      </c>
      <c r="G12" s="675"/>
    </row>
    <row r="13" spans="1:7">
      <c r="A13" s="676">
        <v>38626</v>
      </c>
      <c r="B13" s="677">
        <v>2535.38</v>
      </c>
      <c r="C13" s="677">
        <v>231.88</v>
      </c>
      <c r="D13" s="677">
        <v>293.5</v>
      </c>
      <c r="E13" s="677"/>
      <c r="F13" s="677">
        <v>127.98</v>
      </c>
      <c r="G13" s="675"/>
    </row>
    <row r="14" spans="1:7">
      <c r="A14" s="676">
        <v>38657</v>
      </c>
      <c r="B14" s="677">
        <f>AVERAGE(B7:B13)</f>
        <v>2486.8985714285714</v>
      </c>
      <c r="C14" s="677">
        <v>214.12</v>
      </c>
      <c r="D14" s="677">
        <v>293.5</v>
      </c>
      <c r="E14" s="677"/>
      <c r="F14" s="677">
        <v>255.96</v>
      </c>
      <c r="G14" s="675"/>
    </row>
    <row r="15" spans="1:7">
      <c r="A15" s="676" t="s">
        <v>24945</v>
      </c>
      <c r="B15" s="677"/>
      <c r="C15" s="677"/>
      <c r="D15" s="677"/>
      <c r="E15" s="677"/>
      <c r="F15" s="677"/>
      <c r="G15" s="675"/>
    </row>
    <row r="16" spans="1:7">
      <c r="A16" s="676" t="s">
        <v>24946</v>
      </c>
      <c r="B16" s="677">
        <v>2110</v>
      </c>
      <c r="C16" s="677">
        <v>211.81</v>
      </c>
      <c r="D16" s="677"/>
      <c r="E16" s="677"/>
      <c r="F16" s="677"/>
      <c r="G16" s="675"/>
    </row>
    <row r="17" spans="1:9">
      <c r="A17" s="678" t="s">
        <v>24947</v>
      </c>
      <c r="B17" s="679">
        <v>703.35</v>
      </c>
      <c r="C17" s="679"/>
      <c r="D17" s="679"/>
      <c r="E17" s="679"/>
      <c r="F17" s="679"/>
      <c r="G17" s="675"/>
    </row>
    <row r="18" spans="1:9">
      <c r="A18" s="680">
        <v>38687</v>
      </c>
      <c r="B18" s="216">
        <v>5285.92</v>
      </c>
      <c r="C18" s="216">
        <v>781.09</v>
      </c>
      <c r="D18" s="216">
        <v>293.5</v>
      </c>
      <c r="E18" s="216">
        <v>2.4900000000000002</v>
      </c>
      <c r="F18" s="216"/>
      <c r="G18" s="675"/>
    </row>
    <row r="20" spans="1:9">
      <c r="A20" s="25" t="s">
        <v>24948</v>
      </c>
      <c r="B20" s="25"/>
      <c r="C20" s="25"/>
      <c r="D20" s="30"/>
      <c r="E20" s="25"/>
    </row>
    <row r="21" spans="1:9">
      <c r="A21" s="214" t="s">
        <v>24949</v>
      </c>
      <c r="B21" s="214" t="s">
        <v>24950</v>
      </c>
      <c r="C21" s="214" t="s">
        <v>24951</v>
      </c>
      <c r="D21" s="214" t="s">
        <v>24952</v>
      </c>
      <c r="E21" s="214" t="s">
        <v>24953</v>
      </c>
      <c r="F21" s="214" t="str">
        <f>D1</f>
        <v>INSS</v>
      </c>
      <c r="G21" s="214" t="str">
        <f>E1</f>
        <v>Desp. Odont</v>
      </c>
      <c r="H21" s="214" t="str">
        <f>F1</f>
        <v>Desp. Médicas</v>
      </c>
    </row>
    <row r="22" spans="1:9">
      <c r="A22" s="681" t="s">
        <v>24954</v>
      </c>
      <c r="B22" s="681" t="s">
        <v>24955</v>
      </c>
      <c r="C22" s="670">
        <f>SUM(B2:B6)</f>
        <v>14626.86</v>
      </c>
      <c r="D22" s="682">
        <v>773.5</v>
      </c>
      <c r="E22" s="670">
        <f>SUM(C2:C6)</f>
        <v>1933.3199999999997</v>
      </c>
      <c r="F22" s="670">
        <f>SUM(D2:D6)</f>
        <v>827.87999999999988</v>
      </c>
      <c r="G22" s="670">
        <f>SUM(E2:E6)</f>
        <v>0</v>
      </c>
      <c r="H22" s="670">
        <f>SUM(F2:F6)</f>
        <v>0</v>
      </c>
    </row>
    <row r="23" spans="1:9">
      <c r="A23" s="683" t="s">
        <v>24956</v>
      </c>
      <c r="B23" s="683" t="s">
        <v>24957</v>
      </c>
      <c r="C23" s="677">
        <v>27993.62</v>
      </c>
      <c r="D23" s="684">
        <v>1472.5</v>
      </c>
      <c r="E23" s="677">
        <f>SUM(C7:C17)</f>
        <v>1976.06</v>
      </c>
      <c r="F23" s="677">
        <f>SUM(D7:D17)</f>
        <v>2330.46</v>
      </c>
      <c r="G23" s="677">
        <f>SUM(E7:E17)</f>
        <v>190.56</v>
      </c>
      <c r="H23" s="677">
        <f>SUM(F7:F17)</f>
        <v>996.48</v>
      </c>
      <c r="I23" s="675"/>
    </row>
    <row r="24" spans="1:9">
      <c r="A24" s="215" t="s">
        <v>24958</v>
      </c>
      <c r="B24" s="215" t="s">
        <v>24959</v>
      </c>
      <c r="C24" s="216">
        <f>SUM(B18)</f>
        <v>5285.92</v>
      </c>
      <c r="D24" s="217">
        <v>371.4</v>
      </c>
      <c r="E24" s="216">
        <f>SUM(C18)</f>
        <v>781.09</v>
      </c>
      <c r="F24" s="216">
        <f>D18</f>
        <v>293.5</v>
      </c>
      <c r="G24" s="216">
        <f>E18</f>
        <v>2.4900000000000002</v>
      </c>
      <c r="H24" s="216">
        <f>F18</f>
        <v>0</v>
      </c>
    </row>
    <row r="25" spans="1:9">
      <c r="A25" s="25"/>
      <c r="B25" s="218" t="s">
        <v>24960</v>
      </c>
      <c r="C25" s="219" t="e">
        <f>#N/A</f>
        <v>#N/A</v>
      </c>
      <c r="D25" s="220" t="e">
        <f>#N/A</f>
        <v>#N/A</v>
      </c>
      <c r="E25" s="219" t="e">
        <f>#N/A</f>
        <v>#N/A</v>
      </c>
      <c r="F25" s="219" t="e">
        <f>#N/A</f>
        <v>#N/A</v>
      </c>
      <c r="G25" s="219" t="e">
        <f>#N/A</f>
        <v>#N/A</v>
      </c>
      <c r="H25" s="219" t="e">
        <f>#N/A</f>
        <v>#N/A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Plan79"/>
  <dimension ref="A1:J28"/>
  <sheetViews>
    <sheetView topLeftCell="A4" workbookViewId="0">
      <selection activeCell="J28" sqref="J28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10" width="16" style="3" customWidth="1"/>
    <col min="11" max="16384" width="9.140625" style="3"/>
  </cols>
  <sheetData>
    <row r="1" spans="1:8">
      <c r="A1" s="214" t="s">
        <v>24937</v>
      </c>
      <c r="B1" s="685" t="s">
        <v>24961</v>
      </c>
      <c r="C1" s="214" t="s">
        <v>24938</v>
      </c>
      <c r="D1" s="214" t="s">
        <v>24939</v>
      </c>
      <c r="E1" s="214" t="s">
        <v>24940</v>
      </c>
      <c r="F1" s="214" t="s">
        <v>24941</v>
      </c>
      <c r="G1" s="214" t="s">
        <v>24942</v>
      </c>
      <c r="H1" s="214" t="s">
        <v>24962</v>
      </c>
    </row>
    <row r="2" spans="1:8">
      <c r="A2" s="686">
        <v>38718</v>
      </c>
      <c r="B2" s="670">
        <v>4826</v>
      </c>
      <c r="C2" s="670">
        <v>4181.5</v>
      </c>
      <c r="D2" s="670">
        <v>684.56</v>
      </c>
      <c r="E2" s="687">
        <v>293.5</v>
      </c>
      <c r="F2" s="670">
        <v>4.9800000000000004</v>
      </c>
      <c r="G2" s="670">
        <v>0</v>
      </c>
      <c r="H2" s="670"/>
    </row>
    <row r="3" spans="1:8">
      <c r="A3" s="688">
        <v>38749</v>
      </c>
      <c r="B3" s="670">
        <v>4826</v>
      </c>
      <c r="C3" s="670">
        <v>4181.5</v>
      </c>
      <c r="D3" s="670">
        <v>639.61</v>
      </c>
      <c r="E3" s="687">
        <v>293.5</v>
      </c>
      <c r="F3" s="670">
        <v>4.9800000000000004</v>
      </c>
      <c r="G3" s="670">
        <f>SUM(G2)</f>
        <v>0</v>
      </c>
      <c r="H3" s="670"/>
    </row>
    <row r="4" spans="1:8">
      <c r="A4" s="688">
        <v>38777</v>
      </c>
      <c r="B4" s="670">
        <v>4826</v>
      </c>
      <c r="C4" s="670">
        <v>4153.42</v>
      </c>
      <c r="D4" s="670">
        <v>639.61</v>
      </c>
      <c r="E4" s="687">
        <v>293.5</v>
      </c>
      <c r="F4" s="670">
        <v>4.9800000000000004</v>
      </c>
      <c r="G4" s="670">
        <v>0</v>
      </c>
      <c r="H4" s="670"/>
    </row>
    <row r="5" spans="1:8">
      <c r="A5" s="688">
        <v>38808</v>
      </c>
      <c r="B5" s="670">
        <v>4826</v>
      </c>
      <c r="C5" s="670">
        <v>4138.75</v>
      </c>
      <c r="D5" s="670">
        <v>635.58000000000004</v>
      </c>
      <c r="E5" s="687">
        <v>308.19</v>
      </c>
      <c r="F5" s="670">
        <v>4.9800000000000004</v>
      </c>
      <c r="G5" s="670">
        <v>0</v>
      </c>
      <c r="H5" s="670"/>
    </row>
    <row r="6" spans="1:8">
      <c r="A6" s="688">
        <v>38838</v>
      </c>
      <c r="B6" s="670">
        <f>4826+39.49+9.87</f>
        <v>4875.3599999999997</v>
      </c>
      <c r="C6" s="670">
        <v>4188.1099999999997</v>
      </c>
      <c r="D6" s="670">
        <v>649.15</v>
      </c>
      <c r="E6" s="687">
        <v>308.17</v>
      </c>
      <c r="F6" s="670">
        <v>4.9800000000000004</v>
      </c>
      <c r="G6" s="670">
        <v>0</v>
      </c>
      <c r="H6" s="670"/>
    </row>
    <row r="7" spans="1:8">
      <c r="A7" s="688">
        <v>38869</v>
      </c>
      <c r="B7" s="670">
        <f>4826+5.01+641.64+658.09+1+249.86</f>
        <v>6381.6</v>
      </c>
      <c r="C7" s="670">
        <v>5694.34</v>
      </c>
      <c r="D7" s="670">
        <v>1063.3699999999999</v>
      </c>
      <c r="E7" s="687">
        <v>308.17</v>
      </c>
      <c r="F7" s="670">
        <v>4.9800000000000004</v>
      </c>
      <c r="G7" s="670">
        <v>7.6</v>
      </c>
      <c r="H7" s="670"/>
    </row>
    <row r="8" spans="1:8">
      <c r="A8" s="688">
        <v>38899</v>
      </c>
      <c r="B8" s="670">
        <f>4826+70.2+773.26+497.22+542.93+350.98+10.78+256.44</f>
        <v>7327.8099999999995</v>
      </c>
      <c r="C8" s="670">
        <v>6640.56</v>
      </c>
      <c r="D8" s="670">
        <v>1323.57</v>
      </c>
      <c r="E8" s="687">
        <v>308.17</v>
      </c>
      <c r="F8" s="670">
        <v>4.9800000000000004</v>
      </c>
      <c r="G8" s="670">
        <v>0</v>
      </c>
      <c r="H8" s="670"/>
    </row>
    <row r="9" spans="1:8">
      <c r="A9" s="688">
        <v>38930</v>
      </c>
      <c r="B9" s="670">
        <v>12456.49</v>
      </c>
      <c r="C9" s="670">
        <v>11769.21</v>
      </c>
      <c r="D9" s="670">
        <v>2733.95</v>
      </c>
      <c r="E9" s="687">
        <v>308.2</v>
      </c>
      <c r="F9" s="670">
        <v>4.9800000000000004</v>
      </c>
      <c r="G9" s="670">
        <v>35.26</v>
      </c>
      <c r="H9" s="670"/>
    </row>
    <row r="10" spans="1:8">
      <c r="A10" s="688">
        <v>38961</v>
      </c>
      <c r="B10" s="670">
        <v>9991.2900000000009</v>
      </c>
      <c r="C10" s="670">
        <v>8757.7800000000007</v>
      </c>
      <c r="D10" s="670">
        <v>1905.81</v>
      </c>
      <c r="E10" s="687">
        <v>308.2</v>
      </c>
      <c r="F10" s="670">
        <v>4.9800000000000004</v>
      </c>
      <c r="G10" s="670">
        <v>26.22</v>
      </c>
      <c r="H10" s="670">
        <f>178.52+357.03+3.58+7.1</f>
        <v>546.23</v>
      </c>
    </row>
    <row r="11" spans="1:8">
      <c r="A11" s="688">
        <v>38991</v>
      </c>
      <c r="B11" s="670">
        <v>10118.32</v>
      </c>
      <c r="C11" s="670">
        <v>9248.94</v>
      </c>
      <c r="D11" s="670">
        <v>2040.88</v>
      </c>
      <c r="E11" s="687">
        <v>308.2</v>
      </c>
      <c r="F11" s="670">
        <v>4.9800000000000004</v>
      </c>
      <c r="G11" s="670">
        <v>148.54</v>
      </c>
      <c r="H11" s="670">
        <f>178.52+3.58</f>
        <v>182.10000000000002</v>
      </c>
    </row>
    <row r="12" spans="1:8">
      <c r="A12" s="688">
        <v>39022</v>
      </c>
      <c r="B12" s="670">
        <v>10908.3</v>
      </c>
      <c r="C12" s="670">
        <v>10038.92</v>
      </c>
      <c r="D12" s="670">
        <v>2258.12</v>
      </c>
      <c r="E12" s="687">
        <v>308.2</v>
      </c>
      <c r="F12" s="670">
        <v>4.9800000000000004</v>
      </c>
      <c r="G12" s="670">
        <v>50.5</v>
      </c>
      <c r="H12" s="670">
        <f>178.52+3.58</f>
        <v>182.10000000000002</v>
      </c>
    </row>
    <row r="13" spans="1:8">
      <c r="A13" s="688">
        <v>39052</v>
      </c>
      <c r="B13" s="670">
        <v>12022.16</v>
      </c>
      <c r="C13" s="670">
        <v>10417.86</v>
      </c>
      <c r="D13" s="670">
        <v>2362.33</v>
      </c>
      <c r="E13" s="687">
        <v>308.2</v>
      </c>
      <c r="F13" s="670">
        <v>4.9800000000000004</v>
      </c>
      <c r="G13" s="670">
        <v>0</v>
      </c>
      <c r="H13" s="670">
        <f>178.52+3.58+178.52+3.58</f>
        <v>364.2</v>
      </c>
    </row>
    <row r="14" spans="1:8">
      <c r="A14" s="688" t="s">
        <v>5158</v>
      </c>
      <c r="B14" s="670">
        <v>7494.22</v>
      </c>
      <c r="C14" s="670">
        <v>7115.14</v>
      </c>
      <c r="D14" s="670">
        <v>1454.08</v>
      </c>
      <c r="E14" s="687"/>
      <c r="F14" s="670"/>
      <c r="G14" s="670"/>
      <c r="H14" s="670"/>
    </row>
    <row r="15" spans="1:8">
      <c r="A15" s="688" t="s">
        <v>24963</v>
      </c>
      <c r="B15" s="670">
        <v>1930.4</v>
      </c>
      <c r="C15" s="670">
        <v>1930.4</v>
      </c>
      <c r="D15" s="670"/>
      <c r="E15" s="687"/>
      <c r="F15" s="670"/>
      <c r="G15" s="670"/>
      <c r="H15" s="670"/>
    </row>
    <row r="16" spans="1:8">
      <c r="A16" s="688" t="s">
        <v>24964</v>
      </c>
      <c r="B16" s="670">
        <f>3659.55+552.82</f>
        <v>4212.37</v>
      </c>
      <c r="C16" s="670">
        <f>3659.55+552.82</f>
        <v>4212.37</v>
      </c>
      <c r="D16" s="670">
        <v>152.03</v>
      </c>
      <c r="E16" s="687"/>
      <c r="F16" s="670"/>
      <c r="G16" s="670"/>
      <c r="H16" s="670"/>
    </row>
    <row r="17" spans="1:10">
      <c r="A17" s="688" t="s">
        <v>24946</v>
      </c>
      <c r="B17" s="670"/>
      <c r="C17" s="670"/>
      <c r="D17" s="670"/>
      <c r="E17" s="687"/>
      <c r="F17" s="670"/>
      <c r="G17" s="670"/>
      <c r="H17" s="670"/>
    </row>
    <row r="18" spans="1:10">
      <c r="A18" s="688" t="s">
        <v>24947</v>
      </c>
      <c r="B18" s="688"/>
      <c r="C18" s="670"/>
      <c r="D18" s="670"/>
      <c r="E18" s="687"/>
      <c r="F18" s="670"/>
      <c r="G18" s="670"/>
      <c r="H18" s="670"/>
    </row>
    <row r="20" spans="1:10">
      <c r="A20" s="25" t="s">
        <v>24948</v>
      </c>
      <c r="B20" s="25"/>
      <c r="C20" s="25"/>
      <c r="D20" s="25"/>
    </row>
    <row r="21" spans="1:10">
      <c r="A21" s="214" t="s">
        <v>24949</v>
      </c>
      <c r="B21" s="214" t="s">
        <v>24950</v>
      </c>
      <c r="C21" s="214" t="s">
        <v>24961</v>
      </c>
      <c r="D21" s="214" t="s">
        <v>24965</v>
      </c>
      <c r="E21" s="214" t="s">
        <v>24966</v>
      </c>
      <c r="F21" s="214" t="s">
        <v>24953</v>
      </c>
      <c r="G21" s="214" t="s">
        <v>24940</v>
      </c>
      <c r="H21" s="214" t="str">
        <f>F1</f>
        <v>Desp. Odont</v>
      </c>
      <c r="I21" s="214" t="str">
        <f>G1</f>
        <v>Desp. Médicas</v>
      </c>
      <c r="J21" s="214" t="str">
        <f>H1</f>
        <v>prev. Privada</v>
      </c>
    </row>
    <row r="22" spans="1:10">
      <c r="A22" s="215" t="s">
        <v>24958</v>
      </c>
      <c r="B22" s="215" t="s">
        <v>24959</v>
      </c>
      <c r="C22" s="216">
        <f>SUM(B2:B14)</f>
        <v>100879.55</v>
      </c>
      <c r="D22" s="216">
        <f>SUM(C2:C14)</f>
        <v>90526.03</v>
      </c>
      <c r="E22" s="217">
        <f>SUM(C15:C16)</f>
        <v>6142.77</v>
      </c>
      <c r="F22" s="216">
        <f>SUM(D2:D18)</f>
        <v>18542.650000000001</v>
      </c>
      <c r="G22" s="216">
        <f>SUM(E2:E18)</f>
        <v>3654.1999999999994</v>
      </c>
      <c r="H22" s="216">
        <f>SUM(F2:F18)</f>
        <v>59.760000000000019</v>
      </c>
      <c r="I22" s="216">
        <f>SUM(G2:G18)</f>
        <v>268.12</v>
      </c>
      <c r="J22" s="216">
        <f>SUM(H2:H18)</f>
        <v>1274.6300000000001</v>
      </c>
    </row>
    <row r="23" spans="1:10">
      <c r="A23" s="25"/>
      <c r="B23" s="218" t="s">
        <v>24960</v>
      </c>
      <c r="C23" s="219">
        <f>SUM(C22:C22)</f>
        <v>100879.55</v>
      </c>
      <c r="D23" s="219">
        <f>SUM(D22:D22)</f>
        <v>90526.03</v>
      </c>
      <c r="E23" s="220">
        <f>SUM(E22)</f>
        <v>6142.77</v>
      </c>
      <c r="F23" s="219">
        <f>SUM(F22:F22)</f>
        <v>18542.650000000001</v>
      </c>
      <c r="G23" s="219">
        <f>SUM(G22:G22)</f>
        <v>3654.1999999999994</v>
      </c>
      <c r="H23" s="219">
        <f>SUM(H22:H22)</f>
        <v>59.760000000000019</v>
      </c>
      <c r="I23" s="219">
        <f>SUM(I22:I22)</f>
        <v>268.12</v>
      </c>
      <c r="J23" s="219">
        <f>SUM(J22:J22)</f>
        <v>1274.6300000000001</v>
      </c>
    </row>
    <row r="26" spans="1:10">
      <c r="C26" s="216">
        <v>100431.29</v>
      </c>
      <c r="D26" s="216"/>
      <c r="E26" s="217">
        <v>5611.66</v>
      </c>
      <c r="F26" s="216">
        <v>18390.62</v>
      </c>
      <c r="G26" s="216">
        <v>3654.2</v>
      </c>
      <c r="H26" s="216">
        <v>59.76</v>
      </c>
      <c r="I26" s="216">
        <v>268.12</v>
      </c>
      <c r="J26" s="216">
        <v>1274.6300000000001</v>
      </c>
    </row>
    <row r="28" spans="1:10">
      <c r="C28" s="216">
        <f>C22-C26</f>
        <v>448.26000000000931</v>
      </c>
      <c r="D28" s="216"/>
      <c r="E28" s="217">
        <f>E22-E26</f>
        <v>531.11000000000058</v>
      </c>
      <c r="F28" s="216">
        <f>F22-F26</f>
        <v>152.03000000000247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Plan80"/>
  <dimension ref="A1:J25"/>
  <sheetViews>
    <sheetView workbookViewId="0">
      <selection activeCell="J25" sqref="J25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10" width="16" style="3" customWidth="1"/>
    <col min="11" max="16384" width="9.140625" style="3"/>
  </cols>
  <sheetData>
    <row r="1" spans="1:8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</row>
    <row r="2" spans="1:8">
      <c r="A2" s="205">
        <v>39083</v>
      </c>
      <c r="B2" s="206">
        <v>12375.53</v>
      </c>
      <c r="C2" s="207">
        <v>11489.08</v>
      </c>
      <c r="D2" s="206">
        <v>2634.1</v>
      </c>
      <c r="E2" s="207">
        <v>308.2</v>
      </c>
      <c r="F2" s="207">
        <v>4.9800000000000004</v>
      </c>
      <c r="G2" s="207">
        <v>0</v>
      </c>
      <c r="H2" s="689" t="e">
        <f>#N/A</f>
        <v>#N/A</v>
      </c>
    </row>
    <row r="3" spans="1:8">
      <c r="A3" s="209">
        <v>39114</v>
      </c>
      <c r="B3" s="210">
        <v>11314.74</v>
      </c>
      <c r="C3" s="211">
        <v>10157.74</v>
      </c>
      <c r="D3" s="210">
        <v>2268.19</v>
      </c>
      <c r="E3" s="211">
        <v>308.2</v>
      </c>
      <c r="F3" s="211">
        <v>4.9800000000000004</v>
      </c>
      <c r="G3" s="211">
        <v>0</v>
      </c>
      <c r="H3" s="208" t="e">
        <f>#N/A</f>
        <v>#N/A</v>
      </c>
    </row>
    <row r="4" spans="1:8">
      <c r="A4" s="209">
        <v>39142</v>
      </c>
      <c r="B4" s="210">
        <v>11359.31</v>
      </c>
      <c r="C4" s="211">
        <v>10380.73</v>
      </c>
      <c r="D4" s="210">
        <v>2329.5100000000002</v>
      </c>
      <c r="E4" s="211">
        <v>308.2</v>
      </c>
      <c r="F4" s="211">
        <v>4.9800000000000004</v>
      </c>
      <c r="G4" s="211">
        <v>0</v>
      </c>
      <c r="H4" s="208" t="e">
        <f>#N/A</f>
        <v>#N/A</v>
      </c>
    </row>
    <row r="5" spans="1:8">
      <c r="A5" s="209">
        <v>39173</v>
      </c>
      <c r="B5" s="210">
        <v>9752.7800000000007</v>
      </c>
      <c r="C5" s="211">
        <v>8695.2900000000009</v>
      </c>
      <c r="D5" s="210">
        <v>1866.01</v>
      </c>
      <c r="E5" s="211">
        <v>318.37</v>
      </c>
      <c r="F5" s="211">
        <v>4.9800000000000004</v>
      </c>
      <c r="G5" s="211">
        <v>0</v>
      </c>
      <c r="H5" s="208" t="e">
        <f>#N/A</f>
        <v>#N/A</v>
      </c>
    </row>
    <row r="6" spans="1:8">
      <c r="A6" s="209">
        <v>39203</v>
      </c>
      <c r="B6" s="210">
        <v>9919.36</v>
      </c>
      <c r="C6" s="211">
        <v>8869.19</v>
      </c>
      <c r="D6" s="210">
        <v>1913.84</v>
      </c>
      <c r="E6" s="211">
        <v>318.37</v>
      </c>
      <c r="F6" s="211">
        <v>4.9800000000000004</v>
      </c>
      <c r="G6" s="211">
        <v>17.8</v>
      </c>
      <c r="H6" s="208" t="e">
        <f>#N/A</f>
        <v>#N/A</v>
      </c>
    </row>
    <row r="7" spans="1:8">
      <c r="A7" s="209">
        <v>39234</v>
      </c>
      <c r="B7" s="210">
        <v>10792.58</v>
      </c>
      <c r="C7" s="211">
        <v>9836.73</v>
      </c>
      <c r="D7" s="210">
        <v>2179.91</v>
      </c>
      <c r="E7" s="211">
        <v>318.57</v>
      </c>
      <c r="F7" s="211">
        <v>4.9800000000000004</v>
      </c>
      <c r="G7" s="211">
        <v>58.28</v>
      </c>
      <c r="H7" s="208" t="e">
        <f>#N/A</f>
        <v>#N/A</v>
      </c>
    </row>
    <row r="8" spans="1:8">
      <c r="A8" s="209">
        <v>39264</v>
      </c>
      <c r="B8" s="210"/>
      <c r="C8" s="211"/>
      <c r="D8" s="210"/>
      <c r="E8" s="211"/>
      <c r="F8" s="211">
        <v>4.9800000000000004</v>
      </c>
      <c r="G8" s="211">
        <v>26.44</v>
      </c>
      <c r="H8" s="208"/>
    </row>
    <row r="9" spans="1:8">
      <c r="A9" s="209">
        <v>39295</v>
      </c>
      <c r="B9" s="210"/>
      <c r="C9" s="211"/>
      <c r="D9" s="210"/>
      <c r="E9" s="211"/>
      <c r="F9" s="211">
        <v>4.9800000000000004</v>
      </c>
      <c r="G9" s="211">
        <v>16.93</v>
      </c>
      <c r="H9" s="208"/>
    </row>
    <row r="10" spans="1:8">
      <c r="A10" s="209">
        <v>39326</v>
      </c>
      <c r="B10" s="210"/>
      <c r="C10" s="211"/>
      <c r="D10" s="210"/>
      <c r="E10" s="211"/>
      <c r="F10" s="211">
        <v>4.4800000000000004</v>
      </c>
      <c r="G10" s="211">
        <v>3.9</v>
      </c>
      <c r="H10" s="208"/>
    </row>
    <row r="11" spans="1:8">
      <c r="A11" s="209">
        <v>39356</v>
      </c>
      <c r="B11" s="210"/>
      <c r="C11" s="211"/>
      <c r="D11" s="210"/>
      <c r="E11" s="211"/>
      <c r="F11" s="211">
        <v>4.4800000000000004</v>
      </c>
      <c r="G11" s="211">
        <v>16.84</v>
      </c>
      <c r="H11" s="208"/>
    </row>
    <row r="12" spans="1:8">
      <c r="A12" s="209">
        <v>39387</v>
      </c>
      <c r="B12" s="210">
        <v>11344.83</v>
      </c>
      <c r="C12" s="211">
        <v>1085.17</v>
      </c>
      <c r="D12" s="210"/>
      <c r="E12" s="211">
        <v>106.12</v>
      </c>
      <c r="F12" s="211">
        <v>4.4800000000000004</v>
      </c>
      <c r="G12" s="211">
        <v>0</v>
      </c>
      <c r="H12" s="208">
        <f>178.35+3.58</f>
        <v>181.93</v>
      </c>
    </row>
    <row r="13" spans="1:8">
      <c r="A13" s="209">
        <v>39417</v>
      </c>
      <c r="B13" s="210">
        <v>9976.4699999999993</v>
      </c>
      <c r="C13" s="211">
        <v>8409.0300000000007</v>
      </c>
      <c r="D13" s="210">
        <v>1787.29</v>
      </c>
      <c r="E13" s="211">
        <v>318.37</v>
      </c>
      <c r="F13" s="211">
        <v>4.4800000000000004</v>
      </c>
      <c r="G13" s="211">
        <v>17.8</v>
      </c>
      <c r="H13" s="208">
        <f>(182.88+3.75)*2</f>
        <v>373.26</v>
      </c>
    </row>
    <row r="14" spans="1:8">
      <c r="A14" s="209" t="s">
        <v>5158</v>
      </c>
      <c r="B14" s="210">
        <v>1354.76</v>
      </c>
      <c r="C14" s="211">
        <v>958.61</v>
      </c>
      <c r="D14" s="210"/>
      <c r="E14" s="211"/>
      <c r="F14" s="211"/>
      <c r="G14" s="211"/>
      <c r="H14" s="208"/>
    </row>
    <row r="15" spans="1:8">
      <c r="A15" s="209" t="s">
        <v>24963</v>
      </c>
      <c r="B15" s="210"/>
      <c r="C15" s="211">
        <v>1930.4</v>
      </c>
      <c r="D15" s="210"/>
      <c r="E15" s="211"/>
      <c r="F15" s="211"/>
      <c r="G15" s="211"/>
      <c r="H15" s="208"/>
    </row>
    <row r="16" spans="1:8">
      <c r="A16" s="209" t="s">
        <v>24964</v>
      </c>
      <c r="B16" s="210"/>
      <c r="C16" s="211"/>
      <c r="D16" s="210"/>
      <c r="E16" s="211"/>
      <c r="F16" s="211"/>
      <c r="G16" s="211"/>
      <c r="H16" s="208"/>
    </row>
    <row r="17" spans="1:10">
      <c r="A17" s="209" t="s">
        <v>24946</v>
      </c>
      <c r="B17" s="210">
        <v>4787.6499999999996</v>
      </c>
      <c r="C17" s="211"/>
      <c r="D17" s="210">
        <v>1940.7</v>
      </c>
      <c r="E17" s="211">
        <v>212.25</v>
      </c>
      <c r="F17" s="211"/>
      <c r="G17" s="211"/>
      <c r="H17" s="208"/>
    </row>
    <row r="18" spans="1:10">
      <c r="A18" s="209" t="s">
        <v>24947</v>
      </c>
      <c r="B18" s="210">
        <v>1595.88</v>
      </c>
      <c r="C18" s="211"/>
      <c r="D18" s="210"/>
      <c r="E18" s="211"/>
      <c r="F18" s="211"/>
      <c r="G18" s="211"/>
      <c r="H18" s="208"/>
    </row>
    <row r="19" spans="1:10">
      <c r="A19" s="209" t="s">
        <v>24967</v>
      </c>
      <c r="B19" s="210">
        <v>2393.8200000000002</v>
      </c>
      <c r="C19" s="211"/>
      <c r="D19" s="210"/>
      <c r="E19" s="211"/>
      <c r="F19" s="211"/>
      <c r="G19" s="211"/>
      <c r="H19" s="208"/>
    </row>
    <row r="20" spans="1:10">
      <c r="A20" s="209" t="s">
        <v>24968</v>
      </c>
      <c r="B20" s="210">
        <v>797.34</v>
      </c>
      <c r="C20" s="211"/>
      <c r="D20" s="210"/>
      <c r="E20" s="211"/>
      <c r="F20" s="211"/>
      <c r="G20" s="211"/>
      <c r="H20" s="208"/>
    </row>
    <row r="22" spans="1:10">
      <c r="A22" s="25" t="s">
        <v>24948</v>
      </c>
      <c r="B22" s="25"/>
      <c r="C22" s="25"/>
      <c r="D22" s="25"/>
    </row>
    <row r="23" spans="1:10">
      <c r="A23" s="214" t="s">
        <v>24949</v>
      </c>
      <c r="B23" s="214" t="s">
        <v>24950</v>
      </c>
      <c r="C23" s="214" t="s">
        <v>24961</v>
      </c>
      <c r="D23" s="214" t="s">
        <v>24965</v>
      </c>
      <c r="E23" s="214" t="s">
        <v>24966</v>
      </c>
      <c r="F23" s="214" t="s">
        <v>24953</v>
      </c>
      <c r="G23" s="214" t="s">
        <v>24940</v>
      </c>
      <c r="H23" s="214" t="str">
        <f>F1</f>
        <v>Desp. Odont</v>
      </c>
      <c r="I23" s="214" t="str">
        <f>G1</f>
        <v>Desp. Médicas</v>
      </c>
      <c r="J23" s="214" t="str">
        <f>H1</f>
        <v>prev. Privada</v>
      </c>
    </row>
    <row r="24" spans="1:10">
      <c r="A24" s="215" t="s">
        <v>24958</v>
      </c>
      <c r="B24" s="215" t="s">
        <v>24959</v>
      </c>
      <c r="C24" s="216">
        <f>SUM(B2:B18)</f>
        <v>94573.89</v>
      </c>
      <c r="D24" s="216">
        <f>SUM(C2:C13)</f>
        <v>68922.959999999992</v>
      </c>
      <c r="E24" s="217">
        <f>SUM(C15:C16)</f>
        <v>1930.4</v>
      </c>
      <c r="F24" s="216">
        <f>SUM(D2:D18)</f>
        <v>16919.55</v>
      </c>
      <c r="G24" s="216">
        <f>SUM(E2:E18)</f>
        <v>2516.6499999999996</v>
      </c>
      <c r="H24" s="216">
        <f>SUM(F2:F18)</f>
        <v>57.760000000000019</v>
      </c>
      <c r="I24" s="216">
        <f>SUM(G2:G18)</f>
        <v>157.99</v>
      </c>
      <c r="J24" s="216" t="e">
        <f>SUM(H2:H18)</f>
        <v>#N/A</v>
      </c>
    </row>
    <row r="25" spans="1:10">
      <c r="A25" s="25"/>
      <c r="B25" s="218" t="s">
        <v>24960</v>
      </c>
      <c r="C25" s="219">
        <f>SUM(C24)</f>
        <v>94573.89</v>
      </c>
      <c r="D25" s="219">
        <f>SUM(D24:D24)</f>
        <v>68922.959999999992</v>
      </c>
      <c r="E25" s="220">
        <f>SUM(E24)</f>
        <v>1930.4</v>
      </c>
      <c r="F25" s="219">
        <f>SUM(F24:F24)</f>
        <v>16919.55</v>
      </c>
      <c r="G25" s="219">
        <f>SUM(G24:G24)</f>
        <v>2516.6499999999996</v>
      </c>
      <c r="H25" s="219">
        <f>SUM(H24:H24)</f>
        <v>57.760000000000019</v>
      </c>
      <c r="I25" s="219">
        <f>SUM(I24:I24)</f>
        <v>157.99</v>
      </c>
      <c r="J25" s="219" t="e">
        <f>SUM(J24:J24)</f>
        <v>#N/A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Plan81"/>
  <dimension ref="A1:J29"/>
  <sheetViews>
    <sheetView topLeftCell="A4" workbookViewId="0">
      <selection activeCell="J29" sqref="J29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10" width="16" style="3" customWidth="1"/>
    <col min="11" max="16384" width="9.140625" style="3"/>
  </cols>
  <sheetData>
    <row r="1" spans="1:8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</row>
    <row r="2" spans="1:8">
      <c r="A2" s="205">
        <v>39448</v>
      </c>
      <c r="B2" s="206">
        <v>9880.58</v>
      </c>
      <c r="C2" s="207">
        <v>8702.83</v>
      </c>
      <c r="D2" s="206">
        <v>1844.46</v>
      </c>
      <c r="E2" s="207">
        <v>318.37</v>
      </c>
      <c r="F2" s="207">
        <v>4.4800000000000004</v>
      </c>
      <c r="G2" s="207">
        <v>6.95</v>
      </c>
      <c r="H2" s="689" t="e">
        <f>#N/A</f>
        <v>#N/A</v>
      </c>
    </row>
    <row r="3" spans="1:8">
      <c r="A3" s="209">
        <v>39479</v>
      </c>
      <c r="B3" s="210">
        <v>9460.7900000000009</v>
      </c>
      <c r="C3" s="211">
        <v>8435.1299999999992</v>
      </c>
      <c r="D3" s="210">
        <v>1770.84</v>
      </c>
      <c r="E3" s="211">
        <v>318.37</v>
      </c>
      <c r="F3" s="211">
        <v>4.4800000000000004</v>
      </c>
      <c r="G3" s="211">
        <v>44.7</v>
      </c>
      <c r="H3" s="208" t="e">
        <f>#N/A</f>
        <v>#N/A</v>
      </c>
    </row>
    <row r="4" spans="1:8">
      <c r="A4" s="205">
        <v>39508</v>
      </c>
      <c r="B4" s="210">
        <v>9373.36</v>
      </c>
      <c r="C4" s="211">
        <v>8438.4699999999993</v>
      </c>
      <c r="D4" s="210">
        <v>1771.76</v>
      </c>
      <c r="E4" s="211">
        <v>334.29</v>
      </c>
      <c r="F4" s="211">
        <v>4.4800000000000004</v>
      </c>
      <c r="G4" s="211">
        <v>64.69</v>
      </c>
      <c r="H4" s="208" t="e">
        <f>#N/A</f>
        <v>#N/A</v>
      </c>
    </row>
    <row r="5" spans="1:8">
      <c r="A5" s="209">
        <v>39539</v>
      </c>
      <c r="B5" s="210">
        <v>11656.41</v>
      </c>
      <c r="C5" s="211">
        <v>10721.53</v>
      </c>
      <c r="D5" s="210">
        <v>2399.6</v>
      </c>
      <c r="E5" s="211">
        <v>334.28</v>
      </c>
      <c r="F5" s="211">
        <v>4.4800000000000004</v>
      </c>
      <c r="G5" s="211">
        <v>23.58</v>
      </c>
      <c r="H5" s="208" t="e">
        <f>#N/A</f>
        <v>#N/A</v>
      </c>
    </row>
    <row r="6" spans="1:8">
      <c r="A6" s="205">
        <v>39569</v>
      </c>
      <c r="B6" s="210">
        <v>10052.040000000001</v>
      </c>
      <c r="C6" s="211">
        <v>9117.16</v>
      </c>
      <c r="D6" s="210">
        <v>1958.4</v>
      </c>
      <c r="E6" s="211">
        <v>334.28</v>
      </c>
      <c r="F6" s="211">
        <v>4.4800000000000004</v>
      </c>
      <c r="G6" s="211">
        <v>8.94</v>
      </c>
      <c r="H6" s="208" t="e">
        <f>#N/A</f>
        <v>#N/A</v>
      </c>
    </row>
    <row r="7" spans="1:8">
      <c r="A7" s="209">
        <v>39600</v>
      </c>
      <c r="B7" s="210">
        <v>10209.4</v>
      </c>
      <c r="C7" s="211">
        <v>9208.69</v>
      </c>
      <c r="D7" s="210">
        <v>1983.57</v>
      </c>
      <c r="E7" s="211">
        <v>334.28</v>
      </c>
      <c r="F7" s="211">
        <v>4.4800000000000004</v>
      </c>
      <c r="G7" s="211">
        <v>109.39</v>
      </c>
      <c r="H7" s="208" t="e">
        <f>#N/A</f>
        <v>#N/A</v>
      </c>
    </row>
    <row r="8" spans="1:8">
      <c r="A8" s="205">
        <v>39630</v>
      </c>
      <c r="B8" s="210">
        <v>10029.36</v>
      </c>
      <c r="C8" s="211">
        <v>9094.48</v>
      </c>
      <c r="D8" s="210">
        <v>1952.16</v>
      </c>
      <c r="E8" s="211">
        <v>334.28</v>
      </c>
      <c r="F8" s="211">
        <v>4.4800000000000004</v>
      </c>
      <c r="G8" s="211">
        <v>55.29</v>
      </c>
      <c r="H8" s="208">
        <f>182.88+3.75</f>
        <v>186.63</v>
      </c>
    </row>
    <row r="9" spans="1:8">
      <c r="A9" s="209">
        <v>39661</v>
      </c>
      <c r="B9" s="210">
        <v>10146.6</v>
      </c>
      <c r="C9" s="211">
        <v>9211.7199999999993</v>
      </c>
      <c r="D9" s="210">
        <v>1984.4</v>
      </c>
      <c r="E9" s="211">
        <v>334.28</v>
      </c>
      <c r="F9" s="211">
        <v>4.9800000000000004</v>
      </c>
      <c r="G9" s="211">
        <v>0</v>
      </c>
      <c r="H9" s="208">
        <f>182.88+3.75</f>
        <v>186.63</v>
      </c>
    </row>
    <row r="10" spans="1:8">
      <c r="A10" s="205">
        <v>39692</v>
      </c>
      <c r="B10" s="210">
        <v>4061.81</v>
      </c>
      <c r="C10" s="211">
        <v>3304.48</v>
      </c>
      <c r="D10" s="210">
        <v>359.91</v>
      </c>
      <c r="E10" s="211">
        <v>334.28</v>
      </c>
      <c r="F10" s="211">
        <v>4.9800000000000004</v>
      </c>
      <c r="G10" s="211">
        <v>0</v>
      </c>
      <c r="H10" s="208">
        <v>0</v>
      </c>
    </row>
    <row r="11" spans="1:8">
      <c r="A11" s="209">
        <v>39722</v>
      </c>
      <c r="B11" s="210">
        <v>0</v>
      </c>
      <c r="C11" s="211">
        <v>0</v>
      </c>
      <c r="D11" s="210">
        <v>0</v>
      </c>
      <c r="E11" s="211">
        <v>0</v>
      </c>
      <c r="F11" s="211">
        <v>4.4800000000000004</v>
      </c>
      <c r="G11" s="211">
        <v>36.299999999999997</v>
      </c>
      <c r="H11" s="208">
        <v>0</v>
      </c>
    </row>
    <row r="12" spans="1:8">
      <c r="A12" s="205">
        <v>39753</v>
      </c>
      <c r="B12" s="210">
        <v>0</v>
      </c>
      <c r="C12" s="211">
        <v>0</v>
      </c>
      <c r="D12" s="210">
        <v>0</v>
      </c>
      <c r="E12" s="211">
        <v>0</v>
      </c>
      <c r="F12" s="211">
        <v>0</v>
      </c>
      <c r="G12" s="211">
        <v>0</v>
      </c>
      <c r="H12" s="208">
        <v>0</v>
      </c>
    </row>
    <row r="13" spans="1:8">
      <c r="A13" s="209">
        <v>39783</v>
      </c>
      <c r="B13" s="210">
        <v>8888.76</v>
      </c>
      <c r="C13" s="211">
        <v>5329.6</v>
      </c>
      <c r="D13" s="210">
        <v>916.82</v>
      </c>
      <c r="E13" s="211">
        <v>267.42</v>
      </c>
      <c r="F13" s="211">
        <v>4.9800000000000004</v>
      </c>
      <c r="G13" s="211">
        <v>14.06</v>
      </c>
      <c r="H13" s="208">
        <f>H9*2</f>
        <v>373.26</v>
      </c>
    </row>
    <row r="14" spans="1:8">
      <c r="A14" s="209" t="s">
        <v>24969</v>
      </c>
      <c r="B14" s="210">
        <v>1638.08</v>
      </c>
      <c r="C14" s="211">
        <v>1224.1099999999999</v>
      </c>
      <c r="D14" s="210"/>
      <c r="E14" s="211"/>
      <c r="F14" s="211"/>
      <c r="G14" s="211"/>
      <c r="H14" s="208"/>
    </row>
    <row r="15" spans="1:8">
      <c r="A15" s="209" t="s">
        <v>24970</v>
      </c>
      <c r="B15" s="210">
        <v>8126.94</v>
      </c>
      <c r="C15" s="211">
        <v>7712.97</v>
      </c>
      <c r="D15" s="210">
        <v>1572.25</v>
      </c>
      <c r="E15" s="211"/>
      <c r="F15" s="211"/>
      <c r="G15" s="211"/>
      <c r="H15" s="208"/>
    </row>
    <row r="16" spans="1:8">
      <c r="A16" s="209" t="s">
        <v>24963</v>
      </c>
      <c r="B16" s="210">
        <v>1997.6</v>
      </c>
      <c r="C16" s="211"/>
      <c r="D16" s="210"/>
      <c r="E16" s="211">
        <v>159.81</v>
      </c>
      <c r="F16" s="211"/>
      <c r="G16" s="211"/>
      <c r="H16" s="208"/>
    </row>
    <row r="17" spans="1:10">
      <c r="A17" s="209" t="s">
        <v>24964</v>
      </c>
      <c r="B17" s="210">
        <v>7187.16</v>
      </c>
      <c r="C17" s="211">
        <v>0</v>
      </c>
      <c r="D17" s="210">
        <v>1221.8900000000001</v>
      </c>
      <c r="E17" s="211">
        <v>334.29</v>
      </c>
      <c r="F17" s="211"/>
      <c r="G17" s="211"/>
      <c r="H17" s="208"/>
    </row>
    <row r="18" spans="1:10">
      <c r="A18" s="209" t="s">
        <v>24946</v>
      </c>
      <c r="B18" s="210">
        <v>4093.72</v>
      </c>
      <c r="C18" s="211"/>
      <c r="D18" s="210">
        <v>2492.54</v>
      </c>
      <c r="E18" s="211">
        <v>156</v>
      </c>
      <c r="F18" s="211"/>
      <c r="G18" s="211"/>
      <c r="H18" s="208"/>
    </row>
    <row r="19" spans="1:10">
      <c r="A19" s="209" t="s">
        <v>24947</v>
      </c>
      <c r="B19" s="210">
        <v>1364.57</v>
      </c>
      <c r="C19" s="211"/>
      <c r="D19" s="210"/>
      <c r="E19" s="211"/>
      <c r="F19" s="211"/>
      <c r="G19" s="211"/>
      <c r="H19" s="208"/>
    </row>
    <row r="20" spans="1:10">
      <c r="A20" s="209" t="s">
        <v>24967</v>
      </c>
      <c r="B20" s="210">
        <v>2927.08</v>
      </c>
      <c r="C20" s="211"/>
      <c r="D20" s="210"/>
      <c r="E20" s="211"/>
      <c r="F20" s="211"/>
      <c r="G20" s="211"/>
      <c r="H20" s="208"/>
    </row>
    <row r="21" spans="1:10">
      <c r="A21" s="209" t="s">
        <v>24968</v>
      </c>
      <c r="B21" s="210">
        <v>974.69</v>
      </c>
      <c r="C21" s="211"/>
      <c r="D21" s="210"/>
      <c r="E21" s="211">
        <v>66.86</v>
      </c>
      <c r="F21" s="211"/>
      <c r="G21" s="211"/>
      <c r="H21" s="208"/>
    </row>
    <row r="22" spans="1:10">
      <c r="A22" s="209" t="s">
        <v>24971</v>
      </c>
      <c r="B22" s="210">
        <v>1754.45</v>
      </c>
      <c r="C22" s="211"/>
      <c r="D22" s="210"/>
      <c r="E22" s="211"/>
      <c r="F22" s="211"/>
      <c r="G22" s="211"/>
      <c r="H22" s="208"/>
    </row>
    <row r="23" spans="1:10">
      <c r="A23" s="209" t="s">
        <v>24972</v>
      </c>
      <c r="B23" s="210">
        <v>584.82000000000005</v>
      </c>
      <c r="C23" s="211"/>
      <c r="D23" s="210"/>
      <c r="E23" s="211"/>
      <c r="F23" s="211"/>
      <c r="G23" s="211"/>
      <c r="H23" s="208"/>
    </row>
    <row r="24" spans="1:10">
      <c r="A24" s="212"/>
      <c r="B24" s="213"/>
      <c r="C24" s="213"/>
      <c r="D24" s="213"/>
      <c r="E24" s="213"/>
      <c r="F24" s="213"/>
      <c r="G24" s="213"/>
      <c r="H24" s="213"/>
    </row>
    <row r="26" spans="1:10">
      <c r="A26" s="25" t="s">
        <v>24948</v>
      </c>
      <c r="B26" s="25"/>
      <c r="C26" s="25"/>
      <c r="D26" s="25"/>
    </row>
    <row r="27" spans="1:10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</row>
    <row r="28" spans="1:10">
      <c r="A28" s="215" t="s">
        <v>24958</v>
      </c>
      <c r="B28" s="215" t="s">
        <v>24959</v>
      </c>
      <c r="C28" s="216">
        <f>SUM(B2:B19)</f>
        <v>118167.18000000002</v>
      </c>
      <c r="D28" s="216">
        <f>SUM(C2:C13)</f>
        <v>81564.09</v>
      </c>
      <c r="E28" s="217">
        <f>SUM(C16:C17)</f>
        <v>0</v>
      </c>
      <c r="F28" s="216">
        <f>SUM(D2:D19)</f>
        <v>22228.6</v>
      </c>
      <c r="G28" s="216">
        <f>SUM(E2:E19)</f>
        <v>3894.2299999999991</v>
      </c>
      <c r="H28" s="216">
        <f>SUM(F2:F19)</f>
        <v>50.780000000000015</v>
      </c>
      <c r="I28" s="216">
        <f>SUM(G2:G19)</f>
        <v>363.90000000000003</v>
      </c>
      <c r="J28" s="216" t="e">
        <f>SUM(H2:H19)</f>
        <v>#N/A</v>
      </c>
    </row>
    <row r="29" spans="1:10">
      <c r="A29" s="25"/>
      <c r="B29" s="218" t="s">
        <v>24960</v>
      </c>
      <c r="C29" s="219">
        <f>SUM(C28)</f>
        <v>118167.18000000002</v>
      </c>
      <c r="D29" s="219">
        <f>SUM(D28:D28)</f>
        <v>81564.09</v>
      </c>
      <c r="E29" s="220">
        <f>SUM(E28)</f>
        <v>0</v>
      </c>
      <c r="F29" s="219">
        <f>SUM(F28:F28)</f>
        <v>22228.6</v>
      </c>
      <c r="G29" s="219">
        <f>SUM(G28:G28)</f>
        <v>3894.2299999999991</v>
      </c>
      <c r="H29" s="219">
        <f>SUM(H28:H28)</f>
        <v>50.780000000000015</v>
      </c>
      <c r="I29" s="219">
        <f>SUM(I28:I28)</f>
        <v>363.90000000000003</v>
      </c>
      <c r="J29" s="219" t="e">
        <f>SUM(J28:J28)</f>
        <v>#N/A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Plan82"/>
  <dimension ref="A1:J29"/>
  <sheetViews>
    <sheetView topLeftCell="A4" workbookViewId="0">
      <selection activeCell="J29" sqref="J29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10" width="16" style="3" customWidth="1"/>
    <col min="11" max="16384" width="9.140625" style="3"/>
  </cols>
  <sheetData>
    <row r="1" spans="1:8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</row>
    <row r="2" spans="1:8">
      <c r="A2" s="205">
        <v>39814</v>
      </c>
      <c r="B2" s="206">
        <v>10807.89</v>
      </c>
      <c r="C2" s="207">
        <v>9854.32</v>
      </c>
      <c r="D2" s="206">
        <v>2047</v>
      </c>
      <c r="E2" s="207">
        <v>334.28</v>
      </c>
      <c r="F2" s="207">
        <v>4.9800000000000004</v>
      </c>
      <c r="G2" s="207">
        <v>0</v>
      </c>
      <c r="H2" s="689" t="e">
        <f>#N/A</f>
        <v>#N/A</v>
      </c>
    </row>
    <row r="3" spans="1:8">
      <c r="A3" s="209">
        <v>39845</v>
      </c>
      <c r="B3" s="210">
        <v>10055.969999999999</v>
      </c>
      <c r="C3" s="211">
        <v>9082.67</v>
      </c>
      <c r="D3" s="210">
        <v>1834.79</v>
      </c>
      <c r="E3" s="211">
        <v>354.07</v>
      </c>
      <c r="F3" s="211">
        <v>4.9800000000000004</v>
      </c>
      <c r="G3" s="211">
        <v>0</v>
      </c>
      <c r="H3" s="208" t="e">
        <f>#N/A</f>
        <v>#N/A</v>
      </c>
    </row>
    <row r="4" spans="1:8">
      <c r="A4" s="205">
        <v>39873</v>
      </c>
      <c r="B4" s="210">
        <v>8164.55</v>
      </c>
      <c r="C4" s="211">
        <v>6981.03</v>
      </c>
      <c r="D4" s="210">
        <v>1256.8399999999999</v>
      </c>
      <c r="E4" s="211">
        <v>354.07</v>
      </c>
      <c r="F4" s="211">
        <v>4.9800000000000004</v>
      </c>
      <c r="G4" s="211">
        <v>33.47</v>
      </c>
      <c r="H4" s="208" t="e">
        <f>#N/A</f>
        <v>#N/A</v>
      </c>
    </row>
    <row r="5" spans="1:8">
      <c r="A5" s="209">
        <v>39904</v>
      </c>
      <c r="B5" s="210">
        <v>10064.83</v>
      </c>
      <c r="C5" s="211">
        <v>9091.5300000000007</v>
      </c>
      <c r="D5" s="210">
        <v>1837.23</v>
      </c>
      <c r="E5" s="211">
        <v>354.07</v>
      </c>
      <c r="F5" s="211">
        <v>4.9800000000000004</v>
      </c>
      <c r="G5" s="211">
        <v>0</v>
      </c>
      <c r="H5" s="208" t="e">
        <f>#N/A</f>
        <v>#N/A</v>
      </c>
    </row>
    <row r="6" spans="1:8">
      <c r="A6" s="205">
        <v>39934</v>
      </c>
      <c r="B6" s="210">
        <v>11304.19</v>
      </c>
      <c r="C6" s="211">
        <v>10330.89</v>
      </c>
      <c r="D6" s="210">
        <v>2178.0500000000002</v>
      </c>
      <c r="E6" s="211">
        <v>354.07</v>
      </c>
      <c r="F6" s="211">
        <v>4.9800000000000004</v>
      </c>
      <c r="G6" s="211">
        <v>9.48</v>
      </c>
      <c r="H6" s="208" t="e">
        <f>#N/A</f>
        <v>#N/A</v>
      </c>
    </row>
    <row r="7" spans="1:8">
      <c r="A7" s="209">
        <v>39965</v>
      </c>
      <c r="B7" s="210">
        <v>11557.76</v>
      </c>
      <c r="C7" s="211">
        <v>12815.32</v>
      </c>
      <c r="D7" s="210">
        <v>2247.79</v>
      </c>
      <c r="E7" s="211">
        <v>354.07</v>
      </c>
      <c r="F7" s="211">
        <v>4.9800000000000004</v>
      </c>
      <c r="G7" s="211">
        <v>71.19</v>
      </c>
      <c r="H7" s="208" t="e">
        <f>#N/A</f>
        <v>#N/A</v>
      </c>
    </row>
    <row r="8" spans="1:8">
      <c r="A8" s="205">
        <v>39995</v>
      </c>
      <c r="B8" s="210">
        <v>9256.2199999999993</v>
      </c>
      <c r="C8" s="211">
        <v>8267.08</v>
      </c>
      <c r="D8" s="210">
        <v>1610.51</v>
      </c>
      <c r="E8" s="211">
        <v>354.07</v>
      </c>
      <c r="F8" s="211">
        <v>4.9800000000000004</v>
      </c>
      <c r="G8" s="211">
        <v>0</v>
      </c>
      <c r="H8" s="208" t="e">
        <f>#N/A</f>
        <v>#N/A</v>
      </c>
    </row>
    <row r="9" spans="1:8">
      <c r="A9" s="209">
        <v>40026</v>
      </c>
      <c r="B9" s="210">
        <v>10673.45</v>
      </c>
      <c r="C9" s="211">
        <v>9684.61</v>
      </c>
      <c r="D9" s="210">
        <v>2000.25</v>
      </c>
      <c r="E9" s="211">
        <v>354.07</v>
      </c>
      <c r="F9" s="211">
        <v>4.9800000000000004</v>
      </c>
      <c r="G9" s="211">
        <v>0</v>
      </c>
      <c r="H9" s="208" t="e">
        <f>#N/A</f>
        <v>#N/A</v>
      </c>
    </row>
    <row r="10" spans="1:8">
      <c r="A10" s="205">
        <v>40057</v>
      </c>
      <c r="B10" s="210">
        <v>12772.37</v>
      </c>
      <c r="C10" s="211">
        <v>11783.23</v>
      </c>
      <c r="D10" s="210">
        <v>2577.4499999999998</v>
      </c>
      <c r="E10" s="211">
        <v>354.07</v>
      </c>
      <c r="F10" s="211">
        <v>4.9800000000000004</v>
      </c>
      <c r="G10" s="211">
        <v>30.9</v>
      </c>
      <c r="H10" s="208" t="e">
        <f>#N/A</f>
        <v>#N/A</v>
      </c>
    </row>
    <row r="11" spans="1:8">
      <c r="A11" s="209">
        <v>40087</v>
      </c>
      <c r="B11" s="210">
        <v>12569.78</v>
      </c>
      <c r="C11" s="211">
        <v>11580.64</v>
      </c>
      <c r="D11" s="210">
        <v>2521.7399999999998</v>
      </c>
      <c r="E11" s="211">
        <v>354.07</v>
      </c>
      <c r="F11" s="211">
        <v>4.9800000000000004</v>
      </c>
      <c r="G11" s="211">
        <v>11.61</v>
      </c>
      <c r="H11" s="208" t="e">
        <f>#N/A</f>
        <v>#N/A</v>
      </c>
    </row>
    <row r="12" spans="1:8">
      <c r="A12" s="205">
        <v>40118</v>
      </c>
      <c r="B12" s="210">
        <v>19870.98</v>
      </c>
      <c r="C12" s="211">
        <v>5885.8</v>
      </c>
      <c r="D12" s="210">
        <v>955.66</v>
      </c>
      <c r="E12" s="211">
        <v>354.07</v>
      </c>
      <c r="F12" s="211">
        <v>4.9800000000000004</v>
      </c>
      <c r="G12" s="211">
        <v>0</v>
      </c>
      <c r="H12" s="208" t="e">
        <f>#N/A</f>
        <v>#N/A</v>
      </c>
    </row>
    <row r="13" spans="1:8">
      <c r="A13" s="209">
        <v>40148</v>
      </c>
      <c r="B13" s="210">
        <v>7512.37</v>
      </c>
      <c r="C13" s="211">
        <v>19742.73</v>
      </c>
      <c r="D13" s="210">
        <f>1026.95</f>
        <v>1026.95</v>
      </c>
      <c r="E13" s="211">
        <v>354.07</v>
      </c>
      <c r="F13" s="211">
        <v>4.9800000000000004</v>
      </c>
      <c r="G13" s="211">
        <v>0</v>
      </c>
      <c r="H13" s="208" t="e">
        <f>#N/A</f>
        <v>#N/A</v>
      </c>
    </row>
    <row r="14" spans="1:8">
      <c r="A14" s="209" t="s">
        <v>24969</v>
      </c>
      <c r="B14" s="210"/>
      <c r="C14" s="211"/>
      <c r="D14" s="210"/>
      <c r="E14" s="211"/>
      <c r="F14" s="211"/>
      <c r="G14" s="211"/>
      <c r="H14" s="208"/>
    </row>
    <row r="15" spans="1:8">
      <c r="A15" s="209" t="s">
        <v>24970</v>
      </c>
      <c r="B15" s="210"/>
      <c r="C15" s="211"/>
      <c r="D15" s="210"/>
      <c r="E15" s="211"/>
      <c r="F15" s="211"/>
      <c r="G15" s="211"/>
      <c r="H15" s="208"/>
    </row>
    <row r="16" spans="1:8">
      <c r="A16" s="209" t="s">
        <v>24963</v>
      </c>
      <c r="B16" s="210">
        <v>2497</v>
      </c>
      <c r="C16" s="211"/>
      <c r="D16" s="210"/>
      <c r="E16" s="211"/>
      <c r="F16" s="211"/>
      <c r="G16" s="211"/>
      <c r="H16" s="208"/>
    </row>
    <row r="17" spans="1:10">
      <c r="A17" s="209" t="s">
        <v>24964</v>
      </c>
      <c r="B17" s="210"/>
      <c r="C17" s="211"/>
      <c r="D17" s="210"/>
      <c r="E17" s="211"/>
      <c r="F17" s="211"/>
      <c r="G17" s="211"/>
      <c r="H17" s="208"/>
    </row>
    <row r="18" spans="1:10">
      <c r="A18" s="209" t="s">
        <v>24946</v>
      </c>
      <c r="B18" s="210"/>
      <c r="C18" s="211"/>
      <c r="D18" s="210"/>
      <c r="E18" s="211"/>
      <c r="F18" s="211"/>
      <c r="G18" s="211"/>
      <c r="H18" s="208"/>
    </row>
    <row r="19" spans="1:10">
      <c r="A19" s="209" t="s">
        <v>24947</v>
      </c>
      <c r="B19" s="210"/>
      <c r="C19" s="211"/>
      <c r="D19" s="210"/>
      <c r="E19" s="211"/>
      <c r="F19" s="211"/>
      <c r="G19" s="211"/>
      <c r="H19" s="208"/>
    </row>
    <row r="20" spans="1:10">
      <c r="A20" s="209" t="s">
        <v>24967</v>
      </c>
      <c r="B20" s="210"/>
      <c r="C20" s="211"/>
      <c r="D20" s="210"/>
      <c r="E20" s="211"/>
      <c r="F20" s="211"/>
      <c r="G20" s="211"/>
      <c r="H20" s="208"/>
    </row>
    <row r="21" spans="1:10">
      <c r="A21" s="209" t="s">
        <v>24968</v>
      </c>
      <c r="B21" s="210"/>
      <c r="C21" s="211"/>
      <c r="D21" s="210"/>
      <c r="E21" s="211"/>
      <c r="F21" s="211"/>
      <c r="G21" s="211"/>
      <c r="H21" s="208"/>
    </row>
    <row r="22" spans="1:10">
      <c r="A22" s="209" t="s">
        <v>24971</v>
      </c>
      <c r="B22" s="210"/>
      <c r="C22" s="211"/>
      <c r="D22" s="210"/>
      <c r="E22" s="211"/>
      <c r="F22" s="211"/>
      <c r="G22" s="211"/>
      <c r="H22" s="208"/>
    </row>
    <row r="23" spans="1:10">
      <c r="A23" s="209" t="s">
        <v>24972</v>
      </c>
      <c r="B23" s="210">
        <v>584.82000000000005</v>
      </c>
      <c r="C23" s="211"/>
      <c r="D23" s="210"/>
      <c r="E23" s="211"/>
      <c r="F23" s="211"/>
      <c r="G23" s="211"/>
      <c r="H23" s="208"/>
    </row>
    <row r="24" spans="1:10">
      <c r="A24" s="212"/>
      <c r="B24" s="213"/>
      <c r="C24" s="213"/>
      <c r="D24" s="213"/>
      <c r="E24" s="213"/>
      <c r="F24" s="213"/>
      <c r="G24" s="213"/>
      <c r="H24" s="213"/>
    </row>
    <row r="26" spans="1:10">
      <c r="A26" s="25" t="s">
        <v>24948</v>
      </c>
      <c r="B26" s="25"/>
      <c r="C26" s="25"/>
      <c r="D26" s="25"/>
    </row>
    <row r="27" spans="1:10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</row>
    <row r="28" spans="1:10">
      <c r="A28" s="215" t="s">
        <v>24958</v>
      </c>
      <c r="B28" s="215" t="s">
        <v>24959</v>
      </c>
      <c r="C28" s="216">
        <f>SUM(B2:B19)</f>
        <v>137107.35999999999</v>
      </c>
      <c r="D28" s="216">
        <f>SUM(C2:C13)</f>
        <v>125099.84999999999</v>
      </c>
      <c r="E28" s="217">
        <f>SUM(C16:C17)</f>
        <v>0</v>
      </c>
      <c r="F28" s="216">
        <f>SUM(D2:D19)</f>
        <v>22094.260000000002</v>
      </c>
      <c r="G28" s="216">
        <f>SUM(E2:E19)</f>
        <v>4229.05</v>
      </c>
      <c r="H28" s="216">
        <f>SUM(F2:F19)</f>
        <v>59.760000000000019</v>
      </c>
      <c r="I28" s="216">
        <f>SUM(G2:G19)</f>
        <v>156.64999999999998</v>
      </c>
      <c r="J28" s="216" t="e">
        <f>SUM(H2:H19)</f>
        <v>#N/A</v>
      </c>
    </row>
    <row r="29" spans="1:10">
      <c r="A29" s="25"/>
      <c r="B29" s="218" t="s">
        <v>24960</v>
      </c>
      <c r="C29" s="219">
        <f>SUM(C28)</f>
        <v>137107.35999999999</v>
      </c>
      <c r="D29" s="219">
        <f>SUM(D28:D28)</f>
        <v>125099.84999999999</v>
      </c>
      <c r="E29" s="220">
        <f>SUM(E28)</f>
        <v>0</v>
      </c>
      <c r="F29" s="219">
        <f>SUM(F28:F28)</f>
        <v>22094.260000000002</v>
      </c>
      <c r="G29" s="219">
        <f>SUM(G28:G28)</f>
        <v>4229.05</v>
      </c>
      <c r="H29" s="219">
        <f>SUM(H28:H28)</f>
        <v>59.760000000000019</v>
      </c>
      <c r="I29" s="219">
        <f>SUM(I28:I28)</f>
        <v>156.64999999999998</v>
      </c>
      <c r="J29" s="219" t="e">
        <f>SUM(J28:J28)</f>
        <v>#N/A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Plan83"/>
  <dimension ref="A1:J29"/>
  <sheetViews>
    <sheetView topLeftCell="A4" workbookViewId="0">
      <selection activeCell="J29" sqref="J29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10" width="16" style="3" customWidth="1"/>
    <col min="11" max="16384" width="9.140625" style="3"/>
  </cols>
  <sheetData>
    <row r="1" spans="1:8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</row>
    <row r="2" spans="1:8">
      <c r="A2" s="205">
        <v>40179</v>
      </c>
      <c r="B2" s="206">
        <v>10186.879999999999</v>
      </c>
      <c r="C2" s="207">
        <v>8965.49</v>
      </c>
      <c r="D2" s="206">
        <v>1772.73</v>
      </c>
      <c r="E2" s="207">
        <v>375.81</v>
      </c>
      <c r="F2" s="207">
        <v>4.9800000000000004</v>
      </c>
      <c r="G2" s="207">
        <v>0</v>
      </c>
      <c r="H2" s="689" t="e">
        <f>#N/A</f>
        <v>#N/A</v>
      </c>
    </row>
    <row r="3" spans="1:8">
      <c r="A3" s="209">
        <v>40210</v>
      </c>
      <c r="B3" s="210">
        <v>9009.23</v>
      </c>
      <c r="C3" s="211">
        <v>7967.87</v>
      </c>
      <c r="D3" s="210">
        <v>1498.38</v>
      </c>
      <c r="E3" s="207">
        <v>375.81</v>
      </c>
      <c r="F3" s="211">
        <v>4.9800000000000004</v>
      </c>
      <c r="G3" s="211">
        <v>0</v>
      </c>
      <c r="H3" s="208" t="e">
        <f>#N/A</f>
        <v>#N/A</v>
      </c>
    </row>
    <row r="4" spans="1:8">
      <c r="A4" s="205">
        <v>40238</v>
      </c>
      <c r="B4" s="210">
        <v>9697.89</v>
      </c>
      <c r="C4" s="211">
        <v>8656.5300000000007</v>
      </c>
      <c r="D4" s="210">
        <v>1687.77</v>
      </c>
      <c r="E4" s="211">
        <v>375.81</v>
      </c>
      <c r="F4" s="211">
        <v>4.9800000000000004</v>
      </c>
      <c r="G4" s="211">
        <v>0</v>
      </c>
      <c r="H4" s="208" t="e">
        <f>#N/A</f>
        <v>#N/A</v>
      </c>
    </row>
    <row r="5" spans="1:8">
      <c r="A5" s="209">
        <v>40269</v>
      </c>
      <c r="B5" s="210">
        <v>9739.44</v>
      </c>
      <c r="C5" s="211">
        <v>8698.08</v>
      </c>
      <c r="D5" s="210">
        <v>1699.19</v>
      </c>
      <c r="E5" s="211">
        <v>375.81</v>
      </c>
      <c r="F5" s="211">
        <v>4.9800000000000004</v>
      </c>
      <c r="G5" s="211">
        <v>0</v>
      </c>
      <c r="H5" s="208" t="e">
        <f>#N/A</f>
        <v>#N/A</v>
      </c>
    </row>
    <row r="6" spans="1:8">
      <c r="A6" s="205">
        <v>40299</v>
      </c>
      <c r="B6" s="210">
        <v>10548.75</v>
      </c>
      <c r="C6" s="211">
        <v>9507.39</v>
      </c>
      <c r="D6" s="210">
        <v>1921.75</v>
      </c>
      <c r="E6" s="211">
        <v>375.81</v>
      </c>
      <c r="F6" s="211">
        <v>4.9800000000000004</v>
      </c>
      <c r="G6" s="211">
        <v>0</v>
      </c>
      <c r="H6" s="208" t="e">
        <f>#N/A</f>
        <v>#N/A</v>
      </c>
    </row>
    <row r="7" spans="1:8">
      <c r="A7" s="209">
        <v>40330</v>
      </c>
      <c r="B7" s="210">
        <v>9264.5499999999993</v>
      </c>
      <c r="C7" s="211">
        <v>8223.19</v>
      </c>
      <c r="D7" s="210">
        <v>1568.6</v>
      </c>
      <c r="E7" s="211">
        <v>375.81</v>
      </c>
      <c r="F7" s="211">
        <v>4.9800000000000004</v>
      </c>
      <c r="G7" s="211">
        <v>21.09</v>
      </c>
      <c r="H7" s="208" t="e">
        <f>#N/A</f>
        <v>#N/A</v>
      </c>
    </row>
    <row r="8" spans="1:8">
      <c r="A8" s="205">
        <v>40360</v>
      </c>
      <c r="B8" s="210">
        <v>10973.13</v>
      </c>
      <c r="C8" s="211">
        <v>9926.17</v>
      </c>
      <c r="D8" s="210">
        <v>2036.92</v>
      </c>
      <c r="E8" s="211">
        <v>381.41</v>
      </c>
      <c r="F8" s="211">
        <v>4.9800000000000004</v>
      </c>
      <c r="G8" s="211">
        <v>0</v>
      </c>
      <c r="H8" s="208">
        <f>209.73+3.75</f>
        <v>213.48</v>
      </c>
    </row>
    <row r="9" spans="1:8">
      <c r="A9" s="209">
        <v>40391</v>
      </c>
      <c r="B9" s="210">
        <v>10927.72</v>
      </c>
      <c r="C9" s="211">
        <v>9880.76</v>
      </c>
      <c r="D9" s="210">
        <v>2024.43</v>
      </c>
      <c r="E9" s="211">
        <v>381.41</v>
      </c>
      <c r="F9" s="211">
        <v>4.9800000000000004</v>
      </c>
      <c r="G9" s="211">
        <v>19.62</v>
      </c>
      <c r="H9" s="208">
        <f>209.73+3.75</f>
        <v>213.48</v>
      </c>
    </row>
    <row r="10" spans="1:8">
      <c r="A10" s="205">
        <v>40422</v>
      </c>
      <c r="B10" s="210">
        <v>24924.45</v>
      </c>
      <c r="C10" s="211">
        <v>8352.94</v>
      </c>
      <c r="D10" s="210">
        <v>1604.28</v>
      </c>
      <c r="E10" s="211">
        <v>381.41</v>
      </c>
      <c r="F10" s="211">
        <v>4.9800000000000004</v>
      </c>
      <c r="G10" s="211">
        <v>0</v>
      </c>
      <c r="H10" s="208">
        <v>213.48</v>
      </c>
    </row>
    <row r="11" spans="1:8">
      <c r="A11" s="209">
        <v>40452</v>
      </c>
      <c r="B11" s="210">
        <v>15995.12</v>
      </c>
      <c r="C11" s="211">
        <v>6788.05</v>
      </c>
      <c r="D11" s="210">
        <v>1173.93</v>
      </c>
      <c r="E11" s="211">
        <v>381.41</v>
      </c>
      <c r="F11" s="211">
        <v>4.9800000000000004</v>
      </c>
      <c r="G11" s="211">
        <v>0</v>
      </c>
      <c r="H11" s="208">
        <v>213.48</v>
      </c>
    </row>
    <row r="12" spans="1:8">
      <c r="A12" s="205">
        <v>40483</v>
      </c>
      <c r="B12" s="210">
        <v>9127.49</v>
      </c>
      <c r="C12" s="211">
        <v>8080.53</v>
      </c>
      <c r="D12" s="210">
        <v>1529.37</v>
      </c>
      <c r="E12" s="211">
        <v>381.41</v>
      </c>
      <c r="F12" s="211">
        <v>4.9889999999999999</v>
      </c>
      <c r="G12" s="211">
        <v>0</v>
      </c>
      <c r="H12" s="208">
        <f>209.73+3.75</f>
        <v>213.48</v>
      </c>
    </row>
    <row r="13" spans="1:8">
      <c r="A13" s="209">
        <v>40513</v>
      </c>
      <c r="B13" s="210">
        <v>10384.540000000001</v>
      </c>
      <c r="C13" s="211">
        <v>8740.91</v>
      </c>
      <c r="D13" s="210">
        <v>1710.97</v>
      </c>
      <c r="E13" s="211">
        <v>381.41</v>
      </c>
      <c r="F13" s="211">
        <v>4.9800000000000004</v>
      </c>
      <c r="G13" s="211">
        <v>0</v>
      </c>
      <c r="H13" s="208">
        <f>209.73+3.75</f>
        <v>213.48</v>
      </c>
    </row>
    <row r="14" spans="1:8">
      <c r="A14" s="209" t="s">
        <v>24969</v>
      </c>
      <c r="B14" s="210"/>
      <c r="C14" s="211"/>
      <c r="D14" s="210"/>
      <c r="E14" s="211"/>
      <c r="F14" s="211"/>
      <c r="G14" s="211"/>
      <c r="H14" s="208"/>
    </row>
    <row r="15" spans="1:8">
      <c r="A15" s="209" t="s">
        <v>24970</v>
      </c>
      <c r="B15" s="210"/>
      <c r="C15" s="211"/>
      <c r="D15" s="210"/>
      <c r="E15" s="211"/>
      <c r="F15" s="211"/>
      <c r="G15" s="211"/>
      <c r="H15" s="208"/>
    </row>
    <row r="16" spans="1:8">
      <c r="A16" s="209" t="s">
        <v>24963</v>
      </c>
      <c r="B16" s="210"/>
      <c r="C16" s="211"/>
      <c r="D16" s="210"/>
      <c r="E16" s="211"/>
      <c r="F16" s="211"/>
      <c r="G16" s="211"/>
      <c r="H16" s="208">
        <f>209.73+3.75</f>
        <v>213.48</v>
      </c>
    </row>
    <row r="17" spans="1:10">
      <c r="A17" s="209" t="s">
        <v>24964</v>
      </c>
      <c r="B17" s="210"/>
      <c r="C17" s="211"/>
      <c r="D17" s="210"/>
      <c r="E17" s="211"/>
      <c r="F17" s="211"/>
      <c r="G17" s="211"/>
      <c r="H17" s="208"/>
    </row>
    <row r="18" spans="1:10">
      <c r="A18" s="209" t="s">
        <v>24946</v>
      </c>
      <c r="B18" s="210">
        <f>3600.53+3928.38</f>
        <v>7528.91</v>
      </c>
      <c r="C18" s="211"/>
      <c r="D18" s="210">
        <v>1838.61</v>
      </c>
      <c r="E18" s="211">
        <v>381.41</v>
      </c>
      <c r="F18" s="211">
        <v>0</v>
      </c>
      <c r="G18" s="211">
        <v>0</v>
      </c>
      <c r="H18" s="208">
        <v>0</v>
      </c>
    </row>
    <row r="19" spans="1:10">
      <c r="A19" s="209" t="s">
        <v>24947</v>
      </c>
      <c r="B19" s="210">
        <f>1200.18+1309.46</f>
        <v>2509.6400000000003</v>
      </c>
      <c r="C19" s="211"/>
      <c r="D19" s="210">
        <v>0</v>
      </c>
      <c r="E19" s="211">
        <v>0</v>
      </c>
      <c r="F19" s="211">
        <v>0</v>
      </c>
      <c r="G19" s="211">
        <v>0</v>
      </c>
      <c r="H19" s="208">
        <v>0</v>
      </c>
    </row>
    <row r="20" spans="1:10">
      <c r="A20" s="209" t="s">
        <v>24967</v>
      </c>
      <c r="B20" s="210">
        <f>1800.27+1964.19</f>
        <v>3764.46</v>
      </c>
      <c r="C20" s="211"/>
      <c r="D20" s="210">
        <v>0</v>
      </c>
      <c r="E20" s="211">
        <v>0</v>
      </c>
      <c r="F20" s="211">
        <v>0</v>
      </c>
      <c r="G20" s="211">
        <v>0</v>
      </c>
      <c r="H20" s="208">
        <v>0</v>
      </c>
    </row>
    <row r="21" spans="1:10">
      <c r="A21" s="209" t="s">
        <v>24968</v>
      </c>
      <c r="B21" s="210">
        <f>600.09+654.73</f>
        <v>1254.8200000000002</v>
      </c>
      <c r="C21" s="211"/>
      <c r="D21" s="210">
        <v>0</v>
      </c>
      <c r="E21" s="211">
        <v>0</v>
      </c>
      <c r="F21" s="211">
        <v>0</v>
      </c>
      <c r="G21" s="211">
        <v>0</v>
      </c>
      <c r="H21" s="208">
        <v>0</v>
      </c>
    </row>
    <row r="22" spans="1:10">
      <c r="A22" s="209" t="s">
        <v>24971</v>
      </c>
      <c r="B22" s="210"/>
      <c r="C22" s="211"/>
      <c r="D22" s="210"/>
      <c r="E22" s="211"/>
      <c r="F22" s="211"/>
      <c r="G22" s="211"/>
      <c r="H22" s="208"/>
    </row>
    <row r="23" spans="1:10">
      <c r="A23" s="209" t="s">
        <v>24972</v>
      </c>
      <c r="B23" s="210"/>
      <c r="C23" s="211"/>
      <c r="D23" s="210"/>
      <c r="E23" s="211"/>
      <c r="F23" s="211"/>
      <c r="G23" s="211"/>
      <c r="H23" s="208"/>
    </row>
    <row r="24" spans="1:10">
      <c r="A24" s="212"/>
      <c r="B24" s="213"/>
      <c r="C24" s="213"/>
      <c r="D24" s="213"/>
      <c r="E24" s="213"/>
      <c r="F24" s="213"/>
      <c r="G24" s="213"/>
      <c r="H24" s="213"/>
    </row>
    <row r="26" spans="1:10">
      <c r="A26" s="25" t="s">
        <v>24948</v>
      </c>
      <c r="B26" s="25"/>
      <c r="C26" s="25"/>
      <c r="D26" s="25"/>
    </row>
    <row r="27" spans="1:10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</row>
    <row r="28" spans="1:10">
      <c r="A28" s="215" t="s">
        <v>24958</v>
      </c>
      <c r="B28" s="215" t="s">
        <v>24959</v>
      </c>
      <c r="C28" s="216">
        <f>SUM(B2:B19)</f>
        <v>150817.74000000002</v>
      </c>
      <c r="D28" s="216">
        <f>SUM(C2:C13)</f>
        <v>103787.91</v>
      </c>
      <c r="E28" s="217">
        <f>SUM(C16:C17)</f>
        <v>0</v>
      </c>
      <c r="F28" s="216">
        <f>SUM(D2:D19)</f>
        <v>22066.93</v>
      </c>
      <c r="G28" s="216">
        <f>SUM(E2:E19)</f>
        <v>4924.7299999999996</v>
      </c>
      <c r="H28" s="216">
        <f>SUM(F2:F19)</f>
        <v>59.769000000000005</v>
      </c>
      <c r="I28" s="216">
        <f>SUM(G2:G19)</f>
        <v>40.71</v>
      </c>
      <c r="J28" s="216" t="e">
        <f>SUM(H2:H19)</f>
        <v>#N/A</v>
      </c>
    </row>
    <row r="29" spans="1:10">
      <c r="A29" s="25"/>
      <c r="B29" s="218" t="s">
        <v>24960</v>
      </c>
      <c r="C29" s="219">
        <f>SUM(C28)</f>
        <v>150817.74000000002</v>
      </c>
      <c r="D29" s="219">
        <f>SUM(D28:D28)</f>
        <v>103787.91</v>
      </c>
      <c r="E29" s="220">
        <f>SUM(E28)</f>
        <v>0</v>
      </c>
      <c r="F29" s="219">
        <f>SUM(F28:F28)</f>
        <v>22066.93</v>
      </c>
      <c r="G29" s="219">
        <f>SUM(G28:G28)</f>
        <v>4924.7299999999996</v>
      </c>
      <c r="H29" s="219">
        <f>SUM(H28:H28)</f>
        <v>59.769000000000005</v>
      </c>
      <c r="I29" s="219">
        <f>SUM(I28:I28)</f>
        <v>40.71</v>
      </c>
      <c r="J29" s="219" t="e">
        <f>SUM(J28:J28)</f>
        <v>#N/A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Plan84"/>
  <dimension ref="A1:J29"/>
  <sheetViews>
    <sheetView topLeftCell="A7" workbookViewId="0">
      <selection activeCell="J29" sqref="J29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10" width="16" style="3" customWidth="1"/>
    <col min="11" max="16384" width="9.140625" style="3"/>
  </cols>
  <sheetData>
    <row r="1" spans="1:8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</row>
    <row r="2" spans="1:8">
      <c r="A2" s="205">
        <v>40544</v>
      </c>
      <c r="B2" s="206">
        <v>11090.78</v>
      </c>
      <c r="C2" s="207">
        <v>10000.48</v>
      </c>
      <c r="D2" s="206">
        <v>2057.35</v>
      </c>
      <c r="E2" s="207">
        <v>405.86</v>
      </c>
      <c r="F2" s="207">
        <v>4.9800000000000004</v>
      </c>
      <c r="G2" s="207">
        <v>12.89</v>
      </c>
      <c r="H2" s="208" t="e">
        <f>#N/A</f>
        <v>#N/A</v>
      </c>
    </row>
    <row r="3" spans="1:8">
      <c r="A3" s="209">
        <v>40575</v>
      </c>
      <c r="B3" s="210">
        <v>9740.93</v>
      </c>
      <c r="C3" s="211">
        <v>8650.6299999999992</v>
      </c>
      <c r="D3" s="210">
        <v>1686.14</v>
      </c>
      <c r="E3" s="207">
        <v>405.86</v>
      </c>
      <c r="F3" s="211">
        <v>4.9800000000000004</v>
      </c>
      <c r="G3" s="211">
        <v>0</v>
      </c>
      <c r="H3" s="208" t="e">
        <f>#N/A</f>
        <v>#N/A</v>
      </c>
    </row>
    <row r="4" spans="1:8">
      <c r="A4" s="205">
        <v>40603</v>
      </c>
      <c r="B4" s="210">
        <v>10067.4</v>
      </c>
      <c r="C4" s="211">
        <v>8977.1</v>
      </c>
      <c r="D4" s="210">
        <v>1775.92</v>
      </c>
      <c r="E4" s="211">
        <v>405.86</v>
      </c>
      <c r="F4" s="211">
        <v>4.9800000000000004</v>
      </c>
      <c r="G4" s="211">
        <v>0</v>
      </c>
      <c r="H4" s="208" t="e">
        <f>#N/A</f>
        <v>#N/A</v>
      </c>
    </row>
    <row r="5" spans="1:8">
      <c r="A5" s="209">
        <v>40634</v>
      </c>
      <c r="B5" s="210">
        <v>9704</v>
      </c>
      <c r="C5" s="211">
        <v>8593.36</v>
      </c>
      <c r="D5" s="210">
        <v>1639.22</v>
      </c>
      <c r="E5" s="211">
        <v>405.86</v>
      </c>
      <c r="F5" s="211">
        <v>4.9800000000000004</v>
      </c>
      <c r="G5" s="211">
        <v>0</v>
      </c>
      <c r="H5" s="208" t="e">
        <f>#N/A</f>
        <v>#N/A</v>
      </c>
    </row>
    <row r="6" spans="1:8">
      <c r="A6" s="205">
        <v>40664</v>
      </c>
      <c r="B6" s="210">
        <v>11017.64</v>
      </c>
      <c r="C6" s="211">
        <v>9907</v>
      </c>
      <c r="D6" s="210">
        <v>2000.48</v>
      </c>
      <c r="E6" s="211">
        <v>405.86</v>
      </c>
      <c r="F6" s="211">
        <v>4.9800000000000004</v>
      </c>
      <c r="G6" s="211">
        <v>0</v>
      </c>
      <c r="H6" s="208" t="e">
        <f>#N/A</f>
        <v>#N/A</v>
      </c>
    </row>
    <row r="7" spans="1:8">
      <c r="A7" s="209">
        <v>40695</v>
      </c>
      <c r="B7" s="210">
        <v>16684.03</v>
      </c>
      <c r="C7" s="211">
        <v>8274.93</v>
      </c>
      <c r="D7" s="210">
        <v>1551.66</v>
      </c>
      <c r="E7" s="211">
        <v>405.86</v>
      </c>
      <c r="F7" s="211">
        <v>4.9800000000000004</v>
      </c>
      <c r="G7" s="211">
        <v>36.380000000000003</v>
      </c>
      <c r="H7" s="208" t="e">
        <f>#N/A</f>
        <v>#N/A</v>
      </c>
    </row>
    <row r="8" spans="1:8">
      <c r="A8" s="205">
        <v>40725</v>
      </c>
      <c r="B8" s="210">
        <v>15215.77</v>
      </c>
      <c r="C8" s="211">
        <v>8970.9699999999993</v>
      </c>
      <c r="D8" s="210">
        <v>1743.07</v>
      </c>
      <c r="E8" s="211">
        <v>406.09</v>
      </c>
      <c r="F8" s="211">
        <v>4.9800000000000004</v>
      </c>
      <c r="G8" s="211">
        <v>19.98</v>
      </c>
      <c r="H8" s="208">
        <f>228.62+3.75</f>
        <v>232.37</v>
      </c>
    </row>
    <row r="9" spans="1:8">
      <c r="A9" s="209">
        <v>40756</v>
      </c>
      <c r="B9" s="210">
        <v>11327.94</v>
      </c>
      <c r="C9" s="211">
        <v>10217.07</v>
      </c>
      <c r="D9" s="210">
        <v>2085.7399999999998</v>
      </c>
      <c r="E9" s="211">
        <v>406.09</v>
      </c>
      <c r="F9" s="211">
        <v>4.9800000000000004</v>
      </c>
      <c r="G9" s="211">
        <v>39.619999999999997</v>
      </c>
      <c r="H9" s="208">
        <f>228.62+3.75</f>
        <v>232.37</v>
      </c>
    </row>
    <row r="10" spans="1:8">
      <c r="A10" s="205">
        <v>40787</v>
      </c>
      <c r="B10" s="210">
        <v>11240.03</v>
      </c>
      <c r="C10" s="211">
        <v>10129.16</v>
      </c>
      <c r="D10" s="210">
        <v>2091.5700000000002</v>
      </c>
      <c r="E10" s="211">
        <v>406.09</v>
      </c>
      <c r="F10" s="211">
        <v>4.9800000000000004</v>
      </c>
      <c r="G10" s="211">
        <v>0</v>
      </c>
      <c r="H10" s="208">
        <f>228.62+3.75</f>
        <v>232.37</v>
      </c>
    </row>
    <row r="11" spans="1:8">
      <c r="A11" s="209">
        <v>40817</v>
      </c>
      <c r="B11" s="210">
        <v>16117.08</v>
      </c>
      <c r="C11" s="211">
        <v>8005.38</v>
      </c>
      <c r="D11" s="210">
        <v>1477.53</v>
      </c>
      <c r="E11" s="211">
        <v>406.09</v>
      </c>
      <c r="F11" s="211">
        <v>4.9800000000000004</v>
      </c>
      <c r="G11" s="211">
        <v>0</v>
      </c>
      <c r="H11" s="208">
        <f>228.62+3.75</f>
        <v>232.37</v>
      </c>
    </row>
    <row r="12" spans="1:8">
      <c r="A12" s="205">
        <v>40848</v>
      </c>
      <c r="B12" s="210">
        <v>12676.64</v>
      </c>
      <c r="C12" s="211">
        <v>11565.77</v>
      </c>
      <c r="D12" s="210">
        <v>2456.64</v>
      </c>
      <c r="E12" s="211">
        <v>406.09</v>
      </c>
      <c r="F12" s="211">
        <v>4.9800000000000004</v>
      </c>
      <c r="G12" s="211">
        <v>0</v>
      </c>
      <c r="H12" s="208">
        <f>228.62+3.75</f>
        <v>232.37</v>
      </c>
    </row>
    <row r="13" spans="1:8">
      <c r="A13" s="209">
        <v>40878</v>
      </c>
      <c r="B13" s="210">
        <v>13181.04</v>
      </c>
      <c r="C13" s="211">
        <v>11242.51</v>
      </c>
      <c r="D13" s="210">
        <v>2367.7399999999998</v>
      </c>
      <c r="E13" s="211">
        <v>406.09</v>
      </c>
      <c r="F13" s="211">
        <v>4.9800000000000004</v>
      </c>
      <c r="G13" s="211">
        <v>0</v>
      </c>
      <c r="H13" s="208">
        <f>251.19+3.75</f>
        <v>254.94</v>
      </c>
    </row>
    <row r="14" spans="1:8">
      <c r="A14" s="209" t="s">
        <v>24969</v>
      </c>
      <c r="B14" s="210"/>
      <c r="C14" s="211"/>
      <c r="D14" s="210"/>
      <c r="E14" s="211"/>
      <c r="F14" s="211"/>
      <c r="G14" s="211"/>
      <c r="H14" s="208"/>
    </row>
    <row r="15" spans="1:8">
      <c r="A15" s="209" t="s">
        <v>24970</v>
      </c>
      <c r="B15" s="210"/>
      <c r="C15" s="211"/>
      <c r="D15" s="210"/>
      <c r="E15" s="211"/>
      <c r="F15" s="211"/>
      <c r="G15" s="211"/>
      <c r="H15" s="208"/>
    </row>
    <row r="16" spans="1:8">
      <c r="A16" s="209" t="s">
        <v>24963</v>
      </c>
      <c r="B16" s="210"/>
      <c r="C16" s="211"/>
      <c r="D16" s="210"/>
      <c r="E16" s="211"/>
      <c r="F16" s="211"/>
      <c r="G16" s="211"/>
      <c r="H16" s="208"/>
    </row>
    <row r="17" spans="1:10">
      <c r="A17" s="209" t="s">
        <v>24964</v>
      </c>
      <c r="B17" s="210"/>
      <c r="C17" s="211"/>
      <c r="D17" s="210"/>
      <c r="E17" s="211"/>
      <c r="F17" s="211"/>
      <c r="G17" s="211"/>
      <c r="H17" s="208"/>
    </row>
    <row r="18" spans="1:10">
      <c r="A18" s="209" t="s">
        <v>24946</v>
      </c>
      <c r="B18" s="210"/>
      <c r="C18" s="211"/>
      <c r="D18" s="210"/>
      <c r="E18" s="211"/>
      <c r="F18" s="211"/>
      <c r="G18" s="211"/>
      <c r="H18" s="208"/>
    </row>
    <row r="19" spans="1:10">
      <c r="A19" s="209" t="s">
        <v>24947</v>
      </c>
      <c r="B19" s="210"/>
      <c r="C19" s="211"/>
      <c r="D19" s="210"/>
      <c r="E19" s="211"/>
      <c r="F19" s="211"/>
      <c r="G19" s="211"/>
      <c r="H19" s="208"/>
    </row>
    <row r="20" spans="1:10">
      <c r="A20" s="209" t="s">
        <v>24967</v>
      </c>
      <c r="B20" s="210"/>
      <c r="C20" s="211"/>
      <c r="D20" s="210"/>
      <c r="E20" s="211"/>
      <c r="F20" s="211"/>
      <c r="G20" s="211"/>
      <c r="H20" s="208"/>
    </row>
    <row r="21" spans="1:10">
      <c r="A21" s="209" t="s">
        <v>24968</v>
      </c>
      <c r="B21" s="210"/>
      <c r="C21" s="211"/>
      <c r="D21" s="210"/>
      <c r="E21" s="211"/>
      <c r="F21" s="211"/>
      <c r="G21" s="211"/>
      <c r="H21" s="208"/>
    </row>
    <row r="22" spans="1:10">
      <c r="A22" s="209" t="s">
        <v>24971</v>
      </c>
      <c r="B22" s="210"/>
      <c r="C22" s="211"/>
      <c r="D22" s="210"/>
      <c r="E22" s="211"/>
      <c r="F22" s="211"/>
      <c r="G22" s="211"/>
      <c r="H22" s="208"/>
    </row>
    <row r="23" spans="1:10">
      <c r="A23" s="209" t="s">
        <v>24972</v>
      </c>
      <c r="B23" s="210"/>
      <c r="C23" s="211"/>
      <c r="D23" s="210"/>
      <c r="E23" s="211"/>
      <c r="F23" s="211"/>
      <c r="G23" s="211"/>
      <c r="H23" s="208"/>
    </row>
    <row r="24" spans="1:10">
      <c r="A24" s="212"/>
      <c r="B24" s="213"/>
      <c r="C24" s="213"/>
      <c r="D24" s="213"/>
      <c r="E24" s="213"/>
      <c r="F24" s="213"/>
      <c r="G24" s="213"/>
      <c r="H24" s="213"/>
    </row>
    <row r="26" spans="1:10">
      <c r="A26" s="25" t="s">
        <v>24948</v>
      </c>
      <c r="B26" s="25"/>
      <c r="C26" s="25"/>
      <c r="D26" s="25"/>
    </row>
    <row r="27" spans="1:10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</row>
    <row r="28" spans="1:10">
      <c r="A28" s="215" t="s">
        <v>24958</v>
      </c>
      <c r="B28" s="215" t="s">
        <v>24959</v>
      </c>
      <c r="C28" s="216">
        <f>SUM(B2:B19)</f>
        <v>148063.28</v>
      </c>
      <c r="D28" s="216">
        <f>SUM(C2:C13)</f>
        <v>114534.36000000002</v>
      </c>
      <c r="E28" s="217">
        <f>SUM(C16:C17)</f>
        <v>0</v>
      </c>
      <c r="F28" s="216">
        <f>SUM(D2:D19)</f>
        <v>22933.059999999998</v>
      </c>
      <c r="G28" s="216">
        <f>SUM(E2:E19)</f>
        <v>4871.7000000000007</v>
      </c>
      <c r="H28" s="216">
        <f>SUM(F2:F19)</f>
        <v>59.760000000000019</v>
      </c>
      <c r="I28" s="216">
        <f>SUM(G2:G19)</f>
        <v>108.87</v>
      </c>
      <c r="J28" s="216" t="e">
        <f>SUM(H2:H19)</f>
        <v>#N/A</v>
      </c>
    </row>
    <row r="29" spans="1:10">
      <c r="A29" s="25"/>
      <c r="B29" s="218" t="s">
        <v>24960</v>
      </c>
      <c r="C29" s="219">
        <f>SUM(C28)</f>
        <v>148063.28</v>
      </c>
      <c r="D29" s="219">
        <f>SUM(D28:D28)</f>
        <v>114534.36000000002</v>
      </c>
      <c r="E29" s="220">
        <f>SUM(E28)</f>
        <v>0</v>
      </c>
      <c r="F29" s="219">
        <f>SUM(F28:F28)</f>
        <v>22933.059999999998</v>
      </c>
      <c r="G29" s="219">
        <f>SUM(G28:G28)</f>
        <v>4871.7000000000007</v>
      </c>
      <c r="H29" s="219">
        <f>SUM(H28:H28)</f>
        <v>59.760000000000019</v>
      </c>
      <c r="I29" s="219">
        <f>SUM(I28:I28)</f>
        <v>108.87</v>
      </c>
      <c r="J29" s="219" t="e">
        <f>SUM(J28:J28)</f>
        <v>#N/A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Plan85"/>
  <dimension ref="A1:J29"/>
  <sheetViews>
    <sheetView topLeftCell="A4" workbookViewId="0">
      <selection activeCell="J29" sqref="J29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10" width="16" style="3" customWidth="1"/>
    <col min="11" max="16384" width="9.140625" style="3"/>
  </cols>
  <sheetData>
    <row r="1" spans="1:8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</row>
    <row r="2" spans="1:8">
      <c r="A2" s="205">
        <v>40909</v>
      </c>
      <c r="B2" s="206">
        <v>11488.44</v>
      </c>
      <c r="C2" s="207">
        <v>10309.040000000001</v>
      </c>
      <c r="D2" s="206">
        <v>2078.46</v>
      </c>
      <c r="E2" s="207">
        <v>430.78</v>
      </c>
      <c r="F2" s="207">
        <v>4.9800000000000004</v>
      </c>
      <c r="G2" s="207">
        <v>0</v>
      </c>
      <c r="H2" s="208" t="e">
        <f>#N/A</f>
        <v>#N/A</v>
      </c>
    </row>
    <row r="3" spans="1:8">
      <c r="A3" s="209">
        <v>40940</v>
      </c>
      <c r="B3" s="210">
        <v>12220.25</v>
      </c>
      <c r="C3" s="211">
        <v>11040.85</v>
      </c>
      <c r="D3" s="210">
        <v>2279.6999999999998</v>
      </c>
      <c r="E3" s="207">
        <v>430.78</v>
      </c>
      <c r="F3" s="211">
        <v>4.9800000000000004</v>
      </c>
      <c r="G3" s="211">
        <v>11.2</v>
      </c>
      <c r="H3" s="208" t="e">
        <f>#N/A</f>
        <v>#N/A</v>
      </c>
    </row>
    <row r="4" spans="1:8">
      <c r="A4" s="205">
        <v>40969</v>
      </c>
      <c r="B4" s="210">
        <v>11073.72</v>
      </c>
      <c r="C4" s="211">
        <v>11073.2</v>
      </c>
      <c r="D4" s="210">
        <v>1964.27</v>
      </c>
      <c r="E4" s="211">
        <v>430.78</v>
      </c>
      <c r="F4" s="211">
        <v>4.9800000000000004</v>
      </c>
      <c r="G4" s="211">
        <v>77.62</v>
      </c>
      <c r="H4" s="208" t="e">
        <f>#N/A</f>
        <v>#N/A</v>
      </c>
    </row>
    <row r="5" spans="1:8">
      <c r="A5" s="209">
        <v>41000</v>
      </c>
      <c r="B5" s="210">
        <v>12589.94</v>
      </c>
      <c r="C5" s="211">
        <v>11419.02</v>
      </c>
      <c r="D5" s="210">
        <v>2383.6999999999998</v>
      </c>
      <c r="E5" s="211">
        <v>430.78</v>
      </c>
      <c r="F5" s="211">
        <v>4.9800000000000004</v>
      </c>
      <c r="G5" s="211">
        <f>27.99</f>
        <v>27.99</v>
      </c>
      <c r="H5" s="208" t="e">
        <f>#N/A</f>
        <v>#N/A</v>
      </c>
    </row>
    <row r="6" spans="1:8">
      <c r="A6" s="205">
        <v>41030</v>
      </c>
      <c r="B6" s="210">
        <v>13301.01</v>
      </c>
      <c r="C6" s="211">
        <v>12121.61</v>
      </c>
      <c r="D6" s="210">
        <v>2576.91</v>
      </c>
      <c r="E6" s="211">
        <v>430.78</v>
      </c>
      <c r="F6" s="211">
        <v>4.9800000000000004</v>
      </c>
      <c r="G6" s="211">
        <v>11.65</v>
      </c>
      <c r="H6" s="208" t="e">
        <f>#N/A</f>
        <v>#N/A</v>
      </c>
    </row>
    <row r="7" spans="1:8">
      <c r="A7" s="209">
        <v>41061</v>
      </c>
      <c r="B7" s="210">
        <v>12298.92</v>
      </c>
      <c r="C7" s="211">
        <v>11119.52</v>
      </c>
      <c r="D7" s="210">
        <v>2301.34</v>
      </c>
      <c r="E7" s="211">
        <v>430.78</v>
      </c>
      <c r="F7" s="211">
        <v>4.9800000000000004</v>
      </c>
      <c r="G7" s="211">
        <v>0</v>
      </c>
      <c r="H7" s="208" t="e">
        <f>#N/A</f>
        <v>#N/A</v>
      </c>
    </row>
    <row r="8" spans="1:8">
      <c r="A8" s="205">
        <v>41091</v>
      </c>
      <c r="B8" s="210">
        <v>12149.94</v>
      </c>
      <c r="C8" s="211">
        <v>10970.54</v>
      </c>
      <c r="D8" s="210">
        <v>2260.37</v>
      </c>
      <c r="E8" s="211">
        <v>430.78</v>
      </c>
      <c r="F8" s="211">
        <v>4.9800000000000004</v>
      </c>
      <c r="G8" s="211">
        <v>0</v>
      </c>
      <c r="H8" s="208" t="e">
        <f>#N/A</f>
        <v>#N/A</v>
      </c>
    </row>
    <row r="9" spans="1:8">
      <c r="A9" s="209">
        <v>41122</v>
      </c>
      <c r="B9" s="210">
        <v>23970.63</v>
      </c>
      <c r="C9" s="211">
        <v>7247.47</v>
      </c>
      <c r="D9" s="210">
        <v>1236.52</v>
      </c>
      <c r="E9" s="211">
        <v>430.78</v>
      </c>
      <c r="F9" s="211">
        <v>4.9800000000000004</v>
      </c>
      <c r="G9" s="211">
        <v>0</v>
      </c>
      <c r="H9" s="208" t="e">
        <f>#N/A</f>
        <v>#N/A</v>
      </c>
    </row>
    <row r="10" spans="1:8">
      <c r="A10" s="205">
        <v>41153</v>
      </c>
      <c r="B10" s="210">
        <v>12416.58</v>
      </c>
      <c r="C10" s="211">
        <v>10716.84</v>
      </c>
      <c r="D10" s="210">
        <v>2190.6</v>
      </c>
      <c r="E10" s="211">
        <v>430.78</v>
      </c>
      <c r="F10" s="211">
        <v>4.9800000000000004</v>
      </c>
      <c r="G10" s="211">
        <v>0</v>
      </c>
      <c r="H10" s="208" t="e">
        <f>#N/A</f>
        <v>#N/A</v>
      </c>
    </row>
    <row r="11" spans="1:8">
      <c r="A11" s="209">
        <v>41183</v>
      </c>
      <c r="B11" s="210">
        <v>12512.89</v>
      </c>
      <c r="C11" s="211">
        <v>11333.49</v>
      </c>
      <c r="D11" s="210">
        <v>2360.1799999999998</v>
      </c>
      <c r="E11" s="211">
        <v>430.78</v>
      </c>
      <c r="F11" s="211">
        <v>4.9800000000000004</v>
      </c>
      <c r="G11" s="211">
        <v>0</v>
      </c>
      <c r="H11" s="208" t="e">
        <f>#N/A</f>
        <v>#N/A</v>
      </c>
    </row>
    <row r="12" spans="1:8">
      <c r="A12" s="205">
        <v>41214</v>
      </c>
      <c r="B12" s="210">
        <v>13587.87</v>
      </c>
      <c r="C12" s="211">
        <v>12408.47</v>
      </c>
      <c r="D12" s="210">
        <v>2665.8</v>
      </c>
      <c r="E12" s="211">
        <v>430.78</v>
      </c>
      <c r="F12" s="211">
        <v>4.9800000000000004</v>
      </c>
      <c r="G12" s="211">
        <v>41.94</v>
      </c>
      <c r="H12" s="208">
        <f>251.19+3.75</f>
        <v>254.94</v>
      </c>
    </row>
    <row r="13" spans="1:8">
      <c r="A13" s="209">
        <v>41244</v>
      </c>
      <c r="B13" s="210">
        <v>12508.29</v>
      </c>
      <c r="C13" s="211">
        <v>10575.35</v>
      </c>
      <c r="D13" s="210">
        <v>2151.69</v>
      </c>
      <c r="E13" s="211">
        <v>430.78</v>
      </c>
      <c r="F13" s="211">
        <v>4.9800000000000004</v>
      </c>
      <c r="G13" s="211">
        <v>5.24</v>
      </c>
      <c r="H13" s="208">
        <f>(251.19+3.75)*2</f>
        <v>509.88</v>
      </c>
    </row>
    <row r="14" spans="1:8">
      <c r="A14" s="209" t="s">
        <v>24969</v>
      </c>
      <c r="B14" s="210"/>
      <c r="C14" s="211"/>
      <c r="D14" s="210"/>
      <c r="E14" s="211"/>
      <c r="F14" s="211"/>
      <c r="G14" s="211"/>
      <c r="H14" s="208"/>
    </row>
    <row r="15" spans="1:8">
      <c r="A15" s="209" t="s">
        <v>24970</v>
      </c>
      <c r="B15" s="210"/>
      <c r="C15" s="211"/>
      <c r="D15" s="210"/>
      <c r="E15" s="211"/>
      <c r="F15" s="211"/>
      <c r="G15" s="211"/>
      <c r="H15" s="208"/>
    </row>
    <row r="16" spans="1:8">
      <c r="A16" s="209" t="s">
        <v>24963</v>
      </c>
      <c r="B16" s="210"/>
      <c r="C16" s="211"/>
      <c r="D16" s="210"/>
      <c r="E16" s="211"/>
      <c r="F16" s="211"/>
      <c r="G16" s="211"/>
      <c r="H16" s="208"/>
    </row>
    <row r="17" spans="1:10">
      <c r="A17" s="209" t="s">
        <v>24964</v>
      </c>
      <c r="B17" s="210"/>
      <c r="C17" s="211"/>
      <c r="D17" s="210"/>
      <c r="E17" s="211"/>
      <c r="F17" s="211"/>
      <c r="G17" s="211"/>
      <c r="H17" s="208"/>
    </row>
    <row r="18" spans="1:10">
      <c r="A18" s="209" t="s">
        <v>24946</v>
      </c>
      <c r="B18" s="210"/>
      <c r="C18" s="211"/>
      <c r="D18" s="210"/>
      <c r="E18" s="211"/>
      <c r="F18" s="211"/>
      <c r="G18" s="211"/>
      <c r="H18" s="208"/>
    </row>
    <row r="19" spans="1:10">
      <c r="A19" s="209" t="s">
        <v>24947</v>
      </c>
      <c r="B19" s="210"/>
      <c r="C19" s="211"/>
      <c r="D19" s="210"/>
      <c r="E19" s="211"/>
      <c r="F19" s="211"/>
      <c r="G19" s="211"/>
      <c r="H19" s="208"/>
    </row>
    <row r="20" spans="1:10">
      <c r="A20" s="209" t="s">
        <v>24967</v>
      </c>
      <c r="B20" s="210"/>
      <c r="C20" s="211"/>
      <c r="D20" s="210"/>
      <c r="E20" s="211"/>
      <c r="F20" s="211"/>
      <c r="G20" s="211"/>
      <c r="H20" s="208"/>
    </row>
    <row r="21" spans="1:10">
      <c r="A21" s="209" t="s">
        <v>24968</v>
      </c>
      <c r="B21" s="210"/>
      <c r="C21" s="211"/>
      <c r="D21" s="210"/>
      <c r="E21" s="211"/>
      <c r="F21" s="211"/>
      <c r="G21" s="211"/>
      <c r="H21" s="208"/>
    </row>
    <row r="22" spans="1:10">
      <c r="A22" s="209" t="s">
        <v>24971</v>
      </c>
      <c r="B22" s="210"/>
      <c r="C22" s="211"/>
      <c r="D22" s="210"/>
      <c r="E22" s="211"/>
      <c r="F22" s="211"/>
      <c r="G22" s="211"/>
      <c r="H22" s="208"/>
    </row>
    <row r="23" spans="1:10">
      <c r="A23" s="209" t="s">
        <v>24972</v>
      </c>
      <c r="B23" s="210"/>
      <c r="C23" s="211"/>
      <c r="D23" s="210"/>
      <c r="E23" s="211"/>
      <c r="F23" s="211"/>
      <c r="G23" s="211"/>
      <c r="H23" s="208"/>
    </row>
    <row r="24" spans="1:10">
      <c r="A24" s="212"/>
      <c r="B24" s="213"/>
      <c r="C24" s="213"/>
      <c r="D24" s="213"/>
      <c r="E24" s="213"/>
      <c r="F24" s="213"/>
      <c r="G24" s="213"/>
      <c r="H24" s="213"/>
    </row>
    <row r="26" spans="1:10">
      <c r="A26" s="25" t="s">
        <v>24948</v>
      </c>
      <c r="B26" s="25"/>
      <c r="C26" s="25"/>
      <c r="D26" s="25"/>
    </row>
    <row r="27" spans="1:10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</row>
    <row r="28" spans="1:10">
      <c r="A28" s="215" t="s">
        <v>24958</v>
      </c>
      <c r="B28" s="215" t="s">
        <v>24959</v>
      </c>
      <c r="C28" s="216">
        <f>SUM(B2:B19)</f>
        <v>160118.48000000001</v>
      </c>
      <c r="D28" s="216">
        <f>SUM(C2:C13)</f>
        <v>130335.40000000001</v>
      </c>
      <c r="E28" s="217">
        <f>SUM(C16:C17)</f>
        <v>0</v>
      </c>
      <c r="F28" s="216">
        <f>SUM(D2:D19)</f>
        <v>26449.539999999997</v>
      </c>
      <c r="G28" s="216">
        <f>SUM(E2:E19)</f>
        <v>5169.3599999999979</v>
      </c>
      <c r="H28" s="216">
        <f>SUM(F2:F19)</f>
        <v>59.760000000000019</v>
      </c>
      <c r="I28" s="216">
        <f>SUM(G2:G19)</f>
        <v>175.64000000000001</v>
      </c>
      <c r="J28" s="216" t="e">
        <f>SUM(H2:H19)</f>
        <v>#N/A</v>
      </c>
    </row>
    <row r="29" spans="1:10">
      <c r="A29" s="25"/>
      <c r="B29" s="218" t="s">
        <v>24960</v>
      </c>
      <c r="C29" s="219">
        <f>SUM(C28)</f>
        <v>160118.48000000001</v>
      </c>
      <c r="D29" s="219">
        <f>SUM(D28:D28)</f>
        <v>130335.40000000001</v>
      </c>
      <c r="E29" s="220">
        <f>SUM(E28)</f>
        <v>0</v>
      </c>
      <c r="F29" s="219">
        <f>SUM(F28:F28)</f>
        <v>26449.539999999997</v>
      </c>
      <c r="G29" s="219">
        <f>SUM(G28:G28)</f>
        <v>5169.3599999999979</v>
      </c>
      <c r="H29" s="219">
        <f>SUM(H28:H28)</f>
        <v>59.760000000000019</v>
      </c>
      <c r="I29" s="219">
        <f>SUM(I28:I28)</f>
        <v>175.64000000000001</v>
      </c>
      <c r="J29" s="219" t="e">
        <f>SUM(J28:J28)</f>
        <v>#N/A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Plan86"/>
  <dimension ref="A1:J29"/>
  <sheetViews>
    <sheetView topLeftCell="A4" workbookViewId="0">
      <selection activeCell="J29" sqref="J29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10" width="16" style="3" customWidth="1"/>
    <col min="11" max="16384" width="9.140625" style="3"/>
  </cols>
  <sheetData>
    <row r="1" spans="1:9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</row>
    <row r="2" spans="1:9">
      <c r="A2" s="205">
        <v>41275</v>
      </c>
      <c r="B2" s="206">
        <v>12750.64</v>
      </c>
      <c r="C2" s="207">
        <v>11505.66</v>
      </c>
      <c r="D2" s="206">
        <v>2373.48</v>
      </c>
      <c r="E2" s="207">
        <v>457.49</v>
      </c>
      <c r="F2" s="207">
        <v>4.9800000000000004</v>
      </c>
      <c r="G2" s="207">
        <v>0</v>
      </c>
      <c r="H2" s="208">
        <f t="shared" ref="H2:H12" si="0">267.83+3.75</f>
        <v>271.58</v>
      </c>
    </row>
    <row r="3" spans="1:9">
      <c r="A3" s="209">
        <v>41306</v>
      </c>
      <c r="B3" s="210">
        <v>13578.85</v>
      </c>
      <c r="C3" s="211">
        <v>12333.87</v>
      </c>
      <c r="D3" s="210">
        <v>2601.23</v>
      </c>
      <c r="E3" s="207">
        <v>457.49</v>
      </c>
      <c r="F3" s="211">
        <v>4.9800000000000004</v>
      </c>
      <c r="G3" s="211">
        <v>0</v>
      </c>
      <c r="H3" s="208">
        <f t="shared" si="0"/>
        <v>271.58</v>
      </c>
    </row>
    <row r="4" spans="1:9">
      <c r="A4" s="205">
        <v>41334</v>
      </c>
      <c r="B4" s="210">
        <v>13775.16</v>
      </c>
      <c r="C4" s="211">
        <v>12530.18</v>
      </c>
      <c r="D4" s="210">
        <v>2665.22</v>
      </c>
      <c r="E4" s="211">
        <v>457.49</v>
      </c>
      <c r="F4" s="211">
        <v>4.9800000000000004</v>
      </c>
      <c r="G4" s="211">
        <v>0</v>
      </c>
      <c r="H4" s="208">
        <f t="shared" si="0"/>
        <v>271.58</v>
      </c>
    </row>
    <row r="5" spans="1:9">
      <c r="A5" s="205">
        <v>41365</v>
      </c>
      <c r="B5" s="210">
        <v>14295.71</v>
      </c>
      <c r="C5" s="211">
        <v>13050.73</v>
      </c>
      <c r="D5" s="210">
        <v>2798.37</v>
      </c>
      <c r="E5" s="211">
        <v>457.49</v>
      </c>
      <c r="F5" s="211">
        <v>4.9800000000000004</v>
      </c>
      <c r="G5" s="211">
        <v>44.79</v>
      </c>
      <c r="H5" s="208">
        <f t="shared" si="0"/>
        <v>271.58</v>
      </c>
    </row>
    <row r="6" spans="1:9">
      <c r="A6" s="209">
        <v>41395</v>
      </c>
      <c r="B6" s="210">
        <v>12801.37</v>
      </c>
      <c r="C6" s="211">
        <v>11556.39</v>
      </c>
      <c r="D6" s="210">
        <v>2387.4299999999998</v>
      </c>
      <c r="E6" s="211">
        <v>457.49</v>
      </c>
      <c r="F6" s="211">
        <v>4.9800000000000004</v>
      </c>
      <c r="G6" s="211">
        <v>0</v>
      </c>
      <c r="H6" s="208">
        <f t="shared" si="0"/>
        <v>271.58</v>
      </c>
    </row>
    <row r="7" spans="1:9">
      <c r="A7" s="205">
        <v>41426</v>
      </c>
      <c r="B7" s="210">
        <v>25234.73</v>
      </c>
      <c r="C7" s="211">
        <v>8236.5300000000007</v>
      </c>
      <c r="D7" s="210">
        <v>1474.47</v>
      </c>
      <c r="E7" s="211">
        <v>457.49</v>
      </c>
      <c r="F7" s="211">
        <v>4.9800000000000004</v>
      </c>
      <c r="G7" s="211">
        <v>23.08</v>
      </c>
      <c r="H7" s="208">
        <f t="shared" si="0"/>
        <v>271.58</v>
      </c>
    </row>
    <row r="8" spans="1:9">
      <c r="A8" s="205">
        <v>41456</v>
      </c>
      <c r="B8" s="210">
        <v>13854.1</v>
      </c>
      <c r="C8" s="211">
        <v>12609.12</v>
      </c>
      <c r="D8" s="210">
        <v>2676.93</v>
      </c>
      <c r="E8" s="211">
        <v>457.49</v>
      </c>
      <c r="F8" s="211">
        <v>4.9800000000000004</v>
      </c>
      <c r="G8" s="211">
        <v>0</v>
      </c>
      <c r="H8" s="208">
        <f t="shared" si="0"/>
        <v>271.58</v>
      </c>
    </row>
    <row r="9" spans="1:9">
      <c r="A9" s="209">
        <v>41487</v>
      </c>
      <c r="B9" s="210">
        <v>12865.85</v>
      </c>
      <c r="C9" s="211">
        <v>11620.87</v>
      </c>
      <c r="D9" s="210">
        <v>2405.16</v>
      </c>
      <c r="E9" s="211">
        <v>457.49</v>
      </c>
      <c r="F9" s="211">
        <v>4.9800000000000004</v>
      </c>
      <c r="G9" s="211">
        <v>98.63</v>
      </c>
      <c r="H9" s="208">
        <f t="shared" si="0"/>
        <v>271.58</v>
      </c>
    </row>
    <row r="10" spans="1:9">
      <c r="A10" s="205">
        <v>41518</v>
      </c>
      <c r="B10" s="210">
        <v>6281</v>
      </c>
      <c r="C10" s="211">
        <v>5036.0200000000004</v>
      </c>
      <c r="D10" s="210">
        <v>594.33000000000004</v>
      </c>
      <c r="E10" s="211">
        <v>457.49</v>
      </c>
      <c r="F10" s="211">
        <v>4.9800000000000004</v>
      </c>
      <c r="G10" s="211">
        <v>0</v>
      </c>
      <c r="H10" s="208">
        <f t="shared" si="0"/>
        <v>271.58</v>
      </c>
    </row>
    <row r="11" spans="1:9">
      <c r="A11" s="205">
        <v>41548</v>
      </c>
      <c r="B11" s="210">
        <v>6281</v>
      </c>
      <c r="C11" s="211">
        <v>5036.0200000000004</v>
      </c>
      <c r="D11" s="210">
        <v>594.33000000000004</v>
      </c>
      <c r="E11" s="211">
        <v>457.49</v>
      </c>
      <c r="F11" s="211">
        <v>4.9800000000000004</v>
      </c>
      <c r="G11" s="211">
        <v>0</v>
      </c>
      <c r="H11" s="208">
        <f t="shared" si="0"/>
        <v>271.58</v>
      </c>
    </row>
    <row r="12" spans="1:9">
      <c r="A12" s="209">
        <v>41579</v>
      </c>
      <c r="B12" s="210">
        <v>6281</v>
      </c>
      <c r="C12" s="211">
        <v>5036.0200000000004</v>
      </c>
      <c r="D12" s="210">
        <v>594.33000000000004</v>
      </c>
      <c r="E12" s="211">
        <v>457.49</v>
      </c>
      <c r="F12" s="211">
        <v>4.9800000000000004</v>
      </c>
      <c r="G12" s="211">
        <v>112.39</v>
      </c>
      <c r="H12" s="208">
        <f t="shared" si="0"/>
        <v>271.58</v>
      </c>
      <c r="I12" s="3" t="s">
        <v>9088</v>
      </c>
    </row>
    <row r="13" spans="1:9">
      <c r="A13" s="205">
        <v>41609</v>
      </c>
      <c r="B13" s="210">
        <v>13557.96</v>
      </c>
      <c r="C13" s="211">
        <v>11548.56</v>
      </c>
      <c r="D13" s="210">
        <v>2385.27</v>
      </c>
      <c r="E13" s="211">
        <v>457.49</v>
      </c>
      <c r="F13" s="211">
        <v>4.9800000000000004</v>
      </c>
      <c r="G13" s="211">
        <v>17.57</v>
      </c>
      <c r="H13" s="208">
        <f>293.04+3.75</f>
        <v>296.79000000000002</v>
      </c>
    </row>
    <row r="14" spans="1:9">
      <c r="A14" s="209" t="s">
        <v>24969</v>
      </c>
      <c r="B14" s="210"/>
      <c r="C14" s="211"/>
      <c r="D14" s="210"/>
      <c r="E14" s="211"/>
      <c r="F14" s="211"/>
      <c r="G14" s="211"/>
      <c r="H14" s="208"/>
    </row>
    <row r="15" spans="1:9">
      <c r="A15" s="209" t="s">
        <v>24970</v>
      </c>
      <c r="B15" s="210"/>
      <c r="C15" s="211"/>
      <c r="D15" s="210"/>
      <c r="E15" s="211"/>
      <c r="F15" s="211"/>
      <c r="G15" s="211"/>
      <c r="H15" s="208"/>
    </row>
    <row r="16" spans="1:9">
      <c r="A16" s="209" t="s">
        <v>24963</v>
      </c>
      <c r="B16" s="210"/>
      <c r="C16" s="211"/>
      <c r="D16" s="210"/>
      <c r="E16" s="211"/>
      <c r="F16" s="211"/>
      <c r="G16" s="211"/>
      <c r="H16" s="208"/>
    </row>
    <row r="17" spans="1:10">
      <c r="A17" s="209" t="s">
        <v>24964</v>
      </c>
      <c r="B17" s="210"/>
      <c r="C17" s="211"/>
      <c r="D17" s="210"/>
      <c r="E17" s="211"/>
      <c r="F17" s="211"/>
      <c r="G17" s="211"/>
      <c r="H17" s="208"/>
    </row>
    <row r="18" spans="1:10">
      <c r="A18" s="209" t="s">
        <v>24946</v>
      </c>
      <c r="B18" s="210"/>
      <c r="C18" s="211"/>
      <c r="D18" s="210"/>
      <c r="E18" s="211"/>
      <c r="F18" s="211"/>
      <c r="G18" s="211"/>
      <c r="H18" s="208"/>
    </row>
    <row r="19" spans="1:10">
      <c r="A19" s="209" t="s">
        <v>24947</v>
      </c>
      <c r="B19" s="210"/>
      <c r="C19" s="211"/>
      <c r="D19" s="210"/>
      <c r="E19" s="211"/>
      <c r="F19" s="211"/>
      <c r="G19" s="211"/>
      <c r="H19" s="208"/>
    </row>
    <row r="20" spans="1:10">
      <c r="A20" s="209" t="s">
        <v>24967</v>
      </c>
      <c r="B20" s="210"/>
      <c r="C20" s="211"/>
      <c r="D20" s="210"/>
      <c r="E20" s="211"/>
      <c r="F20" s="211"/>
      <c r="G20" s="211"/>
      <c r="H20" s="208"/>
    </row>
    <row r="21" spans="1:10">
      <c r="A21" s="209" t="s">
        <v>24968</v>
      </c>
      <c r="B21" s="210"/>
      <c r="C21" s="211"/>
      <c r="D21" s="210"/>
      <c r="E21" s="211"/>
      <c r="F21" s="211"/>
      <c r="G21" s="211"/>
      <c r="H21" s="208"/>
    </row>
    <row r="22" spans="1:10">
      <c r="A22" s="209" t="s">
        <v>24971</v>
      </c>
      <c r="B22" s="210"/>
      <c r="C22" s="211"/>
      <c r="D22" s="210"/>
      <c r="E22" s="211"/>
      <c r="F22" s="211"/>
      <c r="G22" s="211"/>
      <c r="H22" s="208"/>
    </row>
    <row r="23" spans="1:10">
      <c r="A23" s="209" t="s">
        <v>24972</v>
      </c>
      <c r="B23" s="210"/>
      <c r="C23" s="211"/>
      <c r="D23" s="210"/>
      <c r="E23" s="211"/>
      <c r="F23" s="211"/>
      <c r="G23" s="211"/>
      <c r="H23" s="208"/>
    </row>
    <row r="24" spans="1:10">
      <c r="A24" s="212"/>
      <c r="B24" s="213"/>
      <c r="C24" s="213"/>
      <c r="D24" s="213"/>
      <c r="E24" s="213"/>
      <c r="F24" s="213"/>
      <c r="G24" s="213"/>
      <c r="H24" s="213"/>
    </row>
    <row r="26" spans="1:10">
      <c r="A26" s="25" t="s">
        <v>24948</v>
      </c>
      <c r="B26" s="25"/>
      <c r="C26" s="25"/>
      <c r="D26" s="25"/>
    </row>
    <row r="27" spans="1:10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</row>
    <row r="28" spans="1:10">
      <c r="A28" s="215" t="s">
        <v>24958</v>
      </c>
      <c r="B28" s="215" t="s">
        <v>24959</v>
      </c>
      <c r="C28" s="216">
        <f>SUM(B2:B19)</f>
        <v>151557.37</v>
      </c>
      <c r="D28" s="216">
        <f>SUM(C2:C13)</f>
        <v>120099.97</v>
      </c>
      <c r="E28" s="217">
        <f>SUM(C16:C17)</f>
        <v>0</v>
      </c>
      <c r="F28" s="216">
        <f>SUM(D2:D19)</f>
        <v>23550.550000000003</v>
      </c>
      <c r="G28" s="216">
        <f>SUM(E2:E19)</f>
        <v>5489.8799999999983</v>
      </c>
      <c r="H28" s="216">
        <f>SUM(F2:F19)</f>
        <v>59.760000000000019</v>
      </c>
      <c r="I28" s="216">
        <f>SUM(G2:G19)</f>
        <v>296.45999999999998</v>
      </c>
      <c r="J28" s="216">
        <f>SUM(H2:H19)</f>
        <v>3284.1699999999996</v>
      </c>
    </row>
    <row r="29" spans="1:10">
      <c r="A29" s="25"/>
      <c r="B29" s="218" t="s">
        <v>24960</v>
      </c>
      <c r="C29" s="219">
        <f>SUM(C28)</f>
        <v>151557.37</v>
      </c>
      <c r="D29" s="219">
        <f>SUM(D28:D28)</f>
        <v>120099.97</v>
      </c>
      <c r="E29" s="220">
        <f>SUM(E28)</f>
        <v>0</v>
      </c>
      <c r="F29" s="219">
        <f>SUM(F28:F28)</f>
        <v>23550.550000000003</v>
      </c>
      <c r="G29" s="219">
        <f>SUM(G28:G28)</f>
        <v>5489.8799999999983</v>
      </c>
      <c r="H29" s="219">
        <f>SUM(H28:H28)</f>
        <v>59.760000000000019</v>
      </c>
      <c r="I29" s="219">
        <f>SUM(I28:I28)</f>
        <v>296.45999999999998</v>
      </c>
      <c r="J29" s="219">
        <f>SUM(J28:J28)</f>
        <v>3284.1699999999996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Plan87"/>
  <dimension ref="A1:J30"/>
  <sheetViews>
    <sheetView topLeftCell="A5" workbookViewId="0">
      <selection activeCell="J30" sqref="J30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10" width="16" style="3" customWidth="1"/>
    <col min="11" max="16384" width="9.140625" style="3"/>
  </cols>
  <sheetData>
    <row r="1" spans="1:9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</row>
    <row r="2" spans="1:9">
      <c r="A2" s="205">
        <v>41640</v>
      </c>
      <c r="B2" s="206">
        <v>13521.56</v>
      </c>
      <c r="C2" s="207">
        <v>12202.72</v>
      </c>
      <c r="D2" s="206">
        <v>2529.6</v>
      </c>
      <c r="E2" s="207">
        <v>482.92</v>
      </c>
      <c r="F2" s="207">
        <v>4.9800000000000004</v>
      </c>
      <c r="G2" s="207">
        <v>68.209999999999994</v>
      </c>
      <c r="H2" s="208">
        <f>293.04+3.75</f>
        <v>296.79000000000002</v>
      </c>
    </row>
    <row r="3" spans="1:9">
      <c r="A3" s="209">
        <v>41671</v>
      </c>
      <c r="B3" s="210"/>
      <c r="C3" s="211"/>
      <c r="D3" s="210"/>
      <c r="E3" s="207"/>
      <c r="F3" s="211"/>
      <c r="G3" s="211"/>
      <c r="H3" s="208"/>
    </row>
    <row r="4" spans="1:9">
      <c r="A4" s="205">
        <v>41699</v>
      </c>
      <c r="B4" s="210"/>
      <c r="C4" s="211"/>
      <c r="D4" s="210"/>
      <c r="E4" s="211"/>
      <c r="F4" s="211"/>
      <c r="G4" s="211"/>
      <c r="H4" s="208"/>
    </row>
    <row r="5" spans="1:9">
      <c r="A5" s="205">
        <v>41730</v>
      </c>
      <c r="B5" s="210"/>
      <c r="C5" s="211"/>
      <c r="D5" s="210"/>
      <c r="E5" s="211"/>
      <c r="F5" s="211"/>
      <c r="G5" s="211"/>
      <c r="H5" s="208"/>
    </row>
    <row r="6" spans="1:9">
      <c r="A6" s="209">
        <v>41760</v>
      </c>
      <c r="B6" s="210"/>
      <c r="C6" s="211"/>
      <c r="D6" s="210"/>
      <c r="E6" s="211"/>
      <c r="F6" s="211"/>
      <c r="G6" s="211"/>
      <c r="H6" s="208"/>
    </row>
    <row r="7" spans="1:9">
      <c r="A7" s="205">
        <v>41791</v>
      </c>
      <c r="B7" s="210"/>
      <c r="C7" s="211"/>
      <c r="D7" s="210"/>
      <c r="E7" s="211"/>
      <c r="F7" s="211"/>
      <c r="G7" s="211"/>
      <c r="H7" s="208"/>
    </row>
    <row r="8" spans="1:9">
      <c r="A8" s="205">
        <v>41821</v>
      </c>
      <c r="B8" s="210"/>
      <c r="C8" s="211"/>
      <c r="D8" s="210"/>
      <c r="E8" s="211"/>
      <c r="F8" s="211"/>
      <c r="G8" s="211"/>
      <c r="H8" s="208"/>
    </row>
    <row r="9" spans="1:9">
      <c r="A9" s="209">
        <v>41852</v>
      </c>
      <c r="B9" s="210"/>
      <c r="C9" s="211"/>
      <c r="D9" s="210"/>
      <c r="E9" s="211"/>
      <c r="F9" s="211"/>
      <c r="G9" s="211"/>
      <c r="H9" s="208"/>
    </row>
    <row r="10" spans="1:9">
      <c r="A10" s="205">
        <v>41883</v>
      </c>
      <c r="B10" s="210"/>
      <c r="C10" s="211"/>
      <c r="D10" s="210"/>
      <c r="E10" s="211"/>
      <c r="F10" s="211"/>
      <c r="G10" s="211"/>
      <c r="H10" s="208"/>
    </row>
    <row r="11" spans="1:9">
      <c r="A11" s="205">
        <v>41913</v>
      </c>
      <c r="B11" s="210"/>
      <c r="C11" s="211"/>
      <c r="D11" s="210"/>
      <c r="E11" s="211"/>
      <c r="F11" s="211"/>
      <c r="G11" s="211"/>
      <c r="H11" s="208"/>
    </row>
    <row r="12" spans="1:9">
      <c r="A12" s="209">
        <v>41944</v>
      </c>
      <c r="B12" s="210"/>
      <c r="C12" s="211"/>
      <c r="D12" s="210"/>
      <c r="E12" s="211"/>
      <c r="F12" s="211"/>
      <c r="G12" s="211"/>
      <c r="H12" s="208"/>
      <c r="I12" s="3" t="s">
        <v>9088</v>
      </c>
    </row>
    <row r="13" spans="1:9">
      <c r="A13" s="205">
        <v>41974</v>
      </c>
      <c r="B13" s="210"/>
      <c r="C13" s="211"/>
      <c r="D13" s="210"/>
      <c r="E13" s="211"/>
      <c r="F13" s="211"/>
      <c r="G13" s="211"/>
      <c r="H13" s="208"/>
    </row>
    <row r="14" spans="1:9">
      <c r="A14" s="209" t="s">
        <v>24969</v>
      </c>
      <c r="B14" s="210"/>
      <c r="C14" s="211"/>
      <c r="D14" s="210"/>
      <c r="E14" s="211"/>
      <c r="F14" s="211"/>
      <c r="G14" s="211"/>
      <c r="H14" s="208"/>
    </row>
    <row r="15" spans="1:9">
      <c r="A15" s="209" t="s">
        <v>24970</v>
      </c>
      <c r="B15" s="210"/>
      <c r="C15" s="211"/>
      <c r="D15" s="210"/>
      <c r="E15" s="211"/>
      <c r="F15" s="211"/>
      <c r="G15" s="211"/>
      <c r="H15" s="208"/>
    </row>
    <row r="16" spans="1:9">
      <c r="A16" s="209" t="s">
        <v>24963</v>
      </c>
      <c r="B16" s="210"/>
      <c r="C16" s="211"/>
      <c r="D16" s="210"/>
      <c r="E16" s="211"/>
      <c r="F16" s="211"/>
      <c r="G16" s="211"/>
      <c r="H16" s="208"/>
    </row>
    <row r="17" spans="1:10">
      <c r="A17" s="209" t="s">
        <v>24964</v>
      </c>
      <c r="B17" s="210"/>
      <c r="C17" s="211"/>
      <c r="D17" s="210"/>
      <c r="E17" s="211"/>
      <c r="F17" s="211"/>
      <c r="G17" s="211"/>
      <c r="H17" s="208"/>
    </row>
    <row r="18" spans="1:10">
      <c r="A18" s="209" t="s">
        <v>24946</v>
      </c>
      <c r="B18" s="210"/>
      <c r="C18" s="211"/>
      <c r="D18" s="210"/>
      <c r="E18" s="211"/>
      <c r="F18" s="211"/>
      <c r="G18" s="211"/>
      <c r="H18" s="208"/>
    </row>
    <row r="19" spans="1:10">
      <c r="A19" s="209" t="s">
        <v>24947</v>
      </c>
      <c r="B19" s="210"/>
      <c r="C19" s="211"/>
      <c r="D19" s="210"/>
      <c r="E19" s="211"/>
      <c r="F19" s="211"/>
      <c r="G19" s="211"/>
      <c r="H19" s="208"/>
    </row>
    <row r="20" spans="1:10">
      <c r="A20" s="209" t="s">
        <v>24967</v>
      </c>
      <c r="B20" s="210"/>
      <c r="C20" s="211"/>
      <c r="D20" s="210"/>
      <c r="E20" s="211"/>
      <c r="F20" s="211"/>
      <c r="G20" s="211"/>
      <c r="H20" s="208"/>
    </row>
    <row r="21" spans="1:10">
      <c r="A21" s="209" t="s">
        <v>24968</v>
      </c>
      <c r="B21" s="210"/>
      <c r="C21" s="211"/>
      <c r="D21" s="210"/>
      <c r="E21" s="211"/>
      <c r="F21" s="211"/>
      <c r="G21" s="211"/>
      <c r="H21" s="208"/>
    </row>
    <row r="22" spans="1:10">
      <c r="A22" s="209" t="s">
        <v>24971</v>
      </c>
      <c r="B22" s="210"/>
      <c r="C22" s="211"/>
      <c r="D22" s="210"/>
      <c r="E22" s="211"/>
      <c r="F22" s="211"/>
      <c r="G22" s="211"/>
      <c r="H22" s="208"/>
    </row>
    <row r="23" spans="1:10">
      <c r="A23" s="209" t="s">
        <v>24972</v>
      </c>
      <c r="B23" s="210"/>
      <c r="C23" s="211"/>
      <c r="D23" s="210"/>
      <c r="E23" s="211"/>
      <c r="F23" s="211"/>
      <c r="G23" s="211"/>
      <c r="H23" s="208"/>
    </row>
    <row r="24" spans="1:10">
      <c r="A24" s="212"/>
      <c r="B24" s="213"/>
      <c r="C24" s="213"/>
      <c r="D24" s="213"/>
      <c r="E24" s="213"/>
      <c r="F24" s="213"/>
      <c r="G24" s="213"/>
      <c r="H24" s="213"/>
    </row>
    <row r="26" spans="1:10">
      <c r="A26" s="25" t="s">
        <v>24948</v>
      </c>
      <c r="B26" s="25"/>
      <c r="C26" s="25"/>
      <c r="D26" s="25"/>
    </row>
    <row r="27" spans="1:10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</row>
    <row r="28" spans="1:10">
      <c r="A28" s="215" t="s">
        <v>24958</v>
      </c>
      <c r="B28" s="215" t="s">
        <v>24959</v>
      </c>
      <c r="C28" s="216">
        <f>SUM(B2:B19)</f>
        <v>13521.56</v>
      </c>
      <c r="D28" s="216">
        <f>SUM(C2:C13)</f>
        <v>12202.72</v>
      </c>
      <c r="E28" s="217">
        <f>SUM(C16:C17)</f>
        <v>0</v>
      </c>
      <c r="F28" s="216">
        <f>SUM(D2:D19)</f>
        <v>2529.6</v>
      </c>
      <c r="G28" s="216">
        <f>SUM(E2:E19)</f>
        <v>482.92</v>
      </c>
      <c r="H28" s="216">
        <f>SUM(F2:F19)</f>
        <v>4.9800000000000004</v>
      </c>
      <c r="I28" s="216">
        <f>SUM(G2:G19)</f>
        <v>68.209999999999994</v>
      </c>
      <c r="J28" s="216">
        <f>SUM(H2:H19)</f>
        <v>296.79000000000002</v>
      </c>
    </row>
    <row r="29" spans="1:10">
      <c r="A29" s="215"/>
      <c r="B29" s="215"/>
      <c r="C29" s="216"/>
      <c r="D29" s="216"/>
      <c r="E29" s="217"/>
      <c r="F29" s="216"/>
      <c r="G29" s="216"/>
      <c r="H29" s="216"/>
      <c r="I29" s="216"/>
      <c r="J29" s="216"/>
    </row>
    <row r="30" spans="1:10">
      <c r="A30" s="25"/>
      <c r="B30" s="218" t="s">
        <v>24960</v>
      </c>
      <c r="C30" s="219">
        <f>SUM(C28)</f>
        <v>13521.56</v>
      </c>
      <c r="D30" s="219">
        <f>SUM(D28:D28)</f>
        <v>12202.72</v>
      </c>
      <c r="E30" s="220">
        <f>SUM(E28)</f>
        <v>0</v>
      </c>
      <c r="F30" s="219">
        <f>SUM(F28:F28)</f>
        <v>2529.6</v>
      </c>
      <c r="G30" s="219">
        <f>SUM(G28:G28)</f>
        <v>482.92</v>
      </c>
      <c r="H30" s="219">
        <f>SUM(H28:H28)</f>
        <v>4.9800000000000004</v>
      </c>
      <c r="I30" s="219">
        <f>SUM(I28:I28)</f>
        <v>68.209999999999994</v>
      </c>
      <c r="J30" s="219">
        <f>SUM(J28:J28)</f>
        <v>296.79000000000002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Plan88"/>
  <dimension ref="A1:L30"/>
  <sheetViews>
    <sheetView workbookViewId="0">
      <selection activeCell="I14" sqref="I14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8" width="16" style="3" customWidth="1"/>
    <col min="9" max="9" width="17.28515625" style="3" bestFit="1" customWidth="1"/>
    <col min="10" max="10" width="16" style="3" customWidth="1"/>
    <col min="11" max="12" width="17.28515625" style="3" bestFit="1" customWidth="1"/>
    <col min="13" max="16384" width="9.140625" style="3"/>
  </cols>
  <sheetData>
    <row r="1" spans="1:12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  <c r="I1" s="204" t="s">
        <v>24973</v>
      </c>
      <c r="J1" s="204" t="s">
        <v>24974</v>
      </c>
      <c r="K1" s="204" t="s">
        <v>24933</v>
      </c>
      <c r="L1" s="204" t="s">
        <v>24975</v>
      </c>
    </row>
    <row r="2" spans="1:12">
      <c r="A2" s="205">
        <v>42005</v>
      </c>
      <c r="B2" s="206"/>
      <c r="C2" s="207"/>
      <c r="D2" s="206"/>
      <c r="E2" s="207"/>
      <c r="F2" s="207"/>
      <c r="G2" s="207"/>
      <c r="H2" s="208"/>
      <c r="I2" s="208"/>
      <c r="J2" s="208"/>
      <c r="K2" s="208"/>
      <c r="L2" s="208"/>
    </row>
    <row r="3" spans="1:12">
      <c r="A3" s="209">
        <v>42036</v>
      </c>
      <c r="B3" s="210"/>
      <c r="C3" s="211"/>
      <c r="D3" s="210"/>
      <c r="E3" s="207"/>
      <c r="F3" s="211"/>
      <c r="G3" s="211"/>
      <c r="H3" s="208"/>
      <c r="I3" s="208"/>
      <c r="J3" s="208"/>
      <c r="K3" s="208"/>
      <c r="L3" s="208"/>
    </row>
    <row r="4" spans="1:12">
      <c r="A4" s="205">
        <v>42064</v>
      </c>
      <c r="B4" s="210">
        <v>7829.87</v>
      </c>
      <c r="C4" s="211">
        <v>7137.15</v>
      </c>
      <c r="D4" s="210">
        <v>1136.57</v>
      </c>
      <c r="E4" s="211">
        <v>513.01</v>
      </c>
      <c r="F4" s="211">
        <v>2.65</v>
      </c>
      <c r="G4" s="211">
        <v>44.42</v>
      </c>
      <c r="H4" s="208"/>
      <c r="I4" s="208">
        <v>2697.13</v>
      </c>
      <c r="J4" s="208">
        <v>3132</v>
      </c>
      <c r="K4" s="208">
        <f>I4+J4</f>
        <v>5829.13</v>
      </c>
      <c r="L4" s="208">
        <v>0.35</v>
      </c>
    </row>
    <row r="5" spans="1:12">
      <c r="A5" s="205">
        <v>42095</v>
      </c>
      <c r="B5" s="210">
        <v>8100</v>
      </c>
      <c r="C5" s="211">
        <v>7397.4</v>
      </c>
      <c r="D5" s="210">
        <v>1164.93</v>
      </c>
      <c r="E5" s="211">
        <v>513.01</v>
      </c>
      <c r="F5" s="211">
        <v>2.52</v>
      </c>
      <c r="G5" s="211">
        <v>44.42</v>
      </c>
      <c r="H5" s="208"/>
      <c r="I5" s="208">
        <v>3101.24</v>
      </c>
      <c r="J5" s="208">
        <v>3240</v>
      </c>
      <c r="K5" s="208">
        <f t="shared" ref="K5:K13" si="0">I5+J5</f>
        <v>6341.24</v>
      </c>
      <c r="L5" s="208">
        <v>0.35</v>
      </c>
    </row>
    <row r="6" spans="1:12">
      <c r="A6" s="209">
        <v>42125</v>
      </c>
      <c r="B6" s="210">
        <v>15010.17</v>
      </c>
      <c r="C6" s="211">
        <v>14307.57</v>
      </c>
      <c r="D6" s="210">
        <v>3065.22</v>
      </c>
      <c r="E6" s="211">
        <v>513.01</v>
      </c>
      <c r="F6" s="211">
        <v>2.52</v>
      </c>
      <c r="G6" s="211">
        <v>44.42</v>
      </c>
      <c r="H6" s="208"/>
      <c r="I6" s="208">
        <v>8111.12</v>
      </c>
      <c r="J6" s="208">
        <v>3240</v>
      </c>
      <c r="K6" s="208">
        <f t="shared" si="0"/>
        <v>11351.119999999999</v>
      </c>
      <c r="L6" s="208">
        <v>0.35</v>
      </c>
    </row>
    <row r="7" spans="1:12">
      <c r="A7" s="205">
        <v>42156</v>
      </c>
      <c r="B7" s="210">
        <v>8100</v>
      </c>
      <c r="C7" s="211">
        <v>7397.4</v>
      </c>
      <c r="D7" s="210">
        <v>1164.93</v>
      </c>
      <c r="E7" s="211">
        <v>513.01</v>
      </c>
      <c r="F7" s="211">
        <v>2.52</v>
      </c>
      <c r="G7" s="211">
        <v>44.42</v>
      </c>
      <c r="H7" s="208"/>
      <c r="I7" s="208">
        <v>3101.07</v>
      </c>
      <c r="J7" s="208">
        <v>3240</v>
      </c>
      <c r="K7" s="208">
        <f t="shared" si="0"/>
        <v>6341.07</v>
      </c>
      <c r="L7" s="208">
        <v>0.35</v>
      </c>
    </row>
    <row r="8" spans="1:12">
      <c r="A8" s="205">
        <v>42186</v>
      </c>
      <c r="B8" s="210">
        <v>21907.73</v>
      </c>
      <c r="C8" s="211">
        <v>21205.13</v>
      </c>
      <c r="D8" s="210">
        <v>4962.05</v>
      </c>
      <c r="E8" s="211">
        <v>513.01</v>
      </c>
      <c r="F8" s="211">
        <v>2.52</v>
      </c>
      <c r="G8" s="211">
        <v>44.42</v>
      </c>
      <c r="H8" s="208"/>
      <c r="I8" s="208">
        <v>13111.51</v>
      </c>
      <c r="J8" s="208">
        <v>3240</v>
      </c>
      <c r="K8" s="208">
        <f t="shared" si="0"/>
        <v>16351.51</v>
      </c>
      <c r="L8" s="208">
        <v>0.35</v>
      </c>
    </row>
    <row r="9" spans="1:12">
      <c r="A9" s="209">
        <v>42217</v>
      </c>
      <c r="B9" s="210">
        <v>15334.33</v>
      </c>
      <c r="C9" s="211">
        <v>14631.73</v>
      </c>
      <c r="D9" s="210">
        <v>3154.37</v>
      </c>
      <c r="E9" s="211">
        <v>513.01</v>
      </c>
      <c r="F9" s="211">
        <v>2.52</v>
      </c>
      <c r="G9" s="211">
        <v>44.42</v>
      </c>
      <c r="H9" s="208"/>
      <c r="I9" s="208">
        <v>8345.9599999999991</v>
      </c>
      <c r="J9" s="208">
        <v>3240</v>
      </c>
      <c r="K9" s="208">
        <f t="shared" si="0"/>
        <v>11585.96</v>
      </c>
      <c r="L9" s="208">
        <v>0.35</v>
      </c>
    </row>
    <row r="10" spans="1:12">
      <c r="A10" s="205">
        <v>42248</v>
      </c>
      <c r="B10" s="210">
        <v>14665.63</v>
      </c>
      <c r="C10" s="211">
        <v>13963.03</v>
      </c>
      <c r="D10" s="210">
        <v>2970.47</v>
      </c>
      <c r="E10" s="211">
        <v>513.01</v>
      </c>
      <c r="F10" s="211">
        <v>2.52</v>
      </c>
      <c r="G10" s="211">
        <v>44.42</v>
      </c>
      <c r="H10" s="208"/>
      <c r="I10" s="208">
        <v>7861.16</v>
      </c>
      <c r="J10" s="208">
        <v>3240</v>
      </c>
      <c r="K10" s="208">
        <f t="shared" si="0"/>
        <v>11101.16</v>
      </c>
      <c r="L10" s="208">
        <v>0.35</v>
      </c>
    </row>
    <row r="11" spans="1:12">
      <c r="A11" s="205">
        <v>42278</v>
      </c>
      <c r="B11" s="210">
        <v>14298.87</v>
      </c>
      <c r="C11" s="211">
        <v>13596.27</v>
      </c>
      <c r="D11" s="210">
        <v>2869.61</v>
      </c>
      <c r="E11" s="211">
        <v>513.01</v>
      </c>
      <c r="F11" s="211">
        <v>2.52</v>
      </c>
      <c r="G11" s="211">
        <v>44.42</v>
      </c>
      <c r="H11" s="208"/>
      <c r="I11" s="208">
        <v>7595.26</v>
      </c>
      <c r="J11" s="208">
        <v>3240</v>
      </c>
      <c r="K11" s="208">
        <f t="shared" si="0"/>
        <v>10835.26</v>
      </c>
      <c r="L11" s="208">
        <v>0.35</v>
      </c>
    </row>
    <row r="12" spans="1:12">
      <c r="A12" s="209">
        <v>42309</v>
      </c>
      <c r="B12" s="210">
        <v>15392.73</v>
      </c>
      <c r="C12" s="211">
        <v>14690.13</v>
      </c>
      <c r="D12" s="210">
        <v>3170.43</v>
      </c>
      <c r="E12" s="211">
        <v>513.01</v>
      </c>
      <c r="F12" s="211">
        <v>2.52</v>
      </c>
      <c r="G12" s="211">
        <v>44.42</v>
      </c>
      <c r="H12" s="208"/>
      <c r="I12" s="208">
        <v>8388.64</v>
      </c>
      <c r="J12" s="208">
        <v>3240</v>
      </c>
      <c r="K12" s="208">
        <f t="shared" si="0"/>
        <v>11628.64</v>
      </c>
      <c r="L12" s="208">
        <v>0.35</v>
      </c>
    </row>
    <row r="13" spans="1:12">
      <c r="A13" s="205">
        <v>42339</v>
      </c>
      <c r="B13" s="210">
        <v>15159.72</v>
      </c>
      <c r="C13" s="211">
        <v>13914.37</v>
      </c>
      <c r="D13" s="210">
        <v>2957.09</v>
      </c>
      <c r="E13" s="211">
        <v>513.01</v>
      </c>
      <c r="F13" s="211">
        <v>2.52</v>
      </c>
      <c r="G13" s="211">
        <v>44.42</v>
      </c>
      <c r="H13" s="208"/>
      <c r="I13" s="208">
        <v>8219.2000000000007</v>
      </c>
      <c r="J13" s="208">
        <v>3240</v>
      </c>
      <c r="K13" s="208">
        <f t="shared" si="0"/>
        <v>11459.2</v>
      </c>
      <c r="L13" s="208">
        <v>0.35</v>
      </c>
    </row>
    <row r="14" spans="1:12">
      <c r="A14" s="209" t="s">
        <v>24969</v>
      </c>
      <c r="B14" s="210"/>
      <c r="C14" s="211"/>
      <c r="D14" s="210"/>
      <c r="E14" s="211"/>
      <c r="F14" s="211"/>
      <c r="G14" s="211"/>
      <c r="H14" s="208"/>
      <c r="I14" s="208"/>
      <c r="J14" s="208"/>
      <c r="K14" s="208"/>
      <c r="L14" s="208"/>
    </row>
    <row r="15" spans="1:12">
      <c r="A15" s="209" t="s">
        <v>24970</v>
      </c>
      <c r="B15" s="210"/>
      <c r="C15" s="211"/>
      <c r="D15" s="210"/>
      <c r="E15" s="211"/>
      <c r="F15" s="211"/>
      <c r="G15" s="211"/>
      <c r="H15" s="208"/>
      <c r="I15" s="208"/>
      <c r="J15" s="208"/>
      <c r="K15" s="208"/>
      <c r="L15" s="208"/>
    </row>
    <row r="16" spans="1:12">
      <c r="A16" s="209" t="s">
        <v>24963</v>
      </c>
      <c r="B16" s="210"/>
      <c r="C16" s="211"/>
      <c r="D16" s="210"/>
      <c r="E16" s="211"/>
      <c r="F16" s="211"/>
      <c r="G16" s="211"/>
      <c r="H16" s="208"/>
      <c r="I16" s="208"/>
      <c r="J16" s="208"/>
      <c r="K16" s="208"/>
      <c r="L16" s="208"/>
    </row>
    <row r="17" spans="1:12">
      <c r="A17" s="209" t="s">
        <v>24964</v>
      </c>
      <c r="B17" s="210"/>
      <c r="C17" s="211"/>
      <c r="D17" s="210"/>
      <c r="E17" s="211"/>
      <c r="F17" s="211"/>
      <c r="G17" s="211"/>
      <c r="H17" s="208"/>
      <c r="I17" s="208"/>
      <c r="J17" s="208"/>
      <c r="K17" s="208"/>
      <c r="L17" s="208"/>
    </row>
    <row r="18" spans="1:12">
      <c r="A18" s="209" t="s">
        <v>24946</v>
      </c>
      <c r="B18" s="210"/>
      <c r="C18" s="211"/>
      <c r="D18" s="210"/>
      <c r="E18" s="211"/>
      <c r="F18" s="211"/>
      <c r="G18" s="211"/>
      <c r="H18" s="208"/>
      <c r="I18" s="208"/>
      <c r="J18" s="208"/>
      <c r="K18" s="208"/>
      <c r="L18" s="208"/>
    </row>
    <row r="19" spans="1:12">
      <c r="A19" s="209" t="s">
        <v>24947</v>
      </c>
      <c r="B19" s="210"/>
      <c r="C19" s="211"/>
      <c r="D19" s="210"/>
      <c r="E19" s="211"/>
      <c r="F19" s="211"/>
      <c r="G19" s="211"/>
      <c r="H19" s="208"/>
      <c r="I19" s="208"/>
      <c r="J19" s="208"/>
      <c r="K19" s="208"/>
      <c r="L19" s="208"/>
    </row>
    <row r="20" spans="1:12">
      <c r="A20" s="209" t="s">
        <v>24967</v>
      </c>
      <c r="B20" s="210"/>
      <c r="C20" s="211"/>
      <c r="D20" s="210"/>
      <c r="E20" s="211"/>
      <c r="F20" s="211"/>
      <c r="G20" s="211"/>
      <c r="H20" s="208"/>
      <c r="I20" s="208"/>
      <c r="J20" s="208"/>
      <c r="K20" s="208"/>
      <c r="L20" s="208"/>
    </row>
    <row r="21" spans="1:12">
      <c r="A21" s="209" t="s">
        <v>24968</v>
      </c>
      <c r="B21" s="210"/>
      <c r="C21" s="211"/>
      <c r="D21" s="210"/>
      <c r="E21" s="211"/>
      <c r="F21" s="211"/>
      <c r="G21" s="211"/>
      <c r="H21" s="208"/>
      <c r="I21" s="208"/>
      <c r="J21" s="208"/>
      <c r="K21" s="208"/>
      <c r="L21" s="208"/>
    </row>
    <row r="22" spans="1:12">
      <c r="A22" s="209" t="s">
        <v>24971</v>
      </c>
      <c r="B22" s="210"/>
      <c r="C22" s="211"/>
      <c r="D22" s="210"/>
      <c r="E22" s="211"/>
      <c r="F22" s="211"/>
      <c r="G22" s="211"/>
      <c r="H22" s="208"/>
      <c r="I22" s="208"/>
      <c r="J22" s="208"/>
      <c r="K22" s="208"/>
      <c r="L22" s="208"/>
    </row>
    <row r="23" spans="1:12">
      <c r="A23" s="209" t="s">
        <v>24972</v>
      </c>
      <c r="B23" s="210"/>
      <c r="C23" s="211"/>
      <c r="D23" s="210"/>
      <c r="E23" s="211"/>
      <c r="F23" s="211"/>
      <c r="G23" s="211"/>
      <c r="H23" s="208"/>
      <c r="I23" s="208"/>
      <c r="J23" s="208"/>
      <c r="K23" s="208"/>
      <c r="L23" s="208"/>
    </row>
    <row r="24" spans="1:12">
      <c r="A24" s="212"/>
      <c r="B24" s="213"/>
      <c r="C24" s="213"/>
      <c r="D24" s="213"/>
      <c r="E24" s="213"/>
      <c r="F24" s="213"/>
      <c r="G24" s="213"/>
      <c r="H24" s="213"/>
    </row>
    <row r="26" spans="1:12">
      <c r="A26" s="25" t="s">
        <v>24948</v>
      </c>
      <c r="B26" s="25"/>
      <c r="C26" s="25"/>
      <c r="D26" s="25"/>
    </row>
    <row r="27" spans="1:12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  <c r="K27" s="214" t="s">
        <v>24933</v>
      </c>
    </row>
    <row r="28" spans="1:12">
      <c r="A28" s="215" t="s">
        <v>24976</v>
      </c>
      <c r="B28" s="215" t="s">
        <v>24977</v>
      </c>
      <c r="C28" s="216">
        <f>SUM(B2:B19)</f>
        <v>135799.04999999999</v>
      </c>
      <c r="D28" s="216">
        <f>SUM(C2:C13)</f>
        <v>128240.18</v>
      </c>
      <c r="E28" s="217">
        <f>SUM(C16:C17)</f>
        <v>0</v>
      </c>
      <c r="F28" s="216">
        <f>SUM(D2:D19)</f>
        <v>26615.670000000002</v>
      </c>
      <c r="G28" s="216">
        <f>SUM(E2:E19)</f>
        <v>5130.1000000000013</v>
      </c>
      <c r="H28" s="216">
        <f>SUM(F2:F19)</f>
        <v>25.33</v>
      </c>
      <c r="I28" s="216">
        <f>SUM(G2:G19)</f>
        <v>444.2000000000001</v>
      </c>
      <c r="J28" s="216">
        <f>SUM(H2:H19)</f>
        <v>0</v>
      </c>
      <c r="K28" s="216">
        <f>SUM(K2:K14)</f>
        <v>102824.29</v>
      </c>
    </row>
    <row r="29" spans="1:12">
      <c r="A29" s="215"/>
      <c r="B29" s="215"/>
      <c r="C29" s="216"/>
      <c r="D29" s="216"/>
      <c r="E29" s="217"/>
      <c r="F29" s="216"/>
      <c r="G29" s="216"/>
      <c r="H29" s="216"/>
      <c r="I29" s="216"/>
      <c r="J29" s="216"/>
      <c r="K29" s="216"/>
    </row>
    <row r="30" spans="1:12">
      <c r="A30" s="25"/>
      <c r="B30" s="218" t="s">
        <v>24960</v>
      </c>
      <c r="C30" s="219">
        <f>SUM(C28)</f>
        <v>135799.04999999999</v>
      </c>
      <c r="D30" s="219">
        <f>SUM(D28:D28)</f>
        <v>128240.18</v>
      </c>
      <c r="E30" s="220">
        <f>SUM(E28)</f>
        <v>0</v>
      </c>
      <c r="F30" s="219">
        <f t="shared" ref="F30:K30" si="1">SUM(F28:F28)</f>
        <v>26615.670000000002</v>
      </c>
      <c r="G30" s="219">
        <f t="shared" si="1"/>
        <v>5130.1000000000013</v>
      </c>
      <c r="H30" s="219">
        <f t="shared" si="1"/>
        <v>25.33</v>
      </c>
      <c r="I30" s="219">
        <f t="shared" si="1"/>
        <v>444.2000000000001</v>
      </c>
      <c r="J30" s="219">
        <f t="shared" si="1"/>
        <v>0</v>
      </c>
      <c r="K30" s="219">
        <f t="shared" si="1"/>
        <v>102824.29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Plan89"/>
  <dimension ref="A1:L30"/>
  <sheetViews>
    <sheetView workbookViewId="0">
      <selection activeCell="I1" sqref="I1:K1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8" width="16" style="3" customWidth="1"/>
    <col min="9" max="9" width="17.28515625" style="3" bestFit="1" customWidth="1"/>
    <col min="10" max="10" width="16" style="3" customWidth="1"/>
    <col min="11" max="12" width="17.28515625" style="3" bestFit="1" customWidth="1"/>
    <col min="13" max="16384" width="9.140625" style="3"/>
  </cols>
  <sheetData>
    <row r="1" spans="1:12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  <c r="I1" s="204" t="s">
        <v>24973</v>
      </c>
      <c r="J1" s="204" t="s">
        <v>24974</v>
      </c>
      <c r="K1" s="204" t="s">
        <v>24933</v>
      </c>
      <c r="L1" s="204" t="s">
        <v>24975</v>
      </c>
    </row>
    <row r="2" spans="1:12">
      <c r="A2" s="205">
        <v>42370</v>
      </c>
      <c r="B2" s="206">
        <v>11208.3</v>
      </c>
      <c r="C2" s="207">
        <v>10447.83</v>
      </c>
      <c r="D2" s="206">
        <v>2003.79</v>
      </c>
      <c r="E2" s="211">
        <v>570.88</v>
      </c>
      <c r="F2" s="211">
        <v>2.52</v>
      </c>
      <c r="G2" s="211">
        <v>44.42</v>
      </c>
      <c r="H2" s="208"/>
      <c r="I2" s="208">
        <v>5312.81</v>
      </c>
      <c r="J2" s="208">
        <v>3240</v>
      </c>
      <c r="K2" s="208">
        <f>I2+J2</f>
        <v>8552.8100000000013</v>
      </c>
      <c r="L2" s="208">
        <v>0.38</v>
      </c>
    </row>
    <row r="3" spans="1:12">
      <c r="A3" s="209">
        <v>42401</v>
      </c>
      <c r="B3" s="210">
        <v>9467.0300000000007</v>
      </c>
      <c r="C3" s="211">
        <v>8706.56</v>
      </c>
      <c r="D3" s="210">
        <v>1524.94</v>
      </c>
      <c r="E3" s="211">
        <v>570.88</v>
      </c>
      <c r="F3" s="211">
        <v>2.52</v>
      </c>
      <c r="G3" s="211">
        <v>44.42</v>
      </c>
      <c r="H3" s="208"/>
      <c r="I3" s="208">
        <v>4054.96</v>
      </c>
      <c r="J3" s="208">
        <v>3240</v>
      </c>
      <c r="K3" s="208">
        <f t="shared" ref="K3:K13" si="0">I3+J3</f>
        <v>7294.96</v>
      </c>
      <c r="L3" s="208">
        <v>0.38</v>
      </c>
    </row>
    <row r="4" spans="1:12">
      <c r="A4" s="205">
        <v>42430</v>
      </c>
      <c r="B4" s="210">
        <v>22003.5</v>
      </c>
      <c r="C4" s="211">
        <v>21243.03</v>
      </c>
      <c r="D4" s="210">
        <v>4972.47</v>
      </c>
      <c r="E4" s="211">
        <v>570.88</v>
      </c>
      <c r="F4" s="211">
        <v>2.52</v>
      </c>
      <c r="G4" s="211">
        <v>44.42</v>
      </c>
      <c r="H4" s="208"/>
      <c r="I4" s="208">
        <v>12625.05</v>
      </c>
      <c r="J4" s="208">
        <v>3469.39</v>
      </c>
      <c r="K4" s="208">
        <f t="shared" si="0"/>
        <v>16094.439999999999</v>
      </c>
      <c r="L4" s="208">
        <v>0.38</v>
      </c>
    </row>
    <row r="5" spans="1:12">
      <c r="A5" s="209">
        <v>42461</v>
      </c>
      <c r="B5" s="210">
        <v>16670.45</v>
      </c>
      <c r="C5" s="211">
        <v>15909.98</v>
      </c>
      <c r="D5" s="210">
        <v>3505.88</v>
      </c>
      <c r="E5" s="211">
        <v>570.88</v>
      </c>
      <c r="F5" s="211">
        <v>2.33</v>
      </c>
      <c r="G5" s="211">
        <v>44.42</v>
      </c>
      <c r="H5" s="208">
        <v>260.2</v>
      </c>
      <c r="I5" s="208">
        <v>8850.3700000000008</v>
      </c>
      <c r="J5" s="208">
        <v>3469.39</v>
      </c>
      <c r="K5" s="208">
        <f t="shared" si="0"/>
        <v>12319.76</v>
      </c>
      <c r="L5" s="208">
        <v>0</v>
      </c>
    </row>
    <row r="6" spans="1:12">
      <c r="A6" s="205">
        <v>42491</v>
      </c>
      <c r="B6" s="210">
        <v>14587.33</v>
      </c>
      <c r="C6" s="211">
        <v>13113.38</v>
      </c>
      <c r="D6" s="210">
        <v>2736.81</v>
      </c>
      <c r="E6" s="211">
        <v>570.88</v>
      </c>
      <c r="F6" s="211">
        <v>2.33</v>
      </c>
      <c r="G6" s="211">
        <v>0</v>
      </c>
      <c r="H6" s="208">
        <v>260.2</v>
      </c>
      <c r="I6" s="208">
        <v>6821.84</v>
      </c>
      <c r="J6" s="208">
        <v>3469.39</v>
      </c>
      <c r="K6" s="208">
        <f t="shared" si="0"/>
        <v>10291.23</v>
      </c>
      <c r="L6" s="208">
        <v>0</v>
      </c>
    </row>
    <row r="7" spans="1:12">
      <c r="A7" s="209">
        <v>42522</v>
      </c>
      <c r="B7" s="210">
        <v>13068.51</v>
      </c>
      <c r="C7" s="211">
        <v>11594.56</v>
      </c>
      <c r="D7" s="210">
        <v>2319.14</v>
      </c>
      <c r="E7" s="211">
        <v>570.88</v>
      </c>
      <c r="F7" s="211">
        <v>2.33</v>
      </c>
      <c r="G7" s="211">
        <v>0</v>
      </c>
      <c r="H7" s="208">
        <v>260.2</v>
      </c>
      <c r="I7" s="208">
        <v>5720.69</v>
      </c>
      <c r="J7" s="208">
        <v>3469.39</v>
      </c>
      <c r="K7" s="208">
        <f t="shared" si="0"/>
        <v>9190.08</v>
      </c>
      <c r="L7" s="208">
        <v>0</v>
      </c>
    </row>
    <row r="8" spans="1:12">
      <c r="A8" s="205">
        <v>42552</v>
      </c>
      <c r="B8" s="210">
        <v>16966.05</v>
      </c>
      <c r="C8" s="211">
        <v>15492.1</v>
      </c>
      <c r="D8" s="210">
        <v>3390.96</v>
      </c>
      <c r="E8" s="211">
        <v>570.88</v>
      </c>
      <c r="F8" s="211">
        <v>2.33</v>
      </c>
      <c r="G8" s="211">
        <v>0</v>
      </c>
      <c r="H8" s="208">
        <v>260.2</v>
      </c>
      <c r="I8" s="208">
        <v>8546.41</v>
      </c>
      <c r="J8" s="208">
        <v>3469.39</v>
      </c>
      <c r="K8" s="208">
        <f t="shared" si="0"/>
        <v>12015.8</v>
      </c>
      <c r="L8" s="208">
        <v>0</v>
      </c>
    </row>
    <row r="9" spans="1:12">
      <c r="A9" s="209">
        <v>42583</v>
      </c>
      <c r="B9" s="210">
        <v>13636.61</v>
      </c>
      <c r="C9" s="211">
        <v>12162.66</v>
      </c>
      <c r="D9" s="210">
        <v>2475.37</v>
      </c>
      <c r="E9" s="211">
        <v>570.88</v>
      </c>
      <c r="F9" s="211">
        <v>2.33</v>
      </c>
      <c r="G9" s="211">
        <v>0</v>
      </c>
      <c r="H9" s="208">
        <v>260.2</v>
      </c>
      <c r="I9" s="208">
        <v>6111.35</v>
      </c>
      <c r="J9" s="208">
        <v>3469.39</v>
      </c>
      <c r="K9" s="208">
        <f t="shared" si="0"/>
        <v>9580.74</v>
      </c>
      <c r="L9" s="208">
        <v>0</v>
      </c>
    </row>
    <row r="10" spans="1:12">
      <c r="A10" s="205">
        <v>42614</v>
      </c>
      <c r="B10" s="210">
        <v>12403.06</v>
      </c>
      <c r="C10" s="211">
        <v>11642.59</v>
      </c>
      <c r="D10" s="210">
        <v>2332.35</v>
      </c>
      <c r="E10" s="211">
        <v>570.88</v>
      </c>
      <c r="F10" s="211">
        <v>2.33</v>
      </c>
      <c r="G10" s="211">
        <v>34.96</v>
      </c>
      <c r="H10" s="208">
        <v>260.2</v>
      </c>
      <c r="I10" s="208">
        <v>5720.55</v>
      </c>
      <c r="J10" s="208">
        <v>3469.39</v>
      </c>
      <c r="K10" s="208">
        <f t="shared" si="0"/>
        <v>9189.94</v>
      </c>
      <c r="L10" s="208">
        <v>0</v>
      </c>
    </row>
    <row r="11" spans="1:12">
      <c r="A11" s="209">
        <v>42644</v>
      </c>
      <c r="B11" s="210">
        <v>20979.61</v>
      </c>
      <c r="C11" s="211">
        <v>20219.14</v>
      </c>
      <c r="D11" s="210">
        <v>4690.8999999999996</v>
      </c>
      <c r="E11" s="211">
        <v>570.88</v>
      </c>
      <c r="F11" s="211">
        <v>2.33</v>
      </c>
      <c r="G11" s="211">
        <v>47</v>
      </c>
      <c r="H11" s="208">
        <v>260.2</v>
      </c>
      <c r="I11" s="208">
        <v>11926.51</v>
      </c>
      <c r="J11" s="208">
        <v>3469.39</v>
      </c>
      <c r="K11" s="208">
        <f t="shared" si="0"/>
        <v>15395.9</v>
      </c>
      <c r="L11" s="208">
        <v>0</v>
      </c>
    </row>
    <row r="12" spans="1:12">
      <c r="A12" s="205">
        <v>42675</v>
      </c>
      <c r="B12" s="210">
        <v>19825.66</v>
      </c>
      <c r="C12" s="211">
        <v>19065.189999999999</v>
      </c>
      <c r="D12" s="210">
        <v>4373.5600000000004</v>
      </c>
      <c r="E12" s="211">
        <v>570.88</v>
      </c>
      <c r="F12" s="211">
        <v>2.33</v>
      </c>
      <c r="G12" s="211">
        <v>15.6</v>
      </c>
      <c r="H12" s="208">
        <v>260.2</v>
      </c>
      <c r="I12" s="208">
        <v>11121.3</v>
      </c>
      <c r="J12" s="208">
        <v>3469.39</v>
      </c>
      <c r="K12" s="208">
        <f t="shared" si="0"/>
        <v>14590.689999999999</v>
      </c>
      <c r="L12" s="208">
        <v>0</v>
      </c>
    </row>
    <row r="13" spans="1:12">
      <c r="A13" s="209">
        <v>42705</v>
      </c>
      <c r="B13" s="210">
        <v>10874.56</v>
      </c>
      <c r="C13" s="210">
        <v>10874.56</v>
      </c>
      <c r="D13" s="211">
        <v>2069</v>
      </c>
      <c r="E13" s="211">
        <v>570.88</v>
      </c>
      <c r="F13" s="211">
        <v>2.33</v>
      </c>
      <c r="G13" s="211">
        <v>142.88999999999999</v>
      </c>
      <c r="H13" s="208">
        <f>264.6+4.39</f>
        <v>268.99</v>
      </c>
      <c r="I13" s="208">
        <v>7202.94</v>
      </c>
      <c r="J13" s="208">
        <v>3469.39</v>
      </c>
      <c r="K13" s="208">
        <f t="shared" si="0"/>
        <v>10672.33</v>
      </c>
      <c r="L13" s="208">
        <v>0</v>
      </c>
    </row>
    <row r="14" spans="1:12">
      <c r="A14" s="209" t="s">
        <v>24969</v>
      </c>
      <c r="B14" s="210"/>
      <c r="C14" s="211"/>
      <c r="D14" s="210"/>
      <c r="E14" s="211"/>
      <c r="F14" s="211"/>
      <c r="G14" s="211"/>
      <c r="H14" s="208"/>
      <c r="I14" s="208"/>
      <c r="J14" s="208"/>
      <c r="K14" s="208"/>
      <c r="L14" s="208"/>
    </row>
    <row r="15" spans="1:12">
      <c r="A15" s="209" t="s">
        <v>24970</v>
      </c>
      <c r="B15" s="210"/>
      <c r="C15" s="211"/>
      <c r="D15" s="210"/>
      <c r="E15" s="211"/>
      <c r="F15" s="211"/>
      <c r="G15" s="211"/>
      <c r="H15" s="208"/>
      <c r="I15" s="208"/>
      <c r="J15" s="208"/>
      <c r="K15" s="208"/>
      <c r="L15" s="208"/>
    </row>
    <row r="16" spans="1:12">
      <c r="A16" s="209" t="s">
        <v>24963</v>
      </c>
      <c r="B16" s="210"/>
      <c r="C16" s="211"/>
      <c r="D16" s="210"/>
      <c r="E16" s="211"/>
      <c r="F16" s="211"/>
      <c r="G16" s="211"/>
      <c r="H16" s="208"/>
      <c r="I16" s="208"/>
      <c r="J16" s="208"/>
      <c r="K16" s="208"/>
      <c r="L16" s="208"/>
    </row>
    <row r="17" spans="1:12">
      <c r="A17" s="209" t="s">
        <v>24964</v>
      </c>
      <c r="B17" s="210"/>
      <c r="C17" s="211"/>
      <c r="D17" s="210"/>
      <c r="E17" s="211"/>
      <c r="F17" s="211"/>
      <c r="G17" s="211"/>
      <c r="H17" s="208"/>
      <c r="I17" s="208"/>
      <c r="J17" s="208"/>
      <c r="K17" s="208"/>
      <c r="L17" s="208"/>
    </row>
    <row r="18" spans="1:12">
      <c r="A18" s="209" t="s">
        <v>24946</v>
      </c>
      <c r="B18" s="210">
        <f>5880.06+2777.8</f>
        <v>8657.86</v>
      </c>
      <c r="C18" s="211">
        <v>2096.0500000000002</v>
      </c>
      <c r="D18" s="210"/>
      <c r="E18" s="211"/>
      <c r="F18" s="211"/>
      <c r="G18" s="211"/>
      <c r="H18" s="208"/>
      <c r="I18" s="208"/>
      <c r="J18" s="208"/>
      <c r="K18" s="208"/>
      <c r="L18" s="208"/>
    </row>
    <row r="19" spans="1:12">
      <c r="A19" s="209" t="s">
        <v>24947</v>
      </c>
      <c r="B19" s="210">
        <f>1960.02+925.93</f>
        <v>2885.95</v>
      </c>
      <c r="C19" s="211"/>
      <c r="D19" s="210"/>
      <c r="E19" s="211"/>
      <c r="F19" s="211"/>
      <c r="G19" s="211"/>
      <c r="H19" s="208"/>
      <c r="I19" s="208"/>
      <c r="J19" s="208"/>
      <c r="K19" s="208"/>
      <c r="L19" s="208"/>
    </row>
    <row r="20" spans="1:12">
      <c r="A20" s="209" t="s">
        <v>24967</v>
      </c>
      <c r="B20" s="210"/>
      <c r="C20" s="211"/>
      <c r="D20" s="210"/>
      <c r="E20" s="211"/>
      <c r="F20" s="211"/>
      <c r="G20" s="211"/>
      <c r="H20" s="208"/>
      <c r="I20" s="208"/>
      <c r="J20" s="208"/>
      <c r="K20" s="208"/>
      <c r="L20" s="208"/>
    </row>
    <row r="21" spans="1:12">
      <c r="A21" s="209" t="s">
        <v>24968</v>
      </c>
      <c r="B21" s="210"/>
      <c r="C21" s="211"/>
      <c r="D21" s="210"/>
      <c r="E21" s="211"/>
      <c r="F21" s="211"/>
      <c r="G21" s="211"/>
      <c r="H21" s="208"/>
      <c r="I21" s="208"/>
      <c r="J21" s="208"/>
      <c r="K21" s="208"/>
      <c r="L21" s="208"/>
    </row>
    <row r="22" spans="1:12">
      <c r="A22" s="209" t="s">
        <v>24971</v>
      </c>
      <c r="B22" s="210"/>
      <c r="C22" s="211"/>
      <c r="D22" s="210"/>
      <c r="E22" s="211"/>
      <c r="F22" s="211"/>
      <c r="G22" s="211"/>
      <c r="H22" s="208"/>
      <c r="I22" s="208"/>
      <c r="J22" s="208"/>
      <c r="K22" s="208"/>
      <c r="L22" s="208"/>
    </row>
    <row r="23" spans="1:12">
      <c r="A23" s="209" t="s">
        <v>24972</v>
      </c>
      <c r="B23" s="210"/>
      <c r="C23" s="211"/>
      <c r="D23" s="210"/>
      <c r="E23" s="211"/>
      <c r="F23" s="211"/>
      <c r="G23" s="211"/>
      <c r="H23" s="208"/>
      <c r="I23" s="208"/>
      <c r="J23" s="208"/>
      <c r="K23" s="208"/>
      <c r="L23" s="208"/>
    </row>
    <row r="24" spans="1:12">
      <c r="A24" s="212"/>
      <c r="B24" s="213"/>
      <c r="C24" s="213"/>
      <c r="D24" s="213"/>
      <c r="E24" s="213"/>
      <c r="F24" s="213"/>
      <c r="G24" s="213"/>
      <c r="H24" s="213"/>
    </row>
    <row r="26" spans="1:12">
      <c r="A26" s="25" t="s">
        <v>24948</v>
      </c>
      <c r="B26" s="25"/>
      <c r="C26" s="25"/>
      <c r="D26" s="25"/>
    </row>
    <row r="27" spans="1:12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</row>
    <row r="28" spans="1:12">
      <c r="A28" s="215" t="s">
        <v>24976</v>
      </c>
      <c r="B28" s="215" t="s">
        <v>24977</v>
      </c>
      <c r="C28" s="216">
        <f>SUM(B2:B19)</f>
        <v>193234.48000000004</v>
      </c>
      <c r="D28" s="216">
        <f>SUM(C2:C13)</f>
        <v>170471.58000000002</v>
      </c>
      <c r="E28" s="217">
        <f>SUM(C16:C17)</f>
        <v>0</v>
      </c>
      <c r="F28" s="216">
        <f>SUM(D2:D19)</f>
        <v>36395.17</v>
      </c>
      <c r="G28" s="216">
        <f>SUM(E2:E19)</f>
        <v>6850.56</v>
      </c>
      <c r="H28" s="216">
        <f>SUM(F2:F19)</f>
        <v>28.529999999999994</v>
      </c>
      <c r="I28" s="216">
        <f>SUM(G2:G19)</f>
        <v>418.13</v>
      </c>
      <c r="J28" s="216">
        <f>SUM(H2:H19)</f>
        <v>2350.59</v>
      </c>
    </row>
    <row r="29" spans="1:12">
      <c r="A29" s="215"/>
      <c r="B29" s="215"/>
      <c r="C29" s="216"/>
      <c r="D29" s="216"/>
      <c r="E29" s="217"/>
      <c r="F29" s="216"/>
      <c r="G29" s="216"/>
      <c r="H29" s="216"/>
      <c r="I29" s="216"/>
      <c r="J29" s="216"/>
    </row>
    <row r="30" spans="1:12">
      <c r="A30" s="25"/>
      <c r="B30" s="218" t="s">
        <v>24960</v>
      </c>
      <c r="C30" s="219">
        <f>SUM(C28)</f>
        <v>193234.48000000004</v>
      </c>
      <c r="D30" s="219">
        <f>SUM(D28:D28)</f>
        <v>170471.58000000002</v>
      </c>
      <c r="E30" s="220">
        <f>SUM(E28)</f>
        <v>0</v>
      </c>
      <c r="F30" s="219">
        <f>SUM(F28:F28)</f>
        <v>36395.17</v>
      </c>
      <c r="G30" s="219">
        <f>SUM(G28:G28)</f>
        <v>6850.56</v>
      </c>
      <c r="H30" s="219">
        <f>SUM(H28:H28)</f>
        <v>28.529999999999994</v>
      </c>
      <c r="I30" s="219">
        <f>SUM(I28:I28)</f>
        <v>418.13</v>
      </c>
      <c r="J30" s="219">
        <f>SUM(J28:J28)</f>
        <v>2350.59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Plan29"/>
  <dimension ref="A1:L30"/>
  <sheetViews>
    <sheetView workbookViewId="0">
      <selection activeCell="I1" sqref="I1:K1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8" width="16" style="3" customWidth="1"/>
    <col min="9" max="9" width="17.28515625" style="3" bestFit="1" customWidth="1"/>
    <col min="10" max="10" width="16" style="3" customWidth="1"/>
    <col min="11" max="11" width="17.28515625" style="3" bestFit="1" customWidth="1"/>
    <col min="12" max="16384" width="9.140625" style="3"/>
  </cols>
  <sheetData>
    <row r="1" spans="1:12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  <c r="I1" s="204" t="s">
        <v>24973</v>
      </c>
      <c r="J1" s="204" t="s">
        <v>24974</v>
      </c>
      <c r="K1" s="204" t="s">
        <v>24933</v>
      </c>
      <c r="L1" s="204" t="s">
        <v>24975</v>
      </c>
    </row>
    <row r="2" spans="1:12">
      <c r="A2" s="205">
        <v>42736</v>
      </c>
      <c r="B2" s="206">
        <v>20137.419999999998</v>
      </c>
      <c r="C2" s="207">
        <v>13567.48</v>
      </c>
      <c r="D2" s="206">
        <v>2861.69</v>
      </c>
      <c r="E2" s="211">
        <v>608.44000000000005</v>
      </c>
      <c r="F2" s="211">
        <v>2.33</v>
      </c>
      <c r="G2" s="211">
        <v>82.74</v>
      </c>
      <c r="H2" s="208">
        <v>264.60000000000002</v>
      </c>
      <c r="I2" s="208">
        <v>6985.27</v>
      </c>
      <c r="J2" s="208">
        <v>3792.64</v>
      </c>
      <c r="K2" s="208">
        <f>I2+J2</f>
        <v>10777.91</v>
      </c>
      <c r="L2" s="208"/>
    </row>
    <row r="3" spans="1:12">
      <c r="A3" s="209">
        <v>42767</v>
      </c>
      <c r="B3" s="210">
        <v>13357.75</v>
      </c>
      <c r="C3" s="211">
        <v>12559.72</v>
      </c>
      <c r="D3" s="210">
        <v>2584.56</v>
      </c>
      <c r="E3" s="211">
        <v>608.44000000000005</v>
      </c>
      <c r="F3" s="211">
        <v>2.33</v>
      </c>
      <c r="G3" s="211">
        <v>0</v>
      </c>
      <c r="H3" s="208">
        <v>264.60000000000002</v>
      </c>
      <c r="I3" s="208">
        <v>6342.38</v>
      </c>
      <c r="J3" s="208">
        <v>3792.64</v>
      </c>
      <c r="K3" s="208">
        <f t="shared" ref="K3:K13" si="0">I3+J3</f>
        <v>10135.02</v>
      </c>
      <c r="L3" s="208"/>
    </row>
    <row r="4" spans="1:12">
      <c r="A4" s="205">
        <v>42795</v>
      </c>
      <c r="B4" s="210">
        <v>16984.919999999998</v>
      </c>
      <c r="C4" s="211">
        <v>15753.99</v>
      </c>
      <c r="D4" s="210">
        <v>3462.98</v>
      </c>
      <c r="E4" s="211">
        <v>608.44000000000005</v>
      </c>
      <c r="F4" s="211">
        <v>2.33</v>
      </c>
      <c r="G4" s="211">
        <v>27.04</v>
      </c>
      <c r="H4" s="208">
        <v>264.60000000000002</v>
      </c>
      <c r="I4" s="208">
        <v>8743.0400000000009</v>
      </c>
      <c r="J4" s="208">
        <v>3792.64</v>
      </c>
      <c r="K4" s="208">
        <f t="shared" si="0"/>
        <v>12535.68</v>
      </c>
      <c r="L4" s="208"/>
    </row>
    <row r="5" spans="1:12">
      <c r="A5" s="205">
        <v>42826</v>
      </c>
      <c r="B5" s="210">
        <v>21692.77</v>
      </c>
      <c r="C5" s="211">
        <v>20894.740000000002</v>
      </c>
      <c r="D5" s="210">
        <v>4876.6899999999996</v>
      </c>
      <c r="E5" s="211">
        <v>608.44000000000005</v>
      </c>
      <c r="F5" s="211">
        <v>2.33</v>
      </c>
      <c r="G5" s="211">
        <v>17.02</v>
      </c>
      <c r="H5" s="208">
        <v>264.60000000000002</v>
      </c>
      <c r="I5" s="208">
        <v>12078.81</v>
      </c>
      <c r="J5" s="208">
        <v>3792.64</v>
      </c>
      <c r="K5" s="208">
        <f t="shared" si="0"/>
        <v>15871.449999999999</v>
      </c>
      <c r="L5" s="208"/>
    </row>
    <row r="6" spans="1:12">
      <c r="A6" s="209">
        <v>42856</v>
      </c>
      <c r="B6" s="210">
        <v>23559.26</v>
      </c>
      <c r="C6" s="211">
        <v>22761.23</v>
      </c>
      <c r="D6" s="210">
        <v>5389.97</v>
      </c>
      <c r="E6" s="211">
        <v>608.44000000000005</v>
      </c>
      <c r="F6" s="211">
        <v>2.33</v>
      </c>
      <c r="G6" s="211">
        <v>96.68</v>
      </c>
      <c r="H6" s="208">
        <v>284.44</v>
      </c>
      <c r="I6" s="208">
        <v>13352.36</v>
      </c>
      <c r="J6" s="208">
        <v>3792.64</v>
      </c>
      <c r="K6" s="208">
        <f t="shared" si="0"/>
        <v>17145</v>
      </c>
      <c r="L6" s="208"/>
    </row>
    <row r="7" spans="1:12">
      <c r="A7" s="205">
        <v>42887</v>
      </c>
      <c r="B7" s="210">
        <v>9481.6</v>
      </c>
      <c r="C7" s="211">
        <v>8683.57</v>
      </c>
      <c r="D7" s="210">
        <v>1518.62</v>
      </c>
      <c r="E7" s="211">
        <v>608.44000000000005</v>
      </c>
      <c r="F7" s="211">
        <v>2.33</v>
      </c>
      <c r="G7" s="211">
        <v>26.58</v>
      </c>
      <c r="H7" s="208">
        <v>284.44</v>
      </c>
      <c r="I7" s="208">
        <v>3216.15</v>
      </c>
      <c r="J7" s="208">
        <v>3792.64</v>
      </c>
      <c r="K7" s="208">
        <f t="shared" si="0"/>
        <v>7008.79</v>
      </c>
      <c r="L7" s="208"/>
    </row>
    <row r="8" spans="1:12">
      <c r="A8" s="205">
        <v>42917</v>
      </c>
      <c r="B8" s="210">
        <v>15155.32</v>
      </c>
      <c r="C8" s="211">
        <v>14357.29</v>
      </c>
      <c r="D8" s="210">
        <v>3078.89</v>
      </c>
      <c r="E8" s="211">
        <v>608.44000000000005</v>
      </c>
      <c r="F8" s="211">
        <v>2.33</v>
      </c>
      <c r="G8" s="211">
        <v>62.85</v>
      </c>
      <c r="H8" s="208">
        <v>284.44</v>
      </c>
      <c r="I8" s="208">
        <v>7293.33</v>
      </c>
      <c r="J8" s="208">
        <v>3792.64</v>
      </c>
      <c r="K8" s="208">
        <f t="shared" si="0"/>
        <v>11085.97</v>
      </c>
      <c r="L8" s="208"/>
    </row>
    <row r="9" spans="1:12">
      <c r="A9" s="209">
        <v>42948</v>
      </c>
      <c r="B9" s="210">
        <v>20491.98</v>
      </c>
      <c r="C9" s="211">
        <v>19693.95</v>
      </c>
      <c r="D9" s="210">
        <v>4546.47</v>
      </c>
      <c r="E9" s="211">
        <v>608.44000000000005</v>
      </c>
      <c r="F9" s="211">
        <v>2.33</v>
      </c>
      <c r="G9" s="211">
        <v>62.85</v>
      </c>
      <c r="H9" s="208">
        <v>284.44</v>
      </c>
      <c r="I9" s="208">
        <v>11162.4</v>
      </c>
      <c r="J9" s="208">
        <v>3792.64</v>
      </c>
      <c r="K9" s="208">
        <f t="shared" si="0"/>
        <v>14955.039999999999</v>
      </c>
      <c r="L9" s="208"/>
    </row>
    <row r="10" spans="1:12">
      <c r="A10" s="205">
        <v>42979</v>
      </c>
      <c r="B10" s="210">
        <v>29029.4</v>
      </c>
      <c r="C10" s="211">
        <v>28168.52</v>
      </c>
      <c r="D10" s="210">
        <v>6876.98</v>
      </c>
      <c r="E10" s="211">
        <v>608.44000000000005</v>
      </c>
      <c r="F10" s="211">
        <v>2.33</v>
      </c>
      <c r="G10" s="211">
        <v>124.29</v>
      </c>
      <c r="H10" s="208">
        <v>284.44</v>
      </c>
      <c r="I10" s="208">
        <v>17307.88</v>
      </c>
      <c r="J10" s="208">
        <v>3792.64</v>
      </c>
      <c r="K10" s="208">
        <f t="shared" si="0"/>
        <v>21100.52</v>
      </c>
      <c r="L10" s="208"/>
    </row>
    <row r="11" spans="1:12">
      <c r="A11" s="205">
        <v>43009</v>
      </c>
      <c r="B11" s="210">
        <v>20551.32</v>
      </c>
      <c r="C11" s="211">
        <v>19753.29</v>
      </c>
      <c r="D11" s="210">
        <v>4652.79</v>
      </c>
      <c r="E11" s="211">
        <v>608.44000000000005</v>
      </c>
      <c r="F11" s="211">
        <v>2.33</v>
      </c>
      <c r="G11" s="211">
        <v>26.58</v>
      </c>
      <c r="H11" s="208">
        <v>284.44</v>
      </c>
      <c r="I11" s="208">
        <v>11241.7</v>
      </c>
      <c r="J11" s="208">
        <v>3792.64</v>
      </c>
      <c r="K11" s="208">
        <f t="shared" si="0"/>
        <v>15034.34</v>
      </c>
      <c r="L11" s="208"/>
    </row>
    <row r="12" spans="1:12">
      <c r="A12" s="209">
        <v>43040</v>
      </c>
      <c r="B12" s="210">
        <v>21235.54</v>
      </c>
      <c r="C12" s="211">
        <v>20437.509999999998</v>
      </c>
      <c r="D12" s="210">
        <v>4750.95</v>
      </c>
      <c r="E12" s="211">
        <v>608.44000000000005</v>
      </c>
      <c r="F12" s="211">
        <v>2.33</v>
      </c>
      <c r="G12" s="211">
        <v>33</v>
      </c>
      <c r="H12" s="208">
        <v>284.44</v>
      </c>
      <c r="I12" s="208">
        <v>11731.78</v>
      </c>
      <c r="J12" s="208">
        <v>3792.64</v>
      </c>
      <c r="K12" s="208">
        <f t="shared" si="0"/>
        <v>15524.42</v>
      </c>
      <c r="L12" s="208"/>
    </row>
    <row r="13" spans="1:12">
      <c r="A13" s="205">
        <v>43070</v>
      </c>
      <c r="B13" s="210">
        <v>26063.25</v>
      </c>
      <c r="C13" s="211">
        <v>41998.68</v>
      </c>
      <c r="D13" s="210">
        <v>1846.99</v>
      </c>
      <c r="E13" s="211">
        <v>608.44000000000005</v>
      </c>
      <c r="F13" s="211">
        <v>2.33</v>
      </c>
      <c r="G13" s="211">
        <v>88</v>
      </c>
      <c r="H13" s="208">
        <v>284.44</v>
      </c>
      <c r="I13" s="208">
        <v>6549.25</v>
      </c>
      <c r="J13" s="208">
        <v>3792.64</v>
      </c>
      <c r="K13" s="208">
        <f t="shared" si="0"/>
        <v>10341.89</v>
      </c>
      <c r="L13" s="208"/>
    </row>
    <row r="14" spans="1:12">
      <c r="A14" s="209" t="s">
        <v>24969</v>
      </c>
      <c r="B14" s="210"/>
      <c r="C14" s="211"/>
      <c r="D14" s="210"/>
      <c r="E14" s="211"/>
      <c r="F14" s="211"/>
      <c r="G14" s="211"/>
      <c r="H14" s="208"/>
      <c r="I14" s="208"/>
      <c r="J14" s="208"/>
      <c r="K14" s="208"/>
      <c r="L14" s="208"/>
    </row>
    <row r="15" spans="1:12">
      <c r="A15" s="209" t="s">
        <v>24970</v>
      </c>
      <c r="B15" s="210"/>
      <c r="C15" s="211"/>
      <c r="D15" s="210"/>
      <c r="E15" s="211"/>
      <c r="F15" s="211"/>
      <c r="G15" s="211"/>
      <c r="H15" s="208"/>
      <c r="I15" s="208"/>
      <c r="J15" s="208"/>
      <c r="K15" s="208"/>
      <c r="L15" s="208"/>
    </row>
    <row r="16" spans="1:12">
      <c r="A16" s="209" t="s">
        <v>24963</v>
      </c>
      <c r="B16" s="210"/>
      <c r="C16" s="211"/>
      <c r="D16" s="210"/>
      <c r="E16" s="211"/>
      <c r="F16" s="211"/>
      <c r="G16" s="211"/>
      <c r="H16" s="208"/>
      <c r="I16" s="208"/>
      <c r="J16" s="208"/>
      <c r="K16" s="208"/>
      <c r="L16" s="208"/>
    </row>
    <row r="17" spans="1:12">
      <c r="A17" s="209" t="s">
        <v>24964</v>
      </c>
      <c r="B17" s="210"/>
      <c r="C17" s="211"/>
      <c r="D17" s="210"/>
      <c r="E17" s="211"/>
      <c r="F17" s="211"/>
      <c r="G17" s="211"/>
      <c r="H17" s="208"/>
      <c r="I17" s="208"/>
      <c r="J17" s="208"/>
      <c r="K17" s="208"/>
      <c r="L17" s="208"/>
    </row>
    <row r="18" spans="1:12">
      <c r="A18" s="209" t="s">
        <v>24946</v>
      </c>
      <c r="B18" s="210">
        <v>6321.07</v>
      </c>
      <c r="C18" s="211"/>
      <c r="D18" s="210">
        <v>3100.51</v>
      </c>
      <c r="E18" s="211"/>
      <c r="F18" s="211"/>
      <c r="G18" s="211"/>
      <c r="H18" s="208"/>
      <c r="I18" s="208"/>
      <c r="J18" s="208"/>
      <c r="K18" s="208"/>
      <c r="L18" s="208"/>
    </row>
    <row r="19" spans="1:12">
      <c r="A19" s="209" t="s">
        <v>24947</v>
      </c>
      <c r="B19" s="210">
        <v>2107.02</v>
      </c>
      <c r="C19" s="211"/>
      <c r="D19" s="210">
        <v>1846.99</v>
      </c>
      <c r="E19" s="211"/>
      <c r="F19" s="211"/>
      <c r="G19" s="211"/>
      <c r="H19" s="208"/>
      <c r="I19" s="208"/>
      <c r="J19" s="208"/>
      <c r="K19" s="208"/>
      <c r="L19" s="208"/>
    </row>
    <row r="20" spans="1:12">
      <c r="A20" s="209" t="s">
        <v>24967</v>
      </c>
      <c r="B20" s="210">
        <v>316.05</v>
      </c>
      <c r="C20" s="211"/>
      <c r="D20" s="210"/>
      <c r="E20" s="211"/>
      <c r="F20" s="211"/>
      <c r="G20" s="211"/>
      <c r="H20" s="208"/>
      <c r="I20" s="208"/>
      <c r="J20" s="208"/>
      <c r="K20" s="208"/>
      <c r="L20" s="208"/>
    </row>
    <row r="21" spans="1:12">
      <c r="A21" s="209" t="s">
        <v>24968</v>
      </c>
      <c r="B21" s="210">
        <v>105.35</v>
      </c>
      <c r="C21" s="211"/>
      <c r="D21" s="210"/>
      <c r="E21" s="211"/>
      <c r="F21" s="211"/>
      <c r="G21" s="211"/>
      <c r="H21" s="208"/>
      <c r="I21" s="208"/>
      <c r="J21" s="208"/>
      <c r="K21" s="208"/>
      <c r="L21" s="208"/>
    </row>
    <row r="22" spans="1:12">
      <c r="A22" s="209" t="s">
        <v>24971</v>
      </c>
      <c r="B22" s="210"/>
      <c r="C22" s="211"/>
      <c r="D22" s="210"/>
      <c r="E22" s="211"/>
      <c r="F22" s="211"/>
      <c r="G22" s="211"/>
      <c r="H22" s="208"/>
      <c r="I22" s="208"/>
      <c r="J22" s="208"/>
      <c r="K22" s="208"/>
      <c r="L22" s="208"/>
    </row>
    <row r="23" spans="1:12">
      <c r="A23" s="209" t="s">
        <v>24972</v>
      </c>
      <c r="B23" s="210"/>
      <c r="C23" s="211"/>
      <c r="D23" s="210"/>
      <c r="E23" s="211"/>
      <c r="F23" s="211"/>
      <c r="G23" s="211"/>
      <c r="H23" s="208"/>
      <c r="I23" s="208"/>
      <c r="J23" s="208"/>
      <c r="K23" s="208"/>
      <c r="L23" s="208"/>
    </row>
    <row r="24" spans="1:12">
      <c r="A24" s="212"/>
      <c r="B24" s="213"/>
      <c r="C24" s="213"/>
      <c r="D24" s="213"/>
      <c r="E24" s="213"/>
      <c r="F24" s="213"/>
      <c r="G24" s="213"/>
      <c r="H24" s="213"/>
    </row>
    <row r="26" spans="1:12">
      <c r="A26" s="25" t="s">
        <v>24948</v>
      </c>
      <c r="B26" s="25"/>
      <c r="C26" s="25"/>
      <c r="D26" s="25"/>
    </row>
    <row r="27" spans="1:12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  <c r="K27" s="214" t="s">
        <v>24978</v>
      </c>
    </row>
    <row r="28" spans="1:12">
      <c r="A28" s="215" t="s">
        <v>24976</v>
      </c>
      <c r="B28" s="215" t="s">
        <v>24977</v>
      </c>
      <c r="C28" s="216">
        <f>SUM(B2:B19)</f>
        <v>246168.62000000002</v>
      </c>
      <c r="D28" s="216">
        <f>SUM(C2:C13)</f>
        <v>238629.97</v>
      </c>
      <c r="E28" s="217">
        <f>SUM(C16:C17)</f>
        <v>0</v>
      </c>
      <c r="F28" s="216">
        <f>SUM(D2:D19)</f>
        <v>51395.079999999994</v>
      </c>
      <c r="G28" s="216">
        <f>SUM(E2:E19)</f>
        <v>7301.2800000000025</v>
      </c>
      <c r="H28" s="216">
        <f>SUM(F2:F19)</f>
        <v>27.959999999999994</v>
      </c>
      <c r="I28" s="216">
        <f>SUM(G2:G19)</f>
        <v>647.63000000000011</v>
      </c>
      <c r="J28" s="216">
        <f>SUM(H2:H19)</f>
        <v>3333.9200000000005</v>
      </c>
      <c r="K28" s="675">
        <f>SUM(I2:I23)</f>
        <v>116004.35</v>
      </c>
    </row>
    <row r="29" spans="1:12">
      <c r="A29" s="215"/>
      <c r="B29" s="215"/>
      <c r="C29" s="216"/>
      <c r="D29" s="216"/>
      <c r="E29" s="217"/>
      <c r="F29" s="216"/>
      <c r="G29" s="216"/>
      <c r="H29" s="216"/>
      <c r="I29" s="216"/>
      <c r="J29" s="216"/>
    </row>
    <row r="30" spans="1:12">
      <c r="A30" s="25"/>
      <c r="B30" s="218" t="s">
        <v>24960</v>
      </c>
      <c r="C30" s="219">
        <f>SUM(C28)</f>
        <v>246168.62000000002</v>
      </c>
      <c r="D30" s="219">
        <f>SUM(D28:D28)</f>
        <v>238629.97</v>
      </c>
      <c r="E30" s="220">
        <f>SUM(E28)</f>
        <v>0</v>
      </c>
      <c r="F30" s="219">
        <f>SUM(F28:F28)</f>
        <v>51395.079999999994</v>
      </c>
      <c r="G30" s="219">
        <f>SUM(G28:G28)</f>
        <v>7301.2800000000025</v>
      </c>
      <c r="H30" s="219">
        <f>SUM(H28:H28)</f>
        <v>27.959999999999994</v>
      </c>
      <c r="I30" s="219">
        <f>SUM(I28:I28)</f>
        <v>647.63000000000011</v>
      </c>
      <c r="J30" s="219">
        <f>SUM(J28:J28)</f>
        <v>3333.9200000000005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Planilha23"/>
  <dimension ref="A1:L30"/>
  <sheetViews>
    <sheetView workbookViewId="0">
      <selection activeCell="I2" sqref="I2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8" width="16" style="3" customWidth="1"/>
    <col min="9" max="9" width="17.28515625" style="3" bestFit="1" customWidth="1"/>
    <col min="10" max="10" width="16" style="3" customWidth="1"/>
    <col min="11" max="11" width="16" style="3" bestFit="1" customWidth="1"/>
    <col min="12" max="12" width="17.28515625" style="3" bestFit="1" customWidth="1"/>
    <col min="13" max="16384" width="9.140625" style="3"/>
  </cols>
  <sheetData>
    <row r="1" spans="1:12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  <c r="I1" s="204" t="s">
        <v>24978</v>
      </c>
      <c r="J1" s="204" t="s">
        <v>24974</v>
      </c>
      <c r="K1" s="204" t="s">
        <v>24933</v>
      </c>
      <c r="L1" s="204" t="s">
        <v>24975</v>
      </c>
    </row>
    <row r="2" spans="1:12">
      <c r="A2" s="205">
        <v>43101</v>
      </c>
      <c r="B2" s="206">
        <v>21674.83</v>
      </c>
      <c r="C2" s="207">
        <v>14008.94</v>
      </c>
      <c r="D2" s="206">
        <v>2983.9</v>
      </c>
      <c r="E2" s="211">
        <v>621.03</v>
      </c>
      <c r="F2" s="211">
        <v>2.33</v>
      </c>
      <c r="G2" s="211">
        <v>32</v>
      </c>
      <c r="H2" s="208">
        <v>284.45</v>
      </c>
      <c r="I2" s="208">
        <v>7091.62</v>
      </c>
      <c r="J2" s="208">
        <v>3871.15</v>
      </c>
      <c r="K2" s="208">
        <f>I2+J2</f>
        <v>10962.77</v>
      </c>
      <c r="L2" s="208"/>
    </row>
    <row r="3" spans="1:12">
      <c r="A3" s="209">
        <v>43132</v>
      </c>
      <c r="B3" s="210">
        <v>13786.22</v>
      </c>
      <c r="C3" s="211">
        <v>12975.6</v>
      </c>
      <c r="D3" s="210">
        <v>2698.93</v>
      </c>
      <c r="E3" s="211">
        <v>621.03</v>
      </c>
      <c r="F3" s="211">
        <v>2.33</v>
      </c>
      <c r="G3" s="211">
        <v>13.29</v>
      </c>
      <c r="H3" s="208">
        <v>284.44</v>
      </c>
      <c r="I3" s="208">
        <v>6321.15</v>
      </c>
      <c r="J3" s="208">
        <v>3871.15</v>
      </c>
      <c r="K3" s="208">
        <f t="shared" ref="K3:K13" si="0">I3+J3</f>
        <v>10192.299999999999</v>
      </c>
      <c r="L3" s="208"/>
    </row>
    <row r="4" spans="1:12">
      <c r="A4" s="205">
        <v>43160</v>
      </c>
      <c r="B4" s="210">
        <v>9481.6</v>
      </c>
      <c r="C4" s="211">
        <v>8670.98</v>
      </c>
      <c r="D4" s="210">
        <v>1515.15</v>
      </c>
      <c r="E4" s="211">
        <v>621.03</v>
      </c>
      <c r="F4" s="211">
        <v>2.33</v>
      </c>
      <c r="G4" s="211">
        <v>0</v>
      </c>
      <c r="H4" s="208">
        <v>284.44</v>
      </c>
      <c r="I4" s="208">
        <v>2917.56</v>
      </c>
      <c r="J4" s="208">
        <v>3871.15</v>
      </c>
      <c r="K4" s="208">
        <f t="shared" si="0"/>
        <v>6788.71</v>
      </c>
      <c r="L4" s="208"/>
    </row>
    <row r="5" spans="1:12">
      <c r="A5" s="209">
        <v>43191</v>
      </c>
      <c r="B5" s="210">
        <v>20979.94</v>
      </c>
      <c r="C5" s="211">
        <v>20169.32</v>
      </c>
      <c r="D5" s="210">
        <v>4677.2</v>
      </c>
      <c r="E5" s="211">
        <v>621.03</v>
      </c>
      <c r="F5" s="211">
        <v>2.33</v>
      </c>
      <c r="G5" s="211">
        <v>0</v>
      </c>
      <c r="H5" s="208">
        <v>284.44</v>
      </c>
      <c r="I5" s="208">
        <v>11569.9</v>
      </c>
      <c r="J5" s="208">
        <v>3871.15</v>
      </c>
      <c r="K5" s="208">
        <f t="shared" si="0"/>
        <v>15441.05</v>
      </c>
      <c r="L5" s="208"/>
    </row>
    <row r="6" spans="1:12">
      <c r="A6" s="205">
        <v>43221</v>
      </c>
      <c r="B6" s="210">
        <v>21525.01</v>
      </c>
      <c r="C6" s="211">
        <v>20573.98</v>
      </c>
      <c r="D6" s="210">
        <v>4788.4799999999996</v>
      </c>
      <c r="E6" s="211">
        <v>621.03</v>
      </c>
      <c r="F6" s="211">
        <v>2.33</v>
      </c>
      <c r="G6" s="211">
        <v>118.23</v>
      </c>
      <c r="H6" s="208">
        <v>284.44</v>
      </c>
      <c r="I6" s="208">
        <v>11806.95</v>
      </c>
      <c r="J6" s="208">
        <v>3871.15</v>
      </c>
      <c r="K6" s="208">
        <f t="shared" si="0"/>
        <v>15678.1</v>
      </c>
      <c r="L6" s="208"/>
    </row>
    <row r="7" spans="1:12">
      <c r="A7" s="209">
        <v>43252</v>
      </c>
      <c r="B7" s="210">
        <v>17091.95</v>
      </c>
      <c r="C7" s="211">
        <v>16281.33</v>
      </c>
      <c r="D7" s="210">
        <v>3608</v>
      </c>
      <c r="E7" s="211">
        <v>621.03</v>
      </c>
      <c r="F7" s="211">
        <v>2.33</v>
      </c>
      <c r="G7" s="211">
        <v>19.98</v>
      </c>
      <c r="H7" s="208">
        <v>290.33</v>
      </c>
      <c r="I7" s="208">
        <v>8646.73</v>
      </c>
      <c r="J7" s="208">
        <v>3871.15</v>
      </c>
      <c r="K7" s="208">
        <f t="shared" si="0"/>
        <v>12517.88</v>
      </c>
      <c r="L7" s="208"/>
    </row>
    <row r="8" spans="1:12">
      <c r="A8" s="205">
        <v>43282</v>
      </c>
      <c r="B8" s="210">
        <v>19678.84</v>
      </c>
      <c r="C8" s="211">
        <v>18868.22</v>
      </c>
      <c r="D8" s="210">
        <v>4319.3999999999996</v>
      </c>
      <c r="E8" s="211">
        <v>621.03</v>
      </c>
      <c r="F8" s="211">
        <v>2.33</v>
      </c>
      <c r="G8" s="211">
        <v>18</v>
      </c>
      <c r="H8" s="208">
        <v>290.33</v>
      </c>
      <c r="I8" s="208">
        <v>10524.2</v>
      </c>
      <c r="J8" s="208">
        <v>3871.15</v>
      </c>
      <c r="K8" s="208">
        <f t="shared" si="0"/>
        <v>14395.35</v>
      </c>
      <c r="L8" s="208"/>
    </row>
    <row r="9" spans="1:12">
      <c r="A9" s="209">
        <v>43313</v>
      </c>
      <c r="B9" s="210">
        <v>21949.11</v>
      </c>
      <c r="C9" s="211">
        <v>21138.49</v>
      </c>
      <c r="D9" s="210">
        <v>4943.72</v>
      </c>
      <c r="E9" s="211">
        <v>621.03</v>
      </c>
      <c r="F9" s="211">
        <v>2.33</v>
      </c>
      <c r="G9" s="211">
        <v>0</v>
      </c>
      <c r="H9" s="208">
        <v>290.33</v>
      </c>
      <c r="I9" s="208">
        <v>12188.15</v>
      </c>
      <c r="J9" s="208">
        <v>3871.15</v>
      </c>
      <c r="K9" s="208">
        <f t="shared" si="0"/>
        <v>16059.3</v>
      </c>
      <c r="L9" s="208"/>
    </row>
    <row r="10" spans="1:12">
      <c r="A10" s="205">
        <v>43344</v>
      </c>
      <c r="B10" s="210">
        <v>20923.7</v>
      </c>
      <c r="C10" s="211">
        <v>20113.080000000002</v>
      </c>
      <c r="D10" s="210">
        <v>4661.7299999999996</v>
      </c>
      <c r="E10" s="211">
        <v>621.03</v>
      </c>
      <c r="F10" s="211">
        <v>2.33</v>
      </c>
      <c r="G10" s="211">
        <v>91</v>
      </c>
      <c r="H10" s="208">
        <v>290.33</v>
      </c>
      <c r="I10" s="208">
        <v>11384.06</v>
      </c>
      <c r="J10" s="208">
        <v>3871.15</v>
      </c>
      <c r="K10" s="208">
        <f t="shared" si="0"/>
        <v>15255.21</v>
      </c>
      <c r="L10" s="208"/>
    </row>
    <row r="11" spans="1:12">
      <c r="A11" s="209">
        <v>43374</v>
      </c>
      <c r="B11" s="210">
        <v>12811.29</v>
      </c>
      <c r="C11" s="211">
        <v>12000.67</v>
      </c>
      <c r="D11" s="210">
        <v>2430.8200000000002</v>
      </c>
      <c r="E11" s="211">
        <v>621.03</v>
      </c>
      <c r="F11" s="211">
        <v>2.33</v>
      </c>
      <c r="G11" s="211">
        <v>39</v>
      </c>
      <c r="H11" s="208">
        <v>290.33</v>
      </c>
      <c r="I11" s="208">
        <v>5524.23</v>
      </c>
      <c r="J11" s="208">
        <v>3871.15</v>
      </c>
      <c r="K11" s="208">
        <f t="shared" si="0"/>
        <v>9395.3799999999992</v>
      </c>
      <c r="L11" s="208"/>
    </row>
    <row r="12" spans="1:12">
      <c r="A12" s="205">
        <v>43405</v>
      </c>
      <c r="B12" s="210">
        <v>9834.68</v>
      </c>
      <c r="C12" s="211">
        <v>9024.06</v>
      </c>
      <c r="D12" s="210">
        <v>1612.25</v>
      </c>
      <c r="E12" s="211">
        <v>621.03</v>
      </c>
      <c r="F12" s="211">
        <v>2.33</v>
      </c>
      <c r="G12" s="211">
        <v>29.65</v>
      </c>
      <c r="H12" s="208">
        <v>290.33</v>
      </c>
      <c r="I12" s="208">
        <v>3377.87</v>
      </c>
      <c r="J12" s="208">
        <v>3871.15</v>
      </c>
      <c r="K12" s="208">
        <f t="shared" si="0"/>
        <v>7249.02</v>
      </c>
      <c r="L12" s="208"/>
    </row>
    <row r="13" spans="1:12">
      <c r="A13" s="209">
        <v>43435</v>
      </c>
      <c r="B13" s="210">
        <v>9677.8700000000008</v>
      </c>
      <c r="C13" s="211">
        <v>8867.25</v>
      </c>
      <c r="D13" s="210">
        <v>1569.13</v>
      </c>
      <c r="E13" s="211">
        <v>621.03</v>
      </c>
      <c r="F13" s="211">
        <v>2.33</v>
      </c>
      <c r="G13" s="211">
        <v>29.65</v>
      </c>
      <c r="H13" s="208">
        <v>290.33</v>
      </c>
      <c r="I13" s="208">
        <v>3274.43</v>
      </c>
      <c r="J13" s="208">
        <v>3871.15</v>
      </c>
      <c r="K13" s="208">
        <f t="shared" si="0"/>
        <v>7145.58</v>
      </c>
      <c r="L13" s="208"/>
    </row>
    <row r="14" spans="1:12">
      <c r="A14" s="209" t="s">
        <v>24969</v>
      </c>
      <c r="B14" s="210"/>
      <c r="C14" s="211"/>
      <c r="D14" s="210"/>
      <c r="E14" s="211"/>
      <c r="F14" s="211"/>
      <c r="G14" s="211"/>
      <c r="H14" s="208"/>
      <c r="I14" s="208"/>
      <c r="J14" s="208"/>
      <c r="K14" s="208"/>
      <c r="L14" s="208"/>
    </row>
    <row r="15" spans="1:12">
      <c r="A15" s="209" t="s">
        <v>24970</v>
      </c>
      <c r="B15" s="210"/>
      <c r="C15" s="211"/>
      <c r="D15" s="210"/>
      <c r="E15" s="211"/>
      <c r="F15" s="211"/>
      <c r="G15" s="211"/>
      <c r="H15" s="208"/>
      <c r="I15" s="208"/>
      <c r="J15" s="208"/>
      <c r="K15" s="208"/>
      <c r="L15" s="208"/>
    </row>
    <row r="16" spans="1:12">
      <c r="A16" s="209" t="s">
        <v>24963</v>
      </c>
      <c r="B16" s="210"/>
      <c r="C16" s="211"/>
      <c r="D16" s="210"/>
      <c r="E16" s="211"/>
      <c r="F16" s="211"/>
      <c r="G16" s="211"/>
      <c r="H16" s="208"/>
      <c r="I16" s="208"/>
      <c r="J16" s="208"/>
      <c r="K16" s="208"/>
      <c r="L16" s="208"/>
    </row>
    <row r="17" spans="1:12">
      <c r="A17" s="209" t="s">
        <v>24964</v>
      </c>
      <c r="B17" s="210"/>
      <c r="C17" s="211"/>
      <c r="D17" s="210"/>
      <c r="E17" s="211"/>
      <c r="F17" s="211"/>
      <c r="G17" s="211"/>
      <c r="H17" s="208"/>
      <c r="I17" s="208"/>
      <c r="J17" s="208"/>
      <c r="K17" s="208"/>
      <c r="L17" s="208"/>
    </row>
    <row r="18" spans="1:12">
      <c r="A18" s="209" t="s">
        <v>24946</v>
      </c>
      <c r="B18" s="210"/>
      <c r="C18" s="211"/>
      <c r="D18" s="210"/>
      <c r="E18" s="211"/>
      <c r="F18" s="211"/>
      <c r="G18" s="211"/>
      <c r="H18" s="208"/>
      <c r="I18" s="208"/>
      <c r="J18" s="208"/>
      <c r="K18" s="208"/>
      <c r="L18" s="208"/>
    </row>
    <row r="19" spans="1:12">
      <c r="A19" s="209" t="s">
        <v>24947</v>
      </c>
      <c r="B19" s="210"/>
      <c r="C19" s="211"/>
      <c r="D19" s="210"/>
      <c r="E19" s="211"/>
      <c r="F19" s="211"/>
      <c r="G19" s="211"/>
      <c r="H19" s="208"/>
      <c r="I19" s="208"/>
      <c r="J19" s="208"/>
      <c r="K19" s="208"/>
      <c r="L19" s="208"/>
    </row>
    <row r="20" spans="1:12">
      <c r="A20" s="209" t="s">
        <v>24967</v>
      </c>
      <c r="B20" s="210"/>
      <c r="C20" s="211"/>
      <c r="D20" s="210"/>
      <c r="E20" s="211"/>
      <c r="F20" s="211"/>
      <c r="G20" s="211"/>
      <c r="H20" s="208"/>
      <c r="I20" s="208"/>
      <c r="J20" s="208"/>
      <c r="K20" s="208"/>
      <c r="L20" s="208"/>
    </row>
    <row r="21" spans="1:12">
      <c r="A21" s="209" t="s">
        <v>24968</v>
      </c>
      <c r="B21" s="210"/>
      <c r="C21" s="211"/>
      <c r="D21" s="210"/>
      <c r="E21" s="211"/>
      <c r="F21" s="211"/>
      <c r="G21" s="211"/>
      <c r="H21" s="208"/>
      <c r="I21" s="208"/>
      <c r="J21" s="208"/>
      <c r="K21" s="208"/>
      <c r="L21" s="208"/>
    </row>
    <row r="22" spans="1:12">
      <c r="A22" s="209" t="s">
        <v>24971</v>
      </c>
      <c r="B22" s="210"/>
      <c r="C22" s="211"/>
      <c r="D22" s="210"/>
      <c r="E22" s="211"/>
      <c r="F22" s="211"/>
      <c r="G22" s="211"/>
      <c r="H22" s="208"/>
      <c r="I22" s="208"/>
      <c r="J22" s="208"/>
      <c r="K22" s="208"/>
      <c r="L22" s="208"/>
    </row>
    <row r="23" spans="1:12">
      <c r="A23" s="209" t="s">
        <v>24972</v>
      </c>
      <c r="B23" s="210"/>
      <c r="C23" s="211"/>
      <c r="D23" s="210"/>
      <c r="E23" s="211"/>
      <c r="F23" s="211"/>
      <c r="G23" s="211"/>
      <c r="H23" s="208"/>
      <c r="I23" s="208"/>
      <c r="J23" s="208"/>
      <c r="K23" s="208"/>
      <c r="L23" s="208"/>
    </row>
    <row r="24" spans="1:12">
      <c r="A24" s="212"/>
      <c r="B24" s="213"/>
      <c r="C24" s="213"/>
      <c r="D24" s="213"/>
      <c r="E24" s="213"/>
      <c r="F24" s="213"/>
      <c r="G24" s="213"/>
      <c r="H24" s="213"/>
    </row>
    <row r="26" spans="1:12">
      <c r="A26" s="25" t="s">
        <v>24948</v>
      </c>
      <c r="B26" s="25"/>
      <c r="C26" s="25"/>
      <c r="D26" s="25"/>
    </row>
    <row r="27" spans="1:12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  <c r="K27" s="214" t="str">
        <f>I1</f>
        <v xml:space="preserve">Liquido </v>
      </c>
    </row>
    <row r="28" spans="1:12">
      <c r="A28" s="215" t="s">
        <v>24976</v>
      </c>
      <c r="B28" s="215" t="s">
        <v>24977</v>
      </c>
      <c r="C28" s="216">
        <f>SUM(B2:B19)</f>
        <v>199415.04000000001</v>
      </c>
      <c r="D28" s="216">
        <f>SUM(C2:C13)</f>
        <v>182691.92</v>
      </c>
      <c r="E28" s="217">
        <f>SUM(C16:C17)</f>
        <v>0</v>
      </c>
      <c r="F28" s="216">
        <f>SUM(D2:D19)</f>
        <v>39808.709999999992</v>
      </c>
      <c r="G28" s="216">
        <f>SUM(E2:E19)</f>
        <v>7452.3599999999979</v>
      </c>
      <c r="H28" s="216">
        <f>SUM(F2:F19)</f>
        <v>27.959999999999994</v>
      </c>
      <c r="I28" s="216">
        <f>SUM(G2:G19)</f>
        <v>390.79999999999995</v>
      </c>
      <c r="J28" s="216">
        <f>SUM(H2:H19)</f>
        <v>3454.5199999999995</v>
      </c>
      <c r="K28" s="216">
        <f>SUM(I2:I23)</f>
        <v>94626.849999999977</v>
      </c>
    </row>
    <row r="29" spans="1:12">
      <c r="A29" s="215"/>
      <c r="B29" s="215"/>
      <c r="C29" s="216"/>
      <c r="D29" s="216"/>
      <c r="E29" s="217"/>
      <c r="F29" s="216"/>
      <c r="G29" s="216"/>
      <c r="H29" s="216"/>
      <c r="I29" s="216"/>
      <c r="J29" s="216"/>
      <c r="K29" s="216"/>
    </row>
    <row r="30" spans="1:12">
      <c r="A30" s="25"/>
      <c r="B30" s="218" t="s">
        <v>24960</v>
      </c>
      <c r="C30" s="219">
        <f>SUM(C28)</f>
        <v>199415.04000000001</v>
      </c>
      <c r="D30" s="219">
        <f>SUM(D28:D28)</f>
        <v>182691.92</v>
      </c>
      <c r="E30" s="220">
        <f>SUM(E28)</f>
        <v>0</v>
      </c>
      <c r="F30" s="219">
        <f>SUM(F28:F28)</f>
        <v>39808.709999999992</v>
      </c>
      <c r="G30" s="219">
        <f>SUM(G28:G28)</f>
        <v>7452.3599999999979</v>
      </c>
      <c r="H30" s="219">
        <f>SUM(H28:H28)</f>
        <v>27.959999999999994</v>
      </c>
      <c r="I30" s="219">
        <f>SUM(I28:I28)</f>
        <v>390.79999999999995</v>
      </c>
      <c r="J30" s="219">
        <f>SUM(J28:J28)</f>
        <v>3454.5199999999995</v>
      </c>
      <c r="K30" s="219"/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Planilha24"/>
  <dimension ref="A1:L31"/>
  <sheetViews>
    <sheetView workbookViewId="0">
      <selection sqref="A1:IV65536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8" width="16" style="3" customWidth="1"/>
    <col min="9" max="9" width="17.28515625" style="3" bestFit="1" customWidth="1"/>
    <col min="10" max="10" width="16" style="3" customWidth="1"/>
    <col min="11" max="11" width="16" style="3" bestFit="1" customWidth="1"/>
    <col min="12" max="12" width="17.28515625" style="3" bestFit="1" customWidth="1"/>
    <col min="13" max="16384" width="9.140625" style="3"/>
  </cols>
  <sheetData>
    <row r="1" spans="1:12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  <c r="I1" s="204" t="s">
        <v>24978</v>
      </c>
      <c r="J1" s="204" t="s">
        <v>24974</v>
      </c>
      <c r="K1" s="204" t="s">
        <v>24933</v>
      </c>
      <c r="L1" s="204" t="s">
        <v>24975</v>
      </c>
    </row>
    <row r="2" spans="1:12">
      <c r="A2" s="205">
        <v>43466</v>
      </c>
      <c r="B2" s="206">
        <v>10189.07</v>
      </c>
      <c r="C2" s="207">
        <v>32726.48</v>
      </c>
      <c r="D2" s="206">
        <v>1480.44</v>
      </c>
      <c r="E2" s="211">
        <v>620.91999999999996</v>
      </c>
      <c r="F2" s="211">
        <v>0</v>
      </c>
      <c r="G2" s="211">
        <v>202.13</v>
      </c>
      <c r="H2" s="208">
        <v>290.33</v>
      </c>
      <c r="I2" s="208">
        <v>2857.9</v>
      </c>
      <c r="J2" s="208">
        <v>3871.15</v>
      </c>
      <c r="K2" s="208">
        <f>I2+J2</f>
        <v>6729.05</v>
      </c>
      <c r="L2" s="208"/>
    </row>
    <row r="3" spans="1:12">
      <c r="A3" s="205">
        <v>43497</v>
      </c>
      <c r="B3" s="210">
        <v>31719.57</v>
      </c>
      <c r="C3" s="211">
        <v>7328.73</v>
      </c>
      <c r="D3" s="210">
        <v>1146.04</v>
      </c>
      <c r="E3" s="211">
        <v>620.91999999999996</v>
      </c>
      <c r="F3" s="211">
        <v>0</v>
      </c>
      <c r="G3" s="211">
        <v>112.47</v>
      </c>
      <c r="H3" s="208">
        <v>290.33</v>
      </c>
      <c r="I3" s="208">
        <v>5680</v>
      </c>
      <c r="J3" s="208">
        <v>258.08</v>
      </c>
      <c r="K3" s="208">
        <f t="shared" ref="K3:K20" si="0">I3+J3</f>
        <v>5938.08</v>
      </c>
      <c r="L3" s="208"/>
    </row>
    <row r="4" spans="1:12">
      <c r="A4" s="205">
        <v>43525</v>
      </c>
      <c r="B4" s="210">
        <v>9355.27</v>
      </c>
      <c r="C4" s="211">
        <v>8523.35</v>
      </c>
      <c r="D4" s="210">
        <v>1474.56</v>
      </c>
      <c r="E4" s="211">
        <v>642.33000000000004</v>
      </c>
      <c r="F4" s="211">
        <v>0</v>
      </c>
      <c r="G4" s="211">
        <v>19.399999999999999</v>
      </c>
      <c r="H4" s="208">
        <v>290.33</v>
      </c>
      <c r="I4" s="208">
        <v>3151.14</v>
      </c>
      <c r="J4" s="208">
        <v>3742.11</v>
      </c>
      <c r="K4" s="208">
        <f t="shared" si="0"/>
        <v>6893.25</v>
      </c>
      <c r="L4" s="208"/>
    </row>
    <row r="5" spans="1:12">
      <c r="A5" s="205">
        <v>43556</v>
      </c>
      <c r="B5" s="210">
        <v>11347.14</v>
      </c>
      <c r="C5" s="211">
        <v>10325.629999999999</v>
      </c>
      <c r="D5" s="210">
        <v>1834.98</v>
      </c>
      <c r="E5" s="211">
        <v>642.33000000000004</v>
      </c>
      <c r="F5" s="211">
        <v>0</v>
      </c>
      <c r="G5" s="211">
        <v>19.399999999999999</v>
      </c>
      <c r="H5" s="208">
        <v>290.33</v>
      </c>
      <c r="I5" s="208">
        <v>4417.43</v>
      </c>
      <c r="J5" s="208">
        <v>3977.6</v>
      </c>
      <c r="K5" s="208">
        <f t="shared" si="0"/>
        <v>8395.0300000000007</v>
      </c>
      <c r="L5" s="208"/>
    </row>
    <row r="6" spans="1:12">
      <c r="A6" s="205">
        <v>43586</v>
      </c>
      <c r="B6" s="210">
        <v>9944.01</v>
      </c>
      <c r="C6" s="211">
        <v>9112.09</v>
      </c>
      <c r="D6" s="210">
        <v>1636.46</v>
      </c>
      <c r="E6" s="211">
        <v>642.33000000000004</v>
      </c>
      <c r="F6" s="211">
        <v>0</v>
      </c>
      <c r="G6" s="211">
        <v>0</v>
      </c>
      <c r="H6" s="208">
        <v>298.32</v>
      </c>
      <c r="I6" s="208">
        <v>3022.44</v>
      </c>
      <c r="J6" s="208">
        <v>3977.6</v>
      </c>
      <c r="K6" s="208">
        <f t="shared" si="0"/>
        <v>7000.04</v>
      </c>
      <c r="L6" s="208"/>
    </row>
    <row r="7" spans="1:12">
      <c r="A7" s="205">
        <v>43617</v>
      </c>
      <c r="B7" s="210">
        <v>12797.86</v>
      </c>
      <c r="C7" s="211">
        <v>11865.94</v>
      </c>
      <c r="D7" s="210">
        <v>2421.27</v>
      </c>
      <c r="E7" s="211">
        <v>642.33000000000004</v>
      </c>
      <c r="F7" s="211">
        <v>0</v>
      </c>
      <c r="G7" s="211">
        <v>0</v>
      </c>
      <c r="H7" s="208">
        <v>298.32</v>
      </c>
      <c r="I7" s="208">
        <v>5220.01</v>
      </c>
      <c r="J7" s="208">
        <v>3977.6</v>
      </c>
      <c r="K7" s="208">
        <f t="shared" si="0"/>
        <v>9197.61</v>
      </c>
      <c r="L7" s="208"/>
    </row>
    <row r="8" spans="1:12">
      <c r="A8" s="205">
        <v>43647</v>
      </c>
      <c r="B8" s="210">
        <v>9944.01</v>
      </c>
      <c r="C8" s="211">
        <v>9112.09</v>
      </c>
      <c r="D8" s="210">
        <v>1636.46</v>
      </c>
      <c r="E8" s="211">
        <v>642.33000000000004</v>
      </c>
      <c r="F8" s="211">
        <v>0</v>
      </c>
      <c r="G8" s="211">
        <v>0</v>
      </c>
      <c r="H8" s="208">
        <v>298.32</v>
      </c>
      <c r="I8" s="208">
        <v>3288.05</v>
      </c>
      <c r="J8" s="208">
        <v>3977.6</v>
      </c>
      <c r="K8" s="208">
        <f t="shared" si="0"/>
        <v>7265.65</v>
      </c>
      <c r="L8" s="208"/>
    </row>
    <row r="9" spans="1:12">
      <c r="A9" s="205">
        <v>43678</v>
      </c>
      <c r="B9" s="210">
        <v>17732.5</v>
      </c>
      <c r="C9" s="211">
        <v>16900.580000000002</v>
      </c>
      <c r="D9" s="210">
        <v>3778.29</v>
      </c>
      <c r="E9" s="211">
        <v>642.33000000000004</v>
      </c>
      <c r="F9" s="211">
        <v>0</v>
      </c>
      <c r="G9" s="211">
        <v>0</v>
      </c>
      <c r="H9" s="208">
        <v>298.32</v>
      </c>
      <c r="I9" s="208">
        <v>8874.14</v>
      </c>
      <c r="J9" s="208">
        <v>3977.6</v>
      </c>
      <c r="K9" s="208">
        <f t="shared" si="0"/>
        <v>12851.74</v>
      </c>
      <c r="L9" s="208"/>
    </row>
    <row r="10" spans="1:12">
      <c r="A10" s="205">
        <v>43709</v>
      </c>
      <c r="B10" s="210">
        <v>10745.8</v>
      </c>
      <c r="C10" s="211">
        <v>9751.1</v>
      </c>
      <c r="D10" s="210">
        <v>1812.19</v>
      </c>
      <c r="E10" s="211">
        <v>642.33000000000004</v>
      </c>
      <c r="F10" s="211">
        <v>0</v>
      </c>
      <c r="G10" s="211">
        <v>0</v>
      </c>
      <c r="H10" s="208">
        <v>298.32</v>
      </c>
      <c r="I10" s="208">
        <v>3957.74</v>
      </c>
      <c r="J10" s="208">
        <v>3977.6</v>
      </c>
      <c r="K10" s="208">
        <f t="shared" si="0"/>
        <v>7935.34</v>
      </c>
      <c r="L10" s="208"/>
    </row>
    <row r="11" spans="1:12">
      <c r="A11" s="205">
        <v>43739</v>
      </c>
      <c r="B11" s="210"/>
      <c r="C11" s="211"/>
      <c r="D11" s="210"/>
      <c r="E11" s="211"/>
      <c r="F11" s="211"/>
      <c r="G11" s="211"/>
      <c r="H11" s="208"/>
      <c r="I11" s="208"/>
      <c r="J11" s="208"/>
      <c r="K11" s="208">
        <f t="shared" si="0"/>
        <v>0</v>
      </c>
      <c r="L11" s="208"/>
    </row>
    <row r="12" spans="1:12">
      <c r="A12" s="205">
        <v>43770</v>
      </c>
      <c r="B12" s="210">
        <v>6000</v>
      </c>
      <c r="C12" s="211">
        <v>5168.08</v>
      </c>
      <c r="D12" s="210">
        <v>551.86</v>
      </c>
      <c r="E12" s="211">
        <v>642.33000000000004</v>
      </c>
      <c r="F12" s="211">
        <v>0</v>
      </c>
      <c r="G12" s="211">
        <v>0</v>
      </c>
      <c r="H12" s="208">
        <v>0</v>
      </c>
      <c r="I12" s="208">
        <v>4766.46</v>
      </c>
      <c r="J12" s="208">
        <v>0</v>
      </c>
      <c r="K12" s="208">
        <f t="shared" si="0"/>
        <v>4766.46</v>
      </c>
      <c r="L12" s="208"/>
    </row>
    <row r="13" spans="1:12">
      <c r="A13" s="205">
        <v>43800</v>
      </c>
      <c r="B13" s="210">
        <v>9000</v>
      </c>
      <c r="C13" s="211">
        <v>8168.08</v>
      </c>
      <c r="D13" s="210">
        <v>1376.86</v>
      </c>
      <c r="E13" s="211">
        <v>642.33000000000004</v>
      </c>
      <c r="F13" s="211">
        <v>0</v>
      </c>
      <c r="G13" s="211">
        <v>0</v>
      </c>
      <c r="H13" s="208">
        <v>0</v>
      </c>
      <c r="I13" s="208">
        <v>6936.99</v>
      </c>
      <c r="J13" s="208">
        <v>0</v>
      </c>
      <c r="K13" s="208">
        <f t="shared" si="0"/>
        <v>6936.99</v>
      </c>
      <c r="L13" s="208"/>
    </row>
    <row r="14" spans="1:12">
      <c r="A14" s="209" t="s">
        <v>24969</v>
      </c>
      <c r="B14" s="210"/>
      <c r="C14" s="211"/>
      <c r="D14" s="210"/>
      <c r="E14" s="211"/>
      <c r="F14" s="211"/>
      <c r="G14" s="211"/>
      <c r="H14" s="208"/>
      <c r="I14" s="208"/>
      <c r="J14" s="208"/>
      <c r="K14" s="208">
        <f t="shared" si="0"/>
        <v>0</v>
      </c>
      <c r="L14" s="208"/>
    </row>
    <row r="15" spans="1:12">
      <c r="A15" s="209" t="s">
        <v>24970</v>
      </c>
      <c r="B15" s="210"/>
      <c r="C15" s="211"/>
      <c r="D15" s="210"/>
      <c r="E15" s="211"/>
      <c r="F15" s="211"/>
      <c r="G15" s="211"/>
      <c r="H15" s="208"/>
      <c r="I15" s="208"/>
      <c r="J15" s="208"/>
      <c r="K15" s="208">
        <f t="shared" si="0"/>
        <v>0</v>
      </c>
      <c r="L15" s="208"/>
    </row>
    <row r="16" spans="1:12">
      <c r="A16" s="209" t="s">
        <v>24963</v>
      </c>
      <c r="B16" s="210"/>
      <c r="C16" s="211"/>
      <c r="D16" s="210"/>
      <c r="E16" s="211"/>
      <c r="F16" s="211"/>
      <c r="G16" s="211"/>
      <c r="H16" s="208"/>
      <c r="I16" s="208"/>
      <c r="J16" s="208"/>
      <c r="K16" s="208">
        <f t="shared" si="0"/>
        <v>0</v>
      </c>
      <c r="L16" s="208"/>
    </row>
    <row r="17" spans="1:12">
      <c r="A17" s="209" t="s">
        <v>24964</v>
      </c>
      <c r="B17" s="210"/>
      <c r="C17" s="211"/>
      <c r="D17" s="210"/>
      <c r="E17" s="211"/>
      <c r="F17" s="211"/>
      <c r="G17" s="211"/>
      <c r="H17" s="208"/>
      <c r="I17" s="208"/>
      <c r="J17" s="208"/>
      <c r="K17" s="208">
        <f t="shared" si="0"/>
        <v>0</v>
      </c>
      <c r="L17" s="208"/>
    </row>
    <row r="18" spans="1:12">
      <c r="A18" s="209" t="s">
        <v>24946</v>
      </c>
      <c r="B18" s="210"/>
      <c r="C18" s="211"/>
      <c r="D18" s="210"/>
      <c r="E18" s="211"/>
      <c r="F18" s="211"/>
      <c r="G18" s="211"/>
      <c r="H18" s="208"/>
      <c r="I18" s="208"/>
      <c r="J18" s="208"/>
      <c r="K18" s="208">
        <f t="shared" si="0"/>
        <v>0</v>
      </c>
      <c r="L18" s="208"/>
    </row>
    <row r="19" spans="1:12">
      <c r="A19" s="209" t="s">
        <v>24947</v>
      </c>
      <c r="B19" s="210"/>
      <c r="C19" s="211"/>
      <c r="D19" s="210"/>
      <c r="E19" s="211"/>
      <c r="F19" s="211"/>
      <c r="G19" s="211"/>
      <c r="H19" s="208"/>
      <c r="I19" s="208"/>
      <c r="J19" s="208"/>
      <c r="K19" s="208">
        <f t="shared" si="0"/>
        <v>0</v>
      </c>
      <c r="L19" s="208"/>
    </row>
    <row r="20" spans="1:12">
      <c r="A20" s="209" t="s">
        <v>24967</v>
      </c>
      <c r="B20" s="210"/>
      <c r="C20" s="211"/>
      <c r="D20" s="210"/>
      <c r="E20" s="211"/>
      <c r="F20" s="211"/>
      <c r="G20" s="211"/>
      <c r="H20" s="208"/>
      <c r="I20" s="208"/>
      <c r="J20" s="208"/>
      <c r="K20" s="208">
        <f t="shared" si="0"/>
        <v>0</v>
      </c>
      <c r="L20" s="208"/>
    </row>
    <row r="21" spans="1:12">
      <c r="A21" s="209" t="s">
        <v>24968</v>
      </c>
      <c r="B21" s="210"/>
      <c r="C21" s="211"/>
      <c r="D21" s="210"/>
      <c r="E21" s="211"/>
      <c r="F21" s="211"/>
      <c r="G21" s="211"/>
      <c r="H21" s="208"/>
      <c r="I21" s="208"/>
      <c r="J21" s="208"/>
      <c r="K21" s="208"/>
      <c r="L21" s="208"/>
    </row>
    <row r="22" spans="1:12">
      <c r="A22" s="209" t="s">
        <v>24971</v>
      </c>
      <c r="B22" s="210"/>
      <c r="C22" s="211"/>
      <c r="D22" s="210"/>
      <c r="E22" s="211"/>
      <c r="F22" s="211"/>
      <c r="G22" s="211"/>
      <c r="H22" s="208"/>
      <c r="I22" s="208"/>
      <c r="J22" s="208"/>
      <c r="K22" s="208"/>
      <c r="L22" s="208"/>
    </row>
    <row r="23" spans="1:12">
      <c r="A23" s="209" t="s">
        <v>24972</v>
      </c>
      <c r="B23" s="210"/>
      <c r="C23" s="211"/>
      <c r="D23" s="210"/>
      <c r="E23" s="211"/>
      <c r="F23" s="211"/>
      <c r="G23" s="211"/>
      <c r="H23" s="208"/>
      <c r="I23" s="208"/>
      <c r="J23" s="208"/>
      <c r="K23" s="208"/>
      <c r="L23" s="208"/>
    </row>
    <row r="24" spans="1:12">
      <c r="A24" s="212"/>
      <c r="B24" s="213"/>
      <c r="C24" s="213"/>
      <c r="D24" s="213"/>
      <c r="E24" s="213"/>
      <c r="F24" s="213"/>
      <c r="G24" s="213"/>
      <c r="H24" s="213"/>
    </row>
    <row r="26" spans="1:12">
      <c r="A26" s="25" t="s">
        <v>24948</v>
      </c>
      <c r="B26" s="25"/>
      <c r="C26" s="25"/>
      <c r="D26" s="25"/>
    </row>
    <row r="27" spans="1:12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  <c r="K27" s="214" t="str">
        <f>I1</f>
        <v xml:space="preserve">Liquido </v>
      </c>
    </row>
    <row r="28" spans="1:12">
      <c r="A28" s="215" t="s">
        <v>24976</v>
      </c>
      <c r="B28" s="215" t="s">
        <v>24977</v>
      </c>
      <c r="C28" s="216">
        <f>SUM(B2:B19)</f>
        <v>138775.22999999998</v>
      </c>
      <c r="D28" s="216">
        <f>SUM(C2:C13)</f>
        <v>128982.15000000001</v>
      </c>
      <c r="E28" s="217">
        <f>SUM(C16:C17)</f>
        <v>0</v>
      </c>
      <c r="F28" s="216">
        <f>SUM(D2:D19)</f>
        <v>19149.41</v>
      </c>
      <c r="G28" s="216">
        <f>SUM(E2:E19)</f>
        <v>7022.8099999999995</v>
      </c>
      <c r="H28" s="216">
        <f>SUM(F2:F19)</f>
        <v>0</v>
      </c>
      <c r="I28" s="216">
        <f>SUM(G2:G19)</f>
        <v>353.4</v>
      </c>
      <c r="J28" s="216">
        <f>SUM(H2:H19)</f>
        <v>2652.92</v>
      </c>
      <c r="K28" s="216">
        <f>SUM(K2:K27)</f>
        <v>83909.24000000002</v>
      </c>
    </row>
    <row r="29" spans="1:12">
      <c r="A29" s="215" t="s">
        <v>24979</v>
      </c>
      <c r="B29" s="215" t="s">
        <v>24980</v>
      </c>
      <c r="C29" s="216"/>
      <c r="D29" s="216"/>
      <c r="E29" s="217"/>
      <c r="F29" s="216"/>
      <c r="G29" s="216"/>
      <c r="H29" s="216"/>
      <c r="I29" s="216"/>
      <c r="J29" s="216"/>
      <c r="K29" s="216"/>
    </row>
    <row r="30" spans="1:12">
      <c r="A30" s="215"/>
      <c r="B30" s="215"/>
      <c r="C30" s="216"/>
      <c r="D30" s="216"/>
      <c r="E30" s="217"/>
      <c r="F30" s="216"/>
      <c r="G30" s="216"/>
      <c r="H30" s="216"/>
      <c r="I30" s="216"/>
      <c r="J30" s="216"/>
      <c r="K30" s="216"/>
    </row>
    <row r="31" spans="1:12">
      <c r="A31" s="25"/>
      <c r="B31" s="218" t="s">
        <v>24960</v>
      </c>
      <c r="C31" s="219">
        <f>SUM(C28)</f>
        <v>138775.22999999998</v>
      </c>
      <c r="D31" s="219">
        <f>SUM(D28:D28)</f>
        <v>128982.15000000001</v>
      </c>
      <c r="E31" s="220">
        <f>SUM(E28)</f>
        <v>0</v>
      </c>
      <c r="F31" s="219">
        <f>SUM(F28:F28)</f>
        <v>19149.41</v>
      </c>
      <c r="G31" s="219">
        <f>SUM(G28:G28)</f>
        <v>7022.8099999999995</v>
      </c>
      <c r="H31" s="219">
        <f>SUM(H28:H28)</f>
        <v>0</v>
      </c>
      <c r="I31" s="219">
        <f>SUM(I28:I28)</f>
        <v>353.4</v>
      </c>
      <c r="J31" s="219">
        <f>SUM(J28:J28)</f>
        <v>2652.92</v>
      </c>
      <c r="K31" s="219"/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Planilha25"/>
  <dimension ref="A1:L31"/>
  <sheetViews>
    <sheetView workbookViewId="0">
      <selection sqref="A1:IV65536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8" width="16" style="3" customWidth="1"/>
    <col min="9" max="9" width="17.28515625" style="3" bestFit="1" customWidth="1"/>
    <col min="10" max="10" width="16" style="3" customWidth="1"/>
    <col min="11" max="11" width="16" style="3" bestFit="1" customWidth="1"/>
    <col min="12" max="12" width="17.28515625" style="3" bestFit="1" customWidth="1"/>
    <col min="13" max="16384" width="9.140625" style="3"/>
  </cols>
  <sheetData>
    <row r="1" spans="1:12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  <c r="I1" s="204" t="s">
        <v>24978</v>
      </c>
      <c r="J1" s="204" t="s">
        <v>24974</v>
      </c>
      <c r="K1" s="204" t="s">
        <v>24933</v>
      </c>
      <c r="L1" s="204" t="s">
        <v>24975</v>
      </c>
    </row>
    <row r="2" spans="1:12">
      <c r="A2" s="205">
        <v>43831</v>
      </c>
      <c r="B2" s="210">
        <v>9000</v>
      </c>
      <c r="C2" s="211">
        <v>8139.3</v>
      </c>
      <c r="D2" s="210">
        <v>1368.95</v>
      </c>
      <c r="E2" s="211">
        <v>642.33000000000004</v>
      </c>
      <c r="F2" s="211">
        <v>0</v>
      </c>
      <c r="G2" s="211">
        <v>204</v>
      </c>
      <c r="H2" s="208">
        <v>0</v>
      </c>
      <c r="I2" s="208">
        <v>6705.12</v>
      </c>
      <c r="J2" s="208">
        <v>0</v>
      </c>
      <c r="K2" s="208">
        <f>I2+J2</f>
        <v>6705.12</v>
      </c>
      <c r="L2" s="208">
        <v>29.64</v>
      </c>
    </row>
    <row r="3" spans="1:12">
      <c r="A3" s="205">
        <v>43862</v>
      </c>
      <c r="B3" s="210">
        <v>9000</v>
      </c>
      <c r="C3" s="211">
        <v>8139.3</v>
      </c>
      <c r="D3" s="210">
        <v>1368.95</v>
      </c>
      <c r="E3" s="211">
        <v>642.33000000000004</v>
      </c>
      <c r="F3" s="211">
        <v>0</v>
      </c>
      <c r="G3" s="211">
        <v>204</v>
      </c>
      <c r="H3" s="208">
        <v>0</v>
      </c>
      <c r="I3" s="208">
        <v>6705.12</v>
      </c>
      <c r="J3" s="208">
        <v>0</v>
      </c>
      <c r="K3" s="208">
        <f>I3+J3</f>
        <v>6705.12</v>
      </c>
      <c r="L3" s="208"/>
    </row>
    <row r="4" spans="1:12">
      <c r="A4" s="205">
        <v>43891</v>
      </c>
      <c r="B4" s="210"/>
      <c r="C4" s="211"/>
      <c r="D4" s="210"/>
      <c r="E4" s="211"/>
      <c r="F4" s="211"/>
      <c r="G4" s="211"/>
      <c r="H4" s="208"/>
      <c r="I4" s="208"/>
      <c r="J4" s="208"/>
      <c r="K4" s="208">
        <f t="shared" ref="K4:K20" si="0">I4+J4</f>
        <v>0</v>
      </c>
      <c r="L4" s="208"/>
    </row>
    <row r="5" spans="1:12">
      <c r="A5" s="205">
        <v>43922</v>
      </c>
      <c r="B5" s="210"/>
      <c r="C5" s="211"/>
      <c r="D5" s="210"/>
      <c r="E5" s="211"/>
      <c r="F5" s="211"/>
      <c r="G5" s="211"/>
      <c r="H5" s="208"/>
      <c r="I5" s="208"/>
      <c r="J5" s="208"/>
      <c r="K5" s="208">
        <f t="shared" si="0"/>
        <v>0</v>
      </c>
      <c r="L5" s="208"/>
    </row>
    <row r="6" spans="1:12">
      <c r="A6" s="205">
        <v>43952</v>
      </c>
      <c r="B6" s="210"/>
      <c r="C6" s="211"/>
      <c r="D6" s="210"/>
      <c r="E6" s="211"/>
      <c r="F6" s="211"/>
      <c r="G6" s="211"/>
      <c r="H6" s="208"/>
      <c r="I6" s="208"/>
      <c r="J6" s="208"/>
      <c r="K6" s="208">
        <f t="shared" si="0"/>
        <v>0</v>
      </c>
      <c r="L6" s="208"/>
    </row>
    <row r="7" spans="1:12">
      <c r="A7" s="205">
        <v>43983</v>
      </c>
      <c r="B7" s="210"/>
      <c r="C7" s="211"/>
      <c r="D7" s="210"/>
      <c r="E7" s="211"/>
      <c r="F7" s="211"/>
      <c r="G7" s="211"/>
      <c r="H7" s="208"/>
      <c r="I7" s="208"/>
      <c r="J7" s="208"/>
      <c r="K7" s="208">
        <f t="shared" si="0"/>
        <v>0</v>
      </c>
      <c r="L7" s="208"/>
    </row>
    <row r="8" spans="1:12">
      <c r="A8" s="205">
        <v>44013</v>
      </c>
      <c r="B8" s="210"/>
      <c r="C8" s="211"/>
      <c r="D8" s="210"/>
      <c r="E8" s="211"/>
      <c r="F8" s="211"/>
      <c r="G8" s="211"/>
      <c r="H8" s="208"/>
      <c r="I8" s="208"/>
      <c r="J8" s="208"/>
      <c r="K8" s="208">
        <f t="shared" si="0"/>
        <v>0</v>
      </c>
      <c r="L8" s="208"/>
    </row>
    <row r="9" spans="1:12">
      <c r="A9" s="205">
        <v>44044</v>
      </c>
      <c r="B9" s="210"/>
      <c r="C9" s="211"/>
      <c r="D9" s="210"/>
      <c r="E9" s="211"/>
      <c r="F9" s="211"/>
      <c r="G9" s="211"/>
      <c r="H9" s="208"/>
      <c r="I9" s="208"/>
      <c r="J9" s="208"/>
      <c r="K9" s="208">
        <f t="shared" si="0"/>
        <v>0</v>
      </c>
      <c r="L9" s="208"/>
    </row>
    <row r="10" spans="1:12">
      <c r="A10" s="205">
        <v>44075</v>
      </c>
      <c r="B10" s="210"/>
      <c r="C10" s="211"/>
      <c r="D10" s="210"/>
      <c r="E10" s="211"/>
      <c r="F10" s="211"/>
      <c r="G10" s="211"/>
      <c r="H10" s="208"/>
      <c r="I10" s="208"/>
      <c r="J10" s="208"/>
      <c r="K10" s="208">
        <f t="shared" si="0"/>
        <v>0</v>
      </c>
      <c r="L10" s="208"/>
    </row>
    <row r="11" spans="1:12">
      <c r="A11" s="205">
        <v>44105</v>
      </c>
      <c r="B11" s="210"/>
      <c r="C11" s="211"/>
      <c r="D11" s="210"/>
      <c r="E11" s="211"/>
      <c r="F11" s="211"/>
      <c r="G11" s="211"/>
      <c r="H11" s="208"/>
      <c r="I11" s="208"/>
      <c r="J11" s="208"/>
      <c r="K11" s="208">
        <f t="shared" si="0"/>
        <v>0</v>
      </c>
      <c r="L11" s="208"/>
    </row>
    <row r="12" spans="1:12">
      <c r="A12" s="205">
        <v>44136</v>
      </c>
      <c r="B12" s="210"/>
      <c r="C12" s="211"/>
      <c r="D12" s="210"/>
      <c r="E12" s="211"/>
      <c r="F12" s="211"/>
      <c r="G12" s="211"/>
      <c r="H12" s="208"/>
      <c r="I12" s="208"/>
      <c r="J12" s="208"/>
      <c r="K12" s="208">
        <f t="shared" si="0"/>
        <v>0</v>
      </c>
      <c r="L12" s="208"/>
    </row>
    <row r="13" spans="1:12">
      <c r="A13" s="205">
        <v>44166</v>
      </c>
      <c r="B13" s="210"/>
      <c r="C13" s="211"/>
      <c r="D13" s="210"/>
      <c r="E13" s="211"/>
      <c r="F13" s="211"/>
      <c r="G13" s="211"/>
      <c r="H13" s="208"/>
      <c r="I13" s="208"/>
      <c r="J13" s="208"/>
      <c r="K13" s="208"/>
      <c r="L13" s="208"/>
    </row>
    <row r="14" spans="1:12">
      <c r="A14" s="209" t="s">
        <v>24969</v>
      </c>
      <c r="B14" s="210"/>
      <c r="C14" s="211"/>
      <c r="D14" s="210"/>
      <c r="E14" s="211"/>
      <c r="F14" s="211"/>
      <c r="G14" s="211"/>
      <c r="H14" s="208"/>
      <c r="I14" s="208"/>
      <c r="J14" s="208"/>
      <c r="K14" s="208">
        <f t="shared" si="0"/>
        <v>0</v>
      </c>
      <c r="L14" s="208"/>
    </row>
    <row r="15" spans="1:12">
      <c r="A15" s="209" t="s">
        <v>24970</v>
      </c>
      <c r="B15" s="210"/>
      <c r="C15" s="211"/>
      <c r="D15" s="210"/>
      <c r="E15" s="211"/>
      <c r="F15" s="211"/>
      <c r="G15" s="211"/>
      <c r="H15" s="208"/>
      <c r="I15" s="208"/>
      <c r="J15" s="208"/>
      <c r="K15" s="208">
        <f t="shared" si="0"/>
        <v>0</v>
      </c>
      <c r="L15" s="208"/>
    </row>
    <row r="16" spans="1:12">
      <c r="A16" s="209" t="s">
        <v>24963</v>
      </c>
      <c r="B16" s="210"/>
      <c r="C16" s="211"/>
      <c r="D16" s="210"/>
      <c r="E16" s="211"/>
      <c r="F16" s="211"/>
      <c r="G16" s="211"/>
      <c r="H16" s="208"/>
      <c r="I16" s="208"/>
      <c r="J16" s="208"/>
      <c r="K16" s="208">
        <f t="shared" si="0"/>
        <v>0</v>
      </c>
      <c r="L16" s="208"/>
    </row>
    <row r="17" spans="1:12">
      <c r="A17" s="209" t="s">
        <v>24964</v>
      </c>
      <c r="B17" s="210"/>
      <c r="C17" s="211"/>
      <c r="D17" s="210"/>
      <c r="E17" s="211"/>
      <c r="F17" s="211"/>
      <c r="G17" s="211"/>
      <c r="H17" s="208"/>
      <c r="I17" s="208"/>
      <c r="J17" s="208"/>
      <c r="K17" s="208">
        <f t="shared" si="0"/>
        <v>0</v>
      </c>
      <c r="L17" s="208"/>
    </row>
    <row r="18" spans="1:12">
      <c r="A18" s="209" t="s">
        <v>24946</v>
      </c>
      <c r="B18" s="210"/>
      <c r="C18" s="211"/>
      <c r="D18" s="210"/>
      <c r="E18" s="211"/>
      <c r="F18" s="211"/>
      <c r="G18" s="211"/>
      <c r="H18" s="208"/>
      <c r="I18" s="208"/>
      <c r="J18" s="208"/>
      <c r="K18" s="208">
        <f t="shared" si="0"/>
        <v>0</v>
      </c>
      <c r="L18" s="208"/>
    </row>
    <row r="19" spans="1:12">
      <c r="A19" s="209" t="s">
        <v>24947</v>
      </c>
      <c r="B19" s="210"/>
      <c r="C19" s="211"/>
      <c r="D19" s="210"/>
      <c r="E19" s="211"/>
      <c r="F19" s="211"/>
      <c r="G19" s="211"/>
      <c r="H19" s="208"/>
      <c r="I19" s="208"/>
      <c r="J19" s="208"/>
      <c r="K19" s="208">
        <f t="shared" si="0"/>
        <v>0</v>
      </c>
      <c r="L19" s="208"/>
    </row>
    <row r="20" spans="1:12">
      <c r="A20" s="209" t="s">
        <v>24967</v>
      </c>
      <c r="B20" s="210"/>
      <c r="C20" s="211"/>
      <c r="D20" s="210"/>
      <c r="E20" s="211"/>
      <c r="F20" s="211"/>
      <c r="G20" s="211"/>
      <c r="H20" s="208"/>
      <c r="I20" s="208"/>
      <c r="J20" s="208"/>
      <c r="K20" s="208">
        <f t="shared" si="0"/>
        <v>0</v>
      </c>
      <c r="L20" s="208"/>
    </row>
    <row r="21" spans="1:12">
      <c r="A21" s="209" t="s">
        <v>24968</v>
      </c>
      <c r="B21" s="210"/>
      <c r="C21" s="211"/>
      <c r="D21" s="210"/>
      <c r="E21" s="211"/>
      <c r="F21" s="211"/>
      <c r="G21" s="211"/>
      <c r="H21" s="208"/>
      <c r="I21" s="208"/>
      <c r="J21" s="208"/>
      <c r="K21" s="208"/>
      <c r="L21" s="208"/>
    </row>
    <row r="22" spans="1:12">
      <c r="A22" s="209" t="s">
        <v>24971</v>
      </c>
      <c r="B22" s="210"/>
      <c r="C22" s="211"/>
      <c r="D22" s="210"/>
      <c r="E22" s="211"/>
      <c r="F22" s="211"/>
      <c r="G22" s="211"/>
      <c r="H22" s="208"/>
      <c r="I22" s="208"/>
      <c r="J22" s="208"/>
      <c r="K22" s="208"/>
      <c r="L22" s="208"/>
    </row>
    <row r="23" spans="1:12">
      <c r="A23" s="209" t="s">
        <v>24972</v>
      </c>
      <c r="B23" s="210"/>
      <c r="C23" s="211"/>
      <c r="D23" s="210"/>
      <c r="E23" s="211"/>
      <c r="F23" s="211"/>
      <c r="G23" s="211"/>
      <c r="H23" s="208"/>
      <c r="I23" s="208"/>
      <c r="J23" s="208"/>
      <c r="K23" s="208"/>
      <c r="L23" s="208"/>
    </row>
    <row r="24" spans="1:12">
      <c r="A24" s="212"/>
      <c r="B24" s="213"/>
      <c r="C24" s="213"/>
      <c r="D24" s="213"/>
      <c r="E24" s="213"/>
      <c r="F24" s="213"/>
      <c r="G24" s="213"/>
      <c r="H24" s="213"/>
    </row>
    <row r="26" spans="1:12">
      <c r="A26" s="25" t="s">
        <v>24948</v>
      </c>
      <c r="B26" s="25"/>
      <c r="C26" s="25"/>
      <c r="D26" s="25"/>
    </row>
    <row r="27" spans="1:12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  <c r="K27" s="214" t="str">
        <f>I1</f>
        <v xml:space="preserve">Liquido </v>
      </c>
    </row>
    <row r="28" spans="1:12">
      <c r="A28" s="215" t="s">
        <v>24979</v>
      </c>
      <c r="B28" s="215" t="s">
        <v>24980</v>
      </c>
      <c r="C28" s="216">
        <f>SUM(B2:B19)</f>
        <v>18000</v>
      </c>
      <c r="D28" s="216">
        <f>SUM(C2:C13)</f>
        <v>16278.6</v>
      </c>
      <c r="E28" s="217">
        <f>SUM(C16:C17)</f>
        <v>0</v>
      </c>
      <c r="F28" s="216">
        <f>SUM(D2:D19)</f>
        <v>2737.9</v>
      </c>
      <c r="G28" s="216">
        <f>SUM(E2:E19)</f>
        <v>1284.6600000000001</v>
      </c>
      <c r="H28" s="216">
        <f>SUM(F2:F19)</f>
        <v>0</v>
      </c>
      <c r="I28" s="216">
        <f>SUM(G2:G19)</f>
        <v>408</v>
      </c>
      <c r="J28" s="216">
        <f>SUM(H2:H19)</f>
        <v>0</v>
      </c>
      <c r="K28" s="216">
        <f>SUM(K2:K27)</f>
        <v>13410.24</v>
      </c>
    </row>
    <row r="29" spans="1:12">
      <c r="A29" s="215"/>
      <c r="B29" s="215"/>
      <c r="C29" s="216"/>
      <c r="D29" s="216"/>
      <c r="E29" s="217"/>
      <c r="F29" s="216"/>
      <c r="G29" s="216"/>
      <c r="H29" s="216"/>
      <c r="I29" s="216"/>
      <c r="J29" s="216"/>
      <c r="K29" s="216"/>
    </row>
    <row r="30" spans="1:12">
      <c r="A30" s="215"/>
      <c r="B30" s="215"/>
      <c r="C30" s="216"/>
      <c r="D30" s="216"/>
      <c r="E30" s="217"/>
      <c r="F30" s="216"/>
      <c r="G30" s="216"/>
      <c r="H30" s="216"/>
      <c r="I30" s="216"/>
      <c r="J30" s="216"/>
      <c r="K30" s="216"/>
    </row>
    <row r="31" spans="1:12">
      <c r="A31" s="25"/>
      <c r="B31" s="218" t="s">
        <v>24960</v>
      </c>
      <c r="C31" s="219">
        <f>SUM(C28)</f>
        <v>18000</v>
      </c>
      <c r="D31" s="219">
        <f>SUM(D28:D28)</f>
        <v>16278.6</v>
      </c>
      <c r="E31" s="220">
        <f>SUM(E28)</f>
        <v>0</v>
      </c>
      <c r="F31" s="219">
        <f>SUM(F28:F28)</f>
        <v>2737.9</v>
      </c>
      <c r="G31" s="219">
        <f>SUM(G28:G28)</f>
        <v>1284.6600000000001</v>
      </c>
      <c r="H31" s="219">
        <f>SUM(H28:H28)</f>
        <v>0</v>
      </c>
      <c r="I31" s="219">
        <f>SUM(I28:I28)</f>
        <v>408</v>
      </c>
      <c r="J31" s="219">
        <f>SUM(J28:J28)</f>
        <v>0</v>
      </c>
      <c r="K31" s="219"/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Planilha26"/>
  <dimension ref="A1:L31"/>
  <sheetViews>
    <sheetView workbookViewId="0">
      <selection activeCell="C28" sqref="C28"/>
    </sheetView>
  </sheetViews>
  <sheetFormatPr defaultColWidth="9.140625" defaultRowHeight="13.5"/>
  <cols>
    <col min="1" max="1" width="25.5703125" style="3" customWidth="1"/>
    <col min="2" max="2" width="22" style="3" customWidth="1"/>
    <col min="3" max="4" width="19.5703125" style="3" customWidth="1"/>
    <col min="5" max="8" width="16" style="3" customWidth="1"/>
    <col min="9" max="9" width="17.28515625" style="3" bestFit="1" customWidth="1"/>
    <col min="10" max="10" width="16" style="3" customWidth="1"/>
    <col min="11" max="11" width="16" style="3" bestFit="1" customWidth="1"/>
    <col min="12" max="12" width="17.28515625" style="3" bestFit="1" customWidth="1"/>
    <col min="13" max="16384" width="9.140625" style="3"/>
  </cols>
  <sheetData>
    <row r="1" spans="1:12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  <c r="I1" s="204" t="s">
        <v>24978</v>
      </c>
      <c r="J1" s="204" t="s">
        <v>24974</v>
      </c>
      <c r="K1" s="204" t="s">
        <v>24933</v>
      </c>
      <c r="L1" s="204" t="s">
        <v>24975</v>
      </c>
    </row>
    <row r="2" spans="1:12">
      <c r="A2" s="205">
        <v>44197</v>
      </c>
      <c r="B2" s="210">
        <v>0</v>
      </c>
      <c r="C2" s="211">
        <v>0</v>
      </c>
      <c r="D2" s="210">
        <v>0</v>
      </c>
      <c r="E2" s="211">
        <v>0</v>
      </c>
      <c r="F2" s="211">
        <v>0</v>
      </c>
      <c r="G2" s="211">
        <v>0</v>
      </c>
      <c r="H2" s="208">
        <v>0</v>
      </c>
      <c r="I2" s="208">
        <v>0</v>
      </c>
      <c r="J2" s="208">
        <v>0</v>
      </c>
      <c r="K2" s="208">
        <f>I2+J2</f>
        <v>0</v>
      </c>
      <c r="L2" s="208">
        <v>29.64</v>
      </c>
    </row>
    <row r="3" spans="1:12">
      <c r="A3" s="205">
        <v>44228</v>
      </c>
      <c r="B3" s="210">
        <v>0</v>
      </c>
      <c r="C3" s="211">
        <v>0</v>
      </c>
      <c r="D3" s="210">
        <v>0</v>
      </c>
      <c r="E3" s="211">
        <v>0</v>
      </c>
      <c r="F3" s="211">
        <v>0</v>
      </c>
      <c r="G3" s="211">
        <v>0</v>
      </c>
      <c r="H3" s="208">
        <v>0</v>
      </c>
      <c r="I3" s="208">
        <v>0</v>
      </c>
      <c r="J3" s="208">
        <v>0</v>
      </c>
      <c r="K3" s="208">
        <f>I3+J3</f>
        <v>0</v>
      </c>
      <c r="L3" s="208"/>
    </row>
    <row r="4" spans="1:12">
      <c r="A4" s="205">
        <v>44256</v>
      </c>
      <c r="B4" s="210">
        <v>0</v>
      </c>
      <c r="C4" s="211">
        <v>0</v>
      </c>
      <c r="D4" s="210">
        <v>0</v>
      </c>
      <c r="E4" s="211">
        <v>0</v>
      </c>
      <c r="F4" s="211">
        <v>0</v>
      </c>
      <c r="G4" s="211">
        <v>0</v>
      </c>
      <c r="H4" s="208">
        <v>0</v>
      </c>
      <c r="I4" s="208">
        <v>0</v>
      </c>
      <c r="J4" s="208">
        <v>0</v>
      </c>
      <c r="K4" s="208">
        <f t="shared" ref="K4:K20" si="0">I4+J4</f>
        <v>0</v>
      </c>
      <c r="L4" s="208"/>
    </row>
    <row r="5" spans="1:12">
      <c r="A5" s="205">
        <v>44287</v>
      </c>
      <c r="B5" s="210">
        <v>0</v>
      </c>
      <c r="C5" s="211">
        <v>0</v>
      </c>
      <c r="D5" s="210">
        <v>0</v>
      </c>
      <c r="E5" s="211">
        <v>0</v>
      </c>
      <c r="F5" s="211">
        <v>0</v>
      </c>
      <c r="G5" s="211">
        <v>0</v>
      </c>
      <c r="H5" s="208">
        <v>0</v>
      </c>
      <c r="I5" s="208">
        <v>0</v>
      </c>
      <c r="J5" s="208">
        <v>0</v>
      </c>
      <c r="K5" s="208">
        <f t="shared" si="0"/>
        <v>0</v>
      </c>
      <c r="L5" s="208"/>
    </row>
    <row r="6" spans="1:12">
      <c r="A6" s="205">
        <v>44317</v>
      </c>
      <c r="B6" s="210">
        <v>8360</v>
      </c>
      <c r="C6" s="211">
        <v>8260</v>
      </c>
      <c r="D6" s="210">
        <v>1143.21</v>
      </c>
      <c r="E6" s="211">
        <v>751.97</v>
      </c>
      <c r="F6" s="211">
        <v>0</v>
      </c>
      <c r="G6" s="211">
        <v>0</v>
      </c>
      <c r="H6" s="208">
        <v>0</v>
      </c>
      <c r="I6" s="208">
        <v>6464.82</v>
      </c>
      <c r="J6" s="208">
        <v>0</v>
      </c>
      <c r="K6" s="208">
        <f t="shared" si="0"/>
        <v>6464.82</v>
      </c>
      <c r="L6" s="208"/>
    </row>
    <row r="7" spans="1:12">
      <c r="A7" s="205">
        <v>44348</v>
      </c>
      <c r="B7" s="210">
        <v>12650</v>
      </c>
      <c r="C7" s="211">
        <v>10078.48</v>
      </c>
      <c r="D7" s="210">
        <v>1902.22</v>
      </c>
      <c r="E7" s="211">
        <v>751.97</v>
      </c>
      <c r="F7" s="211">
        <v>0</v>
      </c>
      <c r="G7" s="211">
        <v>0</v>
      </c>
      <c r="H7" s="208">
        <f t="shared" ref="H7:H13" si="1">383.49+396.47</f>
        <v>779.96</v>
      </c>
      <c r="I7" s="208">
        <v>4349.88</v>
      </c>
      <c r="J7" s="208">
        <v>4720</v>
      </c>
      <c r="K7" s="208">
        <f t="shared" si="0"/>
        <v>9069.880000000001</v>
      </c>
      <c r="L7" s="208"/>
    </row>
    <row r="8" spans="1:12">
      <c r="A8" s="205">
        <v>44378</v>
      </c>
      <c r="B8" s="210">
        <v>11900</v>
      </c>
      <c r="C8" s="211">
        <v>10078.48</v>
      </c>
      <c r="D8" s="210">
        <v>1902.22</v>
      </c>
      <c r="E8" s="211">
        <v>751.97</v>
      </c>
      <c r="F8" s="211">
        <v>0</v>
      </c>
      <c r="G8" s="211">
        <v>0</v>
      </c>
      <c r="H8" s="208">
        <f t="shared" si="1"/>
        <v>779.96</v>
      </c>
      <c r="I8" s="208">
        <v>3659.47</v>
      </c>
      <c r="J8" s="208">
        <v>4720</v>
      </c>
      <c r="K8" s="208">
        <f t="shared" si="0"/>
        <v>8379.4699999999993</v>
      </c>
      <c r="L8" s="208"/>
    </row>
    <row r="9" spans="1:12">
      <c r="A9" s="205">
        <v>44409</v>
      </c>
      <c r="B9" s="210">
        <v>11900</v>
      </c>
      <c r="C9" s="211">
        <v>10078.48</v>
      </c>
      <c r="D9" s="210">
        <v>1902.22</v>
      </c>
      <c r="E9" s="211">
        <v>751.97</v>
      </c>
      <c r="F9" s="211">
        <v>0</v>
      </c>
      <c r="G9" s="211">
        <v>0</v>
      </c>
      <c r="H9" s="208">
        <f t="shared" si="1"/>
        <v>779.96</v>
      </c>
      <c r="I9" s="208">
        <v>3659.47</v>
      </c>
      <c r="J9" s="208">
        <v>4720</v>
      </c>
      <c r="K9" s="208">
        <f t="shared" si="0"/>
        <v>8379.4699999999993</v>
      </c>
      <c r="L9" s="208"/>
    </row>
    <row r="10" spans="1:12">
      <c r="A10" s="205">
        <v>44440</v>
      </c>
      <c r="B10" s="210">
        <v>11900</v>
      </c>
      <c r="C10" s="211">
        <v>10078.48</v>
      </c>
      <c r="D10" s="210">
        <v>1902.22</v>
      </c>
      <c r="E10" s="211">
        <v>751.97</v>
      </c>
      <c r="F10" s="211">
        <v>0</v>
      </c>
      <c r="G10" s="211">
        <v>0</v>
      </c>
      <c r="H10" s="208">
        <f t="shared" si="1"/>
        <v>779.96</v>
      </c>
      <c r="I10" s="208">
        <v>3659.47</v>
      </c>
      <c r="J10" s="208">
        <v>4720</v>
      </c>
      <c r="K10" s="208">
        <f t="shared" si="0"/>
        <v>8379.4699999999993</v>
      </c>
      <c r="L10" s="208"/>
    </row>
    <row r="11" spans="1:12">
      <c r="A11" s="205">
        <v>44470</v>
      </c>
      <c r="B11" s="210">
        <v>11900</v>
      </c>
      <c r="C11" s="211">
        <v>10078.48</v>
      </c>
      <c r="D11" s="210">
        <v>1902.22</v>
      </c>
      <c r="E11" s="211">
        <v>751.97</v>
      </c>
      <c r="F11" s="211">
        <v>0</v>
      </c>
      <c r="G11" s="211">
        <v>113.62</v>
      </c>
      <c r="H11" s="208">
        <f t="shared" si="1"/>
        <v>779.96</v>
      </c>
      <c r="I11" s="208">
        <v>3545.85</v>
      </c>
      <c r="J11" s="208">
        <v>4720</v>
      </c>
      <c r="K11" s="208">
        <f t="shared" si="0"/>
        <v>8265.85</v>
      </c>
      <c r="L11" s="208"/>
    </row>
    <row r="12" spans="1:12">
      <c r="A12" s="205">
        <v>44501</v>
      </c>
      <c r="B12" s="210">
        <v>11900</v>
      </c>
      <c r="C12" s="211">
        <v>10078.48</v>
      </c>
      <c r="D12" s="210">
        <v>1902.22</v>
      </c>
      <c r="E12" s="211">
        <v>751.97</v>
      </c>
      <c r="F12" s="211">
        <v>0</v>
      </c>
      <c r="G12" s="211">
        <v>303.83999999999997</v>
      </c>
      <c r="H12" s="208">
        <f t="shared" si="1"/>
        <v>779.96</v>
      </c>
      <c r="I12" s="208">
        <v>3355.63</v>
      </c>
      <c r="J12" s="208">
        <v>4720</v>
      </c>
      <c r="K12" s="208">
        <f t="shared" si="0"/>
        <v>8075.63</v>
      </c>
      <c r="L12" s="208"/>
    </row>
    <row r="13" spans="1:12">
      <c r="A13" s="205">
        <v>44531</v>
      </c>
      <c r="B13" s="210">
        <v>11900</v>
      </c>
      <c r="C13" s="211">
        <v>10078.48</v>
      </c>
      <c r="D13" s="210">
        <v>1902.22</v>
      </c>
      <c r="E13" s="211">
        <v>751.97</v>
      </c>
      <c r="F13" s="211">
        <v>0</v>
      </c>
      <c r="G13" s="211">
        <v>52.26</v>
      </c>
      <c r="H13" s="208">
        <f t="shared" si="1"/>
        <v>779.96</v>
      </c>
      <c r="I13" s="208">
        <v>3355.63</v>
      </c>
      <c r="J13" s="208">
        <v>4720</v>
      </c>
      <c r="K13" s="208">
        <f t="shared" si="0"/>
        <v>8075.63</v>
      </c>
      <c r="L13" s="208"/>
    </row>
    <row r="14" spans="1:12">
      <c r="A14" s="209" t="s">
        <v>24969</v>
      </c>
      <c r="B14" s="210"/>
      <c r="C14" s="211"/>
      <c r="D14" s="210"/>
      <c r="E14" s="211"/>
      <c r="F14" s="211"/>
      <c r="G14" s="211"/>
      <c r="H14" s="208"/>
      <c r="I14" s="208"/>
      <c r="J14" s="208"/>
      <c r="K14" s="208">
        <f t="shared" si="0"/>
        <v>0</v>
      </c>
      <c r="L14" s="208"/>
    </row>
    <row r="15" spans="1:12">
      <c r="A15" s="209" t="s">
        <v>24970</v>
      </c>
      <c r="B15" s="210"/>
      <c r="C15" s="211"/>
      <c r="D15" s="210"/>
      <c r="E15" s="211"/>
      <c r="F15" s="211"/>
      <c r="G15" s="211"/>
      <c r="H15" s="208"/>
      <c r="I15" s="208"/>
      <c r="J15" s="208"/>
      <c r="K15" s="208">
        <f t="shared" si="0"/>
        <v>0</v>
      </c>
      <c r="L15" s="208"/>
    </row>
    <row r="16" spans="1:12">
      <c r="A16" s="209" t="s">
        <v>24963</v>
      </c>
      <c r="B16" s="210"/>
      <c r="C16" s="211"/>
      <c r="D16" s="210"/>
      <c r="E16" s="211"/>
      <c r="F16" s="211"/>
      <c r="G16" s="211"/>
      <c r="H16" s="208"/>
      <c r="I16" s="208"/>
      <c r="J16" s="208"/>
      <c r="K16" s="208">
        <f t="shared" si="0"/>
        <v>0</v>
      </c>
      <c r="L16" s="208"/>
    </row>
    <row r="17" spans="1:12">
      <c r="A17" s="209" t="s">
        <v>24964</v>
      </c>
      <c r="B17" s="210">
        <v>7866.674</v>
      </c>
      <c r="C17" s="211">
        <v>6925.11</v>
      </c>
      <c r="D17" s="210">
        <v>1035.05</v>
      </c>
      <c r="E17" s="211">
        <v>751.97</v>
      </c>
      <c r="F17" s="211"/>
      <c r="G17" s="211"/>
      <c r="H17" s="208"/>
      <c r="I17" s="208">
        <v>2146.3200000000002</v>
      </c>
      <c r="J17" s="208">
        <v>3933.33</v>
      </c>
      <c r="K17" s="208">
        <f t="shared" si="0"/>
        <v>6079.65</v>
      </c>
      <c r="L17" s="208"/>
    </row>
    <row r="18" spans="1:12">
      <c r="A18" s="209" t="s">
        <v>24946</v>
      </c>
      <c r="B18" s="210"/>
      <c r="C18" s="211"/>
      <c r="D18" s="210"/>
      <c r="E18" s="211"/>
      <c r="F18" s="211"/>
      <c r="G18" s="211"/>
      <c r="H18" s="208"/>
      <c r="I18" s="208"/>
      <c r="J18" s="208"/>
      <c r="K18" s="208">
        <f t="shared" si="0"/>
        <v>0</v>
      </c>
      <c r="L18" s="208"/>
    </row>
    <row r="19" spans="1:12">
      <c r="A19" s="209" t="s">
        <v>24947</v>
      </c>
      <c r="B19" s="210"/>
      <c r="C19" s="211"/>
      <c r="D19" s="210"/>
      <c r="E19" s="211"/>
      <c r="F19" s="211"/>
      <c r="G19" s="211"/>
      <c r="H19" s="208"/>
      <c r="I19" s="208"/>
      <c r="J19" s="208"/>
      <c r="K19" s="208">
        <f t="shared" si="0"/>
        <v>0</v>
      </c>
      <c r="L19" s="208"/>
    </row>
    <row r="20" spans="1:12">
      <c r="A20" s="209" t="s">
        <v>24967</v>
      </c>
      <c r="B20" s="210"/>
      <c r="C20" s="211"/>
      <c r="D20" s="210"/>
      <c r="E20" s="211"/>
      <c r="F20" s="211"/>
      <c r="G20" s="211"/>
      <c r="H20" s="208"/>
      <c r="I20" s="208"/>
      <c r="J20" s="208"/>
      <c r="K20" s="208">
        <f t="shared" si="0"/>
        <v>0</v>
      </c>
      <c r="L20" s="208"/>
    </row>
    <row r="21" spans="1:12">
      <c r="A21" s="209" t="s">
        <v>24968</v>
      </c>
      <c r="B21" s="210"/>
      <c r="C21" s="211"/>
      <c r="D21" s="210"/>
      <c r="E21" s="211"/>
      <c r="F21" s="211"/>
      <c r="G21" s="211"/>
      <c r="H21" s="208"/>
      <c r="I21" s="208"/>
      <c r="J21" s="208"/>
      <c r="K21" s="208"/>
      <c r="L21" s="208"/>
    </row>
    <row r="22" spans="1:12">
      <c r="A22" s="209" t="s">
        <v>24971</v>
      </c>
      <c r="B22" s="210"/>
      <c r="C22" s="211"/>
      <c r="D22" s="210"/>
      <c r="E22" s="211"/>
      <c r="F22" s="211"/>
      <c r="G22" s="211"/>
      <c r="H22" s="208"/>
      <c r="I22" s="208"/>
      <c r="J22" s="208"/>
      <c r="K22" s="208"/>
      <c r="L22" s="208"/>
    </row>
    <row r="23" spans="1:12">
      <c r="A23" s="209" t="s">
        <v>24972</v>
      </c>
      <c r="B23" s="210"/>
      <c r="C23" s="211"/>
      <c r="D23" s="210"/>
      <c r="E23" s="211"/>
      <c r="F23" s="211"/>
      <c r="G23" s="211"/>
      <c r="H23" s="208"/>
      <c r="I23" s="208"/>
      <c r="J23" s="208"/>
      <c r="K23" s="208"/>
      <c r="L23" s="208"/>
    </row>
    <row r="24" spans="1:12">
      <c r="A24" s="212"/>
      <c r="B24" s="213"/>
      <c r="C24" s="213"/>
      <c r="D24" s="213"/>
      <c r="E24" s="213"/>
      <c r="F24" s="213"/>
      <c r="G24" s="213"/>
      <c r="H24" s="213"/>
    </row>
    <row r="26" spans="1:12">
      <c r="A26" s="25" t="s">
        <v>24948</v>
      </c>
      <c r="B26" s="25"/>
      <c r="C26" s="25"/>
      <c r="D26" s="25"/>
    </row>
    <row r="27" spans="1:12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  <c r="K27" s="214" t="str">
        <f>I1</f>
        <v xml:space="preserve">Liquido </v>
      </c>
    </row>
    <row r="28" spans="1:12">
      <c r="A28" s="215" t="s">
        <v>24981</v>
      </c>
      <c r="B28" s="1366" t="s">
        <v>24982</v>
      </c>
      <c r="C28" s="216">
        <f>SUM(B2:B19)</f>
        <v>100276.674</v>
      </c>
      <c r="D28" s="216">
        <f>SUM(C2:C13)</f>
        <v>78809.359999999986</v>
      </c>
      <c r="E28" s="217">
        <f>SUM(C16:C17)</f>
        <v>6925.11</v>
      </c>
      <c r="F28" s="216">
        <f>SUM(D2:D19)</f>
        <v>15493.799999999997</v>
      </c>
      <c r="G28" s="216">
        <f>SUM(E2:E19)</f>
        <v>6767.7300000000014</v>
      </c>
      <c r="H28" s="216">
        <f>SUM(F2:F19)</f>
        <v>0</v>
      </c>
      <c r="I28" s="216">
        <f>SUM(G2:G19)</f>
        <v>469.71999999999997</v>
      </c>
      <c r="J28" s="216">
        <f>SUM(H2:H19)</f>
        <v>5459.72</v>
      </c>
      <c r="K28" s="216">
        <f>SUM(K2:K27)</f>
        <v>71169.87</v>
      </c>
    </row>
    <row r="29" spans="1:12">
      <c r="A29" s="215"/>
      <c r="B29" s="215"/>
      <c r="C29" s="216"/>
      <c r="D29" s="216"/>
      <c r="E29" s="217"/>
      <c r="F29" s="216"/>
      <c r="G29" s="216"/>
      <c r="H29" s="216"/>
      <c r="I29" s="216"/>
      <c r="J29" s="216"/>
      <c r="K29" s="216"/>
    </row>
    <row r="30" spans="1:12">
      <c r="A30" s="215"/>
      <c r="B30" s="215"/>
      <c r="C30" s="216"/>
      <c r="D30" s="216"/>
      <c r="E30" s="217"/>
      <c r="F30" s="216"/>
      <c r="G30" s="216"/>
      <c r="H30" s="216"/>
      <c r="I30" s="216"/>
      <c r="J30" s="216"/>
      <c r="K30" s="216"/>
    </row>
    <row r="31" spans="1:12">
      <c r="A31" s="25"/>
      <c r="B31" s="218" t="s">
        <v>24960</v>
      </c>
      <c r="C31" s="219">
        <f>SUM(C28)</f>
        <v>100276.674</v>
      </c>
      <c r="D31" s="219">
        <f>SUM(D28:D28)</f>
        <v>78809.359999999986</v>
      </c>
      <c r="E31" s="220">
        <f>SUM(E28)</f>
        <v>6925.11</v>
      </c>
      <c r="F31" s="219">
        <f>SUM(F28:F28)</f>
        <v>15493.799999999997</v>
      </c>
      <c r="G31" s="219">
        <f>SUM(G28:G28)</f>
        <v>6767.7300000000014</v>
      </c>
      <c r="H31" s="219">
        <f>SUM(H28:H28)</f>
        <v>0</v>
      </c>
      <c r="I31" s="219">
        <f>SUM(I28:I28)</f>
        <v>469.71999999999997</v>
      </c>
      <c r="J31" s="219">
        <f>SUM(J28:J28)</f>
        <v>5459.72</v>
      </c>
      <c r="K31" s="219"/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8"/>
  <dimension ref="A1:L32"/>
  <sheetViews>
    <sheetView workbookViewId="0">
      <selection activeCell="L14" sqref="L14"/>
    </sheetView>
  </sheetViews>
  <sheetFormatPr defaultColWidth="9.140625" defaultRowHeight="13.5"/>
  <cols>
    <col min="1" max="1" width="25.5703125" style="3" customWidth="1"/>
    <col min="2" max="2" width="21.28515625" style="3" bestFit="1" customWidth="1"/>
    <col min="3" max="4" width="19.5703125" style="3" customWidth="1"/>
    <col min="5" max="8" width="16" style="3" customWidth="1"/>
    <col min="9" max="9" width="17.28515625" style="3" bestFit="1" customWidth="1"/>
    <col min="10" max="10" width="16" style="3" customWidth="1"/>
    <col min="11" max="11" width="16" style="3" bestFit="1" customWidth="1"/>
    <col min="12" max="12" width="17.28515625" style="3" bestFit="1" customWidth="1"/>
    <col min="13" max="16384" width="9.140625" style="3"/>
  </cols>
  <sheetData>
    <row r="1" spans="1:12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  <c r="I1" s="204" t="s">
        <v>24978</v>
      </c>
      <c r="J1" s="204" t="s">
        <v>24974</v>
      </c>
      <c r="K1" s="204" t="s">
        <v>24933</v>
      </c>
      <c r="L1" s="204" t="s">
        <v>24975</v>
      </c>
    </row>
    <row r="2" spans="1:12">
      <c r="A2" s="205">
        <v>44562</v>
      </c>
      <c r="B2" s="208">
        <v>12600.04</v>
      </c>
      <c r="C2" s="208">
        <v>10761.75</v>
      </c>
      <c r="D2" s="208">
        <v>2090.12</v>
      </c>
      <c r="E2" s="208">
        <v>828.38</v>
      </c>
      <c r="F2" s="211">
        <v>0</v>
      </c>
      <c r="G2" s="208">
        <v>114.91</v>
      </c>
      <c r="H2" s="208">
        <f t="shared" ref="H2:H7" si="0">410.83+409.49</f>
        <v>820.31999999999994</v>
      </c>
      <c r="I2" s="208">
        <v>4000.64</v>
      </c>
      <c r="J2" s="208">
        <v>4720</v>
      </c>
      <c r="K2" s="208">
        <f>I2+J2</f>
        <v>8720.64</v>
      </c>
      <c r="L2" s="208">
        <v>29.64</v>
      </c>
    </row>
    <row r="3" spans="1:12">
      <c r="A3" s="205">
        <v>44593</v>
      </c>
      <c r="B3" s="210">
        <v>12600.04</v>
      </c>
      <c r="C3" s="211">
        <v>10761.75</v>
      </c>
      <c r="D3" s="210">
        <v>2090.12</v>
      </c>
      <c r="E3" s="211">
        <v>828.38</v>
      </c>
      <c r="F3" s="211">
        <v>0</v>
      </c>
      <c r="G3" s="211">
        <v>0</v>
      </c>
      <c r="H3" s="208">
        <f t="shared" si="0"/>
        <v>820.31999999999994</v>
      </c>
      <c r="I3" s="208">
        <v>3812.61</v>
      </c>
      <c r="J3" s="208">
        <v>5040.0200000000004</v>
      </c>
      <c r="K3" s="208">
        <f>I3+J3</f>
        <v>8852.630000000001</v>
      </c>
      <c r="L3" s="208"/>
    </row>
    <row r="4" spans="1:12">
      <c r="A4" s="205">
        <v>44621</v>
      </c>
      <c r="B4" s="210">
        <v>12600.04</v>
      </c>
      <c r="C4" s="211">
        <v>10761.75</v>
      </c>
      <c r="D4" s="210">
        <v>2090.12</v>
      </c>
      <c r="E4" s="211">
        <v>828.38</v>
      </c>
      <c r="F4" s="211">
        <v>0</v>
      </c>
      <c r="G4" s="211">
        <v>129.41</v>
      </c>
      <c r="H4" s="208">
        <f t="shared" si="0"/>
        <v>820.31999999999994</v>
      </c>
      <c r="I4" s="208">
        <v>3692.37</v>
      </c>
      <c r="J4" s="208">
        <v>5040.0200000000004</v>
      </c>
      <c r="K4" s="208">
        <f>I4+J4</f>
        <v>8732.39</v>
      </c>
      <c r="L4" s="208"/>
    </row>
    <row r="5" spans="1:12">
      <c r="A5" s="205">
        <v>44652</v>
      </c>
      <c r="B5" s="210">
        <v>12600.04</v>
      </c>
      <c r="C5" s="211">
        <v>10761.75</v>
      </c>
      <c r="D5" s="210">
        <v>2090.12</v>
      </c>
      <c r="E5" s="211">
        <v>828.38</v>
      </c>
      <c r="F5" s="211">
        <v>0</v>
      </c>
      <c r="G5" s="211">
        <v>0</v>
      </c>
      <c r="H5" s="208">
        <f t="shared" si="0"/>
        <v>820.31999999999994</v>
      </c>
      <c r="I5" s="208">
        <v>3790.57</v>
      </c>
      <c r="J5" s="208">
        <v>5040.0200000000004</v>
      </c>
      <c r="K5" s="208">
        <f>I5+J5</f>
        <v>8830.59</v>
      </c>
      <c r="L5" s="208"/>
    </row>
    <row r="6" spans="1:12">
      <c r="A6" s="205">
        <v>44682</v>
      </c>
      <c r="B6" s="210">
        <v>12600.04</v>
      </c>
      <c r="C6" s="211">
        <v>10761.75</v>
      </c>
      <c r="D6" s="210">
        <v>2090.12</v>
      </c>
      <c r="E6" s="211">
        <v>828.38</v>
      </c>
      <c r="F6" s="211">
        <v>0</v>
      </c>
      <c r="G6" s="211">
        <v>155.12</v>
      </c>
      <c r="H6" s="208">
        <f t="shared" si="0"/>
        <v>820.31999999999994</v>
      </c>
      <c r="I6" s="208">
        <v>3635.45</v>
      </c>
      <c r="J6" s="208">
        <v>5040.0200000000004</v>
      </c>
      <c r="K6" s="208">
        <f t="shared" ref="K6:K21" si="1">I6+J6</f>
        <v>8675.4700000000012</v>
      </c>
      <c r="L6" s="208"/>
    </row>
    <row r="7" spans="1:12">
      <c r="A7" s="205">
        <v>44713</v>
      </c>
      <c r="B7" s="210">
        <v>12600.04</v>
      </c>
      <c r="C7" s="211">
        <v>10761.75</v>
      </c>
      <c r="D7" s="210">
        <v>2090.12</v>
      </c>
      <c r="E7" s="211">
        <v>828.38</v>
      </c>
      <c r="F7" s="211">
        <v>4.71</v>
      </c>
      <c r="G7" s="211">
        <v>55.56</v>
      </c>
      <c r="H7" s="208">
        <f t="shared" si="0"/>
        <v>820.31999999999994</v>
      </c>
      <c r="I7" s="208">
        <v>3730.3</v>
      </c>
      <c r="J7" s="208">
        <v>5040.0200000000004</v>
      </c>
      <c r="K7" s="208">
        <f t="shared" si="1"/>
        <v>8770.32</v>
      </c>
      <c r="L7" s="208"/>
    </row>
    <row r="8" spans="1:12">
      <c r="A8" s="205">
        <v>44743</v>
      </c>
      <c r="B8" s="210"/>
      <c r="C8" s="211"/>
      <c r="D8" s="210"/>
      <c r="E8" s="211"/>
      <c r="F8" s="211"/>
      <c r="G8" s="211"/>
      <c r="H8" s="208"/>
      <c r="I8" s="208"/>
      <c r="J8" s="208"/>
      <c r="K8" s="208">
        <f t="shared" si="1"/>
        <v>0</v>
      </c>
      <c r="L8" s="208"/>
    </row>
    <row r="9" spans="1:12">
      <c r="A9" s="205">
        <v>44774</v>
      </c>
      <c r="B9" s="210">
        <v>5333.33</v>
      </c>
      <c r="C9" s="211">
        <v>5333.33</v>
      </c>
      <c r="D9" s="210">
        <v>390.07</v>
      </c>
      <c r="E9" s="211">
        <v>582.84</v>
      </c>
      <c r="F9" s="211"/>
      <c r="G9" s="211">
        <v>43.2</v>
      </c>
      <c r="H9" s="208">
        <v>0</v>
      </c>
      <c r="I9" s="208">
        <v>5263.57</v>
      </c>
      <c r="J9" s="208">
        <v>0</v>
      </c>
      <c r="K9" s="208">
        <f t="shared" si="1"/>
        <v>5263.57</v>
      </c>
      <c r="L9" s="208">
        <v>3</v>
      </c>
    </row>
    <row r="10" spans="1:12">
      <c r="A10" s="205">
        <v>44805</v>
      </c>
      <c r="B10" s="210">
        <v>10000</v>
      </c>
      <c r="C10" s="211">
        <v>10000</v>
      </c>
      <c r="D10" s="210">
        <v>1600.7</v>
      </c>
      <c r="E10" s="211">
        <v>828.38</v>
      </c>
      <c r="F10" s="211">
        <v>8.4</v>
      </c>
      <c r="G10" s="211">
        <v>43.2</v>
      </c>
      <c r="H10" s="208">
        <v>0</v>
      </c>
      <c r="I10" s="208">
        <v>7427.32</v>
      </c>
      <c r="J10" s="208">
        <v>0</v>
      </c>
      <c r="K10" s="208">
        <f t="shared" si="1"/>
        <v>7427.32</v>
      </c>
      <c r="L10" s="208">
        <v>3</v>
      </c>
    </row>
    <row r="11" spans="1:12">
      <c r="A11" s="205">
        <v>44835</v>
      </c>
      <c r="B11" s="210">
        <v>12196.45</v>
      </c>
      <c r="C11" s="211">
        <v>11200</v>
      </c>
      <c r="D11" s="210">
        <v>1930.7</v>
      </c>
      <c r="E11" s="211">
        <v>828.38</v>
      </c>
      <c r="F11" s="211">
        <v>68.400000000000006</v>
      </c>
      <c r="G11" s="211">
        <v>27.7</v>
      </c>
      <c r="H11" s="208">
        <v>0</v>
      </c>
      <c r="I11" s="208">
        <v>9251.17</v>
      </c>
      <c r="J11" s="208">
        <v>0</v>
      </c>
      <c r="K11" s="208">
        <f t="shared" si="1"/>
        <v>9251.17</v>
      </c>
      <c r="L11" s="208">
        <v>3</v>
      </c>
    </row>
    <row r="12" spans="1:12">
      <c r="A12" s="205">
        <v>44866</v>
      </c>
      <c r="B12" s="210">
        <v>12808.34</v>
      </c>
      <c r="C12" s="211">
        <v>10600</v>
      </c>
      <c r="D12" s="210">
        <v>1765.7</v>
      </c>
      <c r="E12" s="211">
        <v>828.38</v>
      </c>
      <c r="F12" s="211">
        <v>68.400000000000006</v>
      </c>
      <c r="G12" s="211">
        <v>43.2</v>
      </c>
      <c r="H12" s="208">
        <v>0</v>
      </c>
      <c r="I12" s="208">
        <v>10067.26</v>
      </c>
      <c r="J12" s="208">
        <v>0</v>
      </c>
      <c r="K12" s="208">
        <f t="shared" si="1"/>
        <v>10067.26</v>
      </c>
      <c r="L12" s="208">
        <v>3</v>
      </c>
    </row>
    <row r="13" spans="1:12">
      <c r="A13" s="205">
        <v>44896</v>
      </c>
      <c r="B13" s="210">
        <v>10600</v>
      </c>
      <c r="C13" s="211">
        <v>10600</v>
      </c>
      <c r="D13" s="210">
        <v>1765.7</v>
      </c>
      <c r="E13" s="211">
        <v>828.38</v>
      </c>
      <c r="F13" s="211">
        <v>68.400000000000006</v>
      </c>
      <c r="G13" s="211">
        <v>43.2</v>
      </c>
      <c r="H13" s="208">
        <v>0</v>
      </c>
      <c r="I13" s="208">
        <v>7855.68</v>
      </c>
      <c r="J13" s="208">
        <v>0</v>
      </c>
      <c r="K13" s="208">
        <f t="shared" si="1"/>
        <v>7855.68</v>
      </c>
      <c r="L13" s="208">
        <v>3</v>
      </c>
    </row>
    <row r="14" spans="1:12">
      <c r="A14" s="209" t="s">
        <v>24969</v>
      </c>
      <c r="B14" s="210"/>
      <c r="C14" s="211"/>
      <c r="D14" s="210"/>
      <c r="E14" s="211"/>
      <c r="F14" s="211"/>
      <c r="G14" s="211"/>
      <c r="H14" s="208"/>
      <c r="I14" s="208"/>
      <c r="J14" s="208"/>
      <c r="K14" s="208">
        <f t="shared" si="1"/>
        <v>0</v>
      </c>
      <c r="L14" s="208"/>
    </row>
    <row r="15" spans="1:12">
      <c r="A15" s="209" t="s">
        <v>24970</v>
      </c>
      <c r="B15" s="210"/>
      <c r="C15" s="211"/>
      <c r="D15" s="210"/>
      <c r="E15" s="211"/>
      <c r="F15" s="211"/>
      <c r="G15" s="211"/>
      <c r="H15" s="208"/>
      <c r="I15" s="208"/>
      <c r="J15" s="208"/>
      <c r="K15" s="208">
        <f t="shared" si="1"/>
        <v>0</v>
      </c>
      <c r="L15" s="208"/>
    </row>
    <row r="16" spans="1:12">
      <c r="A16" s="209" t="s">
        <v>24963</v>
      </c>
      <c r="B16" s="210">
        <v>6300.02</v>
      </c>
      <c r="C16" s="211"/>
      <c r="D16" s="210"/>
      <c r="E16" s="211"/>
      <c r="F16" s="211"/>
      <c r="G16" s="211"/>
      <c r="H16" s="208"/>
      <c r="I16" s="208"/>
      <c r="J16" s="208"/>
      <c r="K16" s="208">
        <f t="shared" si="1"/>
        <v>0</v>
      </c>
      <c r="L16" s="208"/>
    </row>
    <row r="17" spans="1:12">
      <c r="A17" s="209" t="s">
        <v>24963</v>
      </c>
      <c r="B17" s="210">
        <v>2208.34</v>
      </c>
      <c r="C17" s="211"/>
      <c r="D17" s="210"/>
      <c r="E17" s="211"/>
      <c r="F17" s="211"/>
      <c r="G17" s="211"/>
      <c r="H17" s="208"/>
      <c r="I17" s="208"/>
      <c r="J17" s="208"/>
      <c r="K17" s="208"/>
      <c r="L17" s="208"/>
    </row>
    <row r="18" spans="1:12">
      <c r="A18" s="209" t="s">
        <v>24964</v>
      </c>
      <c r="B18" s="210"/>
      <c r="C18" s="211"/>
      <c r="D18" s="210"/>
      <c r="E18" s="211"/>
      <c r="F18" s="211"/>
      <c r="G18" s="211"/>
      <c r="H18" s="208"/>
      <c r="I18" s="208"/>
      <c r="J18" s="208"/>
      <c r="K18" s="208">
        <f t="shared" si="1"/>
        <v>0</v>
      </c>
      <c r="L18" s="208"/>
    </row>
    <row r="19" spans="1:12">
      <c r="A19" s="209" t="s">
        <v>24946</v>
      </c>
      <c r="B19" s="210"/>
      <c r="C19" s="211"/>
      <c r="D19" s="210"/>
      <c r="E19" s="211"/>
      <c r="F19" s="211"/>
      <c r="G19" s="211"/>
      <c r="H19" s="208"/>
      <c r="I19" s="208"/>
      <c r="J19" s="208"/>
      <c r="K19" s="208">
        <f t="shared" si="1"/>
        <v>0</v>
      </c>
      <c r="L19" s="208"/>
    </row>
    <row r="20" spans="1:12">
      <c r="A20" s="209" t="s">
        <v>24947</v>
      </c>
      <c r="B20" s="210"/>
      <c r="C20" s="211"/>
      <c r="D20" s="210"/>
      <c r="E20" s="211"/>
      <c r="F20" s="211"/>
      <c r="G20" s="211"/>
      <c r="H20" s="208"/>
      <c r="I20" s="208"/>
      <c r="J20" s="208"/>
      <c r="K20" s="208">
        <f t="shared" si="1"/>
        <v>0</v>
      </c>
      <c r="L20" s="208"/>
    </row>
    <row r="21" spans="1:12">
      <c r="A21" s="209" t="s">
        <v>24967</v>
      </c>
      <c r="B21" s="210"/>
      <c r="C21" s="211"/>
      <c r="D21" s="210"/>
      <c r="E21" s="211"/>
      <c r="F21" s="211"/>
      <c r="G21" s="211"/>
      <c r="H21" s="208"/>
      <c r="I21" s="208"/>
      <c r="J21" s="208"/>
      <c r="K21" s="208">
        <f t="shared" si="1"/>
        <v>0</v>
      </c>
      <c r="L21" s="208"/>
    </row>
    <row r="22" spans="1:12">
      <c r="A22" s="209" t="s">
        <v>24968</v>
      </c>
      <c r="B22" s="210"/>
      <c r="C22" s="211"/>
      <c r="D22" s="210"/>
      <c r="E22" s="211"/>
      <c r="F22" s="211"/>
      <c r="G22" s="211"/>
      <c r="H22" s="208"/>
      <c r="I22" s="208"/>
      <c r="J22" s="208"/>
      <c r="K22" s="208"/>
      <c r="L22" s="208"/>
    </row>
    <row r="23" spans="1:12">
      <c r="A23" s="209" t="s">
        <v>24971</v>
      </c>
      <c r="B23" s="210"/>
      <c r="C23" s="211"/>
      <c r="D23" s="210"/>
      <c r="E23" s="211"/>
      <c r="F23" s="211"/>
      <c r="G23" s="211"/>
      <c r="H23" s="208"/>
      <c r="I23" s="208"/>
      <c r="J23" s="208"/>
      <c r="K23" s="208"/>
      <c r="L23" s="208"/>
    </row>
    <row r="24" spans="1:12">
      <c r="A24" s="209" t="s">
        <v>24972</v>
      </c>
      <c r="B24" s="210"/>
      <c r="C24" s="211"/>
      <c r="D24" s="210"/>
      <c r="E24" s="211"/>
      <c r="F24" s="211"/>
      <c r="G24" s="211"/>
      <c r="H24" s="208"/>
      <c r="I24" s="208"/>
      <c r="J24" s="208"/>
      <c r="K24" s="208"/>
      <c r="L24" s="208"/>
    </row>
    <row r="25" spans="1:12">
      <c r="A25" s="212"/>
      <c r="B25" s="213"/>
      <c r="C25" s="213"/>
      <c r="D25" s="213"/>
      <c r="E25" s="213"/>
      <c r="F25" s="213"/>
      <c r="G25" s="213"/>
      <c r="H25" s="213"/>
    </row>
    <row r="27" spans="1:12">
      <c r="A27" s="25" t="s">
        <v>24948</v>
      </c>
      <c r="B27" s="25"/>
      <c r="C27" s="25"/>
      <c r="D27" s="25"/>
    </row>
    <row r="28" spans="1:12">
      <c r="A28" s="214" t="s">
        <v>24949</v>
      </c>
      <c r="B28" s="214" t="s">
        <v>24950</v>
      </c>
      <c r="C28" s="214" t="s">
        <v>24961</v>
      </c>
      <c r="D28" s="214" t="s">
        <v>24965</v>
      </c>
      <c r="E28" s="214" t="s">
        <v>24966</v>
      </c>
      <c r="F28" s="214" t="s">
        <v>24953</v>
      </c>
      <c r="G28" s="214" t="s">
        <v>24940</v>
      </c>
      <c r="H28" s="214" t="str">
        <f>F1</f>
        <v>Desp. Odont</v>
      </c>
      <c r="I28" s="214" t="str">
        <f>G1</f>
        <v>Desp. Médicas</v>
      </c>
      <c r="J28" s="214" t="str">
        <f>H1</f>
        <v>prev. Privada</v>
      </c>
      <c r="K28" s="214" t="str">
        <f>I1</f>
        <v xml:space="preserve">Liquido </v>
      </c>
    </row>
    <row r="29" spans="1:12">
      <c r="A29" s="215" t="s">
        <v>24981</v>
      </c>
      <c r="B29" s="1366" t="s">
        <v>24982</v>
      </c>
      <c r="C29" s="216">
        <f>SUM(B2:B20)</f>
        <v>135046.72</v>
      </c>
      <c r="D29" s="216">
        <f>SUM(C2:C13)</f>
        <v>112303.83</v>
      </c>
      <c r="E29" s="217">
        <f>SUM(C16:C18)</f>
        <v>0</v>
      </c>
      <c r="F29" s="216">
        <f>SUM(D2:D20)</f>
        <v>19993.59</v>
      </c>
      <c r="G29" s="216">
        <f>SUM(E2:E20)</f>
        <v>8866.64</v>
      </c>
      <c r="H29" s="216">
        <f>SUM(F2:F20)</f>
        <v>218.31000000000003</v>
      </c>
      <c r="I29" s="216">
        <f>SUM(G2:G20)</f>
        <v>655.50000000000011</v>
      </c>
      <c r="J29" s="216">
        <f>SUM(H2:H20)</f>
        <v>4921.9199999999992</v>
      </c>
      <c r="K29" s="216">
        <f>SUM(K2:K28)</f>
        <v>92447.040000000008</v>
      </c>
    </row>
    <row r="30" spans="1:12">
      <c r="A30" s="215" t="s">
        <v>24983</v>
      </c>
      <c r="B30" s="215" t="s">
        <v>24984</v>
      </c>
      <c r="C30" s="216"/>
      <c r="D30" s="216"/>
      <c r="E30" s="217"/>
      <c r="F30" s="216"/>
      <c r="G30" s="216"/>
      <c r="H30" s="216"/>
      <c r="I30" s="216"/>
      <c r="J30" s="216"/>
      <c r="K30" s="216"/>
    </row>
    <row r="31" spans="1:12">
      <c r="A31" s="215"/>
      <c r="B31" s="215"/>
      <c r="C31" s="216"/>
      <c r="D31" s="216"/>
      <c r="E31" s="217"/>
      <c r="F31" s="216"/>
      <c r="G31" s="216"/>
      <c r="H31" s="216"/>
      <c r="I31" s="216"/>
      <c r="J31" s="216"/>
      <c r="K31" s="216"/>
    </row>
    <row r="32" spans="1:12">
      <c r="A32" s="25"/>
      <c r="B32" s="218" t="s">
        <v>24960</v>
      </c>
      <c r="C32" s="219">
        <f>SUM(C29)</f>
        <v>135046.72</v>
      </c>
      <c r="D32" s="219">
        <f>SUM(D29:D29)</f>
        <v>112303.83</v>
      </c>
      <c r="E32" s="220">
        <f>SUM(E29)</f>
        <v>0</v>
      </c>
      <c r="F32" s="219">
        <f>SUM(F29:F29)</f>
        <v>19993.59</v>
      </c>
      <c r="G32" s="219">
        <f>SUM(G29:G29)</f>
        <v>8866.64</v>
      </c>
      <c r="H32" s="219">
        <f>SUM(H29:H29)</f>
        <v>218.31000000000003</v>
      </c>
      <c r="I32" s="219">
        <f>SUM(I29:I29)</f>
        <v>655.50000000000011</v>
      </c>
      <c r="J32" s="219">
        <f>SUM(J29:J29)</f>
        <v>4921.9199999999992</v>
      </c>
      <c r="K32" s="219"/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F2A5-0C36-46F1-96E8-E3E1835B29C1}">
  <sheetPr codeName="Planilha9"/>
  <dimension ref="A1:L31"/>
  <sheetViews>
    <sheetView workbookViewId="0">
      <selection activeCell="F28" sqref="F28"/>
    </sheetView>
  </sheetViews>
  <sheetFormatPr defaultColWidth="9.140625" defaultRowHeight="13.5"/>
  <cols>
    <col min="1" max="1" width="25.5703125" style="3" customWidth="1"/>
    <col min="2" max="2" width="21.28515625" style="3" bestFit="1" customWidth="1"/>
    <col min="3" max="4" width="19.5703125" style="3" customWidth="1"/>
    <col min="5" max="8" width="16" style="3" customWidth="1"/>
    <col min="9" max="9" width="17.28515625" style="3" bestFit="1" customWidth="1"/>
    <col min="10" max="10" width="16" style="3" customWidth="1"/>
    <col min="11" max="11" width="16" style="3" bestFit="1" customWidth="1"/>
    <col min="12" max="12" width="17.28515625" style="3" bestFit="1" customWidth="1"/>
    <col min="13" max="16384" width="9.140625" style="3"/>
  </cols>
  <sheetData>
    <row r="1" spans="1:12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  <c r="I1" s="204" t="s">
        <v>24978</v>
      </c>
      <c r="J1" s="204" t="s">
        <v>24974</v>
      </c>
      <c r="K1" s="204" t="s">
        <v>24933</v>
      </c>
      <c r="L1" s="204" t="s">
        <v>24975</v>
      </c>
    </row>
    <row r="2" spans="1:12">
      <c r="A2" s="205">
        <v>44927</v>
      </c>
      <c r="B2" s="208">
        <v>10600</v>
      </c>
      <c r="C2" s="208">
        <v>10600</v>
      </c>
      <c r="D2" s="208">
        <v>1752.27</v>
      </c>
      <c r="E2" s="208">
        <v>877.22</v>
      </c>
      <c r="F2" s="211">
        <v>68.400000000000006</v>
      </c>
      <c r="G2" s="208">
        <f>56+207.87</f>
        <v>263.87</v>
      </c>
      <c r="H2" s="208">
        <v>0</v>
      </c>
      <c r="I2" s="208">
        <v>7601.22</v>
      </c>
      <c r="J2" s="208">
        <v>0</v>
      </c>
      <c r="K2" s="208">
        <f>I2+J2</f>
        <v>7601.22</v>
      </c>
      <c r="L2" s="208">
        <v>3</v>
      </c>
    </row>
    <row r="3" spans="1:12">
      <c r="A3" s="205">
        <v>44958</v>
      </c>
      <c r="B3" s="210">
        <v>10600</v>
      </c>
      <c r="C3" s="211">
        <v>10600</v>
      </c>
      <c r="D3" s="210">
        <v>1752.27</v>
      </c>
      <c r="E3" s="211">
        <v>877.22</v>
      </c>
      <c r="F3" s="211">
        <v>68.400000000000006</v>
      </c>
      <c r="G3" s="211">
        <f>56+44</f>
        <v>100</v>
      </c>
      <c r="H3" s="208">
        <v>0</v>
      </c>
      <c r="I3" s="208">
        <v>7768.33</v>
      </c>
      <c r="J3" s="208">
        <v>0</v>
      </c>
      <c r="K3" s="208">
        <f>I3+J3</f>
        <v>7768.33</v>
      </c>
      <c r="L3" s="208">
        <v>3</v>
      </c>
    </row>
    <row r="4" spans="1:12">
      <c r="A4" s="205">
        <v>44986</v>
      </c>
      <c r="B4" s="210">
        <v>10600</v>
      </c>
      <c r="C4" s="211">
        <v>10600</v>
      </c>
      <c r="D4" s="210">
        <v>1752.27</v>
      </c>
      <c r="E4" s="211">
        <v>877.22</v>
      </c>
      <c r="F4" s="211">
        <v>68.400000000000006</v>
      </c>
      <c r="G4" s="211">
        <v>56</v>
      </c>
      <c r="H4" s="208">
        <v>0</v>
      </c>
      <c r="I4" s="208">
        <v>7805.85</v>
      </c>
      <c r="J4" s="208">
        <v>0</v>
      </c>
      <c r="K4" s="208">
        <f>I4+J4</f>
        <v>7805.85</v>
      </c>
      <c r="L4" s="208">
        <v>3</v>
      </c>
    </row>
    <row r="5" spans="1:12">
      <c r="A5" s="205">
        <v>45017</v>
      </c>
      <c r="B5" s="210">
        <v>10600</v>
      </c>
      <c r="C5" s="211">
        <v>10600</v>
      </c>
      <c r="D5" s="210">
        <v>1752.27</v>
      </c>
      <c r="E5" s="211">
        <v>877.22</v>
      </c>
      <c r="F5" s="211">
        <v>68.400000000000006</v>
      </c>
      <c r="G5" s="211">
        <f>56+23.4</f>
        <v>79.400000000000006</v>
      </c>
      <c r="H5" s="208">
        <v>0</v>
      </c>
      <c r="I5" s="208">
        <v>7790.55</v>
      </c>
      <c r="J5" s="208">
        <v>0</v>
      </c>
      <c r="K5" s="208">
        <f>I5+J5</f>
        <v>7790.55</v>
      </c>
      <c r="L5" s="208">
        <v>3</v>
      </c>
    </row>
    <row r="6" spans="1:12">
      <c r="A6" s="205">
        <v>45047</v>
      </c>
      <c r="B6" s="210">
        <v>10600</v>
      </c>
      <c r="C6" s="211">
        <v>10600</v>
      </c>
      <c r="D6" s="210">
        <v>1736.74</v>
      </c>
      <c r="E6" s="211">
        <v>876.95</v>
      </c>
      <c r="F6" s="211">
        <v>68.400000000000006</v>
      </c>
      <c r="G6" s="211">
        <f>102.66+56</f>
        <v>158.66</v>
      </c>
      <c r="H6" s="208">
        <v>0</v>
      </c>
      <c r="I6" s="208">
        <v>7720.61</v>
      </c>
      <c r="J6" s="208">
        <v>0</v>
      </c>
      <c r="K6" s="208">
        <f t="shared" ref="K6:K20" si="0">I6+J6</f>
        <v>7720.61</v>
      </c>
      <c r="L6" s="208">
        <v>3</v>
      </c>
    </row>
    <row r="7" spans="1:12">
      <c r="A7" s="205">
        <v>45078</v>
      </c>
      <c r="B7" s="210">
        <v>10600</v>
      </c>
      <c r="C7" s="211">
        <v>10600</v>
      </c>
      <c r="D7" s="210">
        <v>1736.74</v>
      </c>
      <c r="E7" s="211">
        <v>876.95</v>
      </c>
      <c r="F7" s="211">
        <v>68.400000000000006</v>
      </c>
      <c r="G7" s="211">
        <f>13.79+56</f>
        <v>69.789999999999992</v>
      </c>
      <c r="H7" s="208">
        <v>0</v>
      </c>
      <c r="I7" s="208">
        <v>7811.1</v>
      </c>
      <c r="J7" s="208">
        <v>0</v>
      </c>
      <c r="K7" s="208">
        <f t="shared" si="0"/>
        <v>7811.1</v>
      </c>
      <c r="L7" s="208">
        <v>3</v>
      </c>
    </row>
    <row r="8" spans="1:12">
      <c r="A8" s="205">
        <v>45108</v>
      </c>
      <c r="B8" s="210">
        <v>10600</v>
      </c>
      <c r="C8" s="211">
        <v>10600</v>
      </c>
      <c r="D8" s="210">
        <v>1736.74</v>
      </c>
      <c r="E8" s="211">
        <v>876.95</v>
      </c>
      <c r="F8" s="211">
        <v>68.400000000000006</v>
      </c>
      <c r="G8" s="211">
        <f>56+132.49</f>
        <v>188.49</v>
      </c>
      <c r="H8" s="208">
        <v>0</v>
      </c>
      <c r="I8" s="208">
        <v>7692.4</v>
      </c>
      <c r="J8" s="208">
        <v>0</v>
      </c>
      <c r="K8" s="208">
        <f t="shared" si="0"/>
        <v>7692.4</v>
      </c>
      <c r="L8" s="208">
        <v>3</v>
      </c>
    </row>
    <row r="9" spans="1:12">
      <c r="A9" s="205">
        <v>45139</v>
      </c>
      <c r="B9" s="210">
        <v>10600</v>
      </c>
      <c r="C9" s="211">
        <v>10600</v>
      </c>
      <c r="D9" s="210">
        <v>1736.74</v>
      </c>
      <c r="E9" s="211">
        <v>876.95</v>
      </c>
      <c r="F9" s="211">
        <v>68</v>
      </c>
      <c r="G9" s="211">
        <f>26+64.01</f>
        <v>90.01</v>
      </c>
      <c r="H9" s="208">
        <v>0</v>
      </c>
      <c r="I9" s="208">
        <v>7757.64</v>
      </c>
      <c r="J9" s="208">
        <v>0</v>
      </c>
      <c r="K9" s="208">
        <f t="shared" si="0"/>
        <v>7757.64</v>
      </c>
      <c r="L9" s="208">
        <v>3</v>
      </c>
    </row>
    <row r="10" spans="1:12">
      <c r="A10" s="205">
        <v>45170</v>
      </c>
      <c r="B10" s="210">
        <v>10600</v>
      </c>
      <c r="C10" s="211">
        <v>10600</v>
      </c>
      <c r="D10" s="210">
        <v>1736.74</v>
      </c>
      <c r="E10" s="211">
        <v>876.95</v>
      </c>
      <c r="F10" s="211">
        <v>68</v>
      </c>
      <c r="G10" s="211">
        <v>56</v>
      </c>
      <c r="H10" s="208">
        <v>0</v>
      </c>
      <c r="I10" s="208">
        <v>7826.51</v>
      </c>
      <c r="J10" s="208">
        <v>0</v>
      </c>
      <c r="K10" s="208">
        <f t="shared" si="0"/>
        <v>7826.51</v>
      </c>
      <c r="L10" s="208">
        <v>3</v>
      </c>
    </row>
    <row r="11" spans="1:12">
      <c r="A11" s="205">
        <v>45200</v>
      </c>
      <c r="B11" s="210">
        <v>11600</v>
      </c>
      <c r="C11" s="211">
        <v>10600</v>
      </c>
      <c r="D11" s="210">
        <v>1736.74</v>
      </c>
      <c r="E11" s="211">
        <v>876.95</v>
      </c>
      <c r="F11" s="211">
        <v>68</v>
      </c>
      <c r="G11" s="211">
        <f>56+23.4</f>
        <v>79.400000000000006</v>
      </c>
      <c r="H11" s="208">
        <v>0</v>
      </c>
      <c r="I11" s="208">
        <v>8797.7999999999993</v>
      </c>
      <c r="J11" s="208">
        <v>0</v>
      </c>
      <c r="K11" s="208">
        <f t="shared" si="0"/>
        <v>8797.7999999999993</v>
      </c>
      <c r="L11" s="208">
        <v>3</v>
      </c>
    </row>
    <row r="12" spans="1:12">
      <c r="A12" s="205">
        <v>45231</v>
      </c>
      <c r="B12" s="210">
        <v>10600</v>
      </c>
      <c r="C12" s="211">
        <v>10600</v>
      </c>
      <c r="D12" s="210">
        <v>1736.74</v>
      </c>
      <c r="E12" s="211">
        <v>876.95</v>
      </c>
      <c r="F12" s="211">
        <v>68</v>
      </c>
      <c r="G12" s="211">
        <f>56+5.92</f>
        <v>61.92</v>
      </c>
      <c r="H12" s="208">
        <v>0</v>
      </c>
      <c r="I12" s="208">
        <v>13120.5</v>
      </c>
      <c r="J12" s="208">
        <v>0</v>
      </c>
      <c r="K12" s="208">
        <f t="shared" si="0"/>
        <v>13120.5</v>
      </c>
      <c r="L12" s="208">
        <v>3</v>
      </c>
    </row>
    <row r="13" spans="1:12">
      <c r="A13" s="205">
        <v>45261</v>
      </c>
      <c r="B13" s="210">
        <v>10600</v>
      </c>
      <c r="C13" s="211">
        <v>10600</v>
      </c>
      <c r="D13" s="210">
        <v>1736.74</v>
      </c>
      <c r="E13" s="211">
        <v>876.95</v>
      </c>
      <c r="F13" s="211">
        <v>68</v>
      </c>
      <c r="G13" s="211">
        <v>56</v>
      </c>
      <c r="H13" s="208">
        <v>0</v>
      </c>
      <c r="I13" s="208">
        <v>7824.71</v>
      </c>
      <c r="J13" s="208">
        <v>0</v>
      </c>
      <c r="K13" s="208">
        <f t="shared" si="0"/>
        <v>7824.71</v>
      </c>
      <c r="L13" s="208">
        <v>3</v>
      </c>
    </row>
    <row r="14" spans="1:12">
      <c r="A14" s="209" t="s">
        <v>24969</v>
      </c>
      <c r="B14" s="210"/>
      <c r="C14" s="211"/>
      <c r="D14" s="210"/>
      <c r="E14" s="211"/>
      <c r="F14" s="211"/>
      <c r="G14" s="211"/>
      <c r="H14" s="208"/>
      <c r="I14" s="208"/>
      <c r="J14" s="208"/>
      <c r="K14" s="208">
        <f t="shared" si="0"/>
        <v>0</v>
      </c>
      <c r="L14" s="208"/>
    </row>
    <row r="15" spans="1:12">
      <c r="A15" s="209" t="s">
        <v>24970</v>
      </c>
      <c r="B15" s="210"/>
      <c r="C15" s="211"/>
      <c r="D15" s="210"/>
      <c r="E15" s="211"/>
      <c r="F15" s="211"/>
      <c r="G15" s="211"/>
      <c r="H15" s="208"/>
      <c r="I15" s="208"/>
      <c r="J15" s="208"/>
      <c r="K15" s="208">
        <f t="shared" si="0"/>
        <v>0</v>
      </c>
      <c r="L15" s="208"/>
    </row>
    <row r="16" spans="1:12">
      <c r="A16" s="209" t="s">
        <v>24963</v>
      </c>
      <c r="B16" s="210">
        <v>5300</v>
      </c>
      <c r="C16" s="211"/>
      <c r="D16" s="210"/>
      <c r="E16" s="211"/>
      <c r="F16" s="211"/>
      <c r="G16" s="211"/>
      <c r="H16" s="208"/>
      <c r="I16" s="208"/>
      <c r="J16" s="208"/>
      <c r="K16" s="208"/>
      <c r="L16" s="208"/>
    </row>
    <row r="17" spans="1:12">
      <c r="A17" s="209" t="s">
        <v>24964</v>
      </c>
      <c r="B17" s="210"/>
      <c r="C17" s="211"/>
      <c r="D17" s="210"/>
      <c r="E17" s="211"/>
      <c r="F17" s="211"/>
      <c r="G17" s="211"/>
      <c r="H17" s="208"/>
      <c r="I17" s="208"/>
      <c r="J17" s="208"/>
      <c r="K17" s="208">
        <f t="shared" si="0"/>
        <v>0</v>
      </c>
      <c r="L17" s="208"/>
    </row>
    <row r="18" spans="1:12">
      <c r="A18" s="209" t="s">
        <v>24946</v>
      </c>
      <c r="B18" s="210"/>
      <c r="C18" s="211"/>
      <c r="D18" s="210"/>
      <c r="E18" s="211"/>
      <c r="F18" s="211"/>
      <c r="G18" s="211"/>
      <c r="H18" s="208"/>
      <c r="I18" s="208"/>
      <c r="J18" s="208"/>
      <c r="K18" s="208">
        <f t="shared" si="0"/>
        <v>0</v>
      </c>
      <c r="L18" s="208"/>
    </row>
    <row r="19" spans="1:12">
      <c r="A19" s="209" t="s">
        <v>24947</v>
      </c>
      <c r="B19" s="210"/>
      <c r="C19" s="211"/>
      <c r="D19" s="210"/>
      <c r="E19" s="211"/>
      <c r="F19" s="211"/>
      <c r="G19" s="211"/>
      <c r="H19" s="208"/>
      <c r="I19" s="208"/>
      <c r="J19" s="208"/>
      <c r="K19" s="208">
        <f t="shared" si="0"/>
        <v>0</v>
      </c>
      <c r="L19" s="208"/>
    </row>
    <row r="20" spans="1:12">
      <c r="A20" s="209" t="s">
        <v>24967</v>
      </c>
      <c r="B20" s="210"/>
      <c r="C20" s="211"/>
      <c r="D20" s="210"/>
      <c r="E20" s="211"/>
      <c r="F20" s="211"/>
      <c r="G20" s="211"/>
      <c r="H20" s="208"/>
      <c r="I20" s="208"/>
      <c r="J20" s="208"/>
      <c r="K20" s="208">
        <f t="shared" si="0"/>
        <v>0</v>
      </c>
      <c r="L20" s="208"/>
    </row>
    <row r="21" spans="1:12">
      <c r="A21" s="209" t="s">
        <v>24968</v>
      </c>
      <c r="B21" s="210"/>
      <c r="C21" s="211"/>
      <c r="D21" s="210"/>
      <c r="E21" s="211"/>
      <c r="F21" s="211"/>
      <c r="G21" s="211"/>
      <c r="H21" s="208"/>
      <c r="I21" s="208"/>
      <c r="J21" s="208"/>
      <c r="K21" s="208"/>
      <c r="L21" s="208"/>
    </row>
    <row r="22" spans="1:12">
      <c r="A22" s="209" t="s">
        <v>24971</v>
      </c>
      <c r="B22" s="210"/>
      <c r="C22" s="211"/>
      <c r="D22" s="210"/>
      <c r="E22" s="211"/>
      <c r="F22" s="211"/>
      <c r="G22" s="211"/>
      <c r="H22" s="208"/>
      <c r="I22" s="208"/>
      <c r="J22" s="208"/>
      <c r="K22" s="208"/>
      <c r="L22" s="208"/>
    </row>
    <row r="23" spans="1:12">
      <c r="A23" s="209" t="s">
        <v>24972</v>
      </c>
      <c r="B23" s="210"/>
      <c r="C23" s="211"/>
      <c r="D23" s="210"/>
      <c r="E23" s="211"/>
      <c r="F23" s="211"/>
      <c r="G23" s="211"/>
      <c r="H23" s="208"/>
      <c r="I23" s="208"/>
      <c r="J23" s="208"/>
      <c r="K23" s="208"/>
      <c r="L23" s="208"/>
    </row>
    <row r="24" spans="1:12">
      <c r="A24" s="212"/>
      <c r="B24" s="213"/>
      <c r="C24" s="213"/>
      <c r="D24" s="213"/>
      <c r="E24" s="213"/>
      <c r="F24" s="213"/>
      <c r="G24" s="213"/>
      <c r="H24" s="213"/>
    </row>
    <row r="26" spans="1:12">
      <c r="A26" s="25" t="s">
        <v>24948</v>
      </c>
      <c r="B26" s="25"/>
      <c r="C26" s="25"/>
      <c r="D26" s="25"/>
    </row>
    <row r="27" spans="1:12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  <c r="K27" s="214" t="str">
        <f>I1</f>
        <v xml:space="preserve">Liquido </v>
      </c>
    </row>
    <row r="28" spans="1:12">
      <c r="A28" s="215" t="s">
        <v>24983</v>
      </c>
      <c r="B28" s="215" t="s">
        <v>24984</v>
      </c>
      <c r="C28" s="216">
        <f>SUM(B2:B19)</f>
        <v>133500</v>
      </c>
      <c r="D28" s="216">
        <f>SUM(C2:C13)</f>
        <v>127200</v>
      </c>
      <c r="E28" s="217">
        <f>SUM(C16:C17)</f>
        <v>0</v>
      </c>
      <c r="F28" s="216">
        <f>SUM(D2:D19)</f>
        <v>20903.000000000004</v>
      </c>
      <c r="G28" s="216">
        <f>SUM(E2:E19)</f>
        <v>10524.480000000001</v>
      </c>
      <c r="H28" s="216">
        <f>SUM(F2:F19)</f>
        <v>818.8</v>
      </c>
      <c r="I28" s="216">
        <f>SUM(G2:G19)</f>
        <v>1259.54</v>
      </c>
      <c r="J28" s="216">
        <f>SUM(H2:H19)</f>
        <v>0</v>
      </c>
      <c r="K28" s="216">
        <f>SUM(K2:K27)</f>
        <v>99517.22</v>
      </c>
    </row>
    <row r="29" spans="1:12">
      <c r="A29" s="215"/>
      <c r="B29" s="215"/>
      <c r="C29" s="216"/>
      <c r="D29" s="216"/>
      <c r="E29" s="217"/>
      <c r="F29" s="216"/>
      <c r="G29" s="216"/>
      <c r="H29" s="216"/>
      <c r="I29" s="216"/>
      <c r="J29" s="216"/>
      <c r="K29" s="216"/>
    </row>
    <row r="30" spans="1:12">
      <c r="A30" s="215"/>
      <c r="B30" s="215"/>
      <c r="C30" s="216"/>
      <c r="D30" s="216"/>
      <c r="E30" s="217"/>
      <c r="F30" s="216"/>
      <c r="G30" s="216"/>
      <c r="H30" s="216"/>
      <c r="I30" s="216"/>
      <c r="J30" s="216"/>
      <c r="K30" s="216"/>
    </row>
    <row r="31" spans="1:12">
      <c r="A31" s="25"/>
      <c r="B31" s="218" t="s">
        <v>24960</v>
      </c>
      <c r="C31" s="219">
        <f>SUM(C28)</f>
        <v>133500</v>
      </c>
      <c r="D31" s="219">
        <f>SUM(D28:D28)</f>
        <v>127200</v>
      </c>
      <c r="E31" s="220">
        <f>SUM(E28)</f>
        <v>0</v>
      </c>
      <c r="F31" s="219">
        <f>SUM(F28:F28)</f>
        <v>20903.000000000004</v>
      </c>
      <c r="G31" s="219">
        <f>SUM(G28:G28)</f>
        <v>10524.480000000001</v>
      </c>
      <c r="H31" s="219">
        <f>SUM(H28:H28)</f>
        <v>818.8</v>
      </c>
      <c r="I31" s="219">
        <f>SUM(I28:I28)</f>
        <v>1259.54</v>
      </c>
      <c r="J31" s="219">
        <f>SUM(J28:J28)</f>
        <v>0</v>
      </c>
      <c r="K31" s="219"/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5E15-C122-4D0F-BAC9-71EA813D4572}">
  <sheetPr codeName="Planilha10"/>
  <dimension ref="A1:L31"/>
  <sheetViews>
    <sheetView workbookViewId="0">
      <selection activeCell="C12" sqref="C12"/>
    </sheetView>
  </sheetViews>
  <sheetFormatPr defaultColWidth="9.140625" defaultRowHeight="13.5"/>
  <cols>
    <col min="1" max="1" width="25.5703125" style="3" customWidth="1"/>
    <col min="2" max="2" width="21.28515625" style="3" bestFit="1" customWidth="1"/>
    <col min="3" max="4" width="19.5703125" style="3" customWidth="1"/>
    <col min="5" max="8" width="16" style="3" customWidth="1"/>
    <col min="9" max="9" width="17.28515625" style="3" bestFit="1" customWidth="1"/>
    <col min="10" max="10" width="16" style="3" customWidth="1"/>
    <col min="11" max="11" width="16" style="3" bestFit="1" customWidth="1"/>
    <col min="12" max="12" width="17.28515625" style="3" bestFit="1" customWidth="1"/>
    <col min="13" max="16384" width="9.140625" style="3"/>
  </cols>
  <sheetData>
    <row r="1" spans="1:12">
      <c r="A1" s="202" t="s">
        <v>24937</v>
      </c>
      <c r="B1" s="203" t="s">
        <v>24961</v>
      </c>
      <c r="C1" s="202" t="s">
        <v>24938</v>
      </c>
      <c r="D1" s="203" t="s">
        <v>24939</v>
      </c>
      <c r="E1" s="202" t="s">
        <v>24940</v>
      </c>
      <c r="F1" s="202" t="s">
        <v>24941</v>
      </c>
      <c r="G1" s="202" t="s">
        <v>24942</v>
      </c>
      <c r="H1" s="204" t="s">
        <v>24962</v>
      </c>
      <c r="I1" s="204" t="s">
        <v>24978</v>
      </c>
      <c r="J1" s="204" t="s">
        <v>24974</v>
      </c>
      <c r="K1" s="204" t="s">
        <v>24933</v>
      </c>
      <c r="L1" s="204" t="s">
        <v>24975</v>
      </c>
    </row>
    <row r="2" spans="1:12">
      <c r="A2" s="205">
        <v>45292</v>
      </c>
      <c r="B2" s="208">
        <v>10924.36</v>
      </c>
      <c r="C2" s="208">
        <v>10924.36</v>
      </c>
      <c r="D2" s="208">
        <v>1817.17</v>
      </c>
      <c r="E2" s="208">
        <v>908.85</v>
      </c>
      <c r="F2" s="211">
        <v>68.400000000000006</v>
      </c>
      <c r="G2" s="208">
        <f>79+21.95</f>
        <v>100.95</v>
      </c>
      <c r="H2" s="208">
        <v>0</v>
      </c>
      <c r="I2" s="208">
        <v>7988.37</v>
      </c>
      <c r="J2" s="208">
        <v>0</v>
      </c>
      <c r="K2" s="208">
        <f>I2+J2</f>
        <v>7988.37</v>
      </c>
      <c r="L2" s="208">
        <v>3</v>
      </c>
    </row>
    <row r="3" spans="1:12">
      <c r="A3" s="205">
        <v>45323</v>
      </c>
      <c r="B3" s="210">
        <v>10924.36</v>
      </c>
      <c r="C3" s="211">
        <v>10924.36</v>
      </c>
      <c r="D3" s="210">
        <v>1806.13</v>
      </c>
      <c r="E3" s="211">
        <v>908.85</v>
      </c>
      <c r="F3" s="211">
        <v>68.400000000000006</v>
      </c>
      <c r="G3" s="211">
        <v>79</v>
      </c>
      <c r="H3" s="208">
        <v>0</v>
      </c>
      <c r="I3" s="208">
        <v>8021.36</v>
      </c>
      <c r="J3" s="208">
        <v>0</v>
      </c>
      <c r="K3" s="208">
        <f>I3+J3</f>
        <v>8021.36</v>
      </c>
      <c r="L3" s="208">
        <v>3</v>
      </c>
    </row>
    <row r="4" spans="1:12">
      <c r="A4" s="205">
        <v>45352</v>
      </c>
      <c r="B4" s="210">
        <v>10924.36</v>
      </c>
      <c r="C4" s="211">
        <v>10924.36</v>
      </c>
      <c r="D4" s="210">
        <v>1806.13</v>
      </c>
      <c r="E4" s="211">
        <v>908.85</v>
      </c>
      <c r="F4" s="211">
        <v>68.400000000000006</v>
      </c>
      <c r="G4" s="211">
        <f>79+354.03</f>
        <v>433.03</v>
      </c>
      <c r="H4" s="208">
        <v>0</v>
      </c>
      <c r="I4" s="208">
        <v>7667.33</v>
      </c>
      <c r="J4" s="208">
        <v>0</v>
      </c>
      <c r="K4" s="208">
        <f>I4+J4</f>
        <v>7667.33</v>
      </c>
      <c r="L4" s="208">
        <v>3</v>
      </c>
    </row>
    <row r="5" spans="1:12">
      <c r="A5" s="205">
        <v>45383</v>
      </c>
      <c r="B5" s="210">
        <v>10924.36</v>
      </c>
      <c r="C5" s="211">
        <v>10924.36</v>
      </c>
      <c r="D5" s="210">
        <v>1806.13</v>
      </c>
      <c r="E5" s="211">
        <v>908.85</v>
      </c>
      <c r="F5" s="211">
        <v>68.400000000000006</v>
      </c>
      <c r="G5" s="211">
        <v>79</v>
      </c>
      <c r="H5" s="208">
        <v>0</v>
      </c>
      <c r="I5" s="208">
        <v>8021.36</v>
      </c>
      <c r="J5" s="208">
        <v>0</v>
      </c>
      <c r="K5" s="208">
        <f>I5+J5</f>
        <v>8021.36</v>
      </c>
      <c r="L5" s="208">
        <v>3</v>
      </c>
    </row>
    <row r="6" spans="1:12">
      <c r="A6" s="205">
        <v>45413</v>
      </c>
      <c r="B6" s="210">
        <v>10924.36</v>
      </c>
      <c r="C6" s="211">
        <v>10924.36</v>
      </c>
      <c r="D6" s="210">
        <v>1806.13</v>
      </c>
      <c r="E6" s="211">
        <v>908.85</v>
      </c>
      <c r="F6" s="211">
        <v>68.400000000000006</v>
      </c>
      <c r="G6" s="211">
        <v>79</v>
      </c>
      <c r="H6" s="208">
        <v>0</v>
      </c>
      <c r="I6" s="208">
        <v>8021.36</v>
      </c>
      <c r="J6" s="208">
        <v>0</v>
      </c>
      <c r="K6" s="208">
        <f t="shared" ref="K6:K20" si="0">I6+J6</f>
        <v>8021.36</v>
      </c>
      <c r="L6" s="208">
        <v>3</v>
      </c>
    </row>
    <row r="7" spans="1:12">
      <c r="A7" s="205">
        <v>45444</v>
      </c>
      <c r="B7" s="210">
        <v>10924.36</v>
      </c>
      <c r="C7" s="211">
        <v>10924.36</v>
      </c>
      <c r="D7" s="210">
        <v>1806.13</v>
      </c>
      <c r="E7" s="211">
        <v>908.85</v>
      </c>
      <c r="F7" s="211">
        <v>64.400000000000006</v>
      </c>
      <c r="G7" s="211">
        <v>79</v>
      </c>
      <c r="H7" s="208">
        <v>0</v>
      </c>
      <c r="I7" s="208">
        <v>8021.36</v>
      </c>
      <c r="J7" s="208">
        <v>0</v>
      </c>
      <c r="K7" s="208">
        <f t="shared" si="0"/>
        <v>8021.36</v>
      </c>
      <c r="L7" s="208">
        <v>3</v>
      </c>
    </row>
    <row r="8" spans="1:12">
      <c r="A8" s="205">
        <v>45474</v>
      </c>
      <c r="B8" s="210"/>
      <c r="C8" s="211">
        <v>4733.8900000000003</v>
      </c>
      <c r="D8" s="210">
        <v>275.27999999999997</v>
      </c>
      <c r="E8" s="211">
        <v>136.33000000000001</v>
      </c>
      <c r="F8" s="211">
        <v>64.400000000000006</v>
      </c>
      <c r="G8" s="211">
        <v>79</v>
      </c>
      <c r="H8" s="208">
        <v>0</v>
      </c>
      <c r="I8" s="208">
        <v>3994.33</v>
      </c>
      <c r="J8" s="208">
        <v>0</v>
      </c>
      <c r="K8" s="208">
        <f t="shared" si="0"/>
        <v>3994.33</v>
      </c>
      <c r="L8" s="208">
        <v>0</v>
      </c>
    </row>
    <row r="9" spans="1:12">
      <c r="A9" s="205">
        <v>45505</v>
      </c>
      <c r="B9" s="210">
        <f>9831.92+1092.44+364.15</f>
        <v>11288.51</v>
      </c>
      <c r="C9" s="211">
        <v>9831.92</v>
      </c>
      <c r="D9" s="210">
        <v>1543.2</v>
      </c>
      <c r="E9" s="211">
        <f>772.52+136.33</f>
        <v>908.85</v>
      </c>
      <c r="F9" s="211">
        <v>68.400000000000006</v>
      </c>
      <c r="G9" s="211">
        <f>79+218.98</f>
        <v>297.98</v>
      </c>
      <c r="H9" s="208">
        <v>0</v>
      </c>
      <c r="I9" s="208">
        <v>7109.2</v>
      </c>
      <c r="J9" s="208">
        <v>0</v>
      </c>
      <c r="K9" s="208">
        <f t="shared" si="0"/>
        <v>7109.2</v>
      </c>
      <c r="L9" s="208">
        <v>0</v>
      </c>
    </row>
    <row r="10" spans="1:12">
      <c r="A10" s="205">
        <v>45536</v>
      </c>
      <c r="B10" s="210">
        <v>6500</v>
      </c>
      <c r="C10" s="211">
        <v>5771.19</v>
      </c>
      <c r="D10" s="210">
        <v>691.07</v>
      </c>
      <c r="E10" s="211">
        <v>728.81</v>
      </c>
      <c r="F10" s="211">
        <f>7.08 *2</f>
        <v>14.16</v>
      </c>
      <c r="G10" s="211">
        <f>350+550</f>
        <v>900</v>
      </c>
      <c r="H10" s="208">
        <v>0</v>
      </c>
      <c r="I10" s="208">
        <v>4165.96</v>
      </c>
      <c r="J10" s="208">
        <v>0</v>
      </c>
      <c r="K10" s="208">
        <f t="shared" si="0"/>
        <v>4165.96</v>
      </c>
      <c r="L10" s="208">
        <v>0</v>
      </c>
    </row>
    <row r="11" spans="1:12">
      <c r="A11" s="205">
        <v>45566</v>
      </c>
      <c r="B11" s="210">
        <v>13000</v>
      </c>
      <c r="C11" s="211">
        <v>12091.15</v>
      </c>
      <c r="D11" s="210">
        <v>2429.06</v>
      </c>
      <c r="E11" s="211">
        <v>908.85</v>
      </c>
      <c r="F11" s="211">
        <f>7.08 *2</f>
        <v>14.16</v>
      </c>
      <c r="G11" s="211">
        <f>350+550</f>
        <v>900</v>
      </c>
      <c r="H11" s="208">
        <v>0</v>
      </c>
      <c r="I11" s="208">
        <v>3547.93</v>
      </c>
      <c r="J11" s="208">
        <v>5200</v>
      </c>
      <c r="K11" s="208">
        <f t="shared" si="0"/>
        <v>8747.93</v>
      </c>
      <c r="L11" s="208">
        <v>0</v>
      </c>
    </row>
    <row r="12" spans="1:12">
      <c r="A12" s="205">
        <v>45597</v>
      </c>
      <c r="B12" s="210"/>
      <c r="C12" s="211"/>
      <c r="D12" s="210"/>
      <c r="E12" s="211"/>
      <c r="F12" s="211"/>
      <c r="G12" s="211"/>
      <c r="H12" s="208"/>
      <c r="I12" s="208"/>
      <c r="J12" s="208"/>
      <c r="K12" s="208">
        <f t="shared" si="0"/>
        <v>0</v>
      </c>
      <c r="L12" s="208"/>
    </row>
    <row r="13" spans="1:12">
      <c r="A13" s="205">
        <v>45627</v>
      </c>
      <c r="B13" s="210"/>
      <c r="C13" s="211"/>
      <c r="D13" s="210"/>
      <c r="E13" s="211"/>
      <c r="F13" s="211"/>
      <c r="G13" s="211"/>
      <c r="H13" s="208"/>
      <c r="I13" s="208"/>
      <c r="J13" s="208"/>
      <c r="K13" s="208">
        <f t="shared" si="0"/>
        <v>0</v>
      </c>
      <c r="L13" s="208"/>
    </row>
    <row r="14" spans="1:12">
      <c r="A14" s="209" t="s">
        <v>24969</v>
      </c>
      <c r="B14" s="210">
        <v>29362</v>
      </c>
      <c r="C14" s="211">
        <v>29362</v>
      </c>
      <c r="D14" s="210">
        <v>4968.3</v>
      </c>
      <c r="E14" s="211"/>
      <c r="F14" s="211"/>
      <c r="G14" s="211"/>
      <c r="H14" s="208"/>
      <c r="I14" s="208">
        <v>24393.7</v>
      </c>
      <c r="J14" s="208"/>
      <c r="K14" s="208">
        <f t="shared" si="0"/>
        <v>24393.7</v>
      </c>
      <c r="L14" s="208"/>
    </row>
    <row r="15" spans="1:12">
      <c r="A15" s="209" t="s">
        <v>24970</v>
      </c>
      <c r="B15" s="210"/>
      <c r="C15" s="211"/>
      <c r="D15" s="210"/>
      <c r="E15" s="211"/>
      <c r="F15" s="211"/>
      <c r="G15" s="211"/>
      <c r="H15" s="208"/>
      <c r="I15" s="208"/>
      <c r="J15" s="208"/>
      <c r="K15" s="208">
        <f t="shared" si="0"/>
        <v>0</v>
      </c>
      <c r="L15" s="208"/>
    </row>
    <row r="16" spans="1:12">
      <c r="A16" s="209" t="s">
        <v>24963</v>
      </c>
      <c r="B16" s="210"/>
      <c r="C16" s="211"/>
      <c r="D16" s="210"/>
      <c r="E16" s="211"/>
      <c r="F16" s="211"/>
      <c r="G16" s="211"/>
      <c r="H16" s="208"/>
      <c r="I16" s="208"/>
      <c r="J16" s="208"/>
      <c r="K16" s="208"/>
      <c r="L16" s="208"/>
    </row>
    <row r="17" spans="1:12">
      <c r="A17" s="209" t="s">
        <v>24964</v>
      </c>
      <c r="B17" s="210"/>
      <c r="C17" s="211"/>
      <c r="D17" s="210"/>
      <c r="E17" s="211"/>
      <c r="F17" s="211"/>
      <c r="G17" s="211"/>
      <c r="H17" s="208"/>
      <c r="I17" s="208"/>
      <c r="J17" s="208"/>
      <c r="K17" s="208">
        <f t="shared" si="0"/>
        <v>0</v>
      </c>
      <c r="L17" s="208"/>
    </row>
    <row r="18" spans="1:12">
      <c r="A18" s="209" t="s">
        <v>24946</v>
      </c>
      <c r="B18" s="210"/>
      <c r="C18" s="211"/>
      <c r="D18" s="210"/>
      <c r="E18" s="211"/>
      <c r="F18" s="211"/>
      <c r="G18" s="211"/>
      <c r="H18" s="208"/>
      <c r="I18" s="208"/>
      <c r="J18" s="208"/>
      <c r="K18" s="208">
        <f t="shared" si="0"/>
        <v>0</v>
      </c>
      <c r="L18" s="208"/>
    </row>
    <row r="19" spans="1:12">
      <c r="A19" s="209" t="s">
        <v>24947</v>
      </c>
      <c r="B19" s="210"/>
      <c r="C19" s="211"/>
      <c r="D19" s="210"/>
      <c r="E19" s="211"/>
      <c r="F19" s="211"/>
      <c r="G19" s="211"/>
      <c r="H19" s="208"/>
      <c r="I19" s="208"/>
      <c r="J19" s="208"/>
      <c r="K19" s="208">
        <f t="shared" si="0"/>
        <v>0</v>
      </c>
      <c r="L19" s="208"/>
    </row>
    <row r="20" spans="1:12">
      <c r="A20" s="209" t="s">
        <v>24967</v>
      </c>
      <c r="B20" s="210"/>
      <c r="C20" s="211"/>
      <c r="D20" s="210"/>
      <c r="E20" s="211"/>
      <c r="F20" s="211"/>
      <c r="G20" s="211"/>
      <c r="H20" s="208"/>
      <c r="I20" s="208"/>
      <c r="J20" s="208"/>
      <c r="K20" s="208">
        <f t="shared" si="0"/>
        <v>0</v>
      </c>
      <c r="L20" s="208"/>
    </row>
    <row r="21" spans="1:12">
      <c r="A21" s="209" t="s">
        <v>24968</v>
      </c>
      <c r="B21" s="210"/>
      <c r="C21" s="211"/>
      <c r="D21" s="210"/>
      <c r="E21" s="211"/>
      <c r="F21" s="211"/>
      <c r="G21" s="211"/>
      <c r="H21" s="208"/>
      <c r="I21" s="208"/>
      <c r="J21" s="208"/>
      <c r="K21" s="208"/>
      <c r="L21" s="208"/>
    </row>
    <row r="22" spans="1:12">
      <c r="A22" s="209" t="s">
        <v>24971</v>
      </c>
      <c r="B22" s="210"/>
      <c r="C22" s="211"/>
      <c r="D22" s="210"/>
      <c r="E22" s="211"/>
      <c r="F22" s="211"/>
      <c r="G22" s="211"/>
      <c r="H22" s="208"/>
      <c r="I22" s="208"/>
      <c r="J22" s="208"/>
      <c r="K22" s="208"/>
      <c r="L22" s="208"/>
    </row>
    <row r="23" spans="1:12">
      <c r="A23" s="209" t="s">
        <v>24972</v>
      </c>
      <c r="B23" s="210"/>
      <c r="C23" s="211"/>
      <c r="D23" s="210"/>
      <c r="E23" s="211"/>
      <c r="F23" s="211"/>
      <c r="G23" s="211"/>
      <c r="H23" s="208"/>
      <c r="I23" s="208"/>
      <c r="J23" s="208"/>
      <c r="K23" s="208"/>
      <c r="L23" s="208"/>
    </row>
    <row r="24" spans="1:12">
      <c r="A24" s="212"/>
      <c r="B24" s="213"/>
      <c r="C24" s="213"/>
      <c r="D24" s="213"/>
      <c r="E24" s="213"/>
      <c r="F24" s="213"/>
      <c r="G24" s="213"/>
      <c r="H24" s="213"/>
    </row>
    <row r="26" spans="1:12">
      <c r="A26" s="25" t="s">
        <v>24948</v>
      </c>
      <c r="B26" s="25"/>
      <c r="C26" s="25"/>
      <c r="D26" s="25"/>
    </row>
    <row r="27" spans="1:12">
      <c r="A27" s="214" t="s">
        <v>24949</v>
      </c>
      <c r="B27" s="214" t="s">
        <v>24950</v>
      </c>
      <c r="C27" s="214" t="s">
        <v>24961</v>
      </c>
      <c r="D27" s="214" t="s">
        <v>24965</v>
      </c>
      <c r="E27" s="214" t="s">
        <v>24966</v>
      </c>
      <c r="F27" s="214" t="s">
        <v>24953</v>
      </c>
      <c r="G27" s="214" t="s">
        <v>24940</v>
      </c>
      <c r="H27" s="214" t="str">
        <f>F1</f>
        <v>Desp. Odont</v>
      </c>
      <c r="I27" s="214" t="str">
        <f>G1</f>
        <v>Desp. Médicas</v>
      </c>
      <c r="J27" s="214" t="str">
        <f>H1</f>
        <v>prev. Privada</v>
      </c>
      <c r="K27" s="214" t="str">
        <f>I1</f>
        <v xml:space="preserve">Liquido </v>
      </c>
    </row>
    <row r="28" spans="1:12">
      <c r="A28" s="215" t="s">
        <v>24983</v>
      </c>
      <c r="B28" s="215" t="s">
        <v>24984</v>
      </c>
      <c r="C28" s="216">
        <f>SUM(B2:B9)</f>
        <v>76834.67</v>
      </c>
      <c r="D28" s="216">
        <f>SUM(C2:C9)</f>
        <v>80111.97</v>
      </c>
      <c r="E28" s="217">
        <f>SUM(C16:C17)</f>
        <v>0</v>
      </c>
      <c r="F28" s="216">
        <f>SUM(D2:D19)</f>
        <v>20754.73</v>
      </c>
      <c r="G28" s="216">
        <f>SUM(E2:E19)</f>
        <v>8135.9400000000005</v>
      </c>
      <c r="H28" s="216">
        <f>SUM(F2:F19)</f>
        <v>567.51999999999987</v>
      </c>
      <c r="I28" s="216">
        <f>SUM(G2:G19)</f>
        <v>3026.96</v>
      </c>
      <c r="J28" s="216">
        <f>SUM(H2:H19)</f>
        <v>0</v>
      </c>
      <c r="K28" s="216">
        <f>SUM(K2:K27)</f>
        <v>96152.26</v>
      </c>
    </row>
    <row r="29" spans="1:12">
      <c r="A29" s="215" t="s">
        <v>24985</v>
      </c>
      <c r="B29" s="215"/>
      <c r="C29" s="216" t="s">
        <v>24986</v>
      </c>
      <c r="D29" s="216"/>
      <c r="E29" s="217"/>
      <c r="F29" s="216"/>
      <c r="G29" s="216"/>
      <c r="H29" s="216"/>
      <c r="I29" s="216"/>
      <c r="J29" s="216"/>
      <c r="K29" s="216"/>
    </row>
    <row r="30" spans="1:12">
      <c r="A30" s="215"/>
      <c r="B30" s="215"/>
      <c r="C30" s="216"/>
      <c r="D30" s="216"/>
      <c r="E30" s="217"/>
      <c r="F30" s="216"/>
      <c r="G30" s="216"/>
      <c r="H30" s="216"/>
      <c r="I30" s="216"/>
      <c r="J30" s="216"/>
      <c r="K30" s="216"/>
    </row>
    <row r="31" spans="1:12">
      <c r="A31" s="25"/>
      <c r="B31" s="218" t="s">
        <v>24960</v>
      </c>
      <c r="C31" s="219">
        <f>SUM(C28)</f>
        <v>76834.67</v>
      </c>
      <c r="D31" s="219">
        <f>SUM(D28:D28)</f>
        <v>80111.97</v>
      </c>
      <c r="E31" s="220">
        <f>SUM(E28)</f>
        <v>0</v>
      </c>
      <c r="F31" s="219">
        <f>SUM(F28:F28)</f>
        <v>20754.73</v>
      </c>
      <c r="G31" s="219">
        <f>SUM(G28:G28)</f>
        <v>8135.9400000000005</v>
      </c>
      <c r="H31" s="219">
        <f>SUM(H28:H28)</f>
        <v>567.51999999999987</v>
      </c>
      <c r="I31" s="219">
        <f>SUM(I28:I28)</f>
        <v>3026.96</v>
      </c>
      <c r="J31" s="219">
        <f>SUM(J28:J28)</f>
        <v>0</v>
      </c>
      <c r="K31" s="219"/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EFBA-C73E-4E60-9770-123F22107F5F}">
  <sheetPr codeName="Planilha36">
    <tabColor theme="3" tint="0.59999389629810485"/>
  </sheetPr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Plan93"/>
  <dimension ref="A1:J60"/>
  <sheetViews>
    <sheetView workbookViewId="0">
      <pane ySplit="1" topLeftCell="A36" activePane="bottomLeft" state="frozen"/>
      <selection pane="bottomLeft" activeCell="E47" sqref="E47"/>
    </sheetView>
  </sheetViews>
  <sheetFormatPr defaultColWidth="9" defaultRowHeight="13.5"/>
  <cols>
    <col min="1" max="1" width="17.42578125" style="3" customWidth="1"/>
    <col min="2" max="5" width="14.7109375" style="3" customWidth="1"/>
    <col min="6" max="6" width="17.7109375" style="3" customWidth="1"/>
    <col min="7" max="7" width="14.7109375" style="3" customWidth="1"/>
    <col min="8" max="8" width="11.5703125" style="3" customWidth="1"/>
    <col min="9" max="10" width="12.28515625" style="3" customWidth="1"/>
    <col min="11" max="16384" width="9" style="3"/>
  </cols>
  <sheetData>
    <row r="1" spans="1:7">
      <c r="A1" s="214" t="s">
        <v>24987</v>
      </c>
      <c r="B1" s="214" t="s">
        <v>24988</v>
      </c>
      <c r="C1" s="214" t="s">
        <v>24989</v>
      </c>
      <c r="D1" s="214" t="s">
        <v>24990</v>
      </c>
      <c r="E1" s="214" t="s">
        <v>24991</v>
      </c>
      <c r="F1" s="722" t="s">
        <v>1242</v>
      </c>
      <c r="G1" s="214" t="s">
        <v>24992</v>
      </c>
    </row>
    <row r="2" spans="1:7">
      <c r="A2" s="723">
        <v>36404</v>
      </c>
      <c r="B2" s="178">
        <v>17.55</v>
      </c>
      <c r="C2" s="178"/>
      <c r="D2" s="178"/>
      <c r="E2" s="458"/>
      <c r="F2" s="724"/>
      <c r="G2" s="178" t="e">
        <f>#N/A</f>
        <v>#N/A</v>
      </c>
    </row>
    <row r="3" spans="1:7">
      <c r="A3" s="725">
        <v>36434</v>
      </c>
      <c r="B3" s="187">
        <v>56.53</v>
      </c>
      <c r="C3" s="187"/>
      <c r="D3" s="187"/>
      <c r="E3" s="458"/>
      <c r="F3" s="724"/>
      <c r="G3" s="187" t="e">
        <f>#N/A</f>
        <v>#N/A</v>
      </c>
    </row>
    <row r="4" spans="1:7">
      <c r="A4" s="725">
        <v>36465</v>
      </c>
      <c r="B4" s="187">
        <v>69.09</v>
      </c>
      <c r="C4" s="187"/>
      <c r="D4" s="187">
        <v>6.68</v>
      </c>
      <c r="E4" s="458"/>
      <c r="F4" s="724"/>
      <c r="G4" s="187" t="e">
        <f>#N/A</f>
        <v>#N/A</v>
      </c>
    </row>
    <row r="5" spans="1:7">
      <c r="A5" s="725">
        <v>36495</v>
      </c>
      <c r="B5" s="187">
        <v>23.16</v>
      </c>
      <c r="C5" s="187"/>
      <c r="D5" s="187">
        <v>3.2</v>
      </c>
      <c r="E5" s="458"/>
      <c r="F5" s="724"/>
      <c r="G5" s="187" t="e">
        <f>#N/A</f>
        <v>#N/A</v>
      </c>
    </row>
    <row r="6" spans="1:7">
      <c r="A6" s="725">
        <v>36526</v>
      </c>
      <c r="B6" s="187">
        <v>27.92</v>
      </c>
      <c r="C6" s="187"/>
      <c r="D6" s="187">
        <v>0</v>
      </c>
      <c r="E6" s="25"/>
      <c r="F6" s="25"/>
      <c r="G6" s="187" t="e">
        <f>#N/A</f>
        <v>#N/A</v>
      </c>
    </row>
    <row r="7" spans="1:7">
      <c r="A7" s="725">
        <v>36557</v>
      </c>
      <c r="B7" s="187">
        <v>23.8</v>
      </c>
      <c r="C7" s="187"/>
      <c r="D7" s="187">
        <v>8.91</v>
      </c>
      <c r="E7" s="187"/>
      <c r="F7" s="187"/>
      <c r="G7" s="187" t="e">
        <f>#N/A</f>
        <v>#N/A</v>
      </c>
    </row>
    <row r="8" spans="1:7">
      <c r="A8" s="725">
        <v>36586</v>
      </c>
      <c r="B8" s="187">
        <v>70.540000000000006</v>
      </c>
      <c r="C8" s="187"/>
      <c r="D8" s="187">
        <v>20.41</v>
      </c>
      <c r="E8" s="187"/>
      <c r="F8" s="187"/>
      <c r="G8" s="187" t="e">
        <f>#N/A</f>
        <v>#N/A</v>
      </c>
    </row>
    <row r="9" spans="1:7">
      <c r="A9" s="725">
        <v>36617</v>
      </c>
      <c r="B9" s="187">
        <v>64.08</v>
      </c>
      <c r="C9" s="187"/>
      <c r="D9" s="187">
        <v>31.22</v>
      </c>
      <c r="E9" s="187"/>
      <c r="F9" s="187"/>
      <c r="G9" s="187" t="e">
        <f>#N/A</f>
        <v>#N/A</v>
      </c>
    </row>
    <row r="10" spans="1:7">
      <c r="A10" s="725">
        <v>36647</v>
      </c>
      <c r="B10" s="187">
        <v>41.23</v>
      </c>
      <c r="C10" s="187"/>
      <c r="D10" s="187">
        <v>52.84</v>
      </c>
      <c r="E10" s="187"/>
      <c r="F10" s="187"/>
      <c r="G10" s="187" t="e">
        <f>#N/A</f>
        <v>#N/A</v>
      </c>
    </row>
    <row r="11" spans="1:7">
      <c r="A11" s="725">
        <v>36678</v>
      </c>
      <c r="B11" s="187">
        <v>32.869999999999997</v>
      </c>
      <c r="C11" s="187"/>
      <c r="D11" s="187">
        <v>0</v>
      </c>
      <c r="E11" s="187"/>
      <c r="F11" s="187"/>
      <c r="G11" s="187" t="e">
        <f>#N/A</f>
        <v>#N/A</v>
      </c>
    </row>
    <row r="12" spans="1:7">
      <c r="A12" s="725">
        <v>36708</v>
      </c>
      <c r="B12" s="187">
        <v>56.87</v>
      </c>
      <c r="C12" s="187"/>
      <c r="D12" s="187">
        <v>25.45</v>
      </c>
      <c r="E12" s="187"/>
      <c r="F12" s="187"/>
      <c r="G12" s="187" t="e">
        <f>#N/A</f>
        <v>#N/A</v>
      </c>
    </row>
    <row r="13" spans="1:7">
      <c r="A13" s="725">
        <v>36739</v>
      </c>
      <c r="B13" s="187">
        <v>56.09</v>
      </c>
      <c r="C13" s="187"/>
      <c r="D13" s="187">
        <v>0</v>
      </c>
      <c r="E13" s="187"/>
      <c r="F13" s="187"/>
      <c r="G13" s="187" t="e">
        <f>#N/A</f>
        <v>#N/A</v>
      </c>
    </row>
    <row r="14" spans="1:7">
      <c r="A14" s="725">
        <v>36770</v>
      </c>
      <c r="B14" s="187">
        <v>44.02</v>
      </c>
      <c r="C14" s="187"/>
      <c r="D14" s="187">
        <v>29.75</v>
      </c>
      <c r="E14" s="187"/>
      <c r="F14" s="187"/>
      <c r="G14" s="187" t="e">
        <f>#N/A</f>
        <v>#N/A</v>
      </c>
    </row>
    <row r="15" spans="1:7">
      <c r="A15" s="725">
        <v>36800</v>
      </c>
      <c r="B15" s="187">
        <v>31.55</v>
      </c>
      <c r="C15" s="187"/>
      <c r="D15" s="187">
        <v>0</v>
      </c>
      <c r="E15" s="187"/>
      <c r="F15" s="187"/>
      <c r="G15" s="187" t="e">
        <f>#N/A</f>
        <v>#N/A</v>
      </c>
    </row>
    <row r="16" spans="1:7">
      <c r="A16" s="725">
        <v>36831</v>
      </c>
      <c r="B16" s="190">
        <v>34.68</v>
      </c>
      <c r="C16" s="190"/>
      <c r="D16" s="187">
        <v>98.27</v>
      </c>
      <c r="E16" s="187">
        <v>1.69</v>
      </c>
      <c r="F16" s="187"/>
      <c r="G16" s="187" t="e">
        <f>#N/A</f>
        <v>#N/A</v>
      </c>
    </row>
    <row r="17" spans="1:9">
      <c r="A17" s="725">
        <v>36861</v>
      </c>
      <c r="B17" s="187">
        <v>30.66</v>
      </c>
      <c r="C17" s="187"/>
      <c r="D17" s="187">
        <v>29.14</v>
      </c>
      <c r="E17" s="187"/>
      <c r="F17" s="187">
        <v>30</v>
      </c>
      <c r="G17" s="187" t="e">
        <f>#N/A</f>
        <v>#N/A</v>
      </c>
    </row>
    <row r="18" spans="1:9">
      <c r="A18" s="725">
        <v>36892</v>
      </c>
      <c r="B18" s="187">
        <v>29.64</v>
      </c>
      <c r="C18" s="187"/>
      <c r="D18" s="187">
        <v>23.27</v>
      </c>
      <c r="E18" s="187">
        <v>16.66</v>
      </c>
      <c r="F18" s="187"/>
      <c r="G18" s="187" t="e">
        <f>#N/A</f>
        <v>#N/A</v>
      </c>
    </row>
    <row r="19" spans="1:9">
      <c r="A19" s="725">
        <v>36923</v>
      </c>
      <c r="B19" s="187">
        <v>34.61</v>
      </c>
      <c r="C19" s="187"/>
      <c r="D19" s="187">
        <v>28.4</v>
      </c>
      <c r="E19" s="187"/>
      <c r="F19" s="187"/>
      <c r="G19" s="187" t="e">
        <f>#N/A</f>
        <v>#N/A</v>
      </c>
    </row>
    <row r="20" spans="1:9">
      <c r="A20" s="725">
        <v>36951</v>
      </c>
      <c r="B20" s="187">
        <v>58.2</v>
      </c>
      <c r="C20" s="187"/>
      <c r="D20" s="187">
        <v>29.19</v>
      </c>
      <c r="E20" s="187"/>
      <c r="F20" s="187">
        <v>15</v>
      </c>
      <c r="G20" s="187" t="e">
        <f>#N/A</f>
        <v>#N/A</v>
      </c>
      <c r="H20" s="36"/>
    </row>
    <row r="21" spans="1:9">
      <c r="A21" s="725">
        <v>36982</v>
      </c>
      <c r="B21" s="187">
        <v>45.78</v>
      </c>
      <c r="C21" s="187"/>
      <c r="D21" s="187">
        <v>34.36</v>
      </c>
      <c r="E21" s="187"/>
      <c r="F21" s="187"/>
      <c r="G21" s="187" t="e">
        <f>#N/A</f>
        <v>#N/A</v>
      </c>
    </row>
    <row r="22" spans="1:9">
      <c r="A22" s="725">
        <v>37012</v>
      </c>
      <c r="B22" s="187">
        <v>40.1</v>
      </c>
      <c r="C22" s="187"/>
      <c r="D22" s="187">
        <v>19.09</v>
      </c>
      <c r="E22" s="187"/>
      <c r="F22" s="187">
        <v>15</v>
      </c>
      <c r="G22" s="187" t="e">
        <f>#N/A</f>
        <v>#N/A</v>
      </c>
    </row>
    <row r="23" spans="1:9">
      <c r="A23" s="725">
        <v>37043</v>
      </c>
      <c r="B23" s="187">
        <v>70.08</v>
      </c>
      <c r="C23" s="187"/>
      <c r="D23" s="187">
        <v>32.93</v>
      </c>
      <c r="E23" s="187"/>
      <c r="F23" s="187">
        <v>15</v>
      </c>
      <c r="G23" s="187" t="e">
        <f>#N/A</f>
        <v>#N/A</v>
      </c>
      <c r="I23" s="36"/>
    </row>
    <row r="24" spans="1:9">
      <c r="A24" s="725">
        <v>37073</v>
      </c>
      <c r="B24" s="187">
        <v>50.84</v>
      </c>
      <c r="C24" s="187"/>
      <c r="D24" s="187">
        <v>32.08</v>
      </c>
      <c r="E24" s="187"/>
      <c r="F24" s="187">
        <v>40.840000000000003</v>
      </c>
      <c r="G24" s="187" t="e">
        <f>#N/A</f>
        <v>#N/A</v>
      </c>
    </row>
    <row r="25" spans="1:9">
      <c r="A25" s="725">
        <v>37104</v>
      </c>
      <c r="B25" s="187">
        <v>57.73</v>
      </c>
      <c r="C25" s="187"/>
      <c r="D25" s="187"/>
      <c r="E25" s="187"/>
      <c r="F25" s="187">
        <v>111.57</v>
      </c>
      <c r="G25" s="187" t="e">
        <f>#N/A</f>
        <v>#N/A</v>
      </c>
    </row>
    <row r="26" spans="1:9">
      <c r="A26" s="725">
        <v>37135</v>
      </c>
      <c r="B26" s="187">
        <v>245.35</v>
      </c>
      <c r="C26" s="187"/>
      <c r="D26" s="187"/>
      <c r="E26" s="187">
        <v>48.73</v>
      </c>
      <c r="F26" s="187">
        <v>165.01</v>
      </c>
      <c r="G26" s="187" t="e">
        <f>#N/A</f>
        <v>#N/A</v>
      </c>
      <c r="I26" s="36"/>
    </row>
    <row r="27" spans="1:9">
      <c r="A27" s="725">
        <v>37165</v>
      </c>
      <c r="B27" s="187">
        <v>90.49</v>
      </c>
      <c r="C27" s="187"/>
      <c r="D27" s="187"/>
      <c r="E27" s="187"/>
      <c r="F27" s="187">
        <v>35.07</v>
      </c>
      <c r="G27" s="187" t="e">
        <f>#N/A</f>
        <v>#N/A</v>
      </c>
    </row>
    <row r="28" spans="1:9">
      <c r="A28" s="725">
        <v>37196</v>
      </c>
      <c r="B28" s="187">
        <v>108.72</v>
      </c>
      <c r="C28" s="187"/>
      <c r="D28" s="187"/>
      <c r="E28" s="187"/>
      <c r="F28" s="187">
        <v>34.479999999999997</v>
      </c>
      <c r="G28" s="187" t="e">
        <f>#N/A</f>
        <v>#N/A</v>
      </c>
      <c r="I28" s="36"/>
    </row>
    <row r="29" spans="1:9">
      <c r="A29" s="725">
        <v>37226</v>
      </c>
      <c r="B29" s="187">
        <v>135.57</v>
      </c>
      <c r="C29" s="187"/>
      <c r="D29" s="187">
        <v>18.329999999999998</v>
      </c>
      <c r="E29" s="187"/>
      <c r="F29" s="187">
        <v>51.03</v>
      </c>
      <c r="G29" s="187" t="e">
        <f>#N/A</f>
        <v>#N/A</v>
      </c>
      <c r="I29" s="36"/>
    </row>
    <row r="30" spans="1:9">
      <c r="A30" s="488">
        <v>37257</v>
      </c>
      <c r="B30" s="489">
        <v>131.22</v>
      </c>
      <c r="C30" s="489"/>
      <c r="D30" s="489">
        <v>25.09</v>
      </c>
      <c r="E30" s="489"/>
      <c r="F30" s="489">
        <v>26</v>
      </c>
      <c r="G30" s="489" t="e">
        <f>#N/A</f>
        <v>#N/A</v>
      </c>
      <c r="H30" s="36"/>
    </row>
    <row r="31" spans="1:9">
      <c r="A31" s="725">
        <v>37288</v>
      </c>
      <c r="B31" s="187">
        <v>80.849999999999994</v>
      </c>
      <c r="C31" s="187"/>
      <c r="D31" s="187">
        <v>20.010000000000002</v>
      </c>
      <c r="E31" s="187"/>
      <c r="F31" s="187">
        <v>3.16</v>
      </c>
      <c r="G31" s="187" t="e">
        <f>#N/A</f>
        <v>#N/A</v>
      </c>
      <c r="H31" s="36"/>
    </row>
    <row r="32" spans="1:9">
      <c r="A32" s="726">
        <v>37316</v>
      </c>
      <c r="B32" s="187">
        <v>66.44</v>
      </c>
      <c r="C32" s="187"/>
      <c r="D32" s="187">
        <v>100.64</v>
      </c>
      <c r="E32" s="187"/>
      <c r="F32" s="187">
        <v>3.34</v>
      </c>
      <c r="G32" s="187" t="e">
        <f>#N/A</f>
        <v>#N/A</v>
      </c>
    </row>
    <row r="33" spans="1:10">
      <c r="A33" s="726">
        <v>37347</v>
      </c>
      <c r="B33" s="187">
        <v>52.55</v>
      </c>
      <c r="C33" s="187"/>
      <c r="D33" s="187">
        <v>84.19</v>
      </c>
      <c r="E33" s="187"/>
      <c r="F33" s="187">
        <v>5.0999999999999996</v>
      </c>
      <c r="G33" s="187" t="e">
        <f>#N/A</f>
        <v>#N/A</v>
      </c>
    </row>
    <row r="34" spans="1:10">
      <c r="A34" s="727">
        <v>37377</v>
      </c>
      <c r="B34" s="489">
        <v>51.16</v>
      </c>
      <c r="C34" s="489"/>
      <c r="D34" s="489">
        <v>67.709999999999994</v>
      </c>
      <c r="E34" s="489"/>
      <c r="F34" s="489">
        <v>1.9</v>
      </c>
      <c r="G34" s="489" t="e">
        <f>#N/A</f>
        <v>#N/A</v>
      </c>
      <c r="I34" s="728" t="s">
        <v>24987</v>
      </c>
      <c r="J34" s="488" t="s">
        <v>24993</v>
      </c>
    </row>
    <row r="35" spans="1:10">
      <c r="A35" s="727">
        <v>37408</v>
      </c>
      <c r="B35" s="489">
        <v>43.24</v>
      </c>
      <c r="C35" s="489"/>
      <c r="D35" s="489">
        <v>69.05</v>
      </c>
      <c r="E35" s="489"/>
      <c r="F35" s="489"/>
      <c r="G35" s="489" t="e">
        <f>#N/A</f>
        <v>#N/A</v>
      </c>
    </row>
    <row r="36" spans="1:10">
      <c r="A36" s="727">
        <v>37438</v>
      </c>
      <c r="B36" s="489">
        <v>44.59</v>
      </c>
      <c r="C36" s="489"/>
      <c r="D36" s="489">
        <v>84.19</v>
      </c>
      <c r="E36" s="489"/>
      <c r="F36" s="489">
        <v>0.36</v>
      </c>
      <c r="G36" s="489" t="e">
        <f>#N/A</f>
        <v>#N/A</v>
      </c>
    </row>
    <row r="37" spans="1:10">
      <c r="A37" s="727">
        <v>37469</v>
      </c>
      <c r="B37" s="489">
        <v>75.72</v>
      </c>
      <c r="C37" s="489"/>
      <c r="D37" s="489">
        <v>99.5</v>
      </c>
      <c r="E37" s="489"/>
      <c r="F37" s="489">
        <v>16.829999999999998</v>
      </c>
      <c r="G37" s="489" t="e">
        <f>#N/A</f>
        <v>#N/A</v>
      </c>
    </row>
    <row r="38" spans="1:10">
      <c r="A38" s="727">
        <v>37500</v>
      </c>
      <c r="B38" s="489">
        <v>76.599999999999994</v>
      </c>
      <c r="C38" s="489"/>
      <c r="D38" s="489">
        <v>83.72</v>
      </c>
      <c r="E38" s="489"/>
      <c r="F38" s="489">
        <v>30.05</v>
      </c>
      <c r="G38" s="489" t="e">
        <f>#N/A</f>
        <v>#N/A</v>
      </c>
    </row>
    <row r="39" spans="1:10">
      <c r="A39" s="727">
        <v>37530</v>
      </c>
      <c r="B39" s="489">
        <v>77.59</v>
      </c>
      <c r="C39" s="489"/>
      <c r="D39" s="489">
        <v>63.45</v>
      </c>
      <c r="E39" s="489"/>
      <c r="F39" s="489">
        <v>36.630000000000003</v>
      </c>
      <c r="G39" s="489" t="e">
        <f>#N/A</f>
        <v>#N/A</v>
      </c>
    </row>
    <row r="40" spans="1:10">
      <c r="A40" s="488">
        <v>37561</v>
      </c>
      <c r="B40" s="489">
        <v>97.81</v>
      </c>
      <c r="C40" s="489"/>
      <c r="D40" s="489">
        <v>11.01</v>
      </c>
      <c r="E40" s="489"/>
      <c r="F40" s="489">
        <v>93.96</v>
      </c>
      <c r="G40" s="489" t="e">
        <f>#N/A</f>
        <v>#N/A</v>
      </c>
    </row>
    <row r="41" spans="1:10">
      <c r="A41" s="488">
        <v>37591</v>
      </c>
      <c r="B41" s="489">
        <v>87.82</v>
      </c>
      <c r="C41" s="489"/>
      <c r="D41" s="489"/>
      <c r="E41" s="489"/>
      <c r="F41" s="489">
        <v>26.6</v>
      </c>
      <c r="G41" s="489" t="e">
        <f>#N/A</f>
        <v>#N/A</v>
      </c>
    </row>
    <row r="42" spans="1:10">
      <c r="A42" s="488">
        <v>37622</v>
      </c>
      <c r="B42" s="489">
        <v>80.400000000000006</v>
      </c>
      <c r="C42" s="489"/>
      <c r="D42" s="489"/>
      <c r="E42" s="489"/>
      <c r="F42" s="489">
        <v>23.2</v>
      </c>
      <c r="G42" s="489" t="e">
        <f>#N/A</f>
        <v>#N/A</v>
      </c>
    </row>
    <row r="43" spans="1:10">
      <c r="A43" s="488" t="e">
        <f>#N/A</f>
        <v>#N/A</v>
      </c>
      <c r="B43" s="489">
        <v>133.4</v>
      </c>
      <c r="C43" s="489"/>
      <c r="D43" s="489"/>
      <c r="E43" s="489"/>
      <c r="F43" s="489">
        <v>22.4</v>
      </c>
      <c r="G43" s="489" t="e">
        <f>#N/A</f>
        <v>#N/A</v>
      </c>
    </row>
    <row r="44" spans="1:10">
      <c r="A44" s="488" t="e">
        <f>#N/A</f>
        <v>#N/A</v>
      </c>
      <c r="B44" s="489"/>
      <c r="C44" s="489"/>
      <c r="D44" s="489"/>
      <c r="E44" s="489"/>
      <c r="F44" s="489">
        <v>10.73</v>
      </c>
      <c r="G44" s="489" t="e">
        <f>#N/A</f>
        <v>#N/A</v>
      </c>
    </row>
    <row r="45" spans="1:10">
      <c r="A45" s="488" t="e">
        <f>#N/A</f>
        <v>#N/A</v>
      </c>
      <c r="B45" s="489">
        <v>122.88</v>
      </c>
      <c r="C45" s="489"/>
      <c r="D45" s="489"/>
      <c r="E45" s="489"/>
      <c r="F45" s="489"/>
      <c r="G45" s="489" t="e">
        <f>#N/A</f>
        <v>#N/A</v>
      </c>
    </row>
    <row r="46" spans="1:10">
      <c r="A46" s="488" t="e">
        <f>#N/A</f>
        <v>#N/A</v>
      </c>
      <c r="B46" s="489">
        <v>74.39</v>
      </c>
      <c r="C46" s="489"/>
      <c r="D46" s="489"/>
      <c r="E46" s="489"/>
      <c r="F46" s="489">
        <v>14.66</v>
      </c>
      <c r="G46" s="489" t="e">
        <f>#N/A</f>
        <v>#N/A</v>
      </c>
    </row>
    <row r="47" spans="1:10">
      <c r="A47" s="488" t="e">
        <f>#N/A</f>
        <v>#N/A</v>
      </c>
      <c r="B47" s="489">
        <v>63.87</v>
      </c>
      <c r="C47" s="489"/>
      <c r="D47" s="489"/>
      <c r="E47" s="489"/>
      <c r="F47" s="489"/>
      <c r="G47" s="489" t="e">
        <f>#N/A</f>
        <v>#N/A</v>
      </c>
    </row>
    <row r="48" spans="1:10">
      <c r="A48" s="488" t="e">
        <f>#N/A</f>
        <v>#N/A</v>
      </c>
      <c r="B48" s="489">
        <v>72.709999999999994</v>
      </c>
      <c r="C48" s="489"/>
      <c r="D48" s="489"/>
      <c r="E48" s="489"/>
      <c r="F48" s="489"/>
      <c r="G48" s="489" t="e">
        <f>#N/A</f>
        <v>#N/A</v>
      </c>
      <c r="H48" s="36" t="e">
        <f>AVERAGE(G45:G48)</f>
        <v>#N/A</v>
      </c>
    </row>
    <row r="49" spans="1:10">
      <c r="A49" s="488">
        <v>37987</v>
      </c>
      <c r="B49" s="489"/>
      <c r="C49" s="489">
        <v>25</v>
      </c>
      <c r="D49" s="489"/>
      <c r="E49" s="489"/>
      <c r="F49" s="489">
        <v>156.71</v>
      </c>
      <c r="G49" s="489" t="e">
        <f>#N/A</f>
        <v>#N/A</v>
      </c>
      <c r="H49" s="36"/>
    </row>
    <row r="50" spans="1:10">
      <c r="A50" s="488">
        <v>38018</v>
      </c>
      <c r="B50" s="489"/>
      <c r="C50" s="489">
        <v>41.55</v>
      </c>
      <c r="D50" s="489"/>
      <c r="E50" s="489"/>
      <c r="F50" s="489">
        <v>110.43</v>
      </c>
      <c r="G50" s="489" t="e">
        <f>#N/A</f>
        <v>#N/A</v>
      </c>
      <c r="H50" s="36"/>
    </row>
    <row r="51" spans="1:10">
      <c r="A51" s="488">
        <v>38047</v>
      </c>
      <c r="B51" s="489"/>
      <c r="C51" s="489">
        <v>55.82</v>
      </c>
      <c r="D51" s="489"/>
      <c r="E51" s="489"/>
      <c r="F51" s="489">
        <v>50.25</v>
      </c>
      <c r="G51" s="489" t="e">
        <f>#N/A</f>
        <v>#N/A</v>
      </c>
      <c r="H51" s="36"/>
    </row>
    <row r="52" spans="1:10">
      <c r="A52" s="488">
        <v>38078</v>
      </c>
      <c r="B52" s="489"/>
      <c r="C52" s="489">
        <v>64.58</v>
      </c>
      <c r="D52" s="489">
        <v>3.75</v>
      </c>
      <c r="E52" s="489"/>
      <c r="F52" s="489">
        <v>53.32</v>
      </c>
      <c r="G52" s="489" t="e">
        <f>#N/A</f>
        <v>#N/A</v>
      </c>
      <c r="H52" s="36"/>
    </row>
    <row r="53" spans="1:10">
      <c r="A53" s="488">
        <v>38108</v>
      </c>
      <c r="B53" s="489"/>
      <c r="C53" s="489">
        <v>96.15</v>
      </c>
      <c r="D53" s="489"/>
      <c r="E53" s="489"/>
      <c r="F53" s="489">
        <v>42.11</v>
      </c>
      <c r="G53" s="489" t="e">
        <f>#N/A</f>
        <v>#N/A</v>
      </c>
      <c r="H53" s="36"/>
    </row>
    <row r="54" spans="1:10">
      <c r="A54" s="488">
        <v>38139</v>
      </c>
      <c r="B54" s="489">
        <v>15.96</v>
      </c>
      <c r="C54" s="489">
        <v>58.52</v>
      </c>
      <c r="D54" s="489">
        <v>3.96</v>
      </c>
      <c r="E54" s="489"/>
      <c r="F54" s="489">
        <f>44.7+16.01</f>
        <v>60.710000000000008</v>
      </c>
      <c r="G54" s="489" t="e">
        <f>#N/A</f>
        <v>#N/A</v>
      </c>
      <c r="H54" s="36"/>
    </row>
    <row r="55" spans="1:10">
      <c r="A55" s="488">
        <v>38169</v>
      </c>
      <c r="B55" s="489">
        <v>48.19</v>
      </c>
      <c r="C55" s="489">
        <v>23.77</v>
      </c>
      <c r="D55" s="489"/>
      <c r="E55" s="489"/>
      <c r="F55" s="489"/>
      <c r="G55" s="489" t="e">
        <f>#N/A</f>
        <v>#N/A</v>
      </c>
      <c r="H55" s="36"/>
    </row>
    <row r="56" spans="1:10">
      <c r="A56" s="488">
        <v>38200</v>
      </c>
      <c r="B56" s="489">
        <v>32.39</v>
      </c>
      <c r="C56" s="489">
        <v>23.13</v>
      </c>
      <c r="D56" s="489"/>
      <c r="E56" s="489"/>
      <c r="F56" s="489"/>
      <c r="G56" s="489" t="e">
        <f>#N/A</f>
        <v>#N/A</v>
      </c>
      <c r="H56" s="36"/>
    </row>
    <row r="57" spans="1:10">
      <c r="A57" s="488">
        <v>38231</v>
      </c>
      <c r="B57" s="489">
        <v>35.58</v>
      </c>
      <c r="C57" s="489">
        <v>40.65</v>
      </c>
      <c r="D57" s="489"/>
      <c r="E57" s="489"/>
      <c r="F57" s="489"/>
      <c r="G57" s="489" t="e">
        <f>#N/A</f>
        <v>#N/A</v>
      </c>
      <c r="H57" s="36"/>
    </row>
    <row r="58" spans="1:10">
      <c r="A58" s="488">
        <v>38261</v>
      </c>
      <c r="B58" s="489">
        <v>53.43</v>
      </c>
      <c r="C58" s="489">
        <v>45.61</v>
      </c>
      <c r="D58" s="489"/>
      <c r="E58" s="489"/>
      <c r="F58" s="489"/>
      <c r="G58" s="489" t="e">
        <f>#N/A</f>
        <v>#N/A</v>
      </c>
      <c r="H58" s="36"/>
    </row>
    <row r="59" spans="1:10">
      <c r="A59" s="214" t="s">
        <v>24994</v>
      </c>
      <c r="B59" s="729">
        <f>AVERAGE(B2:B58)</f>
        <v>64.049803921568625</v>
      </c>
      <c r="C59" s="729">
        <f>AVERAGE(C46:C58)</f>
        <v>47.477999999999994</v>
      </c>
      <c r="D59" s="729">
        <f>AVERAGE(D2:D58)</f>
        <v>35.422571428571437</v>
      </c>
      <c r="E59" s="729">
        <f>AVERAGE(E2:E58)</f>
        <v>22.36</v>
      </c>
      <c r="F59" s="729">
        <f>AVERAGE(F2:F58)</f>
        <v>41.982258064516131</v>
      </c>
      <c r="G59" s="729" t="e">
        <f>#N/A</f>
        <v>#N/A</v>
      </c>
      <c r="I59" s="36"/>
      <c r="J59" s="36"/>
    </row>
    <row r="60" spans="1:10">
      <c r="A60" s="214" t="s">
        <v>24995</v>
      </c>
      <c r="B60" s="729">
        <f>SUM(B2:B58)</f>
        <v>3266.5399999999995</v>
      </c>
      <c r="C60" s="729">
        <f>SUM(C2:C58)</f>
        <v>474.78</v>
      </c>
      <c r="D60" s="729">
        <f>SUM(D2:D58)</f>
        <v>1239.7900000000002</v>
      </c>
      <c r="E60" s="729">
        <f>SUM(E2:E58)</f>
        <v>67.08</v>
      </c>
      <c r="F60" s="729">
        <f>SUM(F2:F58)</f>
        <v>1301.45</v>
      </c>
      <c r="G60" s="729" t="e">
        <f>#N/A</f>
        <v>#N/A</v>
      </c>
    </row>
  </sheetData>
  <sheetProtection selectLockedCells="1" selectUnlockedCells="1"/>
  <pageMargins left="0.78749999999999998" right="0.78749999999999998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Plan94"/>
  <dimension ref="A1:H21"/>
  <sheetViews>
    <sheetView workbookViewId="0">
      <selection activeCell="H21" sqref="H21"/>
    </sheetView>
  </sheetViews>
  <sheetFormatPr defaultColWidth="9" defaultRowHeight="13.5"/>
  <cols>
    <col min="1" max="4" width="17.42578125" style="3" customWidth="1"/>
    <col min="5" max="5" width="14.7109375" style="3" customWidth="1"/>
    <col min="6" max="6" width="11.5703125" style="3" customWidth="1"/>
    <col min="7" max="8" width="12.28515625" style="3" customWidth="1"/>
    <col min="9" max="16384" width="9" style="3"/>
  </cols>
  <sheetData>
    <row r="1" spans="1:6">
      <c r="A1" s="214" t="s">
        <v>24987</v>
      </c>
      <c r="B1" s="214" t="s">
        <v>24996</v>
      </c>
      <c r="C1" s="214" t="s">
        <v>24997</v>
      </c>
      <c r="D1" s="214" t="s">
        <v>24998</v>
      </c>
      <c r="E1" s="214" t="s">
        <v>24992</v>
      </c>
    </row>
    <row r="2" spans="1:6">
      <c r="A2" s="723">
        <v>38292</v>
      </c>
      <c r="B2" s="178"/>
      <c r="C2" s="178">
        <v>109.54</v>
      </c>
      <c r="D2" s="178"/>
      <c r="E2" s="178" t="e">
        <f>#N/A</f>
        <v>#N/A</v>
      </c>
      <c r="F2" s="36"/>
    </row>
    <row r="3" spans="1:6">
      <c r="A3" s="725">
        <v>38322</v>
      </c>
      <c r="B3" s="187">
        <v>123.08</v>
      </c>
      <c r="C3" s="187">
        <v>331.29</v>
      </c>
      <c r="D3" s="187"/>
      <c r="E3" s="187" t="e">
        <f>#N/A</f>
        <v>#N/A</v>
      </c>
      <c r="F3" s="36"/>
    </row>
    <row r="4" spans="1:6">
      <c r="A4" s="725">
        <v>38353</v>
      </c>
      <c r="B4" s="187">
        <v>172.56</v>
      </c>
      <c r="C4" s="187">
        <v>102.97</v>
      </c>
      <c r="D4" s="187"/>
      <c r="E4" s="187" t="e">
        <f>#N/A</f>
        <v>#N/A</v>
      </c>
      <c r="F4" s="36"/>
    </row>
    <row r="5" spans="1:6">
      <c r="A5" s="725">
        <v>38384</v>
      </c>
      <c r="B5" s="187">
        <v>131.91999999999999</v>
      </c>
      <c r="C5" s="187">
        <v>50.6</v>
      </c>
      <c r="D5" s="187"/>
      <c r="E5" s="187" t="e">
        <f>#N/A</f>
        <v>#N/A</v>
      </c>
    </row>
    <row r="6" spans="1:6">
      <c r="A6" s="725">
        <v>38412</v>
      </c>
      <c r="B6" s="187">
        <v>183.71</v>
      </c>
      <c r="C6" s="187">
        <v>41.25</v>
      </c>
      <c r="D6" s="187"/>
      <c r="E6" s="187" t="e">
        <f>#N/A</f>
        <v>#N/A</v>
      </c>
    </row>
    <row r="7" spans="1:6">
      <c r="A7" s="725">
        <v>38443</v>
      </c>
      <c r="B7" s="187">
        <v>200.45</v>
      </c>
      <c r="C7" s="187">
        <v>38.99</v>
      </c>
      <c r="D7" s="187"/>
      <c r="E7" s="187" t="e">
        <f>#N/A</f>
        <v>#N/A</v>
      </c>
    </row>
    <row r="8" spans="1:6">
      <c r="A8" s="725">
        <v>38473</v>
      </c>
      <c r="B8" s="187">
        <v>229.63</v>
      </c>
      <c r="C8" s="187"/>
      <c r="D8" s="187"/>
      <c r="E8" s="187" t="e">
        <f>#N/A</f>
        <v>#N/A</v>
      </c>
    </row>
    <row r="9" spans="1:6">
      <c r="A9" s="725">
        <v>38504</v>
      </c>
      <c r="B9" s="187">
        <v>201.12</v>
      </c>
      <c r="C9" s="187"/>
      <c r="D9" s="187">
        <v>53.03</v>
      </c>
      <c r="E9" s="187" t="e">
        <f>#N/A</f>
        <v>#N/A</v>
      </c>
    </row>
    <row r="10" spans="1:6">
      <c r="A10" s="725">
        <v>38534</v>
      </c>
      <c r="B10" s="187">
        <v>200.34</v>
      </c>
      <c r="C10" s="187"/>
      <c r="D10" s="187">
        <v>78.8</v>
      </c>
      <c r="E10" s="187" t="e">
        <f>#N/A</f>
        <v>#N/A</v>
      </c>
    </row>
    <row r="11" spans="1:6">
      <c r="A11" s="725">
        <v>38565</v>
      </c>
      <c r="B11" s="187">
        <v>185.66</v>
      </c>
      <c r="C11" s="187"/>
      <c r="D11" s="187">
        <v>77.08</v>
      </c>
      <c r="E11" s="187" t="e">
        <f>#N/A</f>
        <v>#N/A</v>
      </c>
    </row>
    <row r="12" spans="1:6">
      <c r="A12" s="725">
        <v>38596</v>
      </c>
      <c r="B12" s="187">
        <v>183.91</v>
      </c>
      <c r="C12" s="187"/>
      <c r="D12" s="187">
        <v>75.39</v>
      </c>
      <c r="E12" s="187" t="e">
        <f>#N/A</f>
        <v>#N/A</v>
      </c>
    </row>
    <row r="13" spans="1:6">
      <c r="A13" s="725">
        <v>38626</v>
      </c>
      <c r="B13" s="187">
        <v>102.76</v>
      </c>
      <c r="C13" s="187"/>
      <c r="D13" s="187">
        <v>75.319999999999993</v>
      </c>
      <c r="E13" s="187" t="e">
        <f>#N/A</f>
        <v>#N/A</v>
      </c>
    </row>
    <row r="14" spans="1:6">
      <c r="A14" s="725">
        <v>38657</v>
      </c>
      <c r="B14" s="187">
        <v>177.86</v>
      </c>
      <c r="C14" s="187"/>
      <c r="D14" s="187">
        <v>75</v>
      </c>
      <c r="E14" s="187" t="e">
        <f>#N/A</f>
        <v>#N/A</v>
      </c>
    </row>
    <row r="15" spans="1:6">
      <c r="A15" s="725">
        <v>38687</v>
      </c>
      <c r="B15" s="187">
        <v>257.66000000000003</v>
      </c>
      <c r="C15" s="187"/>
      <c r="D15" s="187">
        <v>104.62</v>
      </c>
      <c r="E15" s="187" t="e">
        <f>#N/A</f>
        <v>#N/A</v>
      </c>
    </row>
    <row r="16" spans="1:6">
      <c r="A16" s="725">
        <v>38718</v>
      </c>
      <c r="B16" s="187">
        <v>244.12</v>
      </c>
      <c r="C16" s="187"/>
      <c r="D16" s="187">
        <v>484.82</v>
      </c>
      <c r="E16" s="187" t="e">
        <f>#N/A</f>
        <v>#N/A</v>
      </c>
    </row>
    <row r="17" spans="1:8">
      <c r="A17" s="488">
        <v>38749</v>
      </c>
      <c r="B17" s="489"/>
      <c r="C17" s="489"/>
      <c r="D17" s="489">
        <v>224.72</v>
      </c>
      <c r="E17" s="489" t="e">
        <f>#N/A</f>
        <v>#N/A</v>
      </c>
    </row>
    <row r="18" spans="1:8">
      <c r="A18" s="725">
        <v>38777</v>
      </c>
      <c r="B18" s="190"/>
      <c r="C18" s="190"/>
      <c r="D18" s="190">
        <v>188.17</v>
      </c>
      <c r="E18" s="190" t="e">
        <f>#N/A</f>
        <v>#N/A</v>
      </c>
    </row>
    <row r="19" spans="1:8">
      <c r="A19" s="488">
        <v>38808</v>
      </c>
      <c r="B19" s="190"/>
      <c r="C19" s="190"/>
      <c r="D19" s="190">
        <v>5.53</v>
      </c>
      <c r="E19" s="190" t="e">
        <f>#N/A</f>
        <v>#N/A</v>
      </c>
    </row>
    <row r="20" spans="1:8">
      <c r="A20" s="214" t="s">
        <v>24994</v>
      </c>
      <c r="B20" s="729">
        <f>AVERAGE(B2:B18)</f>
        <v>185.34142857142857</v>
      </c>
      <c r="C20" s="729">
        <f>AVERAGE(C2:C17)</f>
        <v>112.44000000000001</v>
      </c>
      <c r="D20" s="729">
        <f>AVERAGE(D2:D19)</f>
        <v>131.13454545454545</v>
      </c>
      <c r="E20" s="729" t="e">
        <f>AVERAGE(E2:E19)</f>
        <v>#N/A</v>
      </c>
      <c r="G20" s="36"/>
      <c r="H20" s="36"/>
    </row>
    <row r="21" spans="1:8">
      <c r="A21" s="729" t="s">
        <v>24992</v>
      </c>
      <c r="B21" s="729">
        <f>SUM(B2:B18)</f>
        <v>2594.7799999999997</v>
      </c>
      <c r="C21" s="729">
        <f>SUM(C2:C17)</f>
        <v>674.6400000000001</v>
      </c>
      <c r="D21" s="729">
        <f>SUM(D2:D19)</f>
        <v>1442.48</v>
      </c>
      <c r="E21" s="729">
        <f>SUM(B21:D21)</f>
        <v>4711.8999999999996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Plan95"/>
  <dimension ref="A1:N70"/>
  <sheetViews>
    <sheetView workbookViewId="0">
      <pane xSplit="12" ySplit="1" topLeftCell="M52" activePane="bottomRight" state="frozen"/>
      <selection pane="bottomRight" activeCell="M1" sqref="M1"/>
      <selection pane="bottomLeft" activeCell="A41" sqref="A41"/>
      <selection pane="topRight" activeCell="M1" sqref="M1"/>
    </sheetView>
  </sheetViews>
  <sheetFormatPr defaultColWidth="11.7109375" defaultRowHeight="13.5"/>
  <cols>
    <col min="1" max="1" width="12.42578125" style="3" customWidth="1"/>
    <col min="2" max="2" width="14.85546875" style="3" customWidth="1"/>
    <col min="3" max="3" width="11.28515625" style="3" customWidth="1"/>
    <col min="4" max="4" width="13.7109375" style="3" customWidth="1"/>
    <col min="5" max="6" width="11.28515625" style="3" customWidth="1"/>
    <col min="7" max="7" width="7.28515625" style="3" customWidth="1"/>
    <col min="8" max="8" width="10.140625" style="3" customWidth="1"/>
    <col min="9" max="10" width="7.85546875" style="3" customWidth="1"/>
    <col min="11" max="11" width="11.42578125" style="3" customWidth="1"/>
    <col min="12" max="12" width="10.140625" style="3" customWidth="1"/>
    <col min="13" max="13" width="11.7109375" style="3"/>
    <col min="14" max="14" width="15.5703125" style="3" customWidth="1"/>
    <col min="15" max="16384" width="11.7109375" style="3"/>
  </cols>
  <sheetData>
    <row r="1" spans="1:12">
      <c r="A1" s="25" t="s">
        <v>0</v>
      </c>
      <c r="B1" s="25" t="s">
        <v>907</v>
      </c>
      <c r="C1" s="25" t="s">
        <v>908</v>
      </c>
      <c r="D1" s="25" t="s">
        <v>909</v>
      </c>
      <c r="E1" s="25" t="s">
        <v>910</v>
      </c>
      <c r="F1" s="25" t="s">
        <v>911</v>
      </c>
      <c r="G1" s="25" t="s">
        <v>912</v>
      </c>
      <c r="H1" s="25" t="s">
        <v>913</v>
      </c>
      <c r="I1" s="25" t="s">
        <v>914</v>
      </c>
      <c r="J1" s="25" t="s">
        <v>915</v>
      </c>
      <c r="K1" s="730" t="s">
        <v>916</v>
      </c>
      <c r="L1" s="25" t="s">
        <v>917</v>
      </c>
    </row>
    <row r="2" spans="1:12">
      <c r="A2" s="731">
        <v>38013</v>
      </c>
      <c r="B2" s="732">
        <v>441</v>
      </c>
      <c r="C2" s="733">
        <v>2.09</v>
      </c>
      <c r="D2" s="733">
        <v>20</v>
      </c>
      <c r="E2" s="10">
        <f>IF(C2&lt;&gt;"",D2/C2,"")</f>
        <v>9.5693779904306222</v>
      </c>
      <c r="F2" s="735">
        <v>0</v>
      </c>
      <c r="G2" s="734">
        <v>0</v>
      </c>
      <c r="H2" s="734">
        <v>0</v>
      </c>
      <c r="I2" s="734">
        <v>0</v>
      </c>
      <c r="J2" s="734">
        <v>0</v>
      </c>
      <c r="K2" s="60">
        <v>0</v>
      </c>
      <c r="L2" s="60">
        <v>0</v>
      </c>
    </row>
    <row r="3" spans="1:12">
      <c r="A3" s="731">
        <v>38033</v>
      </c>
      <c r="B3" s="732">
        <v>740</v>
      </c>
      <c r="C3" s="733">
        <v>2.0499999999999998</v>
      </c>
      <c r="D3" s="733">
        <v>20.09</v>
      </c>
      <c r="E3" s="10">
        <f>IF(C3&lt;&gt;"",D3/C3,"")</f>
        <v>9.8000000000000007</v>
      </c>
      <c r="F3" s="11">
        <f>IF(A3="","",B3-B2)</f>
        <v>299</v>
      </c>
      <c r="G3" s="10">
        <f>IF(A3="","",A3-A2)</f>
        <v>20</v>
      </c>
      <c r="H3" s="10">
        <f>IF(F3="","",F3/E2)</f>
        <v>31.2455</v>
      </c>
      <c r="I3" s="10">
        <f>IF(F3&lt;&gt;"",IF(G3&gt;0,F3/G3,F3),"" )</f>
        <v>14.95</v>
      </c>
      <c r="J3" s="10">
        <f>IF(G3="","",IF(G3=0,E3,E2/G3))</f>
        <v>0.4784688995215311</v>
      </c>
      <c r="K3" s="12">
        <f>IF(G3="","",IF(G3=0,C2,C2/G3))</f>
        <v>0.1045</v>
      </c>
      <c r="L3" s="13">
        <f>IF(F3="","",C2/F3)</f>
        <v>6.9899665551839459E-3</v>
      </c>
    </row>
    <row r="4" spans="1:12">
      <c r="A4" s="731">
        <v>38046</v>
      </c>
      <c r="B4" s="732">
        <v>1031</v>
      </c>
      <c r="C4" s="733">
        <v>2.0299999999999998</v>
      </c>
      <c r="D4" s="733">
        <v>18.850000000000001</v>
      </c>
      <c r="E4" s="10">
        <f t="shared" ref="E4:E67" si="0">IF(C4&lt;&gt;"",D4/C4,"")</f>
        <v>9.2857142857142865</v>
      </c>
      <c r="F4" s="11">
        <f t="shared" ref="F4:F67" si="1">IF(A4="","",B4-B3)</f>
        <v>291</v>
      </c>
      <c r="G4" s="10">
        <f t="shared" ref="G4:G67" si="2">IF(A4="","",A4-A3)</f>
        <v>13</v>
      </c>
      <c r="H4" s="10">
        <f t="shared" ref="H4:H67" si="3">IF(F4="","",F4/E3)</f>
        <v>29.693877551020407</v>
      </c>
      <c r="I4" s="10">
        <f t="shared" ref="I4:I67" si="4">IF(F4&lt;&gt;"",IF(G4&gt;0,F4/G4,F4),"" )</f>
        <v>22.384615384615383</v>
      </c>
      <c r="J4" s="10">
        <f t="shared" ref="J4:J67" si="5">IF(G4="","",IF(G4=0,E4,E3/G4))</f>
        <v>0.75384615384615394</v>
      </c>
      <c r="K4" s="12">
        <f t="shared" ref="K4:K67" si="6">IF(G4="","",IF(G4=0,C3,C3/G4))</f>
        <v>0.15769230769230769</v>
      </c>
      <c r="L4" s="13">
        <f t="shared" ref="L4:L67" si="7">IF(F4="","",C3/F4)</f>
        <v>7.0446735395188996E-3</v>
      </c>
    </row>
    <row r="5" spans="1:12">
      <c r="A5" s="731">
        <v>38066</v>
      </c>
      <c r="B5" s="732">
        <v>1337</v>
      </c>
      <c r="C5" s="733">
        <v>1.97</v>
      </c>
      <c r="D5" s="733">
        <v>18.5</v>
      </c>
      <c r="E5" s="10">
        <f t="shared" si="0"/>
        <v>9.3908629441624374</v>
      </c>
      <c r="F5" s="11">
        <f t="shared" si="1"/>
        <v>306</v>
      </c>
      <c r="G5" s="10">
        <f t="shared" si="2"/>
        <v>20</v>
      </c>
      <c r="H5" s="10">
        <f t="shared" si="3"/>
        <v>32.95384615384615</v>
      </c>
      <c r="I5" s="10">
        <f t="shared" si="4"/>
        <v>15.3</v>
      </c>
      <c r="J5" s="10">
        <f t="shared" si="5"/>
        <v>0.4642857142857143</v>
      </c>
      <c r="K5" s="12">
        <f t="shared" si="6"/>
        <v>0.10149999999999999</v>
      </c>
      <c r="L5" s="13">
        <f t="shared" si="7"/>
        <v>6.6339869281045747E-3</v>
      </c>
    </row>
    <row r="6" spans="1:12">
      <c r="A6" s="731">
        <v>38081</v>
      </c>
      <c r="B6" s="732">
        <v>1645</v>
      </c>
      <c r="C6" s="733">
        <v>2.0299999999999998</v>
      </c>
      <c r="D6" s="733">
        <v>20.75</v>
      </c>
      <c r="E6" s="10">
        <f t="shared" si="0"/>
        <v>10.221674876847292</v>
      </c>
      <c r="F6" s="11">
        <f t="shared" si="1"/>
        <v>308</v>
      </c>
      <c r="G6" s="10">
        <f t="shared" si="2"/>
        <v>15</v>
      </c>
      <c r="H6" s="10">
        <f t="shared" si="3"/>
        <v>32.797837837837832</v>
      </c>
      <c r="I6" s="10">
        <f t="shared" si="4"/>
        <v>20.533333333333335</v>
      </c>
      <c r="J6" s="10">
        <f t="shared" si="5"/>
        <v>0.62605752961082917</v>
      </c>
      <c r="K6" s="12">
        <f t="shared" si="6"/>
        <v>0.13133333333333333</v>
      </c>
      <c r="L6" s="13">
        <f t="shared" si="7"/>
        <v>6.3961038961038962E-3</v>
      </c>
    </row>
    <row r="7" spans="1:12">
      <c r="A7" s="731">
        <v>38094</v>
      </c>
      <c r="B7" s="732">
        <v>1985</v>
      </c>
      <c r="C7" s="733">
        <v>2.04</v>
      </c>
      <c r="D7" s="733">
        <v>20</v>
      </c>
      <c r="E7" s="10">
        <f t="shared" si="0"/>
        <v>9.8039215686274517</v>
      </c>
      <c r="F7" s="11">
        <f t="shared" si="1"/>
        <v>340</v>
      </c>
      <c r="G7" s="10">
        <f t="shared" si="2"/>
        <v>13</v>
      </c>
      <c r="H7" s="10">
        <f t="shared" si="3"/>
        <v>33.262650602409636</v>
      </c>
      <c r="I7" s="10">
        <f t="shared" si="4"/>
        <v>26.153846153846153</v>
      </c>
      <c r="J7" s="10">
        <f t="shared" si="5"/>
        <v>0.78628268283440705</v>
      </c>
      <c r="K7" s="12">
        <f t="shared" si="6"/>
        <v>0.15615384615384614</v>
      </c>
      <c r="L7" s="13">
        <f t="shared" si="7"/>
        <v>5.9705882352941173E-3</v>
      </c>
    </row>
    <row r="8" spans="1:12">
      <c r="A8" s="731">
        <v>38109</v>
      </c>
      <c r="B8" s="732">
        <v>2290</v>
      </c>
      <c r="C8" s="733">
        <v>2.0299999999999998</v>
      </c>
      <c r="D8" s="733">
        <v>22.5</v>
      </c>
      <c r="E8" s="10">
        <f t="shared" si="0"/>
        <v>11.083743842364534</v>
      </c>
      <c r="F8" s="11">
        <f t="shared" si="1"/>
        <v>305</v>
      </c>
      <c r="G8" s="10">
        <f t="shared" si="2"/>
        <v>15</v>
      </c>
      <c r="H8" s="10">
        <f t="shared" si="3"/>
        <v>31.11</v>
      </c>
      <c r="I8" s="10">
        <f t="shared" si="4"/>
        <v>20.333333333333332</v>
      </c>
      <c r="J8" s="10">
        <f t="shared" si="5"/>
        <v>0.65359477124183007</v>
      </c>
      <c r="K8" s="12">
        <f t="shared" si="6"/>
        <v>0.13600000000000001</v>
      </c>
      <c r="L8" s="13">
        <f t="shared" si="7"/>
        <v>6.6885245901639346E-3</v>
      </c>
    </row>
    <row r="9" spans="1:12">
      <c r="A9" s="731">
        <v>38133</v>
      </c>
      <c r="B9" s="732">
        <v>2606</v>
      </c>
      <c r="C9" s="733">
        <v>1.97</v>
      </c>
      <c r="D9" s="733">
        <v>21.5</v>
      </c>
      <c r="E9" s="10">
        <f t="shared" si="0"/>
        <v>10.913705583756345</v>
      </c>
      <c r="F9" s="11">
        <f t="shared" si="1"/>
        <v>316</v>
      </c>
      <c r="G9" s="10">
        <f t="shared" si="2"/>
        <v>24</v>
      </c>
      <c r="H9" s="10">
        <f t="shared" si="3"/>
        <v>28.510222222222218</v>
      </c>
      <c r="I9" s="10">
        <f t="shared" si="4"/>
        <v>13.166666666666666</v>
      </c>
      <c r="J9" s="10">
        <f t="shared" si="5"/>
        <v>0.46182266009852224</v>
      </c>
      <c r="K9" s="12">
        <f t="shared" si="6"/>
        <v>8.458333333333333E-2</v>
      </c>
      <c r="L9" s="13">
        <f t="shared" si="7"/>
        <v>6.4240506329113914E-3</v>
      </c>
    </row>
    <row r="10" spans="1:12">
      <c r="A10" s="731">
        <v>38155</v>
      </c>
      <c r="B10" s="732">
        <v>2931</v>
      </c>
      <c r="C10" s="733">
        <v>2.17</v>
      </c>
      <c r="D10" s="733">
        <v>24</v>
      </c>
      <c r="E10" s="10">
        <f t="shared" si="0"/>
        <v>11.059907834101383</v>
      </c>
      <c r="F10" s="11">
        <f t="shared" si="1"/>
        <v>325</v>
      </c>
      <c r="G10" s="10">
        <f t="shared" si="2"/>
        <v>22</v>
      </c>
      <c r="H10" s="10">
        <f t="shared" si="3"/>
        <v>29.779069767441861</v>
      </c>
      <c r="I10" s="10">
        <f t="shared" si="4"/>
        <v>14.772727272727273</v>
      </c>
      <c r="J10" s="10">
        <f t="shared" si="5"/>
        <v>0.49607752653437931</v>
      </c>
      <c r="K10" s="12">
        <f t="shared" si="6"/>
        <v>8.9545454545454539E-2</v>
      </c>
      <c r="L10" s="13">
        <f t="shared" si="7"/>
        <v>6.0615384615384611E-3</v>
      </c>
    </row>
    <row r="11" spans="1:12">
      <c r="A11" s="731">
        <v>38169</v>
      </c>
      <c r="B11" s="732">
        <v>3267</v>
      </c>
      <c r="C11" s="733">
        <v>1.95</v>
      </c>
      <c r="D11" s="733">
        <v>21.5</v>
      </c>
      <c r="E11" s="10">
        <f t="shared" si="0"/>
        <v>11.025641025641026</v>
      </c>
      <c r="F11" s="11">
        <f t="shared" si="1"/>
        <v>336</v>
      </c>
      <c r="G11" s="10">
        <f t="shared" si="2"/>
        <v>14</v>
      </c>
      <c r="H11" s="10">
        <f t="shared" si="3"/>
        <v>30.38</v>
      </c>
      <c r="I11" s="10">
        <f t="shared" si="4"/>
        <v>24</v>
      </c>
      <c r="J11" s="10">
        <f t="shared" si="5"/>
        <v>0.78999341672152734</v>
      </c>
      <c r="K11" s="12">
        <f t="shared" si="6"/>
        <v>0.155</v>
      </c>
      <c r="L11" s="13">
        <f t="shared" si="7"/>
        <v>6.4583333333333333E-3</v>
      </c>
    </row>
    <row r="12" spans="1:12">
      <c r="A12" s="731">
        <v>38184</v>
      </c>
      <c r="B12" s="732">
        <v>3590</v>
      </c>
      <c r="C12" s="733">
        <v>1.86</v>
      </c>
      <c r="D12" s="733">
        <v>20</v>
      </c>
      <c r="E12" s="10">
        <f t="shared" si="0"/>
        <v>10.75268817204301</v>
      </c>
      <c r="F12" s="11">
        <f t="shared" si="1"/>
        <v>323</v>
      </c>
      <c r="G12" s="10">
        <f t="shared" si="2"/>
        <v>15</v>
      </c>
      <c r="H12" s="10">
        <f t="shared" si="3"/>
        <v>29.295348837209303</v>
      </c>
      <c r="I12" s="10">
        <f t="shared" si="4"/>
        <v>21.533333333333335</v>
      </c>
      <c r="J12" s="10">
        <f t="shared" si="5"/>
        <v>0.73504273504273498</v>
      </c>
      <c r="K12" s="12">
        <f t="shared" si="6"/>
        <v>0.13</v>
      </c>
      <c r="L12" s="13">
        <f t="shared" si="7"/>
        <v>6.0371517027863779E-3</v>
      </c>
    </row>
    <row r="13" spans="1:12">
      <c r="A13" s="731">
        <v>38202</v>
      </c>
      <c r="B13" s="732">
        <v>3914</v>
      </c>
      <c r="C13" s="733">
        <v>1.86</v>
      </c>
      <c r="D13" s="733">
        <v>20</v>
      </c>
      <c r="E13" s="10">
        <f t="shared" si="0"/>
        <v>10.75268817204301</v>
      </c>
      <c r="F13" s="11">
        <f t="shared" si="1"/>
        <v>324</v>
      </c>
      <c r="G13" s="10">
        <f t="shared" si="2"/>
        <v>18</v>
      </c>
      <c r="H13" s="10">
        <f t="shared" si="3"/>
        <v>30.132000000000001</v>
      </c>
      <c r="I13" s="10">
        <f t="shared" si="4"/>
        <v>18</v>
      </c>
      <c r="J13" s="10">
        <f t="shared" si="5"/>
        <v>0.59737156511350054</v>
      </c>
      <c r="K13" s="12">
        <f t="shared" si="6"/>
        <v>0.10333333333333333</v>
      </c>
      <c r="L13" s="13">
        <f t="shared" si="7"/>
        <v>5.7407407407407407E-3</v>
      </c>
    </row>
    <row r="14" spans="1:12">
      <c r="A14" s="731">
        <v>38213</v>
      </c>
      <c r="B14" s="732">
        <v>4243</v>
      </c>
      <c r="C14" s="733">
        <v>1.86</v>
      </c>
      <c r="D14" s="733">
        <v>21.3</v>
      </c>
      <c r="E14" s="10">
        <f t="shared" si="0"/>
        <v>11.451612903225806</v>
      </c>
      <c r="F14" s="11">
        <f t="shared" si="1"/>
        <v>329</v>
      </c>
      <c r="G14" s="10">
        <f t="shared" si="2"/>
        <v>11</v>
      </c>
      <c r="H14" s="10">
        <f t="shared" si="3"/>
        <v>30.597000000000001</v>
      </c>
      <c r="I14" s="10">
        <f t="shared" si="4"/>
        <v>29.90909090909091</v>
      </c>
      <c r="J14" s="10">
        <f t="shared" si="5"/>
        <v>0.97751710654936452</v>
      </c>
      <c r="K14" s="12">
        <f t="shared" si="6"/>
        <v>0.1690909090909091</v>
      </c>
      <c r="L14" s="13">
        <f t="shared" si="7"/>
        <v>5.6534954407294839E-3</v>
      </c>
    </row>
    <row r="15" spans="1:12">
      <c r="A15" s="731">
        <v>38230</v>
      </c>
      <c r="B15" s="732">
        <v>4590</v>
      </c>
      <c r="C15" s="733">
        <v>2.19</v>
      </c>
      <c r="D15" s="733">
        <v>23.5</v>
      </c>
      <c r="E15" s="10">
        <f t="shared" si="0"/>
        <v>10.730593607305936</v>
      </c>
      <c r="F15" s="11">
        <f t="shared" si="1"/>
        <v>347</v>
      </c>
      <c r="G15" s="10">
        <f t="shared" si="2"/>
        <v>17</v>
      </c>
      <c r="H15" s="10">
        <f t="shared" si="3"/>
        <v>30.301408450704226</v>
      </c>
      <c r="I15" s="10">
        <f t="shared" si="4"/>
        <v>20.411764705882351</v>
      </c>
      <c r="J15" s="10">
        <f t="shared" si="5"/>
        <v>0.6736242884250474</v>
      </c>
      <c r="K15" s="12">
        <f t="shared" si="6"/>
        <v>0.10941176470588236</v>
      </c>
      <c r="L15" s="13">
        <f t="shared" si="7"/>
        <v>5.3602305475504326E-3</v>
      </c>
    </row>
    <row r="16" spans="1:12">
      <c r="A16" s="731">
        <v>38276</v>
      </c>
      <c r="B16" s="732">
        <v>4932</v>
      </c>
      <c r="C16" s="733">
        <v>2.1800000000000002</v>
      </c>
      <c r="D16" s="733">
        <v>24.04</v>
      </c>
      <c r="E16" s="10">
        <f t="shared" si="0"/>
        <v>11.027522935779816</v>
      </c>
      <c r="F16" s="11">
        <f t="shared" si="1"/>
        <v>342</v>
      </c>
      <c r="G16" s="10">
        <f t="shared" si="2"/>
        <v>46</v>
      </c>
      <c r="H16" s="10">
        <f t="shared" si="3"/>
        <v>31.871489361702128</v>
      </c>
      <c r="I16" s="10">
        <f t="shared" si="4"/>
        <v>7.4347826086956523</v>
      </c>
      <c r="J16" s="10">
        <f t="shared" si="5"/>
        <v>0.23327377407186817</v>
      </c>
      <c r="K16" s="12">
        <f t="shared" si="6"/>
        <v>4.7608695652173912E-2</v>
      </c>
      <c r="L16" s="13">
        <f t="shared" si="7"/>
        <v>6.4035087719298243E-3</v>
      </c>
    </row>
    <row r="17" spans="1:14">
      <c r="A17" s="731">
        <v>38291</v>
      </c>
      <c r="B17" s="732">
        <v>5310</v>
      </c>
      <c r="C17" s="733">
        <v>2.1880000000000002</v>
      </c>
      <c r="D17" s="733">
        <v>22.91</v>
      </c>
      <c r="E17" s="10">
        <f t="shared" si="0"/>
        <v>10.470749542961608</v>
      </c>
      <c r="F17" s="11">
        <f t="shared" si="1"/>
        <v>378</v>
      </c>
      <c r="G17" s="10">
        <f t="shared" si="2"/>
        <v>15</v>
      </c>
      <c r="H17" s="10">
        <f t="shared" si="3"/>
        <v>34.277870216306162</v>
      </c>
      <c r="I17" s="10">
        <f t="shared" si="4"/>
        <v>25.2</v>
      </c>
      <c r="J17" s="10">
        <f t="shared" si="5"/>
        <v>0.73516819571865433</v>
      </c>
      <c r="K17" s="12">
        <f t="shared" si="6"/>
        <v>0.14533333333333334</v>
      </c>
      <c r="L17" s="13">
        <f t="shared" si="7"/>
        <v>5.767195767195768E-3</v>
      </c>
    </row>
    <row r="18" spans="1:14">
      <c r="A18" s="731">
        <v>38301</v>
      </c>
      <c r="B18" s="732">
        <v>5728</v>
      </c>
      <c r="C18" s="733">
        <v>2.23</v>
      </c>
      <c r="D18" s="733">
        <v>23.06</v>
      </c>
      <c r="E18" s="10">
        <f t="shared" si="0"/>
        <v>10.340807174887892</v>
      </c>
      <c r="F18" s="11">
        <f t="shared" si="1"/>
        <v>418</v>
      </c>
      <c r="G18" s="10">
        <f t="shared" si="2"/>
        <v>10</v>
      </c>
      <c r="H18" s="10">
        <f t="shared" si="3"/>
        <v>39.920733304233963</v>
      </c>
      <c r="I18" s="10">
        <f t="shared" si="4"/>
        <v>41.8</v>
      </c>
      <c r="J18" s="10">
        <f t="shared" si="5"/>
        <v>1.0470749542961608</v>
      </c>
      <c r="K18" s="12">
        <f t="shared" si="6"/>
        <v>0.21880000000000002</v>
      </c>
      <c r="L18" s="13">
        <f t="shared" si="7"/>
        <v>5.2344497607655508E-3</v>
      </c>
    </row>
    <row r="19" spans="1:14">
      <c r="A19" s="731">
        <v>38315</v>
      </c>
      <c r="B19" s="732">
        <v>6136</v>
      </c>
      <c r="C19" s="733">
        <v>2.25</v>
      </c>
      <c r="D19" s="733">
        <v>24.82</v>
      </c>
      <c r="E19" s="10">
        <f t="shared" si="0"/>
        <v>11.031111111111111</v>
      </c>
      <c r="F19" s="11">
        <f t="shared" si="1"/>
        <v>408</v>
      </c>
      <c r="G19" s="10">
        <f t="shared" si="2"/>
        <v>14</v>
      </c>
      <c r="H19" s="10">
        <f t="shared" si="3"/>
        <v>39.455333911535128</v>
      </c>
      <c r="I19" s="10">
        <f t="shared" si="4"/>
        <v>29.142857142857142</v>
      </c>
      <c r="J19" s="10">
        <f t="shared" si="5"/>
        <v>0.7386290839205637</v>
      </c>
      <c r="K19" s="12">
        <f t="shared" si="6"/>
        <v>0.15928571428571428</v>
      </c>
      <c r="L19" s="13">
        <f t="shared" si="7"/>
        <v>5.4656862745098038E-3</v>
      </c>
    </row>
    <row r="20" spans="1:14">
      <c r="A20" s="731">
        <v>38333</v>
      </c>
      <c r="B20" s="732">
        <v>6540</v>
      </c>
      <c r="C20" s="733">
        <v>2.31</v>
      </c>
      <c r="D20" s="733">
        <v>25.38</v>
      </c>
      <c r="E20" s="10">
        <f t="shared" si="0"/>
        <v>10.987012987012987</v>
      </c>
      <c r="F20" s="11">
        <f t="shared" si="1"/>
        <v>404</v>
      </c>
      <c r="G20" s="10">
        <f t="shared" si="2"/>
        <v>18</v>
      </c>
      <c r="H20" s="10">
        <f t="shared" si="3"/>
        <v>36.623690572119258</v>
      </c>
      <c r="I20" s="10">
        <f t="shared" si="4"/>
        <v>22.444444444444443</v>
      </c>
      <c r="J20" s="10">
        <f t="shared" si="5"/>
        <v>0.61283950617283944</v>
      </c>
      <c r="K20" s="12">
        <f t="shared" si="6"/>
        <v>0.125</v>
      </c>
      <c r="L20" s="13">
        <f t="shared" si="7"/>
        <v>5.569306930693069E-3</v>
      </c>
    </row>
    <row r="21" spans="1:14">
      <c r="A21" s="731">
        <v>38356</v>
      </c>
      <c r="B21" s="732">
        <v>6934</v>
      </c>
      <c r="C21" s="733">
        <v>2.2599999999999998</v>
      </c>
      <c r="D21" s="733">
        <v>25.04</v>
      </c>
      <c r="E21" s="10">
        <f t="shared" si="0"/>
        <v>11.079646017699115</v>
      </c>
      <c r="F21" s="11">
        <f t="shared" si="1"/>
        <v>394</v>
      </c>
      <c r="G21" s="10">
        <f t="shared" si="2"/>
        <v>23</v>
      </c>
      <c r="H21" s="10">
        <f t="shared" si="3"/>
        <v>35.860520094562645</v>
      </c>
      <c r="I21" s="10">
        <f t="shared" si="4"/>
        <v>17.130434782608695</v>
      </c>
      <c r="J21" s="10">
        <f t="shared" si="5"/>
        <v>0.47769621682665159</v>
      </c>
      <c r="K21" s="12">
        <f t="shared" si="6"/>
        <v>0.10043478260869565</v>
      </c>
      <c r="L21" s="13">
        <f t="shared" si="7"/>
        <v>5.8629441624365487E-3</v>
      </c>
    </row>
    <row r="22" spans="1:14">
      <c r="A22" s="731">
        <v>38367</v>
      </c>
      <c r="B22" s="732">
        <v>7315</v>
      </c>
      <c r="C22" s="733">
        <v>2.17</v>
      </c>
      <c r="D22" s="733">
        <v>25</v>
      </c>
      <c r="E22" s="10">
        <f t="shared" si="0"/>
        <v>11.520737327188941</v>
      </c>
      <c r="F22" s="11">
        <f t="shared" si="1"/>
        <v>381</v>
      </c>
      <c r="G22" s="10">
        <f t="shared" si="2"/>
        <v>11</v>
      </c>
      <c r="H22" s="10">
        <f t="shared" si="3"/>
        <v>34.387380191693289</v>
      </c>
      <c r="I22" s="10">
        <f t="shared" si="4"/>
        <v>34.636363636363633</v>
      </c>
      <c r="J22" s="10">
        <f t="shared" si="5"/>
        <v>1.0072405470635559</v>
      </c>
      <c r="K22" s="12">
        <f t="shared" si="6"/>
        <v>0.20545454545454545</v>
      </c>
      <c r="L22" s="13">
        <f t="shared" si="7"/>
        <v>5.9317585301837264E-3</v>
      </c>
    </row>
    <row r="23" spans="1:14">
      <c r="A23" s="731">
        <v>38375</v>
      </c>
      <c r="B23" s="732">
        <v>7706</v>
      </c>
      <c r="C23" s="733">
        <v>2.2200000000000002</v>
      </c>
      <c r="D23" s="733">
        <v>24.2</v>
      </c>
      <c r="E23" s="10">
        <f t="shared" si="0"/>
        <v>10.900900900900899</v>
      </c>
      <c r="F23" s="11">
        <f t="shared" si="1"/>
        <v>391</v>
      </c>
      <c r="G23" s="10">
        <f t="shared" si="2"/>
        <v>8</v>
      </c>
      <c r="H23" s="10">
        <f t="shared" si="3"/>
        <v>33.938799999999993</v>
      </c>
      <c r="I23" s="10">
        <f t="shared" si="4"/>
        <v>48.875</v>
      </c>
      <c r="J23" s="10">
        <f t="shared" si="5"/>
        <v>1.4400921658986177</v>
      </c>
      <c r="K23" s="12">
        <f t="shared" si="6"/>
        <v>0.27124999999999999</v>
      </c>
      <c r="L23" s="13">
        <f t="shared" si="7"/>
        <v>5.5498721227621485E-3</v>
      </c>
      <c r="N23" s="736"/>
    </row>
    <row r="24" spans="1:14">
      <c r="A24" s="731">
        <v>38387</v>
      </c>
      <c r="B24" s="732">
        <v>8106</v>
      </c>
      <c r="C24" s="733">
        <v>2.2799999999999998</v>
      </c>
      <c r="D24" s="733">
        <v>25.01</v>
      </c>
      <c r="E24" s="10">
        <f t="shared" si="0"/>
        <v>10.969298245614036</v>
      </c>
      <c r="F24" s="11">
        <f t="shared" si="1"/>
        <v>400</v>
      </c>
      <c r="G24" s="10">
        <f t="shared" si="2"/>
        <v>12</v>
      </c>
      <c r="H24" s="10">
        <f t="shared" si="3"/>
        <v>36.694214876033065</v>
      </c>
      <c r="I24" s="10">
        <f t="shared" si="4"/>
        <v>33.333333333333336</v>
      </c>
      <c r="J24" s="10">
        <f t="shared" si="5"/>
        <v>0.9084084084084082</v>
      </c>
      <c r="K24" s="12">
        <f t="shared" si="6"/>
        <v>0.18500000000000003</v>
      </c>
      <c r="L24" s="13">
        <f t="shared" si="7"/>
        <v>5.5500000000000002E-3</v>
      </c>
    </row>
    <row r="25" spans="1:14">
      <c r="A25" s="731">
        <v>38398</v>
      </c>
      <c r="B25" s="732">
        <v>8493</v>
      </c>
      <c r="C25" s="733">
        <v>2.2799999999999998</v>
      </c>
      <c r="D25" s="733">
        <v>25.44</v>
      </c>
      <c r="E25" s="10">
        <f t="shared" si="0"/>
        <v>11.157894736842106</v>
      </c>
      <c r="F25" s="11">
        <f t="shared" si="1"/>
        <v>387</v>
      </c>
      <c r="G25" s="10">
        <f t="shared" si="2"/>
        <v>11</v>
      </c>
      <c r="H25" s="10">
        <f t="shared" si="3"/>
        <v>35.280287884846061</v>
      </c>
      <c r="I25" s="10">
        <f t="shared" si="4"/>
        <v>35.18181818181818</v>
      </c>
      <c r="J25" s="10">
        <f t="shared" si="5"/>
        <v>0.99720893141945777</v>
      </c>
      <c r="K25" s="12">
        <f t="shared" si="6"/>
        <v>0.20727272727272725</v>
      </c>
      <c r="L25" s="13">
        <f t="shared" si="7"/>
        <v>5.8914728682170538E-3</v>
      </c>
    </row>
    <row r="26" spans="1:14">
      <c r="A26" s="731">
        <v>38406</v>
      </c>
      <c r="B26" s="732">
        <v>8865</v>
      </c>
      <c r="C26" s="733">
        <v>2.3199999999999998</v>
      </c>
      <c r="D26" s="733">
        <v>26.03</v>
      </c>
      <c r="E26" s="10">
        <f t="shared" si="0"/>
        <v>11.219827586206899</v>
      </c>
      <c r="F26" s="11">
        <f t="shared" si="1"/>
        <v>372</v>
      </c>
      <c r="G26" s="10">
        <f t="shared" si="2"/>
        <v>8</v>
      </c>
      <c r="H26" s="10">
        <f t="shared" si="3"/>
        <v>33.339622641509429</v>
      </c>
      <c r="I26" s="10">
        <f t="shared" si="4"/>
        <v>46.5</v>
      </c>
      <c r="J26" s="10">
        <f t="shared" si="5"/>
        <v>1.3947368421052633</v>
      </c>
      <c r="K26" s="12">
        <f t="shared" si="6"/>
        <v>0.28499999999999998</v>
      </c>
      <c r="L26" s="13">
        <f t="shared" si="7"/>
        <v>6.1290322580645155E-3</v>
      </c>
    </row>
    <row r="27" spans="1:14">
      <c r="A27" s="731">
        <v>38414</v>
      </c>
      <c r="B27" s="732">
        <v>9258</v>
      </c>
      <c r="C27" s="733">
        <v>2.31</v>
      </c>
      <c r="D27" s="733">
        <v>26.01</v>
      </c>
      <c r="E27" s="10">
        <f t="shared" si="0"/>
        <v>11.25974025974026</v>
      </c>
      <c r="F27" s="11">
        <f t="shared" si="1"/>
        <v>393</v>
      </c>
      <c r="G27" s="10">
        <f t="shared" si="2"/>
        <v>8</v>
      </c>
      <c r="H27" s="10">
        <f t="shared" si="3"/>
        <v>35.02727621974644</v>
      </c>
      <c r="I27" s="10">
        <f t="shared" si="4"/>
        <v>49.125</v>
      </c>
      <c r="J27" s="10">
        <f t="shared" si="5"/>
        <v>1.4024784482758623</v>
      </c>
      <c r="K27" s="12">
        <f t="shared" si="6"/>
        <v>0.28999999999999998</v>
      </c>
      <c r="L27" s="13">
        <f t="shared" si="7"/>
        <v>5.9033078880407121E-3</v>
      </c>
    </row>
    <row r="28" spans="1:14">
      <c r="A28" s="731">
        <v>38421</v>
      </c>
      <c r="B28" s="732">
        <v>9623</v>
      </c>
      <c r="C28" s="733">
        <v>2.31</v>
      </c>
      <c r="D28" s="733">
        <v>25</v>
      </c>
      <c r="E28" s="10">
        <f t="shared" si="0"/>
        <v>10.822510822510822</v>
      </c>
      <c r="F28" s="11">
        <f t="shared" si="1"/>
        <v>365</v>
      </c>
      <c r="G28" s="10">
        <f t="shared" si="2"/>
        <v>7</v>
      </c>
      <c r="H28" s="10">
        <f t="shared" si="3"/>
        <v>32.416378316032294</v>
      </c>
      <c r="I28" s="10">
        <f t="shared" si="4"/>
        <v>52.142857142857146</v>
      </c>
      <c r="J28" s="10">
        <f t="shared" si="5"/>
        <v>1.6085343228200373</v>
      </c>
      <c r="K28" s="12">
        <f t="shared" si="6"/>
        <v>0.33</v>
      </c>
      <c r="L28" s="13">
        <f t="shared" si="7"/>
        <v>6.3287671232876716E-3</v>
      </c>
    </row>
    <row r="29" spans="1:14">
      <c r="A29" s="731">
        <v>38429</v>
      </c>
      <c r="B29" s="732">
        <v>10005</v>
      </c>
      <c r="C29" s="733">
        <v>2.2989999999999999</v>
      </c>
      <c r="D29" s="733">
        <v>26</v>
      </c>
      <c r="E29" s="10">
        <f t="shared" si="0"/>
        <v>11.309264897781645</v>
      </c>
      <c r="F29" s="11">
        <f t="shared" si="1"/>
        <v>382</v>
      </c>
      <c r="G29" s="10">
        <f t="shared" si="2"/>
        <v>8</v>
      </c>
      <c r="H29" s="10">
        <f t="shared" si="3"/>
        <v>35.296800000000005</v>
      </c>
      <c r="I29" s="10">
        <f t="shared" si="4"/>
        <v>47.75</v>
      </c>
      <c r="J29" s="10">
        <f t="shared" si="5"/>
        <v>1.3528138528138527</v>
      </c>
      <c r="K29" s="12">
        <f t="shared" si="6"/>
        <v>0.28875000000000001</v>
      </c>
      <c r="L29" s="13">
        <f t="shared" si="7"/>
        <v>6.0471204188481675E-3</v>
      </c>
    </row>
    <row r="30" spans="1:14">
      <c r="A30" s="731">
        <v>38441</v>
      </c>
      <c r="B30" s="732">
        <v>10390</v>
      </c>
      <c r="C30" s="733">
        <v>2.29</v>
      </c>
      <c r="D30" s="733">
        <v>24.81</v>
      </c>
      <c r="E30" s="10">
        <f t="shared" si="0"/>
        <v>10.834061135371178</v>
      </c>
      <c r="F30" s="11">
        <f t="shared" si="1"/>
        <v>385</v>
      </c>
      <c r="G30" s="10">
        <f t="shared" si="2"/>
        <v>12</v>
      </c>
      <c r="H30" s="10">
        <f t="shared" si="3"/>
        <v>34.042884615384615</v>
      </c>
      <c r="I30" s="10">
        <f t="shared" si="4"/>
        <v>32.083333333333336</v>
      </c>
      <c r="J30" s="10">
        <f t="shared" si="5"/>
        <v>0.94243874148180373</v>
      </c>
      <c r="K30" s="12">
        <f t="shared" si="6"/>
        <v>0.19158333333333333</v>
      </c>
      <c r="L30" s="13">
        <f t="shared" si="7"/>
        <v>5.9714285714285711E-3</v>
      </c>
    </row>
    <row r="31" spans="1:14">
      <c r="A31" s="731">
        <v>38451</v>
      </c>
      <c r="B31" s="732">
        <v>10755</v>
      </c>
      <c r="C31" s="733">
        <v>2.3199999999999998</v>
      </c>
      <c r="D31" s="733">
        <v>25</v>
      </c>
      <c r="E31" s="10">
        <f t="shared" si="0"/>
        <v>10.775862068965518</v>
      </c>
      <c r="F31" s="11">
        <f t="shared" si="1"/>
        <v>365</v>
      </c>
      <c r="G31" s="10">
        <f t="shared" si="2"/>
        <v>10</v>
      </c>
      <c r="H31" s="10">
        <f t="shared" si="3"/>
        <v>33.690044336960909</v>
      </c>
      <c r="I31" s="10">
        <f t="shared" si="4"/>
        <v>36.5</v>
      </c>
      <c r="J31" s="10">
        <f t="shared" si="5"/>
        <v>1.0834061135371178</v>
      </c>
      <c r="K31" s="12">
        <f t="shared" si="6"/>
        <v>0.22900000000000001</v>
      </c>
      <c r="L31" s="13">
        <f t="shared" si="7"/>
        <v>6.2739726027397262E-3</v>
      </c>
    </row>
    <row r="32" spans="1:14">
      <c r="A32" s="731">
        <v>38463</v>
      </c>
      <c r="B32" s="732">
        <v>11123</v>
      </c>
      <c r="C32" s="733">
        <v>2.3290000000000002</v>
      </c>
      <c r="D32" s="733">
        <v>25</v>
      </c>
      <c r="E32" s="10">
        <f t="shared" si="0"/>
        <v>10.7342206955775</v>
      </c>
      <c r="F32" s="11">
        <f t="shared" si="1"/>
        <v>368</v>
      </c>
      <c r="G32" s="10">
        <f t="shared" si="2"/>
        <v>12</v>
      </c>
      <c r="H32" s="10">
        <f t="shared" si="3"/>
        <v>34.150399999999998</v>
      </c>
      <c r="I32" s="10">
        <f t="shared" si="4"/>
        <v>30.666666666666668</v>
      </c>
      <c r="J32" s="10">
        <f t="shared" si="5"/>
        <v>0.89798850574712652</v>
      </c>
      <c r="K32" s="12">
        <f t="shared" si="6"/>
        <v>0.19333333333333333</v>
      </c>
      <c r="L32" s="13">
        <f t="shared" si="7"/>
        <v>6.3043478260869559E-3</v>
      </c>
    </row>
    <row r="33" spans="1:12">
      <c r="A33" s="731">
        <v>38474</v>
      </c>
      <c r="B33" s="732">
        <v>11475</v>
      </c>
      <c r="C33" s="733">
        <v>2.29</v>
      </c>
      <c r="D33" s="733">
        <v>25.41</v>
      </c>
      <c r="E33" s="10">
        <f t="shared" si="0"/>
        <v>11.096069868995633</v>
      </c>
      <c r="F33" s="11">
        <f t="shared" si="1"/>
        <v>352</v>
      </c>
      <c r="G33" s="10">
        <f t="shared" si="2"/>
        <v>11</v>
      </c>
      <c r="H33" s="10">
        <f t="shared" si="3"/>
        <v>32.792320000000004</v>
      </c>
      <c r="I33" s="10">
        <f t="shared" si="4"/>
        <v>32</v>
      </c>
      <c r="J33" s="10">
        <f t="shared" si="5"/>
        <v>0.97583824505250005</v>
      </c>
      <c r="K33" s="12">
        <f t="shared" si="6"/>
        <v>0.21172727272727274</v>
      </c>
      <c r="L33" s="13">
        <f t="shared" si="7"/>
        <v>6.616477272727273E-3</v>
      </c>
    </row>
    <row r="34" spans="1:12">
      <c r="A34" s="731">
        <v>38486</v>
      </c>
      <c r="B34" s="732">
        <v>11856</v>
      </c>
      <c r="C34" s="733">
        <v>2.29</v>
      </c>
      <c r="D34" s="733">
        <v>26</v>
      </c>
      <c r="E34" s="10">
        <f t="shared" si="0"/>
        <v>11.353711790393012</v>
      </c>
      <c r="F34" s="11">
        <f t="shared" si="1"/>
        <v>381</v>
      </c>
      <c r="G34" s="10">
        <f t="shared" si="2"/>
        <v>12</v>
      </c>
      <c r="H34" s="10">
        <f t="shared" si="3"/>
        <v>34.336481700118064</v>
      </c>
      <c r="I34" s="10">
        <f t="shared" si="4"/>
        <v>31.75</v>
      </c>
      <c r="J34" s="10">
        <f t="shared" si="5"/>
        <v>0.9246724890829694</v>
      </c>
      <c r="K34" s="12">
        <f t="shared" si="6"/>
        <v>0.19083333333333333</v>
      </c>
      <c r="L34" s="13">
        <f t="shared" si="7"/>
        <v>6.0104986876640424E-3</v>
      </c>
    </row>
    <row r="35" spans="1:12">
      <c r="A35" s="731">
        <v>38503</v>
      </c>
      <c r="B35" s="732">
        <v>12223</v>
      </c>
      <c r="C35" s="733">
        <v>2.29</v>
      </c>
      <c r="D35" s="733">
        <v>25</v>
      </c>
      <c r="E35" s="10">
        <f t="shared" si="0"/>
        <v>10.91703056768559</v>
      </c>
      <c r="F35" s="11">
        <f t="shared" si="1"/>
        <v>367</v>
      </c>
      <c r="G35" s="10">
        <f t="shared" si="2"/>
        <v>17</v>
      </c>
      <c r="H35" s="10">
        <f t="shared" si="3"/>
        <v>32.324230769230773</v>
      </c>
      <c r="I35" s="10">
        <f t="shared" si="4"/>
        <v>21.588235294117649</v>
      </c>
      <c r="J35" s="10">
        <f t="shared" si="5"/>
        <v>0.6678653994348831</v>
      </c>
      <c r="K35" s="12">
        <f t="shared" si="6"/>
        <v>0.13470588235294118</v>
      </c>
      <c r="L35" s="13">
        <f t="shared" si="7"/>
        <v>6.239782016348774E-3</v>
      </c>
    </row>
    <row r="36" spans="1:12">
      <c r="A36" s="731">
        <v>38516</v>
      </c>
      <c r="B36" s="732">
        <v>12574</v>
      </c>
      <c r="C36" s="733">
        <v>2.27</v>
      </c>
      <c r="D36" s="733">
        <v>23.35</v>
      </c>
      <c r="E36" s="10">
        <f t="shared" si="0"/>
        <v>10.286343612334802</v>
      </c>
      <c r="F36" s="11">
        <f t="shared" si="1"/>
        <v>351</v>
      </c>
      <c r="G36" s="10">
        <f t="shared" si="2"/>
        <v>13</v>
      </c>
      <c r="H36" s="10">
        <f t="shared" si="3"/>
        <v>32.151600000000002</v>
      </c>
      <c r="I36" s="10">
        <f t="shared" si="4"/>
        <v>27</v>
      </c>
      <c r="J36" s="10">
        <f t="shared" si="5"/>
        <v>0.83977158212966074</v>
      </c>
      <c r="K36" s="12">
        <f t="shared" si="6"/>
        <v>0.17615384615384616</v>
      </c>
      <c r="L36" s="13">
        <f t="shared" si="7"/>
        <v>6.5242165242165246E-3</v>
      </c>
    </row>
    <row r="37" spans="1:12">
      <c r="A37" s="731">
        <v>38527</v>
      </c>
      <c r="B37" s="732">
        <v>12953</v>
      </c>
      <c r="C37" s="733">
        <v>2.27</v>
      </c>
      <c r="D37" s="733">
        <v>25.4</v>
      </c>
      <c r="E37" s="10">
        <f t="shared" si="0"/>
        <v>11.189427312775329</v>
      </c>
      <c r="F37" s="11">
        <f t="shared" si="1"/>
        <v>379</v>
      </c>
      <c r="G37" s="10">
        <f t="shared" si="2"/>
        <v>11</v>
      </c>
      <c r="H37" s="10">
        <f t="shared" si="3"/>
        <v>36.844967880085655</v>
      </c>
      <c r="I37" s="10">
        <f t="shared" si="4"/>
        <v>34.454545454545453</v>
      </c>
      <c r="J37" s="10">
        <f t="shared" si="5"/>
        <v>0.9351221465758911</v>
      </c>
      <c r="K37" s="12">
        <f t="shared" si="6"/>
        <v>0.20636363636363636</v>
      </c>
      <c r="L37" s="13">
        <f t="shared" si="7"/>
        <v>5.9894459102902376E-3</v>
      </c>
    </row>
    <row r="38" spans="1:12">
      <c r="A38" s="731">
        <v>38541</v>
      </c>
      <c r="B38" s="732">
        <v>13307</v>
      </c>
      <c r="C38" s="733">
        <v>2.27</v>
      </c>
      <c r="D38" s="733">
        <v>25.9</v>
      </c>
      <c r="E38" s="10">
        <f t="shared" si="0"/>
        <v>11.409691629955946</v>
      </c>
      <c r="F38" s="11">
        <f t="shared" si="1"/>
        <v>354</v>
      </c>
      <c r="G38" s="10">
        <f t="shared" si="2"/>
        <v>14</v>
      </c>
      <c r="H38" s="10">
        <f t="shared" si="3"/>
        <v>31.637007874015751</v>
      </c>
      <c r="I38" s="10">
        <f t="shared" si="4"/>
        <v>25.285714285714285</v>
      </c>
      <c r="J38" s="10">
        <f t="shared" si="5"/>
        <v>0.79924480805538067</v>
      </c>
      <c r="K38" s="12">
        <f t="shared" si="6"/>
        <v>0.16214285714285714</v>
      </c>
      <c r="L38" s="13">
        <f t="shared" si="7"/>
        <v>6.4124293785310735E-3</v>
      </c>
    </row>
    <row r="39" spans="1:12">
      <c r="A39" s="731">
        <v>38567</v>
      </c>
      <c r="B39" s="732">
        <v>13653</v>
      </c>
      <c r="C39" s="733">
        <v>2.35</v>
      </c>
      <c r="D39" s="733">
        <v>27</v>
      </c>
      <c r="E39" s="10">
        <f t="shared" si="0"/>
        <v>11.48936170212766</v>
      </c>
      <c r="F39" s="11">
        <f t="shared" si="1"/>
        <v>346</v>
      </c>
      <c r="G39" s="10">
        <f t="shared" si="2"/>
        <v>26</v>
      </c>
      <c r="H39" s="10">
        <f t="shared" si="3"/>
        <v>30.32509652509653</v>
      </c>
      <c r="I39" s="10">
        <f t="shared" si="4"/>
        <v>13.307692307692308</v>
      </c>
      <c r="J39" s="10">
        <f t="shared" si="5"/>
        <v>0.43883429345984404</v>
      </c>
      <c r="K39" s="12">
        <f t="shared" si="6"/>
        <v>8.7307692307692308E-2</v>
      </c>
      <c r="L39" s="13">
        <f t="shared" si="7"/>
        <v>6.5606936416184973E-3</v>
      </c>
    </row>
    <row r="40" spans="1:12">
      <c r="A40" s="731">
        <v>38579</v>
      </c>
      <c r="B40" s="732">
        <v>14004</v>
      </c>
      <c r="C40" s="733">
        <v>2.33</v>
      </c>
      <c r="D40" s="733">
        <v>25.93</v>
      </c>
      <c r="E40" s="10">
        <f t="shared" si="0"/>
        <v>11.128755364806867</v>
      </c>
      <c r="F40" s="11">
        <f t="shared" si="1"/>
        <v>351</v>
      </c>
      <c r="G40" s="10">
        <f t="shared" si="2"/>
        <v>12</v>
      </c>
      <c r="H40" s="10">
        <f t="shared" si="3"/>
        <v>30.55</v>
      </c>
      <c r="I40" s="10">
        <f t="shared" si="4"/>
        <v>29.25</v>
      </c>
      <c r="J40" s="10">
        <f t="shared" si="5"/>
        <v>0.95744680851063835</v>
      </c>
      <c r="K40" s="12">
        <f t="shared" si="6"/>
        <v>0.19583333333333333</v>
      </c>
      <c r="L40" s="13">
        <f t="shared" si="7"/>
        <v>6.6951566951566951E-3</v>
      </c>
    </row>
    <row r="41" spans="1:12">
      <c r="A41" s="731">
        <v>38589</v>
      </c>
      <c r="B41" s="732">
        <v>14353</v>
      </c>
      <c r="C41" s="733">
        <v>2.25</v>
      </c>
      <c r="D41" s="733">
        <v>24.33</v>
      </c>
      <c r="E41" s="10">
        <f t="shared" si="0"/>
        <v>10.813333333333333</v>
      </c>
      <c r="F41" s="11">
        <f t="shared" si="1"/>
        <v>349</v>
      </c>
      <c r="G41" s="10">
        <f t="shared" si="2"/>
        <v>10</v>
      </c>
      <c r="H41" s="10">
        <f t="shared" si="3"/>
        <v>31.360200539915155</v>
      </c>
      <c r="I41" s="10">
        <f t="shared" si="4"/>
        <v>34.9</v>
      </c>
      <c r="J41" s="10">
        <f t="shared" si="5"/>
        <v>1.1128755364806868</v>
      </c>
      <c r="K41" s="12">
        <f t="shared" si="6"/>
        <v>0.23300000000000001</v>
      </c>
      <c r="L41" s="13">
        <f t="shared" si="7"/>
        <v>6.6762177650429803E-3</v>
      </c>
    </row>
    <row r="42" spans="1:12">
      <c r="A42" s="731">
        <v>38601</v>
      </c>
      <c r="B42" s="732">
        <v>14712</v>
      </c>
      <c r="C42" s="733">
        <v>2.25</v>
      </c>
      <c r="D42" s="733">
        <v>24.75</v>
      </c>
      <c r="E42" s="10">
        <f t="shared" si="0"/>
        <v>11</v>
      </c>
      <c r="F42" s="11">
        <f t="shared" si="1"/>
        <v>359</v>
      </c>
      <c r="G42" s="10">
        <f t="shared" si="2"/>
        <v>12</v>
      </c>
      <c r="H42" s="10">
        <f t="shared" si="3"/>
        <v>33.199753390875465</v>
      </c>
      <c r="I42" s="10">
        <f t="shared" si="4"/>
        <v>29.916666666666668</v>
      </c>
      <c r="J42" s="10">
        <f t="shared" si="5"/>
        <v>0.90111111111111108</v>
      </c>
      <c r="K42" s="12">
        <f t="shared" si="6"/>
        <v>0.1875</v>
      </c>
      <c r="L42" s="13">
        <f t="shared" si="7"/>
        <v>6.267409470752089E-3</v>
      </c>
    </row>
    <row r="43" spans="1:12">
      <c r="A43" s="731">
        <v>38614</v>
      </c>
      <c r="B43" s="732">
        <v>15060</v>
      </c>
      <c r="C43" s="733">
        <v>2.39</v>
      </c>
      <c r="D43" s="733">
        <v>25.64</v>
      </c>
      <c r="E43" s="10">
        <f t="shared" si="0"/>
        <v>10.728033472803347</v>
      </c>
      <c r="F43" s="11">
        <f t="shared" si="1"/>
        <v>348</v>
      </c>
      <c r="G43" s="10">
        <f t="shared" si="2"/>
        <v>13</v>
      </c>
      <c r="H43" s="10">
        <f t="shared" si="3"/>
        <v>31.636363636363637</v>
      </c>
      <c r="I43" s="10">
        <f t="shared" si="4"/>
        <v>26.76923076923077</v>
      </c>
      <c r="J43" s="10">
        <f t="shared" si="5"/>
        <v>0.84615384615384615</v>
      </c>
      <c r="K43" s="12">
        <f t="shared" si="6"/>
        <v>0.17307692307692307</v>
      </c>
      <c r="L43" s="13">
        <f t="shared" si="7"/>
        <v>6.4655172413793103E-3</v>
      </c>
    </row>
    <row r="44" spans="1:12">
      <c r="A44" s="731">
        <v>38624</v>
      </c>
      <c r="B44" s="732">
        <v>15405</v>
      </c>
      <c r="C44" s="733">
        <v>2.39</v>
      </c>
      <c r="D44" s="733">
        <v>24.74</v>
      </c>
      <c r="E44" s="10">
        <f t="shared" si="0"/>
        <v>10.351464435146442</v>
      </c>
      <c r="F44" s="11">
        <f t="shared" si="1"/>
        <v>345</v>
      </c>
      <c r="G44" s="10">
        <f t="shared" si="2"/>
        <v>10</v>
      </c>
      <c r="H44" s="10">
        <f t="shared" si="3"/>
        <v>32.158736349453982</v>
      </c>
      <c r="I44" s="10">
        <f t="shared" si="4"/>
        <v>34.5</v>
      </c>
      <c r="J44" s="10">
        <f t="shared" si="5"/>
        <v>1.0728033472803347</v>
      </c>
      <c r="K44" s="12">
        <f t="shared" si="6"/>
        <v>0.23900000000000002</v>
      </c>
      <c r="L44" s="13">
        <f t="shared" si="7"/>
        <v>6.9275362318840586E-3</v>
      </c>
    </row>
    <row r="45" spans="1:12">
      <c r="A45" s="731">
        <v>38636</v>
      </c>
      <c r="B45" s="732">
        <v>15754</v>
      </c>
      <c r="C45" s="733">
        <v>2.4900000000000002</v>
      </c>
      <c r="D45" s="733">
        <v>27.25</v>
      </c>
      <c r="E45" s="10">
        <f t="shared" si="0"/>
        <v>10.943775100401606</v>
      </c>
      <c r="F45" s="11">
        <f t="shared" si="1"/>
        <v>349</v>
      </c>
      <c r="G45" s="10">
        <f t="shared" si="2"/>
        <v>12</v>
      </c>
      <c r="H45" s="10">
        <f t="shared" si="3"/>
        <v>33.715036378334688</v>
      </c>
      <c r="I45" s="10">
        <f t="shared" si="4"/>
        <v>29.083333333333332</v>
      </c>
      <c r="J45" s="10">
        <f t="shared" si="5"/>
        <v>0.86262203626220346</v>
      </c>
      <c r="K45" s="12">
        <f t="shared" si="6"/>
        <v>0.19916666666666669</v>
      </c>
      <c r="L45" s="13">
        <f t="shared" si="7"/>
        <v>6.8481375358166192E-3</v>
      </c>
    </row>
    <row r="46" spans="1:12">
      <c r="A46" s="731">
        <v>38652</v>
      </c>
      <c r="B46" s="732">
        <v>16101</v>
      </c>
      <c r="C46" s="733">
        <v>2.39</v>
      </c>
      <c r="D46" s="733">
        <v>25.76</v>
      </c>
      <c r="E46" s="10">
        <f t="shared" si="0"/>
        <v>10.778242677824268</v>
      </c>
      <c r="F46" s="11">
        <f t="shared" si="1"/>
        <v>347</v>
      </c>
      <c r="G46" s="10">
        <f t="shared" si="2"/>
        <v>16</v>
      </c>
      <c r="H46" s="10">
        <f t="shared" si="3"/>
        <v>31.707522935779817</v>
      </c>
      <c r="I46" s="10">
        <f t="shared" si="4"/>
        <v>21.6875</v>
      </c>
      <c r="J46" s="10">
        <f t="shared" si="5"/>
        <v>0.68398594377510036</v>
      </c>
      <c r="K46" s="12">
        <f t="shared" si="6"/>
        <v>0.15562500000000001</v>
      </c>
      <c r="L46" s="13">
        <f t="shared" si="7"/>
        <v>7.1757925072046119E-3</v>
      </c>
    </row>
    <row r="47" spans="1:12">
      <c r="A47" s="731">
        <v>38666</v>
      </c>
      <c r="B47" s="732">
        <v>16476</v>
      </c>
      <c r="C47" s="733">
        <v>2.4900000000000002</v>
      </c>
      <c r="D47" s="733">
        <v>27.2</v>
      </c>
      <c r="E47" s="10">
        <f t="shared" si="0"/>
        <v>10.923694779116465</v>
      </c>
      <c r="F47" s="11">
        <f t="shared" si="1"/>
        <v>375</v>
      </c>
      <c r="G47" s="10">
        <f t="shared" si="2"/>
        <v>14</v>
      </c>
      <c r="H47" s="10">
        <f t="shared" si="3"/>
        <v>34.792313664596271</v>
      </c>
      <c r="I47" s="10">
        <f t="shared" si="4"/>
        <v>26.785714285714285</v>
      </c>
      <c r="J47" s="10">
        <f t="shared" si="5"/>
        <v>0.76987447698744771</v>
      </c>
      <c r="K47" s="12">
        <f t="shared" si="6"/>
        <v>0.17071428571428574</v>
      </c>
      <c r="L47" s="13">
        <f t="shared" si="7"/>
        <v>6.3733333333333333E-3</v>
      </c>
    </row>
    <row r="48" spans="1:12">
      <c r="A48" s="731">
        <v>38681</v>
      </c>
      <c r="B48" s="732">
        <v>16823</v>
      </c>
      <c r="C48" s="733">
        <v>2.5499999999999998</v>
      </c>
      <c r="D48" s="733">
        <v>10</v>
      </c>
      <c r="E48" s="10">
        <f t="shared" si="0"/>
        <v>3.9215686274509807</v>
      </c>
      <c r="F48" s="11">
        <f t="shared" si="1"/>
        <v>347</v>
      </c>
      <c r="G48" s="10">
        <f t="shared" si="2"/>
        <v>15</v>
      </c>
      <c r="H48" s="10">
        <f t="shared" si="3"/>
        <v>31.765808823529415</v>
      </c>
      <c r="I48" s="10">
        <f t="shared" si="4"/>
        <v>23.133333333333333</v>
      </c>
      <c r="J48" s="10">
        <f t="shared" si="5"/>
        <v>0.72824631860776434</v>
      </c>
      <c r="K48" s="12">
        <f t="shared" si="6"/>
        <v>0.16600000000000001</v>
      </c>
      <c r="L48" s="13">
        <f t="shared" si="7"/>
        <v>7.1757925072046119E-3</v>
      </c>
    </row>
    <row r="49" spans="1:12">
      <c r="A49" s="731">
        <v>38721</v>
      </c>
      <c r="B49" s="732">
        <v>16943</v>
      </c>
      <c r="C49" s="733">
        <v>2.399</v>
      </c>
      <c r="D49" s="733">
        <v>10</v>
      </c>
      <c r="E49" s="10">
        <f t="shared" si="0"/>
        <v>4.1684035014589416</v>
      </c>
      <c r="F49" s="11">
        <f t="shared" si="1"/>
        <v>120</v>
      </c>
      <c r="G49" s="10">
        <f t="shared" si="2"/>
        <v>40</v>
      </c>
      <c r="H49" s="10">
        <f t="shared" si="3"/>
        <v>30.599999999999998</v>
      </c>
      <c r="I49" s="10">
        <f t="shared" si="4"/>
        <v>3</v>
      </c>
      <c r="J49" s="10">
        <f t="shared" si="5"/>
        <v>9.8039215686274522E-2</v>
      </c>
      <c r="K49" s="12">
        <f t="shared" si="6"/>
        <v>6.3750000000000001E-2</v>
      </c>
      <c r="L49" s="13">
        <f t="shared" si="7"/>
        <v>2.1249999999999998E-2</v>
      </c>
    </row>
    <row r="50" spans="1:12">
      <c r="A50" s="731">
        <v>38737</v>
      </c>
      <c r="B50" s="732">
        <v>17064</v>
      </c>
      <c r="C50" s="733">
        <v>2.2400000000000002</v>
      </c>
      <c r="D50" s="733">
        <v>10</v>
      </c>
      <c r="E50" s="10">
        <f t="shared" si="0"/>
        <v>4.4642857142857135</v>
      </c>
      <c r="F50" s="11">
        <f t="shared" si="1"/>
        <v>121</v>
      </c>
      <c r="G50" s="10">
        <f t="shared" si="2"/>
        <v>16</v>
      </c>
      <c r="H50" s="10">
        <f t="shared" si="3"/>
        <v>29.027899999999999</v>
      </c>
      <c r="I50" s="10">
        <f t="shared" si="4"/>
        <v>7.5625</v>
      </c>
      <c r="J50" s="10">
        <f t="shared" si="5"/>
        <v>0.26052521884118385</v>
      </c>
      <c r="K50" s="12">
        <f t="shared" si="6"/>
        <v>0.1499375</v>
      </c>
      <c r="L50" s="13">
        <f t="shared" si="7"/>
        <v>1.9826446280991734E-2</v>
      </c>
    </row>
    <row r="51" spans="1:12">
      <c r="A51" s="731">
        <v>38774</v>
      </c>
      <c r="B51" s="732">
        <v>17186</v>
      </c>
      <c r="C51" s="733">
        <v>2.379</v>
      </c>
      <c r="D51" s="733">
        <v>5</v>
      </c>
      <c r="E51" s="10">
        <f t="shared" si="0"/>
        <v>2.1017234131988229</v>
      </c>
      <c r="F51" s="11">
        <f t="shared" si="1"/>
        <v>122</v>
      </c>
      <c r="G51" s="10">
        <f t="shared" si="2"/>
        <v>37</v>
      </c>
      <c r="H51" s="10">
        <f t="shared" si="3"/>
        <v>27.328000000000003</v>
      </c>
      <c r="I51" s="10">
        <f t="shared" si="4"/>
        <v>3.2972972972972974</v>
      </c>
      <c r="J51" s="10">
        <f t="shared" si="5"/>
        <v>0.12065637065637064</v>
      </c>
      <c r="K51" s="12">
        <f t="shared" si="6"/>
        <v>6.0540540540540547E-2</v>
      </c>
      <c r="L51" s="13">
        <f t="shared" si="7"/>
        <v>1.8360655737704921E-2</v>
      </c>
    </row>
    <row r="52" spans="1:12">
      <c r="A52" s="731">
        <v>38784</v>
      </c>
      <c r="B52" s="732">
        <v>17270</v>
      </c>
      <c r="C52" s="733">
        <v>2.4790000000000001</v>
      </c>
      <c r="D52" s="733">
        <v>10</v>
      </c>
      <c r="E52" s="10">
        <f t="shared" si="0"/>
        <v>4.0338846308995562</v>
      </c>
      <c r="F52" s="11">
        <f t="shared" si="1"/>
        <v>84</v>
      </c>
      <c r="G52" s="10">
        <f t="shared" si="2"/>
        <v>10</v>
      </c>
      <c r="H52" s="10">
        <f t="shared" si="3"/>
        <v>39.967199999999998</v>
      </c>
      <c r="I52" s="10">
        <f t="shared" si="4"/>
        <v>8.4</v>
      </c>
      <c r="J52" s="10">
        <f t="shared" si="5"/>
        <v>0.2101723413198823</v>
      </c>
      <c r="K52" s="12">
        <f t="shared" si="6"/>
        <v>0.2379</v>
      </c>
      <c r="L52" s="13">
        <f t="shared" si="7"/>
        <v>2.832142857142857E-2</v>
      </c>
    </row>
    <row r="53" spans="1:12">
      <c r="A53" s="731">
        <v>38801</v>
      </c>
      <c r="B53" s="732">
        <v>17381</v>
      </c>
      <c r="C53" s="733">
        <v>2.4889999999999999</v>
      </c>
      <c r="D53" s="733">
        <v>10</v>
      </c>
      <c r="E53" s="10">
        <f t="shared" si="0"/>
        <v>4.0176777822418641</v>
      </c>
      <c r="F53" s="11">
        <f t="shared" si="1"/>
        <v>111</v>
      </c>
      <c r="G53" s="10">
        <f t="shared" si="2"/>
        <v>17</v>
      </c>
      <c r="H53" s="10">
        <f t="shared" si="3"/>
        <v>27.5169</v>
      </c>
      <c r="I53" s="10">
        <f t="shared" si="4"/>
        <v>6.5294117647058822</v>
      </c>
      <c r="J53" s="10">
        <f t="shared" si="5"/>
        <v>0.23728733122938567</v>
      </c>
      <c r="K53" s="12">
        <f t="shared" si="6"/>
        <v>0.14582352941176471</v>
      </c>
      <c r="L53" s="13">
        <f t="shared" si="7"/>
        <v>2.2333333333333334E-2</v>
      </c>
    </row>
    <row r="54" spans="1:12">
      <c r="A54" s="731">
        <v>38815</v>
      </c>
      <c r="B54" s="732">
        <v>17508</v>
      </c>
      <c r="C54" s="733">
        <v>2.4689999999999999</v>
      </c>
      <c r="D54" s="733">
        <v>5</v>
      </c>
      <c r="E54" s="10">
        <f t="shared" si="0"/>
        <v>2.0251113811259622</v>
      </c>
      <c r="F54" s="11">
        <f t="shared" si="1"/>
        <v>127</v>
      </c>
      <c r="G54" s="10">
        <f t="shared" si="2"/>
        <v>14</v>
      </c>
      <c r="H54" s="10">
        <f t="shared" si="3"/>
        <v>31.610300000000002</v>
      </c>
      <c r="I54" s="10">
        <f t="shared" si="4"/>
        <v>9.0714285714285712</v>
      </c>
      <c r="J54" s="10">
        <f t="shared" si="5"/>
        <v>0.28697698444584746</v>
      </c>
      <c r="K54" s="12">
        <f t="shared" si="6"/>
        <v>0.17778571428571427</v>
      </c>
      <c r="L54" s="13">
        <f t="shared" si="7"/>
        <v>1.9598425196850393E-2</v>
      </c>
    </row>
    <row r="55" spans="1:12">
      <c r="A55" s="731">
        <v>38824</v>
      </c>
      <c r="B55" s="732">
        <v>17571</v>
      </c>
      <c r="C55" s="733">
        <v>2.4689999999999999</v>
      </c>
      <c r="D55" s="733">
        <v>28.06</v>
      </c>
      <c r="E55" s="10">
        <f t="shared" si="0"/>
        <v>11.364925070878899</v>
      </c>
      <c r="F55" s="11">
        <f t="shared" si="1"/>
        <v>63</v>
      </c>
      <c r="G55" s="10">
        <f t="shared" si="2"/>
        <v>9</v>
      </c>
      <c r="H55" s="10">
        <f t="shared" si="3"/>
        <v>31.109399999999994</v>
      </c>
      <c r="I55" s="10">
        <f t="shared" si="4"/>
        <v>7</v>
      </c>
      <c r="J55" s="10">
        <f t="shared" si="5"/>
        <v>0.22501237568066246</v>
      </c>
      <c r="K55" s="12">
        <f t="shared" si="6"/>
        <v>0.27433333333333332</v>
      </c>
      <c r="L55" s="13">
        <f t="shared" si="7"/>
        <v>3.9190476190476185E-2</v>
      </c>
    </row>
    <row r="56" spans="1:12">
      <c r="A56" s="731">
        <v>38871</v>
      </c>
      <c r="B56" s="732">
        <v>17900</v>
      </c>
      <c r="C56" s="733">
        <v>2.4990000000000001</v>
      </c>
      <c r="D56" s="733">
        <v>28</v>
      </c>
      <c r="E56" s="10">
        <f t="shared" si="0"/>
        <v>11.204481792717086</v>
      </c>
      <c r="F56" s="11">
        <f t="shared" si="1"/>
        <v>329</v>
      </c>
      <c r="G56" s="10">
        <f t="shared" si="2"/>
        <v>47</v>
      </c>
      <c r="H56" s="10">
        <f t="shared" si="3"/>
        <v>28.94871703492516</v>
      </c>
      <c r="I56" s="10">
        <f t="shared" si="4"/>
        <v>7</v>
      </c>
      <c r="J56" s="10">
        <f t="shared" si="5"/>
        <v>0.2418069164016787</v>
      </c>
      <c r="K56" s="12">
        <f t="shared" si="6"/>
        <v>5.253191489361702E-2</v>
      </c>
      <c r="L56" s="13">
        <f t="shared" si="7"/>
        <v>7.5045592705167167E-3</v>
      </c>
    </row>
    <row r="57" spans="1:12">
      <c r="A57" s="731">
        <v>38905</v>
      </c>
      <c r="B57" s="732">
        <v>18210</v>
      </c>
      <c r="C57" s="733">
        <v>2.4289999999999998</v>
      </c>
      <c r="D57" s="733">
        <v>26.87</v>
      </c>
      <c r="E57" s="10">
        <f t="shared" si="0"/>
        <v>11.062165500205847</v>
      </c>
      <c r="F57" s="11">
        <f t="shared" si="1"/>
        <v>310</v>
      </c>
      <c r="G57" s="10">
        <f t="shared" si="2"/>
        <v>34</v>
      </c>
      <c r="H57" s="10">
        <f t="shared" si="3"/>
        <v>27.6675</v>
      </c>
      <c r="I57" s="10">
        <f t="shared" si="4"/>
        <v>9.117647058823529</v>
      </c>
      <c r="J57" s="10">
        <f t="shared" si="5"/>
        <v>0.3295435821387378</v>
      </c>
      <c r="K57" s="12">
        <f t="shared" si="6"/>
        <v>7.350000000000001E-2</v>
      </c>
      <c r="L57" s="13">
        <f t="shared" si="7"/>
        <v>8.061290322580645E-3</v>
      </c>
    </row>
    <row r="58" spans="1:12">
      <c r="A58" s="731">
        <v>38934</v>
      </c>
      <c r="B58" s="732">
        <v>18533</v>
      </c>
      <c r="C58" s="733">
        <v>2.6989999999999998</v>
      </c>
      <c r="D58" s="733">
        <v>30</v>
      </c>
      <c r="E58" s="10">
        <f t="shared" si="0"/>
        <v>11.115227862171174</v>
      </c>
      <c r="F58" s="11">
        <f t="shared" si="1"/>
        <v>323</v>
      </c>
      <c r="G58" s="10">
        <f t="shared" si="2"/>
        <v>29</v>
      </c>
      <c r="H58" s="10">
        <f t="shared" si="3"/>
        <v>29.198622999627837</v>
      </c>
      <c r="I58" s="10">
        <f t="shared" si="4"/>
        <v>11.137931034482758</v>
      </c>
      <c r="J58" s="10">
        <f t="shared" si="5"/>
        <v>0.38145398276571885</v>
      </c>
      <c r="K58" s="12">
        <f t="shared" si="6"/>
        <v>8.3758620689655172E-2</v>
      </c>
      <c r="L58" s="13">
        <f t="shared" si="7"/>
        <v>7.5201238390092875E-3</v>
      </c>
    </row>
    <row r="59" spans="1:12">
      <c r="A59" s="731">
        <v>38959</v>
      </c>
      <c r="B59" s="732">
        <v>18859</v>
      </c>
      <c r="C59" s="733">
        <v>2.4489999999999998</v>
      </c>
      <c r="D59" s="733">
        <v>25.99</v>
      </c>
      <c r="E59" s="10">
        <f t="shared" si="0"/>
        <v>10.612494895875868</v>
      </c>
      <c r="F59" s="11">
        <f t="shared" si="1"/>
        <v>326</v>
      </c>
      <c r="G59" s="10">
        <f t="shared" si="2"/>
        <v>25</v>
      </c>
      <c r="H59" s="10">
        <f t="shared" si="3"/>
        <v>29.329133333333335</v>
      </c>
      <c r="I59" s="10">
        <f t="shared" si="4"/>
        <v>13.04</v>
      </c>
      <c r="J59" s="10">
        <f t="shared" si="5"/>
        <v>0.44460911448684698</v>
      </c>
      <c r="K59" s="12">
        <f t="shared" si="6"/>
        <v>0.10796</v>
      </c>
      <c r="L59" s="13">
        <f t="shared" si="7"/>
        <v>8.2791411042944778E-3</v>
      </c>
    </row>
    <row r="60" spans="1:12">
      <c r="A60" s="731">
        <v>38999</v>
      </c>
      <c r="B60" s="732">
        <v>19162</v>
      </c>
      <c r="C60" s="733">
        <v>2.339</v>
      </c>
      <c r="D60" s="733">
        <v>23.73</v>
      </c>
      <c r="E60" s="10">
        <f t="shared" si="0"/>
        <v>10.145361265498076</v>
      </c>
      <c r="F60" s="11">
        <f t="shared" si="1"/>
        <v>303</v>
      </c>
      <c r="G60" s="10">
        <f t="shared" si="2"/>
        <v>40</v>
      </c>
      <c r="H60" s="10">
        <f t="shared" si="3"/>
        <v>28.551250480954213</v>
      </c>
      <c r="I60" s="10">
        <f t="shared" si="4"/>
        <v>7.5750000000000002</v>
      </c>
      <c r="J60" s="10">
        <f t="shared" si="5"/>
        <v>0.2653123723968967</v>
      </c>
      <c r="K60" s="12">
        <f t="shared" si="6"/>
        <v>6.1224999999999995E-2</v>
      </c>
      <c r="L60" s="13">
        <f t="shared" si="7"/>
        <v>8.0825082508250816E-3</v>
      </c>
    </row>
    <row r="61" spans="1:12">
      <c r="A61" s="731"/>
      <c r="B61" s="732"/>
      <c r="C61" s="733"/>
      <c r="D61" s="733"/>
      <c r="E61" s="10" t="str">
        <f t="shared" si="0"/>
        <v/>
      </c>
      <c r="F61" s="11" t="str">
        <f t="shared" si="1"/>
        <v/>
      </c>
      <c r="G61" s="10" t="str">
        <f t="shared" si="2"/>
        <v/>
      </c>
      <c r="H61" s="10" t="str">
        <f t="shared" si="3"/>
        <v/>
      </c>
      <c r="I61" s="10" t="str">
        <f t="shared" si="4"/>
        <v/>
      </c>
      <c r="J61" s="10" t="str">
        <f t="shared" si="5"/>
        <v/>
      </c>
      <c r="K61" s="12" t="str">
        <f t="shared" si="6"/>
        <v/>
      </c>
      <c r="L61" s="13" t="str">
        <f t="shared" si="7"/>
        <v/>
      </c>
    </row>
    <row r="62" spans="1:12">
      <c r="A62" s="731"/>
      <c r="B62" s="732"/>
      <c r="C62" s="733"/>
      <c r="D62" s="733"/>
      <c r="E62" s="10" t="str">
        <f t="shared" si="0"/>
        <v/>
      </c>
      <c r="F62" s="11" t="str">
        <f t="shared" si="1"/>
        <v/>
      </c>
      <c r="G62" s="10" t="str">
        <f t="shared" si="2"/>
        <v/>
      </c>
      <c r="H62" s="10" t="str">
        <f t="shared" si="3"/>
        <v/>
      </c>
      <c r="I62" s="10" t="str">
        <f t="shared" si="4"/>
        <v/>
      </c>
      <c r="J62" s="10" t="str">
        <f t="shared" si="5"/>
        <v/>
      </c>
      <c r="K62" s="12" t="str">
        <f t="shared" si="6"/>
        <v/>
      </c>
      <c r="L62" s="13" t="str">
        <f t="shared" si="7"/>
        <v/>
      </c>
    </row>
    <row r="63" spans="1:12">
      <c r="A63" s="731"/>
      <c r="B63" s="732"/>
      <c r="C63" s="733"/>
      <c r="D63" s="733"/>
      <c r="E63" s="10" t="str">
        <f t="shared" si="0"/>
        <v/>
      </c>
      <c r="F63" s="11" t="str">
        <f t="shared" si="1"/>
        <v/>
      </c>
      <c r="G63" s="10" t="str">
        <f t="shared" si="2"/>
        <v/>
      </c>
      <c r="H63" s="10" t="str">
        <f t="shared" si="3"/>
        <v/>
      </c>
      <c r="I63" s="10" t="str">
        <f t="shared" si="4"/>
        <v/>
      </c>
      <c r="J63" s="10" t="str">
        <f t="shared" si="5"/>
        <v/>
      </c>
      <c r="K63" s="12" t="str">
        <f t="shared" si="6"/>
        <v/>
      </c>
      <c r="L63" s="13" t="str">
        <f t="shared" si="7"/>
        <v/>
      </c>
    </row>
    <row r="64" spans="1:12">
      <c r="A64" s="731"/>
      <c r="B64" s="732"/>
      <c r="C64" s="733"/>
      <c r="D64" s="733"/>
      <c r="E64" s="10" t="str">
        <f t="shared" si="0"/>
        <v/>
      </c>
      <c r="F64" s="11" t="str">
        <f t="shared" si="1"/>
        <v/>
      </c>
      <c r="G64" s="10" t="str">
        <f t="shared" si="2"/>
        <v/>
      </c>
      <c r="H64" s="10" t="str">
        <f t="shared" si="3"/>
        <v/>
      </c>
      <c r="I64" s="10" t="str">
        <f t="shared" si="4"/>
        <v/>
      </c>
      <c r="J64" s="10" t="str">
        <f t="shared" si="5"/>
        <v/>
      </c>
      <c r="K64" s="12" t="str">
        <f t="shared" si="6"/>
        <v/>
      </c>
      <c r="L64" s="13" t="str">
        <f t="shared" si="7"/>
        <v/>
      </c>
    </row>
    <row r="65" spans="1:12">
      <c r="A65" s="731"/>
      <c r="B65" s="732"/>
      <c r="C65" s="733"/>
      <c r="D65" s="733"/>
      <c r="E65" s="10" t="str">
        <f t="shared" si="0"/>
        <v/>
      </c>
      <c r="F65" s="11" t="str">
        <f t="shared" si="1"/>
        <v/>
      </c>
      <c r="G65" s="10" t="str">
        <f t="shared" si="2"/>
        <v/>
      </c>
      <c r="H65" s="10" t="str">
        <f t="shared" si="3"/>
        <v/>
      </c>
      <c r="I65" s="10" t="str">
        <f t="shared" si="4"/>
        <v/>
      </c>
      <c r="J65" s="10" t="str">
        <f t="shared" si="5"/>
        <v/>
      </c>
      <c r="K65" s="12" t="str">
        <f t="shared" si="6"/>
        <v/>
      </c>
      <c r="L65" s="13" t="str">
        <f t="shared" si="7"/>
        <v/>
      </c>
    </row>
    <row r="66" spans="1:12">
      <c r="A66" s="731"/>
      <c r="B66" s="732"/>
      <c r="C66" s="733"/>
      <c r="D66" s="733"/>
      <c r="E66" s="10" t="str">
        <f t="shared" si="0"/>
        <v/>
      </c>
      <c r="F66" s="11" t="str">
        <f t="shared" si="1"/>
        <v/>
      </c>
      <c r="G66" s="10" t="str">
        <f t="shared" si="2"/>
        <v/>
      </c>
      <c r="H66" s="10" t="str">
        <f t="shared" si="3"/>
        <v/>
      </c>
      <c r="I66" s="10" t="str">
        <f t="shared" si="4"/>
        <v/>
      </c>
      <c r="J66" s="10" t="str">
        <f t="shared" si="5"/>
        <v/>
      </c>
      <c r="K66" s="12" t="str">
        <f t="shared" si="6"/>
        <v/>
      </c>
      <c r="L66" s="13" t="str">
        <f t="shared" si="7"/>
        <v/>
      </c>
    </row>
    <row r="67" spans="1:12">
      <c r="A67" s="731"/>
      <c r="B67" s="732"/>
      <c r="C67" s="733"/>
      <c r="D67" s="733"/>
      <c r="E67" s="10" t="str">
        <f t="shared" si="0"/>
        <v/>
      </c>
      <c r="F67" s="11" t="str">
        <f t="shared" si="1"/>
        <v/>
      </c>
      <c r="G67" s="10" t="str">
        <f t="shared" si="2"/>
        <v/>
      </c>
      <c r="H67" s="10" t="str">
        <f t="shared" si="3"/>
        <v/>
      </c>
      <c r="I67" s="10" t="str">
        <f t="shared" si="4"/>
        <v/>
      </c>
      <c r="J67" s="10" t="str">
        <f t="shared" si="5"/>
        <v/>
      </c>
      <c r="K67" s="12" t="str">
        <f t="shared" si="6"/>
        <v/>
      </c>
      <c r="L67" s="13" t="str">
        <f t="shared" si="7"/>
        <v/>
      </c>
    </row>
    <row r="68" spans="1:12">
      <c r="A68" s="731"/>
      <c r="B68" s="732"/>
      <c r="C68" s="733"/>
      <c r="D68" s="733"/>
      <c r="E68" s="10" t="str">
        <f>IF(C68&lt;&gt;"",D68/C68,"")</f>
        <v/>
      </c>
      <c r="F68" s="11" t="str">
        <f>IF(A68="","",B68-B67)</f>
        <v/>
      </c>
      <c r="G68" s="10" t="str">
        <f>IF(A68="","",A68-A67)</f>
        <v/>
      </c>
      <c r="H68" s="10" t="str">
        <f>IF(F68="","",F68/E67)</f>
        <v/>
      </c>
      <c r="I68" s="10" t="str">
        <f>IF(F68&lt;&gt;"",IF(G68&gt;0,F68/G68,F68),"" )</f>
        <v/>
      </c>
      <c r="J68" s="10" t="str">
        <f>IF(G68="","",IF(G68=0,E68,E67/G68))</f>
        <v/>
      </c>
      <c r="K68" s="12" t="str">
        <f>IF(G68="","",IF(G68=0,C67,C67/G68))</f>
        <v/>
      </c>
      <c r="L68" s="13" t="str">
        <f>IF(F68="","",C67/F68)</f>
        <v/>
      </c>
    </row>
    <row r="69" spans="1:12">
      <c r="A69" s="737"/>
      <c r="B69" s="738" t="s">
        <v>920</v>
      </c>
      <c r="C69" s="739">
        <f>AVERAGE(C2:C68)</f>
        <v>2.2634745762711863</v>
      </c>
      <c r="D69" s="739">
        <f>AVERAGE(D2:D68)</f>
        <v>22.399152542372882</v>
      </c>
      <c r="E69" s="10">
        <f>IF(C69&lt;&gt;"",D69/C69,"")</f>
        <v>9.8959152345651287</v>
      </c>
      <c r="F69" s="11" t="str">
        <f>IF(A69="","",B69-B68)</f>
        <v/>
      </c>
      <c r="G69" s="10" t="str">
        <f>IF(A69="","",A69-A68)</f>
        <v/>
      </c>
      <c r="H69" s="10" t="str">
        <f>IF(F69="","",F69/E68)</f>
        <v/>
      </c>
      <c r="I69" s="10" t="str">
        <f>IF(F69&lt;&gt;"",IF(G69&gt;0,F69/G69,F69),"" )</f>
        <v/>
      </c>
      <c r="J69" s="10" t="str">
        <f>IF(G69="","",IF(G69=0,E69,E68/G69))</f>
        <v/>
      </c>
      <c r="K69" s="12" t="str">
        <f>IF(G69="","",IF(G69=0,C68,C68/G69))</f>
        <v/>
      </c>
      <c r="L69" s="13" t="str">
        <f>IF(F69="","",C68/F69)</f>
        <v/>
      </c>
    </row>
    <row r="70" spans="1:12">
      <c r="D70" s="21">
        <f>SUM(D2:D68)</f>
        <v>1321.55</v>
      </c>
      <c r="E70" s="22">
        <f>SUM(E2:E68)</f>
        <v>586.92954833812473</v>
      </c>
      <c r="F70" s="23"/>
    </row>
  </sheetData>
  <sheetProtection selectLockedCells="1" selectUnlockedCells="1"/>
  <conditionalFormatting sqref="K2:L69">
    <cfRule type="cellIs" dxfId="5" priority="1" stopIfTrue="1" operator="lessThan">
      <formula>0</formula>
    </cfRule>
  </conditionalFormatting>
  <pageMargins left="0.78749999999999998" right="0.78749999999999998" top="0.78749999999999998" bottom="0.78749999999999998" header="9.8611111111111108E-2" footer="9.8611111111111108E-2"/>
  <pageSetup paperSize="9" firstPageNumber="0" orientation="landscape" horizontalDpi="300" verticalDpi="300"/>
  <headerFooter alignWithMargins="0">
    <oddHeader>&amp;C&amp;"Times New Roman,Regular"&amp;12&amp;A</oddHeader>
    <oddFooter>&amp;C&amp;"Times New Roman,Regular"&amp;12Página &amp;P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Plan96"/>
  <dimension ref="A1:M41"/>
  <sheetViews>
    <sheetView workbookViewId="0">
      <pane xSplit="13" ySplit="1" topLeftCell="N2" activePane="bottomRight" state="frozen"/>
      <selection pane="bottomRight" activeCell="N1" sqref="N1"/>
      <selection pane="bottomLeft" activeCell="A2" sqref="A2"/>
      <selection pane="topRight" activeCell="N1" sqref="N1"/>
    </sheetView>
  </sheetViews>
  <sheetFormatPr defaultColWidth="11.7109375" defaultRowHeight="13.5"/>
  <cols>
    <col min="1" max="1" width="4.42578125" style="3" customWidth="1"/>
    <col min="2" max="2" width="12.42578125" style="3" customWidth="1"/>
    <col min="3" max="3" width="14.85546875" style="3" customWidth="1"/>
    <col min="4" max="5" width="13.7109375" style="3" customWidth="1"/>
    <col min="6" max="7" width="11.28515625" style="3" customWidth="1"/>
    <col min="8" max="8" width="7.85546875" style="3" customWidth="1"/>
    <col min="9" max="9" width="10.140625" style="3" customWidth="1"/>
    <col min="10" max="11" width="7.85546875" style="3" customWidth="1"/>
    <col min="12" max="12" width="11.42578125" style="3" customWidth="1"/>
    <col min="13" max="13" width="10.140625" style="3" customWidth="1"/>
    <col min="14" max="14" width="11.7109375" style="3"/>
    <col min="15" max="15" width="15.5703125" style="3" customWidth="1"/>
    <col min="16" max="16384" width="11.7109375" style="3"/>
  </cols>
  <sheetData>
    <row r="1" spans="1:13">
      <c r="A1" s="740" t="s">
        <v>906</v>
      </c>
      <c r="B1" s="741" t="s">
        <v>0</v>
      </c>
      <c r="C1" s="741" t="s">
        <v>907</v>
      </c>
      <c r="D1" s="741" t="s">
        <v>908</v>
      </c>
      <c r="E1" s="741" t="s">
        <v>909</v>
      </c>
      <c r="F1" s="741" t="s">
        <v>910</v>
      </c>
      <c r="G1" s="741" t="s">
        <v>911</v>
      </c>
      <c r="H1" s="741" t="s">
        <v>912</v>
      </c>
      <c r="I1" s="741" t="s">
        <v>913</v>
      </c>
      <c r="J1" s="741" t="s">
        <v>914</v>
      </c>
      <c r="K1" s="741" t="s">
        <v>915</v>
      </c>
      <c r="L1" s="742" t="s">
        <v>916</v>
      </c>
      <c r="M1" s="741" t="s">
        <v>917</v>
      </c>
    </row>
    <row r="2" spans="1:13">
      <c r="A2" s="732">
        <v>1</v>
      </c>
      <c r="B2" s="731">
        <v>38979</v>
      </c>
      <c r="C2" s="732">
        <v>6.3</v>
      </c>
      <c r="D2" s="733">
        <v>2.4460000000000002</v>
      </c>
      <c r="E2" s="733">
        <v>38.01</v>
      </c>
      <c r="F2" s="10">
        <f>IF(D2&lt;&gt;"",E2/D2,"")</f>
        <v>15.539656582174977</v>
      </c>
      <c r="G2" s="735">
        <v>0</v>
      </c>
      <c r="H2" s="734">
        <v>0</v>
      </c>
      <c r="I2" s="734">
        <v>0</v>
      </c>
      <c r="J2" s="734">
        <v>0</v>
      </c>
      <c r="K2" s="734">
        <v>0</v>
      </c>
      <c r="L2" s="60">
        <v>0</v>
      </c>
      <c r="M2" s="60">
        <v>0</v>
      </c>
    </row>
    <row r="3" spans="1:13">
      <c r="A3" s="732">
        <v>2</v>
      </c>
      <c r="B3" s="731">
        <v>39022</v>
      </c>
      <c r="C3" s="732">
        <v>299.60000000000002</v>
      </c>
      <c r="D3" s="733">
        <v>2.4489999999999998</v>
      </c>
      <c r="E3" s="733">
        <v>34.729999999999997</v>
      </c>
      <c r="F3" s="10">
        <f>IF(D3&lt;&gt;"",E3/D3,"")</f>
        <v>14.181298489179257</v>
      </c>
      <c r="G3" s="11">
        <f>IF(B3="","",C3-C2)</f>
        <v>293.3</v>
      </c>
      <c r="H3" s="10">
        <f>IF(B3="","",B3-B2)</f>
        <v>43</v>
      </c>
      <c r="I3" s="10">
        <f>IF(G3="","",G3/F2)</f>
        <v>18.874290976058933</v>
      </c>
      <c r="J3" s="10">
        <f>IF(G3&lt;&gt;"",IF(H3&gt;0,G3/H3,G3),"" )</f>
        <v>6.8209302325581396</v>
      </c>
      <c r="K3" s="10">
        <f>IF(H3="","",IF(H3=0,F3,F2/H3))</f>
        <v>0.36138736237616226</v>
      </c>
      <c r="L3" s="12">
        <f>IF(H3="","",IF(H3=0,D2,D2/H3))</f>
        <v>5.6883720930232563E-2</v>
      </c>
      <c r="M3" s="13">
        <f>IF(G3="","",D2/G3)</f>
        <v>8.3395840436413238E-3</v>
      </c>
    </row>
    <row r="4" spans="1:13">
      <c r="A4" s="732">
        <v>3</v>
      </c>
      <c r="B4" s="731">
        <v>39064</v>
      </c>
      <c r="C4" s="732">
        <v>608.20000000000005</v>
      </c>
      <c r="D4" s="733">
        <v>2.4489999999999998</v>
      </c>
      <c r="E4" s="733">
        <v>33.54</v>
      </c>
      <c r="F4" s="10">
        <f t="shared" ref="F4:F40" si="0">IF(D4&lt;&gt;"",E4/D4,"")</f>
        <v>13.695385871784403</v>
      </c>
      <c r="G4" s="11">
        <f t="shared" ref="G4:G40" si="1">IF(B4="","",C4-C3)</f>
        <v>308.60000000000002</v>
      </c>
      <c r="H4" s="10">
        <f t="shared" ref="H4:H40" si="2">IF(B4="","",B4-B3)</f>
        <v>42</v>
      </c>
      <c r="I4" s="10">
        <f t="shared" ref="I4:I40" si="3">IF(G4="","",G4/F3)</f>
        <v>21.76105384393896</v>
      </c>
      <c r="J4" s="10">
        <f t="shared" ref="J4:J40" si="4">IF(G4&lt;&gt;"",IF(H4&gt;0,G4/H4,G4),"" )</f>
        <v>7.3476190476190482</v>
      </c>
      <c r="K4" s="10">
        <f t="shared" ref="K4:K40" si="5">IF(H4="","",IF(H4=0,F4,F3/H4))</f>
        <v>0.33764996402807756</v>
      </c>
      <c r="L4" s="12">
        <f t="shared" ref="L4:L40" si="6">IF(H4="","",IF(H4=0,D3,D3/H4))</f>
        <v>5.8309523809523804E-2</v>
      </c>
      <c r="M4" s="13">
        <f t="shared" ref="M4:M40" si="7">IF(G4="","",D3/G4)</f>
        <v>7.9358392741412827E-3</v>
      </c>
    </row>
    <row r="5" spans="1:13">
      <c r="A5" s="732">
        <v>4</v>
      </c>
      <c r="B5" s="731">
        <v>39113</v>
      </c>
      <c r="C5" s="732">
        <v>928.9</v>
      </c>
      <c r="D5" s="733">
        <v>2.4489999999999998</v>
      </c>
      <c r="E5" s="733">
        <v>33.04</v>
      </c>
      <c r="F5" s="10">
        <f t="shared" si="0"/>
        <v>13.491220906492446</v>
      </c>
      <c r="G5" s="11">
        <f t="shared" si="1"/>
        <v>320.69999999999993</v>
      </c>
      <c r="H5" s="10">
        <f t="shared" si="2"/>
        <v>49</v>
      </c>
      <c r="I5" s="10">
        <f t="shared" si="3"/>
        <v>23.416645796064394</v>
      </c>
      <c r="J5" s="10">
        <f t="shared" si="4"/>
        <v>6.5448979591836718</v>
      </c>
      <c r="K5" s="10">
        <f t="shared" si="5"/>
        <v>0.27949767085274291</v>
      </c>
      <c r="L5" s="12">
        <f t="shared" si="6"/>
        <v>4.9979591836734692E-2</v>
      </c>
      <c r="M5" s="13">
        <f t="shared" si="7"/>
        <v>7.6364203305269735E-3</v>
      </c>
    </row>
    <row r="6" spans="1:13">
      <c r="A6" s="732">
        <v>5</v>
      </c>
      <c r="B6" s="731">
        <v>39157</v>
      </c>
      <c r="C6" s="732">
        <v>1249.3</v>
      </c>
      <c r="D6" s="733">
        <v>2.4489999999999998</v>
      </c>
      <c r="E6" s="733">
        <v>34.700000000000003</v>
      </c>
      <c r="F6" s="10">
        <f t="shared" si="0"/>
        <v>14.169048591261742</v>
      </c>
      <c r="G6" s="11">
        <f t="shared" si="1"/>
        <v>320.39999999999998</v>
      </c>
      <c r="H6" s="10">
        <f t="shared" si="2"/>
        <v>44</v>
      </c>
      <c r="I6" s="10">
        <f t="shared" si="3"/>
        <v>23.74877723970944</v>
      </c>
      <c r="J6" s="10">
        <f t="shared" si="4"/>
        <v>7.2818181818181813</v>
      </c>
      <c r="K6" s="10">
        <f t="shared" si="5"/>
        <v>0.30661865696573742</v>
      </c>
      <c r="L6" s="12">
        <f t="shared" si="6"/>
        <v>5.5659090909090908E-2</v>
      </c>
      <c r="M6" s="13">
        <f t="shared" si="7"/>
        <v>7.6435705368289638E-3</v>
      </c>
    </row>
    <row r="7" spans="1:13">
      <c r="A7" s="732">
        <v>6</v>
      </c>
      <c r="B7" s="731">
        <v>39197</v>
      </c>
      <c r="C7" s="732">
        <v>1550</v>
      </c>
      <c r="D7" s="733">
        <v>2.5990000000000002</v>
      </c>
      <c r="E7" s="733">
        <v>35.03</v>
      </c>
      <c r="F7" s="10">
        <f t="shared" si="0"/>
        <v>13.478260869565217</v>
      </c>
      <c r="G7" s="11">
        <f t="shared" si="1"/>
        <v>300.70000000000005</v>
      </c>
      <c r="H7" s="10">
        <f t="shared" si="2"/>
        <v>40</v>
      </c>
      <c r="I7" s="10">
        <f t="shared" si="3"/>
        <v>21.222314121037464</v>
      </c>
      <c r="J7" s="10">
        <f t="shared" si="4"/>
        <v>7.517500000000001</v>
      </c>
      <c r="K7" s="10">
        <f t="shared" si="5"/>
        <v>0.35422621478154354</v>
      </c>
      <c r="L7" s="12">
        <f t="shared" si="6"/>
        <v>6.1224999999999995E-2</v>
      </c>
      <c r="M7" s="13">
        <f t="shared" si="7"/>
        <v>8.1443298969072139E-3</v>
      </c>
    </row>
    <row r="8" spans="1:13">
      <c r="A8" s="732">
        <v>7</v>
      </c>
      <c r="B8" s="731">
        <v>39571</v>
      </c>
      <c r="C8" s="732">
        <v>1726</v>
      </c>
      <c r="D8" s="733">
        <v>3.2989999999999999</v>
      </c>
      <c r="E8" s="733">
        <v>37.99</v>
      </c>
      <c r="F8" s="10">
        <f t="shared" si="0"/>
        <v>11.515610791148834</v>
      </c>
      <c r="G8" s="11">
        <f t="shared" si="1"/>
        <v>176</v>
      </c>
      <c r="H8" s="10">
        <f t="shared" si="2"/>
        <v>374</v>
      </c>
      <c r="I8" s="10">
        <f t="shared" si="3"/>
        <v>13.058064516129033</v>
      </c>
      <c r="J8" s="10">
        <f t="shared" si="4"/>
        <v>0.47058823529411764</v>
      </c>
      <c r="K8" s="10">
        <f t="shared" si="5"/>
        <v>3.6038130667286679E-2</v>
      </c>
      <c r="L8" s="12">
        <f t="shared" si="6"/>
        <v>6.9491978609625676E-3</v>
      </c>
      <c r="M8" s="13">
        <f t="shared" si="7"/>
        <v>1.4767045454545456E-2</v>
      </c>
    </row>
    <row r="9" spans="1:13">
      <c r="A9" s="732">
        <v>8</v>
      </c>
      <c r="B9" s="731"/>
      <c r="C9" s="732"/>
      <c r="D9" s="733"/>
      <c r="E9" s="733"/>
      <c r="F9" s="10" t="str">
        <f t="shared" si="0"/>
        <v/>
      </c>
      <c r="G9" s="11" t="str">
        <f t="shared" si="1"/>
        <v/>
      </c>
      <c r="H9" s="10" t="str">
        <f t="shared" si="2"/>
        <v/>
      </c>
      <c r="I9" s="10" t="str">
        <f t="shared" si="3"/>
        <v/>
      </c>
      <c r="J9" s="10" t="str">
        <f t="shared" si="4"/>
        <v/>
      </c>
      <c r="K9" s="10" t="str">
        <f t="shared" si="5"/>
        <v/>
      </c>
      <c r="L9" s="12" t="str">
        <f t="shared" si="6"/>
        <v/>
      </c>
      <c r="M9" s="13" t="str">
        <f t="shared" si="7"/>
        <v/>
      </c>
    </row>
    <row r="10" spans="1:13">
      <c r="A10" s="732">
        <v>9</v>
      </c>
      <c r="B10" s="731"/>
      <c r="C10" s="732"/>
      <c r="D10" s="733"/>
      <c r="E10" s="733"/>
      <c r="F10" s="10" t="str">
        <f t="shared" si="0"/>
        <v/>
      </c>
      <c r="G10" s="11" t="str">
        <f t="shared" si="1"/>
        <v/>
      </c>
      <c r="H10" s="10" t="str">
        <f t="shared" si="2"/>
        <v/>
      </c>
      <c r="I10" s="10" t="str">
        <f t="shared" si="3"/>
        <v/>
      </c>
      <c r="J10" s="10" t="str">
        <f t="shared" si="4"/>
        <v/>
      </c>
      <c r="K10" s="10" t="str">
        <f t="shared" si="5"/>
        <v/>
      </c>
      <c r="L10" s="12" t="str">
        <f t="shared" si="6"/>
        <v/>
      </c>
      <c r="M10" s="13" t="str">
        <f t="shared" si="7"/>
        <v/>
      </c>
    </row>
    <row r="11" spans="1:13">
      <c r="A11" s="732">
        <v>10</v>
      </c>
      <c r="B11" s="731"/>
      <c r="C11" s="732"/>
      <c r="D11" s="733"/>
      <c r="E11" s="733"/>
      <c r="F11" s="10" t="str">
        <f t="shared" si="0"/>
        <v/>
      </c>
      <c r="G11" s="11" t="str">
        <f t="shared" si="1"/>
        <v/>
      </c>
      <c r="H11" s="10" t="str">
        <f t="shared" si="2"/>
        <v/>
      </c>
      <c r="I11" s="10" t="str">
        <f t="shared" si="3"/>
        <v/>
      </c>
      <c r="J11" s="10" t="str">
        <f t="shared" si="4"/>
        <v/>
      </c>
      <c r="K11" s="10" t="str">
        <f t="shared" si="5"/>
        <v/>
      </c>
      <c r="L11" s="12" t="str">
        <f t="shared" si="6"/>
        <v/>
      </c>
      <c r="M11" s="13" t="str">
        <f t="shared" si="7"/>
        <v/>
      </c>
    </row>
    <row r="12" spans="1:13">
      <c r="A12" s="732">
        <v>11</v>
      </c>
      <c r="B12" s="731"/>
      <c r="C12" s="732"/>
      <c r="D12" s="733"/>
      <c r="E12" s="733"/>
      <c r="F12" s="10" t="str">
        <f t="shared" si="0"/>
        <v/>
      </c>
      <c r="G12" s="11" t="str">
        <f t="shared" si="1"/>
        <v/>
      </c>
      <c r="H12" s="10" t="str">
        <f t="shared" si="2"/>
        <v/>
      </c>
      <c r="I12" s="10" t="str">
        <f t="shared" si="3"/>
        <v/>
      </c>
      <c r="J12" s="10" t="str">
        <f t="shared" si="4"/>
        <v/>
      </c>
      <c r="K12" s="10" t="str">
        <f t="shared" si="5"/>
        <v/>
      </c>
      <c r="L12" s="12" t="str">
        <f t="shared" si="6"/>
        <v/>
      </c>
      <c r="M12" s="13" t="str">
        <f t="shared" si="7"/>
        <v/>
      </c>
    </row>
    <row r="13" spans="1:13">
      <c r="A13" s="732">
        <v>12</v>
      </c>
      <c r="B13" s="731"/>
      <c r="C13" s="732"/>
      <c r="D13" s="733"/>
      <c r="E13" s="733"/>
      <c r="F13" s="10" t="str">
        <f t="shared" si="0"/>
        <v/>
      </c>
      <c r="G13" s="11" t="str">
        <f t="shared" si="1"/>
        <v/>
      </c>
      <c r="H13" s="10" t="str">
        <f t="shared" si="2"/>
        <v/>
      </c>
      <c r="I13" s="10" t="str">
        <f t="shared" si="3"/>
        <v/>
      </c>
      <c r="J13" s="10" t="str">
        <f t="shared" si="4"/>
        <v/>
      </c>
      <c r="K13" s="10" t="str">
        <f t="shared" si="5"/>
        <v/>
      </c>
      <c r="L13" s="12" t="str">
        <f t="shared" si="6"/>
        <v/>
      </c>
      <c r="M13" s="13" t="str">
        <f t="shared" si="7"/>
        <v/>
      </c>
    </row>
    <row r="14" spans="1:13">
      <c r="A14" s="732">
        <v>13</v>
      </c>
      <c r="B14" s="731"/>
      <c r="C14" s="732"/>
      <c r="D14" s="733"/>
      <c r="E14" s="733"/>
      <c r="F14" s="10" t="str">
        <f t="shared" si="0"/>
        <v/>
      </c>
      <c r="G14" s="11" t="str">
        <f t="shared" si="1"/>
        <v/>
      </c>
      <c r="H14" s="10" t="str">
        <f t="shared" si="2"/>
        <v/>
      </c>
      <c r="I14" s="10" t="str">
        <f t="shared" si="3"/>
        <v/>
      </c>
      <c r="J14" s="10" t="str">
        <f t="shared" si="4"/>
        <v/>
      </c>
      <c r="K14" s="10" t="str">
        <f t="shared" si="5"/>
        <v/>
      </c>
      <c r="L14" s="12" t="str">
        <f t="shared" si="6"/>
        <v/>
      </c>
      <c r="M14" s="13" t="str">
        <f t="shared" si="7"/>
        <v/>
      </c>
    </row>
    <row r="15" spans="1:13">
      <c r="A15" s="732">
        <v>14</v>
      </c>
      <c r="B15" s="731"/>
      <c r="C15" s="732"/>
      <c r="D15" s="733"/>
      <c r="E15" s="733"/>
      <c r="F15" s="10" t="str">
        <f t="shared" si="0"/>
        <v/>
      </c>
      <c r="G15" s="11" t="str">
        <f t="shared" si="1"/>
        <v/>
      </c>
      <c r="H15" s="10" t="str">
        <f t="shared" si="2"/>
        <v/>
      </c>
      <c r="I15" s="10" t="str">
        <f t="shared" si="3"/>
        <v/>
      </c>
      <c r="J15" s="10" t="str">
        <f t="shared" si="4"/>
        <v/>
      </c>
      <c r="K15" s="10" t="str">
        <f t="shared" si="5"/>
        <v/>
      </c>
      <c r="L15" s="12" t="str">
        <f t="shared" si="6"/>
        <v/>
      </c>
      <c r="M15" s="13" t="str">
        <f t="shared" si="7"/>
        <v/>
      </c>
    </row>
    <row r="16" spans="1:13">
      <c r="A16" s="732">
        <v>15</v>
      </c>
      <c r="B16" s="731"/>
      <c r="C16" s="732"/>
      <c r="D16" s="733"/>
      <c r="E16" s="733"/>
      <c r="F16" s="10" t="str">
        <f t="shared" si="0"/>
        <v/>
      </c>
      <c r="G16" s="11" t="str">
        <f t="shared" si="1"/>
        <v/>
      </c>
      <c r="H16" s="10" t="str">
        <f t="shared" si="2"/>
        <v/>
      </c>
      <c r="I16" s="10" t="str">
        <f t="shared" si="3"/>
        <v/>
      </c>
      <c r="J16" s="10" t="str">
        <f t="shared" si="4"/>
        <v/>
      </c>
      <c r="K16" s="10" t="str">
        <f t="shared" si="5"/>
        <v/>
      </c>
      <c r="L16" s="12" t="str">
        <f t="shared" si="6"/>
        <v/>
      </c>
      <c r="M16" s="13" t="str">
        <f t="shared" si="7"/>
        <v/>
      </c>
    </row>
    <row r="17" spans="1:13">
      <c r="A17" s="732"/>
      <c r="B17" s="731"/>
      <c r="C17" s="732"/>
      <c r="D17" s="733"/>
      <c r="E17" s="733"/>
      <c r="F17" s="10" t="str">
        <f t="shared" si="0"/>
        <v/>
      </c>
      <c r="G17" s="11" t="str">
        <f t="shared" si="1"/>
        <v/>
      </c>
      <c r="H17" s="10" t="str">
        <f t="shared" si="2"/>
        <v/>
      </c>
      <c r="I17" s="10" t="str">
        <f t="shared" si="3"/>
        <v/>
      </c>
      <c r="J17" s="10" t="str">
        <f t="shared" si="4"/>
        <v/>
      </c>
      <c r="K17" s="10" t="str">
        <f t="shared" si="5"/>
        <v/>
      </c>
      <c r="L17" s="12" t="str">
        <f t="shared" si="6"/>
        <v/>
      </c>
      <c r="M17" s="13" t="str">
        <f t="shared" si="7"/>
        <v/>
      </c>
    </row>
    <row r="18" spans="1:13">
      <c r="A18" s="732"/>
      <c r="B18" s="731"/>
      <c r="C18" s="732"/>
      <c r="D18" s="733"/>
      <c r="E18" s="733"/>
      <c r="F18" s="10" t="str">
        <f t="shared" si="0"/>
        <v/>
      </c>
      <c r="G18" s="11" t="str">
        <f t="shared" si="1"/>
        <v/>
      </c>
      <c r="H18" s="10" t="str">
        <f t="shared" si="2"/>
        <v/>
      </c>
      <c r="I18" s="10" t="str">
        <f t="shared" si="3"/>
        <v/>
      </c>
      <c r="J18" s="10" t="str">
        <f t="shared" si="4"/>
        <v/>
      </c>
      <c r="K18" s="10" t="str">
        <f t="shared" si="5"/>
        <v/>
      </c>
      <c r="L18" s="12" t="str">
        <f t="shared" si="6"/>
        <v/>
      </c>
      <c r="M18" s="13" t="str">
        <f t="shared" si="7"/>
        <v/>
      </c>
    </row>
    <row r="19" spans="1:13">
      <c r="A19" s="732"/>
      <c r="B19" s="731"/>
      <c r="C19" s="732"/>
      <c r="D19" s="733"/>
      <c r="E19" s="733"/>
      <c r="F19" s="10" t="str">
        <f t="shared" si="0"/>
        <v/>
      </c>
      <c r="G19" s="11" t="str">
        <f t="shared" si="1"/>
        <v/>
      </c>
      <c r="H19" s="10" t="str">
        <f t="shared" si="2"/>
        <v/>
      </c>
      <c r="I19" s="10" t="str">
        <f t="shared" si="3"/>
        <v/>
      </c>
      <c r="J19" s="10" t="str">
        <f t="shared" si="4"/>
        <v/>
      </c>
      <c r="K19" s="10" t="str">
        <f t="shared" si="5"/>
        <v/>
      </c>
      <c r="L19" s="12" t="str">
        <f t="shared" si="6"/>
        <v/>
      </c>
      <c r="M19" s="13" t="str">
        <f t="shared" si="7"/>
        <v/>
      </c>
    </row>
    <row r="20" spans="1:13">
      <c r="A20" s="732"/>
      <c r="B20" s="731"/>
      <c r="C20" s="732"/>
      <c r="D20" s="733"/>
      <c r="E20" s="733"/>
      <c r="F20" s="10" t="str">
        <f t="shared" si="0"/>
        <v/>
      </c>
      <c r="G20" s="11" t="str">
        <f t="shared" si="1"/>
        <v/>
      </c>
      <c r="H20" s="10" t="str">
        <f t="shared" si="2"/>
        <v/>
      </c>
      <c r="I20" s="10" t="str">
        <f t="shared" si="3"/>
        <v/>
      </c>
      <c r="J20" s="10" t="str">
        <f t="shared" si="4"/>
        <v/>
      </c>
      <c r="K20" s="10" t="str">
        <f t="shared" si="5"/>
        <v/>
      </c>
      <c r="L20" s="12" t="str">
        <f t="shared" si="6"/>
        <v/>
      </c>
      <c r="M20" s="13" t="str">
        <f t="shared" si="7"/>
        <v/>
      </c>
    </row>
    <row r="21" spans="1:13">
      <c r="A21" s="732"/>
      <c r="B21" s="731"/>
      <c r="C21" s="732"/>
      <c r="D21" s="733"/>
      <c r="E21" s="733"/>
      <c r="F21" s="10" t="str">
        <f t="shared" si="0"/>
        <v/>
      </c>
      <c r="G21" s="11" t="str">
        <f t="shared" si="1"/>
        <v/>
      </c>
      <c r="H21" s="10" t="str">
        <f t="shared" si="2"/>
        <v/>
      </c>
      <c r="I21" s="10" t="str">
        <f t="shared" si="3"/>
        <v/>
      </c>
      <c r="J21" s="10" t="str">
        <f t="shared" si="4"/>
        <v/>
      </c>
      <c r="K21" s="10" t="str">
        <f t="shared" si="5"/>
        <v/>
      </c>
      <c r="L21" s="12" t="str">
        <f t="shared" si="6"/>
        <v/>
      </c>
      <c r="M21" s="13" t="str">
        <f t="shared" si="7"/>
        <v/>
      </c>
    </row>
    <row r="22" spans="1:13">
      <c r="A22" s="732"/>
      <c r="B22" s="731"/>
      <c r="C22" s="732"/>
      <c r="D22" s="733"/>
      <c r="E22" s="733"/>
      <c r="F22" s="10" t="str">
        <f t="shared" si="0"/>
        <v/>
      </c>
      <c r="G22" s="11" t="str">
        <f t="shared" si="1"/>
        <v/>
      </c>
      <c r="H22" s="10" t="str">
        <f t="shared" si="2"/>
        <v/>
      </c>
      <c r="I22" s="10" t="str">
        <f t="shared" si="3"/>
        <v/>
      </c>
      <c r="J22" s="10" t="str">
        <f t="shared" si="4"/>
        <v/>
      </c>
      <c r="K22" s="10" t="str">
        <f t="shared" si="5"/>
        <v/>
      </c>
      <c r="L22" s="12" t="str">
        <f t="shared" si="6"/>
        <v/>
      </c>
      <c r="M22" s="13" t="str">
        <f t="shared" si="7"/>
        <v/>
      </c>
    </row>
    <row r="23" spans="1:13">
      <c r="A23" s="732"/>
      <c r="B23" s="731"/>
      <c r="C23" s="732"/>
      <c r="D23" s="733"/>
      <c r="E23" s="733"/>
      <c r="F23" s="10" t="str">
        <f t="shared" si="0"/>
        <v/>
      </c>
      <c r="G23" s="11" t="str">
        <f t="shared" si="1"/>
        <v/>
      </c>
      <c r="H23" s="10" t="str">
        <f t="shared" si="2"/>
        <v/>
      </c>
      <c r="I23" s="10" t="str">
        <f t="shared" si="3"/>
        <v/>
      </c>
      <c r="J23" s="10" t="str">
        <f t="shared" si="4"/>
        <v/>
      </c>
      <c r="K23" s="10" t="str">
        <f t="shared" si="5"/>
        <v/>
      </c>
      <c r="L23" s="12" t="str">
        <f t="shared" si="6"/>
        <v/>
      </c>
      <c r="M23" s="13" t="str">
        <f t="shared" si="7"/>
        <v/>
      </c>
    </row>
    <row r="24" spans="1:13">
      <c r="A24" s="732"/>
      <c r="B24" s="731"/>
      <c r="C24" s="732"/>
      <c r="D24" s="733"/>
      <c r="E24" s="733"/>
      <c r="F24" s="10" t="str">
        <f t="shared" si="0"/>
        <v/>
      </c>
      <c r="G24" s="11" t="str">
        <f t="shared" si="1"/>
        <v/>
      </c>
      <c r="H24" s="10" t="str">
        <f t="shared" si="2"/>
        <v/>
      </c>
      <c r="I24" s="10" t="str">
        <f t="shared" si="3"/>
        <v/>
      </c>
      <c r="J24" s="10" t="str">
        <f t="shared" si="4"/>
        <v/>
      </c>
      <c r="K24" s="10" t="str">
        <f t="shared" si="5"/>
        <v/>
      </c>
      <c r="L24" s="12" t="str">
        <f t="shared" si="6"/>
        <v/>
      </c>
      <c r="M24" s="13" t="str">
        <f t="shared" si="7"/>
        <v/>
      </c>
    </row>
    <row r="25" spans="1:13">
      <c r="A25" s="732"/>
      <c r="B25" s="731"/>
      <c r="C25" s="732"/>
      <c r="D25" s="733"/>
      <c r="E25" s="733"/>
      <c r="F25" s="10" t="str">
        <f t="shared" si="0"/>
        <v/>
      </c>
      <c r="G25" s="11" t="str">
        <f t="shared" si="1"/>
        <v/>
      </c>
      <c r="H25" s="10" t="str">
        <f t="shared" si="2"/>
        <v/>
      </c>
      <c r="I25" s="10" t="str">
        <f t="shared" si="3"/>
        <v/>
      </c>
      <c r="J25" s="10" t="str">
        <f t="shared" si="4"/>
        <v/>
      </c>
      <c r="K25" s="10" t="str">
        <f t="shared" si="5"/>
        <v/>
      </c>
      <c r="L25" s="12" t="str">
        <f t="shared" si="6"/>
        <v/>
      </c>
      <c r="M25" s="13" t="str">
        <f t="shared" si="7"/>
        <v/>
      </c>
    </row>
    <row r="26" spans="1:13">
      <c r="A26" s="732"/>
      <c r="B26" s="731"/>
      <c r="C26" s="732"/>
      <c r="D26" s="733"/>
      <c r="E26" s="733"/>
      <c r="F26" s="10" t="str">
        <f t="shared" si="0"/>
        <v/>
      </c>
      <c r="G26" s="11" t="str">
        <f t="shared" si="1"/>
        <v/>
      </c>
      <c r="H26" s="10" t="str">
        <f t="shared" si="2"/>
        <v/>
      </c>
      <c r="I26" s="10" t="str">
        <f t="shared" si="3"/>
        <v/>
      </c>
      <c r="J26" s="10" t="str">
        <f t="shared" si="4"/>
        <v/>
      </c>
      <c r="K26" s="10" t="str">
        <f t="shared" si="5"/>
        <v/>
      </c>
      <c r="L26" s="12" t="str">
        <f t="shared" si="6"/>
        <v/>
      </c>
      <c r="M26" s="13" t="str">
        <f t="shared" si="7"/>
        <v/>
      </c>
    </row>
    <row r="27" spans="1:13">
      <c r="A27" s="732"/>
      <c r="B27" s="731"/>
      <c r="C27" s="732"/>
      <c r="D27" s="733"/>
      <c r="E27" s="733"/>
      <c r="F27" s="10" t="str">
        <f t="shared" si="0"/>
        <v/>
      </c>
      <c r="G27" s="11" t="str">
        <f t="shared" si="1"/>
        <v/>
      </c>
      <c r="H27" s="10" t="str">
        <f t="shared" si="2"/>
        <v/>
      </c>
      <c r="I27" s="10" t="str">
        <f t="shared" si="3"/>
        <v/>
      </c>
      <c r="J27" s="10" t="str">
        <f t="shared" si="4"/>
        <v/>
      </c>
      <c r="K27" s="10" t="str">
        <f t="shared" si="5"/>
        <v/>
      </c>
      <c r="L27" s="12" t="str">
        <f t="shared" si="6"/>
        <v/>
      </c>
      <c r="M27" s="13" t="str">
        <f t="shared" si="7"/>
        <v/>
      </c>
    </row>
    <row r="28" spans="1:13">
      <c r="A28" s="732"/>
      <c r="B28" s="731"/>
      <c r="C28" s="732"/>
      <c r="D28" s="733"/>
      <c r="E28" s="733"/>
      <c r="F28" s="10" t="str">
        <f t="shared" si="0"/>
        <v/>
      </c>
      <c r="G28" s="11" t="str">
        <f t="shared" si="1"/>
        <v/>
      </c>
      <c r="H28" s="10" t="str">
        <f t="shared" si="2"/>
        <v/>
      </c>
      <c r="I28" s="10" t="str">
        <f t="shared" si="3"/>
        <v/>
      </c>
      <c r="J28" s="10" t="str">
        <f t="shared" si="4"/>
        <v/>
      </c>
      <c r="K28" s="10" t="str">
        <f t="shared" si="5"/>
        <v/>
      </c>
      <c r="L28" s="12" t="str">
        <f t="shared" si="6"/>
        <v/>
      </c>
      <c r="M28" s="13" t="str">
        <f t="shared" si="7"/>
        <v/>
      </c>
    </row>
    <row r="29" spans="1:13">
      <c r="A29" s="732"/>
      <c r="B29" s="731"/>
      <c r="C29" s="732"/>
      <c r="D29" s="733"/>
      <c r="E29" s="733"/>
      <c r="F29" s="10" t="str">
        <f t="shared" si="0"/>
        <v/>
      </c>
      <c r="G29" s="11" t="str">
        <f t="shared" si="1"/>
        <v/>
      </c>
      <c r="H29" s="10" t="str">
        <f t="shared" si="2"/>
        <v/>
      </c>
      <c r="I29" s="10" t="str">
        <f t="shared" si="3"/>
        <v/>
      </c>
      <c r="J29" s="10" t="str">
        <f t="shared" si="4"/>
        <v/>
      </c>
      <c r="K29" s="10" t="str">
        <f t="shared" si="5"/>
        <v/>
      </c>
      <c r="L29" s="12" t="str">
        <f t="shared" si="6"/>
        <v/>
      </c>
      <c r="M29" s="13" t="str">
        <f t="shared" si="7"/>
        <v/>
      </c>
    </row>
    <row r="30" spans="1:13">
      <c r="A30" s="732"/>
      <c r="B30" s="731"/>
      <c r="C30" s="732"/>
      <c r="D30" s="733"/>
      <c r="E30" s="733"/>
      <c r="F30" s="10" t="str">
        <f t="shared" si="0"/>
        <v/>
      </c>
      <c r="G30" s="11" t="str">
        <f t="shared" si="1"/>
        <v/>
      </c>
      <c r="H30" s="10" t="str">
        <f t="shared" si="2"/>
        <v/>
      </c>
      <c r="I30" s="10" t="str">
        <f t="shared" si="3"/>
        <v/>
      </c>
      <c r="J30" s="10" t="str">
        <f t="shared" si="4"/>
        <v/>
      </c>
      <c r="K30" s="10" t="str">
        <f t="shared" si="5"/>
        <v/>
      </c>
      <c r="L30" s="12" t="str">
        <f t="shared" si="6"/>
        <v/>
      </c>
      <c r="M30" s="13" t="str">
        <f t="shared" si="7"/>
        <v/>
      </c>
    </row>
    <row r="31" spans="1:13">
      <c r="A31" s="732"/>
      <c r="B31" s="731"/>
      <c r="C31" s="732"/>
      <c r="D31" s="733"/>
      <c r="E31" s="733"/>
      <c r="F31" s="10" t="str">
        <f t="shared" si="0"/>
        <v/>
      </c>
      <c r="G31" s="11" t="str">
        <f t="shared" si="1"/>
        <v/>
      </c>
      <c r="H31" s="10" t="str">
        <f t="shared" si="2"/>
        <v/>
      </c>
      <c r="I31" s="10" t="str">
        <f t="shared" si="3"/>
        <v/>
      </c>
      <c r="J31" s="10" t="str">
        <f t="shared" si="4"/>
        <v/>
      </c>
      <c r="K31" s="10" t="str">
        <f t="shared" si="5"/>
        <v/>
      </c>
      <c r="L31" s="12" t="str">
        <f t="shared" si="6"/>
        <v/>
      </c>
      <c r="M31" s="13" t="str">
        <f t="shared" si="7"/>
        <v/>
      </c>
    </row>
    <row r="32" spans="1:13">
      <c r="A32" s="732"/>
      <c r="B32" s="731"/>
      <c r="C32" s="732"/>
      <c r="D32" s="733"/>
      <c r="E32" s="733"/>
      <c r="F32" s="10" t="str">
        <f t="shared" si="0"/>
        <v/>
      </c>
      <c r="G32" s="11" t="str">
        <f t="shared" si="1"/>
        <v/>
      </c>
      <c r="H32" s="10" t="str">
        <f t="shared" si="2"/>
        <v/>
      </c>
      <c r="I32" s="10" t="str">
        <f t="shared" si="3"/>
        <v/>
      </c>
      <c r="J32" s="10" t="str">
        <f t="shared" si="4"/>
        <v/>
      </c>
      <c r="K32" s="10" t="str">
        <f t="shared" si="5"/>
        <v/>
      </c>
      <c r="L32" s="12" t="str">
        <f t="shared" si="6"/>
        <v/>
      </c>
      <c r="M32" s="13" t="str">
        <f t="shared" si="7"/>
        <v/>
      </c>
    </row>
    <row r="33" spans="1:13">
      <c r="A33" s="732"/>
      <c r="B33" s="731"/>
      <c r="C33" s="732"/>
      <c r="D33" s="733"/>
      <c r="E33" s="733"/>
      <c r="F33" s="10" t="str">
        <f t="shared" si="0"/>
        <v/>
      </c>
      <c r="G33" s="11" t="str">
        <f t="shared" si="1"/>
        <v/>
      </c>
      <c r="H33" s="10" t="str">
        <f t="shared" si="2"/>
        <v/>
      </c>
      <c r="I33" s="10" t="str">
        <f t="shared" si="3"/>
        <v/>
      </c>
      <c r="J33" s="10" t="str">
        <f t="shared" si="4"/>
        <v/>
      </c>
      <c r="K33" s="10" t="str">
        <f t="shared" si="5"/>
        <v/>
      </c>
      <c r="L33" s="12" t="str">
        <f t="shared" si="6"/>
        <v/>
      </c>
      <c r="M33" s="13" t="str">
        <f t="shared" si="7"/>
        <v/>
      </c>
    </row>
    <row r="34" spans="1:13">
      <c r="A34" s="732"/>
      <c r="B34" s="731"/>
      <c r="C34" s="732"/>
      <c r="D34" s="733"/>
      <c r="E34" s="733"/>
      <c r="F34" s="10" t="str">
        <f t="shared" si="0"/>
        <v/>
      </c>
      <c r="G34" s="11" t="str">
        <f t="shared" si="1"/>
        <v/>
      </c>
      <c r="H34" s="10" t="str">
        <f t="shared" si="2"/>
        <v/>
      </c>
      <c r="I34" s="10" t="str">
        <f t="shared" si="3"/>
        <v/>
      </c>
      <c r="J34" s="10" t="str">
        <f t="shared" si="4"/>
        <v/>
      </c>
      <c r="K34" s="10" t="str">
        <f t="shared" si="5"/>
        <v/>
      </c>
      <c r="L34" s="12" t="str">
        <f t="shared" si="6"/>
        <v/>
      </c>
      <c r="M34" s="13" t="str">
        <f t="shared" si="7"/>
        <v/>
      </c>
    </row>
    <row r="35" spans="1:13">
      <c r="A35" s="732"/>
      <c r="B35" s="731"/>
      <c r="C35" s="732"/>
      <c r="D35" s="733"/>
      <c r="E35" s="733"/>
      <c r="F35" s="10" t="str">
        <f t="shared" si="0"/>
        <v/>
      </c>
      <c r="G35" s="11" t="str">
        <f t="shared" si="1"/>
        <v/>
      </c>
      <c r="H35" s="10" t="str">
        <f t="shared" si="2"/>
        <v/>
      </c>
      <c r="I35" s="10" t="str">
        <f t="shared" si="3"/>
        <v/>
      </c>
      <c r="J35" s="10" t="str">
        <f t="shared" si="4"/>
        <v/>
      </c>
      <c r="K35" s="10" t="str">
        <f t="shared" si="5"/>
        <v/>
      </c>
      <c r="L35" s="12" t="str">
        <f t="shared" si="6"/>
        <v/>
      </c>
      <c r="M35" s="13" t="str">
        <f t="shared" si="7"/>
        <v/>
      </c>
    </row>
    <row r="36" spans="1:13">
      <c r="A36" s="732"/>
      <c r="B36" s="731"/>
      <c r="C36" s="732"/>
      <c r="D36" s="733"/>
      <c r="E36" s="733"/>
      <c r="F36" s="10" t="str">
        <f t="shared" si="0"/>
        <v/>
      </c>
      <c r="G36" s="11" t="str">
        <f t="shared" si="1"/>
        <v/>
      </c>
      <c r="H36" s="10" t="str">
        <f t="shared" si="2"/>
        <v/>
      </c>
      <c r="I36" s="10" t="str">
        <f t="shared" si="3"/>
        <v/>
      </c>
      <c r="J36" s="10" t="str">
        <f t="shared" si="4"/>
        <v/>
      </c>
      <c r="K36" s="10" t="str">
        <f t="shared" si="5"/>
        <v/>
      </c>
      <c r="L36" s="12" t="str">
        <f t="shared" si="6"/>
        <v/>
      </c>
      <c r="M36" s="13" t="str">
        <f t="shared" si="7"/>
        <v/>
      </c>
    </row>
    <row r="37" spans="1:13">
      <c r="A37" s="732"/>
      <c r="B37" s="731"/>
      <c r="C37" s="732"/>
      <c r="D37" s="733"/>
      <c r="E37" s="733"/>
      <c r="F37" s="10" t="str">
        <f t="shared" si="0"/>
        <v/>
      </c>
      <c r="G37" s="11" t="str">
        <f t="shared" si="1"/>
        <v/>
      </c>
      <c r="H37" s="10" t="str">
        <f t="shared" si="2"/>
        <v/>
      </c>
      <c r="I37" s="10" t="str">
        <f t="shared" si="3"/>
        <v/>
      </c>
      <c r="J37" s="10" t="str">
        <f t="shared" si="4"/>
        <v/>
      </c>
      <c r="K37" s="10" t="str">
        <f t="shared" si="5"/>
        <v/>
      </c>
      <c r="L37" s="12" t="str">
        <f t="shared" si="6"/>
        <v/>
      </c>
      <c r="M37" s="13" t="str">
        <f t="shared" si="7"/>
        <v/>
      </c>
    </row>
    <row r="38" spans="1:13">
      <c r="A38" s="732"/>
      <c r="B38" s="731"/>
      <c r="C38" s="732"/>
      <c r="D38" s="733"/>
      <c r="E38" s="733"/>
      <c r="F38" s="10" t="str">
        <f t="shared" si="0"/>
        <v/>
      </c>
      <c r="G38" s="11" t="str">
        <f t="shared" si="1"/>
        <v/>
      </c>
      <c r="H38" s="10" t="str">
        <f t="shared" si="2"/>
        <v/>
      </c>
      <c r="I38" s="10" t="str">
        <f t="shared" si="3"/>
        <v/>
      </c>
      <c r="J38" s="10" t="str">
        <f t="shared" si="4"/>
        <v/>
      </c>
      <c r="K38" s="10" t="str">
        <f t="shared" si="5"/>
        <v/>
      </c>
      <c r="L38" s="12" t="str">
        <f t="shared" si="6"/>
        <v/>
      </c>
      <c r="M38" s="13" t="str">
        <f t="shared" si="7"/>
        <v/>
      </c>
    </row>
    <row r="39" spans="1:13">
      <c r="A39" s="732"/>
      <c r="B39" s="731"/>
      <c r="C39" s="732"/>
      <c r="D39" s="733"/>
      <c r="E39" s="733"/>
      <c r="F39" s="10" t="str">
        <f t="shared" si="0"/>
        <v/>
      </c>
      <c r="G39" s="11" t="str">
        <f t="shared" si="1"/>
        <v/>
      </c>
      <c r="H39" s="10" t="str">
        <f t="shared" si="2"/>
        <v/>
      </c>
      <c r="I39" s="10" t="str">
        <f t="shared" si="3"/>
        <v/>
      </c>
      <c r="J39" s="10" t="str">
        <f t="shared" si="4"/>
        <v/>
      </c>
      <c r="K39" s="10" t="str">
        <f t="shared" si="5"/>
        <v/>
      </c>
      <c r="L39" s="12" t="str">
        <f t="shared" si="6"/>
        <v/>
      </c>
      <c r="M39" s="13" t="str">
        <f t="shared" si="7"/>
        <v/>
      </c>
    </row>
    <row r="40" spans="1:13">
      <c r="B40" s="737"/>
      <c r="C40" s="738" t="s">
        <v>920</v>
      </c>
      <c r="D40" s="739">
        <f>AVERAGE(D2:D39)</f>
        <v>2.5914285714285716</v>
      </c>
      <c r="E40" s="739">
        <f>AVERAGE(E2:E39)</f>
        <v>35.291428571428568</v>
      </c>
      <c r="F40" s="10">
        <f t="shared" si="0"/>
        <v>13.618522601984562</v>
      </c>
      <c r="G40" s="11" t="str">
        <f t="shared" si="1"/>
        <v/>
      </c>
      <c r="H40" s="10" t="str">
        <f t="shared" si="2"/>
        <v/>
      </c>
      <c r="I40" s="10" t="str">
        <f t="shared" si="3"/>
        <v/>
      </c>
      <c r="J40" s="10" t="str">
        <f t="shared" si="4"/>
        <v/>
      </c>
      <c r="K40" s="10" t="str">
        <f t="shared" si="5"/>
        <v/>
      </c>
      <c r="L40" s="12" t="str">
        <f t="shared" si="6"/>
        <v/>
      </c>
      <c r="M40" s="13" t="str">
        <f t="shared" si="7"/>
        <v/>
      </c>
    </row>
    <row r="41" spans="1:13">
      <c r="E41" s="21">
        <f>SUM(E2:E39)</f>
        <v>247.04</v>
      </c>
      <c r="F41" s="22">
        <f>SUM(F2:F39)</f>
        <v>96.070482101606871</v>
      </c>
      <c r="G41" s="23">
        <f>SUM(G2:G39)</f>
        <v>1719.7</v>
      </c>
    </row>
  </sheetData>
  <sheetProtection selectLockedCells="1" selectUnlockedCells="1"/>
  <conditionalFormatting sqref="L2:M40">
    <cfRule type="cellIs" dxfId="4" priority="1" stopIfTrue="1" operator="lessThan">
      <formula>0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Plan97"/>
  <dimension ref="A1:N76"/>
  <sheetViews>
    <sheetView workbookViewId="0">
      <pane xSplit="13" ySplit="1" topLeftCell="N62" activePane="bottomRight" state="frozen"/>
      <selection pane="bottomRight" activeCell="N1" sqref="N1"/>
      <selection pane="bottomLeft" activeCell="A49" sqref="A49"/>
      <selection pane="topRight" activeCell="N1" sqref="N1"/>
    </sheetView>
  </sheetViews>
  <sheetFormatPr defaultColWidth="11.7109375" defaultRowHeight="13.5"/>
  <cols>
    <col min="1" max="1" width="4.42578125" style="3" customWidth="1"/>
    <col min="2" max="2" width="12.42578125" style="3" customWidth="1"/>
    <col min="3" max="3" width="14.85546875" style="3" customWidth="1"/>
    <col min="4" max="5" width="13.7109375" style="3" customWidth="1"/>
    <col min="6" max="7" width="11.28515625" style="3" customWidth="1"/>
    <col min="8" max="8" width="8.28515625" style="3" customWidth="1"/>
    <col min="9" max="9" width="10.140625" style="3" customWidth="1"/>
    <col min="10" max="11" width="7.85546875" style="3" customWidth="1"/>
    <col min="12" max="12" width="11.42578125" style="3" customWidth="1"/>
    <col min="13" max="13" width="10.140625" style="3" customWidth="1"/>
    <col min="14" max="14" width="11.7109375" style="3"/>
    <col min="15" max="15" width="15.5703125" style="3" customWidth="1"/>
    <col min="16" max="16384" width="11.7109375" style="3"/>
  </cols>
  <sheetData>
    <row r="1" spans="1:13">
      <c r="A1" s="741" t="s">
        <v>906</v>
      </c>
      <c r="B1" s="741" t="s">
        <v>0</v>
      </c>
      <c r="C1" s="741" t="s">
        <v>907</v>
      </c>
      <c r="D1" s="741" t="s">
        <v>908</v>
      </c>
      <c r="E1" s="741" t="s">
        <v>909</v>
      </c>
      <c r="F1" s="741" t="s">
        <v>910</v>
      </c>
      <c r="G1" s="741" t="s">
        <v>911</v>
      </c>
      <c r="H1" s="741" t="s">
        <v>912</v>
      </c>
      <c r="I1" s="741" t="s">
        <v>913</v>
      </c>
      <c r="J1" s="741" t="s">
        <v>914</v>
      </c>
      <c r="K1" s="741" t="s">
        <v>915</v>
      </c>
      <c r="L1" s="742" t="s">
        <v>916</v>
      </c>
      <c r="M1" s="741" t="s">
        <v>917</v>
      </c>
    </row>
    <row r="2" spans="1:13">
      <c r="A2" s="732">
        <v>1</v>
      </c>
      <c r="B2" s="731">
        <v>39078</v>
      </c>
      <c r="C2" s="732">
        <v>17711</v>
      </c>
      <c r="D2" s="733">
        <v>2.4489999999999998</v>
      </c>
      <c r="E2" s="733">
        <v>30</v>
      </c>
      <c r="F2" s="10">
        <f>IF(D2&lt;&gt;"",E2/D2,"")</f>
        <v>12.249897917517355</v>
      </c>
      <c r="G2" s="11"/>
      <c r="H2" s="10"/>
      <c r="I2" s="10"/>
      <c r="J2" s="10"/>
      <c r="K2" s="10"/>
      <c r="L2" s="12"/>
      <c r="M2" s="13"/>
    </row>
    <row r="3" spans="1:13">
      <c r="A3" s="732">
        <v>2</v>
      </c>
      <c r="B3" s="731">
        <v>39085</v>
      </c>
      <c r="C3" s="732">
        <v>17749</v>
      </c>
      <c r="D3" s="733">
        <v>2.399</v>
      </c>
      <c r="E3" s="733">
        <v>20</v>
      </c>
      <c r="F3" s="10">
        <f t="shared" ref="F3:F66" si="0">IF(D3&lt;&gt;"",E3/D3,"")</f>
        <v>8.3368070029178831</v>
      </c>
      <c r="G3" s="11">
        <f>IF(B3="","",C3-C2)</f>
        <v>38</v>
      </c>
      <c r="H3" s="10">
        <f>IF(B3="","",B3-B2)</f>
        <v>7</v>
      </c>
      <c r="I3" s="10">
        <f t="shared" ref="I3:I66" si="1">IF(G3="","",G3/F2)</f>
        <v>3.1020666666666665</v>
      </c>
      <c r="J3" s="10">
        <f t="shared" ref="J3:J66" si="2">IF(G3&lt;&gt;"",IF(H3&gt;0,G3/H3,G3),"" )</f>
        <v>5.4285714285714288</v>
      </c>
      <c r="K3" s="10">
        <f>IF(H3="","",IF(H3=0,F3,F2/H3))</f>
        <v>1.7499854167881936</v>
      </c>
      <c r="L3" s="12">
        <f t="shared" ref="L3:L66" si="3">IF(H3="","",IF(H3=0,D2,D2/H3))</f>
        <v>0.34985714285714281</v>
      </c>
      <c r="M3" s="13">
        <f t="shared" ref="M3:M66" si="4">IF(G3="","",D2/G3)</f>
        <v>6.4447368421052628E-2</v>
      </c>
    </row>
    <row r="4" spans="1:13">
      <c r="A4" s="732">
        <v>3</v>
      </c>
      <c r="B4" s="731">
        <v>39086</v>
      </c>
      <c r="C4" s="732">
        <v>17789</v>
      </c>
      <c r="D4" s="733">
        <v>2.399</v>
      </c>
      <c r="E4" s="733">
        <v>87.02</v>
      </c>
      <c r="F4" s="10">
        <f t="shared" si="0"/>
        <v>36.273447269695701</v>
      </c>
      <c r="G4" s="11">
        <f t="shared" ref="G4:G67" si="5">IF(B4="","",C4-C3)</f>
        <v>40</v>
      </c>
      <c r="H4" s="10">
        <f t="shared" ref="H4:H67" si="6">IF(B4="","",B4-B3)</f>
        <v>1</v>
      </c>
      <c r="I4" s="10">
        <f t="shared" si="1"/>
        <v>4.798</v>
      </c>
      <c r="J4" s="10">
        <f t="shared" si="2"/>
        <v>40</v>
      </c>
      <c r="K4" s="10">
        <f t="shared" ref="K4:K67" si="7">IF(H4="","",IF(H4=0,F4,F3/H4))</f>
        <v>8.3368070029178831</v>
      </c>
      <c r="L4" s="12">
        <f t="shared" si="3"/>
        <v>2.399</v>
      </c>
      <c r="M4" s="13">
        <f t="shared" si="4"/>
        <v>5.9975000000000001E-2</v>
      </c>
    </row>
    <row r="5" spans="1:13">
      <c r="A5" s="732">
        <v>4</v>
      </c>
      <c r="B5" s="731">
        <v>39089</v>
      </c>
      <c r="C5" s="732">
        <v>18208</v>
      </c>
      <c r="D5" s="733">
        <v>2.536</v>
      </c>
      <c r="E5" s="733">
        <v>85.8</v>
      </c>
      <c r="F5" s="10">
        <f t="shared" si="0"/>
        <v>33.83280757097792</v>
      </c>
      <c r="G5" s="11">
        <f t="shared" si="5"/>
        <v>419</v>
      </c>
      <c r="H5" s="10">
        <f t="shared" si="6"/>
        <v>3</v>
      </c>
      <c r="I5" s="10">
        <f t="shared" si="1"/>
        <v>11.55114916111239</v>
      </c>
      <c r="J5" s="10">
        <f t="shared" si="2"/>
        <v>139.66666666666666</v>
      </c>
      <c r="K5" s="10">
        <f t="shared" si="7"/>
        <v>12.091149089898567</v>
      </c>
      <c r="L5" s="12">
        <f t="shared" si="3"/>
        <v>0.79966666666666664</v>
      </c>
      <c r="M5" s="13">
        <f t="shared" si="4"/>
        <v>5.7255369928400955E-3</v>
      </c>
    </row>
    <row r="6" spans="1:13">
      <c r="A6" s="732">
        <v>5</v>
      </c>
      <c r="B6" s="731">
        <v>39109</v>
      </c>
      <c r="C6" s="732">
        <v>18749</v>
      </c>
      <c r="D6" s="733">
        <v>2.278</v>
      </c>
      <c r="E6" s="733">
        <v>50</v>
      </c>
      <c r="F6" s="10">
        <f t="shared" si="0"/>
        <v>21.949078138718175</v>
      </c>
      <c r="G6" s="11">
        <f t="shared" si="5"/>
        <v>541</v>
      </c>
      <c r="H6" s="10">
        <f t="shared" si="6"/>
        <v>20</v>
      </c>
      <c r="I6" s="10">
        <f t="shared" si="1"/>
        <v>15.990396270396269</v>
      </c>
      <c r="J6" s="10">
        <f t="shared" si="2"/>
        <v>27.05</v>
      </c>
      <c r="K6" s="10">
        <f t="shared" si="7"/>
        <v>1.691640378548896</v>
      </c>
      <c r="L6" s="12">
        <f t="shared" si="3"/>
        <v>0.1268</v>
      </c>
      <c r="M6" s="13">
        <f t="shared" si="4"/>
        <v>4.6876155268022182E-3</v>
      </c>
    </row>
    <row r="7" spans="1:13">
      <c r="A7" s="732">
        <v>6</v>
      </c>
      <c r="B7" s="731">
        <v>39122</v>
      </c>
      <c r="C7" s="732">
        <v>18832</v>
      </c>
      <c r="D7" s="733">
        <v>2.399</v>
      </c>
      <c r="E7" s="733">
        <v>64.010000000000005</v>
      </c>
      <c r="F7" s="10">
        <f t="shared" si="0"/>
        <v>26.681950812838686</v>
      </c>
      <c r="G7" s="11">
        <f t="shared" si="5"/>
        <v>83</v>
      </c>
      <c r="H7" s="10">
        <f t="shared" si="6"/>
        <v>13</v>
      </c>
      <c r="I7" s="10">
        <f t="shared" si="1"/>
        <v>3.7814799999999997</v>
      </c>
      <c r="J7" s="10">
        <f t="shared" si="2"/>
        <v>6.384615384615385</v>
      </c>
      <c r="K7" s="10">
        <f t="shared" si="7"/>
        <v>1.6883906260552441</v>
      </c>
      <c r="L7" s="12">
        <f t="shared" si="3"/>
        <v>0.17523076923076925</v>
      </c>
      <c r="M7" s="13">
        <f t="shared" si="4"/>
        <v>2.744578313253012E-2</v>
      </c>
    </row>
    <row r="8" spans="1:13">
      <c r="A8" s="732">
        <v>7</v>
      </c>
      <c r="B8" s="731">
        <v>39124</v>
      </c>
      <c r="C8" s="732">
        <v>19230</v>
      </c>
      <c r="D8" s="733">
        <v>2.5939999999999999</v>
      </c>
      <c r="E8" s="733">
        <v>98.49</v>
      </c>
      <c r="F8" s="10">
        <f t="shared" si="0"/>
        <v>37.968388589051656</v>
      </c>
      <c r="G8" s="11">
        <f t="shared" si="5"/>
        <v>398</v>
      </c>
      <c r="H8" s="10">
        <f t="shared" si="6"/>
        <v>2</v>
      </c>
      <c r="I8" s="10">
        <f t="shared" si="1"/>
        <v>14.916450554600843</v>
      </c>
      <c r="J8" s="10">
        <f t="shared" si="2"/>
        <v>199</v>
      </c>
      <c r="K8" s="10">
        <f t="shared" si="7"/>
        <v>13.340975406419343</v>
      </c>
      <c r="L8" s="12">
        <f t="shared" si="3"/>
        <v>1.1995</v>
      </c>
      <c r="M8" s="13">
        <f t="shared" si="4"/>
        <v>6.0276381909547738E-3</v>
      </c>
    </row>
    <row r="9" spans="1:13">
      <c r="A9" s="732">
        <v>8</v>
      </c>
      <c r="B9" s="731">
        <v>39144</v>
      </c>
      <c r="C9" s="732">
        <v>19795</v>
      </c>
      <c r="D9" s="733">
        <v>2.399</v>
      </c>
      <c r="E9" s="733">
        <v>50.01</v>
      </c>
      <c r="F9" s="10">
        <f t="shared" si="0"/>
        <v>20.846185910796166</v>
      </c>
      <c r="G9" s="11">
        <f t="shared" si="5"/>
        <v>565</v>
      </c>
      <c r="H9" s="10">
        <f t="shared" si="6"/>
        <v>20</v>
      </c>
      <c r="I9" s="10">
        <f t="shared" si="1"/>
        <v>14.880800081226521</v>
      </c>
      <c r="J9" s="10">
        <f t="shared" si="2"/>
        <v>28.25</v>
      </c>
      <c r="K9" s="10">
        <f t="shared" si="7"/>
        <v>1.8984194294525829</v>
      </c>
      <c r="L9" s="12">
        <f t="shared" si="3"/>
        <v>0.12969999999999998</v>
      </c>
      <c r="M9" s="13">
        <f t="shared" si="4"/>
        <v>4.591150442477876E-3</v>
      </c>
    </row>
    <row r="10" spans="1:13">
      <c r="A10" s="732">
        <v>9</v>
      </c>
      <c r="B10" s="731">
        <v>39153</v>
      </c>
      <c r="C10" s="732">
        <v>20059</v>
      </c>
      <c r="D10" s="733">
        <v>2.399</v>
      </c>
      <c r="E10" s="733">
        <v>30</v>
      </c>
      <c r="F10" s="10">
        <f t="shared" si="0"/>
        <v>12.505210504376823</v>
      </c>
      <c r="G10" s="11">
        <f t="shared" si="5"/>
        <v>264</v>
      </c>
      <c r="H10" s="10">
        <f t="shared" si="6"/>
        <v>9</v>
      </c>
      <c r="I10" s="10">
        <f t="shared" si="1"/>
        <v>12.664187162567487</v>
      </c>
      <c r="J10" s="10">
        <f t="shared" si="2"/>
        <v>29.333333333333332</v>
      </c>
      <c r="K10" s="10">
        <f t="shared" si="7"/>
        <v>2.3162428789773517</v>
      </c>
      <c r="L10" s="12">
        <f t="shared" si="3"/>
        <v>0.26655555555555555</v>
      </c>
      <c r="M10" s="13">
        <f t="shared" si="4"/>
        <v>9.087121212121213E-3</v>
      </c>
    </row>
    <row r="11" spans="1:13">
      <c r="A11" s="732">
        <v>10</v>
      </c>
      <c r="B11" s="731">
        <v>39164</v>
      </c>
      <c r="C11" s="732">
        <v>20159</v>
      </c>
      <c r="D11" s="733">
        <v>2.2400000000000002</v>
      </c>
      <c r="E11" s="733">
        <v>40</v>
      </c>
      <c r="F11" s="10">
        <f t="shared" si="0"/>
        <v>17.857142857142854</v>
      </c>
      <c r="G11" s="11">
        <f t="shared" si="5"/>
        <v>100</v>
      </c>
      <c r="H11" s="10">
        <f t="shared" si="6"/>
        <v>11</v>
      </c>
      <c r="I11" s="10">
        <f t="shared" si="1"/>
        <v>7.996666666666667</v>
      </c>
      <c r="J11" s="10">
        <f t="shared" si="2"/>
        <v>9.0909090909090917</v>
      </c>
      <c r="K11" s="10">
        <f t="shared" si="7"/>
        <v>1.1368373185797112</v>
      </c>
      <c r="L11" s="12">
        <f t="shared" si="3"/>
        <v>0.21809090909090909</v>
      </c>
      <c r="M11" s="13">
        <f t="shared" si="4"/>
        <v>2.3990000000000001E-2</v>
      </c>
    </row>
    <row r="12" spans="1:13">
      <c r="A12" s="732">
        <v>11</v>
      </c>
      <c r="B12" s="731">
        <v>39171</v>
      </c>
      <c r="C12" s="732">
        <v>20328</v>
      </c>
      <c r="D12" s="733">
        <v>2.2400000000000002</v>
      </c>
      <c r="E12" s="733">
        <v>50</v>
      </c>
      <c r="F12" s="10">
        <f t="shared" si="0"/>
        <v>22.321428571428569</v>
      </c>
      <c r="G12" s="11">
        <f t="shared" si="5"/>
        <v>169</v>
      </c>
      <c r="H12" s="10">
        <f t="shared" si="6"/>
        <v>7</v>
      </c>
      <c r="I12" s="10">
        <f t="shared" si="1"/>
        <v>9.4640000000000022</v>
      </c>
      <c r="J12" s="10">
        <f t="shared" si="2"/>
        <v>24.142857142857142</v>
      </c>
      <c r="K12" s="10">
        <f t="shared" si="7"/>
        <v>2.5510204081632648</v>
      </c>
      <c r="L12" s="12">
        <f t="shared" si="3"/>
        <v>0.32</v>
      </c>
      <c r="M12" s="13">
        <f t="shared" si="4"/>
        <v>1.3254437869822486E-2</v>
      </c>
    </row>
    <row r="13" spans="1:13">
      <c r="A13" s="732">
        <v>12</v>
      </c>
      <c r="B13" s="731">
        <v>39176</v>
      </c>
      <c r="C13" s="732">
        <v>20583</v>
      </c>
      <c r="D13" s="733">
        <v>2.29</v>
      </c>
      <c r="E13" s="733">
        <v>50</v>
      </c>
      <c r="F13" s="10">
        <f t="shared" si="0"/>
        <v>21.834061135371179</v>
      </c>
      <c r="G13" s="11">
        <f t="shared" si="5"/>
        <v>255</v>
      </c>
      <c r="H13" s="10">
        <f t="shared" si="6"/>
        <v>5</v>
      </c>
      <c r="I13" s="10">
        <f t="shared" si="1"/>
        <v>11.424000000000001</v>
      </c>
      <c r="J13" s="10">
        <f t="shared" si="2"/>
        <v>51</v>
      </c>
      <c r="K13" s="10">
        <f t="shared" si="7"/>
        <v>4.4642857142857135</v>
      </c>
      <c r="L13" s="12">
        <f t="shared" si="3"/>
        <v>0.44800000000000006</v>
      </c>
      <c r="M13" s="13">
        <f t="shared" si="4"/>
        <v>8.7843137254901976E-3</v>
      </c>
    </row>
    <row r="14" spans="1:13">
      <c r="A14" s="732">
        <v>13</v>
      </c>
      <c r="B14" s="731">
        <v>39188</v>
      </c>
      <c r="C14" s="732">
        <v>20795</v>
      </c>
      <c r="D14" s="733">
        <v>2.27</v>
      </c>
      <c r="E14" s="733">
        <v>30</v>
      </c>
      <c r="F14" s="10">
        <f t="shared" si="0"/>
        <v>13.215859030837004</v>
      </c>
      <c r="G14" s="11">
        <f t="shared" si="5"/>
        <v>212</v>
      </c>
      <c r="H14" s="10">
        <f t="shared" si="6"/>
        <v>12</v>
      </c>
      <c r="I14" s="10">
        <f t="shared" si="1"/>
        <v>9.7096</v>
      </c>
      <c r="J14" s="10">
        <f t="shared" si="2"/>
        <v>17.666666666666668</v>
      </c>
      <c r="K14" s="10">
        <f t="shared" si="7"/>
        <v>1.819505094614265</v>
      </c>
      <c r="L14" s="12">
        <f t="shared" si="3"/>
        <v>0.19083333333333333</v>
      </c>
      <c r="M14" s="13">
        <f t="shared" si="4"/>
        <v>1.0801886792452831E-2</v>
      </c>
    </row>
    <row r="15" spans="1:13">
      <c r="A15" s="732">
        <v>14</v>
      </c>
      <c r="B15" s="731">
        <v>39192</v>
      </c>
      <c r="C15" s="732">
        <v>20881</v>
      </c>
      <c r="D15" s="733">
        <v>2.5990000000000002</v>
      </c>
      <c r="E15" s="733">
        <v>110.02</v>
      </c>
      <c r="F15" s="10">
        <f t="shared" si="0"/>
        <v>42.331666025394377</v>
      </c>
      <c r="G15" s="11">
        <f t="shared" si="5"/>
        <v>86</v>
      </c>
      <c r="H15" s="10">
        <f t="shared" si="6"/>
        <v>4</v>
      </c>
      <c r="I15" s="10">
        <f t="shared" si="1"/>
        <v>6.5073333333333334</v>
      </c>
      <c r="J15" s="10">
        <f t="shared" si="2"/>
        <v>21.5</v>
      </c>
      <c r="K15" s="10">
        <f t="shared" si="7"/>
        <v>3.303964757709251</v>
      </c>
      <c r="L15" s="12">
        <f t="shared" si="3"/>
        <v>0.5675</v>
      </c>
      <c r="M15" s="13">
        <f t="shared" si="4"/>
        <v>2.6395348837209301E-2</v>
      </c>
    </row>
    <row r="16" spans="1:13">
      <c r="A16" s="732">
        <v>15</v>
      </c>
      <c r="B16" s="731">
        <v>39194</v>
      </c>
      <c r="C16" s="732">
        <v>21272</v>
      </c>
      <c r="D16" s="733">
        <v>2.6640000000000001</v>
      </c>
      <c r="E16" s="733">
        <v>50</v>
      </c>
      <c r="F16" s="10">
        <f t="shared" si="0"/>
        <v>18.768768768768769</v>
      </c>
      <c r="G16" s="11">
        <f t="shared" si="5"/>
        <v>391</v>
      </c>
      <c r="H16" s="10">
        <f t="shared" si="6"/>
        <v>2</v>
      </c>
      <c r="I16" s="10">
        <f t="shared" si="1"/>
        <v>9.2365842574077455</v>
      </c>
      <c r="J16" s="10">
        <f t="shared" si="2"/>
        <v>195.5</v>
      </c>
      <c r="K16" s="10">
        <f t="shared" si="7"/>
        <v>21.165833012697188</v>
      </c>
      <c r="L16" s="12">
        <f t="shared" si="3"/>
        <v>1.2995000000000001</v>
      </c>
      <c r="M16" s="13">
        <f t="shared" si="4"/>
        <v>6.6470588235294122E-3</v>
      </c>
    </row>
    <row r="17" spans="1:13">
      <c r="A17" s="732">
        <v>16</v>
      </c>
      <c r="B17" s="731">
        <v>39204</v>
      </c>
      <c r="C17" s="732">
        <v>21748</v>
      </c>
      <c r="D17" s="733">
        <v>2.29</v>
      </c>
      <c r="E17" s="733">
        <v>50</v>
      </c>
      <c r="F17" s="10">
        <f t="shared" si="0"/>
        <v>21.834061135371179</v>
      </c>
      <c r="G17" s="11">
        <f t="shared" si="5"/>
        <v>476</v>
      </c>
      <c r="H17" s="10">
        <f t="shared" si="6"/>
        <v>10</v>
      </c>
      <c r="I17" s="10">
        <f t="shared" si="1"/>
        <v>25.361280000000001</v>
      </c>
      <c r="J17" s="10">
        <f t="shared" si="2"/>
        <v>47.6</v>
      </c>
      <c r="K17" s="10">
        <f t="shared" si="7"/>
        <v>1.8768768768768769</v>
      </c>
      <c r="L17" s="12">
        <f t="shared" si="3"/>
        <v>0.26640000000000003</v>
      </c>
      <c r="M17" s="13">
        <f t="shared" si="4"/>
        <v>5.5966386554621855E-3</v>
      </c>
    </row>
    <row r="18" spans="1:13">
      <c r="A18" s="732">
        <v>17</v>
      </c>
      <c r="B18" s="731">
        <v>39215</v>
      </c>
      <c r="C18" s="732">
        <v>21957</v>
      </c>
      <c r="D18" s="733">
        <v>2.2690000000000001</v>
      </c>
      <c r="E18" s="733">
        <v>30</v>
      </c>
      <c r="F18" s="10">
        <f t="shared" si="0"/>
        <v>13.221683561040106</v>
      </c>
      <c r="G18" s="11">
        <f t="shared" si="5"/>
        <v>209</v>
      </c>
      <c r="H18" s="10">
        <f t="shared" si="6"/>
        <v>11</v>
      </c>
      <c r="I18" s="10">
        <f t="shared" si="1"/>
        <v>9.5722000000000005</v>
      </c>
      <c r="J18" s="10">
        <f t="shared" si="2"/>
        <v>19</v>
      </c>
      <c r="K18" s="10">
        <f t="shared" si="7"/>
        <v>1.9849146486701073</v>
      </c>
      <c r="L18" s="12">
        <f t="shared" si="3"/>
        <v>0.20818181818181819</v>
      </c>
      <c r="M18" s="13">
        <f t="shared" si="4"/>
        <v>1.0956937799043063E-2</v>
      </c>
    </row>
    <row r="19" spans="1:13">
      <c r="A19" s="732">
        <v>18</v>
      </c>
      <c r="B19" s="731">
        <v>39221</v>
      </c>
      <c r="C19" s="732">
        <v>22068</v>
      </c>
      <c r="D19" s="733">
        <v>2.2690000000000001</v>
      </c>
      <c r="E19" s="733">
        <v>40</v>
      </c>
      <c r="F19" s="10">
        <f t="shared" si="0"/>
        <v>17.62891141472014</v>
      </c>
      <c r="G19" s="11">
        <f t="shared" si="5"/>
        <v>111</v>
      </c>
      <c r="H19" s="10">
        <f t="shared" si="6"/>
        <v>6</v>
      </c>
      <c r="I19" s="10">
        <f t="shared" si="1"/>
        <v>8.3953000000000007</v>
      </c>
      <c r="J19" s="10">
        <f t="shared" si="2"/>
        <v>18.5</v>
      </c>
      <c r="K19" s="10">
        <f t="shared" si="7"/>
        <v>2.2036139268400174</v>
      </c>
      <c r="L19" s="12">
        <f t="shared" si="3"/>
        <v>0.37816666666666671</v>
      </c>
      <c r="M19" s="13">
        <f t="shared" si="4"/>
        <v>2.0441441441441444E-2</v>
      </c>
    </row>
    <row r="20" spans="1:13">
      <c r="A20" s="732">
        <v>19</v>
      </c>
      <c r="B20" s="731">
        <v>39227</v>
      </c>
      <c r="C20" s="732">
        <v>22259</v>
      </c>
      <c r="D20" s="733">
        <v>2.2690000000000001</v>
      </c>
      <c r="E20" s="733">
        <v>40</v>
      </c>
      <c r="F20" s="10">
        <f t="shared" si="0"/>
        <v>17.62891141472014</v>
      </c>
      <c r="G20" s="11">
        <f t="shared" si="5"/>
        <v>191</v>
      </c>
      <c r="H20" s="10">
        <f t="shared" si="6"/>
        <v>6</v>
      </c>
      <c r="I20" s="10">
        <f t="shared" si="1"/>
        <v>10.834475000000001</v>
      </c>
      <c r="J20" s="10">
        <f t="shared" si="2"/>
        <v>31.833333333333332</v>
      </c>
      <c r="K20" s="10">
        <f t="shared" si="7"/>
        <v>2.9381519024533564</v>
      </c>
      <c r="L20" s="12">
        <f t="shared" si="3"/>
        <v>0.37816666666666671</v>
      </c>
      <c r="M20" s="13">
        <f t="shared" si="4"/>
        <v>1.1879581151832462E-2</v>
      </c>
    </row>
    <row r="21" spans="1:13">
      <c r="A21" s="732">
        <v>20</v>
      </c>
      <c r="B21" s="731">
        <v>39235</v>
      </c>
      <c r="C21" s="732">
        <v>22422</v>
      </c>
      <c r="D21" s="733">
        <v>2.5990000000000002</v>
      </c>
      <c r="E21" s="733">
        <v>50</v>
      </c>
      <c r="F21" s="10">
        <f t="shared" si="0"/>
        <v>19.23816852635629</v>
      </c>
      <c r="G21" s="11">
        <f t="shared" si="5"/>
        <v>163</v>
      </c>
      <c r="H21" s="10">
        <f t="shared" si="6"/>
        <v>8</v>
      </c>
      <c r="I21" s="10">
        <f t="shared" si="1"/>
        <v>9.2461750000000009</v>
      </c>
      <c r="J21" s="10">
        <f t="shared" si="2"/>
        <v>20.375</v>
      </c>
      <c r="K21" s="10">
        <f t="shared" si="7"/>
        <v>2.2036139268400174</v>
      </c>
      <c r="L21" s="12">
        <f t="shared" si="3"/>
        <v>0.28362500000000002</v>
      </c>
      <c r="M21" s="13">
        <f t="shared" si="4"/>
        <v>1.3920245398773007E-2</v>
      </c>
    </row>
    <row r="22" spans="1:13">
      <c r="A22" s="732">
        <v>21</v>
      </c>
      <c r="B22" s="731">
        <v>39243</v>
      </c>
      <c r="C22" s="732">
        <v>22566</v>
      </c>
      <c r="D22" s="733">
        <v>2.399</v>
      </c>
      <c r="E22" s="733">
        <v>15</v>
      </c>
      <c r="F22" s="10">
        <f t="shared" si="0"/>
        <v>6.2526052521884115</v>
      </c>
      <c r="G22" s="11">
        <f t="shared" si="5"/>
        <v>144</v>
      </c>
      <c r="H22" s="10">
        <f t="shared" si="6"/>
        <v>8</v>
      </c>
      <c r="I22" s="10">
        <f t="shared" si="1"/>
        <v>7.4851200000000002</v>
      </c>
      <c r="J22" s="10">
        <f t="shared" si="2"/>
        <v>18</v>
      </c>
      <c r="K22" s="10">
        <f t="shared" si="7"/>
        <v>2.4047710657945363</v>
      </c>
      <c r="L22" s="12">
        <f t="shared" si="3"/>
        <v>0.32487500000000002</v>
      </c>
      <c r="M22" s="13">
        <f t="shared" si="4"/>
        <v>1.8048611111111112E-2</v>
      </c>
    </row>
    <row r="23" spans="1:13">
      <c r="A23" s="732">
        <v>22</v>
      </c>
      <c r="B23" s="731">
        <v>39373</v>
      </c>
      <c r="C23" s="732">
        <v>23698</v>
      </c>
      <c r="D23" s="733">
        <v>2.4990000000000001</v>
      </c>
      <c r="E23" s="733">
        <v>50</v>
      </c>
      <c r="F23" s="10">
        <f t="shared" si="0"/>
        <v>20.008003201280513</v>
      </c>
      <c r="G23" s="11">
        <f t="shared" si="5"/>
        <v>1132</v>
      </c>
      <c r="H23" s="10">
        <f t="shared" si="6"/>
        <v>130</v>
      </c>
      <c r="I23" s="10">
        <f t="shared" si="1"/>
        <v>181.04453333333333</v>
      </c>
      <c r="J23" s="10">
        <f t="shared" si="2"/>
        <v>8.707692307692307</v>
      </c>
      <c r="K23" s="10">
        <f t="shared" si="7"/>
        <v>4.8096963478372397E-2</v>
      </c>
      <c r="L23" s="12">
        <f t="shared" si="3"/>
        <v>1.8453846153846154E-2</v>
      </c>
      <c r="M23" s="13">
        <f t="shared" si="4"/>
        <v>2.1192579505300351E-3</v>
      </c>
    </row>
    <row r="24" spans="1:13">
      <c r="A24" s="732">
        <v>23</v>
      </c>
      <c r="B24" s="731">
        <v>39385</v>
      </c>
      <c r="C24" s="732">
        <v>23854</v>
      </c>
      <c r="D24" s="733">
        <v>2.4990000000000001</v>
      </c>
      <c r="E24" s="733">
        <v>50</v>
      </c>
      <c r="F24" s="10">
        <f t="shared" si="0"/>
        <v>20.008003201280513</v>
      </c>
      <c r="G24" s="11">
        <f t="shared" si="5"/>
        <v>156</v>
      </c>
      <c r="H24" s="10">
        <f t="shared" si="6"/>
        <v>12</v>
      </c>
      <c r="I24" s="10">
        <f t="shared" si="1"/>
        <v>7.7968799999999998</v>
      </c>
      <c r="J24" s="10">
        <f t="shared" si="2"/>
        <v>13</v>
      </c>
      <c r="K24" s="10">
        <f t="shared" si="7"/>
        <v>1.6673336001067094</v>
      </c>
      <c r="L24" s="12">
        <f t="shared" si="3"/>
        <v>0.20825000000000002</v>
      </c>
      <c r="M24" s="13">
        <f t="shared" si="4"/>
        <v>1.6019230769230768E-2</v>
      </c>
    </row>
    <row r="25" spans="1:13">
      <c r="A25" s="732">
        <v>24</v>
      </c>
      <c r="B25" s="731">
        <v>39394</v>
      </c>
      <c r="C25" s="732">
        <v>24031</v>
      </c>
      <c r="D25" s="733">
        <v>2.4998999999999998</v>
      </c>
      <c r="E25" s="733">
        <v>60</v>
      </c>
      <c r="F25" s="10">
        <f t="shared" si="0"/>
        <v>24.000960038401537</v>
      </c>
      <c r="G25" s="11">
        <f t="shared" si="5"/>
        <v>177</v>
      </c>
      <c r="H25" s="10">
        <f t="shared" si="6"/>
        <v>9</v>
      </c>
      <c r="I25" s="10">
        <f t="shared" si="1"/>
        <v>8.8464600000000004</v>
      </c>
      <c r="J25" s="10">
        <f t="shared" si="2"/>
        <v>19.666666666666668</v>
      </c>
      <c r="K25" s="10">
        <f t="shared" si="7"/>
        <v>2.223111466808946</v>
      </c>
      <c r="L25" s="12">
        <f t="shared" si="3"/>
        <v>0.27766666666666667</v>
      </c>
      <c r="M25" s="13">
        <f t="shared" si="4"/>
        <v>1.411864406779661E-2</v>
      </c>
    </row>
    <row r="26" spans="1:13">
      <c r="A26" s="732">
        <v>25</v>
      </c>
      <c r="B26" s="731">
        <v>39406</v>
      </c>
      <c r="C26" s="732">
        <v>24245</v>
      </c>
      <c r="D26" s="733">
        <v>2.5</v>
      </c>
      <c r="E26" s="733">
        <v>60</v>
      </c>
      <c r="F26" s="10">
        <f t="shared" si="0"/>
        <v>24</v>
      </c>
      <c r="G26" s="11">
        <f t="shared" si="5"/>
        <v>214</v>
      </c>
      <c r="H26" s="10">
        <f t="shared" si="6"/>
        <v>12</v>
      </c>
      <c r="I26" s="10">
        <f t="shared" si="1"/>
        <v>8.9163099999999993</v>
      </c>
      <c r="J26" s="10">
        <f t="shared" si="2"/>
        <v>17.833333333333332</v>
      </c>
      <c r="K26" s="10">
        <f t="shared" si="7"/>
        <v>2.0000800032001282</v>
      </c>
      <c r="L26" s="12">
        <f t="shared" si="3"/>
        <v>0.20832499999999998</v>
      </c>
      <c r="M26" s="13">
        <f t="shared" si="4"/>
        <v>1.1681775700934578E-2</v>
      </c>
    </row>
    <row r="27" spans="1:13">
      <c r="A27" s="732">
        <v>26</v>
      </c>
      <c r="B27" s="731">
        <v>39415</v>
      </c>
      <c r="C27" s="732">
        <v>24449</v>
      </c>
      <c r="D27" s="733">
        <v>2.4990000000000001</v>
      </c>
      <c r="E27" s="733">
        <v>50</v>
      </c>
      <c r="F27" s="10">
        <f t="shared" si="0"/>
        <v>20.008003201280513</v>
      </c>
      <c r="G27" s="11">
        <f t="shared" si="5"/>
        <v>204</v>
      </c>
      <c r="H27" s="10">
        <f t="shared" si="6"/>
        <v>9</v>
      </c>
      <c r="I27" s="10">
        <f t="shared" si="1"/>
        <v>8.5</v>
      </c>
      <c r="J27" s="10">
        <f t="shared" si="2"/>
        <v>22.666666666666668</v>
      </c>
      <c r="K27" s="10">
        <f t="shared" si="7"/>
        <v>2.6666666666666665</v>
      </c>
      <c r="L27" s="12">
        <f t="shared" si="3"/>
        <v>0.27777777777777779</v>
      </c>
      <c r="M27" s="13">
        <f t="shared" si="4"/>
        <v>1.2254901960784314E-2</v>
      </c>
    </row>
    <row r="28" spans="1:13">
      <c r="A28" s="732">
        <v>27</v>
      </c>
      <c r="B28" s="731">
        <v>39435</v>
      </c>
      <c r="C28" s="732">
        <v>24636</v>
      </c>
      <c r="D28" s="733">
        <v>2.2589999999999999</v>
      </c>
      <c r="E28" s="733">
        <v>60</v>
      </c>
      <c r="F28" s="10">
        <f t="shared" si="0"/>
        <v>26.56042496679947</v>
      </c>
      <c r="G28" s="11">
        <f t="shared" si="5"/>
        <v>187</v>
      </c>
      <c r="H28" s="10">
        <f t="shared" si="6"/>
        <v>20</v>
      </c>
      <c r="I28" s="10">
        <f t="shared" si="1"/>
        <v>9.3462599999999991</v>
      </c>
      <c r="J28" s="10">
        <f t="shared" si="2"/>
        <v>9.35</v>
      </c>
      <c r="K28" s="10">
        <f t="shared" si="7"/>
        <v>1.0004001600640255</v>
      </c>
      <c r="L28" s="12">
        <f t="shared" si="3"/>
        <v>0.12495000000000001</v>
      </c>
      <c r="M28" s="13">
        <f t="shared" si="4"/>
        <v>1.3363636363636364E-2</v>
      </c>
    </row>
    <row r="29" spans="1:13">
      <c r="A29" s="732">
        <v>28</v>
      </c>
      <c r="B29" s="731">
        <v>39449</v>
      </c>
      <c r="C29" s="732">
        <v>24850</v>
      </c>
      <c r="D29" s="733">
        <v>2.4990000000000001</v>
      </c>
      <c r="E29" s="733">
        <v>60</v>
      </c>
      <c r="F29" s="10">
        <f t="shared" si="0"/>
        <v>24.009603841536613</v>
      </c>
      <c r="G29" s="11">
        <f t="shared" si="5"/>
        <v>214</v>
      </c>
      <c r="H29" s="10">
        <f t="shared" si="6"/>
        <v>14</v>
      </c>
      <c r="I29" s="10">
        <f t="shared" si="1"/>
        <v>8.0571000000000002</v>
      </c>
      <c r="J29" s="10">
        <f t="shared" si="2"/>
        <v>15.285714285714286</v>
      </c>
      <c r="K29" s="10">
        <f t="shared" si="7"/>
        <v>1.8971732119142479</v>
      </c>
      <c r="L29" s="12">
        <f t="shared" si="3"/>
        <v>0.16135714285714284</v>
      </c>
      <c r="M29" s="13">
        <f t="shared" si="4"/>
        <v>1.0556074766355139E-2</v>
      </c>
    </row>
    <row r="30" spans="1:13">
      <c r="A30" s="732">
        <v>29</v>
      </c>
      <c r="B30" s="731">
        <v>39461</v>
      </c>
      <c r="C30" s="732">
        <v>25064</v>
      </c>
      <c r="D30" s="733">
        <v>2.4990000000000001</v>
      </c>
      <c r="E30" s="733">
        <v>60</v>
      </c>
      <c r="F30" s="10">
        <f t="shared" si="0"/>
        <v>24.009603841536613</v>
      </c>
      <c r="G30" s="11">
        <f t="shared" si="5"/>
        <v>214</v>
      </c>
      <c r="H30" s="10">
        <f t="shared" si="6"/>
        <v>12</v>
      </c>
      <c r="I30" s="10">
        <f t="shared" si="1"/>
        <v>8.9131</v>
      </c>
      <c r="J30" s="10">
        <f t="shared" si="2"/>
        <v>17.833333333333332</v>
      </c>
      <c r="K30" s="10">
        <f t="shared" si="7"/>
        <v>2.0008003201280511</v>
      </c>
      <c r="L30" s="12">
        <f t="shared" si="3"/>
        <v>0.20825000000000002</v>
      </c>
      <c r="M30" s="13">
        <f t="shared" si="4"/>
        <v>1.1677570093457944E-2</v>
      </c>
    </row>
    <row r="31" spans="1:13">
      <c r="A31" s="732">
        <v>30</v>
      </c>
      <c r="B31" s="731">
        <v>39473</v>
      </c>
      <c r="C31" s="732">
        <v>25281</v>
      </c>
      <c r="D31" s="733">
        <v>2.4990000000000001</v>
      </c>
      <c r="E31" s="733">
        <v>119.78</v>
      </c>
      <c r="F31" s="10">
        <f t="shared" si="0"/>
        <v>47.93117246898759</v>
      </c>
      <c r="G31" s="11">
        <f t="shared" si="5"/>
        <v>217</v>
      </c>
      <c r="H31" s="10">
        <f t="shared" si="6"/>
        <v>12</v>
      </c>
      <c r="I31" s="10">
        <f t="shared" si="1"/>
        <v>9.0380500000000001</v>
      </c>
      <c r="J31" s="10">
        <f t="shared" si="2"/>
        <v>18.083333333333332</v>
      </c>
      <c r="K31" s="10">
        <f t="shared" si="7"/>
        <v>2.0008003201280511</v>
      </c>
      <c r="L31" s="12">
        <f t="shared" si="3"/>
        <v>0.20825000000000002</v>
      </c>
      <c r="M31" s="13">
        <f t="shared" si="4"/>
        <v>1.1516129032258064E-2</v>
      </c>
    </row>
    <row r="32" spans="1:13">
      <c r="A32" s="732">
        <v>31</v>
      </c>
      <c r="B32" s="731">
        <v>39494</v>
      </c>
      <c r="C32" s="732">
        <v>25688</v>
      </c>
      <c r="D32" s="733">
        <v>2.4990000000000001</v>
      </c>
      <c r="E32" s="733">
        <v>114</v>
      </c>
      <c r="F32" s="10">
        <f t="shared" si="0"/>
        <v>45.618247298919563</v>
      </c>
      <c r="G32" s="11">
        <f t="shared" si="5"/>
        <v>407</v>
      </c>
      <c r="H32" s="10">
        <f t="shared" si="6"/>
        <v>21</v>
      </c>
      <c r="I32" s="10">
        <f t="shared" si="1"/>
        <v>8.491342461178828</v>
      </c>
      <c r="J32" s="10">
        <f t="shared" si="2"/>
        <v>19.38095238095238</v>
      </c>
      <c r="K32" s="10">
        <f t="shared" si="7"/>
        <v>2.2824367842375044</v>
      </c>
      <c r="L32" s="12">
        <f t="shared" si="3"/>
        <v>0.11900000000000001</v>
      </c>
      <c r="M32" s="13">
        <f t="shared" si="4"/>
        <v>6.1400491400491405E-3</v>
      </c>
    </row>
    <row r="33" spans="1:14">
      <c r="A33" s="732">
        <v>32</v>
      </c>
      <c r="B33" s="731">
        <v>39514</v>
      </c>
      <c r="C33" s="732">
        <v>26056</v>
      </c>
      <c r="D33" s="733">
        <v>2.4990000000000001</v>
      </c>
      <c r="E33" s="733">
        <v>120</v>
      </c>
      <c r="F33" s="10">
        <f t="shared" si="0"/>
        <v>48.019207683073226</v>
      </c>
      <c r="G33" s="11">
        <f t="shared" si="5"/>
        <v>368</v>
      </c>
      <c r="H33" s="10">
        <f t="shared" si="6"/>
        <v>20</v>
      </c>
      <c r="I33" s="10">
        <f t="shared" si="1"/>
        <v>8.0669473684210526</v>
      </c>
      <c r="J33" s="10">
        <f t="shared" si="2"/>
        <v>18.399999999999999</v>
      </c>
      <c r="K33" s="10">
        <f t="shared" si="7"/>
        <v>2.2809123649459782</v>
      </c>
      <c r="L33" s="12">
        <f t="shared" si="3"/>
        <v>0.12495000000000001</v>
      </c>
      <c r="M33" s="13">
        <f t="shared" si="4"/>
        <v>6.7907608695652174E-3</v>
      </c>
    </row>
    <row r="34" spans="1:14">
      <c r="A34" s="732">
        <v>33</v>
      </c>
      <c r="B34" s="731">
        <v>39528</v>
      </c>
      <c r="C34" s="732">
        <v>26333</v>
      </c>
      <c r="D34" s="733">
        <v>2.4990000000000001</v>
      </c>
      <c r="E34" s="733">
        <v>84</v>
      </c>
      <c r="F34" s="10">
        <f t="shared" si="0"/>
        <v>33.613445378151262</v>
      </c>
      <c r="G34" s="11">
        <f t="shared" si="5"/>
        <v>277</v>
      </c>
      <c r="H34" s="10">
        <f t="shared" si="6"/>
        <v>14</v>
      </c>
      <c r="I34" s="10">
        <f t="shared" si="1"/>
        <v>5.7685250000000003</v>
      </c>
      <c r="J34" s="10">
        <f t="shared" si="2"/>
        <v>19.785714285714285</v>
      </c>
      <c r="K34" s="10">
        <f t="shared" si="7"/>
        <v>3.4299434059338019</v>
      </c>
      <c r="L34" s="12">
        <f t="shared" si="3"/>
        <v>0.17850000000000002</v>
      </c>
      <c r="M34" s="13">
        <f t="shared" si="4"/>
        <v>9.0216606498194941E-3</v>
      </c>
    </row>
    <row r="35" spans="1:14">
      <c r="A35" s="732">
        <v>34</v>
      </c>
      <c r="B35" s="731">
        <v>39530</v>
      </c>
      <c r="C35" s="732">
        <v>26726</v>
      </c>
      <c r="D35" s="733">
        <v>2.6240000000000001</v>
      </c>
      <c r="E35" s="733">
        <v>83.47</v>
      </c>
      <c r="F35" s="10">
        <f t="shared" si="0"/>
        <v>31.810213414634145</v>
      </c>
      <c r="G35" s="11">
        <f t="shared" si="5"/>
        <v>393</v>
      </c>
      <c r="H35" s="10">
        <f t="shared" si="6"/>
        <v>2</v>
      </c>
      <c r="I35" s="10">
        <f t="shared" si="1"/>
        <v>11.691749999999999</v>
      </c>
      <c r="J35" s="10">
        <f t="shared" si="2"/>
        <v>196.5</v>
      </c>
      <c r="K35" s="10">
        <f t="shared" si="7"/>
        <v>16.806722689075631</v>
      </c>
      <c r="L35" s="12">
        <f t="shared" si="3"/>
        <v>1.2495000000000001</v>
      </c>
      <c r="M35" s="13">
        <f t="shared" si="4"/>
        <v>6.3587786259541989E-3</v>
      </c>
    </row>
    <row r="36" spans="1:14">
      <c r="A36" s="732">
        <v>35</v>
      </c>
      <c r="B36" s="731">
        <v>39542</v>
      </c>
      <c r="C36" s="732">
        <v>27319</v>
      </c>
      <c r="D36" s="733">
        <v>2.4990000000000001</v>
      </c>
      <c r="E36" s="733">
        <v>126</v>
      </c>
      <c r="F36" s="10">
        <f t="shared" si="0"/>
        <v>50.420168067226889</v>
      </c>
      <c r="G36" s="11">
        <f t="shared" si="5"/>
        <v>593</v>
      </c>
      <c r="H36" s="10">
        <f t="shared" si="6"/>
        <v>12</v>
      </c>
      <c r="I36" s="10">
        <f t="shared" si="1"/>
        <v>18.64181142925602</v>
      </c>
      <c r="J36" s="10">
        <f t="shared" si="2"/>
        <v>49.416666666666664</v>
      </c>
      <c r="K36" s="10">
        <f t="shared" si="7"/>
        <v>2.6508511178861789</v>
      </c>
      <c r="L36" s="12">
        <f t="shared" si="3"/>
        <v>0.21866666666666668</v>
      </c>
      <c r="M36" s="13">
        <f t="shared" si="4"/>
        <v>4.4249578414839799E-3</v>
      </c>
    </row>
    <row r="37" spans="1:14">
      <c r="A37" s="732">
        <v>36</v>
      </c>
      <c r="B37" s="731">
        <v>39567</v>
      </c>
      <c r="C37" s="732">
        <v>27720</v>
      </c>
      <c r="D37" s="733">
        <v>2.4990000000000001</v>
      </c>
      <c r="E37" s="733">
        <v>120</v>
      </c>
      <c r="F37" s="10">
        <f t="shared" si="0"/>
        <v>48.019207683073226</v>
      </c>
      <c r="G37" s="11">
        <f t="shared" si="5"/>
        <v>401</v>
      </c>
      <c r="H37" s="10">
        <f t="shared" si="6"/>
        <v>25</v>
      </c>
      <c r="I37" s="10">
        <f t="shared" si="1"/>
        <v>7.9531666666666672</v>
      </c>
      <c r="J37" s="10">
        <f t="shared" si="2"/>
        <v>16.04</v>
      </c>
      <c r="K37" s="10">
        <f t="shared" si="7"/>
        <v>2.0168067226890756</v>
      </c>
      <c r="L37" s="12">
        <f t="shared" si="3"/>
        <v>9.9960000000000007E-2</v>
      </c>
      <c r="M37" s="13">
        <f t="shared" si="4"/>
        <v>6.2319201995012473E-3</v>
      </c>
    </row>
    <row r="38" spans="1:14">
      <c r="A38" s="732">
        <v>37</v>
      </c>
      <c r="B38" s="731">
        <v>39589</v>
      </c>
      <c r="C38" s="732">
        <v>28145</v>
      </c>
      <c r="D38" s="733">
        <v>2.4990000000000001</v>
      </c>
      <c r="E38" s="733">
        <v>120.01</v>
      </c>
      <c r="F38" s="10">
        <f t="shared" si="0"/>
        <v>48.023209283713484</v>
      </c>
      <c r="G38" s="11">
        <f t="shared" si="5"/>
        <v>425</v>
      </c>
      <c r="H38" s="10">
        <f t="shared" si="6"/>
        <v>22</v>
      </c>
      <c r="I38" s="10">
        <f t="shared" si="1"/>
        <v>8.8506250000000009</v>
      </c>
      <c r="J38" s="10">
        <f t="shared" si="2"/>
        <v>19.318181818181817</v>
      </c>
      <c r="K38" s="10">
        <f t="shared" si="7"/>
        <v>2.1826912583215101</v>
      </c>
      <c r="L38" s="12">
        <f t="shared" si="3"/>
        <v>0.11359090909090909</v>
      </c>
      <c r="M38" s="13">
        <f t="shared" si="4"/>
        <v>5.8800000000000007E-3</v>
      </c>
    </row>
    <row r="39" spans="1:14">
      <c r="A39" s="732">
        <v>38</v>
      </c>
      <c r="B39" s="731">
        <v>39592</v>
      </c>
      <c r="C39" s="732">
        <v>28565</v>
      </c>
      <c r="D39" s="733">
        <v>2.6139999999999999</v>
      </c>
      <c r="E39" s="733">
        <v>83.51</v>
      </c>
      <c r="F39" s="10">
        <f t="shared" si="0"/>
        <v>31.947207345065038</v>
      </c>
      <c r="G39" s="11">
        <f t="shared" si="5"/>
        <v>420</v>
      </c>
      <c r="H39" s="10">
        <f t="shared" si="6"/>
        <v>3</v>
      </c>
      <c r="I39" s="10">
        <f t="shared" si="1"/>
        <v>8.7457711857345224</v>
      </c>
      <c r="J39" s="10">
        <f t="shared" si="2"/>
        <v>140</v>
      </c>
      <c r="K39" s="10">
        <f t="shared" si="7"/>
        <v>16.007736427904494</v>
      </c>
      <c r="L39" s="12">
        <f t="shared" si="3"/>
        <v>0.83300000000000007</v>
      </c>
      <c r="M39" s="13">
        <f t="shared" si="4"/>
        <v>5.9500000000000004E-3</v>
      </c>
    </row>
    <row r="40" spans="1:14">
      <c r="A40" s="732">
        <v>39</v>
      </c>
      <c r="B40" s="731">
        <v>39604</v>
      </c>
      <c r="C40" s="732">
        <v>29124</v>
      </c>
      <c r="D40" s="733">
        <v>2.4990000000000001</v>
      </c>
      <c r="E40" s="733">
        <v>120</v>
      </c>
      <c r="F40" s="10">
        <f t="shared" si="0"/>
        <v>48.019207683073226</v>
      </c>
      <c r="G40" s="11">
        <f t="shared" si="5"/>
        <v>559</v>
      </c>
      <c r="H40" s="10">
        <f t="shared" si="6"/>
        <v>12</v>
      </c>
      <c r="I40" s="10">
        <f t="shared" si="1"/>
        <v>17.497617051850074</v>
      </c>
      <c r="J40" s="10">
        <f t="shared" si="2"/>
        <v>46.583333333333336</v>
      </c>
      <c r="K40" s="10">
        <f t="shared" si="7"/>
        <v>2.66226727875542</v>
      </c>
      <c r="L40" s="12">
        <f t="shared" si="3"/>
        <v>0.21783333333333332</v>
      </c>
      <c r="M40" s="13">
        <f t="shared" si="4"/>
        <v>4.6762075134168159E-3</v>
      </c>
    </row>
    <row r="41" spans="1:14">
      <c r="A41" s="732">
        <v>40</v>
      </c>
      <c r="B41" s="731">
        <v>39624</v>
      </c>
      <c r="C41" s="732">
        <v>29543</v>
      </c>
      <c r="D41" s="733">
        <v>2.4990000000000001</v>
      </c>
      <c r="E41" s="733">
        <v>117</v>
      </c>
      <c r="F41" s="10">
        <f t="shared" si="0"/>
        <v>46.818727490996395</v>
      </c>
      <c r="G41" s="11">
        <f t="shared" si="5"/>
        <v>419</v>
      </c>
      <c r="H41" s="10">
        <f t="shared" si="6"/>
        <v>20</v>
      </c>
      <c r="I41" s="10">
        <f t="shared" si="1"/>
        <v>8.7256750000000007</v>
      </c>
      <c r="J41" s="10">
        <f t="shared" si="2"/>
        <v>20.95</v>
      </c>
      <c r="K41" s="10">
        <f t="shared" si="7"/>
        <v>2.4009603841536613</v>
      </c>
      <c r="L41" s="12">
        <f t="shared" si="3"/>
        <v>0.12495000000000001</v>
      </c>
      <c r="M41" s="13">
        <f t="shared" si="4"/>
        <v>5.964200477326969E-3</v>
      </c>
    </row>
    <row r="42" spans="1:14">
      <c r="A42" s="732">
        <v>41</v>
      </c>
      <c r="B42" s="731">
        <v>39647</v>
      </c>
      <c r="C42" s="732">
        <v>29979</v>
      </c>
      <c r="D42" s="733">
        <v>2.4990000000000001</v>
      </c>
      <c r="E42" s="733">
        <v>119.01</v>
      </c>
      <c r="F42" s="10">
        <f t="shared" si="0"/>
        <v>47.623049219687879</v>
      </c>
      <c r="G42" s="11">
        <f t="shared" si="5"/>
        <v>436</v>
      </c>
      <c r="H42" s="10">
        <f t="shared" si="6"/>
        <v>23</v>
      </c>
      <c r="I42" s="10">
        <f t="shared" si="1"/>
        <v>9.312512820512822</v>
      </c>
      <c r="J42" s="10">
        <f t="shared" si="2"/>
        <v>18.956521739130434</v>
      </c>
      <c r="K42" s="10">
        <f t="shared" si="7"/>
        <v>2.035596847434626</v>
      </c>
      <c r="L42" s="12">
        <f t="shared" si="3"/>
        <v>0.10865217391304348</v>
      </c>
      <c r="M42" s="13">
        <f t="shared" si="4"/>
        <v>5.731651376146789E-3</v>
      </c>
    </row>
    <row r="43" spans="1:14">
      <c r="A43" s="732">
        <v>42</v>
      </c>
      <c r="B43" s="731">
        <v>39669</v>
      </c>
      <c r="C43" s="732">
        <v>30436</v>
      </c>
      <c r="D43" s="733">
        <v>2.4990000000000001</v>
      </c>
      <c r="E43" s="733">
        <v>114</v>
      </c>
      <c r="F43" s="10">
        <f t="shared" si="0"/>
        <v>45.618247298919563</v>
      </c>
      <c r="G43" s="11">
        <f t="shared" si="5"/>
        <v>457</v>
      </c>
      <c r="H43" s="10">
        <f t="shared" si="6"/>
        <v>22</v>
      </c>
      <c r="I43" s="10">
        <f t="shared" si="1"/>
        <v>9.5961935971767076</v>
      </c>
      <c r="J43" s="10">
        <f t="shared" si="2"/>
        <v>20.772727272727273</v>
      </c>
      <c r="K43" s="10">
        <f t="shared" si="7"/>
        <v>2.1646840554403579</v>
      </c>
      <c r="L43" s="12">
        <f t="shared" si="3"/>
        <v>0.11359090909090909</v>
      </c>
      <c r="M43" s="13">
        <f t="shared" si="4"/>
        <v>5.4682713347921231E-3</v>
      </c>
      <c r="N43" s="23"/>
    </row>
    <row r="44" spans="1:14">
      <c r="A44" s="732">
        <v>43</v>
      </c>
      <c r="B44" s="731">
        <v>39688</v>
      </c>
      <c r="C44" s="732">
        <f>C43+437</f>
        <v>30873</v>
      </c>
      <c r="D44" s="733">
        <v>2.4990000000000001</v>
      </c>
      <c r="E44" s="733">
        <v>104</v>
      </c>
      <c r="F44" s="10">
        <f t="shared" si="0"/>
        <v>41.616646658663463</v>
      </c>
      <c r="G44" s="11">
        <f t="shared" si="5"/>
        <v>437</v>
      </c>
      <c r="H44" s="10">
        <f t="shared" si="6"/>
        <v>19</v>
      </c>
      <c r="I44" s="10">
        <f t="shared" si="1"/>
        <v>9.5795000000000012</v>
      </c>
      <c r="J44" s="10">
        <f t="shared" si="2"/>
        <v>23</v>
      </c>
      <c r="K44" s="10">
        <f t="shared" si="7"/>
        <v>2.4009603841536613</v>
      </c>
      <c r="L44" s="12">
        <f t="shared" si="3"/>
        <v>0.13152631578947369</v>
      </c>
      <c r="M44" s="13">
        <f t="shared" si="4"/>
        <v>5.7185354691075517E-3</v>
      </c>
    </row>
    <row r="45" spans="1:14">
      <c r="A45" s="732">
        <v>44</v>
      </c>
      <c r="B45" s="731">
        <v>39726</v>
      </c>
      <c r="C45" s="732">
        <v>31137</v>
      </c>
      <c r="D45" s="733">
        <v>2.25</v>
      </c>
      <c r="E45" s="733">
        <v>20</v>
      </c>
      <c r="F45" s="10">
        <f t="shared" si="0"/>
        <v>8.8888888888888893</v>
      </c>
      <c r="G45" s="11">
        <f t="shared" si="5"/>
        <v>264</v>
      </c>
      <c r="H45" s="10">
        <f t="shared" si="6"/>
        <v>38</v>
      </c>
      <c r="I45" s="10">
        <f t="shared" si="1"/>
        <v>6.3436153846153847</v>
      </c>
      <c r="J45" s="10">
        <f t="shared" si="2"/>
        <v>6.9473684210526319</v>
      </c>
      <c r="K45" s="10">
        <f t="shared" si="7"/>
        <v>1.0951749120700911</v>
      </c>
      <c r="L45" s="12">
        <f t="shared" si="3"/>
        <v>6.5763157894736843E-2</v>
      </c>
      <c r="M45" s="13">
        <f t="shared" si="4"/>
        <v>9.4659090909090908E-3</v>
      </c>
    </row>
    <row r="46" spans="1:14">
      <c r="A46" s="732">
        <v>45</v>
      </c>
      <c r="B46" s="731">
        <v>39730</v>
      </c>
      <c r="C46" s="732">
        <v>31216</v>
      </c>
      <c r="D46" s="733">
        <v>2.4990000000000001</v>
      </c>
      <c r="E46" s="733">
        <v>50</v>
      </c>
      <c r="F46" s="10">
        <f t="shared" si="0"/>
        <v>20.008003201280513</v>
      </c>
      <c r="G46" s="11">
        <f t="shared" si="5"/>
        <v>79</v>
      </c>
      <c r="H46" s="10">
        <f t="shared" si="6"/>
        <v>4</v>
      </c>
      <c r="I46" s="10">
        <f t="shared" si="1"/>
        <v>8.8874999999999993</v>
      </c>
      <c r="J46" s="10">
        <f t="shared" si="2"/>
        <v>19.75</v>
      </c>
      <c r="K46" s="10">
        <f t="shared" si="7"/>
        <v>2.2222222222222223</v>
      </c>
      <c r="L46" s="12">
        <f t="shared" si="3"/>
        <v>0.5625</v>
      </c>
      <c r="M46" s="13">
        <f t="shared" si="4"/>
        <v>2.8481012658227847E-2</v>
      </c>
    </row>
    <row r="47" spans="1:14">
      <c r="A47" s="732">
        <v>46</v>
      </c>
      <c r="B47" s="731">
        <v>39739</v>
      </c>
      <c r="C47" s="732">
        <v>31336</v>
      </c>
      <c r="D47" s="733">
        <v>2.4990000000000001</v>
      </c>
      <c r="E47" s="733">
        <v>50</v>
      </c>
      <c r="F47" s="10">
        <f t="shared" si="0"/>
        <v>20.008003201280513</v>
      </c>
      <c r="G47" s="11">
        <f t="shared" si="5"/>
        <v>120</v>
      </c>
      <c r="H47" s="10">
        <f t="shared" si="6"/>
        <v>9</v>
      </c>
      <c r="I47" s="10">
        <f t="shared" si="1"/>
        <v>5.9976000000000003</v>
      </c>
      <c r="J47" s="10">
        <f t="shared" si="2"/>
        <v>13.333333333333334</v>
      </c>
      <c r="K47" s="10">
        <f t="shared" si="7"/>
        <v>2.223111466808946</v>
      </c>
      <c r="L47" s="12">
        <f t="shared" si="3"/>
        <v>0.27766666666666667</v>
      </c>
      <c r="M47" s="13">
        <f t="shared" si="4"/>
        <v>2.0825E-2</v>
      </c>
    </row>
    <row r="48" spans="1:14">
      <c r="A48" s="732">
        <v>47</v>
      </c>
      <c r="B48" s="731">
        <v>39749</v>
      </c>
      <c r="C48" s="732">
        <v>31518</v>
      </c>
      <c r="D48" s="733">
        <v>2.4990000000000001</v>
      </c>
      <c r="E48" s="733">
        <v>60</v>
      </c>
      <c r="F48" s="10">
        <f t="shared" si="0"/>
        <v>24.009603841536613</v>
      </c>
      <c r="G48" s="11">
        <f t="shared" si="5"/>
        <v>182</v>
      </c>
      <c r="H48" s="10">
        <f t="shared" si="6"/>
        <v>10</v>
      </c>
      <c r="I48" s="10">
        <f t="shared" si="1"/>
        <v>9.0963600000000007</v>
      </c>
      <c r="J48" s="10">
        <f t="shared" si="2"/>
        <v>18.2</v>
      </c>
      <c r="K48" s="10">
        <f t="shared" si="7"/>
        <v>2.0008003201280511</v>
      </c>
      <c r="L48" s="12">
        <f t="shared" si="3"/>
        <v>0.24990000000000001</v>
      </c>
      <c r="M48" s="13">
        <f t="shared" si="4"/>
        <v>1.3730769230769232E-2</v>
      </c>
    </row>
    <row r="49" spans="1:13">
      <c r="A49" s="732">
        <v>48</v>
      </c>
      <c r="B49" s="731">
        <v>39765</v>
      </c>
      <c r="C49" s="732">
        <v>31805</v>
      </c>
      <c r="D49" s="733">
        <v>2.379</v>
      </c>
      <c r="E49" s="733">
        <v>50</v>
      </c>
      <c r="F49" s="10">
        <f t="shared" si="0"/>
        <v>21.017234131988232</v>
      </c>
      <c r="G49" s="11">
        <f t="shared" si="5"/>
        <v>287</v>
      </c>
      <c r="H49" s="10">
        <f t="shared" si="6"/>
        <v>16</v>
      </c>
      <c r="I49" s="10">
        <f t="shared" si="1"/>
        <v>11.95355</v>
      </c>
      <c r="J49" s="10">
        <f t="shared" si="2"/>
        <v>17.9375</v>
      </c>
      <c r="K49" s="10">
        <f t="shared" si="7"/>
        <v>1.5006002400960383</v>
      </c>
      <c r="L49" s="12">
        <f t="shared" si="3"/>
        <v>0.15618750000000001</v>
      </c>
      <c r="M49" s="13">
        <f t="shared" si="4"/>
        <v>8.7073170731707325E-3</v>
      </c>
    </row>
    <row r="50" spans="1:13">
      <c r="A50" s="732">
        <v>49</v>
      </c>
      <c r="B50" s="731">
        <v>39776</v>
      </c>
      <c r="C50" s="732">
        <v>32005</v>
      </c>
      <c r="D50" s="733">
        <v>2.3889999999999998</v>
      </c>
      <c r="E50" s="733">
        <v>102.32</v>
      </c>
      <c r="F50" s="10">
        <f t="shared" si="0"/>
        <v>42.82963583089159</v>
      </c>
      <c r="G50" s="11">
        <f t="shared" si="5"/>
        <v>200</v>
      </c>
      <c r="H50" s="10">
        <f t="shared" si="6"/>
        <v>11</v>
      </c>
      <c r="I50" s="10">
        <f t="shared" si="1"/>
        <v>9.516</v>
      </c>
      <c r="J50" s="10">
        <f t="shared" si="2"/>
        <v>18.181818181818183</v>
      </c>
      <c r="K50" s="10">
        <f t="shared" si="7"/>
        <v>1.9106576483625666</v>
      </c>
      <c r="L50" s="12">
        <f t="shared" si="3"/>
        <v>0.21627272727272728</v>
      </c>
      <c r="M50" s="13">
        <f t="shared" si="4"/>
        <v>1.1894999999999999E-2</v>
      </c>
    </row>
    <row r="51" spans="1:13">
      <c r="A51" s="732">
        <v>50</v>
      </c>
      <c r="B51" s="731">
        <v>39809</v>
      </c>
      <c r="C51" s="732">
        <v>32370</v>
      </c>
      <c r="D51" s="733">
        <v>2.4990000000000001</v>
      </c>
      <c r="E51" s="733">
        <v>30</v>
      </c>
      <c r="F51" s="10">
        <f t="shared" si="0"/>
        <v>12.004801920768307</v>
      </c>
      <c r="G51" s="11">
        <f t="shared" si="5"/>
        <v>365</v>
      </c>
      <c r="H51" s="10">
        <f t="shared" si="6"/>
        <v>33</v>
      </c>
      <c r="I51" s="10">
        <f t="shared" si="1"/>
        <v>8.5221364347146196</v>
      </c>
      <c r="J51" s="10">
        <f t="shared" si="2"/>
        <v>11.060606060606061</v>
      </c>
      <c r="K51" s="10">
        <f t="shared" si="7"/>
        <v>1.2978677524512603</v>
      </c>
      <c r="L51" s="12">
        <f t="shared" si="3"/>
        <v>7.2393939393939385E-2</v>
      </c>
      <c r="M51" s="13">
        <f t="shared" si="4"/>
        <v>6.5452054794520546E-3</v>
      </c>
    </row>
    <row r="52" spans="1:13">
      <c r="A52" s="732">
        <v>51</v>
      </c>
      <c r="B52" s="731">
        <v>39815</v>
      </c>
      <c r="C52" s="732">
        <v>32460</v>
      </c>
      <c r="D52" s="733">
        <v>2.4990000000000001</v>
      </c>
      <c r="E52" s="733">
        <v>40</v>
      </c>
      <c r="F52" s="10">
        <f t="shared" si="0"/>
        <v>16.006402561024409</v>
      </c>
      <c r="G52" s="11">
        <f t="shared" si="5"/>
        <v>90</v>
      </c>
      <c r="H52" s="10">
        <f t="shared" si="6"/>
        <v>6</v>
      </c>
      <c r="I52" s="10">
        <f t="shared" si="1"/>
        <v>7.4970000000000008</v>
      </c>
      <c r="J52" s="10">
        <f t="shared" si="2"/>
        <v>15</v>
      </c>
      <c r="K52" s="10">
        <f t="shared" si="7"/>
        <v>2.0008003201280511</v>
      </c>
      <c r="L52" s="12">
        <f t="shared" si="3"/>
        <v>0.41650000000000004</v>
      </c>
      <c r="M52" s="13">
        <f t="shared" si="4"/>
        <v>2.7766666666666669E-2</v>
      </c>
    </row>
    <row r="53" spans="1:13">
      <c r="A53" s="732">
        <v>52</v>
      </c>
      <c r="B53" s="731">
        <v>39824</v>
      </c>
      <c r="C53" s="732">
        <v>32598</v>
      </c>
      <c r="D53" s="733">
        <v>2.4990000000000001</v>
      </c>
      <c r="E53" s="733">
        <v>50</v>
      </c>
      <c r="F53" s="10">
        <f t="shared" si="0"/>
        <v>20.008003201280513</v>
      </c>
      <c r="G53" s="11">
        <f t="shared" si="5"/>
        <v>138</v>
      </c>
      <c r="H53" s="10">
        <f t="shared" si="6"/>
        <v>9</v>
      </c>
      <c r="I53" s="10">
        <f t="shared" si="1"/>
        <v>8.6215500000000009</v>
      </c>
      <c r="J53" s="10">
        <f t="shared" si="2"/>
        <v>15.333333333333334</v>
      </c>
      <c r="K53" s="10">
        <f t="shared" si="7"/>
        <v>1.7784891734471566</v>
      </c>
      <c r="L53" s="12">
        <f t="shared" si="3"/>
        <v>0.27766666666666667</v>
      </c>
      <c r="M53" s="13">
        <f t="shared" si="4"/>
        <v>1.8108695652173913E-2</v>
      </c>
    </row>
    <row r="54" spans="1:13">
      <c r="A54" s="732">
        <v>53</v>
      </c>
      <c r="B54" s="731">
        <v>39831</v>
      </c>
      <c r="C54" s="732">
        <v>32744</v>
      </c>
      <c r="D54" s="733">
        <v>2.4990000000000001</v>
      </c>
      <c r="E54" s="733">
        <v>50</v>
      </c>
      <c r="F54" s="10">
        <f t="shared" si="0"/>
        <v>20.008003201280513</v>
      </c>
      <c r="G54" s="11">
        <f t="shared" si="5"/>
        <v>146</v>
      </c>
      <c r="H54" s="10">
        <f t="shared" si="6"/>
        <v>7</v>
      </c>
      <c r="I54" s="10">
        <f t="shared" si="1"/>
        <v>7.2970800000000002</v>
      </c>
      <c r="J54" s="10">
        <f t="shared" si="2"/>
        <v>20.857142857142858</v>
      </c>
      <c r="K54" s="10">
        <f t="shared" si="7"/>
        <v>2.858286171611502</v>
      </c>
      <c r="L54" s="12">
        <f t="shared" si="3"/>
        <v>0.35700000000000004</v>
      </c>
      <c r="M54" s="13">
        <f t="shared" si="4"/>
        <v>1.7116438356164384E-2</v>
      </c>
    </row>
    <row r="55" spans="1:13">
      <c r="A55" s="732">
        <v>54</v>
      </c>
      <c r="B55" s="731">
        <v>39842</v>
      </c>
      <c r="C55" s="732">
        <v>32962</v>
      </c>
      <c r="D55" s="733">
        <v>2.4990000000000001</v>
      </c>
      <c r="E55" s="733">
        <v>50</v>
      </c>
      <c r="F55" s="10">
        <f t="shared" si="0"/>
        <v>20.008003201280513</v>
      </c>
      <c r="G55" s="11">
        <f t="shared" si="5"/>
        <v>218</v>
      </c>
      <c r="H55" s="10">
        <f t="shared" si="6"/>
        <v>11</v>
      </c>
      <c r="I55" s="10">
        <f t="shared" si="1"/>
        <v>10.89564</v>
      </c>
      <c r="J55" s="10">
        <f t="shared" si="2"/>
        <v>19.818181818181817</v>
      </c>
      <c r="K55" s="10">
        <f t="shared" si="7"/>
        <v>1.8189093819345921</v>
      </c>
      <c r="L55" s="12">
        <f t="shared" si="3"/>
        <v>0.22718181818181818</v>
      </c>
      <c r="M55" s="13">
        <f t="shared" si="4"/>
        <v>1.1463302752293578E-2</v>
      </c>
    </row>
    <row r="56" spans="1:13">
      <c r="A56" s="732">
        <v>55</v>
      </c>
      <c r="B56" s="731">
        <v>39853</v>
      </c>
      <c r="C56" s="732">
        <v>33126</v>
      </c>
      <c r="D56" s="733">
        <v>2.4990000000000001</v>
      </c>
      <c r="E56" s="733">
        <v>50</v>
      </c>
      <c r="F56" s="10">
        <f t="shared" si="0"/>
        <v>20.008003201280513</v>
      </c>
      <c r="G56" s="11">
        <f t="shared" si="5"/>
        <v>164</v>
      </c>
      <c r="H56" s="10">
        <f t="shared" si="6"/>
        <v>11</v>
      </c>
      <c r="I56" s="10">
        <f t="shared" si="1"/>
        <v>8.1967199999999991</v>
      </c>
      <c r="J56" s="10">
        <f t="shared" si="2"/>
        <v>14.909090909090908</v>
      </c>
      <c r="K56" s="10">
        <f t="shared" si="7"/>
        <v>1.8189093819345921</v>
      </c>
      <c r="L56" s="12">
        <f t="shared" si="3"/>
        <v>0.22718181818181818</v>
      </c>
      <c r="M56" s="13">
        <f t="shared" si="4"/>
        <v>1.5237804878048782E-2</v>
      </c>
    </row>
    <row r="57" spans="1:13">
      <c r="A57" s="732">
        <v>56</v>
      </c>
      <c r="B57" s="731">
        <v>39860</v>
      </c>
      <c r="C57" s="732">
        <v>33291</v>
      </c>
      <c r="D57" s="733">
        <v>2.4990000000000001</v>
      </c>
      <c r="E57" s="733">
        <v>50</v>
      </c>
      <c r="F57" s="10">
        <f t="shared" si="0"/>
        <v>20.008003201280513</v>
      </c>
      <c r="G57" s="11">
        <f t="shared" si="5"/>
        <v>165</v>
      </c>
      <c r="H57" s="10">
        <f t="shared" si="6"/>
        <v>7</v>
      </c>
      <c r="I57" s="10">
        <f t="shared" si="1"/>
        <v>8.2467000000000006</v>
      </c>
      <c r="J57" s="10">
        <f t="shared" si="2"/>
        <v>23.571428571428573</v>
      </c>
      <c r="K57" s="10">
        <f t="shared" si="7"/>
        <v>2.858286171611502</v>
      </c>
      <c r="L57" s="12">
        <f t="shared" si="3"/>
        <v>0.35700000000000004</v>
      </c>
      <c r="M57" s="13">
        <f t="shared" si="4"/>
        <v>1.5145454545454545E-2</v>
      </c>
    </row>
    <row r="58" spans="1:13">
      <c r="A58" s="732">
        <v>57</v>
      </c>
      <c r="B58" s="731">
        <v>39864</v>
      </c>
      <c r="C58" s="732">
        <v>33413</v>
      </c>
      <c r="D58" s="733">
        <v>2.4990000000000001</v>
      </c>
      <c r="E58" s="733">
        <v>100</v>
      </c>
      <c r="F58" s="10">
        <f t="shared" si="0"/>
        <v>40.016006402561025</v>
      </c>
      <c r="G58" s="11">
        <f t="shared" si="5"/>
        <v>122</v>
      </c>
      <c r="H58" s="10">
        <f t="shared" si="6"/>
        <v>4</v>
      </c>
      <c r="I58" s="10">
        <f t="shared" si="1"/>
        <v>6.0975599999999996</v>
      </c>
      <c r="J58" s="10">
        <f t="shared" si="2"/>
        <v>30.5</v>
      </c>
      <c r="K58" s="10">
        <f t="shared" si="7"/>
        <v>5.0020008003201282</v>
      </c>
      <c r="L58" s="12">
        <f t="shared" si="3"/>
        <v>0.62475000000000003</v>
      </c>
      <c r="M58" s="13">
        <f t="shared" si="4"/>
        <v>2.0483606557377049E-2</v>
      </c>
    </row>
    <row r="59" spans="1:13">
      <c r="A59" s="732">
        <v>58</v>
      </c>
      <c r="B59" s="731">
        <v>39877</v>
      </c>
      <c r="C59" s="732">
        <v>34440</v>
      </c>
      <c r="D59" s="733">
        <v>2.4990000000000001</v>
      </c>
      <c r="E59" s="733">
        <v>60</v>
      </c>
      <c r="F59" s="10">
        <f t="shared" si="0"/>
        <v>24.009603841536613</v>
      </c>
      <c r="G59" s="11">
        <f t="shared" si="5"/>
        <v>1027</v>
      </c>
      <c r="H59" s="10">
        <f t="shared" si="6"/>
        <v>13</v>
      </c>
      <c r="I59" s="10">
        <f t="shared" si="1"/>
        <v>25.664729999999999</v>
      </c>
      <c r="J59" s="10">
        <f t="shared" si="2"/>
        <v>79</v>
      </c>
      <c r="K59" s="10">
        <f t="shared" si="7"/>
        <v>3.0781543386585404</v>
      </c>
      <c r="L59" s="12">
        <f t="shared" si="3"/>
        <v>0.19223076923076923</v>
      </c>
      <c r="M59" s="13">
        <f t="shared" si="4"/>
        <v>2.4333008763388511E-3</v>
      </c>
    </row>
    <row r="60" spans="1:13">
      <c r="A60" s="732">
        <v>59</v>
      </c>
      <c r="B60" s="731">
        <v>39883</v>
      </c>
      <c r="C60" s="732">
        <v>34702</v>
      </c>
      <c r="D60" s="733">
        <v>2.4990000000000001</v>
      </c>
      <c r="E60" s="733">
        <v>60</v>
      </c>
      <c r="F60" s="10">
        <f t="shared" si="0"/>
        <v>24.009603841536613</v>
      </c>
      <c r="G60" s="11">
        <f t="shared" si="5"/>
        <v>262</v>
      </c>
      <c r="H60" s="10">
        <f t="shared" si="6"/>
        <v>6</v>
      </c>
      <c r="I60" s="10">
        <f t="shared" si="1"/>
        <v>10.9123</v>
      </c>
      <c r="J60" s="10">
        <f t="shared" si="2"/>
        <v>43.666666666666664</v>
      </c>
      <c r="K60" s="10">
        <f t="shared" si="7"/>
        <v>4.0016006402561022</v>
      </c>
      <c r="L60" s="12">
        <f t="shared" si="3"/>
        <v>0.41650000000000004</v>
      </c>
      <c r="M60" s="13">
        <f t="shared" si="4"/>
        <v>9.5381679389312975E-3</v>
      </c>
    </row>
    <row r="61" spans="1:13">
      <c r="A61" s="732">
        <v>60</v>
      </c>
      <c r="B61" s="731">
        <v>39893</v>
      </c>
      <c r="C61" s="732">
        <v>34907</v>
      </c>
      <c r="D61" s="733">
        <v>2.4990000000000001</v>
      </c>
      <c r="E61" s="733">
        <v>60</v>
      </c>
      <c r="F61" s="10">
        <f t="shared" si="0"/>
        <v>24.009603841536613</v>
      </c>
      <c r="G61" s="11">
        <f t="shared" si="5"/>
        <v>205</v>
      </c>
      <c r="H61" s="10">
        <f t="shared" si="6"/>
        <v>10</v>
      </c>
      <c r="I61" s="10">
        <f t="shared" si="1"/>
        <v>8.5382499999999997</v>
      </c>
      <c r="J61" s="10">
        <f t="shared" si="2"/>
        <v>20.5</v>
      </c>
      <c r="K61" s="10">
        <f t="shared" si="7"/>
        <v>2.4009603841536613</v>
      </c>
      <c r="L61" s="12">
        <f t="shared" si="3"/>
        <v>0.24990000000000001</v>
      </c>
      <c r="M61" s="13">
        <f t="shared" si="4"/>
        <v>1.2190243902439024E-2</v>
      </c>
    </row>
    <row r="62" spans="1:13">
      <c r="A62" s="732">
        <v>61</v>
      </c>
      <c r="B62" s="731">
        <v>39904</v>
      </c>
      <c r="C62" s="732">
        <v>35135</v>
      </c>
      <c r="D62" s="733">
        <v>2.4990000000000001</v>
      </c>
      <c r="E62" s="733">
        <v>60</v>
      </c>
      <c r="F62" s="10">
        <f t="shared" si="0"/>
        <v>24.009603841536613</v>
      </c>
      <c r="G62" s="11">
        <f t="shared" si="5"/>
        <v>228</v>
      </c>
      <c r="H62" s="10">
        <f t="shared" si="6"/>
        <v>11</v>
      </c>
      <c r="I62" s="10">
        <f t="shared" si="1"/>
        <v>9.4962</v>
      </c>
      <c r="J62" s="10">
        <f t="shared" si="2"/>
        <v>20.727272727272727</v>
      </c>
      <c r="K62" s="10">
        <f t="shared" si="7"/>
        <v>2.1826912583215101</v>
      </c>
      <c r="L62" s="12">
        <f t="shared" si="3"/>
        <v>0.22718181818181818</v>
      </c>
      <c r="M62" s="13">
        <f t="shared" si="4"/>
        <v>1.0960526315789474E-2</v>
      </c>
    </row>
    <row r="63" spans="1:13">
      <c r="A63" s="732">
        <v>62</v>
      </c>
      <c r="B63" s="731">
        <v>39917</v>
      </c>
      <c r="C63" s="732">
        <v>35348</v>
      </c>
      <c r="D63" s="733">
        <v>2.4990000000000001</v>
      </c>
      <c r="E63" s="733">
        <v>60</v>
      </c>
      <c r="F63" s="10">
        <f t="shared" si="0"/>
        <v>24.009603841536613</v>
      </c>
      <c r="G63" s="11">
        <f t="shared" si="5"/>
        <v>213</v>
      </c>
      <c r="H63" s="10">
        <f t="shared" si="6"/>
        <v>13</v>
      </c>
      <c r="I63" s="10">
        <f t="shared" si="1"/>
        <v>8.8714500000000012</v>
      </c>
      <c r="J63" s="10">
        <f t="shared" si="2"/>
        <v>16.384615384615383</v>
      </c>
      <c r="K63" s="10">
        <f t="shared" si="7"/>
        <v>1.846892603195124</v>
      </c>
      <c r="L63" s="12">
        <f t="shared" si="3"/>
        <v>0.19223076923076923</v>
      </c>
      <c r="M63" s="13">
        <f t="shared" si="4"/>
        <v>1.1732394366197184E-2</v>
      </c>
    </row>
    <row r="64" spans="1:13">
      <c r="A64" s="732">
        <v>63</v>
      </c>
      <c r="B64" s="731">
        <v>39930</v>
      </c>
      <c r="C64" s="732">
        <v>35575</v>
      </c>
      <c r="D64" s="733">
        <v>2.399</v>
      </c>
      <c r="E64" s="733">
        <v>60</v>
      </c>
      <c r="F64" s="10">
        <f t="shared" si="0"/>
        <v>25.010421008753646</v>
      </c>
      <c r="G64" s="11">
        <f t="shared" si="5"/>
        <v>227</v>
      </c>
      <c r="H64" s="10">
        <f t="shared" si="6"/>
        <v>13</v>
      </c>
      <c r="I64" s="10">
        <f t="shared" si="1"/>
        <v>9.4545500000000011</v>
      </c>
      <c r="J64" s="10">
        <f t="shared" si="2"/>
        <v>17.46153846153846</v>
      </c>
      <c r="K64" s="10">
        <f t="shared" si="7"/>
        <v>1.846892603195124</v>
      </c>
      <c r="L64" s="12">
        <f t="shared" si="3"/>
        <v>0.19223076923076923</v>
      </c>
      <c r="M64" s="13">
        <f t="shared" si="4"/>
        <v>1.1008810572687225E-2</v>
      </c>
    </row>
    <row r="65" spans="1:13">
      <c r="A65" s="732">
        <v>64</v>
      </c>
      <c r="B65" s="731">
        <v>39939</v>
      </c>
      <c r="C65" s="732">
        <v>35850</v>
      </c>
      <c r="D65" s="733">
        <v>2.399</v>
      </c>
      <c r="E65" s="733">
        <v>60</v>
      </c>
      <c r="F65" s="10">
        <f t="shared" si="0"/>
        <v>25.010421008753646</v>
      </c>
      <c r="G65" s="11">
        <f t="shared" si="5"/>
        <v>275</v>
      </c>
      <c r="H65" s="10">
        <f t="shared" si="6"/>
        <v>9</v>
      </c>
      <c r="I65" s="10">
        <f t="shared" si="1"/>
        <v>10.995416666666667</v>
      </c>
      <c r="J65" s="10">
        <f t="shared" si="2"/>
        <v>30.555555555555557</v>
      </c>
      <c r="K65" s="10">
        <f t="shared" si="7"/>
        <v>2.7789356676392938</v>
      </c>
      <c r="L65" s="12">
        <f t="shared" si="3"/>
        <v>0.26655555555555555</v>
      </c>
      <c r="M65" s="13">
        <f t="shared" si="4"/>
        <v>8.723636363636364E-3</v>
      </c>
    </row>
    <row r="66" spans="1:13">
      <c r="A66" s="732">
        <v>65</v>
      </c>
      <c r="B66" s="731">
        <v>39949</v>
      </c>
      <c r="C66" s="732">
        <v>36048</v>
      </c>
      <c r="D66" s="733">
        <v>2.399</v>
      </c>
      <c r="E66" s="733">
        <v>20</v>
      </c>
      <c r="F66" s="10">
        <f t="shared" si="0"/>
        <v>8.3368070029178831</v>
      </c>
      <c r="G66" s="11">
        <f t="shared" si="5"/>
        <v>198</v>
      </c>
      <c r="H66" s="10">
        <f t="shared" si="6"/>
        <v>10</v>
      </c>
      <c r="I66" s="10">
        <f t="shared" si="1"/>
        <v>7.9167000000000005</v>
      </c>
      <c r="J66" s="10">
        <f t="shared" si="2"/>
        <v>19.8</v>
      </c>
      <c r="K66" s="10">
        <f t="shared" si="7"/>
        <v>2.5010421008753645</v>
      </c>
      <c r="L66" s="12">
        <f t="shared" si="3"/>
        <v>0.2399</v>
      </c>
      <c r="M66" s="13">
        <f t="shared" si="4"/>
        <v>1.2116161616161617E-2</v>
      </c>
    </row>
    <row r="67" spans="1:13">
      <c r="A67" s="732">
        <v>66</v>
      </c>
      <c r="B67" s="731">
        <v>39952</v>
      </c>
      <c r="C67" s="732">
        <v>36162</v>
      </c>
      <c r="D67" s="733">
        <v>2.399</v>
      </c>
      <c r="E67" s="733">
        <v>60</v>
      </c>
      <c r="F67" s="10">
        <f t="shared" ref="F67:F75" si="8">IF(D67&lt;&gt;"",E67/D67,"")</f>
        <v>25.010421008753646</v>
      </c>
      <c r="G67" s="11">
        <f t="shared" si="5"/>
        <v>114</v>
      </c>
      <c r="H67" s="10">
        <f t="shared" si="6"/>
        <v>3</v>
      </c>
      <c r="I67" s="10">
        <f t="shared" ref="I67:I75" si="9">IF(G67="","",G67/F66)</f>
        <v>13.674299999999999</v>
      </c>
      <c r="J67" s="10">
        <f t="shared" ref="J67:J75" si="10">IF(G67&lt;&gt;"",IF(H67&gt;0,G67/H67,G67),"" )</f>
        <v>38</v>
      </c>
      <c r="K67" s="10">
        <f t="shared" si="7"/>
        <v>2.7789356676392942</v>
      </c>
      <c r="L67" s="12">
        <f t="shared" ref="L67:L75" si="11">IF(H67="","",IF(H67=0,D66,D66/H67))</f>
        <v>0.79966666666666664</v>
      </c>
      <c r="M67" s="13">
        <f t="shared" ref="M67:M75" si="12">IF(G67="","",D66/G67)</f>
        <v>2.1043859649122806E-2</v>
      </c>
    </row>
    <row r="68" spans="1:13">
      <c r="A68" s="732">
        <v>67</v>
      </c>
      <c r="B68" s="731">
        <v>39966</v>
      </c>
      <c r="C68" s="732">
        <v>36392</v>
      </c>
      <c r="D68" s="733">
        <v>2.3290000000000002</v>
      </c>
      <c r="E68" s="733">
        <v>60</v>
      </c>
      <c r="F68" s="10">
        <f t="shared" si="8"/>
        <v>25.762129669385999</v>
      </c>
      <c r="G68" s="11">
        <f t="shared" ref="G68:G75" si="13">IF(B68="","",C68-C67)</f>
        <v>230</v>
      </c>
      <c r="H68" s="10">
        <f t="shared" ref="H68:H75" si="14">IF(B68="","",B68-B67)</f>
        <v>14</v>
      </c>
      <c r="I68" s="10">
        <f t="shared" si="9"/>
        <v>9.1961666666666666</v>
      </c>
      <c r="J68" s="10">
        <f t="shared" si="10"/>
        <v>16.428571428571427</v>
      </c>
      <c r="K68" s="10">
        <f t="shared" ref="K68:K75" si="15">IF(H68="","",IF(H68=0,F68,F67/H68))</f>
        <v>1.7864586434824032</v>
      </c>
      <c r="L68" s="12">
        <f t="shared" si="11"/>
        <v>0.17135714285714285</v>
      </c>
      <c r="M68" s="13">
        <f t="shared" si="12"/>
        <v>1.0430434782608695E-2</v>
      </c>
    </row>
    <row r="69" spans="1:13">
      <c r="A69" s="732">
        <v>68</v>
      </c>
      <c r="B69" s="731">
        <v>39983</v>
      </c>
      <c r="C69" s="732">
        <v>36610</v>
      </c>
      <c r="D69" s="733">
        <v>2.399</v>
      </c>
      <c r="E69" s="733">
        <v>60</v>
      </c>
      <c r="F69" s="10">
        <f t="shared" si="8"/>
        <v>25.010421008753646</v>
      </c>
      <c r="G69" s="11">
        <f t="shared" si="13"/>
        <v>218</v>
      </c>
      <c r="H69" s="10">
        <f t="shared" si="14"/>
        <v>17</v>
      </c>
      <c r="I69" s="10">
        <f t="shared" si="9"/>
        <v>8.4620333333333342</v>
      </c>
      <c r="J69" s="10">
        <f t="shared" si="10"/>
        <v>12.823529411764707</v>
      </c>
      <c r="K69" s="10">
        <f t="shared" si="15"/>
        <v>1.5154193923168235</v>
      </c>
      <c r="L69" s="12">
        <f t="shared" si="11"/>
        <v>0.13700000000000001</v>
      </c>
      <c r="M69" s="13">
        <f t="shared" si="12"/>
        <v>1.0683486238532111E-2</v>
      </c>
    </row>
    <row r="70" spans="1:13">
      <c r="A70" s="732">
        <v>69</v>
      </c>
      <c r="B70" s="731">
        <v>40001</v>
      </c>
      <c r="C70" s="732">
        <v>36836</v>
      </c>
      <c r="D70" s="733">
        <v>2.4990000000000001</v>
      </c>
      <c r="E70" s="733">
        <v>60</v>
      </c>
      <c r="F70" s="10">
        <f t="shared" si="8"/>
        <v>24.009603841536613</v>
      </c>
      <c r="G70" s="11">
        <f t="shared" si="13"/>
        <v>226</v>
      </c>
      <c r="H70" s="10">
        <f t="shared" si="14"/>
        <v>18</v>
      </c>
      <c r="I70" s="10">
        <f t="shared" si="9"/>
        <v>9.0362333333333336</v>
      </c>
      <c r="J70" s="10">
        <f t="shared" si="10"/>
        <v>12.555555555555555</v>
      </c>
      <c r="K70" s="10">
        <f t="shared" si="15"/>
        <v>1.3894678338196469</v>
      </c>
      <c r="L70" s="12">
        <f t="shared" si="11"/>
        <v>0.13327777777777777</v>
      </c>
      <c r="M70" s="13">
        <f t="shared" si="12"/>
        <v>1.061504424778761E-2</v>
      </c>
    </row>
    <row r="71" spans="1:13">
      <c r="A71" s="732">
        <v>70</v>
      </c>
      <c r="B71" s="731"/>
      <c r="C71" s="732"/>
      <c r="D71" s="733"/>
      <c r="E71" s="733"/>
      <c r="F71" s="10" t="str">
        <f t="shared" si="8"/>
        <v/>
      </c>
      <c r="G71" s="11" t="str">
        <f t="shared" si="13"/>
        <v/>
      </c>
      <c r="H71" s="10" t="str">
        <f t="shared" si="14"/>
        <v/>
      </c>
      <c r="I71" s="10" t="str">
        <f t="shared" si="9"/>
        <v/>
      </c>
      <c r="J71" s="10" t="str">
        <f t="shared" si="10"/>
        <v/>
      </c>
      <c r="K71" s="10" t="str">
        <f t="shared" si="15"/>
        <v/>
      </c>
      <c r="L71" s="12" t="str">
        <f t="shared" si="11"/>
        <v/>
      </c>
      <c r="M71" s="13" t="str">
        <f t="shared" si="12"/>
        <v/>
      </c>
    </row>
    <row r="72" spans="1:13">
      <c r="A72" s="732">
        <v>71</v>
      </c>
      <c r="B72" s="731"/>
      <c r="C72" s="732"/>
      <c r="D72" s="733"/>
      <c r="E72" s="733"/>
      <c r="F72" s="10" t="str">
        <f t="shared" si="8"/>
        <v/>
      </c>
      <c r="G72" s="11" t="str">
        <f t="shared" si="13"/>
        <v/>
      </c>
      <c r="H72" s="10" t="str">
        <f t="shared" si="14"/>
        <v/>
      </c>
      <c r="I72" s="10" t="str">
        <f t="shared" si="9"/>
        <v/>
      </c>
      <c r="J72" s="10" t="str">
        <f t="shared" si="10"/>
        <v/>
      </c>
      <c r="K72" s="10" t="str">
        <f t="shared" si="15"/>
        <v/>
      </c>
      <c r="L72" s="12" t="str">
        <f t="shared" si="11"/>
        <v/>
      </c>
      <c r="M72" s="13" t="str">
        <f t="shared" si="12"/>
        <v/>
      </c>
    </row>
    <row r="73" spans="1:13">
      <c r="A73" s="732">
        <v>72</v>
      </c>
      <c r="B73" s="731"/>
      <c r="C73" s="732"/>
      <c r="D73" s="733"/>
      <c r="E73" s="733"/>
      <c r="F73" s="10" t="str">
        <f t="shared" si="8"/>
        <v/>
      </c>
      <c r="G73" s="11" t="str">
        <f t="shared" si="13"/>
        <v/>
      </c>
      <c r="H73" s="10" t="str">
        <f t="shared" si="14"/>
        <v/>
      </c>
      <c r="I73" s="10" t="str">
        <f t="shared" si="9"/>
        <v/>
      </c>
      <c r="J73" s="10" t="str">
        <f t="shared" si="10"/>
        <v/>
      </c>
      <c r="K73" s="10" t="str">
        <f t="shared" si="15"/>
        <v/>
      </c>
      <c r="L73" s="12" t="str">
        <f t="shared" si="11"/>
        <v/>
      </c>
      <c r="M73" s="13" t="str">
        <f t="shared" si="12"/>
        <v/>
      </c>
    </row>
    <row r="74" spans="1:13">
      <c r="A74" s="732">
        <v>73</v>
      </c>
      <c r="B74" s="731"/>
      <c r="C74" s="732"/>
      <c r="D74" s="733"/>
      <c r="E74" s="733"/>
      <c r="F74" s="10" t="str">
        <f t="shared" si="8"/>
        <v/>
      </c>
      <c r="G74" s="11" t="str">
        <f t="shared" si="13"/>
        <v/>
      </c>
      <c r="H74" s="10" t="str">
        <f t="shared" si="14"/>
        <v/>
      </c>
      <c r="I74" s="10" t="str">
        <f t="shared" si="9"/>
        <v/>
      </c>
      <c r="J74" s="10" t="str">
        <f t="shared" si="10"/>
        <v/>
      </c>
      <c r="K74" s="10" t="str">
        <f t="shared" si="15"/>
        <v/>
      </c>
      <c r="L74" s="12" t="str">
        <f t="shared" si="11"/>
        <v/>
      </c>
      <c r="M74" s="13" t="str">
        <f t="shared" si="12"/>
        <v/>
      </c>
    </row>
    <row r="75" spans="1:13">
      <c r="B75" s="737"/>
      <c r="C75" s="738" t="s">
        <v>920</v>
      </c>
      <c r="D75" s="739">
        <f>AVERAGE(D2:D70)</f>
        <v>2.4500710144927518</v>
      </c>
      <c r="E75" s="739">
        <f>AVERAGE(E2:E70)</f>
        <v>65.1804347826087</v>
      </c>
      <c r="F75" s="10">
        <f t="shared" si="8"/>
        <v>26.603487979348742</v>
      </c>
      <c r="G75" s="11" t="str">
        <f t="shared" si="13"/>
        <v/>
      </c>
      <c r="H75" s="10" t="str">
        <f t="shared" si="14"/>
        <v/>
      </c>
      <c r="I75" s="10" t="str">
        <f t="shared" si="9"/>
        <v/>
      </c>
      <c r="J75" s="10" t="str">
        <f t="shared" si="10"/>
        <v/>
      </c>
      <c r="K75" s="10" t="str">
        <f t="shared" si="15"/>
        <v/>
      </c>
      <c r="L75" s="12" t="str">
        <f t="shared" si="11"/>
        <v/>
      </c>
      <c r="M75" s="13" t="str">
        <f t="shared" si="12"/>
        <v/>
      </c>
    </row>
    <row r="76" spans="1:13">
      <c r="E76" s="21">
        <f>SUM(E2:E70)</f>
        <v>4497.4500000000007</v>
      </c>
      <c r="F76" s="22">
        <f>SUM(F2:F43)</f>
        <v>1198.862954017867</v>
      </c>
      <c r="G76" s="23">
        <f>SUM(G2:G43)</f>
        <v>12725</v>
      </c>
    </row>
  </sheetData>
  <sheetProtection selectLockedCells="1" selectUnlockedCells="1"/>
  <conditionalFormatting sqref="L2:M75">
    <cfRule type="cellIs" dxfId="3" priority="1" stopIfTrue="1" operator="lessThan">
      <formula>0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Plan98"/>
  <dimension ref="A1:N69"/>
  <sheetViews>
    <sheetView workbookViewId="0">
      <pane xSplit="15" ySplit="1" topLeftCell="P32" activePane="bottomRight" state="frozen"/>
      <selection pane="bottomRight" activeCell="P1" sqref="P1"/>
      <selection pane="bottomLeft" activeCell="A24" sqref="A24"/>
      <selection pane="topRight" activeCell="P1" sqref="P1"/>
    </sheetView>
  </sheetViews>
  <sheetFormatPr defaultColWidth="11.7109375" defaultRowHeight="13.5"/>
  <cols>
    <col min="1" max="1" width="4.42578125" style="3" customWidth="1"/>
    <col min="2" max="2" width="12.42578125" style="3" customWidth="1"/>
    <col min="3" max="3" width="14.85546875" style="3" customWidth="1"/>
    <col min="4" max="7" width="13.7109375" style="3" customWidth="1"/>
    <col min="8" max="8" width="11.28515625" style="3" customWidth="1"/>
    <col min="9" max="9" width="8.28515625" style="3" customWidth="1"/>
    <col min="10" max="10" width="10.140625" style="3" customWidth="1"/>
    <col min="11" max="11" width="9" style="3" customWidth="1"/>
    <col min="12" max="12" width="9.85546875" style="3" customWidth="1"/>
    <col min="13" max="13" width="11.42578125" style="3" customWidth="1"/>
    <col min="14" max="14" width="10.140625" style="3" customWidth="1"/>
    <col min="15" max="15" width="11.7109375" style="3"/>
    <col min="16" max="16" width="15.5703125" style="3" customWidth="1"/>
    <col min="17" max="16384" width="11.7109375" style="3"/>
  </cols>
  <sheetData>
    <row r="1" spans="1:14">
      <c r="A1" s="4" t="s">
        <v>906</v>
      </c>
      <c r="B1" s="4" t="s">
        <v>0</v>
      </c>
      <c r="C1" s="4" t="s">
        <v>907</v>
      </c>
      <c r="D1" s="4" t="s">
        <v>908</v>
      </c>
      <c r="E1" s="4" t="s">
        <v>909</v>
      </c>
      <c r="F1" s="4" t="s">
        <v>365</v>
      </c>
      <c r="G1" s="4" t="s">
        <v>910</v>
      </c>
      <c r="H1" s="4" t="s">
        <v>911</v>
      </c>
      <c r="I1" s="4" t="s">
        <v>912</v>
      </c>
      <c r="J1" s="4" t="s">
        <v>913</v>
      </c>
      <c r="K1" s="4" t="s">
        <v>914</v>
      </c>
      <c r="L1" s="4" t="s">
        <v>915</v>
      </c>
      <c r="M1" s="5" t="s">
        <v>916</v>
      </c>
      <c r="N1" s="4" t="s">
        <v>917</v>
      </c>
    </row>
    <row r="2" spans="1:14">
      <c r="A2" s="6">
        <v>1</v>
      </c>
      <c r="B2" s="7">
        <v>40011</v>
      </c>
      <c r="C2" s="8">
        <v>11</v>
      </c>
      <c r="D2" s="9">
        <v>2.4990000000000001</v>
      </c>
      <c r="E2" s="9">
        <v>5</v>
      </c>
      <c r="F2" s="9" t="s">
        <v>918</v>
      </c>
      <c r="G2" s="10">
        <f>IF(D2="","",E2/D2)</f>
        <v>2.0008003201280511</v>
      </c>
      <c r="H2" s="11">
        <v>0</v>
      </c>
      <c r="I2" s="10">
        <v>0</v>
      </c>
      <c r="J2" s="10">
        <v>0</v>
      </c>
      <c r="K2" s="10">
        <v>0</v>
      </c>
      <c r="L2" s="10">
        <v>0</v>
      </c>
      <c r="M2" s="13">
        <v>0</v>
      </c>
      <c r="N2" s="13">
        <v>0</v>
      </c>
    </row>
    <row r="3" spans="1:14">
      <c r="A3" s="6">
        <v>2</v>
      </c>
      <c r="B3" s="7">
        <v>40011</v>
      </c>
      <c r="C3" s="8">
        <v>11</v>
      </c>
      <c r="D3" s="9">
        <v>1.6</v>
      </c>
      <c r="E3" s="9">
        <v>63</v>
      </c>
      <c r="F3" s="9" t="s">
        <v>919</v>
      </c>
      <c r="G3" s="10">
        <f>IF(E3&lt;&gt;"",E3/D3,"")</f>
        <v>39.375</v>
      </c>
      <c r="H3" s="11">
        <f>IF(C3="","",C3-C2)</f>
        <v>0</v>
      </c>
      <c r="I3" s="10">
        <f>IF(B3="","",B3-B2)</f>
        <v>0</v>
      </c>
      <c r="J3" s="10">
        <f>IF(H3="","",H3/G2)</f>
        <v>0</v>
      </c>
      <c r="K3" s="10">
        <f>IF(H3&lt;&gt;"",IF(I3&gt;0,H3/I3,H3),"" )</f>
        <v>0</v>
      </c>
      <c r="L3" s="10">
        <f>IF(I3="","",IF(I3=0,G3,G2/I3))</f>
        <v>39.375</v>
      </c>
      <c r="M3" s="12">
        <f>IF(I3="","",IF(I3=0,E2,E2/I3))</f>
        <v>5</v>
      </c>
      <c r="N3" s="13" t="e">
        <f>IF(H3="","",E2/H3)</f>
        <v>#DIV/0!</v>
      </c>
    </row>
    <row r="4" spans="1:14">
      <c r="A4" s="6">
        <v>3</v>
      </c>
      <c r="B4" s="7">
        <v>40011</v>
      </c>
      <c r="C4" s="8">
        <v>11</v>
      </c>
      <c r="D4" s="9">
        <f>AVERAGE(D2:D3)</f>
        <v>2.0495000000000001</v>
      </c>
      <c r="E4" s="9">
        <f>SUM(E2:E3)</f>
        <v>68</v>
      </c>
      <c r="F4" s="9" t="s">
        <v>922</v>
      </c>
      <c r="G4" s="10">
        <f t="shared" ref="G4:G59" si="0">IF(E4&lt;&gt;"",E4/D4,"")</f>
        <v>33.178824103439865</v>
      </c>
      <c r="H4" s="11">
        <f t="shared" ref="H4:H59" si="1">IF(C4="","",C4-C3)</f>
        <v>0</v>
      </c>
      <c r="I4" s="10">
        <f t="shared" ref="I4:I59" si="2">IF(B4="","",B4-B3)</f>
        <v>0</v>
      </c>
      <c r="J4" s="10">
        <f t="shared" ref="J4:J59" si="3">IF(H4="","",H4/G3)</f>
        <v>0</v>
      </c>
      <c r="K4" s="10">
        <f t="shared" ref="K4:K59" si="4">IF(H4&lt;&gt;"",IF(I4&gt;0,H4/I4,H4),"" )</f>
        <v>0</v>
      </c>
      <c r="L4" s="10">
        <f t="shared" ref="L4:L59" si="5">IF(I4="","",IF(I4=0,G4,G3/I4))</f>
        <v>33.178824103439865</v>
      </c>
      <c r="M4" s="12">
        <f t="shared" ref="M4:M59" si="6">IF(I4="","",IF(I4=0,E3,E3/I4))</f>
        <v>63</v>
      </c>
      <c r="N4" s="13" t="e">
        <f t="shared" ref="N4:N59" si="7">IF(H4="","",E3/H4)</f>
        <v>#DIV/0!</v>
      </c>
    </row>
    <row r="5" spans="1:14">
      <c r="A5" s="743">
        <v>6</v>
      </c>
      <c r="B5" s="7">
        <v>40024</v>
      </c>
      <c r="C5" s="8">
        <v>317</v>
      </c>
      <c r="D5" s="9">
        <v>2.4990000000000001</v>
      </c>
      <c r="E5" s="9">
        <v>13.01</v>
      </c>
      <c r="F5" s="9" t="s">
        <v>918</v>
      </c>
      <c r="G5" s="10">
        <f t="shared" si="0"/>
        <v>5.2060824329731892</v>
      </c>
      <c r="H5" s="11">
        <f t="shared" si="1"/>
        <v>306</v>
      </c>
      <c r="I5" s="10">
        <f t="shared" si="2"/>
        <v>13</v>
      </c>
      <c r="J5" s="10">
        <f t="shared" si="3"/>
        <v>9.2227499999999996</v>
      </c>
      <c r="K5" s="10">
        <f t="shared" si="4"/>
        <v>23.53846153846154</v>
      </c>
      <c r="L5" s="10">
        <f t="shared" si="5"/>
        <v>2.5522172387261435</v>
      </c>
      <c r="M5" s="12">
        <f t="shared" si="6"/>
        <v>5.2307692307692308</v>
      </c>
      <c r="N5" s="13">
        <f t="shared" si="7"/>
        <v>0.22222222222222221</v>
      </c>
    </row>
    <row r="6" spans="1:14">
      <c r="A6" s="6">
        <v>7</v>
      </c>
      <c r="B6" s="7">
        <v>40024</v>
      </c>
      <c r="C6" s="8">
        <v>317</v>
      </c>
      <c r="D6" s="9">
        <v>1.1990000000000001</v>
      </c>
      <c r="E6" s="9">
        <v>47.01</v>
      </c>
      <c r="F6" s="9" t="s">
        <v>919</v>
      </c>
      <c r="G6" s="10">
        <f t="shared" si="0"/>
        <v>39.207673060884069</v>
      </c>
      <c r="H6" s="11">
        <f t="shared" si="1"/>
        <v>0</v>
      </c>
      <c r="I6" s="10">
        <f t="shared" si="2"/>
        <v>0</v>
      </c>
      <c r="J6" s="10">
        <f t="shared" si="3"/>
        <v>0</v>
      </c>
      <c r="K6" s="10">
        <f t="shared" si="4"/>
        <v>0</v>
      </c>
      <c r="L6" s="10">
        <f t="shared" si="5"/>
        <v>39.207673060884069</v>
      </c>
      <c r="M6" s="12">
        <f t="shared" si="6"/>
        <v>13.01</v>
      </c>
      <c r="N6" s="13" t="e">
        <f t="shared" si="7"/>
        <v>#DIV/0!</v>
      </c>
    </row>
    <row r="7" spans="1:14">
      <c r="A7" s="6">
        <v>8</v>
      </c>
      <c r="B7" s="7">
        <v>40024</v>
      </c>
      <c r="C7" s="8">
        <v>317</v>
      </c>
      <c r="D7" s="9">
        <f>AVERAGE(D5:D6)</f>
        <v>1.8490000000000002</v>
      </c>
      <c r="E7" s="9">
        <f>SUM(E5:E6)</f>
        <v>60.019999999999996</v>
      </c>
      <c r="F7" s="9" t="s">
        <v>922</v>
      </c>
      <c r="G7" s="10">
        <f t="shared" si="0"/>
        <v>32.460789616008647</v>
      </c>
      <c r="H7" s="11">
        <f t="shared" si="1"/>
        <v>0</v>
      </c>
      <c r="I7" s="10">
        <f t="shared" si="2"/>
        <v>0</v>
      </c>
      <c r="J7" s="10">
        <f t="shared" si="3"/>
        <v>0</v>
      </c>
      <c r="K7" s="10">
        <f t="shared" si="4"/>
        <v>0</v>
      </c>
      <c r="L7" s="10">
        <f t="shared" si="5"/>
        <v>32.460789616008647</v>
      </c>
      <c r="M7" s="12">
        <f t="shared" si="6"/>
        <v>47.01</v>
      </c>
      <c r="N7" s="13" t="e">
        <f t="shared" si="7"/>
        <v>#DIV/0!</v>
      </c>
    </row>
    <row r="8" spans="1:14">
      <c r="A8" s="743">
        <v>9</v>
      </c>
      <c r="B8" s="7">
        <v>40036</v>
      </c>
      <c r="C8" s="8">
        <v>634</v>
      </c>
      <c r="D8" s="9">
        <v>2.4990000000000001</v>
      </c>
      <c r="E8" s="9">
        <v>15</v>
      </c>
      <c r="F8" s="9" t="s">
        <v>918</v>
      </c>
      <c r="G8" s="10">
        <f t="shared" si="0"/>
        <v>6.0024009603841533</v>
      </c>
      <c r="H8" s="11">
        <f t="shared" si="1"/>
        <v>317</v>
      </c>
      <c r="I8" s="10">
        <f t="shared" si="2"/>
        <v>12</v>
      </c>
      <c r="J8" s="10">
        <f t="shared" si="3"/>
        <v>9.7656281239586828</v>
      </c>
      <c r="K8" s="10">
        <f t="shared" si="4"/>
        <v>26.416666666666668</v>
      </c>
      <c r="L8" s="10">
        <f t="shared" si="5"/>
        <v>2.7050658013340541</v>
      </c>
      <c r="M8" s="12">
        <f t="shared" si="6"/>
        <v>5.001666666666666</v>
      </c>
      <c r="N8" s="13">
        <f t="shared" si="7"/>
        <v>0.18933753943217665</v>
      </c>
    </row>
    <row r="9" spans="1:14">
      <c r="A9" s="6">
        <v>10</v>
      </c>
      <c r="B9" s="7">
        <v>40036</v>
      </c>
      <c r="C9" s="8">
        <v>634</v>
      </c>
      <c r="D9" s="9">
        <v>1.2490000000000001</v>
      </c>
      <c r="E9" s="9">
        <f>57.5-15</f>
        <v>42.5</v>
      </c>
      <c r="F9" s="9" t="s">
        <v>919</v>
      </c>
      <c r="G9" s="10">
        <f t="shared" si="0"/>
        <v>34.027221777421936</v>
      </c>
      <c r="H9" s="11">
        <f t="shared" si="1"/>
        <v>0</v>
      </c>
      <c r="I9" s="10">
        <f t="shared" si="2"/>
        <v>0</v>
      </c>
      <c r="J9" s="10">
        <f t="shared" si="3"/>
        <v>0</v>
      </c>
      <c r="K9" s="10">
        <f t="shared" si="4"/>
        <v>0</v>
      </c>
      <c r="L9" s="10">
        <f t="shared" si="5"/>
        <v>34.027221777421936</v>
      </c>
      <c r="M9" s="12">
        <f t="shared" si="6"/>
        <v>15</v>
      </c>
      <c r="N9" s="13" t="e">
        <f t="shared" si="7"/>
        <v>#DIV/0!</v>
      </c>
    </row>
    <row r="10" spans="1:14">
      <c r="A10" s="6">
        <v>11</v>
      </c>
      <c r="B10" s="7">
        <v>40036</v>
      </c>
      <c r="C10" s="8">
        <v>634</v>
      </c>
      <c r="D10" s="9">
        <f>AVERAGE(D8:D9)</f>
        <v>1.8740000000000001</v>
      </c>
      <c r="E10" s="9">
        <f>SUM(E8:E9)</f>
        <v>57.5</v>
      </c>
      <c r="F10" s="9" t="s">
        <v>922</v>
      </c>
      <c r="G10" s="10">
        <f t="shared" si="0"/>
        <v>30.683030949839914</v>
      </c>
      <c r="H10" s="11">
        <f t="shared" si="1"/>
        <v>0</v>
      </c>
      <c r="I10" s="10">
        <f t="shared" si="2"/>
        <v>0</v>
      </c>
      <c r="J10" s="10">
        <f t="shared" si="3"/>
        <v>0</v>
      </c>
      <c r="K10" s="10">
        <f t="shared" si="4"/>
        <v>0</v>
      </c>
      <c r="L10" s="10">
        <f t="shared" si="5"/>
        <v>30.683030949839914</v>
      </c>
      <c r="M10" s="12">
        <f t="shared" si="6"/>
        <v>42.5</v>
      </c>
      <c r="N10" s="13" t="e">
        <f t="shared" si="7"/>
        <v>#DIV/0!</v>
      </c>
    </row>
    <row r="11" spans="1:14">
      <c r="A11" s="6">
        <v>12</v>
      </c>
      <c r="B11" s="7">
        <v>40049</v>
      </c>
      <c r="C11" s="8">
        <v>877</v>
      </c>
      <c r="D11" s="9">
        <v>2.5</v>
      </c>
      <c r="E11" s="9">
        <v>14</v>
      </c>
      <c r="F11" s="9" t="s">
        <v>918</v>
      </c>
      <c r="G11" s="10">
        <f t="shared" si="0"/>
        <v>5.6</v>
      </c>
      <c r="H11" s="11">
        <f t="shared" si="1"/>
        <v>243</v>
      </c>
      <c r="I11" s="10">
        <f t="shared" si="2"/>
        <v>13</v>
      </c>
      <c r="J11" s="10">
        <f t="shared" si="3"/>
        <v>7.9196869565217396</v>
      </c>
      <c r="K11" s="10">
        <f t="shared" si="4"/>
        <v>18.692307692307693</v>
      </c>
      <c r="L11" s="10">
        <f t="shared" si="5"/>
        <v>2.3602331499876859</v>
      </c>
      <c r="M11" s="12">
        <f t="shared" si="6"/>
        <v>4.4230769230769234</v>
      </c>
      <c r="N11" s="13">
        <f t="shared" si="7"/>
        <v>0.23662551440329219</v>
      </c>
    </row>
    <row r="12" spans="1:14">
      <c r="A12" s="6">
        <v>13</v>
      </c>
      <c r="B12" s="7">
        <v>40049</v>
      </c>
      <c r="C12" s="8">
        <v>877</v>
      </c>
      <c r="D12" s="9">
        <v>1.2490000000000001</v>
      </c>
      <c r="E12" s="9">
        <v>50</v>
      </c>
      <c r="F12" s="9" t="s">
        <v>919</v>
      </c>
      <c r="G12" s="10">
        <f t="shared" si="0"/>
        <v>40.032025620496391</v>
      </c>
      <c r="H12" s="11">
        <f t="shared" si="1"/>
        <v>0</v>
      </c>
      <c r="I12" s="10">
        <f t="shared" si="2"/>
        <v>0</v>
      </c>
      <c r="J12" s="10">
        <f t="shared" si="3"/>
        <v>0</v>
      </c>
      <c r="K12" s="10">
        <f t="shared" si="4"/>
        <v>0</v>
      </c>
      <c r="L12" s="10">
        <f t="shared" si="5"/>
        <v>40.032025620496391</v>
      </c>
      <c r="M12" s="12">
        <f t="shared" si="6"/>
        <v>14</v>
      </c>
      <c r="N12" s="13" t="e">
        <f t="shared" si="7"/>
        <v>#DIV/0!</v>
      </c>
    </row>
    <row r="13" spans="1:14">
      <c r="A13" s="6">
        <v>14</v>
      </c>
      <c r="B13" s="7">
        <v>40049</v>
      </c>
      <c r="C13" s="8">
        <v>877</v>
      </c>
      <c r="D13" s="9">
        <f>AVERAGE(D11:D12)</f>
        <v>1.8745000000000001</v>
      </c>
      <c r="E13" s="9">
        <f>SUM(E11:E12)</f>
        <v>64</v>
      </c>
      <c r="F13" s="9" t="s">
        <v>922</v>
      </c>
      <c r="G13" s="10">
        <f t="shared" si="0"/>
        <v>34.142437983462258</v>
      </c>
      <c r="H13" s="11">
        <f t="shared" si="1"/>
        <v>0</v>
      </c>
      <c r="I13" s="10">
        <f t="shared" si="2"/>
        <v>0</v>
      </c>
      <c r="J13" s="10">
        <f t="shared" si="3"/>
        <v>0</v>
      </c>
      <c r="K13" s="10">
        <f t="shared" si="4"/>
        <v>0</v>
      </c>
      <c r="L13" s="10">
        <f t="shared" si="5"/>
        <v>34.142437983462258</v>
      </c>
      <c r="M13" s="12">
        <f t="shared" si="6"/>
        <v>50</v>
      </c>
      <c r="N13" s="13" t="e">
        <f t="shared" si="7"/>
        <v>#DIV/0!</v>
      </c>
    </row>
    <row r="14" spans="1:14">
      <c r="A14" s="6">
        <v>15</v>
      </c>
      <c r="B14" s="7">
        <v>40066</v>
      </c>
      <c r="C14" s="8">
        <v>1143</v>
      </c>
      <c r="D14" s="9">
        <v>2.4990000000000001</v>
      </c>
      <c r="E14" s="9">
        <v>12.55</v>
      </c>
      <c r="F14" s="9" t="s">
        <v>918</v>
      </c>
      <c r="G14" s="10">
        <f t="shared" si="0"/>
        <v>5.022008803521409</v>
      </c>
      <c r="H14" s="11">
        <f t="shared" si="1"/>
        <v>266</v>
      </c>
      <c r="I14" s="10">
        <f t="shared" si="2"/>
        <v>17</v>
      </c>
      <c r="J14" s="10">
        <f t="shared" si="3"/>
        <v>7.7908906249999994</v>
      </c>
      <c r="K14" s="10">
        <f t="shared" si="4"/>
        <v>15.647058823529411</v>
      </c>
      <c r="L14" s="10">
        <f t="shared" si="5"/>
        <v>2.0083787049095445</v>
      </c>
      <c r="M14" s="12">
        <f t="shared" si="6"/>
        <v>3.7647058823529411</v>
      </c>
      <c r="N14" s="13">
        <f t="shared" si="7"/>
        <v>0.24060150375939848</v>
      </c>
    </row>
    <row r="15" spans="1:14">
      <c r="A15" s="6">
        <v>16</v>
      </c>
      <c r="B15" s="7">
        <v>40066</v>
      </c>
      <c r="C15" s="8">
        <v>1143</v>
      </c>
      <c r="D15" s="9">
        <v>1.2490000000000001</v>
      </c>
      <c r="E15" s="9">
        <v>49.47</v>
      </c>
      <c r="F15" s="9" t="s">
        <v>919</v>
      </c>
      <c r="G15" s="10">
        <f t="shared" si="0"/>
        <v>39.607686148919129</v>
      </c>
      <c r="H15" s="11">
        <f t="shared" si="1"/>
        <v>0</v>
      </c>
      <c r="I15" s="10">
        <f t="shared" si="2"/>
        <v>0</v>
      </c>
      <c r="J15" s="10">
        <f t="shared" si="3"/>
        <v>0</v>
      </c>
      <c r="K15" s="10">
        <f t="shared" si="4"/>
        <v>0</v>
      </c>
      <c r="L15" s="10">
        <f t="shared" si="5"/>
        <v>39.607686148919129</v>
      </c>
      <c r="M15" s="12">
        <f t="shared" si="6"/>
        <v>12.55</v>
      </c>
      <c r="N15" s="13" t="e">
        <f t="shared" si="7"/>
        <v>#DIV/0!</v>
      </c>
    </row>
    <row r="16" spans="1:14">
      <c r="A16" s="6">
        <v>17</v>
      </c>
      <c r="B16" s="7">
        <v>40066</v>
      </c>
      <c r="C16" s="8">
        <v>1143</v>
      </c>
      <c r="D16" s="9">
        <f>AVERAGE(D14:D15)</f>
        <v>1.8740000000000001</v>
      </c>
      <c r="E16" s="9">
        <f>SUM(E14:E15)</f>
        <v>62.019999999999996</v>
      </c>
      <c r="F16" s="9" t="s">
        <v>922</v>
      </c>
      <c r="G16" s="10">
        <f t="shared" si="0"/>
        <v>33.094983991462108</v>
      </c>
      <c r="H16" s="11">
        <f t="shared" si="1"/>
        <v>0</v>
      </c>
      <c r="I16" s="10">
        <f t="shared" si="2"/>
        <v>0</v>
      </c>
      <c r="J16" s="10">
        <f t="shared" si="3"/>
        <v>0</v>
      </c>
      <c r="K16" s="10">
        <f t="shared" si="4"/>
        <v>0</v>
      </c>
      <c r="L16" s="10">
        <f t="shared" si="5"/>
        <v>33.094983991462108</v>
      </c>
      <c r="M16" s="12">
        <f t="shared" si="6"/>
        <v>49.47</v>
      </c>
      <c r="N16" s="13" t="e">
        <f t="shared" si="7"/>
        <v>#DIV/0!</v>
      </c>
    </row>
    <row r="17" spans="1:14">
      <c r="A17" s="6">
        <v>18</v>
      </c>
      <c r="B17" s="7">
        <v>40080</v>
      </c>
      <c r="C17" s="8">
        <v>1413</v>
      </c>
      <c r="D17" s="9">
        <v>1.2490000000000001</v>
      </c>
      <c r="E17" s="9">
        <v>56.59</v>
      </c>
      <c r="F17" s="9" t="s">
        <v>919</v>
      </c>
      <c r="G17" s="10">
        <f t="shared" si="0"/>
        <v>45.308246597277822</v>
      </c>
      <c r="H17" s="11">
        <f t="shared" si="1"/>
        <v>270</v>
      </c>
      <c r="I17" s="10">
        <f t="shared" si="2"/>
        <v>14</v>
      </c>
      <c r="J17" s="10">
        <f t="shared" si="3"/>
        <v>8.1583360206385045</v>
      </c>
      <c r="K17" s="10">
        <f t="shared" si="4"/>
        <v>19.285714285714285</v>
      </c>
      <c r="L17" s="10">
        <f t="shared" si="5"/>
        <v>2.363927427961579</v>
      </c>
      <c r="M17" s="12">
        <f t="shared" si="6"/>
        <v>4.43</v>
      </c>
      <c r="N17" s="13">
        <f t="shared" si="7"/>
        <v>0.22970370370370369</v>
      </c>
    </row>
    <row r="18" spans="1:14">
      <c r="A18" s="6">
        <v>21</v>
      </c>
      <c r="B18" s="7">
        <v>40083</v>
      </c>
      <c r="C18" s="8">
        <v>1767</v>
      </c>
      <c r="D18" s="9">
        <v>1.2490000000000001</v>
      </c>
      <c r="E18" s="9">
        <v>52.38</v>
      </c>
      <c r="F18" s="9" t="s">
        <v>919</v>
      </c>
      <c r="G18" s="10">
        <f t="shared" si="0"/>
        <v>41.937550040032022</v>
      </c>
      <c r="H18" s="11">
        <f t="shared" si="1"/>
        <v>354</v>
      </c>
      <c r="I18" s="10">
        <f t="shared" si="2"/>
        <v>3</v>
      </c>
      <c r="J18" s="10">
        <f t="shared" si="3"/>
        <v>7.8131471991517936</v>
      </c>
      <c r="K18" s="10">
        <f t="shared" si="4"/>
        <v>118</v>
      </c>
      <c r="L18" s="10">
        <f t="shared" si="5"/>
        <v>15.102748865759274</v>
      </c>
      <c r="M18" s="12">
        <f t="shared" si="6"/>
        <v>18.863333333333333</v>
      </c>
      <c r="N18" s="13">
        <f t="shared" si="7"/>
        <v>0.15985875706214689</v>
      </c>
    </row>
    <row r="19" spans="1:14">
      <c r="A19" s="6">
        <v>24</v>
      </c>
      <c r="B19" s="7">
        <v>40089</v>
      </c>
      <c r="C19" s="8">
        <v>1940</v>
      </c>
      <c r="D19" s="9">
        <v>1.4590000000000001</v>
      </c>
      <c r="E19" s="9">
        <f>53.7-5</f>
        <v>48.7</v>
      </c>
      <c r="F19" s="9" t="s">
        <v>919</v>
      </c>
      <c r="G19" s="10">
        <f t="shared" si="0"/>
        <v>33.37902673063742</v>
      </c>
      <c r="H19" s="11">
        <f t="shared" si="1"/>
        <v>173</v>
      </c>
      <c r="I19" s="10">
        <f t="shared" si="2"/>
        <v>6</v>
      </c>
      <c r="J19" s="10">
        <f t="shared" si="3"/>
        <v>4.125181366933945</v>
      </c>
      <c r="K19" s="10">
        <f t="shared" si="4"/>
        <v>28.833333333333332</v>
      </c>
      <c r="L19" s="10">
        <f t="shared" si="5"/>
        <v>6.98959167333867</v>
      </c>
      <c r="M19" s="12">
        <f t="shared" si="6"/>
        <v>8.73</v>
      </c>
      <c r="N19" s="13">
        <f t="shared" si="7"/>
        <v>0.30277456647398843</v>
      </c>
    </row>
    <row r="20" spans="1:14">
      <c r="A20" s="6">
        <v>25</v>
      </c>
      <c r="B20" s="7">
        <v>40090</v>
      </c>
      <c r="C20" s="8">
        <v>2361</v>
      </c>
      <c r="D20" s="9">
        <v>1.494</v>
      </c>
      <c r="E20" s="9">
        <v>66</v>
      </c>
      <c r="F20" s="9" t="s">
        <v>919</v>
      </c>
      <c r="G20" s="10">
        <f t="shared" si="0"/>
        <v>44.176706827309239</v>
      </c>
      <c r="H20" s="11">
        <f t="shared" si="1"/>
        <v>421</v>
      </c>
      <c r="I20" s="10">
        <f t="shared" si="2"/>
        <v>1</v>
      </c>
      <c r="J20" s="10">
        <f t="shared" si="3"/>
        <v>12.612710472279261</v>
      </c>
      <c r="K20" s="10">
        <f t="shared" si="4"/>
        <v>421</v>
      </c>
      <c r="L20" s="10">
        <f t="shared" si="5"/>
        <v>33.37902673063742</v>
      </c>
      <c r="M20" s="12">
        <f t="shared" si="6"/>
        <v>48.7</v>
      </c>
      <c r="N20" s="13">
        <f t="shared" si="7"/>
        <v>0.1156769596199525</v>
      </c>
    </row>
    <row r="21" spans="1:14">
      <c r="A21" s="6">
        <v>26</v>
      </c>
      <c r="B21" s="744">
        <v>40092</v>
      </c>
      <c r="C21" s="745">
        <v>2788</v>
      </c>
      <c r="D21" s="746">
        <v>1.6990000000000001</v>
      </c>
      <c r="E21" s="746">
        <v>73.5</v>
      </c>
      <c r="F21" s="746" t="s">
        <v>919</v>
      </c>
      <c r="G21" s="10">
        <f t="shared" si="0"/>
        <v>43.26074161271336</v>
      </c>
      <c r="H21" s="11">
        <f t="shared" si="1"/>
        <v>427</v>
      </c>
      <c r="I21" s="10">
        <f t="shared" si="2"/>
        <v>2</v>
      </c>
      <c r="J21" s="10">
        <f t="shared" si="3"/>
        <v>9.6657272727272723</v>
      </c>
      <c r="K21" s="10">
        <f t="shared" si="4"/>
        <v>213.5</v>
      </c>
      <c r="L21" s="10">
        <f t="shared" si="5"/>
        <v>22.08835341365462</v>
      </c>
      <c r="M21" s="12">
        <f t="shared" si="6"/>
        <v>33</v>
      </c>
      <c r="N21" s="13">
        <f t="shared" si="7"/>
        <v>0.15456674473067916</v>
      </c>
    </row>
    <row r="22" spans="1:14">
      <c r="A22" s="6">
        <v>27</v>
      </c>
      <c r="B22" s="7">
        <v>40102</v>
      </c>
      <c r="C22" s="8">
        <v>3065</v>
      </c>
      <c r="D22" s="9">
        <v>1.4990000000000001</v>
      </c>
      <c r="E22" s="9">
        <v>70</v>
      </c>
      <c r="F22" s="9" t="s">
        <v>919</v>
      </c>
      <c r="G22" s="10">
        <f t="shared" si="0"/>
        <v>46.697798532354902</v>
      </c>
      <c r="H22" s="11">
        <f t="shared" si="1"/>
        <v>277</v>
      </c>
      <c r="I22" s="10">
        <f t="shared" si="2"/>
        <v>10</v>
      </c>
      <c r="J22" s="10">
        <f t="shared" si="3"/>
        <v>6.403034013605442</v>
      </c>
      <c r="K22" s="10">
        <f t="shared" si="4"/>
        <v>27.7</v>
      </c>
      <c r="L22" s="10">
        <f t="shared" si="5"/>
        <v>4.326074161271336</v>
      </c>
      <c r="M22" s="12">
        <f t="shared" si="6"/>
        <v>7.35</v>
      </c>
      <c r="N22" s="13">
        <f t="shared" si="7"/>
        <v>0.26534296028880866</v>
      </c>
    </row>
    <row r="23" spans="1:14">
      <c r="A23" s="6">
        <v>28</v>
      </c>
      <c r="B23" s="7">
        <v>40114</v>
      </c>
      <c r="C23" s="8">
        <v>3337</v>
      </c>
      <c r="D23" s="9">
        <v>1.4990000000000001</v>
      </c>
      <c r="E23" s="9">
        <v>50</v>
      </c>
      <c r="F23" s="9" t="s">
        <v>919</v>
      </c>
      <c r="G23" s="10">
        <f t="shared" si="0"/>
        <v>33.355570380253496</v>
      </c>
      <c r="H23" s="11">
        <f t="shared" si="1"/>
        <v>272</v>
      </c>
      <c r="I23" s="10">
        <f t="shared" si="2"/>
        <v>12</v>
      </c>
      <c r="J23" s="10">
        <f t="shared" si="3"/>
        <v>5.8246857142857147</v>
      </c>
      <c r="K23" s="10">
        <f t="shared" si="4"/>
        <v>22.666666666666668</v>
      </c>
      <c r="L23" s="10">
        <f t="shared" si="5"/>
        <v>3.8914832110295752</v>
      </c>
      <c r="M23" s="12">
        <f t="shared" si="6"/>
        <v>5.833333333333333</v>
      </c>
      <c r="N23" s="13">
        <f t="shared" si="7"/>
        <v>0.25735294117647056</v>
      </c>
    </row>
    <row r="24" spans="1:14">
      <c r="A24" s="6">
        <v>29</v>
      </c>
      <c r="B24" s="7">
        <v>40125</v>
      </c>
      <c r="C24" s="8">
        <v>3528</v>
      </c>
      <c r="D24" s="9">
        <v>1.599</v>
      </c>
      <c r="E24" s="9">
        <v>71.02</v>
      </c>
      <c r="F24" s="9" t="s">
        <v>919</v>
      </c>
      <c r="G24" s="10">
        <f t="shared" si="0"/>
        <v>44.415259537210758</v>
      </c>
      <c r="H24" s="11">
        <f t="shared" si="1"/>
        <v>191</v>
      </c>
      <c r="I24" s="10">
        <f t="shared" si="2"/>
        <v>11</v>
      </c>
      <c r="J24" s="10">
        <f t="shared" si="3"/>
        <v>5.7261800000000012</v>
      </c>
      <c r="K24" s="10">
        <f t="shared" si="4"/>
        <v>17.363636363636363</v>
      </c>
      <c r="L24" s="10">
        <f t="shared" si="5"/>
        <v>3.0323245800230452</v>
      </c>
      <c r="M24" s="12">
        <f t="shared" si="6"/>
        <v>4.5454545454545459</v>
      </c>
      <c r="N24" s="13">
        <f t="shared" si="7"/>
        <v>0.26178010471204188</v>
      </c>
    </row>
    <row r="25" spans="1:14">
      <c r="A25" s="6">
        <v>30</v>
      </c>
      <c r="B25" s="7">
        <v>40140</v>
      </c>
      <c r="C25" s="8">
        <v>3851</v>
      </c>
      <c r="D25" s="9">
        <v>1.599</v>
      </c>
      <c r="E25" s="9">
        <v>66.010000000000005</v>
      </c>
      <c r="F25" s="9" t="s">
        <v>919</v>
      </c>
      <c r="G25" s="10">
        <f t="shared" si="0"/>
        <v>41.282051282051285</v>
      </c>
      <c r="H25" s="11">
        <f t="shared" si="1"/>
        <v>323</v>
      </c>
      <c r="I25" s="10">
        <f t="shared" si="2"/>
        <v>15</v>
      </c>
      <c r="J25" s="10">
        <f t="shared" si="3"/>
        <v>7.2722754153759501</v>
      </c>
      <c r="K25" s="10">
        <f t="shared" si="4"/>
        <v>21.533333333333335</v>
      </c>
      <c r="L25" s="10">
        <f t="shared" si="5"/>
        <v>2.9610173024807174</v>
      </c>
      <c r="M25" s="12">
        <f t="shared" si="6"/>
        <v>4.7346666666666666</v>
      </c>
      <c r="N25" s="13">
        <f t="shared" si="7"/>
        <v>0.21987616099071206</v>
      </c>
    </row>
    <row r="26" spans="1:14">
      <c r="A26" s="6">
        <v>31</v>
      </c>
      <c r="B26" s="7">
        <v>40143</v>
      </c>
      <c r="C26" s="8">
        <v>4237</v>
      </c>
      <c r="D26" s="9">
        <v>1.6439999999999999</v>
      </c>
      <c r="E26" s="9">
        <v>81.099999999999994</v>
      </c>
      <c r="F26" s="9" t="s">
        <v>919</v>
      </c>
      <c r="G26" s="10">
        <f t="shared" si="0"/>
        <v>49.330900243309003</v>
      </c>
      <c r="H26" s="11">
        <f t="shared" si="1"/>
        <v>386</v>
      </c>
      <c r="I26" s="10">
        <f t="shared" si="2"/>
        <v>3</v>
      </c>
      <c r="J26" s="10">
        <f t="shared" si="3"/>
        <v>9.3503105590062106</v>
      </c>
      <c r="K26" s="10">
        <f t="shared" si="4"/>
        <v>128.66666666666666</v>
      </c>
      <c r="L26" s="10">
        <f t="shared" si="5"/>
        <v>13.760683760683762</v>
      </c>
      <c r="M26" s="12">
        <f t="shared" si="6"/>
        <v>22.003333333333334</v>
      </c>
      <c r="N26" s="13">
        <f t="shared" si="7"/>
        <v>0.17101036269430053</v>
      </c>
    </row>
    <row r="27" spans="1:14">
      <c r="A27" s="6">
        <v>32</v>
      </c>
      <c r="B27" s="7">
        <v>40147</v>
      </c>
      <c r="C27" s="8">
        <v>4654</v>
      </c>
      <c r="D27" s="9">
        <v>1.5489999999999999</v>
      </c>
      <c r="E27" s="9">
        <v>68</v>
      </c>
      <c r="F27" s="9" t="s">
        <v>919</v>
      </c>
      <c r="G27" s="10">
        <f t="shared" si="0"/>
        <v>43.899289864428667</v>
      </c>
      <c r="H27" s="11">
        <f t="shared" si="1"/>
        <v>417</v>
      </c>
      <c r="I27" s="10">
        <f t="shared" si="2"/>
        <v>4</v>
      </c>
      <c r="J27" s="10">
        <f t="shared" si="3"/>
        <v>8.4531196054254014</v>
      </c>
      <c r="K27" s="10">
        <f t="shared" si="4"/>
        <v>104.25</v>
      </c>
      <c r="L27" s="10">
        <f t="shared" si="5"/>
        <v>12.332725060827251</v>
      </c>
      <c r="M27" s="12">
        <f t="shared" si="6"/>
        <v>20.274999999999999</v>
      </c>
      <c r="N27" s="13">
        <f t="shared" si="7"/>
        <v>0.19448441247002396</v>
      </c>
    </row>
    <row r="28" spans="1:14">
      <c r="A28" s="6">
        <v>33</v>
      </c>
      <c r="B28" s="7">
        <v>40161</v>
      </c>
      <c r="C28" s="8">
        <v>4912</v>
      </c>
      <c r="D28" s="9">
        <v>1.5489999999999999</v>
      </c>
      <c r="E28" s="9">
        <v>64</v>
      </c>
      <c r="F28" s="9" t="s">
        <v>919</v>
      </c>
      <c r="G28" s="10">
        <f t="shared" si="0"/>
        <v>41.31697869593286</v>
      </c>
      <c r="H28" s="11">
        <f t="shared" si="1"/>
        <v>258</v>
      </c>
      <c r="I28" s="10">
        <f t="shared" si="2"/>
        <v>14</v>
      </c>
      <c r="J28" s="10">
        <f t="shared" si="3"/>
        <v>5.8770882352941172</v>
      </c>
      <c r="K28" s="10">
        <f t="shared" si="4"/>
        <v>18.428571428571427</v>
      </c>
      <c r="L28" s="10">
        <f t="shared" si="5"/>
        <v>3.1356635617449049</v>
      </c>
      <c r="M28" s="12">
        <f t="shared" si="6"/>
        <v>4.8571428571428568</v>
      </c>
      <c r="N28" s="13">
        <f t="shared" si="7"/>
        <v>0.26356589147286824</v>
      </c>
    </row>
    <row r="29" spans="1:14">
      <c r="A29" s="6">
        <v>34</v>
      </c>
      <c r="B29" s="7">
        <v>40171</v>
      </c>
      <c r="C29" s="8">
        <v>5147</v>
      </c>
      <c r="D29" s="9">
        <v>1.7989999999999999</v>
      </c>
      <c r="E29" s="9">
        <v>78</v>
      </c>
      <c r="F29" s="9" t="s">
        <v>919</v>
      </c>
      <c r="G29" s="10">
        <f t="shared" si="0"/>
        <v>43.357420789327406</v>
      </c>
      <c r="H29" s="11">
        <f t="shared" si="1"/>
        <v>235</v>
      </c>
      <c r="I29" s="10">
        <f t="shared" si="2"/>
        <v>10</v>
      </c>
      <c r="J29" s="10">
        <f t="shared" si="3"/>
        <v>5.6877343749999998</v>
      </c>
      <c r="K29" s="10">
        <f t="shared" si="4"/>
        <v>23.5</v>
      </c>
      <c r="L29" s="10">
        <f t="shared" si="5"/>
        <v>4.1316978695932862</v>
      </c>
      <c r="M29" s="12">
        <f t="shared" si="6"/>
        <v>6.4</v>
      </c>
      <c r="N29" s="13">
        <f t="shared" si="7"/>
        <v>0.2723404255319149</v>
      </c>
    </row>
    <row r="30" spans="1:14">
      <c r="A30" s="6">
        <v>35</v>
      </c>
      <c r="B30" s="7">
        <v>40171</v>
      </c>
      <c r="C30" s="8">
        <v>5593</v>
      </c>
      <c r="D30" s="9">
        <v>1.79</v>
      </c>
      <c r="E30" s="9">
        <v>78</v>
      </c>
      <c r="F30" s="9" t="s">
        <v>919</v>
      </c>
      <c r="G30" s="10">
        <f t="shared" si="0"/>
        <v>43.575418994413404</v>
      </c>
      <c r="H30" s="11">
        <f t="shared" si="1"/>
        <v>446</v>
      </c>
      <c r="I30" s="10">
        <f t="shared" si="2"/>
        <v>0</v>
      </c>
      <c r="J30" s="10">
        <f t="shared" si="3"/>
        <v>10.286589743589744</v>
      </c>
      <c r="K30" s="10">
        <f t="shared" si="4"/>
        <v>446</v>
      </c>
      <c r="L30" s="10">
        <f t="shared" si="5"/>
        <v>43.575418994413404</v>
      </c>
      <c r="M30" s="12">
        <f t="shared" si="6"/>
        <v>78</v>
      </c>
      <c r="N30" s="13">
        <f t="shared" si="7"/>
        <v>0.17488789237668162</v>
      </c>
    </row>
    <row r="31" spans="1:14">
      <c r="A31" s="6">
        <v>36</v>
      </c>
      <c r="B31" s="7">
        <v>40175</v>
      </c>
      <c r="C31" s="8">
        <v>5934</v>
      </c>
      <c r="D31" s="9">
        <v>1.69</v>
      </c>
      <c r="E31" s="9">
        <v>66.02</v>
      </c>
      <c r="F31" s="9" t="s">
        <v>919</v>
      </c>
      <c r="G31" s="10">
        <f t="shared" si="0"/>
        <v>39.065088757396445</v>
      </c>
      <c r="H31" s="11">
        <f t="shared" si="1"/>
        <v>341</v>
      </c>
      <c r="I31" s="10">
        <f t="shared" si="2"/>
        <v>4</v>
      </c>
      <c r="J31" s="10">
        <f t="shared" si="3"/>
        <v>7.825512820512821</v>
      </c>
      <c r="K31" s="10">
        <f t="shared" si="4"/>
        <v>85.25</v>
      </c>
      <c r="L31" s="10">
        <f t="shared" si="5"/>
        <v>10.893854748603351</v>
      </c>
      <c r="M31" s="12">
        <f t="shared" si="6"/>
        <v>19.5</v>
      </c>
      <c r="N31" s="13">
        <f t="shared" si="7"/>
        <v>0.22873900293255131</v>
      </c>
    </row>
    <row r="32" spans="1:14">
      <c r="A32" s="6">
        <v>37</v>
      </c>
      <c r="B32" s="7">
        <v>40175</v>
      </c>
      <c r="C32" s="8">
        <v>6286</v>
      </c>
      <c r="D32" s="9">
        <v>1.7970000000000002</v>
      </c>
      <c r="E32" s="9">
        <v>60.02</v>
      </c>
      <c r="F32" s="9" t="s">
        <v>919</v>
      </c>
      <c r="G32" s="10">
        <f t="shared" si="0"/>
        <v>33.400111296605452</v>
      </c>
      <c r="H32" s="11">
        <f t="shared" si="1"/>
        <v>352</v>
      </c>
      <c r="I32" s="10">
        <f t="shared" si="2"/>
        <v>0</v>
      </c>
      <c r="J32" s="10">
        <f t="shared" si="3"/>
        <v>9.010602847621934</v>
      </c>
      <c r="K32" s="10">
        <f t="shared" si="4"/>
        <v>352</v>
      </c>
      <c r="L32" s="10">
        <f t="shared" si="5"/>
        <v>33.400111296605452</v>
      </c>
      <c r="M32" s="12">
        <f t="shared" si="6"/>
        <v>66.02</v>
      </c>
      <c r="N32" s="13">
        <f t="shared" si="7"/>
        <v>0.18755681818181816</v>
      </c>
    </row>
    <row r="33" spans="1:14">
      <c r="A33" s="6">
        <v>38</v>
      </c>
      <c r="B33" s="7">
        <v>40184</v>
      </c>
      <c r="C33" s="8">
        <v>6667</v>
      </c>
      <c r="D33" s="9">
        <v>1.7789999999999999</v>
      </c>
      <c r="E33" s="9">
        <v>88.65</v>
      </c>
      <c r="F33" s="9" t="s">
        <v>919</v>
      </c>
      <c r="G33" s="10">
        <f t="shared" si="0"/>
        <v>49.831365935919059</v>
      </c>
      <c r="H33" s="11">
        <f t="shared" si="1"/>
        <v>381</v>
      </c>
      <c r="I33" s="10">
        <f t="shared" si="2"/>
        <v>9</v>
      </c>
      <c r="J33" s="10">
        <f t="shared" si="3"/>
        <v>11.407147617460847</v>
      </c>
      <c r="K33" s="10">
        <f t="shared" si="4"/>
        <v>42.333333333333336</v>
      </c>
      <c r="L33" s="10">
        <f t="shared" si="5"/>
        <v>3.7111234774006059</v>
      </c>
      <c r="M33" s="12">
        <f t="shared" si="6"/>
        <v>6.6688888888888895</v>
      </c>
      <c r="N33" s="13">
        <f t="shared" si="7"/>
        <v>0.15753280839895015</v>
      </c>
    </row>
    <row r="34" spans="1:14">
      <c r="A34" s="6">
        <v>39</v>
      </c>
      <c r="B34" s="7">
        <v>40195</v>
      </c>
      <c r="C34" s="8">
        <v>6956</v>
      </c>
      <c r="D34" s="9">
        <v>1.849</v>
      </c>
      <c r="E34" s="9">
        <v>80.040000000000006</v>
      </c>
      <c r="F34" s="9" t="s">
        <v>919</v>
      </c>
      <c r="G34" s="10">
        <f t="shared" si="0"/>
        <v>43.288263926446731</v>
      </c>
      <c r="H34" s="11">
        <f t="shared" si="1"/>
        <v>289</v>
      </c>
      <c r="I34" s="10">
        <f t="shared" si="2"/>
        <v>11</v>
      </c>
      <c r="J34" s="10">
        <f t="shared" si="3"/>
        <v>5.7995600676818944</v>
      </c>
      <c r="K34" s="10">
        <f t="shared" si="4"/>
        <v>26.272727272727273</v>
      </c>
      <c r="L34" s="10">
        <f t="shared" si="5"/>
        <v>4.5301241759926416</v>
      </c>
      <c r="M34" s="12">
        <f t="shared" si="6"/>
        <v>8.0590909090909104</v>
      </c>
      <c r="N34" s="13">
        <f t="shared" si="7"/>
        <v>0.30674740484429069</v>
      </c>
    </row>
    <row r="35" spans="1:14">
      <c r="A35" s="6">
        <v>40</v>
      </c>
      <c r="B35" s="7">
        <v>40205</v>
      </c>
      <c r="C35" s="8">
        <v>7242</v>
      </c>
      <c r="D35" s="9">
        <v>2.5489999999999999</v>
      </c>
      <c r="E35" s="9">
        <v>111.03</v>
      </c>
      <c r="F35" s="9" t="s">
        <v>918</v>
      </c>
      <c r="G35" s="10">
        <f t="shared" si="0"/>
        <v>43.558258140447236</v>
      </c>
      <c r="H35" s="11">
        <f t="shared" si="1"/>
        <v>286</v>
      </c>
      <c r="I35" s="10">
        <f t="shared" si="2"/>
        <v>10</v>
      </c>
      <c r="J35" s="10">
        <f t="shared" si="3"/>
        <v>6.6068715642178901</v>
      </c>
      <c r="K35" s="10">
        <f t="shared" si="4"/>
        <v>28.6</v>
      </c>
      <c r="L35" s="10">
        <f t="shared" si="5"/>
        <v>4.3288263926446735</v>
      </c>
      <c r="M35" s="12">
        <f t="shared" si="6"/>
        <v>8.0040000000000013</v>
      </c>
      <c r="N35" s="13">
        <f t="shared" si="7"/>
        <v>0.27986013986013986</v>
      </c>
    </row>
    <row r="36" spans="1:14">
      <c r="A36" s="6">
        <v>41</v>
      </c>
      <c r="B36" s="7">
        <v>40224</v>
      </c>
      <c r="C36" s="8">
        <v>7584</v>
      </c>
      <c r="D36" s="9">
        <v>2.5489999999999999</v>
      </c>
      <c r="E36" s="9">
        <v>115.06</v>
      </c>
      <c r="F36" s="9" t="s">
        <v>918</v>
      </c>
      <c r="G36" s="10">
        <f t="shared" si="0"/>
        <v>45.139270302079247</v>
      </c>
      <c r="H36" s="11">
        <f t="shared" si="1"/>
        <v>342</v>
      </c>
      <c r="I36" s="10">
        <f t="shared" si="2"/>
        <v>19</v>
      </c>
      <c r="J36" s="10">
        <f t="shared" si="3"/>
        <v>7.8515536341529311</v>
      </c>
      <c r="K36" s="10">
        <f t="shared" si="4"/>
        <v>18</v>
      </c>
      <c r="L36" s="10">
        <f t="shared" si="5"/>
        <v>2.292539902128802</v>
      </c>
      <c r="M36" s="12">
        <f t="shared" si="6"/>
        <v>5.843684210526316</v>
      </c>
      <c r="N36" s="13">
        <f t="shared" si="7"/>
        <v>0.32464912280701752</v>
      </c>
    </row>
    <row r="37" spans="1:14">
      <c r="A37" s="6">
        <v>42</v>
      </c>
      <c r="B37" s="7">
        <v>40245</v>
      </c>
      <c r="C37" s="8">
        <v>8012</v>
      </c>
      <c r="D37" s="9">
        <v>2.5990000000000002</v>
      </c>
      <c r="E37" s="9">
        <v>121.02</v>
      </c>
      <c r="F37" s="9" t="s">
        <v>918</v>
      </c>
      <c r="G37" s="10">
        <f t="shared" si="0"/>
        <v>46.564063101192758</v>
      </c>
      <c r="H37" s="11">
        <f t="shared" si="1"/>
        <v>428</v>
      </c>
      <c r="I37" s="10">
        <f t="shared" si="2"/>
        <v>21</v>
      </c>
      <c r="J37" s="10">
        <f t="shared" si="3"/>
        <v>9.4817660351121162</v>
      </c>
      <c r="K37" s="10">
        <f t="shared" si="4"/>
        <v>20.38095238095238</v>
      </c>
      <c r="L37" s="10">
        <f t="shared" si="5"/>
        <v>2.1494890620037737</v>
      </c>
      <c r="M37" s="12">
        <f t="shared" si="6"/>
        <v>5.4790476190476189</v>
      </c>
      <c r="N37" s="13">
        <f t="shared" si="7"/>
        <v>0.26883177570093458</v>
      </c>
    </row>
    <row r="38" spans="1:14">
      <c r="A38" s="6">
        <v>43</v>
      </c>
      <c r="B38" s="7">
        <v>40252</v>
      </c>
      <c r="C38" s="8">
        <v>8554</v>
      </c>
      <c r="D38" s="9">
        <v>2.5939999999999999</v>
      </c>
      <c r="E38" s="9">
        <v>132.88</v>
      </c>
      <c r="F38" s="9" t="s">
        <v>918</v>
      </c>
      <c r="G38" s="10">
        <f t="shared" si="0"/>
        <v>51.225905936777181</v>
      </c>
      <c r="H38" s="11">
        <f t="shared" si="1"/>
        <v>542</v>
      </c>
      <c r="I38" s="10">
        <f t="shared" si="2"/>
        <v>7</v>
      </c>
      <c r="J38" s="10">
        <f t="shared" si="3"/>
        <v>11.639877706164272</v>
      </c>
      <c r="K38" s="10">
        <f t="shared" si="4"/>
        <v>77.428571428571431</v>
      </c>
      <c r="L38" s="10">
        <f t="shared" si="5"/>
        <v>6.6520090144561079</v>
      </c>
      <c r="M38" s="12">
        <f t="shared" si="6"/>
        <v>17.288571428571426</v>
      </c>
      <c r="N38" s="13">
        <f t="shared" si="7"/>
        <v>0.22328413284132839</v>
      </c>
    </row>
    <row r="39" spans="1:14">
      <c r="A39" s="6">
        <v>44</v>
      </c>
      <c r="B39" s="7">
        <v>40262</v>
      </c>
      <c r="C39" s="8">
        <v>9168</v>
      </c>
      <c r="D39" s="9">
        <v>2.5990000000000002</v>
      </c>
      <c r="E39" s="9">
        <v>121.02</v>
      </c>
      <c r="F39" s="9" t="s">
        <v>918</v>
      </c>
      <c r="G39" s="10">
        <f t="shared" si="0"/>
        <v>46.564063101192758</v>
      </c>
      <c r="H39" s="11">
        <f t="shared" si="1"/>
        <v>614</v>
      </c>
      <c r="I39" s="10">
        <f t="shared" si="2"/>
        <v>10</v>
      </c>
      <c r="J39" s="10">
        <f t="shared" si="3"/>
        <v>11.986122817579771</v>
      </c>
      <c r="K39" s="10">
        <f t="shared" si="4"/>
        <v>61.4</v>
      </c>
      <c r="L39" s="10">
        <f t="shared" si="5"/>
        <v>5.1225905936777183</v>
      </c>
      <c r="M39" s="12">
        <f t="shared" si="6"/>
        <v>13.288</v>
      </c>
      <c r="N39" s="13">
        <f t="shared" si="7"/>
        <v>0.21641693811074919</v>
      </c>
    </row>
    <row r="40" spans="1:14">
      <c r="A40" s="6">
        <v>45</v>
      </c>
      <c r="B40" s="7">
        <v>40285</v>
      </c>
      <c r="C40" s="8">
        <v>9561</v>
      </c>
      <c r="D40" s="9">
        <v>2.4990000000000001</v>
      </c>
      <c r="E40" s="9">
        <v>110.01</v>
      </c>
      <c r="F40" s="9" t="s">
        <v>918</v>
      </c>
      <c r="G40" s="10">
        <f t="shared" si="0"/>
        <v>44.021608643457384</v>
      </c>
      <c r="H40" s="11">
        <f t="shared" si="1"/>
        <v>393</v>
      </c>
      <c r="I40" s="10">
        <f t="shared" si="2"/>
        <v>23</v>
      </c>
      <c r="J40" s="10">
        <f t="shared" si="3"/>
        <v>8.4399851264253858</v>
      </c>
      <c r="K40" s="10">
        <f t="shared" si="4"/>
        <v>17.086956521739129</v>
      </c>
      <c r="L40" s="10">
        <f t="shared" si="5"/>
        <v>2.0245244826605546</v>
      </c>
      <c r="M40" s="12">
        <f t="shared" si="6"/>
        <v>5.2617391304347825</v>
      </c>
      <c r="N40" s="13">
        <f t="shared" si="7"/>
        <v>0.30793893129770994</v>
      </c>
    </row>
    <row r="41" spans="1:14">
      <c r="A41" s="6">
        <v>46</v>
      </c>
      <c r="B41" s="7">
        <v>40303</v>
      </c>
      <c r="C41" s="8">
        <v>9982</v>
      </c>
      <c r="D41" s="9">
        <v>2.5990000000000002</v>
      </c>
      <c r="E41" s="9">
        <v>120</v>
      </c>
      <c r="F41" s="9" t="s">
        <v>918</v>
      </c>
      <c r="G41" s="10">
        <f t="shared" si="0"/>
        <v>46.171604463255093</v>
      </c>
      <c r="H41" s="11">
        <f t="shared" si="1"/>
        <v>421</v>
      </c>
      <c r="I41" s="10">
        <f t="shared" si="2"/>
        <v>18</v>
      </c>
      <c r="J41" s="10">
        <f t="shared" si="3"/>
        <v>9.5634851377147534</v>
      </c>
      <c r="K41" s="10">
        <f t="shared" si="4"/>
        <v>23.388888888888889</v>
      </c>
      <c r="L41" s="10">
        <f t="shared" si="5"/>
        <v>2.4456449246365213</v>
      </c>
      <c r="M41" s="12">
        <f t="shared" si="6"/>
        <v>6.1116666666666672</v>
      </c>
      <c r="N41" s="13">
        <f t="shared" si="7"/>
        <v>0.26130641330166271</v>
      </c>
    </row>
    <row r="42" spans="1:14">
      <c r="A42" s="6">
        <v>47</v>
      </c>
      <c r="B42" s="7">
        <v>40326</v>
      </c>
      <c r="C42" s="8">
        <v>10400</v>
      </c>
      <c r="D42" s="9">
        <v>2.5990000000000002</v>
      </c>
      <c r="E42" s="9">
        <v>120.04</v>
      </c>
      <c r="F42" s="9" t="s">
        <v>918</v>
      </c>
      <c r="G42" s="10">
        <f t="shared" si="0"/>
        <v>46.18699499807618</v>
      </c>
      <c r="H42" s="11">
        <f t="shared" si="1"/>
        <v>418</v>
      </c>
      <c r="I42" s="10">
        <f t="shared" si="2"/>
        <v>23</v>
      </c>
      <c r="J42" s="10">
        <f t="shared" si="3"/>
        <v>9.0531833333333349</v>
      </c>
      <c r="K42" s="10">
        <f t="shared" si="4"/>
        <v>18.173913043478262</v>
      </c>
      <c r="L42" s="10">
        <f t="shared" si="5"/>
        <v>2.0074610636197865</v>
      </c>
      <c r="M42" s="12">
        <f t="shared" si="6"/>
        <v>5.2173913043478262</v>
      </c>
      <c r="N42" s="13">
        <f t="shared" si="7"/>
        <v>0.28708133971291866</v>
      </c>
    </row>
    <row r="43" spans="1:14">
      <c r="A43" s="6">
        <v>48</v>
      </c>
      <c r="B43" s="7">
        <v>40346</v>
      </c>
      <c r="C43" s="8">
        <v>10847</v>
      </c>
      <c r="D43" s="9">
        <v>2.5990000000000002</v>
      </c>
      <c r="E43" s="9">
        <v>115</v>
      </c>
      <c r="F43" s="9" t="s">
        <v>918</v>
      </c>
      <c r="G43" s="10">
        <f t="shared" si="0"/>
        <v>44.247787610619469</v>
      </c>
      <c r="H43" s="11">
        <f t="shared" si="1"/>
        <v>447</v>
      </c>
      <c r="I43" s="10">
        <f t="shared" si="2"/>
        <v>20</v>
      </c>
      <c r="J43" s="10">
        <f t="shared" si="3"/>
        <v>9.6780489836721095</v>
      </c>
      <c r="K43" s="10">
        <f t="shared" si="4"/>
        <v>22.35</v>
      </c>
      <c r="L43" s="10">
        <f t="shared" si="5"/>
        <v>2.3093497499038089</v>
      </c>
      <c r="M43" s="12">
        <f t="shared" si="6"/>
        <v>6.0020000000000007</v>
      </c>
      <c r="N43" s="13">
        <f t="shared" si="7"/>
        <v>0.26854586129753916</v>
      </c>
    </row>
    <row r="44" spans="1:14">
      <c r="A44" s="6">
        <v>49</v>
      </c>
      <c r="B44" s="7">
        <v>40361</v>
      </c>
      <c r="C44" s="8">
        <v>11076</v>
      </c>
      <c r="D44" s="9">
        <v>2.5990000000000002</v>
      </c>
      <c r="E44" s="9">
        <v>70</v>
      </c>
      <c r="F44" s="9" t="s">
        <v>918</v>
      </c>
      <c r="G44" s="10">
        <f t="shared" si="0"/>
        <v>26.933435936898807</v>
      </c>
      <c r="H44" s="11">
        <f t="shared" si="1"/>
        <v>229</v>
      </c>
      <c r="I44" s="10">
        <f t="shared" si="2"/>
        <v>15</v>
      </c>
      <c r="J44" s="10">
        <f t="shared" si="3"/>
        <v>5.1753999999999998</v>
      </c>
      <c r="K44" s="10">
        <f t="shared" si="4"/>
        <v>15.266666666666667</v>
      </c>
      <c r="L44" s="10">
        <f t="shared" si="5"/>
        <v>2.9498525073746311</v>
      </c>
      <c r="M44" s="12">
        <f t="shared" si="6"/>
        <v>7.666666666666667</v>
      </c>
      <c r="N44" s="13">
        <f t="shared" si="7"/>
        <v>0.50218340611353707</v>
      </c>
    </row>
    <row r="45" spans="1:14">
      <c r="A45" s="6">
        <v>50</v>
      </c>
      <c r="B45" s="7">
        <v>40363</v>
      </c>
      <c r="C45" s="8">
        <v>11492</v>
      </c>
      <c r="D45" s="9">
        <v>2.5939999999999999</v>
      </c>
      <c r="E45" s="9">
        <v>86.92</v>
      </c>
      <c r="F45" s="9" t="s">
        <v>918</v>
      </c>
      <c r="G45" s="10">
        <f t="shared" si="0"/>
        <v>33.508095605242872</v>
      </c>
      <c r="H45" s="11">
        <f t="shared" si="1"/>
        <v>416</v>
      </c>
      <c r="I45" s="10">
        <f t="shared" si="2"/>
        <v>2</v>
      </c>
      <c r="J45" s="10">
        <f t="shared" si="3"/>
        <v>15.445485714285715</v>
      </c>
      <c r="K45" s="10">
        <f t="shared" si="4"/>
        <v>208</v>
      </c>
      <c r="L45" s="10">
        <f t="shared" si="5"/>
        <v>13.466717968449403</v>
      </c>
      <c r="M45" s="12">
        <f t="shared" si="6"/>
        <v>35</v>
      </c>
      <c r="N45" s="13">
        <f t="shared" si="7"/>
        <v>0.16826923076923078</v>
      </c>
    </row>
    <row r="46" spans="1:14">
      <c r="A46" s="6">
        <v>51</v>
      </c>
      <c r="B46" s="7">
        <v>40376</v>
      </c>
      <c r="C46" s="8">
        <v>12064</v>
      </c>
      <c r="D46" s="9">
        <v>2.5990000000000002</v>
      </c>
      <c r="E46" s="9">
        <v>117</v>
      </c>
      <c r="F46" s="9" t="s">
        <v>918</v>
      </c>
      <c r="G46" s="10">
        <f t="shared" si="0"/>
        <v>45.017314351673718</v>
      </c>
      <c r="H46" s="11">
        <f t="shared" si="1"/>
        <v>572</v>
      </c>
      <c r="I46" s="10">
        <f t="shared" si="2"/>
        <v>13</v>
      </c>
      <c r="J46" s="10">
        <f t="shared" si="3"/>
        <v>17.070501610676484</v>
      </c>
      <c r="K46" s="10">
        <f t="shared" si="4"/>
        <v>44</v>
      </c>
      <c r="L46" s="10">
        <f t="shared" si="5"/>
        <v>2.5775458157879134</v>
      </c>
      <c r="M46" s="12">
        <f t="shared" si="6"/>
        <v>6.6861538461538466</v>
      </c>
      <c r="N46" s="13">
        <f t="shared" si="7"/>
        <v>0.15195804195804197</v>
      </c>
    </row>
    <row r="47" spans="1:14">
      <c r="A47" s="6">
        <v>52</v>
      </c>
      <c r="B47" s="7"/>
      <c r="C47" s="8"/>
      <c r="D47" s="9"/>
      <c r="E47" s="9"/>
      <c r="F47" s="9"/>
      <c r="G47" s="10" t="str">
        <f t="shared" si="0"/>
        <v/>
      </c>
      <c r="H47" s="11" t="str">
        <f t="shared" si="1"/>
        <v/>
      </c>
      <c r="I47" s="10" t="str">
        <f t="shared" si="2"/>
        <v/>
      </c>
      <c r="J47" s="10" t="str">
        <f t="shared" si="3"/>
        <v/>
      </c>
      <c r="K47" s="10" t="str">
        <f t="shared" si="4"/>
        <v/>
      </c>
      <c r="L47" s="10" t="str">
        <f t="shared" si="5"/>
        <v/>
      </c>
      <c r="M47" s="12" t="str">
        <f t="shared" si="6"/>
        <v/>
      </c>
      <c r="N47" s="13" t="str">
        <f t="shared" si="7"/>
        <v/>
      </c>
    </row>
    <row r="48" spans="1:14">
      <c r="A48" s="6">
        <v>53</v>
      </c>
      <c r="B48" s="7"/>
      <c r="C48" s="8"/>
      <c r="D48" s="9"/>
      <c r="E48" s="9"/>
      <c r="F48" s="9"/>
      <c r="G48" s="10" t="str">
        <f t="shared" si="0"/>
        <v/>
      </c>
      <c r="H48" s="11" t="str">
        <f t="shared" si="1"/>
        <v/>
      </c>
      <c r="I48" s="10" t="str">
        <f t="shared" si="2"/>
        <v/>
      </c>
      <c r="J48" s="10" t="str">
        <f t="shared" si="3"/>
        <v/>
      </c>
      <c r="K48" s="10" t="str">
        <f t="shared" si="4"/>
        <v/>
      </c>
      <c r="L48" s="10" t="str">
        <f t="shared" si="5"/>
        <v/>
      </c>
      <c r="M48" s="12" t="str">
        <f t="shared" si="6"/>
        <v/>
      </c>
      <c r="N48" s="13" t="str">
        <f t="shared" si="7"/>
        <v/>
      </c>
    </row>
    <row r="49" spans="1:14">
      <c r="A49" s="6">
        <v>54</v>
      </c>
      <c r="B49" s="7"/>
      <c r="C49" s="8"/>
      <c r="D49" s="9"/>
      <c r="E49" s="9"/>
      <c r="F49" s="9"/>
      <c r="G49" s="10" t="str">
        <f t="shared" si="0"/>
        <v/>
      </c>
      <c r="H49" s="11" t="str">
        <f t="shared" si="1"/>
        <v/>
      </c>
      <c r="I49" s="10" t="str">
        <f t="shared" si="2"/>
        <v/>
      </c>
      <c r="J49" s="10" t="str">
        <f t="shared" si="3"/>
        <v/>
      </c>
      <c r="K49" s="10" t="str">
        <f t="shared" si="4"/>
        <v/>
      </c>
      <c r="L49" s="10" t="str">
        <f t="shared" si="5"/>
        <v/>
      </c>
      <c r="M49" s="12" t="str">
        <f t="shared" si="6"/>
        <v/>
      </c>
      <c r="N49" s="13" t="str">
        <f t="shared" si="7"/>
        <v/>
      </c>
    </row>
    <row r="50" spans="1:14">
      <c r="A50" s="6">
        <v>55</v>
      </c>
      <c r="B50" s="7"/>
      <c r="C50" s="8"/>
      <c r="D50" s="9"/>
      <c r="E50" s="9"/>
      <c r="F50" s="9"/>
      <c r="G50" s="10" t="str">
        <f t="shared" si="0"/>
        <v/>
      </c>
      <c r="H50" s="11" t="str">
        <f t="shared" si="1"/>
        <v/>
      </c>
      <c r="I50" s="10" t="str">
        <f t="shared" si="2"/>
        <v/>
      </c>
      <c r="J50" s="10" t="str">
        <f t="shared" si="3"/>
        <v/>
      </c>
      <c r="K50" s="10" t="str">
        <f t="shared" si="4"/>
        <v/>
      </c>
      <c r="L50" s="10" t="str">
        <f t="shared" si="5"/>
        <v/>
      </c>
      <c r="M50" s="12" t="str">
        <f t="shared" si="6"/>
        <v/>
      </c>
      <c r="N50" s="13" t="str">
        <f t="shared" si="7"/>
        <v/>
      </c>
    </row>
    <row r="51" spans="1:14">
      <c r="A51" s="6">
        <v>56</v>
      </c>
      <c r="B51" s="7"/>
      <c r="C51" s="8"/>
      <c r="D51" s="9"/>
      <c r="E51" s="9"/>
      <c r="F51" s="9"/>
      <c r="G51" s="10" t="str">
        <f t="shared" si="0"/>
        <v/>
      </c>
      <c r="H51" s="11" t="str">
        <f t="shared" si="1"/>
        <v/>
      </c>
      <c r="I51" s="10" t="str">
        <f t="shared" si="2"/>
        <v/>
      </c>
      <c r="J51" s="10" t="str">
        <f t="shared" si="3"/>
        <v/>
      </c>
      <c r="K51" s="10" t="str">
        <f t="shared" si="4"/>
        <v/>
      </c>
      <c r="L51" s="10" t="str">
        <f t="shared" si="5"/>
        <v/>
      </c>
      <c r="M51" s="12" t="str">
        <f t="shared" si="6"/>
        <v/>
      </c>
      <c r="N51" s="13" t="str">
        <f t="shared" si="7"/>
        <v/>
      </c>
    </row>
    <row r="52" spans="1:14">
      <c r="A52" s="6">
        <v>57</v>
      </c>
      <c r="B52" s="7"/>
      <c r="C52" s="8"/>
      <c r="D52" s="9"/>
      <c r="E52" s="9"/>
      <c r="F52" s="9"/>
      <c r="G52" s="10" t="str">
        <f t="shared" si="0"/>
        <v/>
      </c>
      <c r="H52" s="11" t="str">
        <f t="shared" si="1"/>
        <v/>
      </c>
      <c r="I52" s="10" t="str">
        <f t="shared" si="2"/>
        <v/>
      </c>
      <c r="J52" s="10" t="str">
        <f t="shared" si="3"/>
        <v/>
      </c>
      <c r="K52" s="10" t="str">
        <f t="shared" si="4"/>
        <v/>
      </c>
      <c r="L52" s="10" t="str">
        <f t="shared" si="5"/>
        <v/>
      </c>
      <c r="M52" s="12" t="str">
        <f t="shared" si="6"/>
        <v/>
      </c>
      <c r="N52" s="13" t="str">
        <f t="shared" si="7"/>
        <v/>
      </c>
    </row>
    <row r="53" spans="1:14">
      <c r="A53" s="6">
        <v>58</v>
      </c>
      <c r="B53" s="7"/>
      <c r="C53" s="8"/>
      <c r="D53" s="9"/>
      <c r="E53" s="9"/>
      <c r="F53" s="9"/>
      <c r="G53" s="10" t="str">
        <f t="shared" si="0"/>
        <v/>
      </c>
      <c r="H53" s="11" t="str">
        <f t="shared" si="1"/>
        <v/>
      </c>
      <c r="I53" s="10" t="str">
        <f t="shared" si="2"/>
        <v/>
      </c>
      <c r="J53" s="10" t="str">
        <f t="shared" si="3"/>
        <v/>
      </c>
      <c r="K53" s="10" t="str">
        <f t="shared" si="4"/>
        <v/>
      </c>
      <c r="L53" s="10" t="str">
        <f t="shared" si="5"/>
        <v/>
      </c>
      <c r="M53" s="12" t="str">
        <f t="shared" si="6"/>
        <v/>
      </c>
      <c r="N53" s="13" t="str">
        <f t="shared" si="7"/>
        <v/>
      </c>
    </row>
    <row r="54" spans="1:14">
      <c r="A54" s="6">
        <v>59</v>
      </c>
      <c r="B54" s="7"/>
      <c r="C54" s="8"/>
      <c r="D54" s="9"/>
      <c r="E54" s="9"/>
      <c r="F54" s="9"/>
      <c r="G54" s="10" t="str">
        <f t="shared" si="0"/>
        <v/>
      </c>
      <c r="H54" s="11" t="str">
        <f t="shared" si="1"/>
        <v/>
      </c>
      <c r="I54" s="10" t="str">
        <f t="shared" si="2"/>
        <v/>
      </c>
      <c r="J54" s="10" t="str">
        <f t="shared" si="3"/>
        <v/>
      </c>
      <c r="K54" s="10" t="str">
        <f t="shared" si="4"/>
        <v/>
      </c>
      <c r="L54" s="10" t="str">
        <f t="shared" si="5"/>
        <v/>
      </c>
      <c r="M54" s="12" t="str">
        <f t="shared" si="6"/>
        <v/>
      </c>
      <c r="N54" s="13" t="str">
        <f t="shared" si="7"/>
        <v/>
      </c>
    </row>
    <row r="55" spans="1:14">
      <c r="A55" s="6">
        <v>60</v>
      </c>
      <c r="B55" s="7"/>
      <c r="C55" s="8"/>
      <c r="D55" s="9"/>
      <c r="E55" s="9"/>
      <c r="F55" s="9"/>
      <c r="G55" s="10" t="str">
        <f t="shared" si="0"/>
        <v/>
      </c>
      <c r="H55" s="11" t="str">
        <f t="shared" si="1"/>
        <v/>
      </c>
      <c r="I55" s="10" t="str">
        <f t="shared" si="2"/>
        <v/>
      </c>
      <c r="J55" s="10" t="str">
        <f t="shared" si="3"/>
        <v/>
      </c>
      <c r="K55" s="10" t="str">
        <f t="shared" si="4"/>
        <v/>
      </c>
      <c r="L55" s="10" t="str">
        <f t="shared" si="5"/>
        <v/>
      </c>
      <c r="M55" s="12" t="str">
        <f t="shared" si="6"/>
        <v/>
      </c>
      <c r="N55" s="13" t="str">
        <f t="shared" si="7"/>
        <v/>
      </c>
    </row>
    <row r="56" spans="1:14">
      <c r="A56" s="6">
        <v>61</v>
      </c>
      <c r="B56" s="7"/>
      <c r="C56" s="8"/>
      <c r="D56" s="9"/>
      <c r="E56" s="9"/>
      <c r="F56" s="9"/>
      <c r="G56" s="10" t="str">
        <f t="shared" si="0"/>
        <v/>
      </c>
      <c r="H56" s="11" t="str">
        <f t="shared" si="1"/>
        <v/>
      </c>
      <c r="I56" s="10" t="str">
        <f t="shared" si="2"/>
        <v/>
      </c>
      <c r="J56" s="10" t="str">
        <f t="shared" si="3"/>
        <v/>
      </c>
      <c r="K56" s="10" t="str">
        <f t="shared" si="4"/>
        <v/>
      </c>
      <c r="L56" s="10" t="str">
        <f t="shared" si="5"/>
        <v/>
      </c>
      <c r="M56" s="12" t="str">
        <f t="shared" si="6"/>
        <v/>
      </c>
      <c r="N56" s="13" t="str">
        <f t="shared" si="7"/>
        <v/>
      </c>
    </row>
    <row r="57" spans="1:14">
      <c r="A57" s="6">
        <v>62</v>
      </c>
      <c r="B57" s="7"/>
      <c r="C57" s="8"/>
      <c r="D57" s="9"/>
      <c r="E57" s="9"/>
      <c r="F57" s="9"/>
      <c r="G57" s="10" t="str">
        <f t="shared" si="0"/>
        <v/>
      </c>
      <c r="H57" s="11" t="str">
        <f t="shared" si="1"/>
        <v/>
      </c>
      <c r="I57" s="10" t="str">
        <f t="shared" si="2"/>
        <v/>
      </c>
      <c r="J57" s="10" t="str">
        <f t="shared" si="3"/>
        <v/>
      </c>
      <c r="K57" s="10" t="str">
        <f t="shared" si="4"/>
        <v/>
      </c>
      <c r="L57" s="10" t="str">
        <f t="shared" si="5"/>
        <v/>
      </c>
      <c r="M57" s="12" t="str">
        <f t="shared" si="6"/>
        <v/>
      </c>
      <c r="N57" s="13" t="str">
        <f t="shared" si="7"/>
        <v/>
      </c>
    </row>
    <row r="58" spans="1:14">
      <c r="A58" s="6">
        <v>63</v>
      </c>
      <c r="B58" s="7"/>
      <c r="C58" s="8"/>
      <c r="D58" s="9"/>
      <c r="E58" s="9"/>
      <c r="F58" s="9"/>
      <c r="G58" s="10" t="str">
        <f t="shared" si="0"/>
        <v/>
      </c>
      <c r="H58" s="11" t="str">
        <f t="shared" si="1"/>
        <v/>
      </c>
      <c r="I58" s="10" t="str">
        <f t="shared" si="2"/>
        <v/>
      </c>
      <c r="J58" s="10" t="str">
        <f t="shared" si="3"/>
        <v/>
      </c>
      <c r="K58" s="10" t="str">
        <f t="shared" si="4"/>
        <v/>
      </c>
      <c r="L58" s="10" t="str">
        <f t="shared" si="5"/>
        <v/>
      </c>
      <c r="M58" s="12" t="str">
        <f t="shared" si="6"/>
        <v/>
      </c>
      <c r="N58" s="13" t="str">
        <f t="shared" si="7"/>
        <v/>
      </c>
    </row>
    <row r="59" spans="1:14">
      <c r="A59" s="17"/>
      <c r="B59" s="18"/>
      <c r="C59" s="19" t="s">
        <v>920</v>
      </c>
      <c r="D59" s="20">
        <f>AVERAGE(D2:D5)</f>
        <v>2.1618750000000002</v>
      </c>
      <c r="E59" s="20">
        <f>AVERAGE(E2:E5)</f>
        <v>37.252499999999998</v>
      </c>
      <c r="F59" s="20"/>
      <c r="G59" s="10">
        <f t="shared" si="0"/>
        <v>17.231569817866433</v>
      </c>
      <c r="H59" s="11" t="e">
        <f t="shared" si="1"/>
        <v>#VALUE!</v>
      </c>
      <c r="I59" s="10" t="str">
        <f t="shared" si="2"/>
        <v/>
      </c>
      <c r="J59" s="10" t="e">
        <f t="shared" si="3"/>
        <v>#VALUE!</v>
      </c>
      <c r="K59" s="10" t="e">
        <f t="shared" si="4"/>
        <v>#VALUE!</v>
      </c>
      <c r="L59" s="10" t="str">
        <f t="shared" si="5"/>
        <v/>
      </c>
      <c r="M59" s="12" t="str">
        <f t="shared" si="6"/>
        <v/>
      </c>
      <c r="N59" s="13" t="e">
        <f t="shared" si="7"/>
        <v>#VALUE!</v>
      </c>
    </row>
    <row r="60" spans="1:14">
      <c r="E60" s="21">
        <f>SUM(E2:E5)</f>
        <v>149.01</v>
      </c>
      <c r="F60" s="21"/>
      <c r="G60" s="22">
        <f>SUM(G2:G5)</f>
        <v>79.760706856541105</v>
      </c>
      <c r="H60" s="23">
        <f>SUM(H2:H5)</f>
        <v>306</v>
      </c>
    </row>
    <row r="66" spans="3:3">
      <c r="C66" s="3" t="s">
        <v>921</v>
      </c>
    </row>
    <row r="67" spans="3:3">
      <c r="C67" s="3" t="s">
        <v>919</v>
      </c>
    </row>
    <row r="68" spans="3:3">
      <c r="C68" s="3" t="s">
        <v>918</v>
      </c>
    </row>
    <row r="69" spans="3:3">
      <c r="C69" s="3" t="s">
        <v>922</v>
      </c>
    </row>
  </sheetData>
  <sheetProtection selectLockedCells="1" selectUnlockedCells="1"/>
  <conditionalFormatting sqref="M2:N59">
    <cfRule type="cellIs" dxfId="2" priority="1" stopIfTrue="1" operator="lessThan">
      <formula>0</formula>
    </cfRule>
  </conditionalFormatting>
  <dataValidations count="1">
    <dataValidation type="list" allowBlank="1" showErrorMessage="1" sqref="F2:F58" xr:uid="{00000000-0002-0000-7600-000000000000}">
      <formula1>$C$67:$C$69</formula1>
      <formula2>0</formula2>
    </dataValidation>
  </dataValidations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Plan99"/>
  <dimension ref="A1:O232"/>
  <sheetViews>
    <sheetView zoomScaleNormal="100" workbookViewId="0">
      <pane ySplit="1" topLeftCell="A201" activePane="bottomLeft" state="frozen"/>
      <selection pane="bottomLeft" activeCell="D227" sqref="D227"/>
    </sheetView>
  </sheetViews>
  <sheetFormatPr defaultColWidth="11.7109375" defaultRowHeight="13.5"/>
  <cols>
    <col min="1" max="1" width="4.42578125" style="3" customWidth="1"/>
    <col min="2" max="2" width="12.42578125" style="3" customWidth="1"/>
    <col min="3" max="3" width="14.85546875" style="3" customWidth="1"/>
    <col min="4" max="7" width="13.7109375" style="3" customWidth="1"/>
    <col min="8" max="8" width="12.42578125" style="3" customWidth="1"/>
    <col min="9" max="9" width="11.28515625" style="3" customWidth="1"/>
    <col min="10" max="10" width="10.140625" style="3" customWidth="1"/>
    <col min="11" max="11" width="11.28515625" style="3" customWidth="1"/>
    <col min="12" max="12" width="9.85546875" style="3" customWidth="1"/>
    <col min="13" max="13" width="13.28515625" style="3" customWidth="1"/>
    <col min="14" max="14" width="10.140625" style="3" customWidth="1"/>
    <col min="15" max="15" width="11.7109375" style="3"/>
    <col min="16" max="16" width="15.5703125" style="3" customWidth="1"/>
    <col min="17" max="16384" width="11.7109375" style="3"/>
  </cols>
  <sheetData>
    <row r="1" spans="1:14">
      <c r="A1" s="4" t="s">
        <v>906</v>
      </c>
      <c r="B1" s="4" t="s">
        <v>0</v>
      </c>
      <c r="C1" s="4" t="s">
        <v>907</v>
      </c>
      <c r="D1" s="4" t="s">
        <v>908</v>
      </c>
      <c r="E1" s="4" t="s">
        <v>909</v>
      </c>
      <c r="F1" s="4" t="s">
        <v>365</v>
      </c>
      <c r="G1" s="4" t="s">
        <v>910</v>
      </c>
      <c r="H1" s="4" t="s">
        <v>911</v>
      </c>
      <c r="I1" s="4" t="s">
        <v>912</v>
      </c>
      <c r="J1" s="4" t="s">
        <v>913</v>
      </c>
      <c r="K1" s="4" t="s">
        <v>914</v>
      </c>
      <c r="L1" s="4" t="s">
        <v>915</v>
      </c>
      <c r="M1" s="5" t="s">
        <v>916</v>
      </c>
      <c r="N1" s="4" t="s">
        <v>917</v>
      </c>
    </row>
    <row r="2" spans="1:14">
      <c r="A2" s="6">
        <v>1</v>
      </c>
      <c r="B2" s="7">
        <v>40435</v>
      </c>
      <c r="C2" s="8">
        <v>9</v>
      </c>
      <c r="D2" s="9">
        <v>2.7589999999999999</v>
      </c>
      <c r="E2" s="9">
        <v>137.01</v>
      </c>
      <c r="F2" s="9" t="s">
        <v>918</v>
      </c>
      <c r="G2" s="10">
        <f>IF(E2&lt;&gt;"",E2/D2,"")</f>
        <v>49.659296846683581</v>
      </c>
      <c r="H2" s="11"/>
      <c r="I2" s="10"/>
      <c r="J2" s="10"/>
      <c r="K2" s="10"/>
      <c r="L2" s="10"/>
      <c r="M2" s="12"/>
      <c r="N2" s="13"/>
    </row>
    <row r="3" spans="1:14">
      <c r="A3" s="6">
        <v>2</v>
      </c>
      <c r="B3" s="7">
        <v>40448</v>
      </c>
      <c r="C3" s="8">
        <v>359</v>
      </c>
      <c r="D3" s="9">
        <v>2.5990000000000002</v>
      </c>
      <c r="E3" s="9">
        <v>106.04</v>
      </c>
      <c r="F3" s="9" t="s">
        <v>918</v>
      </c>
      <c r="G3" s="10">
        <f t="shared" ref="G3:G66" si="0">IF(E3&lt;&gt;"",E3/D3,"")</f>
        <v>40.800307810696424</v>
      </c>
      <c r="H3" s="11">
        <f t="shared" ref="H3:H66" si="1">IF(C3="","",C3-C2)</f>
        <v>350</v>
      </c>
      <c r="I3" s="10">
        <f t="shared" ref="I3:I66" si="2">IF(B3="","",B3-B2)</f>
        <v>13</v>
      </c>
      <c r="J3" s="10">
        <f t="shared" ref="J3:J66" si="3">IF(H3="","",H3/G2)</f>
        <v>7.0480256915553605</v>
      </c>
      <c r="K3" s="10">
        <f t="shared" ref="K3:K57" si="4">IF(H3&lt;&gt;"",IF(I3&gt;0,H3/I3,H3),"" )</f>
        <v>26.923076923076923</v>
      </c>
      <c r="L3" s="10">
        <f t="shared" ref="L3:L66" si="5">IF(I3="","",IF(I3=0,G3,G2/I3))</f>
        <v>3.8199459112833525</v>
      </c>
      <c r="M3" s="12">
        <f t="shared" ref="M3:M66" si="6">IF(I3="","",IF(I3=0,E2,E2/I3))</f>
        <v>10.539230769230768</v>
      </c>
      <c r="N3" s="13">
        <f t="shared" ref="N3:N66" si="7">IF(H3="","",E2/H3)</f>
        <v>0.39145714285714284</v>
      </c>
    </row>
    <row r="4" spans="1:14">
      <c r="A4" s="6">
        <v>3</v>
      </c>
      <c r="B4" s="7">
        <v>40464</v>
      </c>
      <c r="C4" s="8">
        <v>675</v>
      </c>
      <c r="D4" s="9">
        <v>1.599</v>
      </c>
      <c r="E4" s="9">
        <v>60</v>
      </c>
      <c r="F4" s="9" t="s">
        <v>919</v>
      </c>
      <c r="G4" s="10">
        <f t="shared" si="0"/>
        <v>37.523452157598499</v>
      </c>
      <c r="H4" s="11">
        <f t="shared" si="1"/>
        <v>316</v>
      </c>
      <c r="I4" s="10">
        <f t="shared" si="2"/>
        <v>16</v>
      </c>
      <c r="J4" s="10">
        <f t="shared" si="3"/>
        <v>7.745039607695209</v>
      </c>
      <c r="K4" s="10">
        <f t="shared" si="4"/>
        <v>19.75</v>
      </c>
      <c r="L4" s="10">
        <f t="shared" si="5"/>
        <v>2.5500192381685265</v>
      </c>
      <c r="M4" s="12">
        <f t="shared" si="6"/>
        <v>6.6275000000000004</v>
      </c>
      <c r="N4" s="13">
        <f t="shared" si="7"/>
        <v>0.33556962025316456</v>
      </c>
    </row>
    <row r="5" spans="1:14">
      <c r="A5" s="6">
        <v>4</v>
      </c>
      <c r="B5" s="7">
        <v>40466</v>
      </c>
      <c r="C5" s="8">
        <v>1063</v>
      </c>
      <c r="D5" s="9">
        <v>1.5640000000000001</v>
      </c>
      <c r="E5" s="9">
        <v>70</v>
      </c>
      <c r="F5" s="9" t="s">
        <v>919</v>
      </c>
      <c r="G5" s="10">
        <f t="shared" si="0"/>
        <v>44.757033248081839</v>
      </c>
      <c r="H5" s="11">
        <f t="shared" si="1"/>
        <v>388</v>
      </c>
      <c r="I5" s="10">
        <f t="shared" si="2"/>
        <v>2</v>
      </c>
      <c r="J5" s="10">
        <f t="shared" si="3"/>
        <v>10.340199999999999</v>
      </c>
      <c r="K5" s="10">
        <f t="shared" si="4"/>
        <v>194</v>
      </c>
      <c r="L5" s="10">
        <f t="shared" si="5"/>
        <v>18.761726078799249</v>
      </c>
      <c r="M5" s="12">
        <f t="shared" si="6"/>
        <v>30</v>
      </c>
      <c r="N5" s="13">
        <f t="shared" si="7"/>
        <v>0.15463917525773196</v>
      </c>
    </row>
    <row r="6" spans="1:14">
      <c r="A6" s="6">
        <v>5</v>
      </c>
      <c r="B6" s="7">
        <v>40471</v>
      </c>
      <c r="C6" s="8">
        <v>1486</v>
      </c>
      <c r="D6" s="9">
        <v>1.649</v>
      </c>
      <c r="E6" s="9">
        <v>64</v>
      </c>
      <c r="F6" s="9" t="s">
        <v>919</v>
      </c>
      <c r="G6" s="10">
        <f t="shared" si="0"/>
        <v>38.811400848999391</v>
      </c>
      <c r="H6" s="11">
        <f t="shared" si="1"/>
        <v>423</v>
      </c>
      <c r="I6" s="10">
        <f t="shared" si="2"/>
        <v>5</v>
      </c>
      <c r="J6" s="10">
        <f t="shared" si="3"/>
        <v>9.4510285714285711</v>
      </c>
      <c r="K6" s="10">
        <f t="shared" si="4"/>
        <v>84.6</v>
      </c>
      <c r="L6" s="10">
        <f t="shared" si="5"/>
        <v>8.9514066496163682</v>
      </c>
      <c r="M6" s="12">
        <f t="shared" si="6"/>
        <v>14</v>
      </c>
      <c r="N6" s="13">
        <f t="shared" si="7"/>
        <v>0.16548463356973994</v>
      </c>
    </row>
    <row r="7" spans="1:14">
      <c r="A7" s="6">
        <v>6</v>
      </c>
      <c r="B7" s="7">
        <v>40479</v>
      </c>
      <c r="C7" s="8">
        <v>1718</v>
      </c>
      <c r="D7" s="9">
        <v>1.649</v>
      </c>
      <c r="E7" s="9">
        <v>69.010000000000005</v>
      </c>
      <c r="F7" s="9" t="s">
        <v>919</v>
      </c>
      <c r="G7" s="10">
        <f t="shared" si="0"/>
        <v>41.849605821710128</v>
      </c>
      <c r="H7" s="11">
        <f t="shared" si="1"/>
        <v>232</v>
      </c>
      <c r="I7" s="10">
        <f t="shared" si="2"/>
        <v>8</v>
      </c>
      <c r="J7" s="10">
        <f t="shared" si="3"/>
        <v>5.9776250000000006</v>
      </c>
      <c r="K7" s="10">
        <f t="shared" si="4"/>
        <v>29</v>
      </c>
      <c r="L7" s="10">
        <f t="shared" si="5"/>
        <v>4.8514251061249238</v>
      </c>
      <c r="M7" s="12">
        <f t="shared" si="6"/>
        <v>8</v>
      </c>
      <c r="N7" s="13">
        <f t="shared" si="7"/>
        <v>0.27586206896551724</v>
      </c>
    </row>
    <row r="8" spans="1:14">
      <c r="A8" s="6">
        <v>7</v>
      </c>
      <c r="B8" s="7">
        <v>40491</v>
      </c>
      <c r="C8" s="8">
        <v>1935</v>
      </c>
      <c r="D8" s="9">
        <v>1.649</v>
      </c>
      <c r="E8" s="9">
        <v>68.02</v>
      </c>
      <c r="F8" s="9" t="s">
        <v>919</v>
      </c>
      <c r="G8" s="10">
        <f t="shared" si="0"/>
        <v>41.249241964827164</v>
      </c>
      <c r="H8" s="11">
        <f t="shared" si="1"/>
        <v>217</v>
      </c>
      <c r="I8" s="10">
        <f t="shared" si="2"/>
        <v>12</v>
      </c>
      <c r="J8" s="10">
        <f t="shared" si="3"/>
        <v>5.185234024054485</v>
      </c>
      <c r="K8" s="10">
        <f t="shared" si="4"/>
        <v>18.083333333333332</v>
      </c>
      <c r="L8" s="10">
        <f t="shared" si="5"/>
        <v>3.4874671518091773</v>
      </c>
      <c r="M8" s="12">
        <f t="shared" si="6"/>
        <v>5.7508333333333335</v>
      </c>
      <c r="N8" s="13">
        <f t="shared" si="7"/>
        <v>0.3180184331797235</v>
      </c>
    </row>
    <row r="9" spans="1:14">
      <c r="A9" s="6">
        <v>8</v>
      </c>
      <c r="B9" s="7">
        <v>40498</v>
      </c>
      <c r="C9" s="8">
        <v>2164</v>
      </c>
      <c r="D9" s="9">
        <v>1.899</v>
      </c>
      <c r="E9" s="9">
        <v>85.02</v>
      </c>
      <c r="F9" s="9" t="s">
        <v>919</v>
      </c>
      <c r="G9" s="10">
        <f t="shared" si="0"/>
        <v>44.770932069510266</v>
      </c>
      <c r="H9" s="11">
        <f t="shared" si="1"/>
        <v>229</v>
      </c>
      <c r="I9" s="10">
        <f t="shared" si="2"/>
        <v>7</v>
      </c>
      <c r="J9" s="10">
        <f t="shared" si="3"/>
        <v>5.5516171714201707</v>
      </c>
      <c r="K9" s="10">
        <f t="shared" si="4"/>
        <v>32.714285714285715</v>
      </c>
      <c r="L9" s="10">
        <f t="shared" si="5"/>
        <v>5.8927488521181663</v>
      </c>
      <c r="M9" s="12">
        <f t="shared" si="6"/>
        <v>9.7171428571428571</v>
      </c>
      <c r="N9" s="13">
        <f t="shared" si="7"/>
        <v>0.2970305676855895</v>
      </c>
    </row>
    <row r="10" spans="1:14">
      <c r="A10" s="6">
        <v>9</v>
      </c>
      <c r="B10" s="7">
        <v>40509</v>
      </c>
      <c r="C10" s="8">
        <v>2373</v>
      </c>
      <c r="D10" s="9">
        <v>1.7989999999999999</v>
      </c>
      <c r="E10" s="9">
        <v>68</v>
      </c>
      <c r="F10" s="9" t="s">
        <v>919</v>
      </c>
      <c r="G10" s="10">
        <f t="shared" si="0"/>
        <v>37.798777098387994</v>
      </c>
      <c r="H10" s="11">
        <f t="shared" si="1"/>
        <v>209</v>
      </c>
      <c r="I10" s="10">
        <f t="shared" si="2"/>
        <v>11</v>
      </c>
      <c r="J10" s="10">
        <f t="shared" si="3"/>
        <v>4.6682074805928018</v>
      </c>
      <c r="K10" s="10">
        <f t="shared" si="4"/>
        <v>19</v>
      </c>
      <c r="L10" s="10">
        <f t="shared" si="5"/>
        <v>4.070084733591842</v>
      </c>
      <c r="M10" s="12">
        <f t="shared" si="6"/>
        <v>7.7290909090909086</v>
      </c>
      <c r="N10" s="13">
        <f t="shared" si="7"/>
        <v>0.40679425837320571</v>
      </c>
    </row>
    <row r="11" spans="1:14">
      <c r="A11" s="6">
        <v>10</v>
      </c>
      <c r="B11" s="7">
        <v>40510</v>
      </c>
      <c r="C11" s="8">
        <v>2773</v>
      </c>
      <c r="D11" s="9">
        <v>1.6839999999999999</v>
      </c>
      <c r="E11" s="9">
        <v>79</v>
      </c>
      <c r="F11" s="9" t="s">
        <v>919</v>
      </c>
      <c r="G11" s="10">
        <f t="shared" si="0"/>
        <v>46.912114014251785</v>
      </c>
      <c r="H11" s="11">
        <f t="shared" si="1"/>
        <v>400</v>
      </c>
      <c r="I11" s="10">
        <f t="shared" si="2"/>
        <v>1</v>
      </c>
      <c r="J11" s="10">
        <f t="shared" si="3"/>
        <v>10.58235294117647</v>
      </c>
      <c r="K11" s="10">
        <f t="shared" si="4"/>
        <v>400</v>
      </c>
      <c r="L11" s="10">
        <f t="shared" si="5"/>
        <v>37.798777098387994</v>
      </c>
      <c r="M11" s="12">
        <f t="shared" si="6"/>
        <v>68</v>
      </c>
      <c r="N11" s="13">
        <f t="shared" si="7"/>
        <v>0.17</v>
      </c>
    </row>
    <row r="12" spans="1:14">
      <c r="A12" s="6">
        <v>11</v>
      </c>
      <c r="B12" s="7">
        <v>40513</v>
      </c>
      <c r="C12" s="8">
        <v>3164</v>
      </c>
      <c r="D12" s="9">
        <v>1.649</v>
      </c>
      <c r="E12" s="9">
        <v>66</v>
      </c>
      <c r="F12" s="9" t="s">
        <v>919</v>
      </c>
      <c r="G12" s="10">
        <f t="shared" si="0"/>
        <v>40.024257125530625</v>
      </c>
      <c r="H12" s="11">
        <f t="shared" si="1"/>
        <v>391</v>
      </c>
      <c r="I12" s="10">
        <f t="shared" si="2"/>
        <v>3</v>
      </c>
      <c r="J12" s="10">
        <f t="shared" si="3"/>
        <v>8.3347341772151893</v>
      </c>
      <c r="K12" s="10">
        <f t="shared" si="4"/>
        <v>130.33333333333334</v>
      </c>
      <c r="L12" s="10">
        <f t="shared" si="5"/>
        <v>15.637371338083929</v>
      </c>
      <c r="M12" s="12">
        <f t="shared" si="6"/>
        <v>26.333333333333332</v>
      </c>
      <c r="N12" s="13">
        <f t="shared" si="7"/>
        <v>0.20204603580562661</v>
      </c>
    </row>
    <row r="13" spans="1:14">
      <c r="A13" s="6">
        <v>12</v>
      </c>
      <c r="B13" s="7">
        <v>40523</v>
      </c>
      <c r="C13" s="8">
        <v>3395</v>
      </c>
      <c r="D13" s="9">
        <v>1.6990000000000001</v>
      </c>
      <c r="E13" s="9">
        <v>69.02</v>
      </c>
      <c r="F13" s="9" t="s">
        <v>919</v>
      </c>
      <c r="G13" s="10">
        <f t="shared" si="0"/>
        <v>40.62389640965273</v>
      </c>
      <c r="H13" s="11">
        <f t="shared" si="1"/>
        <v>231</v>
      </c>
      <c r="I13" s="10">
        <f t="shared" si="2"/>
        <v>10</v>
      </c>
      <c r="J13" s="10">
        <f t="shared" si="3"/>
        <v>5.7714999999999996</v>
      </c>
      <c r="K13" s="10">
        <f t="shared" si="4"/>
        <v>23.1</v>
      </c>
      <c r="L13" s="10">
        <f t="shared" si="5"/>
        <v>4.0024257125530625</v>
      </c>
      <c r="M13" s="12">
        <f t="shared" si="6"/>
        <v>6.6</v>
      </c>
      <c r="N13" s="13">
        <f t="shared" si="7"/>
        <v>0.2857142857142857</v>
      </c>
    </row>
    <row r="14" spans="1:14">
      <c r="A14" s="6">
        <v>13</v>
      </c>
      <c r="B14" s="7">
        <v>40533</v>
      </c>
      <c r="C14" s="8">
        <v>3617</v>
      </c>
      <c r="D14" s="9">
        <v>1.7490000000000001</v>
      </c>
      <c r="E14" s="9">
        <v>73.010000000000005</v>
      </c>
      <c r="F14" s="9" t="s">
        <v>919</v>
      </c>
      <c r="G14" s="10">
        <f t="shared" si="0"/>
        <v>41.743853630646086</v>
      </c>
      <c r="H14" s="11">
        <f t="shared" si="1"/>
        <v>222</v>
      </c>
      <c r="I14" s="10">
        <f t="shared" si="2"/>
        <v>10</v>
      </c>
      <c r="J14" s="10">
        <f t="shared" si="3"/>
        <v>5.4647638365691114</v>
      </c>
      <c r="K14" s="10">
        <f t="shared" si="4"/>
        <v>22.2</v>
      </c>
      <c r="L14" s="10">
        <f t="shared" si="5"/>
        <v>4.0623896409652733</v>
      </c>
      <c r="M14" s="12">
        <f t="shared" si="6"/>
        <v>6.9019999999999992</v>
      </c>
      <c r="N14" s="13">
        <f t="shared" si="7"/>
        <v>0.31090090090090089</v>
      </c>
    </row>
    <row r="15" spans="1:14">
      <c r="A15" s="6">
        <v>14</v>
      </c>
      <c r="B15" s="7">
        <v>40535</v>
      </c>
      <c r="C15" s="8">
        <v>3898</v>
      </c>
      <c r="D15" s="9">
        <v>2.6869999999999998</v>
      </c>
      <c r="E15" s="9">
        <v>94.02</v>
      </c>
      <c r="F15" s="9" t="s">
        <v>918</v>
      </c>
      <c r="G15" s="10">
        <f t="shared" si="0"/>
        <v>34.990695943431334</v>
      </c>
      <c r="H15" s="11">
        <f t="shared" si="1"/>
        <v>281</v>
      </c>
      <c r="I15" s="10">
        <f t="shared" si="2"/>
        <v>2</v>
      </c>
      <c r="J15" s="10">
        <f t="shared" si="3"/>
        <v>6.7315299274072045</v>
      </c>
      <c r="K15" s="10">
        <f t="shared" si="4"/>
        <v>140.5</v>
      </c>
      <c r="L15" s="10">
        <f t="shared" si="5"/>
        <v>20.871926815323043</v>
      </c>
      <c r="M15" s="12">
        <f t="shared" si="6"/>
        <v>36.505000000000003</v>
      </c>
      <c r="N15" s="13">
        <f t="shared" si="7"/>
        <v>0.25982206405693953</v>
      </c>
    </row>
    <row r="16" spans="1:14">
      <c r="A16" s="6">
        <v>15</v>
      </c>
      <c r="B16" s="7">
        <v>40537</v>
      </c>
      <c r="C16" s="8">
        <v>4347</v>
      </c>
      <c r="D16" s="9">
        <v>2.7189999999999999</v>
      </c>
      <c r="E16" s="9">
        <v>112.16</v>
      </c>
      <c r="F16" s="9" t="s">
        <v>918</v>
      </c>
      <c r="G16" s="10">
        <f t="shared" si="0"/>
        <v>41.250459727841118</v>
      </c>
      <c r="H16" s="11">
        <f t="shared" si="1"/>
        <v>449</v>
      </c>
      <c r="I16" s="10">
        <f t="shared" si="2"/>
        <v>2</v>
      </c>
      <c r="J16" s="10">
        <f t="shared" si="3"/>
        <v>12.831982556902787</v>
      </c>
      <c r="K16" s="10">
        <f t="shared" si="4"/>
        <v>224.5</v>
      </c>
      <c r="L16" s="10">
        <f t="shared" si="5"/>
        <v>17.495347971715667</v>
      </c>
      <c r="M16" s="12">
        <f t="shared" si="6"/>
        <v>47.01</v>
      </c>
      <c r="N16" s="13">
        <f t="shared" si="7"/>
        <v>0.20939866369710466</v>
      </c>
    </row>
    <row r="17" spans="1:14">
      <c r="A17" s="6">
        <v>16</v>
      </c>
      <c r="B17" s="7">
        <v>40539</v>
      </c>
      <c r="C17" s="8">
        <v>4731</v>
      </c>
      <c r="D17" s="9">
        <v>2.6949999999999998</v>
      </c>
      <c r="E17" s="9">
        <v>90</v>
      </c>
      <c r="F17" s="9" t="s">
        <v>918</v>
      </c>
      <c r="G17" s="10">
        <f t="shared" si="0"/>
        <v>33.395176252319111</v>
      </c>
      <c r="H17" s="11">
        <f t="shared" si="1"/>
        <v>384</v>
      </c>
      <c r="I17" s="10">
        <f t="shared" si="2"/>
        <v>2</v>
      </c>
      <c r="J17" s="10">
        <f t="shared" si="3"/>
        <v>9.3089871611982886</v>
      </c>
      <c r="K17" s="10">
        <f t="shared" si="4"/>
        <v>192</v>
      </c>
      <c r="L17" s="10">
        <f t="shared" si="5"/>
        <v>20.625229863920559</v>
      </c>
      <c r="M17" s="12">
        <f t="shared" si="6"/>
        <v>56.08</v>
      </c>
      <c r="N17" s="13">
        <f t="shared" si="7"/>
        <v>0.29208333333333331</v>
      </c>
    </row>
    <row r="18" spans="1:14">
      <c r="A18" s="6">
        <v>17</v>
      </c>
      <c r="B18" s="7">
        <v>40551</v>
      </c>
      <c r="C18" s="8">
        <v>5168</v>
      </c>
      <c r="D18" s="9">
        <v>1.7989999999999999</v>
      </c>
      <c r="E18" s="9">
        <v>73</v>
      </c>
      <c r="F18" s="9" t="s">
        <v>919</v>
      </c>
      <c r="G18" s="10">
        <f t="shared" si="0"/>
        <v>40.578098943857704</v>
      </c>
      <c r="H18" s="11">
        <f t="shared" si="1"/>
        <v>437</v>
      </c>
      <c r="I18" s="10">
        <f t="shared" si="2"/>
        <v>12</v>
      </c>
      <c r="J18" s="10">
        <f t="shared" si="3"/>
        <v>13.085722222222222</v>
      </c>
      <c r="K18" s="10">
        <f t="shared" si="4"/>
        <v>36.416666666666664</v>
      </c>
      <c r="L18" s="10">
        <f t="shared" si="5"/>
        <v>2.7829313543599259</v>
      </c>
      <c r="M18" s="12">
        <f t="shared" si="6"/>
        <v>7.5</v>
      </c>
      <c r="N18" s="13">
        <f t="shared" si="7"/>
        <v>0.20594965675057209</v>
      </c>
    </row>
    <row r="19" spans="1:14">
      <c r="A19" s="6">
        <v>18</v>
      </c>
      <c r="B19" s="7">
        <v>40561</v>
      </c>
      <c r="C19" s="8">
        <v>5445</v>
      </c>
      <c r="D19" s="9">
        <v>1.7989999999999999</v>
      </c>
      <c r="E19" s="9">
        <v>70</v>
      </c>
      <c r="F19" s="9" t="s">
        <v>919</v>
      </c>
      <c r="G19" s="10">
        <f t="shared" si="0"/>
        <v>38.910505836575879</v>
      </c>
      <c r="H19" s="11">
        <f t="shared" si="1"/>
        <v>277</v>
      </c>
      <c r="I19" s="10">
        <f t="shared" si="2"/>
        <v>10</v>
      </c>
      <c r="J19" s="10">
        <f t="shared" si="3"/>
        <v>6.8263424657534237</v>
      </c>
      <c r="K19" s="10">
        <f t="shared" si="4"/>
        <v>27.7</v>
      </c>
      <c r="L19" s="10">
        <f t="shared" si="5"/>
        <v>4.0578098943857706</v>
      </c>
      <c r="M19" s="12">
        <f t="shared" si="6"/>
        <v>7.3</v>
      </c>
      <c r="N19" s="13">
        <f t="shared" si="7"/>
        <v>0.26353790613718414</v>
      </c>
    </row>
    <row r="20" spans="1:14">
      <c r="A20" s="6">
        <v>19</v>
      </c>
      <c r="B20" s="7">
        <v>40571</v>
      </c>
      <c r="C20" s="8">
        <v>5675</v>
      </c>
      <c r="D20" s="9">
        <v>1.7989999999999999</v>
      </c>
      <c r="E20" s="9">
        <v>82.03</v>
      </c>
      <c r="F20" s="9" t="s">
        <v>919</v>
      </c>
      <c r="G20" s="10">
        <f t="shared" si="0"/>
        <v>45.597554196775988</v>
      </c>
      <c r="H20" s="11">
        <f t="shared" si="1"/>
        <v>230</v>
      </c>
      <c r="I20" s="10">
        <f t="shared" si="2"/>
        <v>10</v>
      </c>
      <c r="J20" s="10">
        <f t="shared" si="3"/>
        <v>5.9109999999999996</v>
      </c>
      <c r="K20" s="10">
        <f t="shared" si="4"/>
        <v>23</v>
      </c>
      <c r="L20" s="10">
        <f t="shared" si="5"/>
        <v>3.8910505836575879</v>
      </c>
      <c r="M20" s="12">
        <f t="shared" si="6"/>
        <v>7</v>
      </c>
      <c r="N20" s="13">
        <f t="shared" si="7"/>
        <v>0.30434782608695654</v>
      </c>
    </row>
    <row r="21" spans="1:14">
      <c r="A21" s="6">
        <v>20</v>
      </c>
      <c r="B21" s="7">
        <v>40589</v>
      </c>
      <c r="C21" s="8">
        <v>5898</v>
      </c>
      <c r="D21" s="9">
        <v>1.7989999999999999</v>
      </c>
      <c r="E21" s="9">
        <v>72.03</v>
      </c>
      <c r="F21" s="9" t="s">
        <v>919</v>
      </c>
      <c r="G21" s="10">
        <f t="shared" si="0"/>
        <v>40.038910505836576</v>
      </c>
      <c r="H21" s="11">
        <f t="shared" si="1"/>
        <v>223</v>
      </c>
      <c r="I21" s="10">
        <f t="shared" si="2"/>
        <v>18</v>
      </c>
      <c r="J21" s="10">
        <f t="shared" si="3"/>
        <v>4.8906131902962331</v>
      </c>
      <c r="K21" s="10">
        <f t="shared" si="4"/>
        <v>12.388888888888889</v>
      </c>
      <c r="L21" s="10">
        <f t="shared" si="5"/>
        <v>2.5331974553764436</v>
      </c>
      <c r="M21" s="12">
        <f t="shared" si="6"/>
        <v>4.5572222222222223</v>
      </c>
      <c r="N21" s="13">
        <f t="shared" si="7"/>
        <v>0.367847533632287</v>
      </c>
    </row>
    <row r="22" spans="1:14">
      <c r="A22" s="6">
        <v>21</v>
      </c>
      <c r="B22" s="7">
        <v>40599</v>
      </c>
      <c r="C22" s="8">
        <v>6102</v>
      </c>
      <c r="D22" s="9">
        <v>1.9990000000000001</v>
      </c>
      <c r="E22" s="9">
        <v>85</v>
      </c>
      <c r="F22" s="9" t="s">
        <v>919</v>
      </c>
      <c r="G22" s="10">
        <f t="shared" si="0"/>
        <v>42.521260630315155</v>
      </c>
      <c r="H22" s="11">
        <f t="shared" si="1"/>
        <v>204</v>
      </c>
      <c r="I22" s="10">
        <f t="shared" si="2"/>
        <v>10</v>
      </c>
      <c r="J22" s="10">
        <f t="shared" si="3"/>
        <v>5.0950437317784258</v>
      </c>
      <c r="K22" s="10">
        <f t="shared" si="4"/>
        <v>20.399999999999999</v>
      </c>
      <c r="L22" s="10">
        <f t="shared" si="5"/>
        <v>4.0038910505836576</v>
      </c>
      <c r="M22" s="12">
        <f t="shared" si="6"/>
        <v>7.2030000000000003</v>
      </c>
      <c r="N22" s="13">
        <f t="shared" si="7"/>
        <v>0.35308823529411765</v>
      </c>
    </row>
    <row r="23" spans="1:14">
      <c r="A23" s="6">
        <v>22</v>
      </c>
      <c r="B23" s="7">
        <v>40602</v>
      </c>
      <c r="C23" s="8">
        <v>6364</v>
      </c>
      <c r="D23" s="9">
        <v>1.9990000000000001</v>
      </c>
      <c r="E23" s="9">
        <v>57.51</v>
      </c>
      <c r="F23" s="9" t="s">
        <v>919</v>
      </c>
      <c r="G23" s="10">
        <f t="shared" si="0"/>
        <v>28.769384692346172</v>
      </c>
      <c r="H23" s="11">
        <f t="shared" si="1"/>
        <v>262</v>
      </c>
      <c r="I23" s="10">
        <f t="shared" si="2"/>
        <v>3</v>
      </c>
      <c r="J23" s="10">
        <f t="shared" si="3"/>
        <v>6.1616235294117647</v>
      </c>
      <c r="K23" s="10">
        <f t="shared" si="4"/>
        <v>87.333333333333329</v>
      </c>
      <c r="L23" s="10">
        <f t="shared" si="5"/>
        <v>14.173753543438385</v>
      </c>
      <c r="M23" s="12">
        <f t="shared" si="6"/>
        <v>28.333333333333332</v>
      </c>
      <c r="N23" s="13">
        <f t="shared" si="7"/>
        <v>0.32442748091603052</v>
      </c>
    </row>
    <row r="24" spans="1:14">
      <c r="A24" s="6">
        <v>23</v>
      </c>
      <c r="B24" s="7">
        <v>40609</v>
      </c>
      <c r="C24" s="8">
        <v>6596</v>
      </c>
      <c r="D24" s="9">
        <v>1.9490000000000001</v>
      </c>
      <c r="E24" s="9">
        <v>67</v>
      </c>
      <c r="F24" s="9" t="s">
        <v>919</v>
      </c>
      <c r="G24" s="10">
        <f t="shared" si="0"/>
        <v>34.376603386351974</v>
      </c>
      <c r="H24" s="11">
        <f t="shared" si="1"/>
        <v>232</v>
      </c>
      <c r="I24" s="10">
        <f t="shared" si="2"/>
        <v>7</v>
      </c>
      <c r="J24" s="10">
        <f t="shared" si="3"/>
        <v>8.0641279777430022</v>
      </c>
      <c r="K24" s="10">
        <f t="shared" si="4"/>
        <v>33.142857142857146</v>
      </c>
      <c r="L24" s="10">
        <f t="shared" si="5"/>
        <v>4.1099120989065963</v>
      </c>
      <c r="M24" s="12">
        <f t="shared" si="6"/>
        <v>8.2157142857142862</v>
      </c>
      <c r="N24" s="13">
        <f t="shared" si="7"/>
        <v>0.24788793103448276</v>
      </c>
    </row>
    <row r="25" spans="1:14">
      <c r="A25" s="6">
        <v>24</v>
      </c>
      <c r="B25" s="7">
        <v>40619</v>
      </c>
      <c r="C25" s="8">
        <v>6811</v>
      </c>
      <c r="D25" s="9">
        <v>2.0489999999999999</v>
      </c>
      <c r="E25" s="9">
        <v>91.04</v>
      </c>
      <c r="F25" s="9" t="s">
        <v>919</v>
      </c>
      <c r="G25" s="10">
        <f t="shared" si="0"/>
        <v>44.431429965836998</v>
      </c>
      <c r="H25" s="11">
        <f t="shared" si="1"/>
        <v>215</v>
      </c>
      <c r="I25" s="10">
        <f t="shared" si="2"/>
        <v>10</v>
      </c>
      <c r="J25" s="10">
        <f t="shared" si="3"/>
        <v>6.254253731343284</v>
      </c>
      <c r="K25" s="10">
        <f t="shared" si="4"/>
        <v>21.5</v>
      </c>
      <c r="L25" s="10">
        <f t="shared" si="5"/>
        <v>3.4376603386351974</v>
      </c>
      <c r="M25" s="12">
        <f t="shared" si="6"/>
        <v>6.7</v>
      </c>
      <c r="N25" s="13">
        <f t="shared" si="7"/>
        <v>0.3116279069767442</v>
      </c>
    </row>
    <row r="26" spans="1:14">
      <c r="A26" s="6">
        <v>25</v>
      </c>
      <c r="B26" s="7">
        <v>40628</v>
      </c>
      <c r="C26" s="8">
        <v>7056</v>
      </c>
      <c r="D26" s="9">
        <v>2.6390000000000002</v>
      </c>
      <c r="E26" s="9">
        <v>107</v>
      </c>
      <c r="F26" s="9" t="s">
        <v>918</v>
      </c>
      <c r="G26" s="10">
        <f t="shared" si="0"/>
        <v>40.545661235316402</v>
      </c>
      <c r="H26" s="11">
        <f t="shared" si="1"/>
        <v>245</v>
      </c>
      <c r="I26" s="10">
        <f t="shared" si="2"/>
        <v>9</v>
      </c>
      <c r="J26" s="10">
        <f t="shared" si="3"/>
        <v>5.5141146748681891</v>
      </c>
      <c r="K26" s="10">
        <f t="shared" si="4"/>
        <v>27.222222222222221</v>
      </c>
      <c r="L26" s="10">
        <f t="shared" si="5"/>
        <v>4.9368255517596662</v>
      </c>
      <c r="M26" s="12">
        <f t="shared" si="6"/>
        <v>10.115555555555556</v>
      </c>
      <c r="N26" s="13">
        <f t="shared" si="7"/>
        <v>0.37159183673469393</v>
      </c>
    </row>
    <row r="27" spans="1:14">
      <c r="A27" s="6">
        <v>26</v>
      </c>
      <c r="B27" s="7">
        <v>40642</v>
      </c>
      <c r="C27" s="8">
        <v>7371</v>
      </c>
      <c r="D27" s="9">
        <v>2.5489999999999999</v>
      </c>
      <c r="E27" s="9">
        <v>109.02</v>
      </c>
      <c r="F27" s="9" t="s">
        <v>918</v>
      </c>
      <c r="G27" s="10">
        <f t="shared" si="0"/>
        <v>42.769713613181636</v>
      </c>
      <c r="H27" s="11">
        <f t="shared" si="1"/>
        <v>315</v>
      </c>
      <c r="I27" s="10">
        <f t="shared" si="2"/>
        <v>14</v>
      </c>
      <c r="J27" s="10">
        <f t="shared" si="3"/>
        <v>7.7690186915887862</v>
      </c>
      <c r="K27" s="10">
        <f t="shared" si="4"/>
        <v>22.5</v>
      </c>
      <c r="L27" s="10">
        <f t="shared" si="5"/>
        <v>2.8961186596654573</v>
      </c>
      <c r="M27" s="12">
        <f t="shared" si="6"/>
        <v>7.6428571428571432</v>
      </c>
      <c r="N27" s="13">
        <f t="shared" si="7"/>
        <v>0.3396825396825397</v>
      </c>
    </row>
    <row r="28" spans="1:14">
      <c r="A28" s="6">
        <v>27</v>
      </c>
      <c r="B28" s="7">
        <v>40662</v>
      </c>
      <c r="C28" s="8">
        <v>7683</v>
      </c>
      <c r="D28" s="9">
        <v>2.899</v>
      </c>
      <c r="E28" s="9">
        <v>118.02</v>
      </c>
      <c r="F28" s="9" t="s">
        <v>918</v>
      </c>
      <c r="G28" s="10">
        <f t="shared" si="0"/>
        <v>40.710589858571922</v>
      </c>
      <c r="H28" s="11">
        <f t="shared" si="1"/>
        <v>312</v>
      </c>
      <c r="I28" s="10">
        <f t="shared" si="2"/>
        <v>20</v>
      </c>
      <c r="J28" s="10">
        <f t="shared" si="3"/>
        <v>7.2948816730875077</v>
      </c>
      <c r="K28" s="10">
        <f t="shared" si="4"/>
        <v>15.6</v>
      </c>
      <c r="L28" s="10">
        <f t="shared" si="5"/>
        <v>2.1384856806590817</v>
      </c>
      <c r="M28" s="12">
        <f t="shared" si="6"/>
        <v>5.4509999999999996</v>
      </c>
      <c r="N28" s="13">
        <f t="shared" si="7"/>
        <v>0.34942307692307689</v>
      </c>
    </row>
    <row r="29" spans="1:14">
      <c r="A29" s="6">
        <v>28</v>
      </c>
      <c r="B29" s="7">
        <v>40675</v>
      </c>
      <c r="C29" s="8">
        <v>8019</v>
      </c>
      <c r="D29" s="9">
        <v>2.9489999999999998</v>
      </c>
      <c r="E29" s="9">
        <v>124.09</v>
      </c>
      <c r="F29" s="9" t="s">
        <v>918</v>
      </c>
      <c r="G29" s="10">
        <f t="shared" si="0"/>
        <v>42.078670735842664</v>
      </c>
      <c r="H29" s="11">
        <f t="shared" si="1"/>
        <v>336</v>
      </c>
      <c r="I29" s="10">
        <f t="shared" si="2"/>
        <v>13</v>
      </c>
      <c r="J29" s="10">
        <f t="shared" si="3"/>
        <v>8.2533807829181498</v>
      </c>
      <c r="K29" s="10">
        <f t="shared" si="4"/>
        <v>25.846153846153847</v>
      </c>
      <c r="L29" s="10">
        <f t="shared" si="5"/>
        <v>3.1315838352747631</v>
      </c>
      <c r="M29" s="12">
        <f t="shared" si="6"/>
        <v>9.0784615384615375</v>
      </c>
      <c r="N29" s="13">
        <f t="shared" si="7"/>
        <v>0.35125000000000001</v>
      </c>
    </row>
    <row r="30" spans="1:14">
      <c r="A30" s="6">
        <v>29</v>
      </c>
      <c r="B30" s="7">
        <v>40688</v>
      </c>
      <c r="C30" s="8">
        <v>8389</v>
      </c>
      <c r="D30" s="9">
        <v>2.8490000000000002</v>
      </c>
      <c r="E30" s="9">
        <v>118.04</v>
      </c>
      <c r="F30" s="9" t="s">
        <v>918</v>
      </c>
      <c r="G30" s="10">
        <f t="shared" si="0"/>
        <v>41.432081432081432</v>
      </c>
      <c r="H30" s="11">
        <f t="shared" si="1"/>
        <v>370</v>
      </c>
      <c r="I30" s="10">
        <f t="shared" si="2"/>
        <v>13</v>
      </c>
      <c r="J30" s="10">
        <f t="shared" si="3"/>
        <v>8.7930534289628479</v>
      </c>
      <c r="K30" s="10">
        <f t="shared" si="4"/>
        <v>28.46153846153846</v>
      </c>
      <c r="L30" s="10">
        <f t="shared" si="5"/>
        <v>3.2368208258340512</v>
      </c>
      <c r="M30" s="12">
        <f t="shared" si="6"/>
        <v>9.5453846153846165</v>
      </c>
      <c r="N30" s="13">
        <f t="shared" si="7"/>
        <v>0.33537837837837836</v>
      </c>
    </row>
    <row r="31" spans="1:14">
      <c r="A31" s="6">
        <v>30</v>
      </c>
      <c r="B31" s="7">
        <v>40698</v>
      </c>
      <c r="C31" s="8">
        <v>8697</v>
      </c>
      <c r="D31" s="9">
        <v>2.7490000000000001</v>
      </c>
      <c r="E31" s="9">
        <v>101.01</v>
      </c>
      <c r="F31" s="9" t="s">
        <v>918</v>
      </c>
      <c r="G31" s="10">
        <f t="shared" si="0"/>
        <v>36.7442706438705</v>
      </c>
      <c r="H31" s="11">
        <f t="shared" si="1"/>
        <v>308</v>
      </c>
      <c r="I31" s="10">
        <f t="shared" si="2"/>
        <v>10</v>
      </c>
      <c r="J31" s="10">
        <f t="shared" si="3"/>
        <v>7.433852931209759</v>
      </c>
      <c r="K31" s="10">
        <f t="shared" si="4"/>
        <v>30.8</v>
      </c>
      <c r="L31" s="10">
        <f t="shared" si="5"/>
        <v>4.1432081432081436</v>
      </c>
      <c r="M31" s="12">
        <f t="shared" si="6"/>
        <v>11.804</v>
      </c>
      <c r="N31" s="13">
        <f t="shared" si="7"/>
        <v>0.38324675324675328</v>
      </c>
    </row>
    <row r="32" spans="1:14">
      <c r="A32" s="6">
        <v>31</v>
      </c>
      <c r="B32" s="7">
        <v>40699</v>
      </c>
      <c r="C32" s="8">
        <v>9071</v>
      </c>
      <c r="D32" s="9">
        <v>2.7640000000000002</v>
      </c>
      <c r="E32" s="9">
        <v>100</v>
      </c>
      <c r="F32" s="9" t="s">
        <v>918</v>
      </c>
      <c r="G32" s="10">
        <f t="shared" si="0"/>
        <v>36.179450072358897</v>
      </c>
      <c r="H32" s="11">
        <f t="shared" si="1"/>
        <v>374</v>
      </c>
      <c r="I32" s="10">
        <f t="shared" si="2"/>
        <v>1</v>
      </c>
      <c r="J32" s="10">
        <f t="shared" si="3"/>
        <v>10.178457578457579</v>
      </c>
      <c r="K32" s="10">
        <f t="shared" si="4"/>
        <v>374</v>
      </c>
      <c r="L32" s="10">
        <f t="shared" si="5"/>
        <v>36.7442706438705</v>
      </c>
      <c r="M32" s="12">
        <f t="shared" si="6"/>
        <v>101.01</v>
      </c>
      <c r="N32" s="13">
        <f t="shared" si="7"/>
        <v>0.27008021390374332</v>
      </c>
    </row>
    <row r="33" spans="1:14">
      <c r="A33" s="6">
        <v>32</v>
      </c>
      <c r="B33" s="7">
        <v>40704</v>
      </c>
      <c r="C33" s="8">
        <v>9594</v>
      </c>
      <c r="D33" s="9">
        <v>2.7490000000000001</v>
      </c>
      <c r="E33" s="9">
        <v>119</v>
      </c>
      <c r="F33" s="9" t="s">
        <v>918</v>
      </c>
      <c r="G33" s="10">
        <f t="shared" si="0"/>
        <v>43.288468534012367</v>
      </c>
      <c r="H33" s="11">
        <f t="shared" si="1"/>
        <v>523</v>
      </c>
      <c r="I33" s="10">
        <f t="shared" si="2"/>
        <v>5</v>
      </c>
      <c r="J33" s="10">
        <f t="shared" si="3"/>
        <v>14.455720000000001</v>
      </c>
      <c r="K33" s="10">
        <f t="shared" si="4"/>
        <v>104.6</v>
      </c>
      <c r="L33" s="10">
        <f t="shared" si="5"/>
        <v>7.2358900144717797</v>
      </c>
      <c r="M33" s="12">
        <f t="shared" si="6"/>
        <v>20</v>
      </c>
      <c r="N33" s="13">
        <f t="shared" si="7"/>
        <v>0.19120458891013384</v>
      </c>
    </row>
    <row r="34" spans="1:14">
      <c r="A34" s="6">
        <v>33</v>
      </c>
      <c r="B34" s="7">
        <v>40719</v>
      </c>
      <c r="C34" s="8">
        <v>9864</v>
      </c>
      <c r="D34" s="9">
        <v>1.7589999999999999</v>
      </c>
      <c r="E34" s="9">
        <v>53</v>
      </c>
      <c r="F34" s="9" t="s">
        <v>919</v>
      </c>
      <c r="G34" s="10">
        <f t="shared" si="0"/>
        <v>30.130756111426948</v>
      </c>
      <c r="H34" s="11">
        <f t="shared" si="1"/>
        <v>270</v>
      </c>
      <c r="I34" s="10">
        <f t="shared" si="2"/>
        <v>15</v>
      </c>
      <c r="J34" s="10">
        <f t="shared" si="3"/>
        <v>6.2372268907563031</v>
      </c>
      <c r="K34" s="10">
        <f t="shared" si="4"/>
        <v>18</v>
      </c>
      <c r="L34" s="10">
        <f t="shared" si="5"/>
        <v>2.8858979022674913</v>
      </c>
      <c r="M34" s="12">
        <f t="shared" si="6"/>
        <v>7.9333333333333336</v>
      </c>
      <c r="N34" s="13">
        <f t="shared" si="7"/>
        <v>0.44074074074074077</v>
      </c>
    </row>
    <row r="35" spans="1:14">
      <c r="A35" s="6">
        <v>34</v>
      </c>
      <c r="B35" s="7">
        <v>40738</v>
      </c>
      <c r="C35" s="8">
        <v>10192</v>
      </c>
      <c r="D35" s="9">
        <v>1.7589999999999999</v>
      </c>
      <c r="E35" s="9">
        <v>72</v>
      </c>
      <c r="F35" s="9" t="s">
        <v>919</v>
      </c>
      <c r="G35" s="10">
        <f t="shared" si="0"/>
        <v>40.932347924957362</v>
      </c>
      <c r="H35" s="11">
        <f t="shared" si="1"/>
        <v>328</v>
      </c>
      <c r="I35" s="10">
        <f t="shared" si="2"/>
        <v>19</v>
      </c>
      <c r="J35" s="10">
        <f t="shared" si="3"/>
        <v>10.88588679245283</v>
      </c>
      <c r="K35" s="10">
        <f t="shared" si="4"/>
        <v>17.263157894736842</v>
      </c>
      <c r="L35" s="10">
        <f t="shared" si="5"/>
        <v>1.5858292690224709</v>
      </c>
      <c r="M35" s="12">
        <f t="shared" si="6"/>
        <v>2.7894736842105261</v>
      </c>
      <c r="N35" s="13">
        <f t="shared" si="7"/>
        <v>0.16158536585365854</v>
      </c>
    </row>
    <row r="36" spans="1:14">
      <c r="A36" s="6">
        <v>35</v>
      </c>
      <c r="B36" s="7">
        <v>40749</v>
      </c>
      <c r="C36" s="8">
        <v>10452</v>
      </c>
      <c r="D36" s="9">
        <v>1.7989999999999999</v>
      </c>
      <c r="E36" s="9">
        <v>81.03</v>
      </c>
      <c r="F36" s="9" t="s">
        <v>919</v>
      </c>
      <c r="G36" s="10">
        <f t="shared" si="0"/>
        <v>45.041689827682049</v>
      </c>
      <c r="H36" s="11">
        <f t="shared" si="1"/>
        <v>260</v>
      </c>
      <c r="I36" s="10">
        <f t="shared" si="2"/>
        <v>11</v>
      </c>
      <c r="J36" s="10">
        <f t="shared" si="3"/>
        <v>6.3519444444444444</v>
      </c>
      <c r="K36" s="10">
        <f t="shared" si="4"/>
        <v>23.636363636363637</v>
      </c>
      <c r="L36" s="10">
        <f t="shared" si="5"/>
        <v>3.7211225386324873</v>
      </c>
      <c r="M36" s="12">
        <f t="shared" si="6"/>
        <v>6.5454545454545459</v>
      </c>
      <c r="N36" s="13">
        <f t="shared" si="7"/>
        <v>0.27692307692307694</v>
      </c>
    </row>
    <row r="37" spans="1:14">
      <c r="A37" s="6">
        <v>36</v>
      </c>
      <c r="B37" s="7">
        <v>40760</v>
      </c>
      <c r="C37" s="8">
        <v>10721</v>
      </c>
      <c r="D37" s="9">
        <v>2.7490000000000001</v>
      </c>
      <c r="E37" s="9">
        <v>121.01</v>
      </c>
      <c r="F37" s="9" t="s">
        <v>918</v>
      </c>
      <c r="G37" s="10">
        <f t="shared" si="0"/>
        <v>44.019643506729722</v>
      </c>
      <c r="H37" s="11">
        <f t="shared" si="1"/>
        <v>269</v>
      </c>
      <c r="I37" s="10">
        <f t="shared" si="2"/>
        <v>11</v>
      </c>
      <c r="J37" s="10">
        <f t="shared" si="3"/>
        <v>5.9722448475873131</v>
      </c>
      <c r="K37" s="10">
        <f t="shared" si="4"/>
        <v>24.454545454545453</v>
      </c>
      <c r="L37" s="10">
        <f t="shared" si="5"/>
        <v>4.094699075243823</v>
      </c>
      <c r="M37" s="12">
        <f t="shared" si="6"/>
        <v>7.3663636363636362</v>
      </c>
      <c r="N37" s="13">
        <f t="shared" si="7"/>
        <v>0.3012267657992565</v>
      </c>
    </row>
    <row r="38" spans="1:14">
      <c r="A38" s="6">
        <v>37</v>
      </c>
      <c r="B38" s="14">
        <v>40762</v>
      </c>
      <c r="C38" s="15">
        <v>11190</v>
      </c>
      <c r="D38" s="16">
        <v>2.5790000000000002</v>
      </c>
      <c r="E38" s="16">
        <v>100.01</v>
      </c>
      <c r="F38" s="16" t="s">
        <v>918</v>
      </c>
      <c r="G38" s="10">
        <f t="shared" si="0"/>
        <v>38.778596355176425</v>
      </c>
      <c r="H38" s="11">
        <f t="shared" si="1"/>
        <v>469</v>
      </c>
      <c r="I38" s="10">
        <f t="shared" si="2"/>
        <v>2</v>
      </c>
      <c r="J38" s="10">
        <f t="shared" si="3"/>
        <v>10.654334352532848</v>
      </c>
      <c r="K38" s="10">
        <f t="shared" si="4"/>
        <v>234.5</v>
      </c>
      <c r="L38" s="10">
        <f t="shared" si="5"/>
        <v>22.009821753364861</v>
      </c>
      <c r="M38" s="12">
        <f t="shared" si="6"/>
        <v>60.505000000000003</v>
      </c>
      <c r="N38" s="13">
        <f t="shared" si="7"/>
        <v>0.25801705756929638</v>
      </c>
    </row>
    <row r="39" spans="1:14">
      <c r="A39" s="6">
        <v>38</v>
      </c>
      <c r="B39" s="14">
        <v>40765</v>
      </c>
      <c r="C39" s="15">
        <v>11706</v>
      </c>
      <c r="D39" s="16">
        <v>2.7490000000000001</v>
      </c>
      <c r="E39" s="16">
        <v>123.01</v>
      </c>
      <c r="F39" s="16" t="s">
        <v>918</v>
      </c>
      <c r="G39" s="10">
        <f t="shared" si="0"/>
        <v>44.747180793015644</v>
      </c>
      <c r="H39" s="11">
        <f t="shared" si="1"/>
        <v>516</v>
      </c>
      <c r="I39" s="10">
        <f t="shared" si="2"/>
        <v>3</v>
      </c>
      <c r="J39" s="10">
        <f t="shared" si="3"/>
        <v>13.306309369063094</v>
      </c>
      <c r="K39" s="10">
        <f t="shared" si="4"/>
        <v>172</v>
      </c>
      <c r="L39" s="10">
        <f t="shared" si="5"/>
        <v>12.926198785058808</v>
      </c>
      <c r="M39" s="12">
        <f t="shared" si="6"/>
        <v>33.336666666666666</v>
      </c>
      <c r="N39" s="13">
        <f t="shared" si="7"/>
        <v>0.19381782945736434</v>
      </c>
    </row>
    <row r="40" spans="1:14">
      <c r="A40" s="6">
        <v>39</v>
      </c>
      <c r="B40" s="14">
        <v>40777</v>
      </c>
      <c r="C40" s="15">
        <v>12076</v>
      </c>
      <c r="D40" s="16">
        <v>2.5990000000000002</v>
      </c>
      <c r="E40" s="16">
        <v>101.02</v>
      </c>
      <c r="F40" s="16" t="s">
        <v>918</v>
      </c>
      <c r="G40" s="10">
        <f t="shared" si="0"/>
        <v>38.868795690650245</v>
      </c>
      <c r="H40" s="11">
        <f t="shared" si="1"/>
        <v>370</v>
      </c>
      <c r="I40" s="10">
        <f t="shared" si="2"/>
        <v>12</v>
      </c>
      <c r="J40" s="10">
        <f t="shared" si="3"/>
        <v>8.2686773433054217</v>
      </c>
      <c r="K40" s="10">
        <f t="shared" si="4"/>
        <v>30.833333333333332</v>
      </c>
      <c r="L40" s="10">
        <f t="shared" si="5"/>
        <v>3.7289317327513039</v>
      </c>
      <c r="M40" s="12">
        <f t="shared" si="6"/>
        <v>10.250833333333334</v>
      </c>
      <c r="N40" s="13">
        <f t="shared" si="7"/>
        <v>0.33245945945945948</v>
      </c>
    </row>
    <row r="41" spans="1:14">
      <c r="A41" s="6">
        <v>40</v>
      </c>
      <c r="B41" s="14">
        <v>40789</v>
      </c>
      <c r="C41" s="15">
        <v>12381</v>
      </c>
      <c r="D41" s="16">
        <v>2.7490000000000001</v>
      </c>
      <c r="E41" s="16">
        <v>115</v>
      </c>
      <c r="F41" s="16" t="s">
        <v>918</v>
      </c>
      <c r="G41" s="10">
        <f t="shared" si="0"/>
        <v>41.833393961440521</v>
      </c>
      <c r="H41" s="11">
        <f t="shared" si="1"/>
        <v>305</v>
      </c>
      <c r="I41" s="10">
        <f t="shared" si="2"/>
        <v>12</v>
      </c>
      <c r="J41" s="10">
        <f t="shared" si="3"/>
        <v>7.8469115026727394</v>
      </c>
      <c r="K41" s="10">
        <f t="shared" si="4"/>
        <v>25.416666666666668</v>
      </c>
      <c r="L41" s="10">
        <f t="shared" si="5"/>
        <v>3.2390663075541872</v>
      </c>
      <c r="M41" s="12">
        <f t="shared" si="6"/>
        <v>8.418333333333333</v>
      </c>
      <c r="N41" s="13">
        <f t="shared" si="7"/>
        <v>0.33121311475409837</v>
      </c>
    </row>
    <row r="42" spans="1:14">
      <c r="A42" s="6">
        <v>41</v>
      </c>
      <c r="B42" s="14">
        <v>40810</v>
      </c>
      <c r="C42" s="15">
        <v>12724</v>
      </c>
      <c r="D42" s="16">
        <v>2.7490000000000001</v>
      </c>
      <c r="E42" s="16">
        <v>119.03</v>
      </c>
      <c r="F42" s="16" t="s">
        <v>918</v>
      </c>
      <c r="G42" s="10">
        <f t="shared" si="0"/>
        <v>43.299381593306656</v>
      </c>
      <c r="H42" s="11">
        <f t="shared" si="1"/>
        <v>343</v>
      </c>
      <c r="I42" s="10">
        <f t="shared" si="2"/>
        <v>21</v>
      </c>
      <c r="J42" s="10">
        <f t="shared" si="3"/>
        <v>8.1991913043478259</v>
      </c>
      <c r="K42" s="10">
        <f t="shared" si="4"/>
        <v>16.333333333333332</v>
      </c>
      <c r="L42" s="10">
        <f t="shared" si="5"/>
        <v>1.9920663791162152</v>
      </c>
      <c r="M42" s="12">
        <f t="shared" si="6"/>
        <v>5.4761904761904763</v>
      </c>
      <c r="N42" s="13">
        <f t="shared" si="7"/>
        <v>0.33527696793002915</v>
      </c>
    </row>
    <row r="43" spans="1:14">
      <c r="A43" s="6">
        <v>42</v>
      </c>
      <c r="B43" s="14">
        <v>40829</v>
      </c>
      <c r="C43" s="15">
        <v>13060</v>
      </c>
      <c r="D43" s="16">
        <v>2.5990000000000002</v>
      </c>
      <c r="E43" s="16">
        <v>105</v>
      </c>
      <c r="F43" s="16" t="s">
        <v>918</v>
      </c>
      <c r="G43" s="10">
        <f t="shared" si="0"/>
        <v>40.400153905348205</v>
      </c>
      <c r="H43" s="11">
        <f t="shared" si="1"/>
        <v>336</v>
      </c>
      <c r="I43" s="10">
        <f t="shared" si="2"/>
        <v>19</v>
      </c>
      <c r="J43" s="10">
        <f t="shared" si="3"/>
        <v>7.7599260690582206</v>
      </c>
      <c r="K43" s="10">
        <f t="shared" si="4"/>
        <v>17.684210526315791</v>
      </c>
      <c r="L43" s="10">
        <f t="shared" si="5"/>
        <v>2.2789148207003502</v>
      </c>
      <c r="M43" s="12">
        <f t="shared" si="6"/>
        <v>6.2647368421052629</v>
      </c>
      <c r="N43" s="13">
        <f t="shared" si="7"/>
        <v>0.35425595238095237</v>
      </c>
    </row>
    <row r="44" spans="1:14">
      <c r="A44" s="6">
        <v>43</v>
      </c>
      <c r="B44" s="14">
        <v>40843</v>
      </c>
      <c r="C44" s="15">
        <v>13380</v>
      </c>
      <c r="D44" s="16">
        <v>2.7490000000000001</v>
      </c>
      <c r="E44" s="16">
        <v>112.02</v>
      </c>
      <c r="F44" s="16" t="s">
        <v>918</v>
      </c>
      <c r="G44" s="10">
        <f t="shared" si="0"/>
        <v>40.749363404874494</v>
      </c>
      <c r="H44" s="11">
        <f t="shared" si="1"/>
        <v>320</v>
      </c>
      <c r="I44" s="10">
        <f t="shared" si="2"/>
        <v>14</v>
      </c>
      <c r="J44" s="10">
        <f t="shared" si="3"/>
        <v>7.920761904761906</v>
      </c>
      <c r="K44" s="10">
        <f t="shared" si="4"/>
        <v>22.857142857142858</v>
      </c>
      <c r="L44" s="10">
        <f t="shared" si="5"/>
        <v>2.8857252789534433</v>
      </c>
      <c r="M44" s="12">
        <f t="shared" si="6"/>
        <v>7.5</v>
      </c>
      <c r="N44" s="13">
        <f t="shared" si="7"/>
        <v>0.328125</v>
      </c>
    </row>
    <row r="45" spans="1:14">
      <c r="A45" s="6">
        <v>44</v>
      </c>
      <c r="B45" s="14">
        <v>40863</v>
      </c>
      <c r="C45" s="15">
        <v>13713</v>
      </c>
      <c r="D45" s="16">
        <v>2.7490000000000001</v>
      </c>
      <c r="E45" s="16">
        <v>116.02</v>
      </c>
      <c r="F45" s="16" t="s">
        <v>918</v>
      </c>
      <c r="G45" s="10">
        <f t="shared" si="0"/>
        <v>42.204437977446339</v>
      </c>
      <c r="H45" s="11">
        <f t="shared" si="1"/>
        <v>333</v>
      </c>
      <c r="I45" s="10">
        <f t="shared" si="2"/>
        <v>20</v>
      </c>
      <c r="J45" s="10">
        <f t="shared" si="3"/>
        <v>8.1719068023567232</v>
      </c>
      <c r="K45" s="10">
        <f t="shared" si="4"/>
        <v>16.649999999999999</v>
      </c>
      <c r="L45" s="10">
        <f t="shared" si="5"/>
        <v>2.0374681702437245</v>
      </c>
      <c r="M45" s="12">
        <f t="shared" si="6"/>
        <v>5.601</v>
      </c>
      <c r="N45" s="13">
        <f t="shared" si="7"/>
        <v>0.3363963963963964</v>
      </c>
    </row>
    <row r="46" spans="1:14">
      <c r="A46" s="6">
        <v>45</v>
      </c>
      <c r="B46" s="14">
        <v>40882</v>
      </c>
      <c r="C46" s="15">
        <v>14043</v>
      </c>
      <c r="D46" s="16">
        <v>2.6989999999999998</v>
      </c>
      <c r="E46" s="16">
        <v>132.69</v>
      </c>
      <c r="F46" s="16" t="s">
        <v>918</v>
      </c>
      <c r="G46" s="10">
        <f t="shared" si="0"/>
        <v>49.16265283438311</v>
      </c>
      <c r="H46" s="11">
        <f t="shared" si="1"/>
        <v>330</v>
      </c>
      <c r="I46" s="10">
        <f t="shared" si="2"/>
        <v>19</v>
      </c>
      <c r="J46" s="10">
        <f t="shared" si="3"/>
        <v>7.8190829167384939</v>
      </c>
      <c r="K46" s="10">
        <f t="shared" si="4"/>
        <v>17.368421052631579</v>
      </c>
      <c r="L46" s="10">
        <f t="shared" si="5"/>
        <v>2.2212862093392811</v>
      </c>
      <c r="M46" s="12">
        <f t="shared" si="6"/>
        <v>6.1063157894736841</v>
      </c>
      <c r="N46" s="13">
        <f t="shared" si="7"/>
        <v>0.35157575757575754</v>
      </c>
    </row>
    <row r="47" spans="1:14">
      <c r="A47" s="6">
        <v>46</v>
      </c>
      <c r="B47" s="14">
        <v>40901</v>
      </c>
      <c r="C47" s="15">
        <v>14422</v>
      </c>
      <c r="D47" s="16">
        <v>2.6989999999999998</v>
      </c>
      <c r="E47" s="16">
        <v>114.02</v>
      </c>
      <c r="F47" s="16" t="s">
        <v>918</v>
      </c>
      <c r="G47" s="10">
        <f t="shared" si="0"/>
        <v>42.245276028158578</v>
      </c>
      <c r="H47" s="11">
        <f t="shared" si="1"/>
        <v>379</v>
      </c>
      <c r="I47" s="10">
        <f t="shared" si="2"/>
        <v>19</v>
      </c>
      <c r="J47" s="10">
        <f t="shared" si="3"/>
        <v>7.7091039264450965</v>
      </c>
      <c r="K47" s="10">
        <f t="shared" si="4"/>
        <v>19.94736842105263</v>
      </c>
      <c r="L47" s="10">
        <f t="shared" si="5"/>
        <v>2.5875080439149003</v>
      </c>
      <c r="M47" s="12">
        <f t="shared" si="6"/>
        <v>6.9836842105263157</v>
      </c>
      <c r="N47" s="13">
        <f t="shared" si="7"/>
        <v>0.35010554089709761</v>
      </c>
    </row>
    <row r="48" spans="1:14">
      <c r="A48" s="6">
        <v>47</v>
      </c>
      <c r="B48" s="14">
        <v>40918</v>
      </c>
      <c r="C48" s="15">
        <v>14775</v>
      </c>
      <c r="D48" s="16">
        <v>2.6989999999999998</v>
      </c>
      <c r="E48" s="16">
        <v>115.02</v>
      </c>
      <c r="F48" s="16" t="s">
        <v>918</v>
      </c>
      <c r="G48" s="10">
        <f t="shared" si="0"/>
        <v>42.615783623564283</v>
      </c>
      <c r="H48" s="11">
        <f t="shared" si="1"/>
        <v>353</v>
      </c>
      <c r="I48" s="10">
        <f t="shared" si="2"/>
        <v>17</v>
      </c>
      <c r="J48" s="10">
        <f t="shared" si="3"/>
        <v>8.3559638659884232</v>
      </c>
      <c r="K48" s="10">
        <f t="shared" si="4"/>
        <v>20.764705882352942</v>
      </c>
      <c r="L48" s="10">
        <f t="shared" si="5"/>
        <v>2.4850162369505044</v>
      </c>
      <c r="M48" s="12">
        <f t="shared" si="6"/>
        <v>6.7070588235294117</v>
      </c>
      <c r="N48" s="13">
        <f t="shared" si="7"/>
        <v>0.3230028328611898</v>
      </c>
    </row>
    <row r="49" spans="1:14">
      <c r="A49" s="6">
        <v>48</v>
      </c>
      <c r="B49" s="14">
        <v>40938</v>
      </c>
      <c r="C49" s="15">
        <v>15109</v>
      </c>
      <c r="D49" s="16">
        <v>2.6989999999999998</v>
      </c>
      <c r="E49" s="16">
        <v>119.01</v>
      </c>
      <c r="F49" s="16" t="s">
        <v>918</v>
      </c>
      <c r="G49" s="10">
        <f t="shared" si="0"/>
        <v>44.094108929233052</v>
      </c>
      <c r="H49" s="11">
        <f t="shared" si="1"/>
        <v>334</v>
      </c>
      <c r="I49" s="10">
        <f t="shared" si="2"/>
        <v>20</v>
      </c>
      <c r="J49" s="10">
        <f t="shared" si="3"/>
        <v>7.8374717440445139</v>
      </c>
      <c r="K49" s="10">
        <f t="shared" si="4"/>
        <v>16.7</v>
      </c>
      <c r="L49" s="10">
        <f t="shared" si="5"/>
        <v>2.1307891811782143</v>
      </c>
      <c r="M49" s="12">
        <f t="shared" si="6"/>
        <v>5.7509999999999994</v>
      </c>
      <c r="N49" s="13">
        <f t="shared" si="7"/>
        <v>0.34437125748502995</v>
      </c>
    </row>
    <row r="50" spans="1:14">
      <c r="A50" s="6">
        <v>49</v>
      </c>
      <c r="B50" s="14">
        <v>40955</v>
      </c>
      <c r="C50" s="15">
        <v>15426</v>
      </c>
      <c r="D50" s="16">
        <v>2.6989999999999998</v>
      </c>
      <c r="E50" s="16">
        <v>128.79</v>
      </c>
      <c r="F50" s="16" t="s">
        <v>918</v>
      </c>
      <c r="G50" s="10">
        <f t="shared" si="0"/>
        <v>47.717673212300852</v>
      </c>
      <c r="H50" s="11">
        <f t="shared" si="1"/>
        <v>317</v>
      </c>
      <c r="I50" s="10">
        <f t="shared" si="2"/>
        <v>17</v>
      </c>
      <c r="J50" s="10">
        <f t="shared" si="3"/>
        <v>7.1891689773968572</v>
      </c>
      <c r="K50" s="10">
        <f t="shared" si="4"/>
        <v>18.647058823529413</v>
      </c>
      <c r="L50" s="10">
        <f t="shared" si="5"/>
        <v>2.5937711134842973</v>
      </c>
      <c r="M50" s="12">
        <f t="shared" si="6"/>
        <v>7.000588235294118</v>
      </c>
      <c r="N50" s="13">
        <f t="shared" si="7"/>
        <v>0.37542586750788642</v>
      </c>
    </row>
    <row r="51" spans="1:14">
      <c r="A51" s="6">
        <v>50</v>
      </c>
      <c r="B51" s="14">
        <v>40973</v>
      </c>
      <c r="C51" s="15">
        <v>15801</v>
      </c>
      <c r="D51" s="16">
        <v>2.6989999999999998</v>
      </c>
      <c r="E51" s="16">
        <v>106.06</v>
      </c>
      <c r="F51" s="16" t="s">
        <v>918</v>
      </c>
      <c r="G51" s="10">
        <f t="shared" si="0"/>
        <v>39.29603556872916</v>
      </c>
      <c r="H51" s="11">
        <f t="shared" si="1"/>
        <v>375</v>
      </c>
      <c r="I51" s="10">
        <f t="shared" si="2"/>
        <v>18</v>
      </c>
      <c r="J51" s="10">
        <f t="shared" si="3"/>
        <v>7.8587235033775915</v>
      </c>
      <c r="K51" s="10">
        <f t="shared" si="4"/>
        <v>20.833333333333332</v>
      </c>
      <c r="L51" s="10">
        <f t="shared" si="5"/>
        <v>2.6509818451278253</v>
      </c>
      <c r="M51" s="12">
        <f t="shared" si="6"/>
        <v>7.1549999999999994</v>
      </c>
      <c r="N51" s="13">
        <f t="shared" si="7"/>
        <v>0.34343999999999997</v>
      </c>
    </row>
    <row r="52" spans="1:14">
      <c r="A52" s="6">
        <v>51</v>
      </c>
      <c r="B52" s="14">
        <v>40990</v>
      </c>
      <c r="C52" s="15">
        <v>16111</v>
      </c>
      <c r="D52" s="16">
        <v>2.7490000000000001</v>
      </c>
      <c r="E52" s="16">
        <v>114</v>
      </c>
      <c r="F52" s="16" t="s">
        <v>918</v>
      </c>
      <c r="G52" s="10">
        <f t="shared" si="0"/>
        <v>41.46962531829756</v>
      </c>
      <c r="H52" s="11">
        <f t="shared" si="1"/>
        <v>310</v>
      </c>
      <c r="I52" s="10">
        <f t="shared" si="2"/>
        <v>17</v>
      </c>
      <c r="J52" s="10">
        <f t="shared" si="3"/>
        <v>7.888836507637186</v>
      </c>
      <c r="K52" s="10">
        <f t="shared" si="4"/>
        <v>18.235294117647058</v>
      </c>
      <c r="L52" s="10">
        <f t="shared" si="5"/>
        <v>2.3115315040428919</v>
      </c>
      <c r="M52" s="12">
        <f t="shared" si="6"/>
        <v>6.2388235294117651</v>
      </c>
      <c r="N52" s="13">
        <f t="shared" si="7"/>
        <v>0.34212903225806451</v>
      </c>
    </row>
    <row r="53" spans="1:14">
      <c r="A53" s="6">
        <v>52</v>
      </c>
      <c r="B53" s="14">
        <v>41003</v>
      </c>
      <c r="C53" s="15">
        <v>16459</v>
      </c>
      <c r="D53" s="16">
        <v>2.7490000000000001</v>
      </c>
      <c r="E53" s="16">
        <v>116</v>
      </c>
      <c r="F53" s="16" t="s">
        <v>918</v>
      </c>
      <c r="G53" s="10">
        <f t="shared" si="0"/>
        <v>42.197162604583482</v>
      </c>
      <c r="H53" s="11">
        <f t="shared" si="1"/>
        <v>348</v>
      </c>
      <c r="I53" s="10">
        <f t="shared" si="2"/>
        <v>13</v>
      </c>
      <c r="J53" s="10">
        <f t="shared" si="3"/>
        <v>8.3916842105263161</v>
      </c>
      <c r="K53" s="10">
        <f t="shared" si="4"/>
        <v>26.76923076923077</v>
      </c>
      <c r="L53" s="10">
        <f t="shared" si="5"/>
        <v>3.1899711783305813</v>
      </c>
      <c r="M53" s="12">
        <f t="shared" si="6"/>
        <v>8.7692307692307701</v>
      </c>
      <c r="N53" s="13">
        <f t="shared" si="7"/>
        <v>0.32758620689655171</v>
      </c>
    </row>
    <row r="54" spans="1:14">
      <c r="A54" s="6">
        <v>53</v>
      </c>
      <c r="B54" s="14">
        <v>41022</v>
      </c>
      <c r="C54" s="15">
        <v>16808</v>
      </c>
      <c r="D54" s="16">
        <v>2.7490000000000001</v>
      </c>
      <c r="E54" s="16">
        <v>116.05</v>
      </c>
      <c r="F54" s="16" t="s">
        <v>918</v>
      </c>
      <c r="G54" s="10">
        <f t="shared" si="0"/>
        <v>42.215351036740628</v>
      </c>
      <c r="H54" s="11">
        <f t="shared" si="1"/>
        <v>349</v>
      </c>
      <c r="I54" s="10">
        <f t="shared" si="2"/>
        <v>19</v>
      </c>
      <c r="J54" s="10">
        <f t="shared" si="3"/>
        <v>8.2706982758620686</v>
      </c>
      <c r="K54" s="10">
        <f t="shared" si="4"/>
        <v>18.368421052631579</v>
      </c>
      <c r="L54" s="10">
        <f t="shared" si="5"/>
        <v>2.2209032949780778</v>
      </c>
      <c r="M54" s="12">
        <f t="shared" si="6"/>
        <v>6.1052631578947372</v>
      </c>
      <c r="N54" s="13">
        <f t="shared" si="7"/>
        <v>0.33237822349570201</v>
      </c>
    </row>
    <row r="55" spans="1:14">
      <c r="A55" s="6">
        <v>54</v>
      </c>
      <c r="B55" s="14">
        <v>41038</v>
      </c>
      <c r="C55" s="15">
        <v>17089</v>
      </c>
      <c r="D55" s="16">
        <v>2.7490000000000001</v>
      </c>
      <c r="E55" s="16">
        <v>100.03</v>
      </c>
      <c r="F55" s="16" t="s">
        <v>918</v>
      </c>
      <c r="G55" s="10">
        <f t="shared" si="0"/>
        <v>36.387777373590396</v>
      </c>
      <c r="H55" s="11">
        <f t="shared" si="1"/>
        <v>281</v>
      </c>
      <c r="I55" s="10">
        <f t="shared" si="2"/>
        <v>16</v>
      </c>
      <c r="J55" s="10">
        <f t="shared" si="3"/>
        <v>6.6563464024127539</v>
      </c>
      <c r="K55" s="10">
        <f t="shared" si="4"/>
        <v>17.5625</v>
      </c>
      <c r="L55" s="10">
        <f t="shared" si="5"/>
        <v>2.6384594397962893</v>
      </c>
      <c r="M55" s="12">
        <f t="shared" si="6"/>
        <v>7.2531249999999998</v>
      </c>
      <c r="N55" s="13">
        <f t="shared" si="7"/>
        <v>0.41298932384341636</v>
      </c>
    </row>
    <row r="56" spans="1:14">
      <c r="A56" s="6">
        <v>55</v>
      </c>
      <c r="B56" s="14">
        <v>41040</v>
      </c>
      <c r="C56" s="15">
        <v>17350</v>
      </c>
      <c r="D56" s="16">
        <v>2.9470000000000001</v>
      </c>
      <c r="E56" s="16">
        <v>62.02</v>
      </c>
      <c r="F56" s="16" t="s">
        <v>918</v>
      </c>
      <c r="G56" s="10">
        <f t="shared" si="0"/>
        <v>21.045130641330168</v>
      </c>
      <c r="H56" s="11">
        <f t="shared" si="1"/>
        <v>261</v>
      </c>
      <c r="I56" s="10">
        <f t="shared" si="2"/>
        <v>2</v>
      </c>
      <c r="J56" s="10">
        <f t="shared" si="3"/>
        <v>7.1727381785464361</v>
      </c>
      <c r="K56" s="10">
        <f t="shared" si="4"/>
        <v>130.5</v>
      </c>
      <c r="L56" s="10">
        <f t="shared" si="5"/>
        <v>18.193888686795198</v>
      </c>
      <c r="M56" s="12">
        <f t="shared" si="6"/>
        <v>50.015000000000001</v>
      </c>
      <c r="N56" s="13">
        <f t="shared" si="7"/>
        <v>0.38325670498084291</v>
      </c>
    </row>
    <row r="57" spans="1:14">
      <c r="A57" s="6">
        <v>56</v>
      </c>
      <c r="B57" s="14">
        <v>41042</v>
      </c>
      <c r="C57" s="15">
        <v>17789</v>
      </c>
      <c r="D57" s="16">
        <v>2.7690000000000001</v>
      </c>
      <c r="E57" s="16">
        <v>102.48</v>
      </c>
      <c r="F57" s="16" t="s">
        <v>918</v>
      </c>
      <c r="G57" s="10">
        <f t="shared" si="0"/>
        <v>37.009750812567717</v>
      </c>
      <c r="H57" s="11">
        <f t="shared" si="1"/>
        <v>439</v>
      </c>
      <c r="I57" s="10">
        <f t="shared" si="2"/>
        <v>2</v>
      </c>
      <c r="J57" s="10">
        <f t="shared" si="3"/>
        <v>20.859932279909703</v>
      </c>
      <c r="K57" s="10">
        <f t="shared" si="4"/>
        <v>219.5</v>
      </c>
      <c r="L57" s="10">
        <f t="shared" si="5"/>
        <v>10.522565320665084</v>
      </c>
      <c r="M57" s="12">
        <f t="shared" si="6"/>
        <v>31.01</v>
      </c>
      <c r="N57" s="13">
        <f t="shared" si="7"/>
        <v>0.14127562642369021</v>
      </c>
    </row>
    <row r="58" spans="1:14">
      <c r="A58" s="6">
        <v>57</v>
      </c>
      <c r="B58" s="14">
        <v>41042</v>
      </c>
      <c r="C58" s="15">
        <v>18189</v>
      </c>
      <c r="D58" s="16">
        <v>2.9470000000000001</v>
      </c>
      <c r="E58" s="16">
        <v>90</v>
      </c>
      <c r="F58" s="16" t="s">
        <v>918</v>
      </c>
      <c r="G58" s="10">
        <f t="shared" si="0"/>
        <v>30.539531727180183</v>
      </c>
      <c r="H58" s="11">
        <f t="shared" si="1"/>
        <v>400</v>
      </c>
      <c r="I58" s="10">
        <f t="shared" si="2"/>
        <v>0</v>
      </c>
      <c r="J58" s="10">
        <f t="shared" si="3"/>
        <v>10.807962529274004</v>
      </c>
      <c r="K58" s="10">
        <f>IF(H58&lt;&gt;"",IF(I58&gt;0,H58/I58,H58),"" )</f>
        <v>400</v>
      </c>
      <c r="L58" s="10">
        <f t="shared" si="5"/>
        <v>30.539531727180183</v>
      </c>
      <c r="M58" s="12">
        <f t="shared" si="6"/>
        <v>102.48</v>
      </c>
      <c r="N58" s="13">
        <f t="shared" si="7"/>
        <v>0.25619999999999998</v>
      </c>
    </row>
    <row r="59" spans="1:14">
      <c r="A59" s="6">
        <v>58</v>
      </c>
      <c r="B59" s="14">
        <v>41048</v>
      </c>
      <c r="C59" s="15">
        <v>18497</v>
      </c>
      <c r="D59" s="16">
        <v>2.7490000000000001</v>
      </c>
      <c r="E59" s="16">
        <v>73</v>
      </c>
      <c r="F59" s="16" t="s">
        <v>918</v>
      </c>
      <c r="G59" s="10">
        <f t="shared" si="0"/>
        <v>26.555110949436159</v>
      </c>
      <c r="H59" s="11">
        <f t="shared" si="1"/>
        <v>308</v>
      </c>
      <c r="I59" s="10">
        <f t="shared" si="2"/>
        <v>6</v>
      </c>
      <c r="J59" s="10">
        <f t="shared" si="3"/>
        <v>10.08528888888889</v>
      </c>
      <c r="K59" s="10">
        <f t="shared" ref="K59:K122" si="8">IF(H59&lt;&gt;"",IF(I59&gt;0,H59/I59,H59),"" )</f>
        <v>51.333333333333336</v>
      </c>
      <c r="L59" s="10">
        <f t="shared" si="5"/>
        <v>5.0899219545300305</v>
      </c>
      <c r="M59" s="12">
        <f t="shared" si="6"/>
        <v>15</v>
      </c>
      <c r="N59" s="13">
        <f t="shared" si="7"/>
        <v>0.29220779220779219</v>
      </c>
    </row>
    <row r="60" spans="1:14">
      <c r="A60" s="6">
        <v>59</v>
      </c>
      <c r="B60" s="14">
        <v>41056</v>
      </c>
      <c r="C60" s="15">
        <v>19018</v>
      </c>
      <c r="D60" s="16">
        <v>2.7490000000000001</v>
      </c>
      <c r="E60" s="16">
        <v>115.25</v>
      </c>
      <c r="F60" s="16" t="s">
        <v>918</v>
      </c>
      <c r="G60" s="10">
        <f t="shared" si="0"/>
        <v>41.924336122226265</v>
      </c>
      <c r="H60" s="11">
        <f t="shared" si="1"/>
        <v>521</v>
      </c>
      <c r="I60" s="10">
        <f t="shared" si="2"/>
        <v>8</v>
      </c>
      <c r="J60" s="10">
        <f t="shared" si="3"/>
        <v>19.619575342465755</v>
      </c>
      <c r="K60" s="10">
        <f t="shared" si="8"/>
        <v>65.125</v>
      </c>
      <c r="L60" s="10">
        <f t="shared" si="5"/>
        <v>3.3193888686795199</v>
      </c>
      <c r="M60" s="12">
        <f t="shared" si="6"/>
        <v>9.125</v>
      </c>
      <c r="N60" s="13">
        <f t="shared" si="7"/>
        <v>0.14011516314779271</v>
      </c>
    </row>
    <row r="61" spans="1:14">
      <c r="A61" s="6">
        <v>60</v>
      </c>
      <c r="B61" s="14">
        <v>41074</v>
      </c>
      <c r="C61" s="15">
        <v>19391</v>
      </c>
      <c r="D61" s="16">
        <v>2.7490000000000001</v>
      </c>
      <c r="E61" s="16">
        <v>122.02</v>
      </c>
      <c r="F61" s="16" t="s">
        <v>918</v>
      </c>
      <c r="G61" s="10">
        <f t="shared" si="0"/>
        <v>44.387049836304108</v>
      </c>
      <c r="H61" s="11">
        <f t="shared" si="1"/>
        <v>373</v>
      </c>
      <c r="I61" s="10">
        <f t="shared" si="2"/>
        <v>18</v>
      </c>
      <c r="J61" s="10">
        <f t="shared" si="3"/>
        <v>8.896980477223428</v>
      </c>
      <c r="K61" s="10">
        <f t="shared" si="8"/>
        <v>20.722222222222221</v>
      </c>
      <c r="L61" s="10">
        <f t="shared" si="5"/>
        <v>2.329129784568126</v>
      </c>
      <c r="M61" s="12">
        <f t="shared" si="6"/>
        <v>6.4027777777777777</v>
      </c>
      <c r="N61" s="13">
        <f t="shared" si="7"/>
        <v>0.30898123324396781</v>
      </c>
    </row>
    <row r="62" spans="1:14">
      <c r="A62" s="6">
        <v>61</v>
      </c>
      <c r="B62" s="14">
        <v>41091</v>
      </c>
      <c r="C62" s="15">
        <v>19645</v>
      </c>
      <c r="D62" s="16">
        <v>2.7490000000000001</v>
      </c>
      <c r="E62" s="16">
        <v>100.05</v>
      </c>
      <c r="F62" s="16" t="s">
        <v>918</v>
      </c>
      <c r="G62" s="10">
        <f t="shared" si="0"/>
        <v>36.395052746453253</v>
      </c>
      <c r="H62" s="11">
        <f t="shared" si="1"/>
        <v>254</v>
      </c>
      <c r="I62" s="10">
        <f t="shared" si="2"/>
        <v>17</v>
      </c>
      <c r="J62" s="10">
        <f t="shared" si="3"/>
        <v>5.7223897721684969</v>
      </c>
      <c r="K62" s="10">
        <f t="shared" si="8"/>
        <v>14.941176470588236</v>
      </c>
      <c r="L62" s="10">
        <f t="shared" si="5"/>
        <v>2.6110029315473007</v>
      </c>
      <c r="M62" s="12">
        <f t="shared" si="6"/>
        <v>7.1776470588235295</v>
      </c>
      <c r="N62" s="13">
        <f t="shared" si="7"/>
        <v>0.48039370078740157</v>
      </c>
    </row>
    <row r="63" spans="1:14">
      <c r="A63" s="6">
        <v>62</v>
      </c>
      <c r="B63" s="14">
        <v>41107</v>
      </c>
      <c r="C63" s="15">
        <v>20036</v>
      </c>
      <c r="D63" s="16">
        <v>2.7490000000000001</v>
      </c>
      <c r="E63" s="16">
        <v>115.06</v>
      </c>
      <c r="F63" s="16" t="s">
        <v>918</v>
      </c>
      <c r="G63" s="10">
        <f t="shared" si="0"/>
        <v>41.855220080029099</v>
      </c>
      <c r="H63" s="11">
        <f t="shared" si="1"/>
        <v>391</v>
      </c>
      <c r="I63" s="10">
        <f t="shared" si="2"/>
        <v>16</v>
      </c>
      <c r="J63" s="10">
        <f t="shared" si="3"/>
        <v>10.743218390804598</v>
      </c>
      <c r="K63" s="10">
        <f t="shared" si="8"/>
        <v>24.4375</v>
      </c>
      <c r="L63" s="10">
        <f t="shared" si="5"/>
        <v>2.2746907966533283</v>
      </c>
      <c r="M63" s="12">
        <f t="shared" si="6"/>
        <v>6.2531249999999998</v>
      </c>
      <c r="N63" s="13">
        <f t="shared" si="7"/>
        <v>0.25588235294117645</v>
      </c>
    </row>
    <row r="64" spans="1:14">
      <c r="A64" s="6">
        <v>63</v>
      </c>
      <c r="B64" s="14">
        <v>41124</v>
      </c>
      <c r="C64" s="15">
        <v>20384</v>
      </c>
      <c r="D64" s="16">
        <v>2.6989999999999998</v>
      </c>
      <c r="E64" s="16">
        <v>118.03</v>
      </c>
      <c r="F64" s="16" t="s">
        <v>918</v>
      </c>
      <c r="G64" s="10">
        <f t="shared" si="0"/>
        <v>43.731011485735458</v>
      </c>
      <c r="H64" s="11">
        <f t="shared" si="1"/>
        <v>348</v>
      </c>
      <c r="I64" s="10">
        <f t="shared" si="2"/>
        <v>17</v>
      </c>
      <c r="J64" s="10">
        <f t="shared" si="3"/>
        <v>8.3143751086389717</v>
      </c>
      <c r="K64" s="10">
        <f t="shared" si="8"/>
        <v>20.470588235294116</v>
      </c>
      <c r="L64" s="10">
        <f t="shared" si="5"/>
        <v>2.4620717694134764</v>
      </c>
      <c r="M64" s="12">
        <f t="shared" si="6"/>
        <v>6.7682352941176473</v>
      </c>
      <c r="N64" s="13">
        <f t="shared" si="7"/>
        <v>0.330632183908046</v>
      </c>
    </row>
    <row r="65" spans="1:14">
      <c r="A65" s="6">
        <v>64</v>
      </c>
      <c r="B65" s="14">
        <v>41140</v>
      </c>
      <c r="C65" s="15">
        <v>20693</v>
      </c>
      <c r="D65" s="16">
        <v>2.6989999999999998</v>
      </c>
      <c r="E65" s="16">
        <v>105</v>
      </c>
      <c r="F65" s="16" t="s">
        <v>918</v>
      </c>
      <c r="G65" s="10">
        <f t="shared" si="0"/>
        <v>38.903297517599114</v>
      </c>
      <c r="H65" s="11">
        <f t="shared" si="1"/>
        <v>309</v>
      </c>
      <c r="I65" s="10">
        <f t="shared" si="2"/>
        <v>16</v>
      </c>
      <c r="J65" s="10">
        <f t="shared" si="3"/>
        <v>7.0659239176480559</v>
      </c>
      <c r="K65" s="10">
        <f t="shared" si="8"/>
        <v>19.3125</v>
      </c>
      <c r="L65" s="10">
        <f t="shared" si="5"/>
        <v>2.7331882178584661</v>
      </c>
      <c r="M65" s="12">
        <f t="shared" si="6"/>
        <v>7.3768750000000001</v>
      </c>
      <c r="N65" s="13">
        <f t="shared" si="7"/>
        <v>0.38197411003236248</v>
      </c>
    </row>
    <row r="66" spans="1:14">
      <c r="A66" s="6">
        <v>65</v>
      </c>
      <c r="B66" s="14">
        <v>41158</v>
      </c>
      <c r="C66" s="15">
        <v>20971</v>
      </c>
      <c r="D66" s="16">
        <v>2.6989999999999998</v>
      </c>
      <c r="E66" s="16">
        <v>103.02</v>
      </c>
      <c r="F66" s="16" t="s">
        <v>918</v>
      </c>
      <c r="G66" s="10">
        <f t="shared" si="0"/>
        <v>38.169692478695815</v>
      </c>
      <c r="H66" s="11">
        <f t="shared" si="1"/>
        <v>278</v>
      </c>
      <c r="I66" s="10">
        <f t="shared" si="2"/>
        <v>18</v>
      </c>
      <c r="J66" s="10">
        <f t="shared" si="3"/>
        <v>7.1459238095238087</v>
      </c>
      <c r="K66" s="10">
        <f t="shared" si="8"/>
        <v>15.444444444444445</v>
      </c>
      <c r="L66" s="10">
        <f t="shared" si="5"/>
        <v>2.1612943065332839</v>
      </c>
      <c r="M66" s="12">
        <f t="shared" si="6"/>
        <v>5.833333333333333</v>
      </c>
      <c r="N66" s="13">
        <f t="shared" si="7"/>
        <v>0.37769784172661869</v>
      </c>
    </row>
    <row r="67" spans="1:14">
      <c r="A67" s="6">
        <v>66</v>
      </c>
      <c r="B67" s="14">
        <v>41177</v>
      </c>
      <c r="C67" s="15">
        <v>21314</v>
      </c>
      <c r="D67" s="16">
        <v>2.6989999999999998</v>
      </c>
      <c r="E67" s="16">
        <v>116.01</v>
      </c>
      <c r="F67" s="16" t="s">
        <v>918</v>
      </c>
      <c r="G67" s="10">
        <f t="shared" ref="G67:G130" si="9">IF(E67&lt;&gt;"",E67/D67,"")</f>
        <v>42.982586143015936</v>
      </c>
      <c r="H67" s="11">
        <f t="shared" ref="H67:H114" si="10">IF(C67="","",C67-C66)</f>
        <v>343</v>
      </c>
      <c r="I67" s="10">
        <f t="shared" ref="I67:I114" si="11">IF(B67="","",B67-B66)</f>
        <v>19</v>
      </c>
      <c r="J67" s="10">
        <f t="shared" ref="J67:J114" si="12">IF(H67="","",H67/G66)</f>
        <v>8.9861871481265769</v>
      </c>
      <c r="K67" s="10">
        <f t="shared" si="8"/>
        <v>18.05263157894737</v>
      </c>
      <c r="L67" s="10">
        <f t="shared" ref="L67:L114" si="13">IF(I67="","",IF(I67=0,G67,G66/I67))</f>
        <v>2.0089311830892536</v>
      </c>
      <c r="M67" s="12">
        <f t="shared" ref="M67:M114" si="14">IF(I67="","",IF(I67=0,E66,E66/I67))</f>
        <v>5.4221052631578948</v>
      </c>
      <c r="N67" s="13">
        <f t="shared" ref="N67:N114" si="15">IF(H67="","",E66/H67)</f>
        <v>0.30034985422740523</v>
      </c>
    </row>
    <row r="68" spans="1:14">
      <c r="A68" s="6">
        <v>67</v>
      </c>
      <c r="B68" s="14">
        <v>41193</v>
      </c>
      <c r="C68" s="15">
        <v>21652</v>
      </c>
      <c r="D68" s="16">
        <v>2.6989999999999998</v>
      </c>
      <c r="E68" s="16">
        <v>109.07</v>
      </c>
      <c r="F68" s="16" t="s">
        <v>918</v>
      </c>
      <c r="G68" s="10">
        <f t="shared" si="9"/>
        <v>40.411263430900334</v>
      </c>
      <c r="H68" s="11">
        <f t="shared" si="10"/>
        <v>338</v>
      </c>
      <c r="I68" s="10">
        <f t="shared" si="11"/>
        <v>16</v>
      </c>
      <c r="J68" s="10">
        <f t="shared" si="12"/>
        <v>7.86364968537195</v>
      </c>
      <c r="K68" s="10">
        <f t="shared" si="8"/>
        <v>21.125</v>
      </c>
      <c r="L68" s="10">
        <f t="shared" si="13"/>
        <v>2.686411633938496</v>
      </c>
      <c r="M68" s="12">
        <f t="shared" si="14"/>
        <v>7.2506250000000003</v>
      </c>
      <c r="N68" s="13">
        <f t="shared" si="15"/>
        <v>0.34322485207100595</v>
      </c>
    </row>
    <row r="69" spans="1:14">
      <c r="A69" s="6">
        <v>68</v>
      </c>
      <c r="B69" s="14">
        <v>41203</v>
      </c>
      <c r="C69" s="15">
        <v>21802</v>
      </c>
      <c r="D69" s="16">
        <v>2.6989999999999998</v>
      </c>
      <c r="E69" s="16">
        <v>60.02</v>
      </c>
      <c r="F69" s="16" t="s">
        <v>918</v>
      </c>
      <c r="G69" s="10">
        <f t="shared" si="9"/>
        <v>22.237865876250467</v>
      </c>
      <c r="H69" s="11">
        <f t="shared" si="10"/>
        <v>150</v>
      </c>
      <c r="I69" s="10">
        <f t="shared" si="11"/>
        <v>10</v>
      </c>
      <c r="J69" s="10">
        <f t="shared" si="12"/>
        <v>3.7118364353167692</v>
      </c>
      <c r="K69" s="10">
        <f t="shared" si="8"/>
        <v>15</v>
      </c>
      <c r="L69" s="10">
        <f t="shared" si="13"/>
        <v>4.041126343090033</v>
      </c>
      <c r="M69" s="12">
        <f t="shared" si="14"/>
        <v>10.907</v>
      </c>
      <c r="N69" s="13">
        <f t="shared" si="15"/>
        <v>0.7271333333333333</v>
      </c>
    </row>
    <row r="70" spans="1:14">
      <c r="A70" s="6">
        <v>69</v>
      </c>
      <c r="B70" s="14">
        <v>41216</v>
      </c>
      <c r="C70" s="15">
        <v>22088</v>
      </c>
      <c r="D70" s="16">
        <v>2.6989999999999998</v>
      </c>
      <c r="E70" s="16">
        <v>94.54</v>
      </c>
      <c r="F70" s="16" t="s">
        <v>918</v>
      </c>
      <c r="G70" s="10">
        <f t="shared" si="9"/>
        <v>35.027788069655429</v>
      </c>
      <c r="H70" s="11">
        <f t="shared" si="10"/>
        <v>286</v>
      </c>
      <c r="I70" s="10">
        <f t="shared" si="11"/>
        <v>13</v>
      </c>
      <c r="J70" s="10">
        <f t="shared" si="12"/>
        <v>12.86094635121626</v>
      </c>
      <c r="K70" s="10">
        <f t="shared" si="8"/>
        <v>22</v>
      </c>
      <c r="L70" s="10">
        <f t="shared" si="13"/>
        <v>1.7106050674038822</v>
      </c>
      <c r="M70" s="12">
        <f t="shared" si="14"/>
        <v>4.6169230769230776</v>
      </c>
      <c r="N70" s="13">
        <f t="shared" si="15"/>
        <v>0.20986013986013988</v>
      </c>
    </row>
    <row r="71" spans="1:14">
      <c r="A71" s="6">
        <v>70</v>
      </c>
      <c r="B71" s="14">
        <v>41231</v>
      </c>
      <c r="C71" s="15">
        <v>22366</v>
      </c>
      <c r="D71" s="16">
        <v>2.7490000000000001</v>
      </c>
      <c r="E71" s="16">
        <v>98.03</v>
      </c>
      <c r="F71" s="16" t="s">
        <v>918</v>
      </c>
      <c r="G71" s="10">
        <f t="shared" si="9"/>
        <v>35.660240087304473</v>
      </c>
      <c r="H71" s="11">
        <f t="shared" si="10"/>
        <v>278</v>
      </c>
      <c r="I71" s="10">
        <f t="shared" si="11"/>
        <v>15</v>
      </c>
      <c r="J71" s="10">
        <f t="shared" si="12"/>
        <v>7.9365559551512588</v>
      </c>
      <c r="K71" s="10">
        <f t="shared" si="8"/>
        <v>18.533333333333335</v>
      </c>
      <c r="L71" s="10">
        <f t="shared" si="13"/>
        <v>2.3351858713103621</v>
      </c>
      <c r="M71" s="12">
        <f t="shared" si="14"/>
        <v>6.3026666666666671</v>
      </c>
      <c r="N71" s="13">
        <f t="shared" si="15"/>
        <v>0.34007194244604316</v>
      </c>
    </row>
    <row r="72" spans="1:14">
      <c r="A72" s="6">
        <v>71</v>
      </c>
      <c r="B72" s="14">
        <v>41245</v>
      </c>
      <c r="C72" s="15">
        <v>22689</v>
      </c>
      <c r="D72" s="16">
        <v>2.7490000000000001</v>
      </c>
      <c r="E72" s="16">
        <v>106</v>
      </c>
      <c r="F72" s="16" t="s">
        <v>918</v>
      </c>
      <c r="G72" s="10">
        <f t="shared" si="9"/>
        <v>38.559476173153875</v>
      </c>
      <c r="H72" s="11">
        <f t="shared" si="10"/>
        <v>323</v>
      </c>
      <c r="I72" s="10">
        <f t="shared" si="11"/>
        <v>14</v>
      </c>
      <c r="J72" s="10">
        <f t="shared" si="12"/>
        <v>9.0577068244414978</v>
      </c>
      <c r="K72" s="10">
        <f t="shared" si="8"/>
        <v>23.071428571428573</v>
      </c>
      <c r="L72" s="10">
        <f t="shared" si="13"/>
        <v>2.5471600062360338</v>
      </c>
      <c r="M72" s="12">
        <f t="shared" si="14"/>
        <v>7.0021428571428572</v>
      </c>
      <c r="N72" s="13">
        <f t="shared" si="15"/>
        <v>0.3034984520123839</v>
      </c>
    </row>
    <row r="73" spans="1:14">
      <c r="A73" s="6">
        <v>72</v>
      </c>
      <c r="B73" s="14">
        <v>41262</v>
      </c>
      <c r="C73" s="15">
        <v>23015</v>
      </c>
      <c r="D73" s="16">
        <v>2.6989999999999998</v>
      </c>
      <c r="E73" s="16">
        <v>117</v>
      </c>
      <c r="F73" s="16" t="s">
        <v>918</v>
      </c>
      <c r="G73" s="10">
        <f t="shared" si="9"/>
        <v>43.349388662467582</v>
      </c>
      <c r="H73" s="11">
        <f t="shared" si="10"/>
        <v>326</v>
      </c>
      <c r="I73" s="10">
        <f t="shared" si="11"/>
        <v>17</v>
      </c>
      <c r="J73" s="10">
        <f t="shared" si="12"/>
        <v>8.454471698113208</v>
      </c>
      <c r="K73" s="10">
        <f t="shared" si="8"/>
        <v>19.176470588235293</v>
      </c>
      <c r="L73" s="10">
        <f t="shared" si="13"/>
        <v>2.2682044807737576</v>
      </c>
      <c r="M73" s="12">
        <f t="shared" si="14"/>
        <v>6.2352941176470589</v>
      </c>
      <c r="N73" s="13">
        <f t="shared" si="15"/>
        <v>0.32515337423312884</v>
      </c>
    </row>
    <row r="74" spans="1:14">
      <c r="A74" s="6">
        <v>73</v>
      </c>
      <c r="B74" s="14">
        <v>41278</v>
      </c>
      <c r="C74" s="15">
        <v>23362</v>
      </c>
      <c r="D74" s="16">
        <v>2.6989999999999998</v>
      </c>
      <c r="E74" s="16">
        <v>115.04</v>
      </c>
      <c r="F74" s="16" t="s">
        <v>918</v>
      </c>
      <c r="G74" s="10">
        <f t="shared" si="9"/>
        <v>42.623193775472402</v>
      </c>
      <c r="H74" s="11">
        <f t="shared" si="10"/>
        <v>347</v>
      </c>
      <c r="I74" s="10">
        <f t="shared" si="11"/>
        <v>16</v>
      </c>
      <c r="J74" s="10">
        <f t="shared" si="12"/>
        <v>8.0047264957264961</v>
      </c>
      <c r="K74" s="10">
        <f t="shared" si="8"/>
        <v>21.6875</v>
      </c>
      <c r="L74" s="10">
        <f t="shared" si="13"/>
        <v>2.7093367914042239</v>
      </c>
      <c r="M74" s="12">
        <f t="shared" si="14"/>
        <v>7.3125</v>
      </c>
      <c r="N74" s="13">
        <f t="shared" si="15"/>
        <v>0.33717579250720459</v>
      </c>
    </row>
    <row r="75" spans="1:14">
      <c r="A75" s="6">
        <v>74</v>
      </c>
      <c r="B75" s="14">
        <v>41297</v>
      </c>
      <c r="C75" s="15">
        <v>23719</v>
      </c>
      <c r="D75" s="16">
        <v>2.6989999999999998</v>
      </c>
      <c r="E75" s="16">
        <v>123</v>
      </c>
      <c r="F75" s="16" t="s">
        <v>918</v>
      </c>
      <c r="G75" s="10">
        <f t="shared" si="9"/>
        <v>45.57243423490182</v>
      </c>
      <c r="H75" s="11">
        <f t="shared" si="10"/>
        <v>357</v>
      </c>
      <c r="I75" s="10">
        <f t="shared" si="11"/>
        <v>19</v>
      </c>
      <c r="J75" s="10">
        <f t="shared" si="12"/>
        <v>8.3757214881780246</v>
      </c>
      <c r="K75" s="10">
        <f t="shared" si="8"/>
        <v>18.789473684210527</v>
      </c>
      <c r="L75" s="10">
        <f t="shared" si="13"/>
        <v>2.2433259881827579</v>
      </c>
      <c r="M75" s="12">
        <f t="shared" si="14"/>
        <v>6.0547368421052639</v>
      </c>
      <c r="N75" s="13">
        <f t="shared" si="15"/>
        <v>0.32224089635854342</v>
      </c>
    </row>
    <row r="76" spans="1:14">
      <c r="A76" s="6">
        <v>75</v>
      </c>
      <c r="B76" s="14">
        <v>41318</v>
      </c>
      <c r="C76" s="15">
        <v>24067</v>
      </c>
      <c r="D76" s="16">
        <v>2.7490000000000001</v>
      </c>
      <c r="E76" s="16">
        <v>132.58000000000001</v>
      </c>
      <c r="F76" s="16" t="s">
        <v>918</v>
      </c>
      <c r="G76" s="10">
        <f t="shared" si="9"/>
        <v>48.228446707893781</v>
      </c>
      <c r="H76" s="11">
        <f t="shared" si="10"/>
        <v>348</v>
      </c>
      <c r="I76" s="10">
        <f t="shared" si="11"/>
        <v>21</v>
      </c>
      <c r="J76" s="10">
        <f t="shared" si="12"/>
        <v>7.6361951219512187</v>
      </c>
      <c r="K76" s="10">
        <f t="shared" si="8"/>
        <v>16.571428571428573</v>
      </c>
      <c r="L76" s="10">
        <f t="shared" si="13"/>
        <v>2.1701159159477057</v>
      </c>
      <c r="M76" s="12">
        <f t="shared" si="14"/>
        <v>5.8571428571428568</v>
      </c>
      <c r="N76" s="13">
        <f t="shared" si="15"/>
        <v>0.35344827586206895</v>
      </c>
    </row>
    <row r="77" spans="1:14">
      <c r="A77" s="6">
        <v>76</v>
      </c>
      <c r="B77" s="14">
        <v>41336</v>
      </c>
      <c r="C77" s="15">
        <v>24357</v>
      </c>
      <c r="D77" s="16">
        <v>2.6989999999999998</v>
      </c>
      <c r="E77" s="16">
        <v>97</v>
      </c>
      <c r="F77" s="16" t="s">
        <v>918</v>
      </c>
      <c r="G77" s="10">
        <f t="shared" si="9"/>
        <v>35.939236754353466</v>
      </c>
      <c r="H77" s="11">
        <f t="shared" si="10"/>
        <v>290</v>
      </c>
      <c r="I77" s="10">
        <f t="shared" si="11"/>
        <v>18</v>
      </c>
      <c r="J77" s="10">
        <f t="shared" si="12"/>
        <v>6.0130487252979332</v>
      </c>
      <c r="K77" s="10">
        <f t="shared" si="8"/>
        <v>16.111111111111111</v>
      </c>
      <c r="L77" s="10">
        <f t="shared" si="13"/>
        <v>2.6793581504385435</v>
      </c>
      <c r="M77" s="12">
        <f t="shared" si="14"/>
        <v>7.3655555555555559</v>
      </c>
      <c r="N77" s="13">
        <f t="shared" si="15"/>
        <v>0.45717241379310347</v>
      </c>
    </row>
    <row r="78" spans="1:14">
      <c r="A78" s="6">
        <v>77</v>
      </c>
      <c r="B78" s="14">
        <v>41350</v>
      </c>
      <c r="C78" s="15">
        <v>24712</v>
      </c>
      <c r="D78" s="16">
        <v>2.6989999999999998</v>
      </c>
      <c r="E78" s="16">
        <v>121</v>
      </c>
      <c r="F78" s="16" t="s">
        <v>918</v>
      </c>
      <c r="G78" s="10">
        <f t="shared" si="9"/>
        <v>44.83141904409041</v>
      </c>
      <c r="H78" s="11">
        <f t="shared" si="10"/>
        <v>355</v>
      </c>
      <c r="I78" s="10">
        <f t="shared" si="11"/>
        <v>14</v>
      </c>
      <c r="J78" s="10">
        <f t="shared" si="12"/>
        <v>9.877783505154639</v>
      </c>
      <c r="K78" s="10">
        <f t="shared" si="8"/>
        <v>25.357142857142858</v>
      </c>
      <c r="L78" s="10">
        <f t="shared" si="13"/>
        <v>2.5670883395966761</v>
      </c>
      <c r="M78" s="12">
        <f t="shared" si="14"/>
        <v>6.9285714285714288</v>
      </c>
      <c r="N78" s="13">
        <f t="shared" si="15"/>
        <v>0.27323943661971833</v>
      </c>
    </row>
    <row r="79" spans="1:14">
      <c r="A79" s="6">
        <v>78</v>
      </c>
      <c r="B79" s="14">
        <v>41356</v>
      </c>
      <c r="C79" s="15">
        <v>24821</v>
      </c>
      <c r="D79" s="16">
        <v>2.6989999999999998</v>
      </c>
      <c r="E79" s="16">
        <v>42</v>
      </c>
      <c r="F79" s="16" t="s">
        <v>918</v>
      </c>
      <c r="G79" s="10">
        <f t="shared" si="9"/>
        <v>15.561319007039645</v>
      </c>
      <c r="H79" s="11">
        <f t="shared" si="10"/>
        <v>109</v>
      </c>
      <c r="I79" s="10">
        <f t="shared" si="11"/>
        <v>6</v>
      </c>
      <c r="J79" s="10">
        <f t="shared" si="12"/>
        <v>2.4313305785123962</v>
      </c>
      <c r="K79" s="10">
        <f t="shared" si="8"/>
        <v>18.166666666666668</v>
      </c>
      <c r="L79" s="10">
        <f t="shared" si="13"/>
        <v>7.4719031740150683</v>
      </c>
      <c r="M79" s="12">
        <f t="shared" si="14"/>
        <v>20.166666666666668</v>
      </c>
      <c r="N79" s="13">
        <f t="shared" si="15"/>
        <v>1.1100917431192661</v>
      </c>
    </row>
    <row r="80" spans="1:14">
      <c r="A80" s="6">
        <v>79</v>
      </c>
      <c r="B80" s="14">
        <v>41356</v>
      </c>
      <c r="C80" s="15">
        <v>25231</v>
      </c>
      <c r="D80" s="16">
        <v>2.84</v>
      </c>
      <c r="E80" s="16">
        <v>95</v>
      </c>
      <c r="F80" s="16" t="s">
        <v>918</v>
      </c>
      <c r="G80" s="10">
        <f t="shared" si="9"/>
        <v>33.450704225352112</v>
      </c>
      <c r="H80" s="11">
        <f t="shared" si="10"/>
        <v>410</v>
      </c>
      <c r="I80" s="10">
        <f t="shared" si="11"/>
        <v>0</v>
      </c>
      <c r="J80" s="10">
        <f t="shared" si="12"/>
        <v>26.347380952380952</v>
      </c>
      <c r="K80" s="10">
        <f t="shared" si="8"/>
        <v>410</v>
      </c>
      <c r="L80" s="10">
        <f t="shared" si="13"/>
        <v>33.450704225352112</v>
      </c>
      <c r="M80" s="12">
        <f t="shared" si="14"/>
        <v>42</v>
      </c>
      <c r="N80" s="13">
        <f t="shared" si="15"/>
        <v>0.1024390243902439</v>
      </c>
    </row>
    <row r="81" spans="1:14">
      <c r="A81" s="6">
        <v>80</v>
      </c>
      <c r="B81" s="14">
        <v>41366</v>
      </c>
      <c r="C81" s="15">
        <v>25758</v>
      </c>
      <c r="D81" s="16">
        <v>1.889</v>
      </c>
      <c r="E81" s="16">
        <v>87.06</v>
      </c>
      <c r="F81" s="16" t="s">
        <v>919</v>
      </c>
      <c r="G81" s="10">
        <f t="shared" si="9"/>
        <v>46.087877183695078</v>
      </c>
      <c r="H81" s="11">
        <f t="shared" si="10"/>
        <v>527</v>
      </c>
      <c r="I81" s="10">
        <f t="shared" si="11"/>
        <v>10</v>
      </c>
      <c r="J81" s="10">
        <f t="shared" si="12"/>
        <v>15.754526315789475</v>
      </c>
      <c r="K81" s="10">
        <f t="shared" si="8"/>
        <v>52.7</v>
      </c>
      <c r="L81" s="10">
        <f t="shared" si="13"/>
        <v>3.345070422535211</v>
      </c>
      <c r="M81" s="12">
        <f t="shared" si="14"/>
        <v>9.5</v>
      </c>
      <c r="N81" s="13">
        <f t="shared" si="15"/>
        <v>0.18026565464895636</v>
      </c>
    </row>
    <row r="82" spans="1:14">
      <c r="A82" s="6">
        <v>81</v>
      </c>
      <c r="B82" s="14">
        <v>41369</v>
      </c>
      <c r="C82" s="15">
        <v>26087</v>
      </c>
      <c r="D82" s="16">
        <v>2.089</v>
      </c>
      <c r="E82" s="16">
        <v>76</v>
      </c>
      <c r="F82" s="16" t="s">
        <v>919</v>
      </c>
      <c r="G82" s="10">
        <f t="shared" si="9"/>
        <v>36.381043561512683</v>
      </c>
      <c r="H82" s="11">
        <f t="shared" si="10"/>
        <v>329</v>
      </c>
      <c r="I82" s="10">
        <f t="shared" si="11"/>
        <v>3</v>
      </c>
      <c r="J82" s="10">
        <f t="shared" si="12"/>
        <v>7.1385366413967377</v>
      </c>
      <c r="K82" s="10">
        <f t="shared" si="8"/>
        <v>109.66666666666667</v>
      </c>
      <c r="L82" s="10">
        <f t="shared" si="13"/>
        <v>15.36262572789836</v>
      </c>
      <c r="M82" s="12">
        <f t="shared" si="14"/>
        <v>29.02</v>
      </c>
      <c r="N82" s="13">
        <f t="shared" si="15"/>
        <v>0.26462006079027356</v>
      </c>
    </row>
    <row r="83" spans="1:14">
      <c r="A83" s="6">
        <v>82</v>
      </c>
      <c r="B83" s="14">
        <v>41369</v>
      </c>
      <c r="C83" s="15">
        <v>26475</v>
      </c>
      <c r="D83" s="16">
        <v>2.89</v>
      </c>
      <c r="E83" s="16">
        <v>20</v>
      </c>
      <c r="F83" s="16" t="s">
        <v>918</v>
      </c>
      <c r="G83" s="10">
        <f t="shared" si="9"/>
        <v>6.9204152249134943</v>
      </c>
      <c r="H83" s="11">
        <f t="shared" si="10"/>
        <v>388</v>
      </c>
      <c r="I83" s="10">
        <f t="shared" si="11"/>
        <v>0</v>
      </c>
      <c r="J83" s="10">
        <f t="shared" si="12"/>
        <v>10.664894736842106</v>
      </c>
      <c r="K83" s="10">
        <f t="shared" si="8"/>
        <v>388</v>
      </c>
      <c r="L83" s="10">
        <f t="shared" si="13"/>
        <v>6.9204152249134943</v>
      </c>
      <c r="M83" s="12">
        <f t="shared" si="14"/>
        <v>76</v>
      </c>
      <c r="N83" s="13">
        <f t="shared" si="15"/>
        <v>0.19587628865979381</v>
      </c>
    </row>
    <row r="84" spans="1:14">
      <c r="A84" s="6">
        <v>83</v>
      </c>
      <c r="B84" s="14">
        <v>41369</v>
      </c>
      <c r="C84" s="15">
        <v>26504</v>
      </c>
      <c r="D84" s="16">
        <v>2.9489999999999998</v>
      </c>
      <c r="E84" s="16">
        <v>50</v>
      </c>
      <c r="F84" s="16" t="s">
        <v>918</v>
      </c>
      <c r="G84" s="10">
        <f t="shared" si="9"/>
        <v>16.954899966090203</v>
      </c>
      <c r="H84" s="11">
        <f t="shared" si="10"/>
        <v>29</v>
      </c>
      <c r="I84" s="10">
        <f t="shared" si="11"/>
        <v>0</v>
      </c>
      <c r="J84" s="10">
        <f t="shared" si="12"/>
        <v>4.1905000000000001</v>
      </c>
      <c r="K84" s="10">
        <f t="shared" si="8"/>
        <v>29</v>
      </c>
      <c r="L84" s="10">
        <f t="shared" si="13"/>
        <v>16.954899966090203</v>
      </c>
      <c r="M84" s="12">
        <f t="shared" si="14"/>
        <v>20</v>
      </c>
      <c r="N84" s="13">
        <f t="shared" si="15"/>
        <v>0.68965517241379315</v>
      </c>
    </row>
    <row r="85" spans="1:14">
      <c r="A85" s="6">
        <v>84</v>
      </c>
      <c r="B85" s="14">
        <v>41372</v>
      </c>
      <c r="C85" s="15">
        <v>26581</v>
      </c>
      <c r="D85" s="16">
        <v>2.9489999999999998</v>
      </c>
      <c r="E85" s="16">
        <v>100.27</v>
      </c>
      <c r="F85" s="16" t="s">
        <v>918</v>
      </c>
      <c r="G85" s="10">
        <f t="shared" si="9"/>
        <v>34.001356391997291</v>
      </c>
      <c r="H85" s="11">
        <f t="shared" si="10"/>
        <v>77</v>
      </c>
      <c r="I85" s="10">
        <f t="shared" si="11"/>
        <v>3</v>
      </c>
      <c r="J85" s="10">
        <f t="shared" si="12"/>
        <v>4.5414599999999989</v>
      </c>
      <c r="K85" s="10">
        <f t="shared" si="8"/>
        <v>25.666666666666668</v>
      </c>
      <c r="L85" s="10">
        <f t="shared" si="13"/>
        <v>5.6516333220300679</v>
      </c>
      <c r="M85" s="12">
        <f t="shared" si="14"/>
        <v>16.666666666666668</v>
      </c>
      <c r="N85" s="13">
        <f t="shared" si="15"/>
        <v>0.64935064935064934</v>
      </c>
    </row>
    <row r="86" spans="1:14">
      <c r="A86" s="6">
        <v>85</v>
      </c>
      <c r="B86" s="14">
        <v>41372</v>
      </c>
      <c r="C86" s="15">
        <v>26981</v>
      </c>
      <c r="D86" s="16">
        <v>3.1179999999999999</v>
      </c>
      <c r="E86" s="16">
        <v>90.08</v>
      </c>
      <c r="F86" s="16" t="s">
        <v>918</v>
      </c>
      <c r="G86" s="10">
        <f t="shared" si="9"/>
        <v>28.890314304041052</v>
      </c>
      <c r="H86" s="11">
        <f t="shared" si="10"/>
        <v>400</v>
      </c>
      <c r="I86" s="10">
        <f t="shared" si="11"/>
        <v>0</v>
      </c>
      <c r="J86" s="10">
        <f t="shared" si="12"/>
        <v>11.76423656128453</v>
      </c>
      <c r="K86" s="10">
        <f t="shared" si="8"/>
        <v>400</v>
      </c>
      <c r="L86" s="10">
        <f t="shared" si="13"/>
        <v>28.890314304041052</v>
      </c>
      <c r="M86" s="12">
        <f t="shared" si="14"/>
        <v>100.27</v>
      </c>
      <c r="N86" s="13">
        <f t="shared" si="15"/>
        <v>0.25067499999999998</v>
      </c>
    </row>
    <row r="87" spans="1:14">
      <c r="A87" s="6">
        <v>86</v>
      </c>
      <c r="B87" s="14">
        <v>41377</v>
      </c>
      <c r="C87" s="15">
        <v>27394</v>
      </c>
      <c r="D87" s="16">
        <v>2.7989999999999999</v>
      </c>
      <c r="E87" s="16">
        <v>106.55</v>
      </c>
      <c r="F87" s="16" t="s">
        <v>918</v>
      </c>
      <c r="G87" s="10">
        <f t="shared" si="9"/>
        <v>38.067166845301891</v>
      </c>
      <c r="H87" s="11">
        <f t="shared" si="10"/>
        <v>413</v>
      </c>
      <c r="I87" s="10">
        <f t="shared" si="11"/>
        <v>5</v>
      </c>
      <c r="J87" s="10">
        <f t="shared" si="12"/>
        <v>14.295448490230905</v>
      </c>
      <c r="K87" s="10">
        <f t="shared" si="8"/>
        <v>82.6</v>
      </c>
      <c r="L87" s="10">
        <f t="shared" si="13"/>
        <v>5.7780628608082107</v>
      </c>
      <c r="M87" s="12">
        <f t="shared" si="14"/>
        <v>18.015999999999998</v>
      </c>
      <c r="N87" s="13">
        <f t="shared" si="15"/>
        <v>0.21811138014527845</v>
      </c>
    </row>
    <row r="88" spans="1:14">
      <c r="A88" s="6">
        <v>87</v>
      </c>
      <c r="B88" s="14">
        <v>41384</v>
      </c>
      <c r="C88" s="15">
        <v>27886</v>
      </c>
      <c r="D88" s="16">
        <v>3.1179999999999999</v>
      </c>
      <c r="E88" s="16">
        <v>124.03</v>
      </c>
      <c r="F88" s="16" t="s">
        <v>918</v>
      </c>
      <c r="G88" s="10">
        <f t="shared" si="9"/>
        <v>39.778704297626689</v>
      </c>
      <c r="H88" s="11">
        <f t="shared" si="10"/>
        <v>492</v>
      </c>
      <c r="I88" s="10">
        <f t="shared" si="11"/>
        <v>7</v>
      </c>
      <c r="J88" s="10">
        <f t="shared" si="12"/>
        <v>12.924523697794463</v>
      </c>
      <c r="K88" s="10">
        <f t="shared" si="8"/>
        <v>70.285714285714292</v>
      </c>
      <c r="L88" s="10">
        <f t="shared" si="13"/>
        <v>5.4381666921859848</v>
      </c>
      <c r="M88" s="12">
        <f t="shared" si="14"/>
        <v>15.221428571428572</v>
      </c>
      <c r="N88" s="13">
        <f t="shared" si="15"/>
        <v>0.21656504065040649</v>
      </c>
    </row>
    <row r="89" spans="1:14">
      <c r="A89" s="6">
        <v>88</v>
      </c>
      <c r="B89" s="14">
        <v>41387</v>
      </c>
      <c r="C89" s="15">
        <v>28458</v>
      </c>
      <c r="D89" s="16">
        <v>2.6789999999999998</v>
      </c>
      <c r="E89" s="16">
        <v>120.01</v>
      </c>
      <c r="F89" s="16" t="s">
        <v>918</v>
      </c>
      <c r="G89" s="10">
        <f t="shared" si="9"/>
        <v>44.796565882792095</v>
      </c>
      <c r="H89" s="11">
        <f t="shared" si="10"/>
        <v>572</v>
      </c>
      <c r="I89" s="10">
        <f t="shared" si="11"/>
        <v>3</v>
      </c>
      <c r="J89" s="10">
        <f t="shared" si="12"/>
        <v>14.379553333870836</v>
      </c>
      <c r="K89" s="10">
        <f t="shared" si="8"/>
        <v>190.66666666666666</v>
      </c>
      <c r="L89" s="10">
        <f t="shared" si="13"/>
        <v>13.259568099208897</v>
      </c>
      <c r="M89" s="12">
        <f t="shared" si="14"/>
        <v>41.343333333333334</v>
      </c>
      <c r="N89" s="13">
        <f t="shared" si="15"/>
        <v>0.21683566433566434</v>
      </c>
    </row>
    <row r="90" spans="1:14">
      <c r="A90" s="6">
        <v>89</v>
      </c>
      <c r="B90" s="14">
        <v>41405</v>
      </c>
      <c r="C90" s="15">
        <v>28828</v>
      </c>
      <c r="D90" s="16">
        <v>2.6789999999999998</v>
      </c>
      <c r="E90" s="16">
        <v>122.03</v>
      </c>
      <c r="F90" s="16" t="s">
        <v>918</v>
      </c>
      <c r="G90" s="10">
        <f t="shared" si="9"/>
        <v>45.550578574094814</v>
      </c>
      <c r="H90" s="11">
        <f t="shared" si="10"/>
        <v>370</v>
      </c>
      <c r="I90" s="10">
        <f t="shared" si="11"/>
        <v>18</v>
      </c>
      <c r="J90" s="10">
        <f t="shared" si="12"/>
        <v>8.2595617031913999</v>
      </c>
      <c r="K90" s="10">
        <f t="shared" si="8"/>
        <v>20.555555555555557</v>
      </c>
      <c r="L90" s="10">
        <f t="shared" si="13"/>
        <v>2.4886981045995609</v>
      </c>
      <c r="M90" s="12">
        <f t="shared" si="14"/>
        <v>6.6672222222222226</v>
      </c>
      <c r="N90" s="13">
        <f t="shared" si="15"/>
        <v>0.32435135135135135</v>
      </c>
    </row>
    <row r="91" spans="1:14">
      <c r="A91" s="6">
        <v>90</v>
      </c>
      <c r="B91" s="14">
        <v>41418</v>
      </c>
      <c r="C91" s="15">
        <v>29183</v>
      </c>
      <c r="D91" s="16">
        <v>2.6589999999999998</v>
      </c>
      <c r="E91" s="16">
        <v>123.3</v>
      </c>
      <c r="F91" s="16" t="s">
        <v>918</v>
      </c>
      <c r="G91" s="10">
        <f t="shared" si="9"/>
        <v>46.370816096276798</v>
      </c>
      <c r="H91" s="11">
        <f t="shared" si="10"/>
        <v>355</v>
      </c>
      <c r="I91" s="10">
        <f t="shared" si="11"/>
        <v>13</v>
      </c>
      <c r="J91" s="10">
        <f t="shared" si="12"/>
        <v>7.7935343767925911</v>
      </c>
      <c r="K91" s="10">
        <f t="shared" si="8"/>
        <v>27.307692307692307</v>
      </c>
      <c r="L91" s="10">
        <f t="shared" si="13"/>
        <v>3.5038906595457551</v>
      </c>
      <c r="M91" s="12">
        <f t="shared" si="14"/>
        <v>9.3869230769230771</v>
      </c>
      <c r="N91" s="13">
        <f t="shared" si="15"/>
        <v>0.34374647887323945</v>
      </c>
    </row>
    <row r="92" spans="1:14">
      <c r="A92" s="6">
        <v>91</v>
      </c>
      <c r="B92" s="14">
        <v>41420</v>
      </c>
      <c r="C92" s="15">
        <v>29625</v>
      </c>
      <c r="D92" s="16">
        <v>2.819</v>
      </c>
      <c r="E92" s="16">
        <v>90.01</v>
      </c>
      <c r="F92" s="16" t="s">
        <v>918</v>
      </c>
      <c r="G92" s="10">
        <f t="shared" si="9"/>
        <v>31.929762327066339</v>
      </c>
      <c r="H92" s="11">
        <f t="shared" si="10"/>
        <v>442</v>
      </c>
      <c r="I92" s="10">
        <f t="shared" si="11"/>
        <v>2</v>
      </c>
      <c r="J92" s="10">
        <f t="shared" si="12"/>
        <v>9.5318572587185724</v>
      </c>
      <c r="K92" s="10">
        <f t="shared" si="8"/>
        <v>221</v>
      </c>
      <c r="L92" s="10">
        <f t="shared" si="13"/>
        <v>23.185408048138399</v>
      </c>
      <c r="M92" s="12">
        <f t="shared" si="14"/>
        <v>61.65</v>
      </c>
      <c r="N92" s="13">
        <f t="shared" si="15"/>
        <v>0.27895927601809956</v>
      </c>
    </row>
    <row r="93" spans="1:14">
      <c r="A93" s="6">
        <v>92</v>
      </c>
      <c r="B93" s="14">
        <v>41428</v>
      </c>
      <c r="C93" s="15">
        <v>30124</v>
      </c>
      <c r="D93" s="16">
        <v>2.5990000000000002</v>
      </c>
      <c r="E93" s="16">
        <v>108.02</v>
      </c>
      <c r="F93" s="16" t="s">
        <v>918</v>
      </c>
      <c r="G93" s="10">
        <f t="shared" si="9"/>
        <v>41.562139284340127</v>
      </c>
      <c r="H93" s="11">
        <f t="shared" si="10"/>
        <v>499</v>
      </c>
      <c r="I93" s="10">
        <f t="shared" si="11"/>
        <v>8</v>
      </c>
      <c r="J93" s="10">
        <f t="shared" si="12"/>
        <v>15.62805243861793</v>
      </c>
      <c r="K93" s="10">
        <f t="shared" si="8"/>
        <v>62.375</v>
      </c>
      <c r="L93" s="10">
        <f t="shared" si="13"/>
        <v>3.9912202908832923</v>
      </c>
      <c r="M93" s="12">
        <f t="shared" si="14"/>
        <v>11.251250000000001</v>
      </c>
      <c r="N93" s="13">
        <f t="shared" si="15"/>
        <v>0.18038076152304611</v>
      </c>
    </row>
    <row r="94" spans="1:14">
      <c r="A94" s="6">
        <v>93</v>
      </c>
      <c r="B94" s="14">
        <v>41453</v>
      </c>
      <c r="C94" s="15">
        <v>30436</v>
      </c>
      <c r="D94" s="16">
        <v>2.5990000000000002</v>
      </c>
      <c r="E94" s="16">
        <v>108.04</v>
      </c>
      <c r="F94" s="16" t="s">
        <v>918</v>
      </c>
      <c r="G94" s="10">
        <f t="shared" si="9"/>
        <v>41.569834551750674</v>
      </c>
      <c r="H94" s="11">
        <f t="shared" si="10"/>
        <v>312</v>
      </c>
      <c r="I94" s="10">
        <f t="shared" si="11"/>
        <v>25</v>
      </c>
      <c r="J94" s="10">
        <f t="shared" si="12"/>
        <v>7.5068320681355312</v>
      </c>
      <c r="K94" s="10">
        <f t="shared" si="8"/>
        <v>12.48</v>
      </c>
      <c r="L94" s="10">
        <f t="shared" si="13"/>
        <v>1.6624855713736051</v>
      </c>
      <c r="M94" s="12">
        <f t="shared" si="14"/>
        <v>4.3208000000000002</v>
      </c>
      <c r="N94" s="13">
        <f t="shared" si="15"/>
        <v>0.3462179487179487</v>
      </c>
    </row>
    <row r="95" spans="1:14">
      <c r="A95" s="6">
        <v>94</v>
      </c>
      <c r="B95" s="14">
        <v>41455</v>
      </c>
      <c r="C95" s="15">
        <v>30843</v>
      </c>
      <c r="D95" s="16">
        <v>2.8180000000000001</v>
      </c>
      <c r="E95" s="16">
        <v>92</v>
      </c>
      <c r="F95" s="16" t="s">
        <v>918</v>
      </c>
      <c r="G95" s="10">
        <f t="shared" si="9"/>
        <v>32.647267565649393</v>
      </c>
      <c r="H95" s="11">
        <f t="shared" si="10"/>
        <v>407</v>
      </c>
      <c r="I95" s="10">
        <f t="shared" si="11"/>
        <v>2</v>
      </c>
      <c r="J95" s="10">
        <f t="shared" si="12"/>
        <v>9.7907534246575345</v>
      </c>
      <c r="K95" s="10">
        <f t="shared" si="8"/>
        <v>203.5</v>
      </c>
      <c r="L95" s="10">
        <f t="shared" si="13"/>
        <v>20.784917275875337</v>
      </c>
      <c r="M95" s="12">
        <f t="shared" si="14"/>
        <v>54.02</v>
      </c>
      <c r="N95" s="13">
        <f t="shared" si="15"/>
        <v>0.26545454545454544</v>
      </c>
    </row>
    <row r="96" spans="1:14">
      <c r="A96" s="6">
        <v>95</v>
      </c>
      <c r="B96" s="14">
        <v>41465</v>
      </c>
      <c r="C96" s="15">
        <v>31352</v>
      </c>
      <c r="D96" s="16">
        <v>2.5990000000000002</v>
      </c>
      <c r="E96" s="16">
        <v>104.07</v>
      </c>
      <c r="F96" s="16" t="s">
        <v>918</v>
      </c>
      <c r="G96" s="10">
        <f t="shared" si="9"/>
        <v>40.042323970757977</v>
      </c>
      <c r="H96" s="11">
        <f t="shared" si="10"/>
        <v>509</v>
      </c>
      <c r="I96" s="10">
        <f t="shared" si="11"/>
        <v>10</v>
      </c>
      <c r="J96" s="10">
        <f t="shared" si="12"/>
        <v>15.590891304347828</v>
      </c>
      <c r="K96" s="10">
        <f t="shared" si="8"/>
        <v>50.9</v>
      </c>
      <c r="L96" s="10">
        <f t="shared" si="13"/>
        <v>3.2647267565649392</v>
      </c>
      <c r="M96" s="12">
        <f t="shared" si="14"/>
        <v>9.1999999999999993</v>
      </c>
      <c r="N96" s="13">
        <f t="shared" si="15"/>
        <v>0.18074656188605109</v>
      </c>
    </row>
    <row r="97" spans="1:14">
      <c r="A97" s="6">
        <v>96</v>
      </c>
      <c r="B97" s="14">
        <v>41480</v>
      </c>
      <c r="C97" s="15">
        <v>31646</v>
      </c>
      <c r="D97" s="16">
        <v>2.7989999999999999</v>
      </c>
      <c r="E97" s="16">
        <v>114</v>
      </c>
      <c r="F97" s="16" t="s">
        <v>918</v>
      </c>
      <c r="G97" s="10">
        <f t="shared" si="9"/>
        <v>40.728831725616296</v>
      </c>
      <c r="H97" s="11">
        <f t="shared" si="10"/>
        <v>294</v>
      </c>
      <c r="I97" s="10">
        <f t="shared" si="11"/>
        <v>15</v>
      </c>
      <c r="J97" s="10">
        <f t="shared" si="12"/>
        <v>7.342231190544827</v>
      </c>
      <c r="K97" s="10">
        <f t="shared" si="8"/>
        <v>19.600000000000001</v>
      </c>
      <c r="L97" s="10">
        <f t="shared" si="13"/>
        <v>2.6694882647171982</v>
      </c>
      <c r="M97" s="12">
        <f t="shared" si="14"/>
        <v>6.9379999999999997</v>
      </c>
      <c r="N97" s="13">
        <f t="shared" si="15"/>
        <v>0.35397959183673466</v>
      </c>
    </row>
    <row r="98" spans="1:14">
      <c r="A98" s="6">
        <v>97</v>
      </c>
      <c r="B98" s="14">
        <v>41502</v>
      </c>
      <c r="C98" s="15">
        <v>31979</v>
      </c>
      <c r="D98" s="16">
        <v>2.5990000000000002</v>
      </c>
      <c r="E98" s="16">
        <v>108</v>
      </c>
      <c r="F98" s="16" t="s">
        <v>918</v>
      </c>
      <c r="G98" s="10">
        <f t="shared" si="9"/>
        <v>41.554444016929587</v>
      </c>
      <c r="H98" s="11">
        <f t="shared" si="10"/>
        <v>333</v>
      </c>
      <c r="I98" s="10">
        <f t="shared" si="11"/>
        <v>22</v>
      </c>
      <c r="J98" s="10">
        <f t="shared" si="12"/>
        <v>8.176026315789473</v>
      </c>
      <c r="K98" s="10">
        <f t="shared" si="8"/>
        <v>15.136363636363637</v>
      </c>
      <c r="L98" s="10">
        <f t="shared" si="13"/>
        <v>1.851310532982559</v>
      </c>
      <c r="M98" s="12">
        <f t="shared" si="14"/>
        <v>5.1818181818181817</v>
      </c>
      <c r="N98" s="13">
        <f t="shared" si="15"/>
        <v>0.34234234234234234</v>
      </c>
    </row>
    <row r="99" spans="1:14">
      <c r="A99" s="6">
        <v>98</v>
      </c>
      <c r="B99" s="14">
        <v>41526</v>
      </c>
      <c r="C99" s="15">
        <v>32286</v>
      </c>
      <c r="D99" s="16">
        <v>2.4990000000000001</v>
      </c>
      <c r="E99" s="16">
        <v>20</v>
      </c>
      <c r="F99" s="16" t="s">
        <v>918</v>
      </c>
      <c r="G99" s="10">
        <f t="shared" si="9"/>
        <v>8.0032012805122044</v>
      </c>
      <c r="H99" s="11">
        <f t="shared" si="10"/>
        <v>307</v>
      </c>
      <c r="I99" s="10">
        <f t="shared" si="11"/>
        <v>24</v>
      </c>
      <c r="J99" s="10">
        <f t="shared" si="12"/>
        <v>7.3878981481481487</v>
      </c>
      <c r="K99" s="10">
        <f t="shared" si="8"/>
        <v>12.791666666666666</v>
      </c>
      <c r="L99" s="10">
        <f t="shared" si="13"/>
        <v>1.731435167372066</v>
      </c>
      <c r="M99" s="12">
        <f t="shared" si="14"/>
        <v>4.5</v>
      </c>
      <c r="N99" s="13">
        <f t="shared" si="15"/>
        <v>0.3517915309446254</v>
      </c>
    </row>
    <row r="100" spans="1:14">
      <c r="A100" s="6">
        <v>99</v>
      </c>
      <c r="B100" s="14">
        <v>41547</v>
      </c>
      <c r="C100" s="15">
        <v>32329</v>
      </c>
      <c r="D100" s="16">
        <v>2.4990000000000001</v>
      </c>
      <c r="E100" s="16">
        <v>114</v>
      </c>
      <c r="F100" s="16" t="s">
        <v>918</v>
      </c>
      <c r="G100" s="10">
        <f t="shared" si="9"/>
        <v>45.618247298919563</v>
      </c>
      <c r="H100" s="11">
        <f t="shared" si="10"/>
        <v>43</v>
      </c>
      <c r="I100" s="10">
        <f t="shared" si="11"/>
        <v>21</v>
      </c>
      <c r="J100" s="10">
        <f t="shared" si="12"/>
        <v>5.3728500000000006</v>
      </c>
      <c r="K100" s="10">
        <f t="shared" si="8"/>
        <v>2.0476190476190474</v>
      </c>
      <c r="L100" s="10">
        <f t="shared" si="13"/>
        <v>0.38110482288153352</v>
      </c>
      <c r="M100" s="12">
        <f t="shared" si="14"/>
        <v>0.95238095238095233</v>
      </c>
      <c r="N100" s="13">
        <f t="shared" si="15"/>
        <v>0.46511627906976744</v>
      </c>
    </row>
    <row r="101" spans="1:14">
      <c r="A101" s="6">
        <v>100</v>
      </c>
      <c r="B101" s="14">
        <v>41551</v>
      </c>
      <c r="C101" s="15">
        <v>32406</v>
      </c>
      <c r="D101" s="16">
        <v>2.4990000000000001</v>
      </c>
      <c r="E101" s="16">
        <v>35</v>
      </c>
      <c r="F101" s="16" t="s">
        <v>918</v>
      </c>
      <c r="G101" s="10">
        <f t="shared" si="9"/>
        <v>14.005602240896359</v>
      </c>
      <c r="H101" s="11">
        <f t="shared" si="10"/>
        <v>77</v>
      </c>
      <c r="I101" s="10">
        <f t="shared" si="11"/>
        <v>4</v>
      </c>
      <c r="J101" s="10">
        <f t="shared" si="12"/>
        <v>1.6879210526315791</v>
      </c>
      <c r="K101" s="10">
        <f t="shared" si="8"/>
        <v>19.25</v>
      </c>
      <c r="L101" s="10">
        <f t="shared" si="13"/>
        <v>11.404561824729891</v>
      </c>
      <c r="M101" s="12">
        <f t="shared" si="14"/>
        <v>28.5</v>
      </c>
      <c r="N101" s="13">
        <f t="shared" si="15"/>
        <v>1.4805194805194806</v>
      </c>
    </row>
    <row r="102" spans="1:14">
      <c r="A102" s="6">
        <v>101</v>
      </c>
      <c r="B102" s="14">
        <v>41553</v>
      </c>
      <c r="C102" s="15">
        <v>32840</v>
      </c>
      <c r="D102" s="16">
        <v>2.819</v>
      </c>
      <c r="E102" s="16">
        <v>92.8</v>
      </c>
      <c r="F102" s="16" t="s">
        <v>918</v>
      </c>
      <c r="G102" s="10">
        <f t="shared" si="9"/>
        <v>32.919474991131608</v>
      </c>
      <c r="H102" s="11">
        <f t="shared" si="10"/>
        <v>434</v>
      </c>
      <c r="I102" s="10">
        <f t="shared" si="11"/>
        <v>2</v>
      </c>
      <c r="J102" s="10">
        <f t="shared" si="12"/>
        <v>30.9876</v>
      </c>
      <c r="K102" s="10">
        <f t="shared" si="8"/>
        <v>217</v>
      </c>
      <c r="L102" s="10">
        <f t="shared" si="13"/>
        <v>7.0028011204481793</v>
      </c>
      <c r="M102" s="12">
        <f t="shared" si="14"/>
        <v>17.5</v>
      </c>
      <c r="N102" s="13">
        <f t="shared" si="15"/>
        <v>8.0645161290322578E-2</v>
      </c>
    </row>
    <row r="103" spans="1:14">
      <c r="A103" s="6">
        <v>102</v>
      </c>
      <c r="B103" s="14">
        <v>41560</v>
      </c>
      <c r="C103" s="15">
        <v>33340</v>
      </c>
      <c r="D103" s="16">
        <v>2.4990000000000001</v>
      </c>
      <c r="E103" s="16">
        <v>103.57</v>
      </c>
      <c r="F103" s="16" t="s">
        <v>918</v>
      </c>
      <c r="G103" s="10">
        <f t="shared" si="9"/>
        <v>41.444577831132449</v>
      </c>
      <c r="H103" s="11">
        <f t="shared" si="10"/>
        <v>500</v>
      </c>
      <c r="I103" s="10">
        <f t="shared" si="11"/>
        <v>7</v>
      </c>
      <c r="J103" s="10">
        <f t="shared" si="12"/>
        <v>15.188577586206897</v>
      </c>
      <c r="K103" s="10">
        <f t="shared" si="8"/>
        <v>71.428571428571431</v>
      </c>
      <c r="L103" s="10">
        <f t="shared" si="13"/>
        <v>4.7027821415902293</v>
      </c>
      <c r="M103" s="12">
        <f t="shared" si="14"/>
        <v>13.257142857142856</v>
      </c>
      <c r="N103" s="13">
        <f t="shared" si="15"/>
        <v>0.18559999999999999</v>
      </c>
    </row>
    <row r="104" spans="1:14">
      <c r="A104" s="6">
        <v>103</v>
      </c>
      <c r="B104" s="14">
        <v>41578</v>
      </c>
      <c r="C104" s="15">
        <v>33619</v>
      </c>
      <c r="D104" s="16">
        <v>2.4990000000000001</v>
      </c>
      <c r="E104" s="16">
        <v>121.04</v>
      </c>
      <c r="F104" s="16" t="s">
        <v>918</v>
      </c>
      <c r="G104" s="10">
        <f t="shared" si="9"/>
        <v>48.435374149659864</v>
      </c>
      <c r="H104" s="11">
        <f t="shared" si="10"/>
        <v>279</v>
      </c>
      <c r="I104" s="10">
        <f t="shared" si="11"/>
        <v>18</v>
      </c>
      <c r="J104" s="10">
        <f t="shared" si="12"/>
        <v>6.7318818190595735</v>
      </c>
      <c r="K104" s="10">
        <f t="shared" si="8"/>
        <v>15.5</v>
      </c>
      <c r="L104" s="10">
        <f t="shared" si="13"/>
        <v>2.3024765461740251</v>
      </c>
      <c r="M104" s="12">
        <f t="shared" si="14"/>
        <v>5.7538888888888886</v>
      </c>
      <c r="N104" s="13">
        <f t="shared" si="15"/>
        <v>0.3712186379928315</v>
      </c>
    </row>
    <row r="105" spans="1:14">
      <c r="A105" s="6">
        <v>104</v>
      </c>
      <c r="B105" s="14">
        <v>41593</v>
      </c>
      <c r="C105" s="15">
        <v>33826</v>
      </c>
      <c r="D105" s="16">
        <v>2.5990000000000002</v>
      </c>
      <c r="E105" s="16">
        <v>73</v>
      </c>
      <c r="F105" s="16" t="s">
        <v>918</v>
      </c>
      <c r="G105" s="10">
        <f t="shared" si="9"/>
        <v>28.087726048480182</v>
      </c>
      <c r="H105" s="11">
        <f t="shared" si="10"/>
        <v>207</v>
      </c>
      <c r="I105" s="10">
        <f t="shared" si="11"/>
        <v>15</v>
      </c>
      <c r="J105" s="10">
        <f t="shared" si="12"/>
        <v>4.2737359550561793</v>
      </c>
      <c r="K105" s="10">
        <f t="shared" si="8"/>
        <v>13.8</v>
      </c>
      <c r="L105" s="10">
        <f t="shared" si="13"/>
        <v>3.2290249433106575</v>
      </c>
      <c r="M105" s="12">
        <f t="shared" si="14"/>
        <v>8.0693333333333346</v>
      </c>
      <c r="N105" s="13">
        <f t="shared" si="15"/>
        <v>0.58473429951690825</v>
      </c>
    </row>
    <row r="106" spans="1:14">
      <c r="A106" s="6">
        <v>105</v>
      </c>
      <c r="B106" s="14">
        <v>41595</v>
      </c>
      <c r="C106" s="15">
        <v>34230</v>
      </c>
      <c r="D106" s="16">
        <v>2.81</v>
      </c>
      <c r="E106" s="16">
        <v>89</v>
      </c>
      <c r="F106" s="16" t="s">
        <v>918</v>
      </c>
      <c r="G106" s="10">
        <f t="shared" si="9"/>
        <v>31.672597864768683</v>
      </c>
      <c r="H106" s="11">
        <f t="shared" si="10"/>
        <v>404</v>
      </c>
      <c r="I106" s="10">
        <f t="shared" si="11"/>
        <v>2</v>
      </c>
      <c r="J106" s="10">
        <f t="shared" si="12"/>
        <v>14.38350684931507</v>
      </c>
      <c r="K106" s="10">
        <f t="shared" si="8"/>
        <v>202</v>
      </c>
      <c r="L106" s="10">
        <f t="shared" si="13"/>
        <v>14.043863024240091</v>
      </c>
      <c r="M106" s="12">
        <f t="shared" si="14"/>
        <v>36.5</v>
      </c>
      <c r="N106" s="13">
        <f t="shared" si="15"/>
        <v>0.18069306930693069</v>
      </c>
    </row>
    <row r="107" spans="1:14">
      <c r="A107" s="6">
        <v>106</v>
      </c>
      <c r="B107" s="14">
        <v>41600</v>
      </c>
      <c r="C107" s="15">
        <v>34699</v>
      </c>
      <c r="D107" s="16">
        <v>2.5990000000000002</v>
      </c>
      <c r="E107" s="16">
        <v>112</v>
      </c>
      <c r="F107" s="16" t="s">
        <v>918</v>
      </c>
      <c r="G107" s="10">
        <f t="shared" si="9"/>
        <v>43.093497499038087</v>
      </c>
      <c r="H107" s="11">
        <f t="shared" si="10"/>
        <v>469</v>
      </c>
      <c r="I107" s="10">
        <f t="shared" si="11"/>
        <v>5</v>
      </c>
      <c r="J107" s="10">
        <f t="shared" si="12"/>
        <v>14.807752808988765</v>
      </c>
      <c r="K107" s="10">
        <f t="shared" si="8"/>
        <v>93.8</v>
      </c>
      <c r="L107" s="10">
        <f t="shared" si="13"/>
        <v>6.3345195729537362</v>
      </c>
      <c r="M107" s="12">
        <f t="shared" si="14"/>
        <v>17.8</v>
      </c>
      <c r="N107" s="13">
        <f t="shared" si="15"/>
        <v>0.18976545842217485</v>
      </c>
    </row>
    <row r="108" spans="1:14">
      <c r="A108" s="6">
        <v>107</v>
      </c>
      <c r="B108" s="14">
        <v>41625</v>
      </c>
      <c r="C108" s="15">
        <v>35000</v>
      </c>
      <c r="D108" s="16">
        <v>2.6989999999999998</v>
      </c>
      <c r="E108" s="16">
        <v>120.01</v>
      </c>
      <c r="F108" s="16" t="s">
        <v>918</v>
      </c>
      <c r="G108" s="10">
        <f t="shared" si="9"/>
        <v>44.464616524638757</v>
      </c>
      <c r="H108" s="11">
        <f t="shared" si="10"/>
        <v>301</v>
      </c>
      <c r="I108" s="10">
        <f t="shared" si="11"/>
        <v>25</v>
      </c>
      <c r="J108" s="10">
        <f t="shared" si="12"/>
        <v>6.9848125000000012</v>
      </c>
      <c r="K108" s="10">
        <f t="shared" si="8"/>
        <v>12.04</v>
      </c>
      <c r="L108" s="10">
        <f t="shared" si="13"/>
        <v>1.7237398999615234</v>
      </c>
      <c r="M108" s="12">
        <f t="shared" si="14"/>
        <v>4.4800000000000004</v>
      </c>
      <c r="N108" s="13">
        <f t="shared" si="15"/>
        <v>0.37209302325581395</v>
      </c>
    </row>
    <row r="109" spans="1:14">
      <c r="A109" s="6">
        <v>108</v>
      </c>
      <c r="B109" s="14">
        <v>41659</v>
      </c>
      <c r="C109" s="15">
        <v>35325</v>
      </c>
      <c r="D109" s="16">
        <v>2.6989999999999998</v>
      </c>
      <c r="E109" s="16">
        <v>60</v>
      </c>
      <c r="F109" s="16" t="s">
        <v>918</v>
      </c>
      <c r="G109" s="10">
        <f t="shared" si="9"/>
        <v>22.230455724342349</v>
      </c>
      <c r="H109" s="11">
        <f t="shared" si="10"/>
        <v>325</v>
      </c>
      <c r="I109" s="10">
        <f t="shared" si="11"/>
        <v>34</v>
      </c>
      <c r="J109" s="10">
        <f t="shared" si="12"/>
        <v>7.309182568119323</v>
      </c>
      <c r="K109" s="10">
        <f t="shared" si="8"/>
        <v>9.5588235294117645</v>
      </c>
      <c r="L109" s="10">
        <f t="shared" si="13"/>
        <v>1.3077828389599635</v>
      </c>
      <c r="M109" s="12">
        <f t="shared" si="14"/>
        <v>3.5297058823529412</v>
      </c>
      <c r="N109" s="13">
        <f t="shared" si="15"/>
        <v>0.36926153846153847</v>
      </c>
    </row>
    <row r="110" spans="1:14">
      <c r="A110" s="6">
        <v>109</v>
      </c>
      <c r="B110" s="14">
        <v>41668</v>
      </c>
      <c r="C110" s="15">
        <v>35452</v>
      </c>
      <c r="D110" s="16">
        <v>2.6989999999999998</v>
      </c>
      <c r="E110" s="16">
        <v>60</v>
      </c>
      <c r="F110" s="16" t="s">
        <v>918</v>
      </c>
      <c r="G110" s="10">
        <f t="shared" si="9"/>
        <v>22.230455724342349</v>
      </c>
      <c r="H110" s="11">
        <f t="shared" si="10"/>
        <v>127</v>
      </c>
      <c r="I110" s="10">
        <f t="shared" si="11"/>
        <v>9</v>
      </c>
      <c r="J110" s="10">
        <f t="shared" si="12"/>
        <v>5.7128833333333331</v>
      </c>
      <c r="K110" s="10">
        <f t="shared" si="8"/>
        <v>14.111111111111111</v>
      </c>
      <c r="L110" s="10">
        <f t="shared" si="13"/>
        <v>2.4700506360380388</v>
      </c>
      <c r="M110" s="12">
        <f t="shared" si="14"/>
        <v>6.666666666666667</v>
      </c>
      <c r="N110" s="13">
        <f t="shared" si="15"/>
        <v>0.47244094488188976</v>
      </c>
    </row>
    <row r="111" spans="1:14">
      <c r="A111" s="6">
        <v>110</v>
      </c>
      <c r="B111" s="14">
        <v>41682</v>
      </c>
      <c r="C111" s="15">
        <v>35611</v>
      </c>
      <c r="D111" s="16">
        <v>2.6989999999999998</v>
      </c>
      <c r="E111" s="16">
        <v>60</v>
      </c>
      <c r="F111" s="16" t="s">
        <v>918</v>
      </c>
      <c r="G111" s="10">
        <f t="shared" si="9"/>
        <v>22.230455724342349</v>
      </c>
      <c r="H111" s="11">
        <f t="shared" si="10"/>
        <v>159</v>
      </c>
      <c r="I111" s="10">
        <f t="shared" si="11"/>
        <v>14</v>
      </c>
      <c r="J111" s="10">
        <f t="shared" si="12"/>
        <v>7.1523500000000002</v>
      </c>
      <c r="K111" s="10">
        <f t="shared" si="8"/>
        <v>11.357142857142858</v>
      </c>
      <c r="L111" s="10">
        <f t="shared" si="13"/>
        <v>1.587889694595882</v>
      </c>
      <c r="M111" s="12">
        <f t="shared" si="14"/>
        <v>4.2857142857142856</v>
      </c>
      <c r="N111" s="13">
        <f t="shared" si="15"/>
        <v>0.37735849056603776</v>
      </c>
    </row>
    <row r="112" spans="1:14">
      <c r="A112" s="6">
        <v>111</v>
      </c>
      <c r="B112" s="14">
        <v>41708</v>
      </c>
      <c r="C112" s="15">
        <v>35775</v>
      </c>
      <c r="D112" s="16">
        <v>2.9990000000000001</v>
      </c>
      <c r="E112" s="16">
        <v>60</v>
      </c>
      <c r="F112" s="16" t="s">
        <v>918</v>
      </c>
      <c r="G112" s="10">
        <f t="shared" si="9"/>
        <v>20.006668889629875</v>
      </c>
      <c r="H112" s="11">
        <f t="shared" si="10"/>
        <v>164</v>
      </c>
      <c r="I112" s="10">
        <f t="shared" si="11"/>
        <v>26</v>
      </c>
      <c r="J112" s="10">
        <f t="shared" si="12"/>
        <v>7.3772666666666664</v>
      </c>
      <c r="K112" s="10">
        <f t="shared" si="8"/>
        <v>6.3076923076923075</v>
      </c>
      <c r="L112" s="10">
        <f t="shared" si="13"/>
        <v>0.85501752785932106</v>
      </c>
      <c r="M112" s="12">
        <f t="shared" si="14"/>
        <v>2.3076923076923075</v>
      </c>
      <c r="N112" s="13">
        <f t="shared" si="15"/>
        <v>0.36585365853658536</v>
      </c>
    </row>
    <row r="113" spans="1:14">
      <c r="A113" s="6">
        <v>112</v>
      </c>
      <c r="B113" s="14">
        <v>41719</v>
      </c>
      <c r="C113" s="15">
        <v>35960</v>
      </c>
      <c r="D113" s="16">
        <v>2.6989999999999998</v>
      </c>
      <c r="E113" s="16">
        <v>110</v>
      </c>
      <c r="F113" s="16" t="s">
        <v>918</v>
      </c>
      <c r="G113" s="10">
        <f t="shared" si="9"/>
        <v>40.75583549462764</v>
      </c>
      <c r="H113" s="11">
        <f t="shared" si="10"/>
        <v>185</v>
      </c>
      <c r="I113" s="10">
        <f t="shared" si="11"/>
        <v>11</v>
      </c>
      <c r="J113" s="10">
        <f t="shared" si="12"/>
        <v>9.2469166666666673</v>
      </c>
      <c r="K113" s="10">
        <f t="shared" si="8"/>
        <v>16.818181818181817</v>
      </c>
      <c r="L113" s="10">
        <f t="shared" si="13"/>
        <v>1.8187880808754431</v>
      </c>
      <c r="M113" s="12">
        <f t="shared" si="14"/>
        <v>5.4545454545454541</v>
      </c>
      <c r="N113" s="13">
        <f t="shared" si="15"/>
        <v>0.32432432432432434</v>
      </c>
    </row>
    <row r="114" spans="1:14">
      <c r="A114" s="6">
        <v>113</v>
      </c>
      <c r="B114" s="14">
        <v>41721</v>
      </c>
      <c r="C114" s="15">
        <v>36349</v>
      </c>
      <c r="D114" s="16">
        <v>2.9990000000000001</v>
      </c>
      <c r="E114" s="16">
        <v>104.99</v>
      </c>
      <c r="F114" s="16" t="s">
        <v>918</v>
      </c>
      <c r="G114" s="10">
        <f t="shared" si="9"/>
        <v>35.008336112037341</v>
      </c>
      <c r="H114" s="11">
        <f t="shared" si="10"/>
        <v>389</v>
      </c>
      <c r="I114" s="10">
        <f t="shared" si="11"/>
        <v>2</v>
      </c>
      <c r="J114" s="10">
        <f t="shared" si="12"/>
        <v>9.5446454545454547</v>
      </c>
      <c r="K114" s="10">
        <f t="shared" si="8"/>
        <v>194.5</v>
      </c>
      <c r="L114" s="10">
        <f t="shared" si="13"/>
        <v>20.37791774731382</v>
      </c>
      <c r="M114" s="12">
        <f t="shared" si="14"/>
        <v>55</v>
      </c>
      <c r="N114" s="13">
        <f t="shared" si="15"/>
        <v>0.28277634961439591</v>
      </c>
    </row>
    <row r="115" spans="1:14">
      <c r="A115" s="6">
        <v>114</v>
      </c>
      <c r="B115" s="14">
        <v>41733</v>
      </c>
      <c r="C115" s="15">
        <v>36836</v>
      </c>
      <c r="D115" s="16">
        <v>2.7589999999999999</v>
      </c>
      <c r="E115" s="16">
        <v>100</v>
      </c>
      <c r="F115" s="16" t="s">
        <v>918</v>
      </c>
      <c r="G115" s="10">
        <f t="shared" si="9"/>
        <v>36.245016310257341</v>
      </c>
      <c r="H115" s="11">
        <f>IF(C115="","",C115-C114)</f>
        <v>487</v>
      </c>
      <c r="I115" s="10">
        <f>IF(B115="","",B115-B114)</f>
        <v>12</v>
      </c>
      <c r="J115" s="10">
        <f>IF(H115="","",H115/G114)</f>
        <v>13.910972473568913</v>
      </c>
      <c r="K115" s="10">
        <f t="shared" si="8"/>
        <v>40.583333333333336</v>
      </c>
      <c r="L115" s="10">
        <f>IF(I115="","",IF(I115=0,G115,G114/I115))</f>
        <v>2.9173613426697784</v>
      </c>
      <c r="M115" s="12">
        <f>IF(I115="","",IF(I115=0,E114,E114/I115))</f>
        <v>8.7491666666666656</v>
      </c>
      <c r="N115" s="13">
        <f>IF(H115="","",E114/H115)</f>
        <v>0.21558521560574948</v>
      </c>
    </row>
    <row r="116" spans="1:14">
      <c r="A116" s="6">
        <v>115</v>
      </c>
      <c r="B116" s="14">
        <v>41735</v>
      </c>
      <c r="C116" s="15">
        <v>37246</v>
      </c>
      <c r="D116" s="16">
        <v>2.9990000000000001</v>
      </c>
      <c r="E116" s="16">
        <v>97.05</v>
      </c>
      <c r="F116" s="16" t="s">
        <v>918</v>
      </c>
      <c r="G116" s="10">
        <f t="shared" si="9"/>
        <v>32.360786928976324</v>
      </c>
      <c r="H116" s="11">
        <f t="shared" ref="H116:H154" si="16">IF(C116="","",C116-C115)</f>
        <v>410</v>
      </c>
      <c r="I116" s="10">
        <f t="shared" ref="I116:I154" si="17">IF(B116="","",B116-B115)</f>
        <v>2</v>
      </c>
      <c r="J116" s="10">
        <f t="shared" ref="J116:J154" si="18">IF(H116="","",H116/G115)</f>
        <v>11.3119</v>
      </c>
      <c r="K116" s="10">
        <f t="shared" si="8"/>
        <v>205</v>
      </c>
      <c r="L116" s="10">
        <f t="shared" ref="L116:L154" si="19">IF(I116="","",IF(I116=0,G116,G115/I116))</f>
        <v>18.122508155128671</v>
      </c>
      <c r="M116" s="12">
        <f t="shared" ref="M116:M154" si="20">IF(I116="","",IF(I116=0,E115,E115/I116))</f>
        <v>50</v>
      </c>
      <c r="N116" s="13">
        <f t="shared" ref="N116:N154" si="21">IF(H116="","",E115/H116)</f>
        <v>0.24390243902439024</v>
      </c>
    </row>
    <row r="117" spans="1:14">
      <c r="A117" s="6">
        <v>116</v>
      </c>
      <c r="B117" s="14">
        <v>41758</v>
      </c>
      <c r="C117" s="15">
        <v>37771</v>
      </c>
      <c r="D117" s="16">
        <v>2.7589999999999999</v>
      </c>
      <c r="E117" s="16">
        <v>50</v>
      </c>
      <c r="F117" s="16" t="s">
        <v>918</v>
      </c>
      <c r="G117" s="10">
        <f t="shared" si="9"/>
        <v>18.122508155128671</v>
      </c>
      <c r="H117" s="11">
        <f t="shared" si="16"/>
        <v>525</v>
      </c>
      <c r="I117" s="10">
        <f t="shared" si="17"/>
        <v>23</v>
      </c>
      <c r="J117" s="10">
        <f t="shared" si="18"/>
        <v>16.223338485316848</v>
      </c>
      <c r="K117" s="10">
        <f t="shared" si="8"/>
        <v>22.826086956521738</v>
      </c>
      <c r="L117" s="10">
        <f t="shared" si="19"/>
        <v>1.406990736042449</v>
      </c>
      <c r="M117" s="12">
        <f t="shared" si="20"/>
        <v>4.2195652173913043</v>
      </c>
      <c r="N117" s="13">
        <f t="shared" si="21"/>
        <v>0.18485714285714286</v>
      </c>
    </row>
    <row r="118" spans="1:14">
      <c r="A118" s="6">
        <v>117</v>
      </c>
      <c r="B118" s="14">
        <v>41769</v>
      </c>
      <c r="C118" s="15">
        <v>37945</v>
      </c>
      <c r="D118" s="16">
        <v>2.6989999999999998</v>
      </c>
      <c r="E118" s="16">
        <v>50</v>
      </c>
      <c r="F118" s="16" t="s">
        <v>918</v>
      </c>
      <c r="G118" s="10">
        <f t="shared" si="9"/>
        <v>18.525379770285291</v>
      </c>
      <c r="H118" s="11">
        <f t="shared" si="16"/>
        <v>174</v>
      </c>
      <c r="I118" s="10">
        <f t="shared" si="17"/>
        <v>11</v>
      </c>
      <c r="J118" s="10">
        <f t="shared" si="18"/>
        <v>9.6013199999999994</v>
      </c>
      <c r="K118" s="10">
        <f t="shared" si="8"/>
        <v>15.818181818181818</v>
      </c>
      <c r="L118" s="10">
        <f t="shared" si="19"/>
        <v>1.6475007413753338</v>
      </c>
      <c r="M118" s="12">
        <f t="shared" si="20"/>
        <v>4.5454545454545459</v>
      </c>
      <c r="N118" s="13">
        <f t="shared" si="21"/>
        <v>0.28735632183908044</v>
      </c>
    </row>
    <row r="119" spans="1:14">
      <c r="A119" s="6">
        <v>118</v>
      </c>
      <c r="B119" s="14">
        <v>41780</v>
      </c>
      <c r="C119" s="15">
        <v>38063</v>
      </c>
      <c r="D119" s="16">
        <v>2.6989999999999998</v>
      </c>
      <c r="E119" s="16">
        <v>50</v>
      </c>
      <c r="F119" s="16" t="s">
        <v>918</v>
      </c>
      <c r="G119" s="10">
        <f t="shared" si="9"/>
        <v>18.525379770285291</v>
      </c>
      <c r="H119" s="11">
        <f t="shared" si="16"/>
        <v>118</v>
      </c>
      <c r="I119" s="10">
        <f t="shared" si="17"/>
        <v>11</v>
      </c>
      <c r="J119" s="10">
        <f t="shared" si="18"/>
        <v>6.3696400000000004</v>
      </c>
      <c r="K119" s="10">
        <f t="shared" si="8"/>
        <v>10.727272727272727</v>
      </c>
      <c r="L119" s="10">
        <f t="shared" si="19"/>
        <v>1.6841254336622991</v>
      </c>
      <c r="M119" s="12">
        <f t="shared" si="20"/>
        <v>4.5454545454545459</v>
      </c>
      <c r="N119" s="13">
        <f t="shared" si="21"/>
        <v>0.42372881355932202</v>
      </c>
    </row>
    <row r="120" spans="1:14">
      <c r="A120" s="6">
        <v>119</v>
      </c>
      <c r="B120" s="14">
        <v>41788</v>
      </c>
      <c r="C120" s="15">
        <v>38176</v>
      </c>
      <c r="D120" s="16">
        <v>2.6989999999999998</v>
      </c>
      <c r="E120" s="16">
        <v>101.01</v>
      </c>
      <c r="F120" s="16" t="s">
        <v>918</v>
      </c>
      <c r="G120" s="10">
        <f t="shared" si="9"/>
        <v>37.424972211930346</v>
      </c>
      <c r="H120" s="11">
        <f t="shared" si="16"/>
        <v>113</v>
      </c>
      <c r="I120" s="10">
        <f t="shared" si="17"/>
        <v>8</v>
      </c>
      <c r="J120" s="10">
        <f t="shared" si="18"/>
        <v>6.0997399999999997</v>
      </c>
      <c r="K120" s="10">
        <f t="shared" si="8"/>
        <v>14.125</v>
      </c>
      <c r="L120" s="10">
        <f t="shared" si="19"/>
        <v>2.3156724712856613</v>
      </c>
      <c r="M120" s="12">
        <f t="shared" si="20"/>
        <v>6.25</v>
      </c>
      <c r="N120" s="13">
        <f t="shared" si="21"/>
        <v>0.44247787610619471</v>
      </c>
    </row>
    <row r="121" spans="1:14">
      <c r="A121" s="6">
        <v>120</v>
      </c>
      <c r="B121" s="14">
        <v>41791</v>
      </c>
      <c r="C121" s="15">
        <v>38612</v>
      </c>
      <c r="D121" s="16">
        <v>2.9790000000000001</v>
      </c>
      <c r="E121" s="16">
        <v>109</v>
      </c>
      <c r="F121" s="16" t="s">
        <v>918</v>
      </c>
      <c r="G121" s="10">
        <f t="shared" si="9"/>
        <v>36.589459550184621</v>
      </c>
      <c r="H121" s="11">
        <f t="shared" si="16"/>
        <v>436</v>
      </c>
      <c r="I121" s="10">
        <f t="shared" si="17"/>
        <v>3</v>
      </c>
      <c r="J121" s="10">
        <f t="shared" si="18"/>
        <v>11.649975249975249</v>
      </c>
      <c r="K121" s="10">
        <f t="shared" si="8"/>
        <v>145.33333333333334</v>
      </c>
      <c r="L121" s="10">
        <f t="shared" si="19"/>
        <v>12.474990737310115</v>
      </c>
      <c r="M121" s="12">
        <f t="shared" si="20"/>
        <v>33.67</v>
      </c>
      <c r="N121" s="13">
        <f t="shared" si="21"/>
        <v>0.23167431192660551</v>
      </c>
    </row>
    <row r="122" spans="1:14">
      <c r="A122" s="6">
        <v>121</v>
      </c>
      <c r="B122" s="14">
        <v>41797</v>
      </c>
      <c r="C122" s="15">
        <v>39121</v>
      </c>
      <c r="D122" s="16">
        <v>2.899</v>
      </c>
      <c r="E122" s="16">
        <v>50</v>
      </c>
      <c r="F122" s="16" t="s">
        <v>918</v>
      </c>
      <c r="G122" s="10">
        <f t="shared" si="9"/>
        <v>17.247326664367023</v>
      </c>
      <c r="H122" s="11">
        <f t="shared" si="16"/>
        <v>509</v>
      </c>
      <c r="I122" s="10">
        <f t="shared" si="17"/>
        <v>6</v>
      </c>
      <c r="J122" s="10">
        <f t="shared" si="18"/>
        <v>13.911110091743121</v>
      </c>
      <c r="K122" s="10">
        <f t="shared" si="8"/>
        <v>84.833333333333329</v>
      </c>
      <c r="L122" s="10">
        <f t="shared" si="19"/>
        <v>6.0982432583641035</v>
      </c>
      <c r="M122" s="12">
        <f t="shared" si="20"/>
        <v>18.166666666666668</v>
      </c>
      <c r="N122" s="13">
        <f t="shared" si="21"/>
        <v>0.21414538310412573</v>
      </c>
    </row>
    <row r="123" spans="1:14">
      <c r="A123" s="6">
        <v>122</v>
      </c>
      <c r="B123" s="14">
        <v>41803</v>
      </c>
      <c r="C123" s="15">
        <v>39208</v>
      </c>
      <c r="D123" s="16">
        <v>2.899</v>
      </c>
      <c r="E123" s="16">
        <v>60</v>
      </c>
      <c r="F123" s="16" t="s">
        <v>918</v>
      </c>
      <c r="G123" s="10">
        <f t="shared" si="9"/>
        <v>20.696791997240428</v>
      </c>
      <c r="H123" s="11">
        <f t="shared" si="16"/>
        <v>87</v>
      </c>
      <c r="I123" s="10">
        <f t="shared" si="17"/>
        <v>6</v>
      </c>
      <c r="J123" s="10">
        <f t="shared" si="18"/>
        <v>5.0442600000000004</v>
      </c>
      <c r="K123" s="10">
        <f t="shared" ref="K123:K154" si="22">IF(H123&lt;&gt;"",IF(I123&gt;0,H123/I123,H123),"" )</f>
        <v>14.5</v>
      </c>
      <c r="L123" s="10">
        <f t="shared" si="19"/>
        <v>2.8745544440611703</v>
      </c>
      <c r="M123" s="12">
        <f t="shared" si="20"/>
        <v>8.3333333333333339</v>
      </c>
      <c r="N123" s="13">
        <f t="shared" si="21"/>
        <v>0.57471264367816088</v>
      </c>
    </row>
    <row r="124" spans="1:14">
      <c r="A124" s="6">
        <v>123</v>
      </c>
      <c r="B124" s="14">
        <v>41805</v>
      </c>
      <c r="C124" s="15">
        <v>39636</v>
      </c>
      <c r="D124" s="16">
        <v>2.9289999999999998</v>
      </c>
      <c r="E124" s="16">
        <v>130</v>
      </c>
      <c r="F124" s="16" t="s">
        <v>918</v>
      </c>
      <c r="G124" s="10">
        <f t="shared" si="9"/>
        <v>44.383748719699561</v>
      </c>
      <c r="H124" s="11">
        <f t="shared" si="16"/>
        <v>428</v>
      </c>
      <c r="I124" s="10">
        <f t="shared" si="17"/>
        <v>2</v>
      </c>
      <c r="J124" s="10">
        <f t="shared" si="18"/>
        <v>20.679533333333332</v>
      </c>
      <c r="K124" s="10">
        <f t="shared" si="22"/>
        <v>214</v>
      </c>
      <c r="L124" s="10">
        <f t="shared" si="19"/>
        <v>10.348395998620214</v>
      </c>
      <c r="M124" s="12">
        <f t="shared" si="20"/>
        <v>30</v>
      </c>
      <c r="N124" s="13">
        <f t="shared" si="21"/>
        <v>0.14018691588785046</v>
      </c>
    </row>
    <row r="125" spans="1:14">
      <c r="A125" s="6">
        <v>124</v>
      </c>
      <c r="B125" s="14">
        <v>41814</v>
      </c>
      <c r="C125" s="15">
        <v>40121</v>
      </c>
      <c r="D125" s="16">
        <v>2.899</v>
      </c>
      <c r="E125" s="16">
        <v>60</v>
      </c>
      <c r="F125" s="16" t="s">
        <v>918</v>
      </c>
      <c r="G125" s="10">
        <f t="shared" si="9"/>
        <v>20.696791997240428</v>
      </c>
      <c r="H125" s="11">
        <f t="shared" si="16"/>
        <v>485</v>
      </c>
      <c r="I125" s="10">
        <f t="shared" si="17"/>
        <v>9</v>
      </c>
      <c r="J125" s="10">
        <f t="shared" si="18"/>
        <v>10.927423076923075</v>
      </c>
      <c r="K125" s="10">
        <f t="shared" si="22"/>
        <v>53.888888888888886</v>
      </c>
      <c r="L125" s="10">
        <f t="shared" si="19"/>
        <v>4.9315276355221735</v>
      </c>
      <c r="M125" s="12">
        <f t="shared" si="20"/>
        <v>14.444444444444445</v>
      </c>
      <c r="N125" s="13">
        <f t="shared" si="21"/>
        <v>0.26804123711340205</v>
      </c>
    </row>
    <row r="126" spans="1:14">
      <c r="A126" s="6">
        <v>125</v>
      </c>
      <c r="B126" s="14">
        <v>41834</v>
      </c>
      <c r="C126" s="15">
        <v>40323</v>
      </c>
      <c r="D126" s="16">
        <v>2.7989999999999999</v>
      </c>
      <c r="E126" s="16">
        <v>30.03</v>
      </c>
      <c r="F126" s="16" t="s">
        <v>918</v>
      </c>
      <c r="G126" s="10">
        <f t="shared" si="9"/>
        <v>10.728831725616292</v>
      </c>
      <c r="H126" s="11">
        <f t="shared" si="16"/>
        <v>202</v>
      </c>
      <c r="I126" s="10">
        <f t="shared" si="17"/>
        <v>20</v>
      </c>
      <c r="J126" s="10">
        <f t="shared" si="18"/>
        <v>9.7599666666666671</v>
      </c>
      <c r="K126" s="10">
        <f t="shared" si="22"/>
        <v>10.1</v>
      </c>
      <c r="L126" s="10">
        <f t="shared" si="19"/>
        <v>1.0348395998620215</v>
      </c>
      <c r="M126" s="12">
        <f t="shared" si="20"/>
        <v>3</v>
      </c>
      <c r="N126" s="13">
        <f t="shared" si="21"/>
        <v>0.29702970297029702</v>
      </c>
    </row>
    <row r="127" spans="1:14">
      <c r="A127" s="6">
        <v>126</v>
      </c>
      <c r="B127" s="14">
        <v>41842</v>
      </c>
      <c r="C127" s="15">
        <v>40374</v>
      </c>
      <c r="D127" s="16">
        <v>2.7989999999999999</v>
      </c>
      <c r="E127" s="16">
        <v>50.03</v>
      </c>
      <c r="F127" s="16" t="s">
        <v>918</v>
      </c>
      <c r="G127" s="10">
        <f t="shared" si="9"/>
        <v>17.874240800285818</v>
      </c>
      <c r="H127" s="11">
        <f t="shared" si="16"/>
        <v>51</v>
      </c>
      <c r="I127" s="10">
        <f t="shared" si="17"/>
        <v>8</v>
      </c>
      <c r="J127" s="10">
        <f t="shared" si="18"/>
        <v>4.7535464535464538</v>
      </c>
      <c r="K127" s="10">
        <f t="shared" si="22"/>
        <v>6.375</v>
      </c>
      <c r="L127" s="10">
        <f t="shared" si="19"/>
        <v>1.3411039657020365</v>
      </c>
      <c r="M127" s="12">
        <f t="shared" si="20"/>
        <v>3.7537500000000001</v>
      </c>
      <c r="N127" s="13">
        <f t="shared" si="21"/>
        <v>0.58882352941176475</v>
      </c>
    </row>
    <row r="128" spans="1:14">
      <c r="A128" s="6">
        <v>127</v>
      </c>
      <c r="B128" s="14">
        <v>41861</v>
      </c>
      <c r="C128" s="15">
        <v>40511</v>
      </c>
      <c r="D128" s="16">
        <v>2.6989999999999998</v>
      </c>
      <c r="E128" s="16">
        <v>50.02</v>
      </c>
      <c r="F128" s="16" t="s">
        <v>918</v>
      </c>
      <c r="G128" s="10">
        <f t="shared" si="9"/>
        <v>18.532789922193409</v>
      </c>
      <c r="H128" s="11">
        <f t="shared" si="16"/>
        <v>137</v>
      </c>
      <c r="I128" s="10">
        <f t="shared" si="17"/>
        <v>19</v>
      </c>
      <c r="J128" s="10">
        <f t="shared" si="18"/>
        <v>7.6646612032780324</v>
      </c>
      <c r="K128" s="10">
        <f t="shared" si="22"/>
        <v>7.2105263157894735</v>
      </c>
      <c r="L128" s="10">
        <f t="shared" si="19"/>
        <v>0.94074951580451671</v>
      </c>
      <c r="M128" s="12">
        <f t="shared" si="20"/>
        <v>2.6331578947368421</v>
      </c>
      <c r="N128" s="13">
        <f t="shared" si="21"/>
        <v>0.36518248175182483</v>
      </c>
    </row>
    <row r="129" spans="1:14">
      <c r="A129" s="6">
        <v>128</v>
      </c>
      <c r="B129" s="14">
        <v>41868</v>
      </c>
      <c r="C129" s="15">
        <v>40639</v>
      </c>
      <c r="D129" s="16">
        <v>2.9990000000000001</v>
      </c>
      <c r="E129" s="16">
        <v>60</v>
      </c>
      <c r="F129" s="16" t="s">
        <v>918</v>
      </c>
      <c r="G129" s="10">
        <f t="shared" si="9"/>
        <v>20.006668889629875</v>
      </c>
      <c r="H129" s="11">
        <f t="shared" si="16"/>
        <v>128</v>
      </c>
      <c r="I129" s="10">
        <f t="shared" si="17"/>
        <v>7</v>
      </c>
      <c r="J129" s="10">
        <f t="shared" si="18"/>
        <v>6.906677329068371</v>
      </c>
      <c r="K129" s="10">
        <f t="shared" si="22"/>
        <v>18.285714285714285</v>
      </c>
      <c r="L129" s="10">
        <f t="shared" si="19"/>
        <v>2.6475414174562011</v>
      </c>
      <c r="M129" s="12">
        <f t="shared" si="20"/>
        <v>7.1457142857142859</v>
      </c>
      <c r="N129" s="13">
        <f t="shared" si="21"/>
        <v>0.39078125000000002</v>
      </c>
    </row>
    <row r="130" spans="1:14">
      <c r="A130" s="6">
        <v>129</v>
      </c>
      <c r="B130" s="14">
        <v>41884</v>
      </c>
      <c r="C130" s="15">
        <v>40831</v>
      </c>
      <c r="D130" s="16">
        <v>2.6989999999999998</v>
      </c>
      <c r="E130" s="16">
        <v>60</v>
      </c>
      <c r="F130" s="16" t="s">
        <v>918</v>
      </c>
      <c r="G130" s="10">
        <f t="shared" si="9"/>
        <v>22.230455724342349</v>
      </c>
      <c r="H130" s="11">
        <f t="shared" si="16"/>
        <v>192</v>
      </c>
      <c r="I130" s="10">
        <f t="shared" si="17"/>
        <v>16</v>
      </c>
      <c r="J130" s="10">
        <f t="shared" si="18"/>
        <v>9.5968</v>
      </c>
      <c r="K130" s="10">
        <f t="shared" si="22"/>
        <v>12</v>
      </c>
      <c r="L130" s="10">
        <f t="shared" si="19"/>
        <v>1.2504168056018672</v>
      </c>
      <c r="M130" s="12">
        <f t="shared" si="20"/>
        <v>3.75</v>
      </c>
      <c r="N130" s="13">
        <f t="shared" si="21"/>
        <v>0.3125</v>
      </c>
    </row>
    <row r="131" spans="1:14">
      <c r="A131" s="6">
        <v>130</v>
      </c>
      <c r="B131" s="14">
        <v>41916</v>
      </c>
      <c r="C131" s="15">
        <v>41005</v>
      </c>
      <c r="D131" s="16">
        <v>2.9990000000000001</v>
      </c>
      <c r="E131" s="16">
        <v>60</v>
      </c>
      <c r="F131" s="16" t="s">
        <v>918</v>
      </c>
      <c r="G131" s="10">
        <f t="shared" ref="G131:G156" si="23">IF(E131&lt;&gt;"",E131/D131,"")</f>
        <v>20.006668889629875</v>
      </c>
      <c r="H131" s="11">
        <f t="shared" si="16"/>
        <v>174</v>
      </c>
      <c r="I131" s="10">
        <f t="shared" si="17"/>
        <v>32</v>
      </c>
      <c r="J131" s="10">
        <f t="shared" si="18"/>
        <v>7.8270999999999997</v>
      </c>
      <c r="K131" s="10">
        <f t="shared" si="22"/>
        <v>5.4375</v>
      </c>
      <c r="L131" s="10">
        <f t="shared" si="19"/>
        <v>0.6947017413856984</v>
      </c>
      <c r="M131" s="12">
        <f t="shared" si="20"/>
        <v>1.875</v>
      </c>
      <c r="N131" s="13">
        <f t="shared" si="21"/>
        <v>0.34482758620689657</v>
      </c>
    </row>
    <row r="132" spans="1:14">
      <c r="A132" s="6">
        <v>131</v>
      </c>
      <c r="B132" s="14">
        <v>41952</v>
      </c>
      <c r="C132" s="15">
        <v>41155</v>
      </c>
      <c r="D132" s="16">
        <v>2.9990000000000001</v>
      </c>
      <c r="E132" s="16">
        <v>125.9</v>
      </c>
      <c r="F132" s="16" t="s">
        <v>918</v>
      </c>
      <c r="G132" s="10">
        <f t="shared" si="23"/>
        <v>41.980660220073361</v>
      </c>
      <c r="H132" s="11">
        <f t="shared" si="16"/>
        <v>150</v>
      </c>
      <c r="I132" s="10">
        <f t="shared" si="17"/>
        <v>36</v>
      </c>
      <c r="J132" s="10">
        <f t="shared" si="18"/>
        <v>7.4975000000000005</v>
      </c>
      <c r="K132" s="10">
        <f t="shared" si="22"/>
        <v>4.166666666666667</v>
      </c>
      <c r="L132" s="10">
        <f t="shared" si="19"/>
        <v>0.5557408024897188</v>
      </c>
      <c r="M132" s="12">
        <f t="shared" si="20"/>
        <v>1.6666666666666667</v>
      </c>
      <c r="N132" s="13">
        <f t="shared" si="21"/>
        <v>0.4</v>
      </c>
    </row>
    <row r="133" spans="1:14">
      <c r="A133" s="6">
        <v>132</v>
      </c>
      <c r="B133" s="14">
        <v>41979</v>
      </c>
      <c r="C133" s="15">
        <v>41534</v>
      </c>
      <c r="D133" s="16">
        <v>3.0990000000000002</v>
      </c>
      <c r="E133" s="16">
        <v>131.03</v>
      </c>
      <c r="F133" s="16" t="s">
        <v>918</v>
      </c>
      <c r="G133" s="10">
        <f t="shared" si="23"/>
        <v>42.281381090674408</v>
      </c>
      <c r="H133" s="11">
        <f t="shared" si="16"/>
        <v>379</v>
      </c>
      <c r="I133" s="10">
        <f t="shared" si="17"/>
        <v>27</v>
      </c>
      <c r="J133" s="10">
        <f t="shared" si="18"/>
        <v>9.0279666401906269</v>
      </c>
      <c r="K133" s="10">
        <f t="shared" si="22"/>
        <v>14.037037037037036</v>
      </c>
      <c r="L133" s="10">
        <f t="shared" si="19"/>
        <v>1.5548392674101246</v>
      </c>
      <c r="M133" s="12">
        <f t="shared" si="20"/>
        <v>4.662962962962963</v>
      </c>
      <c r="N133" s="13">
        <f t="shared" si="21"/>
        <v>0.33218997361477576</v>
      </c>
    </row>
    <row r="134" spans="1:14">
      <c r="A134" s="6">
        <v>133</v>
      </c>
      <c r="B134" s="14">
        <v>41994</v>
      </c>
      <c r="C134" s="15">
        <v>41804</v>
      </c>
      <c r="D134" s="16">
        <v>3.089</v>
      </c>
      <c r="E134" s="16">
        <v>80.010000000000005</v>
      </c>
      <c r="F134" s="16" t="s">
        <v>918</v>
      </c>
      <c r="G134" s="10">
        <f t="shared" si="23"/>
        <v>25.901586273875044</v>
      </c>
      <c r="H134" s="11">
        <f t="shared" si="16"/>
        <v>270</v>
      </c>
      <c r="I134" s="10">
        <f t="shared" si="17"/>
        <v>15</v>
      </c>
      <c r="J134" s="10">
        <f t="shared" si="18"/>
        <v>6.3857895138517904</v>
      </c>
      <c r="K134" s="10">
        <f t="shared" si="22"/>
        <v>18</v>
      </c>
      <c r="L134" s="10">
        <f t="shared" si="19"/>
        <v>2.818758739378294</v>
      </c>
      <c r="M134" s="12">
        <f t="shared" si="20"/>
        <v>8.7353333333333332</v>
      </c>
      <c r="N134" s="13">
        <f t="shared" si="21"/>
        <v>0.48529629629629628</v>
      </c>
    </row>
    <row r="135" spans="1:14">
      <c r="A135" s="6">
        <v>134</v>
      </c>
      <c r="B135" s="14">
        <v>42030</v>
      </c>
      <c r="C135" s="15">
        <v>42273</v>
      </c>
      <c r="D135" s="16">
        <v>1.899</v>
      </c>
      <c r="E135" s="16">
        <v>20</v>
      </c>
      <c r="F135" s="16" t="s">
        <v>919</v>
      </c>
      <c r="G135" s="10">
        <f t="shared" si="23"/>
        <v>10.5318588730911</v>
      </c>
      <c r="H135" s="11">
        <f t="shared" si="16"/>
        <v>469</v>
      </c>
      <c r="I135" s="10">
        <f t="shared" si="17"/>
        <v>36</v>
      </c>
      <c r="J135" s="10">
        <f t="shared" si="18"/>
        <v>18.106999125109358</v>
      </c>
      <c r="K135" s="10">
        <f t="shared" si="22"/>
        <v>13.027777777777779</v>
      </c>
      <c r="L135" s="10">
        <f t="shared" si="19"/>
        <v>0.71948850760764005</v>
      </c>
      <c r="M135" s="12">
        <f t="shared" si="20"/>
        <v>2.2225000000000001</v>
      </c>
      <c r="N135" s="13">
        <f t="shared" si="21"/>
        <v>0.17059701492537316</v>
      </c>
    </row>
    <row r="136" spans="1:14">
      <c r="A136" s="6">
        <v>135</v>
      </c>
      <c r="B136" s="14">
        <v>42043</v>
      </c>
      <c r="C136" s="15">
        <v>42338</v>
      </c>
      <c r="D136" s="16">
        <v>3.0990000000000002</v>
      </c>
      <c r="E136" s="16">
        <v>50</v>
      </c>
      <c r="F136" s="16" t="s">
        <v>918</v>
      </c>
      <c r="G136" s="10">
        <f t="shared" si="23"/>
        <v>16.134236850596967</v>
      </c>
      <c r="H136" s="11">
        <f t="shared" si="16"/>
        <v>65</v>
      </c>
      <c r="I136" s="10">
        <f t="shared" si="17"/>
        <v>13</v>
      </c>
      <c r="J136" s="10">
        <f t="shared" si="18"/>
        <v>6.1717500000000003</v>
      </c>
      <c r="K136" s="10">
        <f t="shared" si="22"/>
        <v>5</v>
      </c>
      <c r="L136" s="10">
        <f t="shared" si="19"/>
        <v>0.81014299023777692</v>
      </c>
      <c r="M136" s="12">
        <f t="shared" si="20"/>
        <v>1.5384615384615385</v>
      </c>
      <c r="N136" s="13">
        <f t="shared" si="21"/>
        <v>0.30769230769230771</v>
      </c>
    </row>
    <row r="137" spans="1:14">
      <c r="A137" s="6">
        <v>136</v>
      </c>
      <c r="B137" s="14">
        <v>42053</v>
      </c>
      <c r="C137" s="15">
        <v>42442</v>
      </c>
      <c r="D137" s="16">
        <v>3.2490000000000001</v>
      </c>
      <c r="E137" s="16">
        <v>50</v>
      </c>
      <c r="F137" s="16" t="s">
        <v>918</v>
      </c>
      <c r="G137" s="10">
        <f t="shared" si="23"/>
        <v>15.38935056940597</v>
      </c>
      <c r="H137" s="11">
        <f t="shared" si="16"/>
        <v>104</v>
      </c>
      <c r="I137" s="10">
        <f t="shared" si="17"/>
        <v>10</v>
      </c>
      <c r="J137" s="10">
        <f t="shared" si="18"/>
        <v>6.4459200000000001</v>
      </c>
      <c r="K137" s="10">
        <f t="shared" si="22"/>
        <v>10.4</v>
      </c>
      <c r="L137" s="10">
        <f t="shared" si="19"/>
        <v>1.6134236850596966</v>
      </c>
      <c r="M137" s="12">
        <f t="shared" si="20"/>
        <v>5</v>
      </c>
      <c r="N137" s="13">
        <f t="shared" si="21"/>
        <v>0.48076923076923078</v>
      </c>
    </row>
    <row r="138" spans="1:14">
      <c r="A138" s="6">
        <v>137</v>
      </c>
      <c r="B138" s="14">
        <v>42064</v>
      </c>
      <c r="C138" s="15">
        <v>42576</v>
      </c>
      <c r="D138" s="16">
        <v>3.1749999999999998</v>
      </c>
      <c r="E138" s="16">
        <v>60</v>
      </c>
      <c r="F138" s="16" t="s">
        <v>918</v>
      </c>
      <c r="G138" s="10">
        <f t="shared" si="23"/>
        <v>18.897637795275593</v>
      </c>
      <c r="H138" s="11">
        <f t="shared" si="16"/>
        <v>134</v>
      </c>
      <c r="I138" s="10">
        <f t="shared" si="17"/>
        <v>11</v>
      </c>
      <c r="J138" s="10">
        <f t="shared" si="18"/>
        <v>8.7073200000000011</v>
      </c>
      <c r="K138" s="10">
        <f t="shared" si="22"/>
        <v>12.181818181818182</v>
      </c>
      <c r="L138" s="10">
        <f t="shared" si="19"/>
        <v>1.3990318699459972</v>
      </c>
      <c r="M138" s="12">
        <f t="shared" si="20"/>
        <v>4.5454545454545459</v>
      </c>
      <c r="N138" s="13">
        <f t="shared" si="21"/>
        <v>0.37313432835820898</v>
      </c>
    </row>
    <row r="139" spans="1:14">
      <c r="A139" s="6">
        <v>138</v>
      </c>
      <c r="B139" s="14">
        <v>42073</v>
      </c>
      <c r="C139" s="15">
        <v>42751</v>
      </c>
      <c r="D139" s="16">
        <v>2.9990000000000001</v>
      </c>
      <c r="E139" s="16">
        <v>50</v>
      </c>
      <c r="F139" s="16" t="s">
        <v>918</v>
      </c>
      <c r="G139" s="10">
        <f t="shared" si="23"/>
        <v>16.672224074691563</v>
      </c>
      <c r="H139" s="11">
        <f t="shared" si="16"/>
        <v>175</v>
      </c>
      <c r="I139" s="10">
        <f t="shared" si="17"/>
        <v>9</v>
      </c>
      <c r="J139" s="10">
        <f t="shared" si="18"/>
        <v>9.2604166666666661</v>
      </c>
      <c r="K139" s="10">
        <f t="shared" si="22"/>
        <v>19.444444444444443</v>
      </c>
      <c r="L139" s="10">
        <f t="shared" si="19"/>
        <v>2.0997375328083994</v>
      </c>
      <c r="M139" s="12">
        <f t="shared" si="20"/>
        <v>6.666666666666667</v>
      </c>
      <c r="N139" s="13">
        <f t="shared" si="21"/>
        <v>0.34285714285714286</v>
      </c>
    </row>
    <row r="140" spans="1:14">
      <c r="A140" s="6">
        <v>139</v>
      </c>
      <c r="B140" s="14">
        <v>42082</v>
      </c>
      <c r="C140" s="15">
        <v>42856</v>
      </c>
      <c r="D140" s="16">
        <v>2.9990000000000001</v>
      </c>
      <c r="E140" s="16">
        <v>60.05</v>
      </c>
      <c r="F140" s="16" t="s">
        <v>918</v>
      </c>
      <c r="G140" s="10">
        <f t="shared" si="23"/>
        <v>20.023341113704568</v>
      </c>
      <c r="H140" s="11">
        <f t="shared" si="16"/>
        <v>105</v>
      </c>
      <c r="I140" s="10">
        <f t="shared" si="17"/>
        <v>9</v>
      </c>
      <c r="J140" s="10">
        <f t="shared" si="18"/>
        <v>6.2979000000000003</v>
      </c>
      <c r="K140" s="10">
        <f t="shared" si="22"/>
        <v>11.666666666666666</v>
      </c>
      <c r="L140" s="10">
        <f t="shared" si="19"/>
        <v>1.8524693416323958</v>
      </c>
      <c r="M140" s="12">
        <f t="shared" si="20"/>
        <v>5.5555555555555554</v>
      </c>
      <c r="N140" s="13">
        <f t="shared" si="21"/>
        <v>0.47619047619047616</v>
      </c>
    </row>
    <row r="141" spans="1:14">
      <c r="A141" s="6">
        <v>140</v>
      </c>
      <c r="B141" s="14">
        <v>42089</v>
      </c>
      <c r="C141" s="15">
        <v>43019</v>
      </c>
      <c r="D141" s="16">
        <v>3.1989999999999998</v>
      </c>
      <c r="E141" s="16">
        <v>70</v>
      </c>
      <c r="F141" s="16" t="s">
        <v>918</v>
      </c>
      <c r="G141" s="10">
        <f t="shared" si="23"/>
        <v>21.881838074398249</v>
      </c>
      <c r="H141" s="11">
        <f t="shared" si="16"/>
        <v>163</v>
      </c>
      <c r="I141" s="10">
        <f t="shared" si="17"/>
        <v>7</v>
      </c>
      <c r="J141" s="10">
        <f t="shared" si="18"/>
        <v>8.1404995836802669</v>
      </c>
      <c r="K141" s="10">
        <f t="shared" si="22"/>
        <v>23.285714285714285</v>
      </c>
      <c r="L141" s="10">
        <f t="shared" si="19"/>
        <v>2.8604773019577956</v>
      </c>
      <c r="M141" s="12">
        <f t="shared" si="20"/>
        <v>8.5785714285714274</v>
      </c>
      <c r="N141" s="13">
        <f t="shared" si="21"/>
        <v>0.36840490797546011</v>
      </c>
    </row>
    <row r="142" spans="1:14">
      <c r="A142" s="6">
        <v>141</v>
      </c>
      <c r="B142" s="14">
        <v>42105</v>
      </c>
      <c r="C142" s="15">
        <v>43203</v>
      </c>
      <c r="D142" s="16">
        <v>3.2989999999999999</v>
      </c>
      <c r="E142" s="16">
        <v>140.31</v>
      </c>
      <c r="F142" s="16" t="s">
        <v>918</v>
      </c>
      <c r="G142" s="10">
        <f t="shared" si="23"/>
        <v>42.531070021218554</v>
      </c>
      <c r="H142" s="11">
        <f t="shared" si="16"/>
        <v>184</v>
      </c>
      <c r="I142" s="10">
        <f t="shared" si="17"/>
        <v>16</v>
      </c>
      <c r="J142" s="10">
        <f t="shared" si="18"/>
        <v>8.4087999999999994</v>
      </c>
      <c r="K142" s="10">
        <f t="shared" si="22"/>
        <v>11.5</v>
      </c>
      <c r="L142" s="10">
        <f t="shared" si="19"/>
        <v>1.3676148796498906</v>
      </c>
      <c r="M142" s="12">
        <f t="shared" si="20"/>
        <v>4.375</v>
      </c>
      <c r="N142" s="13">
        <f t="shared" si="21"/>
        <v>0.38043478260869568</v>
      </c>
    </row>
    <row r="143" spans="1:14">
      <c r="A143" s="6">
        <v>142</v>
      </c>
      <c r="B143" s="14">
        <v>42129</v>
      </c>
      <c r="C143" s="15">
        <v>43558</v>
      </c>
      <c r="D143" s="16">
        <v>3.0990000000000002</v>
      </c>
      <c r="E143" s="16">
        <v>50</v>
      </c>
      <c r="F143" s="16" t="s">
        <v>918</v>
      </c>
      <c r="G143" s="10">
        <f t="shared" si="23"/>
        <v>16.134236850596967</v>
      </c>
      <c r="H143" s="11">
        <f t="shared" si="16"/>
        <v>355</v>
      </c>
      <c r="I143" s="10">
        <f t="shared" si="17"/>
        <v>24</v>
      </c>
      <c r="J143" s="10">
        <f t="shared" si="18"/>
        <v>8.3468391419000785</v>
      </c>
      <c r="K143" s="10">
        <f t="shared" si="22"/>
        <v>14.791666666666666</v>
      </c>
      <c r="L143" s="10">
        <f t="shared" si="19"/>
        <v>1.7721279175507731</v>
      </c>
      <c r="M143" s="12">
        <f t="shared" si="20"/>
        <v>5.8462500000000004</v>
      </c>
      <c r="N143" s="13">
        <f t="shared" si="21"/>
        <v>0.39523943661971833</v>
      </c>
    </row>
    <row r="144" spans="1:14">
      <c r="A144" s="6">
        <v>143</v>
      </c>
      <c r="B144" s="14">
        <v>42149</v>
      </c>
      <c r="C144" s="15">
        <v>43658</v>
      </c>
      <c r="D144" s="16">
        <v>3.0990000000000002</v>
      </c>
      <c r="E144" s="16">
        <v>60</v>
      </c>
      <c r="F144" s="16" t="s">
        <v>918</v>
      </c>
      <c r="G144" s="10">
        <f t="shared" si="23"/>
        <v>19.361084220716357</v>
      </c>
      <c r="H144" s="11">
        <f t="shared" si="16"/>
        <v>100</v>
      </c>
      <c r="I144" s="10">
        <f t="shared" si="17"/>
        <v>20</v>
      </c>
      <c r="J144" s="10">
        <f t="shared" si="18"/>
        <v>6.1980000000000004</v>
      </c>
      <c r="K144" s="10">
        <f t="shared" si="22"/>
        <v>5</v>
      </c>
      <c r="L144" s="10">
        <f t="shared" si="19"/>
        <v>0.80671184252984829</v>
      </c>
      <c r="M144" s="12">
        <f t="shared" si="20"/>
        <v>2.5</v>
      </c>
      <c r="N144" s="13">
        <f t="shared" si="21"/>
        <v>0.5</v>
      </c>
    </row>
    <row r="145" spans="1:14">
      <c r="A145" s="6">
        <v>144</v>
      </c>
      <c r="B145" s="14">
        <v>42155</v>
      </c>
      <c r="C145" s="15">
        <v>43777</v>
      </c>
      <c r="D145" s="16">
        <v>3.2989999999999999</v>
      </c>
      <c r="E145" s="16">
        <v>80</v>
      </c>
      <c r="F145" s="16" t="s">
        <v>918</v>
      </c>
      <c r="G145" s="10">
        <f t="shared" si="23"/>
        <v>24.249772658381328</v>
      </c>
      <c r="H145" s="11">
        <f t="shared" si="16"/>
        <v>119</v>
      </c>
      <c r="I145" s="10">
        <f t="shared" si="17"/>
        <v>6</v>
      </c>
      <c r="J145" s="10">
        <f t="shared" si="18"/>
        <v>6.1463500000000009</v>
      </c>
      <c r="K145" s="10">
        <f t="shared" si="22"/>
        <v>19.833333333333332</v>
      </c>
      <c r="L145" s="10">
        <f t="shared" si="19"/>
        <v>3.2268473701193927</v>
      </c>
      <c r="M145" s="12">
        <f t="shared" si="20"/>
        <v>10</v>
      </c>
      <c r="N145" s="13">
        <f t="shared" si="21"/>
        <v>0.50420168067226889</v>
      </c>
    </row>
    <row r="146" spans="1:14">
      <c r="A146" s="6">
        <v>145</v>
      </c>
      <c r="B146" s="14">
        <v>42174</v>
      </c>
      <c r="C146" s="15">
        <v>43924</v>
      </c>
      <c r="D146" s="16">
        <v>3.1989999999999998</v>
      </c>
      <c r="E146" s="16">
        <v>129.02000000000001</v>
      </c>
      <c r="F146" s="16" t="s">
        <v>918</v>
      </c>
      <c r="G146" s="10">
        <f t="shared" si="23"/>
        <v>40.331353547983753</v>
      </c>
      <c r="H146" s="11">
        <f t="shared" si="16"/>
        <v>147</v>
      </c>
      <c r="I146" s="10">
        <f t="shared" si="17"/>
        <v>19</v>
      </c>
      <c r="J146" s="10">
        <f t="shared" si="18"/>
        <v>6.0619125</v>
      </c>
      <c r="K146" s="10">
        <f t="shared" si="22"/>
        <v>7.7368421052631575</v>
      </c>
      <c r="L146" s="10">
        <f t="shared" si="19"/>
        <v>1.2763038241253331</v>
      </c>
      <c r="M146" s="12">
        <f t="shared" si="20"/>
        <v>4.2105263157894735</v>
      </c>
      <c r="N146" s="13">
        <f t="shared" si="21"/>
        <v>0.54421768707482998</v>
      </c>
    </row>
    <row r="147" spans="1:14">
      <c r="A147" s="6">
        <v>146</v>
      </c>
      <c r="B147" s="14">
        <v>42200</v>
      </c>
      <c r="C147" s="15">
        <v>44274</v>
      </c>
      <c r="D147" s="16">
        <v>3.2989999999999999</v>
      </c>
      <c r="E147" s="16">
        <v>60</v>
      </c>
      <c r="F147" s="16" t="s">
        <v>918</v>
      </c>
      <c r="G147" s="10">
        <f t="shared" si="23"/>
        <v>18.187329493785995</v>
      </c>
      <c r="H147" s="11">
        <f t="shared" si="16"/>
        <v>350</v>
      </c>
      <c r="I147" s="10">
        <f t="shared" si="17"/>
        <v>26</v>
      </c>
      <c r="J147" s="10">
        <f t="shared" si="18"/>
        <v>8.6781119206324586</v>
      </c>
      <c r="K147" s="10">
        <f t="shared" si="22"/>
        <v>13.461538461538462</v>
      </c>
      <c r="L147" s="10">
        <f t="shared" si="19"/>
        <v>1.5512059056916827</v>
      </c>
      <c r="M147" s="12">
        <f t="shared" si="20"/>
        <v>4.962307692307693</v>
      </c>
      <c r="N147" s="13">
        <f t="shared" si="21"/>
        <v>0.36862857142857147</v>
      </c>
    </row>
    <row r="148" spans="1:14">
      <c r="A148" s="6">
        <v>147</v>
      </c>
      <c r="B148" s="14">
        <v>42213</v>
      </c>
      <c r="C148" s="15">
        <v>44405</v>
      </c>
      <c r="D148" s="16">
        <v>3.2989999999999999</v>
      </c>
      <c r="E148" s="16">
        <v>60</v>
      </c>
      <c r="F148" s="16" t="s">
        <v>918</v>
      </c>
      <c r="G148" s="10">
        <f t="shared" si="23"/>
        <v>18.187329493785995</v>
      </c>
      <c r="H148" s="11">
        <f t="shared" si="16"/>
        <v>131</v>
      </c>
      <c r="I148" s="10">
        <f t="shared" si="17"/>
        <v>13</v>
      </c>
      <c r="J148" s="10">
        <f t="shared" si="18"/>
        <v>7.2028166666666671</v>
      </c>
      <c r="K148" s="10">
        <f t="shared" si="22"/>
        <v>10.076923076923077</v>
      </c>
      <c r="L148" s="10">
        <f t="shared" si="19"/>
        <v>1.3990253456758457</v>
      </c>
      <c r="M148" s="12">
        <f t="shared" si="20"/>
        <v>4.615384615384615</v>
      </c>
      <c r="N148" s="13">
        <f t="shared" si="21"/>
        <v>0.4580152671755725</v>
      </c>
    </row>
    <row r="149" spans="1:14">
      <c r="A149" s="6">
        <v>148</v>
      </c>
      <c r="B149" s="14">
        <v>42227</v>
      </c>
      <c r="C149" s="15">
        <v>44545</v>
      </c>
      <c r="D149" s="16">
        <v>3.2989999999999999</v>
      </c>
      <c r="E149" s="16">
        <v>60</v>
      </c>
      <c r="F149" s="16" t="s">
        <v>918</v>
      </c>
      <c r="G149" s="10">
        <f t="shared" si="23"/>
        <v>18.187329493785995</v>
      </c>
      <c r="H149" s="11">
        <f t="shared" si="16"/>
        <v>140</v>
      </c>
      <c r="I149" s="10">
        <f t="shared" si="17"/>
        <v>14</v>
      </c>
      <c r="J149" s="10">
        <f t="shared" si="18"/>
        <v>7.6976666666666667</v>
      </c>
      <c r="K149" s="10">
        <f t="shared" si="22"/>
        <v>10</v>
      </c>
      <c r="L149" s="10">
        <f t="shared" si="19"/>
        <v>1.2990949638418567</v>
      </c>
      <c r="M149" s="12">
        <f t="shared" si="20"/>
        <v>4.2857142857142856</v>
      </c>
      <c r="N149" s="13">
        <f t="shared" si="21"/>
        <v>0.42857142857142855</v>
      </c>
    </row>
    <row r="150" spans="1:14">
      <c r="A150" s="6">
        <v>149</v>
      </c>
      <c r="B150" s="14">
        <v>42240</v>
      </c>
      <c r="C150" s="15">
        <v>44656</v>
      </c>
      <c r="D150" s="16">
        <v>3.2989999999999999</v>
      </c>
      <c r="E150" s="16">
        <v>80</v>
      </c>
      <c r="F150" s="16" t="s">
        <v>918</v>
      </c>
      <c r="G150" s="10">
        <f t="shared" si="23"/>
        <v>24.249772658381328</v>
      </c>
      <c r="H150" s="11">
        <f t="shared" si="16"/>
        <v>111</v>
      </c>
      <c r="I150" s="10">
        <f t="shared" si="17"/>
        <v>13</v>
      </c>
      <c r="J150" s="10">
        <f t="shared" si="18"/>
        <v>6.1031500000000003</v>
      </c>
      <c r="K150" s="10">
        <f t="shared" si="22"/>
        <v>8.5384615384615383</v>
      </c>
      <c r="L150" s="10">
        <f t="shared" si="19"/>
        <v>1.3990253456758457</v>
      </c>
      <c r="M150" s="12">
        <f t="shared" si="20"/>
        <v>4.615384615384615</v>
      </c>
      <c r="N150" s="13">
        <f t="shared" si="21"/>
        <v>0.54054054054054057</v>
      </c>
    </row>
    <row r="151" spans="1:14">
      <c r="A151" s="6">
        <v>150</v>
      </c>
      <c r="B151" s="14">
        <v>42256</v>
      </c>
      <c r="C151" s="15">
        <v>44881</v>
      </c>
      <c r="D151" s="16">
        <v>3.2989999999999999</v>
      </c>
      <c r="E151" s="16">
        <v>70</v>
      </c>
      <c r="F151" s="16" t="s">
        <v>918</v>
      </c>
      <c r="G151" s="10">
        <f t="shared" si="23"/>
        <v>21.218551076083664</v>
      </c>
      <c r="H151" s="11">
        <f t="shared" si="16"/>
        <v>225</v>
      </c>
      <c r="I151" s="10">
        <f t="shared" si="17"/>
        <v>16</v>
      </c>
      <c r="J151" s="10">
        <f t="shared" si="18"/>
        <v>9.278437499999999</v>
      </c>
      <c r="K151" s="10">
        <f t="shared" si="22"/>
        <v>14.0625</v>
      </c>
      <c r="L151" s="10">
        <f t="shared" si="19"/>
        <v>1.515610791148833</v>
      </c>
      <c r="M151" s="12">
        <f t="shared" si="20"/>
        <v>5</v>
      </c>
      <c r="N151" s="13">
        <f t="shared" si="21"/>
        <v>0.35555555555555557</v>
      </c>
    </row>
    <row r="152" spans="1:14">
      <c r="A152" s="6">
        <v>151</v>
      </c>
      <c r="B152" s="14">
        <v>42276</v>
      </c>
      <c r="C152" s="15">
        <v>45013</v>
      </c>
      <c r="D152" s="16">
        <v>3.1989999999999998</v>
      </c>
      <c r="E152" s="16">
        <v>70</v>
      </c>
      <c r="F152" s="16" t="s">
        <v>918</v>
      </c>
      <c r="G152" s="10">
        <f t="shared" si="23"/>
        <v>21.881838074398249</v>
      </c>
      <c r="H152" s="11">
        <f t="shared" si="16"/>
        <v>132</v>
      </c>
      <c r="I152" s="10">
        <f t="shared" si="17"/>
        <v>20</v>
      </c>
      <c r="J152" s="10">
        <f t="shared" si="18"/>
        <v>6.2209714285714277</v>
      </c>
      <c r="K152" s="10">
        <f t="shared" si="22"/>
        <v>6.6</v>
      </c>
      <c r="L152" s="10">
        <f t="shared" si="19"/>
        <v>1.0609275538041831</v>
      </c>
      <c r="M152" s="12">
        <f t="shared" si="20"/>
        <v>3.5</v>
      </c>
      <c r="N152" s="13">
        <f t="shared" si="21"/>
        <v>0.53030303030303028</v>
      </c>
    </row>
    <row r="153" spans="1:14">
      <c r="A153" s="6">
        <v>152</v>
      </c>
      <c r="B153" s="14">
        <v>42289</v>
      </c>
      <c r="C153" s="15">
        <v>45185</v>
      </c>
      <c r="D153" s="16">
        <v>3.4990000000000001</v>
      </c>
      <c r="E153" s="16">
        <v>70</v>
      </c>
      <c r="F153" s="16" t="s">
        <v>918</v>
      </c>
      <c r="G153" s="10">
        <f t="shared" si="23"/>
        <v>20.005715918833953</v>
      </c>
      <c r="H153" s="11">
        <f t="shared" si="16"/>
        <v>172</v>
      </c>
      <c r="I153" s="10">
        <f t="shared" si="17"/>
        <v>13</v>
      </c>
      <c r="J153" s="10">
        <f t="shared" si="18"/>
        <v>7.8604000000000003</v>
      </c>
      <c r="K153" s="10">
        <f t="shared" si="22"/>
        <v>13.23076923076923</v>
      </c>
      <c r="L153" s="10">
        <f t="shared" si="19"/>
        <v>1.6832183134152499</v>
      </c>
      <c r="M153" s="12">
        <f t="shared" si="20"/>
        <v>5.384615384615385</v>
      </c>
      <c r="N153" s="13">
        <f t="shared" si="21"/>
        <v>0.40697674418604651</v>
      </c>
    </row>
    <row r="154" spans="1:14">
      <c r="A154" s="6">
        <v>153</v>
      </c>
      <c r="B154" s="14">
        <v>42301</v>
      </c>
      <c r="C154" s="15">
        <v>45321</v>
      </c>
      <c r="D154" s="16">
        <v>3.4990000000000001</v>
      </c>
      <c r="E154" s="16">
        <v>100</v>
      </c>
      <c r="F154" s="16" t="s">
        <v>918</v>
      </c>
      <c r="G154" s="10">
        <f t="shared" si="23"/>
        <v>28.579594169762789</v>
      </c>
      <c r="H154" s="11">
        <f t="shared" si="16"/>
        <v>136</v>
      </c>
      <c r="I154" s="10">
        <f t="shared" si="17"/>
        <v>12</v>
      </c>
      <c r="J154" s="10">
        <f t="shared" si="18"/>
        <v>6.798057142857143</v>
      </c>
      <c r="K154" s="10">
        <f t="shared" si="22"/>
        <v>11.333333333333334</v>
      </c>
      <c r="L154" s="10">
        <f t="shared" si="19"/>
        <v>1.6671429932361628</v>
      </c>
      <c r="M154" s="12">
        <f t="shared" si="20"/>
        <v>5.833333333333333</v>
      </c>
      <c r="N154" s="13">
        <f t="shared" si="21"/>
        <v>0.51470588235294112</v>
      </c>
    </row>
    <row r="155" spans="1:14">
      <c r="A155" s="6">
        <v>154</v>
      </c>
      <c r="B155" s="14">
        <v>42312</v>
      </c>
      <c r="C155" s="15">
        <v>45578</v>
      </c>
      <c r="D155" s="16">
        <v>3.5990000000000002</v>
      </c>
      <c r="E155" s="16">
        <v>100</v>
      </c>
      <c r="F155" s="16" t="s">
        <v>918</v>
      </c>
      <c r="G155" s="10">
        <f t="shared" si="23"/>
        <v>27.785495971103082</v>
      </c>
      <c r="H155" s="11">
        <f>IF(C155="","",C155-C154)</f>
        <v>257</v>
      </c>
      <c r="I155" s="10">
        <f>IF(B155="","",B155-B154)</f>
        <v>11</v>
      </c>
      <c r="J155" s="10">
        <f>IF(H155="","",H155/G154)</f>
        <v>8.9924300000000006</v>
      </c>
      <c r="K155" s="10">
        <f>IF(H155&lt;&gt;"",IF(I155&gt;0,H155/I155,H155),"" )</f>
        <v>23.363636363636363</v>
      </c>
      <c r="L155" s="10">
        <f>IF(I155="","",IF(I155=0,G155,G154/I155))</f>
        <v>2.5981449245238899</v>
      </c>
      <c r="M155" s="12">
        <f>IF(I155="","",IF(I155=0,E154,E154/I155))</f>
        <v>9.0909090909090917</v>
      </c>
      <c r="N155" s="13">
        <f>IF(H155="","",E154/H155)</f>
        <v>0.38910505836575876</v>
      </c>
    </row>
    <row r="156" spans="1:14">
      <c r="A156" s="6">
        <v>155</v>
      </c>
      <c r="B156" s="14">
        <v>42317</v>
      </c>
      <c r="C156" s="15">
        <v>45834</v>
      </c>
      <c r="D156" s="16">
        <v>3.4470000000000001</v>
      </c>
      <c r="E156" s="1175">
        <v>100</v>
      </c>
      <c r="F156" s="16" t="s">
        <v>918</v>
      </c>
      <c r="G156" s="10">
        <f t="shared" si="23"/>
        <v>29.010733971569479</v>
      </c>
      <c r="H156" s="11">
        <f>IF(C156="","",C156-C155)</f>
        <v>256</v>
      </c>
      <c r="I156" s="10">
        <f>IF(B156="","",B156-B155)</f>
        <v>5</v>
      </c>
      <c r="J156" s="10">
        <f>IF(H156="","",H156/G155)</f>
        <v>9.2134400000000003</v>
      </c>
      <c r="K156" s="10">
        <f>IF(H156&lt;&gt;"",IF(I156&gt;0,H156/I156,H156),"" )</f>
        <v>51.2</v>
      </c>
      <c r="L156" s="10">
        <f>IF(I156="","",IF(I156=0,G156,G155/I156))</f>
        <v>5.5570991942206165</v>
      </c>
      <c r="M156" s="12">
        <f>IF(I156="","",IF(I156=0,E155,E155/I156))</f>
        <v>20</v>
      </c>
      <c r="N156" s="13">
        <f>IF(H156="","",E155/H156)</f>
        <v>0.390625</v>
      </c>
    </row>
    <row r="157" spans="1:14">
      <c r="A157" s="6">
        <v>156</v>
      </c>
      <c r="B157" s="14">
        <v>42337</v>
      </c>
      <c r="C157" s="15">
        <v>46051</v>
      </c>
      <c r="D157" s="16">
        <v>3.5990000000000002</v>
      </c>
      <c r="E157" s="16">
        <v>100</v>
      </c>
      <c r="F157" s="16" t="s">
        <v>918</v>
      </c>
      <c r="G157" s="10">
        <f t="shared" ref="G157:G165" si="24">IF(E157&lt;&gt;"",E157/D157,"")</f>
        <v>27.785495971103082</v>
      </c>
      <c r="H157" s="11">
        <f t="shared" ref="H157:H165" si="25">IF(C157="","",C157-C156)</f>
        <v>217</v>
      </c>
      <c r="I157" s="10">
        <f t="shared" ref="I157:I165" si="26">IF(B157="","",B157-B156)</f>
        <v>20</v>
      </c>
      <c r="J157" s="10">
        <f>IF(H157="","",H157/G156)</f>
        <v>7.4799900000000008</v>
      </c>
      <c r="K157" s="10">
        <f>IF(H157&lt;&gt;"",IF(I157&gt;0,H157/I157,H157),"" )</f>
        <v>10.85</v>
      </c>
      <c r="L157" s="10">
        <f t="shared" ref="L157:L165" si="27">IF(I157="","",IF(I157=0,G157,G156/I157))</f>
        <v>1.450536698578474</v>
      </c>
      <c r="M157" s="12">
        <f t="shared" ref="M157:M165" si="28">IF(I157="","",IF(I157=0,E156,E156/I157))</f>
        <v>5</v>
      </c>
      <c r="N157" s="13">
        <f t="shared" ref="N157:N165" si="29">IF(H157="","",E156/H157)</f>
        <v>0.46082949308755761</v>
      </c>
    </row>
    <row r="158" spans="1:14">
      <c r="A158" s="6">
        <v>157</v>
      </c>
      <c r="B158" s="14">
        <v>42354</v>
      </c>
      <c r="C158" s="15">
        <v>46255</v>
      </c>
      <c r="D158" s="16">
        <v>3.4990000000000001</v>
      </c>
      <c r="E158" s="16">
        <v>50</v>
      </c>
      <c r="F158" s="16" t="s">
        <v>918</v>
      </c>
      <c r="G158" s="10">
        <f t="shared" si="24"/>
        <v>14.289797084881394</v>
      </c>
      <c r="H158" s="11">
        <f t="shared" si="25"/>
        <v>204</v>
      </c>
      <c r="I158" s="10">
        <f t="shared" si="26"/>
        <v>17</v>
      </c>
      <c r="J158" s="10">
        <f>IF(H158="","",H158/G157)</f>
        <v>7.3419600000000003</v>
      </c>
      <c r="K158" s="10">
        <f>IF(H158&lt;&gt;"",IF(I158&gt;0,H158/I158,H158),"" )</f>
        <v>12</v>
      </c>
      <c r="L158" s="10">
        <f t="shared" si="27"/>
        <v>1.6344409394766519</v>
      </c>
      <c r="M158" s="12">
        <f t="shared" si="28"/>
        <v>5.882352941176471</v>
      </c>
      <c r="N158" s="13">
        <f t="shared" si="29"/>
        <v>0.49019607843137253</v>
      </c>
    </row>
    <row r="159" spans="1:14">
      <c r="A159" s="6">
        <v>158</v>
      </c>
      <c r="B159" s="14">
        <v>42364</v>
      </c>
      <c r="C159" s="15">
        <v>46366</v>
      </c>
      <c r="D159" s="16">
        <v>3.4990000000000001</v>
      </c>
      <c r="E159" s="16">
        <v>80</v>
      </c>
      <c r="F159" s="16" t="s">
        <v>918</v>
      </c>
      <c r="G159" s="10">
        <f t="shared" si="24"/>
        <v>22.863675335810232</v>
      </c>
      <c r="H159" s="11">
        <f t="shared" si="25"/>
        <v>111</v>
      </c>
      <c r="I159" s="10">
        <f t="shared" si="26"/>
        <v>10</v>
      </c>
      <c r="J159" s="10">
        <f>IF(H159="","",H159/G158)</f>
        <v>7.7677800000000001</v>
      </c>
      <c r="K159" s="10">
        <f>IF(H159&lt;&gt;"",IF(I159&gt;0,H159/I159,H159),"" )</f>
        <v>11.1</v>
      </c>
      <c r="L159" s="10">
        <f t="shared" si="27"/>
        <v>1.4289797084881395</v>
      </c>
      <c r="M159" s="12">
        <f t="shared" si="28"/>
        <v>5</v>
      </c>
      <c r="N159" s="13">
        <f t="shared" si="29"/>
        <v>0.45045045045045046</v>
      </c>
    </row>
    <row r="160" spans="1:14">
      <c r="A160" s="6">
        <v>159</v>
      </c>
      <c r="B160" s="14">
        <v>42382</v>
      </c>
      <c r="C160" s="1178">
        <v>46543</v>
      </c>
      <c r="D160" s="16">
        <v>3.399</v>
      </c>
      <c r="E160" s="16">
        <v>50</v>
      </c>
      <c r="F160" s="16" t="s">
        <v>918</v>
      </c>
      <c r="G160" s="10">
        <f t="shared" si="24"/>
        <v>14.710208884966166</v>
      </c>
      <c r="H160" s="11">
        <f t="shared" si="25"/>
        <v>177</v>
      </c>
      <c r="I160" s="10">
        <f t="shared" si="26"/>
        <v>18</v>
      </c>
      <c r="J160" s="10">
        <f t="shared" ref="J160:J165" si="30">IF(H160="","",H160/G159)</f>
        <v>7.7415374999999997</v>
      </c>
      <c r="K160" s="10">
        <f t="shared" ref="K160:K165" si="31">IF(H160&lt;&gt;"",IF(I160&gt;0,H160/I160,H160),"" )</f>
        <v>9.8333333333333339</v>
      </c>
      <c r="L160" s="10">
        <f t="shared" si="27"/>
        <v>1.2702041853227906</v>
      </c>
      <c r="M160" s="12">
        <f t="shared" si="28"/>
        <v>4.4444444444444446</v>
      </c>
      <c r="N160" s="13">
        <f t="shared" si="29"/>
        <v>0.4519774011299435</v>
      </c>
    </row>
    <row r="161" spans="1:15">
      <c r="A161" s="6">
        <v>160</v>
      </c>
      <c r="B161" s="14">
        <v>42398</v>
      </c>
      <c r="C161" s="15">
        <v>46653</v>
      </c>
      <c r="D161" s="16">
        <v>3.6989999999999998</v>
      </c>
      <c r="E161" s="16">
        <v>30</v>
      </c>
      <c r="F161" s="16" t="s">
        <v>918</v>
      </c>
      <c r="G161" s="10">
        <f t="shared" si="24"/>
        <v>8.1103000811030004</v>
      </c>
      <c r="H161" s="11">
        <f t="shared" si="25"/>
        <v>110</v>
      </c>
      <c r="I161" s="10">
        <f t="shared" si="26"/>
        <v>16</v>
      </c>
      <c r="J161" s="10">
        <f t="shared" si="30"/>
        <v>7.4778000000000002</v>
      </c>
      <c r="K161" s="10">
        <f t="shared" si="31"/>
        <v>6.875</v>
      </c>
      <c r="L161" s="10">
        <f t="shared" si="27"/>
        <v>0.91938805531038537</v>
      </c>
      <c r="M161" s="12">
        <f t="shared" si="28"/>
        <v>3.125</v>
      </c>
      <c r="N161" s="13">
        <f t="shared" si="29"/>
        <v>0.45454545454545453</v>
      </c>
    </row>
    <row r="162" spans="1:15">
      <c r="A162" s="6">
        <v>161</v>
      </c>
      <c r="B162" s="14">
        <v>42405</v>
      </c>
      <c r="C162" s="15">
        <v>46679</v>
      </c>
      <c r="D162" s="16">
        <v>3.5990000000000002</v>
      </c>
      <c r="E162" s="16">
        <v>50</v>
      </c>
      <c r="F162" s="16" t="s">
        <v>918</v>
      </c>
      <c r="G162" s="10">
        <f t="shared" si="24"/>
        <v>13.892747985551541</v>
      </c>
      <c r="H162" s="11">
        <f t="shared" si="25"/>
        <v>26</v>
      </c>
      <c r="I162" s="10">
        <f t="shared" si="26"/>
        <v>7</v>
      </c>
      <c r="J162" s="10">
        <f t="shared" si="30"/>
        <v>3.2058</v>
      </c>
      <c r="K162" s="10">
        <f t="shared" si="31"/>
        <v>3.7142857142857144</v>
      </c>
      <c r="L162" s="10">
        <f t="shared" si="27"/>
        <v>1.1586142973004285</v>
      </c>
      <c r="M162" s="12">
        <f t="shared" si="28"/>
        <v>4.2857142857142856</v>
      </c>
      <c r="N162" s="13">
        <f t="shared" si="29"/>
        <v>1.1538461538461537</v>
      </c>
    </row>
    <row r="163" spans="1:15">
      <c r="A163" s="6">
        <v>162</v>
      </c>
      <c r="B163" s="14">
        <v>42416</v>
      </c>
      <c r="C163" s="15">
        <v>46797</v>
      </c>
      <c r="D163" s="16">
        <v>3.399</v>
      </c>
      <c r="E163" s="16">
        <v>50</v>
      </c>
      <c r="F163" s="16" t="s">
        <v>918</v>
      </c>
      <c r="G163" s="10">
        <f t="shared" si="24"/>
        <v>14.710208884966166</v>
      </c>
      <c r="H163" s="11">
        <f t="shared" si="25"/>
        <v>118</v>
      </c>
      <c r="I163" s="10">
        <f t="shared" si="26"/>
        <v>11</v>
      </c>
      <c r="J163" s="10">
        <f t="shared" si="30"/>
        <v>8.493640000000001</v>
      </c>
      <c r="K163" s="10">
        <f t="shared" si="31"/>
        <v>10.727272727272727</v>
      </c>
      <c r="L163" s="10">
        <f t="shared" si="27"/>
        <v>1.2629770895955945</v>
      </c>
      <c r="M163" s="12">
        <f t="shared" si="28"/>
        <v>4.5454545454545459</v>
      </c>
      <c r="N163" s="13">
        <f t="shared" si="29"/>
        <v>0.42372881355932202</v>
      </c>
    </row>
    <row r="164" spans="1:15">
      <c r="A164" s="6">
        <v>163</v>
      </c>
      <c r="B164" s="14">
        <v>42429</v>
      </c>
      <c r="C164" s="15">
        <v>46900</v>
      </c>
      <c r="D164" s="16">
        <v>3.5990000000000002</v>
      </c>
      <c r="E164" s="16">
        <v>60</v>
      </c>
      <c r="F164" s="16" t="s">
        <v>918</v>
      </c>
      <c r="G164" s="10">
        <f t="shared" si="24"/>
        <v>16.67129758266185</v>
      </c>
      <c r="H164" s="11">
        <f t="shared" si="25"/>
        <v>103</v>
      </c>
      <c r="I164" s="10">
        <f t="shared" si="26"/>
        <v>13</v>
      </c>
      <c r="J164" s="10">
        <f t="shared" si="30"/>
        <v>7.0019400000000003</v>
      </c>
      <c r="K164" s="10">
        <f t="shared" si="31"/>
        <v>7.9230769230769234</v>
      </c>
      <c r="L164" s="10">
        <f t="shared" si="27"/>
        <v>1.131554529612782</v>
      </c>
      <c r="M164" s="12">
        <f t="shared" si="28"/>
        <v>3.8461538461538463</v>
      </c>
      <c r="N164" s="13">
        <f t="shared" si="29"/>
        <v>0.4854368932038835</v>
      </c>
    </row>
    <row r="165" spans="1:15">
      <c r="A165" s="6">
        <v>164</v>
      </c>
      <c r="B165" s="14">
        <v>42445</v>
      </c>
      <c r="C165" s="15">
        <v>46978</v>
      </c>
      <c r="D165" s="16">
        <v>3.5990000000000002</v>
      </c>
      <c r="E165" s="16">
        <v>80</v>
      </c>
      <c r="F165" s="16" t="s">
        <v>918</v>
      </c>
      <c r="G165" s="10">
        <f t="shared" si="24"/>
        <v>22.228396776882466</v>
      </c>
      <c r="H165" s="11">
        <f t="shared" si="25"/>
        <v>78</v>
      </c>
      <c r="I165" s="10">
        <f t="shared" si="26"/>
        <v>16</v>
      </c>
      <c r="J165" s="10">
        <f t="shared" si="30"/>
        <v>4.6787000000000001</v>
      </c>
      <c r="K165" s="10">
        <f t="shared" si="31"/>
        <v>4.875</v>
      </c>
      <c r="L165" s="10">
        <f t="shared" si="27"/>
        <v>1.0419560989163656</v>
      </c>
      <c r="M165" s="12">
        <f t="shared" si="28"/>
        <v>3.75</v>
      </c>
      <c r="N165" s="13">
        <f t="shared" si="29"/>
        <v>0.76923076923076927</v>
      </c>
    </row>
    <row r="166" spans="1:15">
      <c r="A166" s="6">
        <v>165</v>
      </c>
      <c r="B166" s="14">
        <v>42453</v>
      </c>
      <c r="C166" s="15">
        <v>47134</v>
      </c>
      <c r="D166" s="16">
        <v>2.7989999999999999</v>
      </c>
      <c r="E166" s="16">
        <v>124.98</v>
      </c>
      <c r="F166" s="16" t="s">
        <v>919</v>
      </c>
      <c r="G166" s="10">
        <f t="shared" ref="G166:G180" si="32">IF(E166&lt;&gt;"",E166/D166,"")</f>
        <v>44.651661307609864</v>
      </c>
      <c r="H166" s="11">
        <f t="shared" ref="H166:H180" si="33">IF(C166="","",C166-C165)</f>
        <v>156</v>
      </c>
      <c r="I166" s="10">
        <f t="shared" ref="I166:I180" si="34">IF(B166="","",B166-B165)</f>
        <v>8</v>
      </c>
      <c r="J166" s="10">
        <f t="shared" ref="J166:J180" si="35">IF(H166="","",H166/G165)</f>
        <v>7.0180500000000006</v>
      </c>
      <c r="K166" s="10">
        <f t="shared" ref="K166:K180" si="36">IF(H166&lt;&gt;"",IF(I166&gt;0,H166/I166,H166),"" )</f>
        <v>19.5</v>
      </c>
      <c r="L166" s="10">
        <f t="shared" ref="L166:L180" si="37">IF(I166="","",IF(I166=0,G166,G165/I166))</f>
        <v>2.7785495971103082</v>
      </c>
      <c r="M166" s="12">
        <f t="shared" ref="M166:M180" si="38">IF(I166="","",IF(I166=0,E165,E165/I166))</f>
        <v>10</v>
      </c>
      <c r="N166" s="13">
        <f t="shared" ref="N166:N180" si="39">IF(H166="","",E165/H166)</f>
        <v>0.51282051282051277</v>
      </c>
    </row>
    <row r="167" spans="1:15">
      <c r="A167" s="6">
        <v>166</v>
      </c>
      <c r="B167" s="14">
        <v>42457</v>
      </c>
      <c r="C167" s="15">
        <v>47580</v>
      </c>
      <c r="D167" s="16">
        <v>2.899</v>
      </c>
      <c r="E167" s="16">
        <v>135.56</v>
      </c>
      <c r="F167" s="16" t="s">
        <v>919</v>
      </c>
      <c r="G167" s="10">
        <f t="shared" si="32"/>
        <v>46.760952052431875</v>
      </c>
      <c r="H167" s="11">
        <f t="shared" si="33"/>
        <v>446</v>
      </c>
      <c r="I167" s="10">
        <f t="shared" si="34"/>
        <v>4</v>
      </c>
      <c r="J167" s="10">
        <f t="shared" si="35"/>
        <v>9.9884301488238112</v>
      </c>
      <c r="K167" s="10">
        <f t="shared" si="36"/>
        <v>111.5</v>
      </c>
      <c r="L167" s="10">
        <f t="shared" si="37"/>
        <v>11.162915326902466</v>
      </c>
      <c r="M167" s="12">
        <f t="shared" si="38"/>
        <v>31.245000000000001</v>
      </c>
      <c r="N167" s="13">
        <f t="shared" si="39"/>
        <v>0.28022421524663677</v>
      </c>
    </row>
    <row r="168" spans="1:15">
      <c r="A168" s="6">
        <v>167</v>
      </c>
      <c r="B168" s="14">
        <v>42464</v>
      </c>
      <c r="C168" s="15">
        <v>48020</v>
      </c>
      <c r="D168" s="16">
        <v>3.649</v>
      </c>
      <c r="E168" s="16">
        <v>80</v>
      </c>
      <c r="F168" s="16" t="s">
        <v>918</v>
      </c>
      <c r="G168" s="10">
        <f t="shared" si="32"/>
        <v>21.923814743765416</v>
      </c>
      <c r="H168" s="11">
        <f t="shared" si="33"/>
        <v>440</v>
      </c>
      <c r="I168" s="10">
        <f t="shared" si="34"/>
        <v>7</v>
      </c>
      <c r="J168" s="10">
        <f t="shared" si="35"/>
        <v>9.409560342283859</v>
      </c>
      <c r="K168" s="10">
        <f t="shared" si="36"/>
        <v>62.857142857142854</v>
      </c>
      <c r="L168" s="10">
        <f t="shared" si="37"/>
        <v>6.680136007490268</v>
      </c>
      <c r="M168" s="12">
        <f t="shared" si="38"/>
        <v>19.365714285714287</v>
      </c>
      <c r="N168" s="13">
        <f t="shared" si="39"/>
        <v>0.30809090909090908</v>
      </c>
    </row>
    <row r="169" spans="1:15">
      <c r="A169" s="6">
        <v>168</v>
      </c>
      <c r="B169" s="14">
        <v>42473</v>
      </c>
      <c r="C169" s="15">
        <v>48128</v>
      </c>
      <c r="D169" s="16">
        <v>3.4750000000000001</v>
      </c>
      <c r="E169" s="16">
        <v>80</v>
      </c>
      <c r="F169" s="16" t="s">
        <v>918</v>
      </c>
      <c r="G169" s="10">
        <f t="shared" si="32"/>
        <v>23.021582733812949</v>
      </c>
      <c r="H169" s="11">
        <f t="shared" si="33"/>
        <v>108</v>
      </c>
      <c r="I169" s="10">
        <f t="shared" si="34"/>
        <v>9</v>
      </c>
      <c r="J169" s="10">
        <f t="shared" si="35"/>
        <v>4.9261499999999998</v>
      </c>
      <c r="K169" s="10">
        <f t="shared" si="36"/>
        <v>12</v>
      </c>
      <c r="L169" s="10">
        <f t="shared" si="37"/>
        <v>2.435979415973935</v>
      </c>
      <c r="M169" s="12">
        <f t="shared" si="38"/>
        <v>8.8888888888888893</v>
      </c>
      <c r="N169" s="13">
        <f t="shared" si="39"/>
        <v>0.7407407407407407</v>
      </c>
    </row>
    <row r="170" spans="1:15">
      <c r="A170" s="6">
        <v>169</v>
      </c>
      <c r="B170" s="14">
        <v>42487</v>
      </c>
      <c r="C170" s="15">
        <v>48313</v>
      </c>
      <c r="D170" s="16">
        <v>3.5990000000000002</v>
      </c>
      <c r="E170" s="16">
        <v>160.01</v>
      </c>
      <c r="F170" s="16" t="s">
        <v>918</v>
      </c>
      <c r="G170" s="10">
        <f t="shared" si="32"/>
        <v>44.459572103362042</v>
      </c>
      <c r="H170" s="11">
        <f t="shared" si="33"/>
        <v>185</v>
      </c>
      <c r="I170" s="10">
        <f t="shared" si="34"/>
        <v>14</v>
      </c>
      <c r="J170" s="10">
        <f t="shared" si="35"/>
        <v>8.0359375000000011</v>
      </c>
      <c r="K170" s="10">
        <f t="shared" si="36"/>
        <v>13.214285714285714</v>
      </c>
      <c r="L170" s="10">
        <f t="shared" si="37"/>
        <v>1.644398766700925</v>
      </c>
      <c r="M170" s="12">
        <f t="shared" si="38"/>
        <v>5.7142857142857144</v>
      </c>
      <c r="N170" s="13">
        <f t="shared" si="39"/>
        <v>0.43243243243243246</v>
      </c>
    </row>
    <row r="171" spans="1:15">
      <c r="A171" s="6">
        <v>170</v>
      </c>
      <c r="B171" s="14">
        <v>42508</v>
      </c>
      <c r="C171" s="15">
        <v>48627</v>
      </c>
      <c r="D171" s="16">
        <v>3.3969999999999998</v>
      </c>
      <c r="E171" s="16">
        <v>151.1</v>
      </c>
      <c r="F171" s="16" t="s">
        <v>918</v>
      </c>
      <c r="G171" s="10">
        <f t="shared" si="32"/>
        <v>44.480423903444219</v>
      </c>
      <c r="H171" s="11">
        <f t="shared" si="33"/>
        <v>314</v>
      </c>
      <c r="I171" s="10">
        <f t="shared" si="34"/>
        <v>21</v>
      </c>
      <c r="J171" s="10">
        <f t="shared" si="35"/>
        <v>7.0625960877445166</v>
      </c>
      <c r="K171" s="10">
        <f t="shared" si="36"/>
        <v>14.952380952380953</v>
      </c>
      <c r="L171" s="10">
        <f t="shared" si="37"/>
        <v>2.117122481112478</v>
      </c>
      <c r="M171" s="12">
        <f t="shared" si="38"/>
        <v>7.6195238095238089</v>
      </c>
      <c r="N171" s="13">
        <f t="shared" si="39"/>
        <v>0.50958598726114646</v>
      </c>
    </row>
    <row r="172" spans="1:15">
      <c r="A172" s="6">
        <v>171</v>
      </c>
      <c r="B172" s="14">
        <v>42531</v>
      </c>
      <c r="C172" s="15">
        <v>48988</v>
      </c>
      <c r="D172" s="16">
        <v>2.2989999999999999</v>
      </c>
      <c r="E172" s="16">
        <v>108.01</v>
      </c>
      <c r="F172" s="16" t="s">
        <v>919</v>
      </c>
      <c r="G172" s="10">
        <f t="shared" si="32"/>
        <v>46.981296215745978</v>
      </c>
      <c r="H172" s="11">
        <f t="shared" si="33"/>
        <v>361</v>
      </c>
      <c r="I172" s="10">
        <f t="shared" si="34"/>
        <v>23</v>
      </c>
      <c r="J172" s="10">
        <f t="shared" si="35"/>
        <v>8.1159298477829243</v>
      </c>
      <c r="K172" s="10">
        <f t="shared" si="36"/>
        <v>15.695652173913043</v>
      </c>
      <c r="L172" s="10">
        <f t="shared" si="37"/>
        <v>1.9339314740627922</v>
      </c>
      <c r="M172" s="12">
        <f t="shared" si="38"/>
        <v>6.5695652173913039</v>
      </c>
      <c r="N172" s="13">
        <f t="shared" si="39"/>
        <v>0.41855955678670359</v>
      </c>
    </row>
    <row r="173" spans="1:15">
      <c r="A173" s="6">
        <v>172</v>
      </c>
      <c r="B173" s="14">
        <v>42549</v>
      </c>
      <c r="C173" s="15">
        <v>49279</v>
      </c>
      <c r="D173" s="16">
        <v>2.399</v>
      </c>
      <c r="E173" s="16">
        <v>115.01</v>
      </c>
      <c r="F173" s="16" t="s">
        <v>919</v>
      </c>
      <c r="G173" s="10">
        <f t="shared" si="32"/>
        <v>47.940808670279282</v>
      </c>
      <c r="H173" s="11">
        <f t="shared" si="33"/>
        <v>291</v>
      </c>
      <c r="I173" s="10">
        <f t="shared" si="34"/>
        <v>18</v>
      </c>
      <c r="J173" s="10">
        <f t="shared" si="35"/>
        <v>6.1939542634941205</v>
      </c>
      <c r="K173" s="10">
        <f t="shared" si="36"/>
        <v>16.166666666666668</v>
      </c>
      <c r="L173" s="10">
        <f t="shared" si="37"/>
        <v>2.6100720119858876</v>
      </c>
      <c r="M173" s="12">
        <f t="shared" si="38"/>
        <v>6.0005555555555556</v>
      </c>
      <c r="N173" s="13">
        <f t="shared" si="39"/>
        <v>0.37116838487972509</v>
      </c>
    </row>
    <row r="174" spans="1:15">
      <c r="A174" s="6">
        <v>173</v>
      </c>
      <c r="B174" s="14">
        <v>42568</v>
      </c>
      <c r="C174" s="15">
        <v>49502</v>
      </c>
      <c r="D174" s="16">
        <v>2.1999</v>
      </c>
      <c r="E174" s="16">
        <v>110.01</v>
      </c>
      <c r="F174" s="16" t="s">
        <v>919</v>
      </c>
      <c r="G174" s="10">
        <f t="shared" si="32"/>
        <v>50.006818491749627</v>
      </c>
      <c r="H174" s="11">
        <f t="shared" si="33"/>
        <v>223</v>
      </c>
      <c r="I174" s="10">
        <f t="shared" si="34"/>
        <v>19</v>
      </c>
      <c r="J174" s="10">
        <f t="shared" si="35"/>
        <v>4.6515694287453266</v>
      </c>
      <c r="K174" s="10">
        <f t="shared" si="36"/>
        <v>11.736842105263158</v>
      </c>
      <c r="L174" s="10">
        <f t="shared" si="37"/>
        <v>2.5232004563304886</v>
      </c>
      <c r="M174" s="12">
        <f t="shared" si="38"/>
        <v>6.0531578947368425</v>
      </c>
      <c r="N174" s="13">
        <f t="shared" si="39"/>
        <v>0.51573991031390132</v>
      </c>
      <c r="O174" s="22"/>
    </row>
    <row r="175" spans="1:15">
      <c r="A175" s="6">
        <v>174</v>
      </c>
      <c r="B175" s="14">
        <v>42598</v>
      </c>
      <c r="C175" s="15">
        <v>49703</v>
      </c>
      <c r="D175" s="16">
        <v>2.399</v>
      </c>
      <c r="E175" s="16">
        <v>95</v>
      </c>
      <c r="F175" s="16" t="s">
        <v>919</v>
      </c>
      <c r="G175" s="10">
        <f t="shared" si="32"/>
        <v>39.599833263859942</v>
      </c>
      <c r="H175" s="11">
        <f t="shared" si="33"/>
        <v>201</v>
      </c>
      <c r="I175" s="10">
        <f t="shared" si="34"/>
        <v>30</v>
      </c>
      <c r="J175" s="10">
        <f t="shared" si="35"/>
        <v>4.0194518680119984</v>
      </c>
      <c r="K175" s="10">
        <f t="shared" si="36"/>
        <v>6.7</v>
      </c>
      <c r="L175" s="10">
        <f t="shared" si="37"/>
        <v>1.6668939497249875</v>
      </c>
      <c r="M175" s="12">
        <f t="shared" si="38"/>
        <v>3.6670000000000003</v>
      </c>
      <c r="N175" s="13">
        <f t="shared" si="39"/>
        <v>0.5473134328358209</v>
      </c>
      <c r="O175" s="21"/>
    </row>
    <row r="176" spans="1:15">
      <c r="A176" s="6">
        <v>175</v>
      </c>
      <c r="B176" s="14">
        <v>42611</v>
      </c>
      <c r="C176" s="15">
        <v>49943</v>
      </c>
      <c r="D176" s="16">
        <v>2.1989999999999998</v>
      </c>
      <c r="E176" s="16">
        <v>101</v>
      </c>
      <c r="F176" s="16" t="s">
        <v>919</v>
      </c>
      <c r="G176" s="10">
        <f t="shared" si="32"/>
        <v>45.929968167348797</v>
      </c>
      <c r="H176" s="11">
        <f t="shared" si="33"/>
        <v>240</v>
      </c>
      <c r="I176" s="10">
        <f t="shared" si="34"/>
        <v>13</v>
      </c>
      <c r="J176" s="10">
        <f t="shared" si="35"/>
        <v>6.0606315789473681</v>
      </c>
      <c r="K176" s="10">
        <f t="shared" si="36"/>
        <v>18.46153846153846</v>
      </c>
      <c r="L176" s="10">
        <f t="shared" si="37"/>
        <v>3.0461410202969188</v>
      </c>
      <c r="M176" s="12">
        <f t="shared" si="38"/>
        <v>7.3076923076923075</v>
      </c>
      <c r="N176" s="13">
        <f t="shared" si="39"/>
        <v>0.39583333333333331</v>
      </c>
      <c r="O176" s="21"/>
    </row>
    <row r="177" spans="1:14">
      <c r="A177" s="6">
        <v>176</v>
      </c>
      <c r="B177" s="14">
        <v>42624</v>
      </c>
      <c r="C177" s="15">
        <v>50223</v>
      </c>
      <c r="D177" s="16">
        <v>2.2989999999999999</v>
      </c>
      <c r="E177" s="16">
        <v>90</v>
      </c>
      <c r="F177" s="16" t="s">
        <v>919</v>
      </c>
      <c r="G177" s="10">
        <f t="shared" si="32"/>
        <v>39.147455415397999</v>
      </c>
      <c r="H177" s="11">
        <f t="shared" si="33"/>
        <v>280</v>
      </c>
      <c r="I177" s="10">
        <f t="shared" si="34"/>
        <v>13</v>
      </c>
      <c r="J177" s="10">
        <f t="shared" si="35"/>
        <v>6.0962376237623763</v>
      </c>
      <c r="K177" s="10">
        <f t="shared" si="36"/>
        <v>21.53846153846154</v>
      </c>
      <c r="L177" s="10">
        <f t="shared" si="37"/>
        <v>3.5330744744114457</v>
      </c>
      <c r="M177" s="12">
        <f t="shared" si="38"/>
        <v>7.7692307692307692</v>
      </c>
      <c r="N177" s="13">
        <f t="shared" si="39"/>
        <v>0.36071428571428571</v>
      </c>
    </row>
    <row r="178" spans="1:14">
      <c r="A178" s="6">
        <v>177</v>
      </c>
      <c r="B178" s="14">
        <v>42630</v>
      </c>
      <c r="C178" s="15">
        <v>50296</v>
      </c>
      <c r="D178" s="16">
        <v>2.399</v>
      </c>
      <c r="E178" s="16">
        <v>40</v>
      </c>
      <c r="F178" s="16" t="s">
        <v>919</v>
      </c>
      <c r="G178" s="10">
        <f t="shared" si="32"/>
        <v>16.673614005835766</v>
      </c>
      <c r="H178" s="11">
        <f t="shared" si="33"/>
        <v>73</v>
      </c>
      <c r="I178" s="10">
        <f t="shared" si="34"/>
        <v>6</v>
      </c>
      <c r="J178" s="10">
        <f t="shared" si="35"/>
        <v>1.8647444444444445</v>
      </c>
      <c r="K178" s="10">
        <f t="shared" si="36"/>
        <v>12.166666666666666</v>
      </c>
      <c r="L178" s="10">
        <f t="shared" si="37"/>
        <v>6.5245759025663332</v>
      </c>
      <c r="M178" s="12">
        <f t="shared" si="38"/>
        <v>15</v>
      </c>
      <c r="N178" s="13">
        <f t="shared" si="39"/>
        <v>1.2328767123287672</v>
      </c>
    </row>
    <row r="179" spans="1:14">
      <c r="A179" s="6">
        <v>178</v>
      </c>
      <c r="B179" s="14">
        <v>42637</v>
      </c>
      <c r="C179" s="15">
        <v>50646</v>
      </c>
      <c r="D179" s="16">
        <v>2.399</v>
      </c>
      <c r="E179" s="16">
        <v>40</v>
      </c>
      <c r="F179" s="16" t="s">
        <v>919</v>
      </c>
      <c r="G179" s="10">
        <f t="shared" si="32"/>
        <v>16.673614005835766</v>
      </c>
      <c r="H179" s="11">
        <f t="shared" si="33"/>
        <v>350</v>
      </c>
      <c r="I179" s="10">
        <f t="shared" si="34"/>
        <v>7</v>
      </c>
      <c r="J179" s="10">
        <f t="shared" si="35"/>
        <v>20.991249999999997</v>
      </c>
      <c r="K179" s="10">
        <f t="shared" si="36"/>
        <v>50</v>
      </c>
      <c r="L179" s="10">
        <f t="shared" si="37"/>
        <v>2.3819448579765381</v>
      </c>
      <c r="M179" s="12">
        <f t="shared" si="38"/>
        <v>5.7142857142857144</v>
      </c>
      <c r="N179" s="13">
        <f t="shared" si="39"/>
        <v>0.11428571428571428</v>
      </c>
    </row>
    <row r="180" spans="1:14">
      <c r="A180" s="6">
        <v>179</v>
      </c>
      <c r="B180" s="14">
        <v>42642</v>
      </c>
      <c r="C180" s="15">
        <v>50733</v>
      </c>
      <c r="D180" s="16">
        <v>2.5990000000000002</v>
      </c>
      <c r="E180" s="16">
        <v>120</v>
      </c>
      <c r="F180" s="16" t="s">
        <v>919</v>
      </c>
      <c r="G180" s="10">
        <f t="shared" si="32"/>
        <v>46.171604463255093</v>
      </c>
      <c r="H180" s="11">
        <f t="shared" si="33"/>
        <v>87</v>
      </c>
      <c r="I180" s="10">
        <f t="shared" si="34"/>
        <v>5</v>
      </c>
      <c r="J180" s="10">
        <f t="shared" si="35"/>
        <v>5.2178249999999995</v>
      </c>
      <c r="K180" s="10">
        <f t="shared" si="36"/>
        <v>17.399999999999999</v>
      </c>
      <c r="L180" s="10">
        <f t="shared" si="37"/>
        <v>3.3347228011671532</v>
      </c>
      <c r="M180" s="12">
        <f t="shared" si="38"/>
        <v>8</v>
      </c>
      <c r="N180" s="13">
        <f t="shared" si="39"/>
        <v>0.45977011494252873</v>
      </c>
    </row>
    <row r="181" spans="1:14">
      <c r="A181" s="6">
        <v>180</v>
      </c>
      <c r="B181" s="14">
        <v>42661</v>
      </c>
      <c r="C181" s="15">
        <v>50975</v>
      </c>
      <c r="D181" s="16">
        <v>2.4990000000000001</v>
      </c>
      <c r="E181" s="16">
        <v>100</v>
      </c>
      <c r="F181" s="16" t="s">
        <v>919</v>
      </c>
      <c r="G181" s="10">
        <f t="shared" ref="G181:G198" si="40">IF(E181&lt;&gt;"",E181/D181,"")</f>
        <v>40.016006402561025</v>
      </c>
      <c r="H181" s="11">
        <f t="shared" ref="H181:H198" si="41">IF(C181="","",C181-C180)</f>
        <v>242</v>
      </c>
      <c r="I181" s="10">
        <f t="shared" ref="I181:I198" si="42">IF(B181="","",B181-B180)</f>
        <v>19</v>
      </c>
      <c r="J181" s="10">
        <f t="shared" ref="J181:J198" si="43">IF(H181="","",H181/G180)</f>
        <v>5.2413166666666671</v>
      </c>
      <c r="K181" s="10">
        <f t="shared" ref="K181:K198" si="44">IF(H181&lt;&gt;"",IF(I181&gt;0,H181/I181,H181),"" )</f>
        <v>12.736842105263158</v>
      </c>
      <c r="L181" s="10">
        <f t="shared" ref="L181:L198" si="45">IF(I181="","",IF(I181=0,G181,G180/I181))</f>
        <v>2.4300844454344785</v>
      </c>
      <c r="M181" s="12">
        <f t="shared" ref="M181:M198" si="46">IF(I181="","",IF(I181=0,E180,E180/I181))</f>
        <v>6.3157894736842106</v>
      </c>
      <c r="N181" s="13">
        <f t="shared" ref="N181:N198" si="47">IF(H181="","",E180/H181)</f>
        <v>0.49586776859504134</v>
      </c>
    </row>
    <row r="182" spans="1:14">
      <c r="A182" s="6">
        <v>181</v>
      </c>
      <c r="B182" s="14">
        <v>42677</v>
      </c>
      <c r="C182" s="15">
        <v>51188</v>
      </c>
      <c r="D182" s="16">
        <v>3.4990000000000001</v>
      </c>
      <c r="E182" s="16">
        <v>153.63999999999999</v>
      </c>
      <c r="F182" s="16" t="s">
        <v>918</v>
      </c>
      <c r="G182" s="10">
        <f t="shared" si="40"/>
        <v>43.909688482423547</v>
      </c>
      <c r="H182" s="11">
        <f t="shared" si="41"/>
        <v>213</v>
      </c>
      <c r="I182" s="10">
        <f t="shared" si="42"/>
        <v>16</v>
      </c>
      <c r="J182" s="10">
        <f t="shared" si="43"/>
        <v>5.32287</v>
      </c>
      <c r="K182" s="10">
        <f t="shared" si="44"/>
        <v>13.3125</v>
      </c>
      <c r="L182" s="10">
        <f t="shared" si="45"/>
        <v>2.5010004001600641</v>
      </c>
      <c r="M182" s="12">
        <f t="shared" si="46"/>
        <v>6.25</v>
      </c>
      <c r="N182" s="13">
        <f t="shared" si="47"/>
        <v>0.46948356807511737</v>
      </c>
    </row>
    <row r="183" spans="1:14">
      <c r="A183" s="6">
        <v>182</v>
      </c>
      <c r="B183" s="14">
        <v>42696</v>
      </c>
      <c r="C183" s="15">
        <v>51480</v>
      </c>
      <c r="D183" s="16">
        <v>3.3490000000000002</v>
      </c>
      <c r="E183" s="16">
        <v>156</v>
      </c>
      <c r="F183" s="16" t="s">
        <v>918</v>
      </c>
      <c r="G183" s="10">
        <f t="shared" si="40"/>
        <v>46.581068975813672</v>
      </c>
      <c r="H183" s="11">
        <f t="shared" si="41"/>
        <v>292</v>
      </c>
      <c r="I183" s="10">
        <f t="shared" si="42"/>
        <v>19</v>
      </c>
      <c r="J183" s="10">
        <f t="shared" si="43"/>
        <v>6.6500130174433743</v>
      </c>
      <c r="K183" s="10">
        <f t="shared" si="44"/>
        <v>15.368421052631579</v>
      </c>
      <c r="L183" s="10">
        <f t="shared" si="45"/>
        <v>2.3110362359170287</v>
      </c>
      <c r="M183" s="12">
        <f t="shared" si="46"/>
        <v>8.0863157894736837</v>
      </c>
      <c r="N183" s="13">
        <f t="shared" si="47"/>
        <v>0.52616438356164374</v>
      </c>
    </row>
    <row r="184" spans="1:14">
      <c r="A184" s="6">
        <v>183</v>
      </c>
      <c r="B184" s="14">
        <v>42716</v>
      </c>
      <c r="C184" s="15">
        <v>51810</v>
      </c>
      <c r="D184" s="16">
        <v>3.6989999999999998</v>
      </c>
      <c r="E184" s="16">
        <v>154.03</v>
      </c>
      <c r="F184" s="16" t="s">
        <v>918</v>
      </c>
      <c r="G184" s="10">
        <f t="shared" si="40"/>
        <v>41.640984049743174</v>
      </c>
      <c r="H184" s="11">
        <f t="shared" si="41"/>
        <v>330</v>
      </c>
      <c r="I184" s="10">
        <f t="shared" si="42"/>
        <v>20</v>
      </c>
      <c r="J184" s="10">
        <f t="shared" si="43"/>
        <v>7.0844230769230778</v>
      </c>
      <c r="K184" s="10">
        <f t="shared" si="44"/>
        <v>16.5</v>
      </c>
      <c r="L184" s="10">
        <f t="shared" si="45"/>
        <v>2.3290534487906838</v>
      </c>
      <c r="M184" s="12">
        <f t="shared" si="46"/>
        <v>7.8</v>
      </c>
      <c r="N184" s="13">
        <f t="shared" si="47"/>
        <v>0.47272727272727272</v>
      </c>
    </row>
    <row r="185" spans="1:14">
      <c r="A185" s="6">
        <v>184</v>
      </c>
      <c r="B185" s="14">
        <v>42759</v>
      </c>
      <c r="C185" s="15">
        <v>52131</v>
      </c>
      <c r="D185" s="16">
        <v>3.7989999999999999</v>
      </c>
      <c r="E185" s="16">
        <v>170.39</v>
      </c>
      <c r="F185" s="16" t="s">
        <v>918</v>
      </c>
      <c r="G185" s="10">
        <f t="shared" si="40"/>
        <v>44.85127665175046</v>
      </c>
      <c r="H185" s="11">
        <f t="shared" si="41"/>
        <v>321</v>
      </c>
      <c r="I185" s="10">
        <f t="shared" si="42"/>
        <v>43</v>
      </c>
      <c r="J185" s="10">
        <f t="shared" si="43"/>
        <v>7.7087515419074206</v>
      </c>
      <c r="K185" s="10">
        <f t="shared" si="44"/>
        <v>7.4651162790697674</v>
      </c>
      <c r="L185" s="10">
        <f t="shared" si="45"/>
        <v>0.96839497790100404</v>
      </c>
      <c r="M185" s="12">
        <f t="shared" si="46"/>
        <v>3.5820930232558141</v>
      </c>
      <c r="N185" s="13">
        <f t="shared" si="47"/>
        <v>0.47984423676012461</v>
      </c>
    </row>
    <row r="186" spans="1:14">
      <c r="A186" s="6">
        <v>185</v>
      </c>
      <c r="B186" s="14">
        <v>42797</v>
      </c>
      <c r="C186" s="15">
        <v>52502</v>
      </c>
      <c r="D186" s="16">
        <v>3.7989999999999999</v>
      </c>
      <c r="E186" s="16">
        <v>193.22</v>
      </c>
      <c r="F186" s="16" t="s">
        <v>918</v>
      </c>
      <c r="G186" s="10">
        <f t="shared" si="40"/>
        <v>50.860752829692025</v>
      </c>
      <c r="H186" s="11">
        <f t="shared" si="41"/>
        <v>371</v>
      </c>
      <c r="I186" s="10">
        <f t="shared" si="42"/>
        <v>38</v>
      </c>
      <c r="J186" s="10">
        <f t="shared" si="43"/>
        <v>8.2717823815951643</v>
      </c>
      <c r="K186" s="10">
        <f t="shared" si="44"/>
        <v>9.7631578947368425</v>
      </c>
      <c r="L186" s="10">
        <f t="shared" si="45"/>
        <v>1.1802967539934333</v>
      </c>
      <c r="M186" s="12">
        <f t="shared" si="46"/>
        <v>4.4839473684210525</v>
      </c>
      <c r="N186" s="13">
        <f t="shared" si="47"/>
        <v>0.45927223719676546</v>
      </c>
    </row>
    <row r="187" spans="1:14">
      <c r="A187" s="6">
        <v>186</v>
      </c>
      <c r="B187" s="14">
        <v>42830</v>
      </c>
      <c r="C187" s="15">
        <v>52857</v>
      </c>
      <c r="D187" s="16">
        <v>3.5990000000000002</v>
      </c>
      <c r="E187" s="16">
        <v>167.93</v>
      </c>
      <c r="F187" s="16" t="s">
        <v>918</v>
      </c>
      <c r="G187" s="10">
        <f t="shared" si="40"/>
        <v>46.66018338427341</v>
      </c>
      <c r="H187" s="11">
        <f t="shared" si="41"/>
        <v>355</v>
      </c>
      <c r="I187" s="10">
        <f t="shared" si="42"/>
        <v>33</v>
      </c>
      <c r="J187" s="10">
        <f t="shared" si="43"/>
        <v>6.9798416313011078</v>
      </c>
      <c r="K187" s="10">
        <f t="shared" si="44"/>
        <v>10.757575757575758</v>
      </c>
      <c r="L187" s="10">
        <f t="shared" si="45"/>
        <v>1.5412349342330918</v>
      </c>
      <c r="M187" s="12">
        <f t="shared" si="46"/>
        <v>5.8551515151515154</v>
      </c>
      <c r="N187" s="13">
        <f t="shared" si="47"/>
        <v>0.54428169014084504</v>
      </c>
    </row>
    <row r="188" spans="1:14">
      <c r="A188" s="6">
        <v>187</v>
      </c>
      <c r="B188" s="14">
        <v>42871</v>
      </c>
      <c r="C188" s="15">
        <v>53134</v>
      </c>
      <c r="D188" s="16">
        <v>3.4990000000000001</v>
      </c>
      <c r="E188" s="16">
        <v>90.03</v>
      </c>
      <c r="F188" s="16" t="s">
        <v>918</v>
      </c>
      <c r="G188" s="10">
        <f t="shared" si="40"/>
        <v>25.730208631037438</v>
      </c>
      <c r="H188" s="11">
        <f t="shared" si="41"/>
        <v>277</v>
      </c>
      <c r="I188" s="10">
        <f t="shared" si="42"/>
        <v>41</v>
      </c>
      <c r="J188" s="10">
        <f t="shared" si="43"/>
        <v>5.9365390341213597</v>
      </c>
      <c r="K188" s="10">
        <f t="shared" si="44"/>
        <v>6.7560975609756095</v>
      </c>
      <c r="L188" s="10">
        <f t="shared" si="45"/>
        <v>1.1380532532749612</v>
      </c>
      <c r="M188" s="12">
        <f t="shared" si="46"/>
        <v>4.0958536585365852</v>
      </c>
      <c r="N188" s="13">
        <f t="shared" si="47"/>
        <v>0.60624548736462092</v>
      </c>
    </row>
    <row r="189" spans="1:14">
      <c r="A189" s="6">
        <v>188</v>
      </c>
      <c r="B189" s="14">
        <v>42894</v>
      </c>
      <c r="C189" s="15">
        <v>53367</v>
      </c>
      <c r="D189" s="16">
        <v>3.4990000000000001</v>
      </c>
      <c r="E189" s="16">
        <v>165.08</v>
      </c>
      <c r="F189" s="16" t="s">
        <v>918</v>
      </c>
      <c r="G189" s="10">
        <f t="shared" si="40"/>
        <v>47.179194055444412</v>
      </c>
      <c r="H189" s="11">
        <f t="shared" si="41"/>
        <v>233</v>
      </c>
      <c r="I189" s="10">
        <f t="shared" si="42"/>
        <v>23</v>
      </c>
      <c r="J189" s="10">
        <f t="shared" si="43"/>
        <v>9.0555037209818945</v>
      </c>
      <c r="K189" s="10">
        <f t="shared" si="44"/>
        <v>10.130434782608695</v>
      </c>
      <c r="L189" s="10">
        <f t="shared" si="45"/>
        <v>1.1187047230885843</v>
      </c>
      <c r="M189" s="12">
        <f t="shared" si="46"/>
        <v>3.9143478260869564</v>
      </c>
      <c r="N189" s="13">
        <f t="shared" si="47"/>
        <v>0.38639484978540772</v>
      </c>
    </row>
    <row r="190" spans="1:14">
      <c r="A190" s="6">
        <v>189</v>
      </c>
      <c r="B190" s="14">
        <v>42921</v>
      </c>
      <c r="C190" s="15">
        <v>53714</v>
      </c>
      <c r="D190" s="16">
        <v>3.399</v>
      </c>
      <c r="E190" s="16">
        <v>157.88999999999999</v>
      </c>
      <c r="F190" s="16" t="s">
        <v>918</v>
      </c>
      <c r="G190" s="10">
        <f t="shared" si="40"/>
        <v>46.451897616946155</v>
      </c>
      <c r="H190" s="11">
        <f t="shared" si="41"/>
        <v>347</v>
      </c>
      <c r="I190" s="10">
        <f t="shared" si="42"/>
        <v>27</v>
      </c>
      <c r="J190" s="10">
        <f t="shared" si="43"/>
        <v>7.3549370002423071</v>
      </c>
      <c r="K190" s="10">
        <f t="shared" si="44"/>
        <v>12.851851851851851</v>
      </c>
      <c r="L190" s="10">
        <f t="shared" si="45"/>
        <v>1.7473775576090522</v>
      </c>
      <c r="M190" s="12">
        <f t="shared" si="46"/>
        <v>6.1140740740740744</v>
      </c>
      <c r="N190" s="13">
        <f t="shared" si="47"/>
        <v>0.4757348703170029</v>
      </c>
    </row>
    <row r="191" spans="1:14">
      <c r="A191" s="6">
        <v>190</v>
      </c>
      <c r="B191" s="14">
        <v>42951</v>
      </c>
      <c r="C191" s="15">
        <v>54047</v>
      </c>
      <c r="D191" s="16">
        <v>3.7989999999999999</v>
      </c>
      <c r="E191" s="16">
        <v>176.08</v>
      </c>
      <c r="F191" s="16" t="s">
        <v>918</v>
      </c>
      <c r="G191" s="10">
        <f t="shared" si="40"/>
        <v>46.349039220847594</v>
      </c>
      <c r="H191" s="11">
        <f t="shared" si="41"/>
        <v>333</v>
      </c>
      <c r="I191" s="10">
        <f t="shared" si="42"/>
        <v>30</v>
      </c>
      <c r="J191" s="10">
        <f t="shared" si="43"/>
        <v>7.1687060611818358</v>
      </c>
      <c r="K191" s="10">
        <f t="shared" si="44"/>
        <v>11.1</v>
      </c>
      <c r="L191" s="10">
        <f t="shared" si="45"/>
        <v>1.5483965872315386</v>
      </c>
      <c r="M191" s="12">
        <f t="shared" si="46"/>
        <v>5.2629999999999999</v>
      </c>
      <c r="N191" s="13">
        <f t="shared" si="47"/>
        <v>0.47414414414414413</v>
      </c>
    </row>
    <row r="192" spans="1:14">
      <c r="A192" s="6">
        <v>191</v>
      </c>
      <c r="B192" s="14">
        <v>42983</v>
      </c>
      <c r="C192" s="15">
        <v>54358</v>
      </c>
      <c r="D192" s="16">
        <v>3.7989999999999999</v>
      </c>
      <c r="E192" s="16">
        <v>168.18</v>
      </c>
      <c r="F192" s="16" t="s">
        <v>918</v>
      </c>
      <c r="G192" s="10">
        <f t="shared" si="40"/>
        <v>44.269544617004478</v>
      </c>
      <c r="H192" s="11">
        <f t="shared" si="41"/>
        <v>311</v>
      </c>
      <c r="I192" s="10">
        <f t="shared" si="42"/>
        <v>32</v>
      </c>
      <c r="J192" s="10">
        <f t="shared" si="43"/>
        <v>6.7099557019536569</v>
      </c>
      <c r="K192" s="10">
        <f t="shared" si="44"/>
        <v>9.71875</v>
      </c>
      <c r="L192" s="10">
        <f t="shared" si="45"/>
        <v>1.4484074756514873</v>
      </c>
      <c r="M192" s="12">
        <f t="shared" si="46"/>
        <v>5.5025000000000004</v>
      </c>
      <c r="N192" s="13">
        <f t="shared" si="47"/>
        <v>0.56617363344051452</v>
      </c>
    </row>
    <row r="193" spans="1:14">
      <c r="A193" s="6">
        <v>192</v>
      </c>
      <c r="B193" s="14">
        <v>43020</v>
      </c>
      <c r="C193" s="15">
        <v>54689</v>
      </c>
      <c r="D193" s="16">
        <v>3.7989999999999999</v>
      </c>
      <c r="E193" s="16">
        <v>174.03</v>
      </c>
      <c r="F193" s="16" t="s">
        <v>918</v>
      </c>
      <c r="G193" s="10">
        <f t="shared" si="40"/>
        <v>45.809423532508553</v>
      </c>
      <c r="H193" s="11">
        <f t="shared" si="41"/>
        <v>331</v>
      </c>
      <c r="I193" s="10">
        <f t="shared" si="42"/>
        <v>37</v>
      </c>
      <c r="J193" s="10">
        <f t="shared" si="43"/>
        <v>7.4769235343084786</v>
      </c>
      <c r="K193" s="10">
        <f t="shared" si="44"/>
        <v>8.9459459459459456</v>
      </c>
      <c r="L193" s="10">
        <f t="shared" si="45"/>
        <v>1.1964741788379589</v>
      </c>
      <c r="M193" s="12">
        <f t="shared" si="46"/>
        <v>4.5454054054054058</v>
      </c>
      <c r="N193" s="13">
        <f t="shared" si="47"/>
        <v>0.50809667673716019</v>
      </c>
    </row>
    <row r="194" spans="1:14">
      <c r="A194" s="6">
        <v>193</v>
      </c>
      <c r="B194" s="14">
        <v>43050</v>
      </c>
      <c r="C194" s="15">
        <v>55006</v>
      </c>
      <c r="D194" s="16">
        <v>3.9969999999999999</v>
      </c>
      <c r="E194" s="16">
        <v>185.1</v>
      </c>
      <c r="F194" s="16" t="s">
        <v>918</v>
      </c>
      <c r="G194" s="10">
        <f t="shared" si="40"/>
        <v>46.309732299224422</v>
      </c>
      <c r="H194" s="11">
        <f t="shared" si="41"/>
        <v>317</v>
      </c>
      <c r="I194" s="10">
        <f t="shared" si="42"/>
        <v>30</v>
      </c>
      <c r="J194" s="10">
        <f t="shared" si="43"/>
        <v>6.9199735677756706</v>
      </c>
      <c r="K194" s="10">
        <f t="shared" si="44"/>
        <v>10.566666666666666</v>
      </c>
      <c r="L194" s="10">
        <f t="shared" si="45"/>
        <v>1.5269807844169518</v>
      </c>
      <c r="M194" s="12">
        <f t="shared" si="46"/>
        <v>5.8010000000000002</v>
      </c>
      <c r="N194" s="13">
        <f t="shared" si="47"/>
        <v>0.54899053627760253</v>
      </c>
    </row>
    <row r="195" spans="1:14">
      <c r="A195" s="6">
        <v>194</v>
      </c>
      <c r="B195" s="14">
        <v>43069</v>
      </c>
      <c r="C195" s="15">
        <v>55304</v>
      </c>
      <c r="D195" s="16">
        <v>4.0990000000000002</v>
      </c>
      <c r="E195" s="16">
        <v>172.02</v>
      </c>
      <c r="F195" s="16" t="s">
        <v>918</v>
      </c>
      <c r="G195" s="10">
        <f t="shared" si="40"/>
        <v>41.966333252012689</v>
      </c>
      <c r="H195" s="11">
        <f t="shared" si="41"/>
        <v>298</v>
      </c>
      <c r="I195" s="10">
        <f t="shared" si="42"/>
        <v>19</v>
      </c>
      <c r="J195" s="10">
        <f t="shared" si="43"/>
        <v>6.4349324689357097</v>
      </c>
      <c r="K195" s="10">
        <f t="shared" si="44"/>
        <v>15.684210526315789</v>
      </c>
      <c r="L195" s="10">
        <f t="shared" si="45"/>
        <v>2.4373543315381276</v>
      </c>
      <c r="M195" s="12">
        <f t="shared" si="46"/>
        <v>9.7421052631578942</v>
      </c>
      <c r="N195" s="13">
        <f t="shared" si="47"/>
        <v>0.62114093959731542</v>
      </c>
    </row>
    <row r="196" spans="1:14">
      <c r="A196" s="6">
        <v>195</v>
      </c>
      <c r="B196" s="14">
        <v>43070</v>
      </c>
      <c r="C196" s="15">
        <v>55808</v>
      </c>
      <c r="D196" s="16">
        <v>4.1970000000000001</v>
      </c>
      <c r="E196" s="16">
        <v>60</v>
      </c>
      <c r="F196" s="16" t="s">
        <v>918</v>
      </c>
      <c r="G196" s="10">
        <f t="shared" si="40"/>
        <v>14.295925661186562</v>
      </c>
      <c r="H196" s="11">
        <f t="shared" si="41"/>
        <v>504</v>
      </c>
      <c r="I196" s="10">
        <f t="shared" si="42"/>
        <v>1</v>
      </c>
      <c r="J196" s="10">
        <f t="shared" si="43"/>
        <v>12.009626787582839</v>
      </c>
      <c r="K196" s="10">
        <f t="shared" si="44"/>
        <v>504</v>
      </c>
      <c r="L196" s="10">
        <f t="shared" si="45"/>
        <v>41.966333252012689</v>
      </c>
      <c r="M196" s="12">
        <f t="shared" si="46"/>
        <v>172.02</v>
      </c>
      <c r="N196" s="13">
        <f t="shared" si="47"/>
        <v>0.34130952380952384</v>
      </c>
    </row>
    <row r="197" spans="1:14">
      <c r="A197" s="6">
        <v>196</v>
      </c>
      <c r="B197" s="14">
        <v>43082</v>
      </c>
      <c r="C197" s="15">
        <v>56079</v>
      </c>
      <c r="D197" s="16">
        <v>4.1989999999999998</v>
      </c>
      <c r="E197" s="16">
        <v>100</v>
      </c>
      <c r="F197" s="16" t="s">
        <v>918</v>
      </c>
      <c r="G197" s="10">
        <f t="shared" si="40"/>
        <v>23.815194093831867</v>
      </c>
      <c r="H197" s="11">
        <f t="shared" si="41"/>
        <v>271</v>
      </c>
      <c r="I197" s="10">
        <f t="shared" si="42"/>
        <v>12</v>
      </c>
      <c r="J197" s="10">
        <f t="shared" si="43"/>
        <v>18.95645</v>
      </c>
      <c r="K197" s="10">
        <f t="shared" si="44"/>
        <v>22.583333333333332</v>
      </c>
      <c r="L197" s="10">
        <f t="shared" si="45"/>
        <v>1.1913271384322135</v>
      </c>
      <c r="M197" s="12">
        <f t="shared" si="46"/>
        <v>5</v>
      </c>
      <c r="N197" s="13">
        <f t="shared" si="47"/>
        <v>0.22140221402214022</v>
      </c>
    </row>
    <row r="198" spans="1:14">
      <c r="A198" s="6">
        <v>197</v>
      </c>
      <c r="B198" s="14">
        <v>43113</v>
      </c>
      <c r="C198" s="15">
        <v>56241</v>
      </c>
      <c r="D198" s="16">
        <v>4.2990000000000004</v>
      </c>
      <c r="E198" s="16">
        <v>200.46</v>
      </c>
      <c r="F198" s="16" t="s">
        <v>918</v>
      </c>
      <c r="G198" s="10">
        <f t="shared" si="40"/>
        <v>46.629448709002091</v>
      </c>
      <c r="H198" s="11">
        <f t="shared" si="41"/>
        <v>162</v>
      </c>
      <c r="I198" s="10">
        <f t="shared" si="42"/>
        <v>31</v>
      </c>
      <c r="J198" s="10">
        <f t="shared" si="43"/>
        <v>6.8023799999999994</v>
      </c>
      <c r="K198" s="10">
        <f t="shared" si="44"/>
        <v>5.225806451612903</v>
      </c>
      <c r="L198" s="10">
        <f t="shared" si="45"/>
        <v>0.76823206754296347</v>
      </c>
      <c r="M198" s="12">
        <f t="shared" si="46"/>
        <v>3.225806451612903</v>
      </c>
      <c r="N198" s="13">
        <f t="shared" si="47"/>
        <v>0.61728395061728392</v>
      </c>
    </row>
    <row r="199" spans="1:14">
      <c r="A199" s="6">
        <v>198</v>
      </c>
      <c r="B199" s="14">
        <v>43114</v>
      </c>
      <c r="C199" s="15">
        <v>56694</v>
      </c>
      <c r="D199" s="16">
        <v>4.2480000000000002</v>
      </c>
      <c r="E199" s="16">
        <v>140.01</v>
      </c>
      <c r="F199" s="16" t="s">
        <v>918</v>
      </c>
      <c r="G199" s="10">
        <f t="shared" ref="G199:G221" si="48">IF(E199&lt;&gt;"",E199/D199,"")</f>
        <v>32.959039548022595</v>
      </c>
      <c r="H199" s="11">
        <f t="shared" ref="H199:H221" si="49">IF(C199="","",C199-C198)</f>
        <v>453</v>
      </c>
      <c r="I199" s="10">
        <f t="shared" ref="I199:I221" si="50">IF(B199="","",B199-B198)</f>
        <v>1</v>
      </c>
      <c r="J199" s="10">
        <f t="shared" ref="J199:J221" si="51">IF(H199="","",H199/G198)</f>
        <v>9.7148907512720744</v>
      </c>
      <c r="K199" s="10">
        <f t="shared" ref="K199:K221" si="52">IF(H199&lt;&gt;"",IF(I199&gt;0,H199/I199,H199),"" )</f>
        <v>453</v>
      </c>
      <c r="L199" s="10">
        <f t="shared" ref="L199:L221" si="53">IF(I199="","",IF(I199=0,G199,G198/I199))</f>
        <v>46.629448709002091</v>
      </c>
      <c r="M199" s="12">
        <f t="shared" ref="M199:M221" si="54">IF(I199="","",IF(I199=0,E198,E198/I199))</f>
        <v>200.46</v>
      </c>
      <c r="N199" s="13">
        <f t="shared" ref="N199:N221" si="55">IF(H199="","",E198/H199)</f>
        <v>0.44251655629139075</v>
      </c>
    </row>
    <row r="200" spans="1:14">
      <c r="A200" s="6">
        <v>199</v>
      </c>
      <c r="B200" s="14">
        <v>43123</v>
      </c>
      <c r="C200" s="15">
        <v>57222</v>
      </c>
      <c r="D200" s="16">
        <v>4.0990000000000002</v>
      </c>
      <c r="E200" s="16">
        <v>50</v>
      </c>
      <c r="F200" s="16" t="s">
        <v>918</v>
      </c>
      <c r="G200" s="10">
        <f t="shared" si="48"/>
        <v>12.198097096852891</v>
      </c>
      <c r="H200" s="11">
        <f t="shared" si="49"/>
        <v>528</v>
      </c>
      <c r="I200" s="10">
        <f t="shared" si="50"/>
        <v>9</v>
      </c>
      <c r="J200" s="10">
        <f t="shared" si="51"/>
        <v>16.019884293979004</v>
      </c>
      <c r="K200" s="10">
        <f t="shared" si="52"/>
        <v>58.666666666666664</v>
      </c>
      <c r="L200" s="10">
        <f t="shared" si="53"/>
        <v>3.6621155053358438</v>
      </c>
      <c r="M200" s="12">
        <f t="shared" si="54"/>
        <v>15.556666666666665</v>
      </c>
      <c r="N200" s="13">
        <f t="shared" si="55"/>
        <v>0.26517045454545451</v>
      </c>
    </row>
    <row r="201" spans="1:14">
      <c r="A201" s="6">
        <v>200</v>
      </c>
      <c r="B201" s="14">
        <v>43136</v>
      </c>
      <c r="C201" s="15">
        <v>57307</v>
      </c>
      <c r="D201" s="16">
        <v>4.1989999999999998</v>
      </c>
      <c r="E201" s="16">
        <v>150</v>
      </c>
      <c r="F201" s="16" t="s">
        <v>918</v>
      </c>
      <c r="G201" s="10">
        <f t="shared" si="48"/>
        <v>35.722791140747802</v>
      </c>
      <c r="H201" s="11">
        <f t="shared" si="49"/>
        <v>85</v>
      </c>
      <c r="I201" s="10">
        <f t="shared" si="50"/>
        <v>13</v>
      </c>
      <c r="J201" s="10">
        <f t="shared" si="51"/>
        <v>6.9683000000000002</v>
      </c>
      <c r="K201" s="10">
        <f t="shared" si="52"/>
        <v>6.5384615384615383</v>
      </c>
      <c r="L201" s="10">
        <f t="shared" si="53"/>
        <v>0.93831516129637627</v>
      </c>
      <c r="M201" s="12">
        <f t="shared" si="54"/>
        <v>3.8461538461538463</v>
      </c>
      <c r="N201" s="13">
        <f t="shared" si="55"/>
        <v>0.58823529411764708</v>
      </c>
    </row>
    <row r="202" spans="1:14">
      <c r="A202" s="6">
        <v>201</v>
      </c>
      <c r="B202" s="14">
        <v>43143</v>
      </c>
      <c r="C202" s="15">
        <v>57767</v>
      </c>
      <c r="D202" s="16">
        <v>4.1989999999999998</v>
      </c>
      <c r="E202" s="16">
        <v>196.93</v>
      </c>
      <c r="F202" s="16" t="s">
        <v>918</v>
      </c>
      <c r="G202" s="10">
        <f t="shared" si="48"/>
        <v>46.899261728983092</v>
      </c>
      <c r="H202" s="11">
        <f t="shared" si="49"/>
        <v>460</v>
      </c>
      <c r="I202" s="10">
        <f t="shared" si="50"/>
        <v>7</v>
      </c>
      <c r="J202" s="10">
        <f t="shared" si="51"/>
        <v>12.876933333333332</v>
      </c>
      <c r="K202" s="10">
        <f t="shared" si="52"/>
        <v>65.714285714285708</v>
      </c>
      <c r="L202" s="10">
        <f t="shared" si="53"/>
        <v>5.1032558772496861</v>
      </c>
      <c r="M202" s="12">
        <f t="shared" si="54"/>
        <v>21.428571428571427</v>
      </c>
      <c r="N202" s="13">
        <f t="shared" si="55"/>
        <v>0.32608695652173914</v>
      </c>
    </row>
    <row r="203" spans="1:14">
      <c r="A203" s="6">
        <v>202</v>
      </c>
      <c r="B203" s="14">
        <v>43160</v>
      </c>
      <c r="C203" s="15">
        <v>58310</v>
      </c>
      <c r="D203" s="16">
        <v>4.1989999999999998</v>
      </c>
      <c r="E203" s="16">
        <v>205</v>
      </c>
      <c r="F203" s="16" t="s">
        <v>918</v>
      </c>
      <c r="G203" s="10">
        <f t="shared" si="48"/>
        <v>48.821147892355327</v>
      </c>
      <c r="H203" s="11">
        <f t="shared" si="49"/>
        <v>543</v>
      </c>
      <c r="I203" s="10">
        <f t="shared" si="50"/>
        <v>17</v>
      </c>
      <c r="J203" s="10">
        <f t="shared" si="51"/>
        <v>11.578007413801858</v>
      </c>
      <c r="K203" s="10">
        <f t="shared" si="52"/>
        <v>31.941176470588236</v>
      </c>
      <c r="L203" s="10">
        <f t="shared" si="53"/>
        <v>2.7587801017048879</v>
      </c>
      <c r="M203" s="12">
        <f t="shared" si="54"/>
        <v>11.584117647058823</v>
      </c>
      <c r="N203" s="13">
        <f t="shared" si="55"/>
        <v>0.36267034990791897</v>
      </c>
    </row>
    <row r="204" spans="1:14">
      <c r="A204" s="6">
        <v>203</v>
      </c>
      <c r="B204" s="14">
        <v>43197</v>
      </c>
      <c r="C204" s="15">
        <v>58637</v>
      </c>
      <c r="D204" s="16">
        <v>4.2990000000000004</v>
      </c>
      <c r="E204" s="16">
        <v>150</v>
      </c>
      <c r="F204" s="16" t="s">
        <v>918</v>
      </c>
      <c r="G204" s="10">
        <f t="shared" si="48"/>
        <v>34.891835310537331</v>
      </c>
      <c r="H204" s="11">
        <f t="shared" si="49"/>
        <v>327</v>
      </c>
      <c r="I204" s="10">
        <f t="shared" si="50"/>
        <v>37</v>
      </c>
      <c r="J204" s="10">
        <f t="shared" si="51"/>
        <v>6.6979170731707312</v>
      </c>
      <c r="K204" s="10">
        <f t="shared" si="52"/>
        <v>8.8378378378378386</v>
      </c>
      <c r="L204" s="10">
        <f t="shared" si="53"/>
        <v>1.319490483577171</v>
      </c>
      <c r="M204" s="12">
        <f t="shared" si="54"/>
        <v>5.5405405405405403</v>
      </c>
      <c r="N204" s="13">
        <f t="shared" si="55"/>
        <v>0.62691131498470953</v>
      </c>
    </row>
    <row r="205" spans="1:14">
      <c r="A205" s="6">
        <v>204</v>
      </c>
      <c r="B205" s="14">
        <v>43211</v>
      </c>
      <c r="C205" s="15">
        <v>58831</v>
      </c>
      <c r="D205" s="16">
        <v>3.9990000000000001</v>
      </c>
      <c r="E205" s="16">
        <v>100</v>
      </c>
      <c r="F205" s="16" t="s">
        <v>918</v>
      </c>
      <c r="G205" s="10">
        <f t="shared" si="48"/>
        <v>25.006251562890721</v>
      </c>
      <c r="H205" s="11">
        <f t="shared" si="49"/>
        <v>194</v>
      </c>
      <c r="I205" s="10">
        <f t="shared" si="50"/>
        <v>14</v>
      </c>
      <c r="J205" s="10">
        <f t="shared" si="51"/>
        <v>5.5600400000000008</v>
      </c>
      <c r="K205" s="10">
        <f t="shared" si="52"/>
        <v>13.857142857142858</v>
      </c>
      <c r="L205" s="10">
        <f t="shared" si="53"/>
        <v>2.4922739507526663</v>
      </c>
      <c r="M205" s="12">
        <f t="shared" si="54"/>
        <v>10.714285714285714</v>
      </c>
      <c r="N205" s="13">
        <f t="shared" si="55"/>
        <v>0.77319587628865982</v>
      </c>
    </row>
    <row r="206" spans="1:14">
      <c r="A206" s="6">
        <v>205</v>
      </c>
      <c r="B206" s="14">
        <v>43212</v>
      </c>
      <c r="C206" s="15">
        <v>59235</v>
      </c>
      <c r="D206" s="16">
        <v>4.3479999999999999</v>
      </c>
      <c r="E206" s="16">
        <v>172.49</v>
      </c>
      <c r="F206" s="16" t="s">
        <v>918</v>
      </c>
      <c r="G206" s="10">
        <f t="shared" si="48"/>
        <v>39.671113155473783</v>
      </c>
      <c r="H206" s="11">
        <f t="shared" si="49"/>
        <v>404</v>
      </c>
      <c r="I206" s="10">
        <f t="shared" si="50"/>
        <v>1</v>
      </c>
      <c r="J206" s="10">
        <f t="shared" si="51"/>
        <v>16.15596</v>
      </c>
      <c r="K206" s="10">
        <f t="shared" si="52"/>
        <v>404</v>
      </c>
      <c r="L206" s="10">
        <f t="shared" si="53"/>
        <v>25.006251562890721</v>
      </c>
      <c r="M206" s="12">
        <f t="shared" si="54"/>
        <v>100</v>
      </c>
      <c r="N206" s="13">
        <f t="shared" si="55"/>
        <v>0.24752475247524752</v>
      </c>
    </row>
    <row r="207" spans="1:14">
      <c r="A207" s="6">
        <v>206</v>
      </c>
      <c r="B207" s="14">
        <v>43221</v>
      </c>
      <c r="C207" s="15">
        <v>59741</v>
      </c>
      <c r="D207" s="16">
        <v>4.0990000000000002</v>
      </c>
      <c r="E207" s="16">
        <v>150</v>
      </c>
      <c r="F207" s="16" t="s">
        <v>918</v>
      </c>
      <c r="G207" s="10">
        <f t="shared" si="48"/>
        <v>36.594291290558672</v>
      </c>
      <c r="H207" s="11">
        <f t="shared" si="49"/>
        <v>506</v>
      </c>
      <c r="I207" s="10">
        <f t="shared" si="50"/>
        <v>9</v>
      </c>
      <c r="J207" s="10">
        <f t="shared" si="51"/>
        <v>12.754872746246159</v>
      </c>
      <c r="K207" s="10">
        <f t="shared" si="52"/>
        <v>56.222222222222221</v>
      </c>
      <c r="L207" s="10">
        <f t="shared" si="53"/>
        <v>4.4079014617193089</v>
      </c>
      <c r="M207" s="12">
        <f t="shared" si="54"/>
        <v>19.165555555555557</v>
      </c>
      <c r="N207" s="13">
        <f t="shared" si="55"/>
        <v>0.34088932806324113</v>
      </c>
    </row>
    <row r="208" spans="1:14">
      <c r="A208" s="6">
        <v>207</v>
      </c>
      <c r="B208" s="14">
        <v>43254</v>
      </c>
      <c r="C208" s="15">
        <v>60005</v>
      </c>
      <c r="D208" s="16">
        <v>4.4989999999999997</v>
      </c>
      <c r="E208" s="16">
        <v>160</v>
      </c>
      <c r="F208" s="16" t="s">
        <v>918</v>
      </c>
      <c r="G208" s="10">
        <f t="shared" si="48"/>
        <v>35.563458546343632</v>
      </c>
      <c r="H208" s="11">
        <f t="shared" si="49"/>
        <v>264</v>
      </c>
      <c r="I208" s="10">
        <f t="shared" si="50"/>
        <v>33</v>
      </c>
      <c r="J208" s="10">
        <f t="shared" si="51"/>
        <v>7.2142400000000002</v>
      </c>
      <c r="K208" s="10">
        <f t="shared" si="52"/>
        <v>8</v>
      </c>
      <c r="L208" s="10">
        <f t="shared" si="53"/>
        <v>1.1089179178957174</v>
      </c>
      <c r="M208" s="12">
        <f t="shared" si="54"/>
        <v>4.5454545454545459</v>
      </c>
      <c r="N208" s="13">
        <f t="shared" si="55"/>
        <v>0.56818181818181823</v>
      </c>
    </row>
    <row r="209" spans="1:14">
      <c r="A209" s="6">
        <v>208</v>
      </c>
      <c r="B209" s="14">
        <v>43285</v>
      </c>
      <c r="C209" s="15">
        <v>60310</v>
      </c>
      <c r="D209" s="16">
        <v>4.5990000000000002</v>
      </c>
      <c r="E209" s="16">
        <v>214.64</v>
      </c>
      <c r="F209" s="16" t="s">
        <v>918</v>
      </c>
      <c r="G209" s="10">
        <f t="shared" si="48"/>
        <v>46.671015438138724</v>
      </c>
      <c r="H209" s="11">
        <f t="shared" si="49"/>
        <v>305</v>
      </c>
      <c r="I209" s="10">
        <f t="shared" si="50"/>
        <v>31</v>
      </c>
      <c r="J209" s="10">
        <f t="shared" si="51"/>
        <v>8.5762187500000007</v>
      </c>
      <c r="K209" s="10">
        <f t="shared" si="52"/>
        <v>9.8387096774193541</v>
      </c>
      <c r="L209" s="10">
        <f t="shared" si="53"/>
        <v>1.1472083402046334</v>
      </c>
      <c r="M209" s="12">
        <f t="shared" si="54"/>
        <v>5.161290322580645</v>
      </c>
      <c r="N209" s="13">
        <f t="shared" si="55"/>
        <v>0.52459016393442626</v>
      </c>
    </row>
    <row r="210" spans="1:14">
      <c r="A210" s="6">
        <v>209</v>
      </c>
      <c r="B210" s="14">
        <v>43318</v>
      </c>
      <c r="C210" s="15">
        <v>60662</v>
      </c>
      <c r="D210" s="16">
        <v>4.5990000000000002</v>
      </c>
      <c r="E210" s="16">
        <v>200</v>
      </c>
      <c r="F210" s="16" t="s">
        <v>918</v>
      </c>
      <c r="G210" s="10">
        <f t="shared" si="48"/>
        <v>43.487714720591434</v>
      </c>
      <c r="H210" s="11">
        <f t="shared" si="49"/>
        <v>352</v>
      </c>
      <c r="I210" s="10">
        <f t="shared" si="50"/>
        <v>33</v>
      </c>
      <c r="J210" s="10">
        <f t="shared" si="51"/>
        <v>7.5421543048825948</v>
      </c>
      <c r="K210" s="10">
        <f t="shared" si="52"/>
        <v>10.666666666666666</v>
      </c>
      <c r="L210" s="10">
        <f t="shared" si="53"/>
        <v>1.4142731950951128</v>
      </c>
      <c r="M210" s="12">
        <f t="shared" si="54"/>
        <v>6.5042424242424239</v>
      </c>
      <c r="N210" s="13">
        <f t="shared" si="55"/>
        <v>0.60977272727272724</v>
      </c>
    </row>
    <row r="211" spans="1:14">
      <c r="A211" s="6">
        <v>210</v>
      </c>
      <c r="B211" s="14">
        <v>43349</v>
      </c>
      <c r="C211" s="15">
        <v>60874</v>
      </c>
      <c r="D211" s="16">
        <v>4.6989999999999998</v>
      </c>
      <c r="E211" s="16">
        <v>100</v>
      </c>
      <c r="F211" s="16" t="s">
        <v>918</v>
      </c>
      <c r="G211" s="10">
        <f t="shared" si="48"/>
        <v>21.281123643328367</v>
      </c>
      <c r="H211" s="11">
        <f t="shared" si="49"/>
        <v>212</v>
      </c>
      <c r="I211" s="10">
        <f t="shared" si="50"/>
        <v>31</v>
      </c>
      <c r="J211" s="10">
        <f t="shared" si="51"/>
        <v>4.8749399999999996</v>
      </c>
      <c r="K211" s="10">
        <f t="shared" si="52"/>
        <v>6.838709677419355</v>
      </c>
      <c r="L211" s="10">
        <f t="shared" si="53"/>
        <v>1.4028295071158527</v>
      </c>
      <c r="M211" s="12">
        <f t="shared" si="54"/>
        <v>6.4516129032258061</v>
      </c>
      <c r="N211" s="13">
        <f t="shared" si="55"/>
        <v>0.94339622641509435</v>
      </c>
    </row>
    <row r="212" spans="1:14">
      <c r="A212" s="6">
        <v>211</v>
      </c>
      <c r="B212" s="14"/>
      <c r="C212" s="15"/>
      <c r="D212" s="16"/>
      <c r="E212" s="16"/>
      <c r="F212" s="16"/>
      <c r="G212" s="10" t="str">
        <f t="shared" si="48"/>
        <v/>
      </c>
      <c r="H212" s="11" t="str">
        <f t="shared" si="49"/>
        <v/>
      </c>
      <c r="I212" s="10" t="str">
        <f t="shared" si="50"/>
        <v/>
      </c>
      <c r="J212" s="10" t="str">
        <f t="shared" si="51"/>
        <v/>
      </c>
      <c r="K212" s="10" t="str">
        <f t="shared" si="52"/>
        <v/>
      </c>
      <c r="L212" s="10" t="str">
        <f t="shared" si="53"/>
        <v/>
      </c>
      <c r="M212" s="12" t="str">
        <f t="shared" si="54"/>
        <v/>
      </c>
      <c r="N212" s="13" t="str">
        <f t="shared" si="55"/>
        <v/>
      </c>
    </row>
    <row r="213" spans="1:14">
      <c r="A213" s="6">
        <v>212</v>
      </c>
      <c r="B213" s="14"/>
      <c r="C213" s="15"/>
      <c r="D213" s="16"/>
      <c r="E213" s="16"/>
      <c r="F213" s="16"/>
      <c r="G213" s="10" t="str">
        <f t="shared" si="48"/>
        <v/>
      </c>
      <c r="H213" s="11" t="str">
        <f t="shared" si="49"/>
        <v/>
      </c>
      <c r="I213" s="10" t="str">
        <f t="shared" si="50"/>
        <v/>
      </c>
      <c r="J213" s="10" t="str">
        <f t="shared" si="51"/>
        <v/>
      </c>
      <c r="K213" s="10" t="str">
        <f t="shared" si="52"/>
        <v/>
      </c>
      <c r="L213" s="10" t="str">
        <f t="shared" si="53"/>
        <v/>
      </c>
      <c r="M213" s="12" t="str">
        <f t="shared" si="54"/>
        <v/>
      </c>
      <c r="N213" s="13" t="str">
        <f t="shared" si="55"/>
        <v/>
      </c>
    </row>
    <row r="214" spans="1:14">
      <c r="A214" s="6">
        <v>213</v>
      </c>
      <c r="B214" s="14"/>
      <c r="C214" s="15"/>
      <c r="D214" s="16"/>
      <c r="E214" s="16"/>
      <c r="F214" s="16"/>
      <c r="G214" s="10" t="str">
        <f t="shared" si="48"/>
        <v/>
      </c>
      <c r="H214" s="11" t="str">
        <f t="shared" si="49"/>
        <v/>
      </c>
      <c r="I214" s="10" t="str">
        <f t="shared" si="50"/>
        <v/>
      </c>
      <c r="J214" s="10" t="str">
        <f t="shared" si="51"/>
        <v/>
      </c>
      <c r="K214" s="10" t="str">
        <f t="shared" si="52"/>
        <v/>
      </c>
      <c r="L214" s="10" t="str">
        <f t="shared" si="53"/>
        <v/>
      </c>
      <c r="M214" s="12" t="str">
        <f t="shared" si="54"/>
        <v/>
      </c>
      <c r="N214" s="13" t="str">
        <f t="shared" si="55"/>
        <v/>
      </c>
    </row>
    <row r="215" spans="1:14">
      <c r="A215" s="6">
        <v>214</v>
      </c>
      <c r="B215" s="14"/>
      <c r="C215" s="15"/>
      <c r="D215" s="16"/>
      <c r="E215" s="16"/>
      <c r="F215" s="16"/>
      <c r="G215" s="10" t="str">
        <f t="shared" si="48"/>
        <v/>
      </c>
      <c r="H215" s="11" t="str">
        <f t="shared" si="49"/>
        <v/>
      </c>
      <c r="I215" s="10" t="str">
        <f t="shared" si="50"/>
        <v/>
      </c>
      <c r="J215" s="10" t="str">
        <f t="shared" si="51"/>
        <v/>
      </c>
      <c r="K215" s="10" t="str">
        <f t="shared" si="52"/>
        <v/>
      </c>
      <c r="L215" s="10" t="str">
        <f t="shared" si="53"/>
        <v/>
      </c>
      <c r="M215" s="12" t="str">
        <f t="shared" si="54"/>
        <v/>
      </c>
      <c r="N215" s="13" t="str">
        <f t="shared" si="55"/>
        <v/>
      </c>
    </row>
    <row r="216" spans="1:14">
      <c r="A216" s="6">
        <v>215</v>
      </c>
      <c r="B216" s="14"/>
      <c r="C216" s="15"/>
      <c r="D216" s="16"/>
      <c r="E216" s="16"/>
      <c r="F216" s="16"/>
      <c r="G216" s="10" t="str">
        <f t="shared" si="48"/>
        <v/>
      </c>
      <c r="H216" s="11" t="str">
        <f t="shared" si="49"/>
        <v/>
      </c>
      <c r="I216" s="10" t="str">
        <f t="shared" si="50"/>
        <v/>
      </c>
      <c r="J216" s="10" t="str">
        <f t="shared" si="51"/>
        <v/>
      </c>
      <c r="K216" s="10" t="str">
        <f t="shared" si="52"/>
        <v/>
      </c>
      <c r="L216" s="10" t="str">
        <f t="shared" si="53"/>
        <v/>
      </c>
      <c r="M216" s="12" t="str">
        <f t="shared" si="54"/>
        <v/>
      </c>
      <c r="N216" s="13" t="str">
        <f t="shared" si="55"/>
        <v/>
      </c>
    </row>
    <row r="217" spans="1:14">
      <c r="A217" s="6">
        <v>216</v>
      </c>
      <c r="B217" s="14"/>
      <c r="C217" s="15"/>
      <c r="D217" s="16"/>
      <c r="E217" s="16"/>
      <c r="F217" s="16"/>
      <c r="G217" s="10" t="str">
        <f t="shared" si="48"/>
        <v/>
      </c>
      <c r="H217" s="11" t="str">
        <f t="shared" si="49"/>
        <v/>
      </c>
      <c r="I217" s="10" t="str">
        <f t="shared" si="50"/>
        <v/>
      </c>
      <c r="J217" s="10" t="str">
        <f t="shared" si="51"/>
        <v/>
      </c>
      <c r="K217" s="10" t="str">
        <f t="shared" si="52"/>
        <v/>
      </c>
      <c r="L217" s="10" t="str">
        <f t="shared" si="53"/>
        <v/>
      </c>
      <c r="M217" s="12" t="str">
        <f t="shared" si="54"/>
        <v/>
      </c>
      <c r="N217" s="13" t="str">
        <f t="shared" si="55"/>
        <v/>
      </c>
    </row>
    <row r="218" spans="1:14">
      <c r="A218" s="6">
        <v>217</v>
      </c>
      <c r="B218" s="14"/>
      <c r="C218" s="15"/>
      <c r="D218" s="16"/>
      <c r="E218" s="16"/>
      <c r="F218" s="16"/>
      <c r="G218" s="10" t="str">
        <f t="shared" si="48"/>
        <v/>
      </c>
      <c r="H218" s="11" t="str">
        <f t="shared" si="49"/>
        <v/>
      </c>
      <c r="I218" s="10" t="str">
        <f t="shared" si="50"/>
        <v/>
      </c>
      <c r="J218" s="10" t="str">
        <f t="shared" si="51"/>
        <v/>
      </c>
      <c r="K218" s="10" t="str">
        <f t="shared" si="52"/>
        <v/>
      </c>
      <c r="L218" s="10" t="str">
        <f t="shared" si="53"/>
        <v/>
      </c>
      <c r="M218" s="12" t="str">
        <f t="shared" si="54"/>
        <v/>
      </c>
      <c r="N218" s="13" t="str">
        <f t="shared" si="55"/>
        <v/>
      </c>
    </row>
    <row r="219" spans="1:14">
      <c r="A219" s="6">
        <v>218</v>
      </c>
      <c r="B219" s="14"/>
      <c r="C219" s="15"/>
      <c r="D219" s="16"/>
      <c r="E219" s="16"/>
      <c r="F219" s="16"/>
      <c r="G219" s="10" t="str">
        <f t="shared" si="48"/>
        <v/>
      </c>
      <c r="H219" s="11" t="str">
        <f t="shared" si="49"/>
        <v/>
      </c>
      <c r="I219" s="10" t="str">
        <f t="shared" si="50"/>
        <v/>
      </c>
      <c r="J219" s="10" t="str">
        <f t="shared" si="51"/>
        <v/>
      </c>
      <c r="K219" s="10" t="str">
        <f t="shared" si="52"/>
        <v/>
      </c>
      <c r="L219" s="10" t="str">
        <f t="shared" si="53"/>
        <v/>
      </c>
      <c r="M219" s="12" t="str">
        <f t="shared" si="54"/>
        <v/>
      </c>
      <c r="N219" s="13" t="str">
        <f t="shared" si="55"/>
        <v/>
      </c>
    </row>
    <row r="220" spans="1:14">
      <c r="A220" s="6">
        <v>219</v>
      </c>
      <c r="B220" s="14"/>
      <c r="C220" s="15"/>
      <c r="D220" s="16"/>
      <c r="E220" s="16"/>
      <c r="F220" s="16"/>
      <c r="G220" s="10" t="str">
        <f t="shared" si="48"/>
        <v/>
      </c>
      <c r="H220" s="11" t="str">
        <f t="shared" si="49"/>
        <v/>
      </c>
      <c r="I220" s="10" t="str">
        <f t="shared" si="50"/>
        <v/>
      </c>
      <c r="J220" s="10" t="str">
        <f t="shared" si="51"/>
        <v/>
      </c>
      <c r="K220" s="10" t="str">
        <f t="shared" si="52"/>
        <v/>
      </c>
      <c r="L220" s="10" t="str">
        <f t="shared" si="53"/>
        <v/>
      </c>
      <c r="M220" s="12" t="str">
        <f t="shared" si="54"/>
        <v/>
      </c>
      <c r="N220" s="13" t="str">
        <f t="shared" si="55"/>
        <v/>
      </c>
    </row>
    <row r="221" spans="1:14">
      <c r="A221" s="6">
        <v>220</v>
      </c>
      <c r="B221" s="14"/>
      <c r="C221" s="15"/>
      <c r="D221" s="16"/>
      <c r="E221" s="16"/>
      <c r="F221" s="16"/>
      <c r="G221" s="10" t="str">
        <f t="shared" si="48"/>
        <v/>
      </c>
      <c r="H221" s="11" t="str">
        <f t="shared" si="49"/>
        <v/>
      </c>
      <c r="I221" s="10" t="str">
        <f t="shared" si="50"/>
        <v/>
      </c>
      <c r="J221" s="10" t="str">
        <f t="shared" si="51"/>
        <v/>
      </c>
      <c r="K221" s="10" t="str">
        <f t="shared" si="52"/>
        <v/>
      </c>
      <c r="L221" s="10" t="str">
        <f t="shared" si="53"/>
        <v/>
      </c>
      <c r="M221" s="12" t="str">
        <f t="shared" si="54"/>
        <v/>
      </c>
      <c r="N221" s="13" t="str">
        <f t="shared" si="55"/>
        <v/>
      </c>
    </row>
    <row r="222" spans="1:14">
      <c r="A222" s="6"/>
      <c r="B222" s="18"/>
      <c r="C222" s="19" t="s">
        <v>920</v>
      </c>
      <c r="D222" s="20">
        <f>AVERAGE(D2:D53)</f>
        <v>2.3205192307692304</v>
      </c>
      <c r="E222" s="20">
        <f>AVERAGE(E2:E70)</f>
        <v>96.659275362318908</v>
      </c>
      <c r="F222" s="20"/>
      <c r="G222" s="10">
        <f>IF(E222&lt;&gt;"",E222/D222,"")</f>
        <v>41.654158293821709</v>
      </c>
      <c r="H222" s="11">
        <f>SUM(H2:H173)</f>
        <v>49270</v>
      </c>
      <c r="I222" s="10">
        <f>AVERAGE(I2:I173)</f>
        <v>12.362573099415204</v>
      </c>
      <c r="J222" s="10">
        <f>AVERAGE(J2:J173)</f>
        <v>8.7565418256593084</v>
      </c>
      <c r="K222" s="10">
        <f>AVERAGE(K2:K173)</f>
        <v>54.844375792195507</v>
      </c>
      <c r="L222" s="10">
        <f>IF(I222="","",IF(I222=0,G222,G154/I222))</f>
        <v>2.3117836343564035</v>
      </c>
      <c r="M222" s="12">
        <f>IF(I222="","",IF(I222=0,E173,E173/I222))</f>
        <v>9.3030794701986768</v>
      </c>
      <c r="N222" s="13">
        <f>IF(H222="","",E154/H222)</f>
        <v>2.0296326364927946E-3</v>
      </c>
    </row>
    <row r="223" spans="1:14">
      <c r="E223" s="22">
        <f>SUM(E2:E154)</f>
        <v>13688.480000000007</v>
      </c>
      <c r="F223" s="21"/>
      <c r="G223" s="22">
        <f>SUM(G2:G154)</f>
        <v>5245.5292652340895</v>
      </c>
      <c r="H223" s="23">
        <f>SUM(H2:H154)</f>
        <v>45312</v>
      </c>
    </row>
    <row r="229" spans="3:3">
      <c r="C229" s="3" t="s">
        <v>921</v>
      </c>
    </row>
    <row r="230" spans="3:3">
      <c r="C230" s="3" t="s">
        <v>919</v>
      </c>
    </row>
    <row r="231" spans="3:3">
      <c r="C231" s="3" t="s">
        <v>918</v>
      </c>
    </row>
    <row r="232" spans="3:3">
      <c r="C232" s="3" t="s">
        <v>922</v>
      </c>
    </row>
  </sheetData>
  <sheetProtection selectLockedCells="1" selectUnlockedCells="1"/>
  <conditionalFormatting sqref="M2:N222">
    <cfRule type="cellIs" dxfId="1" priority="1" stopIfTrue="1" operator="lessThan">
      <formula>0</formula>
    </cfRule>
  </conditionalFormatting>
  <dataValidations count="2">
    <dataValidation type="list" allowBlank="1" showErrorMessage="1" sqref="F2:F21" xr:uid="{00000000-0002-0000-7700-000000000000}">
      <formula1>$C$33:$C$35</formula1>
      <formula2>0</formula2>
    </dataValidation>
    <dataValidation type="list" allowBlank="1" showErrorMessage="1" sqref="F22:F221" xr:uid="{00000000-0002-0000-7700-000001000000}">
      <formula1>$C$230:$C$232</formula1>
      <formula2>0</formula2>
    </dataValidation>
  </dataValidations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5"/>
  <dimension ref="A1:N263"/>
  <sheetViews>
    <sheetView workbookViewId="0">
      <pane xSplit="14" ySplit="1" topLeftCell="O227" activePane="bottomRight" state="frozen"/>
      <selection pane="bottomRight" activeCell="O1" sqref="O1"/>
      <selection pane="bottomLeft" activeCell="A2" sqref="A2"/>
      <selection pane="topRight" activeCell="O1" sqref="O1"/>
    </sheetView>
  </sheetViews>
  <sheetFormatPr defaultColWidth="11.7109375" defaultRowHeight="13.5"/>
  <cols>
    <col min="1" max="1" width="4.42578125" style="3" customWidth="1"/>
    <col min="2" max="2" width="12.42578125" style="3" customWidth="1"/>
    <col min="3" max="3" width="14.85546875" style="3" customWidth="1"/>
    <col min="4" max="7" width="13.7109375" style="3" customWidth="1"/>
    <col min="8" max="8" width="12.42578125" style="3" customWidth="1"/>
    <col min="9" max="9" width="11.28515625" style="3" customWidth="1"/>
    <col min="10" max="10" width="10.140625" style="3" customWidth="1"/>
    <col min="11" max="11" width="12.42578125" style="3" bestFit="1" customWidth="1"/>
    <col min="12" max="12" width="11.28515625" style="3" bestFit="1" customWidth="1"/>
    <col min="13" max="13" width="13.28515625" style="3" customWidth="1"/>
    <col min="14" max="14" width="10.140625" style="3" customWidth="1"/>
    <col min="15" max="15" width="11.7109375" style="3"/>
    <col min="16" max="16" width="15.5703125" style="3" customWidth="1"/>
    <col min="17" max="16384" width="11.7109375" style="3"/>
  </cols>
  <sheetData>
    <row r="1" spans="1:14">
      <c r="A1" s="4" t="s">
        <v>906</v>
      </c>
      <c r="B1" s="4" t="s">
        <v>0</v>
      </c>
      <c r="C1" s="4" t="s">
        <v>907</v>
      </c>
      <c r="D1" s="4" t="s">
        <v>908</v>
      </c>
      <c r="E1" s="4" t="s">
        <v>909</v>
      </c>
      <c r="F1" s="4" t="s">
        <v>365</v>
      </c>
      <c r="G1" s="4" t="s">
        <v>910</v>
      </c>
      <c r="H1" s="4" t="s">
        <v>911</v>
      </c>
      <c r="I1" s="4" t="s">
        <v>912</v>
      </c>
      <c r="J1" s="4" t="s">
        <v>913</v>
      </c>
      <c r="K1" s="4" t="s">
        <v>914</v>
      </c>
      <c r="L1" s="4" t="s">
        <v>915</v>
      </c>
      <c r="M1" s="5" t="s">
        <v>916</v>
      </c>
      <c r="N1" s="4" t="s">
        <v>917</v>
      </c>
    </row>
    <row r="2" spans="1:14">
      <c r="A2" s="6">
        <v>1</v>
      </c>
      <c r="B2" s="7">
        <v>41478</v>
      </c>
      <c r="C2" s="8">
        <v>76260</v>
      </c>
      <c r="D2" s="9">
        <v>2.6989999999999998</v>
      </c>
      <c r="E2" s="9">
        <v>119.67</v>
      </c>
      <c r="F2" s="9" t="s">
        <v>918</v>
      </c>
      <c r="G2" s="10">
        <f>IF(E2&lt;&gt;"",E2/D2,"")</f>
        <v>44.338643942200818</v>
      </c>
      <c r="H2" s="11"/>
      <c r="I2" s="10"/>
      <c r="J2" s="10"/>
      <c r="K2" s="10"/>
      <c r="L2" s="10"/>
      <c r="M2" s="12"/>
      <c r="N2" s="13"/>
    </row>
    <row r="3" spans="1:14">
      <c r="A3" s="6">
        <v>2</v>
      </c>
      <c r="B3" s="7">
        <v>41495</v>
      </c>
      <c r="C3" s="8">
        <v>76431</v>
      </c>
      <c r="D3" s="9">
        <v>2.5990000000000002</v>
      </c>
      <c r="E3" s="9">
        <v>81.03</v>
      </c>
      <c r="F3" s="9" t="s">
        <v>918</v>
      </c>
      <c r="G3" s="10">
        <f t="shared" ref="G3:G66" si="0">IF(E3&lt;&gt;"",E3/D3,"")</f>
        <v>31.177375913813002</v>
      </c>
      <c r="H3" s="11">
        <f>IF(C3="","",C3-C2)</f>
        <v>171</v>
      </c>
      <c r="I3" s="10">
        <f>IF(B3="","",B3-B2)</f>
        <v>17</v>
      </c>
      <c r="J3" s="10">
        <f>IF(H3="","",H3/G2)</f>
        <v>3.8566808723990973</v>
      </c>
      <c r="K3" s="10">
        <f>IF(H3&lt;&gt;"",IF(I3&gt;0,H3/I3,H3),"" )</f>
        <v>10.058823529411764</v>
      </c>
      <c r="L3" s="10">
        <f>IF(I3="","",IF(I3=0,G3,G2/I3))</f>
        <v>2.6081555260118128</v>
      </c>
      <c r="M3" s="12">
        <f>IF(I3="","",IF(I3=0,E2,E2/I3))</f>
        <v>7.039411764705882</v>
      </c>
      <c r="N3" s="13">
        <f>IF(H3="","",E2/H3)</f>
        <v>0.69982456140350879</v>
      </c>
    </row>
    <row r="4" spans="1:14">
      <c r="A4" s="6">
        <v>3</v>
      </c>
      <c r="B4" s="7">
        <v>41497</v>
      </c>
      <c r="C4" s="8">
        <v>76854</v>
      </c>
      <c r="D4" s="9">
        <v>2.8180000000000001</v>
      </c>
      <c r="E4" s="9">
        <v>103.16</v>
      </c>
      <c r="F4" s="9" t="s">
        <v>918</v>
      </c>
      <c r="G4" s="10">
        <f t="shared" si="0"/>
        <v>36.607523066004255</v>
      </c>
      <c r="H4" s="11">
        <f t="shared" ref="H4:H66" si="1">IF(C4="","",C4-C3)</f>
        <v>423</v>
      </c>
      <c r="I4" s="10">
        <f t="shared" ref="I4:I66" si="2">IF(B4="","",B4-B3)</f>
        <v>2</v>
      </c>
      <c r="J4" s="10">
        <f t="shared" ref="J4:J66" si="3">IF(H4="","",H4/G3)</f>
        <v>13.567530544242874</v>
      </c>
      <c r="K4" s="10">
        <f t="shared" ref="K4:K66" si="4">IF(H4&lt;&gt;"",IF(I4&gt;0,H4/I4,H4),"" )</f>
        <v>211.5</v>
      </c>
      <c r="L4" s="10">
        <f t="shared" ref="L4:L66" si="5">IF(I4="","",IF(I4=0,G4,G3/I4))</f>
        <v>15.588687956906501</v>
      </c>
      <c r="M4" s="12">
        <f t="shared" ref="M4:M66" si="6">IF(I4="","",IF(I4=0,E3,E3/I4))</f>
        <v>40.515000000000001</v>
      </c>
      <c r="N4" s="13">
        <f t="shared" ref="N4:N66" si="7">IF(H4="","",E3/H4)</f>
        <v>0.19156028368794326</v>
      </c>
    </row>
    <row r="5" spans="1:14">
      <c r="A5" s="6">
        <v>4</v>
      </c>
      <c r="B5" s="7">
        <v>41502</v>
      </c>
      <c r="C5" s="8">
        <v>77284</v>
      </c>
      <c r="D5" s="9">
        <v>2.5990000000000002</v>
      </c>
      <c r="E5" s="9">
        <v>108</v>
      </c>
      <c r="F5" s="9" t="s">
        <v>918</v>
      </c>
      <c r="G5" s="10">
        <f t="shared" si="0"/>
        <v>41.554444016929587</v>
      </c>
      <c r="H5" s="11">
        <f t="shared" si="1"/>
        <v>430</v>
      </c>
      <c r="I5" s="10">
        <f t="shared" si="2"/>
        <v>5</v>
      </c>
      <c r="J5" s="10">
        <f t="shared" si="3"/>
        <v>11.746219464908881</v>
      </c>
      <c r="K5" s="10">
        <f t="shared" si="4"/>
        <v>86</v>
      </c>
      <c r="L5" s="10">
        <f t="shared" si="5"/>
        <v>7.321504613200851</v>
      </c>
      <c r="M5" s="12">
        <f t="shared" si="6"/>
        <v>20.631999999999998</v>
      </c>
      <c r="N5" s="13">
        <f t="shared" si="7"/>
        <v>0.23990697674418604</v>
      </c>
    </row>
    <row r="6" spans="1:14">
      <c r="A6" s="6">
        <v>5</v>
      </c>
      <c r="B6" s="7">
        <v>41523</v>
      </c>
      <c r="C6" s="8">
        <v>77493</v>
      </c>
      <c r="D6" s="9">
        <v>2.4990000000000001</v>
      </c>
      <c r="E6" s="9">
        <v>98.97</v>
      </c>
      <c r="F6" s="9" t="s">
        <v>918</v>
      </c>
      <c r="G6" s="10">
        <f t="shared" si="0"/>
        <v>39.603841536614645</v>
      </c>
      <c r="H6" s="11">
        <f t="shared" si="1"/>
        <v>209</v>
      </c>
      <c r="I6" s="10">
        <f t="shared" si="2"/>
        <v>21</v>
      </c>
      <c r="J6" s="10">
        <f t="shared" si="3"/>
        <v>5.0295462962962967</v>
      </c>
      <c r="K6" s="10">
        <f t="shared" si="4"/>
        <v>9.9523809523809526</v>
      </c>
      <c r="L6" s="10">
        <f t="shared" si="5"/>
        <v>1.9787830484252185</v>
      </c>
      <c r="M6" s="12">
        <f t="shared" si="6"/>
        <v>5.1428571428571432</v>
      </c>
      <c r="N6" s="13">
        <f t="shared" si="7"/>
        <v>0.51674641148325362</v>
      </c>
    </row>
    <row r="7" spans="1:14">
      <c r="A7" s="6">
        <v>6</v>
      </c>
      <c r="B7" s="7">
        <v>41525</v>
      </c>
      <c r="C7" s="8">
        <v>77909</v>
      </c>
      <c r="D7" s="9">
        <v>2.8180000000000001</v>
      </c>
      <c r="E7" s="9">
        <v>95.02</v>
      </c>
      <c r="F7" s="9" t="s">
        <v>918</v>
      </c>
      <c r="G7" s="10">
        <f t="shared" si="0"/>
        <v>33.718949609652235</v>
      </c>
      <c r="H7" s="11">
        <f t="shared" si="1"/>
        <v>416</v>
      </c>
      <c r="I7" s="10">
        <f t="shared" si="2"/>
        <v>2</v>
      </c>
      <c r="J7" s="10">
        <f t="shared" si="3"/>
        <v>10.504031524704455</v>
      </c>
      <c r="K7" s="10">
        <f t="shared" si="4"/>
        <v>208</v>
      </c>
      <c r="L7" s="10">
        <f t="shared" si="5"/>
        <v>19.801920768307323</v>
      </c>
      <c r="M7" s="12">
        <f t="shared" si="6"/>
        <v>49.484999999999999</v>
      </c>
      <c r="N7" s="13">
        <f t="shared" si="7"/>
        <v>0.23790865384615384</v>
      </c>
    </row>
    <row r="8" spans="1:14">
      <c r="A8" s="6">
        <v>7</v>
      </c>
      <c r="B8" s="7">
        <v>41526</v>
      </c>
      <c r="C8" s="8">
        <v>78312</v>
      </c>
      <c r="D8" s="9">
        <v>2.4990000000000001</v>
      </c>
      <c r="E8" s="9">
        <v>20</v>
      </c>
      <c r="F8" s="9" t="s">
        <v>918</v>
      </c>
      <c r="G8" s="10">
        <f t="shared" si="0"/>
        <v>8.0032012805122044</v>
      </c>
      <c r="H8" s="11">
        <f t="shared" si="1"/>
        <v>403</v>
      </c>
      <c r="I8" s="10">
        <f t="shared" si="2"/>
        <v>1</v>
      </c>
      <c r="J8" s="10">
        <f t="shared" si="3"/>
        <v>11.951736476531257</v>
      </c>
      <c r="K8" s="10">
        <f t="shared" si="4"/>
        <v>403</v>
      </c>
      <c r="L8" s="10">
        <f t="shared" si="5"/>
        <v>33.718949609652235</v>
      </c>
      <c r="M8" s="12">
        <f t="shared" si="6"/>
        <v>95.02</v>
      </c>
      <c r="N8" s="13">
        <f t="shared" si="7"/>
        <v>0.23578163771712157</v>
      </c>
    </row>
    <row r="9" spans="1:14">
      <c r="A9" s="6">
        <v>8</v>
      </c>
      <c r="B9" s="7">
        <v>41531</v>
      </c>
      <c r="C9" s="8">
        <v>78393</v>
      </c>
      <c r="D9" s="9">
        <v>2.4990000000000001</v>
      </c>
      <c r="E9" s="9">
        <v>122</v>
      </c>
      <c r="F9" s="9" t="s">
        <v>918</v>
      </c>
      <c r="G9" s="10">
        <f t="shared" si="0"/>
        <v>48.819527811124445</v>
      </c>
      <c r="H9" s="11">
        <f t="shared" si="1"/>
        <v>81</v>
      </c>
      <c r="I9" s="10">
        <f t="shared" si="2"/>
        <v>5</v>
      </c>
      <c r="J9" s="10">
        <f t="shared" si="3"/>
        <v>10.120950000000001</v>
      </c>
      <c r="K9" s="10">
        <f t="shared" si="4"/>
        <v>16.2</v>
      </c>
      <c r="L9" s="10">
        <f t="shared" si="5"/>
        <v>1.6006402561024409</v>
      </c>
      <c r="M9" s="12">
        <f t="shared" si="6"/>
        <v>4</v>
      </c>
      <c r="N9" s="13">
        <f t="shared" si="7"/>
        <v>0.24691358024691357</v>
      </c>
    </row>
    <row r="10" spans="1:14">
      <c r="A10" s="6">
        <v>9</v>
      </c>
      <c r="B10" s="7">
        <v>41539</v>
      </c>
      <c r="C10" s="8">
        <v>78649</v>
      </c>
      <c r="D10" s="9">
        <v>2.4990000000000001</v>
      </c>
      <c r="E10" s="9">
        <v>114</v>
      </c>
      <c r="F10" s="9" t="s">
        <v>918</v>
      </c>
      <c r="G10" s="10">
        <f t="shared" si="0"/>
        <v>45.618247298919563</v>
      </c>
      <c r="H10" s="11">
        <f t="shared" si="1"/>
        <v>256</v>
      </c>
      <c r="I10" s="10">
        <f t="shared" si="2"/>
        <v>8</v>
      </c>
      <c r="J10" s="10">
        <f t="shared" si="3"/>
        <v>5.2438032786885254</v>
      </c>
      <c r="K10" s="10">
        <f t="shared" si="4"/>
        <v>32</v>
      </c>
      <c r="L10" s="10">
        <f t="shared" si="5"/>
        <v>6.1024409763905556</v>
      </c>
      <c r="M10" s="12">
        <f t="shared" si="6"/>
        <v>15.25</v>
      </c>
      <c r="N10" s="13">
        <f t="shared" si="7"/>
        <v>0.4765625</v>
      </c>
    </row>
    <row r="11" spans="1:14">
      <c r="A11" s="6">
        <v>10</v>
      </c>
      <c r="B11" s="7">
        <v>41580</v>
      </c>
      <c r="C11" s="8">
        <v>78908</v>
      </c>
      <c r="D11" s="9">
        <v>2.4990000000000001</v>
      </c>
      <c r="E11" s="9">
        <v>120.02</v>
      </c>
      <c r="F11" s="9" t="s">
        <v>918</v>
      </c>
      <c r="G11" s="10">
        <f t="shared" si="0"/>
        <v>48.027210884353735</v>
      </c>
      <c r="H11" s="11">
        <f t="shared" si="1"/>
        <v>259</v>
      </c>
      <c r="I11" s="10">
        <f t="shared" si="2"/>
        <v>41</v>
      </c>
      <c r="J11" s="10">
        <f t="shared" si="3"/>
        <v>5.6775526315789477</v>
      </c>
      <c r="K11" s="10">
        <f t="shared" si="4"/>
        <v>6.3170731707317076</v>
      </c>
      <c r="L11" s="10">
        <f t="shared" si="5"/>
        <v>1.1126401780224284</v>
      </c>
      <c r="M11" s="12">
        <f t="shared" si="6"/>
        <v>2.7804878048780486</v>
      </c>
      <c r="N11" s="13">
        <f t="shared" si="7"/>
        <v>0.44015444015444016</v>
      </c>
    </row>
    <row r="12" spans="1:14">
      <c r="A12" s="6">
        <v>11</v>
      </c>
      <c r="B12" s="7">
        <v>41609</v>
      </c>
      <c r="C12" s="8">
        <v>79117</v>
      </c>
      <c r="D12" s="9">
        <v>2.5990000000000002</v>
      </c>
      <c r="E12" s="9">
        <v>112.04</v>
      </c>
      <c r="F12" s="9" t="s">
        <v>918</v>
      </c>
      <c r="G12" s="10">
        <f t="shared" si="0"/>
        <v>43.108888033859174</v>
      </c>
      <c r="H12" s="11">
        <f t="shared" si="1"/>
        <v>209</v>
      </c>
      <c r="I12" s="10">
        <f t="shared" si="2"/>
        <v>29</v>
      </c>
      <c r="J12" s="10">
        <f t="shared" si="3"/>
        <v>4.351699716713882</v>
      </c>
      <c r="K12" s="10">
        <f t="shared" si="4"/>
        <v>7.2068965517241379</v>
      </c>
      <c r="L12" s="10">
        <f t="shared" si="5"/>
        <v>1.6561107201501288</v>
      </c>
      <c r="M12" s="12">
        <f t="shared" si="6"/>
        <v>4.1386206896551725</v>
      </c>
      <c r="N12" s="13">
        <f t="shared" si="7"/>
        <v>0.57425837320574158</v>
      </c>
    </row>
    <row r="13" spans="1:14">
      <c r="A13" s="6">
        <v>12</v>
      </c>
      <c r="B13" s="7">
        <v>41616</v>
      </c>
      <c r="C13" s="8">
        <v>79570</v>
      </c>
      <c r="D13" s="9">
        <v>2.9289999999999998</v>
      </c>
      <c r="E13" s="9">
        <v>136.13999999999999</v>
      </c>
      <c r="F13" s="9" t="s">
        <v>918</v>
      </c>
      <c r="G13" s="10">
        <f t="shared" si="0"/>
        <v>46.480027313076135</v>
      </c>
      <c r="H13" s="11">
        <f t="shared" si="1"/>
        <v>453</v>
      </c>
      <c r="I13" s="10">
        <f t="shared" si="2"/>
        <v>7</v>
      </c>
      <c r="J13" s="10">
        <f t="shared" si="3"/>
        <v>10.508273830774725</v>
      </c>
      <c r="K13" s="10">
        <f t="shared" si="4"/>
        <v>64.714285714285708</v>
      </c>
      <c r="L13" s="10">
        <f t="shared" si="5"/>
        <v>6.1584125762655963</v>
      </c>
      <c r="M13" s="12">
        <f t="shared" si="6"/>
        <v>16.005714285714287</v>
      </c>
      <c r="N13" s="13">
        <f t="shared" si="7"/>
        <v>0.24732891832229581</v>
      </c>
    </row>
    <row r="14" spans="1:14">
      <c r="A14" s="6">
        <v>13</v>
      </c>
      <c r="B14" s="7">
        <v>41622</v>
      </c>
      <c r="C14" s="8">
        <v>80059</v>
      </c>
      <c r="D14" s="9">
        <v>2.6989999999999998</v>
      </c>
      <c r="E14" s="9">
        <v>30</v>
      </c>
      <c r="F14" s="9" t="s">
        <v>918</v>
      </c>
      <c r="G14" s="10">
        <f t="shared" si="0"/>
        <v>11.115227862171174</v>
      </c>
      <c r="H14" s="11">
        <f t="shared" si="1"/>
        <v>489</v>
      </c>
      <c r="I14" s="10">
        <f t="shared" si="2"/>
        <v>6</v>
      </c>
      <c r="J14" s="10">
        <f t="shared" si="3"/>
        <v>10.52064786249449</v>
      </c>
      <c r="K14" s="10">
        <f t="shared" si="4"/>
        <v>81.5</v>
      </c>
      <c r="L14" s="10">
        <f t="shared" si="5"/>
        <v>7.7466712188460223</v>
      </c>
      <c r="M14" s="12">
        <f t="shared" si="6"/>
        <v>22.689999999999998</v>
      </c>
      <c r="N14" s="13">
        <f t="shared" si="7"/>
        <v>0.27840490797546008</v>
      </c>
    </row>
    <row r="15" spans="1:14">
      <c r="A15" s="6">
        <v>14</v>
      </c>
      <c r="B15" s="7">
        <v>41630</v>
      </c>
      <c r="C15" s="8">
        <v>80110</v>
      </c>
      <c r="D15" s="9">
        <v>2.6989999999999998</v>
      </c>
      <c r="E15" s="9">
        <v>133</v>
      </c>
      <c r="F15" s="9" t="s">
        <v>918</v>
      </c>
      <c r="G15" s="10">
        <f t="shared" si="0"/>
        <v>49.277510188958878</v>
      </c>
      <c r="H15" s="11">
        <f t="shared" si="1"/>
        <v>51</v>
      </c>
      <c r="I15" s="10">
        <f t="shared" si="2"/>
        <v>8</v>
      </c>
      <c r="J15" s="10">
        <f t="shared" si="3"/>
        <v>4.5883000000000003</v>
      </c>
      <c r="K15" s="10">
        <f t="shared" si="4"/>
        <v>6.375</v>
      </c>
      <c r="L15" s="10">
        <f t="shared" si="5"/>
        <v>1.3894034827713968</v>
      </c>
      <c r="M15" s="12">
        <f t="shared" si="6"/>
        <v>3.75</v>
      </c>
      <c r="N15" s="13">
        <f t="shared" si="7"/>
        <v>0.58823529411764708</v>
      </c>
    </row>
    <row r="16" spans="1:14">
      <c r="A16" s="6">
        <v>15</v>
      </c>
      <c r="B16" s="7">
        <v>41659</v>
      </c>
      <c r="C16" s="8">
        <v>80414</v>
      </c>
      <c r="D16" s="9">
        <v>2.6989999999999998</v>
      </c>
      <c r="E16" s="9">
        <v>60</v>
      </c>
      <c r="F16" s="9" t="s">
        <v>918</v>
      </c>
      <c r="G16" s="10">
        <f t="shared" si="0"/>
        <v>22.230455724342349</v>
      </c>
      <c r="H16" s="11">
        <f t="shared" si="1"/>
        <v>304</v>
      </c>
      <c r="I16" s="10">
        <f t="shared" si="2"/>
        <v>29</v>
      </c>
      <c r="J16" s="10">
        <f t="shared" si="3"/>
        <v>6.1691428571428562</v>
      </c>
      <c r="K16" s="10">
        <f t="shared" si="4"/>
        <v>10.482758620689655</v>
      </c>
      <c r="L16" s="10">
        <f t="shared" si="5"/>
        <v>1.6992244892744441</v>
      </c>
      <c r="M16" s="12">
        <f t="shared" si="6"/>
        <v>4.5862068965517242</v>
      </c>
      <c r="N16" s="13">
        <f t="shared" si="7"/>
        <v>0.4375</v>
      </c>
    </row>
    <row r="17" spans="1:14">
      <c r="A17" s="6">
        <v>16</v>
      </c>
      <c r="B17" s="7">
        <v>41663</v>
      </c>
      <c r="C17" s="8">
        <v>80450</v>
      </c>
      <c r="D17" s="9">
        <v>2.6989999999999998</v>
      </c>
      <c r="E17" s="9">
        <v>95.05</v>
      </c>
      <c r="F17" s="9" t="s">
        <v>918</v>
      </c>
      <c r="G17" s="10">
        <f t="shared" si="0"/>
        <v>35.216746943312337</v>
      </c>
      <c r="H17" s="11">
        <f t="shared" si="1"/>
        <v>36</v>
      </c>
      <c r="I17" s="10">
        <f t="shared" si="2"/>
        <v>4</v>
      </c>
      <c r="J17" s="10">
        <f t="shared" si="3"/>
        <v>1.6194</v>
      </c>
      <c r="K17" s="10">
        <f t="shared" si="4"/>
        <v>9</v>
      </c>
      <c r="L17" s="10">
        <f t="shared" si="5"/>
        <v>5.5576139310855872</v>
      </c>
      <c r="M17" s="12">
        <f t="shared" si="6"/>
        <v>15</v>
      </c>
      <c r="N17" s="13">
        <f t="shared" si="7"/>
        <v>1.6666666666666667</v>
      </c>
    </row>
    <row r="18" spans="1:14">
      <c r="A18" s="6">
        <v>17</v>
      </c>
      <c r="B18" s="7">
        <v>41665</v>
      </c>
      <c r="C18" s="8">
        <v>80861</v>
      </c>
      <c r="D18" s="9">
        <v>2.9289999999999998</v>
      </c>
      <c r="E18" s="9">
        <v>102.02</v>
      </c>
      <c r="F18" s="9" t="s">
        <v>918</v>
      </c>
      <c r="G18" s="10">
        <f t="shared" si="0"/>
        <v>34.83100034141345</v>
      </c>
      <c r="H18" s="11">
        <f t="shared" si="1"/>
        <v>411</v>
      </c>
      <c r="I18" s="10">
        <f t="shared" si="2"/>
        <v>2</v>
      </c>
      <c r="J18" s="10">
        <f t="shared" si="3"/>
        <v>11.670583903208838</v>
      </c>
      <c r="K18" s="10">
        <f t="shared" si="4"/>
        <v>205.5</v>
      </c>
      <c r="L18" s="10">
        <f t="shared" si="5"/>
        <v>17.608373471656169</v>
      </c>
      <c r="M18" s="12">
        <f t="shared" si="6"/>
        <v>47.524999999999999</v>
      </c>
      <c r="N18" s="13">
        <f t="shared" si="7"/>
        <v>0.23126520681265206</v>
      </c>
    </row>
    <row r="19" spans="1:14">
      <c r="A19" s="6">
        <v>18</v>
      </c>
      <c r="B19" s="7">
        <v>41668</v>
      </c>
      <c r="C19" s="8">
        <v>81286</v>
      </c>
      <c r="D19" s="9">
        <v>2.6989999999999998</v>
      </c>
      <c r="E19" s="9">
        <v>60</v>
      </c>
      <c r="F19" s="9" t="s">
        <v>918</v>
      </c>
      <c r="G19" s="10">
        <f t="shared" si="0"/>
        <v>22.230455724342349</v>
      </c>
      <c r="H19" s="11">
        <f t="shared" si="1"/>
        <v>425</v>
      </c>
      <c r="I19" s="10">
        <f t="shared" si="2"/>
        <v>3</v>
      </c>
      <c r="J19" s="10">
        <f t="shared" si="3"/>
        <v>12.201774161929034</v>
      </c>
      <c r="K19" s="10">
        <f t="shared" si="4"/>
        <v>141.66666666666666</v>
      </c>
      <c r="L19" s="10">
        <f t="shared" si="5"/>
        <v>11.610333447137817</v>
      </c>
      <c r="M19" s="12">
        <f t="shared" si="6"/>
        <v>34.006666666666668</v>
      </c>
      <c r="N19" s="13">
        <f t="shared" si="7"/>
        <v>0.24004705882352939</v>
      </c>
    </row>
    <row r="20" spans="1:14">
      <c r="A20" s="6">
        <v>19</v>
      </c>
      <c r="B20" s="7">
        <v>41682</v>
      </c>
      <c r="C20" s="8">
        <v>81371</v>
      </c>
      <c r="D20" s="9">
        <v>2.899</v>
      </c>
      <c r="E20" s="9">
        <v>60</v>
      </c>
      <c r="F20" s="9" t="s">
        <v>918</v>
      </c>
      <c r="G20" s="10">
        <f t="shared" si="0"/>
        <v>20.696791997240428</v>
      </c>
      <c r="H20" s="11">
        <f t="shared" si="1"/>
        <v>85</v>
      </c>
      <c r="I20" s="10">
        <f t="shared" si="2"/>
        <v>14</v>
      </c>
      <c r="J20" s="10">
        <f t="shared" si="3"/>
        <v>3.8235833333333336</v>
      </c>
      <c r="K20" s="10">
        <f t="shared" si="4"/>
        <v>6.0714285714285712</v>
      </c>
      <c r="L20" s="10">
        <f t="shared" si="5"/>
        <v>1.587889694595882</v>
      </c>
      <c r="M20" s="12">
        <f t="shared" si="6"/>
        <v>4.2857142857142856</v>
      </c>
      <c r="N20" s="13">
        <f t="shared" si="7"/>
        <v>0.70588235294117652</v>
      </c>
    </row>
    <row r="21" spans="1:14">
      <c r="A21" s="6">
        <v>20</v>
      </c>
      <c r="B21" s="7">
        <v>41698</v>
      </c>
      <c r="C21" s="8">
        <v>81476</v>
      </c>
      <c r="D21" s="9">
        <v>2.6989999999999998</v>
      </c>
      <c r="E21" s="9">
        <v>60</v>
      </c>
      <c r="F21" s="9" t="s">
        <v>918</v>
      </c>
      <c r="G21" s="10">
        <f t="shared" si="0"/>
        <v>22.230455724342349</v>
      </c>
      <c r="H21" s="11">
        <f t="shared" si="1"/>
        <v>105</v>
      </c>
      <c r="I21" s="10">
        <f t="shared" si="2"/>
        <v>16</v>
      </c>
      <c r="J21" s="10">
        <f t="shared" si="3"/>
        <v>5.0732499999999998</v>
      </c>
      <c r="K21" s="10">
        <f t="shared" si="4"/>
        <v>6.5625</v>
      </c>
      <c r="L21" s="10">
        <f t="shared" si="5"/>
        <v>1.2935494998275268</v>
      </c>
      <c r="M21" s="12">
        <f t="shared" si="6"/>
        <v>3.75</v>
      </c>
      <c r="N21" s="13">
        <f t="shared" si="7"/>
        <v>0.5714285714285714</v>
      </c>
    </row>
    <row r="22" spans="1:14">
      <c r="A22" s="6">
        <v>21</v>
      </c>
      <c r="B22" s="7">
        <v>41713</v>
      </c>
      <c r="C22" s="8">
        <v>81607</v>
      </c>
      <c r="D22" s="9">
        <v>2.6989999999999998</v>
      </c>
      <c r="E22" s="9">
        <v>60</v>
      </c>
      <c r="F22" s="9" t="s">
        <v>918</v>
      </c>
      <c r="G22" s="10">
        <f t="shared" si="0"/>
        <v>22.230455724342349</v>
      </c>
      <c r="H22" s="11">
        <f t="shared" si="1"/>
        <v>131</v>
      </c>
      <c r="I22" s="10">
        <f t="shared" si="2"/>
        <v>15</v>
      </c>
      <c r="J22" s="10">
        <f t="shared" si="3"/>
        <v>5.8928166666666666</v>
      </c>
      <c r="K22" s="10">
        <f t="shared" si="4"/>
        <v>8.7333333333333325</v>
      </c>
      <c r="L22" s="10">
        <f t="shared" si="5"/>
        <v>1.4820303816228233</v>
      </c>
      <c r="M22" s="12">
        <f t="shared" si="6"/>
        <v>4</v>
      </c>
      <c r="N22" s="13">
        <f t="shared" si="7"/>
        <v>0.4580152671755725</v>
      </c>
    </row>
    <row r="23" spans="1:14">
      <c r="A23" s="6">
        <v>22</v>
      </c>
      <c r="B23" s="7">
        <v>41727</v>
      </c>
      <c r="C23" s="8">
        <v>81672</v>
      </c>
      <c r="D23" s="9">
        <v>2.7589999999999999</v>
      </c>
      <c r="E23" s="9">
        <v>60</v>
      </c>
      <c r="F23" s="9" t="s">
        <v>918</v>
      </c>
      <c r="G23" s="10">
        <f t="shared" si="0"/>
        <v>21.747009786154404</v>
      </c>
      <c r="H23" s="11">
        <f t="shared" si="1"/>
        <v>65</v>
      </c>
      <c r="I23" s="10">
        <f t="shared" si="2"/>
        <v>14</v>
      </c>
      <c r="J23" s="10">
        <f t="shared" si="3"/>
        <v>2.9239166666666665</v>
      </c>
      <c r="K23" s="10">
        <f t="shared" si="4"/>
        <v>4.6428571428571432</v>
      </c>
      <c r="L23" s="10">
        <f t="shared" si="5"/>
        <v>1.587889694595882</v>
      </c>
      <c r="M23" s="12">
        <f t="shared" si="6"/>
        <v>4.2857142857142856</v>
      </c>
      <c r="N23" s="13">
        <f t="shared" si="7"/>
        <v>0.92307692307692313</v>
      </c>
    </row>
    <row r="24" spans="1:14">
      <c r="A24" s="6">
        <v>23</v>
      </c>
      <c r="B24" s="7">
        <v>41757</v>
      </c>
      <c r="C24" s="8">
        <v>82070</v>
      </c>
      <c r="D24" s="9">
        <v>2.7589999999999999</v>
      </c>
      <c r="E24" s="9">
        <v>80</v>
      </c>
      <c r="F24" s="9" t="s">
        <v>918</v>
      </c>
      <c r="G24" s="10">
        <f t="shared" si="0"/>
        <v>28.996013048205874</v>
      </c>
      <c r="H24" s="11">
        <f t="shared" si="1"/>
        <v>398</v>
      </c>
      <c r="I24" s="10">
        <f t="shared" si="2"/>
        <v>30</v>
      </c>
      <c r="J24" s="10">
        <f t="shared" si="3"/>
        <v>18.301366666666667</v>
      </c>
      <c r="K24" s="10">
        <f t="shared" si="4"/>
        <v>13.266666666666667</v>
      </c>
      <c r="L24" s="10">
        <f t="shared" si="5"/>
        <v>0.72490032620514677</v>
      </c>
      <c r="M24" s="12">
        <f t="shared" si="6"/>
        <v>2</v>
      </c>
      <c r="N24" s="13">
        <f t="shared" si="7"/>
        <v>0.15075376884422109</v>
      </c>
    </row>
    <row r="25" spans="1:14">
      <c r="A25" s="6">
        <v>24</v>
      </c>
      <c r="B25" s="7">
        <v>41778</v>
      </c>
      <c r="C25" s="8">
        <v>82231</v>
      </c>
      <c r="D25" s="9">
        <v>2.6989999999999998</v>
      </c>
      <c r="E25" s="9">
        <v>60.02</v>
      </c>
      <c r="F25" s="9" t="s">
        <v>918</v>
      </c>
      <c r="G25" s="10">
        <f t="shared" si="0"/>
        <v>22.237865876250467</v>
      </c>
      <c r="H25" s="11">
        <f t="shared" si="1"/>
        <v>161</v>
      </c>
      <c r="I25" s="10">
        <f t="shared" si="2"/>
        <v>21</v>
      </c>
      <c r="J25" s="10">
        <f t="shared" si="3"/>
        <v>5.5524874999999998</v>
      </c>
      <c r="K25" s="10">
        <f t="shared" si="4"/>
        <v>7.666666666666667</v>
      </c>
      <c r="L25" s="10">
        <f t="shared" si="5"/>
        <v>1.3807625261050416</v>
      </c>
      <c r="M25" s="12">
        <f t="shared" si="6"/>
        <v>3.8095238095238093</v>
      </c>
      <c r="N25" s="13">
        <f t="shared" si="7"/>
        <v>0.49689440993788819</v>
      </c>
    </row>
    <row r="26" spans="1:14">
      <c r="A26" s="6">
        <v>25</v>
      </c>
      <c r="B26" s="7">
        <v>41790</v>
      </c>
      <c r="C26" s="8">
        <v>82431</v>
      </c>
      <c r="D26" s="9">
        <v>3.0499000000000001</v>
      </c>
      <c r="E26" s="9">
        <v>30</v>
      </c>
      <c r="F26" s="9" t="s">
        <v>918</v>
      </c>
      <c r="G26" s="10">
        <f t="shared" si="0"/>
        <v>9.8363880782976487</v>
      </c>
      <c r="H26" s="11">
        <f t="shared" si="1"/>
        <v>200</v>
      </c>
      <c r="I26" s="10">
        <f t="shared" si="2"/>
        <v>12</v>
      </c>
      <c r="J26" s="10">
        <f t="shared" si="3"/>
        <v>8.9936687770743067</v>
      </c>
      <c r="K26" s="10">
        <f t="shared" si="4"/>
        <v>16.666666666666668</v>
      </c>
      <c r="L26" s="10">
        <f t="shared" si="5"/>
        <v>1.8531554896875388</v>
      </c>
      <c r="M26" s="12">
        <f t="shared" si="6"/>
        <v>5.0016666666666669</v>
      </c>
      <c r="N26" s="13">
        <f t="shared" si="7"/>
        <v>0.30010000000000003</v>
      </c>
    </row>
    <row r="27" spans="1:14">
      <c r="A27" s="6">
        <v>26</v>
      </c>
      <c r="B27" s="14">
        <v>41793</v>
      </c>
      <c r="C27" s="15">
        <v>82491</v>
      </c>
      <c r="D27" s="16">
        <v>2.87</v>
      </c>
      <c r="E27" s="16">
        <v>80</v>
      </c>
      <c r="F27" s="9" t="s">
        <v>918</v>
      </c>
      <c r="G27" s="10">
        <f t="shared" si="0"/>
        <v>27.874564459930312</v>
      </c>
      <c r="H27" s="11">
        <f t="shared" si="1"/>
        <v>60</v>
      </c>
      <c r="I27" s="10">
        <f t="shared" si="2"/>
        <v>3</v>
      </c>
      <c r="J27" s="10">
        <f t="shared" si="3"/>
        <v>6.0998000000000001</v>
      </c>
      <c r="K27" s="10">
        <f t="shared" si="4"/>
        <v>20</v>
      </c>
      <c r="L27" s="10">
        <f t="shared" si="5"/>
        <v>3.2787960260992164</v>
      </c>
      <c r="M27" s="12">
        <f t="shared" si="6"/>
        <v>10</v>
      </c>
      <c r="N27" s="13">
        <f t="shared" si="7"/>
        <v>0.5</v>
      </c>
    </row>
    <row r="28" spans="1:14">
      <c r="A28" s="6">
        <v>27</v>
      </c>
      <c r="B28" s="14">
        <v>41816</v>
      </c>
      <c r="C28" s="15">
        <v>82523</v>
      </c>
      <c r="D28" s="16">
        <v>2.899</v>
      </c>
      <c r="E28" s="16">
        <v>80</v>
      </c>
      <c r="F28" s="9" t="s">
        <v>918</v>
      </c>
      <c r="G28" s="10">
        <f t="shared" si="0"/>
        <v>27.595722662987235</v>
      </c>
      <c r="H28" s="11">
        <f t="shared" si="1"/>
        <v>32</v>
      </c>
      <c r="I28" s="10">
        <f t="shared" si="2"/>
        <v>23</v>
      </c>
      <c r="J28" s="10">
        <f t="shared" si="3"/>
        <v>1.1480000000000001</v>
      </c>
      <c r="K28" s="10">
        <f t="shared" si="4"/>
        <v>1.3913043478260869</v>
      </c>
      <c r="L28" s="10">
        <f t="shared" si="5"/>
        <v>1.2119375852143615</v>
      </c>
      <c r="M28" s="12">
        <f t="shared" si="6"/>
        <v>3.4782608695652173</v>
      </c>
      <c r="N28" s="13">
        <f t="shared" si="7"/>
        <v>2.5</v>
      </c>
    </row>
    <row r="29" spans="1:14">
      <c r="A29" s="6">
        <v>28</v>
      </c>
      <c r="B29" s="14">
        <v>41823</v>
      </c>
      <c r="C29" s="15">
        <v>82571</v>
      </c>
      <c r="D29" s="16">
        <v>2.6989999999999998</v>
      </c>
      <c r="E29" s="16">
        <v>60</v>
      </c>
      <c r="F29" s="9" t="s">
        <v>918</v>
      </c>
      <c r="G29" s="10">
        <f t="shared" si="0"/>
        <v>22.230455724342349</v>
      </c>
      <c r="H29" s="11">
        <f t="shared" si="1"/>
        <v>48</v>
      </c>
      <c r="I29" s="10">
        <f t="shared" si="2"/>
        <v>7</v>
      </c>
      <c r="J29" s="10">
        <f t="shared" si="3"/>
        <v>1.7394000000000001</v>
      </c>
      <c r="K29" s="10">
        <f t="shared" si="4"/>
        <v>6.8571428571428568</v>
      </c>
      <c r="L29" s="10">
        <f t="shared" si="5"/>
        <v>3.9422460947124622</v>
      </c>
      <c r="M29" s="12">
        <f t="shared" si="6"/>
        <v>11.428571428571429</v>
      </c>
      <c r="N29" s="13">
        <f t="shared" si="7"/>
        <v>1.6666666666666667</v>
      </c>
    </row>
    <row r="30" spans="1:14">
      <c r="A30" s="6">
        <v>29</v>
      </c>
      <c r="B30" s="14">
        <v>41826</v>
      </c>
      <c r="C30" s="15">
        <v>82973</v>
      </c>
      <c r="D30" s="16">
        <v>2.6989999999999998</v>
      </c>
      <c r="E30" s="16">
        <v>60</v>
      </c>
      <c r="F30" s="9" t="s">
        <v>918</v>
      </c>
      <c r="G30" s="10">
        <f t="shared" si="0"/>
        <v>22.230455724342349</v>
      </c>
      <c r="H30" s="11">
        <f t="shared" si="1"/>
        <v>402</v>
      </c>
      <c r="I30" s="10">
        <f t="shared" si="2"/>
        <v>3</v>
      </c>
      <c r="J30" s="10">
        <f t="shared" si="3"/>
        <v>18.083300000000001</v>
      </c>
      <c r="K30" s="10">
        <f t="shared" si="4"/>
        <v>134</v>
      </c>
      <c r="L30" s="10">
        <f t="shared" si="5"/>
        <v>7.4101519081141163</v>
      </c>
      <c r="M30" s="12">
        <f t="shared" si="6"/>
        <v>20</v>
      </c>
      <c r="N30" s="13">
        <f t="shared" si="7"/>
        <v>0.14925373134328357</v>
      </c>
    </row>
    <row r="31" spans="1:14">
      <c r="A31" s="6">
        <v>30</v>
      </c>
      <c r="B31" s="14">
        <v>41836</v>
      </c>
      <c r="C31" s="15">
        <v>83154</v>
      </c>
      <c r="D31" s="16">
        <v>2.7989999999999999</v>
      </c>
      <c r="E31" s="16">
        <v>80</v>
      </c>
      <c r="F31" s="9" t="s">
        <v>918</v>
      </c>
      <c r="G31" s="10">
        <f t="shared" si="0"/>
        <v>28.581636298678099</v>
      </c>
      <c r="H31" s="11">
        <f t="shared" si="1"/>
        <v>181</v>
      </c>
      <c r="I31" s="10">
        <f t="shared" si="2"/>
        <v>10</v>
      </c>
      <c r="J31" s="10">
        <f t="shared" si="3"/>
        <v>8.141983333333334</v>
      </c>
      <c r="K31" s="10">
        <f t="shared" si="4"/>
        <v>18.100000000000001</v>
      </c>
      <c r="L31" s="10">
        <f t="shared" si="5"/>
        <v>2.2230455724342351</v>
      </c>
      <c r="M31" s="12">
        <f t="shared" si="6"/>
        <v>6</v>
      </c>
      <c r="N31" s="13">
        <f t="shared" si="7"/>
        <v>0.33149171270718231</v>
      </c>
    </row>
    <row r="32" spans="1:14">
      <c r="A32" s="6">
        <v>31</v>
      </c>
      <c r="B32" s="14">
        <v>41850</v>
      </c>
      <c r="C32" s="15">
        <v>83407</v>
      </c>
      <c r="D32" s="16">
        <v>2.7989999999999999</v>
      </c>
      <c r="E32" s="16">
        <v>60.05</v>
      </c>
      <c r="F32" s="9" t="s">
        <v>918</v>
      </c>
      <c r="G32" s="10">
        <f t="shared" si="0"/>
        <v>21.454090746695247</v>
      </c>
      <c r="H32" s="11">
        <f t="shared" si="1"/>
        <v>253</v>
      </c>
      <c r="I32" s="10">
        <f t="shared" si="2"/>
        <v>14</v>
      </c>
      <c r="J32" s="10">
        <f t="shared" si="3"/>
        <v>8.8518375000000002</v>
      </c>
      <c r="K32" s="10">
        <f t="shared" si="4"/>
        <v>18.071428571428573</v>
      </c>
      <c r="L32" s="10">
        <f t="shared" si="5"/>
        <v>2.0415454499055783</v>
      </c>
      <c r="M32" s="12">
        <f t="shared" si="6"/>
        <v>5.7142857142857144</v>
      </c>
      <c r="N32" s="13">
        <f t="shared" si="7"/>
        <v>0.31620553359683795</v>
      </c>
    </row>
    <row r="33" spans="1:14">
      <c r="A33" s="6">
        <v>32</v>
      </c>
      <c r="B33" s="14">
        <v>41875</v>
      </c>
      <c r="C33" s="15">
        <v>83523</v>
      </c>
      <c r="D33" s="16">
        <v>2.6989999999999998</v>
      </c>
      <c r="E33" s="16">
        <v>80</v>
      </c>
      <c r="F33" s="9" t="s">
        <v>918</v>
      </c>
      <c r="G33" s="10">
        <f t="shared" si="0"/>
        <v>29.640607632456469</v>
      </c>
      <c r="H33" s="11">
        <f t="shared" si="1"/>
        <v>116</v>
      </c>
      <c r="I33" s="10">
        <f t="shared" si="2"/>
        <v>25</v>
      </c>
      <c r="J33" s="10">
        <f t="shared" si="3"/>
        <v>5.4068942547876775</v>
      </c>
      <c r="K33" s="10">
        <f t="shared" si="4"/>
        <v>4.6399999999999997</v>
      </c>
      <c r="L33" s="10">
        <f t="shared" si="5"/>
        <v>0.85816362986780992</v>
      </c>
      <c r="M33" s="12">
        <f t="shared" si="6"/>
        <v>2.4019999999999997</v>
      </c>
      <c r="N33" s="13">
        <f t="shared" si="7"/>
        <v>0.51767241379310347</v>
      </c>
    </row>
    <row r="34" spans="1:14">
      <c r="A34" s="6">
        <v>33</v>
      </c>
      <c r="B34" s="14">
        <v>41885</v>
      </c>
      <c r="C34" s="15">
        <v>83775</v>
      </c>
      <c r="D34" s="16">
        <v>2.6989999999999998</v>
      </c>
      <c r="E34" s="16">
        <v>80.03</v>
      </c>
      <c r="F34" s="9" t="s">
        <v>918</v>
      </c>
      <c r="G34" s="10">
        <f t="shared" si="0"/>
        <v>29.651722860318639</v>
      </c>
      <c r="H34" s="11">
        <f t="shared" si="1"/>
        <v>252</v>
      </c>
      <c r="I34" s="10">
        <f t="shared" si="2"/>
        <v>10</v>
      </c>
      <c r="J34" s="10">
        <f t="shared" si="3"/>
        <v>8.5018499999999992</v>
      </c>
      <c r="K34" s="10">
        <f t="shared" si="4"/>
        <v>25.2</v>
      </c>
      <c r="L34" s="10">
        <f t="shared" si="5"/>
        <v>2.964060763245647</v>
      </c>
      <c r="M34" s="12">
        <f t="shared" si="6"/>
        <v>8</v>
      </c>
      <c r="N34" s="13">
        <f t="shared" si="7"/>
        <v>0.31746031746031744</v>
      </c>
    </row>
    <row r="35" spans="1:14">
      <c r="A35" s="6">
        <v>34</v>
      </c>
      <c r="B35" s="14">
        <v>41905</v>
      </c>
      <c r="C35" s="15">
        <v>83918</v>
      </c>
      <c r="D35" s="16">
        <v>2.89</v>
      </c>
      <c r="E35" s="16">
        <v>80</v>
      </c>
      <c r="F35" s="9" t="s">
        <v>918</v>
      </c>
      <c r="G35" s="10">
        <f t="shared" si="0"/>
        <v>27.681660899653977</v>
      </c>
      <c r="H35" s="11">
        <f t="shared" si="1"/>
        <v>143</v>
      </c>
      <c r="I35" s="10">
        <f t="shared" si="2"/>
        <v>20</v>
      </c>
      <c r="J35" s="10">
        <f t="shared" si="3"/>
        <v>4.8226540047482187</v>
      </c>
      <c r="K35" s="10">
        <f t="shared" si="4"/>
        <v>7.15</v>
      </c>
      <c r="L35" s="10">
        <f t="shared" si="5"/>
        <v>1.4825861430159319</v>
      </c>
      <c r="M35" s="12">
        <f t="shared" si="6"/>
        <v>4.0015000000000001</v>
      </c>
      <c r="N35" s="13">
        <f t="shared" si="7"/>
        <v>0.55965034965034965</v>
      </c>
    </row>
    <row r="36" spans="1:14">
      <c r="A36" s="6">
        <v>35</v>
      </c>
      <c r="B36" s="14">
        <v>41921</v>
      </c>
      <c r="C36" s="15">
        <v>84078</v>
      </c>
      <c r="D36" s="16">
        <v>2.87</v>
      </c>
      <c r="E36" s="16">
        <v>80</v>
      </c>
      <c r="F36" s="9" t="s">
        <v>918</v>
      </c>
      <c r="G36" s="10">
        <f t="shared" si="0"/>
        <v>27.874564459930312</v>
      </c>
      <c r="H36" s="11">
        <f t="shared" si="1"/>
        <v>160</v>
      </c>
      <c r="I36" s="10">
        <f t="shared" si="2"/>
        <v>16</v>
      </c>
      <c r="J36" s="10">
        <f t="shared" si="3"/>
        <v>5.78</v>
      </c>
      <c r="K36" s="10">
        <f t="shared" si="4"/>
        <v>10</v>
      </c>
      <c r="L36" s="10">
        <f t="shared" si="5"/>
        <v>1.7301038062283736</v>
      </c>
      <c r="M36" s="12">
        <f t="shared" si="6"/>
        <v>5</v>
      </c>
      <c r="N36" s="13">
        <f t="shared" si="7"/>
        <v>0.5</v>
      </c>
    </row>
    <row r="37" spans="1:14">
      <c r="A37" s="6">
        <v>36</v>
      </c>
      <c r="B37" s="14">
        <v>41946</v>
      </c>
      <c r="C37" s="15">
        <v>84232</v>
      </c>
      <c r="D37" s="16">
        <v>3.09</v>
      </c>
      <c r="E37" s="16">
        <v>80</v>
      </c>
      <c r="F37" s="9" t="s">
        <v>918</v>
      </c>
      <c r="G37" s="10">
        <f t="shared" si="0"/>
        <v>25.889967637540455</v>
      </c>
      <c r="H37" s="11">
        <f t="shared" si="1"/>
        <v>154</v>
      </c>
      <c r="I37" s="10">
        <f t="shared" si="2"/>
        <v>25</v>
      </c>
      <c r="J37" s="10">
        <f t="shared" si="3"/>
        <v>5.52475</v>
      </c>
      <c r="K37" s="10">
        <f t="shared" si="4"/>
        <v>6.16</v>
      </c>
      <c r="L37" s="10">
        <f t="shared" si="5"/>
        <v>1.1149825783972125</v>
      </c>
      <c r="M37" s="12">
        <f t="shared" si="6"/>
        <v>3.2</v>
      </c>
      <c r="N37" s="13">
        <f t="shared" si="7"/>
        <v>0.51948051948051943</v>
      </c>
    </row>
    <row r="38" spans="1:14">
      <c r="A38" s="6">
        <v>37</v>
      </c>
      <c r="B38" s="14">
        <v>41970</v>
      </c>
      <c r="C38" s="15">
        <v>84491</v>
      </c>
      <c r="D38" s="16">
        <v>3.0990000000000002</v>
      </c>
      <c r="E38" s="16">
        <v>80</v>
      </c>
      <c r="F38" s="9" t="s">
        <v>918</v>
      </c>
      <c r="G38" s="10">
        <f t="shared" si="0"/>
        <v>25.814778960955145</v>
      </c>
      <c r="H38" s="11">
        <f t="shared" si="1"/>
        <v>259</v>
      </c>
      <c r="I38" s="10">
        <f t="shared" si="2"/>
        <v>24</v>
      </c>
      <c r="J38" s="10">
        <f t="shared" si="3"/>
        <v>10.003874999999999</v>
      </c>
      <c r="K38" s="10">
        <f t="shared" si="4"/>
        <v>10.791666666666666</v>
      </c>
      <c r="L38" s="10">
        <f t="shared" si="5"/>
        <v>1.0787486515641855</v>
      </c>
      <c r="M38" s="12">
        <f t="shared" si="6"/>
        <v>3.3333333333333335</v>
      </c>
      <c r="N38" s="13">
        <f t="shared" si="7"/>
        <v>0.30888030888030887</v>
      </c>
    </row>
    <row r="39" spans="1:14">
      <c r="A39" s="6">
        <v>38</v>
      </c>
      <c r="B39" s="14">
        <v>41984</v>
      </c>
      <c r="C39" s="15">
        <v>84855</v>
      </c>
      <c r="D39" s="16">
        <v>3.0990000000000002</v>
      </c>
      <c r="E39" s="16">
        <v>80</v>
      </c>
      <c r="F39" s="9" t="s">
        <v>918</v>
      </c>
      <c r="G39" s="10">
        <f t="shared" si="0"/>
        <v>25.814778960955145</v>
      </c>
      <c r="H39" s="11">
        <f t="shared" si="1"/>
        <v>364</v>
      </c>
      <c r="I39" s="10">
        <f t="shared" si="2"/>
        <v>14</v>
      </c>
      <c r="J39" s="10">
        <f t="shared" si="3"/>
        <v>14.10045</v>
      </c>
      <c r="K39" s="10">
        <f t="shared" si="4"/>
        <v>26</v>
      </c>
      <c r="L39" s="10">
        <f t="shared" si="5"/>
        <v>1.8439127829253674</v>
      </c>
      <c r="M39" s="12">
        <f t="shared" si="6"/>
        <v>5.7142857142857144</v>
      </c>
      <c r="N39" s="13">
        <f t="shared" si="7"/>
        <v>0.21978021978021978</v>
      </c>
    </row>
    <row r="40" spans="1:14">
      <c r="A40" s="6">
        <v>39</v>
      </c>
      <c r="B40" s="14">
        <v>42003</v>
      </c>
      <c r="C40" s="15">
        <v>84984</v>
      </c>
      <c r="D40" s="16">
        <v>2.9689999999999999</v>
      </c>
      <c r="E40" s="16">
        <v>60</v>
      </c>
      <c r="F40" s="9" t="s">
        <v>918</v>
      </c>
      <c r="G40" s="10">
        <f t="shared" si="0"/>
        <v>20.20882452004042</v>
      </c>
      <c r="H40" s="11">
        <f t="shared" si="1"/>
        <v>129</v>
      </c>
      <c r="I40" s="10">
        <f t="shared" si="2"/>
        <v>19</v>
      </c>
      <c r="J40" s="10">
        <f t="shared" si="3"/>
        <v>4.9971375</v>
      </c>
      <c r="K40" s="10">
        <f t="shared" si="4"/>
        <v>6.7894736842105265</v>
      </c>
      <c r="L40" s="10">
        <f t="shared" si="5"/>
        <v>1.358672576892376</v>
      </c>
      <c r="M40" s="12">
        <f t="shared" si="6"/>
        <v>4.2105263157894735</v>
      </c>
      <c r="N40" s="13">
        <f t="shared" si="7"/>
        <v>0.62015503875968991</v>
      </c>
    </row>
    <row r="41" spans="1:14">
      <c r="A41" s="6">
        <v>40</v>
      </c>
      <c r="B41" s="14">
        <v>42012</v>
      </c>
      <c r="C41" s="15">
        <v>85058</v>
      </c>
      <c r="D41" s="16">
        <v>2.9980000000000002</v>
      </c>
      <c r="E41" s="16">
        <v>50</v>
      </c>
      <c r="F41" s="9" t="s">
        <v>918</v>
      </c>
      <c r="G41" s="10">
        <f t="shared" si="0"/>
        <v>16.677785190126748</v>
      </c>
      <c r="H41" s="11">
        <f t="shared" si="1"/>
        <v>74</v>
      </c>
      <c r="I41" s="10">
        <f t="shared" si="2"/>
        <v>9</v>
      </c>
      <c r="J41" s="10">
        <f t="shared" si="3"/>
        <v>3.6617666666666664</v>
      </c>
      <c r="K41" s="10">
        <f t="shared" si="4"/>
        <v>8.2222222222222214</v>
      </c>
      <c r="L41" s="10">
        <f t="shared" si="5"/>
        <v>2.2454249466711578</v>
      </c>
      <c r="M41" s="12">
        <f t="shared" si="6"/>
        <v>6.666666666666667</v>
      </c>
      <c r="N41" s="13">
        <f t="shared" si="7"/>
        <v>0.81081081081081086</v>
      </c>
    </row>
    <row r="42" spans="1:14">
      <c r="A42" s="6">
        <v>41</v>
      </c>
      <c r="B42" s="14">
        <v>42034</v>
      </c>
      <c r="C42" s="15">
        <v>85394</v>
      </c>
      <c r="D42" s="16">
        <v>2.9980000000000002</v>
      </c>
      <c r="E42" s="16">
        <v>80</v>
      </c>
      <c r="F42" s="9" t="s">
        <v>918</v>
      </c>
      <c r="G42" s="10">
        <f t="shared" si="0"/>
        <v>26.684456304202801</v>
      </c>
      <c r="H42" s="11">
        <f t="shared" si="1"/>
        <v>336</v>
      </c>
      <c r="I42" s="10">
        <f t="shared" si="2"/>
        <v>22</v>
      </c>
      <c r="J42" s="10">
        <f t="shared" si="3"/>
        <v>20.146560000000004</v>
      </c>
      <c r="K42" s="10">
        <f t="shared" si="4"/>
        <v>15.272727272727273</v>
      </c>
      <c r="L42" s="10">
        <f t="shared" si="5"/>
        <v>0.75808114500576129</v>
      </c>
      <c r="M42" s="12">
        <f t="shared" si="6"/>
        <v>2.2727272727272729</v>
      </c>
      <c r="N42" s="13">
        <f t="shared" si="7"/>
        <v>0.14880952380952381</v>
      </c>
    </row>
    <row r="43" spans="1:14">
      <c r="A43" s="6">
        <v>42</v>
      </c>
      <c r="B43" s="14">
        <v>42047</v>
      </c>
      <c r="C43" s="15">
        <v>85459</v>
      </c>
      <c r="D43" s="16">
        <v>3.0990000000000002</v>
      </c>
      <c r="E43" s="16">
        <v>80</v>
      </c>
      <c r="F43" s="9" t="s">
        <v>918</v>
      </c>
      <c r="G43" s="10">
        <f t="shared" si="0"/>
        <v>25.814778960955145</v>
      </c>
      <c r="H43" s="11">
        <f t="shared" si="1"/>
        <v>65</v>
      </c>
      <c r="I43" s="10">
        <f t="shared" si="2"/>
        <v>13</v>
      </c>
      <c r="J43" s="10">
        <f t="shared" si="3"/>
        <v>2.4358750000000002</v>
      </c>
      <c r="K43" s="10">
        <f t="shared" si="4"/>
        <v>5</v>
      </c>
      <c r="L43" s="10">
        <f t="shared" si="5"/>
        <v>2.0526504849386771</v>
      </c>
      <c r="M43" s="12">
        <f t="shared" si="6"/>
        <v>6.1538461538461542</v>
      </c>
      <c r="N43" s="13">
        <f t="shared" si="7"/>
        <v>1.2307692307692308</v>
      </c>
    </row>
    <row r="44" spans="1:14">
      <c r="A44" s="6">
        <v>43</v>
      </c>
      <c r="B44" s="14">
        <v>42060</v>
      </c>
      <c r="C44" s="15">
        <v>85613</v>
      </c>
      <c r="D44" s="16">
        <v>3.39</v>
      </c>
      <c r="E44" s="16">
        <v>100</v>
      </c>
      <c r="F44" s="9" t="s">
        <v>918</v>
      </c>
      <c r="G44" s="10">
        <f t="shared" si="0"/>
        <v>29.498525073746311</v>
      </c>
      <c r="H44" s="11">
        <f t="shared" si="1"/>
        <v>154</v>
      </c>
      <c r="I44" s="10">
        <f t="shared" si="2"/>
        <v>13</v>
      </c>
      <c r="J44" s="10">
        <f t="shared" si="3"/>
        <v>5.9655750000000003</v>
      </c>
      <c r="K44" s="10">
        <f t="shared" si="4"/>
        <v>11.846153846153847</v>
      </c>
      <c r="L44" s="10">
        <f t="shared" si="5"/>
        <v>1.9857522277657804</v>
      </c>
      <c r="M44" s="12">
        <f t="shared" si="6"/>
        <v>6.1538461538461542</v>
      </c>
      <c r="N44" s="13">
        <f t="shared" si="7"/>
        <v>0.51948051948051943</v>
      </c>
    </row>
    <row r="45" spans="1:14">
      <c r="A45" s="6">
        <v>44</v>
      </c>
      <c r="B45" s="14">
        <v>42072</v>
      </c>
      <c r="C45" s="15">
        <v>85792</v>
      </c>
      <c r="D45" s="16">
        <v>3.399</v>
      </c>
      <c r="E45" s="16">
        <v>100</v>
      </c>
      <c r="F45" s="9" t="s">
        <v>918</v>
      </c>
      <c r="G45" s="10">
        <f t="shared" si="0"/>
        <v>29.420417769932332</v>
      </c>
      <c r="H45" s="11">
        <f t="shared" si="1"/>
        <v>179</v>
      </c>
      <c r="I45" s="10">
        <f t="shared" si="2"/>
        <v>12</v>
      </c>
      <c r="J45" s="10">
        <f t="shared" si="3"/>
        <v>6.0681000000000003</v>
      </c>
      <c r="K45" s="10">
        <f t="shared" si="4"/>
        <v>14.916666666666666</v>
      </c>
      <c r="L45" s="10">
        <f t="shared" si="5"/>
        <v>2.4582104228121926</v>
      </c>
      <c r="M45" s="12">
        <f t="shared" si="6"/>
        <v>8.3333333333333339</v>
      </c>
      <c r="N45" s="13">
        <f t="shared" si="7"/>
        <v>0.55865921787709494</v>
      </c>
    </row>
    <row r="46" spans="1:14">
      <c r="A46" s="6">
        <v>45</v>
      </c>
      <c r="B46" s="14">
        <v>42083</v>
      </c>
      <c r="C46" s="15">
        <v>85956</v>
      </c>
      <c r="D46" s="16">
        <v>3.0790000000000002</v>
      </c>
      <c r="E46" s="16">
        <v>60</v>
      </c>
      <c r="F46" s="9" t="s">
        <v>918</v>
      </c>
      <c r="G46" s="10">
        <f t="shared" si="0"/>
        <v>19.486846378694381</v>
      </c>
      <c r="H46" s="11">
        <f t="shared" si="1"/>
        <v>164</v>
      </c>
      <c r="I46" s="10">
        <f t="shared" si="2"/>
        <v>11</v>
      </c>
      <c r="J46" s="10">
        <f t="shared" si="3"/>
        <v>5.5743600000000004</v>
      </c>
      <c r="K46" s="10">
        <f t="shared" si="4"/>
        <v>14.909090909090908</v>
      </c>
      <c r="L46" s="10">
        <f t="shared" si="5"/>
        <v>2.6745834336302119</v>
      </c>
      <c r="M46" s="12">
        <f t="shared" si="6"/>
        <v>9.0909090909090917</v>
      </c>
      <c r="N46" s="13">
        <f t="shared" si="7"/>
        <v>0.6097560975609756</v>
      </c>
    </row>
    <row r="47" spans="1:14">
      <c r="A47" s="6">
        <v>46</v>
      </c>
      <c r="B47" s="14">
        <v>42090</v>
      </c>
      <c r="C47" s="15">
        <v>86094</v>
      </c>
      <c r="D47" s="16">
        <v>3.2989999999999999</v>
      </c>
      <c r="E47" s="16">
        <v>120</v>
      </c>
      <c r="F47" s="9" t="s">
        <v>918</v>
      </c>
      <c r="G47" s="10">
        <f t="shared" si="0"/>
        <v>36.374658987571991</v>
      </c>
      <c r="H47" s="11">
        <f t="shared" si="1"/>
        <v>138</v>
      </c>
      <c r="I47" s="10">
        <f t="shared" si="2"/>
        <v>7</v>
      </c>
      <c r="J47" s="10">
        <f t="shared" si="3"/>
        <v>7.0817000000000005</v>
      </c>
      <c r="K47" s="10">
        <f t="shared" si="4"/>
        <v>19.714285714285715</v>
      </c>
      <c r="L47" s="10">
        <f t="shared" si="5"/>
        <v>2.78383519695634</v>
      </c>
      <c r="M47" s="12">
        <f t="shared" si="6"/>
        <v>8.5714285714285712</v>
      </c>
      <c r="N47" s="13">
        <f t="shared" si="7"/>
        <v>0.43478260869565216</v>
      </c>
    </row>
    <row r="48" spans="1:14">
      <c r="A48" s="6">
        <v>47</v>
      </c>
      <c r="B48" s="14">
        <v>42106</v>
      </c>
      <c r="C48" s="15">
        <v>86237</v>
      </c>
      <c r="D48" s="16">
        <v>3.08</v>
      </c>
      <c r="E48" s="16">
        <v>100</v>
      </c>
      <c r="F48" s="9" t="s">
        <v>918</v>
      </c>
      <c r="G48" s="10">
        <f t="shared" si="0"/>
        <v>32.467532467532465</v>
      </c>
      <c r="H48" s="11">
        <f t="shared" si="1"/>
        <v>143</v>
      </c>
      <c r="I48" s="10">
        <f t="shared" si="2"/>
        <v>16</v>
      </c>
      <c r="J48" s="10">
        <f t="shared" si="3"/>
        <v>3.9313083333333334</v>
      </c>
      <c r="K48" s="10">
        <f t="shared" si="4"/>
        <v>8.9375</v>
      </c>
      <c r="L48" s="10">
        <f t="shared" si="5"/>
        <v>2.2734161867232494</v>
      </c>
      <c r="M48" s="12">
        <f t="shared" si="6"/>
        <v>7.5</v>
      </c>
      <c r="N48" s="13">
        <f t="shared" si="7"/>
        <v>0.83916083916083917</v>
      </c>
    </row>
    <row r="49" spans="1:14">
      <c r="A49" s="6">
        <v>48</v>
      </c>
      <c r="B49" s="14">
        <v>42125</v>
      </c>
      <c r="C49" s="15">
        <v>86518</v>
      </c>
      <c r="D49" s="16">
        <v>3.177</v>
      </c>
      <c r="E49" s="16">
        <v>100</v>
      </c>
      <c r="F49" s="9" t="s">
        <v>918</v>
      </c>
      <c r="G49" s="10">
        <f t="shared" si="0"/>
        <v>31.476235442241109</v>
      </c>
      <c r="H49" s="11">
        <f t="shared" si="1"/>
        <v>281</v>
      </c>
      <c r="I49" s="10">
        <f t="shared" si="2"/>
        <v>19</v>
      </c>
      <c r="J49" s="10">
        <f t="shared" si="3"/>
        <v>8.6548000000000016</v>
      </c>
      <c r="K49" s="10">
        <f t="shared" si="4"/>
        <v>14.789473684210526</v>
      </c>
      <c r="L49" s="10">
        <f t="shared" si="5"/>
        <v>1.7088174982911823</v>
      </c>
      <c r="M49" s="12">
        <f t="shared" si="6"/>
        <v>5.2631578947368425</v>
      </c>
      <c r="N49" s="13">
        <f t="shared" si="7"/>
        <v>0.35587188612099646</v>
      </c>
    </row>
    <row r="50" spans="1:14">
      <c r="A50" s="6">
        <v>49</v>
      </c>
      <c r="B50" s="14">
        <v>42139</v>
      </c>
      <c r="C50" s="15">
        <v>86684</v>
      </c>
      <c r="D50" s="16">
        <v>3.2989999999999999</v>
      </c>
      <c r="E50" s="16">
        <v>134.80000000000001</v>
      </c>
      <c r="F50" s="9" t="s">
        <v>918</v>
      </c>
      <c r="G50" s="10">
        <f t="shared" si="0"/>
        <v>40.860866929372541</v>
      </c>
      <c r="H50" s="11">
        <f t="shared" si="1"/>
        <v>166</v>
      </c>
      <c r="I50" s="10">
        <f t="shared" si="2"/>
        <v>14</v>
      </c>
      <c r="J50" s="10">
        <f t="shared" si="3"/>
        <v>5.2738199999999997</v>
      </c>
      <c r="K50" s="10">
        <f t="shared" si="4"/>
        <v>11.857142857142858</v>
      </c>
      <c r="L50" s="10">
        <f t="shared" si="5"/>
        <v>2.2483025315886507</v>
      </c>
      <c r="M50" s="12">
        <f t="shared" si="6"/>
        <v>7.1428571428571432</v>
      </c>
      <c r="N50" s="13">
        <f t="shared" si="7"/>
        <v>0.60240963855421692</v>
      </c>
    </row>
    <row r="51" spans="1:14">
      <c r="A51" s="6">
        <v>50</v>
      </c>
      <c r="B51" s="14">
        <v>42141</v>
      </c>
      <c r="C51" s="15">
        <v>86931</v>
      </c>
      <c r="D51" s="16">
        <v>3.339</v>
      </c>
      <c r="E51" s="16">
        <v>83.85</v>
      </c>
      <c r="F51" s="9" t="s">
        <v>918</v>
      </c>
      <c r="G51" s="10">
        <f t="shared" si="0"/>
        <v>25.112309074573226</v>
      </c>
      <c r="H51" s="11">
        <f t="shared" si="1"/>
        <v>247</v>
      </c>
      <c r="I51" s="10">
        <f t="shared" si="2"/>
        <v>2</v>
      </c>
      <c r="J51" s="10">
        <f t="shared" si="3"/>
        <v>6.0449035608308597</v>
      </c>
      <c r="K51" s="10">
        <f t="shared" si="4"/>
        <v>123.5</v>
      </c>
      <c r="L51" s="10">
        <f t="shared" si="5"/>
        <v>20.430433464686271</v>
      </c>
      <c r="M51" s="12">
        <f t="shared" si="6"/>
        <v>67.400000000000006</v>
      </c>
      <c r="N51" s="13">
        <f t="shared" si="7"/>
        <v>0.54574898785425108</v>
      </c>
    </row>
    <row r="52" spans="1:14">
      <c r="A52" s="6">
        <v>51</v>
      </c>
      <c r="B52" s="14">
        <v>42157</v>
      </c>
      <c r="C52" s="15">
        <v>87326</v>
      </c>
      <c r="D52" s="16">
        <v>3.0990000000000002</v>
      </c>
      <c r="E52" s="16">
        <v>139.02000000000001</v>
      </c>
      <c r="F52" s="9" t="s">
        <v>918</v>
      </c>
      <c r="G52" s="10">
        <f t="shared" si="0"/>
        <v>44.859632139399807</v>
      </c>
      <c r="H52" s="11">
        <f t="shared" si="1"/>
        <v>395</v>
      </c>
      <c r="I52" s="10">
        <f t="shared" si="2"/>
        <v>16</v>
      </c>
      <c r="J52" s="10">
        <f t="shared" si="3"/>
        <v>15.729338103756708</v>
      </c>
      <c r="K52" s="10">
        <f t="shared" si="4"/>
        <v>24.6875</v>
      </c>
      <c r="L52" s="10">
        <f t="shared" si="5"/>
        <v>1.5695193171608266</v>
      </c>
      <c r="M52" s="12">
        <f t="shared" si="6"/>
        <v>5.2406249999999996</v>
      </c>
      <c r="N52" s="13">
        <f t="shared" si="7"/>
        <v>0.21227848101265823</v>
      </c>
    </row>
    <row r="53" spans="1:14">
      <c r="A53" s="6">
        <v>52</v>
      </c>
      <c r="B53" s="14">
        <v>42174</v>
      </c>
      <c r="C53" s="15">
        <v>87627</v>
      </c>
      <c r="D53" s="16">
        <v>3.0990000000000002</v>
      </c>
      <c r="E53" s="16">
        <v>100</v>
      </c>
      <c r="F53" s="9" t="s">
        <v>918</v>
      </c>
      <c r="G53" s="10">
        <f t="shared" si="0"/>
        <v>32.268473701193933</v>
      </c>
      <c r="H53" s="11">
        <f t="shared" si="1"/>
        <v>301</v>
      </c>
      <c r="I53" s="10">
        <f t="shared" si="2"/>
        <v>17</v>
      </c>
      <c r="J53" s="10">
        <f t="shared" si="3"/>
        <v>6.7098187311178243</v>
      </c>
      <c r="K53" s="10">
        <f t="shared" si="4"/>
        <v>17.705882352941178</v>
      </c>
      <c r="L53" s="10">
        <f t="shared" si="5"/>
        <v>2.63880189055293</v>
      </c>
      <c r="M53" s="12">
        <f t="shared" si="6"/>
        <v>8.1776470588235295</v>
      </c>
      <c r="N53" s="13">
        <f t="shared" si="7"/>
        <v>0.4618604651162791</v>
      </c>
    </row>
    <row r="54" spans="1:14">
      <c r="A54" s="6">
        <v>53</v>
      </c>
      <c r="B54" s="14">
        <v>42188</v>
      </c>
      <c r="C54" s="15">
        <v>87798</v>
      </c>
      <c r="D54" s="16">
        <v>3.2989999999999999</v>
      </c>
      <c r="E54" s="16">
        <v>100</v>
      </c>
      <c r="F54" s="9" t="s">
        <v>918</v>
      </c>
      <c r="G54" s="10">
        <f t="shared" si="0"/>
        <v>30.312215822976661</v>
      </c>
      <c r="H54" s="11">
        <f t="shared" si="1"/>
        <v>171</v>
      </c>
      <c r="I54" s="10">
        <f t="shared" si="2"/>
        <v>14</v>
      </c>
      <c r="J54" s="10">
        <f t="shared" si="3"/>
        <v>5.2992900000000001</v>
      </c>
      <c r="K54" s="10">
        <f t="shared" si="4"/>
        <v>12.214285714285714</v>
      </c>
      <c r="L54" s="10">
        <f t="shared" si="5"/>
        <v>2.3048909786567093</v>
      </c>
      <c r="M54" s="12">
        <f t="shared" si="6"/>
        <v>7.1428571428571432</v>
      </c>
      <c r="N54" s="13">
        <f t="shared" si="7"/>
        <v>0.58479532163742687</v>
      </c>
    </row>
    <row r="55" spans="1:14">
      <c r="A55" s="6">
        <v>54</v>
      </c>
      <c r="B55" s="14">
        <v>42217</v>
      </c>
      <c r="C55" s="15">
        <v>88004</v>
      </c>
      <c r="D55" s="16">
        <v>3.2989999999999999</v>
      </c>
      <c r="E55" s="16">
        <v>100</v>
      </c>
      <c r="F55" s="9" t="s">
        <v>918</v>
      </c>
      <c r="G55" s="10">
        <f t="shared" si="0"/>
        <v>30.312215822976661</v>
      </c>
      <c r="H55" s="11">
        <f t="shared" si="1"/>
        <v>206</v>
      </c>
      <c r="I55" s="10">
        <f t="shared" si="2"/>
        <v>29</v>
      </c>
      <c r="J55" s="10">
        <f t="shared" si="3"/>
        <v>6.7959399999999999</v>
      </c>
      <c r="K55" s="10">
        <f t="shared" si="4"/>
        <v>7.1034482758620694</v>
      </c>
      <c r="L55" s="10">
        <f t="shared" si="5"/>
        <v>1.0452488214819537</v>
      </c>
      <c r="M55" s="12">
        <f t="shared" si="6"/>
        <v>3.4482758620689653</v>
      </c>
      <c r="N55" s="13">
        <f t="shared" si="7"/>
        <v>0.4854368932038835</v>
      </c>
    </row>
    <row r="56" spans="1:14">
      <c r="A56" s="6">
        <v>55</v>
      </c>
      <c r="B56" s="14">
        <v>42227</v>
      </c>
      <c r="C56" s="15">
        <v>88268</v>
      </c>
      <c r="D56" s="16">
        <v>3.2989999999999999</v>
      </c>
      <c r="E56" s="16">
        <v>75</v>
      </c>
      <c r="F56" s="9" t="s">
        <v>918</v>
      </c>
      <c r="G56" s="10">
        <f t="shared" si="0"/>
        <v>22.734161867232494</v>
      </c>
      <c r="H56" s="11">
        <f t="shared" si="1"/>
        <v>264</v>
      </c>
      <c r="I56" s="10">
        <f t="shared" si="2"/>
        <v>10</v>
      </c>
      <c r="J56" s="10">
        <f t="shared" si="3"/>
        <v>8.7093600000000002</v>
      </c>
      <c r="K56" s="10">
        <f t="shared" si="4"/>
        <v>26.4</v>
      </c>
      <c r="L56" s="10">
        <f t="shared" si="5"/>
        <v>3.031221582297666</v>
      </c>
      <c r="M56" s="12">
        <f t="shared" si="6"/>
        <v>10</v>
      </c>
      <c r="N56" s="13">
        <f t="shared" si="7"/>
        <v>0.37878787878787878</v>
      </c>
    </row>
    <row r="57" spans="1:14">
      <c r="A57" s="6">
        <v>56</v>
      </c>
      <c r="B57" s="14">
        <v>42237</v>
      </c>
      <c r="C57" s="15">
        <v>88418</v>
      </c>
      <c r="D57" s="16">
        <v>3.2989999999999999</v>
      </c>
      <c r="E57" s="16">
        <v>60</v>
      </c>
      <c r="F57" s="9" t="s">
        <v>918</v>
      </c>
      <c r="G57" s="10">
        <f t="shared" si="0"/>
        <v>18.187329493785995</v>
      </c>
      <c r="H57" s="11">
        <f t="shared" si="1"/>
        <v>150</v>
      </c>
      <c r="I57" s="10">
        <f t="shared" si="2"/>
        <v>10</v>
      </c>
      <c r="J57" s="10">
        <f t="shared" si="3"/>
        <v>6.5979999999999999</v>
      </c>
      <c r="K57" s="10">
        <f t="shared" si="4"/>
        <v>15</v>
      </c>
      <c r="L57" s="10">
        <f t="shared" si="5"/>
        <v>2.2734161867232494</v>
      </c>
      <c r="M57" s="12">
        <f t="shared" si="6"/>
        <v>7.5</v>
      </c>
      <c r="N57" s="13">
        <f t="shared" si="7"/>
        <v>0.5</v>
      </c>
    </row>
    <row r="58" spans="1:14">
      <c r="A58" s="6">
        <v>57</v>
      </c>
      <c r="B58" s="14">
        <v>42249</v>
      </c>
      <c r="C58" s="15">
        <v>88533</v>
      </c>
      <c r="D58" s="16">
        <v>2.9990000000000001</v>
      </c>
      <c r="E58" s="16">
        <v>100</v>
      </c>
      <c r="F58" s="9" t="s">
        <v>918</v>
      </c>
      <c r="G58" s="10">
        <f t="shared" si="0"/>
        <v>33.344448149383126</v>
      </c>
      <c r="H58" s="11">
        <f t="shared" si="1"/>
        <v>115</v>
      </c>
      <c r="I58" s="10">
        <f t="shared" si="2"/>
        <v>12</v>
      </c>
      <c r="J58" s="10">
        <f t="shared" si="3"/>
        <v>6.3230833333333338</v>
      </c>
      <c r="K58" s="10">
        <f t="shared" si="4"/>
        <v>9.5833333333333339</v>
      </c>
      <c r="L58" s="10">
        <f t="shared" si="5"/>
        <v>1.515610791148833</v>
      </c>
      <c r="M58" s="12">
        <f t="shared" si="6"/>
        <v>5</v>
      </c>
      <c r="N58" s="13">
        <f t="shared" si="7"/>
        <v>0.52173913043478259</v>
      </c>
    </row>
    <row r="59" spans="1:14">
      <c r="A59" s="6">
        <v>58</v>
      </c>
      <c r="B59" s="14">
        <v>42258</v>
      </c>
      <c r="C59" s="15">
        <v>88606</v>
      </c>
      <c r="D59" s="16">
        <v>3.1989999999999998</v>
      </c>
      <c r="E59" s="16">
        <v>90.02</v>
      </c>
      <c r="F59" s="9" t="s">
        <v>918</v>
      </c>
      <c r="G59" s="10">
        <f t="shared" si="0"/>
        <v>28.14004376367615</v>
      </c>
      <c r="H59" s="11">
        <f t="shared" si="1"/>
        <v>73</v>
      </c>
      <c r="I59" s="10">
        <f t="shared" si="2"/>
        <v>9</v>
      </c>
      <c r="J59" s="10">
        <f t="shared" si="3"/>
        <v>2.18927</v>
      </c>
      <c r="K59" s="10">
        <f t="shared" si="4"/>
        <v>8.1111111111111107</v>
      </c>
      <c r="L59" s="10">
        <f t="shared" si="5"/>
        <v>3.7049386832647917</v>
      </c>
      <c r="M59" s="12">
        <f t="shared" si="6"/>
        <v>11.111111111111111</v>
      </c>
      <c r="N59" s="13">
        <f t="shared" si="7"/>
        <v>1.3698630136986301</v>
      </c>
    </row>
    <row r="60" spans="1:14">
      <c r="A60" s="6">
        <v>59</v>
      </c>
      <c r="B60" s="14">
        <v>42258</v>
      </c>
      <c r="C60" s="15">
        <v>88872</v>
      </c>
      <c r="D60" s="16">
        <v>3.4590000000000001</v>
      </c>
      <c r="E60" s="16">
        <v>86.58</v>
      </c>
      <c r="F60" s="9" t="s">
        <v>918</v>
      </c>
      <c r="G60" s="10">
        <f t="shared" si="0"/>
        <v>25.030355594102339</v>
      </c>
      <c r="H60" s="11">
        <f t="shared" si="1"/>
        <v>266</v>
      </c>
      <c r="I60" s="10">
        <f t="shared" si="2"/>
        <v>0</v>
      </c>
      <c r="J60" s="10">
        <f t="shared" si="3"/>
        <v>9.4527216174183515</v>
      </c>
      <c r="K60" s="10">
        <f t="shared" si="4"/>
        <v>266</v>
      </c>
      <c r="L60" s="10">
        <f t="shared" si="5"/>
        <v>25.030355594102339</v>
      </c>
      <c r="M60" s="12">
        <f t="shared" si="6"/>
        <v>90.02</v>
      </c>
      <c r="N60" s="13">
        <f t="shared" si="7"/>
        <v>0.33842105263157896</v>
      </c>
    </row>
    <row r="61" spans="1:14">
      <c r="A61" s="6">
        <v>60</v>
      </c>
      <c r="B61" s="14">
        <v>42260</v>
      </c>
      <c r="C61" s="15">
        <v>89257</v>
      </c>
      <c r="D61" s="16">
        <v>3.3090000000000002</v>
      </c>
      <c r="E61" s="16">
        <v>128.09</v>
      </c>
      <c r="F61" s="9" t="s">
        <v>918</v>
      </c>
      <c r="G61" s="10">
        <f t="shared" si="0"/>
        <v>38.709579933514654</v>
      </c>
      <c r="H61" s="11">
        <f t="shared" si="1"/>
        <v>385</v>
      </c>
      <c r="I61" s="10">
        <f t="shared" si="2"/>
        <v>2</v>
      </c>
      <c r="J61" s="10">
        <f t="shared" si="3"/>
        <v>15.381323631323633</v>
      </c>
      <c r="K61" s="10">
        <f t="shared" si="4"/>
        <v>192.5</v>
      </c>
      <c r="L61" s="10">
        <f t="shared" si="5"/>
        <v>12.51517779705117</v>
      </c>
      <c r="M61" s="12">
        <f t="shared" si="6"/>
        <v>43.29</v>
      </c>
      <c r="N61" s="13">
        <f t="shared" si="7"/>
        <v>0.22488311688311688</v>
      </c>
    </row>
    <row r="62" spans="1:14">
      <c r="A62" s="6">
        <v>61</v>
      </c>
      <c r="B62" s="14">
        <v>42260</v>
      </c>
      <c r="C62" s="15">
        <v>89485</v>
      </c>
      <c r="D62" s="16">
        <v>3.4590000000000001</v>
      </c>
      <c r="E62" s="16">
        <v>71.010000000000005</v>
      </c>
      <c r="F62" s="9" t="s">
        <v>918</v>
      </c>
      <c r="G62" s="10">
        <f t="shared" si="0"/>
        <v>20.529054640069386</v>
      </c>
      <c r="H62" s="11">
        <f t="shared" si="1"/>
        <v>228</v>
      </c>
      <c r="I62" s="10">
        <f t="shared" si="2"/>
        <v>0</v>
      </c>
      <c r="J62" s="10">
        <f t="shared" si="3"/>
        <v>5.8900148333203219</v>
      </c>
      <c r="K62" s="10">
        <f t="shared" si="4"/>
        <v>228</v>
      </c>
      <c r="L62" s="10">
        <f t="shared" si="5"/>
        <v>20.529054640069386</v>
      </c>
      <c r="M62" s="12">
        <f t="shared" si="6"/>
        <v>128.09</v>
      </c>
      <c r="N62" s="13">
        <f t="shared" si="7"/>
        <v>0.56179824561403513</v>
      </c>
    </row>
    <row r="63" spans="1:14">
      <c r="A63" s="6">
        <v>62</v>
      </c>
      <c r="B63" s="14">
        <v>42264</v>
      </c>
      <c r="C63" s="15">
        <v>89925</v>
      </c>
      <c r="D63" s="16">
        <v>3.2989999999999999</v>
      </c>
      <c r="E63" s="16">
        <v>80</v>
      </c>
      <c r="F63" s="9" t="s">
        <v>918</v>
      </c>
      <c r="G63" s="10">
        <f t="shared" si="0"/>
        <v>24.249772658381328</v>
      </c>
      <c r="H63" s="11">
        <f t="shared" si="1"/>
        <v>440</v>
      </c>
      <c r="I63" s="10">
        <f t="shared" si="2"/>
        <v>4</v>
      </c>
      <c r="J63" s="10">
        <f t="shared" si="3"/>
        <v>21.433037600337979</v>
      </c>
      <c r="K63" s="10">
        <f t="shared" si="4"/>
        <v>110</v>
      </c>
      <c r="L63" s="10">
        <f t="shared" si="5"/>
        <v>5.1322636600173466</v>
      </c>
      <c r="M63" s="12">
        <f t="shared" si="6"/>
        <v>17.752500000000001</v>
      </c>
      <c r="N63" s="13">
        <f t="shared" si="7"/>
        <v>0.16138636363636366</v>
      </c>
    </row>
    <row r="64" spans="1:14">
      <c r="A64" s="6">
        <v>63</v>
      </c>
      <c r="B64" s="14">
        <v>42273</v>
      </c>
      <c r="C64" s="15">
        <v>90037</v>
      </c>
      <c r="D64" s="16">
        <v>3.2989999999999999</v>
      </c>
      <c r="E64" s="16">
        <v>100</v>
      </c>
      <c r="F64" s="9" t="s">
        <v>918</v>
      </c>
      <c r="G64" s="10">
        <f t="shared" si="0"/>
        <v>30.312215822976661</v>
      </c>
      <c r="H64" s="11">
        <f t="shared" si="1"/>
        <v>112</v>
      </c>
      <c r="I64" s="10">
        <f t="shared" si="2"/>
        <v>9</v>
      </c>
      <c r="J64" s="10">
        <f t="shared" si="3"/>
        <v>4.6185999999999998</v>
      </c>
      <c r="K64" s="10">
        <f t="shared" si="4"/>
        <v>12.444444444444445</v>
      </c>
      <c r="L64" s="10">
        <f t="shared" si="5"/>
        <v>2.6944191842645919</v>
      </c>
      <c r="M64" s="12">
        <f t="shared" si="6"/>
        <v>8.8888888888888893</v>
      </c>
      <c r="N64" s="13">
        <f t="shared" si="7"/>
        <v>0.7142857142857143</v>
      </c>
    </row>
    <row r="65" spans="1:14">
      <c r="A65" s="6">
        <v>64</v>
      </c>
      <c r="B65" s="14">
        <v>42295</v>
      </c>
      <c r="C65" s="15">
        <v>90282</v>
      </c>
      <c r="D65" s="16">
        <v>3.0990000000000002</v>
      </c>
      <c r="E65" s="16">
        <v>80</v>
      </c>
      <c r="F65" s="9" t="s">
        <v>918</v>
      </c>
      <c r="G65" s="10">
        <f t="shared" si="0"/>
        <v>25.814778960955145</v>
      </c>
      <c r="H65" s="11">
        <f t="shared" si="1"/>
        <v>245</v>
      </c>
      <c r="I65" s="10">
        <f t="shared" si="2"/>
        <v>22</v>
      </c>
      <c r="J65" s="10">
        <f t="shared" si="3"/>
        <v>8.0825499999999995</v>
      </c>
      <c r="K65" s="10">
        <f t="shared" si="4"/>
        <v>11.136363636363637</v>
      </c>
      <c r="L65" s="10">
        <f t="shared" si="5"/>
        <v>1.3778279919534846</v>
      </c>
      <c r="M65" s="12">
        <f t="shared" si="6"/>
        <v>4.5454545454545459</v>
      </c>
      <c r="N65" s="13">
        <f t="shared" si="7"/>
        <v>0.40816326530612246</v>
      </c>
    </row>
    <row r="66" spans="1:14">
      <c r="A66" s="6">
        <v>65</v>
      </c>
      <c r="B66" s="14">
        <v>42305</v>
      </c>
      <c r="C66" s="15">
        <v>90436</v>
      </c>
      <c r="D66" s="16">
        <v>3.4990000000000001</v>
      </c>
      <c r="E66" s="16">
        <v>80</v>
      </c>
      <c r="F66" s="9" t="s">
        <v>918</v>
      </c>
      <c r="G66" s="10">
        <f t="shared" si="0"/>
        <v>22.863675335810232</v>
      </c>
      <c r="H66" s="11">
        <f t="shared" si="1"/>
        <v>154</v>
      </c>
      <c r="I66" s="10">
        <f t="shared" si="2"/>
        <v>10</v>
      </c>
      <c r="J66" s="10">
        <f t="shared" si="3"/>
        <v>5.9655750000000003</v>
      </c>
      <c r="K66" s="10">
        <f t="shared" si="4"/>
        <v>15.4</v>
      </c>
      <c r="L66" s="10">
        <f t="shared" si="5"/>
        <v>2.5814778960955147</v>
      </c>
      <c r="M66" s="12">
        <f t="shared" si="6"/>
        <v>8</v>
      </c>
      <c r="N66" s="13">
        <f t="shared" si="7"/>
        <v>0.51948051948051943</v>
      </c>
    </row>
    <row r="67" spans="1:14">
      <c r="A67" s="6">
        <v>66</v>
      </c>
      <c r="B67" s="14">
        <v>42324</v>
      </c>
      <c r="C67" s="15">
        <v>90538</v>
      </c>
      <c r="D67" s="16">
        <v>3.59</v>
      </c>
      <c r="E67" s="16">
        <v>100</v>
      </c>
      <c r="F67" s="9" t="s">
        <v>918</v>
      </c>
      <c r="G67" s="10">
        <f t="shared" ref="G67:G78" si="8">IF(E67&lt;&gt;"",E67/D67,"")</f>
        <v>27.855153203342621</v>
      </c>
      <c r="H67" s="11">
        <f t="shared" ref="H67:H78" si="9">IF(C67="","",C67-C66)</f>
        <v>102</v>
      </c>
      <c r="I67" s="10">
        <f t="shared" ref="I67:I78" si="10">IF(B67="","",B67-B66)</f>
        <v>19</v>
      </c>
      <c r="J67" s="10">
        <f t="shared" ref="J67:J78" si="11">IF(H67="","",H67/G66)</f>
        <v>4.4612249999999998</v>
      </c>
      <c r="K67" s="10">
        <f t="shared" ref="K67:K78" si="12">IF(H67&lt;&gt;"",IF(I67&gt;0,H67/I67,H67),"" )</f>
        <v>5.3684210526315788</v>
      </c>
      <c r="L67" s="10">
        <f t="shared" ref="L67:L78" si="13">IF(I67="","",IF(I67=0,G67,G66/I67))</f>
        <v>1.2033513334636965</v>
      </c>
      <c r="M67" s="12">
        <f t="shared" ref="M67:M78" si="14">IF(I67="","",IF(I67=0,E66,E66/I67))</f>
        <v>4.2105263157894735</v>
      </c>
      <c r="N67" s="13">
        <f t="shared" ref="N67:N78" si="15">IF(H67="","",E66/H67)</f>
        <v>0.78431372549019607</v>
      </c>
    </row>
    <row r="68" spans="1:14">
      <c r="A68" s="6">
        <v>67</v>
      </c>
      <c r="B68" s="14">
        <v>42341</v>
      </c>
      <c r="C68" s="15">
        <v>90706</v>
      </c>
      <c r="D68" s="16">
        <v>3.59</v>
      </c>
      <c r="E68" s="16">
        <v>100</v>
      </c>
      <c r="F68" s="9" t="s">
        <v>918</v>
      </c>
      <c r="G68" s="10">
        <f t="shared" si="8"/>
        <v>27.855153203342621</v>
      </c>
      <c r="H68" s="11">
        <f t="shared" si="9"/>
        <v>168</v>
      </c>
      <c r="I68" s="10">
        <f t="shared" si="10"/>
        <v>17</v>
      </c>
      <c r="J68" s="10">
        <f t="shared" si="11"/>
        <v>6.0311999999999992</v>
      </c>
      <c r="K68" s="10">
        <f t="shared" si="12"/>
        <v>9.882352941176471</v>
      </c>
      <c r="L68" s="10">
        <f t="shared" si="13"/>
        <v>1.6385384237260365</v>
      </c>
      <c r="M68" s="12">
        <f t="shared" si="14"/>
        <v>5.882352941176471</v>
      </c>
      <c r="N68" s="13">
        <f t="shared" si="15"/>
        <v>0.59523809523809523</v>
      </c>
    </row>
    <row r="69" spans="1:14">
      <c r="A69" s="6">
        <v>68</v>
      </c>
      <c r="B69" s="14">
        <v>42365</v>
      </c>
      <c r="C69" s="15">
        <v>90840</v>
      </c>
      <c r="D69" s="16">
        <v>3.59</v>
      </c>
      <c r="E69" s="16">
        <v>100</v>
      </c>
      <c r="F69" s="9" t="s">
        <v>918</v>
      </c>
      <c r="G69" s="10">
        <f t="shared" si="8"/>
        <v>27.855153203342621</v>
      </c>
      <c r="H69" s="11">
        <f t="shared" si="9"/>
        <v>134</v>
      </c>
      <c r="I69" s="10">
        <f t="shared" si="10"/>
        <v>24</v>
      </c>
      <c r="J69" s="10">
        <f t="shared" si="11"/>
        <v>4.8106</v>
      </c>
      <c r="K69" s="10">
        <f t="shared" si="12"/>
        <v>5.583333333333333</v>
      </c>
      <c r="L69" s="10">
        <f t="shared" si="13"/>
        <v>1.1606313834726092</v>
      </c>
      <c r="M69" s="12">
        <f t="shared" si="14"/>
        <v>4.166666666666667</v>
      </c>
      <c r="N69" s="13">
        <f t="shared" si="15"/>
        <v>0.74626865671641796</v>
      </c>
    </row>
    <row r="70" spans="1:14">
      <c r="A70" s="6">
        <v>69</v>
      </c>
      <c r="B70" s="14">
        <v>42381</v>
      </c>
      <c r="C70" s="15">
        <v>91056</v>
      </c>
      <c r="D70" s="16">
        <v>3.399</v>
      </c>
      <c r="E70" s="16">
        <v>80</v>
      </c>
      <c r="F70" s="9" t="s">
        <v>918</v>
      </c>
      <c r="G70" s="10">
        <f t="shared" si="8"/>
        <v>23.536334215945867</v>
      </c>
      <c r="H70" s="11">
        <f t="shared" si="9"/>
        <v>216</v>
      </c>
      <c r="I70" s="10">
        <f t="shared" si="10"/>
        <v>16</v>
      </c>
      <c r="J70" s="10">
        <f t="shared" si="11"/>
        <v>7.7543999999999995</v>
      </c>
      <c r="K70" s="10">
        <f t="shared" si="12"/>
        <v>13.5</v>
      </c>
      <c r="L70" s="10">
        <f t="shared" si="13"/>
        <v>1.7409470752089138</v>
      </c>
      <c r="M70" s="12">
        <f t="shared" si="14"/>
        <v>6.25</v>
      </c>
      <c r="N70" s="13">
        <f t="shared" si="15"/>
        <v>0.46296296296296297</v>
      </c>
    </row>
    <row r="71" spans="1:14">
      <c r="A71" s="6">
        <v>70</v>
      </c>
      <c r="B71" s="14">
        <v>42398</v>
      </c>
      <c r="C71" s="15">
        <v>91180</v>
      </c>
      <c r="D71" s="16">
        <v>3.4969999999999999</v>
      </c>
      <c r="E71" s="16">
        <v>138.63999999999999</v>
      </c>
      <c r="F71" s="9" t="s">
        <v>918</v>
      </c>
      <c r="G71" s="10">
        <f t="shared" si="8"/>
        <v>39.64541035173005</v>
      </c>
      <c r="H71" s="11">
        <f t="shared" si="9"/>
        <v>124</v>
      </c>
      <c r="I71" s="10">
        <f t="shared" si="10"/>
        <v>17</v>
      </c>
      <c r="J71" s="10">
        <f t="shared" si="11"/>
        <v>5.2684499999999996</v>
      </c>
      <c r="K71" s="10">
        <f t="shared" si="12"/>
        <v>7.2941176470588234</v>
      </c>
      <c r="L71" s="10">
        <f t="shared" si="13"/>
        <v>1.3844902479968157</v>
      </c>
      <c r="M71" s="12">
        <f t="shared" si="14"/>
        <v>4.7058823529411766</v>
      </c>
      <c r="N71" s="13">
        <f t="shared" si="15"/>
        <v>0.64516129032258063</v>
      </c>
    </row>
    <row r="72" spans="1:14">
      <c r="A72" s="6">
        <v>71</v>
      </c>
      <c r="B72" s="14">
        <v>42428</v>
      </c>
      <c r="C72" s="15">
        <v>91464</v>
      </c>
      <c r="D72" s="16">
        <v>3.6989999999999998</v>
      </c>
      <c r="E72" s="16">
        <v>80</v>
      </c>
      <c r="F72" s="9" t="s">
        <v>918</v>
      </c>
      <c r="G72" s="10">
        <f t="shared" si="8"/>
        <v>21.627466882941338</v>
      </c>
      <c r="H72" s="11">
        <f t="shared" si="9"/>
        <v>284</v>
      </c>
      <c r="I72" s="10">
        <f t="shared" si="10"/>
        <v>30</v>
      </c>
      <c r="J72" s="10">
        <f t="shared" si="11"/>
        <v>7.1635025966532035</v>
      </c>
      <c r="K72" s="10">
        <f t="shared" si="12"/>
        <v>9.4666666666666668</v>
      </c>
      <c r="L72" s="10">
        <f t="shared" si="13"/>
        <v>1.3215136783910018</v>
      </c>
      <c r="M72" s="12">
        <f t="shared" si="14"/>
        <v>4.6213333333333333</v>
      </c>
      <c r="N72" s="13">
        <f t="shared" si="15"/>
        <v>0.48816901408450697</v>
      </c>
    </row>
    <row r="73" spans="1:14">
      <c r="A73" s="6">
        <v>72</v>
      </c>
      <c r="B73" s="14">
        <v>42439</v>
      </c>
      <c r="C73" s="15">
        <v>91603</v>
      </c>
      <c r="D73" s="16">
        <v>3.5990000000000002</v>
      </c>
      <c r="E73" s="16">
        <v>80</v>
      </c>
      <c r="F73" s="9" t="s">
        <v>918</v>
      </c>
      <c r="G73" s="10">
        <f t="shared" si="8"/>
        <v>22.228396776882466</v>
      </c>
      <c r="H73" s="11">
        <f t="shared" si="9"/>
        <v>139</v>
      </c>
      <c r="I73" s="10">
        <f t="shared" si="10"/>
        <v>11</v>
      </c>
      <c r="J73" s="10">
        <f t="shared" si="11"/>
        <v>6.4270124999999991</v>
      </c>
      <c r="K73" s="10">
        <f t="shared" si="12"/>
        <v>12.636363636363637</v>
      </c>
      <c r="L73" s="10">
        <f t="shared" si="13"/>
        <v>1.9661333529946672</v>
      </c>
      <c r="M73" s="12">
        <f t="shared" si="14"/>
        <v>7.2727272727272725</v>
      </c>
      <c r="N73" s="13">
        <f t="shared" si="15"/>
        <v>0.57553956834532372</v>
      </c>
    </row>
    <row r="74" spans="1:14">
      <c r="A74" s="6">
        <v>73</v>
      </c>
      <c r="B74" s="14">
        <v>42450</v>
      </c>
      <c r="C74" s="15">
        <v>91735</v>
      </c>
      <c r="D74" s="16">
        <v>3.79</v>
      </c>
      <c r="E74" s="16">
        <v>50</v>
      </c>
      <c r="F74" s="9" t="s">
        <v>918</v>
      </c>
      <c r="G74" s="10">
        <f t="shared" si="8"/>
        <v>13.192612137203167</v>
      </c>
      <c r="H74" s="11">
        <f t="shared" si="9"/>
        <v>132</v>
      </c>
      <c r="I74" s="10">
        <f t="shared" si="10"/>
        <v>11</v>
      </c>
      <c r="J74" s="10">
        <f t="shared" si="11"/>
        <v>5.9383500000000007</v>
      </c>
      <c r="K74" s="10">
        <f t="shared" si="12"/>
        <v>12</v>
      </c>
      <c r="L74" s="10">
        <f t="shared" si="13"/>
        <v>2.0207633433529515</v>
      </c>
      <c r="M74" s="12">
        <f t="shared" si="14"/>
        <v>7.2727272727272725</v>
      </c>
      <c r="N74" s="13">
        <f t="shared" si="15"/>
        <v>0.60606060606060608</v>
      </c>
    </row>
    <row r="75" spans="1:14">
      <c r="A75" s="6">
        <v>74</v>
      </c>
      <c r="B75" s="14">
        <v>42463</v>
      </c>
      <c r="C75" s="15">
        <v>91806</v>
      </c>
      <c r="D75" s="16">
        <v>3.79</v>
      </c>
      <c r="E75" s="16">
        <v>80</v>
      </c>
      <c r="F75" s="9" t="s">
        <v>918</v>
      </c>
      <c r="G75" s="10">
        <f t="shared" si="8"/>
        <v>21.108179419525065</v>
      </c>
      <c r="H75" s="11">
        <f t="shared" si="9"/>
        <v>71</v>
      </c>
      <c r="I75" s="10">
        <f t="shared" si="10"/>
        <v>13</v>
      </c>
      <c r="J75" s="10">
        <f t="shared" si="11"/>
        <v>5.3818000000000001</v>
      </c>
      <c r="K75" s="10">
        <f t="shared" si="12"/>
        <v>5.4615384615384617</v>
      </c>
      <c r="L75" s="10">
        <f t="shared" si="13"/>
        <v>1.0148163182463974</v>
      </c>
      <c r="M75" s="12">
        <f t="shared" si="14"/>
        <v>3.8461538461538463</v>
      </c>
      <c r="N75" s="13">
        <f t="shared" si="15"/>
        <v>0.70422535211267601</v>
      </c>
    </row>
    <row r="76" spans="1:14">
      <c r="A76" s="6">
        <v>75</v>
      </c>
      <c r="B76" s="14">
        <v>42469</v>
      </c>
      <c r="C76" s="15">
        <v>91926</v>
      </c>
      <c r="D76" s="16">
        <v>3.4689999999999999</v>
      </c>
      <c r="E76" s="16">
        <v>80</v>
      </c>
      <c r="F76" s="9" t="s">
        <v>918</v>
      </c>
      <c r="G76" s="10">
        <f t="shared" si="8"/>
        <v>23.061400980109543</v>
      </c>
      <c r="H76" s="11">
        <f t="shared" si="9"/>
        <v>120</v>
      </c>
      <c r="I76" s="10">
        <f t="shared" si="10"/>
        <v>6</v>
      </c>
      <c r="J76" s="10">
        <f t="shared" si="11"/>
        <v>5.6850000000000005</v>
      </c>
      <c r="K76" s="10">
        <f t="shared" si="12"/>
        <v>20</v>
      </c>
      <c r="L76" s="10">
        <f t="shared" si="13"/>
        <v>3.5180299032541775</v>
      </c>
      <c r="M76" s="12">
        <f t="shared" si="14"/>
        <v>13.333333333333334</v>
      </c>
      <c r="N76" s="13">
        <f t="shared" si="15"/>
        <v>0.66666666666666663</v>
      </c>
    </row>
    <row r="77" spans="1:14">
      <c r="A77" s="6">
        <v>76</v>
      </c>
      <c r="B77" s="14">
        <v>42475</v>
      </c>
      <c r="C77" s="15">
        <v>92087</v>
      </c>
      <c r="D77" s="16">
        <v>3.7989999999999999</v>
      </c>
      <c r="E77" s="16">
        <v>100</v>
      </c>
      <c r="F77" s="9" t="s">
        <v>918</v>
      </c>
      <c r="G77" s="10">
        <f t="shared" si="8"/>
        <v>26.322716504343248</v>
      </c>
      <c r="H77" s="11">
        <f t="shared" si="9"/>
        <v>161</v>
      </c>
      <c r="I77" s="10">
        <f t="shared" si="10"/>
        <v>6</v>
      </c>
      <c r="J77" s="10">
        <f t="shared" si="11"/>
        <v>6.9813624999999995</v>
      </c>
      <c r="K77" s="10">
        <f t="shared" si="12"/>
        <v>26.833333333333332</v>
      </c>
      <c r="L77" s="10">
        <f t="shared" si="13"/>
        <v>3.8435668300182573</v>
      </c>
      <c r="M77" s="12">
        <f t="shared" si="14"/>
        <v>13.333333333333334</v>
      </c>
      <c r="N77" s="13">
        <f t="shared" si="15"/>
        <v>0.49689440993788819</v>
      </c>
    </row>
    <row r="78" spans="1:14">
      <c r="A78" s="6">
        <v>77</v>
      </c>
      <c r="B78" s="14">
        <v>42488</v>
      </c>
      <c r="C78" s="15">
        <v>92222</v>
      </c>
      <c r="D78" s="16">
        <v>3.69</v>
      </c>
      <c r="E78" s="16">
        <v>100</v>
      </c>
      <c r="F78" s="9" t="s">
        <v>918</v>
      </c>
      <c r="G78" s="10">
        <f t="shared" si="8"/>
        <v>27.100271002710027</v>
      </c>
      <c r="H78" s="11">
        <f t="shared" si="9"/>
        <v>135</v>
      </c>
      <c r="I78" s="10">
        <f t="shared" si="10"/>
        <v>13</v>
      </c>
      <c r="J78" s="10">
        <f t="shared" si="11"/>
        <v>5.1286500000000004</v>
      </c>
      <c r="K78" s="10">
        <f t="shared" si="12"/>
        <v>10.384615384615385</v>
      </c>
      <c r="L78" s="10">
        <f t="shared" si="13"/>
        <v>2.0248243464879421</v>
      </c>
      <c r="M78" s="12">
        <f t="shared" si="14"/>
        <v>7.6923076923076925</v>
      </c>
      <c r="N78" s="13">
        <f t="shared" si="15"/>
        <v>0.7407407407407407</v>
      </c>
    </row>
    <row r="79" spans="1:14">
      <c r="A79" s="6">
        <v>78</v>
      </c>
      <c r="B79" s="14">
        <v>42500</v>
      </c>
      <c r="C79" s="15">
        <v>92388</v>
      </c>
      <c r="D79" s="16">
        <v>3.6989999999999998</v>
      </c>
      <c r="E79" s="16">
        <v>100</v>
      </c>
      <c r="F79" s="9" t="s">
        <v>918</v>
      </c>
      <c r="G79" s="10">
        <f t="shared" ref="G79:G111" si="16">IF(E79&lt;&gt;"",E79/D79,"")</f>
        <v>27.034333603676671</v>
      </c>
      <c r="H79" s="11">
        <f t="shared" ref="H79:H88" si="17">IF(C79="","",C79-C78)</f>
        <v>166</v>
      </c>
      <c r="I79" s="10">
        <f t="shared" ref="I79:I88" si="18">IF(B79="","",B79-B78)</f>
        <v>12</v>
      </c>
      <c r="J79" s="10">
        <f t="shared" ref="J79:J88" si="19">IF(H79="","",H79/G78)</f>
        <v>6.1254</v>
      </c>
      <c r="K79" s="10">
        <f t="shared" ref="K79:K88" si="20">IF(H79&lt;&gt;"",IF(I79&gt;0,H79/I79,H79),"" )</f>
        <v>13.833333333333334</v>
      </c>
      <c r="L79" s="10">
        <f t="shared" ref="L79:L88" si="21">IF(I79="","",IF(I79=0,G79,G78/I79))</f>
        <v>2.2583559168925023</v>
      </c>
      <c r="M79" s="12">
        <f t="shared" ref="M79:M88" si="22">IF(I79="","",IF(I79=0,E78,E78/I79))</f>
        <v>8.3333333333333339</v>
      </c>
      <c r="N79" s="13">
        <f t="shared" ref="N79:N88" si="23">IF(H79="","",E78/H79)</f>
        <v>0.60240963855421692</v>
      </c>
    </row>
    <row r="80" spans="1:14">
      <c r="A80" s="6">
        <v>79</v>
      </c>
      <c r="B80" s="14">
        <v>42513</v>
      </c>
      <c r="C80" s="15">
        <v>92551</v>
      </c>
      <c r="D80" s="16">
        <v>3.79</v>
      </c>
      <c r="E80" s="16">
        <v>100</v>
      </c>
      <c r="F80" s="16" t="s">
        <v>918</v>
      </c>
      <c r="G80" s="10">
        <f t="shared" si="16"/>
        <v>26.385224274406333</v>
      </c>
      <c r="H80" s="11">
        <f t="shared" si="17"/>
        <v>163</v>
      </c>
      <c r="I80" s="10">
        <f t="shared" si="18"/>
        <v>13</v>
      </c>
      <c r="J80" s="10">
        <f t="shared" si="19"/>
        <v>6.0293699999999992</v>
      </c>
      <c r="K80" s="10">
        <f t="shared" si="20"/>
        <v>12.538461538461538</v>
      </c>
      <c r="L80" s="10">
        <f t="shared" si="21"/>
        <v>2.0795641233597442</v>
      </c>
      <c r="M80" s="12">
        <f t="shared" si="22"/>
        <v>7.6923076923076925</v>
      </c>
      <c r="N80" s="13">
        <f t="shared" si="23"/>
        <v>0.61349693251533743</v>
      </c>
    </row>
    <row r="81" spans="1:14">
      <c r="A81" s="6">
        <v>80</v>
      </c>
      <c r="B81" s="14">
        <v>42522</v>
      </c>
      <c r="C81" s="15">
        <v>92696</v>
      </c>
      <c r="D81" s="16">
        <v>3.39</v>
      </c>
      <c r="E81" s="16">
        <v>140.79</v>
      </c>
      <c r="F81" s="16" t="s">
        <v>918</v>
      </c>
      <c r="G81" s="10">
        <f t="shared" si="16"/>
        <v>41.530973451327426</v>
      </c>
      <c r="H81" s="11">
        <f t="shared" si="17"/>
        <v>145</v>
      </c>
      <c r="I81" s="10">
        <f t="shared" si="18"/>
        <v>9</v>
      </c>
      <c r="J81" s="10">
        <f t="shared" si="19"/>
        <v>5.4954999999999998</v>
      </c>
      <c r="K81" s="10">
        <f t="shared" si="20"/>
        <v>16.111111111111111</v>
      </c>
      <c r="L81" s="10">
        <f t="shared" si="21"/>
        <v>2.9316915860451482</v>
      </c>
      <c r="M81" s="12">
        <f t="shared" si="22"/>
        <v>11.111111111111111</v>
      </c>
      <c r="N81" s="13">
        <f t="shared" si="23"/>
        <v>0.68965517241379315</v>
      </c>
    </row>
    <row r="82" spans="1:14">
      <c r="A82" s="6">
        <v>81</v>
      </c>
      <c r="B82" s="14">
        <v>42535</v>
      </c>
      <c r="C82" s="15">
        <v>92929</v>
      </c>
      <c r="D82" s="16">
        <v>3.49</v>
      </c>
      <c r="E82" s="16">
        <v>151.32</v>
      </c>
      <c r="F82" s="16" t="s">
        <v>918</v>
      </c>
      <c r="G82" s="10">
        <f t="shared" si="16"/>
        <v>43.358166189111742</v>
      </c>
      <c r="H82" s="11">
        <f t="shared" si="17"/>
        <v>233</v>
      </c>
      <c r="I82" s="10">
        <f t="shared" si="18"/>
        <v>13</v>
      </c>
      <c r="J82" s="10">
        <f t="shared" si="19"/>
        <v>5.6102706158107827</v>
      </c>
      <c r="K82" s="10">
        <f t="shared" si="20"/>
        <v>17.923076923076923</v>
      </c>
      <c r="L82" s="10">
        <f t="shared" si="21"/>
        <v>3.1946902654867251</v>
      </c>
      <c r="M82" s="12">
        <f t="shared" si="22"/>
        <v>10.83</v>
      </c>
      <c r="N82" s="13">
        <f t="shared" si="23"/>
        <v>0.60424892703862654</v>
      </c>
    </row>
    <row r="83" spans="1:14">
      <c r="A83" s="6">
        <v>82</v>
      </c>
      <c r="B83" s="14">
        <v>42550</v>
      </c>
      <c r="C83" s="15">
        <v>93179</v>
      </c>
      <c r="D83" s="16">
        <v>3.399</v>
      </c>
      <c r="E83" s="16">
        <v>158.06</v>
      </c>
      <c r="F83" s="16" t="s">
        <v>918</v>
      </c>
      <c r="G83" s="10">
        <f t="shared" si="16"/>
        <v>46.501912327155047</v>
      </c>
      <c r="H83" s="11">
        <f t="shared" si="17"/>
        <v>250</v>
      </c>
      <c r="I83" s="10">
        <f t="shared" si="18"/>
        <v>15</v>
      </c>
      <c r="J83" s="10">
        <f t="shared" si="19"/>
        <v>5.7659265133491946</v>
      </c>
      <c r="K83" s="10">
        <f t="shared" si="20"/>
        <v>16.666666666666668</v>
      </c>
      <c r="L83" s="10">
        <f t="shared" si="21"/>
        <v>2.8905444126074493</v>
      </c>
      <c r="M83" s="12">
        <f t="shared" si="22"/>
        <v>10.087999999999999</v>
      </c>
      <c r="N83" s="13">
        <f t="shared" si="23"/>
        <v>0.60527999999999993</v>
      </c>
    </row>
    <row r="84" spans="1:14">
      <c r="A84" s="6">
        <v>83</v>
      </c>
      <c r="B84" s="14">
        <v>42571</v>
      </c>
      <c r="C84" s="15">
        <v>93483</v>
      </c>
      <c r="D84" s="16">
        <v>3.2989999999999999</v>
      </c>
      <c r="E84" s="16">
        <v>142.81</v>
      </c>
      <c r="F84" s="16" t="s">
        <v>918</v>
      </c>
      <c r="G84" s="10">
        <f t="shared" si="16"/>
        <v>43.288875416792969</v>
      </c>
      <c r="H84" s="11">
        <f t="shared" si="17"/>
        <v>304</v>
      </c>
      <c r="I84" s="10">
        <f t="shared" si="18"/>
        <v>21</v>
      </c>
      <c r="J84" s="10">
        <f t="shared" si="19"/>
        <v>6.5373655573832723</v>
      </c>
      <c r="K84" s="10">
        <f t="shared" si="20"/>
        <v>14.476190476190476</v>
      </c>
      <c r="L84" s="10">
        <f t="shared" si="21"/>
        <v>2.2143767774835736</v>
      </c>
      <c r="M84" s="12">
        <f t="shared" si="22"/>
        <v>7.5266666666666664</v>
      </c>
      <c r="N84" s="13">
        <f t="shared" si="23"/>
        <v>0.51993421052631583</v>
      </c>
    </row>
    <row r="85" spans="1:14">
      <c r="A85" s="6">
        <v>84</v>
      </c>
      <c r="B85" s="14">
        <v>42576</v>
      </c>
      <c r="C85" s="15">
        <v>93633</v>
      </c>
      <c r="D85" s="16">
        <v>3.4990000000000001</v>
      </c>
      <c r="E85" s="16">
        <v>69.739999999999995</v>
      </c>
      <c r="F85" s="16" t="s">
        <v>918</v>
      </c>
      <c r="G85" s="10">
        <f t="shared" si="16"/>
        <v>19.931408973992568</v>
      </c>
      <c r="H85" s="11">
        <f t="shared" si="17"/>
        <v>150</v>
      </c>
      <c r="I85" s="10">
        <f t="shared" si="18"/>
        <v>5</v>
      </c>
      <c r="J85" s="10">
        <f t="shared" si="19"/>
        <v>3.46509348084868</v>
      </c>
      <c r="K85" s="10">
        <f t="shared" si="20"/>
        <v>30</v>
      </c>
      <c r="L85" s="10">
        <f t="shared" si="21"/>
        <v>8.6577750833585938</v>
      </c>
      <c r="M85" s="12">
        <f t="shared" si="22"/>
        <v>28.562000000000001</v>
      </c>
      <c r="N85" s="13">
        <f t="shared" si="23"/>
        <v>0.95206666666666673</v>
      </c>
    </row>
    <row r="86" spans="1:14">
      <c r="A86" s="6">
        <v>85</v>
      </c>
      <c r="B86" s="14">
        <v>42591</v>
      </c>
      <c r="C86" s="15">
        <v>93879</v>
      </c>
      <c r="D86" s="16">
        <v>3.4569999999999999</v>
      </c>
      <c r="E86" s="16">
        <v>30</v>
      </c>
      <c r="F86" s="16" t="s">
        <v>918</v>
      </c>
      <c r="G86" s="10">
        <f t="shared" si="16"/>
        <v>8.6780445472953431</v>
      </c>
      <c r="H86" s="11">
        <f t="shared" si="17"/>
        <v>246</v>
      </c>
      <c r="I86" s="10">
        <f t="shared" si="18"/>
        <v>15</v>
      </c>
      <c r="J86" s="10">
        <f t="shared" si="19"/>
        <v>12.342328649268714</v>
      </c>
      <c r="K86" s="10">
        <f t="shared" si="20"/>
        <v>16.399999999999999</v>
      </c>
      <c r="L86" s="10">
        <f t="shared" si="21"/>
        <v>1.3287605982661712</v>
      </c>
      <c r="M86" s="12">
        <f t="shared" si="22"/>
        <v>4.6493333333333329</v>
      </c>
      <c r="N86" s="13">
        <f t="shared" si="23"/>
        <v>0.28349593495934955</v>
      </c>
    </row>
    <row r="87" spans="1:14">
      <c r="A87" s="6">
        <v>86</v>
      </c>
      <c r="B87" s="14">
        <v>42591</v>
      </c>
      <c r="C87" s="15">
        <v>93885</v>
      </c>
      <c r="D87" s="16">
        <v>3.5470000000000002</v>
      </c>
      <c r="E87" s="16">
        <v>151.35</v>
      </c>
      <c r="F87" s="16" t="s">
        <v>918</v>
      </c>
      <c r="G87" s="10">
        <f t="shared" si="16"/>
        <v>42.669861855088804</v>
      </c>
      <c r="H87" s="11">
        <f t="shared" si="17"/>
        <v>6</v>
      </c>
      <c r="I87" s="10">
        <f t="shared" si="18"/>
        <v>0</v>
      </c>
      <c r="J87" s="10">
        <f t="shared" si="19"/>
        <v>0.69140000000000001</v>
      </c>
      <c r="K87" s="10">
        <f t="shared" si="20"/>
        <v>6</v>
      </c>
      <c r="L87" s="10">
        <f t="shared" si="21"/>
        <v>42.669861855088804</v>
      </c>
      <c r="M87" s="12">
        <f t="shared" si="22"/>
        <v>30</v>
      </c>
      <c r="N87" s="13">
        <f t="shared" si="23"/>
        <v>5</v>
      </c>
    </row>
    <row r="88" spans="1:14">
      <c r="A88" s="6">
        <v>87</v>
      </c>
      <c r="B88" s="14">
        <v>42606</v>
      </c>
      <c r="C88" s="15">
        <v>94154</v>
      </c>
      <c r="D88" s="16">
        <v>3.54</v>
      </c>
      <c r="E88" s="16">
        <v>100</v>
      </c>
      <c r="F88" s="16" t="s">
        <v>918</v>
      </c>
      <c r="G88" s="10">
        <f t="shared" si="16"/>
        <v>28.248587570621467</v>
      </c>
      <c r="H88" s="11">
        <f t="shared" si="17"/>
        <v>269</v>
      </c>
      <c r="I88" s="10">
        <f t="shared" si="18"/>
        <v>15</v>
      </c>
      <c r="J88" s="10">
        <f t="shared" si="19"/>
        <v>6.3042153947803108</v>
      </c>
      <c r="K88" s="10">
        <f t="shared" si="20"/>
        <v>17.933333333333334</v>
      </c>
      <c r="L88" s="10">
        <f t="shared" si="21"/>
        <v>2.8446574570059204</v>
      </c>
      <c r="M88" s="12">
        <f t="shared" si="22"/>
        <v>10.09</v>
      </c>
      <c r="N88" s="13">
        <f t="shared" si="23"/>
        <v>0.56263940520446099</v>
      </c>
    </row>
    <row r="89" spans="1:14">
      <c r="A89" s="6">
        <v>88</v>
      </c>
      <c r="B89" s="14">
        <v>42612</v>
      </c>
      <c r="C89" s="15">
        <v>94288</v>
      </c>
      <c r="D89" s="16">
        <v>3.4990000000000001</v>
      </c>
      <c r="E89" s="16">
        <v>100</v>
      </c>
      <c r="F89" s="16" t="s">
        <v>918</v>
      </c>
      <c r="G89" s="10">
        <f t="shared" si="16"/>
        <v>28.579594169762789</v>
      </c>
      <c r="H89" s="11">
        <f t="shared" ref="H89:H110" si="24">IF(C89="","",C89-C88)</f>
        <v>134</v>
      </c>
      <c r="I89" s="10">
        <f t="shared" ref="I89:I110" si="25">IF(B89="","",B89-B88)</f>
        <v>6</v>
      </c>
      <c r="J89" s="10">
        <f t="shared" ref="J89:J110" si="26">IF(H89="","",H89/G88)</f>
        <v>4.7436000000000007</v>
      </c>
      <c r="K89" s="10">
        <f t="shared" ref="K89:K110" si="27">IF(H89&lt;&gt;"",IF(I89&gt;0,H89/I89,H89),"" )</f>
        <v>22.333333333333332</v>
      </c>
      <c r="L89" s="10">
        <f t="shared" ref="L89:L110" si="28">IF(I89="","",IF(I89=0,G89,G88/I89))</f>
        <v>4.7080979284369109</v>
      </c>
      <c r="M89" s="12">
        <f t="shared" ref="M89:M110" si="29">IF(I89="","",IF(I89=0,E88,E88/I89))</f>
        <v>16.666666666666668</v>
      </c>
      <c r="N89" s="13">
        <f t="shared" ref="N89:N110" si="30">IF(H89="","",E88/H89)</f>
        <v>0.74626865671641796</v>
      </c>
    </row>
    <row r="90" spans="1:14">
      <c r="A90" s="6">
        <v>89</v>
      </c>
      <c r="B90" s="14">
        <v>42624</v>
      </c>
      <c r="C90" s="15">
        <v>94447</v>
      </c>
      <c r="D90" s="16">
        <v>3.7989999999999999</v>
      </c>
      <c r="E90" s="16">
        <v>90</v>
      </c>
      <c r="F90" s="16" t="s">
        <v>918</v>
      </c>
      <c r="G90" s="10">
        <f t="shared" si="16"/>
        <v>23.690444853908925</v>
      </c>
      <c r="H90" s="11">
        <f t="shared" si="24"/>
        <v>159</v>
      </c>
      <c r="I90" s="10">
        <f t="shared" si="25"/>
        <v>12</v>
      </c>
      <c r="J90" s="10">
        <f t="shared" si="26"/>
        <v>5.5634100000000002</v>
      </c>
      <c r="K90" s="10">
        <f t="shared" si="27"/>
        <v>13.25</v>
      </c>
      <c r="L90" s="10">
        <f t="shared" si="28"/>
        <v>2.3816328474802324</v>
      </c>
      <c r="M90" s="12">
        <f t="shared" si="29"/>
        <v>8.3333333333333339</v>
      </c>
      <c r="N90" s="13">
        <f t="shared" si="30"/>
        <v>0.62893081761006286</v>
      </c>
    </row>
    <row r="91" spans="1:14">
      <c r="A91" s="6">
        <v>90</v>
      </c>
      <c r="B91" s="14">
        <v>42631</v>
      </c>
      <c r="C91" s="15">
        <v>94598</v>
      </c>
      <c r="D91" s="16">
        <v>3.6989999999999998</v>
      </c>
      <c r="E91" s="16">
        <v>100</v>
      </c>
      <c r="F91" s="16" t="s">
        <v>918</v>
      </c>
      <c r="G91" s="10">
        <f t="shared" si="16"/>
        <v>27.034333603676671</v>
      </c>
      <c r="H91" s="11">
        <f t="shared" si="24"/>
        <v>151</v>
      </c>
      <c r="I91" s="10">
        <f t="shared" si="25"/>
        <v>7</v>
      </c>
      <c r="J91" s="10">
        <f t="shared" si="26"/>
        <v>6.3738777777777775</v>
      </c>
      <c r="K91" s="10">
        <f t="shared" si="27"/>
        <v>21.571428571428573</v>
      </c>
      <c r="L91" s="10">
        <f t="shared" si="28"/>
        <v>3.3843492648441322</v>
      </c>
      <c r="M91" s="12">
        <f t="shared" si="29"/>
        <v>12.857142857142858</v>
      </c>
      <c r="N91" s="13">
        <f t="shared" si="30"/>
        <v>0.59602649006622521</v>
      </c>
    </row>
    <row r="92" spans="1:14">
      <c r="A92" s="6">
        <v>91</v>
      </c>
      <c r="B92" s="14">
        <v>42642</v>
      </c>
      <c r="C92" s="15">
        <v>94756</v>
      </c>
      <c r="D92" s="16">
        <v>3.45</v>
      </c>
      <c r="E92" s="16">
        <v>50</v>
      </c>
      <c r="F92" s="16" t="s">
        <v>918</v>
      </c>
      <c r="G92" s="10">
        <f t="shared" si="16"/>
        <v>14.492753623188404</v>
      </c>
      <c r="H92" s="11">
        <f t="shared" si="24"/>
        <v>158</v>
      </c>
      <c r="I92" s="10">
        <f t="shared" si="25"/>
        <v>11</v>
      </c>
      <c r="J92" s="10">
        <f t="shared" si="26"/>
        <v>5.8444199999999995</v>
      </c>
      <c r="K92" s="10">
        <f t="shared" si="27"/>
        <v>14.363636363636363</v>
      </c>
      <c r="L92" s="10">
        <f t="shared" si="28"/>
        <v>2.4576666912433338</v>
      </c>
      <c r="M92" s="12">
        <f t="shared" si="29"/>
        <v>9.0909090909090917</v>
      </c>
      <c r="N92" s="13">
        <f t="shared" si="30"/>
        <v>0.63291139240506333</v>
      </c>
    </row>
    <row r="93" spans="1:14">
      <c r="A93" s="6">
        <v>92</v>
      </c>
      <c r="B93" s="14">
        <v>42657</v>
      </c>
      <c r="C93" s="15">
        <v>95042</v>
      </c>
      <c r="D93" s="16">
        <v>3.89</v>
      </c>
      <c r="E93" s="16">
        <v>120</v>
      </c>
      <c r="F93" s="16" t="s">
        <v>918</v>
      </c>
      <c r="G93" s="10">
        <f t="shared" si="16"/>
        <v>30.848329048843187</v>
      </c>
      <c r="H93" s="11">
        <f t="shared" si="24"/>
        <v>286</v>
      </c>
      <c r="I93" s="10">
        <f t="shared" si="25"/>
        <v>15</v>
      </c>
      <c r="J93" s="10">
        <f t="shared" si="26"/>
        <v>19.734000000000002</v>
      </c>
      <c r="K93" s="10">
        <f t="shared" si="27"/>
        <v>19.066666666666666</v>
      </c>
      <c r="L93" s="10">
        <f t="shared" si="28"/>
        <v>0.96618357487922701</v>
      </c>
      <c r="M93" s="12">
        <f t="shared" si="29"/>
        <v>3.3333333333333335</v>
      </c>
      <c r="N93" s="13">
        <f t="shared" si="30"/>
        <v>0.17482517482517482</v>
      </c>
    </row>
    <row r="94" spans="1:14">
      <c r="A94" s="6">
        <v>93</v>
      </c>
      <c r="B94" s="14">
        <v>42669</v>
      </c>
      <c r="C94" s="15">
        <v>95215</v>
      </c>
      <c r="D94" s="16">
        <v>3.89</v>
      </c>
      <c r="E94" s="16">
        <v>50</v>
      </c>
      <c r="F94" s="16" t="s">
        <v>918</v>
      </c>
      <c r="G94" s="10">
        <f t="shared" si="16"/>
        <v>12.853470437017995</v>
      </c>
      <c r="H94" s="11">
        <f t="shared" si="24"/>
        <v>173</v>
      </c>
      <c r="I94" s="10">
        <f t="shared" si="25"/>
        <v>12</v>
      </c>
      <c r="J94" s="10">
        <f t="shared" si="26"/>
        <v>5.6080833333333331</v>
      </c>
      <c r="K94" s="10">
        <f t="shared" si="27"/>
        <v>14.416666666666666</v>
      </c>
      <c r="L94" s="10">
        <f t="shared" si="28"/>
        <v>2.5706940874035991</v>
      </c>
      <c r="M94" s="12">
        <f t="shared" si="29"/>
        <v>10</v>
      </c>
      <c r="N94" s="13">
        <f t="shared" si="30"/>
        <v>0.69364161849710981</v>
      </c>
    </row>
    <row r="95" spans="1:14">
      <c r="A95" s="6">
        <v>94</v>
      </c>
      <c r="B95" s="14">
        <v>42684</v>
      </c>
      <c r="C95" s="15">
        <v>95482</v>
      </c>
      <c r="D95" s="16">
        <v>3.5990000000000002</v>
      </c>
      <c r="E95" s="16">
        <v>166</v>
      </c>
      <c r="F95" s="16" t="s">
        <v>918</v>
      </c>
      <c r="G95" s="10">
        <f t="shared" si="16"/>
        <v>46.123923312031117</v>
      </c>
      <c r="H95" s="11">
        <f t="shared" si="24"/>
        <v>267</v>
      </c>
      <c r="I95" s="10">
        <f t="shared" si="25"/>
        <v>15</v>
      </c>
      <c r="J95" s="10">
        <f t="shared" si="26"/>
        <v>20.772600000000001</v>
      </c>
      <c r="K95" s="10">
        <f t="shared" si="27"/>
        <v>17.8</v>
      </c>
      <c r="L95" s="10">
        <f t="shared" si="28"/>
        <v>0.85689802913453295</v>
      </c>
      <c r="M95" s="12">
        <f t="shared" si="29"/>
        <v>3.3333333333333335</v>
      </c>
      <c r="N95" s="13">
        <f t="shared" si="30"/>
        <v>0.18726591760299627</v>
      </c>
    </row>
    <row r="96" spans="1:14">
      <c r="A96" s="6">
        <v>95</v>
      </c>
      <c r="B96" s="14">
        <v>42694</v>
      </c>
      <c r="C96" s="15">
        <v>95692</v>
      </c>
      <c r="D96" s="16">
        <v>3.399</v>
      </c>
      <c r="E96" s="16">
        <v>81.239999999999995</v>
      </c>
      <c r="F96" s="16" t="s">
        <v>918</v>
      </c>
      <c r="G96" s="10">
        <f t="shared" si="16"/>
        <v>23.901147396293027</v>
      </c>
      <c r="H96" s="11">
        <f t="shared" si="24"/>
        <v>210</v>
      </c>
      <c r="I96" s="10">
        <f t="shared" si="25"/>
        <v>10</v>
      </c>
      <c r="J96" s="10">
        <f t="shared" si="26"/>
        <v>4.5529518072289159</v>
      </c>
      <c r="K96" s="10">
        <f t="shared" si="27"/>
        <v>21</v>
      </c>
      <c r="L96" s="10">
        <f t="shared" si="28"/>
        <v>4.6123923312031119</v>
      </c>
      <c r="M96" s="12">
        <f t="shared" si="29"/>
        <v>16.600000000000001</v>
      </c>
      <c r="N96" s="13">
        <f t="shared" si="30"/>
        <v>0.79047619047619044</v>
      </c>
    </row>
    <row r="97" spans="1:14">
      <c r="A97" s="6">
        <v>96</v>
      </c>
      <c r="B97" s="14">
        <v>42710</v>
      </c>
      <c r="C97" s="15">
        <v>95941</v>
      </c>
      <c r="D97" s="16">
        <v>3.399</v>
      </c>
      <c r="E97" s="16">
        <v>168.61</v>
      </c>
      <c r="F97" s="16" t="s">
        <v>918</v>
      </c>
      <c r="G97" s="10">
        <f t="shared" si="16"/>
        <v>49.60576640188291</v>
      </c>
      <c r="H97" s="11">
        <f t="shared" si="24"/>
        <v>249</v>
      </c>
      <c r="I97" s="10">
        <f t="shared" si="25"/>
        <v>16</v>
      </c>
      <c r="J97" s="10">
        <f t="shared" si="26"/>
        <v>10.417909896602659</v>
      </c>
      <c r="K97" s="10">
        <f t="shared" si="27"/>
        <v>15.5625</v>
      </c>
      <c r="L97" s="10">
        <f t="shared" si="28"/>
        <v>1.4938217122683142</v>
      </c>
      <c r="M97" s="12">
        <f t="shared" si="29"/>
        <v>5.0774999999999997</v>
      </c>
      <c r="N97" s="13">
        <f t="shared" si="30"/>
        <v>0.32626506024096386</v>
      </c>
    </row>
    <row r="98" spans="1:14">
      <c r="A98" s="6">
        <v>97</v>
      </c>
      <c r="B98" s="14">
        <v>42749</v>
      </c>
      <c r="C98" s="15">
        <v>96205</v>
      </c>
      <c r="D98" s="16">
        <v>3.6869999999999998</v>
      </c>
      <c r="E98" s="16">
        <v>159.79</v>
      </c>
      <c r="F98" s="16" t="s">
        <v>918</v>
      </c>
      <c r="G98" s="10">
        <f t="shared" si="16"/>
        <v>43.338757797667483</v>
      </c>
      <c r="H98" s="11">
        <f t="shared" si="24"/>
        <v>264</v>
      </c>
      <c r="I98" s="10">
        <f t="shared" si="25"/>
        <v>39</v>
      </c>
      <c r="J98" s="10">
        <f t="shared" si="26"/>
        <v>5.3219619239665494</v>
      </c>
      <c r="K98" s="10">
        <f t="shared" si="27"/>
        <v>6.7692307692307692</v>
      </c>
      <c r="L98" s="10">
        <f t="shared" si="28"/>
        <v>1.2719427282534079</v>
      </c>
      <c r="M98" s="12">
        <f t="shared" si="29"/>
        <v>4.3233333333333333</v>
      </c>
      <c r="N98" s="13">
        <f t="shared" si="30"/>
        <v>0.63867424242424242</v>
      </c>
    </row>
    <row r="99" spans="1:14">
      <c r="A99" s="6">
        <v>98</v>
      </c>
      <c r="B99" s="14">
        <v>42762</v>
      </c>
      <c r="C99" s="15">
        <v>96464</v>
      </c>
      <c r="D99" s="16">
        <v>3.9990000000000001</v>
      </c>
      <c r="E99" s="16">
        <v>181.03</v>
      </c>
      <c r="F99" s="16" t="s">
        <v>918</v>
      </c>
      <c r="G99" s="10">
        <f t="shared" si="16"/>
        <v>45.268817204301072</v>
      </c>
      <c r="H99" s="11">
        <f t="shared" si="24"/>
        <v>259</v>
      </c>
      <c r="I99" s="10">
        <f t="shared" si="25"/>
        <v>13</v>
      </c>
      <c r="J99" s="10">
        <f t="shared" si="26"/>
        <v>5.9761749796608044</v>
      </c>
      <c r="K99" s="10">
        <f t="shared" si="27"/>
        <v>19.923076923076923</v>
      </c>
      <c r="L99" s="10">
        <f t="shared" si="28"/>
        <v>3.3337505998205756</v>
      </c>
      <c r="M99" s="12">
        <f t="shared" si="29"/>
        <v>12.291538461538462</v>
      </c>
      <c r="N99" s="13">
        <f t="shared" si="30"/>
        <v>0.61694980694980694</v>
      </c>
    </row>
    <row r="100" spans="1:14">
      <c r="A100" s="6">
        <v>99</v>
      </c>
      <c r="B100" s="14">
        <v>42778</v>
      </c>
      <c r="C100" s="15">
        <v>96738</v>
      </c>
      <c r="D100" s="16">
        <v>3.9990000000000001</v>
      </c>
      <c r="E100" s="16">
        <v>175</v>
      </c>
      <c r="F100" s="16" t="s">
        <v>918</v>
      </c>
      <c r="G100" s="10">
        <f t="shared" si="16"/>
        <v>43.760940235058762</v>
      </c>
      <c r="H100" s="11">
        <f t="shared" si="24"/>
        <v>274</v>
      </c>
      <c r="I100" s="10">
        <f t="shared" si="25"/>
        <v>16</v>
      </c>
      <c r="J100" s="10">
        <f t="shared" si="26"/>
        <v>6.0527315914489312</v>
      </c>
      <c r="K100" s="10">
        <f t="shared" si="27"/>
        <v>17.125</v>
      </c>
      <c r="L100" s="10">
        <f t="shared" si="28"/>
        <v>2.829301075268817</v>
      </c>
      <c r="M100" s="12">
        <f t="shared" si="29"/>
        <v>11.314375</v>
      </c>
      <c r="N100" s="13">
        <f t="shared" si="30"/>
        <v>0.66069343065693431</v>
      </c>
    </row>
    <row r="101" spans="1:14">
      <c r="A101" s="6">
        <v>100</v>
      </c>
      <c r="B101" s="14">
        <v>42790</v>
      </c>
      <c r="C101" s="15">
        <v>96903</v>
      </c>
      <c r="D101" s="16">
        <v>3.7989999999999999</v>
      </c>
      <c r="E101" s="16">
        <v>113.02</v>
      </c>
      <c r="F101" s="16" t="s">
        <v>918</v>
      </c>
      <c r="G101" s="10">
        <f t="shared" si="16"/>
        <v>29.749934193208738</v>
      </c>
      <c r="H101" s="11">
        <f t="shared" si="24"/>
        <v>165</v>
      </c>
      <c r="I101" s="10">
        <f t="shared" si="25"/>
        <v>12</v>
      </c>
      <c r="J101" s="10">
        <f t="shared" si="26"/>
        <v>3.7704857142857144</v>
      </c>
      <c r="K101" s="10">
        <f t="shared" si="27"/>
        <v>13.75</v>
      </c>
      <c r="L101" s="10">
        <f t="shared" si="28"/>
        <v>3.6467450195882303</v>
      </c>
      <c r="M101" s="12">
        <f t="shared" si="29"/>
        <v>14.583333333333334</v>
      </c>
      <c r="N101" s="13">
        <f t="shared" si="30"/>
        <v>1.0606060606060606</v>
      </c>
    </row>
    <row r="102" spans="1:14">
      <c r="A102" s="6">
        <v>101</v>
      </c>
      <c r="B102" s="14">
        <v>42790</v>
      </c>
      <c r="C102" s="15">
        <v>97301</v>
      </c>
      <c r="D102" s="16">
        <v>3.9990000000000001</v>
      </c>
      <c r="E102" s="16">
        <v>142</v>
      </c>
      <c r="F102" s="16" t="s">
        <v>918</v>
      </c>
      <c r="G102" s="10">
        <f t="shared" si="16"/>
        <v>35.508877219304829</v>
      </c>
      <c r="H102" s="11">
        <f t="shared" si="24"/>
        <v>398</v>
      </c>
      <c r="I102" s="10">
        <f t="shared" si="25"/>
        <v>0</v>
      </c>
      <c r="J102" s="10">
        <f t="shared" si="26"/>
        <v>13.378180852946382</v>
      </c>
      <c r="K102" s="10">
        <f t="shared" si="27"/>
        <v>398</v>
      </c>
      <c r="L102" s="10">
        <f t="shared" si="28"/>
        <v>35.508877219304829</v>
      </c>
      <c r="M102" s="12">
        <f t="shared" si="29"/>
        <v>113.02</v>
      </c>
      <c r="N102" s="13">
        <f t="shared" si="30"/>
        <v>0.28396984924623114</v>
      </c>
    </row>
    <row r="103" spans="1:14">
      <c r="A103" s="6">
        <v>102</v>
      </c>
      <c r="B103" s="14">
        <v>42793</v>
      </c>
      <c r="C103" s="15">
        <v>97614</v>
      </c>
      <c r="D103" s="16">
        <v>3.95</v>
      </c>
      <c r="E103" s="16">
        <v>121.26</v>
      </c>
      <c r="F103" s="16" t="s">
        <v>918</v>
      </c>
      <c r="G103" s="10">
        <f t="shared" si="16"/>
        <v>30.69873417721519</v>
      </c>
      <c r="H103" s="11">
        <f t="shared" si="24"/>
        <v>313</v>
      </c>
      <c r="I103" s="10">
        <f t="shared" si="25"/>
        <v>3</v>
      </c>
      <c r="J103" s="10">
        <f t="shared" si="26"/>
        <v>8.8146971830985912</v>
      </c>
      <c r="K103" s="10">
        <f t="shared" si="27"/>
        <v>104.33333333333333</v>
      </c>
      <c r="L103" s="10">
        <f t="shared" si="28"/>
        <v>11.836292406434943</v>
      </c>
      <c r="M103" s="12">
        <f t="shared" si="29"/>
        <v>47.333333333333336</v>
      </c>
      <c r="N103" s="13">
        <f t="shared" si="30"/>
        <v>0.45367412140575081</v>
      </c>
    </row>
    <row r="104" spans="1:14">
      <c r="A104" s="6">
        <v>103</v>
      </c>
      <c r="B104" s="14">
        <v>42793</v>
      </c>
      <c r="C104" s="15">
        <v>97828</v>
      </c>
      <c r="D104" s="16">
        <v>3.859</v>
      </c>
      <c r="E104" s="16">
        <v>75.33</v>
      </c>
      <c r="F104" s="16" t="s">
        <v>918</v>
      </c>
      <c r="G104" s="10">
        <f t="shared" si="16"/>
        <v>19.520601192018656</v>
      </c>
      <c r="H104" s="11">
        <f t="shared" si="24"/>
        <v>214</v>
      </c>
      <c r="I104" s="10">
        <f t="shared" si="25"/>
        <v>0</v>
      </c>
      <c r="J104" s="10">
        <f t="shared" si="26"/>
        <v>6.9709714662708233</v>
      </c>
      <c r="K104" s="10">
        <f t="shared" si="27"/>
        <v>214</v>
      </c>
      <c r="L104" s="10">
        <f t="shared" si="28"/>
        <v>19.520601192018656</v>
      </c>
      <c r="M104" s="12">
        <f t="shared" si="29"/>
        <v>121.26</v>
      </c>
      <c r="N104" s="13">
        <f t="shared" si="30"/>
        <v>0.56663551401869161</v>
      </c>
    </row>
    <row r="105" spans="1:14">
      <c r="A105" s="6">
        <v>104</v>
      </c>
      <c r="B105" s="14">
        <v>42796</v>
      </c>
      <c r="C105" s="15">
        <v>98300</v>
      </c>
      <c r="D105" s="16">
        <v>3.89</v>
      </c>
      <c r="E105" s="16">
        <v>50</v>
      </c>
      <c r="F105" s="16" t="s">
        <v>918</v>
      </c>
      <c r="G105" s="10">
        <f t="shared" si="16"/>
        <v>12.853470437017995</v>
      </c>
      <c r="H105" s="11">
        <f t="shared" si="24"/>
        <v>472</v>
      </c>
      <c r="I105" s="10">
        <f t="shared" si="25"/>
        <v>3</v>
      </c>
      <c r="J105" s="10">
        <f t="shared" si="26"/>
        <v>24.179583167396789</v>
      </c>
      <c r="K105" s="10">
        <f t="shared" si="27"/>
        <v>157.33333333333334</v>
      </c>
      <c r="L105" s="10">
        <f t="shared" si="28"/>
        <v>6.5068670640062187</v>
      </c>
      <c r="M105" s="12">
        <f t="shared" si="29"/>
        <v>25.11</v>
      </c>
      <c r="N105" s="13">
        <f t="shared" si="30"/>
        <v>0.15959745762711863</v>
      </c>
    </row>
    <row r="106" spans="1:14">
      <c r="A106" s="6">
        <v>105</v>
      </c>
      <c r="B106" s="14">
        <v>42802</v>
      </c>
      <c r="C106" s="15">
        <v>98370</v>
      </c>
      <c r="D106" s="16">
        <v>3.49</v>
      </c>
      <c r="E106" s="16">
        <v>170.23</v>
      </c>
      <c r="F106" s="16" t="s">
        <v>918</v>
      </c>
      <c r="G106" s="10">
        <f t="shared" si="16"/>
        <v>48.776504297994265</v>
      </c>
      <c r="H106" s="11">
        <f t="shared" si="24"/>
        <v>70</v>
      </c>
      <c r="I106" s="10">
        <f t="shared" si="25"/>
        <v>6</v>
      </c>
      <c r="J106" s="10">
        <f t="shared" si="26"/>
        <v>5.4459999999999997</v>
      </c>
      <c r="K106" s="10">
        <f t="shared" si="27"/>
        <v>11.666666666666666</v>
      </c>
      <c r="L106" s="10">
        <f t="shared" si="28"/>
        <v>2.1422450728363325</v>
      </c>
      <c r="M106" s="12">
        <f t="shared" si="29"/>
        <v>8.3333333333333339</v>
      </c>
      <c r="N106" s="13">
        <f t="shared" si="30"/>
        <v>0.7142857142857143</v>
      </c>
    </row>
    <row r="107" spans="1:14">
      <c r="A107" s="6">
        <v>106</v>
      </c>
      <c r="B107" s="14">
        <v>42822</v>
      </c>
      <c r="C107" s="15">
        <v>98630</v>
      </c>
      <c r="D107" s="16">
        <v>3.89</v>
      </c>
      <c r="E107" s="16">
        <v>100</v>
      </c>
      <c r="F107" s="16" t="s">
        <v>918</v>
      </c>
      <c r="G107" s="10">
        <f t="shared" si="16"/>
        <v>25.70694087403599</v>
      </c>
      <c r="H107" s="11">
        <f t="shared" si="24"/>
        <v>260</v>
      </c>
      <c r="I107" s="10">
        <f t="shared" si="25"/>
        <v>20</v>
      </c>
      <c r="J107" s="10">
        <f t="shared" si="26"/>
        <v>5.3304352934265413</v>
      </c>
      <c r="K107" s="10">
        <f t="shared" si="27"/>
        <v>13</v>
      </c>
      <c r="L107" s="10">
        <f t="shared" si="28"/>
        <v>2.4388252148997132</v>
      </c>
      <c r="M107" s="12">
        <f t="shared" si="29"/>
        <v>8.5114999999999998</v>
      </c>
      <c r="N107" s="13">
        <f t="shared" si="30"/>
        <v>0.65473076923076923</v>
      </c>
    </row>
    <row r="108" spans="1:14">
      <c r="A108" s="6">
        <v>107</v>
      </c>
      <c r="B108" s="14">
        <v>42832</v>
      </c>
      <c r="C108" s="15">
        <v>98779</v>
      </c>
      <c r="D108" s="16">
        <v>3.6989999999999998</v>
      </c>
      <c r="E108" s="16">
        <v>120</v>
      </c>
      <c r="F108" s="16" t="s">
        <v>918</v>
      </c>
      <c r="G108" s="10">
        <f t="shared" si="16"/>
        <v>32.441200324412002</v>
      </c>
      <c r="H108" s="11">
        <f t="shared" si="24"/>
        <v>149</v>
      </c>
      <c r="I108" s="10">
        <f t="shared" si="25"/>
        <v>10</v>
      </c>
      <c r="J108" s="10">
        <f t="shared" si="26"/>
        <v>5.7961</v>
      </c>
      <c r="K108" s="10">
        <f t="shared" si="27"/>
        <v>14.9</v>
      </c>
      <c r="L108" s="10">
        <f t="shared" si="28"/>
        <v>2.5706940874035991</v>
      </c>
      <c r="M108" s="12">
        <f t="shared" si="29"/>
        <v>10</v>
      </c>
      <c r="N108" s="13">
        <f t="shared" si="30"/>
        <v>0.67114093959731547</v>
      </c>
    </row>
    <row r="109" spans="1:14">
      <c r="A109" s="6">
        <v>108</v>
      </c>
      <c r="B109" s="14">
        <v>42852</v>
      </c>
      <c r="C109" s="15">
        <v>98961</v>
      </c>
      <c r="D109" s="16">
        <v>3.5990000000000002</v>
      </c>
      <c r="E109" s="16">
        <v>176</v>
      </c>
      <c r="F109" s="16" t="s">
        <v>918</v>
      </c>
      <c r="G109" s="10">
        <f t="shared" si="16"/>
        <v>48.902472909141423</v>
      </c>
      <c r="H109" s="11">
        <f t="shared" si="24"/>
        <v>182</v>
      </c>
      <c r="I109" s="10">
        <f t="shared" si="25"/>
        <v>20</v>
      </c>
      <c r="J109" s="10">
        <f t="shared" si="26"/>
        <v>5.61015</v>
      </c>
      <c r="K109" s="10">
        <f t="shared" si="27"/>
        <v>9.1</v>
      </c>
      <c r="L109" s="10">
        <f t="shared" si="28"/>
        <v>1.6220600162206</v>
      </c>
      <c r="M109" s="12">
        <f t="shared" si="29"/>
        <v>6</v>
      </c>
      <c r="N109" s="13">
        <f t="shared" si="30"/>
        <v>0.65934065934065933</v>
      </c>
    </row>
    <row r="110" spans="1:14">
      <c r="A110" s="6">
        <v>109</v>
      </c>
      <c r="B110" s="14">
        <v>42874</v>
      </c>
      <c r="C110" s="15">
        <v>99220</v>
      </c>
      <c r="D110" s="16">
        <v>3.5990000000000002</v>
      </c>
      <c r="E110" s="16">
        <v>174.53</v>
      </c>
      <c r="F110" s="16" t="s">
        <v>918</v>
      </c>
      <c r="G110" s="10">
        <f t="shared" si="16"/>
        <v>48.494026118366207</v>
      </c>
      <c r="H110" s="11">
        <f t="shared" si="24"/>
        <v>259</v>
      </c>
      <c r="I110" s="10">
        <f t="shared" si="25"/>
        <v>22</v>
      </c>
      <c r="J110" s="10">
        <f t="shared" si="26"/>
        <v>5.2962556818181827</v>
      </c>
      <c r="K110" s="10">
        <f t="shared" si="27"/>
        <v>11.772727272727273</v>
      </c>
      <c r="L110" s="10">
        <f t="shared" si="28"/>
        <v>2.2228396776882464</v>
      </c>
      <c r="M110" s="12">
        <f t="shared" si="29"/>
        <v>8</v>
      </c>
      <c r="N110" s="13">
        <f t="shared" si="30"/>
        <v>0.67953667953667951</v>
      </c>
    </row>
    <row r="111" spans="1:14">
      <c r="A111" s="6">
        <v>110</v>
      </c>
      <c r="B111" s="14">
        <v>42900</v>
      </c>
      <c r="C111" s="15">
        <v>99562</v>
      </c>
      <c r="D111" s="16">
        <v>3.5990000000000002</v>
      </c>
      <c r="E111" s="16">
        <v>177</v>
      </c>
      <c r="F111" s="16" t="s">
        <v>918</v>
      </c>
      <c r="G111" s="10">
        <f t="shared" si="16"/>
        <v>49.180327868852459</v>
      </c>
      <c r="H111" s="11">
        <f>IF(C111="","",C111-C110)</f>
        <v>342</v>
      </c>
      <c r="I111" s="10">
        <f>IF(B111="","",B111-B110)</f>
        <v>26</v>
      </c>
      <c r="J111" s="10">
        <f>IF(H111="","",H111/G110)</f>
        <v>7.0524150575832243</v>
      </c>
      <c r="K111" s="10">
        <f>IF(H111&lt;&gt;"",IF(I111&gt;0,H111/I111,H111),"" )</f>
        <v>13.153846153846153</v>
      </c>
      <c r="L111" s="10">
        <f>IF(I111="","",IF(I111=0,G111,G110/I111))</f>
        <v>1.8651548507063926</v>
      </c>
      <c r="M111" s="12">
        <f>IF(I111="","",IF(I111=0,E110,E110/I111))</f>
        <v>6.7126923076923077</v>
      </c>
      <c r="N111" s="13">
        <f>IF(H111="","",E110/H111)</f>
        <v>0.51032163742690062</v>
      </c>
    </row>
    <row r="112" spans="1:14">
      <c r="A112" s="6">
        <v>111</v>
      </c>
      <c r="B112" s="14">
        <v>42923</v>
      </c>
      <c r="C112" s="15">
        <v>99857</v>
      </c>
      <c r="D112" s="16">
        <v>3.399</v>
      </c>
      <c r="E112" s="16">
        <v>142</v>
      </c>
      <c r="F112" s="16" t="s">
        <v>918</v>
      </c>
      <c r="G112" s="10">
        <f t="shared" ref="G112:G125" si="31">IF(E112&lt;&gt;"",E112/D112,"")</f>
        <v>41.776993233303912</v>
      </c>
      <c r="H112" s="11">
        <f t="shared" ref="H112:H125" si="32">IF(C112="","",C112-C111)</f>
        <v>295</v>
      </c>
      <c r="I112" s="10">
        <f t="shared" ref="I112:I125" si="33">IF(B112="","",B112-B111)</f>
        <v>23</v>
      </c>
      <c r="J112" s="10">
        <f t="shared" ref="J112:J125" si="34">IF(H112="","",H112/G111)</f>
        <v>5.9983333333333331</v>
      </c>
      <c r="K112" s="10">
        <f t="shared" ref="K112:K125" si="35">IF(H112&lt;&gt;"",IF(I112&gt;0,H112/I112,H112),"" )</f>
        <v>12.826086956521738</v>
      </c>
      <c r="L112" s="10">
        <f t="shared" ref="L112:L125" si="36">IF(I112="","",IF(I112=0,G112,G111/I112))</f>
        <v>2.1382751247327154</v>
      </c>
      <c r="M112" s="12">
        <f t="shared" ref="M112:M125" si="37">IF(I112="","",IF(I112=0,E111,E111/I112))</f>
        <v>7.6956521739130439</v>
      </c>
      <c r="N112" s="13">
        <f t="shared" ref="N112:N125" si="38">IF(H112="","",E111/H112)</f>
        <v>0.6</v>
      </c>
    </row>
    <row r="113" spans="1:14">
      <c r="A113" s="6">
        <v>112</v>
      </c>
      <c r="B113" s="14">
        <v>42943</v>
      </c>
      <c r="C113" s="15">
        <v>100106</v>
      </c>
      <c r="D113" s="16">
        <v>3.68</v>
      </c>
      <c r="E113" s="16">
        <v>178.05</v>
      </c>
      <c r="F113" s="16" t="s">
        <v>918</v>
      </c>
      <c r="G113" s="10">
        <f t="shared" si="31"/>
        <v>48.383152173913047</v>
      </c>
      <c r="H113" s="11">
        <f t="shared" si="32"/>
        <v>249</v>
      </c>
      <c r="I113" s="10">
        <f t="shared" si="33"/>
        <v>20</v>
      </c>
      <c r="J113" s="10">
        <f t="shared" si="34"/>
        <v>5.9602183098591555</v>
      </c>
      <c r="K113" s="10">
        <f t="shared" si="35"/>
        <v>12.45</v>
      </c>
      <c r="L113" s="10">
        <f t="shared" si="36"/>
        <v>2.0888496616651957</v>
      </c>
      <c r="M113" s="12">
        <f t="shared" si="37"/>
        <v>7.1</v>
      </c>
      <c r="N113" s="13">
        <f t="shared" si="38"/>
        <v>0.57028112449799195</v>
      </c>
    </row>
    <row r="114" spans="1:14">
      <c r="A114" s="6">
        <v>113</v>
      </c>
      <c r="B114" s="14">
        <v>42965</v>
      </c>
      <c r="C114" s="15">
        <v>100401</v>
      </c>
      <c r="D114" s="16">
        <v>3.5990000000000002</v>
      </c>
      <c r="E114" s="16">
        <v>187.48</v>
      </c>
      <c r="F114" s="16" t="s">
        <v>918</v>
      </c>
      <c r="G114" s="10">
        <f t="shared" si="31"/>
        <v>52.092247846624055</v>
      </c>
      <c r="H114" s="11">
        <f t="shared" si="32"/>
        <v>295</v>
      </c>
      <c r="I114" s="10">
        <f t="shared" si="33"/>
        <v>22</v>
      </c>
      <c r="J114" s="10">
        <f t="shared" si="34"/>
        <v>6.0971637180567253</v>
      </c>
      <c r="K114" s="10">
        <f t="shared" si="35"/>
        <v>13.409090909090908</v>
      </c>
      <c r="L114" s="10">
        <f t="shared" si="36"/>
        <v>2.1992341897233203</v>
      </c>
      <c r="M114" s="12">
        <f t="shared" si="37"/>
        <v>8.0931818181818187</v>
      </c>
      <c r="N114" s="13">
        <f t="shared" si="38"/>
        <v>0.60355932203389839</v>
      </c>
    </row>
    <row r="115" spans="1:14">
      <c r="A115" s="6">
        <v>114</v>
      </c>
      <c r="B115" s="14">
        <v>42989</v>
      </c>
      <c r="C115" s="15">
        <v>100670</v>
      </c>
      <c r="D115" s="16">
        <v>3.6989999999999998</v>
      </c>
      <c r="E115" s="16">
        <v>181.71</v>
      </c>
      <c r="F115" s="16" t="s">
        <v>918</v>
      </c>
      <c r="G115" s="10">
        <f t="shared" si="31"/>
        <v>49.12408759124088</v>
      </c>
      <c r="H115" s="11">
        <f t="shared" si="32"/>
        <v>269</v>
      </c>
      <c r="I115" s="10">
        <f t="shared" si="33"/>
        <v>24</v>
      </c>
      <c r="J115" s="10">
        <f t="shared" si="34"/>
        <v>5.1639161510561138</v>
      </c>
      <c r="K115" s="10">
        <f t="shared" si="35"/>
        <v>11.208333333333334</v>
      </c>
      <c r="L115" s="10">
        <f t="shared" si="36"/>
        <v>2.1705103269426691</v>
      </c>
      <c r="M115" s="12">
        <f t="shared" si="37"/>
        <v>7.8116666666666665</v>
      </c>
      <c r="N115" s="13">
        <f t="shared" si="38"/>
        <v>0.69695167286245352</v>
      </c>
    </row>
    <row r="116" spans="1:14">
      <c r="A116" s="6">
        <v>115</v>
      </c>
      <c r="B116" s="14">
        <v>43007</v>
      </c>
      <c r="C116" s="15">
        <v>100942</v>
      </c>
      <c r="D116" s="16">
        <v>3.69</v>
      </c>
      <c r="E116" s="16">
        <v>75</v>
      </c>
      <c r="F116" s="16" t="s">
        <v>918</v>
      </c>
      <c r="G116" s="10">
        <f t="shared" si="31"/>
        <v>20.325203252032519</v>
      </c>
      <c r="H116" s="11">
        <f t="shared" si="32"/>
        <v>272</v>
      </c>
      <c r="I116" s="10">
        <f t="shared" si="33"/>
        <v>18</v>
      </c>
      <c r="J116" s="10">
        <f t="shared" si="34"/>
        <v>5.5369985141158988</v>
      </c>
      <c r="K116" s="10">
        <f t="shared" si="35"/>
        <v>15.111111111111111</v>
      </c>
      <c r="L116" s="10">
        <f t="shared" si="36"/>
        <v>2.7291159772911602</v>
      </c>
      <c r="M116" s="12">
        <f t="shared" si="37"/>
        <v>10.095000000000001</v>
      </c>
      <c r="N116" s="13">
        <f t="shared" si="38"/>
        <v>0.66805147058823533</v>
      </c>
    </row>
    <row r="117" spans="1:14">
      <c r="A117" s="6">
        <v>116</v>
      </c>
      <c r="B117" s="14">
        <v>43019</v>
      </c>
      <c r="C117" s="15">
        <v>101057</v>
      </c>
      <c r="D117" s="16">
        <v>3.8490000000000002</v>
      </c>
      <c r="E117" s="16">
        <v>191.1</v>
      </c>
      <c r="F117" s="16" t="s">
        <v>918</v>
      </c>
      <c r="G117" s="10">
        <f t="shared" si="31"/>
        <v>49.649259547934527</v>
      </c>
      <c r="H117" s="11">
        <f t="shared" si="32"/>
        <v>115</v>
      </c>
      <c r="I117" s="10">
        <f t="shared" si="33"/>
        <v>12</v>
      </c>
      <c r="J117" s="10">
        <f t="shared" si="34"/>
        <v>5.6580000000000004</v>
      </c>
      <c r="K117" s="10">
        <f t="shared" si="35"/>
        <v>9.5833333333333339</v>
      </c>
      <c r="L117" s="10">
        <f t="shared" si="36"/>
        <v>1.6937669376693767</v>
      </c>
      <c r="M117" s="12">
        <f t="shared" si="37"/>
        <v>6.25</v>
      </c>
      <c r="N117" s="13">
        <f t="shared" si="38"/>
        <v>0.65217391304347827</v>
      </c>
    </row>
    <row r="118" spans="1:14">
      <c r="A118" s="6">
        <v>117</v>
      </c>
      <c r="B118" s="14">
        <v>43038</v>
      </c>
      <c r="C118" s="15">
        <v>101343</v>
      </c>
      <c r="D118" s="16">
        <v>3.79</v>
      </c>
      <c r="E118" s="16">
        <v>192</v>
      </c>
      <c r="F118" s="16" t="s">
        <v>918</v>
      </c>
      <c r="G118" s="10">
        <f t="shared" si="31"/>
        <v>50.659630606860155</v>
      </c>
      <c r="H118" s="11">
        <f t="shared" si="32"/>
        <v>286</v>
      </c>
      <c r="I118" s="10">
        <f t="shared" si="33"/>
        <v>19</v>
      </c>
      <c r="J118" s="10">
        <f t="shared" si="34"/>
        <v>5.7604081632653061</v>
      </c>
      <c r="K118" s="10">
        <f t="shared" si="35"/>
        <v>15.052631578947368</v>
      </c>
      <c r="L118" s="10">
        <f t="shared" si="36"/>
        <v>2.6131189235755015</v>
      </c>
      <c r="M118" s="12">
        <f t="shared" si="37"/>
        <v>10.057894736842105</v>
      </c>
      <c r="N118" s="13">
        <f t="shared" si="38"/>
        <v>0.66818181818181821</v>
      </c>
    </row>
    <row r="119" spans="1:14">
      <c r="A119" s="6">
        <v>118</v>
      </c>
      <c r="B119" s="14">
        <v>43066</v>
      </c>
      <c r="C119" s="15">
        <v>101610</v>
      </c>
      <c r="D119" s="16">
        <v>3.87</v>
      </c>
      <c r="E119" s="16">
        <v>190.13</v>
      </c>
      <c r="F119" s="16" t="s">
        <v>918</v>
      </c>
      <c r="G119" s="10">
        <f t="shared" si="31"/>
        <v>49.129198966408268</v>
      </c>
      <c r="H119" s="11">
        <f t="shared" si="32"/>
        <v>267</v>
      </c>
      <c r="I119" s="10">
        <f t="shared" si="33"/>
        <v>28</v>
      </c>
      <c r="J119" s="10">
        <f t="shared" si="34"/>
        <v>5.27046875</v>
      </c>
      <c r="K119" s="10">
        <f t="shared" si="35"/>
        <v>9.5357142857142865</v>
      </c>
      <c r="L119" s="10">
        <f t="shared" si="36"/>
        <v>1.809272521673577</v>
      </c>
      <c r="M119" s="12">
        <f t="shared" si="37"/>
        <v>6.8571428571428568</v>
      </c>
      <c r="N119" s="13">
        <f t="shared" si="38"/>
        <v>0.7191011235955056</v>
      </c>
    </row>
    <row r="120" spans="1:14">
      <c r="A120" s="6">
        <v>119</v>
      </c>
      <c r="B120" s="14">
        <v>43082</v>
      </c>
      <c r="C120" s="15">
        <v>101814</v>
      </c>
      <c r="D120" s="16">
        <v>4.0990000000000002</v>
      </c>
      <c r="E120" s="16">
        <v>134.04</v>
      </c>
      <c r="F120" s="16" t="s">
        <v>918</v>
      </c>
      <c r="G120" s="10">
        <f t="shared" si="31"/>
        <v>32.700658697243227</v>
      </c>
      <c r="H120" s="11">
        <f t="shared" si="32"/>
        <v>204</v>
      </c>
      <c r="I120" s="10">
        <f t="shared" si="33"/>
        <v>16</v>
      </c>
      <c r="J120" s="10">
        <f t="shared" si="34"/>
        <v>4.152316835849156</v>
      </c>
      <c r="K120" s="10">
        <f t="shared" si="35"/>
        <v>12.75</v>
      </c>
      <c r="L120" s="10">
        <f t="shared" si="36"/>
        <v>3.0705749354005167</v>
      </c>
      <c r="M120" s="12">
        <f t="shared" si="37"/>
        <v>11.883125</v>
      </c>
      <c r="N120" s="13">
        <f t="shared" si="38"/>
        <v>0.93200980392156862</v>
      </c>
    </row>
    <row r="121" spans="1:14">
      <c r="A121" s="6">
        <v>120</v>
      </c>
      <c r="B121" s="14">
        <v>43083</v>
      </c>
      <c r="C121" s="15">
        <v>102214</v>
      </c>
      <c r="D121" s="16">
        <v>4.34</v>
      </c>
      <c r="E121" s="16">
        <v>146.52000000000001</v>
      </c>
      <c r="F121" s="16" t="s">
        <v>918</v>
      </c>
      <c r="G121" s="10">
        <f t="shared" si="31"/>
        <v>33.760368663594477</v>
      </c>
      <c r="H121" s="11">
        <f t="shared" si="32"/>
        <v>400</v>
      </c>
      <c r="I121" s="10">
        <f t="shared" si="33"/>
        <v>1</v>
      </c>
      <c r="J121" s="10">
        <f t="shared" si="34"/>
        <v>12.232169501641302</v>
      </c>
      <c r="K121" s="10">
        <f t="shared" si="35"/>
        <v>400</v>
      </c>
      <c r="L121" s="10">
        <f t="shared" si="36"/>
        <v>32.700658697243227</v>
      </c>
      <c r="M121" s="12">
        <f t="shared" si="37"/>
        <v>134.04</v>
      </c>
      <c r="N121" s="13">
        <f t="shared" si="38"/>
        <v>0.33509999999999995</v>
      </c>
    </row>
    <row r="122" spans="1:14">
      <c r="A122" s="6">
        <v>121</v>
      </c>
      <c r="B122" s="14">
        <v>43086</v>
      </c>
      <c r="C122" s="15">
        <v>102675</v>
      </c>
      <c r="D122" s="16">
        <v>4.3499999999999996</v>
      </c>
      <c r="E122" s="16">
        <v>198.4</v>
      </c>
      <c r="F122" s="16" t="s">
        <v>918</v>
      </c>
      <c r="G122" s="10">
        <f t="shared" si="31"/>
        <v>45.609195402298859</v>
      </c>
      <c r="H122" s="11">
        <f t="shared" si="32"/>
        <v>461</v>
      </c>
      <c r="I122" s="10">
        <f t="shared" si="33"/>
        <v>3</v>
      </c>
      <c r="J122" s="10">
        <f t="shared" si="34"/>
        <v>13.655064155064153</v>
      </c>
      <c r="K122" s="10">
        <f t="shared" si="35"/>
        <v>153.66666666666666</v>
      </c>
      <c r="L122" s="10">
        <f t="shared" si="36"/>
        <v>11.253456221198158</v>
      </c>
      <c r="M122" s="12">
        <f t="shared" si="37"/>
        <v>48.84</v>
      </c>
      <c r="N122" s="13">
        <f t="shared" si="38"/>
        <v>0.31783080260303692</v>
      </c>
    </row>
    <row r="123" spans="1:14">
      <c r="A123" s="6">
        <v>122</v>
      </c>
      <c r="B123" s="14">
        <v>43086</v>
      </c>
      <c r="C123" s="15">
        <v>102925</v>
      </c>
      <c r="D123" s="16">
        <v>4.3559999999999999</v>
      </c>
      <c r="E123" s="16">
        <v>102.51</v>
      </c>
      <c r="F123" s="16" t="s">
        <v>918</v>
      </c>
      <c r="G123" s="10">
        <f t="shared" si="31"/>
        <v>23.533057851239672</v>
      </c>
      <c r="H123" s="11">
        <f t="shared" si="32"/>
        <v>250</v>
      </c>
      <c r="I123" s="10">
        <f t="shared" si="33"/>
        <v>0</v>
      </c>
      <c r="J123" s="10">
        <f t="shared" si="34"/>
        <v>5.4813508064516121</v>
      </c>
      <c r="K123" s="10">
        <f t="shared" si="35"/>
        <v>250</v>
      </c>
      <c r="L123" s="10">
        <f t="shared" si="36"/>
        <v>23.533057851239672</v>
      </c>
      <c r="M123" s="12">
        <f t="shared" si="37"/>
        <v>198.4</v>
      </c>
      <c r="N123" s="13">
        <f t="shared" si="38"/>
        <v>0.79359999999999997</v>
      </c>
    </row>
    <row r="124" spans="1:14">
      <c r="A124" s="6">
        <v>123</v>
      </c>
      <c r="B124" s="14">
        <v>43109</v>
      </c>
      <c r="C124" s="15">
        <v>103431</v>
      </c>
      <c r="D124" s="16">
        <v>4.1900000000000004</v>
      </c>
      <c r="E124" s="16">
        <v>202.04</v>
      </c>
      <c r="F124" s="16" t="s">
        <v>918</v>
      </c>
      <c r="G124" s="10">
        <f t="shared" si="31"/>
        <v>48.219570405727914</v>
      </c>
      <c r="H124" s="11">
        <f t="shared" si="32"/>
        <v>506</v>
      </c>
      <c r="I124" s="10">
        <f t="shared" si="33"/>
        <v>23</v>
      </c>
      <c r="J124" s="10">
        <f t="shared" si="34"/>
        <v>21.50166812993854</v>
      </c>
      <c r="K124" s="10">
        <f t="shared" si="35"/>
        <v>22</v>
      </c>
      <c r="L124" s="10">
        <f t="shared" si="36"/>
        <v>1.0231764283147684</v>
      </c>
      <c r="M124" s="12">
        <f t="shared" si="37"/>
        <v>4.4569565217391309</v>
      </c>
      <c r="N124" s="13">
        <f t="shared" si="38"/>
        <v>0.20258893280632412</v>
      </c>
    </row>
    <row r="125" spans="1:14">
      <c r="A125" s="6">
        <v>124</v>
      </c>
      <c r="B125" s="14">
        <v>43134</v>
      </c>
      <c r="C125" s="15">
        <v>103683</v>
      </c>
      <c r="D125" s="16">
        <v>4.2990000000000004</v>
      </c>
      <c r="E125" s="16">
        <v>194.01</v>
      </c>
      <c r="F125" s="16" t="s">
        <v>918</v>
      </c>
      <c r="G125" s="10">
        <f t="shared" si="31"/>
        <v>45.129099790648979</v>
      </c>
      <c r="H125" s="11">
        <f t="shared" si="32"/>
        <v>252</v>
      </c>
      <c r="I125" s="10">
        <f t="shared" si="33"/>
        <v>25</v>
      </c>
      <c r="J125" s="10">
        <f t="shared" si="34"/>
        <v>5.2260938428034063</v>
      </c>
      <c r="K125" s="10">
        <f t="shared" si="35"/>
        <v>10.08</v>
      </c>
      <c r="L125" s="10">
        <f t="shared" si="36"/>
        <v>1.9287828162291165</v>
      </c>
      <c r="M125" s="12">
        <f t="shared" si="37"/>
        <v>8.0815999999999999</v>
      </c>
      <c r="N125" s="13">
        <f t="shared" si="38"/>
        <v>0.80174603174603176</v>
      </c>
    </row>
    <row r="126" spans="1:14">
      <c r="A126" s="6">
        <v>125</v>
      </c>
      <c r="B126" s="14">
        <v>43158</v>
      </c>
      <c r="C126" s="15">
        <v>103939</v>
      </c>
      <c r="D126" s="16">
        <v>4.09</v>
      </c>
      <c r="E126" s="16">
        <v>181.21</v>
      </c>
      <c r="F126" s="16" t="s">
        <v>918</v>
      </c>
      <c r="G126" s="10">
        <f t="shared" ref="G126:G168" si="39">IF(E126&lt;&gt;"",E126/D126,"")</f>
        <v>44.305623471882647</v>
      </c>
      <c r="H126" s="11">
        <f t="shared" ref="H126:H146" si="40">IF(C126="","",C126-C125)</f>
        <v>256</v>
      </c>
      <c r="I126" s="10">
        <f t="shared" ref="I126:I146" si="41">IF(B126="","",B126-B125)</f>
        <v>24</v>
      </c>
      <c r="J126" s="10">
        <f t="shared" ref="J126:J146" si="42">IF(H126="","",H126/G125)</f>
        <v>5.6726148136693997</v>
      </c>
      <c r="K126" s="10">
        <f t="shared" ref="K126:K146" si="43">IF(H126&lt;&gt;"",IF(I126&gt;0,H126/I126,H126),"" )</f>
        <v>10.666666666666666</v>
      </c>
      <c r="L126" s="10">
        <f t="shared" ref="L126:L146" si="44">IF(I126="","",IF(I126=0,G126,G125/I126))</f>
        <v>1.8803791579437075</v>
      </c>
      <c r="M126" s="12">
        <f t="shared" ref="M126:M146" si="45">IF(I126="","",IF(I126=0,E125,E125/I126))</f>
        <v>8.0837500000000002</v>
      </c>
      <c r="N126" s="13">
        <f t="shared" ref="N126:N146" si="46">IF(H126="","",E125/H126)</f>
        <v>0.75785156249999996</v>
      </c>
    </row>
    <row r="127" spans="1:14">
      <c r="A127" s="6">
        <v>126</v>
      </c>
      <c r="B127" s="14">
        <v>43173</v>
      </c>
      <c r="C127" s="15">
        <v>104177</v>
      </c>
      <c r="D127" s="16">
        <v>3.99</v>
      </c>
      <c r="E127" s="16">
        <v>178</v>
      </c>
      <c r="F127" s="16" t="s">
        <v>918</v>
      </c>
      <c r="G127" s="10">
        <f t="shared" si="39"/>
        <v>44.611528822055135</v>
      </c>
      <c r="H127" s="11">
        <f t="shared" si="40"/>
        <v>238</v>
      </c>
      <c r="I127" s="10">
        <f t="shared" si="41"/>
        <v>15</v>
      </c>
      <c r="J127" s="10">
        <f t="shared" si="42"/>
        <v>5.3717785994150429</v>
      </c>
      <c r="K127" s="10">
        <f t="shared" si="43"/>
        <v>15.866666666666667</v>
      </c>
      <c r="L127" s="10">
        <f t="shared" si="44"/>
        <v>2.953708231458843</v>
      </c>
      <c r="M127" s="12">
        <f t="shared" si="45"/>
        <v>12.080666666666668</v>
      </c>
      <c r="N127" s="13">
        <f t="shared" si="46"/>
        <v>0.76138655462184879</v>
      </c>
    </row>
    <row r="128" spans="1:14">
      <c r="A128" s="6">
        <v>127</v>
      </c>
      <c r="B128" s="14">
        <v>43195</v>
      </c>
      <c r="C128" s="15">
        <v>104412</v>
      </c>
      <c r="D128" s="16">
        <v>3.99</v>
      </c>
      <c r="E128" s="16">
        <v>150</v>
      </c>
      <c r="F128" s="16" t="s">
        <v>918</v>
      </c>
      <c r="G128" s="10">
        <f t="shared" si="39"/>
        <v>37.593984962406012</v>
      </c>
      <c r="H128" s="11">
        <f t="shared" si="40"/>
        <v>235</v>
      </c>
      <c r="I128" s="10">
        <f t="shared" si="41"/>
        <v>22</v>
      </c>
      <c r="J128" s="10">
        <f t="shared" si="42"/>
        <v>5.2676966292134839</v>
      </c>
      <c r="K128" s="10">
        <f t="shared" si="43"/>
        <v>10.681818181818182</v>
      </c>
      <c r="L128" s="10">
        <f t="shared" si="44"/>
        <v>2.0277967646388699</v>
      </c>
      <c r="M128" s="12">
        <f t="shared" si="45"/>
        <v>8.0909090909090917</v>
      </c>
      <c r="N128" s="13">
        <f t="shared" si="46"/>
        <v>0.75744680851063828</v>
      </c>
    </row>
    <row r="129" spans="1:14">
      <c r="A129" s="6">
        <v>128</v>
      </c>
      <c r="B129" s="14">
        <v>43213</v>
      </c>
      <c r="C129" s="15">
        <v>104616</v>
      </c>
      <c r="D129" s="16">
        <v>3.9990000000000001</v>
      </c>
      <c r="E129" s="16">
        <v>192.1</v>
      </c>
      <c r="F129" s="16" t="s">
        <v>918</v>
      </c>
      <c r="G129" s="10">
        <f t="shared" si="39"/>
        <v>48.037009252313077</v>
      </c>
      <c r="H129" s="11">
        <f t="shared" si="40"/>
        <v>204</v>
      </c>
      <c r="I129" s="10">
        <f t="shared" si="41"/>
        <v>18</v>
      </c>
      <c r="J129" s="10">
        <f t="shared" si="42"/>
        <v>5.4264000000000001</v>
      </c>
      <c r="K129" s="10">
        <f t="shared" si="43"/>
        <v>11.333333333333334</v>
      </c>
      <c r="L129" s="10">
        <f t="shared" si="44"/>
        <v>2.0885547201336672</v>
      </c>
      <c r="M129" s="12">
        <f t="shared" si="45"/>
        <v>8.3333333333333339</v>
      </c>
      <c r="N129" s="13">
        <f t="shared" si="46"/>
        <v>0.73529411764705888</v>
      </c>
    </row>
    <row r="130" spans="1:14">
      <c r="A130" s="6">
        <v>129</v>
      </c>
      <c r="B130" s="14">
        <v>43226</v>
      </c>
      <c r="C130" s="15">
        <v>104779</v>
      </c>
      <c r="D130" s="16">
        <v>4.2990000000000004</v>
      </c>
      <c r="E130" s="16">
        <v>100.04</v>
      </c>
      <c r="F130" s="16" t="s">
        <v>918</v>
      </c>
      <c r="G130" s="10">
        <f t="shared" si="39"/>
        <v>23.270528029774365</v>
      </c>
      <c r="H130" s="11">
        <f t="shared" si="40"/>
        <v>163</v>
      </c>
      <c r="I130" s="10">
        <f t="shared" si="41"/>
        <v>13</v>
      </c>
      <c r="J130" s="10">
        <f t="shared" si="42"/>
        <v>3.3932170744403956</v>
      </c>
      <c r="K130" s="10">
        <f t="shared" si="43"/>
        <v>12.538461538461538</v>
      </c>
      <c r="L130" s="10">
        <f t="shared" si="44"/>
        <v>3.6951545578702367</v>
      </c>
      <c r="M130" s="12">
        <f t="shared" si="45"/>
        <v>14.776923076923076</v>
      </c>
      <c r="N130" s="13">
        <f t="shared" si="46"/>
        <v>1.178527607361963</v>
      </c>
    </row>
    <row r="131" spans="1:14">
      <c r="A131" s="6">
        <v>130</v>
      </c>
      <c r="B131" s="14">
        <v>43227</v>
      </c>
      <c r="C131" s="15">
        <v>105193</v>
      </c>
      <c r="D131" s="16">
        <v>4.3979999999999997</v>
      </c>
      <c r="E131" s="16">
        <v>170.04</v>
      </c>
      <c r="F131" s="16" t="s">
        <v>918</v>
      </c>
      <c r="G131" s="10">
        <f t="shared" si="39"/>
        <v>38.663028649386085</v>
      </c>
      <c r="H131" s="11">
        <f t="shared" si="40"/>
        <v>414</v>
      </c>
      <c r="I131" s="10">
        <f t="shared" si="41"/>
        <v>1</v>
      </c>
      <c r="J131" s="10">
        <f t="shared" si="42"/>
        <v>17.790743702518995</v>
      </c>
      <c r="K131" s="10">
        <f t="shared" si="43"/>
        <v>414</v>
      </c>
      <c r="L131" s="10">
        <f t="shared" si="44"/>
        <v>23.270528029774365</v>
      </c>
      <c r="M131" s="12">
        <f t="shared" si="45"/>
        <v>100.04</v>
      </c>
      <c r="N131" s="13">
        <f t="shared" si="46"/>
        <v>0.2416425120772947</v>
      </c>
    </row>
    <row r="132" spans="1:14">
      <c r="A132" s="6">
        <v>131</v>
      </c>
      <c r="B132" s="14">
        <v>43235</v>
      </c>
      <c r="C132" s="15">
        <v>105664</v>
      </c>
      <c r="D132" s="16">
        <v>4.29</v>
      </c>
      <c r="E132" s="16">
        <v>150</v>
      </c>
      <c r="F132" s="16" t="s">
        <v>918</v>
      </c>
      <c r="G132" s="10">
        <f t="shared" si="39"/>
        <v>34.965034965034967</v>
      </c>
      <c r="H132" s="11">
        <f t="shared" si="40"/>
        <v>471</v>
      </c>
      <c r="I132" s="10">
        <f t="shared" si="41"/>
        <v>8</v>
      </c>
      <c r="J132" s="10">
        <f t="shared" si="42"/>
        <v>12.182180663373323</v>
      </c>
      <c r="K132" s="10">
        <f t="shared" si="43"/>
        <v>58.875</v>
      </c>
      <c r="L132" s="10">
        <f t="shared" si="44"/>
        <v>4.8328785811732606</v>
      </c>
      <c r="M132" s="12">
        <f t="shared" si="45"/>
        <v>21.254999999999999</v>
      </c>
      <c r="N132" s="13">
        <f t="shared" si="46"/>
        <v>0.36101910828025474</v>
      </c>
    </row>
    <row r="133" spans="1:14">
      <c r="A133" s="6">
        <v>132</v>
      </c>
      <c r="B133" s="14">
        <v>43240</v>
      </c>
      <c r="C133" s="15">
        <v>105913</v>
      </c>
      <c r="D133" s="16">
        <v>4.9989999999999997</v>
      </c>
      <c r="E133" s="16">
        <v>209.29</v>
      </c>
      <c r="F133" s="16" t="s">
        <v>918</v>
      </c>
      <c r="G133" s="10">
        <f t="shared" si="39"/>
        <v>41.866373274654933</v>
      </c>
      <c r="H133" s="11">
        <f t="shared" si="40"/>
        <v>249</v>
      </c>
      <c r="I133" s="10">
        <f t="shared" si="41"/>
        <v>5</v>
      </c>
      <c r="J133" s="10">
        <f t="shared" si="42"/>
        <v>7.1213999999999995</v>
      </c>
      <c r="K133" s="10">
        <f t="shared" si="43"/>
        <v>49.8</v>
      </c>
      <c r="L133" s="10">
        <f t="shared" si="44"/>
        <v>6.9930069930069934</v>
      </c>
      <c r="M133" s="12">
        <f t="shared" si="45"/>
        <v>30</v>
      </c>
      <c r="N133" s="13">
        <f t="shared" si="46"/>
        <v>0.60240963855421692</v>
      </c>
    </row>
    <row r="134" spans="1:14">
      <c r="A134" s="6">
        <v>133</v>
      </c>
      <c r="B134" s="14">
        <v>43254</v>
      </c>
      <c r="C134" s="15">
        <v>106251</v>
      </c>
      <c r="D134" s="16">
        <v>4.4989999999999997</v>
      </c>
      <c r="E134" s="16">
        <v>189.99</v>
      </c>
      <c r="F134" s="16" t="s">
        <v>918</v>
      </c>
      <c r="G134" s="10">
        <f t="shared" si="39"/>
        <v>42.229384307623924</v>
      </c>
      <c r="H134" s="11">
        <f t="shared" si="40"/>
        <v>338</v>
      </c>
      <c r="I134" s="10">
        <f t="shared" si="41"/>
        <v>14</v>
      </c>
      <c r="J134" s="10">
        <f t="shared" si="42"/>
        <v>8.0733049835156958</v>
      </c>
      <c r="K134" s="10">
        <f t="shared" si="43"/>
        <v>24.142857142857142</v>
      </c>
      <c r="L134" s="10">
        <f t="shared" si="44"/>
        <v>2.9904552339039236</v>
      </c>
      <c r="M134" s="12">
        <f t="shared" si="45"/>
        <v>14.949285714285713</v>
      </c>
      <c r="N134" s="13">
        <f t="shared" si="46"/>
        <v>0.61920118343195263</v>
      </c>
    </row>
    <row r="135" spans="1:14">
      <c r="A135" s="6">
        <v>134</v>
      </c>
      <c r="B135" s="14">
        <v>43272</v>
      </c>
      <c r="C135" s="15">
        <v>106487</v>
      </c>
      <c r="D135" s="16">
        <v>4.5990000000000002</v>
      </c>
      <c r="E135" s="16">
        <v>221.02</v>
      </c>
      <c r="F135" s="16" t="s">
        <v>918</v>
      </c>
      <c r="G135" s="10">
        <f t="shared" si="39"/>
        <v>48.05827353772559</v>
      </c>
      <c r="H135" s="11">
        <f t="shared" si="40"/>
        <v>236</v>
      </c>
      <c r="I135" s="10">
        <f t="shared" si="41"/>
        <v>18</v>
      </c>
      <c r="J135" s="10">
        <f t="shared" si="42"/>
        <v>5.5885257118795719</v>
      </c>
      <c r="K135" s="10">
        <f t="shared" si="43"/>
        <v>13.111111111111111</v>
      </c>
      <c r="L135" s="10">
        <f t="shared" si="44"/>
        <v>2.3460769059791069</v>
      </c>
      <c r="M135" s="12">
        <f t="shared" si="45"/>
        <v>10.555</v>
      </c>
      <c r="N135" s="13">
        <f t="shared" si="46"/>
        <v>0.80504237288135594</v>
      </c>
    </row>
    <row r="136" spans="1:14">
      <c r="A136" s="6">
        <v>135</v>
      </c>
      <c r="B136" s="14">
        <v>43317</v>
      </c>
      <c r="C136" s="15">
        <v>106896</v>
      </c>
      <c r="D136" s="16">
        <v>4.5990000000000002</v>
      </c>
      <c r="E136" s="16">
        <v>100</v>
      </c>
      <c r="F136" s="16" t="s">
        <v>918</v>
      </c>
      <c r="G136" s="10">
        <f t="shared" si="39"/>
        <v>21.743857360295717</v>
      </c>
      <c r="H136" s="11">
        <f t="shared" si="40"/>
        <v>409</v>
      </c>
      <c r="I136" s="10">
        <f t="shared" si="41"/>
        <v>45</v>
      </c>
      <c r="J136" s="10">
        <f t="shared" si="42"/>
        <v>8.5105013120984534</v>
      </c>
      <c r="K136" s="10">
        <f t="shared" si="43"/>
        <v>9.0888888888888886</v>
      </c>
      <c r="L136" s="10">
        <f t="shared" si="44"/>
        <v>1.0679616341716798</v>
      </c>
      <c r="M136" s="12">
        <f t="shared" si="45"/>
        <v>4.9115555555555561</v>
      </c>
      <c r="N136" s="13">
        <f t="shared" si="46"/>
        <v>0.54039119804400981</v>
      </c>
    </row>
    <row r="137" spans="1:14">
      <c r="A137" s="6">
        <v>136</v>
      </c>
      <c r="B137" s="14">
        <v>43349</v>
      </c>
      <c r="C137" s="15">
        <v>107028</v>
      </c>
      <c r="D137" s="16">
        <v>4.6989999999999998</v>
      </c>
      <c r="E137" s="16">
        <v>200</v>
      </c>
      <c r="F137" s="16" t="s">
        <v>918</v>
      </c>
      <c r="G137" s="10">
        <f t="shared" si="39"/>
        <v>42.562247286656735</v>
      </c>
      <c r="H137" s="11">
        <f t="shared" si="40"/>
        <v>132</v>
      </c>
      <c r="I137" s="10">
        <f t="shared" si="41"/>
        <v>32</v>
      </c>
      <c r="J137" s="10">
        <f t="shared" si="42"/>
        <v>6.0706799999999994</v>
      </c>
      <c r="K137" s="10">
        <f t="shared" si="43"/>
        <v>4.125</v>
      </c>
      <c r="L137" s="10">
        <f t="shared" si="44"/>
        <v>0.67949554250924116</v>
      </c>
      <c r="M137" s="12">
        <f t="shared" si="45"/>
        <v>3.125</v>
      </c>
      <c r="N137" s="13">
        <f t="shared" si="46"/>
        <v>0.75757575757575757</v>
      </c>
    </row>
    <row r="138" spans="1:14">
      <c r="A138" s="6">
        <v>137</v>
      </c>
      <c r="B138" s="14">
        <v>43352</v>
      </c>
      <c r="C138" s="15">
        <v>107432</v>
      </c>
      <c r="D138" s="16">
        <v>4.6980000000000004</v>
      </c>
      <c r="E138" s="16">
        <v>146</v>
      </c>
      <c r="F138" s="16" t="s">
        <v>918</v>
      </c>
      <c r="G138" s="10">
        <f t="shared" si="39"/>
        <v>31.07705406555981</v>
      </c>
      <c r="H138" s="11">
        <f t="shared" si="40"/>
        <v>404</v>
      </c>
      <c r="I138" s="10">
        <f t="shared" si="41"/>
        <v>3</v>
      </c>
      <c r="J138" s="10">
        <f t="shared" si="42"/>
        <v>9.4919799999999999</v>
      </c>
      <c r="K138" s="10">
        <f t="shared" si="43"/>
        <v>134.66666666666666</v>
      </c>
      <c r="L138" s="10">
        <f t="shared" si="44"/>
        <v>14.187415762218912</v>
      </c>
      <c r="M138" s="12">
        <f t="shared" si="45"/>
        <v>66.666666666666671</v>
      </c>
      <c r="N138" s="13">
        <f t="shared" si="46"/>
        <v>0.49504950495049505</v>
      </c>
    </row>
    <row r="139" spans="1:14">
      <c r="A139" s="6">
        <v>138</v>
      </c>
      <c r="B139" s="14">
        <v>43353</v>
      </c>
      <c r="C139" s="15">
        <v>107879</v>
      </c>
      <c r="D139" s="16">
        <v>4.6989999999999998</v>
      </c>
      <c r="E139" s="16">
        <v>100</v>
      </c>
      <c r="F139" s="16" t="s">
        <v>918</v>
      </c>
      <c r="G139" s="10">
        <f t="shared" si="39"/>
        <v>21.281123643328367</v>
      </c>
      <c r="H139" s="11">
        <f t="shared" si="40"/>
        <v>447</v>
      </c>
      <c r="I139" s="10">
        <f t="shared" si="41"/>
        <v>1</v>
      </c>
      <c r="J139" s="10">
        <f t="shared" si="42"/>
        <v>14.383602739726028</v>
      </c>
      <c r="K139" s="10">
        <f t="shared" si="43"/>
        <v>447</v>
      </c>
      <c r="L139" s="10">
        <f t="shared" si="44"/>
        <v>31.07705406555981</v>
      </c>
      <c r="M139" s="12">
        <f t="shared" si="45"/>
        <v>146</v>
      </c>
      <c r="N139" s="13">
        <f t="shared" si="46"/>
        <v>0.32662192393736017</v>
      </c>
    </row>
    <row r="140" spans="1:14">
      <c r="A140" s="6">
        <v>139</v>
      </c>
      <c r="B140" s="14">
        <v>43360</v>
      </c>
      <c r="C140" s="15">
        <v>108021</v>
      </c>
      <c r="D140" s="16">
        <v>4.7889999999999997</v>
      </c>
      <c r="E140" s="16">
        <v>200.04</v>
      </c>
      <c r="F140" s="16" t="s">
        <v>918</v>
      </c>
      <c r="G140" s="10">
        <f t="shared" si="39"/>
        <v>41.770724577155981</v>
      </c>
      <c r="H140" s="11">
        <f t="shared" si="40"/>
        <v>142</v>
      </c>
      <c r="I140" s="10">
        <f t="shared" si="41"/>
        <v>7</v>
      </c>
      <c r="J140" s="10">
        <f t="shared" si="42"/>
        <v>6.67258</v>
      </c>
      <c r="K140" s="10">
        <f t="shared" si="43"/>
        <v>20.285714285714285</v>
      </c>
      <c r="L140" s="10">
        <f t="shared" si="44"/>
        <v>3.0401605204754811</v>
      </c>
      <c r="M140" s="12">
        <f t="shared" si="45"/>
        <v>14.285714285714286</v>
      </c>
      <c r="N140" s="13">
        <f t="shared" si="46"/>
        <v>0.70422535211267601</v>
      </c>
    </row>
    <row r="141" spans="1:14">
      <c r="A141" s="6">
        <v>140</v>
      </c>
      <c r="B141" s="14">
        <v>43381</v>
      </c>
      <c r="C141" s="15">
        <v>108251</v>
      </c>
      <c r="D141" s="16">
        <v>4.7889999999999997</v>
      </c>
      <c r="E141" s="16">
        <v>150</v>
      </c>
      <c r="F141" s="16" t="s">
        <v>918</v>
      </c>
      <c r="G141" s="10">
        <f t="shared" si="39"/>
        <v>31.321779077051577</v>
      </c>
      <c r="H141" s="11">
        <f t="shared" si="40"/>
        <v>230</v>
      </c>
      <c r="I141" s="10">
        <f t="shared" si="41"/>
        <v>21</v>
      </c>
      <c r="J141" s="10">
        <f t="shared" si="42"/>
        <v>5.5062487502499504</v>
      </c>
      <c r="K141" s="10">
        <f t="shared" si="43"/>
        <v>10.952380952380953</v>
      </c>
      <c r="L141" s="10">
        <f t="shared" si="44"/>
        <v>1.9890821227217135</v>
      </c>
      <c r="M141" s="12">
        <f t="shared" si="45"/>
        <v>9.5257142857142849</v>
      </c>
      <c r="N141" s="13">
        <f t="shared" si="46"/>
        <v>0.86973913043478257</v>
      </c>
    </row>
    <row r="142" spans="1:14">
      <c r="A142" s="6">
        <v>141</v>
      </c>
      <c r="B142" s="14">
        <v>43430</v>
      </c>
      <c r="C142" s="15">
        <v>108423</v>
      </c>
      <c r="D142" s="16">
        <v>4.2990000000000004</v>
      </c>
      <c r="E142" s="16">
        <v>65</v>
      </c>
      <c r="F142" s="16" t="s">
        <v>918</v>
      </c>
      <c r="G142" s="10">
        <f t="shared" si="39"/>
        <v>15.119795301232843</v>
      </c>
      <c r="H142" s="11">
        <f t="shared" si="40"/>
        <v>172</v>
      </c>
      <c r="I142" s="10">
        <f t="shared" si="41"/>
        <v>49</v>
      </c>
      <c r="J142" s="10">
        <f t="shared" si="42"/>
        <v>5.4913866666666662</v>
      </c>
      <c r="K142" s="10">
        <f t="shared" si="43"/>
        <v>3.510204081632653</v>
      </c>
      <c r="L142" s="10">
        <f t="shared" si="44"/>
        <v>0.63921998116431789</v>
      </c>
      <c r="M142" s="12">
        <f t="shared" si="45"/>
        <v>3.0612244897959182</v>
      </c>
      <c r="N142" s="13">
        <f t="shared" si="46"/>
        <v>0.87209302325581395</v>
      </c>
    </row>
    <row r="143" spans="1:14">
      <c r="A143" s="6">
        <v>142</v>
      </c>
      <c r="B143" s="14">
        <v>43445</v>
      </c>
      <c r="C143" s="15">
        <v>108500</v>
      </c>
      <c r="D143" s="16">
        <v>3.97</v>
      </c>
      <c r="E143" s="16">
        <v>100</v>
      </c>
      <c r="F143" s="16" t="s">
        <v>918</v>
      </c>
      <c r="G143" s="10">
        <f t="shared" si="39"/>
        <v>25.188916876574307</v>
      </c>
      <c r="H143" s="11">
        <f t="shared" si="40"/>
        <v>77</v>
      </c>
      <c r="I143" s="10">
        <f t="shared" si="41"/>
        <v>15</v>
      </c>
      <c r="J143" s="10">
        <f t="shared" si="42"/>
        <v>5.092661538461539</v>
      </c>
      <c r="K143" s="10">
        <f t="shared" si="43"/>
        <v>5.1333333333333337</v>
      </c>
      <c r="L143" s="10">
        <f t="shared" si="44"/>
        <v>1.0079863534155229</v>
      </c>
      <c r="M143" s="12">
        <f t="shared" si="45"/>
        <v>4.333333333333333</v>
      </c>
      <c r="N143" s="13">
        <f t="shared" si="46"/>
        <v>0.8441558441558441</v>
      </c>
    </row>
    <row r="144" spans="1:14">
      <c r="A144" s="6">
        <v>143</v>
      </c>
      <c r="B144" s="14">
        <v>43490</v>
      </c>
      <c r="C144" s="15">
        <v>108611</v>
      </c>
      <c r="D144" s="16">
        <v>4.1989999999999998</v>
      </c>
      <c r="E144" s="16">
        <v>100</v>
      </c>
      <c r="F144" s="16" t="s">
        <v>918</v>
      </c>
      <c r="G144" s="10">
        <f t="shared" si="39"/>
        <v>23.815194093831867</v>
      </c>
      <c r="H144" s="11">
        <f t="shared" si="40"/>
        <v>111</v>
      </c>
      <c r="I144" s="10">
        <f t="shared" si="41"/>
        <v>45</v>
      </c>
      <c r="J144" s="10">
        <f t="shared" si="42"/>
        <v>4.4066999999999998</v>
      </c>
      <c r="K144" s="10">
        <f t="shared" si="43"/>
        <v>2.4666666666666668</v>
      </c>
      <c r="L144" s="10">
        <f t="shared" si="44"/>
        <v>0.55975370836831795</v>
      </c>
      <c r="M144" s="12">
        <f t="shared" si="45"/>
        <v>2.2222222222222223</v>
      </c>
      <c r="N144" s="13">
        <f t="shared" si="46"/>
        <v>0.90090090090090091</v>
      </c>
    </row>
    <row r="145" spans="1:14">
      <c r="A145" s="6">
        <v>144</v>
      </c>
      <c r="B145" s="14">
        <v>43508</v>
      </c>
      <c r="C145" s="15">
        <v>108720</v>
      </c>
      <c r="D145" s="16">
        <v>3.89</v>
      </c>
      <c r="E145" s="16">
        <v>100</v>
      </c>
      <c r="F145" s="16" t="s">
        <v>918</v>
      </c>
      <c r="G145" s="10">
        <f t="shared" si="39"/>
        <v>25.70694087403599</v>
      </c>
      <c r="H145" s="11">
        <f t="shared" si="40"/>
        <v>109</v>
      </c>
      <c r="I145" s="10">
        <f t="shared" si="41"/>
        <v>18</v>
      </c>
      <c r="J145" s="10">
        <f t="shared" si="42"/>
        <v>4.5769099999999998</v>
      </c>
      <c r="K145" s="10">
        <f t="shared" si="43"/>
        <v>6.0555555555555554</v>
      </c>
      <c r="L145" s="10">
        <f t="shared" si="44"/>
        <v>1.3230663385462149</v>
      </c>
      <c r="M145" s="12">
        <f t="shared" si="45"/>
        <v>5.5555555555555554</v>
      </c>
      <c r="N145" s="13">
        <f t="shared" si="46"/>
        <v>0.91743119266055051</v>
      </c>
    </row>
    <row r="146" spans="1:14">
      <c r="A146" s="6">
        <v>145</v>
      </c>
      <c r="B146" s="14">
        <v>43523</v>
      </c>
      <c r="C146" s="15">
        <v>108860</v>
      </c>
      <c r="D146" s="16">
        <v>3.79</v>
      </c>
      <c r="E146" s="16">
        <v>75</v>
      </c>
      <c r="F146" s="16" t="s">
        <v>918</v>
      </c>
      <c r="G146" s="10">
        <f t="shared" si="39"/>
        <v>19.788918205804748</v>
      </c>
      <c r="H146" s="11">
        <f t="shared" si="40"/>
        <v>140</v>
      </c>
      <c r="I146" s="10">
        <f t="shared" si="41"/>
        <v>15</v>
      </c>
      <c r="J146" s="10">
        <f t="shared" si="42"/>
        <v>5.4459999999999997</v>
      </c>
      <c r="K146" s="10">
        <f t="shared" si="43"/>
        <v>9.3333333333333339</v>
      </c>
      <c r="L146" s="10">
        <f t="shared" si="44"/>
        <v>1.7137960582690659</v>
      </c>
      <c r="M146" s="12">
        <f t="shared" si="45"/>
        <v>6.666666666666667</v>
      </c>
      <c r="N146" s="13">
        <f t="shared" si="46"/>
        <v>0.7142857142857143</v>
      </c>
    </row>
    <row r="147" spans="1:14">
      <c r="A147" s="6">
        <v>146</v>
      </c>
      <c r="B147" s="14">
        <v>43557</v>
      </c>
      <c r="C147" s="15">
        <v>108957</v>
      </c>
      <c r="D147" s="16">
        <v>4.1989999999999998</v>
      </c>
      <c r="E147" s="16">
        <v>120</v>
      </c>
      <c r="F147" s="16" t="s">
        <v>918</v>
      </c>
      <c r="G147" s="10">
        <f t="shared" si="39"/>
        <v>28.578232912598239</v>
      </c>
      <c r="H147" s="11">
        <f t="shared" ref="H147:H161" si="47">IF(C147="","",C147-C146)</f>
        <v>97</v>
      </c>
      <c r="I147" s="10">
        <f t="shared" ref="I147:I161" si="48">IF(B147="","",B147-B146)</f>
        <v>34</v>
      </c>
      <c r="J147" s="10">
        <f t="shared" ref="J147:J161" si="49">IF(H147="","",H147/G146)</f>
        <v>4.9017333333333335</v>
      </c>
      <c r="K147" s="10">
        <f t="shared" ref="K147:K161" si="50">IF(H147&lt;&gt;"",IF(I147&gt;0,H147/I147,H147),"" )</f>
        <v>2.8529411764705883</v>
      </c>
      <c r="L147" s="10">
        <f t="shared" ref="L147:L161" si="51">IF(I147="","",IF(I147=0,G147,G146/I147))</f>
        <v>0.58202700605308078</v>
      </c>
      <c r="M147" s="12">
        <f t="shared" ref="M147:M161" si="52">IF(I147="","",IF(I147=0,E146,E146/I147))</f>
        <v>2.2058823529411766</v>
      </c>
      <c r="N147" s="13">
        <f t="shared" ref="N147:N161" si="53">IF(H147="","",E146/H147)</f>
        <v>0.77319587628865982</v>
      </c>
    </row>
    <row r="148" spans="1:14">
      <c r="A148" s="6">
        <v>147</v>
      </c>
      <c r="B148" s="14">
        <v>43616</v>
      </c>
      <c r="C148" s="15">
        <v>109087</v>
      </c>
      <c r="D148" s="16">
        <v>4.1989999999999998</v>
      </c>
      <c r="E148" s="16">
        <v>150</v>
      </c>
      <c r="F148" s="16" t="s">
        <v>918</v>
      </c>
      <c r="G148" s="10">
        <f t="shared" si="39"/>
        <v>35.722791140747802</v>
      </c>
      <c r="H148" s="11">
        <f t="shared" si="47"/>
        <v>130</v>
      </c>
      <c r="I148" s="10">
        <f t="shared" si="48"/>
        <v>59</v>
      </c>
      <c r="J148" s="10">
        <f t="shared" si="49"/>
        <v>4.5489166666666669</v>
      </c>
      <c r="K148" s="10">
        <f t="shared" si="50"/>
        <v>2.2033898305084745</v>
      </c>
      <c r="L148" s="10">
        <f t="shared" si="51"/>
        <v>0.48437682902708878</v>
      </c>
      <c r="M148" s="12">
        <f t="shared" si="52"/>
        <v>2.0338983050847457</v>
      </c>
      <c r="N148" s="13">
        <f t="shared" si="53"/>
        <v>0.92307692307692313</v>
      </c>
    </row>
    <row r="149" spans="1:14">
      <c r="A149" s="6">
        <v>148</v>
      </c>
      <c r="B149" s="14">
        <v>43651</v>
      </c>
      <c r="C149" s="15">
        <v>109260</v>
      </c>
      <c r="D149" s="16">
        <v>4.09</v>
      </c>
      <c r="E149" s="16">
        <v>150</v>
      </c>
      <c r="F149" s="16" t="s">
        <v>918</v>
      </c>
      <c r="G149" s="10">
        <f t="shared" si="39"/>
        <v>36.674816625916868</v>
      </c>
      <c r="H149" s="11">
        <f t="shared" si="47"/>
        <v>173</v>
      </c>
      <c r="I149" s="10">
        <f t="shared" si="48"/>
        <v>35</v>
      </c>
      <c r="J149" s="10">
        <f t="shared" si="49"/>
        <v>4.8428466666666656</v>
      </c>
      <c r="K149" s="10">
        <f t="shared" si="50"/>
        <v>4.9428571428571431</v>
      </c>
      <c r="L149" s="10">
        <f t="shared" si="51"/>
        <v>1.0206511754499372</v>
      </c>
      <c r="M149" s="12">
        <f t="shared" si="52"/>
        <v>4.2857142857142856</v>
      </c>
      <c r="N149" s="13">
        <f t="shared" si="53"/>
        <v>0.86705202312138729</v>
      </c>
    </row>
    <row r="150" spans="1:14">
      <c r="A150" s="6">
        <v>149</v>
      </c>
      <c r="B150" s="14">
        <v>43698</v>
      </c>
      <c r="C150" s="15">
        <v>109423</v>
      </c>
      <c r="D150" s="16">
        <v>3.99</v>
      </c>
      <c r="E150" s="16">
        <v>150</v>
      </c>
      <c r="F150" s="16" t="s">
        <v>918</v>
      </c>
      <c r="G150" s="10">
        <f t="shared" si="39"/>
        <v>37.593984962406012</v>
      </c>
      <c r="H150" s="11">
        <f t="shared" si="47"/>
        <v>163</v>
      </c>
      <c r="I150" s="10">
        <f t="shared" si="48"/>
        <v>47</v>
      </c>
      <c r="J150" s="10">
        <f t="shared" si="49"/>
        <v>4.444466666666667</v>
      </c>
      <c r="K150" s="10">
        <f t="shared" si="50"/>
        <v>3.4680851063829787</v>
      </c>
      <c r="L150" s="10">
        <f t="shared" si="51"/>
        <v>0.78031524735993341</v>
      </c>
      <c r="M150" s="12">
        <f t="shared" si="52"/>
        <v>3.1914893617021276</v>
      </c>
      <c r="N150" s="13">
        <f t="shared" si="53"/>
        <v>0.92024539877300615</v>
      </c>
    </row>
    <row r="151" spans="1:14">
      <c r="A151" s="6">
        <v>150</v>
      </c>
      <c r="B151" s="14">
        <v>43720</v>
      </c>
      <c r="C151" s="15">
        <v>109618</v>
      </c>
      <c r="D151" s="16">
        <v>4.0990000000000002</v>
      </c>
      <c r="E151" s="16">
        <v>100</v>
      </c>
      <c r="F151" s="16" t="s">
        <v>918</v>
      </c>
      <c r="G151" s="10">
        <f t="shared" si="39"/>
        <v>24.396194193705782</v>
      </c>
      <c r="H151" s="11">
        <f t="shared" si="47"/>
        <v>195</v>
      </c>
      <c r="I151" s="10">
        <f t="shared" si="48"/>
        <v>22</v>
      </c>
      <c r="J151" s="10">
        <f t="shared" si="49"/>
        <v>5.1870000000000003</v>
      </c>
      <c r="K151" s="10">
        <f t="shared" si="50"/>
        <v>8.8636363636363633</v>
      </c>
      <c r="L151" s="10">
        <f t="shared" si="51"/>
        <v>1.7088174982911823</v>
      </c>
      <c r="M151" s="12">
        <f t="shared" si="52"/>
        <v>6.8181818181818183</v>
      </c>
      <c r="N151" s="13">
        <f t="shared" si="53"/>
        <v>0.76923076923076927</v>
      </c>
    </row>
    <row r="152" spans="1:14">
      <c r="A152" s="6">
        <v>151</v>
      </c>
      <c r="B152" s="14">
        <v>43736</v>
      </c>
      <c r="C152" s="15">
        <v>109766</v>
      </c>
      <c r="D152" s="16">
        <v>3.99</v>
      </c>
      <c r="E152" s="16">
        <v>100</v>
      </c>
      <c r="F152" s="16" t="s">
        <v>918</v>
      </c>
      <c r="G152" s="10">
        <f t="shared" si="39"/>
        <v>25.062656641604008</v>
      </c>
      <c r="H152" s="11">
        <f t="shared" si="47"/>
        <v>148</v>
      </c>
      <c r="I152" s="10">
        <f t="shared" si="48"/>
        <v>16</v>
      </c>
      <c r="J152" s="10">
        <f t="shared" si="49"/>
        <v>6.0665199999999997</v>
      </c>
      <c r="K152" s="10">
        <f t="shared" si="50"/>
        <v>9.25</v>
      </c>
      <c r="L152" s="10">
        <f t="shared" si="51"/>
        <v>1.5247621371066113</v>
      </c>
      <c r="M152" s="12">
        <f t="shared" si="52"/>
        <v>6.25</v>
      </c>
      <c r="N152" s="13">
        <f t="shared" si="53"/>
        <v>0.67567567567567566</v>
      </c>
    </row>
    <row r="153" spans="1:14">
      <c r="A153" s="6">
        <v>152</v>
      </c>
      <c r="B153" s="14">
        <v>43752</v>
      </c>
      <c r="C153" s="15">
        <v>109898</v>
      </c>
      <c r="D153" s="16">
        <v>4.0990000000000002</v>
      </c>
      <c r="E153" s="16">
        <v>100</v>
      </c>
      <c r="F153" s="16" t="s">
        <v>918</v>
      </c>
      <c r="G153" s="10">
        <f t="shared" si="39"/>
        <v>24.396194193705782</v>
      </c>
      <c r="H153" s="11">
        <f t="shared" si="47"/>
        <v>132</v>
      </c>
      <c r="I153" s="10">
        <f t="shared" si="48"/>
        <v>16</v>
      </c>
      <c r="J153" s="10">
        <f t="shared" si="49"/>
        <v>5.2668000000000008</v>
      </c>
      <c r="K153" s="10">
        <f t="shared" si="50"/>
        <v>8.25</v>
      </c>
      <c r="L153" s="10">
        <f t="shared" si="51"/>
        <v>1.5664160401002505</v>
      </c>
      <c r="M153" s="12">
        <f t="shared" si="52"/>
        <v>6.25</v>
      </c>
      <c r="N153" s="13">
        <f t="shared" si="53"/>
        <v>0.75757575757575757</v>
      </c>
    </row>
    <row r="154" spans="1:14">
      <c r="A154" s="6">
        <v>153</v>
      </c>
      <c r="B154" s="14">
        <v>43775</v>
      </c>
      <c r="C154" s="15">
        <v>110053</v>
      </c>
      <c r="D154" s="16">
        <v>4.28</v>
      </c>
      <c r="E154" s="16">
        <v>50</v>
      </c>
      <c r="F154" s="16" t="s">
        <v>918</v>
      </c>
      <c r="G154" s="10">
        <f t="shared" si="39"/>
        <v>11.682242990654204</v>
      </c>
      <c r="H154" s="11">
        <f t="shared" si="47"/>
        <v>155</v>
      </c>
      <c r="I154" s="10">
        <f t="shared" si="48"/>
        <v>23</v>
      </c>
      <c r="J154" s="10">
        <f t="shared" si="49"/>
        <v>6.3534500000000005</v>
      </c>
      <c r="K154" s="10">
        <f t="shared" si="50"/>
        <v>6.7391304347826084</v>
      </c>
      <c r="L154" s="10">
        <f t="shared" si="51"/>
        <v>1.0607040953785123</v>
      </c>
      <c r="M154" s="12">
        <f t="shared" si="52"/>
        <v>4.3478260869565215</v>
      </c>
      <c r="N154" s="13">
        <f t="shared" si="53"/>
        <v>0.64516129032258063</v>
      </c>
    </row>
    <row r="155" spans="1:14">
      <c r="A155" s="6">
        <v>154</v>
      </c>
      <c r="B155" s="14">
        <v>43781</v>
      </c>
      <c r="C155" s="15">
        <v>110115</v>
      </c>
      <c r="D155" s="16">
        <v>4.09</v>
      </c>
      <c r="E155" s="16">
        <v>176.16</v>
      </c>
      <c r="F155" s="16" t="s">
        <v>918</v>
      </c>
      <c r="G155" s="10">
        <f t="shared" si="39"/>
        <v>43.070904645476773</v>
      </c>
      <c r="H155" s="11">
        <f t="shared" si="47"/>
        <v>62</v>
      </c>
      <c r="I155" s="10">
        <f t="shared" si="48"/>
        <v>6</v>
      </c>
      <c r="J155" s="10">
        <f t="shared" si="49"/>
        <v>5.3072000000000008</v>
      </c>
      <c r="K155" s="10">
        <f t="shared" si="50"/>
        <v>10.333333333333334</v>
      </c>
      <c r="L155" s="10">
        <f t="shared" si="51"/>
        <v>1.9470404984423675</v>
      </c>
      <c r="M155" s="12">
        <f t="shared" si="52"/>
        <v>8.3333333333333339</v>
      </c>
      <c r="N155" s="13">
        <f t="shared" si="53"/>
        <v>0.80645161290322576</v>
      </c>
    </row>
    <row r="156" spans="1:14">
      <c r="A156" s="6">
        <v>155</v>
      </c>
      <c r="B156" s="14">
        <v>43796</v>
      </c>
      <c r="C156" s="15">
        <v>110349</v>
      </c>
      <c r="D156" s="16">
        <v>4.1989999999999998</v>
      </c>
      <c r="E156" s="16">
        <v>60</v>
      </c>
      <c r="F156" s="16" t="s">
        <v>918</v>
      </c>
      <c r="G156" s="10">
        <f t="shared" si="39"/>
        <v>14.289116456299119</v>
      </c>
      <c r="H156" s="11">
        <f t="shared" si="47"/>
        <v>234</v>
      </c>
      <c r="I156" s="10">
        <f t="shared" si="48"/>
        <v>15</v>
      </c>
      <c r="J156" s="10">
        <f t="shared" si="49"/>
        <v>5.432901907356948</v>
      </c>
      <c r="K156" s="10">
        <f t="shared" si="50"/>
        <v>15.6</v>
      </c>
      <c r="L156" s="10">
        <f t="shared" si="51"/>
        <v>2.871393643031785</v>
      </c>
      <c r="M156" s="12">
        <f t="shared" si="52"/>
        <v>11.744</v>
      </c>
      <c r="N156" s="13">
        <f t="shared" si="53"/>
        <v>0.75282051282051277</v>
      </c>
    </row>
    <row r="157" spans="1:14">
      <c r="A157" s="6">
        <v>156</v>
      </c>
      <c r="B157" s="14">
        <v>43802</v>
      </c>
      <c r="C157" s="15">
        <v>110424</v>
      </c>
      <c r="D157" s="16">
        <v>4.3899999999999997</v>
      </c>
      <c r="E157" s="16">
        <v>50</v>
      </c>
      <c r="F157" s="16" t="s">
        <v>918</v>
      </c>
      <c r="G157" s="10">
        <f t="shared" si="39"/>
        <v>11.389521640091116</v>
      </c>
      <c r="H157" s="11">
        <f t="shared" si="47"/>
        <v>75</v>
      </c>
      <c r="I157" s="10">
        <f t="shared" si="48"/>
        <v>6</v>
      </c>
      <c r="J157" s="10">
        <f t="shared" si="49"/>
        <v>5.2487500000000002</v>
      </c>
      <c r="K157" s="10">
        <f t="shared" si="50"/>
        <v>12.5</v>
      </c>
      <c r="L157" s="10">
        <f t="shared" si="51"/>
        <v>2.3815194093831864</v>
      </c>
      <c r="M157" s="12">
        <f t="shared" si="52"/>
        <v>10</v>
      </c>
      <c r="N157" s="13">
        <f t="shared" si="53"/>
        <v>0.8</v>
      </c>
    </row>
    <row r="158" spans="1:14">
      <c r="A158" s="6">
        <v>157</v>
      </c>
      <c r="B158" s="14">
        <v>43816</v>
      </c>
      <c r="C158" s="15">
        <v>110484</v>
      </c>
      <c r="D158" s="16">
        <v>4.2990000000000004</v>
      </c>
      <c r="E158" s="16">
        <v>50</v>
      </c>
      <c r="F158" s="16" t="s">
        <v>918</v>
      </c>
      <c r="G158" s="10">
        <f t="shared" si="39"/>
        <v>11.63061177017911</v>
      </c>
      <c r="H158" s="11">
        <f t="shared" si="47"/>
        <v>60</v>
      </c>
      <c r="I158" s="10">
        <f t="shared" si="48"/>
        <v>14</v>
      </c>
      <c r="J158" s="10">
        <f t="shared" si="49"/>
        <v>5.2679999999999998</v>
      </c>
      <c r="K158" s="10">
        <f t="shared" si="50"/>
        <v>4.2857142857142856</v>
      </c>
      <c r="L158" s="10">
        <f t="shared" si="51"/>
        <v>0.81353726000650828</v>
      </c>
      <c r="M158" s="12">
        <f t="shared" si="52"/>
        <v>3.5714285714285716</v>
      </c>
      <c r="N158" s="13">
        <f t="shared" si="53"/>
        <v>0.83333333333333337</v>
      </c>
    </row>
    <row r="159" spans="1:14">
      <c r="A159" s="6">
        <v>158</v>
      </c>
      <c r="B159" s="14">
        <v>43820</v>
      </c>
      <c r="C159" s="15">
        <v>110537</v>
      </c>
      <c r="D159" s="16">
        <v>4.399</v>
      </c>
      <c r="E159" s="16">
        <v>150</v>
      </c>
      <c r="F159" s="16" t="s">
        <v>918</v>
      </c>
      <c r="G159" s="10">
        <f t="shared" si="39"/>
        <v>34.098658786087746</v>
      </c>
      <c r="H159" s="11">
        <f t="shared" si="47"/>
        <v>53</v>
      </c>
      <c r="I159" s="10">
        <f t="shared" si="48"/>
        <v>4</v>
      </c>
      <c r="J159" s="10">
        <f t="shared" si="49"/>
        <v>4.5569400000000009</v>
      </c>
      <c r="K159" s="10">
        <f t="shared" si="50"/>
        <v>13.25</v>
      </c>
      <c r="L159" s="10">
        <f t="shared" si="51"/>
        <v>2.9076529425447775</v>
      </c>
      <c r="M159" s="12">
        <f t="shared" si="52"/>
        <v>12.5</v>
      </c>
      <c r="N159" s="13">
        <f t="shared" si="53"/>
        <v>0.94339622641509435</v>
      </c>
    </row>
    <row r="160" spans="1:14">
      <c r="A160" s="6">
        <v>159</v>
      </c>
      <c r="B160" s="14">
        <v>43850</v>
      </c>
      <c r="C160" s="15">
        <v>110710</v>
      </c>
      <c r="D160" s="16">
        <v>4.399</v>
      </c>
      <c r="E160" s="16">
        <v>100</v>
      </c>
      <c r="F160" s="16" t="s">
        <v>918</v>
      </c>
      <c r="G160" s="10">
        <f t="shared" si="39"/>
        <v>22.732439190725163</v>
      </c>
      <c r="H160" s="11">
        <f t="shared" si="47"/>
        <v>173</v>
      </c>
      <c r="I160" s="10">
        <f t="shared" si="48"/>
        <v>30</v>
      </c>
      <c r="J160" s="10">
        <f t="shared" si="49"/>
        <v>5.0735133333333335</v>
      </c>
      <c r="K160" s="10">
        <f t="shared" si="50"/>
        <v>5.7666666666666666</v>
      </c>
      <c r="L160" s="10">
        <f t="shared" si="51"/>
        <v>1.1366219595362581</v>
      </c>
      <c r="M160" s="12">
        <f t="shared" si="52"/>
        <v>5</v>
      </c>
      <c r="N160" s="13">
        <f t="shared" si="53"/>
        <v>0.86705202312138729</v>
      </c>
    </row>
    <row r="161" spans="1:14">
      <c r="A161" s="6">
        <v>160</v>
      </c>
      <c r="B161" s="14">
        <v>43872</v>
      </c>
      <c r="C161" s="15">
        <v>110823</v>
      </c>
      <c r="D161" s="16">
        <v>4.5990000000000002</v>
      </c>
      <c r="E161" s="16">
        <v>100</v>
      </c>
      <c r="F161" s="16" t="s">
        <v>918</v>
      </c>
      <c r="G161" s="10">
        <f t="shared" si="39"/>
        <v>21.743857360295717</v>
      </c>
      <c r="H161" s="11">
        <f t="shared" si="47"/>
        <v>113</v>
      </c>
      <c r="I161" s="10">
        <f t="shared" si="48"/>
        <v>22</v>
      </c>
      <c r="J161" s="10">
        <f t="shared" si="49"/>
        <v>4.9708700000000006</v>
      </c>
      <c r="K161" s="10">
        <f t="shared" si="50"/>
        <v>5.1363636363636367</v>
      </c>
      <c r="L161" s="10">
        <f t="shared" si="51"/>
        <v>1.0332926904875075</v>
      </c>
      <c r="M161" s="12">
        <f t="shared" si="52"/>
        <v>4.5454545454545459</v>
      </c>
      <c r="N161" s="13">
        <f t="shared" si="53"/>
        <v>0.88495575221238942</v>
      </c>
    </row>
    <row r="162" spans="1:14">
      <c r="A162" s="6">
        <v>161</v>
      </c>
      <c r="B162" s="14">
        <v>43899</v>
      </c>
      <c r="C162" s="15">
        <v>110978</v>
      </c>
      <c r="D162" s="16">
        <v>4.399</v>
      </c>
      <c r="E162" s="16">
        <v>120</v>
      </c>
      <c r="F162" s="16" t="s">
        <v>918</v>
      </c>
      <c r="G162" s="10">
        <f t="shared" si="39"/>
        <v>27.278927028870196</v>
      </c>
      <c r="H162" s="11">
        <f t="shared" ref="H162:H168" si="54">IF(C162="","",C162-C161)</f>
        <v>155</v>
      </c>
      <c r="I162" s="10">
        <f t="shared" ref="I162:I168" si="55">IF(B162="","",B162-B161)</f>
        <v>27</v>
      </c>
      <c r="J162" s="10">
        <f t="shared" ref="J162:J168" si="56">IF(H162="","",H162/G161)</f>
        <v>7.12845</v>
      </c>
      <c r="K162" s="10">
        <f t="shared" ref="K162:K168" si="57">IF(H162&lt;&gt;"",IF(I162&gt;0,H162/I162,H162),"" )</f>
        <v>5.7407407407407405</v>
      </c>
      <c r="L162" s="10">
        <f t="shared" ref="L162:L168" si="58">IF(I162="","",IF(I162=0,G162,G161/I162))</f>
        <v>0.80532805038132282</v>
      </c>
      <c r="M162" s="12">
        <f t="shared" ref="M162:M168" si="59">IF(I162="","",IF(I162=0,E161,E161/I162))</f>
        <v>3.7037037037037037</v>
      </c>
      <c r="N162" s="13">
        <f t="shared" ref="N162:N168" si="60">IF(H162="","",E161/H162)</f>
        <v>0.64516129032258063</v>
      </c>
    </row>
    <row r="163" spans="1:14">
      <c r="A163" s="6">
        <v>162</v>
      </c>
      <c r="B163" s="14">
        <v>43948</v>
      </c>
      <c r="C163" s="15">
        <v>111090</v>
      </c>
      <c r="D163" s="16">
        <v>3.9990000000000001</v>
      </c>
      <c r="E163" s="16">
        <v>144</v>
      </c>
      <c r="F163" s="16" t="s">
        <v>918</v>
      </c>
      <c r="G163" s="10">
        <f t="shared" si="39"/>
        <v>36.009002250562638</v>
      </c>
      <c r="H163" s="11">
        <f t="shared" si="54"/>
        <v>112</v>
      </c>
      <c r="I163" s="10">
        <f t="shared" si="55"/>
        <v>49</v>
      </c>
      <c r="J163" s="10">
        <f t="shared" si="56"/>
        <v>4.1057333333333332</v>
      </c>
      <c r="K163" s="10">
        <f t="shared" si="57"/>
        <v>2.2857142857142856</v>
      </c>
      <c r="L163" s="10">
        <f t="shared" si="58"/>
        <v>0.55671279650755501</v>
      </c>
      <c r="M163" s="12">
        <f t="shared" si="59"/>
        <v>2.4489795918367347</v>
      </c>
      <c r="N163" s="13">
        <f t="shared" si="60"/>
        <v>1.0714285714285714</v>
      </c>
    </row>
    <row r="164" spans="1:14">
      <c r="A164" s="6">
        <v>163</v>
      </c>
      <c r="B164" s="14">
        <v>44014</v>
      </c>
      <c r="C164" s="15">
        <v>111343</v>
      </c>
      <c r="D164" s="16">
        <v>3.9990000000000001</v>
      </c>
      <c r="E164" s="16">
        <v>60</v>
      </c>
      <c r="F164" s="16" t="s">
        <v>918</v>
      </c>
      <c r="G164" s="10">
        <f t="shared" si="39"/>
        <v>15.003750937734432</v>
      </c>
      <c r="H164" s="11">
        <f t="shared" si="54"/>
        <v>253</v>
      </c>
      <c r="I164" s="10">
        <f t="shared" si="55"/>
        <v>66</v>
      </c>
      <c r="J164" s="10">
        <f t="shared" si="56"/>
        <v>7.0260208333333338</v>
      </c>
      <c r="K164" s="10">
        <f t="shared" si="57"/>
        <v>3.8333333333333335</v>
      </c>
      <c r="L164" s="10">
        <f t="shared" si="58"/>
        <v>0.54559094319034296</v>
      </c>
      <c r="M164" s="12">
        <f t="shared" si="59"/>
        <v>2.1818181818181817</v>
      </c>
      <c r="N164" s="13">
        <f t="shared" si="60"/>
        <v>0.56916996047430835</v>
      </c>
    </row>
    <row r="165" spans="1:14">
      <c r="A165" s="6">
        <v>164</v>
      </c>
      <c r="B165" s="14">
        <v>44019</v>
      </c>
      <c r="C165" s="15">
        <v>111461</v>
      </c>
      <c r="D165" s="16">
        <v>3.7989999999999999</v>
      </c>
      <c r="E165" s="16">
        <v>80</v>
      </c>
      <c r="F165" s="16" t="s">
        <v>918</v>
      </c>
      <c r="G165" s="10">
        <f t="shared" si="39"/>
        <v>21.058173203474599</v>
      </c>
      <c r="H165" s="11">
        <f t="shared" si="54"/>
        <v>118</v>
      </c>
      <c r="I165" s="10">
        <f t="shared" si="55"/>
        <v>5</v>
      </c>
      <c r="J165" s="10">
        <f t="shared" si="56"/>
        <v>7.8647000000000009</v>
      </c>
      <c r="K165" s="10">
        <f t="shared" si="57"/>
        <v>23.6</v>
      </c>
      <c r="L165" s="10">
        <f t="shared" si="58"/>
        <v>3.0007501875468865</v>
      </c>
      <c r="M165" s="12">
        <f t="shared" si="59"/>
        <v>12</v>
      </c>
      <c r="N165" s="13">
        <f t="shared" si="60"/>
        <v>0.50847457627118642</v>
      </c>
    </row>
    <row r="166" spans="1:14">
      <c r="A166" s="6">
        <v>165</v>
      </c>
      <c r="B166" s="14">
        <v>44029</v>
      </c>
      <c r="C166" s="15">
        <v>111596</v>
      </c>
      <c r="D166" s="16">
        <v>3.9990000000000001</v>
      </c>
      <c r="E166" s="16">
        <v>150</v>
      </c>
      <c r="F166" s="16" t="s">
        <v>918</v>
      </c>
      <c r="G166" s="10">
        <f t="shared" si="39"/>
        <v>37.50937734433608</v>
      </c>
      <c r="H166" s="11">
        <f t="shared" si="54"/>
        <v>135</v>
      </c>
      <c r="I166" s="10">
        <f t="shared" si="55"/>
        <v>10</v>
      </c>
      <c r="J166" s="10">
        <f t="shared" si="56"/>
        <v>6.4108124999999996</v>
      </c>
      <c r="K166" s="10">
        <f t="shared" si="57"/>
        <v>13.5</v>
      </c>
      <c r="L166" s="10">
        <f t="shared" si="58"/>
        <v>2.1058173203474597</v>
      </c>
      <c r="M166" s="12">
        <f t="shared" si="59"/>
        <v>8</v>
      </c>
      <c r="N166" s="13">
        <f t="shared" si="60"/>
        <v>0.59259259259259256</v>
      </c>
    </row>
    <row r="167" spans="1:14">
      <c r="A167" s="6">
        <v>166</v>
      </c>
      <c r="B167" s="14">
        <v>44070</v>
      </c>
      <c r="C167" s="15">
        <v>111895</v>
      </c>
      <c r="D167" s="16">
        <v>3.7989999999999999</v>
      </c>
      <c r="E167" s="16">
        <v>100</v>
      </c>
      <c r="F167" s="16" t="s">
        <v>918</v>
      </c>
      <c r="G167" s="10">
        <f t="shared" si="39"/>
        <v>26.322716504343248</v>
      </c>
      <c r="H167" s="11">
        <f t="shared" si="54"/>
        <v>299</v>
      </c>
      <c r="I167" s="10">
        <f t="shared" si="55"/>
        <v>41</v>
      </c>
      <c r="J167" s="10">
        <f t="shared" si="56"/>
        <v>7.9713400000000005</v>
      </c>
      <c r="K167" s="10">
        <f t="shared" si="57"/>
        <v>7.2926829268292686</v>
      </c>
      <c r="L167" s="10">
        <f t="shared" si="58"/>
        <v>0.91486286205697753</v>
      </c>
      <c r="M167" s="12">
        <f t="shared" si="59"/>
        <v>3.6585365853658538</v>
      </c>
      <c r="N167" s="13">
        <f t="shared" si="60"/>
        <v>0.50167224080267558</v>
      </c>
    </row>
    <row r="168" spans="1:14">
      <c r="A168" s="6">
        <v>167</v>
      </c>
      <c r="B168" s="14">
        <v>44079</v>
      </c>
      <c r="C168" s="15">
        <v>112031</v>
      </c>
      <c r="D168" s="16">
        <v>4.0998999999999999</v>
      </c>
      <c r="E168" s="16">
        <v>100</v>
      </c>
      <c r="F168" s="16" t="s">
        <v>918</v>
      </c>
      <c r="G168" s="10">
        <f t="shared" si="39"/>
        <v>24.390838800946366</v>
      </c>
      <c r="H168" s="11">
        <f t="shared" si="54"/>
        <v>136</v>
      </c>
      <c r="I168" s="10">
        <f t="shared" si="55"/>
        <v>9</v>
      </c>
      <c r="J168" s="10">
        <f t="shared" si="56"/>
        <v>5.1666400000000001</v>
      </c>
      <c r="K168" s="10">
        <f t="shared" si="57"/>
        <v>15.111111111111111</v>
      </c>
      <c r="L168" s="10">
        <f t="shared" si="58"/>
        <v>2.9247462782603608</v>
      </c>
      <c r="M168" s="12">
        <f t="shared" si="59"/>
        <v>11.111111111111111</v>
      </c>
      <c r="N168" s="13">
        <f t="shared" si="60"/>
        <v>0.73529411764705888</v>
      </c>
    </row>
    <row r="169" spans="1:14">
      <c r="A169" s="6">
        <v>168</v>
      </c>
      <c r="B169" s="14">
        <v>44096</v>
      </c>
      <c r="C169" s="15">
        <v>112198</v>
      </c>
      <c r="D169" s="16">
        <v>4.3899999999999997</v>
      </c>
      <c r="E169" s="16">
        <v>100</v>
      </c>
      <c r="F169" s="16" t="s">
        <v>918</v>
      </c>
      <c r="G169" s="10">
        <f>IF(E169&lt;&gt;"",E169/D169,"")</f>
        <v>22.779043280182233</v>
      </c>
      <c r="H169" s="11">
        <f>IF(C169="","",C169-C168)</f>
        <v>167</v>
      </c>
      <c r="I169" s="10">
        <f>IF(B169="","",B169-B168)</f>
        <v>17</v>
      </c>
      <c r="J169" s="10">
        <f>IF(H169="","",H169/G168)</f>
        <v>6.8468329999999993</v>
      </c>
      <c r="K169" s="10">
        <f>IF(H169&lt;&gt;"",IF(I169&gt;0,H169/I169,H169),"" )</f>
        <v>9.8235294117647065</v>
      </c>
      <c r="L169" s="10">
        <f>IF(I169="","",IF(I169=0,G169,G168/I169))</f>
        <v>1.4347552235850802</v>
      </c>
      <c r="M169" s="12">
        <f>IF(I169="","",IF(I169=0,E168,E168/I169))</f>
        <v>5.882352941176471</v>
      </c>
      <c r="N169" s="13">
        <f>IF(H169="","",E168/H169)</f>
        <v>0.59880239520958078</v>
      </c>
    </row>
    <row r="170" spans="1:14">
      <c r="A170" s="6">
        <v>169</v>
      </c>
      <c r="B170" s="14">
        <v>44110</v>
      </c>
      <c r="C170" s="15">
        <v>112354</v>
      </c>
      <c r="D170" s="16">
        <v>4.1989999999999998</v>
      </c>
      <c r="E170" s="16">
        <v>100</v>
      </c>
      <c r="F170" s="16" t="s">
        <v>918</v>
      </c>
      <c r="G170" s="10">
        <f>IF(E170&lt;&gt;"",E170/D170,"")</f>
        <v>23.815194093831867</v>
      </c>
      <c r="H170" s="11">
        <f>IF(C170="","",C170-C169)</f>
        <v>156</v>
      </c>
      <c r="I170" s="10">
        <f>IF(B170="","",B170-B169)</f>
        <v>14</v>
      </c>
      <c r="J170" s="10">
        <f>IF(H170="","",H170/G169)</f>
        <v>6.8483999999999998</v>
      </c>
      <c r="K170" s="10">
        <f>IF(H170&lt;&gt;"",IF(I170&gt;0,H170/I170,H170),"" )</f>
        <v>11.142857142857142</v>
      </c>
      <c r="L170" s="10">
        <f>IF(I170="","",IF(I170=0,G170,G169/I170))</f>
        <v>1.6270745200130166</v>
      </c>
      <c r="M170" s="12">
        <f>IF(I170="","",IF(I170=0,E169,E169/I170))</f>
        <v>7.1428571428571432</v>
      </c>
      <c r="N170" s="13">
        <f>IF(H170="","",E169/H170)</f>
        <v>0.64102564102564108</v>
      </c>
    </row>
    <row r="171" spans="1:14">
      <c r="A171" s="6">
        <v>170</v>
      </c>
      <c r="B171" s="14">
        <v>44131</v>
      </c>
      <c r="C171" s="15">
        <v>112529</v>
      </c>
      <c r="D171" s="16">
        <v>4.0990000000000002</v>
      </c>
      <c r="E171" s="16">
        <v>120</v>
      </c>
      <c r="F171" s="16" t="s">
        <v>918</v>
      </c>
      <c r="G171" s="10">
        <f>IF(E171&lt;&gt;"",E171/D171,"")</f>
        <v>29.275433032446937</v>
      </c>
      <c r="H171" s="11">
        <f>IF(C171="","",C171-C170)</f>
        <v>175</v>
      </c>
      <c r="I171" s="10">
        <f>IF(B171="","",B171-B170)</f>
        <v>21</v>
      </c>
      <c r="J171" s="10">
        <f>IF(H171="","",H171/G170)</f>
        <v>7.3482499999999993</v>
      </c>
      <c r="K171" s="10">
        <f>IF(H171&lt;&gt;"",IF(I171&gt;0,H171/I171,H171),"" )</f>
        <v>8.3333333333333339</v>
      </c>
      <c r="L171" s="10">
        <f>IF(I171="","",IF(I171=0,G171,G170/I171))</f>
        <v>1.1340568616110414</v>
      </c>
      <c r="M171" s="12">
        <f>IF(I171="","",IF(I171=0,E170,E170/I171))</f>
        <v>4.7619047619047619</v>
      </c>
      <c r="N171" s="13">
        <f>IF(H171="","",E170/H171)</f>
        <v>0.5714285714285714</v>
      </c>
    </row>
    <row r="172" spans="1:14">
      <c r="A172" s="6">
        <v>171</v>
      </c>
      <c r="B172" s="14">
        <v>44168</v>
      </c>
      <c r="C172" s="15">
        <v>112721</v>
      </c>
      <c r="D172" s="16">
        <v>4.2</v>
      </c>
      <c r="E172" s="16">
        <v>100</v>
      </c>
      <c r="F172" s="16" t="s">
        <v>918</v>
      </c>
      <c r="G172" s="10">
        <f>IF(E172&lt;&gt;"",E172/D172,"")</f>
        <v>23.80952380952381</v>
      </c>
      <c r="H172" s="11">
        <f>IF(C172="","",C172-C171)</f>
        <v>192</v>
      </c>
      <c r="I172" s="10">
        <f>IF(B172="","",B172-B171)</f>
        <v>37</v>
      </c>
      <c r="J172" s="10">
        <f>IF(H172="","",H172/G171)</f>
        <v>6.5584000000000007</v>
      </c>
      <c r="K172" s="10">
        <f>IF(H172&lt;&gt;"",IF(I172&gt;0,H172/I172,H172),"" )</f>
        <v>5.1891891891891895</v>
      </c>
      <c r="L172" s="10">
        <f>IF(I172="","",IF(I172=0,G172,G171/I172))</f>
        <v>0.79122791979586315</v>
      </c>
      <c r="M172" s="12">
        <f>IF(I172="","",IF(I172=0,E171,E171/I172))</f>
        <v>3.2432432432432434</v>
      </c>
      <c r="N172" s="13">
        <f>IF(H172="","",E171/H172)</f>
        <v>0.625</v>
      </c>
    </row>
    <row r="173" spans="1:14">
      <c r="A173" s="6">
        <v>172</v>
      </c>
      <c r="B173" s="14">
        <v>44203</v>
      </c>
      <c r="C173" s="15">
        <v>112884</v>
      </c>
      <c r="D173" s="16">
        <v>4.3890000000000002</v>
      </c>
      <c r="E173" s="16">
        <v>100</v>
      </c>
      <c r="F173" s="16" t="s">
        <v>918</v>
      </c>
      <c r="G173" s="10">
        <f t="shared" ref="G173:G178" si="61">IF(E173&lt;&gt;"",E173/D173,"")</f>
        <v>22.784233310549098</v>
      </c>
      <c r="H173" s="11">
        <f t="shared" ref="H173:H178" si="62">IF(C173="","",C173-C172)</f>
        <v>163</v>
      </c>
      <c r="I173" s="10">
        <f t="shared" ref="I173:I178" si="63">IF(B173="","",B173-B172)</f>
        <v>35</v>
      </c>
      <c r="J173" s="10">
        <f t="shared" ref="J173:J178" si="64">IF(H173="","",H173/G172)</f>
        <v>6.8460000000000001</v>
      </c>
      <c r="K173" s="10">
        <f t="shared" ref="K173:K178" si="65">IF(H173&lt;&gt;"",IF(I173&gt;0,H173/I173,H173),"" )</f>
        <v>4.6571428571428575</v>
      </c>
      <c r="L173" s="10">
        <f t="shared" ref="L173:L178" si="66">IF(I173="","",IF(I173=0,G173,G172/I173))</f>
        <v>0.68027210884353739</v>
      </c>
      <c r="M173" s="12">
        <f t="shared" ref="M173:M178" si="67">IF(I173="","",IF(I173=0,E172,E172/I173))</f>
        <v>2.8571428571428572</v>
      </c>
      <c r="N173" s="13">
        <f t="shared" ref="N173:N178" si="68">IF(H173="","",E172/H173)</f>
        <v>0.61349693251533743</v>
      </c>
    </row>
    <row r="174" spans="1:14">
      <c r="A174" s="6">
        <v>173</v>
      </c>
      <c r="B174" s="14">
        <v>44224</v>
      </c>
      <c r="C174" s="15">
        <v>113005</v>
      </c>
      <c r="D174" s="16">
        <v>4.4989999999999997</v>
      </c>
      <c r="E174" s="16">
        <v>100</v>
      </c>
      <c r="F174" s="16" t="s">
        <v>918</v>
      </c>
      <c r="G174" s="10">
        <f t="shared" si="61"/>
        <v>22.227161591464771</v>
      </c>
      <c r="H174" s="11">
        <f t="shared" si="62"/>
        <v>121</v>
      </c>
      <c r="I174" s="10">
        <f t="shared" si="63"/>
        <v>21</v>
      </c>
      <c r="J174" s="10">
        <f t="shared" si="64"/>
        <v>5.3106900000000001</v>
      </c>
      <c r="K174" s="10">
        <f t="shared" si="65"/>
        <v>5.7619047619047619</v>
      </c>
      <c r="L174" s="10">
        <f t="shared" si="66"/>
        <v>1.0849634909785284</v>
      </c>
      <c r="M174" s="12">
        <f t="shared" si="67"/>
        <v>4.7619047619047619</v>
      </c>
      <c r="N174" s="13">
        <f t="shared" si="68"/>
        <v>0.82644628099173556</v>
      </c>
    </row>
    <row r="175" spans="1:14">
      <c r="A175" s="6">
        <v>174</v>
      </c>
      <c r="B175" s="14">
        <v>44253</v>
      </c>
      <c r="C175" s="15">
        <v>113136</v>
      </c>
      <c r="D175" s="16">
        <v>4.9989999999999997</v>
      </c>
      <c r="E175" s="16">
        <v>150</v>
      </c>
      <c r="F175" s="16" t="s">
        <v>918</v>
      </c>
      <c r="G175" s="10">
        <f t="shared" si="61"/>
        <v>30.00600120024005</v>
      </c>
      <c r="H175" s="11">
        <f t="shared" si="62"/>
        <v>131</v>
      </c>
      <c r="I175" s="10">
        <f t="shared" si="63"/>
        <v>29</v>
      </c>
      <c r="J175" s="10">
        <f t="shared" si="64"/>
        <v>5.8936899999999994</v>
      </c>
      <c r="K175" s="10">
        <f t="shared" si="65"/>
        <v>4.5172413793103452</v>
      </c>
      <c r="L175" s="10">
        <f t="shared" si="66"/>
        <v>0.76645384798154381</v>
      </c>
      <c r="M175" s="12">
        <f t="shared" si="67"/>
        <v>3.4482758620689653</v>
      </c>
      <c r="N175" s="13">
        <f t="shared" si="68"/>
        <v>0.76335877862595425</v>
      </c>
    </row>
    <row r="176" spans="1:14">
      <c r="A176" s="6">
        <v>175</v>
      </c>
      <c r="B176" s="14">
        <v>44327</v>
      </c>
      <c r="C176" s="15">
        <v>113327</v>
      </c>
      <c r="D176" s="16">
        <v>5.2</v>
      </c>
      <c r="E176" s="16">
        <v>130</v>
      </c>
      <c r="F176" s="16" t="s">
        <v>918</v>
      </c>
      <c r="G176" s="10">
        <f t="shared" si="61"/>
        <v>25</v>
      </c>
      <c r="H176" s="11">
        <f t="shared" si="62"/>
        <v>191</v>
      </c>
      <c r="I176" s="10">
        <f t="shared" si="63"/>
        <v>74</v>
      </c>
      <c r="J176" s="10">
        <f t="shared" si="64"/>
        <v>6.3653933333333326</v>
      </c>
      <c r="K176" s="10">
        <f t="shared" si="65"/>
        <v>2.5810810810810811</v>
      </c>
      <c r="L176" s="10">
        <f t="shared" si="66"/>
        <v>0.40548650270594661</v>
      </c>
      <c r="M176" s="12">
        <f t="shared" si="67"/>
        <v>2.0270270270270272</v>
      </c>
      <c r="N176" s="13">
        <f t="shared" si="68"/>
        <v>0.78534031413612571</v>
      </c>
    </row>
    <row r="177" spans="1:14">
      <c r="A177" s="6">
        <v>176</v>
      </c>
      <c r="B177" s="14">
        <v>44371</v>
      </c>
      <c r="C177" s="15">
        <v>113440</v>
      </c>
      <c r="D177" s="16">
        <v>5.1989999999999998</v>
      </c>
      <c r="E177" s="16">
        <v>120</v>
      </c>
      <c r="F177" s="16" t="s">
        <v>918</v>
      </c>
      <c r="G177" s="10">
        <f t="shared" si="61"/>
        <v>23.081361800346222</v>
      </c>
      <c r="H177" s="11">
        <f t="shared" si="62"/>
        <v>113</v>
      </c>
      <c r="I177" s="10">
        <f t="shared" si="63"/>
        <v>44</v>
      </c>
      <c r="J177" s="10">
        <f t="shared" si="64"/>
        <v>4.5199999999999996</v>
      </c>
      <c r="K177" s="10">
        <f t="shared" si="65"/>
        <v>2.5681818181818183</v>
      </c>
      <c r="L177" s="10">
        <f t="shared" si="66"/>
        <v>0.56818181818181823</v>
      </c>
      <c r="M177" s="12">
        <f t="shared" si="67"/>
        <v>2.9545454545454546</v>
      </c>
      <c r="N177" s="13">
        <f t="shared" si="68"/>
        <v>1.1504424778761062</v>
      </c>
    </row>
    <row r="178" spans="1:14">
      <c r="A178" s="6">
        <v>177</v>
      </c>
      <c r="B178" s="14">
        <v>44385</v>
      </c>
      <c r="C178" s="15">
        <v>113567</v>
      </c>
      <c r="D178" s="16">
        <v>5.5990000000000002</v>
      </c>
      <c r="E178" s="16">
        <v>150</v>
      </c>
      <c r="F178" s="16" t="s">
        <v>918</v>
      </c>
      <c r="G178" s="10">
        <f t="shared" si="61"/>
        <v>26.790498303268439</v>
      </c>
      <c r="H178" s="11">
        <f t="shared" si="62"/>
        <v>127</v>
      </c>
      <c r="I178" s="10">
        <f t="shared" si="63"/>
        <v>14</v>
      </c>
      <c r="J178" s="10">
        <f t="shared" si="64"/>
        <v>5.5022749999999991</v>
      </c>
      <c r="K178" s="10">
        <f t="shared" si="65"/>
        <v>9.0714285714285712</v>
      </c>
      <c r="L178" s="10">
        <f t="shared" si="66"/>
        <v>1.6486687000247302</v>
      </c>
      <c r="M178" s="12">
        <f t="shared" si="67"/>
        <v>8.5714285714285712</v>
      </c>
      <c r="N178" s="13">
        <f t="shared" si="68"/>
        <v>0.94488188976377951</v>
      </c>
    </row>
    <row r="179" spans="1:14">
      <c r="A179" s="6">
        <v>178</v>
      </c>
      <c r="B179" s="14">
        <v>44432</v>
      </c>
      <c r="C179" s="15">
        <v>113723</v>
      </c>
      <c r="D179" s="16">
        <v>5.79</v>
      </c>
      <c r="E179" s="16">
        <v>100</v>
      </c>
      <c r="F179" s="16" t="s">
        <v>918</v>
      </c>
      <c r="G179" s="10">
        <f t="shared" ref="G179:G201" si="69">IF(E179&lt;&gt;"",E179/D179,"")</f>
        <v>17.271157167530223</v>
      </c>
      <c r="H179" s="11">
        <f t="shared" ref="H179:H201" si="70">IF(C179="","",C179-C178)</f>
        <v>156</v>
      </c>
      <c r="I179" s="10">
        <f t="shared" ref="I179:I201" si="71">IF(B179="","",B179-B178)</f>
        <v>47</v>
      </c>
      <c r="J179" s="10">
        <f t="shared" ref="J179:J201" si="72">IF(H179="","",H179/G178)</f>
        <v>5.8229600000000001</v>
      </c>
      <c r="K179" s="10">
        <f t="shared" ref="K179:K201" si="73">IF(H179&lt;&gt;"",IF(I179&gt;0,H179/I179,H179),"" )</f>
        <v>3.3191489361702127</v>
      </c>
      <c r="L179" s="10">
        <f t="shared" ref="L179:L201" si="74">IF(I179="","",IF(I179=0,G179,G178/I179))</f>
        <v>0.57001060219720079</v>
      </c>
      <c r="M179" s="12">
        <f t="shared" ref="M179:M201" si="75">IF(I179="","",IF(I179=0,E178,E178/I179))</f>
        <v>3.1914893617021276</v>
      </c>
      <c r="N179" s="13">
        <f t="shared" ref="N179:N201" si="76">IF(H179="","",E178/H179)</f>
        <v>0.96153846153846156</v>
      </c>
    </row>
    <row r="180" spans="1:14">
      <c r="A180" s="6">
        <v>179</v>
      </c>
      <c r="B180" s="14">
        <v>44448</v>
      </c>
      <c r="C180" s="15">
        <v>113828</v>
      </c>
      <c r="D180" s="16">
        <v>5.7990000000000004</v>
      </c>
      <c r="E180" s="16">
        <v>150</v>
      </c>
      <c r="F180" s="16" t="s">
        <v>918</v>
      </c>
      <c r="G180" s="10">
        <f t="shared" si="69"/>
        <v>25.866528711846868</v>
      </c>
      <c r="H180" s="11">
        <f t="shared" si="70"/>
        <v>105</v>
      </c>
      <c r="I180" s="10">
        <f t="shared" si="71"/>
        <v>16</v>
      </c>
      <c r="J180" s="10">
        <f t="shared" si="72"/>
        <v>6.0795000000000003</v>
      </c>
      <c r="K180" s="10">
        <f t="shared" si="73"/>
        <v>6.5625</v>
      </c>
      <c r="L180" s="10">
        <f t="shared" si="74"/>
        <v>1.0794473229706389</v>
      </c>
      <c r="M180" s="12">
        <f t="shared" si="75"/>
        <v>6.25</v>
      </c>
      <c r="N180" s="13">
        <f t="shared" si="76"/>
        <v>0.95238095238095233</v>
      </c>
    </row>
    <row r="181" spans="1:14">
      <c r="A181" s="6">
        <v>180</v>
      </c>
      <c r="B181" s="14">
        <v>44477</v>
      </c>
      <c r="C181" s="15">
        <v>114007</v>
      </c>
      <c r="D181" s="16">
        <v>5.7990000000000004</v>
      </c>
      <c r="E181" s="16">
        <v>150</v>
      </c>
      <c r="F181" s="16" t="s">
        <v>918</v>
      </c>
      <c r="G181" s="10">
        <f t="shared" si="69"/>
        <v>25.866528711846868</v>
      </c>
      <c r="H181" s="11">
        <f t="shared" si="70"/>
        <v>179</v>
      </c>
      <c r="I181" s="10">
        <f t="shared" si="71"/>
        <v>29</v>
      </c>
      <c r="J181" s="10">
        <f t="shared" si="72"/>
        <v>6.9201400000000008</v>
      </c>
      <c r="K181" s="10">
        <f t="shared" si="73"/>
        <v>6.1724137931034484</v>
      </c>
      <c r="L181" s="10">
        <f t="shared" si="74"/>
        <v>0.89194926592575408</v>
      </c>
      <c r="M181" s="12">
        <f t="shared" si="75"/>
        <v>5.1724137931034484</v>
      </c>
      <c r="N181" s="13">
        <f t="shared" si="76"/>
        <v>0.83798882681564246</v>
      </c>
    </row>
    <row r="182" spans="1:14">
      <c r="A182" s="6">
        <v>181</v>
      </c>
      <c r="B182" s="14">
        <v>44496</v>
      </c>
      <c r="C182" s="15">
        <v>114160</v>
      </c>
      <c r="D182" s="16">
        <v>6.2990000000000004</v>
      </c>
      <c r="E182" s="16">
        <v>70</v>
      </c>
      <c r="F182" s="16" t="s">
        <v>918</v>
      </c>
      <c r="G182" s="10">
        <f t="shared" si="69"/>
        <v>11.112875059533259</v>
      </c>
      <c r="H182" s="11">
        <f t="shared" si="70"/>
        <v>153</v>
      </c>
      <c r="I182" s="10">
        <f t="shared" si="71"/>
        <v>19</v>
      </c>
      <c r="J182" s="10">
        <f t="shared" si="72"/>
        <v>5.9149800000000008</v>
      </c>
      <c r="K182" s="10">
        <f t="shared" si="73"/>
        <v>8.0526315789473681</v>
      </c>
      <c r="L182" s="10">
        <f t="shared" si="74"/>
        <v>1.3613962479919404</v>
      </c>
      <c r="M182" s="12">
        <f t="shared" si="75"/>
        <v>7.8947368421052628</v>
      </c>
      <c r="N182" s="13">
        <f t="shared" si="76"/>
        <v>0.98039215686274506</v>
      </c>
    </row>
    <row r="183" spans="1:14">
      <c r="A183" s="6">
        <v>182</v>
      </c>
      <c r="B183" s="14">
        <v>44517</v>
      </c>
      <c r="C183" s="15">
        <v>114224</v>
      </c>
      <c r="D183" s="16">
        <v>6.399</v>
      </c>
      <c r="E183" s="16">
        <v>150</v>
      </c>
      <c r="F183" s="16" t="s">
        <v>918</v>
      </c>
      <c r="G183" s="10">
        <f t="shared" si="69"/>
        <v>23.44116268166901</v>
      </c>
      <c r="H183" s="11">
        <f t="shared" si="70"/>
        <v>64</v>
      </c>
      <c r="I183" s="10">
        <f t="shared" si="71"/>
        <v>21</v>
      </c>
      <c r="J183" s="10">
        <f t="shared" si="72"/>
        <v>5.7590857142857148</v>
      </c>
      <c r="K183" s="10">
        <f t="shared" si="73"/>
        <v>3.0476190476190474</v>
      </c>
      <c r="L183" s="10">
        <f t="shared" si="74"/>
        <v>0.52918452664444093</v>
      </c>
      <c r="M183" s="12">
        <f t="shared" si="75"/>
        <v>3.3333333333333335</v>
      </c>
      <c r="N183" s="13">
        <f t="shared" si="76"/>
        <v>1.09375</v>
      </c>
    </row>
    <row r="184" spans="1:14">
      <c r="A184" s="6">
        <v>183</v>
      </c>
      <c r="B184" s="14">
        <v>44536</v>
      </c>
      <c r="C184" s="15">
        <v>114371</v>
      </c>
      <c r="D184" s="16">
        <v>6.5990000000000002</v>
      </c>
      <c r="E184" s="16">
        <v>100</v>
      </c>
      <c r="F184" s="16" t="s">
        <v>918</v>
      </c>
      <c r="G184" s="10">
        <f t="shared" si="69"/>
        <v>15.153811183512653</v>
      </c>
      <c r="H184" s="11">
        <f t="shared" si="70"/>
        <v>147</v>
      </c>
      <c r="I184" s="10">
        <f t="shared" si="71"/>
        <v>19</v>
      </c>
      <c r="J184" s="10">
        <f t="shared" si="72"/>
        <v>6.27102</v>
      </c>
      <c r="K184" s="10">
        <f t="shared" si="73"/>
        <v>7.7368421052631575</v>
      </c>
      <c r="L184" s="10">
        <f t="shared" si="74"/>
        <v>1.2337454042983689</v>
      </c>
      <c r="M184" s="12">
        <f t="shared" si="75"/>
        <v>7.8947368421052628</v>
      </c>
      <c r="N184" s="13">
        <f t="shared" si="76"/>
        <v>1.0204081632653061</v>
      </c>
    </row>
    <row r="185" spans="1:14">
      <c r="A185" s="6">
        <v>184</v>
      </c>
      <c r="B185" s="14">
        <v>44552</v>
      </c>
      <c r="C185" s="15">
        <v>114447</v>
      </c>
      <c r="D185" s="16">
        <v>6.6</v>
      </c>
      <c r="E185" s="16">
        <v>100</v>
      </c>
      <c r="F185" s="16" t="s">
        <v>918</v>
      </c>
      <c r="G185" s="10">
        <f t="shared" si="69"/>
        <v>15.151515151515152</v>
      </c>
      <c r="H185" s="11">
        <f t="shared" si="70"/>
        <v>76</v>
      </c>
      <c r="I185" s="10">
        <f t="shared" si="71"/>
        <v>16</v>
      </c>
      <c r="J185" s="10">
        <f t="shared" si="72"/>
        <v>5.0152400000000004</v>
      </c>
      <c r="K185" s="10">
        <f t="shared" si="73"/>
        <v>4.75</v>
      </c>
      <c r="L185" s="10">
        <f t="shared" si="74"/>
        <v>0.94711319896954083</v>
      </c>
      <c r="M185" s="12">
        <f t="shared" si="75"/>
        <v>6.25</v>
      </c>
      <c r="N185" s="13">
        <f t="shared" si="76"/>
        <v>1.3157894736842106</v>
      </c>
    </row>
    <row r="186" spans="1:14">
      <c r="A186" s="6">
        <v>185</v>
      </c>
      <c r="B186" s="14">
        <v>44578</v>
      </c>
      <c r="C186" s="15">
        <v>114514</v>
      </c>
      <c r="D186" s="16">
        <v>6.6989999999999998</v>
      </c>
      <c r="E186" s="16">
        <v>100</v>
      </c>
      <c r="F186" s="16" t="s">
        <v>918</v>
      </c>
      <c r="G186" s="10">
        <f t="shared" si="69"/>
        <v>14.927601134497687</v>
      </c>
      <c r="H186" s="11">
        <f t="shared" si="70"/>
        <v>67</v>
      </c>
      <c r="I186" s="10">
        <f t="shared" si="71"/>
        <v>26</v>
      </c>
      <c r="J186" s="10">
        <f t="shared" si="72"/>
        <v>4.4219999999999997</v>
      </c>
      <c r="K186" s="10">
        <f t="shared" si="73"/>
        <v>2.5769230769230771</v>
      </c>
      <c r="L186" s="10">
        <f t="shared" si="74"/>
        <v>0.58275058275058278</v>
      </c>
      <c r="M186" s="12">
        <f t="shared" si="75"/>
        <v>3.8461538461538463</v>
      </c>
      <c r="N186" s="13">
        <f t="shared" si="76"/>
        <v>1.4925373134328359</v>
      </c>
    </row>
    <row r="187" spans="1:14">
      <c r="A187" s="6">
        <v>186</v>
      </c>
      <c r="B187" s="14">
        <v>44602</v>
      </c>
      <c r="C187" s="15">
        <v>114720</v>
      </c>
      <c r="D187" s="16">
        <v>6.0990000000000002</v>
      </c>
      <c r="E187" s="16">
        <v>100</v>
      </c>
      <c r="F187" s="16" t="s">
        <v>918</v>
      </c>
      <c r="G187" s="10">
        <f t="shared" si="69"/>
        <v>16.396130513198884</v>
      </c>
      <c r="H187" s="11">
        <f t="shared" si="70"/>
        <v>206</v>
      </c>
      <c r="I187" s="10">
        <f t="shared" si="71"/>
        <v>24</v>
      </c>
      <c r="J187" s="10">
        <f t="shared" si="72"/>
        <v>13.799939999999999</v>
      </c>
      <c r="K187" s="10">
        <f t="shared" si="73"/>
        <v>8.5833333333333339</v>
      </c>
      <c r="L187" s="10">
        <f t="shared" si="74"/>
        <v>0.62198338060407032</v>
      </c>
      <c r="M187" s="12">
        <f t="shared" si="75"/>
        <v>4.166666666666667</v>
      </c>
      <c r="N187" s="13">
        <f t="shared" si="76"/>
        <v>0.4854368932038835</v>
      </c>
    </row>
    <row r="188" spans="1:14">
      <c r="A188" s="6">
        <v>187</v>
      </c>
      <c r="B188" s="14">
        <v>44616</v>
      </c>
      <c r="C188" s="15">
        <v>114805</v>
      </c>
      <c r="D188" s="16">
        <v>6.49</v>
      </c>
      <c r="E188" s="16">
        <v>100</v>
      </c>
      <c r="F188" s="16" t="s">
        <v>918</v>
      </c>
      <c r="G188" s="10">
        <f t="shared" si="69"/>
        <v>15.408320493066256</v>
      </c>
      <c r="H188" s="11">
        <f t="shared" si="70"/>
        <v>85</v>
      </c>
      <c r="I188" s="10">
        <f t="shared" si="71"/>
        <v>14</v>
      </c>
      <c r="J188" s="10">
        <f t="shared" si="72"/>
        <v>5.1841500000000007</v>
      </c>
      <c r="K188" s="10">
        <f t="shared" si="73"/>
        <v>6.0714285714285712</v>
      </c>
      <c r="L188" s="10">
        <f t="shared" si="74"/>
        <v>1.1711521795142059</v>
      </c>
      <c r="M188" s="12">
        <f t="shared" si="75"/>
        <v>7.1428571428571432</v>
      </c>
      <c r="N188" s="13">
        <f t="shared" si="76"/>
        <v>1.1764705882352942</v>
      </c>
    </row>
    <row r="189" spans="1:14">
      <c r="A189" s="6">
        <v>188</v>
      </c>
      <c r="B189" s="14">
        <v>44644</v>
      </c>
      <c r="C189" s="15">
        <v>114905</v>
      </c>
      <c r="D189" s="16">
        <v>6.899</v>
      </c>
      <c r="E189" s="16">
        <v>130</v>
      </c>
      <c r="F189" s="16" t="s">
        <v>918</v>
      </c>
      <c r="G189" s="10">
        <f t="shared" si="69"/>
        <v>18.843310624728222</v>
      </c>
      <c r="H189" s="11">
        <f t="shared" si="70"/>
        <v>100</v>
      </c>
      <c r="I189" s="10">
        <f t="shared" si="71"/>
        <v>28</v>
      </c>
      <c r="J189" s="10">
        <f t="shared" si="72"/>
        <v>6.49</v>
      </c>
      <c r="K189" s="10">
        <f t="shared" si="73"/>
        <v>3.5714285714285716</v>
      </c>
      <c r="L189" s="10">
        <f t="shared" si="74"/>
        <v>0.550297160466652</v>
      </c>
      <c r="M189" s="12">
        <f t="shared" si="75"/>
        <v>3.5714285714285716</v>
      </c>
      <c r="N189" s="13">
        <f t="shared" si="76"/>
        <v>1</v>
      </c>
    </row>
    <row r="190" spans="1:14">
      <c r="A190" s="6">
        <v>189</v>
      </c>
      <c r="B190" s="14">
        <v>44657</v>
      </c>
      <c r="C190" s="15">
        <v>115020</v>
      </c>
      <c r="D190" s="16">
        <v>6.99</v>
      </c>
      <c r="E190" s="16">
        <v>150</v>
      </c>
      <c r="F190" s="16" t="s">
        <v>918</v>
      </c>
      <c r="G190" s="10">
        <f t="shared" si="69"/>
        <v>21.459227467811157</v>
      </c>
      <c r="H190" s="11">
        <f t="shared" si="70"/>
        <v>115</v>
      </c>
      <c r="I190" s="10">
        <f t="shared" si="71"/>
        <v>13</v>
      </c>
      <c r="J190" s="10">
        <f t="shared" si="72"/>
        <v>6.1029615384615381</v>
      </c>
      <c r="K190" s="10">
        <f t="shared" si="73"/>
        <v>8.8461538461538467</v>
      </c>
      <c r="L190" s="10">
        <f t="shared" si="74"/>
        <v>1.4494854326714017</v>
      </c>
      <c r="M190" s="12">
        <f t="shared" si="75"/>
        <v>10</v>
      </c>
      <c r="N190" s="13">
        <f t="shared" si="76"/>
        <v>1.1304347826086956</v>
      </c>
    </row>
    <row r="191" spans="1:14">
      <c r="A191" s="6">
        <v>190</v>
      </c>
      <c r="B191" s="14">
        <v>44669</v>
      </c>
      <c r="C191" s="15">
        <v>115117</v>
      </c>
      <c r="D191" s="16">
        <v>6.9989999999999997</v>
      </c>
      <c r="E191" s="16">
        <v>50</v>
      </c>
      <c r="F191" s="16" t="s">
        <v>918</v>
      </c>
      <c r="G191" s="10">
        <f t="shared" si="69"/>
        <v>7.1438776968138304</v>
      </c>
      <c r="H191" s="11">
        <f t="shared" si="70"/>
        <v>97</v>
      </c>
      <c r="I191" s="10">
        <f t="shared" si="71"/>
        <v>12</v>
      </c>
      <c r="J191" s="10">
        <f t="shared" si="72"/>
        <v>4.5202</v>
      </c>
      <c r="K191" s="10">
        <f t="shared" si="73"/>
        <v>8.0833333333333339</v>
      </c>
      <c r="L191" s="10">
        <f t="shared" si="74"/>
        <v>1.7882689556509297</v>
      </c>
      <c r="M191" s="12">
        <f t="shared" si="75"/>
        <v>12.5</v>
      </c>
      <c r="N191" s="13">
        <f t="shared" si="76"/>
        <v>1.5463917525773196</v>
      </c>
    </row>
    <row r="192" spans="1:14">
      <c r="A192" s="6">
        <v>191</v>
      </c>
      <c r="B192" s="14">
        <v>44672</v>
      </c>
      <c r="C192" s="15">
        <v>115170</v>
      </c>
      <c r="D192" s="16">
        <v>6.9989999999999997</v>
      </c>
      <c r="E192" s="16">
        <v>100</v>
      </c>
      <c r="F192" s="16" t="s">
        <v>918</v>
      </c>
      <c r="G192" s="10">
        <f t="shared" si="69"/>
        <v>14.287755393627661</v>
      </c>
      <c r="H192" s="11">
        <f t="shared" si="70"/>
        <v>53</v>
      </c>
      <c r="I192" s="10">
        <f t="shared" si="71"/>
        <v>3</v>
      </c>
      <c r="J192" s="10">
        <f t="shared" si="72"/>
        <v>7.4189400000000001</v>
      </c>
      <c r="K192" s="10">
        <f t="shared" si="73"/>
        <v>17.666666666666668</v>
      </c>
      <c r="L192" s="10">
        <f t="shared" si="74"/>
        <v>2.38129256560461</v>
      </c>
      <c r="M192" s="12">
        <f t="shared" si="75"/>
        <v>16.666666666666668</v>
      </c>
      <c r="N192" s="13">
        <f t="shared" si="76"/>
        <v>0.94339622641509435</v>
      </c>
    </row>
    <row r="193" spans="1:14">
      <c r="A193" s="6">
        <v>192</v>
      </c>
      <c r="B193" s="14">
        <v>44681</v>
      </c>
      <c r="C193" s="15">
        <v>115270</v>
      </c>
      <c r="D193" s="16">
        <v>6.9989999999999997</v>
      </c>
      <c r="E193" s="16">
        <v>120</v>
      </c>
      <c r="F193" s="16" t="s">
        <v>918</v>
      </c>
      <c r="G193" s="10">
        <f t="shared" si="69"/>
        <v>17.145306472353194</v>
      </c>
      <c r="H193" s="11">
        <f t="shared" si="70"/>
        <v>100</v>
      </c>
      <c r="I193" s="10">
        <f t="shared" si="71"/>
        <v>9</v>
      </c>
      <c r="J193" s="10">
        <f t="shared" si="72"/>
        <v>6.9989999999999997</v>
      </c>
      <c r="K193" s="10">
        <f t="shared" si="73"/>
        <v>11.111111111111111</v>
      </c>
      <c r="L193" s="10">
        <f t="shared" si="74"/>
        <v>1.5875283770697401</v>
      </c>
      <c r="M193" s="12">
        <f t="shared" si="75"/>
        <v>11.111111111111111</v>
      </c>
      <c r="N193" s="13">
        <f t="shared" si="76"/>
        <v>1</v>
      </c>
    </row>
    <row r="194" spans="1:14">
      <c r="A194" s="6">
        <v>193</v>
      </c>
      <c r="B194" s="14">
        <v>44711</v>
      </c>
      <c r="C194" s="15">
        <v>115492</v>
      </c>
      <c r="D194" s="16">
        <v>6.9989999999999997</v>
      </c>
      <c r="E194" s="16">
        <v>120</v>
      </c>
      <c r="F194" s="16" t="s">
        <v>918</v>
      </c>
      <c r="G194" s="10">
        <f t="shared" si="69"/>
        <v>17.145306472353194</v>
      </c>
      <c r="H194" s="11">
        <f t="shared" si="70"/>
        <v>222</v>
      </c>
      <c r="I194" s="10">
        <f t="shared" si="71"/>
        <v>30</v>
      </c>
      <c r="J194" s="10">
        <f t="shared" si="72"/>
        <v>12.948149999999998</v>
      </c>
      <c r="K194" s="10">
        <f t="shared" si="73"/>
        <v>7.4</v>
      </c>
      <c r="L194" s="10">
        <f t="shared" si="74"/>
        <v>0.57151021574510652</v>
      </c>
      <c r="M194" s="12">
        <f t="shared" si="75"/>
        <v>4</v>
      </c>
      <c r="N194" s="13">
        <f t="shared" si="76"/>
        <v>0.54054054054054057</v>
      </c>
    </row>
    <row r="195" spans="1:14">
      <c r="A195" s="6">
        <v>194</v>
      </c>
      <c r="B195" s="14">
        <v>44722</v>
      </c>
      <c r="C195" s="15">
        <v>115603</v>
      </c>
      <c r="D195" s="16">
        <v>6.58</v>
      </c>
      <c r="E195" s="16">
        <v>130</v>
      </c>
      <c r="F195" s="16" t="s">
        <v>918</v>
      </c>
      <c r="G195" s="10">
        <f t="shared" si="69"/>
        <v>19.756838905775076</v>
      </c>
      <c r="H195" s="11">
        <f t="shared" si="70"/>
        <v>111</v>
      </c>
      <c r="I195" s="10">
        <f t="shared" si="71"/>
        <v>11</v>
      </c>
      <c r="J195" s="10">
        <f t="shared" si="72"/>
        <v>6.4740749999999991</v>
      </c>
      <c r="K195" s="10">
        <f t="shared" si="73"/>
        <v>10.090909090909092</v>
      </c>
      <c r="L195" s="10">
        <f t="shared" si="74"/>
        <v>1.5586642247593814</v>
      </c>
      <c r="M195" s="12">
        <f t="shared" si="75"/>
        <v>10.909090909090908</v>
      </c>
      <c r="N195" s="13">
        <f t="shared" si="76"/>
        <v>1.0810810810810811</v>
      </c>
    </row>
    <row r="196" spans="1:14">
      <c r="A196" s="6">
        <v>195</v>
      </c>
      <c r="B196" s="14">
        <v>44751</v>
      </c>
      <c r="C196" s="15">
        <v>115861</v>
      </c>
      <c r="D196" s="16">
        <v>5.89</v>
      </c>
      <c r="E196" s="16">
        <v>120</v>
      </c>
      <c r="F196" s="16" t="s">
        <v>918</v>
      </c>
      <c r="G196" s="10">
        <f t="shared" si="69"/>
        <v>20.373514431239389</v>
      </c>
      <c r="H196" s="11">
        <f t="shared" si="70"/>
        <v>258</v>
      </c>
      <c r="I196" s="10">
        <f t="shared" si="71"/>
        <v>29</v>
      </c>
      <c r="J196" s="10">
        <f t="shared" si="72"/>
        <v>13.058769230769231</v>
      </c>
      <c r="K196" s="10">
        <f t="shared" si="73"/>
        <v>8.8965517241379306</v>
      </c>
      <c r="L196" s="10">
        <f t="shared" si="74"/>
        <v>0.68127030709569225</v>
      </c>
      <c r="M196" s="12">
        <f t="shared" si="75"/>
        <v>4.4827586206896548</v>
      </c>
      <c r="N196" s="13">
        <f t="shared" si="76"/>
        <v>0.50387596899224807</v>
      </c>
    </row>
    <row r="197" spans="1:14">
      <c r="A197" s="6">
        <v>196</v>
      </c>
      <c r="B197" s="14">
        <v>44759</v>
      </c>
      <c r="C197" s="15">
        <v>115920</v>
      </c>
      <c r="D197" s="16">
        <v>5.79</v>
      </c>
      <c r="E197" s="16">
        <v>120</v>
      </c>
      <c r="F197" s="16" t="s">
        <v>918</v>
      </c>
      <c r="G197" s="10">
        <f t="shared" si="69"/>
        <v>20.725388601036268</v>
      </c>
      <c r="H197" s="11">
        <f t="shared" si="70"/>
        <v>59</v>
      </c>
      <c r="I197" s="10">
        <f t="shared" si="71"/>
        <v>8</v>
      </c>
      <c r="J197" s="10">
        <f t="shared" si="72"/>
        <v>2.8959166666666665</v>
      </c>
      <c r="K197" s="10">
        <f t="shared" si="73"/>
        <v>7.375</v>
      </c>
      <c r="L197" s="10">
        <f t="shared" si="74"/>
        <v>2.5466893039049237</v>
      </c>
      <c r="M197" s="12">
        <f t="shared" si="75"/>
        <v>15</v>
      </c>
      <c r="N197" s="13">
        <f t="shared" si="76"/>
        <v>2.0338983050847457</v>
      </c>
    </row>
    <row r="198" spans="1:14">
      <c r="A198" s="6">
        <v>197</v>
      </c>
      <c r="B198" s="14">
        <v>44786</v>
      </c>
      <c r="C198" s="15">
        <v>116130</v>
      </c>
      <c r="D198" s="16">
        <v>5.29</v>
      </c>
      <c r="E198" s="16">
        <v>70</v>
      </c>
      <c r="F198" s="16" t="s">
        <v>918</v>
      </c>
      <c r="G198" s="10">
        <f t="shared" si="69"/>
        <v>13.232514177693762</v>
      </c>
      <c r="H198" s="11">
        <f t="shared" si="70"/>
        <v>210</v>
      </c>
      <c r="I198" s="10">
        <f t="shared" si="71"/>
        <v>27</v>
      </c>
      <c r="J198" s="10">
        <f t="shared" si="72"/>
        <v>10.1325</v>
      </c>
      <c r="K198" s="10">
        <f t="shared" si="73"/>
        <v>7.7777777777777777</v>
      </c>
      <c r="L198" s="10">
        <f t="shared" si="74"/>
        <v>0.76760698522356552</v>
      </c>
      <c r="M198" s="12">
        <f t="shared" si="75"/>
        <v>4.4444444444444446</v>
      </c>
      <c r="N198" s="13">
        <f t="shared" si="76"/>
        <v>0.5714285714285714</v>
      </c>
    </row>
    <row r="199" spans="1:14">
      <c r="A199" s="6">
        <v>198</v>
      </c>
      <c r="B199" s="14">
        <v>44787</v>
      </c>
      <c r="C199" s="15">
        <v>116225</v>
      </c>
      <c r="D199" s="16">
        <v>4.6900000000000004</v>
      </c>
      <c r="E199" s="16">
        <v>150</v>
      </c>
      <c r="F199" s="16" t="s">
        <v>918</v>
      </c>
      <c r="G199" s="10">
        <f t="shared" si="69"/>
        <v>31.982942430703623</v>
      </c>
      <c r="H199" s="11">
        <f t="shared" si="70"/>
        <v>95</v>
      </c>
      <c r="I199" s="10">
        <f t="shared" si="71"/>
        <v>1</v>
      </c>
      <c r="J199" s="10">
        <f t="shared" si="72"/>
        <v>7.1792857142857143</v>
      </c>
      <c r="K199" s="10">
        <f t="shared" si="73"/>
        <v>95</v>
      </c>
      <c r="L199" s="10">
        <f t="shared" si="74"/>
        <v>13.232514177693762</v>
      </c>
      <c r="M199" s="12">
        <f t="shared" si="75"/>
        <v>70</v>
      </c>
      <c r="N199" s="13">
        <f t="shared" si="76"/>
        <v>0.73684210526315785</v>
      </c>
    </row>
    <row r="200" spans="1:14">
      <c r="A200" s="6">
        <v>199</v>
      </c>
      <c r="B200" s="14">
        <v>44817</v>
      </c>
      <c r="C200" s="15">
        <v>116354</v>
      </c>
      <c r="D200" s="16">
        <v>4.29</v>
      </c>
      <c r="E200" s="16">
        <v>120</v>
      </c>
      <c r="F200" s="16" t="s">
        <v>918</v>
      </c>
      <c r="G200" s="10">
        <f t="shared" si="69"/>
        <v>27.972027972027973</v>
      </c>
      <c r="H200" s="11">
        <f t="shared" si="70"/>
        <v>129</v>
      </c>
      <c r="I200" s="10">
        <f t="shared" si="71"/>
        <v>30</v>
      </c>
      <c r="J200" s="10">
        <f t="shared" si="72"/>
        <v>4.0334000000000003</v>
      </c>
      <c r="K200" s="10">
        <f t="shared" si="73"/>
        <v>4.3</v>
      </c>
      <c r="L200" s="10">
        <f t="shared" si="74"/>
        <v>1.0660980810234542</v>
      </c>
      <c r="M200" s="12">
        <f t="shared" si="75"/>
        <v>5</v>
      </c>
      <c r="N200" s="13">
        <f t="shared" si="76"/>
        <v>1.1627906976744187</v>
      </c>
    </row>
    <row r="201" spans="1:14">
      <c r="A201" s="6">
        <v>200</v>
      </c>
      <c r="B201" s="14">
        <v>44857</v>
      </c>
      <c r="C201" s="15">
        <v>116519</v>
      </c>
      <c r="D201" s="16">
        <v>4.6900000000000004</v>
      </c>
      <c r="E201" s="16">
        <v>200</v>
      </c>
      <c r="F201" s="16" t="s">
        <v>918</v>
      </c>
      <c r="G201" s="10">
        <f t="shared" si="69"/>
        <v>42.643923240938165</v>
      </c>
      <c r="H201" s="11">
        <f t="shared" si="70"/>
        <v>165</v>
      </c>
      <c r="I201" s="10">
        <f t="shared" si="71"/>
        <v>40</v>
      </c>
      <c r="J201" s="10">
        <f t="shared" si="72"/>
        <v>5.8987499999999997</v>
      </c>
      <c r="K201" s="10">
        <f t="shared" si="73"/>
        <v>4.125</v>
      </c>
      <c r="L201" s="10">
        <f t="shared" si="74"/>
        <v>0.69930069930069938</v>
      </c>
      <c r="M201" s="12">
        <f t="shared" si="75"/>
        <v>3</v>
      </c>
      <c r="N201" s="13">
        <f t="shared" si="76"/>
        <v>0.72727272727272729</v>
      </c>
    </row>
    <row r="202" spans="1:14">
      <c r="A202" s="6">
        <v>201</v>
      </c>
      <c r="B202" s="14">
        <v>44905</v>
      </c>
      <c r="C202" s="15">
        <v>116729</v>
      </c>
      <c r="D202" s="16">
        <v>4.3899999999999997</v>
      </c>
      <c r="E202" s="16">
        <v>150</v>
      </c>
      <c r="F202" s="16" t="s">
        <v>918</v>
      </c>
      <c r="G202" s="10">
        <f t="shared" ref="G202:G256" si="77">IF(E202&lt;&gt;"",E202/D202,"")</f>
        <v>34.168564920273354</v>
      </c>
      <c r="H202" s="11">
        <f t="shared" ref="H202:H227" si="78">IF(C202="","",C202-C201)</f>
        <v>210</v>
      </c>
      <c r="I202" s="10">
        <f t="shared" ref="I202:I227" si="79">IF(B202="","",B202-B201)</f>
        <v>48</v>
      </c>
      <c r="J202" s="10">
        <f t="shared" ref="J202:J227" si="80">IF(H202="","",H202/G201)</f>
        <v>4.9245000000000001</v>
      </c>
      <c r="K202" s="10">
        <f t="shared" ref="K202:K227" si="81">IF(H202&lt;&gt;"",IF(I202&gt;0,H202/I202,H202),"" )</f>
        <v>4.375</v>
      </c>
      <c r="L202" s="10">
        <f t="shared" ref="L202:L227" si="82">IF(I202="","",IF(I202=0,G202,G201/I202))</f>
        <v>0.88841506751954513</v>
      </c>
      <c r="M202" s="12">
        <f t="shared" ref="M202:M227" si="83">IF(I202="","",IF(I202=0,E201,E201/I202))</f>
        <v>4.166666666666667</v>
      </c>
      <c r="N202" s="13">
        <f t="shared" ref="N202:N227" si="84">IF(H202="","",E201/H202)</f>
        <v>0.95238095238095233</v>
      </c>
    </row>
    <row r="203" spans="1:14">
      <c r="A203" s="6">
        <v>202</v>
      </c>
      <c r="B203" s="14">
        <v>44968</v>
      </c>
      <c r="C203" s="15">
        <v>116885</v>
      </c>
      <c r="D203" s="16">
        <v>4.79</v>
      </c>
      <c r="E203" s="16">
        <v>100</v>
      </c>
      <c r="F203" s="16" t="s">
        <v>918</v>
      </c>
      <c r="G203" s="10">
        <f t="shared" si="77"/>
        <v>20.876826722338205</v>
      </c>
      <c r="H203" s="11">
        <f t="shared" si="78"/>
        <v>156</v>
      </c>
      <c r="I203" s="10">
        <f t="shared" si="79"/>
        <v>63</v>
      </c>
      <c r="J203" s="10">
        <f t="shared" si="80"/>
        <v>4.565599999999999</v>
      </c>
      <c r="K203" s="10">
        <f t="shared" si="81"/>
        <v>2.4761904761904763</v>
      </c>
      <c r="L203" s="10">
        <f t="shared" si="82"/>
        <v>0.54235817333767233</v>
      </c>
      <c r="M203" s="12">
        <f t="shared" si="83"/>
        <v>2.3809523809523809</v>
      </c>
      <c r="N203" s="13">
        <f t="shared" si="84"/>
        <v>0.96153846153846156</v>
      </c>
    </row>
    <row r="204" spans="1:14">
      <c r="A204" s="6">
        <v>203</v>
      </c>
      <c r="B204" s="14">
        <v>44987</v>
      </c>
      <c r="C204" s="15">
        <v>116983</v>
      </c>
      <c r="D204" s="16">
        <v>4.6900000000000004</v>
      </c>
      <c r="E204" s="16">
        <v>100</v>
      </c>
      <c r="F204" s="16" t="s">
        <v>918</v>
      </c>
      <c r="G204" s="10">
        <f t="shared" si="77"/>
        <v>21.321961620469082</v>
      </c>
      <c r="H204" s="11">
        <f t="shared" si="78"/>
        <v>98</v>
      </c>
      <c r="I204" s="10">
        <f t="shared" si="79"/>
        <v>19</v>
      </c>
      <c r="J204" s="10">
        <f t="shared" si="80"/>
        <v>4.6942000000000004</v>
      </c>
      <c r="K204" s="10">
        <f t="shared" si="81"/>
        <v>5.1578947368421053</v>
      </c>
      <c r="L204" s="10">
        <f t="shared" si="82"/>
        <v>1.098780353807274</v>
      </c>
      <c r="M204" s="12">
        <f t="shared" si="83"/>
        <v>5.2631578947368425</v>
      </c>
      <c r="N204" s="13">
        <f t="shared" si="84"/>
        <v>1.0204081632653061</v>
      </c>
    </row>
    <row r="205" spans="1:14">
      <c r="A205" s="6">
        <v>204</v>
      </c>
      <c r="B205" s="14">
        <v>44995</v>
      </c>
      <c r="C205" s="15">
        <v>117054</v>
      </c>
      <c r="D205" s="16">
        <v>4.8899999999999997</v>
      </c>
      <c r="E205" s="16">
        <v>130</v>
      </c>
      <c r="F205" s="16" t="s">
        <v>918</v>
      </c>
      <c r="G205" s="10">
        <f t="shared" si="77"/>
        <v>26.584867075664622</v>
      </c>
      <c r="H205" s="11">
        <f t="shared" si="78"/>
        <v>71</v>
      </c>
      <c r="I205" s="10">
        <f t="shared" si="79"/>
        <v>8</v>
      </c>
      <c r="J205" s="10">
        <f t="shared" si="80"/>
        <v>3.3299000000000003</v>
      </c>
      <c r="K205" s="10">
        <f t="shared" si="81"/>
        <v>8.875</v>
      </c>
      <c r="L205" s="10">
        <f t="shared" si="82"/>
        <v>2.6652452025586353</v>
      </c>
      <c r="M205" s="12">
        <f t="shared" si="83"/>
        <v>12.5</v>
      </c>
      <c r="N205" s="13">
        <f t="shared" si="84"/>
        <v>1.408450704225352</v>
      </c>
    </row>
    <row r="206" spans="1:14">
      <c r="A206" s="6">
        <v>205</v>
      </c>
      <c r="B206" s="14">
        <v>45047</v>
      </c>
      <c r="C206" s="15">
        <v>117193</v>
      </c>
      <c r="D206" s="16">
        <v>4.79</v>
      </c>
      <c r="E206" s="16">
        <v>100</v>
      </c>
      <c r="F206" s="16" t="s">
        <v>918</v>
      </c>
      <c r="G206" s="10">
        <f t="shared" si="77"/>
        <v>20.876826722338205</v>
      </c>
      <c r="H206" s="11">
        <f t="shared" si="78"/>
        <v>139</v>
      </c>
      <c r="I206" s="10">
        <f t="shared" si="79"/>
        <v>52</v>
      </c>
      <c r="J206" s="10">
        <f t="shared" si="80"/>
        <v>5.2285384615384611</v>
      </c>
      <c r="K206" s="10">
        <f t="shared" si="81"/>
        <v>2.6730769230769229</v>
      </c>
      <c r="L206" s="10">
        <f t="shared" si="82"/>
        <v>0.5112474437627812</v>
      </c>
      <c r="M206" s="12">
        <f t="shared" si="83"/>
        <v>2.5</v>
      </c>
      <c r="N206" s="13">
        <f t="shared" si="84"/>
        <v>0.93525179856115104</v>
      </c>
    </row>
    <row r="207" spans="1:14">
      <c r="A207" s="6">
        <v>206</v>
      </c>
      <c r="B207" s="14">
        <v>45087</v>
      </c>
      <c r="C207" s="15">
        <v>117301</v>
      </c>
      <c r="D207" s="16">
        <v>4.8899999999999997</v>
      </c>
      <c r="E207" s="16">
        <v>120</v>
      </c>
      <c r="F207" s="16" t="s">
        <v>918</v>
      </c>
      <c r="G207" s="10">
        <f t="shared" si="77"/>
        <v>24.539877300613497</v>
      </c>
      <c r="H207" s="11">
        <f t="shared" si="78"/>
        <v>108</v>
      </c>
      <c r="I207" s="10">
        <f t="shared" si="79"/>
        <v>40</v>
      </c>
      <c r="J207" s="10">
        <f t="shared" si="80"/>
        <v>5.1731999999999996</v>
      </c>
      <c r="K207" s="10">
        <f t="shared" si="81"/>
        <v>2.7</v>
      </c>
      <c r="L207" s="10">
        <f t="shared" si="82"/>
        <v>0.52192066805845516</v>
      </c>
      <c r="M207" s="12">
        <f t="shared" si="83"/>
        <v>2.5</v>
      </c>
      <c r="N207" s="13">
        <f t="shared" si="84"/>
        <v>0.92592592592592593</v>
      </c>
    </row>
    <row r="208" spans="1:14">
      <c r="A208" s="6">
        <v>207</v>
      </c>
      <c r="B208" s="14">
        <v>45108</v>
      </c>
      <c r="C208" s="15">
        <v>117451</v>
      </c>
      <c r="D208" s="16">
        <v>4.74</v>
      </c>
      <c r="E208" s="16">
        <v>150</v>
      </c>
      <c r="F208" s="16" t="s">
        <v>918</v>
      </c>
      <c r="G208" s="10">
        <f t="shared" si="77"/>
        <v>31.645569620253163</v>
      </c>
      <c r="H208" s="11">
        <f t="shared" si="78"/>
        <v>150</v>
      </c>
      <c r="I208" s="10">
        <f t="shared" si="79"/>
        <v>21</v>
      </c>
      <c r="J208" s="10">
        <f t="shared" si="80"/>
        <v>6.1124999999999998</v>
      </c>
      <c r="K208" s="10">
        <f t="shared" si="81"/>
        <v>7.1428571428571432</v>
      </c>
      <c r="L208" s="10">
        <f t="shared" si="82"/>
        <v>1.1685655857434998</v>
      </c>
      <c r="M208" s="12">
        <f t="shared" si="83"/>
        <v>5.7142857142857144</v>
      </c>
      <c r="N208" s="13">
        <f t="shared" si="84"/>
        <v>0.8</v>
      </c>
    </row>
    <row r="209" spans="1:14">
      <c r="A209" s="6">
        <v>208</v>
      </c>
      <c r="B209" s="14">
        <v>45129</v>
      </c>
      <c r="C209" s="15">
        <v>117596</v>
      </c>
      <c r="D209" s="16">
        <v>4.8899999999999997</v>
      </c>
      <c r="E209" s="16">
        <v>100</v>
      </c>
      <c r="F209" s="16" t="s">
        <v>918</v>
      </c>
      <c r="G209" s="10">
        <f t="shared" si="77"/>
        <v>20.449897750511248</v>
      </c>
      <c r="H209" s="11">
        <f t="shared" si="78"/>
        <v>145</v>
      </c>
      <c r="I209" s="10">
        <f t="shared" si="79"/>
        <v>21</v>
      </c>
      <c r="J209" s="10">
        <f t="shared" si="80"/>
        <v>4.5819999999999999</v>
      </c>
      <c r="K209" s="10">
        <f t="shared" si="81"/>
        <v>6.9047619047619051</v>
      </c>
      <c r="L209" s="10">
        <f t="shared" si="82"/>
        <v>1.506931886678722</v>
      </c>
      <c r="M209" s="12">
        <f t="shared" si="83"/>
        <v>7.1428571428571432</v>
      </c>
      <c r="N209" s="13">
        <f t="shared" si="84"/>
        <v>1.0344827586206897</v>
      </c>
    </row>
    <row r="210" spans="1:14">
      <c r="A210" s="6">
        <v>209</v>
      </c>
      <c r="B210" s="14">
        <v>45162</v>
      </c>
      <c r="C210" s="15">
        <v>117740</v>
      </c>
      <c r="D210" s="16">
        <v>4.99</v>
      </c>
      <c r="E210" s="16">
        <v>100</v>
      </c>
      <c r="F210" s="16" t="s">
        <v>918</v>
      </c>
      <c r="G210" s="10">
        <f t="shared" si="77"/>
        <v>20.040080160320642</v>
      </c>
      <c r="H210" s="11">
        <f t="shared" si="78"/>
        <v>144</v>
      </c>
      <c r="I210" s="10">
        <f t="shared" si="79"/>
        <v>33</v>
      </c>
      <c r="J210" s="10">
        <f t="shared" si="80"/>
        <v>7.0415999999999999</v>
      </c>
      <c r="K210" s="10">
        <f t="shared" si="81"/>
        <v>4.3636363636363633</v>
      </c>
      <c r="L210" s="10">
        <f t="shared" si="82"/>
        <v>0.61969387122761355</v>
      </c>
      <c r="M210" s="12">
        <f t="shared" si="83"/>
        <v>3.0303030303030303</v>
      </c>
      <c r="N210" s="13">
        <f t="shared" si="84"/>
        <v>0.69444444444444442</v>
      </c>
    </row>
    <row r="211" spans="1:14">
      <c r="A211" s="6">
        <v>210</v>
      </c>
      <c r="B211" s="14">
        <v>45170</v>
      </c>
      <c r="C211" s="15">
        <v>117830</v>
      </c>
      <c r="D211" s="16">
        <v>4.99</v>
      </c>
      <c r="E211" s="16">
        <v>130</v>
      </c>
      <c r="F211" s="16" t="s">
        <v>918</v>
      </c>
      <c r="G211" s="10">
        <f t="shared" si="77"/>
        <v>26.052104208416832</v>
      </c>
      <c r="H211" s="11">
        <f t="shared" si="78"/>
        <v>90</v>
      </c>
      <c r="I211" s="10">
        <f t="shared" si="79"/>
        <v>8</v>
      </c>
      <c r="J211" s="10">
        <f t="shared" si="80"/>
        <v>4.4909999999999997</v>
      </c>
      <c r="K211" s="10">
        <f t="shared" si="81"/>
        <v>11.25</v>
      </c>
      <c r="L211" s="10">
        <f t="shared" si="82"/>
        <v>2.5050100200400802</v>
      </c>
      <c r="M211" s="12">
        <f t="shared" si="83"/>
        <v>12.5</v>
      </c>
      <c r="N211" s="13">
        <f t="shared" si="84"/>
        <v>1.1111111111111112</v>
      </c>
    </row>
    <row r="212" spans="1:14">
      <c r="A212" s="6">
        <v>211</v>
      </c>
      <c r="B212" s="14">
        <v>45199</v>
      </c>
      <c r="C212" s="15">
        <v>117940</v>
      </c>
      <c r="D212" s="16">
        <v>4.99</v>
      </c>
      <c r="E212" s="16">
        <v>120</v>
      </c>
      <c r="F212" s="16" t="s">
        <v>918</v>
      </c>
      <c r="G212" s="10">
        <f t="shared" si="77"/>
        <v>24.048096192384769</v>
      </c>
      <c r="H212" s="11">
        <f t="shared" si="78"/>
        <v>110</v>
      </c>
      <c r="I212" s="10">
        <f t="shared" si="79"/>
        <v>29</v>
      </c>
      <c r="J212" s="10">
        <f t="shared" si="80"/>
        <v>4.2223076923076928</v>
      </c>
      <c r="K212" s="10">
        <f t="shared" si="81"/>
        <v>3.7931034482758621</v>
      </c>
      <c r="L212" s="10">
        <f t="shared" si="82"/>
        <v>0.89834842097989076</v>
      </c>
      <c r="M212" s="12">
        <f t="shared" si="83"/>
        <v>4.4827586206896548</v>
      </c>
      <c r="N212" s="13">
        <f t="shared" si="84"/>
        <v>1.1818181818181819</v>
      </c>
    </row>
    <row r="213" spans="1:14">
      <c r="A213" s="6">
        <v>212</v>
      </c>
      <c r="B213" s="14">
        <v>45222</v>
      </c>
      <c r="C213" s="15">
        <v>118062</v>
      </c>
      <c r="D213" s="16">
        <v>4.99</v>
      </c>
      <c r="E213" s="16">
        <v>100</v>
      </c>
      <c r="F213" s="16" t="s">
        <v>918</v>
      </c>
      <c r="G213" s="10">
        <f t="shared" si="77"/>
        <v>20.040080160320642</v>
      </c>
      <c r="H213" s="11">
        <f t="shared" si="78"/>
        <v>122</v>
      </c>
      <c r="I213" s="10">
        <f t="shared" si="79"/>
        <v>23</v>
      </c>
      <c r="J213" s="10">
        <f t="shared" si="80"/>
        <v>5.0731666666666673</v>
      </c>
      <c r="K213" s="10">
        <f t="shared" si="81"/>
        <v>5.3043478260869561</v>
      </c>
      <c r="L213" s="10">
        <f t="shared" si="82"/>
        <v>1.0455693996689031</v>
      </c>
      <c r="M213" s="12">
        <f t="shared" si="83"/>
        <v>5.2173913043478262</v>
      </c>
      <c r="N213" s="13">
        <f t="shared" si="84"/>
        <v>0.98360655737704916</v>
      </c>
    </row>
    <row r="214" spans="1:14">
      <c r="A214" s="6">
        <v>213</v>
      </c>
      <c r="B214" s="14">
        <v>45241</v>
      </c>
      <c r="C214" s="15">
        <v>118151</v>
      </c>
      <c r="D214" s="16">
        <v>4.8899999999999997</v>
      </c>
      <c r="E214" s="16">
        <v>120</v>
      </c>
      <c r="F214" s="16" t="s">
        <v>918</v>
      </c>
      <c r="G214" s="10">
        <f t="shared" si="77"/>
        <v>24.539877300613497</v>
      </c>
      <c r="H214" s="11">
        <f t="shared" si="78"/>
        <v>89</v>
      </c>
      <c r="I214" s="10">
        <f t="shared" si="79"/>
        <v>19</v>
      </c>
      <c r="J214" s="10">
        <f t="shared" si="80"/>
        <v>4.4410999999999996</v>
      </c>
      <c r="K214" s="10">
        <f t="shared" si="81"/>
        <v>4.6842105263157894</v>
      </c>
      <c r="L214" s="10">
        <f t="shared" si="82"/>
        <v>1.0547410610695074</v>
      </c>
      <c r="M214" s="12">
        <f t="shared" si="83"/>
        <v>5.2631578947368425</v>
      </c>
      <c r="N214" s="13">
        <f t="shared" si="84"/>
        <v>1.1235955056179776</v>
      </c>
    </row>
    <row r="215" spans="1:14">
      <c r="A215" s="6">
        <v>214</v>
      </c>
      <c r="B215" s="14">
        <v>45268</v>
      </c>
      <c r="C215" s="15">
        <v>118272</v>
      </c>
      <c r="D215" s="16">
        <v>5.19</v>
      </c>
      <c r="E215" s="16">
        <v>60</v>
      </c>
      <c r="F215" s="16" t="s">
        <v>918</v>
      </c>
      <c r="G215" s="10">
        <f t="shared" si="77"/>
        <v>11.560693641618496</v>
      </c>
      <c r="H215" s="11">
        <f t="shared" si="78"/>
        <v>121</v>
      </c>
      <c r="I215" s="10">
        <f t="shared" si="79"/>
        <v>27</v>
      </c>
      <c r="J215" s="10">
        <f t="shared" si="80"/>
        <v>4.9307499999999997</v>
      </c>
      <c r="K215" s="10">
        <f t="shared" si="81"/>
        <v>4.4814814814814818</v>
      </c>
      <c r="L215" s="10">
        <f t="shared" si="82"/>
        <v>0.90888434446716659</v>
      </c>
      <c r="M215" s="12">
        <f t="shared" si="83"/>
        <v>4.4444444444444446</v>
      </c>
      <c r="N215" s="13">
        <f t="shared" si="84"/>
        <v>0.99173553719008267</v>
      </c>
    </row>
    <row r="216" spans="1:14">
      <c r="A216" s="6">
        <v>215</v>
      </c>
      <c r="B216" s="14">
        <v>45288</v>
      </c>
      <c r="C216" s="15">
        <v>118329</v>
      </c>
      <c r="D216" s="16">
        <v>4.99</v>
      </c>
      <c r="E216" s="16">
        <v>150</v>
      </c>
      <c r="F216" s="16" t="s">
        <v>918</v>
      </c>
      <c r="G216" s="10">
        <f t="shared" si="77"/>
        <v>30.060120240480959</v>
      </c>
      <c r="H216" s="11">
        <f t="shared" si="78"/>
        <v>57</v>
      </c>
      <c r="I216" s="10">
        <f t="shared" si="79"/>
        <v>20</v>
      </c>
      <c r="J216" s="10">
        <f t="shared" si="80"/>
        <v>4.9305000000000003</v>
      </c>
      <c r="K216" s="10">
        <f t="shared" si="81"/>
        <v>2.85</v>
      </c>
      <c r="L216" s="10">
        <f t="shared" si="82"/>
        <v>0.57803468208092479</v>
      </c>
      <c r="M216" s="12">
        <f t="shared" si="83"/>
        <v>3</v>
      </c>
      <c r="N216" s="13">
        <f t="shared" si="84"/>
        <v>1.0526315789473684</v>
      </c>
    </row>
    <row r="217" spans="1:14">
      <c r="A217" s="6">
        <v>216</v>
      </c>
      <c r="B217" s="14">
        <v>45363</v>
      </c>
      <c r="C217" s="15">
        <v>118477</v>
      </c>
      <c r="D217" s="16">
        <v>6.04</v>
      </c>
      <c r="E217" s="16">
        <v>150</v>
      </c>
      <c r="F217" s="16" t="s">
        <v>918</v>
      </c>
      <c r="G217" s="10">
        <f t="shared" si="77"/>
        <v>24.834437086092716</v>
      </c>
      <c r="H217" s="11">
        <f t="shared" si="78"/>
        <v>148</v>
      </c>
      <c r="I217" s="10">
        <f t="shared" si="79"/>
        <v>75</v>
      </c>
      <c r="J217" s="10">
        <f t="shared" si="80"/>
        <v>4.9234666666666671</v>
      </c>
      <c r="K217" s="10">
        <f t="shared" si="81"/>
        <v>1.9733333333333334</v>
      </c>
      <c r="L217" s="10">
        <f t="shared" si="82"/>
        <v>0.40080160320641278</v>
      </c>
      <c r="M217" s="12">
        <f t="shared" si="83"/>
        <v>2</v>
      </c>
      <c r="N217" s="13">
        <f t="shared" si="84"/>
        <v>1.0135135135135136</v>
      </c>
    </row>
    <row r="218" spans="1:14">
      <c r="A218" s="6">
        <v>217</v>
      </c>
      <c r="B218" s="14">
        <v>45374</v>
      </c>
      <c r="C218" s="15">
        <v>118594</v>
      </c>
      <c r="D218" s="16">
        <v>5.09</v>
      </c>
      <c r="E218" s="16">
        <v>120</v>
      </c>
      <c r="F218" s="16" t="s">
        <v>918</v>
      </c>
      <c r="G218" s="10">
        <f t="shared" si="77"/>
        <v>23.575638506876228</v>
      </c>
      <c r="H218" s="11">
        <f t="shared" si="78"/>
        <v>117</v>
      </c>
      <c r="I218" s="10">
        <f t="shared" si="79"/>
        <v>11</v>
      </c>
      <c r="J218" s="10">
        <f t="shared" si="80"/>
        <v>4.7111999999999998</v>
      </c>
      <c r="K218" s="10">
        <f t="shared" si="81"/>
        <v>10.636363636363637</v>
      </c>
      <c r="L218" s="10">
        <f t="shared" si="82"/>
        <v>2.2576760987357014</v>
      </c>
      <c r="M218" s="12">
        <f t="shared" si="83"/>
        <v>13.636363636363637</v>
      </c>
      <c r="N218" s="13">
        <f t="shared" si="84"/>
        <v>1.2820512820512822</v>
      </c>
    </row>
    <row r="219" spans="1:14">
      <c r="A219" s="6">
        <v>218</v>
      </c>
      <c r="B219" s="14">
        <v>45381</v>
      </c>
      <c r="C219" s="15">
        <v>118693</v>
      </c>
      <c r="D219" s="16">
        <v>5.09</v>
      </c>
      <c r="E219" s="16">
        <v>120</v>
      </c>
      <c r="F219" s="16" t="s">
        <v>918</v>
      </c>
      <c r="G219" s="10">
        <f t="shared" si="77"/>
        <v>23.575638506876228</v>
      </c>
      <c r="H219" s="11">
        <f t="shared" si="78"/>
        <v>99</v>
      </c>
      <c r="I219" s="10">
        <f t="shared" si="79"/>
        <v>7</v>
      </c>
      <c r="J219" s="10">
        <f t="shared" si="80"/>
        <v>4.1992500000000001</v>
      </c>
      <c r="K219" s="10">
        <f t="shared" si="81"/>
        <v>14.142857142857142</v>
      </c>
      <c r="L219" s="10">
        <f t="shared" si="82"/>
        <v>3.3679483581251755</v>
      </c>
      <c r="M219" s="12">
        <f t="shared" si="83"/>
        <v>17.142857142857142</v>
      </c>
      <c r="N219" s="13">
        <f t="shared" si="84"/>
        <v>1.2121212121212122</v>
      </c>
    </row>
    <row r="220" spans="1:14">
      <c r="A220" s="6">
        <v>219</v>
      </c>
      <c r="B220" s="14">
        <v>45395</v>
      </c>
      <c r="C220" s="15">
        <v>118790</v>
      </c>
      <c r="D220" s="16">
        <v>5.19</v>
      </c>
      <c r="E220" s="16">
        <v>100</v>
      </c>
      <c r="F220" s="16" t="s">
        <v>918</v>
      </c>
      <c r="G220" s="10">
        <f t="shared" si="77"/>
        <v>19.267822736030826</v>
      </c>
      <c r="H220" s="11">
        <f t="shared" si="78"/>
        <v>97</v>
      </c>
      <c r="I220" s="10">
        <f t="shared" si="79"/>
        <v>14</v>
      </c>
      <c r="J220" s="10">
        <f t="shared" si="80"/>
        <v>4.1144166666666671</v>
      </c>
      <c r="K220" s="10">
        <f t="shared" si="81"/>
        <v>6.9285714285714288</v>
      </c>
      <c r="L220" s="10">
        <f t="shared" si="82"/>
        <v>1.6839741790625877</v>
      </c>
      <c r="M220" s="12">
        <f t="shared" si="83"/>
        <v>8.5714285714285712</v>
      </c>
      <c r="N220" s="13">
        <f t="shared" si="84"/>
        <v>1.2371134020618557</v>
      </c>
    </row>
    <row r="221" spans="1:14">
      <c r="A221" s="6">
        <v>220</v>
      </c>
      <c r="B221" s="14">
        <v>45406</v>
      </c>
      <c r="C221" s="15">
        <v>118877</v>
      </c>
      <c r="D221" s="16">
        <v>5.19</v>
      </c>
      <c r="E221" s="16">
        <v>100</v>
      </c>
      <c r="F221" s="16" t="s">
        <v>918</v>
      </c>
      <c r="G221" s="10">
        <f t="shared" si="77"/>
        <v>19.267822736030826</v>
      </c>
      <c r="H221" s="11">
        <f t="shared" si="78"/>
        <v>87</v>
      </c>
      <c r="I221" s="10">
        <f t="shared" si="79"/>
        <v>11</v>
      </c>
      <c r="J221" s="10">
        <f t="shared" si="80"/>
        <v>4.5153000000000008</v>
      </c>
      <c r="K221" s="10">
        <f t="shared" si="81"/>
        <v>7.9090909090909092</v>
      </c>
      <c r="L221" s="10">
        <f t="shared" si="82"/>
        <v>1.7516202487300752</v>
      </c>
      <c r="M221" s="12">
        <f t="shared" si="83"/>
        <v>9.0909090909090917</v>
      </c>
      <c r="N221" s="13">
        <f t="shared" si="84"/>
        <v>1.1494252873563218</v>
      </c>
    </row>
    <row r="222" spans="1:14">
      <c r="A222" s="6">
        <v>221</v>
      </c>
      <c r="B222" s="14">
        <v>45430</v>
      </c>
      <c r="C222" s="15">
        <v>118959</v>
      </c>
      <c r="D222" s="16">
        <v>5.19</v>
      </c>
      <c r="E222" s="16">
        <v>100</v>
      </c>
      <c r="F222" s="16" t="s">
        <v>918</v>
      </c>
      <c r="G222" s="10">
        <f t="shared" si="77"/>
        <v>19.267822736030826</v>
      </c>
      <c r="H222" s="11">
        <f t="shared" si="78"/>
        <v>82</v>
      </c>
      <c r="I222" s="10">
        <f t="shared" si="79"/>
        <v>24</v>
      </c>
      <c r="J222" s="10">
        <f t="shared" si="80"/>
        <v>4.2558000000000007</v>
      </c>
      <c r="K222" s="10">
        <f t="shared" si="81"/>
        <v>3.4166666666666665</v>
      </c>
      <c r="L222" s="10">
        <f t="shared" si="82"/>
        <v>0.80282594733461776</v>
      </c>
      <c r="M222" s="12">
        <f t="shared" si="83"/>
        <v>4.166666666666667</v>
      </c>
      <c r="N222" s="13">
        <f t="shared" si="84"/>
        <v>1.2195121951219512</v>
      </c>
    </row>
    <row r="223" spans="1:14">
      <c r="A223" s="6">
        <v>222</v>
      </c>
      <c r="B223" s="14">
        <v>45438</v>
      </c>
      <c r="C223" s="15">
        <v>119070</v>
      </c>
      <c r="D223" s="16">
        <v>5.15</v>
      </c>
      <c r="E223" s="16">
        <v>130</v>
      </c>
      <c r="F223" s="16" t="s">
        <v>918</v>
      </c>
      <c r="G223" s="10">
        <f t="shared" si="77"/>
        <v>25.242718446601941</v>
      </c>
      <c r="H223" s="11">
        <f>IF(C223="","",C223-C222)</f>
        <v>111</v>
      </c>
      <c r="I223" s="10">
        <f t="shared" si="79"/>
        <v>8</v>
      </c>
      <c r="J223" s="10">
        <f t="shared" si="80"/>
        <v>5.7609000000000004</v>
      </c>
      <c r="K223" s="10">
        <f t="shared" si="81"/>
        <v>13.875</v>
      </c>
      <c r="L223" s="10">
        <f t="shared" si="82"/>
        <v>2.4084778420038533</v>
      </c>
      <c r="M223" s="12">
        <f t="shared" si="83"/>
        <v>12.5</v>
      </c>
      <c r="N223" s="13">
        <f t="shared" si="84"/>
        <v>0.90090090090090091</v>
      </c>
    </row>
    <row r="224" spans="1:14">
      <c r="A224" s="6">
        <v>223</v>
      </c>
      <c r="B224" s="14">
        <v>45462</v>
      </c>
      <c r="C224" s="15">
        <v>119196</v>
      </c>
      <c r="D224" s="16">
        <v>5.09</v>
      </c>
      <c r="E224" s="16">
        <v>100</v>
      </c>
      <c r="F224" s="16" t="s">
        <v>918</v>
      </c>
      <c r="G224" s="10">
        <f t="shared" si="77"/>
        <v>19.646365422396858</v>
      </c>
      <c r="H224" s="11">
        <f>IF(C224="","",C224-C223)</f>
        <v>126</v>
      </c>
      <c r="I224" s="10">
        <f t="shared" si="79"/>
        <v>24</v>
      </c>
      <c r="J224" s="10">
        <f t="shared" si="80"/>
        <v>4.9915384615384619</v>
      </c>
      <c r="K224" s="10">
        <f t="shared" si="81"/>
        <v>5.25</v>
      </c>
      <c r="L224" s="10">
        <f t="shared" si="82"/>
        <v>1.051779935275081</v>
      </c>
      <c r="M224" s="12">
        <f t="shared" si="83"/>
        <v>5.416666666666667</v>
      </c>
      <c r="N224" s="13">
        <f t="shared" si="84"/>
        <v>1.0317460317460319</v>
      </c>
    </row>
    <row r="225" spans="1:14">
      <c r="A225" s="6">
        <v>224</v>
      </c>
      <c r="B225" s="14">
        <v>45486</v>
      </c>
      <c r="C225" s="15">
        <v>119298</v>
      </c>
      <c r="D225" s="16">
        <v>5.29</v>
      </c>
      <c r="E225" s="16">
        <v>150</v>
      </c>
      <c r="F225" s="16" t="s">
        <v>918</v>
      </c>
      <c r="G225" s="10">
        <f t="shared" si="77"/>
        <v>28.355387523629489</v>
      </c>
      <c r="H225" s="11">
        <f t="shared" si="78"/>
        <v>102</v>
      </c>
      <c r="I225" s="10">
        <f t="shared" si="79"/>
        <v>24</v>
      </c>
      <c r="J225" s="10">
        <f t="shared" si="80"/>
        <v>5.1917999999999997</v>
      </c>
      <c r="K225" s="10">
        <f t="shared" si="81"/>
        <v>4.25</v>
      </c>
      <c r="L225" s="10">
        <f t="shared" si="82"/>
        <v>0.8185985592665358</v>
      </c>
      <c r="M225" s="12">
        <f t="shared" si="83"/>
        <v>4.166666666666667</v>
      </c>
      <c r="N225" s="13">
        <f t="shared" si="84"/>
        <v>0.98039215686274506</v>
      </c>
    </row>
    <row r="226" spans="1:14">
      <c r="A226" s="6">
        <v>225</v>
      </c>
      <c r="B226" s="14">
        <v>45507</v>
      </c>
      <c r="C226" s="15">
        <v>119426</v>
      </c>
      <c r="D226" s="16">
        <v>5.59</v>
      </c>
      <c r="E226" s="16">
        <v>100</v>
      </c>
      <c r="F226" s="16" t="s">
        <v>918</v>
      </c>
      <c r="G226" s="10">
        <f t="shared" si="77"/>
        <v>17.889087656529519</v>
      </c>
      <c r="H226" s="11">
        <f t="shared" si="78"/>
        <v>128</v>
      </c>
      <c r="I226" s="10">
        <f t="shared" si="79"/>
        <v>21</v>
      </c>
      <c r="J226" s="10">
        <f t="shared" si="80"/>
        <v>4.5141333333333336</v>
      </c>
      <c r="K226" s="10">
        <f t="shared" si="81"/>
        <v>6.0952380952380949</v>
      </c>
      <c r="L226" s="10">
        <f t="shared" si="82"/>
        <v>1.3502565487442613</v>
      </c>
      <c r="M226" s="12">
        <f t="shared" si="83"/>
        <v>7.1428571428571432</v>
      </c>
      <c r="N226" s="13">
        <f t="shared" si="84"/>
        <v>1.171875</v>
      </c>
    </row>
    <row r="227" spans="1:14">
      <c r="A227" s="6">
        <v>226</v>
      </c>
      <c r="B227" s="14">
        <v>45524</v>
      </c>
      <c r="C227" s="15">
        <v>119508</v>
      </c>
      <c r="D227" s="16">
        <v>5.59</v>
      </c>
      <c r="E227" s="16">
        <v>130</v>
      </c>
      <c r="F227" s="16" t="s">
        <v>918</v>
      </c>
      <c r="G227" s="10">
        <f t="shared" si="77"/>
        <v>23.255813953488374</v>
      </c>
      <c r="H227" s="11">
        <f t="shared" si="78"/>
        <v>82</v>
      </c>
      <c r="I227" s="10">
        <f t="shared" si="79"/>
        <v>17</v>
      </c>
      <c r="J227" s="10">
        <f t="shared" si="80"/>
        <v>4.5837999999999992</v>
      </c>
      <c r="K227" s="10">
        <f t="shared" si="81"/>
        <v>4.8235294117647056</v>
      </c>
      <c r="L227" s="10">
        <f t="shared" si="82"/>
        <v>1.0522992739135011</v>
      </c>
      <c r="M227" s="12">
        <f t="shared" si="83"/>
        <v>5.882352941176471</v>
      </c>
      <c r="N227" s="13">
        <f t="shared" si="84"/>
        <v>1.2195121951219512</v>
      </c>
    </row>
    <row r="228" spans="1:14">
      <c r="A228" s="6">
        <v>227</v>
      </c>
      <c r="B228" s="14">
        <v>45546</v>
      </c>
      <c r="C228" s="15">
        <v>119616</v>
      </c>
      <c r="D228" s="16">
        <v>5.54</v>
      </c>
      <c r="E228" s="16">
        <v>100</v>
      </c>
      <c r="F228" s="16" t="s">
        <v>918</v>
      </c>
      <c r="G228" s="10">
        <f t="shared" si="77"/>
        <v>18.050541516245488</v>
      </c>
      <c r="H228" s="11">
        <f>IF(C228="","",C228-C227)</f>
        <v>108</v>
      </c>
      <c r="I228" s="10">
        <f>IF(B228="","",B228-B227)</f>
        <v>22</v>
      </c>
      <c r="J228" s="10">
        <f>IF(H228="","",H228/G227)</f>
        <v>4.6439999999999992</v>
      </c>
      <c r="K228" s="10">
        <f>IF(H228&lt;&gt;"",IF(I228&gt;0,H228/I228,H228),"" )</f>
        <v>4.9090909090909092</v>
      </c>
      <c r="L228" s="10">
        <f>IF(I228="","",IF(I228=0,G228,G227/I228))</f>
        <v>1.0570824524312898</v>
      </c>
      <c r="M228" s="12">
        <f>IF(I228="","",IF(I228=0,E227,E227/I228))</f>
        <v>5.9090909090909092</v>
      </c>
      <c r="N228" s="13">
        <f>IF(H228="","",E227/H228)</f>
        <v>1.2037037037037037</v>
      </c>
    </row>
    <row r="229" spans="1:14">
      <c r="A229" s="6">
        <v>228</v>
      </c>
      <c r="B229" s="14">
        <v>45548</v>
      </c>
      <c r="C229" s="15">
        <v>119700</v>
      </c>
      <c r="D229" s="16">
        <v>5.53</v>
      </c>
      <c r="E229" s="16">
        <v>100</v>
      </c>
      <c r="F229" s="16" t="s">
        <v>918</v>
      </c>
      <c r="G229" s="10">
        <f t="shared" si="77"/>
        <v>18.083182640144663</v>
      </c>
      <c r="H229" s="11">
        <f>IF(C229="","",C229-C228)</f>
        <v>84</v>
      </c>
      <c r="I229" s="10">
        <f>IF(B229="","",B229-B228)</f>
        <v>2</v>
      </c>
      <c r="J229" s="10">
        <f>IF(H229="","",H229/G228)</f>
        <v>4.6536</v>
      </c>
      <c r="K229" s="10">
        <f>IF(H229&lt;&gt;"",IF(I229&gt;0,H229/I229,H229),"" )</f>
        <v>42</v>
      </c>
      <c r="L229" s="10">
        <f>IF(I229="","",IF(I229=0,G229,G228/I229))</f>
        <v>9.025270758122744</v>
      </c>
      <c r="M229" s="12">
        <f>IF(I229="","",IF(I229=0,E228,E228/I229))</f>
        <v>50</v>
      </c>
      <c r="N229" s="13">
        <f>IF(H229="","",E228/H229)</f>
        <v>1.1904761904761905</v>
      </c>
    </row>
    <row r="230" spans="1:14">
      <c r="A230" s="6">
        <v>229</v>
      </c>
      <c r="B230" s="14">
        <v>45570</v>
      </c>
      <c r="C230" s="15">
        <v>119804</v>
      </c>
      <c r="D230" s="16">
        <v>5.49</v>
      </c>
      <c r="E230" s="16">
        <v>150</v>
      </c>
      <c r="F230" s="16" t="s">
        <v>918</v>
      </c>
      <c r="G230" s="10">
        <f t="shared" si="77"/>
        <v>27.3224043715847</v>
      </c>
      <c r="H230" s="11">
        <f>IF(C230="","",C230-C229)</f>
        <v>104</v>
      </c>
      <c r="I230" s="10">
        <f>IF(B230="","",B230-B229)</f>
        <v>22</v>
      </c>
      <c r="J230" s="10">
        <f>IF(H230="","",H230/G229)</f>
        <v>5.7512000000000008</v>
      </c>
      <c r="K230" s="10">
        <f>IF(H230&lt;&gt;"",IF(I230&gt;0,H230/I230,H230),"" )</f>
        <v>4.7272727272727275</v>
      </c>
      <c r="L230" s="10">
        <f>IF(I230="","",IF(I230=0,G230,G229/I230))</f>
        <v>0.82196284727930291</v>
      </c>
      <c r="M230" s="12">
        <f>IF(I230="","",IF(I230=0,E229,E229/I230))</f>
        <v>4.5454545454545459</v>
      </c>
      <c r="N230" s="13">
        <f>IF(H230="","",E229/H230)</f>
        <v>0.96153846153846156</v>
      </c>
    </row>
    <row r="231" spans="1:14">
      <c r="A231" s="6">
        <v>230</v>
      </c>
      <c r="B231" s="14">
        <v>45582</v>
      </c>
      <c r="C231" s="15">
        <v>119949</v>
      </c>
      <c r="D231" s="16">
        <v>5.89</v>
      </c>
      <c r="E231" s="16">
        <v>100</v>
      </c>
      <c r="F231" s="16" t="s">
        <v>918</v>
      </c>
      <c r="G231" s="10">
        <f t="shared" si="77"/>
        <v>16.977928692699493</v>
      </c>
      <c r="H231" s="11">
        <f t="shared" ref="H231:H256" si="85">IF(C231="","",C231-C230)</f>
        <v>145</v>
      </c>
      <c r="I231" s="10">
        <f t="shared" ref="I231:I256" si="86">IF(B231="","",B231-B230)</f>
        <v>12</v>
      </c>
      <c r="J231" s="10">
        <f t="shared" ref="J231:J256" si="87">IF(H231="","",H231/G230)</f>
        <v>5.3070000000000004</v>
      </c>
      <c r="K231" s="10">
        <f t="shared" ref="K231:K256" si="88">IF(H231&lt;&gt;"",IF(I231&gt;0,H231/I231,H231),"" )</f>
        <v>12.083333333333334</v>
      </c>
      <c r="L231" s="10">
        <f t="shared" ref="L231:L256" si="89">IF(I231="","",IF(I231=0,G231,G230/I231))</f>
        <v>2.2768670309653918</v>
      </c>
      <c r="M231" s="12">
        <f t="shared" ref="M231:M256" si="90">IF(I231="","",IF(I231=0,E230,E230/I231))</f>
        <v>12.5</v>
      </c>
      <c r="N231" s="13">
        <f t="shared" ref="N231:N256" si="91">IF(H231="","",E230/H231)</f>
        <v>1.0344827586206897</v>
      </c>
    </row>
    <row r="232" spans="1:14">
      <c r="A232" s="6">
        <v>231</v>
      </c>
      <c r="B232" s="14">
        <v>45595</v>
      </c>
      <c r="C232" s="15">
        <v>120026</v>
      </c>
      <c r="D232" s="16">
        <v>5.49</v>
      </c>
      <c r="E232" s="16">
        <v>100</v>
      </c>
      <c r="F232" s="16" t="s">
        <v>918</v>
      </c>
      <c r="G232" s="10">
        <f t="shared" si="77"/>
        <v>18.214936247723131</v>
      </c>
      <c r="H232" s="11">
        <f t="shared" si="85"/>
        <v>77</v>
      </c>
      <c r="I232" s="10">
        <f t="shared" si="86"/>
        <v>13</v>
      </c>
      <c r="J232" s="10">
        <f t="shared" si="87"/>
        <v>4.5352999999999994</v>
      </c>
      <c r="K232" s="10">
        <f t="shared" si="88"/>
        <v>5.9230769230769234</v>
      </c>
      <c r="L232" s="10">
        <f t="shared" si="89"/>
        <v>1.3059945148230379</v>
      </c>
      <c r="M232" s="12">
        <f t="shared" si="90"/>
        <v>7.6923076923076925</v>
      </c>
      <c r="N232" s="13">
        <f t="shared" si="91"/>
        <v>1.2987012987012987</v>
      </c>
    </row>
    <row r="233" spans="1:14">
      <c r="A233" s="6">
        <v>232</v>
      </c>
      <c r="B233" s="14">
        <v>45623</v>
      </c>
      <c r="C233" s="15">
        <v>120122</v>
      </c>
      <c r="D233" s="16">
        <v>5.49</v>
      </c>
      <c r="E233" s="16">
        <v>120</v>
      </c>
      <c r="F233" s="16" t="s">
        <v>918</v>
      </c>
      <c r="G233" s="10">
        <f t="shared" si="77"/>
        <v>21.857923497267759</v>
      </c>
      <c r="H233" s="11">
        <f t="shared" si="85"/>
        <v>96</v>
      </c>
      <c r="I233" s="10">
        <f t="shared" si="86"/>
        <v>28</v>
      </c>
      <c r="J233" s="10">
        <f t="shared" si="87"/>
        <v>5.2704000000000004</v>
      </c>
      <c r="K233" s="10">
        <f t="shared" si="88"/>
        <v>3.4285714285714284</v>
      </c>
      <c r="L233" s="10">
        <f t="shared" si="89"/>
        <v>0.65053343741868319</v>
      </c>
      <c r="M233" s="12">
        <f t="shared" si="90"/>
        <v>3.5714285714285716</v>
      </c>
      <c r="N233" s="13">
        <f t="shared" si="91"/>
        <v>1.0416666666666667</v>
      </c>
    </row>
    <row r="234" spans="1:14">
      <c r="A234" s="6">
        <v>233</v>
      </c>
      <c r="B234" s="14">
        <v>45636</v>
      </c>
      <c r="C234" s="15">
        <v>120157</v>
      </c>
      <c r="D234" s="16">
        <v>8.09</v>
      </c>
      <c r="E234" s="16">
        <v>150</v>
      </c>
      <c r="F234" s="16" t="s">
        <v>918</v>
      </c>
      <c r="G234" s="10">
        <f t="shared" si="77"/>
        <v>18.54140914709518</v>
      </c>
      <c r="H234" s="11">
        <f t="shared" si="85"/>
        <v>35</v>
      </c>
      <c r="I234" s="10">
        <f t="shared" si="86"/>
        <v>13</v>
      </c>
      <c r="J234" s="10">
        <f t="shared" si="87"/>
        <v>1.6012500000000001</v>
      </c>
      <c r="K234" s="10">
        <f t="shared" si="88"/>
        <v>2.6923076923076925</v>
      </c>
      <c r="L234" s="10">
        <f t="shared" si="89"/>
        <v>1.6813787305590584</v>
      </c>
      <c r="M234" s="12">
        <f t="shared" si="90"/>
        <v>9.2307692307692299</v>
      </c>
      <c r="N234" s="13">
        <f t="shared" si="91"/>
        <v>3.4285714285714284</v>
      </c>
    </row>
    <row r="235" spans="1:14">
      <c r="A235" s="6">
        <v>234</v>
      </c>
      <c r="B235" s="14">
        <v>45644</v>
      </c>
      <c r="C235" s="15">
        <v>120304</v>
      </c>
      <c r="D235" s="16">
        <v>6.99</v>
      </c>
      <c r="E235" s="16">
        <v>150</v>
      </c>
      <c r="F235" s="16" t="s">
        <v>918</v>
      </c>
      <c r="G235" s="10">
        <f t="shared" si="77"/>
        <v>21.459227467811157</v>
      </c>
      <c r="H235" s="11">
        <f t="shared" si="85"/>
        <v>147</v>
      </c>
      <c r="I235" s="10">
        <f t="shared" si="86"/>
        <v>8</v>
      </c>
      <c r="J235" s="10">
        <f t="shared" si="87"/>
        <v>7.9281999999999995</v>
      </c>
      <c r="K235" s="10">
        <f t="shared" si="88"/>
        <v>18.375</v>
      </c>
      <c r="L235" s="10">
        <f t="shared" si="89"/>
        <v>2.3176761433868975</v>
      </c>
      <c r="M235" s="12">
        <f t="shared" si="90"/>
        <v>18.75</v>
      </c>
      <c r="N235" s="13">
        <f t="shared" si="91"/>
        <v>1.0204081632653061</v>
      </c>
    </row>
    <row r="236" spans="1:14">
      <c r="A236" s="6">
        <v>235</v>
      </c>
      <c r="B236" s="14">
        <v>45673</v>
      </c>
      <c r="C236" s="15">
        <v>120432</v>
      </c>
      <c r="D236" s="16">
        <v>6.09</v>
      </c>
      <c r="E236" s="16">
        <v>120</v>
      </c>
      <c r="F236" s="16" t="s">
        <v>918</v>
      </c>
      <c r="G236" s="10">
        <f t="shared" si="77"/>
        <v>19.704433497536947</v>
      </c>
      <c r="H236" s="11">
        <f t="shared" si="85"/>
        <v>128</v>
      </c>
      <c r="I236" s="10">
        <f t="shared" si="86"/>
        <v>29</v>
      </c>
      <c r="J236" s="10">
        <f t="shared" si="87"/>
        <v>5.9648000000000003</v>
      </c>
      <c r="K236" s="10">
        <f t="shared" si="88"/>
        <v>4.4137931034482758</v>
      </c>
      <c r="L236" s="10">
        <f t="shared" si="89"/>
        <v>0.73997336095900546</v>
      </c>
      <c r="M236" s="12">
        <f t="shared" si="90"/>
        <v>5.1724137931034484</v>
      </c>
      <c r="N236" s="13">
        <f t="shared" si="91"/>
        <v>1.171875</v>
      </c>
    </row>
    <row r="237" spans="1:14">
      <c r="A237" s="6">
        <v>236</v>
      </c>
      <c r="B237" s="14">
        <v>45702</v>
      </c>
      <c r="C237" s="15">
        <v>120524</v>
      </c>
      <c r="D237" s="16">
        <v>6.19</v>
      </c>
      <c r="E237" s="16">
        <v>100</v>
      </c>
      <c r="F237" s="16" t="s">
        <v>918</v>
      </c>
      <c r="G237" s="10">
        <f t="shared" si="77"/>
        <v>16.15508885298869</v>
      </c>
      <c r="H237" s="11">
        <f t="shared" si="85"/>
        <v>92</v>
      </c>
      <c r="I237" s="10">
        <f t="shared" si="86"/>
        <v>29</v>
      </c>
      <c r="J237" s="10">
        <f t="shared" si="87"/>
        <v>4.6689999999999996</v>
      </c>
      <c r="K237" s="10">
        <f t="shared" si="88"/>
        <v>3.1724137931034484</v>
      </c>
      <c r="L237" s="10">
        <f t="shared" si="89"/>
        <v>0.67946322405299819</v>
      </c>
      <c r="M237" s="12">
        <f t="shared" si="90"/>
        <v>4.1379310344827589</v>
      </c>
      <c r="N237" s="13">
        <f t="shared" si="91"/>
        <v>1.3043478260869565</v>
      </c>
    </row>
    <row r="238" spans="1:14">
      <c r="A238" s="6">
        <v>237</v>
      </c>
      <c r="B238" s="14">
        <v>45727</v>
      </c>
      <c r="C238" s="15">
        <v>120575</v>
      </c>
      <c r="D238" s="16">
        <v>6.29</v>
      </c>
      <c r="E238" s="16">
        <v>100</v>
      </c>
      <c r="F238" s="16" t="s">
        <v>918</v>
      </c>
      <c r="G238" s="10">
        <f t="shared" si="77"/>
        <v>15.898251192368839</v>
      </c>
      <c r="H238" s="11">
        <f t="shared" si="85"/>
        <v>51</v>
      </c>
      <c r="I238" s="10">
        <f t="shared" si="86"/>
        <v>25</v>
      </c>
      <c r="J238" s="10">
        <f t="shared" si="87"/>
        <v>3.1569000000000003</v>
      </c>
      <c r="K238" s="10">
        <f t="shared" si="88"/>
        <v>2.04</v>
      </c>
      <c r="L238" s="10">
        <f t="shared" si="89"/>
        <v>0.64620355411954766</v>
      </c>
      <c r="M238" s="12">
        <f t="shared" si="90"/>
        <v>4</v>
      </c>
      <c r="N238" s="13">
        <f t="shared" si="91"/>
        <v>1.9607843137254901</v>
      </c>
    </row>
    <row r="239" spans="1:14">
      <c r="A239" s="6">
        <v>238</v>
      </c>
      <c r="B239" s="14"/>
      <c r="C239" s="15"/>
      <c r="D239" s="16"/>
      <c r="E239" s="16"/>
      <c r="F239" s="16"/>
      <c r="G239" s="10" t="str">
        <f t="shared" si="77"/>
        <v/>
      </c>
      <c r="H239" s="11" t="str">
        <f t="shared" si="85"/>
        <v/>
      </c>
      <c r="I239" s="10" t="str">
        <f t="shared" si="86"/>
        <v/>
      </c>
      <c r="J239" s="10" t="str">
        <f t="shared" si="87"/>
        <v/>
      </c>
      <c r="K239" s="10" t="str">
        <f t="shared" si="88"/>
        <v/>
      </c>
      <c r="L239" s="10" t="str">
        <f t="shared" si="89"/>
        <v/>
      </c>
      <c r="M239" s="12" t="str">
        <f t="shared" si="90"/>
        <v/>
      </c>
      <c r="N239" s="13" t="str">
        <f t="shared" si="91"/>
        <v/>
      </c>
    </row>
    <row r="240" spans="1:14">
      <c r="A240" s="6">
        <v>239</v>
      </c>
      <c r="B240" s="14"/>
      <c r="C240" s="15"/>
      <c r="D240" s="16"/>
      <c r="E240" s="16"/>
      <c r="F240" s="16"/>
      <c r="G240" s="10" t="str">
        <f t="shared" si="77"/>
        <v/>
      </c>
      <c r="H240" s="11" t="str">
        <f t="shared" si="85"/>
        <v/>
      </c>
      <c r="I240" s="10" t="str">
        <f t="shared" si="86"/>
        <v/>
      </c>
      <c r="J240" s="10" t="str">
        <f t="shared" si="87"/>
        <v/>
      </c>
      <c r="K240" s="10" t="str">
        <f t="shared" si="88"/>
        <v/>
      </c>
      <c r="L240" s="10" t="str">
        <f t="shared" si="89"/>
        <v/>
      </c>
      <c r="M240" s="12" t="str">
        <f t="shared" si="90"/>
        <v/>
      </c>
      <c r="N240" s="13" t="str">
        <f t="shared" si="91"/>
        <v/>
      </c>
    </row>
    <row r="241" spans="1:14">
      <c r="A241" s="6">
        <v>240</v>
      </c>
      <c r="B241" s="14"/>
      <c r="C241" s="15"/>
      <c r="D241" s="16"/>
      <c r="E241" s="16"/>
      <c r="F241" s="16"/>
      <c r="G241" s="10" t="str">
        <f t="shared" si="77"/>
        <v/>
      </c>
      <c r="H241" s="11" t="str">
        <f t="shared" si="85"/>
        <v/>
      </c>
      <c r="I241" s="10" t="str">
        <f t="shared" si="86"/>
        <v/>
      </c>
      <c r="J241" s="10" t="str">
        <f t="shared" si="87"/>
        <v/>
      </c>
      <c r="K241" s="10" t="str">
        <f t="shared" si="88"/>
        <v/>
      </c>
      <c r="L241" s="10" t="str">
        <f t="shared" si="89"/>
        <v/>
      </c>
      <c r="M241" s="12" t="str">
        <f t="shared" si="90"/>
        <v/>
      </c>
      <c r="N241" s="13" t="str">
        <f t="shared" si="91"/>
        <v/>
      </c>
    </row>
    <row r="242" spans="1:14">
      <c r="A242" s="6">
        <v>241</v>
      </c>
      <c r="B242" s="14"/>
      <c r="C242" s="15"/>
      <c r="D242" s="16"/>
      <c r="E242" s="16"/>
      <c r="F242" s="16"/>
      <c r="G242" s="10" t="str">
        <f t="shared" si="77"/>
        <v/>
      </c>
      <c r="H242" s="11" t="str">
        <f t="shared" si="85"/>
        <v/>
      </c>
      <c r="I242" s="10" t="str">
        <f t="shared" si="86"/>
        <v/>
      </c>
      <c r="J242" s="10" t="str">
        <f t="shared" si="87"/>
        <v/>
      </c>
      <c r="K242" s="10" t="str">
        <f t="shared" si="88"/>
        <v/>
      </c>
      <c r="L242" s="10" t="str">
        <f t="shared" si="89"/>
        <v/>
      </c>
      <c r="M242" s="12" t="str">
        <f t="shared" si="90"/>
        <v/>
      </c>
      <c r="N242" s="13" t="str">
        <f t="shared" si="91"/>
        <v/>
      </c>
    </row>
    <row r="243" spans="1:14">
      <c r="A243" s="6">
        <v>242</v>
      </c>
      <c r="B243" s="14"/>
      <c r="C243" s="15"/>
      <c r="D243" s="16"/>
      <c r="E243" s="16"/>
      <c r="F243" s="16"/>
      <c r="G243" s="10" t="str">
        <f t="shared" si="77"/>
        <v/>
      </c>
      <c r="H243" s="11" t="str">
        <f t="shared" si="85"/>
        <v/>
      </c>
      <c r="I243" s="10" t="str">
        <f t="shared" si="86"/>
        <v/>
      </c>
      <c r="J243" s="10" t="str">
        <f t="shared" si="87"/>
        <v/>
      </c>
      <c r="K243" s="10" t="str">
        <f t="shared" si="88"/>
        <v/>
      </c>
      <c r="L243" s="10" t="str">
        <f t="shared" si="89"/>
        <v/>
      </c>
      <c r="M243" s="12" t="str">
        <f t="shared" si="90"/>
        <v/>
      </c>
      <c r="N243" s="13" t="str">
        <f t="shared" si="91"/>
        <v/>
      </c>
    </row>
    <row r="244" spans="1:14">
      <c r="A244" s="6">
        <v>243</v>
      </c>
      <c r="B244" s="14"/>
      <c r="C244" s="15"/>
      <c r="D244" s="16"/>
      <c r="E244" s="16"/>
      <c r="F244" s="16"/>
      <c r="G244" s="10" t="str">
        <f t="shared" si="77"/>
        <v/>
      </c>
      <c r="H244" s="11" t="str">
        <f t="shared" si="85"/>
        <v/>
      </c>
      <c r="I244" s="10" t="str">
        <f t="shared" si="86"/>
        <v/>
      </c>
      <c r="J244" s="10" t="str">
        <f t="shared" si="87"/>
        <v/>
      </c>
      <c r="K244" s="10" t="str">
        <f t="shared" si="88"/>
        <v/>
      </c>
      <c r="L244" s="10" t="str">
        <f t="shared" si="89"/>
        <v/>
      </c>
      <c r="M244" s="12" t="str">
        <f t="shared" si="90"/>
        <v/>
      </c>
      <c r="N244" s="13" t="str">
        <f t="shared" si="91"/>
        <v/>
      </c>
    </row>
    <row r="245" spans="1:14">
      <c r="A245" s="6">
        <v>244</v>
      </c>
      <c r="B245" s="14"/>
      <c r="C245" s="15"/>
      <c r="D245" s="16"/>
      <c r="E245" s="16"/>
      <c r="F245" s="16"/>
      <c r="G245" s="10" t="str">
        <f t="shared" si="77"/>
        <v/>
      </c>
      <c r="H245" s="11" t="str">
        <f t="shared" si="85"/>
        <v/>
      </c>
      <c r="I245" s="10" t="str">
        <f t="shared" si="86"/>
        <v/>
      </c>
      <c r="J245" s="10" t="str">
        <f t="shared" si="87"/>
        <v/>
      </c>
      <c r="K245" s="10" t="str">
        <f t="shared" si="88"/>
        <v/>
      </c>
      <c r="L245" s="10" t="str">
        <f t="shared" si="89"/>
        <v/>
      </c>
      <c r="M245" s="12" t="str">
        <f t="shared" si="90"/>
        <v/>
      </c>
      <c r="N245" s="13" t="str">
        <f t="shared" si="91"/>
        <v/>
      </c>
    </row>
    <row r="246" spans="1:14">
      <c r="A246" s="6">
        <v>245</v>
      </c>
      <c r="B246" s="14"/>
      <c r="C246" s="15"/>
      <c r="D246" s="16"/>
      <c r="E246" s="16"/>
      <c r="F246" s="16"/>
      <c r="G246" s="10" t="str">
        <f t="shared" si="77"/>
        <v/>
      </c>
      <c r="H246" s="11" t="str">
        <f t="shared" si="85"/>
        <v/>
      </c>
      <c r="I246" s="10" t="str">
        <f t="shared" si="86"/>
        <v/>
      </c>
      <c r="J246" s="10" t="str">
        <f t="shared" si="87"/>
        <v/>
      </c>
      <c r="K246" s="10" t="str">
        <f t="shared" si="88"/>
        <v/>
      </c>
      <c r="L246" s="10" t="str">
        <f t="shared" si="89"/>
        <v/>
      </c>
      <c r="M246" s="12" t="str">
        <f t="shared" si="90"/>
        <v/>
      </c>
      <c r="N246" s="13" t="str">
        <f t="shared" si="91"/>
        <v/>
      </c>
    </row>
    <row r="247" spans="1:14">
      <c r="A247" s="6">
        <v>246</v>
      </c>
      <c r="B247" s="14"/>
      <c r="C247" s="15"/>
      <c r="D247" s="16"/>
      <c r="E247" s="16"/>
      <c r="F247" s="16"/>
      <c r="G247" s="10" t="str">
        <f t="shared" si="77"/>
        <v/>
      </c>
      <c r="H247" s="11" t="str">
        <f t="shared" si="85"/>
        <v/>
      </c>
      <c r="I247" s="10" t="str">
        <f t="shared" si="86"/>
        <v/>
      </c>
      <c r="J247" s="10" t="str">
        <f t="shared" si="87"/>
        <v/>
      </c>
      <c r="K247" s="10" t="str">
        <f t="shared" si="88"/>
        <v/>
      </c>
      <c r="L247" s="10" t="str">
        <f t="shared" si="89"/>
        <v/>
      </c>
      <c r="M247" s="12" t="str">
        <f t="shared" si="90"/>
        <v/>
      </c>
      <c r="N247" s="13" t="str">
        <f t="shared" si="91"/>
        <v/>
      </c>
    </row>
    <row r="248" spans="1:14">
      <c r="A248" s="6">
        <v>247</v>
      </c>
      <c r="B248" s="14"/>
      <c r="C248" s="15"/>
      <c r="D248" s="16"/>
      <c r="E248" s="16"/>
      <c r="F248" s="16"/>
      <c r="G248" s="10" t="str">
        <f t="shared" si="77"/>
        <v/>
      </c>
      <c r="H248" s="11" t="str">
        <f t="shared" si="85"/>
        <v/>
      </c>
      <c r="I248" s="10" t="str">
        <f t="shared" si="86"/>
        <v/>
      </c>
      <c r="J248" s="10" t="str">
        <f t="shared" si="87"/>
        <v/>
      </c>
      <c r="K248" s="10" t="str">
        <f t="shared" si="88"/>
        <v/>
      </c>
      <c r="L248" s="10" t="str">
        <f t="shared" si="89"/>
        <v/>
      </c>
      <c r="M248" s="12" t="str">
        <f t="shared" si="90"/>
        <v/>
      </c>
      <c r="N248" s="13" t="str">
        <f t="shared" si="91"/>
        <v/>
      </c>
    </row>
    <row r="249" spans="1:14">
      <c r="A249" s="6">
        <v>248</v>
      </c>
      <c r="B249" s="14"/>
      <c r="C249" s="15"/>
      <c r="D249" s="16"/>
      <c r="E249" s="16"/>
      <c r="F249" s="16"/>
      <c r="G249" s="10" t="str">
        <f t="shared" si="77"/>
        <v/>
      </c>
      <c r="H249" s="11" t="str">
        <f t="shared" si="85"/>
        <v/>
      </c>
      <c r="I249" s="10" t="str">
        <f t="shared" si="86"/>
        <v/>
      </c>
      <c r="J249" s="10" t="str">
        <f t="shared" si="87"/>
        <v/>
      </c>
      <c r="K249" s="10" t="str">
        <f t="shared" si="88"/>
        <v/>
      </c>
      <c r="L249" s="10" t="str">
        <f t="shared" si="89"/>
        <v/>
      </c>
      <c r="M249" s="12" t="str">
        <f t="shared" si="90"/>
        <v/>
      </c>
      <c r="N249" s="13" t="str">
        <f t="shared" si="91"/>
        <v/>
      </c>
    </row>
    <row r="250" spans="1:14">
      <c r="A250" s="6">
        <v>249</v>
      </c>
      <c r="B250" s="14"/>
      <c r="C250" s="15"/>
      <c r="D250" s="16"/>
      <c r="E250" s="16"/>
      <c r="F250" s="16"/>
      <c r="G250" s="10" t="str">
        <f t="shared" si="77"/>
        <v/>
      </c>
      <c r="H250" s="11" t="str">
        <f t="shared" si="85"/>
        <v/>
      </c>
      <c r="I250" s="10" t="str">
        <f t="shared" si="86"/>
        <v/>
      </c>
      <c r="J250" s="10" t="str">
        <f t="shared" si="87"/>
        <v/>
      </c>
      <c r="K250" s="10" t="str">
        <f t="shared" si="88"/>
        <v/>
      </c>
      <c r="L250" s="10" t="str">
        <f t="shared" si="89"/>
        <v/>
      </c>
      <c r="M250" s="12" t="str">
        <f t="shared" si="90"/>
        <v/>
      </c>
      <c r="N250" s="13" t="str">
        <f t="shared" si="91"/>
        <v/>
      </c>
    </row>
    <row r="251" spans="1:14">
      <c r="A251" s="6">
        <v>250</v>
      </c>
      <c r="B251" s="14"/>
      <c r="C251" s="15"/>
      <c r="D251" s="16"/>
      <c r="E251" s="16"/>
      <c r="F251" s="16"/>
      <c r="G251" s="10" t="str">
        <f t="shared" si="77"/>
        <v/>
      </c>
      <c r="H251" s="11" t="str">
        <f t="shared" si="85"/>
        <v/>
      </c>
      <c r="I251" s="10" t="str">
        <f t="shared" si="86"/>
        <v/>
      </c>
      <c r="J251" s="10" t="str">
        <f t="shared" si="87"/>
        <v/>
      </c>
      <c r="K251" s="10" t="str">
        <f t="shared" si="88"/>
        <v/>
      </c>
      <c r="L251" s="10" t="str">
        <f t="shared" si="89"/>
        <v/>
      </c>
      <c r="M251" s="12" t="str">
        <f t="shared" si="90"/>
        <v/>
      </c>
      <c r="N251" s="13" t="str">
        <f t="shared" si="91"/>
        <v/>
      </c>
    </row>
    <row r="252" spans="1:14">
      <c r="A252" s="6">
        <v>251</v>
      </c>
      <c r="B252" s="14"/>
      <c r="C252" s="15"/>
      <c r="D252" s="16"/>
      <c r="E252" s="16"/>
      <c r="F252" s="16"/>
      <c r="G252" s="10" t="str">
        <f t="shared" si="77"/>
        <v/>
      </c>
      <c r="H252" s="11" t="str">
        <f t="shared" si="85"/>
        <v/>
      </c>
      <c r="I252" s="10" t="str">
        <f t="shared" si="86"/>
        <v/>
      </c>
      <c r="J252" s="10" t="str">
        <f t="shared" si="87"/>
        <v/>
      </c>
      <c r="K252" s="10" t="str">
        <f t="shared" si="88"/>
        <v/>
      </c>
      <c r="L252" s="10" t="str">
        <f t="shared" si="89"/>
        <v/>
      </c>
      <c r="M252" s="12" t="str">
        <f t="shared" si="90"/>
        <v/>
      </c>
      <c r="N252" s="13" t="str">
        <f t="shared" si="91"/>
        <v/>
      </c>
    </row>
    <row r="253" spans="1:14">
      <c r="A253" s="6">
        <v>252</v>
      </c>
      <c r="B253" s="14"/>
      <c r="C253" s="15"/>
      <c r="D253" s="16"/>
      <c r="E253" s="16"/>
      <c r="F253" s="16"/>
      <c r="G253" s="10" t="str">
        <f t="shared" si="77"/>
        <v/>
      </c>
      <c r="H253" s="11" t="str">
        <f t="shared" si="85"/>
        <v/>
      </c>
      <c r="I253" s="10" t="str">
        <f t="shared" si="86"/>
        <v/>
      </c>
      <c r="J253" s="10" t="str">
        <f t="shared" si="87"/>
        <v/>
      </c>
      <c r="K253" s="10" t="str">
        <f t="shared" si="88"/>
        <v/>
      </c>
      <c r="L253" s="10" t="str">
        <f t="shared" si="89"/>
        <v/>
      </c>
      <c r="M253" s="12" t="str">
        <f t="shared" si="90"/>
        <v/>
      </c>
      <c r="N253" s="13" t="str">
        <f t="shared" si="91"/>
        <v/>
      </c>
    </row>
    <row r="254" spans="1:14">
      <c r="A254" s="6">
        <v>253</v>
      </c>
      <c r="B254" s="14"/>
      <c r="C254" s="15"/>
      <c r="D254" s="16"/>
      <c r="E254" s="16"/>
      <c r="F254" s="16"/>
      <c r="G254" s="10" t="str">
        <f t="shared" si="77"/>
        <v/>
      </c>
      <c r="H254" s="11" t="str">
        <f t="shared" si="85"/>
        <v/>
      </c>
      <c r="I254" s="10" t="str">
        <f t="shared" si="86"/>
        <v/>
      </c>
      <c r="J254" s="10" t="str">
        <f t="shared" si="87"/>
        <v/>
      </c>
      <c r="K254" s="10" t="str">
        <f t="shared" si="88"/>
        <v/>
      </c>
      <c r="L254" s="10" t="str">
        <f t="shared" si="89"/>
        <v/>
      </c>
      <c r="M254" s="12" t="str">
        <f t="shared" si="90"/>
        <v/>
      </c>
      <c r="N254" s="13" t="str">
        <f t="shared" si="91"/>
        <v/>
      </c>
    </row>
    <row r="255" spans="1:14">
      <c r="A255" s="6">
        <v>254</v>
      </c>
      <c r="B255" s="14"/>
      <c r="C255" s="15"/>
      <c r="D255" s="16"/>
      <c r="E255" s="16"/>
      <c r="F255" s="16"/>
      <c r="G255" s="10" t="str">
        <f t="shared" si="77"/>
        <v/>
      </c>
      <c r="H255" s="11" t="str">
        <f t="shared" si="85"/>
        <v/>
      </c>
      <c r="I255" s="10" t="str">
        <f t="shared" si="86"/>
        <v/>
      </c>
      <c r="J255" s="10" t="str">
        <f t="shared" si="87"/>
        <v/>
      </c>
      <c r="K255" s="10" t="str">
        <f t="shared" si="88"/>
        <v/>
      </c>
      <c r="L255" s="10" t="str">
        <f t="shared" si="89"/>
        <v/>
      </c>
      <c r="M255" s="12" t="str">
        <f t="shared" si="90"/>
        <v/>
      </c>
      <c r="N255" s="13" t="str">
        <f t="shared" si="91"/>
        <v/>
      </c>
    </row>
    <row r="256" spans="1:14">
      <c r="A256" s="6">
        <v>255</v>
      </c>
      <c r="B256" s="14"/>
      <c r="C256" s="15"/>
      <c r="D256" s="16"/>
      <c r="E256" s="16"/>
      <c r="F256" s="16"/>
      <c r="G256" s="10" t="str">
        <f t="shared" si="77"/>
        <v/>
      </c>
      <c r="H256" s="11" t="str">
        <f t="shared" si="85"/>
        <v/>
      </c>
      <c r="I256" s="10" t="str">
        <f t="shared" si="86"/>
        <v/>
      </c>
      <c r="J256" s="10" t="str">
        <f t="shared" si="87"/>
        <v/>
      </c>
      <c r="K256" s="10" t="str">
        <f t="shared" si="88"/>
        <v/>
      </c>
      <c r="L256" s="10" t="str">
        <f t="shared" si="89"/>
        <v/>
      </c>
      <c r="M256" s="12" t="str">
        <f t="shared" si="90"/>
        <v/>
      </c>
      <c r="N256" s="13" t="str">
        <f t="shared" si="91"/>
        <v/>
      </c>
    </row>
    <row r="257" spans="1:14">
      <c r="A257" s="17"/>
      <c r="B257" s="18"/>
      <c r="C257" s="19" t="s">
        <v>920</v>
      </c>
      <c r="D257" s="20">
        <f>AVERAGE(D2:D31)</f>
        <v>2.7169966666666663</v>
      </c>
      <c r="E257" s="20">
        <f>AVERAGE(E2:E31)</f>
        <v>82.671333333333351</v>
      </c>
      <c r="F257" s="20"/>
      <c r="G257" s="10">
        <f>IF(E257&lt;&gt;"",E257/D257,"")</f>
        <v>30.427469546644037</v>
      </c>
      <c r="H257" s="11">
        <f>AVERAGE(H3:H209)</f>
        <v>199.69082125603865</v>
      </c>
      <c r="I257" s="1188">
        <f t="shared" ref="I257:N257" si="92">AVERAGE(I3:I209)</f>
        <v>17.637681159420289</v>
      </c>
      <c r="J257" s="1188">
        <f t="shared" si="92"/>
        <v>7.060286120135089</v>
      </c>
      <c r="K257" s="1188">
        <f t="shared" si="92"/>
        <v>35.261597993057698</v>
      </c>
      <c r="L257" s="1188">
        <f t="shared" si="92"/>
        <v>3.9653658469994282</v>
      </c>
      <c r="M257" s="13">
        <f t="shared" si="92"/>
        <v>15.002429096160748</v>
      </c>
      <c r="N257" s="13">
        <f t="shared" si="92"/>
        <v>0.69735932250929</v>
      </c>
    </row>
    <row r="258" spans="1:14">
      <c r="E258" s="22">
        <f>SUM(E2:E256)</f>
        <v>26595.220000000008</v>
      </c>
      <c r="F258" s="21"/>
      <c r="G258" s="22">
        <f>SUM(G2:G256)</f>
        <v>6674.1968547787865</v>
      </c>
      <c r="H258" s="23">
        <f>SUM(H2:H256)</f>
        <v>44315</v>
      </c>
    </row>
    <row r="260" spans="1:14">
      <c r="C260" s="3" t="s">
        <v>921</v>
      </c>
    </row>
    <row r="261" spans="1:14">
      <c r="C261" s="3" t="s">
        <v>919</v>
      </c>
    </row>
    <row r="262" spans="1:14">
      <c r="C262" s="3" t="s">
        <v>918</v>
      </c>
    </row>
    <row r="263" spans="1:14">
      <c r="C263" s="3" t="s">
        <v>922</v>
      </c>
    </row>
  </sheetData>
  <conditionalFormatting sqref="M2:N257">
    <cfRule type="cellIs" dxfId="0" priority="1" stopIfTrue="1" operator="lessThan">
      <formula>0</formula>
    </cfRule>
  </conditionalFormatting>
  <dataValidations count="1">
    <dataValidation type="list" allowBlank="1" showInputMessage="1" showErrorMessage="1" sqref="C260:C263 F2:F256" xr:uid="{00000000-0002-0000-0500-000000000000}">
      <formula1>$C$261:$C$263</formula1>
    </dataValidation>
  </dataValidations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Plan100"/>
  <dimension ref="A1:I45"/>
  <sheetViews>
    <sheetView workbookViewId="0">
      <pane xSplit="9" ySplit="1" topLeftCell="J2" activePane="bottomRight" state="frozen"/>
      <selection pane="bottomRight" activeCell="J1" sqref="J1"/>
      <selection pane="bottomLeft" activeCell="A2" sqref="A2"/>
      <selection pane="topRight" activeCell="J1" sqref="J1"/>
    </sheetView>
  </sheetViews>
  <sheetFormatPr defaultRowHeight="12.75"/>
  <cols>
    <col min="1" max="1" width="11.85546875" customWidth="1"/>
    <col min="2" max="2" width="16" bestFit="1" customWidth="1"/>
    <col min="3" max="3" width="12.42578125" bestFit="1" customWidth="1"/>
    <col min="4" max="4" width="13.7109375" bestFit="1" customWidth="1"/>
    <col min="5" max="5" width="16" bestFit="1" customWidth="1"/>
    <col min="6" max="6" width="9" bestFit="1" customWidth="1"/>
    <col min="7" max="7" width="12.42578125" bestFit="1" customWidth="1"/>
    <col min="8" max="8" width="12.42578125" customWidth="1"/>
  </cols>
  <sheetData>
    <row r="1" spans="1:9" ht="13.5">
      <c r="A1" s="837" t="s">
        <v>24999</v>
      </c>
      <c r="B1" s="837" t="s">
        <v>25000</v>
      </c>
      <c r="C1" s="947" t="s">
        <v>363</v>
      </c>
      <c r="D1" s="837" t="s">
        <v>25001</v>
      </c>
      <c r="E1" s="948" t="s">
        <v>25002</v>
      </c>
      <c r="F1" s="837" t="s">
        <v>1398</v>
      </c>
      <c r="G1" s="837" t="s">
        <v>1399</v>
      </c>
      <c r="H1" s="837" t="s">
        <v>25003</v>
      </c>
      <c r="I1" s="837" t="s">
        <v>25004</v>
      </c>
    </row>
    <row r="2" spans="1:9" ht="13.5">
      <c r="A2" s="837">
        <v>1</v>
      </c>
      <c r="B2" s="838">
        <v>41508</v>
      </c>
      <c r="C2" s="947">
        <v>878.64</v>
      </c>
      <c r="D2" s="838">
        <v>41501</v>
      </c>
      <c r="E2" s="948">
        <v>878.64</v>
      </c>
      <c r="F2" s="951">
        <f>E2/C2</f>
        <v>1</v>
      </c>
      <c r="G2" s="949">
        <f>IF(E2&lt;&gt;"",C2-E2,"")</f>
        <v>0</v>
      </c>
      <c r="H2" s="951">
        <f>1-F2</f>
        <v>0</v>
      </c>
      <c r="I2" s="839">
        <f>IF(E2&gt;0,1,"")</f>
        <v>1</v>
      </c>
    </row>
    <row r="3" spans="1:9" ht="13.5">
      <c r="A3" s="837">
        <v>36</v>
      </c>
      <c r="B3" s="838">
        <v>42573</v>
      </c>
      <c r="C3" s="947">
        <v>878.64</v>
      </c>
      <c r="D3" s="838">
        <v>41501</v>
      </c>
      <c r="E3" s="948">
        <v>493.18</v>
      </c>
      <c r="F3" s="951">
        <f t="shared" ref="F3:F37" si="0">E3/C3</f>
        <v>0.56129928070654644</v>
      </c>
      <c r="G3" s="949">
        <f t="shared" ref="G3:G37" si="1">IF(E3&lt;&gt;"",C3-E3,"")</f>
        <v>385.46</v>
      </c>
      <c r="H3" s="951">
        <f t="shared" ref="H3:H37" si="2">1-F3</f>
        <v>0.43870071929345356</v>
      </c>
      <c r="I3" s="839">
        <f t="shared" ref="I3:I37" si="3">IF(E3&gt;0,1,"")</f>
        <v>1</v>
      </c>
    </row>
    <row r="4" spans="1:9" ht="13.5">
      <c r="A4" s="837">
        <v>2</v>
      </c>
      <c r="B4" s="838">
        <v>41539</v>
      </c>
      <c r="C4" s="947">
        <v>878.64</v>
      </c>
      <c r="D4" s="838">
        <v>41540</v>
      </c>
      <c r="E4" s="948">
        <v>878.64</v>
      </c>
      <c r="F4" s="951">
        <f t="shared" si="0"/>
        <v>1</v>
      </c>
      <c r="G4" s="949">
        <f t="shared" si="1"/>
        <v>0</v>
      </c>
      <c r="H4" s="951">
        <f t="shared" si="2"/>
        <v>0</v>
      </c>
      <c r="I4" s="839">
        <f t="shared" si="3"/>
        <v>1</v>
      </c>
    </row>
    <row r="5" spans="1:9" ht="13.5">
      <c r="A5" s="837">
        <v>3</v>
      </c>
      <c r="B5" s="838">
        <v>41569</v>
      </c>
      <c r="C5" s="947">
        <v>878.64</v>
      </c>
      <c r="D5" s="838">
        <v>41569</v>
      </c>
      <c r="E5" s="948">
        <v>878.64</v>
      </c>
      <c r="F5" s="951">
        <f t="shared" si="0"/>
        <v>1</v>
      </c>
      <c r="G5" s="949">
        <f t="shared" si="1"/>
        <v>0</v>
      </c>
      <c r="H5" s="951">
        <f t="shared" si="2"/>
        <v>0</v>
      </c>
      <c r="I5" s="839">
        <f t="shared" si="3"/>
        <v>1</v>
      </c>
    </row>
    <row r="6" spans="1:9" ht="13.5">
      <c r="A6" s="837">
        <v>4</v>
      </c>
      <c r="B6" s="838">
        <v>41600</v>
      </c>
      <c r="C6" s="947">
        <v>878.64</v>
      </c>
      <c r="D6" s="838">
        <v>41600</v>
      </c>
      <c r="E6" s="948">
        <v>878.64</v>
      </c>
      <c r="F6" s="951">
        <f t="shared" si="0"/>
        <v>1</v>
      </c>
      <c r="G6" s="949">
        <f t="shared" si="1"/>
        <v>0</v>
      </c>
      <c r="H6" s="951">
        <f t="shared" si="2"/>
        <v>0</v>
      </c>
      <c r="I6" s="839">
        <f t="shared" si="3"/>
        <v>1</v>
      </c>
    </row>
    <row r="7" spans="1:9" ht="13.5">
      <c r="A7" s="837">
        <v>5</v>
      </c>
      <c r="B7" s="838">
        <v>41630</v>
      </c>
      <c r="C7" s="947">
        <v>878.64</v>
      </c>
      <c r="D7" s="838">
        <v>41614</v>
      </c>
      <c r="E7" s="948">
        <v>870.73</v>
      </c>
      <c r="F7" s="951">
        <f t="shared" si="0"/>
        <v>0.99099745060548128</v>
      </c>
      <c r="G7" s="949">
        <f t="shared" si="1"/>
        <v>7.9099999999999682</v>
      </c>
      <c r="H7" s="951">
        <f t="shared" si="2"/>
        <v>9.0025493945187218E-3</v>
      </c>
      <c r="I7" s="839">
        <f t="shared" si="3"/>
        <v>1</v>
      </c>
    </row>
    <row r="8" spans="1:9" ht="13.5">
      <c r="A8" s="837">
        <v>35</v>
      </c>
      <c r="B8" s="838">
        <v>42543</v>
      </c>
      <c r="C8" s="947">
        <v>878.64</v>
      </c>
      <c r="D8" s="838">
        <v>41614</v>
      </c>
      <c r="E8" s="948">
        <v>519.55999999999995</v>
      </c>
      <c r="F8" s="951">
        <f t="shared" si="0"/>
        <v>0.59132295365564957</v>
      </c>
      <c r="G8" s="949">
        <f t="shared" si="1"/>
        <v>359.08000000000004</v>
      </c>
      <c r="H8" s="951">
        <f t="shared" si="2"/>
        <v>0.40867704634435043</v>
      </c>
      <c r="I8" s="839">
        <f t="shared" si="3"/>
        <v>1</v>
      </c>
    </row>
    <row r="9" spans="1:9" ht="13.5">
      <c r="A9" s="837">
        <v>6</v>
      </c>
      <c r="B9" s="838">
        <v>41661</v>
      </c>
      <c r="C9" s="947">
        <v>878.64</v>
      </c>
      <c r="D9" s="838">
        <v>41661</v>
      </c>
      <c r="E9" s="948">
        <v>878.64</v>
      </c>
      <c r="F9" s="951">
        <f t="shared" si="0"/>
        <v>1</v>
      </c>
      <c r="G9" s="949">
        <f t="shared" si="1"/>
        <v>0</v>
      </c>
      <c r="H9" s="951">
        <f t="shared" si="2"/>
        <v>0</v>
      </c>
      <c r="I9" s="839">
        <f t="shared" si="3"/>
        <v>1</v>
      </c>
    </row>
    <row r="10" spans="1:9" ht="13.5">
      <c r="A10" s="837">
        <v>7</v>
      </c>
      <c r="B10" s="838">
        <v>41692</v>
      </c>
      <c r="C10" s="947">
        <v>878.64</v>
      </c>
      <c r="D10" s="838">
        <v>41694</v>
      </c>
      <c r="E10" s="948">
        <v>878.64</v>
      </c>
      <c r="F10" s="951">
        <f t="shared" si="0"/>
        <v>1</v>
      </c>
      <c r="G10" s="949">
        <f t="shared" si="1"/>
        <v>0</v>
      </c>
      <c r="H10" s="951">
        <f t="shared" si="2"/>
        <v>0</v>
      </c>
      <c r="I10" s="839">
        <f t="shared" si="3"/>
        <v>1</v>
      </c>
    </row>
    <row r="11" spans="1:9" ht="13.5">
      <c r="A11" s="837">
        <v>8</v>
      </c>
      <c r="B11" s="838">
        <v>41720</v>
      </c>
      <c r="C11" s="947">
        <v>878.64</v>
      </c>
      <c r="D11" s="838">
        <v>41722</v>
      </c>
      <c r="E11" s="948">
        <v>878.64</v>
      </c>
      <c r="F11" s="951">
        <f t="shared" si="0"/>
        <v>1</v>
      </c>
      <c r="G11" s="949">
        <f t="shared" si="1"/>
        <v>0</v>
      </c>
      <c r="H11" s="951">
        <f t="shared" si="2"/>
        <v>0</v>
      </c>
      <c r="I11" s="839">
        <f t="shared" si="3"/>
        <v>1</v>
      </c>
    </row>
    <row r="12" spans="1:9" ht="13.5">
      <c r="A12" s="837">
        <v>9</v>
      </c>
      <c r="B12" s="838">
        <v>41751</v>
      </c>
      <c r="C12" s="947">
        <v>878.64</v>
      </c>
      <c r="D12" s="838">
        <v>41751</v>
      </c>
      <c r="E12" s="948">
        <v>878.64</v>
      </c>
      <c r="F12" s="951">
        <f t="shared" si="0"/>
        <v>1</v>
      </c>
      <c r="G12" s="949">
        <f t="shared" si="1"/>
        <v>0</v>
      </c>
      <c r="H12" s="951">
        <f t="shared" si="2"/>
        <v>0</v>
      </c>
      <c r="I12" s="839">
        <f t="shared" si="3"/>
        <v>1</v>
      </c>
    </row>
    <row r="13" spans="1:9" ht="13.5">
      <c r="A13" s="837">
        <v>10</v>
      </c>
      <c r="B13" s="838">
        <v>41781</v>
      </c>
      <c r="C13" s="947">
        <v>878.64</v>
      </c>
      <c r="D13" s="838">
        <v>41781</v>
      </c>
      <c r="E13" s="948">
        <v>878.64</v>
      </c>
      <c r="F13" s="951">
        <f t="shared" si="0"/>
        <v>1</v>
      </c>
      <c r="G13" s="949">
        <f t="shared" si="1"/>
        <v>0</v>
      </c>
      <c r="H13" s="951">
        <f t="shared" si="2"/>
        <v>0</v>
      </c>
      <c r="I13" s="839">
        <f t="shared" si="3"/>
        <v>1</v>
      </c>
    </row>
    <row r="14" spans="1:9" ht="13.5">
      <c r="A14" s="837">
        <v>11</v>
      </c>
      <c r="B14" s="838">
        <v>41812</v>
      </c>
      <c r="C14" s="947">
        <v>878.64</v>
      </c>
      <c r="D14" s="838">
        <v>41813</v>
      </c>
      <c r="E14" s="948">
        <v>878.64</v>
      </c>
      <c r="F14" s="951">
        <f t="shared" si="0"/>
        <v>1</v>
      </c>
      <c r="G14" s="949">
        <f t="shared" si="1"/>
        <v>0</v>
      </c>
      <c r="H14" s="951">
        <f t="shared" si="2"/>
        <v>0</v>
      </c>
      <c r="I14" s="839">
        <f t="shared" si="3"/>
        <v>1</v>
      </c>
    </row>
    <row r="15" spans="1:9" ht="13.5">
      <c r="A15" s="837">
        <v>12</v>
      </c>
      <c r="B15" s="838">
        <v>41842</v>
      </c>
      <c r="C15" s="947">
        <v>878.64</v>
      </c>
      <c r="D15" s="838">
        <v>41842</v>
      </c>
      <c r="E15" s="948">
        <v>878.64</v>
      </c>
      <c r="F15" s="951">
        <f t="shared" si="0"/>
        <v>1</v>
      </c>
      <c r="G15" s="949">
        <f t="shared" si="1"/>
        <v>0</v>
      </c>
      <c r="H15" s="951">
        <f t="shared" si="2"/>
        <v>0</v>
      </c>
      <c r="I15" s="839">
        <f t="shared" si="3"/>
        <v>1</v>
      </c>
    </row>
    <row r="16" spans="1:9" ht="13.5">
      <c r="A16" s="837">
        <v>13</v>
      </c>
      <c r="B16" s="838">
        <v>41873</v>
      </c>
      <c r="C16" s="947">
        <v>878.64</v>
      </c>
      <c r="D16" s="838">
        <v>41873</v>
      </c>
      <c r="E16" s="948">
        <v>878.64</v>
      </c>
      <c r="F16" s="951">
        <f t="shared" si="0"/>
        <v>1</v>
      </c>
      <c r="G16" s="949">
        <f t="shared" si="1"/>
        <v>0</v>
      </c>
      <c r="H16" s="951">
        <f t="shared" si="2"/>
        <v>0</v>
      </c>
      <c r="I16" s="839">
        <f t="shared" si="3"/>
        <v>1</v>
      </c>
    </row>
    <row r="17" spans="1:9" ht="13.5">
      <c r="A17" s="837">
        <v>14</v>
      </c>
      <c r="B17" s="838">
        <v>41904</v>
      </c>
      <c r="C17" s="947">
        <v>878.64</v>
      </c>
      <c r="D17" s="838">
        <v>41904</v>
      </c>
      <c r="E17" s="948">
        <v>878.64</v>
      </c>
      <c r="F17" s="951">
        <f t="shared" si="0"/>
        <v>1</v>
      </c>
      <c r="G17" s="949">
        <f t="shared" si="1"/>
        <v>0</v>
      </c>
      <c r="H17" s="951">
        <f t="shared" si="2"/>
        <v>0</v>
      </c>
      <c r="I17" s="839">
        <f t="shared" si="3"/>
        <v>1</v>
      </c>
    </row>
    <row r="18" spans="1:9" ht="13.5">
      <c r="A18" s="837">
        <v>15</v>
      </c>
      <c r="B18" s="838">
        <v>41934</v>
      </c>
      <c r="C18" s="947">
        <v>878.64</v>
      </c>
      <c r="D18" s="838">
        <v>41932</v>
      </c>
      <c r="E18" s="948">
        <v>878.64</v>
      </c>
      <c r="F18" s="951">
        <f t="shared" si="0"/>
        <v>1</v>
      </c>
      <c r="G18" s="949">
        <f t="shared" si="1"/>
        <v>0</v>
      </c>
      <c r="H18" s="951">
        <f t="shared" si="2"/>
        <v>0</v>
      </c>
      <c r="I18" s="839">
        <f t="shared" si="3"/>
        <v>1</v>
      </c>
    </row>
    <row r="19" spans="1:9" ht="13.5">
      <c r="A19" s="837">
        <v>16</v>
      </c>
      <c r="B19" s="838">
        <v>41965</v>
      </c>
      <c r="C19" s="947">
        <v>878.64</v>
      </c>
      <c r="D19" s="838">
        <v>41967</v>
      </c>
      <c r="E19" s="948">
        <v>878.64</v>
      </c>
      <c r="F19" s="951">
        <f t="shared" si="0"/>
        <v>1</v>
      </c>
      <c r="G19" s="949">
        <f t="shared" si="1"/>
        <v>0</v>
      </c>
      <c r="H19" s="951">
        <f t="shared" si="2"/>
        <v>0</v>
      </c>
      <c r="I19" s="839">
        <f t="shared" si="3"/>
        <v>1</v>
      </c>
    </row>
    <row r="20" spans="1:9" ht="13.5">
      <c r="A20" s="837">
        <v>17</v>
      </c>
      <c r="B20" s="838">
        <v>41995</v>
      </c>
      <c r="C20" s="947">
        <v>878.64</v>
      </c>
      <c r="D20" s="838">
        <v>41995</v>
      </c>
      <c r="E20" s="948">
        <v>878.64</v>
      </c>
      <c r="F20" s="951">
        <f t="shared" si="0"/>
        <v>1</v>
      </c>
      <c r="G20" s="949">
        <f t="shared" si="1"/>
        <v>0</v>
      </c>
      <c r="H20" s="951">
        <f t="shared" si="2"/>
        <v>0</v>
      </c>
      <c r="I20" s="839">
        <f t="shared" si="3"/>
        <v>1</v>
      </c>
    </row>
    <row r="21" spans="1:9" ht="13.5">
      <c r="A21" s="837">
        <v>18</v>
      </c>
      <c r="B21" s="838">
        <v>42026</v>
      </c>
      <c r="C21" s="947">
        <v>878.64</v>
      </c>
      <c r="D21" s="838">
        <v>42026</v>
      </c>
      <c r="E21" s="948">
        <v>878.64</v>
      </c>
      <c r="F21" s="951">
        <f t="shared" si="0"/>
        <v>1</v>
      </c>
      <c r="G21" s="949">
        <f t="shared" si="1"/>
        <v>0</v>
      </c>
      <c r="H21" s="951">
        <f t="shared" si="2"/>
        <v>0</v>
      </c>
      <c r="I21" s="839">
        <f t="shared" si="3"/>
        <v>1</v>
      </c>
    </row>
    <row r="22" spans="1:9" ht="13.5">
      <c r="A22" s="837">
        <v>19</v>
      </c>
      <c r="B22" s="838">
        <v>42057</v>
      </c>
      <c r="C22" s="947">
        <v>878.64</v>
      </c>
      <c r="D22" s="838">
        <v>42058</v>
      </c>
      <c r="E22" s="948">
        <v>878.64</v>
      </c>
      <c r="F22" s="951">
        <f t="shared" si="0"/>
        <v>1</v>
      </c>
      <c r="G22" s="949">
        <f t="shared" si="1"/>
        <v>0</v>
      </c>
      <c r="H22" s="951">
        <f t="shared" si="2"/>
        <v>0</v>
      </c>
      <c r="I22" s="839">
        <f t="shared" si="3"/>
        <v>1</v>
      </c>
    </row>
    <row r="23" spans="1:9" ht="13.5">
      <c r="A23" s="837">
        <v>20</v>
      </c>
      <c r="B23" s="838">
        <v>42085</v>
      </c>
      <c r="C23" s="947">
        <v>878.64</v>
      </c>
      <c r="D23" s="838">
        <v>42086</v>
      </c>
      <c r="E23" s="948">
        <v>878.64</v>
      </c>
      <c r="F23" s="951">
        <f t="shared" si="0"/>
        <v>1</v>
      </c>
      <c r="G23" s="949">
        <f t="shared" si="1"/>
        <v>0</v>
      </c>
      <c r="H23" s="951">
        <f t="shared" si="2"/>
        <v>0</v>
      </c>
      <c r="I23" s="839">
        <f t="shared" si="3"/>
        <v>1</v>
      </c>
    </row>
    <row r="24" spans="1:9" ht="13.5">
      <c r="A24" s="837">
        <v>21</v>
      </c>
      <c r="B24" s="838">
        <v>42116</v>
      </c>
      <c r="C24" s="947">
        <v>878.64</v>
      </c>
      <c r="D24" s="838">
        <v>42100</v>
      </c>
      <c r="E24" s="948">
        <v>869.87</v>
      </c>
      <c r="F24" s="951">
        <f t="shared" si="0"/>
        <v>0.99001866520986981</v>
      </c>
      <c r="G24" s="949">
        <f t="shared" si="1"/>
        <v>8.7699999999999818</v>
      </c>
      <c r="H24" s="951">
        <f t="shared" si="2"/>
        <v>9.9813347901301919E-3</v>
      </c>
      <c r="I24" s="839">
        <f t="shared" si="3"/>
        <v>1</v>
      </c>
    </row>
    <row r="25" spans="1:9" ht="13.5">
      <c r="A25" s="837">
        <v>22</v>
      </c>
      <c r="B25" s="838">
        <v>42146</v>
      </c>
      <c r="C25" s="947">
        <v>878.64</v>
      </c>
      <c r="D25" s="838">
        <v>42100</v>
      </c>
      <c r="E25" s="948">
        <v>853.65</v>
      </c>
      <c r="F25" s="951">
        <f t="shared" si="0"/>
        <v>0.97155831739961762</v>
      </c>
      <c r="G25" s="949">
        <f t="shared" si="1"/>
        <v>24.990000000000009</v>
      </c>
      <c r="H25" s="951">
        <f t="shared" si="2"/>
        <v>2.8441682600382379E-2</v>
      </c>
      <c r="I25" s="839">
        <f t="shared" si="3"/>
        <v>1</v>
      </c>
    </row>
    <row r="26" spans="1:9" ht="13.5">
      <c r="A26" s="837">
        <v>23</v>
      </c>
      <c r="B26" s="838">
        <v>42177</v>
      </c>
      <c r="C26" s="947">
        <v>878.64</v>
      </c>
      <c r="D26" s="838">
        <v>42100</v>
      </c>
      <c r="E26" s="948">
        <v>837.22</v>
      </c>
      <c r="F26" s="951">
        <f t="shared" si="0"/>
        <v>0.95285896385322777</v>
      </c>
      <c r="G26" s="949">
        <f t="shared" si="1"/>
        <v>41.419999999999959</v>
      </c>
      <c r="H26" s="951">
        <f t="shared" si="2"/>
        <v>4.7141036146772231E-2</v>
      </c>
      <c r="I26" s="839">
        <f t="shared" si="3"/>
        <v>1</v>
      </c>
    </row>
    <row r="27" spans="1:9" ht="13.5">
      <c r="A27" s="837">
        <v>24</v>
      </c>
      <c r="B27" s="838">
        <v>42207</v>
      </c>
      <c r="C27" s="947">
        <v>878.64</v>
      </c>
      <c r="D27" s="838">
        <v>42100</v>
      </c>
      <c r="E27" s="948">
        <v>821.61</v>
      </c>
      <c r="F27" s="951">
        <f t="shared" si="0"/>
        <v>0.93509287080032777</v>
      </c>
      <c r="G27" s="949">
        <f t="shared" si="1"/>
        <v>57.029999999999973</v>
      </c>
      <c r="H27" s="951">
        <f t="shared" si="2"/>
        <v>6.4907129199672231E-2</v>
      </c>
      <c r="I27" s="839">
        <f t="shared" si="3"/>
        <v>1</v>
      </c>
    </row>
    <row r="28" spans="1:9" ht="13.5">
      <c r="A28" s="837">
        <v>25</v>
      </c>
      <c r="B28" s="838">
        <v>42238</v>
      </c>
      <c r="C28" s="947">
        <v>878.64</v>
      </c>
      <c r="D28" s="838">
        <v>42100</v>
      </c>
      <c r="E28" s="948">
        <v>805.79</v>
      </c>
      <c r="F28" s="951">
        <f t="shared" si="0"/>
        <v>0.9170877720112901</v>
      </c>
      <c r="G28" s="949">
        <f t="shared" si="1"/>
        <v>72.850000000000023</v>
      </c>
      <c r="H28" s="951">
        <f t="shared" si="2"/>
        <v>8.2912227988709897E-2</v>
      </c>
      <c r="I28" s="839">
        <f t="shared" si="3"/>
        <v>1</v>
      </c>
    </row>
    <row r="29" spans="1:9" ht="13.5">
      <c r="A29" s="837">
        <v>26</v>
      </c>
      <c r="B29" s="838">
        <v>42269</v>
      </c>
      <c r="C29" s="947">
        <v>878.64</v>
      </c>
      <c r="D29" s="838">
        <v>42100</v>
      </c>
      <c r="E29" s="948">
        <v>790.28</v>
      </c>
      <c r="F29" s="951">
        <f t="shared" si="0"/>
        <v>0.89943549121369393</v>
      </c>
      <c r="G29" s="949">
        <f t="shared" si="1"/>
        <v>88.360000000000014</v>
      </c>
      <c r="H29" s="951">
        <f t="shared" si="2"/>
        <v>0.10056450878630607</v>
      </c>
      <c r="I29" s="839">
        <f t="shared" si="3"/>
        <v>1</v>
      </c>
    </row>
    <row r="30" spans="1:9" ht="13.5">
      <c r="A30" s="837">
        <v>27</v>
      </c>
      <c r="B30" s="838">
        <v>42299</v>
      </c>
      <c r="C30" s="947">
        <v>878.64</v>
      </c>
      <c r="D30" s="838">
        <v>42100</v>
      </c>
      <c r="E30" s="948">
        <v>775.55</v>
      </c>
      <c r="F30" s="951">
        <f t="shared" si="0"/>
        <v>0.8826709460074661</v>
      </c>
      <c r="G30" s="949">
        <f t="shared" si="1"/>
        <v>103.09000000000003</v>
      </c>
      <c r="H30" s="951">
        <f t="shared" si="2"/>
        <v>0.1173290539925339</v>
      </c>
      <c r="I30" s="839">
        <f t="shared" si="3"/>
        <v>1</v>
      </c>
    </row>
    <row r="31" spans="1:9" ht="13.5">
      <c r="A31" s="837">
        <v>28</v>
      </c>
      <c r="B31" s="838">
        <v>42330</v>
      </c>
      <c r="C31" s="947">
        <v>878.64</v>
      </c>
      <c r="D31" s="838">
        <v>42100</v>
      </c>
      <c r="E31" s="948">
        <v>760.61</v>
      </c>
      <c r="F31" s="951">
        <f t="shared" si="0"/>
        <v>0.8656673950651006</v>
      </c>
      <c r="G31" s="949">
        <f t="shared" si="1"/>
        <v>118.02999999999997</v>
      </c>
      <c r="H31" s="951">
        <f t="shared" si="2"/>
        <v>0.1343326049348994</v>
      </c>
      <c r="I31" s="839">
        <f t="shared" si="3"/>
        <v>1</v>
      </c>
    </row>
    <row r="32" spans="1:9" ht="13.5">
      <c r="A32" s="837">
        <v>29</v>
      </c>
      <c r="B32" s="838">
        <v>42360</v>
      </c>
      <c r="C32" s="947">
        <v>878.64</v>
      </c>
      <c r="D32" s="838">
        <v>42100</v>
      </c>
      <c r="E32" s="948">
        <v>746.44</v>
      </c>
      <c r="F32" s="951">
        <f t="shared" si="0"/>
        <v>0.84954019848857332</v>
      </c>
      <c r="G32" s="949">
        <f t="shared" si="1"/>
        <v>132.19999999999993</v>
      </c>
      <c r="H32" s="951">
        <f t="shared" si="2"/>
        <v>0.15045980151142668</v>
      </c>
      <c r="I32" s="839">
        <f t="shared" si="3"/>
        <v>1</v>
      </c>
    </row>
    <row r="33" spans="1:9" ht="13.5">
      <c r="A33" s="837">
        <v>30</v>
      </c>
      <c r="B33" s="838">
        <v>42391</v>
      </c>
      <c r="C33" s="947">
        <v>878.64</v>
      </c>
      <c r="D33" s="838">
        <v>42100</v>
      </c>
      <c r="E33" s="948">
        <v>732.07</v>
      </c>
      <c r="F33" s="951">
        <f t="shared" si="0"/>
        <v>0.83318537740143861</v>
      </c>
      <c r="G33" s="949">
        <f t="shared" si="1"/>
        <v>146.56999999999994</v>
      </c>
      <c r="H33" s="951">
        <f t="shared" si="2"/>
        <v>0.16681462259856139</v>
      </c>
      <c r="I33" s="839">
        <f t="shared" si="3"/>
        <v>1</v>
      </c>
    </row>
    <row r="34" spans="1:9" ht="13.5">
      <c r="A34" s="837">
        <v>31</v>
      </c>
      <c r="B34" s="838">
        <v>42422</v>
      </c>
      <c r="C34" s="947">
        <v>878.64</v>
      </c>
      <c r="D34" s="838">
        <v>42100</v>
      </c>
      <c r="E34" s="948">
        <v>717.97</v>
      </c>
      <c r="F34" s="951">
        <f t="shared" si="0"/>
        <v>0.81713784940362377</v>
      </c>
      <c r="G34" s="949">
        <f t="shared" si="1"/>
        <v>160.66999999999996</v>
      </c>
      <c r="H34" s="951">
        <f t="shared" si="2"/>
        <v>0.18286215059637623</v>
      </c>
      <c r="I34" s="839">
        <f t="shared" si="3"/>
        <v>1</v>
      </c>
    </row>
    <row r="35" spans="1:9" ht="13.5">
      <c r="A35" s="837">
        <v>32</v>
      </c>
      <c r="B35" s="838">
        <v>42451</v>
      </c>
      <c r="C35" s="947">
        <v>878.64</v>
      </c>
      <c r="D35" s="838">
        <v>42100</v>
      </c>
      <c r="E35" s="948">
        <v>705.03</v>
      </c>
      <c r="F35" s="951">
        <f t="shared" si="0"/>
        <v>0.80241054356733132</v>
      </c>
      <c r="G35" s="949">
        <f t="shared" si="1"/>
        <v>173.61</v>
      </c>
      <c r="H35" s="951">
        <f t="shared" si="2"/>
        <v>0.19758945643266868</v>
      </c>
      <c r="I35" s="839">
        <f t="shared" si="3"/>
        <v>1</v>
      </c>
    </row>
    <row r="36" spans="1:9" ht="13.5">
      <c r="A36" s="837">
        <v>33</v>
      </c>
      <c r="B36" s="838">
        <v>42482</v>
      </c>
      <c r="C36" s="947">
        <v>878.64</v>
      </c>
      <c r="D36" s="838">
        <v>42100</v>
      </c>
      <c r="E36" s="948">
        <v>691.45</v>
      </c>
      <c r="F36" s="951">
        <f t="shared" si="0"/>
        <v>0.78695483929709553</v>
      </c>
      <c r="G36" s="949">
        <f t="shared" si="1"/>
        <v>187.18999999999994</v>
      </c>
      <c r="H36" s="951">
        <f t="shared" si="2"/>
        <v>0.21304516070290447</v>
      </c>
      <c r="I36" s="839">
        <f t="shared" si="3"/>
        <v>1</v>
      </c>
    </row>
    <row r="37" spans="1:9" ht="13.5">
      <c r="A37" s="837">
        <v>34</v>
      </c>
      <c r="B37" s="838">
        <v>42512</v>
      </c>
      <c r="C37" s="947">
        <v>878.64</v>
      </c>
      <c r="D37" s="838">
        <v>42100</v>
      </c>
      <c r="E37" s="948">
        <v>678.57</v>
      </c>
      <c r="F37" s="951">
        <f t="shared" si="0"/>
        <v>0.77229582081398529</v>
      </c>
      <c r="G37" s="949">
        <f t="shared" si="1"/>
        <v>200.06999999999994</v>
      </c>
      <c r="H37" s="951">
        <f t="shared" si="2"/>
        <v>0.22770417918601471</v>
      </c>
      <c r="I37" s="839">
        <f t="shared" si="3"/>
        <v>1</v>
      </c>
    </row>
    <row r="38" spans="1:9">
      <c r="C38" s="459"/>
    </row>
    <row r="39" spans="1:9" ht="13.5">
      <c r="A39" s="838" t="s">
        <v>25005</v>
      </c>
      <c r="B39" s="948">
        <f>SUM(G2:G37)</f>
        <v>2267.3000000000002</v>
      </c>
      <c r="I39" s="837">
        <f>COUNT(I2:I37)</f>
        <v>36</v>
      </c>
    </row>
    <row r="40" spans="1:9" ht="13.5">
      <c r="A40" s="838" t="s">
        <v>25006</v>
      </c>
      <c r="B40" s="947">
        <f>AVERAGE(E2:E37)</f>
        <v>815.65944444444426</v>
      </c>
    </row>
    <row r="41" spans="1:9" ht="13.5">
      <c r="A41" s="838" t="s">
        <v>25007</v>
      </c>
      <c r="B41" s="950">
        <f>36-I39</f>
        <v>0</v>
      </c>
    </row>
    <row r="42" spans="1:9" ht="13.5">
      <c r="A42" s="838" t="s">
        <v>25008</v>
      </c>
      <c r="B42" s="947">
        <f>(36-I39)*C2</f>
        <v>0</v>
      </c>
    </row>
    <row r="44" spans="1:9">
      <c r="B44" s="1112"/>
    </row>
    <row r="45" spans="1:9">
      <c r="B45" s="1112"/>
    </row>
  </sheetData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Plan30"/>
  <dimension ref="A1:I128"/>
  <sheetViews>
    <sheetView zoomScale="90" zoomScaleNormal="90" workbookViewId="0">
      <pane ySplit="1" topLeftCell="A32" activePane="bottomLeft" state="frozen"/>
      <selection pane="bottomLeft" activeCell="G49" sqref="G49"/>
    </sheetView>
  </sheetViews>
  <sheetFormatPr defaultColWidth="11.7109375" defaultRowHeight="12.75"/>
  <cols>
    <col min="1" max="1" width="7.42578125" style="26" customWidth="1"/>
    <col min="2" max="2" width="35.85546875" style="26" customWidth="1"/>
    <col min="3" max="3" width="18.28515625" style="26" customWidth="1"/>
    <col min="4" max="4" width="12.85546875" style="26" customWidth="1"/>
    <col min="5" max="5" width="16.85546875" style="26" customWidth="1"/>
    <col min="6" max="6" width="12.85546875" style="26" customWidth="1"/>
    <col min="7" max="7" width="47.5703125" style="26" customWidth="1"/>
    <col min="8" max="8" width="11.5703125" style="26" customWidth="1"/>
    <col min="9" max="9" width="14.28515625" style="26" customWidth="1"/>
    <col min="10" max="16384" width="11.7109375" style="26"/>
  </cols>
  <sheetData>
    <row r="1" spans="1:9">
      <c r="A1" s="466" t="s">
        <v>25009</v>
      </c>
      <c r="B1" s="466" t="s">
        <v>25010</v>
      </c>
      <c r="C1" s="466" t="s">
        <v>25011</v>
      </c>
      <c r="D1" s="466" t="s">
        <v>25012</v>
      </c>
      <c r="E1" s="466" t="s">
        <v>25013</v>
      </c>
      <c r="F1" s="466" t="s">
        <v>25014</v>
      </c>
      <c r="G1" s="466" t="s">
        <v>25015</v>
      </c>
      <c r="H1" s="466" t="s">
        <v>25016</v>
      </c>
      <c r="I1" s="466" t="s">
        <v>884</v>
      </c>
    </row>
    <row r="2" spans="1:9" ht="15">
      <c r="A2" s="467">
        <v>61</v>
      </c>
      <c r="B2" s="467" t="s">
        <v>25017</v>
      </c>
      <c r="C2" s="467" t="s">
        <v>25018</v>
      </c>
      <c r="D2" s="467"/>
      <c r="E2" s="467"/>
      <c r="F2" s="467"/>
      <c r="G2" s="467" t="s">
        <v>25019</v>
      </c>
      <c r="H2" s="467"/>
      <c r="I2" s="467" t="str">
        <f>'Grupos Contatos'!E2</f>
        <v>Atualizado</v>
      </c>
    </row>
    <row r="3" spans="1:9" ht="15">
      <c r="A3" s="467">
        <v>43</v>
      </c>
      <c r="B3" s="467" t="s">
        <v>25020</v>
      </c>
      <c r="C3" s="467" t="s">
        <v>25021</v>
      </c>
      <c r="D3" s="467"/>
      <c r="E3" s="467"/>
      <c r="F3" s="467"/>
      <c r="G3" s="467" t="s">
        <v>25022</v>
      </c>
      <c r="H3" s="467" t="str">
        <f>'Grupos Contatos'!B3</f>
        <v>Amigos</v>
      </c>
      <c r="I3" s="467" t="str">
        <f>'Grupos Contatos'!E2</f>
        <v>Atualizado</v>
      </c>
    </row>
    <row r="4" spans="1:9" ht="15">
      <c r="A4" s="467">
        <v>61</v>
      </c>
      <c r="B4" s="467" t="s">
        <v>25023</v>
      </c>
      <c r="C4" s="467" t="s">
        <v>25024</v>
      </c>
      <c r="D4" s="467"/>
      <c r="E4" s="467"/>
      <c r="F4" s="467"/>
      <c r="G4" s="467" t="s">
        <v>25025</v>
      </c>
      <c r="H4" s="467"/>
      <c r="I4" s="467" t="str">
        <f>'Grupos Contatos'!E2</f>
        <v>Atualizado</v>
      </c>
    </row>
    <row r="5" spans="1:9" ht="15">
      <c r="A5" s="467">
        <v>61</v>
      </c>
      <c r="B5" s="467" t="s">
        <v>25026</v>
      </c>
      <c r="C5" s="467" t="s">
        <v>25027</v>
      </c>
      <c r="D5" s="467" t="s">
        <v>25028</v>
      </c>
      <c r="E5" s="467"/>
      <c r="F5" s="467"/>
      <c r="G5" s="467" t="s">
        <v>25029</v>
      </c>
      <c r="H5" s="467" t="str">
        <f>'Grupos Contatos'!B4</f>
        <v>Colegas</v>
      </c>
      <c r="I5" s="467" t="str">
        <f>'Grupos Contatos'!E2</f>
        <v>Atualizado</v>
      </c>
    </row>
    <row r="6" spans="1:9" ht="15">
      <c r="A6" s="467">
        <v>61</v>
      </c>
      <c r="B6" s="467" t="s">
        <v>25030</v>
      </c>
      <c r="C6" s="467"/>
      <c r="D6" s="467" t="s">
        <v>25031</v>
      </c>
      <c r="E6" s="467"/>
      <c r="F6" s="467"/>
      <c r="G6" s="467" t="s">
        <v>404</v>
      </c>
      <c r="H6" s="467"/>
      <c r="I6" s="467" t="str">
        <f>'Grupos Contatos'!E2</f>
        <v>Atualizado</v>
      </c>
    </row>
    <row r="7" spans="1:9" ht="15">
      <c r="A7" s="467"/>
      <c r="B7" s="467" t="s">
        <v>1698</v>
      </c>
      <c r="C7" s="467" t="s">
        <v>25032</v>
      </c>
      <c r="D7" s="467"/>
      <c r="E7" s="467" t="s">
        <v>25033</v>
      </c>
      <c r="F7" s="467"/>
      <c r="G7" s="467" t="s">
        <v>25034</v>
      </c>
      <c r="H7" s="467" t="str">
        <f>'Grupos Contatos'!B2</f>
        <v>Família</v>
      </c>
      <c r="I7" s="467" t="str">
        <f>'Grupos Contatos'!E5</f>
        <v xml:space="preserve">Em Uso </v>
      </c>
    </row>
    <row r="8" spans="1:9" ht="15">
      <c r="A8" s="467"/>
      <c r="B8" s="467" t="s">
        <v>25035</v>
      </c>
      <c r="C8" s="467" t="s">
        <v>25036</v>
      </c>
      <c r="D8" s="467" t="s">
        <v>25037</v>
      </c>
      <c r="E8" s="467"/>
      <c r="F8" s="467"/>
      <c r="G8" s="467" t="s">
        <v>25038</v>
      </c>
      <c r="H8" s="467" t="str">
        <f>'Grupos Contatos'!B3</f>
        <v>Amigos</v>
      </c>
      <c r="I8" s="467" t="str">
        <f>'Grupos Contatos'!E5</f>
        <v xml:space="preserve">Em Uso </v>
      </c>
    </row>
    <row r="9" spans="1:9" ht="15">
      <c r="A9" s="467">
        <v>43</v>
      </c>
      <c r="B9" s="467" t="s">
        <v>25039</v>
      </c>
      <c r="C9" s="467" t="s">
        <v>25040</v>
      </c>
      <c r="D9" s="467" t="s">
        <v>25041</v>
      </c>
      <c r="E9" s="467" t="s">
        <v>25042</v>
      </c>
      <c r="F9" s="467"/>
      <c r="G9" s="467" t="s">
        <v>25043</v>
      </c>
      <c r="H9" s="467" t="str">
        <f>'Grupos Contatos'!B3</f>
        <v>Amigos</v>
      </c>
      <c r="I9" s="467" t="str">
        <f>'Grupos Contatos'!E2</f>
        <v>Atualizado</v>
      </c>
    </row>
    <row r="10" spans="1:9" ht="15">
      <c r="A10" s="467">
        <v>43</v>
      </c>
      <c r="B10" s="467" t="s">
        <v>25044</v>
      </c>
      <c r="C10" s="467" t="s">
        <v>25045</v>
      </c>
      <c r="D10" s="467"/>
      <c r="E10" s="467"/>
      <c r="F10" s="467"/>
      <c r="G10" s="467" t="s">
        <v>25046</v>
      </c>
      <c r="H10" s="467" t="str">
        <f>'Grupos Contatos'!B3</f>
        <v>Amigos</v>
      </c>
      <c r="I10" s="467" t="str">
        <f>'Grupos Contatos'!E2</f>
        <v>Atualizado</v>
      </c>
    </row>
    <row r="11" spans="1:9" ht="15">
      <c r="A11" s="467">
        <v>43</v>
      </c>
      <c r="B11" s="467" t="s">
        <v>25047</v>
      </c>
      <c r="C11" s="467" t="s">
        <v>25048</v>
      </c>
      <c r="D11" s="467"/>
      <c r="E11" s="467"/>
      <c r="F11" s="467"/>
      <c r="G11" s="467" t="s">
        <v>25049</v>
      </c>
      <c r="H11" s="467" t="str">
        <f>'Grupos Contatos'!B3</f>
        <v>Amigos</v>
      </c>
      <c r="I11" s="467" t="str">
        <f>'Grupos Contatos'!E2</f>
        <v>Atualizado</v>
      </c>
    </row>
    <row r="12" spans="1:9" ht="15">
      <c r="A12" s="467"/>
      <c r="B12" s="467" t="s">
        <v>25050</v>
      </c>
      <c r="C12" s="467" t="s">
        <v>25051</v>
      </c>
      <c r="D12" s="467"/>
      <c r="E12" s="467"/>
      <c r="F12" s="467"/>
      <c r="G12" s="467" t="s">
        <v>25052</v>
      </c>
      <c r="H12" s="467" t="str">
        <f>'Grupos Contatos'!B3</f>
        <v>Amigos</v>
      </c>
      <c r="I12" s="467" t="s">
        <v>25053</v>
      </c>
    </row>
    <row r="13" spans="1:9" ht="15">
      <c r="A13" s="467"/>
      <c r="B13" s="467" t="s">
        <v>25054</v>
      </c>
      <c r="C13" s="467" t="s">
        <v>25055</v>
      </c>
      <c r="D13" s="467"/>
      <c r="E13" s="467"/>
      <c r="F13" s="467"/>
      <c r="G13" s="467" t="s">
        <v>25056</v>
      </c>
      <c r="H13" s="467" t="str">
        <f>'Grupos Contatos'!B3</f>
        <v>Amigos</v>
      </c>
      <c r="I13" s="467" t="str">
        <f>'Grupos Contatos'!E2</f>
        <v>Atualizado</v>
      </c>
    </row>
    <row r="14" spans="1:9" ht="15">
      <c r="A14" s="467">
        <v>43</v>
      </c>
      <c r="B14" s="467" t="s">
        <v>25057</v>
      </c>
      <c r="C14" s="467" t="s">
        <v>25058</v>
      </c>
      <c r="D14" s="467"/>
      <c r="E14" s="467"/>
      <c r="F14" s="467"/>
      <c r="G14" s="467" t="s">
        <v>25059</v>
      </c>
      <c r="H14" s="467" t="str">
        <f>'Grupos Contatos'!B3</f>
        <v>Amigos</v>
      </c>
      <c r="I14" s="467" t="str">
        <f>'Grupos Contatos'!E2</f>
        <v>Atualizado</v>
      </c>
    </row>
    <row r="15" spans="1:9" ht="15">
      <c r="A15" s="467">
        <v>43</v>
      </c>
      <c r="B15" s="467" t="s">
        <v>25060</v>
      </c>
      <c r="C15" s="467"/>
      <c r="D15" s="467" t="s">
        <v>25061</v>
      </c>
      <c r="E15" s="467"/>
      <c r="F15" s="467"/>
      <c r="G15" s="467" t="s">
        <v>25062</v>
      </c>
      <c r="H15" s="467"/>
      <c r="I15" s="467" t="str">
        <f>'Grupos Contatos'!E2</f>
        <v>Atualizado</v>
      </c>
    </row>
    <row r="16" spans="1:9" ht="15">
      <c r="A16" s="467"/>
      <c r="B16" s="467" t="s">
        <v>25063</v>
      </c>
      <c r="C16" s="467"/>
      <c r="D16" s="467" t="s">
        <v>25064</v>
      </c>
      <c r="E16" s="467"/>
      <c r="F16" s="467"/>
      <c r="G16" s="467" t="s">
        <v>404</v>
      </c>
      <c r="H16" s="467" t="str">
        <f>'Grupos Contatos'!B8</f>
        <v>Outros</v>
      </c>
      <c r="I16" s="467" t="str">
        <f>'Grupos Contatos'!E5</f>
        <v xml:space="preserve">Em Uso </v>
      </c>
    </row>
    <row r="17" spans="1:9" ht="15">
      <c r="A17" s="467"/>
      <c r="B17" s="467" t="s">
        <v>25065</v>
      </c>
      <c r="C17" s="467" t="s">
        <v>25066</v>
      </c>
      <c r="D17" s="467"/>
      <c r="E17" s="467"/>
      <c r="F17" s="467"/>
      <c r="G17" s="467" t="s">
        <v>25067</v>
      </c>
      <c r="H17" s="467"/>
      <c r="I17" s="467" t="str">
        <f>'Grupos Contatos'!E3</f>
        <v>Desuso</v>
      </c>
    </row>
    <row r="18" spans="1:9" ht="15">
      <c r="A18" s="467">
        <v>62</v>
      </c>
      <c r="B18" s="467" t="s">
        <v>25068</v>
      </c>
      <c r="C18" s="467" t="s">
        <v>25069</v>
      </c>
      <c r="D18" s="467"/>
      <c r="E18" s="467"/>
      <c r="F18" s="467"/>
      <c r="G18" s="467" t="s">
        <v>25070</v>
      </c>
      <c r="H18" s="467" t="str">
        <f>'Grupos Contatos'!B4</f>
        <v>Colegas</v>
      </c>
      <c r="I18" s="467" t="str">
        <f>'Grupos Contatos'!E2</f>
        <v>Atualizado</v>
      </c>
    </row>
    <row r="19" spans="1:9" ht="15">
      <c r="A19" s="467"/>
      <c r="B19" s="467" t="s">
        <v>2993</v>
      </c>
      <c r="C19" s="467" t="s">
        <v>25071</v>
      </c>
      <c r="D19" s="467"/>
      <c r="E19" s="467" t="s">
        <v>25072</v>
      </c>
      <c r="F19" s="467"/>
      <c r="G19" s="467" t="s">
        <v>25073</v>
      </c>
      <c r="H19" s="467" t="str">
        <f>'Grupos Contatos'!B2</f>
        <v>Família</v>
      </c>
      <c r="I19" s="467" t="str">
        <f>'Grupos Contatos'!E5</f>
        <v xml:space="preserve">Em Uso </v>
      </c>
    </row>
    <row r="20" spans="1:9" ht="15">
      <c r="A20" s="467"/>
      <c r="B20" s="467" t="s">
        <v>25074</v>
      </c>
      <c r="C20" s="467" t="s">
        <v>25075</v>
      </c>
      <c r="D20" s="467"/>
      <c r="E20" s="467" t="s">
        <v>25076</v>
      </c>
      <c r="F20" s="467"/>
      <c r="G20" s="467" t="s">
        <v>25077</v>
      </c>
      <c r="H20" s="467" t="str">
        <f>'Grupos Contatos'!B3</f>
        <v>Amigos</v>
      </c>
      <c r="I20" s="467" t="s">
        <v>25053</v>
      </c>
    </row>
    <row r="21" spans="1:9" ht="15">
      <c r="A21" s="467">
        <v>14</v>
      </c>
      <c r="B21" s="467" t="s">
        <v>25078</v>
      </c>
      <c r="C21" s="467"/>
      <c r="D21" s="467"/>
      <c r="E21" s="467" t="s">
        <v>25079</v>
      </c>
      <c r="F21" s="467"/>
      <c r="G21" s="467" t="s">
        <v>25080</v>
      </c>
      <c r="H21" s="467" t="str">
        <f>'Grupos Contatos'!B2</f>
        <v>Família</v>
      </c>
      <c r="I21" s="467" t="str">
        <f>'Grupos Contatos'!E2</f>
        <v>Atualizado</v>
      </c>
    </row>
    <row r="22" spans="1:9" ht="15">
      <c r="A22" s="467"/>
      <c r="B22" s="467" t="s">
        <v>25081</v>
      </c>
      <c r="C22" s="467"/>
      <c r="D22" s="467" t="s">
        <v>25082</v>
      </c>
      <c r="E22" s="467"/>
      <c r="F22" s="467"/>
      <c r="G22" s="467" t="s">
        <v>25083</v>
      </c>
      <c r="H22" s="467" t="str">
        <f>'Grupos Contatos'!B8</f>
        <v>Outros</v>
      </c>
      <c r="I22" s="467" t="str">
        <f>'Grupos Contatos'!E2</f>
        <v>Atualizado</v>
      </c>
    </row>
    <row r="23" spans="1:9" ht="15">
      <c r="A23" s="467">
        <v>43</v>
      </c>
      <c r="B23" s="467" t="s">
        <v>25084</v>
      </c>
      <c r="C23" s="467" t="s">
        <v>25085</v>
      </c>
      <c r="D23" s="467"/>
      <c r="E23" s="467"/>
      <c r="F23" s="467"/>
      <c r="G23" s="467" t="s">
        <v>25086</v>
      </c>
      <c r="H23" s="467" t="str">
        <f>'Grupos Contatos'!B3</f>
        <v>Amigos</v>
      </c>
      <c r="I23" s="467" t="str">
        <f>'Grupos Contatos'!E2</f>
        <v>Atualizado</v>
      </c>
    </row>
    <row r="24" spans="1:9" ht="15">
      <c r="A24" s="467">
        <v>43</v>
      </c>
      <c r="B24" s="467" t="s">
        <v>25087</v>
      </c>
      <c r="C24" s="467" t="s">
        <v>25088</v>
      </c>
      <c r="D24" s="467"/>
      <c r="E24" s="467"/>
      <c r="F24" s="467"/>
      <c r="G24" s="467" t="s">
        <v>25089</v>
      </c>
      <c r="H24" s="467" t="str">
        <f>'Grupos Contatos'!B3</f>
        <v>Amigos</v>
      </c>
      <c r="I24" s="467" t="str">
        <f>'Grupos Contatos'!E2</f>
        <v>Atualizado</v>
      </c>
    </row>
    <row r="25" spans="1:9" ht="15">
      <c r="A25" s="467">
        <v>14</v>
      </c>
      <c r="B25" s="467" t="s">
        <v>25090</v>
      </c>
      <c r="C25" s="467" t="s">
        <v>25091</v>
      </c>
      <c r="D25" s="467"/>
      <c r="E25" s="467" t="s">
        <v>25092</v>
      </c>
      <c r="F25" s="467"/>
      <c r="G25" s="467" t="s">
        <v>25093</v>
      </c>
      <c r="H25" s="467" t="str">
        <f>'Grupos Contatos'!B2</f>
        <v>Família</v>
      </c>
      <c r="I25" s="467" t="str">
        <f>'Grupos Contatos'!E5</f>
        <v xml:space="preserve">Em Uso </v>
      </c>
    </row>
    <row r="26" spans="1:9" ht="15">
      <c r="A26" s="467"/>
      <c r="B26" s="467" t="s">
        <v>25094</v>
      </c>
      <c r="C26" s="467" t="s">
        <v>25095</v>
      </c>
      <c r="D26" s="467"/>
      <c r="E26" s="467" t="s">
        <v>25096</v>
      </c>
      <c r="F26" s="467"/>
      <c r="G26" s="467" t="s">
        <v>25097</v>
      </c>
      <c r="H26" s="467" t="str">
        <f>'Grupos Contatos'!B3</f>
        <v>Amigos</v>
      </c>
      <c r="I26" s="467" t="s">
        <v>25053</v>
      </c>
    </row>
    <row r="27" spans="1:9" ht="15">
      <c r="A27" s="467"/>
      <c r="B27" s="467" t="s">
        <v>25098</v>
      </c>
      <c r="C27" s="467" t="s">
        <v>25099</v>
      </c>
      <c r="D27" s="467"/>
      <c r="E27" s="467"/>
      <c r="F27" s="467"/>
      <c r="G27" s="467" t="s">
        <v>404</v>
      </c>
      <c r="H27" s="467"/>
      <c r="I27" s="467" t="str">
        <f>'Grupos Contatos'!E5</f>
        <v xml:space="preserve">Em Uso </v>
      </c>
    </row>
    <row r="28" spans="1:9" ht="15">
      <c r="A28" s="467"/>
      <c r="B28" s="467" t="s">
        <v>25100</v>
      </c>
      <c r="C28" s="467" t="s">
        <v>25101</v>
      </c>
      <c r="D28" s="467" t="s">
        <v>25102</v>
      </c>
      <c r="E28" s="467"/>
      <c r="F28" s="467"/>
      <c r="G28" s="467" t="s">
        <v>25103</v>
      </c>
      <c r="H28" s="467" t="str">
        <f>'Grupos Contatos'!B2</f>
        <v>Família</v>
      </c>
      <c r="I28" s="467" t="str">
        <f>'Grupos Contatos'!E5</f>
        <v xml:space="preserve">Em Uso </v>
      </c>
    </row>
    <row r="29" spans="1:9" ht="15">
      <c r="A29" s="467">
        <v>61</v>
      </c>
      <c r="B29" s="467" t="s">
        <v>25104</v>
      </c>
      <c r="C29" s="467" t="s">
        <v>25105</v>
      </c>
      <c r="D29" s="467"/>
      <c r="E29" s="467"/>
      <c r="F29" s="467"/>
      <c r="G29" s="467" t="s">
        <v>25106</v>
      </c>
      <c r="H29" s="467" t="str">
        <f>'Grupos Contatos'!B4</f>
        <v>Colegas</v>
      </c>
      <c r="I29" s="467" t="str">
        <f>'Grupos Contatos'!E2</f>
        <v>Atualizado</v>
      </c>
    </row>
    <row r="30" spans="1:9" ht="15">
      <c r="A30" s="467">
        <v>43</v>
      </c>
      <c r="B30" s="467" t="s">
        <v>25107</v>
      </c>
      <c r="C30" s="467" t="s">
        <v>25108</v>
      </c>
      <c r="D30" s="467"/>
      <c r="E30" s="467" t="s">
        <v>25109</v>
      </c>
      <c r="F30" s="467"/>
      <c r="G30" s="467" t="s">
        <v>25110</v>
      </c>
      <c r="H30" s="467" t="str">
        <f>'Grupos Contatos'!B2</f>
        <v>Família</v>
      </c>
      <c r="I30" s="467" t="str">
        <f>'Grupos Contatos'!E2</f>
        <v>Atualizado</v>
      </c>
    </row>
    <row r="31" spans="1:9" ht="15">
      <c r="A31" s="467">
        <v>43</v>
      </c>
      <c r="B31" s="467" t="s">
        <v>25111</v>
      </c>
      <c r="C31" s="467" t="s">
        <v>25112</v>
      </c>
      <c r="D31" s="467" t="s">
        <v>25113</v>
      </c>
      <c r="E31" s="467" t="s">
        <v>25114</v>
      </c>
      <c r="F31" s="467"/>
      <c r="G31" s="467" t="s">
        <v>25115</v>
      </c>
      <c r="H31" s="467" t="str">
        <f>'Grupos Contatos'!B3</f>
        <v>Amigos</v>
      </c>
      <c r="I31" s="467" t="str">
        <f>'Grupos Contatos'!E2</f>
        <v>Atualizado</v>
      </c>
    </row>
    <row r="32" spans="1:9" ht="15">
      <c r="A32" s="467"/>
      <c r="B32" s="467" t="s">
        <v>25116</v>
      </c>
      <c r="C32" s="467"/>
      <c r="D32" s="467" t="s">
        <v>25117</v>
      </c>
      <c r="E32" s="467"/>
      <c r="F32" s="467"/>
      <c r="G32" s="467" t="s">
        <v>25118</v>
      </c>
      <c r="H32" s="467" t="str">
        <f>'Grupos Contatos'!B8</f>
        <v>Outros</v>
      </c>
      <c r="I32" s="467" t="str">
        <f>'Grupos Contatos'!E2</f>
        <v>Atualizado</v>
      </c>
    </row>
    <row r="33" spans="1:9" ht="15">
      <c r="A33" s="467">
        <v>14</v>
      </c>
      <c r="B33" s="467" t="s">
        <v>25119</v>
      </c>
      <c r="C33" s="467"/>
      <c r="D33" s="467"/>
      <c r="E33" s="467" t="s">
        <v>25120</v>
      </c>
      <c r="F33" s="467"/>
      <c r="G33" s="467" t="s">
        <v>25121</v>
      </c>
      <c r="H33" s="467" t="str">
        <f>'Grupos Contatos'!B2</f>
        <v>Família</v>
      </c>
      <c r="I33" s="467" t="str">
        <f>'Grupos Contatos'!E2</f>
        <v>Atualizado</v>
      </c>
    </row>
    <row r="34" spans="1:9" ht="15">
      <c r="A34" s="467">
        <v>61</v>
      </c>
      <c r="B34" s="467" t="s">
        <v>25122</v>
      </c>
      <c r="C34" s="467" t="s">
        <v>25123</v>
      </c>
      <c r="D34" s="467"/>
      <c r="E34" s="467" t="s">
        <v>25124</v>
      </c>
      <c r="F34" s="467"/>
      <c r="G34" s="467" t="s">
        <v>25125</v>
      </c>
      <c r="H34" s="467" t="str">
        <f>'Grupos Contatos'!B3</f>
        <v>Amigos</v>
      </c>
      <c r="I34" s="467" t="s">
        <v>25053</v>
      </c>
    </row>
    <row r="35" spans="1:9" ht="15">
      <c r="A35" s="467">
        <v>43</v>
      </c>
      <c r="B35" s="467" t="s">
        <v>25126</v>
      </c>
      <c r="C35" s="467" t="s">
        <v>25127</v>
      </c>
      <c r="D35" s="467"/>
      <c r="E35" s="467" t="s">
        <v>25128</v>
      </c>
      <c r="F35" s="467"/>
      <c r="G35" s="467"/>
      <c r="H35" s="467" t="str">
        <f>'Grupos Contatos'!B3</f>
        <v>Amigos</v>
      </c>
      <c r="I35" s="467" t="str">
        <f>'Grupos Contatos'!E2</f>
        <v>Atualizado</v>
      </c>
    </row>
    <row r="36" spans="1:9" ht="15">
      <c r="A36" s="467">
        <v>43</v>
      </c>
      <c r="B36" s="467" t="s">
        <v>25129</v>
      </c>
      <c r="C36" s="467" t="s">
        <v>25130</v>
      </c>
      <c r="D36" s="467" t="s">
        <v>25131</v>
      </c>
      <c r="E36" s="467" t="s">
        <v>25132</v>
      </c>
      <c r="F36" s="467"/>
      <c r="G36" s="467" t="s">
        <v>25133</v>
      </c>
      <c r="H36" s="467" t="str">
        <f>'Grupos Contatos'!B2</f>
        <v>Família</v>
      </c>
      <c r="I36" s="467" t="str">
        <f>'Grupos Contatos'!E5</f>
        <v xml:space="preserve">Em Uso </v>
      </c>
    </row>
    <row r="37" spans="1:9" ht="15">
      <c r="A37" s="467"/>
      <c r="B37" s="467" t="s">
        <v>25134</v>
      </c>
      <c r="C37" s="467"/>
      <c r="D37" s="467" t="s">
        <v>25135</v>
      </c>
      <c r="E37" s="467" t="s">
        <v>25136</v>
      </c>
      <c r="F37" s="467"/>
      <c r="G37" s="467"/>
      <c r="H37" s="467"/>
      <c r="I37" s="467" t="str">
        <f>'Grupos Contatos'!E2</f>
        <v>Atualizado</v>
      </c>
    </row>
    <row r="38" spans="1:9" ht="15">
      <c r="A38" s="467"/>
      <c r="B38" s="467" t="s">
        <v>1244</v>
      </c>
      <c r="C38" s="467" t="s">
        <v>25137</v>
      </c>
      <c r="D38" s="467"/>
      <c r="E38" s="467"/>
      <c r="F38" s="467"/>
      <c r="G38" s="467"/>
      <c r="H38" s="467"/>
      <c r="I38" s="467" t="str">
        <f>'Grupos Contatos'!E5</f>
        <v xml:space="preserve">Em Uso </v>
      </c>
    </row>
    <row r="39" spans="1:9" ht="15">
      <c r="A39" s="467"/>
      <c r="B39" s="467" t="s">
        <v>25138</v>
      </c>
      <c r="C39" s="467"/>
      <c r="D39" s="467" t="s">
        <v>25139</v>
      </c>
      <c r="E39" s="467"/>
      <c r="F39" s="467"/>
      <c r="G39" s="467" t="s">
        <v>404</v>
      </c>
      <c r="H39" s="467" t="str">
        <f>'Grupos Contatos'!B7</f>
        <v>Grupo 2</v>
      </c>
      <c r="I39" s="467" t="str">
        <f>'Grupos Contatos'!E2</f>
        <v>Atualizado</v>
      </c>
    </row>
    <row r="40" spans="1:9" ht="15">
      <c r="A40" s="467"/>
      <c r="B40" s="467" t="s">
        <v>25140</v>
      </c>
      <c r="C40" s="467"/>
      <c r="D40" s="467" t="s">
        <v>25141</v>
      </c>
      <c r="E40" s="467"/>
      <c r="F40" s="467"/>
      <c r="G40" s="467" t="s">
        <v>404</v>
      </c>
      <c r="H40" s="467" t="str">
        <f>'Grupos Contatos'!B7</f>
        <v>Grupo 2</v>
      </c>
      <c r="I40" s="467" t="str">
        <f>'Grupos Contatos'!E2</f>
        <v>Atualizado</v>
      </c>
    </row>
    <row r="41" spans="1:9" ht="15">
      <c r="A41" s="467">
        <v>43</v>
      </c>
      <c r="B41" s="467" t="s">
        <v>25142</v>
      </c>
      <c r="C41" s="467" t="s">
        <v>25143</v>
      </c>
      <c r="D41" s="467" t="s">
        <v>25144</v>
      </c>
      <c r="E41" s="467"/>
      <c r="F41" s="467"/>
      <c r="G41" s="467" t="s">
        <v>25145</v>
      </c>
      <c r="H41" s="467" t="str">
        <f>'Grupos Contatos'!B3</f>
        <v>Amigos</v>
      </c>
      <c r="I41" s="467" t="str">
        <f>'Grupos Contatos'!E2</f>
        <v>Atualizado</v>
      </c>
    </row>
    <row r="42" spans="1:9" ht="15">
      <c r="A42" s="467">
        <v>61</v>
      </c>
      <c r="B42" s="467" t="s">
        <v>25146</v>
      </c>
      <c r="C42" s="467" t="s">
        <v>25147</v>
      </c>
      <c r="D42" s="467" t="s">
        <v>25148</v>
      </c>
      <c r="E42" s="467" t="s">
        <v>25149</v>
      </c>
      <c r="F42" s="467"/>
      <c r="G42" s="467" t="s">
        <v>25150</v>
      </c>
      <c r="H42" s="467" t="str">
        <f>'Grupos Contatos'!B3</f>
        <v>Amigos</v>
      </c>
      <c r="I42" s="467" t="str">
        <f>'Grupos Contatos'!E2</f>
        <v>Atualizado</v>
      </c>
    </row>
    <row r="43" spans="1:9" ht="15">
      <c r="A43" s="467">
        <v>61</v>
      </c>
      <c r="B43" s="467" t="s">
        <v>25151</v>
      </c>
      <c r="C43" s="467"/>
      <c r="D43" s="467" t="s">
        <v>25152</v>
      </c>
      <c r="E43" s="467"/>
      <c r="F43" s="467"/>
      <c r="G43" s="467" t="s">
        <v>404</v>
      </c>
      <c r="H43" s="467" t="str">
        <f>'Grupos Contatos'!B7</f>
        <v>Grupo 2</v>
      </c>
      <c r="I43" s="467" t="str">
        <f>'Grupos Contatos'!E2</f>
        <v>Atualizado</v>
      </c>
    </row>
    <row r="44" spans="1:9" ht="15">
      <c r="A44" s="467">
        <v>61</v>
      </c>
      <c r="B44" s="467" t="s">
        <v>25153</v>
      </c>
      <c r="C44" s="467" t="s">
        <v>25154</v>
      </c>
      <c r="D44" s="467"/>
      <c r="E44" s="467"/>
      <c r="F44" s="467"/>
      <c r="G44" s="467" t="s">
        <v>25155</v>
      </c>
      <c r="H44" s="467" t="str">
        <f>'Grupos Contatos'!B3</f>
        <v>Amigos</v>
      </c>
      <c r="I44" s="467" t="str">
        <f>'Grupos Contatos'!E2</f>
        <v>Atualizado</v>
      </c>
    </row>
    <row r="45" spans="1:9" ht="15">
      <c r="A45" s="467"/>
      <c r="B45" s="467" t="s">
        <v>25156</v>
      </c>
      <c r="C45" s="467" t="s">
        <v>25157</v>
      </c>
      <c r="D45" s="467" t="s">
        <v>25158</v>
      </c>
      <c r="E45" s="467"/>
      <c r="F45" s="467"/>
      <c r="G45" s="467" t="s">
        <v>25159</v>
      </c>
      <c r="H45" s="467" t="str">
        <f>'Grupos Contatos'!B7</f>
        <v>Grupo 2</v>
      </c>
      <c r="I45" s="467" t="str">
        <f>'Grupos Contatos'!E2</f>
        <v>Atualizado</v>
      </c>
    </row>
    <row r="46" spans="1:9" ht="15">
      <c r="A46" s="467"/>
      <c r="B46" s="467" t="s">
        <v>25160</v>
      </c>
      <c r="C46" s="467" t="s">
        <v>25161</v>
      </c>
      <c r="D46" s="467" t="s">
        <v>25162</v>
      </c>
      <c r="E46" s="467"/>
      <c r="F46" s="467"/>
      <c r="G46" s="467" t="s">
        <v>25163</v>
      </c>
      <c r="H46" s="467" t="str">
        <f>'Grupos Contatos'!B3</f>
        <v>Amigos</v>
      </c>
      <c r="I46" s="467" t="str">
        <f>'Grupos Contatos'!E2</f>
        <v>Atualizado</v>
      </c>
    </row>
    <row r="47" spans="1:9" ht="15">
      <c r="A47" s="467"/>
      <c r="B47" s="467" t="s">
        <v>25164</v>
      </c>
      <c r="C47" s="467" t="s">
        <v>25165</v>
      </c>
      <c r="D47" s="467"/>
      <c r="E47" s="467"/>
      <c r="F47" s="467"/>
      <c r="G47" s="467"/>
      <c r="H47" s="467" t="str">
        <f>'Grupos Contatos'!B7</f>
        <v>Grupo 2</v>
      </c>
      <c r="I47" s="467" t="str">
        <f>'Grupos Contatos'!E2</f>
        <v>Atualizado</v>
      </c>
    </row>
    <row r="48" spans="1:9" ht="15">
      <c r="A48" s="467"/>
      <c r="B48" s="467" t="s">
        <v>25166</v>
      </c>
      <c r="C48" s="467" t="s">
        <v>25167</v>
      </c>
      <c r="D48" s="467"/>
      <c r="E48" s="467"/>
      <c r="F48" s="467"/>
      <c r="G48" s="467"/>
      <c r="H48" s="467" t="str">
        <f>'Grupos Contatos'!B7</f>
        <v>Grupo 2</v>
      </c>
      <c r="I48" s="467" t="str">
        <f>'Grupos Contatos'!E2</f>
        <v>Atualizado</v>
      </c>
    </row>
    <row r="49" spans="1:9" ht="15">
      <c r="A49" s="467"/>
      <c r="B49" s="467" t="s">
        <v>25168</v>
      </c>
      <c r="C49" s="467" t="s">
        <v>25169</v>
      </c>
      <c r="D49" s="467" t="s">
        <v>25170</v>
      </c>
      <c r="E49" s="467"/>
      <c r="F49" s="467"/>
      <c r="G49" s="467" t="s">
        <v>25171</v>
      </c>
      <c r="H49" s="467" t="str">
        <f>'Grupos Contatos'!B3</f>
        <v>Amigos</v>
      </c>
      <c r="I49" s="467" t="str">
        <f>'Grupos Contatos'!E2</f>
        <v>Atualizado</v>
      </c>
    </row>
    <row r="50" spans="1:9" ht="15">
      <c r="A50" s="467"/>
      <c r="B50" s="467" t="s">
        <v>25172</v>
      </c>
      <c r="C50" s="467" t="s">
        <v>25173</v>
      </c>
      <c r="D50" s="467"/>
      <c r="E50" s="467"/>
      <c r="F50" s="467"/>
      <c r="G50" s="467" t="s">
        <v>25174</v>
      </c>
      <c r="H50" s="467" t="str">
        <f>'Grupos Contatos'!B14</f>
        <v>Business</v>
      </c>
      <c r="I50" s="467" t="str">
        <f>'Grupos Contatos'!E2</f>
        <v>Atualizado</v>
      </c>
    </row>
    <row r="51" spans="1:9" ht="15">
      <c r="A51" s="467"/>
      <c r="B51" s="467" t="s">
        <v>25175</v>
      </c>
      <c r="C51" s="467" t="s">
        <v>25176</v>
      </c>
      <c r="D51" s="467"/>
      <c r="E51" s="467"/>
      <c r="F51" s="467"/>
      <c r="G51" s="467" t="s">
        <v>25177</v>
      </c>
      <c r="H51" s="467" t="str">
        <f>'Grupos Contatos'!B6</f>
        <v>Grupo 1</v>
      </c>
      <c r="I51" s="467" t="str">
        <f>'Grupos Contatos'!E5</f>
        <v xml:space="preserve">Em Uso </v>
      </c>
    </row>
    <row r="52" spans="1:9" ht="15">
      <c r="A52" s="467"/>
      <c r="B52" s="467" t="s">
        <v>25178</v>
      </c>
      <c r="C52" s="467" t="s">
        <v>25179</v>
      </c>
      <c r="D52" s="467" t="s">
        <v>25180</v>
      </c>
      <c r="E52" s="467"/>
      <c r="F52" s="467"/>
      <c r="G52" s="467" t="s">
        <v>25181</v>
      </c>
      <c r="H52" s="467" t="str">
        <f>'Grupos Contatos'!B6</f>
        <v>Grupo 1</v>
      </c>
      <c r="I52" s="467" t="str">
        <f>'Grupos Contatos'!E5</f>
        <v xml:space="preserve">Em Uso </v>
      </c>
    </row>
    <row r="53" spans="1:9" ht="15">
      <c r="A53" s="467"/>
      <c r="B53" s="467" t="s">
        <v>25182</v>
      </c>
      <c r="C53" s="467"/>
      <c r="D53" s="467" t="s">
        <v>25183</v>
      </c>
      <c r="E53" s="467"/>
      <c r="F53" s="467"/>
      <c r="G53" s="467"/>
      <c r="H53" s="467" t="str">
        <f>'Grupos Contatos'!B8</f>
        <v>Outros</v>
      </c>
      <c r="I53" s="467" t="s">
        <v>25053</v>
      </c>
    </row>
    <row r="54" spans="1:9" ht="15">
      <c r="A54" s="467"/>
      <c r="B54" s="467" t="s">
        <v>25184</v>
      </c>
      <c r="C54" s="467"/>
      <c r="D54" s="467" t="s">
        <v>25185</v>
      </c>
      <c r="E54" s="467"/>
      <c r="F54" s="467"/>
      <c r="G54" s="467"/>
      <c r="H54" s="467" t="str">
        <f>'Grupos Contatos'!B8</f>
        <v>Outros</v>
      </c>
      <c r="I54" s="467" t="str">
        <f>'Grupos Contatos'!E2</f>
        <v>Atualizado</v>
      </c>
    </row>
    <row r="55" spans="1:9" ht="15">
      <c r="A55" s="467"/>
      <c r="B55" s="467" t="s">
        <v>25186</v>
      </c>
      <c r="C55" s="467"/>
      <c r="D55" s="467" t="s">
        <v>25187</v>
      </c>
      <c r="E55" s="467"/>
      <c r="F55" s="467"/>
      <c r="G55" s="467"/>
      <c r="H55" s="467" t="str">
        <f>'Grupos Contatos'!B8</f>
        <v>Outros</v>
      </c>
      <c r="I55" s="467" t="str">
        <f>'Grupos Contatos'!E5</f>
        <v xml:space="preserve">Em Uso </v>
      </c>
    </row>
    <row r="56" spans="1:9" ht="15">
      <c r="A56" s="467"/>
      <c r="B56" s="467" t="s">
        <v>25188</v>
      </c>
      <c r="C56" s="467"/>
      <c r="D56" s="467" t="s">
        <v>25189</v>
      </c>
      <c r="E56" s="467"/>
      <c r="F56" s="467"/>
      <c r="G56" s="467"/>
      <c r="H56" s="467" t="str">
        <f>'Grupos Contatos'!B7</f>
        <v>Grupo 2</v>
      </c>
      <c r="I56" s="467" t="str">
        <f>'Grupos Contatos'!E2</f>
        <v>Atualizado</v>
      </c>
    </row>
    <row r="57" spans="1:9" ht="15">
      <c r="A57" s="467"/>
      <c r="B57" s="467" t="s">
        <v>25190</v>
      </c>
      <c r="C57" s="467" t="s">
        <v>25191</v>
      </c>
      <c r="D57" s="467" t="s">
        <v>25192</v>
      </c>
      <c r="E57" s="467"/>
      <c r="F57" s="467"/>
      <c r="G57" s="467" t="s">
        <v>25193</v>
      </c>
      <c r="H57" s="467" t="str">
        <f>'Grupos Contatos'!B6</f>
        <v>Grupo 1</v>
      </c>
      <c r="I57" s="467" t="str">
        <f>'Grupos Contatos'!E5</f>
        <v xml:space="preserve">Em Uso </v>
      </c>
    </row>
    <row r="58" spans="1:9" ht="15">
      <c r="A58" s="467"/>
      <c r="B58" s="467" t="s">
        <v>25194</v>
      </c>
      <c r="C58" s="467" t="s">
        <v>25195</v>
      </c>
      <c r="D58" s="467" t="s">
        <v>25196</v>
      </c>
      <c r="E58" s="467"/>
      <c r="F58" s="467"/>
      <c r="G58" s="467" t="s">
        <v>25197</v>
      </c>
      <c r="H58" s="467" t="str">
        <f>'Grupos Contatos'!B6</f>
        <v>Grupo 1</v>
      </c>
      <c r="I58" s="467" t="str">
        <f>'Grupos Contatos'!E5</f>
        <v xml:space="preserve">Em Uso </v>
      </c>
    </row>
    <row r="59" spans="1:9" ht="15">
      <c r="A59" s="467">
        <v>14</v>
      </c>
      <c r="B59" s="467" t="s">
        <v>25198</v>
      </c>
      <c r="C59" s="467" t="s">
        <v>25199</v>
      </c>
      <c r="D59" s="467"/>
      <c r="E59" s="467" t="s">
        <v>25200</v>
      </c>
      <c r="F59" s="467"/>
      <c r="G59" s="467"/>
      <c r="H59" s="467" t="str">
        <f>'Grupos Contatos'!B2</f>
        <v>Família</v>
      </c>
      <c r="I59" s="467" t="str">
        <f>'Grupos Contatos'!E5</f>
        <v xml:space="preserve">Em Uso </v>
      </c>
    </row>
    <row r="60" spans="1:9" ht="15">
      <c r="A60" s="467">
        <v>21</v>
      </c>
      <c r="B60" s="467" t="s">
        <v>25201</v>
      </c>
      <c r="C60" s="467" t="s">
        <v>25202</v>
      </c>
      <c r="D60" s="467"/>
      <c r="E60" s="467"/>
      <c r="F60" s="467"/>
      <c r="G60" s="467" t="s">
        <v>25203</v>
      </c>
      <c r="H60" s="467" t="str">
        <f>'Grupos Contatos'!B14</f>
        <v>Business</v>
      </c>
      <c r="I60" s="467" t="str">
        <f>'Grupos Contatos'!E2</f>
        <v>Atualizado</v>
      </c>
    </row>
    <row r="61" spans="1:9" ht="15">
      <c r="A61" s="467"/>
      <c r="B61" s="467" t="s">
        <v>25204</v>
      </c>
      <c r="C61" s="467" t="s">
        <v>25205</v>
      </c>
      <c r="D61" s="467" t="s">
        <v>25206</v>
      </c>
      <c r="E61" s="467"/>
      <c r="F61" s="467"/>
      <c r="G61" s="467" t="s">
        <v>25207</v>
      </c>
      <c r="H61" s="467" t="str">
        <f>'Grupos Contatos'!B6</f>
        <v>Grupo 1</v>
      </c>
      <c r="I61" s="467" t="s">
        <v>25053</v>
      </c>
    </row>
    <row r="62" spans="1:9" ht="15">
      <c r="A62" s="467"/>
      <c r="B62" s="467" t="s">
        <v>25208</v>
      </c>
      <c r="C62" s="467" t="s">
        <v>25209</v>
      </c>
      <c r="D62" s="467"/>
      <c r="E62" s="467"/>
      <c r="F62" s="467"/>
      <c r="G62" s="467" t="s">
        <v>25210</v>
      </c>
      <c r="H62" s="467" t="str">
        <f>'Grupos Contatos'!B14</f>
        <v>Business</v>
      </c>
      <c r="I62" s="467" t="str">
        <f>'Grupos Contatos'!E2</f>
        <v>Atualizado</v>
      </c>
    </row>
    <row r="63" spans="1:9" ht="15">
      <c r="A63" s="467"/>
      <c r="B63" s="467" t="s">
        <v>25211</v>
      </c>
      <c r="C63" s="467"/>
      <c r="D63" s="467" t="s">
        <v>25212</v>
      </c>
      <c r="E63" s="467"/>
      <c r="F63" s="467"/>
      <c r="G63" s="467"/>
      <c r="H63" s="467" t="str">
        <f>'Grupos Contatos'!B8</f>
        <v>Outros</v>
      </c>
      <c r="I63" s="467" t="str">
        <f>'Grupos Contatos'!E2</f>
        <v>Atualizado</v>
      </c>
    </row>
    <row r="64" spans="1:9" ht="15">
      <c r="A64" s="467"/>
      <c r="B64" s="467" t="s">
        <v>25213</v>
      </c>
      <c r="C64" s="467"/>
      <c r="D64" s="467" t="s">
        <v>25214</v>
      </c>
      <c r="E64" s="467"/>
      <c r="F64" s="467"/>
      <c r="G64" s="467" t="s">
        <v>25215</v>
      </c>
      <c r="H64" s="467" t="str">
        <f>'Grupos Contatos'!B14</f>
        <v>Business</v>
      </c>
      <c r="I64" s="467" t="str">
        <f>'Grupos Contatos'!E2</f>
        <v>Atualizado</v>
      </c>
    </row>
    <row r="65" spans="1:9" ht="15">
      <c r="A65" s="467"/>
      <c r="B65" s="467" t="s">
        <v>25216</v>
      </c>
      <c r="C65" s="467" t="s">
        <v>25217</v>
      </c>
      <c r="D65" s="467" t="s">
        <v>25218</v>
      </c>
      <c r="E65" s="467"/>
      <c r="F65" s="467"/>
      <c r="G65" s="467" t="s">
        <v>25219</v>
      </c>
      <c r="H65" s="467" t="str">
        <f>'Grupos Contatos'!B6</f>
        <v>Grupo 1</v>
      </c>
      <c r="I65" s="467" t="s">
        <v>25053</v>
      </c>
    </row>
    <row r="66" spans="1:9" ht="15">
      <c r="A66" s="467"/>
      <c r="B66" s="467" t="s">
        <v>25220</v>
      </c>
      <c r="C66" s="467"/>
      <c r="D66" s="467" t="s">
        <v>25221</v>
      </c>
      <c r="E66" s="467"/>
      <c r="F66" s="467" t="s">
        <v>25222</v>
      </c>
      <c r="G66" s="467" t="s">
        <v>25223</v>
      </c>
      <c r="H66" s="467" t="str">
        <f>'Grupos Contatos'!B8</f>
        <v>Outros</v>
      </c>
      <c r="I66" s="467" t="str">
        <f>'Grupos Contatos'!E2</f>
        <v>Atualizado</v>
      </c>
    </row>
    <row r="67" spans="1:9" ht="15">
      <c r="A67" s="467">
        <v>21</v>
      </c>
      <c r="B67" s="467" t="s">
        <v>25224</v>
      </c>
      <c r="C67" s="467" t="s">
        <v>25225</v>
      </c>
      <c r="D67" s="467"/>
      <c r="E67" s="467"/>
      <c r="F67" s="467"/>
      <c r="G67" s="467" t="s">
        <v>25226</v>
      </c>
      <c r="H67" s="467" t="str">
        <f>'Grupos Contatos'!B14</f>
        <v>Business</v>
      </c>
      <c r="I67" s="467" t="str">
        <f>'Grupos Contatos'!E2</f>
        <v>Atualizado</v>
      </c>
    </row>
    <row r="68" spans="1:9" ht="15">
      <c r="A68" s="467"/>
      <c r="B68" s="467" t="s">
        <v>25227</v>
      </c>
      <c r="C68" s="467"/>
      <c r="D68" s="467" t="s">
        <v>25228</v>
      </c>
      <c r="E68" s="467"/>
      <c r="F68" s="467"/>
      <c r="G68" s="467"/>
      <c r="H68" s="467" t="str">
        <f>'Grupos Contatos'!B8</f>
        <v>Outros</v>
      </c>
      <c r="I68" s="467" t="s">
        <v>25053</v>
      </c>
    </row>
    <row r="69" spans="1:9" ht="15">
      <c r="A69" s="467"/>
      <c r="B69" s="467" t="s">
        <v>25229</v>
      </c>
      <c r="C69" s="467" t="s">
        <v>25230</v>
      </c>
      <c r="D69" s="467" t="s">
        <v>25231</v>
      </c>
      <c r="E69" s="467"/>
      <c r="F69" s="467"/>
      <c r="G69" s="467" t="s">
        <v>25232</v>
      </c>
      <c r="H69" s="467" t="str">
        <f>'Grupos Contatos'!B6</f>
        <v>Grupo 1</v>
      </c>
      <c r="I69" s="467" t="str">
        <f>'Grupos Contatos'!E5</f>
        <v xml:space="preserve">Em Uso </v>
      </c>
    </row>
    <row r="70" spans="1:9" ht="15">
      <c r="A70" s="467"/>
      <c r="B70" s="467" t="s">
        <v>2719</v>
      </c>
      <c r="C70" s="467"/>
      <c r="D70" s="467" t="s">
        <v>25233</v>
      </c>
      <c r="E70" s="467"/>
      <c r="F70" s="467"/>
      <c r="G70" s="467"/>
      <c r="H70" s="467" t="str">
        <f>'Grupos Contatos'!B8</f>
        <v>Outros</v>
      </c>
      <c r="I70" s="467" t="s">
        <v>25053</v>
      </c>
    </row>
    <row r="71" spans="1:9" ht="15">
      <c r="A71" s="467"/>
      <c r="B71" s="467" t="s">
        <v>25234</v>
      </c>
      <c r="C71" s="467" t="s">
        <v>25235</v>
      </c>
      <c r="D71" s="467" t="s">
        <v>25236</v>
      </c>
      <c r="E71" s="467"/>
      <c r="F71" s="467"/>
      <c r="G71" s="467" t="s">
        <v>25237</v>
      </c>
      <c r="H71" s="467" t="str">
        <f>'Grupos Contatos'!B6</f>
        <v>Grupo 1</v>
      </c>
      <c r="I71" s="467" t="s">
        <v>25053</v>
      </c>
    </row>
    <row r="72" spans="1:9" ht="15">
      <c r="A72" s="467"/>
      <c r="B72" s="467" t="s">
        <v>25238</v>
      </c>
      <c r="C72" s="467" t="s">
        <v>25239</v>
      </c>
      <c r="D72" s="467" t="s">
        <v>25240</v>
      </c>
      <c r="E72" s="467"/>
      <c r="F72" s="467"/>
      <c r="G72" s="467" t="s">
        <v>25241</v>
      </c>
      <c r="H72" s="467" t="str">
        <f>'Grupos Contatos'!B14</f>
        <v>Business</v>
      </c>
      <c r="I72" s="467" t="str">
        <f>'Grupos Contatos'!E2</f>
        <v>Atualizado</v>
      </c>
    </row>
    <row r="73" spans="1:9" ht="15">
      <c r="A73" s="467"/>
      <c r="B73" s="467" t="s">
        <v>25242</v>
      </c>
      <c r="C73" s="467" t="s">
        <v>25243</v>
      </c>
      <c r="D73" s="467" t="s">
        <v>25244</v>
      </c>
      <c r="E73" s="467"/>
      <c r="F73" s="467"/>
      <c r="G73" s="467" t="s">
        <v>25245</v>
      </c>
      <c r="H73" s="467" t="str">
        <f>'Grupos Contatos'!B6</f>
        <v>Grupo 1</v>
      </c>
      <c r="I73" s="467" t="str">
        <f>'Grupos Contatos'!E5</f>
        <v xml:space="preserve">Em Uso </v>
      </c>
    </row>
    <row r="74" spans="1:9" ht="15">
      <c r="A74" s="467"/>
      <c r="B74" s="467" t="s">
        <v>25246</v>
      </c>
      <c r="C74" s="467" t="s">
        <v>25247</v>
      </c>
      <c r="D74" s="467" t="s">
        <v>25248</v>
      </c>
      <c r="E74" s="467"/>
      <c r="F74" s="467"/>
      <c r="G74" s="467" t="s">
        <v>25249</v>
      </c>
      <c r="H74" s="467" t="str">
        <f>'Grupos Contatos'!B6</f>
        <v>Grupo 1</v>
      </c>
      <c r="I74" s="467" t="str">
        <f>'Grupos Contatos'!E5</f>
        <v xml:space="preserve">Em Uso </v>
      </c>
    </row>
    <row r="75" spans="1:9" ht="15">
      <c r="A75" s="467">
        <v>21</v>
      </c>
      <c r="B75" s="467" t="s">
        <v>25250</v>
      </c>
      <c r="C75" s="467" t="s">
        <v>25251</v>
      </c>
      <c r="D75" s="467" t="s">
        <v>25252</v>
      </c>
      <c r="E75" s="467"/>
      <c r="F75" s="467"/>
      <c r="G75" s="467"/>
      <c r="H75" s="467" t="str">
        <f>'Grupos Contatos'!B6</f>
        <v>Grupo 1</v>
      </c>
      <c r="I75" s="467" t="s">
        <v>25053</v>
      </c>
    </row>
    <row r="76" spans="1:9" ht="15">
      <c r="A76" s="467">
        <v>21</v>
      </c>
      <c r="B76" s="467" t="s">
        <v>25253</v>
      </c>
      <c r="C76" s="467" t="s">
        <v>25254</v>
      </c>
      <c r="D76" s="467"/>
      <c r="E76" s="467"/>
      <c r="F76" s="467"/>
      <c r="G76" s="467" t="s">
        <v>25255</v>
      </c>
      <c r="H76" s="467" t="str">
        <f>'Grupos Contatos'!B6</f>
        <v>Grupo 1</v>
      </c>
      <c r="I76" s="467" t="str">
        <f>'Grupos Contatos'!E5</f>
        <v xml:space="preserve">Em Uso </v>
      </c>
    </row>
    <row r="77" spans="1:9" ht="15">
      <c r="A77" s="467"/>
      <c r="B77" s="467" t="s">
        <v>25256</v>
      </c>
      <c r="C77" s="467"/>
      <c r="D77" s="467" t="s">
        <v>25257</v>
      </c>
      <c r="E77" s="467"/>
      <c r="F77" s="467"/>
      <c r="G77" s="467"/>
      <c r="H77" s="467" t="str">
        <f>'Grupos Contatos'!B8</f>
        <v>Outros</v>
      </c>
      <c r="I77" s="467" t="str">
        <f>'Grupos Contatos'!E5</f>
        <v xml:space="preserve">Em Uso </v>
      </c>
    </row>
    <row r="78" spans="1:9" ht="15">
      <c r="A78" s="467"/>
      <c r="B78" s="467" t="s">
        <v>25258</v>
      </c>
      <c r="C78" s="467" t="s">
        <v>25259</v>
      </c>
      <c r="D78" s="467" t="s">
        <v>25260</v>
      </c>
      <c r="E78" s="468"/>
      <c r="F78" s="467"/>
      <c r="G78" s="467" t="s">
        <v>25261</v>
      </c>
      <c r="H78" s="467" t="str">
        <f>'Grupos Contatos'!B6</f>
        <v>Grupo 1</v>
      </c>
      <c r="I78" s="467" t="str">
        <f>'Grupos Contatos'!E5</f>
        <v xml:space="preserve">Em Uso </v>
      </c>
    </row>
    <row r="79" spans="1:9" ht="15">
      <c r="A79" s="467"/>
      <c r="B79" s="467" t="s">
        <v>25262</v>
      </c>
      <c r="C79" s="467" t="s">
        <v>25263</v>
      </c>
      <c r="D79" s="467"/>
      <c r="E79" s="468"/>
      <c r="F79" s="467"/>
      <c r="G79" s="467" t="s">
        <v>25264</v>
      </c>
      <c r="H79" s="467" t="str">
        <f>'Grupos Contatos'!B6</f>
        <v>Grupo 1</v>
      </c>
      <c r="I79" s="467" t="s">
        <v>25053</v>
      </c>
    </row>
    <row r="80" spans="1:9" ht="15">
      <c r="A80" s="467"/>
      <c r="B80" s="467" t="s">
        <v>25265</v>
      </c>
      <c r="C80" s="467" t="s">
        <v>25266</v>
      </c>
      <c r="D80" s="467"/>
      <c r="E80" s="468"/>
      <c r="F80" s="467"/>
      <c r="G80" s="467" t="s">
        <v>25267</v>
      </c>
      <c r="H80" s="467" t="str">
        <f>'Grupos Contatos'!B6</f>
        <v>Grupo 1</v>
      </c>
      <c r="I80" s="467" t="str">
        <f>'Grupos Contatos'!E5</f>
        <v xml:space="preserve">Em Uso </v>
      </c>
    </row>
    <row r="81" spans="1:9" ht="15">
      <c r="A81" s="467"/>
      <c r="B81" s="467" t="s">
        <v>25268</v>
      </c>
      <c r="C81" s="467" t="s">
        <v>25269</v>
      </c>
      <c r="D81" s="467" t="s">
        <v>25270</v>
      </c>
      <c r="E81" s="467"/>
      <c r="F81" s="467"/>
      <c r="G81" s="467" t="s">
        <v>25271</v>
      </c>
      <c r="H81" s="467" t="str">
        <f>'Grupos Contatos'!B6</f>
        <v>Grupo 1</v>
      </c>
      <c r="I81" s="467" t="s">
        <v>25053</v>
      </c>
    </row>
    <row r="82" spans="1:9" ht="15">
      <c r="A82" s="467"/>
      <c r="B82" s="467" t="s">
        <v>25272</v>
      </c>
      <c r="C82" s="467" t="s">
        <v>25273</v>
      </c>
      <c r="D82" s="467" t="s">
        <v>25274</v>
      </c>
      <c r="E82" s="467"/>
      <c r="F82" s="467"/>
      <c r="G82" s="467" t="s">
        <v>25275</v>
      </c>
      <c r="H82" s="467" t="str">
        <f>'Grupos Contatos'!B7</f>
        <v>Grupo 2</v>
      </c>
      <c r="I82" s="467" t="s">
        <v>25053</v>
      </c>
    </row>
    <row r="83" spans="1:9" ht="15">
      <c r="A83" s="467"/>
      <c r="B83" s="467" t="s">
        <v>25276</v>
      </c>
      <c r="C83" s="467" t="s">
        <v>25277</v>
      </c>
      <c r="D83" s="467" t="s">
        <v>25278</v>
      </c>
      <c r="E83" s="467"/>
      <c r="F83" s="467"/>
      <c r="G83" s="467" t="s">
        <v>25279</v>
      </c>
      <c r="H83" s="467" t="str">
        <f>'Grupos Contatos'!B7</f>
        <v>Grupo 2</v>
      </c>
      <c r="I83" s="467" t="str">
        <f>'Grupos Contatos'!E5</f>
        <v xml:space="preserve">Em Uso </v>
      </c>
    </row>
    <row r="84" spans="1:9" ht="15">
      <c r="A84" s="467">
        <v>21</v>
      </c>
      <c r="B84" s="467" t="s">
        <v>25280</v>
      </c>
      <c r="C84" s="467" t="s">
        <v>25281</v>
      </c>
      <c r="D84" s="467"/>
      <c r="E84" s="467"/>
      <c r="F84" s="467"/>
      <c r="G84" s="467" t="s">
        <v>25282</v>
      </c>
      <c r="H84" s="467" t="str">
        <f>'Grupos Contatos'!B7</f>
        <v>Grupo 2</v>
      </c>
      <c r="I84" s="467" t="str">
        <f>'Grupos Contatos'!E5</f>
        <v xml:space="preserve">Em Uso </v>
      </c>
    </row>
    <row r="85" spans="1:9" ht="15">
      <c r="A85" s="467">
        <v>21</v>
      </c>
      <c r="B85" s="467" t="s">
        <v>25283</v>
      </c>
      <c r="C85" s="467" t="s">
        <v>25284</v>
      </c>
      <c r="D85" s="467"/>
      <c r="E85" s="467"/>
      <c r="F85" s="467"/>
      <c r="G85" s="467" t="s">
        <v>25285</v>
      </c>
      <c r="H85" s="467" t="str">
        <f>'Grupos Contatos'!B7</f>
        <v>Grupo 2</v>
      </c>
      <c r="I85" s="467" t="s">
        <v>25053</v>
      </c>
    </row>
    <row r="86" spans="1:9" ht="15">
      <c r="A86" s="467"/>
      <c r="B86" s="467" t="s">
        <v>25286</v>
      </c>
      <c r="C86" s="467" t="s">
        <v>25287</v>
      </c>
      <c r="D86" s="467" t="s">
        <v>25288</v>
      </c>
      <c r="E86" s="467"/>
      <c r="F86" s="467"/>
      <c r="G86" s="467" t="s">
        <v>25289</v>
      </c>
      <c r="H86" s="467" t="str">
        <f>'Grupos Contatos'!B7</f>
        <v>Grupo 2</v>
      </c>
      <c r="I86" s="467" t="s">
        <v>25053</v>
      </c>
    </row>
    <row r="87" spans="1:9" ht="15">
      <c r="A87" s="467"/>
      <c r="B87" s="467" t="s">
        <v>25290</v>
      </c>
      <c r="C87" s="467" t="s">
        <v>25291</v>
      </c>
      <c r="D87" s="467" t="s">
        <v>25292</v>
      </c>
      <c r="E87" s="467"/>
      <c r="F87" s="467"/>
      <c r="G87" s="467" t="s">
        <v>25293</v>
      </c>
      <c r="H87" s="467" t="str">
        <f>'Grupos Contatos'!B7</f>
        <v>Grupo 2</v>
      </c>
      <c r="I87" s="467" t="s">
        <v>25053</v>
      </c>
    </row>
    <row r="88" spans="1:9" ht="15">
      <c r="A88" s="467"/>
      <c r="B88" s="467" t="s">
        <v>25294</v>
      </c>
      <c r="C88" s="467" t="s">
        <v>25295</v>
      </c>
      <c r="D88" s="467" t="s">
        <v>25296</v>
      </c>
      <c r="E88" s="467"/>
      <c r="F88" s="467"/>
      <c r="G88" s="467" t="s">
        <v>25297</v>
      </c>
      <c r="H88" s="467" t="str">
        <f>'Grupos Contatos'!B7</f>
        <v>Grupo 2</v>
      </c>
      <c r="I88" s="467" t="str">
        <f>'Grupos Contatos'!E5</f>
        <v xml:space="preserve">Em Uso </v>
      </c>
    </row>
    <row r="89" spans="1:9" ht="15">
      <c r="A89" s="467"/>
      <c r="B89" s="467" t="s">
        <v>25298</v>
      </c>
      <c r="C89" s="467" t="s">
        <v>25299</v>
      </c>
      <c r="D89" s="467" t="s">
        <v>25300</v>
      </c>
      <c r="E89" s="467"/>
      <c r="F89" s="467"/>
      <c r="G89" s="467" t="s">
        <v>25301</v>
      </c>
      <c r="H89" s="467" t="str">
        <f>'Grupos Contatos'!B7</f>
        <v>Grupo 2</v>
      </c>
      <c r="I89" s="467" t="str">
        <f>'Grupos Contatos'!E5</f>
        <v xml:space="preserve">Em Uso </v>
      </c>
    </row>
    <row r="90" spans="1:9" ht="15">
      <c r="A90" s="467">
        <v>21</v>
      </c>
      <c r="B90" s="467" t="s">
        <v>25302</v>
      </c>
      <c r="C90" s="467" t="s">
        <v>25303</v>
      </c>
      <c r="D90" s="467"/>
      <c r="E90" s="467"/>
      <c r="F90" s="467"/>
      <c r="G90" s="467" t="s">
        <v>25304</v>
      </c>
      <c r="H90" s="467" t="str">
        <f>'Grupos Contatos'!B7</f>
        <v>Grupo 2</v>
      </c>
      <c r="I90" s="467" t="s">
        <v>25053</v>
      </c>
    </row>
    <row r="91" spans="1:9" ht="15">
      <c r="A91" s="467">
        <v>21</v>
      </c>
      <c r="B91" s="467" t="s">
        <v>25305</v>
      </c>
      <c r="C91" s="467" t="s">
        <v>25306</v>
      </c>
      <c r="D91" s="467"/>
      <c r="E91" s="467"/>
      <c r="F91" s="467"/>
      <c r="G91" s="467" t="s">
        <v>25307</v>
      </c>
      <c r="H91" s="467" t="str">
        <f>'Grupos Contatos'!B7</f>
        <v>Grupo 2</v>
      </c>
      <c r="I91" s="467" t="str">
        <f>'Grupos Contatos'!E5</f>
        <v xml:space="preserve">Em Uso </v>
      </c>
    </row>
    <row r="92" spans="1:9" ht="15">
      <c r="A92" s="467"/>
      <c r="B92" s="467" t="s">
        <v>25308</v>
      </c>
      <c r="C92" s="467" t="s">
        <v>25309</v>
      </c>
      <c r="D92" s="467" t="s">
        <v>25310</v>
      </c>
      <c r="E92" s="467"/>
      <c r="F92" s="467"/>
      <c r="G92" s="467" t="s">
        <v>25311</v>
      </c>
      <c r="H92" s="467" t="str">
        <f>'Grupos Contatos'!B7</f>
        <v>Grupo 2</v>
      </c>
      <c r="I92" s="467" t="s">
        <v>25053</v>
      </c>
    </row>
    <row r="93" spans="1:9" ht="15">
      <c r="A93" s="467"/>
      <c r="B93" s="467" t="s">
        <v>25312</v>
      </c>
      <c r="C93" s="467"/>
      <c r="D93" s="467" t="s">
        <v>25313</v>
      </c>
      <c r="E93" s="467"/>
      <c r="F93" s="467"/>
      <c r="G93" s="467"/>
      <c r="H93" s="467" t="str">
        <f>'Grupos Contatos'!B8</f>
        <v>Outros</v>
      </c>
      <c r="I93" s="467" t="s">
        <v>25053</v>
      </c>
    </row>
    <row r="94" spans="1:9" ht="15">
      <c r="A94" s="467">
        <v>21</v>
      </c>
      <c r="B94" s="467" t="s">
        <v>25314</v>
      </c>
      <c r="C94" s="467" t="s">
        <v>25315</v>
      </c>
      <c r="D94" s="467"/>
      <c r="E94" s="467"/>
      <c r="F94" s="467"/>
      <c r="G94" s="467" t="s">
        <v>25316</v>
      </c>
      <c r="H94" s="467" t="str">
        <f>'Grupos Contatos'!B7</f>
        <v>Grupo 2</v>
      </c>
      <c r="I94" s="467" t="s">
        <v>25053</v>
      </c>
    </row>
    <row r="95" spans="1:9" ht="15">
      <c r="A95" s="467"/>
      <c r="B95" s="467" t="s">
        <v>25317</v>
      </c>
      <c r="C95" s="467" t="s">
        <v>25318</v>
      </c>
      <c r="D95" s="467" t="s">
        <v>25319</v>
      </c>
      <c r="E95" s="467"/>
      <c r="F95" s="467"/>
      <c r="G95" s="467" t="s">
        <v>25320</v>
      </c>
      <c r="H95" s="467" t="str">
        <f>'Grupos Contatos'!B7</f>
        <v>Grupo 2</v>
      </c>
      <c r="I95" s="467" t="str">
        <f>'Grupos Contatos'!E5</f>
        <v xml:space="preserve">Em Uso </v>
      </c>
    </row>
    <row r="96" spans="1:9" ht="15">
      <c r="A96" s="467">
        <v>21</v>
      </c>
      <c r="B96" s="467" t="s">
        <v>25321</v>
      </c>
      <c r="C96" s="467" t="s">
        <v>25322</v>
      </c>
      <c r="D96" s="467"/>
      <c r="E96" s="467"/>
      <c r="F96" s="467"/>
      <c r="G96" s="467" t="s">
        <v>25323</v>
      </c>
      <c r="H96" s="467" t="str">
        <f>'Grupos Contatos'!B7</f>
        <v>Grupo 2</v>
      </c>
      <c r="I96" s="467" t="str">
        <f>'Grupos Contatos'!E5</f>
        <v xml:space="preserve">Em Uso </v>
      </c>
    </row>
    <row r="97" spans="1:9" ht="15">
      <c r="A97" s="467"/>
      <c r="B97" s="467" t="s">
        <v>25324</v>
      </c>
      <c r="C97" s="467" t="s">
        <v>25325</v>
      </c>
      <c r="D97" s="467"/>
      <c r="E97" s="467"/>
      <c r="F97" s="467"/>
      <c r="G97" s="467" t="s">
        <v>25326</v>
      </c>
      <c r="H97" s="467" t="str">
        <f>'Grupos Contatos'!B7</f>
        <v>Grupo 2</v>
      </c>
      <c r="I97" s="467" t="s">
        <v>25053</v>
      </c>
    </row>
    <row r="98" spans="1:9" ht="15">
      <c r="A98" s="467"/>
      <c r="B98" s="467" t="s">
        <v>25327</v>
      </c>
      <c r="C98" s="467" t="s">
        <v>25328</v>
      </c>
      <c r="D98" s="467" t="s">
        <v>25329</v>
      </c>
      <c r="E98" s="467"/>
      <c r="F98" s="467"/>
      <c r="G98" s="467" t="s">
        <v>25330</v>
      </c>
      <c r="H98" s="467" t="str">
        <f>'Grupos Contatos'!B7</f>
        <v>Grupo 2</v>
      </c>
      <c r="I98" s="467" t="s">
        <v>25053</v>
      </c>
    </row>
    <row r="99" spans="1:9" ht="15">
      <c r="A99" s="467"/>
      <c r="B99" s="467" t="s">
        <v>25331</v>
      </c>
      <c r="C99" s="467" t="s">
        <v>25332</v>
      </c>
      <c r="D99" s="467"/>
      <c r="E99" s="467"/>
      <c r="F99" s="467"/>
      <c r="G99" s="467" t="s">
        <v>25333</v>
      </c>
      <c r="H99" s="467" t="str">
        <f>'Grupos Contatos'!B6</f>
        <v>Grupo 1</v>
      </c>
      <c r="I99" s="467" t="s">
        <v>25053</v>
      </c>
    </row>
    <row r="100" spans="1:9" ht="15">
      <c r="A100" s="467">
        <v>21</v>
      </c>
      <c r="B100" s="467" t="s">
        <v>25334</v>
      </c>
      <c r="C100" s="467" t="s">
        <v>25335</v>
      </c>
      <c r="D100" s="467"/>
      <c r="E100" s="467"/>
      <c r="F100" s="467"/>
      <c r="G100" s="467" t="s">
        <v>25336</v>
      </c>
      <c r="H100" s="467" t="str">
        <f>'Grupos Contatos'!B6</f>
        <v>Grupo 1</v>
      </c>
      <c r="I100" s="467" t="str">
        <f>'Grupos Contatos'!E5</f>
        <v xml:space="preserve">Em Uso </v>
      </c>
    </row>
    <row r="101" spans="1:9" ht="15">
      <c r="A101" s="467">
        <v>21</v>
      </c>
      <c r="B101" s="467" t="s">
        <v>25337</v>
      </c>
      <c r="C101" s="467" t="s">
        <v>25338</v>
      </c>
      <c r="D101" s="467"/>
      <c r="E101" s="467"/>
      <c r="F101" s="467"/>
      <c r="G101" s="467" t="s">
        <v>25339</v>
      </c>
      <c r="H101" s="467" t="str">
        <f>'Grupos Contatos'!B6</f>
        <v>Grupo 1</v>
      </c>
      <c r="I101" s="467" t="s">
        <v>25053</v>
      </c>
    </row>
    <row r="102" spans="1:9" ht="15">
      <c r="A102" s="467"/>
      <c r="B102" s="467" t="s">
        <v>25340</v>
      </c>
      <c r="C102" s="467"/>
      <c r="D102" s="467" t="s">
        <v>25341</v>
      </c>
      <c r="E102" s="467"/>
      <c r="F102" s="467"/>
      <c r="G102" s="467"/>
      <c r="H102" s="467" t="str">
        <f>'Grupos Contatos'!B8</f>
        <v>Outros</v>
      </c>
      <c r="I102" s="467" t="str">
        <f>'Grupos Contatos'!E2</f>
        <v>Atualizado</v>
      </c>
    </row>
    <row r="103" spans="1:9" ht="15">
      <c r="A103" s="467"/>
      <c r="B103" s="467" t="s">
        <v>25342</v>
      </c>
      <c r="C103" s="467"/>
      <c r="D103" s="467" t="s">
        <v>25343</v>
      </c>
      <c r="E103" s="467"/>
      <c r="F103" s="467"/>
      <c r="G103" s="467"/>
      <c r="H103" s="467" t="str">
        <f>'Grupos Contatos'!B8</f>
        <v>Outros</v>
      </c>
      <c r="I103" s="467" t="s">
        <v>25053</v>
      </c>
    </row>
    <row r="104" spans="1:9" ht="15">
      <c r="A104" s="467"/>
      <c r="B104" s="467" t="s">
        <v>25344</v>
      </c>
      <c r="C104" s="467" t="s">
        <v>25345</v>
      </c>
      <c r="D104" s="467" t="s">
        <v>25346</v>
      </c>
      <c r="E104" s="467"/>
      <c r="F104" s="467"/>
      <c r="G104" s="467"/>
      <c r="H104" s="467" t="str">
        <f>'Grupos Contatos'!B8</f>
        <v>Outros</v>
      </c>
      <c r="I104" s="467" t="str">
        <f>'Grupos Contatos'!E2</f>
        <v>Atualizado</v>
      </c>
    </row>
    <row r="105" spans="1:9" ht="15">
      <c r="A105" s="467"/>
      <c r="B105" s="467" t="s">
        <v>25347</v>
      </c>
      <c r="C105" s="467"/>
      <c r="D105" s="467" t="s">
        <v>25348</v>
      </c>
      <c r="E105" s="467"/>
      <c r="F105" s="467"/>
      <c r="G105" s="467"/>
      <c r="H105" s="467" t="str">
        <f>'Grupos Contatos'!B8</f>
        <v>Outros</v>
      </c>
      <c r="I105" s="467" t="str">
        <f>'Grupos Contatos'!E2</f>
        <v>Atualizado</v>
      </c>
    </row>
    <row r="106" spans="1:9" ht="15">
      <c r="A106" s="467"/>
      <c r="B106" s="467" t="s">
        <v>25349</v>
      </c>
      <c r="C106" s="467"/>
      <c r="D106" s="467" t="s">
        <v>25350</v>
      </c>
      <c r="E106" s="467"/>
      <c r="F106" s="467"/>
      <c r="G106" s="467"/>
      <c r="H106" s="467" t="str">
        <f>'Grupos Contatos'!B8</f>
        <v>Outros</v>
      </c>
      <c r="I106" s="467" t="str">
        <f>'Grupos Contatos'!E5</f>
        <v xml:space="preserve">Em Uso </v>
      </c>
    </row>
    <row r="107" spans="1:9" ht="15">
      <c r="A107" s="467">
        <v>21</v>
      </c>
      <c r="B107" s="467" t="s">
        <v>25351</v>
      </c>
      <c r="C107" s="467" t="s">
        <v>25352</v>
      </c>
      <c r="D107" s="467"/>
      <c r="E107" s="467"/>
      <c r="F107" s="467"/>
      <c r="G107" s="467" t="s">
        <v>25353</v>
      </c>
      <c r="H107" s="467" t="str">
        <f>'Grupos Contatos'!B8</f>
        <v>Outros</v>
      </c>
      <c r="I107" s="467" t="str">
        <f>'Grupos Contatos'!E5</f>
        <v xml:space="preserve">Em Uso </v>
      </c>
    </row>
    <row r="108" spans="1:9" ht="15">
      <c r="A108" s="467"/>
      <c r="B108" s="467" t="s">
        <v>25354</v>
      </c>
      <c r="C108" s="467" t="s">
        <v>25355</v>
      </c>
      <c r="D108" s="467" t="s">
        <v>25356</v>
      </c>
      <c r="E108" s="467"/>
      <c r="F108" s="467"/>
      <c r="G108" s="467" t="s">
        <v>25357</v>
      </c>
      <c r="H108" s="467" t="str">
        <f>'Grupos Contatos'!B7</f>
        <v>Grupo 2</v>
      </c>
      <c r="I108" s="467" t="str">
        <f>'Grupos Contatos'!E5</f>
        <v xml:space="preserve">Em Uso </v>
      </c>
    </row>
    <row r="109" spans="1:9" ht="15">
      <c r="A109" s="467"/>
      <c r="B109" s="467" t="s">
        <v>25358</v>
      </c>
      <c r="C109" s="467" t="s">
        <v>25359</v>
      </c>
      <c r="D109" s="467" t="s">
        <v>25360</v>
      </c>
      <c r="E109" s="467"/>
      <c r="F109" s="467"/>
      <c r="G109" s="467" t="s">
        <v>25361</v>
      </c>
      <c r="H109" s="467" t="str">
        <f>'Grupos Contatos'!B7</f>
        <v>Grupo 2</v>
      </c>
      <c r="I109" s="467" t="str">
        <f>'Grupos Contatos'!E5</f>
        <v xml:space="preserve">Em Uso </v>
      </c>
    </row>
    <row r="110" spans="1:9" ht="15">
      <c r="A110" s="467">
        <v>21</v>
      </c>
      <c r="B110" s="467" t="s">
        <v>25362</v>
      </c>
      <c r="C110" s="467" t="s">
        <v>25363</v>
      </c>
      <c r="D110" s="467" t="s">
        <v>25364</v>
      </c>
      <c r="E110" s="467"/>
      <c r="F110" s="467"/>
      <c r="G110" s="467" t="s">
        <v>25365</v>
      </c>
      <c r="H110" s="467" t="str">
        <f>'Grupos Contatos'!B7</f>
        <v>Grupo 2</v>
      </c>
      <c r="I110" s="467" t="str">
        <f>'Grupos Contatos'!E5</f>
        <v xml:space="preserve">Em Uso </v>
      </c>
    </row>
    <row r="111" spans="1:9" ht="15">
      <c r="A111" s="467">
        <v>21</v>
      </c>
      <c r="B111" s="467" t="s">
        <v>25366</v>
      </c>
      <c r="C111" s="467" t="s">
        <v>25367</v>
      </c>
      <c r="D111" s="467"/>
      <c r="E111" s="467"/>
      <c r="F111" s="467"/>
      <c r="G111" s="467" t="s">
        <v>25368</v>
      </c>
      <c r="H111" s="467" t="str">
        <f>'Grupos Contatos'!B7</f>
        <v>Grupo 2</v>
      </c>
      <c r="I111" s="467" t="s">
        <v>25053</v>
      </c>
    </row>
    <row r="112" spans="1:9" ht="15">
      <c r="A112" s="467">
        <v>21</v>
      </c>
      <c r="B112" s="467" t="s">
        <v>25369</v>
      </c>
      <c r="C112" s="467" t="s">
        <v>25370</v>
      </c>
      <c r="D112" s="467"/>
      <c r="E112" s="467"/>
      <c r="F112" s="467"/>
      <c r="G112" s="467" t="s">
        <v>25371</v>
      </c>
      <c r="H112" s="467" t="str">
        <f>'Grupos Contatos'!B7</f>
        <v>Grupo 2</v>
      </c>
      <c r="I112" s="467" t="s">
        <v>25053</v>
      </c>
    </row>
    <row r="113" spans="1:9" ht="15">
      <c r="A113" s="467">
        <v>21</v>
      </c>
      <c r="B113" s="467" t="s">
        <v>25372</v>
      </c>
      <c r="C113" s="467" t="s">
        <v>25373</v>
      </c>
      <c r="D113" s="467"/>
      <c r="E113" s="467"/>
      <c r="F113" s="467"/>
      <c r="G113" s="467" t="s">
        <v>25374</v>
      </c>
      <c r="H113" s="467" t="str">
        <f>'Grupos Contatos'!B7</f>
        <v>Grupo 2</v>
      </c>
      <c r="I113" s="467" t="s">
        <v>25053</v>
      </c>
    </row>
    <row r="114" spans="1:9" ht="15">
      <c r="A114" s="467"/>
      <c r="B114" s="467" t="s">
        <v>25375</v>
      </c>
      <c r="C114" s="467" t="s">
        <v>25376</v>
      </c>
      <c r="D114" s="467" t="s">
        <v>25377</v>
      </c>
      <c r="E114" s="467"/>
      <c r="F114" s="467"/>
      <c r="G114" s="467" t="s">
        <v>25378</v>
      </c>
      <c r="H114" s="467" t="str">
        <f>'Grupos Contatos'!B7</f>
        <v>Grupo 2</v>
      </c>
      <c r="I114" s="467" t="s">
        <v>25053</v>
      </c>
    </row>
    <row r="115" spans="1:9" ht="15">
      <c r="A115" s="467"/>
      <c r="B115" s="467" t="s">
        <v>25379</v>
      </c>
      <c r="C115" s="467" t="s">
        <v>25380</v>
      </c>
      <c r="D115" s="467"/>
      <c r="E115" s="467"/>
      <c r="F115" s="467"/>
      <c r="G115" s="467" t="s">
        <v>25381</v>
      </c>
      <c r="H115" s="467" t="str">
        <f>'Grupos Contatos'!B7</f>
        <v>Grupo 2</v>
      </c>
      <c r="I115" s="467" t="s">
        <v>25053</v>
      </c>
    </row>
    <row r="116" spans="1:9" ht="15">
      <c r="A116" s="467"/>
      <c r="B116" s="467" t="s">
        <v>25382</v>
      </c>
      <c r="C116" s="467" t="s">
        <v>25383</v>
      </c>
      <c r="D116" s="467"/>
      <c r="E116" s="467"/>
      <c r="F116" s="467"/>
      <c r="G116" s="467"/>
      <c r="H116" s="467" t="str">
        <f>'Grupos Contatos'!B7</f>
        <v>Grupo 2</v>
      </c>
      <c r="I116" s="467" t="str">
        <f>'Grupos Contatos'!E5</f>
        <v xml:space="preserve">Em Uso </v>
      </c>
    </row>
    <row r="117" spans="1:9" ht="15">
      <c r="A117" s="467">
        <v>14</v>
      </c>
      <c r="B117" s="467" t="s">
        <v>25384</v>
      </c>
      <c r="C117" s="467" t="s">
        <v>25385</v>
      </c>
      <c r="D117" s="467" t="s">
        <v>25386</v>
      </c>
      <c r="E117" s="467"/>
      <c r="F117" s="467"/>
      <c r="G117" s="467"/>
      <c r="H117" s="467" t="str">
        <f>'Grupos Contatos'!B2</f>
        <v>Família</v>
      </c>
      <c r="I117" s="467" t="str">
        <f>'Grupos Contatos'!E5</f>
        <v xml:space="preserve">Em Uso </v>
      </c>
    </row>
    <row r="118" spans="1:9" ht="15">
      <c r="A118" s="467"/>
      <c r="B118" s="467" t="s">
        <v>25387</v>
      </c>
      <c r="C118" s="467" t="s">
        <v>25388</v>
      </c>
      <c r="D118" s="467"/>
      <c r="E118" s="467"/>
      <c r="F118" s="467"/>
      <c r="G118" s="467"/>
      <c r="H118" s="467" t="str">
        <f>'Grupos Contatos'!B7</f>
        <v>Grupo 2</v>
      </c>
      <c r="I118" s="467" t="s">
        <v>25053</v>
      </c>
    </row>
    <row r="119" spans="1:9" ht="15">
      <c r="A119" s="467"/>
      <c r="B119" s="467" t="s">
        <v>25389</v>
      </c>
      <c r="C119" s="467" t="s">
        <v>25390</v>
      </c>
      <c r="D119" s="467"/>
      <c r="E119" s="467"/>
      <c r="F119" s="467"/>
      <c r="G119" s="467" t="s">
        <v>25391</v>
      </c>
      <c r="H119" s="467" t="str">
        <f>'Grupos Contatos'!B3</f>
        <v>Amigos</v>
      </c>
      <c r="I119" s="467" t="str">
        <f>'Grupos Contatos'!E5</f>
        <v xml:space="preserve">Em Uso </v>
      </c>
    </row>
    <row r="120" spans="1:9" ht="15">
      <c r="A120" s="467">
        <v>18</v>
      </c>
      <c r="B120" s="467" t="s">
        <v>25392</v>
      </c>
      <c r="C120" s="467"/>
      <c r="D120" s="467" t="s">
        <v>25393</v>
      </c>
      <c r="E120" s="467"/>
      <c r="F120" s="467"/>
      <c r="G120" s="467" t="s">
        <v>25394</v>
      </c>
      <c r="H120" s="467" t="str">
        <f>'Grupos Contatos'!B2</f>
        <v>Família</v>
      </c>
      <c r="I120" s="467" t="str">
        <f>'Grupos Contatos'!E5</f>
        <v xml:space="preserve">Em Uso </v>
      </c>
    </row>
    <row r="121" spans="1:9" ht="15">
      <c r="A121" s="467"/>
      <c r="B121" s="467"/>
      <c r="C121" s="467"/>
      <c r="D121" s="467"/>
      <c r="E121" s="467"/>
      <c r="F121" s="467"/>
      <c r="G121" s="467"/>
      <c r="H121" s="467"/>
      <c r="I121" s="467"/>
    </row>
    <row r="122" spans="1:9" ht="15">
      <c r="A122" s="467"/>
      <c r="B122" s="467"/>
      <c r="C122" s="467"/>
      <c r="D122" s="467"/>
      <c r="E122" s="467"/>
      <c r="F122" s="467"/>
      <c r="G122" s="467"/>
      <c r="H122" s="467"/>
      <c r="I122" s="467"/>
    </row>
    <row r="123" spans="1:9" ht="15">
      <c r="A123" s="467"/>
      <c r="B123" s="467"/>
      <c r="C123" s="467"/>
      <c r="D123" s="467"/>
      <c r="E123" s="467"/>
      <c r="F123" s="467"/>
      <c r="G123" s="467"/>
      <c r="H123" s="467"/>
      <c r="I123" s="467"/>
    </row>
    <row r="124" spans="1:9" ht="15">
      <c r="A124" s="467"/>
      <c r="B124" s="467"/>
      <c r="C124" s="467"/>
      <c r="D124" s="467"/>
      <c r="E124" s="467"/>
      <c r="F124" s="467"/>
      <c r="G124" s="467"/>
      <c r="H124" s="467"/>
      <c r="I124" s="467"/>
    </row>
    <row r="125" spans="1:9" ht="15">
      <c r="A125" s="467"/>
      <c r="B125" s="467"/>
      <c r="C125" s="467"/>
      <c r="D125" s="467"/>
      <c r="E125" s="467"/>
      <c r="F125" s="467"/>
      <c r="G125" s="467"/>
      <c r="H125" s="467"/>
      <c r="I125" s="467"/>
    </row>
    <row r="126" spans="1:9" ht="15">
      <c r="A126" s="467"/>
      <c r="B126" s="469"/>
      <c r="C126" s="469"/>
      <c r="D126" s="470"/>
      <c r="E126" s="470"/>
      <c r="F126" s="470"/>
      <c r="G126" s="470"/>
      <c r="H126" s="470"/>
      <c r="I126" s="470"/>
    </row>
    <row r="127" spans="1:9">
      <c r="A127" s="471"/>
      <c r="B127" s="471"/>
      <c r="C127" s="471"/>
      <c r="D127" s="471"/>
      <c r="E127" s="471"/>
      <c r="F127" s="471"/>
      <c r="G127" s="471"/>
      <c r="H127" s="471"/>
      <c r="I127" s="471"/>
    </row>
    <row r="128" spans="1:9">
      <c r="A128" s="466" t="s">
        <v>25009</v>
      </c>
      <c r="B128" s="466" t="s">
        <v>25010</v>
      </c>
      <c r="C128" s="466" t="s">
        <v>25011</v>
      </c>
      <c r="D128" s="466" t="s">
        <v>25012</v>
      </c>
      <c r="E128" s="466" t="s">
        <v>25013</v>
      </c>
      <c r="F128" s="466" t="s">
        <v>25014</v>
      </c>
      <c r="G128" s="466" t="s">
        <v>25015</v>
      </c>
      <c r="H128" s="466" t="s">
        <v>25016</v>
      </c>
      <c r="I128" s="466" t="s">
        <v>884</v>
      </c>
    </row>
  </sheetData>
  <sheetProtection selectLockedCells="1" selectUnlockedCells="1"/>
  <autoFilter ref="A1:I120" xr:uid="{00000000-0009-0000-0000-00002C000000}"/>
  <pageMargins left="0.78749999999999998" right="0.78749999999999998" top="0.78749999999999998" bottom="0.78749999999999998" header="9.8611111111111108E-2" footer="9.8611111111111108E-2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Roman,Regular"&amp;12Página &amp;P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Plan31"/>
  <dimension ref="A1:E17"/>
  <sheetViews>
    <sheetView workbookViewId="0">
      <selection activeCell="E17" sqref="E17"/>
    </sheetView>
  </sheetViews>
  <sheetFormatPr defaultRowHeight="12.75"/>
  <cols>
    <col min="1" max="1" width="3" customWidth="1"/>
    <col min="2" max="2" width="10.42578125" customWidth="1"/>
    <col min="5" max="5" width="12.7109375" customWidth="1"/>
  </cols>
  <sheetData>
    <row r="1" spans="1:5">
      <c r="A1" s="472" t="s">
        <v>25395</v>
      </c>
      <c r="B1" s="472" t="s">
        <v>25396</v>
      </c>
      <c r="D1" s="472" t="s">
        <v>25395</v>
      </c>
      <c r="E1" s="472" t="s">
        <v>884</v>
      </c>
    </row>
    <row r="2" spans="1:5">
      <c r="A2" s="473">
        <v>1</v>
      </c>
      <c r="B2" s="473" t="s">
        <v>25397</v>
      </c>
      <c r="D2" s="473">
        <v>1</v>
      </c>
      <c r="E2" s="473" t="s">
        <v>25398</v>
      </c>
    </row>
    <row r="3" spans="1:5">
      <c r="A3" s="473">
        <v>2</v>
      </c>
      <c r="B3" s="473" t="s">
        <v>25399</v>
      </c>
      <c r="D3" s="473">
        <v>2</v>
      </c>
      <c r="E3" s="473" t="s">
        <v>25053</v>
      </c>
    </row>
    <row r="4" spans="1:5">
      <c r="A4" s="473">
        <v>3</v>
      </c>
      <c r="B4" s="473" t="s">
        <v>25400</v>
      </c>
      <c r="D4" s="473">
        <v>3</v>
      </c>
      <c r="E4" s="473" t="s">
        <v>25401</v>
      </c>
    </row>
    <row r="5" spans="1:5">
      <c r="A5" s="473">
        <v>4</v>
      </c>
      <c r="B5" s="473" t="s">
        <v>25402</v>
      </c>
      <c r="D5" s="473">
        <v>4</v>
      </c>
      <c r="E5" s="473" t="s">
        <v>25403</v>
      </c>
    </row>
    <row r="6" spans="1:5">
      <c r="A6" s="473">
        <v>5</v>
      </c>
      <c r="B6" s="473" t="s">
        <v>25404</v>
      </c>
      <c r="D6" s="473">
        <v>5</v>
      </c>
      <c r="E6" s="473" t="s">
        <v>25405</v>
      </c>
    </row>
    <row r="7" spans="1:5">
      <c r="A7" s="473">
        <v>6</v>
      </c>
      <c r="B7" s="473" t="s">
        <v>25406</v>
      </c>
      <c r="D7" s="473">
        <v>6</v>
      </c>
      <c r="E7" s="473"/>
    </row>
    <row r="8" spans="1:5">
      <c r="A8" s="473">
        <v>7</v>
      </c>
      <c r="B8" s="473" t="s">
        <v>25407</v>
      </c>
      <c r="D8" s="473">
        <v>7</v>
      </c>
      <c r="E8" s="473"/>
    </row>
    <row r="9" spans="1:5">
      <c r="A9" s="473">
        <v>8</v>
      </c>
      <c r="B9" s="473" t="s">
        <v>25408</v>
      </c>
      <c r="D9" s="473">
        <v>8</v>
      </c>
      <c r="E9" s="473"/>
    </row>
    <row r="10" spans="1:5">
      <c r="A10" s="473">
        <v>9</v>
      </c>
      <c r="B10" s="473"/>
      <c r="D10" s="473">
        <v>9</v>
      </c>
      <c r="E10" s="473"/>
    </row>
    <row r="11" spans="1:5">
      <c r="A11" s="473">
        <v>10</v>
      </c>
      <c r="B11" s="473"/>
    </row>
    <row r="13" spans="1:5">
      <c r="A13" s="472" t="s">
        <v>25409</v>
      </c>
      <c r="B13" s="472" t="s">
        <v>25396</v>
      </c>
    </row>
    <row r="14" spans="1:5">
      <c r="A14">
        <v>1</v>
      </c>
      <c r="B14" t="s">
        <v>25410</v>
      </c>
    </row>
    <row r="15" spans="1:5">
      <c r="A15">
        <v>2</v>
      </c>
      <c r="B15" t="s">
        <v>25411</v>
      </c>
    </row>
    <row r="16" spans="1:5">
      <c r="A16">
        <v>3</v>
      </c>
      <c r="B16" t="s">
        <v>25412</v>
      </c>
    </row>
    <row r="17" spans="1:2">
      <c r="A17">
        <v>4</v>
      </c>
      <c r="B17" t="s">
        <v>25413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Plan90" filterMode="1">
    <pageSetUpPr fitToPage="1"/>
  </sheetPr>
  <dimension ref="A1:G596"/>
  <sheetViews>
    <sheetView workbookViewId="0">
      <pane ySplit="1" topLeftCell="A2" activePane="bottomLeft" state="frozen"/>
      <selection pane="bottomLeft" activeCell="G606" sqref="G606"/>
    </sheetView>
  </sheetViews>
  <sheetFormatPr defaultColWidth="11.5703125" defaultRowHeight="12.75"/>
  <cols>
    <col min="1" max="1" width="5.85546875" style="26" customWidth="1"/>
    <col min="2" max="2" width="15.5703125" style="26" customWidth="1"/>
    <col min="3" max="3" width="38.42578125" style="26" customWidth="1"/>
    <col min="4" max="4" width="16.85546875" style="26" customWidth="1"/>
    <col min="5" max="5" width="14.5703125" style="26" customWidth="1"/>
    <col min="6" max="6" width="38.7109375" style="26" customWidth="1"/>
    <col min="7" max="7" width="38.85546875" style="26" customWidth="1"/>
    <col min="8" max="16384" width="11.5703125" style="26"/>
  </cols>
  <sheetData>
    <row r="1" spans="1:7" ht="14.85" customHeight="1">
      <c r="A1" s="690" t="s">
        <v>25414</v>
      </c>
      <c r="B1" s="691" t="s">
        <v>0</v>
      </c>
      <c r="C1" s="692" t="s">
        <v>883</v>
      </c>
      <c r="D1" s="693" t="s">
        <v>25415</v>
      </c>
      <c r="E1" s="692" t="s">
        <v>884</v>
      </c>
      <c r="F1" s="692" t="s">
        <v>25416</v>
      </c>
      <c r="G1" s="694" t="s">
        <v>25417</v>
      </c>
    </row>
    <row r="2" spans="1:7" ht="38.25" hidden="1">
      <c r="A2" s="695">
        <v>1</v>
      </c>
      <c r="B2" s="696">
        <v>37996</v>
      </c>
      <c r="C2" s="695" t="s">
        <v>25418</v>
      </c>
      <c r="D2" s="691">
        <v>37996</v>
      </c>
      <c r="E2" s="697" t="str">
        <f>Status!B4</f>
        <v>Concluído</v>
      </c>
      <c r="F2" s="695" t="s">
        <v>25419</v>
      </c>
      <c r="G2" s="698"/>
    </row>
    <row r="3" spans="1:7" hidden="1">
      <c r="A3" s="698">
        <v>2</v>
      </c>
      <c r="B3" s="699">
        <v>37996</v>
      </c>
      <c r="C3" s="695" t="s">
        <v>25420</v>
      </c>
      <c r="D3" s="691">
        <v>37996</v>
      </c>
      <c r="E3" s="700" t="str">
        <f>Status!B4</f>
        <v>Concluído</v>
      </c>
      <c r="F3" s="698" t="s">
        <v>25421</v>
      </c>
      <c r="G3" s="698" t="s">
        <v>25422</v>
      </c>
    </row>
    <row r="4" spans="1:7" ht="12.75" hidden="1" customHeight="1">
      <c r="A4" s="698">
        <v>3</v>
      </c>
      <c r="B4" s="699">
        <v>37970</v>
      </c>
      <c r="C4" s="698" t="s">
        <v>25423</v>
      </c>
      <c r="D4" s="699"/>
      <c r="E4" s="698" t="str">
        <f>Status!B9</f>
        <v>Realização cancelada</v>
      </c>
      <c r="F4" s="698" t="s">
        <v>25424</v>
      </c>
      <c r="G4" s="701" t="s">
        <v>25425</v>
      </c>
    </row>
    <row r="5" spans="1:7" ht="25.5" hidden="1">
      <c r="A5" s="698">
        <v>4</v>
      </c>
      <c r="B5" s="699">
        <v>37970</v>
      </c>
      <c r="C5" s="698" t="s">
        <v>25426</v>
      </c>
      <c r="D5" s="699">
        <v>37977</v>
      </c>
      <c r="E5" s="698" t="str">
        <f>Status!B4</f>
        <v>Concluído</v>
      </c>
      <c r="F5" s="698" t="s">
        <v>25427</v>
      </c>
      <c r="G5" s="695" t="s">
        <v>25428</v>
      </c>
    </row>
    <row r="6" spans="1:7" ht="38.25" hidden="1">
      <c r="A6" s="698">
        <v>5</v>
      </c>
      <c r="B6" s="699">
        <v>37970</v>
      </c>
      <c r="C6" s="698" t="s">
        <v>25429</v>
      </c>
      <c r="D6" s="699">
        <v>38287</v>
      </c>
      <c r="E6" s="698" t="str">
        <f>Status!B9</f>
        <v>Realização cancelada</v>
      </c>
      <c r="F6" s="698" t="s">
        <v>25430</v>
      </c>
      <c r="G6" s="698" t="s">
        <v>25431</v>
      </c>
    </row>
    <row r="7" spans="1:7" ht="12.75" hidden="1" customHeight="1">
      <c r="A7" s="698">
        <v>6</v>
      </c>
      <c r="B7" s="699">
        <v>37970</v>
      </c>
      <c r="C7" s="698" t="s">
        <v>25432</v>
      </c>
      <c r="D7" s="699">
        <v>38159</v>
      </c>
      <c r="E7" s="698" t="str">
        <f>Status!B4</f>
        <v>Concluído</v>
      </c>
      <c r="F7" s="698" t="s">
        <v>25433</v>
      </c>
      <c r="G7" s="698"/>
    </row>
    <row r="8" spans="1:7" ht="25.5" hidden="1">
      <c r="A8" s="698">
        <v>7</v>
      </c>
      <c r="B8" s="699">
        <v>37970</v>
      </c>
      <c r="C8" s="698" t="s">
        <v>25434</v>
      </c>
      <c r="D8" s="699">
        <v>37970</v>
      </c>
      <c r="E8" s="698" t="str">
        <f>Status!B4</f>
        <v>Concluído</v>
      </c>
      <c r="F8" s="698" t="s">
        <v>25435</v>
      </c>
      <c r="G8" s="698" t="s">
        <v>25436</v>
      </c>
    </row>
    <row r="9" spans="1:7" ht="38.25" hidden="1">
      <c r="A9" s="698">
        <v>8</v>
      </c>
      <c r="B9" s="699">
        <v>37970</v>
      </c>
      <c r="C9" s="698" t="s">
        <v>25437</v>
      </c>
      <c r="D9" s="699">
        <v>37971</v>
      </c>
      <c r="E9" s="698" t="str">
        <f>Status!B4</f>
        <v>Concluído</v>
      </c>
      <c r="F9" s="698" t="s">
        <v>25438</v>
      </c>
      <c r="G9" s="698" t="s">
        <v>25439</v>
      </c>
    </row>
    <row r="10" spans="1:7" ht="25.5" hidden="1">
      <c r="A10" s="698">
        <v>9</v>
      </c>
      <c r="B10" s="699">
        <v>37970</v>
      </c>
      <c r="C10" s="698" t="s">
        <v>25440</v>
      </c>
      <c r="D10" s="699">
        <v>37970</v>
      </c>
      <c r="E10" s="698" t="str">
        <f>Status!B4</f>
        <v>Concluído</v>
      </c>
      <c r="F10" s="698"/>
      <c r="G10" s="698" t="s">
        <v>25441</v>
      </c>
    </row>
    <row r="11" spans="1:7" ht="38.25" hidden="1">
      <c r="A11" s="698">
        <v>10</v>
      </c>
      <c r="B11" s="699">
        <v>37975</v>
      </c>
      <c r="C11" s="698" t="s">
        <v>25442</v>
      </c>
      <c r="D11" s="699">
        <v>37974</v>
      </c>
      <c r="E11" s="698" t="str">
        <f>Status!B4</f>
        <v>Concluído</v>
      </c>
      <c r="F11" s="698" t="s">
        <v>25443</v>
      </c>
      <c r="G11" s="698"/>
    </row>
    <row r="12" spans="1:7" ht="38.25" hidden="1">
      <c r="A12" s="698">
        <v>11</v>
      </c>
      <c r="B12" s="699">
        <v>37977</v>
      </c>
      <c r="C12" s="698" t="s">
        <v>25444</v>
      </c>
      <c r="D12" s="699">
        <v>37977</v>
      </c>
      <c r="E12" s="698" t="str">
        <f>Status!B4</f>
        <v>Concluído</v>
      </c>
      <c r="F12" s="698" t="s">
        <v>25445</v>
      </c>
      <c r="G12" s="698" t="s">
        <v>25446</v>
      </c>
    </row>
    <row r="13" spans="1:7" ht="38.25" hidden="1">
      <c r="A13" s="698">
        <v>12</v>
      </c>
      <c r="B13" s="699">
        <v>37970</v>
      </c>
      <c r="C13" s="698" t="s">
        <v>25447</v>
      </c>
      <c r="D13" s="699">
        <v>37970</v>
      </c>
      <c r="E13" s="698" t="str">
        <f>Status!B4</f>
        <v>Concluído</v>
      </c>
      <c r="F13" s="698"/>
      <c r="G13" s="698" t="s">
        <v>25448</v>
      </c>
    </row>
    <row r="14" spans="1:7" ht="25.5" hidden="1">
      <c r="A14" s="698">
        <v>13</v>
      </c>
      <c r="B14" s="699">
        <v>37970</v>
      </c>
      <c r="C14" s="698" t="s">
        <v>25449</v>
      </c>
      <c r="D14" s="699">
        <v>37970</v>
      </c>
      <c r="E14" s="698" t="str">
        <f>Status!B4</f>
        <v>Concluído</v>
      </c>
      <c r="F14" s="698" t="s">
        <v>25450</v>
      </c>
      <c r="G14" s="698"/>
    </row>
    <row r="15" spans="1:7" ht="25.5" hidden="1">
      <c r="A15" s="698">
        <v>14</v>
      </c>
      <c r="B15" s="699">
        <v>37970</v>
      </c>
      <c r="C15" s="698" t="s">
        <v>25451</v>
      </c>
      <c r="D15" s="699">
        <v>37972</v>
      </c>
      <c r="E15" s="698" t="str">
        <f>Status!B4</f>
        <v>Concluído</v>
      </c>
      <c r="F15" s="698"/>
      <c r="G15" s="698"/>
    </row>
    <row r="16" spans="1:7" ht="25.5" hidden="1">
      <c r="A16" s="698">
        <v>15</v>
      </c>
      <c r="B16" s="699">
        <v>37970</v>
      </c>
      <c r="C16" s="698" t="s">
        <v>25452</v>
      </c>
      <c r="D16" s="699">
        <v>37974</v>
      </c>
      <c r="E16" s="698" t="str">
        <f>Status!B4</f>
        <v>Concluído</v>
      </c>
      <c r="F16" s="698" t="s">
        <v>25453</v>
      </c>
      <c r="G16" s="698"/>
    </row>
    <row r="17" spans="1:7" ht="25.5" hidden="1">
      <c r="A17" s="698">
        <v>16</v>
      </c>
      <c r="B17" s="699">
        <v>37975</v>
      </c>
      <c r="C17" s="698" t="s">
        <v>25454</v>
      </c>
      <c r="D17" s="699">
        <v>37986</v>
      </c>
      <c r="E17" s="698" t="str">
        <f>Status!B4</f>
        <v>Concluído</v>
      </c>
      <c r="F17" s="698" t="s">
        <v>25455</v>
      </c>
      <c r="G17" s="698" t="s">
        <v>25456</v>
      </c>
    </row>
    <row r="18" spans="1:7" hidden="1">
      <c r="A18" s="698">
        <v>17</v>
      </c>
      <c r="B18" s="699">
        <v>37970</v>
      </c>
      <c r="C18" s="698" t="s">
        <v>25457</v>
      </c>
      <c r="D18" s="699">
        <v>37970</v>
      </c>
      <c r="E18" s="698" t="str">
        <f>Status!B4</f>
        <v>Concluído</v>
      </c>
      <c r="F18" s="698"/>
      <c r="G18" s="698" t="s">
        <v>25458</v>
      </c>
    </row>
    <row r="19" spans="1:7" hidden="1">
      <c r="A19" s="698">
        <v>18</v>
      </c>
      <c r="B19" s="699">
        <v>37970</v>
      </c>
      <c r="C19" s="698" t="s">
        <v>25459</v>
      </c>
      <c r="D19" s="699">
        <v>37970</v>
      </c>
      <c r="E19" s="698" t="str">
        <f>Status!B4</f>
        <v>Concluído</v>
      </c>
      <c r="F19" s="698"/>
      <c r="G19" s="698"/>
    </row>
    <row r="20" spans="1:7" ht="25.5" hidden="1">
      <c r="A20" s="698">
        <v>19</v>
      </c>
      <c r="B20" s="699">
        <v>37996</v>
      </c>
      <c r="C20" s="698" t="s">
        <v>25460</v>
      </c>
      <c r="D20" s="699">
        <v>38008</v>
      </c>
      <c r="E20" s="698" t="str">
        <f>Status!B4</f>
        <v>Concluído</v>
      </c>
      <c r="F20" s="698" t="s">
        <v>25461</v>
      </c>
      <c r="G20" s="698" t="s">
        <v>25462</v>
      </c>
    </row>
    <row r="21" spans="1:7" ht="12.75" hidden="1" customHeight="1">
      <c r="A21" s="698">
        <v>20</v>
      </c>
      <c r="B21" s="699">
        <v>37977</v>
      </c>
      <c r="C21" s="698" t="s">
        <v>25463</v>
      </c>
      <c r="D21" s="699">
        <v>37977</v>
      </c>
      <c r="E21" s="698" t="str">
        <f>Status!B4</f>
        <v>Concluído</v>
      </c>
      <c r="F21" s="702" t="s">
        <v>25464</v>
      </c>
      <c r="G21" s="703" t="s">
        <v>25465</v>
      </c>
    </row>
    <row r="22" spans="1:7" ht="38.25" hidden="1">
      <c r="A22" s="698">
        <v>21</v>
      </c>
      <c r="B22" s="699">
        <v>37970</v>
      </c>
      <c r="C22" s="698" t="s">
        <v>25466</v>
      </c>
      <c r="D22" s="699">
        <v>37970</v>
      </c>
      <c r="E22" s="698" t="str">
        <f>Status!B4</f>
        <v>Concluído</v>
      </c>
      <c r="F22" s="698" t="s">
        <v>25467</v>
      </c>
      <c r="G22" s="698" t="s">
        <v>25468</v>
      </c>
    </row>
    <row r="23" spans="1:7" ht="25.5" hidden="1">
      <c r="A23" s="698">
        <v>22</v>
      </c>
      <c r="B23" s="699">
        <v>37970</v>
      </c>
      <c r="C23" s="698" t="s">
        <v>25469</v>
      </c>
      <c r="D23" s="699">
        <v>37970</v>
      </c>
      <c r="E23" s="698" t="str">
        <f>Status!B4</f>
        <v>Concluído</v>
      </c>
      <c r="F23" s="698"/>
      <c r="G23" s="698" t="s">
        <v>25470</v>
      </c>
    </row>
    <row r="24" spans="1:7" ht="25.5" hidden="1">
      <c r="A24" s="698">
        <v>23</v>
      </c>
      <c r="B24" s="699">
        <v>38009</v>
      </c>
      <c r="C24" s="698" t="s">
        <v>25471</v>
      </c>
      <c r="D24" s="699"/>
      <c r="E24" s="698" t="str">
        <f>Status!B9</f>
        <v>Realização cancelada</v>
      </c>
      <c r="F24" s="698"/>
      <c r="G24" s="698"/>
    </row>
    <row r="25" spans="1:7" hidden="1">
      <c r="A25" s="698">
        <v>24</v>
      </c>
      <c r="B25" s="699">
        <v>37970</v>
      </c>
      <c r="C25" s="698" t="s">
        <v>25472</v>
      </c>
      <c r="D25" s="699">
        <v>37970</v>
      </c>
      <c r="E25" s="698" t="str">
        <f>Status!B4</f>
        <v>Concluído</v>
      </c>
      <c r="F25" s="698" t="s">
        <v>25473</v>
      </c>
      <c r="G25" s="704" t="s">
        <v>25474</v>
      </c>
    </row>
    <row r="26" spans="1:7" ht="25.5" hidden="1">
      <c r="A26" s="698">
        <v>25</v>
      </c>
      <c r="B26" s="699">
        <v>37970</v>
      </c>
      <c r="C26" s="698" t="s">
        <v>25475</v>
      </c>
      <c r="D26" s="699">
        <v>37970</v>
      </c>
      <c r="E26" s="698" t="str">
        <f>Status!B4</f>
        <v>Concluído</v>
      </c>
      <c r="F26" s="698"/>
      <c r="G26" s="698" t="s">
        <v>25476</v>
      </c>
    </row>
    <row r="27" spans="1:7" ht="25.5" hidden="1">
      <c r="A27" s="698">
        <v>26</v>
      </c>
      <c r="B27" s="699">
        <v>37970</v>
      </c>
      <c r="C27" s="698" t="s">
        <v>25477</v>
      </c>
      <c r="D27" s="699">
        <v>37972</v>
      </c>
      <c r="E27" s="698" t="str">
        <f>Status!B4</f>
        <v>Concluído</v>
      </c>
      <c r="F27" s="698" t="s">
        <v>25478</v>
      </c>
      <c r="G27" s="695" t="s">
        <v>25479</v>
      </c>
    </row>
    <row r="28" spans="1:7" ht="25.5" hidden="1">
      <c r="A28" s="698">
        <v>27</v>
      </c>
      <c r="B28" s="699">
        <v>37970</v>
      </c>
      <c r="C28" s="698" t="s">
        <v>25480</v>
      </c>
      <c r="D28" s="699">
        <v>37970</v>
      </c>
      <c r="E28" s="698" t="str">
        <f>Status!B4</f>
        <v>Concluído</v>
      </c>
      <c r="F28" s="698"/>
      <c r="G28" s="698" t="s">
        <v>25481</v>
      </c>
    </row>
    <row r="29" spans="1:7" ht="12.75" hidden="1" customHeight="1">
      <c r="A29" s="698">
        <v>28</v>
      </c>
      <c r="B29" s="699">
        <v>37971</v>
      </c>
      <c r="C29" s="698" t="s">
        <v>25482</v>
      </c>
      <c r="D29" s="699">
        <v>37978</v>
      </c>
      <c r="E29" s="698" t="str">
        <f>Status!B4</f>
        <v>Concluído</v>
      </c>
      <c r="F29" s="698" t="s">
        <v>25483</v>
      </c>
      <c r="G29" s="703" t="s">
        <v>25484</v>
      </c>
    </row>
    <row r="30" spans="1:7" hidden="1">
      <c r="A30" s="698">
        <v>29</v>
      </c>
      <c r="B30" s="699">
        <v>37972</v>
      </c>
      <c r="C30" s="698" t="s">
        <v>25485</v>
      </c>
      <c r="D30" s="699">
        <v>37972</v>
      </c>
      <c r="E30" s="698" t="str">
        <f>Status!B4</f>
        <v>Concluído</v>
      </c>
      <c r="F30" s="698"/>
      <c r="G30" s="698"/>
    </row>
    <row r="31" spans="1:7" hidden="1">
      <c r="A31" s="698">
        <v>30</v>
      </c>
      <c r="B31" s="699">
        <v>37972</v>
      </c>
      <c r="C31" s="698" t="s">
        <v>25486</v>
      </c>
      <c r="D31" s="699">
        <v>37973</v>
      </c>
      <c r="E31" s="698" t="str">
        <f>Status!B4</f>
        <v>Concluído</v>
      </c>
      <c r="F31" s="698"/>
      <c r="G31" s="698"/>
    </row>
    <row r="32" spans="1:7" ht="25.5" hidden="1">
      <c r="A32" s="698">
        <v>31</v>
      </c>
      <c r="B32" s="699">
        <v>37972</v>
      </c>
      <c r="C32" s="698" t="s">
        <v>25487</v>
      </c>
      <c r="D32" s="699">
        <v>37973</v>
      </c>
      <c r="E32" s="698" t="str">
        <f>Status!B4</f>
        <v>Concluído</v>
      </c>
      <c r="F32" s="698" t="s">
        <v>25488</v>
      </c>
      <c r="G32" s="698" t="s">
        <v>25489</v>
      </c>
    </row>
    <row r="33" spans="1:7" hidden="1">
      <c r="A33" s="698">
        <v>32</v>
      </c>
      <c r="B33" s="699">
        <v>37972</v>
      </c>
      <c r="C33" s="698" t="s">
        <v>25490</v>
      </c>
      <c r="D33" s="699">
        <v>37972</v>
      </c>
      <c r="E33" s="698" t="str">
        <f>Status!B4</f>
        <v>Concluído</v>
      </c>
      <c r="F33" s="698"/>
      <c r="G33" s="698"/>
    </row>
    <row r="34" spans="1:7" hidden="1">
      <c r="A34" s="698">
        <v>33</v>
      </c>
      <c r="B34" s="699">
        <v>37972</v>
      </c>
      <c r="C34" s="698" t="s">
        <v>25491</v>
      </c>
      <c r="D34" s="699">
        <v>37972</v>
      </c>
      <c r="E34" s="698" t="str">
        <f>Status!B4</f>
        <v>Concluído</v>
      </c>
      <c r="F34" s="698"/>
      <c r="G34" s="698"/>
    </row>
    <row r="35" spans="1:7" hidden="1">
      <c r="A35" s="698">
        <v>34</v>
      </c>
      <c r="B35" s="699">
        <v>37972</v>
      </c>
      <c r="C35" s="698" t="s">
        <v>25492</v>
      </c>
      <c r="D35" s="699">
        <v>37972</v>
      </c>
      <c r="E35" s="698" t="str">
        <f>Status!B4</f>
        <v>Concluído</v>
      </c>
      <c r="F35" s="698" t="s">
        <v>25493</v>
      </c>
      <c r="G35" s="698"/>
    </row>
    <row r="36" spans="1:7" hidden="1">
      <c r="A36" s="698">
        <v>35</v>
      </c>
      <c r="B36" s="699">
        <v>37972</v>
      </c>
      <c r="C36" s="698" t="s">
        <v>25494</v>
      </c>
      <c r="D36" s="699">
        <v>37972</v>
      </c>
      <c r="E36" s="698" t="str">
        <f>Status!B4</f>
        <v>Concluído</v>
      </c>
      <c r="F36" s="698"/>
      <c r="G36" s="698"/>
    </row>
    <row r="37" spans="1:7" ht="25.5" hidden="1">
      <c r="A37" s="698">
        <v>36</v>
      </c>
      <c r="B37" s="699">
        <v>37972</v>
      </c>
      <c r="C37" s="698" t="s">
        <v>25495</v>
      </c>
      <c r="D37" s="699">
        <v>37972</v>
      </c>
      <c r="E37" s="698" t="str">
        <f>Status!B4</f>
        <v>Concluído</v>
      </c>
      <c r="F37" s="698" t="s">
        <v>25496</v>
      </c>
      <c r="G37" s="698"/>
    </row>
    <row r="38" spans="1:7" ht="25.5" hidden="1">
      <c r="A38" s="698">
        <v>37</v>
      </c>
      <c r="B38" s="699">
        <v>37972</v>
      </c>
      <c r="C38" s="698" t="s">
        <v>25497</v>
      </c>
      <c r="D38" s="699">
        <v>37972</v>
      </c>
      <c r="E38" s="698" t="str">
        <f>Status!B4</f>
        <v>Concluído</v>
      </c>
      <c r="F38" s="698"/>
      <c r="G38" s="698"/>
    </row>
    <row r="39" spans="1:7" ht="25.5" hidden="1">
      <c r="A39" s="698">
        <v>38</v>
      </c>
      <c r="B39" s="699">
        <v>37973</v>
      </c>
      <c r="C39" s="698" t="s">
        <v>25498</v>
      </c>
      <c r="D39" s="699">
        <v>37973</v>
      </c>
      <c r="E39" s="698" t="str">
        <f>Status!B4</f>
        <v>Concluído</v>
      </c>
      <c r="F39" s="698"/>
      <c r="G39" s="698"/>
    </row>
    <row r="40" spans="1:7" ht="38.25" hidden="1">
      <c r="A40" s="698">
        <v>39</v>
      </c>
      <c r="B40" s="699">
        <v>37973</v>
      </c>
      <c r="C40" s="698" t="s">
        <v>25499</v>
      </c>
      <c r="D40" s="699">
        <v>37973</v>
      </c>
      <c r="E40" s="698" t="str">
        <f>Status!B4</f>
        <v>Concluído</v>
      </c>
      <c r="F40" s="698"/>
      <c r="G40" s="698"/>
    </row>
    <row r="41" spans="1:7" ht="25.5" hidden="1">
      <c r="A41" s="698">
        <v>40</v>
      </c>
      <c r="B41" s="699">
        <v>37973</v>
      </c>
      <c r="C41" s="698" t="s">
        <v>25500</v>
      </c>
      <c r="D41" s="699">
        <v>37973</v>
      </c>
      <c r="E41" s="698" t="str">
        <f>Status!B4</f>
        <v>Concluído</v>
      </c>
      <c r="F41" s="698"/>
      <c r="G41" s="698" t="s">
        <v>25501</v>
      </c>
    </row>
    <row r="42" spans="1:7" hidden="1">
      <c r="A42" s="698">
        <v>41</v>
      </c>
      <c r="B42" s="699">
        <v>37974</v>
      </c>
      <c r="C42" s="698" t="s">
        <v>25502</v>
      </c>
      <c r="D42" s="699">
        <v>37974</v>
      </c>
      <c r="E42" s="698" t="str">
        <f>Status!B4</f>
        <v>Concluído</v>
      </c>
      <c r="F42" s="698"/>
      <c r="G42" s="698"/>
    </row>
    <row r="43" spans="1:7" ht="25.5" hidden="1">
      <c r="A43" s="698">
        <v>42</v>
      </c>
      <c r="B43" s="699">
        <v>37974</v>
      </c>
      <c r="C43" s="698" t="s">
        <v>25503</v>
      </c>
      <c r="D43" s="699">
        <v>37974</v>
      </c>
      <c r="E43" s="698" t="str">
        <f>Status!B4</f>
        <v>Concluído</v>
      </c>
      <c r="F43" s="698" t="s">
        <v>25453</v>
      </c>
      <c r="G43" s="698"/>
    </row>
    <row r="44" spans="1:7" ht="38.25" hidden="1">
      <c r="A44" s="698">
        <v>43</v>
      </c>
      <c r="B44" s="699">
        <v>37974</v>
      </c>
      <c r="C44" s="698" t="s">
        <v>25504</v>
      </c>
      <c r="D44" s="699"/>
      <c r="E44" s="698" t="str">
        <f>Status!B9</f>
        <v>Realização cancelada</v>
      </c>
      <c r="F44" s="698"/>
      <c r="G44" s="698"/>
    </row>
    <row r="45" spans="1:7" ht="12.75" hidden="1" customHeight="1">
      <c r="A45" s="698">
        <v>44</v>
      </c>
      <c r="B45" s="699">
        <v>37979</v>
      </c>
      <c r="C45" s="698" t="s">
        <v>25505</v>
      </c>
      <c r="D45" s="699">
        <v>37979</v>
      </c>
      <c r="E45" s="698" t="str">
        <f>Status!B4</f>
        <v>Concluído</v>
      </c>
      <c r="F45" s="703" t="s">
        <v>25506</v>
      </c>
      <c r="G45" s="698"/>
    </row>
    <row r="46" spans="1:7" ht="25.5" hidden="1">
      <c r="A46" s="698">
        <v>45</v>
      </c>
      <c r="B46" s="699">
        <v>37977</v>
      </c>
      <c r="C46" s="698" t="s">
        <v>25507</v>
      </c>
      <c r="D46" s="699">
        <v>37978</v>
      </c>
      <c r="E46" s="698" t="str">
        <f>Status!B4</f>
        <v>Concluído</v>
      </c>
      <c r="F46" s="698" t="s">
        <v>25508</v>
      </c>
      <c r="G46" s="698"/>
    </row>
    <row r="47" spans="1:7" ht="25.5" hidden="1">
      <c r="A47" s="698">
        <v>46</v>
      </c>
      <c r="B47" s="699">
        <v>37977</v>
      </c>
      <c r="C47" s="698" t="s">
        <v>25509</v>
      </c>
      <c r="D47" s="699">
        <v>37978</v>
      </c>
      <c r="E47" s="698" t="str">
        <f>Status!B4</f>
        <v>Concluído</v>
      </c>
      <c r="F47" s="698"/>
      <c r="G47" s="698"/>
    </row>
    <row r="48" spans="1:7" ht="25.5" hidden="1">
      <c r="A48" s="698">
        <v>47</v>
      </c>
      <c r="B48" s="699">
        <v>37977</v>
      </c>
      <c r="C48" s="698" t="s">
        <v>25510</v>
      </c>
      <c r="D48" s="699">
        <v>37979</v>
      </c>
      <c r="E48" s="698" t="str">
        <f>Status!B4</f>
        <v>Concluído</v>
      </c>
      <c r="F48" s="698" t="s">
        <v>25511</v>
      </c>
      <c r="G48" s="698" t="s">
        <v>25512</v>
      </c>
    </row>
    <row r="49" spans="1:7" ht="51" hidden="1">
      <c r="A49" s="698">
        <v>48</v>
      </c>
      <c r="B49" s="699">
        <v>37977</v>
      </c>
      <c r="C49" s="698" t="s">
        <v>25513</v>
      </c>
      <c r="D49" s="699">
        <v>37978</v>
      </c>
      <c r="E49" s="698" t="str">
        <f>Status!B4</f>
        <v>Concluído</v>
      </c>
      <c r="F49" s="698" t="s">
        <v>25514</v>
      </c>
      <c r="G49" s="698"/>
    </row>
    <row r="50" spans="1:7" ht="38.25" hidden="1">
      <c r="A50" s="698">
        <v>49</v>
      </c>
      <c r="B50" s="699">
        <v>37978</v>
      </c>
      <c r="C50" s="698" t="s">
        <v>25515</v>
      </c>
      <c r="D50" s="699">
        <v>37978</v>
      </c>
      <c r="E50" s="698" t="str">
        <f>Status!B4</f>
        <v>Concluído</v>
      </c>
      <c r="F50" s="698" t="s">
        <v>25516</v>
      </c>
      <c r="G50" s="698" t="s">
        <v>25517</v>
      </c>
    </row>
    <row r="51" spans="1:7" ht="25.5" hidden="1">
      <c r="A51" s="698">
        <v>50</v>
      </c>
      <c r="B51" s="699">
        <v>37978</v>
      </c>
      <c r="C51" s="698" t="s">
        <v>25518</v>
      </c>
      <c r="D51" s="699">
        <v>37978</v>
      </c>
      <c r="E51" s="698" t="str">
        <f>Status!B4</f>
        <v>Concluído</v>
      </c>
      <c r="F51" s="698"/>
      <c r="G51" s="698"/>
    </row>
    <row r="52" spans="1:7" ht="25.5" hidden="1">
      <c r="A52" s="698">
        <v>51</v>
      </c>
      <c r="B52" s="699">
        <v>37626</v>
      </c>
      <c r="C52" s="698" t="s">
        <v>25452</v>
      </c>
      <c r="D52" s="699"/>
      <c r="E52" s="698" t="str">
        <f>Status!B9</f>
        <v>Realização cancelada</v>
      </c>
      <c r="F52" s="698"/>
      <c r="G52" s="698"/>
    </row>
    <row r="53" spans="1:7" ht="25.5" hidden="1">
      <c r="A53" s="698">
        <v>52</v>
      </c>
      <c r="B53" s="699">
        <v>37978</v>
      </c>
      <c r="C53" s="698" t="s">
        <v>25519</v>
      </c>
      <c r="D53" s="699">
        <v>37978</v>
      </c>
      <c r="E53" s="698" t="str">
        <f>Status!B4</f>
        <v>Concluído</v>
      </c>
      <c r="F53" s="698"/>
      <c r="G53" s="698"/>
    </row>
    <row r="54" spans="1:7" ht="25.5" hidden="1">
      <c r="A54" s="698">
        <v>53</v>
      </c>
      <c r="B54" s="699">
        <v>37984</v>
      </c>
      <c r="C54" s="698" t="s">
        <v>25520</v>
      </c>
      <c r="D54" s="699">
        <v>37984</v>
      </c>
      <c r="E54" s="698" t="str">
        <f>Status!B4</f>
        <v>Concluído</v>
      </c>
      <c r="F54" s="698"/>
      <c r="G54" s="698"/>
    </row>
    <row r="55" spans="1:7" ht="25.5" hidden="1">
      <c r="A55" s="698">
        <v>54</v>
      </c>
      <c r="B55" s="699">
        <v>37984</v>
      </c>
      <c r="C55" s="698" t="s">
        <v>25521</v>
      </c>
      <c r="D55" s="699">
        <v>37989</v>
      </c>
      <c r="E55" s="698" t="str">
        <f>Status!B4</f>
        <v>Concluído</v>
      </c>
      <c r="F55" s="698"/>
      <c r="G55" s="698"/>
    </row>
    <row r="56" spans="1:7" ht="25.5" hidden="1">
      <c r="A56" s="698">
        <v>55</v>
      </c>
      <c r="B56" s="699">
        <v>37984</v>
      </c>
      <c r="C56" s="698" t="s">
        <v>25522</v>
      </c>
      <c r="D56" s="699">
        <v>37996</v>
      </c>
      <c r="E56" s="698" t="str">
        <f>Status!B4</f>
        <v>Concluído</v>
      </c>
      <c r="F56" s="698" t="s">
        <v>25523</v>
      </c>
      <c r="G56" s="698"/>
    </row>
    <row r="57" spans="1:7" ht="38.25" hidden="1">
      <c r="A57" s="698">
        <v>56</v>
      </c>
      <c r="B57" s="699">
        <v>37993</v>
      </c>
      <c r="C57" s="698" t="s">
        <v>25524</v>
      </c>
      <c r="D57" s="699">
        <v>37992</v>
      </c>
      <c r="E57" s="698" t="str">
        <f>Status!B4</f>
        <v>Concluído</v>
      </c>
      <c r="F57" s="698" t="s">
        <v>25525</v>
      </c>
      <c r="G57" s="698"/>
    </row>
    <row r="58" spans="1:7" ht="12.75" hidden="1" customHeight="1">
      <c r="A58" s="698">
        <v>57</v>
      </c>
      <c r="B58" s="699">
        <v>37984</v>
      </c>
      <c r="C58" s="703" t="s">
        <v>25526</v>
      </c>
      <c r="D58" s="699">
        <v>37996</v>
      </c>
      <c r="E58" s="698" t="str">
        <f>Status!B4</f>
        <v>Concluído</v>
      </c>
      <c r="F58" s="698"/>
      <c r="G58" s="698"/>
    </row>
    <row r="59" spans="1:7" ht="38.25" hidden="1">
      <c r="A59" s="698">
        <v>58</v>
      </c>
      <c r="B59" s="699">
        <v>37989</v>
      </c>
      <c r="C59" s="698" t="s">
        <v>25527</v>
      </c>
      <c r="D59" s="699">
        <v>37996</v>
      </c>
      <c r="E59" s="698" t="str">
        <f>Status!B4</f>
        <v>Concluído</v>
      </c>
      <c r="F59" s="698" t="s">
        <v>25528</v>
      </c>
      <c r="G59" s="695" t="s">
        <v>25529</v>
      </c>
    </row>
    <row r="60" spans="1:7" ht="12.75" hidden="1" customHeight="1">
      <c r="A60" s="698">
        <v>59</v>
      </c>
      <c r="B60" s="699">
        <v>37989</v>
      </c>
      <c r="C60" s="698" t="s">
        <v>25530</v>
      </c>
      <c r="D60" s="699">
        <v>37994</v>
      </c>
      <c r="E60" s="698" t="str">
        <f>Status!B4</f>
        <v>Concluído</v>
      </c>
      <c r="F60" s="703" t="s">
        <v>25531</v>
      </c>
      <c r="G60" s="695" t="s">
        <v>25532</v>
      </c>
    </row>
    <row r="61" spans="1:7" ht="25.5" hidden="1">
      <c r="A61" s="698">
        <v>60</v>
      </c>
      <c r="B61" s="691">
        <v>37989</v>
      </c>
      <c r="C61" s="705" t="s">
        <v>25533</v>
      </c>
      <c r="D61" s="691">
        <v>37989</v>
      </c>
      <c r="E61" s="705" t="str">
        <f>Status!B4</f>
        <v>Concluído</v>
      </c>
      <c r="F61" s="705"/>
      <c r="G61" s="706"/>
    </row>
    <row r="62" spans="1:7" ht="38.25" hidden="1">
      <c r="A62" s="698">
        <v>61</v>
      </c>
      <c r="B62" s="691">
        <v>37989</v>
      </c>
      <c r="C62" s="705" t="s">
        <v>25534</v>
      </c>
      <c r="D62" s="691">
        <v>37989</v>
      </c>
      <c r="E62" s="705" t="str">
        <f>Status!B4</f>
        <v>Concluído</v>
      </c>
      <c r="F62" s="705" t="s">
        <v>25535</v>
      </c>
      <c r="G62" s="706"/>
    </row>
    <row r="63" spans="1:7" ht="38.25" hidden="1">
      <c r="A63" s="698">
        <v>62</v>
      </c>
      <c r="B63" s="691">
        <v>37989</v>
      </c>
      <c r="C63" s="705" t="s">
        <v>25536</v>
      </c>
      <c r="D63" s="691">
        <v>37989</v>
      </c>
      <c r="E63" s="705" t="str">
        <f>Status!B4</f>
        <v>Concluído</v>
      </c>
      <c r="F63" s="705"/>
      <c r="G63" s="706"/>
    </row>
    <row r="64" spans="1:7" ht="38.25" hidden="1">
      <c r="A64" s="698">
        <v>63</v>
      </c>
      <c r="B64" s="691">
        <v>37989</v>
      </c>
      <c r="C64" s="705" t="s">
        <v>25537</v>
      </c>
      <c r="D64" s="691">
        <v>38000</v>
      </c>
      <c r="E64" s="705" t="str">
        <f>Status!B4</f>
        <v>Concluído</v>
      </c>
      <c r="F64" s="705" t="s">
        <v>25538</v>
      </c>
      <c r="G64" s="706"/>
    </row>
    <row r="65" spans="1:7" ht="25.5" hidden="1">
      <c r="A65" s="698">
        <v>64</v>
      </c>
      <c r="B65" s="691">
        <v>37989</v>
      </c>
      <c r="C65" s="705" t="s">
        <v>25539</v>
      </c>
      <c r="D65" s="691">
        <v>37989</v>
      </c>
      <c r="E65" s="705" t="str">
        <f>Status!B4</f>
        <v>Concluído</v>
      </c>
      <c r="F65" s="705" t="s">
        <v>25540</v>
      </c>
      <c r="G65" s="706"/>
    </row>
    <row r="66" spans="1:7" ht="12.75" hidden="1" customHeight="1">
      <c r="A66" s="698">
        <v>65</v>
      </c>
      <c r="B66" s="691">
        <v>38008</v>
      </c>
      <c r="C66" s="705" t="s">
        <v>25541</v>
      </c>
      <c r="D66" s="691">
        <v>37992</v>
      </c>
      <c r="E66" s="705" t="str">
        <f>Status!B4</f>
        <v>Concluído</v>
      </c>
      <c r="F66" s="707" t="s">
        <v>25542</v>
      </c>
      <c r="G66" s="706"/>
    </row>
    <row r="67" spans="1:7" ht="25.5" hidden="1">
      <c r="A67" s="698">
        <v>66</v>
      </c>
      <c r="B67" s="691">
        <v>37991</v>
      </c>
      <c r="C67" s="705" t="s">
        <v>25543</v>
      </c>
      <c r="D67" s="691">
        <v>37991</v>
      </c>
      <c r="E67" s="705" t="str">
        <f>Status!B4</f>
        <v>Concluído</v>
      </c>
      <c r="F67" s="705"/>
      <c r="G67" s="706"/>
    </row>
    <row r="68" spans="1:7" ht="25.5" hidden="1">
      <c r="A68" s="698">
        <v>67</v>
      </c>
      <c r="B68" s="691">
        <v>37991</v>
      </c>
      <c r="C68" s="705" t="s">
        <v>25544</v>
      </c>
      <c r="D68" s="691">
        <v>37991</v>
      </c>
      <c r="E68" s="705" t="str">
        <f>Status!B4</f>
        <v>Concluído</v>
      </c>
      <c r="F68" s="705"/>
      <c r="G68" s="706"/>
    </row>
    <row r="69" spans="1:7" ht="44.25" hidden="1">
      <c r="A69" s="698">
        <v>68</v>
      </c>
      <c r="B69" s="691">
        <v>37991</v>
      </c>
      <c r="C69" s="705" t="s">
        <v>25545</v>
      </c>
      <c r="D69" s="691">
        <v>37991</v>
      </c>
      <c r="E69" s="705" t="str">
        <f>Status!B4</f>
        <v>Concluído</v>
      </c>
      <c r="F69" s="705"/>
      <c r="G69" s="708" t="s">
        <v>25546</v>
      </c>
    </row>
    <row r="70" spans="1:7" ht="25.5" hidden="1">
      <c r="A70" s="698">
        <v>69</v>
      </c>
      <c r="B70" s="691">
        <v>37994</v>
      </c>
      <c r="C70" s="705" t="s">
        <v>25547</v>
      </c>
      <c r="D70" s="691">
        <v>37994</v>
      </c>
      <c r="E70" s="705" t="str">
        <f>Status!B4</f>
        <v>Concluído</v>
      </c>
      <c r="F70" s="705" t="s">
        <v>25548</v>
      </c>
      <c r="G70" s="706"/>
    </row>
    <row r="71" spans="1:7" ht="25.5" hidden="1">
      <c r="A71" s="698">
        <v>70</v>
      </c>
      <c r="B71" s="691">
        <v>37991</v>
      </c>
      <c r="C71" s="705" t="s">
        <v>25549</v>
      </c>
      <c r="D71" s="691">
        <v>37991</v>
      </c>
      <c r="E71" s="705" t="str">
        <f>Status!B4</f>
        <v>Concluído</v>
      </c>
      <c r="F71" s="705"/>
      <c r="G71" s="706"/>
    </row>
    <row r="72" spans="1:7" ht="25.5" hidden="1">
      <c r="A72" s="698">
        <v>71</v>
      </c>
      <c r="B72" s="691">
        <v>37627</v>
      </c>
      <c r="C72" s="705" t="s">
        <v>25550</v>
      </c>
      <c r="D72" s="691">
        <v>37992</v>
      </c>
      <c r="E72" s="705" t="str">
        <f>Status!B4</f>
        <v>Concluído</v>
      </c>
      <c r="F72" s="705" t="s">
        <v>25551</v>
      </c>
      <c r="G72" s="706"/>
    </row>
    <row r="73" spans="1:7" ht="51" hidden="1">
      <c r="A73" s="698">
        <v>72</v>
      </c>
      <c r="B73" s="691">
        <v>37992</v>
      </c>
      <c r="C73" s="705" t="s">
        <v>25552</v>
      </c>
      <c r="D73" s="691">
        <v>37992</v>
      </c>
      <c r="E73" s="705" t="str">
        <f>Status!B4</f>
        <v>Concluído</v>
      </c>
      <c r="F73" s="705" t="s">
        <v>25553</v>
      </c>
      <c r="G73" s="706" t="s">
        <v>25554</v>
      </c>
    </row>
    <row r="74" spans="1:7" ht="38.25" hidden="1">
      <c r="A74" s="698">
        <v>73</v>
      </c>
      <c r="B74" s="691">
        <v>37994</v>
      </c>
      <c r="C74" s="705" t="s">
        <v>25555</v>
      </c>
      <c r="D74" s="691">
        <v>37994</v>
      </c>
      <c r="E74" s="705" t="str">
        <f>Status!B4</f>
        <v>Concluído</v>
      </c>
      <c r="F74" s="705" t="s">
        <v>25556</v>
      </c>
      <c r="G74" s="705"/>
    </row>
    <row r="75" spans="1:7" ht="51" hidden="1">
      <c r="A75" s="698">
        <v>74</v>
      </c>
      <c r="B75" s="691">
        <v>37992</v>
      </c>
      <c r="C75" s="706" t="s">
        <v>25557</v>
      </c>
      <c r="D75" s="691">
        <v>37992</v>
      </c>
      <c r="E75" s="705" t="str">
        <f>Status!B4</f>
        <v>Concluído</v>
      </c>
      <c r="F75" s="705" t="s">
        <v>25558</v>
      </c>
      <c r="G75" s="705"/>
    </row>
    <row r="76" spans="1:7" ht="38.25" hidden="1">
      <c r="A76" s="698">
        <v>75</v>
      </c>
      <c r="B76" s="691">
        <v>37996</v>
      </c>
      <c r="C76" s="705" t="s">
        <v>25559</v>
      </c>
      <c r="D76" s="691"/>
      <c r="E76" s="705" t="str">
        <f>Status!B9</f>
        <v>Realização cancelada</v>
      </c>
      <c r="F76" s="705"/>
      <c r="G76" s="705"/>
    </row>
    <row r="77" spans="1:7" ht="25.5" hidden="1">
      <c r="A77" s="698">
        <v>76</v>
      </c>
      <c r="B77" s="691">
        <v>37994</v>
      </c>
      <c r="C77" s="705" t="s">
        <v>25560</v>
      </c>
      <c r="D77" s="691">
        <v>37994</v>
      </c>
      <c r="E77" s="705" t="str">
        <f>Status!B4</f>
        <v>Concluído</v>
      </c>
      <c r="F77" s="705"/>
      <c r="G77" s="705"/>
    </row>
    <row r="78" spans="1:7" ht="25.5" hidden="1">
      <c r="A78" s="698">
        <v>77</v>
      </c>
      <c r="B78" s="691">
        <v>37994</v>
      </c>
      <c r="C78" s="705" t="s">
        <v>25561</v>
      </c>
      <c r="D78" s="691">
        <v>37994</v>
      </c>
      <c r="E78" s="705" t="str">
        <f>Status!B4</f>
        <v>Concluído</v>
      </c>
      <c r="F78" s="705"/>
      <c r="G78" s="705"/>
    </row>
    <row r="79" spans="1:7" ht="38.25" hidden="1">
      <c r="A79" s="698">
        <v>78</v>
      </c>
      <c r="B79" s="691">
        <v>37996</v>
      </c>
      <c r="C79" s="705" t="s">
        <v>25562</v>
      </c>
      <c r="D79" s="691">
        <v>37996</v>
      </c>
      <c r="E79" s="705" t="str">
        <f>Status!B4</f>
        <v>Concluído</v>
      </c>
      <c r="F79" s="705" t="s">
        <v>25563</v>
      </c>
      <c r="G79" s="705" t="s">
        <v>25564</v>
      </c>
    </row>
    <row r="80" spans="1:7" ht="12.75" hidden="1" customHeight="1">
      <c r="A80" s="698">
        <v>79</v>
      </c>
      <c r="B80" s="691">
        <v>38033</v>
      </c>
      <c r="C80" s="705" t="s">
        <v>25565</v>
      </c>
      <c r="D80" s="691">
        <v>38033</v>
      </c>
      <c r="E80" s="705" t="str">
        <f>Status!B4</f>
        <v>Concluído</v>
      </c>
      <c r="F80" s="707" t="s">
        <v>25566</v>
      </c>
      <c r="G80" s="705" t="s">
        <v>25567</v>
      </c>
    </row>
    <row r="81" spans="1:7" ht="25.5" hidden="1">
      <c r="A81" s="698">
        <v>80</v>
      </c>
      <c r="B81" s="691">
        <v>37999</v>
      </c>
      <c r="C81" s="705" t="s">
        <v>25568</v>
      </c>
      <c r="D81" s="691">
        <v>37999</v>
      </c>
      <c r="E81" s="705" t="str">
        <f>Status!B4</f>
        <v>Concluído</v>
      </c>
      <c r="F81" s="705"/>
      <c r="G81" s="705"/>
    </row>
    <row r="82" spans="1:7" ht="25.5" hidden="1">
      <c r="A82" s="698">
        <v>81</v>
      </c>
      <c r="B82" s="691">
        <v>38006</v>
      </c>
      <c r="C82" s="705" t="s">
        <v>25569</v>
      </c>
      <c r="D82" s="691">
        <v>38006</v>
      </c>
      <c r="E82" s="705" t="str">
        <f>Status!B4</f>
        <v>Concluído</v>
      </c>
      <c r="F82" s="705" t="s">
        <v>25570</v>
      </c>
      <c r="G82" s="705"/>
    </row>
    <row r="83" spans="1:7" ht="51" hidden="1">
      <c r="A83" s="698">
        <v>82</v>
      </c>
      <c r="B83" s="691">
        <v>38005</v>
      </c>
      <c r="C83" s="705" t="s">
        <v>25571</v>
      </c>
      <c r="D83" s="691">
        <v>38005</v>
      </c>
      <c r="E83" s="705" t="str">
        <f>Status!B4</f>
        <v>Concluído</v>
      </c>
      <c r="F83" s="705" t="s">
        <v>25572</v>
      </c>
      <c r="G83" s="705"/>
    </row>
    <row r="84" spans="1:7" ht="12.75" hidden="1" customHeight="1">
      <c r="A84" s="698">
        <v>83</v>
      </c>
      <c r="B84" s="691">
        <v>37999</v>
      </c>
      <c r="C84" s="707" t="s">
        <v>25573</v>
      </c>
      <c r="D84" s="691"/>
      <c r="E84" s="705" t="str">
        <f>Status!B9</f>
        <v>Realização cancelada</v>
      </c>
      <c r="F84" s="707" t="s">
        <v>25574</v>
      </c>
      <c r="G84" s="705"/>
    </row>
    <row r="85" spans="1:7" ht="25.5" hidden="1">
      <c r="A85" s="698">
        <v>84</v>
      </c>
      <c r="B85" s="691">
        <v>38000</v>
      </c>
      <c r="C85" s="705" t="s">
        <v>25575</v>
      </c>
      <c r="D85" s="691">
        <v>38000</v>
      </c>
      <c r="E85" s="705" t="str">
        <f>Status!B4</f>
        <v>Concluído</v>
      </c>
      <c r="F85" s="705"/>
      <c r="G85" s="705"/>
    </row>
    <row r="86" spans="1:7" ht="25.5" hidden="1">
      <c r="A86" s="698">
        <v>85</v>
      </c>
      <c r="B86" s="691">
        <v>37999</v>
      </c>
      <c r="C86" s="705" t="s">
        <v>25490</v>
      </c>
      <c r="D86" s="691">
        <v>37999</v>
      </c>
      <c r="E86" s="705" t="str">
        <f>Status!B4</f>
        <v>Concluído</v>
      </c>
      <c r="F86" s="705" t="s">
        <v>25576</v>
      </c>
      <c r="G86" s="705"/>
    </row>
    <row r="87" spans="1:7" ht="12.75" hidden="1" customHeight="1">
      <c r="A87" s="698">
        <v>86</v>
      </c>
      <c r="B87" s="691">
        <v>37999</v>
      </c>
      <c r="C87" s="705" t="s">
        <v>25577</v>
      </c>
      <c r="D87" s="691">
        <v>37999</v>
      </c>
      <c r="E87" s="705" t="str">
        <f>Status!B4</f>
        <v>Concluído</v>
      </c>
      <c r="F87" s="707" t="s">
        <v>25578</v>
      </c>
      <c r="G87" s="705" t="s">
        <v>25579</v>
      </c>
    </row>
    <row r="88" spans="1:7" ht="25.5" hidden="1">
      <c r="A88" s="698">
        <v>87</v>
      </c>
      <c r="B88" s="691">
        <v>37999</v>
      </c>
      <c r="C88" s="705" t="s">
        <v>25580</v>
      </c>
      <c r="D88" s="691">
        <v>37999</v>
      </c>
      <c r="E88" s="705" t="str">
        <f>Status!B4</f>
        <v>Concluído</v>
      </c>
      <c r="F88" s="705"/>
      <c r="G88" s="705"/>
    </row>
    <row r="89" spans="1:7" ht="25.5" hidden="1">
      <c r="A89" s="698">
        <v>88</v>
      </c>
      <c r="B89" s="691">
        <v>37999</v>
      </c>
      <c r="C89" s="705" t="s">
        <v>25581</v>
      </c>
      <c r="D89" s="691">
        <v>37999</v>
      </c>
      <c r="E89" s="705" t="str">
        <f>Status!B4</f>
        <v>Concluído</v>
      </c>
      <c r="F89" s="705" t="s">
        <v>25582</v>
      </c>
      <c r="G89" s="705"/>
    </row>
    <row r="90" spans="1:7" hidden="1">
      <c r="A90" s="698">
        <v>89</v>
      </c>
      <c r="B90" s="691">
        <v>37999</v>
      </c>
      <c r="C90" s="705" t="s">
        <v>25583</v>
      </c>
      <c r="D90" s="691">
        <v>37999</v>
      </c>
      <c r="E90" s="705" t="str">
        <f>Status!B4</f>
        <v>Concluído</v>
      </c>
      <c r="F90" s="705"/>
      <c r="G90" s="705"/>
    </row>
    <row r="91" spans="1:7" ht="25.5" hidden="1">
      <c r="A91" s="698">
        <v>90</v>
      </c>
      <c r="B91" s="691">
        <v>37999</v>
      </c>
      <c r="C91" s="705" t="s">
        <v>25584</v>
      </c>
      <c r="D91" s="691"/>
      <c r="E91" s="705" t="str">
        <f>Status!B9</f>
        <v>Realização cancelada</v>
      </c>
      <c r="F91" s="705"/>
      <c r="G91" s="705"/>
    </row>
    <row r="92" spans="1:7" ht="25.5" hidden="1">
      <c r="A92" s="698">
        <v>91</v>
      </c>
      <c r="B92" s="691">
        <v>37999</v>
      </c>
      <c r="C92" s="705" t="s">
        <v>25585</v>
      </c>
      <c r="D92" s="691">
        <v>37999</v>
      </c>
      <c r="E92" s="705" t="str">
        <f>Status!B4</f>
        <v>Concluído</v>
      </c>
      <c r="F92" s="705"/>
      <c r="G92" s="705"/>
    </row>
    <row r="93" spans="1:7" ht="51" hidden="1">
      <c r="A93" s="698">
        <v>92</v>
      </c>
      <c r="B93" s="691">
        <v>38000</v>
      </c>
      <c r="C93" s="705" t="s">
        <v>25586</v>
      </c>
      <c r="D93" s="691">
        <v>38000</v>
      </c>
      <c r="E93" s="705" t="str">
        <f>Status!B4</f>
        <v>Concluído</v>
      </c>
      <c r="F93" s="705"/>
      <c r="G93" s="705"/>
    </row>
    <row r="94" spans="1:7" ht="12.75" hidden="1" customHeight="1">
      <c r="A94" s="698">
        <v>93</v>
      </c>
      <c r="B94" s="691">
        <v>37999</v>
      </c>
      <c r="C94" s="705" t="s">
        <v>25587</v>
      </c>
      <c r="D94" s="691">
        <v>37999</v>
      </c>
      <c r="E94" s="705" t="str">
        <f>Status!B4</f>
        <v>Concluído</v>
      </c>
      <c r="F94" s="709" t="s">
        <v>25588</v>
      </c>
      <c r="G94" s="705"/>
    </row>
    <row r="95" spans="1:7" ht="38.25" hidden="1">
      <c r="A95" s="698">
        <v>94</v>
      </c>
      <c r="B95" s="691">
        <v>37999</v>
      </c>
      <c r="C95" s="705" t="s">
        <v>25589</v>
      </c>
      <c r="D95" s="691"/>
      <c r="E95" s="705" t="str">
        <f>Status!B9</f>
        <v>Realização cancelada</v>
      </c>
      <c r="F95" s="705"/>
      <c r="G95" s="705"/>
    </row>
    <row r="96" spans="1:7" hidden="1">
      <c r="A96" s="698">
        <v>95</v>
      </c>
      <c r="B96" s="691">
        <v>38000</v>
      </c>
      <c r="C96" s="705" t="s">
        <v>25590</v>
      </c>
      <c r="D96" s="691">
        <v>38000</v>
      </c>
      <c r="E96" s="705" t="str">
        <f>Status!B4</f>
        <v>Concluído</v>
      </c>
      <c r="F96" s="705"/>
      <c r="G96" s="705"/>
    </row>
    <row r="97" spans="1:7" ht="38.25" hidden="1">
      <c r="A97" s="698">
        <v>96</v>
      </c>
      <c r="B97" s="691">
        <v>38003</v>
      </c>
      <c r="C97" s="705" t="s">
        <v>25591</v>
      </c>
      <c r="D97" s="691">
        <v>38001</v>
      </c>
      <c r="E97" s="705" t="str">
        <f>Status!B4</f>
        <v>Concluído</v>
      </c>
      <c r="F97" s="705" t="s">
        <v>25592</v>
      </c>
      <c r="G97" s="705"/>
    </row>
    <row r="98" spans="1:7" ht="38.25" hidden="1">
      <c r="A98" s="698">
        <v>97</v>
      </c>
      <c r="B98" s="691">
        <v>38003</v>
      </c>
      <c r="C98" s="705" t="s">
        <v>25593</v>
      </c>
      <c r="D98" s="691">
        <v>38001</v>
      </c>
      <c r="E98" s="705" t="str">
        <f>Status!B4</f>
        <v>Concluído</v>
      </c>
      <c r="F98" s="705" t="s">
        <v>25594</v>
      </c>
      <c r="G98" s="705"/>
    </row>
    <row r="99" spans="1:7" ht="38.25" hidden="1">
      <c r="A99" s="698">
        <v>98</v>
      </c>
      <c r="B99" s="691">
        <v>38001</v>
      </c>
      <c r="C99" s="705" t="s">
        <v>25595</v>
      </c>
      <c r="D99" s="691">
        <v>38001</v>
      </c>
      <c r="E99" s="705" t="str">
        <f>Status!B4</f>
        <v>Concluído</v>
      </c>
      <c r="F99" s="705"/>
      <c r="G99" s="705"/>
    </row>
    <row r="100" spans="1:7" ht="25.5" hidden="1">
      <c r="A100" s="698">
        <v>99</v>
      </c>
      <c r="B100" s="691">
        <v>38001</v>
      </c>
      <c r="C100" s="705" t="s">
        <v>25596</v>
      </c>
      <c r="D100" s="691">
        <v>38001</v>
      </c>
      <c r="E100" s="705" t="str">
        <f>Status!B4</f>
        <v>Concluído</v>
      </c>
      <c r="F100" s="705" t="s">
        <v>25597</v>
      </c>
      <c r="G100" s="705"/>
    </row>
    <row r="101" spans="1:7" ht="25.5" hidden="1">
      <c r="A101" s="698">
        <v>100</v>
      </c>
      <c r="B101" s="691">
        <v>38005</v>
      </c>
      <c r="C101" s="705" t="s">
        <v>25598</v>
      </c>
      <c r="D101" s="691">
        <v>38005</v>
      </c>
      <c r="E101" s="705" t="str">
        <f>Status!B4</f>
        <v>Concluído</v>
      </c>
      <c r="F101" s="705"/>
      <c r="G101" s="705"/>
    </row>
    <row r="102" spans="1:7" ht="38.25" hidden="1">
      <c r="A102" s="698">
        <v>101</v>
      </c>
      <c r="B102" s="691">
        <v>38001</v>
      </c>
      <c r="C102" s="705" t="s">
        <v>25599</v>
      </c>
      <c r="D102" s="691">
        <v>38001</v>
      </c>
      <c r="E102" s="705" t="str">
        <f>Status!B4</f>
        <v>Concluído</v>
      </c>
      <c r="F102" s="705" t="s">
        <v>25600</v>
      </c>
      <c r="G102" s="705"/>
    </row>
    <row r="103" spans="1:7" ht="25.5" hidden="1">
      <c r="A103" s="698">
        <v>102</v>
      </c>
      <c r="B103" s="691">
        <v>38005</v>
      </c>
      <c r="C103" s="705" t="s">
        <v>25601</v>
      </c>
      <c r="D103" s="691">
        <v>38005</v>
      </c>
      <c r="E103" s="705" t="str">
        <f>Status!B4</f>
        <v>Concluído</v>
      </c>
      <c r="F103" s="705"/>
      <c r="G103" s="705"/>
    </row>
    <row r="104" spans="1:7" ht="25.5" hidden="1">
      <c r="A104" s="698">
        <v>103</v>
      </c>
      <c r="B104" s="691">
        <v>38005</v>
      </c>
      <c r="C104" s="705" t="s">
        <v>25602</v>
      </c>
      <c r="D104" s="691">
        <v>38005</v>
      </c>
      <c r="E104" s="705" t="str">
        <f>Status!B4</f>
        <v>Concluído</v>
      </c>
      <c r="F104" s="705"/>
      <c r="G104" s="705"/>
    </row>
    <row r="105" spans="1:7" ht="25.5" hidden="1">
      <c r="A105" s="698">
        <v>104</v>
      </c>
      <c r="B105" s="691">
        <v>38005</v>
      </c>
      <c r="C105" s="705" t="s">
        <v>25603</v>
      </c>
      <c r="D105" s="691">
        <v>38005</v>
      </c>
      <c r="E105" s="705" t="str">
        <f>Status!B4</f>
        <v>Concluído</v>
      </c>
      <c r="F105" s="705"/>
      <c r="G105" s="705"/>
    </row>
    <row r="106" spans="1:7" ht="51" hidden="1">
      <c r="A106" s="698">
        <v>105</v>
      </c>
      <c r="B106" s="691">
        <v>38005</v>
      </c>
      <c r="C106" s="705" t="s">
        <v>25604</v>
      </c>
      <c r="D106" s="691">
        <v>38005</v>
      </c>
      <c r="E106" s="705" t="str">
        <f>Status!B4</f>
        <v>Concluído</v>
      </c>
      <c r="F106" s="705"/>
      <c r="G106" s="705"/>
    </row>
    <row r="107" spans="1:7" ht="25.5" hidden="1">
      <c r="A107" s="698">
        <v>106</v>
      </c>
      <c r="B107" s="691">
        <v>38006</v>
      </c>
      <c r="C107" s="705" t="s">
        <v>25605</v>
      </c>
      <c r="D107" s="691">
        <v>38022</v>
      </c>
      <c r="E107" s="705" t="str">
        <f>Status!B4</f>
        <v>Concluído</v>
      </c>
      <c r="F107" s="705" t="s">
        <v>25606</v>
      </c>
      <c r="G107" s="705" t="s">
        <v>25607</v>
      </c>
    </row>
    <row r="108" spans="1:7" ht="38.25" hidden="1">
      <c r="A108" s="698">
        <v>107</v>
      </c>
      <c r="B108" s="691">
        <v>38006</v>
      </c>
      <c r="C108" s="705" t="s">
        <v>25608</v>
      </c>
      <c r="D108" s="691">
        <v>38006</v>
      </c>
      <c r="E108" s="705" t="str">
        <f>Status!B4</f>
        <v>Concluído</v>
      </c>
      <c r="F108" s="705"/>
      <c r="G108" s="705"/>
    </row>
    <row r="109" spans="1:7" ht="38.25" hidden="1">
      <c r="A109" s="698">
        <v>108</v>
      </c>
      <c r="B109" s="691">
        <v>38005</v>
      </c>
      <c r="C109" s="705" t="s">
        <v>25609</v>
      </c>
      <c r="D109" s="691">
        <v>38006</v>
      </c>
      <c r="E109" s="705" t="str">
        <f>Status!B4</f>
        <v>Concluído</v>
      </c>
      <c r="F109" s="705" t="s">
        <v>25610</v>
      </c>
      <c r="G109" s="705"/>
    </row>
    <row r="110" spans="1:7" ht="25.5" hidden="1">
      <c r="A110" s="698">
        <v>109</v>
      </c>
      <c r="B110" s="691">
        <v>38044</v>
      </c>
      <c r="C110" s="705" t="s">
        <v>25611</v>
      </c>
      <c r="D110" s="691">
        <v>38044</v>
      </c>
      <c r="E110" s="705" t="str">
        <f>Status!B4</f>
        <v>Concluído</v>
      </c>
      <c r="F110" s="705"/>
      <c r="G110" s="705"/>
    </row>
    <row r="111" spans="1:7" ht="25.5" hidden="1">
      <c r="A111" s="698">
        <v>110</v>
      </c>
      <c r="B111" s="691">
        <v>38007</v>
      </c>
      <c r="C111" s="705" t="s">
        <v>25612</v>
      </c>
      <c r="D111" s="691">
        <v>38007</v>
      </c>
      <c r="E111" s="705" t="str">
        <f>Status!B4</f>
        <v>Concluído</v>
      </c>
      <c r="F111" s="705"/>
      <c r="G111" s="705"/>
    </row>
    <row r="112" spans="1:7" ht="25.5" hidden="1">
      <c r="A112" s="698">
        <v>111</v>
      </c>
      <c r="B112" s="691">
        <v>38007</v>
      </c>
      <c r="C112" s="705" t="s">
        <v>25613</v>
      </c>
      <c r="D112" s="691">
        <v>38007</v>
      </c>
      <c r="E112" s="705" t="str">
        <f>Status!B4</f>
        <v>Concluído</v>
      </c>
      <c r="F112" s="705"/>
      <c r="G112" s="705"/>
    </row>
    <row r="113" spans="1:7" ht="38.25" hidden="1">
      <c r="A113" s="698">
        <v>112</v>
      </c>
      <c r="B113" s="691">
        <v>38008</v>
      </c>
      <c r="C113" s="705" t="s">
        <v>25614</v>
      </c>
      <c r="D113" s="691">
        <v>38008</v>
      </c>
      <c r="E113" s="705" t="str">
        <f>Status!B4</f>
        <v>Concluído</v>
      </c>
      <c r="F113" s="705"/>
      <c r="G113" s="705"/>
    </row>
    <row r="114" spans="1:7" hidden="1">
      <c r="A114" s="698">
        <v>113</v>
      </c>
      <c r="B114" s="691">
        <v>38008</v>
      </c>
      <c r="C114" s="705" t="s">
        <v>25490</v>
      </c>
      <c r="D114" s="691">
        <v>38008</v>
      </c>
      <c r="E114" s="705" t="str">
        <f>Status!B4</f>
        <v>Concluído</v>
      </c>
      <c r="F114" s="705"/>
      <c r="G114" s="705"/>
    </row>
    <row r="115" spans="1:7" ht="25.5" hidden="1">
      <c r="A115" s="698">
        <v>114</v>
      </c>
      <c r="B115" s="691">
        <v>38008</v>
      </c>
      <c r="C115" s="705" t="s">
        <v>25615</v>
      </c>
      <c r="D115" s="691">
        <v>38008</v>
      </c>
      <c r="E115" s="705" t="str">
        <f>Status!B4</f>
        <v>Concluído</v>
      </c>
      <c r="F115" s="705"/>
      <c r="G115" s="705"/>
    </row>
    <row r="116" spans="1:7" hidden="1">
      <c r="A116" s="698">
        <v>115</v>
      </c>
      <c r="B116" s="691">
        <v>38008</v>
      </c>
      <c r="C116" s="705" t="s">
        <v>25616</v>
      </c>
      <c r="D116" s="691">
        <v>38008</v>
      </c>
      <c r="E116" s="705" t="str">
        <f>Status!B4</f>
        <v>Concluído</v>
      </c>
      <c r="F116" s="705"/>
      <c r="G116" s="705"/>
    </row>
    <row r="117" spans="1:7" ht="25.5" hidden="1">
      <c r="A117" s="698">
        <v>116</v>
      </c>
      <c r="B117" s="691">
        <v>38008</v>
      </c>
      <c r="C117" s="705" t="s">
        <v>25617</v>
      </c>
      <c r="D117" s="691">
        <v>38008</v>
      </c>
      <c r="E117" s="705" t="str">
        <f>Status!B4</f>
        <v>Concluído</v>
      </c>
      <c r="F117" s="705"/>
      <c r="G117" s="705"/>
    </row>
    <row r="118" spans="1:7" ht="25.5" hidden="1">
      <c r="A118" s="698">
        <v>117</v>
      </c>
      <c r="B118" s="691">
        <v>38012</v>
      </c>
      <c r="C118" s="705" t="s">
        <v>25618</v>
      </c>
      <c r="D118" s="691">
        <v>38012</v>
      </c>
      <c r="E118" s="705" t="str">
        <f>Status!B4</f>
        <v>Concluído</v>
      </c>
      <c r="F118" s="705"/>
      <c r="G118" s="705"/>
    </row>
    <row r="119" spans="1:7" ht="38.25" hidden="1">
      <c r="A119" s="698">
        <v>118</v>
      </c>
      <c r="B119" s="691">
        <v>38012</v>
      </c>
      <c r="C119" s="705" t="s">
        <v>25619</v>
      </c>
      <c r="D119" s="691">
        <v>38012</v>
      </c>
      <c r="E119" s="705" t="str">
        <f>Status!B4</f>
        <v>Concluído</v>
      </c>
      <c r="F119" s="705"/>
      <c r="G119" s="705"/>
    </row>
    <row r="120" spans="1:7" ht="25.5" hidden="1">
      <c r="A120" s="698">
        <v>119</v>
      </c>
      <c r="B120" s="691">
        <v>38012</v>
      </c>
      <c r="C120" s="705" t="s">
        <v>25620</v>
      </c>
      <c r="D120" s="691">
        <v>38012</v>
      </c>
      <c r="E120" s="705" t="str">
        <f>Status!B4</f>
        <v>Concluído</v>
      </c>
      <c r="F120" s="705"/>
      <c r="G120" s="705"/>
    </row>
    <row r="121" spans="1:7" ht="38.25" hidden="1">
      <c r="A121" s="698">
        <v>120</v>
      </c>
      <c r="B121" s="691">
        <v>38013</v>
      </c>
      <c r="C121" s="705" t="s">
        <v>25621</v>
      </c>
      <c r="D121" s="691">
        <v>38013</v>
      </c>
      <c r="E121" s="705" t="str">
        <f>Status!B4</f>
        <v>Concluído</v>
      </c>
      <c r="F121" s="705"/>
      <c r="G121" s="705"/>
    </row>
    <row r="122" spans="1:7" ht="25.5" hidden="1">
      <c r="A122" s="698">
        <v>121</v>
      </c>
      <c r="B122" s="691">
        <v>38013</v>
      </c>
      <c r="C122" s="705" t="s">
        <v>25622</v>
      </c>
      <c r="D122" s="691">
        <v>38013</v>
      </c>
      <c r="E122" s="705" t="str">
        <f>Status!B4</f>
        <v>Concluído</v>
      </c>
      <c r="F122" s="705" t="s">
        <v>25623</v>
      </c>
      <c r="G122" s="705"/>
    </row>
    <row r="123" spans="1:7" ht="25.5" hidden="1">
      <c r="A123" s="698">
        <v>122</v>
      </c>
      <c r="B123" s="691">
        <v>38013</v>
      </c>
      <c r="C123" s="705" t="s">
        <v>25624</v>
      </c>
      <c r="D123" s="691">
        <v>38016</v>
      </c>
      <c r="E123" s="705" t="str">
        <f>Status!B4</f>
        <v>Concluído</v>
      </c>
      <c r="F123" s="705"/>
      <c r="G123" s="705"/>
    </row>
    <row r="124" spans="1:7" ht="25.5" hidden="1">
      <c r="A124" s="698">
        <v>123</v>
      </c>
      <c r="B124" s="691">
        <v>38020</v>
      </c>
      <c r="C124" s="705" t="s">
        <v>25625</v>
      </c>
      <c r="D124" s="691">
        <v>38020</v>
      </c>
      <c r="E124" s="705" t="str">
        <f>Status!B4</f>
        <v>Concluído</v>
      </c>
      <c r="F124" s="705"/>
      <c r="G124" s="705"/>
    </row>
    <row r="125" spans="1:7" ht="38.25" hidden="1">
      <c r="A125" s="698">
        <v>124</v>
      </c>
      <c r="B125" s="691">
        <v>38022</v>
      </c>
      <c r="C125" s="705" t="s">
        <v>25626</v>
      </c>
      <c r="D125" s="691">
        <v>38022</v>
      </c>
      <c r="E125" s="705" t="str">
        <f>Status!B4</f>
        <v>Concluído</v>
      </c>
      <c r="F125" s="705" t="s">
        <v>25627</v>
      </c>
      <c r="G125" s="705"/>
    </row>
    <row r="126" spans="1:7" ht="25.5" hidden="1">
      <c r="A126" s="698">
        <v>125</v>
      </c>
      <c r="B126" s="691">
        <v>38024</v>
      </c>
      <c r="C126" s="705" t="s">
        <v>25626</v>
      </c>
      <c r="D126" s="691">
        <v>38024</v>
      </c>
      <c r="E126" s="705" t="str">
        <f>Status!B4</f>
        <v>Concluído</v>
      </c>
      <c r="F126" s="705" t="s">
        <v>25628</v>
      </c>
      <c r="G126" s="705" t="s">
        <v>25629</v>
      </c>
    </row>
    <row r="127" spans="1:7" ht="25.5" hidden="1">
      <c r="A127" s="698">
        <v>126</v>
      </c>
      <c r="B127" s="691">
        <v>38024</v>
      </c>
      <c r="C127" s="705" t="s">
        <v>25630</v>
      </c>
      <c r="D127" s="691">
        <v>38024</v>
      </c>
      <c r="E127" s="705" t="str">
        <f>Status!B9</f>
        <v>Realização cancelada</v>
      </c>
      <c r="F127" s="705" t="str">
        <f>Status!B9</f>
        <v>Realização cancelada</v>
      </c>
      <c r="G127" s="705" t="s">
        <v>25631</v>
      </c>
    </row>
    <row r="128" spans="1:7" ht="25.5" hidden="1">
      <c r="A128" s="698">
        <v>127</v>
      </c>
      <c r="B128" s="691">
        <v>38023</v>
      </c>
      <c r="C128" s="705" t="s">
        <v>25632</v>
      </c>
      <c r="D128" s="691">
        <v>38024</v>
      </c>
      <c r="E128" s="705" t="str">
        <f>Status!B4</f>
        <v>Concluído</v>
      </c>
      <c r="F128" s="705" t="s">
        <v>25633</v>
      </c>
      <c r="G128" s="705"/>
    </row>
    <row r="129" spans="1:7" ht="25.5" hidden="1">
      <c r="A129" s="698">
        <v>128</v>
      </c>
      <c r="B129" s="691">
        <v>38026</v>
      </c>
      <c r="C129" s="705" t="s">
        <v>25634</v>
      </c>
      <c r="D129" s="691">
        <v>38026</v>
      </c>
      <c r="E129" s="705" t="str">
        <f>Status!B4</f>
        <v>Concluído</v>
      </c>
      <c r="F129" s="705"/>
      <c r="G129" s="705"/>
    </row>
    <row r="130" spans="1:7" ht="25.5" hidden="1">
      <c r="A130" s="698">
        <v>129</v>
      </c>
      <c r="B130" s="691">
        <v>38026</v>
      </c>
      <c r="C130" s="705" t="s">
        <v>25635</v>
      </c>
      <c r="D130" s="691">
        <v>38026</v>
      </c>
      <c r="E130" s="705" t="str">
        <f>Status!B4</f>
        <v>Concluído</v>
      </c>
      <c r="F130" s="705"/>
      <c r="G130" s="705"/>
    </row>
    <row r="131" spans="1:7" ht="38.25" hidden="1">
      <c r="A131" s="698">
        <v>130</v>
      </c>
      <c r="B131" s="691">
        <v>38026</v>
      </c>
      <c r="C131" s="705" t="s">
        <v>25636</v>
      </c>
      <c r="D131" s="691">
        <v>38026</v>
      </c>
      <c r="E131" s="705" t="str">
        <f>Status!B4</f>
        <v>Concluído</v>
      </c>
      <c r="F131" s="705"/>
      <c r="G131" s="705"/>
    </row>
    <row r="132" spans="1:7" ht="25.5" hidden="1">
      <c r="A132" s="698">
        <v>131</v>
      </c>
      <c r="B132" s="691">
        <v>38026</v>
      </c>
      <c r="C132" s="705" t="s">
        <v>25637</v>
      </c>
      <c r="D132" s="691">
        <v>38026</v>
      </c>
      <c r="E132" s="705" t="str">
        <f>Status!B4</f>
        <v>Concluído</v>
      </c>
      <c r="F132" s="705"/>
      <c r="G132" s="705"/>
    </row>
    <row r="133" spans="1:7" ht="25.5" hidden="1">
      <c r="A133" s="698">
        <v>132</v>
      </c>
      <c r="B133" s="691">
        <v>38026</v>
      </c>
      <c r="C133" s="705" t="s">
        <v>25638</v>
      </c>
      <c r="D133" s="691">
        <v>38026</v>
      </c>
      <c r="E133" s="705" t="str">
        <f>Status!B4</f>
        <v>Concluído</v>
      </c>
      <c r="F133" s="705" t="s">
        <v>25639</v>
      </c>
      <c r="G133" s="705"/>
    </row>
    <row r="134" spans="1:7" ht="25.5" hidden="1">
      <c r="A134" s="698">
        <v>133</v>
      </c>
      <c r="B134" s="691">
        <v>38026</v>
      </c>
      <c r="C134" s="705" t="s">
        <v>25640</v>
      </c>
      <c r="D134" s="691">
        <v>38026</v>
      </c>
      <c r="E134" s="705" t="str">
        <f>Status!B4</f>
        <v>Concluído</v>
      </c>
      <c r="F134" s="705"/>
      <c r="G134" s="705"/>
    </row>
    <row r="135" spans="1:7" ht="25.5" hidden="1">
      <c r="A135" s="698">
        <v>134</v>
      </c>
      <c r="B135" s="691">
        <v>38026</v>
      </c>
      <c r="C135" s="705" t="s">
        <v>25641</v>
      </c>
      <c r="D135" s="691">
        <v>38026</v>
      </c>
      <c r="E135" s="705" t="str">
        <f>Status!B4</f>
        <v>Concluído</v>
      </c>
      <c r="F135" s="705"/>
      <c r="G135" s="705"/>
    </row>
    <row r="136" spans="1:7" ht="25.5" hidden="1">
      <c r="A136" s="698">
        <v>135</v>
      </c>
      <c r="B136" s="691">
        <v>38026</v>
      </c>
      <c r="C136" s="705" t="s">
        <v>25642</v>
      </c>
      <c r="D136" s="691">
        <v>38026</v>
      </c>
      <c r="E136" s="705" t="str">
        <f>Status!B4</f>
        <v>Concluído</v>
      </c>
      <c r="F136" s="705" t="s">
        <v>25643</v>
      </c>
      <c r="G136" s="705"/>
    </row>
    <row r="137" spans="1:7" ht="25.5" hidden="1">
      <c r="A137" s="698">
        <v>136</v>
      </c>
      <c r="B137" s="691">
        <v>38026</v>
      </c>
      <c r="C137" s="705" t="s">
        <v>25644</v>
      </c>
      <c r="D137" s="691">
        <v>38026</v>
      </c>
      <c r="E137" s="705" t="str">
        <f>Status!B4</f>
        <v>Concluído</v>
      </c>
      <c r="F137" s="705"/>
      <c r="G137" s="705"/>
    </row>
    <row r="138" spans="1:7" ht="25.5" hidden="1">
      <c r="A138" s="698">
        <v>137</v>
      </c>
      <c r="B138" s="691">
        <v>38026</v>
      </c>
      <c r="C138" s="705" t="s">
        <v>25645</v>
      </c>
      <c r="D138" s="691">
        <v>38035</v>
      </c>
      <c r="E138" s="705" t="str">
        <f>Status!B4</f>
        <v>Concluído</v>
      </c>
      <c r="F138" s="705" t="s">
        <v>25646</v>
      </c>
      <c r="G138" s="705" t="s">
        <v>25647</v>
      </c>
    </row>
    <row r="139" spans="1:7" ht="25.5" hidden="1">
      <c r="A139" s="698">
        <v>138</v>
      </c>
      <c r="B139" s="691">
        <v>38026</v>
      </c>
      <c r="C139" s="705" t="s">
        <v>25648</v>
      </c>
      <c r="D139" s="691">
        <v>38026</v>
      </c>
      <c r="E139" s="705" t="str">
        <f>Status!B4</f>
        <v>Concluído</v>
      </c>
      <c r="F139" s="705"/>
      <c r="G139" s="705"/>
    </row>
    <row r="140" spans="1:7" ht="51" hidden="1">
      <c r="A140" s="698">
        <v>139</v>
      </c>
      <c r="B140" s="691">
        <v>38033</v>
      </c>
      <c r="C140" s="705" t="s">
        <v>25649</v>
      </c>
      <c r="D140" s="691">
        <v>38033</v>
      </c>
      <c r="E140" s="705" t="str">
        <f>Status!B4</f>
        <v>Concluído</v>
      </c>
      <c r="F140" s="705" t="s">
        <v>25650</v>
      </c>
      <c r="G140" s="705"/>
    </row>
    <row r="141" spans="1:7" ht="25.5" hidden="1">
      <c r="A141" s="698">
        <v>140</v>
      </c>
      <c r="B141" s="691">
        <v>38026</v>
      </c>
      <c r="C141" s="705" t="s">
        <v>25651</v>
      </c>
      <c r="D141" s="691">
        <v>38026</v>
      </c>
      <c r="E141" s="705" t="str">
        <f>Status!B4</f>
        <v>Concluído</v>
      </c>
      <c r="F141" s="705" t="s">
        <v>25652</v>
      </c>
      <c r="G141" s="705"/>
    </row>
    <row r="142" spans="1:7" hidden="1">
      <c r="A142" s="698">
        <v>141</v>
      </c>
      <c r="B142" s="691">
        <v>38026</v>
      </c>
      <c r="C142" s="705" t="s">
        <v>25653</v>
      </c>
      <c r="D142" s="691">
        <v>38026</v>
      </c>
      <c r="E142" s="705" t="str">
        <f>Status!B4</f>
        <v>Concluído</v>
      </c>
      <c r="F142" s="705" t="s">
        <v>25654</v>
      </c>
      <c r="G142" s="705" t="s">
        <v>25655</v>
      </c>
    </row>
    <row r="143" spans="1:7" ht="12.75" hidden="1" customHeight="1">
      <c r="A143" s="698">
        <v>142</v>
      </c>
      <c r="B143" s="691">
        <v>38026</v>
      </c>
      <c r="C143" s="705" t="s">
        <v>25656</v>
      </c>
      <c r="D143" s="691">
        <v>38026</v>
      </c>
      <c r="E143" s="705" t="str">
        <f>Status!B4</f>
        <v>Concluído</v>
      </c>
      <c r="F143" s="707" t="s">
        <v>25657</v>
      </c>
      <c r="G143" s="705"/>
    </row>
    <row r="144" spans="1:7" ht="25.5" hidden="1">
      <c r="A144" s="698">
        <v>143</v>
      </c>
      <c r="B144" s="691">
        <v>38034</v>
      </c>
      <c r="C144" s="705" t="s">
        <v>25658</v>
      </c>
      <c r="D144" s="691">
        <v>38033</v>
      </c>
      <c r="E144" s="705" t="str">
        <f>Status!B4</f>
        <v>Concluído</v>
      </c>
      <c r="F144" s="705" t="s">
        <v>25659</v>
      </c>
      <c r="G144" s="705"/>
    </row>
    <row r="145" spans="1:7" ht="25.5" hidden="1">
      <c r="A145" s="698">
        <v>144</v>
      </c>
      <c r="B145" s="691">
        <v>38026</v>
      </c>
      <c r="C145" s="705" t="s">
        <v>25660</v>
      </c>
      <c r="D145" s="691">
        <v>38033</v>
      </c>
      <c r="E145" s="705" t="str">
        <f>Status!B4</f>
        <v>Concluído</v>
      </c>
      <c r="F145" s="705" t="s">
        <v>25661</v>
      </c>
      <c r="G145" s="705"/>
    </row>
    <row r="146" spans="1:7" ht="25.5" hidden="1">
      <c r="A146" s="698">
        <v>145</v>
      </c>
      <c r="B146" s="691">
        <v>38045</v>
      </c>
      <c r="C146" s="705" t="s">
        <v>25662</v>
      </c>
      <c r="D146" s="691">
        <v>38034</v>
      </c>
      <c r="E146" s="705" t="str">
        <f>Status!B4</f>
        <v>Concluído</v>
      </c>
      <c r="F146" s="705"/>
      <c r="G146" s="705"/>
    </row>
    <row r="147" spans="1:7" ht="38.25" hidden="1">
      <c r="A147" s="698">
        <v>146</v>
      </c>
      <c r="B147" s="691">
        <v>38026</v>
      </c>
      <c r="C147" s="705" t="s">
        <v>25663</v>
      </c>
      <c r="D147" s="691">
        <v>38026</v>
      </c>
      <c r="E147" s="705" t="str">
        <f>Status!B4</f>
        <v>Concluído</v>
      </c>
      <c r="F147" s="705" t="s">
        <v>25664</v>
      </c>
      <c r="G147" s="705"/>
    </row>
    <row r="148" spans="1:7" ht="25.5" hidden="1">
      <c r="A148" s="698">
        <v>147</v>
      </c>
      <c r="B148" s="691">
        <v>38026</v>
      </c>
      <c r="C148" s="705" t="s">
        <v>25665</v>
      </c>
      <c r="D148" s="691">
        <v>38026</v>
      </c>
      <c r="E148" s="705" t="str">
        <f>Status!B4</f>
        <v>Concluído</v>
      </c>
      <c r="F148" s="705"/>
      <c r="G148" s="705"/>
    </row>
    <row r="149" spans="1:7" ht="25.5" hidden="1">
      <c r="A149" s="698">
        <v>148</v>
      </c>
      <c r="B149" s="691">
        <v>38026</v>
      </c>
      <c r="C149" s="705" t="s">
        <v>25666</v>
      </c>
      <c r="D149" s="691">
        <v>38026</v>
      </c>
      <c r="E149" s="705" t="str">
        <f>Status!B4</f>
        <v>Concluído</v>
      </c>
      <c r="F149" s="705" t="s">
        <v>25667</v>
      </c>
      <c r="G149" s="705"/>
    </row>
    <row r="150" spans="1:7" ht="25.5" hidden="1">
      <c r="A150" s="698">
        <v>149</v>
      </c>
      <c r="B150" s="691">
        <v>38026</v>
      </c>
      <c r="C150" s="705" t="s">
        <v>25668</v>
      </c>
      <c r="D150" s="691">
        <v>38026</v>
      </c>
      <c r="E150" s="705" t="str">
        <f>Status!B4</f>
        <v>Concluído</v>
      </c>
      <c r="F150" s="705"/>
      <c r="G150" s="705"/>
    </row>
    <row r="151" spans="1:7" ht="25.5" hidden="1">
      <c r="A151" s="698">
        <v>150</v>
      </c>
      <c r="B151" s="691">
        <v>38026</v>
      </c>
      <c r="C151" s="705" t="s">
        <v>25669</v>
      </c>
      <c r="D151" s="691">
        <v>38026</v>
      </c>
      <c r="E151" s="705" t="str">
        <f>Status!B4</f>
        <v>Concluído</v>
      </c>
      <c r="F151" s="705" t="s">
        <v>25670</v>
      </c>
      <c r="G151" s="705"/>
    </row>
    <row r="152" spans="1:7" ht="25.5" hidden="1">
      <c r="A152" s="698">
        <v>151</v>
      </c>
      <c r="B152" s="691">
        <v>38026</v>
      </c>
      <c r="C152" s="705" t="s">
        <v>25671</v>
      </c>
      <c r="D152" s="691">
        <v>38026</v>
      </c>
      <c r="E152" s="705" t="str">
        <f>Status!B4</f>
        <v>Concluído</v>
      </c>
      <c r="F152" s="705" t="s">
        <v>25672</v>
      </c>
      <c r="G152" s="705" t="s">
        <v>25673</v>
      </c>
    </row>
    <row r="153" spans="1:7" ht="25.5" hidden="1">
      <c r="A153" s="698">
        <v>152</v>
      </c>
      <c r="B153" s="691">
        <v>38027</v>
      </c>
      <c r="C153" s="705" t="s">
        <v>25674</v>
      </c>
      <c r="D153" s="691">
        <v>38033</v>
      </c>
      <c r="E153" s="705" t="str">
        <f>Status!B4</f>
        <v>Concluído</v>
      </c>
      <c r="F153" s="705"/>
      <c r="G153" s="705"/>
    </row>
    <row r="154" spans="1:7" ht="25.5" hidden="1">
      <c r="A154" s="698">
        <v>153</v>
      </c>
      <c r="B154" s="691">
        <v>38027</v>
      </c>
      <c r="C154" s="705" t="s">
        <v>25675</v>
      </c>
      <c r="D154" s="691">
        <v>38033</v>
      </c>
      <c r="E154" s="705" t="str">
        <f>Status!B4</f>
        <v>Concluído</v>
      </c>
      <c r="F154" s="705" t="s">
        <v>25676</v>
      </c>
      <c r="G154" s="705"/>
    </row>
    <row r="155" spans="1:7" hidden="1">
      <c r="A155" s="698">
        <v>154</v>
      </c>
      <c r="B155" s="691">
        <v>38027</v>
      </c>
      <c r="C155" s="705" t="s">
        <v>25677</v>
      </c>
      <c r="D155" s="691">
        <v>38028</v>
      </c>
      <c r="E155" s="705" t="str">
        <f>Status!B4</f>
        <v>Concluído</v>
      </c>
      <c r="F155" s="705" t="s">
        <v>25678</v>
      </c>
      <c r="G155" s="705"/>
    </row>
    <row r="156" spans="1:7" ht="25.5" hidden="1">
      <c r="A156" s="698">
        <v>155</v>
      </c>
      <c r="B156" s="691">
        <v>38028</v>
      </c>
      <c r="C156" s="705" t="s">
        <v>25679</v>
      </c>
      <c r="D156" s="691">
        <v>38033</v>
      </c>
      <c r="E156" s="705" t="str">
        <f>Status!B4</f>
        <v>Concluído</v>
      </c>
      <c r="F156" s="705" t="s">
        <v>25680</v>
      </c>
      <c r="G156" s="705"/>
    </row>
    <row r="157" spans="1:7" ht="25.5" hidden="1">
      <c r="A157" s="698">
        <v>156</v>
      </c>
      <c r="B157" s="691">
        <v>38028</v>
      </c>
      <c r="C157" s="705" t="s">
        <v>25681</v>
      </c>
      <c r="D157" s="691">
        <v>38033</v>
      </c>
      <c r="E157" s="705" t="str">
        <f>Status!B4</f>
        <v>Concluído</v>
      </c>
      <c r="F157" s="705" t="s">
        <v>25676</v>
      </c>
      <c r="G157" s="705"/>
    </row>
    <row r="158" spans="1:7" ht="25.5" hidden="1">
      <c r="A158" s="698">
        <v>157</v>
      </c>
      <c r="B158" s="691">
        <v>38028</v>
      </c>
      <c r="C158" s="705" t="s">
        <v>25682</v>
      </c>
      <c r="D158" s="691">
        <v>38028</v>
      </c>
      <c r="E158" s="705" t="str">
        <f>Status!B4</f>
        <v>Concluído</v>
      </c>
      <c r="F158" s="705" t="s">
        <v>25683</v>
      </c>
      <c r="G158" s="705"/>
    </row>
    <row r="159" spans="1:7" ht="25.5" hidden="1">
      <c r="A159" s="698">
        <v>158</v>
      </c>
      <c r="B159" s="691">
        <v>38029</v>
      </c>
      <c r="C159" s="705" t="s">
        <v>25684</v>
      </c>
      <c r="D159" s="691">
        <v>38029</v>
      </c>
      <c r="E159" s="705" t="str">
        <f>Status!B4</f>
        <v>Concluído</v>
      </c>
      <c r="F159" s="705"/>
      <c r="G159" s="705"/>
    </row>
    <row r="160" spans="1:7" ht="25.5" hidden="1">
      <c r="A160" s="698">
        <v>159</v>
      </c>
      <c r="B160" s="691">
        <v>38029</v>
      </c>
      <c r="C160" s="705" t="s">
        <v>25685</v>
      </c>
      <c r="D160" s="691">
        <v>38029</v>
      </c>
      <c r="E160" s="705" t="str">
        <f>Status!B4</f>
        <v>Concluído</v>
      </c>
      <c r="F160" s="705"/>
      <c r="G160" s="705"/>
    </row>
    <row r="161" spans="1:7" ht="25.5" hidden="1">
      <c r="A161" s="698">
        <v>160</v>
      </c>
      <c r="B161" s="691">
        <v>38029</v>
      </c>
      <c r="C161" s="705" t="s">
        <v>25686</v>
      </c>
      <c r="D161" s="691">
        <v>38029</v>
      </c>
      <c r="E161" s="705" t="str">
        <f>Status!B4</f>
        <v>Concluído</v>
      </c>
      <c r="F161" s="705"/>
      <c r="G161" s="705"/>
    </row>
    <row r="162" spans="1:7" ht="25.5" hidden="1">
      <c r="A162" s="698">
        <v>161</v>
      </c>
      <c r="B162" s="691">
        <v>38029</v>
      </c>
      <c r="C162" s="705" t="s">
        <v>25687</v>
      </c>
      <c r="D162" s="691">
        <v>38029</v>
      </c>
      <c r="E162" s="705" t="str">
        <f>Status!B4</f>
        <v>Concluído</v>
      </c>
      <c r="F162" s="705"/>
      <c r="G162" s="705"/>
    </row>
    <row r="163" spans="1:7" hidden="1">
      <c r="A163" s="698">
        <v>162</v>
      </c>
      <c r="B163" s="691">
        <v>38029</v>
      </c>
      <c r="C163" s="705" t="s">
        <v>25688</v>
      </c>
      <c r="D163" s="691">
        <v>38029</v>
      </c>
      <c r="E163" s="705" t="str">
        <f>Status!B4</f>
        <v>Concluído</v>
      </c>
      <c r="F163" s="705"/>
      <c r="G163" s="705"/>
    </row>
    <row r="164" spans="1:7" hidden="1">
      <c r="A164" s="698">
        <v>163</v>
      </c>
      <c r="B164" s="691">
        <v>38029</v>
      </c>
      <c r="C164" s="705" t="s">
        <v>25689</v>
      </c>
      <c r="D164" s="691">
        <v>38029</v>
      </c>
      <c r="E164" s="705" t="str">
        <f>Status!B4</f>
        <v>Concluído</v>
      </c>
      <c r="F164" s="705"/>
      <c r="G164" s="705"/>
    </row>
    <row r="165" spans="1:7" ht="25.5" hidden="1">
      <c r="A165" s="698">
        <v>164</v>
      </c>
      <c r="B165" s="691">
        <v>38029</v>
      </c>
      <c r="C165" s="705" t="s">
        <v>25690</v>
      </c>
      <c r="D165" s="691">
        <v>38029</v>
      </c>
      <c r="E165" s="705" t="str">
        <f>Status!B4</f>
        <v>Concluído</v>
      </c>
      <c r="F165" s="705"/>
      <c r="G165" s="705"/>
    </row>
    <row r="166" spans="1:7" ht="25.5" hidden="1">
      <c r="A166" s="698">
        <v>165</v>
      </c>
      <c r="B166" s="691">
        <v>38030</v>
      </c>
      <c r="C166" s="705" t="s">
        <v>25691</v>
      </c>
      <c r="D166" s="691">
        <v>38033</v>
      </c>
      <c r="E166" s="705" t="str">
        <f>Status!B4</f>
        <v>Concluído</v>
      </c>
      <c r="F166" s="705"/>
      <c r="G166" s="705"/>
    </row>
    <row r="167" spans="1:7" hidden="1">
      <c r="A167" s="698">
        <v>166</v>
      </c>
      <c r="B167" s="691">
        <v>38037</v>
      </c>
      <c r="C167" s="705" t="s">
        <v>25692</v>
      </c>
      <c r="D167" s="691">
        <v>38037</v>
      </c>
      <c r="E167" s="705" t="str">
        <f>Status!B4</f>
        <v>Concluído</v>
      </c>
      <c r="F167" s="705" t="s">
        <v>25693</v>
      </c>
      <c r="G167" s="705"/>
    </row>
    <row r="168" spans="1:7" ht="38.25" hidden="1">
      <c r="A168" s="698">
        <v>167</v>
      </c>
      <c r="B168" s="691">
        <v>38030</v>
      </c>
      <c r="C168" s="705" t="s">
        <v>25694</v>
      </c>
      <c r="D168" s="691">
        <v>38030</v>
      </c>
      <c r="E168" s="705" t="str">
        <f>Status!B4</f>
        <v>Concluído</v>
      </c>
      <c r="F168" s="705" t="s">
        <v>25695</v>
      </c>
      <c r="G168" s="705"/>
    </row>
    <row r="169" spans="1:7" ht="38.25" hidden="1">
      <c r="A169" s="698">
        <v>168</v>
      </c>
      <c r="B169" s="691">
        <v>38030</v>
      </c>
      <c r="C169" s="705" t="s">
        <v>25696</v>
      </c>
      <c r="D169" s="691">
        <v>38030</v>
      </c>
      <c r="E169" s="705" t="str">
        <f>Status!B4</f>
        <v>Concluído</v>
      </c>
      <c r="F169" s="705" t="s">
        <v>25697</v>
      </c>
      <c r="G169" s="705"/>
    </row>
    <row r="170" spans="1:7" ht="38.25" hidden="1">
      <c r="A170" s="698">
        <v>169</v>
      </c>
      <c r="B170" s="691">
        <v>38030</v>
      </c>
      <c r="C170" s="705" t="s">
        <v>25698</v>
      </c>
      <c r="D170" s="691">
        <v>38030</v>
      </c>
      <c r="E170" s="705" t="str">
        <f>Status!B4</f>
        <v>Concluído</v>
      </c>
      <c r="F170" s="705" t="s">
        <v>25699</v>
      </c>
      <c r="G170" s="705"/>
    </row>
    <row r="171" spans="1:7" hidden="1">
      <c r="A171" s="698">
        <v>170</v>
      </c>
      <c r="B171" s="691">
        <v>38030</v>
      </c>
      <c r="C171" s="705" t="s">
        <v>25700</v>
      </c>
      <c r="D171" s="691">
        <v>38030</v>
      </c>
      <c r="E171" s="705" t="str">
        <f>Status!B4</f>
        <v>Concluído</v>
      </c>
      <c r="F171" s="705"/>
      <c r="G171" s="705"/>
    </row>
    <row r="172" spans="1:7" ht="12.75" hidden="1" customHeight="1">
      <c r="A172" s="698">
        <v>171</v>
      </c>
      <c r="B172" s="691">
        <v>38052</v>
      </c>
      <c r="C172" s="705" t="s">
        <v>25701</v>
      </c>
      <c r="D172" s="691"/>
      <c r="E172" s="705" t="str">
        <f>Status!B9</f>
        <v>Realização cancelada</v>
      </c>
      <c r="F172" s="707" t="s">
        <v>25702</v>
      </c>
      <c r="G172" s="705"/>
    </row>
    <row r="173" spans="1:7" ht="25.5" hidden="1">
      <c r="A173" s="698">
        <v>172</v>
      </c>
      <c r="B173" s="691">
        <v>38042</v>
      </c>
      <c r="C173" s="705" t="s">
        <v>25703</v>
      </c>
      <c r="D173" s="691">
        <v>38042</v>
      </c>
      <c r="E173" s="705" t="str">
        <f>Status!B4</f>
        <v>Concluído</v>
      </c>
      <c r="F173" s="705" t="s">
        <v>25704</v>
      </c>
      <c r="G173" s="705" t="s">
        <v>25705</v>
      </c>
    </row>
    <row r="174" spans="1:7" hidden="1">
      <c r="A174" s="698">
        <v>173</v>
      </c>
      <c r="B174" s="691">
        <v>38033</v>
      </c>
      <c r="C174" s="705" t="s">
        <v>25706</v>
      </c>
      <c r="D174" s="691">
        <v>38033</v>
      </c>
      <c r="E174" s="705" t="str">
        <f>Status!B4</f>
        <v>Concluído</v>
      </c>
      <c r="F174" s="705"/>
      <c r="G174" s="705"/>
    </row>
    <row r="175" spans="1:7" ht="25.5" hidden="1">
      <c r="A175" s="698">
        <v>174</v>
      </c>
      <c r="B175" s="691">
        <v>38033</v>
      </c>
      <c r="C175" s="705" t="s">
        <v>25707</v>
      </c>
      <c r="D175" s="691">
        <v>38033</v>
      </c>
      <c r="E175" s="705" t="str">
        <f>Status!B4</f>
        <v>Concluído</v>
      </c>
      <c r="F175" s="705" t="s">
        <v>25708</v>
      </c>
      <c r="G175" s="705"/>
    </row>
    <row r="176" spans="1:7" ht="12.75" hidden="1" customHeight="1">
      <c r="A176" s="698">
        <v>175</v>
      </c>
      <c r="B176" s="691">
        <v>38034</v>
      </c>
      <c r="C176" s="705" t="s">
        <v>25709</v>
      </c>
      <c r="D176" s="691">
        <v>38033</v>
      </c>
      <c r="E176" s="705" t="str">
        <f>Status!B4</f>
        <v>Concluído</v>
      </c>
      <c r="F176" s="707" t="s">
        <v>25710</v>
      </c>
      <c r="G176" s="705"/>
    </row>
    <row r="177" spans="1:7" ht="38.25" hidden="1">
      <c r="A177" s="698">
        <v>176</v>
      </c>
      <c r="B177" s="691">
        <v>38034</v>
      </c>
      <c r="C177" s="705" t="s">
        <v>25711</v>
      </c>
      <c r="D177" s="691">
        <v>38033</v>
      </c>
      <c r="E177" s="705" t="str">
        <f>Status!B4</f>
        <v>Concluído</v>
      </c>
      <c r="F177" s="705"/>
      <c r="G177" s="705"/>
    </row>
    <row r="178" spans="1:7" ht="38.25" hidden="1">
      <c r="A178" s="698">
        <v>177</v>
      </c>
      <c r="B178" s="691">
        <v>38034</v>
      </c>
      <c r="C178" s="705" t="s">
        <v>25712</v>
      </c>
      <c r="D178" s="691">
        <v>38033</v>
      </c>
      <c r="E178" s="705" t="str">
        <f>Status!B4</f>
        <v>Concluído</v>
      </c>
      <c r="F178" s="705" t="s">
        <v>25659</v>
      </c>
      <c r="G178" s="705"/>
    </row>
    <row r="179" spans="1:7" ht="25.5" hidden="1">
      <c r="A179" s="698">
        <v>178</v>
      </c>
      <c r="B179" s="691">
        <v>38034</v>
      </c>
      <c r="C179" s="705" t="s">
        <v>25713</v>
      </c>
      <c r="D179" s="691">
        <v>38033</v>
      </c>
      <c r="E179" s="705" t="str">
        <f>Status!B4</f>
        <v>Concluído</v>
      </c>
      <c r="F179" s="705"/>
      <c r="G179" s="705"/>
    </row>
    <row r="180" spans="1:7" ht="25.5" hidden="1">
      <c r="A180" s="698">
        <v>179</v>
      </c>
      <c r="B180" s="691">
        <v>38033</v>
      </c>
      <c r="C180" s="705" t="s">
        <v>25714</v>
      </c>
      <c r="D180" s="691">
        <v>38033</v>
      </c>
      <c r="E180" s="705" t="str">
        <f>Status!B4</f>
        <v>Concluído</v>
      </c>
      <c r="F180" s="705"/>
      <c r="G180" s="705"/>
    </row>
    <row r="181" spans="1:7" ht="25.5" hidden="1">
      <c r="A181" s="698">
        <v>180</v>
      </c>
      <c r="B181" s="691">
        <v>38035</v>
      </c>
      <c r="C181" s="705" t="s">
        <v>25715</v>
      </c>
      <c r="D181" s="691">
        <v>38035</v>
      </c>
      <c r="E181" s="705" t="str">
        <f>Status!B4</f>
        <v>Concluído</v>
      </c>
      <c r="F181" s="705"/>
      <c r="G181" s="705"/>
    </row>
    <row r="182" spans="1:7" ht="25.5" hidden="1">
      <c r="A182" s="698">
        <v>181</v>
      </c>
      <c r="B182" s="691">
        <v>38044</v>
      </c>
      <c r="C182" s="705" t="s">
        <v>25716</v>
      </c>
      <c r="D182" s="691">
        <v>38044</v>
      </c>
      <c r="E182" s="705" t="str">
        <f>Status!B4</f>
        <v>Concluído</v>
      </c>
      <c r="F182" s="705"/>
      <c r="G182" s="705"/>
    </row>
    <row r="183" spans="1:7" hidden="1">
      <c r="A183" s="698">
        <v>182</v>
      </c>
      <c r="B183" s="691">
        <v>38043</v>
      </c>
      <c r="C183" s="705" t="s">
        <v>25717</v>
      </c>
      <c r="D183" s="691">
        <v>38043</v>
      </c>
      <c r="E183" s="705" t="str">
        <f>Status!B4</f>
        <v>Concluído</v>
      </c>
      <c r="F183" s="705"/>
      <c r="G183" s="705"/>
    </row>
    <row r="184" spans="1:7" ht="25.5" hidden="1">
      <c r="A184" s="698">
        <v>183</v>
      </c>
      <c r="B184" s="691">
        <v>38043</v>
      </c>
      <c r="C184" s="705" t="s">
        <v>25718</v>
      </c>
      <c r="D184" s="691">
        <v>38043</v>
      </c>
      <c r="E184" s="705" t="str">
        <f>Status!B4</f>
        <v>Concluído</v>
      </c>
      <c r="F184" s="705"/>
      <c r="G184" s="705"/>
    </row>
    <row r="185" spans="1:7" ht="38.25" hidden="1">
      <c r="A185" s="698">
        <v>184</v>
      </c>
      <c r="B185" s="691">
        <v>38043</v>
      </c>
      <c r="C185" s="705" t="s">
        <v>25719</v>
      </c>
      <c r="D185" s="691">
        <v>38074</v>
      </c>
      <c r="E185" s="705" t="str">
        <f>Status!B4</f>
        <v>Concluído</v>
      </c>
      <c r="F185" s="705" t="s">
        <v>25720</v>
      </c>
      <c r="G185" s="705" t="s">
        <v>25721</v>
      </c>
    </row>
    <row r="186" spans="1:7" ht="25.5" hidden="1">
      <c r="A186" s="698">
        <v>185</v>
      </c>
      <c r="B186" s="691">
        <v>38043</v>
      </c>
      <c r="C186" s="705" t="s">
        <v>25722</v>
      </c>
      <c r="D186" s="691">
        <v>38043</v>
      </c>
      <c r="E186" s="705" t="str">
        <f>Status!B4</f>
        <v>Concluído</v>
      </c>
      <c r="F186" s="705"/>
      <c r="G186" s="705"/>
    </row>
    <row r="187" spans="1:7" ht="25.5" hidden="1">
      <c r="A187" s="698">
        <v>186</v>
      </c>
      <c r="B187" s="691">
        <v>38044</v>
      </c>
      <c r="C187" s="705" t="s">
        <v>25723</v>
      </c>
      <c r="D187" s="691">
        <v>38044</v>
      </c>
      <c r="E187" s="705" t="str">
        <f>Status!B4</f>
        <v>Concluído</v>
      </c>
      <c r="F187" s="705"/>
      <c r="G187" s="705"/>
    </row>
    <row r="188" spans="1:7" ht="25.5" hidden="1">
      <c r="A188" s="698">
        <v>187</v>
      </c>
      <c r="B188" s="691">
        <v>38047</v>
      </c>
      <c r="C188" s="705" t="s">
        <v>25724</v>
      </c>
      <c r="D188" s="691">
        <v>38047</v>
      </c>
      <c r="E188" s="705" t="str">
        <f>Status!B4</f>
        <v>Concluído</v>
      </c>
      <c r="F188" s="705" t="s">
        <v>25725</v>
      </c>
      <c r="G188" s="705"/>
    </row>
    <row r="189" spans="1:7" ht="25.5" hidden="1">
      <c r="A189" s="698">
        <v>188</v>
      </c>
      <c r="B189" s="691">
        <v>38047</v>
      </c>
      <c r="C189" s="705" t="s">
        <v>25726</v>
      </c>
      <c r="D189" s="691">
        <v>38047</v>
      </c>
      <c r="E189" s="705" t="str">
        <f>Status!B4</f>
        <v>Concluído</v>
      </c>
      <c r="F189" s="705"/>
      <c r="G189" s="705"/>
    </row>
    <row r="190" spans="1:7" ht="25.5" hidden="1">
      <c r="A190" s="698">
        <v>189</v>
      </c>
      <c r="B190" s="691">
        <v>38047</v>
      </c>
      <c r="C190" s="705" t="s">
        <v>25727</v>
      </c>
      <c r="D190" s="691">
        <v>38047</v>
      </c>
      <c r="E190" s="705" t="str">
        <f>Status!B4</f>
        <v>Concluído</v>
      </c>
      <c r="F190" s="705"/>
      <c r="G190" s="705"/>
    </row>
    <row r="191" spans="1:7" ht="25.5" hidden="1">
      <c r="A191" s="698">
        <v>190</v>
      </c>
      <c r="B191" s="691">
        <v>38047</v>
      </c>
      <c r="C191" s="705" t="s">
        <v>25728</v>
      </c>
      <c r="D191" s="691">
        <v>38047</v>
      </c>
      <c r="E191" s="705" t="str">
        <f>Status!B4</f>
        <v>Concluído</v>
      </c>
      <c r="F191" s="705"/>
      <c r="G191" s="705"/>
    </row>
    <row r="192" spans="1:7" ht="25.5" hidden="1">
      <c r="A192" s="698">
        <v>191</v>
      </c>
      <c r="B192" s="691">
        <v>38068</v>
      </c>
      <c r="C192" s="705" t="s">
        <v>25729</v>
      </c>
      <c r="D192" s="691">
        <v>38058</v>
      </c>
      <c r="E192" s="705" t="str">
        <f>Status!B4</f>
        <v>Concluído</v>
      </c>
      <c r="F192" s="705" t="s">
        <v>25730</v>
      </c>
      <c r="G192" s="705" t="s">
        <v>25731</v>
      </c>
    </row>
    <row r="193" spans="1:7" ht="25.5" hidden="1">
      <c r="A193" s="698">
        <v>192</v>
      </c>
      <c r="B193" s="691">
        <v>38047</v>
      </c>
      <c r="C193" s="705" t="s">
        <v>25732</v>
      </c>
      <c r="D193" s="691">
        <v>38047</v>
      </c>
      <c r="E193" s="705" t="str">
        <f>Status!B4</f>
        <v>Concluído</v>
      </c>
      <c r="F193" s="705"/>
      <c r="G193" s="705"/>
    </row>
    <row r="194" spans="1:7" ht="38.25" hidden="1">
      <c r="A194" s="698">
        <v>193</v>
      </c>
      <c r="B194" s="691">
        <v>38047</v>
      </c>
      <c r="C194" s="705" t="s">
        <v>25733</v>
      </c>
      <c r="D194" s="691">
        <v>38047</v>
      </c>
      <c r="E194" s="705" t="str">
        <f>Status!B4</f>
        <v>Concluído</v>
      </c>
      <c r="F194" s="705"/>
      <c r="G194" s="705"/>
    </row>
    <row r="195" spans="1:7" ht="25.5" hidden="1">
      <c r="A195" s="698">
        <v>194</v>
      </c>
      <c r="B195" s="691">
        <v>38047</v>
      </c>
      <c r="C195" s="705" t="s">
        <v>25734</v>
      </c>
      <c r="D195" s="691">
        <v>38047</v>
      </c>
      <c r="E195" s="705" t="str">
        <f>Status!B4</f>
        <v>Concluído</v>
      </c>
      <c r="F195" s="705" t="s">
        <v>25735</v>
      </c>
      <c r="G195" s="705"/>
    </row>
    <row r="196" spans="1:7" hidden="1">
      <c r="A196" s="698">
        <v>195</v>
      </c>
      <c r="B196" s="691">
        <v>38047</v>
      </c>
      <c r="C196" s="705" t="s">
        <v>25736</v>
      </c>
      <c r="D196" s="691">
        <v>38047</v>
      </c>
      <c r="E196" s="705" t="str">
        <f>Status!B4</f>
        <v>Concluído</v>
      </c>
      <c r="F196" s="705"/>
      <c r="G196" s="705"/>
    </row>
    <row r="197" spans="1:7" ht="38.25" hidden="1">
      <c r="A197" s="698">
        <v>196</v>
      </c>
      <c r="B197" s="691">
        <v>38051</v>
      </c>
      <c r="C197" s="705" t="s">
        <v>25737</v>
      </c>
      <c r="D197" s="691">
        <v>38051</v>
      </c>
      <c r="E197" s="705" t="str">
        <f>Status!B4</f>
        <v>Concluído</v>
      </c>
      <c r="F197" s="705"/>
      <c r="G197" s="705"/>
    </row>
    <row r="198" spans="1:7" ht="25.5" hidden="1">
      <c r="A198" s="698">
        <v>197</v>
      </c>
      <c r="B198" s="691">
        <v>38048</v>
      </c>
      <c r="C198" s="705" t="s">
        <v>25738</v>
      </c>
      <c r="D198" s="691">
        <v>38048</v>
      </c>
      <c r="E198" s="705" t="str">
        <f>Status!B4</f>
        <v>Concluído</v>
      </c>
      <c r="F198" s="705"/>
      <c r="G198" s="705"/>
    </row>
    <row r="199" spans="1:7" ht="25.5" hidden="1">
      <c r="A199" s="698">
        <v>198</v>
      </c>
      <c r="B199" s="691">
        <v>38048</v>
      </c>
      <c r="C199" s="705" t="s">
        <v>25739</v>
      </c>
      <c r="D199" s="691">
        <v>38048</v>
      </c>
      <c r="E199" s="705" t="str">
        <f>Status!B4</f>
        <v>Concluído</v>
      </c>
      <c r="F199" s="705" t="s">
        <v>25740</v>
      </c>
      <c r="G199" s="705"/>
    </row>
    <row r="200" spans="1:7" ht="25.5" hidden="1">
      <c r="A200" s="698">
        <v>199</v>
      </c>
      <c r="B200" s="691">
        <v>38048</v>
      </c>
      <c r="C200" s="705" t="s">
        <v>25741</v>
      </c>
      <c r="D200" s="691">
        <v>38048</v>
      </c>
      <c r="E200" s="705" t="str">
        <f>Status!B4</f>
        <v>Concluído</v>
      </c>
      <c r="F200" s="705"/>
      <c r="G200" s="705"/>
    </row>
    <row r="201" spans="1:7" ht="25.5" hidden="1">
      <c r="A201" s="698">
        <v>200</v>
      </c>
      <c r="B201" s="691">
        <v>38051</v>
      </c>
      <c r="C201" s="705" t="s">
        <v>25742</v>
      </c>
      <c r="D201" s="691">
        <v>38054</v>
      </c>
      <c r="E201" s="705" t="str">
        <f>Status!B4</f>
        <v>Concluído</v>
      </c>
      <c r="F201" s="705" t="s">
        <v>25743</v>
      </c>
      <c r="G201" s="705"/>
    </row>
    <row r="202" spans="1:7" ht="25.5" hidden="1">
      <c r="A202" s="698">
        <v>201</v>
      </c>
      <c r="B202" s="691">
        <v>38051</v>
      </c>
      <c r="C202" s="705" t="s">
        <v>25744</v>
      </c>
      <c r="D202" s="691">
        <v>38051</v>
      </c>
      <c r="E202" s="705" t="str">
        <f>Status!B4</f>
        <v>Concluído</v>
      </c>
      <c r="F202" s="705"/>
      <c r="G202" s="705"/>
    </row>
    <row r="203" spans="1:7" hidden="1">
      <c r="A203" s="698">
        <v>202</v>
      </c>
      <c r="B203" s="691">
        <v>38051</v>
      </c>
      <c r="C203" s="705" t="s">
        <v>25745</v>
      </c>
      <c r="D203" s="691">
        <v>38053</v>
      </c>
      <c r="E203" s="705" t="str">
        <f>Status!B4</f>
        <v>Concluído</v>
      </c>
      <c r="F203" s="705"/>
      <c r="G203" s="705"/>
    </row>
    <row r="204" spans="1:7" ht="25.5" hidden="1">
      <c r="A204" s="698">
        <v>203</v>
      </c>
      <c r="B204" s="691">
        <v>38051</v>
      </c>
      <c r="C204" s="705" t="s">
        <v>25746</v>
      </c>
      <c r="D204" s="691">
        <v>38054</v>
      </c>
      <c r="E204" s="705" t="str">
        <f>Status!B4</f>
        <v>Concluído</v>
      </c>
      <c r="F204" s="705" t="s">
        <v>25747</v>
      </c>
      <c r="G204" s="705"/>
    </row>
    <row r="205" spans="1:7" ht="25.5" hidden="1">
      <c r="A205" s="698">
        <v>204</v>
      </c>
      <c r="B205" s="691">
        <v>38051</v>
      </c>
      <c r="C205" s="705" t="s">
        <v>25748</v>
      </c>
      <c r="D205" s="691">
        <v>38056</v>
      </c>
      <c r="E205" s="705" t="str">
        <f>Status!B4</f>
        <v>Concluído</v>
      </c>
      <c r="F205" s="705" t="s">
        <v>25749</v>
      </c>
      <c r="G205" s="705"/>
    </row>
    <row r="206" spans="1:7" ht="25.5" hidden="1">
      <c r="A206" s="698">
        <v>205</v>
      </c>
      <c r="B206" s="691">
        <v>38056</v>
      </c>
      <c r="C206" s="705" t="s">
        <v>25750</v>
      </c>
      <c r="D206" s="691">
        <v>38055</v>
      </c>
      <c r="E206" s="705" t="str">
        <f>Status!B4</f>
        <v>Concluído</v>
      </c>
      <c r="F206" s="705"/>
      <c r="G206" s="705"/>
    </row>
    <row r="207" spans="1:7" ht="25.5" hidden="1">
      <c r="A207" s="698">
        <v>206</v>
      </c>
      <c r="B207" s="691">
        <v>38056</v>
      </c>
      <c r="C207" s="705" t="s">
        <v>25751</v>
      </c>
      <c r="D207" s="691">
        <v>38055</v>
      </c>
      <c r="E207" s="705" t="str">
        <f>Status!B4</f>
        <v>Concluído</v>
      </c>
      <c r="F207" s="705"/>
      <c r="G207" s="705"/>
    </row>
    <row r="208" spans="1:7" ht="25.5" hidden="1">
      <c r="A208" s="698">
        <v>207</v>
      </c>
      <c r="B208" s="691">
        <v>38056</v>
      </c>
      <c r="C208" s="705" t="s">
        <v>25752</v>
      </c>
      <c r="D208" s="691">
        <v>38055</v>
      </c>
      <c r="E208" s="705" t="str">
        <f>Status!B4</f>
        <v>Concluído</v>
      </c>
      <c r="F208" s="705"/>
      <c r="G208" s="705"/>
    </row>
    <row r="209" spans="1:7" ht="25.5" hidden="1">
      <c r="A209" s="698">
        <v>208</v>
      </c>
      <c r="B209" s="691">
        <v>38055</v>
      </c>
      <c r="C209" s="705" t="s">
        <v>25753</v>
      </c>
      <c r="D209" s="691">
        <v>38055</v>
      </c>
      <c r="E209" s="705" t="str">
        <f>Status!B4</f>
        <v>Concluído</v>
      </c>
      <c r="F209" s="705"/>
      <c r="G209" s="705"/>
    </row>
    <row r="210" spans="1:7" ht="25.5" hidden="1">
      <c r="A210" s="698">
        <v>209</v>
      </c>
      <c r="B210" s="691">
        <v>38056</v>
      </c>
      <c r="C210" s="705" t="s">
        <v>25754</v>
      </c>
      <c r="D210" s="691">
        <v>38056</v>
      </c>
      <c r="E210" s="705" t="str">
        <f>Status!B4</f>
        <v>Concluído</v>
      </c>
      <c r="F210" s="705"/>
      <c r="G210" s="705"/>
    </row>
    <row r="211" spans="1:7" ht="25.5" hidden="1">
      <c r="A211" s="698">
        <v>210</v>
      </c>
      <c r="B211" s="691">
        <v>38056</v>
      </c>
      <c r="C211" s="705" t="s">
        <v>25755</v>
      </c>
      <c r="D211" s="691">
        <v>38056</v>
      </c>
      <c r="E211" s="705" t="str">
        <f>Status!B4</f>
        <v>Concluído</v>
      </c>
      <c r="F211" s="705"/>
      <c r="G211" s="705"/>
    </row>
    <row r="212" spans="1:7" ht="25.5" hidden="1">
      <c r="A212" s="698">
        <v>211</v>
      </c>
      <c r="B212" s="691">
        <v>38059</v>
      </c>
      <c r="C212" s="705" t="s">
        <v>25756</v>
      </c>
      <c r="D212" s="691">
        <v>38060</v>
      </c>
      <c r="E212" s="705" t="str">
        <f>Status!B4</f>
        <v>Concluído</v>
      </c>
      <c r="F212" s="705"/>
      <c r="G212" s="705"/>
    </row>
    <row r="213" spans="1:7" ht="25.5" hidden="1">
      <c r="A213" s="698">
        <v>212</v>
      </c>
      <c r="B213" s="691">
        <v>38059</v>
      </c>
      <c r="C213" s="705" t="s">
        <v>25757</v>
      </c>
      <c r="D213" s="691">
        <v>38060</v>
      </c>
      <c r="E213" s="705" t="str">
        <f>Status!B4</f>
        <v>Concluído</v>
      </c>
      <c r="F213" s="705"/>
      <c r="G213" s="705"/>
    </row>
    <row r="214" spans="1:7" ht="25.5" hidden="1">
      <c r="A214" s="698">
        <v>213</v>
      </c>
      <c r="B214" s="691">
        <v>38059</v>
      </c>
      <c r="C214" s="705" t="s">
        <v>25758</v>
      </c>
      <c r="D214" s="691">
        <v>38060</v>
      </c>
      <c r="E214" s="705" t="str">
        <f>Status!B4</f>
        <v>Concluído</v>
      </c>
      <c r="F214" s="705"/>
      <c r="G214" s="705"/>
    </row>
    <row r="215" spans="1:7" ht="38.25" hidden="1">
      <c r="A215" s="698">
        <v>214</v>
      </c>
      <c r="B215" s="691">
        <v>38061</v>
      </c>
      <c r="C215" s="705" t="s">
        <v>25759</v>
      </c>
      <c r="D215" s="691">
        <v>38061</v>
      </c>
      <c r="E215" s="705" t="str">
        <f>Status!B4</f>
        <v>Concluído</v>
      </c>
      <c r="F215" s="705" t="s">
        <v>25760</v>
      </c>
      <c r="G215" s="705"/>
    </row>
    <row r="216" spans="1:7" ht="25.5" hidden="1">
      <c r="A216" s="698">
        <v>215</v>
      </c>
      <c r="B216" s="691">
        <v>38061</v>
      </c>
      <c r="C216" s="705" t="s">
        <v>25761</v>
      </c>
      <c r="D216" s="691">
        <v>38061</v>
      </c>
      <c r="E216" s="705" t="str">
        <f>Status!B4</f>
        <v>Concluído</v>
      </c>
      <c r="F216" s="710" t="s">
        <v>25762</v>
      </c>
      <c r="G216" s="705"/>
    </row>
    <row r="217" spans="1:7" ht="12.75" hidden="1" customHeight="1">
      <c r="A217" s="698">
        <v>216</v>
      </c>
      <c r="B217" s="691">
        <v>38061</v>
      </c>
      <c r="C217" s="705" t="s">
        <v>25763</v>
      </c>
      <c r="D217" s="691">
        <v>38062</v>
      </c>
      <c r="E217" s="705" t="str">
        <f>Status!B4</f>
        <v>Concluído</v>
      </c>
      <c r="F217" s="711" t="s">
        <v>25764</v>
      </c>
      <c r="G217" s="705" t="s">
        <v>25765</v>
      </c>
    </row>
    <row r="218" spans="1:7" ht="25.5" hidden="1">
      <c r="A218" s="698">
        <v>217</v>
      </c>
      <c r="B218" s="691">
        <v>38061</v>
      </c>
      <c r="C218" s="705" t="s">
        <v>25766</v>
      </c>
      <c r="D218" s="691">
        <v>38064</v>
      </c>
      <c r="E218" s="705" t="str">
        <f>Status!B4</f>
        <v>Concluído</v>
      </c>
      <c r="F218" s="705" t="s">
        <v>25767</v>
      </c>
      <c r="G218" s="705"/>
    </row>
    <row r="219" spans="1:7" ht="25.5" hidden="1">
      <c r="A219" s="698">
        <v>218</v>
      </c>
      <c r="B219" s="691">
        <v>38064</v>
      </c>
      <c r="C219" s="705" t="s">
        <v>25768</v>
      </c>
      <c r="D219" s="691">
        <v>38063</v>
      </c>
      <c r="E219" s="705" t="str">
        <f>Status!B4</f>
        <v>Concluído</v>
      </c>
      <c r="F219" s="705" t="s">
        <v>25769</v>
      </c>
      <c r="G219" s="705"/>
    </row>
    <row r="220" spans="1:7" ht="51" hidden="1">
      <c r="A220" s="698">
        <v>219</v>
      </c>
      <c r="B220" s="691">
        <v>38061</v>
      </c>
      <c r="C220" s="705" t="s">
        <v>25770</v>
      </c>
      <c r="D220" s="691">
        <v>38061</v>
      </c>
      <c r="E220" s="705" t="str">
        <f>Status!B4</f>
        <v>Concluído</v>
      </c>
      <c r="F220" s="705" t="s">
        <v>25771</v>
      </c>
      <c r="G220" s="705"/>
    </row>
    <row r="221" spans="1:7" ht="25.5" hidden="1">
      <c r="A221" s="698">
        <v>220</v>
      </c>
      <c r="B221" s="691">
        <v>38061</v>
      </c>
      <c r="C221" s="705" t="s">
        <v>25772</v>
      </c>
      <c r="D221" s="691">
        <v>38061</v>
      </c>
      <c r="E221" s="705" t="str">
        <f>Status!B4</f>
        <v>Concluído</v>
      </c>
      <c r="F221" s="705" t="s">
        <v>25773</v>
      </c>
      <c r="G221" s="705"/>
    </row>
    <row r="222" spans="1:7" hidden="1">
      <c r="A222" s="698">
        <v>221</v>
      </c>
      <c r="B222" s="691">
        <v>38062</v>
      </c>
      <c r="C222" s="705" t="s">
        <v>25774</v>
      </c>
      <c r="D222" s="691">
        <v>38062</v>
      </c>
      <c r="E222" s="705" t="str">
        <f>Status!B4</f>
        <v>Concluído</v>
      </c>
      <c r="F222" s="705"/>
      <c r="G222" s="705"/>
    </row>
    <row r="223" spans="1:7" hidden="1">
      <c r="A223" s="698">
        <v>222</v>
      </c>
      <c r="B223" s="691">
        <v>38087</v>
      </c>
      <c r="C223" s="705" t="s">
        <v>25775</v>
      </c>
      <c r="D223" s="691">
        <v>38111</v>
      </c>
      <c r="E223" s="705" t="str">
        <f>Status!B4</f>
        <v>Concluído</v>
      </c>
      <c r="F223" s="705"/>
      <c r="G223" s="705"/>
    </row>
    <row r="224" spans="1:7" ht="38.25" hidden="1">
      <c r="A224" s="698">
        <v>223</v>
      </c>
      <c r="B224" s="691">
        <v>38062</v>
      </c>
      <c r="C224" s="705" t="s">
        <v>25776</v>
      </c>
      <c r="D224" s="691">
        <v>38062</v>
      </c>
      <c r="E224" s="705" t="str">
        <f>Status!B4</f>
        <v>Concluído</v>
      </c>
      <c r="F224" s="712" t="s">
        <v>25777</v>
      </c>
      <c r="G224" s="705"/>
    </row>
    <row r="225" spans="1:7" hidden="1">
      <c r="A225" s="698">
        <v>224</v>
      </c>
      <c r="B225" s="691">
        <v>38066</v>
      </c>
      <c r="C225" s="705" t="s">
        <v>25778</v>
      </c>
      <c r="D225" s="691">
        <v>38068</v>
      </c>
      <c r="E225" s="705" t="str">
        <f>Status!B4</f>
        <v>Concluído</v>
      </c>
      <c r="F225" s="705"/>
      <c r="G225" s="705"/>
    </row>
    <row r="226" spans="1:7" ht="25.5" hidden="1">
      <c r="A226" s="698">
        <v>225</v>
      </c>
      <c r="B226" s="691">
        <v>38075</v>
      </c>
      <c r="C226" s="705" t="s">
        <v>25779</v>
      </c>
      <c r="D226" s="691">
        <v>38083</v>
      </c>
      <c r="E226" s="705" t="str">
        <f>Status!B4</f>
        <v>Concluído</v>
      </c>
      <c r="F226" s="705" t="s">
        <v>25780</v>
      </c>
      <c r="G226" s="705"/>
    </row>
    <row r="227" spans="1:7" ht="12.75" hidden="1" customHeight="1">
      <c r="A227" s="698">
        <v>226</v>
      </c>
      <c r="B227" s="691">
        <v>38075</v>
      </c>
      <c r="C227" s="705" t="s">
        <v>25781</v>
      </c>
      <c r="D227" s="691">
        <v>38075</v>
      </c>
      <c r="E227" s="705" t="str">
        <f>Status!B4</f>
        <v>Concluído</v>
      </c>
      <c r="F227" s="705" t="s">
        <v>25782</v>
      </c>
      <c r="G227" s="705"/>
    </row>
    <row r="228" spans="1:7" ht="38.25" hidden="1">
      <c r="A228" s="698">
        <v>227</v>
      </c>
      <c r="B228" s="691">
        <v>38075</v>
      </c>
      <c r="C228" s="705" t="s">
        <v>25783</v>
      </c>
      <c r="D228" s="691">
        <v>38075</v>
      </c>
      <c r="E228" s="705" t="str">
        <f>Status!B4</f>
        <v>Concluído</v>
      </c>
      <c r="F228" s="705" t="s">
        <v>25784</v>
      </c>
      <c r="G228" s="705"/>
    </row>
    <row r="229" spans="1:7" ht="25.5" hidden="1">
      <c r="A229" s="698">
        <v>228</v>
      </c>
      <c r="B229" s="691">
        <v>38075</v>
      </c>
      <c r="C229" s="705" t="s">
        <v>25785</v>
      </c>
      <c r="D229" s="691"/>
      <c r="E229" s="705" t="str">
        <f>Status!B4</f>
        <v>Concluído</v>
      </c>
      <c r="F229" s="705" t="s">
        <v>25786</v>
      </c>
      <c r="G229" s="705"/>
    </row>
    <row r="230" spans="1:7" ht="25.5" hidden="1">
      <c r="A230" s="698">
        <v>229</v>
      </c>
      <c r="B230" s="691">
        <v>38082</v>
      </c>
      <c r="C230" s="705" t="s">
        <v>25787</v>
      </c>
      <c r="D230" s="691">
        <v>38082</v>
      </c>
      <c r="E230" s="705" t="str">
        <f>Status!B4</f>
        <v>Concluído</v>
      </c>
      <c r="F230" s="705"/>
      <c r="G230" s="705"/>
    </row>
    <row r="231" spans="1:7" ht="25.5" hidden="1">
      <c r="A231" s="698">
        <v>230</v>
      </c>
      <c r="B231" s="691">
        <v>38082</v>
      </c>
      <c r="C231" s="705" t="s">
        <v>25788</v>
      </c>
      <c r="D231" s="691">
        <v>38082</v>
      </c>
      <c r="E231" s="705" t="str">
        <f>Status!B4</f>
        <v>Concluído</v>
      </c>
      <c r="F231" s="705"/>
      <c r="G231" s="705"/>
    </row>
    <row r="232" spans="1:7" ht="38.25" hidden="1">
      <c r="A232" s="698">
        <v>231</v>
      </c>
      <c r="B232" s="691">
        <v>38082</v>
      </c>
      <c r="C232" s="705" t="s">
        <v>25789</v>
      </c>
      <c r="D232" s="691">
        <v>38082</v>
      </c>
      <c r="E232" s="705" t="str">
        <f>Status!B4</f>
        <v>Concluído</v>
      </c>
      <c r="F232" s="705"/>
      <c r="G232" s="705"/>
    </row>
    <row r="233" spans="1:7" ht="25.5" hidden="1">
      <c r="A233" s="698">
        <v>232</v>
      </c>
      <c r="B233" s="691">
        <v>38082</v>
      </c>
      <c r="C233" s="705" t="s">
        <v>25790</v>
      </c>
      <c r="D233" s="691">
        <v>38084</v>
      </c>
      <c r="E233" s="705" t="str">
        <f>Status!B4</f>
        <v>Concluído</v>
      </c>
      <c r="F233" s="705" t="s">
        <v>25791</v>
      </c>
      <c r="G233" s="705"/>
    </row>
    <row r="234" spans="1:7" hidden="1">
      <c r="A234" s="698">
        <v>233</v>
      </c>
      <c r="B234" s="691">
        <v>38082</v>
      </c>
      <c r="C234" s="705" t="s">
        <v>25792</v>
      </c>
      <c r="D234" s="691">
        <v>38084</v>
      </c>
      <c r="E234" s="705" t="str">
        <f>Status!B4</f>
        <v>Concluído</v>
      </c>
      <c r="F234" s="705" t="s">
        <v>25793</v>
      </c>
      <c r="G234" s="705"/>
    </row>
    <row r="235" spans="1:7" ht="25.5" hidden="1">
      <c r="A235" s="698">
        <v>234</v>
      </c>
      <c r="B235" s="691">
        <v>38083</v>
      </c>
      <c r="C235" s="705" t="s">
        <v>25753</v>
      </c>
      <c r="D235" s="691">
        <v>38083</v>
      </c>
      <c r="E235" s="705" t="str">
        <f>Status!B4</f>
        <v>Concluído</v>
      </c>
      <c r="F235" s="705"/>
      <c r="G235" s="705"/>
    </row>
    <row r="236" spans="1:7" ht="25.5" hidden="1">
      <c r="A236" s="698">
        <v>235</v>
      </c>
      <c r="B236" s="691">
        <v>38118</v>
      </c>
      <c r="C236" s="705" t="s">
        <v>25794</v>
      </c>
      <c r="D236" s="691">
        <v>38088</v>
      </c>
      <c r="E236" s="705" t="str">
        <f>Status!B4</f>
        <v>Concluído</v>
      </c>
      <c r="F236" s="705" t="s">
        <v>25795</v>
      </c>
      <c r="G236" s="705" t="s">
        <v>25796</v>
      </c>
    </row>
    <row r="237" spans="1:7" ht="25.5" hidden="1">
      <c r="A237" s="698">
        <v>236</v>
      </c>
      <c r="B237" s="691">
        <v>38085</v>
      </c>
      <c r="C237" s="710" t="s">
        <v>25797</v>
      </c>
      <c r="D237" s="691">
        <v>38084</v>
      </c>
      <c r="E237" s="705" t="str">
        <f>Status!B4</f>
        <v>Concluído</v>
      </c>
      <c r="F237" s="705"/>
      <c r="G237" s="705"/>
    </row>
    <row r="238" spans="1:7" ht="25.5" hidden="1">
      <c r="A238" s="698">
        <v>237</v>
      </c>
      <c r="B238" s="691">
        <v>38089</v>
      </c>
      <c r="C238" s="710" t="s">
        <v>25798</v>
      </c>
      <c r="D238" s="691">
        <v>38089</v>
      </c>
      <c r="E238" s="705" t="str">
        <f>Status!B4</f>
        <v>Concluído</v>
      </c>
      <c r="F238" s="705" t="s">
        <v>25799</v>
      </c>
      <c r="G238" s="705"/>
    </row>
    <row r="239" spans="1:7" ht="25.5" hidden="1">
      <c r="A239" s="698">
        <v>238</v>
      </c>
      <c r="B239" s="691">
        <v>38089</v>
      </c>
      <c r="C239" s="710" t="s">
        <v>25800</v>
      </c>
      <c r="D239" s="691">
        <v>38089</v>
      </c>
      <c r="E239" s="705" t="str">
        <f>Status!B4</f>
        <v>Concluído</v>
      </c>
      <c r="F239" s="705"/>
      <c r="G239" s="705"/>
    </row>
    <row r="240" spans="1:7" ht="25.5" hidden="1">
      <c r="A240" s="698">
        <v>239</v>
      </c>
      <c r="B240" s="691">
        <v>38089</v>
      </c>
      <c r="C240" s="710" t="s">
        <v>25801</v>
      </c>
      <c r="D240" s="691">
        <v>38089</v>
      </c>
      <c r="E240" s="705" t="str">
        <f>Status!B4</f>
        <v>Concluído</v>
      </c>
      <c r="F240" s="705"/>
      <c r="G240" s="705"/>
    </row>
    <row r="241" spans="1:7" ht="25.5" hidden="1">
      <c r="A241" s="698">
        <v>240</v>
      </c>
      <c r="B241" s="691">
        <v>38089</v>
      </c>
      <c r="C241" s="710" t="s">
        <v>25622</v>
      </c>
      <c r="D241" s="691">
        <v>38089</v>
      </c>
      <c r="E241" s="705" t="str">
        <f>Status!B4</f>
        <v>Concluído</v>
      </c>
      <c r="F241" s="705" t="s">
        <v>25802</v>
      </c>
      <c r="G241" s="705"/>
    </row>
    <row r="242" spans="1:7" ht="25.5" hidden="1">
      <c r="A242" s="698">
        <v>241</v>
      </c>
      <c r="B242" s="691">
        <v>38089</v>
      </c>
      <c r="C242" s="710" t="s">
        <v>25803</v>
      </c>
      <c r="D242" s="691">
        <v>38089</v>
      </c>
      <c r="E242" s="705" t="str">
        <f>Status!B4</f>
        <v>Concluído</v>
      </c>
      <c r="F242" s="705" t="s">
        <v>25804</v>
      </c>
      <c r="G242" s="705"/>
    </row>
    <row r="243" spans="1:7" ht="25.5" hidden="1">
      <c r="A243" s="698">
        <v>242</v>
      </c>
      <c r="B243" s="691">
        <v>38114</v>
      </c>
      <c r="C243" s="710" t="s">
        <v>25805</v>
      </c>
      <c r="D243" s="691">
        <v>38113</v>
      </c>
      <c r="E243" s="705" t="str">
        <f>Status!B4</f>
        <v>Concluído</v>
      </c>
      <c r="F243" s="705" t="s">
        <v>25806</v>
      </c>
      <c r="G243" s="705"/>
    </row>
    <row r="244" spans="1:7" ht="25.5" hidden="1">
      <c r="A244" s="698">
        <v>243</v>
      </c>
      <c r="B244" s="691">
        <v>38089</v>
      </c>
      <c r="C244" s="710" t="s">
        <v>25807</v>
      </c>
      <c r="D244" s="691">
        <v>38089</v>
      </c>
      <c r="E244" s="705" t="str">
        <f>Status!B4</f>
        <v>Concluído</v>
      </c>
      <c r="F244" s="705"/>
      <c r="G244" s="705"/>
    </row>
    <row r="245" spans="1:7" ht="25.5" hidden="1">
      <c r="A245" s="698">
        <v>244</v>
      </c>
      <c r="B245" s="691">
        <v>38089</v>
      </c>
      <c r="C245" s="713" t="s">
        <v>25808</v>
      </c>
      <c r="D245" s="691">
        <v>38089</v>
      </c>
      <c r="E245" s="705" t="str">
        <f>Status!B4</f>
        <v>Concluído</v>
      </c>
      <c r="F245" s="705"/>
      <c r="G245" s="705"/>
    </row>
    <row r="246" spans="1:7" ht="25.5" hidden="1">
      <c r="A246" s="698">
        <v>245</v>
      </c>
      <c r="B246" s="691">
        <v>38089</v>
      </c>
      <c r="C246" s="705" t="s">
        <v>25809</v>
      </c>
      <c r="D246" s="691">
        <v>38089</v>
      </c>
      <c r="E246" s="705" t="str">
        <f>Status!B4</f>
        <v>Concluído</v>
      </c>
      <c r="F246" s="705" t="s">
        <v>25810</v>
      </c>
      <c r="G246" s="705"/>
    </row>
    <row r="247" spans="1:7" ht="25.5" hidden="1">
      <c r="A247" s="698">
        <v>246</v>
      </c>
      <c r="B247" s="691">
        <v>38091</v>
      </c>
      <c r="C247" s="705" t="s">
        <v>25811</v>
      </c>
      <c r="D247" s="691">
        <v>38095</v>
      </c>
      <c r="E247" s="705" t="str">
        <f>Status!B4</f>
        <v>Concluído</v>
      </c>
      <c r="F247" s="705"/>
      <c r="G247" s="705"/>
    </row>
    <row r="248" spans="1:7" ht="25.5" hidden="1">
      <c r="A248" s="698">
        <v>247</v>
      </c>
      <c r="B248" s="691">
        <v>38091</v>
      </c>
      <c r="C248" s="705" t="s">
        <v>25812</v>
      </c>
      <c r="D248" s="691">
        <v>38095</v>
      </c>
      <c r="E248" s="705" t="str">
        <f>Status!B4</f>
        <v>Concluído</v>
      </c>
      <c r="F248" s="705"/>
      <c r="G248" s="705"/>
    </row>
    <row r="249" spans="1:7" hidden="1">
      <c r="A249" s="698">
        <v>248</v>
      </c>
      <c r="B249" s="691">
        <v>38097</v>
      </c>
      <c r="C249" s="705" t="s">
        <v>25813</v>
      </c>
      <c r="D249" s="691">
        <v>38099</v>
      </c>
      <c r="E249" s="705" t="str">
        <f>Status!B4</f>
        <v>Concluído</v>
      </c>
      <c r="F249" s="705" t="s">
        <v>25814</v>
      </c>
      <c r="G249" s="705"/>
    </row>
    <row r="250" spans="1:7" ht="25.5" hidden="1">
      <c r="A250" s="698">
        <v>249</v>
      </c>
      <c r="B250" s="691">
        <v>38099</v>
      </c>
      <c r="C250" s="705" t="s">
        <v>25815</v>
      </c>
      <c r="D250" s="691">
        <v>38099</v>
      </c>
      <c r="E250" s="705" t="str">
        <f>Status!B4</f>
        <v>Concluído</v>
      </c>
      <c r="F250" s="705" t="s">
        <v>25816</v>
      </c>
      <c r="G250" s="705"/>
    </row>
    <row r="251" spans="1:7" hidden="1">
      <c r="A251" s="698">
        <v>250</v>
      </c>
      <c r="B251" s="691">
        <v>38104</v>
      </c>
      <c r="C251" s="705" t="s">
        <v>25817</v>
      </c>
      <c r="D251" s="691">
        <v>38099</v>
      </c>
      <c r="E251" s="705" t="str">
        <f>Status!B4</f>
        <v>Concluído</v>
      </c>
      <c r="F251" s="705"/>
      <c r="G251" s="705"/>
    </row>
    <row r="252" spans="1:7" hidden="1">
      <c r="A252" s="698">
        <v>251</v>
      </c>
      <c r="B252" s="691">
        <v>38104</v>
      </c>
      <c r="C252" s="705" t="s">
        <v>25818</v>
      </c>
      <c r="D252" s="691">
        <v>38104</v>
      </c>
      <c r="E252" s="705" t="str">
        <f>Status!B4</f>
        <v>Concluído</v>
      </c>
      <c r="F252" s="705"/>
      <c r="G252" s="705"/>
    </row>
    <row r="253" spans="1:7" hidden="1">
      <c r="A253" s="698">
        <v>252</v>
      </c>
      <c r="B253" s="691">
        <v>38104</v>
      </c>
      <c r="C253" s="705" t="s">
        <v>25819</v>
      </c>
      <c r="D253" s="691">
        <v>38104</v>
      </c>
      <c r="E253" s="705" t="str">
        <f>Status!B4</f>
        <v>Concluído</v>
      </c>
      <c r="F253" s="705"/>
      <c r="G253" s="705"/>
    </row>
    <row r="254" spans="1:7" hidden="1">
      <c r="A254" s="698">
        <v>253</v>
      </c>
      <c r="B254" s="691">
        <v>38104</v>
      </c>
      <c r="C254" s="705" t="s">
        <v>25820</v>
      </c>
      <c r="D254" s="691">
        <v>38104</v>
      </c>
      <c r="E254" s="705" t="str">
        <f>Status!B4</f>
        <v>Concluído</v>
      </c>
      <c r="F254" s="705"/>
      <c r="G254" s="705"/>
    </row>
    <row r="255" spans="1:7" hidden="1">
      <c r="A255" s="698">
        <v>254</v>
      </c>
      <c r="B255" s="691">
        <v>38104</v>
      </c>
      <c r="C255" s="705" t="s">
        <v>25821</v>
      </c>
      <c r="D255" s="691">
        <v>38104</v>
      </c>
      <c r="E255" s="705" t="str">
        <f>Status!B4</f>
        <v>Concluído</v>
      </c>
      <c r="F255" s="705"/>
      <c r="G255" s="705"/>
    </row>
    <row r="256" spans="1:7" ht="25.5" hidden="1">
      <c r="A256" s="698">
        <v>255</v>
      </c>
      <c r="B256" s="691">
        <v>38104</v>
      </c>
      <c r="C256" s="705" t="s">
        <v>25822</v>
      </c>
      <c r="D256" s="691">
        <v>38104</v>
      </c>
      <c r="E256" s="705" t="str">
        <f>Status!B4</f>
        <v>Concluído</v>
      </c>
      <c r="F256" s="705"/>
      <c r="G256" s="705"/>
    </row>
    <row r="257" spans="1:7" hidden="1">
      <c r="A257" s="698">
        <v>256</v>
      </c>
      <c r="B257" s="691">
        <v>38104</v>
      </c>
      <c r="C257" s="705" t="s">
        <v>25823</v>
      </c>
      <c r="D257" s="691">
        <v>38104</v>
      </c>
      <c r="E257" s="705" t="str">
        <f>Status!B4</f>
        <v>Concluído</v>
      </c>
      <c r="F257" s="705"/>
      <c r="G257" s="705"/>
    </row>
    <row r="258" spans="1:7" hidden="1">
      <c r="A258" s="698">
        <v>257</v>
      </c>
      <c r="B258" s="691">
        <v>38104</v>
      </c>
      <c r="C258" s="705" t="s">
        <v>25824</v>
      </c>
      <c r="D258" s="691">
        <v>38104</v>
      </c>
      <c r="E258" s="705" t="str">
        <f>Status!B4</f>
        <v>Concluído</v>
      </c>
      <c r="F258" s="705"/>
      <c r="G258" s="705"/>
    </row>
    <row r="259" spans="1:7" ht="25.5" hidden="1">
      <c r="A259" s="698">
        <v>258</v>
      </c>
      <c r="B259" s="691">
        <v>38104</v>
      </c>
      <c r="C259" s="705" t="s">
        <v>25825</v>
      </c>
      <c r="D259" s="691"/>
      <c r="E259" s="705" t="str">
        <f>Status!B9</f>
        <v>Realização cancelada</v>
      </c>
      <c r="F259" s="705"/>
      <c r="G259" s="705"/>
    </row>
    <row r="260" spans="1:7" ht="51" hidden="1">
      <c r="A260" s="698">
        <v>259</v>
      </c>
      <c r="B260" s="691">
        <v>38112</v>
      </c>
      <c r="C260" s="705" t="s">
        <v>25826</v>
      </c>
      <c r="D260" s="691">
        <v>38112</v>
      </c>
      <c r="E260" s="705" t="str">
        <f>Status!B4</f>
        <v>Concluído</v>
      </c>
      <c r="F260" s="705" t="s">
        <v>25827</v>
      </c>
      <c r="G260" s="705" t="s">
        <v>25828</v>
      </c>
    </row>
    <row r="261" spans="1:7" ht="25.5" hidden="1">
      <c r="A261" s="698">
        <v>260</v>
      </c>
      <c r="B261" s="691">
        <v>38118</v>
      </c>
      <c r="C261" s="705" t="s">
        <v>25829</v>
      </c>
      <c r="D261" s="691">
        <v>38118</v>
      </c>
      <c r="E261" s="705" t="str">
        <f>Status!B4</f>
        <v>Concluído</v>
      </c>
      <c r="F261" s="705"/>
      <c r="G261" s="705"/>
    </row>
    <row r="262" spans="1:7" ht="25.5" hidden="1">
      <c r="A262" s="698">
        <v>261</v>
      </c>
      <c r="B262" s="691">
        <v>38118</v>
      </c>
      <c r="C262" s="705" t="s">
        <v>25830</v>
      </c>
      <c r="D262" s="691">
        <v>38118</v>
      </c>
      <c r="E262" s="705" t="str">
        <f>Status!B4</f>
        <v>Concluído</v>
      </c>
      <c r="F262" s="705" t="s">
        <v>25831</v>
      </c>
      <c r="G262" s="705"/>
    </row>
    <row r="263" spans="1:7" hidden="1">
      <c r="A263" s="698">
        <v>262</v>
      </c>
      <c r="B263" s="691">
        <v>38127</v>
      </c>
      <c r="C263" s="710" t="s">
        <v>25832</v>
      </c>
      <c r="D263" s="691">
        <v>38127</v>
      </c>
      <c r="E263" s="705" t="str">
        <f>Status!B4</f>
        <v>Concluído</v>
      </c>
      <c r="F263" s="705" t="s">
        <v>25833</v>
      </c>
      <c r="G263" s="705"/>
    </row>
    <row r="264" spans="1:7" ht="25.5" hidden="1">
      <c r="A264" s="698">
        <v>263</v>
      </c>
      <c r="B264" s="691">
        <v>38122</v>
      </c>
      <c r="C264" s="705" t="s">
        <v>25834</v>
      </c>
      <c r="D264" s="691">
        <v>38122</v>
      </c>
      <c r="E264" s="705" t="str">
        <f>Status!B4</f>
        <v>Concluído</v>
      </c>
      <c r="F264" s="705"/>
      <c r="G264" s="705"/>
    </row>
    <row r="265" spans="1:7" ht="25.5" hidden="1">
      <c r="A265" s="698">
        <v>264</v>
      </c>
      <c r="B265" s="691">
        <v>38122</v>
      </c>
      <c r="C265" s="705" t="s">
        <v>25835</v>
      </c>
      <c r="D265" s="691">
        <v>38122</v>
      </c>
      <c r="E265" s="705" t="str">
        <f>Status!B4</f>
        <v>Concluído</v>
      </c>
      <c r="F265" s="705" t="s">
        <v>25836</v>
      </c>
      <c r="G265" s="705"/>
    </row>
    <row r="266" spans="1:7" ht="25.5" hidden="1">
      <c r="A266" s="698">
        <v>265</v>
      </c>
      <c r="B266" s="691">
        <v>38122</v>
      </c>
      <c r="C266" s="705" t="s">
        <v>25837</v>
      </c>
      <c r="D266" s="691">
        <v>38122</v>
      </c>
      <c r="E266" s="705" t="str">
        <f>Status!B4</f>
        <v>Concluído</v>
      </c>
      <c r="F266" s="705"/>
      <c r="G266" s="705"/>
    </row>
    <row r="267" spans="1:7" ht="38.25" hidden="1">
      <c r="A267" s="698">
        <v>266</v>
      </c>
      <c r="B267" s="691">
        <v>38122</v>
      </c>
      <c r="C267" s="705" t="s">
        <v>25838</v>
      </c>
      <c r="D267" s="691">
        <v>38122</v>
      </c>
      <c r="E267" s="705" t="str">
        <f>Status!B4</f>
        <v>Concluído</v>
      </c>
      <c r="F267" s="705"/>
      <c r="G267" s="705"/>
    </row>
    <row r="268" spans="1:7" ht="25.5" hidden="1">
      <c r="A268" s="698">
        <v>267</v>
      </c>
      <c r="B268" s="691">
        <v>38146</v>
      </c>
      <c r="C268" s="705" t="s">
        <v>25839</v>
      </c>
      <c r="D268" s="691">
        <v>38146</v>
      </c>
      <c r="E268" s="710" t="str">
        <f>Status!B4</f>
        <v>Concluído</v>
      </c>
      <c r="F268" s="705" t="s">
        <v>25840</v>
      </c>
      <c r="G268" s="705"/>
    </row>
    <row r="269" spans="1:7" ht="25.5" hidden="1">
      <c r="A269" s="698">
        <v>268</v>
      </c>
      <c r="B269" s="691">
        <v>38124</v>
      </c>
      <c r="C269" s="705" t="s">
        <v>25841</v>
      </c>
      <c r="D269" s="691">
        <v>38124</v>
      </c>
      <c r="E269" s="710" t="str">
        <f>Status!B4</f>
        <v>Concluído</v>
      </c>
      <c r="F269" s="705" t="s">
        <v>25842</v>
      </c>
      <c r="G269" s="705"/>
    </row>
    <row r="270" spans="1:7" ht="38.25" hidden="1">
      <c r="A270" s="698">
        <v>269</v>
      </c>
      <c r="B270" s="691">
        <v>38124</v>
      </c>
      <c r="C270" s="713" t="s">
        <v>25843</v>
      </c>
      <c r="D270" s="691">
        <v>38124</v>
      </c>
      <c r="E270" s="705" t="str">
        <f>Status!B4</f>
        <v>Concluído</v>
      </c>
      <c r="F270" s="705"/>
      <c r="G270" s="705"/>
    </row>
    <row r="271" spans="1:7" ht="38.25" hidden="1">
      <c r="A271" s="698">
        <v>270</v>
      </c>
      <c r="B271" s="691">
        <v>38124</v>
      </c>
      <c r="C271" s="705" t="s">
        <v>25844</v>
      </c>
      <c r="D271" s="691">
        <v>38124</v>
      </c>
      <c r="E271" s="710" t="str">
        <f>Status!B4</f>
        <v>Concluído</v>
      </c>
      <c r="F271" s="705"/>
      <c r="G271" s="705"/>
    </row>
    <row r="272" spans="1:7" ht="25.5" hidden="1">
      <c r="A272" s="698">
        <v>271</v>
      </c>
      <c r="B272" s="691">
        <v>38124</v>
      </c>
      <c r="C272" s="705" t="s">
        <v>25845</v>
      </c>
      <c r="D272" s="691">
        <v>38124</v>
      </c>
      <c r="E272" s="710" t="str">
        <f>Status!B4</f>
        <v>Concluído</v>
      </c>
      <c r="F272" s="705"/>
      <c r="G272" s="705"/>
    </row>
    <row r="273" spans="1:7" ht="25.5" hidden="1">
      <c r="A273" s="698">
        <v>272</v>
      </c>
      <c r="B273" s="691">
        <v>38131</v>
      </c>
      <c r="C273" s="705" t="s">
        <v>25846</v>
      </c>
      <c r="D273" s="691">
        <v>38130</v>
      </c>
      <c r="E273" s="705" t="str">
        <f>Status!B4</f>
        <v>Concluído</v>
      </c>
      <c r="F273" s="705"/>
      <c r="G273" s="705"/>
    </row>
    <row r="274" spans="1:7" ht="25.5" hidden="1">
      <c r="A274" s="698">
        <v>273</v>
      </c>
      <c r="B274" s="691">
        <v>38131</v>
      </c>
      <c r="C274" s="705" t="s">
        <v>25847</v>
      </c>
      <c r="D274" s="691"/>
      <c r="E274" s="710" t="str">
        <f>Status!B9</f>
        <v>Realização cancelada</v>
      </c>
      <c r="F274" s="705"/>
      <c r="G274" s="705"/>
    </row>
    <row r="275" spans="1:7" ht="25.5" hidden="1">
      <c r="A275" s="698">
        <v>274</v>
      </c>
      <c r="B275" s="691">
        <v>38127</v>
      </c>
      <c r="C275" s="705" t="s">
        <v>25848</v>
      </c>
      <c r="D275" s="691"/>
      <c r="E275" s="705" t="str">
        <f>Status!B9</f>
        <v>Realização cancelada</v>
      </c>
      <c r="F275" s="705" t="s">
        <v>25849</v>
      </c>
      <c r="G275" s="705"/>
    </row>
    <row r="276" spans="1:7" ht="12.75" hidden="1" customHeight="1">
      <c r="A276" s="698">
        <v>275</v>
      </c>
      <c r="B276" s="691">
        <v>38128</v>
      </c>
      <c r="C276" s="705" t="s">
        <v>25850</v>
      </c>
      <c r="D276" s="691">
        <v>38132</v>
      </c>
      <c r="E276" s="705" t="str">
        <f>Status!B4</f>
        <v>Concluído</v>
      </c>
      <c r="F276" s="705" t="s">
        <v>25851</v>
      </c>
      <c r="G276" s="705"/>
    </row>
    <row r="277" spans="1:7" ht="38.25" hidden="1">
      <c r="A277" s="698">
        <v>276</v>
      </c>
      <c r="B277" s="691">
        <v>38132</v>
      </c>
      <c r="C277" s="705" t="s">
        <v>25852</v>
      </c>
      <c r="D277" s="691">
        <v>38133</v>
      </c>
      <c r="E277" s="705" t="str">
        <f>Status!B4</f>
        <v>Concluído</v>
      </c>
      <c r="F277" s="705" t="s">
        <v>25853</v>
      </c>
      <c r="G277" s="705"/>
    </row>
    <row r="278" spans="1:7" ht="25.5" hidden="1">
      <c r="A278" s="698">
        <v>277</v>
      </c>
      <c r="B278" s="691">
        <v>38132</v>
      </c>
      <c r="C278" s="705" t="s">
        <v>25854</v>
      </c>
      <c r="D278" s="691">
        <v>38132</v>
      </c>
      <c r="E278" s="705" t="str">
        <f>Status!B4</f>
        <v>Concluído</v>
      </c>
      <c r="F278" s="705"/>
      <c r="G278" s="705"/>
    </row>
    <row r="279" spans="1:7" ht="25.5" hidden="1">
      <c r="A279" s="698">
        <v>278</v>
      </c>
      <c r="B279" s="691">
        <v>38139</v>
      </c>
      <c r="C279" s="705" t="s">
        <v>25855</v>
      </c>
      <c r="D279" s="691">
        <v>38135</v>
      </c>
      <c r="E279" s="705" t="str">
        <f>Status!B4</f>
        <v>Concluído</v>
      </c>
      <c r="F279" s="705" t="s">
        <v>25856</v>
      </c>
      <c r="G279" s="705"/>
    </row>
    <row r="280" spans="1:7" hidden="1">
      <c r="A280" s="698">
        <v>279</v>
      </c>
      <c r="B280" s="691">
        <v>38139</v>
      </c>
      <c r="C280" s="705" t="s">
        <v>25857</v>
      </c>
      <c r="D280" s="691">
        <v>38135</v>
      </c>
      <c r="E280" s="705" t="str">
        <f>Status!B4</f>
        <v>Concluído</v>
      </c>
      <c r="F280" s="705" t="s">
        <v>25858</v>
      </c>
      <c r="G280" s="705"/>
    </row>
    <row r="281" spans="1:7" hidden="1">
      <c r="A281" s="698">
        <v>280</v>
      </c>
      <c r="B281" s="691">
        <v>38140</v>
      </c>
      <c r="C281" s="705" t="s">
        <v>25859</v>
      </c>
      <c r="D281" s="691">
        <v>38136</v>
      </c>
      <c r="E281" s="705" t="str">
        <f>Status!B4</f>
        <v>Concluído</v>
      </c>
      <c r="F281" s="705" t="s">
        <v>25860</v>
      </c>
      <c r="G281" s="705"/>
    </row>
    <row r="282" spans="1:7" hidden="1">
      <c r="A282" s="698">
        <v>281</v>
      </c>
      <c r="B282" s="691">
        <v>38132</v>
      </c>
      <c r="C282" s="705" t="s">
        <v>25861</v>
      </c>
      <c r="D282" s="691">
        <v>38132</v>
      </c>
      <c r="E282" s="710" t="str">
        <f>Status!B4</f>
        <v>Concluído</v>
      </c>
      <c r="F282" s="705"/>
      <c r="G282" s="705"/>
    </row>
    <row r="283" spans="1:7" ht="38.25" hidden="1">
      <c r="A283" s="698">
        <v>282</v>
      </c>
      <c r="B283" s="691">
        <v>38143</v>
      </c>
      <c r="C283" s="705" t="s">
        <v>25862</v>
      </c>
      <c r="D283" s="691"/>
      <c r="E283" s="705" t="str">
        <f>Status!B9</f>
        <v>Realização cancelada</v>
      </c>
      <c r="F283" s="705"/>
      <c r="G283" s="705"/>
    </row>
    <row r="284" spans="1:7" ht="25.5" hidden="1">
      <c r="A284" s="698">
        <v>283</v>
      </c>
      <c r="B284" s="691">
        <v>38133</v>
      </c>
      <c r="C284" s="705" t="s">
        <v>25863</v>
      </c>
      <c r="D284" s="691">
        <v>38133</v>
      </c>
      <c r="E284" s="705" t="str">
        <f>Status!B4</f>
        <v>Concluído</v>
      </c>
      <c r="F284" s="705" t="s">
        <v>25864</v>
      </c>
      <c r="G284" s="705"/>
    </row>
    <row r="285" spans="1:7" ht="25.5" hidden="1">
      <c r="A285" s="698">
        <v>284</v>
      </c>
      <c r="B285" s="691">
        <v>38169</v>
      </c>
      <c r="C285" s="705" t="s">
        <v>25865</v>
      </c>
      <c r="D285" s="691">
        <v>38164</v>
      </c>
      <c r="E285" s="705" t="str">
        <f>Status!B4</f>
        <v>Concluído</v>
      </c>
      <c r="F285" s="705" t="s">
        <v>25866</v>
      </c>
      <c r="G285" s="705"/>
    </row>
    <row r="286" spans="1:7" ht="25.5" hidden="1">
      <c r="A286" s="698">
        <v>285</v>
      </c>
      <c r="B286" s="691">
        <v>38141</v>
      </c>
      <c r="C286" s="705" t="s">
        <v>25867</v>
      </c>
      <c r="D286" s="691">
        <v>38141</v>
      </c>
      <c r="E286" s="705" t="str">
        <f>Status!B4</f>
        <v>Concluído</v>
      </c>
      <c r="F286" s="705" t="s">
        <v>25868</v>
      </c>
      <c r="G286" s="705"/>
    </row>
    <row r="287" spans="1:7" ht="25.5" hidden="1">
      <c r="A287" s="698">
        <v>286</v>
      </c>
      <c r="B287" s="691">
        <v>38141</v>
      </c>
      <c r="C287" s="705" t="s">
        <v>25869</v>
      </c>
      <c r="D287" s="691">
        <v>38141</v>
      </c>
      <c r="E287" s="705" t="str">
        <f>Status!B4</f>
        <v>Concluído</v>
      </c>
      <c r="F287" s="705"/>
      <c r="G287" s="705"/>
    </row>
    <row r="288" spans="1:7" ht="25.5" hidden="1">
      <c r="A288" s="698">
        <v>287</v>
      </c>
      <c r="B288" s="691">
        <v>38146</v>
      </c>
      <c r="C288" s="705" t="s">
        <v>25870</v>
      </c>
      <c r="D288" s="691">
        <v>38146</v>
      </c>
      <c r="E288" s="705" t="str">
        <f>Status!B4</f>
        <v>Concluído</v>
      </c>
      <c r="F288" s="705"/>
      <c r="G288" s="705"/>
    </row>
    <row r="289" spans="1:7" ht="25.5" hidden="1">
      <c r="A289" s="698">
        <v>288</v>
      </c>
      <c r="B289" s="691">
        <v>38146</v>
      </c>
      <c r="C289" s="705" t="s">
        <v>25871</v>
      </c>
      <c r="D289" s="691">
        <v>38146</v>
      </c>
      <c r="E289" s="705" t="str">
        <f>Status!B4</f>
        <v>Concluído</v>
      </c>
      <c r="F289" s="705"/>
      <c r="G289" s="705"/>
    </row>
    <row r="290" spans="1:7" ht="25.5" hidden="1">
      <c r="A290" s="698">
        <v>289</v>
      </c>
      <c r="B290" s="691">
        <v>38146</v>
      </c>
      <c r="C290" s="705" t="s">
        <v>25872</v>
      </c>
      <c r="D290" s="691">
        <v>38146</v>
      </c>
      <c r="E290" s="705" t="str">
        <f>Status!B4</f>
        <v>Concluído</v>
      </c>
      <c r="F290" s="705"/>
      <c r="G290" s="705"/>
    </row>
    <row r="291" spans="1:7" ht="38.25" hidden="1">
      <c r="A291" s="698">
        <v>290</v>
      </c>
      <c r="B291" s="691">
        <v>38146</v>
      </c>
      <c r="C291" s="705" t="s">
        <v>25873</v>
      </c>
      <c r="D291" s="691">
        <v>38146</v>
      </c>
      <c r="E291" s="705" t="str">
        <f>Status!B4</f>
        <v>Concluído</v>
      </c>
      <c r="F291" s="705"/>
      <c r="G291" s="705"/>
    </row>
    <row r="292" spans="1:7" ht="25.5" hidden="1">
      <c r="A292" s="698">
        <v>291</v>
      </c>
      <c r="B292" s="691">
        <v>38147</v>
      </c>
      <c r="C292" s="705" t="s">
        <v>25874</v>
      </c>
      <c r="D292" s="691">
        <v>38147</v>
      </c>
      <c r="E292" s="705" t="str">
        <f>Status!B4</f>
        <v>Concluído</v>
      </c>
      <c r="F292" s="705" t="s">
        <v>25875</v>
      </c>
      <c r="G292" s="705"/>
    </row>
    <row r="293" spans="1:7" ht="25.5" hidden="1">
      <c r="A293" s="698">
        <v>292</v>
      </c>
      <c r="B293" s="691">
        <v>38146</v>
      </c>
      <c r="C293" s="705" t="s">
        <v>25876</v>
      </c>
      <c r="D293" s="691">
        <v>38146</v>
      </c>
      <c r="E293" s="710" t="str">
        <f>Status!B4</f>
        <v>Concluído</v>
      </c>
      <c r="F293" s="705" t="s">
        <v>25877</v>
      </c>
      <c r="G293" s="705"/>
    </row>
    <row r="294" spans="1:7" hidden="1">
      <c r="A294" s="698">
        <v>293</v>
      </c>
      <c r="B294" s="691">
        <v>38159</v>
      </c>
      <c r="C294" s="705" t="s">
        <v>25878</v>
      </c>
      <c r="D294" s="691">
        <v>38159</v>
      </c>
      <c r="E294" s="705" t="str">
        <f>Status!B4</f>
        <v>Concluído</v>
      </c>
      <c r="F294" s="705" t="s">
        <v>25879</v>
      </c>
      <c r="G294" s="705"/>
    </row>
    <row r="295" spans="1:7" ht="25.5" hidden="1">
      <c r="A295" s="698">
        <v>294</v>
      </c>
      <c r="B295" s="691">
        <v>38155</v>
      </c>
      <c r="C295" s="705" t="s">
        <v>25880</v>
      </c>
      <c r="D295" s="691">
        <v>38155</v>
      </c>
      <c r="E295" s="705" t="str">
        <f>Status!B4</f>
        <v>Concluído</v>
      </c>
      <c r="F295" s="705"/>
      <c r="G295" s="705"/>
    </row>
    <row r="296" spans="1:7" ht="38.25" hidden="1">
      <c r="A296" s="698">
        <v>295</v>
      </c>
      <c r="B296" s="691">
        <v>38205</v>
      </c>
      <c r="C296" s="705" t="s">
        <v>25881</v>
      </c>
      <c r="D296" s="691">
        <v>38207</v>
      </c>
      <c r="E296" s="705" t="str">
        <f>Status!B4</f>
        <v>Concluído</v>
      </c>
      <c r="F296" s="705" t="s">
        <v>25882</v>
      </c>
      <c r="G296" s="705"/>
    </row>
    <row r="297" spans="1:7" ht="25.5" hidden="1">
      <c r="A297" s="698">
        <v>296</v>
      </c>
      <c r="B297" s="691">
        <v>38168</v>
      </c>
      <c r="C297" s="705" t="s">
        <v>25883</v>
      </c>
      <c r="D297" s="691">
        <v>38168</v>
      </c>
      <c r="E297" s="705" t="str">
        <f>Status!B4</f>
        <v>Concluído</v>
      </c>
      <c r="F297" s="705" t="s">
        <v>25884</v>
      </c>
      <c r="G297" s="705"/>
    </row>
    <row r="298" spans="1:7" ht="25.5" hidden="1">
      <c r="A298" s="698">
        <v>297</v>
      </c>
      <c r="B298" s="691">
        <v>38139</v>
      </c>
      <c r="C298" s="705" t="s">
        <v>25885</v>
      </c>
      <c r="D298" s="691">
        <v>38169</v>
      </c>
      <c r="E298" s="705" t="str">
        <f>Status!B4</f>
        <v>Concluído</v>
      </c>
      <c r="F298" s="705"/>
      <c r="G298" s="705"/>
    </row>
    <row r="299" spans="1:7" ht="38.25" hidden="1">
      <c r="A299" s="698">
        <v>298</v>
      </c>
      <c r="B299" s="691">
        <v>38166</v>
      </c>
      <c r="C299" s="705" t="s">
        <v>25886</v>
      </c>
      <c r="D299" s="691">
        <v>38166</v>
      </c>
      <c r="E299" s="705" t="str">
        <f>Status!B4</f>
        <v>Concluído</v>
      </c>
      <c r="F299" s="705" t="s">
        <v>25887</v>
      </c>
      <c r="G299" s="705"/>
    </row>
    <row r="300" spans="1:7" ht="12.75" hidden="1" customHeight="1">
      <c r="A300" s="698">
        <v>299</v>
      </c>
      <c r="B300" s="691">
        <v>38166</v>
      </c>
      <c r="C300" s="705" t="s">
        <v>25888</v>
      </c>
      <c r="D300" s="691">
        <v>38173</v>
      </c>
      <c r="E300" s="705" t="str">
        <f>Status!B4</f>
        <v>Concluído</v>
      </c>
      <c r="F300" s="705" t="s">
        <v>25889</v>
      </c>
      <c r="G300" s="705" t="s">
        <v>25890</v>
      </c>
    </row>
    <row r="301" spans="1:7" ht="25.5" hidden="1">
      <c r="A301" s="698">
        <v>300</v>
      </c>
      <c r="B301" s="691">
        <v>38169</v>
      </c>
      <c r="C301" s="705" t="s">
        <v>25891</v>
      </c>
      <c r="D301" s="691">
        <v>38169</v>
      </c>
      <c r="E301" s="705" t="str">
        <f>Status!B4</f>
        <v>Concluído</v>
      </c>
      <c r="F301" s="705"/>
      <c r="G301" s="705"/>
    </row>
    <row r="302" spans="1:7" ht="38.25" hidden="1">
      <c r="A302" s="698">
        <v>301</v>
      </c>
      <c r="B302" s="691">
        <v>38169</v>
      </c>
      <c r="C302" s="705" t="s">
        <v>25892</v>
      </c>
      <c r="D302" s="691">
        <v>38169</v>
      </c>
      <c r="E302" s="705" t="str">
        <f>Status!B4</f>
        <v>Concluído</v>
      </c>
      <c r="F302" s="705"/>
      <c r="G302" s="705"/>
    </row>
    <row r="303" spans="1:7" ht="25.5" hidden="1">
      <c r="A303" s="698">
        <v>302</v>
      </c>
      <c r="B303" s="691">
        <v>38182</v>
      </c>
      <c r="C303" s="705" t="s">
        <v>25893</v>
      </c>
      <c r="D303" s="691"/>
      <c r="E303" s="705" t="str">
        <f>Status!B9</f>
        <v>Realização cancelada</v>
      </c>
      <c r="F303" s="705" t="s">
        <v>25894</v>
      </c>
      <c r="G303" s="705"/>
    </row>
    <row r="304" spans="1:7" ht="38.25" hidden="1">
      <c r="A304" s="698">
        <v>303</v>
      </c>
      <c r="B304" s="691">
        <v>38178</v>
      </c>
      <c r="C304" s="705" t="s">
        <v>25895</v>
      </c>
      <c r="D304" s="691">
        <v>38180</v>
      </c>
      <c r="E304" s="705" t="str">
        <f>Status!B4</f>
        <v>Concluído</v>
      </c>
      <c r="F304" s="705" t="s">
        <v>25896</v>
      </c>
      <c r="G304" s="705"/>
    </row>
    <row r="305" spans="1:7" ht="38.25" hidden="1">
      <c r="A305" s="698">
        <v>304</v>
      </c>
      <c r="B305" s="691">
        <v>38178</v>
      </c>
      <c r="C305" s="705" t="s">
        <v>25897</v>
      </c>
      <c r="D305" s="691">
        <v>38180</v>
      </c>
      <c r="E305" s="705" t="str">
        <f>Status!B4</f>
        <v>Concluído</v>
      </c>
      <c r="F305" s="705" t="s">
        <v>25898</v>
      </c>
      <c r="G305" s="705" t="s">
        <v>25899</v>
      </c>
    </row>
    <row r="306" spans="1:7" hidden="1">
      <c r="A306" s="698">
        <v>305</v>
      </c>
      <c r="B306" s="691">
        <v>38185</v>
      </c>
      <c r="C306" s="705" t="s">
        <v>25900</v>
      </c>
      <c r="D306" s="691">
        <v>38185</v>
      </c>
      <c r="E306" s="705" t="str">
        <f>Status!B4</f>
        <v>Concluído</v>
      </c>
      <c r="F306" s="705" t="s">
        <v>25901</v>
      </c>
      <c r="G306" s="705"/>
    </row>
    <row r="307" spans="1:7" ht="25.5" hidden="1">
      <c r="A307" s="698">
        <v>306</v>
      </c>
      <c r="B307" s="691">
        <v>38208</v>
      </c>
      <c r="C307" s="705" t="s">
        <v>25902</v>
      </c>
      <c r="D307" s="691">
        <v>38208</v>
      </c>
      <c r="E307" s="705" t="str">
        <f>Status!B4</f>
        <v>Concluído</v>
      </c>
      <c r="F307" s="705" t="s">
        <v>25903</v>
      </c>
      <c r="G307" s="705" t="s">
        <v>25904</v>
      </c>
    </row>
    <row r="308" spans="1:7" ht="38.25" hidden="1">
      <c r="A308" s="698">
        <v>307</v>
      </c>
      <c r="B308" s="691">
        <v>38180</v>
      </c>
      <c r="C308" s="705" t="s">
        <v>25905</v>
      </c>
      <c r="D308" s="691">
        <v>38180</v>
      </c>
      <c r="E308" s="705" t="str">
        <f>Status!B4</f>
        <v>Concluído</v>
      </c>
      <c r="F308" s="705" t="s">
        <v>25906</v>
      </c>
      <c r="G308" s="705"/>
    </row>
    <row r="309" spans="1:7" ht="38.25" hidden="1">
      <c r="A309" s="698">
        <v>308</v>
      </c>
      <c r="B309" s="691">
        <v>38184</v>
      </c>
      <c r="C309" s="705" t="s">
        <v>25907</v>
      </c>
      <c r="D309" s="691">
        <v>38184</v>
      </c>
      <c r="E309" s="705" t="str">
        <f>Status!B4</f>
        <v>Concluído</v>
      </c>
      <c r="F309" s="705"/>
      <c r="G309" s="705"/>
    </row>
    <row r="310" spans="1:7" ht="38.25" hidden="1">
      <c r="A310" s="698">
        <v>309</v>
      </c>
      <c r="B310" s="691">
        <v>38180</v>
      </c>
      <c r="C310" s="705" t="s">
        <v>25908</v>
      </c>
      <c r="D310" s="691">
        <v>38185</v>
      </c>
      <c r="E310" s="705" t="str">
        <f>Status!B4</f>
        <v>Concluído</v>
      </c>
      <c r="F310" s="705" t="s">
        <v>25909</v>
      </c>
      <c r="G310" s="705"/>
    </row>
    <row r="311" spans="1:7" ht="38.25" hidden="1">
      <c r="A311" s="698">
        <v>310</v>
      </c>
      <c r="B311" s="691">
        <v>38180</v>
      </c>
      <c r="C311" s="705" t="s">
        <v>25910</v>
      </c>
      <c r="D311" s="691">
        <v>38180</v>
      </c>
      <c r="E311" s="705" t="str">
        <f>Status!B4</f>
        <v>Concluído</v>
      </c>
      <c r="F311" s="705" t="s">
        <v>25911</v>
      </c>
      <c r="G311" s="705" t="s">
        <v>25912</v>
      </c>
    </row>
    <row r="312" spans="1:7" ht="25.5" hidden="1">
      <c r="A312" s="698">
        <v>311</v>
      </c>
      <c r="B312" s="691">
        <v>38180</v>
      </c>
      <c r="C312" s="705" t="s">
        <v>25913</v>
      </c>
      <c r="D312" s="691">
        <v>38183</v>
      </c>
      <c r="E312" s="705" t="str">
        <f>Status!B9</f>
        <v>Realização cancelada</v>
      </c>
      <c r="F312" s="705" t="s">
        <v>25914</v>
      </c>
      <c r="G312" s="705"/>
    </row>
    <row r="313" spans="1:7" ht="25.5" hidden="1">
      <c r="A313" s="698">
        <v>312</v>
      </c>
      <c r="B313" s="691">
        <v>38180</v>
      </c>
      <c r="C313" s="705" t="s">
        <v>25915</v>
      </c>
      <c r="D313" s="691">
        <v>38183</v>
      </c>
      <c r="E313" s="705" t="str">
        <f>Status!B4</f>
        <v>Concluído</v>
      </c>
      <c r="F313" s="705" t="s">
        <v>25916</v>
      </c>
      <c r="G313" s="705"/>
    </row>
    <row r="314" spans="1:7" ht="25.5" hidden="1">
      <c r="A314" s="698">
        <v>313</v>
      </c>
      <c r="B314" s="691">
        <v>38182</v>
      </c>
      <c r="C314" s="705" t="s">
        <v>25917</v>
      </c>
      <c r="D314" s="691">
        <v>38183</v>
      </c>
      <c r="E314" s="705" t="str">
        <f>Status!B4</f>
        <v>Concluído</v>
      </c>
      <c r="F314" s="705"/>
      <c r="G314" s="705"/>
    </row>
    <row r="315" spans="1:7" hidden="1">
      <c r="A315" s="698">
        <v>314</v>
      </c>
      <c r="B315" s="691">
        <v>38215</v>
      </c>
      <c r="C315" s="705" t="s">
        <v>25918</v>
      </c>
      <c r="D315" s="691">
        <v>38238</v>
      </c>
      <c r="E315" s="705" t="str">
        <f>Status!B4</f>
        <v>Concluído</v>
      </c>
      <c r="F315" s="705"/>
      <c r="G315" s="705"/>
    </row>
    <row r="316" spans="1:7" ht="25.5" hidden="1">
      <c r="A316" s="698">
        <v>315</v>
      </c>
      <c r="B316" s="691">
        <v>38183</v>
      </c>
      <c r="C316" s="705" t="s">
        <v>25919</v>
      </c>
      <c r="D316" s="691">
        <v>38183</v>
      </c>
      <c r="E316" s="705" t="str">
        <f>Status!B4</f>
        <v>Concluído</v>
      </c>
      <c r="F316" s="705"/>
      <c r="G316" s="705"/>
    </row>
    <row r="317" spans="1:7" ht="25.5" hidden="1">
      <c r="A317" s="698">
        <v>316</v>
      </c>
      <c r="B317" s="691">
        <v>38184</v>
      </c>
      <c r="C317" s="705" t="s">
        <v>25920</v>
      </c>
      <c r="D317" s="691">
        <v>38184</v>
      </c>
      <c r="E317" s="705" t="str">
        <f>Status!B4</f>
        <v>Concluído</v>
      </c>
      <c r="F317" s="705" t="s">
        <v>25921</v>
      </c>
      <c r="G317" s="705"/>
    </row>
    <row r="318" spans="1:7" ht="38.25" hidden="1">
      <c r="A318" s="698">
        <v>317</v>
      </c>
      <c r="B318" s="691">
        <v>38184</v>
      </c>
      <c r="C318" s="705" t="s">
        <v>25922</v>
      </c>
      <c r="D318" s="691">
        <v>38184</v>
      </c>
      <c r="E318" s="705" t="str">
        <f>Status!B4</f>
        <v>Concluído</v>
      </c>
      <c r="F318" s="705" t="s">
        <v>25923</v>
      </c>
      <c r="G318" s="705"/>
    </row>
    <row r="319" spans="1:7" ht="38.25" hidden="1">
      <c r="A319" s="698">
        <v>318</v>
      </c>
      <c r="B319" s="691">
        <v>38184</v>
      </c>
      <c r="C319" s="705" t="s">
        <v>25924</v>
      </c>
      <c r="D319" s="691">
        <v>38187</v>
      </c>
      <c r="E319" s="705" t="str">
        <f>Status!B9</f>
        <v>Realização cancelada</v>
      </c>
      <c r="F319" s="705" t="s">
        <v>25925</v>
      </c>
      <c r="G319" s="705"/>
    </row>
    <row r="320" spans="1:7" hidden="1">
      <c r="A320" s="698">
        <v>319</v>
      </c>
      <c r="B320" s="691">
        <v>38185</v>
      </c>
      <c r="C320" s="705" t="s">
        <v>25926</v>
      </c>
      <c r="D320" s="691">
        <v>38185</v>
      </c>
      <c r="E320" s="705" t="str">
        <f>Status!B4</f>
        <v>Concluído</v>
      </c>
      <c r="F320" s="705" t="s">
        <v>25927</v>
      </c>
      <c r="G320" s="705"/>
    </row>
    <row r="321" spans="1:7" ht="25.5" hidden="1">
      <c r="A321" s="698">
        <v>320</v>
      </c>
      <c r="B321" s="691">
        <v>38185</v>
      </c>
      <c r="C321" s="705" t="s">
        <v>25928</v>
      </c>
      <c r="D321" s="691">
        <v>38185</v>
      </c>
      <c r="E321" s="705" t="str">
        <f>Status!B4</f>
        <v>Concluído</v>
      </c>
      <c r="F321" s="705" t="s">
        <v>25929</v>
      </c>
      <c r="G321" s="705"/>
    </row>
    <row r="322" spans="1:7" ht="38.25" hidden="1">
      <c r="A322" s="698">
        <v>321</v>
      </c>
      <c r="B322" s="691">
        <v>38185</v>
      </c>
      <c r="C322" s="705" t="s">
        <v>25930</v>
      </c>
      <c r="D322" s="691">
        <v>38185</v>
      </c>
      <c r="E322" s="705" t="str">
        <f>Status!B4</f>
        <v>Concluído</v>
      </c>
      <c r="F322" s="705" t="s">
        <v>25931</v>
      </c>
      <c r="G322" s="705"/>
    </row>
    <row r="323" spans="1:7" ht="25.5" hidden="1">
      <c r="A323" s="698">
        <v>322</v>
      </c>
      <c r="B323" s="691">
        <v>38185</v>
      </c>
      <c r="C323" s="705" t="s">
        <v>25932</v>
      </c>
      <c r="D323" s="691">
        <v>38185</v>
      </c>
      <c r="E323" s="705" t="str">
        <f>Status!B4</f>
        <v>Concluído</v>
      </c>
      <c r="F323" s="705"/>
      <c r="G323" s="705"/>
    </row>
    <row r="324" spans="1:7" hidden="1">
      <c r="A324" s="698">
        <v>323</v>
      </c>
      <c r="B324" s="691">
        <v>38185</v>
      </c>
      <c r="C324" s="705" t="s">
        <v>25933</v>
      </c>
      <c r="D324" s="691">
        <v>38185</v>
      </c>
      <c r="E324" s="705" t="str">
        <f>Status!B4</f>
        <v>Concluído</v>
      </c>
      <c r="F324" s="705"/>
      <c r="G324" s="705"/>
    </row>
    <row r="325" spans="1:7" hidden="1">
      <c r="A325" s="698">
        <v>324</v>
      </c>
      <c r="B325" s="691">
        <v>38185</v>
      </c>
      <c r="C325" s="705" t="s">
        <v>25934</v>
      </c>
      <c r="D325" s="691">
        <v>38185</v>
      </c>
      <c r="E325" s="705" t="str">
        <f>Status!B4</f>
        <v>Concluído</v>
      </c>
      <c r="F325" s="705"/>
      <c r="G325" s="705"/>
    </row>
    <row r="326" spans="1:7" ht="25.5" hidden="1">
      <c r="A326" s="698">
        <v>325</v>
      </c>
      <c r="B326" s="691">
        <v>38188</v>
      </c>
      <c r="C326" s="705" t="s">
        <v>25935</v>
      </c>
      <c r="D326" s="691">
        <v>38188</v>
      </c>
      <c r="E326" s="705" t="str">
        <f>Status!B4</f>
        <v>Concluído</v>
      </c>
      <c r="F326" s="705"/>
      <c r="G326" s="705"/>
    </row>
    <row r="327" spans="1:7" ht="38.25" hidden="1">
      <c r="A327" s="698">
        <v>326</v>
      </c>
      <c r="B327" s="691">
        <v>38189</v>
      </c>
      <c r="C327" s="705" t="s">
        <v>25936</v>
      </c>
      <c r="D327" s="691"/>
      <c r="E327" s="705" t="str">
        <f>Status!B9</f>
        <v>Realização cancelada</v>
      </c>
      <c r="F327" s="705" t="s">
        <v>25937</v>
      </c>
      <c r="G327" s="705"/>
    </row>
    <row r="328" spans="1:7" ht="25.5" hidden="1">
      <c r="A328" s="698">
        <v>327</v>
      </c>
      <c r="B328" s="691">
        <v>38190</v>
      </c>
      <c r="C328" s="705" t="s">
        <v>25938</v>
      </c>
      <c r="D328" s="691">
        <v>38190</v>
      </c>
      <c r="E328" s="705" t="str">
        <f>Status!B4</f>
        <v>Concluído</v>
      </c>
      <c r="F328" s="705"/>
      <c r="G328" s="705"/>
    </row>
    <row r="329" spans="1:7" ht="25.5" hidden="1">
      <c r="A329" s="698">
        <v>328</v>
      </c>
      <c r="B329" s="691">
        <v>38189</v>
      </c>
      <c r="C329" s="705" t="s">
        <v>25939</v>
      </c>
      <c r="D329" s="691">
        <v>38189</v>
      </c>
      <c r="E329" s="705" t="str">
        <f>Status!B4</f>
        <v>Concluído</v>
      </c>
      <c r="F329" s="705" t="s">
        <v>25940</v>
      </c>
      <c r="G329" s="705"/>
    </row>
    <row r="330" spans="1:7" hidden="1">
      <c r="A330" s="698">
        <v>329</v>
      </c>
      <c r="B330" s="691">
        <v>38190</v>
      </c>
      <c r="C330" s="705" t="s">
        <v>25941</v>
      </c>
      <c r="D330" s="691">
        <v>38190</v>
      </c>
      <c r="E330" s="705" t="str">
        <f>Status!B4</f>
        <v>Concluído</v>
      </c>
      <c r="F330" s="705"/>
      <c r="G330" s="705"/>
    </row>
    <row r="331" spans="1:7" ht="25.5" hidden="1">
      <c r="A331" s="698">
        <v>330</v>
      </c>
      <c r="B331" s="691">
        <v>38194</v>
      </c>
      <c r="C331" s="705" t="s">
        <v>25942</v>
      </c>
      <c r="D331" s="691">
        <v>38194</v>
      </c>
      <c r="E331" s="705" t="str">
        <f>Status!B4</f>
        <v>Concluído</v>
      </c>
      <c r="F331" s="705"/>
      <c r="G331" s="705"/>
    </row>
    <row r="332" spans="1:7" ht="25.5" hidden="1">
      <c r="A332" s="698">
        <v>331</v>
      </c>
      <c r="B332" s="691">
        <v>38194</v>
      </c>
      <c r="C332" s="705" t="s">
        <v>25943</v>
      </c>
      <c r="D332" s="691">
        <v>38199</v>
      </c>
      <c r="E332" s="705" t="str">
        <f>Status!B4</f>
        <v>Concluído</v>
      </c>
      <c r="F332" s="705" t="s">
        <v>25944</v>
      </c>
      <c r="G332" s="705"/>
    </row>
    <row r="333" spans="1:7" ht="25.5" hidden="1">
      <c r="A333" s="698">
        <v>332</v>
      </c>
      <c r="B333" s="691">
        <v>38197</v>
      </c>
      <c r="C333" s="705" t="s">
        <v>25945</v>
      </c>
      <c r="D333" s="691">
        <v>38197</v>
      </c>
      <c r="E333" s="705" t="str">
        <f>Status!B4</f>
        <v>Concluído</v>
      </c>
      <c r="F333" s="705"/>
      <c r="G333" s="705"/>
    </row>
    <row r="334" spans="1:7" ht="25.5" hidden="1">
      <c r="A334" s="698">
        <v>333</v>
      </c>
      <c r="B334" s="691">
        <v>38196</v>
      </c>
      <c r="C334" s="705" t="s">
        <v>25946</v>
      </c>
      <c r="D334" s="691">
        <v>38196</v>
      </c>
      <c r="E334" s="705" t="str">
        <f>Status!B4</f>
        <v>Concluído</v>
      </c>
      <c r="F334" s="705"/>
      <c r="G334" s="705"/>
    </row>
    <row r="335" spans="1:7" hidden="1">
      <c r="A335" s="698">
        <v>334</v>
      </c>
      <c r="B335" s="691">
        <v>38197</v>
      </c>
      <c r="C335" s="705" t="s">
        <v>25947</v>
      </c>
      <c r="D335" s="691">
        <v>38197</v>
      </c>
      <c r="E335" s="705" t="str">
        <f>Status!B4</f>
        <v>Concluído</v>
      </c>
      <c r="F335" s="705"/>
      <c r="G335" s="705"/>
    </row>
    <row r="336" spans="1:7" ht="38.25" hidden="1">
      <c r="A336" s="698">
        <v>335</v>
      </c>
      <c r="B336" s="691">
        <v>38208</v>
      </c>
      <c r="C336" s="705" t="s">
        <v>25948</v>
      </c>
      <c r="D336" s="691">
        <v>38205</v>
      </c>
      <c r="E336" s="705" t="str">
        <f>Status!B4</f>
        <v>Concluído</v>
      </c>
      <c r="F336" s="705" t="s">
        <v>25949</v>
      </c>
      <c r="G336" s="705" t="s">
        <v>25950</v>
      </c>
    </row>
    <row r="337" spans="1:7" ht="38.25" hidden="1">
      <c r="A337" s="698">
        <v>336</v>
      </c>
      <c r="B337" s="691">
        <v>38201</v>
      </c>
      <c r="C337" s="705" t="s">
        <v>25951</v>
      </c>
      <c r="D337" s="691">
        <v>38201</v>
      </c>
      <c r="E337" s="705" t="str">
        <f>Status!B4</f>
        <v>Concluído</v>
      </c>
      <c r="F337" s="705"/>
      <c r="G337" s="705"/>
    </row>
    <row r="338" spans="1:7" ht="38.25" hidden="1">
      <c r="A338" s="698">
        <v>337</v>
      </c>
      <c r="B338" s="691">
        <v>38202</v>
      </c>
      <c r="C338" s="705" t="s">
        <v>25952</v>
      </c>
      <c r="D338" s="691">
        <v>38202</v>
      </c>
      <c r="E338" s="705" t="str">
        <f>Status!B4</f>
        <v>Concluído</v>
      </c>
      <c r="F338" s="705"/>
      <c r="G338" s="705"/>
    </row>
    <row r="339" spans="1:7" hidden="1">
      <c r="A339" s="698">
        <v>338</v>
      </c>
      <c r="B339" s="691">
        <v>38219</v>
      </c>
      <c r="C339" s="705" t="s">
        <v>25953</v>
      </c>
      <c r="D339" s="691">
        <v>38219</v>
      </c>
      <c r="E339" s="705" t="str">
        <f>Status!B4</f>
        <v>Concluído</v>
      </c>
      <c r="F339" s="705" t="s">
        <v>25954</v>
      </c>
      <c r="G339" s="705"/>
    </row>
    <row r="340" spans="1:7" ht="25.5" hidden="1">
      <c r="A340" s="698">
        <v>339</v>
      </c>
      <c r="B340" s="691">
        <v>38212</v>
      </c>
      <c r="C340" s="705" t="s">
        <v>25955</v>
      </c>
      <c r="D340" s="691">
        <v>38212</v>
      </c>
      <c r="E340" s="705" t="str">
        <f>Status!B4</f>
        <v>Concluído</v>
      </c>
      <c r="F340" s="705"/>
      <c r="G340" s="705"/>
    </row>
    <row r="341" spans="1:7" ht="38.25" hidden="1">
      <c r="A341" s="698">
        <v>340</v>
      </c>
      <c r="B341" s="691">
        <v>38238</v>
      </c>
      <c r="C341" s="705" t="s">
        <v>25956</v>
      </c>
      <c r="D341" s="691">
        <v>38238</v>
      </c>
      <c r="E341" s="705" t="str">
        <f>Status!B4</f>
        <v>Concluído</v>
      </c>
      <c r="F341" s="705"/>
      <c r="G341" s="705"/>
    </row>
    <row r="342" spans="1:7" ht="25.5" hidden="1">
      <c r="A342" s="698">
        <v>341</v>
      </c>
      <c r="B342" s="691">
        <v>38238</v>
      </c>
      <c r="C342" s="705" t="s">
        <v>25957</v>
      </c>
      <c r="D342" s="691">
        <v>38238</v>
      </c>
      <c r="E342" s="705" t="str">
        <f>Status!B4</f>
        <v>Concluído</v>
      </c>
      <c r="F342" s="714">
        <v>1368.09</v>
      </c>
      <c r="G342" s="705"/>
    </row>
    <row r="343" spans="1:7" ht="25.5" hidden="1">
      <c r="A343" s="698">
        <v>342</v>
      </c>
      <c r="B343" s="691">
        <v>38238</v>
      </c>
      <c r="C343" s="705" t="s">
        <v>25958</v>
      </c>
      <c r="D343" s="691">
        <v>38238</v>
      </c>
      <c r="E343" s="705" t="str">
        <f>Status!B4</f>
        <v>Concluído</v>
      </c>
      <c r="F343" s="705"/>
      <c r="G343" s="705"/>
    </row>
    <row r="344" spans="1:7" ht="38.25" hidden="1">
      <c r="A344" s="698">
        <v>343</v>
      </c>
      <c r="B344" s="691">
        <v>38238</v>
      </c>
      <c r="C344" s="705" t="s">
        <v>25959</v>
      </c>
      <c r="D344" s="691">
        <v>38238</v>
      </c>
      <c r="E344" s="705" t="str">
        <f>Status!B4</f>
        <v>Concluído</v>
      </c>
      <c r="F344" s="705"/>
      <c r="G344" s="705"/>
    </row>
    <row r="345" spans="1:7" hidden="1">
      <c r="A345" s="698">
        <v>344</v>
      </c>
      <c r="B345" s="691">
        <v>38238</v>
      </c>
      <c r="C345" s="705" t="s">
        <v>25792</v>
      </c>
      <c r="D345" s="691">
        <v>38238</v>
      </c>
      <c r="E345" s="705" t="str">
        <f>Status!B4</f>
        <v>Concluído</v>
      </c>
      <c r="F345" s="705" t="s">
        <v>25960</v>
      </c>
      <c r="G345" s="705"/>
    </row>
    <row r="346" spans="1:7" ht="38.25" hidden="1">
      <c r="A346" s="698">
        <v>345</v>
      </c>
      <c r="B346" s="691">
        <v>38238</v>
      </c>
      <c r="C346" s="705" t="s">
        <v>25961</v>
      </c>
      <c r="D346" s="691">
        <v>38238</v>
      </c>
      <c r="E346" s="705" t="str">
        <f>Status!B4</f>
        <v>Concluído</v>
      </c>
      <c r="F346" s="705" t="s">
        <v>25962</v>
      </c>
      <c r="G346" s="705"/>
    </row>
    <row r="347" spans="1:7" hidden="1">
      <c r="A347" s="698">
        <v>346</v>
      </c>
      <c r="B347" s="691">
        <v>38238</v>
      </c>
      <c r="C347" s="705" t="s">
        <v>25963</v>
      </c>
      <c r="D347" s="691">
        <v>38238</v>
      </c>
      <c r="E347" s="705" t="str">
        <f>Status!B4</f>
        <v>Concluído</v>
      </c>
      <c r="F347" s="705"/>
      <c r="G347" s="705"/>
    </row>
    <row r="348" spans="1:7" ht="25.5" hidden="1">
      <c r="A348" s="698">
        <v>347</v>
      </c>
      <c r="B348" s="691">
        <v>38238</v>
      </c>
      <c r="C348" s="705" t="s">
        <v>25964</v>
      </c>
      <c r="D348" s="691">
        <v>38238</v>
      </c>
      <c r="E348" s="705" t="str">
        <f>Status!B4</f>
        <v>Concluído</v>
      </c>
      <c r="F348" s="705"/>
      <c r="G348" s="705"/>
    </row>
    <row r="349" spans="1:7" ht="38.25" hidden="1">
      <c r="A349" s="698">
        <v>348</v>
      </c>
      <c r="B349" s="691">
        <v>38238</v>
      </c>
      <c r="C349" s="705" t="s">
        <v>25965</v>
      </c>
      <c r="D349" s="691">
        <v>38238</v>
      </c>
      <c r="E349" s="705" t="str">
        <f>Status!B4</f>
        <v>Concluído</v>
      </c>
      <c r="F349" s="705"/>
      <c r="G349" s="705"/>
    </row>
    <row r="350" spans="1:7" ht="25.5" hidden="1">
      <c r="A350" s="698">
        <v>349</v>
      </c>
      <c r="B350" s="691">
        <v>38238</v>
      </c>
      <c r="C350" s="705" t="s">
        <v>25966</v>
      </c>
      <c r="D350" s="691">
        <v>38238</v>
      </c>
      <c r="E350" s="705" t="str">
        <f>Status!B4</f>
        <v>Concluído</v>
      </c>
      <c r="F350" s="705"/>
      <c r="G350" s="705"/>
    </row>
    <row r="351" spans="1:7" ht="25.5" hidden="1">
      <c r="A351" s="698">
        <v>350</v>
      </c>
      <c r="B351" s="691">
        <v>38238</v>
      </c>
      <c r="C351" s="705" t="s">
        <v>25967</v>
      </c>
      <c r="D351" s="691">
        <v>38239</v>
      </c>
      <c r="E351" s="705" t="str">
        <f>Status!B4</f>
        <v>Concluído</v>
      </c>
      <c r="F351" s="705"/>
      <c r="G351" s="705"/>
    </row>
    <row r="352" spans="1:7" ht="25.5" hidden="1">
      <c r="A352" s="698">
        <v>351</v>
      </c>
      <c r="B352" s="691">
        <v>38238</v>
      </c>
      <c r="C352" s="705" t="s">
        <v>25968</v>
      </c>
      <c r="D352" s="691">
        <v>38240</v>
      </c>
      <c r="E352" s="705" t="str">
        <f>Status!B4</f>
        <v>Concluído</v>
      </c>
      <c r="F352" s="705"/>
      <c r="G352" s="705"/>
    </row>
    <row r="353" spans="1:7" ht="25.5" hidden="1">
      <c r="A353" s="698">
        <v>352</v>
      </c>
      <c r="B353" s="691">
        <v>38238</v>
      </c>
      <c r="C353" s="705" t="s">
        <v>25969</v>
      </c>
      <c r="D353" s="691">
        <v>38240</v>
      </c>
      <c r="E353" s="705" t="str">
        <f>Status!B4</f>
        <v>Concluído</v>
      </c>
      <c r="F353" s="705"/>
      <c r="G353" s="705"/>
    </row>
    <row r="354" spans="1:7" ht="25.5" hidden="1">
      <c r="A354" s="698">
        <v>353</v>
      </c>
      <c r="B354" s="691">
        <v>38238</v>
      </c>
      <c r="C354" s="705" t="s">
        <v>25970</v>
      </c>
      <c r="D354" s="691">
        <v>38240</v>
      </c>
      <c r="E354" s="705" t="str">
        <f>Status!B4</f>
        <v>Concluído</v>
      </c>
      <c r="F354" s="705"/>
      <c r="G354" s="705"/>
    </row>
    <row r="355" spans="1:7" hidden="1">
      <c r="A355" s="698">
        <v>354</v>
      </c>
      <c r="B355" s="691">
        <v>38238</v>
      </c>
      <c r="C355" s="705" t="s">
        <v>25971</v>
      </c>
      <c r="D355" s="691">
        <v>38240</v>
      </c>
      <c r="E355" s="705" t="str">
        <f>Status!B4</f>
        <v>Concluído</v>
      </c>
      <c r="F355" s="705"/>
      <c r="G355" s="705"/>
    </row>
    <row r="356" spans="1:7" ht="38.25" hidden="1">
      <c r="A356" s="698">
        <v>355</v>
      </c>
      <c r="B356" s="691">
        <v>38238</v>
      </c>
      <c r="C356" s="705" t="s">
        <v>25972</v>
      </c>
      <c r="D356" s="691">
        <v>38238</v>
      </c>
      <c r="E356" s="705" t="str">
        <f>Status!B4</f>
        <v>Concluído</v>
      </c>
      <c r="F356" s="705"/>
      <c r="G356" s="705"/>
    </row>
    <row r="357" spans="1:7" ht="25.5" hidden="1">
      <c r="A357" s="698">
        <v>356</v>
      </c>
      <c r="B357" s="691">
        <v>38238</v>
      </c>
      <c r="C357" s="705" t="s">
        <v>25973</v>
      </c>
      <c r="D357" s="691"/>
      <c r="E357" s="705" t="str">
        <f>Status!B9</f>
        <v>Realização cancelada</v>
      </c>
      <c r="F357" s="705"/>
      <c r="G357" s="705"/>
    </row>
    <row r="358" spans="1:7" ht="38.25" hidden="1">
      <c r="A358" s="698">
        <v>357</v>
      </c>
      <c r="B358" s="691">
        <v>38238</v>
      </c>
      <c r="C358" s="705" t="s">
        <v>25974</v>
      </c>
      <c r="D358" s="691"/>
      <c r="E358" s="705" t="str">
        <f>Status!B9</f>
        <v>Realização cancelada</v>
      </c>
      <c r="F358" s="705"/>
      <c r="G358" s="705"/>
    </row>
    <row r="359" spans="1:7" ht="25.5" hidden="1">
      <c r="A359" s="698">
        <v>358</v>
      </c>
      <c r="B359" s="691">
        <v>38238</v>
      </c>
      <c r="C359" s="705" t="s">
        <v>25975</v>
      </c>
      <c r="D359" s="691">
        <v>38239</v>
      </c>
      <c r="E359" s="705" t="str">
        <f>Status!B4</f>
        <v>Concluído</v>
      </c>
      <c r="F359" s="705"/>
      <c r="G359" s="705"/>
    </row>
    <row r="360" spans="1:7" ht="25.5" hidden="1">
      <c r="A360" s="698">
        <v>359</v>
      </c>
      <c r="B360" s="691">
        <v>38238</v>
      </c>
      <c r="C360" s="705" t="s">
        <v>25976</v>
      </c>
      <c r="D360" s="691">
        <v>38238</v>
      </c>
      <c r="E360" s="705" t="str">
        <f>Status!B4</f>
        <v>Concluído</v>
      </c>
      <c r="F360" s="705" t="s">
        <v>25977</v>
      </c>
      <c r="G360" s="705"/>
    </row>
    <row r="361" spans="1:7" ht="25.5" hidden="1">
      <c r="A361" s="698">
        <v>360</v>
      </c>
      <c r="B361" s="691">
        <v>38238</v>
      </c>
      <c r="C361" s="705" t="s">
        <v>25978</v>
      </c>
      <c r="D361" s="691">
        <v>38238</v>
      </c>
      <c r="E361" s="705" t="str">
        <f>Status!B4</f>
        <v>Concluído</v>
      </c>
      <c r="F361" s="705" t="s">
        <v>25979</v>
      </c>
      <c r="G361" s="705"/>
    </row>
    <row r="362" spans="1:7" ht="25.5" hidden="1">
      <c r="A362" s="698">
        <v>361</v>
      </c>
      <c r="B362" s="691">
        <v>38238</v>
      </c>
      <c r="C362" s="705" t="s">
        <v>25980</v>
      </c>
      <c r="D362" s="691">
        <v>38238</v>
      </c>
      <c r="E362" s="705" t="str">
        <f>Status!B4</f>
        <v>Concluído</v>
      </c>
      <c r="F362" s="705"/>
      <c r="G362" s="705"/>
    </row>
    <row r="363" spans="1:7" ht="38.25" hidden="1">
      <c r="A363" s="698">
        <v>362</v>
      </c>
      <c r="B363" s="691">
        <v>38239</v>
      </c>
      <c r="C363" s="705" t="s">
        <v>25981</v>
      </c>
      <c r="D363" s="691">
        <v>38239</v>
      </c>
      <c r="E363" s="705" t="str">
        <f>Status!B4</f>
        <v>Concluído</v>
      </c>
      <c r="F363" s="705"/>
      <c r="G363" s="705"/>
    </row>
    <row r="364" spans="1:7" ht="38.25" hidden="1">
      <c r="A364" s="698">
        <v>363</v>
      </c>
      <c r="B364" s="691">
        <v>38239</v>
      </c>
      <c r="C364" s="705" t="s">
        <v>25982</v>
      </c>
      <c r="D364" s="691">
        <v>38239</v>
      </c>
      <c r="E364" s="705" t="str">
        <f>Status!B4</f>
        <v>Concluído</v>
      </c>
      <c r="F364" s="705"/>
      <c r="G364" s="705"/>
    </row>
    <row r="365" spans="1:7" ht="25.5" hidden="1">
      <c r="A365" s="698">
        <v>364</v>
      </c>
      <c r="B365" s="691">
        <v>38239</v>
      </c>
      <c r="C365" s="705" t="s">
        <v>25983</v>
      </c>
      <c r="D365" s="691">
        <v>38241</v>
      </c>
      <c r="E365" s="705" t="str">
        <f>Status!B4</f>
        <v>Concluído</v>
      </c>
      <c r="F365" s="705" t="s">
        <v>25984</v>
      </c>
      <c r="G365" s="705"/>
    </row>
    <row r="366" spans="1:7" ht="38.25" hidden="1">
      <c r="A366" s="698">
        <v>365</v>
      </c>
      <c r="B366" s="691">
        <v>38239</v>
      </c>
      <c r="C366" s="705" t="s">
        <v>25985</v>
      </c>
      <c r="D366" s="691">
        <v>38239</v>
      </c>
      <c r="E366" s="705" t="str">
        <f>Status!B4</f>
        <v>Concluído</v>
      </c>
      <c r="F366" s="705"/>
      <c r="G366" s="705"/>
    </row>
    <row r="367" spans="1:7" hidden="1">
      <c r="A367" s="698">
        <v>366</v>
      </c>
      <c r="B367" s="691">
        <v>38239</v>
      </c>
      <c r="C367" s="705" t="s">
        <v>25986</v>
      </c>
      <c r="D367" s="691">
        <v>38238</v>
      </c>
      <c r="E367" s="705" t="str">
        <f>Status!B4</f>
        <v>Concluído</v>
      </c>
      <c r="F367" s="705" t="s">
        <v>25987</v>
      </c>
      <c r="G367" s="705"/>
    </row>
    <row r="368" spans="1:7" ht="25.5" hidden="1">
      <c r="A368" s="698">
        <v>367</v>
      </c>
      <c r="B368" s="691">
        <v>38239</v>
      </c>
      <c r="C368" s="705" t="s">
        <v>25988</v>
      </c>
      <c r="D368" s="691">
        <v>38239</v>
      </c>
      <c r="E368" s="705" t="str">
        <f>Status!B4</f>
        <v>Concluído</v>
      </c>
      <c r="F368" s="705"/>
      <c r="G368" s="705"/>
    </row>
    <row r="369" spans="1:7" hidden="1">
      <c r="A369" s="698">
        <v>368</v>
      </c>
      <c r="B369" s="691">
        <v>38239</v>
      </c>
      <c r="C369" s="705" t="s">
        <v>25989</v>
      </c>
      <c r="D369" s="691">
        <v>38238</v>
      </c>
      <c r="E369" s="705" t="str">
        <f>Status!B4</f>
        <v>Concluído</v>
      </c>
      <c r="F369" s="705"/>
      <c r="G369" s="705"/>
    </row>
    <row r="370" spans="1:7" ht="38.25" hidden="1">
      <c r="A370" s="698">
        <v>369</v>
      </c>
      <c r="B370" s="691">
        <v>38239</v>
      </c>
      <c r="C370" s="705" t="s">
        <v>25990</v>
      </c>
      <c r="D370" s="691">
        <v>38239</v>
      </c>
      <c r="E370" s="705" t="str">
        <f>Status!B4</f>
        <v>Concluído</v>
      </c>
      <c r="F370" s="705"/>
      <c r="G370" s="705"/>
    </row>
    <row r="371" spans="1:7" ht="25.5" hidden="1">
      <c r="A371" s="698">
        <v>370</v>
      </c>
      <c r="B371" s="691">
        <v>38239</v>
      </c>
      <c r="C371" s="705" t="s">
        <v>25991</v>
      </c>
      <c r="D371" s="691">
        <v>38239</v>
      </c>
      <c r="E371" s="705" t="str">
        <f>Status!B4</f>
        <v>Concluído</v>
      </c>
      <c r="F371" s="705"/>
      <c r="G371" s="705"/>
    </row>
    <row r="372" spans="1:7" hidden="1">
      <c r="A372" s="698">
        <v>371</v>
      </c>
      <c r="B372" s="691">
        <v>38239</v>
      </c>
      <c r="C372" s="705" t="s">
        <v>25992</v>
      </c>
      <c r="D372" s="691">
        <v>38239</v>
      </c>
      <c r="E372" s="705" t="str">
        <f>Status!B4</f>
        <v>Concluído</v>
      </c>
      <c r="F372" s="705"/>
      <c r="G372" s="705"/>
    </row>
    <row r="373" spans="1:7" ht="25.5" hidden="1">
      <c r="A373" s="698">
        <v>372</v>
      </c>
      <c r="B373" s="691">
        <v>38239</v>
      </c>
      <c r="C373" s="705" t="s">
        <v>25993</v>
      </c>
      <c r="D373" s="691">
        <v>38239</v>
      </c>
      <c r="E373" s="705" t="str">
        <f>Status!B4</f>
        <v>Concluído</v>
      </c>
      <c r="F373" s="705"/>
      <c r="G373" s="705"/>
    </row>
    <row r="374" spans="1:7" ht="25.5" hidden="1">
      <c r="A374" s="698">
        <v>373</v>
      </c>
      <c r="B374" s="691">
        <v>38239</v>
      </c>
      <c r="C374" s="705" t="s">
        <v>25994</v>
      </c>
      <c r="D374" s="691"/>
      <c r="E374" s="705" t="str">
        <f>Status!B9</f>
        <v>Realização cancelada</v>
      </c>
      <c r="F374" s="705"/>
      <c r="G374" s="705"/>
    </row>
    <row r="375" spans="1:7" ht="25.5" hidden="1">
      <c r="A375" s="698">
        <v>374</v>
      </c>
      <c r="B375" s="691">
        <v>38239</v>
      </c>
      <c r="C375" s="705" t="s">
        <v>25995</v>
      </c>
      <c r="D375" s="691">
        <v>38239</v>
      </c>
      <c r="E375" s="705" t="str">
        <f>Status!B9</f>
        <v>Realização cancelada</v>
      </c>
      <c r="F375" s="705" t="s">
        <v>25996</v>
      </c>
      <c r="G375" s="705"/>
    </row>
    <row r="376" spans="1:7" ht="38.25" hidden="1">
      <c r="A376" s="698">
        <v>375</v>
      </c>
      <c r="B376" s="691">
        <v>38239</v>
      </c>
      <c r="C376" s="705" t="s">
        <v>25997</v>
      </c>
      <c r="D376" s="691">
        <v>38239</v>
      </c>
      <c r="E376" s="705" t="str">
        <f>Status!B4</f>
        <v>Concluído</v>
      </c>
      <c r="F376" s="705"/>
      <c r="G376" s="705"/>
    </row>
    <row r="377" spans="1:7" ht="25.5" hidden="1">
      <c r="A377" s="698">
        <v>376</v>
      </c>
      <c r="B377" s="691">
        <v>38239</v>
      </c>
      <c r="C377" s="705" t="s">
        <v>25998</v>
      </c>
      <c r="D377" s="691">
        <v>38239</v>
      </c>
      <c r="E377" s="705" t="str">
        <f>Status!B4</f>
        <v>Concluído</v>
      </c>
      <c r="F377" s="705"/>
      <c r="G377" s="705"/>
    </row>
    <row r="378" spans="1:7" ht="25.5" hidden="1">
      <c r="A378" s="698">
        <v>377</v>
      </c>
      <c r="B378" s="691">
        <v>38239</v>
      </c>
      <c r="C378" s="705" t="s">
        <v>25999</v>
      </c>
      <c r="D378" s="691">
        <v>38239</v>
      </c>
      <c r="E378" s="705" t="str">
        <f>Status!B4</f>
        <v>Concluído</v>
      </c>
      <c r="F378" s="705" t="s">
        <v>26000</v>
      </c>
      <c r="G378" s="705"/>
    </row>
    <row r="379" spans="1:7" ht="25.5" hidden="1">
      <c r="A379" s="698">
        <v>378</v>
      </c>
      <c r="B379" s="691">
        <v>38239</v>
      </c>
      <c r="C379" s="705" t="s">
        <v>26001</v>
      </c>
      <c r="D379" s="691">
        <v>38239</v>
      </c>
      <c r="E379" s="705" t="str">
        <f>Status!B4</f>
        <v>Concluído</v>
      </c>
      <c r="F379" s="705"/>
      <c r="G379" s="705"/>
    </row>
    <row r="380" spans="1:7" ht="25.5" hidden="1">
      <c r="A380" s="698">
        <v>379</v>
      </c>
      <c r="B380" s="691">
        <v>38243</v>
      </c>
      <c r="C380" s="705" t="s">
        <v>26002</v>
      </c>
      <c r="D380" s="691">
        <v>38243</v>
      </c>
      <c r="E380" s="705" t="str">
        <f>Status!B4</f>
        <v>Concluído</v>
      </c>
      <c r="F380" s="705"/>
      <c r="G380" s="705"/>
    </row>
    <row r="381" spans="1:7" ht="25.5" hidden="1">
      <c r="A381" s="698">
        <v>380</v>
      </c>
      <c r="B381" s="691">
        <v>38239</v>
      </c>
      <c r="C381" s="705" t="s">
        <v>26003</v>
      </c>
      <c r="D381" s="691">
        <v>38239</v>
      </c>
      <c r="E381" s="705" t="str">
        <f>Status!B4</f>
        <v>Concluído</v>
      </c>
      <c r="F381" s="705"/>
      <c r="G381" s="705"/>
    </row>
    <row r="382" spans="1:7" ht="38.25" hidden="1">
      <c r="A382" s="698">
        <v>381</v>
      </c>
      <c r="B382" s="691">
        <v>38239</v>
      </c>
      <c r="C382" s="705" t="s">
        <v>26004</v>
      </c>
      <c r="D382" s="691">
        <v>38240</v>
      </c>
      <c r="E382" s="705" t="str">
        <f>Status!B4</f>
        <v>Concluído</v>
      </c>
      <c r="F382" s="705"/>
      <c r="G382" s="705"/>
    </row>
    <row r="383" spans="1:7" hidden="1">
      <c r="A383" s="698">
        <v>382</v>
      </c>
      <c r="B383" s="691">
        <v>38239</v>
      </c>
      <c r="C383" s="705" t="s">
        <v>26005</v>
      </c>
      <c r="D383" s="691">
        <v>38239</v>
      </c>
      <c r="E383" s="705" t="str">
        <f>Status!B4</f>
        <v>Concluído</v>
      </c>
      <c r="F383" s="705"/>
      <c r="G383" s="705"/>
    </row>
    <row r="384" spans="1:7" hidden="1">
      <c r="A384" s="698">
        <v>383</v>
      </c>
      <c r="B384" s="691">
        <v>38239</v>
      </c>
      <c r="C384" s="705" t="s">
        <v>26006</v>
      </c>
      <c r="D384" s="691">
        <v>38239</v>
      </c>
      <c r="E384" s="705" t="str">
        <f>Status!B4</f>
        <v>Concluído</v>
      </c>
      <c r="F384" s="705"/>
      <c r="G384" s="705"/>
    </row>
    <row r="385" spans="1:7" hidden="1">
      <c r="A385" s="698">
        <v>384</v>
      </c>
      <c r="B385" s="691">
        <v>38240</v>
      </c>
      <c r="C385" s="705" t="s">
        <v>26007</v>
      </c>
      <c r="D385" s="691">
        <v>38240</v>
      </c>
      <c r="E385" s="705" t="str">
        <f>Status!B4</f>
        <v>Concluído</v>
      </c>
      <c r="F385" s="705"/>
      <c r="G385" s="705"/>
    </row>
    <row r="386" spans="1:7" hidden="1">
      <c r="A386" s="698">
        <v>385</v>
      </c>
      <c r="B386" s="691">
        <v>38241</v>
      </c>
      <c r="C386" s="705" t="s">
        <v>26008</v>
      </c>
      <c r="D386" s="691">
        <v>38241</v>
      </c>
      <c r="E386" s="705" t="str">
        <f>Status!B4</f>
        <v>Concluído</v>
      </c>
      <c r="F386" s="705"/>
      <c r="G386" s="705"/>
    </row>
    <row r="387" spans="1:7" ht="25.5" hidden="1">
      <c r="A387" s="698">
        <v>386</v>
      </c>
      <c r="B387" s="691">
        <v>38240</v>
      </c>
      <c r="C387" s="705" t="s">
        <v>26009</v>
      </c>
      <c r="D387" s="691">
        <v>38240</v>
      </c>
      <c r="E387" s="705" t="str">
        <f>Status!B4</f>
        <v>Concluído</v>
      </c>
      <c r="F387" s="705"/>
      <c r="G387" s="705"/>
    </row>
    <row r="388" spans="1:7" ht="25.5" hidden="1">
      <c r="A388" s="698">
        <v>387</v>
      </c>
      <c r="B388" s="691">
        <v>38240</v>
      </c>
      <c r="C388" s="705" t="s">
        <v>26010</v>
      </c>
      <c r="D388" s="691"/>
      <c r="E388" s="705" t="str">
        <f>Status!B9</f>
        <v>Realização cancelada</v>
      </c>
      <c r="F388" s="705"/>
      <c r="G388" s="705"/>
    </row>
    <row r="389" spans="1:7" ht="25.5" hidden="1">
      <c r="A389" s="698">
        <v>388</v>
      </c>
      <c r="B389" s="691">
        <v>38241</v>
      </c>
      <c r="C389" s="705" t="s">
        <v>26011</v>
      </c>
      <c r="D389" s="691"/>
      <c r="E389" s="705" t="str">
        <f>Status!B9</f>
        <v>Realização cancelada</v>
      </c>
      <c r="F389" s="705"/>
      <c r="G389" s="705"/>
    </row>
    <row r="390" spans="1:7" ht="25.5" hidden="1">
      <c r="A390" s="698">
        <v>389</v>
      </c>
      <c r="B390" s="691">
        <v>38240</v>
      </c>
      <c r="C390" s="705" t="s">
        <v>26012</v>
      </c>
      <c r="D390" s="691">
        <v>38240</v>
      </c>
      <c r="E390" s="705" t="str">
        <f>Status!B4</f>
        <v>Concluído</v>
      </c>
      <c r="F390" s="705"/>
      <c r="G390" s="705"/>
    </row>
    <row r="391" spans="1:7" ht="25.5" hidden="1">
      <c r="A391" s="698">
        <v>390</v>
      </c>
      <c r="B391" s="691">
        <v>38240</v>
      </c>
      <c r="C391" s="705" t="s">
        <v>26013</v>
      </c>
      <c r="D391" s="691"/>
      <c r="E391" s="705" t="str">
        <f>Status!B9</f>
        <v>Realização cancelada</v>
      </c>
      <c r="F391" s="705"/>
      <c r="G391" s="705"/>
    </row>
    <row r="392" spans="1:7" ht="25.5" hidden="1">
      <c r="A392" s="698">
        <v>391</v>
      </c>
      <c r="B392" s="691">
        <v>38241</v>
      </c>
      <c r="C392" s="705" t="s">
        <v>26014</v>
      </c>
      <c r="D392" s="691">
        <v>38241</v>
      </c>
      <c r="E392" s="705" t="str">
        <f>Status!B4</f>
        <v>Concluído</v>
      </c>
      <c r="F392" s="705"/>
      <c r="G392" s="705"/>
    </row>
    <row r="393" spans="1:7" ht="25.5" hidden="1">
      <c r="A393" s="698">
        <v>392</v>
      </c>
      <c r="B393" s="691">
        <v>38243</v>
      </c>
      <c r="C393" s="705" t="s">
        <v>26015</v>
      </c>
      <c r="D393" s="691">
        <v>38244</v>
      </c>
      <c r="E393" s="705" t="str">
        <f>Status!B4</f>
        <v>Concluído</v>
      </c>
      <c r="F393" s="705"/>
      <c r="G393" s="705"/>
    </row>
    <row r="394" spans="1:7" hidden="1">
      <c r="A394" s="698">
        <v>393</v>
      </c>
      <c r="B394" s="691">
        <v>38264</v>
      </c>
      <c r="C394" s="705" t="s">
        <v>26016</v>
      </c>
      <c r="D394" s="691">
        <v>38264</v>
      </c>
      <c r="E394" s="705" t="str">
        <f>Status!B4</f>
        <v>Concluído</v>
      </c>
      <c r="F394" s="705" t="s">
        <v>26017</v>
      </c>
      <c r="G394" s="705"/>
    </row>
    <row r="395" spans="1:7" ht="25.5" hidden="1">
      <c r="A395" s="698">
        <v>394</v>
      </c>
      <c r="B395" s="691">
        <v>38264</v>
      </c>
      <c r="C395" s="705" t="s">
        <v>26018</v>
      </c>
      <c r="D395" s="691"/>
      <c r="E395" s="705" t="str">
        <f>Status!B4</f>
        <v>Concluído</v>
      </c>
      <c r="F395" s="705"/>
      <c r="G395" s="705"/>
    </row>
    <row r="396" spans="1:7" ht="25.5" hidden="1">
      <c r="A396" s="698">
        <v>395</v>
      </c>
      <c r="B396" s="691">
        <v>38264</v>
      </c>
      <c r="C396" s="705" t="s">
        <v>26019</v>
      </c>
      <c r="D396" s="691">
        <v>38271</v>
      </c>
      <c r="E396" s="705" t="str">
        <f>Status!B4</f>
        <v>Concluído</v>
      </c>
      <c r="F396" s="705"/>
      <c r="G396" s="705"/>
    </row>
    <row r="397" spans="1:7" ht="25.5" hidden="1">
      <c r="A397" s="698">
        <v>396</v>
      </c>
      <c r="B397" s="691">
        <v>38264</v>
      </c>
      <c r="C397" s="705" t="s">
        <v>26020</v>
      </c>
      <c r="D397" s="691">
        <v>38264</v>
      </c>
      <c r="E397" s="705" t="str">
        <f>Status!B4</f>
        <v>Concluído</v>
      </c>
      <c r="F397" s="705"/>
      <c r="G397" s="705"/>
    </row>
    <row r="398" spans="1:7" hidden="1">
      <c r="A398" s="698">
        <v>397</v>
      </c>
      <c r="B398" s="691">
        <v>38277</v>
      </c>
      <c r="C398" s="705" t="s">
        <v>26021</v>
      </c>
      <c r="D398" s="691">
        <v>38291</v>
      </c>
      <c r="E398" s="705" t="str">
        <f>Status!B4</f>
        <v>Concluído</v>
      </c>
      <c r="F398" s="705"/>
      <c r="G398" s="705"/>
    </row>
    <row r="399" spans="1:7" hidden="1">
      <c r="A399" s="698">
        <v>398</v>
      </c>
      <c r="B399" s="691">
        <v>38277</v>
      </c>
      <c r="C399" s="705" t="s">
        <v>26022</v>
      </c>
      <c r="D399" s="691">
        <v>38283</v>
      </c>
      <c r="E399" s="705" t="str">
        <f>Status!B4</f>
        <v>Concluído</v>
      </c>
      <c r="F399" s="705"/>
      <c r="G399" s="705"/>
    </row>
    <row r="400" spans="1:7" hidden="1">
      <c r="A400" s="698">
        <v>399</v>
      </c>
      <c r="B400" s="691">
        <v>38277</v>
      </c>
      <c r="C400" s="705" t="s">
        <v>25902</v>
      </c>
      <c r="D400" s="691">
        <v>38285</v>
      </c>
      <c r="E400" s="705" t="str">
        <f>Status!B4</f>
        <v>Concluído</v>
      </c>
      <c r="F400" s="705"/>
      <c r="G400" s="705"/>
    </row>
    <row r="401" spans="1:7" hidden="1">
      <c r="A401" s="698">
        <v>400</v>
      </c>
      <c r="B401" s="691">
        <v>38277</v>
      </c>
      <c r="C401" s="705" t="s">
        <v>26023</v>
      </c>
      <c r="D401" s="691">
        <v>38283</v>
      </c>
      <c r="E401" s="705" t="str">
        <f>Status!B4</f>
        <v>Concluído</v>
      </c>
      <c r="F401" s="705"/>
      <c r="G401" s="705"/>
    </row>
    <row r="402" spans="1:7" hidden="1">
      <c r="A402" s="698">
        <v>401</v>
      </c>
      <c r="B402" s="691">
        <v>38277</v>
      </c>
      <c r="C402" s="705" t="s">
        <v>26024</v>
      </c>
      <c r="D402" s="691">
        <v>38278</v>
      </c>
      <c r="E402" s="705" t="str">
        <f>Status!B4</f>
        <v>Concluído</v>
      </c>
      <c r="F402" s="705"/>
      <c r="G402" s="705"/>
    </row>
    <row r="403" spans="1:7" hidden="1">
      <c r="A403" s="698">
        <v>402</v>
      </c>
      <c r="B403" s="691">
        <v>38277</v>
      </c>
      <c r="C403" s="705" t="s">
        <v>26025</v>
      </c>
      <c r="D403" s="691">
        <v>38544</v>
      </c>
      <c r="E403" s="705" t="str">
        <f>Status!B4</f>
        <v>Concluído</v>
      </c>
      <c r="F403" s="705" t="s">
        <v>26026</v>
      </c>
      <c r="G403" s="705"/>
    </row>
    <row r="404" spans="1:7" hidden="1">
      <c r="A404" s="698">
        <v>403</v>
      </c>
      <c r="B404" s="691">
        <v>38277</v>
      </c>
      <c r="C404" s="705" t="s">
        <v>26027</v>
      </c>
      <c r="D404" s="691">
        <v>38320</v>
      </c>
      <c r="E404" s="705" t="str">
        <f>Status!B4</f>
        <v>Concluído</v>
      </c>
      <c r="F404" s="705"/>
      <c r="G404" s="705"/>
    </row>
    <row r="405" spans="1:7" ht="25.5" hidden="1">
      <c r="A405" s="698">
        <v>404</v>
      </c>
      <c r="B405" s="691">
        <v>38277</v>
      </c>
      <c r="C405" s="705" t="s">
        <v>26028</v>
      </c>
      <c r="D405" s="691">
        <v>38309</v>
      </c>
      <c r="E405" s="705" t="str">
        <f>Status!B4</f>
        <v>Concluído</v>
      </c>
      <c r="F405" s="705"/>
      <c r="G405" s="705"/>
    </row>
    <row r="406" spans="1:7" ht="12.75" hidden="1" customHeight="1">
      <c r="A406" s="698">
        <v>405</v>
      </c>
      <c r="B406" s="691">
        <v>38277</v>
      </c>
      <c r="C406" s="705" t="s">
        <v>26029</v>
      </c>
      <c r="D406" s="691">
        <v>38281</v>
      </c>
      <c r="E406" s="705" t="str">
        <f>Status!B4</f>
        <v>Concluído</v>
      </c>
      <c r="F406" s="705" t="s">
        <v>26030</v>
      </c>
      <c r="G406" s="705"/>
    </row>
    <row r="407" spans="1:7" hidden="1">
      <c r="A407" s="698">
        <v>406</v>
      </c>
      <c r="B407" s="691">
        <v>38277</v>
      </c>
      <c r="C407" s="705" t="s">
        <v>26031</v>
      </c>
      <c r="D407" s="691">
        <v>38278</v>
      </c>
      <c r="E407" s="705" t="str">
        <f>Status!B4</f>
        <v>Concluído</v>
      </c>
      <c r="F407" s="705"/>
      <c r="G407" s="705"/>
    </row>
    <row r="408" spans="1:7" hidden="1">
      <c r="A408" s="698">
        <v>407</v>
      </c>
      <c r="B408" s="691">
        <v>38277</v>
      </c>
      <c r="C408" s="705" t="s">
        <v>26032</v>
      </c>
      <c r="D408" s="691">
        <v>38291</v>
      </c>
      <c r="E408" s="705" t="str">
        <f>Status!B4</f>
        <v>Concluído</v>
      </c>
      <c r="F408" s="705"/>
      <c r="G408" s="705"/>
    </row>
    <row r="409" spans="1:7" hidden="1">
      <c r="A409" s="698">
        <v>408</v>
      </c>
      <c r="B409" s="691">
        <v>38277</v>
      </c>
      <c r="C409" s="705" t="s">
        <v>26033</v>
      </c>
      <c r="D409" s="691">
        <v>38279</v>
      </c>
      <c r="E409" s="705" t="str">
        <f>Status!B4</f>
        <v>Concluído</v>
      </c>
      <c r="F409" s="705" t="s">
        <v>26034</v>
      </c>
      <c r="G409" s="705"/>
    </row>
    <row r="410" spans="1:7" ht="25.5" hidden="1">
      <c r="A410" s="698">
        <v>409</v>
      </c>
      <c r="B410" s="691">
        <v>38277</v>
      </c>
      <c r="C410" s="705" t="s">
        <v>26035</v>
      </c>
      <c r="D410" s="691"/>
      <c r="E410" s="705" t="str">
        <f>Status!B9</f>
        <v>Realização cancelada</v>
      </c>
      <c r="F410" s="705"/>
      <c r="G410" s="705"/>
    </row>
    <row r="411" spans="1:7" hidden="1">
      <c r="A411" s="698">
        <v>410</v>
      </c>
      <c r="B411" s="691">
        <v>38278</v>
      </c>
      <c r="C411" s="705" t="s">
        <v>26036</v>
      </c>
      <c r="D411" s="691">
        <v>38278</v>
      </c>
      <c r="E411" s="705" t="str">
        <f>Status!B4</f>
        <v>Concluído</v>
      </c>
      <c r="F411" s="705" t="s">
        <v>26037</v>
      </c>
      <c r="G411" s="705"/>
    </row>
    <row r="412" spans="1:7" ht="25.5" hidden="1">
      <c r="A412" s="698">
        <v>411</v>
      </c>
      <c r="B412" s="691">
        <v>38278</v>
      </c>
      <c r="C412" s="705" t="s">
        <v>26038</v>
      </c>
      <c r="D412" s="691">
        <v>38279</v>
      </c>
      <c r="E412" s="705" t="str">
        <f>Status!B4</f>
        <v>Concluído</v>
      </c>
      <c r="F412" s="705" t="s">
        <v>26039</v>
      </c>
      <c r="G412" s="705"/>
    </row>
    <row r="413" spans="1:7" ht="25.5" hidden="1">
      <c r="A413" s="698">
        <v>412</v>
      </c>
      <c r="B413" s="691">
        <v>38278</v>
      </c>
      <c r="C413" s="705" t="s">
        <v>26040</v>
      </c>
      <c r="D413" s="691">
        <v>38278</v>
      </c>
      <c r="E413" s="705" t="str">
        <f>Status!B4</f>
        <v>Concluído</v>
      </c>
      <c r="F413" s="705"/>
      <c r="G413" s="705"/>
    </row>
    <row r="414" spans="1:7" ht="25.5" hidden="1">
      <c r="A414" s="698">
        <v>413</v>
      </c>
      <c r="B414" s="691">
        <v>38278</v>
      </c>
      <c r="C414" s="705" t="s">
        <v>26041</v>
      </c>
      <c r="D414" s="691">
        <v>38278</v>
      </c>
      <c r="E414" s="705" t="str">
        <f>Status!B4</f>
        <v>Concluído</v>
      </c>
      <c r="F414" s="705" t="s">
        <v>26042</v>
      </c>
      <c r="G414" s="705" t="s">
        <v>26043</v>
      </c>
    </row>
    <row r="415" spans="1:7" ht="25.5" hidden="1">
      <c r="A415" s="698">
        <v>414</v>
      </c>
      <c r="B415" s="691">
        <v>38278</v>
      </c>
      <c r="C415" s="705" t="s">
        <v>26044</v>
      </c>
      <c r="D415" s="691">
        <v>38278</v>
      </c>
      <c r="E415" s="705" t="str">
        <f>Status!B4</f>
        <v>Concluído</v>
      </c>
      <c r="F415" s="705" t="s">
        <v>26045</v>
      </c>
      <c r="G415" s="705" t="s">
        <v>26046</v>
      </c>
    </row>
    <row r="416" spans="1:7" ht="25.5" hidden="1">
      <c r="A416" s="698">
        <v>415</v>
      </c>
      <c r="B416" s="691">
        <v>38278</v>
      </c>
      <c r="C416" s="705" t="s">
        <v>26047</v>
      </c>
      <c r="D416" s="691">
        <v>38278</v>
      </c>
      <c r="E416" s="705" t="str">
        <f>Status!B4</f>
        <v>Concluído</v>
      </c>
      <c r="F416" s="705"/>
      <c r="G416" s="705"/>
    </row>
    <row r="417" spans="1:7" hidden="1">
      <c r="A417" s="698">
        <v>416</v>
      </c>
      <c r="B417" s="691">
        <v>38278</v>
      </c>
      <c r="C417" s="705" t="s">
        <v>26048</v>
      </c>
      <c r="D417" s="691">
        <v>38278</v>
      </c>
      <c r="E417" s="705" t="str">
        <f>Status!B4</f>
        <v>Concluído</v>
      </c>
      <c r="F417" s="705"/>
      <c r="G417" s="705"/>
    </row>
    <row r="418" spans="1:7" ht="25.5" hidden="1">
      <c r="A418" s="698">
        <v>417</v>
      </c>
      <c r="B418" s="691">
        <v>38278</v>
      </c>
      <c r="C418" s="705" t="s">
        <v>26049</v>
      </c>
      <c r="D418" s="691">
        <v>38279</v>
      </c>
      <c r="E418" s="705" t="str">
        <f>Status!B4</f>
        <v>Concluído</v>
      </c>
      <c r="F418" s="705"/>
      <c r="G418" s="705"/>
    </row>
    <row r="419" spans="1:7" hidden="1">
      <c r="A419" s="698">
        <v>418</v>
      </c>
      <c r="B419" s="691">
        <v>38278</v>
      </c>
      <c r="C419" s="705" t="s">
        <v>26050</v>
      </c>
      <c r="D419" s="691">
        <v>38279</v>
      </c>
      <c r="E419" s="705" t="str">
        <f>Status!B4</f>
        <v>Concluído</v>
      </c>
      <c r="F419" s="705"/>
      <c r="G419" s="705"/>
    </row>
    <row r="420" spans="1:7" ht="25.5" hidden="1">
      <c r="A420" s="698">
        <v>419</v>
      </c>
      <c r="B420" s="691">
        <v>38278</v>
      </c>
      <c r="C420" s="705" t="s">
        <v>26051</v>
      </c>
      <c r="D420" s="691">
        <v>38280</v>
      </c>
      <c r="E420" s="705" t="str">
        <f>Status!B4</f>
        <v>Concluído</v>
      </c>
      <c r="F420" s="705"/>
      <c r="G420" s="705"/>
    </row>
    <row r="421" spans="1:7" ht="25.5" hidden="1">
      <c r="A421" s="698">
        <v>420</v>
      </c>
      <c r="B421" s="691">
        <v>38278</v>
      </c>
      <c r="C421" s="705" t="s">
        <v>26052</v>
      </c>
      <c r="D421" s="691">
        <v>38280</v>
      </c>
      <c r="E421" s="705" t="str">
        <f>Status!B4</f>
        <v>Concluído</v>
      </c>
      <c r="F421" s="705"/>
      <c r="G421" s="705"/>
    </row>
    <row r="422" spans="1:7" hidden="1">
      <c r="A422" s="698">
        <v>421</v>
      </c>
      <c r="B422" s="691">
        <v>38280</v>
      </c>
      <c r="C422" s="705" t="s">
        <v>26053</v>
      </c>
      <c r="D422" s="691">
        <v>38280</v>
      </c>
      <c r="E422" s="705" t="str">
        <f>Status!B4</f>
        <v>Concluído</v>
      </c>
      <c r="F422" s="705"/>
      <c r="G422" s="705"/>
    </row>
    <row r="423" spans="1:7" ht="25.5" hidden="1">
      <c r="A423" s="698">
        <v>422</v>
      </c>
      <c r="B423" s="691">
        <v>38280</v>
      </c>
      <c r="C423" s="705" t="s">
        <v>26054</v>
      </c>
      <c r="D423" s="691">
        <v>38280</v>
      </c>
      <c r="E423" s="705" t="str">
        <f>Status!B4</f>
        <v>Concluído</v>
      </c>
      <c r="F423" s="705"/>
      <c r="G423" s="705"/>
    </row>
    <row r="424" spans="1:7" ht="25.5" hidden="1">
      <c r="A424" s="698">
        <v>423</v>
      </c>
      <c r="B424" s="691">
        <v>38280</v>
      </c>
      <c r="C424" s="705" t="s">
        <v>26055</v>
      </c>
      <c r="D424" s="691">
        <v>38280</v>
      </c>
      <c r="E424" s="705" t="str">
        <f>Status!B4</f>
        <v>Concluído</v>
      </c>
      <c r="F424" s="705"/>
      <c r="G424" s="705"/>
    </row>
    <row r="425" spans="1:7" ht="12.75" hidden="1" customHeight="1">
      <c r="A425" s="698">
        <v>424</v>
      </c>
      <c r="B425" s="691">
        <v>38280</v>
      </c>
      <c r="C425" s="705" t="s">
        <v>26056</v>
      </c>
      <c r="D425" s="691">
        <v>38280</v>
      </c>
      <c r="E425" s="705" t="str">
        <f>Status!B4</f>
        <v>Concluído</v>
      </c>
      <c r="F425" s="705"/>
      <c r="G425" s="705"/>
    </row>
    <row r="426" spans="1:7" ht="25.5" hidden="1">
      <c r="A426" s="698">
        <v>425</v>
      </c>
      <c r="B426" s="691">
        <v>38284</v>
      </c>
      <c r="C426" s="705" t="s">
        <v>25752</v>
      </c>
      <c r="D426" s="691">
        <v>38291</v>
      </c>
      <c r="E426" s="705" t="str">
        <f>Status!B4</f>
        <v>Concluído</v>
      </c>
      <c r="F426" s="705"/>
      <c r="G426" s="705"/>
    </row>
    <row r="427" spans="1:7" ht="38.25" hidden="1">
      <c r="A427" s="698">
        <v>426</v>
      </c>
      <c r="B427" s="691">
        <v>38284</v>
      </c>
      <c r="C427" s="705" t="s">
        <v>26057</v>
      </c>
      <c r="D427" s="691">
        <v>38285</v>
      </c>
      <c r="E427" s="705" t="str">
        <f>Status!B4</f>
        <v>Concluído</v>
      </c>
      <c r="F427" s="705"/>
      <c r="G427" s="705"/>
    </row>
    <row r="428" spans="1:7" hidden="1">
      <c r="A428" s="698">
        <v>427</v>
      </c>
      <c r="B428" s="691">
        <v>38284</v>
      </c>
      <c r="C428" s="705" t="s">
        <v>26058</v>
      </c>
      <c r="D428" s="691">
        <v>38294</v>
      </c>
      <c r="E428" s="705" t="str">
        <f>Status!B4</f>
        <v>Concluído</v>
      </c>
      <c r="F428" s="705" t="s">
        <v>26059</v>
      </c>
      <c r="G428" s="705"/>
    </row>
    <row r="429" spans="1:7" hidden="1">
      <c r="A429" s="698">
        <v>428</v>
      </c>
      <c r="B429" s="691">
        <v>38288</v>
      </c>
      <c r="C429" s="705" t="s">
        <v>26060</v>
      </c>
      <c r="D429" s="691">
        <v>38288</v>
      </c>
      <c r="E429" s="705" t="str">
        <f>Status!B4</f>
        <v>Concluído</v>
      </c>
      <c r="F429" s="705"/>
      <c r="G429" s="705"/>
    </row>
    <row r="430" spans="1:7" ht="25.5" hidden="1">
      <c r="A430" s="698">
        <v>429</v>
      </c>
      <c r="B430" s="691">
        <v>38288</v>
      </c>
      <c r="C430" s="705" t="s">
        <v>26061</v>
      </c>
      <c r="D430" s="691" t="s">
        <v>26062</v>
      </c>
      <c r="E430" s="705" t="str">
        <f>Status!B4</f>
        <v>Concluído</v>
      </c>
      <c r="F430" s="705"/>
      <c r="G430" s="705"/>
    </row>
    <row r="431" spans="1:7" ht="25.5" hidden="1">
      <c r="A431" s="698">
        <v>430</v>
      </c>
      <c r="B431" s="691">
        <v>38285</v>
      </c>
      <c r="C431" s="705" t="s">
        <v>26063</v>
      </c>
      <c r="D431" s="691" t="s">
        <v>26064</v>
      </c>
      <c r="E431" s="705" t="str">
        <f>Status!B4</f>
        <v>Concluído</v>
      </c>
      <c r="F431" s="705"/>
      <c r="G431" s="705"/>
    </row>
    <row r="432" spans="1:7" ht="12.75" hidden="1" customHeight="1">
      <c r="A432" s="698">
        <v>431</v>
      </c>
      <c r="B432" s="691">
        <v>38118</v>
      </c>
      <c r="C432" s="705" t="s">
        <v>26065</v>
      </c>
      <c r="D432" s="691"/>
      <c r="E432" s="705" t="str">
        <f>Status!B9</f>
        <v>Realização cancelada</v>
      </c>
      <c r="F432" s="705" t="s">
        <v>26066</v>
      </c>
      <c r="G432" s="705" t="s">
        <v>26067</v>
      </c>
    </row>
    <row r="433" spans="1:7" hidden="1">
      <c r="A433" s="698">
        <v>432</v>
      </c>
      <c r="B433" s="691">
        <v>38290</v>
      </c>
      <c r="C433" s="705" t="s">
        <v>26068</v>
      </c>
      <c r="D433" s="691">
        <v>38289</v>
      </c>
      <c r="E433" s="705" t="str">
        <f>Status!B4</f>
        <v>Concluído</v>
      </c>
      <c r="F433" s="705"/>
      <c r="G433" s="705"/>
    </row>
    <row r="434" spans="1:7" hidden="1">
      <c r="A434" s="698">
        <v>433</v>
      </c>
      <c r="B434" s="691">
        <v>38292</v>
      </c>
      <c r="C434" s="705" t="s">
        <v>26007</v>
      </c>
      <c r="D434" s="691"/>
      <c r="E434" s="705" t="str">
        <f>Status!B4</f>
        <v>Concluído</v>
      </c>
      <c r="F434" s="705"/>
      <c r="G434" s="705"/>
    </row>
    <row r="435" spans="1:7" hidden="1">
      <c r="A435" s="698">
        <v>434</v>
      </c>
      <c r="B435" s="691">
        <v>38292</v>
      </c>
      <c r="C435" s="705" t="s">
        <v>26069</v>
      </c>
      <c r="D435" s="691"/>
      <c r="E435" s="705" t="str">
        <f>Status!B4</f>
        <v>Concluído</v>
      </c>
      <c r="F435" s="705"/>
      <c r="G435" s="705"/>
    </row>
    <row r="436" spans="1:7" hidden="1">
      <c r="A436" s="698">
        <v>435</v>
      </c>
      <c r="B436" s="691">
        <v>38292</v>
      </c>
      <c r="C436" s="705" t="s">
        <v>26070</v>
      </c>
      <c r="D436" s="691"/>
      <c r="E436" s="705" t="str">
        <f>Status!B4</f>
        <v>Concluído</v>
      </c>
      <c r="F436" s="705"/>
      <c r="G436" s="705"/>
    </row>
    <row r="437" spans="1:7" ht="25.5" hidden="1">
      <c r="A437" s="698">
        <v>436</v>
      </c>
      <c r="B437" s="691">
        <v>38292</v>
      </c>
      <c r="C437" s="705" t="s">
        <v>26071</v>
      </c>
      <c r="D437" s="691">
        <v>38210</v>
      </c>
      <c r="E437" s="705" t="str">
        <f>Status!B9</f>
        <v>Realização cancelada</v>
      </c>
      <c r="F437" s="705" t="s">
        <v>26072</v>
      </c>
      <c r="G437" s="705"/>
    </row>
    <row r="438" spans="1:7" ht="38.25" hidden="1">
      <c r="A438" s="698">
        <v>437</v>
      </c>
      <c r="B438" s="691">
        <v>38292</v>
      </c>
      <c r="C438" s="705" t="s">
        <v>26073</v>
      </c>
      <c r="D438" s="691"/>
      <c r="E438" s="705" t="str">
        <f>Status!B4</f>
        <v>Concluído</v>
      </c>
      <c r="F438" s="705" t="s">
        <v>26074</v>
      </c>
      <c r="G438" s="705"/>
    </row>
    <row r="439" spans="1:7" ht="38.25" hidden="1">
      <c r="A439" s="698">
        <v>438</v>
      </c>
      <c r="B439" s="691">
        <v>38320</v>
      </c>
      <c r="C439" s="705" t="s">
        <v>26075</v>
      </c>
      <c r="D439" s="691">
        <v>38311</v>
      </c>
      <c r="E439" s="705" t="str">
        <f>Status!B4</f>
        <v>Concluído</v>
      </c>
      <c r="F439" s="705"/>
      <c r="G439" s="705"/>
    </row>
    <row r="440" spans="1:7" ht="25.5" hidden="1">
      <c r="A440" s="698">
        <v>439</v>
      </c>
      <c r="B440" s="691">
        <v>38292</v>
      </c>
      <c r="C440" s="705" t="s">
        <v>26076</v>
      </c>
      <c r="D440" s="691">
        <v>38292</v>
      </c>
      <c r="E440" s="705" t="str">
        <f>Status!B4</f>
        <v>Concluído</v>
      </c>
      <c r="F440" s="705"/>
      <c r="G440" s="705"/>
    </row>
    <row r="441" spans="1:7" ht="38.25" hidden="1">
      <c r="A441" s="698">
        <v>440</v>
      </c>
      <c r="B441" s="691">
        <v>38295</v>
      </c>
      <c r="C441" s="705" t="s">
        <v>26077</v>
      </c>
      <c r="D441" s="691">
        <v>38295</v>
      </c>
      <c r="E441" s="705" t="str">
        <f>Status!B4</f>
        <v>Concluído</v>
      </c>
      <c r="F441" s="705"/>
      <c r="G441" s="705"/>
    </row>
    <row r="442" spans="1:7" ht="25.5" hidden="1">
      <c r="A442" s="698">
        <v>441</v>
      </c>
      <c r="B442" s="691">
        <v>38295</v>
      </c>
      <c r="C442" s="705" t="s">
        <v>26078</v>
      </c>
      <c r="D442" s="691">
        <v>38295</v>
      </c>
      <c r="E442" s="705" t="str">
        <f>Status!B4</f>
        <v>Concluído</v>
      </c>
      <c r="F442" s="705"/>
      <c r="G442" s="705"/>
    </row>
    <row r="443" spans="1:7" hidden="1">
      <c r="A443" s="698">
        <v>442</v>
      </c>
      <c r="B443" s="691">
        <v>38295</v>
      </c>
      <c r="C443" s="705" t="s">
        <v>26079</v>
      </c>
      <c r="D443" s="691">
        <v>38295</v>
      </c>
      <c r="E443" s="705" t="str">
        <f>Status!B4</f>
        <v>Concluído</v>
      </c>
      <c r="F443" s="705"/>
      <c r="G443" s="705"/>
    </row>
    <row r="444" spans="1:7" ht="51" hidden="1">
      <c r="A444" s="698">
        <v>443</v>
      </c>
      <c r="B444" s="691">
        <v>38296</v>
      </c>
      <c r="C444" s="705" t="s">
        <v>26080</v>
      </c>
      <c r="D444" s="691">
        <v>38296</v>
      </c>
      <c r="E444" s="705" t="str">
        <f>Status!B4</f>
        <v>Concluído</v>
      </c>
      <c r="F444" s="705"/>
      <c r="G444" s="705"/>
    </row>
    <row r="445" spans="1:7" hidden="1">
      <c r="A445" s="698">
        <v>444</v>
      </c>
      <c r="B445" s="691">
        <v>38301</v>
      </c>
      <c r="C445" s="705" t="s">
        <v>26081</v>
      </c>
      <c r="D445" s="691">
        <v>38303</v>
      </c>
      <c r="E445" s="705" t="str">
        <f>Status!B4</f>
        <v>Concluído</v>
      </c>
      <c r="F445" s="705"/>
      <c r="G445" s="705"/>
    </row>
    <row r="446" spans="1:7" ht="25.5" hidden="1">
      <c r="A446" s="698">
        <v>445</v>
      </c>
      <c r="B446" s="691">
        <v>38335</v>
      </c>
      <c r="C446" s="705" t="s">
        <v>26082</v>
      </c>
      <c r="D446" s="691">
        <v>38336</v>
      </c>
      <c r="E446" s="705" t="str">
        <f>Status!B4</f>
        <v>Concluído</v>
      </c>
      <c r="F446" s="705"/>
      <c r="G446" s="705"/>
    </row>
    <row r="447" spans="1:7" hidden="1">
      <c r="A447" s="698">
        <v>446</v>
      </c>
      <c r="B447" s="691">
        <v>38335</v>
      </c>
      <c r="C447" s="705" t="s">
        <v>26083</v>
      </c>
      <c r="D447" s="691">
        <v>38335</v>
      </c>
      <c r="E447" s="705" t="str">
        <f>Status!B4</f>
        <v>Concluído</v>
      </c>
      <c r="F447" s="705"/>
      <c r="G447" s="705"/>
    </row>
    <row r="448" spans="1:7" ht="25.5" hidden="1">
      <c r="A448" s="698">
        <v>447</v>
      </c>
      <c r="B448" s="691">
        <v>38335</v>
      </c>
      <c r="C448" s="705" t="s">
        <v>26084</v>
      </c>
      <c r="D448" s="691">
        <v>38336</v>
      </c>
      <c r="E448" s="705" t="str">
        <f>Status!B4</f>
        <v>Concluído</v>
      </c>
      <c r="F448" s="705"/>
      <c r="G448" s="705"/>
    </row>
    <row r="449" spans="1:7" hidden="1">
      <c r="A449" s="698">
        <v>448</v>
      </c>
      <c r="B449" s="691">
        <v>38364</v>
      </c>
      <c r="C449" s="705" t="s">
        <v>26085</v>
      </c>
      <c r="D449" s="691">
        <v>38381</v>
      </c>
      <c r="E449" s="705" t="str">
        <f>Status!B4</f>
        <v>Concluído</v>
      </c>
      <c r="F449" s="705"/>
      <c r="G449" s="705"/>
    </row>
    <row r="450" spans="1:7" ht="25.5" hidden="1">
      <c r="A450" s="698">
        <v>449</v>
      </c>
      <c r="B450" s="691">
        <v>38364</v>
      </c>
      <c r="C450" s="705" t="s">
        <v>26086</v>
      </c>
      <c r="D450" s="691">
        <v>38381</v>
      </c>
      <c r="E450" s="705" t="str">
        <f>Status!B4</f>
        <v>Concluído</v>
      </c>
      <c r="F450" s="705"/>
      <c r="G450" s="705"/>
    </row>
    <row r="451" spans="1:7" hidden="1">
      <c r="A451" s="698">
        <v>450</v>
      </c>
      <c r="B451" s="691">
        <v>38366</v>
      </c>
      <c r="C451" s="705" t="s">
        <v>26087</v>
      </c>
      <c r="D451" s="691">
        <v>38366</v>
      </c>
      <c r="E451" s="705" t="str">
        <f>Status!B4</f>
        <v>Concluído</v>
      </c>
      <c r="F451" s="705"/>
      <c r="G451" s="705"/>
    </row>
    <row r="452" spans="1:7" hidden="1">
      <c r="A452" s="698">
        <v>451</v>
      </c>
      <c r="B452" s="691">
        <v>38391</v>
      </c>
      <c r="C452" s="705" t="s">
        <v>26088</v>
      </c>
      <c r="D452" s="691">
        <v>38398</v>
      </c>
      <c r="E452" s="705" t="str">
        <f>Status!B4</f>
        <v>Concluído</v>
      </c>
      <c r="F452" s="705" t="s">
        <v>26089</v>
      </c>
      <c r="G452" s="705"/>
    </row>
    <row r="453" spans="1:7" hidden="1">
      <c r="A453" s="698">
        <v>452</v>
      </c>
      <c r="B453" s="691">
        <v>38364</v>
      </c>
      <c r="C453" s="705" t="s">
        <v>26090</v>
      </c>
      <c r="D453" s="691">
        <v>38373</v>
      </c>
      <c r="E453" s="705" t="str">
        <f>Status!B4</f>
        <v>Concluído</v>
      </c>
      <c r="F453" s="705"/>
      <c r="G453" s="705"/>
    </row>
    <row r="454" spans="1:7" ht="25.5" hidden="1">
      <c r="A454" s="698">
        <v>453</v>
      </c>
      <c r="B454" s="691">
        <v>38364</v>
      </c>
      <c r="C454" s="705" t="s">
        <v>26091</v>
      </c>
      <c r="D454" s="691">
        <v>38369</v>
      </c>
      <c r="E454" s="705" t="str">
        <f>Status!B4</f>
        <v>Concluído</v>
      </c>
      <c r="F454" s="705"/>
      <c r="G454" s="705"/>
    </row>
    <row r="455" spans="1:7" hidden="1">
      <c r="A455" s="698">
        <v>454</v>
      </c>
      <c r="B455" s="691">
        <v>38364</v>
      </c>
      <c r="C455" s="705" t="s">
        <v>26092</v>
      </c>
      <c r="D455" s="691">
        <v>38366</v>
      </c>
      <c r="E455" s="705" t="str">
        <f>Status!B4</f>
        <v>Concluído</v>
      </c>
      <c r="F455" s="705"/>
      <c r="G455" s="705"/>
    </row>
    <row r="456" spans="1:7" ht="25.5" hidden="1">
      <c r="A456" s="698">
        <v>455</v>
      </c>
      <c r="B456" s="691">
        <v>38364</v>
      </c>
      <c r="C456" s="705" t="s">
        <v>26093</v>
      </c>
      <c r="D456" s="691"/>
      <c r="E456" s="705" t="str">
        <f>Status!B9</f>
        <v>Realização cancelada</v>
      </c>
      <c r="F456" s="705"/>
      <c r="G456" s="705"/>
    </row>
    <row r="457" spans="1:7" ht="38.25" hidden="1">
      <c r="A457" s="698">
        <v>456</v>
      </c>
      <c r="B457" s="691">
        <v>38364</v>
      </c>
      <c r="C457" s="705" t="s">
        <v>26094</v>
      </c>
      <c r="D457" s="691">
        <v>38366</v>
      </c>
      <c r="E457" s="705" t="str">
        <f>Status!B4</f>
        <v>Concluído</v>
      </c>
      <c r="F457" s="705"/>
      <c r="G457" s="705"/>
    </row>
    <row r="458" spans="1:7" ht="25.5" hidden="1">
      <c r="A458" s="698">
        <v>457</v>
      </c>
      <c r="B458" s="691">
        <v>38364</v>
      </c>
      <c r="C458" s="705" t="s">
        <v>26095</v>
      </c>
      <c r="D458" s="691">
        <v>38370</v>
      </c>
      <c r="E458" s="705" t="str">
        <f>Status!B4</f>
        <v>Concluído</v>
      </c>
      <c r="F458" s="705"/>
      <c r="G458" s="705"/>
    </row>
    <row r="459" spans="1:7" ht="25.5" hidden="1">
      <c r="A459" s="698">
        <v>458</v>
      </c>
      <c r="B459" s="691">
        <v>38364</v>
      </c>
      <c r="C459" s="705" t="s">
        <v>26096</v>
      </c>
      <c r="D459" s="691">
        <v>38370</v>
      </c>
      <c r="E459" s="705" t="str">
        <f>Status!B4</f>
        <v>Concluído</v>
      </c>
      <c r="F459" s="705"/>
      <c r="G459" s="705"/>
    </row>
    <row r="460" spans="1:7" ht="25.5" hidden="1">
      <c r="A460" s="698">
        <v>459</v>
      </c>
      <c r="B460" s="691">
        <v>38364</v>
      </c>
      <c r="C460" s="705" t="s">
        <v>26097</v>
      </c>
      <c r="D460" s="691">
        <v>38380</v>
      </c>
      <c r="E460" s="705" t="str">
        <f>Status!B4</f>
        <v>Concluído</v>
      </c>
      <c r="F460" s="705"/>
      <c r="G460" s="705"/>
    </row>
    <row r="461" spans="1:7" ht="25.5" hidden="1">
      <c r="A461" s="698">
        <v>460</v>
      </c>
      <c r="B461" s="691">
        <v>38372</v>
      </c>
      <c r="C461" s="705" t="s">
        <v>26098</v>
      </c>
      <c r="D461" s="691">
        <v>38373</v>
      </c>
      <c r="E461" s="705" t="str">
        <f>Status!B4</f>
        <v>Concluído</v>
      </c>
      <c r="F461" s="705"/>
      <c r="G461" s="705"/>
    </row>
    <row r="462" spans="1:7" hidden="1">
      <c r="A462" s="698">
        <v>461</v>
      </c>
      <c r="B462" s="691">
        <v>38373</v>
      </c>
      <c r="C462" s="705" t="s">
        <v>26099</v>
      </c>
      <c r="D462" s="691">
        <v>38373</v>
      </c>
      <c r="E462" s="705" t="str">
        <f>Status!B4</f>
        <v>Concluído</v>
      </c>
      <c r="F462" s="705"/>
      <c r="G462" s="705"/>
    </row>
    <row r="463" spans="1:7" ht="12.75" hidden="1" customHeight="1">
      <c r="A463" s="698">
        <v>462</v>
      </c>
      <c r="B463" s="691">
        <v>38366</v>
      </c>
      <c r="C463" s="705" t="s">
        <v>26100</v>
      </c>
      <c r="D463" s="691">
        <v>38399</v>
      </c>
      <c r="E463" s="705" t="str">
        <f>Status!B4</f>
        <v>Concluído</v>
      </c>
      <c r="F463" s="705"/>
      <c r="G463" s="705"/>
    </row>
    <row r="464" spans="1:7" ht="25.5" hidden="1">
      <c r="A464" s="698">
        <v>463</v>
      </c>
      <c r="B464" s="691">
        <v>38398</v>
      </c>
      <c r="C464" s="705" t="s">
        <v>26101</v>
      </c>
      <c r="D464" s="691">
        <v>38406</v>
      </c>
      <c r="E464" s="705" t="str">
        <f>Status!B4</f>
        <v>Concluído</v>
      </c>
      <c r="F464" s="705"/>
      <c r="G464" s="705"/>
    </row>
    <row r="465" spans="1:7" ht="25.5" hidden="1">
      <c r="A465" s="698">
        <v>464</v>
      </c>
      <c r="B465" s="691">
        <v>38398</v>
      </c>
      <c r="C465" s="705" t="s">
        <v>26102</v>
      </c>
      <c r="D465" s="691"/>
      <c r="E465" s="705" t="str">
        <f>Status!B9</f>
        <v>Realização cancelada</v>
      </c>
      <c r="F465" s="705"/>
      <c r="G465" s="705"/>
    </row>
    <row r="466" spans="1:7" ht="25.5" hidden="1">
      <c r="A466" s="698">
        <v>465</v>
      </c>
      <c r="B466" s="691">
        <v>38398</v>
      </c>
      <c r="C466" s="705" t="s">
        <v>26103</v>
      </c>
      <c r="D466" s="691"/>
      <c r="E466" s="705" t="str">
        <f>Status!B9</f>
        <v>Realização cancelada</v>
      </c>
      <c r="F466" s="705" t="s">
        <v>26104</v>
      </c>
      <c r="G466" s="705"/>
    </row>
    <row r="467" spans="1:7" ht="25.5" hidden="1">
      <c r="A467" s="698">
        <v>466</v>
      </c>
      <c r="B467" s="691">
        <v>38398</v>
      </c>
      <c r="C467" s="705" t="s">
        <v>26105</v>
      </c>
      <c r="D467" s="691">
        <v>38425</v>
      </c>
      <c r="E467" s="705" t="str">
        <f>Status!B4</f>
        <v>Concluído</v>
      </c>
      <c r="F467" s="705"/>
      <c r="G467" s="705"/>
    </row>
    <row r="468" spans="1:7" hidden="1">
      <c r="A468" s="698">
        <v>467</v>
      </c>
      <c r="B468" s="691">
        <v>38398</v>
      </c>
      <c r="C468" s="705" t="s">
        <v>26106</v>
      </c>
      <c r="D468" s="691">
        <v>38404</v>
      </c>
      <c r="E468" s="705" t="str">
        <f>Status!B4</f>
        <v>Concluído</v>
      </c>
      <c r="F468" s="705"/>
      <c r="G468" s="705"/>
    </row>
    <row r="469" spans="1:7" hidden="1">
      <c r="A469" s="698">
        <v>468</v>
      </c>
      <c r="B469" s="691">
        <v>38398</v>
      </c>
      <c r="C469" s="705" t="s">
        <v>26107</v>
      </c>
      <c r="D469" s="691">
        <v>38425</v>
      </c>
      <c r="E469" s="705" t="str">
        <f>Status!B4</f>
        <v>Concluído</v>
      </c>
      <c r="F469" s="705"/>
      <c r="G469" s="705"/>
    </row>
    <row r="470" spans="1:7" hidden="1">
      <c r="A470" s="698">
        <v>469</v>
      </c>
      <c r="B470" s="691">
        <v>38398</v>
      </c>
      <c r="C470" s="705" t="s">
        <v>26108</v>
      </c>
      <c r="D470" s="691">
        <v>38425</v>
      </c>
      <c r="E470" s="705" t="str">
        <f>Status!B4</f>
        <v>Concluído</v>
      </c>
      <c r="F470" s="705"/>
      <c r="G470" s="705"/>
    </row>
    <row r="471" spans="1:7" hidden="1">
      <c r="A471" s="698">
        <v>470</v>
      </c>
      <c r="B471" s="691">
        <v>38398</v>
      </c>
      <c r="C471" s="705" t="s">
        <v>26109</v>
      </c>
      <c r="D471" s="691">
        <v>38426</v>
      </c>
      <c r="E471" s="705" t="str">
        <f>Status!B4</f>
        <v>Concluído</v>
      </c>
      <c r="F471" s="705"/>
      <c r="G471" s="705"/>
    </row>
    <row r="472" spans="1:7" hidden="1">
      <c r="A472" s="698">
        <v>471</v>
      </c>
      <c r="B472" s="691">
        <v>38408</v>
      </c>
      <c r="C472" s="705" t="s">
        <v>26110</v>
      </c>
      <c r="D472" s="691">
        <v>38412</v>
      </c>
      <c r="E472" s="705" t="str">
        <f>Status!B4</f>
        <v>Concluído</v>
      </c>
      <c r="F472" s="705"/>
      <c r="G472" s="705"/>
    </row>
    <row r="473" spans="1:7" ht="25.5" hidden="1">
      <c r="A473" s="698">
        <v>472</v>
      </c>
      <c r="B473" s="691">
        <v>38408</v>
      </c>
      <c r="C473" s="705" t="s">
        <v>26111</v>
      </c>
      <c r="D473" s="691"/>
      <c r="E473" s="705" t="str">
        <f>Status!B9</f>
        <v>Realização cancelada</v>
      </c>
      <c r="F473" s="705"/>
      <c r="G473" s="705"/>
    </row>
    <row r="474" spans="1:7" hidden="1">
      <c r="A474" s="698">
        <v>473</v>
      </c>
      <c r="B474" s="691">
        <v>38398</v>
      </c>
      <c r="C474" s="705" t="s">
        <v>26112</v>
      </c>
      <c r="D474" s="691"/>
      <c r="E474" s="705" t="str">
        <f>Status!B4</f>
        <v>Concluído</v>
      </c>
      <c r="F474" s="705"/>
      <c r="G474" s="705"/>
    </row>
    <row r="475" spans="1:7" ht="25.5" hidden="1">
      <c r="A475" s="698">
        <v>474</v>
      </c>
      <c r="B475" s="691">
        <v>38405</v>
      </c>
      <c r="C475" s="705" t="s">
        <v>26113</v>
      </c>
      <c r="D475" s="691">
        <v>38406</v>
      </c>
      <c r="E475" s="705" t="str">
        <f>Status!B4</f>
        <v>Concluído</v>
      </c>
      <c r="F475" s="705"/>
      <c r="G475" s="705"/>
    </row>
    <row r="476" spans="1:7" hidden="1">
      <c r="A476" s="698">
        <v>475</v>
      </c>
      <c r="B476" s="691">
        <v>38407</v>
      </c>
      <c r="C476" s="705" t="s">
        <v>26114</v>
      </c>
      <c r="D476" s="691">
        <v>38407</v>
      </c>
      <c r="E476" s="705" t="str">
        <f>Status!B4</f>
        <v>Concluído</v>
      </c>
      <c r="F476" s="705"/>
      <c r="G476" s="705"/>
    </row>
    <row r="477" spans="1:7" hidden="1">
      <c r="A477" s="698">
        <v>476</v>
      </c>
      <c r="B477" s="691">
        <v>38406</v>
      </c>
      <c r="C477" s="705" t="s">
        <v>26115</v>
      </c>
      <c r="D477" s="691">
        <v>38406</v>
      </c>
      <c r="E477" s="705" t="str">
        <f>Status!B4</f>
        <v>Concluído</v>
      </c>
      <c r="F477" s="705"/>
      <c r="G477" s="705"/>
    </row>
    <row r="478" spans="1:7" ht="25.5" hidden="1">
      <c r="A478" s="698">
        <v>477</v>
      </c>
      <c r="B478" s="691">
        <v>38406</v>
      </c>
      <c r="C478" s="705" t="s">
        <v>26116</v>
      </c>
      <c r="D478" s="691"/>
      <c r="E478" s="705" t="str">
        <f>Status!B4</f>
        <v>Concluído</v>
      </c>
      <c r="F478" s="705" t="s">
        <v>26117</v>
      </c>
      <c r="G478" s="705"/>
    </row>
    <row r="479" spans="1:7" ht="25.5" hidden="1">
      <c r="A479" s="698">
        <v>478</v>
      </c>
      <c r="B479" s="691">
        <v>38400</v>
      </c>
      <c r="C479" s="705" t="s">
        <v>26118</v>
      </c>
      <c r="D479" s="691">
        <v>38401</v>
      </c>
      <c r="E479" s="705" t="str">
        <f>Status!B4</f>
        <v>Concluído</v>
      </c>
      <c r="F479" s="705"/>
      <c r="G479" s="705"/>
    </row>
    <row r="480" spans="1:7" hidden="1">
      <c r="A480" s="698">
        <v>479</v>
      </c>
      <c r="B480" s="691">
        <v>38401</v>
      </c>
      <c r="C480" s="705" t="s">
        <v>26119</v>
      </c>
      <c r="D480" s="691">
        <v>38402</v>
      </c>
      <c r="E480" s="705" t="str">
        <f>Status!B4</f>
        <v>Concluído</v>
      </c>
      <c r="F480" s="705" t="s">
        <v>26120</v>
      </c>
      <c r="G480" s="705"/>
    </row>
    <row r="481" spans="1:7" hidden="1">
      <c r="A481" s="698">
        <v>480</v>
      </c>
      <c r="B481" s="691">
        <v>38401</v>
      </c>
      <c r="C481" s="705" t="s">
        <v>26112</v>
      </c>
      <c r="D481" s="691">
        <v>38401</v>
      </c>
      <c r="E481" s="705" t="str">
        <f>Status!B4</f>
        <v>Concluído</v>
      </c>
      <c r="F481" s="705"/>
      <c r="G481" s="705"/>
    </row>
    <row r="482" spans="1:7" hidden="1">
      <c r="A482" s="698">
        <v>481</v>
      </c>
      <c r="B482" s="691">
        <v>38402</v>
      </c>
      <c r="C482" s="705" t="s">
        <v>26121</v>
      </c>
      <c r="D482" s="691">
        <v>38402</v>
      </c>
      <c r="E482" s="705" t="str">
        <f>Status!B4</f>
        <v>Concluído</v>
      </c>
      <c r="F482" s="705"/>
      <c r="G482" s="705"/>
    </row>
    <row r="483" spans="1:7" ht="25.5" hidden="1">
      <c r="A483" s="698">
        <v>482</v>
      </c>
      <c r="B483" s="691">
        <v>38401</v>
      </c>
      <c r="C483" s="705" t="s">
        <v>26122</v>
      </c>
      <c r="D483" s="691">
        <v>38401</v>
      </c>
      <c r="E483" s="705" t="str">
        <f>Status!B4</f>
        <v>Concluído</v>
      </c>
      <c r="F483" s="705"/>
      <c r="G483" s="705"/>
    </row>
    <row r="484" spans="1:7" hidden="1">
      <c r="A484" s="698">
        <v>483</v>
      </c>
      <c r="B484" s="691">
        <v>38406</v>
      </c>
      <c r="C484" s="705" t="s">
        <v>26123</v>
      </c>
      <c r="D484" s="691">
        <v>38406</v>
      </c>
      <c r="E484" s="705" t="str">
        <f>Status!B4</f>
        <v>Concluído</v>
      </c>
      <c r="F484" s="705"/>
      <c r="G484" s="705"/>
    </row>
    <row r="485" spans="1:7" hidden="1">
      <c r="A485" s="698">
        <v>484</v>
      </c>
      <c r="B485" s="691">
        <v>38406</v>
      </c>
      <c r="C485" s="705" t="s">
        <v>26124</v>
      </c>
      <c r="D485" s="691"/>
      <c r="E485" s="705" t="str">
        <f>Status!B4</f>
        <v>Concluído</v>
      </c>
      <c r="F485" s="705"/>
      <c r="G485" s="705"/>
    </row>
    <row r="486" spans="1:7" hidden="1">
      <c r="A486" s="698">
        <v>485</v>
      </c>
      <c r="B486" s="691">
        <v>38406</v>
      </c>
      <c r="C486" s="705" t="s">
        <v>26125</v>
      </c>
      <c r="D486" s="691">
        <v>38406</v>
      </c>
      <c r="E486" s="705" t="str">
        <f>Status!B4</f>
        <v>Concluído</v>
      </c>
      <c r="F486" s="705"/>
      <c r="G486" s="705"/>
    </row>
    <row r="487" spans="1:7" hidden="1">
      <c r="A487" s="698">
        <v>486</v>
      </c>
      <c r="B487" s="691">
        <v>38406</v>
      </c>
      <c r="C487" s="705" t="s">
        <v>26126</v>
      </c>
      <c r="D487" s="691">
        <v>38406</v>
      </c>
      <c r="E487" s="705" t="str">
        <f>Status!B4</f>
        <v>Concluído</v>
      </c>
      <c r="F487" s="705"/>
      <c r="G487" s="705"/>
    </row>
    <row r="488" spans="1:7" ht="25.5" hidden="1">
      <c r="A488" s="698">
        <v>487</v>
      </c>
      <c r="B488" s="691">
        <v>38406</v>
      </c>
      <c r="C488" s="705" t="s">
        <v>26127</v>
      </c>
      <c r="D488" s="691">
        <v>38411</v>
      </c>
      <c r="E488" s="705" t="str">
        <f>Status!B4</f>
        <v>Concluído</v>
      </c>
      <c r="F488" s="705"/>
      <c r="G488" s="705"/>
    </row>
    <row r="489" spans="1:7" hidden="1">
      <c r="A489" s="698">
        <v>488</v>
      </c>
      <c r="B489" s="691">
        <v>38442</v>
      </c>
      <c r="C489" s="705" t="s">
        <v>26128</v>
      </c>
      <c r="D489" s="691">
        <v>38442</v>
      </c>
      <c r="E489" s="705" t="str">
        <f>Status!B4</f>
        <v>Concluído</v>
      </c>
      <c r="F489" s="705"/>
      <c r="G489" s="705"/>
    </row>
    <row r="490" spans="1:7" hidden="1">
      <c r="A490" s="698">
        <v>489</v>
      </c>
      <c r="B490" s="691">
        <v>38442</v>
      </c>
      <c r="C490" s="705" t="s">
        <v>26129</v>
      </c>
      <c r="D490" s="691">
        <v>38442</v>
      </c>
      <c r="E490" s="705" t="str">
        <f>Status!B4</f>
        <v>Concluído</v>
      </c>
      <c r="F490" s="705"/>
      <c r="G490" s="705"/>
    </row>
    <row r="491" spans="1:7" hidden="1">
      <c r="A491" s="698">
        <v>490</v>
      </c>
      <c r="B491" s="691">
        <v>38442</v>
      </c>
      <c r="C491" s="705" t="s">
        <v>26130</v>
      </c>
      <c r="D491" s="691">
        <v>38442</v>
      </c>
      <c r="E491" s="705" t="str">
        <f>Status!B4</f>
        <v>Concluído</v>
      </c>
      <c r="F491" s="705"/>
      <c r="G491" s="705"/>
    </row>
    <row r="492" spans="1:7" hidden="1">
      <c r="A492" s="698">
        <v>491</v>
      </c>
      <c r="B492" s="691">
        <v>38442</v>
      </c>
      <c r="C492" s="705" t="s">
        <v>26131</v>
      </c>
      <c r="D492" s="691">
        <v>38442</v>
      </c>
      <c r="E492" s="705" t="str">
        <f>Status!B4</f>
        <v>Concluído</v>
      </c>
      <c r="F492" s="705"/>
      <c r="G492" s="705"/>
    </row>
    <row r="493" spans="1:7" hidden="1">
      <c r="A493" s="698">
        <v>492</v>
      </c>
      <c r="B493" s="691">
        <v>38442</v>
      </c>
      <c r="C493" s="705" t="s">
        <v>26132</v>
      </c>
      <c r="D493" s="691">
        <v>38442</v>
      </c>
      <c r="E493" s="705" t="str">
        <f>Status!B4</f>
        <v>Concluído</v>
      </c>
      <c r="F493" s="705"/>
      <c r="G493" s="705"/>
    </row>
    <row r="494" spans="1:7" hidden="1">
      <c r="A494" s="698">
        <v>493</v>
      </c>
      <c r="B494" s="691">
        <v>38442</v>
      </c>
      <c r="C494" s="705" t="s">
        <v>26114</v>
      </c>
      <c r="D494" s="691">
        <v>38412</v>
      </c>
      <c r="E494" s="705" t="str">
        <f>Status!B4</f>
        <v>Concluído</v>
      </c>
      <c r="F494" s="705"/>
      <c r="G494" s="705"/>
    </row>
    <row r="495" spans="1:7" hidden="1">
      <c r="A495" s="698">
        <v>494</v>
      </c>
      <c r="B495" s="691">
        <v>38442</v>
      </c>
      <c r="C495" s="705" t="s">
        <v>26133</v>
      </c>
      <c r="D495" s="691">
        <v>38442</v>
      </c>
      <c r="E495" s="705" t="str">
        <f>Status!B4</f>
        <v>Concluído</v>
      </c>
      <c r="F495" s="705"/>
      <c r="G495" s="705"/>
    </row>
    <row r="496" spans="1:7" hidden="1">
      <c r="A496" s="698">
        <v>495</v>
      </c>
      <c r="B496" s="691">
        <v>38442</v>
      </c>
      <c r="C496" s="705" t="s">
        <v>26134</v>
      </c>
      <c r="D496" s="691">
        <v>38442</v>
      </c>
      <c r="E496" s="705" t="str">
        <f>Status!B4</f>
        <v>Concluído</v>
      </c>
      <c r="F496" s="705"/>
      <c r="G496" s="705"/>
    </row>
    <row r="497" spans="1:7" hidden="1">
      <c r="A497" s="698">
        <v>496</v>
      </c>
      <c r="B497" s="691">
        <v>38442</v>
      </c>
      <c r="C497" s="705" t="s">
        <v>26135</v>
      </c>
      <c r="D497" s="691">
        <v>38442</v>
      </c>
      <c r="E497" s="705" t="str">
        <f>Status!B4</f>
        <v>Concluído</v>
      </c>
      <c r="F497" s="705"/>
      <c r="G497" s="705"/>
    </row>
    <row r="498" spans="1:7" hidden="1">
      <c r="A498" s="698">
        <v>497</v>
      </c>
      <c r="B498" s="691">
        <v>38447</v>
      </c>
      <c r="C498" s="705" t="s">
        <v>26136</v>
      </c>
      <c r="D498" s="691">
        <v>38450</v>
      </c>
      <c r="E498" s="705" t="str">
        <f>Status!B4</f>
        <v>Concluído</v>
      </c>
      <c r="F498" s="705"/>
      <c r="G498" s="705"/>
    </row>
    <row r="499" spans="1:7" ht="25.5" hidden="1">
      <c r="A499" s="698">
        <v>498</v>
      </c>
      <c r="B499" s="691">
        <v>38447</v>
      </c>
      <c r="C499" s="705" t="s">
        <v>26137</v>
      </c>
      <c r="D499" s="691"/>
      <c r="E499" s="705" t="str">
        <f>Status!B9</f>
        <v>Realização cancelada</v>
      </c>
      <c r="F499" s="705"/>
      <c r="G499" s="705"/>
    </row>
    <row r="500" spans="1:7" ht="25.5" hidden="1">
      <c r="A500" s="698">
        <v>499</v>
      </c>
      <c r="B500" s="691">
        <v>38456</v>
      </c>
      <c r="C500" s="705" t="s">
        <v>26138</v>
      </c>
      <c r="D500" s="691">
        <v>38494</v>
      </c>
      <c r="E500" s="705" t="str">
        <f>Status!B4</f>
        <v>Concluído</v>
      </c>
      <c r="F500" s="705"/>
      <c r="G500" s="705"/>
    </row>
    <row r="501" spans="1:7" ht="25.5" hidden="1">
      <c r="A501" s="698">
        <v>500</v>
      </c>
      <c r="B501" s="691">
        <v>38456</v>
      </c>
      <c r="C501" s="705" t="s">
        <v>26139</v>
      </c>
      <c r="D501" s="691">
        <v>38457</v>
      </c>
      <c r="E501" s="705" t="str">
        <f>Status!B4</f>
        <v>Concluído</v>
      </c>
      <c r="F501" s="705"/>
      <c r="G501" s="705"/>
    </row>
    <row r="502" spans="1:7" ht="25.5" hidden="1">
      <c r="A502" s="698">
        <v>501</v>
      </c>
      <c r="B502" s="691">
        <v>38456</v>
      </c>
      <c r="C502" s="705" t="s">
        <v>26140</v>
      </c>
      <c r="D502" s="691">
        <v>38456</v>
      </c>
      <c r="E502" s="705" t="str">
        <f>Status!B4</f>
        <v>Concluído</v>
      </c>
      <c r="F502" s="705"/>
      <c r="G502" s="705"/>
    </row>
    <row r="503" spans="1:7" ht="25.5" hidden="1">
      <c r="A503" s="698">
        <v>502</v>
      </c>
      <c r="B503" s="691">
        <v>38456</v>
      </c>
      <c r="C503" s="705" t="s">
        <v>26141</v>
      </c>
      <c r="D503" s="691">
        <v>38456</v>
      </c>
      <c r="E503" s="705" t="str">
        <f>Status!B4</f>
        <v>Concluído</v>
      </c>
      <c r="F503" s="705" t="s">
        <v>26142</v>
      </c>
      <c r="G503" s="705"/>
    </row>
    <row r="504" spans="1:7" ht="25.5" hidden="1">
      <c r="A504" s="698">
        <v>503</v>
      </c>
      <c r="B504" s="691">
        <v>38533</v>
      </c>
      <c r="C504" s="705" t="s">
        <v>26143</v>
      </c>
      <c r="D504" s="691">
        <v>38525</v>
      </c>
      <c r="E504" s="705" t="str">
        <f>Status!B4</f>
        <v>Concluído</v>
      </c>
      <c r="F504" s="705" t="s">
        <v>26144</v>
      </c>
      <c r="G504" s="705"/>
    </row>
    <row r="505" spans="1:7" hidden="1">
      <c r="A505" s="698">
        <v>504</v>
      </c>
      <c r="B505" s="691">
        <v>38471</v>
      </c>
      <c r="C505" s="705" t="s">
        <v>26145</v>
      </c>
      <c r="D505" s="691">
        <v>38471</v>
      </c>
      <c r="E505" s="705" t="str">
        <f>Status!B4</f>
        <v>Concluído</v>
      </c>
      <c r="F505" s="705"/>
      <c r="G505" s="705"/>
    </row>
    <row r="506" spans="1:7" ht="25.5" hidden="1">
      <c r="A506" s="698">
        <v>505</v>
      </c>
      <c r="B506" s="691">
        <v>38462</v>
      </c>
      <c r="C506" s="705" t="s">
        <v>26146</v>
      </c>
      <c r="D506" s="691">
        <v>38466</v>
      </c>
      <c r="E506" s="705" t="str">
        <f>Status!B4</f>
        <v>Concluído</v>
      </c>
      <c r="F506" s="705"/>
      <c r="G506" s="705"/>
    </row>
    <row r="507" spans="1:7" ht="25.5" hidden="1">
      <c r="A507" s="698">
        <v>506</v>
      </c>
      <c r="B507" s="691">
        <v>38456</v>
      </c>
      <c r="C507" s="705" t="s">
        <v>26147</v>
      </c>
      <c r="D507" s="691">
        <v>38461</v>
      </c>
      <c r="E507" s="705" t="str">
        <f>Status!B4</f>
        <v>Concluído</v>
      </c>
      <c r="F507" s="705"/>
      <c r="G507" s="705"/>
    </row>
    <row r="508" spans="1:7" ht="25.5" hidden="1">
      <c r="A508" s="698">
        <v>507</v>
      </c>
      <c r="B508" s="691">
        <v>38456</v>
      </c>
      <c r="C508" s="705" t="s">
        <v>26148</v>
      </c>
      <c r="D508" s="691">
        <v>38490</v>
      </c>
      <c r="E508" s="705" t="str">
        <f>Status!B4</f>
        <v>Concluído</v>
      </c>
      <c r="F508" s="705"/>
      <c r="G508" s="705"/>
    </row>
    <row r="509" spans="1:7" hidden="1">
      <c r="A509" s="698">
        <v>508</v>
      </c>
      <c r="B509" s="691">
        <v>38456</v>
      </c>
      <c r="C509" s="705" t="s">
        <v>26149</v>
      </c>
      <c r="D509" s="691">
        <v>38490</v>
      </c>
      <c r="E509" s="705" t="str">
        <f>Status!B4</f>
        <v>Concluído</v>
      </c>
      <c r="F509" s="705"/>
      <c r="G509" s="705"/>
    </row>
    <row r="510" spans="1:7" hidden="1">
      <c r="A510" s="698">
        <v>509</v>
      </c>
      <c r="B510" s="691">
        <v>38456</v>
      </c>
      <c r="C510" s="705" t="s">
        <v>26150</v>
      </c>
      <c r="D510" s="691">
        <v>38456</v>
      </c>
      <c r="E510" s="705" t="str">
        <f>Status!B4</f>
        <v>Concluído</v>
      </c>
      <c r="F510" s="705"/>
      <c r="G510" s="705"/>
    </row>
    <row r="511" spans="1:7" ht="25.5" hidden="1">
      <c r="A511" s="698">
        <v>510</v>
      </c>
      <c r="B511" s="691">
        <v>38456</v>
      </c>
      <c r="C511" s="705" t="s">
        <v>26151</v>
      </c>
      <c r="D511" s="691">
        <v>38456</v>
      </c>
      <c r="E511" s="705" t="str">
        <f>Status!B4</f>
        <v>Concluído</v>
      </c>
      <c r="F511" s="705"/>
      <c r="G511" s="705"/>
    </row>
    <row r="512" spans="1:7" ht="25.5" hidden="1">
      <c r="A512" s="698">
        <v>511</v>
      </c>
      <c r="B512" s="691">
        <v>38469</v>
      </c>
      <c r="C512" s="705" t="s">
        <v>26152</v>
      </c>
      <c r="D512" s="691">
        <v>38471</v>
      </c>
      <c r="E512" s="705" t="str">
        <f>Status!B4</f>
        <v>Concluído</v>
      </c>
      <c r="F512" s="705"/>
      <c r="G512" s="705"/>
    </row>
    <row r="513" spans="1:7" ht="25.5" hidden="1">
      <c r="A513" s="698">
        <v>512</v>
      </c>
      <c r="B513" s="691">
        <v>38469</v>
      </c>
      <c r="C513" s="705" t="s">
        <v>26153</v>
      </c>
      <c r="D513" s="691"/>
      <c r="E513" s="705" t="str">
        <f>Status!B9</f>
        <v>Realização cancelada</v>
      </c>
      <c r="F513" s="705" t="s">
        <v>26154</v>
      </c>
      <c r="G513" s="705"/>
    </row>
    <row r="514" spans="1:7" hidden="1">
      <c r="A514" s="698">
        <v>513</v>
      </c>
      <c r="B514" s="691">
        <v>38471</v>
      </c>
      <c r="C514" s="705" t="s">
        <v>26155</v>
      </c>
      <c r="D514" s="691">
        <v>38471</v>
      </c>
      <c r="E514" s="705" t="str">
        <f>Status!B4</f>
        <v>Concluído</v>
      </c>
      <c r="F514" s="705"/>
      <c r="G514" s="705"/>
    </row>
    <row r="515" spans="1:7" hidden="1">
      <c r="A515" s="698">
        <v>514</v>
      </c>
      <c r="B515" s="691">
        <v>38471</v>
      </c>
      <c r="C515" s="705" t="s">
        <v>26145</v>
      </c>
      <c r="D515" s="691">
        <v>38471</v>
      </c>
      <c r="E515" s="705" t="str">
        <f>Status!B4</f>
        <v>Concluído</v>
      </c>
      <c r="F515" s="705"/>
      <c r="G515" s="705"/>
    </row>
    <row r="516" spans="1:7" hidden="1">
      <c r="A516" s="698">
        <v>515</v>
      </c>
      <c r="B516" s="691">
        <v>38483</v>
      </c>
      <c r="C516" s="705" t="s">
        <v>26132</v>
      </c>
      <c r="D516" s="691">
        <v>38483</v>
      </c>
      <c r="E516" s="705" t="str">
        <f>Status!B4</f>
        <v>Concluído</v>
      </c>
      <c r="F516" s="705"/>
      <c r="G516" s="705"/>
    </row>
    <row r="517" spans="1:7" hidden="1">
      <c r="A517" s="698">
        <v>516</v>
      </c>
      <c r="B517" s="691">
        <v>38471</v>
      </c>
      <c r="C517" s="705" t="s">
        <v>26129</v>
      </c>
      <c r="D517" s="691">
        <v>38471</v>
      </c>
      <c r="E517" s="705" t="str">
        <f>Status!B4</f>
        <v>Concluído</v>
      </c>
      <c r="F517" s="705"/>
      <c r="G517" s="705"/>
    </row>
    <row r="518" spans="1:7" hidden="1">
      <c r="A518" s="698">
        <v>517</v>
      </c>
      <c r="B518" s="691">
        <v>38471</v>
      </c>
      <c r="C518" s="705" t="s">
        <v>26156</v>
      </c>
      <c r="D518" s="691">
        <v>38471</v>
      </c>
      <c r="E518" s="705" t="str">
        <f>Status!B4</f>
        <v>Concluído</v>
      </c>
      <c r="F518" s="705"/>
      <c r="G518" s="705"/>
    </row>
    <row r="519" spans="1:7" ht="25.5" hidden="1">
      <c r="A519" s="698">
        <v>518</v>
      </c>
      <c r="B519" s="691">
        <v>38485</v>
      </c>
      <c r="C519" s="705" t="s">
        <v>26157</v>
      </c>
      <c r="D519" s="691">
        <v>38485</v>
      </c>
      <c r="E519" s="705" t="str">
        <f>Status!B9</f>
        <v>Realização cancelada</v>
      </c>
      <c r="F519" s="705"/>
      <c r="G519" s="705"/>
    </row>
    <row r="520" spans="1:7" ht="25.5" hidden="1">
      <c r="A520" s="698">
        <v>519</v>
      </c>
      <c r="B520" s="691">
        <v>38485</v>
      </c>
      <c r="C520" s="705" t="s">
        <v>26158</v>
      </c>
      <c r="D520" s="691">
        <v>38485</v>
      </c>
      <c r="E520" s="705" t="str">
        <f>Status!B9</f>
        <v>Realização cancelada</v>
      </c>
      <c r="F520" s="705" t="s">
        <v>26159</v>
      </c>
      <c r="G520" s="705"/>
    </row>
    <row r="521" spans="1:7" hidden="1">
      <c r="A521" s="698">
        <v>520</v>
      </c>
      <c r="B521" s="691">
        <v>38485</v>
      </c>
      <c r="C521" s="705" t="s">
        <v>26136</v>
      </c>
      <c r="D521" s="691">
        <v>38488</v>
      </c>
      <c r="E521" s="705" t="str">
        <f>Status!B4</f>
        <v>Concluído</v>
      </c>
      <c r="F521" s="705" t="s">
        <v>26160</v>
      </c>
      <c r="G521" s="705"/>
    </row>
    <row r="522" spans="1:7" hidden="1">
      <c r="A522" s="698">
        <v>521</v>
      </c>
      <c r="B522" s="691">
        <v>38486</v>
      </c>
      <c r="C522" s="705" t="s">
        <v>26161</v>
      </c>
      <c r="D522" s="691">
        <v>38455</v>
      </c>
      <c r="E522" s="705" t="str">
        <f>Status!B4</f>
        <v>Concluído</v>
      </c>
      <c r="F522" s="705" t="s">
        <v>26162</v>
      </c>
      <c r="G522" s="705"/>
    </row>
    <row r="523" spans="1:7" ht="25.5" hidden="1">
      <c r="A523" s="698">
        <v>522</v>
      </c>
      <c r="B523" s="691">
        <v>38483</v>
      </c>
      <c r="C523" s="705" t="s">
        <v>26163</v>
      </c>
      <c r="D523" s="691">
        <v>38453</v>
      </c>
      <c r="E523" s="705" t="str">
        <f>Status!B4</f>
        <v>Concluído</v>
      </c>
      <c r="F523" s="705"/>
      <c r="G523" s="705"/>
    </row>
    <row r="524" spans="1:7" ht="25.5" hidden="1">
      <c r="A524" s="698">
        <v>523</v>
      </c>
      <c r="B524" s="691">
        <v>38483</v>
      </c>
      <c r="C524" s="705" t="s">
        <v>26164</v>
      </c>
      <c r="D524" s="691">
        <v>38551</v>
      </c>
      <c r="E524" s="705" t="str">
        <f>Status!B4</f>
        <v>Concluído</v>
      </c>
      <c r="F524" s="705" t="s">
        <v>26165</v>
      </c>
      <c r="G524" s="705"/>
    </row>
    <row r="525" spans="1:7" ht="25.5" hidden="1">
      <c r="A525" s="698">
        <v>524</v>
      </c>
      <c r="B525" s="691">
        <v>38548</v>
      </c>
      <c r="C525" s="705" t="s">
        <v>26166</v>
      </c>
      <c r="D525" s="691">
        <v>38548</v>
      </c>
      <c r="E525" s="705" t="str">
        <f>Status!B4</f>
        <v>Concluído</v>
      </c>
      <c r="F525" s="705"/>
      <c r="G525" s="705"/>
    </row>
    <row r="526" spans="1:7" hidden="1">
      <c r="A526" s="698">
        <v>525</v>
      </c>
      <c r="B526" s="691">
        <v>38553</v>
      </c>
      <c r="C526" s="705" t="s">
        <v>26167</v>
      </c>
      <c r="D526" s="691">
        <v>38553</v>
      </c>
      <c r="E526" s="705" t="str">
        <f>Status!B4</f>
        <v>Concluído</v>
      </c>
      <c r="F526" s="705"/>
      <c r="G526" s="705"/>
    </row>
    <row r="527" spans="1:7" hidden="1">
      <c r="A527" s="698">
        <v>526</v>
      </c>
      <c r="B527" s="691">
        <v>38555</v>
      </c>
      <c r="C527" s="705" t="s">
        <v>26168</v>
      </c>
      <c r="D527" s="691">
        <v>38555</v>
      </c>
      <c r="E527" s="705" t="str">
        <f>Status!B4</f>
        <v>Concluído</v>
      </c>
      <c r="F527" s="705"/>
      <c r="G527" s="705"/>
    </row>
    <row r="528" spans="1:7" ht="25.5" hidden="1">
      <c r="A528" s="698">
        <v>527</v>
      </c>
      <c r="B528" s="691">
        <v>38553</v>
      </c>
      <c r="C528" s="705" t="s">
        <v>26169</v>
      </c>
      <c r="D528" s="691">
        <v>38551</v>
      </c>
      <c r="E528" s="705" t="str">
        <f>Status!B4</f>
        <v>Concluído</v>
      </c>
      <c r="F528" s="705"/>
      <c r="G528" s="705"/>
    </row>
    <row r="529" spans="1:7" hidden="1">
      <c r="A529" s="698">
        <v>528</v>
      </c>
      <c r="B529" s="691">
        <v>38555</v>
      </c>
      <c r="C529" s="705" t="s">
        <v>26170</v>
      </c>
      <c r="D529" s="691">
        <v>38554</v>
      </c>
      <c r="E529" s="705" t="str">
        <f>Status!B4</f>
        <v>Concluído</v>
      </c>
      <c r="F529" s="705" t="s">
        <v>26171</v>
      </c>
      <c r="G529" s="705"/>
    </row>
    <row r="530" spans="1:7" ht="25.5" hidden="1">
      <c r="A530" s="698">
        <v>529</v>
      </c>
      <c r="B530" s="691">
        <v>38586</v>
      </c>
      <c r="C530" s="705" t="s">
        <v>26172</v>
      </c>
      <c r="D530" s="691">
        <v>38555</v>
      </c>
      <c r="E530" s="705" t="str">
        <f>Status!B4</f>
        <v>Concluído</v>
      </c>
      <c r="F530" s="705"/>
      <c r="G530" s="705"/>
    </row>
    <row r="531" spans="1:7" hidden="1">
      <c r="A531" s="698">
        <v>530</v>
      </c>
      <c r="B531" s="691">
        <v>38586</v>
      </c>
      <c r="C531" s="705" t="s">
        <v>26173</v>
      </c>
      <c r="D531" s="691">
        <v>38555</v>
      </c>
      <c r="E531" s="705" t="str">
        <f>Status!B4</f>
        <v>Concluído</v>
      </c>
      <c r="F531" s="705"/>
      <c r="G531" s="705"/>
    </row>
    <row r="532" spans="1:7" ht="25.5" hidden="1">
      <c r="A532" s="698">
        <v>531</v>
      </c>
      <c r="B532" s="691">
        <v>38586</v>
      </c>
      <c r="C532" s="705" t="s">
        <v>26174</v>
      </c>
      <c r="D532" s="691">
        <v>38590</v>
      </c>
      <c r="E532" s="705" t="str">
        <f>Status!B4</f>
        <v>Concluído</v>
      </c>
      <c r="F532" s="705"/>
      <c r="G532" s="705"/>
    </row>
    <row r="533" spans="1:7" hidden="1">
      <c r="A533" s="698">
        <v>532</v>
      </c>
      <c r="B533" s="691">
        <v>38682</v>
      </c>
      <c r="C533" s="705" t="s">
        <v>26175</v>
      </c>
      <c r="D533" s="691">
        <v>38682</v>
      </c>
      <c r="E533" s="705" t="str">
        <f>Status!B4</f>
        <v>Concluído</v>
      </c>
      <c r="F533" s="705"/>
      <c r="G533" s="705"/>
    </row>
    <row r="534" spans="1:7" hidden="1">
      <c r="A534" s="698">
        <v>533</v>
      </c>
      <c r="B534" s="691">
        <v>38681</v>
      </c>
      <c r="C534" s="705" t="s">
        <v>26176</v>
      </c>
      <c r="D534" s="691">
        <v>38681</v>
      </c>
      <c r="E534" s="705" t="str">
        <f>Status!B4</f>
        <v>Concluído</v>
      </c>
      <c r="F534" s="705"/>
      <c r="G534" s="705"/>
    </row>
    <row r="535" spans="1:7" ht="25.5" hidden="1">
      <c r="A535" s="698">
        <v>534</v>
      </c>
      <c r="B535" s="691">
        <v>38681</v>
      </c>
      <c r="C535" s="705" t="s">
        <v>26177</v>
      </c>
      <c r="D535" s="691">
        <v>38680</v>
      </c>
      <c r="E535" s="705" t="str">
        <f>Status!B9</f>
        <v>Realização cancelada</v>
      </c>
      <c r="F535" s="705"/>
      <c r="G535" s="705"/>
    </row>
    <row r="536" spans="1:7" ht="25.5" hidden="1">
      <c r="A536" s="698">
        <v>535</v>
      </c>
      <c r="B536" s="691">
        <v>38679</v>
      </c>
      <c r="C536" s="705" t="s">
        <v>26178</v>
      </c>
      <c r="D536" s="691">
        <v>38701</v>
      </c>
      <c r="E536" s="715" t="str">
        <f>Status!B9</f>
        <v>Realização cancelada</v>
      </c>
      <c r="F536" s="705"/>
      <c r="G536" s="705"/>
    </row>
    <row r="537" spans="1:7" ht="25.5" hidden="1">
      <c r="A537" s="698">
        <v>536</v>
      </c>
      <c r="B537" s="691">
        <v>38679</v>
      </c>
      <c r="C537" s="705" t="s">
        <v>26179</v>
      </c>
      <c r="D537" s="691">
        <v>38680</v>
      </c>
      <c r="E537" s="705" t="str">
        <f>Status!B4</f>
        <v>Concluído</v>
      </c>
      <c r="F537" s="705"/>
      <c r="G537" s="705"/>
    </row>
    <row r="538" spans="1:7" ht="25.5" hidden="1">
      <c r="A538" s="698">
        <v>537</v>
      </c>
      <c r="B538" s="691">
        <v>38679</v>
      </c>
      <c r="C538" s="705" t="s">
        <v>26180</v>
      </c>
      <c r="D538" s="691">
        <v>38680</v>
      </c>
      <c r="E538" s="705" t="str">
        <f>Status!B4</f>
        <v>Concluído</v>
      </c>
      <c r="F538" s="705"/>
      <c r="G538" s="705"/>
    </row>
    <row r="539" spans="1:7" ht="25.5" hidden="1">
      <c r="A539" s="698">
        <v>538</v>
      </c>
      <c r="B539" s="691">
        <v>38679</v>
      </c>
      <c r="C539" s="705" t="s">
        <v>26181</v>
      </c>
      <c r="D539" s="691">
        <v>38679</v>
      </c>
      <c r="E539" s="705" t="str">
        <f>Status!B4</f>
        <v>Concluído</v>
      </c>
      <c r="F539" s="705"/>
      <c r="G539" s="705"/>
    </row>
    <row r="540" spans="1:7" ht="25.5" hidden="1">
      <c r="A540" s="698">
        <v>539</v>
      </c>
      <c r="B540" s="691">
        <v>38679</v>
      </c>
      <c r="C540" s="705" t="s">
        <v>26182</v>
      </c>
      <c r="D540" s="691">
        <v>38680</v>
      </c>
      <c r="E540" s="705" t="str">
        <f>Status!B4</f>
        <v>Concluído</v>
      </c>
      <c r="F540" s="705"/>
      <c r="G540" s="705"/>
    </row>
    <row r="541" spans="1:7" ht="25.5" hidden="1">
      <c r="A541" s="698">
        <v>540</v>
      </c>
      <c r="B541" s="691">
        <v>38679</v>
      </c>
      <c r="C541" s="705" t="s">
        <v>26183</v>
      </c>
      <c r="D541" s="691">
        <v>38680</v>
      </c>
      <c r="E541" s="705" t="str">
        <f>Status!B4</f>
        <v>Concluído</v>
      </c>
      <c r="F541" s="705" t="s">
        <v>26184</v>
      </c>
      <c r="G541" s="705"/>
    </row>
    <row r="542" spans="1:7" ht="25.5" hidden="1">
      <c r="A542" s="698">
        <v>541</v>
      </c>
      <c r="B542" s="691">
        <v>38681</v>
      </c>
      <c r="C542" s="705" t="s">
        <v>26185</v>
      </c>
      <c r="D542" s="691">
        <v>38698</v>
      </c>
      <c r="E542" s="705" t="str">
        <f>Status!B4</f>
        <v>Concluído</v>
      </c>
      <c r="F542" s="705" t="s">
        <v>26186</v>
      </c>
      <c r="G542" s="705"/>
    </row>
    <row r="543" spans="1:7" ht="38.25" hidden="1">
      <c r="A543" s="698">
        <v>542</v>
      </c>
      <c r="B543" s="691">
        <v>38681</v>
      </c>
      <c r="C543" s="705" t="s">
        <v>26187</v>
      </c>
      <c r="D543" s="691">
        <v>38681</v>
      </c>
      <c r="E543" s="705" t="str">
        <f>Status!B4</f>
        <v>Concluído</v>
      </c>
      <c r="F543" s="705"/>
      <c r="G543" s="705"/>
    </row>
    <row r="544" spans="1:7" ht="38.25" hidden="1">
      <c r="A544" s="698">
        <v>543</v>
      </c>
      <c r="B544" s="691">
        <v>38681</v>
      </c>
      <c r="C544" s="705" t="s">
        <v>26188</v>
      </c>
      <c r="D544" s="691">
        <v>38681</v>
      </c>
      <c r="E544" s="705" t="str">
        <f>Status!B4</f>
        <v>Concluído</v>
      </c>
      <c r="F544" s="705"/>
      <c r="G544" s="705"/>
    </row>
    <row r="545" spans="1:7" ht="25.5" hidden="1">
      <c r="A545" s="698">
        <v>544</v>
      </c>
      <c r="B545" s="691">
        <v>38681</v>
      </c>
      <c r="C545" s="705" t="s">
        <v>26189</v>
      </c>
      <c r="D545" s="691">
        <v>38701</v>
      </c>
      <c r="E545" s="705" t="str">
        <f>Status!B4</f>
        <v>Concluído</v>
      </c>
      <c r="F545" s="705" t="s">
        <v>26190</v>
      </c>
      <c r="G545" s="705"/>
    </row>
    <row r="546" spans="1:7" hidden="1">
      <c r="A546" s="698">
        <v>545</v>
      </c>
      <c r="B546" s="691">
        <v>38679</v>
      </c>
      <c r="C546" s="705" t="s">
        <v>26191</v>
      </c>
      <c r="D546" s="691">
        <v>38680</v>
      </c>
      <c r="E546" s="705" t="str">
        <f>Status!B4</f>
        <v>Concluído</v>
      </c>
      <c r="F546" s="705"/>
      <c r="G546" s="705"/>
    </row>
    <row r="547" spans="1:7" ht="25.5" hidden="1">
      <c r="A547" s="698">
        <v>546</v>
      </c>
      <c r="B547" s="691">
        <v>38680</v>
      </c>
      <c r="C547" s="705" t="s">
        <v>26192</v>
      </c>
      <c r="D547" s="691">
        <v>38679</v>
      </c>
      <c r="E547" s="705" t="str">
        <f>Status!B4</f>
        <v>Concluído</v>
      </c>
      <c r="F547" s="705"/>
      <c r="G547" s="705"/>
    </row>
    <row r="548" spans="1:7">
      <c r="A548" s="698">
        <v>547</v>
      </c>
      <c r="B548" s="691">
        <v>38680</v>
      </c>
      <c r="C548" s="705" t="s">
        <v>26193</v>
      </c>
      <c r="D548" s="691"/>
      <c r="E548" s="705"/>
      <c r="F548" s="705"/>
      <c r="G548" s="705"/>
    </row>
    <row r="549" spans="1:7" hidden="1">
      <c r="A549" s="698">
        <v>548</v>
      </c>
      <c r="B549" s="691">
        <v>38680</v>
      </c>
      <c r="C549" s="705" t="s">
        <v>26194</v>
      </c>
      <c r="D549" s="691">
        <v>38682</v>
      </c>
      <c r="E549" s="705" t="str">
        <f>Status!B4</f>
        <v>Concluído</v>
      </c>
      <c r="F549" s="705"/>
      <c r="G549" s="705"/>
    </row>
    <row r="550" spans="1:7" ht="25.5" hidden="1">
      <c r="A550" s="698">
        <v>549</v>
      </c>
      <c r="B550" s="691">
        <v>38680</v>
      </c>
      <c r="C550" s="705" t="s">
        <v>26195</v>
      </c>
      <c r="D550" s="691">
        <v>38680</v>
      </c>
      <c r="E550" s="705" t="str">
        <f>Status!B4</f>
        <v>Concluído</v>
      </c>
      <c r="F550" s="705"/>
      <c r="G550" s="705"/>
    </row>
    <row r="551" spans="1:7" ht="25.5" hidden="1">
      <c r="A551" s="698">
        <v>550</v>
      </c>
      <c r="B551" s="691">
        <v>38681</v>
      </c>
      <c r="C551" s="705" t="s">
        <v>26196</v>
      </c>
      <c r="D551" s="691">
        <v>38681</v>
      </c>
      <c r="E551" s="705" t="str">
        <f>Status!B4</f>
        <v>Concluído</v>
      </c>
      <c r="F551" s="705"/>
      <c r="G551" s="705"/>
    </row>
    <row r="552" spans="1:7" hidden="1">
      <c r="A552" s="698">
        <v>551</v>
      </c>
      <c r="B552" s="691">
        <v>38681</v>
      </c>
      <c r="C552" s="705" t="s">
        <v>26197</v>
      </c>
      <c r="D552" s="691">
        <v>38681</v>
      </c>
      <c r="E552" s="705" t="str">
        <f>Status!B4</f>
        <v>Concluído</v>
      </c>
      <c r="F552" s="705"/>
      <c r="G552" s="705"/>
    </row>
    <row r="553" spans="1:7" ht="25.5" hidden="1">
      <c r="A553" s="698">
        <v>552</v>
      </c>
      <c r="B553" s="691">
        <v>38705</v>
      </c>
      <c r="C553" s="705" t="s">
        <v>26198</v>
      </c>
      <c r="D553" s="691">
        <v>38701</v>
      </c>
      <c r="E553" s="705" t="str">
        <f>Status!B4</f>
        <v>Concluído</v>
      </c>
      <c r="F553" s="705"/>
      <c r="G553" s="705"/>
    </row>
    <row r="554" spans="1:7" ht="25.5" hidden="1">
      <c r="A554" s="698">
        <v>553</v>
      </c>
      <c r="B554" s="691">
        <v>38705</v>
      </c>
      <c r="C554" s="705" t="s">
        <v>26199</v>
      </c>
      <c r="D554" s="691">
        <v>38701</v>
      </c>
      <c r="E554" s="705" t="str">
        <f>Status!B4</f>
        <v>Concluído</v>
      </c>
      <c r="F554" s="705" t="s">
        <v>26200</v>
      </c>
      <c r="G554" s="705"/>
    </row>
    <row r="555" spans="1:7" ht="25.5" hidden="1">
      <c r="A555" s="698">
        <v>554</v>
      </c>
      <c r="B555" s="691">
        <v>38705</v>
      </c>
      <c r="C555" s="705" t="s">
        <v>26201</v>
      </c>
      <c r="D555" s="691">
        <v>38705</v>
      </c>
      <c r="E555" s="705" t="str">
        <f>Status!B4</f>
        <v>Concluído</v>
      </c>
      <c r="F555" s="705"/>
      <c r="G555" s="705"/>
    </row>
    <row r="556" spans="1:7" ht="25.5" hidden="1">
      <c r="A556" s="698">
        <v>555</v>
      </c>
      <c r="B556" s="691">
        <v>38705</v>
      </c>
      <c r="C556" s="705" t="s">
        <v>26202</v>
      </c>
      <c r="D556" s="691">
        <v>38715</v>
      </c>
      <c r="E556" s="705" t="str">
        <f>Status!B4</f>
        <v>Concluído</v>
      </c>
      <c r="F556" s="705" t="s">
        <v>26203</v>
      </c>
      <c r="G556" s="705"/>
    </row>
    <row r="557" spans="1:7" ht="25.5" hidden="1">
      <c r="A557" s="698">
        <v>556</v>
      </c>
      <c r="B557" s="691">
        <v>38705</v>
      </c>
      <c r="C557" s="705" t="s">
        <v>26204</v>
      </c>
      <c r="D557" s="691">
        <v>38701</v>
      </c>
      <c r="E557" s="705" t="str">
        <f>Status!B4</f>
        <v>Concluído</v>
      </c>
      <c r="F557" s="705"/>
      <c r="G557" s="705"/>
    </row>
    <row r="558" spans="1:7" ht="25.5" hidden="1">
      <c r="A558" s="698">
        <v>557</v>
      </c>
      <c r="B558" s="691">
        <v>38705</v>
      </c>
      <c r="C558" s="705" t="s">
        <v>26205</v>
      </c>
      <c r="D558" s="691">
        <v>38705</v>
      </c>
      <c r="E558" s="705" t="str">
        <f>Status!B4</f>
        <v>Concluído</v>
      </c>
      <c r="F558" s="705" t="s">
        <v>26206</v>
      </c>
      <c r="G558" s="705"/>
    </row>
    <row r="559" spans="1:7" ht="25.5" hidden="1">
      <c r="A559" s="698">
        <v>558</v>
      </c>
      <c r="B559" s="691">
        <v>38705</v>
      </c>
      <c r="C559" s="705" t="s">
        <v>26207</v>
      </c>
      <c r="D559" s="691">
        <v>38705</v>
      </c>
      <c r="E559" s="705" t="str">
        <f>Status!B4</f>
        <v>Concluído</v>
      </c>
      <c r="F559" s="705" t="s">
        <v>26206</v>
      </c>
      <c r="G559" s="705"/>
    </row>
    <row r="560" spans="1:7" ht="12.75" hidden="1" customHeight="1">
      <c r="A560" s="698">
        <v>559</v>
      </c>
      <c r="B560" s="691">
        <v>38705</v>
      </c>
      <c r="C560" s="705" t="s">
        <v>26208</v>
      </c>
      <c r="D560" s="691">
        <v>38705</v>
      </c>
      <c r="E560" s="705" t="str">
        <f>Status!B4</f>
        <v>Concluído</v>
      </c>
      <c r="F560" s="705" t="s">
        <v>26209</v>
      </c>
      <c r="G560" s="705"/>
    </row>
    <row r="561" spans="1:7" ht="25.5" hidden="1">
      <c r="A561" s="698">
        <v>560</v>
      </c>
      <c r="B561" s="691">
        <v>38705</v>
      </c>
      <c r="C561" s="705" t="s">
        <v>26210</v>
      </c>
      <c r="D561" s="691">
        <v>38719</v>
      </c>
      <c r="E561" s="705" t="str">
        <f>Status!B4</f>
        <v>Concluído</v>
      </c>
      <c r="F561" s="705"/>
      <c r="G561" s="705"/>
    </row>
    <row r="562" spans="1:7" hidden="1">
      <c r="A562" s="698">
        <v>561</v>
      </c>
      <c r="B562" s="691">
        <v>38705</v>
      </c>
      <c r="C562" s="705" t="s">
        <v>26211</v>
      </c>
      <c r="D562" s="691">
        <v>38715</v>
      </c>
      <c r="E562" s="705" t="str">
        <f>Status!B4</f>
        <v>Concluído</v>
      </c>
      <c r="F562" s="705"/>
      <c r="G562" s="705"/>
    </row>
    <row r="563" spans="1:7" ht="38.25" hidden="1">
      <c r="A563" s="698">
        <v>562</v>
      </c>
      <c r="B563" s="691">
        <v>38705</v>
      </c>
      <c r="C563" s="705" t="s">
        <v>26212</v>
      </c>
      <c r="D563" s="691">
        <v>38705</v>
      </c>
      <c r="E563" s="705" t="str">
        <f>Status!B4</f>
        <v>Concluído</v>
      </c>
      <c r="F563" s="705"/>
      <c r="G563" s="705"/>
    </row>
    <row r="564" spans="1:7" ht="38.25" hidden="1">
      <c r="A564" s="698">
        <v>563</v>
      </c>
      <c r="B564" s="691">
        <v>38705</v>
      </c>
      <c r="C564" s="705" t="s">
        <v>26213</v>
      </c>
      <c r="D564" s="691">
        <v>38705</v>
      </c>
      <c r="E564" s="705" t="str">
        <f>Status!B4</f>
        <v>Concluído</v>
      </c>
      <c r="F564" s="705" t="s">
        <v>26214</v>
      </c>
      <c r="G564" s="705"/>
    </row>
    <row r="565" spans="1:7" hidden="1">
      <c r="A565" s="698">
        <v>564</v>
      </c>
      <c r="B565" s="691">
        <v>38705</v>
      </c>
      <c r="C565" s="705" t="s">
        <v>26215</v>
      </c>
      <c r="D565" s="691">
        <v>38705</v>
      </c>
      <c r="E565" s="705" t="str">
        <f>Status!B4</f>
        <v>Concluído</v>
      </c>
      <c r="F565" s="705"/>
      <c r="G565" s="705"/>
    </row>
    <row r="566" spans="1:7" ht="12.75" hidden="1" customHeight="1">
      <c r="A566" s="698">
        <v>565</v>
      </c>
      <c r="B566" s="691">
        <v>38705</v>
      </c>
      <c r="C566" s="705" t="s">
        <v>26216</v>
      </c>
      <c r="D566" s="691">
        <v>38705</v>
      </c>
      <c r="E566" s="705" t="str">
        <f>Status!B4</f>
        <v>Concluído</v>
      </c>
      <c r="F566" s="705" t="s">
        <v>26217</v>
      </c>
      <c r="G566" s="705"/>
    </row>
    <row r="567" spans="1:7" ht="38.25" hidden="1">
      <c r="A567" s="698">
        <v>566</v>
      </c>
      <c r="B567" s="691">
        <v>38705</v>
      </c>
      <c r="C567" s="705" t="s">
        <v>26218</v>
      </c>
      <c r="D567" s="691">
        <v>38705</v>
      </c>
      <c r="E567" s="715" t="str">
        <f>Status!B4</f>
        <v>Concluído</v>
      </c>
      <c r="F567" s="705" t="s">
        <v>26219</v>
      </c>
      <c r="G567" s="705"/>
    </row>
    <row r="568" spans="1:7" ht="25.5" hidden="1">
      <c r="A568" s="698">
        <v>567</v>
      </c>
      <c r="B568" s="691">
        <v>38707</v>
      </c>
      <c r="C568" s="705" t="s">
        <v>26220</v>
      </c>
      <c r="D568" s="691">
        <v>38712</v>
      </c>
      <c r="E568" s="705" t="str">
        <f>Status!B4</f>
        <v>Concluído</v>
      </c>
      <c r="F568" s="705"/>
      <c r="G568" s="705"/>
    </row>
    <row r="569" spans="1:7" ht="25.5" hidden="1">
      <c r="A569" s="698">
        <v>568</v>
      </c>
      <c r="B569" s="691">
        <v>38719</v>
      </c>
      <c r="C569" s="705" t="s">
        <v>26221</v>
      </c>
      <c r="D569" s="691">
        <v>38719</v>
      </c>
      <c r="E569" s="705" t="str">
        <f>Status!B4</f>
        <v>Concluído</v>
      </c>
      <c r="F569" s="705"/>
      <c r="G569" s="705"/>
    </row>
    <row r="570" spans="1:7" ht="25.5" hidden="1">
      <c r="A570" s="698">
        <v>569</v>
      </c>
      <c r="B570" s="691">
        <v>38719</v>
      </c>
      <c r="C570" s="705" t="s">
        <v>26222</v>
      </c>
      <c r="D570" s="691">
        <v>38719</v>
      </c>
      <c r="E570" s="705" t="str">
        <f>Status!B4</f>
        <v>Concluído</v>
      </c>
      <c r="F570" s="705"/>
      <c r="G570" s="705"/>
    </row>
    <row r="571" spans="1:7" ht="25.5">
      <c r="A571" s="698">
        <v>570</v>
      </c>
      <c r="B571" s="691">
        <v>38719</v>
      </c>
      <c r="C571" s="705" t="s">
        <v>26223</v>
      </c>
      <c r="D571" s="691"/>
      <c r="E571" s="705"/>
      <c r="F571" s="705"/>
      <c r="G571" s="705"/>
    </row>
    <row r="572" spans="1:7" ht="38.25">
      <c r="A572" s="698">
        <v>571</v>
      </c>
      <c r="B572" s="691">
        <v>38719</v>
      </c>
      <c r="C572" s="705" t="s">
        <v>26224</v>
      </c>
      <c r="D572" s="691"/>
      <c r="E572" s="705"/>
      <c r="F572" s="705" t="s">
        <v>26225</v>
      </c>
      <c r="G572" s="705"/>
    </row>
    <row r="573" spans="1:7" ht="25.5" hidden="1">
      <c r="A573" s="698">
        <v>572</v>
      </c>
      <c r="B573" s="691">
        <v>38719</v>
      </c>
      <c r="C573" s="705" t="s">
        <v>26226</v>
      </c>
      <c r="D573" s="691">
        <v>38719</v>
      </c>
      <c r="E573" s="705" t="str">
        <f>Status!B4</f>
        <v>Concluído</v>
      </c>
      <c r="F573" s="705"/>
      <c r="G573" s="705"/>
    </row>
    <row r="574" spans="1:7" ht="25.5" hidden="1">
      <c r="A574" s="698">
        <v>573</v>
      </c>
      <c r="B574" s="691">
        <v>38719</v>
      </c>
      <c r="C574" s="705" t="s">
        <v>26227</v>
      </c>
      <c r="D574" s="691">
        <v>38719</v>
      </c>
      <c r="E574" s="705" t="str">
        <f>Status!B4</f>
        <v>Concluído</v>
      </c>
      <c r="F574" s="705"/>
      <c r="G574" s="705"/>
    </row>
    <row r="575" spans="1:7" ht="38.25" hidden="1">
      <c r="A575" s="698">
        <v>574</v>
      </c>
      <c r="B575" s="691">
        <v>38719</v>
      </c>
      <c r="C575" s="705" t="s">
        <v>26228</v>
      </c>
      <c r="D575" s="691">
        <v>38719</v>
      </c>
      <c r="E575" s="705" t="str">
        <f>Status!B4</f>
        <v>Concluído</v>
      </c>
      <c r="F575" s="705"/>
      <c r="G575" s="705"/>
    </row>
    <row r="576" spans="1:7" ht="25.5" hidden="1">
      <c r="A576" s="698">
        <v>575</v>
      </c>
      <c r="B576" s="691">
        <v>38720</v>
      </c>
      <c r="C576" s="705" t="s">
        <v>26229</v>
      </c>
      <c r="D576" s="691">
        <v>38720</v>
      </c>
      <c r="E576" s="705" t="str">
        <f>Status!B4</f>
        <v>Concluído</v>
      </c>
      <c r="F576" s="705"/>
      <c r="G576" s="705"/>
    </row>
    <row r="577" spans="1:7" ht="25.5" hidden="1">
      <c r="A577" s="698">
        <v>576</v>
      </c>
      <c r="B577" s="691">
        <v>38719</v>
      </c>
      <c r="C577" s="705" t="s">
        <v>26230</v>
      </c>
      <c r="D577" s="691">
        <v>38723</v>
      </c>
      <c r="E577" s="705" t="str">
        <f>Status!B4</f>
        <v>Concluído</v>
      </c>
      <c r="F577" s="705" t="s">
        <v>26231</v>
      </c>
      <c r="G577" s="705"/>
    </row>
    <row r="578" spans="1:7" ht="38.25" hidden="1">
      <c r="A578" s="698">
        <v>577</v>
      </c>
      <c r="B578" s="691">
        <v>38719</v>
      </c>
      <c r="C578" s="705" t="s">
        <v>26232</v>
      </c>
      <c r="D578" s="691">
        <v>38720</v>
      </c>
      <c r="E578" s="705" t="str">
        <f>Status!B4</f>
        <v>Concluído</v>
      </c>
      <c r="F578" s="705"/>
      <c r="G578" s="705"/>
    </row>
    <row r="579" spans="1:7" hidden="1">
      <c r="A579" s="698">
        <v>578</v>
      </c>
      <c r="B579" s="691">
        <v>38719</v>
      </c>
      <c r="C579" s="705" t="s">
        <v>26233</v>
      </c>
      <c r="D579" s="691">
        <v>38719</v>
      </c>
      <c r="E579" s="705" t="str">
        <f>Status!B4</f>
        <v>Concluído</v>
      </c>
      <c r="F579" s="705"/>
      <c r="G579" s="705"/>
    </row>
    <row r="580" spans="1:7" ht="38.25" hidden="1">
      <c r="A580" s="698">
        <v>579</v>
      </c>
      <c r="B580" s="691">
        <v>38727</v>
      </c>
      <c r="C580" s="705" t="s">
        <v>26234</v>
      </c>
      <c r="D580" s="691">
        <v>38727</v>
      </c>
      <c r="E580" s="705" t="str">
        <f>Status!B4</f>
        <v>Concluído</v>
      </c>
      <c r="F580" s="705" t="s">
        <v>26235</v>
      </c>
      <c r="G580" s="705"/>
    </row>
    <row r="581" spans="1:7" hidden="1">
      <c r="A581" s="698">
        <v>580</v>
      </c>
      <c r="B581" s="691">
        <v>38727</v>
      </c>
      <c r="C581" s="705" t="s">
        <v>26236</v>
      </c>
      <c r="D581" s="691">
        <v>38727</v>
      </c>
      <c r="E581" s="715" t="str">
        <f>Status!B4</f>
        <v>Concluído</v>
      </c>
      <c r="F581" s="705"/>
      <c r="G581" s="705"/>
    </row>
    <row r="582" spans="1:7" hidden="1">
      <c r="A582" s="698">
        <v>581</v>
      </c>
      <c r="B582" s="691">
        <v>38727</v>
      </c>
      <c r="C582" s="705" t="s">
        <v>26237</v>
      </c>
      <c r="D582" s="691">
        <v>38727</v>
      </c>
      <c r="E582" s="705" t="str">
        <f>Status!B4</f>
        <v>Concluído</v>
      </c>
      <c r="F582" s="705"/>
      <c r="G582" s="705"/>
    </row>
    <row r="583" spans="1:7">
      <c r="A583" s="698">
        <v>582</v>
      </c>
      <c r="B583" s="691"/>
      <c r="C583" s="705"/>
      <c r="D583" s="691"/>
      <c r="E583" s="705"/>
      <c r="F583" s="705"/>
      <c r="G583" s="705"/>
    </row>
    <row r="584" spans="1:7">
      <c r="A584" s="698">
        <v>583</v>
      </c>
      <c r="B584" s="691"/>
      <c r="C584" s="705"/>
      <c r="D584" s="691"/>
      <c r="E584" s="705"/>
      <c r="F584" s="705"/>
      <c r="G584" s="705"/>
    </row>
    <row r="585" spans="1:7">
      <c r="A585" s="698">
        <v>584</v>
      </c>
      <c r="B585" s="691"/>
      <c r="C585" s="705"/>
      <c r="D585" s="691"/>
      <c r="E585" s="705"/>
      <c r="F585" s="705"/>
      <c r="G585" s="705"/>
    </row>
    <row r="586" spans="1:7">
      <c r="A586" s="698">
        <v>585</v>
      </c>
      <c r="B586" s="691"/>
      <c r="C586" s="705"/>
      <c r="D586" s="691"/>
      <c r="E586" s="705"/>
      <c r="F586" s="705"/>
      <c r="G586" s="705"/>
    </row>
    <row r="587" spans="1:7">
      <c r="A587" s="698">
        <v>586</v>
      </c>
      <c r="B587" s="691"/>
      <c r="C587" s="705"/>
      <c r="D587" s="691"/>
      <c r="E587" s="705"/>
      <c r="F587" s="705"/>
      <c r="G587" s="705"/>
    </row>
    <row r="588" spans="1:7">
      <c r="A588" s="698">
        <v>587</v>
      </c>
      <c r="B588" s="691"/>
      <c r="C588" s="705"/>
      <c r="D588" s="691"/>
      <c r="E588" s="705"/>
      <c r="F588" s="705"/>
      <c r="G588" s="705"/>
    </row>
    <row r="589" spans="1:7">
      <c r="A589" s="698">
        <v>588</v>
      </c>
      <c r="B589" s="691"/>
      <c r="C589" s="705"/>
      <c r="D589" s="691"/>
      <c r="E589" s="705"/>
      <c r="F589" s="705"/>
      <c r="G589" s="705"/>
    </row>
    <row r="590" spans="1:7">
      <c r="A590" s="698">
        <v>589</v>
      </c>
      <c r="B590" s="691"/>
      <c r="C590" s="705"/>
      <c r="D590" s="691"/>
      <c r="E590" s="705"/>
      <c r="F590" s="705"/>
      <c r="G590" s="705"/>
    </row>
    <row r="591" spans="1:7">
      <c r="A591" s="698">
        <v>590</v>
      </c>
      <c r="B591" s="691"/>
      <c r="C591" s="705"/>
      <c r="D591" s="691"/>
      <c r="E591" s="705"/>
      <c r="F591" s="705"/>
      <c r="G591" s="705"/>
    </row>
    <row r="592" spans="1:7">
      <c r="A592" s="698">
        <v>591</v>
      </c>
      <c r="B592" s="691"/>
      <c r="C592" s="705"/>
      <c r="D592" s="691"/>
      <c r="E592" s="705"/>
      <c r="F592" s="705"/>
      <c r="G592" s="705"/>
    </row>
    <row r="593" spans="1:7">
      <c r="A593" s="698">
        <v>592</v>
      </c>
      <c r="B593" s="691"/>
      <c r="C593" s="705"/>
      <c r="D593" s="691"/>
      <c r="E593" s="705"/>
      <c r="F593" s="705"/>
      <c r="G593" s="705"/>
    </row>
    <row r="594" spans="1:7">
      <c r="A594" s="698">
        <v>593</v>
      </c>
      <c r="B594" s="691"/>
      <c r="C594" s="705"/>
      <c r="D594" s="691"/>
      <c r="E594" s="705"/>
      <c r="F594" s="705"/>
      <c r="G594" s="705"/>
    </row>
    <row r="595" spans="1:7">
      <c r="A595" s="698">
        <v>594</v>
      </c>
      <c r="B595" s="691"/>
      <c r="C595" s="705"/>
      <c r="D595" s="691"/>
      <c r="E595" s="705"/>
      <c r="F595" s="705"/>
      <c r="G595" s="705"/>
    </row>
    <row r="596" spans="1:7">
      <c r="A596" s="698">
        <v>595</v>
      </c>
      <c r="B596" s="691"/>
      <c r="C596" s="705"/>
      <c r="D596" s="691"/>
      <c r="E596" s="705"/>
      <c r="F596" s="705"/>
      <c r="G596" s="705"/>
    </row>
  </sheetData>
  <sheetProtection selectLockedCells="1" selectUnlockedCells="1"/>
  <autoFilter ref="A1:G596" xr:uid="{00000000-0009-0000-0000-00006E000000}">
    <filterColumn colId="4">
      <filters blank="1"/>
    </filterColumn>
  </autoFilter>
  <hyperlinks>
    <hyperlink ref="G25" r:id="rId1" xr:uid="{00000000-0004-0000-6E00-000000000000}"/>
    <hyperlink ref="F224" r:id="rId2" xr:uid="{00000000-0004-0000-6E00-000001000000}"/>
    <hyperlink ref="C245" r:id="rId3" xr:uid="{00000000-0004-0000-6E00-000002000000}"/>
    <hyperlink ref="C270" r:id="rId4" xr:uid="{00000000-0004-0000-6E00-000003000000}"/>
  </hyperlinks>
  <pageMargins left="0.78749999999999998" right="0.78749999999999998" top="0.78749999999999998" bottom="0.78749999999999998" header="9.8611111111111108E-2" footer="9.8611111111111108E-2"/>
  <pageSetup paperSize="9" fitToHeight="0" orientation="landscape" useFirstPageNumber="1" horizontalDpi="300" verticalDpi="300"/>
  <headerFooter alignWithMargins="0">
    <oddHeader>&amp;C&amp;"Times New Roman,Regular"&amp;12&amp;A</oddHeader>
    <oddFooter>&amp;C&amp;"Times New Roman,Regular"&amp;12Página &amp;P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Plan91"/>
  <dimension ref="A1:B9"/>
  <sheetViews>
    <sheetView workbookViewId="0">
      <selection activeCell="B9" sqref="B9"/>
    </sheetView>
  </sheetViews>
  <sheetFormatPr defaultColWidth="11.5703125" defaultRowHeight="12.75"/>
  <cols>
    <col min="1" max="1" width="5.140625" style="26" customWidth="1"/>
    <col min="2" max="2" width="48.7109375" style="26" customWidth="1"/>
    <col min="3" max="16384" width="11.5703125" style="26"/>
  </cols>
  <sheetData>
    <row r="1" spans="1:2">
      <c r="A1" s="473" t="s">
        <v>25414</v>
      </c>
      <c r="B1" s="473" t="s">
        <v>883</v>
      </c>
    </row>
    <row r="2" spans="1:2">
      <c r="A2" s="473">
        <v>1</v>
      </c>
      <c r="B2" s="473" t="s">
        <v>26238</v>
      </c>
    </row>
    <row r="3" spans="1:2">
      <c r="A3" s="473">
        <v>2</v>
      </c>
      <c r="B3" s="473" t="s">
        <v>26239</v>
      </c>
    </row>
    <row r="4" spans="1:2">
      <c r="A4" s="473">
        <v>3</v>
      </c>
      <c r="B4" s="473" t="s">
        <v>26240</v>
      </c>
    </row>
    <row r="5" spans="1:2">
      <c r="A5" s="473">
        <v>4</v>
      </c>
      <c r="B5" s="473" t="s">
        <v>26241</v>
      </c>
    </row>
    <row r="6" spans="1:2">
      <c r="A6" s="473">
        <v>5</v>
      </c>
      <c r="B6" s="473" t="s">
        <v>26242</v>
      </c>
    </row>
    <row r="7" spans="1:2">
      <c r="A7" s="473">
        <v>6</v>
      </c>
      <c r="B7" s="473" t="s">
        <v>26243</v>
      </c>
    </row>
    <row r="8" spans="1:2">
      <c r="A8" s="473">
        <v>7</v>
      </c>
      <c r="B8" s="473" t="s">
        <v>26244</v>
      </c>
    </row>
    <row r="9" spans="1:2">
      <c r="A9" s="473">
        <v>8</v>
      </c>
      <c r="B9" s="473" t="s">
        <v>26245</v>
      </c>
    </row>
  </sheetData>
  <sheetProtection selectLockedCells="1" selectUnlockedCells="1"/>
  <pageMargins left="0.78749999999999998" right="0.78749999999999998" top="0.78749999999999998" bottom="0.78749999999999998" header="9.8611111111111108E-2" footer="9.8611111111111108E-2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Roman,Regular"&amp;12Página &amp;P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Plan92"/>
  <dimension ref="A1:D19"/>
  <sheetViews>
    <sheetView workbookViewId="0">
      <selection activeCell="D19" sqref="D19"/>
    </sheetView>
  </sheetViews>
  <sheetFormatPr defaultColWidth="11.7109375" defaultRowHeight="12.75" customHeight="1"/>
  <cols>
    <col min="1" max="1" width="8.140625" style="716" customWidth="1"/>
    <col min="2" max="2" width="11.7109375" style="26"/>
    <col min="3" max="3" width="38.85546875" style="26" customWidth="1"/>
    <col min="4" max="4" width="29.42578125" style="26" customWidth="1"/>
    <col min="5" max="16384" width="11.7109375" style="26"/>
  </cols>
  <sheetData>
    <row r="1" spans="1:4" ht="12.75" customHeight="1">
      <c r="A1" s="717" t="s">
        <v>26246</v>
      </c>
      <c r="B1" s="717" t="s">
        <v>825</v>
      </c>
      <c r="C1" s="473" t="s">
        <v>883</v>
      </c>
      <c r="D1" s="473" t="s">
        <v>26247</v>
      </c>
    </row>
    <row r="2" spans="1:4" ht="27.6" customHeight="1">
      <c r="A2" s="718">
        <f>Pendencias!A6</f>
        <v>5</v>
      </c>
      <c r="B2" s="719">
        <v>37970</v>
      </c>
      <c r="C2" s="707" t="s">
        <v>26248</v>
      </c>
      <c r="D2" s="707"/>
    </row>
    <row r="3" spans="1:4" ht="25.35" customHeight="1">
      <c r="A3" s="718">
        <f>Pendencias!A7</f>
        <v>6</v>
      </c>
      <c r="B3" s="719">
        <v>37970</v>
      </c>
      <c r="C3" s="707" t="s">
        <v>26248</v>
      </c>
      <c r="D3" s="707"/>
    </row>
    <row r="4" spans="1:4" ht="29.1" customHeight="1">
      <c r="A4" s="718">
        <f>Pendencias!A28</f>
        <v>27</v>
      </c>
      <c r="B4" s="719">
        <v>37970</v>
      </c>
      <c r="C4" s="707" t="s">
        <v>26249</v>
      </c>
      <c r="D4" s="707"/>
    </row>
    <row r="5" spans="1:4" ht="34.35" customHeight="1">
      <c r="A5" s="718">
        <f>Pendencias!A192</f>
        <v>191</v>
      </c>
      <c r="B5" s="719">
        <v>38051</v>
      </c>
      <c r="C5" s="720" t="s">
        <v>26250</v>
      </c>
      <c r="D5" s="707"/>
    </row>
    <row r="6" spans="1:4" ht="12.75" customHeight="1">
      <c r="A6" s="718"/>
      <c r="B6" s="719"/>
      <c r="C6" s="707"/>
      <c r="D6" s="707"/>
    </row>
    <row r="7" spans="1:4" ht="12.75" customHeight="1">
      <c r="A7" s="718"/>
      <c r="B7" s="719"/>
      <c r="C7" s="707"/>
      <c r="D7" s="707"/>
    </row>
    <row r="8" spans="1:4" ht="12.75" customHeight="1">
      <c r="A8" s="718"/>
      <c r="B8" s="719"/>
      <c r="C8" s="707"/>
      <c r="D8" s="707"/>
    </row>
    <row r="9" spans="1:4" ht="12.75" customHeight="1">
      <c r="A9" s="718"/>
      <c r="B9" s="719"/>
      <c r="C9" s="707"/>
      <c r="D9" s="707"/>
    </row>
    <row r="10" spans="1:4" ht="12.75" customHeight="1">
      <c r="A10" s="718"/>
      <c r="B10" s="719"/>
      <c r="C10" s="707"/>
      <c r="D10" s="707"/>
    </row>
    <row r="11" spans="1:4" ht="12.75" customHeight="1">
      <c r="A11" s="718"/>
      <c r="B11" s="719"/>
      <c r="C11" s="707"/>
      <c r="D11" s="707"/>
    </row>
    <row r="12" spans="1:4" ht="12.75" customHeight="1">
      <c r="A12" s="718"/>
      <c r="B12" s="719"/>
      <c r="C12" s="707"/>
      <c r="D12" s="707"/>
    </row>
    <row r="13" spans="1:4" ht="12.75" customHeight="1">
      <c r="A13" s="718"/>
      <c r="B13" s="719"/>
      <c r="C13" s="707"/>
      <c r="D13" s="707"/>
    </row>
    <row r="14" spans="1:4" ht="12.75" customHeight="1">
      <c r="A14" s="718"/>
      <c r="B14" s="719"/>
      <c r="C14" s="707"/>
      <c r="D14" s="707"/>
    </row>
    <row r="15" spans="1:4" ht="12.75" customHeight="1">
      <c r="A15" s="718"/>
      <c r="B15" s="719"/>
      <c r="C15" s="707"/>
      <c r="D15" s="707"/>
    </row>
    <row r="16" spans="1:4" ht="12.75" customHeight="1">
      <c r="A16" s="718"/>
      <c r="B16" s="719"/>
      <c r="C16" s="707"/>
      <c r="D16" s="707"/>
    </row>
    <row r="17" spans="1:4" ht="12.75" customHeight="1">
      <c r="A17" s="717"/>
      <c r="B17" s="721"/>
      <c r="C17" s="707"/>
      <c r="D17" s="707"/>
    </row>
    <row r="18" spans="1:4" ht="12.75" customHeight="1">
      <c r="A18" s="717"/>
      <c r="B18" s="721"/>
      <c r="C18" s="707"/>
      <c r="D18" s="707"/>
    </row>
    <row r="19" spans="1:4" ht="12.75" customHeight="1">
      <c r="A19" s="717"/>
      <c r="B19" s="721"/>
      <c r="C19" s="707"/>
      <c r="D19" s="707"/>
    </row>
  </sheetData>
  <sheetProtection selectLockedCells="1" selectUnlockedCells="1"/>
  <pageMargins left="0.78749999999999998" right="0.78749999999999998" top="0.78749999999999998" bottom="0.78749999999999998" header="9.8611111111111108E-2" footer="9.8611111111111108E-2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Roman,Regular"&amp;12Página &amp;P</oddFooter>
  </headerFooter>
  <legacy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Plan33"/>
  <dimension ref="A1:G80"/>
  <sheetViews>
    <sheetView topLeftCell="A62" workbookViewId="0">
      <selection activeCell="D5" sqref="D5"/>
    </sheetView>
  </sheetViews>
  <sheetFormatPr defaultColWidth="9" defaultRowHeight="11.25" customHeight="1"/>
  <cols>
    <col min="1" max="3" width="17.42578125" style="3" customWidth="1"/>
    <col min="4" max="4" width="14.7109375" style="3" customWidth="1"/>
    <col min="5" max="5" width="11.5703125" style="3" customWidth="1"/>
    <col min="6" max="7" width="12.28515625" style="3" customWidth="1"/>
    <col min="8" max="16384" width="9" style="3"/>
  </cols>
  <sheetData>
    <row r="1" spans="1:5" ht="13.5" customHeight="1">
      <c r="A1" s="25" t="s">
        <v>24987</v>
      </c>
      <c r="B1" s="487" t="s">
        <v>5438</v>
      </c>
      <c r="C1" s="31" t="s">
        <v>24998</v>
      </c>
      <c r="D1" s="25" t="s">
        <v>24992</v>
      </c>
    </row>
    <row r="2" spans="1:5" ht="13.5" customHeight="1">
      <c r="A2" s="488">
        <v>38718</v>
      </c>
      <c r="B2" s="489">
        <v>71.59</v>
      </c>
      <c r="C2" s="490">
        <v>0</v>
      </c>
      <c r="D2" s="489">
        <f t="shared" ref="D2:D65" si="0">SUM(B2:C2)</f>
        <v>71.59</v>
      </c>
      <c r="E2" s="36"/>
    </row>
    <row r="3" spans="1:5" ht="13.5" customHeight="1">
      <c r="A3" s="488">
        <v>38749</v>
      </c>
      <c r="B3" s="489">
        <v>122.15</v>
      </c>
      <c r="C3" s="490">
        <v>1.99</v>
      </c>
      <c r="D3" s="489">
        <f t="shared" si="0"/>
        <v>124.14</v>
      </c>
      <c r="E3" s="36"/>
    </row>
    <row r="4" spans="1:5" ht="13.5" customHeight="1">
      <c r="A4" s="488">
        <v>38777</v>
      </c>
      <c r="B4" s="489">
        <v>184.05</v>
      </c>
      <c r="C4" s="490">
        <v>0</v>
      </c>
      <c r="D4" s="489">
        <f t="shared" si="0"/>
        <v>184.05</v>
      </c>
      <c r="E4" s="36"/>
    </row>
    <row r="5" spans="1:5" ht="13.5" customHeight="1">
      <c r="A5" s="488">
        <v>38808</v>
      </c>
      <c r="B5" s="489">
        <v>116.02</v>
      </c>
      <c r="C5" s="490">
        <v>54.48</v>
      </c>
      <c r="D5" s="489">
        <f t="shared" si="0"/>
        <v>170.5</v>
      </c>
    </row>
    <row r="6" spans="1:5" ht="13.5" customHeight="1">
      <c r="A6" s="488">
        <v>38838</v>
      </c>
      <c r="B6" s="489">
        <v>112.11</v>
      </c>
      <c r="C6" s="490">
        <v>10.119999999999999</v>
      </c>
      <c r="D6" s="489">
        <f t="shared" si="0"/>
        <v>122.23</v>
      </c>
    </row>
    <row r="7" spans="1:5" ht="13.5" customHeight="1">
      <c r="A7" s="488">
        <v>38869</v>
      </c>
      <c r="B7" s="489">
        <v>101.69</v>
      </c>
      <c r="C7" s="490">
        <v>0</v>
      </c>
      <c r="D7" s="489">
        <f t="shared" si="0"/>
        <v>101.69</v>
      </c>
    </row>
    <row r="8" spans="1:5" ht="13.5" customHeight="1">
      <c r="A8" s="488">
        <v>38899</v>
      </c>
      <c r="B8" s="489">
        <v>132.16999999999999</v>
      </c>
      <c r="C8" s="490">
        <v>0</v>
      </c>
      <c r="D8" s="489">
        <f t="shared" si="0"/>
        <v>132.16999999999999</v>
      </c>
    </row>
    <row r="9" spans="1:5" ht="13.5" customHeight="1">
      <c r="A9" s="488">
        <v>38930</v>
      </c>
      <c r="B9" s="489">
        <v>110.16</v>
      </c>
      <c r="C9" s="490">
        <v>0</v>
      </c>
      <c r="D9" s="489">
        <f t="shared" si="0"/>
        <v>110.16</v>
      </c>
    </row>
    <row r="10" spans="1:5" ht="13.5" customHeight="1">
      <c r="A10" s="488">
        <v>38961</v>
      </c>
      <c r="B10" s="489">
        <v>128.97</v>
      </c>
      <c r="C10" s="490">
        <v>0</v>
      </c>
      <c r="D10" s="489">
        <f t="shared" si="0"/>
        <v>128.97</v>
      </c>
    </row>
    <row r="11" spans="1:5" ht="13.5" customHeight="1">
      <c r="A11" s="488">
        <v>38991</v>
      </c>
      <c r="B11" s="489">
        <v>96.46</v>
      </c>
      <c r="C11" s="490">
        <v>0.02</v>
      </c>
      <c r="D11" s="489">
        <f t="shared" si="0"/>
        <v>96.47999999999999</v>
      </c>
    </row>
    <row r="12" spans="1:5" ht="13.5" customHeight="1">
      <c r="A12" s="488">
        <v>39022</v>
      </c>
      <c r="B12" s="489">
        <v>118.35</v>
      </c>
      <c r="C12" s="490">
        <v>0</v>
      </c>
      <c r="D12" s="489">
        <f t="shared" si="0"/>
        <v>118.35</v>
      </c>
    </row>
    <row r="13" spans="1:5" ht="13.5" customHeight="1">
      <c r="A13" s="488">
        <v>39052</v>
      </c>
      <c r="B13" s="489">
        <v>120.76</v>
      </c>
      <c r="C13" s="490">
        <v>0</v>
      </c>
      <c r="D13" s="489">
        <f t="shared" si="0"/>
        <v>120.76</v>
      </c>
    </row>
    <row r="14" spans="1:5" ht="13.5" customHeight="1">
      <c r="A14" s="488">
        <v>39083</v>
      </c>
      <c r="B14" s="489">
        <v>128.29</v>
      </c>
      <c r="C14" s="490">
        <v>0</v>
      </c>
      <c r="D14" s="489">
        <f t="shared" si="0"/>
        <v>128.29</v>
      </c>
    </row>
    <row r="15" spans="1:5" ht="13.5" customHeight="1">
      <c r="A15" s="488">
        <v>39114</v>
      </c>
      <c r="B15" s="489">
        <v>147.94</v>
      </c>
      <c r="C15" s="490">
        <v>9.7200000000000006</v>
      </c>
      <c r="D15" s="489">
        <f t="shared" si="0"/>
        <v>157.66</v>
      </c>
    </row>
    <row r="16" spans="1:5" ht="13.5" customHeight="1">
      <c r="A16" s="488">
        <v>39142</v>
      </c>
      <c r="B16" s="489">
        <v>143.99</v>
      </c>
      <c r="C16" s="490">
        <v>9.7200000000000006</v>
      </c>
      <c r="D16" s="489">
        <f t="shared" si="0"/>
        <v>153.71</v>
      </c>
    </row>
    <row r="17" spans="1:4" ht="13.5" customHeight="1">
      <c r="A17" s="488">
        <v>39173</v>
      </c>
      <c r="B17" s="489">
        <v>118.33</v>
      </c>
      <c r="C17" s="490">
        <v>0</v>
      </c>
      <c r="D17" s="489">
        <f t="shared" si="0"/>
        <v>118.33</v>
      </c>
    </row>
    <row r="18" spans="1:4" ht="13.5" customHeight="1">
      <c r="A18" s="488">
        <v>39203</v>
      </c>
      <c r="B18" s="489">
        <v>79.64</v>
      </c>
      <c r="C18" s="490">
        <v>0</v>
      </c>
      <c r="D18" s="489">
        <f t="shared" si="0"/>
        <v>79.64</v>
      </c>
    </row>
    <row r="19" spans="1:4" ht="13.5" customHeight="1">
      <c r="A19" s="488">
        <v>39234</v>
      </c>
      <c r="B19" s="489">
        <v>265.08999999999997</v>
      </c>
      <c r="C19" s="490">
        <v>0</v>
      </c>
      <c r="D19" s="489">
        <f t="shared" si="0"/>
        <v>265.08999999999997</v>
      </c>
    </row>
    <row r="20" spans="1:4" ht="13.5" customHeight="1">
      <c r="A20" s="488">
        <v>39264</v>
      </c>
      <c r="B20" s="489">
        <f>Real_2007!E166</f>
        <v>39.69</v>
      </c>
      <c r="C20" s="490">
        <v>0</v>
      </c>
      <c r="D20" s="489">
        <f t="shared" si="0"/>
        <v>39.69</v>
      </c>
    </row>
    <row r="21" spans="1:4" ht="13.5" customHeight="1">
      <c r="A21" s="488">
        <v>39295</v>
      </c>
      <c r="B21" s="489">
        <v>138.88</v>
      </c>
      <c r="C21" s="490">
        <v>0</v>
      </c>
      <c r="D21" s="489">
        <f t="shared" si="0"/>
        <v>138.88</v>
      </c>
    </row>
    <row r="22" spans="1:4" ht="13.5" customHeight="1">
      <c r="A22" s="488">
        <v>39326</v>
      </c>
      <c r="B22" s="489">
        <v>158.16999999999999</v>
      </c>
      <c r="C22" s="490">
        <v>0</v>
      </c>
      <c r="D22" s="489">
        <f t="shared" si="0"/>
        <v>158.16999999999999</v>
      </c>
    </row>
    <row r="23" spans="1:4" ht="13.5" customHeight="1">
      <c r="A23" s="488">
        <v>39356</v>
      </c>
      <c r="B23" s="489">
        <v>165.43</v>
      </c>
      <c r="C23" s="490">
        <v>0</v>
      </c>
      <c r="D23" s="489">
        <f t="shared" si="0"/>
        <v>165.43</v>
      </c>
    </row>
    <row r="24" spans="1:4" ht="13.5" customHeight="1">
      <c r="A24" s="488">
        <v>39387</v>
      </c>
      <c r="B24" s="489">
        <v>124.79</v>
      </c>
      <c r="C24" s="490">
        <v>0</v>
      </c>
      <c r="D24" s="489">
        <f t="shared" si="0"/>
        <v>124.79</v>
      </c>
    </row>
    <row r="25" spans="1:4" ht="13.5" customHeight="1">
      <c r="A25" s="488">
        <v>39417</v>
      </c>
      <c r="B25" s="489">
        <v>128.11000000000001</v>
      </c>
      <c r="C25" s="490">
        <v>0</v>
      </c>
      <c r="D25" s="489">
        <f t="shared" si="0"/>
        <v>128.11000000000001</v>
      </c>
    </row>
    <row r="26" spans="1:4" ht="13.5" customHeight="1">
      <c r="A26" s="488">
        <v>39448</v>
      </c>
      <c r="B26" s="489">
        <v>127.99</v>
      </c>
      <c r="C26" s="490">
        <v>0</v>
      </c>
      <c r="D26" s="489">
        <f t="shared" si="0"/>
        <v>127.99</v>
      </c>
    </row>
    <row r="27" spans="1:4" ht="13.5" customHeight="1">
      <c r="A27" s="488">
        <v>39479</v>
      </c>
      <c r="B27" s="489">
        <v>128.44999999999999</v>
      </c>
      <c r="C27" s="490">
        <v>0</v>
      </c>
      <c r="D27" s="489">
        <f t="shared" si="0"/>
        <v>128.44999999999999</v>
      </c>
    </row>
    <row r="28" spans="1:4" ht="13.5" customHeight="1">
      <c r="A28" s="488">
        <v>39508</v>
      </c>
      <c r="B28" s="489">
        <v>159.16999999999999</v>
      </c>
      <c r="C28" s="490">
        <v>0</v>
      </c>
      <c r="D28" s="489">
        <f t="shared" si="0"/>
        <v>159.16999999999999</v>
      </c>
    </row>
    <row r="29" spans="1:4" ht="13.5" customHeight="1">
      <c r="A29" s="488">
        <v>39539</v>
      </c>
      <c r="B29" s="489">
        <v>130.07</v>
      </c>
      <c r="C29" s="490">
        <v>0</v>
      </c>
      <c r="D29" s="489">
        <f t="shared" si="0"/>
        <v>130.07</v>
      </c>
    </row>
    <row r="30" spans="1:4" ht="13.5" customHeight="1">
      <c r="A30" s="488">
        <v>39569</v>
      </c>
      <c r="B30" s="489">
        <v>127.31</v>
      </c>
      <c r="C30" s="490">
        <v>0</v>
      </c>
      <c r="D30" s="489">
        <f t="shared" si="0"/>
        <v>127.31</v>
      </c>
    </row>
    <row r="31" spans="1:4" ht="13.5" customHeight="1">
      <c r="A31" s="488">
        <v>39600</v>
      </c>
      <c r="B31" s="489">
        <v>118.98</v>
      </c>
      <c r="C31" s="490">
        <v>0</v>
      </c>
      <c r="D31" s="489">
        <f t="shared" si="0"/>
        <v>118.98</v>
      </c>
    </row>
    <row r="32" spans="1:4" ht="13.5" customHeight="1">
      <c r="A32" s="488">
        <v>39630</v>
      </c>
      <c r="B32" s="489">
        <v>118.7</v>
      </c>
      <c r="C32" s="490">
        <v>0</v>
      </c>
      <c r="D32" s="489">
        <f t="shared" si="0"/>
        <v>118.7</v>
      </c>
    </row>
    <row r="33" spans="1:4" ht="13.5" customHeight="1">
      <c r="A33" s="488">
        <v>39661</v>
      </c>
      <c r="B33" s="489">
        <v>118.95</v>
      </c>
      <c r="C33" s="490">
        <v>1.99</v>
      </c>
      <c r="D33" s="489">
        <f t="shared" si="0"/>
        <v>120.94</v>
      </c>
    </row>
    <row r="34" spans="1:4" ht="13.5" customHeight="1">
      <c r="A34" s="488">
        <v>39692</v>
      </c>
      <c r="B34" s="489">
        <v>185.44</v>
      </c>
      <c r="C34" s="490">
        <v>0</v>
      </c>
      <c r="D34" s="489">
        <f t="shared" si="0"/>
        <v>185.44</v>
      </c>
    </row>
    <row r="35" spans="1:4" ht="13.5" customHeight="1">
      <c r="A35" s="488">
        <v>39722</v>
      </c>
      <c r="B35" s="489">
        <v>126.8</v>
      </c>
      <c r="C35" s="490">
        <v>0</v>
      </c>
      <c r="D35" s="489">
        <f t="shared" si="0"/>
        <v>126.8</v>
      </c>
    </row>
    <row r="36" spans="1:4" ht="13.5" customHeight="1">
      <c r="A36" s="488">
        <v>39753</v>
      </c>
      <c r="B36" s="489">
        <v>136.74</v>
      </c>
      <c r="C36" s="490">
        <v>0</v>
      </c>
      <c r="D36" s="489">
        <f t="shared" si="0"/>
        <v>136.74</v>
      </c>
    </row>
    <row r="37" spans="1:4" ht="13.5" customHeight="1">
      <c r="A37" s="488">
        <v>39783</v>
      </c>
      <c r="B37" s="489">
        <v>46.19</v>
      </c>
      <c r="C37" s="490">
        <v>0</v>
      </c>
      <c r="D37" s="489">
        <f t="shared" si="0"/>
        <v>46.19</v>
      </c>
    </row>
    <row r="38" spans="1:4" ht="13.5" customHeight="1">
      <c r="A38" s="488">
        <v>39814</v>
      </c>
      <c r="B38" s="489">
        <v>260.37</v>
      </c>
      <c r="C38" s="490">
        <v>0</v>
      </c>
      <c r="D38" s="489">
        <f t="shared" si="0"/>
        <v>260.37</v>
      </c>
    </row>
    <row r="39" spans="1:4" ht="13.5" customHeight="1">
      <c r="A39" s="488">
        <v>39845</v>
      </c>
      <c r="B39" s="489">
        <v>135.09</v>
      </c>
      <c r="C39" s="490">
        <v>0</v>
      </c>
      <c r="D39" s="489">
        <f t="shared" si="0"/>
        <v>135.09</v>
      </c>
    </row>
    <row r="40" spans="1:4" ht="13.5" customHeight="1">
      <c r="A40" s="488">
        <v>39873</v>
      </c>
      <c r="B40" s="489">
        <v>129.79</v>
      </c>
      <c r="C40" s="490">
        <v>0</v>
      </c>
      <c r="D40" s="489">
        <f t="shared" si="0"/>
        <v>129.79</v>
      </c>
    </row>
    <row r="41" spans="1:4" ht="13.5" customHeight="1">
      <c r="A41" s="488">
        <v>39904</v>
      </c>
      <c r="B41" s="489">
        <v>139.56</v>
      </c>
      <c r="C41" s="490">
        <v>0</v>
      </c>
      <c r="D41" s="489">
        <f t="shared" si="0"/>
        <v>139.56</v>
      </c>
    </row>
    <row r="42" spans="1:4" ht="13.5" customHeight="1">
      <c r="A42" s="488">
        <v>39934</v>
      </c>
      <c r="B42" s="489">
        <v>144.71</v>
      </c>
      <c r="C42" s="490">
        <v>0</v>
      </c>
      <c r="D42" s="489">
        <f t="shared" si="0"/>
        <v>144.71</v>
      </c>
    </row>
    <row r="43" spans="1:4" ht="13.5" customHeight="1">
      <c r="A43" s="488">
        <v>39965</v>
      </c>
      <c r="B43" s="489">
        <v>135.09</v>
      </c>
      <c r="C43" s="490">
        <v>0</v>
      </c>
      <c r="D43" s="489">
        <f t="shared" si="0"/>
        <v>135.09</v>
      </c>
    </row>
    <row r="44" spans="1:4" ht="13.5" customHeight="1">
      <c r="A44" s="488">
        <v>39995</v>
      </c>
      <c r="B44" s="489">
        <v>139.07</v>
      </c>
      <c r="C44" s="490">
        <v>0</v>
      </c>
      <c r="D44" s="489">
        <f t="shared" si="0"/>
        <v>139.07</v>
      </c>
    </row>
    <row r="45" spans="1:4" ht="13.5" customHeight="1">
      <c r="A45" s="488">
        <v>40026</v>
      </c>
      <c r="B45" s="489">
        <v>62.4</v>
      </c>
      <c r="C45" s="490">
        <v>0</v>
      </c>
      <c r="D45" s="489">
        <f t="shared" si="0"/>
        <v>62.4</v>
      </c>
    </row>
    <row r="46" spans="1:4" ht="13.5" customHeight="1">
      <c r="A46" s="488">
        <v>40057</v>
      </c>
      <c r="B46" s="489">
        <v>6.68</v>
      </c>
      <c r="C46" s="490">
        <v>0</v>
      </c>
      <c r="D46" s="489">
        <f t="shared" si="0"/>
        <v>6.68</v>
      </c>
    </row>
    <row r="47" spans="1:4" ht="13.5" customHeight="1">
      <c r="A47" s="488">
        <v>40087</v>
      </c>
      <c r="B47" s="489">
        <v>8.19</v>
      </c>
      <c r="C47" s="490">
        <v>0</v>
      </c>
      <c r="D47" s="489">
        <f t="shared" si="0"/>
        <v>8.19</v>
      </c>
    </row>
    <row r="48" spans="1:4" ht="13.5" customHeight="1">
      <c r="A48" s="488">
        <v>40118</v>
      </c>
      <c r="B48" s="489">
        <v>0.67</v>
      </c>
      <c r="C48" s="490">
        <v>0</v>
      </c>
      <c r="D48" s="489">
        <f t="shared" si="0"/>
        <v>0.67</v>
      </c>
    </row>
    <row r="49" spans="1:5" ht="13.5" customHeight="1">
      <c r="A49" s="488">
        <v>40148</v>
      </c>
      <c r="B49" s="489">
        <v>27.5</v>
      </c>
      <c r="C49" s="490">
        <v>0</v>
      </c>
      <c r="D49" s="489">
        <f t="shared" si="0"/>
        <v>27.5</v>
      </c>
    </row>
    <row r="50" spans="1:5" ht="13.5" customHeight="1">
      <c r="A50" s="488">
        <v>40179</v>
      </c>
      <c r="B50" s="489">
        <v>36.950000000000003</v>
      </c>
      <c r="C50" s="490">
        <v>1.99</v>
      </c>
      <c r="D50" s="489">
        <f t="shared" si="0"/>
        <v>38.940000000000005</v>
      </c>
    </row>
    <row r="51" spans="1:5" ht="13.5" customHeight="1">
      <c r="A51" s="488">
        <v>40210</v>
      </c>
      <c r="B51" s="489">
        <v>23.87</v>
      </c>
      <c r="C51" s="490">
        <v>0</v>
      </c>
      <c r="D51" s="489">
        <f t="shared" si="0"/>
        <v>23.87</v>
      </c>
      <c r="E51" s="36"/>
    </row>
    <row r="52" spans="1:5" ht="13.5" customHeight="1">
      <c r="A52" s="488">
        <v>40238</v>
      </c>
      <c r="B52" s="489">
        <v>3.31</v>
      </c>
      <c r="C52" s="490">
        <v>0</v>
      </c>
      <c r="D52" s="489">
        <f t="shared" si="0"/>
        <v>3.31</v>
      </c>
      <c r="E52" s="36"/>
    </row>
    <row r="53" spans="1:5" ht="13.5" customHeight="1">
      <c r="A53" s="488">
        <v>40269</v>
      </c>
      <c r="B53" s="489">
        <v>1.05</v>
      </c>
      <c r="C53" s="490">
        <v>0</v>
      </c>
      <c r="D53" s="489">
        <f t="shared" si="0"/>
        <v>1.05</v>
      </c>
      <c r="E53" s="36"/>
    </row>
    <row r="54" spans="1:5" ht="13.5" customHeight="1">
      <c r="A54" s="488">
        <v>40299</v>
      </c>
      <c r="B54" s="489">
        <v>0.5</v>
      </c>
      <c r="C54" s="490">
        <v>0</v>
      </c>
      <c r="D54" s="489">
        <f t="shared" si="0"/>
        <v>0.5</v>
      </c>
      <c r="E54" s="36"/>
    </row>
    <row r="55" spans="1:5" ht="13.5" customHeight="1">
      <c r="A55" s="488">
        <v>40330</v>
      </c>
      <c r="B55" s="489">
        <v>3.02</v>
      </c>
      <c r="C55" s="490">
        <v>0</v>
      </c>
      <c r="D55" s="489">
        <f t="shared" si="0"/>
        <v>3.02</v>
      </c>
      <c r="E55" s="36"/>
    </row>
    <row r="56" spans="1:5" ht="13.5" customHeight="1">
      <c r="A56" s="488">
        <v>40360</v>
      </c>
      <c r="B56" s="489">
        <v>0.79</v>
      </c>
      <c r="C56" s="490">
        <v>0</v>
      </c>
      <c r="D56" s="489">
        <f t="shared" si="0"/>
        <v>0.79</v>
      </c>
      <c r="E56" s="36"/>
    </row>
    <row r="57" spans="1:5" ht="13.5" customHeight="1">
      <c r="A57" s="488">
        <v>40391</v>
      </c>
      <c r="B57" s="489">
        <v>37.89</v>
      </c>
      <c r="C57" s="490">
        <v>0</v>
      </c>
      <c r="D57" s="489">
        <f t="shared" si="0"/>
        <v>37.89</v>
      </c>
      <c r="E57" s="36"/>
    </row>
    <row r="58" spans="1:5" ht="13.5" customHeight="1">
      <c r="A58" s="488">
        <v>40422</v>
      </c>
      <c r="B58" s="489">
        <v>37.880000000000003</v>
      </c>
      <c r="C58" s="490">
        <v>0</v>
      </c>
      <c r="D58" s="489">
        <f t="shared" si="0"/>
        <v>37.880000000000003</v>
      </c>
      <c r="E58" s="36"/>
    </row>
    <row r="59" spans="1:5" ht="13.5" customHeight="1">
      <c r="A59" s="488">
        <v>40452</v>
      </c>
      <c r="B59" s="489">
        <v>37.9</v>
      </c>
      <c r="C59" s="490">
        <v>0</v>
      </c>
      <c r="D59" s="489">
        <f t="shared" si="0"/>
        <v>37.9</v>
      </c>
      <c r="E59" s="36"/>
    </row>
    <row r="60" spans="1:5" ht="13.5" customHeight="1">
      <c r="A60" s="488">
        <v>40483</v>
      </c>
      <c r="B60" s="489">
        <v>37.9</v>
      </c>
      <c r="C60" s="490">
        <v>0</v>
      </c>
      <c r="D60" s="489">
        <f t="shared" si="0"/>
        <v>37.9</v>
      </c>
      <c r="E60" s="36"/>
    </row>
    <row r="61" spans="1:5" ht="13.5" customHeight="1">
      <c r="A61" s="488">
        <v>40513</v>
      </c>
      <c r="B61" s="489">
        <v>37.89</v>
      </c>
      <c r="C61" s="490">
        <v>0</v>
      </c>
      <c r="D61" s="489">
        <f t="shared" si="0"/>
        <v>37.89</v>
      </c>
      <c r="E61" s="36"/>
    </row>
    <row r="62" spans="1:5" ht="13.5" customHeight="1">
      <c r="A62" s="488">
        <v>40544</v>
      </c>
      <c r="B62" s="489">
        <v>37.89</v>
      </c>
      <c r="C62" s="490">
        <v>0</v>
      </c>
      <c r="D62" s="489">
        <f t="shared" si="0"/>
        <v>37.89</v>
      </c>
      <c r="E62" s="36"/>
    </row>
    <row r="63" spans="1:5" ht="13.5" customHeight="1">
      <c r="A63" s="488">
        <v>40575</v>
      </c>
      <c r="B63" s="489">
        <v>37.880000000000003</v>
      </c>
      <c r="C63" s="490">
        <v>0.76</v>
      </c>
      <c r="D63" s="489">
        <f t="shared" si="0"/>
        <v>38.64</v>
      </c>
      <c r="E63" s="36"/>
    </row>
    <row r="64" spans="1:5" ht="13.5" customHeight="1">
      <c r="A64" s="488">
        <v>40603</v>
      </c>
      <c r="B64" s="489">
        <v>37.89</v>
      </c>
      <c r="C64" s="490">
        <v>0</v>
      </c>
      <c r="D64" s="489">
        <f t="shared" si="0"/>
        <v>37.89</v>
      </c>
      <c r="E64" s="36"/>
    </row>
    <row r="65" spans="1:7" ht="13.5" customHeight="1">
      <c r="A65" s="488">
        <v>40634</v>
      </c>
      <c r="B65" s="489">
        <v>37.9</v>
      </c>
      <c r="C65" s="490">
        <v>0</v>
      </c>
      <c r="D65" s="489">
        <f t="shared" si="0"/>
        <v>37.9</v>
      </c>
      <c r="E65" s="36"/>
    </row>
    <row r="66" spans="1:7" ht="13.5" customHeight="1">
      <c r="A66" s="488">
        <v>40664</v>
      </c>
      <c r="B66" s="489">
        <v>37.909999999999997</v>
      </c>
      <c r="C66" s="490">
        <v>0</v>
      </c>
      <c r="D66" s="489">
        <f t="shared" ref="D66:D72" si="1">SUM(B66:C66)</f>
        <v>37.909999999999997</v>
      </c>
      <c r="E66" s="36"/>
    </row>
    <row r="67" spans="1:7" ht="13.5" customHeight="1">
      <c r="A67" s="488">
        <v>40695</v>
      </c>
      <c r="B67" s="489">
        <v>37.909999999999997</v>
      </c>
      <c r="C67" s="490">
        <v>0</v>
      </c>
      <c r="D67" s="489">
        <f t="shared" si="1"/>
        <v>37.909999999999997</v>
      </c>
      <c r="E67" s="36"/>
    </row>
    <row r="68" spans="1:7" ht="13.5" customHeight="1">
      <c r="A68" s="488">
        <v>40725</v>
      </c>
      <c r="B68" s="489">
        <v>37.9</v>
      </c>
      <c r="C68" s="490">
        <v>0</v>
      </c>
      <c r="D68" s="489">
        <f t="shared" si="1"/>
        <v>37.9</v>
      </c>
      <c r="E68" s="36"/>
    </row>
    <row r="69" spans="1:7" ht="13.5" customHeight="1">
      <c r="A69" s="488">
        <v>40756</v>
      </c>
      <c r="B69" s="489">
        <v>37.9</v>
      </c>
      <c r="C69" s="490">
        <v>0</v>
      </c>
      <c r="D69" s="489">
        <f t="shared" si="1"/>
        <v>37.9</v>
      </c>
      <c r="E69" s="36"/>
    </row>
    <row r="70" spans="1:7" ht="13.5" customHeight="1">
      <c r="A70" s="488">
        <v>40787</v>
      </c>
      <c r="B70" s="489">
        <v>37.909999999999997</v>
      </c>
      <c r="C70" s="490">
        <v>0</v>
      </c>
      <c r="D70" s="489">
        <f t="shared" si="1"/>
        <v>37.909999999999997</v>
      </c>
      <c r="E70" s="36"/>
    </row>
    <row r="71" spans="1:7" ht="13.5" customHeight="1">
      <c r="A71" s="488">
        <v>40817</v>
      </c>
      <c r="B71" s="489">
        <v>37.9</v>
      </c>
      <c r="C71" s="490">
        <v>0</v>
      </c>
      <c r="D71" s="489">
        <f t="shared" si="1"/>
        <v>37.9</v>
      </c>
      <c r="E71" s="36"/>
    </row>
    <row r="72" spans="1:7" ht="13.5" customHeight="1">
      <c r="A72" s="488">
        <v>40848</v>
      </c>
      <c r="B72" s="489">
        <v>37.9</v>
      </c>
      <c r="C72" s="490">
        <v>0</v>
      </c>
      <c r="D72" s="489">
        <f t="shared" si="1"/>
        <v>37.9</v>
      </c>
      <c r="E72" s="36"/>
    </row>
    <row r="73" spans="1:7" ht="13.5" customHeight="1">
      <c r="A73" s="488">
        <v>40878</v>
      </c>
      <c r="B73" s="489">
        <v>37.9</v>
      </c>
      <c r="C73" s="490">
        <v>1</v>
      </c>
      <c r="D73" s="489">
        <f>SUM(B73:C73)</f>
        <v>38.9</v>
      </c>
      <c r="E73" s="36"/>
    </row>
    <row r="74" spans="1:7" ht="13.5" customHeight="1">
      <c r="A74" s="488"/>
      <c r="B74" s="489"/>
      <c r="C74" s="490"/>
      <c r="D74" s="489"/>
      <c r="E74" s="36"/>
    </row>
    <row r="75" spans="1:7" ht="13.5" customHeight="1">
      <c r="A75" s="488"/>
      <c r="B75" s="489"/>
      <c r="C75" s="490"/>
      <c r="D75" s="489"/>
      <c r="E75" s="36"/>
    </row>
    <row r="76" spans="1:7" ht="13.5" customHeight="1">
      <c r="A76" s="488"/>
      <c r="B76" s="489"/>
      <c r="C76" s="490"/>
      <c r="D76" s="489"/>
    </row>
    <row r="77" spans="1:7" ht="13.5" customHeight="1">
      <c r="A77" s="488"/>
      <c r="B77" s="489"/>
      <c r="C77" s="490"/>
      <c r="D77" s="489"/>
    </row>
    <row r="78" spans="1:7" ht="13.5" customHeight="1">
      <c r="A78" s="488" t="s">
        <v>920</v>
      </c>
      <c r="B78" s="36">
        <f>AVERAGE(B2:B77)</f>
        <v>90.006666666666632</v>
      </c>
      <c r="C78" s="36">
        <f>AVERAGE(C2:C77)</f>
        <v>1.274861111111111</v>
      </c>
      <c r="D78" s="36">
        <f>AVERAGE(D2:D77)</f>
        <v>91.28152777777774</v>
      </c>
      <c r="F78" s="36"/>
      <c r="G78" s="36"/>
    </row>
    <row r="79" spans="1:7" ht="13.5" customHeight="1">
      <c r="D79" s="36">
        <f>AVERAGE(B78:C78)</f>
        <v>45.64076388888887</v>
      </c>
    </row>
    <row r="80" spans="1:7" ht="13.5" customHeight="1">
      <c r="A80" s="36" t="s">
        <v>24992</v>
      </c>
      <c r="B80" s="36">
        <f>SUM(B2:B77)</f>
        <v>6480.4799999999977</v>
      </c>
      <c r="C80" s="36">
        <f>SUM(C2:C77)</f>
        <v>91.789999999999992</v>
      </c>
      <c r="D80" s="36">
        <f>SUM(B80:C80)</f>
        <v>6572.2699999999977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Plan34"/>
  <dimension ref="A1:G376"/>
  <sheetViews>
    <sheetView workbookViewId="0">
      <pane xSplit="6" ySplit="1" topLeftCell="G146" activePane="bottomRight" state="frozen"/>
      <selection pane="bottomRight" activeCell="G1" sqref="G1"/>
      <selection pane="bottomLeft" activeCell="A343" sqref="A343"/>
      <selection pane="topRight" activeCell="G1" sqref="G1"/>
    </sheetView>
  </sheetViews>
  <sheetFormatPr defaultColWidth="11.42578125" defaultRowHeight="13.5"/>
  <cols>
    <col min="1" max="1" width="18.140625" style="3" customWidth="1"/>
    <col min="2" max="2" width="18.42578125" style="3" customWidth="1"/>
    <col min="3" max="3" width="43.28515625" style="3" customWidth="1"/>
    <col min="4" max="4" width="8.85546875" style="3" customWidth="1"/>
    <col min="5" max="6" width="14.85546875" style="3" customWidth="1"/>
    <col min="7" max="7" width="12.28515625" style="3" customWidth="1"/>
    <col min="8" max="16384" width="11.42578125" style="3"/>
  </cols>
  <sheetData>
    <row r="1" spans="1:7">
      <c r="A1" s="491" t="s">
        <v>0</v>
      </c>
      <c r="B1" s="492" t="s">
        <v>26251</v>
      </c>
      <c r="C1" s="492" t="s">
        <v>3224</v>
      </c>
      <c r="D1" s="491" t="s">
        <v>26252</v>
      </c>
      <c r="E1" s="492" t="s">
        <v>363</v>
      </c>
      <c r="F1" s="491" t="s">
        <v>1841</v>
      </c>
      <c r="G1" s="3" t="s">
        <v>26253</v>
      </c>
    </row>
    <row r="2" spans="1:7">
      <c r="A2" s="83"/>
      <c r="B2" s="493"/>
      <c r="C2" s="59" t="s">
        <v>26254</v>
      </c>
      <c r="D2" s="38"/>
      <c r="E2" s="309"/>
      <c r="F2" s="38"/>
      <c r="G2" s="144"/>
    </row>
    <row r="3" spans="1:7">
      <c r="A3" s="75">
        <v>37665</v>
      </c>
      <c r="B3" s="494">
        <f>A3</f>
        <v>37665</v>
      </c>
      <c r="C3" s="52" t="s">
        <v>26255</v>
      </c>
      <c r="D3" s="255" t="s">
        <v>26256</v>
      </c>
      <c r="E3" s="135">
        <v>3</v>
      </c>
      <c r="F3" s="255" t="s">
        <v>26257</v>
      </c>
      <c r="G3" s="144"/>
    </row>
    <row r="4" spans="1:7">
      <c r="A4" s="75">
        <v>37672</v>
      </c>
      <c r="B4" s="494">
        <f t="shared" ref="B4:B12" si="0">A4</f>
        <v>37672</v>
      </c>
      <c r="C4" s="52" t="s">
        <v>26258</v>
      </c>
      <c r="D4" s="255" t="s">
        <v>26256</v>
      </c>
      <c r="E4" s="135">
        <v>3</v>
      </c>
      <c r="F4" s="255" t="s">
        <v>26259</v>
      </c>
      <c r="G4" s="144"/>
    </row>
    <row r="5" spans="1:7">
      <c r="A5" s="75">
        <v>37673</v>
      </c>
      <c r="B5" s="494">
        <f t="shared" si="0"/>
        <v>37673</v>
      </c>
      <c r="C5" s="52" t="s">
        <v>26260</v>
      </c>
      <c r="D5" s="255" t="s">
        <v>26256</v>
      </c>
      <c r="E5" s="135">
        <v>3.5</v>
      </c>
      <c r="F5" s="255" t="s">
        <v>26257</v>
      </c>
      <c r="G5" s="144"/>
    </row>
    <row r="6" spans="1:7">
      <c r="A6" s="75">
        <v>37673</v>
      </c>
      <c r="B6" s="494">
        <f t="shared" si="0"/>
        <v>37673</v>
      </c>
      <c r="C6" s="52" t="s">
        <v>26261</v>
      </c>
      <c r="D6" s="255" t="s">
        <v>26256</v>
      </c>
      <c r="E6" s="135">
        <v>3.5</v>
      </c>
      <c r="F6" s="255" t="s">
        <v>26257</v>
      </c>
      <c r="G6" s="144"/>
    </row>
    <row r="7" spans="1:7">
      <c r="A7" s="75">
        <v>37674</v>
      </c>
      <c r="B7" s="494">
        <f t="shared" si="0"/>
        <v>37674</v>
      </c>
      <c r="C7" s="52" t="s">
        <v>26262</v>
      </c>
      <c r="D7" s="255" t="s">
        <v>26256</v>
      </c>
      <c r="E7" s="135">
        <v>3</v>
      </c>
      <c r="F7" s="255" t="s">
        <v>26263</v>
      </c>
      <c r="G7" s="144"/>
    </row>
    <row r="8" spans="1:7">
      <c r="A8" s="75">
        <v>37674</v>
      </c>
      <c r="B8" s="494">
        <f t="shared" si="0"/>
        <v>37674</v>
      </c>
      <c r="C8" s="52" t="s">
        <v>26264</v>
      </c>
      <c r="D8" s="255" t="s">
        <v>26256</v>
      </c>
      <c r="E8" s="135">
        <v>5</v>
      </c>
      <c r="F8" s="255" t="s">
        <v>26259</v>
      </c>
      <c r="G8" s="144"/>
    </row>
    <row r="9" spans="1:7">
      <c r="A9" s="75">
        <v>37676</v>
      </c>
      <c r="B9" s="494">
        <f t="shared" si="0"/>
        <v>37676</v>
      </c>
      <c r="C9" s="52" t="s">
        <v>26265</v>
      </c>
      <c r="D9" s="255" t="s">
        <v>26256</v>
      </c>
      <c r="E9" s="135">
        <v>3</v>
      </c>
      <c r="F9" s="255" t="s">
        <v>26259</v>
      </c>
      <c r="G9" s="144"/>
    </row>
    <row r="10" spans="1:7">
      <c r="A10" s="75">
        <v>37679</v>
      </c>
      <c r="B10" s="494">
        <f t="shared" si="0"/>
        <v>37679</v>
      </c>
      <c r="C10" s="52" t="s">
        <v>26266</v>
      </c>
      <c r="D10" s="255" t="s">
        <v>26256</v>
      </c>
      <c r="E10" s="135">
        <v>3.5</v>
      </c>
      <c r="F10" s="255" t="s">
        <v>26257</v>
      </c>
      <c r="G10" s="144"/>
    </row>
    <row r="11" spans="1:7">
      <c r="A11" s="75">
        <v>37680</v>
      </c>
      <c r="B11" s="494">
        <f t="shared" si="0"/>
        <v>37680</v>
      </c>
      <c r="C11" s="52" t="s">
        <v>26267</v>
      </c>
      <c r="D11" s="255" t="s">
        <v>26256</v>
      </c>
      <c r="E11" s="135">
        <v>3</v>
      </c>
      <c r="F11" s="255" t="s">
        <v>26263</v>
      </c>
      <c r="G11" s="144"/>
    </row>
    <row r="12" spans="1:7">
      <c r="A12" s="75">
        <v>37680</v>
      </c>
      <c r="B12" s="494">
        <f t="shared" si="0"/>
        <v>37680</v>
      </c>
      <c r="C12" s="477" t="s">
        <v>26268</v>
      </c>
      <c r="D12" s="495" t="s">
        <v>26256</v>
      </c>
      <c r="E12" s="407">
        <v>3</v>
      </c>
      <c r="F12" s="495" t="s">
        <v>26263</v>
      </c>
      <c r="G12" s="144"/>
    </row>
    <row r="13" spans="1:7">
      <c r="A13" s="83"/>
      <c r="B13" s="493"/>
      <c r="C13" s="43" t="s">
        <v>12853</v>
      </c>
      <c r="D13" s="38"/>
      <c r="E13" s="309"/>
      <c r="F13" s="38"/>
      <c r="G13" s="144">
        <f>SUM(E3:E12)</f>
        <v>33.5</v>
      </c>
    </row>
    <row r="14" spans="1:7">
      <c r="A14" s="75">
        <v>37685</v>
      </c>
      <c r="B14" s="494">
        <f>A14</f>
        <v>37685</v>
      </c>
      <c r="C14" s="52" t="s">
        <v>26269</v>
      </c>
      <c r="D14" s="255" t="s">
        <v>26256</v>
      </c>
      <c r="E14" s="135">
        <v>3.5</v>
      </c>
      <c r="F14" s="255" t="s">
        <v>26257</v>
      </c>
      <c r="G14" s="144"/>
    </row>
    <row r="15" spans="1:7">
      <c r="A15" s="75">
        <v>37688</v>
      </c>
      <c r="B15" s="494">
        <f t="shared" ref="B15:B24" si="1">A15</f>
        <v>37688</v>
      </c>
      <c r="C15" s="52" t="s">
        <v>26270</v>
      </c>
      <c r="D15" s="255" t="s">
        <v>26256</v>
      </c>
      <c r="E15" s="135">
        <v>3</v>
      </c>
      <c r="F15" s="255" t="s">
        <v>26263</v>
      </c>
      <c r="G15" s="144"/>
    </row>
    <row r="16" spans="1:7">
      <c r="A16" s="75">
        <v>37688</v>
      </c>
      <c r="B16" s="494">
        <f t="shared" si="1"/>
        <v>37688</v>
      </c>
      <c r="C16" s="52" t="s">
        <v>26271</v>
      </c>
      <c r="D16" s="255" t="s">
        <v>26256</v>
      </c>
      <c r="E16" s="135">
        <v>3</v>
      </c>
      <c r="F16" s="255" t="s">
        <v>26263</v>
      </c>
      <c r="G16" s="144"/>
    </row>
    <row r="17" spans="1:7">
      <c r="A17" s="75">
        <v>37688</v>
      </c>
      <c r="B17" s="494">
        <f t="shared" si="1"/>
        <v>37688</v>
      </c>
      <c r="C17" s="52" t="s">
        <v>26272</v>
      </c>
      <c r="D17" s="255" t="s">
        <v>26256</v>
      </c>
      <c r="E17" s="135">
        <v>3</v>
      </c>
      <c r="F17" s="255" t="s">
        <v>26263</v>
      </c>
      <c r="G17" s="144"/>
    </row>
    <row r="18" spans="1:7">
      <c r="A18" s="75">
        <v>37695</v>
      </c>
      <c r="B18" s="494">
        <f t="shared" si="1"/>
        <v>37695</v>
      </c>
      <c r="C18" s="52" t="s">
        <v>26273</v>
      </c>
      <c r="D18" s="255" t="s">
        <v>26256</v>
      </c>
      <c r="E18" s="135">
        <v>3</v>
      </c>
      <c r="F18" s="255" t="s">
        <v>26263</v>
      </c>
      <c r="G18" s="144"/>
    </row>
    <row r="19" spans="1:7">
      <c r="A19" s="75">
        <v>37695</v>
      </c>
      <c r="B19" s="494">
        <f t="shared" si="1"/>
        <v>37695</v>
      </c>
      <c r="C19" s="52" t="s">
        <v>26274</v>
      </c>
      <c r="D19" s="255" t="s">
        <v>26256</v>
      </c>
      <c r="E19" s="135">
        <v>3</v>
      </c>
      <c r="F19" s="255" t="s">
        <v>26263</v>
      </c>
      <c r="G19" s="144"/>
    </row>
    <row r="20" spans="1:7">
      <c r="A20" s="75">
        <v>37702</v>
      </c>
      <c r="B20" s="494">
        <f t="shared" si="1"/>
        <v>37702</v>
      </c>
      <c r="C20" s="52" t="s">
        <v>26275</v>
      </c>
      <c r="D20" s="255" t="s">
        <v>26256</v>
      </c>
      <c r="E20" s="135">
        <v>3.5</v>
      </c>
      <c r="F20" s="255" t="s">
        <v>26257</v>
      </c>
      <c r="G20" s="144"/>
    </row>
    <row r="21" spans="1:7">
      <c r="A21" s="75">
        <v>37702</v>
      </c>
      <c r="B21" s="494">
        <f t="shared" si="1"/>
        <v>37702</v>
      </c>
      <c r="C21" s="52" t="s">
        <v>26276</v>
      </c>
      <c r="D21" s="255" t="s">
        <v>26256</v>
      </c>
      <c r="E21" s="135">
        <v>3.5</v>
      </c>
      <c r="F21" s="255" t="s">
        <v>26257</v>
      </c>
      <c r="G21" s="144"/>
    </row>
    <row r="22" spans="1:7">
      <c r="A22" s="75">
        <v>37702</v>
      </c>
      <c r="B22" s="494">
        <f t="shared" si="1"/>
        <v>37702</v>
      </c>
      <c r="C22" s="52" t="s">
        <v>26277</v>
      </c>
      <c r="D22" s="255" t="s">
        <v>26256</v>
      </c>
      <c r="E22" s="135">
        <v>3</v>
      </c>
      <c r="F22" s="255" t="s">
        <v>26257</v>
      </c>
      <c r="G22" s="144"/>
    </row>
    <row r="23" spans="1:7">
      <c r="A23" s="75">
        <v>37709</v>
      </c>
      <c r="B23" s="494">
        <f t="shared" si="1"/>
        <v>37709</v>
      </c>
      <c r="C23" s="52" t="s">
        <v>26278</v>
      </c>
      <c r="D23" s="255" t="s">
        <v>26256</v>
      </c>
      <c r="E23" s="135">
        <v>3</v>
      </c>
      <c r="F23" s="255" t="s">
        <v>26263</v>
      </c>
      <c r="G23" s="144"/>
    </row>
    <row r="24" spans="1:7">
      <c r="A24" s="79">
        <v>37709</v>
      </c>
      <c r="B24" s="494">
        <f t="shared" si="1"/>
        <v>37709</v>
      </c>
      <c r="C24" s="477" t="s">
        <v>26279</v>
      </c>
      <c r="D24" s="495" t="s">
        <v>26256</v>
      </c>
      <c r="E24" s="407">
        <v>3</v>
      </c>
      <c r="F24" s="495" t="s">
        <v>26263</v>
      </c>
      <c r="G24" s="144"/>
    </row>
    <row r="25" spans="1:7">
      <c r="A25" s="83"/>
      <c r="B25" s="493"/>
      <c r="C25" s="43" t="s">
        <v>12857</v>
      </c>
      <c r="D25" s="38"/>
      <c r="E25" s="309"/>
      <c r="F25" s="38"/>
      <c r="G25" s="144">
        <f>SUM(E13:E24)</f>
        <v>34.5</v>
      </c>
    </row>
    <row r="26" spans="1:7">
      <c r="A26" s="75">
        <v>37716</v>
      </c>
      <c r="B26" s="494">
        <f>A26</f>
        <v>37716</v>
      </c>
      <c r="C26" s="52" t="s">
        <v>26280</v>
      </c>
      <c r="D26" s="255" t="s">
        <v>26256</v>
      </c>
      <c r="E26" s="135">
        <v>3</v>
      </c>
      <c r="F26" s="255" t="s">
        <v>26263</v>
      </c>
      <c r="G26" s="144"/>
    </row>
    <row r="27" spans="1:7">
      <c r="A27" s="75">
        <v>37716</v>
      </c>
      <c r="B27" s="494">
        <f t="shared" ref="B27:B33" si="2">A27</f>
        <v>37716</v>
      </c>
      <c r="C27" s="52" t="s">
        <v>26281</v>
      </c>
      <c r="D27" s="255" t="s">
        <v>26256</v>
      </c>
      <c r="E27" s="135">
        <v>3</v>
      </c>
      <c r="F27" s="255" t="s">
        <v>26263</v>
      </c>
      <c r="G27" s="144"/>
    </row>
    <row r="28" spans="1:7">
      <c r="A28" s="75">
        <v>37716</v>
      </c>
      <c r="B28" s="494">
        <f t="shared" si="2"/>
        <v>37716</v>
      </c>
      <c r="C28" s="52" t="s">
        <v>26282</v>
      </c>
      <c r="D28" s="255" t="s">
        <v>26256</v>
      </c>
      <c r="E28" s="135">
        <v>3</v>
      </c>
      <c r="F28" s="255" t="s">
        <v>26263</v>
      </c>
      <c r="G28" s="144"/>
    </row>
    <row r="29" spans="1:7">
      <c r="A29" s="75">
        <v>37724</v>
      </c>
      <c r="B29" s="494">
        <f t="shared" si="2"/>
        <v>37724</v>
      </c>
      <c r="C29" s="52" t="s">
        <v>26283</v>
      </c>
      <c r="D29" s="255" t="s">
        <v>26256</v>
      </c>
      <c r="E29" s="135">
        <v>3</v>
      </c>
      <c r="F29" s="255" t="s">
        <v>26259</v>
      </c>
      <c r="G29" s="144"/>
    </row>
    <row r="30" spans="1:7">
      <c r="A30" s="75">
        <v>37738</v>
      </c>
      <c r="B30" s="494">
        <f t="shared" si="2"/>
        <v>37738</v>
      </c>
      <c r="C30" s="52" t="s">
        <v>26284</v>
      </c>
      <c r="D30" s="255" t="s">
        <v>26256</v>
      </c>
      <c r="E30" s="135">
        <v>5</v>
      </c>
      <c r="F30" s="255" t="s">
        <v>26259</v>
      </c>
      <c r="G30" s="144"/>
    </row>
    <row r="31" spans="1:7">
      <c r="A31" s="75">
        <v>37738</v>
      </c>
      <c r="B31" s="494">
        <f t="shared" si="2"/>
        <v>37738</v>
      </c>
      <c r="C31" s="52" t="s">
        <v>26285</v>
      </c>
      <c r="D31" s="255" t="s">
        <v>26256</v>
      </c>
      <c r="E31" s="135">
        <v>5</v>
      </c>
      <c r="F31" s="255" t="s">
        <v>26259</v>
      </c>
      <c r="G31" s="144"/>
    </row>
    <row r="32" spans="1:7">
      <c r="A32" s="75">
        <v>37738</v>
      </c>
      <c r="B32" s="494">
        <f t="shared" si="2"/>
        <v>37738</v>
      </c>
      <c r="C32" s="52" t="s">
        <v>26286</v>
      </c>
      <c r="D32" s="255" t="s">
        <v>26256</v>
      </c>
      <c r="E32" s="135">
        <v>5</v>
      </c>
      <c r="F32" s="255" t="s">
        <v>26259</v>
      </c>
      <c r="G32" s="144"/>
    </row>
    <row r="33" spans="1:7">
      <c r="A33" s="75">
        <v>37739</v>
      </c>
      <c r="B33" s="494">
        <f t="shared" si="2"/>
        <v>37739</v>
      </c>
      <c r="C33" s="477" t="s">
        <v>26287</v>
      </c>
      <c r="D33" s="495" t="s">
        <v>26256</v>
      </c>
      <c r="E33" s="407">
        <v>5</v>
      </c>
      <c r="F33" s="495" t="s">
        <v>26259</v>
      </c>
      <c r="G33" s="144"/>
    </row>
    <row r="34" spans="1:7">
      <c r="A34" s="83"/>
      <c r="B34" s="493"/>
      <c r="C34" s="43" t="s">
        <v>14229</v>
      </c>
      <c r="D34" s="38"/>
      <c r="E34" s="309"/>
      <c r="F34" s="38"/>
      <c r="G34" s="144">
        <f>SUM(E26:E33)</f>
        <v>32</v>
      </c>
    </row>
    <row r="35" spans="1:7">
      <c r="A35" s="75">
        <v>37745</v>
      </c>
      <c r="B35" s="494">
        <f t="shared" ref="B35:B40" si="3">A35</f>
        <v>37745</v>
      </c>
      <c r="C35" s="52" t="s">
        <v>26288</v>
      </c>
      <c r="D35" s="255" t="s">
        <v>26256</v>
      </c>
      <c r="E35" s="135">
        <v>3</v>
      </c>
      <c r="F35" s="255" t="s">
        <v>26259</v>
      </c>
      <c r="G35" s="144"/>
    </row>
    <row r="36" spans="1:7">
      <c r="A36" s="75">
        <v>37745</v>
      </c>
      <c r="B36" s="494">
        <f t="shared" si="3"/>
        <v>37745</v>
      </c>
      <c r="C36" s="52" t="s">
        <v>26289</v>
      </c>
      <c r="D36" s="255" t="s">
        <v>26256</v>
      </c>
      <c r="E36" s="135">
        <v>5</v>
      </c>
      <c r="F36" s="255" t="s">
        <v>26259</v>
      </c>
      <c r="G36" s="144"/>
    </row>
    <row r="37" spans="1:7">
      <c r="A37" s="75">
        <v>37758</v>
      </c>
      <c r="B37" s="494">
        <f t="shared" si="3"/>
        <v>37758</v>
      </c>
      <c r="C37" s="52" t="s">
        <v>26290</v>
      </c>
      <c r="D37" s="255" t="s">
        <v>26256</v>
      </c>
      <c r="E37" s="135">
        <v>3</v>
      </c>
      <c r="F37" s="255" t="s">
        <v>26263</v>
      </c>
      <c r="G37" s="144"/>
    </row>
    <row r="38" spans="1:7">
      <c r="A38" s="75">
        <v>37758</v>
      </c>
      <c r="B38" s="494">
        <f t="shared" si="3"/>
        <v>37758</v>
      </c>
      <c r="C38" s="52" t="s">
        <v>26291</v>
      </c>
      <c r="D38" s="255" t="s">
        <v>26256</v>
      </c>
      <c r="E38" s="135">
        <v>3</v>
      </c>
      <c r="F38" s="255" t="s">
        <v>26263</v>
      </c>
      <c r="G38" s="144"/>
    </row>
    <row r="39" spans="1:7">
      <c r="A39" s="75">
        <v>37758</v>
      </c>
      <c r="B39" s="494">
        <f t="shared" si="3"/>
        <v>37758</v>
      </c>
      <c r="C39" s="52" t="s">
        <v>26292</v>
      </c>
      <c r="D39" s="255" t="s">
        <v>26256</v>
      </c>
      <c r="E39" s="135">
        <v>3</v>
      </c>
      <c r="F39" s="255" t="s">
        <v>26263</v>
      </c>
      <c r="G39" s="144"/>
    </row>
    <row r="40" spans="1:7">
      <c r="A40" s="75">
        <v>37758</v>
      </c>
      <c r="B40" s="494">
        <f t="shared" si="3"/>
        <v>37758</v>
      </c>
      <c r="C40" s="477" t="s">
        <v>26293</v>
      </c>
      <c r="D40" s="495" t="s">
        <v>26256</v>
      </c>
      <c r="E40" s="407">
        <v>3</v>
      </c>
      <c r="F40" s="495" t="s">
        <v>26263</v>
      </c>
      <c r="G40" s="144"/>
    </row>
    <row r="41" spans="1:7">
      <c r="A41" s="83"/>
      <c r="B41" s="493"/>
      <c r="C41" s="43" t="s">
        <v>14252</v>
      </c>
      <c r="D41" s="38"/>
      <c r="E41" s="309"/>
      <c r="F41" s="38"/>
      <c r="G41" s="144">
        <f>SUM(E34:E40)</f>
        <v>20</v>
      </c>
    </row>
    <row r="42" spans="1:7">
      <c r="A42" s="75">
        <v>37800</v>
      </c>
      <c r="B42" s="494">
        <f>A42</f>
        <v>37800</v>
      </c>
      <c r="C42" s="52" t="s">
        <v>26294</v>
      </c>
      <c r="D42" s="255" t="s">
        <v>26256</v>
      </c>
      <c r="E42" s="135">
        <v>3.5</v>
      </c>
      <c r="F42" s="255" t="s">
        <v>26257</v>
      </c>
      <c r="G42" s="144"/>
    </row>
    <row r="43" spans="1:7">
      <c r="A43" s="75">
        <v>37801</v>
      </c>
      <c r="B43" s="494">
        <f>A43</f>
        <v>37801</v>
      </c>
      <c r="C43" s="52" t="s">
        <v>26295</v>
      </c>
      <c r="D43" s="255" t="s">
        <v>26256</v>
      </c>
      <c r="E43" s="135">
        <v>5</v>
      </c>
      <c r="F43" s="255" t="s">
        <v>26259</v>
      </c>
      <c r="G43" s="144"/>
    </row>
    <row r="44" spans="1:7">
      <c r="A44" s="75">
        <v>37801</v>
      </c>
      <c r="B44" s="494">
        <f>A44</f>
        <v>37801</v>
      </c>
      <c r="C44" s="477" t="s">
        <v>26296</v>
      </c>
      <c r="D44" s="495" t="s">
        <v>26256</v>
      </c>
      <c r="E44" s="407">
        <v>5</v>
      </c>
      <c r="F44" s="495" t="s">
        <v>26259</v>
      </c>
      <c r="G44" s="144"/>
    </row>
    <row r="45" spans="1:7">
      <c r="A45" s="83"/>
      <c r="B45" s="493"/>
      <c r="C45" s="43" t="s">
        <v>14279</v>
      </c>
      <c r="D45" s="38"/>
      <c r="E45" s="309"/>
      <c r="F45" s="38"/>
      <c r="G45" s="144">
        <f>SUM(E41:E44)</f>
        <v>13.5</v>
      </c>
    </row>
    <row r="46" spans="1:7">
      <c r="A46" s="75">
        <v>37807</v>
      </c>
      <c r="B46" s="494">
        <f>A46</f>
        <v>37807</v>
      </c>
      <c r="C46" s="52" t="s">
        <v>26297</v>
      </c>
      <c r="D46" s="255" t="s">
        <v>26256</v>
      </c>
      <c r="E46" s="135">
        <v>5.5</v>
      </c>
      <c r="F46" s="255" t="s">
        <v>26259</v>
      </c>
      <c r="G46" s="144"/>
    </row>
    <row r="47" spans="1:7">
      <c r="A47" s="75">
        <v>37807</v>
      </c>
      <c r="B47" s="494">
        <f>A47</f>
        <v>37807</v>
      </c>
      <c r="C47" s="52" t="s">
        <v>26298</v>
      </c>
      <c r="D47" s="255" t="s">
        <v>26256</v>
      </c>
      <c r="E47" s="135">
        <v>4.5</v>
      </c>
      <c r="F47" s="255" t="s">
        <v>26259</v>
      </c>
      <c r="G47" s="144"/>
    </row>
    <row r="48" spans="1:7">
      <c r="A48" s="75">
        <v>37807</v>
      </c>
      <c r="B48" s="494">
        <f>A48</f>
        <v>37807</v>
      </c>
      <c r="C48" s="52" t="s">
        <v>26287</v>
      </c>
      <c r="D48" s="255" t="s">
        <v>26256</v>
      </c>
      <c r="E48" s="135">
        <v>5.5</v>
      </c>
      <c r="F48" s="255" t="s">
        <v>26259</v>
      </c>
      <c r="G48" s="144"/>
    </row>
    <row r="49" spans="1:7">
      <c r="A49" s="75">
        <v>37818</v>
      </c>
      <c r="B49" s="494">
        <f>A49</f>
        <v>37818</v>
      </c>
      <c r="C49" s="52" t="s">
        <v>26299</v>
      </c>
      <c r="D49" s="255" t="s">
        <v>26256</v>
      </c>
      <c r="E49" s="135">
        <v>3.5</v>
      </c>
      <c r="F49" s="255" t="s">
        <v>26257</v>
      </c>
      <c r="G49" s="144"/>
    </row>
    <row r="50" spans="1:7">
      <c r="A50" s="497"/>
      <c r="B50" s="498"/>
      <c r="C50" s="499" t="s">
        <v>26300</v>
      </c>
      <c r="D50" s="500"/>
      <c r="E50" s="501"/>
      <c r="F50" s="500"/>
      <c r="G50" s="144"/>
    </row>
    <row r="51" spans="1:7">
      <c r="A51" s="83"/>
      <c r="B51" s="493"/>
      <c r="C51" s="43" t="s">
        <v>14359</v>
      </c>
      <c r="D51" s="38"/>
      <c r="E51" s="309"/>
      <c r="F51" s="38"/>
      <c r="G51" s="144">
        <f>SUM(E45:E49)</f>
        <v>19</v>
      </c>
    </row>
    <row r="52" spans="1:7">
      <c r="A52" s="75">
        <v>38031</v>
      </c>
      <c r="B52" s="494">
        <f t="shared" ref="B52:B57" si="4">A52</f>
        <v>38031</v>
      </c>
      <c r="C52" s="52" t="s">
        <v>26301</v>
      </c>
      <c r="D52" s="255" t="s">
        <v>26256</v>
      </c>
      <c r="E52" s="135">
        <v>3.5</v>
      </c>
      <c r="F52" s="255" t="s">
        <v>26302</v>
      </c>
      <c r="G52" s="144"/>
    </row>
    <row r="53" spans="1:7">
      <c r="A53" s="75">
        <v>38031</v>
      </c>
      <c r="B53" s="494">
        <f t="shared" si="4"/>
        <v>38031</v>
      </c>
      <c r="C53" s="52" t="s">
        <v>26303</v>
      </c>
      <c r="D53" s="255" t="s">
        <v>26256</v>
      </c>
      <c r="E53" s="135">
        <v>3.5</v>
      </c>
      <c r="F53" s="255" t="s">
        <v>26302</v>
      </c>
      <c r="G53" s="144"/>
    </row>
    <row r="54" spans="1:7">
      <c r="A54" s="75">
        <v>38031</v>
      </c>
      <c r="B54" s="494">
        <f t="shared" si="4"/>
        <v>38031</v>
      </c>
      <c r="C54" s="52" t="s">
        <v>26304</v>
      </c>
      <c r="D54" s="255" t="s">
        <v>26256</v>
      </c>
      <c r="E54" s="135">
        <v>3.5</v>
      </c>
      <c r="F54" s="255" t="s">
        <v>26302</v>
      </c>
      <c r="G54" s="144"/>
    </row>
    <row r="55" spans="1:7">
      <c r="A55" s="75">
        <v>38045</v>
      </c>
      <c r="B55" s="494">
        <f t="shared" si="4"/>
        <v>38045</v>
      </c>
      <c r="C55" s="52" t="s">
        <v>26305</v>
      </c>
      <c r="D55" s="255" t="s">
        <v>26306</v>
      </c>
      <c r="E55" s="135">
        <v>2.5</v>
      </c>
      <c r="F55" s="255" t="s">
        <v>26307</v>
      </c>
      <c r="G55" s="144"/>
    </row>
    <row r="56" spans="1:7">
      <c r="A56" s="75">
        <v>38045</v>
      </c>
      <c r="B56" s="494">
        <f t="shared" si="4"/>
        <v>38045</v>
      </c>
      <c r="C56" s="52" t="s">
        <v>26308</v>
      </c>
      <c r="D56" s="255" t="s">
        <v>26256</v>
      </c>
      <c r="E56" s="135">
        <v>2.5</v>
      </c>
      <c r="F56" s="255" t="s">
        <v>26307</v>
      </c>
      <c r="G56" s="144"/>
    </row>
    <row r="57" spans="1:7">
      <c r="A57" s="75">
        <v>38045</v>
      </c>
      <c r="B57" s="494">
        <f t="shared" si="4"/>
        <v>38045</v>
      </c>
      <c r="C57" s="52" t="s">
        <v>26309</v>
      </c>
      <c r="D57" s="255" t="s">
        <v>26256</v>
      </c>
      <c r="E57" s="135">
        <v>2.5</v>
      </c>
      <c r="F57" s="255" t="s">
        <v>26307</v>
      </c>
      <c r="G57" s="144"/>
    </row>
    <row r="58" spans="1:7">
      <c r="A58" s="83"/>
      <c r="B58" s="493"/>
      <c r="C58" s="43" t="s">
        <v>14598</v>
      </c>
      <c r="D58" s="38"/>
      <c r="E58" s="309"/>
      <c r="F58" s="38"/>
      <c r="G58" s="144">
        <f>SUM(E51:E57)</f>
        <v>18</v>
      </c>
    </row>
    <row r="59" spans="1:7">
      <c r="A59" s="75">
        <v>38052</v>
      </c>
      <c r="B59" s="494">
        <f>A59</f>
        <v>38052</v>
      </c>
      <c r="C59" s="52" t="s">
        <v>26310</v>
      </c>
      <c r="D59" s="255" t="s">
        <v>26256</v>
      </c>
      <c r="E59" s="135">
        <v>3.5</v>
      </c>
      <c r="F59" s="255" t="s">
        <v>26302</v>
      </c>
      <c r="G59" s="144"/>
    </row>
    <row r="60" spans="1:7">
      <c r="A60" s="75">
        <v>38052</v>
      </c>
      <c r="B60" s="494">
        <f>A60</f>
        <v>38052</v>
      </c>
      <c r="C60" s="52" t="s">
        <v>26311</v>
      </c>
      <c r="D60" s="255" t="s">
        <v>26256</v>
      </c>
      <c r="E60" s="135">
        <v>3.5</v>
      </c>
      <c r="F60" s="255" t="s">
        <v>26302</v>
      </c>
      <c r="G60" s="144"/>
    </row>
    <row r="61" spans="1:7">
      <c r="A61" s="75">
        <v>38052</v>
      </c>
      <c r="B61" s="494">
        <f>A61</f>
        <v>38052</v>
      </c>
      <c r="C61" s="52" t="s">
        <v>26312</v>
      </c>
      <c r="D61" s="255" t="s">
        <v>26256</v>
      </c>
      <c r="E61" s="135">
        <v>3.5</v>
      </c>
      <c r="F61" s="255" t="s">
        <v>26302</v>
      </c>
      <c r="G61" s="144"/>
    </row>
    <row r="62" spans="1:7">
      <c r="A62" s="75">
        <v>38052</v>
      </c>
      <c r="B62" s="494">
        <f>A62</f>
        <v>38052</v>
      </c>
      <c r="C62" s="52" t="s">
        <v>26313</v>
      </c>
      <c r="D62" s="255" t="s">
        <v>26256</v>
      </c>
      <c r="E62" s="135">
        <v>3.5</v>
      </c>
      <c r="F62" s="255" t="s">
        <v>26302</v>
      </c>
      <c r="G62" s="144"/>
    </row>
    <row r="63" spans="1:7">
      <c r="A63" s="83"/>
      <c r="B63" s="493"/>
      <c r="C63" s="43" t="s">
        <v>14411</v>
      </c>
      <c r="D63" s="38"/>
      <c r="E63" s="309"/>
      <c r="F63" s="38"/>
      <c r="G63" s="144">
        <f>SUM(E58:E62)</f>
        <v>14</v>
      </c>
    </row>
    <row r="64" spans="1:7">
      <c r="A64" s="75">
        <v>38080</v>
      </c>
      <c r="B64" s="494">
        <f>A64</f>
        <v>38080</v>
      </c>
      <c r="C64" s="52" t="s">
        <v>26314</v>
      </c>
      <c r="D64" s="255" t="s">
        <v>26256</v>
      </c>
      <c r="E64" s="135">
        <v>5.5</v>
      </c>
      <c r="F64" s="255" t="s">
        <v>26302</v>
      </c>
      <c r="G64" s="144"/>
    </row>
    <row r="65" spans="1:7">
      <c r="A65" s="75">
        <v>38087</v>
      </c>
      <c r="B65" s="494">
        <f t="shared" ref="B65:B70" si="5">A65</f>
        <v>38087</v>
      </c>
      <c r="C65" s="52" t="s">
        <v>26315</v>
      </c>
      <c r="D65" s="255" t="s">
        <v>26256</v>
      </c>
      <c r="E65" s="135">
        <v>3.5</v>
      </c>
      <c r="F65" s="255" t="s">
        <v>26307</v>
      </c>
      <c r="G65" s="144"/>
    </row>
    <row r="66" spans="1:7">
      <c r="A66" s="75">
        <v>38087</v>
      </c>
      <c r="B66" s="494">
        <f t="shared" si="5"/>
        <v>38087</v>
      </c>
      <c r="C66" s="52" t="s">
        <v>26316</v>
      </c>
      <c r="D66" s="255" t="s">
        <v>26256</v>
      </c>
      <c r="E66" s="135">
        <v>3.5</v>
      </c>
      <c r="F66" s="255" t="s">
        <v>26307</v>
      </c>
      <c r="G66" s="144"/>
    </row>
    <row r="67" spans="1:7">
      <c r="A67" s="75">
        <v>38094</v>
      </c>
      <c r="B67" s="494">
        <f t="shared" si="5"/>
        <v>38094</v>
      </c>
      <c r="C67" s="52" t="s">
        <v>26317</v>
      </c>
      <c r="D67" s="255" t="s">
        <v>26256</v>
      </c>
      <c r="E67" s="135">
        <v>3.5</v>
      </c>
      <c r="F67" s="255" t="s">
        <v>26257</v>
      </c>
      <c r="G67" s="144"/>
    </row>
    <row r="68" spans="1:7">
      <c r="A68" s="75">
        <v>38094</v>
      </c>
      <c r="B68" s="494">
        <f t="shared" si="5"/>
        <v>38094</v>
      </c>
      <c r="C68" s="52" t="s">
        <v>26318</v>
      </c>
      <c r="D68" s="255" t="s">
        <v>26256</v>
      </c>
      <c r="E68" s="135">
        <v>3.5</v>
      </c>
      <c r="F68" s="255" t="s">
        <v>26257</v>
      </c>
      <c r="G68" s="144"/>
    </row>
    <row r="69" spans="1:7">
      <c r="A69" s="75">
        <v>38094</v>
      </c>
      <c r="B69" s="494">
        <f t="shared" si="5"/>
        <v>38094</v>
      </c>
      <c r="C69" s="52" t="s">
        <v>26319</v>
      </c>
      <c r="D69" s="255" t="s">
        <v>26256</v>
      </c>
      <c r="E69" s="135">
        <v>3.5</v>
      </c>
      <c r="F69" s="255" t="s">
        <v>26257</v>
      </c>
      <c r="G69" s="144"/>
    </row>
    <row r="70" spans="1:7">
      <c r="A70" s="75">
        <v>38094</v>
      </c>
      <c r="B70" s="494">
        <f t="shared" si="5"/>
        <v>38094</v>
      </c>
      <c r="C70" s="52" t="s">
        <v>26320</v>
      </c>
      <c r="D70" s="255" t="s">
        <v>26256</v>
      </c>
      <c r="E70" s="135">
        <v>3.5</v>
      </c>
      <c r="F70" s="255" t="s">
        <v>26257</v>
      </c>
      <c r="G70" s="144">
        <f>SUM(E63:E70)</f>
        <v>26.5</v>
      </c>
    </row>
    <row r="71" spans="1:7">
      <c r="A71" s="83"/>
      <c r="B71" s="493"/>
      <c r="C71" s="59" t="s">
        <v>14605</v>
      </c>
      <c r="D71" s="38"/>
      <c r="E71" s="309"/>
      <c r="F71" s="38"/>
      <c r="G71" s="144"/>
    </row>
    <row r="72" spans="1:7">
      <c r="A72" s="75">
        <v>38129</v>
      </c>
      <c r="B72" s="494">
        <f>A72:A73</f>
        <v>38129</v>
      </c>
      <c r="C72" s="47" t="s">
        <v>26321</v>
      </c>
      <c r="D72" s="255" t="s">
        <v>26256</v>
      </c>
      <c r="E72" s="135">
        <v>3.5</v>
      </c>
      <c r="F72" s="255" t="s">
        <v>26257</v>
      </c>
      <c r="G72" s="144"/>
    </row>
    <row r="73" spans="1:7">
      <c r="A73" s="75">
        <v>38129</v>
      </c>
      <c r="B73" s="494">
        <f>A73:A74</f>
        <v>38129</v>
      </c>
      <c r="C73" s="47" t="s">
        <v>26322</v>
      </c>
      <c r="D73" s="255" t="s">
        <v>26256</v>
      </c>
      <c r="E73" s="135">
        <v>3.5</v>
      </c>
      <c r="F73" s="255" t="s">
        <v>26257</v>
      </c>
      <c r="G73" s="144"/>
    </row>
    <row r="74" spans="1:7">
      <c r="A74" s="75">
        <v>38129</v>
      </c>
      <c r="B74" s="494">
        <f>A74:A75</f>
        <v>38129</v>
      </c>
      <c r="C74" s="47" t="s">
        <v>26323</v>
      </c>
      <c r="D74" s="255" t="s">
        <v>26256</v>
      </c>
      <c r="E74" s="135">
        <v>3.5</v>
      </c>
      <c r="F74" s="255" t="s">
        <v>26257</v>
      </c>
      <c r="G74" s="144"/>
    </row>
    <row r="75" spans="1:7">
      <c r="A75" s="75">
        <v>38132</v>
      </c>
      <c r="B75" s="494">
        <f>A75</f>
        <v>38132</v>
      </c>
      <c r="C75" s="47" t="s">
        <v>26324</v>
      </c>
      <c r="D75" s="255" t="s">
        <v>26256</v>
      </c>
      <c r="E75" s="135">
        <v>3.5</v>
      </c>
      <c r="F75" s="255" t="s">
        <v>26257</v>
      </c>
      <c r="G75" s="144"/>
    </row>
    <row r="76" spans="1:7">
      <c r="A76" s="75">
        <v>38135</v>
      </c>
      <c r="B76" s="494">
        <f>A76</f>
        <v>38135</v>
      </c>
      <c r="C76" s="47" t="s">
        <v>26325</v>
      </c>
      <c r="D76" s="255" t="s">
        <v>26256</v>
      </c>
      <c r="E76" s="135">
        <v>3.5</v>
      </c>
      <c r="F76" s="255" t="s">
        <v>26257</v>
      </c>
      <c r="G76" s="144"/>
    </row>
    <row r="77" spans="1:7">
      <c r="A77" s="83"/>
      <c r="B77" s="493"/>
      <c r="C77" s="59" t="s">
        <v>12913</v>
      </c>
      <c r="D77" s="38"/>
      <c r="E77" s="309"/>
      <c r="F77" s="38"/>
      <c r="G77" s="144"/>
    </row>
    <row r="78" spans="1:7">
      <c r="A78" s="75">
        <v>38182</v>
      </c>
      <c r="B78" s="494">
        <f>A78:A79</f>
        <v>38182</v>
      </c>
      <c r="C78" s="47" t="s">
        <v>26326</v>
      </c>
      <c r="D78" s="255" t="s">
        <v>26256</v>
      </c>
      <c r="E78" s="135">
        <v>2.5</v>
      </c>
      <c r="F78" s="255" t="s">
        <v>26257</v>
      </c>
      <c r="G78" s="144"/>
    </row>
    <row r="79" spans="1:7">
      <c r="A79" s="75">
        <v>38189</v>
      </c>
      <c r="B79" s="494">
        <f t="shared" ref="B79:B84" si="6">A79:A80</f>
        <v>38189</v>
      </c>
      <c r="C79" s="47" t="s">
        <v>26327</v>
      </c>
      <c r="D79" s="255" t="s">
        <v>26256</v>
      </c>
      <c r="E79" s="135">
        <v>2.5</v>
      </c>
      <c r="F79" s="255" t="s">
        <v>26257</v>
      </c>
      <c r="G79" s="144"/>
    </row>
    <row r="80" spans="1:7">
      <c r="A80" s="75">
        <v>38189</v>
      </c>
      <c r="B80" s="494">
        <f t="shared" si="6"/>
        <v>38189</v>
      </c>
      <c r="C80" s="47" t="s">
        <v>26328</v>
      </c>
      <c r="D80" s="255" t="s">
        <v>26256</v>
      </c>
      <c r="E80" s="135">
        <v>2.5</v>
      </c>
      <c r="F80" s="255" t="s">
        <v>26257</v>
      </c>
      <c r="G80" s="144"/>
    </row>
    <row r="81" spans="1:7">
      <c r="A81" s="75">
        <v>38192</v>
      </c>
      <c r="B81" s="494">
        <f t="shared" si="6"/>
        <v>38192</v>
      </c>
      <c r="C81" s="47" t="s">
        <v>26329</v>
      </c>
      <c r="D81" s="255" t="s">
        <v>26256</v>
      </c>
      <c r="E81" s="135">
        <v>3.5</v>
      </c>
      <c r="F81" s="255" t="s">
        <v>26307</v>
      </c>
      <c r="G81" s="144"/>
    </row>
    <row r="82" spans="1:7">
      <c r="A82" s="75">
        <v>38195</v>
      </c>
      <c r="B82" s="494">
        <f t="shared" si="6"/>
        <v>38195</v>
      </c>
      <c r="C82" s="52" t="s">
        <v>26330</v>
      </c>
      <c r="D82" s="255" t="s">
        <v>26256</v>
      </c>
      <c r="E82" s="135">
        <v>4</v>
      </c>
      <c r="F82" s="255" t="s">
        <v>26257</v>
      </c>
      <c r="G82" s="144"/>
    </row>
    <row r="83" spans="1:7">
      <c r="A83" s="75">
        <v>38195</v>
      </c>
      <c r="B83" s="494">
        <f t="shared" si="6"/>
        <v>38195</v>
      </c>
      <c r="C83" s="52" t="s">
        <v>26331</v>
      </c>
      <c r="D83" s="255" t="s">
        <v>26256</v>
      </c>
      <c r="E83" s="135">
        <v>4</v>
      </c>
      <c r="F83" s="255" t="s">
        <v>26257</v>
      </c>
      <c r="G83" s="144"/>
    </row>
    <row r="84" spans="1:7">
      <c r="A84" s="79">
        <v>38195</v>
      </c>
      <c r="B84" s="494">
        <f t="shared" si="6"/>
        <v>38195</v>
      </c>
      <c r="C84" s="477" t="s">
        <v>26332</v>
      </c>
      <c r="D84" s="495" t="s">
        <v>26256</v>
      </c>
      <c r="E84" s="407">
        <v>0</v>
      </c>
      <c r="F84" s="495" t="s">
        <v>26257</v>
      </c>
      <c r="G84" s="144"/>
    </row>
    <row r="85" spans="1:7">
      <c r="A85" s="83"/>
      <c r="B85" s="493"/>
      <c r="C85" s="43" t="s">
        <v>2600</v>
      </c>
      <c r="D85" s="38"/>
      <c r="E85" s="309"/>
      <c r="F85" s="38"/>
      <c r="G85" s="144"/>
    </row>
    <row r="86" spans="1:7">
      <c r="A86" s="79">
        <v>38238</v>
      </c>
      <c r="B86" s="496">
        <f>A86</f>
        <v>38238</v>
      </c>
      <c r="C86" s="477" t="s">
        <v>26333</v>
      </c>
      <c r="D86" s="495" t="s">
        <v>26256</v>
      </c>
      <c r="E86" s="407">
        <v>3.5</v>
      </c>
      <c r="F86" s="495" t="s">
        <v>26307</v>
      </c>
      <c r="G86" s="144"/>
    </row>
    <row r="87" spans="1:7">
      <c r="A87" s="83"/>
      <c r="B87" s="493"/>
      <c r="C87" s="43" t="s">
        <v>2704</v>
      </c>
      <c r="D87" s="38"/>
      <c r="E87" s="309"/>
      <c r="F87" s="38"/>
      <c r="G87" s="144"/>
    </row>
    <row r="88" spans="1:7">
      <c r="A88" s="75">
        <v>38307</v>
      </c>
      <c r="B88" s="494">
        <f t="shared" ref="B88:B94" si="7">A88:A89</f>
        <v>38307</v>
      </c>
      <c r="C88" s="52" t="s">
        <v>26334</v>
      </c>
      <c r="D88" s="255" t="s">
        <v>26256</v>
      </c>
      <c r="E88" s="135">
        <v>6</v>
      </c>
      <c r="F88" s="255" t="s">
        <v>22256</v>
      </c>
      <c r="G88" s="144"/>
    </row>
    <row r="89" spans="1:7">
      <c r="A89" s="75">
        <v>38307</v>
      </c>
      <c r="B89" s="494">
        <f t="shared" si="7"/>
        <v>38307</v>
      </c>
      <c r="C89" s="52" t="s">
        <v>26335</v>
      </c>
      <c r="D89" s="255" t="s">
        <v>26256</v>
      </c>
      <c r="E89" s="135">
        <v>6</v>
      </c>
      <c r="F89" s="255" t="s">
        <v>22256</v>
      </c>
      <c r="G89" s="144"/>
    </row>
    <row r="90" spans="1:7">
      <c r="A90" s="75">
        <v>38308</v>
      </c>
      <c r="B90" s="494">
        <f t="shared" si="7"/>
        <v>38308</v>
      </c>
      <c r="C90" s="52" t="s">
        <v>26336</v>
      </c>
      <c r="D90" s="255" t="s">
        <v>26256</v>
      </c>
      <c r="E90" s="135">
        <v>3.5</v>
      </c>
      <c r="F90" s="255" t="s">
        <v>22256</v>
      </c>
      <c r="G90" s="144"/>
    </row>
    <row r="91" spans="1:7">
      <c r="A91" s="75">
        <v>38308</v>
      </c>
      <c r="B91" s="494">
        <f t="shared" si="7"/>
        <v>38308</v>
      </c>
      <c r="C91" s="52" t="s">
        <v>26337</v>
      </c>
      <c r="D91" s="255" t="s">
        <v>26256</v>
      </c>
      <c r="E91" s="135">
        <v>3.5</v>
      </c>
      <c r="F91" s="255" t="s">
        <v>22256</v>
      </c>
      <c r="G91" s="144"/>
    </row>
    <row r="92" spans="1:7">
      <c r="A92" s="75">
        <v>38308</v>
      </c>
      <c r="B92" s="494">
        <f t="shared" si="7"/>
        <v>38308</v>
      </c>
      <c r="C92" s="52" t="s">
        <v>26338</v>
      </c>
      <c r="D92" s="255" t="s">
        <v>26256</v>
      </c>
      <c r="E92" s="135">
        <v>3.5</v>
      </c>
      <c r="F92" s="255" t="s">
        <v>22256</v>
      </c>
      <c r="G92" s="144"/>
    </row>
    <row r="93" spans="1:7">
      <c r="A93" s="75">
        <v>38311</v>
      </c>
      <c r="B93" s="494">
        <f t="shared" si="7"/>
        <v>38311</v>
      </c>
      <c r="C93" s="52" t="s">
        <v>26339</v>
      </c>
      <c r="D93" s="255" t="s">
        <v>26256</v>
      </c>
      <c r="E93" s="135">
        <v>7</v>
      </c>
      <c r="F93" s="255" t="s">
        <v>22256</v>
      </c>
      <c r="G93" s="144"/>
    </row>
    <row r="94" spans="1:7">
      <c r="A94" s="79">
        <v>38311</v>
      </c>
      <c r="B94" s="494">
        <f t="shared" si="7"/>
        <v>38311</v>
      </c>
      <c r="C94" s="477" t="s">
        <v>26340</v>
      </c>
      <c r="D94" s="495" t="s">
        <v>26256</v>
      </c>
      <c r="E94" s="407">
        <v>6</v>
      </c>
      <c r="F94" s="495" t="s">
        <v>22256</v>
      </c>
      <c r="G94" s="144"/>
    </row>
    <row r="95" spans="1:7">
      <c r="A95" s="83"/>
      <c r="B95" s="493"/>
      <c r="C95" s="59" t="s">
        <v>14127</v>
      </c>
      <c r="D95" s="38"/>
      <c r="E95" s="309"/>
      <c r="F95" s="38"/>
      <c r="G95" s="144">
        <f>SUM(E88:E94)</f>
        <v>35.5</v>
      </c>
    </row>
    <row r="96" spans="1:7">
      <c r="A96" s="75">
        <v>38326</v>
      </c>
      <c r="B96" s="494">
        <f t="shared" ref="B96:B130" si="8">A96:A97</f>
        <v>38326</v>
      </c>
      <c r="C96" s="52" t="s">
        <v>26341</v>
      </c>
      <c r="D96" s="255" t="s">
        <v>26256</v>
      </c>
      <c r="E96" s="135">
        <v>6</v>
      </c>
      <c r="F96" s="255" t="s">
        <v>22256</v>
      </c>
      <c r="G96" s="144"/>
    </row>
    <row r="97" spans="1:7">
      <c r="A97" s="75">
        <v>38326</v>
      </c>
      <c r="B97" s="494">
        <f t="shared" si="8"/>
        <v>38326</v>
      </c>
      <c r="C97" s="52" t="s">
        <v>26342</v>
      </c>
      <c r="D97" s="255" t="s">
        <v>26256</v>
      </c>
      <c r="E97" s="135">
        <v>6</v>
      </c>
      <c r="F97" s="255" t="s">
        <v>22256</v>
      </c>
      <c r="G97" s="144"/>
    </row>
    <row r="98" spans="1:7">
      <c r="A98" s="75">
        <v>38327</v>
      </c>
      <c r="B98" s="494">
        <f t="shared" si="8"/>
        <v>38327</v>
      </c>
      <c r="C98" s="52" t="s">
        <v>26343</v>
      </c>
      <c r="D98" s="255" t="s">
        <v>26256</v>
      </c>
      <c r="E98" s="135">
        <v>7</v>
      </c>
      <c r="F98" s="255" t="s">
        <v>22256</v>
      </c>
      <c r="G98" s="144"/>
    </row>
    <row r="99" spans="1:7">
      <c r="A99" s="75">
        <v>38329</v>
      </c>
      <c r="B99" s="494">
        <f t="shared" si="8"/>
        <v>38329</v>
      </c>
      <c r="C99" s="52" t="s">
        <v>26344</v>
      </c>
      <c r="D99" s="255" t="s">
        <v>26256</v>
      </c>
      <c r="E99" s="135">
        <v>3.5</v>
      </c>
      <c r="F99" s="255" t="s">
        <v>22256</v>
      </c>
      <c r="G99" s="144"/>
    </row>
    <row r="100" spans="1:7">
      <c r="A100" s="75">
        <v>38329</v>
      </c>
      <c r="B100" s="494">
        <f t="shared" si="8"/>
        <v>38329</v>
      </c>
      <c r="C100" s="52" t="s">
        <v>26345</v>
      </c>
      <c r="D100" s="255" t="s">
        <v>26256</v>
      </c>
      <c r="E100" s="135">
        <v>3.5</v>
      </c>
      <c r="F100" s="255" t="s">
        <v>22256</v>
      </c>
      <c r="G100" s="144"/>
    </row>
    <row r="101" spans="1:7">
      <c r="A101" s="75">
        <v>38333</v>
      </c>
      <c r="B101" s="494">
        <f t="shared" si="8"/>
        <v>38333</v>
      </c>
      <c r="C101" s="52" t="s">
        <v>26346</v>
      </c>
      <c r="D101" s="255" t="s">
        <v>26256</v>
      </c>
      <c r="E101" s="135">
        <v>6</v>
      </c>
      <c r="F101" s="255" t="s">
        <v>22256</v>
      </c>
      <c r="G101" s="144"/>
    </row>
    <row r="102" spans="1:7">
      <c r="A102" s="75">
        <v>38333</v>
      </c>
      <c r="B102" s="494">
        <f t="shared" si="8"/>
        <v>38333</v>
      </c>
      <c r="C102" s="52" t="s">
        <v>26347</v>
      </c>
      <c r="D102" s="255" t="s">
        <v>26256</v>
      </c>
      <c r="E102" s="135">
        <v>6</v>
      </c>
      <c r="F102" s="255" t="s">
        <v>22256</v>
      </c>
      <c r="G102" s="144"/>
    </row>
    <row r="103" spans="1:7">
      <c r="A103" s="75">
        <v>38347</v>
      </c>
      <c r="B103" s="494">
        <f t="shared" si="8"/>
        <v>38347</v>
      </c>
      <c r="C103" s="52" t="s">
        <v>26348</v>
      </c>
      <c r="D103" s="255" t="s">
        <v>26256</v>
      </c>
      <c r="E103" s="135">
        <v>7</v>
      </c>
      <c r="F103" s="255" t="s">
        <v>22256</v>
      </c>
      <c r="G103" s="144"/>
    </row>
    <row r="104" spans="1:7">
      <c r="A104" s="75">
        <v>38347</v>
      </c>
      <c r="B104" s="494">
        <f t="shared" si="8"/>
        <v>38347</v>
      </c>
      <c r="C104" s="52" t="s">
        <v>26349</v>
      </c>
      <c r="D104" s="255" t="s">
        <v>26256</v>
      </c>
      <c r="E104" s="135">
        <v>7</v>
      </c>
      <c r="F104" s="255" t="s">
        <v>22256</v>
      </c>
      <c r="G104" s="144"/>
    </row>
    <row r="105" spans="1:7">
      <c r="A105" s="75">
        <v>38347</v>
      </c>
      <c r="B105" s="494">
        <f t="shared" si="8"/>
        <v>38347</v>
      </c>
      <c r="C105" s="52" t="s">
        <v>26350</v>
      </c>
      <c r="D105" s="255" t="s">
        <v>26256</v>
      </c>
      <c r="E105" s="135">
        <v>7</v>
      </c>
      <c r="F105" s="255" t="s">
        <v>22256</v>
      </c>
      <c r="G105" s="144"/>
    </row>
    <row r="106" spans="1:7">
      <c r="A106" s="75">
        <v>38347</v>
      </c>
      <c r="B106" s="494">
        <f t="shared" si="8"/>
        <v>38347</v>
      </c>
      <c r="C106" s="52" t="s">
        <v>26351</v>
      </c>
      <c r="D106" s="255" t="s">
        <v>26256</v>
      </c>
      <c r="E106" s="135">
        <v>0</v>
      </c>
      <c r="F106" s="255" t="s">
        <v>22256</v>
      </c>
      <c r="G106" s="144"/>
    </row>
    <row r="107" spans="1:7">
      <c r="A107" s="75">
        <v>38350</v>
      </c>
      <c r="B107" s="494">
        <f t="shared" si="8"/>
        <v>38350</v>
      </c>
      <c r="C107" s="52" t="s">
        <v>26352</v>
      </c>
      <c r="D107" s="255" t="s">
        <v>26256</v>
      </c>
      <c r="E107" s="135">
        <v>3.5</v>
      </c>
      <c r="F107" s="255" t="s">
        <v>22256</v>
      </c>
      <c r="G107" s="144"/>
    </row>
    <row r="108" spans="1:7">
      <c r="A108" s="75">
        <v>38350</v>
      </c>
      <c r="B108" s="494">
        <f t="shared" si="8"/>
        <v>38350</v>
      </c>
      <c r="C108" s="52" t="s">
        <v>26353</v>
      </c>
      <c r="D108" s="255" t="s">
        <v>26256</v>
      </c>
      <c r="E108" s="135">
        <v>3.5</v>
      </c>
      <c r="F108" s="255" t="s">
        <v>22256</v>
      </c>
      <c r="G108" s="144"/>
    </row>
    <row r="109" spans="1:7">
      <c r="A109" s="79">
        <v>38350</v>
      </c>
      <c r="B109" s="494">
        <f t="shared" si="8"/>
        <v>38350</v>
      </c>
      <c r="C109" s="477" t="s">
        <v>26354</v>
      </c>
      <c r="D109" s="495" t="s">
        <v>26256</v>
      </c>
      <c r="E109" s="407">
        <v>3.5</v>
      </c>
      <c r="F109" s="495" t="s">
        <v>22256</v>
      </c>
      <c r="G109" s="144"/>
    </row>
    <row r="110" spans="1:7">
      <c r="A110" s="83"/>
      <c r="B110" s="493"/>
      <c r="C110" s="43" t="s">
        <v>2764</v>
      </c>
      <c r="D110" s="38"/>
      <c r="E110" s="309"/>
      <c r="F110" s="38"/>
      <c r="G110" s="144">
        <f>SUM(E95:E109)</f>
        <v>69.5</v>
      </c>
    </row>
    <row r="111" spans="1:7">
      <c r="A111" s="75">
        <v>38353</v>
      </c>
      <c r="B111" s="494">
        <f t="shared" si="8"/>
        <v>38353</v>
      </c>
      <c r="C111" s="52" t="s">
        <v>26355</v>
      </c>
      <c r="D111" s="255" t="s">
        <v>26256</v>
      </c>
      <c r="E111" s="135">
        <v>7</v>
      </c>
      <c r="F111" s="255" t="s">
        <v>22256</v>
      </c>
      <c r="G111" s="144"/>
    </row>
    <row r="112" spans="1:7">
      <c r="A112" s="75">
        <v>38353</v>
      </c>
      <c r="B112" s="494">
        <f t="shared" si="8"/>
        <v>38353</v>
      </c>
      <c r="C112" s="52" t="s">
        <v>26356</v>
      </c>
      <c r="D112" s="255" t="s">
        <v>26256</v>
      </c>
      <c r="E112" s="135">
        <v>4</v>
      </c>
      <c r="F112" s="255" t="s">
        <v>22256</v>
      </c>
      <c r="G112" s="144"/>
    </row>
    <row r="113" spans="1:7">
      <c r="A113" s="75">
        <v>38353</v>
      </c>
      <c r="B113" s="494">
        <f t="shared" si="8"/>
        <v>38353</v>
      </c>
      <c r="C113" s="52" t="s">
        <v>26357</v>
      </c>
      <c r="D113" s="255" t="s">
        <v>26256</v>
      </c>
      <c r="E113" s="135">
        <v>4</v>
      </c>
      <c r="F113" s="255" t="s">
        <v>22256</v>
      </c>
      <c r="G113" s="144"/>
    </row>
    <row r="114" spans="1:7">
      <c r="A114" s="75">
        <v>38366</v>
      </c>
      <c r="B114" s="494">
        <f t="shared" si="8"/>
        <v>38366</v>
      </c>
      <c r="C114" s="52" t="s">
        <v>26358</v>
      </c>
      <c r="D114" s="255" t="s">
        <v>26256</v>
      </c>
      <c r="E114" s="135">
        <v>6</v>
      </c>
      <c r="F114" s="255" t="s">
        <v>22256</v>
      </c>
      <c r="G114" s="144"/>
    </row>
    <row r="115" spans="1:7">
      <c r="A115" s="75">
        <v>38366</v>
      </c>
      <c r="B115" s="494">
        <f t="shared" si="8"/>
        <v>38366</v>
      </c>
      <c r="C115" s="52" t="s">
        <v>26359</v>
      </c>
      <c r="D115" s="255" t="s">
        <v>26256</v>
      </c>
      <c r="E115" s="135">
        <v>4</v>
      </c>
      <c r="F115" s="255" t="s">
        <v>22256</v>
      </c>
      <c r="G115" s="144"/>
    </row>
    <row r="116" spans="1:7">
      <c r="A116" s="75">
        <v>38366</v>
      </c>
      <c r="B116" s="494">
        <f t="shared" si="8"/>
        <v>38366</v>
      </c>
      <c r="C116" s="52" t="s">
        <v>26255</v>
      </c>
      <c r="D116" s="255" t="s">
        <v>26256</v>
      </c>
      <c r="E116" s="135">
        <v>0</v>
      </c>
      <c r="F116" s="255" t="s">
        <v>22256</v>
      </c>
      <c r="G116" s="144"/>
    </row>
    <row r="117" spans="1:7">
      <c r="A117" s="75">
        <v>38366</v>
      </c>
      <c r="B117" s="494">
        <f t="shared" si="8"/>
        <v>38366</v>
      </c>
      <c r="C117" s="52" t="s">
        <v>26360</v>
      </c>
      <c r="D117" s="255" t="s">
        <v>26256</v>
      </c>
      <c r="E117" s="135">
        <v>6</v>
      </c>
      <c r="F117" s="255" t="s">
        <v>22256</v>
      </c>
      <c r="G117" s="144"/>
    </row>
    <row r="118" spans="1:7">
      <c r="A118" s="75">
        <v>38375</v>
      </c>
      <c r="B118" s="494">
        <f t="shared" si="8"/>
        <v>38375</v>
      </c>
      <c r="C118" s="52" t="s">
        <v>26361</v>
      </c>
      <c r="D118" s="255" t="s">
        <v>26256</v>
      </c>
      <c r="E118" s="135">
        <v>7</v>
      </c>
      <c r="F118" s="255" t="s">
        <v>22256</v>
      </c>
      <c r="G118" s="144"/>
    </row>
    <row r="119" spans="1:7">
      <c r="A119" s="79">
        <v>38375</v>
      </c>
      <c r="B119" s="494">
        <f t="shared" si="8"/>
        <v>38375</v>
      </c>
      <c r="C119" s="477" t="s">
        <v>26362</v>
      </c>
      <c r="D119" s="495" t="s">
        <v>26256</v>
      </c>
      <c r="E119" s="407">
        <v>7</v>
      </c>
      <c r="F119" s="495" t="s">
        <v>22256</v>
      </c>
      <c r="G119" s="144"/>
    </row>
    <row r="120" spans="1:7">
      <c r="A120" s="83"/>
      <c r="B120" s="493"/>
      <c r="C120" s="59" t="s">
        <v>14129</v>
      </c>
      <c r="D120" s="38"/>
      <c r="E120" s="309"/>
      <c r="F120" s="38"/>
      <c r="G120" s="144"/>
    </row>
    <row r="121" spans="1:7">
      <c r="A121" s="75">
        <v>38389</v>
      </c>
      <c r="B121" s="494">
        <f t="shared" si="8"/>
        <v>38389</v>
      </c>
      <c r="C121" s="52" t="s">
        <v>26363</v>
      </c>
      <c r="D121" s="255" t="s">
        <v>26256</v>
      </c>
      <c r="E121" s="135">
        <v>0</v>
      </c>
      <c r="F121" s="255" t="s">
        <v>22256</v>
      </c>
      <c r="G121" s="144">
        <f>SUM(E111:E119)</f>
        <v>45</v>
      </c>
    </row>
    <row r="122" spans="1:7">
      <c r="A122" s="75">
        <v>38389</v>
      </c>
      <c r="B122" s="494">
        <f t="shared" si="8"/>
        <v>38389</v>
      </c>
      <c r="C122" s="52" t="s">
        <v>26364</v>
      </c>
      <c r="D122" s="255" t="s">
        <v>26256</v>
      </c>
      <c r="E122" s="135">
        <v>7</v>
      </c>
      <c r="F122" s="255" t="s">
        <v>22256</v>
      </c>
      <c r="G122" s="144"/>
    </row>
    <row r="123" spans="1:7">
      <c r="A123" s="75">
        <v>38389</v>
      </c>
      <c r="B123" s="494">
        <f t="shared" si="8"/>
        <v>38389</v>
      </c>
      <c r="C123" s="52" t="s">
        <v>26365</v>
      </c>
      <c r="D123" s="255" t="s">
        <v>26256</v>
      </c>
      <c r="E123" s="135">
        <v>7</v>
      </c>
      <c r="F123" s="255" t="s">
        <v>22256</v>
      </c>
      <c r="G123" s="144"/>
    </row>
    <row r="124" spans="1:7">
      <c r="A124" s="75">
        <v>38389</v>
      </c>
      <c r="B124" s="494">
        <f t="shared" si="8"/>
        <v>38389</v>
      </c>
      <c r="C124" s="502" t="s">
        <v>26366</v>
      </c>
      <c r="D124" s="255" t="s">
        <v>26256</v>
      </c>
      <c r="E124" s="135">
        <v>7</v>
      </c>
      <c r="F124" s="255" t="s">
        <v>22256</v>
      </c>
      <c r="G124" s="144"/>
    </row>
    <row r="125" spans="1:7">
      <c r="A125" s="75">
        <v>38395</v>
      </c>
      <c r="B125" s="494">
        <f t="shared" si="8"/>
        <v>38395</v>
      </c>
      <c r="C125" s="52" t="s">
        <v>26367</v>
      </c>
      <c r="D125" s="255" t="s">
        <v>26306</v>
      </c>
      <c r="E125" s="135">
        <v>0</v>
      </c>
      <c r="F125" s="255" t="s">
        <v>22256</v>
      </c>
      <c r="G125" s="144"/>
    </row>
    <row r="126" spans="1:7">
      <c r="A126" s="75">
        <v>38395</v>
      </c>
      <c r="B126" s="494">
        <f t="shared" si="8"/>
        <v>38395</v>
      </c>
      <c r="C126" s="52" t="s">
        <v>26368</v>
      </c>
      <c r="D126" s="255" t="s">
        <v>26256</v>
      </c>
      <c r="E126" s="135">
        <v>7</v>
      </c>
      <c r="F126" s="255" t="s">
        <v>22256</v>
      </c>
      <c r="G126" s="144"/>
    </row>
    <row r="127" spans="1:7">
      <c r="A127" s="75">
        <v>38395</v>
      </c>
      <c r="B127" s="494">
        <f t="shared" si="8"/>
        <v>38395</v>
      </c>
      <c r="C127" s="52" t="s">
        <v>26369</v>
      </c>
      <c r="D127" s="255" t="s">
        <v>26256</v>
      </c>
      <c r="E127" s="135">
        <v>7</v>
      </c>
      <c r="F127" s="255" t="s">
        <v>22256</v>
      </c>
      <c r="G127" s="144"/>
    </row>
    <row r="128" spans="1:7">
      <c r="A128" s="75">
        <v>38395</v>
      </c>
      <c r="B128" s="494">
        <f t="shared" si="8"/>
        <v>38395</v>
      </c>
      <c r="C128" s="52" t="s">
        <v>26370</v>
      </c>
      <c r="D128" s="255" t="s">
        <v>26256</v>
      </c>
      <c r="E128" s="135">
        <v>7</v>
      </c>
      <c r="F128" s="255" t="s">
        <v>22256</v>
      </c>
      <c r="G128" s="144"/>
    </row>
    <row r="129" spans="1:7">
      <c r="A129" s="75">
        <v>38399</v>
      </c>
      <c r="B129" s="494">
        <f t="shared" si="8"/>
        <v>38399</v>
      </c>
      <c r="C129" s="52" t="s">
        <v>26371</v>
      </c>
      <c r="D129" s="255" t="s">
        <v>26256</v>
      </c>
      <c r="E129" s="135">
        <v>3.5</v>
      </c>
      <c r="F129" s="255" t="s">
        <v>22256</v>
      </c>
      <c r="G129" s="144"/>
    </row>
    <row r="130" spans="1:7">
      <c r="A130" s="79">
        <v>38399</v>
      </c>
      <c r="B130" s="494">
        <f t="shared" si="8"/>
        <v>38399</v>
      </c>
      <c r="C130" s="477" t="s">
        <v>26372</v>
      </c>
      <c r="D130" s="495" t="s">
        <v>26256</v>
      </c>
      <c r="E130" s="407">
        <v>3.5</v>
      </c>
      <c r="F130" s="495" t="s">
        <v>22256</v>
      </c>
      <c r="G130" s="144"/>
    </row>
    <row r="131" spans="1:7">
      <c r="A131" s="83"/>
      <c r="B131" s="493"/>
      <c r="C131" s="43" t="s">
        <v>2806</v>
      </c>
      <c r="D131" s="38"/>
      <c r="E131" s="309"/>
      <c r="F131" s="38"/>
      <c r="G131" s="144">
        <f>SUM(E120:E130)</f>
        <v>49</v>
      </c>
    </row>
    <row r="132" spans="1:7">
      <c r="A132" s="75">
        <v>38417</v>
      </c>
      <c r="B132" s="494">
        <f t="shared" ref="B132:B147" si="9">A132:A133</f>
        <v>38417</v>
      </c>
      <c r="C132" s="52" t="s">
        <v>26373</v>
      </c>
      <c r="D132" s="255" t="s">
        <v>26256</v>
      </c>
      <c r="E132" s="135">
        <v>7</v>
      </c>
      <c r="F132" s="255" t="s">
        <v>22256</v>
      </c>
      <c r="G132" s="144"/>
    </row>
    <row r="133" spans="1:7">
      <c r="A133" s="75">
        <v>38417</v>
      </c>
      <c r="B133" s="494">
        <f t="shared" si="9"/>
        <v>38417</v>
      </c>
      <c r="C133" s="52" t="s">
        <v>26374</v>
      </c>
      <c r="D133" s="255" t="s">
        <v>26256</v>
      </c>
      <c r="E133" s="135">
        <v>7</v>
      </c>
      <c r="F133" s="255" t="s">
        <v>22256</v>
      </c>
      <c r="G133" s="144"/>
    </row>
    <row r="134" spans="1:7">
      <c r="A134" s="75">
        <v>38417</v>
      </c>
      <c r="B134" s="494">
        <f t="shared" si="9"/>
        <v>38417</v>
      </c>
      <c r="C134" s="52" t="s">
        <v>26375</v>
      </c>
      <c r="D134" s="255" t="s">
        <v>26256</v>
      </c>
      <c r="E134" s="135">
        <v>7</v>
      </c>
      <c r="F134" s="255" t="s">
        <v>22256</v>
      </c>
      <c r="G134" s="144"/>
    </row>
    <row r="135" spans="1:7">
      <c r="A135" s="75">
        <v>38417</v>
      </c>
      <c r="B135" s="494">
        <f t="shared" si="9"/>
        <v>38417</v>
      </c>
      <c r="C135" s="52" t="s">
        <v>26376</v>
      </c>
      <c r="D135" s="255" t="s">
        <v>26256</v>
      </c>
      <c r="E135" s="135">
        <v>0</v>
      </c>
      <c r="F135" s="255" t="s">
        <v>22256</v>
      </c>
      <c r="G135" s="144"/>
    </row>
    <row r="136" spans="1:7">
      <c r="A136" s="75">
        <v>38419</v>
      </c>
      <c r="B136" s="494">
        <f t="shared" si="9"/>
        <v>38419</v>
      </c>
      <c r="C136" s="52" t="s">
        <v>26377</v>
      </c>
      <c r="D136" s="255" t="s">
        <v>26256</v>
      </c>
      <c r="E136" s="135">
        <v>4.5</v>
      </c>
      <c r="F136" s="255" t="s">
        <v>22256</v>
      </c>
      <c r="G136" s="144"/>
    </row>
    <row r="137" spans="1:7">
      <c r="A137" s="75">
        <v>38421</v>
      </c>
      <c r="B137" s="494">
        <f t="shared" si="9"/>
        <v>38421</v>
      </c>
      <c r="C137" s="52" t="s">
        <v>26378</v>
      </c>
      <c r="D137" s="255" t="s">
        <v>26256</v>
      </c>
      <c r="E137" s="135">
        <v>7</v>
      </c>
      <c r="F137" s="255" t="s">
        <v>22256</v>
      </c>
      <c r="G137" s="144"/>
    </row>
    <row r="138" spans="1:7">
      <c r="A138" s="75">
        <v>38421</v>
      </c>
      <c r="B138" s="494">
        <f t="shared" si="9"/>
        <v>38421</v>
      </c>
      <c r="C138" s="52" t="s">
        <v>26379</v>
      </c>
      <c r="D138" s="255" t="s">
        <v>26256</v>
      </c>
      <c r="E138" s="135">
        <v>4.5</v>
      </c>
      <c r="F138" s="255" t="s">
        <v>22256</v>
      </c>
      <c r="G138" s="144"/>
    </row>
    <row r="139" spans="1:7">
      <c r="A139" s="75">
        <v>38426</v>
      </c>
      <c r="B139" s="494">
        <f t="shared" si="9"/>
        <v>38426</v>
      </c>
      <c r="C139" s="52" t="s">
        <v>26380</v>
      </c>
      <c r="D139" s="255" t="s">
        <v>26256</v>
      </c>
      <c r="E139" s="135">
        <v>4</v>
      </c>
      <c r="F139" s="255" t="s">
        <v>26381</v>
      </c>
      <c r="G139" s="144"/>
    </row>
    <row r="140" spans="1:7">
      <c r="A140" s="75">
        <v>38426</v>
      </c>
      <c r="B140" s="494">
        <f t="shared" si="9"/>
        <v>38426</v>
      </c>
      <c r="C140" s="52" t="s">
        <v>26382</v>
      </c>
      <c r="D140" s="255" t="s">
        <v>26256</v>
      </c>
      <c r="E140" s="135">
        <v>2</v>
      </c>
      <c r="F140" s="255" t="s">
        <v>26381</v>
      </c>
      <c r="G140" s="144"/>
    </row>
    <row r="141" spans="1:7">
      <c r="A141" s="75">
        <v>38428</v>
      </c>
      <c r="B141" s="494">
        <f t="shared" si="9"/>
        <v>38428</v>
      </c>
      <c r="C141" s="52" t="s">
        <v>26383</v>
      </c>
      <c r="D141" s="255" t="s">
        <v>26256</v>
      </c>
      <c r="E141" s="135">
        <v>2</v>
      </c>
      <c r="F141" s="255" t="s">
        <v>26381</v>
      </c>
      <c r="G141" s="144"/>
    </row>
    <row r="142" spans="1:7">
      <c r="A142" s="75">
        <v>38429</v>
      </c>
      <c r="B142" s="494">
        <f t="shared" si="9"/>
        <v>38429</v>
      </c>
      <c r="C142" s="52" t="s">
        <v>26384</v>
      </c>
      <c r="D142" s="255" t="s">
        <v>26256</v>
      </c>
      <c r="E142" s="135">
        <v>4</v>
      </c>
      <c r="F142" s="255" t="s">
        <v>26381</v>
      </c>
      <c r="G142" s="144"/>
    </row>
    <row r="143" spans="1:7">
      <c r="A143" s="75">
        <v>38430</v>
      </c>
      <c r="B143" s="494">
        <f t="shared" si="9"/>
        <v>38430</v>
      </c>
      <c r="C143" s="52" t="s">
        <v>26385</v>
      </c>
      <c r="D143" s="255" t="s">
        <v>26256</v>
      </c>
      <c r="E143" s="135">
        <v>2</v>
      </c>
      <c r="F143" s="255" t="s">
        <v>26381</v>
      </c>
      <c r="G143" s="144"/>
    </row>
    <row r="144" spans="1:7">
      <c r="A144" s="75">
        <v>38430</v>
      </c>
      <c r="B144" s="494">
        <f t="shared" si="9"/>
        <v>38430</v>
      </c>
      <c r="C144" s="52" t="s">
        <v>26386</v>
      </c>
      <c r="D144" s="255" t="s">
        <v>26256</v>
      </c>
      <c r="E144" s="135">
        <v>2</v>
      </c>
      <c r="F144" s="255" t="s">
        <v>26381</v>
      </c>
      <c r="G144" s="144"/>
    </row>
    <row r="145" spans="1:7">
      <c r="A145" s="75">
        <v>38430</v>
      </c>
      <c r="B145" s="494">
        <f t="shared" si="9"/>
        <v>38430</v>
      </c>
      <c r="C145" s="52" t="s">
        <v>26267</v>
      </c>
      <c r="D145" s="255" t="s">
        <v>26256</v>
      </c>
      <c r="E145" s="135">
        <v>2</v>
      </c>
      <c r="F145" s="255" t="s">
        <v>26381</v>
      </c>
      <c r="G145" s="144"/>
    </row>
    <row r="146" spans="1:7">
      <c r="A146" s="75">
        <v>38440</v>
      </c>
      <c r="B146" s="494">
        <f t="shared" si="9"/>
        <v>38440</v>
      </c>
      <c r="C146" s="52" t="s">
        <v>26387</v>
      </c>
      <c r="D146" s="255" t="s">
        <v>26256</v>
      </c>
      <c r="E146" s="135">
        <v>2</v>
      </c>
      <c r="F146" s="255" t="s">
        <v>26381</v>
      </c>
      <c r="G146" s="144"/>
    </row>
    <row r="147" spans="1:7">
      <c r="A147" s="79">
        <v>38441</v>
      </c>
      <c r="B147" s="494">
        <f t="shared" si="9"/>
        <v>38441</v>
      </c>
      <c r="C147" s="477" t="s">
        <v>26388</v>
      </c>
      <c r="D147" s="495" t="s">
        <v>26256</v>
      </c>
      <c r="E147" s="407">
        <v>4</v>
      </c>
      <c r="F147" s="495" t="s">
        <v>26381</v>
      </c>
      <c r="G147" s="144"/>
    </row>
    <row r="148" spans="1:7">
      <c r="A148" s="83"/>
      <c r="B148" s="493"/>
      <c r="C148" s="43" t="s">
        <v>2824</v>
      </c>
      <c r="D148" s="38"/>
      <c r="E148" s="309"/>
      <c r="F148" s="38"/>
      <c r="G148" s="144">
        <f>SUM(E131:E147)</f>
        <v>61</v>
      </c>
    </row>
    <row r="149" spans="1:7">
      <c r="A149" s="75">
        <v>38443</v>
      </c>
      <c r="B149" s="494">
        <f>A149</f>
        <v>38443</v>
      </c>
      <c r="C149" s="52" t="s">
        <v>26389</v>
      </c>
      <c r="D149" s="255" t="s">
        <v>26306</v>
      </c>
      <c r="E149" s="135">
        <v>4</v>
      </c>
      <c r="F149" s="255" t="s">
        <v>26381</v>
      </c>
      <c r="G149" s="144"/>
    </row>
    <row r="150" spans="1:7">
      <c r="A150" s="75">
        <v>38443</v>
      </c>
      <c r="B150" s="494">
        <f>A150</f>
        <v>38443</v>
      </c>
      <c r="C150" s="52" t="s">
        <v>26390</v>
      </c>
      <c r="D150" s="255" t="s">
        <v>26306</v>
      </c>
      <c r="E150" s="135">
        <v>4</v>
      </c>
      <c r="F150" s="255" t="s">
        <v>26381</v>
      </c>
      <c r="G150" s="144"/>
    </row>
    <row r="151" spans="1:7">
      <c r="A151" s="75">
        <v>38465</v>
      </c>
      <c r="B151" s="494">
        <f>A151</f>
        <v>38465</v>
      </c>
      <c r="C151" s="52" t="s">
        <v>26391</v>
      </c>
      <c r="D151" s="255" t="s">
        <v>26256</v>
      </c>
      <c r="E151" s="135">
        <v>4</v>
      </c>
      <c r="F151" s="255" t="s">
        <v>26381</v>
      </c>
      <c r="G151" s="144"/>
    </row>
    <row r="152" spans="1:7">
      <c r="A152" s="75">
        <v>38465</v>
      </c>
      <c r="B152" s="494">
        <f>A152</f>
        <v>38465</v>
      </c>
      <c r="C152" s="52" t="s">
        <v>26392</v>
      </c>
      <c r="D152" s="255" t="s">
        <v>26256</v>
      </c>
      <c r="E152" s="135">
        <v>4</v>
      </c>
      <c r="F152" s="255" t="s">
        <v>26381</v>
      </c>
      <c r="G152" s="144"/>
    </row>
    <row r="153" spans="1:7">
      <c r="A153" s="79">
        <v>38467</v>
      </c>
      <c r="B153" s="496">
        <f>A153</f>
        <v>38467</v>
      </c>
      <c r="C153" s="477" t="s">
        <v>26393</v>
      </c>
      <c r="D153" s="495" t="s">
        <v>26256</v>
      </c>
      <c r="E153" s="407">
        <v>4</v>
      </c>
      <c r="F153" s="495" t="s">
        <v>26381</v>
      </c>
      <c r="G153" s="144"/>
    </row>
    <row r="154" spans="1:7">
      <c r="A154" s="83"/>
      <c r="B154" s="493"/>
      <c r="C154" s="43" t="s">
        <v>14512</v>
      </c>
      <c r="D154" s="38"/>
      <c r="E154" s="309"/>
      <c r="F154" s="38"/>
      <c r="G154" s="144">
        <f>SUM(E148:E153)</f>
        <v>20</v>
      </c>
    </row>
    <row r="155" spans="1:7">
      <c r="A155" s="75">
        <v>38489</v>
      </c>
      <c r="B155" s="494">
        <f>A155</f>
        <v>38489</v>
      </c>
      <c r="C155" s="52" t="s">
        <v>26394</v>
      </c>
      <c r="D155" s="255" t="s">
        <v>26256</v>
      </c>
      <c r="E155" s="135">
        <v>4</v>
      </c>
      <c r="F155" s="255" t="s">
        <v>26381</v>
      </c>
      <c r="G155" s="144"/>
    </row>
    <row r="156" spans="1:7">
      <c r="A156" s="75">
        <v>38489</v>
      </c>
      <c r="B156" s="494">
        <f>A156</f>
        <v>38489</v>
      </c>
      <c r="C156" s="52" t="s">
        <v>26395</v>
      </c>
      <c r="D156" s="255" t="s">
        <v>26256</v>
      </c>
      <c r="E156" s="135">
        <v>2</v>
      </c>
      <c r="F156" s="255" t="s">
        <v>26381</v>
      </c>
      <c r="G156" s="144"/>
    </row>
    <row r="157" spans="1:7">
      <c r="A157" s="75">
        <v>38489</v>
      </c>
      <c r="B157" s="494">
        <f>A157</f>
        <v>38489</v>
      </c>
      <c r="C157" s="52" t="s">
        <v>26396</v>
      </c>
      <c r="D157" s="255" t="s">
        <v>26256</v>
      </c>
      <c r="E157" s="135">
        <v>4</v>
      </c>
      <c r="F157" s="255" t="s">
        <v>26381</v>
      </c>
      <c r="G157" s="144"/>
    </row>
    <row r="158" spans="1:7">
      <c r="A158" s="79">
        <v>38502</v>
      </c>
      <c r="B158" s="496">
        <f>A158</f>
        <v>38502</v>
      </c>
      <c r="C158" s="477" t="s">
        <v>26397</v>
      </c>
      <c r="D158" s="495" t="s">
        <v>26256</v>
      </c>
      <c r="E158" s="407">
        <v>4</v>
      </c>
      <c r="F158" s="495" t="s">
        <v>26381</v>
      </c>
      <c r="G158" s="144"/>
    </row>
    <row r="159" spans="1:7">
      <c r="A159" s="83"/>
      <c r="B159" s="493"/>
      <c r="C159" s="59" t="s">
        <v>14519</v>
      </c>
      <c r="D159" s="38"/>
      <c r="E159" s="309"/>
      <c r="F159" s="38"/>
      <c r="G159" s="144">
        <f>SUM(E154:E158)</f>
        <v>14</v>
      </c>
    </row>
    <row r="160" spans="1:7">
      <c r="A160" s="75">
        <v>38507</v>
      </c>
      <c r="B160" s="494">
        <f t="shared" ref="B160:B171" si="10">A160</f>
        <v>38507</v>
      </c>
      <c r="C160" s="52" t="s">
        <v>26332</v>
      </c>
      <c r="D160" s="255" t="s">
        <v>26256</v>
      </c>
      <c r="E160" s="135">
        <v>2</v>
      </c>
      <c r="F160" s="255" t="s">
        <v>26381</v>
      </c>
      <c r="G160" s="144"/>
    </row>
    <row r="161" spans="1:7">
      <c r="A161" s="75">
        <v>38507</v>
      </c>
      <c r="B161" s="494">
        <f t="shared" si="10"/>
        <v>38507</v>
      </c>
      <c r="C161" s="52" t="s">
        <v>26342</v>
      </c>
      <c r="D161" s="255" t="s">
        <v>26256</v>
      </c>
      <c r="E161" s="135">
        <v>4</v>
      </c>
      <c r="F161" s="255" t="s">
        <v>26381</v>
      </c>
      <c r="G161" s="144"/>
    </row>
    <row r="162" spans="1:7">
      <c r="A162" s="75">
        <v>38508</v>
      </c>
      <c r="B162" s="494">
        <f t="shared" si="10"/>
        <v>38508</v>
      </c>
      <c r="C162" s="52" t="s">
        <v>26398</v>
      </c>
      <c r="D162" s="255" t="s">
        <v>26256</v>
      </c>
      <c r="E162" s="135">
        <v>4.5</v>
      </c>
      <c r="F162" s="255" t="s">
        <v>22256</v>
      </c>
      <c r="G162" s="144"/>
    </row>
    <row r="163" spans="1:7">
      <c r="A163" s="75">
        <v>38518</v>
      </c>
      <c r="B163" s="494">
        <f t="shared" si="10"/>
        <v>38518</v>
      </c>
      <c r="C163" s="52" t="s">
        <v>26399</v>
      </c>
      <c r="D163" s="255" t="s">
        <v>26256</v>
      </c>
      <c r="E163" s="135">
        <v>4</v>
      </c>
      <c r="F163" s="255" t="s">
        <v>26381</v>
      </c>
      <c r="G163" s="144"/>
    </row>
    <row r="164" spans="1:7">
      <c r="A164" s="75">
        <v>38526</v>
      </c>
      <c r="B164" s="494">
        <f t="shared" si="10"/>
        <v>38526</v>
      </c>
      <c r="C164" s="52" t="s">
        <v>26349</v>
      </c>
      <c r="D164" s="255" t="s">
        <v>26256</v>
      </c>
      <c r="E164" s="135">
        <v>4</v>
      </c>
      <c r="F164" s="255" t="s">
        <v>26381</v>
      </c>
      <c r="G164" s="144"/>
    </row>
    <row r="165" spans="1:7">
      <c r="A165" s="75">
        <v>38526</v>
      </c>
      <c r="B165" s="494">
        <f t="shared" si="10"/>
        <v>38526</v>
      </c>
      <c r="C165" s="52" t="s">
        <v>26400</v>
      </c>
      <c r="D165" s="255" t="s">
        <v>26256</v>
      </c>
      <c r="E165" s="135">
        <v>2</v>
      </c>
      <c r="F165" s="503" t="s">
        <v>26381</v>
      </c>
      <c r="G165" s="144"/>
    </row>
    <row r="166" spans="1:7">
      <c r="A166" s="75">
        <v>38528</v>
      </c>
      <c r="B166" s="494">
        <f t="shared" si="10"/>
        <v>38528</v>
      </c>
      <c r="C166" s="52" t="s">
        <v>26401</v>
      </c>
      <c r="D166" s="255" t="s">
        <v>26256</v>
      </c>
      <c r="E166" s="135">
        <v>4</v>
      </c>
      <c r="F166" s="255" t="s">
        <v>26381</v>
      </c>
      <c r="G166" s="144"/>
    </row>
    <row r="167" spans="1:7">
      <c r="A167" s="75">
        <v>38528</v>
      </c>
      <c r="B167" s="494">
        <f t="shared" si="10"/>
        <v>38528</v>
      </c>
      <c r="C167" s="52" t="s">
        <v>26402</v>
      </c>
      <c r="D167" s="255" t="s">
        <v>26256</v>
      </c>
      <c r="E167" s="135">
        <v>4</v>
      </c>
      <c r="F167" s="255" t="s">
        <v>26381</v>
      </c>
      <c r="G167" s="144"/>
    </row>
    <row r="168" spans="1:7">
      <c r="A168" s="75">
        <v>38533</v>
      </c>
      <c r="B168" s="494">
        <f t="shared" si="10"/>
        <v>38533</v>
      </c>
      <c r="C168" s="52" t="s">
        <v>26403</v>
      </c>
      <c r="D168" s="255" t="s">
        <v>26256</v>
      </c>
      <c r="E168" s="135">
        <v>0</v>
      </c>
      <c r="F168" s="255" t="s">
        <v>26381</v>
      </c>
      <c r="G168" s="144"/>
    </row>
    <row r="169" spans="1:7">
      <c r="A169" s="75">
        <v>38533</v>
      </c>
      <c r="B169" s="494">
        <f t="shared" si="10"/>
        <v>38533</v>
      </c>
      <c r="C169" s="52" t="s">
        <v>26404</v>
      </c>
      <c r="D169" s="255" t="s">
        <v>26256</v>
      </c>
      <c r="E169" s="135">
        <v>4</v>
      </c>
      <c r="F169" s="503" t="s">
        <v>26381</v>
      </c>
      <c r="G169" s="144"/>
    </row>
    <row r="170" spans="1:7">
      <c r="A170" s="75">
        <v>38533</v>
      </c>
      <c r="B170" s="494">
        <f t="shared" si="10"/>
        <v>38533</v>
      </c>
      <c r="C170" s="52" t="s">
        <v>26405</v>
      </c>
      <c r="D170" s="255" t="s">
        <v>26256</v>
      </c>
      <c r="E170" s="135">
        <v>4</v>
      </c>
      <c r="F170" s="255" t="s">
        <v>26381</v>
      </c>
      <c r="G170" s="144"/>
    </row>
    <row r="171" spans="1:7">
      <c r="A171" s="79">
        <v>38533</v>
      </c>
      <c r="B171" s="494">
        <f t="shared" si="10"/>
        <v>38533</v>
      </c>
      <c r="C171" s="477" t="s">
        <v>26406</v>
      </c>
      <c r="D171" s="495" t="s">
        <v>26256</v>
      </c>
      <c r="E171" s="407">
        <v>4</v>
      </c>
      <c r="F171" s="495" t="s">
        <v>26381</v>
      </c>
      <c r="G171" s="144"/>
    </row>
    <row r="172" spans="1:7">
      <c r="A172" s="83"/>
      <c r="B172" s="493"/>
      <c r="C172" s="43" t="s">
        <v>26407</v>
      </c>
      <c r="D172" s="38"/>
      <c r="E172" s="309"/>
      <c r="F172" s="38"/>
      <c r="G172" s="144">
        <f>SUM(E159:E171)</f>
        <v>40.5</v>
      </c>
    </row>
    <row r="173" spans="1:7">
      <c r="A173" s="75">
        <v>38535</v>
      </c>
      <c r="B173" s="494">
        <f t="shared" ref="B173:B182" si="11">A173</f>
        <v>38535</v>
      </c>
      <c r="C173" s="52" t="s">
        <v>26408</v>
      </c>
      <c r="D173" s="255" t="s">
        <v>26256</v>
      </c>
      <c r="E173" s="135">
        <v>4</v>
      </c>
      <c r="F173" s="255" t="s">
        <v>26381</v>
      </c>
      <c r="G173" s="144"/>
    </row>
    <row r="174" spans="1:7">
      <c r="A174" s="75">
        <v>38535</v>
      </c>
      <c r="B174" s="494">
        <f t="shared" si="11"/>
        <v>38535</v>
      </c>
      <c r="C174" s="52" t="s">
        <v>26409</v>
      </c>
      <c r="D174" s="255" t="s">
        <v>26256</v>
      </c>
      <c r="E174" s="135">
        <v>2</v>
      </c>
      <c r="F174" s="255" t="s">
        <v>26381</v>
      </c>
      <c r="G174" s="144"/>
    </row>
    <row r="175" spans="1:7">
      <c r="A175" s="75">
        <v>38556</v>
      </c>
      <c r="B175" s="494">
        <f t="shared" si="11"/>
        <v>38556</v>
      </c>
      <c r="C175" s="52" t="s">
        <v>26410</v>
      </c>
      <c r="D175" s="255" t="s">
        <v>26256</v>
      </c>
      <c r="E175" s="135">
        <v>4</v>
      </c>
      <c r="F175" s="255" t="s">
        <v>26381</v>
      </c>
      <c r="G175" s="144"/>
    </row>
    <row r="176" spans="1:7">
      <c r="A176" s="75">
        <v>38556</v>
      </c>
      <c r="B176" s="494">
        <f t="shared" si="11"/>
        <v>38556</v>
      </c>
      <c r="C176" s="52" t="s">
        <v>26411</v>
      </c>
      <c r="D176" s="255" t="s">
        <v>26256</v>
      </c>
      <c r="E176" s="135">
        <v>4</v>
      </c>
      <c r="F176" s="255" t="s">
        <v>26381</v>
      </c>
    </row>
    <row r="177" spans="1:7">
      <c r="A177" s="75">
        <v>38562</v>
      </c>
      <c r="B177" s="494">
        <f t="shared" si="11"/>
        <v>38562</v>
      </c>
      <c r="C177" s="52" t="s">
        <v>26412</v>
      </c>
      <c r="D177" s="255" t="s">
        <v>26256</v>
      </c>
      <c r="E177" s="135">
        <v>2</v>
      </c>
      <c r="F177" s="255" t="s">
        <v>26381</v>
      </c>
    </row>
    <row r="178" spans="1:7">
      <c r="A178" s="75">
        <v>38562</v>
      </c>
      <c r="B178" s="494">
        <f t="shared" si="11"/>
        <v>38562</v>
      </c>
      <c r="C178" s="52" t="s">
        <v>26413</v>
      </c>
      <c r="D178" s="255" t="s">
        <v>26256</v>
      </c>
      <c r="E178" s="135">
        <v>2</v>
      </c>
      <c r="F178" s="255" t="s">
        <v>26381</v>
      </c>
    </row>
    <row r="179" spans="1:7">
      <c r="A179" s="75">
        <v>38563</v>
      </c>
      <c r="B179" s="494">
        <f t="shared" si="11"/>
        <v>38563</v>
      </c>
      <c r="C179" s="52" t="s">
        <v>26414</v>
      </c>
      <c r="D179" s="255" t="s">
        <v>26256</v>
      </c>
      <c r="E179" s="135">
        <v>2</v>
      </c>
      <c r="F179" s="255" t="s">
        <v>26381</v>
      </c>
    </row>
    <row r="180" spans="1:7">
      <c r="A180" s="75">
        <v>38563</v>
      </c>
      <c r="B180" s="494">
        <f t="shared" si="11"/>
        <v>38563</v>
      </c>
      <c r="C180" s="52" t="s">
        <v>26415</v>
      </c>
      <c r="D180" s="255" t="s">
        <v>26256</v>
      </c>
      <c r="E180" s="135">
        <v>2</v>
      </c>
      <c r="F180" s="255" t="s">
        <v>26381</v>
      </c>
    </row>
    <row r="181" spans="1:7">
      <c r="A181" s="75">
        <v>38563</v>
      </c>
      <c r="B181" s="494">
        <f t="shared" si="11"/>
        <v>38563</v>
      </c>
      <c r="C181" s="52" t="s">
        <v>26416</v>
      </c>
      <c r="D181" s="255" t="s">
        <v>26256</v>
      </c>
      <c r="E181" s="135">
        <v>2</v>
      </c>
      <c r="F181" s="255" t="s">
        <v>26381</v>
      </c>
    </row>
    <row r="182" spans="1:7">
      <c r="A182" s="79">
        <v>38563</v>
      </c>
      <c r="B182" s="494">
        <f t="shared" si="11"/>
        <v>38563</v>
      </c>
      <c r="C182" s="477" t="s">
        <v>26417</v>
      </c>
      <c r="D182" s="495" t="s">
        <v>26256</v>
      </c>
      <c r="E182" s="407">
        <v>4</v>
      </c>
      <c r="F182" s="495" t="s">
        <v>26381</v>
      </c>
      <c r="G182" s="144"/>
    </row>
    <row r="183" spans="1:7">
      <c r="A183" s="83"/>
      <c r="B183" s="1373"/>
      <c r="C183" s="43" t="s">
        <v>2882</v>
      </c>
      <c r="D183" s="38"/>
      <c r="E183" s="309"/>
      <c r="F183" s="38"/>
      <c r="G183" s="144">
        <f>SUM(E172:E182)</f>
        <v>28</v>
      </c>
    </row>
    <row r="184" spans="1:7">
      <c r="A184" s="75">
        <v>38569</v>
      </c>
      <c r="B184" s="1374">
        <f t="shared" ref="B184:B195" si="12">A184</f>
        <v>38569</v>
      </c>
      <c r="C184" s="52" t="s">
        <v>26418</v>
      </c>
      <c r="D184" s="255" t="s">
        <v>26256</v>
      </c>
      <c r="E184" s="135">
        <v>4</v>
      </c>
      <c r="F184" s="255" t="s">
        <v>26381</v>
      </c>
      <c r="G184" s="144"/>
    </row>
    <row r="185" spans="1:7">
      <c r="A185" s="75">
        <v>38569</v>
      </c>
      <c r="B185" s="1374">
        <f t="shared" si="12"/>
        <v>38569</v>
      </c>
      <c r="C185" s="52" t="s">
        <v>26419</v>
      </c>
      <c r="D185" s="255" t="s">
        <v>26256</v>
      </c>
      <c r="E185" s="135">
        <v>4</v>
      </c>
      <c r="F185" s="255" t="s">
        <v>26381</v>
      </c>
      <c r="G185" s="144"/>
    </row>
    <row r="186" spans="1:7">
      <c r="A186" s="75">
        <v>38569</v>
      </c>
      <c r="B186" s="1374">
        <f t="shared" si="12"/>
        <v>38569</v>
      </c>
      <c r="C186" s="52" t="s">
        <v>26420</v>
      </c>
      <c r="D186" s="255" t="s">
        <v>26256</v>
      </c>
      <c r="E186" s="135">
        <v>4</v>
      </c>
      <c r="F186" s="255" t="s">
        <v>26381</v>
      </c>
      <c r="G186" s="144"/>
    </row>
    <row r="187" spans="1:7">
      <c r="A187" s="75">
        <v>38569</v>
      </c>
      <c r="B187" s="1374">
        <f t="shared" si="12"/>
        <v>38569</v>
      </c>
      <c r="C187" s="52" t="s">
        <v>26343</v>
      </c>
      <c r="D187" s="255" t="s">
        <v>26256</v>
      </c>
      <c r="E187" s="135">
        <v>0</v>
      </c>
      <c r="F187" s="255" t="s">
        <v>26381</v>
      </c>
      <c r="G187" s="144"/>
    </row>
    <row r="188" spans="1:7">
      <c r="A188" s="75">
        <v>38583</v>
      </c>
      <c r="B188" s="1374">
        <f t="shared" si="12"/>
        <v>38583</v>
      </c>
      <c r="C188" s="52" t="s">
        <v>26421</v>
      </c>
      <c r="D188" s="255" t="s">
        <v>26256</v>
      </c>
      <c r="E188" s="135">
        <v>4</v>
      </c>
      <c r="F188" s="255" t="s">
        <v>26381</v>
      </c>
      <c r="G188" s="144"/>
    </row>
    <row r="189" spans="1:7">
      <c r="A189" s="75">
        <v>38584</v>
      </c>
      <c r="B189" s="1374">
        <f t="shared" si="12"/>
        <v>38584</v>
      </c>
      <c r="C189" s="52" t="s">
        <v>26422</v>
      </c>
      <c r="D189" s="255" t="s">
        <v>26256</v>
      </c>
      <c r="E189" s="135">
        <v>4</v>
      </c>
      <c r="F189" s="255" t="s">
        <v>26381</v>
      </c>
      <c r="G189" s="144"/>
    </row>
    <row r="190" spans="1:7">
      <c r="A190" s="75">
        <v>38584</v>
      </c>
      <c r="B190" s="1374">
        <f t="shared" si="12"/>
        <v>38584</v>
      </c>
      <c r="C190" s="52" t="s">
        <v>26423</v>
      </c>
      <c r="D190" s="255" t="s">
        <v>26256</v>
      </c>
      <c r="E190" s="135">
        <v>2</v>
      </c>
      <c r="F190" s="255" t="s">
        <v>26381</v>
      </c>
      <c r="G190" s="144"/>
    </row>
    <row r="191" spans="1:7">
      <c r="A191" s="75">
        <v>38584</v>
      </c>
      <c r="B191" s="1374">
        <f t="shared" si="12"/>
        <v>38584</v>
      </c>
      <c r="C191" s="52" t="s">
        <v>26424</v>
      </c>
      <c r="D191" s="255" t="s">
        <v>26256</v>
      </c>
      <c r="E191" s="135">
        <v>4</v>
      </c>
      <c r="F191" s="255" t="s">
        <v>26381</v>
      </c>
      <c r="G191" s="144"/>
    </row>
    <row r="192" spans="1:7">
      <c r="A192" s="75">
        <v>38590</v>
      </c>
      <c r="B192" s="1374">
        <f t="shared" si="12"/>
        <v>38590</v>
      </c>
      <c r="C192" s="52" t="s">
        <v>26425</v>
      </c>
      <c r="D192" s="255" t="s">
        <v>26256</v>
      </c>
      <c r="E192" s="135">
        <v>2</v>
      </c>
      <c r="F192" s="255" t="s">
        <v>26381</v>
      </c>
      <c r="G192" s="144"/>
    </row>
    <row r="193" spans="1:7">
      <c r="A193" s="75">
        <v>38590</v>
      </c>
      <c r="B193" s="1374">
        <f t="shared" si="12"/>
        <v>38590</v>
      </c>
      <c r="C193" s="52" t="s">
        <v>26426</v>
      </c>
      <c r="D193" s="255" t="s">
        <v>26256</v>
      </c>
      <c r="E193" s="135">
        <v>4</v>
      </c>
      <c r="F193" s="255" t="s">
        <v>26381</v>
      </c>
      <c r="G193" s="144"/>
    </row>
    <row r="194" spans="1:7">
      <c r="A194" s="75">
        <v>38590</v>
      </c>
      <c r="B194" s="1374">
        <f t="shared" si="12"/>
        <v>38590</v>
      </c>
      <c r="C194" s="52" t="s">
        <v>26427</v>
      </c>
      <c r="D194" s="255" t="s">
        <v>26256</v>
      </c>
      <c r="E194" s="135">
        <v>4</v>
      </c>
      <c r="F194" s="255" t="s">
        <v>26381</v>
      </c>
      <c r="G194" s="144"/>
    </row>
    <row r="195" spans="1:7">
      <c r="A195" s="79">
        <v>38590</v>
      </c>
      <c r="B195" s="1375">
        <f t="shared" si="12"/>
        <v>38590</v>
      </c>
      <c r="C195" s="477" t="s">
        <v>26428</v>
      </c>
      <c r="D195" s="495" t="s">
        <v>26256</v>
      </c>
      <c r="E195" s="407">
        <v>2</v>
      </c>
      <c r="F195" s="495" t="s">
        <v>26381</v>
      </c>
      <c r="G195" s="144"/>
    </row>
    <row r="196" spans="1:7">
      <c r="A196" s="86"/>
      <c r="B196" s="505"/>
      <c r="C196" s="52" t="s">
        <v>2895</v>
      </c>
      <c r="D196" s="255"/>
      <c r="E196" s="135"/>
      <c r="F196" s="255"/>
      <c r="G196" s="144">
        <f>SUM(E183:E195)</f>
        <v>38</v>
      </c>
    </row>
    <row r="197" spans="1:7">
      <c r="A197" s="86">
        <v>38607</v>
      </c>
      <c r="B197" s="505">
        <f>A197</f>
        <v>38607</v>
      </c>
      <c r="C197" s="52" t="s">
        <v>26429</v>
      </c>
      <c r="D197" s="255" t="s">
        <v>26256</v>
      </c>
      <c r="E197" s="135">
        <v>4</v>
      </c>
      <c r="F197" s="255" t="s">
        <v>26381</v>
      </c>
      <c r="G197" s="144"/>
    </row>
    <row r="198" spans="1:7">
      <c r="A198" s="95">
        <v>38607</v>
      </c>
      <c r="B198" s="506">
        <f>A198</f>
        <v>38607</v>
      </c>
      <c r="C198" s="477" t="s">
        <v>26430</v>
      </c>
      <c r="D198" s="495" t="s">
        <v>26256</v>
      </c>
      <c r="E198" s="407">
        <v>4</v>
      </c>
      <c r="F198" s="495" t="s">
        <v>26381</v>
      </c>
      <c r="G198" s="144"/>
    </row>
    <row r="199" spans="1:7">
      <c r="A199" s="91"/>
      <c r="B199" s="504"/>
      <c r="C199" s="43" t="s">
        <v>2901</v>
      </c>
      <c r="D199" s="38"/>
      <c r="E199" s="309"/>
      <c r="F199" s="38"/>
      <c r="G199" s="144">
        <f>SUM(E197:E198)</f>
        <v>8</v>
      </c>
    </row>
    <row r="200" spans="1:7">
      <c r="A200" s="86">
        <v>38640</v>
      </c>
      <c r="B200" s="505">
        <f>A200</f>
        <v>38640</v>
      </c>
      <c r="C200" s="52" t="s">
        <v>26431</v>
      </c>
      <c r="D200" s="255" t="s">
        <v>26256</v>
      </c>
      <c r="E200" s="135">
        <v>3</v>
      </c>
      <c r="F200" s="255" t="s">
        <v>22256</v>
      </c>
      <c r="G200" s="144"/>
    </row>
    <row r="201" spans="1:7">
      <c r="A201" s="86">
        <v>38640</v>
      </c>
      <c r="B201" s="505">
        <f>A201</f>
        <v>38640</v>
      </c>
      <c r="C201" s="52" t="s">
        <v>26432</v>
      </c>
      <c r="D201" s="255" t="s">
        <v>26256</v>
      </c>
      <c r="E201" s="135">
        <v>3</v>
      </c>
      <c r="F201" s="255" t="s">
        <v>22256</v>
      </c>
      <c r="G201" s="144"/>
    </row>
    <row r="202" spans="1:7">
      <c r="A202" s="86">
        <v>38640</v>
      </c>
      <c r="B202" s="505">
        <f>A202</f>
        <v>38640</v>
      </c>
      <c r="C202" s="52" t="s">
        <v>26433</v>
      </c>
      <c r="D202" s="255" t="s">
        <v>26256</v>
      </c>
      <c r="E202" s="135">
        <v>3</v>
      </c>
      <c r="F202" s="255" t="s">
        <v>22256</v>
      </c>
      <c r="G202" s="144"/>
    </row>
    <row r="203" spans="1:7">
      <c r="A203" s="86">
        <v>38640</v>
      </c>
      <c r="B203" s="505">
        <f>A203</f>
        <v>38640</v>
      </c>
      <c r="C203" s="52" t="s">
        <v>26434</v>
      </c>
      <c r="D203" s="255" t="s">
        <v>26256</v>
      </c>
      <c r="E203" s="135">
        <v>3</v>
      </c>
      <c r="F203" s="255" t="s">
        <v>22256</v>
      </c>
    </row>
    <row r="204" spans="1:7">
      <c r="A204" s="95">
        <v>38640</v>
      </c>
      <c r="B204" s="506">
        <f>A204</f>
        <v>38640</v>
      </c>
      <c r="C204" s="477" t="s">
        <v>26435</v>
      </c>
      <c r="D204" s="495" t="s">
        <v>26256</v>
      </c>
      <c r="E204" s="407">
        <v>3</v>
      </c>
      <c r="F204" s="255" t="s">
        <v>22256</v>
      </c>
      <c r="G204" s="144"/>
    </row>
    <row r="205" spans="1:7">
      <c r="A205" s="91"/>
      <c r="B205" s="504"/>
      <c r="C205" s="43" t="s">
        <v>2931</v>
      </c>
      <c r="D205" s="38"/>
      <c r="E205" s="309"/>
      <c r="F205" s="38"/>
      <c r="G205" s="144">
        <f>SUM(E200:E204)</f>
        <v>15</v>
      </c>
    </row>
    <row r="206" spans="1:7">
      <c r="A206" s="86">
        <v>38665</v>
      </c>
      <c r="B206" s="505">
        <f>A206</f>
        <v>38665</v>
      </c>
      <c r="C206" s="52" t="s">
        <v>26436</v>
      </c>
      <c r="D206" s="255" t="s">
        <v>26256</v>
      </c>
      <c r="E206" s="135">
        <v>4</v>
      </c>
      <c r="F206" s="255" t="s">
        <v>26381</v>
      </c>
      <c r="G206" s="144"/>
    </row>
    <row r="207" spans="1:7">
      <c r="A207" s="86">
        <v>38666</v>
      </c>
      <c r="B207" s="505">
        <f>A207</f>
        <v>38666</v>
      </c>
      <c r="C207" s="52" t="s">
        <v>26437</v>
      </c>
      <c r="D207" s="255" t="s">
        <v>26256</v>
      </c>
      <c r="E207" s="135">
        <v>4</v>
      </c>
      <c r="F207" s="255" t="s">
        <v>26381</v>
      </c>
      <c r="G207" s="144"/>
    </row>
    <row r="208" spans="1:7">
      <c r="A208" s="86">
        <v>38667</v>
      </c>
      <c r="B208" s="505">
        <f>A208</f>
        <v>38667</v>
      </c>
      <c r="C208" s="52" t="s">
        <v>26438</v>
      </c>
      <c r="D208" s="255" t="s">
        <v>26256</v>
      </c>
      <c r="E208" s="135">
        <v>4</v>
      </c>
      <c r="F208" s="255" t="s">
        <v>26381</v>
      </c>
      <c r="G208" s="144"/>
    </row>
    <row r="209" spans="1:7">
      <c r="A209" s="95">
        <v>38674</v>
      </c>
      <c r="B209" s="506">
        <f>A209</f>
        <v>38674</v>
      </c>
      <c r="C209" s="477" t="s">
        <v>26439</v>
      </c>
      <c r="D209" s="495" t="s">
        <v>26256</v>
      </c>
      <c r="E209" s="407">
        <v>8</v>
      </c>
      <c r="F209" s="495" t="s">
        <v>26381</v>
      </c>
      <c r="G209" s="144"/>
    </row>
    <row r="210" spans="1:7">
      <c r="A210" s="507"/>
      <c r="B210" s="508"/>
      <c r="C210" s="43" t="s">
        <v>2947</v>
      </c>
      <c r="D210" s="38"/>
      <c r="E210" s="309"/>
      <c r="F210" s="38"/>
      <c r="G210" s="144">
        <f>SUM(E205:E209)</f>
        <v>20</v>
      </c>
    </row>
    <row r="211" spans="1:7">
      <c r="A211" s="86">
        <v>38717</v>
      </c>
      <c r="B211" s="505">
        <f>A211</f>
        <v>38717</v>
      </c>
      <c r="C211" s="52" t="s">
        <v>26440</v>
      </c>
      <c r="D211" s="255" t="s">
        <v>26256</v>
      </c>
      <c r="E211" s="135">
        <v>8</v>
      </c>
      <c r="F211" s="255" t="s">
        <v>26441</v>
      </c>
      <c r="G211" s="144"/>
    </row>
    <row r="212" spans="1:7">
      <c r="A212" s="86">
        <v>38717</v>
      </c>
      <c r="B212" s="505">
        <f>A212</f>
        <v>38717</v>
      </c>
      <c r="C212" s="52" t="s">
        <v>26442</v>
      </c>
      <c r="D212" s="255" t="s">
        <v>26256</v>
      </c>
      <c r="E212" s="135">
        <v>8</v>
      </c>
      <c r="F212" s="255" t="s">
        <v>26441</v>
      </c>
      <c r="G212" s="144"/>
    </row>
    <row r="213" spans="1:7">
      <c r="A213" s="86">
        <v>38717</v>
      </c>
      <c r="B213" s="505">
        <f>A213</f>
        <v>38717</v>
      </c>
      <c r="C213" s="52" t="s">
        <v>26443</v>
      </c>
      <c r="D213" s="255" t="s">
        <v>26256</v>
      </c>
      <c r="E213" s="135">
        <v>8</v>
      </c>
      <c r="F213" s="255" t="s">
        <v>26441</v>
      </c>
      <c r="G213" s="144"/>
    </row>
    <row r="214" spans="1:7">
      <c r="A214" s="95">
        <v>38717</v>
      </c>
      <c r="B214" s="506">
        <f>A214</f>
        <v>38717</v>
      </c>
      <c r="C214" s="477" t="s">
        <v>26444</v>
      </c>
      <c r="D214" s="495" t="s">
        <v>26256</v>
      </c>
      <c r="E214" s="407">
        <v>8</v>
      </c>
      <c r="F214" s="495" t="s">
        <v>26441</v>
      </c>
      <c r="G214" s="144"/>
    </row>
    <row r="215" spans="1:7">
      <c r="A215" s="91"/>
      <c r="B215" s="504"/>
      <c r="C215" s="43" t="s">
        <v>26445</v>
      </c>
      <c r="D215" s="38"/>
      <c r="E215" s="309"/>
      <c r="F215" s="38"/>
      <c r="G215" s="144">
        <f>SUM(E210:E214)</f>
        <v>32</v>
      </c>
    </row>
    <row r="216" spans="1:7">
      <c r="A216" s="86">
        <v>38766</v>
      </c>
      <c r="B216" s="505">
        <f>A216</f>
        <v>38766</v>
      </c>
      <c r="C216" s="52" t="s">
        <v>26446</v>
      </c>
      <c r="D216" s="255" t="s">
        <v>26256</v>
      </c>
      <c r="E216" s="135">
        <v>6</v>
      </c>
      <c r="F216" s="255" t="s">
        <v>26447</v>
      </c>
      <c r="G216" s="144"/>
    </row>
    <row r="217" spans="1:7">
      <c r="A217" s="86">
        <v>38766</v>
      </c>
      <c r="B217" s="505">
        <f>A217</f>
        <v>38766</v>
      </c>
      <c r="C217" s="52" t="s">
        <v>26448</v>
      </c>
      <c r="D217" s="255" t="s">
        <v>26256</v>
      </c>
      <c r="E217" s="135">
        <v>6</v>
      </c>
      <c r="F217" s="255" t="s">
        <v>26447</v>
      </c>
      <c r="G217" s="144"/>
    </row>
    <row r="218" spans="1:7">
      <c r="A218" s="86">
        <v>38766</v>
      </c>
      <c r="B218" s="505">
        <f>A218</f>
        <v>38766</v>
      </c>
      <c r="C218" s="52" t="s">
        <v>26449</v>
      </c>
      <c r="D218" s="255" t="s">
        <v>26256</v>
      </c>
      <c r="E218" s="135">
        <v>6</v>
      </c>
      <c r="F218" s="255" t="s">
        <v>26447</v>
      </c>
      <c r="G218" s="144"/>
    </row>
    <row r="219" spans="1:7">
      <c r="A219" s="509"/>
      <c r="B219" s="510"/>
      <c r="C219" s="499" t="s">
        <v>26450</v>
      </c>
      <c r="D219" s="511"/>
      <c r="E219" s="512"/>
      <c r="F219" s="511"/>
      <c r="G219" s="144"/>
    </row>
    <row r="220" spans="1:7">
      <c r="A220" s="86">
        <v>38773</v>
      </c>
      <c r="B220" s="505">
        <f t="shared" ref="B220:B226" si="13">A220</f>
        <v>38773</v>
      </c>
      <c r="C220" s="52" t="s">
        <v>26451</v>
      </c>
      <c r="D220" s="255" t="s">
        <v>26256</v>
      </c>
      <c r="E220" s="135">
        <v>8</v>
      </c>
      <c r="F220" s="255" t="s">
        <v>26441</v>
      </c>
      <c r="G220" s="144"/>
    </row>
    <row r="221" spans="1:7">
      <c r="A221" s="86">
        <v>38773</v>
      </c>
      <c r="B221" s="505">
        <f t="shared" si="13"/>
        <v>38773</v>
      </c>
      <c r="C221" s="52" t="s">
        <v>26452</v>
      </c>
      <c r="D221" s="255" t="s">
        <v>26256</v>
      </c>
      <c r="E221" s="135">
        <v>8</v>
      </c>
      <c r="F221" s="255" t="s">
        <v>26441</v>
      </c>
      <c r="G221" s="144"/>
    </row>
    <row r="222" spans="1:7">
      <c r="A222" s="86">
        <v>38773</v>
      </c>
      <c r="B222" s="505">
        <f t="shared" si="13"/>
        <v>38773</v>
      </c>
      <c r="C222" s="52" t="s">
        <v>26397</v>
      </c>
      <c r="D222" s="255" t="s">
        <v>26256</v>
      </c>
      <c r="E222" s="135">
        <v>6</v>
      </c>
      <c r="F222" s="255" t="s">
        <v>26441</v>
      </c>
      <c r="G222" s="144"/>
    </row>
    <row r="223" spans="1:7">
      <c r="A223" s="86">
        <v>38773</v>
      </c>
      <c r="B223" s="505">
        <f t="shared" si="13"/>
        <v>38773</v>
      </c>
      <c r="C223" s="52" t="s">
        <v>26453</v>
      </c>
      <c r="D223" s="255" t="s">
        <v>26256</v>
      </c>
      <c r="E223" s="135">
        <v>6</v>
      </c>
      <c r="F223" s="255" t="s">
        <v>26441</v>
      </c>
      <c r="G223" s="144"/>
    </row>
    <row r="224" spans="1:7">
      <c r="A224" s="86">
        <v>38774</v>
      </c>
      <c r="B224" s="505">
        <f t="shared" si="13"/>
        <v>38774</v>
      </c>
      <c r="C224" s="52" t="s">
        <v>26454</v>
      </c>
      <c r="D224" s="255" t="s">
        <v>26256</v>
      </c>
      <c r="E224" s="135">
        <v>4</v>
      </c>
      <c r="F224" s="255" t="s">
        <v>26441</v>
      </c>
      <c r="G224" s="144"/>
    </row>
    <row r="225" spans="1:7">
      <c r="A225" s="86">
        <v>38774</v>
      </c>
      <c r="B225" s="505">
        <f t="shared" si="13"/>
        <v>38774</v>
      </c>
      <c r="C225" s="52" t="s">
        <v>26455</v>
      </c>
      <c r="D225" s="255" t="s">
        <v>26256</v>
      </c>
      <c r="E225" s="135">
        <v>4</v>
      </c>
      <c r="F225" s="255" t="s">
        <v>26441</v>
      </c>
      <c r="G225" s="144"/>
    </row>
    <row r="226" spans="1:7">
      <c r="A226" s="95">
        <v>38774</v>
      </c>
      <c r="B226" s="505">
        <f t="shared" si="13"/>
        <v>38774</v>
      </c>
      <c r="C226" s="477" t="s">
        <v>26456</v>
      </c>
      <c r="D226" s="495" t="s">
        <v>26256</v>
      </c>
      <c r="E226" s="407">
        <v>4</v>
      </c>
      <c r="F226" s="495" t="s">
        <v>26441</v>
      </c>
      <c r="G226" s="144"/>
    </row>
    <row r="227" spans="1:7">
      <c r="A227" s="91"/>
      <c r="B227" s="504"/>
      <c r="C227" s="43" t="s">
        <v>26457</v>
      </c>
      <c r="D227" s="38"/>
      <c r="E227" s="309"/>
      <c r="F227" s="38"/>
      <c r="G227" s="144">
        <f>SUM(E215:E226)</f>
        <v>58</v>
      </c>
    </row>
    <row r="228" spans="1:7">
      <c r="A228" s="86">
        <v>38780</v>
      </c>
      <c r="B228" s="505">
        <f t="shared" ref="B228:B235" si="14">A228</f>
        <v>38780</v>
      </c>
      <c r="C228" s="52" t="s">
        <v>26335</v>
      </c>
      <c r="D228" s="255" t="s">
        <v>26256</v>
      </c>
      <c r="E228" s="135">
        <v>4</v>
      </c>
      <c r="F228" s="255" t="s">
        <v>26447</v>
      </c>
      <c r="G228" s="144"/>
    </row>
    <row r="229" spans="1:7">
      <c r="A229" s="86">
        <v>38780</v>
      </c>
      <c r="B229" s="505">
        <f t="shared" si="14"/>
        <v>38780</v>
      </c>
      <c r="C229" s="52" t="s">
        <v>26458</v>
      </c>
      <c r="D229" s="255" t="s">
        <v>26256</v>
      </c>
      <c r="E229" s="135">
        <v>6</v>
      </c>
      <c r="F229" s="255" t="s">
        <v>26447</v>
      </c>
      <c r="G229" s="144"/>
    </row>
    <row r="230" spans="1:7">
      <c r="A230" s="86">
        <v>38780</v>
      </c>
      <c r="B230" s="505">
        <f t="shared" si="14"/>
        <v>38780</v>
      </c>
      <c r="C230" s="52" t="s">
        <v>26459</v>
      </c>
      <c r="D230" s="255" t="s">
        <v>26256</v>
      </c>
      <c r="E230" s="135">
        <v>6</v>
      </c>
      <c r="F230" s="255" t="s">
        <v>26447</v>
      </c>
      <c r="G230" s="144"/>
    </row>
    <row r="231" spans="1:7">
      <c r="A231" s="86">
        <v>38794</v>
      </c>
      <c r="B231" s="505">
        <f t="shared" si="14"/>
        <v>38794</v>
      </c>
      <c r="C231" s="52" t="s">
        <v>26336</v>
      </c>
      <c r="D231" s="255" t="s">
        <v>26256</v>
      </c>
      <c r="E231" s="135">
        <v>3.5</v>
      </c>
      <c r="F231" s="255" t="s">
        <v>26441</v>
      </c>
      <c r="G231" s="144"/>
    </row>
    <row r="232" spans="1:7">
      <c r="A232" s="86">
        <v>38794</v>
      </c>
      <c r="B232" s="505">
        <f t="shared" si="14"/>
        <v>38794</v>
      </c>
      <c r="C232" s="52" t="s">
        <v>26460</v>
      </c>
      <c r="D232" s="255" t="s">
        <v>26256</v>
      </c>
      <c r="E232" s="135">
        <v>6.5</v>
      </c>
      <c r="F232" s="255" t="s">
        <v>26441</v>
      </c>
      <c r="G232" s="144"/>
    </row>
    <row r="233" spans="1:7">
      <c r="A233" s="86">
        <v>38802</v>
      </c>
      <c r="B233" s="505">
        <f t="shared" si="14"/>
        <v>38802</v>
      </c>
      <c r="C233" s="52" t="s">
        <v>26461</v>
      </c>
      <c r="D233" s="255" t="s">
        <v>26256</v>
      </c>
      <c r="E233" s="135">
        <v>6</v>
      </c>
      <c r="F233" s="255" t="s">
        <v>26447</v>
      </c>
      <c r="G233" s="144"/>
    </row>
    <row r="234" spans="1:7">
      <c r="A234" s="86">
        <v>38802</v>
      </c>
      <c r="B234" s="505">
        <f t="shared" si="14"/>
        <v>38802</v>
      </c>
      <c r="C234" s="52" t="s">
        <v>26462</v>
      </c>
      <c r="D234" s="255" t="s">
        <v>26256</v>
      </c>
      <c r="E234" s="135">
        <v>6</v>
      </c>
      <c r="F234" s="255" t="s">
        <v>26447</v>
      </c>
      <c r="G234" s="144"/>
    </row>
    <row r="235" spans="1:7">
      <c r="A235" s="95">
        <v>38802</v>
      </c>
      <c r="B235" s="505">
        <f t="shared" si="14"/>
        <v>38802</v>
      </c>
      <c r="C235" s="477" t="s">
        <v>26463</v>
      </c>
      <c r="D235" s="495" t="s">
        <v>26256</v>
      </c>
      <c r="E235" s="407">
        <v>6</v>
      </c>
      <c r="F235" s="495" t="s">
        <v>26447</v>
      </c>
      <c r="G235" s="144"/>
    </row>
    <row r="236" spans="1:7">
      <c r="A236" s="91"/>
      <c r="B236" s="504"/>
      <c r="C236" s="43" t="s">
        <v>3073</v>
      </c>
      <c r="D236" s="38"/>
      <c r="E236" s="309"/>
      <c r="F236" s="38"/>
      <c r="G236" s="144">
        <f>SUM(E227:E235)</f>
        <v>44</v>
      </c>
    </row>
    <row r="237" spans="1:7">
      <c r="A237" s="86">
        <v>38829</v>
      </c>
      <c r="B237" s="505">
        <f>A237</f>
        <v>38829</v>
      </c>
      <c r="C237" s="52" t="s">
        <v>26464</v>
      </c>
      <c r="D237" s="255" t="s">
        <v>26256</v>
      </c>
      <c r="E237" s="135">
        <v>6</v>
      </c>
      <c r="F237" s="255" t="s">
        <v>26447</v>
      </c>
      <c r="G237" s="144"/>
    </row>
    <row r="238" spans="1:7">
      <c r="A238" s="86">
        <v>38830</v>
      </c>
      <c r="B238" s="505">
        <f>A238</f>
        <v>38830</v>
      </c>
      <c r="C238" s="52" t="s">
        <v>26465</v>
      </c>
      <c r="D238" s="255" t="s">
        <v>26256</v>
      </c>
      <c r="E238" s="135">
        <v>4</v>
      </c>
      <c r="F238" s="255" t="s">
        <v>26447</v>
      </c>
      <c r="G238" s="144"/>
    </row>
    <row r="239" spans="1:7">
      <c r="A239" s="95">
        <v>38830</v>
      </c>
      <c r="B239" s="506">
        <f>A239</f>
        <v>38830</v>
      </c>
      <c r="C239" s="477" t="s">
        <v>26466</v>
      </c>
      <c r="D239" s="495" t="s">
        <v>26256</v>
      </c>
      <c r="E239" s="407">
        <v>4</v>
      </c>
      <c r="F239" s="495" t="s">
        <v>26447</v>
      </c>
      <c r="G239" s="144"/>
    </row>
    <row r="240" spans="1:7">
      <c r="A240" s="91"/>
      <c r="B240" s="504"/>
      <c r="C240" s="43" t="s">
        <v>3087</v>
      </c>
      <c r="D240" s="38"/>
      <c r="E240" s="309"/>
      <c r="F240" s="38"/>
      <c r="G240" s="144"/>
    </row>
    <row r="241" spans="1:7">
      <c r="A241" s="86">
        <v>38850</v>
      </c>
      <c r="B241" s="505">
        <f>A241</f>
        <v>38850</v>
      </c>
      <c r="C241" s="52" t="s">
        <v>26467</v>
      </c>
      <c r="D241" s="255" t="s">
        <v>26256</v>
      </c>
      <c r="E241" s="135">
        <v>5</v>
      </c>
      <c r="F241" s="255" t="s">
        <v>26468</v>
      </c>
      <c r="G241" s="144"/>
    </row>
    <row r="242" spans="1:7">
      <c r="A242" s="95">
        <v>38850</v>
      </c>
      <c r="B242" s="506">
        <f>A242</f>
        <v>38850</v>
      </c>
      <c r="C242" s="477" t="s">
        <v>26469</v>
      </c>
      <c r="D242" s="495" t="s">
        <v>26256</v>
      </c>
      <c r="E242" s="407">
        <v>5</v>
      </c>
      <c r="F242" s="255" t="s">
        <v>26468</v>
      </c>
      <c r="G242" s="144"/>
    </row>
    <row r="243" spans="1:7">
      <c r="A243" s="91"/>
      <c r="B243" s="504"/>
      <c r="C243" s="43" t="s">
        <v>3098</v>
      </c>
      <c r="D243" s="38"/>
      <c r="E243" s="309"/>
      <c r="F243" s="38"/>
      <c r="G243" s="144">
        <f>SUM(E240:E242)</f>
        <v>10</v>
      </c>
    </row>
    <row r="244" spans="1:7">
      <c r="A244" s="86">
        <v>38885</v>
      </c>
      <c r="B244" s="505">
        <f>A244</f>
        <v>38885</v>
      </c>
      <c r="C244" s="52" t="s">
        <v>26470</v>
      </c>
      <c r="D244" s="255" t="s">
        <v>26256</v>
      </c>
      <c r="E244" s="135">
        <v>5</v>
      </c>
      <c r="F244" s="255" t="s">
        <v>26468</v>
      </c>
      <c r="G244" s="144"/>
    </row>
    <row r="245" spans="1:7">
      <c r="A245" s="95">
        <v>38885</v>
      </c>
      <c r="B245" s="506">
        <f>A245</f>
        <v>38885</v>
      </c>
      <c r="C245" s="477" t="s">
        <v>26471</v>
      </c>
      <c r="D245" s="495" t="s">
        <v>26256</v>
      </c>
      <c r="E245" s="407">
        <v>5</v>
      </c>
      <c r="F245" s="495" t="s">
        <v>26468</v>
      </c>
      <c r="G245" s="144">
        <f>SUM(E243:E245)</f>
        <v>10</v>
      </c>
    </row>
    <row r="246" spans="1:7">
      <c r="A246" s="91"/>
      <c r="B246" s="504"/>
      <c r="C246" s="43" t="s">
        <v>3104</v>
      </c>
      <c r="D246" s="38"/>
      <c r="E246" s="309"/>
      <c r="F246" s="38"/>
      <c r="G246" s="144"/>
    </row>
    <row r="247" spans="1:7">
      <c r="A247" s="86">
        <v>38901</v>
      </c>
      <c r="B247" s="505">
        <f t="shared" ref="B247:B258" si="15">A247</f>
        <v>38901</v>
      </c>
      <c r="C247" s="52" t="s">
        <v>26472</v>
      </c>
      <c r="D247" s="255" t="s">
        <v>26256</v>
      </c>
      <c r="E247" s="135">
        <v>5</v>
      </c>
      <c r="F247" s="255" t="s">
        <v>26468</v>
      </c>
      <c r="G247" s="144"/>
    </row>
    <row r="248" spans="1:7">
      <c r="A248" s="86">
        <v>38906</v>
      </c>
      <c r="B248" s="505">
        <f t="shared" si="15"/>
        <v>38906</v>
      </c>
      <c r="C248" s="52" t="s">
        <v>26473</v>
      </c>
      <c r="D248" s="255" t="s">
        <v>26256</v>
      </c>
      <c r="E248" s="135">
        <v>5</v>
      </c>
      <c r="F248" s="255" t="s">
        <v>26468</v>
      </c>
      <c r="G248" s="144"/>
    </row>
    <row r="249" spans="1:7">
      <c r="A249" s="86">
        <v>38906</v>
      </c>
      <c r="B249" s="505">
        <f t="shared" si="15"/>
        <v>38906</v>
      </c>
      <c r="C249" s="52" t="s">
        <v>26474</v>
      </c>
      <c r="D249" s="255" t="s">
        <v>26256</v>
      </c>
      <c r="E249" s="135">
        <v>5</v>
      </c>
      <c r="F249" s="255" t="s">
        <v>26468</v>
      </c>
      <c r="G249" s="144"/>
    </row>
    <row r="250" spans="1:7">
      <c r="A250" s="86">
        <v>38912</v>
      </c>
      <c r="B250" s="505">
        <f t="shared" si="15"/>
        <v>38912</v>
      </c>
      <c r="C250" s="52" t="s">
        <v>26475</v>
      </c>
      <c r="D250" s="255" t="s">
        <v>26256</v>
      </c>
      <c r="E250" s="135">
        <v>5</v>
      </c>
      <c r="F250" s="255" t="s">
        <v>26468</v>
      </c>
      <c r="G250" s="144"/>
    </row>
    <row r="251" spans="1:7">
      <c r="A251" s="86">
        <v>38912</v>
      </c>
      <c r="B251" s="505">
        <f t="shared" si="15"/>
        <v>38912</v>
      </c>
      <c r="C251" s="52" t="s">
        <v>26476</v>
      </c>
      <c r="D251" s="255" t="s">
        <v>26256</v>
      </c>
      <c r="E251" s="135">
        <v>2.9</v>
      </c>
      <c r="F251" s="255" t="s">
        <v>26468</v>
      </c>
      <c r="G251" s="144"/>
    </row>
    <row r="252" spans="1:7">
      <c r="A252" s="86">
        <v>38912</v>
      </c>
      <c r="B252" s="505">
        <f t="shared" si="15"/>
        <v>38912</v>
      </c>
      <c r="C252" s="52" t="s">
        <v>26477</v>
      </c>
      <c r="D252" s="255" t="s">
        <v>26256</v>
      </c>
      <c r="E252" s="135">
        <v>5</v>
      </c>
      <c r="F252" s="255" t="s">
        <v>26468</v>
      </c>
      <c r="G252" s="144"/>
    </row>
    <row r="253" spans="1:7">
      <c r="A253" s="86">
        <v>38924</v>
      </c>
      <c r="B253" s="505">
        <f t="shared" si="15"/>
        <v>38924</v>
      </c>
      <c r="C253" s="52" t="s">
        <v>26478</v>
      </c>
      <c r="D253" s="255" t="s">
        <v>26256</v>
      </c>
      <c r="E253" s="135">
        <v>5</v>
      </c>
      <c r="F253" s="255" t="s">
        <v>26468</v>
      </c>
      <c r="G253" s="144"/>
    </row>
    <row r="254" spans="1:7">
      <c r="A254" s="86">
        <v>38924</v>
      </c>
      <c r="B254" s="505">
        <f t="shared" si="15"/>
        <v>38924</v>
      </c>
      <c r="C254" s="52" t="s">
        <v>98</v>
      </c>
      <c r="D254" s="255" t="s">
        <v>26256</v>
      </c>
      <c r="E254" s="135">
        <v>5</v>
      </c>
      <c r="F254" s="255" t="s">
        <v>26468</v>
      </c>
      <c r="G254" s="144"/>
    </row>
    <row r="255" spans="1:7">
      <c r="A255" s="86">
        <v>38924</v>
      </c>
      <c r="B255" s="505">
        <f t="shared" si="15"/>
        <v>38924</v>
      </c>
      <c r="C255" s="52" t="s">
        <v>26479</v>
      </c>
      <c r="D255" s="255" t="s">
        <v>26256</v>
      </c>
      <c r="E255" s="135">
        <v>0</v>
      </c>
      <c r="F255" s="255" t="s">
        <v>26468</v>
      </c>
      <c r="G255" s="144"/>
    </row>
    <row r="256" spans="1:7">
      <c r="A256" s="86">
        <v>38926</v>
      </c>
      <c r="B256" s="505">
        <f t="shared" si="15"/>
        <v>38926</v>
      </c>
      <c r="C256" s="52" t="s">
        <v>26480</v>
      </c>
      <c r="D256" s="255" t="s">
        <v>26256</v>
      </c>
      <c r="E256" s="135">
        <v>2.9</v>
      </c>
      <c r="F256" s="255" t="s">
        <v>26468</v>
      </c>
      <c r="G256" s="144"/>
    </row>
    <row r="257" spans="1:7">
      <c r="A257" s="86">
        <v>38926</v>
      </c>
      <c r="B257" s="505">
        <f t="shared" si="15"/>
        <v>38926</v>
      </c>
      <c r="C257" s="52" t="s">
        <v>26481</v>
      </c>
      <c r="D257" s="255" t="s">
        <v>26256</v>
      </c>
      <c r="E257" s="135">
        <v>2.9</v>
      </c>
      <c r="F257" s="255" t="s">
        <v>26468</v>
      </c>
      <c r="G257" s="144"/>
    </row>
    <row r="258" spans="1:7">
      <c r="A258" s="95">
        <v>38926</v>
      </c>
      <c r="B258" s="505">
        <f t="shared" si="15"/>
        <v>38926</v>
      </c>
      <c r="C258" s="477" t="s">
        <v>26482</v>
      </c>
      <c r="D258" s="495" t="s">
        <v>26256</v>
      </c>
      <c r="E258" s="407">
        <v>5</v>
      </c>
      <c r="F258" s="495" t="s">
        <v>26468</v>
      </c>
      <c r="G258" s="144">
        <f>SUM(E246:E258)</f>
        <v>48.699999999999996</v>
      </c>
    </row>
    <row r="259" spans="1:7">
      <c r="A259" s="475"/>
      <c r="B259" s="513"/>
      <c r="C259" s="476" t="s">
        <v>3114</v>
      </c>
      <c r="D259" s="24"/>
      <c r="E259" s="514"/>
      <c r="F259" s="24"/>
      <c r="G259" s="144"/>
    </row>
    <row r="260" spans="1:7">
      <c r="A260" s="86"/>
      <c r="B260" s="505"/>
      <c r="C260" s="52" t="s">
        <v>3133</v>
      </c>
      <c r="D260" s="255"/>
      <c r="E260" s="135"/>
      <c r="F260" s="255"/>
      <c r="G260" s="144"/>
    </row>
    <row r="261" spans="1:7">
      <c r="A261" s="91">
        <v>38983</v>
      </c>
      <c r="B261" s="504">
        <f>A261</f>
        <v>38983</v>
      </c>
      <c r="C261" s="43" t="s">
        <v>26483</v>
      </c>
      <c r="D261" s="38" t="s">
        <v>26256</v>
      </c>
      <c r="E261" s="309">
        <v>5</v>
      </c>
      <c r="F261" s="38" t="s">
        <v>26468</v>
      </c>
      <c r="G261" s="144"/>
    </row>
    <row r="262" spans="1:7">
      <c r="A262" s="95">
        <v>38983</v>
      </c>
      <c r="B262" s="506">
        <f>A262</f>
        <v>38983</v>
      </c>
      <c r="C262" s="477" t="s">
        <v>26484</v>
      </c>
      <c r="D262" s="495" t="s">
        <v>26256</v>
      </c>
      <c r="E262" s="407">
        <v>5</v>
      </c>
      <c r="F262" s="495" t="s">
        <v>26468</v>
      </c>
      <c r="G262" s="144">
        <f>SUM(E261:E262)</f>
        <v>10</v>
      </c>
    </row>
    <row r="263" spans="1:7">
      <c r="A263" s="475"/>
      <c r="B263" s="513"/>
      <c r="C263" s="476" t="s">
        <v>26485</v>
      </c>
      <c r="D263" s="24"/>
      <c r="E263" s="514"/>
      <c r="F263" s="24"/>
      <c r="G263" s="144"/>
    </row>
    <row r="264" spans="1:7">
      <c r="A264" s="91"/>
      <c r="B264" s="504"/>
      <c r="C264" s="43" t="s">
        <v>16427</v>
      </c>
      <c r="D264" s="38"/>
      <c r="E264" s="309"/>
      <c r="F264" s="38"/>
      <c r="G264" s="144"/>
    </row>
    <row r="265" spans="1:7">
      <c r="A265" s="86">
        <v>39025</v>
      </c>
      <c r="B265" s="505">
        <f>A265</f>
        <v>39025</v>
      </c>
      <c r="C265" s="52" t="s">
        <v>26486</v>
      </c>
      <c r="D265" s="255" t="s">
        <v>26256</v>
      </c>
      <c r="E265" s="135">
        <v>5</v>
      </c>
      <c r="F265" s="255" t="s">
        <v>26468</v>
      </c>
      <c r="G265" s="144"/>
    </row>
    <row r="266" spans="1:7">
      <c r="A266" s="95">
        <v>39025</v>
      </c>
      <c r="B266" s="505">
        <f>A266</f>
        <v>39025</v>
      </c>
      <c r="C266" s="477" t="s">
        <v>26487</v>
      </c>
      <c r="D266" s="495" t="s">
        <v>26256</v>
      </c>
      <c r="E266" s="407">
        <v>5</v>
      </c>
      <c r="F266" s="495" t="s">
        <v>26468</v>
      </c>
      <c r="G266" s="144">
        <f>SUM(E264:E266)</f>
        <v>10</v>
      </c>
    </row>
    <row r="267" spans="1:7">
      <c r="A267" s="83"/>
      <c r="B267" s="1373"/>
      <c r="C267" s="43" t="s">
        <v>3202</v>
      </c>
      <c r="D267" s="38"/>
      <c r="E267" s="309"/>
      <c r="F267" s="38"/>
      <c r="G267" s="144"/>
    </row>
    <row r="268" spans="1:7">
      <c r="A268" s="75">
        <v>39053</v>
      </c>
      <c r="B268" s="1374">
        <f t="shared" ref="B268:B282" si="16">A268</f>
        <v>39053</v>
      </c>
      <c r="C268" s="52" t="s">
        <v>26488</v>
      </c>
      <c r="D268" s="255" t="s">
        <v>26256</v>
      </c>
      <c r="E268" s="135">
        <v>5</v>
      </c>
      <c r="F268" s="255" t="s">
        <v>26468</v>
      </c>
      <c r="G268" s="144"/>
    </row>
    <row r="269" spans="1:7">
      <c r="A269" s="75">
        <v>39053</v>
      </c>
      <c r="B269" s="1374">
        <f t="shared" si="16"/>
        <v>39053</v>
      </c>
      <c r="C269" s="52" t="s">
        <v>26489</v>
      </c>
      <c r="D269" s="255" t="s">
        <v>26256</v>
      </c>
      <c r="E269" s="135">
        <v>5</v>
      </c>
      <c r="F269" s="255" t="s">
        <v>26468</v>
      </c>
      <c r="G269" s="144"/>
    </row>
    <row r="270" spans="1:7">
      <c r="A270" s="75">
        <v>39053</v>
      </c>
      <c r="B270" s="1374">
        <f t="shared" si="16"/>
        <v>39053</v>
      </c>
      <c r="C270" s="52" t="s">
        <v>26490</v>
      </c>
      <c r="D270" s="255" t="s">
        <v>26256</v>
      </c>
      <c r="E270" s="135">
        <v>5</v>
      </c>
      <c r="F270" s="255" t="s">
        <v>26468</v>
      </c>
      <c r="G270" s="144"/>
    </row>
    <row r="271" spans="1:7">
      <c r="A271" s="75">
        <v>39074</v>
      </c>
      <c r="B271" s="1374">
        <f t="shared" si="16"/>
        <v>39074</v>
      </c>
      <c r="C271" s="52" t="s">
        <v>26491</v>
      </c>
      <c r="D271" s="255" t="s">
        <v>26256</v>
      </c>
      <c r="E271" s="135">
        <v>5</v>
      </c>
      <c r="F271" s="255" t="s">
        <v>26468</v>
      </c>
      <c r="G271" s="144"/>
    </row>
    <row r="272" spans="1:7">
      <c r="A272" s="75">
        <v>39074</v>
      </c>
      <c r="B272" s="1374">
        <f t="shared" si="16"/>
        <v>39074</v>
      </c>
      <c r="C272" s="52" t="s">
        <v>26492</v>
      </c>
      <c r="D272" s="255" t="s">
        <v>26256</v>
      </c>
      <c r="E272" s="135">
        <v>5</v>
      </c>
      <c r="F272" s="255" t="s">
        <v>26468</v>
      </c>
      <c r="G272" s="144"/>
    </row>
    <row r="273" spans="1:7">
      <c r="A273" s="75">
        <v>39074</v>
      </c>
      <c r="B273" s="1374">
        <f t="shared" si="16"/>
        <v>39074</v>
      </c>
      <c r="C273" s="52" t="s">
        <v>26493</v>
      </c>
      <c r="D273" s="255" t="s">
        <v>26256</v>
      </c>
      <c r="E273" s="135">
        <v>5</v>
      </c>
      <c r="F273" s="255" t="s">
        <v>26468</v>
      </c>
      <c r="G273" s="144"/>
    </row>
    <row r="274" spans="1:7">
      <c r="A274" s="75">
        <v>39074</v>
      </c>
      <c r="B274" s="1374">
        <f t="shared" si="16"/>
        <v>39074</v>
      </c>
      <c r="C274" s="52" t="s">
        <v>26494</v>
      </c>
      <c r="D274" s="255" t="s">
        <v>26256</v>
      </c>
      <c r="E274" s="135">
        <v>0</v>
      </c>
      <c r="F274" s="255" t="s">
        <v>26468</v>
      </c>
      <c r="G274" s="144"/>
    </row>
    <row r="275" spans="1:7">
      <c r="A275" s="75">
        <v>39074</v>
      </c>
      <c r="B275" s="1374">
        <f t="shared" si="16"/>
        <v>39074</v>
      </c>
      <c r="C275" s="52" t="s">
        <v>26495</v>
      </c>
      <c r="D275" s="255" t="s">
        <v>26256</v>
      </c>
      <c r="E275" s="135">
        <v>6</v>
      </c>
      <c r="F275" s="255" t="s">
        <v>26468</v>
      </c>
      <c r="G275" s="144"/>
    </row>
    <row r="276" spans="1:7">
      <c r="A276" s="75">
        <v>39074</v>
      </c>
      <c r="B276" s="1374">
        <f t="shared" si="16"/>
        <v>39074</v>
      </c>
      <c r="C276" s="52" t="s">
        <v>26496</v>
      </c>
      <c r="D276" s="255" t="s">
        <v>26256</v>
      </c>
      <c r="E276" s="135">
        <v>6</v>
      </c>
      <c r="F276" s="255" t="s">
        <v>26468</v>
      </c>
      <c r="G276" s="144"/>
    </row>
    <row r="277" spans="1:7">
      <c r="A277" s="75">
        <v>39081</v>
      </c>
      <c r="B277" s="1374">
        <f t="shared" si="16"/>
        <v>39081</v>
      </c>
      <c r="C277" s="52" t="s">
        <v>26497</v>
      </c>
      <c r="D277" s="255" t="s">
        <v>26256</v>
      </c>
      <c r="E277" s="135">
        <v>0</v>
      </c>
      <c r="F277" s="255" t="s">
        <v>26468</v>
      </c>
      <c r="G277" s="144"/>
    </row>
    <row r="278" spans="1:7">
      <c r="A278" s="75">
        <v>39081</v>
      </c>
      <c r="B278" s="1374">
        <f t="shared" si="16"/>
        <v>39081</v>
      </c>
      <c r="C278" s="52" t="s">
        <v>26498</v>
      </c>
      <c r="D278" s="255" t="s">
        <v>26256</v>
      </c>
      <c r="E278" s="135">
        <v>5</v>
      </c>
      <c r="F278" s="255" t="s">
        <v>26468</v>
      </c>
      <c r="G278" s="144"/>
    </row>
    <row r="279" spans="1:7">
      <c r="A279" s="75">
        <v>39081</v>
      </c>
      <c r="B279" s="1374">
        <f t="shared" si="16"/>
        <v>39081</v>
      </c>
      <c r="C279" s="52" t="s">
        <v>26499</v>
      </c>
      <c r="D279" s="255" t="s">
        <v>26256</v>
      </c>
      <c r="E279" s="135">
        <v>6</v>
      </c>
      <c r="F279" s="255" t="s">
        <v>26468</v>
      </c>
      <c r="G279" s="144"/>
    </row>
    <row r="280" spans="1:7">
      <c r="A280" s="75">
        <v>39081</v>
      </c>
      <c r="B280" s="1374">
        <f t="shared" si="16"/>
        <v>39081</v>
      </c>
      <c r="C280" s="52" t="s">
        <v>26500</v>
      </c>
      <c r="D280" s="255" t="s">
        <v>26256</v>
      </c>
      <c r="E280" s="135">
        <v>5</v>
      </c>
      <c r="F280" s="255" t="s">
        <v>26468</v>
      </c>
      <c r="G280" s="144"/>
    </row>
    <row r="281" spans="1:7">
      <c r="A281" s="75">
        <v>39081</v>
      </c>
      <c r="B281" s="1374">
        <f t="shared" si="16"/>
        <v>39081</v>
      </c>
      <c r="C281" s="52" t="s">
        <v>26501</v>
      </c>
      <c r="D281" s="255" t="s">
        <v>26256</v>
      </c>
      <c r="E281" s="135">
        <v>6</v>
      </c>
      <c r="F281" s="255" t="s">
        <v>26468</v>
      </c>
      <c r="G281" s="144"/>
    </row>
    <row r="282" spans="1:7">
      <c r="A282" s="79">
        <v>39081</v>
      </c>
      <c r="B282" s="1375">
        <f t="shared" si="16"/>
        <v>39081</v>
      </c>
      <c r="C282" s="477" t="s">
        <v>26502</v>
      </c>
      <c r="D282" s="495" t="s">
        <v>26256</v>
      </c>
      <c r="E282" s="407">
        <v>5</v>
      </c>
      <c r="F282" s="495" t="s">
        <v>26468</v>
      </c>
      <c r="G282" s="144">
        <f>SUM(E267:E282)</f>
        <v>69</v>
      </c>
    </row>
    <row r="283" spans="1:7">
      <c r="A283" s="86"/>
      <c r="B283" s="505"/>
      <c r="C283" s="52" t="s">
        <v>3229</v>
      </c>
      <c r="D283" s="255"/>
      <c r="E283" s="135"/>
      <c r="F283" s="255"/>
      <c r="G283" s="144"/>
    </row>
    <row r="284" spans="1:7">
      <c r="A284" s="86">
        <v>39102</v>
      </c>
      <c r="B284" s="505">
        <f>A284</f>
        <v>39102</v>
      </c>
      <c r="C284" s="52" t="s">
        <v>26503</v>
      </c>
      <c r="D284" s="255" t="s">
        <v>26256</v>
      </c>
      <c r="E284" s="135">
        <v>6</v>
      </c>
      <c r="F284" s="255" t="s">
        <v>26468</v>
      </c>
      <c r="G284" s="144"/>
    </row>
    <row r="285" spans="1:7">
      <c r="A285" s="86">
        <v>39102</v>
      </c>
      <c r="B285" s="505">
        <f>A285</f>
        <v>39102</v>
      </c>
      <c r="C285" s="52" t="s">
        <v>26504</v>
      </c>
      <c r="D285" s="255" t="s">
        <v>26256</v>
      </c>
      <c r="E285" s="135">
        <v>6</v>
      </c>
      <c r="F285" s="255" t="s">
        <v>26468</v>
      </c>
      <c r="G285" s="144"/>
    </row>
    <row r="286" spans="1:7">
      <c r="A286" s="86">
        <v>39102</v>
      </c>
      <c r="B286" s="505">
        <f>A286</f>
        <v>39102</v>
      </c>
      <c r="C286" s="52" t="s">
        <v>26505</v>
      </c>
      <c r="D286" s="255" t="s">
        <v>26256</v>
      </c>
      <c r="E286" s="135">
        <v>6</v>
      </c>
      <c r="F286" s="255" t="s">
        <v>26468</v>
      </c>
      <c r="G286" s="144">
        <f>SUM(E283:E286)</f>
        <v>18</v>
      </c>
    </row>
    <row r="287" spans="1:7">
      <c r="A287" s="91"/>
      <c r="B287" s="504"/>
      <c r="C287" s="43" t="s">
        <v>16471</v>
      </c>
      <c r="D287" s="38"/>
      <c r="E287" s="309"/>
      <c r="F287" s="38"/>
      <c r="G287" s="144"/>
    </row>
    <row r="288" spans="1:7">
      <c r="A288" s="86">
        <v>39214</v>
      </c>
      <c r="B288" s="505">
        <f>A288</f>
        <v>39214</v>
      </c>
      <c r="C288" s="52" t="s">
        <v>26506</v>
      </c>
      <c r="D288" s="255" t="s">
        <v>26256</v>
      </c>
      <c r="E288" s="135">
        <v>8</v>
      </c>
      <c r="F288" s="255" t="s">
        <v>26441</v>
      </c>
      <c r="G288" s="144"/>
    </row>
    <row r="289" spans="1:7">
      <c r="A289" s="95">
        <v>39214</v>
      </c>
      <c r="B289" s="506">
        <f>A289</f>
        <v>39214</v>
      </c>
      <c r="C289" s="477" t="s">
        <v>26507</v>
      </c>
      <c r="D289" s="495" t="s">
        <v>26256</v>
      </c>
      <c r="E289" s="407">
        <v>8</v>
      </c>
      <c r="F289" s="495" t="s">
        <v>26441</v>
      </c>
      <c r="G289" s="144">
        <f>SUM(E287:E289)</f>
        <v>16</v>
      </c>
    </row>
    <row r="290" spans="1:7">
      <c r="A290" s="91"/>
      <c r="B290" s="504"/>
      <c r="C290" s="43" t="s">
        <v>3366</v>
      </c>
      <c r="D290" s="38"/>
      <c r="E290" s="309"/>
      <c r="F290" s="38"/>
      <c r="G290" s="144"/>
    </row>
    <row r="291" spans="1:7">
      <c r="A291" s="86">
        <v>39234</v>
      </c>
      <c r="B291" s="505">
        <f t="shared" ref="B291:B300" si="17">A291</f>
        <v>39234</v>
      </c>
      <c r="C291" s="52" t="s">
        <v>26508</v>
      </c>
      <c r="D291" s="255" t="s">
        <v>26256</v>
      </c>
      <c r="E291" s="135">
        <v>6</v>
      </c>
      <c r="F291" s="255" t="s">
        <v>26468</v>
      </c>
      <c r="G291" s="144"/>
    </row>
    <row r="292" spans="1:7">
      <c r="A292" s="86">
        <v>39234</v>
      </c>
      <c r="B292" s="505">
        <f t="shared" si="17"/>
        <v>39234</v>
      </c>
      <c r="C292" s="52" t="s">
        <v>26509</v>
      </c>
      <c r="D292" s="255" t="s">
        <v>26256</v>
      </c>
      <c r="E292" s="135">
        <v>6</v>
      </c>
      <c r="F292" s="255" t="s">
        <v>26468</v>
      </c>
      <c r="G292" s="144"/>
    </row>
    <row r="293" spans="1:7">
      <c r="A293" s="86">
        <v>39234</v>
      </c>
      <c r="B293" s="505">
        <f t="shared" si="17"/>
        <v>39234</v>
      </c>
      <c r="C293" s="52" t="s">
        <v>26510</v>
      </c>
      <c r="D293" s="255" t="s">
        <v>26256</v>
      </c>
      <c r="E293" s="135">
        <v>5</v>
      </c>
      <c r="F293" s="255" t="s">
        <v>26468</v>
      </c>
      <c r="G293" s="144"/>
    </row>
    <row r="294" spans="1:7">
      <c r="A294" s="86">
        <v>39234</v>
      </c>
      <c r="B294" s="505">
        <f t="shared" si="17"/>
        <v>39234</v>
      </c>
      <c r="C294" s="52" t="s">
        <v>26511</v>
      </c>
      <c r="D294" s="255" t="s">
        <v>26256</v>
      </c>
      <c r="E294" s="135">
        <v>6</v>
      </c>
      <c r="F294" s="255" t="s">
        <v>26468</v>
      </c>
      <c r="G294" s="144"/>
    </row>
    <row r="295" spans="1:7">
      <c r="A295" s="86">
        <v>39255</v>
      </c>
      <c r="B295" s="505">
        <f t="shared" si="17"/>
        <v>39255</v>
      </c>
      <c r="C295" s="52" t="s">
        <v>26512</v>
      </c>
      <c r="D295" s="255" t="s">
        <v>26256</v>
      </c>
      <c r="E295" s="135">
        <v>4</v>
      </c>
      <c r="F295" s="255" t="s">
        <v>26441</v>
      </c>
      <c r="G295" s="144"/>
    </row>
    <row r="296" spans="1:7">
      <c r="A296" s="86">
        <v>39255</v>
      </c>
      <c r="B296" s="505">
        <f t="shared" si="17"/>
        <v>39255</v>
      </c>
      <c r="C296" s="52" t="s">
        <v>26513</v>
      </c>
      <c r="D296" s="255" t="s">
        <v>26256</v>
      </c>
      <c r="E296" s="135">
        <v>4</v>
      </c>
      <c r="F296" s="255" t="s">
        <v>26441</v>
      </c>
      <c r="G296" s="144"/>
    </row>
    <row r="297" spans="1:7">
      <c r="A297" s="86">
        <v>39255</v>
      </c>
      <c r="B297" s="505">
        <f t="shared" si="17"/>
        <v>39255</v>
      </c>
      <c r="C297" s="52" t="s">
        <v>26514</v>
      </c>
      <c r="D297" s="255" t="s">
        <v>26256</v>
      </c>
      <c r="E297" s="135">
        <v>4</v>
      </c>
      <c r="F297" s="255" t="s">
        <v>26441</v>
      </c>
      <c r="G297" s="144"/>
    </row>
    <row r="298" spans="1:7">
      <c r="A298" s="86">
        <v>39255</v>
      </c>
      <c r="B298" s="505">
        <f t="shared" si="17"/>
        <v>39255</v>
      </c>
      <c r="C298" s="52" t="s">
        <v>26515</v>
      </c>
      <c r="D298" s="255" t="s">
        <v>26256</v>
      </c>
      <c r="E298" s="135">
        <v>4</v>
      </c>
      <c r="F298" s="255" t="s">
        <v>26441</v>
      </c>
      <c r="G298" s="144"/>
    </row>
    <row r="299" spans="1:7">
      <c r="A299" s="86">
        <v>39255</v>
      </c>
      <c r="B299" s="505">
        <f t="shared" si="17"/>
        <v>39255</v>
      </c>
      <c r="C299" s="52" t="s">
        <v>26516</v>
      </c>
      <c r="D299" s="255" t="s">
        <v>26256</v>
      </c>
      <c r="E299" s="135">
        <v>4</v>
      </c>
      <c r="F299" s="255" t="s">
        <v>26441</v>
      </c>
      <c r="G299" s="144"/>
    </row>
    <row r="300" spans="1:7">
      <c r="A300" s="95">
        <v>39255</v>
      </c>
      <c r="B300" s="505">
        <f t="shared" si="17"/>
        <v>39255</v>
      </c>
      <c r="C300" s="477" t="s">
        <v>26517</v>
      </c>
      <c r="D300" s="495" t="s">
        <v>26256</v>
      </c>
      <c r="E300" s="407">
        <v>4</v>
      </c>
      <c r="F300" s="495" t="s">
        <v>26441</v>
      </c>
      <c r="G300" s="144">
        <f>SUM(E290:E300)</f>
        <v>47</v>
      </c>
    </row>
    <row r="301" spans="1:7">
      <c r="A301" s="91"/>
      <c r="B301" s="504"/>
      <c r="C301" s="43" t="s">
        <v>16481</v>
      </c>
      <c r="D301" s="38"/>
      <c r="E301" s="309"/>
      <c r="F301" s="38"/>
      <c r="G301" s="144"/>
    </row>
    <row r="302" spans="1:7">
      <c r="A302" s="95">
        <v>39304</v>
      </c>
      <c r="B302" s="506">
        <f>A302</f>
        <v>39304</v>
      </c>
      <c r="C302" s="477" t="s">
        <v>26518</v>
      </c>
      <c r="D302" s="495" t="s">
        <v>26256</v>
      </c>
      <c r="E302" s="407">
        <v>8</v>
      </c>
      <c r="F302" s="495" t="s">
        <v>26441</v>
      </c>
      <c r="G302" s="144">
        <f>SUM(E301:E302)</f>
        <v>8</v>
      </c>
    </row>
    <row r="303" spans="1:7">
      <c r="A303" s="91"/>
      <c r="B303" s="504"/>
      <c r="C303" s="43" t="s">
        <v>16491</v>
      </c>
      <c r="D303" s="38"/>
      <c r="E303" s="309"/>
      <c r="F303" s="38"/>
      <c r="G303" s="144"/>
    </row>
    <row r="304" spans="1:7">
      <c r="A304" s="86">
        <v>39382</v>
      </c>
      <c r="B304" s="505">
        <f>A304</f>
        <v>39382</v>
      </c>
      <c r="C304" s="52" t="s">
        <v>26519</v>
      </c>
      <c r="D304" s="255"/>
      <c r="E304" s="135">
        <v>8</v>
      </c>
      <c r="F304" s="255" t="s">
        <v>26441</v>
      </c>
      <c r="G304" s="144"/>
    </row>
    <row r="305" spans="1:7">
      <c r="A305" s="86">
        <v>39382</v>
      </c>
      <c r="B305" s="505">
        <f>A305</f>
        <v>39382</v>
      </c>
      <c r="C305" s="52" t="s">
        <v>26520</v>
      </c>
      <c r="D305" s="255"/>
      <c r="E305" s="135">
        <v>8</v>
      </c>
      <c r="F305" s="255" t="s">
        <v>26441</v>
      </c>
      <c r="G305" s="144"/>
    </row>
    <row r="306" spans="1:7">
      <c r="A306" s="86">
        <v>39382</v>
      </c>
      <c r="B306" s="505">
        <f>A306</f>
        <v>39382</v>
      </c>
      <c r="C306" s="52" t="s">
        <v>26304</v>
      </c>
      <c r="D306" s="255"/>
      <c r="E306" s="135">
        <v>8</v>
      </c>
      <c r="F306" s="255" t="s">
        <v>26441</v>
      </c>
      <c r="G306" s="144"/>
    </row>
    <row r="307" spans="1:7">
      <c r="A307" s="86">
        <v>39382</v>
      </c>
      <c r="B307" s="505">
        <f>A307</f>
        <v>39382</v>
      </c>
      <c r="C307" s="52" t="s">
        <v>26521</v>
      </c>
      <c r="D307" s="255"/>
      <c r="E307" s="135">
        <v>1</v>
      </c>
      <c r="F307" s="255" t="s">
        <v>26441</v>
      </c>
      <c r="G307" s="144">
        <f>SUM(E303:E307)</f>
        <v>25</v>
      </c>
    </row>
    <row r="308" spans="1:7">
      <c r="A308" s="129"/>
      <c r="B308" s="515"/>
      <c r="C308" s="377" t="s">
        <v>5581</v>
      </c>
      <c r="D308" s="516"/>
      <c r="E308" s="378"/>
      <c r="F308" s="517"/>
      <c r="G308" s="144"/>
    </row>
    <row r="309" spans="1:7">
      <c r="A309" s="130">
        <v>39401</v>
      </c>
      <c r="B309" s="505">
        <f>A309</f>
        <v>39401</v>
      </c>
      <c r="C309" s="52" t="s">
        <v>26522</v>
      </c>
      <c r="D309" s="255" t="s">
        <v>26256</v>
      </c>
      <c r="E309" s="135">
        <v>6</v>
      </c>
      <c r="F309" s="518" t="s">
        <v>26468</v>
      </c>
      <c r="G309" s="144"/>
    </row>
    <row r="310" spans="1:7">
      <c r="A310" s="130">
        <v>39401</v>
      </c>
      <c r="B310" s="505">
        <f>A310</f>
        <v>39401</v>
      </c>
      <c r="C310" s="52" t="s">
        <v>26523</v>
      </c>
      <c r="D310" s="255" t="s">
        <v>26256</v>
      </c>
      <c r="E310" s="135">
        <v>6</v>
      </c>
      <c r="F310" s="518" t="s">
        <v>26468</v>
      </c>
      <c r="G310" s="144"/>
    </row>
    <row r="311" spans="1:7">
      <c r="A311" s="130">
        <v>39401</v>
      </c>
      <c r="B311" s="505">
        <f>A311</f>
        <v>39401</v>
      </c>
      <c r="C311" s="52" t="s">
        <v>26524</v>
      </c>
      <c r="D311" s="255" t="s">
        <v>26256</v>
      </c>
      <c r="E311" s="135">
        <v>6</v>
      </c>
      <c r="F311" s="518" t="s">
        <v>26468</v>
      </c>
      <c r="G311" s="144"/>
    </row>
    <row r="312" spans="1:7">
      <c r="A312" s="194">
        <v>39401</v>
      </c>
      <c r="B312" s="519">
        <f>A312</f>
        <v>39401</v>
      </c>
      <c r="C312" s="478" t="s">
        <v>26525</v>
      </c>
      <c r="D312" s="520" t="s">
        <v>26256</v>
      </c>
      <c r="E312" s="412">
        <v>0</v>
      </c>
      <c r="F312" s="521" t="s">
        <v>26468</v>
      </c>
      <c r="G312" s="144">
        <f>SUM(E308:E312)</f>
        <v>18</v>
      </c>
    </row>
    <row r="313" spans="1:7">
      <c r="A313" s="129"/>
      <c r="B313" s="515"/>
      <c r="C313" s="377" t="s">
        <v>5676</v>
      </c>
      <c r="D313" s="516"/>
      <c r="E313" s="378"/>
      <c r="F313" s="517"/>
      <c r="G313" s="144"/>
    </row>
    <row r="314" spans="1:7">
      <c r="A314" s="130">
        <v>39813</v>
      </c>
      <c r="B314" s="505">
        <f>A314</f>
        <v>39813</v>
      </c>
      <c r="C314" s="52" t="s">
        <v>26526</v>
      </c>
      <c r="D314" s="255" t="s">
        <v>26256</v>
      </c>
      <c r="E314" s="135">
        <v>6</v>
      </c>
      <c r="F314" s="518" t="s">
        <v>26441</v>
      </c>
      <c r="G314" s="144"/>
    </row>
    <row r="315" spans="1:7">
      <c r="A315" s="130">
        <v>39813</v>
      </c>
      <c r="B315" s="505">
        <f>A315</f>
        <v>39813</v>
      </c>
      <c r="C315" s="52" t="s">
        <v>26527</v>
      </c>
      <c r="D315" s="255" t="s">
        <v>26256</v>
      </c>
      <c r="E315" s="135">
        <v>6</v>
      </c>
      <c r="F315" s="518" t="s">
        <v>26441</v>
      </c>
      <c r="G315" s="144"/>
    </row>
    <row r="316" spans="1:7">
      <c r="A316" s="130">
        <v>39813</v>
      </c>
      <c r="B316" s="505">
        <f>A316</f>
        <v>39813</v>
      </c>
      <c r="C316" s="52" t="s">
        <v>26528</v>
      </c>
      <c r="D316" s="255" t="s">
        <v>26256</v>
      </c>
      <c r="E316" s="135">
        <v>6</v>
      </c>
      <c r="F316" s="518" t="s">
        <v>26441</v>
      </c>
      <c r="G316" s="144"/>
    </row>
    <row r="317" spans="1:7">
      <c r="A317" s="130">
        <v>39813</v>
      </c>
      <c r="B317" s="505">
        <f>A317</f>
        <v>39813</v>
      </c>
      <c r="C317" s="52" t="s">
        <v>26529</v>
      </c>
      <c r="D317" s="255" t="s">
        <v>26256</v>
      </c>
      <c r="E317" s="135">
        <v>6</v>
      </c>
      <c r="F317" s="518" t="s">
        <v>26441</v>
      </c>
      <c r="G317" s="144"/>
    </row>
    <row r="318" spans="1:7">
      <c r="A318" s="194">
        <v>39813</v>
      </c>
      <c r="B318" s="519">
        <f>A318</f>
        <v>39813</v>
      </c>
      <c r="C318" s="478" t="s">
        <v>26530</v>
      </c>
      <c r="D318" s="520" t="s">
        <v>26256</v>
      </c>
      <c r="E318" s="412">
        <v>6</v>
      </c>
      <c r="F318" s="521" t="s">
        <v>26441</v>
      </c>
      <c r="G318" s="144">
        <f>SUM(E313:E318)</f>
        <v>30</v>
      </c>
    </row>
    <row r="319" spans="1:7">
      <c r="A319" s="129"/>
      <c r="B319" s="515"/>
      <c r="C319" s="377" t="s">
        <v>3729</v>
      </c>
      <c r="D319" s="516"/>
      <c r="E319" s="378"/>
      <c r="F319" s="517"/>
      <c r="G319" s="144"/>
    </row>
    <row r="320" spans="1:7">
      <c r="A320" s="130">
        <v>39848</v>
      </c>
      <c r="B320" s="505">
        <f t="shared" ref="B320:B326" si="18">A320</f>
        <v>39848</v>
      </c>
      <c r="C320" s="52" t="s">
        <v>26531</v>
      </c>
      <c r="D320" s="255" t="s">
        <v>26256</v>
      </c>
      <c r="E320" s="135">
        <v>4</v>
      </c>
      <c r="F320" s="518" t="s">
        <v>26468</v>
      </c>
      <c r="G320" s="144"/>
    </row>
    <row r="321" spans="1:7">
      <c r="A321" s="130">
        <v>39848</v>
      </c>
      <c r="B321" s="505">
        <f t="shared" si="18"/>
        <v>39848</v>
      </c>
      <c r="C321" s="52" t="s">
        <v>26532</v>
      </c>
      <c r="D321" s="255" t="s">
        <v>26256</v>
      </c>
      <c r="E321" s="135">
        <v>4</v>
      </c>
      <c r="F321" s="518" t="s">
        <v>26468</v>
      </c>
      <c r="G321" s="144"/>
    </row>
    <row r="322" spans="1:7">
      <c r="A322" s="130">
        <v>39848</v>
      </c>
      <c r="B322" s="505">
        <f t="shared" si="18"/>
        <v>39848</v>
      </c>
      <c r="C322" s="52" t="s">
        <v>26533</v>
      </c>
      <c r="D322" s="255" t="s">
        <v>26256</v>
      </c>
      <c r="E322" s="135">
        <v>4</v>
      </c>
      <c r="F322" s="518" t="s">
        <v>26468</v>
      </c>
      <c r="G322" s="144"/>
    </row>
    <row r="323" spans="1:7">
      <c r="A323" s="130">
        <v>39858</v>
      </c>
      <c r="B323" s="505">
        <f t="shared" si="18"/>
        <v>39858</v>
      </c>
      <c r="C323" s="52" t="s">
        <v>26534</v>
      </c>
      <c r="D323" s="255" t="s">
        <v>26256</v>
      </c>
      <c r="E323" s="135">
        <v>3.33</v>
      </c>
      <c r="F323" s="518" t="s">
        <v>22256</v>
      </c>
      <c r="G323" s="144"/>
    </row>
    <row r="324" spans="1:7">
      <c r="A324" s="130">
        <v>39858</v>
      </c>
      <c r="B324" s="505">
        <f t="shared" si="18"/>
        <v>39858</v>
      </c>
      <c r="C324" s="52" t="s">
        <v>26535</v>
      </c>
      <c r="D324" s="255" t="s">
        <v>26256</v>
      </c>
      <c r="E324" s="135">
        <v>3.33</v>
      </c>
      <c r="F324" s="518" t="s">
        <v>22256</v>
      </c>
      <c r="G324" s="144"/>
    </row>
    <row r="325" spans="1:7">
      <c r="A325" s="130">
        <v>39858</v>
      </c>
      <c r="B325" s="505">
        <f t="shared" si="18"/>
        <v>39858</v>
      </c>
      <c r="C325" s="52" t="s">
        <v>26536</v>
      </c>
      <c r="D325" s="255" t="s">
        <v>26256</v>
      </c>
      <c r="E325" s="135">
        <v>3.33</v>
      </c>
      <c r="F325" s="518" t="s">
        <v>22256</v>
      </c>
      <c r="G325" s="144"/>
    </row>
    <row r="326" spans="1:7">
      <c r="A326" s="194">
        <v>39858</v>
      </c>
      <c r="B326" s="505">
        <f t="shared" si="18"/>
        <v>39858</v>
      </c>
      <c r="C326" s="478" t="s">
        <v>26537</v>
      </c>
      <c r="D326" s="520" t="s">
        <v>26256</v>
      </c>
      <c r="E326" s="412">
        <v>3.33</v>
      </c>
      <c r="F326" s="521" t="s">
        <v>22256</v>
      </c>
      <c r="G326" s="144"/>
    </row>
    <row r="327" spans="1:7">
      <c r="A327" s="99"/>
      <c r="B327" s="1373"/>
      <c r="C327" s="377" t="s">
        <v>26538</v>
      </c>
      <c r="D327" s="516"/>
      <c r="E327" s="378"/>
      <c r="F327" s="517"/>
      <c r="G327" s="144"/>
    </row>
    <row r="328" spans="1:7">
      <c r="A328" s="103">
        <v>40005</v>
      </c>
      <c r="B328" s="1374">
        <f t="shared" ref="B328:B344" si="19">A328</f>
        <v>40005</v>
      </c>
      <c r="C328" s="52" t="s">
        <v>26539</v>
      </c>
      <c r="D328" s="255" t="s">
        <v>26256</v>
      </c>
      <c r="E328" s="135">
        <v>3</v>
      </c>
      <c r="F328" s="518" t="s">
        <v>22256</v>
      </c>
      <c r="G328" s="144"/>
    </row>
    <row r="329" spans="1:7">
      <c r="A329" s="103">
        <v>40005</v>
      </c>
      <c r="B329" s="1374">
        <f t="shared" si="19"/>
        <v>40005</v>
      </c>
      <c r="C329" s="52" t="s">
        <v>26540</v>
      </c>
      <c r="D329" s="255" t="s">
        <v>26256</v>
      </c>
      <c r="E329" s="135">
        <v>3</v>
      </c>
      <c r="F329" s="518" t="s">
        <v>22256</v>
      </c>
      <c r="G329" s="144"/>
    </row>
    <row r="330" spans="1:7">
      <c r="A330" s="103">
        <v>40005</v>
      </c>
      <c r="B330" s="1374">
        <f t="shared" si="19"/>
        <v>40005</v>
      </c>
      <c r="C330" s="52" t="s">
        <v>26541</v>
      </c>
      <c r="D330" s="255" t="s">
        <v>26256</v>
      </c>
      <c r="E330" s="135">
        <v>3</v>
      </c>
      <c r="F330" s="518" t="s">
        <v>22256</v>
      </c>
      <c r="G330" s="144"/>
    </row>
    <row r="331" spans="1:7">
      <c r="A331" s="103">
        <v>40005</v>
      </c>
      <c r="B331" s="1374">
        <f t="shared" si="19"/>
        <v>40005</v>
      </c>
      <c r="C331" s="52" t="s">
        <v>26542</v>
      </c>
      <c r="D331" s="255" t="s">
        <v>26256</v>
      </c>
      <c r="E331" s="135">
        <v>3</v>
      </c>
      <c r="F331" s="518" t="s">
        <v>22256</v>
      </c>
      <c r="G331" s="144"/>
    </row>
    <row r="332" spans="1:7">
      <c r="A332" s="103">
        <v>40005</v>
      </c>
      <c r="B332" s="1374">
        <f t="shared" si="19"/>
        <v>40005</v>
      </c>
      <c r="C332" s="52" t="s">
        <v>26543</v>
      </c>
      <c r="D332" s="255" t="s">
        <v>26256</v>
      </c>
      <c r="E332" s="135">
        <v>3</v>
      </c>
      <c r="F332" s="518" t="s">
        <v>22256</v>
      </c>
      <c r="G332" s="144"/>
    </row>
    <row r="333" spans="1:7">
      <c r="A333" s="103">
        <v>40005</v>
      </c>
      <c r="B333" s="1374">
        <f t="shared" si="19"/>
        <v>40005</v>
      </c>
      <c r="C333" s="52" t="s">
        <v>26544</v>
      </c>
      <c r="D333" s="255" t="s">
        <v>26256</v>
      </c>
      <c r="E333" s="135">
        <v>3</v>
      </c>
      <c r="F333" s="518" t="s">
        <v>22256</v>
      </c>
      <c r="G333" s="144"/>
    </row>
    <row r="334" spans="1:7">
      <c r="A334" s="103">
        <v>40014</v>
      </c>
      <c r="B334" s="1374">
        <f t="shared" si="19"/>
        <v>40014</v>
      </c>
      <c r="C334" s="52" t="s">
        <v>26545</v>
      </c>
      <c r="D334" s="255" t="s">
        <v>26256</v>
      </c>
      <c r="E334" s="135">
        <v>6</v>
      </c>
      <c r="F334" s="518" t="s">
        <v>22256</v>
      </c>
      <c r="G334" s="144"/>
    </row>
    <row r="335" spans="1:7">
      <c r="A335" s="103">
        <v>40014</v>
      </c>
      <c r="B335" s="1374">
        <f t="shared" si="19"/>
        <v>40014</v>
      </c>
      <c r="C335" s="52" t="s">
        <v>26546</v>
      </c>
      <c r="D335" s="255" t="s">
        <v>26547</v>
      </c>
      <c r="E335" s="135">
        <v>7.5</v>
      </c>
      <c r="F335" s="518" t="s">
        <v>22256</v>
      </c>
      <c r="G335" s="144"/>
    </row>
    <row r="336" spans="1:7">
      <c r="A336" s="103">
        <v>40016</v>
      </c>
      <c r="B336" s="1374">
        <f t="shared" si="19"/>
        <v>40016</v>
      </c>
      <c r="C336" s="52" t="s">
        <v>26548</v>
      </c>
      <c r="D336" s="255" t="s">
        <v>26256</v>
      </c>
      <c r="E336" s="135">
        <v>1.96</v>
      </c>
      <c r="F336" s="518" t="s">
        <v>22256</v>
      </c>
      <c r="G336" s="144"/>
    </row>
    <row r="337" spans="1:7">
      <c r="A337" s="103">
        <v>40016</v>
      </c>
      <c r="B337" s="1374">
        <f t="shared" si="19"/>
        <v>40016</v>
      </c>
      <c r="C337" s="52" t="s">
        <v>26549</v>
      </c>
      <c r="D337" s="255" t="s">
        <v>26547</v>
      </c>
      <c r="E337" s="135">
        <v>8.5</v>
      </c>
      <c r="F337" s="518" t="s">
        <v>22256</v>
      </c>
      <c r="G337" s="144"/>
    </row>
    <row r="338" spans="1:7">
      <c r="A338" s="103">
        <v>40018</v>
      </c>
      <c r="B338" s="1374">
        <f t="shared" si="19"/>
        <v>40018</v>
      </c>
      <c r="C338" s="52" t="s">
        <v>26550</v>
      </c>
      <c r="D338" s="255" t="s">
        <v>26256</v>
      </c>
      <c r="E338" s="135">
        <v>6</v>
      </c>
      <c r="F338" s="518" t="s">
        <v>22256</v>
      </c>
      <c r="G338" s="144"/>
    </row>
    <row r="339" spans="1:7">
      <c r="A339" s="103">
        <v>40018</v>
      </c>
      <c r="B339" s="1374">
        <f t="shared" si="19"/>
        <v>40018</v>
      </c>
      <c r="C339" s="52" t="s">
        <v>26551</v>
      </c>
      <c r="D339" s="255" t="s">
        <v>26256</v>
      </c>
      <c r="E339" s="135">
        <v>0</v>
      </c>
      <c r="F339" s="518" t="s">
        <v>22256</v>
      </c>
      <c r="G339" s="144"/>
    </row>
    <row r="340" spans="1:7">
      <c r="A340" s="103">
        <v>40018</v>
      </c>
      <c r="B340" s="1374">
        <f t="shared" si="19"/>
        <v>40018</v>
      </c>
      <c r="C340" s="52" t="s">
        <v>26295</v>
      </c>
      <c r="D340" s="255" t="s">
        <v>26256</v>
      </c>
      <c r="E340" s="135">
        <v>3.9</v>
      </c>
      <c r="F340" s="518" t="s">
        <v>22256</v>
      </c>
      <c r="G340" s="144"/>
    </row>
    <row r="341" spans="1:7">
      <c r="A341" s="103">
        <v>40018</v>
      </c>
      <c r="B341" s="1374">
        <f t="shared" si="19"/>
        <v>40018</v>
      </c>
      <c r="C341" s="52" t="s">
        <v>26478</v>
      </c>
      <c r="D341" s="255" t="s">
        <v>26256</v>
      </c>
      <c r="E341" s="135">
        <v>3.9</v>
      </c>
      <c r="F341" s="518" t="s">
        <v>22256</v>
      </c>
      <c r="G341" s="144"/>
    </row>
    <row r="342" spans="1:7">
      <c r="A342" s="103">
        <v>40024</v>
      </c>
      <c r="B342" s="1374">
        <f t="shared" si="19"/>
        <v>40024</v>
      </c>
      <c r="C342" s="52" t="s">
        <v>26552</v>
      </c>
      <c r="D342" s="255" t="s">
        <v>26256</v>
      </c>
      <c r="E342" s="135">
        <v>6</v>
      </c>
      <c r="F342" s="518" t="s">
        <v>26553</v>
      </c>
      <c r="G342" s="144"/>
    </row>
    <row r="343" spans="1:7">
      <c r="A343" s="103">
        <v>40024</v>
      </c>
      <c r="B343" s="1374">
        <f t="shared" si="19"/>
        <v>40024</v>
      </c>
      <c r="C343" s="52" t="s">
        <v>26554</v>
      </c>
      <c r="D343" s="255" t="s">
        <v>26256</v>
      </c>
      <c r="E343" s="135">
        <v>5</v>
      </c>
      <c r="F343" s="518" t="s">
        <v>26553</v>
      </c>
      <c r="G343" s="144"/>
    </row>
    <row r="344" spans="1:7">
      <c r="A344" s="105">
        <v>40024</v>
      </c>
      <c r="B344" s="1375">
        <f t="shared" si="19"/>
        <v>40024</v>
      </c>
      <c r="C344" s="478" t="s">
        <v>26555</v>
      </c>
      <c r="D344" s="520" t="s">
        <v>26547</v>
      </c>
      <c r="E344" s="412">
        <v>8</v>
      </c>
      <c r="F344" s="521" t="s">
        <v>26553</v>
      </c>
      <c r="G344" s="144"/>
    </row>
    <row r="345" spans="1:7">
      <c r="A345" s="130"/>
      <c r="B345" s="505"/>
      <c r="C345" s="52"/>
      <c r="D345" s="255"/>
      <c r="E345" s="135"/>
      <c r="F345" s="518"/>
      <c r="G345" s="144"/>
    </row>
    <row r="346" spans="1:7">
      <c r="A346" s="130">
        <v>40103</v>
      </c>
      <c r="B346" s="505">
        <f t="shared" ref="B346:B355" si="20">A346</f>
        <v>40103</v>
      </c>
      <c r="C346" s="52" t="s">
        <v>26556</v>
      </c>
      <c r="D346" s="255" t="s">
        <v>26256</v>
      </c>
      <c r="E346" s="135">
        <v>5.4</v>
      </c>
      <c r="F346" s="518" t="s">
        <v>22256</v>
      </c>
      <c r="G346" s="144"/>
    </row>
    <row r="347" spans="1:7">
      <c r="A347" s="130">
        <v>40103</v>
      </c>
      <c r="B347" s="505">
        <f t="shared" si="20"/>
        <v>40103</v>
      </c>
      <c r="C347" s="52" t="s">
        <v>26557</v>
      </c>
      <c r="D347" s="255" t="s">
        <v>26256</v>
      </c>
      <c r="E347" s="135">
        <v>5.4</v>
      </c>
      <c r="F347" s="518" t="s">
        <v>22256</v>
      </c>
      <c r="G347" s="144"/>
    </row>
    <row r="348" spans="1:7">
      <c r="A348" s="130">
        <v>40103</v>
      </c>
      <c r="B348" s="505">
        <f t="shared" si="20"/>
        <v>40103</v>
      </c>
      <c r="C348" s="52" t="s">
        <v>26558</v>
      </c>
      <c r="D348" s="255" t="s">
        <v>26256</v>
      </c>
      <c r="E348" s="135">
        <v>5.4</v>
      </c>
      <c r="F348" s="518" t="s">
        <v>22256</v>
      </c>
      <c r="G348" s="144"/>
    </row>
    <row r="349" spans="1:7">
      <c r="A349" s="130">
        <v>40110</v>
      </c>
      <c r="B349" s="505">
        <f t="shared" si="20"/>
        <v>40110</v>
      </c>
      <c r="C349" s="52" t="s">
        <v>26559</v>
      </c>
      <c r="D349" s="255" t="s">
        <v>26547</v>
      </c>
      <c r="E349" s="135">
        <v>8</v>
      </c>
      <c r="F349" s="518" t="s">
        <v>22256</v>
      </c>
      <c r="G349" s="144"/>
    </row>
    <row r="350" spans="1:7">
      <c r="A350" s="130">
        <v>40110</v>
      </c>
      <c r="B350" s="505">
        <f t="shared" si="20"/>
        <v>40110</v>
      </c>
      <c r="C350" s="52" t="s">
        <v>26560</v>
      </c>
      <c r="D350" s="255" t="s">
        <v>26547</v>
      </c>
      <c r="E350" s="135">
        <v>8</v>
      </c>
      <c r="F350" s="518" t="s">
        <v>22256</v>
      </c>
      <c r="G350" s="144"/>
    </row>
    <row r="351" spans="1:7">
      <c r="A351" s="130">
        <v>40117</v>
      </c>
      <c r="B351" s="505">
        <f t="shared" si="20"/>
        <v>40117</v>
      </c>
      <c r="C351" s="52" t="s">
        <v>26561</v>
      </c>
      <c r="D351" s="255" t="s">
        <v>26256</v>
      </c>
      <c r="E351" s="135">
        <v>6</v>
      </c>
      <c r="F351" s="518" t="s">
        <v>26553</v>
      </c>
      <c r="G351" s="144"/>
    </row>
    <row r="352" spans="1:7">
      <c r="A352" s="130">
        <v>40117</v>
      </c>
      <c r="B352" s="505">
        <f t="shared" si="20"/>
        <v>40117</v>
      </c>
      <c r="C352" s="52" t="s">
        <v>26562</v>
      </c>
      <c r="D352" s="255" t="s">
        <v>26547</v>
      </c>
      <c r="E352" s="135">
        <v>6</v>
      </c>
      <c r="F352" s="518" t="s">
        <v>26553</v>
      </c>
      <c r="G352" s="144"/>
    </row>
    <row r="353" spans="1:7">
      <c r="A353" s="130">
        <v>40117</v>
      </c>
      <c r="B353" s="505">
        <f t="shared" si="20"/>
        <v>40117</v>
      </c>
      <c r="C353" s="52" t="s">
        <v>26563</v>
      </c>
      <c r="D353" s="255" t="s">
        <v>26547</v>
      </c>
      <c r="E353" s="135">
        <v>6</v>
      </c>
      <c r="F353" s="518" t="s">
        <v>26553</v>
      </c>
      <c r="G353" s="144"/>
    </row>
    <row r="354" spans="1:7">
      <c r="A354" s="130">
        <v>40117</v>
      </c>
      <c r="B354" s="505">
        <f t="shared" si="20"/>
        <v>40117</v>
      </c>
      <c r="C354" s="52" t="s">
        <v>26564</v>
      </c>
      <c r="D354" s="255" t="s">
        <v>26547</v>
      </c>
      <c r="E354" s="135">
        <v>6</v>
      </c>
      <c r="F354" s="518" t="s">
        <v>26553</v>
      </c>
      <c r="G354" s="144"/>
    </row>
    <row r="355" spans="1:7">
      <c r="A355" s="130">
        <v>40117</v>
      </c>
      <c r="B355" s="505">
        <f t="shared" si="20"/>
        <v>40117</v>
      </c>
      <c r="C355" s="52" t="s">
        <v>26565</v>
      </c>
      <c r="D355" s="255" t="s">
        <v>26547</v>
      </c>
      <c r="E355" s="135">
        <v>6</v>
      </c>
      <c r="F355" s="518" t="s">
        <v>26553</v>
      </c>
      <c r="G355" s="144"/>
    </row>
    <row r="356" spans="1:7">
      <c r="A356" s="130"/>
      <c r="B356" s="505"/>
      <c r="C356" s="52"/>
      <c r="D356" s="255"/>
      <c r="E356" s="135"/>
      <c r="F356" s="518"/>
      <c r="G356" s="144"/>
    </row>
    <row r="357" spans="1:7">
      <c r="A357" s="130">
        <v>40145</v>
      </c>
      <c r="B357" s="505">
        <f>A357</f>
        <v>40145</v>
      </c>
      <c r="C357" s="52" t="s">
        <v>26542</v>
      </c>
      <c r="D357" s="255" t="s">
        <v>26566</v>
      </c>
      <c r="E357" s="135">
        <v>6</v>
      </c>
      <c r="F357" s="518"/>
      <c r="G357" s="144"/>
    </row>
    <row r="358" spans="1:7">
      <c r="A358" s="130">
        <v>40145</v>
      </c>
      <c r="B358" s="505">
        <f>A358</f>
        <v>40145</v>
      </c>
      <c r="C358" s="52" t="s">
        <v>26567</v>
      </c>
      <c r="D358" s="255" t="s">
        <v>26568</v>
      </c>
      <c r="E358" s="135">
        <v>6</v>
      </c>
      <c r="F358" s="518"/>
      <c r="G358" s="144"/>
    </row>
    <row r="359" spans="1:7">
      <c r="A359" s="130"/>
      <c r="B359" s="505"/>
      <c r="C359" s="52"/>
      <c r="D359" s="255"/>
      <c r="E359" s="135"/>
      <c r="F359" s="518"/>
      <c r="G359" s="144"/>
    </row>
    <row r="360" spans="1:7">
      <c r="A360" s="130">
        <v>40146</v>
      </c>
      <c r="B360" s="505">
        <f>A360</f>
        <v>40146</v>
      </c>
      <c r="C360" s="52" t="s">
        <v>26569</v>
      </c>
      <c r="D360" s="255" t="s">
        <v>26566</v>
      </c>
      <c r="E360" s="135">
        <v>7.5</v>
      </c>
      <c r="F360" s="518"/>
      <c r="G360" s="144"/>
    </row>
    <row r="361" spans="1:7">
      <c r="A361" s="130"/>
      <c r="B361" s="505"/>
      <c r="C361" s="52"/>
      <c r="D361" s="255"/>
      <c r="E361" s="135"/>
      <c r="F361" s="518"/>
      <c r="G361" s="144"/>
    </row>
    <row r="362" spans="1:7">
      <c r="A362" s="130">
        <v>41216</v>
      </c>
      <c r="B362" s="505">
        <f>A362</f>
        <v>41216</v>
      </c>
      <c r="C362" s="52" t="s">
        <v>26570</v>
      </c>
      <c r="D362" s="255" t="s">
        <v>26256</v>
      </c>
      <c r="E362" s="135">
        <v>5</v>
      </c>
      <c r="F362" s="518" t="s">
        <v>26571</v>
      </c>
      <c r="G362" s="144"/>
    </row>
    <row r="363" spans="1:7">
      <c r="A363" s="130">
        <v>41216</v>
      </c>
      <c r="B363" s="505">
        <f>A363</f>
        <v>41216</v>
      </c>
      <c r="C363" s="52" t="s">
        <v>26572</v>
      </c>
      <c r="D363" s="255" t="s">
        <v>26547</v>
      </c>
      <c r="E363" s="135">
        <v>8</v>
      </c>
      <c r="F363" s="518" t="s">
        <v>26571</v>
      </c>
      <c r="G363" s="144"/>
    </row>
    <row r="364" spans="1:7">
      <c r="A364" s="130">
        <v>41216</v>
      </c>
      <c r="B364" s="505">
        <f>A364</f>
        <v>41216</v>
      </c>
      <c r="C364" s="52" t="s">
        <v>26573</v>
      </c>
      <c r="D364" s="255" t="s">
        <v>26547</v>
      </c>
      <c r="E364" s="135">
        <v>8</v>
      </c>
      <c r="F364" s="518" t="s">
        <v>26571</v>
      </c>
      <c r="G364" s="144"/>
    </row>
    <row r="365" spans="1:7">
      <c r="A365" s="130"/>
      <c r="B365" s="505"/>
      <c r="C365" s="52"/>
      <c r="D365" s="255"/>
      <c r="E365" s="135"/>
      <c r="F365" s="518"/>
      <c r="G365" s="144"/>
    </row>
    <row r="366" spans="1:7">
      <c r="A366" s="130">
        <v>41258</v>
      </c>
      <c r="B366" s="505">
        <f>A366</f>
        <v>41258</v>
      </c>
      <c r="C366" s="52" t="s">
        <v>26574</v>
      </c>
      <c r="D366" s="255" t="s">
        <v>26547</v>
      </c>
      <c r="E366" s="135">
        <v>8</v>
      </c>
      <c r="F366" s="518" t="s">
        <v>26571</v>
      </c>
      <c r="G366" s="144"/>
    </row>
    <row r="367" spans="1:7">
      <c r="A367" s="130">
        <v>41258</v>
      </c>
      <c r="B367" s="505">
        <f>A367</f>
        <v>41258</v>
      </c>
      <c r="C367" s="52" t="s">
        <v>26575</v>
      </c>
      <c r="D367" s="255" t="s">
        <v>26547</v>
      </c>
      <c r="E367" s="135">
        <v>8</v>
      </c>
      <c r="F367" s="518" t="s">
        <v>26571</v>
      </c>
      <c r="G367" s="144"/>
    </row>
    <row r="368" spans="1:7">
      <c r="A368" s="130">
        <v>41258</v>
      </c>
      <c r="B368" s="505">
        <f>A368</f>
        <v>41258</v>
      </c>
      <c r="C368" s="52" t="s">
        <v>26576</v>
      </c>
      <c r="D368" s="255" t="s">
        <v>26547</v>
      </c>
      <c r="E368" s="135">
        <v>8</v>
      </c>
      <c r="F368" s="518" t="s">
        <v>26571</v>
      </c>
      <c r="G368" s="144"/>
    </row>
    <row r="369" spans="1:7">
      <c r="A369" s="130"/>
      <c r="B369" s="505"/>
      <c r="C369" s="52"/>
      <c r="D369" s="255"/>
      <c r="E369" s="135"/>
      <c r="F369" s="518"/>
      <c r="G369" s="144"/>
    </row>
    <row r="370" spans="1:7">
      <c r="A370" s="130"/>
      <c r="B370" s="505"/>
      <c r="C370" s="52"/>
      <c r="D370" s="255"/>
      <c r="E370" s="135"/>
      <c r="F370" s="518"/>
      <c r="G370" s="144"/>
    </row>
    <row r="371" spans="1:7">
      <c r="A371" s="130"/>
      <c r="B371" s="505"/>
      <c r="C371" s="52"/>
      <c r="D371" s="255"/>
      <c r="E371" s="135"/>
      <c r="F371" s="518"/>
      <c r="G371" s="144"/>
    </row>
    <row r="372" spans="1:7">
      <c r="A372" s="130"/>
      <c r="B372" s="505"/>
      <c r="C372" s="52"/>
      <c r="D372" s="255"/>
      <c r="E372" s="135"/>
      <c r="F372" s="518"/>
      <c r="G372" s="144"/>
    </row>
    <row r="373" spans="1:7">
      <c r="A373" s="130"/>
      <c r="B373" s="505"/>
      <c r="C373" s="52"/>
      <c r="D373" s="255"/>
      <c r="E373" s="135"/>
      <c r="F373" s="518"/>
      <c r="G373" s="144"/>
    </row>
    <row r="374" spans="1:7">
      <c r="A374" s="130"/>
      <c r="B374" s="505"/>
      <c r="C374" s="52"/>
      <c r="D374" s="255"/>
      <c r="E374" s="135"/>
      <c r="F374" s="518"/>
      <c r="G374" s="144"/>
    </row>
    <row r="375" spans="1:7">
      <c r="A375" s="194"/>
      <c r="B375" s="519"/>
      <c r="C375" s="478"/>
      <c r="D375" s="520"/>
      <c r="E375" s="412"/>
      <c r="F375" s="521"/>
    </row>
    <row r="376" spans="1:7">
      <c r="A376" s="522"/>
      <c r="B376" s="523"/>
      <c r="C376" s="477"/>
      <c r="D376" s="495"/>
      <c r="E376" s="407">
        <f>SUM(E2:E375)</f>
        <v>1388.98</v>
      </c>
      <c r="F376" s="495"/>
      <c r="G376" s="144"/>
    </row>
  </sheetData>
  <sheetProtection selectLockedCells="1" selectUnlockedCells="1"/>
  <printOptions gridLines="1"/>
  <pageMargins left="0.78749999999999998" right="0.78749999999999998" top="0.78749999999999998" bottom="0.78749999999999998" header="0.51180555555555551" footer="0.51180555555555551"/>
  <pageSetup firstPageNumber="0" orientation="portrait" horizontalDpi="300" verticalDpi="300" r:id="rId1"/>
  <headerFooter alignWithMargins="0">
    <oddHeader>&amp;C&amp;A</oddHeader>
    <oddFooter>&amp;CSeite &amp;P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Plan35"/>
  <dimension ref="A1:F34"/>
  <sheetViews>
    <sheetView workbookViewId="0">
      <pane xSplit="6" ySplit="1" topLeftCell="G2" activePane="bottomRight" state="frozen"/>
      <selection pane="bottomRight" activeCell="G1" sqref="G1"/>
      <selection pane="bottomLeft" activeCell="A16" sqref="A16"/>
      <selection pane="topRight" activeCell="G1" sqref="G1"/>
    </sheetView>
  </sheetViews>
  <sheetFormatPr defaultColWidth="9.140625" defaultRowHeight="13.5"/>
  <cols>
    <col min="1" max="1" width="4.42578125" style="3" customWidth="1"/>
    <col min="2" max="2" width="7.85546875" style="3" customWidth="1"/>
    <col min="3" max="3" width="44.42578125" style="3" customWidth="1"/>
    <col min="4" max="4" width="7.85546875" style="3" customWidth="1"/>
    <col min="5" max="5" width="9" style="3" customWidth="1"/>
    <col min="6" max="6" width="11.28515625" style="3" customWidth="1"/>
    <col min="7" max="16384" width="9.140625" style="3"/>
  </cols>
  <sheetData>
    <row r="1" spans="1:6">
      <c r="A1" s="214" t="s">
        <v>906</v>
      </c>
      <c r="B1" s="214" t="s">
        <v>93</v>
      </c>
      <c r="C1" s="214" t="s">
        <v>26577</v>
      </c>
      <c r="D1" s="214" t="s">
        <v>26578</v>
      </c>
      <c r="E1" s="214" t="s">
        <v>26579</v>
      </c>
      <c r="F1" s="214" t="s">
        <v>363</v>
      </c>
    </row>
    <row r="2" spans="1:6">
      <c r="A2" s="25">
        <v>1</v>
      </c>
      <c r="B2" s="123">
        <v>37653</v>
      </c>
      <c r="C2" s="25" t="s">
        <v>26580</v>
      </c>
      <c r="D2" s="25"/>
      <c r="E2" s="25" t="s">
        <v>933</v>
      </c>
      <c r="F2" s="524"/>
    </row>
    <row r="3" spans="1:6">
      <c r="A3" s="25">
        <v>2</v>
      </c>
      <c r="B3" s="123">
        <v>37803</v>
      </c>
      <c r="C3" s="25" t="s">
        <v>26581</v>
      </c>
      <c r="D3" s="25"/>
      <c r="E3" s="25" t="s">
        <v>933</v>
      </c>
      <c r="F3" s="524"/>
    </row>
    <row r="4" spans="1:6">
      <c r="A4" s="25">
        <v>3</v>
      </c>
      <c r="B4" s="123">
        <v>37803</v>
      </c>
      <c r="C4" s="25" t="s">
        <v>26582</v>
      </c>
      <c r="D4" s="25"/>
      <c r="E4" s="25" t="s">
        <v>933</v>
      </c>
      <c r="F4" s="524"/>
    </row>
    <row r="5" spans="1:6">
      <c r="A5" s="25">
        <v>4</v>
      </c>
      <c r="B5" s="123">
        <v>37834</v>
      </c>
      <c r="C5" s="25" t="s">
        <v>26583</v>
      </c>
      <c r="D5" s="25"/>
      <c r="E5" s="25" t="s">
        <v>938</v>
      </c>
      <c r="F5" s="524">
        <v>50</v>
      </c>
    </row>
    <row r="6" spans="1:6">
      <c r="A6" s="25">
        <v>5</v>
      </c>
      <c r="B6" s="123">
        <v>37865</v>
      </c>
      <c r="C6" s="25" t="s">
        <v>26454</v>
      </c>
      <c r="D6" s="25"/>
      <c r="E6" s="25" t="s">
        <v>938</v>
      </c>
      <c r="F6" s="524">
        <v>5</v>
      </c>
    </row>
    <row r="7" spans="1:6">
      <c r="A7" s="458">
        <v>1</v>
      </c>
      <c r="B7" s="525">
        <v>38018</v>
      </c>
      <c r="C7" s="458" t="s">
        <v>26584</v>
      </c>
      <c r="D7" s="458"/>
      <c r="E7" s="458" t="s">
        <v>933</v>
      </c>
      <c r="F7" s="526"/>
    </row>
    <row r="8" spans="1:6">
      <c r="A8" s="25">
        <v>2</v>
      </c>
      <c r="B8" s="123">
        <v>38108</v>
      </c>
      <c r="C8" s="25" t="s">
        <v>26585</v>
      </c>
      <c r="D8" s="25"/>
      <c r="E8" s="25" t="s">
        <v>938</v>
      </c>
      <c r="F8" s="524">
        <v>5</v>
      </c>
    </row>
    <row r="9" spans="1:6">
      <c r="A9" s="66">
        <v>3</v>
      </c>
      <c r="B9" s="527">
        <v>38169</v>
      </c>
      <c r="C9" s="66" t="s">
        <v>26586</v>
      </c>
      <c r="D9" s="66"/>
      <c r="E9" s="66" t="s">
        <v>938</v>
      </c>
      <c r="F9" s="528">
        <v>120</v>
      </c>
    </row>
    <row r="10" spans="1:6">
      <c r="A10" s="25">
        <v>1</v>
      </c>
      <c r="B10" s="123">
        <v>38169</v>
      </c>
      <c r="C10" s="25" t="s">
        <v>26587</v>
      </c>
      <c r="D10" s="25"/>
      <c r="E10" s="25" t="s">
        <v>1099</v>
      </c>
      <c r="F10" s="524"/>
    </row>
    <row r="11" spans="1:6">
      <c r="A11" s="25">
        <v>2</v>
      </c>
      <c r="B11" s="123">
        <v>38626</v>
      </c>
      <c r="C11" s="25" t="s">
        <v>26588</v>
      </c>
      <c r="D11" s="25"/>
      <c r="E11" s="25" t="s">
        <v>933</v>
      </c>
      <c r="F11" s="524"/>
    </row>
    <row r="12" spans="1:6">
      <c r="A12" s="25">
        <v>3</v>
      </c>
      <c r="B12" s="123">
        <v>38626</v>
      </c>
      <c r="C12" s="25" t="s">
        <v>26589</v>
      </c>
      <c r="D12" s="25"/>
      <c r="E12" s="25" t="s">
        <v>933</v>
      </c>
      <c r="F12" s="524"/>
    </row>
    <row r="13" spans="1:6">
      <c r="A13" s="25">
        <v>4</v>
      </c>
      <c r="B13" s="123">
        <v>38657</v>
      </c>
      <c r="C13" s="25" t="s">
        <v>26343</v>
      </c>
      <c r="D13" s="25"/>
      <c r="E13" s="25" t="s">
        <v>933</v>
      </c>
      <c r="F13" s="524"/>
    </row>
    <row r="14" spans="1:6">
      <c r="A14" s="25">
        <v>5</v>
      </c>
      <c r="B14" s="123">
        <v>38687</v>
      </c>
      <c r="C14" s="25" t="s">
        <v>26590</v>
      </c>
      <c r="D14" s="25"/>
      <c r="E14" s="25" t="s">
        <v>933</v>
      </c>
      <c r="F14" s="524"/>
    </row>
    <row r="15" spans="1:6">
      <c r="A15" s="25">
        <v>6</v>
      </c>
      <c r="B15" s="123">
        <v>38687</v>
      </c>
      <c r="C15" s="25" t="s">
        <v>26591</v>
      </c>
      <c r="D15" s="25"/>
      <c r="E15" s="25" t="s">
        <v>933</v>
      </c>
      <c r="F15" s="524"/>
    </row>
    <row r="16" spans="1:6">
      <c r="A16" s="25">
        <v>1</v>
      </c>
      <c r="B16" s="123">
        <v>38718</v>
      </c>
      <c r="C16" s="25" t="s">
        <v>26592</v>
      </c>
      <c r="D16" s="123">
        <v>38718</v>
      </c>
      <c r="E16" s="25" t="s">
        <v>933</v>
      </c>
      <c r="F16" s="524"/>
    </row>
    <row r="17" spans="1:6">
      <c r="A17" s="25">
        <v>2</v>
      </c>
      <c r="B17" s="123">
        <v>38718</v>
      </c>
      <c r="C17" s="25" t="s">
        <v>26593</v>
      </c>
      <c r="D17" s="123">
        <v>38718</v>
      </c>
      <c r="E17" s="25" t="s">
        <v>938</v>
      </c>
      <c r="F17" s="524">
        <v>49</v>
      </c>
    </row>
    <row r="18" spans="1:6">
      <c r="A18" s="25">
        <v>3</v>
      </c>
      <c r="B18" s="525">
        <v>38718</v>
      </c>
      <c r="C18" s="25" t="s">
        <v>26594</v>
      </c>
      <c r="D18" s="123">
        <v>38718</v>
      </c>
      <c r="E18" s="25" t="s">
        <v>961</v>
      </c>
      <c r="F18" s="524"/>
    </row>
    <row r="19" spans="1:6">
      <c r="A19" s="25">
        <v>4</v>
      </c>
      <c r="B19" s="525">
        <v>38741</v>
      </c>
      <c r="C19" s="25" t="s">
        <v>26595</v>
      </c>
      <c r="D19" s="123">
        <v>38747</v>
      </c>
      <c r="E19" s="25" t="s">
        <v>938</v>
      </c>
      <c r="F19" s="524">
        <v>56.6</v>
      </c>
    </row>
    <row r="20" spans="1:6">
      <c r="A20" s="25">
        <v>5</v>
      </c>
      <c r="B20" s="525">
        <v>38749</v>
      </c>
      <c r="C20" s="25" t="s">
        <v>26596</v>
      </c>
      <c r="D20" s="123">
        <v>38750</v>
      </c>
      <c r="E20" s="25" t="s">
        <v>1099</v>
      </c>
      <c r="F20" s="524">
        <v>20</v>
      </c>
    </row>
    <row r="21" spans="1:6">
      <c r="A21" s="25">
        <v>6</v>
      </c>
      <c r="B21" s="525">
        <v>38770</v>
      </c>
      <c r="C21" s="25" t="s">
        <v>26597</v>
      </c>
      <c r="D21" s="123">
        <v>38784</v>
      </c>
      <c r="E21" s="25" t="s">
        <v>1099</v>
      </c>
      <c r="F21" s="524">
        <v>26</v>
      </c>
    </row>
    <row r="22" spans="1:6">
      <c r="A22" s="25">
        <v>7</v>
      </c>
      <c r="B22" s="525">
        <v>38785</v>
      </c>
      <c r="C22" s="25" t="s">
        <v>26598</v>
      </c>
      <c r="D22" s="123">
        <v>38790</v>
      </c>
      <c r="E22" s="25" t="s">
        <v>1099</v>
      </c>
      <c r="F22" s="524">
        <v>12</v>
      </c>
    </row>
    <row r="23" spans="1:6">
      <c r="A23" s="25">
        <v>8</v>
      </c>
      <c r="B23" s="525"/>
      <c r="C23" s="25"/>
      <c r="D23" s="123"/>
      <c r="E23" s="25"/>
      <c r="F23" s="524"/>
    </row>
    <row r="24" spans="1:6">
      <c r="A24" s="25">
        <v>9</v>
      </c>
      <c r="B24" s="525"/>
      <c r="C24" s="25"/>
      <c r="D24" s="123"/>
      <c r="E24" s="25"/>
      <c r="F24" s="524"/>
    </row>
    <row r="25" spans="1:6">
      <c r="A25" s="25">
        <v>10</v>
      </c>
      <c r="B25" s="525"/>
      <c r="C25" s="25"/>
      <c r="D25" s="123"/>
      <c r="E25" s="25"/>
      <c r="F25" s="524"/>
    </row>
    <row r="26" spans="1:6">
      <c r="A26" s="25">
        <v>11</v>
      </c>
      <c r="B26" s="525"/>
      <c r="C26" s="25"/>
      <c r="D26" s="123"/>
      <c r="E26" s="25"/>
      <c r="F26" s="524"/>
    </row>
    <row r="27" spans="1:6">
      <c r="A27" s="25">
        <v>12</v>
      </c>
      <c r="B27" s="525"/>
      <c r="C27" s="25"/>
      <c r="D27" s="123"/>
      <c r="E27" s="25"/>
      <c r="F27" s="524"/>
    </row>
    <row r="28" spans="1:6">
      <c r="A28" s="25">
        <v>13</v>
      </c>
      <c r="B28" s="525"/>
      <c r="C28" s="25"/>
      <c r="D28" s="123"/>
      <c r="E28" s="25"/>
      <c r="F28" s="524"/>
    </row>
    <row r="29" spans="1:6">
      <c r="A29" s="25">
        <v>14</v>
      </c>
      <c r="B29" s="525"/>
      <c r="C29" s="25"/>
      <c r="D29" s="123"/>
      <c r="E29" s="25"/>
      <c r="F29" s="524"/>
    </row>
    <row r="30" spans="1:6">
      <c r="A30" s="25"/>
      <c r="B30" s="525"/>
      <c r="C30" s="25"/>
      <c r="D30" s="123"/>
      <c r="E30" s="25"/>
      <c r="F30" s="524"/>
    </row>
    <row r="31" spans="1:6">
      <c r="A31" s="25"/>
      <c r="B31" s="525"/>
      <c r="C31" s="25"/>
      <c r="D31" s="123"/>
      <c r="E31" s="25"/>
      <c r="F31" s="524"/>
    </row>
    <row r="32" spans="1:6">
      <c r="A32" s="25"/>
      <c r="B32" s="525"/>
      <c r="C32" s="25"/>
      <c r="D32" s="123"/>
      <c r="E32" s="25"/>
      <c r="F32" s="524"/>
    </row>
    <row r="33" spans="1:6">
      <c r="A33" s="25"/>
      <c r="B33" s="525"/>
      <c r="C33" s="25"/>
      <c r="D33" s="123"/>
      <c r="E33" s="25"/>
      <c r="F33" s="524"/>
    </row>
    <row r="34" spans="1:6">
      <c r="A34" s="25"/>
      <c r="B34" s="25"/>
      <c r="C34" s="25"/>
      <c r="D34" s="123"/>
      <c r="E34" s="25"/>
      <c r="F34" s="524"/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Plan38"/>
  <dimension ref="A1:E122"/>
  <sheetViews>
    <sheetView workbookViewId="0">
      <pane xSplit="4" ySplit="1" topLeftCell="IH96" activePane="bottomRight" state="frozen"/>
      <selection pane="bottomRight" activeCell="E1" sqref="E1"/>
      <selection pane="bottomLeft" activeCell="A61" sqref="A61"/>
      <selection pane="topRight" activeCell="E1" sqref="E1"/>
    </sheetView>
  </sheetViews>
  <sheetFormatPr defaultColWidth="11.42578125" defaultRowHeight="13.5"/>
  <cols>
    <col min="1" max="1" width="5.85546875" style="3" customWidth="1"/>
    <col min="2" max="2" width="38.28515625" style="3" customWidth="1"/>
    <col min="3" max="3" width="25.140625" style="3" customWidth="1"/>
    <col min="4" max="4" width="16.7109375" style="3" customWidth="1"/>
    <col min="5" max="16384" width="11.42578125" style="3"/>
  </cols>
  <sheetData>
    <row r="1" spans="1:5">
      <c r="A1" s="24" t="s">
        <v>25414</v>
      </c>
      <c r="B1" s="24" t="s">
        <v>26599</v>
      </c>
      <c r="C1" s="24" t="s">
        <v>26600</v>
      </c>
      <c r="D1" s="24" t="s">
        <v>26601</v>
      </c>
    </row>
    <row r="2" spans="1:5">
      <c r="A2" s="24">
        <v>1</v>
      </c>
      <c r="B2" s="24" t="s">
        <v>26454</v>
      </c>
      <c r="C2" s="24" t="s">
        <v>3224</v>
      </c>
      <c r="D2" s="24">
        <v>1</v>
      </c>
      <c r="E2" s="536"/>
    </row>
    <row r="3" spans="1:5">
      <c r="A3" s="24">
        <v>2</v>
      </c>
      <c r="B3" s="24" t="s">
        <v>26602</v>
      </c>
      <c r="C3" s="24" t="s">
        <v>26602</v>
      </c>
      <c r="D3" s="24">
        <v>1</v>
      </c>
      <c r="E3" s="536"/>
    </row>
    <row r="4" spans="1:5">
      <c r="A4" s="24">
        <v>3</v>
      </c>
      <c r="B4" s="24" t="s">
        <v>26603</v>
      </c>
      <c r="C4" s="24" t="s">
        <v>26604</v>
      </c>
      <c r="D4" s="24">
        <v>2</v>
      </c>
      <c r="E4" s="536"/>
    </row>
    <row r="5" spans="1:5">
      <c r="A5" s="24">
        <v>4</v>
      </c>
      <c r="B5" s="24" t="s">
        <v>26605</v>
      </c>
      <c r="C5" s="24" t="s">
        <v>26602</v>
      </c>
      <c r="D5" s="24">
        <v>1</v>
      </c>
      <c r="E5" s="536"/>
    </row>
    <row r="6" spans="1:5">
      <c r="A6" s="24">
        <v>5</v>
      </c>
      <c r="B6" s="24" t="s">
        <v>26606</v>
      </c>
      <c r="C6" s="24" t="s">
        <v>26607</v>
      </c>
      <c r="D6" s="24">
        <v>1</v>
      </c>
      <c r="E6" s="536"/>
    </row>
    <row r="7" spans="1:5">
      <c r="A7" s="24">
        <v>6</v>
      </c>
      <c r="B7" s="24" t="s">
        <v>26608</v>
      </c>
      <c r="C7" s="24" t="s">
        <v>26604</v>
      </c>
      <c r="D7" s="24">
        <v>1</v>
      </c>
      <c r="E7" s="536"/>
    </row>
    <row r="8" spans="1:5">
      <c r="A8" s="24">
        <v>7</v>
      </c>
      <c r="B8" s="24" t="s">
        <v>26609</v>
      </c>
      <c r="C8" s="24" t="s">
        <v>26604</v>
      </c>
      <c r="D8" s="24">
        <v>1</v>
      </c>
      <c r="E8" s="536"/>
    </row>
    <row r="9" spans="1:5">
      <c r="A9" s="24">
        <v>8</v>
      </c>
      <c r="B9" s="24" t="s">
        <v>26610</v>
      </c>
      <c r="C9" s="24" t="s">
        <v>26611</v>
      </c>
      <c r="D9" s="24">
        <v>1</v>
      </c>
      <c r="E9" s="536"/>
    </row>
    <row r="10" spans="1:5">
      <c r="A10" s="24">
        <v>9</v>
      </c>
      <c r="B10" s="24" t="s">
        <v>26612</v>
      </c>
      <c r="C10" s="24" t="s">
        <v>26613</v>
      </c>
      <c r="D10" s="24">
        <v>1</v>
      </c>
      <c r="E10" s="536"/>
    </row>
    <row r="11" spans="1:5">
      <c r="A11" s="24">
        <v>10</v>
      </c>
      <c r="B11" s="24" t="s">
        <v>26614</v>
      </c>
      <c r="C11" s="24" t="s">
        <v>26613</v>
      </c>
      <c r="D11" s="24">
        <v>1</v>
      </c>
      <c r="E11" s="536"/>
    </row>
    <row r="12" spans="1:5">
      <c r="A12" s="24">
        <v>11</v>
      </c>
      <c r="B12" s="24" t="s">
        <v>26615</v>
      </c>
      <c r="C12" s="24" t="s">
        <v>26616</v>
      </c>
      <c r="D12" s="24">
        <v>1</v>
      </c>
      <c r="E12" s="536"/>
    </row>
    <row r="13" spans="1:5">
      <c r="A13" s="24">
        <v>12</v>
      </c>
      <c r="B13" s="24" t="s">
        <v>26617</v>
      </c>
      <c r="C13" s="24" t="s">
        <v>26613</v>
      </c>
      <c r="D13" s="24">
        <v>1</v>
      </c>
      <c r="E13" s="536"/>
    </row>
    <row r="14" spans="1:5">
      <c r="A14" s="24">
        <v>13</v>
      </c>
      <c r="B14" s="24" t="s">
        <v>26618</v>
      </c>
      <c r="C14" s="24" t="s">
        <v>26619</v>
      </c>
      <c r="D14" s="24">
        <v>1</v>
      </c>
      <c r="E14" s="536"/>
    </row>
    <row r="15" spans="1:5">
      <c r="A15" s="24">
        <v>14</v>
      </c>
      <c r="B15" s="24" t="s">
        <v>26262</v>
      </c>
      <c r="C15" s="24" t="s">
        <v>3224</v>
      </c>
      <c r="D15" s="24">
        <v>1</v>
      </c>
      <c r="E15" s="536"/>
    </row>
    <row r="16" spans="1:5">
      <c r="A16" s="24">
        <v>15</v>
      </c>
      <c r="B16" s="24" t="s">
        <v>26620</v>
      </c>
      <c r="C16" s="24" t="s">
        <v>26621</v>
      </c>
      <c r="D16" s="24">
        <v>2</v>
      </c>
      <c r="E16" s="536"/>
    </row>
    <row r="17" spans="1:5">
      <c r="A17" s="24">
        <v>16</v>
      </c>
      <c r="B17" s="24" t="s">
        <v>26622</v>
      </c>
      <c r="C17" s="24" t="s">
        <v>26621</v>
      </c>
      <c r="D17" s="24">
        <v>2</v>
      </c>
      <c r="E17" s="536"/>
    </row>
    <row r="18" spans="1:5">
      <c r="A18" s="24">
        <v>17</v>
      </c>
      <c r="B18" s="24" t="s">
        <v>26623</v>
      </c>
      <c r="C18" s="24" t="s">
        <v>26621</v>
      </c>
      <c r="D18" s="24">
        <v>2</v>
      </c>
      <c r="E18" s="536"/>
    </row>
    <row r="19" spans="1:5">
      <c r="A19" s="24">
        <v>18</v>
      </c>
      <c r="B19" s="24" t="s">
        <v>26624</v>
      </c>
      <c r="C19" s="24" t="s">
        <v>26621</v>
      </c>
      <c r="D19" s="24">
        <v>2</v>
      </c>
      <c r="E19" s="536"/>
    </row>
    <row r="20" spans="1:5">
      <c r="A20" s="24">
        <v>19</v>
      </c>
      <c r="B20" s="24" t="s">
        <v>26625</v>
      </c>
      <c r="C20" s="24" t="s">
        <v>26621</v>
      </c>
      <c r="D20" s="24">
        <v>1</v>
      </c>
      <c r="E20" s="536"/>
    </row>
    <row r="21" spans="1:5">
      <c r="A21" s="24">
        <v>20</v>
      </c>
      <c r="B21" s="24" t="s">
        <v>26626</v>
      </c>
      <c r="C21" s="24" t="s">
        <v>26621</v>
      </c>
      <c r="D21" s="24">
        <v>1</v>
      </c>
      <c r="E21" s="536"/>
    </row>
    <row r="22" spans="1:5">
      <c r="A22" s="24">
        <v>21</v>
      </c>
      <c r="B22" s="24" t="s">
        <v>26627</v>
      </c>
      <c r="C22" s="24" t="s">
        <v>26621</v>
      </c>
      <c r="D22" s="24">
        <v>1</v>
      </c>
      <c r="E22" s="536"/>
    </row>
    <row r="23" spans="1:5">
      <c r="A23" s="24">
        <v>22</v>
      </c>
      <c r="B23" s="24" t="s">
        <v>26628</v>
      </c>
      <c r="C23" s="24" t="s">
        <v>26621</v>
      </c>
      <c r="D23" s="24">
        <v>2</v>
      </c>
      <c r="E23" s="536"/>
    </row>
    <row r="24" spans="1:5">
      <c r="A24" s="24">
        <v>23</v>
      </c>
      <c r="B24" s="24" t="s">
        <v>26629</v>
      </c>
      <c r="C24" s="24" t="s">
        <v>26621</v>
      </c>
      <c r="D24" s="24">
        <v>2</v>
      </c>
      <c r="E24" s="536"/>
    </row>
    <row r="25" spans="1:5">
      <c r="A25" s="24">
        <v>24</v>
      </c>
      <c r="B25" s="24" t="s">
        <v>26630</v>
      </c>
      <c r="C25" s="24" t="s">
        <v>26621</v>
      </c>
      <c r="D25" s="24">
        <v>1</v>
      </c>
      <c r="E25" s="536"/>
    </row>
    <row r="26" spans="1:5">
      <c r="A26" s="24">
        <v>25</v>
      </c>
      <c r="B26" s="24" t="s">
        <v>26631</v>
      </c>
      <c r="C26" s="24" t="s">
        <v>26621</v>
      </c>
      <c r="D26" s="24">
        <v>1</v>
      </c>
      <c r="E26" s="536"/>
    </row>
    <row r="27" spans="1:5">
      <c r="A27" s="24">
        <v>26</v>
      </c>
      <c r="B27" s="24" t="s">
        <v>26632</v>
      </c>
      <c r="C27" s="24" t="s">
        <v>26621</v>
      </c>
      <c r="D27" s="24">
        <v>1</v>
      </c>
      <c r="E27" s="536"/>
    </row>
    <row r="28" spans="1:5">
      <c r="A28" s="24">
        <v>27</v>
      </c>
      <c r="B28" s="24" t="s">
        <v>26633</v>
      </c>
      <c r="C28" s="24" t="s">
        <v>3224</v>
      </c>
      <c r="D28" s="24">
        <v>2</v>
      </c>
      <c r="E28" s="536"/>
    </row>
    <row r="29" spans="1:5">
      <c r="A29" s="24">
        <v>28</v>
      </c>
      <c r="B29" s="24" t="s">
        <v>26634</v>
      </c>
      <c r="C29" s="24" t="s">
        <v>26621</v>
      </c>
      <c r="D29" s="24">
        <v>2</v>
      </c>
      <c r="E29" s="536"/>
    </row>
    <row r="30" spans="1:5">
      <c r="A30" s="24">
        <v>29</v>
      </c>
      <c r="B30" s="24" t="s">
        <v>26635</v>
      </c>
      <c r="C30" s="24" t="s">
        <v>26621</v>
      </c>
      <c r="D30" s="24">
        <v>1</v>
      </c>
      <c r="E30" s="536"/>
    </row>
    <row r="31" spans="1:5">
      <c r="A31" s="24">
        <v>30</v>
      </c>
      <c r="B31" s="24" t="s">
        <v>26636</v>
      </c>
      <c r="C31" s="24" t="s">
        <v>3224</v>
      </c>
      <c r="D31" s="24">
        <v>1</v>
      </c>
      <c r="E31" s="536"/>
    </row>
    <row r="32" spans="1:5">
      <c r="A32" s="24">
        <v>31</v>
      </c>
      <c r="B32" s="24" t="s">
        <v>26352</v>
      </c>
      <c r="C32" s="24" t="s">
        <v>26621</v>
      </c>
      <c r="D32" s="24">
        <v>1</v>
      </c>
      <c r="E32" s="536"/>
    </row>
    <row r="33" spans="1:5">
      <c r="A33" s="24">
        <v>32</v>
      </c>
      <c r="B33" s="24" t="s">
        <v>26637</v>
      </c>
      <c r="C33" s="24" t="s">
        <v>3224</v>
      </c>
      <c r="D33" s="24">
        <v>1</v>
      </c>
      <c r="E33" s="536"/>
    </row>
    <row r="34" spans="1:5">
      <c r="A34" s="24">
        <v>33</v>
      </c>
      <c r="B34" s="24" t="s">
        <v>26638</v>
      </c>
      <c r="C34" s="24" t="s">
        <v>3224</v>
      </c>
      <c r="D34" s="24">
        <v>1</v>
      </c>
      <c r="E34" s="536"/>
    </row>
    <row r="35" spans="1:5">
      <c r="A35" s="24">
        <v>34</v>
      </c>
      <c r="B35" s="24" t="s">
        <v>26639</v>
      </c>
      <c r="C35" s="24" t="s">
        <v>26604</v>
      </c>
      <c r="D35" s="24">
        <v>3</v>
      </c>
      <c r="E35" s="536"/>
    </row>
    <row r="36" spans="1:5">
      <c r="A36" s="24">
        <v>35</v>
      </c>
      <c r="B36" s="24" t="s">
        <v>26640</v>
      </c>
      <c r="C36" s="24" t="s">
        <v>23521</v>
      </c>
      <c r="D36" s="24">
        <v>2</v>
      </c>
      <c r="E36" s="536"/>
    </row>
    <row r="37" spans="1:5">
      <c r="A37" s="24">
        <v>36</v>
      </c>
      <c r="B37" s="24" t="s">
        <v>26641</v>
      </c>
      <c r="C37" s="24" t="s">
        <v>3224</v>
      </c>
      <c r="D37" s="24">
        <v>2</v>
      </c>
      <c r="E37" s="536"/>
    </row>
    <row r="38" spans="1:5">
      <c r="A38" s="24">
        <v>37</v>
      </c>
      <c r="B38" s="24" t="s">
        <v>26642</v>
      </c>
      <c r="C38" s="24" t="s">
        <v>3224</v>
      </c>
      <c r="D38" s="24">
        <v>2</v>
      </c>
      <c r="E38" s="536"/>
    </row>
    <row r="39" spans="1:5">
      <c r="A39" s="24">
        <v>38</v>
      </c>
      <c r="B39" s="24" t="s">
        <v>26643</v>
      </c>
      <c r="C39" s="24" t="s">
        <v>3224</v>
      </c>
      <c r="D39" s="24">
        <v>2</v>
      </c>
      <c r="E39" s="536"/>
    </row>
    <row r="40" spans="1:5">
      <c r="A40" s="24">
        <v>39</v>
      </c>
      <c r="B40" s="24" t="s">
        <v>26644</v>
      </c>
      <c r="C40" s="24" t="s">
        <v>3224</v>
      </c>
      <c r="D40" s="24">
        <v>2</v>
      </c>
      <c r="E40" s="536"/>
    </row>
    <row r="41" spans="1:5">
      <c r="A41" s="24">
        <v>40</v>
      </c>
      <c r="B41" s="24" t="s">
        <v>26645</v>
      </c>
      <c r="C41" s="24" t="s">
        <v>3224</v>
      </c>
      <c r="D41" s="24">
        <v>2</v>
      </c>
      <c r="E41" s="536"/>
    </row>
    <row r="42" spans="1:5">
      <c r="A42" s="24">
        <v>41</v>
      </c>
      <c r="B42" s="24" t="s">
        <v>26646</v>
      </c>
      <c r="C42" s="24" t="s">
        <v>3224</v>
      </c>
      <c r="D42" s="24">
        <v>1</v>
      </c>
      <c r="E42" s="536"/>
    </row>
    <row r="43" spans="1:5">
      <c r="A43" s="24">
        <v>42</v>
      </c>
      <c r="B43" s="24" t="s">
        <v>26647</v>
      </c>
      <c r="C43" s="24" t="s">
        <v>3224</v>
      </c>
      <c r="D43" s="24">
        <v>1</v>
      </c>
      <c r="E43" s="536"/>
    </row>
    <row r="44" spans="1:5">
      <c r="A44" s="24">
        <v>43</v>
      </c>
      <c r="B44" s="24" t="s">
        <v>26648</v>
      </c>
      <c r="C44" s="24" t="s">
        <v>3224</v>
      </c>
      <c r="D44" s="24">
        <v>1</v>
      </c>
      <c r="E44" s="536"/>
    </row>
    <row r="45" spans="1:5">
      <c r="A45" s="24">
        <v>44</v>
      </c>
      <c r="B45" s="24" t="s">
        <v>26471</v>
      </c>
      <c r="C45" s="24" t="s">
        <v>3224</v>
      </c>
      <c r="D45" s="24">
        <v>1</v>
      </c>
      <c r="E45" s="536"/>
    </row>
    <row r="46" spans="1:5">
      <c r="A46" s="24">
        <v>45</v>
      </c>
      <c r="B46" s="24" t="s">
        <v>26649</v>
      </c>
      <c r="C46" s="24" t="s">
        <v>3224</v>
      </c>
      <c r="D46" s="24">
        <v>1</v>
      </c>
      <c r="E46" s="536"/>
    </row>
    <row r="47" spans="1:5">
      <c r="A47" s="24">
        <v>46</v>
      </c>
      <c r="B47" s="24" t="s">
        <v>26650</v>
      </c>
      <c r="C47" s="24" t="s">
        <v>3224</v>
      </c>
      <c r="D47" s="24">
        <v>1</v>
      </c>
      <c r="E47" s="536"/>
    </row>
    <row r="48" spans="1:5">
      <c r="A48" s="24">
        <v>47</v>
      </c>
      <c r="B48" s="24" t="s">
        <v>26651</v>
      </c>
      <c r="C48" s="24" t="s">
        <v>3224</v>
      </c>
      <c r="D48" s="24">
        <v>1</v>
      </c>
      <c r="E48" s="536"/>
    </row>
    <row r="49" spans="1:5">
      <c r="A49" s="24">
        <v>48</v>
      </c>
      <c r="B49" s="24" t="s">
        <v>26652</v>
      </c>
      <c r="C49" s="24" t="s">
        <v>26653</v>
      </c>
      <c r="D49" s="24">
        <v>1</v>
      </c>
      <c r="E49" s="536"/>
    </row>
    <row r="50" spans="1:5">
      <c r="A50" s="24">
        <v>49</v>
      </c>
      <c r="B50" s="24" t="s">
        <v>26654</v>
      </c>
      <c r="C50" s="24" t="s">
        <v>26616</v>
      </c>
      <c r="D50" s="24">
        <v>1</v>
      </c>
      <c r="E50" s="536"/>
    </row>
    <row r="51" spans="1:5">
      <c r="A51" s="24">
        <v>50</v>
      </c>
      <c r="B51" s="24" t="s">
        <v>26655</v>
      </c>
      <c r="C51" s="24" t="s">
        <v>3224</v>
      </c>
      <c r="D51" s="24">
        <v>1</v>
      </c>
      <c r="E51" s="536"/>
    </row>
    <row r="52" spans="1:5">
      <c r="A52" s="24">
        <v>51</v>
      </c>
      <c r="B52" s="24" t="s">
        <v>26609</v>
      </c>
      <c r="C52" s="24" t="s">
        <v>26604</v>
      </c>
      <c r="D52" s="24">
        <v>2</v>
      </c>
      <c r="E52" s="536"/>
    </row>
    <row r="53" spans="1:5">
      <c r="A53" s="24">
        <v>52</v>
      </c>
      <c r="B53" s="24" t="s">
        <v>26656</v>
      </c>
      <c r="C53" s="24" t="s">
        <v>26604</v>
      </c>
      <c r="D53" s="24">
        <v>2</v>
      </c>
      <c r="E53" s="536"/>
    </row>
    <row r="54" spans="1:5">
      <c r="A54" s="24">
        <v>53</v>
      </c>
      <c r="B54" s="24" t="s">
        <v>26657</v>
      </c>
      <c r="C54" s="24" t="s">
        <v>3224</v>
      </c>
      <c r="D54" s="24">
        <v>1</v>
      </c>
      <c r="E54" s="536"/>
    </row>
    <row r="55" spans="1:5">
      <c r="A55" s="24">
        <v>54</v>
      </c>
      <c r="B55" s="24" t="s">
        <v>26658</v>
      </c>
      <c r="C55" s="24" t="s">
        <v>26659</v>
      </c>
      <c r="D55" s="24">
        <v>1</v>
      </c>
      <c r="E55" s="536"/>
    </row>
    <row r="56" spans="1:5">
      <c r="A56" s="24">
        <v>55</v>
      </c>
      <c r="B56" s="24" t="s">
        <v>26660</v>
      </c>
      <c r="C56" s="24" t="s">
        <v>26661</v>
      </c>
      <c r="D56" s="24">
        <v>1</v>
      </c>
      <c r="E56" s="536"/>
    </row>
    <row r="57" spans="1:5">
      <c r="A57" s="24">
        <v>56</v>
      </c>
      <c r="B57" s="24" t="s">
        <v>26662</v>
      </c>
      <c r="C57" s="24" t="s">
        <v>3224</v>
      </c>
      <c r="D57" s="24">
        <v>2</v>
      </c>
      <c r="E57" s="536"/>
    </row>
    <row r="58" spans="1:5">
      <c r="A58" s="24">
        <v>57</v>
      </c>
      <c r="B58" s="24" t="s">
        <v>26663</v>
      </c>
      <c r="C58" s="24" t="s">
        <v>3224</v>
      </c>
      <c r="D58" s="24">
        <v>2</v>
      </c>
      <c r="E58" s="536"/>
    </row>
    <row r="59" spans="1:5">
      <c r="A59" s="24">
        <v>58</v>
      </c>
      <c r="B59" s="24" t="s">
        <v>26664</v>
      </c>
      <c r="C59" s="24" t="s">
        <v>26665</v>
      </c>
      <c r="D59" s="24">
        <v>2</v>
      </c>
      <c r="E59" s="536"/>
    </row>
    <row r="60" spans="1:5">
      <c r="A60" s="24">
        <v>59</v>
      </c>
      <c r="B60" s="24" t="s">
        <v>26666</v>
      </c>
      <c r="C60" s="24" t="s">
        <v>26667</v>
      </c>
      <c r="D60" s="24">
        <v>1</v>
      </c>
      <c r="E60" s="536"/>
    </row>
    <row r="61" spans="1:5">
      <c r="A61" s="24">
        <v>60</v>
      </c>
      <c r="B61" s="24" t="s">
        <v>26668</v>
      </c>
      <c r="C61" s="24" t="s">
        <v>3224</v>
      </c>
      <c r="D61" s="24">
        <v>1</v>
      </c>
      <c r="E61" s="536"/>
    </row>
    <row r="62" spans="1:5">
      <c r="A62" s="24">
        <v>61</v>
      </c>
      <c r="B62" s="24" t="s">
        <v>26669</v>
      </c>
      <c r="C62" s="24" t="s">
        <v>3224</v>
      </c>
      <c r="D62" s="24">
        <v>6</v>
      </c>
      <c r="E62" s="536"/>
    </row>
    <row r="63" spans="1:5">
      <c r="A63" s="24">
        <v>62</v>
      </c>
      <c r="B63" s="24" t="s">
        <v>26670</v>
      </c>
      <c r="C63" s="24" t="s">
        <v>3224</v>
      </c>
      <c r="D63" s="24">
        <v>4</v>
      </c>
      <c r="E63" s="536"/>
    </row>
    <row r="64" spans="1:5">
      <c r="A64" s="24">
        <v>63</v>
      </c>
      <c r="B64" s="24" t="s">
        <v>26531</v>
      </c>
      <c r="C64" s="24" t="s">
        <v>26621</v>
      </c>
      <c r="D64" s="24">
        <v>1</v>
      </c>
      <c r="E64" s="536"/>
    </row>
    <row r="65" spans="1:5">
      <c r="A65" s="24">
        <v>64</v>
      </c>
      <c r="B65" s="24" t="s">
        <v>26671</v>
      </c>
      <c r="C65" s="24" t="s">
        <v>26621</v>
      </c>
      <c r="D65" s="24">
        <v>1</v>
      </c>
      <c r="E65" s="536"/>
    </row>
    <row r="66" spans="1:5">
      <c r="A66" s="24">
        <v>65</v>
      </c>
      <c r="B66" s="24" t="s">
        <v>26672</v>
      </c>
      <c r="C66" s="24" t="s">
        <v>26621</v>
      </c>
      <c r="D66" s="24">
        <v>1</v>
      </c>
      <c r="E66" s="536"/>
    </row>
    <row r="67" spans="1:5">
      <c r="A67" s="24">
        <v>66</v>
      </c>
      <c r="B67" s="24" t="s">
        <v>26673</v>
      </c>
      <c r="C67" s="24" t="s">
        <v>26621</v>
      </c>
      <c r="D67" s="24">
        <v>1</v>
      </c>
      <c r="E67" s="536"/>
    </row>
    <row r="68" spans="1:5">
      <c r="A68" s="24">
        <v>67</v>
      </c>
      <c r="B68" s="24" t="s">
        <v>26674</v>
      </c>
      <c r="C68" s="24" t="s">
        <v>26621</v>
      </c>
      <c r="D68" s="24">
        <v>1</v>
      </c>
      <c r="E68" s="536"/>
    </row>
    <row r="69" spans="1:5">
      <c r="A69" s="24">
        <v>68</v>
      </c>
      <c r="B69" s="24" t="s">
        <v>26675</v>
      </c>
      <c r="C69" s="24" t="s">
        <v>26676</v>
      </c>
      <c r="D69" s="24">
        <v>1</v>
      </c>
      <c r="E69" s="536"/>
    </row>
    <row r="70" spans="1:5">
      <c r="A70" s="24">
        <v>69</v>
      </c>
      <c r="B70" s="24" t="s">
        <v>26677</v>
      </c>
      <c r="C70" s="24" t="s">
        <v>26676</v>
      </c>
      <c r="D70" s="24">
        <v>1</v>
      </c>
      <c r="E70" s="536"/>
    </row>
    <row r="71" spans="1:5">
      <c r="A71" s="24">
        <v>70</v>
      </c>
      <c r="B71" s="24" t="s">
        <v>26678</v>
      </c>
      <c r="C71" s="24" t="s">
        <v>26679</v>
      </c>
      <c r="D71" s="24">
        <v>3</v>
      </c>
      <c r="E71" s="536"/>
    </row>
    <row r="72" spans="1:5">
      <c r="A72" s="24">
        <v>71</v>
      </c>
      <c r="B72" s="24" t="s">
        <v>26680</v>
      </c>
      <c r="C72" s="24" t="s">
        <v>26604</v>
      </c>
      <c r="D72" s="24">
        <v>2</v>
      </c>
      <c r="E72" s="536"/>
    </row>
    <row r="73" spans="1:5">
      <c r="A73" s="24">
        <v>72</v>
      </c>
      <c r="B73" s="24" t="s">
        <v>26681</v>
      </c>
      <c r="C73" s="24" t="s">
        <v>26679</v>
      </c>
      <c r="D73" s="24">
        <v>6</v>
      </c>
      <c r="E73" s="536"/>
    </row>
    <row r="74" spans="1:5">
      <c r="A74" s="24">
        <v>73</v>
      </c>
      <c r="B74" s="24" t="s">
        <v>26682</v>
      </c>
      <c r="C74" s="24" t="s">
        <v>26679</v>
      </c>
      <c r="D74" s="24">
        <v>6</v>
      </c>
      <c r="E74" s="536"/>
    </row>
    <row r="75" spans="1:5">
      <c r="A75" s="24">
        <v>74</v>
      </c>
      <c r="B75" s="24" t="s">
        <v>26683</v>
      </c>
      <c r="C75" s="24" t="s">
        <v>26684</v>
      </c>
      <c r="D75" s="24">
        <v>1</v>
      </c>
      <c r="E75" s="536"/>
    </row>
    <row r="76" spans="1:5">
      <c r="A76" s="24">
        <v>75</v>
      </c>
      <c r="B76" s="24" t="s">
        <v>26685</v>
      </c>
      <c r="C76" s="24" t="s">
        <v>3224</v>
      </c>
      <c r="D76" s="24">
        <v>2</v>
      </c>
      <c r="E76" s="536"/>
    </row>
    <row r="77" spans="1:5">
      <c r="A77" s="24">
        <v>76</v>
      </c>
      <c r="B77" s="24" t="s">
        <v>26686</v>
      </c>
      <c r="C77" s="24" t="s">
        <v>3224</v>
      </c>
      <c r="D77" s="24">
        <v>1</v>
      </c>
      <c r="E77" s="536"/>
    </row>
    <row r="78" spans="1:5">
      <c r="A78" s="24">
        <v>77</v>
      </c>
      <c r="B78" s="24" t="s">
        <v>26687</v>
      </c>
      <c r="C78" s="24" t="s">
        <v>3224</v>
      </c>
      <c r="D78" s="24">
        <v>1</v>
      </c>
      <c r="E78" s="536"/>
    </row>
    <row r="79" spans="1:5">
      <c r="A79" s="24">
        <v>78</v>
      </c>
      <c r="B79" s="24" t="s">
        <v>26688</v>
      </c>
      <c r="C79" s="24" t="s">
        <v>3224</v>
      </c>
      <c r="D79" s="24">
        <v>1</v>
      </c>
      <c r="E79" s="536"/>
    </row>
    <row r="80" spans="1:5">
      <c r="A80" s="24">
        <v>79</v>
      </c>
      <c r="B80" s="24" t="s">
        <v>26689</v>
      </c>
      <c r="C80" s="24" t="s">
        <v>3224</v>
      </c>
      <c r="D80" s="24">
        <v>2</v>
      </c>
      <c r="E80" s="536"/>
    </row>
    <row r="81" spans="1:5">
      <c r="A81" s="24">
        <v>80</v>
      </c>
      <c r="B81" s="24" t="s">
        <v>26690</v>
      </c>
      <c r="C81" s="24" t="s">
        <v>3224</v>
      </c>
      <c r="D81" s="24">
        <v>1</v>
      </c>
      <c r="E81" s="536"/>
    </row>
    <row r="82" spans="1:5">
      <c r="A82" s="24">
        <v>81</v>
      </c>
      <c r="B82" s="24" t="s">
        <v>26691</v>
      </c>
      <c r="C82" s="24"/>
      <c r="D82" s="24"/>
      <c r="E82" s="536"/>
    </row>
    <row r="83" spans="1:5">
      <c r="A83" s="24">
        <v>82</v>
      </c>
      <c r="B83" s="24" t="s">
        <v>26692</v>
      </c>
      <c r="C83" s="24"/>
      <c r="D83" s="24"/>
      <c r="E83" s="536"/>
    </row>
    <row r="84" spans="1:5">
      <c r="A84" s="24">
        <v>83</v>
      </c>
      <c r="B84" s="24" t="s">
        <v>26693</v>
      </c>
      <c r="C84" s="24"/>
      <c r="D84" s="24"/>
      <c r="E84" s="536"/>
    </row>
    <row r="85" spans="1:5">
      <c r="A85" s="24">
        <v>84</v>
      </c>
      <c r="B85" s="24" t="s">
        <v>26694</v>
      </c>
      <c r="C85" s="24"/>
      <c r="D85" s="24"/>
      <c r="E85" s="536"/>
    </row>
    <row r="86" spans="1:5">
      <c r="A86" s="24">
        <v>85</v>
      </c>
      <c r="B86" s="24" t="s">
        <v>26695</v>
      </c>
      <c r="C86" s="24"/>
      <c r="D86" s="24"/>
      <c r="E86" s="536"/>
    </row>
    <row r="87" spans="1:5">
      <c r="A87" s="24">
        <v>86</v>
      </c>
      <c r="B87" s="24" t="s">
        <v>23697</v>
      </c>
      <c r="C87" s="24"/>
      <c r="D87" s="24"/>
    </row>
    <row r="88" spans="1:5">
      <c r="A88" s="24">
        <v>87</v>
      </c>
      <c r="B88" s="24" t="s">
        <v>26696</v>
      </c>
      <c r="C88" s="24"/>
      <c r="D88" s="24"/>
    </row>
    <row r="89" spans="1:5">
      <c r="A89" s="24">
        <v>88</v>
      </c>
      <c r="B89" s="24" t="s">
        <v>23851</v>
      </c>
      <c r="C89" s="24"/>
      <c r="D89" s="24"/>
    </row>
    <row r="90" spans="1:5">
      <c r="A90" s="24">
        <v>89</v>
      </c>
      <c r="B90" s="24" t="s">
        <v>22663</v>
      </c>
      <c r="C90" s="24"/>
      <c r="D90" s="24"/>
    </row>
    <row r="91" spans="1:5">
      <c r="A91" s="24">
        <v>90</v>
      </c>
      <c r="B91" s="24" t="s">
        <v>22709</v>
      </c>
      <c r="C91" s="24"/>
      <c r="D91" s="24"/>
    </row>
    <row r="92" spans="1:5">
      <c r="A92" s="24">
        <v>91</v>
      </c>
      <c r="B92" s="24" t="s">
        <v>23977</v>
      </c>
      <c r="C92" s="24"/>
      <c r="D92" s="24"/>
    </row>
    <row r="93" spans="1:5">
      <c r="A93" s="24">
        <v>92</v>
      </c>
      <c r="B93" s="24" t="s">
        <v>22963</v>
      </c>
      <c r="C93" s="24"/>
      <c r="D93" s="24"/>
    </row>
    <row r="94" spans="1:5">
      <c r="A94" s="24">
        <v>93</v>
      </c>
      <c r="B94" s="24" t="s">
        <v>22962</v>
      </c>
      <c r="C94" s="24"/>
      <c r="D94" s="24"/>
    </row>
    <row r="95" spans="1:5">
      <c r="A95" s="24">
        <v>94</v>
      </c>
      <c r="B95" s="24" t="s">
        <v>23986</v>
      </c>
      <c r="C95" s="24"/>
      <c r="D95" s="24"/>
    </row>
    <row r="96" spans="1:5">
      <c r="A96" s="24">
        <v>95</v>
      </c>
      <c r="B96" s="24" t="s">
        <v>23985</v>
      </c>
      <c r="C96" s="24"/>
      <c r="D96" s="24"/>
    </row>
    <row r="97" spans="1:4">
      <c r="A97" s="24">
        <v>96</v>
      </c>
      <c r="B97" s="24" t="s">
        <v>23989</v>
      </c>
      <c r="C97" s="24"/>
      <c r="D97" s="24"/>
    </row>
    <row r="98" spans="1:4">
      <c r="A98" s="24">
        <v>97</v>
      </c>
      <c r="B98" s="24" t="s">
        <v>23992</v>
      </c>
      <c r="C98" s="24"/>
      <c r="D98" s="24"/>
    </row>
    <row r="99" spans="1:4">
      <c r="A99" s="24">
        <v>98</v>
      </c>
      <c r="B99" s="24" t="s">
        <v>24027</v>
      </c>
      <c r="C99" s="24"/>
      <c r="D99" s="24"/>
    </row>
    <row r="100" spans="1:4">
      <c r="A100" s="24">
        <v>99</v>
      </c>
      <c r="B100" s="24" t="s">
        <v>5864</v>
      </c>
      <c r="C100" s="24"/>
      <c r="D100" s="24"/>
    </row>
    <row r="101" spans="1:4">
      <c r="A101" s="24">
        <v>100</v>
      </c>
      <c r="B101" s="24" t="s">
        <v>5881</v>
      </c>
      <c r="C101" s="24"/>
      <c r="D101" s="24"/>
    </row>
    <row r="102" spans="1:4">
      <c r="A102" s="24">
        <v>101</v>
      </c>
      <c r="B102" s="24" t="s">
        <v>24091</v>
      </c>
      <c r="C102" s="24"/>
      <c r="D102" s="24"/>
    </row>
    <row r="103" spans="1:4">
      <c r="A103" s="24">
        <v>102</v>
      </c>
      <c r="B103" s="24" t="s">
        <v>6091</v>
      </c>
      <c r="C103" s="24"/>
      <c r="D103" s="24"/>
    </row>
    <row r="104" spans="1:4">
      <c r="A104" s="24">
        <v>103</v>
      </c>
      <c r="B104" s="24" t="s">
        <v>24157</v>
      </c>
      <c r="C104" s="24"/>
      <c r="D104" s="24"/>
    </row>
    <row r="105" spans="1:4">
      <c r="A105" s="24">
        <v>104</v>
      </c>
      <c r="B105" s="24" t="s">
        <v>24177</v>
      </c>
      <c r="C105" s="24"/>
      <c r="D105" s="24"/>
    </row>
    <row r="106" spans="1:4">
      <c r="A106" s="24">
        <v>105</v>
      </c>
      <c r="B106" s="24" t="s">
        <v>24341</v>
      </c>
      <c r="C106" s="24"/>
      <c r="D106" s="24"/>
    </row>
    <row r="107" spans="1:4">
      <c r="A107" s="24">
        <v>106</v>
      </c>
      <c r="B107" s="24" t="s">
        <v>24389</v>
      </c>
      <c r="C107" s="24"/>
      <c r="D107" s="24"/>
    </row>
    <row r="108" spans="1:4">
      <c r="A108" s="24">
        <v>107</v>
      </c>
      <c r="B108" s="24" t="s">
        <v>26697</v>
      </c>
      <c r="C108" s="24"/>
      <c r="D108" s="24"/>
    </row>
    <row r="109" spans="1:4">
      <c r="A109" s="24">
        <v>108</v>
      </c>
      <c r="B109" s="24" t="s">
        <v>17322</v>
      </c>
      <c r="C109" s="24"/>
      <c r="D109" s="24"/>
    </row>
    <row r="110" spans="1:4">
      <c r="A110" s="24">
        <v>109</v>
      </c>
      <c r="B110" s="24" t="s">
        <v>16864</v>
      </c>
      <c r="C110" s="24"/>
      <c r="D110" s="24"/>
    </row>
    <row r="111" spans="1:4">
      <c r="A111" s="24">
        <v>110</v>
      </c>
      <c r="B111" s="24" t="s">
        <v>16874</v>
      </c>
      <c r="C111" s="24"/>
      <c r="D111" s="24"/>
    </row>
    <row r="112" spans="1:4">
      <c r="A112" s="24"/>
      <c r="B112" s="24"/>
      <c r="C112" s="24"/>
      <c r="D112" s="24"/>
    </row>
    <row r="113" spans="1:4">
      <c r="A113" s="24"/>
      <c r="B113" s="24"/>
      <c r="C113" s="24"/>
      <c r="D113" s="24"/>
    </row>
    <row r="114" spans="1:4">
      <c r="A114" s="24"/>
      <c r="B114" s="24"/>
      <c r="C114" s="24"/>
      <c r="D114" s="24"/>
    </row>
    <row r="115" spans="1:4">
      <c r="A115" s="24"/>
      <c r="B115" s="24"/>
      <c r="C115" s="24"/>
      <c r="D115" s="24"/>
    </row>
    <row r="116" spans="1:4">
      <c r="A116" s="24"/>
      <c r="B116" s="24"/>
      <c r="C116" s="24"/>
      <c r="D116" s="24"/>
    </row>
    <row r="117" spans="1:4">
      <c r="A117" s="24"/>
      <c r="B117" s="24"/>
      <c r="C117" s="24"/>
      <c r="D117" s="24"/>
    </row>
    <row r="118" spans="1:4">
      <c r="A118" s="24"/>
      <c r="B118" s="24"/>
      <c r="C118" s="24"/>
      <c r="D118" s="24"/>
    </row>
    <row r="119" spans="1:4">
      <c r="A119" s="24"/>
      <c r="B119" s="24"/>
      <c r="C119" s="24"/>
      <c r="D119" s="24"/>
    </row>
    <row r="120" spans="1:4">
      <c r="A120" s="24"/>
      <c r="B120" s="24"/>
      <c r="C120" s="24"/>
      <c r="D120" s="24"/>
    </row>
    <row r="121" spans="1:4">
      <c r="A121" s="24"/>
      <c r="B121" s="24"/>
      <c r="C121" s="24"/>
      <c r="D121" s="24"/>
    </row>
    <row r="122" spans="1:4">
      <c r="A122" s="24"/>
      <c r="B122" s="24"/>
      <c r="C122" s="24"/>
      <c r="D122" s="24"/>
    </row>
  </sheetData>
  <sheetProtection selectLockedCells="1" selectUnlockedCells="1"/>
  <autoFilter ref="A1:D73" xr:uid="{00000000-0009-0000-0000-000034000000}"/>
  <printOptions gridLines="1"/>
  <pageMargins left="0.78749999999999998" right="0.78749999999999998" top="0.78749999999999998" bottom="0.78749999999999998" header="0.51180555555555551" footer="0.51180555555555551"/>
  <pageSetup paperSize="9" firstPageNumber="0" orientation="portrait" horizontalDpi="300" verticalDpi="300"/>
  <headerFooter alignWithMargins="0">
    <oddHeader>&amp;C&amp;A</oddHeader>
    <oddFooter>&amp;CSeite &amp;P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Plan40"/>
  <dimension ref="A1:A87"/>
  <sheetViews>
    <sheetView workbookViewId="0">
      <selection activeCell="A87" sqref="A87"/>
    </sheetView>
  </sheetViews>
  <sheetFormatPr defaultColWidth="12.140625" defaultRowHeight="13.5"/>
  <cols>
    <col min="1" max="1" width="55.7109375" style="3" customWidth="1"/>
    <col min="2" max="16384" width="12.140625" style="3"/>
  </cols>
  <sheetData>
    <row r="1" spans="1:1">
      <c r="A1" s="122" t="s">
        <v>26698</v>
      </c>
    </row>
    <row r="2" spans="1:1">
      <c r="A2" s="540" t="s">
        <v>26699</v>
      </c>
    </row>
    <row r="3" spans="1:1">
      <c r="A3" s="25" t="s">
        <v>26700</v>
      </c>
    </row>
    <row r="4" spans="1:1">
      <c r="A4" s="25" t="s">
        <v>26701</v>
      </c>
    </row>
    <row r="5" spans="1:1">
      <c r="A5" s="25"/>
    </row>
    <row r="6" spans="1:1">
      <c r="A6" s="540" t="s">
        <v>26702</v>
      </c>
    </row>
    <row r="7" spans="1:1">
      <c r="A7" s="25" t="s">
        <v>26703</v>
      </c>
    </row>
    <row r="8" spans="1:1">
      <c r="A8" s="25" t="s">
        <v>26704</v>
      </c>
    </row>
    <row r="9" spans="1:1">
      <c r="A9" s="25" t="s">
        <v>26705</v>
      </c>
    </row>
    <row r="10" spans="1:1">
      <c r="A10" s="66"/>
    </row>
    <row r="11" spans="1:1">
      <c r="A11" s="540" t="s">
        <v>26706</v>
      </c>
    </row>
    <row r="12" spans="1:1">
      <c r="A12" s="66" t="s">
        <v>26707</v>
      </c>
    </row>
    <row r="13" spans="1:1">
      <c r="A13" s="66"/>
    </row>
    <row r="14" spans="1:1">
      <c r="A14" s="540" t="s">
        <v>26708</v>
      </c>
    </row>
    <row r="15" spans="1:1">
      <c r="A15" s="66" t="s">
        <v>26709</v>
      </c>
    </row>
    <row r="16" spans="1:1">
      <c r="A16" s="126"/>
    </row>
    <row r="17" spans="1:1">
      <c r="A17" s="540" t="s">
        <v>26710</v>
      </c>
    </row>
    <row r="18" spans="1:1">
      <c r="A18" s="66" t="s">
        <v>26711</v>
      </c>
    </row>
    <row r="19" spans="1:1">
      <c r="A19" s="66"/>
    </row>
    <row r="20" spans="1:1">
      <c r="A20" s="214" t="s">
        <v>26712</v>
      </c>
    </row>
    <row r="21" spans="1:1">
      <c r="A21" s="25" t="s">
        <v>26713</v>
      </c>
    </row>
    <row r="22" spans="1:1">
      <c r="A22" s="25" t="s">
        <v>26714</v>
      </c>
    </row>
    <row r="23" spans="1:1">
      <c r="A23" s="25" t="s">
        <v>26711</v>
      </c>
    </row>
    <row r="24" spans="1:1">
      <c r="A24" s="25" t="s">
        <v>26715</v>
      </c>
    </row>
    <row r="25" spans="1:1">
      <c r="A25" s="25" t="s">
        <v>26716</v>
      </c>
    </row>
    <row r="26" spans="1:1">
      <c r="A26" s="25" t="s">
        <v>26717</v>
      </c>
    </row>
    <row r="27" spans="1:1">
      <c r="A27" s="25" t="s">
        <v>26718</v>
      </c>
    </row>
    <row r="28" spans="1:1">
      <c r="A28" s="25" t="s">
        <v>26719</v>
      </c>
    </row>
    <row r="29" spans="1:1">
      <c r="A29" s="25" t="s">
        <v>26720</v>
      </c>
    </row>
    <row r="30" spans="1:1">
      <c r="A30" s="25" t="s">
        <v>26721</v>
      </c>
    </row>
    <row r="31" spans="1:1">
      <c r="A31" s="25" t="s">
        <v>26709</v>
      </c>
    </row>
    <row r="32" spans="1:1">
      <c r="A32" s="25" t="s">
        <v>26722</v>
      </c>
    </row>
    <row r="33" spans="1:1">
      <c r="A33" s="25" t="s">
        <v>26723</v>
      </c>
    </row>
    <row r="34" spans="1:1">
      <c r="A34" s="25" t="s">
        <v>26724</v>
      </c>
    </row>
    <row r="35" spans="1:1">
      <c r="A35" s="25" t="s">
        <v>26725</v>
      </c>
    </row>
    <row r="36" spans="1:1">
      <c r="A36" s="25" t="s">
        <v>26726</v>
      </c>
    </row>
    <row r="37" spans="1:1">
      <c r="A37" s="25" t="s">
        <v>26727</v>
      </c>
    </row>
    <row r="38" spans="1:1">
      <c r="A38" s="25" t="s">
        <v>26728</v>
      </c>
    </row>
    <row r="39" spans="1:1">
      <c r="A39" s="25" t="s">
        <v>26729</v>
      </c>
    </row>
    <row r="40" spans="1:1">
      <c r="A40" s="25"/>
    </row>
    <row r="41" spans="1:1">
      <c r="A41" s="540" t="s">
        <v>26730</v>
      </c>
    </row>
    <row r="42" spans="1:1">
      <c r="A42" s="25" t="s">
        <v>26731</v>
      </c>
    </row>
    <row r="43" spans="1:1">
      <c r="A43" s="25" t="s">
        <v>26732</v>
      </c>
    </row>
    <row r="44" spans="1:1">
      <c r="A44" s="66"/>
    </row>
    <row r="45" spans="1:1">
      <c r="A45" s="540" t="s">
        <v>26733</v>
      </c>
    </row>
    <row r="46" spans="1:1">
      <c r="A46" s="66" t="s">
        <v>26734</v>
      </c>
    </row>
    <row r="47" spans="1:1">
      <c r="A47" s="66"/>
    </row>
    <row r="48" spans="1:1">
      <c r="A48" s="540" t="s">
        <v>26735</v>
      </c>
    </row>
    <row r="49" spans="1:1">
      <c r="A49" s="66" t="s">
        <v>26736</v>
      </c>
    </row>
    <row r="50" spans="1:1">
      <c r="A50" s="66"/>
    </row>
    <row r="51" spans="1:1">
      <c r="A51" s="540" t="s">
        <v>26737</v>
      </c>
    </row>
    <row r="52" spans="1:1">
      <c r="A52" s="66" t="s">
        <v>26738</v>
      </c>
    </row>
    <row r="53" spans="1:1">
      <c r="A53" s="66"/>
    </row>
    <row r="54" spans="1:1">
      <c r="A54" s="540" t="s">
        <v>26739</v>
      </c>
    </row>
    <row r="55" spans="1:1">
      <c r="A55" s="66" t="s">
        <v>26740</v>
      </c>
    </row>
    <row r="56" spans="1:1">
      <c r="A56" s="66"/>
    </row>
    <row r="57" spans="1:1">
      <c r="A57" s="540" t="s">
        <v>26741</v>
      </c>
    </row>
    <row r="58" spans="1:1">
      <c r="A58" s="66" t="s">
        <v>26742</v>
      </c>
    </row>
    <row r="59" spans="1:1">
      <c r="A59" s="66"/>
    </row>
    <row r="60" spans="1:1">
      <c r="A60" s="540" t="s">
        <v>26743</v>
      </c>
    </row>
    <row r="61" spans="1:1">
      <c r="A61" s="66" t="s">
        <v>26744</v>
      </c>
    </row>
    <row r="62" spans="1:1">
      <c r="A62" s="66"/>
    </row>
    <row r="63" spans="1:1">
      <c r="A63" s="540" t="s">
        <v>26745</v>
      </c>
    </row>
    <row r="64" spans="1:1">
      <c r="A64" s="66" t="s">
        <v>26746</v>
      </c>
    </row>
    <row r="65" spans="1:1">
      <c r="A65" s="66" t="s">
        <v>26747</v>
      </c>
    </row>
    <row r="66" spans="1:1">
      <c r="A66" s="66" t="s">
        <v>26748</v>
      </c>
    </row>
    <row r="67" spans="1:1">
      <c r="A67" s="66"/>
    </row>
    <row r="68" spans="1:1">
      <c r="A68" s="540" t="s">
        <v>26749</v>
      </c>
    </row>
    <row r="69" spans="1:1">
      <c r="A69" s="66" t="s">
        <v>26750</v>
      </c>
    </row>
    <row r="70" spans="1:1">
      <c r="A70" s="66"/>
    </row>
    <row r="71" spans="1:1">
      <c r="A71" s="540" t="s">
        <v>26751</v>
      </c>
    </row>
    <row r="72" spans="1:1">
      <c r="A72" s="66" t="s">
        <v>26752</v>
      </c>
    </row>
    <row r="73" spans="1:1">
      <c r="A73" s="66"/>
    </row>
    <row r="74" spans="1:1">
      <c r="A74" s="540" t="s">
        <v>26753</v>
      </c>
    </row>
    <row r="75" spans="1:1">
      <c r="A75" s="66" t="s">
        <v>26752</v>
      </c>
    </row>
    <row r="76" spans="1:1">
      <c r="A76" s="66"/>
    </row>
    <row r="77" spans="1:1">
      <c r="A77" s="66"/>
    </row>
    <row r="78" spans="1:1">
      <c r="A78" s="66"/>
    </row>
    <row r="79" spans="1:1">
      <c r="A79" s="66"/>
    </row>
    <row r="80" spans="1:1">
      <c r="A80" s="66"/>
    </row>
    <row r="81" spans="1:1">
      <c r="A81" s="66"/>
    </row>
    <row r="82" spans="1:1">
      <c r="A82" s="66"/>
    </row>
    <row r="83" spans="1:1">
      <c r="A83" s="66"/>
    </row>
    <row r="84" spans="1:1">
      <c r="A84" s="66"/>
    </row>
    <row r="85" spans="1:1">
      <c r="A85" s="66"/>
    </row>
    <row r="86" spans="1:1">
      <c r="A86" s="66"/>
    </row>
    <row r="87" spans="1:1">
      <c r="A87" s="25"/>
    </row>
  </sheetData>
  <sheetProtection selectLockedCells="1" selectUnlockedCells="1"/>
  <pageMargins left="0.78749999999999998" right="0.78749999999999998" top="0.78749999999999998" bottom="0.78749999999999998" header="9.8611111111111108E-2" footer="9.8611111111111108E-2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Roman,Regular"&amp;12Página &amp;P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Plan37"/>
  <dimension ref="A1:E131"/>
  <sheetViews>
    <sheetView workbookViewId="0">
      <pane xSplit="5" ySplit="1" topLeftCell="F117" activePane="bottomRight" state="frozen"/>
      <selection pane="bottomRight" activeCell="F1" sqref="F1"/>
      <selection pane="bottomLeft" activeCell="A90" sqref="A90"/>
      <selection pane="topRight" activeCell="F1" sqref="F1"/>
    </sheetView>
  </sheetViews>
  <sheetFormatPr defaultColWidth="11.42578125" defaultRowHeight="11.25"/>
  <cols>
    <col min="1" max="1" width="5.28515625" style="530" customWidth="1"/>
    <col min="2" max="2" width="38.5703125" style="530" customWidth="1"/>
    <col min="3" max="3" width="16.85546875" style="530" customWidth="1"/>
    <col min="4" max="4" width="16.42578125" style="530" customWidth="1"/>
    <col min="5" max="5" width="11.28515625" style="530" customWidth="1"/>
    <col min="6" max="16384" width="11.42578125" style="530"/>
  </cols>
  <sheetData>
    <row r="1" spans="1:5">
      <c r="A1" s="531" t="s">
        <v>25414</v>
      </c>
      <c r="B1" s="531" t="s">
        <v>26599</v>
      </c>
      <c r="C1" s="531" t="s">
        <v>26600</v>
      </c>
      <c r="D1" s="531" t="s">
        <v>26601</v>
      </c>
      <c r="E1" s="532" t="s">
        <v>26754</v>
      </c>
    </row>
    <row r="2" spans="1:5">
      <c r="A2" s="531">
        <v>1</v>
      </c>
      <c r="B2" s="531" t="s">
        <v>26755</v>
      </c>
      <c r="C2" s="531" t="s">
        <v>26604</v>
      </c>
      <c r="D2" s="531">
        <v>1</v>
      </c>
      <c r="E2" s="533" t="s">
        <v>938</v>
      </c>
    </row>
    <row r="3" spans="1:5">
      <c r="A3" s="531">
        <v>2</v>
      </c>
      <c r="B3" s="531" t="s">
        <v>26756</v>
      </c>
      <c r="C3" s="531" t="s">
        <v>26604</v>
      </c>
      <c r="D3" s="531">
        <v>1</v>
      </c>
      <c r="E3" s="533" t="s">
        <v>938</v>
      </c>
    </row>
    <row r="4" spans="1:5">
      <c r="A4" s="531">
        <v>3</v>
      </c>
      <c r="B4" s="531" t="s">
        <v>26757</v>
      </c>
      <c r="C4" s="531" t="s">
        <v>26604</v>
      </c>
      <c r="D4" s="531">
        <v>1</v>
      </c>
      <c r="E4" s="533" t="s">
        <v>938</v>
      </c>
    </row>
    <row r="5" spans="1:5">
      <c r="A5" s="531">
        <v>4</v>
      </c>
      <c r="B5" s="531" t="s">
        <v>26758</v>
      </c>
      <c r="C5" s="531" t="s">
        <v>26604</v>
      </c>
      <c r="D5" s="531">
        <v>1</v>
      </c>
      <c r="E5" s="533" t="s">
        <v>938</v>
      </c>
    </row>
    <row r="6" spans="1:5">
      <c r="A6" s="531">
        <v>5</v>
      </c>
      <c r="B6" s="531" t="s">
        <v>26759</v>
      </c>
      <c r="C6" s="531" t="s">
        <v>26604</v>
      </c>
      <c r="D6" s="531">
        <v>1</v>
      </c>
      <c r="E6" s="533" t="s">
        <v>938</v>
      </c>
    </row>
    <row r="7" spans="1:5">
      <c r="A7" s="531">
        <v>6</v>
      </c>
      <c r="B7" s="531" t="s">
        <v>26760</v>
      </c>
      <c r="C7" s="531" t="s">
        <v>26604</v>
      </c>
      <c r="D7" s="531">
        <v>1</v>
      </c>
      <c r="E7" s="533" t="s">
        <v>938</v>
      </c>
    </row>
    <row r="8" spans="1:5">
      <c r="A8" s="531">
        <v>7</v>
      </c>
      <c r="B8" s="531" t="s">
        <v>26761</v>
      </c>
      <c r="C8" s="531" t="s">
        <v>26604</v>
      </c>
      <c r="D8" s="531">
        <v>1</v>
      </c>
      <c r="E8" s="533" t="s">
        <v>938</v>
      </c>
    </row>
    <row r="9" spans="1:5">
      <c r="A9" s="531">
        <v>8</v>
      </c>
      <c r="B9" s="531" t="s">
        <v>26762</v>
      </c>
      <c r="C9" s="531" t="s">
        <v>26604</v>
      </c>
      <c r="D9" s="531">
        <v>1</v>
      </c>
      <c r="E9" s="533" t="s">
        <v>938</v>
      </c>
    </row>
    <row r="10" spans="1:5">
      <c r="A10" s="531">
        <v>9</v>
      </c>
      <c r="B10" s="531" t="s">
        <v>26763</v>
      </c>
      <c r="C10" s="531" t="s">
        <v>26604</v>
      </c>
      <c r="D10" s="531">
        <v>1</v>
      </c>
      <c r="E10" s="533" t="s">
        <v>938</v>
      </c>
    </row>
    <row r="11" spans="1:5">
      <c r="A11" s="531">
        <v>10</v>
      </c>
      <c r="B11" s="531" t="s">
        <v>26764</v>
      </c>
      <c r="C11" s="531" t="s">
        <v>26604</v>
      </c>
      <c r="D11" s="531">
        <v>1</v>
      </c>
      <c r="E11" s="533" t="s">
        <v>938</v>
      </c>
    </row>
    <row r="12" spans="1:5">
      <c r="A12" s="531">
        <v>11</v>
      </c>
      <c r="B12" s="531" t="s">
        <v>26765</v>
      </c>
      <c r="C12" s="531" t="s">
        <v>26604</v>
      </c>
      <c r="D12" s="531">
        <v>1</v>
      </c>
      <c r="E12" s="533" t="s">
        <v>938</v>
      </c>
    </row>
    <row r="13" spans="1:5">
      <c r="A13" s="531">
        <v>12</v>
      </c>
      <c r="B13" s="531" t="s">
        <v>26766</v>
      </c>
      <c r="C13" s="531" t="s">
        <v>26604</v>
      </c>
      <c r="D13" s="531">
        <v>2</v>
      </c>
      <c r="E13" s="533" t="s">
        <v>938</v>
      </c>
    </row>
    <row r="14" spans="1:5">
      <c r="A14" s="531">
        <v>13</v>
      </c>
      <c r="B14" s="531" t="s">
        <v>26604</v>
      </c>
      <c r="C14" s="531" t="s">
        <v>26604</v>
      </c>
      <c r="D14" s="531">
        <v>2</v>
      </c>
      <c r="E14" s="533" t="s">
        <v>938</v>
      </c>
    </row>
    <row r="15" spans="1:5">
      <c r="A15" s="531">
        <v>14</v>
      </c>
      <c r="B15" s="531" t="s">
        <v>26767</v>
      </c>
      <c r="C15" s="531" t="s">
        <v>26604</v>
      </c>
      <c r="D15" s="531">
        <v>2</v>
      </c>
      <c r="E15" s="533" t="s">
        <v>938</v>
      </c>
    </row>
    <row r="16" spans="1:5">
      <c r="A16" s="531">
        <v>15</v>
      </c>
      <c r="B16" s="531" t="s">
        <v>26768</v>
      </c>
      <c r="C16" s="531" t="s">
        <v>26604</v>
      </c>
      <c r="D16" s="531">
        <v>1</v>
      </c>
      <c r="E16" s="533" t="s">
        <v>938</v>
      </c>
    </row>
    <row r="17" spans="1:5">
      <c r="A17" s="531">
        <v>16</v>
      </c>
      <c r="B17" s="531" t="s">
        <v>26769</v>
      </c>
      <c r="C17" s="531" t="s">
        <v>26770</v>
      </c>
      <c r="D17" s="531">
        <v>1</v>
      </c>
      <c r="E17" s="533" t="s">
        <v>938</v>
      </c>
    </row>
    <row r="18" spans="1:5">
      <c r="A18" s="531">
        <v>17</v>
      </c>
      <c r="B18" s="531" t="s">
        <v>26771</v>
      </c>
      <c r="C18" s="531" t="s">
        <v>26772</v>
      </c>
      <c r="D18" s="531">
        <v>1</v>
      </c>
      <c r="E18" s="533" t="s">
        <v>938</v>
      </c>
    </row>
    <row r="19" spans="1:5">
      <c r="A19" s="531">
        <v>18</v>
      </c>
      <c r="B19" s="531" t="s">
        <v>26773</v>
      </c>
      <c r="C19" s="531" t="s">
        <v>26774</v>
      </c>
      <c r="D19" s="531">
        <v>1</v>
      </c>
      <c r="E19" s="533" t="s">
        <v>933</v>
      </c>
    </row>
    <row r="20" spans="1:5">
      <c r="A20" s="531">
        <v>19</v>
      </c>
      <c r="B20" s="531" t="s">
        <v>26775</v>
      </c>
      <c r="C20" s="531" t="s">
        <v>26776</v>
      </c>
      <c r="D20" s="531">
        <v>1</v>
      </c>
      <c r="E20" s="533" t="s">
        <v>938</v>
      </c>
    </row>
    <row r="21" spans="1:5">
      <c r="A21" s="531">
        <v>20</v>
      </c>
      <c r="B21" s="531" t="s">
        <v>26777</v>
      </c>
      <c r="C21" s="531" t="s">
        <v>26776</v>
      </c>
      <c r="D21" s="531">
        <v>1</v>
      </c>
      <c r="E21" s="533" t="s">
        <v>938</v>
      </c>
    </row>
    <row r="22" spans="1:5">
      <c r="A22" s="531">
        <v>21</v>
      </c>
      <c r="B22" s="531" t="s">
        <v>26778</v>
      </c>
      <c r="C22" s="531" t="s">
        <v>26779</v>
      </c>
      <c r="D22" s="531">
        <v>1</v>
      </c>
      <c r="E22" s="533" t="s">
        <v>938</v>
      </c>
    </row>
    <row r="23" spans="1:5">
      <c r="A23" s="531">
        <v>22</v>
      </c>
      <c r="B23" s="531" t="s">
        <v>26780</v>
      </c>
      <c r="C23" s="531" t="s">
        <v>26604</v>
      </c>
      <c r="D23" s="531">
        <v>2</v>
      </c>
      <c r="E23" s="533" t="s">
        <v>938</v>
      </c>
    </row>
    <row r="24" spans="1:5">
      <c r="A24" s="531">
        <v>23</v>
      </c>
      <c r="B24" s="531" t="s">
        <v>26781</v>
      </c>
      <c r="C24" s="531" t="s">
        <v>26774</v>
      </c>
      <c r="D24" s="531">
        <v>1</v>
      </c>
      <c r="E24" s="533" t="s">
        <v>938</v>
      </c>
    </row>
    <row r="25" spans="1:5">
      <c r="A25" s="531">
        <v>24</v>
      </c>
      <c r="B25" s="531" t="s">
        <v>26782</v>
      </c>
      <c r="C25" s="531" t="s">
        <v>26604</v>
      </c>
      <c r="D25" s="531">
        <v>1</v>
      </c>
      <c r="E25" s="533" t="s">
        <v>938</v>
      </c>
    </row>
    <row r="26" spans="1:5">
      <c r="A26" s="531">
        <v>25</v>
      </c>
      <c r="B26" s="531" t="s">
        <v>26783</v>
      </c>
      <c r="C26" s="531" t="s">
        <v>26784</v>
      </c>
      <c r="D26" s="531">
        <v>1</v>
      </c>
      <c r="E26" s="533" t="s">
        <v>938</v>
      </c>
    </row>
    <row r="27" spans="1:5">
      <c r="A27" s="531">
        <v>26</v>
      </c>
      <c r="B27" s="531" t="s">
        <v>26785</v>
      </c>
      <c r="C27" s="531" t="s">
        <v>26786</v>
      </c>
      <c r="D27" s="531">
        <v>1</v>
      </c>
      <c r="E27" s="533" t="s">
        <v>938</v>
      </c>
    </row>
    <row r="28" spans="1:5">
      <c r="A28" s="531">
        <v>27</v>
      </c>
      <c r="B28" s="531" t="s">
        <v>26787</v>
      </c>
      <c r="C28" s="531" t="s">
        <v>26788</v>
      </c>
      <c r="D28" s="531">
        <v>1</v>
      </c>
      <c r="E28" s="533" t="s">
        <v>938</v>
      </c>
    </row>
    <row r="29" spans="1:5">
      <c r="A29" s="531">
        <v>28</v>
      </c>
      <c r="B29" s="531" t="s">
        <v>26789</v>
      </c>
      <c r="C29" s="531" t="s">
        <v>26790</v>
      </c>
      <c r="D29" s="531">
        <v>1</v>
      </c>
      <c r="E29" s="533" t="s">
        <v>938</v>
      </c>
    </row>
    <row r="30" spans="1:5">
      <c r="A30" s="531">
        <v>29</v>
      </c>
      <c r="B30" s="531" t="s">
        <v>26791</v>
      </c>
      <c r="C30" s="531" t="s">
        <v>26792</v>
      </c>
      <c r="D30" s="531">
        <v>1</v>
      </c>
      <c r="E30" s="533" t="s">
        <v>938</v>
      </c>
    </row>
    <row r="31" spans="1:5">
      <c r="A31" s="531">
        <v>30</v>
      </c>
      <c r="B31" s="531" t="s">
        <v>26793</v>
      </c>
      <c r="C31" s="531" t="s">
        <v>26684</v>
      </c>
      <c r="D31" s="531">
        <v>1</v>
      </c>
      <c r="E31" s="533" t="s">
        <v>938</v>
      </c>
    </row>
    <row r="32" spans="1:5">
      <c r="A32" s="531">
        <v>31</v>
      </c>
      <c r="B32" s="531" t="s">
        <v>26794</v>
      </c>
      <c r="C32" s="531" t="s">
        <v>26788</v>
      </c>
      <c r="D32" s="531">
        <v>1</v>
      </c>
      <c r="E32" s="533" t="s">
        <v>938</v>
      </c>
    </row>
    <row r="33" spans="1:5">
      <c r="A33" s="531">
        <v>32</v>
      </c>
      <c r="B33" s="531" t="s">
        <v>26795</v>
      </c>
      <c r="C33" s="531" t="s">
        <v>26604</v>
      </c>
      <c r="D33" s="531">
        <v>2</v>
      </c>
      <c r="E33" s="533" t="s">
        <v>933</v>
      </c>
    </row>
    <row r="34" spans="1:5">
      <c r="A34" s="531">
        <v>33</v>
      </c>
      <c r="B34" s="531" t="s">
        <v>26796</v>
      </c>
      <c r="C34" s="531" t="s">
        <v>26788</v>
      </c>
      <c r="D34" s="531">
        <v>1</v>
      </c>
      <c r="E34" s="533" t="s">
        <v>938</v>
      </c>
    </row>
    <row r="35" spans="1:5">
      <c r="A35" s="531">
        <v>34</v>
      </c>
      <c r="B35" s="531" t="s">
        <v>26797</v>
      </c>
      <c r="C35" s="531" t="s">
        <v>26776</v>
      </c>
      <c r="D35" s="531">
        <v>1</v>
      </c>
      <c r="E35" s="533" t="s">
        <v>938</v>
      </c>
    </row>
    <row r="36" spans="1:5">
      <c r="A36" s="531">
        <v>35</v>
      </c>
      <c r="B36" s="531" t="s">
        <v>26617</v>
      </c>
      <c r="C36" s="531" t="s">
        <v>26798</v>
      </c>
      <c r="D36" s="531">
        <v>1</v>
      </c>
      <c r="E36" s="533" t="s">
        <v>938</v>
      </c>
    </row>
    <row r="37" spans="1:5">
      <c r="A37" s="531">
        <v>36</v>
      </c>
      <c r="B37" s="531" t="s">
        <v>26799</v>
      </c>
      <c r="C37" s="531" t="s">
        <v>26800</v>
      </c>
      <c r="D37" s="531">
        <v>1</v>
      </c>
      <c r="E37" s="533" t="s">
        <v>933</v>
      </c>
    </row>
    <row r="38" spans="1:5">
      <c r="A38" s="531">
        <v>37</v>
      </c>
      <c r="B38" s="531" t="s">
        <v>26801</v>
      </c>
      <c r="C38" s="531" t="s">
        <v>26802</v>
      </c>
      <c r="D38" s="531">
        <v>1</v>
      </c>
      <c r="E38" s="533" t="s">
        <v>933</v>
      </c>
    </row>
    <row r="39" spans="1:5">
      <c r="A39" s="531">
        <v>38</v>
      </c>
      <c r="B39" s="531" t="s">
        <v>26803</v>
      </c>
      <c r="C39" s="531" t="s">
        <v>26802</v>
      </c>
      <c r="D39" s="531">
        <v>1</v>
      </c>
      <c r="E39" s="533" t="s">
        <v>933</v>
      </c>
    </row>
    <row r="40" spans="1:5">
      <c r="A40" s="531">
        <v>39</v>
      </c>
      <c r="B40" s="531" t="s">
        <v>26804</v>
      </c>
      <c r="C40" s="534"/>
      <c r="D40" s="531">
        <v>1</v>
      </c>
      <c r="E40" s="533" t="s">
        <v>933</v>
      </c>
    </row>
    <row r="41" spans="1:5">
      <c r="A41" s="531">
        <v>40</v>
      </c>
      <c r="B41" s="531" t="s">
        <v>26805</v>
      </c>
      <c r="C41" s="531" t="s">
        <v>26604</v>
      </c>
      <c r="D41" s="531">
        <v>1</v>
      </c>
      <c r="E41" s="533" t="s">
        <v>938</v>
      </c>
    </row>
    <row r="42" spans="1:5">
      <c r="A42" s="531">
        <v>41</v>
      </c>
      <c r="B42" s="531" t="s">
        <v>26806</v>
      </c>
      <c r="C42" s="531" t="s">
        <v>26604</v>
      </c>
      <c r="D42" s="531">
        <v>1</v>
      </c>
      <c r="E42" s="533" t="s">
        <v>938</v>
      </c>
    </row>
    <row r="43" spans="1:5">
      <c r="A43" s="531">
        <v>42</v>
      </c>
      <c r="B43" s="531" t="s">
        <v>26807</v>
      </c>
      <c r="C43" s="531" t="s">
        <v>26808</v>
      </c>
      <c r="D43" s="531">
        <v>1</v>
      </c>
      <c r="E43" s="533" t="s">
        <v>938</v>
      </c>
    </row>
    <row r="44" spans="1:5">
      <c r="A44" s="531">
        <v>43</v>
      </c>
      <c r="B44" s="531" t="s">
        <v>26809</v>
      </c>
      <c r="C44" s="531" t="s">
        <v>26810</v>
      </c>
      <c r="D44" s="531">
        <v>1</v>
      </c>
      <c r="E44" s="533" t="s">
        <v>938</v>
      </c>
    </row>
    <row r="45" spans="1:5">
      <c r="A45" s="531">
        <v>44</v>
      </c>
      <c r="B45" s="531" t="s">
        <v>26811</v>
      </c>
      <c r="C45" s="531" t="s">
        <v>26810</v>
      </c>
      <c r="D45" s="531">
        <v>1</v>
      </c>
      <c r="E45" s="533" t="s">
        <v>938</v>
      </c>
    </row>
    <row r="46" spans="1:5">
      <c r="A46" s="531">
        <v>45</v>
      </c>
      <c r="B46" s="531" t="s">
        <v>26812</v>
      </c>
      <c r="C46" s="531" t="s">
        <v>26810</v>
      </c>
      <c r="D46" s="531">
        <v>1</v>
      </c>
      <c r="E46" s="533" t="s">
        <v>938</v>
      </c>
    </row>
    <row r="47" spans="1:5">
      <c r="A47" s="531">
        <v>46</v>
      </c>
      <c r="B47" s="531" t="s">
        <v>26813</v>
      </c>
      <c r="C47" s="531" t="s">
        <v>26784</v>
      </c>
      <c r="D47" s="531">
        <v>1</v>
      </c>
      <c r="E47" s="533" t="s">
        <v>938</v>
      </c>
    </row>
    <row r="48" spans="1:5">
      <c r="A48" s="531">
        <v>47</v>
      </c>
      <c r="B48" s="531" t="s">
        <v>26814</v>
      </c>
      <c r="C48" s="531" t="s">
        <v>26810</v>
      </c>
      <c r="D48" s="531">
        <v>1</v>
      </c>
      <c r="E48" s="533" t="s">
        <v>938</v>
      </c>
    </row>
    <row r="49" spans="1:5">
      <c r="A49" s="531">
        <v>48</v>
      </c>
      <c r="B49" s="531" t="s">
        <v>26815</v>
      </c>
      <c r="C49" s="531" t="s">
        <v>26786</v>
      </c>
      <c r="D49" s="531">
        <v>2</v>
      </c>
      <c r="E49" s="533" t="s">
        <v>938</v>
      </c>
    </row>
    <row r="50" spans="1:5">
      <c r="A50" s="531">
        <v>49</v>
      </c>
      <c r="B50" s="531" t="s">
        <v>26816</v>
      </c>
      <c r="C50" s="531" t="s">
        <v>26786</v>
      </c>
      <c r="D50" s="531">
        <v>2</v>
      </c>
      <c r="E50" s="533" t="s">
        <v>938</v>
      </c>
    </row>
    <row r="51" spans="1:5">
      <c r="A51" s="531">
        <v>50</v>
      </c>
      <c r="B51" s="531" t="s">
        <v>20466</v>
      </c>
      <c r="C51" s="531" t="s">
        <v>26810</v>
      </c>
      <c r="D51" s="531">
        <v>1</v>
      </c>
      <c r="E51" s="533" t="s">
        <v>938</v>
      </c>
    </row>
    <row r="52" spans="1:5">
      <c r="A52" s="531">
        <v>51</v>
      </c>
      <c r="B52" s="531" t="s">
        <v>26817</v>
      </c>
      <c r="C52" s="535"/>
      <c r="D52" s="531">
        <v>1</v>
      </c>
      <c r="E52" s="533" t="s">
        <v>933</v>
      </c>
    </row>
    <row r="53" spans="1:5">
      <c r="A53" s="531">
        <v>52</v>
      </c>
      <c r="B53" s="531" t="s">
        <v>26818</v>
      </c>
      <c r="C53" s="531" t="s">
        <v>26818</v>
      </c>
      <c r="D53" s="531">
        <v>1</v>
      </c>
      <c r="E53" s="533" t="s">
        <v>938</v>
      </c>
    </row>
    <row r="54" spans="1:5">
      <c r="A54" s="531">
        <v>53</v>
      </c>
      <c r="B54" s="531" t="s">
        <v>26819</v>
      </c>
      <c r="C54" s="531" t="s">
        <v>26784</v>
      </c>
      <c r="D54" s="531">
        <v>1</v>
      </c>
      <c r="E54" s="533" t="s">
        <v>938</v>
      </c>
    </row>
    <row r="55" spans="1:5">
      <c r="A55" s="531">
        <v>54</v>
      </c>
      <c r="B55" s="531" t="s">
        <v>26820</v>
      </c>
      <c r="C55" s="531" t="s">
        <v>26784</v>
      </c>
      <c r="D55" s="531">
        <v>1</v>
      </c>
      <c r="E55" s="533" t="s">
        <v>938</v>
      </c>
    </row>
    <row r="56" spans="1:5">
      <c r="A56" s="531">
        <v>55</v>
      </c>
      <c r="B56" s="531" t="s">
        <v>26821</v>
      </c>
      <c r="C56" s="531" t="s">
        <v>26604</v>
      </c>
      <c r="D56" s="531">
        <v>3</v>
      </c>
      <c r="E56" s="533" t="s">
        <v>933</v>
      </c>
    </row>
    <row r="57" spans="1:5">
      <c r="A57" s="531">
        <v>56</v>
      </c>
      <c r="B57" s="531" t="s">
        <v>26822</v>
      </c>
      <c r="C57" s="531" t="s">
        <v>26823</v>
      </c>
      <c r="D57" s="531">
        <v>1</v>
      </c>
      <c r="E57" s="533" t="s">
        <v>938</v>
      </c>
    </row>
    <row r="58" spans="1:5">
      <c r="A58" s="531">
        <v>57</v>
      </c>
      <c r="B58" s="531" t="s">
        <v>26824</v>
      </c>
      <c r="C58" s="531" t="s">
        <v>26825</v>
      </c>
      <c r="D58" s="531">
        <v>1</v>
      </c>
      <c r="E58" s="533" t="s">
        <v>938</v>
      </c>
    </row>
    <row r="59" spans="1:5">
      <c r="A59" s="531">
        <v>58</v>
      </c>
      <c r="B59" s="531" t="s">
        <v>26826</v>
      </c>
      <c r="C59" s="531" t="s">
        <v>26784</v>
      </c>
      <c r="D59" s="531">
        <v>1</v>
      </c>
      <c r="E59" s="533" t="s">
        <v>938</v>
      </c>
    </row>
    <row r="60" spans="1:5">
      <c r="A60" s="531">
        <v>59</v>
      </c>
      <c r="B60" s="531" t="s">
        <v>26827</v>
      </c>
      <c r="C60" s="531" t="s">
        <v>26776</v>
      </c>
      <c r="D60" s="531">
        <v>1</v>
      </c>
      <c r="E60" s="533" t="s">
        <v>938</v>
      </c>
    </row>
    <row r="61" spans="1:5">
      <c r="A61" s="531">
        <v>60</v>
      </c>
      <c r="B61" s="531" t="s">
        <v>26828</v>
      </c>
      <c r="C61" s="531" t="s">
        <v>26829</v>
      </c>
      <c r="D61" s="531">
        <v>1</v>
      </c>
      <c r="E61" s="533" t="s">
        <v>938</v>
      </c>
    </row>
    <row r="62" spans="1:5">
      <c r="A62" s="531">
        <v>61</v>
      </c>
      <c r="B62" s="531" t="s">
        <v>26830</v>
      </c>
      <c r="C62" s="531" t="s">
        <v>26831</v>
      </c>
      <c r="D62" s="531">
        <v>1</v>
      </c>
      <c r="E62" s="533" t="s">
        <v>938</v>
      </c>
    </row>
    <row r="63" spans="1:5">
      <c r="A63" s="531">
        <v>62</v>
      </c>
      <c r="B63" s="531" t="s">
        <v>26832</v>
      </c>
      <c r="C63" s="531" t="s">
        <v>26833</v>
      </c>
      <c r="D63" s="531">
        <v>1</v>
      </c>
      <c r="E63" s="533" t="s">
        <v>938</v>
      </c>
    </row>
    <row r="64" spans="1:5">
      <c r="A64" s="531">
        <v>63</v>
      </c>
      <c r="B64" s="531" t="s">
        <v>26834</v>
      </c>
      <c r="C64" s="531" t="s">
        <v>26604</v>
      </c>
      <c r="D64" s="531">
        <v>1</v>
      </c>
      <c r="E64" s="533" t="s">
        <v>938</v>
      </c>
    </row>
    <row r="65" spans="1:5">
      <c r="A65" s="531">
        <v>64</v>
      </c>
      <c r="B65" s="531" t="s">
        <v>26835</v>
      </c>
      <c r="C65" s="531" t="s">
        <v>26784</v>
      </c>
      <c r="D65" s="531">
        <v>1</v>
      </c>
      <c r="E65" s="533" t="s">
        <v>938</v>
      </c>
    </row>
    <row r="66" spans="1:5">
      <c r="A66" s="531">
        <v>65</v>
      </c>
      <c r="B66" s="531" t="s">
        <v>26836</v>
      </c>
      <c r="C66" s="531" t="s">
        <v>26833</v>
      </c>
      <c r="D66" s="531">
        <v>1</v>
      </c>
      <c r="E66" s="533" t="s">
        <v>938</v>
      </c>
    </row>
    <row r="67" spans="1:5">
      <c r="A67" s="531">
        <v>66</v>
      </c>
      <c r="B67" s="531" t="s">
        <v>26837</v>
      </c>
      <c r="C67" s="531" t="s">
        <v>26604</v>
      </c>
      <c r="D67" s="531">
        <v>1</v>
      </c>
      <c r="E67" s="533" t="s">
        <v>938</v>
      </c>
    </row>
    <row r="68" spans="1:5">
      <c r="A68" s="531">
        <v>67</v>
      </c>
      <c r="B68" s="532" t="s">
        <v>26838</v>
      </c>
      <c r="C68" s="531" t="s">
        <v>26810</v>
      </c>
      <c r="D68" s="532">
        <v>1</v>
      </c>
      <c r="E68" s="533" t="s">
        <v>938</v>
      </c>
    </row>
    <row r="69" spans="1:5">
      <c r="A69" s="531">
        <v>68</v>
      </c>
      <c r="B69" s="532" t="s">
        <v>26839</v>
      </c>
      <c r="C69" s="532" t="s">
        <v>26604</v>
      </c>
      <c r="D69" s="532">
        <v>1</v>
      </c>
      <c r="E69" s="533" t="s">
        <v>938</v>
      </c>
    </row>
    <row r="70" spans="1:5">
      <c r="A70" s="531">
        <v>69</v>
      </c>
      <c r="B70" s="532" t="s">
        <v>26840</v>
      </c>
      <c r="C70" s="532" t="s">
        <v>26604</v>
      </c>
      <c r="D70" s="532">
        <v>2</v>
      </c>
      <c r="E70" s="533" t="s">
        <v>26841</v>
      </c>
    </row>
    <row r="71" spans="1:5">
      <c r="A71" s="531">
        <v>70</v>
      </c>
      <c r="B71" s="532" t="s">
        <v>26842</v>
      </c>
      <c r="C71" s="531" t="s">
        <v>26833</v>
      </c>
      <c r="D71" s="532">
        <v>1</v>
      </c>
      <c r="E71" s="533" t="s">
        <v>938</v>
      </c>
    </row>
    <row r="72" spans="1:5">
      <c r="A72" s="531">
        <v>71</v>
      </c>
      <c r="B72" s="532" t="s">
        <v>26843</v>
      </c>
      <c r="C72" s="531" t="s">
        <v>26833</v>
      </c>
      <c r="D72" s="532">
        <v>1</v>
      </c>
      <c r="E72" s="533" t="s">
        <v>938</v>
      </c>
    </row>
    <row r="73" spans="1:5">
      <c r="A73" s="531">
        <v>72</v>
      </c>
      <c r="B73" s="532" t="s">
        <v>26844</v>
      </c>
      <c r="C73" s="531" t="s">
        <v>26833</v>
      </c>
      <c r="D73" s="532">
        <v>1</v>
      </c>
      <c r="E73" s="533" t="s">
        <v>938</v>
      </c>
    </row>
    <row r="74" spans="1:5">
      <c r="A74" s="531">
        <v>73</v>
      </c>
      <c r="B74" s="532" t="s">
        <v>26845</v>
      </c>
      <c r="C74" s="532" t="s">
        <v>26604</v>
      </c>
      <c r="D74" s="532">
        <v>2</v>
      </c>
      <c r="E74" s="533" t="s">
        <v>938</v>
      </c>
    </row>
    <row r="75" spans="1:5">
      <c r="A75" s="531">
        <v>74</v>
      </c>
      <c r="B75" s="532" t="s">
        <v>26846</v>
      </c>
      <c r="C75" s="532" t="s">
        <v>26847</v>
      </c>
      <c r="D75" s="532">
        <v>1</v>
      </c>
      <c r="E75" s="533" t="s">
        <v>938</v>
      </c>
    </row>
    <row r="76" spans="1:5">
      <c r="A76" s="531">
        <v>75</v>
      </c>
      <c r="B76" s="532" t="s">
        <v>26848</v>
      </c>
      <c r="C76" s="532" t="s">
        <v>26849</v>
      </c>
      <c r="D76" s="532">
        <v>1</v>
      </c>
      <c r="E76" s="533" t="s">
        <v>938</v>
      </c>
    </row>
    <row r="77" spans="1:5">
      <c r="A77" s="531">
        <v>76</v>
      </c>
      <c r="B77" s="532" t="s">
        <v>26850</v>
      </c>
      <c r="C77" s="532" t="s">
        <v>26784</v>
      </c>
      <c r="D77" s="532">
        <v>2</v>
      </c>
      <c r="E77" s="533" t="s">
        <v>938</v>
      </c>
    </row>
    <row r="78" spans="1:5">
      <c r="A78" s="531">
        <v>77</v>
      </c>
      <c r="B78" s="532" t="s">
        <v>26851</v>
      </c>
      <c r="C78" s="531" t="s">
        <v>26833</v>
      </c>
      <c r="D78" s="532">
        <v>1</v>
      </c>
      <c r="E78" s="533" t="s">
        <v>938</v>
      </c>
    </row>
    <row r="79" spans="1:5">
      <c r="A79" s="531">
        <v>78</v>
      </c>
      <c r="B79" s="532" t="s">
        <v>26852</v>
      </c>
      <c r="C79" s="532" t="s">
        <v>26776</v>
      </c>
      <c r="D79" s="532">
        <v>1</v>
      </c>
      <c r="E79" s="533" t="s">
        <v>938</v>
      </c>
    </row>
    <row r="80" spans="1:5">
      <c r="A80" s="531">
        <v>79</v>
      </c>
      <c r="B80" s="532" t="s">
        <v>26853</v>
      </c>
      <c r="C80" s="531" t="s">
        <v>26833</v>
      </c>
      <c r="D80" s="532">
        <v>1</v>
      </c>
      <c r="E80" s="533" t="s">
        <v>938</v>
      </c>
    </row>
    <row r="81" spans="1:5">
      <c r="A81" s="531">
        <v>80</v>
      </c>
      <c r="B81" s="532" t="s">
        <v>26854</v>
      </c>
      <c r="C81" s="532" t="s">
        <v>26855</v>
      </c>
      <c r="D81" s="532">
        <v>1</v>
      </c>
      <c r="E81" s="533" t="s">
        <v>938</v>
      </c>
    </row>
    <row r="82" spans="1:5">
      <c r="A82" s="531">
        <v>81</v>
      </c>
      <c r="B82" s="532" t="s">
        <v>26856</v>
      </c>
      <c r="C82" s="532" t="s">
        <v>26855</v>
      </c>
      <c r="D82" s="532">
        <v>1</v>
      </c>
      <c r="E82" s="533" t="s">
        <v>938</v>
      </c>
    </row>
    <row r="83" spans="1:5">
      <c r="A83" s="531">
        <v>82</v>
      </c>
      <c r="B83" s="532" t="s">
        <v>26857</v>
      </c>
      <c r="C83" s="532" t="s">
        <v>26858</v>
      </c>
      <c r="D83" s="532">
        <v>1</v>
      </c>
      <c r="E83" s="533" t="s">
        <v>938</v>
      </c>
    </row>
    <row r="84" spans="1:5">
      <c r="A84" s="531">
        <v>83</v>
      </c>
      <c r="B84" s="532" t="s">
        <v>26859</v>
      </c>
      <c r="C84" s="532" t="s">
        <v>26788</v>
      </c>
      <c r="D84" s="532">
        <v>2</v>
      </c>
      <c r="E84" s="533" t="s">
        <v>938</v>
      </c>
    </row>
    <row r="85" spans="1:5">
      <c r="A85" s="531">
        <v>84</v>
      </c>
      <c r="B85" s="532" t="s">
        <v>26860</v>
      </c>
      <c r="C85" s="532" t="s">
        <v>26861</v>
      </c>
      <c r="D85" s="532">
        <v>1</v>
      </c>
      <c r="E85" s="533" t="s">
        <v>938</v>
      </c>
    </row>
    <row r="86" spans="1:5">
      <c r="A86" s="531">
        <v>85</v>
      </c>
      <c r="B86" s="532" t="s">
        <v>26862</v>
      </c>
      <c r="C86" s="532" t="s">
        <v>26602</v>
      </c>
      <c r="D86" s="532">
        <v>1</v>
      </c>
      <c r="E86" s="533" t="s">
        <v>938</v>
      </c>
    </row>
    <row r="87" spans="1:5">
      <c r="A87" s="531">
        <v>86</v>
      </c>
      <c r="B87" s="532" t="s">
        <v>26863</v>
      </c>
      <c r="C87" s="532" t="s">
        <v>26825</v>
      </c>
      <c r="D87" s="532">
        <v>1</v>
      </c>
      <c r="E87" s="533" t="s">
        <v>938</v>
      </c>
    </row>
    <row r="88" spans="1:5">
      <c r="A88" s="531">
        <v>87</v>
      </c>
      <c r="B88" s="532" t="s">
        <v>26864</v>
      </c>
      <c r="C88" s="532" t="s">
        <v>26825</v>
      </c>
      <c r="D88" s="532">
        <v>1</v>
      </c>
      <c r="E88" s="533" t="s">
        <v>938</v>
      </c>
    </row>
    <row r="89" spans="1:5">
      <c r="A89" s="531">
        <v>88</v>
      </c>
      <c r="B89" s="532" t="s">
        <v>26865</v>
      </c>
      <c r="C89" s="532" t="s">
        <v>26866</v>
      </c>
      <c r="D89" s="532">
        <v>1</v>
      </c>
      <c r="E89" s="533" t="s">
        <v>938</v>
      </c>
    </row>
    <row r="90" spans="1:5">
      <c r="A90" s="531">
        <v>89</v>
      </c>
      <c r="B90" s="532" t="s">
        <v>26867</v>
      </c>
      <c r="C90" s="532" t="s">
        <v>26868</v>
      </c>
      <c r="D90" s="532">
        <v>1</v>
      </c>
      <c r="E90" s="533" t="s">
        <v>938</v>
      </c>
    </row>
    <row r="91" spans="1:5">
      <c r="A91" s="531">
        <v>90</v>
      </c>
      <c r="B91" s="532" t="s">
        <v>26869</v>
      </c>
      <c r="C91" s="532" t="s">
        <v>26868</v>
      </c>
      <c r="D91" s="532">
        <v>1</v>
      </c>
      <c r="E91" s="533" t="s">
        <v>938</v>
      </c>
    </row>
    <row r="92" spans="1:5">
      <c r="A92" s="531">
        <v>91</v>
      </c>
      <c r="B92" s="532" t="s">
        <v>26870</v>
      </c>
      <c r="C92" s="532" t="s">
        <v>26868</v>
      </c>
      <c r="D92" s="532">
        <v>1</v>
      </c>
      <c r="E92" s="533" t="s">
        <v>938</v>
      </c>
    </row>
    <row r="93" spans="1:5">
      <c r="A93" s="531">
        <v>92</v>
      </c>
      <c r="B93" s="532" t="s">
        <v>26871</v>
      </c>
      <c r="C93" s="532" t="s">
        <v>26868</v>
      </c>
      <c r="D93" s="532">
        <v>1</v>
      </c>
      <c r="E93" s="533" t="s">
        <v>938</v>
      </c>
    </row>
    <row r="94" spans="1:5">
      <c r="A94" s="531">
        <v>93</v>
      </c>
      <c r="B94" s="532" t="s">
        <v>26872</v>
      </c>
      <c r="C94" s="532" t="s">
        <v>26872</v>
      </c>
      <c r="D94" s="532">
        <v>1</v>
      </c>
      <c r="E94" s="533" t="s">
        <v>938</v>
      </c>
    </row>
    <row r="95" spans="1:5">
      <c r="A95" s="531">
        <v>94</v>
      </c>
      <c r="B95" s="532" t="s">
        <v>26873</v>
      </c>
      <c r="C95" s="532" t="s">
        <v>26872</v>
      </c>
      <c r="D95" s="532">
        <v>1</v>
      </c>
      <c r="E95" s="533" t="s">
        <v>938</v>
      </c>
    </row>
    <row r="96" spans="1:5">
      <c r="A96" s="531">
        <v>95</v>
      </c>
      <c r="B96" s="532" t="s">
        <v>26874</v>
      </c>
      <c r="C96" s="532" t="s">
        <v>26786</v>
      </c>
      <c r="D96" s="532">
        <v>1</v>
      </c>
      <c r="E96" s="533" t="s">
        <v>938</v>
      </c>
    </row>
    <row r="97" spans="1:5">
      <c r="A97" s="531">
        <v>96</v>
      </c>
      <c r="B97" s="532" t="s">
        <v>26875</v>
      </c>
      <c r="C97" s="532" t="s">
        <v>26855</v>
      </c>
      <c r="D97" s="532">
        <v>1</v>
      </c>
      <c r="E97" s="533" t="s">
        <v>938</v>
      </c>
    </row>
    <row r="98" spans="1:5">
      <c r="A98" s="531">
        <v>97</v>
      </c>
      <c r="B98" s="532" t="s">
        <v>26876</v>
      </c>
      <c r="C98" s="532" t="s">
        <v>26833</v>
      </c>
      <c r="D98" s="532">
        <v>1</v>
      </c>
      <c r="E98" s="533" t="s">
        <v>938</v>
      </c>
    </row>
    <row r="99" spans="1:5">
      <c r="A99" s="531">
        <v>98</v>
      </c>
      <c r="B99" s="532" t="s">
        <v>26877</v>
      </c>
      <c r="C99" s="532" t="s">
        <v>26604</v>
      </c>
      <c r="D99" s="532">
        <v>1</v>
      </c>
      <c r="E99" s="533" t="s">
        <v>938</v>
      </c>
    </row>
    <row r="100" spans="1:5">
      <c r="A100" s="531">
        <v>99</v>
      </c>
      <c r="B100" s="532" t="s">
        <v>26878</v>
      </c>
      <c r="C100" s="532" t="s">
        <v>26879</v>
      </c>
      <c r="D100" s="532">
        <v>1</v>
      </c>
      <c r="E100" s="533" t="s">
        <v>938</v>
      </c>
    </row>
    <row r="101" spans="1:5">
      <c r="A101" s="531">
        <v>100</v>
      </c>
      <c r="B101" s="532" t="s">
        <v>26880</v>
      </c>
      <c r="C101" s="532" t="s">
        <v>26866</v>
      </c>
      <c r="D101" s="532">
        <v>1</v>
      </c>
      <c r="E101" s="533" t="s">
        <v>938</v>
      </c>
    </row>
    <row r="102" spans="1:5">
      <c r="A102" s="531">
        <v>101</v>
      </c>
      <c r="B102" s="532" t="s">
        <v>26881</v>
      </c>
      <c r="C102" s="532" t="s">
        <v>26882</v>
      </c>
      <c r="D102" s="532">
        <v>1</v>
      </c>
      <c r="E102" s="533" t="s">
        <v>938</v>
      </c>
    </row>
    <row r="103" spans="1:5">
      <c r="A103" s="531">
        <v>102</v>
      </c>
      <c r="B103" s="532" t="s">
        <v>26883</v>
      </c>
      <c r="C103" s="532" t="s">
        <v>26884</v>
      </c>
      <c r="D103" s="532">
        <v>1</v>
      </c>
      <c r="E103" s="533" t="s">
        <v>938</v>
      </c>
    </row>
    <row r="104" spans="1:5">
      <c r="A104" s="531">
        <v>103</v>
      </c>
      <c r="B104" s="532" t="s">
        <v>26617</v>
      </c>
      <c r="C104" s="532" t="s">
        <v>26833</v>
      </c>
      <c r="D104" s="532">
        <v>1</v>
      </c>
      <c r="E104" s="533" t="s">
        <v>938</v>
      </c>
    </row>
    <row r="105" spans="1:5">
      <c r="A105" s="531">
        <v>104</v>
      </c>
      <c r="B105" s="532" t="s">
        <v>26885</v>
      </c>
      <c r="C105" s="532" t="s">
        <v>26784</v>
      </c>
      <c r="D105" s="532">
        <v>1</v>
      </c>
      <c r="E105" s="533" t="s">
        <v>938</v>
      </c>
    </row>
    <row r="106" spans="1:5">
      <c r="A106" s="531">
        <v>105</v>
      </c>
      <c r="B106" s="532" t="s">
        <v>26886</v>
      </c>
      <c r="C106" s="532" t="s">
        <v>26833</v>
      </c>
      <c r="D106" s="532">
        <v>1</v>
      </c>
      <c r="E106" s="533" t="s">
        <v>938</v>
      </c>
    </row>
    <row r="107" spans="1:5">
      <c r="A107" s="531">
        <v>106</v>
      </c>
      <c r="B107" s="532" t="s">
        <v>26887</v>
      </c>
      <c r="C107" s="532" t="s">
        <v>26833</v>
      </c>
      <c r="D107" s="532">
        <v>1</v>
      </c>
      <c r="E107" s="533" t="s">
        <v>938</v>
      </c>
    </row>
    <row r="108" spans="1:5">
      <c r="A108" s="531">
        <v>107</v>
      </c>
      <c r="B108" s="532" t="s">
        <v>26888</v>
      </c>
      <c r="C108" s="532" t="s">
        <v>26888</v>
      </c>
      <c r="D108" s="532">
        <v>1</v>
      </c>
      <c r="E108" s="533" t="s">
        <v>938</v>
      </c>
    </row>
    <row r="109" spans="1:5">
      <c r="A109" s="531">
        <v>108</v>
      </c>
      <c r="B109" s="532" t="s">
        <v>26889</v>
      </c>
      <c r="C109" s="532" t="s">
        <v>26833</v>
      </c>
      <c r="D109" s="532">
        <v>1</v>
      </c>
      <c r="E109" s="533" t="s">
        <v>938</v>
      </c>
    </row>
    <row r="110" spans="1:5">
      <c r="A110" s="531">
        <v>109</v>
      </c>
      <c r="B110" s="532" t="s">
        <v>26890</v>
      </c>
      <c r="C110" s="532" t="s">
        <v>26833</v>
      </c>
      <c r="D110" s="532">
        <v>1</v>
      </c>
      <c r="E110" s="533" t="s">
        <v>938</v>
      </c>
    </row>
    <row r="111" spans="1:5">
      <c r="A111" s="531">
        <v>110</v>
      </c>
      <c r="B111" s="532" t="s">
        <v>26891</v>
      </c>
      <c r="C111" s="532" t="s">
        <v>26833</v>
      </c>
      <c r="D111" s="532">
        <v>1</v>
      </c>
      <c r="E111" s="533" t="s">
        <v>938</v>
      </c>
    </row>
    <row r="112" spans="1:5">
      <c r="A112" s="531">
        <v>111</v>
      </c>
      <c r="B112" s="532" t="s">
        <v>26892</v>
      </c>
      <c r="C112" s="532" t="s">
        <v>26833</v>
      </c>
      <c r="D112" s="532">
        <v>1</v>
      </c>
      <c r="E112" s="533" t="s">
        <v>938</v>
      </c>
    </row>
    <row r="113" spans="1:5">
      <c r="A113" s="531">
        <v>112</v>
      </c>
      <c r="B113" s="532" t="s">
        <v>26893</v>
      </c>
      <c r="C113" s="532" t="s">
        <v>26894</v>
      </c>
      <c r="D113" s="532">
        <v>1</v>
      </c>
      <c r="E113" s="533" t="s">
        <v>938</v>
      </c>
    </row>
    <row r="114" spans="1:5">
      <c r="A114" s="531">
        <v>113</v>
      </c>
      <c r="B114" s="532" t="s">
        <v>26895</v>
      </c>
      <c r="C114" s="532" t="s">
        <v>26855</v>
      </c>
      <c r="D114" s="532">
        <v>1</v>
      </c>
      <c r="E114" s="533" t="s">
        <v>938</v>
      </c>
    </row>
    <row r="115" spans="1:5">
      <c r="A115" s="531">
        <v>114</v>
      </c>
      <c r="B115" s="532" t="s">
        <v>26896</v>
      </c>
      <c r="C115" s="532" t="s">
        <v>26810</v>
      </c>
      <c r="D115" s="532">
        <v>1</v>
      </c>
      <c r="E115" s="533" t="s">
        <v>938</v>
      </c>
    </row>
    <row r="116" spans="1:5">
      <c r="A116" s="531">
        <v>115</v>
      </c>
      <c r="B116" s="532" t="s">
        <v>26897</v>
      </c>
      <c r="C116" s="532" t="s">
        <v>26604</v>
      </c>
      <c r="D116" s="532">
        <v>1</v>
      </c>
      <c r="E116" s="533" t="s">
        <v>938</v>
      </c>
    </row>
    <row r="117" spans="1:5">
      <c r="A117" s="531">
        <v>116</v>
      </c>
      <c r="B117" s="532" t="s">
        <v>26898</v>
      </c>
      <c r="C117" s="532" t="s">
        <v>26899</v>
      </c>
      <c r="D117" s="532">
        <v>1</v>
      </c>
      <c r="E117" s="533" t="s">
        <v>933</v>
      </c>
    </row>
    <row r="118" spans="1:5">
      <c r="A118" s="531">
        <v>117</v>
      </c>
      <c r="B118" s="532" t="s">
        <v>26900</v>
      </c>
      <c r="C118" s="532" t="s">
        <v>26901</v>
      </c>
      <c r="D118" s="532">
        <v>1</v>
      </c>
      <c r="E118" s="533" t="s">
        <v>938</v>
      </c>
    </row>
    <row r="119" spans="1:5">
      <c r="A119" s="531">
        <v>118</v>
      </c>
      <c r="B119" s="532" t="s">
        <v>26902</v>
      </c>
      <c r="C119" s="532" t="s">
        <v>26665</v>
      </c>
      <c r="D119" s="532">
        <v>1</v>
      </c>
      <c r="E119" s="533" t="s">
        <v>938</v>
      </c>
    </row>
    <row r="120" spans="1:5">
      <c r="A120" s="531">
        <v>119</v>
      </c>
      <c r="B120" s="532" t="s">
        <v>26903</v>
      </c>
      <c r="C120" s="532" t="s">
        <v>26604</v>
      </c>
      <c r="D120" s="532">
        <v>1</v>
      </c>
      <c r="E120" s="533" t="s">
        <v>938</v>
      </c>
    </row>
    <row r="121" spans="1:5">
      <c r="A121" s="531">
        <v>120</v>
      </c>
      <c r="B121" s="532" t="s">
        <v>26904</v>
      </c>
      <c r="C121" s="532" t="s">
        <v>26604</v>
      </c>
      <c r="D121" s="532">
        <v>2</v>
      </c>
      <c r="E121" s="533" t="s">
        <v>938</v>
      </c>
    </row>
    <row r="122" spans="1:5">
      <c r="A122" s="531">
        <v>121</v>
      </c>
      <c r="B122" s="532" t="s">
        <v>26905</v>
      </c>
      <c r="C122" s="532" t="s">
        <v>26604</v>
      </c>
      <c r="D122" s="532">
        <v>2</v>
      </c>
      <c r="E122" s="533" t="s">
        <v>1099</v>
      </c>
    </row>
    <row r="123" spans="1:5">
      <c r="A123" s="531">
        <v>122</v>
      </c>
      <c r="B123" s="532" t="s">
        <v>26906</v>
      </c>
      <c r="C123" s="532" t="s">
        <v>26604</v>
      </c>
      <c r="D123" s="532">
        <v>2</v>
      </c>
      <c r="E123" s="533" t="s">
        <v>1099</v>
      </c>
    </row>
    <row r="124" spans="1:5">
      <c r="A124" s="531">
        <v>123</v>
      </c>
      <c r="B124" s="532" t="s">
        <v>26907</v>
      </c>
      <c r="C124" s="532" t="s">
        <v>26784</v>
      </c>
      <c r="D124" s="532">
        <v>1</v>
      </c>
      <c r="E124" s="533" t="s">
        <v>938</v>
      </c>
    </row>
    <row r="125" spans="1:5">
      <c r="A125" s="531">
        <v>124</v>
      </c>
      <c r="B125" s="532"/>
      <c r="C125" s="532"/>
      <c r="D125" s="532"/>
      <c r="E125" s="533"/>
    </row>
    <row r="126" spans="1:5">
      <c r="A126" s="531">
        <v>125</v>
      </c>
      <c r="B126" s="532"/>
      <c r="C126" s="532"/>
      <c r="D126" s="532"/>
      <c r="E126" s="533"/>
    </row>
    <row r="127" spans="1:5">
      <c r="A127" s="531">
        <v>126</v>
      </c>
      <c r="B127" s="532"/>
      <c r="C127" s="532"/>
      <c r="D127" s="532"/>
      <c r="E127" s="533"/>
    </row>
    <row r="128" spans="1:5">
      <c r="A128" s="531">
        <v>127</v>
      </c>
      <c r="B128" s="532"/>
      <c r="C128" s="532"/>
      <c r="D128" s="532"/>
      <c r="E128" s="533"/>
    </row>
    <row r="129" spans="1:5">
      <c r="A129" s="531">
        <v>128</v>
      </c>
      <c r="B129" s="532"/>
      <c r="C129" s="532"/>
      <c r="D129" s="532"/>
      <c r="E129" s="533"/>
    </row>
    <row r="130" spans="1:5">
      <c r="A130" s="531">
        <v>129</v>
      </c>
      <c r="B130" s="532"/>
      <c r="C130" s="532"/>
      <c r="D130" s="532"/>
      <c r="E130" s="533"/>
    </row>
    <row r="131" spans="1:5">
      <c r="A131" s="531">
        <v>130</v>
      </c>
      <c r="B131" s="532"/>
      <c r="C131" s="532"/>
      <c r="D131" s="532"/>
      <c r="E131" s="533"/>
    </row>
  </sheetData>
  <sheetProtection selectLockedCells="1" selectUnlockedCells="1"/>
  <printOptions headings="1" gridLines="1"/>
  <pageMargins left="0.27986111111111112" right="0.35" top="0.65972222222222221" bottom="0.70972222222222214" header="0.51180555555555551" footer="0.51180555555555551"/>
  <pageSetup paperSize="9" firstPageNumber="0" orientation="portrait" horizontalDpi="300" verticalDpi="300"/>
  <headerFooter alignWithMargins="0">
    <oddHeader>&amp;C&amp;A</oddHeader>
    <oddFooter>&amp;CPágina &amp;P de &amp;N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Plan41"/>
  <dimension ref="B2:M53"/>
  <sheetViews>
    <sheetView workbookViewId="0">
      <selection activeCell="H3" sqref="H3"/>
    </sheetView>
  </sheetViews>
  <sheetFormatPr defaultColWidth="11.42578125" defaultRowHeight="12.75"/>
  <cols>
    <col min="1" max="1" width="1.28515625" style="26" customWidth="1"/>
    <col min="2" max="2" width="4" style="541" customWidth="1"/>
    <col min="3" max="3" width="47.140625" style="26" customWidth="1"/>
    <col min="4" max="5" width="6.85546875" style="26" customWidth="1"/>
    <col min="6" max="6" width="6.28515625" style="26" customWidth="1"/>
    <col min="7" max="7" width="6.140625" style="26" customWidth="1"/>
    <col min="8" max="8" width="7.140625" style="26" customWidth="1"/>
    <col min="9" max="9" width="7.28515625" style="26" customWidth="1"/>
    <col min="10" max="10" width="6.5703125" style="26" customWidth="1"/>
    <col min="11" max="11" width="9" style="26" customWidth="1"/>
    <col min="12" max="12" width="7.28515625" style="26" customWidth="1"/>
    <col min="13" max="13" width="8.28515625" style="26" customWidth="1"/>
    <col min="14" max="14" width="11.85546875" style="26" customWidth="1"/>
    <col min="15" max="16384" width="11.42578125" style="26"/>
  </cols>
  <sheetData>
    <row r="2" spans="2:13" ht="15">
      <c r="B2" s="542" t="s">
        <v>26908</v>
      </c>
      <c r="C2" s="543" t="s">
        <v>26909</v>
      </c>
      <c r="D2" s="542" t="s">
        <v>26910</v>
      </c>
      <c r="E2" s="542" t="s">
        <v>26911</v>
      </c>
      <c r="F2" s="542" t="s">
        <v>26912</v>
      </c>
      <c r="G2" s="542" t="s">
        <v>26913</v>
      </c>
      <c r="H2" s="544" t="s">
        <v>26914</v>
      </c>
      <c r="I2" s="545" t="s">
        <v>26915</v>
      </c>
      <c r="J2" s="546" t="s">
        <v>26916</v>
      </c>
      <c r="K2" s="545" t="s">
        <v>26917</v>
      </c>
      <c r="L2" s="546" t="s">
        <v>26918</v>
      </c>
      <c r="M2" s="547" t="s">
        <v>26919</v>
      </c>
    </row>
    <row r="3" spans="2:13" ht="15">
      <c r="B3" s="548">
        <v>1</v>
      </c>
      <c r="C3" s="549" t="s">
        <v>26920</v>
      </c>
      <c r="D3" s="548">
        <v>78</v>
      </c>
      <c r="E3" s="548">
        <v>85</v>
      </c>
      <c r="F3" s="548">
        <v>35</v>
      </c>
      <c r="G3" s="548">
        <v>65</v>
      </c>
      <c r="H3" s="550" t="e">
        <f>#N/A</f>
        <v>#N/A</v>
      </c>
      <c r="I3" s="551" t="e">
        <f>#N/A</f>
        <v>#N/A</v>
      </c>
      <c r="J3" s="552" t="e">
        <f>#N/A</f>
        <v>#N/A</v>
      </c>
      <c r="K3" s="551" t="e">
        <f>#N/A</f>
        <v>#N/A</v>
      </c>
      <c r="L3" s="552">
        <v>65</v>
      </c>
      <c r="M3" s="553" t="e">
        <f>#N/A</f>
        <v>#N/A</v>
      </c>
    </row>
    <row r="4" spans="2:13" ht="15">
      <c r="B4" s="542">
        <v>2</v>
      </c>
      <c r="C4" s="543" t="s">
        <v>26921</v>
      </c>
      <c r="D4" s="542">
        <v>53</v>
      </c>
      <c r="E4" s="542">
        <v>56</v>
      </c>
      <c r="F4" s="542">
        <v>65</v>
      </c>
      <c r="G4" s="542">
        <v>85</v>
      </c>
      <c r="H4" s="544" t="e">
        <f>#N/A</f>
        <v>#N/A</v>
      </c>
      <c r="I4" s="545" t="e">
        <f>#N/A</f>
        <v>#N/A</v>
      </c>
      <c r="J4" s="552" t="e">
        <f>#N/A</f>
        <v>#N/A</v>
      </c>
      <c r="K4" s="545" t="e">
        <f>#N/A</f>
        <v>#N/A</v>
      </c>
      <c r="L4" s="546">
        <v>65</v>
      </c>
      <c r="M4" s="547" t="e">
        <f>#N/A</f>
        <v>#N/A</v>
      </c>
    </row>
    <row r="5" spans="2:13" ht="15">
      <c r="B5" s="542">
        <v>3</v>
      </c>
      <c r="C5" s="543" t="s">
        <v>26922</v>
      </c>
      <c r="D5" s="542">
        <v>73</v>
      </c>
      <c r="E5" s="542">
        <v>54</v>
      </c>
      <c r="F5" s="542">
        <v>72</v>
      </c>
      <c r="G5" s="542">
        <v>84</v>
      </c>
      <c r="H5" s="544" t="e">
        <f>#N/A</f>
        <v>#N/A</v>
      </c>
      <c r="I5" s="545" t="e">
        <f>#N/A</f>
        <v>#N/A</v>
      </c>
      <c r="J5" s="552" t="e">
        <f>#N/A</f>
        <v>#N/A</v>
      </c>
      <c r="K5" s="545" t="e">
        <f>#N/A</f>
        <v>#N/A</v>
      </c>
      <c r="L5" s="546"/>
      <c r="M5" s="547" t="e">
        <f>#N/A</f>
        <v>#N/A</v>
      </c>
    </row>
    <row r="6" spans="2:13" ht="15">
      <c r="B6" s="542">
        <v>4</v>
      </c>
      <c r="C6" s="543" t="s">
        <v>26923</v>
      </c>
      <c r="D6" s="542">
        <v>84</v>
      </c>
      <c r="E6" s="542">
        <v>73</v>
      </c>
      <c r="F6" s="542">
        <v>75</v>
      </c>
      <c r="G6" s="542">
        <v>91</v>
      </c>
      <c r="H6" s="544" t="e">
        <f>#N/A</f>
        <v>#N/A</v>
      </c>
      <c r="I6" s="545" t="e">
        <f>#N/A</f>
        <v>#N/A</v>
      </c>
      <c r="J6" s="552" t="e">
        <f>#N/A</f>
        <v>#N/A</v>
      </c>
      <c r="K6" s="545" t="e">
        <f>#N/A</f>
        <v>#N/A</v>
      </c>
      <c r="L6" s="546"/>
      <c r="M6" s="547" t="e">
        <f>#N/A</f>
        <v>#N/A</v>
      </c>
    </row>
    <row r="7" spans="2:13" ht="15">
      <c r="B7" s="542">
        <v>5</v>
      </c>
      <c r="C7" s="543" t="s">
        <v>26924</v>
      </c>
      <c r="D7" s="542">
        <v>54</v>
      </c>
      <c r="E7" s="542">
        <v>64</v>
      </c>
      <c r="F7" s="542">
        <v>61</v>
      </c>
      <c r="G7" s="542">
        <v>75</v>
      </c>
      <c r="H7" s="544" t="e">
        <f>#N/A</f>
        <v>#N/A</v>
      </c>
      <c r="I7" s="545" t="e">
        <f>#N/A</f>
        <v>#N/A</v>
      </c>
      <c r="J7" s="552" t="e">
        <f>#N/A</f>
        <v>#N/A</v>
      </c>
      <c r="K7" s="545" t="e">
        <f>#N/A</f>
        <v>#N/A</v>
      </c>
      <c r="L7" s="546">
        <v>50</v>
      </c>
      <c r="M7" s="547" t="e">
        <f>#N/A</f>
        <v>#N/A</v>
      </c>
    </row>
    <row r="8" spans="2:13" ht="15">
      <c r="B8" s="542">
        <v>6</v>
      </c>
      <c r="C8" s="543" t="s">
        <v>26925</v>
      </c>
      <c r="D8" s="542">
        <v>48</v>
      </c>
      <c r="E8" s="542">
        <v>40</v>
      </c>
      <c r="F8" s="542">
        <v>34</v>
      </c>
      <c r="G8" s="542">
        <v>75</v>
      </c>
      <c r="H8" s="544" t="e">
        <f>#N/A</f>
        <v>#N/A</v>
      </c>
      <c r="I8" s="545" t="e">
        <f>#N/A</f>
        <v>#N/A</v>
      </c>
      <c r="J8" s="552" t="e">
        <f>#N/A</f>
        <v>#N/A</v>
      </c>
      <c r="K8" s="545" t="e">
        <f>#N/A</f>
        <v>#N/A</v>
      </c>
      <c r="L8" s="546">
        <v>20</v>
      </c>
      <c r="M8" s="547" t="e">
        <f>#N/A</f>
        <v>#N/A</v>
      </c>
    </row>
    <row r="9" spans="2:13" ht="15">
      <c r="B9" s="542">
        <v>7</v>
      </c>
      <c r="C9" s="543" t="s">
        <v>26926</v>
      </c>
      <c r="D9" s="542">
        <v>46</v>
      </c>
      <c r="E9" s="542">
        <v>62</v>
      </c>
      <c r="F9" s="542">
        <v>38</v>
      </c>
      <c r="G9" s="542">
        <v>34</v>
      </c>
      <c r="H9" s="544" t="e">
        <f>#N/A</f>
        <v>#N/A</v>
      </c>
      <c r="I9" s="545" t="e">
        <f>#N/A</f>
        <v>#N/A</v>
      </c>
      <c r="J9" s="552" t="e">
        <f>#N/A</f>
        <v>#N/A</v>
      </c>
      <c r="K9" s="545" t="e">
        <f>#N/A</f>
        <v>#N/A</v>
      </c>
      <c r="L9" s="546">
        <v>25</v>
      </c>
      <c r="M9" s="547" t="e">
        <f>#N/A</f>
        <v>#N/A</v>
      </c>
    </row>
    <row r="10" spans="2:13" ht="15">
      <c r="B10" s="542">
        <v>8</v>
      </c>
      <c r="C10" s="543" t="s">
        <v>26927</v>
      </c>
      <c r="D10" s="542">
        <v>83</v>
      </c>
      <c r="E10" s="542">
        <v>70</v>
      </c>
      <c r="F10" s="542">
        <v>65</v>
      </c>
      <c r="G10" s="542">
        <v>67</v>
      </c>
      <c r="H10" s="544" t="e">
        <f>#N/A</f>
        <v>#N/A</v>
      </c>
      <c r="I10" s="545" t="e">
        <f>#N/A</f>
        <v>#N/A</v>
      </c>
      <c r="J10" s="552" t="e">
        <f>#N/A</f>
        <v>#N/A</v>
      </c>
      <c r="K10" s="545" t="e">
        <f>#N/A</f>
        <v>#N/A</v>
      </c>
      <c r="L10" s="546"/>
      <c r="M10" s="547" t="e">
        <f>#N/A</f>
        <v>#N/A</v>
      </c>
    </row>
    <row r="11" spans="2:13" ht="15">
      <c r="B11" s="542">
        <v>9</v>
      </c>
      <c r="C11" s="543" t="s">
        <v>26928</v>
      </c>
      <c r="D11" s="542">
        <v>50</v>
      </c>
      <c r="E11" s="542">
        <v>50</v>
      </c>
      <c r="F11" s="542">
        <v>75</v>
      </c>
      <c r="G11" s="542">
        <v>65</v>
      </c>
      <c r="H11" s="544" t="e">
        <f>#N/A</f>
        <v>#N/A</v>
      </c>
      <c r="I11" s="545" t="e">
        <f>#N/A</f>
        <v>#N/A</v>
      </c>
      <c r="J11" s="552" t="e">
        <f>#N/A</f>
        <v>#N/A</v>
      </c>
      <c r="K11" s="545" t="e">
        <f>#N/A</f>
        <v>#N/A</v>
      </c>
      <c r="L11" s="546">
        <v>55</v>
      </c>
      <c r="M11" s="547" t="e">
        <f>#N/A</f>
        <v>#N/A</v>
      </c>
    </row>
    <row r="12" spans="2:13" ht="15">
      <c r="B12" s="542">
        <v>10</v>
      </c>
      <c r="C12" s="543" t="s">
        <v>26929</v>
      </c>
      <c r="D12" s="542">
        <v>90</v>
      </c>
      <c r="E12" s="542">
        <v>57</v>
      </c>
      <c r="F12" s="542">
        <v>70</v>
      </c>
      <c r="G12" s="542">
        <v>63</v>
      </c>
      <c r="H12" s="544" t="e">
        <f>#N/A</f>
        <v>#N/A</v>
      </c>
      <c r="I12" s="545" t="e">
        <f>#N/A</f>
        <v>#N/A</v>
      </c>
      <c r="J12" s="552" t="e">
        <f>#N/A</f>
        <v>#N/A</v>
      </c>
      <c r="K12" s="545" t="e">
        <f>#N/A</f>
        <v>#N/A</v>
      </c>
      <c r="L12" s="546"/>
      <c r="M12" s="547" t="e">
        <f>#N/A</f>
        <v>#N/A</v>
      </c>
    </row>
    <row r="13" spans="2:13" ht="15">
      <c r="B13" s="542">
        <v>11</v>
      </c>
      <c r="C13" s="543" t="s">
        <v>26930</v>
      </c>
      <c r="D13" s="542">
        <v>83</v>
      </c>
      <c r="E13" s="542">
        <v>79</v>
      </c>
      <c r="F13" s="542">
        <v>100</v>
      </c>
      <c r="G13" s="542">
        <v>60</v>
      </c>
      <c r="H13" s="544" t="e">
        <f>#N/A</f>
        <v>#N/A</v>
      </c>
      <c r="I13" s="545" t="e">
        <f>#N/A</f>
        <v>#N/A</v>
      </c>
      <c r="J13" s="552" t="e">
        <f>#N/A</f>
        <v>#N/A</v>
      </c>
      <c r="K13" s="545" t="e">
        <f>#N/A</f>
        <v>#N/A</v>
      </c>
      <c r="L13" s="546"/>
      <c r="M13" s="547" t="e">
        <f>#N/A</f>
        <v>#N/A</v>
      </c>
    </row>
    <row r="14" spans="2:13" ht="14.25">
      <c r="M14" s="554"/>
    </row>
    <row r="15" spans="2:13" ht="15">
      <c r="B15" s="542" t="s">
        <v>26908</v>
      </c>
      <c r="C15" s="543" t="s">
        <v>26931</v>
      </c>
      <c r="D15" s="542" t="s">
        <v>26910</v>
      </c>
      <c r="E15" s="542" t="s">
        <v>26911</v>
      </c>
      <c r="F15" s="542" t="s">
        <v>26912</v>
      </c>
      <c r="G15" s="542" t="s">
        <v>26913</v>
      </c>
      <c r="H15" s="544" t="s">
        <v>26914</v>
      </c>
      <c r="I15" s="545" t="s">
        <v>26915</v>
      </c>
      <c r="J15" s="546" t="s">
        <v>26916</v>
      </c>
      <c r="K15" s="545" t="s">
        <v>26917</v>
      </c>
      <c r="L15" s="546" t="s">
        <v>26918</v>
      </c>
      <c r="M15" s="547" t="s">
        <v>26919</v>
      </c>
    </row>
    <row r="16" spans="2:13" ht="15">
      <c r="B16" s="548">
        <v>1</v>
      </c>
      <c r="C16" s="549" t="s">
        <v>26932</v>
      </c>
      <c r="D16" s="542">
        <v>70</v>
      </c>
      <c r="E16" s="542">
        <v>70</v>
      </c>
      <c r="F16" s="542">
        <v>75</v>
      </c>
      <c r="G16" s="542">
        <v>75</v>
      </c>
      <c r="H16" s="544" t="e">
        <f>#N/A</f>
        <v>#N/A</v>
      </c>
      <c r="I16" s="545" t="e">
        <f>#N/A</f>
        <v>#N/A</v>
      </c>
      <c r="J16" s="546" t="e">
        <f>#N/A</f>
        <v>#N/A</v>
      </c>
      <c r="K16" s="545" t="e">
        <f>#N/A</f>
        <v>#N/A</v>
      </c>
      <c r="L16" s="546"/>
      <c r="M16" s="547" t="e">
        <f>#N/A</f>
        <v>#N/A</v>
      </c>
    </row>
    <row r="17" spans="2:13" ht="15">
      <c r="B17" s="542">
        <v>2</v>
      </c>
      <c r="C17" s="543" t="s">
        <v>26933</v>
      </c>
      <c r="D17" s="542">
        <v>91</v>
      </c>
      <c r="E17" s="542">
        <v>51</v>
      </c>
      <c r="F17" s="542">
        <v>68</v>
      </c>
      <c r="G17" s="542">
        <v>70</v>
      </c>
      <c r="H17" s="544" t="e">
        <f>#N/A</f>
        <v>#N/A</v>
      </c>
      <c r="I17" s="545" t="e">
        <f>#N/A</f>
        <v>#N/A</v>
      </c>
      <c r="J17" s="552" t="e">
        <f>#N/A</f>
        <v>#N/A</v>
      </c>
      <c r="K17" s="545" t="e">
        <f>#N/A</f>
        <v>#N/A</v>
      </c>
      <c r="L17" s="546"/>
      <c r="M17" s="547" t="e">
        <f>#N/A</f>
        <v>#N/A</v>
      </c>
    </row>
    <row r="18" spans="2:13" ht="15">
      <c r="B18" s="542">
        <v>3</v>
      </c>
      <c r="C18" s="543" t="s">
        <v>26934</v>
      </c>
      <c r="D18" s="542">
        <v>62</v>
      </c>
      <c r="E18" s="542">
        <v>16</v>
      </c>
      <c r="F18" s="542">
        <v>23</v>
      </c>
      <c r="G18" s="542">
        <v>30</v>
      </c>
      <c r="H18" s="544" t="e">
        <f>#N/A</f>
        <v>#N/A</v>
      </c>
      <c r="I18" s="545" t="e">
        <f>#N/A</f>
        <v>#N/A</v>
      </c>
      <c r="J18" s="552" t="e">
        <f>#N/A</f>
        <v>#N/A</v>
      </c>
      <c r="K18" s="545" t="e">
        <f>#N/A</f>
        <v>#N/A</v>
      </c>
      <c r="L18" s="546"/>
      <c r="M18" s="547" t="e">
        <f>#N/A</f>
        <v>#N/A</v>
      </c>
    </row>
    <row r="19" spans="2:13" ht="15">
      <c r="B19" s="542">
        <v>4</v>
      </c>
      <c r="C19" s="543" t="s">
        <v>26935</v>
      </c>
      <c r="D19" s="542">
        <v>43</v>
      </c>
      <c r="E19" s="542">
        <v>24</v>
      </c>
      <c r="F19" s="542">
        <v>67</v>
      </c>
      <c r="G19" s="542">
        <v>61</v>
      </c>
      <c r="H19" s="544" t="e">
        <f>#N/A</f>
        <v>#N/A</v>
      </c>
      <c r="I19" s="545" t="e">
        <f>#N/A</f>
        <v>#N/A</v>
      </c>
      <c r="J19" s="552" t="e">
        <f>#N/A</f>
        <v>#N/A</v>
      </c>
      <c r="K19" s="545" t="e">
        <f>#N/A</f>
        <v>#N/A</v>
      </c>
      <c r="L19" s="546"/>
      <c r="M19" s="547" t="e">
        <f>#N/A</f>
        <v>#N/A</v>
      </c>
    </row>
    <row r="20" spans="2:13" ht="15">
      <c r="B20" s="542">
        <v>5</v>
      </c>
      <c r="C20" s="543" t="s">
        <v>26936</v>
      </c>
      <c r="D20" s="542">
        <v>80</v>
      </c>
      <c r="E20" s="542">
        <v>90</v>
      </c>
      <c r="F20" s="542">
        <v>90</v>
      </c>
      <c r="G20" s="542">
        <v>100</v>
      </c>
      <c r="H20" s="544" t="e">
        <f>#N/A</f>
        <v>#N/A</v>
      </c>
      <c r="I20" s="545" t="e">
        <f>#N/A</f>
        <v>#N/A</v>
      </c>
      <c r="J20" s="552" t="e">
        <f>#N/A</f>
        <v>#N/A</v>
      </c>
      <c r="K20" s="545" t="e">
        <f>#N/A</f>
        <v>#N/A</v>
      </c>
      <c r="L20" s="546"/>
      <c r="M20" s="547" t="e">
        <f>#N/A</f>
        <v>#N/A</v>
      </c>
    </row>
    <row r="21" spans="2:13" ht="15">
      <c r="B21" s="542">
        <v>6</v>
      </c>
      <c r="C21" s="543" t="s">
        <v>26937</v>
      </c>
      <c r="D21" s="542">
        <v>67</v>
      </c>
      <c r="E21" s="542">
        <v>48</v>
      </c>
      <c r="F21" s="542">
        <v>75</v>
      </c>
      <c r="G21" s="542">
        <v>35</v>
      </c>
      <c r="H21" s="544" t="e">
        <f>#N/A</f>
        <v>#N/A</v>
      </c>
      <c r="I21" s="545" t="e">
        <f>#N/A</f>
        <v>#N/A</v>
      </c>
      <c r="J21" s="552" t="e">
        <f>#N/A</f>
        <v>#N/A</v>
      </c>
      <c r="K21" s="545" t="e">
        <f>#N/A</f>
        <v>#N/A</v>
      </c>
      <c r="L21" s="546"/>
      <c r="M21" s="547" t="e">
        <f>#N/A</f>
        <v>#N/A</v>
      </c>
    </row>
    <row r="22" spans="2:13" ht="15">
      <c r="B22" s="542">
        <v>7</v>
      </c>
      <c r="C22" s="543" t="s">
        <v>26938</v>
      </c>
      <c r="D22" s="542">
        <v>68</v>
      </c>
      <c r="E22" s="542">
        <v>60</v>
      </c>
      <c r="F22" s="542">
        <v>85</v>
      </c>
      <c r="G22" s="542">
        <v>50</v>
      </c>
      <c r="H22" s="544" t="e">
        <f>#N/A</f>
        <v>#N/A</v>
      </c>
      <c r="I22" s="545" t="e">
        <f>#N/A</f>
        <v>#N/A</v>
      </c>
      <c r="J22" s="552" t="e">
        <f>#N/A</f>
        <v>#N/A</v>
      </c>
      <c r="K22" s="545" t="e">
        <f>#N/A</f>
        <v>#N/A</v>
      </c>
      <c r="L22" s="546"/>
      <c r="M22" s="547" t="e">
        <f>#N/A</f>
        <v>#N/A</v>
      </c>
    </row>
    <row r="23" spans="2:13" ht="15">
      <c r="B23" s="542">
        <v>8</v>
      </c>
      <c r="C23" s="543" t="s">
        <v>26939</v>
      </c>
      <c r="D23" s="542">
        <v>85</v>
      </c>
      <c r="E23" s="542">
        <v>75</v>
      </c>
      <c r="F23" s="542">
        <v>85</v>
      </c>
      <c r="G23" s="542">
        <v>75</v>
      </c>
      <c r="H23" s="544" t="e">
        <f>#N/A</f>
        <v>#N/A</v>
      </c>
      <c r="I23" s="545" t="e">
        <f>#N/A</f>
        <v>#N/A</v>
      </c>
      <c r="J23" s="552" t="e">
        <f>#N/A</f>
        <v>#N/A</v>
      </c>
      <c r="K23" s="545" t="e">
        <f>#N/A</f>
        <v>#N/A</v>
      </c>
      <c r="L23" s="546"/>
      <c r="M23" s="547" t="e">
        <f>#N/A</f>
        <v>#N/A</v>
      </c>
    </row>
    <row r="24" spans="2:13" ht="15">
      <c r="B24" s="542">
        <v>9</v>
      </c>
      <c r="C24" s="543" t="s">
        <v>26940</v>
      </c>
      <c r="D24" s="542">
        <v>83</v>
      </c>
      <c r="E24" s="542">
        <v>85</v>
      </c>
      <c r="F24" s="542">
        <v>92</v>
      </c>
      <c r="G24" s="542">
        <v>70</v>
      </c>
      <c r="H24" s="544" t="e">
        <f>#N/A</f>
        <v>#N/A</v>
      </c>
      <c r="I24" s="545" t="e">
        <f>#N/A</f>
        <v>#N/A</v>
      </c>
      <c r="J24" s="552" t="e">
        <f>#N/A</f>
        <v>#N/A</v>
      </c>
      <c r="K24" s="545" t="e">
        <f>#N/A</f>
        <v>#N/A</v>
      </c>
      <c r="L24" s="546"/>
      <c r="M24" s="547" t="e">
        <f>#N/A</f>
        <v>#N/A</v>
      </c>
    </row>
    <row r="25" spans="2:13" s="555" customFormat="1">
      <c r="B25" s="542">
        <v>10</v>
      </c>
      <c r="C25" s="543" t="s">
        <v>26941</v>
      </c>
      <c r="D25" s="542">
        <v>38</v>
      </c>
      <c r="E25" s="542">
        <v>15</v>
      </c>
      <c r="F25" s="542">
        <v>70</v>
      </c>
      <c r="G25" s="542">
        <v>70</v>
      </c>
      <c r="H25" s="544" t="e">
        <f>#N/A</f>
        <v>#N/A</v>
      </c>
      <c r="I25" s="545" t="e">
        <f>#N/A</f>
        <v>#N/A</v>
      </c>
      <c r="J25" s="552" t="e">
        <f>#N/A</f>
        <v>#N/A</v>
      </c>
      <c r="K25" s="545" t="e">
        <f>#N/A</f>
        <v>#N/A</v>
      </c>
      <c r="L25" s="546">
        <v>60</v>
      </c>
      <c r="M25" s="556" t="e">
        <f>#N/A</f>
        <v>#N/A</v>
      </c>
    </row>
    <row r="26" spans="2:13" ht="15">
      <c r="B26" s="542">
        <v>11</v>
      </c>
      <c r="C26" s="543" t="s">
        <v>26942</v>
      </c>
      <c r="D26" s="542">
        <v>60</v>
      </c>
      <c r="E26" s="542">
        <v>86</v>
      </c>
      <c r="F26" s="542">
        <v>64</v>
      </c>
      <c r="G26" s="542">
        <v>75</v>
      </c>
      <c r="H26" s="544" t="e">
        <f>#N/A</f>
        <v>#N/A</v>
      </c>
      <c r="I26" s="545" t="e">
        <f>#N/A</f>
        <v>#N/A</v>
      </c>
      <c r="J26" s="552" t="e">
        <f>#N/A</f>
        <v>#N/A</v>
      </c>
      <c r="K26" s="545" t="e">
        <f>#N/A</f>
        <v>#N/A</v>
      </c>
      <c r="L26" s="546"/>
      <c r="M26" s="547" t="e">
        <f>#N/A</f>
        <v>#N/A</v>
      </c>
    </row>
    <row r="27" spans="2:13" ht="15">
      <c r="B27" s="542">
        <v>12</v>
      </c>
      <c r="C27" s="543" t="s">
        <v>26943</v>
      </c>
      <c r="D27" s="542">
        <v>69</v>
      </c>
      <c r="E27" s="542">
        <v>68</v>
      </c>
      <c r="F27" s="542">
        <v>65</v>
      </c>
      <c r="G27" s="542">
        <v>85</v>
      </c>
      <c r="H27" s="544" t="e">
        <f>#N/A</f>
        <v>#N/A</v>
      </c>
      <c r="I27" s="545" t="e">
        <f>#N/A</f>
        <v>#N/A</v>
      </c>
      <c r="J27" s="552" t="e">
        <f>#N/A</f>
        <v>#N/A</v>
      </c>
      <c r="K27" s="545" t="e">
        <f>#N/A</f>
        <v>#N/A</v>
      </c>
      <c r="L27" s="546"/>
      <c r="M27" s="547" t="e">
        <f>#N/A</f>
        <v>#N/A</v>
      </c>
    </row>
    <row r="29" spans="2:13" ht="15">
      <c r="B29" s="557" t="s">
        <v>26908</v>
      </c>
      <c r="C29" s="557" t="s">
        <v>26944</v>
      </c>
      <c r="D29" s="557" t="s">
        <v>26910</v>
      </c>
      <c r="E29" s="557" t="s">
        <v>26911</v>
      </c>
      <c r="F29" s="557" t="s">
        <v>26912</v>
      </c>
      <c r="G29" s="557" t="s">
        <v>26913</v>
      </c>
      <c r="H29" s="558" t="s">
        <v>26914</v>
      </c>
      <c r="I29" s="559" t="s">
        <v>26915</v>
      </c>
      <c r="J29" s="560" t="s">
        <v>26916</v>
      </c>
      <c r="K29" s="559" t="s">
        <v>26917</v>
      </c>
      <c r="L29" s="560" t="s">
        <v>26918</v>
      </c>
      <c r="M29" s="561" t="s">
        <v>26919</v>
      </c>
    </row>
    <row r="30" spans="2:13" ht="15">
      <c r="B30" s="542">
        <v>1</v>
      </c>
      <c r="C30" s="542" t="s">
        <v>26945</v>
      </c>
      <c r="D30" s="542">
        <v>70</v>
      </c>
      <c r="E30" s="542">
        <v>67</v>
      </c>
      <c r="F30" s="542">
        <v>0</v>
      </c>
      <c r="G30" s="542">
        <v>0</v>
      </c>
      <c r="H30" s="546" t="e">
        <f>#N/A</f>
        <v>#N/A</v>
      </c>
      <c r="I30" s="545" t="e">
        <f>140-H30</f>
        <v>#N/A</v>
      </c>
      <c r="J30" s="546" t="e">
        <f>ROUND(H30/2,0)</f>
        <v>#N/A</v>
      </c>
      <c r="K30" s="545" t="e">
        <f>#N/A</f>
        <v>#N/A</v>
      </c>
      <c r="L30" s="546">
        <v>72</v>
      </c>
      <c r="M30" s="547" t="e">
        <f>#N/A</f>
        <v>#N/A</v>
      </c>
    </row>
    <row r="31" spans="2:13" ht="15">
      <c r="B31" s="542">
        <v>2</v>
      </c>
      <c r="C31" s="542" t="s">
        <v>26946</v>
      </c>
      <c r="D31" s="542"/>
      <c r="E31" s="542"/>
      <c r="F31" s="542"/>
      <c r="G31" s="542"/>
      <c r="H31" s="546" t="e">
        <f>#N/A</f>
        <v>#N/A</v>
      </c>
      <c r="I31" s="545" t="e">
        <f>280-H31</f>
        <v>#N/A</v>
      </c>
      <c r="J31" s="546" t="e">
        <f>ROUND(H31/4,0)</f>
        <v>#N/A</v>
      </c>
      <c r="K31" s="545" t="e">
        <f>#N/A</f>
        <v>#N/A</v>
      </c>
      <c r="L31" s="546"/>
      <c r="M31" s="547" t="e">
        <f>#N/A</f>
        <v>#N/A</v>
      </c>
    </row>
    <row r="32" spans="2:13" ht="15">
      <c r="B32" s="542">
        <v>3</v>
      </c>
      <c r="C32" s="542" t="s">
        <v>26947</v>
      </c>
      <c r="D32" s="542">
        <v>65</v>
      </c>
      <c r="E32" s="542">
        <v>70</v>
      </c>
      <c r="F32" s="542">
        <v>70</v>
      </c>
      <c r="G32" s="542">
        <v>75</v>
      </c>
      <c r="H32" s="546" t="e">
        <f>#N/A</f>
        <v>#N/A</v>
      </c>
      <c r="I32" s="545" t="e">
        <f>280-H32</f>
        <v>#N/A</v>
      </c>
      <c r="J32" s="546" t="e">
        <f>ROUND(H32/4,0)</f>
        <v>#N/A</v>
      </c>
      <c r="K32" s="545" t="e">
        <f>#N/A</f>
        <v>#N/A</v>
      </c>
      <c r="L32" s="546"/>
      <c r="M32" s="547" t="e">
        <f>#N/A</f>
        <v>#N/A</v>
      </c>
    </row>
    <row r="33" spans="2:13" ht="15">
      <c r="B33" s="542">
        <v>4</v>
      </c>
      <c r="C33" s="542" t="s">
        <v>26948</v>
      </c>
      <c r="D33" s="542">
        <v>80</v>
      </c>
      <c r="E33" s="542">
        <v>80</v>
      </c>
      <c r="F33" s="542">
        <v>71</v>
      </c>
      <c r="G33" s="542">
        <v>71</v>
      </c>
      <c r="H33" s="546" t="e">
        <f>#N/A</f>
        <v>#N/A</v>
      </c>
      <c r="I33" s="545" t="e">
        <f>280-H33</f>
        <v>#N/A</v>
      </c>
      <c r="J33" s="546" t="e">
        <f>ROUND(H33/4,0)</f>
        <v>#N/A</v>
      </c>
      <c r="K33" s="545" t="e">
        <f>#N/A</f>
        <v>#N/A</v>
      </c>
      <c r="L33" s="546"/>
      <c r="M33" s="547" t="e">
        <f>#N/A</f>
        <v>#N/A</v>
      </c>
    </row>
    <row r="34" spans="2:13" ht="15">
      <c r="B34" s="542">
        <v>5</v>
      </c>
      <c r="C34" s="542" t="s">
        <v>26949</v>
      </c>
      <c r="D34" s="542">
        <v>95</v>
      </c>
      <c r="E34" s="542">
        <v>95</v>
      </c>
      <c r="F34" s="542">
        <v>0</v>
      </c>
      <c r="G34" s="542">
        <v>0</v>
      </c>
      <c r="H34" s="546" t="e">
        <f>#N/A</f>
        <v>#N/A</v>
      </c>
      <c r="I34" s="545" t="e">
        <f>140-H34</f>
        <v>#N/A</v>
      </c>
      <c r="J34" s="546" t="e">
        <f>ROUND(H34/2,0)</f>
        <v>#N/A</v>
      </c>
      <c r="K34" s="545" t="e">
        <f>#N/A</f>
        <v>#N/A</v>
      </c>
      <c r="L34" s="546"/>
      <c r="M34" s="547" t="e">
        <f>#N/A</f>
        <v>#N/A</v>
      </c>
    </row>
    <row r="35" spans="2:13" ht="15">
      <c r="B35" s="542">
        <v>6</v>
      </c>
      <c r="C35" s="542" t="s">
        <v>26950</v>
      </c>
      <c r="D35" s="542">
        <v>81</v>
      </c>
      <c r="E35" s="542">
        <v>81</v>
      </c>
      <c r="F35" s="542">
        <v>0</v>
      </c>
      <c r="G35" s="542">
        <v>0</v>
      </c>
      <c r="H35" s="546" t="e">
        <f>#N/A</f>
        <v>#N/A</v>
      </c>
      <c r="I35" s="545" t="e">
        <f>140-H35</f>
        <v>#N/A</v>
      </c>
      <c r="J35" s="546" t="e">
        <f>ROUND(H35/2,0)</f>
        <v>#N/A</v>
      </c>
      <c r="K35" s="545" t="e">
        <f>#N/A</f>
        <v>#N/A</v>
      </c>
      <c r="L35" s="546"/>
      <c r="M35" s="547" t="e">
        <f>#N/A</f>
        <v>#N/A</v>
      </c>
    </row>
    <row r="36" spans="2:13" ht="15">
      <c r="B36" s="542">
        <v>7</v>
      </c>
      <c r="C36" s="542" t="s">
        <v>26951</v>
      </c>
      <c r="D36" s="542">
        <v>80</v>
      </c>
      <c r="E36" s="542">
        <v>80</v>
      </c>
      <c r="F36" s="542">
        <v>0</v>
      </c>
      <c r="G36" s="542">
        <v>0</v>
      </c>
      <c r="H36" s="546" t="e">
        <f>#N/A</f>
        <v>#N/A</v>
      </c>
      <c r="I36" s="545" t="e">
        <f>140-H36</f>
        <v>#N/A</v>
      </c>
      <c r="J36" s="546" t="e">
        <f>ROUND(H36/2,0)</f>
        <v>#N/A</v>
      </c>
      <c r="K36" s="545" t="e">
        <f>#N/A</f>
        <v>#N/A</v>
      </c>
      <c r="L36" s="546"/>
      <c r="M36" s="547" t="e">
        <f>#N/A</f>
        <v>#N/A</v>
      </c>
    </row>
    <row r="37" spans="2:13" ht="15">
      <c r="B37" s="542">
        <v>8</v>
      </c>
      <c r="C37" s="542" t="s">
        <v>26952</v>
      </c>
      <c r="D37" s="542">
        <v>67</v>
      </c>
      <c r="E37" s="542">
        <v>41</v>
      </c>
      <c r="F37" s="542">
        <v>0</v>
      </c>
      <c r="G37" s="542">
        <v>0</v>
      </c>
      <c r="H37" s="546" t="e">
        <f>#N/A</f>
        <v>#N/A</v>
      </c>
      <c r="I37" s="545" t="e">
        <f>140-H37</f>
        <v>#N/A</v>
      </c>
      <c r="J37" s="546" t="e">
        <f>ROUND(H37/2,0)</f>
        <v>#N/A</v>
      </c>
      <c r="K37" s="545" t="e">
        <f>#N/A</f>
        <v>#N/A</v>
      </c>
      <c r="L37" s="546">
        <v>77</v>
      </c>
      <c r="M37" s="547" t="e">
        <f>#N/A</f>
        <v>#N/A</v>
      </c>
    </row>
    <row r="38" spans="2:13" ht="15">
      <c r="B38" s="542">
        <v>9</v>
      </c>
      <c r="C38" s="542" t="s">
        <v>26953</v>
      </c>
      <c r="D38" s="542">
        <v>80</v>
      </c>
      <c r="E38" s="542">
        <v>80</v>
      </c>
      <c r="F38" s="542">
        <v>80</v>
      </c>
      <c r="G38" s="542">
        <v>80</v>
      </c>
      <c r="H38" s="546" t="e">
        <f>#N/A</f>
        <v>#N/A</v>
      </c>
      <c r="I38" s="545" t="e">
        <f>280-H38</f>
        <v>#N/A</v>
      </c>
      <c r="J38" s="546" t="e">
        <f>ROUND(H38/4,0)</f>
        <v>#N/A</v>
      </c>
      <c r="K38" s="545" t="e">
        <f>#N/A</f>
        <v>#N/A</v>
      </c>
      <c r="L38" s="546"/>
      <c r="M38" s="547" t="e">
        <f>#N/A</f>
        <v>#N/A</v>
      </c>
    </row>
    <row r="39" spans="2:13" ht="15">
      <c r="B39" s="542">
        <v>10</v>
      </c>
      <c r="C39" s="542" t="s">
        <v>26954</v>
      </c>
      <c r="D39" s="542">
        <v>80</v>
      </c>
      <c r="E39" s="542">
        <v>80</v>
      </c>
      <c r="F39" s="542">
        <v>0</v>
      </c>
      <c r="G39" s="542">
        <v>0</v>
      </c>
      <c r="H39" s="546" t="e">
        <f>#N/A</f>
        <v>#N/A</v>
      </c>
      <c r="I39" s="545" t="e">
        <f>140-H39</f>
        <v>#N/A</v>
      </c>
      <c r="J39" s="546" t="e">
        <f>ROUND(H39/2,0)</f>
        <v>#N/A</v>
      </c>
      <c r="K39" s="545" t="e">
        <f>#N/A</f>
        <v>#N/A</v>
      </c>
      <c r="L39" s="546"/>
      <c r="M39" s="547" t="e">
        <f>#N/A</f>
        <v>#N/A</v>
      </c>
    </row>
    <row r="40" spans="2:13" ht="15">
      <c r="B40" s="542">
        <v>11</v>
      </c>
      <c r="C40" s="542" t="s">
        <v>26955</v>
      </c>
      <c r="D40" s="542"/>
      <c r="E40" s="542"/>
      <c r="F40" s="542"/>
      <c r="G40" s="542"/>
      <c r="H40" s="546" t="e">
        <f>#N/A</f>
        <v>#N/A</v>
      </c>
      <c r="I40" s="545" t="e">
        <f>280-H40</f>
        <v>#N/A</v>
      </c>
      <c r="J40" s="546" t="e">
        <f>ROUND(H40/4,0)</f>
        <v>#N/A</v>
      </c>
      <c r="K40" s="545" t="e">
        <f>#N/A</f>
        <v>#N/A</v>
      </c>
      <c r="L40" s="546"/>
      <c r="M40" s="547" t="e">
        <f>#N/A</f>
        <v>#N/A</v>
      </c>
    </row>
    <row r="41" spans="2:13" ht="15">
      <c r="B41" s="542">
        <v>12</v>
      </c>
      <c r="C41" s="542" t="s">
        <v>26956</v>
      </c>
      <c r="D41" s="542">
        <v>78</v>
      </c>
      <c r="E41" s="542">
        <v>78</v>
      </c>
      <c r="F41" s="542">
        <v>0</v>
      </c>
      <c r="G41" s="542">
        <v>0</v>
      </c>
      <c r="H41" s="546" t="e">
        <f>#N/A</f>
        <v>#N/A</v>
      </c>
      <c r="I41" s="545" t="e">
        <f>140-H41</f>
        <v>#N/A</v>
      </c>
      <c r="J41" s="546" t="e">
        <f>ROUND(H41/2,0)</f>
        <v>#N/A</v>
      </c>
      <c r="K41" s="545" t="e">
        <f>#N/A</f>
        <v>#N/A</v>
      </c>
      <c r="L41" s="546"/>
      <c r="M41" s="547" t="e">
        <f>#N/A</f>
        <v>#N/A</v>
      </c>
    </row>
    <row r="42" spans="2:13" ht="15">
      <c r="B42" s="542">
        <v>13</v>
      </c>
      <c r="C42" s="542" t="s">
        <v>26957</v>
      </c>
      <c r="D42" s="542">
        <v>65</v>
      </c>
      <c r="E42" s="542">
        <v>70</v>
      </c>
      <c r="F42" s="542">
        <v>75</v>
      </c>
      <c r="G42" s="542">
        <v>70</v>
      </c>
      <c r="H42" s="546" t="e">
        <f>#N/A</f>
        <v>#N/A</v>
      </c>
      <c r="I42" s="545" t="e">
        <f>280-H42</f>
        <v>#N/A</v>
      </c>
      <c r="J42" s="546" t="e">
        <f>ROUND(H42/4,0)</f>
        <v>#N/A</v>
      </c>
      <c r="K42" s="545" t="e">
        <f>#N/A</f>
        <v>#N/A</v>
      </c>
      <c r="L42" s="546"/>
      <c r="M42" s="547" t="e">
        <f>#N/A</f>
        <v>#N/A</v>
      </c>
    </row>
    <row r="43" spans="2:13" ht="15">
      <c r="B43" s="542">
        <v>14</v>
      </c>
      <c r="C43" s="542" t="s">
        <v>26958</v>
      </c>
      <c r="D43" s="542">
        <v>80</v>
      </c>
      <c r="E43" s="542">
        <v>70</v>
      </c>
      <c r="F43" s="542">
        <v>0</v>
      </c>
      <c r="G43" s="542">
        <v>0</v>
      </c>
      <c r="H43" s="546" t="e">
        <f>#N/A</f>
        <v>#N/A</v>
      </c>
      <c r="I43" s="545" t="e">
        <f>140-H43</f>
        <v>#N/A</v>
      </c>
      <c r="J43" s="546" t="e">
        <f>ROUND(H43/2,0)</f>
        <v>#N/A</v>
      </c>
      <c r="K43" s="545" t="e">
        <f>#N/A</f>
        <v>#N/A</v>
      </c>
      <c r="L43" s="546"/>
      <c r="M43" s="547" t="e">
        <f>#N/A</f>
        <v>#N/A</v>
      </c>
    </row>
    <row r="44" spans="2:13" ht="15">
      <c r="B44" s="542">
        <v>15</v>
      </c>
      <c r="C44" s="542" t="s">
        <v>26959</v>
      </c>
      <c r="D44" s="542">
        <v>58</v>
      </c>
      <c r="E44" s="542">
        <v>68</v>
      </c>
      <c r="F44" s="542">
        <v>0</v>
      </c>
      <c r="G44" s="542">
        <v>0</v>
      </c>
      <c r="H44" s="546" t="e">
        <f>#N/A</f>
        <v>#N/A</v>
      </c>
      <c r="I44" s="545" t="e">
        <f>140-H44</f>
        <v>#N/A</v>
      </c>
      <c r="J44" s="546" t="e">
        <f>ROUND(H44/2,0)</f>
        <v>#N/A</v>
      </c>
      <c r="K44" s="545" t="e">
        <f>#N/A</f>
        <v>#N/A</v>
      </c>
      <c r="L44" s="546">
        <v>80</v>
      </c>
      <c r="M44" s="547" t="e">
        <f>#N/A</f>
        <v>#N/A</v>
      </c>
    </row>
    <row r="45" spans="2:13" ht="15">
      <c r="B45" s="542">
        <v>16</v>
      </c>
      <c r="C45" s="542" t="s">
        <v>26960</v>
      </c>
      <c r="D45" s="542">
        <v>0</v>
      </c>
      <c r="E45" s="542">
        <v>0</v>
      </c>
      <c r="F45" s="542">
        <v>80</v>
      </c>
      <c r="G45" s="542">
        <v>80</v>
      </c>
      <c r="H45" s="546" t="e">
        <f>#N/A</f>
        <v>#N/A</v>
      </c>
      <c r="I45" s="545" t="e">
        <f>140-H45</f>
        <v>#N/A</v>
      </c>
      <c r="J45" s="546" t="e">
        <f>ROUND(H45/2,0)</f>
        <v>#N/A</v>
      </c>
      <c r="K45" s="545" t="e">
        <f>#N/A</f>
        <v>#N/A</v>
      </c>
      <c r="L45" s="546"/>
      <c r="M45" s="547" t="e">
        <f>#N/A</f>
        <v>#N/A</v>
      </c>
    </row>
    <row r="46" spans="2:13" ht="15">
      <c r="B46" s="542">
        <v>17</v>
      </c>
      <c r="C46" s="542" t="s">
        <v>26961</v>
      </c>
      <c r="D46" s="542">
        <v>0</v>
      </c>
      <c r="E46" s="542">
        <v>0</v>
      </c>
      <c r="F46" s="542">
        <v>90</v>
      </c>
      <c r="G46" s="542">
        <v>90</v>
      </c>
      <c r="H46" s="546" t="e">
        <f>#N/A</f>
        <v>#N/A</v>
      </c>
      <c r="I46" s="545" t="e">
        <f>140-H46</f>
        <v>#N/A</v>
      </c>
      <c r="J46" s="546" t="e">
        <f>ROUND(H46/2,0)</f>
        <v>#N/A</v>
      </c>
      <c r="K46" s="545" t="e">
        <f>#N/A</f>
        <v>#N/A</v>
      </c>
      <c r="L46" s="546"/>
      <c r="M46" s="547" t="e">
        <f>#N/A</f>
        <v>#N/A</v>
      </c>
    </row>
    <row r="47" spans="2:13" ht="15">
      <c r="B47" s="542">
        <v>18</v>
      </c>
      <c r="C47" s="542" t="s">
        <v>26962</v>
      </c>
      <c r="D47" s="542">
        <v>95</v>
      </c>
      <c r="E47" s="542">
        <v>70</v>
      </c>
      <c r="F47" s="542">
        <v>75</v>
      </c>
      <c r="G47" s="542">
        <v>85</v>
      </c>
      <c r="H47" s="546" t="e">
        <f>#N/A</f>
        <v>#N/A</v>
      </c>
      <c r="I47" s="545" t="e">
        <f>280-H47</f>
        <v>#N/A</v>
      </c>
      <c r="J47" s="546" t="e">
        <f>ROUND(H47/4,0)</f>
        <v>#N/A</v>
      </c>
      <c r="K47" s="545" t="e">
        <f>#N/A</f>
        <v>#N/A</v>
      </c>
      <c r="L47" s="546"/>
      <c r="M47" s="547" t="e">
        <f>#N/A</f>
        <v>#N/A</v>
      </c>
    </row>
    <row r="48" spans="2:13" ht="15">
      <c r="B48" s="542">
        <v>19</v>
      </c>
      <c r="C48" s="542" t="s">
        <v>26963</v>
      </c>
      <c r="D48" s="542">
        <v>92</v>
      </c>
      <c r="E48" s="542">
        <v>92</v>
      </c>
      <c r="F48" s="542">
        <v>0</v>
      </c>
      <c r="G48" s="542">
        <v>0</v>
      </c>
      <c r="H48" s="546" t="e">
        <f>#N/A</f>
        <v>#N/A</v>
      </c>
      <c r="I48" s="545" t="e">
        <f>140-H48</f>
        <v>#N/A</v>
      </c>
      <c r="J48" s="546" t="e">
        <f>ROUND(H48/2,0)</f>
        <v>#N/A</v>
      </c>
      <c r="K48" s="545" t="e">
        <f>#N/A</f>
        <v>#N/A</v>
      </c>
      <c r="L48" s="546"/>
      <c r="M48" s="547" t="e">
        <f>#N/A</f>
        <v>#N/A</v>
      </c>
    </row>
    <row r="49" spans="2:13" ht="15">
      <c r="B49" s="542">
        <v>20</v>
      </c>
      <c r="C49" s="542" t="s">
        <v>26964</v>
      </c>
      <c r="D49" s="542">
        <v>71</v>
      </c>
      <c r="E49" s="542">
        <v>78</v>
      </c>
      <c r="F49" s="542">
        <v>88</v>
      </c>
      <c r="G49" s="542">
        <v>84</v>
      </c>
      <c r="H49" s="546" t="e">
        <f>#N/A</f>
        <v>#N/A</v>
      </c>
      <c r="I49" s="545" t="e">
        <f>280-H49</f>
        <v>#N/A</v>
      </c>
      <c r="J49" s="546" t="e">
        <f>ROUND(H49/4,0)</f>
        <v>#N/A</v>
      </c>
      <c r="K49" s="545" t="e">
        <f>#N/A</f>
        <v>#N/A</v>
      </c>
      <c r="L49" s="546"/>
      <c r="M49" s="547" t="e">
        <f>#N/A</f>
        <v>#N/A</v>
      </c>
    </row>
    <row r="50" spans="2:13" ht="15">
      <c r="B50" s="542">
        <v>21</v>
      </c>
      <c r="C50" s="542" t="s">
        <v>26965</v>
      </c>
      <c r="D50" s="542">
        <v>70</v>
      </c>
      <c r="E50" s="542">
        <v>70</v>
      </c>
      <c r="F50" s="542">
        <v>70</v>
      </c>
      <c r="G50" s="542">
        <v>70</v>
      </c>
      <c r="H50" s="546" t="e">
        <f>#N/A</f>
        <v>#N/A</v>
      </c>
      <c r="I50" s="545" t="e">
        <f>280-H50</f>
        <v>#N/A</v>
      </c>
      <c r="J50" s="546" t="e">
        <f>ROUND(H50/4,0)</f>
        <v>#N/A</v>
      </c>
      <c r="K50" s="545" t="e">
        <f>#N/A</f>
        <v>#N/A</v>
      </c>
      <c r="L50" s="546"/>
      <c r="M50" s="547" t="e">
        <f>#N/A</f>
        <v>#N/A</v>
      </c>
    </row>
    <row r="51" spans="2:13" ht="15">
      <c r="B51" s="542">
        <v>22</v>
      </c>
      <c r="C51" s="542"/>
      <c r="D51" s="542"/>
      <c r="E51" s="542"/>
      <c r="F51" s="542"/>
      <c r="G51" s="542"/>
      <c r="H51" s="546" t="e">
        <f>#N/A</f>
        <v>#N/A</v>
      </c>
      <c r="I51" s="545" t="e">
        <f>280-H51</f>
        <v>#N/A</v>
      </c>
      <c r="J51" s="546" t="e">
        <f>ROUND(H51/4,0)</f>
        <v>#N/A</v>
      </c>
      <c r="K51" s="545" t="e">
        <f>#N/A</f>
        <v>#N/A</v>
      </c>
      <c r="L51" s="546"/>
      <c r="M51" s="547" t="e">
        <f>#N/A</f>
        <v>#N/A</v>
      </c>
    </row>
    <row r="52" spans="2:13" ht="15">
      <c r="B52" s="542">
        <v>23</v>
      </c>
      <c r="C52" s="542"/>
      <c r="D52" s="542"/>
      <c r="E52" s="542"/>
      <c r="F52" s="542"/>
      <c r="G52" s="542"/>
      <c r="H52" s="546" t="e">
        <f>#N/A</f>
        <v>#N/A</v>
      </c>
      <c r="I52" s="545" t="e">
        <f>280-H52</f>
        <v>#N/A</v>
      </c>
      <c r="J52" s="546" t="e">
        <f>ROUND(H52/4,0)</f>
        <v>#N/A</v>
      </c>
      <c r="K52" s="545" t="e">
        <f>#N/A</f>
        <v>#N/A</v>
      </c>
      <c r="L52" s="546"/>
      <c r="M52" s="547" t="e">
        <f>#N/A</f>
        <v>#N/A</v>
      </c>
    </row>
    <row r="53" spans="2:13">
      <c r="B53" s="542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473"/>
    </row>
  </sheetData>
  <sheetProtection selectLockedCells="1" selectUnlockedCells="1"/>
  <printOptions gridLines="1"/>
  <pageMargins left="0.78749999999999998" right="0.78749999999999998" top="0.78749999999999998" bottom="0.78749999999999998" header="0.51180555555555551" footer="0.51180555555555551"/>
  <pageSetup paperSize="9" firstPageNumber="0" orientation="portrait" horizontalDpi="300" verticalDpi="300"/>
  <headerFooter alignWithMargins="0">
    <oddHeader>&amp;C&amp;A</oddHeader>
    <oddFooter>&amp;CSeite &amp;P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Plan36"/>
  <dimension ref="A1:D32"/>
  <sheetViews>
    <sheetView workbookViewId="0">
      <selection activeCell="D4" sqref="D4"/>
    </sheetView>
  </sheetViews>
  <sheetFormatPr defaultRowHeight="12.75"/>
  <cols>
    <col min="1" max="1" width="31.42578125" customWidth="1"/>
    <col min="2" max="2" width="11" customWidth="1"/>
    <col min="4" max="4" width="10.7109375" bestFit="1" customWidth="1"/>
  </cols>
  <sheetData>
    <row r="1" spans="1:4">
      <c r="A1" s="529" t="s">
        <v>26966</v>
      </c>
      <c r="B1" s="529" t="s">
        <v>26967</v>
      </c>
      <c r="C1" s="529" t="s">
        <v>26578</v>
      </c>
      <c r="D1" s="529" t="s">
        <v>26968</v>
      </c>
    </row>
    <row r="2" spans="1:4">
      <c r="A2" s="473"/>
      <c r="B2" s="473"/>
      <c r="C2" s="473"/>
      <c r="D2" s="473"/>
    </row>
    <row r="3" spans="1:4">
      <c r="A3" s="473" t="s">
        <v>26969</v>
      </c>
      <c r="B3" s="473" t="s">
        <v>151</v>
      </c>
      <c r="C3" s="473" t="s">
        <v>370</v>
      </c>
      <c r="D3" s="473"/>
    </row>
    <row r="4" spans="1:4">
      <c r="A4" s="772" t="s">
        <v>26970</v>
      </c>
      <c r="B4" s="772" t="s">
        <v>151</v>
      </c>
      <c r="C4" s="772" t="s">
        <v>370</v>
      </c>
      <c r="D4" s="772" t="s">
        <v>26971</v>
      </c>
    </row>
    <row r="5" spans="1:4">
      <c r="A5" s="772" t="s">
        <v>26972</v>
      </c>
      <c r="B5" s="772" t="s">
        <v>151</v>
      </c>
      <c r="C5" s="772" t="s">
        <v>370</v>
      </c>
      <c r="D5" s="772" t="s">
        <v>26971</v>
      </c>
    </row>
    <row r="6" spans="1:4">
      <c r="A6" s="772" t="s">
        <v>26973</v>
      </c>
      <c r="B6" s="772" t="s">
        <v>151</v>
      </c>
      <c r="C6" s="772" t="s">
        <v>370</v>
      </c>
      <c r="D6" s="772" t="s">
        <v>26971</v>
      </c>
    </row>
    <row r="7" spans="1:4">
      <c r="A7" s="772" t="s">
        <v>14096</v>
      </c>
      <c r="B7" s="772" t="s">
        <v>151</v>
      </c>
      <c r="C7" s="772" t="s">
        <v>370</v>
      </c>
      <c r="D7" s="772" t="s">
        <v>26971</v>
      </c>
    </row>
    <row r="8" spans="1:4">
      <c r="A8" s="772" t="s">
        <v>175</v>
      </c>
      <c r="B8" s="772" t="s">
        <v>151</v>
      </c>
      <c r="C8" s="772" t="s">
        <v>370</v>
      </c>
      <c r="D8" s="772" t="s">
        <v>26971</v>
      </c>
    </row>
    <row r="9" spans="1:4">
      <c r="A9" s="772" t="s">
        <v>26974</v>
      </c>
      <c r="B9" s="772" t="s">
        <v>151</v>
      </c>
      <c r="C9" s="772" t="s">
        <v>370</v>
      </c>
      <c r="D9" s="772" t="s">
        <v>26971</v>
      </c>
    </row>
    <row r="10" spans="1:4">
      <c r="A10" s="772" t="s">
        <v>122</v>
      </c>
      <c r="B10" s="772" t="s">
        <v>151</v>
      </c>
      <c r="C10" s="772" t="s">
        <v>370</v>
      </c>
      <c r="D10" s="772" t="s">
        <v>26971</v>
      </c>
    </row>
    <row r="11" spans="1:4">
      <c r="A11" s="772" t="s">
        <v>26975</v>
      </c>
      <c r="B11" s="772" t="s">
        <v>151</v>
      </c>
      <c r="C11" s="772" t="s">
        <v>370</v>
      </c>
      <c r="D11" s="772" t="s">
        <v>26971</v>
      </c>
    </row>
    <row r="12" spans="1:4">
      <c r="A12" s="473" t="s">
        <v>26976</v>
      </c>
      <c r="B12" s="473" t="s">
        <v>151</v>
      </c>
      <c r="C12" s="473" t="s">
        <v>370</v>
      </c>
      <c r="D12" s="473"/>
    </row>
    <row r="13" spans="1:4">
      <c r="A13" s="473" t="s">
        <v>26977</v>
      </c>
      <c r="B13" s="473" t="s">
        <v>151</v>
      </c>
      <c r="C13" s="473" t="s">
        <v>370</v>
      </c>
      <c r="D13" s="473"/>
    </row>
    <row r="14" spans="1:4">
      <c r="A14" s="772" t="s">
        <v>26978</v>
      </c>
      <c r="B14" s="772" t="s">
        <v>151</v>
      </c>
      <c r="C14" s="772" t="s">
        <v>370</v>
      </c>
      <c r="D14" s="772" t="s">
        <v>26971</v>
      </c>
    </row>
    <row r="15" spans="1:4">
      <c r="A15" s="772" t="s">
        <v>26979</v>
      </c>
      <c r="B15" s="772" t="s">
        <v>151</v>
      </c>
      <c r="C15" s="772" t="s">
        <v>370</v>
      </c>
      <c r="D15" s="772" t="s">
        <v>26971</v>
      </c>
    </row>
    <row r="16" spans="1:4">
      <c r="A16" s="772" t="s">
        <v>164</v>
      </c>
      <c r="B16" s="772" t="s">
        <v>151</v>
      </c>
      <c r="C16" s="772" t="s">
        <v>370</v>
      </c>
      <c r="D16" s="772" t="s">
        <v>26971</v>
      </c>
    </row>
    <row r="17" spans="1:4">
      <c r="A17" s="772" t="s">
        <v>26980</v>
      </c>
      <c r="B17" s="772" t="s">
        <v>151</v>
      </c>
      <c r="C17" s="772" t="s">
        <v>370</v>
      </c>
      <c r="D17" s="772" t="s">
        <v>26971</v>
      </c>
    </row>
    <row r="18" spans="1:4">
      <c r="A18" s="473" t="s">
        <v>26981</v>
      </c>
      <c r="B18" s="473" t="s">
        <v>151</v>
      </c>
      <c r="C18" s="473" t="s">
        <v>370</v>
      </c>
      <c r="D18" s="473"/>
    </row>
    <row r="19" spans="1:4">
      <c r="A19" s="473" t="s">
        <v>26982</v>
      </c>
      <c r="B19" s="473" t="s">
        <v>151</v>
      </c>
      <c r="C19" s="473" t="s">
        <v>370</v>
      </c>
      <c r="D19" s="473"/>
    </row>
    <row r="20" spans="1:4">
      <c r="A20" s="473" t="s">
        <v>26983</v>
      </c>
      <c r="B20" s="473" t="s">
        <v>151</v>
      </c>
      <c r="C20" s="473" t="s">
        <v>370</v>
      </c>
      <c r="D20" s="473"/>
    </row>
    <row r="21" spans="1:4">
      <c r="A21" s="473" t="s">
        <v>26984</v>
      </c>
      <c r="B21" s="473" t="s">
        <v>151</v>
      </c>
      <c r="C21" s="473" t="s">
        <v>370</v>
      </c>
      <c r="D21" s="473"/>
    </row>
    <row r="22" spans="1:4">
      <c r="A22" s="473" t="s">
        <v>26985</v>
      </c>
      <c r="B22" s="473" t="s">
        <v>151</v>
      </c>
      <c r="C22" s="473"/>
      <c r="D22" s="473"/>
    </row>
    <row r="23" spans="1:4">
      <c r="A23" s="473" t="s">
        <v>26986</v>
      </c>
      <c r="B23" s="473" t="s">
        <v>151</v>
      </c>
      <c r="C23" s="473"/>
      <c r="D23" s="473"/>
    </row>
    <row r="24" spans="1:4">
      <c r="A24" s="473" t="s">
        <v>26987</v>
      </c>
      <c r="B24" s="473" t="s">
        <v>151</v>
      </c>
      <c r="C24" s="473"/>
      <c r="D24" s="473"/>
    </row>
    <row r="25" spans="1:4">
      <c r="A25" s="473" t="s">
        <v>26988</v>
      </c>
      <c r="B25" s="473" t="s">
        <v>151</v>
      </c>
      <c r="C25" s="473" t="s">
        <v>370</v>
      </c>
      <c r="D25" s="473"/>
    </row>
    <row r="26" spans="1:4">
      <c r="A26" s="473" t="s">
        <v>26989</v>
      </c>
      <c r="B26" s="473" t="s">
        <v>151</v>
      </c>
      <c r="C26" s="473" t="s">
        <v>370</v>
      </c>
      <c r="D26" s="473"/>
    </row>
    <row r="27" spans="1:4">
      <c r="A27" s="473" t="s">
        <v>26990</v>
      </c>
      <c r="B27" s="473" t="s">
        <v>151</v>
      </c>
      <c r="C27" s="473" t="s">
        <v>370</v>
      </c>
      <c r="D27" s="473"/>
    </row>
    <row r="28" spans="1:4">
      <c r="A28" s="772" t="s">
        <v>26991</v>
      </c>
      <c r="B28" s="772" t="s">
        <v>151</v>
      </c>
      <c r="C28" s="772" t="s">
        <v>370</v>
      </c>
      <c r="D28" s="772" t="s">
        <v>26971</v>
      </c>
    </row>
    <row r="29" spans="1:4">
      <c r="A29" s="473"/>
      <c r="B29" s="473"/>
      <c r="C29" s="473"/>
      <c r="D29" s="473"/>
    </row>
    <row r="30" spans="1:4">
      <c r="A30" s="473"/>
      <c r="B30" s="473"/>
      <c r="C30" s="473"/>
      <c r="D30" s="473"/>
    </row>
    <row r="31" spans="1:4">
      <c r="A31" s="473"/>
      <c r="B31" s="473"/>
      <c r="C31" s="473"/>
      <c r="D31" s="473"/>
    </row>
    <row r="32" spans="1:4">
      <c r="A32" s="473"/>
      <c r="B32" s="473"/>
      <c r="C32" s="473"/>
      <c r="D32" s="473"/>
    </row>
  </sheetData>
  <sheetProtection selectLockedCells="1" selectUnlockedCells="1"/>
  <autoFilter ref="A1:D32" xr:uid="{00000000-0009-0000-0000-000032000000}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Carlin</dc:creator>
  <cp:keywords/>
  <dc:description/>
  <cp:lastModifiedBy/>
  <cp:revision/>
  <dcterms:created xsi:type="dcterms:W3CDTF">2011-10-23T01:51:01Z</dcterms:created>
  <dcterms:modified xsi:type="dcterms:W3CDTF">2026-05-17T00:35:29Z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d7361d0a-f038-4f82-aac9-05e4f6c490b4</vt:lpwstr>
  </property>
</Properties>
</file>